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Jean-Luc\Downloads\"/>
    </mc:Choice>
  </mc:AlternateContent>
  <bookViews>
    <workbookView xWindow="0" yWindow="0" windowWidth="25050" windowHeight="11385" activeTab="1"/>
  </bookViews>
  <sheets>
    <sheet name="base" sheetId="1" r:id="rId1"/>
    <sheet name="base contrôle" sheetId="2" r:id="rId2"/>
    <sheet name="tables" sheetId="3" r:id="rId3"/>
    <sheet name="Synthèse coût traction" sheetId="8" r:id="rId4"/>
  </sheets>
  <externalReferences>
    <externalReference r:id="rId5"/>
  </externalReferences>
  <definedNames>
    <definedName name="_xlnm._FilterDatabase" localSheetId="0" hidden="1">base!$A$1:$X$7291</definedName>
    <definedName name="_xlnm._FilterDatabase" localSheetId="1" hidden="1">'base contrôle'!$A$1:$Q$10000</definedName>
    <definedName name="_xlnm._FilterDatabase" localSheetId="2" hidden="1">tables!$A$1:$C$97</definedName>
    <definedName name="Coût_Dpmnt">tables!$A$2:$C$97</definedName>
    <definedName name="PF_distritec">'[1]TABLE PF'!$A$1:$D$97</definedName>
    <definedName name="tout_cout_traction">tables!$A$1:$C$97</definedName>
    <definedName name="VA1_SIMPLE">tables!$E$1:$BC$97</definedName>
  </definedNames>
  <calcPr calcId="152511"/>
  <pivotCaches>
    <pivotCache cacheId="0" r:id="rId6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" i="2" l="1"/>
  <c r="L3" i="2" l="1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L7491" i="2"/>
  <c r="L7492" i="2"/>
  <c r="L7493" i="2"/>
  <c r="L7494" i="2"/>
  <c r="L7495" i="2"/>
  <c r="L7496" i="2"/>
  <c r="L7497" i="2"/>
  <c r="L7498" i="2"/>
  <c r="L7499" i="2"/>
  <c r="L7500" i="2"/>
  <c r="L7501" i="2"/>
  <c r="L7502" i="2"/>
  <c r="L7503" i="2"/>
  <c r="L7504" i="2"/>
  <c r="L7505" i="2"/>
  <c r="L7506" i="2"/>
  <c r="L7507" i="2"/>
  <c r="L7508" i="2"/>
  <c r="L7509" i="2"/>
  <c r="L7510" i="2"/>
  <c r="L7511" i="2"/>
  <c r="L7512" i="2"/>
  <c r="L7513" i="2"/>
  <c r="L7514" i="2"/>
  <c r="L7515" i="2"/>
  <c r="L7516" i="2"/>
  <c r="L7517" i="2"/>
  <c r="L7518" i="2"/>
  <c r="L7519" i="2"/>
  <c r="L7520" i="2"/>
  <c r="L7521" i="2"/>
  <c r="L7522" i="2"/>
  <c r="L7523" i="2"/>
  <c r="L7524" i="2"/>
  <c r="L7525" i="2"/>
  <c r="L7526" i="2"/>
  <c r="L7527" i="2"/>
  <c r="L7528" i="2"/>
  <c r="L7529" i="2"/>
  <c r="L7530" i="2"/>
  <c r="L7531" i="2"/>
  <c r="L7532" i="2"/>
  <c r="L7533" i="2"/>
  <c r="L7534" i="2"/>
  <c r="L7535" i="2"/>
  <c r="L7536" i="2"/>
  <c r="L7537" i="2"/>
  <c r="L7538" i="2"/>
  <c r="L7539" i="2"/>
  <c r="L7540" i="2"/>
  <c r="L7541" i="2"/>
  <c r="L7542" i="2"/>
  <c r="L7543" i="2"/>
  <c r="L7544" i="2"/>
  <c r="L7545" i="2"/>
  <c r="L7546" i="2"/>
  <c r="L7547" i="2"/>
  <c r="L7548" i="2"/>
  <c r="L7549" i="2"/>
  <c r="L7550" i="2"/>
  <c r="L7551" i="2"/>
  <c r="L7552" i="2"/>
  <c r="L7553" i="2"/>
  <c r="L7554" i="2"/>
  <c r="L7555" i="2"/>
  <c r="L7556" i="2"/>
  <c r="L7557" i="2"/>
  <c r="L7558" i="2"/>
  <c r="L7559" i="2"/>
  <c r="L7560" i="2"/>
  <c r="L7561" i="2"/>
  <c r="L7562" i="2"/>
  <c r="L7563" i="2"/>
  <c r="L7564" i="2"/>
  <c r="L7565" i="2"/>
  <c r="L7566" i="2"/>
  <c r="L7567" i="2"/>
  <c r="L7568" i="2"/>
  <c r="L7569" i="2"/>
  <c r="L7570" i="2"/>
  <c r="L7571" i="2"/>
  <c r="L7572" i="2"/>
  <c r="L7573" i="2"/>
  <c r="L7574" i="2"/>
  <c r="L7575" i="2"/>
  <c r="L7576" i="2"/>
  <c r="L7577" i="2"/>
  <c r="L7578" i="2"/>
  <c r="L7579" i="2"/>
  <c r="L7580" i="2"/>
  <c r="L7581" i="2"/>
  <c r="L7582" i="2"/>
  <c r="L7583" i="2"/>
  <c r="L7584" i="2"/>
  <c r="L7585" i="2"/>
  <c r="L7586" i="2"/>
  <c r="L7587" i="2"/>
  <c r="L7588" i="2"/>
  <c r="L7589" i="2"/>
  <c r="L7590" i="2"/>
  <c r="L7591" i="2"/>
  <c r="L7592" i="2"/>
  <c r="L7593" i="2"/>
  <c r="L7594" i="2"/>
  <c r="L7595" i="2"/>
  <c r="L7596" i="2"/>
  <c r="L7597" i="2"/>
  <c r="L7598" i="2"/>
  <c r="L7599" i="2"/>
  <c r="L7600" i="2"/>
  <c r="L7601" i="2"/>
  <c r="L7602" i="2"/>
  <c r="L7603" i="2"/>
  <c r="L7604" i="2"/>
  <c r="L7605" i="2"/>
  <c r="L7606" i="2"/>
  <c r="L7607" i="2"/>
  <c r="L7608" i="2"/>
  <c r="L7609" i="2"/>
  <c r="L7610" i="2"/>
  <c r="L7611" i="2"/>
  <c r="L7612" i="2"/>
  <c r="L7613" i="2"/>
  <c r="L7614" i="2"/>
  <c r="L7615" i="2"/>
  <c r="L7616" i="2"/>
  <c r="L7617" i="2"/>
  <c r="L7618" i="2"/>
  <c r="L7619" i="2"/>
  <c r="L7620" i="2"/>
  <c r="L7621" i="2"/>
  <c r="L7622" i="2"/>
  <c r="L7623" i="2"/>
  <c r="L7624" i="2"/>
  <c r="L7625" i="2"/>
  <c r="L7626" i="2"/>
  <c r="L7627" i="2"/>
  <c r="L7628" i="2"/>
  <c r="L7629" i="2"/>
  <c r="L7630" i="2"/>
  <c r="L7631" i="2"/>
  <c r="L7632" i="2"/>
  <c r="L7633" i="2"/>
  <c r="L7634" i="2"/>
  <c r="L7635" i="2"/>
  <c r="L7636" i="2"/>
  <c r="L7637" i="2"/>
  <c r="L7638" i="2"/>
  <c r="L7639" i="2"/>
  <c r="L7640" i="2"/>
  <c r="L7641" i="2"/>
  <c r="L7642" i="2"/>
  <c r="L7643" i="2"/>
  <c r="L7644" i="2"/>
  <c r="L7645" i="2"/>
  <c r="L7646" i="2"/>
  <c r="L7647" i="2"/>
  <c r="L7648" i="2"/>
  <c r="L7649" i="2"/>
  <c r="L7650" i="2"/>
  <c r="L7651" i="2"/>
  <c r="L7652" i="2"/>
  <c r="L7653" i="2"/>
  <c r="L7654" i="2"/>
  <c r="L7655" i="2"/>
  <c r="L7656" i="2"/>
  <c r="L7657" i="2"/>
  <c r="L7658" i="2"/>
  <c r="L7659" i="2"/>
  <c r="L7660" i="2"/>
  <c r="L7661" i="2"/>
  <c r="L7662" i="2"/>
  <c r="L7663" i="2"/>
  <c r="L7664" i="2"/>
  <c r="L7665" i="2"/>
  <c r="L7666" i="2"/>
  <c r="L7667" i="2"/>
  <c r="L7668" i="2"/>
  <c r="L7669" i="2"/>
  <c r="L7670" i="2"/>
  <c r="L7671" i="2"/>
  <c r="L7672" i="2"/>
  <c r="L7673" i="2"/>
  <c r="L7674" i="2"/>
  <c r="L7675" i="2"/>
  <c r="L7676" i="2"/>
  <c r="L7677" i="2"/>
  <c r="L7678" i="2"/>
  <c r="L7679" i="2"/>
  <c r="L7680" i="2"/>
  <c r="L7681" i="2"/>
  <c r="L7682" i="2"/>
  <c r="L7683" i="2"/>
  <c r="L7684" i="2"/>
  <c r="L7685" i="2"/>
  <c r="L7686" i="2"/>
  <c r="L7687" i="2"/>
  <c r="L7688" i="2"/>
  <c r="L7689" i="2"/>
  <c r="L7690" i="2"/>
  <c r="L7691" i="2"/>
  <c r="L7692" i="2"/>
  <c r="L7693" i="2"/>
  <c r="L7694" i="2"/>
  <c r="L7695" i="2"/>
  <c r="L7696" i="2"/>
  <c r="L7697" i="2"/>
  <c r="L7698" i="2"/>
  <c r="L7699" i="2"/>
  <c r="L7700" i="2"/>
  <c r="L7701" i="2"/>
  <c r="L7702" i="2"/>
  <c r="L7703" i="2"/>
  <c r="L7704" i="2"/>
  <c r="L7705" i="2"/>
  <c r="L7706" i="2"/>
  <c r="L7707" i="2"/>
  <c r="L7708" i="2"/>
  <c r="L7709" i="2"/>
  <c r="L7710" i="2"/>
  <c r="L7711" i="2"/>
  <c r="L7712" i="2"/>
  <c r="L7713" i="2"/>
  <c r="L7714" i="2"/>
  <c r="L7715" i="2"/>
  <c r="L7716" i="2"/>
  <c r="L7717" i="2"/>
  <c r="L7718" i="2"/>
  <c r="L7719" i="2"/>
  <c r="L7720" i="2"/>
  <c r="L7721" i="2"/>
  <c r="L7722" i="2"/>
  <c r="L7723" i="2"/>
  <c r="L7724" i="2"/>
  <c r="L7725" i="2"/>
  <c r="L7726" i="2"/>
  <c r="L7727" i="2"/>
  <c r="L7728" i="2"/>
  <c r="L7729" i="2"/>
  <c r="L7730" i="2"/>
  <c r="L7731" i="2"/>
  <c r="L7732" i="2"/>
  <c r="L7733" i="2"/>
  <c r="L7734" i="2"/>
  <c r="L7735" i="2"/>
  <c r="L7736" i="2"/>
  <c r="L7737" i="2"/>
  <c r="L7738" i="2"/>
  <c r="L7739" i="2"/>
  <c r="L7740" i="2"/>
  <c r="L7741" i="2"/>
  <c r="L7742" i="2"/>
  <c r="L7743" i="2"/>
  <c r="L7744" i="2"/>
  <c r="L7745" i="2"/>
  <c r="L7746" i="2"/>
  <c r="L7747" i="2"/>
  <c r="L7748" i="2"/>
  <c r="L7749" i="2"/>
  <c r="L7750" i="2"/>
  <c r="L7751" i="2"/>
  <c r="L7752" i="2"/>
  <c r="L7753" i="2"/>
  <c r="L7754" i="2"/>
  <c r="L7755" i="2"/>
  <c r="L7756" i="2"/>
  <c r="L7757" i="2"/>
  <c r="L7758" i="2"/>
  <c r="L7759" i="2"/>
  <c r="L7760" i="2"/>
  <c r="L7761" i="2"/>
  <c r="L7762" i="2"/>
  <c r="L7763" i="2"/>
  <c r="L7764" i="2"/>
  <c r="L7765" i="2"/>
  <c r="L7766" i="2"/>
  <c r="L7767" i="2"/>
  <c r="L7768" i="2"/>
  <c r="L7769" i="2"/>
  <c r="L7770" i="2"/>
  <c r="L7771" i="2"/>
  <c r="L7772" i="2"/>
  <c r="L7773" i="2"/>
  <c r="L7774" i="2"/>
  <c r="L7775" i="2"/>
  <c r="L7776" i="2"/>
  <c r="L7777" i="2"/>
  <c r="L7778" i="2"/>
  <c r="L7779" i="2"/>
  <c r="L7780" i="2"/>
  <c r="L7781" i="2"/>
  <c r="L7782" i="2"/>
  <c r="L7783" i="2"/>
  <c r="L7784" i="2"/>
  <c r="L7785" i="2"/>
  <c r="L7786" i="2"/>
  <c r="L7787" i="2"/>
  <c r="L7788" i="2"/>
  <c r="L7789" i="2"/>
  <c r="L7790" i="2"/>
  <c r="L7791" i="2"/>
  <c r="L7792" i="2"/>
  <c r="L7793" i="2"/>
  <c r="L7794" i="2"/>
  <c r="L7795" i="2"/>
  <c r="L7796" i="2"/>
  <c r="L7797" i="2"/>
  <c r="L7798" i="2"/>
  <c r="L7799" i="2"/>
  <c r="L7800" i="2"/>
  <c r="L7801" i="2"/>
  <c r="L7802" i="2"/>
  <c r="L7803" i="2"/>
  <c r="L7804" i="2"/>
  <c r="L7805" i="2"/>
  <c r="L7806" i="2"/>
  <c r="L7807" i="2"/>
  <c r="L7808" i="2"/>
  <c r="L7809" i="2"/>
  <c r="L7810" i="2"/>
  <c r="L7811" i="2"/>
  <c r="L7812" i="2"/>
  <c r="L7813" i="2"/>
  <c r="L7814" i="2"/>
  <c r="L7815" i="2"/>
  <c r="L7816" i="2"/>
  <c r="L7817" i="2"/>
  <c r="L7818" i="2"/>
  <c r="L7819" i="2"/>
  <c r="L7820" i="2"/>
  <c r="L7821" i="2"/>
  <c r="L7822" i="2"/>
  <c r="L7823" i="2"/>
  <c r="L7824" i="2"/>
  <c r="L7825" i="2"/>
  <c r="L7826" i="2"/>
  <c r="L7827" i="2"/>
  <c r="L7828" i="2"/>
  <c r="L7829" i="2"/>
  <c r="L7830" i="2"/>
  <c r="L7831" i="2"/>
  <c r="L7832" i="2"/>
  <c r="L7833" i="2"/>
  <c r="L7834" i="2"/>
  <c r="L7835" i="2"/>
  <c r="L7836" i="2"/>
  <c r="L7837" i="2"/>
  <c r="L7838" i="2"/>
  <c r="L7839" i="2"/>
  <c r="L7840" i="2"/>
  <c r="L7841" i="2"/>
  <c r="L7842" i="2"/>
  <c r="L7843" i="2"/>
  <c r="L7844" i="2"/>
  <c r="L7845" i="2"/>
  <c r="L7846" i="2"/>
  <c r="L7847" i="2"/>
  <c r="L7848" i="2"/>
  <c r="L7849" i="2"/>
  <c r="L7850" i="2"/>
  <c r="L7851" i="2"/>
  <c r="L7852" i="2"/>
  <c r="L7853" i="2"/>
  <c r="L7854" i="2"/>
  <c r="L7855" i="2"/>
  <c r="L7856" i="2"/>
  <c r="L7857" i="2"/>
  <c r="L7858" i="2"/>
  <c r="L7859" i="2"/>
  <c r="L7860" i="2"/>
  <c r="L7861" i="2"/>
  <c r="L7862" i="2"/>
  <c r="L7863" i="2"/>
  <c r="L7864" i="2"/>
  <c r="L7865" i="2"/>
  <c r="L7866" i="2"/>
  <c r="L7867" i="2"/>
  <c r="L7868" i="2"/>
  <c r="L7869" i="2"/>
  <c r="L7870" i="2"/>
  <c r="L7871" i="2"/>
  <c r="L7872" i="2"/>
  <c r="L7873" i="2"/>
  <c r="L7874" i="2"/>
  <c r="L7875" i="2"/>
  <c r="L7876" i="2"/>
  <c r="L7877" i="2"/>
  <c r="L7878" i="2"/>
  <c r="L7879" i="2"/>
  <c r="L7880" i="2"/>
  <c r="L7881" i="2"/>
  <c r="L7882" i="2"/>
  <c r="L7883" i="2"/>
  <c r="L7884" i="2"/>
  <c r="L7885" i="2"/>
  <c r="L7886" i="2"/>
  <c r="L7887" i="2"/>
  <c r="L7888" i="2"/>
  <c r="L7889" i="2"/>
  <c r="L7890" i="2"/>
  <c r="L7891" i="2"/>
  <c r="L7892" i="2"/>
  <c r="L7893" i="2"/>
  <c r="L7894" i="2"/>
  <c r="L7895" i="2"/>
  <c r="L7896" i="2"/>
  <c r="L7897" i="2"/>
  <c r="L7898" i="2"/>
  <c r="L7899" i="2"/>
  <c r="L7900" i="2"/>
  <c r="L7901" i="2"/>
  <c r="L7902" i="2"/>
  <c r="L7903" i="2"/>
  <c r="L7904" i="2"/>
  <c r="L7905" i="2"/>
  <c r="L7906" i="2"/>
  <c r="L7907" i="2"/>
  <c r="L7908" i="2"/>
  <c r="L7909" i="2"/>
  <c r="L7910" i="2"/>
  <c r="L7911" i="2"/>
  <c r="L7912" i="2"/>
  <c r="L7913" i="2"/>
  <c r="L7914" i="2"/>
  <c r="L7915" i="2"/>
  <c r="L7916" i="2"/>
  <c r="L7917" i="2"/>
  <c r="L7918" i="2"/>
  <c r="L7919" i="2"/>
  <c r="L7920" i="2"/>
  <c r="L7921" i="2"/>
  <c r="L7922" i="2"/>
  <c r="L7923" i="2"/>
  <c r="L7924" i="2"/>
  <c r="L7925" i="2"/>
  <c r="L7926" i="2"/>
  <c r="L7927" i="2"/>
  <c r="L7928" i="2"/>
  <c r="L7929" i="2"/>
  <c r="L7930" i="2"/>
  <c r="L7931" i="2"/>
  <c r="L7932" i="2"/>
  <c r="L7933" i="2"/>
  <c r="L7934" i="2"/>
  <c r="L7935" i="2"/>
  <c r="L7936" i="2"/>
  <c r="L7937" i="2"/>
  <c r="L7938" i="2"/>
  <c r="L7939" i="2"/>
  <c r="L7940" i="2"/>
  <c r="L7941" i="2"/>
  <c r="L7942" i="2"/>
  <c r="L7943" i="2"/>
  <c r="L7944" i="2"/>
  <c r="L7945" i="2"/>
  <c r="L7946" i="2"/>
  <c r="L7947" i="2"/>
  <c r="L7948" i="2"/>
  <c r="L7949" i="2"/>
  <c r="L7950" i="2"/>
  <c r="L7951" i="2"/>
  <c r="L7952" i="2"/>
  <c r="L7953" i="2"/>
  <c r="L7954" i="2"/>
  <c r="L7955" i="2"/>
  <c r="L7956" i="2"/>
  <c r="L7957" i="2"/>
  <c r="L7958" i="2"/>
  <c r="L7959" i="2"/>
  <c r="L7960" i="2"/>
  <c r="L7961" i="2"/>
  <c r="L7962" i="2"/>
  <c r="L7963" i="2"/>
  <c r="L7964" i="2"/>
  <c r="L7965" i="2"/>
  <c r="L7966" i="2"/>
  <c r="L7967" i="2"/>
  <c r="L7968" i="2"/>
  <c r="L7969" i="2"/>
  <c r="L7970" i="2"/>
  <c r="L7971" i="2"/>
  <c r="L7972" i="2"/>
  <c r="L7973" i="2"/>
  <c r="L7974" i="2"/>
  <c r="L7975" i="2"/>
  <c r="L7976" i="2"/>
  <c r="L7977" i="2"/>
  <c r="L7978" i="2"/>
  <c r="L7979" i="2"/>
  <c r="L7980" i="2"/>
  <c r="L7981" i="2"/>
  <c r="L7982" i="2"/>
  <c r="L7983" i="2"/>
  <c r="L7984" i="2"/>
  <c r="L7985" i="2"/>
  <c r="L7986" i="2"/>
  <c r="L7987" i="2"/>
  <c r="L7988" i="2"/>
  <c r="L7989" i="2"/>
  <c r="L7990" i="2"/>
  <c r="L7991" i="2"/>
  <c r="L7992" i="2"/>
  <c r="L7993" i="2"/>
  <c r="L7994" i="2"/>
  <c r="L7995" i="2"/>
  <c r="L7996" i="2"/>
  <c r="L7997" i="2"/>
  <c r="L7998" i="2"/>
  <c r="L7999" i="2"/>
  <c r="L8000" i="2"/>
  <c r="L8001" i="2"/>
  <c r="L8002" i="2"/>
  <c r="L8003" i="2"/>
  <c r="L8004" i="2"/>
  <c r="L8005" i="2"/>
  <c r="L8006" i="2"/>
  <c r="L8007" i="2"/>
  <c r="L8008" i="2"/>
  <c r="L8009" i="2"/>
  <c r="L8010" i="2"/>
  <c r="L8011" i="2"/>
  <c r="L8012" i="2"/>
  <c r="L8013" i="2"/>
  <c r="L8014" i="2"/>
  <c r="L8015" i="2"/>
  <c r="L8016" i="2"/>
  <c r="L8017" i="2"/>
  <c r="L8018" i="2"/>
  <c r="L8019" i="2"/>
  <c r="L8020" i="2"/>
  <c r="L8021" i="2"/>
  <c r="L8022" i="2"/>
  <c r="L8023" i="2"/>
  <c r="L8024" i="2"/>
  <c r="L8025" i="2"/>
  <c r="L8026" i="2"/>
  <c r="L8027" i="2"/>
  <c r="L8028" i="2"/>
  <c r="L8029" i="2"/>
  <c r="L8030" i="2"/>
  <c r="L8031" i="2"/>
  <c r="L8032" i="2"/>
  <c r="L8033" i="2"/>
  <c r="L8034" i="2"/>
  <c r="L8035" i="2"/>
  <c r="L8036" i="2"/>
  <c r="L8037" i="2"/>
  <c r="L8038" i="2"/>
  <c r="L8039" i="2"/>
  <c r="L8040" i="2"/>
  <c r="L8041" i="2"/>
  <c r="L8042" i="2"/>
  <c r="L8043" i="2"/>
  <c r="L8044" i="2"/>
  <c r="L8045" i="2"/>
  <c r="L8046" i="2"/>
  <c r="L8047" i="2"/>
  <c r="L8048" i="2"/>
  <c r="L8049" i="2"/>
  <c r="L8050" i="2"/>
  <c r="L8051" i="2"/>
  <c r="L8052" i="2"/>
  <c r="L8053" i="2"/>
  <c r="L8054" i="2"/>
  <c r="L8055" i="2"/>
  <c r="L8056" i="2"/>
  <c r="L8057" i="2"/>
  <c r="L8058" i="2"/>
  <c r="L8059" i="2"/>
  <c r="L8060" i="2"/>
  <c r="L8061" i="2"/>
  <c r="L8062" i="2"/>
  <c r="L8063" i="2"/>
  <c r="L8064" i="2"/>
  <c r="L8065" i="2"/>
  <c r="L8066" i="2"/>
  <c r="L8067" i="2"/>
  <c r="L8068" i="2"/>
  <c r="L8069" i="2"/>
  <c r="L8070" i="2"/>
  <c r="L8071" i="2"/>
  <c r="L8072" i="2"/>
  <c r="L8073" i="2"/>
  <c r="L8074" i="2"/>
  <c r="L8075" i="2"/>
  <c r="L8076" i="2"/>
  <c r="L8077" i="2"/>
  <c r="L8078" i="2"/>
  <c r="L8079" i="2"/>
  <c r="L8080" i="2"/>
  <c r="L8081" i="2"/>
  <c r="L8082" i="2"/>
  <c r="L8083" i="2"/>
  <c r="L8084" i="2"/>
  <c r="L8085" i="2"/>
  <c r="L8086" i="2"/>
  <c r="L8087" i="2"/>
  <c r="L8088" i="2"/>
  <c r="L8089" i="2"/>
  <c r="L8090" i="2"/>
  <c r="L8091" i="2"/>
  <c r="L8092" i="2"/>
  <c r="L8093" i="2"/>
  <c r="L8094" i="2"/>
  <c r="L8095" i="2"/>
  <c r="L8096" i="2"/>
  <c r="L8097" i="2"/>
  <c r="L8098" i="2"/>
  <c r="L8099" i="2"/>
  <c r="L8100" i="2"/>
  <c r="L8101" i="2"/>
  <c r="L8102" i="2"/>
  <c r="L8103" i="2"/>
  <c r="L8104" i="2"/>
  <c r="L8105" i="2"/>
  <c r="L8106" i="2"/>
  <c r="L8107" i="2"/>
  <c r="L8108" i="2"/>
  <c r="L8109" i="2"/>
  <c r="L8110" i="2"/>
  <c r="L8111" i="2"/>
  <c r="L8112" i="2"/>
  <c r="L8113" i="2"/>
  <c r="L8114" i="2"/>
  <c r="L8115" i="2"/>
  <c r="L8116" i="2"/>
  <c r="L8117" i="2"/>
  <c r="L8118" i="2"/>
  <c r="L8119" i="2"/>
  <c r="L8120" i="2"/>
  <c r="L8121" i="2"/>
  <c r="L8122" i="2"/>
  <c r="L8123" i="2"/>
  <c r="L8124" i="2"/>
  <c r="L8125" i="2"/>
  <c r="L8126" i="2"/>
  <c r="L8127" i="2"/>
  <c r="L8128" i="2"/>
  <c r="L8129" i="2"/>
  <c r="L8130" i="2"/>
  <c r="L8131" i="2"/>
  <c r="L8132" i="2"/>
  <c r="L8133" i="2"/>
  <c r="L8134" i="2"/>
  <c r="L8135" i="2"/>
  <c r="L8136" i="2"/>
  <c r="L8137" i="2"/>
  <c r="L8138" i="2"/>
  <c r="L8139" i="2"/>
  <c r="L8140" i="2"/>
  <c r="L8141" i="2"/>
  <c r="L8142" i="2"/>
  <c r="L8143" i="2"/>
  <c r="L8144" i="2"/>
  <c r="L8145" i="2"/>
  <c r="L8146" i="2"/>
  <c r="L8147" i="2"/>
  <c r="L8148" i="2"/>
  <c r="L8149" i="2"/>
  <c r="L8150" i="2"/>
  <c r="L8151" i="2"/>
  <c r="L8152" i="2"/>
  <c r="L8153" i="2"/>
  <c r="L8154" i="2"/>
  <c r="L8155" i="2"/>
  <c r="L8156" i="2"/>
  <c r="L8157" i="2"/>
  <c r="L8158" i="2"/>
  <c r="L8159" i="2"/>
  <c r="L8160" i="2"/>
  <c r="L8161" i="2"/>
  <c r="L8162" i="2"/>
  <c r="L8163" i="2"/>
  <c r="L8164" i="2"/>
  <c r="L8165" i="2"/>
  <c r="L8166" i="2"/>
  <c r="L8167" i="2"/>
  <c r="L8168" i="2"/>
  <c r="L8169" i="2"/>
  <c r="L8170" i="2"/>
  <c r="L8171" i="2"/>
  <c r="L8172" i="2"/>
  <c r="L8173" i="2"/>
  <c r="L8174" i="2"/>
  <c r="L8175" i="2"/>
  <c r="L8176" i="2"/>
  <c r="L8177" i="2"/>
  <c r="L8178" i="2"/>
  <c r="L8179" i="2"/>
  <c r="L8180" i="2"/>
  <c r="L8181" i="2"/>
  <c r="L8182" i="2"/>
  <c r="L8183" i="2"/>
  <c r="L8184" i="2"/>
  <c r="L8185" i="2"/>
  <c r="L8186" i="2"/>
  <c r="L8187" i="2"/>
  <c r="L8188" i="2"/>
  <c r="L8189" i="2"/>
  <c r="L8190" i="2"/>
  <c r="L8191" i="2"/>
  <c r="L8192" i="2"/>
  <c r="L8193" i="2"/>
  <c r="L8194" i="2"/>
  <c r="L8195" i="2"/>
  <c r="L8196" i="2"/>
  <c r="L8197" i="2"/>
  <c r="L8198" i="2"/>
  <c r="L8199" i="2"/>
  <c r="L8200" i="2"/>
  <c r="L8201" i="2"/>
  <c r="L8202" i="2"/>
  <c r="L8203" i="2"/>
  <c r="L8204" i="2"/>
  <c r="L8205" i="2"/>
  <c r="L8206" i="2"/>
  <c r="L8207" i="2"/>
  <c r="L8208" i="2"/>
  <c r="L8209" i="2"/>
  <c r="L8210" i="2"/>
  <c r="L8211" i="2"/>
  <c r="L8212" i="2"/>
  <c r="L8213" i="2"/>
  <c r="L8214" i="2"/>
  <c r="L8215" i="2"/>
  <c r="L8216" i="2"/>
  <c r="L8217" i="2"/>
  <c r="L8218" i="2"/>
  <c r="L8219" i="2"/>
  <c r="L8220" i="2"/>
  <c r="L8221" i="2"/>
  <c r="L8222" i="2"/>
  <c r="L8223" i="2"/>
  <c r="L8224" i="2"/>
  <c r="L8225" i="2"/>
  <c r="L8226" i="2"/>
  <c r="L8227" i="2"/>
  <c r="L8228" i="2"/>
  <c r="L8229" i="2"/>
  <c r="L8230" i="2"/>
  <c r="L8231" i="2"/>
  <c r="L8232" i="2"/>
  <c r="L8233" i="2"/>
  <c r="L8234" i="2"/>
  <c r="L8235" i="2"/>
  <c r="L8236" i="2"/>
  <c r="L8237" i="2"/>
  <c r="L8238" i="2"/>
  <c r="L8239" i="2"/>
  <c r="L8240" i="2"/>
  <c r="L8241" i="2"/>
  <c r="L8242" i="2"/>
  <c r="L8243" i="2"/>
  <c r="L8244" i="2"/>
  <c r="L8245" i="2"/>
  <c r="L8246" i="2"/>
  <c r="L8247" i="2"/>
  <c r="L8248" i="2"/>
  <c r="L8249" i="2"/>
  <c r="L8250" i="2"/>
  <c r="L8251" i="2"/>
  <c r="L8252" i="2"/>
  <c r="L8253" i="2"/>
  <c r="L8254" i="2"/>
  <c r="L8255" i="2"/>
  <c r="L8256" i="2"/>
  <c r="L8257" i="2"/>
  <c r="L8258" i="2"/>
  <c r="L8259" i="2"/>
  <c r="L8260" i="2"/>
  <c r="L8261" i="2"/>
  <c r="L8262" i="2"/>
  <c r="L8263" i="2"/>
  <c r="L8264" i="2"/>
  <c r="L8265" i="2"/>
  <c r="L8266" i="2"/>
  <c r="L8267" i="2"/>
  <c r="L8268" i="2"/>
  <c r="L8269" i="2"/>
  <c r="L8270" i="2"/>
  <c r="L8271" i="2"/>
  <c r="L8272" i="2"/>
  <c r="L8273" i="2"/>
  <c r="L8274" i="2"/>
  <c r="L8275" i="2"/>
  <c r="L8276" i="2"/>
  <c r="L8277" i="2"/>
  <c r="L8278" i="2"/>
  <c r="L8279" i="2"/>
  <c r="L8280" i="2"/>
  <c r="L8281" i="2"/>
  <c r="L8282" i="2"/>
  <c r="L8283" i="2"/>
  <c r="L8284" i="2"/>
  <c r="L8285" i="2"/>
  <c r="L8286" i="2"/>
  <c r="L8287" i="2"/>
  <c r="L8288" i="2"/>
  <c r="L8289" i="2"/>
  <c r="L8290" i="2"/>
  <c r="L8291" i="2"/>
  <c r="L8292" i="2"/>
  <c r="L8293" i="2"/>
  <c r="L8294" i="2"/>
  <c r="L8295" i="2"/>
  <c r="L8296" i="2"/>
  <c r="L8297" i="2"/>
  <c r="L8298" i="2"/>
  <c r="L8299" i="2"/>
  <c r="L8300" i="2"/>
  <c r="L8301" i="2"/>
  <c r="L8302" i="2"/>
  <c r="L8303" i="2"/>
  <c r="L8304" i="2"/>
  <c r="L8305" i="2"/>
  <c r="L8306" i="2"/>
  <c r="L8307" i="2"/>
  <c r="L8308" i="2"/>
  <c r="L8309" i="2"/>
  <c r="L8310" i="2"/>
  <c r="L8311" i="2"/>
  <c r="L8312" i="2"/>
  <c r="L8313" i="2"/>
  <c r="L8314" i="2"/>
  <c r="L8315" i="2"/>
  <c r="L8316" i="2"/>
  <c r="L8317" i="2"/>
  <c r="L8318" i="2"/>
  <c r="L8319" i="2"/>
  <c r="L8320" i="2"/>
  <c r="L8321" i="2"/>
  <c r="L8322" i="2"/>
  <c r="L8323" i="2"/>
  <c r="L8324" i="2"/>
  <c r="L8325" i="2"/>
  <c r="L8326" i="2"/>
  <c r="L8327" i="2"/>
  <c r="L8328" i="2"/>
  <c r="L8329" i="2"/>
  <c r="L8330" i="2"/>
  <c r="L8331" i="2"/>
  <c r="L8332" i="2"/>
  <c r="L8333" i="2"/>
  <c r="L8334" i="2"/>
  <c r="L8335" i="2"/>
  <c r="L8336" i="2"/>
  <c r="L8337" i="2"/>
  <c r="L8338" i="2"/>
  <c r="L8339" i="2"/>
  <c r="L8340" i="2"/>
  <c r="L8341" i="2"/>
  <c r="L8342" i="2"/>
  <c r="L8343" i="2"/>
  <c r="L8344" i="2"/>
  <c r="L8345" i="2"/>
  <c r="L8346" i="2"/>
  <c r="L8347" i="2"/>
  <c r="L8348" i="2"/>
  <c r="L8349" i="2"/>
  <c r="L8350" i="2"/>
  <c r="L8351" i="2"/>
  <c r="L8352" i="2"/>
  <c r="L8353" i="2"/>
  <c r="L8354" i="2"/>
  <c r="L8355" i="2"/>
  <c r="L8356" i="2"/>
  <c r="L8357" i="2"/>
  <c r="L8358" i="2"/>
  <c r="L8359" i="2"/>
  <c r="L8360" i="2"/>
  <c r="L8361" i="2"/>
  <c r="L8362" i="2"/>
  <c r="L8363" i="2"/>
  <c r="L8364" i="2"/>
  <c r="L8365" i="2"/>
  <c r="L8366" i="2"/>
  <c r="L8367" i="2"/>
  <c r="L8368" i="2"/>
  <c r="L8369" i="2"/>
  <c r="L8370" i="2"/>
  <c r="L8371" i="2"/>
  <c r="L8372" i="2"/>
  <c r="L8373" i="2"/>
  <c r="L8374" i="2"/>
  <c r="L8375" i="2"/>
  <c r="L8376" i="2"/>
  <c r="L8377" i="2"/>
  <c r="L8378" i="2"/>
  <c r="L8379" i="2"/>
  <c r="L8380" i="2"/>
  <c r="L8381" i="2"/>
  <c r="L8382" i="2"/>
  <c r="L8383" i="2"/>
  <c r="L8384" i="2"/>
  <c r="L8385" i="2"/>
  <c r="L8386" i="2"/>
  <c r="L8387" i="2"/>
  <c r="L8388" i="2"/>
  <c r="L8389" i="2"/>
  <c r="L8390" i="2"/>
  <c r="L8391" i="2"/>
  <c r="L8392" i="2"/>
  <c r="L8393" i="2"/>
  <c r="L8394" i="2"/>
  <c r="L8395" i="2"/>
  <c r="L8396" i="2"/>
  <c r="L8397" i="2"/>
  <c r="L8398" i="2"/>
  <c r="L8399" i="2"/>
  <c r="L8400" i="2"/>
  <c r="L8401" i="2"/>
  <c r="L8402" i="2"/>
  <c r="L8403" i="2"/>
  <c r="L8404" i="2"/>
  <c r="L8405" i="2"/>
  <c r="L8406" i="2"/>
  <c r="L8407" i="2"/>
  <c r="L8408" i="2"/>
  <c r="L8409" i="2"/>
  <c r="L8410" i="2"/>
  <c r="L8411" i="2"/>
  <c r="L8412" i="2"/>
  <c r="L8413" i="2"/>
  <c r="L8414" i="2"/>
  <c r="L8415" i="2"/>
  <c r="L8416" i="2"/>
  <c r="L8417" i="2"/>
  <c r="L8418" i="2"/>
  <c r="L8419" i="2"/>
  <c r="L8420" i="2"/>
  <c r="L8421" i="2"/>
  <c r="L8422" i="2"/>
  <c r="L8423" i="2"/>
  <c r="L8424" i="2"/>
  <c r="L8425" i="2"/>
  <c r="L8426" i="2"/>
  <c r="L8427" i="2"/>
  <c r="L8428" i="2"/>
  <c r="L8429" i="2"/>
  <c r="L8430" i="2"/>
  <c r="L8431" i="2"/>
  <c r="L8432" i="2"/>
  <c r="L8433" i="2"/>
  <c r="L8434" i="2"/>
  <c r="L8435" i="2"/>
  <c r="L8436" i="2"/>
  <c r="L8437" i="2"/>
  <c r="L8438" i="2"/>
  <c r="L8439" i="2"/>
  <c r="L8440" i="2"/>
  <c r="L8441" i="2"/>
  <c r="L8442" i="2"/>
  <c r="L8443" i="2"/>
  <c r="L8444" i="2"/>
  <c r="L8445" i="2"/>
  <c r="L8446" i="2"/>
  <c r="L8447" i="2"/>
  <c r="L8448" i="2"/>
  <c r="L8449" i="2"/>
  <c r="L8450" i="2"/>
  <c r="L8451" i="2"/>
  <c r="L8452" i="2"/>
  <c r="L8453" i="2"/>
  <c r="L8454" i="2"/>
  <c r="L8455" i="2"/>
  <c r="L8456" i="2"/>
  <c r="L8457" i="2"/>
  <c r="L8458" i="2"/>
  <c r="L8459" i="2"/>
  <c r="L8460" i="2"/>
  <c r="L8461" i="2"/>
  <c r="L8462" i="2"/>
  <c r="L8463" i="2"/>
  <c r="L8464" i="2"/>
  <c r="L8465" i="2"/>
  <c r="L8466" i="2"/>
  <c r="L8467" i="2"/>
  <c r="L8468" i="2"/>
  <c r="L8469" i="2"/>
  <c r="L8470" i="2"/>
  <c r="L8471" i="2"/>
  <c r="L8472" i="2"/>
  <c r="L8473" i="2"/>
  <c r="L8474" i="2"/>
  <c r="L8475" i="2"/>
  <c r="L8476" i="2"/>
  <c r="L8477" i="2"/>
  <c r="L8478" i="2"/>
  <c r="L8479" i="2"/>
  <c r="L8480" i="2"/>
  <c r="L8481" i="2"/>
  <c r="L8482" i="2"/>
  <c r="L8483" i="2"/>
  <c r="L8484" i="2"/>
  <c r="L8485" i="2"/>
  <c r="L8486" i="2"/>
  <c r="L8487" i="2"/>
  <c r="L8488" i="2"/>
  <c r="L8489" i="2"/>
  <c r="L8490" i="2"/>
  <c r="L8491" i="2"/>
  <c r="L8492" i="2"/>
  <c r="L8493" i="2"/>
  <c r="L8494" i="2"/>
  <c r="L8495" i="2"/>
  <c r="L8496" i="2"/>
  <c r="L8497" i="2"/>
  <c r="L8498" i="2"/>
  <c r="L8499" i="2"/>
  <c r="L8500" i="2"/>
  <c r="L8501" i="2"/>
  <c r="L8502" i="2"/>
  <c r="L8503" i="2"/>
  <c r="L8504" i="2"/>
  <c r="L8505" i="2"/>
  <c r="L8506" i="2"/>
  <c r="L8507" i="2"/>
  <c r="L8508" i="2"/>
  <c r="L8509" i="2"/>
  <c r="L8510" i="2"/>
  <c r="L8511" i="2"/>
  <c r="L8512" i="2"/>
  <c r="L8513" i="2"/>
  <c r="L8514" i="2"/>
  <c r="L8515" i="2"/>
  <c r="L8516" i="2"/>
  <c r="L8517" i="2"/>
  <c r="L8518" i="2"/>
  <c r="L8519" i="2"/>
  <c r="L8520" i="2"/>
  <c r="L8521" i="2"/>
  <c r="L8522" i="2"/>
  <c r="L8523" i="2"/>
  <c r="L8524" i="2"/>
  <c r="L8525" i="2"/>
  <c r="L8526" i="2"/>
  <c r="L8527" i="2"/>
  <c r="L8528" i="2"/>
  <c r="L8529" i="2"/>
  <c r="L8530" i="2"/>
  <c r="L8531" i="2"/>
  <c r="L8532" i="2"/>
  <c r="L8533" i="2"/>
  <c r="L8534" i="2"/>
  <c r="L8535" i="2"/>
  <c r="L8536" i="2"/>
  <c r="L8537" i="2"/>
  <c r="L8538" i="2"/>
  <c r="L8539" i="2"/>
  <c r="L8540" i="2"/>
  <c r="L8541" i="2"/>
  <c r="L8542" i="2"/>
  <c r="L8543" i="2"/>
  <c r="L8544" i="2"/>
  <c r="L8545" i="2"/>
  <c r="L8546" i="2"/>
  <c r="L8547" i="2"/>
  <c r="L8548" i="2"/>
  <c r="L8549" i="2"/>
  <c r="L8550" i="2"/>
  <c r="L8551" i="2"/>
  <c r="L8552" i="2"/>
  <c r="L8553" i="2"/>
  <c r="L8554" i="2"/>
  <c r="L8555" i="2"/>
  <c r="L8556" i="2"/>
  <c r="L8557" i="2"/>
  <c r="L8558" i="2"/>
  <c r="L8559" i="2"/>
  <c r="L8560" i="2"/>
  <c r="L8561" i="2"/>
  <c r="L8562" i="2"/>
  <c r="L8563" i="2"/>
  <c r="L8564" i="2"/>
  <c r="L8565" i="2"/>
  <c r="L8566" i="2"/>
  <c r="L8567" i="2"/>
  <c r="L8568" i="2"/>
  <c r="L8569" i="2"/>
  <c r="L8570" i="2"/>
  <c r="L8571" i="2"/>
  <c r="L8572" i="2"/>
  <c r="L8573" i="2"/>
  <c r="L8574" i="2"/>
  <c r="L8575" i="2"/>
  <c r="L8576" i="2"/>
  <c r="L8577" i="2"/>
  <c r="L8578" i="2"/>
  <c r="L8579" i="2"/>
  <c r="L8580" i="2"/>
  <c r="L8581" i="2"/>
  <c r="L8582" i="2"/>
  <c r="L8583" i="2"/>
  <c r="L8584" i="2"/>
  <c r="L8585" i="2"/>
  <c r="L8586" i="2"/>
  <c r="L8587" i="2"/>
  <c r="L8588" i="2"/>
  <c r="L8589" i="2"/>
  <c r="L8590" i="2"/>
  <c r="L8591" i="2"/>
  <c r="L8592" i="2"/>
  <c r="L8593" i="2"/>
  <c r="L8594" i="2"/>
  <c r="L8595" i="2"/>
  <c r="L8596" i="2"/>
  <c r="L8597" i="2"/>
  <c r="L8598" i="2"/>
  <c r="L8599" i="2"/>
  <c r="L8600" i="2"/>
  <c r="L8601" i="2"/>
  <c r="L8602" i="2"/>
  <c r="L8603" i="2"/>
  <c r="L8604" i="2"/>
  <c r="L8605" i="2"/>
  <c r="L8606" i="2"/>
  <c r="L8607" i="2"/>
  <c r="L8608" i="2"/>
  <c r="L8609" i="2"/>
  <c r="L8610" i="2"/>
  <c r="L8611" i="2"/>
  <c r="L8612" i="2"/>
  <c r="L8613" i="2"/>
  <c r="L8614" i="2"/>
  <c r="L8615" i="2"/>
  <c r="L8616" i="2"/>
  <c r="L8617" i="2"/>
  <c r="L8618" i="2"/>
  <c r="L8619" i="2"/>
  <c r="L8620" i="2"/>
  <c r="L8621" i="2"/>
  <c r="L8622" i="2"/>
  <c r="L8623" i="2"/>
  <c r="L8624" i="2"/>
  <c r="L8625" i="2"/>
  <c r="L8626" i="2"/>
  <c r="L8627" i="2"/>
  <c r="L8628" i="2"/>
  <c r="L8629" i="2"/>
  <c r="L8630" i="2"/>
  <c r="L8631" i="2"/>
  <c r="L8632" i="2"/>
  <c r="L8633" i="2"/>
  <c r="L8634" i="2"/>
  <c r="L8635" i="2"/>
  <c r="L8636" i="2"/>
  <c r="L8637" i="2"/>
  <c r="L8638" i="2"/>
  <c r="L8639" i="2"/>
  <c r="L8640" i="2"/>
  <c r="L8641" i="2"/>
  <c r="L8642" i="2"/>
  <c r="L8643" i="2"/>
  <c r="L8644" i="2"/>
  <c r="L8645" i="2"/>
  <c r="L8646" i="2"/>
  <c r="L8647" i="2"/>
  <c r="L8648" i="2"/>
  <c r="L8649" i="2"/>
  <c r="L8650" i="2"/>
  <c r="L8651" i="2"/>
  <c r="L8652" i="2"/>
  <c r="L8653" i="2"/>
  <c r="L8654" i="2"/>
  <c r="L8655" i="2"/>
  <c r="L8656" i="2"/>
  <c r="L8657" i="2"/>
  <c r="L8658" i="2"/>
  <c r="L8659" i="2"/>
  <c r="L8660" i="2"/>
  <c r="L8661" i="2"/>
  <c r="L8662" i="2"/>
  <c r="L8663" i="2"/>
  <c r="L8664" i="2"/>
  <c r="L8665" i="2"/>
  <c r="L8666" i="2"/>
  <c r="L8667" i="2"/>
  <c r="L8668" i="2"/>
  <c r="L8669" i="2"/>
  <c r="L8670" i="2"/>
  <c r="L8671" i="2"/>
  <c r="L8672" i="2"/>
  <c r="L8673" i="2"/>
  <c r="L8674" i="2"/>
  <c r="L8675" i="2"/>
  <c r="L8676" i="2"/>
  <c r="L8677" i="2"/>
  <c r="L8678" i="2"/>
  <c r="L8679" i="2"/>
  <c r="L8680" i="2"/>
  <c r="L8681" i="2"/>
  <c r="L8682" i="2"/>
  <c r="L8683" i="2"/>
  <c r="L8684" i="2"/>
  <c r="L8685" i="2"/>
  <c r="L8686" i="2"/>
  <c r="L8687" i="2"/>
  <c r="L8688" i="2"/>
  <c r="L8689" i="2"/>
  <c r="L8690" i="2"/>
  <c r="L8691" i="2"/>
  <c r="L8692" i="2"/>
  <c r="L8693" i="2"/>
  <c r="L8694" i="2"/>
  <c r="L8695" i="2"/>
  <c r="L8696" i="2"/>
  <c r="L8697" i="2"/>
  <c r="L8698" i="2"/>
  <c r="L8699" i="2"/>
  <c r="L8700" i="2"/>
  <c r="L8701" i="2"/>
  <c r="L8702" i="2"/>
  <c r="L8703" i="2"/>
  <c r="L8704" i="2"/>
  <c r="L8705" i="2"/>
  <c r="L8706" i="2"/>
  <c r="L8707" i="2"/>
  <c r="L8708" i="2"/>
  <c r="L8709" i="2"/>
  <c r="L8710" i="2"/>
  <c r="L8711" i="2"/>
  <c r="L8712" i="2"/>
  <c r="L8713" i="2"/>
  <c r="L8714" i="2"/>
  <c r="L8715" i="2"/>
  <c r="L8716" i="2"/>
  <c r="L8717" i="2"/>
  <c r="L8718" i="2"/>
  <c r="L8719" i="2"/>
  <c r="L8720" i="2"/>
  <c r="L8721" i="2"/>
  <c r="L8722" i="2"/>
  <c r="L8723" i="2"/>
  <c r="L8724" i="2"/>
  <c r="L8725" i="2"/>
  <c r="L8726" i="2"/>
  <c r="L8727" i="2"/>
  <c r="L8728" i="2"/>
  <c r="L8729" i="2"/>
  <c r="L8730" i="2"/>
  <c r="L8731" i="2"/>
  <c r="L8732" i="2"/>
  <c r="L8733" i="2"/>
  <c r="L8734" i="2"/>
  <c r="L8735" i="2"/>
  <c r="L8736" i="2"/>
  <c r="L8737" i="2"/>
  <c r="L8738" i="2"/>
  <c r="L8739" i="2"/>
  <c r="L8740" i="2"/>
  <c r="L8741" i="2"/>
  <c r="L8742" i="2"/>
  <c r="L8743" i="2"/>
  <c r="L8744" i="2"/>
  <c r="L8745" i="2"/>
  <c r="L8746" i="2"/>
  <c r="L8747" i="2"/>
  <c r="L8748" i="2"/>
  <c r="L8749" i="2"/>
  <c r="L8750" i="2"/>
  <c r="L8751" i="2"/>
  <c r="L8752" i="2"/>
  <c r="L8753" i="2"/>
  <c r="L8754" i="2"/>
  <c r="L8755" i="2"/>
  <c r="L8756" i="2"/>
  <c r="L8757" i="2"/>
  <c r="L8758" i="2"/>
  <c r="L8759" i="2"/>
  <c r="L8760" i="2"/>
  <c r="L8761" i="2"/>
  <c r="L8762" i="2"/>
  <c r="L8763" i="2"/>
  <c r="L8764" i="2"/>
  <c r="L8765" i="2"/>
  <c r="L8766" i="2"/>
  <c r="L8767" i="2"/>
  <c r="L8768" i="2"/>
  <c r="L8769" i="2"/>
  <c r="L8770" i="2"/>
  <c r="L8771" i="2"/>
  <c r="L8772" i="2"/>
  <c r="L8773" i="2"/>
  <c r="L8774" i="2"/>
  <c r="L8775" i="2"/>
  <c r="L8776" i="2"/>
  <c r="L8777" i="2"/>
  <c r="L8778" i="2"/>
  <c r="L8779" i="2"/>
  <c r="L8780" i="2"/>
  <c r="L8781" i="2"/>
  <c r="L8782" i="2"/>
  <c r="L8783" i="2"/>
  <c r="L8784" i="2"/>
  <c r="L8785" i="2"/>
  <c r="L8786" i="2"/>
  <c r="L8787" i="2"/>
  <c r="L8788" i="2"/>
  <c r="L8789" i="2"/>
  <c r="L8790" i="2"/>
  <c r="L8791" i="2"/>
  <c r="L8792" i="2"/>
  <c r="L8793" i="2"/>
  <c r="L8794" i="2"/>
  <c r="L8795" i="2"/>
  <c r="L8796" i="2"/>
  <c r="L8797" i="2"/>
  <c r="L8798" i="2"/>
  <c r="L8799" i="2"/>
  <c r="L8800" i="2"/>
  <c r="L8801" i="2"/>
  <c r="L8802" i="2"/>
  <c r="L8803" i="2"/>
  <c r="L8804" i="2"/>
  <c r="L8805" i="2"/>
  <c r="L8806" i="2"/>
  <c r="L8807" i="2"/>
  <c r="L8808" i="2"/>
  <c r="L8809" i="2"/>
  <c r="L8810" i="2"/>
  <c r="L8811" i="2"/>
  <c r="L8812" i="2"/>
  <c r="L8813" i="2"/>
  <c r="L8814" i="2"/>
  <c r="L8815" i="2"/>
  <c r="L8816" i="2"/>
  <c r="L8817" i="2"/>
  <c r="L8818" i="2"/>
  <c r="L8819" i="2"/>
  <c r="L8820" i="2"/>
  <c r="L8821" i="2"/>
  <c r="L8822" i="2"/>
  <c r="L8823" i="2"/>
  <c r="L8824" i="2"/>
  <c r="L8825" i="2"/>
  <c r="L8826" i="2"/>
  <c r="L8827" i="2"/>
  <c r="L8828" i="2"/>
  <c r="L8829" i="2"/>
  <c r="L8830" i="2"/>
  <c r="L8831" i="2"/>
  <c r="L8832" i="2"/>
  <c r="L8833" i="2"/>
  <c r="L8834" i="2"/>
  <c r="L8835" i="2"/>
  <c r="L8836" i="2"/>
  <c r="L8837" i="2"/>
  <c r="L8838" i="2"/>
  <c r="L8839" i="2"/>
  <c r="L8840" i="2"/>
  <c r="L8841" i="2"/>
  <c r="L8842" i="2"/>
  <c r="L8843" i="2"/>
  <c r="L8844" i="2"/>
  <c r="L8845" i="2"/>
  <c r="L8846" i="2"/>
  <c r="L8847" i="2"/>
  <c r="L8848" i="2"/>
  <c r="L8849" i="2"/>
  <c r="L8850" i="2"/>
  <c r="L8851" i="2"/>
  <c r="L8852" i="2"/>
  <c r="L8853" i="2"/>
  <c r="L8854" i="2"/>
  <c r="L8855" i="2"/>
  <c r="L8856" i="2"/>
  <c r="L8857" i="2"/>
  <c r="L8858" i="2"/>
  <c r="L8859" i="2"/>
  <c r="L8860" i="2"/>
  <c r="L8861" i="2"/>
  <c r="L8862" i="2"/>
  <c r="L8863" i="2"/>
  <c r="L8864" i="2"/>
  <c r="L8865" i="2"/>
  <c r="L8866" i="2"/>
  <c r="L8867" i="2"/>
  <c r="L8868" i="2"/>
  <c r="L8869" i="2"/>
  <c r="L8870" i="2"/>
  <c r="L8871" i="2"/>
  <c r="L8872" i="2"/>
  <c r="L8873" i="2"/>
  <c r="L8874" i="2"/>
  <c r="L8875" i="2"/>
  <c r="L8876" i="2"/>
  <c r="L8877" i="2"/>
  <c r="L8878" i="2"/>
  <c r="L8879" i="2"/>
  <c r="L8880" i="2"/>
  <c r="L8881" i="2"/>
  <c r="L8882" i="2"/>
  <c r="L8883" i="2"/>
  <c r="L8884" i="2"/>
  <c r="L8885" i="2"/>
  <c r="L8886" i="2"/>
  <c r="L8887" i="2"/>
  <c r="L8888" i="2"/>
  <c r="L8889" i="2"/>
  <c r="L8890" i="2"/>
  <c r="L8891" i="2"/>
  <c r="L8892" i="2"/>
  <c r="L8893" i="2"/>
  <c r="L8894" i="2"/>
  <c r="L8895" i="2"/>
  <c r="L8896" i="2"/>
  <c r="L8897" i="2"/>
  <c r="L8898" i="2"/>
  <c r="L8899" i="2"/>
  <c r="L8900" i="2"/>
  <c r="L8901" i="2"/>
  <c r="L8902" i="2"/>
  <c r="L8903" i="2"/>
  <c r="L8904" i="2"/>
  <c r="L8905" i="2"/>
  <c r="L8906" i="2"/>
  <c r="L8907" i="2"/>
  <c r="L8908" i="2"/>
  <c r="L8909" i="2"/>
  <c r="L8910" i="2"/>
  <c r="L8911" i="2"/>
  <c r="L8912" i="2"/>
  <c r="L8913" i="2"/>
  <c r="L8914" i="2"/>
  <c r="L8915" i="2"/>
  <c r="L8916" i="2"/>
  <c r="L8917" i="2"/>
  <c r="L8918" i="2"/>
  <c r="L8919" i="2"/>
  <c r="L8920" i="2"/>
  <c r="L8921" i="2"/>
  <c r="L8922" i="2"/>
  <c r="L8923" i="2"/>
  <c r="L8924" i="2"/>
  <c r="L8925" i="2"/>
  <c r="L8926" i="2"/>
  <c r="L8927" i="2"/>
  <c r="L8928" i="2"/>
  <c r="L8929" i="2"/>
  <c r="L8930" i="2"/>
  <c r="L8931" i="2"/>
  <c r="L8932" i="2"/>
  <c r="L8933" i="2"/>
  <c r="L8934" i="2"/>
  <c r="L8935" i="2"/>
  <c r="L8936" i="2"/>
  <c r="L8937" i="2"/>
  <c r="L8938" i="2"/>
  <c r="L8939" i="2"/>
  <c r="L8940" i="2"/>
  <c r="L8941" i="2"/>
  <c r="L8942" i="2"/>
  <c r="L8943" i="2"/>
  <c r="L8944" i="2"/>
  <c r="L8945" i="2"/>
  <c r="L8946" i="2"/>
  <c r="L8947" i="2"/>
  <c r="L8948" i="2"/>
  <c r="L8949" i="2"/>
  <c r="L8950" i="2"/>
  <c r="L8951" i="2"/>
  <c r="L8952" i="2"/>
  <c r="L8953" i="2"/>
  <c r="L8954" i="2"/>
  <c r="L8955" i="2"/>
  <c r="L8956" i="2"/>
  <c r="L8957" i="2"/>
  <c r="L8958" i="2"/>
  <c r="L8959" i="2"/>
  <c r="L8960" i="2"/>
  <c r="L8961" i="2"/>
  <c r="L8962" i="2"/>
  <c r="L8963" i="2"/>
  <c r="L8964" i="2"/>
  <c r="L8965" i="2"/>
  <c r="L8966" i="2"/>
  <c r="L8967" i="2"/>
  <c r="L8968" i="2"/>
  <c r="L8969" i="2"/>
  <c r="L8970" i="2"/>
  <c r="L8971" i="2"/>
  <c r="L8972" i="2"/>
  <c r="L8973" i="2"/>
  <c r="L8974" i="2"/>
  <c r="L8975" i="2"/>
  <c r="L8976" i="2"/>
  <c r="L8977" i="2"/>
  <c r="L8978" i="2"/>
  <c r="L8979" i="2"/>
  <c r="L8980" i="2"/>
  <c r="L8981" i="2"/>
  <c r="L8982" i="2"/>
  <c r="L8983" i="2"/>
  <c r="L8984" i="2"/>
  <c r="L8985" i="2"/>
  <c r="L8986" i="2"/>
  <c r="L8987" i="2"/>
  <c r="L8988" i="2"/>
  <c r="L8989" i="2"/>
  <c r="L8990" i="2"/>
  <c r="L8991" i="2"/>
  <c r="L8992" i="2"/>
  <c r="L8993" i="2"/>
  <c r="L8994" i="2"/>
  <c r="L8995" i="2"/>
  <c r="L8996" i="2"/>
  <c r="L8997" i="2"/>
  <c r="L8998" i="2"/>
  <c r="L8999" i="2"/>
  <c r="L9000" i="2"/>
  <c r="L9001" i="2"/>
  <c r="L9002" i="2"/>
  <c r="L9003" i="2"/>
  <c r="L9004" i="2"/>
  <c r="L9005" i="2"/>
  <c r="L9006" i="2"/>
  <c r="L9007" i="2"/>
  <c r="L9008" i="2"/>
  <c r="L9009" i="2"/>
  <c r="L9010" i="2"/>
  <c r="L9011" i="2"/>
  <c r="L9012" i="2"/>
  <c r="L9013" i="2"/>
  <c r="L9014" i="2"/>
  <c r="L9015" i="2"/>
  <c r="L9016" i="2"/>
  <c r="L9017" i="2"/>
  <c r="L9018" i="2"/>
  <c r="L9019" i="2"/>
  <c r="L9020" i="2"/>
  <c r="L9021" i="2"/>
  <c r="L9022" i="2"/>
  <c r="L9023" i="2"/>
  <c r="L9024" i="2"/>
  <c r="L9025" i="2"/>
  <c r="L9026" i="2"/>
  <c r="L9027" i="2"/>
  <c r="L9028" i="2"/>
  <c r="L9029" i="2"/>
  <c r="L9030" i="2"/>
  <c r="L9031" i="2"/>
  <c r="L9032" i="2"/>
  <c r="L9033" i="2"/>
  <c r="L9034" i="2"/>
  <c r="L9035" i="2"/>
  <c r="L9036" i="2"/>
  <c r="L9037" i="2"/>
  <c r="L9038" i="2"/>
  <c r="L9039" i="2"/>
  <c r="L9040" i="2"/>
  <c r="L9041" i="2"/>
  <c r="L9042" i="2"/>
  <c r="L9043" i="2"/>
  <c r="L9044" i="2"/>
  <c r="L9045" i="2"/>
  <c r="L9046" i="2"/>
  <c r="L9047" i="2"/>
  <c r="L9048" i="2"/>
  <c r="L9049" i="2"/>
  <c r="L9050" i="2"/>
  <c r="L9051" i="2"/>
  <c r="L9052" i="2"/>
  <c r="L9053" i="2"/>
  <c r="L9054" i="2"/>
  <c r="L9055" i="2"/>
  <c r="L9056" i="2"/>
  <c r="L9057" i="2"/>
  <c r="L9058" i="2"/>
  <c r="L9059" i="2"/>
  <c r="L9060" i="2"/>
  <c r="L9061" i="2"/>
  <c r="L9062" i="2"/>
  <c r="L9063" i="2"/>
  <c r="L9064" i="2"/>
  <c r="L9065" i="2"/>
  <c r="L9066" i="2"/>
  <c r="L9067" i="2"/>
  <c r="L9068" i="2"/>
  <c r="L9069" i="2"/>
  <c r="L9070" i="2"/>
  <c r="L9071" i="2"/>
  <c r="L9072" i="2"/>
  <c r="L9073" i="2"/>
  <c r="L9074" i="2"/>
  <c r="L9075" i="2"/>
  <c r="L9076" i="2"/>
  <c r="L9077" i="2"/>
  <c r="L9078" i="2"/>
  <c r="L9079" i="2"/>
  <c r="L9080" i="2"/>
  <c r="L9081" i="2"/>
  <c r="L9082" i="2"/>
  <c r="L9083" i="2"/>
  <c r="L9084" i="2"/>
  <c r="L9085" i="2"/>
  <c r="L9086" i="2"/>
  <c r="L9087" i="2"/>
  <c r="L9088" i="2"/>
  <c r="L9089" i="2"/>
  <c r="L9090" i="2"/>
  <c r="L9091" i="2"/>
  <c r="L9092" i="2"/>
  <c r="L9093" i="2"/>
  <c r="L9094" i="2"/>
  <c r="L9095" i="2"/>
  <c r="L9096" i="2"/>
  <c r="L9097" i="2"/>
  <c r="L9098" i="2"/>
  <c r="L9099" i="2"/>
  <c r="L9100" i="2"/>
  <c r="L9101" i="2"/>
  <c r="L9102" i="2"/>
  <c r="L9103" i="2"/>
  <c r="L9104" i="2"/>
  <c r="L9105" i="2"/>
  <c r="L9106" i="2"/>
  <c r="L9107" i="2"/>
  <c r="L9108" i="2"/>
  <c r="L9109" i="2"/>
  <c r="L9110" i="2"/>
  <c r="L9111" i="2"/>
  <c r="L9112" i="2"/>
  <c r="L9113" i="2"/>
  <c r="L9114" i="2"/>
  <c r="L9115" i="2"/>
  <c r="L9116" i="2"/>
  <c r="L9117" i="2"/>
  <c r="L9118" i="2"/>
  <c r="L9119" i="2"/>
  <c r="L9120" i="2"/>
  <c r="L9121" i="2"/>
  <c r="L9122" i="2"/>
  <c r="L9123" i="2"/>
  <c r="L9124" i="2"/>
  <c r="L9125" i="2"/>
  <c r="L9126" i="2"/>
  <c r="L9127" i="2"/>
  <c r="L9128" i="2"/>
  <c r="L9129" i="2"/>
  <c r="L9130" i="2"/>
  <c r="L9131" i="2"/>
  <c r="L9132" i="2"/>
  <c r="L9133" i="2"/>
  <c r="L9134" i="2"/>
  <c r="L9135" i="2"/>
  <c r="L9136" i="2"/>
  <c r="L9137" i="2"/>
  <c r="L9138" i="2"/>
  <c r="L9139" i="2"/>
  <c r="L9140" i="2"/>
  <c r="L9141" i="2"/>
  <c r="L9142" i="2"/>
  <c r="L9143" i="2"/>
  <c r="L9144" i="2"/>
  <c r="L9145" i="2"/>
  <c r="L9146" i="2"/>
  <c r="L9147" i="2"/>
  <c r="L9148" i="2"/>
  <c r="L9149" i="2"/>
  <c r="L9150" i="2"/>
  <c r="L9151" i="2"/>
  <c r="L9152" i="2"/>
  <c r="L9153" i="2"/>
  <c r="L9154" i="2"/>
  <c r="L9155" i="2"/>
  <c r="L9156" i="2"/>
  <c r="L9157" i="2"/>
  <c r="L9158" i="2"/>
  <c r="L9159" i="2"/>
  <c r="L9160" i="2"/>
  <c r="L9161" i="2"/>
  <c r="L9162" i="2"/>
  <c r="L9163" i="2"/>
  <c r="L9164" i="2"/>
  <c r="L9165" i="2"/>
  <c r="L9166" i="2"/>
  <c r="L9167" i="2"/>
  <c r="L9168" i="2"/>
  <c r="L9169" i="2"/>
  <c r="L9170" i="2"/>
  <c r="L9171" i="2"/>
  <c r="L9172" i="2"/>
  <c r="L9173" i="2"/>
  <c r="L9174" i="2"/>
  <c r="L9175" i="2"/>
  <c r="L9176" i="2"/>
  <c r="L9177" i="2"/>
  <c r="L9178" i="2"/>
  <c r="L9179" i="2"/>
  <c r="L9180" i="2"/>
  <c r="L9181" i="2"/>
  <c r="L9182" i="2"/>
  <c r="L9183" i="2"/>
  <c r="L9184" i="2"/>
  <c r="L9185" i="2"/>
  <c r="L9186" i="2"/>
  <c r="L9187" i="2"/>
  <c r="L9188" i="2"/>
  <c r="L9189" i="2"/>
  <c r="L9190" i="2"/>
  <c r="L9191" i="2"/>
  <c r="L9192" i="2"/>
  <c r="L9193" i="2"/>
  <c r="L9194" i="2"/>
  <c r="L9195" i="2"/>
  <c r="L9196" i="2"/>
  <c r="L9197" i="2"/>
  <c r="L9198" i="2"/>
  <c r="L9199" i="2"/>
  <c r="L9200" i="2"/>
  <c r="L9201" i="2"/>
  <c r="L9202" i="2"/>
  <c r="L9203" i="2"/>
  <c r="L9204" i="2"/>
  <c r="L9205" i="2"/>
  <c r="L9206" i="2"/>
  <c r="L9207" i="2"/>
  <c r="L9208" i="2"/>
  <c r="L9209" i="2"/>
  <c r="L9210" i="2"/>
  <c r="L9211" i="2"/>
  <c r="L9212" i="2"/>
  <c r="L9213" i="2"/>
  <c r="L9214" i="2"/>
  <c r="L9215" i="2"/>
  <c r="L9216" i="2"/>
  <c r="L9217" i="2"/>
  <c r="L9218" i="2"/>
  <c r="L9219" i="2"/>
  <c r="L9220" i="2"/>
  <c r="L9221" i="2"/>
  <c r="L9222" i="2"/>
  <c r="L9223" i="2"/>
  <c r="L9224" i="2"/>
  <c r="L9225" i="2"/>
  <c r="L9226" i="2"/>
  <c r="L9227" i="2"/>
  <c r="L9228" i="2"/>
  <c r="L9229" i="2"/>
  <c r="L9230" i="2"/>
  <c r="L9231" i="2"/>
  <c r="L9232" i="2"/>
  <c r="L9233" i="2"/>
  <c r="L9234" i="2"/>
  <c r="L9235" i="2"/>
  <c r="L9236" i="2"/>
  <c r="L9237" i="2"/>
  <c r="L9238" i="2"/>
  <c r="L9239" i="2"/>
  <c r="L9240" i="2"/>
  <c r="L9241" i="2"/>
  <c r="L9242" i="2"/>
  <c r="L9243" i="2"/>
  <c r="L9244" i="2"/>
  <c r="L9245" i="2"/>
  <c r="L9246" i="2"/>
  <c r="L9247" i="2"/>
  <c r="L9248" i="2"/>
  <c r="L9249" i="2"/>
  <c r="L9250" i="2"/>
  <c r="L9251" i="2"/>
  <c r="L9252" i="2"/>
  <c r="L9253" i="2"/>
  <c r="L9254" i="2"/>
  <c r="L9255" i="2"/>
  <c r="L9256" i="2"/>
  <c r="L9257" i="2"/>
  <c r="L9258" i="2"/>
  <c r="L9259" i="2"/>
  <c r="L9260" i="2"/>
  <c r="L9261" i="2"/>
  <c r="L9262" i="2"/>
  <c r="L9263" i="2"/>
  <c r="L9264" i="2"/>
  <c r="L9265" i="2"/>
  <c r="L9266" i="2"/>
  <c r="L9267" i="2"/>
  <c r="L9268" i="2"/>
  <c r="L9269" i="2"/>
  <c r="L9270" i="2"/>
  <c r="L9271" i="2"/>
  <c r="L9272" i="2"/>
  <c r="L9273" i="2"/>
  <c r="L9274" i="2"/>
  <c r="L9275" i="2"/>
  <c r="L9276" i="2"/>
  <c r="L9277" i="2"/>
  <c r="L9278" i="2"/>
  <c r="L9279" i="2"/>
  <c r="L9280" i="2"/>
  <c r="L9281" i="2"/>
  <c r="L9282" i="2"/>
  <c r="L9283" i="2"/>
  <c r="L9284" i="2"/>
  <c r="L9285" i="2"/>
  <c r="L9286" i="2"/>
  <c r="L9287" i="2"/>
  <c r="L9288" i="2"/>
  <c r="L9289" i="2"/>
  <c r="L9290" i="2"/>
  <c r="L9291" i="2"/>
  <c r="L9292" i="2"/>
  <c r="L9293" i="2"/>
  <c r="L9294" i="2"/>
  <c r="L9295" i="2"/>
  <c r="L9296" i="2"/>
  <c r="L9297" i="2"/>
  <c r="L9298" i="2"/>
  <c r="L9299" i="2"/>
  <c r="L9300" i="2"/>
  <c r="L9301" i="2"/>
  <c r="L9302" i="2"/>
  <c r="L9303" i="2"/>
  <c r="L9304" i="2"/>
  <c r="L9305" i="2"/>
  <c r="L9306" i="2"/>
  <c r="L9307" i="2"/>
  <c r="L9308" i="2"/>
  <c r="L9309" i="2"/>
  <c r="L9310" i="2"/>
  <c r="L9311" i="2"/>
  <c r="L9312" i="2"/>
  <c r="L9313" i="2"/>
  <c r="L9314" i="2"/>
  <c r="L9315" i="2"/>
  <c r="L9316" i="2"/>
  <c r="L9317" i="2"/>
  <c r="L9318" i="2"/>
  <c r="L9319" i="2"/>
  <c r="L9320" i="2"/>
  <c r="L9321" i="2"/>
  <c r="L9322" i="2"/>
  <c r="L9323" i="2"/>
  <c r="L9324" i="2"/>
  <c r="L9325" i="2"/>
  <c r="L9326" i="2"/>
  <c r="L9327" i="2"/>
  <c r="L9328" i="2"/>
  <c r="L9329" i="2"/>
  <c r="L9330" i="2"/>
  <c r="L9331" i="2"/>
  <c r="L9332" i="2"/>
  <c r="L9333" i="2"/>
  <c r="L9334" i="2"/>
  <c r="L9335" i="2"/>
  <c r="L9336" i="2"/>
  <c r="L9337" i="2"/>
  <c r="L9338" i="2"/>
  <c r="L9339" i="2"/>
  <c r="L9340" i="2"/>
  <c r="L9341" i="2"/>
  <c r="L9342" i="2"/>
  <c r="L9343" i="2"/>
  <c r="L9344" i="2"/>
  <c r="L9345" i="2"/>
  <c r="L9346" i="2"/>
  <c r="L9347" i="2"/>
  <c r="L9348" i="2"/>
  <c r="L9349" i="2"/>
  <c r="L9350" i="2"/>
  <c r="L9351" i="2"/>
  <c r="L9352" i="2"/>
  <c r="L9353" i="2"/>
  <c r="L9354" i="2"/>
  <c r="L9355" i="2"/>
  <c r="L9356" i="2"/>
  <c r="L9357" i="2"/>
  <c r="L9358" i="2"/>
  <c r="L9359" i="2"/>
  <c r="L9360" i="2"/>
  <c r="L9361" i="2"/>
  <c r="L9362" i="2"/>
  <c r="L9363" i="2"/>
  <c r="L9364" i="2"/>
  <c r="L9365" i="2"/>
  <c r="L9366" i="2"/>
  <c r="L9367" i="2"/>
  <c r="L9368" i="2"/>
  <c r="L9369" i="2"/>
  <c r="L9370" i="2"/>
  <c r="L9371" i="2"/>
  <c r="L9372" i="2"/>
  <c r="L9373" i="2"/>
  <c r="L9374" i="2"/>
  <c r="L9375" i="2"/>
  <c r="L9376" i="2"/>
  <c r="L9377" i="2"/>
  <c r="L9378" i="2"/>
  <c r="L9379" i="2"/>
  <c r="L9380" i="2"/>
  <c r="L9381" i="2"/>
  <c r="L9382" i="2"/>
  <c r="L9383" i="2"/>
  <c r="L9384" i="2"/>
  <c r="L9385" i="2"/>
  <c r="L9386" i="2"/>
  <c r="L9387" i="2"/>
  <c r="L9388" i="2"/>
  <c r="L9389" i="2"/>
  <c r="L9390" i="2"/>
  <c r="L9391" i="2"/>
  <c r="L9392" i="2"/>
  <c r="L9393" i="2"/>
  <c r="L9394" i="2"/>
  <c r="L9395" i="2"/>
  <c r="L9396" i="2"/>
  <c r="L9397" i="2"/>
  <c r="L9398" i="2"/>
  <c r="L9399" i="2"/>
  <c r="L9400" i="2"/>
  <c r="L9401" i="2"/>
  <c r="L9402" i="2"/>
  <c r="L9403" i="2"/>
  <c r="L9404" i="2"/>
  <c r="L9405" i="2"/>
  <c r="L9406" i="2"/>
  <c r="L9407" i="2"/>
  <c r="L9408" i="2"/>
  <c r="L9409" i="2"/>
  <c r="L9410" i="2"/>
  <c r="L9411" i="2"/>
  <c r="L9412" i="2"/>
  <c r="L9413" i="2"/>
  <c r="L9414" i="2"/>
  <c r="L9415" i="2"/>
  <c r="L9416" i="2"/>
  <c r="L9417" i="2"/>
  <c r="L9418" i="2"/>
  <c r="L9419" i="2"/>
  <c r="L9420" i="2"/>
  <c r="L9421" i="2"/>
  <c r="L9422" i="2"/>
  <c r="L9423" i="2"/>
  <c r="L9424" i="2"/>
  <c r="L9425" i="2"/>
  <c r="L9426" i="2"/>
  <c r="L9427" i="2"/>
  <c r="L9428" i="2"/>
  <c r="L9429" i="2"/>
  <c r="L9430" i="2"/>
  <c r="L9431" i="2"/>
  <c r="L9432" i="2"/>
  <c r="L9433" i="2"/>
  <c r="L9434" i="2"/>
  <c r="L9435" i="2"/>
  <c r="L9436" i="2"/>
  <c r="L9437" i="2"/>
  <c r="L9438" i="2"/>
  <c r="L9439" i="2"/>
  <c r="L9440" i="2"/>
  <c r="L9441" i="2"/>
  <c r="L9442" i="2"/>
  <c r="L9443" i="2"/>
  <c r="L9444" i="2"/>
  <c r="L9445" i="2"/>
  <c r="L9446" i="2"/>
  <c r="L9447" i="2"/>
  <c r="L9448" i="2"/>
  <c r="L9449" i="2"/>
  <c r="L9450" i="2"/>
  <c r="L9451" i="2"/>
  <c r="L9452" i="2"/>
  <c r="L9453" i="2"/>
  <c r="L9454" i="2"/>
  <c r="L9455" i="2"/>
  <c r="L9456" i="2"/>
  <c r="L9457" i="2"/>
  <c r="L9458" i="2"/>
  <c r="L9459" i="2"/>
  <c r="L9460" i="2"/>
  <c r="L9461" i="2"/>
  <c r="L9462" i="2"/>
  <c r="L9463" i="2"/>
  <c r="L9464" i="2"/>
  <c r="L9465" i="2"/>
  <c r="L9466" i="2"/>
  <c r="L9467" i="2"/>
  <c r="L9468" i="2"/>
  <c r="L9469" i="2"/>
  <c r="L9470" i="2"/>
  <c r="L9471" i="2"/>
  <c r="L9472" i="2"/>
  <c r="L9473" i="2"/>
  <c r="L9474" i="2"/>
  <c r="L9475" i="2"/>
  <c r="L9476" i="2"/>
  <c r="L9477" i="2"/>
  <c r="L9478" i="2"/>
  <c r="L9479" i="2"/>
  <c r="L9480" i="2"/>
  <c r="L9481" i="2"/>
  <c r="L9482" i="2"/>
  <c r="L9483" i="2"/>
  <c r="L9484" i="2"/>
  <c r="L9485" i="2"/>
  <c r="L9486" i="2"/>
  <c r="L9487" i="2"/>
  <c r="L9488" i="2"/>
  <c r="L9489" i="2"/>
  <c r="L9490" i="2"/>
  <c r="L9491" i="2"/>
  <c r="L9492" i="2"/>
  <c r="L9493" i="2"/>
  <c r="L9494" i="2"/>
  <c r="L9495" i="2"/>
  <c r="L9496" i="2"/>
  <c r="L9497" i="2"/>
  <c r="L9498" i="2"/>
  <c r="L9499" i="2"/>
  <c r="L9500" i="2"/>
  <c r="L9501" i="2"/>
  <c r="L9502" i="2"/>
  <c r="L9503" i="2"/>
  <c r="L9504" i="2"/>
  <c r="L9505" i="2"/>
  <c r="L9506" i="2"/>
  <c r="L9507" i="2"/>
  <c r="L9508" i="2"/>
  <c r="L9509" i="2"/>
  <c r="L9510" i="2"/>
  <c r="L9511" i="2"/>
  <c r="L9512" i="2"/>
  <c r="L9513" i="2"/>
  <c r="L9514" i="2"/>
  <c r="L9515" i="2"/>
  <c r="L9516" i="2"/>
  <c r="L9517" i="2"/>
  <c r="L9518" i="2"/>
  <c r="L9519" i="2"/>
  <c r="L9520" i="2"/>
  <c r="L9521" i="2"/>
  <c r="L9522" i="2"/>
  <c r="L9523" i="2"/>
  <c r="L9524" i="2"/>
  <c r="L9525" i="2"/>
  <c r="L9526" i="2"/>
  <c r="L9527" i="2"/>
  <c r="L9528" i="2"/>
  <c r="L9529" i="2"/>
  <c r="L9530" i="2"/>
  <c r="L9531" i="2"/>
  <c r="L9532" i="2"/>
  <c r="L9533" i="2"/>
  <c r="L9534" i="2"/>
  <c r="L9535" i="2"/>
  <c r="L9536" i="2"/>
  <c r="L9537" i="2"/>
  <c r="L9538" i="2"/>
  <c r="L9539" i="2"/>
  <c r="L9540" i="2"/>
  <c r="L9541" i="2"/>
  <c r="L9542" i="2"/>
  <c r="L9543" i="2"/>
  <c r="L9544" i="2"/>
  <c r="L9545" i="2"/>
  <c r="L9546" i="2"/>
  <c r="L9547" i="2"/>
  <c r="L9548" i="2"/>
  <c r="L9549" i="2"/>
  <c r="L9550" i="2"/>
  <c r="L9551" i="2"/>
  <c r="L9552" i="2"/>
  <c r="L9553" i="2"/>
  <c r="L9554" i="2"/>
  <c r="L9555" i="2"/>
  <c r="L9556" i="2"/>
  <c r="L9557" i="2"/>
  <c r="L9558" i="2"/>
  <c r="L9559" i="2"/>
  <c r="L9560" i="2"/>
  <c r="L9561" i="2"/>
  <c r="L9562" i="2"/>
  <c r="L9563" i="2"/>
  <c r="L9564" i="2"/>
  <c r="L9565" i="2"/>
  <c r="L9566" i="2"/>
  <c r="L9567" i="2"/>
  <c r="L9568" i="2"/>
  <c r="L9569" i="2"/>
  <c r="L9570" i="2"/>
  <c r="L9571" i="2"/>
  <c r="L9572" i="2"/>
  <c r="L9573" i="2"/>
  <c r="L9574" i="2"/>
  <c r="L9575" i="2"/>
  <c r="L9576" i="2"/>
  <c r="L9577" i="2"/>
  <c r="L9578" i="2"/>
  <c r="L9579" i="2"/>
  <c r="L9580" i="2"/>
  <c r="L9581" i="2"/>
  <c r="L9582" i="2"/>
  <c r="L9583" i="2"/>
  <c r="L9584" i="2"/>
  <c r="L9585" i="2"/>
  <c r="L9586" i="2"/>
  <c r="L9587" i="2"/>
  <c r="L9588" i="2"/>
  <c r="L9589" i="2"/>
  <c r="L9590" i="2"/>
  <c r="L9591" i="2"/>
  <c r="L9592" i="2"/>
  <c r="L9593" i="2"/>
  <c r="L9594" i="2"/>
  <c r="L9595" i="2"/>
  <c r="L9596" i="2"/>
  <c r="L9597" i="2"/>
  <c r="L9598" i="2"/>
  <c r="L9599" i="2"/>
  <c r="L9600" i="2"/>
  <c r="L9601" i="2"/>
  <c r="L9602" i="2"/>
  <c r="L9603" i="2"/>
  <c r="L9604" i="2"/>
  <c r="L9605" i="2"/>
  <c r="L9606" i="2"/>
  <c r="L9607" i="2"/>
  <c r="L9608" i="2"/>
  <c r="L9609" i="2"/>
  <c r="L9610" i="2"/>
  <c r="L9611" i="2"/>
  <c r="L9612" i="2"/>
  <c r="L9613" i="2"/>
  <c r="L9614" i="2"/>
  <c r="L9615" i="2"/>
  <c r="L9616" i="2"/>
  <c r="L9617" i="2"/>
  <c r="L9618" i="2"/>
  <c r="L9619" i="2"/>
  <c r="L9620" i="2"/>
  <c r="L9621" i="2"/>
  <c r="L9622" i="2"/>
  <c r="L9623" i="2"/>
  <c r="L9624" i="2"/>
  <c r="L9625" i="2"/>
  <c r="L9626" i="2"/>
  <c r="L9627" i="2"/>
  <c r="L9628" i="2"/>
  <c r="L9629" i="2"/>
  <c r="L9630" i="2"/>
  <c r="L9631" i="2"/>
  <c r="L9632" i="2"/>
  <c r="L9633" i="2"/>
  <c r="L9634" i="2"/>
  <c r="L9635" i="2"/>
  <c r="L9636" i="2"/>
  <c r="L9637" i="2"/>
  <c r="L9638" i="2"/>
  <c r="L9639" i="2"/>
  <c r="L9640" i="2"/>
  <c r="L9641" i="2"/>
  <c r="L9642" i="2"/>
  <c r="L9643" i="2"/>
  <c r="L9644" i="2"/>
  <c r="L9645" i="2"/>
  <c r="L9646" i="2"/>
  <c r="L9647" i="2"/>
  <c r="L9648" i="2"/>
  <c r="L9649" i="2"/>
  <c r="L9650" i="2"/>
  <c r="L9651" i="2"/>
  <c r="L9652" i="2"/>
  <c r="L9653" i="2"/>
  <c r="L9654" i="2"/>
  <c r="L9655" i="2"/>
  <c r="L9656" i="2"/>
  <c r="L9657" i="2"/>
  <c r="L9658" i="2"/>
  <c r="L9659" i="2"/>
  <c r="L9660" i="2"/>
  <c r="L9661" i="2"/>
  <c r="L9662" i="2"/>
  <c r="L9663" i="2"/>
  <c r="L9664" i="2"/>
  <c r="L9665" i="2"/>
  <c r="L9666" i="2"/>
  <c r="L9667" i="2"/>
  <c r="L9668" i="2"/>
  <c r="L9669" i="2"/>
  <c r="L9670" i="2"/>
  <c r="L9671" i="2"/>
  <c r="L9672" i="2"/>
  <c r="L9673" i="2"/>
  <c r="L9674" i="2"/>
  <c r="L9675" i="2"/>
  <c r="L9676" i="2"/>
  <c r="L9677" i="2"/>
  <c r="L9678" i="2"/>
  <c r="L9679" i="2"/>
  <c r="L9680" i="2"/>
  <c r="L9681" i="2"/>
  <c r="L9682" i="2"/>
  <c r="L9683" i="2"/>
  <c r="L9684" i="2"/>
  <c r="L9685" i="2"/>
  <c r="L9686" i="2"/>
  <c r="L9687" i="2"/>
  <c r="L9688" i="2"/>
  <c r="L9689" i="2"/>
  <c r="L9690" i="2"/>
  <c r="L9691" i="2"/>
  <c r="L9692" i="2"/>
  <c r="L9693" i="2"/>
  <c r="L9694" i="2"/>
  <c r="L9695" i="2"/>
  <c r="L9696" i="2"/>
  <c r="L9697" i="2"/>
  <c r="L9698" i="2"/>
  <c r="L9699" i="2"/>
  <c r="L9700" i="2"/>
  <c r="L9701" i="2"/>
  <c r="L9702" i="2"/>
  <c r="L9703" i="2"/>
  <c r="L9704" i="2"/>
  <c r="L9705" i="2"/>
  <c r="L9706" i="2"/>
  <c r="L9707" i="2"/>
  <c r="L9708" i="2"/>
  <c r="L9709" i="2"/>
  <c r="L9710" i="2"/>
  <c r="L9711" i="2"/>
  <c r="L9712" i="2"/>
  <c r="L9713" i="2"/>
  <c r="L9714" i="2"/>
  <c r="L9715" i="2"/>
  <c r="L9716" i="2"/>
  <c r="L9717" i="2"/>
  <c r="L9718" i="2"/>
  <c r="L9719" i="2"/>
  <c r="L9720" i="2"/>
  <c r="L9721" i="2"/>
  <c r="L9722" i="2"/>
  <c r="L9723" i="2"/>
  <c r="L9724" i="2"/>
  <c r="L9725" i="2"/>
  <c r="L9726" i="2"/>
  <c r="L9727" i="2"/>
  <c r="L9728" i="2"/>
  <c r="L9729" i="2"/>
  <c r="L9730" i="2"/>
  <c r="L9731" i="2"/>
  <c r="L9732" i="2"/>
  <c r="L9733" i="2"/>
  <c r="L9734" i="2"/>
  <c r="L9735" i="2"/>
  <c r="L9736" i="2"/>
  <c r="L9737" i="2"/>
  <c r="L9738" i="2"/>
  <c r="L9739" i="2"/>
  <c r="L9740" i="2"/>
  <c r="L9741" i="2"/>
  <c r="L9742" i="2"/>
  <c r="L9743" i="2"/>
  <c r="L9744" i="2"/>
  <c r="L9745" i="2"/>
  <c r="L9746" i="2"/>
  <c r="L9747" i="2"/>
  <c r="L9748" i="2"/>
  <c r="L9749" i="2"/>
  <c r="L9750" i="2"/>
  <c r="L9751" i="2"/>
  <c r="L9752" i="2"/>
  <c r="L9753" i="2"/>
  <c r="L9754" i="2"/>
  <c r="L9755" i="2"/>
  <c r="L9756" i="2"/>
  <c r="L9757" i="2"/>
  <c r="L9758" i="2"/>
  <c r="L9759" i="2"/>
  <c r="L9760" i="2"/>
  <c r="L9761" i="2"/>
  <c r="L9762" i="2"/>
  <c r="L9763" i="2"/>
  <c r="L9764" i="2"/>
  <c r="L9765" i="2"/>
  <c r="L9766" i="2"/>
  <c r="L9767" i="2"/>
  <c r="L9768" i="2"/>
  <c r="L9769" i="2"/>
  <c r="L9770" i="2"/>
  <c r="L9771" i="2"/>
  <c r="L9772" i="2"/>
  <c r="L9773" i="2"/>
  <c r="L9774" i="2"/>
  <c r="L9775" i="2"/>
  <c r="L9776" i="2"/>
  <c r="L9777" i="2"/>
  <c r="L9778" i="2"/>
  <c r="L9779" i="2"/>
  <c r="L9780" i="2"/>
  <c r="L9781" i="2"/>
  <c r="L9782" i="2"/>
  <c r="L9783" i="2"/>
  <c r="L9784" i="2"/>
  <c r="L9785" i="2"/>
  <c r="L9786" i="2"/>
  <c r="L9787" i="2"/>
  <c r="L9788" i="2"/>
  <c r="L9789" i="2"/>
  <c r="L9790" i="2"/>
  <c r="L9791" i="2"/>
  <c r="L9792" i="2"/>
  <c r="L9793" i="2"/>
  <c r="L9794" i="2"/>
  <c r="L9795" i="2"/>
  <c r="L9796" i="2"/>
  <c r="L9797" i="2"/>
  <c r="L9798" i="2"/>
  <c r="L9799" i="2"/>
  <c r="L9800" i="2"/>
  <c r="L9801" i="2"/>
  <c r="L9802" i="2"/>
  <c r="L9803" i="2"/>
  <c r="L9804" i="2"/>
  <c r="L9805" i="2"/>
  <c r="L9806" i="2"/>
  <c r="L9807" i="2"/>
  <c r="L9808" i="2"/>
  <c r="L9809" i="2"/>
  <c r="L9810" i="2"/>
  <c r="L9811" i="2"/>
  <c r="L9812" i="2"/>
  <c r="L9813" i="2"/>
  <c r="L9814" i="2"/>
  <c r="L9815" i="2"/>
  <c r="L9816" i="2"/>
  <c r="L9817" i="2"/>
  <c r="L9818" i="2"/>
  <c r="L9819" i="2"/>
  <c r="L9820" i="2"/>
  <c r="L9821" i="2"/>
  <c r="L9822" i="2"/>
  <c r="L9823" i="2"/>
  <c r="L9824" i="2"/>
  <c r="L9825" i="2"/>
  <c r="L9826" i="2"/>
  <c r="L9827" i="2"/>
  <c r="L9828" i="2"/>
  <c r="L9829" i="2"/>
  <c r="L9830" i="2"/>
  <c r="L9831" i="2"/>
  <c r="L9832" i="2"/>
  <c r="L9833" i="2"/>
  <c r="L9834" i="2"/>
  <c r="L9835" i="2"/>
  <c r="L9836" i="2"/>
  <c r="L9837" i="2"/>
  <c r="L9838" i="2"/>
  <c r="L9839" i="2"/>
  <c r="L9840" i="2"/>
  <c r="L9841" i="2"/>
  <c r="L9842" i="2"/>
  <c r="L9843" i="2"/>
  <c r="L9844" i="2"/>
  <c r="L9845" i="2"/>
  <c r="L9846" i="2"/>
  <c r="L9847" i="2"/>
  <c r="L9848" i="2"/>
  <c r="L9849" i="2"/>
  <c r="L9850" i="2"/>
  <c r="L9851" i="2"/>
  <c r="L9852" i="2"/>
  <c r="L9853" i="2"/>
  <c r="L9854" i="2"/>
  <c r="L9855" i="2"/>
  <c r="L9856" i="2"/>
  <c r="L9857" i="2"/>
  <c r="L9858" i="2"/>
  <c r="L9859" i="2"/>
  <c r="L9860" i="2"/>
  <c r="L9861" i="2"/>
  <c r="L9862" i="2"/>
  <c r="L9863" i="2"/>
  <c r="L9864" i="2"/>
  <c r="L9865" i="2"/>
  <c r="L9866" i="2"/>
  <c r="L9867" i="2"/>
  <c r="L9868" i="2"/>
  <c r="L9869" i="2"/>
  <c r="L9870" i="2"/>
  <c r="L9871" i="2"/>
  <c r="L9872" i="2"/>
  <c r="L9873" i="2"/>
  <c r="L9874" i="2"/>
  <c r="L9875" i="2"/>
  <c r="L9876" i="2"/>
  <c r="L9877" i="2"/>
  <c r="L9878" i="2"/>
  <c r="L9879" i="2"/>
  <c r="L9880" i="2"/>
  <c r="L9881" i="2"/>
  <c r="L9882" i="2"/>
  <c r="L9883" i="2"/>
  <c r="L9884" i="2"/>
  <c r="L9885" i="2"/>
  <c r="L9886" i="2"/>
  <c r="L9887" i="2"/>
  <c r="L9888" i="2"/>
  <c r="L9889" i="2"/>
  <c r="L9890" i="2"/>
  <c r="L9891" i="2"/>
  <c r="L9892" i="2"/>
  <c r="L9893" i="2"/>
  <c r="L9894" i="2"/>
  <c r="L9895" i="2"/>
  <c r="L9896" i="2"/>
  <c r="L9897" i="2"/>
  <c r="L9898" i="2"/>
  <c r="L9899" i="2"/>
  <c r="L9900" i="2"/>
  <c r="L9901" i="2"/>
  <c r="L9902" i="2"/>
  <c r="L9903" i="2"/>
  <c r="L9904" i="2"/>
  <c r="L9905" i="2"/>
  <c r="L9906" i="2"/>
  <c r="L9907" i="2"/>
  <c r="L9908" i="2"/>
  <c r="L9909" i="2"/>
  <c r="L9910" i="2"/>
  <c r="L9911" i="2"/>
  <c r="L9912" i="2"/>
  <c r="L9913" i="2"/>
  <c r="L9914" i="2"/>
  <c r="L9915" i="2"/>
  <c r="L9916" i="2"/>
  <c r="L9917" i="2"/>
  <c r="L9918" i="2"/>
  <c r="L9919" i="2"/>
  <c r="L9920" i="2"/>
  <c r="L9921" i="2"/>
  <c r="L9922" i="2"/>
  <c r="L9923" i="2"/>
  <c r="L9924" i="2"/>
  <c r="L9925" i="2"/>
  <c r="L9926" i="2"/>
  <c r="L9927" i="2"/>
  <c r="L9928" i="2"/>
  <c r="L9929" i="2"/>
  <c r="L9930" i="2"/>
  <c r="L9931" i="2"/>
  <c r="L9932" i="2"/>
  <c r="L9933" i="2"/>
  <c r="L9934" i="2"/>
  <c r="L9935" i="2"/>
  <c r="L9936" i="2"/>
  <c r="L9937" i="2"/>
  <c r="L9938" i="2"/>
  <c r="L9939" i="2"/>
  <c r="L9940" i="2"/>
  <c r="L9941" i="2"/>
  <c r="L9942" i="2"/>
  <c r="L9943" i="2"/>
  <c r="L9944" i="2"/>
  <c r="L9945" i="2"/>
  <c r="L9946" i="2"/>
  <c r="L9947" i="2"/>
  <c r="L9948" i="2"/>
  <c r="L9949" i="2"/>
  <c r="L9950" i="2"/>
  <c r="L9951" i="2"/>
  <c r="L9952" i="2"/>
  <c r="L9953" i="2"/>
  <c r="L9954" i="2"/>
  <c r="L9955" i="2"/>
  <c r="L9956" i="2"/>
  <c r="L9957" i="2"/>
  <c r="L9958" i="2"/>
  <c r="L9959" i="2"/>
  <c r="L9960" i="2"/>
  <c r="L9961" i="2"/>
  <c r="L9962" i="2"/>
  <c r="L9963" i="2"/>
  <c r="L9964" i="2"/>
  <c r="L9965" i="2"/>
  <c r="L9966" i="2"/>
  <c r="L9967" i="2"/>
  <c r="L9968" i="2"/>
  <c r="L9969" i="2"/>
  <c r="L9970" i="2"/>
  <c r="L9971" i="2"/>
  <c r="L9972" i="2"/>
  <c r="L9973" i="2"/>
  <c r="L9974" i="2"/>
  <c r="L9975" i="2"/>
  <c r="L9976" i="2"/>
  <c r="L9977" i="2"/>
  <c r="L9978" i="2"/>
  <c r="L9979" i="2"/>
  <c r="L9980" i="2"/>
  <c r="L9981" i="2"/>
  <c r="L9982" i="2"/>
  <c r="L9983" i="2"/>
  <c r="L9984" i="2"/>
  <c r="L9985" i="2"/>
  <c r="L9986" i="2"/>
  <c r="L9987" i="2"/>
  <c r="L9988" i="2"/>
  <c r="L9989" i="2"/>
  <c r="L9990" i="2"/>
  <c r="L9991" i="2"/>
  <c r="L9992" i="2"/>
  <c r="L9993" i="2"/>
  <c r="L9994" i="2"/>
  <c r="L9995" i="2"/>
  <c r="L9996" i="2"/>
  <c r="L9997" i="2"/>
  <c r="L9998" i="2"/>
  <c r="L9999" i="2"/>
  <c r="L10000" i="2"/>
  <c r="L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8" i="2"/>
  <c r="F219" i="2"/>
  <c r="F220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7" i="2"/>
  <c r="F238" i="2"/>
  <c r="F239" i="2"/>
  <c r="F240" i="2"/>
  <c r="F241" i="2"/>
  <c r="F242" i="2"/>
  <c r="F243" i="2"/>
  <c r="F244" i="2"/>
  <c r="F245" i="2"/>
  <c r="F246" i="2"/>
  <c r="F247" i="2"/>
  <c r="F248" i="2"/>
  <c r="F249" i="2"/>
  <c r="F250" i="2"/>
  <c r="F251" i="2"/>
  <c r="F252" i="2"/>
  <c r="F253" i="2"/>
  <c r="F254" i="2"/>
  <c r="F255" i="2"/>
  <c r="F256" i="2"/>
  <c r="F257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8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79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414" i="2"/>
  <c r="F415" i="2"/>
  <c r="F416" i="2"/>
  <c r="F417" i="2"/>
  <c r="F418" i="2"/>
  <c r="F419" i="2"/>
  <c r="F420" i="2"/>
  <c r="F421" i="2"/>
  <c r="F422" i="2"/>
  <c r="F423" i="2"/>
  <c r="F424" i="2"/>
  <c r="F425" i="2"/>
  <c r="F426" i="2"/>
  <c r="F427" i="2"/>
  <c r="F428" i="2"/>
  <c r="F429" i="2"/>
  <c r="F430" i="2"/>
  <c r="F431" i="2"/>
  <c r="F432" i="2"/>
  <c r="F433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49" i="2"/>
  <c r="F450" i="2"/>
  <c r="F451" i="2"/>
  <c r="F452" i="2"/>
  <c r="F453" i="2"/>
  <c r="F454" i="2"/>
  <c r="F455" i="2"/>
  <c r="F456" i="2"/>
  <c r="F457" i="2"/>
  <c r="F458" i="2"/>
  <c r="F459" i="2"/>
  <c r="F460" i="2"/>
  <c r="F461" i="2"/>
  <c r="F462" i="2"/>
  <c r="F463" i="2"/>
  <c r="F464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478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501" i="2"/>
  <c r="F502" i="2"/>
  <c r="F503" i="2"/>
  <c r="F504" i="2"/>
  <c r="F505" i="2"/>
  <c r="F506" i="2"/>
  <c r="F507" i="2"/>
  <c r="F508" i="2"/>
  <c r="F509" i="2"/>
  <c r="F510" i="2"/>
  <c r="F511" i="2"/>
  <c r="F512" i="2"/>
  <c r="F513" i="2"/>
  <c r="F514" i="2"/>
  <c r="F515" i="2"/>
  <c r="F516" i="2"/>
  <c r="F517" i="2"/>
  <c r="F518" i="2"/>
  <c r="F519" i="2"/>
  <c r="F520" i="2"/>
  <c r="F521" i="2"/>
  <c r="F522" i="2"/>
  <c r="F523" i="2"/>
  <c r="F524" i="2"/>
  <c r="F525" i="2"/>
  <c r="F526" i="2"/>
  <c r="F527" i="2"/>
  <c r="F528" i="2"/>
  <c r="F529" i="2"/>
  <c r="F530" i="2"/>
  <c r="F531" i="2"/>
  <c r="F532" i="2"/>
  <c r="F533" i="2"/>
  <c r="F534" i="2"/>
  <c r="F535" i="2"/>
  <c r="F536" i="2"/>
  <c r="F537" i="2"/>
  <c r="F538" i="2"/>
  <c r="F539" i="2"/>
  <c r="F540" i="2"/>
  <c r="F541" i="2"/>
  <c r="F542" i="2"/>
  <c r="F543" i="2"/>
  <c r="F544" i="2"/>
  <c r="F545" i="2"/>
  <c r="F546" i="2"/>
  <c r="F547" i="2"/>
  <c r="F548" i="2"/>
  <c r="F549" i="2"/>
  <c r="F550" i="2"/>
  <c r="F551" i="2"/>
  <c r="F552" i="2"/>
  <c r="F553" i="2"/>
  <c r="F554" i="2"/>
  <c r="F555" i="2"/>
  <c r="F556" i="2"/>
  <c r="F557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F588" i="2"/>
  <c r="F589" i="2"/>
  <c r="F590" i="2"/>
  <c r="F591" i="2"/>
  <c r="F592" i="2"/>
  <c r="F593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714" i="2"/>
  <c r="F715" i="2"/>
  <c r="F716" i="2"/>
  <c r="F717" i="2"/>
  <c r="F718" i="2"/>
  <c r="F719" i="2"/>
  <c r="F720" i="2"/>
  <c r="F721" i="2"/>
  <c r="F722" i="2"/>
  <c r="F723" i="2"/>
  <c r="F724" i="2"/>
  <c r="F725" i="2"/>
  <c r="F726" i="2"/>
  <c r="F727" i="2"/>
  <c r="F728" i="2"/>
  <c r="F729" i="2"/>
  <c r="F730" i="2"/>
  <c r="F731" i="2"/>
  <c r="F732" i="2"/>
  <c r="F733" i="2"/>
  <c r="F734" i="2"/>
  <c r="F735" i="2"/>
  <c r="F736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49" i="2"/>
  <c r="F750" i="2"/>
  <c r="F751" i="2"/>
  <c r="F752" i="2"/>
  <c r="F753" i="2"/>
  <c r="F754" i="2"/>
  <c r="F755" i="2"/>
  <c r="F756" i="2"/>
  <c r="F757" i="2"/>
  <c r="F758" i="2"/>
  <c r="F759" i="2"/>
  <c r="F760" i="2"/>
  <c r="F761" i="2"/>
  <c r="F762" i="2"/>
  <c r="F763" i="2"/>
  <c r="F764" i="2"/>
  <c r="F765" i="2"/>
  <c r="F766" i="2"/>
  <c r="F767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783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808" i="2"/>
  <c r="F809" i="2"/>
  <c r="F810" i="2"/>
  <c r="F811" i="2"/>
  <c r="F812" i="2"/>
  <c r="F813" i="2"/>
  <c r="F814" i="2"/>
  <c r="F815" i="2"/>
  <c r="F816" i="2"/>
  <c r="F817" i="2"/>
  <c r="F818" i="2"/>
  <c r="F819" i="2"/>
  <c r="F820" i="2"/>
  <c r="F821" i="2"/>
  <c r="F822" i="2"/>
  <c r="F823" i="2"/>
  <c r="F824" i="2"/>
  <c r="F825" i="2"/>
  <c r="F826" i="2"/>
  <c r="F827" i="2"/>
  <c r="F828" i="2"/>
  <c r="F829" i="2"/>
  <c r="F830" i="2"/>
  <c r="F831" i="2"/>
  <c r="F832" i="2"/>
  <c r="F833" i="2"/>
  <c r="F834" i="2"/>
  <c r="F835" i="2"/>
  <c r="F836" i="2"/>
  <c r="F837" i="2"/>
  <c r="F838" i="2"/>
  <c r="F839" i="2"/>
  <c r="F840" i="2"/>
  <c r="F841" i="2"/>
  <c r="F842" i="2"/>
  <c r="F843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57" i="2"/>
  <c r="F858" i="2"/>
  <c r="F859" i="2"/>
  <c r="F860" i="2"/>
  <c r="F861" i="2"/>
  <c r="F862" i="2"/>
  <c r="F863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84" i="2"/>
  <c r="F885" i="2"/>
  <c r="F886" i="2"/>
  <c r="F887" i="2"/>
  <c r="F888" i="2"/>
  <c r="F889" i="2"/>
  <c r="F890" i="2"/>
  <c r="F891" i="2"/>
  <c r="F892" i="2"/>
  <c r="F893" i="2"/>
  <c r="F894" i="2"/>
  <c r="F895" i="2"/>
  <c r="F896" i="2"/>
  <c r="F897" i="2"/>
  <c r="F898" i="2"/>
  <c r="F899" i="2"/>
  <c r="F900" i="2"/>
  <c r="F901" i="2"/>
  <c r="F902" i="2"/>
  <c r="F903" i="2"/>
  <c r="F904" i="2"/>
  <c r="F905" i="2"/>
  <c r="F906" i="2"/>
  <c r="F907" i="2"/>
  <c r="F908" i="2"/>
  <c r="F909" i="2"/>
  <c r="F910" i="2"/>
  <c r="F911" i="2"/>
  <c r="F912" i="2"/>
  <c r="F913" i="2"/>
  <c r="F914" i="2"/>
  <c r="F915" i="2"/>
  <c r="F916" i="2"/>
  <c r="F917" i="2"/>
  <c r="F918" i="2"/>
  <c r="F919" i="2"/>
  <c r="F920" i="2"/>
  <c r="F921" i="2"/>
  <c r="F922" i="2"/>
  <c r="F923" i="2"/>
  <c r="F924" i="2"/>
  <c r="F925" i="2"/>
  <c r="F926" i="2"/>
  <c r="F927" i="2"/>
  <c r="F928" i="2"/>
  <c r="F929" i="2"/>
  <c r="F930" i="2"/>
  <c r="F931" i="2"/>
  <c r="F932" i="2"/>
  <c r="F933" i="2"/>
  <c r="F934" i="2"/>
  <c r="F935" i="2"/>
  <c r="F936" i="2"/>
  <c r="F937" i="2"/>
  <c r="F938" i="2"/>
  <c r="F939" i="2"/>
  <c r="F940" i="2"/>
  <c r="F941" i="2"/>
  <c r="F942" i="2"/>
  <c r="F943" i="2"/>
  <c r="F944" i="2"/>
  <c r="F945" i="2"/>
  <c r="F946" i="2"/>
  <c r="F947" i="2"/>
  <c r="F948" i="2"/>
  <c r="F949" i="2"/>
  <c r="F950" i="2"/>
  <c r="F951" i="2"/>
  <c r="F952" i="2"/>
  <c r="F953" i="2"/>
  <c r="F954" i="2"/>
  <c r="F955" i="2"/>
  <c r="F956" i="2"/>
  <c r="F957" i="2"/>
  <c r="F958" i="2"/>
  <c r="F959" i="2"/>
  <c r="F960" i="2"/>
  <c r="F961" i="2"/>
  <c r="F962" i="2"/>
  <c r="F963" i="2"/>
  <c r="F964" i="2"/>
  <c r="F965" i="2"/>
  <c r="F966" i="2"/>
  <c r="F967" i="2"/>
  <c r="F968" i="2"/>
  <c r="F969" i="2"/>
  <c r="F970" i="2"/>
  <c r="F971" i="2"/>
  <c r="F972" i="2"/>
  <c r="F973" i="2"/>
  <c r="F974" i="2"/>
  <c r="F975" i="2"/>
  <c r="F976" i="2"/>
  <c r="F977" i="2"/>
  <c r="F978" i="2"/>
  <c r="F979" i="2"/>
  <c r="F980" i="2"/>
  <c r="F981" i="2"/>
  <c r="F982" i="2"/>
  <c r="F983" i="2"/>
  <c r="F984" i="2"/>
  <c r="F985" i="2"/>
  <c r="F986" i="2"/>
  <c r="F987" i="2"/>
  <c r="F988" i="2"/>
  <c r="F989" i="2"/>
  <c r="F990" i="2"/>
  <c r="F991" i="2"/>
  <c r="F992" i="2"/>
  <c r="F993" i="2"/>
  <c r="F994" i="2"/>
  <c r="F995" i="2"/>
  <c r="F996" i="2"/>
  <c r="F997" i="2"/>
  <c r="F998" i="2"/>
  <c r="F999" i="2"/>
  <c r="F1000" i="2"/>
  <c r="F1001" i="2"/>
  <c r="F1002" i="2"/>
  <c r="F1003" i="2"/>
  <c r="F1004" i="2"/>
  <c r="F1005" i="2"/>
  <c r="F1006" i="2"/>
  <c r="F1007" i="2"/>
  <c r="F1008" i="2"/>
  <c r="F1009" i="2"/>
  <c r="F1010" i="2"/>
  <c r="F1011" i="2"/>
  <c r="F1012" i="2"/>
  <c r="F1013" i="2"/>
  <c r="F1014" i="2"/>
  <c r="F1015" i="2"/>
  <c r="F1016" i="2"/>
  <c r="F1017" i="2"/>
  <c r="F1018" i="2"/>
  <c r="F1019" i="2"/>
  <c r="F1020" i="2"/>
  <c r="F1021" i="2"/>
  <c r="F1022" i="2"/>
  <c r="F1023" i="2"/>
  <c r="F1024" i="2"/>
  <c r="F1025" i="2"/>
  <c r="F1026" i="2"/>
  <c r="F1027" i="2"/>
  <c r="F1028" i="2"/>
  <c r="F1029" i="2"/>
  <c r="F1030" i="2"/>
  <c r="F1031" i="2"/>
  <c r="F1032" i="2"/>
  <c r="F1033" i="2"/>
  <c r="F1034" i="2"/>
  <c r="F1035" i="2"/>
  <c r="F1036" i="2"/>
  <c r="F1037" i="2"/>
  <c r="F1038" i="2"/>
  <c r="F1039" i="2"/>
  <c r="F1040" i="2"/>
  <c r="F1041" i="2"/>
  <c r="F1042" i="2"/>
  <c r="F1043" i="2"/>
  <c r="F1044" i="2"/>
  <c r="F1045" i="2"/>
  <c r="F1046" i="2"/>
  <c r="F1047" i="2"/>
  <c r="F1048" i="2"/>
  <c r="F1049" i="2"/>
  <c r="F1050" i="2"/>
  <c r="F1051" i="2"/>
  <c r="F1052" i="2"/>
  <c r="F1053" i="2"/>
  <c r="F1054" i="2"/>
  <c r="F1055" i="2"/>
  <c r="F1056" i="2"/>
  <c r="F1057" i="2"/>
  <c r="F1058" i="2"/>
  <c r="F1059" i="2"/>
  <c r="F1060" i="2"/>
  <c r="F1061" i="2"/>
  <c r="F1062" i="2"/>
  <c r="F1063" i="2"/>
  <c r="F1064" i="2"/>
  <c r="F1065" i="2"/>
  <c r="F1066" i="2"/>
  <c r="F1067" i="2"/>
  <c r="F1068" i="2"/>
  <c r="F1069" i="2"/>
  <c r="F1070" i="2"/>
  <c r="F1071" i="2"/>
  <c r="F1072" i="2"/>
  <c r="F1073" i="2"/>
  <c r="F1074" i="2"/>
  <c r="F1075" i="2"/>
  <c r="F1076" i="2"/>
  <c r="F1077" i="2"/>
  <c r="F1078" i="2"/>
  <c r="F1079" i="2"/>
  <c r="F1080" i="2"/>
  <c r="F1081" i="2"/>
  <c r="F1082" i="2"/>
  <c r="F1083" i="2"/>
  <c r="F1084" i="2"/>
  <c r="F1085" i="2"/>
  <c r="F1086" i="2"/>
  <c r="F1087" i="2"/>
  <c r="F1088" i="2"/>
  <c r="F1089" i="2"/>
  <c r="F1090" i="2"/>
  <c r="F1091" i="2"/>
  <c r="F1092" i="2"/>
  <c r="F1093" i="2"/>
  <c r="F1094" i="2"/>
  <c r="F1095" i="2"/>
  <c r="F1096" i="2"/>
  <c r="F1097" i="2"/>
  <c r="F1098" i="2"/>
  <c r="F1099" i="2"/>
  <c r="F1100" i="2"/>
  <c r="F1101" i="2"/>
  <c r="F1102" i="2"/>
  <c r="F1103" i="2"/>
  <c r="F1104" i="2"/>
  <c r="F1105" i="2"/>
  <c r="F1106" i="2"/>
  <c r="F1107" i="2"/>
  <c r="F1108" i="2"/>
  <c r="F1109" i="2"/>
  <c r="F1110" i="2"/>
  <c r="F1111" i="2"/>
  <c r="F1112" i="2"/>
  <c r="F1113" i="2"/>
  <c r="F1114" i="2"/>
  <c r="F1115" i="2"/>
  <c r="F1116" i="2"/>
  <c r="F1117" i="2"/>
  <c r="F1118" i="2"/>
  <c r="F1119" i="2"/>
  <c r="F1120" i="2"/>
  <c r="F1121" i="2"/>
  <c r="F1122" i="2"/>
  <c r="F1123" i="2"/>
  <c r="F1124" i="2"/>
  <c r="F1125" i="2"/>
  <c r="F1126" i="2"/>
  <c r="F1127" i="2"/>
  <c r="F1128" i="2"/>
  <c r="F1129" i="2"/>
  <c r="F1130" i="2"/>
  <c r="F1131" i="2"/>
  <c r="F1132" i="2"/>
  <c r="F1133" i="2"/>
  <c r="F1134" i="2"/>
  <c r="F1135" i="2"/>
  <c r="F1136" i="2"/>
  <c r="F1137" i="2"/>
  <c r="F1138" i="2"/>
  <c r="F1139" i="2"/>
  <c r="F1140" i="2"/>
  <c r="F1141" i="2"/>
  <c r="F1142" i="2"/>
  <c r="F1143" i="2"/>
  <c r="F1144" i="2"/>
  <c r="F1145" i="2"/>
  <c r="F1146" i="2"/>
  <c r="F1147" i="2"/>
  <c r="F1148" i="2"/>
  <c r="F1149" i="2"/>
  <c r="F1150" i="2"/>
  <c r="F1151" i="2"/>
  <c r="F1152" i="2"/>
  <c r="F1153" i="2"/>
  <c r="F1154" i="2"/>
  <c r="F1155" i="2"/>
  <c r="F1156" i="2"/>
  <c r="F1157" i="2"/>
  <c r="F1158" i="2"/>
  <c r="F1159" i="2"/>
  <c r="F1160" i="2"/>
  <c r="F1161" i="2"/>
  <c r="F1162" i="2"/>
  <c r="F1163" i="2"/>
  <c r="F1164" i="2"/>
  <c r="F1165" i="2"/>
  <c r="F1166" i="2"/>
  <c r="F1167" i="2"/>
  <c r="F1168" i="2"/>
  <c r="F1169" i="2"/>
  <c r="F1170" i="2"/>
  <c r="F1171" i="2"/>
  <c r="F1172" i="2"/>
  <c r="F1173" i="2"/>
  <c r="F1174" i="2"/>
  <c r="F1175" i="2"/>
  <c r="F1176" i="2"/>
  <c r="F1177" i="2"/>
  <c r="F1178" i="2"/>
  <c r="F1179" i="2"/>
  <c r="F1180" i="2"/>
  <c r="F1181" i="2"/>
  <c r="F1182" i="2"/>
  <c r="F1183" i="2"/>
  <c r="F1184" i="2"/>
  <c r="F1185" i="2"/>
  <c r="F1186" i="2"/>
  <c r="F1187" i="2"/>
  <c r="F1188" i="2"/>
  <c r="F1189" i="2"/>
  <c r="F1190" i="2"/>
  <c r="F1191" i="2"/>
  <c r="F1192" i="2"/>
  <c r="F1193" i="2"/>
  <c r="F1194" i="2"/>
  <c r="F1195" i="2"/>
  <c r="F1196" i="2"/>
  <c r="F1197" i="2"/>
  <c r="F1198" i="2"/>
  <c r="F1199" i="2"/>
  <c r="F1200" i="2"/>
  <c r="F1201" i="2"/>
  <c r="F1202" i="2"/>
  <c r="F1203" i="2"/>
  <c r="F1204" i="2"/>
  <c r="F1205" i="2"/>
  <c r="F1206" i="2"/>
  <c r="F1207" i="2"/>
  <c r="F1208" i="2"/>
  <c r="F1209" i="2"/>
  <c r="F1210" i="2"/>
  <c r="F1211" i="2"/>
  <c r="F1212" i="2"/>
  <c r="F1213" i="2"/>
  <c r="F1214" i="2"/>
  <c r="F1215" i="2"/>
  <c r="F1216" i="2"/>
  <c r="F1217" i="2"/>
  <c r="F1218" i="2"/>
  <c r="F1219" i="2"/>
  <c r="F1220" i="2"/>
  <c r="F1221" i="2"/>
  <c r="F1222" i="2"/>
  <c r="F1223" i="2"/>
  <c r="F1224" i="2"/>
  <c r="F1225" i="2"/>
  <c r="F1226" i="2"/>
  <c r="F1227" i="2"/>
  <c r="F1228" i="2"/>
  <c r="F1229" i="2"/>
  <c r="F1230" i="2"/>
  <c r="F1231" i="2"/>
  <c r="F1232" i="2"/>
  <c r="F1233" i="2"/>
  <c r="F1234" i="2"/>
  <c r="F1235" i="2"/>
  <c r="F1236" i="2"/>
  <c r="F1237" i="2"/>
  <c r="F1238" i="2"/>
  <c r="F1239" i="2"/>
  <c r="F1240" i="2"/>
  <c r="F1241" i="2"/>
  <c r="F1242" i="2"/>
  <c r="F1243" i="2"/>
  <c r="F1244" i="2"/>
  <c r="F1245" i="2"/>
  <c r="F1246" i="2"/>
  <c r="F1247" i="2"/>
  <c r="F1248" i="2"/>
  <c r="F1249" i="2"/>
  <c r="F1250" i="2"/>
  <c r="F1251" i="2"/>
  <c r="F1252" i="2"/>
  <c r="F1253" i="2"/>
  <c r="F1254" i="2"/>
  <c r="F1255" i="2"/>
  <c r="F1256" i="2"/>
  <c r="F1257" i="2"/>
  <c r="F1258" i="2"/>
  <c r="F1259" i="2"/>
  <c r="F1260" i="2"/>
  <c r="F1261" i="2"/>
  <c r="F1262" i="2"/>
  <c r="F1263" i="2"/>
  <c r="F1264" i="2"/>
  <c r="F1265" i="2"/>
  <c r="F1266" i="2"/>
  <c r="F1267" i="2"/>
  <c r="F1268" i="2"/>
  <c r="F1269" i="2"/>
  <c r="F1270" i="2"/>
  <c r="F1271" i="2"/>
  <c r="F1272" i="2"/>
  <c r="F1273" i="2"/>
  <c r="F1274" i="2"/>
  <c r="F1275" i="2"/>
  <c r="F1276" i="2"/>
  <c r="F1277" i="2"/>
  <c r="F1278" i="2"/>
  <c r="F1279" i="2"/>
  <c r="F1280" i="2"/>
  <c r="F1281" i="2"/>
  <c r="F1282" i="2"/>
  <c r="F1283" i="2"/>
  <c r="F1284" i="2"/>
  <c r="F1285" i="2"/>
  <c r="F1286" i="2"/>
  <c r="F1287" i="2"/>
  <c r="F1288" i="2"/>
  <c r="F1289" i="2"/>
  <c r="F1290" i="2"/>
  <c r="F1291" i="2"/>
  <c r="F1292" i="2"/>
  <c r="F1293" i="2"/>
  <c r="F1294" i="2"/>
  <c r="F1295" i="2"/>
  <c r="F1296" i="2"/>
  <c r="F1297" i="2"/>
  <c r="F1298" i="2"/>
  <c r="F1299" i="2"/>
  <c r="F1300" i="2"/>
  <c r="F1301" i="2"/>
  <c r="F1302" i="2"/>
  <c r="F1303" i="2"/>
  <c r="F1304" i="2"/>
  <c r="F1305" i="2"/>
  <c r="F1306" i="2"/>
  <c r="F1307" i="2"/>
  <c r="F1308" i="2"/>
  <c r="F1309" i="2"/>
  <c r="F1310" i="2"/>
  <c r="F1311" i="2"/>
  <c r="F1312" i="2"/>
  <c r="F1313" i="2"/>
  <c r="F1314" i="2"/>
  <c r="F1315" i="2"/>
  <c r="F1316" i="2"/>
  <c r="F1317" i="2"/>
  <c r="F1318" i="2"/>
  <c r="F1319" i="2"/>
  <c r="F1320" i="2"/>
  <c r="F1321" i="2"/>
  <c r="F1322" i="2"/>
  <c r="F1323" i="2"/>
  <c r="F1324" i="2"/>
  <c r="F1325" i="2"/>
  <c r="F1326" i="2"/>
  <c r="F1327" i="2"/>
  <c r="F1328" i="2"/>
  <c r="F1329" i="2"/>
  <c r="F1330" i="2"/>
  <c r="F1331" i="2"/>
  <c r="F1332" i="2"/>
  <c r="F1333" i="2"/>
  <c r="F1334" i="2"/>
  <c r="F1335" i="2"/>
  <c r="F1336" i="2"/>
  <c r="F1337" i="2"/>
  <c r="F1338" i="2"/>
  <c r="F1339" i="2"/>
  <c r="F1340" i="2"/>
  <c r="F1341" i="2"/>
  <c r="F1342" i="2"/>
  <c r="F1343" i="2"/>
  <c r="F1344" i="2"/>
  <c r="F1345" i="2"/>
  <c r="F1346" i="2"/>
  <c r="F1347" i="2"/>
  <c r="F1348" i="2"/>
  <c r="F1349" i="2"/>
  <c r="F1350" i="2"/>
  <c r="F1351" i="2"/>
  <c r="F1352" i="2"/>
  <c r="F1353" i="2"/>
  <c r="F1354" i="2"/>
  <c r="F1355" i="2"/>
  <c r="F1356" i="2"/>
  <c r="F1357" i="2"/>
  <c r="F1358" i="2"/>
  <c r="F1359" i="2"/>
  <c r="F1360" i="2"/>
  <c r="F1361" i="2"/>
  <c r="F1362" i="2"/>
  <c r="F1363" i="2"/>
  <c r="F1364" i="2"/>
  <c r="F1365" i="2"/>
  <c r="F1366" i="2"/>
  <c r="F1367" i="2"/>
  <c r="F1368" i="2"/>
  <c r="F1369" i="2"/>
  <c r="F1370" i="2"/>
  <c r="F1371" i="2"/>
  <c r="F1372" i="2"/>
  <c r="F1373" i="2"/>
  <c r="F1374" i="2"/>
  <c r="F1375" i="2"/>
  <c r="F1376" i="2"/>
  <c r="F1377" i="2"/>
  <c r="F1378" i="2"/>
  <c r="F1379" i="2"/>
  <c r="F1380" i="2"/>
  <c r="F1381" i="2"/>
  <c r="F1382" i="2"/>
  <c r="F1383" i="2"/>
  <c r="F1384" i="2"/>
  <c r="F1385" i="2"/>
  <c r="F1386" i="2"/>
  <c r="F1387" i="2"/>
  <c r="F1388" i="2"/>
  <c r="F1389" i="2"/>
  <c r="F1390" i="2"/>
  <c r="F1391" i="2"/>
  <c r="F1392" i="2"/>
  <c r="F1393" i="2"/>
  <c r="F1394" i="2"/>
  <c r="F1395" i="2"/>
  <c r="F1396" i="2"/>
  <c r="F1397" i="2"/>
  <c r="F1398" i="2"/>
  <c r="F1399" i="2"/>
  <c r="F1400" i="2"/>
  <c r="F1401" i="2"/>
  <c r="F1402" i="2"/>
  <c r="F1403" i="2"/>
  <c r="F1404" i="2"/>
  <c r="F1405" i="2"/>
  <c r="F1406" i="2"/>
  <c r="F1407" i="2"/>
  <c r="F1408" i="2"/>
  <c r="F1409" i="2"/>
  <c r="F1410" i="2"/>
  <c r="F1411" i="2"/>
  <c r="F1412" i="2"/>
  <c r="F1413" i="2"/>
  <c r="F1414" i="2"/>
  <c r="F1415" i="2"/>
  <c r="F1416" i="2"/>
  <c r="F1417" i="2"/>
  <c r="F1418" i="2"/>
  <c r="F1419" i="2"/>
  <c r="F1420" i="2"/>
  <c r="F1421" i="2"/>
  <c r="F1422" i="2"/>
  <c r="F1423" i="2"/>
  <c r="F1424" i="2"/>
  <c r="F1425" i="2"/>
  <c r="F1426" i="2"/>
  <c r="F1427" i="2"/>
  <c r="F1428" i="2"/>
  <c r="F1429" i="2"/>
  <c r="F1430" i="2"/>
  <c r="F1431" i="2"/>
  <c r="F1432" i="2"/>
  <c r="F1433" i="2"/>
  <c r="F1434" i="2"/>
  <c r="F1435" i="2"/>
  <c r="F1436" i="2"/>
  <c r="F1437" i="2"/>
  <c r="F1438" i="2"/>
  <c r="F1439" i="2"/>
  <c r="F1440" i="2"/>
  <c r="F1441" i="2"/>
  <c r="F1442" i="2"/>
  <c r="F1443" i="2"/>
  <c r="F1444" i="2"/>
  <c r="F1445" i="2"/>
  <c r="F1446" i="2"/>
  <c r="F1447" i="2"/>
  <c r="F1448" i="2"/>
  <c r="F1449" i="2"/>
  <c r="F1450" i="2"/>
  <c r="F1451" i="2"/>
  <c r="F1452" i="2"/>
  <c r="F1453" i="2"/>
  <c r="F1454" i="2"/>
  <c r="F1455" i="2"/>
  <c r="F1456" i="2"/>
  <c r="F1457" i="2"/>
  <c r="F1458" i="2"/>
  <c r="F1459" i="2"/>
  <c r="F1460" i="2"/>
  <c r="F1461" i="2"/>
  <c r="F1462" i="2"/>
  <c r="F1463" i="2"/>
  <c r="F1464" i="2"/>
  <c r="F1465" i="2"/>
  <c r="F1466" i="2"/>
  <c r="F1467" i="2"/>
  <c r="F1468" i="2"/>
  <c r="F1469" i="2"/>
  <c r="F1470" i="2"/>
  <c r="F1471" i="2"/>
  <c r="F1472" i="2"/>
  <c r="F1473" i="2"/>
  <c r="F1474" i="2"/>
  <c r="F1475" i="2"/>
  <c r="F1476" i="2"/>
  <c r="F1477" i="2"/>
  <c r="F1478" i="2"/>
  <c r="F1479" i="2"/>
  <c r="F1480" i="2"/>
  <c r="F1481" i="2"/>
  <c r="F1482" i="2"/>
  <c r="F1483" i="2"/>
  <c r="F1484" i="2"/>
  <c r="F1485" i="2"/>
  <c r="F1486" i="2"/>
  <c r="F1487" i="2"/>
  <c r="F1488" i="2"/>
  <c r="F1489" i="2"/>
  <c r="F1490" i="2"/>
  <c r="F1491" i="2"/>
  <c r="F1492" i="2"/>
  <c r="F1493" i="2"/>
  <c r="F1494" i="2"/>
  <c r="F1495" i="2"/>
  <c r="F1496" i="2"/>
  <c r="F1497" i="2"/>
  <c r="F1498" i="2"/>
  <c r="F1499" i="2"/>
  <c r="F1500" i="2"/>
  <c r="F1501" i="2"/>
  <c r="F1502" i="2"/>
  <c r="F1503" i="2"/>
  <c r="F1504" i="2"/>
  <c r="F1505" i="2"/>
  <c r="F1506" i="2"/>
  <c r="F1507" i="2"/>
  <c r="F1508" i="2"/>
  <c r="F1509" i="2"/>
  <c r="F1510" i="2"/>
  <c r="F1511" i="2"/>
  <c r="F1512" i="2"/>
  <c r="F1513" i="2"/>
  <c r="F1514" i="2"/>
  <c r="F1515" i="2"/>
  <c r="F1516" i="2"/>
  <c r="F1517" i="2"/>
  <c r="F1518" i="2"/>
  <c r="F1519" i="2"/>
  <c r="F1520" i="2"/>
  <c r="F1521" i="2"/>
  <c r="F1522" i="2"/>
  <c r="F1523" i="2"/>
  <c r="F1524" i="2"/>
  <c r="F1525" i="2"/>
  <c r="F1526" i="2"/>
  <c r="F1527" i="2"/>
  <c r="F1528" i="2"/>
  <c r="F1529" i="2"/>
  <c r="F1530" i="2"/>
  <c r="F1531" i="2"/>
  <c r="F1532" i="2"/>
  <c r="F1533" i="2"/>
  <c r="F1534" i="2"/>
  <c r="F1535" i="2"/>
  <c r="F1536" i="2"/>
  <c r="F1537" i="2"/>
  <c r="F1538" i="2"/>
  <c r="F1539" i="2"/>
  <c r="F1540" i="2"/>
  <c r="F1541" i="2"/>
  <c r="F1542" i="2"/>
  <c r="F1543" i="2"/>
  <c r="F1544" i="2"/>
  <c r="F1545" i="2"/>
  <c r="F1546" i="2"/>
  <c r="F1547" i="2"/>
  <c r="F1548" i="2"/>
  <c r="F1549" i="2"/>
  <c r="F1550" i="2"/>
  <c r="F1551" i="2"/>
  <c r="F1552" i="2"/>
  <c r="F1553" i="2"/>
  <c r="F1554" i="2"/>
  <c r="F1555" i="2"/>
  <c r="F1556" i="2"/>
  <c r="F1557" i="2"/>
  <c r="F1558" i="2"/>
  <c r="F1559" i="2"/>
  <c r="F1560" i="2"/>
  <c r="F1561" i="2"/>
  <c r="F1562" i="2"/>
  <c r="F1563" i="2"/>
  <c r="F1564" i="2"/>
  <c r="F1565" i="2"/>
  <c r="F1566" i="2"/>
  <c r="F1567" i="2"/>
  <c r="F1568" i="2"/>
  <c r="F1569" i="2"/>
  <c r="F1570" i="2"/>
  <c r="F1571" i="2"/>
  <c r="F1572" i="2"/>
  <c r="F1573" i="2"/>
  <c r="F1574" i="2"/>
  <c r="F1575" i="2"/>
  <c r="F1576" i="2"/>
  <c r="F1577" i="2"/>
  <c r="F1578" i="2"/>
  <c r="F1579" i="2"/>
  <c r="F1580" i="2"/>
  <c r="F1581" i="2"/>
  <c r="F1582" i="2"/>
  <c r="F1583" i="2"/>
  <c r="F1584" i="2"/>
  <c r="F1585" i="2"/>
  <c r="F1586" i="2"/>
  <c r="F1587" i="2"/>
  <c r="F1588" i="2"/>
  <c r="F1589" i="2"/>
  <c r="F1590" i="2"/>
  <c r="F1591" i="2"/>
  <c r="F1592" i="2"/>
  <c r="F1593" i="2"/>
  <c r="F1594" i="2"/>
  <c r="F1595" i="2"/>
  <c r="F1596" i="2"/>
  <c r="F1597" i="2"/>
  <c r="F1598" i="2"/>
  <c r="F1599" i="2"/>
  <c r="F1600" i="2"/>
  <c r="F1601" i="2"/>
  <c r="F1602" i="2"/>
  <c r="F1603" i="2"/>
  <c r="F1604" i="2"/>
  <c r="F1605" i="2"/>
  <c r="F1606" i="2"/>
  <c r="F1607" i="2"/>
  <c r="F1608" i="2"/>
  <c r="F1609" i="2"/>
  <c r="F1610" i="2"/>
  <c r="F1611" i="2"/>
  <c r="F1612" i="2"/>
  <c r="F1613" i="2"/>
  <c r="F1614" i="2"/>
  <c r="F1615" i="2"/>
  <c r="F1616" i="2"/>
  <c r="F1617" i="2"/>
  <c r="F1618" i="2"/>
  <c r="F1619" i="2"/>
  <c r="F1620" i="2"/>
  <c r="F1621" i="2"/>
  <c r="F1622" i="2"/>
  <c r="F1623" i="2"/>
  <c r="F1624" i="2"/>
  <c r="F1625" i="2"/>
  <c r="F1626" i="2"/>
  <c r="F1627" i="2"/>
  <c r="F1628" i="2"/>
  <c r="F1629" i="2"/>
  <c r="F1630" i="2"/>
  <c r="F1631" i="2"/>
  <c r="F1632" i="2"/>
  <c r="F1633" i="2"/>
  <c r="F1634" i="2"/>
  <c r="F1635" i="2"/>
  <c r="F1636" i="2"/>
  <c r="F1637" i="2"/>
  <c r="F1638" i="2"/>
  <c r="F1639" i="2"/>
  <c r="F1640" i="2"/>
  <c r="F1641" i="2"/>
  <c r="F1642" i="2"/>
  <c r="F1643" i="2"/>
  <c r="F1644" i="2"/>
  <c r="F1645" i="2"/>
  <c r="F1646" i="2"/>
  <c r="F1647" i="2"/>
  <c r="F1648" i="2"/>
  <c r="F1649" i="2"/>
  <c r="F1650" i="2"/>
  <c r="F1651" i="2"/>
  <c r="F1652" i="2"/>
  <c r="F1653" i="2"/>
  <c r="F1654" i="2"/>
  <c r="F1655" i="2"/>
  <c r="F1656" i="2"/>
  <c r="F1657" i="2"/>
  <c r="F1658" i="2"/>
  <c r="F1659" i="2"/>
  <c r="F1660" i="2"/>
  <c r="F1661" i="2"/>
  <c r="F1662" i="2"/>
  <c r="F1663" i="2"/>
  <c r="F1664" i="2"/>
  <c r="F1665" i="2"/>
  <c r="F1666" i="2"/>
  <c r="F1667" i="2"/>
  <c r="F1668" i="2"/>
  <c r="F1669" i="2"/>
  <c r="F1670" i="2"/>
  <c r="F1671" i="2"/>
  <c r="F1672" i="2"/>
  <c r="F1673" i="2"/>
  <c r="F1674" i="2"/>
  <c r="F1675" i="2"/>
  <c r="F1676" i="2"/>
  <c r="F1677" i="2"/>
  <c r="F1678" i="2"/>
  <c r="F1679" i="2"/>
  <c r="F1680" i="2"/>
  <c r="F1681" i="2"/>
  <c r="F1682" i="2"/>
  <c r="F1683" i="2"/>
  <c r="F1684" i="2"/>
  <c r="F1685" i="2"/>
  <c r="F1686" i="2"/>
  <c r="F1687" i="2"/>
  <c r="F1688" i="2"/>
  <c r="F1689" i="2"/>
  <c r="F1690" i="2"/>
  <c r="F1691" i="2"/>
  <c r="F1692" i="2"/>
  <c r="F1693" i="2"/>
  <c r="F1694" i="2"/>
  <c r="F1695" i="2"/>
  <c r="F1696" i="2"/>
  <c r="F1697" i="2"/>
  <c r="F1698" i="2"/>
  <c r="F1699" i="2"/>
  <c r="F1700" i="2"/>
  <c r="F1701" i="2"/>
  <c r="F1702" i="2"/>
  <c r="F1703" i="2"/>
  <c r="F1704" i="2"/>
  <c r="F1705" i="2"/>
  <c r="F1706" i="2"/>
  <c r="F1707" i="2"/>
  <c r="F1708" i="2"/>
  <c r="F1709" i="2"/>
  <c r="F1710" i="2"/>
  <c r="F1711" i="2"/>
  <c r="F1712" i="2"/>
  <c r="F1713" i="2"/>
  <c r="F1714" i="2"/>
  <c r="F1715" i="2"/>
  <c r="F1716" i="2"/>
  <c r="F1717" i="2"/>
  <c r="F1718" i="2"/>
  <c r="F1719" i="2"/>
  <c r="F1720" i="2"/>
  <c r="F1721" i="2"/>
  <c r="F1722" i="2"/>
  <c r="F1723" i="2"/>
  <c r="F1724" i="2"/>
  <c r="F1725" i="2"/>
  <c r="F1726" i="2"/>
  <c r="F1727" i="2"/>
  <c r="F1728" i="2"/>
  <c r="F1729" i="2"/>
  <c r="F1730" i="2"/>
  <c r="F1731" i="2"/>
  <c r="F1732" i="2"/>
  <c r="F1733" i="2"/>
  <c r="F1734" i="2"/>
  <c r="F1735" i="2"/>
  <c r="F1736" i="2"/>
  <c r="F1737" i="2"/>
  <c r="F1738" i="2"/>
  <c r="F1739" i="2"/>
  <c r="F1740" i="2"/>
  <c r="F1741" i="2"/>
  <c r="F1742" i="2"/>
  <c r="F1743" i="2"/>
  <c r="F1744" i="2"/>
  <c r="F1745" i="2"/>
  <c r="F1746" i="2"/>
  <c r="F1747" i="2"/>
  <c r="F1748" i="2"/>
  <c r="F1749" i="2"/>
  <c r="F1750" i="2"/>
  <c r="F1751" i="2"/>
  <c r="F1752" i="2"/>
  <c r="F1753" i="2"/>
  <c r="F1754" i="2"/>
  <c r="F1755" i="2"/>
  <c r="F1756" i="2"/>
  <c r="F1757" i="2"/>
  <c r="F1758" i="2"/>
  <c r="F1759" i="2"/>
  <c r="F1760" i="2"/>
  <c r="F1761" i="2"/>
  <c r="F1762" i="2"/>
  <c r="F1763" i="2"/>
  <c r="F1764" i="2"/>
  <c r="F1765" i="2"/>
  <c r="F1766" i="2"/>
  <c r="F1767" i="2"/>
  <c r="F1768" i="2"/>
  <c r="F1769" i="2"/>
  <c r="F1770" i="2"/>
  <c r="F1771" i="2"/>
  <c r="F1772" i="2"/>
  <c r="F1773" i="2"/>
  <c r="F1774" i="2"/>
  <c r="F1775" i="2"/>
  <c r="F1776" i="2"/>
  <c r="F1777" i="2"/>
  <c r="F1778" i="2"/>
  <c r="F1779" i="2"/>
  <c r="F1780" i="2"/>
  <c r="F1781" i="2"/>
  <c r="F1782" i="2"/>
  <c r="F1783" i="2"/>
  <c r="F1784" i="2"/>
  <c r="F1785" i="2"/>
  <c r="F1786" i="2"/>
  <c r="F1787" i="2"/>
  <c r="F1788" i="2"/>
  <c r="F1789" i="2"/>
  <c r="F1790" i="2"/>
  <c r="F1791" i="2"/>
  <c r="F1792" i="2"/>
  <c r="F1793" i="2"/>
  <c r="F1794" i="2"/>
  <c r="F1795" i="2"/>
  <c r="F1796" i="2"/>
  <c r="F1797" i="2"/>
  <c r="F1798" i="2"/>
  <c r="F1799" i="2"/>
  <c r="F1800" i="2"/>
  <c r="F1801" i="2"/>
  <c r="F1802" i="2"/>
  <c r="F1803" i="2"/>
  <c r="F1804" i="2"/>
  <c r="F1805" i="2"/>
  <c r="F1806" i="2"/>
  <c r="F1807" i="2"/>
  <c r="F1808" i="2"/>
  <c r="F1809" i="2"/>
  <c r="F1810" i="2"/>
  <c r="F1811" i="2"/>
  <c r="F1812" i="2"/>
  <c r="F1813" i="2"/>
  <c r="F1814" i="2"/>
  <c r="F1815" i="2"/>
  <c r="F1816" i="2"/>
  <c r="F1817" i="2"/>
  <c r="F1818" i="2"/>
  <c r="F1819" i="2"/>
  <c r="F1820" i="2"/>
  <c r="F1821" i="2"/>
  <c r="F1822" i="2"/>
  <c r="F1823" i="2"/>
  <c r="F1824" i="2"/>
  <c r="F1825" i="2"/>
  <c r="F1826" i="2"/>
  <c r="F1827" i="2"/>
  <c r="F1828" i="2"/>
  <c r="F1829" i="2"/>
  <c r="F1830" i="2"/>
  <c r="F1831" i="2"/>
  <c r="F1832" i="2"/>
  <c r="F1833" i="2"/>
  <c r="F1834" i="2"/>
  <c r="F1835" i="2"/>
  <c r="F1836" i="2"/>
  <c r="F1837" i="2"/>
  <c r="F1838" i="2"/>
  <c r="F1839" i="2"/>
  <c r="F1840" i="2"/>
  <c r="F1841" i="2"/>
  <c r="F1842" i="2"/>
  <c r="F1843" i="2"/>
  <c r="F1844" i="2"/>
  <c r="F1845" i="2"/>
  <c r="F1846" i="2"/>
  <c r="F1847" i="2"/>
  <c r="F1848" i="2"/>
  <c r="F1849" i="2"/>
  <c r="F1850" i="2"/>
  <c r="F1851" i="2"/>
  <c r="F1852" i="2"/>
  <c r="F1853" i="2"/>
  <c r="F1854" i="2"/>
  <c r="F1855" i="2"/>
  <c r="F1856" i="2"/>
  <c r="F1857" i="2"/>
  <c r="F1858" i="2"/>
  <c r="F1859" i="2"/>
  <c r="F1860" i="2"/>
  <c r="F1861" i="2"/>
  <c r="F1862" i="2"/>
  <c r="F1863" i="2"/>
  <c r="F1864" i="2"/>
  <c r="F1865" i="2"/>
  <c r="F1866" i="2"/>
  <c r="F1867" i="2"/>
  <c r="F1868" i="2"/>
  <c r="F1869" i="2"/>
  <c r="F1870" i="2"/>
  <c r="F1871" i="2"/>
  <c r="F1872" i="2"/>
  <c r="F1873" i="2"/>
  <c r="F1874" i="2"/>
  <c r="F1875" i="2"/>
  <c r="F1876" i="2"/>
  <c r="F1877" i="2"/>
  <c r="F1878" i="2"/>
  <c r="F1879" i="2"/>
  <c r="F1880" i="2"/>
  <c r="F1881" i="2"/>
  <c r="F1882" i="2"/>
  <c r="F1883" i="2"/>
  <c r="F1884" i="2"/>
  <c r="F1885" i="2"/>
  <c r="F1886" i="2"/>
  <c r="F1887" i="2"/>
  <c r="F1888" i="2"/>
  <c r="F1889" i="2"/>
  <c r="F1890" i="2"/>
  <c r="F1891" i="2"/>
  <c r="F1892" i="2"/>
  <c r="F1893" i="2"/>
  <c r="F1894" i="2"/>
  <c r="F1895" i="2"/>
  <c r="F1896" i="2"/>
  <c r="F1897" i="2"/>
  <c r="F1898" i="2"/>
  <c r="F1899" i="2"/>
  <c r="F1900" i="2"/>
  <c r="F1901" i="2"/>
  <c r="F1902" i="2"/>
  <c r="F1903" i="2"/>
  <c r="F1904" i="2"/>
  <c r="F1905" i="2"/>
  <c r="F1906" i="2"/>
  <c r="F1907" i="2"/>
  <c r="F1908" i="2"/>
  <c r="F1909" i="2"/>
  <c r="F1910" i="2"/>
  <c r="F1911" i="2"/>
  <c r="F1912" i="2"/>
  <c r="F1913" i="2"/>
  <c r="F1914" i="2"/>
  <c r="F1915" i="2"/>
  <c r="F1916" i="2"/>
  <c r="F1917" i="2"/>
  <c r="F1918" i="2"/>
  <c r="F1919" i="2"/>
  <c r="F1920" i="2"/>
  <c r="F1921" i="2"/>
  <c r="F1922" i="2"/>
  <c r="F1923" i="2"/>
  <c r="F1924" i="2"/>
  <c r="F1925" i="2"/>
  <c r="F1926" i="2"/>
  <c r="F1927" i="2"/>
  <c r="F1928" i="2"/>
  <c r="F1929" i="2"/>
  <c r="F1930" i="2"/>
  <c r="F1931" i="2"/>
  <c r="F1932" i="2"/>
  <c r="F1933" i="2"/>
  <c r="F1934" i="2"/>
  <c r="F1935" i="2"/>
  <c r="F1936" i="2"/>
  <c r="F1937" i="2"/>
  <c r="F1938" i="2"/>
  <c r="F1939" i="2"/>
  <c r="F1940" i="2"/>
  <c r="F1941" i="2"/>
  <c r="F1942" i="2"/>
  <c r="F1943" i="2"/>
  <c r="F1944" i="2"/>
  <c r="F1945" i="2"/>
  <c r="F1946" i="2"/>
  <c r="F1947" i="2"/>
  <c r="F1948" i="2"/>
  <c r="F1949" i="2"/>
  <c r="F1950" i="2"/>
  <c r="F1951" i="2"/>
  <c r="F1952" i="2"/>
  <c r="F1953" i="2"/>
  <c r="F1954" i="2"/>
  <c r="F1955" i="2"/>
  <c r="F1956" i="2"/>
  <c r="F1957" i="2"/>
  <c r="F1958" i="2"/>
  <c r="F1959" i="2"/>
  <c r="F1960" i="2"/>
  <c r="F1961" i="2"/>
  <c r="F1962" i="2"/>
  <c r="F1963" i="2"/>
  <c r="F1964" i="2"/>
  <c r="F1965" i="2"/>
  <c r="F1966" i="2"/>
  <c r="F1967" i="2"/>
  <c r="F1968" i="2"/>
  <c r="F1969" i="2"/>
  <c r="F1970" i="2"/>
  <c r="F1971" i="2"/>
  <c r="F1972" i="2"/>
  <c r="F1973" i="2"/>
  <c r="F1974" i="2"/>
  <c r="F1975" i="2"/>
  <c r="F1976" i="2"/>
  <c r="F1977" i="2"/>
  <c r="F1978" i="2"/>
  <c r="F1979" i="2"/>
  <c r="F1980" i="2"/>
  <c r="F1981" i="2"/>
  <c r="F1982" i="2"/>
  <c r="F1983" i="2"/>
  <c r="F1984" i="2"/>
  <c r="F1985" i="2"/>
  <c r="F1986" i="2"/>
  <c r="F1987" i="2"/>
  <c r="F1988" i="2"/>
  <c r="F1989" i="2"/>
  <c r="F1990" i="2"/>
  <c r="F1991" i="2"/>
  <c r="F1992" i="2"/>
  <c r="F1993" i="2"/>
  <c r="F1994" i="2"/>
  <c r="F1995" i="2"/>
  <c r="F1996" i="2"/>
  <c r="F1997" i="2"/>
  <c r="F1998" i="2"/>
  <c r="F1999" i="2"/>
  <c r="F2000" i="2"/>
  <c r="F2001" i="2"/>
  <c r="F2002" i="2"/>
  <c r="F2003" i="2"/>
  <c r="F2004" i="2"/>
  <c r="F2005" i="2"/>
  <c r="F2006" i="2"/>
  <c r="F2007" i="2"/>
  <c r="F2008" i="2"/>
  <c r="F2009" i="2"/>
  <c r="F2010" i="2"/>
  <c r="F2011" i="2"/>
  <c r="F2012" i="2"/>
  <c r="F2013" i="2"/>
  <c r="F2014" i="2"/>
  <c r="F2015" i="2"/>
  <c r="F2016" i="2"/>
  <c r="F2017" i="2"/>
  <c r="F2018" i="2"/>
  <c r="F2019" i="2"/>
  <c r="F2020" i="2"/>
  <c r="F2021" i="2"/>
  <c r="F2022" i="2"/>
  <c r="F2023" i="2"/>
  <c r="F2024" i="2"/>
  <c r="F2025" i="2"/>
  <c r="F2026" i="2"/>
  <c r="F2027" i="2"/>
  <c r="F2028" i="2"/>
  <c r="F2029" i="2"/>
  <c r="F2030" i="2"/>
  <c r="F2031" i="2"/>
  <c r="F2032" i="2"/>
  <c r="F2033" i="2"/>
  <c r="F2034" i="2"/>
  <c r="F2035" i="2"/>
  <c r="F2036" i="2"/>
  <c r="F2037" i="2"/>
  <c r="F2038" i="2"/>
  <c r="F2039" i="2"/>
  <c r="F2040" i="2"/>
  <c r="F2041" i="2"/>
  <c r="F2042" i="2"/>
  <c r="F2043" i="2"/>
  <c r="F2044" i="2"/>
  <c r="F2045" i="2"/>
  <c r="F2046" i="2"/>
  <c r="F2047" i="2"/>
  <c r="F2048" i="2"/>
  <c r="F2049" i="2"/>
  <c r="F2050" i="2"/>
  <c r="F2051" i="2"/>
  <c r="F2052" i="2"/>
  <c r="F2053" i="2"/>
  <c r="F2054" i="2"/>
  <c r="F2055" i="2"/>
  <c r="F2056" i="2"/>
  <c r="F2057" i="2"/>
  <c r="F2058" i="2"/>
  <c r="F2059" i="2"/>
  <c r="F2060" i="2"/>
  <c r="F2061" i="2"/>
  <c r="F2062" i="2"/>
  <c r="F2063" i="2"/>
  <c r="F2064" i="2"/>
  <c r="F2065" i="2"/>
  <c r="F2066" i="2"/>
  <c r="F2067" i="2"/>
  <c r="F2068" i="2"/>
  <c r="F2069" i="2"/>
  <c r="F2070" i="2"/>
  <c r="F2071" i="2"/>
  <c r="F2072" i="2"/>
  <c r="F2073" i="2"/>
  <c r="F2074" i="2"/>
  <c r="F2075" i="2"/>
  <c r="F2076" i="2"/>
  <c r="F2077" i="2"/>
  <c r="F2078" i="2"/>
  <c r="F2079" i="2"/>
  <c r="F2080" i="2"/>
  <c r="F2081" i="2"/>
  <c r="F2082" i="2"/>
  <c r="F2083" i="2"/>
  <c r="F2084" i="2"/>
  <c r="F2085" i="2"/>
  <c r="F2086" i="2"/>
  <c r="F2087" i="2"/>
  <c r="F2088" i="2"/>
  <c r="F2089" i="2"/>
  <c r="F2090" i="2"/>
  <c r="F2091" i="2"/>
  <c r="F2092" i="2"/>
  <c r="F2093" i="2"/>
  <c r="F2094" i="2"/>
  <c r="F2095" i="2"/>
  <c r="F2096" i="2"/>
  <c r="F2097" i="2"/>
  <c r="F2098" i="2"/>
  <c r="F2099" i="2"/>
  <c r="F2100" i="2"/>
  <c r="F2101" i="2"/>
  <c r="F2102" i="2"/>
  <c r="F2103" i="2"/>
  <c r="F2104" i="2"/>
  <c r="F2105" i="2"/>
  <c r="F2106" i="2"/>
  <c r="F2107" i="2"/>
  <c r="F2108" i="2"/>
  <c r="F2109" i="2"/>
  <c r="F2110" i="2"/>
  <c r="F2111" i="2"/>
  <c r="F2112" i="2"/>
  <c r="F2113" i="2"/>
  <c r="F2114" i="2"/>
  <c r="F2115" i="2"/>
  <c r="F2116" i="2"/>
  <c r="F2117" i="2"/>
  <c r="F2118" i="2"/>
  <c r="F2119" i="2"/>
  <c r="F2120" i="2"/>
  <c r="F2121" i="2"/>
  <c r="F2122" i="2"/>
  <c r="F2123" i="2"/>
  <c r="F2124" i="2"/>
  <c r="F2125" i="2"/>
  <c r="F2126" i="2"/>
  <c r="F2127" i="2"/>
  <c r="F2128" i="2"/>
  <c r="F2129" i="2"/>
  <c r="F2130" i="2"/>
  <c r="F2131" i="2"/>
  <c r="F2132" i="2"/>
  <c r="F2133" i="2"/>
  <c r="F2134" i="2"/>
  <c r="F2135" i="2"/>
  <c r="F2136" i="2"/>
  <c r="F2137" i="2"/>
  <c r="F2138" i="2"/>
  <c r="F2139" i="2"/>
  <c r="F2140" i="2"/>
  <c r="F2141" i="2"/>
  <c r="F2142" i="2"/>
  <c r="F2143" i="2"/>
  <c r="F2144" i="2"/>
  <c r="F2145" i="2"/>
  <c r="F2146" i="2"/>
  <c r="F2147" i="2"/>
  <c r="F2148" i="2"/>
  <c r="F2149" i="2"/>
  <c r="F2150" i="2"/>
  <c r="F2151" i="2"/>
  <c r="F2152" i="2"/>
  <c r="F2153" i="2"/>
  <c r="F2154" i="2"/>
  <c r="F2155" i="2"/>
  <c r="F2156" i="2"/>
  <c r="F2157" i="2"/>
  <c r="F2158" i="2"/>
  <c r="F2159" i="2"/>
  <c r="F2160" i="2"/>
  <c r="F2161" i="2"/>
  <c r="F2162" i="2"/>
  <c r="F2163" i="2"/>
  <c r="F2164" i="2"/>
  <c r="F2165" i="2"/>
  <c r="F2166" i="2"/>
  <c r="F2167" i="2"/>
  <c r="F2168" i="2"/>
  <c r="F2169" i="2"/>
  <c r="F2170" i="2"/>
  <c r="F2171" i="2"/>
  <c r="F2172" i="2"/>
  <c r="F2173" i="2"/>
  <c r="F2174" i="2"/>
  <c r="F2175" i="2"/>
  <c r="F2176" i="2"/>
  <c r="F2177" i="2"/>
  <c r="F2178" i="2"/>
  <c r="F2179" i="2"/>
  <c r="F2180" i="2"/>
  <c r="F2181" i="2"/>
  <c r="F2182" i="2"/>
  <c r="F2183" i="2"/>
  <c r="F2184" i="2"/>
  <c r="F2185" i="2"/>
  <c r="F2186" i="2"/>
  <c r="F2187" i="2"/>
  <c r="F2188" i="2"/>
  <c r="F2189" i="2"/>
  <c r="F2190" i="2"/>
  <c r="F2191" i="2"/>
  <c r="F2192" i="2"/>
  <c r="F2193" i="2"/>
  <c r="F2194" i="2"/>
  <c r="F2195" i="2"/>
  <c r="F2196" i="2"/>
  <c r="F2197" i="2"/>
  <c r="F2198" i="2"/>
  <c r="F2199" i="2"/>
  <c r="F2200" i="2"/>
  <c r="F2201" i="2"/>
  <c r="F2202" i="2"/>
  <c r="F2203" i="2"/>
  <c r="F2204" i="2"/>
  <c r="F2205" i="2"/>
  <c r="F2206" i="2"/>
  <c r="F2207" i="2"/>
  <c r="F2208" i="2"/>
  <c r="F2209" i="2"/>
  <c r="F2210" i="2"/>
  <c r="F2211" i="2"/>
  <c r="F2212" i="2"/>
  <c r="F2213" i="2"/>
  <c r="F2214" i="2"/>
  <c r="F2215" i="2"/>
  <c r="F2216" i="2"/>
  <c r="F2217" i="2"/>
  <c r="F2218" i="2"/>
  <c r="F2219" i="2"/>
  <c r="F2220" i="2"/>
  <c r="F2221" i="2"/>
  <c r="F2222" i="2"/>
  <c r="F2223" i="2"/>
  <c r="F2224" i="2"/>
  <c r="F2225" i="2"/>
  <c r="F2226" i="2"/>
  <c r="F2227" i="2"/>
  <c r="F2228" i="2"/>
  <c r="F2229" i="2"/>
  <c r="F2230" i="2"/>
  <c r="F2231" i="2"/>
  <c r="F2232" i="2"/>
  <c r="F2233" i="2"/>
  <c r="F2234" i="2"/>
  <c r="F2235" i="2"/>
  <c r="F2236" i="2"/>
  <c r="F2237" i="2"/>
  <c r="F2238" i="2"/>
  <c r="F2239" i="2"/>
  <c r="F2240" i="2"/>
  <c r="F2241" i="2"/>
  <c r="F2242" i="2"/>
  <c r="F2243" i="2"/>
  <c r="F2244" i="2"/>
  <c r="F2245" i="2"/>
  <c r="F2246" i="2"/>
  <c r="F2247" i="2"/>
  <c r="F2248" i="2"/>
  <c r="F2249" i="2"/>
  <c r="F2250" i="2"/>
  <c r="F2251" i="2"/>
  <c r="F2252" i="2"/>
  <c r="F2253" i="2"/>
  <c r="F2254" i="2"/>
  <c r="F2255" i="2"/>
  <c r="F2256" i="2"/>
  <c r="F2257" i="2"/>
  <c r="F2258" i="2"/>
  <c r="F2259" i="2"/>
  <c r="F2260" i="2"/>
  <c r="F2261" i="2"/>
  <c r="F2262" i="2"/>
  <c r="F2263" i="2"/>
  <c r="F2264" i="2"/>
  <c r="F2265" i="2"/>
  <c r="F2266" i="2"/>
  <c r="F2267" i="2"/>
  <c r="F2268" i="2"/>
  <c r="F2269" i="2"/>
  <c r="F2270" i="2"/>
  <c r="F2271" i="2"/>
  <c r="F2272" i="2"/>
  <c r="F2273" i="2"/>
  <c r="F2274" i="2"/>
  <c r="F2275" i="2"/>
  <c r="F2276" i="2"/>
  <c r="F2277" i="2"/>
  <c r="F2278" i="2"/>
  <c r="F2279" i="2"/>
  <c r="F2280" i="2"/>
  <c r="F2281" i="2"/>
  <c r="F2282" i="2"/>
  <c r="F2283" i="2"/>
  <c r="F2284" i="2"/>
  <c r="F2285" i="2"/>
  <c r="F2286" i="2"/>
  <c r="F2287" i="2"/>
  <c r="F2288" i="2"/>
  <c r="F2289" i="2"/>
  <c r="F2290" i="2"/>
  <c r="F2291" i="2"/>
  <c r="F2292" i="2"/>
  <c r="F2293" i="2"/>
  <c r="F2294" i="2"/>
  <c r="F2295" i="2"/>
  <c r="F2296" i="2"/>
  <c r="F2297" i="2"/>
  <c r="F2298" i="2"/>
  <c r="F2299" i="2"/>
  <c r="F2300" i="2"/>
  <c r="F2301" i="2"/>
  <c r="F2302" i="2"/>
  <c r="F2303" i="2"/>
  <c r="F2304" i="2"/>
  <c r="F2305" i="2"/>
  <c r="F2306" i="2"/>
  <c r="F2307" i="2"/>
  <c r="F2308" i="2"/>
  <c r="F2309" i="2"/>
  <c r="F2310" i="2"/>
  <c r="F2311" i="2"/>
  <c r="F2312" i="2"/>
  <c r="F2313" i="2"/>
  <c r="F2314" i="2"/>
  <c r="F2315" i="2"/>
  <c r="F2316" i="2"/>
  <c r="F2317" i="2"/>
  <c r="F2318" i="2"/>
  <c r="F2319" i="2"/>
  <c r="F2320" i="2"/>
  <c r="F2321" i="2"/>
  <c r="F2322" i="2"/>
  <c r="F2323" i="2"/>
  <c r="F2324" i="2"/>
  <c r="F2325" i="2"/>
  <c r="F2326" i="2"/>
  <c r="F2327" i="2"/>
  <c r="F2328" i="2"/>
  <c r="F2329" i="2"/>
  <c r="F2330" i="2"/>
  <c r="F2331" i="2"/>
  <c r="F2332" i="2"/>
  <c r="F2333" i="2"/>
  <c r="F2334" i="2"/>
  <c r="F2335" i="2"/>
  <c r="F2336" i="2"/>
  <c r="F2337" i="2"/>
  <c r="F2338" i="2"/>
  <c r="F2339" i="2"/>
  <c r="F2340" i="2"/>
  <c r="F2341" i="2"/>
  <c r="F2342" i="2"/>
  <c r="F2343" i="2"/>
  <c r="F2344" i="2"/>
  <c r="F2345" i="2"/>
  <c r="F2346" i="2"/>
  <c r="F2347" i="2"/>
  <c r="F2348" i="2"/>
  <c r="F2349" i="2"/>
  <c r="F2350" i="2"/>
  <c r="F2351" i="2"/>
  <c r="F2352" i="2"/>
  <c r="F2353" i="2"/>
  <c r="F2354" i="2"/>
  <c r="F2355" i="2"/>
  <c r="F2356" i="2"/>
  <c r="F2357" i="2"/>
  <c r="F2358" i="2"/>
  <c r="F2359" i="2"/>
  <c r="F2360" i="2"/>
  <c r="F2361" i="2"/>
  <c r="F2362" i="2"/>
  <c r="F2363" i="2"/>
  <c r="F2364" i="2"/>
  <c r="F2365" i="2"/>
  <c r="F2366" i="2"/>
  <c r="F2367" i="2"/>
  <c r="F2368" i="2"/>
  <c r="F2369" i="2"/>
  <c r="F2370" i="2"/>
  <c r="F2371" i="2"/>
  <c r="F2372" i="2"/>
  <c r="F2373" i="2"/>
  <c r="F2374" i="2"/>
  <c r="F2375" i="2"/>
  <c r="F2376" i="2"/>
  <c r="F2377" i="2"/>
  <c r="F2378" i="2"/>
  <c r="F2379" i="2"/>
  <c r="F2380" i="2"/>
  <c r="F2381" i="2"/>
  <c r="F2382" i="2"/>
  <c r="F2383" i="2"/>
  <c r="F2384" i="2"/>
  <c r="F2385" i="2"/>
  <c r="F2386" i="2"/>
  <c r="F2387" i="2"/>
  <c r="F2388" i="2"/>
  <c r="F2389" i="2"/>
  <c r="F2390" i="2"/>
  <c r="F2391" i="2"/>
  <c r="F2392" i="2"/>
  <c r="F2393" i="2"/>
  <c r="F2394" i="2"/>
  <c r="F2395" i="2"/>
  <c r="F2396" i="2"/>
  <c r="F2397" i="2"/>
  <c r="F2398" i="2"/>
  <c r="F2399" i="2"/>
  <c r="F2400" i="2"/>
  <c r="F2401" i="2"/>
  <c r="F2402" i="2"/>
  <c r="F2403" i="2"/>
  <c r="F2404" i="2"/>
  <c r="F2405" i="2"/>
  <c r="F2406" i="2"/>
  <c r="F2407" i="2"/>
  <c r="F2408" i="2"/>
  <c r="F2409" i="2"/>
  <c r="F2410" i="2"/>
  <c r="F2411" i="2"/>
  <c r="F2412" i="2"/>
  <c r="F2413" i="2"/>
  <c r="F2414" i="2"/>
  <c r="F2415" i="2"/>
  <c r="F2416" i="2"/>
  <c r="F2417" i="2"/>
  <c r="F2418" i="2"/>
  <c r="F2419" i="2"/>
  <c r="F2420" i="2"/>
  <c r="F2421" i="2"/>
  <c r="F2422" i="2"/>
  <c r="F2423" i="2"/>
  <c r="F2424" i="2"/>
  <c r="F2425" i="2"/>
  <c r="F2426" i="2"/>
  <c r="F2427" i="2"/>
  <c r="F2428" i="2"/>
  <c r="F2429" i="2"/>
  <c r="F2430" i="2"/>
  <c r="F2431" i="2"/>
  <c r="F2432" i="2"/>
  <c r="F2433" i="2"/>
  <c r="F2434" i="2"/>
  <c r="F2435" i="2"/>
  <c r="F2436" i="2"/>
  <c r="F2437" i="2"/>
  <c r="F2438" i="2"/>
  <c r="F2439" i="2"/>
  <c r="F2440" i="2"/>
  <c r="F2441" i="2"/>
  <c r="F2442" i="2"/>
  <c r="F2443" i="2"/>
  <c r="F2444" i="2"/>
  <c r="F2445" i="2"/>
  <c r="F2446" i="2"/>
  <c r="F2447" i="2"/>
  <c r="F2448" i="2"/>
  <c r="F2449" i="2"/>
  <c r="F2450" i="2"/>
  <c r="F2451" i="2"/>
  <c r="F2452" i="2"/>
  <c r="F2453" i="2"/>
  <c r="F2454" i="2"/>
  <c r="F2455" i="2"/>
  <c r="F2456" i="2"/>
  <c r="F2457" i="2"/>
  <c r="F2458" i="2"/>
  <c r="F2459" i="2"/>
  <c r="F2460" i="2"/>
  <c r="F2461" i="2"/>
  <c r="F2462" i="2"/>
  <c r="F2463" i="2"/>
  <c r="F2464" i="2"/>
  <c r="F2465" i="2"/>
  <c r="F2466" i="2"/>
  <c r="F2467" i="2"/>
  <c r="F2468" i="2"/>
  <c r="F2469" i="2"/>
  <c r="F2470" i="2"/>
  <c r="F2471" i="2"/>
  <c r="F2472" i="2"/>
  <c r="F2473" i="2"/>
  <c r="F2474" i="2"/>
  <c r="F2475" i="2"/>
  <c r="F2476" i="2"/>
  <c r="F2477" i="2"/>
  <c r="F2478" i="2"/>
  <c r="F2479" i="2"/>
  <c r="F2480" i="2"/>
  <c r="F2481" i="2"/>
  <c r="F2482" i="2"/>
  <c r="F2483" i="2"/>
  <c r="F2484" i="2"/>
  <c r="F2485" i="2"/>
  <c r="F2486" i="2"/>
  <c r="F2487" i="2"/>
  <c r="F2488" i="2"/>
  <c r="F2489" i="2"/>
  <c r="F2490" i="2"/>
  <c r="F2491" i="2"/>
  <c r="F2492" i="2"/>
  <c r="F2493" i="2"/>
  <c r="F2494" i="2"/>
  <c r="F2495" i="2"/>
  <c r="F2496" i="2"/>
  <c r="F2497" i="2"/>
  <c r="F2498" i="2"/>
  <c r="F2499" i="2"/>
  <c r="F2500" i="2"/>
  <c r="F2501" i="2"/>
  <c r="F2502" i="2"/>
  <c r="F2503" i="2"/>
  <c r="F2504" i="2"/>
  <c r="F2505" i="2"/>
  <c r="F2506" i="2"/>
  <c r="F2507" i="2"/>
  <c r="F2508" i="2"/>
  <c r="F2509" i="2"/>
  <c r="F2510" i="2"/>
  <c r="F2511" i="2"/>
  <c r="F2512" i="2"/>
  <c r="F2513" i="2"/>
  <c r="F2514" i="2"/>
  <c r="F2515" i="2"/>
  <c r="F2516" i="2"/>
  <c r="F2517" i="2"/>
  <c r="F2518" i="2"/>
  <c r="F2519" i="2"/>
  <c r="F2520" i="2"/>
  <c r="F2521" i="2"/>
  <c r="F2522" i="2"/>
  <c r="F2523" i="2"/>
  <c r="F2524" i="2"/>
  <c r="F2525" i="2"/>
  <c r="F2526" i="2"/>
  <c r="F2527" i="2"/>
  <c r="F2528" i="2"/>
  <c r="F2529" i="2"/>
  <c r="F2530" i="2"/>
  <c r="F2531" i="2"/>
  <c r="F2532" i="2"/>
  <c r="F2533" i="2"/>
  <c r="F2534" i="2"/>
  <c r="F2535" i="2"/>
  <c r="F2536" i="2"/>
  <c r="F2537" i="2"/>
  <c r="F2538" i="2"/>
  <c r="F2539" i="2"/>
  <c r="F2540" i="2"/>
  <c r="F2541" i="2"/>
  <c r="F2542" i="2"/>
  <c r="F2543" i="2"/>
  <c r="F2544" i="2"/>
  <c r="F2545" i="2"/>
  <c r="F2546" i="2"/>
  <c r="F2547" i="2"/>
  <c r="F2548" i="2"/>
  <c r="F2549" i="2"/>
  <c r="F2550" i="2"/>
  <c r="F2551" i="2"/>
  <c r="F2552" i="2"/>
  <c r="F2553" i="2"/>
  <c r="F2554" i="2"/>
  <c r="F2555" i="2"/>
  <c r="F2556" i="2"/>
  <c r="F2557" i="2"/>
  <c r="F2558" i="2"/>
  <c r="F2559" i="2"/>
  <c r="F2560" i="2"/>
  <c r="F2561" i="2"/>
  <c r="F2562" i="2"/>
  <c r="F2563" i="2"/>
  <c r="F2564" i="2"/>
  <c r="F2565" i="2"/>
  <c r="F2566" i="2"/>
  <c r="F2567" i="2"/>
  <c r="F2568" i="2"/>
  <c r="F2569" i="2"/>
  <c r="F2570" i="2"/>
  <c r="F2571" i="2"/>
  <c r="F2572" i="2"/>
  <c r="F2573" i="2"/>
  <c r="F2574" i="2"/>
  <c r="F2575" i="2"/>
  <c r="F2576" i="2"/>
  <c r="F2577" i="2"/>
  <c r="F2578" i="2"/>
  <c r="F2579" i="2"/>
  <c r="F2580" i="2"/>
  <c r="F2581" i="2"/>
  <c r="F2582" i="2"/>
  <c r="F2583" i="2"/>
  <c r="F2584" i="2"/>
  <c r="F2585" i="2"/>
  <c r="F2586" i="2"/>
  <c r="F2587" i="2"/>
  <c r="F2588" i="2"/>
  <c r="F2589" i="2"/>
  <c r="F2590" i="2"/>
  <c r="F2591" i="2"/>
  <c r="F2592" i="2"/>
  <c r="F2593" i="2"/>
  <c r="F2594" i="2"/>
  <c r="F2595" i="2"/>
  <c r="F2596" i="2"/>
  <c r="F2597" i="2"/>
  <c r="F2598" i="2"/>
  <c r="F2599" i="2"/>
  <c r="F2600" i="2"/>
  <c r="F2601" i="2"/>
  <c r="F2602" i="2"/>
  <c r="F2603" i="2"/>
  <c r="F2604" i="2"/>
  <c r="F2605" i="2"/>
  <c r="F2606" i="2"/>
  <c r="F2607" i="2"/>
  <c r="F2608" i="2"/>
  <c r="F2609" i="2"/>
  <c r="F2610" i="2"/>
  <c r="F2611" i="2"/>
  <c r="F2612" i="2"/>
  <c r="F2613" i="2"/>
  <c r="F2614" i="2"/>
  <c r="F2615" i="2"/>
  <c r="F2616" i="2"/>
  <c r="F2617" i="2"/>
  <c r="F2618" i="2"/>
  <c r="F2619" i="2"/>
  <c r="F2620" i="2"/>
  <c r="F2621" i="2"/>
  <c r="F2622" i="2"/>
  <c r="F2623" i="2"/>
  <c r="F2624" i="2"/>
  <c r="F2625" i="2"/>
  <c r="F2626" i="2"/>
  <c r="F2627" i="2"/>
  <c r="F2628" i="2"/>
  <c r="F2629" i="2"/>
  <c r="F2630" i="2"/>
  <c r="F2631" i="2"/>
  <c r="F2632" i="2"/>
  <c r="F2633" i="2"/>
  <c r="F2634" i="2"/>
  <c r="F2635" i="2"/>
  <c r="F2636" i="2"/>
  <c r="F2637" i="2"/>
  <c r="F2638" i="2"/>
  <c r="F2639" i="2"/>
  <c r="F2640" i="2"/>
  <c r="F2641" i="2"/>
  <c r="F2642" i="2"/>
  <c r="F2643" i="2"/>
  <c r="F2644" i="2"/>
  <c r="F2645" i="2"/>
  <c r="F2646" i="2"/>
  <c r="F2647" i="2"/>
  <c r="F2648" i="2"/>
  <c r="F2649" i="2"/>
  <c r="F2650" i="2"/>
  <c r="F2651" i="2"/>
  <c r="F2652" i="2"/>
  <c r="F2653" i="2"/>
  <c r="F2654" i="2"/>
  <c r="F2655" i="2"/>
  <c r="F2656" i="2"/>
  <c r="F2657" i="2"/>
  <c r="F2658" i="2"/>
  <c r="F2659" i="2"/>
  <c r="F2660" i="2"/>
  <c r="F2661" i="2"/>
  <c r="F2662" i="2"/>
  <c r="F2663" i="2"/>
  <c r="F2664" i="2"/>
  <c r="F2665" i="2"/>
  <c r="F2666" i="2"/>
  <c r="F2667" i="2"/>
  <c r="F2668" i="2"/>
  <c r="F2669" i="2"/>
  <c r="F2670" i="2"/>
  <c r="F2671" i="2"/>
  <c r="F2672" i="2"/>
  <c r="F2673" i="2"/>
  <c r="F2674" i="2"/>
  <c r="F2675" i="2"/>
  <c r="F2676" i="2"/>
  <c r="F2677" i="2"/>
  <c r="F2678" i="2"/>
  <c r="F2679" i="2"/>
  <c r="F2680" i="2"/>
  <c r="F2681" i="2"/>
  <c r="F2682" i="2"/>
  <c r="F2683" i="2"/>
  <c r="F2684" i="2"/>
  <c r="F2685" i="2"/>
  <c r="F2686" i="2"/>
  <c r="F2687" i="2"/>
  <c r="F2688" i="2"/>
  <c r="F2689" i="2"/>
  <c r="F2690" i="2"/>
  <c r="F2691" i="2"/>
  <c r="F2692" i="2"/>
  <c r="F2693" i="2"/>
  <c r="F2694" i="2"/>
  <c r="F2695" i="2"/>
  <c r="F2696" i="2"/>
  <c r="F2697" i="2"/>
  <c r="F2698" i="2"/>
  <c r="F2699" i="2"/>
  <c r="F2700" i="2"/>
  <c r="F2701" i="2"/>
  <c r="F2702" i="2"/>
  <c r="F2703" i="2"/>
  <c r="F2704" i="2"/>
  <c r="F2705" i="2"/>
  <c r="F2706" i="2"/>
  <c r="F2707" i="2"/>
  <c r="F2708" i="2"/>
  <c r="F2709" i="2"/>
  <c r="F2710" i="2"/>
  <c r="F2711" i="2"/>
  <c r="F2712" i="2"/>
  <c r="F2713" i="2"/>
  <c r="F2714" i="2"/>
  <c r="F2715" i="2"/>
  <c r="F2716" i="2"/>
  <c r="F2717" i="2"/>
  <c r="F2718" i="2"/>
  <c r="F2719" i="2"/>
  <c r="F2720" i="2"/>
  <c r="F2721" i="2"/>
  <c r="F2722" i="2"/>
  <c r="F2723" i="2"/>
  <c r="F2724" i="2"/>
  <c r="F2725" i="2"/>
  <c r="F2726" i="2"/>
  <c r="F2727" i="2"/>
  <c r="F2728" i="2"/>
  <c r="F2729" i="2"/>
  <c r="F2730" i="2"/>
  <c r="F2731" i="2"/>
  <c r="F2732" i="2"/>
  <c r="F2733" i="2"/>
  <c r="F2734" i="2"/>
  <c r="F2735" i="2"/>
  <c r="F2736" i="2"/>
  <c r="F2737" i="2"/>
  <c r="F2738" i="2"/>
  <c r="F2739" i="2"/>
  <c r="F2740" i="2"/>
  <c r="F2741" i="2"/>
  <c r="F2742" i="2"/>
  <c r="F2743" i="2"/>
  <c r="F2744" i="2"/>
  <c r="F2745" i="2"/>
  <c r="F2746" i="2"/>
  <c r="F2747" i="2"/>
  <c r="F2748" i="2"/>
  <c r="F2749" i="2"/>
  <c r="F2750" i="2"/>
  <c r="F2751" i="2"/>
  <c r="F2752" i="2"/>
  <c r="F2753" i="2"/>
  <c r="F2754" i="2"/>
  <c r="F2755" i="2"/>
  <c r="F2756" i="2"/>
  <c r="F2757" i="2"/>
  <c r="F2758" i="2"/>
  <c r="F2759" i="2"/>
  <c r="F2760" i="2"/>
  <c r="F2761" i="2"/>
  <c r="F2762" i="2"/>
  <c r="F2763" i="2"/>
  <c r="F2764" i="2"/>
  <c r="F2765" i="2"/>
  <c r="F2766" i="2"/>
  <c r="F2767" i="2"/>
  <c r="F2768" i="2"/>
  <c r="F2769" i="2"/>
  <c r="F2770" i="2"/>
  <c r="F2771" i="2"/>
  <c r="F2772" i="2"/>
  <c r="F2773" i="2"/>
  <c r="F2774" i="2"/>
  <c r="F2775" i="2"/>
  <c r="F2776" i="2"/>
  <c r="F2777" i="2"/>
  <c r="F2778" i="2"/>
  <c r="F2779" i="2"/>
  <c r="F2780" i="2"/>
  <c r="F2781" i="2"/>
  <c r="F2782" i="2"/>
  <c r="F2783" i="2"/>
  <c r="F2784" i="2"/>
  <c r="F2785" i="2"/>
  <c r="F2786" i="2"/>
  <c r="F2787" i="2"/>
  <c r="F2788" i="2"/>
  <c r="F2789" i="2"/>
  <c r="F2790" i="2"/>
  <c r="F2791" i="2"/>
  <c r="F2792" i="2"/>
  <c r="F2793" i="2"/>
  <c r="F2794" i="2"/>
  <c r="F2795" i="2"/>
  <c r="F2796" i="2"/>
  <c r="F2797" i="2"/>
  <c r="F2798" i="2"/>
  <c r="F2799" i="2"/>
  <c r="F2800" i="2"/>
  <c r="F2801" i="2"/>
  <c r="F2802" i="2"/>
  <c r="F2803" i="2"/>
  <c r="F2804" i="2"/>
  <c r="F2805" i="2"/>
  <c r="F2806" i="2"/>
  <c r="F2807" i="2"/>
  <c r="F2808" i="2"/>
  <c r="F2809" i="2"/>
  <c r="F2810" i="2"/>
  <c r="F2811" i="2"/>
  <c r="F2812" i="2"/>
  <c r="F2813" i="2"/>
  <c r="F2814" i="2"/>
  <c r="F2815" i="2"/>
  <c r="F2816" i="2"/>
  <c r="F2817" i="2"/>
  <c r="F2818" i="2"/>
  <c r="F2819" i="2"/>
  <c r="F2820" i="2"/>
  <c r="F2821" i="2"/>
  <c r="F2822" i="2"/>
  <c r="F2823" i="2"/>
  <c r="F2824" i="2"/>
  <c r="F2825" i="2"/>
  <c r="F2826" i="2"/>
  <c r="F2827" i="2"/>
  <c r="F2828" i="2"/>
  <c r="F2829" i="2"/>
  <c r="F2830" i="2"/>
  <c r="F2831" i="2"/>
  <c r="F2832" i="2"/>
  <c r="F2833" i="2"/>
  <c r="F2834" i="2"/>
  <c r="F2835" i="2"/>
  <c r="F2836" i="2"/>
  <c r="F2837" i="2"/>
  <c r="F2838" i="2"/>
  <c r="F2839" i="2"/>
  <c r="F2840" i="2"/>
  <c r="F2841" i="2"/>
  <c r="F2842" i="2"/>
  <c r="F2843" i="2"/>
  <c r="F2844" i="2"/>
  <c r="F2845" i="2"/>
  <c r="F2846" i="2"/>
  <c r="F2847" i="2"/>
  <c r="F2848" i="2"/>
  <c r="F2849" i="2"/>
  <c r="F2850" i="2"/>
  <c r="F2851" i="2"/>
  <c r="F2852" i="2"/>
  <c r="F2853" i="2"/>
  <c r="F2854" i="2"/>
  <c r="F2855" i="2"/>
  <c r="F2856" i="2"/>
  <c r="F2857" i="2"/>
  <c r="F2858" i="2"/>
  <c r="F2859" i="2"/>
  <c r="F2860" i="2"/>
  <c r="F2861" i="2"/>
  <c r="F2862" i="2"/>
  <c r="F2863" i="2"/>
  <c r="F2864" i="2"/>
  <c r="F2865" i="2"/>
  <c r="F2866" i="2"/>
  <c r="F2867" i="2"/>
  <c r="F2868" i="2"/>
  <c r="F2869" i="2"/>
  <c r="F2870" i="2"/>
  <c r="F2871" i="2"/>
  <c r="F2872" i="2"/>
  <c r="F2873" i="2"/>
  <c r="F2874" i="2"/>
  <c r="F2875" i="2"/>
  <c r="F2876" i="2"/>
  <c r="F2877" i="2"/>
  <c r="F2878" i="2"/>
  <c r="F2879" i="2"/>
  <c r="F2880" i="2"/>
  <c r="F2881" i="2"/>
  <c r="F2882" i="2"/>
  <c r="F2883" i="2"/>
  <c r="F2884" i="2"/>
  <c r="F2885" i="2"/>
  <c r="F2886" i="2"/>
  <c r="F2887" i="2"/>
  <c r="F2888" i="2"/>
  <c r="F2889" i="2"/>
  <c r="F2890" i="2"/>
  <c r="F2891" i="2"/>
  <c r="F2892" i="2"/>
  <c r="F2893" i="2"/>
  <c r="F2894" i="2"/>
  <c r="F2895" i="2"/>
  <c r="F2896" i="2"/>
  <c r="F2897" i="2"/>
  <c r="F2898" i="2"/>
  <c r="F2899" i="2"/>
  <c r="F2900" i="2"/>
  <c r="F2901" i="2"/>
  <c r="F2902" i="2"/>
  <c r="F2903" i="2"/>
  <c r="F2904" i="2"/>
  <c r="F2905" i="2"/>
  <c r="F2906" i="2"/>
  <c r="F2907" i="2"/>
  <c r="F2908" i="2"/>
  <c r="F2909" i="2"/>
  <c r="F2910" i="2"/>
  <c r="F2911" i="2"/>
  <c r="F2912" i="2"/>
  <c r="F2913" i="2"/>
  <c r="F2914" i="2"/>
  <c r="F2915" i="2"/>
  <c r="F2916" i="2"/>
  <c r="F2917" i="2"/>
  <c r="F2918" i="2"/>
  <c r="F2919" i="2"/>
  <c r="F2920" i="2"/>
  <c r="F2921" i="2"/>
  <c r="F2922" i="2"/>
  <c r="F2923" i="2"/>
  <c r="F2924" i="2"/>
  <c r="F2925" i="2"/>
  <c r="F2926" i="2"/>
  <c r="F2927" i="2"/>
  <c r="F2928" i="2"/>
  <c r="F2929" i="2"/>
  <c r="F2930" i="2"/>
  <c r="F2931" i="2"/>
  <c r="F2932" i="2"/>
  <c r="F2933" i="2"/>
  <c r="F2934" i="2"/>
  <c r="F2935" i="2"/>
  <c r="F2936" i="2"/>
  <c r="F2937" i="2"/>
  <c r="F2938" i="2"/>
  <c r="F2939" i="2"/>
  <c r="F2940" i="2"/>
  <c r="F2941" i="2"/>
  <c r="F2942" i="2"/>
  <c r="F2943" i="2"/>
  <c r="F2944" i="2"/>
  <c r="F2945" i="2"/>
  <c r="F2946" i="2"/>
  <c r="F2947" i="2"/>
  <c r="F2948" i="2"/>
  <c r="F2949" i="2"/>
  <c r="F2950" i="2"/>
  <c r="F2951" i="2"/>
  <c r="F2952" i="2"/>
  <c r="F2953" i="2"/>
  <c r="F2954" i="2"/>
  <c r="F2955" i="2"/>
  <c r="F2956" i="2"/>
  <c r="F2957" i="2"/>
  <c r="F2958" i="2"/>
  <c r="F2959" i="2"/>
  <c r="F2960" i="2"/>
  <c r="F2961" i="2"/>
  <c r="F2962" i="2"/>
  <c r="F2963" i="2"/>
  <c r="F2964" i="2"/>
  <c r="F2965" i="2"/>
  <c r="F2966" i="2"/>
  <c r="F2967" i="2"/>
  <c r="F2968" i="2"/>
  <c r="F2969" i="2"/>
  <c r="F2970" i="2"/>
  <c r="F2971" i="2"/>
  <c r="F2972" i="2"/>
  <c r="F2973" i="2"/>
  <c r="F2974" i="2"/>
  <c r="F2975" i="2"/>
  <c r="F2976" i="2"/>
  <c r="F2977" i="2"/>
  <c r="F2978" i="2"/>
  <c r="F2979" i="2"/>
  <c r="F2980" i="2"/>
  <c r="F2981" i="2"/>
  <c r="F2982" i="2"/>
  <c r="F2983" i="2"/>
  <c r="F2984" i="2"/>
  <c r="F2985" i="2"/>
  <c r="F2986" i="2"/>
  <c r="F2987" i="2"/>
  <c r="F2988" i="2"/>
  <c r="F2989" i="2"/>
  <c r="F2990" i="2"/>
  <c r="F2991" i="2"/>
  <c r="F2992" i="2"/>
  <c r="F2993" i="2"/>
  <c r="F2994" i="2"/>
  <c r="F2995" i="2"/>
  <c r="F2996" i="2"/>
  <c r="F2997" i="2"/>
  <c r="F2998" i="2"/>
  <c r="F2999" i="2"/>
  <c r="F3000" i="2"/>
  <c r="F3001" i="2"/>
  <c r="F3002" i="2"/>
  <c r="F3003" i="2"/>
  <c r="F3004" i="2"/>
  <c r="F3005" i="2"/>
  <c r="F3006" i="2"/>
  <c r="F3007" i="2"/>
  <c r="F3008" i="2"/>
  <c r="F3009" i="2"/>
  <c r="F3010" i="2"/>
  <c r="F3011" i="2"/>
  <c r="F3012" i="2"/>
  <c r="F3013" i="2"/>
  <c r="F3014" i="2"/>
  <c r="F3015" i="2"/>
  <c r="F3016" i="2"/>
  <c r="F3017" i="2"/>
  <c r="F3018" i="2"/>
  <c r="F3019" i="2"/>
  <c r="F3020" i="2"/>
  <c r="F3021" i="2"/>
  <c r="F3022" i="2"/>
  <c r="F3023" i="2"/>
  <c r="F3024" i="2"/>
  <c r="F3025" i="2"/>
  <c r="F3026" i="2"/>
  <c r="F3027" i="2"/>
  <c r="F3028" i="2"/>
  <c r="F3029" i="2"/>
  <c r="F3030" i="2"/>
  <c r="F3031" i="2"/>
  <c r="F3032" i="2"/>
  <c r="F3033" i="2"/>
  <c r="F3034" i="2"/>
  <c r="F3035" i="2"/>
  <c r="F3036" i="2"/>
  <c r="F3037" i="2"/>
  <c r="F3038" i="2"/>
  <c r="F3039" i="2"/>
  <c r="F3040" i="2"/>
  <c r="F3041" i="2"/>
  <c r="F3042" i="2"/>
  <c r="F3043" i="2"/>
  <c r="F3044" i="2"/>
  <c r="F3045" i="2"/>
  <c r="F3046" i="2"/>
  <c r="F3047" i="2"/>
  <c r="F3048" i="2"/>
  <c r="F3049" i="2"/>
  <c r="F3050" i="2"/>
  <c r="F3051" i="2"/>
  <c r="F3052" i="2"/>
  <c r="F3053" i="2"/>
  <c r="F3054" i="2"/>
  <c r="F3055" i="2"/>
  <c r="F3056" i="2"/>
  <c r="F3057" i="2"/>
  <c r="F3058" i="2"/>
  <c r="F3059" i="2"/>
  <c r="F3060" i="2"/>
  <c r="F3061" i="2"/>
  <c r="F3062" i="2"/>
  <c r="F3063" i="2"/>
  <c r="F3064" i="2"/>
  <c r="F3065" i="2"/>
  <c r="F3066" i="2"/>
  <c r="F3067" i="2"/>
  <c r="F3068" i="2"/>
  <c r="F3069" i="2"/>
  <c r="F3070" i="2"/>
  <c r="F3071" i="2"/>
  <c r="F3072" i="2"/>
  <c r="F3073" i="2"/>
  <c r="F3074" i="2"/>
  <c r="F3075" i="2"/>
  <c r="F3076" i="2"/>
  <c r="F3077" i="2"/>
  <c r="F3078" i="2"/>
  <c r="F3079" i="2"/>
  <c r="F3080" i="2"/>
  <c r="F3081" i="2"/>
  <c r="F3082" i="2"/>
  <c r="F3083" i="2"/>
  <c r="F3084" i="2"/>
  <c r="F3085" i="2"/>
  <c r="F3086" i="2"/>
  <c r="F3087" i="2"/>
  <c r="F3088" i="2"/>
  <c r="F3089" i="2"/>
  <c r="F3090" i="2"/>
  <c r="F3091" i="2"/>
  <c r="F3092" i="2"/>
  <c r="F3093" i="2"/>
  <c r="F3094" i="2"/>
  <c r="F3095" i="2"/>
  <c r="F3096" i="2"/>
  <c r="F3097" i="2"/>
  <c r="F3098" i="2"/>
  <c r="F3099" i="2"/>
  <c r="F3100" i="2"/>
  <c r="F3101" i="2"/>
  <c r="F3102" i="2"/>
  <c r="F3103" i="2"/>
  <c r="F3104" i="2"/>
  <c r="F3105" i="2"/>
  <c r="F3106" i="2"/>
  <c r="F3107" i="2"/>
  <c r="F3108" i="2"/>
  <c r="F3109" i="2"/>
  <c r="F3110" i="2"/>
  <c r="F3111" i="2"/>
  <c r="F3112" i="2"/>
  <c r="F3113" i="2"/>
  <c r="F3114" i="2"/>
  <c r="F3115" i="2"/>
  <c r="F3116" i="2"/>
  <c r="F3117" i="2"/>
  <c r="F3118" i="2"/>
  <c r="F3119" i="2"/>
  <c r="F3120" i="2"/>
  <c r="F3121" i="2"/>
  <c r="F3122" i="2"/>
  <c r="F3123" i="2"/>
  <c r="F3124" i="2"/>
  <c r="F3125" i="2"/>
  <c r="F3126" i="2"/>
  <c r="F3127" i="2"/>
  <c r="F3128" i="2"/>
  <c r="F3129" i="2"/>
  <c r="F3130" i="2"/>
  <c r="F3131" i="2"/>
  <c r="F3132" i="2"/>
  <c r="F3133" i="2"/>
  <c r="F3134" i="2"/>
  <c r="F3135" i="2"/>
  <c r="F3136" i="2"/>
  <c r="F3137" i="2"/>
  <c r="F3138" i="2"/>
  <c r="F3139" i="2"/>
  <c r="F3140" i="2"/>
  <c r="F3141" i="2"/>
  <c r="F3142" i="2"/>
  <c r="F3143" i="2"/>
  <c r="F3144" i="2"/>
  <c r="F3145" i="2"/>
  <c r="F3146" i="2"/>
  <c r="F3147" i="2"/>
  <c r="F3148" i="2"/>
  <c r="F3149" i="2"/>
  <c r="F3150" i="2"/>
  <c r="F3151" i="2"/>
  <c r="F3152" i="2"/>
  <c r="F3153" i="2"/>
  <c r="F3154" i="2"/>
  <c r="F3155" i="2"/>
  <c r="F3156" i="2"/>
  <c r="F3157" i="2"/>
  <c r="F3158" i="2"/>
  <c r="F3159" i="2"/>
  <c r="F3160" i="2"/>
  <c r="F3161" i="2"/>
  <c r="F3162" i="2"/>
  <c r="F3163" i="2"/>
  <c r="F3164" i="2"/>
  <c r="F3165" i="2"/>
  <c r="F3166" i="2"/>
  <c r="F3167" i="2"/>
  <c r="F3168" i="2"/>
  <c r="F3169" i="2"/>
  <c r="F3170" i="2"/>
  <c r="F3171" i="2"/>
  <c r="F3172" i="2"/>
  <c r="F3173" i="2"/>
  <c r="F3174" i="2"/>
  <c r="F3175" i="2"/>
  <c r="F3176" i="2"/>
  <c r="F3177" i="2"/>
  <c r="F3178" i="2"/>
  <c r="F3179" i="2"/>
  <c r="F3180" i="2"/>
  <c r="F3181" i="2"/>
  <c r="F3182" i="2"/>
  <c r="F3183" i="2"/>
  <c r="F3184" i="2"/>
  <c r="F3185" i="2"/>
  <c r="F3186" i="2"/>
  <c r="F3187" i="2"/>
  <c r="F3188" i="2"/>
  <c r="F3189" i="2"/>
  <c r="F3190" i="2"/>
  <c r="F3191" i="2"/>
  <c r="F3192" i="2"/>
  <c r="F3193" i="2"/>
  <c r="F3194" i="2"/>
  <c r="F3195" i="2"/>
  <c r="F3196" i="2"/>
  <c r="F3197" i="2"/>
  <c r="F3198" i="2"/>
  <c r="F3199" i="2"/>
  <c r="F3200" i="2"/>
  <c r="F3201" i="2"/>
  <c r="F3202" i="2"/>
  <c r="F3203" i="2"/>
  <c r="F3204" i="2"/>
  <c r="F3205" i="2"/>
  <c r="F3206" i="2"/>
  <c r="F3207" i="2"/>
  <c r="F3208" i="2"/>
  <c r="F3209" i="2"/>
  <c r="F3210" i="2"/>
  <c r="F3211" i="2"/>
  <c r="F3212" i="2"/>
  <c r="F3213" i="2"/>
  <c r="F3214" i="2"/>
  <c r="F3215" i="2"/>
  <c r="F3216" i="2"/>
  <c r="F3217" i="2"/>
  <c r="F3218" i="2"/>
  <c r="F3219" i="2"/>
  <c r="F3220" i="2"/>
  <c r="F3221" i="2"/>
  <c r="F3222" i="2"/>
  <c r="F3223" i="2"/>
  <c r="F3224" i="2"/>
  <c r="F3225" i="2"/>
  <c r="F3226" i="2"/>
  <c r="F3227" i="2"/>
  <c r="F3228" i="2"/>
  <c r="F3229" i="2"/>
  <c r="F3230" i="2"/>
  <c r="F3231" i="2"/>
  <c r="F3232" i="2"/>
  <c r="F3233" i="2"/>
  <c r="F3234" i="2"/>
  <c r="F3235" i="2"/>
  <c r="F3236" i="2"/>
  <c r="F3237" i="2"/>
  <c r="F3238" i="2"/>
  <c r="F3239" i="2"/>
  <c r="F3240" i="2"/>
  <c r="F3241" i="2"/>
  <c r="F3242" i="2"/>
  <c r="F3243" i="2"/>
  <c r="F3244" i="2"/>
  <c r="F3245" i="2"/>
  <c r="F3246" i="2"/>
  <c r="F3247" i="2"/>
  <c r="F3248" i="2"/>
  <c r="F3249" i="2"/>
  <c r="F3250" i="2"/>
  <c r="F3251" i="2"/>
  <c r="F3252" i="2"/>
  <c r="F3253" i="2"/>
  <c r="F3254" i="2"/>
  <c r="F3255" i="2"/>
  <c r="F3256" i="2"/>
  <c r="F3257" i="2"/>
  <c r="F3258" i="2"/>
  <c r="F3259" i="2"/>
  <c r="F3260" i="2"/>
  <c r="F3261" i="2"/>
  <c r="F3262" i="2"/>
  <c r="F3263" i="2"/>
  <c r="F3264" i="2"/>
  <c r="F3265" i="2"/>
  <c r="F3266" i="2"/>
  <c r="F3267" i="2"/>
  <c r="F3268" i="2"/>
  <c r="F3269" i="2"/>
  <c r="F3270" i="2"/>
  <c r="F3271" i="2"/>
  <c r="F3272" i="2"/>
  <c r="F3273" i="2"/>
  <c r="F3274" i="2"/>
  <c r="F3275" i="2"/>
  <c r="F3276" i="2"/>
  <c r="F3277" i="2"/>
  <c r="F3278" i="2"/>
  <c r="F3279" i="2"/>
  <c r="F3280" i="2"/>
  <c r="F3281" i="2"/>
  <c r="F3282" i="2"/>
  <c r="F3283" i="2"/>
  <c r="F3284" i="2"/>
  <c r="F3285" i="2"/>
  <c r="F3286" i="2"/>
  <c r="F3287" i="2"/>
  <c r="F3288" i="2"/>
  <c r="F3289" i="2"/>
  <c r="F3290" i="2"/>
  <c r="F3291" i="2"/>
  <c r="F3292" i="2"/>
  <c r="F3293" i="2"/>
  <c r="F3294" i="2"/>
  <c r="F3295" i="2"/>
  <c r="F3296" i="2"/>
  <c r="F3297" i="2"/>
  <c r="F3298" i="2"/>
  <c r="F3299" i="2"/>
  <c r="F3300" i="2"/>
  <c r="F3301" i="2"/>
  <c r="F3302" i="2"/>
  <c r="F3303" i="2"/>
  <c r="F3304" i="2"/>
  <c r="F3305" i="2"/>
  <c r="F3306" i="2"/>
  <c r="F3307" i="2"/>
  <c r="F3308" i="2"/>
  <c r="F3309" i="2"/>
  <c r="F3310" i="2"/>
  <c r="F3311" i="2"/>
  <c r="F3312" i="2"/>
  <c r="F3313" i="2"/>
  <c r="F3314" i="2"/>
  <c r="F3315" i="2"/>
  <c r="F3316" i="2"/>
  <c r="F3317" i="2"/>
  <c r="F3318" i="2"/>
  <c r="F3319" i="2"/>
  <c r="F3320" i="2"/>
  <c r="F3321" i="2"/>
  <c r="F3322" i="2"/>
  <c r="F3323" i="2"/>
  <c r="F3324" i="2"/>
  <c r="F3325" i="2"/>
  <c r="F3326" i="2"/>
  <c r="F3327" i="2"/>
  <c r="F3328" i="2"/>
  <c r="F3329" i="2"/>
  <c r="F3330" i="2"/>
  <c r="F3331" i="2"/>
  <c r="F3332" i="2"/>
  <c r="F3333" i="2"/>
  <c r="F3334" i="2"/>
  <c r="F3335" i="2"/>
  <c r="F3336" i="2"/>
  <c r="F3337" i="2"/>
  <c r="F3338" i="2"/>
  <c r="F3339" i="2"/>
  <c r="F3340" i="2"/>
  <c r="F3341" i="2"/>
  <c r="F3342" i="2"/>
  <c r="F3343" i="2"/>
  <c r="F3344" i="2"/>
  <c r="F3345" i="2"/>
  <c r="F3346" i="2"/>
  <c r="F3347" i="2"/>
  <c r="F3348" i="2"/>
  <c r="F3349" i="2"/>
  <c r="F3350" i="2"/>
  <c r="F3351" i="2"/>
  <c r="F3352" i="2"/>
  <c r="F3353" i="2"/>
  <c r="F3354" i="2"/>
  <c r="F3355" i="2"/>
  <c r="F3356" i="2"/>
  <c r="F3357" i="2"/>
  <c r="F3358" i="2"/>
  <c r="F3359" i="2"/>
  <c r="F3360" i="2"/>
  <c r="F3361" i="2"/>
  <c r="F3362" i="2"/>
  <c r="F3363" i="2"/>
  <c r="F3364" i="2"/>
  <c r="F3365" i="2"/>
  <c r="F3366" i="2"/>
  <c r="F3367" i="2"/>
  <c r="F3368" i="2"/>
  <c r="F3369" i="2"/>
  <c r="F3370" i="2"/>
  <c r="F3371" i="2"/>
  <c r="F3372" i="2"/>
  <c r="F3373" i="2"/>
  <c r="F3374" i="2"/>
  <c r="F3375" i="2"/>
  <c r="F3376" i="2"/>
  <c r="F3377" i="2"/>
  <c r="F3378" i="2"/>
  <c r="F3379" i="2"/>
  <c r="F3380" i="2"/>
  <c r="F3381" i="2"/>
  <c r="F3382" i="2"/>
  <c r="F3383" i="2"/>
  <c r="F3384" i="2"/>
  <c r="F3385" i="2"/>
  <c r="F3386" i="2"/>
  <c r="F3387" i="2"/>
  <c r="F3388" i="2"/>
  <c r="F3389" i="2"/>
  <c r="F3390" i="2"/>
  <c r="F3391" i="2"/>
  <c r="F3392" i="2"/>
  <c r="F3393" i="2"/>
  <c r="F3394" i="2"/>
  <c r="F3395" i="2"/>
  <c r="F3396" i="2"/>
  <c r="F3397" i="2"/>
  <c r="F3398" i="2"/>
  <c r="F3399" i="2"/>
  <c r="F3400" i="2"/>
  <c r="F3401" i="2"/>
  <c r="F3402" i="2"/>
  <c r="F3403" i="2"/>
  <c r="F3404" i="2"/>
  <c r="F3405" i="2"/>
  <c r="F3406" i="2"/>
  <c r="F3407" i="2"/>
  <c r="F3408" i="2"/>
  <c r="F3409" i="2"/>
  <c r="F3410" i="2"/>
  <c r="F3411" i="2"/>
  <c r="F3412" i="2"/>
  <c r="F3413" i="2"/>
  <c r="F3414" i="2"/>
  <c r="F3415" i="2"/>
  <c r="F3416" i="2"/>
  <c r="F3417" i="2"/>
  <c r="F3418" i="2"/>
  <c r="F3419" i="2"/>
  <c r="F3420" i="2"/>
  <c r="F3421" i="2"/>
  <c r="F3422" i="2"/>
  <c r="F3423" i="2"/>
  <c r="F3424" i="2"/>
  <c r="F3425" i="2"/>
  <c r="F3426" i="2"/>
  <c r="F3427" i="2"/>
  <c r="F3428" i="2"/>
  <c r="F3429" i="2"/>
  <c r="F3430" i="2"/>
  <c r="F3431" i="2"/>
  <c r="F3432" i="2"/>
  <c r="F3433" i="2"/>
  <c r="F3434" i="2"/>
  <c r="F3435" i="2"/>
  <c r="F3436" i="2"/>
  <c r="F3437" i="2"/>
  <c r="F3438" i="2"/>
  <c r="F3439" i="2"/>
  <c r="F3440" i="2"/>
  <c r="F3441" i="2"/>
  <c r="F3442" i="2"/>
  <c r="F3443" i="2"/>
  <c r="F3444" i="2"/>
  <c r="F3445" i="2"/>
  <c r="F3446" i="2"/>
  <c r="F3447" i="2"/>
  <c r="F3448" i="2"/>
  <c r="F3449" i="2"/>
  <c r="F3450" i="2"/>
  <c r="F3451" i="2"/>
  <c r="F3452" i="2"/>
  <c r="F3453" i="2"/>
  <c r="F3454" i="2"/>
  <c r="F3455" i="2"/>
  <c r="F3456" i="2"/>
  <c r="F3457" i="2"/>
  <c r="F3458" i="2"/>
  <c r="F3459" i="2"/>
  <c r="F3460" i="2"/>
  <c r="F3461" i="2"/>
  <c r="F3462" i="2"/>
  <c r="F3463" i="2"/>
  <c r="F3464" i="2"/>
  <c r="F3465" i="2"/>
  <c r="F3466" i="2"/>
  <c r="F3467" i="2"/>
  <c r="F3468" i="2"/>
  <c r="F3469" i="2"/>
  <c r="F3470" i="2"/>
  <c r="F3471" i="2"/>
  <c r="F3472" i="2"/>
  <c r="F3473" i="2"/>
  <c r="F3474" i="2"/>
  <c r="F3475" i="2"/>
  <c r="F3476" i="2"/>
  <c r="F3477" i="2"/>
  <c r="F3478" i="2"/>
  <c r="F3479" i="2"/>
  <c r="F3480" i="2"/>
  <c r="F3481" i="2"/>
  <c r="F3482" i="2"/>
  <c r="F3483" i="2"/>
  <c r="F3484" i="2"/>
  <c r="F3485" i="2"/>
  <c r="F3486" i="2"/>
  <c r="F3487" i="2"/>
  <c r="F3488" i="2"/>
  <c r="F3489" i="2"/>
  <c r="F3490" i="2"/>
  <c r="F3491" i="2"/>
  <c r="F3492" i="2"/>
  <c r="F3493" i="2"/>
  <c r="F3494" i="2"/>
  <c r="F3495" i="2"/>
  <c r="F3496" i="2"/>
  <c r="F3497" i="2"/>
  <c r="F3498" i="2"/>
  <c r="F3499" i="2"/>
  <c r="F3500" i="2"/>
  <c r="F3501" i="2"/>
  <c r="F3502" i="2"/>
  <c r="F3503" i="2"/>
  <c r="F3504" i="2"/>
  <c r="F3505" i="2"/>
  <c r="F3506" i="2"/>
  <c r="F3507" i="2"/>
  <c r="F3508" i="2"/>
  <c r="F3509" i="2"/>
  <c r="F3510" i="2"/>
  <c r="F3511" i="2"/>
  <c r="F3512" i="2"/>
  <c r="F3513" i="2"/>
  <c r="F3514" i="2"/>
  <c r="F3515" i="2"/>
  <c r="F3516" i="2"/>
  <c r="F3517" i="2"/>
  <c r="F3518" i="2"/>
  <c r="F3519" i="2"/>
  <c r="F3520" i="2"/>
  <c r="F3521" i="2"/>
  <c r="F3522" i="2"/>
  <c r="F3523" i="2"/>
  <c r="F3524" i="2"/>
  <c r="F3525" i="2"/>
  <c r="F3526" i="2"/>
  <c r="F3527" i="2"/>
  <c r="F3528" i="2"/>
  <c r="F3529" i="2"/>
  <c r="F3530" i="2"/>
  <c r="F3531" i="2"/>
  <c r="F3532" i="2"/>
  <c r="F3533" i="2"/>
  <c r="F3534" i="2"/>
  <c r="F3535" i="2"/>
  <c r="F3536" i="2"/>
  <c r="F3537" i="2"/>
  <c r="F3538" i="2"/>
  <c r="F3539" i="2"/>
  <c r="F3540" i="2"/>
  <c r="F3541" i="2"/>
  <c r="F3542" i="2"/>
  <c r="F3543" i="2"/>
  <c r="F3544" i="2"/>
  <c r="F3545" i="2"/>
  <c r="F3546" i="2"/>
  <c r="F3547" i="2"/>
  <c r="F3548" i="2"/>
  <c r="F3549" i="2"/>
  <c r="F3550" i="2"/>
  <c r="F3551" i="2"/>
  <c r="F3552" i="2"/>
  <c r="F3553" i="2"/>
  <c r="F3554" i="2"/>
  <c r="F3555" i="2"/>
  <c r="F3556" i="2"/>
  <c r="F3557" i="2"/>
  <c r="F3558" i="2"/>
  <c r="F3559" i="2"/>
  <c r="F3560" i="2"/>
  <c r="F3561" i="2"/>
  <c r="F3562" i="2"/>
  <c r="F3563" i="2"/>
  <c r="F3564" i="2"/>
  <c r="F3565" i="2"/>
  <c r="F3566" i="2"/>
  <c r="F3567" i="2"/>
  <c r="F3568" i="2"/>
  <c r="F3569" i="2"/>
  <c r="F3570" i="2"/>
  <c r="F3571" i="2"/>
  <c r="F3572" i="2"/>
  <c r="F3573" i="2"/>
  <c r="F3574" i="2"/>
  <c r="F3575" i="2"/>
  <c r="F3576" i="2"/>
  <c r="F3577" i="2"/>
  <c r="F3578" i="2"/>
  <c r="F3579" i="2"/>
  <c r="F3580" i="2"/>
  <c r="F3581" i="2"/>
  <c r="F3582" i="2"/>
  <c r="F3583" i="2"/>
  <c r="F3584" i="2"/>
  <c r="F3585" i="2"/>
  <c r="F3586" i="2"/>
  <c r="F3587" i="2"/>
  <c r="F3588" i="2"/>
  <c r="F3589" i="2"/>
  <c r="F3590" i="2"/>
  <c r="F3591" i="2"/>
  <c r="F3592" i="2"/>
  <c r="F3593" i="2"/>
  <c r="F3594" i="2"/>
  <c r="F3595" i="2"/>
  <c r="F3596" i="2"/>
  <c r="F3597" i="2"/>
  <c r="F3598" i="2"/>
  <c r="F3599" i="2"/>
  <c r="F3600" i="2"/>
  <c r="F3601" i="2"/>
  <c r="F3602" i="2"/>
  <c r="F3603" i="2"/>
  <c r="F3604" i="2"/>
  <c r="F3605" i="2"/>
  <c r="F3606" i="2"/>
  <c r="F3607" i="2"/>
  <c r="F3608" i="2"/>
  <c r="F3609" i="2"/>
  <c r="F3610" i="2"/>
  <c r="F3611" i="2"/>
  <c r="F3612" i="2"/>
  <c r="F3613" i="2"/>
  <c r="F3614" i="2"/>
  <c r="F3615" i="2"/>
  <c r="F3616" i="2"/>
  <c r="F3617" i="2"/>
  <c r="F3618" i="2"/>
  <c r="F3619" i="2"/>
  <c r="F3620" i="2"/>
  <c r="F3621" i="2"/>
  <c r="F3622" i="2"/>
  <c r="F3623" i="2"/>
  <c r="F3624" i="2"/>
  <c r="F3625" i="2"/>
  <c r="F3626" i="2"/>
  <c r="F3627" i="2"/>
  <c r="F3628" i="2"/>
  <c r="F3629" i="2"/>
  <c r="F3630" i="2"/>
  <c r="F3631" i="2"/>
  <c r="F3632" i="2"/>
  <c r="F3633" i="2"/>
  <c r="F3634" i="2"/>
  <c r="F3635" i="2"/>
  <c r="F3636" i="2"/>
  <c r="F3637" i="2"/>
  <c r="F3638" i="2"/>
  <c r="F3639" i="2"/>
  <c r="F3640" i="2"/>
  <c r="F3641" i="2"/>
  <c r="F3642" i="2"/>
  <c r="F3643" i="2"/>
  <c r="F3644" i="2"/>
  <c r="F3645" i="2"/>
  <c r="F3646" i="2"/>
  <c r="F3647" i="2"/>
  <c r="F3648" i="2"/>
  <c r="F3649" i="2"/>
  <c r="F3650" i="2"/>
  <c r="F3651" i="2"/>
  <c r="F3652" i="2"/>
  <c r="F3653" i="2"/>
  <c r="F3654" i="2"/>
  <c r="F3655" i="2"/>
  <c r="F3656" i="2"/>
  <c r="F3657" i="2"/>
  <c r="F3658" i="2"/>
  <c r="F3659" i="2"/>
  <c r="F3660" i="2"/>
  <c r="F3661" i="2"/>
  <c r="F3662" i="2"/>
  <c r="F3663" i="2"/>
  <c r="F3664" i="2"/>
  <c r="F3665" i="2"/>
  <c r="F3666" i="2"/>
  <c r="F3667" i="2"/>
  <c r="F3668" i="2"/>
  <c r="F3669" i="2"/>
  <c r="F3670" i="2"/>
  <c r="F3671" i="2"/>
  <c r="F3672" i="2"/>
  <c r="F3673" i="2"/>
  <c r="F3674" i="2"/>
  <c r="F3675" i="2"/>
  <c r="F3676" i="2"/>
  <c r="F3677" i="2"/>
  <c r="F3678" i="2"/>
  <c r="F3679" i="2"/>
  <c r="F3680" i="2"/>
  <c r="F3681" i="2"/>
  <c r="F3682" i="2"/>
  <c r="F3683" i="2"/>
  <c r="F3684" i="2"/>
  <c r="F3685" i="2"/>
  <c r="F3686" i="2"/>
  <c r="F3687" i="2"/>
  <c r="F3688" i="2"/>
  <c r="F3689" i="2"/>
  <c r="F3690" i="2"/>
  <c r="F3691" i="2"/>
  <c r="F3692" i="2"/>
  <c r="F3693" i="2"/>
  <c r="F3694" i="2"/>
  <c r="F3695" i="2"/>
  <c r="F3696" i="2"/>
  <c r="F3697" i="2"/>
  <c r="F3698" i="2"/>
  <c r="F3699" i="2"/>
  <c r="F3700" i="2"/>
  <c r="F3701" i="2"/>
  <c r="F3702" i="2"/>
  <c r="F3703" i="2"/>
  <c r="F3704" i="2"/>
  <c r="F3705" i="2"/>
  <c r="F3706" i="2"/>
  <c r="F3707" i="2"/>
  <c r="F3708" i="2"/>
  <c r="F3709" i="2"/>
  <c r="F3710" i="2"/>
  <c r="F3711" i="2"/>
  <c r="F3712" i="2"/>
  <c r="F3713" i="2"/>
  <c r="F3714" i="2"/>
  <c r="F3715" i="2"/>
  <c r="F3716" i="2"/>
  <c r="F3717" i="2"/>
  <c r="F3718" i="2"/>
  <c r="F3719" i="2"/>
  <c r="F3720" i="2"/>
  <c r="F3721" i="2"/>
  <c r="F3722" i="2"/>
  <c r="F3723" i="2"/>
  <c r="F3724" i="2"/>
  <c r="F3725" i="2"/>
  <c r="F3726" i="2"/>
  <c r="F3727" i="2"/>
  <c r="F3728" i="2"/>
  <c r="F3729" i="2"/>
  <c r="F3730" i="2"/>
  <c r="F3731" i="2"/>
  <c r="F3732" i="2"/>
  <c r="F3733" i="2"/>
  <c r="F3734" i="2"/>
  <c r="F3735" i="2"/>
  <c r="F3736" i="2"/>
  <c r="F3737" i="2"/>
  <c r="F3738" i="2"/>
  <c r="F3739" i="2"/>
  <c r="F3740" i="2"/>
  <c r="F3741" i="2"/>
  <c r="F3742" i="2"/>
  <c r="F3743" i="2"/>
  <c r="F3744" i="2"/>
  <c r="F3745" i="2"/>
  <c r="F3746" i="2"/>
  <c r="F3747" i="2"/>
  <c r="F3748" i="2"/>
  <c r="F3749" i="2"/>
  <c r="F3750" i="2"/>
  <c r="F3751" i="2"/>
  <c r="F3752" i="2"/>
  <c r="F3753" i="2"/>
  <c r="F3754" i="2"/>
  <c r="F3755" i="2"/>
  <c r="F3756" i="2"/>
  <c r="F3757" i="2"/>
  <c r="F3758" i="2"/>
  <c r="F3759" i="2"/>
  <c r="F3760" i="2"/>
  <c r="F3761" i="2"/>
  <c r="F3762" i="2"/>
  <c r="F3763" i="2"/>
  <c r="F3764" i="2"/>
  <c r="F3765" i="2"/>
  <c r="F3766" i="2"/>
  <c r="F3767" i="2"/>
  <c r="F3768" i="2"/>
  <c r="F3769" i="2"/>
  <c r="F3770" i="2"/>
  <c r="F3771" i="2"/>
  <c r="F3772" i="2"/>
  <c r="F3773" i="2"/>
  <c r="F3774" i="2"/>
  <c r="F3775" i="2"/>
  <c r="F3776" i="2"/>
  <c r="F3777" i="2"/>
  <c r="F3778" i="2"/>
  <c r="F3779" i="2"/>
  <c r="F3780" i="2"/>
  <c r="F3781" i="2"/>
  <c r="F3782" i="2"/>
  <c r="F3783" i="2"/>
  <c r="F3784" i="2"/>
  <c r="F3785" i="2"/>
  <c r="F3786" i="2"/>
  <c r="F3787" i="2"/>
  <c r="F3788" i="2"/>
  <c r="F3789" i="2"/>
  <c r="F3790" i="2"/>
  <c r="F3791" i="2"/>
  <c r="F3792" i="2"/>
  <c r="F3793" i="2"/>
  <c r="F3794" i="2"/>
  <c r="F3795" i="2"/>
  <c r="F3796" i="2"/>
  <c r="F3797" i="2"/>
  <c r="F3798" i="2"/>
  <c r="F3799" i="2"/>
  <c r="F3800" i="2"/>
  <c r="F3801" i="2"/>
  <c r="F3802" i="2"/>
  <c r="F3803" i="2"/>
  <c r="F3804" i="2"/>
  <c r="F3805" i="2"/>
  <c r="F3806" i="2"/>
  <c r="F3807" i="2"/>
  <c r="F3808" i="2"/>
  <c r="F3809" i="2"/>
  <c r="F3810" i="2"/>
  <c r="F3811" i="2"/>
  <c r="F3812" i="2"/>
  <c r="F3813" i="2"/>
  <c r="F3814" i="2"/>
  <c r="F3815" i="2"/>
  <c r="F3816" i="2"/>
  <c r="F3817" i="2"/>
  <c r="F3818" i="2"/>
  <c r="F3819" i="2"/>
  <c r="F3820" i="2"/>
  <c r="F3821" i="2"/>
  <c r="F3822" i="2"/>
  <c r="F3823" i="2"/>
  <c r="F3824" i="2"/>
  <c r="F3825" i="2"/>
  <c r="F3826" i="2"/>
  <c r="F3827" i="2"/>
  <c r="F3828" i="2"/>
  <c r="F3829" i="2"/>
  <c r="F3830" i="2"/>
  <c r="F3831" i="2"/>
  <c r="F3832" i="2"/>
  <c r="F3833" i="2"/>
  <c r="F3834" i="2"/>
  <c r="F3835" i="2"/>
  <c r="F3836" i="2"/>
  <c r="F3837" i="2"/>
  <c r="F3838" i="2"/>
  <c r="F3839" i="2"/>
  <c r="F3840" i="2"/>
  <c r="F3841" i="2"/>
  <c r="F3842" i="2"/>
  <c r="F3843" i="2"/>
  <c r="F3844" i="2"/>
  <c r="F3845" i="2"/>
  <c r="F3846" i="2"/>
  <c r="F3847" i="2"/>
  <c r="F3848" i="2"/>
  <c r="F3849" i="2"/>
  <c r="F3850" i="2"/>
  <c r="F3851" i="2"/>
  <c r="F3852" i="2"/>
  <c r="F3853" i="2"/>
  <c r="F3854" i="2"/>
  <c r="F3855" i="2"/>
  <c r="F3856" i="2"/>
  <c r="F3857" i="2"/>
  <c r="F3858" i="2"/>
  <c r="F3859" i="2"/>
  <c r="F3860" i="2"/>
  <c r="F3861" i="2"/>
  <c r="F3862" i="2"/>
  <c r="F3863" i="2"/>
  <c r="F3864" i="2"/>
  <c r="F3865" i="2"/>
  <c r="F3866" i="2"/>
  <c r="F3867" i="2"/>
  <c r="F3868" i="2"/>
  <c r="F3869" i="2"/>
  <c r="F3870" i="2"/>
  <c r="F3871" i="2"/>
  <c r="F3872" i="2"/>
  <c r="F3873" i="2"/>
  <c r="F3874" i="2"/>
  <c r="F3875" i="2"/>
  <c r="F3876" i="2"/>
  <c r="F3877" i="2"/>
  <c r="F3878" i="2"/>
  <c r="F3879" i="2"/>
  <c r="F3880" i="2"/>
  <c r="F3881" i="2"/>
  <c r="F3882" i="2"/>
  <c r="F3883" i="2"/>
  <c r="F3884" i="2"/>
  <c r="F3885" i="2"/>
  <c r="F3886" i="2"/>
  <c r="F3887" i="2"/>
  <c r="F3888" i="2"/>
  <c r="F3889" i="2"/>
  <c r="F3890" i="2"/>
  <c r="F3891" i="2"/>
  <c r="F3892" i="2"/>
  <c r="F3893" i="2"/>
  <c r="F3894" i="2"/>
  <c r="F3895" i="2"/>
  <c r="F3896" i="2"/>
  <c r="F3897" i="2"/>
  <c r="F3898" i="2"/>
  <c r="F3899" i="2"/>
  <c r="F3900" i="2"/>
  <c r="F3901" i="2"/>
  <c r="F3902" i="2"/>
  <c r="F3903" i="2"/>
  <c r="F3904" i="2"/>
  <c r="F3905" i="2"/>
  <c r="F3906" i="2"/>
  <c r="F3907" i="2"/>
  <c r="F3908" i="2"/>
  <c r="F3909" i="2"/>
  <c r="F3910" i="2"/>
  <c r="F3911" i="2"/>
  <c r="F3912" i="2"/>
  <c r="F3913" i="2"/>
  <c r="F3914" i="2"/>
  <c r="F3915" i="2"/>
  <c r="F3916" i="2"/>
  <c r="F3917" i="2"/>
  <c r="F3918" i="2"/>
  <c r="F3919" i="2"/>
  <c r="F3920" i="2"/>
  <c r="F3921" i="2"/>
  <c r="F3922" i="2"/>
  <c r="F3923" i="2"/>
  <c r="F3924" i="2"/>
  <c r="F3925" i="2"/>
  <c r="F3926" i="2"/>
  <c r="F3927" i="2"/>
  <c r="F3928" i="2"/>
  <c r="F3929" i="2"/>
  <c r="F3930" i="2"/>
  <c r="F3931" i="2"/>
  <c r="F3932" i="2"/>
  <c r="F3933" i="2"/>
  <c r="F3934" i="2"/>
  <c r="F3935" i="2"/>
  <c r="F3936" i="2"/>
  <c r="F3937" i="2"/>
  <c r="F3938" i="2"/>
  <c r="F3939" i="2"/>
  <c r="F3940" i="2"/>
  <c r="F3941" i="2"/>
  <c r="F3942" i="2"/>
  <c r="F3943" i="2"/>
  <c r="F3944" i="2"/>
  <c r="F3945" i="2"/>
  <c r="F3946" i="2"/>
  <c r="F3947" i="2"/>
  <c r="F3948" i="2"/>
  <c r="F3949" i="2"/>
  <c r="F3950" i="2"/>
  <c r="F3951" i="2"/>
  <c r="F3952" i="2"/>
  <c r="F3953" i="2"/>
  <c r="F3954" i="2"/>
  <c r="F3955" i="2"/>
  <c r="F3956" i="2"/>
  <c r="F3957" i="2"/>
  <c r="F3958" i="2"/>
  <c r="F3959" i="2"/>
  <c r="F3960" i="2"/>
  <c r="F3961" i="2"/>
  <c r="F3962" i="2"/>
  <c r="F3963" i="2"/>
  <c r="F3964" i="2"/>
  <c r="F3965" i="2"/>
  <c r="F3966" i="2"/>
  <c r="F3967" i="2"/>
  <c r="F3968" i="2"/>
  <c r="F3969" i="2"/>
  <c r="F3970" i="2"/>
  <c r="F3971" i="2"/>
  <c r="F3972" i="2"/>
  <c r="F3973" i="2"/>
  <c r="F3974" i="2"/>
  <c r="F3975" i="2"/>
  <c r="F3976" i="2"/>
  <c r="F3977" i="2"/>
  <c r="F3978" i="2"/>
  <c r="F3979" i="2"/>
  <c r="F3980" i="2"/>
  <c r="F3981" i="2"/>
  <c r="F3982" i="2"/>
  <c r="F3983" i="2"/>
  <c r="F3984" i="2"/>
  <c r="F3985" i="2"/>
  <c r="F3986" i="2"/>
  <c r="F3987" i="2"/>
  <c r="F3988" i="2"/>
  <c r="F3989" i="2"/>
  <c r="F3990" i="2"/>
  <c r="F3991" i="2"/>
  <c r="F3992" i="2"/>
  <c r="F3993" i="2"/>
  <c r="F3994" i="2"/>
  <c r="F3995" i="2"/>
  <c r="F3996" i="2"/>
  <c r="F3997" i="2"/>
  <c r="F3998" i="2"/>
  <c r="F3999" i="2"/>
  <c r="F4000" i="2"/>
  <c r="F4001" i="2"/>
  <c r="F4002" i="2"/>
  <c r="F4003" i="2"/>
  <c r="F4004" i="2"/>
  <c r="F4005" i="2"/>
  <c r="F4006" i="2"/>
  <c r="F4007" i="2"/>
  <c r="F4008" i="2"/>
  <c r="F4009" i="2"/>
  <c r="F4010" i="2"/>
  <c r="F4011" i="2"/>
  <c r="F4012" i="2"/>
  <c r="F4013" i="2"/>
  <c r="F4014" i="2"/>
  <c r="F4015" i="2"/>
  <c r="F4016" i="2"/>
  <c r="F4017" i="2"/>
  <c r="F4018" i="2"/>
  <c r="F4019" i="2"/>
  <c r="F4020" i="2"/>
  <c r="F4021" i="2"/>
  <c r="F4022" i="2"/>
  <c r="F4023" i="2"/>
  <c r="F4024" i="2"/>
  <c r="F4025" i="2"/>
  <c r="F4026" i="2"/>
  <c r="F4027" i="2"/>
  <c r="F4028" i="2"/>
  <c r="F4029" i="2"/>
  <c r="F4030" i="2"/>
  <c r="F4031" i="2"/>
  <c r="F4032" i="2"/>
  <c r="F4033" i="2"/>
  <c r="F4034" i="2"/>
  <c r="F4035" i="2"/>
  <c r="F4036" i="2"/>
  <c r="F4037" i="2"/>
  <c r="F4038" i="2"/>
  <c r="F4039" i="2"/>
  <c r="F4040" i="2"/>
  <c r="F4041" i="2"/>
  <c r="F4042" i="2"/>
  <c r="F4043" i="2"/>
  <c r="F4044" i="2"/>
  <c r="F4045" i="2"/>
  <c r="F4046" i="2"/>
  <c r="F4047" i="2"/>
  <c r="F4048" i="2"/>
  <c r="F4049" i="2"/>
  <c r="F4050" i="2"/>
  <c r="F4051" i="2"/>
  <c r="F4052" i="2"/>
  <c r="F4053" i="2"/>
  <c r="F4054" i="2"/>
  <c r="F4055" i="2"/>
  <c r="F4056" i="2"/>
  <c r="F4057" i="2"/>
  <c r="F4058" i="2"/>
  <c r="F4059" i="2"/>
  <c r="F4060" i="2"/>
  <c r="F4061" i="2"/>
  <c r="F4062" i="2"/>
  <c r="F4063" i="2"/>
  <c r="F4064" i="2"/>
  <c r="F4065" i="2"/>
  <c r="F4066" i="2"/>
  <c r="F4067" i="2"/>
  <c r="F4068" i="2"/>
  <c r="F4069" i="2"/>
  <c r="F4070" i="2"/>
  <c r="F4071" i="2"/>
  <c r="F4072" i="2"/>
  <c r="F4073" i="2"/>
  <c r="F4074" i="2"/>
  <c r="F4075" i="2"/>
  <c r="F4076" i="2"/>
  <c r="F4077" i="2"/>
  <c r="F4078" i="2"/>
  <c r="F4079" i="2"/>
  <c r="F4080" i="2"/>
  <c r="F4081" i="2"/>
  <c r="F4082" i="2"/>
  <c r="F4083" i="2"/>
  <c r="F4084" i="2"/>
  <c r="F4085" i="2"/>
  <c r="F4086" i="2"/>
  <c r="F4087" i="2"/>
  <c r="F4088" i="2"/>
  <c r="F4089" i="2"/>
  <c r="F4090" i="2"/>
  <c r="F4091" i="2"/>
  <c r="F4092" i="2"/>
  <c r="F4093" i="2"/>
  <c r="F4094" i="2"/>
  <c r="F4095" i="2"/>
  <c r="F4096" i="2"/>
  <c r="F4097" i="2"/>
  <c r="F4098" i="2"/>
  <c r="F4099" i="2"/>
  <c r="F4100" i="2"/>
  <c r="F4101" i="2"/>
  <c r="F4102" i="2"/>
  <c r="F4103" i="2"/>
  <c r="F4104" i="2"/>
  <c r="F4105" i="2"/>
  <c r="F4106" i="2"/>
  <c r="F4107" i="2"/>
  <c r="F4108" i="2"/>
  <c r="F4109" i="2"/>
  <c r="F4110" i="2"/>
  <c r="F4111" i="2"/>
  <c r="F4112" i="2"/>
  <c r="F4113" i="2"/>
  <c r="F4114" i="2"/>
  <c r="F4115" i="2"/>
  <c r="F4116" i="2"/>
  <c r="F4117" i="2"/>
  <c r="F4118" i="2"/>
  <c r="F4119" i="2"/>
  <c r="F4120" i="2"/>
  <c r="F4121" i="2"/>
  <c r="F4122" i="2"/>
  <c r="F4123" i="2"/>
  <c r="F4124" i="2"/>
  <c r="F4125" i="2"/>
  <c r="F4126" i="2"/>
  <c r="F4127" i="2"/>
  <c r="F4128" i="2"/>
  <c r="F4129" i="2"/>
  <c r="F4130" i="2"/>
  <c r="F4131" i="2"/>
  <c r="F4132" i="2"/>
  <c r="F4133" i="2"/>
  <c r="F4134" i="2"/>
  <c r="F4135" i="2"/>
  <c r="F4136" i="2"/>
  <c r="F4137" i="2"/>
  <c r="F4138" i="2"/>
  <c r="F4139" i="2"/>
  <c r="F4140" i="2"/>
  <c r="F4141" i="2"/>
  <c r="F4142" i="2"/>
  <c r="F4143" i="2"/>
  <c r="F4144" i="2"/>
  <c r="F4145" i="2"/>
  <c r="F4146" i="2"/>
  <c r="F4147" i="2"/>
  <c r="F4148" i="2"/>
  <c r="F4149" i="2"/>
  <c r="F4150" i="2"/>
  <c r="F4151" i="2"/>
  <c r="F4152" i="2"/>
  <c r="F4153" i="2"/>
  <c r="F4154" i="2"/>
  <c r="F4155" i="2"/>
  <c r="F4156" i="2"/>
  <c r="F4157" i="2"/>
  <c r="F4158" i="2"/>
  <c r="F4159" i="2"/>
  <c r="F4160" i="2"/>
  <c r="F4161" i="2"/>
  <c r="F4162" i="2"/>
  <c r="F4163" i="2"/>
  <c r="F4164" i="2"/>
  <c r="F4165" i="2"/>
  <c r="F4166" i="2"/>
  <c r="F4167" i="2"/>
  <c r="F4168" i="2"/>
  <c r="F4169" i="2"/>
  <c r="F4170" i="2"/>
  <c r="F4171" i="2"/>
  <c r="F4172" i="2"/>
  <c r="F4173" i="2"/>
  <c r="F4174" i="2"/>
  <c r="F4175" i="2"/>
  <c r="F4176" i="2"/>
  <c r="F4177" i="2"/>
  <c r="F4178" i="2"/>
  <c r="F4179" i="2"/>
  <c r="F4180" i="2"/>
  <c r="F4181" i="2"/>
  <c r="F4182" i="2"/>
  <c r="F4183" i="2"/>
  <c r="F4184" i="2"/>
  <c r="F4185" i="2"/>
  <c r="F4186" i="2"/>
  <c r="F4187" i="2"/>
  <c r="F4188" i="2"/>
  <c r="F4189" i="2"/>
  <c r="F4190" i="2"/>
  <c r="F4191" i="2"/>
  <c r="F4192" i="2"/>
  <c r="F4193" i="2"/>
  <c r="F4194" i="2"/>
  <c r="F4195" i="2"/>
  <c r="F4196" i="2"/>
  <c r="F4197" i="2"/>
  <c r="F4198" i="2"/>
  <c r="F4199" i="2"/>
  <c r="F4200" i="2"/>
  <c r="F4201" i="2"/>
  <c r="F4202" i="2"/>
  <c r="F4203" i="2"/>
  <c r="F4204" i="2"/>
  <c r="F4205" i="2"/>
  <c r="F4206" i="2"/>
  <c r="F4207" i="2"/>
  <c r="F4208" i="2"/>
  <c r="F4209" i="2"/>
  <c r="F4210" i="2"/>
  <c r="F4211" i="2"/>
  <c r="F4212" i="2"/>
  <c r="F4213" i="2"/>
  <c r="F4214" i="2"/>
  <c r="F4215" i="2"/>
  <c r="F4216" i="2"/>
  <c r="F4217" i="2"/>
  <c r="F4218" i="2"/>
  <c r="F4219" i="2"/>
  <c r="F4220" i="2"/>
  <c r="F4221" i="2"/>
  <c r="F4222" i="2"/>
  <c r="F4223" i="2"/>
  <c r="F4224" i="2"/>
  <c r="F4225" i="2"/>
  <c r="F4226" i="2"/>
  <c r="F4227" i="2"/>
  <c r="F4228" i="2"/>
  <c r="F4229" i="2"/>
  <c r="F4230" i="2"/>
  <c r="F4231" i="2"/>
  <c r="F4232" i="2"/>
  <c r="F4233" i="2"/>
  <c r="F4234" i="2"/>
  <c r="F4235" i="2"/>
  <c r="F4236" i="2"/>
  <c r="F4237" i="2"/>
  <c r="F4238" i="2"/>
  <c r="F4239" i="2"/>
  <c r="F4240" i="2"/>
  <c r="F4241" i="2"/>
  <c r="F4242" i="2"/>
  <c r="F4243" i="2"/>
  <c r="F4244" i="2"/>
  <c r="F4245" i="2"/>
  <c r="F4246" i="2"/>
  <c r="F4247" i="2"/>
  <c r="F4248" i="2"/>
  <c r="F4249" i="2"/>
  <c r="F4250" i="2"/>
  <c r="F4251" i="2"/>
  <c r="F4252" i="2"/>
  <c r="F4253" i="2"/>
  <c r="F4254" i="2"/>
  <c r="F4255" i="2"/>
  <c r="F4256" i="2"/>
  <c r="F4257" i="2"/>
  <c r="F4258" i="2"/>
  <c r="F4259" i="2"/>
  <c r="F4260" i="2"/>
  <c r="F4261" i="2"/>
  <c r="F4262" i="2"/>
  <c r="F4263" i="2"/>
  <c r="F4264" i="2"/>
  <c r="F4265" i="2"/>
  <c r="F4266" i="2"/>
  <c r="F4267" i="2"/>
  <c r="F4268" i="2"/>
  <c r="F4269" i="2"/>
  <c r="F4270" i="2"/>
  <c r="F4271" i="2"/>
  <c r="F4272" i="2"/>
  <c r="F4273" i="2"/>
  <c r="F4274" i="2"/>
  <c r="F4275" i="2"/>
  <c r="F4276" i="2"/>
  <c r="F4277" i="2"/>
  <c r="F4278" i="2"/>
  <c r="F4279" i="2"/>
  <c r="F4280" i="2"/>
  <c r="F4281" i="2"/>
  <c r="F4282" i="2"/>
  <c r="F4283" i="2"/>
  <c r="F4284" i="2"/>
  <c r="F4285" i="2"/>
  <c r="F4286" i="2"/>
  <c r="F4287" i="2"/>
  <c r="F4288" i="2"/>
  <c r="F4289" i="2"/>
  <c r="F4290" i="2"/>
  <c r="F4291" i="2"/>
  <c r="F4292" i="2"/>
  <c r="F4293" i="2"/>
  <c r="F4294" i="2"/>
  <c r="F4295" i="2"/>
  <c r="F4296" i="2"/>
  <c r="F4297" i="2"/>
  <c r="F4298" i="2"/>
  <c r="F4299" i="2"/>
  <c r="F4300" i="2"/>
  <c r="F4301" i="2"/>
  <c r="F4302" i="2"/>
  <c r="F4303" i="2"/>
  <c r="F4304" i="2"/>
  <c r="F4305" i="2"/>
  <c r="F4306" i="2"/>
  <c r="F4307" i="2"/>
  <c r="F4308" i="2"/>
  <c r="F4309" i="2"/>
  <c r="F4310" i="2"/>
  <c r="F4311" i="2"/>
  <c r="F4312" i="2"/>
  <c r="F4313" i="2"/>
  <c r="F4314" i="2"/>
  <c r="F4315" i="2"/>
  <c r="F4316" i="2"/>
  <c r="F4317" i="2"/>
  <c r="F4318" i="2"/>
  <c r="F4319" i="2"/>
  <c r="F4320" i="2"/>
  <c r="F4321" i="2"/>
  <c r="F4322" i="2"/>
  <c r="F4323" i="2"/>
  <c r="F4324" i="2"/>
  <c r="F4325" i="2"/>
  <c r="F4326" i="2"/>
  <c r="F4327" i="2"/>
  <c r="F4328" i="2"/>
  <c r="F4329" i="2"/>
  <c r="F4330" i="2"/>
  <c r="F4331" i="2"/>
  <c r="F4332" i="2"/>
  <c r="F4333" i="2"/>
  <c r="F4334" i="2"/>
  <c r="F4335" i="2"/>
  <c r="F4336" i="2"/>
  <c r="F4337" i="2"/>
  <c r="F4338" i="2"/>
  <c r="F4339" i="2"/>
  <c r="F4340" i="2"/>
  <c r="F4341" i="2"/>
  <c r="F4342" i="2"/>
  <c r="F4343" i="2"/>
  <c r="F4344" i="2"/>
  <c r="F4345" i="2"/>
  <c r="F4346" i="2"/>
  <c r="F4347" i="2"/>
  <c r="F4348" i="2"/>
  <c r="F4349" i="2"/>
  <c r="F4350" i="2"/>
  <c r="F4351" i="2"/>
  <c r="F4352" i="2"/>
  <c r="F4353" i="2"/>
  <c r="F4354" i="2"/>
  <c r="F4355" i="2"/>
  <c r="F4356" i="2"/>
  <c r="F4357" i="2"/>
  <c r="F4358" i="2"/>
  <c r="F4359" i="2"/>
  <c r="F4360" i="2"/>
  <c r="F4361" i="2"/>
  <c r="F4362" i="2"/>
  <c r="F4363" i="2"/>
  <c r="F4364" i="2"/>
  <c r="F4365" i="2"/>
  <c r="F4366" i="2"/>
  <c r="F4367" i="2"/>
  <c r="F4368" i="2"/>
  <c r="F4369" i="2"/>
  <c r="F4370" i="2"/>
  <c r="F4371" i="2"/>
  <c r="F4372" i="2"/>
  <c r="F4373" i="2"/>
  <c r="F4374" i="2"/>
  <c r="F4375" i="2"/>
  <c r="F4376" i="2"/>
  <c r="F4377" i="2"/>
  <c r="F4378" i="2"/>
  <c r="F4379" i="2"/>
  <c r="F4380" i="2"/>
  <c r="F4381" i="2"/>
  <c r="F4382" i="2"/>
  <c r="F4383" i="2"/>
  <c r="F4384" i="2"/>
  <c r="F4385" i="2"/>
  <c r="F4386" i="2"/>
  <c r="F4387" i="2"/>
  <c r="F4388" i="2"/>
  <c r="F4389" i="2"/>
  <c r="F4390" i="2"/>
  <c r="F4391" i="2"/>
  <c r="F4392" i="2"/>
  <c r="F4393" i="2"/>
  <c r="F4394" i="2"/>
  <c r="F4395" i="2"/>
  <c r="F4396" i="2"/>
  <c r="F4397" i="2"/>
  <c r="F4398" i="2"/>
  <c r="F4399" i="2"/>
  <c r="F4400" i="2"/>
  <c r="F4401" i="2"/>
  <c r="F4402" i="2"/>
  <c r="F4403" i="2"/>
  <c r="F4404" i="2"/>
  <c r="F4405" i="2"/>
  <c r="F4406" i="2"/>
  <c r="F4407" i="2"/>
  <c r="F4408" i="2"/>
  <c r="F4409" i="2"/>
  <c r="F4410" i="2"/>
  <c r="F4411" i="2"/>
  <c r="F4412" i="2"/>
  <c r="F4413" i="2"/>
  <c r="F4414" i="2"/>
  <c r="F4415" i="2"/>
  <c r="F4416" i="2"/>
  <c r="F4417" i="2"/>
  <c r="F4418" i="2"/>
  <c r="F4419" i="2"/>
  <c r="F4420" i="2"/>
  <c r="F4421" i="2"/>
  <c r="F4422" i="2"/>
  <c r="F4423" i="2"/>
  <c r="F4424" i="2"/>
  <c r="F4425" i="2"/>
  <c r="F4426" i="2"/>
  <c r="F4427" i="2"/>
  <c r="F4428" i="2"/>
  <c r="F4429" i="2"/>
  <c r="F4430" i="2"/>
  <c r="F4431" i="2"/>
  <c r="F4432" i="2"/>
  <c r="F4433" i="2"/>
  <c r="F4434" i="2"/>
  <c r="F4435" i="2"/>
  <c r="F4436" i="2"/>
  <c r="F4437" i="2"/>
  <c r="F4438" i="2"/>
  <c r="F4439" i="2"/>
  <c r="F4440" i="2"/>
  <c r="F4441" i="2"/>
  <c r="F4442" i="2"/>
  <c r="F4443" i="2"/>
  <c r="F4444" i="2"/>
  <c r="F4445" i="2"/>
  <c r="F4446" i="2"/>
  <c r="F4447" i="2"/>
  <c r="F4448" i="2"/>
  <c r="F4449" i="2"/>
  <c r="F4450" i="2"/>
  <c r="F4451" i="2"/>
  <c r="F4452" i="2"/>
  <c r="F4453" i="2"/>
  <c r="F4454" i="2"/>
  <c r="F4455" i="2"/>
  <c r="F4456" i="2"/>
  <c r="F4457" i="2"/>
  <c r="F4458" i="2"/>
  <c r="F4459" i="2"/>
  <c r="F4460" i="2"/>
  <c r="F4461" i="2"/>
  <c r="F4462" i="2"/>
  <c r="F4463" i="2"/>
  <c r="F4464" i="2"/>
  <c r="F4465" i="2"/>
  <c r="F4466" i="2"/>
  <c r="F4467" i="2"/>
  <c r="F4468" i="2"/>
  <c r="F4469" i="2"/>
  <c r="F4470" i="2"/>
  <c r="F4471" i="2"/>
  <c r="F4472" i="2"/>
  <c r="F4473" i="2"/>
  <c r="F4474" i="2"/>
  <c r="F4475" i="2"/>
  <c r="F4476" i="2"/>
  <c r="F4477" i="2"/>
  <c r="F4478" i="2"/>
  <c r="F4479" i="2"/>
  <c r="F4480" i="2"/>
  <c r="F4481" i="2"/>
  <c r="F4482" i="2"/>
  <c r="F4483" i="2"/>
  <c r="F4484" i="2"/>
  <c r="F4485" i="2"/>
  <c r="F4486" i="2"/>
  <c r="F4487" i="2"/>
  <c r="F4488" i="2"/>
  <c r="F4489" i="2"/>
  <c r="F4490" i="2"/>
  <c r="F4491" i="2"/>
  <c r="F4492" i="2"/>
  <c r="F4493" i="2"/>
  <c r="F4494" i="2"/>
  <c r="F4495" i="2"/>
  <c r="F4496" i="2"/>
  <c r="F4497" i="2"/>
  <c r="F4498" i="2"/>
  <c r="F4499" i="2"/>
  <c r="F4500" i="2"/>
  <c r="F4501" i="2"/>
  <c r="F4502" i="2"/>
  <c r="F4503" i="2"/>
  <c r="F4504" i="2"/>
  <c r="F4505" i="2"/>
  <c r="F4506" i="2"/>
  <c r="F4507" i="2"/>
  <c r="F4508" i="2"/>
  <c r="F4509" i="2"/>
  <c r="F4510" i="2"/>
  <c r="F4511" i="2"/>
  <c r="F4512" i="2"/>
  <c r="F4513" i="2"/>
  <c r="F4514" i="2"/>
  <c r="F4515" i="2"/>
  <c r="F4516" i="2"/>
  <c r="F4517" i="2"/>
  <c r="F4518" i="2"/>
  <c r="F4519" i="2"/>
  <c r="F4520" i="2"/>
  <c r="F4521" i="2"/>
  <c r="F4522" i="2"/>
  <c r="F4523" i="2"/>
  <c r="F4524" i="2"/>
  <c r="F4525" i="2"/>
  <c r="F4526" i="2"/>
  <c r="F4527" i="2"/>
  <c r="F4528" i="2"/>
  <c r="F4529" i="2"/>
  <c r="F4530" i="2"/>
  <c r="F4531" i="2"/>
  <c r="F4532" i="2"/>
  <c r="F4533" i="2"/>
  <c r="F4534" i="2"/>
  <c r="F4535" i="2"/>
  <c r="F4536" i="2"/>
  <c r="F4537" i="2"/>
  <c r="F4538" i="2"/>
  <c r="F4539" i="2"/>
  <c r="F4540" i="2"/>
  <c r="F4541" i="2"/>
  <c r="F4542" i="2"/>
  <c r="F4543" i="2"/>
  <c r="F4544" i="2"/>
  <c r="F4545" i="2"/>
  <c r="F4546" i="2"/>
  <c r="F4547" i="2"/>
  <c r="F4548" i="2"/>
  <c r="F4549" i="2"/>
  <c r="F4550" i="2"/>
  <c r="F4551" i="2"/>
  <c r="F4552" i="2"/>
  <c r="F4553" i="2"/>
  <c r="F4554" i="2"/>
  <c r="F4555" i="2"/>
  <c r="F4556" i="2"/>
  <c r="F4557" i="2"/>
  <c r="F4558" i="2"/>
  <c r="F4559" i="2"/>
  <c r="F4560" i="2"/>
  <c r="F4561" i="2"/>
  <c r="F4562" i="2"/>
  <c r="F4563" i="2"/>
  <c r="F4564" i="2"/>
  <c r="F4565" i="2"/>
  <c r="F4566" i="2"/>
  <c r="F4567" i="2"/>
  <c r="F4568" i="2"/>
  <c r="F4569" i="2"/>
  <c r="F4570" i="2"/>
  <c r="F4571" i="2"/>
  <c r="F4572" i="2"/>
  <c r="F4573" i="2"/>
  <c r="F4574" i="2"/>
  <c r="F4575" i="2"/>
  <c r="F4576" i="2"/>
  <c r="F4577" i="2"/>
  <c r="F4578" i="2"/>
  <c r="F4579" i="2"/>
  <c r="F4580" i="2"/>
  <c r="F4581" i="2"/>
  <c r="F4582" i="2"/>
  <c r="F4583" i="2"/>
  <c r="F4584" i="2"/>
  <c r="F4585" i="2"/>
  <c r="F4586" i="2"/>
  <c r="F4587" i="2"/>
  <c r="F4588" i="2"/>
  <c r="F4589" i="2"/>
  <c r="F4590" i="2"/>
  <c r="F4591" i="2"/>
  <c r="F4592" i="2"/>
  <c r="F4593" i="2"/>
  <c r="F4594" i="2"/>
  <c r="F4595" i="2"/>
  <c r="F4596" i="2"/>
  <c r="F4597" i="2"/>
  <c r="F4598" i="2"/>
  <c r="F4599" i="2"/>
  <c r="F4600" i="2"/>
  <c r="F4601" i="2"/>
  <c r="F4602" i="2"/>
  <c r="F4603" i="2"/>
  <c r="F4604" i="2"/>
  <c r="F4605" i="2"/>
  <c r="F4606" i="2"/>
  <c r="F4607" i="2"/>
  <c r="F4608" i="2"/>
  <c r="F4609" i="2"/>
  <c r="F4610" i="2"/>
  <c r="F4611" i="2"/>
  <c r="F4612" i="2"/>
  <c r="F4613" i="2"/>
  <c r="F4614" i="2"/>
  <c r="F4615" i="2"/>
  <c r="F4616" i="2"/>
  <c r="F4617" i="2"/>
  <c r="F4618" i="2"/>
  <c r="F4619" i="2"/>
  <c r="F4620" i="2"/>
  <c r="F4621" i="2"/>
  <c r="F4622" i="2"/>
  <c r="F4623" i="2"/>
  <c r="F4624" i="2"/>
  <c r="F4625" i="2"/>
  <c r="F4626" i="2"/>
  <c r="F4627" i="2"/>
  <c r="F4628" i="2"/>
  <c r="F4629" i="2"/>
  <c r="F4630" i="2"/>
  <c r="F4631" i="2"/>
  <c r="F4632" i="2"/>
  <c r="F4633" i="2"/>
  <c r="F4634" i="2"/>
  <c r="F4635" i="2"/>
  <c r="F4636" i="2"/>
  <c r="F4637" i="2"/>
  <c r="F4638" i="2"/>
  <c r="F4639" i="2"/>
  <c r="F4640" i="2"/>
  <c r="F4641" i="2"/>
  <c r="F4642" i="2"/>
  <c r="F4643" i="2"/>
  <c r="F4644" i="2"/>
  <c r="F4645" i="2"/>
  <c r="F4646" i="2"/>
  <c r="F4647" i="2"/>
  <c r="F4648" i="2"/>
  <c r="F4649" i="2"/>
  <c r="F4650" i="2"/>
  <c r="F4651" i="2"/>
  <c r="F4652" i="2"/>
  <c r="F4653" i="2"/>
  <c r="F4654" i="2"/>
  <c r="F4655" i="2"/>
  <c r="F4656" i="2"/>
  <c r="F4657" i="2"/>
  <c r="F4658" i="2"/>
  <c r="F4659" i="2"/>
  <c r="F4660" i="2"/>
  <c r="F4661" i="2"/>
  <c r="F4662" i="2"/>
  <c r="F4663" i="2"/>
  <c r="F4664" i="2"/>
  <c r="F4665" i="2"/>
  <c r="F4666" i="2"/>
  <c r="F4667" i="2"/>
  <c r="F4668" i="2"/>
  <c r="F4669" i="2"/>
  <c r="F4670" i="2"/>
  <c r="F4671" i="2"/>
  <c r="F4672" i="2"/>
  <c r="F4673" i="2"/>
  <c r="F4674" i="2"/>
  <c r="F4675" i="2"/>
  <c r="F4676" i="2"/>
  <c r="F4677" i="2"/>
  <c r="F4678" i="2"/>
  <c r="F4679" i="2"/>
  <c r="F4680" i="2"/>
  <c r="F4681" i="2"/>
  <c r="F4682" i="2"/>
  <c r="F4683" i="2"/>
  <c r="F4684" i="2"/>
  <c r="F4685" i="2"/>
  <c r="F4686" i="2"/>
  <c r="F4687" i="2"/>
  <c r="F4688" i="2"/>
  <c r="F4689" i="2"/>
  <c r="F4690" i="2"/>
  <c r="F4691" i="2"/>
  <c r="F4692" i="2"/>
  <c r="F4693" i="2"/>
  <c r="F4694" i="2"/>
  <c r="F4695" i="2"/>
  <c r="F4696" i="2"/>
  <c r="F4697" i="2"/>
  <c r="F4698" i="2"/>
  <c r="F4699" i="2"/>
  <c r="F4700" i="2"/>
  <c r="F4701" i="2"/>
  <c r="F4702" i="2"/>
  <c r="F4703" i="2"/>
  <c r="F4704" i="2"/>
  <c r="F4705" i="2"/>
  <c r="F4706" i="2"/>
  <c r="F4707" i="2"/>
  <c r="F4708" i="2"/>
  <c r="F4709" i="2"/>
  <c r="F4710" i="2"/>
  <c r="F4711" i="2"/>
  <c r="F4712" i="2"/>
  <c r="F4713" i="2"/>
  <c r="F4714" i="2"/>
  <c r="F4715" i="2"/>
  <c r="F4716" i="2"/>
  <c r="F4717" i="2"/>
  <c r="F4718" i="2"/>
  <c r="F4719" i="2"/>
  <c r="F4720" i="2"/>
  <c r="F4721" i="2"/>
  <c r="F4722" i="2"/>
  <c r="F4723" i="2"/>
  <c r="F4724" i="2"/>
  <c r="F4725" i="2"/>
  <c r="F4726" i="2"/>
  <c r="F4727" i="2"/>
  <c r="F4728" i="2"/>
  <c r="F4729" i="2"/>
  <c r="F4730" i="2"/>
  <c r="F4731" i="2"/>
  <c r="F4732" i="2"/>
  <c r="F4733" i="2"/>
  <c r="F4734" i="2"/>
  <c r="F4735" i="2"/>
  <c r="F4736" i="2"/>
  <c r="F4737" i="2"/>
  <c r="F4738" i="2"/>
  <c r="F4739" i="2"/>
  <c r="F4740" i="2"/>
  <c r="F4741" i="2"/>
  <c r="F4742" i="2"/>
  <c r="F4743" i="2"/>
  <c r="F4744" i="2"/>
  <c r="F4745" i="2"/>
  <c r="F4746" i="2"/>
  <c r="F4747" i="2"/>
  <c r="F4748" i="2"/>
  <c r="F4749" i="2"/>
  <c r="F4750" i="2"/>
  <c r="F4751" i="2"/>
  <c r="F4752" i="2"/>
  <c r="F4753" i="2"/>
  <c r="F4754" i="2"/>
  <c r="F4755" i="2"/>
  <c r="F4756" i="2"/>
  <c r="F4757" i="2"/>
  <c r="F4758" i="2"/>
  <c r="F4759" i="2"/>
  <c r="F4760" i="2"/>
  <c r="F4761" i="2"/>
  <c r="F4762" i="2"/>
  <c r="F4763" i="2"/>
  <c r="F4764" i="2"/>
  <c r="F4765" i="2"/>
  <c r="F4766" i="2"/>
  <c r="F4767" i="2"/>
  <c r="F4768" i="2"/>
  <c r="F4769" i="2"/>
  <c r="F4770" i="2"/>
  <c r="F4771" i="2"/>
  <c r="F4772" i="2"/>
  <c r="F4773" i="2"/>
  <c r="F4774" i="2"/>
  <c r="F4775" i="2"/>
  <c r="F4776" i="2"/>
  <c r="F4777" i="2"/>
  <c r="F4778" i="2"/>
  <c r="F4779" i="2"/>
  <c r="F4780" i="2"/>
  <c r="F4781" i="2"/>
  <c r="F4782" i="2"/>
  <c r="F4783" i="2"/>
  <c r="F4784" i="2"/>
  <c r="F4785" i="2"/>
  <c r="F4786" i="2"/>
  <c r="F4787" i="2"/>
  <c r="F4788" i="2"/>
  <c r="F4789" i="2"/>
  <c r="F4790" i="2"/>
  <c r="F4791" i="2"/>
  <c r="F4792" i="2"/>
  <c r="F4793" i="2"/>
  <c r="F4794" i="2"/>
  <c r="F4795" i="2"/>
  <c r="F4796" i="2"/>
  <c r="F4797" i="2"/>
  <c r="F4798" i="2"/>
  <c r="F4799" i="2"/>
  <c r="F4800" i="2"/>
  <c r="F4801" i="2"/>
  <c r="F4802" i="2"/>
  <c r="F4803" i="2"/>
  <c r="F4804" i="2"/>
  <c r="F4805" i="2"/>
  <c r="F4806" i="2"/>
  <c r="F4807" i="2"/>
  <c r="F4808" i="2"/>
  <c r="F4809" i="2"/>
  <c r="F4810" i="2"/>
  <c r="F4811" i="2"/>
  <c r="F4812" i="2"/>
  <c r="F4813" i="2"/>
  <c r="F4814" i="2"/>
  <c r="F4815" i="2"/>
  <c r="F4816" i="2"/>
  <c r="F4817" i="2"/>
  <c r="F4818" i="2"/>
  <c r="F4819" i="2"/>
  <c r="F4820" i="2"/>
  <c r="F4821" i="2"/>
  <c r="F4822" i="2"/>
  <c r="F4823" i="2"/>
  <c r="F4824" i="2"/>
  <c r="F4825" i="2"/>
  <c r="F4826" i="2"/>
  <c r="F4827" i="2"/>
  <c r="F4828" i="2"/>
  <c r="F4829" i="2"/>
  <c r="F4830" i="2"/>
  <c r="F4831" i="2"/>
  <c r="F4832" i="2"/>
  <c r="F4833" i="2"/>
  <c r="F4834" i="2"/>
  <c r="F4835" i="2"/>
  <c r="F4836" i="2"/>
  <c r="F4837" i="2"/>
  <c r="F4838" i="2"/>
  <c r="F4839" i="2"/>
  <c r="F4840" i="2"/>
  <c r="F4841" i="2"/>
  <c r="F4842" i="2"/>
  <c r="F4843" i="2"/>
  <c r="F4844" i="2"/>
  <c r="F4845" i="2"/>
  <c r="F4846" i="2"/>
  <c r="F4847" i="2"/>
  <c r="F4848" i="2"/>
  <c r="F4849" i="2"/>
  <c r="F4850" i="2"/>
  <c r="F4851" i="2"/>
  <c r="F4852" i="2"/>
  <c r="F4853" i="2"/>
  <c r="F4854" i="2"/>
  <c r="F4855" i="2"/>
  <c r="F4856" i="2"/>
  <c r="F4857" i="2"/>
  <c r="F4858" i="2"/>
  <c r="F4859" i="2"/>
  <c r="F4860" i="2"/>
  <c r="F4861" i="2"/>
  <c r="F4862" i="2"/>
  <c r="F4863" i="2"/>
  <c r="F4864" i="2"/>
  <c r="F4865" i="2"/>
  <c r="F4866" i="2"/>
  <c r="F4867" i="2"/>
  <c r="F4868" i="2"/>
  <c r="F4869" i="2"/>
  <c r="F4870" i="2"/>
  <c r="F4871" i="2"/>
  <c r="F4872" i="2"/>
  <c r="F4873" i="2"/>
  <c r="F4874" i="2"/>
  <c r="F4875" i="2"/>
  <c r="F4876" i="2"/>
  <c r="F4877" i="2"/>
  <c r="F4878" i="2"/>
  <c r="F4879" i="2"/>
  <c r="F4880" i="2"/>
  <c r="F4881" i="2"/>
  <c r="F4882" i="2"/>
  <c r="F4883" i="2"/>
  <c r="F4884" i="2"/>
  <c r="F4885" i="2"/>
  <c r="F4886" i="2"/>
  <c r="F4887" i="2"/>
  <c r="F4888" i="2"/>
  <c r="F4889" i="2"/>
  <c r="F4890" i="2"/>
  <c r="F4891" i="2"/>
  <c r="F4892" i="2"/>
  <c r="F4893" i="2"/>
  <c r="F4894" i="2"/>
  <c r="F4895" i="2"/>
  <c r="F4896" i="2"/>
  <c r="F4897" i="2"/>
  <c r="F4898" i="2"/>
  <c r="F4899" i="2"/>
  <c r="F4900" i="2"/>
  <c r="F4901" i="2"/>
  <c r="F4902" i="2"/>
  <c r="F4903" i="2"/>
  <c r="F4904" i="2"/>
  <c r="F4905" i="2"/>
  <c r="F4906" i="2"/>
  <c r="F4907" i="2"/>
  <c r="F4908" i="2"/>
  <c r="F4909" i="2"/>
  <c r="F4910" i="2"/>
  <c r="F4911" i="2"/>
  <c r="F4912" i="2"/>
  <c r="F4913" i="2"/>
  <c r="F4914" i="2"/>
  <c r="F4915" i="2"/>
  <c r="F4916" i="2"/>
  <c r="F4917" i="2"/>
  <c r="F4918" i="2"/>
  <c r="F4919" i="2"/>
  <c r="F4920" i="2"/>
  <c r="F4921" i="2"/>
  <c r="F4922" i="2"/>
  <c r="F4923" i="2"/>
  <c r="F4924" i="2"/>
  <c r="F4925" i="2"/>
  <c r="F4926" i="2"/>
  <c r="F4927" i="2"/>
  <c r="F4928" i="2"/>
  <c r="F4929" i="2"/>
  <c r="F4930" i="2"/>
  <c r="F4931" i="2"/>
  <c r="F4932" i="2"/>
  <c r="F4933" i="2"/>
  <c r="F4934" i="2"/>
  <c r="F4935" i="2"/>
  <c r="F4936" i="2"/>
  <c r="F4937" i="2"/>
  <c r="F4938" i="2"/>
  <c r="F4939" i="2"/>
  <c r="F4940" i="2"/>
  <c r="F4941" i="2"/>
  <c r="F4942" i="2"/>
  <c r="F4943" i="2"/>
  <c r="F4944" i="2"/>
  <c r="F4945" i="2"/>
  <c r="F4946" i="2"/>
  <c r="F4947" i="2"/>
  <c r="F4948" i="2"/>
  <c r="F4949" i="2"/>
  <c r="F4950" i="2"/>
  <c r="F4951" i="2"/>
  <c r="F4952" i="2"/>
  <c r="F4953" i="2"/>
  <c r="F4954" i="2"/>
  <c r="F4955" i="2"/>
  <c r="F4956" i="2"/>
  <c r="F4957" i="2"/>
  <c r="F4958" i="2"/>
  <c r="F4959" i="2"/>
  <c r="F4960" i="2"/>
  <c r="F4961" i="2"/>
  <c r="F4962" i="2"/>
  <c r="F4963" i="2"/>
  <c r="F4964" i="2"/>
  <c r="F4965" i="2"/>
  <c r="F4966" i="2"/>
  <c r="F4967" i="2"/>
  <c r="F4968" i="2"/>
  <c r="F4969" i="2"/>
  <c r="F4970" i="2"/>
  <c r="F4971" i="2"/>
  <c r="F4972" i="2"/>
  <c r="F4973" i="2"/>
  <c r="F4974" i="2"/>
  <c r="F4975" i="2"/>
  <c r="F4976" i="2"/>
  <c r="F4977" i="2"/>
  <c r="F4978" i="2"/>
  <c r="F4979" i="2"/>
  <c r="F4980" i="2"/>
  <c r="F4981" i="2"/>
  <c r="F4982" i="2"/>
  <c r="F4983" i="2"/>
  <c r="F4984" i="2"/>
  <c r="F4985" i="2"/>
  <c r="F4986" i="2"/>
  <c r="F4987" i="2"/>
  <c r="F4988" i="2"/>
  <c r="F4989" i="2"/>
  <c r="F4990" i="2"/>
  <c r="F4991" i="2"/>
  <c r="F4992" i="2"/>
  <c r="F4993" i="2"/>
  <c r="F4994" i="2"/>
  <c r="F4995" i="2"/>
  <c r="F4996" i="2"/>
  <c r="F4997" i="2"/>
  <c r="F4998" i="2"/>
  <c r="F4999" i="2"/>
  <c r="F5000" i="2"/>
  <c r="F5001" i="2"/>
  <c r="F5002" i="2"/>
  <c r="F5003" i="2"/>
  <c r="F5004" i="2"/>
  <c r="F5005" i="2"/>
  <c r="F5006" i="2"/>
  <c r="F5007" i="2"/>
  <c r="F5008" i="2"/>
  <c r="F5009" i="2"/>
  <c r="F5010" i="2"/>
  <c r="F5011" i="2"/>
  <c r="F5012" i="2"/>
  <c r="F5013" i="2"/>
  <c r="F5014" i="2"/>
  <c r="F5015" i="2"/>
  <c r="F5016" i="2"/>
  <c r="F5017" i="2"/>
  <c r="F5018" i="2"/>
  <c r="F5019" i="2"/>
  <c r="F5020" i="2"/>
  <c r="F5021" i="2"/>
  <c r="F5022" i="2"/>
  <c r="F5023" i="2"/>
  <c r="F5024" i="2"/>
  <c r="F5025" i="2"/>
  <c r="F5026" i="2"/>
  <c r="F5027" i="2"/>
  <c r="F5028" i="2"/>
  <c r="F5029" i="2"/>
  <c r="F5030" i="2"/>
  <c r="F5031" i="2"/>
  <c r="F5032" i="2"/>
  <c r="F5033" i="2"/>
  <c r="F5034" i="2"/>
  <c r="F5035" i="2"/>
  <c r="F5036" i="2"/>
  <c r="F5037" i="2"/>
  <c r="F5038" i="2"/>
  <c r="F5039" i="2"/>
  <c r="F5040" i="2"/>
  <c r="F5041" i="2"/>
  <c r="F5042" i="2"/>
  <c r="F5043" i="2"/>
  <c r="F5044" i="2"/>
  <c r="F5045" i="2"/>
  <c r="F5046" i="2"/>
  <c r="F5047" i="2"/>
  <c r="F5048" i="2"/>
  <c r="F5049" i="2"/>
  <c r="F5050" i="2"/>
  <c r="F5051" i="2"/>
  <c r="F5052" i="2"/>
  <c r="F5053" i="2"/>
  <c r="F5054" i="2"/>
  <c r="F5055" i="2"/>
  <c r="F5056" i="2"/>
  <c r="F5057" i="2"/>
  <c r="F5058" i="2"/>
  <c r="F5059" i="2"/>
  <c r="F5060" i="2"/>
  <c r="F5061" i="2"/>
  <c r="F5062" i="2"/>
  <c r="F5063" i="2"/>
  <c r="F5064" i="2"/>
  <c r="F5065" i="2"/>
  <c r="F5066" i="2"/>
  <c r="F5067" i="2"/>
  <c r="F5068" i="2"/>
  <c r="F5069" i="2"/>
  <c r="F5070" i="2"/>
  <c r="F5071" i="2"/>
  <c r="F5072" i="2"/>
  <c r="F5073" i="2"/>
  <c r="F5074" i="2"/>
  <c r="F5075" i="2"/>
  <c r="F5076" i="2"/>
  <c r="F5077" i="2"/>
  <c r="F5078" i="2"/>
  <c r="F5079" i="2"/>
  <c r="F5080" i="2"/>
  <c r="F5081" i="2"/>
  <c r="F5082" i="2"/>
  <c r="F5083" i="2"/>
  <c r="F5084" i="2"/>
  <c r="F5085" i="2"/>
  <c r="F5086" i="2"/>
  <c r="F5087" i="2"/>
  <c r="F5088" i="2"/>
  <c r="F5089" i="2"/>
  <c r="F5090" i="2"/>
  <c r="F5091" i="2"/>
  <c r="F5092" i="2"/>
  <c r="F5093" i="2"/>
  <c r="F5094" i="2"/>
  <c r="F5095" i="2"/>
  <c r="F5096" i="2"/>
  <c r="F5097" i="2"/>
  <c r="F5098" i="2"/>
  <c r="F5099" i="2"/>
  <c r="F5100" i="2"/>
  <c r="F5101" i="2"/>
  <c r="F5102" i="2"/>
  <c r="F5103" i="2"/>
  <c r="F5104" i="2"/>
  <c r="F5105" i="2"/>
  <c r="F5106" i="2"/>
  <c r="F5107" i="2"/>
  <c r="F5108" i="2"/>
  <c r="F5109" i="2"/>
  <c r="F5110" i="2"/>
  <c r="F5111" i="2"/>
  <c r="F5112" i="2"/>
  <c r="F5113" i="2"/>
  <c r="F5114" i="2"/>
  <c r="F5115" i="2"/>
  <c r="F5116" i="2"/>
  <c r="F5117" i="2"/>
  <c r="F5118" i="2"/>
  <c r="F5119" i="2"/>
  <c r="F5120" i="2"/>
  <c r="F5121" i="2"/>
  <c r="F5122" i="2"/>
  <c r="F5123" i="2"/>
  <c r="F5124" i="2"/>
  <c r="F5125" i="2"/>
  <c r="F5126" i="2"/>
  <c r="F5127" i="2"/>
  <c r="F5128" i="2"/>
  <c r="F5129" i="2"/>
  <c r="F5130" i="2"/>
  <c r="F5131" i="2"/>
  <c r="F5132" i="2"/>
  <c r="F5133" i="2"/>
  <c r="F5134" i="2"/>
  <c r="F5135" i="2"/>
  <c r="F5136" i="2"/>
  <c r="F5137" i="2"/>
  <c r="F5138" i="2"/>
  <c r="F5139" i="2"/>
  <c r="F5140" i="2"/>
  <c r="F5141" i="2"/>
  <c r="F5142" i="2"/>
  <c r="F5143" i="2"/>
  <c r="F5144" i="2"/>
  <c r="F5145" i="2"/>
  <c r="F5146" i="2"/>
  <c r="F5147" i="2"/>
  <c r="F5148" i="2"/>
  <c r="F5149" i="2"/>
  <c r="F5150" i="2"/>
  <c r="F5151" i="2"/>
  <c r="F5152" i="2"/>
  <c r="F5153" i="2"/>
  <c r="F5154" i="2"/>
  <c r="F5155" i="2"/>
  <c r="F5156" i="2"/>
  <c r="F5157" i="2"/>
  <c r="F5158" i="2"/>
  <c r="F5159" i="2"/>
  <c r="F5160" i="2"/>
  <c r="F5161" i="2"/>
  <c r="F5162" i="2"/>
  <c r="F5163" i="2"/>
  <c r="F5164" i="2"/>
  <c r="F5165" i="2"/>
  <c r="F5166" i="2"/>
  <c r="F5167" i="2"/>
  <c r="F5168" i="2"/>
  <c r="F5169" i="2"/>
  <c r="F5170" i="2"/>
  <c r="F5171" i="2"/>
  <c r="F5172" i="2"/>
  <c r="F5173" i="2"/>
  <c r="F5174" i="2"/>
  <c r="F5175" i="2"/>
  <c r="F5176" i="2"/>
  <c r="F5177" i="2"/>
  <c r="F5178" i="2"/>
  <c r="F5179" i="2"/>
  <c r="F5180" i="2"/>
  <c r="F5181" i="2"/>
  <c r="F5182" i="2"/>
  <c r="F5183" i="2"/>
  <c r="F5184" i="2"/>
  <c r="F5185" i="2"/>
  <c r="F5186" i="2"/>
  <c r="F5187" i="2"/>
  <c r="F5188" i="2"/>
  <c r="F5189" i="2"/>
  <c r="F5190" i="2"/>
  <c r="F5191" i="2"/>
  <c r="F5192" i="2"/>
  <c r="F5193" i="2"/>
  <c r="F5194" i="2"/>
  <c r="F5195" i="2"/>
  <c r="F5196" i="2"/>
  <c r="F5197" i="2"/>
  <c r="F5198" i="2"/>
  <c r="F5199" i="2"/>
  <c r="F5200" i="2"/>
  <c r="F5201" i="2"/>
  <c r="F5202" i="2"/>
  <c r="F5203" i="2"/>
  <c r="F5204" i="2"/>
  <c r="F5205" i="2"/>
  <c r="F5206" i="2"/>
  <c r="F5207" i="2"/>
  <c r="F5208" i="2"/>
  <c r="F5209" i="2"/>
  <c r="F5210" i="2"/>
  <c r="F5211" i="2"/>
  <c r="F5212" i="2"/>
  <c r="F5213" i="2"/>
  <c r="F5214" i="2"/>
  <c r="F5215" i="2"/>
  <c r="F5216" i="2"/>
  <c r="F5217" i="2"/>
  <c r="F5218" i="2"/>
  <c r="F5219" i="2"/>
  <c r="F5220" i="2"/>
  <c r="F5221" i="2"/>
  <c r="F5222" i="2"/>
  <c r="F5223" i="2"/>
  <c r="F5224" i="2"/>
  <c r="F5225" i="2"/>
  <c r="F5226" i="2"/>
  <c r="F5227" i="2"/>
  <c r="F5228" i="2"/>
  <c r="F5229" i="2"/>
  <c r="F5230" i="2"/>
  <c r="F5231" i="2"/>
  <c r="F5232" i="2"/>
  <c r="F5233" i="2"/>
  <c r="F5234" i="2"/>
  <c r="F5235" i="2"/>
  <c r="F5236" i="2"/>
  <c r="F5237" i="2"/>
  <c r="F5238" i="2"/>
  <c r="F5239" i="2"/>
  <c r="F5240" i="2"/>
  <c r="F5241" i="2"/>
  <c r="F5242" i="2"/>
  <c r="F5243" i="2"/>
  <c r="F5244" i="2"/>
  <c r="F5245" i="2"/>
  <c r="F5246" i="2"/>
  <c r="F5247" i="2"/>
  <c r="F5248" i="2"/>
  <c r="F5249" i="2"/>
  <c r="F5250" i="2"/>
  <c r="F5251" i="2"/>
  <c r="F5252" i="2"/>
  <c r="F5253" i="2"/>
  <c r="F5254" i="2"/>
  <c r="F5255" i="2"/>
  <c r="F5256" i="2"/>
  <c r="F5257" i="2"/>
  <c r="F5258" i="2"/>
  <c r="F5259" i="2"/>
  <c r="F5260" i="2"/>
  <c r="F5261" i="2"/>
  <c r="F5262" i="2"/>
  <c r="F5263" i="2"/>
  <c r="F5264" i="2"/>
  <c r="F5265" i="2"/>
  <c r="F5266" i="2"/>
  <c r="F5267" i="2"/>
  <c r="F5268" i="2"/>
  <c r="F5269" i="2"/>
  <c r="F5270" i="2"/>
  <c r="F5271" i="2"/>
  <c r="F5272" i="2"/>
  <c r="F5273" i="2"/>
  <c r="F5274" i="2"/>
  <c r="F5275" i="2"/>
  <c r="F5276" i="2"/>
  <c r="F5277" i="2"/>
  <c r="F5278" i="2"/>
  <c r="F5279" i="2"/>
  <c r="F5280" i="2"/>
  <c r="F5281" i="2"/>
  <c r="F5282" i="2"/>
  <c r="F5283" i="2"/>
  <c r="F5284" i="2"/>
  <c r="F5285" i="2"/>
  <c r="F5286" i="2"/>
  <c r="F5287" i="2"/>
  <c r="F5288" i="2"/>
  <c r="F5289" i="2"/>
  <c r="F5290" i="2"/>
  <c r="F5291" i="2"/>
  <c r="F5292" i="2"/>
  <c r="F5293" i="2"/>
  <c r="F5294" i="2"/>
  <c r="F5295" i="2"/>
  <c r="F5296" i="2"/>
  <c r="F5297" i="2"/>
  <c r="F5298" i="2"/>
  <c r="F5299" i="2"/>
  <c r="F5300" i="2"/>
  <c r="F5301" i="2"/>
  <c r="F5302" i="2"/>
  <c r="F5303" i="2"/>
  <c r="F5304" i="2"/>
  <c r="F5305" i="2"/>
  <c r="F5306" i="2"/>
  <c r="F5307" i="2"/>
  <c r="F5308" i="2"/>
  <c r="F5309" i="2"/>
  <c r="F5310" i="2"/>
  <c r="F5311" i="2"/>
  <c r="F5312" i="2"/>
  <c r="F5313" i="2"/>
  <c r="F5314" i="2"/>
  <c r="F5315" i="2"/>
  <c r="F5316" i="2"/>
  <c r="F5317" i="2"/>
  <c r="F5318" i="2"/>
  <c r="F5319" i="2"/>
  <c r="F5320" i="2"/>
  <c r="F5321" i="2"/>
  <c r="F5322" i="2"/>
  <c r="F5323" i="2"/>
  <c r="F5324" i="2"/>
  <c r="F5325" i="2"/>
  <c r="F5326" i="2"/>
  <c r="F5327" i="2"/>
  <c r="F5328" i="2"/>
  <c r="F5329" i="2"/>
  <c r="F5330" i="2"/>
  <c r="F5331" i="2"/>
  <c r="F5332" i="2"/>
  <c r="F5333" i="2"/>
  <c r="F5334" i="2"/>
  <c r="F5335" i="2"/>
  <c r="F5336" i="2"/>
  <c r="F5337" i="2"/>
  <c r="F5338" i="2"/>
  <c r="F5339" i="2"/>
  <c r="F5340" i="2"/>
  <c r="F5341" i="2"/>
  <c r="F5342" i="2"/>
  <c r="F5343" i="2"/>
  <c r="F5344" i="2"/>
  <c r="F5345" i="2"/>
  <c r="F5346" i="2"/>
  <c r="F5347" i="2"/>
  <c r="F5348" i="2"/>
  <c r="F5349" i="2"/>
  <c r="F5350" i="2"/>
  <c r="F5351" i="2"/>
  <c r="F5352" i="2"/>
  <c r="F5353" i="2"/>
  <c r="F5354" i="2"/>
  <c r="F5355" i="2"/>
  <c r="F5356" i="2"/>
  <c r="F5357" i="2"/>
  <c r="F5358" i="2"/>
  <c r="F5359" i="2"/>
  <c r="F5360" i="2"/>
  <c r="F5361" i="2"/>
  <c r="F5362" i="2"/>
  <c r="F5363" i="2"/>
  <c r="F5364" i="2"/>
  <c r="F5365" i="2"/>
  <c r="F5366" i="2"/>
  <c r="F5367" i="2"/>
  <c r="F5368" i="2"/>
  <c r="F5369" i="2"/>
  <c r="F5370" i="2"/>
  <c r="F5371" i="2"/>
  <c r="F5372" i="2"/>
  <c r="F5373" i="2"/>
  <c r="F5374" i="2"/>
  <c r="F5375" i="2"/>
  <c r="F5376" i="2"/>
  <c r="F5377" i="2"/>
  <c r="F5378" i="2"/>
  <c r="F5379" i="2"/>
  <c r="F5380" i="2"/>
  <c r="F5381" i="2"/>
  <c r="F5382" i="2"/>
  <c r="F5383" i="2"/>
  <c r="F5384" i="2"/>
  <c r="F5385" i="2"/>
  <c r="F5386" i="2"/>
  <c r="F5387" i="2"/>
  <c r="F5388" i="2"/>
  <c r="F5389" i="2"/>
  <c r="F5390" i="2"/>
  <c r="F5391" i="2"/>
  <c r="F5392" i="2"/>
  <c r="F5393" i="2"/>
  <c r="F5394" i="2"/>
  <c r="F5395" i="2"/>
  <c r="F5396" i="2"/>
  <c r="F5397" i="2"/>
  <c r="F5398" i="2"/>
  <c r="F5399" i="2"/>
  <c r="F5400" i="2"/>
  <c r="F5401" i="2"/>
  <c r="F5402" i="2"/>
  <c r="F5403" i="2"/>
  <c r="F5404" i="2"/>
  <c r="F5405" i="2"/>
  <c r="F5406" i="2"/>
  <c r="F5407" i="2"/>
  <c r="F5408" i="2"/>
  <c r="F5409" i="2"/>
  <c r="F5410" i="2"/>
  <c r="F5411" i="2"/>
  <c r="F5412" i="2"/>
  <c r="F5413" i="2"/>
  <c r="F5414" i="2"/>
  <c r="F5415" i="2"/>
  <c r="F5416" i="2"/>
  <c r="F5417" i="2"/>
  <c r="F5418" i="2"/>
  <c r="F5419" i="2"/>
  <c r="F5420" i="2"/>
  <c r="F5421" i="2"/>
  <c r="F5422" i="2"/>
  <c r="F5423" i="2"/>
  <c r="F5424" i="2"/>
  <c r="F5425" i="2"/>
  <c r="F5426" i="2"/>
  <c r="F5427" i="2"/>
  <c r="F5428" i="2"/>
  <c r="F5429" i="2"/>
  <c r="F5430" i="2"/>
  <c r="F5431" i="2"/>
  <c r="F5432" i="2"/>
  <c r="F5433" i="2"/>
  <c r="F5434" i="2"/>
  <c r="F5435" i="2"/>
  <c r="F5436" i="2"/>
  <c r="F5437" i="2"/>
  <c r="F5438" i="2"/>
  <c r="F5439" i="2"/>
  <c r="F5440" i="2"/>
  <c r="F5441" i="2"/>
  <c r="F5442" i="2"/>
  <c r="F5443" i="2"/>
  <c r="F5444" i="2"/>
  <c r="F5445" i="2"/>
  <c r="F5446" i="2"/>
  <c r="F5447" i="2"/>
  <c r="F5448" i="2"/>
  <c r="F5449" i="2"/>
  <c r="F5450" i="2"/>
  <c r="F5451" i="2"/>
  <c r="F5452" i="2"/>
  <c r="F5453" i="2"/>
  <c r="F5454" i="2"/>
  <c r="F5455" i="2"/>
  <c r="F5456" i="2"/>
  <c r="F5457" i="2"/>
  <c r="F5458" i="2"/>
  <c r="F5459" i="2"/>
  <c r="F5460" i="2"/>
  <c r="F5461" i="2"/>
  <c r="F5462" i="2"/>
  <c r="F5463" i="2"/>
  <c r="F5464" i="2"/>
  <c r="F5465" i="2"/>
  <c r="F5466" i="2"/>
  <c r="F5467" i="2"/>
  <c r="F5468" i="2"/>
  <c r="F5469" i="2"/>
  <c r="F5470" i="2"/>
  <c r="F5471" i="2"/>
  <c r="F5472" i="2"/>
  <c r="F5473" i="2"/>
  <c r="F5474" i="2"/>
  <c r="F5475" i="2"/>
  <c r="F5476" i="2"/>
  <c r="F5477" i="2"/>
  <c r="F5478" i="2"/>
  <c r="F5479" i="2"/>
  <c r="F5480" i="2"/>
  <c r="F5481" i="2"/>
  <c r="F5482" i="2"/>
  <c r="F5483" i="2"/>
  <c r="F5484" i="2"/>
  <c r="F5485" i="2"/>
  <c r="F5486" i="2"/>
  <c r="F5487" i="2"/>
  <c r="F5488" i="2"/>
  <c r="F5489" i="2"/>
  <c r="F5490" i="2"/>
  <c r="F5491" i="2"/>
  <c r="F5492" i="2"/>
  <c r="F5493" i="2"/>
  <c r="F5494" i="2"/>
  <c r="F5495" i="2"/>
  <c r="F5496" i="2"/>
  <c r="F5497" i="2"/>
  <c r="F5498" i="2"/>
  <c r="F5499" i="2"/>
  <c r="F5500" i="2"/>
  <c r="F5501" i="2"/>
  <c r="F5502" i="2"/>
  <c r="F5503" i="2"/>
  <c r="F5504" i="2"/>
  <c r="F5505" i="2"/>
  <c r="F5506" i="2"/>
  <c r="F5507" i="2"/>
  <c r="F5508" i="2"/>
  <c r="F5509" i="2"/>
  <c r="F5510" i="2"/>
  <c r="F5511" i="2"/>
  <c r="F5512" i="2"/>
  <c r="F5513" i="2"/>
  <c r="F5514" i="2"/>
  <c r="F5515" i="2"/>
  <c r="F5516" i="2"/>
  <c r="F5517" i="2"/>
  <c r="F5518" i="2"/>
  <c r="F5519" i="2"/>
  <c r="F5520" i="2"/>
  <c r="F5521" i="2"/>
  <c r="F5522" i="2"/>
  <c r="F5523" i="2"/>
  <c r="F5524" i="2"/>
  <c r="F5525" i="2"/>
  <c r="F5526" i="2"/>
  <c r="F5527" i="2"/>
  <c r="F5528" i="2"/>
  <c r="F5529" i="2"/>
  <c r="F5530" i="2"/>
  <c r="F5531" i="2"/>
  <c r="F5532" i="2"/>
  <c r="F5533" i="2"/>
  <c r="F5534" i="2"/>
  <c r="F5535" i="2"/>
  <c r="F5536" i="2"/>
  <c r="F5537" i="2"/>
  <c r="F5538" i="2"/>
  <c r="F5539" i="2"/>
  <c r="F5540" i="2"/>
  <c r="F5541" i="2"/>
  <c r="F5542" i="2"/>
  <c r="F5543" i="2"/>
  <c r="F5544" i="2"/>
  <c r="F5545" i="2"/>
  <c r="F5546" i="2"/>
  <c r="F5547" i="2"/>
  <c r="F5548" i="2"/>
  <c r="F5549" i="2"/>
  <c r="F5550" i="2"/>
  <c r="F5551" i="2"/>
  <c r="F5552" i="2"/>
  <c r="F5553" i="2"/>
  <c r="F5554" i="2"/>
  <c r="F5555" i="2"/>
  <c r="F5556" i="2"/>
  <c r="F5557" i="2"/>
  <c r="F5558" i="2"/>
  <c r="F5559" i="2"/>
  <c r="F5560" i="2"/>
  <c r="F5561" i="2"/>
  <c r="F5562" i="2"/>
  <c r="F5563" i="2"/>
  <c r="F5564" i="2"/>
  <c r="F5565" i="2"/>
  <c r="F5566" i="2"/>
  <c r="F5567" i="2"/>
  <c r="F5568" i="2"/>
  <c r="F5569" i="2"/>
  <c r="F5570" i="2"/>
  <c r="F5571" i="2"/>
  <c r="F5572" i="2"/>
  <c r="F5573" i="2"/>
  <c r="F5574" i="2"/>
  <c r="F5575" i="2"/>
  <c r="F5576" i="2"/>
  <c r="F5577" i="2"/>
  <c r="F5578" i="2"/>
  <c r="F5579" i="2"/>
  <c r="F5580" i="2"/>
  <c r="F5581" i="2"/>
  <c r="F5582" i="2"/>
  <c r="F5583" i="2"/>
  <c r="F5584" i="2"/>
  <c r="F5585" i="2"/>
  <c r="F5586" i="2"/>
  <c r="F5587" i="2"/>
  <c r="F5588" i="2"/>
  <c r="F5589" i="2"/>
  <c r="F5590" i="2"/>
  <c r="F5591" i="2"/>
  <c r="F5592" i="2"/>
  <c r="F5593" i="2"/>
  <c r="F5594" i="2"/>
  <c r="F5595" i="2"/>
  <c r="F5596" i="2"/>
  <c r="F5597" i="2"/>
  <c r="F5598" i="2"/>
  <c r="F5599" i="2"/>
  <c r="F5600" i="2"/>
  <c r="F5601" i="2"/>
  <c r="F5602" i="2"/>
  <c r="F5603" i="2"/>
  <c r="F5604" i="2"/>
  <c r="F5605" i="2"/>
  <c r="F5606" i="2"/>
  <c r="F5607" i="2"/>
  <c r="F5608" i="2"/>
  <c r="F5609" i="2"/>
  <c r="F5610" i="2"/>
  <c r="F5611" i="2"/>
  <c r="F5612" i="2"/>
  <c r="F5613" i="2"/>
  <c r="F5614" i="2"/>
  <c r="F5615" i="2"/>
  <c r="F5616" i="2"/>
  <c r="F5617" i="2"/>
  <c r="F5618" i="2"/>
  <c r="F5619" i="2"/>
  <c r="F5620" i="2"/>
  <c r="F5621" i="2"/>
  <c r="F5622" i="2"/>
  <c r="F5623" i="2"/>
  <c r="F5624" i="2"/>
  <c r="F5625" i="2"/>
  <c r="F5626" i="2"/>
  <c r="F5627" i="2"/>
  <c r="F5628" i="2"/>
  <c r="F5629" i="2"/>
  <c r="F5630" i="2"/>
  <c r="F5631" i="2"/>
  <c r="F5632" i="2"/>
  <c r="F5633" i="2"/>
  <c r="F5634" i="2"/>
  <c r="F5635" i="2"/>
  <c r="F5636" i="2"/>
  <c r="F5637" i="2"/>
  <c r="F5638" i="2"/>
  <c r="F5639" i="2"/>
  <c r="F5640" i="2"/>
  <c r="F5641" i="2"/>
  <c r="F5642" i="2"/>
  <c r="F5643" i="2"/>
  <c r="F5644" i="2"/>
  <c r="F5645" i="2"/>
  <c r="F5646" i="2"/>
  <c r="F5647" i="2"/>
  <c r="F5648" i="2"/>
  <c r="F5649" i="2"/>
  <c r="F5650" i="2"/>
  <c r="F5651" i="2"/>
  <c r="F5652" i="2"/>
  <c r="F5653" i="2"/>
  <c r="F5654" i="2"/>
  <c r="F5655" i="2"/>
  <c r="F5656" i="2"/>
  <c r="F5657" i="2"/>
  <c r="F5658" i="2"/>
  <c r="F5659" i="2"/>
  <c r="F5660" i="2"/>
  <c r="F5661" i="2"/>
  <c r="F5662" i="2"/>
  <c r="F5663" i="2"/>
  <c r="F5664" i="2"/>
  <c r="F5665" i="2"/>
  <c r="F5666" i="2"/>
  <c r="F5667" i="2"/>
  <c r="F5668" i="2"/>
  <c r="F5669" i="2"/>
  <c r="F5670" i="2"/>
  <c r="F5671" i="2"/>
  <c r="F5672" i="2"/>
  <c r="F5673" i="2"/>
  <c r="F5674" i="2"/>
  <c r="F5675" i="2"/>
  <c r="F5676" i="2"/>
  <c r="F5677" i="2"/>
  <c r="F5678" i="2"/>
  <c r="F5679" i="2"/>
  <c r="F5680" i="2"/>
  <c r="F5681" i="2"/>
  <c r="F5682" i="2"/>
  <c r="F5683" i="2"/>
  <c r="F5684" i="2"/>
  <c r="F5685" i="2"/>
  <c r="F5686" i="2"/>
  <c r="F5687" i="2"/>
  <c r="F5688" i="2"/>
  <c r="F5689" i="2"/>
  <c r="F5690" i="2"/>
  <c r="F5691" i="2"/>
  <c r="F5692" i="2"/>
  <c r="F5693" i="2"/>
  <c r="F5694" i="2"/>
  <c r="F5695" i="2"/>
  <c r="F5696" i="2"/>
  <c r="F5697" i="2"/>
  <c r="F5698" i="2"/>
  <c r="F5699" i="2"/>
  <c r="F5700" i="2"/>
  <c r="F5701" i="2"/>
  <c r="F5702" i="2"/>
  <c r="F5703" i="2"/>
  <c r="F5704" i="2"/>
  <c r="F5705" i="2"/>
  <c r="F5706" i="2"/>
  <c r="F5707" i="2"/>
  <c r="F5708" i="2"/>
  <c r="F5709" i="2"/>
  <c r="F5710" i="2"/>
  <c r="F5711" i="2"/>
  <c r="F5712" i="2"/>
  <c r="F5713" i="2"/>
  <c r="F5714" i="2"/>
  <c r="F5715" i="2"/>
  <c r="F5716" i="2"/>
  <c r="F5717" i="2"/>
  <c r="F5718" i="2"/>
  <c r="F5719" i="2"/>
  <c r="F5720" i="2"/>
  <c r="F5721" i="2"/>
  <c r="F5722" i="2"/>
  <c r="F5723" i="2"/>
  <c r="F5724" i="2"/>
  <c r="F5725" i="2"/>
  <c r="F5726" i="2"/>
  <c r="F5727" i="2"/>
  <c r="F5728" i="2"/>
  <c r="F5729" i="2"/>
  <c r="F5730" i="2"/>
  <c r="F5731" i="2"/>
  <c r="F5732" i="2"/>
  <c r="F5733" i="2"/>
  <c r="F5734" i="2"/>
  <c r="F5735" i="2"/>
  <c r="F5736" i="2"/>
  <c r="F5737" i="2"/>
  <c r="F5738" i="2"/>
  <c r="F5739" i="2"/>
  <c r="F5740" i="2"/>
  <c r="F5741" i="2"/>
  <c r="F5742" i="2"/>
  <c r="F5743" i="2"/>
  <c r="F5744" i="2"/>
  <c r="F5745" i="2"/>
  <c r="F5746" i="2"/>
  <c r="F5747" i="2"/>
  <c r="F5748" i="2"/>
  <c r="F5749" i="2"/>
  <c r="F5750" i="2"/>
  <c r="F5751" i="2"/>
  <c r="F5752" i="2"/>
  <c r="F5753" i="2"/>
  <c r="F5754" i="2"/>
  <c r="F5755" i="2"/>
  <c r="F5756" i="2"/>
  <c r="F5757" i="2"/>
  <c r="F5758" i="2"/>
  <c r="F5759" i="2"/>
  <c r="F5760" i="2"/>
  <c r="F5761" i="2"/>
  <c r="F5762" i="2"/>
  <c r="F5763" i="2"/>
  <c r="F5764" i="2"/>
  <c r="F5765" i="2"/>
  <c r="F5766" i="2"/>
  <c r="F5767" i="2"/>
  <c r="F5768" i="2"/>
  <c r="F5769" i="2"/>
  <c r="F5770" i="2"/>
  <c r="F5771" i="2"/>
  <c r="F5772" i="2"/>
  <c r="F5773" i="2"/>
  <c r="F5774" i="2"/>
  <c r="F5775" i="2"/>
  <c r="F5776" i="2"/>
  <c r="F5777" i="2"/>
  <c r="F5778" i="2"/>
  <c r="F5779" i="2"/>
  <c r="F5780" i="2"/>
  <c r="F5781" i="2"/>
  <c r="F5782" i="2"/>
  <c r="F5783" i="2"/>
  <c r="F5784" i="2"/>
  <c r="F5785" i="2"/>
  <c r="F5786" i="2"/>
  <c r="F5787" i="2"/>
  <c r="F5788" i="2"/>
  <c r="F5789" i="2"/>
  <c r="F5790" i="2"/>
  <c r="F5791" i="2"/>
  <c r="F5792" i="2"/>
  <c r="F5793" i="2"/>
  <c r="F5794" i="2"/>
  <c r="F5795" i="2"/>
  <c r="F5796" i="2"/>
  <c r="F5797" i="2"/>
  <c r="F5798" i="2"/>
  <c r="F5799" i="2"/>
  <c r="F5800" i="2"/>
  <c r="F5801" i="2"/>
  <c r="F5802" i="2"/>
  <c r="F5803" i="2"/>
  <c r="F5804" i="2"/>
  <c r="F5805" i="2"/>
  <c r="F5806" i="2"/>
  <c r="F5807" i="2"/>
  <c r="F5808" i="2"/>
  <c r="F5809" i="2"/>
  <c r="F5810" i="2"/>
  <c r="F5811" i="2"/>
  <c r="F5812" i="2"/>
  <c r="F5813" i="2"/>
  <c r="F5814" i="2"/>
  <c r="F5815" i="2"/>
  <c r="F5816" i="2"/>
  <c r="F5817" i="2"/>
  <c r="F5818" i="2"/>
  <c r="F5819" i="2"/>
  <c r="F5820" i="2"/>
  <c r="F5821" i="2"/>
  <c r="F5822" i="2"/>
  <c r="F5823" i="2"/>
  <c r="F5824" i="2"/>
  <c r="F5825" i="2"/>
  <c r="F5826" i="2"/>
  <c r="F5827" i="2"/>
  <c r="F5828" i="2"/>
  <c r="F5829" i="2"/>
  <c r="F5830" i="2"/>
  <c r="F5831" i="2"/>
  <c r="F5832" i="2"/>
  <c r="F5833" i="2"/>
  <c r="F5834" i="2"/>
  <c r="F5835" i="2"/>
  <c r="F5836" i="2"/>
  <c r="F5837" i="2"/>
  <c r="F5838" i="2"/>
  <c r="F5839" i="2"/>
  <c r="F5840" i="2"/>
  <c r="F5841" i="2"/>
  <c r="F5842" i="2"/>
  <c r="F5843" i="2"/>
  <c r="F5844" i="2"/>
  <c r="F5845" i="2"/>
  <c r="F5846" i="2"/>
  <c r="F5847" i="2"/>
  <c r="F5848" i="2"/>
  <c r="F5849" i="2"/>
  <c r="F5850" i="2"/>
  <c r="F5851" i="2"/>
  <c r="F5852" i="2"/>
  <c r="F5853" i="2"/>
  <c r="F5854" i="2"/>
  <c r="F5855" i="2"/>
  <c r="F5856" i="2"/>
  <c r="F5857" i="2"/>
  <c r="F5858" i="2"/>
  <c r="F5859" i="2"/>
  <c r="F5860" i="2"/>
  <c r="F5861" i="2"/>
  <c r="F5862" i="2"/>
  <c r="F5863" i="2"/>
  <c r="F5864" i="2"/>
  <c r="F5865" i="2"/>
  <c r="F5866" i="2"/>
  <c r="F5867" i="2"/>
  <c r="F5868" i="2"/>
  <c r="F5869" i="2"/>
  <c r="F5870" i="2"/>
  <c r="F5871" i="2"/>
  <c r="F5872" i="2"/>
  <c r="F5873" i="2"/>
  <c r="F5874" i="2"/>
  <c r="F5875" i="2"/>
  <c r="F5876" i="2"/>
  <c r="F5877" i="2"/>
  <c r="F5878" i="2"/>
  <c r="F5879" i="2"/>
  <c r="F5880" i="2"/>
  <c r="F5881" i="2"/>
  <c r="F5882" i="2"/>
  <c r="F5883" i="2"/>
  <c r="F5884" i="2"/>
  <c r="F5885" i="2"/>
  <c r="F5886" i="2"/>
  <c r="F5887" i="2"/>
  <c r="F5888" i="2"/>
  <c r="F5889" i="2"/>
  <c r="F5890" i="2"/>
  <c r="F5891" i="2"/>
  <c r="F5892" i="2"/>
  <c r="F5893" i="2"/>
  <c r="F5894" i="2"/>
  <c r="F5895" i="2"/>
  <c r="F5896" i="2"/>
  <c r="F5897" i="2"/>
  <c r="F5898" i="2"/>
  <c r="F5899" i="2"/>
  <c r="F5900" i="2"/>
  <c r="F5901" i="2"/>
  <c r="F5902" i="2"/>
  <c r="F5903" i="2"/>
  <c r="F5904" i="2"/>
  <c r="F5905" i="2"/>
  <c r="F5906" i="2"/>
  <c r="F5907" i="2"/>
  <c r="F5908" i="2"/>
  <c r="F5909" i="2"/>
  <c r="F5910" i="2"/>
  <c r="F5911" i="2"/>
  <c r="F5912" i="2"/>
  <c r="F5913" i="2"/>
  <c r="F5914" i="2"/>
  <c r="F5915" i="2"/>
  <c r="F5916" i="2"/>
  <c r="F5917" i="2"/>
  <c r="F5918" i="2"/>
  <c r="F5919" i="2"/>
  <c r="F5920" i="2"/>
  <c r="F5921" i="2"/>
  <c r="F5922" i="2"/>
  <c r="F5923" i="2"/>
  <c r="F5924" i="2"/>
  <c r="F5925" i="2"/>
  <c r="F5926" i="2"/>
  <c r="F5927" i="2"/>
  <c r="F5928" i="2"/>
  <c r="F5929" i="2"/>
  <c r="F5930" i="2"/>
  <c r="F5931" i="2"/>
  <c r="F5932" i="2"/>
  <c r="F5933" i="2"/>
  <c r="F5934" i="2"/>
  <c r="F5935" i="2"/>
  <c r="F5936" i="2"/>
  <c r="F5937" i="2"/>
  <c r="F5938" i="2"/>
  <c r="F5939" i="2"/>
  <c r="F5940" i="2"/>
  <c r="F5941" i="2"/>
  <c r="F5942" i="2"/>
  <c r="F5943" i="2"/>
  <c r="F5944" i="2"/>
  <c r="F5945" i="2"/>
  <c r="F5946" i="2"/>
  <c r="F5947" i="2"/>
  <c r="F5948" i="2"/>
  <c r="F5949" i="2"/>
  <c r="F5950" i="2"/>
  <c r="F5951" i="2"/>
  <c r="F5952" i="2"/>
  <c r="F5953" i="2"/>
  <c r="F5954" i="2"/>
  <c r="F5955" i="2"/>
  <c r="F5956" i="2"/>
  <c r="F5957" i="2"/>
  <c r="F5958" i="2"/>
  <c r="F5959" i="2"/>
  <c r="F5960" i="2"/>
  <c r="F5961" i="2"/>
  <c r="F5962" i="2"/>
  <c r="F5963" i="2"/>
  <c r="F5964" i="2"/>
  <c r="F5965" i="2"/>
  <c r="F5966" i="2"/>
  <c r="F5967" i="2"/>
  <c r="F5968" i="2"/>
  <c r="F5969" i="2"/>
  <c r="F5970" i="2"/>
  <c r="F5971" i="2"/>
  <c r="F5972" i="2"/>
  <c r="F5973" i="2"/>
  <c r="F5974" i="2"/>
  <c r="F5975" i="2"/>
  <c r="F5976" i="2"/>
  <c r="F5977" i="2"/>
  <c r="F5978" i="2"/>
  <c r="F5979" i="2"/>
  <c r="F5980" i="2"/>
  <c r="F5981" i="2"/>
  <c r="F5982" i="2"/>
  <c r="F5983" i="2"/>
  <c r="F5984" i="2"/>
  <c r="F5985" i="2"/>
  <c r="F5986" i="2"/>
  <c r="F5987" i="2"/>
  <c r="F5988" i="2"/>
  <c r="F5989" i="2"/>
  <c r="F5990" i="2"/>
  <c r="F5991" i="2"/>
  <c r="F5992" i="2"/>
  <c r="F5993" i="2"/>
  <c r="F5994" i="2"/>
  <c r="F5995" i="2"/>
  <c r="F5996" i="2"/>
  <c r="F5997" i="2"/>
  <c r="F5998" i="2"/>
  <c r="F5999" i="2"/>
  <c r="F6000" i="2"/>
  <c r="F6001" i="2"/>
  <c r="F6002" i="2"/>
  <c r="F6003" i="2"/>
  <c r="F6004" i="2"/>
  <c r="F6005" i="2"/>
  <c r="F6006" i="2"/>
  <c r="F6007" i="2"/>
  <c r="F6008" i="2"/>
  <c r="F6009" i="2"/>
  <c r="F6010" i="2"/>
  <c r="F6011" i="2"/>
  <c r="F6012" i="2"/>
  <c r="F6013" i="2"/>
  <c r="F6014" i="2"/>
  <c r="F6015" i="2"/>
  <c r="F6016" i="2"/>
  <c r="F6017" i="2"/>
  <c r="F6018" i="2"/>
  <c r="F6019" i="2"/>
  <c r="F6020" i="2"/>
  <c r="F6021" i="2"/>
  <c r="F6022" i="2"/>
  <c r="F6023" i="2"/>
  <c r="F6024" i="2"/>
  <c r="F6025" i="2"/>
  <c r="F6026" i="2"/>
  <c r="F6027" i="2"/>
  <c r="F6028" i="2"/>
  <c r="F6029" i="2"/>
  <c r="F6030" i="2"/>
  <c r="F6031" i="2"/>
  <c r="F6032" i="2"/>
  <c r="F6033" i="2"/>
  <c r="F6034" i="2"/>
  <c r="F6035" i="2"/>
  <c r="F6036" i="2"/>
  <c r="F6037" i="2"/>
  <c r="F6038" i="2"/>
  <c r="F6039" i="2"/>
  <c r="F6040" i="2"/>
  <c r="F6041" i="2"/>
  <c r="F6042" i="2"/>
  <c r="F6043" i="2"/>
  <c r="F6044" i="2"/>
  <c r="F6045" i="2"/>
  <c r="F6046" i="2"/>
  <c r="F6047" i="2"/>
  <c r="F6048" i="2"/>
  <c r="F6049" i="2"/>
  <c r="F6050" i="2"/>
  <c r="F6051" i="2"/>
  <c r="F6052" i="2"/>
  <c r="F6053" i="2"/>
  <c r="F6054" i="2"/>
  <c r="F6055" i="2"/>
  <c r="F6056" i="2"/>
  <c r="F6057" i="2"/>
  <c r="F6058" i="2"/>
  <c r="F6059" i="2"/>
  <c r="F6060" i="2"/>
  <c r="F6061" i="2"/>
  <c r="F6062" i="2"/>
  <c r="F6063" i="2"/>
  <c r="F6064" i="2"/>
  <c r="F6065" i="2"/>
  <c r="F6066" i="2"/>
  <c r="F6067" i="2"/>
  <c r="F6068" i="2"/>
  <c r="F6069" i="2"/>
  <c r="F6070" i="2"/>
  <c r="F6071" i="2"/>
  <c r="F6072" i="2"/>
  <c r="F6073" i="2"/>
  <c r="F6074" i="2"/>
  <c r="F6075" i="2"/>
  <c r="F6076" i="2"/>
  <c r="F6077" i="2"/>
  <c r="F6078" i="2"/>
  <c r="F6079" i="2"/>
  <c r="F6080" i="2"/>
  <c r="F6081" i="2"/>
  <c r="F6082" i="2"/>
  <c r="F6083" i="2"/>
  <c r="F6084" i="2"/>
  <c r="F6085" i="2"/>
  <c r="F6086" i="2"/>
  <c r="F6087" i="2"/>
  <c r="F6088" i="2"/>
  <c r="F6089" i="2"/>
  <c r="F6090" i="2"/>
  <c r="F6091" i="2"/>
  <c r="F6092" i="2"/>
  <c r="F6093" i="2"/>
  <c r="F6094" i="2"/>
  <c r="F6095" i="2"/>
  <c r="F6096" i="2"/>
  <c r="F6097" i="2"/>
  <c r="F6098" i="2"/>
  <c r="F6099" i="2"/>
  <c r="F6100" i="2"/>
  <c r="F6101" i="2"/>
  <c r="F6102" i="2"/>
  <c r="F6103" i="2"/>
  <c r="F6104" i="2"/>
  <c r="F6105" i="2"/>
  <c r="F6106" i="2"/>
  <c r="F6107" i="2"/>
  <c r="F6108" i="2"/>
  <c r="F6109" i="2"/>
  <c r="F6110" i="2"/>
  <c r="F6111" i="2"/>
  <c r="F6112" i="2"/>
  <c r="F6113" i="2"/>
  <c r="F6114" i="2"/>
  <c r="F6115" i="2"/>
  <c r="F6116" i="2"/>
  <c r="F6117" i="2"/>
  <c r="F6118" i="2"/>
  <c r="F6119" i="2"/>
  <c r="F6120" i="2"/>
  <c r="F6121" i="2"/>
  <c r="F6122" i="2"/>
  <c r="F6123" i="2"/>
  <c r="F6124" i="2"/>
  <c r="F6125" i="2"/>
  <c r="F6126" i="2"/>
  <c r="F6127" i="2"/>
  <c r="F6128" i="2"/>
  <c r="F6129" i="2"/>
  <c r="F6130" i="2"/>
  <c r="F6131" i="2"/>
  <c r="F6132" i="2"/>
  <c r="F6133" i="2"/>
  <c r="F6134" i="2"/>
  <c r="F6135" i="2"/>
  <c r="F6136" i="2"/>
  <c r="F6137" i="2"/>
  <c r="F6138" i="2"/>
  <c r="F6139" i="2"/>
  <c r="F6140" i="2"/>
  <c r="F6141" i="2"/>
  <c r="F6142" i="2"/>
  <c r="F6143" i="2"/>
  <c r="F6144" i="2"/>
  <c r="F6145" i="2"/>
  <c r="F6146" i="2"/>
  <c r="F6147" i="2"/>
  <c r="F6148" i="2"/>
  <c r="F6149" i="2"/>
  <c r="F6150" i="2"/>
  <c r="F6151" i="2"/>
  <c r="F6152" i="2"/>
  <c r="F6153" i="2"/>
  <c r="F6154" i="2"/>
  <c r="F6155" i="2"/>
  <c r="F6156" i="2"/>
  <c r="F6157" i="2"/>
  <c r="F6158" i="2"/>
  <c r="F6159" i="2"/>
  <c r="F6160" i="2"/>
  <c r="F6161" i="2"/>
  <c r="F6162" i="2"/>
  <c r="F6163" i="2"/>
  <c r="F6164" i="2"/>
  <c r="F6165" i="2"/>
  <c r="F6166" i="2"/>
  <c r="F6167" i="2"/>
  <c r="F6168" i="2"/>
  <c r="F6169" i="2"/>
  <c r="F6170" i="2"/>
  <c r="F6171" i="2"/>
  <c r="F6172" i="2"/>
  <c r="F6173" i="2"/>
  <c r="F6174" i="2"/>
  <c r="F6175" i="2"/>
  <c r="F6176" i="2"/>
  <c r="F6177" i="2"/>
  <c r="F6178" i="2"/>
  <c r="F6179" i="2"/>
  <c r="F6180" i="2"/>
  <c r="F6181" i="2"/>
  <c r="F6182" i="2"/>
  <c r="F6183" i="2"/>
  <c r="F6184" i="2"/>
  <c r="F6185" i="2"/>
  <c r="F6186" i="2"/>
  <c r="F6187" i="2"/>
  <c r="F6188" i="2"/>
  <c r="F6189" i="2"/>
  <c r="F6190" i="2"/>
  <c r="F6191" i="2"/>
  <c r="F6192" i="2"/>
  <c r="F6193" i="2"/>
  <c r="F6194" i="2"/>
  <c r="F6195" i="2"/>
  <c r="F6196" i="2"/>
  <c r="F6197" i="2"/>
  <c r="F6198" i="2"/>
  <c r="F6199" i="2"/>
  <c r="F6200" i="2"/>
  <c r="F6201" i="2"/>
  <c r="F6202" i="2"/>
  <c r="F6203" i="2"/>
  <c r="F6204" i="2"/>
  <c r="F6205" i="2"/>
  <c r="F6206" i="2"/>
  <c r="F6207" i="2"/>
  <c r="F6208" i="2"/>
  <c r="F6209" i="2"/>
  <c r="F6210" i="2"/>
  <c r="F6211" i="2"/>
  <c r="F6212" i="2"/>
  <c r="F6213" i="2"/>
  <c r="F6214" i="2"/>
  <c r="F6215" i="2"/>
  <c r="F6216" i="2"/>
  <c r="F6217" i="2"/>
  <c r="F6218" i="2"/>
  <c r="F6219" i="2"/>
  <c r="F6220" i="2"/>
  <c r="F6221" i="2"/>
  <c r="F6222" i="2"/>
  <c r="F6223" i="2"/>
  <c r="F6224" i="2"/>
  <c r="F6225" i="2"/>
  <c r="F6226" i="2"/>
  <c r="F6227" i="2"/>
  <c r="F6228" i="2"/>
  <c r="F6229" i="2"/>
  <c r="F6230" i="2"/>
  <c r="F6231" i="2"/>
  <c r="F6232" i="2"/>
  <c r="F6233" i="2"/>
  <c r="F6234" i="2"/>
  <c r="F6235" i="2"/>
  <c r="F6236" i="2"/>
  <c r="F6237" i="2"/>
  <c r="F6238" i="2"/>
  <c r="F6239" i="2"/>
  <c r="F6240" i="2"/>
  <c r="F6241" i="2"/>
  <c r="F6242" i="2"/>
  <c r="F6243" i="2"/>
  <c r="F6244" i="2"/>
  <c r="F6245" i="2"/>
  <c r="F6246" i="2"/>
  <c r="F6247" i="2"/>
  <c r="F6248" i="2"/>
  <c r="F6249" i="2"/>
  <c r="F6250" i="2"/>
  <c r="F6251" i="2"/>
  <c r="F6252" i="2"/>
  <c r="F6253" i="2"/>
  <c r="F6254" i="2"/>
  <c r="F6255" i="2"/>
  <c r="F6256" i="2"/>
  <c r="F6257" i="2"/>
  <c r="F6258" i="2"/>
  <c r="F6259" i="2"/>
  <c r="F6260" i="2"/>
  <c r="F6261" i="2"/>
  <c r="F6262" i="2"/>
  <c r="F6263" i="2"/>
  <c r="F6264" i="2"/>
  <c r="F6265" i="2"/>
  <c r="F6266" i="2"/>
  <c r="F6267" i="2"/>
  <c r="F6268" i="2"/>
  <c r="F6269" i="2"/>
  <c r="F6270" i="2"/>
  <c r="F6271" i="2"/>
  <c r="F6272" i="2"/>
  <c r="F6273" i="2"/>
  <c r="F6274" i="2"/>
  <c r="F6275" i="2"/>
  <c r="F6276" i="2"/>
  <c r="F6277" i="2"/>
  <c r="F6278" i="2"/>
  <c r="F6279" i="2"/>
  <c r="F6280" i="2"/>
  <c r="F6281" i="2"/>
  <c r="F6282" i="2"/>
  <c r="F6283" i="2"/>
  <c r="F6284" i="2"/>
  <c r="F6285" i="2"/>
  <c r="F6286" i="2"/>
  <c r="F6287" i="2"/>
  <c r="F6288" i="2"/>
  <c r="F6289" i="2"/>
  <c r="F6290" i="2"/>
  <c r="F6291" i="2"/>
  <c r="F6292" i="2"/>
  <c r="F6293" i="2"/>
  <c r="F6294" i="2"/>
  <c r="F6295" i="2"/>
  <c r="F6296" i="2"/>
  <c r="F6297" i="2"/>
  <c r="F6298" i="2"/>
  <c r="F6299" i="2"/>
  <c r="F6300" i="2"/>
  <c r="F6301" i="2"/>
  <c r="F6302" i="2"/>
  <c r="F6303" i="2"/>
  <c r="F6304" i="2"/>
  <c r="F6305" i="2"/>
  <c r="F6306" i="2"/>
  <c r="F6307" i="2"/>
  <c r="F6308" i="2"/>
  <c r="F6309" i="2"/>
  <c r="F6310" i="2"/>
  <c r="F6311" i="2"/>
  <c r="F6312" i="2"/>
  <c r="F6313" i="2"/>
  <c r="F6314" i="2"/>
  <c r="F6315" i="2"/>
  <c r="F6316" i="2"/>
  <c r="F6317" i="2"/>
  <c r="F6318" i="2"/>
  <c r="F6319" i="2"/>
  <c r="F6320" i="2"/>
  <c r="F6321" i="2"/>
  <c r="F6322" i="2"/>
  <c r="F6323" i="2"/>
  <c r="F6324" i="2"/>
  <c r="F6325" i="2"/>
  <c r="F6326" i="2"/>
  <c r="F6327" i="2"/>
  <c r="F6328" i="2"/>
  <c r="F6329" i="2"/>
  <c r="F6330" i="2"/>
  <c r="F6331" i="2"/>
  <c r="F6332" i="2"/>
  <c r="F6333" i="2"/>
  <c r="F6334" i="2"/>
  <c r="F6335" i="2"/>
  <c r="F6336" i="2"/>
  <c r="F6337" i="2"/>
  <c r="F6338" i="2"/>
  <c r="F6339" i="2"/>
  <c r="F6340" i="2"/>
  <c r="F6341" i="2"/>
  <c r="F6342" i="2"/>
  <c r="F6343" i="2"/>
  <c r="F6344" i="2"/>
  <c r="F6345" i="2"/>
  <c r="F6346" i="2"/>
  <c r="F6347" i="2"/>
  <c r="F6348" i="2"/>
  <c r="F6349" i="2"/>
  <c r="F6350" i="2"/>
  <c r="F6351" i="2"/>
  <c r="F6352" i="2"/>
  <c r="F6353" i="2"/>
  <c r="F6354" i="2"/>
  <c r="F6355" i="2"/>
  <c r="F6356" i="2"/>
  <c r="F6357" i="2"/>
  <c r="F6358" i="2"/>
  <c r="F6359" i="2"/>
  <c r="F6360" i="2"/>
  <c r="F6361" i="2"/>
  <c r="F6362" i="2"/>
  <c r="F6363" i="2"/>
  <c r="F6364" i="2"/>
  <c r="F6365" i="2"/>
  <c r="F6366" i="2"/>
  <c r="F6367" i="2"/>
  <c r="F6368" i="2"/>
  <c r="F6369" i="2"/>
  <c r="F6370" i="2"/>
  <c r="F6371" i="2"/>
  <c r="F6372" i="2"/>
  <c r="F6373" i="2"/>
  <c r="F6374" i="2"/>
  <c r="F6375" i="2"/>
  <c r="F6376" i="2"/>
  <c r="F6377" i="2"/>
  <c r="F6378" i="2"/>
  <c r="F6379" i="2"/>
  <c r="F6380" i="2"/>
  <c r="F6381" i="2"/>
  <c r="F6382" i="2"/>
  <c r="F6383" i="2"/>
  <c r="F6384" i="2"/>
  <c r="F6385" i="2"/>
  <c r="F6386" i="2"/>
  <c r="F6387" i="2"/>
  <c r="F6388" i="2"/>
  <c r="F6389" i="2"/>
  <c r="F6390" i="2"/>
  <c r="F6391" i="2"/>
  <c r="F6392" i="2"/>
  <c r="F6393" i="2"/>
  <c r="F6394" i="2"/>
  <c r="F6395" i="2"/>
  <c r="F6396" i="2"/>
  <c r="F6397" i="2"/>
  <c r="F6398" i="2"/>
  <c r="F6399" i="2"/>
  <c r="F6400" i="2"/>
  <c r="F6401" i="2"/>
  <c r="F6402" i="2"/>
  <c r="F6403" i="2"/>
  <c r="F6404" i="2"/>
  <c r="F6405" i="2"/>
  <c r="F6406" i="2"/>
  <c r="F6407" i="2"/>
  <c r="F6408" i="2"/>
  <c r="F6409" i="2"/>
  <c r="F6410" i="2"/>
  <c r="F6411" i="2"/>
  <c r="F6412" i="2"/>
  <c r="F6413" i="2"/>
  <c r="F6414" i="2"/>
  <c r="F6415" i="2"/>
  <c r="F6416" i="2"/>
  <c r="F6417" i="2"/>
  <c r="F6418" i="2"/>
  <c r="F6419" i="2"/>
  <c r="F6420" i="2"/>
  <c r="F6421" i="2"/>
  <c r="F6422" i="2"/>
  <c r="F6423" i="2"/>
  <c r="F6424" i="2"/>
  <c r="F6425" i="2"/>
  <c r="F6426" i="2"/>
  <c r="F6427" i="2"/>
  <c r="F6428" i="2"/>
  <c r="F6429" i="2"/>
  <c r="F6430" i="2"/>
  <c r="F6431" i="2"/>
  <c r="F6432" i="2"/>
  <c r="F6433" i="2"/>
  <c r="F6434" i="2"/>
  <c r="F6435" i="2"/>
  <c r="F6436" i="2"/>
  <c r="F6437" i="2"/>
  <c r="F6438" i="2"/>
  <c r="F6439" i="2"/>
  <c r="F6440" i="2"/>
  <c r="F6441" i="2"/>
  <c r="F6442" i="2"/>
  <c r="F6443" i="2"/>
  <c r="F6444" i="2"/>
  <c r="F6445" i="2"/>
  <c r="F6446" i="2"/>
  <c r="F6447" i="2"/>
  <c r="F6448" i="2"/>
  <c r="F6449" i="2"/>
  <c r="F6450" i="2"/>
  <c r="F6451" i="2"/>
  <c r="F6452" i="2"/>
  <c r="F6453" i="2"/>
  <c r="F6454" i="2"/>
  <c r="F6455" i="2"/>
  <c r="F6456" i="2"/>
  <c r="F6457" i="2"/>
  <c r="F6458" i="2"/>
  <c r="F6459" i="2"/>
  <c r="F6460" i="2"/>
  <c r="F6461" i="2"/>
  <c r="F6462" i="2"/>
  <c r="F6463" i="2"/>
  <c r="F6464" i="2"/>
  <c r="F6465" i="2"/>
  <c r="F6466" i="2"/>
  <c r="F6467" i="2"/>
  <c r="F6468" i="2"/>
  <c r="F6469" i="2"/>
  <c r="F6470" i="2"/>
  <c r="F6471" i="2"/>
  <c r="F6472" i="2"/>
  <c r="F6473" i="2"/>
  <c r="F6474" i="2"/>
  <c r="F6475" i="2"/>
  <c r="F6476" i="2"/>
  <c r="F6477" i="2"/>
  <c r="F6478" i="2"/>
  <c r="F6479" i="2"/>
  <c r="F6480" i="2"/>
  <c r="F6481" i="2"/>
  <c r="F6482" i="2"/>
  <c r="F6483" i="2"/>
  <c r="F6484" i="2"/>
  <c r="F6485" i="2"/>
  <c r="F6486" i="2"/>
  <c r="F6487" i="2"/>
  <c r="F6488" i="2"/>
  <c r="F6489" i="2"/>
  <c r="F6490" i="2"/>
  <c r="F6491" i="2"/>
  <c r="F6492" i="2"/>
  <c r="F6493" i="2"/>
  <c r="F6494" i="2"/>
  <c r="F6495" i="2"/>
  <c r="F6496" i="2"/>
  <c r="F6497" i="2"/>
  <c r="F6498" i="2"/>
  <c r="F6499" i="2"/>
  <c r="F6500" i="2"/>
  <c r="F6501" i="2"/>
  <c r="F6502" i="2"/>
  <c r="F6503" i="2"/>
  <c r="F6504" i="2"/>
  <c r="F6505" i="2"/>
  <c r="F6506" i="2"/>
  <c r="F6507" i="2"/>
  <c r="F6508" i="2"/>
  <c r="F6509" i="2"/>
  <c r="F6510" i="2"/>
  <c r="F6511" i="2"/>
  <c r="F6512" i="2"/>
  <c r="F6513" i="2"/>
  <c r="F6514" i="2"/>
  <c r="F6515" i="2"/>
  <c r="F6516" i="2"/>
  <c r="F6517" i="2"/>
  <c r="F6518" i="2"/>
  <c r="F6519" i="2"/>
  <c r="F6520" i="2"/>
  <c r="F6521" i="2"/>
  <c r="F6522" i="2"/>
  <c r="F6523" i="2"/>
  <c r="F6524" i="2"/>
  <c r="F6525" i="2"/>
  <c r="F6526" i="2"/>
  <c r="F6527" i="2"/>
  <c r="F6528" i="2"/>
  <c r="F6529" i="2"/>
  <c r="F6530" i="2"/>
  <c r="F6531" i="2"/>
  <c r="F6532" i="2"/>
  <c r="F6533" i="2"/>
  <c r="F6534" i="2"/>
  <c r="F6535" i="2"/>
  <c r="F6536" i="2"/>
  <c r="F6537" i="2"/>
  <c r="F6538" i="2"/>
  <c r="F6539" i="2"/>
  <c r="F6540" i="2"/>
  <c r="F6541" i="2"/>
  <c r="F6542" i="2"/>
  <c r="F6543" i="2"/>
  <c r="F6544" i="2"/>
  <c r="F6545" i="2"/>
  <c r="F6546" i="2"/>
  <c r="F6547" i="2"/>
  <c r="F6548" i="2"/>
  <c r="F6549" i="2"/>
  <c r="F6550" i="2"/>
  <c r="F6551" i="2"/>
  <c r="F6552" i="2"/>
  <c r="F6553" i="2"/>
  <c r="F6554" i="2"/>
  <c r="F6555" i="2"/>
  <c r="F6556" i="2"/>
  <c r="F6557" i="2"/>
  <c r="F6558" i="2"/>
  <c r="F6559" i="2"/>
  <c r="F6560" i="2"/>
  <c r="F6561" i="2"/>
  <c r="F6562" i="2"/>
  <c r="F6563" i="2"/>
  <c r="F6564" i="2"/>
  <c r="F6565" i="2"/>
  <c r="F6566" i="2"/>
  <c r="F6567" i="2"/>
  <c r="F6568" i="2"/>
  <c r="F6569" i="2"/>
  <c r="F6570" i="2"/>
  <c r="F6571" i="2"/>
  <c r="F6572" i="2"/>
  <c r="F6573" i="2"/>
  <c r="F6574" i="2"/>
  <c r="F6575" i="2"/>
  <c r="F6576" i="2"/>
  <c r="F6577" i="2"/>
  <c r="F6578" i="2"/>
  <c r="F6579" i="2"/>
  <c r="F6580" i="2"/>
  <c r="F6581" i="2"/>
  <c r="F6582" i="2"/>
  <c r="F6583" i="2"/>
  <c r="F6584" i="2"/>
  <c r="F6585" i="2"/>
  <c r="F6586" i="2"/>
  <c r="F6587" i="2"/>
  <c r="F6588" i="2"/>
  <c r="F6589" i="2"/>
  <c r="F6590" i="2"/>
  <c r="F6591" i="2"/>
  <c r="F6592" i="2"/>
  <c r="F6593" i="2"/>
  <c r="F6594" i="2"/>
  <c r="F6595" i="2"/>
  <c r="F6596" i="2"/>
  <c r="F6597" i="2"/>
  <c r="F6598" i="2"/>
  <c r="F6599" i="2"/>
  <c r="F6600" i="2"/>
  <c r="F6601" i="2"/>
  <c r="F6602" i="2"/>
  <c r="F6603" i="2"/>
  <c r="F6604" i="2"/>
  <c r="F6605" i="2"/>
  <c r="F6606" i="2"/>
  <c r="F6607" i="2"/>
  <c r="F6608" i="2"/>
  <c r="F6609" i="2"/>
  <c r="F6610" i="2"/>
  <c r="F6611" i="2"/>
  <c r="F6612" i="2"/>
  <c r="F6613" i="2"/>
  <c r="F6614" i="2"/>
  <c r="F6615" i="2"/>
  <c r="F6616" i="2"/>
  <c r="F6617" i="2"/>
  <c r="F6618" i="2"/>
  <c r="F6619" i="2"/>
  <c r="F6620" i="2"/>
  <c r="F6621" i="2"/>
  <c r="F6622" i="2"/>
  <c r="F6623" i="2"/>
  <c r="F6624" i="2"/>
  <c r="F6625" i="2"/>
  <c r="F6626" i="2"/>
  <c r="F6627" i="2"/>
  <c r="F6628" i="2"/>
  <c r="F6629" i="2"/>
  <c r="F6630" i="2"/>
  <c r="F6631" i="2"/>
  <c r="F6632" i="2"/>
  <c r="F6633" i="2"/>
  <c r="F6634" i="2"/>
  <c r="F6635" i="2"/>
  <c r="F6636" i="2"/>
  <c r="F6637" i="2"/>
  <c r="F6638" i="2"/>
  <c r="F6639" i="2"/>
  <c r="F6640" i="2"/>
  <c r="F6641" i="2"/>
  <c r="F6642" i="2"/>
  <c r="F6643" i="2"/>
  <c r="F6644" i="2"/>
  <c r="F6645" i="2"/>
  <c r="F6646" i="2"/>
  <c r="F6647" i="2"/>
  <c r="F6648" i="2"/>
  <c r="F6649" i="2"/>
  <c r="F6650" i="2"/>
  <c r="F6651" i="2"/>
  <c r="F6652" i="2"/>
  <c r="F6653" i="2"/>
  <c r="F6654" i="2"/>
  <c r="F6655" i="2"/>
  <c r="F6656" i="2"/>
  <c r="F6657" i="2"/>
  <c r="F6658" i="2"/>
  <c r="F6659" i="2"/>
  <c r="F6660" i="2"/>
  <c r="F6661" i="2"/>
  <c r="F6662" i="2"/>
  <c r="F6663" i="2"/>
  <c r="F6664" i="2"/>
  <c r="F6665" i="2"/>
  <c r="F6666" i="2"/>
  <c r="F6667" i="2"/>
  <c r="F6668" i="2"/>
  <c r="F6669" i="2"/>
  <c r="F6670" i="2"/>
  <c r="F6671" i="2"/>
  <c r="F6672" i="2"/>
  <c r="F6673" i="2"/>
  <c r="F6674" i="2"/>
  <c r="F6675" i="2"/>
  <c r="F6676" i="2"/>
  <c r="F6677" i="2"/>
  <c r="F6678" i="2"/>
  <c r="F6679" i="2"/>
  <c r="F6680" i="2"/>
  <c r="F6681" i="2"/>
  <c r="F6682" i="2"/>
  <c r="F6683" i="2"/>
  <c r="F6684" i="2"/>
  <c r="F6685" i="2"/>
  <c r="F6686" i="2"/>
  <c r="F6687" i="2"/>
  <c r="F6688" i="2"/>
  <c r="F6689" i="2"/>
  <c r="F6690" i="2"/>
  <c r="F6691" i="2"/>
  <c r="F6692" i="2"/>
  <c r="F6693" i="2"/>
  <c r="F6694" i="2"/>
  <c r="F6695" i="2"/>
  <c r="F6696" i="2"/>
  <c r="F6697" i="2"/>
  <c r="F6698" i="2"/>
  <c r="F6699" i="2"/>
  <c r="F6700" i="2"/>
  <c r="F6701" i="2"/>
  <c r="F6702" i="2"/>
  <c r="F6703" i="2"/>
  <c r="F6704" i="2"/>
  <c r="F6705" i="2"/>
  <c r="F6706" i="2"/>
  <c r="F6707" i="2"/>
  <c r="F6708" i="2"/>
  <c r="F6709" i="2"/>
  <c r="F6710" i="2"/>
  <c r="F6711" i="2"/>
  <c r="F6712" i="2"/>
  <c r="F6713" i="2"/>
  <c r="F6714" i="2"/>
  <c r="F6715" i="2"/>
  <c r="F6716" i="2"/>
  <c r="F6717" i="2"/>
  <c r="F6718" i="2"/>
  <c r="F6719" i="2"/>
  <c r="F6720" i="2"/>
  <c r="F6721" i="2"/>
  <c r="F6722" i="2"/>
  <c r="F6723" i="2"/>
  <c r="F6724" i="2"/>
  <c r="F6725" i="2"/>
  <c r="F6726" i="2"/>
  <c r="F6727" i="2"/>
  <c r="F6728" i="2"/>
  <c r="F6729" i="2"/>
  <c r="F6730" i="2"/>
  <c r="F6731" i="2"/>
  <c r="F6732" i="2"/>
  <c r="F6733" i="2"/>
  <c r="F6734" i="2"/>
  <c r="F6735" i="2"/>
  <c r="F6736" i="2"/>
  <c r="F6737" i="2"/>
  <c r="F6738" i="2"/>
  <c r="F6739" i="2"/>
  <c r="F6740" i="2"/>
  <c r="F6741" i="2"/>
  <c r="F6742" i="2"/>
  <c r="F6743" i="2"/>
  <c r="F6744" i="2"/>
  <c r="F6745" i="2"/>
  <c r="F6746" i="2"/>
  <c r="F6747" i="2"/>
  <c r="F6748" i="2"/>
  <c r="F6749" i="2"/>
  <c r="F6750" i="2"/>
  <c r="F6751" i="2"/>
  <c r="F6752" i="2"/>
  <c r="F6753" i="2"/>
  <c r="F6754" i="2"/>
  <c r="F6755" i="2"/>
  <c r="F6756" i="2"/>
  <c r="F6757" i="2"/>
  <c r="F6758" i="2"/>
  <c r="F6759" i="2"/>
  <c r="F6760" i="2"/>
  <c r="F6761" i="2"/>
  <c r="F6762" i="2"/>
  <c r="F6763" i="2"/>
  <c r="F6764" i="2"/>
  <c r="F6765" i="2"/>
  <c r="F6766" i="2"/>
  <c r="F6767" i="2"/>
  <c r="F6768" i="2"/>
  <c r="F6769" i="2"/>
  <c r="F6770" i="2"/>
  <c r="F6771" i="2"/>
  <c r="F6772" i="2"/>
  <c r="F6773" i="2"/>
  <c r="F6774" i="2"/>
  <c r="F6775" i="2"/>
  <c r="F6776" i="2"/>
  <c r="F6777" i="2"/>
  <c r="F6778" i="2"/>
  <c r="F6779" i="2"/>
  <c r="F6780" i="2"/>
  <c r="F6781" i="2"/>
  <c r="F6782" i="2"/>
  <c r="F6783" i="2"/>
  <c r="F6784" i="2"/>
  <c r="F6785" i="2"/>
  <c r="F6786" i="2"/>
  <c r="F6787" i="2"/>
  <c r="F6788" i="2"/>
  <c r="F6789" i="2"/>
  <c r="F6790" i="2"/>
  <c r="F6791" i="2"/>
  <c r="F6792" i="2"/>
  <c r="F6793" i="2"/>
  <c r="F6794" i="2"/>
  <c r="F6795" i="2"/>
  <c r="F6796" i="2"/>
  <c r="F6797" i="2"/>
  <c r="F6798" i="2"/>
  <c r="F6799" i="2"/>
  <c r="F6800" i="2"/>
  <c r="F6801" i="2"/>
  <c r="F6802" i="2"/>
  <c r="F6803" i="2"/>
  <c r="F6804" i="2"/>
  <c r="F6805" i="2"/>
  <c r="F6806" i="2"/>
  <c r="F6807" i="2"/>
  <c r="F6808" i="2"/>
  <c r="F6809" i="2"/>
  <c r="F6810" i="2"/>
  <c r="F6811" i="2"/>
  <c r="F6812" i="2"/>
  <c r="F6813" i="2"/>
  <c r="F6814" i="2"/>
  <c r="F6815" i="2"/>
  <c r="F6816" i="2"/>
  <c r="F6817" i="2"/>
  <c r="F6818" i="2"/>
  <c r="F6819" i="2"/>
  <c r="F6820" i="2"/>
  <c r="F6821" i="2"/>
  <c r="F6822" i="2"/>
  <c r="F6823" i="2"/>
  <c r="F6824" i="2"/>
  <c r="F6825" i="2"/>
  <c r="F6826" i="2"/>
  <c r="F6827" i="2"/>
  <c r="F6828" i="2"/>
  <c r="F6829" i="2"/>
  <c r="F6830" i="2"/>
  <c r="F6831" i="2"/>
  <c r="F6832" i="2"/>
  <c r="F6833" i="2"/>
  <c r="F6834" i="2"/>
  <c r="F6835" i="2"/>
  <c r="F6836" i="2"/>
  <c r="F6837" i="2"/>
  <c r="F6838" i="2"/>
  <c r="F6839" i="2"/>
  <c r="F6840" i="2"/>
  <c r="F6841" i="2"/>
  <c r="F6842" i="2"/>
  <c r="F6843" i="2"/>
  <c r="F6844" i="2"/>
  <c r="F6845" i="2"/>
  <c r="F6846" i="2"/>
  <c r="F6847" i="2"/>
  <c r="F6848" i="2"/>
  <c r="F6849" i="2"/>
  <c r="F6850" i="2"/>
  <c r="F6851" i="2"/>
  <c r="F6852" i="2"/>
  <c r="F6853" i="2"/>
  <c r="F6854" i="2"/>
  <c r="F6855" i="2"/>
  <c r="F6856" i="2"/>
  <c r="F6857" i="2"/>
  <c r="F6858" i="2"/>
  <c r="F6859" i="2"/>
  <c r="F6860" i="2"/>
  <c r="F6861" i="2"/>
  <c r="F6862" i="2"/>
  <c r="F6863" i="2"/>
  <c r="F6864" i="2"/>
  <c r="F6865" i="2"/>
  <c r="F6866" i="2"/>
  <c r="F6867" i="2"/>
  <c r="F6868" i="2"/>
  <c r="F6869" i="2"/>
  <c r="F6870" i="2"/>
  <c r="F6871" i="2"/>
  <c r="F6872" i="2"/>
  <c r="F6873" i="2"/>
  <c r="F6874" i="2"/>
  <c r="F6875" i="2"/>
  <c r="F6876" i="2"/>
  <c r="F6877" i="2"/>
  <c r="F6878" i="2"/>
  <c r="F6879" i="2"/>
  <c r="F6880" i="2"/>
  <c r="F6881" i="2"/>
  <c r="F6882" i="2"/>
  <c r="F6883" i="2"/>
  <c r="F6884" i="2"/>
  <c r="F6885" i="2"/>
  <c r="F6886" i="2"/>
  <c r="F6887" i="2"/>
  <c r="F6888" i="2"/>
  <c r="F6889" i="2"/>
  <c r="F6890" i="2"/>
  <c r="F6891" i="2"/>
  <c r="F6892" i="2"/>
  <c r="F6893" i="2"/>
  <c r="F6894" i="2"/>
  <c r="F6895" i="2"/>
  <c r="F6896" i="2"/>
  <c r="F6897" i="2"/>
  <c r="F6898" i="2"/>
  <c r="F6899" i="2"/>
  <c r="F6900" i="2"/>
  <c r="F6901" i="2"/>
  <c r="F6902" i="2"/>
  <c r="F6903" i="2"/>
  <c r="F6904" i="2"/>
  <c r="F6905" i="2"/>
  <c r="F6906" i="2"/>
  <c r="F6907" i="2"/>
  <c r="F6908" i="2"/>
  <c r="F6909" i="2"/>
  <c r="F6910" i="2"/>
  <c r="F6911" i="2"/>
  <c r="F6912" i="2"/>
  <c r="F6913" i="2"/>
  <c r="F6914" i="2"/>
  <c r="F6915" i="2"/>
  <c r="F6916" i="2"/>
  <c r="F6917" i="2"/>
  <c r="F6918" i="2"/>
  <c r="F6919" i="2"/>
  <c r="F6920" i="2"/>
  <c r="F6921" i="2"/>
  <c r="F6922" i="2"/>
  <c r="F6923" i="2"/>
  <c r="F6924" i="2"/>
  <c r="F6925" i="2"/>
  <c r="F6926" i="2"/>
  <c r="F6927" i="2"/>
  <c r="F6928" i="2"/>
  <c r="F6929" i="2"/>
  <c r="F6930" i="2"/>
  <c r="F6931" i="2"/>
  <c r="F6932" i="2"/>
  <c r="F6933" i="2"/>
  <c r="F6934" i="2"/>
  <c r="F6935" i="2"/>
  <c r="F6936" i="2"/>
  <c r="F6937" i="2"/>
  <c r="F6938" i="2"/>
  <c r="F6939" i="2"/>
  <c r="F6940" i="2"/>
  <c r="F6941" i="2"/>
  <c r="F6942" i="2"/>
  <c r="F6943" i="2"/>
  <c r="F6944" i="2"/>
  <c r="F6945" i="2"/>
  <c r="F6946" i="2"/>
  <c r="F6947" i="2"/>
  <c r="F6948" i="2"/>
  <c r="F6949" i="2"/>
  <c r="F6950" i="2"/>
  <c r="F6951" i="2"/>
  <c r="F6952" i="2"/>
  <c r="F6953" i="2"/>
  <c r="F6954" i="2"/>
  <c r="F6955" i="2"/>
  <c r="F6956" i="2"/>
  <c r="F6957" i="2"/>
  <c r="F6958" i="2"/>
  <c r="F6959" i="2"/>
  <c r="F6960" i="2"/>
  <c r="F6961" i="2"/>
  <c r="F6962" i="2"/>
  <c r="F6963" i="2"/>
  <c r="F6964" i="2"/>
  <c r="F6965" i="2"/>
  <c r="F6966" i="2"/>
  <c r="F6967" i="2"/>
  <c r="F6968" i="2"/>
  <c r="F6969" i="2"/>
  <c r="F6970" i="2"/>
  <c r="F6971" i="2"/>
  <c r="F6972" i="2"/>
  <c r="F6973" i="2"/>
  <c r="F6974" i="2"/>
  <c r="F6975" i="2"/>
  <c r="F6976" i="2"/>
  <c r="F6977" i="2"/>
  <c r="F6978" i="2"/>
  <c r="F6979" i="2"/>
  <c r="F6980" i="2"/>
  <c r="F6981" i="2"/>
  <c r="F6982" i="2"/>
  <c r="F6983" i="2"/>
  <c r="F6984" i="2"/>
  <c r="F6985" i="2"/>
  <c r="F6986" i="2"/>
  <c r="F6987" i="2"/>
  <c r="F6988" i="2"/>
  <c r="F6989" i="2"/>
  <c r="F6990" i="2"/>
  <c r="F6991" i="2"/>
  <c r="F6992" i="2"/>
  <c r="F6993" i="2"/>
  <c r="F6994" i="2"/>
  <c r="F6995" i="2"/>
  <c r="F6996" i="2"/>
  <c r="F6997" i="2"/>
  <c r="F6998" i="2"/>
  <c r="F6999" i="2"/>
  <c r="F7000" i="2"/>
  <c r="F7001" i="2"/>
  <c r="F7002" i="2"/>
  <c r="F7003" i="2"/>
  <c r="F7004" i="2"/>
  <c r="F7005" i="2"/>
  <c r="F7006" i="2"/>
  <c r="F7007" i="2"/>
  <c r="F7008" i="2"/>
  <c r="F7009" i="2"/>
  <c r="F7010" i="2"/>
  <c r="F7011" i="2"/>
  <c r="F7012" i="2"/>
  <c r="F7013" i="2"/>
  <c r="F7014" i="2"/>
  <c r="F7015" i="2"/>
  <c r="F7016" i="2"/>
  <c r="F7017" i="2"/>
  <c r="F7018" i="2"/>
  <c r="F7019" i="2"/>
  <c r="F7020" i="2"/>
  <c r="F7021" i="2"/>
  <c r="F7022" i="2"/>
  <c r="F7023" i="2"/>
  <c r="F7024" i="2"/>
  <c r="F7025" i="2"/>
  <c r="F7026" i="2"/>
  <c r="F7027" i="2"/>
  <c r="F7028" i="2"/>
  <c r="F7029" i="2"/>
  <c r="F7030" i="2"/>
  <c r="F7031" i="2"/>
  <c r="F7032" i="2"/>
  <c r="F7033" i="2"/>
  <c r="F7034" i="2"/>
  <c r="F7035" i="2"/>
  <c r="F7036" i="2"/>
  <c r="F7037" i="2"/>
  <c r="F7038" i="2"/>
  <c r="F7039" i="2"/>
  <c r="F7040" i="2"/>
  <c r="F7041" i="2"/>
  <c r="F7042" i="2"/>
  <c r="F7043" i="2"/>
  <c r="F7044" i="2"/>
  <c r="F7045" i="2"/>
  <c r="F7046" i="2"/>
  <c r="F7047" i="2"/>
  <c r="F7048" i="2"/>
  <c r="F7049" i="2"/>
  <c r="F7050" i="2"/>
  <c r="F7051" i="2"/>
  <c r="F7052" i="2"/>
  <c r="F7053" i="2"/>
  <c r="F7054" i="2"/>
  <c r="F7055" i="2"/>
  <c r="F7056" i="2"/>
  <c r="F7057" i="2"/>
  <c r="F7058" i="2"/>
  <c r="F7059" i="2"/>
  <c r="F7060" i="2"/>
  <c r="F7061" i="2"/>
  <c r="F7062" i="2"/>
  <c r="F7063" i="2"/>
  <c r="F7064" i="2"/>
  <c r="F7065" i="2"/>
  <c r="F7066" i="2"/>
  <c r="F7067" i="2"/>
  <c r="F7068" i="2"/>
  <c r="F7069" i="2"/>
  <c r="F7070" i="2"/>
  <c r="F7071" i="2"/>
  <c r="F7072" i="2"/>
  <c r="F7073" i="2"/>
  <c r="F7074" i="2"/>
  <c r="F7075" i="2"/>
  <c r="F7076" i="2"/>
  <c r="F7077" i="2"/>
  <c r="F7078" i="2"/>
  <c r="F7079" i="2"/>
  <c r="F7080" i="2"/>
  <c r="F7081" i="2"/>
  <c r="F7082" i="2"/>
  <c r="F7083" i="2"/>
  <c r="F7084" i="2"/>
  <c r="F7085" i="2"/>
  <c r="F7086" i="2"/>
  <c r="F7087" i="2"/>
  <c r="F7088" i="2"/>
  <c r="F7089" i="2"/>
  <c r="F7090" i="2"/>
  <c r="F7091" i="2"/>
  <c r="F7092" i="2"/>
  <c r="F7093" i="2"/>
  <c r="F7094" i="2"/>
  <c r="F7095" i="2"/>
  <c r="F7096" i="2"/>
  <c r="F7097" i="2"/>
  <c r="F7098" i="2"/>
  <c r="F7099" i="2"/>
  <c r="F7100" i="2"/>
  <c r="F7101" i="2"/>
  <c r="F7102" i="2"/>
  <c r="F7103" i="2"/>
  <c r="F7104" i="2"/>
  <c r="F7105" i="2"/>
  <c r="F7106" i="2"/>
  <c r="F7107" i="2"/>
  <c r="F7108" i="2"/>
  <c r="F7109" i="2"/>
  <c r="F7110" i="2"/>
  <c r="F7111" i="2"/>
  <c r="F7112" i="2"/>
  <c r="F7113" i="2"/>
  <c r="F7114" i="2"/>
  <c r="F7115" i="2"/>
  <c r="F7116" i="2"/>
  <c r="F7117" i="2"/>
  <c r="F7118" i="2"/>
  <c r="F7119" i="2"/>
  <c r="F7120" i="2"/>
  <c r="F7121" i="2"/>
  <c r="F7122" i="2"/>
  <c r="F7123" i="2"/>
  <c r="F7124" i="2"/>
  <c r="F7125" i="2"/>
  <c r="F7126" i="2"/>
  <c r="F7127" i="2"/>
  <c r="F7128" i="2"/>
  <c r="F7129" i="2"/>
  <c r="F7130" i="2"/>
  <c r="F7131" i="2"/>
  <c r="F7132" i="2"/>
  <c r="F7133" i="2"/>
  <c r="F7134" i="2"/>
  <c r="F7135" i="2"/>
  <c r="F7136" i="2"/>
  <c r="F7137" i="2"/>
  <c r="F7138" i="2"/>
  <c r="F7139" i="2"/>
  <c r="F7140" i="2"/>
  <c r="F7141" i="2"/>
  <c r="F7142" i="2"/>
  <c r="F7143" i="2"/>
  <c r="F7144" i="2"/>
  <c r="F7145" i="2"/>
  <c r="F7146" i="2"/>
  <c r="F7147" i="2"/>
  <c r="F7148" i="2"/>
  <c r="F7149" i="2"/>
  <c r="F7150" i="2"/>
  <c r="F7151" i="2"/>
  <c r="F7152" i="2"/>
  <c r="F7153" i="2"/>
  <c r="F7154" i="2"/>
  <c r="F7155" i="2"/>
  <c r="F7156" i="2"/>
  <c r="F7157" i="2"/>
  <c r="F7158" i="2"/>
  <c r="F7159" i="2"/>
  <c r="F7160" i="2"/>
  <c r="F7161" i="2"/>
  <c r="F7162" i="2"/>
  <c r="F7163" i="2"/>
  <c r="F7164" i="2"/>
  <c r="F7165" i="2"/>
  <c r="F7166" i="2"/>
  <c r="F7167" i="2"/>
  <c r="F7168" i="2"/>
  <c r="F7169" i="2"/>
  <c r="F7170" i="2"/>
  <c r="F7171" i="2"/>
  <c r="F7172" i="2"/>
  <c r="F7173" i="2"/>
  <c r="F7174" i="2"/>
  <c r="F7175" i="2"/>
  <c r="F7176" i="2"/>
  <c r="F7177" i="2"/>
  <c r="F7178" i="2"/>
  <c r="F7179" i="2"/>
  <c r="F7180" i="2"/>
  <c r="F7181" i="2"/>
  <c r="F7182" i="2"/>
  <c r="F7183" i="2"/>
  <c r="F7184" i="2"/>
  <c r="F7185" i="2"/>
  <c r="F7186" i="2"/>
  <c r="F7187" i="2"/>
  <c r="F7188" i="2"/>
  <c r="F7189" i="2"/>
  <c r="F7190" i="2"/>
  <c r="F7191" i="2"/>
  <c r="F7192" i="2"/>
  <c r="F7193" i="2"/>
  <c r="F7194" i="2"/>
  <c r="F7195" i="2"/>
  <c r="F7196" i="2"/>
  <c r="F7197" i="2"/>
  <c r="F7198" i="2"/>
  <c r="F7199" i="2"/>
  <c r="F7200" i="2"/>
  <c r="F7201" i="2"/>
  <c r="F7202" i="2"/>
  <c r="F7203" i="2"/>
  <c r="F7204" i="2"/>
  <c r="F7205" i="2"/>
  <c r="F7206" i="2"/>
  <c r="F7207" i="2"/>
  <c r="F7208" i="2"/>
  <c r="F7209" i="2"/>
  <c r="F7210" i="2"/>
  <c r="F7211" i="2"/>
  <c r="F7212" i="2"/>
  <c r="F7213" i="2"/>
  <c r="F7214" i="2"/>
  <c r="F7215" i="2"/>
  <c r="F7216" i="2"/>
  <c r="F7217" i="2"/>
  <c r="F7218" i="2"/>
  <c r="F7219" i="2"/>
  <c r="F7220" i="2"/>
  <c r="F7221" i="2"/>
  <c r="F7222" i="2"/>
  <c r="F7223" i="2"/>
  <c r="F7224" i="2"/>
  <c r="F7225" i="2"/>
  <c r="F7226" i="2"/>
  <c r="F7227" i="2"/>
  <c r="F7228" i="2"/>
  <c r="F7229" i="2"/>
  <c r="F7230" i="2"/>
  <c r="F7231" i="2"/>
  <c r="F7232" i="2"/>
  <c r="F7233" i="2"/>
  <c r="F7234" i="2"/>
  <c r="F7235" i="2"/>
  <c r="F7236" i="2"/>
  <c r="F7237" i="2"/>
  <c r="F7238" i="2"/>
  <c r="F7239" i="2"/>
  <c r="F7240" i="2"/>
  <c r="F7241" i="2"/>
  <c r="F7242" i="2"/>
  <c r="F7243" i="2"/>
  <c r="F7244" i="2"/>
  <c r="F7245" i="2"/>
  <c r="F7246" i="2"/>
  <c r="F7247" i="2"/>
  <c r="F7248" i="2"/>
  <c r="F7249" i="2"/>
  <c r="F7250" i="2"/>
  <c r="F7251" i="2"/>
  <c r="F7252" i="2"/>
  <c r="F7253" i="2"/>
  <c r="F7254" i="2"/>
  <c r="F7255" i="2"/>
  <c r="F7256" i="2"/>
  <c r="F7257" i="2"/>
  <c r="F7258" i="2"/>
  <c r="F7259" i="2"/>
  <c r="F7260" i="2"/>
  <c r="F7261" i="2"/>
  <c r="F7262" i="2"/>
  <c r="F7263" i="2"/>
  <c r="F7264" i="2"/>
  <c r="F7265" i="2"/>
  <c r="F7266" i="2"/>
  <c r="F7267" i="2"/>
  <c r="F7268" i="2"/>
  <c r="F7269" i="2"/>
  <c r="F7270" i="2"/>
  <c r="F7271" i="2"/>
  <c r="F7272" i="2"/>
  <c r="F7273" i="2"/>
  <c r="F7274" i="2"/>
  <c r="F7275" i="2"/>
  <c r="F7276" i="2"/>
  <c r="F7277" i="2"/>
  <c r="F7278" i="2"/>
  <c r="F7279" i="2"/>
  <c r="F7280" i="2"/>
  <c r="F7281" i="2"/>
  <c r="F7282" i="2"/>
  <c r="F7283" i="2"/>
  <c r="F7284" i="2"/>
  <c r="F7285" i="2"/>
  <c r="F7286" i="2"/>
  <c r="F7287" i="2"/>
  <c r="F7288" i="2"/>
  <c r="F7289" i="2"/>
  <c r="F7290" i="2"/>
  <c r="F7291" i="2"/>
  <c r="F7292" i="2"/>
  <c r="F7293" i="2"/>
  <c r="F7294" i="2"/>
  <c r="F7295" i="2"/>
  <c r="F7296" i="2"/>
  <c r="F7297" i="2"/>
  <c r="F7298" i="2"/>
  <c r="F7299" i="2"/>
  <c r="F7300" i="2"/>
  <c r="F7301" i="2"/>
  <c r="F7302" i="2"/>
  <c r="F7303" i="2"/>
  <c r="F7304" i="2"/>
  <c r="F7305" i="2"/>
  <c r="F7306" i="2"/>
  <c r="F7307" i="2"/>
  <c r="F7308" i="2"/>
  <c r="F7309" i="2"/>
  <c r="F7310" i="2"/>
  <c r="F7311" i="2"/>
  <c r="F7312" i="2"/>
  <c r="F7313" i="2"/>
  <c r="F7314" i="2"/>
  <c r="F7315" i="2"/>
  <c r="F7316" i="2"/>
  <c r="F7317" i="2"/>
  <c r="F7318" i="2"/>
  <c r="F7319" i="2"/>
  <c r="F7320" i="2"/>
  <c r="F7321" i="2"/>
  <c r="F7322" i="2"/>
  <c r="F7323" i="2"/>
  <c r="F7324" i="2"/>
  <c r="F7325" i="2"/>
  <c r="F7326" i="2"/>
  <c r="F7327" i="2"/>
  <c r="F7328" i="2"/>
  <c r="F7329" i="2"/>
  <c r="F7330" i="2"/>
  <c r="F7331" i="2"/>
  <c r="F7332" i="2"/>
  <c r="F7333" i="2"/>
  <c r="F7334" i="2"/>
  <c r="F7335" i="2"/>
  <c r="F7336" i="2"/>
  <c r="F7337" i="2"/>
  <c r="F7338" i="2"/>
  <c r="F7339" i="2"/>
  <c r="F7340" i="2"/>
  <c r="F7341" i="2"/>
  <c r="F7342" i="2"/>
  <c r="F7343" i="2"/>
  <c r="F7344" i="2"/>
  <c r="F7345" i="2"/>
  <c r="F7346" i="2"/>
  <c r="F7347" i="2"/>
  <c r="F7348" i="2"/>
  <c r="F7349" i="2"/>
  <c r="F7350" i="2"/>
  <c r="F7351" i="2"/>
  <c r="F7352" i="2"/>
  <c r="F7353" i="2"/>
  <c r="F7354" i="2"/>
  <c r="F7355" i="2"/>
  <c r="F7356" i="2"/>
  <c r="F7357" i="2"/>
  <c r="F7358" i="2"/>
  <c r="F7359" i="2"/>
  <c r="F7360" i="2"/>
  <c r="F7361" i="2"/>
  <c r="F7362" i="2"/>
  <c r="F7363" i="2"/>
  <c r="F7364" i="2"/>
  <c r="F7365" i="2"/>
  <c r="F7366" i="2"/>
  <c r="F7367" i="2"/>
  <c r="F7368" i="2"/>
  <c r="F7369" i="2"/>
  <c r="F7370" i="2"/>
  <c r="F7371" i="2"/>
  <c r="F7372" i="2"/>
  <c r="F7373" i="2"/>
  <c r="F7374" i="2"/>
  <c r="F7375" i="2"/>
  <c r="F7376" i="2"/>
  <c r="F7377" i="2"/>
  <c r="F7378" i="2"/>
  <c r="F7379" i="2"/>
  <c r="F7380" i="2"/>
  <c r="F7381" i="2"/>
  <c r="F7382" i="2"/>
  <c r="F7383" i="2"/>
  <c r="F7384" i="2"/>
  <c r="F7385" i="2"/>
  <c r="F7386" i="2"/>
  <c r="F7387" i="2"/>
  <c r="F7388" i="2"/>
  <c r="F7389" i="2"/>
  <c r="F7390" i="2"/>
  <c r="F7391" i="2"/>
  <c r="F7392" i="2"/>
  <c r="F7393" i="2"/>
  <c r="F7394" i="2"/>
  <c r="F7395" i="2"/>
  <c r="F7396" i="2"/>
  <c r="F7397" i="2"/>
  <c r="F7398" i="2"/>
  <c r="F7399" i="2"/>
  <c r="F7400" i="2"/>
  <c r="F7401" i="2"/>
  <c r="F7402" i="2"/>
  <c r="F7403" i="2"/>
  <c r="F7404" i="2"/>
  <c r="F7405" i="2"/>
  <c r="F7406" i="2"/>
  <c r="F7407" i="2"/>
  <c r="F7408" i="2"/>
  <c r="F7409" i="2"/>
  <c r="F7410" i="2"/>
  <c r="F7411" i="2"/>
  <c r="F7412" i="2"/>
  <c r="F7413" i="2"/>
  <c r="F7414" i="2"/>
  <c r="F7415" i="2"/>
  <c r="F7416" i="2"/>
  <c r="F7417" i="2"/>
  <c r="F7418" i="2"/>
  <c r="F7419" i="2"/>
  <c r="F7420" i="2"/>
  <c r="F7421" i="2"/>
  <c r="F7422" i="2"/>
  <c r="F7423" i="2"/>
  <c r="F7424" i="2"/>
  <c r="F7425" i="2"/>
  <c r="F7426" i="2"/>
  <c r="F7427" i="2"/>
  <c r="F7428" i="2"/>
  <c r="F7429" i="2"/>
  <c r="F7430" i="2"/>
  <c r="F7431" i="2"/>
  <c r="F7432" i="2"/>
  <c r="F7433" i="2"/>
  <c r="F7434" i="2"/>
  <c r="F7435" i="2"/>
  <c r="F7436" i="2"/>
  <c r="F7437" i="2"/>
  <c r="F7438" i="2"/>
  <c r="F7439" i="2"/>
  <c r="F7440" i="2"/>
  <c r="F7441" i="2"/>
  <c r="F7442" i="2"/>
  <c r="F7443" i="2"/>
  <c r="F7444" i="2"/>
  <c r="F7445" i="2"/>
  <c r="F7446" i="2"/>
  <c r="F7447" i="2"/>
  <c r="F7448" i="2"/>
  <c r="F7449" i="2"/>
  <c r="F7450" i="2"/>
  <c r="F7451" i="2"/>
  <c r="F7452" i="2"/>
  <c r="F7453" i="2"/>
  <c r="F7454" i="2"/>
  <c r="F7455" i="2"/>
  <c r="F7456" i="2"/>
  <c r="F7457" i="2"/>
  <c r="F7458" i="2"/>
  <c r="F7459" i="2"/>
  <c r="F7460" i="2"/>
  <c r="F7461" i="2"/>
  <c r="F7462" i="2"/>
  <c r="F7463" i="2"/>
  <c r="F7464" i="2"/>
  <c r="F7465" i="2"/>
  <c r="F7466" i="2"/>
  <c r="F7467" i="2"/>
  <c r="F7468" i="2"/>
  <c r="F7469" i="2"/>
  <c r="F7470" i="2"/>
  <c r="F7471" i="2"/>
  <c r="F7472" i="2"/>
  <c r="F7473" i="2"/>
  <c r="F7474" i="2"/>
  <c r="F7475" i="2"/>
  <c r="F7476" i="2"/>
  <c r="F7477" i="2"/>
  <c r="F7478" i="2"/>
  <c r="F7479" i="2"/>
  <c r="F7480" i="2"/>
  <c r="F7481" i="2"/>
  <c r="F7482" i="2"/>
  <c r="F7483" i="2"/>
  <c r="F7484" i="2"/>
  <c r="F7485" i="2"/>
  <c r="F7486" i="2"/>
  <c r="F7487" i="2"/>
  <c r="F7488" i="2"/>
  <c r="F7489" i="2"/>
  <c r="F7490" i="2"/>
  <c r="F7491" i="2"/>
  <c r="F7492" i="2"/>
  <c r="F7493" i="2"/>
  <c r="F7494" i="2"/>
  <c r="F7495" i="2"/>
  <c r="F7496" i="2"/>
  <c r="F7497" i="2"/>
  <c r="F7498" i="2"/>
  <c r="F7499" i="2"/>
  <c r="F7500" i="2"/>
  <c r="F7501" i="2"/>
  <c r="F7502" i="2"/>
  <c r="F7503" i="2"/>
  <c r="F7504" i="2"/>
  <c r="F7505" i="2"/>
  <c r="F7506" i="2"/>
  <c r="F7507" i="2"/>
  <c r="F7508" i="2"/>
  <c r="F7509" i="2"/>
  <c r="F7510" i="2"/>
  <c r="F7511" i="2"/>
  <c r="F7512" i="2"/>
  <c r="F7513" i="2"/>
  <c r="F7514" i="2"/>
  <c r="F7515" i="2"/>
  <c r="F7516" i="2"/>
  <c r="F7517" i="2"/>
  <c r="F7518" i="2"/>
  <c r="F7519" i="2"/>
  <c r="F7520" i="2"/>
  <c r="F7521" i="2"/>
  <c r="F7522" i="2"/>
  <c r="F7523" i="2"/>
  <c r="F7524" i="2"/>
  <c r="F7525" i="2"/>
  <c r="F7526" i="2"/>
  <c r="F7527" i="2"/>
  <c r="F7528" i="2"/>
  <c r="F7529" i="2"/>
  <c r="F7530" i="2"/>
  <c r="F7531" i="2"/>
  <c r="F7532" i="2"/>
  <c r="F7533" i="2"/>
  <c r="F7534" i="2"/>
  <c r="F7535" i="2"/>
  <c r="F7536" i="2"/>
  <c r="F7537" i="2"/>
  <c r="F7538" i="2"/>
  <c r="F7539" i="2"/>
  <c r="F7540" i="2"/>
  <c r="F7541" i="2"/>
  <c r="F7542" i="2"/>
  <c r="F7543" i="2"/>
  <c r="F7544" i="2"/>
  <c r="F7545" i="2"/>
  <c r="F7546" i="2"/>
  <c r="F7547" i="2"/>
  <c r="F7548" i="2"/>
  <c r="F7549" i="2"/>
  <c r="F7550" i="2"/>
  <c r="F7551" i="2"/>
  <c r="F7552" i="2"/>
  <c r="F7553" i="2"/>
  <c r="F7554" i="2"/>
  <c r="F7555" i="2"/>
  <c r="F7556" i="2"/>
  <c r="F7557" i="2"/>
  <c r="F7558" i="2"/>
  <c r="F7559" i="2"/>
  <c r="F7560" i="2"/>
  <c r="F7561" i="2"/>
  <c r="F7562" i="2"/>
  <c r="F7563" i="2"/>
  <c r="F7564" i="2"/>
  <c r="F7565" i="2"/>
  <c r="F7566" i="2"/>
  <c r="F7567" i="2"/>
  <c r="F7568" i="2"/>
  <c r="F7569" i="2"/>
  <c r="F7570" i="2"/>
  <c r="F7571" i="2"/>
  <c r="F7572" i="2"/>
  <c r="F7573" i="2"/>
  <c r="F7574" i="2"/>
  <c r="F7575" i="2"/>
  <c r="F7576" i="2"/>
  <c r="F7577" i="2"/>
  <c r="F7578" i="2"/>
  <c r="F7579" i="2"/>
  <c r="F7580" i="2"/>
  <c r="F7581" i="2"/>
  <c r="F7582" i="2"/>
  <c r="F7583" i="2"/>
  <c r="F7584" i="2"/>
  <c r="F7585" i="2"/>
  <c r="F7586" i="2"/>
  <c r="F7587" i="2"/>
  <c r="F7588" i="2"/>
  <c r="F7589" i="2"/>
  <c r="F7590" i="2"/>
  <c r="F7591" i="2"/>
  <c r="F7592" i="2"/>
  <c r="F7593" i="2"/>
  <c r="F7594" i="2"/>
  <c r="F7595" i="2"/>
  <c r="F7596" i="2"/>
  <c r="F7597" i="2"/>
  <c r="F7598" i="2"/>
  <c r="F7599" i="2"/>
  <c r="F7600" i="2"/>
  <c r="F7601" i="2"/>
  <c r="F7602" i="2"/>
  <c r="F7603" i="2"/>
  <c r="F7604" i="2"/>
  <c r="F7605" i="2"/>
  <c r="F7606" i="2"/>
  <c r="F7607" i="2"/>
  <c r="F7608" i="2"/>
  <c r="F7609" i="2"/>
  <c r="F7610" i="2"/>
  <c r="F7611" i="2"/>
  <c r="F7612" i="2"/>
  <c r="F7613" i="2"/>
  <c r="F7614" i="2"/>
  <c r="F7615" i="2"/>
  <c r="F7616" i="2"/>
  <c r="F7617" i="2"/>
  <c r="F7618" i="2"/>
  <c r="F7619" i="2"/>
  <c r="F7620" i="2"/>
  <c r="F7621" i="2"/>
  <c r="F7622" i="2"/>
  <c r="F7623" i="2"/>
  <c r="F7624" i="2"/>
  <c r="F7625" i="2"/>
  <c r="F7626" i="2"/>
  <c r="F7627" i="2"/>
  <c r="F7628" i="2"/>
  <c r="F7629" i="2"/>
  <c r="F7630" i="2"/>
  <c r="F7631" i="2"/>
  <c r="F7632" i="2"/>
  <c r="F7633" i="2"/>
  <c r="F7634" i="2"/>
  <c r="F7635" i="2"/>
  <c r="F7636" i="2"/>
  <c r="F7637" i="2"/>
  <c r="F7638" i="2"/>
  <c r="F7639" i="2"/>
  <c r="F7640" i="2"/>
  <c r="F7641" i="2"/>
  <c r="F7642" i="2"/>
  <c r="F7643" i="2"/>
  <c r="F7644" i="2"/>
  <c r="F7645" i="2"/>
  <c r="F7646" i="2"/>
  <c r="F7647" i="2"/>
  <c r="F7648" i="2"/>
  <c r="F7649" i="2"/>
  <c r="F7650" i="2"/>
  <c r="F7651" i="2"/>
  <c r="F7652" i="2"/>
  <c r="F7653" i="2"/>
  <c r="F7654" i="2"/>
  <c r="F7655" i="2"/>
  <c r="F7656" i="2"/>
  <c r="F7657" i="2"/>
  <c r="F7658" i="2"/>
  <c r="F7659" i="2"/>
  <c r="F7660" i="2"/>
  <c r="F7661" i="2"/>
  <c r="F7662" i="2"/>
  <c r="F7663" i="2"/>
  <c r="F7664" i="2"/>
  <c r="F7665" i="2"/>
  <c r="F7666" i="2"/>
  <c r="F7667" i="2"/>
  <c r="F7668" i="2"/>
  <c r="F7669" i="2"/>
  <c r="F7670" i="2"/>
  <c r="F7671" i="2"/>
  <c r="F7672" i="2"/>
  <c r="F7673" i="2"/>
  <c r="F7674" i="2"/>
  <c r="F7675" i="2"/>
  <c r="F7676" i="2"/>
  <c r="F7677" i="2"/>
  <c r="F7678" i="2"/>
  <c r="F7679" i="2"/>
  <c r="F7680" i="2"/>
  <c r="F7681" i="2"/>
  <c r="F7682" i="2"/>
  <c r="F7683" i="2"/>
  <c r="F7684" i="2"/>
  <c r="F7685" i="2"/>
  <c r="F7686" i="2"/>
  <c r="F7687" i="2"/>
  <c r="F7688" i="2"/>
  <c r="F7689" i="2"/>
  <c r="F7690" i="2"/>
  <c r="F7691" i="2"/>
  <c r="F7692" i="2"/>
  <c r="F7693" i="2"/>
  <c r="F7694" i="2"/>
  <c r="F7695" i="2"/>
  <c r="F7696" i="2"/>
  <c r="F7697" i="2"/>
  <c r="F7698" i="2"/>
  <c r="F7699" i="2"/>
  <c r="F7700" i="2"/>
  <c r="F7701" i="2"/>
  <c r="F7702" i="2"/>
  <c r="F7703" i="2"/>
  <c r="F7704" i="2"/>
  <c r="F7705" i="2"/>
  <c r="F7706" i="2"/>
  <c r="F7707" i="2"/>
  <c r="F7708" i="2"/>
  <c r="F7709" i="2"/>
  <c r="F7710" i="2"/>
  <c r="F7711" i="2"/>
  <c r="F7712" i="2"/>
  <c r="F7713" i="2"/>
  <c r="F7714" i="2"/>
  <c r="F7715" i="2"/>
  <c r="F7716" i="2"/>
  <c r="F7717" i="2"/>
  <c r="F7718" i="2"/>
  <c r="F7719" i="2"/>
  <c r="F7720" i="2"/>
  <c r="F7721" i="2"/>
  <c r="F7722" i="2"/>
  <c r="F7723" i="2"/>
  <c r="F7724" i="2"/>
  <c r="F7725" i="2"/>
  <c r="F7726" i="2"/>
  <c r="F7727" i="2"/>
  <c r="F7728" i="2"/>
  <c r="F7729" i="2"/>
  <c r="F7730" i="2"/>
  <c r="F7731" i="2"/>
  <c r="F7732" i="2"/>
  <c r="F7733" i="2"/>
  <c r="F7734" i="2"/>
  <c r="F7735" i="2"/>
  <c r="F7736" i="2"/>
  <c r="F7737" i="2"/>
  <c r="F7738" i="2"/>
  <c r="F7739" i="2"/>
  <c r="F7740" i="2"/>
  <c r="F7741" i="2"/>
  <c r="F7742" i="2"/>
  <c r="F7743" i="2"/>
  <c r="F7744" i="2"/>
  <c r="F7745" i="2"/>
  <c r="F7746" i="2"/>
  <c r="F7747" i="2"/>
  <c r="F7748" i="2"/>
  <c r="F7749" i="2"/>
  <c r="F7750" i="2"/>
  <c r="F7751" i="2"/>
  <c r="F7752" i="2"/>
  <c r="F7753" i="2"/>
  <c r="F7754" i="2"/>
  <c r="F7755" i="2"/>
  <c r="F7756" i="2"/>
  <c r="F7757" i="2"/>
  <c r="F7758" i="2"/>
  <c r="F7759" i="2"/>
  <c r="F7760" i="2"/>
  <c r="F7761" i="2"/>
  <c r="F7762" i="2"/>
  <c r="F7763" i="2"/>
  <c r="F7764" i="2"/>
  <c r="F7765" i="2"/>
  <c r="F7766" i="2"/>
  <c r="F7767" i="2"/>
  <c r="F7768" i="2"/>
  <c r="F7769" i="2"/>
  <c r="F7770" i="2"/>
  <c r="F7771" i="2"/>
  <c r="F7772" i="2"/>
  <c r="F7773" i="2"/>
  <c r="F7774" i="2"/>
  <c r="F7775" i="2"/>
  <c r="F7776" i="2"/>
  <c r="F7777" i="2"/>
  <c r="F7778" i="2"/>
  <c r="F7779" i="2"/>
  <c r="F7780" i="2"/>
  <c r="F7781" i="2"/>
  <c r="F7782" i="2"/>
  <c r="F7783" i="2"/>
  <c r="F7784" i="2"/>
  <c r="F7785" i="2"/>
  <c r="F7786" i="2"/>
  <c r="F7787" i="2"/>
  <c r="F7788" i="2"/>
  <c r="F7789" i="2"/>
  <c r="F7790" i="2"/>
  <c r="F7791" i="2"/>
  <c r="F7792" i="2"/>
  <c r="F7793" i="2"/>
  <c r="F7794" i="2"/>
  <c r="F7795" i="2"/>
  <c r="F7796" i="2"/>
  <c r="F7797" i="2"/>
  <c r="F7798" i="2"/>
  <c r="F7799" i="2"/>
  <c r="F7800" i="2"/>
  <c r="F7801" i="2"/>
  <c r="F7802" i="2"/>
  <c r="F7803" i="2"/>
  <c r="F7804" i="2"/>
  <c r="F7805" i="2"/>
  <c r="F7806" i="2"/>
  <c r="F7807" i="2"/>
  <c r="F7808" i="2"/>
  <c r="F7809" i="2"/>
  <c r="F7810" i="2"/>
  <c r="F7811" i="2"/>
  <c r="F7812" i="2"/>
  <c r="F7813" i="2"/>
  <c r="F7814" i="2"/>
  <c r="F7815" i="2"/>
  <c r="F7816" i="2"/>
  <c r="F7817" i="2"/>
  <c r="F7818" i="2"/>
  <c r="F7819" i="2"/>
  <c r="F7820" i="2"/>
  <c r="F7821" i="2"/>
  <c r="F7822" i="2"/>
  <c r="F7823" i="2"/>
  <c r="F7824" i="2"/>
  <c r="F7825" i="2"/>
  <c r="F7826" i="2"/>
  <c r="F7827" i="2"/>
  <c r="F7828" i="2"/>
  <c r="F7829" i="2"/>
  <c r="F7830" i="2"/>
  <c r="F7831" i="2"/>
  <c r="F7832" i="2"/>
  <c r="F7833" i="2"/>
  <c r="F7834" i="2"/>
  <c r="F7835" i="2"/>
  <c r="F7836" i="2"/>
  <c r="F7837" i="2"/>
  <c r="F7838" i="2"/>
  <c r="F7839" i="2"/>
  <c r="F7840" i="2"/>
  <c r="F7841" i="2"/>
  <c r="F7842" i="2"/>
  <c r="F7843" i="2"/>
  <c r="F7844" i="2"/>
  <c r="F7845" i="2"/>
  <c r="F7846" i="2"/>
  <c r="F7847" i="2"/>
  <c r="F7848" i="2"/>
  <c r="F7849" i="2"/>
  <c r="F7850" i="2"/>
  <c r="F7851" i="2"/>
  <c r="F7852" i="2"/>
  <c r="F7853" i="2"/>
  <c r="F7854" i="2"/>
  <c r="F7855" i="2"/>
  <c r="F7856" i="2"/>
  <c r="F7857" i="2"/>
  <c r="F7858" i="2"/>
  <c r="F7859" i="2"/>
  <c r="F7860" i="2"/>
  <c r="F7861" i="2"/>
  <c r="F7862" i="2"/>
  <c r="F7863" i="2"/>
  <c r="F7864" i="2"/>
  <c r="F7865" i="2"/>
  <c r="F7866" i="2"/>
  <c r="F7867" i="2"/>
  <c r="F7868" i="2"/>
  <c r="F7869" i="2"/>
  <c r="F7870" i="2"/>
  <c r="F7871" i="2"/>
  <c r="F7872" i="2"/>
  <c r="F7873" i="2"/>
  <c r="F7874" i="2"/>
  <c r="F7875" i="2"/>
  <c r="F7876" i="2"/>
  <c r="F7877" i="2"/>
  <c r="F7878" i="2"/>
  <c r="F7879" i="2"/>
  <c r="F7880" i="2"/>
  <c r="F7881" i="2"/>
  <c r="F7882" i="2"/>
  <c r="F7883" i="2"/>
  <c r="F7884" i="2"/>
  <c r="F7885" i="2"/>
  <c r="F7886" i="2"/>
  <c r="F7887" i="2"/>
  <c r="F7888" i="2"/>
  <c r="F7889" i="2"/>
  <c r="F7890" i="2"/>
  <c r="F7891" i="2"/>
  <c r="F7892" i="2"/>
  <c r="F7893" i="2"/>
  <c r="F7894" i="2"/>
  <c r="F7895" i="2"/>
  <c r="F7896" i="2"/>
  <c r="F7897" i="2"/>
  <c r="F7898" i="2"/>
  <c r="F7899" i="2"/>
  <c r="F7900" i="2"/>
  <c r="F7901" i="2"/>
  <c r="F7902" i="2"/>
  <c r="F7903" i="2"/>
  <c r="F7904" i="2"/>
  <c r="F7905" i="2"/>
  <c r="F7906" i="2"/>
  <c r="F7907" i="2"/>
  <c r="F7908" i="2"/>
  <c r="F7909" i="2"/>
  <c r="F7910" i="2"/>
  <c r="F7911" i="2"/>
  <c r="F7912" i="2"/>
  <c r="F7913" i="2"/>
  <c r="F7914" i="2"/>
  <c r="F7915" i="2"/>
  <c r="F7916" i="2"/>
  <c r="F7917" i="2"/>
  <c r="F7918" i="2"/>
  <c r="F7919" i="2"/>
  <c r="F7920" i="2"/>
  <c r="F7921" i="2"/>
  <c r="F7922" i="2"/>
  <c r="F7923" i="2"/>
  <c r="F7924" i="2"/>
  <c r="F7925" i="2"/>
  <c r="F7926" i="2"/>
  <c r="F7927" i="2"/>
  <c r="F7928" i="2"/>
  <c r="F7929" i="2"/>
  <c r="F7930" i="2"/>
  <c r="F7931" i="2"/>
  <c r="F7932" i="2"/>
  <c r="F7933" i="2"/>
  <c r="F7934" i="2"/>
  <c r="F7935" i="2"/>
  <c r="F7936" i="2"/>
  <c r="F7937" i="2"/>
  <c r="F7938" i="2"/>
  <c r="F7939" i="2"/>
  <c r="F7940" i="2"/>
  <c r="F7941" i="2"/>
  <c r="F7942" i="2"/>
  <c r="F7943" i="2"/>
  <c r="F7944" i="2"/>
  <c r="F7945" i="2"/>
  <c r="F7946" i="2"/>
  <c r="F7947" i="2"/>
  <c r="F7948" i="2"/>
  <c r="F7949" i="2"/>
  <c r="F7950" i="2"/>
  <c r="F7951" i="2"/>
  <c r="F7952" i="2"/>
  <c r="F7953" i="2"/>
  <c r="F7954" i="2"/>
  <c r="F7955" i="2"/>
  <c r="F7956" i="2"/>
  <c r="F7957" i="2"/>
  <c r="F7958" i="2"/>
  <c r="F7959" i="2"/>
  <c r="F7960" i="2"/>
  <c r="F7961" i="2"/>
  <c r="F7962" i="2"/>
  <c r="F7963" i="2"/>
  <c r="F7964" i="2"/>
  <c r="F7965" i="2"/>
  <c r="F7966" i="2"/>
  <c r="F7967" i="2"/>
  <c r="F7968" i="2"/>
  <c r="F7969" i="2"/>
  <c r="F7970" i="2"/>
  <c r="F7971" i="2"/>
  <c r="F7972" i="2"/>
  <c r="F7973" i="2"/>
  <c r="F7974" i="2"/>
  <c r="F7975" i="2"/>
  <c r="F7976" i="2"/>
  <c r="F7977" i="2"/>
  <c r="F7978" i="2"/>
  <c r="F7979" i="2"/>
  <c r="F7980" i="2"/>
  <c r="F7981" i="2"/>
  <c r="F7982" i="2"/>
  <c r="F7983" i="2"/>
  <c r="F7984" i="2"/>
  <c r="F7985" i="2"/>
  <c r="F7986" i="2"/>
  <c r="F7987" i="2"/>
  <c r="F7988" i="2"/>
  <c r="F7989" i="2"/>
  <c r="F7990" i="2"/>
  <c r="F7991" i="2"/>
  <c r="F7992" i="2"/>
  <c r="F7993" i="2"/>
  <c r="F7994" i="2"/>
  <c r="F7995" i="2"/>
  <c r="F7996" i="2"/>
  <c r="F7997" i="2"/>
  <c r="F7998" i="2"/>
  <c r="F7999" i="2"/>
  <c r="F8000" i="2"/>
  <c r="F8001" i="2"/>
  <c r="F8002" i="2"/>
  <c r="F8003" i="2"/>
  <c r="F8004" i="2"/>
  <c r="F8005" i="2"/>
  <c r="F8006" i="2"/>
  <c r="F8007" i="2"/>
  <c r="F8008" i="2"/>
  <c r="F8009" i="2"/>
  <c r="F8010" i="2"/>
  <c r="F8011" i="2"/>
  <c r="F8012" i="2"/>
  <c r="F8013" i="2"/>
  <c r="F8014" i="2"/>
  <c r="F8015" i="2"/>
  <c r="F8016" i="2"/>
  <c r="F8017" i="2"/>
  <c r="F8018" i="2"/>
  <c r="F8019" i="2"/>
  <c r="F8020" i="2"/>
  <c r="F8021" i="2"/>
  <c r="F8022" i="2"/>
  <c r="F8023" i="2"/>
  <c r="F8024" i="2"/>
  <c r="F8025" i="2"/>
  <c r="F8026" i="2"/>
  <c r="F8027" i="2"/>
  <c r="F8028" i="2"/>
  <c r="F8029" i="2"/>
  <c r="F8030" i="2"/>
  <c r="F8031" i="2"/>
  <c r="F8032" i="2"/>
  <c r="F8033" i="2"/>
  <c r="F8034" i="2"/>
  <c r="F8035" i="2"/>
  <c r="F8036" i="2"/>
  <c r="F8037" i="2"/>
  <c r="F8038" i="2"/>
  <c r="F8039" i="2"/>
  <c r="F8040" i="2"/>
  <c r="F8041" i="2"/>
  <c r="F8042" i="2"/>
  <c r="F8043" i="2"/>
  <c r="F8044" i="2"/>
  <c r="F8045" i="2"/>
  <c r="F8046" i="2"/>
  <c r="F8047" i="2"/>
  <c r="F8048" i="2"/>
  <c r="F8049" i="2"/>
  <c r="F8050" i="2"/>
  <c r="F8051" i="2"/>
  <c r="F8052" i="2"/>
  <c r="F8053" i="2"/>
  <c r="F8054" i="2"/>
  <c r="F8055" i="2"/>
  <c r="F8056" i="2"/>
  <c r="F8057" i="2"/>
  <c r="F8058" i="2"/>
  <c r="F8059" i="2"/>
  <c r="F8060" i="2"/>
  <c r="F8061" i="2"/>
  <c r="F8062" i="2"/>
  <c r="F8063" i="2"/>
  <c r="F8064" i="2"/>
  <c r="F8065" i="2"/>
  <c r="F8066" i="2"/>
  <c r="F8067" i="2"/>
  <c r="F8068" i="2"/>
  <c r="F8069" i="2"/>
  <c r="F8070" i="2"/>
  <c r="F8071" i="2"/>
  <c r="F8072" i="2"/>
  <c r="F8073" i="2"/>
  <c r="F8074" i="2"/>
  <c r="F8075" i="2"/>
  <c r="F8076" i="2"/>
  <c r="F8077" i="2"/>
  <c r="F8078" i="2"/>
  <c r="F8079" i="2"/>
  <c r="F8080" i="2"/>
  <c r="F8081" i="2"/>
  <c r="F8082" i="2"/>
  <c r="F8083" i="2"/>
  <c r="F8084" i="2"/>
  <c r="F8085" i="2"/>
  <c r="F8086" i="2"/>
  <c r="F8087" i="2"/>
  <c r="F8088" i="2"/>
  <c r="F8089" i="2"/>
  <c r="F8090" i="2"/>
  <c r="F8091" i="2"/>
  <c r="F8092" i="2"/>
  <c r="F8093" i="2"/>
  <c r="F8094" i="2"/>
  <c r="F8095" i="2"/>
  <c r="F8096" i="2"/>
  <c r="F8097" i="2"/>
  <c r="F8098" i="2"/>
  <c r="F8099" i="2"/>
  <c r="F8100" i="2"/>
  <c r="F8101" i="2"/>
  <c r="F8102" i="2"/>
  <c r="F8103" i="2"/>
  <c r="F8104" i="2"/>
  <c r="F8105" i="2"/>
  <c r="F8106" i="2"/>
  <c r="F8107" i="2"/>
  <c r="F8108" i="2"/>
  <c r="F8109" i="2"/>
  <c r="F8110" i="2"/>
  <c r="F8111" i="2"/>
  <c r="F8112" i="2"/>
  <c r="F8113" i="2"/>
  <c r="F8114" i="2"/>
  <c r="F8115" i="2"/>
  <c r="F8116" i="2"/>
  <c r="F8117" i="2"/>
  <c r="F8118" i="2"/>
  <c r="F8119" i="2"/>
  <c r="F8120" i="2"/>
  <c r="F8121" i="2"/>
  <c r="F8122" i="2"/>
  <c r="F8123" i="2"/>
  <c r="F8124" i="2"/>
  <c r="F8125" i="2"/>
  <c r="F8126" i="2"/>
  <c r="F8127" i="2"/>
  <c r="F8128" i="2"/>
  <c r="F8129" i="2"/>
  <c r="F8130" i="2"/>
  <c r="F8131" i="2"/>
  <c r="F8132" i="2"/>
  <c r="F8133" i="2"/>
  <c r="F8134" i="2"/>
  <c r="F8135" i="2"/>
  <c r="F8136" i="2"/>
  <c r="F8137" i="2"/>
  <c r="F8138" i="2"/>
  <c r="F8139" i="2"/>
  <c r="F8140" i="2"/>
  <c r="F8141" i="2"/>
  <c r="F8142" i="2"/>
  <c r="F8143" i="2"/>
  <c r="F8144" i="2"/>
  <c r="F8145" i="2"/>
  <c r="F8146" i="2"/>
  <c r="F8147" i="2"/>
  <c r="F8148" i="2"/>
  <c r="F8149" i="2"/>
  <c r="F8150" i="2"/>
  <c r="F8151" i="2"/>
  <c r="F8152" i="2"/>
  <c r="F8153" i="2"/>
  <c r="F8154" i="2"/>
  <c r="F8155" i="2"/>
  <c r="F8156" i="2"/>
  <c r="F8157" i="2"/>
  <c r="F8158" i="2"/>
  <c r="F8159" i="2"/>
  <c r="F8160" i="2"/>
  <c r="F8161" i="2"/>
  <c r="F8162" i="2"/>
  <c r="F8163" i="2"/>
  <c r="F8164" i="2"/>
  <c r="F8165" i="2"/>
  <c r="F8166" i="2"/>
  <c r="F8167" i="2"/>
  <c r="F8168" i="2"/>
  <c r="F8169" i="2"/>
  <c r="F8170" i="2"/>
  <c r="F8171" i="2"/>
  <c r="F8172" i="2"/>
  <c r="F8173" i="2"/>
  <c r="F8174" i="2"/>
  <c r="F8175" i="2"/>
  <c r="F8176" i="2"/>
  <c r="F8177" i="2"/>
  <c r="F8178" i="2"/>
  <c r="F8179" i="2"/>
  <c r="F8180" i="2"/>
  <c r="F8181" i="2"/>
  <c r="F8182" i="2"/>
  <c r="F8183" i="2"/>
  <c r="F8184" i="2"/>
  <c r="F8185" i="2"/>
  <c r="F8186" i="2"/>
  <c r="F8187" i="2"/>
  <c r="F8188" i="2"/>
  <c r="F8189" i="2"/>
  <c r="F8190" i="2"/>
  <c r="F8191" i="2"/>
  <c r="F8192" i="2"/>
  <c r="F8193" i="2"/>
  <c r="F8194" i="2"/>
  <c r="F8195" i="2"/>
  <c r="F8196" i="2"/>
  <c r="F8197" i="2"/>
  <c r="F8198" i="2"/>
  <c r="F8199" i="2"/>
  <c r="F8200" i="2"/>
  <c r="F8201" i="2"/>
  <c r="F8202" i="2"/>
  <c r="F8203" i="2"/>
  <c r="F8204" i="2"/>
  <c r="F8205" i="2"/>
  <c r="F8206" i="2"/>
  <c r="F8207" i="2"/>
  <c r="F8208" i="2"/>
  <c r="F8209" i="2"/>
  <c r="F8210" i="2"/>
  <c r="F8211" i="2"/>
  <c r="F8212" i="2"/>
  <c r="F8213" i="2"/>
  <c r="F8214" i="2"/>
  <c r="F8215" i="2"/>
  <c r="F8216" i="2"/>
  <c r="F8217" i="2"/>
  <c r="F8218" i="2"/>
  <c r="F8219" i="2"/>
  <c r="F8220" i="2"/>
  <c r="F8221" i="2"/>
  <c r="F8222" i="2"/>
  <c r="F8223" i="2"/>
  <c r="F8224" i="2"/>
  <c r="F8225" i="2"/>
  <c r="F8226" i="2"/>
  <c r="F8227" i="2"/>
  <c r="F8228" i="2"/>
  <c r="F8229" i="2"/>
  <c r="F8230" i="2"/>
  <c r="F8231" i="2"/>
  <c r="F8232" i="2"/>
  <c r="F8233" i="2"/>
  <c r="F8234" i="2"/>
  <c r="F8235" i="2"/>
  <c r="F8236" i="2"/>
  <c r="F8237" i="2"/>
  <c r="F8238" i="2"/>
  <c r="F8239" i="2"/>
  <c r="F8240" i="2"/>
  <c r="F8241" i="2"/>
  <c r="F8242" i="2"/>
  <c r="F8243" i="2"/>
  <c r="F8244" i="2"/>
  <c r="F8245" i="2"/>
  <c r="F8246" i="2"/>
  <c r="F8247" i="2"/>
  <c r="F8248" i="2"/>
  <c r="F8249" i="2"/>
  <c r="F8250" i="2"/>
  <c r="F8251" i="2"/>
  <c r="F8252" i="2"/>
  <c r="F8253" i="2"/>
  <c r="F8254" i="2"/>
  <c r="F8255" i="2"/>
  <c r="F8256" i="2"/>
  <c r="F8257" i="2"/>
  <c r="F8258" i="2"/>
  <c r="F8259" i="2"/>
  <c r="F8260" i="2"/>
  <c r="F8261" i="2"/>
  <c r="F8262" i="2"/>
  <c r="F8263" i="2"/>
  <c r="F8264" i="2"/>
  <c r="F8265" i="2"/>
  <c r="F8266" i="2"/>
  <c r="F8267" i="2"/>
  <c r="F8268" i="2"/>
  <c r="F8269" i="2"/>
  <c r="F8270" i="2"/>
  <c r="F8271" i="2"/>
  <c r="F8272" i="2"/>
  <c r="F8273" i="2"/>
  <c r="F8274" i="2"/>
  <c r="F8275" i="2"/>
  <c r="F8276" i="2"/>
  <c r="F8277" i="2"/>
  <c r="F8278" i="2"/>
  <c r="F8279" i="2"/>
  <c r="F8280" i="2"/>
  <c r="F8281" i="2"/>
  <c r="F8282" i="2"/>
  <c r="F8283" i="2"/>
  <c r="F8284" i="2"/>
  <c r="F8285" i="2"/>
  <c r="F8286" i="2"/>
  <c r="F8287" i="2"/>
  <c r="F8288" i="2"/>
  <c r="F8289" i="2"/>
  <c r="F8290" i="2"/>
  <c r="F8291" i="2"/>
  <c r="F8292" i="2"/>
  <c r="F8293" i="2"/>
  <c r="F8294" i="2"/>
  <c r="F8295" i="2"/>
  <c r="F8296" i="2"/>
  <c r="F8297" i="2"/>
  <c r="F8298" i="2"/>
  <c r="F8299" i="2"/>
  <c r="F8300" i="2"/>
  <c r="F8301" i="2"/>
  <c r="F8302" i="2"/>
  <c r="F8303" i="2"/>
  <c r="F8304" i="2"/>
  <c r="F8305" i="2"/>
  <c r="F8306" i="2"/>
  <c r="F8307" i="2"/>
  <c r="F8308" i="2"/>
  <c r="F8309" i="2"/>
  <c r="F8310" i="2"/>
  <c r="F8311" i="2"/>
  <c r="F8312" i="2"/>
  <c r="F8313" i="2"/>
  <c r="F8314" i="2"/>
  <c r="F8315" i="2"/>
  <c r="F8316" i="2"/>
  <c r="F8317" i="2"/>
  <c r="F8318" i="2"/>
  <c r="F8319" i="2"/>
  <c r="F8320" i="2"/>
  <c r="F8321" i="2"/>
  <c r="F8322" i="2"/>
  <c r="F8323" i="2"/>
  <c r="F8324" i="2"/>
  <c r="F8325" i="2"/>
  <c r="F8326" i="2"/>
  <c r="F8327" i="2"/>
  <c r="F8328" i="2"/>
  <c r="F8329" i="2"/>
  <c r="F8330" i="2"/>
  <c r="F8331" i="2"/>
  <c r="F8332" i="2"/>
  <c r="F8333" i="2"/>
  <c r="F8334" i="2"/>
  <c r="F8335" i="2"/>
  <c r="F8336" i="2"/>
  <c r="F8337" i="2"/>
  <c r="F8338" i="2"/>
  <c r="F8339" i="2"/>
  <c r="F8340" i="2"/>
  <c r="F8341" i="2"/>
  <c r="F8342" i="2"/>
  <c r="F8343" i="2"/>
  <c r="F8344" i="2"/>
  <c r="F8345" i="2"/>
  <c r="F8346" i="2"/>
  <c r="F8347" i="2"/>
  <c r="F8348" i="2"/>
  <c r="F8349" i="2"/>
  <c r="F8350" i="2"/>
  <c r="F8351" i="2"/>
  <c r="F8352" i="2"/>
  <c r="F8353" i="2"/>
  <c r="F8354" i="2"/>
  <c r="F8355" i="2"/>
  <c r="F8356" i="2"/>
  <c r="F8357" i="2"/>
  <c r="F8358" i="2"/>
  <c r="F8359" i="2"/>
  <c r="F8360" i="2"/>
  <c r="F8361" i="2"/>
  <c r="F8362" i="2"/>
  <c r="F8363" i="2"/>
  <c r="F8364" i="2"/>
  <c r="F8365" i="2"/>
  <c r="F8366" i="2"/>
  <c r="F8367" i="2"/>
  <c r="F8368" i="2"/>
  <c r="F8369" i="2"/>
  <c r="F8370" i="2"/>
  <c r="F8371" i="2"/>
  <c r="F8372" i="2"/>
  <c r="F8373" i="2"/>
  <c r="F8374" i="2"/>
  <c r="F8375" i="2"/>
  <c r="F8376" i="2"/>
  <c r="F8377" i="2"/>
  <c r="F8378" i="2"/>
  <c r="F8379" i="2"/>
  <c r="F8380" i="2"/>
  <c r="F8381" i="2"/>
  <c r="F8382" i="2"/>
  <c r="F8383" i="2"/>
  <c r="F8384" i="2"/>
  <c r="F8385" i="2"/>
  <c r="F8386" i="2"/>
  <c r="F8387" i="2"/>
  <c r="F8388" i="2"/>
  <c r="F8389" i="2"/>
  <c r="F8390" i="2"/>
  <c r="F8391" i="2"/>
  <c r="F8392" i="2"/>
  <c r="F8393" i="2"/>
  <c r="F8394" i="2"/>
  <c r="F8395" i="2"/>
  <c r="F8396" i="2"/>
  <c r="F8397" i="2"/>
  <c r="F8398" i="2"/>
  <c r="F8399" i="2"/>
  <c r="F8400" i="2"/>
  <c r="F8401" i="2"/>
  <c r="F8402" i="2"/>
  <c r="F8403" i="2"/>
  <c r="F8404" i="2"/>
  <c r="F8405" i="2"/>
  <c r="F8406" i="2"/>
  <c r="F8407" i="2"/>
  <c r="F8408" i="2"/>
  <c r="F8409" i="2"/>
  <c r="F8410" i="2"/>
  <c r="F8411" i="2"/>
  <c r="F8412" i="2"/>
  <c r="F8413" i="2"/>
  <c r="F8414" i="2"/>
  <c r="F8415" i="2"/>
  <c r="F8416" i="2"/>
  <c r="F8417" i="2"/>
  <c r="F8418" i="2"/>
  <c r="F8419" i="2"/>
  <c r="F8420" i="2"/>
  <c r="F8421" i="2"/>
  <c r="F8422" i="2"/>
  <c r="F8423" i="2"/>
  <c r="F8424" i="2"/>
  <c r="F8425" i="2"/>
  <c r="F8426" i="2"/>
  <c r="F8427" i="2"/>
  <c r="F8428" i="2"/>
  <c r="F8429" i="2"/>
  <c r="F8430" i="2"/>
  <c r="F8431" i="2"/>
  <c r="F8432" i="2"/>
  <c r="F8433" i="2"/>
  <c r="F8434" i="2"/>
  <c r="F8435" i="2"/>
  <c r="F8436" i="2"/>
  <c r="F8437" i="2"/>
  <c r="F8438" i="2"/>
  <c r="F8439" i="2"/>
  <c r="F8440" i="2"/>
  <c r="F8441" i="2"/>
  <c r="F8442" i="2"/>
  <c r="F8443" i="2"/>
  <c r="F8444" i="2"/>
  <c r="F8445" i="2"/>
  <c r="F8446" i="2"/>
  <c r="F8447" i="2"/>
  <c r="F8448" i="2"/>
  <c r="F8449" i="2"/>
  <c r="F8450" i="2"/>
  <c r="F8451" i="2"/>
  <c r="F8452" i="2"/>
  <c r="F8453" i="2"/>
  <c r="F8454" i="2"/>
  <c r="F8455" i="2"/>
  <c r="F8456" i="2"/>
  <c r="F8457" i="2"/>
  <c r="F8458" i="2"/>
  <c r="F8459" i="2"/>
  <c r="F8460" i="2"/>
  <c r="F8461" i="2"/>
  <c r="F8462" i="2"/>
  <c r="F8463" i="2"/>
  <c r="F8464" i="2"/>
  <c r="F8465" i="2"/>
  <c r="F8466" i="2"/>
  <c r="F8467" i="2"/>
  <c r="F8468" i="2"/>
  <c r="F8469" i="2"/>
  <c r="F8470" i="2"/>
  <c r="F8471" i="2"/>
  <c r="F8472" i="2"/>
  <c r="F8473" i="2"/>
  <c r="F8474" i="2"/>
  <c r="F8475" i="2"/>
  <c r="F8476" i="2"/>
  <c r="F8477" i="2"/>
  <c r="F8478" i="2"/>
  <c r="F8479" i="2"/>
  <c r="F8480" i="2"/>
  <c r="F8481" i="2"/>
  <c r="F8482" i="2"/>
  <c r="F8483" i="2"/>
  <c r="F8484" i="2"/>
  <c r="F8485" i="2"/>
  <c r="F8486" i="2"/>
  <c r="F8487" i="2"/>
  <c r="F8488" i="2"/>
  <c r="F8489" i="2"/>
  <c r="F8490" i="2"/>
  <c r="F8491" i="2"/>
  <c r="F8492" i="2"/>
  <c r="F8493" i="2"/>
  <c r="F8494" i="2"/>
  <c r="F8495" i="2"/>
  <c r="F8496" i="2"/>
  <c r="F8497" i="2"/>
  <c r="F8498" i="2"/>
  <c r="F8499" i="2"/>
  <c r="F8500" i="2"/>
  <c r="F8501" i="2"/>
  <c r="F8502" i="2"/>
  <c r="F8503" i="2"/>
  <c r="F8504" i="2"/>
  <c r="F8505" i="2"/>
  <c r="F8506" i="2"/>
  <c r="F8507" i="2"/>
  <c r="F8508" i="2"/>
  <c r="F8509" i="2"/>
  <c r="F8510" i="2"/>
  <c r="F8511" i="2"/>
  <c r="F8512" i="2"/>
  <c r="F8513" i="2"/>
  <c r="F8514" i="2"/>
  <c r="F8515" i="2"/>
  <c r="F8516" i="2"/>
  <c r="F8517" i="2"/>
  <c r="F8518" i="2"/>
  <c r="F8519" i="2"/>
  <c r="F8520" i="2"/>
  <c r="F8521" i="2"/>
  <c r="F8522" i="2"/>
  <c r="F8523" i="2"/>
  <c r="F8524" i="2"/>
  <c r="F8525" i="2"/>
  <c r="F8526" i="2"/>
  <c r="F8527" i="2"/>
  <c r="F8528" i="2"/>
  <c r="F8529" i="2"/>
  <c r="F8530" i="2"/>
  <c r="F8531" i="2"/>
  <c r="F8532" i="2"/>
  <c r="F8533" i="2"/>
  <c r="F8534" i="2"/>
  <c r="F8535" i="2"/>
  <c r="F8536" i="2"/>
  <c r="F8537" i="2"/>
  <c r="F8538" i="2"/>
  <c r="F8539" i="2"/>
  <c r="F8540" i="2"/>
  <c r="F8541" i="2"/>
  <c r="F8542" i="2"/>
  <c r="F8543" i="2"/>
  <c r="F8544" i="2"/>
  <c r="F8545" i="2"/>
  <c r="F8546" i="2"/>
  <c r="F8547" i="2"/>
  <c r="F8548" i="2"/>
  <c r="F8549" i="2"/>
  <c r="F8550" i="2"/>
  <c r="F8551" i="2"/>
  <c r="F8552" i="2"/>
  <c r="F8553" i="2"/>
  <c r="F8554" i="2"/>
  <c r="F8555" i="2"/>
  <c r="F8556" i="2"/>
  <c r="F8557" i="2"/>
  <c r="F8558" i="2"/>
  <c r="F8559" i="2"/>
  <c r="F8560" i="2"/>
  <c r="F8561" i="2"/>
  <c r="F8562" i="2"/>
  <c r="F8563" i="2"/>
  <c r="F8564" i="2"/>
  <c r="F8565" i="2"/>
  <c r="F8566" i="2"/>
  <c r="F8567" i="2"/>
  <c r="F8568" i="2"/>
  <c r="F8569" i="2"/>
  <c r="F8570" i="2"/>
  <c r="F8571" i="2"/>
  <c r="F8572" i="2"/>
  <c r="F8573" i="2"/>
  <c r="F8574" i="2"/>
  <c r="F8575" i="2"/>
  <c r="F8576" i="2"/>
  <c r="F8577" i="2"/>
  <c r="F8578" i="2"/>
  <c r="F8579" i="2"/>
  <c r="F8580" i="2"/>
  <c r="F8581" i="2"/>
  <c r="F8582" i="2"/>
  <c r="F8583" i="2"/>
  <c r="F8584" i="2"/>
  <c r="F8585" i="2"/>
  <c r="F8586" i="2"/>
  <c r="F8587" i="2"/>
  <c r="F8588" i="2"/>
  <c r="F8589" i="2"/>
  <c r="F8590" i="2"/>
  <c r="F8591" i="2"/>
  <c r="F8592" i="2"/>
  <c r="F8593" i="2"/>
  <c r="F8594" i="2"/>
  <c r="F8595" i="2"/>
  <c r="F8596" i="2"/>
  <c r="F8597" i="2"/>
  <c r="F8598" i="2"/>
  <c r="F8599" i="2"/>
  <c r="F8600" i="2"/>
  <c r="F8601" i="2"/>
  <c r="F8602" i="2"/>
  <c r="F8603" i="2"/>
  <c r="F8604" i="2"/>
  <c r="F8605" i="2"/>
  <c r="F8606" i="2"/>
  <c r="F8607" i="2"/>
  <c r="F8608" i="2"/>
  <c r="F8609" i="2"/>
  <c r="F8610" i="2"/>
  <c r="F8611" i="2"/>
  <c r="F8612" i="2"/>
  <c r="F8613" i="2"/>
  <c r="F8614" i="2"/>
  <c r="F8615" i="2"/>
  <c r="F8616" i="2"/>
  <c r="F8617" i="2"/>
  <c r="F8618" i="2"/>
  <c r="F8619" i="2"/>
  <c r="F8620" i="2"/>
  <c r="F8621" i="2"/>
  <c r="F8622" i="2"/>
  <c r="F8623" i="2"/>
  <c r="F8624" i="2"/>
  <c r="F8625" i="2"/>
  <c r="F8626" i="2"/>
  <c r="F8627" i="2"/>
  <c r="F8628" i="2"/>
  <c r="F8629" i="2"/>
  <c r="F8630" i="2"/>
  <c r="F8631" i="2"/>
  <c r="F8632" i="2"/>
  <c r="F8633" i="2"/>
  <c r="F8634" i="2"/>
  <c r="F8635" i="2"/>
  <c r="F8636" i="2"/>
  <c r="F8637" i="2"/>
  <c r="F8638" i="2"/>
  <c r="F8639" i="2"/>
  <c r="F8640" i="2"/>
  <c r="F8641" i="2"/>
  <c r="F8642" i="2"/>
  <c r="F8643" i="2"/>
  <c r="F8644" i="2"/>
  <c r="F8645" i="2"/>
  <c r="F8646" i="2"/>
  <c r="F8647" i="2"/>
  <c r="F8648" i="2"/>
  <c r="F8649" i="2"/>
  <c r="F8650" i="2"/>
  <c r="F8651" i="2"/>
  <c r="F8652" i="2"/>
  <c r="F8653" i="2"/>
  <c r="F8654" i="2"/>
  <c r="F8655" i="2"/>
  <c r="F8656" i="2"/>
  <c r="F8657" i="2"/>
  <c r="F8658" i="2"/>
  <c r="F8659" i="2"/>
  <c r="F8660" i="2"/>
  <c r="F8661" i="2"/>
  <c r="F8662" i="2"/>
  <c r="F8663" i="2"/>
  <c r="F8664" i="2"/>
  <c r="F8665" i="2"/>
  <c r="F8666" i="2"/>
  <c r="F8667" i="2"/>
  <c r="F8668" i="2"/>
  <c r="F8669" i="2"/>
  <c r="F8670" i="2"/>
  <c r="F8671" i="2"/>
  <c r="F8672" i="2"/>
  <c r="F8673" i="2"/>
  <c r="F8674" i="2"/>
  <c r="F8675" i="2"/>
  <c r="F8676" i="2"/>
  <c r="F8677" i="2"/>
  <c r="F8678" i="2"/>
  <c r="F8679" i="2"/>
  <c r="F8680" i="2"/>
  <c r="F8681" i="2"/>
  <c r="F8682" i="2"/>
  <c r="F8683" i="2"/>
  <c r="F8684" i="2"/>
  <c r="F8685" i="2"/>
  <c r="F8686" i="2"/>
  <c r="F8687" i="2"/>
  <c r="F8688" i="2"/>
  <c r="F8689" i="2"/>
  <c r="F8690" i="2"/>
  <c r="F8691" i="2"/>
  <c r="F8692" i="2"/>
  <c r="F8693" i="2"/>
  <c r="F8694" i="2"/>
  <c r="F8695" i="2"/>
  <c r="F8696" i="2"/>
  <c r="F8697" i="2"/>
  <c r="F8698" i="2"/>
  <c r="F8699" i="2"/>
  <c r="F8700" i="2"/>
  <c r="F8701" i="2"/>
  <c r="F8702" i="2"/>
  <c r="F8703" i="2"/>
  <c r="F8704" i="2"/>
  <c r="F8705" i="2"/>
  <c r="F8706" i="2"/>
  <c r="F8707" i="2"/>
  <c r="F8708" i="2"/>
  <c r="F8709" i="2"/>
  <c r="F8710" i="2"/>
  <c r="F8711" i="2"/>
  <c r="F8712" i="2"/>
  <c r="F8713" i="2"/>
  <c r="F8714" i="2"/>
  <c r="F8715" i="2"/>
  <c r="F8716" i="2"/>
  <c r="F8717" i="2"/>
  <c r="F8718" i="2"/>
  <c r="F8719" i="2"/>
  <c r="F8720" i="2"/>
  <c r="F8721" i="2"/>
  <c r="F8722" i="2"/>
  <c r="F8723" i="2"/>
  <c r="F8724" i="2"/>
  <c r="F8725" i="2"/>
  <c r="F8726" i="2"/>
  <c r="F8727" i="2"/>
  <c r="F8728" i="2"/>
  <c r="F8729" i="2"/>
  <c r="F8730" i="2"/>
  <c r="F8731" i="2"/>
  <c r="F8732" i="2"/>
  <c r="F8733" i="2"/>
  <c r="F8734" i="2"/>
  <c r="F8735" i="2"/>
  <c r="F8736" i="2"/>
  <c r="F8737" i="2"/>
  <c r="F8738" i="2"/>
  <c r="F8739" i="2"/>
  <c r="F8740" i="2"/>
  <c r="F8741" i="2"/>
  <c r="F8742" i="2"/>
  <c r="F8743" i="2"/>
  <c r="F8744" i="2"/>
  <c r="F8745" i="2"/>
  <c r="F8746" i="2"/>
  <c r="F8747" i="2"/>
  <c r="F8748" i="2"/>
  <c r="F8749" i="2"/>
  <c r="F8750" i="2"/>
  <c r="F8751" i="2"/>
  <c r="F8752" i="2"/>
  <c r="F8753" i="2"/>
  <c r="F8754" i="2"/>
  <c r="F8755" i="2"/>
  <c r="F8756" i="2"/>
  <c r="F8757" i="2"/>
  <c r="F8758" i="2"/>
  <c r="F8759" i="2"/>
  <c r="F8760" i="2"/>
  <c r="F8761" i="2"/>
  <c r="F8762" i="2"/>
  <c r="F8763" i="2"/>
  <c r="F8764" i="2"/>
  <c r="F8765" i="2"/>
  <c r="F8766" i="2"/>
  <c r="F8767" i="2"/>
  <c r="F8768" i="2"/>
  <c r="F8769" i="2"/>
  <c r="F8770" i="2"/>
  <c r="F8771" i="2"/>
  <c r="F8772" i="2"/>
  <c r="F8773" i="2"/>
  <c r="F8774" i="2"/>
  <c r="F8775" i="2"/>
  <c r="F8776" i="2"/>
  <c r="F8777" i="2"/>
  <c r="F8778" i="2"/>
  <c r="F8779" i="2"/>
  <c r="F8780" i="2"/>
  <c r="F8781" i="2"/>
  <c r="F8782" i="2"/>
  <c r="F8783" i="2"/>
  <c r="F8784" i="2"/>
  <c r="F8785" i="2"/>
  <c r="F8786" i="2"/>
  <c r="F8787" i="2"/>
  <c r="F8788" i="2"/>
  <c r="F8789" i="2"/>
  <c r="F8790" i="2"/>
  <c r="F8791" i="2"/>
  <c r="F8792" i="2"/>
  <c r="F8793" i="2"/>
  <c r="F8794" i="2"/>
  <c r="F8795" i="2"/>
  <c r="F8796" i="2"/>
  <c r="F8797" i="2"/>
  <c r="F8798" i="2"/>
  <c r="F8799" i="2"/>
  <c r="F8800" i="2"/>
  <c r="F8801" i="2"/>
  <c r="F8802" i="2"/>
  <c r="F8803" i="2"/>
  <c r="F8804" i="2"/>
  <c r="F8805" i="2"/>
  <c r="F8806" i="2"/>
  <c r="F8807" i="2"/>
  <c r="F8808" i="2"/>
  <c r="F8809" i="2"/>
  <c r="F8810" i="2"/>
  <c r="F8811" i="2"/>
  <c r="F8812" i="2"/>
  <c r="F8813" i="2"/>
  <c r="F8814" i="2"/>
  <c r="F8815" i="2"/>
  <c r="F8816" i="2"/>
  <c r="F8817" i="2"/>
  <c r="F8818" i="2"/>
  <c r="F8819" i="2"/>
  <c r="F8820" i="2"/>
  <c r="F8821" i="2"/>
  <c r="F8822" i="2"/>
  <c r="F8823" i="2"/>
  <c r="F8824" i="2"/>
  <c r="F8825" i="2"/>
  <c r="F8826" i="2"/>
  <c r="F8827" i="2"/>
  <c r="F8828" i="2"/>
  <c r="F8829" i="2"/>
  <c r="F8830" i="2"/>
  <c r="F8831" i="2"/>
  <c r="F8832" i="2"/>
  <c r="F8833" i="2"/>
  <c r="F8834" i="2"/>
  <c r="F8835" i="2"/>
  <c r="F8836" i="2"/>
  <c r="F8837" i="2"/>
  <c r="F8838" i="2"/>
  <c r="F8839" i="2"/>
  <c r="F8840" i="2"/>
  <c r="F8841" i="2"/>
  <c r="F8842" i="2"/>
  <c r="F8843" i="2"/>
  <c r="F8844" i="2"/>
  <c r="F8845" i="2"/>
  <c r="F8846" i="2"/>
  <c r="F8847" i="2"/>
  <c r="F8848" i="2"/>
  <c r="F8849" i="2"/>
  <c r="F8850" i="2"/>
  <c r="F8851" i="2"/>
  <c r="F8852" i="2"/>
  <c r="F8853" i="2"/>
  <c r="F8854" i="2"/>
  <c r="F8855" i="2"/>
  <c r="F8856" i="2"/>
  <c r="F8857" i="2"/>
  <c r="F8858" i="2"/>
  <c r="F8859" i="2"/>
  <c r="F8860" i="2"/>
  <c r="F8861" i="2"/>
  <c r="F8862" i="2"/>
  <c r="F8863" i="2"/>
  <c r="F8864" i="2"/>
  <c r="F8865" i="2"/>
  <c r="F8866" i="2"/>
  <c r="F8867" i="2"/>
  <c r="F8868" i="2"/>
  <c r="F8869" i="2"/>
  <c r="F8870" i="2"/>
  <c r="F8871" i="2"/>
  <c r="F8872" i="2"/>
  <c r="F8873" i="2"/>
  <c r="F8874" i="2"/>
  <c r="F8875" i="2"/>
  <c r="F8876" i="2"/>
  <c r="F8877" i="2"/>
  <c r="F8878" i="2"/>
  <c r="F8879" i="2"/>
  <c r="F8880" i="2"/>
  <c r="F8881" i="2"/>
  <c r="F8882" i="2"/>
  <c r="F8883" i="2"/>
  <c r="F8884" i="2"/>
  <c r="F8885" i="2"/>
  <c r="F8886" i="2"/>
  <c r="F8887" i="2"/>
  <c r="F8888" i="2"/>
  <c r="F8889" i="2"/>
  <c r="F8890" i="2"/>
  <c r="F8891" i="2"/>
  <c r="F8892" i="2"/>
  <c r="F8893" i="2"/>
  <c r="F8894" i="2"/>
  <c r="F8895" i="2"/>
  <c r="F8896" i="2"/>
  <c r="F8897" i="2"/>
  <c r="F8898" i="2"/>
  <c r="F8899" i="2"/>
  <c r="F8900" i="2"/>
  <c r="F8901" i="2"/>
  <c r="F8902" i="2"/>
  <c r="F8903" i="2"/>
  <c r="F8904" i="2"/>
  <c r="F8905" i="2"/>
  <c r="F8906" i="2"/>
  <c r="F8907" i="2"/>
  <c r="F8908" i="2"/>
  <c r="F8909" i="2"/>
  <c r="F8910" i="2"/>
  <c r="F8911" i="2"/>
  <c r="F8912" i="2"/>
  <c r="F8913" i="2"/>
  <c r="F8914" i="2"/>
  <c r="F8915" i="2"/>
  <c r="F8916" i="2"/>
  <c r="F8917" i="2"/>
  <c r="F8918" i="2"/>
  <c r="F8919" i="2"/>
  <c r="F8920" i="2"/>
  <c r="F8921" i="2"/>
  <c r="F8922" i="2"/>
  <c r="F8923" i="2"/>
  <c r="F8924" i="2"/>
  <c r="F8925" i="2"/>
  <c r="F8926" i="2"/>
  <c r="F8927" i="2"/>
  <c r="F8928" i="2"/>
  <c r="F8929" i="2"/>
  <c r="F8930" i="2"/>
  <c r="F8931" i="2"/>
  <c r="F8932" i="2"/>
  <c r="F8933" i="2"/>
  <c r="F8934" i="2"/>
  <c r="F8935" i="2"/>
  <c r="F8936" i="2"/>
  <c r="F8937" i="2"/>
  <c r="F8938" i="2"/>
  <c r="F8939" i="2"/>
  <c r="F8940" i="2"/>
  <c r="F8941" i="2"/>
  <c r="F8942" i="2"/>
  <c r="F8943" i="2"/>
  <c r="F8944" i="2"/>
  <c r="F8945" i="2"/>
  <c r="F8946" i="2"/>
  <c r="F8947" i="2"/>
  <c r="F8948" i="2"/>
  <c r="F8949" i="2"/>
  <c r="F8950" i="2"/>
  <c r="F8951" i="2"/>
  <c r="F8952" i="2"/>
  <c r="F8953" i="2"/>
  <c r="F8954" i="2"/>
  <c r="F8955" i="2"/>
  <c r="F8956" i="2"/>
  <c r="F8957" i="2"/>
  <c r="F8958" i="2"/>
  <c r="F8959" i="2"/>
  <c r="F8960" i="2"/>
  <c r="F8961" i="2"/>
  <c r="F8962" i="2"/>
  <c r="F8963" i="2"/>
  <c r="F8964" i="2"/>
  <c r="F8965" i="2"/>
  <c r="F8966" i="2"/>
  <c r="F8967" i="2"/>
  <c r="F8968" i="2"/>
  <c r="F8969" i="2"/>
  <c r="F8970" i="2"/>
  <c r="F8971" i="2"/>
  <c r="F8972" i="2"/>
  <c r="F8973" i="2"/>
  <c r="F8974" i="2"/>
  <c r="F8975" i="2"/>
  <c r="F8976" i="2"/>
  <c r="F8977" i="2"/>
  <c r="F8978" i="2"/>
  <c r="F8979" i="2"/>
  <c r="F8980" i="2"/>
  <c r="F8981" i="2"/>
  <c r="F8982" i="2"/>
  <c r="F8983" i="2"/>
  <c r="F8984" i="2"/>
  <c r="F8985" i="2"/>
  <c r="F8986" i="2"/>
  <c r="F8987" i="2"/>
  <c r="F8988" i="2"/>
  <c r="F8989" i="2"/>
  <c r="F8990" i="2"/>
  <c r="F8991" i="2"/>
  <c r="F8992" i="2"/>
  <c r="F8993" i="2"/>
  <c r="F8994" i="2"/>
  <c r="F8995" i="2"/>
  <c r="F8996" i="2"/>
  <c r="F8997" i="2"/>
  <c r="F8998" i="2"/>
  <c r="F8999" i="2"/>
  <c r="F9000" i="2"/>
  <c r="F9001" i="2"/>
  <c r="F9002" i="2"/>
  <c r="F9003" i="2"/>
  <c r="F9004" i="2"/>
  <c r="F9005" i="2"/>
  <c r="F9006" i="2"/>
  <c r="F9007" i="2"/>
  <c r="F9008" i="2"/>
  <c r="F9009" i="2"/>
  <c r="F9010" i="2"/>
  <c r="F9011" i="2"/>
  <c r="F9012" i="2"/>
  <c r="F9013" i="2"/>
  <c r="F9014" i="2"/>
  <c r="F9015" i="2"/>
  <c r="F9016" i="2"/>
  <c r="F9017" i="2"/>
  <c r="F9018" i="2"/>
  <c r="F9019" i="2"/>
  <c r="F9020" i="2"/>
  <c r="F9021" i="2"/>
  <c r="F9022" i="2"/>
  <c r="F9023" i="2"/>
  <c r="F9024" i="2"/>
  <c r="F9025" i="2"/>
  <c r="F9026" i="2"/>
  <c r="F9027" i="2"/>
  <c r="F9028" i="2"/>
  <c r="F9029" i="2"/>
  <c r="F9030" i="2"/>
  <c r="F9031" i="2"/>
  <c r="F9032" i="2"/>
  <c r="F9033" i="2"/>
  <c r="F9034" i="2"/>
  <c r="F9035" i="2"/>
  <c r="F9036" i="2"/>
  <c r="F9037" i="2"/>
  <c r="F9038" i="2"/>
  <c r="F9039" i="2"/>
  <c r="F9040" i="2"/>
  <c r="F9041" i="2"/>
  <c r="F9042" i="2"/>
  <c r="F9043" i="2"/>
  <c r="F9044" i="2"/>
  <c r="F9045" i="2"/>
  <c r="F9046" i="2"/>
  <c r="F9047" i="2"/>
  <c r="F9048" i="2"/>
  <c r="F9049" i="2"/>
  <c r="F9050" i="2"/>
  <c r="F9051" i="2"/>
  <c r="F9052" i="2"/>
  <c r="F9053" i="2"/>
  <c r="F9054" i="2"/>
  <c r="F9055" i="2"/>
  <c r="F9056" i="2"/>
  <c r="F9057" i="2"/>
  <c r="F9058" i="2"/>
  <c r="F9059" i="2"/>
  <c r="F9060" i="2"/>
  <c r="F9061" i="2"/>
  <c r="F9062" i="2"/>
  <c r="F9063" i="2"/>
  <c r="F9064" i="2"/>
  <c r="F9065" i="2"/>
  <c r="F9066" i="2"/>
  <c r="F9067" i="2"/>
  <c r="F9068" i="2"/>
  <c r="F9069" i="2"/>
  <c r="F9070" i="2"/>
  <c r="F9071" i="2"/>
  <c r="F9072" i="2"/>
  <c r="F9073" i="2"/>
  <c r="F9074" i="2"/>
  <c r="F9075" i="2"/>
  <c r="F9076" i="2"/>
  <c r="F9077" i="2"/>
  <c r="F9078" i="2"/>
  <c r="F9079" i="2"/>
  <c r="F9080" i="2"/>
  <c r="F9081" i="2"/>
  <c r="F9082" i="2"/>
  <c r="F9083" i="2"/>
  <c r="F9084" i="2"/>
  <c r="F9085" i="2"/>
  <c r="F9086" i="2"/>
  <c r="F9087" i="2"/>
  <c r="F9088" i="2"/>
  <c r="F9089" i="2"/>
  <c r="F9090" i="2"/>
  <c r="F9091" i="2"/>
  <c r="F9092" i="2"/>
  <c r="F9093" i="2"/>
  <c r="F9094" i="2"/>
  <c r="F9095" i="2"/>
  <c r="F9096" i="2"/>
  <c r="F9097" i="2"/>
  <c r="F9098" i="2"/>
  <c r="F9099" i="2"/>
  <c r="F9100" i="2"/>
  <c r="F9101" i="2"/>
  <c r="F9102" i="2"/>
  <c r="F9103" i="2"/>
  <c r="F9104" i="2"/>
  <c r="F9105" i="2"/>
  <c r="F9106" i="2"/>
  <c r="F9107" i="2"/>
  <c r="F9108" i="2"/>
  <c r="F9109" i="2"/>
  <c r="F9110" i="2"/>
  <c r="F9111" i="2"/>
  <c r="F9112" i="2"/>
  <c r="F9113" i="2"/>
  <c r="F9114" i="2"/>
  <c r="F9115" i="2"/>
  <c r="F9116" i="2"/>
  <c r="F9117" i="2"/>
  <c r="F9118" i="2"/>
  <c r="F9119" i="2"/>
  <c r="F9120" i="2"/>
  <c r="F9121" i="2"/>
  <c r="F9122" i="2"/>
  <c r="F9123" i="2"/>
  <c r="F9124" i="2"/>
  <c r="F9125" i="2"/>
  <c r="F9126" i="2"/>
  <c r="F9127" i="2"/>
  <c r="F9128" i="2"/>
  <c r="F9129" i="2"/>
  <c r="F9130" i="2"/>
  <c r="F9131" i="2"/>
  <c r="F9132" i="2"/>
  <c r="F9133" i="2"/>
  <c r="F9134" i="2"/>
  <c r="F9135" i="2"/>
  <c r="F9136" i="2"/>
  <c r="F9137" i="2"/>
  <c r="F9138" i="2"/>
  <c r="F9139" i="2"/>
  <c r="F9140" i="2"/>
  <c r="F9141" i="2"/>
  <c r="F9142" i="2"/>
  <c r="F9143" i="2"/>
  <c r="F9144" i="2"/>
  <c r="F9145" i="2"/>
  <c r="F9146" i="2"/>
  <c r="F9147" i="2"/>
  <c r="F9148" i="2"/>
  <c r="F9149" i="2"/>
  <c r="F9150" i="2"/>
  <c r="F9151" i="2"/>
  <c r="F9152" i="2"/>
  <c r="F9153" i="2"/>
  <c r="F9154" i="2"/>
  <c r="F9155" i="2"/>
  <c r="F9156" i="2"/>
  <c r="F9157" i="2"/>
  <c r="F9158" i="2"/>
  <c r="F9159" i="2"/>
  <c r="F9160" i="2"/>
  <c r="F9161" i="2"/>
  <c r="F9162" i="2"/>
  <c r="F9163" i="2"/>
  <c r="F9164" i="2"/>
  <c r="F9165" i="2"/>
  <c r="F9166" i="2"/>
  <c r="F9167" i="2"/>
  <c r="F9168" i="2"/>
  <c r="F9169" i="2"/>
  <c r="F9170" i="2"/>
  <c r="F9171" i="2"/>
  <c r="F9172" i="2"/>
  <c r="F9173" i="2"/>
  <c r="F9174" i="2"/>
  <c r="F9175" i="2"/>
  <c r="F9176" i="2"/>
  <c r="F9177" i="2"/>
  <c r="F9178" i="2"/>
  <c r="F9179" i="2"/>
  <c r="F9180" i="2"/>
  <c r="F9181" i="2"/>
  <c r="F9182" i="2"/>
  <c r="F9183" i="2"/>
  <c r="F9184" i="2"/>
  <c r="F9185" i="2"/>
  <c r="F9186" i="2"/>
  <c r="F9187" i="2"/>
  <c r="F9188" i="2"/>
  <c r="F9189" i="2"/>
  <c r="F9190" i="2"/>
  <c r="F9191" i="2"/>
  <c r="F9192" i="2"/>
  <c r="F9193" i="2"/>
  <c r="F9194" i="2"/>
  <c r="F9195" i="2"/>
  <c r="F9196" i="2"/>
  <c r="F9197" i="2"/>
  <c r="F9198" i="2"/>
  <c r="F9199" i="2"/>
  <c r="F9200" i="2"/>
  <c r="F9201" i="2"/>
  <c r="F9202" i="2"/>
  <c r="F9203" i="2"/>
  <c r="F9204" i="2"/>
  <c r="F9205" i="2"/>
  <c r="F9206" i="2"/>
  <c r="F9207" i="2"/>
  <c r="F9208" i="2"/>
  <c r="F9209" i="2"/>
  <c r="F9210" i="2"/>
  <c r="F9211" i="2"/>
  <c r="F9212" i="2"/>
  <c r="F9213" i="2"/>
  <c r="F9214" i="2"/>
  <c r="F9215" i="2"/>
  <c r="F9216" i="2"/>
  <c r="F9217" i="2"/>
  <c r="F9218" i="2"/>
  <c r="F9219" i="2"/>
  <c r="F9220" i="2"/>
  <c r="F9221" i="2"/>
  <c r="F9222" i="2"/>
  <c r="F9223" i="2"/>
  <c r="F9224" i="2"/>
  <c r="F9225" i="2"/>
  <c r="F9226" i="2"/>
  <c r="F9227" i="2"/>
  <c r="F9228" i="2"/>
  <c r="F9229" i="2"/>
  <c r="F9230" i="2"/>
  <c r="F9231" i="2"/>
  <c r="F9232" i="2"/>
  <c r="F9233" i="2"/>
  <c r="F9234" i="2"/>
  <c r="F9235" i="2"/>
  <c r="F9236" i="2"/>
  <c r="F9237" i="2"/>
  <c r="F9238" i="2"/>
  <c r="F9239" i="2"/>
  <c r="F9240" i="2"/>
  <c r="F9241" i="2"/>
  <c r="F9242" i="2"/>
  <c r="F9243" i="2"/>
  <c r="F9244" i="2"/>
  <c r="F9245" i="2"/>
  <c r="F9246" i="2"/>
  <c r="F9247" i="2"/>
  <c r="F9248" i="2"/>
  <c r="F9249" i="2"/>
  <c r="F9250" i="2"/>
  <c r="F9251" i="2"/>
  <c r="F9252" i="2"/>
  <c r="F9253" i="2"/>
  <c r="F9254" i="2"/>
  <c r="F9255" i="2"/>
  <c r="F9256" i="2"/>
  <c r="F9257" i="2"/>
  <c r="F9258" i="2"/>
  <c r="F9259" i="2"/>
  <c r="F9260" i="2"/>
  <c r="F9261" i="2"/>
  <c r="F9262" i="2"/>
  <c r="F9263" i="2"/>
  <c r="F9264" i="2"/>
  <c r="F9265" i="2"/>
  <c r="F9266" i="2"/>
  <c r="F9267" i="2"/>
  <c r="F9268" i="2"/>
  <c r="F9269" i="2"/>
  <c r="F9270" i="2"/>
  <c r="F9271" i="2"/>
  <c r="F9272" i="2"/>
  <c r="F9273" i="2"/>
  <c r="F9274" i="2"/>
  <c r="F9275" i="2"/>
  <c r="F9276" i="2"/>
  <c r="F9277" i="2"/>
  <c r="F9278" i="2"/>
  <c r="F9279" i="2"/>
  <c r="F9280" i="2"/>
  <c r="F9281" i="2"/>
  <c r="F9282" i="2"/>
  <c r="F9283" i="2"/>
  <c r="F9284" i="2"/>
  <c r="F9285" i="2"/>
  <c r="F9286" i="2"/>
  <c r="F9287" i="2"/>
  <c r="F9288" i="2"/>
  <c r="F9289" i="2"/>
  <c r="F9290" i="2"/>
  <c r="F9291" i="2"/>
  <c r="F9292" i="2"/>
  <c r="F9293" i="2"/>
  <c r="F9294" i="2"/>
  <c r="F9295" i="2"/>
  <c r="F9296" i="2"/>
  <c r="F9297" i="2"/>
  <c r="F9298" i="2"/>
  <c r="F9299" i="2"/>
  <c r="F9300" i="2"/>
  <c r="F9301" i="2"/>
  <c r="F9302" i="2"/>
  <c r="F9303" i="2"/>
  <c r="F9304" i="2"/>
  <c r="F9305" i="2"/>
  <c r="F9306" i="2"/>
  <c r="F9307" i="2"/>
  <c r="F9308" i="2"/>
  <c r="F9309" i="2"/>
  <c r="F9310" i="2"/>
  <c r="F9311" i="2"/>
  <c r="F9312" i="2"/>
  <c r="F9313" i="2"/>
  <c r="F9314" i="2"/>
  <c r="F9315" i="2"/>
  <c r="F9316" i="2"/>
  <c r="F9317" i="2"/>
  <c r="F9318" i="2"/>
  <c r="F9319" i="2"/>
  <c r="F9320" i="2"/>
  <c r="F9321" i="2"/>
  <c r="F9322" i="2"/>
  <c r="F9323" i="2"/>
  <c r="F9324" i="2"/>
  <c r="F9325" i="2"/>
  <c r="F9326" i="2"/>
  <c r="F9327" i="2"/>
  <c r="F9328" i="2"/>
  <c r="F9329" i="2"/>
  <c r="F9330" i="2"/>
  <c r="F9331" i="2"/>
  <c r="F9332" i="2"/>
  <c r="F9333" i="2"/>
  <c r="F9334" i="2"/>
  <c r="F9335" i="2"/>
  <c r="F9336" i="2"/>
  <c r="F9337" i="2"/>
  <c r="F9338" i="2"/>
  <c r="F9339" i="2"/>
  <c r="F9340" i="2"/>
  <c r="F9341" i="2"/>
  <c r="F9342" i="2"/>
  <c r="F9343" i="2"/>
  <c r="F9344" i="2"/>
  <c r="F9345" i="2"/>
  <c r="F9346" i="2"/>
  <c r="F9347" i="2"/>
  <c r="F9348" i="2"/>
  <c r="F9349" i="2"/>
  <c r="F9350" i="2"/>
  <c r="F9351" i="2"/>
  <c r="F9352" i="2"/>
  <c r="F9353" i="2"/>
  <c r="F9354" i="2"/>
  <c r="F9355" i="2"/>
  <c r="F9356" i="2"/>
  <c r="F9357" i="2"/>
  <c r="F9358" i="2"/>
  <c r="F9359" i="2"/>
  <c r="F9360" i="2"/>
  <c r="F9361" i="2"/>
  <c r="F9362" i="2"/>
  <c r="F9363" i="2"/>
  <c r="F9364" i="2"/>
  <c r="F9365" i="2"/>
  <c r="F9366" i="2"/>
  <c r="F9367" i="2"/>
  <c r="F9368" i="2"/>
  <c r="F9369" i="2"/>
  <c r="F9370" i="2"/>
  <c r="F9371" i="2"/>
  <c r="F9372" i="2"/>
  <c r="F9373" i="2"/>
  <c r="F9374" i="2"/>
  <c r="F9375" i="2"/>
  <c r="F9376" i="2"/>
  <c r="F9377" i="2"/>
  <c r="F9378" i="2"/>
  <c r="F9379" i="2"/>
  <c r="F9380" i="2"/>
  <c r="F9381" i="2"/>
  <c r="F9382" i="2"/>
  <c r="F9383" i="2"/>
  <c r="F9384" i="2"/>
  <c r="F9385" i="2"/>
  <c r="F9386" i="2"/>
  <c r="F9387" i="2"/>
  <c r="F9388" i="2"/>
  <c r="F9389" i="2"/>
  <c r="F9390" i="2"/>
  <c r="F9391" i="2"/>
  <c r="F9392" i="2"/>
  <c r="F9393" i="2"/>
  <c r="F9394" i="2"/>
  <c r="F9395" i="2"/>
  <c r="F9396" i="2"/>
  <c r="F9397" i="2"/>
  <c r="F9398" i="2"/>
  <c r="F9399" i="2"/>
  <c r="F9400" i="2"/>
  <c r="F9401" i="2"/>
  <c r="F9402" i="2"/>
  <c r="F9403" i="2"/>
  <c r="F9404" i="2"/>
  <c r="F9405" i="2"/>
  <c r="F9406" i="2"/>
  <c r="F9407" i="2"/>
  <c r="F9408" i="2"/>
  <c r="F9409" i="2"/>
  <c r="F9410" i="2"/>
  <c r="F9411" i="2"/>
  <c r="F9412" i="2"/>
  <c r="F9413" i="2"/>
  <c r="F9414" i="2"/>
  <c r="F9415" i="2"/>
  <c r="F9416" i="2"/>
  <c r="F9417" i="2"/>
  <c r="F9418" i="2"/>
  <c r="F9419" i="2"/>
  <c r="F9420" i="2"/>
  <c r="F9421" i="2"/>
  <c r="F9422" i="2"/>
  <c r="F9423" i="2"/>
  <c r="F9424" i="2"/>
  <c r="F9425" i="2"/>
  <c r="F9426" i="2"/>
  <c r="F9427" i="2"/>
  <c r="F9428" i="2"/>
  <c r="F9429" i="2"/>
  <c r="F9430" i="2"/>
  <c r="F9431" i="2"/>
  <c r="F9432" i="2"/>
  <c r="F9433" i="2"/>
  <c r="F9434" i="2"/>
  <c r="F9435" i="2"/>
  <c r="F9436" i="2"/>
  <c r="F9437" i="2"/>
  <c r="F9438" i="2"/>
  <c r="F9439" i="2"/>
  <c r="F9440" i="2"/>
  <c r="F9441" i="2"/>
  <c r="F9442" i="2"/>
  <c r="F9443" i="2"/>
  <c r="F9444" i="2"/>
  <c r="F9445" i="2"/>
  <c r="F9446" i="2"/>
  <c r="F9447" i="2"/>
  <c r="F9448" i="2"/>
  <c r="F9449" i="2"/>
  <c r="F9450" i="2"/>
  <c r="F9451" i="2"/>
  <c r="F9452" i="2"/>
  <c r="F9453" i="2"/>
  <c r="F9454" i="2"/>
  <c r="F9455" i="2"/>
  <c r="F9456" i="2"/>
  <c r="F9457" i="2"/>
  <c r="F9458" i="2"/>
  <c r="F9459" i="2"/>
  <c r="F9460" i="2"/>
  <c r="F9461" i="2"/>
  <c r="F9462" i="2"/>
  <c r="F9463" i="2"/>
  <c r="F9464" i="2"/>
  <c r="F9465" i="2"/>
  <c r="F9466" i="2"/>
  <c r="F9467" i="2"/>
  <c r="F9468" i="2"/>
  <c r="F9469" i="2"/>
  <c r="F9470" i="2"/>
  <c r="F9471" i="2"/>
  <c r="F9472" i="2"/>
  <c r="F9473" i="2"/>
  <c r="F9474" i="2"/>
  <c r="F9475" i="2"/>
  <c r="F9476" i="2"/>
  <c r="F9477" i="2"/>
  <c r="F9478" i="2"/>
  <c r="F9479" i="2"/>
  <c r="F9480" i="2"/>
  <c r="F9481" i="2"/>
  <c r="F9482" i="2"/>
  <c r="F9483" i="2"/>
  <c r="F9484" i="2"/>
  <c r="F9485" i="2"/>
  <c r="F9486" i="2"/>
  <c r="F9487" i="2"/>
  <c r="F9488" i="2"/>
  <c r="F9489" i="2"/>
  <c r="F9490" i="2"/>
  <c r="F9491" i="2"/>
  <c r="F9492" i="2"/>
  <c r="F9493" i="2"/>
  <c r="F9494" i="2"/>
  <c r="F9495" i="2"/>
  <c r="F9496" i="2"/>
  <c r="F9497" i="2"/>
  <c r="F9498" i="2"/>
  <c r="F9499" i="2"/>
  <c r="F9500" i="2"/>
  <c r="F9501" i="2"/>
  <c r="F9502" i="2"/>
  <c r="F9503" i="2"/>
  <c r="F9504" i="2"/>
  <c r="F9505" i="2"/>
  <c r="F9506" i="2"/>
  <c r="F9507" i="2"/>
  <c r="F9508" i="2"/>
  <c r="F9509" i="2"/>
  <c r="F9510" i="2"/>
  <c r="F9511" i="2"/>
  <c r="F9512" i="2"/>
  <c r="F9513" i="2"/>
  <c r="F9514" i="2"/>
  <c r="F9515" i="2"/>
  <c r="F9516" i="2"/>
  <c r="F9517" i="2"/>
  <c r="F9518" i="2"/>
  <c r="F9519" i="2"/>
  <c r="F9520" i="2"/>
  <c r="F9521" i="2"/>
  <c r="F9522" i="2"/>
  <c r="F9523" i="2"/>
  <c r="F9524" i="2"/>
  <c r="F9525" i="2"/>
  <c r="F9526" i="2"/>
  <c r="F9527" i="2"/>
  <c r="F9528" i="2"/>
  <c r="F9529" i="2"/>
  <c r="F9530" i="2"/>
  <c r="F9531" i="2"/>
  <c r="F9532" i="2"/>
  <c r="F9533" i="2"/>
  <c r="F9534" i="2"/>
  <c r="F9535" i="2"/>
  <c r="F9536" i="2"/>
  <c r="F9537" i="2"/>
  <c r="F9538" i="2"/>
  <c r="F9539" i="2"/>
  <c r="F9540" i="2"/>
  <c r="F9541" i="2"/>
  <c r="F9542" i="2"/>
  <c r="F9543" i="2"/>
  <c r="F9544" i="2"/>
  <c r="F9545" i="2"/>
  <c r="F9546" i="2"/>
  <c r="F9547" i="2"/>
  <c r="F9548" i="2"/>
  <c r="F9549" i="2"/>
  <c r="F9550" i="2"/>
  <c r="F9551" i="2"/>
  <c r="F9552" i="2"/>
  <c r="F9553" i="2"/>
  <c r="F9554" i="2"/>
  <c r="F9555" i="2"/>
  <c r="F9556" i="2"/>
  <c r="F9557" i="2"/>
  <c r="F9558" i="2"/>
  <c r="F9559" i="2"/>
  <c r="F9560" i="2"/>
  <c r="F9561" i="2"/>
  <c r="F9562" i="2"/>
  <c r="F9563" i="2"/>
  <c r="F9564" i="2"/>
  <c r="F9565" i="2"/>
  <c r="F9566" i="2"/>
  <c r="F9567" i="2"/>
  <c r="F9568" i="2"/>
  <c r="F9569" i="2"/>
  <c r="F9570" i="2"/>
  <c r="F9571" i="2"/>
  <c r="F9572" i="2"/>
  <c r="F9573" i="2"/>
  <c r="F9574" i="2"/>
  <c r="F9575" i="2"/>
  <c r="F9576" i="2"/>
  <c r="F9577" i="2"/>
  <c r="F9578" i="2"/>
  <c r="F9579" i="2"/>
  <c r="F9580" i="2"/>
  <c r="F9581" i="2"/>
  <c r="F9582" i="2"/>
  <c r="F9583" i="2"/>
  <c r="F9584" i="2"/>
  <c r="F9585" i="2"/>
  <c r="F9586" i="2"/>
  <c r="F9587" i="2"/>
  <c r="F9588" i="2"/>
  <c r="F9589" i="2"/>
  <c r="F9590" i="2"/>
  <c r="F9591" i="2"/>
  <c r="F9592" i="2"/>
  <c r="F9593" i="2"/>
  <c r="F9594" i="2"/>
  <c r="F9595" i="2"/>
  <c r="F9596" i="2"/>
  <c r="F9597" i="2"/>
  <c r="F9598" i="2"/>
  <c r="F9599" i="2"/>
  <c r="F9600" i="2"/>
  <c r="F9601" i="2"/>
  <c r="F9602" i="2"/>
  <c r="F9603" i="2"/>
  <c r="F9604" i="2"/>
  <c r="F9605" i="2"/>
  <c r="F9606" i="2"/>
  <c r="F9607" i="2"/>
  <c r="F9608" i="2"/>
  <c r="F9609" i="2"/>
  <c r="F9610" i="2"/>
  <c r="F9611" i="2"/>
  <c r="F9612" i="2"/>
  <c r="F9613" i="2"/>
  <c r="F9614" i="2"/>
  <c r="F9615" i="2"/>
  <c r="F9616" i="2"/>
  <c r="F9617" i="2"/>
  <c r="F9618" i="2"/>
  <c r="F9619" i="2"/>
  <c r="F9620" i="2"/>
  <c r="F9621" i="2"/>
  <c r="F9622" i="2"/>
  <c r="F9623" i="2"/>
  <c r="F9624" i="2"/>
  <c r="F9625" i="2"/>
  <c r="F9626" i="2"/>
  <c r="F9627" i="2"/>
  <c r="F9628" i="2"/>
  <c r="F9629" i="2"/>
  <c r="F9630" i="2"/>
  <c r="F9631" i="2"/>
  <c r="F9632" i="2"/>
  <c r="F9633" i="2"/>
  <c r="F9634" i="2"/>
  <c r="F9635" i="2"/>
  <c r="F9636" i="2"/>
  <c r="F9637" i="2"/>
  <c r="F9638" i="2"/>
  <c r="F9639" i="2"/>
  <c r="F9640" i="2"/>
  <c r="F9641" i="2"/>
  <c r="F9642" i="2"/>
  <c r="F9643" i="2"/>
  <c r="F9644" i="2"/>
  <c r="F9645" i="2"/>
  <c r="F9646" i="2"/>
  <c r="F9647" i="2"/>
  <c r="F9648" i="2"/>
  <c r="F9649" i="2"/>
  <c r="F9650" i="2"/>
  <c r="F9651" i="2"/>
  <c r="F9652" i="2"/>
  <c r="F9653" i="2"/>
  <c r="F9654" i="2"/>
  <c r="F9655" i="2"/>
  <c r="F9656" i="2"/>
  <c r="F9657" i="2"/>
  <c r="F9658" i="2"/>
  <c r="F9659" i="2"/>
  <c r="F9660" i="2"/>
  <c r="F9661" i="2"/>
  <c r="F9662" i="2"/>
  <c r="F9663" i="2"/>
  <c r="F9664" i="2"/>
  <c r="F9665" i="2"/>
  <c r="F9666" i="2"/>
  <c r="F9667" i="2"/>
  <c r="F9668" i="2"/>
  <c r="F9669" i="2"/>
  <c r="F9670" i="2"/>
  <c r="F9671" i="2"/>
  <c r="F9672" i="2"/>
  <c r="F9673" i="2"/>
  <c r="F9674" i="2"/>
  <c r="F9675" i="2"/>
  <c r="F9676" i="2"/>
  <c r="F9677" i="2"/>
  <c r="F9678" i="2"/>
  <c r="F9679" i="2"/>
  <c r="F9680" i="2"/>
  <c r="F9681" i="2"/>
  <c r="F9682" i="2"/>
  <c r="F9683" i="2"/>
  <c r="F9684" i="2"/>
  <c r="F9685" i="2"/>
  <c r="F9686" i="2"/>
  <c r="F9687" i="2"/>
  <c r="F9688" i="2"/>
  <c r="F9689" i="2"/>
  <c r="F9690" i="2"/>
  <c r="F9691" i="2"/>
  <c r="F9692" i="2"/>
  <c r="F9693" i="2"/>
  <c r="F9694" i="2"/>
  <c r="F9695" i="2"/>
  <c r="F9696" i="2"/>
  <c r="F9697" i="2"/>
  <c r="F9698" i="2"/>
  <c r="F9699" i="2"/>
  <c r="F9700" i="2"/>
  <c r="F9701" i="2"/>
  <c r="F9702" i="2"/>
  <c r="F9703" i="2"/>
  <c r="F9704" i="2"/>
  <c r="F9705" i="2"/>
  <c r="F9706" i="2"/>
  <c r="F9707" i="2"/>
  <c r="F9708" i="2"/>
  <c r="F9709" i="2"/>
  <c r="F9710" i="2"/>
  <c r="F9711" i="2"/>
  <c r="F9712" i="2"/>
  <c r="F9713" i="2"/>
  <c r="F9714" i="2"/>
  <c r="F9715" i="2"/>
  <c r="F9716" i="2"/>
  <c r="F9717" i="2"/>
  <c r="F9718" i="2"/>
  <c r="F9719" i="2"/>
  <c r="F9720" i="2"/>
  <c r="F9721" i="2"/>
  <c r="F9722" i="2"/>
  <c r="F9723" i="2"/>
  <c r="F9724" i="2"/>
  <c r="F9725" i="2"/>
  <c r="F9726" i="2"/>
  <c r="F9727" i="2"/>
  <c r="F9728" i="2"/>
  <c r="F9729" i="2"/>
  <c r="F9730" i="2"/>
  <c r="F9731" i="2"/>
  <c r="F9732" i="2"/>
  <c r="F9733" i="2"/>
  <c r="F9734" i="2"/>
  <c r="F9735" i="2"/>
  <c r="F9736" i="2"/>
  <c r="F9737" i="2"/>
  <c r="F9738" i="2"/>
  <c r="F9739" i="2"/>
  <c r="F9740" i="2"/>
  <c r="F9741" i="2"/>
  <c r="F9742" i="2"/>
  <c r="F9743" i="2"/>
  <c r="F9744" i="2"/>
  <c r="F9745" i="2"/>
  <c r="F9746" i="2"/>
  <c r="F9747" i="2"/>
  <c r="F9748" i="2"/>
  <c r="F9749" i="2"/>
  <c r="F9750" i="2"/>
  <c r="F9751" i="2"/>
  <c r="F9752" i="2"/>
  <c r="F9753" i="2"/>
  <c r="F9754" i="2"/>
  <c r="F9755" i="2"/>
  <c r="F9756" i="2"/>
  <c r="F9757" i="2"/>
  <c r="F9758" i="2"/>
  <c r="F9759" i="2"/>
  <c r="F9760" i="2"/>
  <c r="F9761" i="2"/>
  <c r="F9762" i="2"/>
  <c r="F9763" i="2"/>
  <c r="F9764" i="2"/>
  <c r="F9765" i="2"/>
  <c r="F9766" i="2"/>
  <c r="F9767" i="2"/>
  <c r="F9768" i="2"/>
  <c r="F9769" i="2"/>
  <c r="F9770" i="2"/>
  <c r="F9771" i="2"/>
  <c r="F9772" i="2"/>
  <c r="F9773" i="2"/>
  <c r="F9774" i="2"/>
  <c r="F9775" i="2"/>
  <c r="F9776" i="2"/>
  <c r="F9777" i="2"/>
  <c r="F9778" i="2"/>
  <c r="F9779" i="2"/>
  <c r="F9780" i="2"/>
  <c r="F9781" i="2"/>
  <c r="F9782" i="2"/>
  <c r="F9783" i="2"/>
  <c r="F9784" i="2"/>
  <c r="F9785" i="2"/>
  <c r="F9786" i="2"/>
  <c r="F9787" i="2"/>
  <c r="F9788" i="2"/>
  <c r="F9789" i="2"/>
  <c r="F9790" i="2"/>
  <c r="F9791" i="2"/>
  <c r="F9792" i="2"/>
  <c r="F9793" i="2"/>
  <c r="F9794" i="2"/>
  <c r="F9795" i="2"/>
  <c r="F9796" i="2"/>
  <c r="F9797" i="2"/>
  <c r="F9798" i="2"/>
  <c r="F9799" i="2"/>
  <c r="F9800" i="2"/>
  <c r="F9801" i="2"/>
  <c r="F9802" i="2"/>
  <c r="F9803" i="2"/>
  <c r="F9804" i="2"/>
  <c r="F9805" i="2"/>
  <c r="F9806" i="2"/>
  <c r="F9807" i="2"/>
  <c r="F9808" i="2"/>
  <c r="F9809" i="2"/>
  <c r="F9810" i="2"/>
  <c r="F9811" i="2"/>
  <c r="F9812" i="2"/>
  <c r="F9813" i="2"/>
  <c r="F9814" i="2"/>
  <c r="F9815" i="2"/>
  <c r="F9816" i="2"/>
  <c r="F9817" i="2"/>
  <c r="F9818" i="2"/>
  <c r="F9819" i="2"/>
  <c r="F9820" i="2"/>
  <c r="F9821" i="2"/>
  <c r="F9822" i="2"/>
  <c r="F9823" i="2"/>
  <c r="F9824" i="2"/>
  <c r="F9825" i="2"/>
  <c r="F9826" i="2"/>
  <c r="F9827" i="2"/>
  <c r="F9828" i="2"/>
  <c r="F9829" i="2"/>
  <c r="F9830" i="2"/>
  <c r="F9831" i="2"/>
  <c r="F9832" i="2"/>
  <c r="F9833" i="2"/>
  <c r="F9834" i="2"/>
  <c r="F9835" i="2"/>
  <c r="F9836" i="2"/>
  <c r="F9837" i="2"/>
  <c r="F9838" i="2"/>
  <c r="F9839" i="2"/>
  <c r="F9840" i="2"/>
  <c r="F9841" i="2"/>
  <c r="F9842" i="2"/>
  <c r="F9843" i="2"/>
  <c r="F9844" i="2"/>
  <c r="F9845" i="2"/>
  <c r="F9846" i="2"/>
  <c r="F9847" i="2"/>
  <c r="F9848" i="2"/>
  <c r="F9849" i="2"/>
  <c r="F9850" i="2"/>
  <c r="F9851" i="2"/>
  <c r="F9852" i="2"/>
  <c r="F9853" i="2"/>
  <c r="F9854" i="2"/>
  <c r="F9855" i="2"/>
  <c r="F9856" i="2"/>
  <c r="F9857" i="2"/>
  <c r="F9858" i="2"/>
  <c r="F9859" i="2"/>
  <c r="F9860" i="2"/>
  <c r="F9861" i="2"/>
  <c r="F9862" i="2"/>
  <c r="F9863" i="2"/>
  <c r="F9864" i="2"/>
  <c r="F9865" i="2"/>
  <c r="F9866" i="2"/>
  <c r="F9867" i="2"/>
  <c r="F9868" i="2"/>
  <c r="F9869" i="2"/>
  <c r="F9870" i="2"/>
  <c r="F9871" i="2"/>
  <c r="F9872" i="2"/>
  <c r="F9873" i="2"/>
  <c r="F9874" i="2"/>
  <c r="F9875" i="2"/>
  <c r="F9876" i="2"/>
  <c r="F9877" i="2"/>
  <c r="F9878" i="2"/>
  <c r="F9879" i="2"/>
  <c r="F9880" i="2"/>
  <c r="F9881" i="2"/>
  <c r="F9882" i="2"/>
  <c r="F9883" i="2"/>
  <c r="F9884" i="2"/>
  <c r="F9885" i="2"/>
  <c r="F9886" i="2"/>
  <c r="F9887" i="2"/>
  <c r="F9888" i="2"/>
  <c r="F9889" i="2"/>
  <c r="F9890" i="2"/>
  <c r="F9891" i="2"/>
  <c r="F9892" i="2"/>
  <c r="F9893" i="2"/>
  <c r="F9894" i="2"/>
  <c r="F9895" i="2"/>
  <c r="F9896" i="2"/>
  <c r="F9897" i="2"/>
  <c r="F9898" i="2"/>
  <c r="F9899" i="2"/>
  <c r="F9900" i="2"/>
  <c r="F9901" i="2"/>
  <c r="F9902" i="2"/>
  <c r="F9903" i="2"/>
  <c r="F9904" i="2"/>
  <c r="F9905" i="2"/>
  <c r="F9906" i="2"/>
  <c r="F9907" i="2"/>
  <c r="F9908" i="2"/>
  <c r="F9909" i="2"/>
  <c r="F9910" i="2"/>
  <c r="F9911" i="2"/>
  <c r="F9912" i="2"/>
  <c r="F9913" i="2"/>
  <c r="F9914" i="2"/>
  <c r="F9915" i="2"/>
  <c r="F9916" i="2"/>
  <c r="F9917" i="2"/>
  <c r="F9918" i="2"/>
  <c r="F9919" i="2"/>
  <c r="F9920" i="2"/>
  <c r="F9921" i="2"/>
  <c r="F9922" i="2"/>
  <c r="F9923" i="2"/>
  <c r="F9924" i="2"/>
  <c r="F9925" i="2"/>
  <c r="F9926" i="2"/>
  <c r="F9927" i="2"/>
  <c r="F9928" i="2"/>
  <c r="F9929" i="2"/>
  <c r="F9930" i="2"/>
  <c r="F9931" i="2"/>
  <c r="F9932" i="2"/>
  <c r="F9933" i="2"/>
  <c r="F9934" i="2"/>
  <c r="F9935" i="2"/>
  <c r="F9936" i="2"/>
  <c r="F9937" i="2"/>
  <c r="F9938" i="2"/>
  <c r="F9939" i="2"/>
  <c r="F9940" i="2"/>
  <c r="F9941" i="2"/>
  <c r="F9942" i="2"/>
  <c r="F9943" i="2"/>
  <c r="F9944" i="2"/>
  <c r="F9945" i="2"/>
  <c r="F9946" i="2"/>
  <c r="F9947" i="2"/>
  <c r="F9948" i="2"/>
  <c r="F9949" i="2"/>
  <c r="F9950" i="2"/>
  <c r="F9951" i="2"/>
  <c r="F9952" i="2"/>
  <c r="F9953" i="2"/>
  <c r="F9954" i="2"/>
  <c r="F9955" i="2"/>
  <c r="F9956" i="2"/>
  <c r="F9957" i="2"/>
  <c r="F9958" i="2"/>
  <c r="F9959" i="2"/>
  <c r="F9960" i="2"/>
  <c r="F9961" i="2"/>
  <c r="F9962" i="2"/>
  <c r="F9963" i="2"/>
  <c r="F9964" i="2"/>
  <c r="F9965" i="2"/>
  <c r="F9966" i="2"/>
  <c r="F9967" i="2"/>
  <c r="F9968" i="2"/>
  <c r="F9969" i="2"/>
  <c r="F9970" i="2"/>
  <c r="F9971" i="2"/>
  <c r="F9972" i="2"/>
  <c r="F9973" i="2"/>
  <c r="F9974" i="2"/>
  <c r="F9975" i="2"/>
  <c r="F9976" i="2"/>
  <c r="F9977" i="2"/>
  <c r="F9978" i="2"/>
  <c r="F9979" i="2"/>
  <c r="F9980" i="2"/>
  <c r="F9981" i="2"/>
  <c r="F9982" i="2"/>
  <c r="F9983" i="2"/>
  <c r="F9984" i="2"/>
  <c r="F9985" i="2"/>
  <c r="F9986" i="2"/>
  <c r="F9987" i="2"/>
  <c r="F9988" i="2"/>
  <c r="F9989" i="2"/>
  <c r="F9990" i="2"/>
  <c r="F9991" i="2"/>
  <c r="F9992" i="2"/>
  <c r="F9993" i="2"/>
  <c r="F9994" i="2"/>
  <c r="F9995" i="2"/>
  <c r="F9996" i="2"/>
  <c r="F9997" i="2"/>
  <c r="F9998" i="2"/>
  <c r="F9999" i="2"/>
  <c r="F10000" i="2"/>
  <c r="F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3205" i="2"/>
  <c r="D3206" i="2"/>
  <c r="D3207" i="2"/>
  <c r="D3208" i="2"/>
  <c r="D3209" i="2"/>
  <c r="D3210" i="2"/>
  <c r="D3211" i="2"/>
  <c r="D3212" i="2"/>
  <c r="D3213" i="2"/>
  <c r="D3214" i="2"/>
  <c r="D3215" i="2"/>
  <c r="D3216" i="2"/>
  <c r="D3217" i="2"/>
  <c r="D3218" i="2"/>
  <c r="D3219" i="2"/>
  <c r="D3220" i="2"/>
  <c r="D3221" i="2"/>
  <c r="D3222" i="2"/>
  <c r="D3223" i="2"/>
  <c r="D3224" i="2"/>
  <c r="D3225" i="2"/>
  <c r="D3226" i="2"/>
  <c r="D3227" i="2"/>
  <c r="D3228" i="2"/>
  <c r="D3229" i="2"/>
  <c r="D3230" i="2"/>
  <c r="D3231" i="2"/>
  <c r="D3232" i="2"/>
  <c r="D3233" i="2"/>
  <c r="D3234" i="2"/>
  <c r="D3235" i="2"/>
  <c r="D3236" i="2"/>
  <c r="D3237" i="2"/>
  <c r="D3238" i="2"/>
  <c r="D3239" i="2"/>
  <c r="D3240" i="2"/>
  <c r="D3241" i="2"/>
  <c r="D3242" i="2"/>
  <c r="D3243" i="2"/>
  <c r="D3244" i="2"/>
  <c r="D3245" i="2"/>
  <c r="D3246" i="2"/>
  <c r="D3247" i="2"/>
  <c r="D3248" i="2"/>
  <c r="D3249" i="2"/>
  <c r="D3250" i="2"/>
  <c r="D3251" i="2"/>
  <c r="D3252" i="2"/>
  <c r="D3253" i="2"/>
  <c r="D3254" i="2"/>
  <c r="D3255" i="2"/>
  <c r="D3256" i="2"/>
  <c r="D3257" i="2"/>
  <c r="D3258" i="2"/>
  <c r="D3259" i="2"/>
  <c r="D3260" i="2"/>
  <c r="D3261" i="2"/>
  <c r="D3262" i="2"/>
  <c r="D3263" i="2"/>
  <c r="D3264" i="2"/>
  <c r="D3265" i="2"/>
  <c r="D3266" i="2"/>
  <c r="D3267" i="2"/>
  <c r="D3268" i="2"/>
  <c r="D3269" i="2"/>
  <c r="D3270" i="2"/>
  <c r="D3271" i="2"/>
  <c r="D3272" i="2"/>
  <c r="D3273" i="2"/>
  <c r="D3274" i="2"/>
  <c r="D3275" i="2"/>
  <c r="D3276" i="2"/>
  <c r="D3277" i="2"/>
  <c r="D3278" i="2"/>
  <c r="D3279" i="2"/>
  <c r="D3280" i="2"/>
  <c r="D3281" i="2"/>
  <c r="D3282" i="2"/>
  <c r="D3283" i="2"/>
  <c r="D3284" i="2"/>
  <c r="D3285" i="2"/>
  <c r="D3286" i="2"/>
  <c r="D3287" i="2"/>
  <c r="D3288" i="2"/>
  <c r="D3289" i="2"/>
  <c r="D3290" i="2"/>
  <c r="D3291" i="2"/>
  <c r="D3292" i="2"/>
  <c r="D3293" i="2"/>
  <c r="D3294" i="2"/>
  <c r="D3295" i="2"/>
  <c r="D3296" i="2"/>
  <c r="D3297" i="2"/>
  <c r="D3298" i="2"/>
  <c r="D3299" i="2"/>
  <c r="D3300" i="2"/>
  <c r="D3301" i="2"/>
  <c r="D3302" i="2"/>
  <c r="D3303" i="2"/>
  <c r="D3304" i="2"/>
  <c r="D3305" i="2"/>
  <c r="D3306" i="2"/>
  <c r="D3307" i="2"/>
  <c r="D3308" i="2"/>
  <c r="D3309" i="2"/>
  <c r="D3310" i="2"/>
  <c r="D3311" i="2"/>
  <c r="D3312" i="2"/>
  <c r="D3313" i="2"/>
  <c r="D3314" i="2"/>
  <c r="D3315" i="2"/>
  <c r="D3316" i="2"/>
  <c r="D3317" i="2"/>
  <c r="D3318" i="2"/>
  <c r="D3319" i="2"/>
  <c r="D3320" i="2"/>
  <c r="D3321" i="2"/>
  <c r="D3322" i="2"/>
  <c r="D3323" i="2"/>
  <c r="D3324" i="2"/>
  <c r="D3325" i="2"/>
  <c r="D3326" i="2"/>
  <c r="D3327" i="2"/>
  <c r="D3328" i="2"/>
  <c r="D3329" i="2"/>
  <c r="D3330" i="2"/>
  <c r="D3331" i="2"/>
  <c r="D3332" i="2"/>
  <c r="D3333" i="2"/>
  <c r="D3334" i="2"/>
  <c r="D3335" i="2"/>
  <c r="D3336" i="2"/>
  <c r="D3337" i="2"/>
  <c r="D3338" i="2"/>
  <c r="D3339" i="2"/>
  <c r="D3340" i="2"/>
  <c r="D3341" i="2"/>
  <c r="D3342" i="2"/>
  <c r="D3343" i="2"/>
  <c r="D3344" i="2"/>
  <c r="D3345" i="2"/>
  <c r="D3346" i="2"/>
  <c r="D3347" i="2"/>
  <c r="D3348" i="2"/>
  <c r="D3349" i="2"/>
  <c r="D3350" i="2"/>
  <c r="D3351" i="2"/>
  <c r="D3352" i="2"/>
  <c r="D3353" i="2"/>
  <c r="D3354" i="2"/>
  <c r="D3355" i="2"/>
  <c r="D3356" i="2"/>
  <c r="D3357" i="2"/>
  <c r="D3358" i="2"/>
  <c r="D3359" i="2"/>
  <c r="D3360" i="2"/>
  <c r="D3361" i="2"/>
  <c r="D3362" i="2"/>
  <c r="D3363" i="2"/>
  <c r="D3364" i="2"/>
  <c r="D3365" i="2"/>
  <c r="D3366" i="2"/>
  <c r="D3367" i="2"/>
  <c r="D3368" i="2"/>
  <c r="D3369" i="2"/>
  <c r="D3370" i="2"/>
  <c r="D3371" i="2"/>
  <c r="D3372" i="2"/>
  <c r="D3373" i="2"/>
  <c r="D3374" i="2"/>
  <c r="D3375" i="2"/>
  <c r="D3376" i="2"/>
  <c r="D3377" i="2"/>
  <c r="D3378" i="2"/>
  <c r="D3379" i="2"/>
  <c r="D3380" i="2"/>
  <c r="D3381" i="2"/>
  <c r="D3382" i="2"/>
  <c r="D3383" i="2"/>
  <c r="D3384" i="2"/>
  <c r="D3385" i="2"/>
  <c r="D3386" i="2"/>
  <c r="D3387" i="2"/>
  <c r="D3388" i="2"/>
  <c r="D3389" i="2"/>
  <c r="D3390" i="2"/>
  <c r="D3391" i="2"/>
  <c r="D3392" i="2"/>
  <c r="D3393" i="2"/>
  <c r="D3394" i="2"/>
  <c r="D3395" i="2"/>
  <c r="D3396" i="2"/>
  <c r="D3397" i="2"/>
  <c r="D3398" i="2"/>
  <c r="D3399" i="2"/>
  <c r="D3400" i="2"/>
  <c r="D3401" i="2"/>
  <c r="D3402" i="2"/>
  <c r="D3403" i="2"/>
  <c r="D3404" i="2"/>
  <c r="D3405" i="2"/>
  <c r="D3406" i="2"/>
  <c r="D3407" i="2"/>
  <c r="D3408" i="2"/>
  <c r="D3409" i="2"/>
  <c r="D3410" i="2"/>
  <c r="D3411" i="2"/>
  <c r="D3412" i="2"/>
  <c r="D3413" i="2"/>
  <c r="D3414" i="2"/>
  <c r="D3415" i="2"/>
  <c r="D3416" i="2"/>
  <c r="D3417" i="2"/>
  <c r="D3418" i="2"/>
  <c r="D3419" i="2"/>
  <c r="D3420" i="2"/>
  <c r="D3421" i="2"/>
  <c r="D3422" i="2"/>
  <c r="D3423" i="2"/>
  <c r="D3424" i="2"/>
  <c r="D3425" i="2"/>
  <c r="D3426" i="2"/>
  <c r="D3427" i="2"/>
  <c r="D3428" i="2"/>
  <c r="D3429" i="2"/>
  <c r="D3430" i="2"/>
  <c r="D3431" i="2"/>
  <c r="D3432" i="2"/>
  <c r="D3433" i="2"/>
  <c r="D3434" i="2"/>
  <c r="D3435" i="2"/>
  <c r="D3436" i="2"/>
  <c r="D3437" i="2"/>
  <c r="D3438" i="2"/>
  <c r="D3439" i="2"/>
  <c r="D3440" i="2"/>
  <c r="D3441" i="2"/>
  <c r="D3442" i="2"/>
  <c r="D3443" i="2"/>
  <c r="D3444" i="2"/>
  <c r="D3445" i="2"/>
  <c r="D3446" i="2"/>
  <c r="D3447" i="2"/>
  <c r="D3448" i="2"/>
  <c r="D3449" i="2"/>
  <c r="D3450" i="2"/>
  <c r="D3451" i="2"/>
  <c r="D3452" i="2"/>
  <c r="D3453" i="2"/>
  <c r="D3454" i="2"/>
  <c r="D3455" i="2"/>
  <c r="D3456" i="2"/>
  <c r="D3457" i="2"/>
  <c r="D3458" i="2"/>
  <c r="D3459" i="2"/>
  <c r="D3460" i="2"/>
  <c r="D3461" i="2"/>
  <c r="D3462" i="2"/>
  <c r="D3463" i="2"/>
  <c r="D3464" i="2"/>
  <c r="D3465" i="2"/>
  <c r="D3466" i="2"/>
  <c r="D3467" i="2"/>
  <c r="D3468" i="2"/>
  <c r="D3469" i="2"/>
  <c r="D3470" i="2"/>
  <c r="D3471" i="2"/>
  <c r="D3472" i="2"/>
  <c r="D3473" i="2"/>
  <c r="D3474" i="2"/>
  <c r="D3475" i="2"/>
  <c r="D3476" i="2"/>
  <c r="D3477" i="2"/>
  <c r="D3478" i="2"/>
  <c r="D3479" i="2"/>
  <c r="D3480" i="2"/>
  <c r="D3481" i="2"/>
  <c r="D3482" i="2"/>
  <c r="D3483" i="2"/>
  <c r="D3484" i="2"/>
  <c r="D3485" i="2"/>
  <c r="D3486" i="2"/>
  <c r="D3487" i="2"/>
  <c r="D3488" i="2"/>
  <c r="D3489" i="2"/>
  <c r="D3490" i="2"/>
  <c r="D3491" i="2"/>
  <c r="D3492" i="2"/>
  <c r="D3493" i="2"/>
  <c r="D3494" i="2"/>
  <c r="D3495" i="2"/>
  <c r="D3496" i="2"/>
  <c r="D3497" i="2"/>
  <c r="D3498" i="2"/>
  <c r="D3499" i="2"/>
  <c r="D3500" i="2"/>
  <c r="D3501" i="2"/>
  <c r="D3502" i="2"/>
  <c r="D3503" i="2"/>
  <c r="D3504" i="2"/>
  <c r="D3505" i="2"/>
  <c r="D3506" i="2"/>
  <c r="D3507" i="2"/>
  <c r="D3508" i="2"/>
  <c r="D3509" i="2"/>
  <c r="D3510" i="2"/>
  <c r="D3511" i="2"/>
  <c r="D3512" i="2"/>
  <c r="D3513" i="2"/>
  <c r="D3514" i="2"/>
  <c r="D3515" i="2"/>
  <c r="D3516" i="2"/>
  <c r="D3517" i="2"/>
  <c r="D3518" i="2"/>
  <c r="D3519" i="2"/>
  <c r="D3520" i="2"/>
  <c r="D3521" i="2"/>
  <c r="D3522" i="2"/>
  <c r="D3523" i="2"/>
  <c r="D3524" i="2"/>
  <c r="D3525" i="2"/>
  <c r="D3526" i="2"/>
  <c r="D3527" i="2"/>
  <c r="D3528" i="2"/>
  <c r="D3529" i="2"/>
  <c r="D3530" i="2"/>
  <c r="D3531" i="2"/>
  <c r="D3532" i="2"/>
  <c r="D3533" i="2"/>
  <c r="D3534" i="2"/>
  <c r="D3535" i="2"/>
  <c r="D3536" i="2"/>
  <c r="D3537" i="2"/>
  <c r="D3538" i="2"/>
  <c r="D3539" i="2"/>
  <c r="D3540" i="2"/>
  <c r="D3541" i="2"/>
  <c r="D3542" i="2"/>
  <c r="D3543" i="2"/>
  <c r="D3544" i="2"/>
  <c r="D3545" i="2"/>
  <c r="D3546" i="2"/>
  <c r="D3547" i="2"/>
  <c r="D3548" i="2"/>
  <c r="D3549" i="2"/>
  <c r="D3550" i="2"/>
  <c r="D3551" i="2"/>
  <c r="D3552" i="2"/>
  <c r="D3553" i="2"/>
  <c r="D3554" i="2"/>
  <c r="D3555" i="2"/>
  <c r="D3556" i="2"/>
  <c r="D3557" i="2"/>
  <c r="D3558" i="2"/>
  <c r="D3559" i="2"/>
  <c r="D3560" i="2"/>
  <c r="D3561" i="2"/>
  <c r="D3562" i="2"/>
  <c r="D3563" i="2"/>
  <c r="D3564" i="2"/>
  <c r="D3565" i="2"/>
  <c r="D3566" i="2"/>
  <c r="D3567" i="2"/>
  <c r="D3568" i="2"/>
  <c r="D3569" i="2"/>
  <c r="D3570" i="2"/>
  <c r="D3571" i="2"/>
  <c r="D3572" i="2"/>
  <c r="D3573" i="2"/>
  <c r="D3574" i="2"/>
  <c r="D3575" i="2"/>
  <c r="D3576" i="2"/>
  <c r="D3577" i="2"/>
  <c r="D3578" i="2"/>
  <c r="D3579" i="2"/>
  <c r="D3580" i="2"/>
  <c r="D3581" i="2"/>
  <c r="D3582" i="2"/>
  <c r="D3583" i="2"/>
  <c r="D3584" i="2"/>
  <c r="D3585" i="2"/>
  <c r="D3586" i="2"/>
  <c r="D3587" i="2"/>
  <c r="D3588" i="2"/>
  <c r="D3589" i="2"/>
  <c r="D3590" i="2"/>
  <c r="D3591" i="2"/>
  <c r="D3592" i="2"/>
  <c r="D3593" i="2"/>
  <c r="D3594" i="2"/>
  <c r="D3595" i="2"/>
  <c r="D3596" i="2"/>
  <c r="D3597" i="2"/>
  <c r="D3598" i="2"/>
  <c r="D3599" i="2"/>
  <c r="D3600" i="2"/>
  <c r="D3601" i="2"/>
  <c r="D3602" i="2"/>
  <c r="D3603" i="2"/>
  <c r="D3604" i="2"/>
  <c r="D3605" i="2"/>
  <c r="D3606" i="2"/>
  <c r="D3607" i="2"/>
  <c r="D3608" i="2"/>
  <c r="D3609" i="2"/>
  <c r="D3610" i="2"/>
  <c r="D3611" i="2"/>
  <c r="D3612" i="2"/>
  <c r="D3613" i="2"/>
  <c r="D3614" i="2"/>
  <c r="D3615" i="2"/>
  <c r="D3616" i="2"/>
  <c r="D3617" i="2"/>
  <c r="D3618" i="2"/>
  <c r="D3619" i="2"/>
  <c r="D3620" i="2"/>
  <c r="D3621" i="2"/>
  <c r="D3622" i="2"/>
  <c r="D3623" i="2"/>
  <c r="D3624" i="2"/>
  <c r="D3625" i="2"/>
  <c r="D3626" i="2"/>
  <c r="D3627" i="2"/>
  <c r="D3628" i="2"/>
  <c r="D3629" i="2"/>
  <c r="D3630" i="2"/>
  <c r="D3631" i="2"/>
  <c r="D3632" i="2"/>
  <c r="D3633" i="2"/>
  <c r="D3634" i="2"/>
  <c r="D3635" i="2"/>
  <c r="D3636" i="2"/>
  <c r="D3637" i="2"/>
  <c r="D3638" i="2"/>
  <c r="D3639" i="2"/>
  <c r="D3640" i="2"/>
  <c r="D3641" i="2"/>
  <c r="D3642" i="2"/>
  <c r="D3643" i="2"/>
  <c r="D3644" i="2"/>
  <c r="D3645" i="2"/>
  <c r="D3646" i="2"/>
  <c r="D3647" i="2"/>
  <c r="D3648" i="2"/>
  <c r="D3649" i="2"/>
  <c r="D3650" i="2"/>
  <c r="D3651" i="2"/>
  <c r="D3652" i="2"/>
  <c r="D3653" i="2"/>
  <c r="D3654" i="2"/>
  <c r="D3655" i="2"/>
  <c r="D3656" i="2"/>
  <c r="D3657" i="2"/>
  <c r="D3658" i="2"/>
  <c r="D3659" i="2"/>
  <c r="D3660" i="2"/>
  <c r="D3661" i="2"/>
  <c r="D3662" i="2"/>
  <c r="D3663" i="2"/>
  <c r="D3664" i="2"/>
  <c r="D3665" i="2"/>
  <c r="D3666" i="2"/>
  <c r="D3667" i="2"/>
  <c r="D3668" i="2"/>
  <c r="D3669" i="2"/>
  <c r="D3670" i="2"/>
  <c r="D3671" i="2"/>
  <c r="D3672" i="2"/>
  <c r="D3673" i="2"/>
  <c r="D3674" i="2"/>
  <c r="D3675" i="2"/>
  <c r="D3676" i="2"/>
  <c r="D3677" i="2"/>
  <c r="D3678" i="2"/>
  <c r="D3679" i="2"/>
  <c r="D3680" i="2"/>
  <c r="D3681" i="2"/>
  <c r="D3682" i="2"/>
  <c r="D3683" i="2"/>
  <c r="D3684" i="2"/>
  <c r="D3685" i="2"/>
  <c r="D3686" i="2"/>
  <c r="D3687" i="2"/>
  <c r="D3688" i="2"/>
  <c r="D3689" i="2"/>
  <c r="D3690" i="2"/>
  <c r="D3691" i="2"/>
  <c r="D3692" i="2"/>
  <c r="D3693" i="2"/>
  <c r="D3694" i="2"/>
  <c r="D3695" i="2"/>
  <c r="D3696" i="2"/>
  <c r="D3697" i="2"/>
  <c r="D3698" i="2"/>
  <c r="D3699" i="2"/>
  <c r="D3700" i="2"/>
  <c r="D3701" i="2"/>
  <c r="D3702" i="2"/>
  <c r="D3703" i="2"/>
  <c r="D3704" i="2"/>
  <c r="D3705" i="2"/>
  <c r="D3706" i="2"/>
  <c r="D3707" i="2"/>
  <c r="D3708" i="2"/>
  <c r="D3709" i="2"/>
  <c r="D3710" i="2"/>
  <c r="D3711" i="2"/>
  <c r="D3712" i="2"/>
  <c r="D3713" i="2"/>
  <c r="D3714" i="2"/>
  <c r="D3715" i="2"/>
  <c r="D3716" i="2"/>
  <c r="D3717" i="2"/>
  <c r="D3718" i="2"/>
  <c r="D3719" i="2"/>
  <c r="D3720" i="2"/>
  <c r="D3721" i="2"/>
  <c r="D3722" i="2"/>
  <c r="D3723" i="2"/>
  <c r="D3724" i="2"/>
  <c r="D3725" i="2"/>
  <c r="D3726" i="2"/>
  <c r="D3727" i="2"/>
  <c r="D3728" i="2"/>
  <c r="D3729" i="2"/>
  <c r="D3730" i="2"/>
  <c r="D3731" i="2"/>
  <c r="D3732" i="2"/>
  <c r="D3733" i="2"/>
  <c r="D3734" i="2"/>
  <c r="D3735" i="2"/>
  <c r="D3736" i="2"/>
  <c r="D3737" i="2"/>
  <c r="D3738" i="2"/>
  <c r="D3739" i="2"/>
  <c r="D3740" i="2"/>
  <c r="D3741" i="2"/>
  <c r="D3742" i="2"/>
  <c r="D3743" i="2"/>
  <c r="D3744" i="2"/>
  <c r="D3745" i="2"/>
  <c r="D3746" i="2"/>
  <c r="D3747" i="2"/>
  <c r="D3748" i="2"/>
  <c r="D3749" i="2"/>
  <c r="D3750" i="2"/>
  <c r="D3751" i="2"/>
  <c r="D3752" i="2"/>
  <c r="D3753" i="2"/>
  <c r="D3754" i="2"/>
  <c r="D3755" i="2"/>
  <c r="D3756" i="2"/>
  <c r="D3757" i="2"/>
  <c r="D3758" i="2"/>
  <c r="D3759" i="2"/>
  <c r="D3760" i="2"/>
  <c r="D3761" i="2"/>
  <c r="D3762" i="2"/>
  <c r="D3763" i="2"/>
  <c r="D3764" i="2"/>
  <c r="D3765" i="2"/>
  <c r="D3766" i="2"/>
  <c r="D3767" i="2"/>
  <c r="D3768" i="2"/>
  <c r="D3769" i="2"/>
  <c r="D3770" i="2"/>
  <c r="D3771" i="2"/>
  <c r="D3772" i="2"/>
  <c r="D3773" i="2"/>
  <c r="D3774" i="2"/>
  <c r="D3775" i="2"/>
  <c r="D3776" i="2"/>
  <c r="D3777" i="2"/>
  <c r="D3778" i="2"/>
  <c r="D3779" i="2"/>
  <c r="D3780" i="2"/>
  <c r="D3781" i="2"/>
  <c r="D3782" i="2"/>
  <c r="D3783" i="2"/>
  <c r="D3784" i="2"/>
  <c r="D3785" i="2"/>
  <c r="D3786" i="2"/>
  <c r="D3787" i="2"/>
  <c r="D3788" i="2"/>
  <c r="D3789" i="2"/>
  <c r="D3790" i="2"/>
  <c r="D3791" i="2"/>
  <c r="D3792" i="2"/>
  <c r="D3793" i="2"/>
  <c r="D3794" i="2"/>
  <c r="D3795" i="2"/>
  <c r="D3796" i="2"/>
  <c r="D3797" i="2"/>
  <c r="D3798" i="2"/>
  <c r="D3799" i="2"/>
  <c r="D3800" i="2"/>
  <c r="D3801" i="2"/>
  <c r="D3802" i="2"/>
  <c r="D3803" i="2"/>
  <c r="D3804" i="2"/>
  <c r="D3805" i="2"/>
  <c r="D3806" i="2"/>
  <c r="D3807" i="2"/>
  <c r="D3808" i="2"/>
  <c r="D3809" i="2"/>
  <c r="D3810" i="2"/>
  <c r="D3811" i="2"/>
  <c r="D3812" i="2"/>
  <c r="D3813" i="2"/>
  <c r="D3814" i="2"/>
  <c r="D3815" i="2"/>
  <c r="D3816" i="2"/>
  <c r="D3817" i="2"/>
  <c r="D3818" i="2"/>
  <c r="D3819" i="2"/>
  <c r="D3820" i="2"/>
  <c r="D3821" i="2"/>
  <c r="D3822" i="2"/>
  <c r="D3823" i="2"/>
  <c r="D3824" i="2"/>
  <c r="D3825" i="2"/>
  <c r="D3826" i="2"/>
  <c r="D3827" i="2"/>
  <c r="D3828" i="2"/>
  <c r="D3829" i="2"/>
  <c r="D3830" i="2"/>
  <c r="D3831" i="2"/>
  <c r="D3832" i="2"/>
  <c r="D3833" i="2"/>
  <c r="D3834" i="2"/>
  <c r="D3835" i="2"/>
  <c r="D3836" i="2"/>
  <c r="D3837" i="2"/>
  <c r="D3838" i="2"/>
  <c r="D3839" i="2"/>
  <c r="D3840" i="2"/>
  <c r="D3841" i="2"/>
  <c r="D3842" i="2"/>
  <c r="D3843" i="2"/>
  <c r="D3844" i="2"/>
  <c r="D3845" i="2"/>
  <c r="D3846" i="2"/>
  <c r="D3847" i="2"/>
  <c r="D3848" i="2"/>
  <c r="D3849" i="2"/>
  <c r="D3850" i="2"/>
  <c r="D3851" i="2"/>
  <c r="D3852" i="2"/>
  <c r="D3853" i="2"/>
  <c r="D3854" i="2"/>
  <c r="D3855" i="2"/>
  <c r="D3856" i="2"/>
  <c r="D3857" i="2"/>
  <c r="D3858" i="2"/>
  <c r="D3859" i="2"/>
  <c r="D3860" i="2"/>
  <c r="D3861" i="2"/>
  <c r="D3862" i="2"/>
  <c r="D3863" i="2"/>
  <c r="D3864" i="2"/>
  <c r="D3865" i="2"/>
  <c r="D3866" i="2"/>
  <c r="D3867" i="2"/>
  <c r="D3868" i="2"/>
  <c r="D3869" i="2"/>
  <c r="D3870" i="2"/>
  <c r="D3871" i="2"/>
  <c r="D3872" i="2"/>
  <c r="D3873" i="2"/>
  <c r="D3874" i="2"/>
  <c r="D3875" i="2"/>
  <c r="D3876" i="2"/>
  <c r="D3877" i="2"/>
  <c r="D3878" i="2"/>
  <c r="D3879" i="2"/>
  <c r="D3880" i="2"/>
  <c r="D3881" i="2"/>
  <c r="D3882" i="2"/>
  <c r="D3883" i="2"/>
  <c r="D3884" i="2"/>
  <c r="D3885" i="2"/>
  <c r="D3886" i="2"/>
  <c r="D3887" i="2"/>
  <c r="D3888" i="2"/>
  <c r="D3889" i="2"/>
  <c r="D3890" i="2"/>
  <c r="D3891" i="2"/>
  <c r="D3892" i="2"/>
  <c r="D3893" i="2"/>
  <c r="D3894" i="2"/>
  <c r="D3895" i="2"/>
  <c r="D3896" i="2"/>
  <c r="D3897" i="2"/>
  <c r="D3898" i="2"/>
  <c r="D3899" i="2"/>
  <c r="D3900" i="2"/>
  <c r="D3901" i="2"/>
  <c r="D3902" i="2"/>
  <c r="D3903" i="2"/>
  <c r="D3904" i="2"/>
  <c r="D3905" i="2"/>
  <c r="D3906" i="2"/>
  <c r="D3907" i="2"/>
  <c r="D3908" i="2"/>
  <c r="D3909" i="2"/>
  <c r="D3910" i="2"/>
  <c r="D3911" i="2"/>
  <c r="D3912" i="2"/>
  <c r="D3913" i="2"/>
  <c r="D3914" i="2"/>
  <c r="D3915" i="2"/>
  <c r="D3916" i="2"/>
  <c r="D3917" i="2"/>
  <c r="D3918" i="2"/>
  <c r="D3919" i="2"/>
  <c r="D3920" i="2"/>
  <c r="D3921" i="2"/>
  <c r="D3922" i="2"/>
  <c r="D3923" i="2"/>
  <c r="D3924" i="2"/>
  <c r="D3925" i="2"/>
  <c r="D3926" i="2"/>
  <c r="D3927" i="2"/>
  <c r="D3928" i="2"/>
  <c r="D3929" i="2"/>
  <c r="D3930" i="2"/>
  <c r="D3931" i="2"/>
  <c r="D3932" i="2"/>
  <c r="D3933" i="2"/>
  <c r="D3934" i="2"/>
  <c r="D3935" i="2"/>
  <c r="D3936" i="2"/>
  <c r="D3937" i="2"/>
  <c r="D3938" i="2"/>
  <c r="D3939" i="2"/>
  <c r="D3940" i="2"/>
  <c r="D3941" i="2"/>
  <c r="D3942" i="2"/>
  <c r="D3943" i="2"/>
  <c r="D3944" i="2"/>
  <c r="D3945" i="2"/>
  <c r="D3946" i="2"/>
  <c r="D3947" i="2"/>
  <c r="D3948" i="2"/>
  <c r="D3949" i="2"/>
  <c r="D3950" i="2"/>
  <c r="D3951" i="2"/>
  <c r="D3952" i="2"/>
  <c r="D3953" i="2"/>
  <c r="D3954" i="2"/>
  <c r="D3955" i="2"/>
  <c r="D3956" i="2"/>
  <c r="D3957" i="2"/>
  <c r="D3958" i="2"/>
  <c r="D3959" i="2"/>
  <c r="D3960" i="2"/>
  <c r="D3961" i="2"/>
  <c r="D3962" i="2"/>
  <c r="D3963" i="2"/>
  <c r="D3964" i="2"/>
  <c r="D3965" i="2"/>
  <c r="D3966" i="2"/>
  <c r="D3967" i="2"/>
  <c r="D3968" i="2"/>
  <c r="D3969" i="2"/>
  <c r="D3970" i="2"/>
  <c r="D3971" i="2"/>
  <c r="D3972" i="2"/>
  <c r="D3973" i="2"/>
  <c r="D3974" i="2"/>
  <c r="D3975" i="2"/>
  <c r="D3976" i="2"/>
  <c r="D3977" i="2"/>
  <c r="D3978" i="2"/>
  <c r="D3979" i="2"/>
  <c r="D3980" i="2"/>
  <c r="D3981" i="2"/>
  <c r="D3982" i="2"/>
  <c r="D3983" i="2"/>
  <c r="D3984" i="2"/>
  <c r="D3985" i="2"/>
  <c r="D3986" i="2"/>
  <c r="D3987" i="2"/>
  <c r="D3988" i="2"/>
  <c r="D3989" i="2"/>
  <c r="D3990" i="2"/>
  <c r="D3991" i="2"/>
  <c r="D3992" i="2"/>
  <c r="D3993" i="2"/>
  <c r="D3994" i="2"/>
  <c r="D3995" i="2"/>
  <c r="D3996" i="2"/>
  <c r="D3997" i="2"/>
  <c r="D3998" i="2"/>
  <c r="D3999" i="2"/>
  <c r="D4000" i="2"/>
  <c r="D4001" i="2"/>
  <c r="D4002" i="2"/>
  <c r="D4003" i="2"/>
  <c r="D4004" i="2"/>
  <c r="D4005" i="2"/>
  <c r="D4006" i="2"/>
  <c r="D4007" i="2"/>
  <c r="D4008" i="2"/>
  <c r="D4009" i="2"/>
  <c r="D4010" i="2"/>
  <c r="D4011" i="2"/>
  <c r="D4012" i="2"/>
  <c r="D4013" i="2"/>
  <c r="D4014" i="2"/>
  <c r="D4015" i="2"/>
  <c r="D4016" i="2"/>
  <c r="D4017" i="2"/>
  <c r="D4018" i="2"/>
  <c r="D4019" i="2"/>
  <c r="D4020" i="2"/>
  <c r="D4021" i="2"/>
  <c r="D4022" i="2"/>
  <c r="D4023" i="2"/>
  <c r="D4024" i="2"/>
  <c r="D4025" i="2"/>
  <c r="D4026" i="2"/>
  <c r="D4027" i="2"/>
  <c r="D4028" i="2"/>
  <c r="D4029" i="2"/>
  <c r="D4030" i="2"/>
  <c r="D4031" i="2"/>
  <c r="D4032" i="2"/>
  <c r="D4033" i="2"/>
  <c r="D4034" i="2"/>
  <c r="D4035" i="2"/>
  <c r="D4036" i="2"/>
  <c r="D4037" i="2"/>
  <c r="D4038" i="2"/>
  <c r="D4039" i="2"/>
  <c r="D4040" i="2"/>
  <c r="D4041" i="2"/>
  <c r="D4042" i="2"/>
  <c r="D4043" i="2"/>
  <c r="D4044" i="2"/>
  <c r="D4045" i="2"/>
  <c r="D4046" i="2"/>
  <c r="D4047" i="2"/>
  <c r="D4048" i="2"/>
  <c r="D4049" i="2"/>
  <c r="D4050" i="2"/>
  <c r="D4051" i="2"/>
  <c r="D4052" i="2"/>
  <c r="D4053" i="2"/>
  <c r="D4054" i="2"/>
  <c r="D4055" i="2"/>
  <c r="D4056" i="2"/>
  <c r="D4057" i="2"/>
  <c r="D4058" i="2"/>
  <c r="D4059" i="2"/>
  <c r="D4060" i="2"/>
  <c r="D4061" i="2"/>
  <c r="D4062" i="2"/>
  <c r="D4063" i="2"/>
  <c r="D4064" i="2"/>
  <c r="D4065" i="2"/>
  <c r="D4066" i="2"/>
  <c r="D4067" i="2"/>
  <c r="D4068" i="2"/>
  <c r="D4069" i="2"/>
  <c r="D4070" i="2"/>
  <c r="D4071" i="2"/>
  <c r="D4072" i="2"/>
  <c r="D4073" i="2"/>
  <c r="D4074" i="2"/>
  <c r="D4075" i="2"/>
  <c r="D4076" i="2"/>
  <c r="D4077" i="2"/>
  <c r="D4078" i="2"/>
  <c r="D4079" i="2"/>
  <c r="D4080" i="2"/>
  <c r="D4081" i="2"/>
  <c r="D4082" i="2"/>
  <c r="D4083" i="2"/>
  <c r="D4084" i="2"/>
  <c r="D4085" i="2"/>
  <c r="D4086" i="2"/>
  <c r="D4087" i="2"/>
  <c r="D4088" i="2"/>
  <c r="D4089" i="2"/>
  <c r="D4090" i="2"/>
  <c r="D4091" i="2"/>
  <c r="D4092" i="2"/>
  <c r="D4093" i="2"/>
  <c r="D4094" i="2"/>
  <c r="D4095" i="2"/>
  <c r="D4096" i="2"/>
  <c r="D4097" i="2"/>
  <c r="D4098" i="2"/>
  <c r="D4099" i="2"/>
  <c r="D4100" i="2"/>
  <c r="D4101" i="2"/>
  <c r="D4102" i="2"/>
  <c r="D4103" i="2"/>
  <c r="D4104" i="2"/>
  <c r="D4105" i="2"/>
  <c r="D4106" i="2"/>
  <c r="D4107" i="2"/>
  <c r="D4108" i="2"/>
  <c r="D4109" i="2"/>
  <c r="D4110" i="2"/>
  <c r="D4111" i="2"/>
  <c r="D4112" i="2"/>
  <c r="D4113" i="2"/>
  <c r="D4114" i="2"/>
  <c r="D4115" i="2"/>
  <c r="D4116" i="2"/>
  <c r="D4117" i="2"/>
  <c r="D4118" i="2"/>
  <c r="D4119" i="2"/>
  <c r="D4120" i="2"/>
  <c r="D4121" i="2"/>
  <c r="D4122" i="2"/>
  <c r="D4123" i="2"/>
  <c r="D4124" i="2"/>
  <c r="D4125" i="2"/>
  <c r="D4126" i="2"/>
  <c r="D4127" i="2"/>
  <c r="D4128" i="2"/>
  <c r="D4129" i="2"/>
  <c r="D4130" i="2"/>
  <c r="D4131" i="2"/>
  <c r="D4132" i="2"/>
  <c r="D4133" i="2"/>
  <c r="D4134" i="2"/>
  <c r="D4135" i="2"/>
  <c r="D4136" i="2"/>
  <c r="D4137" i="2"/>
  <c r="D4138" i="2"/>
  <c r="D4139" i="2"/>
  <c r="D4140" i="2"/>
  <c r="D4141" i="2"/>
  <c r="D4142" i="2"/>
  <c r="D4143" i="2"/>
  <c r="D4144" i="2"/>
  <c r="D4145" i="2"/>
  <c r="D4146" i="2"/>
  <c r="D4147" i="2"/>
  <c r="D4148" i="2"/>
  <c r="D4149" i="2"/>
  <c r="D4150" i="2"/>
  <c r="D4151" i="2"/>
  <c r="D4152" i="2"/>
  <c r="D4153" i="2"/>
  <c r="D4154" i="2"/>
  <c r="D4155" i="2"/>
  <c r="D4156" i="2"/>
  <c r="D4157" i="2"/>
  <c r="D4158" i="2"/>
  <c r="D4159" i="2"/>
  <c r="D4160" i="2"/>
  <c r="D4161" i="2"/>
  <c r="D4162" i="2"/>
  <c r="D4163" i="2"/>
  <c r="D4164" i="2"/>
  <c r="D4165" i="2"/>
  <c r="D4166" i="2"/>
  <c r="D4167" i="2"/>
  <c r="D4168" i="2"/>
  <c r="D4169" i="2"/>
  <c r="D4170" i="2"/>
  <c r="D4171" i="2"/>
  <c r="D4172" i="2"/>
  <c r="D4173" i="2"/>
  <c r="D4174" i="2"/>
  <c r="D4175" i="2"/>
  <c r="D4176" i="2"/>
  <c r="D4177" i="2"/>
  <c r="D4178" i="2"/>
  <c r="D4179" i="2"/>
  <c r="D4180" i="2"/>
  <c r="D4181" i="2"/>
  <c r="D4182" i="2"/>
  <c r="D4183" i="2"/>
  <c r="D4184" i="2"/>
  <c r="D4185" i="2"/>
  <c r="D4186" i="2"/>
  <c r="D4187" i="2"/>
  <c r="D4188" i="2"/>
  <c r="D4189" i="2"/>
  <c r="D4190" i="2"/>
  <c r="D4191" i="2"/>
  <c r="D4192" i="2"/>
  <c r="D4193" i="2"/>
  <c r="D4194" i="2"/>
  <c r="D4195" i="2"/>
  <c r="D4196" i="2"/>
  <c r="D4197" i="2"/>
  <c r="D4198" i="2"/>
  <c r="D4199" i="2"/>
  <c r="D4200" i="2"/>
  <c r="D4201" i="2"/>
  <c r="D4202" i="2"/>
  <c r="D4203" i="2"/>
  <c r="D4204" i="2"/>
  <c r="D4205" i="2"/>
  <c r="D4206" i="2"/>
  <c r="D4207" i="2"/>
  <c r="D4208" i="2"/>
  <c r="D4209" i="2"/>
  <c r="D4210" i="2"/>
  <c r="D4211" i="2"/>
  <c r="D4212" i="2"/>
  <c r="D4213" i="2"/>
  <c r="D4214" i="2"/>
  <c r="D4215" i="2"/>
  <c r="D4216" i="2"/>
  <c r="D4217" i="2"/>
  <c r="D4218" i="2"/>
  <c r="D4219" i="2"/>
  <c r="D4220" i="2"/>
  <c r="D4221" i="2"/>
  <c r="D4222" i="2"/>
  <c r="D4223" i="2"/>
  <c r="D4224" i="2"/>
  <c r="D4225" i="2"/>
  <c r="D4226" i="2"/>
  <c r="D4227" i="2"/>
  <c r="D4228" i="2"/>
  <c r="D4229" i="2"/>
  <c r="D4230" i="2"/>
  <c r="D4231" i="2"/>
  <c r="D4232" i="2"/>
  <c r="D4233" i="2"/>
  <c r="D4234" i="2"/>
  <c r="D4235" i="2"/>
  <c r="D4236" i="2"/>
  <c r="D4237" i="2"/>
  <c r="D4238" i="2"/>
  <c r="D4239" i="2"/>
  <c r="D4240" i="2"/>
  <c r="D4241" i="2"/>
  <c r="D4242" i="2"/>
  <c r="D4243" i="2"/>
  <c r="D4244" i="2"/>
  <c r="D4245" i="2"/>
  <c r="D4246" i="2"/>
  <c r="D4247" i="2"/>
  <c r="D4248" i="2"/>
  <c r="D4249" i="2"/>
  <c r="D4250" i="2"/>
  <c r="D4251" i="2"/>
  <c r="D4252" i="2"/>
  <c r="D4253" i="2"/>
  <c r="D4254" i="2"/>
  <c r="D4255" i="2"/>
  <c r="D4256" i="2"/>
  <c r="D4257" i="2"/>
  <c r="D4258" i="2"/>
  <c r="D4259" i="2"/>
  <c r="D4260" i="2"/>
  <c r="D4261" i="2"/>
  <c r="D4262" i="2"/>
  <c r="D4263" i="2"/>
  <c r="D4264" i="2"/>
  <c r="D4265" i="2"/>
  <c r="D4266" i="2"/>
  <c r="D4267" i="2"/>
  <c r="D4268" i="2"/>
  <c r="D4269" i="2"/>
  <c r="D4270" i="2"/>
  <c r="D4271" i="2"/>
  <c r="D4272" i="2"/>
  <c r="D4273" i="2"/>
  <c r="D4274" i="2"/>
  <c r="D4275" i="2"/>
  <c r="D4276" i="2"/>
  <c r="D4277" i="2"/>
  <c r="D4278" i="2"/>
  <c r="D4279" i="2"/>
  <c r="D4280" i="2"/>
  <c r="D4281" i="2"/>
  <c r="D4282" i="2"/>
  <c r="D4283" i="2"/>
  <c r="D4284" i="2"/>
  <c r="D4285" i="2"/>
  <c r="D4286" i="2"/>
  <c r="D4287" i="2"/>
  <c r="D4288" i="2"/>
  <c r="D4289" i="2"/>
  <c r="D4290" i="2"/>
  <c r="D4291" i="2"/>
  <c r="D4292" i="2"/>
  <c r="D4293" i="2"/>
  <c r="D4294" i="2"/>
  <c r="D4295" i="2"/>
  <c r="D4296" i="2"/>
  <c r="D4297" i="2"/>
  <c r="D4298" i="2"/>
  <c r="D4299" i="2"/>
  <c r="D4300" i="2"/>
  <c r="D4301" i="2"/>
  <c r="D4302" i="2"/>
  <c r="D4303" i="2"/>
  <c r="D4304" i="2"/>
  <c r="D4305" i="2"/>
  <c r="D4306" i="2"/>
  <c r="D4307" i="2"/>
  <c r="D4308" i="2"/>
  <c r="D4309" i="2"/>
  <c r="D4310" i="2"/>
  <c r="D4311" i="2"/>
  <c r="D4312" i="2"/>
  <c r="D4313" i="2"/>
  <c r="D4314" i="2"/>
  <c r="D4315" i="2"/>
  <c r="D4316" i="2"/>
  <c r="D4317" i="2"/>
  <c r="D4318" i="2"/>
  <c r="D4319" i="2"/>
  <c r="D4320" i="2"/>
  <c r="D4321" i="2"/>
  <c r="D4322" i="2"/>
  <c r="D4323" i="2"/>
  <c r="D4324" i="2"/>
  <c r="D4325" i="2"/>
  <c r="D4326" i="2"/>
  <c r="D4327" i="2"/>
  <c r="D4328" i="2"/>
  <c r="D4329" i="2"/>
  <c r="D4330" i="2"/>
  <c r="D4331" i="2"/>
  <c r="D4332" i="2"/>
  <c r="D4333" i="2"/>
  <c r="D4334" i="2"/>
  <c r="D4335" i="2"/>
  <c r="D4336" i="2"/>
  <c r="D4337" i="2"/>
  <c r="D4338" i="2"/>
  <c r="D4339" i="2"/>
  <c r="D4340" i="2"/>
  <c r="D4341" i="2"/>
  <c r="D4342" i="2"/>
  <c r="D4343" i="2"/>
  <c r="D4344" i="2"/>
  <c r="D4345" i="2"/>
  <c r="D4346" i="2"/>
  <c r="D4347" i="2"/>
  <c r="D4348" i="2"/>
  <c r="D4349" i="2"/>
  <c r="D4350" i="2"/>
  <c r="D4351" i="2"/>
  <c r="D4352" i="2"/>
  <c r="D4353" i="2"/>
  <c r="D4354" i="2"/>
  <c r="D4355" i="2"/>
  <c r="D4356" i="2"/>
  <c r="D4357" i="2"/>
  <c r="D4358" i="2"/>
  <c r="D4359" i="2"/>
  <c r="D4360" i="2"/>
  <c r="D4361" i="2"/>
  <c r="D4362" i="2"/>
  <c r="D4363" i="2"/>
  <c r="D4364" i="2"/>
  <c r="D4365" i="2"/>
  <c r="D4366" i="2"/>
  <c r="D4367" i="2"/>
  <c r="D4368" i="2"/>
  <c r="D4369" i="2"/>
  <c r="D4370" i="2"/>
  <c r="D4371" i="2"/>
  <c r="D4372" i="2"/>
  <c r="D4373" i="2"/>
  <c r="D4374" i="2"/>
  <c r="D4375" i="2"/>
  <c r="D4376" i="2"/>
  <c r="D4377" i="2"/>
  <c r="D4378" i="2"/>
  <c r="D4379" i="2"/>
  <c r="D4380" i="2"/>
  <c r="D4381" i="2"/>
  <c r="D4382" i="2"/>
  <c r="D4383" i="2"/>
  <c r="D4384" i="2"/>
  <c r="D4385" i="2"/>
  <c r="D4386" i="2"/>
  <c r="D4387" i="2"/>
  <c r="D4388" i="2"/>
  <c r="D4389" i="2"/>
  <c r="D4390" i="2"/>
  <c r="D4391" i="2"/>
  <c r="D4392" i="2"/>
  <c r="D4393" i="2"/>
  <c r="D4394" i="2"/>
  <c r="D4395" i="2"/>
  <c r="D4396" i="2"/>
  <c r="D4397" i="2"/>
  <c r="D4398" i="2"/>
  <c r="D4399" i="2"/>
  <c r="D4400" i="2"/>
  <c r="D4401" i="2"/>
  <c r="D4402" i="2"/>
  <c r="D4403" i="2"/>
  <c r="D4404" i="2"/>
  <c r="D4405" i="2"/>
  <c r="D4406" i="2"/>
  <c r="D4407" i="2"/>
  <c r="D4408" i="2"/>
  <c r="D4409" i="2"/>
  <c r="D4410" i="2"/>
  <c r="D4411" i="2"/>
  <c r="D4412" i="2"/>
  <c r="D4413" i="2"/>
  <c r="D4414" i="2"/>
  <c r="D4415" i="2"/>
  <c r="D4416" i="2"/>
  <c r="D4417" i="2"/>
  <c r="D4418" i="2"/>
  <c r="D4419" i="2"/>
  <c r="D4420" i="2"/>
  <c r="D4421" i="2"/>
  <c r="D4422" i="2"/>
  <c r="D4423" i="2"/>
  <c r="D4424" i="2"/>
  <c r="D4425" i="2"/>
  <c r="D4426" i="2"/>
  <c r="D4427" i="2"/>
  <c r="D4428" i="2"/>
  <c r="D4429" i="2"/>
  <c r="D4430" i="2"/>
  <c r="D4431" i="2"/>
  <c r="D4432" i="2"/>
  <c r="D4433" i="2"/>
  <c r="D4434" i="2"/>
  <c r="D4435" i="2"/>
  <c r="D4436" i="2"/>
  <c r="D4437" i="2"/>
  <c r="D4438" i="2"/>
  <c r="D4439" i="2"/>
  <c r="D4440" i="2"/>
  <c r="D4441" i="2"/>
  <c r="D4442" i="2"/>
  <c r="D4443" i="2"/>
  <c r="D4444" i="2"/>
  <c r="D4445" i="2"/>
  <c r="D4446" i="2"/>
  <c r="D4447" i="2"/>
  <c r="D4448" i="2"/>
  <c r="D4449" i="2"/>
  <c r="D4450" i="2"/>
  <c r="D4451" i="2"/>
  <c r="D4452" i="2"/>
  <c r="D4453" i="2"/>
  <c r="D4454" i="2"/>
  <c r="D4455" i="2"/>
  <c r="D4456" i="2"/>
  <c r="D4457" i="2"/>
  <c r="D4458" i="2"/>
  <c r="D4459" i="2"/>
  <c r="D4460" i="2"/>
  <c r="D4461" i="2"/>
  <c r="D4462" i="2"/>
  <c r="D4463" i="2"/>
  <c r="D4464" i="2"/>
  <c r="D4465" i="2"/>
  <c r="D4466" i="2"/>
  <c r="D4467" i="2"/>
  <c r="D4468" i="2"/>
  <c r="D4469" i="2"/>
  <c r="D4470" i="2"/>
  <c r="D4471" i="2"/>
  <c r="D4472" i="2"/>
  <c r="D4473" i="2"/>
  <c r="D4474" i="2"/>
  <c r="D4475" i="2"/>
  <c r="D4476" i="2"/>
  <c r="D4477" i="2"/>
  <c r="D4478" i="2"/>
  <c r="D4479" i="2"/>
  <c r="D4480" i="2"/>
  <c r="D4481" i="2"/>
  <c r="D4482" i="2"/>
  <c r="D4483" i="2"/>
  <c r="D4484" i="2"/>
  <c r="D4485" i="2"/>
  <c r="D4486" i="2"/>
  <c r="D4487" i="2"/>
  <c r="D4488" i="2"/>
  <c r="D4489" i="2"/>
  <c r="D4490" i="2"/>
  <c r="D4491" i="2"/>
  <c r="D4492" i="2"/>
  <c r="D4493" i="2"/>
  <c r="D4494" i="2"/>
  <c r="D4495" i="2"/>
  <c r="D4496" i="2"/>
  <c r="D4497" i="2"/>
  <c r="D4498" i="2"/>
  <c r="D4499" i="2"/>
  <c r="D4500" i="2"/>
  <c r="D4501" i="2"/>
  <c r="D4502" i="2"/>
  <c r="D4503" i="2"/>
  <c r="D4504" i="2"/>
  <c r="D4505" i="2"/>
  <c r="D4506" i="2"/>
  <c r="D4507" i="2"/>
  <c r="D4508" i="2"/>
  <c r="D4509" i="2"/>
  <c r="D4510" i="2"/>
  <c r="D4511" i="2"/>
  <c r="D4512" i="2"/>
  <c r="D4513" i="2"/>
  <c r="D4514" i="2"/>
  <c r="D4515" i="2"/>
  <c r="D4516" i="2"/>
  <c r="D4517" i="2"/>
  <c r="D4518" i="2"/>
  <c r="D4519" i="2"/>
  <c r="D4520" i="2"/>
  <c r="D4521" i="2"/>
  <c r="D4522" i="2"/>
  <c r="D4523" i="2"/>
  <c r="D4524" i="2"/>
  <c r="D4525" i="2"/>
  <c r="D4526" i="2"/>
  <c r="D4527" i="2"/>
  <c r="D4528" i="2"/>
  <c r="D4529" i="2"/>
  <c r="D4530" i="2"/>
  <c r="D4531" i="2"/>
  <c r="D4532" i="2"/>
  <c r="D4533" i="2"/>
  <c r="D4534" i="2"/>
  <c r="D4535" i="2"/>
  <c r="D4536" i="2"/>
  <c r="D4537" i="2"/>
  <c r="D4538" i="2"/>
  <c r="D4539" i="2"/>
  <c r="D4540" i="2"/>
  <c r="D4541" i="2"/>
  <c r="D4542" i="2"/>
  <c r="D4543" i="2"/>
  <c r="D4544" i="2"/>
  <c r="D4545" i="2"/>
  <c r="D4546" i="2"/>
  <c r="D4547" i="2"/>
  <c r="D4548" i="2"/>
  <c r="D4549" i="2"/>
  <c r="D4550" i="2"/>
  <c r="D4551" i="2"/>
  <c r="D4552" i="2"/>
  <c r="D4553" i="2"/>
  <c r="D4554" i="2"/>
  <c r="D4555" i="2"/>
  <c r="D4556" i="2"/>
  <c r="D4557" i="2"/>
  <c r="D4558" i="2"/>
  <c r="D4559" i="2"/>
  <c r="D4560" i="2"/>
  <c r="D4561" i="2"/>
  <c r="D4562" i="2"/>
  <c r="D4563" i="2"/>
  <c r="D4564" i="2"/>
  <c r="D4565" i="2"/>
  <c r="D4566" i="2"/>
  <c r="D4567" i="2"/>
  <c r="D4568" i="2"/>
  <c r="D4569" i="2"/>
  <c r="D4570" i="2"/>
  <c r="D4571" i="2"/>
  <c r="D4572" i="2"/>
  <c r="D4573" i="2"/>
  <c r="D4574" i="2"/>
  <c r="D4575" i="2"/>
  <c r="D4576" i="2"/>
  <c r="D4577" i="2"/>
  <c r="D4578" i="2"/>
  <c r="D4579" i="2"/>
  <c r="D4580" i="2"/>
  <c r="D4581" i="2"/>
  <c r="D4582" i="2"/>
  <c r="D4583" i="2"/>
  <c r="D4584" i="2"/>
  <c r="D4585" i="2"/>
  <c r="D4586" i="2"/>
  <c r="D4587" i="2"/>
  <c r="D4588" i="2"/>
  <c r="D4589" i="2"/>
  <c r="D4590" i="2"/>
  <c r="D4591" i="2"/>
  <c r="D4592" i="2"/>
  <c r="D4593" i="2"/>
  <c r="D4594" i="2"/>
  <c r="D4595" i="2"/>
  <c r="D4596" i="2"/>
  <c r="D4597" i="2"/>
  <c r="D4598" i="2"/>
  <c r="D4599" i="2"/>
  <c r="D4600" i="2"/>
  <c r="D4601" i="2"/>
  <c r="D4602" i="2"/>
  <c r="D4603" i="2"/>
  <c r="D4604" i="2"/>
  <c r="D4605" i="2"/>
  <c r="D4606" i="2"/>
  <c r="D4607" i="2"/>
  <c r="D4608" i="2"/>
  <c r="D4609" i="2"/>
  <c r="D4610" i="2"/>
  <c r="D4611" i="2"/>
  <c r="D4612" i="2"/>
  <c r="D4613" i="2"/>
  <c r="D4614" i="2"/>
  <c r="D4615" i="2"/>
  <c r="D4616" i="2"/>
  <c r="D4617" i="2"/>
  <c r="D4618" i="2"/>
  <c r="D4619" i="2"/>
  <c r="D4620" i="2"/>
  <c r="D4621" i="2"/>
  <c r="D4622" i="2"/>
  <c r="D4623" i="2"/>
  <c r="D4624" i="2"/>
  <c r="D4625" i="2"/>
  <c r="D4626" i="2"/>
  <c r="D4627" i="2"/>
  <c r="D4628" i="2"/>
  <c r="D4629" i="2"/>
  <c r="D4630" i="2"/>
  <c r="D4631" i="2"/>
  <c r="D4632" i="2"/>
  <c r="D4633" i="2"/>
  <c r="D4634" i="2"/>
  <c r="D4635" i="2"/>
  <c r="D4636" i="2"/>
  <c r="D4637" i="2"/>
  <c r="D4638" i="2"/>
  <c r="D4639" i="2"/>
  <c r="D4640" i="2"/>
  <c r="D4641" i="2"/>
  <c r="D4642" i="2"/>
  <c r="D4643" i="2"/>
  <c r="D4644" i="2"/>
  <c r="D4645" i="2"/>
  <c r="D4646" i="2"/>
  <c r="D4647" i="2"/>
  <c r="D4648" i="2"/>
  <c r="D4649" i="2"/>
  <c r="D4650" i="2"/>
  <c r="D4651" i="2"/>
  <c r="D4652" i="2"/>
  <c r="D4653" i="2"/>
  <c r="D4654" i="2"/>
  <c r="D4655" i="2"/>
  <c r="D4656" i="2"/>
  <c r="D4657" i="2"/>
  <c r="D4658" i="2"/>
  <c r="D4659" i="2"/>
  <c r="D4660" i="2"/>
  <c r="D4661" i="2"/>
  <c r="D4662" i="2"/>
  <c r="D4663" i="2"/>
  <c r="D4664" i="2"/>
  <c r="D4665" i="2"/>
  <c r="D4666" i="2"/>
  <c r="D4667" i="2"/>
  <c r="D4668" i="2"/>
  <c r="D4669" i="2"/>
  <c r="D4670" i="2"/>
  <c r="D4671" i="2"/>
  <c r="D4672" i="2"/>
  <c r="D4673" i="2"/>
  <c r="D4674" i="2"/>
  <c r="D4675" i="2"/>
  <c r="D4676" i="2"/>
  <c r="D4677" i="2"/>
  <c r="D4678" i="2"/>
  <c r="D4679" i="2"/>
  <c r="D4680" i="2"/>
  <c r="D4681" i="2"/>
  <c r="D4682" i="2"/>
  <c r="D4683" i="2"/>
  <c r="D4684" i="2"/>
  <c r="D4685" i="2"/>
  <c r="D4686" i="2"/>
  <c r="D4687" i="2"/>
  <c r="D4688" i="2"/>
  <c r="D4689" i="2"/>
  <c r="D4690" i="2"/>
  <c r="D4691" i="2"/>
  <c r="D4692" i="2"/>
  <c r="D4693" i="2"/>
  <c r="D4694" i="2"/>
  <c r="D4695" i="2"/>
  <c r="D4696" i="2"/>
  <c r="D4697" i="2"/>
  <c r="D4698" i="2"/>
  <c r="D4699" i="2"/>
  <c r="D4700" i="2"/>
  <c r="D4701" i="2"/>
  <c r="D4702" i="2"/>
  <c r="D4703" i="2"/>
  <c r="D4704" i="2"/>
  <c r="D4705" i="2"/>
  <c r="D4706" i="2"/>
  <c r="D4707" i="2"/>
  <c r="D4708" i="2"/>
  <c r="D4709" i="2"/>
  <c r="D4710" i="2"/>
  <c r="D4711" i="2"/>
  <c r="D4712" i="2"/>
  <c r="D4713" i="2"/>
  <c r="D4714" i="2"/>
  <c r="D4715" i="2"/>
  <c r="D4716" i="2"/>
  <c r="D4717" i="2"/>
  <c r="D4718" i="2"/>
  <c r="D4719" i="2"/>
  <c r="D4720" i="2"/>
  <c r="D4721" i="2"/>
  <c r="D4722" i="2"/>
  <c r="D4723" i="2"/>
  <c r="D4724" i="2"/>
  <c r="D4725" i="2"/>
  <c r="D4726" i="2"/>
  <c r="D4727" i="2"/>
  <c r="D4728" i="2"/>
  <c r="D4729" i="2"/>
  <c r="D4730" i="2"/>
  <c r="D4731" i="2"/>
  <c r="D4732" i="2"/>
  <c r="D4733" i="2"/>
  <c r="D4734" i="2"/>
  <c r="D4735" i="2"/>
  <c r="D4736" i="2"/>
  <c r="D4737" i="2"/>
  <c r="D4738" i="2"/>
  <c r="D4739" i="2"/>
  <c r="D4740" i="2"/>
  <c r="D4741" i="2"/>
  <c r="D4742" i="2"/>
  <c r="D4743" i="2"/>
  <c r="D4744" i="2"/>
  <c r="D4745" i="2"/>
  <c r="D4746" i="2"/>
  <c r="D4747" i="2"/>
  <c r="D4748" i="2"/>
  <c r="D4749" i="2"/>
  <c r="D4750" i="2"/>
  <c r="D4751" i="2"/>
  <c r="D4752" i="2"/>
  <c r="D4753" i="2"/>
  <c r="D4754" i="2"/>
  <c r="D4755" i="2"/>
  <c r="D4756" i="2"/>
  <c r="D4757" i="2"/>
  <c r="D4758" i="2"/>
  <c r="D4759" i="2"/>
  <c r="D4760" i="2"/>
  <c r="D4761" i="2"/>
  <c r="D4762" i="2"/>
  <c r="D4763" i="2"/>
  <c r="D4764" i="2"/>
  <c r="D4765" i="2"/>
  <c r="D4766" i="2"/>
  <c r="D4767" i="2"/>
  <c r="D4768" i="2"/>
  <c r="D4769" i="2"/>
  <c r="D4770" i="2"/>
  <c r="D4771" i="2"/>
  <c r="D4772" i="2"/>
  <c r="D4773" i="2"/>
  <c r="D4774" i="2"/>
  <c r="D4775" i="2"/>
  <c r="D4776" i="2"/>
  <c r="D4777" i="2"/>
  <c r="D4778" i="2"/>
  <c r="D4779" i="2"/>
  <c r="D4780" i="2"/>
  <c r="D4781" i="2"/>
  <c r="D4782" i="2"/>
  <c r="D4783" i="2"/>
  <c r="D4784" i="2"/>
  <c r="D4785" i="2"/>
  <c r="D4786" i="2"/>
  <c r="D4787" i="2"/>
  <c r="D4788" i="2"/>
  <c r="D4789" i="2"/>
  <c r="D4790" i="2"/>
  <c r="D4791" i="2"/>
  <c r="D4792" i="2"/>
  <c r="D4793" i="2"/>
  <c r="D4794" i="2"/>
  <c r="D4795" i="2"/>
  <c r="D4796" i="2"/>
  <c r="D4797" i="2"/>
  <c r="D4798" i="2"/>
  <c r="D4799" i="2"/>
  <c r="D4800" i="2"/>
  <c r="D4801" i="2"/>
  <c r="D4802" i="2"/>
  <c r="D4803" i="2"/>
  <c r="D4804" i="2"/>
  <c r="D4805" i="2"/>
  <c r="D4806" i="2"/>
  <c r="D4807" i="2"/>
  <c r="D4808" i="2"/>
  <c r="D4809" i="2"/>
  <c r="D4810" i="2"/>
  <c r="D4811" i="2"/>
  <c r="D4812" i="2"/>
  <c r="D4813" i="2"/>
  <c r="D4814" i="2"/>
  <c r="D4815" i="2"/>
  <c r="D4816" i="2"/>
  <c r="D4817" i="2"/>
  <c r="D4818" i="2"/>
  <c r="D4819" i="2"/>
  <c r="D4820" i="2"/>
  <c r="D4821" i="2"/>
  <c r="D4822" i="2"/>
  <c r="D4823" i="2"/>
  <c r="D4824" i="2"/>
  <c r="D4825" i="2"/>
  <c r="D4826" i="2"/>
  <c r="D4827" i="2"/>
  <c r="D4828" i="2"/>
  <c r="D4829" i="2"/>
  <c r="D4830" i="2"/>
  <c r="D4831" i="2"/>
  <c r="D4832" i="2"/>
  <c r="D4833" i="2"/>
  <c r="D4834" i="2"/>
  <c r="D4835" i="2"/>
  <c r="D4836" i="2"/>
  <c r="D4837" i="2"/>
  <c r="D4838" i="2"/>
  <c r="D4839" i="2"/>
  <c r="D4840" i="2"/>
  <c r="D4841" i="2"/>
  <c r="D4842" i="2"/>
  <c r="D4843" i="2"/>
  <c r="D4844" i="2"/>
  <c r="D4845" i="2"/>
  <c r="D4846" i="2"/>
  <c r="D4847" i="2"/>
  <c r="D4848" i="2"/>
  <c r="D4849" i="2"/>
  <c r="D4850" i="2"/>
  <c r="D4851" i="2"/>
  <c r="D4852" i="2"/>
  <c r="D4853" i="2"/>
  <c r="D4854" i="2"/>
  <c r="D4855" i="2"/>
  <c r="D4856" i="2"/>
  <c r="D4857" i="2"/>
  <c r="D4858" i="2"/>
  <c r="D4859" i="2"/>
  <c r="D4860" i="2"/>
  <c r="D4861" i="2"/>
  <c r="D4862" i="2"/>
  <c r="D4863" i="2"/>
  <c r="D4864" i="2"/>
  <c r="D4865" i="2"/>
  <c r="D4866" i="2"/>
  <c r="D4867" i="2"/>
  <c r="D4868" i="2"/>
  <c r="D4869" i="2"/>
  <c r="D4870" i="2"/>
  <c r="D4871" i="2"/>
  <c r="D4872" i="2"/>
  <c r="D4873" i="2"/>
  <c r="D4874" i="2"/>
  <c r="D4875" i="2"/>
  <c r="D4876" i="2"/>
  <c r="D4877" i="2"/>
  <c r="D4878" i="2"/>
  <c r="D4879" i="2"/>
  <c r="D4880" i="2"/>
  <c r="D4881" i="2"/>
  <c r="D4882" i="2"/>
  <c r="D4883" i="2"/>
  <c r="D4884" i="2"/>
  <c r="D4885" i="2"/>
  <c r="D4886" i="2"/>
  <c r="D4887" i="2"/>
  <c r="D4888" i="2"/>
  <c r="D4889" i="2"/>
  <c r="D4890" i="2"/>
  <c r="D4891" i="2"/>
  <c r="D4892" i="2"/>
  <c r="D4893" i="2"/>
  <c r="D4894" i="2"/>
  <c r="D4895" i="2"/>
  <c r="D4896" i="2"/>
  <c r="D4897" i="2"/>
  <c r="D4898" i="2"/>
  <c r="D4899" i="2"/>
  <c r="D4900" i="2"/>
  <c r="D4901" i="2"/>
  <c r="D4902" i="2"/>
  <c r="D4903" i="2"/>
  <c r="D4904" i="2"/>
  <c r="D4905" i="2"/>
  <c r="D4906" i="2"/>
  <c r="D4907" i="2"/>
  <c r="D4908" i="2"/>
  <c r="D4909" i="2"/>
  <c r="D4910" i="2"/>
  <c r="D4911" i="2"/>
  <c r="D4912" i="2"/>
  <c r="D4913" i="2"/>
  <c r="D4914" i="2"/>
  <c r="D4915" i="2"/>
  <c r="D4916" i="2"/>
  <c r="D4917" i="2"/>
  <c r="D4918" i="2"/>
  <c r="D4919" i="2"/>
  <c r="D4920" i="2"/>
  <c r="D4921" i="2"/>
  <c r="D4922" i="2"/>
  <c r="D4923" i="2"/>
  <c r="D4924" i="2"/>
  <c r="D4925" i="2"/>
  <c r="D4926" i="2"/>
  <c r="D4927" i="2"/>
  <c r="D4928" i="2"/>
  <c r="D4929" i="2"/>
  <c r="D4930" i="2"/>
  <c r="D4931" i="2"/>
  <c r="D4932" i="2"/>
  <c r="D4933" i="2"/>
  <c r="D4934" i="2"/>
  <c r="D4935" i="2"/>
  <c r="D4936" i="2"/>
  <c r="D4937" i="2"/>
  <c r="D4938" i="2"/>
  <c r="D4939" i="2"/>
  <c r="D4940" i="2"/>
  <c r="D4941" i="2"/>
  <c r="D4942" i="2"/>
  <c r="D4943" i="2"/>
  <c r="D4944" i="2"/>
  <c r="D4945" i="2"/>
  <c r="D4946" i="2"/>
  <c r="D4947" i="2"/>
  <c r="D4948" i="2"/>
  <c r="D4949" i="2"/>
  <c r="D4950" i="2"/>
  <c r="D4951" i="2"/>
  <c r="D4952" i="2"/>
  <c r="D4953" i="2"/>
  <c r="D4954" i="2"/>
  <c r="D4955" i="2"/>
  <c r="D4956" i="2"/>
  <c r="D4957" i="2"/>
  <c r="D4958" i="2"/>
  <c r="D4959" i="2"/>
  <c r="D4960" i="2"/>
  <c r="D4961" i="2"/>
  <c r="D4962" i="2"/>
  <c r="D4963" i="2"/>
  <c r="D4964" i="2"/>
  <c r="D4965" i="2"/>
  <c r="D4966" i="2"/>
  <c r="D4967" i="2"/>
  <c r="D4968" i="2"/>
  <c r="D4969" i="2"/>
  <c r="D4970" i="2"/>
  <c r="D4971" i="2"/>
  <c r="D4972" i="2"/>
  <c r="D4973" i="2"/>
  <c r="D4974" i="2"/>
  <c r="D4975" i="2"/>
  <c r="D4976" i="2"/>
  <c r="D4977" i="2"/>
  <c r="D4978" i="2"/>
  <c r="D4979" i="2"/>
  <c r="D4980" i="2"/>
  <c r="D4981" i="2"/>
  <c r="D4982" i="2"/>
  <c r="D4983" i="2"/>
  <c r="D4984" i="2"/>
  <c r="D4985" i="2"/>
  <c r="D4986" i="2"/>
  <c r="D4987" i="2"/>
  <c r="D4988" i="2"/>
  <c r="D4989" i="2"/>
  <c r="D4990" i="2"/>
  <c r="D4991" i="2"/>
  <c r="D4992" i="2"/>
  <c r="D4993" i="2"/>
  <c r="D4994" i="2"/>
  <c r="D4995" i="2"/>
  <c r="D4996" i="2"/>
  <c r="D4997" i="2"/>
  <c r="D4998" i="2"/>
  <c r="D4999" i="2"/>
  <c r="D5000" i="2"/>
  <c r="D5001" i="2"/>
  <c r="D5002" i="2"/>
  <c r="D5003" i="2"/>
  <c r="D5004" i="2"/>
  <c r="D5005" i="2"/>
  <c r="D5006" i="2"/>
  <c r="D5007" i="2"/>
  <c r="D5008" i="2"/>
  <c r="D5009" i="2"/>
  <c r="D5010" i="2"/>
  <c r="D5011" i="2"/>
  <c r="D5012" i="2"/>
  <c r="D5013" i="2"/>
  <c r="D5014" i="2"/>
  <c r="D5015" i="2"/>
  <c r="D5016" i="2"/>
  <c r="D5017" i="2"/>
  <c r="D5018" i="2"/>
  <c r="D5019" i="2"/>
  <c r="D5020" i="2"/>
  <c r="D5021" i="2"/>
  <c r="D5022" i="2"/>
  <c r="D5023" i="2"/>
  <c r="D5024" i="2"/>
  <c r="D5025" i="2"/>
  <c r="D5026" i="2"/>
  <c r="D5027" i="2"/>
  <c r="D5028" i="2"/>
  <c r="D5029" i="2"/>
  <c r="D5030" i="2"/>
  <c r="D5031" i="2"/>
  <c r="D5032" i="2"/>
  <c r="D5033" i="2"/>
  <c r="D5034" i="2"/>
  <c r="D5035" i="2"/>
  <c r="D5036" i="2"/>
  <c r="D5037" i="2"/>
  <c r="D5038" i="2"/>
  <c r="D5039" i="2"/>
  <c r="D5040" i="2"/>
  <c r="D5041" i="2"/>
  <c r="D5042" i="2"/>
  <c r="D5043" i="2"/>
  <c r="D5044" i="2"/>
  <c r="D5045" i="2"/>
  <c r="D5046" i="2"/>
  <c r="D5047" i="2"/>
  <c r="D5048" i="2"/>
  <c r="D5049" i="2"/>
  <c r="D5050" i="2"/>
  <c r="D5051" i="2"/>
  <c r="D5052" i="2"/>
  <c r="D5053" i="2"/>
  <c r="D5054" i="2"/>
  <c r="D5055" i="2"/>
  <c r="D5056" i="2"/>
  <c r="D5057" i="2"/>
  <c r="D5058" i="2"/>
  <c r="D5059" i="2"/>
  <c r="D5060" i="2"/>
  <c r="D5061" i="2"/>
  <c r="D5062" i="2"/>
  <c r="D5063" i="2"/>
  <c r="D5064" i="2"/>
  <c r="D5065" i="2"/>
  <c r="D5066" i="2"/>
  <c r="D5067" i="2"/>
  <c r="D5068" i="2"/>
  <c r="D5069" i="2"/>
  <c r="D5070" i="2"/>
  <c r="D5071" i="2"/>
  <c r="D5072" i="2"/>
  <c r="D5073" i="2"/>
  <c r="D5074" i="2"/>
  <c r="D5075" i="2"/>
  <c r="D5076" i="2"/>
  <c r="D5077" i="2"/>
  <c r="D5078" i="2"/>
  <c r="D5079" i="2"/>
  <c r="D5080" i="2"/>
  <c r="D5081" i="2"/>
  <c r="D5082" i="2"/>
  <c r="D5083" i="2"/>
  <c r="D5084" i="2"/>
  <c r="D5085" i="2"/>
  <c r="D5086" i="2"/>
  <c r="D5087" i="2"/>
  <c r="D5088" i="2"/>
  <c r="D5089" i="2"/>
  <c r="D5090" i="2"/>
  <c r="D5091" i="2"/>
  <c r="D5092" i="2"/>
  <c r="D5093" i="2"/>
  <c r="D5094" i="2"/>
  <c r="D5095" i="2"/>
  <c r="D5096" i="2"/>
  <c r="D5097" i="2"/>
  <c r="D5098" i="2"/>
  <c r="D5099" i="2"/>
  <c r="D5100" i="2"/>
  <c r="D5101" i="2"/>
  <c r="D5102" i="2"/>
  <c r="D5103" i="2"/>
  <c r="D5104" i="2"/>
  <c r="D5105" i="2"/>
  <c r="D5106" i="2"/>
  <c r="D5107" i="2"/>
  <c r="D5108" i="2"/>
  <c r="D5109" i="2"/>
  <c r="D5110" i="2"/>
  <c r="D5111" i="2"/>
  <c r="D5112" i="2"/>
  <c r="D5113" i="2"/>
  <c r="D5114" i="2"/>
  <c r="D5115" i="2"/>
  <c r="D5116" i="2"/>
  <c r="D5117" i="2"/>
  <c r="D5118" i="2"/>
  <c r="D5119" i="2"/>
  <c r="D5120" i="2"/>
  <c r="D5121" i="2"/>
  <c r="D5122" i="2"/>
  <c r="D5123" i="2"/>
  <c r="D5124" i="2"/>
  <c r="D5125" i="2"/>
  <c r="D5126" i="2"/>
  <c r="D5127" i="2"/>
  <c r="D5128" i="2"/>
  <c r="D5129" i="2"/>
  <c r="D5130" i="2"/>
  <c r="D5131" i="2"/>
  <c r="D5132" i="2"/>
  <c r="D5133" i="2"/>
  <c r="D5134" i="2"/>
  <c r="D5135" i="2"/>
  <c r="D5136" i="2"/>
  <c r="D5137" i="2"/>
  <c r="D5138" i="2"/>
  <c r="D5139" i="2"/>
  <c r="D5140" i="2"/>
  <c r="D5141" i="2"/>
  <c r="D5142" i="2"/>
  <c r="D5143" i="2"/>
  <c r="D5144" i="2"/>
  <c r="D5145" i="2"/>
  <c r="D5146" i="2"/>
  <c r="D5147" i="2"/>
  <c r="D5148" i="2"/>
  <c r="D5149" i="2"/>
  <c r="D5150" i="2"/>
  <c r="D5151" i="2"/>
  <c r="D5152" i="2"/>
  <c r="D5153" i="2"/>
  <c r="D5154" i="2"/>
  <c r="D5155" i="2"/>
  <c r="D5156" i="2"/>
  <c r="D5157" i="2"/>
  <c r="D5158" i="2"/>
  <c r="D5159" i="2"/>
  <c r="D5160" i="2"/>
  <c r="D5161" i="2"/>
  <c r="D5162" i="2"/>
  <c r="D5163" i="2"/>
  <c r="D5164" i="2"/>
  <c r="D5165" i="2"/>
  <c r="D5166" i="2"/>
  <c r="D5167" i="2"/>
  <c r="D5168" i="2"/>
  <c r="D5169" i="2"/>
  <c r="D5170" i="2"/>
  <c r="D5171" i="2"/>
  <c r="D5172" i="2"/>
  <c r="D5173" i="2"/>
  <c r="D5174" i="2"/>
  <c r="D5175" i="2"/>
  <c r="D5176" i="2"/>
  <c r="D5177" i="2"/>
  <c r="D5178" i="2"/>
  <c r="D5179" i="2"/>
  <c r="D5180" i="2"/>
  <c r="D5181" i="2"/>
  <c r="D5182" i="2"/>
  <c r="D5183" i="2"/>
  <c r="D5184" i="2"/>
  <c r="D5185" i="2"/>
  <c r="D5186" i="2"/>
  <c r="D5187" i="2"/>
  <c r="D5188" i="2"/>
  <c r="D5189" i="2"/>
  <c r="D5190" i="2"/>
  <c r="D5191" i="2"/>
  <c r="D5192" i="2"/>
  <c r="D5193" i="2"/>
  <c r="D5194" i="2"/>
  <c r="D5195" i="2"/>
  <c r="D5196" i="2"/>
  <c r="D5197" i="2"/>
  <c r="D5198" i="2"/>
  <c r="D5199" i="2"/>
  <c r="D5200" i="2"/>
  <c r="D5201" i="2"/>
  <c r="D5202" i="2"/>
  <c r="D5203" i="2"/>
  <c r="D5204" i="2"/>
  <c r="D5205" i="2"/>
  <c r="D5206" i="2"/>
  <c r="D5207" i="2"/>
  <c r="D5208" i="2"/>
  <c r="D5209" i="2"/>
  <c r="D5210" i="2"/>
  <c r="D5211" i="2"/>
  <c r="D5212" i="2"/>
  <c r="D5213" i="2"/>
  <c r="D5214" i="2"/>
  <c r="D5215" i="2"/>
  <c r="D5216" i="2"/>
  <c r="D5217" i="2"/>
  <c r="D5218" i="2"/>
  <c r="D5219" i="2"/>
  <c r="D5220" i="2"/>
  <c r="D5221" i="2"/>
  <c r="D5222" i="2"/>
  <c r="D5223" i="2"/>
  <c r="D5224" i="2"/>
  <c r="D5225" i="2"/>
  <c r="D5226" i="2"/>
  <c r="D5227" i="2"/>
  <c r="D5228" i="2"/>
  <c r="D5229" i="2"/>
  <c r="D5230" i="2"/>
  <c r="D5231" i="2"/>
  <c r="D5232" i="2"/>
  <c r="D5233" i="2"/>
  <c r="D5234" i="2"/>
  <c r="D5235" i="2"/>
  <c r="D5236" i="2"/>
  <c r="D5237" i="2"/>
  <c r="D5238" i="2"/>
  <c r="D5239" i="2"/>
  <c r="D5240" i="2"/>
  <c r="D5241" i="2"/>
  <c r="D5242" i="2"/>
  <c r="D5243" i="2"/>
  <c r="D5244" i="2"/>
  <c r="D5245" i="2"/>
  <c r="D5246" i="2"/>
  <c r="D5247" i="2"/>
  <c r="D5248" i="2"/>
  <c r="D5249" i="2"/>
  <c r="D5250" i="2"/>
  <c r="D5251" i="2"/>
  <c r="D5252" i="2"/>
  <c r="D5253" i="2"/>
  <c r="D5254" i="2"/>
  <c r="D5255" i="2"/>
  <c r="D5256" i="2"/>
  <c r="D5257" i="2"/>
  <c r="D5258" i="2"/>
  <c r="D5259" i="2"/>
  <c r="D5260" i="2"/>
  <c r="D5261" i="2"/>
  <c r="D5262" i="2"/>
  <c r="D5263" i="2"/>
  <c r="D5264" i="2"/>
  <c r="D5265" i="2"/>
  <c r="D5266" i="2"/>
  <c r="D5267" i="2"/>
  <c r="D5268" i="2"/>
  <c r="D5269" i="2"/>
  <c r="D5270" i="2"/>
  <c r="D5271" i="2"/>
  <c r="D5272" i="2"/>
  <c r="D5273" i="2"/>
  <c r="D5274" i="2"/>
  <c r="D5275" i="2"/>
  <c r="D5276" i="2"/>
  <c r="D5277" i="2"/>
  <c r="D5278" i="2"/>
  <c r="D5279" i="2"/>
  <c r="D5280" i="2"/>
  <c r="D5281" i="2"/>
  <c r="D5282" i="2"/>
  <c r="D5283" i="2"/>
  <c r="D5284" i="2"/>
  <c r="D5285" i="2"/>
  <c r="D5286" i="2"/>
  <c r="D5287" i="2"/>
  <c r="D5288" i="2"/>
  <c r="D5289" i="2"/>
  <c r="D5290" i="2"/>
  <c r="D5291" i="2"/>
  <c r="D5292" i="2"/>
  <c r="D5293" i="2"/>
  <c r="D5294" i="2"/>
  <c r="D5295" i="2"/>
  <c r="D5296" i="2"/>
  <c r="D5297" i="2"/>
  <c r="D5298" i="2"/>
  <c r="D5299" i="2"/>
  <c r="D5300" i="2"/>
  <c r="D5301" i="2"/>
  <c r="D5302" i="2"/>
  <c r="D5303" i="2"/>
  <c r="D5304" i="2"/>
  <c r="D5305" i="2"/>
  <c r="D5306" i="2"/>
  <c r="D5307" i="2"/>
  <c r="D5308" i="2"/>
  <c r="D5309" i="2"/>
  <c r="D5310" i="2"/>
  <c r="D5311" i="2"/>
  <c r="D5312" i="2"/>
  <c r="D5313" i="2"/>
  <c r="D5314" i="2"/>
  <c r="D5315" i="2"/>
  <c r="D5316" i="2"/>
  <c r="D5317" i="2"/>
  <c r="D5318" i="2"/>
  <c r="D5319" i="2"/>
  <c r="D5320" i="2"/>
  <c r="D5321" i="2"/>
  <c r="D5322" i="2"/>
  <c r="D5323" i="2"/>
  <c r="D5324" i="2"/>
  <c r="D5325" i="2"/>
  <c r="D5326" i="2"/>
  <c r="D5327" i="2"/>
  <c r="D5328" i="2"/>
  <c r="D5329" i="2"/>
  <c r="D5330" i="2"/>
  <c r="D5331" i="2"/>
  <c r="D5332" i="2"/>
  <c r="D5333" i="2"/>
  <c r="D5334" i="2"/>
  <c r="D5335" i="2"/>
  <c r="D5336" i="2"/>
  <c r="D5337" i="2"/>
  <c r="D5338" i="2"/>
  <c r="D5339" i="2"/>
  <c r="D5340" i="2"/>
  <c r="D5341" i="2"/>
  <c r="D5342" i="2"/>
  <c r="D5343" i="2"/>
  <c r="D5344" i="2"/>
  <c r="D5345" i="2"/>
  <c r="D5346" i="2"/>
  <c r="D5347" i="2"/>
  <c r="D5348" i="2"/>
  <c r="D5349" i="2"/>
  <c r="D5350" i="2"/>
  <c r="D5351" i="2"/>
  <c r="D5352" i="2"/>
  <c r="D5353" i="2"/>
  <c r="D5354" i="2"/>
  <c r="D5355" i="2"/>
  <c r="D5356" i="2"/>
  <c r="D5357" i="2"/>
  <c r="D5358" i="2"/>
  <c r="D5359" i="2"/>
  <c r="D5360" i="2"/>
  <c r="D5361" i="2"/>
  <c r="D5362" i="2"/>
  <c r="D5363" i="2"/>
  <c r="D5364" i="2"/>
  <c r="D5365" i="2"/>
  <c r="D5366" i="2"/>
  <c r="D5367" i="2"/>
  <c r="D5368" i="2"/>
  <c r="D5369" i="2"/>
  <c r="D5370" i="2"/>
  <c r="D5371" i="2"/>
  <c r="D5372" i="2"/>
  <c r="D5373" i="2"/>
  <c r="D5374" i="2"/>
  <c r="D5375" i="2"/>
  <c r="D5376" i="2"/>
  <c r="D5377" i="2"/>
  <c r="D5378" i="2"/>
  <c r="D5379" i="2"/>
  <c r="D5380" i="2"/>
  <c r="D5381" i="2"/>
  <c r="D5382" i="2"/>
  <c r="D5383" i="2"/>
  <c r="D5384" i="2"/>
  <c r="D5385" i="2"/>
  <c r="D5386" i="2"/>
  <c r="D5387" i="2"/>
  <c r="D5388" i="2"/>
  <c r="D5389" i="2"/>
  <c r="D5390" i="2"/>
  <c r="D5391" i="2"/>
  <c r="D5392" i="2"/>
  <c r="D5393" i="2"/>
  <c r="D5394" i="2"/>
  <c r="D5395" i="2"/>
  <c r="D5396" i="2"/>
  <c r="D5397" i="2"/>
  <c r="D5398" i="2"/>
  <c r="D5399" i="2"/>
  <c r="D5400" i="2"/>
  <c r="D5401" i="2"/>
  <c r="D5402" i="2"/>
  <c r="D5403" i="2"/>
  <c r="D5404" i="2"/>
  <c r="D5405" i="2"/>
  <c r="D5406" i="2"/>
  <c r="D5407" i="2"/>
  <c r="D5408" i="2"/>
  <c r="D5409" i="2"/>
  <c r="D5410" i="2"/>
  <c r="D5411" i="2"/>
  <c r="D5412" i="2"/>
  <c r="D5413" i="2"/>
  <c r="D5414" i="2"/>
  <c r="D5415" i="2"/>
  <c r="D5416" i="2"/>
  <c r="D5417" i="2"/>
  <c r="D5418" i="2"/>
  <c r="D5419" i="2"/>
  <c r="D5420" i="2"/>
  <c r="D5421" i="2"/>
  <c r="D5422" i="2"/>
  <c r="D5423" i="2"/>
  <c r="D5424" i="2"/>
  <c r="D5425" i="2"/>
  <c r="D5426" i="2"/>
  <c r="D5427" i="2"/>
  <c r="D5428" i="2"/>
  <c r="D5429" i="2"/>
  <c r="D5430" i="2"/>
  <c r="D5431" i="2"/>
  <c r="D5432" i="2"/>
  <c r="D5433" i="2"/>
  <c r="D5434" i="2"/>
  <c r="D5435" i="2"/>
  <c r="D5436" i="2"/>
  <c r="D5437" i="2"/>
  <c r="D5438" i="2"/>
  <c r="D5439" i="2"/>
  <c r="D5440" i="2"/>
  <c r="D5441" i="2"/>
  <c r="D5442" i="2"/>
  <c r="D5443" i="2"/>
  <c r="D5444" i="2"/>
  <c r="D5445" i="2"/>
  <c r="D5446" i="2"/>
  <c r="D5447" i="2"/>
  <c r="D5448" i="2"/>
  <c r="D5449" i="2"/>
  <c r="D5450" i="2"/>
  <c r="D5451" i="2"/>
  <c r="D5452" i="2"/>
  <c r="D5453" i="2"/>
  <c r="D5454" i="2"/>
  <c r="D5455" i="2"/>
  <c r="D5456" i="2"/>
  <c r="D5457" i="2"/>
  <c r="D5458" i="2"/>
  <c r="D5459" i="2"/>
  <c r="D5460" i="2"/>
  <c r="D5461" i="2"/>
  <c r="D5462" i="2"/>
  <c r="D5463" i="2"/>
  <c r="D5464" i="2"/>
  <c r="D5465" i="2"/>
  <c r="D5466" i="2"/>
  <c r="D5467" i="2"/>
  <c r="D5468" i="2"/>
  <c r="D5469" i="2"/>
  <c r="D5470" i="2"/>
  <c r="D5471" i="2"/>
  <c r="D5472" i="2"/>
  <c r="D5473" i="2"/>
  <c r="D5474" i="2"/>
  <c r="D5475" i="2"/>
  <c r="D5476" i="2"/>
  <c r="D5477" i="2"/>
  <c r="D5478" i="2"/>
  <c r="D5479" i="2"/>
  <c r="D5480" i="2"/>
  <c r="D5481" i="2"/>
  <c r="D5482" i="2"/>
  <c r="D5483" i="2"/>
  <c r="D5484" i="2"/>
  <c r="D5485" i="2"/>
  <c r="D5486" i="2"/>
  <c r="D5487" i="2"/>
  <c r="D5488" i="2"/>
  <c r="D5489" i="2"/>
  <c r="D5490" i="2"/>
  <c r="D5491" i="2"/>
  <c r="D5492" i="2"/>
  <c r="D5493" i="2"/>
  <c r="D5494" i="2"/>
  <c r="D5495" i="2"/>
  <c r="D5496" i="2"/>
  <c r="D5497" i="2"/>
  <c r="D5498" i="2"/>
  <c r="D5499" i="2"/>
  <c r="D5500" i="2"/>
  <c r="D5501" i="2"/>
  <c r="D5502" i="2"/>
  <c r="D5503" i="2"/>
  <c r="D5504" i="2"/>
  <c r="D5505" i="2"/>
  <c r="D5506" i="2"/>
  <c r="D5507" i="2"/>
  <c r="D5508" i="2"/>
  <c r="D5509" i="2"/>
  <c r="D5510" i="2"/>
  <c r="D5511" i="2"/>
  <c r="D5512" i="2"/>
  <c r="D5513" i="2"/>
  <c r="D5514" i="2"/>
  <c r="D5515" i="2"/>
  <c r="D5516" i="2"/>
  <c r="D5517" i="2"/>
  <c r="D5518" i="2"/>
  <c r="D5519" i="2"/>
  <c r="D5520" i="2"/>
  <c r="D5521" i="2"/>
  <c r="D5522" i="2"/>
  <c r="D5523" i="2"/>
  <c r="D5524" i="2"/>
  <c r="D5525" i="2"/>
  <c r="D5526" i="2"/>
  <c r="D5527" i="2"/>
  <c r="D5528" i="2"/>
  <c r="D5529" i="2"/>
  <c r="D5530" i="2"/>
  <c r="D5531" i="2"/>
  <c r="D5532" i="2"/>
  <c r="D5533" i="2"/>
  <c r="D5534" i="2"/>
  <c r="D5535" i="2"/>
  <c r="D5536" i="2"/>
  <c r="D5537" i="2"/>
  <c r="D5538" i="2"/>
  <c r="D5539" i="2"/>
  <c r="D5540" i="2"/>
  <c r="D5541" i="2"/>
  <c r="D5542" i="2"/>
  <c r="D5543" i="2"/>
  <c r="D5544" i="2"/>
  <c r="D5545" i="2"/>
  <c r="D5546" i="2"/>
  <c r="D5547" i="2"/>
  <c r="D5548" i="2"/>
  <c r="D5549" i="2"/>
  <c r="D5550" i="2"/>
  <c r="D5551" i="2"/>
  <c r="D5552" i="2"/>
  <c r="D5553" i="2"/>
  <c r="D5554" i="2"/>
  <c r="D5555" i="2"/>
  <c r="D5556" i="2"/>
  <c r="D5557" i="2"/>
  <c r="D5558" i="2"/>
  <c r="D5559" i="2"/>
  <c r="D5560" i="2"/>
  <c r="D5561" i="2"/>
  <c r="D5562" i="2"/>
  <c r="D5563" i="2"/>
  <c r="D5564" i="2"/>
  <c r="D5565" i="2"/>
  <c r="D5566" i="2"/>
  <c r="D5567" i="2"/>
  <c r="D5568" i="2"/>
  <c r="D5569" i="2"/>
  <c r="D5570" i="2"/>
  <c r="D5571" i="2"/>
  <c r="D5572" i="2"/>
  <c r="D5573" i="2"/>
  <c r="D5574" i="2"/>
  <c r="D5575" i="2"/>
  <c r="D5576" i="2"/>
  <c r="D5577" i="2"/>
  <c r="D5578" i="2"/>
  <c r="D5579" i="2"/>
  <c r="D5580" i="2"/>
  <c r="D5581" i="2"/>
  <c r="D5582" i="2"/>
  <c r="D5583" i="2"/>
  <c r="D5584" i="2"/>
  <c r="D5585" i="2"/>
  <c r="D5586" i="2"/>
  <c r="D5587" i="2"/>
  <c r="D5588" i="2"/>
  <c r="D5589" i="2"/>
  <c r="D5590" i="2"/>
  <c r="D5591" i="2"/>
  <c r="D5592" i="2"/>
  <c r="D5593" i="2"/>
  <c r="D5594" i="2"/>
  <c r="D5595" i="2"/>
  <c r="D5596" i="2"/>
  <c r="D5597" i="2"/>
  <c r="D5598" i="2"/>
  <c r="D5599" i="2"/>
  <c r="D5600" i="2"/>
  <c r="D5601" i="2"/>
  <c r="D5602" i="2"/>
  <c r="D5603" i="2"/>
  <c r="D5604" i="2"/>
  <c r="D5605" i="2"/>
  <c r="D5606" i="2"/>
  <c r="D5607" i="2"/>
  <c r="D5608" i="2"/>
  <c r="D5609" i="2"/>
  <c r="D5610" i="2"/>
  <c r="D5611" i="2"/>
  <c r="D5612" i="2"/>
  <c r="D5613" i="2"/>
  <c r="D5614" i="2"/>
  <c r="D5615" i="2"/>
  <c r="D5616" i="2"/>
  <c r="D5617" i="2"/>
  <c r="D5618" i="2"/>
  <c r="D5619" i="2"/>
  <c r="D5620" i="2"/>
  <c r="D5621" i="2"/>
  <c r="D5622" i="2"/>
  <c r="D5623" i="2"/>
  <c r="D5624" i="2"/>
  <c r="D5625" i="2"/>
  <c r="D5626" i="2"/>
  <c r="D5627" i="2"/>
  <c r="D5628" i="2"/>
  <c r="D5629" i="2"/>
  <c r="D5630" i="2"/>
  <c r="D5631" i="2"/>
  <c r="D5632" i="2"/>
  <c r="D5633" i="2"/>
  <c r="D5634" i="2"/>
  <c r="D5635" i="2"/>
  <c r="D5636" i="2"/>
  <c r="D5637" i="2"/>
  <c r="D5638" i="2"/>
  <c r="D5639" i="2"/>
  <c r="D5640" i="2"/>
  <c r="D5641" i="2"/>
  <c r="D5642" i="2"/>
  <c r="D5643" i="2"/>
  <c r="D5644" i="2"/>
  <c r="D5645" i="2"/>
  <c r="D5646" i="2"/>
  <c r="D5647" i="2"/>
  <c r="D5648" i="2"/>
  <c r="D5649" i="2"/>
  <c r="D5650" i="2"/>
  <c r="D5651" i="2"/>
  <c r="D5652" i="2"/>
  <c r="D5653" i="2"/>
  <c r="D5654" i="2"/>
  <c r="D5655" i="2"/>
  <c r="D5656" i="2"/>
  <c r="D5657" i="2"/>
  <c r="D5658" i="2"/>
  <c r="D5659" i="2"/>
  <c r="D5660" i="2"/>
  <c r="D5661" i="2"/>
  <c r="D5662" i="2"/>
  <c r="D5663" i="2"/>
  <c r="D5664" i="2"/>
  <c r="D5665" i="2"/>
  <c r="D5666" i="2"/>
  <c r="D5667" i="2"/>
  <c r="D5668" i="2"/>
  <c r="D5669" i="2"/>
  <c r="D5670" i="2"/>
  <c r="D5671" i="2"/>
  <c r="D5672" i="2"/>
  <c r="D5673" i="2"/>
  <c r="D5674" i="2"/>
  <c r="D5675" i="2"/>
  <c r="D5676" i="2"/>
  <c r="D5677" i="2"/>
  <c r="D5678" i="2"/>
  <c r="D5679" i="2"/>
  <c r="D5680" i="2"/>
  <c r="D5681" i="2"/>
  <c r="D5682" i="2"/>
  <c r="D5683" i="2"/>
  <c r="D5684" i="2"/>
  <c r="D5685" i="2"/>
  <c r="D5686" i="2"/>
  <c r="D5687" i="2"/>
  <c r="D5688" i="2"/>
  <c r="D5689" i="2"/>
  <c r="D5690" i="2"/>
  <c r="D5691" i="2"/>
  <c r="D5692" i="2"/>
  <c r="D5693" i="2"/>
  <c r="D5694" i="2"/>
  <c r="D5695" i="2"/>
  <c r="D5696" i="2"/>
  <c r="D5697" i="2"/>
  <c r="D5698" i="2"/>
  <c r="D5699" i="2"/>
  <c r="D5700" i="2"/>
  <c r="D5701" i="2"/>
  <c r="D5702" i="2"/>
  <c r="D5703" i="2"/>
  <c r="D5704" i="2"/>
  <c r="D5705" i="2"/>
  <c r="D5706" i="2"/>
  <c r="D5707" i="2"/>
  <c r="D5708" i="2"/>
  <c r="D5709" i="2"/>
  <c r="D5710" i="2"/>
  <c r="D5711" i="2"/>
  <c r="D5712" i="2"/>
  <c r="D5713" i="2"/>
  <c r="D5714" i="2"/>
  <c r="D5715" i="2"/>
  <c r="D5716" i="2"/>
  <c r="D5717" i="2"/>
  <c r="D5718" i="2"/>
  <c r="D5719" i="2"/>
  <c r="D5720" i="2"/>
  <c r="D5721" i="2"/>
  <c r="D5722" i="2"/>
  <c r="D5723" i="2"/>
  <c r="D5724" i="2"/>
  <c r="D5725" i="2"/>
  <c r="D5726" i="2"/>
  <c r="D5727" i="2"/>
  <c r="D5728" i="2"/>
  <c r="D5729" i="2"/>
  <c r="D5730" i="2"/>
  <c r="D5731" i="2"/>
  <c r="D5732" i="2"/>
  <c r="D5733" i="2"/>
  <c r="D5734" i="2"/>
  <c r="D5735" i="2"/>
  <c r="D5736" i="2"/>
  <c r="D5737" i="2"/>
  <c r="D5738" i="2"/>
  <c r="D5739" i="2"/>
  <c r="D5740" i="2"/>
  <c r="D5741" i="2"/>
  <c r="D5742" i="2"/>
  <c r="D5743" i="2"/>
  <c r="D5744" i="2"/>
  <c r="D5745" i="2"/>
  <c r="D5746" i="2"/>
  <c r="D5747" i="2"/>
  <c r="D5748" i="2"/>
  <c r="D5749" i="2"/>
  <c r="D5750" i="2"/>
  <c r="D5751" i="2"/>
  <c r="D5752" i="2"/>
  <c r="D5753" i="2"/>
  <c r="D5754" i="2"/>
  <c r="D5755" i="2"/>
  <c r="D5756" i="2"/>
  <c r="D5757" i="2"/>
  <c r="D5758" i="2"/>
  <c r="D5759" i="2"/>
  <c r="D5760" i="2"/>
  <c r="D5761" i="2"/>
  <c r="D5762" i="2"/>
  <c r="D5763" i="2"/>
  <c r="D5764" i="2"/>
  <c r="D5765" i="2"/>
  <c r="D5766" i="2"/>
  <c r="D5767" i="2"/>
  <c r="D5768" i="2"/>
  <c r="D5769" i="2"/>
  <c r="D5770" i="2"/>
  <c r="D5771" i="2"/>
  <c r="D5772" i="2"/>
  <c r="D5773" i="2"/>
  <c r="D5774" i="2"/>
  <c r="D5775" i="2"/>
  <c r="D5776" i="2"/>
  <c r="D5777" i="2"/>
  <c r="D5778" i="2"/>
  <c r="D5779" i="2"/>
  <c r="D5780" i="2"/>
  <c r="D5781" i="2"/>
  <c r="D5782" i="2"/>
  <c r="D5783" i="2"/>
  <c r="D5784" i="2"/>
  <c r="D5785" i="2"/>
  <c r="D5786" i="2"/>
  <c r="D5787" i="2"/>
  <c r="D5788" i="2"/>
  <c r="D5789" i="2"/>
  <c r="D5790" i="2"/>
  <c r="D5791" i="2"/>
  <c r="D5792" i="2"/>
  <c r="D5793" i="2"/>
  <c r="D5794" i="2"/>
  <c r="D5795" i="2"/>
  <c r="D5796" i="2"/>
  <c r="D5797" i="2"/>
  <c r="D5798" i="2"/>
  <c r="D5799" i="2"/>
  <c r="D5800" i="2"/>
  <c r="D5801" i="2"/>
  <c r="D5802" i="2"/>
  <c r="D5803" i="2"/>
  <c r="D5804" i="2"/>
  <c r="D5805" i="2"/>
  <c r="D5806" i="2"/>
  <c r="D5807" i="2"/>
  <c r="D5808" i="2"/>
  <c r="D5809" i="2"/>
  <c r="D5810" i="2"/>
  <c r="D5811" i="2"/>
  <c r="D5812" i="2"/>
  <c r="D5813" i="2"/>
  <c r="D5814" i="2"/>
  <c r="D5815" i="2"/>
  <c r="D5816" i="2"/>
  <c r="D5817" i="2"/>
  <c r="D5818" i="2"/>
  <c r="D5819" i="2"/>
  <c r="D5820" i="2"/>
  <c r="D5821" i="2"/>
  <c r="D5822" i="2"/>
  <c r="D5823" i="2"/>
  <c r="D5824" i="2"/>
  <c r="D5825" i="2"/>
  <c r="D5826" i="2"/>
  <c r="D5827" i="2"/>
  <c r="D5828" i="2"/>
  <c r="D5829" i="2"/>
  <c r="D5830" i="2"/>
  <c r="D5831" i="2"/>
  <c r="D5832" i="2"/>
  <c r="D5833" i="2"/>
  <c r="D5834" i="2"/>
  <c r="D5835" i="2"/>
  <c r="D5836" i="2"/>
  <c r="D5837" i="2"/>
  <c r="D5838" i="2"/>
  <c r="D5839" i="2"/>
  <c r="D5840" i="2"/>
  <c r="D5841" i="2"/>
  <c r="D5842" i="2"/>
  <c r="D5843" i="2"/>
  <c r="D5844" i="2"/>
  <c r="D5845" i="2"/>
  <c r="D5846" i="2"/>
  <c r="D5847" i="2"/>
  <c r="D5848" i="2"/>
  <c r="D5849" i="2"/>
  <c r="D5850" i="2"/>
  <c r="D5851" i="2"/>
  <c r="D5852" i="2"/>
  <c r="D5853" i="2"/>
  <c r="D5854" i="2"/>
  <c r="D5855" i="2"/>
  <c r="D5856" i="2"/>
  <c r="D5857" i="2"/>
  <c r="D5858" i="2"/>
  <c r="D5859" i="2"/>
  <c r="D5860" i="2"/>
  <c r="D5861" i="2"/>
  <c r="D5862" i="2"/>
  <c r="D5863" i="2"/>
  <c r="D5864" i="2"/>
  <c r="D5865" i="2"/>
  <c r="D5866" i="2"/>
  <c r="D5867" i="2"/>
  <c r="D5868" i="2"/>
  <c r="D5869" i="2"/>
  <c r="D5870" i="2"/>
  <c r="D5871" i="2"/>
  <c r="D5872" i="2"/>
  <c r="D5873" i="2"/>
  <c r="D5874" i="2"/>
  <c r="D5875" i="2"/>
  <c r="D5876" i="2"/>
  <c r="D5877" i="2"/>
  <c r="D5878" i="2"/>
  <c r="D5879" i="2"/>
  <c r="D5880" i="2"/>
  <c r="D5881" i="2"/>
  <c r="D5882" i="2"/>
  <c r="D5883" i="2"/>
  <c r="D5884" i="2"/>
  <c r="D5885" i="2"/>
  <c r="D5886" i="2"/>
  <c r="D5887" i="2"/>
  <c r="D5888" i="2"/>
  <c r="D5889" i="2"/>
  <c r="D5890" i="2"/>
  <c r="D5891" i="2"/>
  <c r="D5892" i="2"/>
  <c r="D5893" i="2"/>
  <c r="D5894" i="2"/>
  <c r="D5895" i="2"/>
  <c r="D5896" i="2"/>
  <c r="D5897" i="2"/>
  <c r="D5898" i="2"/>
  <c r="D5899" i="2"/>
  <c r="D5900" i="2"/>
  <c r="D5901" i="2"/>
  <c r="D5902" i="2"/>
  <c r="D5903" i="2"/>
  <c r="D5904" i="2"/>
  <c r="D5905" i="2"/>
  <c r="D5906" i="2"/>
  <c r="D5907" i="2"/>
  <c r="D5908" i="2"/>
  <c r="D5909" i="2"/>
  <c r="D5910" i="2"/>
  <c r="D5911" i="2"/>
  <c r="D5912" i="2"/>
  <c r="D5913" i="2"/>
  <c r="D5914" i="2"/>
  <c r="D5915" i="2"/>
  <c r="D5916" i="2"/>
  <c r="D5917" i="2"/>
  <c r="D5918" i="2"/>
  <c r="D5919" i="2"/>
  <c r="D5920" i="2"/>
  <c r="D5921" i="2"/>
  <c r="D5922" i="2"/>
  <c r="D5923" i="2"/>
  <c r="D5924" i="2"/>
  <c r="D5925" i="2"/>
  <c r="D5926" i="2"/>
  <c r="D5927" i="2"/>
  <c r="D5928" i="2"/>
  <c r="D5929" i="2"/>
  <c r="D5930" i="2"/>
  <c r="D5931" i="2"/>
  <c r="D5932" i="2"/>
  <c r="D5933" i="2"/>
  <c r="D5934" i="2"/>
  <c r="D5935" i="2"/>
  <c r="D5936" i="2"/>
  <c r="D5937" i="2"/>
  <c r="D5938" i="2"/>
  <c r="D5939" i="2"/>
  <c r="D5940" i="2"/>
  <c r="D5941" i="2"/>
  <c r="D5942" i="2"/>
  <c r="D5943" i="2"/>
  <c r="D5944" i="2"/>
  <c r="D5945" i="2"/>
  <c r="D5946" i="2"/>
  <c r="D5947" i="2"/>
  <c r="D5948" i="2"/>
  <c r="D5949" i="2"/>
  <c r="D5950" i="2"/>
  <c r="D5951" i="2"/>
  <c r="D5952" i="2"/>
  <c r="D5953" i="2"/>
  <c r="D5954" i="2"/>
  <c r="D5955" i="2"/>
  <c r="D5956" i="2"/>
  <c r="D5957" i="2"/>
  <c r="D5958" i="2"/>
  <c r="D5959" i="2"/>
  <c r="D5960" i="2"/>
  <c r="D5961" i="2"/>
  <c r="D5962" i="2"/>
  <c r="D5963" i="2"/>
  <c r="D5964" i="2"/>
  <c r="D5965" i="2"/>
  <c r="D5966" i="2"/>
  <c r="D5967" i="2"/>
  <c r="D5968" i="2"/>
  <c r="D5969" i="2"/>
  <c r="D5970" i="2"/>
  <c r="D5971" i="2"/>
  <c r="D5972" i="2"/>
  <c r="D5973" i="2"/>
  <c r="D5974" i="2"/>
  <c r="D5975" i="2"/>
  <c r="D5976" i="2"/>
  <c r="D5977" i="2"/>
  <c r="D5978" i="2"/>
  <c r="D5979" i="2"/>
  <c r="D5980" i="2"/>
  <c r="D5981" i="2"/>
  <c r="D5982" i="2"/>
  <c r="D5983" i="2"/>
  <c r="D5984" i="2"/>
  <c r="D5985" i="2"/>
  <c r="D5986" i="2"/>
  <c r="D5987" i="2"/>
  <c r="D5988" i="2"/>
  <c r="D5989" i="2"/>
  <c r="D5990" i="2"/>
  <c r="D5991" i="2"/>
  <c r="D5992" i="2"/>
  <c r="D5993" i="2"/>
  <c r="D5994" i="2"/>
  <c r="D5995" i="2"/>
  <c r="D5996" i="2"/>
  <c r="D5997" i="2"/>
  <c r="D5998" i="2"/>
  <c r="D5999" i="2"/>
  <c r="D6000" i="2"/>
  <c r="D6001" i="2"/>
  <c r="D6002" i="2"/>
  <c r="D6003" i="2"/>
  <c r="D6004" i="2"/>
  <c r="D6005" i="2"/>
  <c r="D6006" i="2"/>
  <c r="D6007" i="2"/>
  <c r="D6008" i="2"/>
  <c r="D6009" i="2"/>
  <c r="D6010" i="2"/>
  <c r="D6011" i="2"/>
  <c r="D6012" i="2"/>
  <c r="D6013" i="2"/>
  <c r="D6014" i="2"/>
  <c r="D6015" i="2"/>
  <c r="D6016" i="2"/>
  <c r="D6017" i="2"/>
  <c r="D6018" i="2"/>
  <c r="D6019" i="2"/>
  <c r="D6020" i="2"/>
  <c r="D6021" i="2"/>
  <c r="D6022" i="2"/>
  <c r="D6023" i="2"/>
  <c r="D6024" i="2"/>
  <c r="D6025" i="2"/>
  <c r="D6026" i="2"/>
  <c r="D6027" i="2"/>
  <c r="D6028" i="2"/>
  <c r="D6029" i="2"/>
  <c r="D6030" i="2"/>
  <c r="D6031" i="2"/>
  <c r="D6032" i="2"/>
  <c r="D6033" i="2"/>
  <c r="D6034" i="2"/>
  <c r="D6035" i="2"/>
  <c r="D6036" i="2"/>
  <c r="D6037" i="2"/>
  <c r="D6038" i="2"/>
  <c r="D6039" i="2"/>
  <c r="D6040" i="2"/>
  <c r="D6041" i="2"/>
  <c r="D6042" i="2"/>
  <c r="D6043" i="2"/>
  <c r="D6044" i="2"/>
  <c r="D6045" i="2"/>
  <c r="D6046" i="2"/>
  <c r="D6047" i="2"/>
  <c r="D6048" i="2"/>
  <c r="D6049" i="2"/>
  <c r="D6050" i="2"/>
  <c r="D6051" i="2"/>
  <c r="D6052" i="2"/>
  <c r="D6053" i="2"/>
  <c r="D6054" i="2"/>
  <c r="D6055" i="2"/>
  <c r="D6056" i="2"/>
  <c r="D6057" i="2"/>
  <c r="D6058" i="2"/>
  <c r="D6059" i="2"/>
  <c r="D6060" i="2"/>
  <c r="D6061" i="2"/>
  <c r="D6062" i="2"/>
  <c r="D6063" i="2"/>
  <c r="D6064" i="2"/>
  <c r="D6065" i="2"/>
  <c r="D6066" i="2"/>
  <c r="D6067" i="2"/>
  <c r="D6068" i="2"/>
  <c r="D6069" i="2"/>
  <c r="D6070" i="2"/>
  <c r="D6071" i="2"/>
  <c r="D6072" i="2"/>
  <c r="D6073" i="2"/>
  <c r="D6074" i="2"/>
  <c r="D6075" i="2"/>
  <c r="D6076" i="2"/>
  <c r="D6077" i="2"/>
  <c r="D6078" i="2"/>
  <c r="D6079" i="2"/>
  <c r="D6080" i="2"/>
  <c r="D6081" i="2"/>
  <c r="D6082" i="2"/>
  <c r="D6083" i="2"/>
  <c r="D6084" i="2"/>
  <c r="D6085" i="2"/>
  <c r="D6086" i="2"/>
  <c r="D6087" i="2"/>
  <c r="D6088" i="2"/>
  <c r="D6089" i="2"/>
  <c r="D6090" i="2"/>
  <c r="D6091" i="2"/>
  <c r="D6092" i="2"/>
  <c r="D6093" i="2"/>
  <c r="D6094" i="2"/>
  <c r="D6095" i="2"/>
  <c r="D6096" i="2"/>
  <c r="D6097" i="2"/>
  <c r="D6098" i="2"/>
  <c r="D6099" i="2"/>
  <c r="D6100" i="2"/>
  <c r="D6101" i="2"/>
  <c r="D6102" i="2"/>
  <c r="D6103" i="2"/>
  <c r="D6104" i="2"/>
  <c r="D6105" i="2"/>
  <c r="D6106" i="2"/>
  <c r="D6107" i="2"/>
  <c r="D6108" i="2"/>
  <c r="D6109" i="2"/>
  <c r="D6110" i="2"/>
  <c r="D6111" i="2"/>
  <c r="D6112" i="2"/>
  <c r="D6113" i="2"/>
  <c r="D6114" i="2"/>
  <c r="D6115" i="2"/>
  <c r="D6116" i="2"/>
  <c r="D6117" i="2"/>
  <c r="D6118" i="2"/>
  <c r="D6119" i="2"/>
  <c r="D6120" i="2"/>
  <c r="D6121" i="2"/>
  <c r="D6122" i="2"/>
  <c r="D6123" i="2"/>
  <c r="D6124" i="2"/>
  <c r="D6125" i="2"/>
  <c r="D6126" i="2"/>
  <c r="D6127" i="2"/>
  <c r="D6128" i="2"/>
  <c r="D6129" i="2"/>
  <c r="D6130" i="2"/>
  <c r="D6131" i="2"/>
  <c r="D6132" i="2"/>
  <c r="D6133" i="2"/>
  <c r="D6134" i="2"/>
  <c r="D6135" i="2"/>
  <c r="D6136" i="2"/>
  <c r="D6137" i="2"/>
  <c r="D6138" i="2"/>
  <c r="D6139" i="2"/>
  <c r="D6140" i="2"/>
  <c r="D6141" i="2"/>
  <c r="D6142" i="2"/>
  <c r="D6143" i="2"/>
  <c r="D6144" i="2"/>
  <c r="D6145" i="2"/>
  <c r="D6146" i="2"/>
  <c r="D6147" i="2"/>
  <c r="D6148" i="2"/>
  <c r="D6149" i="2"/>
  <c r="D6150" i="2"/>
  <c r="D6151" i="2"/>
  <c r="D6152" i="2"/>
  <c r="D6153" i="2"/>
  <c r="D6154" i="2"/>
  <c r="D6155" i="2"/>
  <c r="D6156" i="2"/>
  <c r="D6157" i="2"/>
  <c r="D6158" i="2"/>
  <c r="D6159" i="2"/>
  <c r="D6160" i="2"/>
  <c r="D6161" i="2"/>
  <c r="D6162" i="2"/>
  <c r="D6163" i="2"/>
  <c r="D6164" i="2"/>
  <c r="D6165" i="2"/>
  <c r="D6166" i="2"/>
  <c r="D6167" i="2"/>
  <c r="D6168" i="2"/>
  <c r="D6169" i="2"/>
  <c r="D6170" i="2"/>
  <c r="D6171" i="2"/>
  <c r="D6172" i="2"/>
  <c r="D6173" i="2"/>
  <c r="D6174" i="2"/>
  <c r="D6175" i="2"/>
  <c r="D6176" i="2"/>
  <c r="D6177" i="2"/>
  <c r="D6178" i="2"/>
  <c r="D6179" i="2"/>
  <c r="D6180" i="2"/>
  <c r="D6181" i="2"/>
  <c r="D6182" i="2"/>
  <c r="D6183" i="2"/>
  <c r="D6184" i="2"/>
  <c r="D6185" i="2"/>
  <c r="D6186" i="2"/>
  <c r="D6187" i="2"/>
  <c r="D6188" i="2"/>
  <c r="D6189" i="2"/>
  <c r="D6190" i="2"/>
  <c r="D6191" i="2"/>
  <c r="D6192" i="2"/>
  <c r="D6193" i="2"/>
  <c r="D6194" i="2"/>
  <c r="D6195" i="2"/>
  <c r="D6196" i="2"/>
  <c r="D6197" i="2"/>
  <c r="D6198" i="2"/>
  <c r="D6199" i="2"/>
  <c r="D6200" i="2"/>
  <c r="D6201" i="2"/>
  <c r="D6202" i="2"/>
  <c r="D6203" i="2"/>
  <c r="D6204" i="2"/>
  <c r="D6205" i="2"/>
  <c r="D6206" i="2"/>
  <c r="D6207" i="2"/>
  <c r="D6208" i="2"/>
  <c r="D6209" i="2"/>
  <c r="D6210" i="2"/>
  <c r="D6211" i="2"/>
  <c r="D6212" i="2"/>
  <c r="D6213" i="2"/>
  <c r="D6214" i="2"/>
  <c r="D6215" i="2"/>
  <c r="D6216" i="2"/>
  <c r="D6217" i="2"/>
  <c r="D6218" i="2"/>
  <c r="D6219" i="2"/>
  <c r="D6220" i="2"/>
  <c r="D6221" i="2"/>
  <c r="D6222" i="2"/>
  <c r="D6223" i="2"/>
  <c r="D6224" i="2"/>
  <c r="D6225" i="2"/>
  <c r="D6226" i="2"/>
  <c r="D6227" i="2"/>
  <c r="D6228" i="2"/>
  <c r="D6229" i="2"/>
  <c r="D6230" i="2"/>
  <c r="D6231" i="2"/>
  <c r="D6232" i="2"/>
  <c r="D6233" i="2"/>
  <c r="D6234" i="2"/>
  <c r="D6235" i="2"/>
  <c r="D6236" i="2"/>
  <c r="D6237" i="2"/>
  <c r="D6238" i="2"/>
  <c r="D6239" i="2"/>
  <c r="D6240" i="2"/>
  <c r="D6241" i="2"/>
  <c r="D6242" i="2"/>
  <c r="D6243" i="2"/>
  <c r="D6244" i="2"/>
  <c r="D6245" i="2"/>
  <c r="D6246" i="2"/>
  <c r="D6247" i="2"/>
  <c r="D6248" i="2"/>
  <c r="D6249" i="2"/>
  <c r="D6250" i="2"/>
  <c r="D6251" i="2"/>
  <c r="D6252" i="2"/>
  <c r="D6253" i="2"/>
  <c r="D6254" i="2"/>
  <c r="D6255" i="2"/>
  <c r="D6256" i="2"/>
  <c r="D6257" i="2"/>
  <c r="D6258" i="2"/>
  <c r="D6259" i="2"/>
  <c r="D6260" i="2"/>
  <c r="D6261" i="2"/>
  <c r="D6262" i="2"/>
  <c r="D6263" i="2"/>
  <c r="D6264" i="2"/>
  <c r="D6265" i="2"/>
  <c r="D6266" i="2"/>
  <c r="D6267" i="2"/>
  <c r="D6268" i="2"/>
  <c r="D6269" i="2"/>
  <c r="D6270" i="2"/>
  <c r="D6271" i="2"/>
  <c r="D6272" i="2"/>
  <c r="D6273" i="2"/>
  <c r="D6274" i="2"/>
  <c r="D6275" i="2"/>
  <c r="D6276" i="2"/>
  <c r="D6277" i="2"/>
  <c r="D6278" i="2"/>
  <c r="D6279" i="2"/>
  <c r="D6280" i="2"/>
  <c r="D6281" i="2"/>
  <c r="D6282" i="2"/>
  <c r="D6283" i="2"/>
  <c r="D6284" i="2"/>
  <c r="D6285" i="2"/>
  <c r="D6286" i="2"/>
  <c r="D6287" i="2"/>
  <c r="D6288" i="2"/>
  <c r="D6289" i="2"/>
  <c r="D6290" i="2"/>
  <c r="D6291" i="2"/>
  <c r="D6292" i="2"/>
  <c r="D6293" i="2"/>
  <c r="D6294" i="2"/>
  <c r="D6295" i="2"/>
  <c r="D6296" i="2"/>
  <c r="D6297" i="2"/>
  <c r="D6298" i="2"/>
  <c r="D6299" i="2"/>
  <c r="D6300" i="2"/>
  <c r="D6301" i="2"/>
  <c r="D6302" i="2"/>
  <c r="D6303" i="2"/>
  <c r="D6304" i="2"/>
  <c r="D6305" i="2"/>
  <c r="D6306" i="2"/>
  <c r="D6307" i="2"/>
  <c r="D6308" i="2"/>
  <c r="D6309" i="2"/>
  <c r="D6310" i="2"/>
  <c r="D6311" i="2"/>
  <c r="D6312" i="2"/>
  <c r="D6313" i="2"/>
  <c r="D6314" i="2"/>
  <c r="D6315" i="2"/>
  <c r="D6316" i="2"/>
  <c r="D6317" i="2"/>
  <c r="D6318" i="2"/>
  <c r="D6319" i="2"/>
  <c r="D6320" i="2"/>
  <c r="D6321" i="2"/>
  <c r="D6322" i="2"/>
  <c r="D6323" i="2"/>
  <c r="D6324" i="2"/>
  <c r="D6325" i="2"/>
  <c r="D6326" i="2"/>
  <c r="D6327" i="2"/>
  <c r="D6328" i="2"/>
  <c r="D6329" i="2"/>
  <c r="D6330" i="2"/>
  <c r="D6331" i="2"/>
  <c r="D6332" i="2"/>
  <c r="D6333" i="2"/>
  <c r="D6334" i="2"/>
  <c r="D6335" i="2"/>
  <c r="D6336" i="2"/>
  <c r="D6337" i="2"/>
  <c r="D6338" i="2"/>
  <c r="D6339" i="2"/>
  <c r="D6340" i="2"/>
  <c r="D6341" i="2"/>
  <c r="D6342" i="2"/>
  <c r="D6343" i="2"/>
  <c r="D6344" i="2"/>
  <c r="D6345" i="2"/>
  <c r="D6346" i="2"/>
  <c r="D6347" i="2"/>
  <c r="D6348" i="2"/>
  <c r="D6349" i="2"/>
  <c r="D6350" i="2"/>
  <c r="D6351" i="2"/>
  <c r="D6352" i="2"/>
  <c r="D6353" i="2"/>
  <c r="D6354" i="2"/>
  <c r="D6355" i="2"/>
  <c r="D6356" i="2"/>
  <c r="D6357" i="2"/>
  <c r="D6358" i="2"/>
  <c r="D6359" i="2"/>
  <c r="D6360" i="2"/>
  <c r="D6361" i="2"/>
  <c r="D6362" i="2"/>
  <c r="D6363" i="2"/>
  <c r="D6364" i="2"/>
  <c r="D6365" i="2"/>
  <c r="D6366" i="2"/>
  <c r="D6367" i="2"/>
  <c r="D6368" i="2"/>
  <c r="D6369" i="2"/>
  <c r="D6370" i="2"/>
  <c r="D6371" i="2"/>
  <c r="D6372" i="2"/>
  <c r="D6373" i="2"/>
  <c r="D6374" i="2"/>
  <c r="D6375" i="2"/>
  <c r="D6376" i="2"/>
  <c r="D6377" i="2"/>
  <c r="D6378" i="2"/>
  <c r="D6379" i="2"/>
  <c r="D6380" i="2"/>
  <c r="D6381" i="2"/>
  <c r="D6382" i="2"/>
  <c r="D6383" i="2"/>
  <c r="D6384" i="2"/>
  <c r="D6385" i="2"/>
  <c r="D6386" i="2"/>
  <c r="D6387" i="2"/>
  <c r="D6388" i="2"/>
  <c r="D6389" i="2"/>
  <c r="D6390" i="2"/>
  <c r="D6391" i="2"/>
  <c r="D6392" i="2"/>
  <c r="D6393" i="2"/>
  <c r="D6394" i="2"/>
  <c r="D6395" i="2"/>
  <c r="D6396" i="2"/>
  <c r="D6397" i="2"/>
  <c r="D6398" i="2"/>
  <c r="D6399" i="2"/>
  <c r="D6400" i="2"/>
  <c r="D6401" i="2"/>
  <c r="D6402" i="2"/>
  <c r="D6403" i="2"/>
  <c r="D6404" i="2"/>
  <c r="D6405" i="2"/>
  <c r="D6406" i="2"/>
  <c r="D6407" i="2"/>
  <c r="D6408" i="2"/>
  <c r="D6409" i="2"/>
  <c r="D6410" i="2"/>
  <c r="D6411" i="2"/>
  <c r="D6412" i="2"/>
  <c r="D6413" i="2"/>
  <c r="D6414" i="2"/>
  <c r="D6415" i="2"/>
  <c r="D6416" i="2"/>
  <c r="D6417" i="2"/>
  <c r="D6418" i="2"/>
  <c r="D6419" i="2"/>
  <c r="D6420" i="2"/>
  <c r="D6421" i="2"/>
  <c r="D6422" i="2"/>
  <c r="D6423" i="2"/>
  <c r="D6424" i="2"/>
  <c r="D6425" i="2"/>
  <c r="D6426" i="2"/>
  <c r="D6427" i="2"/>
  <c r="D6428" i="2"/>
  <c r="D6429" i="2"/>
  <c r="D6430" i="2"/>
  <c r="D6431" i="2"/>
  <c r="D6432" i="2"/>
  <c r="D6433" i="2"/>
  <c r="D6434" i="2"/>
  <c r="D6435" i="2"/>
  <c r="D6436" i="2"/>
  <c r="D6437" i="2"/>
  <c r="D6438" i="2"/>
  <c r="D6439" i="2"/>
  <c r="D6440" i="2"/>
  <c r="D6441" i="2"/>
  <c r="D6442" i="2"/>
  <c r="D6443" i="2"/>
  <c r="D6444" i="2"/>
  <c r="D6445" i="2"/>
  <c r="D6446" i="2"/>
  <c r="D6447" i="2"/>
  <c r="D6448" i="2"/>
  <c r="D6449" i="2"/>
  <c r="D6450" i="2"/>
  <c r="D6451" i="2"/>
  <c r="D6452" i="2"/>
  <c r="D6453" i="2"/>
  <c r="D6454" i="2"/>
  <c r="D6455" i="2"/>
  <c r="D6456" i="2"/>
  <c r="D6457" i="2"/>
  <c r="D6458" i="2"/>
  <c r="D6459" i="2"/>
  <c r="D6460" i="2"/>
  <c r="D6461" i="2"/>
  <c r="D6462" i="2"/>
  <c r="D6463" i="2"/>
  <c r="D6464" i="2"/>
  <c r="D6465" i="2"/>
  <c r="D6466" i="2"/>
  <c r="D6467" i="2"/>
  <c r="D6468" i="2"/>
  <c r="D6469" i="2"/>
  <c r="D6470" i="2"/>
  <c r="D6471" i="2"/>
  <c r="D6472" i="2"/>
  <c r="D6473" i="2"/>
  <c r="D6474" i="2"/>
  <c r="D6475" i="2"/>
  <c r="D6476" i="2"/>
  <c r="D6477" i="2"/>
  <c r="D6478" i="2"/>
  <c r="D6479" i="2"/>
  <c r="D6480" i="2"/>
  <c r="D6481" i="2"/>
  <c r="D6482" i="2"/>
  <c r="D6483" i="2"/>
  <c r="D6484" i="2"/>
  <c r="D6485" i="2"/>
  <c r="D6486" i="2"/>
  <c r="D6487" i="2"/>
  <c r="D6488" i="2"/>
  <c r="D6489" i="2"/>
  <c r="D6490" i="2"/>
  <c r="D6491" i="2"/>
  <c r="D6492" i="2"/>
  <c r="D6493" i="2"/>
  <c r="D6494" i="2"/>
  <c r="D6495" i="2"/>
  <c r="D6496" i="2"/>
  <c r="D6497" i="2"/>
  <c r="D6498" i="2"/>
  <c r="D6499" i="2"/>
  <c r="D6500" i="2"/>
  <c r="D6501" i="2"/>
  <c r="D6502" i="2"/>
  <c r="D6503" i="2"/>
  <c r="D6504" i="2"/>
  <c r="D6505" i="2"/>
  <c r="D6506" i="2"/>
  <c r="D6507" i="2"/>
  <c r="D6508" i="2"/>
  <c r="D6509" i="2"/>
  <c r="D6510" i="2"/>
  <c r="D6511" i="2"/>
  <c r="D6512" i="2"/>
  <c r="D6513" i="2"/>
  <c r="D6514" i="2"/>
  <c r="D6515" i="2"/>
  <c r="D6516" i="2"/>
  <c r="D6517" i="2"/>
  <c r="D6518" i="2"/>
  <c r="D6519" i="2"/>
  <c r="D6520" i="2"/>
  <c r="D6521" i="2"/>
  <c r="D6522" i="2"/>
  <c r="D6523" i="2"/>
  <c r="D6524" i="2"/>
  <c r="D6525" i="2"/>
  <c r="D6526" i="2"/>
  <c r="D6527" i="2"/>
  <c r="D6528" i="2"/>
  <c r="D6529" i="2"/>
  <c r="D6530" i="2"/>
  <c r="D6531" i="2"/>
  <c r="D6532" i="2"/>
  <c r="D6533" i="2"/>
  <c r="D6534" i="2"/>
  <c r="D6535" i="2"/>
  <c r="D6536" i="2"/>
  <c r="D6537" i="2"/>
  <c r="D6538" i="2"/>
  <c r="D6539" i="2"/>
  <c r="D6540" i="2"/>
  <c r="D6541" i="2"/>
  <c r="D6542" i="2"/>
  <c r="D6543" i="2"/>
  <c r="D6544" i="2"/>
  <c r="D6545" i="2"/>
  <c r="D6546" i="2"/>
  <c r="D6547" i="2"/>
  <c r="D6548" i="2"/>
  <c r="D6549" i="2"/>
  <c r="D6550" i="2"/>
  <c r="D6551" i="2"/>
  <c r="D6552" i="2"/>
  <c r="D6553" i="2"/>
  <c r="D6554" i="2"/>
  <c r="D6555" i="2"/>
  <c r="D6556" i="2"/>
  <c r="D6557" i="2"/>
  <c r="D6558" i="2"/>
  <c r="D6559" i="2"/>
  <c r="D6560" i="2"/>
  <c r="D6561" i="2"/>
  <c r="D6562" i="2"/>
  <c r="D6563" i="2"/>
  <c r="D6564" i="2"/>
  <c r="D6565" i="2"/>
  <c r="D6566" i="2"/>
  <c r="D6567" i="2"/>
  <c r="D6568" i="2"/>
  <c r="D6569" i="2"/>
  <c r="D6570" i="2"/>
  <c r="D6571" i="2"/>
  <c r="D6572" i="2"/>
  <c r="D6573" i="2"/>
  <c r="D6574" i="2"/>
  <c r="D6575" i="2"/>
  <c r="D6576" i="2"/>
  <c r="D6577" i="2"/>
  <c r="D6578" i="2"/>
  <c r="D6579" i="2"/>
  <c r="D6580" i="2"/>
  <c r="D6581" i="2"/>
  <c r="D6582" i="2"/>
  <c r="D6583" i="2"/>
  <c r="D6584" i="2"/>
  <c r="D6585" i="2"/>
  <c r="D6586" i="2"/>
  <c r="D6587" i="2"/>
  <c r="D6588" i="2"/>
  <c r="D6589" i="2"/>
  <c r="D6590" i="2"/>
  <c r="D6591" i="2"/>
  <c r="D6592" i="2"/>
  <c r="D6593" i="2"/>
  <c r="D6594" i="2"/>
  <c r="D6595" i="2"/>
  <c r="D6596" i="2"/>
  <c r="D6597" i="2"/>
  <c r="D6598" i="2"/>
  <c r="D6599" i="2"/>
  <c r="D6600" i="2"/>
  <c r="D6601" i="2"/>
  <c r="D6602" i="2"/>
  <c r="D6603" i="2"/>
  <c r="D6604" i="2"/>
  <c r="D6605" i="2"/>
  <c r="D6606" i="2"/>
  <c r="D6607" i="2"/>
  <c r="D6608" i="2"/>
  <c r="D6609" i="2"/>
  <c r="D6610" i="2"/>
  <c r="D6611" i="2"/>
  <c r="D6612" i="2"/>
  <c r="D6613" i="2"/>
  <c r="D6614" i="2"/>
  <c r="D6615" i="2"/>
  <c r="D6616" i="2"/>
  <c r="D6617" i="2"/>
  <c r="D6618" i="2"/>
  <c r="D6619" i="2"/>
  <c r="D6620" i="2"/>
  <c r="D6621" i="2"/>
  <c r="D6622" i="2"/>
  <c r="D6623" i="2"/>
  <c r="D6624" i="2"/>
  <c r="D6625" i="2"/>
  <c r="D6626" i="2"/>
  <c r="D6627" i="2"/>
  <c r="D6628" i="2"/>
  <c r="D6629" i="2"/>
  <c r="D6630" i="2"/>
  <c r="D6631" i="2"/>
  <c r="D6632" i="2"/>
  <c r="D6633" i="2"/>
  <c r="D6634" i="2"/>
  <c r="D6635" i="2"/>
  <c r="D6636" i="2"/>
  <c r="D6637" i="2"/>
  <c r="D6638" i="2"/>
  <c r="D6639" i="2"/>
  <c r="D6640" i="2"/>
  <c r="D6641" i="2"/>
  <c r="D6642" i="2"/>
  <c r="D6643" i="2"/>
  <c r="D6644" i="2"/>
  <c r="D6645" i="2"/>
  <c r="D6646" i="2"/>
  <c r="D6647" i="2"/>
  <c r="D6648" i="2"/>
  <c r="D6649" i="2"/>
  <c r="D6650" i="2"/>
  <c r="D6651" i="2"/>
  <c r="D6652" i="2"/>
  <c r="D6653" i="2"/>
  <c r="D6654" i="2"/>
  <c r="D6655" i="2"/>
  <c r="D6656" i="2"/>
  <c r="D6657" i="2"/>
  <c r="D6658" i="2"/>
  <c r="D6659" i="2"/>
  <c r="D6660" i="2"/>
  <c r="D6661" i="2"/>
  <c r="D6662" i="2"/>
  <c r="D6663" i="2"/>
  <c r="D6664" i="2"/>
  <c r="D6665" i="2"/>
  <c r="D6666" i="2"/>
  <c r="D6667" i="2"/>
  <c r="D6668" i="2"/>
  <c r="D6669" i="2"/>
  <c r="D6670" i="2"/>
  <c r="D6671" i="2"/>
  <c r="D6672" i="2"/>
  <c r="D6673" i="2"/>
  <c r="D6674" i="2"/>
  <c r="D6675" i="2"/>
  <c r="D6676" i="2"/>
  <c r="D6677" i="2"/>
  <c r="D6678" i="2"/>
  <c r="D6679" i="2"/>
  <c r="D6680" i="2"/>
  <c r="D6681" i="2"/>
  <c r="D6682" i="2"/>
  <c r="D6683" i="2"/>
  <c r="D6684" i="2"/>
  <c r="D6685" i="2"/>
  <c r="D6686" i="2"/>
  <c r="D6687" i="2"/>
  <c r="D6688" i="2"/>
  <c r="D6689" i="2"/>
  <c r="D6690" i="2"/>
  <c r="D6691" i="2"/>
  <c r="D6692" i="2"/>
  <c r="D6693" i="2"/>
  <c r="D6694" i="2"/>
  <c r="D6695" i="2"/>
  <c r="D6696" i="2"/>
  <c r="D6697" i="2"/>
  <c r="D6698" i="2"/>
  <c r="D6699" i="2"/>
  <c r="D6700" i="2"/>
  <c r="D6701" i="2"/>
  <c r="D6702" i="2"/>
  <c r="D6703" i="2"/>
  <c r="D6704" i="2"/>
  <c r="D6705" i="2"/>
  <c r="D6706" i="2"/>
  <c r="D6707" i="2"/>
  <c r="D6708" i="2"/>
  <c r="D6709" i="2"/>
  <c r="D6710" i="2"/>
  <c r="D6711" i="2"/>
  <c r="D6712" i="2"/>
  <c r="D6713" i="2"/>
  <c r="D6714" i="2"/>
  <c r="D6715" i="2"/>
  <c r="D6716" i="2"/>
  <c r="D6717" i="2"/>
  <c r="D6718" i="2"/>
  <c r="D6719" i="2"/>
  <c r="D6720" i="2"/>
  <c r="D6721" i="2"/>
  <c r="D6722" i="2"/>
  <c r="D6723" i="2"/>
  <c r="D6724" i="2"/>
  <c r="D6725" i="2"/>
  <c r="D6726" i="2"/>
  <c r="D6727" i="2"/>
  <c r="D6728" i="2"/>
  <c r="D6729" i="2"/>
  <c r="D6730" i="2"/>
  <c r="D6731" i="2"/>
  <c r="D6732" i="2"/>
  <c r="D6733" i="2"/>
  <c r="D6734" i="2"/>
  <c r="D6735" i="2"/>
  <c r="D6736" i="2"/>
  <c r="D6737" i="2"/>
  <c r="D6738" i="2"/>
  <c r="D6739" i="2"/>
  <c r="D6740" i="2"/>
  <c r="D6741" i="2"/>
  <c r="D6742" i="2"/>
  <c r="D6743" i="2"/>
  <c r="D6744" i="2"/>
  <c r="D6745" i="2"/>
  <c r="D6746" i="2"/>
  <c r="D6747" i="2"/>
  <c r="D6748" i="2"/>
  <c r="D6749" i="2"/>
  <c r="D6750" i="2"/>
  <c r="D6751" i="2"/>
  <c r="D6752" i="2"/>
  <c r="D6753" i="2"/>
  <c r="D6754" i="2"/>
  <c r="D6755" i="2"/>
  <c r="D6756" i="2"/>
  <c r="D6757" i="2"/>
  <c r="D6758" i="2"/>
  <c r="D6759" i="2"/>
  <c r="D6760" i="2"/>
  <c r="D6761" i="2"/>
  <c r="D6762" i="2"/>
  <c r="D6763" i="2"/>
  <c r="D6764" i="2"/>
  <c r="D6765" i="2"/>
  <c r="D6766" i="2"/>
  <c r="D6767" i="2"/>
  <c r="D6768" i="2"/>
  <c r="D6769" i="2"/>
  <c r="D6770" i="2"/>
  <c r="D6771" i="2"/>
  <c r="D6772" i="2"/>
  <c r="D6773" i="2"/>
  <c r="D6774" i="2"/>
  <c r="D6775" i="2"/>
  <c r="D6776" i="2"/>
  <c r="D6777" i="2"/>
  <c r="D6778" i="2"/>
  <c r="D6779" i="2"/>
  <c r="D6780" i="2"/>
  <c r="D6781" i="2"/>
  <c r="D6782" i="2"/>
  <c r="D6783" i="2"/>
  <c r="D6784" i="2"/>
  <c r="D6785" i="2"/>
  <c r="D6786" i="2"/>
  <c r="D6787" i="2"/>
  <c r="D6788" i="2"/>
  <c r="D6789" i="2"/>
  <c r="D6790" i="2"/>
  <c r="D6791" i="2"/>
  <c r="D6792" i="2"/>
  <c r="D6793" i="2"/>
  <c r="D6794" i="2"/>
  <c r="D6795" i="2"/>
  <c r="D6796" i="2"/>
  <c r="D6797" i="2"/>
  <c r="D6798" i="2"/>
  <c r="D6799" i="2"/>
  <c r="D6800" i="2"/>
  <c r="D6801" i="2"/>
  <c r="D6802" i="2"/>
  <c r="D6803" i="2"/>
  <c r="D6804" i="2"/>
  <c r="D6805" i="2"/>
  <c r="D6806" i="2"/>
  <c r="D6807" i="2"/>
  <c r="D6808" i="2"/>
  <c r="D6809" i="2"/>
  <c r="D6810" i="2"/>
  <c r="D6811" i="2"/>
  <c r="D6812" i="2"/>
  <c r="D6813" i="2"/>
  <c r="D6814" i="2"/>
  <c r="D6815" i="2"/>
  <c r="D6816" i="2"/>
  <c r="D6817" i="2"/>
  <c r="D6818" i="2"/>
  <c r="D6819" i="2"/>
  <c r="D6820" i="2"/>
  <c r="D6821" i="2"/>
  <c r="D6822" i="2"/>
  <c r="D6823" i="2"/>
  <c r="D6824" i="2"/>
  <c r="D6825" i="2"/>
  <c r="D6826" i="2"/>
  <c r="D6827" i="2"/>
  <c r="D6828" i="2"/>
  <c r="D6829" i="2"/>
  <c r="D6830" i="2"/>
  <c r="D6831" i="2"/>
  <c r="D6832" i="2"/>
  <c r="D6833" i="2"/>
  <c r="D6834" i="2"/>
  <c r="D6835" i="2"/>
  <c r="D6836" i="2"/>
  <c r="D6837" i="2"/>
  <c r="D6838" i="2"/>
  <c r="D6839" i="2"/>
  <c r="D6840" i="2"/>
  <c r="D6841" i="2"/>
  <c r="D6842" i="2"/>
  <c r="D6843" i="2"/>
  <c r="D6844" i="2"/>
  <c r="D6845" i="2"/>
  <c r="D6846" i="2"/>
  <c r="D6847" i="2"/>
  <c r="D6848" i="2"/>
  <c r="D6849" i="2"/>
  <c r="D6850" i="2"/>
  <c r="D6851" i="2"/>
  <c r="D6852" i="2"/>
  <c r="D6853" i="2"/>
  <c r="D6854" i="2"/>
  <c r="D6855" i="2"/>
  <c r="D6856" i="2"/>
  <c r="D6857" i="2"/>
  <c r="D6858" i="2"/>
  <c r="D6859" i="2"/>
  <c r="D6860" i="2"/>
  <c r="D6861" i="2"/>
  <c r="D6862" i="2"/>
  <c r="D6863" i="2"/>
  <c r="D6864" i="2"/>
  <c r="D6865" i="2"/>
  <c r="D6866" i="2"/>
  <c r="D6867" i="2"/>
  <c r="D6868" i="2"/>
  <c r="D6869" i="2"/>
  <c r="D6870" i="2"/>
  <c r="D6871" i="2"/>
  <c r="D6872" i="2"/>
  <c r="D6873" i="2"/>
  <c r="D6874" i="2"/>
  <c r="D6875" i="2"/>
  <c r="D6876" i="2"/>
  <c r="D6877" i="2"/>
  <c r="D6878" i="2"/>
  <c r="D6879" i="2"/>
  <c r="D6880" i="2"/>
  <c r="D6881" i="2"/>
  <c r="D6882" i="2"/>
  <c r="D6883" i="2"/>
  <c r="D6884" i="2"/>
  <c r="D6885" i="2"/>
  <c r="D6886" i="2"/>
  <c r="D6887" i="2"/>
  <c r="D6888" i="2"/>
  <c r="D6889" i="2"/>
  <c r="D6890" i="2"/>
  <c r="D6891" i="2"/>
  <c r="D6892" i="2"/>
  <c r="D6893" i="2"/>
  <c r="D6894" i="2"/>
  <c r="D6895" i="2"/>
  <c r="D6896" i="2"/>
  <c r="D6897" i="2"/>
  <c r="D6898" i="2"/>
  <c r="D6899" i="2"/>
  <c r="D6900" i="2"/>
  <c r="D6901" i="2"/>
  <c r="D6902" i="2"/>
  <c r="D6903" i="2"/>
  <c r="D6904" i="2"/>
  <c r="D6905" i="2"/>
  <c r="D6906" i="2"/>
  <c r="D6907" i="2"/>
  <c r="D6908" i="2"/>
  <c r="D6909" i="2"/>
  <c r="D6910" i="2"/>
  <c r="D6911" i="2"/>
  <c r="D6912" i="2"/>
  <c r="D6913" i="2"/>
  <c r="D6914" i="2"/>
  <c r="D6915" i="2"/>
  <c r="D6916" i="2"/>
  <c r="D6917" i="2"/>
  <c r="D6918" i="2"/>
  <c r="D6919" i="2"/>
  <c r="D6920" i="2"/>
  <c r="D6921" i="2"/>
  <c r="D6922" i="2"/>
  <c r="D6923" i="2"/>
  <c r="D6924" i="2"/>
  <c r="D6925" i="2"/>
  <c r="D6926" i="2"/>
  <c r="D6927" i="2"/>
  <c r="D6928" i="2"/>
  <c r="D6929" i="2"/>
  <c r="D6930" i="2"/>
  <c r="D6931" i="2"/>
  <c r="D6932" i="2"/>
  <c r="D6933" i="2"/>
  <c r="D6934" i="2"/>
  <c r="D6935" i="2"/>
  <c r="D6936" i="2"/>
  <c r="D6937" i="2"/>
  <c r="D6938" i="2"/>
  <c r="D6939" i="2"/>
  <c r="D6940" i="2"/>
  <c r="D6941" i="2"/>
  <c r="D6942" i="2"/>
  <c r="D6943" i="2"/>
  <c r="D6944" i="2"/>
  <c r="D6945" i="2"/>
  <c r="D6946" i="2"/>
  <c r="D6947" i="2"/>
  <c r="D6948" i="2"/>
  <c r="D6949" i="2"/>
  <c r="D6950" i="2"/>
  <c r="D6951" i="2"/>
  <c r="D6952" i="2"/>
  <c r="D6953" i="2"/>
  <c r="D6954" i="2"/>
  <c r="D6955" i="2"/>
  <c r="D6956" i="2"/>
  <c r="D6957" i="2"/>
  <c r="D6958" i="2"/>
  <c r="D6959" i="2"/>
  <c r="D6960" i="2"/>
  <c r="D6961" i="2"/>
  <c r="D6962" i="2"/>
  <c r="D6963" i="2"/>
  <c r="D6964" i="2"/>
  <c r="D6965" i="2"/>
  <c r="D6966" i="2"/>
  <c r="D6967" i="2"/>
  <c r="D6968" i="2"/>
  <c r="D6969" i="2"/>
  <c r="D6970" i="2"/>
  <c r="D6971" i="2"/>
  <c r="D6972" i="2"/>
  <c r="D6973" i="2"/>
  <c r="D6974" i="2"/>
  <c r="D6975" i="2"/>
  <c r="D6976" i="2"/>
  <c r="D6977" i="2"/>
  <c r="D6978" i="2"/>
  <c r="D6979" i="2"/>
  <c r="D6980" i="2"/>
  <c r="D6981" i="2"/>
  <c r="D6982" i="2"/>
  <c r="D6983" i="2"/>
  <c r="D6984" i="2"/>
  <c r="D6985" i="2"/>
  <c r="D6986" i="2"/>
  <c r="D6987" i="2"/>
  <c r="D6988" i="2"/>
  <c r="D6989" i="2"/>
  <c r="D6990" i="2"/>
  <c r="D6991" i="2"/>
  <c r="D6992" i="2"/>
  <c r="D6993" i="2"/>
  <c r="D6994" i="2"/>
  <c r="D6995" i="2"/>
  <c r="D6996" i="2"/>
  <c r="D6997" i="2"/>
  <c r="D6998" i="2"/>
  <c r="D6999" i="2"/>
  <c r="D7000" i="2"/>
  <c r="D7001" i="2"/>
  <c r="D7002" i="2"/>
  <c r="D7003" i="2"/>
  <c r="D7004" i="2"/>
  <c r="D7005" i="2"/>
  <c r="D7006" i="2"/>
  <c r="D7007" i="2"/>
  <c r="D7008" i="2"/>
  <c r="D7009" i="2"/>
  <c r="D7010" i="2"/>
  <c r="D7011" i="2"/>
  <c r="D7012" i="2"/>
  <c r="D7013" i="2"/>
  <c r="D7014" i="2"/>
  <c r="D7015" i="2"/>
  <c r="D7016" i="2"/>
  <c r="D7017" i="2"/>
  <c r="D7018" i="2"/>
  <c r="D7019" i="2"/>
  <c r="D7020" i="2"/>
  <c r="D7021" i="2"/>
  <c r="D7022" i="2"/>
  <c r="D7023" i="2"/>
  <c r="D7024" i="2"/>
  <c r="D7025" i="2"/>
  <c r="D7026" i="2"/>
  <c r="D7027" i="2"/>
  <c r="D7028" i="2"/>
  <c r="D7029" i="2"/>
  <c r="D7030" i="2"/>
  <c r="D7031" i="2"/>
  <c r="D7032" i="2"/>
  <c r="D7033" i="2"/>
  <c r="D7034" i="2"/>
  <c r="D7035" i="2"/>
  <c r="D7036" i="2"/>
  <c r="D7037" i="2"/>
  <c r="D7038" i="2"/>
  <c r="D7039" i="2"/>
  <c r="D7040" i="2"/>
  <c r="D7041" i="2"/>
  <c r="D7042" i="2"/>
  <c r="D7043" i="2"/>
  <c r="D7044" i="2"/>
  <c r="D7045" i="2"/>
  <c r="D7046" i="2"/>
  <c r="D7047" i="2"/>
  <c r="D7048" i="2"/>
  <c r="D7049" i="2"/>
  <c r="D7050" i="2"/>
  <c r="D7051" i="2"/>
  <c r="D7052" i="2"/>
  <c r="D7053" i="2"/>
  <c r="D7054" i="2"/>
  <c r="D7055" i="2"/>
  <c r="D7056" i="2"/>
  <c r="D7057" i="2"/>
  <c r="D7058" i="2"/>
  <c r="D7059" i="2"/>
  <c r="D7060" i="2"/>
  <c r="D7061" i="2"/>
  <c r="D7062" i="2"/>
  <c r="D7063" i="2"/>
  <c r="D7064" i="2"/>
  <c r="D7065" i="2"/>
  <c r="D7066" i="2"/>
  <c r="D7067" i="2"/>
  <c r="D7068" i="2"/>
  <c r="D7069" i="2"/>
  <c r="D7070" i="2"/>
  <c r="D7071" i="2"/>
  <c r="D7072" i="2"/>
  <c r="D7073" i="2"/>
  <c r="D7074" i="2"/>
  <c r="D7075" i="2"/>
  <c r="D7076" i="2"/>
  <c r="D7077" i="2"/>
  <c r="D7078" i="2"/>
  <c r="D7079" i="2"/>
  <c r="D7080" i="2"/>
  <c r="D7081" i="2"/>
  <c r="D7082" i="2"/>
  <c r="D7083" i="2"/>
  <c r="D7084" i="2"/>
  <c r="D7085" i="2"/>
  <c r="D7086" i="2"/>
  <c r="D7087" i="2"/>
  <c r="D7088" i="2"/>
  <c r="D7089" i="2"/>
  <c r="D7090" i="2"/>
  <c r="D7091" i="2"/>
  <c r="D7092" i="2"/>
  <c r="D7093" i="2"/>
  <c r="D7094" i="2"/>
  <c r="D7095" i="2"/>
  <c r="D7096" i="2"/>
  <c r="D7097" i="2"/>
  <c r="D7098" i="2"/>
  <c r="D7099" i="2"/>
  <c r="D7100" i="2"/>
  <c r="D7101" i="2"/>
  <c r="D7102" i="2"/>
  <c r="D7103" i="2"/>
  <c r="D7104" i="2"/>
  <c r="D7105" i="2"/>
  <c r="D7106" i="2"/>
  <c r="D7107" i="2"/>
  <c r="D7108" i="2"/>
  <c r="D7109" i="2"/>
  <c r="D7110" i="2"/>
  <c r="D7111" i="2"/>
  <c r="D7112" i="2"/>
  <c r="D7113" i="2"/>
  <c r="D7114" i="2"/>
  <c r="D7115" i="2"/>
  <c r="D7116" i="2"/>
  <c r="D7117" i="2"/>
  <c r="D7118" i="2"/>
  <c r="D7119" i="2"/>
  <c r="D7120" i="2"/>
  <c r="D7121" i="2"/>
  <c r="D7122" i="2"/>
  <c r="D7123" i="2"/>
  <c r="D7124" i="2"/>
  <c r="D7125" i="2"/>
  <c r="D7126" i="2"/>
  <c r="D7127" i="2"/>
  <c r="D7128" i="2"/>
  <c r="D7129" i="2"/>
  <c r="D7130" i="2"/>
  <c r="D7131" i="2"/>
  <c r="D7132" i="2"/>
  <c r="D7133" i="2"/>
  <c r="D7134" i="2"/>
  <c r="D7135" i="2"/>
  <c r="D7136" i="2"/>
  <c r="D7137" i="2"/>
  <c r="D7138" i="2"/>
  <c r="D7139" i="2"/>
  <c r="D7140" i="2"/>
  <c r="D7141" i="2"/>
  <c r="D7142" i="2"/>
  <c r="D7143" i="2"/>
  <c r="D7144" i="2"/>
  <c r="D7145" i="2"/>
  <c r="D7146" i="2"/>
  <c r="D7147" i="2"/>
  <c r="D7148" i="2"/>
  <c r="D7149" i="2"/>
  <c r="D7150" i="2"/>
  <c r="D7151" i="2"/>
  <c r="D7152" i="2"/>
  <c r="D7153" i="2"/>
  <c r="D7154" i="2"/>
  <c r="D7155" i="2"/>
  <c r="D7156" i="2"/>
  <c r="D7157" i="2"/>
  <c r="D7158" i="2"/>
  <c r="D7159" i="2"/>
  <c r="D7160" i="2"/>
  <c r="D7161" i="2"/>
  <c r="D7162" i="2"/>
  <c r="D7163" i="2"/>
  <c r="D7164" i="2"/>
  <c r="D7165" i="2"/>
  <c r="D7166" i="2"/>
  <c r="D7167" i="2"/>
  <c r="D7168" i="2"/>
  <c r="D7169" i="2"/>
  <c r="D7170" i="2"/>
  <c r="D7171" i="2"/>
  <c r="D7172" i="2"/>
  <c r="D7173" i="2"/>
  <c r="D7174" i="2"/>
  <c r="D7175" i="2"/>
  <c r="D7176" i="2"/>
  <c r="D7177" i="2"/>
  <c r="D7178" i="2"/>
  <c r="D7179" i="2"/>
  <c r="D7180" i="2"/>
  <c r="D7181" i="2"/>
  <c r="D7182" i="2"/>
  <c r="D7183" i="2"/>
  <c r="D7184" i="2"/>
  <c r="D7185" i="2"/>
  <c r="D7186" i="2"/>
  <c r="D7187" i="2"/>
  <c r="D7188" i="2"/>
  <c r="D7189" i="2"/>
  <c r="D7190" i="2"/>
  <c r="D7191" i="2"/>
  <c r="D7192" i="2"/>
  <c r="D7193" i="2"/>
  <c r="D7194" i="2"/>
  <c r="D7195" i="2"/>
  <c r="D7196" i="2"/>
  <c r="D7197" i="2"/>
  <c r="D7198" i="2"/>
  <c r="D7199" i="2"/>
  <c r="D7200" i="2"/>
  <c r="D7201" i="2"/>
  <c r="D7202" i="2"/>
  <c r="D7203" i="2"/>
  <c r="D7204" i="2"/>
  <c r="D7205" i="2"/>
  <c r="D7206" i="2"/>
  <c r="D7207" i="2"/>
  <c r="D7208" i="2"/>
  <c r="D7209" i="2"/>
  <c r="D7210" i="2"/>
  <c r="D7211" i="2"/>
  <c r="D7212" i="2"/>
  <c r="D7213" i="2"/>
  <c r="D7214" i="2"/>
  <c r="D7215" i="2"/>
  <c r="D7216" i="2"/>
  <c r="D7217" i="2"/>
  <c r="D7218" i="2"/>
  <c r="D7219" i="2"/>
  <c r="D7220" i="2"/>
  <c r="D7221" i="2"/>
  <c r="D7222" i="2"/>
  <c r="D7223" i="2"/>
  <c r="D7224" i="2"/>
  <c r="D7225" i="2"/>
  <c r="D7226" i="2"/>
  <c r="D7227" i="2"/>
  <c r="D7228" i="2"/>
  <c r="D7229" i="2"/>
  <c r="D7230" i="2"/>
  <c r="D7231" i="2"/>
  <c r="D7232" i="2"/>
  <c r="D7233" i="2"/>
  <c r="D7234" i="2"/>
  <c r="D7235" i="2"/>
  <c r="D7236" i="2"/>
  <c r="D7237" i="2"/>
  <c r="D7238" i="2"/>
  <c r="D7239" i="2"/>
  <c r="D7240" i="2"/>
  <c r="D7241" i="2"/>
  <c r="D7242" i="2"/>
  <c r="D7243" i="2"/>
  <c r="D7244" i="2"/>
  <c r="D7245" i="2"/>
  <c r="D7246" i="2"/>
  <c r="D7247" i="2"/>
  <c r="D7248" i="2"/>
  <c r="D7249" i="2"/>
  <c r="D7250" i="2"/>
  <c r="D7251" i="2"/>
  <c r="D7252" i="2"/>
  <c r="D7253" i="2"/>
  <c r="D7254" i="2"/>
  <c r="D7255" i="2"/>
  <c r="D7256" i="2"/>
  <c r="D7257" i="2"/>
  <c r="D7258" i="2"/>
  <c r="D7259" i="2"/>
  <c r="D7260" i="2"/>
  <c r="D7261" i="2"/>
  <c r="D7262" i="2"/>
  <c r="D7263" i="2"/>
  <c r="D7264" i="2"/>
  <c r="D7265" i="2"/>
  <c r="D7266" i="2"/>
  <c r="D7267" i="2"/>
  <c r="D7268" i="2"/>
  <c r="D7269" i="2"/>
  <c r="D7270" i="2"/>
  <c r="D7271" i="2"/>
  <c r="D7272" i="2"/>
  <c r="D7273" i="2"/>
  <c r="D7274" i="2"/>
  <c r="D7275" i="2"/>
  <c r="D7276" i="2"/>
  <c r="D7277" i="2"/>
  <c r="D7278" i="2"/>
  <c r="D7279" i="2"/>
  <c r="D7280" i="2"/>
  <c r="D7281" i="2"/>
  <c r="D7282" i="2"/>
  <c r="D7283" i="2"/>
  <c r="D7284" i="2"/>
  <c r="D7285" i="2"/>
  <c r="D7286" i="2"/>
  <c r="D7287" i="2"/>
  <c r="D7288" i="2"/>
  <c r="D7289" i="2"/>
  <c r="D7290" i="2"/>
  <c r="D7291" i="2"/>
  <c r="D7292" i="2"/>
  <c r="D7293" i="2"/>
  <c r="D7294" i="2"/>
  <c r="D7295" i="2"/>
  <c r="D7296" i="2"/>
  <c r="D7297" i="2"/>
  <c r="D7298" i="2"/>
  <c r="D7299" i="2"/>
  <c r="D7300" i="2"/>
  <c r="D7301" i="2"/>
  <c r="D7302" i="2"/>
  <c r="D7303" i="2"/>
  <c r="D7304" i="2"/>
  <c r="D7305" i="2"/>
  <c r="D7306" i="2"/>
  <c r="D7307" i="2"/>
  <c r="D7308" i="2"/>
  <c r="D7309" i="2"/>
  <c r="D7310" i="2"/>
  <c r="D7311" i="2"/>
  <c r="D7312" i="2"/>
  <c r="D7313" i="2"/>
  <c r="D7314" i="2"/>
  <c r="D7315" i="2"/>
  <c r="D7316" i="2"/>
  <c r="D7317" i="2"/>
  <c r="D7318" i="2"/>
  <c r="D7319" i="2"/>
  <c r="D7320" i="2"/>
  <c r="D7321" i="2"/>
  <c r="D7322" i="2"/>
  <c r="D7323" i="2"/>
  <c r="D7324" i="2"/>
  <c r="D7325" i="2"/>
  <c r="D7326" i="2"/>
  <c r="D7327" i="2"/>
  <c r="D7328" i="2"/>
  <c r="D7329" i="2"/>
  <c r="D7330" i="2"/>
  <c r="D7331" i="2"/>
  <c r="D7332" i="2"/>
  <c r="D7333" i="2"/>
  <c r="D7334" i="2"/>
  <c r="D7335" i="2"/>
  <c r="D7336" i="2"/>
  <c r="D7337" i="2"/>
  <c r="D7338" i="2"/>
  <c r="D7339" i="2"/>
  <c r="D7340" i="2"/>
  <c r="D7341" i="2"/>
  <c r="D7342" i="2"/>
  <c r="D7343" i="2"/>
  <c r="D7344" i="2"/>
  <c r="D7345" i="2"/>
  <c r="D7346" i="2"/>
  <c r="D7347" i="2"/>
  <c r="D7348" i="2"/>
  <c r="D7349" i="2"/>
  <c r="D7350" i="2"/>
  <c r="D7351" i="2"/>
  <c r="D7352" i="2"/>
  <c r="D7353" i="2"/>
  <c r="D7354" i="2"/>
  <c r="D7355" i="2"/>
  <c r="D7356" i="2"/>
  <c r="D7357" i="2"/>
  <c r="D7358" i="2"/>
  <c r="D7359" i="2"/>
  <c r="D7360" i="2"/>
  <c r="D7361" i="2"/>
  <c r="D7362" i="2"/>
  <c r="D7363" i="2"/>
  <c r="D7364" i="2"/>
  <c r="D7365" i="2"/>
  <c r="D7366" i="2"/>
  <c r="D7367" i="2"/>
  <c r="D7368" i="2"/>
  <c r="D7369" i="2"/>
  <c r="D7370" i="2"/>
  <c r="D7371" i="2"/>
  <c r="D7372" i="2"/>
  <c r="D7373" i="2"/>
  <c r="D7374" i="2"/>
  <c r="D7375" i="2"/>
  <c r="D7376" i="2"/>
  <c r="D7377" i="2"/>
  <c r="D7378" i="2"/>
  <c r="D7379" i="2"/>
  <c r="D7380" i="2"/>
  <c r="D7381" i="2"/>
  <c r="D7382" i="2"/>
  <c r="D7383" i="2"/>
  <c r="D7384" i="2"/>
  <c r="D7385" i="2"/>
  <c r="D7386" i="2"/>
  <c r="D7387" i="2"/>
  <c r="D7388" i="2"/>
  <c r="D7389" i="2"/>
  <c r="D7390" i="2"/>
  <c r="D7391" i="2"/>
  <c r="D7392" i="2"/>
  <c r="D7393" i="2"/>
  <c r="D7394" i="2"/>
  <c r="D7395" i="2"/>
  <c r="D7396" i="2"/>
  <c r="D7397" i="2"/>
  <c r="D7398" i="2"/>
  <c r="D7399" i="2"/>
  <c r="D7400" i="2"/>
  <c r="D7401" i="2"/>
  <c r="D7402" i="2"/>
  <c r="D7403" i="2"/>
  <c r="D7404" i="2"/>
  <c r="D7405" i="2"/>
  <c r="D7406" i="2"/>
  <c r="D7407" i="2"/>
  <c r="D7408" i="2"/>
  <c r="D7409" i="2"/>
  <c r="D7410" i="2"/>
  <c r="D7411" i="2"/>
  <c r="D7412" i="2"/>
  <c r="D7413" i="2"/>
  <c r="D7414" i="2"/>
  <c r="D7415" i="2"/>
  <c r="D7416" i="2"/>
  <c r="D7417" i="2"/>
  <c r="D7418" i="2"/>
  <c r="D7419" i="2"/>
  <c r="D7420" i="2"/>
  <c r="D7421" i="2"/>
  <c r="D7422" i="2"/>
  <c r="D7423" i="2"/>
  <c r="D7424" i="2"/>
  <c r="D7425" i="2"/>
  <c r="D7426" i="2"/>
  <c r="D7427" i="2"/>
  <c r="D7428" i="2"/>
  <c r="D7429" i="2"/>
  <c r="D7430" i="2"/>
  <c r="D7431" i="2"/>
  <c r="D7432" i="2"/>
  <c r="D7433" i="2"/>
  <c r="D7434" i="2"/>
  <c r="D7435" i="2"/>
  <c r="D7436" i="2"/>
  <c r="D7437" i="2"/>
  <c r="D7438" i="2"/>
  <c r="D7439" i="2"/>
  <c r="D7440" i="2"/>
  <c r="D7441" i="2"/>
  <c r="D7442" i="2"/>
  <c r="D7443" i="2"/>
  <c r="D7444" i="2"/>
  <c r="D7445" i="2"/>
  <c r="D7446" i="2"/>
  <c r="D7447" i="2"/>
  <c r="D7448" i="2"/>
  <c r="D7449" i="2"/>
  <c r="D7450" i="2"/>
  <c r="D7451" i="2"/>
  <c r="D7452" i="2"/>
  <c r="D7453" i="2"/>
  <c r="D7454" i="2"/>
  <c r="D7455" i="2"/>
  <c r="D7456" i="2"/>
  <c r="D7457" i="2"/>
  <c r="D7458" i="2"/>
  <c r="D7459" i="2"/>
  <c r="D7460" i="2"/>
  <c r="D7461" i="2"/>
  <c r="D7462" i="2"/>
  <c r="D7463" i="2"/>
  <c r="D7464" i="2"/>
  <c r="D7465" i="2"/>
  <c r="D7466" i="2"/>
  <c r="D7467" i="2"/>
  <c r="D7468" i="2"/>
  <c r="D7469" i="2"/>
  <c r="D7470" i="2"/>
  <c r="D7471" i="2"/>
  <c r="D7472" i="2"/>
  <c r="D7473" i="2"/>
  <c r="D7474" i="2"/>
  <c r="D7475" i="2"/>
  <c r="D7476" i="2"/>
  <c r="D7477" i="2"/>
  <c r="D7478" i="2"/>
  <c r="D7479" i="2"/>
  <c r="D7480" i="2"/>
  <c r="D7481" i="2"/>
  <c r="D7482" i="2"/>
  <c r="D7483" i="2"/>
  <c r="D7484" i="2"/>
  <c r="D7485" i="2"/>
  <c r="D7486" i="2"/>
  <c r="D7487" i="2"/>
  <c r="D7488" i="2"/>
  <c r="D7489" i="2"/>
  <c r="D7490" i="2"/>
  <c r="D7491" i="2"/>
  <c r="D7492" i="2"/>
  <c r="D7493" i="2"/>
  <c r="D7494" i="2"/>
  <c r="D7495" i="2"/>
  <c r="D7496" i="2"/>
  <c r="D7497" i="2"/>
  <c r="D7498" i="2"/>
  <c r="D7499" i="2"/>
  <c r="D7500" i="2"/>
  <c r="D7501" i="2"/>
  <c r="D7502" i="2"/>
  <c r="D7503" i="2"/>
  <c r="D7504" i="2"/>
  <c r="D7505" i="2"/>
  <c r="D7506" i="2"/>
  <c r="D7507" i="2"/>
  <c r="D7508" i="2"/>
  <c r="D7509" i="2"/>
  <c r="D7510" i="2"/>
  <c r="D7511" i="2"/>
  <c r="D7512" i="2"/>
  <c r="D7513" i="2"/>
  <c r="D7514" i="2"/>
  <c r="D7515" i="2"/>
  <c r="D7516" i="2"/>
  <c r="D7517" i="2"/>
  <c r="D7518" i="2"/>
  <c r="D7519" i="2"/>
  <c r="D7520" i="2"/>
  <c r="D7521" i="2"/>
  <c r="D7522" i="2"/>
  <c r="D7523" i="2"/>
  <c r="D7524" i="2"/>
  <c r="D7525" i="2"/>
  <c r="D7526" i="2"/>
  <c r="D7527" i="2"/>
  <c r="D7528" i="2"/>
  <c r="D7529" i="2"/>
  <c r="D7530" i="2"/>
  <c r="D7531" i="2"/>
  <c r="D7532" i="2"/>
  <c r="D7533" i="2"/>
  <c r="D7534" i="2"/>
  <c r="D7535" i="2"/>
  <c r="D7536" i="2"/>
  <c r="D7537" i="2"/>
  <c r="D7538" i="2"/>
  <c r="D7539" i="2"/>
  <c r="D7540" i="2"/>
  <c r="D7541" i="2"/>
  <c r="D7542" i="2"/>
  <c r="D7543" i="2"/>
  <c r="D7544" i="2"/>
  <c r="D7545" i="2"/>
  <c r="D7546" i="2"/>
  <c r="D7547" i="2"/>
  <c r="D7548" i="2"/>
  <c r="D7549" i="2"/>
  <c r="D7550" i="2"/>
  <c r="D7551" i="2"/>
  <c r="D7552" i="2"/>
  <c r="D7553" i="2"/>
  <c r="D7554" i="2"/>
  <c r="D7555" i="2"/>
  <c r="D7556" i="2"/>
  <c r="D7557" i="2"/>
  <c r="D7558" i="2"/>
  <c r="D7559" i="2"/>
  <c r="D7560" i="2"/>
  <c r="D7561" i="2"/>
  <c r="D7562" i="2"/>
  <c r="D7563" i="2"/>
  <c r="D7564" i="2"/>
  <c r="D7565" i="2"/>
  <c r="D7566" i="2"/>
  <c r="D7567" i="2"/>
  <c r="D7568" i="2"/>
  <c r="D7569" i="2"/>
  <c r="D7570" i="2"/>
  <c r="D7571" i="2"/>
  <c r="D7572" i="2"/>
  <c r="D7573" i="2"/>
  <c r="D7574" i="2"/>
  <c r="D7575" i="2"/>
  <c r="D7576" i="2"/>
  <c r="D7577" i="2"/>
  <c r="D7578" i="2"/>
  <c r="D7579" i="2"/>
  <c r="D7580" i="2"/>
  <c r="D7581" i="2"/>
  <c r="D7582" i="2"/>
  <c r="D7583" i="2"/>
  <c r="D7584" i="2"/>
  <c r="D7585" i="2"/>
  <c r="D7586" i="2"/>
  <c r="D7587" i="2"/>
  <c r="D7588" i="2"/>
  <c r="D7589" i="2"/>
  <c r="D7590" i="2"/>
  <c r="D7591" i="2"/>
  <c r="D7592" i="2"/>
  <c r="D7593" i="2"/>
  <c r="D7594" i="2"/>
  <c r="D7595" i="2"/>
  <c r="D7596" i="2"/>
  <c r="D7597" i="2"/>
  <c r="D7598" i="2"/>
  <c r="D7599" i="2"/>
  <c r="D7600" i="2"/>
  <c r="D7601" i="2"/>
  <c r="D7602" i="2"/>
  <c r="D7603" i="2"/>
  <c r="D7604" i="2"/>
  <c r="D7605" i="2"/>
  <c r="D7606" i="2"/>
  <c r="D7607" i="2"/>
  <c r="D7608" i="2"/>
  <c r="D7609" i="2"/>
  <c r="D7610" i="2"/>
  <c r="D7611" i="2"/>
  <c r="D7612" i="2"/>
  <c r="D7613" i="2"/>
  <c r="D7614" i="2"/>
  <c r="D7615" i="2"/>
  <c r="D7616" i="2"/>
  <c r="D7617" i="2"/>
  <c r="D7618" i="2"/>
  <c r="D7619" i="2"/>
  <c r="D7620" i="2"/>
  <c r="D7621" i="2"/>
  <c r="D7622" i="2"/>
  <c r="D7623" i="2"/>
  <c r="D7624" i="2"/>
  <c r="D7625" i="2"/>
  <c r="D7626" i="2"/>
  <c r="D7627" i="2"/>
  <c r="D7628" i="2"/>
  <c r="D7629" i="2"/>
  <c r="D7630" i="2"/>
  <c r="D7631" i="2"/>
  <c r="D7632" i="2"/>
  <c r="D7633" i="2"/>
  <c r="D7634" i="2"/>
  <c r="D7635" i="2"/>
  <c r="D7636" i="2"/>
  <c r="D7637" i="2"/>
  <c r="D7638" i="2"/>
  <c r="D7639" i="2"/>
  <c r="D7640" i="2"/>
  <c r="D7641" i="2"/>
  <c r="D7642" i="2"/>
  <c r="D7643" i="2"/>
  <c r="D7644" i="2"/>
  <c r="D7645" i="2"/>
  <c r="D7646" i="2"/>
  <c r="D7647" i="2"/>
  <c r="D7648" i="2"/>
  <c r="D7649" i="2"/>
  <c r="D7650" i="2"/>
  <c r="D7651" i="2"/>
  <c r="D7652" i="2"/>
  <c r="D7653" i="2"/>
  <c r="D7654" i="2"/>
  <c r="D7655" i="2"/>
  <c r="D7656" i="2"/>
  <c r="D7657" i="2"/>
  <c r="D7658" i="2"/>
  <c r="D7659" i="2"/>
  <c r="D7660" i="2"/>
  <c r="D7661" i="2"/>
  <c r="D7662" i="2"/>
  <c r="D7663" i="2"/>
  <c r="D7664" i="2"/>
  <c r="D7665" i="2"/>
  <c r="D7666" i="2"/>
  <c r="D7667" i="2"/>
  <c r="D7668" i="2"/>
  <c r="D7669" i="2"/>
  <c r="D7670" i="2"/>
  <c r="D7671" i="2"/>
  <c r="D7672" i="2"/>
  <c r="D7673" i="2"/>
  <c r="D7674" i="2"/>
  <c r="D7675" i="2"/>
  <c r="D7676" i="2"/>
  <c r="D7677" i="2"/>
  <c r="D7678" i="2"/>
  <c r="D7679" i="2"/>
  <c r="D7680" i="2"/>
  <c r="D7681" i="2"/>
  <c r="D7682" i="2"/>
  <c r="D7683" i="2"/>
  <c r="D7684" i="2"/>
  <c r="D7685" i="2"/>
  <c r="D7686" i="2"/>
  <c r="D7687" i="2"/>
  <c r="D7688" i="2"/>
  <c r="D7689" i="2"/>
  <c r="D7690" i="2"/>
  <c r="D7691" i="2"/>
  <c r="D7692" i="2"/>
  <c r="D7693" i="2"/>
  <c r="D7694" i="2"/>
  <c r="D7695" i="2"/>
  <c r="D7696" i="2"/>
  <c r="D7697" i="2"/>
  <c r="D7698" i="2"/>
  <c r="D7699" i="2"/>
  <c r="D7700" i="2"/>
  <c r="D7701" i="2"/>
  <c r="D7702" i="2"/>
  <c r="D7703" i="2"/>
  <c r="D7704" i="2"/>
  <c r="D7705" i="2"/>
  <c r="D7706" i="2"/>
  <c r="D7707" i="2"/>
  <c r="D7708" i="2"/>
  <c r="D7709" i="2"/>
  <c r="D7710" i="2"/>
  <c r="D7711" i="2"/>
  <c r="D7712" i="2"/>
  <c r="D7713" i="2"/>
  <c r="D7714" i="2"/>
  <c r="D7715" i="2"/>
  <c r="D7716" i="2"/>
  <c r="D7717" i="2"/>
  <c r="D7718" i="2"/>
  <c r="D7719" i="2"/>
  <c r="D7720" i="2"/>
  <c r="D7721" i="2"/>
  <c r="D7722" i="2"/>
  <c r="D7723" i="2"/>
  <c r="D7724" i="2"/>
  <c r="D7725" i="2"/>
  <c r="D7726" i="2"/>
  <c r="D7727" i="2"/>
  <c r="D7728" i="2"/>
  <c r="D7729" i="2"/>
  <c r="D7730" i="2"/>
  <c r="D7731" i="2"/>
  <c r="D7732" i="2"/>
  <c r="D7733" i="2"/>
  <c r="D7734" i="2"/>
  <c r="D7735" i="2"/>
  <c r="D7736" i="2"/>
  <c r="D7737" i="2"/>
  <c r="D7738" i="2"/>
  <c r="D7739" i="2"/>
  <c r="D7740" i="2"/>
  <c r="D7741" i="2"/>
  <c r="D7742" i="2"/>
  <c r="D7743" i="2"/>
  <c r="D7744" i="2"/>
  <c r="D7745" i="2"/>
  <c r="D7746" i="2"/>
  <c r="D7747" i="2"/>
  <c r="D7748" i="2"/>
  <c r="D7749" i="2"/>
  <c r="D7750" i="2"/>
  <c r="D7751" i="2"/>
  <c r="D7752" i="2"/>
  <c r="D7753" i="2"/>
  <c r="D7754" i="2"/>
  <c r="D7755" i="2"/>
  <c r="D7756" i="2"/>
  <c r="D7757" i="2"/>
  <c r="D7758" i="2"/>
  <c r="D7759" i="2"/>
  <c r="D7760" i="2"/>
  <c r="D7761" i="2"/>
  <c r="D7762" i="2"/>
  <c r="D7763" i="2"/>
  <c r="D7764" i="2"/>
  <c r="D7765" i="2"/>
  <c r="D7766" i="2"/>
  <c r="D7767" i="2"/>
  <c r="D7768" i="2"/>
  <c r="D7769" i="2"/>
  <c r="D7770" i="2"/>
  <c r="D7771" i="2"/>
  <c r="D7772" i="2"/>
  <c r="D7773" i="2"/>
  <c r="D7774" i="2"/>
  <c r="D7775" i="2"/>
  <c r="D7776" i="2"/>
  <c r="D7777" i="2"/>
  <c r="D7778" i="2"/>
  <c r="D7779" i="2"/>
  <c r="D7780" i="2"/>
  <c r="D7781" i="2"/>
  <c r="D7782" i="2"/>
  <c r="D7783" i="2"/>
  <c r="D7784" i="2"/>
  <c r="D7785" i="2"/>
  <c r="D7786" i="2"/>
  <c r="D7787" i="2"/>
  <c r="D7788" i="2"/>
  <c r="D7789" i="2"/>
  <c r="D7790" i="2"/>
  <c r="D7791" i="2"/>
  <c r="D7792" i="2"/>
  <c r="D7793" i="2"/>
  <c r="D7794" i="2"/>
  <c r="D7795" i="2"/>
  <c r="D7796" i="2"/>
  <c r="D7797" i="2"/>
  <c r="D7798" i="2"/>
  <c r="D7799" i="2"/>
  <c r="D7800" i="2"/>
  <c r="D7801" i="2"/>
  <c r="D7802" i="2"/>
  <c r="D7803" i="2"/>
  <c r="D7804" i="2"/>
  <c r="D7805" i="2"/>
  <c r="D7806" i="2"/>
  <c r="D7807" i="2"/>
  <c r="D7808" i="2"/>
  <c r="D7809" i="2"/>
  <c r="D7810" i="2"/>
  <c r="D7811" i="2"/>
  <c r="D7812" i="2"/>
  <c r="D7813" i="2"/>
  <c r="D7814" i="2"/>
  <c r="D7815" i="2"/>
  <c r="D7816" i="2"/>
  <c r="D7817" i="2"/>
  <c r="D7818" i="2"/>
  <c r="D7819" i="2"/>
  <c r="D7820" i="2"/>
  <c r="D7821" i="2"/>
  <c r="D7822" i="2"/>
  <c r="D7823" i="2"/>
  <c r="D7824" i="2"/>
  <c r="D7825" i="2"/>
  <c r="D7826" i="2"/>
  <c r="D7827" i="2"/>
  <c r="D7828" i="2"/>
  <c r="D7829" i="2"/>
  <c r="D7830" i="2"/>
  <c r="D7831" i="2"/>
  <c r="D7832" i="2"/>
  <c r="D7833" i="2"/>
  <c r="D7834" i="2"/>
  <c r="D7835" i="2"/>
  <c r="D7836" i="2"/>
  <c r="D7837" i="2"/>
  <c r="D7838" i="2"/>
  <c r="D7839" i="2"/>
  <c r="D7840" i="2"/>
  <c r="D7841" i="2"/>
  <c r="D7842" i="2"/>
  <c r="D7843" i="2"/>
  <c r="D7844" i="2"/>
  <c r="D7845" i="2"/>
  <c r="D7846" i="2"/>
  <c r="D7847" i="2"/>
  <c r="D7848" i="2"/>
  <c r="D7849" i="2"/>
  <c r="D7850" i="2"/>
  <c r="D7851" i="2"/>
  <c r="D7852" i="2"/>
  <c r="D7853" i="2"/>
  <c r="D7854" i="2"/>
  <c r="D7855" i="2"/>
  <c r="D7856" i="2"/>
  <c r="D7857" i="2"/>
  <c r="D7858" i="2"/>
  <c r="D7859" i="2"/>
  <c r="D7860" i="2"/>
  <c r="D7861" i="2"/>
  <c r="D7862" i="2"/>
  <c r="D7863" i="2"/>
  <c r="D7864" i="2"/>
  <c r="D7865" i="2"/>
  <c r="D7866" i="2"/>
  <c r="D7867" i="2"/>
  <c r="D7868" i="2"/>
  <c r="D7869" i="2"/>
  <c r="D7870" i="2"/>
  <c r="D7871" i="2"/>
  <c r="D7872" i="2"/>
  <c r="D7873" i="2"/>
  <c r="D7874" i="2"/>
  <c r="D7875" i="2"/>
  <c r="D7876" i="2"/>
  <c r="D7877" i="2"/>
  <c r="D7878" i="2"/>
  <c r="D7879" i="2"/>
  <c r="D7880" i="2"/>
  <c r="D7881" i="2"/>
  <c r="D7882" i="2"/>
  <c r="D7883" i="2"/>
  <c r="D7884" i="2"/>
  <c r="D7885" i="2"/>
  <c r="D7886" i="2"/>
  <c r="D7887" i="2"/>
  <c r="D7888" i="2"/>
  <c r="D7889" i="2"/>
  <c r="D7890" i="2"/>
  <c r="D7891" i="2"/>
  <c r="D7892" i="2"/>
  <c r="D7893" i="2"/>
  <c r="D7894" i="2"/>
  <c r="D7895" i="2"/>
  <c r="D7896" i="2"/>
  <c r="D7897" i="2"/>
  <c r="D7898" i="2"/>
  <c r="D7899" i="2"/>
  <c r="D7900" i="2"/>
  <c r="D7901" i="2"/>
  <c r="D7902" i="2"/>
  <c r="D7903" i="2"/>
  <c r="D7904" i="2"/>
  <c r="D7905" i="2"/>
  <c r="D7906" i="2"/>
  <c r="D7907" i="2"/>
  <c r="D7908" i="2"/>
  <c r="D7909" i="2"/>
  <c r="D7910" i="2"/>
  <c r="D7911" i="2"/>
  <c r="D7912" i="2"/>
  <c r="D7913" i="2"/>
  <c r="D7914" i="2"/>
  <c r="D7915" i="2"/>
  <c r="D7916" i="2"/>
  <c r="D7917" i="2"/>
  <c r="D7918" i="2"/>
  <c r="D7919" i="2"/>
  <c r="D7920" i="2"/>
  <c r="D7921" i="2"/>
  <c r="D7922" i="2"/>
  <c r="D7923" i="2"/>
  <c r="D7924" i="2"/>
  <c r="D7925" i="2"/>
  <c r="D7926" i="2"/>
  <c r="D7927" i="2"/>
  <c r="D7928" i="2"/>
  <c r="D7929" i="2"/>
  <c r="D7930" i="2"/>
  <c r="D7931" i="2"/>
  <c r="D7932" i="2"/>
  <c r="D7933" i="2"/>
  <c r="D7934" i="2"/>
  <c r="D7935" i="2"/>
  <c r="D7936" i="2"/>
  <c r="D7937" i="2"/>
  <c r="D7938" i="2"/>
  <c r="D7939" i="2"/>
  <c r="D7940" i="2"/>
  <c r="D7941" i="2"/>
  <c r="D7942" i="2"/>
  <c r="D7943" i="2"/>
  <c r="D7944" i="2"/>
  <c r="D7945" i="2"/>
  <c r="D7946" i="2"/>
  <c r="D7947" i="2"/>
  <c r="D7948" i="2"/>
  <c r="D7949" i="2"/>
  <c r="D7950" i="2"/>
  <c r="D7951" i="2"/>
  <c r="D7952" i="2"/>
  <c r="D7953" i="2"/>
  <c r="D7954" i="2"/>
  <c r="D7955" i="2"/>
  <c r="D7956" i="2"/>
  <c r="D7957" i="2"/>
  <c r="D7958" i="2"/>
  <c r="D7959" i="2"/>
  <c r="D7960" i="2"/>
  <c r="D7961" i="2"/>
  <c r="D7962" i="2"/>
  <c r="D7963" i="2"/>
  <c r="D7964" i="2"/>
  <c r="D7965" i="2"/>
  <c r="D7966" i="2"/>
  <c r="D7967" i="2"/>
  <c r="D7968" i="2"/>
  <c r="D7969" i="2"/>
  <c r="D7970" i="2"/>
  <c r="D7971" i="2"/>
  <c r="D7972" i="2"/>
  <c r="D7973" i="2"/>
  <c r="D7974" i="2"/>
  <c r="D7975" i="2"/>
  <c r="D7976" i="2"/>
  <c r="D7977" i="2"/>
  <c r="D7978" i="2"/>
  <c r="D7979" i="2"/>
  <c r="D7980" i="2"/>
  <c r="D7981" i="2"/>
  <c r="D7982" i="2"/>
  <c r="D7983" i="2"/>
  <c r="D7984" i="2"/>
  <c r="D7985" i="2"/>
  <c r="D7986" i="2"/>
  <c r="D7987" i="2"/>
  <c r="D7988" i="2"/>
  <c r="D7989" i="2"/>
  <c r="D7990" i="2"/>
  <c r="D7991" i="2"/>
  <c r="D7992" i="2"/>
  <c r="D7993" i="2"/>
  <c r="D7994" i="2"/>
  <c r="D7995" i="2"/>
  <c r="D7996" i="2"/>
  <c r="D7997" i="2"/>
  <c r="D7998" i="2"/>
  <c r="D7999" i="2"/>
  <c r="D8000" i="2"/>
  <c r="D8001" i="2"/>
  <c r="D8002" i="2"/>
  <c r="D8003" i="2"/>
  <c r="D8004" i="2"/>
  <c r="D8005" i="2"/>
  <c r="D8006" i="2"/>
  <c r="D8007" i="2"/>
  <c r="D8008" i="2"/>
  <c r="D8009" i="2"/>
  <c r="D8010" i="2"/>
  <c r="D8011" i="2"/>
  <c r="D8012" i="2"/>
  <c r="D8013" i="2"/>
  <c r="D8014" i="2"/>
  <c r="D8015" i="2"/>
  <c r="D8016" i="2"/>
  <c r="D8017" i="2"/>
  <c r="D8018" i="2"/>
  <c r="D8019" i="2"/>
  <c r="D8020" i="2"/>
  <c r="D8021" i="2"/>
  <c r="D8022" i="2"/>
  <c r="D8023" i="2"/>
  <c r="D8024" i="2"/>
  <c r="D8025" i="2"/>
  <c r="D8026" i="2"/>
  <c r="D8027" i="2"/>
  <c r="D8028" i="2"/>
  <c r="D8029" i="2"/>
  <c r="D8030" i="2"/>
  <c r="D8031" i="2"/>
  <c r="D8032" i="2"/>
  <c r="D8033" i="2"/>
  <c r="D8034" i="2"/>
  <c r="D8035" i="2"/>
  <c r="D8036" i="2"/>
  <c r="D8037" i="2"/>
  <c r="D8038" i="2"/>
  <c r="D8039" i="2"/>
  <c r="D8040" i="2"/>
  <c r="D8041" i="2"/>
  <c r="D8042" i="2"/>
  <c r="D8043" i="2"/>
  <c r="D8044" i="2"/>
  <c r="D8045" i="2"/>
  <c r="D8046" i="2"/>
  <c r="D8047" i="2"/>
  <c r="D8048" i="2"/>
  <c r="D8049" i="2"/>
  <c r="D8050" i="2"/>
  <c r="D8051" i="2"/>
  <c r="D8052" i="2"/>
  <c r="D8053" i="2"/>
  <c r="D8054" i="2"/>
  <c r="D8055" i="2"/>
  <c r="D8056" i="2"/>
  <c r="D8057" i="2"/>
  <c r="D8058" i="2"/>
  <c r="D8059" i="2"/>
  <c r="D8060" i="2"/>
  <c r="D8061" i="2"/>
  <c r="D8062" i="2"/>
  <c r="D8063" i="2"/>
  <c r="D8064" i="2"/>
  <c r="D8065" i="2"/>
  <c r="D8066" i="2"/>
  <c r="D8067" i="2"/>
  <c r="D8068" i="2"/>
  <c r="D8069" i="2"/>
  <c r="D8070" i="2"/>
  <c r="D8071" i="2"/>
  <c r="D8072" i="2"/>
  <c r="D8073" i="2"/>
  <c r="D8074" i="2"/>
  <c r="D8075" i="2"/>
  <c r="D8076" i="2"/>
  <c r="D8077" i="2"/>
  <c r="D8078" i="2"/>
  <c r="D8079" i="2"/>
  <c r="D8080" i="2"/>
  <c r="D8081" i="2"/>
  <c r="D8082" i="2"/>
  <c r="D8083" i="2"/>
  <c r="D8084" i="2"/>
  <c r="D8085" i="2"/>
  <c r="D8086" i="2"/>
  <c r="D8087" i="2"/>
  <c r="D8088" i="2"/>
  <c r="D8089" i="2"/>
  <c r="D8090" i="2"/>
  <c r="D8091" i="2"/>
  <c r="D8092" i="2"/>
  <c r="D8093" i="2"/>
  <c r="D8094" i="2"/>
  <c r="D8095" i="2"/>
  <c r="D8096" i="2"/>
  <c r="D8097" i="2"/>
  <c r="D8098" i="2"/>
  <c r="D8099" i="2"/>
  <c r="D8100" i="2"/>
  <c r="D8101" i="2"/>
  <c r="D8102" i="2"/>
  <c r="D8103" i="2"/>
  <c r="D8104" i="2"/>
  <c r="D8105" i="2"/>
  <c r="D8106" i="2"/>
  <c r="D8107" i="2"/>
  <c r="D8108" i="2"/>
  <c r="D8109" i="2"/>
  <c r="D8110" i="2"/>
  <c r="D8111" i="2"/>
  <c r="D8112" i="2"/>
  <c r="D8113" i="2"/>
  <c r="D8114" i="2"/>
  <c r="D8115" i="2"/>
  <c r="D8116" i="2"/>
  <c r="D8117" i="2"/>
  <c r="D8118" i="2"/>
  <c r="D8119" i="2"/>
  <c r="D8120" i="2"/>
  <c r="D8121" i="2"/>
  <c r="D8122" i="2"/>
  <c r="D8123" i="2"/>
  <c r="D8124" i="2"/>
  <c r="D8125" i="2"/>
  <c r="D8126" i="2"/>
  <c r="D8127" i="2"/>
  <c r="D8128" i="2"/>
  <c r="D8129" i="2"/>
  <c r="D8130" i="2"/>
  <c r="D8131" i="2"/>
  <c r="D8132" i="2"/>
  <c r="D8133" i="2"/>
  <c r="D8134" i="2"/>
  <c r="D8135" i="2"/>
  <c r="D8136" i="2"/>
  <c r="D8137" i="2"/>
  <c r="D8138" i="2"/>
  <c r="D8139" i="2"/>
  <c r="D8140" i="2"/>
  <c r="D8141" i="2"/>
  <c r="D8142" i="2"/>
  <c r="D8143" i="2"/>
  <c r="D8144" i="2"/>
  <c r="D8145" i="2"/>
  <c r="D8146" i="2"/>
  <c r="D8147" i="2"/>
  <c r="D8148" i="2"/>
  <c r="D8149" i="2"/>
  <c r="D8150" i="2"/>
  <c r="D8151" i="2"/>
  <c r="H8151" i="2" s="1"/>
  <c r="D8152" i="2"/>
  <c r="H8152" i="2" s="1"/>
  <c r="D8153" i="2"/>
  <c r="H8153" i="2" s="1"/>
  <c r="D8154" i="2"/>
  <c r="H8154" i="2" s="1"/>
  <c r="D8155" i="2"/>
  <c r="H8155" i="2" s="1"/>
  <c r="D8156" i="2"/>
  <c r="H8156" i="2" s="1"/>
  <c r="D8157" i="2"/>
  <c r="H8157" i="2" s="1"/>
  <c r="D8158" i="2"/>
  <c r="H8158" i="2" s="1"/>
  <c r="D8159" i="2"/>
  <c r="H8159" i="2" s="1"/>
  <c r="D8160" i="2"/>
  <c r="H8160" i="2" s="1"/>
  <c r="D8161" i="2"/>
  <c r="H8161" i="2" s="1"/>
  <c r="D8162" i="2"/>
  <c r="H8162" i="2" s="1"/>
  <c r="D8163" i="2"/>
  <c r="H8163" i="2" s="1"/>
  <c r="D8164" i="2"/>
  <c r="H8164" i="2" s="1"/>
  <c r="D8165" i="2"/>
  <c r="H8165" i="2" s="1"/>
  <c r="D8166" i="2"/>
  <c r="H8166" i="2" s="1"/>
  <c r="D8167" i="2"/>
  <c r="H8167" i="2" s="1"/>
  <c r="D8168" i="2"/>
  <c r="H8168" i="2" s="1"/>
  <c r="D8169" i="2"/>
  <c r="H8169" i="2" s="1"/>
  <c r="D8170" i="2"/>
  <c r="H8170" i="2" s="1"/>
  <c r="D8171" i="2"/>
  <c r="H8171" i="2" s="1"/>
  <c r="D8172" i="2"/>
  <c r="H8172" i="2" s="1"/>
  <c r="D8173" i="2"/>
  <c r="H8173" i="2" s="1"/>
  <c r="D8174" i="2"/>
  <c r="H8174" i="2" s="1"/>
  <c r="D8175" i="2"/>
  <c r="H8175" i="2" s="1"/>
  <c r="D8176" i="2"/>
  <c r="H8176" i="2" s="1"/>
  <c r="D8177" i="2"/>
  <c r="H8177" i="2" s="1"/>
  <c r="D8178" i="2"/>
  <c r="H8178" i="2" s="1"/>
  <c r="D8179" i="2"/>
  <c r="H8179" i="2" s="1"/>
  <c r="D8180" i="2"/>
  <c r="H8180" i="2" s="1"/>
  <c r="D8181" i="2"/>
  <c r="H8181" i="2" s="1"/>
  <c r="D8182" i="2"/>
  <c r="H8182" i="2" s="1"/>
  <c r="D8183" i="2"/>
  <c r="H8183" i="2" s="1"/>
  <c r="D8184" i="2"/>
  <c r="H8184" i="2" s="1"/>
  <c r="D8185" i="2"/>
  <c r="H8185" i="2" s="1"/>
  <c r="D8186" i="2"/>
  <c r="H8186" i="2" s="1"/>
  <c r="D8187" i="2"/>
  <c r="H8187" i="2" s="1"/>
  <c r="D8188" i="2"/>
  <c r="H8188" i="2" s="1"/>
  <c r="D8189" i="2"/>
  <c r="H8189" i="2" s="1"/>
  <c r="D8190" i="2"/>
  <c r="H8190" i="2" s="1"/>
  <c r="D8191" i="2"/>
  <c r="H8191" i="2" s="1"/>
  <c r="D8192" i="2"/>
  <c r="H8192" i="2" s="1"/>
  <c r="D8193" i="2"/>
  <c r="H8193" i="2" s="1"/>
  <c r="D8194" i="2"/>
  <c r="H8194" i="2" s="1"/>
  <c r="D8195" i="2"/>
  <c r="H8195" i="2" s="1"/>
  <c r="D8196" i="2"/>
  <c r="H8196" i="2" s="1"/>
  <c r="D8197" i="2"/>
  <c r="H8197" i="2" s="1"/>
  <c r="D8198" i="2"/>
  <c r="H8198" i="2" s="1"/>
  <c r="D8199" i="2"/>
  <c r="H8199" i="2" s="1"/>
  <c r="D8200" i="2"/>
  <c r="H8200" i="2" s="1"/>
  <c r="D8201" i="2"/>
  <c r="H8201" i="2" s="1"/>
  <c r="D8202" i="2"/>
  <c r="H8202" i="2" s="1"/>
  <c r="D8203" i="2"/>
  <c r="H8203" i="2" s="1"/>
  <c r="D8204" i="2"/>
  <c r="H8204" i="2" s="1"/>
  <c r="D8205" i="2"/>
  <c r="H8205" i="2" s="1"/>
  <c r="D8206" i="2"/>
  <c r="H8206" i="2" s="1"/>
  <c r="D8207" i="2"/>
  <c r="H8207" i="2" s="1"/>
  <c r="D8208" i="2"/>
  <c r="H8208" i="2" s="1"/>
  <c r="D8209" i="2"/>
  <c r="H8209" i="2" s="1"/>
  <c r="D8210" i="2"/>
  <c r="H8210" i="2" s="1"/>
  <c r="D8211" i="2"/>
  <c r="H8211" i="2" s="1"/>
  <c r="D8212" i="2"/>
  <c r="H8212" i="2" s="1"/>
  <c r="D8213" i="2"/>
  <c r="H8213" i="2" s="1"/>
  <c r="D8214" i="2"/>
  <c r="H8214" i="2" s="1"/>
  <c r="D8215" i="2"/>
  <c r="H8215" i="2" s="1"/>
  <c r="D8216" i="2"/>
  <c r="H8216" i="2" s="1"/>
  <c r="D8217" i="2"/>
  <c r="H8217" i="2" s="1"/>
  <c r="D8218" i="2"/>
  <c r="H8218" i="2" s="1"/>
  <c r="D8219" i="2"/>
  <c r="H8219" i="2" s="1"/>
  <c r="D8220" i="2"/>
  <c r="H8220" i="2" s="1"/>
  <c r="D8221" i="2"/>
  <c r="H8221" i="2" s="1"/>
  <c r="D8222" i="2"/>
  <c r="H8222" i="2" s="1"/>
  <c r="D8223" i="2"/>
  <c r="H8223" i="2" s="1"/>
  <c r="D8224" i="2"/>
  <c r="H8224" i="2" s="1"/>
  <c r="D8225" i="2"/>
  <c r="H8225" i="2" s="1"/>
  <c r="D8226" i="2"/>
  <c r="H8226" i="2" s="1"/>
  <c r="D8227" i="2"/>
  <c r="H8227" i="2" s="1"/>
  <c r="D8228" i="2"/>
  <c r="H8228" i="2" s="1"/>
  <c r="D8229" i="2"/>
  <c r="H8229" i="2" s="1"/>
  <c r="D8230" i="2"/>
  <c r="H8230" i="2" s="1"/>
  <c r="D8231" i="2"/>
  <c r="H8231" i="2" s="1"/>
  <c r="D8232" i="2"/>
  <c r="H8232" i="2" s="1"/>
  <c r="D8233" i="2"/>
  <c r="H8233" i="2" s="1"/>
  <c r="D8234" i="2"/>
  <c r="H8234" i="2" s="1"/>
  <c r="D8235" i="2"/>
  <c r="H8235" i="2" s="1"/>
  <c r="D8236" i="2"/>
  <c r="H8236" i="2" s="1"/>
  <c r="D8237" i="2"/>
  <c r="H8237" i="2" s="1"/>
  <c r="D8238" i="2"/>
  <c r="H8238" i="2" s="1"/>
  <c r="D8239" i="2"/>
  <c r="H8239" i="2" s="1"/>
  <c r="D8240" i="2"/>
  <c r="H8240" i="2" s="1"/>
  <c r="D8241" i="2"/>
  <c r="H8241" i="2" s="1"/>
  <c r="D8242" i="2"/>
  <c r="H8242" i="2" s="1"/>
  <c r="D8243" i="2"/>
  <c r="H8243" i="2" s="1"/>
  <c r="D8244" i="2"/>
  <c r="H8244" i="2" s="1"/>
  <c r="D8245" i="2"/>
  <c r="H8245" i="2" s="1"/>
  <c r="D8246" i="2"/>
  <c r="H8246" i="2" s="1"/>
  <c r="D8247" i="2"/>
  <c r="H8247" i="2" s="1"/>
  <c r="D8248" i="2"/>
  <c r="H8248" i="2" s="1"/>
  <c r="D8249" i="2"/>
  <c r="H8249" i="2" s="1"/>
  <c r="D8250" i="2"/>
  <c r="H8250" i="2" s="1"/>
  <c r="D8251" i="2"/>
  <c r="H8251" i="2" s="1"/>
  <c r="D8252" i="2"/>
  <c r="H8252" i="2" s="1"/>
  <c r="D8253" i="2"/>
  <c r="H8253" i="2" s="1"/>
  <c r="D8254" i="2"/>
  <c r="H8254" i="2" s="1"/>
  <c r="D8255" i="2"/>
  <c r="H8255" i="2" s="1"/>
  <c r="D8256" i="2"/>
  <c r="H8256" i="2" s="1"/>
  <c r="D8257" i="2"/>
  <c r="H8257" i="2" s="1"/>
  <c r="D8258" i="2"/>
  <c r="H8258" i="2" s="1"/>
  <c r="D8259" i="2"/>
  <c r="H8259" i="2" s="1"/>
  <c r="D8260" i="2"/>
  <c r="H8260" i="2" s="1"/>
  <c r="D8261" i="2"/>
  <c r="H8261" i="2" s="1"/>
  <c r="D8262" i="2"/>
  <c r="H8262" i="2" s="1"/>
  <c r="D8263" i="2"/>
  <c r="H8263" i="2" s="1"/>
  <c r="D8264" i="2"/>
  <c r="H8264" i="2" s="1"/>
  <c r="D8265" i="2"/>
  <c r="H8265" i="2" s="1"/>
  <c r="D8266" i="2"/>
  <c r="H8266" i="2" s="1"/>
  <c r="D8267" i="2"/>
  <c r="H8267" i="2" s="1"/>
  <c r="D8268" i="2"/>
  <c r="H8268" i="2" s="1"/>
  <c r="D8269" i="2"/>
  <c r="H8269" i="2" s="1"/>
  <c r="D8270" i="2"/>
  <c r="H8270" i="2" s="1"/>
  <c r="D8271" i="2"/>
  <c r="H8271" i="2" s="1"/>
  <c r="D8272" i="2"/>
  <c r="H8272" i="2" s="1"/>
  <c r="D8273" i="2"/>
  <c r="H8273" i="2" s="1"/>
  <c r="D8274" i="2"/>
  <c r="H8274" i="2" s="1"/>
  <c r="D8275" i="2"/>
  <c r="H8275" i="2" s="1"/>
  <c r="D8276" i="2"/>
  <c r="H8276" i="2" s="1"/>
  <c r="D8277" i="2"/>
  <c r="H8277" i="2" s="1"/>
  <c r="D8278" i="2"/>
  <c r="H8278" i="2" s="1"/>
  <c r="D8279" i="2"/>
  <c r="H8279" i="2" s="1"/>
  <c r="D8280" i="2"/>
  <c r="H8280" i="2" s="1"/>
  <c r="D8281" i="2"/>
  <c r="H8281" i="2" s="1"/>
  <c r="D8282" i="2"/>
  <c r="H8282" i="2" s="1"/>
  <c r="D8283" i="2"/>
  <c r="H8283" i="2" s="1"/>
  <c r="D8284" i="2"/>
  <c r="H8284" i="2" s="1"/>
  <c r="D8285" i="2"/>
  <c r="H8285" i="2" s="1"/>
  <c r="D8286" i="2"/>
  <c r="H8286" i="2" s="1"/>
  <c r="D8287" i="2"/>
  <c r="H8287" i="2" s="1"/>
  <c r="D8288" i="2"/>
  <c r="H8288" i="2" s="1"/>
  <c r="D8289" i="2"/>
  <c r="H8289" i="2" s="1"/>
  <c r="D8290" i="2"/>
  <c r="H8290" i="2" s="1"/>
  <c r="D8291" i="2"/>
  <c r="H8291" i="2" s="1"/>
  <c r="D8292" i="2"/>
  <c r="H8292" i="2" s="1"/>
  <c r="D8293" i="2"/>
  <c r="H8293" i="2" s="1"/>
  <c r="D8294" i="2"/>
  <c r="H8294" i="2" s="1"/>
  <c r="D8295" i="2"/>
  <c r="H8295" i="2" s="1"/>
  <c r="D8296" i="2"/>
  <c r="H8296" i="2" s="1"/>
  <c r="D8297" i="2"/>
  <c r="H8297" i="2" s="1"/>
  <c r="D8298" i="2"/>
  <c r="H8298" i="2" s="1"/>
  <c r="D8299" i="2"/>
  <c r="H8299" i="2" s="1"/>
  <c r="D8300" i="2"/>
  <c r="H8300" i="2" s="1"/>
  <c r="D8301" i="2"/>
  <c r="H8301" i="2" s="1"/>
  <c r="D8302" i="2"/>
  <c r="H8302" i="2" s="1"/>
  <c r="D8303" i="2"/>
  <c r="H8303" i="2" s="1"/>
  <c r="D8304" i="2"/>
  <c r="H8304" i="2" s="1"/>
  <c r="D8305" i="2"/>
  <c r="H8305" i="2" s="1"/>
  <c r="D8306" i="2"/>
  <c r="H8306" i="2" s="1"/>
  <c r="D8307" i="2"/>
  <c r="H8307" i="2" s="1"/>
  <c r="D8308" i="2"/>
  <c r="H8308" i="2" s="1"/>
  <c r="D8309" i="2"/>
  <c r="H8309" i="2" s="1"/>
  <c r="D8310" i="2"/>
  <c r="H8310" i="2" s="1"/>
  <c r="D8311" i="2"/>
  <c r="H8311" i="2" s="1"/>
  <c r="D8312" i="2"/>
  <c r="H8312" i="2" s="1"/>
  <c r="D8313" i="2"/>
  <c r="H8313" i="2" s="1"/>
  <c r="D8314" i="2"/>
  <c r="H8314" i="2" s="1"/>
  <c r="D8315" i="2"/>
  <c r="H8315" i="2" s="1"/>
  <c r="D8316" i="2"/>
  <c r="H8316" i="2" s="1"/>
  <c r="D8317" i="2"/>
  <c r="H8317" i="2" s="1"/>
  <c r="D8318" i="2"/>
  <c r="H8318" i="2" s="1"/>
  <c r="D8319" i="2"/>
  <c r="H8319" i="2" s="1"/>
  <c r="D8320" i="2"/>
  <c r="H8320" i="2" s="1"/>
  <c r="D8321" i="2"/>
  <c r="H8321" i="2" s="1"/>
  <c r="D8322" i="2"/>
  <c r="H8322" i="2" s="1"/>
  <c r="D8323" i="2"/>
  <c r="H8323" i="2" s="1"/>
  <c r="D8324" i="2"/>
  <c r="H8324" i="2" s="1"/>
  <c r="D8325" i="2"/>
  <c r="H8325" i="2" s="1"/>
  <c r="D8326" i="2"/>
  <c r="H8326" i="2" s="1"/>
  <c r="D8327" i="2"/>
  <c r="H8327" i="2" s="1"/>
  <c r="D8328" i="2"/>
  <c r="H8328" i="2" s="1"/>
  <c r="D8329" i="2"/>
  <c r="H8329" i="2" s="1"/>
  <c r="D8330" i="2"/>
  <c r="H8330" i="2" s="1"/>
  <c r="D8331" i="2"/>
  <c r="H8331" i="2" s="1"/>
  <c r="D8332" i="2"/>
  <c r="H8332" i="2" s="1"/>
  <c r="D8333" i="2"/>
  <c r="H8333" i="2" s="1"/>
  <c r="D8334" i="2"/>
  <c r="H8334" i="2" s="1"/>
  <c r="D8335" i="2"/>
  <c r="H8335" i="2" s="1"/>
  <c r="D8336" i="2"/>
  <c r="H8336" i="2" s="1"/>
  <c r="D8337" i="2"/>
  <c r="H8337" i="2" s="1"/>
  <c r="D8338" i="2"/>
  <c r="H8338" i="2" s="1"/>
  <c r="D8339" i="2"/>
  <c r="H8339" i="2" s="1"/>
  <c r="D8340" i="2"/>
  <c r="H8340" i="2" s="1"/>
  <c r="D8341" i="2"/>
  <c r="H8341" i="2" s="1"/>
  <c r="D8342" i="2"/>
  <c r="H8342" i="2" s="1"/>
  <c r="D8343" i="2"/>
  <c r="H8343" i="2" s="1"/>
  <c r="D8344" i="2"/>
  <c r="H8344" i="2" s="1"/>
  <c r="D8345" i="2"/>
  <c r="H8345" i="2" s="1"/>
  <c r="D8346" i="2"/>
  <c r="H8346" i="2" s="1"/>
  <c r="D8347" i="2"/>
  <c r="H8347" i="2" s="1"/>
  <c r="D8348" i="2"/>
  <c r="H8348" i="2" s="1"/>
  <c r="D8349" i="2"/>
  <c r="H8349" i="2" s="1"/>
  <c r="D8350" i="2"/>
  <c r="H8350" i="2" s="1"/>
  <c r="D8351" i="2"/>
  <c r="H8351" i="2" s="1"/>
  <c r="D8352" i="2"/>
  <c r="H8352" i="2" s="1"/>
  <c r="D8353" i="2"/>
  <c r="H8353" i="2" s="1"/>
  <c r="D8354" i="2"/>
  <c r="H8354" i="2" s="1"/>
  <c r="D8355" i="2"/>
  <c r="H8355" i="2" s="1"/>
  <c r="D8356" i="2"/>
  <c r="H8356" i="2" s="1"/>
  <c r="D8357" i="2"/>
  <c r="H8357" i="2" s="1"/>
  <c r="D8358" i="2"/>
  <c r="H8358" i="2" s="1"/>
  <c r="D8359" i="2"/>
  <c r="H8359" i="2" s="1"/>
  <c r="D8360" i="2"/>
  <c r="H8360" i="2" s="1"/>
  <c r="D8361" i="2"/>
  <c r="H8361" i="2" s="1"/>
  <c r="D8362" i="2"/>
  <c r="H8362" i="2" s="1"/>
  <c r="D8363" i="2"/>
  <c r="H8363" i="2" s="1"/>
  <c r="D8364" i="2"/>
  <c r="H8364" i="2" s="1"/>
  <c r="D8365" i="2"/>
  <c r="H8365" i="2" s="1"/>
  <c r="D8366" i="2"/>
  <c r="H8366" i="2" s="1"/>
  <c r="D8367" i="2"/>
  <c r="H8367" i="2" s="1"/>
  <c r="D8368" i="2"/>
  <c r="H8368" i="2" s="1"/>
  <c r="D8369" i="2"/>
  <c r="H8369" i="2" s="1"/>
  <c r="D8370" i="2"/>
  <c r="H8370" i="2" s="1"/>
  <c r="D8371" i="2"/>
  <c r="H8371" i="2" s="1"/>
  <c r="D8372" i="2"/>
  <c r="H8372" i="2" s="1"/>
  <c r="D8373" i="2"/>
  <c r="H8373" i="2" s="1"/>
  <c r="D8374" i="2"/>
  <c r="H8374" i="2" s="1"/>
  <c r="D8375" i="2"/>
  <c r="H8375" i="2" s="1"/>
  <c r="D8376" i="2"/>
  <c r="H8376" i="2" s="1"/>
  <c r="D8377" i="2"/>
  <c r="H8377" i="2" s="1"/>
  <c r="D8378" i="2"/>
  <c r="H8378" i="2" s="1"/>
  <c r="D8379" i="2"/>
  <c r="H8379" i="2" s="1"/>
  <c r="D8380" i="2"/>
  <c r="H8380" i="2" s="1"/>
  <c r="D8381" i="2"/>
  <c r="H8381" i="2" s="1"/>
  <c r="D8382" i="2"/>
  <c r="H8382" i="2" s="1"/>
  <c r="D8383" i="2"/>
  <c r="H8383" i="2" s="1"/>
  <c r="D8384" i="2"/>
  <c r="H8384" i="2" s="1"/>
  <c r="D8385" i="2"/>
  <c r="H8385" i="2" s="1"/>
  <c r="D8386" i="2"/>
  <c r="H8386" i="2" s="1"/>
  <c r="D8387" i="2"/>
  <c r="H8387" i="2" s="1"/>
  <c r="D8388" i="2"/>
  <c r="H8388" i="2" s="1"/>
  <c r="D8389" i="2"/>
  <c r="H8389" i="2" s="1"/>
  <c r="D8390" i="2"/>
  <c r="H8390" i="2" s="1"/>
  <c r="D8391" i="2"/>
  <c r="H8391" i="2" s="1"/>
  <c r="D8392" i="2"/>
  <c r="H8392" i="2" s="1"/>
  <c r="D8393" i="2"/>
  <c r="H8393" i="2" s="1"/>
  <c r="D8394" i="2"/>
  <c r="H8394" i="2" s="1"/>
  <c r="D8395" i="2"/>
  <c r="H8395" i="2" s="1"/>
  <c r="D8396" i="2"/>
  <c r="H8396" i="2" s="1"/>
  <c r="D8397" i="2"/>
  <c r="H8397" i="2" s="1"/>
  <c r="D8398" i="2"/>
  <c r="H8398" i="2" s="1"/>
  <c r="D8399" i="2"/>
  <c r="H8399" i="2" s="1"/>
  <c r="D8400" i="2"/>
  <c r="H8400" i="2" s="1"/>
  <c r="D8401" i="2"/>
  <c r="H8401" i="2" s="1"/>
  <c r="D8402" i="2"/>
  <c r="H8402" i="2" s="1"/>
  <c r="D8403" i="2"/>
  <c r="H8403" i="2" s="1"/>
  <c r="D8404" i="2"/>
  <c r="H8404" i="2" s="1"/>
  <c r="D8405" i="2"/>
  <c r="H8405" i="2" s="1"/>
  <c r="D8406" i="2"/>
  <c r="H8406" i="2" s="1"/>
  <c r="D8407" i="2"/>
  <c r="H8407" i="2" s="1"/>
  <c r="D8408" i="2"/>
  <c r="H8408" i="2" s="1"/>
  <c r="D8409" i="2"/>
  <c r="H8409" i="2" s="1"/>
  <c r="D8410" i="2"/>
  <c r="H8410" i="2" s="1"/>
  <c r="D8411" i="2"/>
  <c r="H8411" i="2" s="1"/>
  <c r="D8412" i="2"/>
  <c r="H8412" i="2" s="1"/>
  <c r="D8413" i="2"/>
  <c r="H8413" i="2" s="1"/>
  <c r="D8414" i="2"/>
  <c r="H8414" i="2" s="1"/>
  <c r="D8415" i="2"/>
  <c r="H8415" i="2" s="1"/>
  <c r="D8416" i="2"/>
  <c r="H8416" i="2" s="1"/>
  <c r="D8417" i="2"/>
  <c r="H8417" i="2" s="1"/>
  <c r="D8418" i="2"/>
  <c r="H8418" i="2" s="1"/>
  <c r="D8419" i="2"/>
  <c r="H8419" i="2" s="1"/>
  <c r="D8420" i="2"/>
  <c r="H8420" i="2" s="1"/>
  <c r="D8421" i="2"/>
  <c r="H8421" i="2" s="1"/>
  <c r="D8422" i="2"/>
  <c r="H8422" i="2" s="1"/>
  <c r="D8423" i="2"/>
  <c r="H8423" i="2" s="1"/>
  <c r="D8424" i="2"/>
  <c r="H8424" i="2" s="1"/>
  <c r="D8425" i="2"/>
  <c r="H8425" i="2" s="1"/>
  <c r="D8426" i="2"/>
  <c r="H8426" i="2" s="1"/>
  <c r="D8427" i="2"/>
  <c r="H8427" i="2" s="1"/>
  <c r="D8428" i="2"/>
  <c r="H8428" i="2" s="1"/>
  <c r="D8429" i="2"/>
  <c r="H8429" i="2" s="1"/>
  <c r="D8430" i="2"/>
  <c r="H8430" i="2" s="1"/>
  <c r="D8431" i="2"/>
  <c r="H8431" i="2" s="1"/>
  <c r="D8432" i="2"/>
  <c r="H8432" i="2" s="1"/>
  <c r="D8433" i="2"/>
  <c r="H8433" i="2" s="1"/>
  <c r="D8434" i="2"/>
  <c r="H8434" i="2" s="1"/>
  <c r="D8435" i="2"/>
  <c r="H8435" i="2" s="1"/>
  <c r="D8436" i="2"/>
  <c r="H8436" i="2" s="1"/>
  <c r="D8437" i="2"/>
  <c r="H8437" i="2" s="1"/>
  <c r="D8438" i="2"/>
  <c r="H8438" i="2" s="1"/>
  <c r="D8439" i="2"/>
  <c r="H8439" i="2" s="1"/>
  <c r="D8440" i="2"/>
  <c r="H8440" i="2" s="1"/>
  <c r="D8441" i="2"/>
  <c r="H8441" i="2" s="1"/>
  <c r="D8442" i="2"/>
  <c r="H8442" i="2" s="1"/>
  <c r="D8443" i="2"/>
  <c r="H8443" i="2" s="1"/>
  <c r="D8444" i="2"/>
  <c r="H8444" i="2" s="1"/>
  <c r="D8445" i="2"/>
  <c r="H8445" i="2" s="1"/>
  <c r="D8446" i="2"/>
  <c r="H8446" i="2" s="1"/>
  <c r="D8447" i="2"/>
  <c r="H8447" i="2" s="1"/>
  <c r="D8448" i="2"/>
  <c r="H8448" i="2" s="1"/>
  <c r="D8449" i="2"/>
  <c r="H8449" i="2" s="1"/>
  <c r="D8450" i="2"/>
  <c r="H8450" i="2" s="1"/>
  <c r="D8451" i="2"/>
  <c r="H8451" i="2" s="1"/>
  <c r="D8452" i="2"/>
  <c r="H8452" i="2" s="1"/>
  <c r="D8453" i="2"/>
  <c r="H8453" i="2" s="1"/>
  <c r="D8454" i="2"/>
  <c r="H8454" i="2" s="1"/>
  <c r="D8455" i="2"/>
  <c r="H8455" i="2" s="1"/>
  <c r="D8456" i="2"/>
  <c r="H8456" i="2" s="1"/>
  <c r="D8457" i="2"/>
  <c r="H8457" i="2" s="1"/>
  <c r="D8458" i="2"/>
  <c r="H8458" i="2" s="1"/>
  <c r="D8459" i="2"/>
  <c r="H8459" i="2" s="1"/>
  <c r="D8460" i="2"/>
  <c r="H8460" i="2" s="1"/>
  <c r="D8461" i="2"/>
  <c r="H8461" i="2" s="1"/>
  <c r="D8462" i="2"/>
  <c r="H8462" i="2" s="1"/>
  <c r="D8463" i="2"/>
  <c r="H8463" i="2" s="1"/>
  <c r="D8464" i="2"/>
  <c r="H8464" i="2" s="1"/>
  <c r="D8465" i="2"/>
  <c r="H8465" i="2" s="1"/>
  <c r="D8466" i="2"/>
  <c r="H8466" i="2" s="1"/>
  <c r="D8467" i="2"/>
  <c r="H8467" i="2" s="1"/>
  <c r="D8468" i="2"/>
  <c r="H8468" i="2" s="1"/>
  <c r="D8469" i="2"/>
  <c r="H8469" i="2" s="1"/>
  <c r="D8470" i="2"/>
  <c r="H8470" i="2" s="1"/>
  <c r="D8471" i="2"/>
  <c r="H8471" i="2" s="1"/>
  <c r="D8472" i="2"/>
  <c r="H8472" i="2" s="1"/>
  <c r="D8473" i="2"/>
  <c r="H8473" i="2" s="1"/>
  <c r="D8474" i="2"/>
  <c r="H8474" i="2" s="1"/>
  <c r="D8475" i="2"/>
  <c r="H8475" i="2" s="1"/>
  <c r="D8476" i="2"/>
  <c r="H8476" i="2" s="1"/>
  <c r="D8477" i="2"/>
  <c r="H8477" i="2" s="1"/>
  <c r="D8478" i="2"/>
  <c r="H8478" i="2" s="1"/>
  <c r="D8479" i="2"/>
  <c r="H8479" i="2" s="1"/>
  <c r="D8480" i="2"/>
  <c r="H8480" i="2" s="1"/>
  <c r="D8481" i="2"/>
  <c r="H8481" i="2" s="1"/>
  <c r="D8482" i="2"/>
  <c r="H8482" i="2" s="1"/>
  <c r="D8483" i="2"/>
  <c r="H8483" i="2" s="1"/>
  <c r="D8484" i="2"/>
  <c r="H8484" i="2" s="1"/>
  <c r="D8485" i="2"/>
  <c r="H8485" i="2" s="1"/>
  <c r="D8486" i="2"/>
  <c r="H8486" i="2" s="1"/>
  <c r="D8487" i="2"/>
  <c r="H8487" i="2" s="1"/>
  <c r="D8488" i="2"/>
  <c r="H8488" i="2" s="1"/>
  <c r="D8489" i="2"/>
  <c r="H8489" i="2" s="1"/>
  <c r="D8490" i="2"/>
  <c r="H8490" i="2" s="1"/>
  <c r="D8491" i="2"/>
  <c r="H8491" i="2" s="1"/>
  <c r="D8492" i="2"/>
  <c r="H8492" i="2" s="1"/>
  <c r="D8493" i="2"/>
  <c r="H8493" i="2" s="1"/>
  <c r="D8494" i="2"/>
  <c r="H8494" i="2" s="1"/>
  <c r="D8495" i="2"/>
  <c r="H8495" i="2" s="1"/>
  <c r="D8496" i="2"/>
  <c r="H8496" i="2" s="1"/>
  <c r="D8497" i="2"/>
  <c r="H8497" i="2" s="1"/>
  <c r="D8498" i="2"/>
  <c r="H8498" i="2" s="1"/>
  <c r="D8499" i="2"/>
  <c r="H8499" i="2" s="1"/>
  <c r="D8500" i="2"/>
  <c r="H8500" i="2" s="1"/>
  <c r="D8501" i="2"/>
  <c r="H8501" i="2" s="1"/>
  <c r="D8502" i="2"/>
  <c r="H8502" i="2" s="1"/>
  <c r="D8503" i="2"/>
  <c r="H8503" i="2" s="1"/>
  <c r="D8504" i="2"/>
  <c r="H8504" i="2" s="1"/>
  <c r="D8505" i="2"/>
  <c r="H8505" i="2" s="1"/>
  <c r="D8506" i="2"/>
  <c r="H8506" i="2" s="1"/>
  <c r="D8507" i="2"/>
  <c r="H8507" i="2" s="1"/>
  <c r="D8508" i="2"/>
  <c r="H8508" i="2" s="1"/>
  <c r="D8509" i="2"/>
  <c r="H8509" i="2" s="1"/>
  <c r="D8510" i="2"/>
  <c r="H8510" i="2" s="1"/>
  <c r="D8511" i="2"/>
  <c r="H8511" i="2" s="1"/>
  <c r="D8512" i="2"/>
  <c r="H8512" i="2" s="1"/>
  <c r="D8513" i="2"/>
  <c r="H8513" i="2" s="1"/>
  <c r="D8514" i="2"/>
  <c r="H8514" i="2" s="1"/>
  <c r="D8515" i="2"/>
  <c r="H8515" i="2" s="1"/>
  <c r="D8516" i="2"/>
  <c r="H8516" i="2" s="1"/>
  <c r="D8517" i="2"/>
  <c r="H8517" i="2" s="1"/>
  <c r="D8518" i="2"/>
  <c r="H8518" i="2" s="1"/>
  <c r="D8519" i="2"/>
  <c r="H8519" i="2" s="1"/>
  <c r="D8520" i="2"/>
  <c r="H8520" i="2" s="1"/>
  <c r="D8521" i="2"/>
  <c r="H8521" i="2" s="1"/>
  <c r="D8522" i="2"/>
  <c r="H8522" i="2" s="1"/>
  <c r="D8523" i="2"/>
  <c r="H8523" i="2" s="1"/>
  <c r="D8524" i="2"/>
  <c r="H8524" i="2" s="1"/>
  <c r="D8525" i="2"/>
  <c r="H8525" i="2" s="1"/>
  <c r="D8526" i="2"/>
  <c r="H8526" i="2" s="1"/>
  <c r="D8527" i="2"/>
  <c r="H8527" i="2" s="1"/>
  <c r="D8528" i="2"/>
  <c r="H8528" i="2" s="1"/>
  <c r="D8529" i="2"/>
  <c r="H8529" i="2" s="1"/>
  <c r="D8530" i="2"/>
  <c r="H8530" i="2" s="1"/>
  <c r="D8531" i="2"/>
  <c r="H8531" i="2" s="1"/>
  <c r="D8532" i="2"/>
  <c r="H8532" i="2" s="1"/>
  <c r="D8533" i="2"/>
  <c r="H8533" i="2" s="1"/>
  <c r="D8534" i="2"/>
  <c r="H8534" i="2" s="1"/>
  <c r="D8535" i="2"/>
  <c r="H8535" i="2" s="1"/>
  <c r="D8536" i="2"/>
  <c r="H8536" i="2" s="1"/>
  <c r="D8537" i="2"/>
  <c r="H8537" i="2" s="1"/>
  <c r="D8538" i="2"/>
  <c r="H8538" i="2" s="1"/>
  <c r="D8539" i="2"/>
  <c r="H8539" i="2" s="1"/>
  <c r="D8540" i="2"/>
  <c r="H8540" i="2" s="1"/>
  <c r="D8541" i="2"/>
  <c r="H8541" i="2" s="1"/>
  <c r="D8542" i="2"/>
  <c r="H8542" i="2" s="1"/>
  <c r="D8543" i="2"/>
  <c r="H8543" i="2" s="1"/>
  <c r="D8544" i="2"/>
  <c r="H8544" i="2" s="1"/>
  <c r="D8545" i="2"/>
  <c r="H8545" i="2" s="1"/>
  <c r="D8546" i="2"/>
  <c r="H8546" i="2" s="1"/>
  <c r="D8547" i="2"/>
  <c r="H8547" i="2" s="1"/>
  <c r="D8548" i="2"/>
  <c r="H8548" i="2" s="1"/>
  <c r="D8549" i="2"/>
  <c r="H8549" i="2" s="1"/>
  <c r="D8550" i="2"/>
  <c r="H8550" i="2" s="1"/>
  <c r="D8551" i="2"/>
  <c r="H8551" i="2" s="1"/>
  <c r="D8552" i="2"/>
  <c r="H8552" i="2" s="1"/>
  <c r="D8553" i="2"/>
  <c r="H8553" i="2" s="1"/>
  <c r="D8554" i="2"/>
  <c r="H8554" i="2" s="1"/>
  <c r="D8555" i="2"/>
  <c r="H8555" i="2" s="1"/>
  <c r="D8556" i="2"/>
  <c r="H8556" i="2" s="1"/>
  <c r="D8557" i="2"/>
  <c r="H8557" i="2" s="1"/>
  <c r="D8558" i="2"/>
  <c r="H8558" i="2" s="1"/>
  <c r="D8559" i="2"/>
  <c r="H8559" i="2" s="1"/>
  <c r="D8560" i="2"/>
  <c r="H8560" i="2" s="1"/>
  <c r="D8561" i="2"/>
  <c r="H8561" i="2" s="1"/>
  <c r="D8562" i="2"/>
  <c r="H8562" i="2" s="1"/>
  <c r="D8563" i="2"/>
  <c r="H8563" i="2" s="1"/>
  <c r="D8564" i="2"/>
  <c r="H8564" i="2" s="1"/>
  <c r="D8565" i="2"/>
  <c r="H8565" i="2" s="1"/>
  <c r="D8566" i="2"/>
  <c r="H8566" i="2" s="1"/>
  <c r="D8567" i="2"/>
  <c r="H8567" i="2" s="1"/>
  <c r="D8568" i="2"/>
  <c r="H8568" i="2" s="1"/>
  <c r="D8569" i="2"/>
  <c r="H8569" i="2" s="1"/>
  <c r="D8570" i="2"/>
  <c r="H8570" i="2" s="1"/>
  <c r="D8571" i="2"/>
  <c r="H8571" i="2" s="1"/>
  <c r="D8572" i="2"/>
  <c r="H8572" i="2" s="1"/>
  <c r="D8573" i="2"/>
  <c r="H8573" i="2" s="1"/>
  <c r="D8574" i="2"/>
  <c r="H8574" i="2" s="1"/>
  <c r="D8575" i="2"/>
  <c r="H8575" i="2" s="1"/>
  <c r="D8576" i="2"/>
  <c r="H8576" i="2" s="1"/>
  <c r="D8577" i="2"/>
  <c r="H8577" i="2" s="1"/>
  <c r="D8578" i="2"/>
  <c r="H8578" i="2" s="1"/>
  <c r="D8579" i="2"/>
  <c r="H8579" i="2" s="1"/>
  <c r="D8580" i="2"/>
  <c r="H8580" i="2" s="1"/>
  <c r="D8581" i="2"/>
  <c r="H8581" i="2" s="1"/>
  <c r="D8582" i="2"/>
  <c r="H8582" i="2" s="1"/>
  <c r="D8583" i="2"/>
  <c r="H8583" i="2" s="1"/>
  <c r="D8584" i="2"/>
  <c r="H8584" i="2" s="1"/>
  <c r="D8585" i="2"/>
  <c r="H8585" i="2" s="1"/>
  <c r="D8586" i="2"/>
  <c r="H8586" i="2" s="1"/>
  <c r="D8587" i="2"/>
  <c r="H8587" i="2" s="1"/>
  <c r="D8588" i="2"/>
  <c r="H8588" i="2" s="1"/>
  <c r="D8589" i="2"/>
  <c r="H8589" i="2" s="1"/>
  <c r="D8590" i="2"/>
  <c r="H8590" i="2" s="1"/>
  <c r="D8591" i="2"/>
  <c r="H8591" i="2" s="1"/>
  <c r="D8592" i="2"/>
  <c r="H8592" i="2" s="1"/>
  <c r="D8593" i="2"/>
  <c r="H8593" i="2" s="1"/>
  <c r="D8594" i="2"/>
  <c r="H8594" i="2" s="1"/>
  <c r="D8595" i="2"/>
  <c r="H8595" i="2" s="1"/>
  <c r="D8596" i="2"/>
  <c r="H8596" i="2" s="1"/>
  <c r="D8597" i="2"/>
  <c r="H8597" i="2" s="1"/>
  <c r="D8598" i="2"/>
  <c r="H8598" i="2" s="1"/>
  <c r="D8599" i="2"/>
  <c r="H8599" i="2" s="1"/>
  <c r="D8600" i="2"/>
  <c r="H8600" i="2" s="1"/>
  <c r="D8601" i="2"/>
  <c r="H8601" i="2" s="1"/>
  <c r="D8602" i="2"/>
  <c r="H8602" i="2" s="1"/>
  <c r="D8603" i="2"/>
  <c r="H8603" i="2" s="1"/>
  <c r="D8604" i="2"/>
  <c r="H8604" i="2" s="1"/>
  <c r="D8605" i="2"/>
  <c r="H8605" i="2" s="1"/>
  <c r="D8606" i="2"/>
  <c r="H8606" i="2" s="1"/>
  <c r="D8607" i="2"/>
  <c r="H8607" i="2" s="1"/>
  <c r="D8608" i="2"/>
  <c r="H8608" i="2" s="1"/>
  <c r="D8609" i="2"/>
  <c r="H8609" i="2" s="1"/>
  <c r="D8610" i="2"/>
  <c r="H8610" i="2" s="1"/>
  <c r="D8611" i="2"/>
  <c r="H8611" i="2" s="1"/>
  <c r="D8612" i="2"/>
  <c r="H8612" i="2" s="1"/>
  <c r="D8613" i="2"/>
  <c r="H8613" i="2" s="1"/>
  <c r="D8614" i="2"/>
  <c r="H8614" i="2" s="1"/>
  <c r="D8615" i="2"/>
  <c r="H8615" i="2" s="1"/>
  <c r="D8616" i="2"/>
  <c r="H8616" i="2" s="1"/>
  <c r="D8617" i="2"/>
  <c r="H8617" i="2" s="1"/>
  <c r="D8618" i="2"/>
  <c r="H8618" i="2" s="1"/>
  <c r="D8619" i="2"/>
  <c r="H8619" i="2" s="1"/>
  <c r="D8620" i="2"/>
  <c r="H8620" i="2" s="1"/>
  <c r="D8621" i="2"/>
  <c r="H8621" i="2" s="1"/>
  <c r="D8622" i="2"/>
  <c r="H8622" i="2" s="1"/>
  <c r="D8623" i="2"/>
  <c r="H8623" i="2" s="1"/>
  <c r="D8624" i="2"/>
  <c r="H8624" i="2" s="1"/>
  <c r="D8625" i="2"/>
  <c r="H8625" i="2" s="1"/>
  <c r="D8626" i="2"/>
  <c r="H8626" i="2" s="1"/>
  <c r="D8627" i="2"/>
  <c r="H8627" i="2" s="1"/>
  <c r="D8628" i="2"/>
  <c r="H8628" i="2" s="1"/>
  <c r="D8629" i="2"/>
  <c r="H8629" i="2" s="1"/>
  <c r="D8630" i="2"/>
  <c r="H8630" i="2" s="1"/>
  <c r="D8631" i="2"/>
  <c r="H8631" i="2" s="1"/>
  <c r="D8632" i="2"/>
  <c r="H8632" i="2" s="1"/>
  <c r="D8633" i="2"/>
  <c r="H8633" i="2" s="1"/>
  <c r="D8634" i="2"/>
  <c r="H8634" i="2" s="1"/>
  <c r="D8635" i="2"/>
  <c r="H8635" i="2" s="1"/>
  <c r="D8636" i="2"/>
  <c r="H8636" i="2" s="1"/>
  <c r="D8637" i="2"/>
  <c r="H8637" i="2" s="1"/>
  <c r="D8638" i="2"/>
  <c r="H8638" i="2" s="1"/>
  <c r="D8639" i="2"/>
  <c r="H8639" i="2" s="1"/>
  <c r="D8640" i="2"/>
  <c r="H8640" i="2" s="1"/>
  <c r="D8641" i="2"/>
  <c r="H8641" i="2" s="1"/>
  <c r="D8642" i="2"/>
  <c r="H8642" i="2" s="1"/>
  <c r="D8643" i="2"/>
  <c r="H8643" i="2" s="1"/>
  <c r="D8644" i="2"/>
  <c r="H8644" i="2" s="1"/>
  <c r="D8645" i="2"/>
  <c r="H8645" i="2" s="1"/>
  <c r="D8646" i="2"/>
  <c r="H8646" i="2" s="1"/>
  <c r="D8647" i="2"/>
  <c r="H8647" i="2" s="1"/>
  <c r="D8648" i="2"/>
  <c r="H8648" i="2" s="1"/>
  <c r="D8649" i="2"/>
  <c r="H8649" i="2" s="1"/>
  <c r="D8650" i="2"/>
  <c r="H8650" i="2" s="1"/>
  <c r="D8651" i="2"/>
  <c r="H8651" i="2" s="1"/>
  <c r="D8652" i="2"/>
  <c r="H8652" i="2" s="1"/>
  <c r="D8653" i="2"/>
  <c r="H8653" i="2" s="1"/>
  <c r="D8654" i="2"/>
  <c r="H8654" i="2" s="1"/>
  <c r="D8655" i="2"/>
  <c r="H8655" i="2" s="1"/>
  <c r="D8656" i="2"/>
  <c r="H8656" i="2" s="1"/>
  <c r="D8657" i="2"/>
  <c r="H8657" i="2" s="1"/>
  <c r="D8658" i="2"/>
  <c r="H8658" i="2" s="1"/>
  <c r="D8659" i="2"/>
  <c r="H8659" i="2" s="1"/>
  <c r="D8660" i="2"/>
  <c r="H8660" i="2" s="1"/>
  <c r="D8661" i="2"/>
  <c r="H8661" i="2" s="1"/>
  <c r="D8662" i="2"/>
  <c r="H8662" i="2" s="1"/>
  <c r="D8663" i="2"/>
  <c r="H8663" i="2" s="1"/>
  <c r="D8664" i="2"/>
  <c r="H8664" i="2" s="1"/>
  <c r="D8665" i="2"/>
  <c r="H8665" i="2" s="1"/>
  <c r="D8666" i="2"/>
  <c r="H8666" i="2" s="1"/>
  <c r="D8667" i="2"/>
  <c r="H8667" i="2" s="1"/>
  <c r="D8668" i="2"/>
  <c r="H8668" i="2" s="1"/>
  <c r="D8669" i="2"/>
  <c r="H8669" i="2" s="1"/>
  <c r="D8670" i="2"/>
  <c r="H8670" i="2" s="1"/>
  <c r="D8671" i="2"/>
  <c r="H8671" i="2" s="1"/>
  <c r="D8672" i="2"/>
  <c r="H8672" i="2" s="1"/>
  <c r="D8673" i="2"/>
  <c r="H8673" i="2" s="1"/>
  <c r="D8674" i="2"/>
  <c r="H8674" i="2" s="1"/>
  <c r="D8675" i="2"/>
  <c r="H8675" i="2" s="1"/>
  <c r="D8676" i="2"/>
  <c r="H8676" i="2" s="1"/>
  <c r="D8677" i="2"/>
  <c r="H8677" i="2" s="1"/>
  <c r="D8678" i="2"/>
  <c r="H8678" i="2" s="1"/>
  <c r="D8679" i="2"/>
  <c r="H8679" i="2" s="1"/>
  <c r="D8680" i="2"/>
  <c r="H8680" i="2" s="1"/>
  <c r="D8681" i="2"/>
  <c r="H8681" i="2" s="1"/>
  <c r="D8682" i="2"/>
  <c r="H8682" i="2" s="1"/>
  <c r="D8683" i="2"/>
  <c r="H8683" i="2" s="1"/>
  <c r="D8684" i="2"/>
  <c r="H8684" i="2" s="1"/>
  <c r="D8685" i="2"/>
  <c r="H8685" i="2" s="1"/>
  <c r="D8686" i="2"/>
  <c r="H8686" i="2" s="1"/>
  <c r="D8687" i="2"/>
  <c r="H8687" i="2" s="1"/>
  <c r="D8688" i="2"/>
  <c r="H8688" i="2" s="1"/>
  <c r="D8689" i="2"/>
  <c r="H8689" i="2" s="1"/>
  <c r="D8690" i="2"/>
  <c r="H8690" i="2" s="1"/>
  <c r="D8691" i="2"/>
  <c r="H8691" i="2" s="1"/>
  <c r="D8692" i="2"/>
  <c r="H8692" i="2" s="1"/>
  <c r="D8693" i="2"/>
  <c r="H8693" i="2" s="1"/>
  <c r="D8694" i="2"/>
  <c r="H8694" i="2" s="1"/>
  <c r="D8695" i="2"/>
  <c r="H8695" i="2" s="1"/>
  <c r="D8696" i="2"/>
  <c r="H8696" i="2" s="1"/>
  <c r="D8697" i="2"/>
  <c r="H8697" i="2" s="1"/>
  <c r="D8698" i="2"/>
  <c r="H8698" i="2" s="1"/>
  <c r="D8699" i="2"/>
  <c r="H8699" i="2" s="1"/>
  <c r="D8700" i="2"/>
  <c r="H8700" i="2" s="1"/>
  <c r="D8701" i="2"/>
  <c r="H8701" i="2" s="1"/>
  <c r="D8702" i="2"/>
  <c r="H8702" i="2" s="1"/>
  <c r="D8703" i="2"/>
  <c r="H8703" i="2" s="1"/>
  <c r="D8704" i="2"/>
  <c r="H8704" i="2" s="1"/>
  <c r="D8705" i="2"/>
  <c r="H8705" i="2" s="1"/>
  <c r="D8706" i="2"/>
  <c r="H8706" i="2" s="1"/>
  <c r="D8707" i="2"/>
  <c r="H8707" i="2" s="1"/>
  <c r="D8708" i="2"/>
  <c r="H8708" i="2" s="1"/>
  <c r="D8709" i="2"/>
  <c r="H8709" i="2" s="1"/>
  <c r="D8710" i="2"/>
  <c r="H8710" i="2" s="1"/>
  <c r="D8711" i="2"/>
  <c r="H8711" i="2" s="1"/>
  <c r="D8712" i="2"/>
  <c r="H8712" i="2" s="1"/>
  <c r="D8713" i="2"/>
  <c r="H8713" i="2" s="1"/>
  <c r="D8714" i="2"/>
  <c r="H8714" i="2" s="1"/>
  <c r="D8715" i="2"/>
  <c r="H8715" i="2" s="1"/>
  <c r="D8716" i="2"/>
  <c r="H8716" i="2" s="1"/>
  <c r="D8717" i="2"/>
  <c r="H8717" i="2" s="1"/>
  <c r="D8718" i="2"/>
  <c r="H8718" i="2" s="1"/>
  <c r="D8719" i="2"/>
  <c r="H8719" i="2" s="1"/>
  <c r="D8720" i="2"/>
  <c r="H8720" i="2" s="1"/>
  <c r="D8721" i="2"/>
  <c r="H8721" i="2" s="1"/>
  <c r="D8722" i="2"/>
  <c r="H8722" i="2" s="1"/>
  <c r="D8723" i="2"/>
  <c r="H8723" i="2" s="1"/>
  <c r="D8724" i="2"/>
  <c r="H8724" i="2" s="1"/>
  <c r="D8725" i="2"/>
  <c r="H8725" i="2" s="1"/>
  <c r="D8726" i="2"/>
  <c r="H8726" i="2" s="1"/>
  <c r="D8727" i="2"/>
  <c r="H8727" i="2" s="1"/>
  <c r="D8728" i="2"/>
  <c r="H8728" i="2" s="1"/>
  <c r="D8729" i="2"/>
  <c r="H8729" i="2" s="1"/>
  <c r="D8730" i="2"/>
  <c r="H8730" i="2" s="1"/>
  <c r="D8731" i="2"/>
  <c r="H8731" i="2" s="1"/>
  <c r="D8732" i="2"/>
  <c r="H8732" i="2" s="1"/>
  <c r="D8733" i="2"/>
  <c r="H8733" i="2" s="1"/>
  <c r="D8734" i="2"/>
  <c r="H8734" i="2" s="1"/>
  <c r="D8735" i="2"/>
  <c r="H8735" i="2" s="1"/>
  <c r="D8736" i="2"/>
  <c r="H8736" i="2" s="1"/>
  <c r="D8737" i="2"/>
  <c r="H8737" i="2" s="1"/>
  <c r="D8738" i="2"/>
  <c r="H8738" i="2" s="1"/>
  <c r="D8739" i="2"/>
  <c r="H8739" i="2" s="1"/>
  <c r="D8740" i="2"/>
  <c r="H8740" i="2" s="1"/>
  <c r="D8741" i="2"/>
  <c r="H8741" i="2" s="1"/>
  <c r="D8742" i="2"/>
  <c r="H8742" i="2" s="1"/>
  <c r="D8743" i="2"/>
  <c r="H8743" i="2" s="1"/>
  <c r="D8744" i="2"/>
  <c r="H8744" i="2" s="1"/>
  <c r="D8745" i="2"/>
  <c r="H8745" i="2" s="1"/>
  <c r="D8746" i="2"/>
  <c r="H8746" i="2" s="1"/>
  <c r="D8747" i="2"/>
  <c r="H8747" i="2" s="1"/>
  <c r="D8748" i="2"/>
  <c r="H8748" i="2" s="1"/>
  <c r="D8749" i="2"/>
  <c r="H8749" i="2" s="1"/>
  <c r="D8750" i="2"/>
  <c r="H8750" i="2" s="1"/>
  <c r="D8751" i="2"/>
  <c r="H8751" i="2" s="1"/>
  <c r="D8752" i="2"/>
  <c r="H8752" i="2" s="1"/>
  <c r="D8753" i="2"/>
  <c r="H8753" i="2" s="1"/>
  <c r="D8754" i="2"/>
  <c r="H8754" i="2" s="1"/>
  <c r="D8755" i="2"/>
  <c r="H8755" i="2" s="1"/>
  <c r="D8756" i="2"/>
  <c r="H8756" i="2" s="1"/>
  <c r="D8757" i="2"/>
  <c r="H8757" i="2" s="1"/>
  <c r="D8758" i="2"/>
  <c r="H8758" i="2" s="1"/>
  <c r="D8759" i="2"/>
  <c r="H8759" i="2" s="1"/>
  <c r="D8760" i="2"/>
  <c r="H8760" i="2" s="1"/>
  <c r="D8761" i="2"/>
  <c r="H8761" i="2" s="1"/>
  <c r="D8762" i="2"/>
  <c r="H8762" i="2" s="1"/>
  <c r="D8763" i="2"/>
  <c r="H8763" i="2" s="1"/>
  <c r="D8764" i="2"/>
  <c r="H8764" i="2" s="1"/>
  <c r="D8765" i="2"/>
  <c r="H8765" i="2" s="1"/>
  <c r="D8766" i="2"/>
  <c r="H8766" i="2" s="1"/>
  <c r="D8767" i="2"/>
  <c r="H8767" i="2" s="1"/>
  <c r="D8768" i="2"/>
  <c r="H8768" i="2" s="1"/>
  <c r="D8769" i="2"/>
  <c r="H8769" i="2" s="1"/>
  <c r="D8770" i="2"/>
  <c r="H8770" i="2" s="1"/>
  <c r="D8771" i="2"/>
  <c r="H8771" i="2" s="1"/>
  <c r="D8772" i="2"/>
  <c r="H8772" i="2" s="1"/>
  <c r="D8773" i="2"/>
  <c r="H8773" i="2" s="1"/>
  <c r="D8774" i="2"/>
  <c r="H8774" i="2" s="1"/>
  <c r="D8775" i="2"/>
  <c r="H8775" i="2" s="1"/>
  <c r="D8776" i="2"/>
  <c r="H8776" i="2" s="1"/>
  <c r="D8777" i="2"/>
  <c r="H8777" i="2" s="1"/>
  <c r="D8778" i="2"/>
  <c r="H8778" i="2" s="1"/>
  <c r="D8779" i="2"/>
  <c r="H8779" i="2" s="1"/>
  <c r="D8780" i="2"/>
  <c r="H8780" i="2" s="1"/>
  <c r="D8781" i="2"/>
  <c r="H8781" i="2" s="1"/>
  <c r="D8782" i="2"/>
  <c r="H8782" i="2" s="1"/>
  <c r="D8783" i="2"/>
  <c r="H8783" i="2" s="1"/>
  <c r="D8784" i="2"/>
  <c r="H8784" i="2" s="1"/>
  <c r="D8785" i="2"/>
  <c r="H8785" i="2" s="1"/>
  <c r="D8786" i="2"/>
  <c r="H8786" i="2" s="1"/>
  <c r="D8787" i="2"/>
  <c r="H8787" i="2" s="1"/>
  <c r="D8788" i="2"/>
  <c r="H8788" i="2" s="1"/>
  <c r="D8789" i="2"/>
  <c r="H8789" i="2" s="1"/>
  <c r="D8790" i="2"/>
  <c r="H8790" i="2" s="1"/>
  <c r="D8791" i="2"/>
  <c r="H8791" i="2" s="1"/>
  <c r="D8792" i="2"/>
  <c r="H8792" i="2" s="1"/>
  <c r="D8793" i="2"/>
  <c r="H8793" i="2" s="1"/>
  <c r="D8794" i="2"/>
  <c r="H8794" i="2" s="1"/>
  <c r="D8795" i="2"/>
  <c r="H8795" i="2" s="1"/>
  <c r="D8796" i="2"/>
  <c r="H8796" i="2" s="1"/>
  <c r="D8797" i="2"/>
  <c r="H8797" i="2" s="1"/>
  <c r="D8798" i="2"/>
  <c r="H8798" i="2" s="1"/>
  <c r="D8799" i="2"/>
  <c r="H8799" i="2" s="1"/>
  <c r="D8800" i="2"/>
  <c r="H8800" i="2" s="1"/>
  <c r="D8801" i="2"/>
  <c r="H8801" i="2" s="1"/>
  <c r="D8802" i="2"/>
  <c r="H8802" i="2" s="1"/>
  <c r="D8803" i="2"/>
  <c r="H8803" i="2" s="1"/>
  <c r="D8804" i="2"/>
  <c r="H8804" i="2" s="1"/>
  <c r="D8805" i="2"/>
  <c r="H8805" i="2" s="1"/>
  <c r="D8806" i="2"/>
  <c r="H8806" i="2" s="1"/>
  <c r="D8807" i="2"/>
  <c r="H8807" i="2" s="1"/>
  <c r="D8808" i="2"/>
  <c r="H8808" i="2" s="1"/>
  <c r="D8809" i="2"/>
  <c r="H8809" i="2" s="1"/>
  <c r="D8810" i="2"/>
  <c r="H8810" i="2" s="1"/>
  <c r="D8811" i="2"/>
  <c r="H8811" i="2" s="1"/>
  <c r="D8812" i="2"/>
  <c r="H8812" i="2" s="1"/>
  <c r="D8813" i="2"/>
  <c r="H8813" i="2" s="1"/>
  <c r="D8814" i="2"/>
  <c r="H8814" i="2" s="1"/>
  <c r="D8815" i="2"/>
  <c r="H8815" i="2" s="1"/>
  <c r="D8816" i="2"/>
  <c r="H8816" i="2" s="1"/>
  <c r="D8817" i="2"/>
  <c r="H8817" i="2" s="1"/>
  <c r="D8818" i="2"/>
  <c r="H8818" i="2" s="1"/>
  <c r="D8819" i="2"/>
  <c r="H8819" i="2" s="1"/>
  <c r="D8820" i="2"/>
  <c r="H8820" i="2" s="1"/>
  <c r="D8821" i="2"/>
  <c r="H8821" i="2" s="1"/>
  <c r="D8822" i="2"/>
  <c r="H8822" i="2" s="1"/>
  <c r="D8823" i="2"/>
  <c r="H8823" i="2" s="1"/>
  <c r="D8824" i="2"/>
  <c r="H8824" i="2" s="1"/>
  <c r="D8825" i="2"/>
  <c r="H8825" i="2" s="1"/>
  <c r="D8826" i="2"/>
  <c r="H8826" i="2" s="1"/>
  <c r="D8827" i="2"/>
  <c r="H8827" i="2" s="1"/>
  <c r="D8828" i="2"/>
  <c r="H8828" i="2" s="1"/>
  <c r="D8829" i="2"/>
  <c r="H8829" i="2" s="1"/>
  <c r="D8830" i="2"/>
  <c r="H8830" i="2" s="1"/>
  <c r="D8831" i="2"/>
  <c r="H8831" i="2" s="1"/>
  <c r="D8832" i="2"/>
  <c r="H8832" i="2" s="1"/>
  <c r="D8833" i="2"/>
  <c r="H8833" i="2" s="1"/>
  <c r="D8834" i="2"/>
  <c r="H8834" i="2" s="1"/>
  <c r="D8835" i="2"/>
  <c r="H8835" i="2" s="1"/>
  <c r="D8836" i="2"/>
  <c r="H8836" i="2" s="1"/>
  <c r="D8837" i="2"/>
  <c r="H8837" i="2" s="1"/>
  <c r="D8838" i="2"/>
  <c r="H8838" i="2" s="1"/>
  <c r="D8839" i="2"/>
  <c r="H8839" i="2" s="1"/>
  <c r="D8840" i="2"/>
  <c r="H8840" i="2" s="1"/>
  <c r="D8841" i="2"/>
  <c r="H8841" i="2" s="1"/>
  <c r="D8842" i="2"/>
  <c r="H8842" i="2" s="1"/>
  <c r="D8843" i="2"/>
  <c r="H8843" i="2" s="1"/>
  <c r="D8844" i="2"/>
  <c r="H8844" i="2" s="1"/>
  <c r="D8845" i="2"/>
  <c r="H8845" i="2" s="1"/>
  <c r="D8846" i="2"/>
  <c r="H8846" i="2" s="1"/>
  <c r="D8847" i="2"/>
  <c r="H8847" i="2" s="1"/>
  <c r="D8848" i="2"/>
  <c r="H8848" i="2" s="1"/>
  <c r="D8849" i="2"/>
  <c r="H8849" i="2" s="1"/>
  <c r="D8850" i="2"/>
  <c r="H8850" i="2" s="1"/>
  <c r="D8851" i="2"/>
  <c r="H8851" i="2" s="1"/>
  <c r="D8852" i="2"/>
  <c r="H8852" i="2" s="1"/>
  <c r="D8853" i="2"/>
  <c r="H8853" i="2" s="1"/>
  <c r="D8854" i="2"/>
  <c r="H8854" i="2" s="1"/>
  <c r="D8855" i="2"/>
  <c r="H8855" i="2" s="1"/>
  <c r="D8856" i="2"/>
  <c r="H8856" i="2" s="1"/>
  <c r="D8857" i="2"/>
  <c r="H8857" i="2" s="1"/>
  <c r="D8858" i="2"/>
  <c r="H8858" i="2" s="1"/>
  <c r="D8859" i="2"/>
  <c r="H8859" i="2" s="1"/>
  <c r="D8860" i="2"/>
  <c r="H8860" i="2" s="1"/>
  <c r="D8861" i="2"/>
  <c r="H8861" i="2" s="1"/>
  <c r="D8862" i="2"/>
  <c r="H8862" i="2" s="1"/>
  <c r="D8863" i="2"/>
  <c r="H8863" i="2" s="1"/>
  <c r="D8864" i="2"/>
  <c r="H8864" i="2" s="1"/>
  <c r="D8865" i="2"/>
  <c r="H8865" i="2" s="1"/>
  <c r="D8866" i="2"/>
  <c r="H8866" i="2" s="1"/>
  <c r="D8867" i="2"/>
  <c r="H8867" i="2" s="1"/>
  <c r="D8868" i="2"/>
  <c r="H8868" i="2" s="1"/>
  <c r="D8869" i="2"/>
  <c r="H8869" i="2" s="1"/>
  <c r="D8870" i="2"/>
  <c r="H8870" i="2" s="1"/>
  <c r="D8871" i="2"/>
  <c r="H8871" i="2" s="1"/>
  <c r="D8872" i="2"/>
  <c r="H8872" i="2" s="1"/>
  <c r="D8873" i="2"/>
  <c r="H8873" i="2" s="1"/>
  <c r="D8874" i="2"/>
  <c r="H8874" i="2" s="1"/>
  <c r="D8875" i="2"/>
  <c r="H8875" i="2" s="1"/>
  <c r="D8876" i="2"/>
  <c r="H8876" i="2" s="1"/>
  <c r="D8877" i="2"/>
  <c r="H8877" i="2" s="1"/>
  <c r="D8878" i="2"/>
  <c r="H8878" i="2" s="1"/>
  <c r="D8879" i="2"/>
  <c r="H8879" i="2" s="1"/>
  <c r="D8880" i="2"/>
  <c r="H8880" i="2" s="1"/>
  <c r="D8881" i="2"/>
  <c r="H8881" i="2" s="1"/>
  <c r="D8882" i="2"/>
  <c r="H8882" i="2" s="1"/>
  <c r="D8883" i="2"/>
  <c r="H8883" i="2" s="1"/>
  <c r="D8884" i="2"/>
  <c r="H8884" i="2" s="1"/>
  <c r="D8885" i="2"/>
  <c r="H8885" i="2" s="1"/>
  <c r="D8886" i="2"/>
  <c r="H8886" i="2" s="1"/>
  <c r="D8887" i="2"/>
  <c r="H8887" i="2" s="1"/>
  <c r="D8888" i="2"/>
  <c r="H8888" i="2" s="1"/>
  <c r="D8889" i="2"/>
  <c r="H8889" i="2" s="1"/>
  <c r="D8890" i="2"/>
  <c r="H8890" i="2" s="1"/>
  <c r="D8891" i="2"/>
  <c r="H8891" i="2" s="1"/>
  <c r="D8892" i="2"/>
  <c r="H8892" i="2" s="1"/>
  <c r="D8893" i="2"/>
  <c r="H8893" i="2" s="1"/>
  <c r="D8894" i="2"/>
  <c r="H8894" i="2" s="1"/>
  <c r="D8895" i="2"/>
  <c r="H8895" i="2" s="1"/>
  <c r="D8896" i="2"/>
  <c r="H8896" i="2" s="1"/>
  <c r="D8897" i="2"/>
  <c r="H8897" i="2" s="1"/>
  <c r="D8898" i="2"/>
  <c r="H8898" i="2" s="1"/>
  <c r="D8899" i="2"/>
  <c r="H8899" i="2" s="1"/>
  <c r="D8900" i="2"/>
  <c r="H8900" i="2" s="1"/>
  <c r="D8901" i="2"/>
  <c r="H8901" i="2" s="1"/>
  <c r="D8902" i="2"/>
  <c r="H8902" i="2" s="1"/>
  <c r="D8903" i="2"/>
  <c r="H8903" i="2" s="1"/>
  <c r="D8904" i="2"/>
  <c r="H8904" i="2" s="1"/>
  <c r="D8905" i="2"/>
  <c r="H8905" i="2" s="1"/>
  <c r="D8906" i="2"/>
  <c r="H8906" i="2" s="1"/>
  <c r="D8907" i="2"/>
  <c r="H8907" i="2" s="1"/>
  <c r="D8908" i="2"/>
  <c r="H8908" i="2" s="1"/>
  <c r="D8909" i="2"/>
  <c r="H8909" i="2" s="1"/>
  <c r="D8910" i="2"/>
  <c r="H8910" i="2" s="1"/>
  <c r="D8911" i="2"/>
  <c r="H8911" i="2" s="1"/>
  <c r="D8912" i="2"/>
  <c r="H8912" i="2" s="1"/>
  <c r="D8913" i="2"/>
  <c r="H8913" i="2" s="1"/>
  <c r="D8914" i="2"/>
  <c r="H8914" i="2" s="1"/>
  <c r="D8915" i="2"/>
  <c r="H8915" i="2" s="1"/>
  <c r="D8916" i="2"/>
  <c r="H8916" i="2" s="1"/>
  <c r="D8917" i="2"/>
  <c r="H8917" i="2" s="1"/>
  <c r="D8918" i="2"/>
  <c r="H8918" i="2" s="1"/>
  <c r="D8919" i="2"/>
  <c r="H8919" i="2" s="1"/>
  <c r="D8920" i="2"/>
  <c r="H8920" i="2" s="1"/>
  <c r="D8921" i="2"/>
  <c r="H8921" i="2" s="1"/>
  <c r="D8922" i="2"/>
  <c r="H8922" i="2" s="1"/>
  <c r="D8923" i="2"/>
  <c r="H8923" i="2" s="1"/>
  <c r="D8924" i="2"/>
  <c r="H8924" i="2" s="1"/>
  <c r="D8925" i="2"/>
  <c r="H8925" i="2" s="1"/>
  <c r="D8926" i="2"/>
  <c r="H8926" i="2" s="1"/>
  <c r="D8927" i="2"/>
  <c r="H8927" i="2" s="1"/>
  <c r="D8928" i="2"/>
  <c r="H8928" i="2" s="1"/>
  <c r="D8929" i="2"/>
  <c r="H8929" i="2" s="1"/>
  <c r="D8930" i="2"/>
  <c r="H8930" i="2" s="1"/>
  <c r="D8931" i="2"/>
  <c r="H8931" i="2" s="1"/>
  <c r="D8932" i="2"/>
  <c r="H8932" i="2" s="1"/>
  <c r="D8933" i="2"/>
  <c r="H8933" i="2" s="1"/>
  <c r="D8934" i="2"/>
  <c r="H8934" i="2" s="1"/>
  <c r="D8935" i="2"/>
  <c r="H8935" i="2" s="1"/>
  <c r="D8936" i="2"/>
  <c r="H8936" i="2" s="1"/>
  <c r="D8937" i="2"/>
  <c r="H8937" i="2" s="1"/>
  <c r="D8938" i="2"/>
  <c r="H8938" i="2" s="1"/>
  <c r="D8939" i="2"/>
  <c r="H8939" i="2" s="1"/>
  <c r="D8940" i="2"/>
  <c r="H8940" i="2" s="1"/>
  <c r="D8941" i="2"/>
  <c r="H8941" i="2" s="1"/>
  <c r="D8942" i="2"/>
  <c r="H8942" i="2" s="1"/>
  <c r="D8943" i="2"/>
  <c r="H8943" i="2" s="1"/>
  <c r="D8944" i="2"/>
  <c r="H8944" i="2" s="1"/>
  <c r="D8945" i="2"/>
  <c r="H8945" i="2" s="1"/>
  <c r="D8946" i="2"/>
  <c r="H8946" i="2" s="1"/>
  <c r="D8947" i="2"/>
  <c r="H8947" i="2" s="1"/>
  <c r="D8948" i="2"/>
  <c r="H8948" i="2" s="1"/>
  <c r="D8949" i="2"/>
  <c r="H8949" i="2" s="1"/>
  <c r="D8950" i="2"/>
  <c r="H8950" i="2" s="1"/>
  <c r="D8951" i="2"/>
  <c r="H8951" i="2" s="1"/>
  <c r="D8952" i="2"/>
  <c r="H8952" i="2" s="1"/>
  <c r="D8953" i="2"/>
  <c r="H8953" i="2" s="1"/>
  <c r="D8954" i="2"/>
  <c r="H8954" i="2" s="1"/>
  <c r="D8955" i="2"/>
  <c r="H8955" i="2" s="1"/>
  <c r="D8956" i="2"/>
  <c r="H8956" i="2" s="1"/>
  <c r="D8957" i="2"/>
  <c r="H8957" i="2" s="1"/>
  <c r="D8958" i="2"/>
  <c r="H8958" i="2" s="1"/>
  <c r="D8959" i="2"/>
  <c r="H8959" i="2" s="1"/>
  <c r="D8960" i="2"/>
  <c r="H8960" i="2" s="1"/>
  <c r="D8961" i="2"/>
  <c r="H8961" i="2" s="1"/>
  <c r="D8962" i="2"/>
  <c r="H8962" i="2" s="1"/>
  <c r="D8963" i="2"/>
  <c r="H8963" i="2" s="1"/>
  <c r="D8964" i="2"/>
  <c r="H8964" i="2" s="1"/>
  <c r="D8965" i="2"/>
  <c r="H8965" i="2" s="1"/>
  <c r="D8966" i="2"/>
  <c r="H8966" i="2" s="1"/>
  <c r="D8967" i="2"/>
  <c r="H8967" i="2" s="1"/>
  <c r="D8968" i="2"/>
  <c r="H8968" i="2" s="1"/>
  <c r="D8969" i="2"/>
  <c r="H8969" i="2" s="1"/>
  <c r="D8970" i="2"/>
  <c r="H8970" i="2" s="1"/>
  <c r="D8971" i="2"/>
  <c r="H8971" i="2" s="1"/>
  <c r="D8972" i="2"/>
  <c r="H8972" i="2" s="1"/>
  <c r="D8973" i="2"/>
  <c r="H8973" i="2" s="1"/>
  <c r="D8974" i="2"/>
  <c r="H8974" i="2" s="1"/>
  <c r="D8975" i="2"/>
  <c r="H8975" i="2" s="1"/>
  <c r="D8976" i="2"/>
  <c r="H8976" i="2" s="1"/>
  <c r="D8977" i="2"/>
  <c r="H8977" i="2" s="1"/>
  <c r="D8978" i="2"/>
  <c r="H8978" i="2" s="1"/>
  <c r="D8979" i="2"/>
  <c r="H8979" i="2" s="1"/>
  <c r="D8980" i="2"/>
  <c r="H8980" i="2" s="1"/>
  <c r="D8981" i="2"/>
  <c r="H8981" i="2" s="1"/>
  <c r="D8982" i="2"/>
  <c r="H8982" i="2" s="1"/>
  <c r="D8983" i="2"/>
  <c r="H8983" i="2" s="1"/>
  <c r="D8984" i="2"/>
  <c r="H8984" i="2" s="1"/>
  <c r="D8985" i="2"/>
  <c r="H8985" i="2" s="1"/>
  <c r="D8986" i="2"/>
  <c r="H8986" i="2" s="1"/>
  <c r="D8987" i="2"/>
  <c r="H8987" i="2" s="1"/>
  <c r="D8988" i="2"/>
  <c r="H8988" i="2" s="1"/>
  <c r="D8989" i="2"/>
  <c r="H8989" i="2" s="1"/>
  <c r="D8990" i="2"/>
  <c r="H8990" i="2" s="1"/>
  <c r="D8991" i="2"/>
  <c r="H8991" i="2" s="1"/>
  <c r="D8992" i="2"/>
  <c r="H8992" i="2" s="1"/>
  <c r="D8993" i="2"/>
  <c r="H8993" i="2" s="1"/>
  <c r="D8994" i="2"/>
  <c r="H8994" i="2" s="1"/>
  <c r="D8995" i="2"/>
  <c r="H8995" i="2" s="1"/>
  <c r="D8996" i="2"/>
  <c r="H8996" i="2" s="1"/>
  <c r="D8997" i="2"/>
  <c r="H8997" i="2" s="1"/>
  <c r="D8998" i="2"/>
  <c r="H8998" i="2" s="1"/>
  <c r="D8999" i="2"/>
  <c r="H8999" i="2" s="1"/>
  <c r="D9000" i="2"/>
  <c r="H9000" i="2" s="1"/>
  <c r="D9001" i="2"/>
  <c r="H9001" i="2" s="1"/>
  <c r="D9002" i="2"/>
  <c r="H9002" i="2" s="1"/>
  <c r="D9003" i="2"/>
  <c r="H9003" i="2" s="1"/>
  <c r="D9004" i="2"/>
  <c r="H9004" i="2" s="1"/>
  <c r="D9005" i="2"/>
  <c r="H9005" i="2" s="1"/>
  <c r="D9006" i="2"/>
  <c r="H9006" i="2" s="1"/>
  <c r="D9007" i="2"/>
  <c r="H9007" i="2" s="1"/>
  <c r="D9008" i="2"/>
  <c r="H9008" i="2" s="1"/>
  <c r="D9009" i="2"/>
  <c r="H9009" i="2" s="1"/>
  <c r="D9010" i="2"/>
  <c r="H9010" i="2" s="1"/>
  <c r="D9011" i="2"/>
  <c r="H9011" i="2" s="1"/>
  <c r="D9012" i="2"/>
  <c r="H9012" i="2" s="1"/>
  <c r="D9013" i="2"/>
  <c r="H9013" i="2" s="1"/>
  <c r="D9014" i="2"/>
  <c r="H9014" i="2" s="1"/>
  <c r="D9015" i="2"/>
  <c r="H9015" i="2" s="1"/>
  <c r="D9016" i="2"/>
  <c r="H9016" i="2" s="1"/>
  <c r="D9017" i="2"/>
  <c r="H9017" i="2" s="1"/>
  <c r="D9018" i="2"/>
  <c r="H9018" i="2" s="1"/>
  <c r="D9019" i="2"/>
  <c r="H9019" i="2" s="1"/>
  <c r="D9020" i="2"/>
  <c r="H9020" i="2" s="1"/>
  <c r="D9021" i="2"/>
  <c r="H9021" i="2" s="1"/>
  <c r="D9022" i="2"/>
  <c r="H9022" i="2" s="1"/>
  <c r="D9023" i="2"/>
  <c r="H9023" i="2" s="1"/>
  <c r="D9024" i="2"/>
  <c r="H9024" i="2" s="1"/>
  <c r="D9025" i="2"/>
  <c r="H9025" i="2" s="1"/>
  <c r="D9026" i="2"/>
  <c r="H9026" i="2" s="1"/>
  <c r="D9027" i="2"/>
  <c r="H9027" i="2" s="1"/>
  <c r="D9028" i="2"/>
  <c r="H9028" i="2" s="1"/>
  <c r="D9029" i="2"/>
  <c r="H9029" i="2" s="1"/>
  <c r="D9030" i="2"/>
  <c r="H9030" i="2" s="1"/>
  <c r="D9031" i="2"/>
  <c r="H9031" i="2" s="1"/>
  <c r="D9032" i="2"/>
  <c r="H9032" i="2" s="1"/>
  <c r="D9033" i="2"/>
  <c r="H9033" i="2" s="1"/>
  <c r="D9034" i="2"/>
  <c r="H9034" i="2" s="1"/>
  <c r="D9035" i="2"/>
  <c r="H9035" i="2" s="1"/>
  <c r="D9036" i="2"/>
  <c r="H9036" i="2" s="1"/>
  <c r="D9037" i="2"/>
  <c r="H9037" i="2" s="1"/>
  <c r="D9038" i="2"/>
  <c r="H9038" i="2" s="1"/>
  <c r="D9039" i="2"/>
  <c r="H9039" i="2" s="1"/>
  <c r="D9040" i="2"/>
  <c r="H9040" i="2" s="1"/>
  <c r="D9041" i="2"/>
  <c r="H9041" i="2" s="1"/>
  <c r="D9042" i="2"/>
  <c r="H9042" i="2" s="1"/>
  <c r="D9043" i="2"/>
  <c r="H9043" i="2" s="1"/>
  <c r="D9044" i="2"/>
  <c r="H9044" i="2" s="1"/>
  <c r="D9045" i="2"/>
  <c r="H9045" i="2" s="1"/>
  <c r="D9046" i="2"/>
  <c r="H9046" i="2" s="1"/>
  <c r="D9047" i="2"/>
  <c r="H9047" i="2" s="1"/>
  <c r="D9048" i="2"/>
  <c r="H9048" i="2" s="1"/>
  <c r="D9049" i="2"/>
  <c r="H9049" i="2" s="1"/>
  <c r="D9050" i="2"/>
  <c r="H9050" i="2" s="1"/>
  <c r="D9051" i="2"/>
  <c r="H9051" i="2" s="1"/>
  <c r="D9052" i="2"/>
  <c r="H9052" i="2" s="1"/>
  <c r="D9053" i="2"/>
  <c r="H9053" i="2" s="1"/>
  <c r="D9054" i="2"/>
  <c r="H9054" i="2" s="1"/>
  <c r="D9055" i="2"/>
  <c r="H9055" i="2" s="1"/>
  <c r="D9056" i="2"/>
  <c r="H9056" i="2" s="1"/>
  <c r="D9057" i="2"/>
  <c r="H9057" i="2" s="1"/>
  <c r="D9058" i="2"/>
  <c r="H9058" i="2" s="1"/>
  <c r="D9059" i="2"/>
  <c r="H9059" i="2" s="1"/>
  <c r="D9060" i="2"/>
  <c r="H9060" i="2" s="1"/>
  <c r="D9061" i="2"/>
  <c r="H9061" i="2" s="1"/>
  <c r="D9062" i="2"/>
  <c r="H9062" i="2" s="1"/>
  <c r="D9063" i="2"/>
  <c r="H9063" i="2" s="1"/>
  <c r="D9064" i="2"/>
  <c r="H9064" i="2" s="1"/>
  <c r="D9065" i="2"/>
  <c r="H9065" i="2" s="1"/>
  <c r="D9066" i="2"/>
  <c r="H9066" i="2" s="1"/>
  <c r="D9067" i="2"/>
  <c r="H9067" i="2" s="1"/>
  <c r="D9068" i="2"/>
  <c r="H9068" i="2" s="1"/>
  <c r="D9069" i="2"/>
  <c r="H9069" i="2" s="1"/>
  <c r="D9070" i="2"/>
  <c r="H9070" i="2" s="1"/>
  <c r="D9071" i="2"/>
  <c r="H9071" i="2" s="1"/>
  <c r="D9072" i="2"/>
  <c r="H9072" i="2" s="1"/>
  <c r="D9073" i="2"/>
  <c r="H9073" i="2" s="1"/>
  <c r="D9074" i="2"/>
  <c r="H9074" i="2" s="1"/>
  <c r="D9075" i="2"/>
  <c r="H9075" i="2" s="1"/>
  <c r="D9076" i="2"/>
  <c r="H9076" i="2" s="1"/>
  <c r="D9077" i="2"/>
  <c r="H9077" i="2" s="1"/>
  <c r="D9078" i="2"/>
  <c r="H9078" i="2" s="1"/>
  <c r="D9079" i="2"/>
  <c r="H9079" i="2" s="1"/>
  <c r="D9080" i="2"/>
  <c r="H9080" i="2" s="1"/>
  <c r="D9081" i="2"/>
  <c r="H9081" i="2" s="1"/>
  <c r="D9082" i="2"/>
  <c r="H9082" i="2" s="1"/>
  <c r="D9083" i="2"/>
  <c r="H9083" i="2" s="1"/>
  <c r="D9084" i="2"/>
  <c r="H9084" i="2" s="1"/>
  <c r="D9085" i="2"/>
  <c r="H9085" i="2" s="1"/>
  <c r="D9086" i="2"/>
  <c r="H9086" i="2" s="1"/>
  <c r="D9087" i="2"/>
  <c r="H9087" i="2" s="1"/>
  <c r="D9088" i="2"/>
  <c r="H9088" i="2" s="1"/>
  <c r="D9089" i="2"/>
  <c r="H9089" i="2" s="1"/>
  <c r="D9090" i="2"/>
  <c r="H9090" i="2" s="1"/>
  <c r="D9091" i="2"/>
  <c r="H9091" i="2" s="1"/>
  <c r="D9092" i="2"/>
  <c r="H9092" i="2" s="1"/>
  <c r="D9093" i="2"/>
  <c r="H9093" i="2" s="1"/>
  <c r="D9094" i="2"/>
  <c r="H9094" i="2" s="1"/>
  <c r="D9095" i="2"/>
  <c r="H9095" i="2" s="1"/>
  <c r="D9096" i="2"/>
  <c r="H9096" i="2" s="1"/>
  <c r="D9097" i="2"/>
  <c r="H9097" i="2" s="1"/>
  <c r="D9098" i="2"/>
  <c r="H9098" i="2" s="1"/>
  <c r="D9099" i="2"/>
  <c r="H9099" i="2" s="1"/>
  <c r="D9100" i="2"/>
  <c r="H9100" i="2" s="1"/>
  <c r="D9101" i="2"/>
  <c r="H9101" i="2" s="1"/>
  <c r="D9102" i="2"/>
  <c r="H9102" i="2" s="1"/>
  <c r="D9103" i="2"/>
  <c r="H9103" i="2" s="1"/>
  <c r="D9104" i="2"/>
  <c r="H9104" i="2" s="1"/>
  <c r="D9105" i="2"/>
  <c r="H9105" i="2" s="1"/>
  <c r="D9106" i="2"/>
  <c r="H9106" i="2" s="1"/>
  <c r="D9107" i="2"/>
  <c r="H9107" i="2" s="1"/>
  <c r="D9108" i="2"/>
  <c r="H9108" i="2" s="1"/>
  <c r="D9109" i="2"/>
  <c r="H9109" i="2" s="1"/>
  <c r="D9110" i="2"/>
  <c r="H9110" i="2" s="1"/>
  <c r="D9111" i="2"/>
  <c r="H9111" i="2" s="1"/>
  <c r="D9112" i="2"/>
  <c r="H9112" i="2" s="1"/>
  <c r="D9113" i="2"/>
  <c r="H9113" i="2" s="1"/>
  <c r="D9114" i="2"/>
  <c r="H9114" i="2" s="1"/>
  <c r="D9115" i="2"/>
  <c r="H9115" i="2" s="1"/>
  <c r="D9116" i="2"/>
  <c r="H9116" i="2" s="1"/>
  <c r="D9117" i="2"/>
  <c r="H9117" i="2" s="1"/>
  <c r="D9118" i="2"/>
  <c r="H9118" i="2" s="1"/>
  <c r="D9119" i="2"/>
  <c r="H9119" i="2" s="1"/>
  <c r="D9120" i="2"/>
  <c r="H9120" i="2" s="1"/>
  <c r="D9121" i="2"/>
  <c r="H9121" i="2" s="1"/>
  <c r="D9122" i="2"/>
  <c r="H9122" i="2" s="1"/>
  <c r="D9123" i="2"/>
  <c r="H9123" i="2" s="1"/>
  <c r="D9124" i="2"/>
  <c r="H9124" i="2" s="1"/>
  <c r="D9125" i="2"/>
  <c r="H9125" i="2" s="1"/>
  <c r="D9126" i="2"/>
  <c r="H9126" i="2" s="1"/>
  <c r="D9127" i="2"/>
  <c r="H9127" i="2" s="1"/>
  <c r="D9128" i="2"/>
  <c r="H9128" i="2" s="1"/>
  <c r="D9129" i="2"/>
  <c r="H9129" i="2" s="1"/>
  <c r="D9130" i="2"/>
  <c r="H9130" i="2" s="1"/>
  <c r="D9131" i="2"/>
  <c r="H9131" i="2" s="1"/>
  <c r="D9132" i="2"/>
  <c r="H9132" i="2" s="1"/>
  <c r="D9133" i="2"/>
  <c r="H9133" i="2" s="1"/>
  <c r="D9134" i="2"/>
  <c r="H9134" i="2" s="1"/>
  <c r="D9135" i="2"/>
  <c r="H9135" i="2" s="1"/>
  <c r="D9136" i="2"/>
  <c r="H9136" i="2" s="1"/>
  <c r="D9137" i="2"/>
  <c r="H9137" i="2" s="1"/>
  <c r="D9138" i="2"/>
  <c r="H9138" i="2" s="1"/>
  <c r="D9139" i="2"/>
  <c r="H9139" i="2" s="1"/>
  <c r="D9140" i="2"/>
  <c r="H9140" i="2" s="1"/>
  <c r="D9141" i="2"/>
  <c r="H9141" i="2" s="1"/>
  <c r="D9142" i="2"/>
  <c r="H9142" i="2" s="1"/>
  <c r="D9143" i="2"/>
  <c r="H9143" i="2" s="1"/>
  <c r="D9144" i="2"/>
  <c r="H9144" i="2" s="1"/>
  <c r="D9145" i="2"/>
  <c r="H9145" i="2" s="1"/>
  <c r="D9146" i="2"/>
  <c r="H9146" i="2" s="1"/>
  <c r="D9147" i="2"/>
  <c r="H9147" i="2" s="1"/>
  <c r="D9148" i="2"/>
  <c r="H9148" i="2" s="1"/>
  <c r="D9149" i="2"/>
  <c r="H9149" i="2" s="1"/>
  <c r="D9150" i="2"/>
  <c r="H9150" i="2" s="1"/>
  <c r="D9151" i="2"/>
  <c r="H9151" i="2" s="1"/>
  <c r="D9152" i="2"/>
  <c r="H9152" i="2" s="1"/>
  <c r="D9153" i="2"/>
  <c r="H9153" i="2" s="1"/>
  <c r="D9154" i="2"/>
  <c r="H9154" i="2" s="1"/>
  <c r="D9155" i="2"/>
  <c r="H9155" i="2" s="1"/>
  <c r="D9156" i="2"/>
  <c r="H9156" i="2" s="1"/>
  <c r="D9157" i="2"/>
  <c r="H9157" i="2" s="1"/>
  <c r="D9158" i="2"/>
  <c r="H9158" i="2" s="1"/>
  <c r="D9159" i="2"/>
  <c r="H9159" i="2" s="1"/>
  <c r="D9160" i="2"/>
  <c r="H9160" i="2" s="1"/>
  <c r="D9161" i="2"/>
  <c r="H9161" i="2" s="1"/>
  <c r="D9162" i="2"/>
  <c r="H9162" i="2" s="1"/>
  <c r="D9163" i="2"/>
  <c r="H9163" i="2" s="1"/>
  <c r="D9164" i="2"/>
  <c r="H9164" i="2" s="1"/>
  <c r="D9165" i="2"/>
  <c r="H9165" i="2" s="1"/>
  <c r="D9166" i="2"/>
  <c r="H9166" i="2" s="1"/>
  <c r="D9167" i="2"/>
  <c r="H9167" i="2" s="1"/>
  <c r="D9168" i="2"/>
  <c r="H9168" i="2" s="1"/>
  <c r="D9169" i="2"/>
  <c r="H9169" i="2" s="1"/>
  <c r="D9170" i="2"/>
  <c r="H9170" i="2" s="1"/>
  <c r="D9171" i="2"/>
  <c r="H9171" i="2" s="1"/>
  <c r="D9172" i="2"/>
  <c r="H9172" i="2" s="1"/>
  <c r="D9173" i="2"/>
  <c r="H9173" i="2" s="1"/>
  <c r="D9174" i="2"/>
  <c r="H9174" i="2" s="1"/>
  <c r="D9175" i="2"/>
  <c r="H9175" i="2" s="1"/>
  <c r="D9176" i="2"/>
  <c r="H9176" i="2" s="1"/>
  <c r="D9177" i="2"/>
  <c r="H9177" i="2" s="1"/>
  <c r="D9178" i="2"/>
  <c r="H9178" i="2" s="1"/>
  <c r="D9179" i="2"/>
  <c r="H9179" i="2" s="1"/>
  <c r="D9180" i="2"/>
  <c r="H9180" i="2" s="1"/>
  <c r="D9181" i="2"/>
  <c r="H9181" i="2" s="1"/>
  <c r="D9182" i="2"/>
  <c r="H9182" i="2" s="1"/>
  <c r="D9183" i="2"/>
  <c r="H9183" i="2" s="1"/>
  <c r="D9184" i="2"/>
  <c r="H9184" i="2" s="1"/>
  <c r="D9185" i="2"/>
  <c r="H9185" i="2" s="1"/>
  <c r="D9186" i="2"/>
  <c r="H9186" i="2" s="1"/>
  <c r="D9187" i="2"/>
  <c r="H9187" i="2" s="1"/>
  <c r="D9188" i="2"/>
  <c r="H9188" i="2" s="1"/>
  <c r="D9189" i="2"/>
  <c r="H9189" i="2" s="1"/>
  <c r="D9190" i="2"/>
  <c r="H9190" i="2" s="1"/>
  <c r="D9191" i="2"/>
  <c r="H9191" i="2" s="1"/>
  <c r="D9192" i="2"/>
  <c r="H9192" i="2" s="1"/>
  <c r="D9193" i="2"/>
  <c r="H9193" i="2" s="1"/>
  <c r="D9194" i="2"/>
  <c r="H9194" i="2" s="1"/>
  <c r="D9195" i="2"/>
  <c r="H9195" i="2" s="1"/>
  <c r="D9196" i="2"/>
  <c r="H9196" i="2" s="1"/>
  <c r="D9197" i="2"/>
  <c r="H9197" i="2" s="1"/>
  <c r="D9198" i="2"/>
  <c r="H9198" i="2" s="1"/>
  <c r="D9199" i="2"/>
  <c r="H9199" i="2" s="1"/>
  <c r="D9200" i="2"/>
  <c r="H9200" i="2" s="1"/>
  <c r="D9201" i="2"/>
  <c r="H9201" i="2" s="1"/>
  <c r="D9202" i="2"/>
  <c r="H9202" i="2" s="1"/>
  <c r="D9203" i="2"/>
  <c r="H9203" i="2" s="1"/>
  <c r="D9204" i="2"/>
  <c r="H9204" i="2" s="1"/>
  <c r="D9205" i="2"/>
  <c r="H9205" i="2" s="1"/>
  <c r="D9206" i="2"/>
  <c r="H9206" i="2" s="1"/>
  <c r="D9207" i="2"/>
  <c r="H9207" i="2" s="1"/>
  <c r="D9208" i="2"/>
  <c r="H9208" i="2" s="1"/>
  <c r="D9209" i="2"/>
  <c r="H9209" i="2" s="1"/>
  <c r="D9210" i="2"/>
  <c r="H9210" i="2" s="1"/>
  <c r="D9211" i="2"/>
  <c r="H9211" i="2" s="1"/>
  <c r="D9212" i="2"/>
  <c r="H9212" i="2" s="1"/>
  <c r="D9213" i="2"/>
  <c r="H9213" i="2" s="1"/>
  <c r="D9214" i="2"/>
  <c r="H9214" i="2" s="1"/>
  <c r="D9215" i="2"/>
  <c r="H9215" i="2" s="1"/>
  <c r="D9216" i="2"/>
  <c r="H9216" i="2" s="1"/>
  <c r="D9217" i="2"/>
  <c r="H9217" i="2" s="1"/>
  <c r="D9218" i="2"/>
  <c r="H9218" i="2" s="1"/>
  <c r="D9219" i="2"/>
  <c r="H9219" i="2" s="1"/>
  <c r="D9220" i="2"/>
  <c r="H9220" i="2" s="1"/>
  <c r="D9221" i="2"/>
  <c r="H9221" i="2" s="1"/>
  <c r="D9222" i="2"/>
  <c r="H9222" i="2" s="1"/>
  <c r="D9223" i="2"/>
  <c r="H9223" i="2" s="1"/>
  <c r="D9224" i="2"/>
  <c r="H9224" i="2" s="1"/>
  <c r="D9225" i="2"/>
  <c r="H9225" i="2" s="1"/>
  <c r="D9226" i="2"/>
  <c r="H9226" i="2" s="1"/>
  <c r="D9227" i="2"/>
  <c r="H9227" i="2" s="1"/>
  <c r="D9228" i="2"/>
  <c r="H9228" i="2" s="1"/>
  <c r="D9229" i="2"/>
  <c r="H9229" i="2" s="1"/>
  <c r="D9230" i="2"/>
  <c r="H9230" i="2" s="1"/>
  <c r="D9231" i="2"/>
  <c r="H9231" i="2" s="1"/>
  <c r="D9232" i="2"/>
  <c r="H9232" i="2" s="1"/>
  <c r="D9233" i="2"/>
  <c r="H9233" i="2" s="1"/>
  <c r="D9234" i="2"/>
  <c r="H9234" i="2" s="1"/>
  <c r="D9235" i="2"/>
  <c r="H9235" i="2" s="1"/>
  <c r="D9236" i="2"/>
  <c r="H9236" i="2" s="1"/>
  <c r="D9237" i="2"/>
  <c r="H9237" i="2" s="1"/>
  <c r="D9238" i="2"/>
  <c r="H9238" i="2" s="1"/>
  <c r="D9239" i="2"/>
  <c r="H9239" i="2" s="1"/>
  <c r="D9240" i="2"/>
  <c r="H9240" i="2" s="1"/>
  <c r="D9241" i="2"/>
  <c r="H9241" i="2" s="1"/>
  <c r="D9242" i="2"/>
  <c r="H9242" i="2" s="1"/>
  <c r="D9243" i="2"/>
  <c r="H9243" i="2" s="1"/>
  <c r="D9244" i="2"/>
  <c r="H9244" i="2" s="1"/>
  <c r="D9245" i="2"/>
  <c r="H9245" i="2" s="1"/>
  <c r="D9246" i="2"/>
  <c r="H9246" i="2" s="1"/>
  <c r="D9247" i="2"/>
  <c r="H9247" i="2" s="1"/>
  <c r="D9248" i="2"/>
  <c r="H9248" i="2" s="1"/>
  <c r="D9249" i="2"/>
  <c r="H9249" i="2" s="1"/>
  <c r="D9250" i="2"/>
  <c r="H9250" i="2" s="1"/>
  <c r="D9251" i="2"/>
  <c r="H9251" i="2" s="1"/>
  <c r="D9252" i="2"/>
  <c r="H9252" i="2" s="1"/>
  <c r="D9253" i="2"/>
  <c r="H9253" i="2" s="1"/>
  <c r="D9254" i="2"/>
  <c r="H9254" i="2" s="1"/>
  <c r="D9255" i="2"/>
  <c r="H9255" i="2" s="1"/>
  <c r="D9256" i="2"/>
  <c r="H9256" i="2" s="1"/>
  <c r="D9257" i="2"/>
  <c r="H9257" i="2" s="1"/>
  <c r="D9258" i="2"/>
  <c r="H9258" i="2" s="1"/>
  <c r="D9259" i="2"/>
  <c r="H9259" i="2" s="1"/>
  <c r="D9260" i="2"/>
  <c r="H9260" i="2" s="1"/>
  <c r="D9261" i="2"/>
  <c r="H9261" i="2" s="1"/>
  <c r="D9262" i="2"/>
  <c r="H9262" i="2" s="1"/>
  <c r="D9263" i="2"/>
  <c r="H9263" i="2" s="1"/>
  <c r="D9264" i="2"/>
  <c r="H9264" i="2" s="1"/>
  <c r="D9265" i="2"/>
  <c r="H9265" i="2" s="1"/>
  <c r="D9266" i="2"/>
  <c r="H9266" i="2" s="1"/>
  <c r="D9267" i="2"/>
  <c r="H9267" i="2" s="1"/>
  <c r="D9268" i="2"/>
  <c r="H9268" i="2" s="1"/>
  <c r="D9269" i="2"/>
  <c r="H9269" i="2" s="1"/>
  <c r="D9270" i="2"/>
  <c r="H9270" i="2" s="1"/>
  <c r="D9271" i="2"/>
  <c r="H9271" i="2" s="1"/>
  <c r="D9272" i="2"/>
  <c r="H9272" i="2" s="1"/>
  <c r="D9273" i="2"/>
  <c r="H9273" i="2" s="1"/>
  <c r="D9274" i="2"/>
  <c r="H9274" i="2" s="1"/>
  <c r="D9275" i="2"/>
  <c r="H9275" i="2" s="1"/>
  <c r="D9276" i="2"/>
  <c r="H9276" i="2" s="1"/>
  <c r="D9277" i="2"/>
  <c r="H9277" i="2" s="1"/>
  <c r="D9278" i="2"/>
  <c r="H9278" i="2" s="1"/>
  <c r="D9279" i="2"/>
  <c r="H9279" i="2" s="1"/>
  <c r="D9280" i="2"/>
  <c r="H9280" i="2" s="1"/>
  <c r="D9281" i="2"/>
  <c r="H9281" i="2" s="1"/>
  <c r="D9282" i="2"/>
  <c r="H9282" i="2" s="1"/>
  <c r="D9283" i="2"/>
  <c r="H9283" i="2" s="1"/>
  <c r="D9284" i="2"/>
  <c r="H9284" i="2" s="1"/>
  <c r="D9285" i="2"/>
  <c r="H9285" i="2" s="1"/>
  <c r="D9286" i="2"/>
  <c r="H9286" i="2" s="1"/>
  <c r="D9287" i="2"/>
  <c r="H9287" i="2" s="1"/>
  <c r="D9288" i="2"/>
  <c r="H9288" i="2" s="1"/>
  <c r="D9289" i="2"/>
  <c r="H9289" i="2" s="1"/>
  <c r="D9290" i="2"/>
  <c r="H9290" i="2" s="1"/>
  <c r="D9291" i="2"/>
  <c r="H9291" i="2" s="1"/>
  <c r="D9292" i="2"/>
  <c r="H9292" i="2" s="1"/>
  <c r="D9293" i="2"/>
  <c r="H9293" i="2" s="1"/>
  <c r="D9294" i="2"/>
  <c r="H9294" i="2" s="1"/>
  <c r="D9295" i="2"/>
  <c r="H9295" i="2" s="1"/>
  <c r="D9296" i="2"/>
  <c r="H9296" i="2" s="1"/>
  <c r="D9297" i="2"/>
  <c r="H9297" i="2" s="1"/>
  <c r="D9298" i="2"/>
  <c r="H9298" i="2" s="1"/>
  <c r="D9299" i="2"/>
  <c r="H9299" i="2" s="1"/>
  <c r="D9300" i="2"/>
  <c r="H9300" i="2" s="1"/>
  <c r="D9301" i="2"/>
  <c r="H9301" i="2" s="1"/>
  <c r="D9302" i="2"/>
  <c r="H9302" i="2" s="1"/>
  <c r="D9303" i="2"/>
  <c r="H9303" i="2" s="1"/>
  <c r="D9304" i="2"/>
  <c r="H9304" i="2" s="1"/>
  <c r="D9305" i="2"/>
  <c r="H9305" i="2" s="1"/>
  <c r="D9306" i="2"/>
  <c r="H9306" i="2" s="1"/>
  <c r="D9307" i="2"/>
  <c r="H9307" i="2" s="1"/>
  <c r="D9308" i="2"/>
  <c r="H9308" i="2" s="1"/>
  <c r="D9309" i="2"/>
  <c r="H9309" i="2" s="1"/>
  <c r="D9310" i="2"/>
  <c r="H9310" i="2" s="1"/>
  <c r="D9311" i="2"/>
  <c r="H9311" i="2" s="1"/>
  <c r="D9312" i="2"/>
  <c r="H9312" i="2" s="1"/>
  <c r="D9313" i="2"/>
  <c r="H9313" i="2" s="1"/>
  <c r="D9314" i="2"/>
  <c r="H9314" i="2" s="1"/>
  <c r="D9315" i="2"/>
  <c r="H9315" i="2" s="1"/>
  <c r="D9316" i="2"/>
  <c r="H9316" i="2" s="1"/>
  <c r="D9317" i="2"/>
  <c r="H9317" i="2" s="1"/>
  <c r="D9318" i="2"/>
  <c r="H9318" i="2" s="1"/>
  <c r="D9319" i="2"/>
  <c r="H9319" i="2" s="1"/>
  <c r="D9320" i="2"/>
  <c r="H9320" i="2" s="1"/>
  <c r="D9321" i="2"/>
  <c r="H9321" i="2" s="1"/>
  <c r="D9322" i="2"/>
  <c r="H9322" i="2" s="1"/>
  <c r="D9323" i="2"/>
  <c r="H9323" i="2" s="1"/>
  <c r="D9324" i="2"/>
  <c r="H9324" i="2" s="1"/>
  <c r="D9325" i="2"/>
  <c r="H9325" i="2" s="1"/>
  <c r="D9326" i="2"/>
  <c r="H9326" i="2" s="1"/>
  <c r="D9327" i="2"/>
  <c r="H9327" i="2" s="1"/>
  <c r="D9328" i="2"/>
  <c r="H9328" i="2" s="1"/>
  <c r="D9329" i="2"/>
  <c r="H9329" i="2" s="1"/>
  <c r="D9330" i="2"/>
  <c r="H9330" i="2" s="1"/>
  <c r="D9331" i="2"/>
  <c r="H9331" i="2" s="1"/>
  <c r="D9332" i="2"/>
  <c r="H9332" i="2" s="1"/>
  <c r="D9333" i="2"/>
  <c r="H9333" i="2" s="1"/>
  <c r="D9334" i="2"/>
  <c r="H9334" i="2" s="1"/>
  <c r="D9335" i="2"/>
  <c r="H9335" i="2" s="1"/>
  <c r="D9336" i="2"/>
  <c r="H9336" i="2" s="1"/>
  <c r="D9337" i="2"/>
  <c r="H9337" i="2" s="1"/>
  <c r="D9338" i="2"/>
  <c r="H9338" i="2" s="1"/>
  <c r="D9339" i="2"/>
  <c r="H9339" i="2" s="1"/>
  <c r="D9340" i="2"/>
  <c r="H9340" i="2" s="1"/>
  <c r="D9341" i="2"/>
  <c r="H9341" i="2" s="1"/>
  <c r="D9342" i="2"/>
  <c r="H9342" i="2" s="1"/>
  <c r="D9343" i="2"/>
  <c r="H9343" i="2" s="1"/>
  <c r="D9344" i="2"/>
  <c r="H9344" i="2" s="1"/>
  <c r="D9345" i="2"/>
  <c r="H9345" i="2" s="1"/>
  <c r="D9346" i="2"/>
  <c r="H9346" i="2" s="1"/>
  <c r="D9347" i="2"/>
  <c r="H9347" i="2" s="1"/>
  <c r="D9348" i="2"/>
  <c r="H9348" i="2" s="1"/>
  <c r="D9349" i="2"/>
  <c r="H9349" i="2" s="1"/>
  <c r="D9350" i="2"/>
  <c r="H9350" i="2" s="1"/>
  <c r="D9351" i="2"/>
  <c r="H9351" i="2" s="1"/>
  <c r="D9352" i="2"/>
  <c r="H9352" i="2" s="1"/>
  <c r="D9353" i="2"/>
  <c r="H9353" i="2" s="1"/>
  <c r="D9354" i="2"/>
  <c r="H9354" i="2" s="1"/>
  <c r="D9355" i="2"/>
  <c r="H9355" i="2" s="1"/>
  <c r="D9356" i="2"/>
  <c r="H9356" i="2" s="1"/>
  <c r="D9357" i="2"/>
  <c r="H9357" i="2" s="1"/>
  <c r="D9358" i="2"/>
  <c r="H9358" i="2" s="1"/>
  <c r="D9359" i="2"/>
  <c r="H9359" i="2" s="1"/>
  <c r="D9360" i="2"/>
  <c r="H9360" i="2" s="1"/>
  <c r="D9361" i="2"/>
  <c r="H9361" i="2" s="1"/>
  <c r="D9362" i="2"/>
  <c r="H9362" i="2" s="1"/>
  <c r="D9363" i="2"/>
  <c r="H9363" i="2" s="1"/>
  <c r="D9364" i="2"/>
  <c r="H9364" i="2" s="1"/>
  <c r="D9365" i="2"/>
  <c r="H9365" i="2" s="1"/>
  <c r="D9366" i="2"/>
  <c r="H9366" i="2" s="1"/>
  <c r="D9367" i="2"/>
  <c r="H9367" i="2" s="1"/>
  <c r="D9368" i="2"/>
  <c r="H9368" i="2" s="1"/>
  <c r="D9369" i="2"/>
  <c r="H9369" i="2" s="1"/>
  <c r="D9370" i="2"/>
  <c r="H9370" i="2" s="1"/>
  <c r="D9371" i="2"/>
  <c r="H9371" i="2" s="1"/>
  <c r="D9372" i="2"/>
  <c r="H9372" i="2" s="1"/>
  <c r="D9373" i="2"/>
  <c r="H9373" i="2" s="1"/>
  <c r="D9374" i="2"/>
  <c r="H9374" i="2" s="1"/>
  <c r="D9375" i="2"/>
  <c r="H9375" i="2" s="1"/>
  <c r="D9376" i="2"/>
  <c r="H9376" i="2" s="1"/>
  <c r="D9377" i="2"/>
  <c r="H9377" i="2" s="1"/>
  <c r="D9378" i="2"/>
  <c r="H9378" i="2" s="1"/>
  <c r="D9379" i="2"/>
  <c r="H9379" i="2" s="1"/>
  <c r="D9380" i="2"/>
  <c r="H9380" i="2" s="1"/>
  <c r="D9381" i="2"/>
  <c r="H9381" i="2" s="1"/>
  <c r="D9382" i="2"/>
  <c r="H9382" i="2" s="1"/>
  <c r="D9383" i="2"/>
  <c r="H9383" i="2" s="1"/>
  <c r="D9384" i="2"/>
  <c r="H9384" i="2" s="1"/>
  <c r="D9385" i="2"/>
  <c r="H9385" i="2" s="1"/>
  <c r="D9386" i="2"/>
  <c r="H9386" i="2" s="1"/>
  <c r="D9387" i="2"/>
  <c r="H9387" i="2" s="1"/>
  <c r="D9388" i="2"/>
  <c r="H9388" i="2" s="1"/>
  <c r="D9389" i="2"/>
  <c r="H9389" i="2" s="1"/>
  <c r="D9390" i="2"/>
  <c r="H9390" i="2" s="1"/>
  <c r="D9391" i="2"/>
  <c r="H9391" i="2" s="1"/>
  <c r="D9392" i="2"/>
  <c r="H9392" i="2" s="1"/>
  <c r="D9393" i="2"/>
  <c r="H9393" i="2" s="1"/>
  <c r="D9394" i="2"/>
  <c r="H9394" i="2" s="1"/>
  <c r="D9395" i="2"/>
  <c r="H9395" i="2" s="1"/>
  <c r="D9396" i="2"/>
  <c r="H9396" i="2" s="1"/>
  <c r="D9397" i="2"/>
  <c r="H9397" i="2" s="1"/>
  <c r="D9398" i="2"/>
  <c r="H9398" i="2" s="1"/>
  <c r="D9399" i="2"/>
  <c r="H9399" i="2" s="1"/>
  <c r="D9400" i="2"/>
  <c r="H9400" i="2" s="1"/>
  <c r="D9401" i="2"/>
  <c r="H9401" i="2" s="1"/>
  <c r="D9402" i="2"/>
  <c r="H9402" i="2" s="1"/>
  <c r="D9403" i="2"/>
  <c r="H9403" i="2" s="1"/>
  <c r="D9404" i="2"/>
  <c r="H9404" i="2" s="1"/>
  <c r="D9405" i="2"/>
  <c r="H9405" i="2" s="1"/>
  <c r="D9406" i="2"/>
  <c r="H9406" i="2" s="1"/>
  <c r="D9407" i="2"/>
  <c r="H9407" i="2" s="1"/>
  <c r="D9408" i="2"/>
  <c r="H9408" i="2" s="1"/>
  <c r="D9409" i="2"/>
  <c r="H9409" i="2" s="1"/>
  <c r="D9410" i="2"/>
  <c r="H9410" i="2" s="1"/>
  <c r="D9411" i="2"/>
  <c r="H9411" i="2" s="1"/>
  <c r="D9412" i="2"/>
  <c r="H9412" i="2" s="1"/>
  <c r="D9413" i="2"/>
  <c r="H9413" i="2" s="1"/>
  <c r="D9414" i="2"/>
  <c r="H9414" i="2" s="1"/>
  <c r="D9415" i="2"/>
  <c r="H9415" i="2" s="1"/>
  <c r="D9416" i="2"/>
  <c r="H9416" i="2" s="1"/>
  <c r="D9417" i="2"/>
  <c r="H9417" i="2" s="1"/>
  <c r="D9418" i="2"/>
  <c r="H9418" i="2" s="1"/>
  <c r="D9419" i="2"/>
  <c r="H9419" i="2" s="1"/>
  <c r="D9420" i="2"/>
  <c r="H9420" i="2" s="1"/>
  <c r="D9421" i="2"/>
  <c r="H9421" i="2" s="1"/>
  <c r="D9422" i="2"/>
  <c r="H9422" i="2" s="1"/>
  <c r="D9423" i="2"/>
  <c r="H9423" i="2" s="1"/>
  <c r="D9424" i="2"/>
  <c r="H9424" i="2" s="1"/>
  <c r="D9425" i="2"/>
  <c r="H9425" i="2" s="1"/>
  <c r="D9426" i="2"/>
  <c r="H9426" i="2" s="1"/>
  <c r="D9427" i="2"/>
  <c r="H9427" i="2" s="1"/>
  <c r="D9428" i="2"/>
  <c r="H9428" i="2" s="1"/>
  <c r="D9429" i="2"/>
  <c r="H9429" i="2" s="1"/>
  <c r="D9430" i="2"/>
  <c r="H9430" i="2" s="1"/>
  <c r="D9431" i="2"/>
  <c r="H9431" i="2" s="1"/>
  <c r="D9432" i="2"/>
  <c r="H9432" i="2" s="1"/>
  <c r="D9433" i="2"/>
  <c r="H9433" i="2" s="1"/>
  <c r="D9434" i="2"/>
  <c r="H9434" i="2" s="1"/>
  <c r="D9435" i="2"/>
  <c r="H9435" i="2" s="1"/>
  <c r="D9436" i="2"/>
  <c r="H9436" i="2" s="1"/>
  <c r="D9437" i="2"/>
  <c r="H9437" i="2" s="1"/>
  <c r="D9438" i="2"/>
  <c r="H9438" i="2" s="1"/>
  <c r="D9439" i="2"/>
  <c r="H9439" i="2" s="1"/>
  <c r="D9440" i="2"/>
  <c r="H9440" i="2" s="1"/>
  <c r="D9441" i="2"/>
  <c r="H9441" i="2" s="1"/>
  <c r="D9442" i="2"/>
  <c r="H9442" i="2" s="1"/>
  <c r="D9443" i="2"/>
  <c r="H9443" i="2" s="1"/>
  <c r="D9444" i="2"/>
  <c r="H9444" i="2" s="1"/>
  <c r="D9445" i="2"/>
  <c r="H9445" i="2" s="1"/>
  <c r="D9446" i="2"/>
  <c r="H9446" i="2" s="1"/>
  <c r="D9447" i="2"/>
  <c r="H9447" i="2" s="1"/>
  <c r="D9448" i="2"/>
  <c r="H9448" i="2" s="1"/>
  <c r="D9449" i="2"/>
  <c r="H9449" i="2" s="1"/>
  <c r="D9450" i="2"/>
  <c r="H9450" i="2" s="1"/>
  <c r="D9451" i="2"/>
  <c r="H9451" i="2" s="1"/>
  <c r="D9452" i="2"/>
  <c r="H9452" i="2" s="1"/>
  <c r="D9453" i="2"/>
  <c r="H9453" i="2" s="1"/>
  <c r="D9454" i="2"/>
  <c r="H9454" i="2" s="1"/>
  <c r="D9455" i="2"/>
  <c r="H9455" i="2" s="1"/>
  <c r="D9456" i="2"/>
  <c r="H9456" i="2" s="1"/>
  <c r="D9457" i="2"/>
  <c r="H9457" i="2" s="1"/>
  <c r="D9458" i="2"/>
  <c r="H9458" i="2" s="1"/>
  <c r="D9459" i="2"/>
  <c r="H9459" i="2" s="1"/>
  <c r="D9460" i="2"/>
  <c r="H9460" i="2" s="1"/>
  <c r="D9461" i="2"/>
  <c r="H9461" i="2" s="1"/>
  <c r="D9462" i="2"/>
  <c r="H9462" i="2" s="1"/>
  <c r="D9463" i="2"/>
  <c r="H9463" i="2" s="1"/>
  <c r="D9464" i="2"/>
  <c r="H9464" i="2" s="1"/>
  <c r="D9465" i="2"/>
  <c r="H9465" i="2" s="1"/>
  <c r="D9466" i="2"/>
  <c r="H9466" i="2" s="1"/>
  <c r="D9467" i="2"/>
  <c r="H9467" i="2" s="1"/>
  <c r="D9468" i="2"/>
  <c r="H9468" i="2" s="1"/>
  <c r="D9469" i="2"/>
  <c r="H9469" i="2" s="1"/>
  <c r="D9470" i="2"/>
  <c r="H9470" i="2" s="1"/>
  <c r="D9471" i="2"/>
  <c r="H9471" i="2" s="1"/>
  <c r="D9472" i="2"/>
  <c r="H9472" i="2" s="1"/>
  <c r="D9473" i="2"/>
  <c r="H9473" i="2" s="1"/>
  <c r="D9474" i="2"/>
  <c r="H9474" i="2" s="1"/>
  <c r="D9475" i="2"/>
  <c r="H9475" i="2" s="1"/>
  <c r="D9476" i="2"/>
  <c r="H9476" i="2" s="1"/>
  <c r="D9477" i="2"/>
  <c r="H9477" i="2" s="1"/>
  <c r="D9478" i="2"/>
  <c r="H9478" i="2" s="1"/>
  <c r="D9479" i="2"/>
  <c r="H9479" i="2" s="1"/>
  <c r="D9480" i="2"/>
  <c r="H9480" i="2" s="1"/>
  <c r="D9481" i="2"/>
  <c r="H9481" i="2" s="1"/>
  <c r="D9482" i="2"/>
  <c r="H9482" i="2" s="1"/>
  <c r="D9483" i="2"/>
  <c r="H9483" i="2" s="1"/>
  <c r="D9484" i="2"/>
  <c r="H9484" i="2" s="1"/>
  <c r="D9485" i="2"/>
  <c r="H9485" i="2" s="1"/>
  <c r="D9486" i="2"/>
  <c r="H9486" i="2" s="1"/>
  <c r="D9487" i="2"/>
  <c r="H9487" i="2" s="1"/>
  <c r="D9488" i="2"/>
  <c r="H9488" i="2" s="1"/>
  <c r="D9489" i="2"/>
  <c r="H9489" i="2" s="1"/>
  <c r="D9490" i="2"/>
  <c r="H9490" i="2" s="1"/>
  <c r="D9491" i="2"/>
  <c r="H9491" i="2" s="1"/>
  <c r="D9492" i="2"/>
  <c r="H9492" i="2" s="1"/>
  <c r="D9493" i="2"/>
  <c r="H9493" i="2" s="1"/>
  <c r="D9494" i="2"/>
  <c r="H9494" i="2" s="1"/>
  <c r="D9495" i="2"/>
  <c r="H9495" i="2" s="1"/>
  <c r="D9496" i="2"/>
  <c r="H9496" i="2" s="1"/>
  <c r="D9497" i="2"/>
  <c r="H9497" i="2" s="1"/>
  <c r="D9498" i="2"/>
  <c r="H9498" i="2" s="1"/>
  <c r="D9499" i="2"/>
  <c r="H9499" i="2" s="1"/>
  <c r="D9500" i="2"/>
  <c r="H9500" i="2" s="1"/>
  <c r="D9501" i="2"/>
  <c r="H9501" i="2" s="1"/>
  <c r="D9502" i="2"/>
  <c r="H9502" i="2" s="1"/>
  <c r="D9503" i="2"/>
  <c r="H9503" i="2" s="1"/>
  <c r="D9504" i="2"/>
  <c r="H9504" i="2" s="1"/>
  <c r="D9505" i="2"/>
  <c r="H9505" i="2" s="1"/>
  <c r="D9506" i="2"/>
  <c r="H9506" i="2" s="1"/>
  <c r="D9507" i="2"/>
  <c r="H9507" i="2" s="1"/>
  <c r="D9508" i="2"/>
  <c r="H9508" i="2" s="1"/>
  <c r="D9509" i="2"/>
  <c r="H9509" i="2" s="1"/>
  <c r="D9510" i="2"/>
  <c r="H9510" i="2" s="1"/>
  <c r="D9511" i="2"/>
  <c r="H9511" i="2" s="1"/>
  <c r="D9512" i="2"/>
  <c r="H9512" i="2" s="1"/>
  <c r="D9513" i="2"/>
  <c r="H9513" i="2" s="1"/>
  <c r="D9514" i="2"/>
  <c r="H9514" i="2" s="1"/>
  <c r="D9515" i="2"/>
  <c r="H9515" i="2" s="1"/>
  <c r="D9516" i="2"/>
  <c r="H9516" i="2" s="1"/>
  <c r="D9517" i="2"/>
  <c r="H9517" i="2" s="1"/>
  <c r="D9518" i="2"/>
  <c r="H9518" i="2" s="1"/>
  <c r="D9519" i="2"/>
  <c r="H9519" i="2" s="1"/>
  <c r="D9520" i="2"/>
  <c r="H9520" i="2" s="1"/>
  <c r="D9521" i="2"/>
  <c r="H9521" i="2" s="1"/>
  <c r="D9522" i="2"/>
  <c r="H9522" i="2" s="1"/>
  <c r="D9523" i="2"/>
  <c r="H9523" i="2" s="1"/>
  <c r="D9524" i="2"/>
  <c r="H9524" i="2" s="1"/>
  <c r="D9525" i="2"/>
  <c r="H9525" i="2" s="1"/>
  <c r="D9526" i="2"/>
  <c r="H9526" i="2" s="1"/>
  <c r="D9527" i="2"/>
  <c r="H9527" i="2" s="1"/>
  <c r="D9528" i="2"/>
  <c r="H9528" i="2" s="1"/>
  <c r="D9529" i="2"/>
  <c r="H9529" i="2" s="1"/>
  <c r="D9530" i="2"/>
  <c r="H9530" i="2" s="1"/>
  <c r="D9531" i="2"/>
  <c r="H9531" i="2" s="1"/>
  <c r="D9532" i="2"/>
  <c r="H9532" i="2" s="1"/>
  <c r="D9533" i="2"/>
  <c r="H9533" i="2" s="1"/>
  <c r="D9534" i="2"/>
  <c r="H9534" i="2" s="1"/>
  <c r="D9535" i="2"/>
  <c r="H9535" i="2" s="1"/>
  <c r="D9536" i="2"/>
  <c r="H9536" i="2" s="1"/>
  <c r="D9537" i="2"/>
  <c r="H9537" i="2" s="1"/>
  <c r="D9538" i="2"/>
  <c r="H9538" i="2" s="1"/>
  <c r="D9539" i="2"/>
  <c r="H9539" i="2" s="1"/>
  <c r="D9540" i="2"/>
  <c r="H9540" i="2" s="1"/>
  <c r="D9541" i="2"/>
  <c r="H9541" i="2" s="1"/>
  <c r="D9542" i="2"/>
  <c r="H9542" i="2" s="1"/>
  <c r="D9543" i="2"/>
  <c r="H9543" i="2" s="1"/>
  <c r="D9544" i="2"/>
  <c r="H9544" i="2" s="1"/>
  <c r="D9545" i="2"/>
  <c r="H9545" i="2" s="1"/>
  <c r="D9546" i="2"/>
  <c r="H9546" i="2" s="1"/>
  <c r="D9547" i="2"/>
  <c r="H9547" i="2" s="1"/>
  <c r="D9548" i="2"/>
  <c r="H9548" i="2" s="1"/>
  <c r="D9549" i="2"/>
  <c r="H9549" i="2" s="1"/>
  <c r="D9550" i="2"/>
  <c r="H9550" i="2" s="1"/>
  <c r="D9551" i="2"/>
  <c r="H9551" i="2" s="1"/>
  <c r="D9552" i="2"/>
  <c r="H9552" i="2" s="1"/>
  <c r="D9553" i="2"/>
  <c r="H9553" i="2" s="1"/>
  <c r="D9554" i="2"/>
  <c r="H9554" i="2" s="1"/>
  <c r="D9555" i="2"/>
  <c r="H9555" i="2" s="1"/>
  <c r="D9556" i="2"/>
  <c r="H9556" i="2" s="1"/>
  <c r="D9557" i="2"/>
  <c r="H9557" i="2" s="1"/>
  <c r="D9558" i="2"/>
  <c r="H9558" i="2" s="1"/>
  <c r="D9559" i="2"/>
  <c r="H9559" i="2" s="1"/>
  <c r="D9560" i="2"/>
  <c r="H9560" i="2" s="1"/>
  <c r="D9561" i="2"/>
  <c r="H9561" i="2" s="1"/>
  <c r="D9562" i="2"/>
  <c r="H9562" i="2" s="1"/>
  <c r="D9563" i="2"/>
  <c r="H9563" i="2" s="1"/>
  <c r="D9564" i="2"/>
  <c r="H9564" i="2" s="1"/>
  <c r="D9565" i="2"/>
  <c r="H9565" i="2" s="1"/>
  <c r="D9566" i="2"/>
  <c r="H9566" i="2" s="1"/>
  <c r="D9567" i="2"/>
  <c r="H9567" i="2" s="1"/>
  <c r="D9568" i="2"/>
  <c r="H9568" i="2" s="1"/>
  <c r="D9569" i="2"/>
  <c r="H9569" i="2" s="1"/>
  <c r="D9570" i="2"/>
  <c r="H9570" i="2" s="1"/>
  <c r="D9571" i="2"/>
  <c r="H9571" i="2" s="1"/>
  <c r="D9572" i="2"/>
  <c r="H9572" i="2" s="1"/>
  <c r="D9573" i="2"/>
  <c r="H9573" i="2" s="1"/>
  <c r="D9574" i="2"/>
  <c r="H9574" i="2" s="1"/>
  <c r="D9575" i="2"/>
  <c r="H9575" i="2" s="1"/>
  <c r="D9576" i="2"/>
  <c r="H9576" i="2" s="1"/>
  <c r="D9577" i="2"/>
  <c r="H9577" i="2" s="1"/>
  <c r="D9578" i="2"/>
  <c r="H9578" i="2" s="1"/>
  <c r="D9579" i="2"/>
  <c r="H9579" i="2" s="1"/>
  <c r="D9580" i="2"/>
  <c r="H9580" i="2" s="1"/>
  <c r="D9581" i="2"/>
  <c r="H9581" i="2" s="1"/>
  <c r="D9582" i="2"/>
  <c r="H9582" i="2" s="1"/>
  <c r="D9583" i="2"/>
  <c r="H9583" i="2" s="1"/>
  <c r="D9584" i="2"/>
  <c r="H9584" i="2" s="1"/>
  <c r="D9585" i="2"/>
  <c r="H9585" i="2" s="1"/>
  <c r="D9586" i="2"/>
  <c r="H9586" i="2" s="1"/>
  <c r="D9587" i="2"/>
  <c r="H9587" i="2" s="1"/>
  <c r="D9588" i="2"/>
  <c r="H9588" i="2" s="1"/>
  <c r="D9589" i="2"/>
  <c r="H9589" i="2" s="1"/>
  <c r="D9590" i="2"/>
  <c r="H9590" i="2" s="1"/>
  <c r="D9591" i="2"/>
  <c r="H9591" i="2" s="1"/>
  <c r="D9592" i="2"/>
  <c r="H9592" i="2" s="1"/>
  <c r="D9593" i="2"/>
  <c r="H9593" i="2" s="1"/>
  <c r="D9594" i="2"/>
  <c r="H9594" i="2" s="1"/>
  <c r="D9595" i="2"/>
  <c r="H9595" i="2" s="1"/>
  <c r="D9596" i="2"/>
  <c r="H9596" i="2" s="1"/>
  <c r="D9597" i="2"/>
  <c r="H9597" i="2" s="1"/>
  <c r="D9598" i="2"/>
  <c r="H9598" i="2" s="1"/>
  <c r="D9599" i="2"/>
  <c r="H9599" i="2" s="1"/>
  <c r="D9600" i="2"/>
  <c r="H9600" i="2" s="1"/>
  <c r="D9601" i="2"/>
  <c r="H9601" i="2" s="1"/>
  <c r="D9602" i="2"/>
  <c r="H9602" i="2" s="1"/>
  <c r="D9603" i="2"/>
  <c r="H9603" i="2" s="1"/>
  <c r="D9604" i="2"/>
  <c r="H9604" i="2" s="1"/>
  <c r="D9605" i="2"/>
  <c r="H9605" i="2" s="1"/>
  <c r="D9606" i="2"/>
  <c r="H9606" i="2" s="1"/>
  <c r="D9607" i="2"/>
  <c r="H9607" i="2" s="1"/>
  <c r="D9608" i="2"/>
  <c r="H9608" i="2" s="1"/>
  <c r="D9609" i="2"/>
  <c r="H9609" i="2" s="1"/>
  <c r="D9610" i="2"/>
  <c r="H9610" i="2" s="1"/>
  <c r="D9611" i="2"/>
  <c r="H9611" i="2" s="1"/>
  <c r="D9612" i="2"/>
  <c r="H9612" i="2" s="1"/>
  <c r="D9613" i="2"/>
  <c r="H9613" i="2" s="1"/>
  <c r="D9614" i="2"/>
  <c r="H9614" i="2" s="1"/>
  <c r="D9615" i="2"/>
  <c r="H9615" i="2" s="1"/>
  <c r="D9616" i="2"/>
  <c r="H9616" i="2" s="1"/>
  <c r="D9617" i="2"/>
  <c r="H9617" i="2" s="1"/>
  <c r="D9618" i="2"/>
  <c r="H9618" i="2" s="1"/>
  <c r="D9619" i="2"/>
  <c r="H9619" i="2" s="1"/>
  <c r="D9620" i="2"/>
  <c r="H9620" i="2" s="1"/>
  <c r="D9621" i="2"/>
  <c r="H9621" i="2" s="1"/>
  <c r="D9622" i="2"/>
  <c r="H9622" i="2" s="1"/>
  <c r="D9623" i="2"/>
  <c r="H9623" i="2" s="1"/>
  <c r="D9624" i="2"/>
  <c r="H9624" i="2" s="1"/>
  <c r="D9625" i="2"/>
  <c r="H9625" i="2" s="1"/>
  <c r="D9626" i="2"/>
  <c r="H9626" i="2" s="1"/>
  <c r="D9627" i="2"/>
  <c r="H9627" i="2" s="1"/>
  <c r="D9628" i="2"/>
  <c r="H9628" i="2" s="1"/>
  <c r="D9629" i="2"/>
  <c r="H9629" i="2" s="1"/>
  <c r="D9630" i="2"/>
  <c r="H9630" i="2" s="1"/>
  <c r="D9631" i="2"/>
  <c r="H9631" i="2" s="1"/>
  <c r="D9632" i="2"/>
  <c r="H9632" i="2" s="1"/>
  <c r="D9633" i="2"/>
  <c r="H9633" i="2" s="1"/>
  <c r="D9634" i="2"/>
  <c r="H9634" i="2" s="1"/>
  <c r="D9635" i="2"/>
  <c r="H9635" i="2" s="1"/>
  <c r="D9636" i="2"/>
  <c r="H9636" i="2" s="1"/>
  <c r="D9637" i="2"/>
  <c r="H9637" i="2" s="1"/>
  <c r="D9638" i="2"/>
  <c r="H9638" i="2" s="1"/>
  <c r="D9639" i="2"/>
  <c r="H9639" i="2" s="1"/>
  <c r="D9640" i="2"/>
  <c r="H9640" i="2" s="1"/>
  <c r="D9641" i="2"/>
  <c r="H9641" i="2" s="1"/>
  <c r="D9642" i="2"/>
  <c r="H9642" i="2" s="1"/>
  <c r="D9643" i="2"/>
  <c r="H9643" i="2" s="1"/>
  <c r="D9644" i="2"/>
  <c r="H9644" i="2" s="1"/>
  <c r="D9645" i="2"/>
  <c r="H9645" i="2" s="1"/>
  <c r="D9646" i="2"/>
  <c r="H9646" i="2" s="1"/>
  <c r="D9647" i="2"/>
  <c r="H9647" i="2" s="1"/>
  <c r="D9648" i="2"/>
  <c r="H9648" i="2" s="1"/>
  <c r="D9649" i="2"/>
  <c r="H9649" i="2" s="1"/>
  <c r="D9650" i="2"/>
  <c r="H9650" i="2" s="1"/>
  <c r="D9651" i="2"/>
  <c r="H9651" i="2" s="1"/>
  <c r="D9652" i="2"/>
  <c r="H9652" i="2" s="1"/>
  <c r="D9653" i="2"/>
  <c r="H9653" i="2" s="1"/>
  <c r="D9654" i="2"/>
  <c r="H9654" i="2" s="1"/>
  <c r="D9655" i="2"/>
  <c r="H9655" i="2" s="1"/>
  <c r="D9656" i="2"/>
  <c r="H9656" i="2" s="1"/>
  <c r="D9657" i="2"/>
  <c r="H9657" i="2" s="1"/>
  <c r="D9658" i="2"/>
  <c r="H9658" i="2" s="1"/>
  <c r="D9659" i="2"/>
  <c r="H9659" i="2" s="1"/>
  <c r="D9660" i="2"/>
  <c r="H9660" i="2" s="1"/>
  <c r="D9661" i="2"/>
  <c r="H9661" i="2" s="1"/>
  <c r="D9662" i="2"/>
  <c r="H9662" i="2" s="1"/>
  <c r="D9663" i="2"/>
  <c r="H9663" i="2" s="1"/>
  <c r="D9664" i="2"/>
  <c r="H9664" i="2" s="1"/>
  <c r="D9665" i="2"/>
  <c r="H9665" i="2" s="1"/>
  <c r="D9666" i="2"/>
  <c r="H9666" i="2" s="1"/>
  <c r="D9667" i="2"/>
  <c r="H9667" i="2" s="1"/>
  <c r="D9668" i="2"/>
  <c r="H9668" i="2" s="1"/>
  <c r="D9669" i="2"/>
  <c r="H9669" i="2" s="1"/>
  <c r="D9670" i="2"/>
  <c r="H9670" i="2" s="1"/>
  <c r="D9671" i="2"/>
  <c r="H9671" i="2" s="1"/>
  <c r="D9672" i="2"/>
  <c r="H9672" i="2" s="1"/>
  <c r="D9673" i="2"/>
  <c r="H9673" i="2" s="1"/>
  <c r="D9674" i="2"/>
  <c r="H9674" i="2" s="1"/>
  <c r="D9675" i="2"/>
  <c r="H9675" i="2" s="1"/>
  <c r="D9676" i="2"/>
  <c r="H9676" i="2" s="1"/>
  <c r="D9677" i="2"/>
  <c r="H9677" i="2" s="1"/>
  <c r="D9678" i="2"/>
  <c r="H9678" i="2" s="1"/>
  <c r="D9679" i="2"/>
  <c r="H9679" i="2" s="1"/>
  <c r="D9680" i="2"/>
  <c r="H9680" i="2" s="1"/>
  <c r="D9681" i="2"/>
  <c r="H9681" i="2" s="1"/>
  <c r="D9682" i="2"/>
  <c r="H9682" i="2" s="1"/>
  <c r="D9683" i="2"/>
  <c r="H9683" i="2" s="1"/>
  <c r="D9684" i="2"/>
  <c r="H9684" i="2" s="1"/>
  <c r="D9685" i="2"/>
  <c r="H9685" i="2" s="1"/>
  <c r="D9686" i="2"/>
  <c r="H9686" i="2" s="1"/>
  <c r="D9687" i="2"/>
  <c r="H9687" i="2" s="1"/>
  <c r="D9688" i="2"/>
  <c r="H9688" i="2" s="1"/>
  <c r="D9689" i="2"/>
  <c r="H9689" i="2" s="1"/>
  <c r="D9690" i="2"/>
  <c r="H9690" i="2" s="1"/>
  <c r="D9691" i="2"/>
  <c r="H9691" i="2" s="1"/>
  <c r="D9692" i="2"/>
  <c r="H9692" i="2" s="1"/>
  <c r="D9693" i="2"/>
  <c r="H9693" i="2" s="1"/>
  <c r="D9694" i="2"/>
  <c r="H9694" i="2" s="1"/>
  <c r="D9695" i="2"/>
  <c r="H9695" i="2" s="1"/>
  <c r="D9696" i="2"/>
  <c r="H9696" i="2" s="1"/>
  <c r="D9697" i="2"/>
  <c r="H9697" i="2" s="1"/>
  <c r="D9698" i="2"/>
  <c r="H9698" i="2" s="1"/>
  <c r="D9699" i="2"/>
  <c r="H9699" i="2" s="1"/>
  <c r="D9700" i="2"/>
  <c r="H9700" i="2" s="1"/>
  <c r="D9701" i="2"/>
  <c r="H9701" i="2" s="1"/>
  <c r="D9702" i="2"/>
  <c r="H9702" i="2" s="1"/>
  <c r="D9703" i="2"/>
  <c r="H9703" i="2" s="1"/>
  <c r="D9704" i="2"/>
  <c r="H9704" i="2" s="1"/>
  <c r="D9705" i="2"/>
  <c r="H9705" i="2" s="1"/>
  <c r="D9706" i="2"/>
  <c r="H9706" i="2" s="1"/>
  <c r="D9707" i="2"/>
  <c r="H9707" i="2" s="1"/>
  <c r="D9708" i="2"/>
  <c r="H9708" i="2" s="1"/>
  <c r="D9709" i="2"/>
  <c r="H9709" i="2" s="1"/>
  <c r="D9710" i="2"/>
  <c r="H9710" i="2" s="1"/>
  <c r="D9711" i="2"/>
  <c r="H9711" i="2" s="1"/>
  <c r="D9712" i="2"/>
  <c r="H9712" i="2" s="1"/>
  <c r="D9713" i="2"/>
  <c r="H9713" i="2" s="1"/>
  <c r="D9714" i="2"/>
  <c r="H9714" i="2" s="1"/>
  <c r="D9715" i="2"/>
  <c r="H9715" i="2" s="1"/>
  <c r="D9716" i="2"/>
  <c r="H9716" i="2" s="1"/>
  <c r="D9717" i="2"/>
  <c r="H9717" i="2" s="1"/>
  <c r="D9718" i="2"/>
  <c r="H9718" i="2" s="1"/>
  <c r="D9719" i="2"/>
  <c r="H9719" i="2" s="1"/>
  <c r="D9720" i="2"/>
  <c r="H9720" i="2" s="1"/>
  <c r="D9721" i="2"/>
  <c r="H9721" i="2" s="1"/>
  <c r="D9722" i="2"/>
  <c r="H9722" i="2" s="1"/>
  <c r="D9723" i="2"/>
  <c r="H9723" i="2" s="1"/>
  <c r="D9724" i="2"/>
  <c r="H9724" i="2" s="1"/>
  <c r="D9725" i="2"/>
  <c r="H9725" i="2" s="1"/>
  <c r="D9726" i="2"/>
  <c r="H9726" i="2" s="1"/>
  <c r="D9727" i="2"/>
  <c r="H9727" i="2" s="1"/>
  <c r="D9728" i="2"/>
  <c r="H9728" i="2" s="1"/>
  <c r="D9729" i="2"/>
  <c r="H9729" i="2" s="1"/>
  <c r="D9730" i="2"/>
  <c r="H9730" i="2" s="1"/>
  <c r="D9731" i="2"/>
  <c r="H9731" i="2" s="1"/>
  <c r="D9732" i="2"/>
  <c r="H9732" i="2" s="1"/>
  <c r="D9733" i="2"/>
  <c r="H9733" i="2" s="1"/>
  <c r="D9734" i="2"/>
  <c r="H9734" i="2" s="1"/>
  <c r="D9735" i="2"/>
  <c r="H9735" i="2" s="1"/>
  <c r="D9736" i="2"/>
  <c r="H9736" i="2" s="1"/>
  <c r="D9737" i="2"/>
  <c r="H9737" i="2" s="1"/>
  <c r="D9738" i="2"/>
  <c r="H9738" i="2" s="1"/>
  <c r="D9739" i="2"/>
  <c r="H9739" i="2" s="1"/>
  <c r="D9740" i="2"/>
  <c r="H9740" i="2" s="1"/>
  <c r="D9741" i="2"/>
  <c r="H9741" i="2" s="1"/>
  <c r="D9742" i="2"/>
  <c r="H9742" i="2" s="1"/>
  <c r="D9743" i="2"/>
  <c r="H9743" i="2" s="1"/>
  <c r="D9744" i="2"/>
  <c r="H9744" i="2" s="1"/>
  <c r="D9745" i="2"/>
  <c r="H9745" i="2" s="1"/>
  <c r="D9746" i="2"/>
  <c r="H9746" i="2" s="1"/>
  <c r="D9747" i="2"/>
  <c r="H9747" i="2" s="1"/>
  <c r="D9748" i="2"/>
  <c r="H9748" i="2" s="1"/>
  <c r="D9749" i="2"/>
  <c r="H9749" i="2" s="1"/>
  <c r="D9750" i="2"/>
  <c r="H9750" i="2" s="1"/>
  <c r="D9751" i="2"/>
  <c r="H9751" i="2" s="1"/>
  <c r="D9752" i="2"/>
  <c r="H9752" i="2" s="1"/>
  <c r="D9753" i="2"/>
  <c r="H9753" i="2" s="1"/>
  <c r="D9754" i="2"/>
  <c r="H9754" i="2" s="1"/>
  <c r="D9755" i="2"/>
  <c r="H9755" i="2" s="1"/>
  <c r="D9756" i="2"/>
  <c r="H9756" i="2" s="1"/>
  <c r="D9757" i="2"/>
  <c r="H9757" i="2" s="1"/>
  <c r="D9758" i="2"/>
  <c r="H9758" i="2" s="1"/>
  <c r="D9759" i="2"/>
  <c r="H9759" i="2" s="1"/>
  <c r="D9760" i="2"/>
  <c r="H9760" i="2" s="1"/>
  <c r="D9761" i="2"/>
  <c r="H9761" i="2" s="1"/>
  <c r="D9762" i="2"/>
  <c r="H9762" i="2" s="1"/>
  <c r="D9763" i="2"/>
  <c r="H9763" i="2" s="1"/>
  <c r="D9764" i="2"/>
  <c r="H9764" i="2" s="1"/>
  <c r="D9765" i="2"/>
  <c r="H9765" i="2" s="1"/>
  <c r="D9766" i="2"/>
  <c r="H9766" i="2" s="1"/>
  <c r="D9767" i="2"/>
  <c r="H9767" i="2" s="1"/>
  <c r="D9768" i="2"/>
  <c r="H9768" i="2" s="1"/>
  <c r="D9769" i="2"/>
  <c r="H9769" i="2" s="1"/>
  <c r="D9770" i="2"/>
  <c r="H9770" i="2" s="1"/>
  <c r="D9771" i="2"/>
  <c r="H9771" i="2" s="1"/>
  <c r="D9772" i="2"/>
  <c r="H9772" i="2" s="1"/>
  <c r="D9773" i="2"/>
  <c r="H9773" i="2" s="1"/>
  <c r="D9774" i="2"/>
  <c r="H9774" i="2" s="1"/>
  <c r="D9775" i="2"/>
  <c r="H9775" i="2" s="1"/>
  <c r="D9776" i="2"/>
  <c r="H9776" i="2" s="1"/>
  <c r="D9777" i="2"/>
  <c r="H9777" i="2" s="1"/>
  <c r="D9778" i="2"/>
  <c r="H9778" i="2" s="1"/>
  <c r="D9779" i="2"/>
  <c r="H9779" i="2" s="1"/>
  <c r="D9780" i="2"/>
  <c r="H9780" i="2" s="1"/>
  <c r="D9781" i="2"/>
  <c r="H9781" i="2" s="1"/>
  <c r="D9782" i="2"/>
  <c r="H9782" i="2" s="1"/>
  <c r="D9783" i="2"/>
  <c r="H9783" i="2" s="1"/>
  <c r="D9784" i="2"/>
  <c r="H9784" i="2" s="1"/>
  <c r="D9785" i="2"/>
  <c r="H9785" i="2" s="1"/>
  <c r="D9786" i="2"/>
  <c r="H9786" i="2" s="1"/>
  <c r="D9787" i="2"/>
  <c r="H9787" i="2" s="1"/>
  <c r="D9788" i="2"/>
  <c r="H9788" i="2" s="1"/>
  <c r="D9789" i="2"/>
  <c r="H9789" i="2" s="1"/>
  <c r="D9790" i="2"/>
  <c r="H9790" i="2" s="1"/>
  <c r="D9791" i="2"/>
  <c r="H9791" i="2" s="1"/>
  <c r="D9792" i="2"/>
  <c r="H9792" i="2" s="1"/>
  <c r="D9793" i="2"/>
  <c r="H9793" i="2" s="1"/>
  <c r="D9794" i="2"/>
  <c r="H9794" i="2" s="1"/>
  <c r="D9795" i="2"/>
  <c r="H9795" i="2" s="1"/>
  <c r="D9796" i="2"/>
  <c r="H9796" i="2" s="1"/>
  <c r="D9797" i="2"/>
  <c r="H9797" i="2" s="1"/>
  <c r="D9798" i="2"/>
  <c r="H9798" i="2" s="1"/>
  <c r="D9799" i="2"/>
  <c r="H9799" i="2" s="1"/>
  <c r="D9800" i="2"/>
  <c r="H9800" i="2" s="1"/>
  <c r="D9801" i="2"/>
  <c r="H9801" i="2" s="1"/>
  <c r="D9802" i="2"/>
  <c r="H9802" i="2" s="1"/>
  <c r="D9803" i="2"/>
  <c r="H9803" i="2" s="1"/>
  <c r="D9804" i="2"/>
  <c r="H9804" i="2" s="1"/>
  <c r="D9805" i="2"/>
  <c r="H9805" i="2" s="1"/>
  <c r="D9806" i="2"/>
  <c r="H9806" i="2" s="1"/>
  <c r="D9807" i="2"/>
  <c r="H9807" i="2" s="1"/>
  <c r="D9808" i="2"/>
  <c r="H9808" i="2" s="1"/>
  <c r="D9809" i="2"/>
  <c r="H9809" i="2" s="1"/>
  <c r="D9810" i="2"/>
  <c r="H9810" i="2" s="1"/>
  <c r="D9811" i="2"/>
  <c r="H9811" i="2" s="1"/>
  <c r="D9812" i="2"/>
  <c r="H9812" i="2" s="1"/>
  <c r="D9813" i="2"/>
  <c r="H9813" i="2" s="1"/>
  <c r="D9814" i="2"/>
  <c r="H9814" i="2" s="1"/>
  <c r="D9815" i="2"/>
  <c r="H9815" i="2" s="1"/>
  <c r="D9816" i="2"/>
  <c r="H9816" i="2" s="1"/>
  <c r="D9817" i="2"/>
  <c r="H9817" i="2" s="1"/>
  <c r="D9818" i="2"/>
  <c r="H9818" i="2" s="1"/>
  <c r="D9819" i="2"/>
  <c r="H9819" i="2" s="1"/>
  <c r="D9820" i="2"/>
  <c r="H9820" i="2" s="1"/>
  <c r="D9821" i="2"/>
  <c r="H9821" i="2" s="1"/>
  <c r="D9822" i="2"/>
  <c r="H9822" i="2" s="1"/>
  <c r="D9823" i="2"/>
  <c r="H9823" i="2" s="1"/>
  <c r="D9824" i="2"/>
  <c r="H9824" i="2" s="1"/>
  <c r="D9825" i="2"/>
  <c r="H9825" i="2" s="1"/>
  <c r="D9826" i="2"/>
  <c r="H9826" i="2" s="1"/>
  <c r="D9827" i="2"/>
  <c r="H9827" i="2" s="1"/>
  <c r="D9828" i="2"/>
  <c r="H9828" i="2" s="1"/>
  <c r="D9829" i="2"/>
  <c r="H9829" i="2" s="1"/>
  <c r="D9830" i="2"/>
  <c r="H9830" i="2" s="1"/>
  <c r="D9831" i="2"/>
  <c r="H9831" i="2" s="1"/>
  <c r="D9832" i="2"/>
  <c r="H9832" i="2" s="1"/>
  <c r="D9833" i="2"/>
  <c r="H9833" i="2" s="1"/>
  <c r="D9834" i="2"/>
  <c r="H9834" i="2" s="1"/>
  <c r="D9835" i="2"/>
  <c r="H9835" i="2" s="1"/>
  <c r="D9836" i="2"/>
  <c r="H9836" i="2" s="1"/>
  <c r="D9837" i="2"/>
  <c r="H9837" i="2" s="1"/>
  <c r="D9838" i="2"/>
  <c r="H9838" i="2" s="1"/>
  <c r="D9839" i="2"/>
  <c r="H9839" i="2" s="1"/>
  <c r="D9840" i="2"/>
  <c r="H9840" i="2" s="1"/>
  <c r="D9841" i="2"/>
  <c r="H9841" i="2" s="1"/>
  <c r="D9842" i="2"/>
  <c r="H9842" i="2" s="1"/>
  <c r="D9843" i="2"/>
  <c r="H9843" i="2" s="1"/>
  <c r="D9844" i="2"/>
  <c r="H9844" i="2" s="1"/>
  <c r="D9845" i="2"/>
  <c r="H9845" i="2" s="1"/>
  <c r="D9846" i="2"/>
  <c r="H9846" i="2" s="1"/>
  <c r="D9847" i="2"/>
  <c r="H9847" i="2" s="1"/>
  <c r="D9848" i="2"/>
  <c r="H9848" i="2" s="1"/>
  <c r="D9849" i="2"/>
  <c r="H9849" i="2" s="1"/>
  <c r="D9850" i="2"/>
  <c r="H9850" i="2" s="1"/>
  <c r="D9851" i="2"/>
  <c r="H9851" i="2" s="1"/>
  <c r="D9852" i="2"/>
  <c r="H9852" i="2" s="1"/>
  <c r="D9853" i="2"/>
  <c r="H9853" i="2" s="1"/>
  <c r="D9854" i="2"/>
  <c r="H9854" i="2" s="1"/>
  <c r="D9855" i="2"/>
  <c r="H9855" i="2" s="1"/>
  <c r="D9856" i="2"/>
  <c r="H9856" i="2" s="1"/>
  <c r="D9857" i="2"/>
  <c r="H9857" i="2" s="1"/>
  <c r="D9858" i="2"/>
  <c r="H9858" i="2" s="1"/>
  <c r="D9859" i="2"/>
  <c r="H9859" i="2" s="1"/>
  <c r="D9860" i="2"/>
  <c r="H9860" i="2" s="1"/>
  <c r="D9861" i="2"/>
  <c r="H9861" i="2" s="1"/>
  <c r="D9862" i="2"/>
  <c r="H9862" i="2" s="1"/>
  <c r="D9863" i="2"/>
  <c r="H9863" i="2" s="1"/>
  <c r="D9864" i="2"/>
  <c r="H9864" i="2" s="1"/>
  <c r="D9865" i="2"/>
  <c r="H9865" i="2" s="1"/>
  <c r="D9866" i="2"/>
  <c r="H9866" i="2" s="1"/>
  <c r="D9867" i="2"/>
  <c r="H9867" i="2" s="1"/>
  <c r="D9868" i="2"/>
  <c r="H9868" i="2" s="1"/>
  <c r="D9869" i="2"/>
  <c r="H9869" i="2" s="1"/>
  <c r="D9870" i="2"/>
  <c r="H9870" i="2" s="1"/>
  <c r="D9871" i="2"/>
  <c r="H9871" i="2" s="1"/>
  <c r="D9872" i="2"/>
  <c r="H9872" i="2" s="1"/>
  <c r="D9873" i="2"/>
  <c r="H9873" i="2" s="1"/>
  <c r="D9874" i="2"/>
  <c r="H9874" i="2" s="1"/>
  <c r="D9875" i="2"/>
  <c r="H9875" i="2" s="1"/>
  <c r="D9876" i="2"/>
  <c r="H9876" i="2" s="1"/>
  <c r="D9877" i="2"/>
  <c r="H9877" i="2" s="1"/>
  <c r="D9878" i="2"/>
  <c r="H9878" i="2" s="1"/>
  <c r="D9879" i="2"/>
  <c r="H9879" i="2" s="1"/>
  <c r="D9880" i="2"/>
  <c r="H9880" i="2" s="1"/>
  <c r="D9881" i="2"/>
  <c r="H9881" i="2" s="1"/>
  <c r="D9882" i="2"/>
  <c r="H9882" i="2" s="1"/>
  <c r="D9883" i="2"/>
  <c r="H9883" i="2" s="1"/>
  <c r="D9884" i="2"/>
  <c r="H9884" i="2" s="1"/>
  <c r="D9885" i="2"/>
  <c r="H9885" i="2" s="1"/>
  <c r="D9886" i="2"/>
  <c r="H9886" i="2" s="1"/>
  <c r="D9887" i="2"/>
  <c r="H9887" i="2" s="1"/>
  <c r="D9888" i="2"/>
  <c r="H9888" i="2" s="1"/>
  <c r="D9889" i="2"/>
  <c r="H9889" i="2" s="1"/>
  <c r="D9890" i="2"/>
  <c r="H9890" i="2" s="1"/>
  <c r="D9891" i="2"/>
  <c r="H9891" i="2" s="1"/>
  <c r="D9892" i="2"/>
  <c r="H9892" i="2" s="1"/>
  <c r="D9893" i="2"/>
  <c r="H9893" i="2" s="1"/>
  <c r="D9894" i="2"/>
  <c r="H9894" i="2" s="1"/>
  <c r="D9895" i="2"/>
  <c r="H9895" i="2" s="1"/>
  <c r="D9896" i="2"/>
  <c r="H9896" i="2" s="1"/>
  <c r="D9897" i="2"/>
  <c r="H9897" i="2" s="1"/>
  <c r="D9898" i="2"/>
  <c r="H9898" i="2" s="1"/>
  <c r="D9899" i="2"/>
  <c r="H9899" i="2" s="1"/>
  <c r="D9900" i="2"/>
  <c r="H9900" i="2" s="1"/>
  <c r="D9901" i="2"/>
  <c r="H9901" i="2" s="1"/>
  <c r="D9902" i="2"/>
  <c r="H9902" i="2" s="1"/>
  <c r="D9903" i="2"/>
  <c r="H9903" i="2" s="1"/>
  <c r="D9904" i="2"/>
  <c r="H9904" i="2" s="1"/>
  <c r="D9905" i="2"/>
  <c r="H9905" i="2" s="1"/>
  <c r="D9906" i="2"/>
  <c r="H9906" i="2" s="1"/>
  <c r="D9907" i="2"/>
  <c r="H9907" i="2" s="1"/>
  <c r="D9908" i="2"/>
  <c r="H9908" i="2" s="1"/>
  <c r="D9909" i="2"/>
  <c r="H9909" i="2" s="1"/>
  <c r="D9910" i="2"/>
  <c r="H9910" i="2" s="1"/>
  <c r="D9911" i="2"/>
  <c r="H9911" i="2" s="1"/>
  <c r="D9912" i="2"/>
  <c r="H9912" i="2" s="1"/>
  <c r="D9913" i="2"/>
  <c r="H9913" i="2" s="1"/>
  <c r="D9914" i="2"/>
  <c r="H9914" i="2" s="1"/>
  <c r="D9915" i="2"/>
  <c r="H9915" i="2" s="1"/>
  <c r="D9916" i="2"/>
  <c r="H9916" i="2" s="1"/>
  <c r="D9917" i="2"/>
  <c r="H9917" i="2" s="1"/>
  <c r="D9918" i="2"/>
  <c r="H9918" i="2" s="1"/>
  <c r="D9919" i="2"/>
  <c r="H9919" i="2" s="1"/>
  <c r="D9920" i="2"/>
  <c r="H9920" i="2" s="1"/>
  <c r="D9921" i="2"/>
  <c r="H9921" i="2" s="1"/>
  <c r="D9922" i="2"/>
  <c r="H9922" i="2" s="1"/>
  <c r="D9923" i="2"/>
  <c r="H9923" i="2" s="1"/>
  <c r="D9924" i="2"/>
  <c r="H9924" i="2" s="1"/>
  <c r="D9925" i="2"/>
  <c r="H9925" i="2" s="1"/>
  <c r="D9926" i="2"/>
  <c r="H9926" i="2" s="1"/>
  <c r="D9927" i="2"/>
  <c r="H9927" i="2" s="1"/>
  <c r="D9928" i="2"/>
  <c r="H9928" i="2" s="1"/>
  <c r="D9929" i="2"/>
  <c r="H9929" i="2" s="1"/>
  <c r="D9930" i="2"/>
  <c r="H9930" i="2" s="1"/>
  <c r="D9931" i="2"/>
  <c r="H9931" i="2" s="1"/>
  <c r="D9932" i="2"/>
  <c r="H9932" i="2" s="1"/>
  <c r="D9933" i="2"/>
  <c r="H9933" i="2" s="1"/>
  <c r="D9934" i="2"/>
  <c r="H9934" i="2" s="1"/>
  <c r="D9935" i="2"/>
  <c r="H9935" i="2" s="1"/>
  <c r="D9936" i="2"/>
  <c r="H9936" i="2" s="1"/>
  <c r="D9937" i="2"/>
  <c r="H9937" i="2" s="1"/>
  <c r="D9938" i="2"/>
  <c r="H9938" i="2" s="1"/>
  <c r="D9939" i="2"/>
  <c r="H9939" i="2" s="1"/>
  <c r="D9940" i="2"/>
  <c r="H9940" i="2" s="1"/>
  <c r="D9941" i="2"/>
  <c r="H9941" i="2" s="1"/>
  <c r="D9942" i="2"/>
  <c r="H9942" i="2" s="1"/>
  <c r="D9943" i="2"/>
  <c r="H9943" i="2" s="1"/>
  <c r="D9944" i="2"/>
  <c r="H9944" i="2" s="1"/>
  <c r="D9945" i="2"/>
  <c r="H9945" i="2" s="1"/>
  <c r="D9946" i="2"/>
  <c r="H9946" i="2" s="1"/>
  <c r="D9947" i="2"/>
  <c r="H9947" i="2" s="1"/>
  <c r="D9948" i="2"/>
  <c r="H9948" i="2" s="1"/>
  <c r="D9949" i="2"/>
  <c r="H9949" i="2" s="1"/>
  <c r="D9950" i="2"/>
  <c r="H9950" i="2" s="1"/>
  <c r="D9951" i="2"/>
  <c r="H9951" i="2" s="1"/>
  <c r="D9952" i="2"/>
  <c r="H9952" i="2" s="1"/>
  <c r="D9953" i="2"/>
  <c r="H9953" i="2" s="1"/>
  <c r="D9954" i="2"/>
  <c r="H9954" i="2" s="1"/>
  <c r="D9955" i="2"/>
  <c r="H9955" i="2" s="1"/>
  <c r="D9956" i="2"/>
  <c r="H9956" i="2" s="1"/>
  <c r="D9957" i="2"/>
  <c r="H9957" i="2" s="1"/>
  <c r="D9958" i="2"/>
  <c r="H9958" i="2" s="1"/>
  <c r="D9959" i="2"/>
  <c r="H9959" i="2" s="1"/>
  <c r="D9960" i="2"/>
  <c r="H9960" i="2" s="1"/>
  <c r="D9961" i="2"/>
  <c r="H9961" i="2" s="1"/>
  <c r="D9962" i="2"/>
  <c r="H9962" i="2" s="1"/>
  <c r="D9963" i="2"/>
  <c r="H9963" i="2" s="1"/>
  <c r="D9964" i="2"/>
  <c r="H9964" i="2" s="1"/>
  <c r="D9965" i="2"/>
  <c r="H9965" i="2" s="1"/>
  <c r="D9966" i="2"/>
  <c r="H9966" i="2" s="1"/>
  <c r="D9967" i="2"/>
  <c r="H9967" i="2" s="1"/>
  <c r="D9968" i="2"/>
  <c r="H9968" i="2" s="1"/>
  <c r="D9969" i="2"/>
  <c r="H9969" i="2" s="1"/>
  <c r="D9970" i="2"/>
  <c r="H9970" i="2" s="1"/>
  <c r="D9971" i="2"/>
  <c r="H9971" i="2" s="1"/>
  <c r="D9972" i="2"/>
  <c r="H9972" i="2" s="1"/>
  <c r="D9973" i="2"/>
  <c r="H9973" i="2" s="1"/>
  <c r="D9974" i="2"/>
  <c r="H9974" i="2" s="1"/>
  <c r="D9975" i="2"/>
  <c r="H9975" i="2" s="1"/>
  <c r="D9976" i="2"/>
  <c r="H9976" i="2" s="1"/>
  <c r="D9977" i="2"/>
  <c r="H9977" i="2" s="1"/>
  <c r="D9978" i="2"/>
  <c r="H9978" i="2" s="1"/>
  <c r="D9979" i="2"/>
  <c r="H9979" i="2" s="1"/>
  <c r="D9980" i="2"/>
  <c r="H9980" i="2" s="1"/>
  <c r="D9981" i="2"/>
  <c r="H9981" i="2" s="1"/>
  <c r="D9982" i="2"/>
  <c r="H9982" i="2" s="1"/>
  <c r="D9983" i="2"/>
  <c r="H9983" i="2" s="1"/>
  <c r="D9984" i="2"/>
  <c r="H9984" i="2" s="1"/>
  <c r="D9985" i="2"/>
  <c r="H9985" i="2" s="1"/>
  <c r="D9986" i="2"/>
  <c r="H9986" i="2" s="1"/>
  <c r="D9987" i="2"/>
  <c r="H9987" i="2" s="1"/>
  <c r="D9988" i="2"/>
  <c r="H9988" i="2" s="1"/>
  <c r="D9989" i="2"/>
  <c r="H9989" i="2" s="1"/>
  <c r="D9990" i="2"/>
  <c r="H9990" i="2" s="1"/>
  <c r="D9991" i="2"/>
  <c r="H9991" i="2" s="1"/>
  <c r="D9992" i="2"/>
  <c r="H9992" i="2" s="1"/>
  <c r="D9993" i="2"/>
  <c r="H9993" i="2" s="1"/>
  <c r="D9994" i="2"/>
  <c r="H9994" i="2" s="1"/>
  <c r="D9995" i="2"/>
  <c r="H9995" i="2" s="1"/>
  <c r="D9996" i="2"/>
  <c r="H9996" i="2" s="1"/>
  <c r="D9997" i="2"/>
  <c r="H9997" i="2" s="1"/>
  <c r="D9998" i="2"/>
  <c r="H9998" i="2" s="1"/>
  <c r="D9999" i="2"/>
  <c r="H9999" i="2" s="1"/>
  <c r="D10000" i="2"/>
  <c r="H10000" i="2" s="1"/>
  <c r="D2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8257" i="2"/>
  <c r="B8258" i="2"/>
  <c r="B8259" i="2"/>
  <c r="B8260" i="2"/>
  <c r="B8261" i="2"/>
  <c r="B8262" i="2"/>
  <c r="B8263" i="2"/>
  <c r="B8264" i="2"/>
  <c r="B8265" i="2"/>
  <c r="B8266" i="2"/>
  <c r="B8267" i="2"/>
  <c r="B8268" i="2"/>
  <c r="B8269" i="2"/>
  <c r="B8270" i="2"/>
  <c r="B8271" i="2"/>
  <c r="B8272" i="2"/>
  <c r="B8273" i="2"/>
  <c r="B8274" i="2"/>
  <c r="B8275" i="2"/>
  <c r="B8276" i="2"/>
  <c r="B8277" i="2"/>
  <c r="B8278" i="2"/>
  <c r="B8279" i="2"/>
  <c r="B8280" i="2"/>
  <c r="B8281" i="2"/>
  <c r="B8282" i="2"/>
  <c r="B8283" i="2"/>
  <c r="B8284" i="2"/>
  <c r="B8285" i="2"/>
  <c r="B8286" i="2"/>
  <c r="B8287" i="2"/>
  <c r="B8288" i="2"/>
  <c r="B8289" i="2"/>
  <c r="B8290" i="2"/>
  <c r="B8291" i="2"/>
  <c r="B8292" i="2"/>
  <c r="B8293" i="2"/>
  <c r="B8294" i="2"/>
  <c r="B8295" i="2"/>
  <c r="B8296" i="2"/>
  <c r="B8297" i="2"/>
  <c r="B8298" i="2"/>
  <c r="B8299" i="2"/>
  <c r="B8300" i="2"/>
  <c r="B8301" i="2"/>
  <c r="B8302" i="2"/>
  <c r="B8303" i="2"/>
  <c r="B8304" i="2"/>
  <c r="B8305" i="2"/>
  <c r="B8306" i="2"/>
  <c r="B8307" i="2"/>
  <c r="B8308" i="2"/>
  <c r="B8309" i="2"/>
  <c r="B8310" i="2"/>
  <c r="B8311" i="2"/>
  <c r="B8312" i="2"/>
  <c r="B8313" i="2"/>
  <c r="B8314" i="2"/>
  <c r="B8315" i="2"/>
  <c r="B8316" i="2"/>
  <c r="B8317" i="2"/>
  <c r="B8318" i="2"/>
  <c r="B8319" i="2"/>
  <c r="B8320" i="2"/>
  <c r="B8321" i="2"/>
  <c r="B8322" i="2"/>
  <c r="B8323" i="2"/>
  <c r="B8324" i="2"/>
  <c r="B8325" i="2"/>
  <c r="B8326" i="2"/>
  <c r="B8327" i="2"/>
  <c r="B8328" i="2"/>
  <c r="B8329" i="2"/>
  <c r="B8330" i="2"/>
  <c r="B8331" i="2"/>
  <c r="B8332" i="2"/>
  <c r="B8333" i="2"/>
  <c r="B8334" i="2"/>
  <c r="B8335" i="2"/>
  <c r="B8336" i="2"/>
  <c r="B8337" i="2"/>
  <c r="B8338" i="2"/>
  <c r="B8339" i="2"/>
  <c r="B8340" i="2"/>
  <c r="B8341" i="2"/>
  <c r="B8342" i="2"/>
  <c r="B8343" i="2"/>
  <c r="B8344" i="2"/>
  <c r="B8345" i="2"/>
  <c r="B8346" i="2"/>
  <c r="B8347" i="2"/>
  <c r="B8348" i="2"/>
  <c r="B8349" i="2"/>
  <c r="B8350" i="2"/>
  <c r="B8351" i="2"/>
  <c r="B8352" i="2"/>
  <c r="B8353" i="2"/>
  <c r="B8354" i="2"/>
  <c r="B8355" i="2"/>
  <c r="B8356" i="2"/>
  <c r="B8357" i="2"/>
  <c r="B8358" i="2"/>
  <c r="B8359" i="2"/>
  <c r="B8360" i="2"/>
  <c r="B8361" i="2"/>
  <c r="B8362" i="2"/>
  <c r="B8363" i="2"/>
  <c r="B8364" i="2"/>
  <c r="B8365" i="2"/>
  <c r="B8366" i="2"/>
  <c r="B8367" i="2"/>
  <c r="B8368" i="2"/>
  <c r="B8369" i="2"/>
  <c r="B8370" i="2"/>
  <c r="B8371" i="2"/>
  <c r="B8372" i="2"/>
  <c r="B8373" i="2"/>
  <c r="B8374" i="2"/>
  <c r="B8375" i="2"/>
  <c r="B8376" i="2"/>
  <c r="B8377" i="2"/>
  <c r="B8378" i="2"/>
  <c r="B8379" i="2"/>
  <c r="B8380" i="2"/>
  <c r="B8381" i="2"/>
  <c r="B8382" i="2"/>
  <c r="B8383" i="2"/>
  <c r="B8384" i="2"/>
  <c r="B8385" i="2"/>
  <c r="B8386" i="2"/>
  <c r="B8387" i="2"/>
  <c r="B8388" i="2"/>
  <c r="B8389" i="2"/>
  <c r="B8390" i="2"/>
  <c r="B8391" i="2"/>
  <c r="B8392" i="2"/>
  <c r="B8393" i="2"/>
  <c r="B8394" i="2"/>
  <c r="B8395" i="2"/>
  <c r="B8396" i="2"/>
  <c r="B8397" i="2"/>
  <c r="B8398" i="2"/>
  <c r="B8399" i="2"/>
  <c r="B8400" i="2"/>
  <c r="B8401" i="2"/>
  <c r="B8402" i="2"/>
  <c r="B8403" i="2"/>
  <c r="B8404" i="2"/>
  <c r="B8405" i="2"/>
  <c r="B8406" i="2"/>
  <c r="B8407" i="2"/>
  <c r="B8408" i="2"/>
  <c r="B8409" i="2"/>
  <c r="B8410" i="2"/>
  <c r="B8411" i="2"/>
  <c r="B8412" i="2"/>
  <c r="B8413" i="2"/>
  <c r="B8414" i="2"/>
  <c r="B8415" i="2"/>
  <c r="B8416" i="2"/>
  <c r="B8417" i="2"/>
  <c r="B8418" i="2"/>
  <c r="B8419" i="2"/>
  <c r="B8420" i="2"/>
  <c r="B8421" i="2"/>
  <c r="B8422" i="2"/>
  <c r="B8423" i="2"/>
  <c r="B8424" i="2"/>
  <c r="B8425" i="2"/>
  <c r="B8426" i="2"/>
  <c r="B8427" i="2"/>
  <c r="B8428" i="2"/>
  <c r="B8429" i="2"/>
  <c r="B8430" i="2"/>
  <c r="B8431" i="2"/>
  <c r="B8432" i="2"/>
  <c r="B8433" i="2"/>
  <c r="B8434" i="2"/>
  <c r="B8435" i="2"/>
  <c r="B8436" i="2"/>
  <c r="B8437" i="2"/>
  <c r="B8438" i="2"/>
  <c r="B8439" i="2"/>
  <c r="B8440" i="2"/>
  <c r="B8441" i="2"/>
  <c r="B8442" i="2"/>
  <c r="B8443" i="2"/>
  <c r="B8444" i="2"/>
  <c r="B8445" i="2"/>
  <c r="B8446" i="2"/>
  <c r="B8447" i="2"/>
  <c r="B8448" i="2"/>
  <c r="B8449" i="2"/>
  <c r="B8450" i="2"/>
  <c r="B8451" i="2"/>
  <c r="B8452" i="2"/>
  <c r="B8453" i="2"/>
  <c r="B8454" i="2"/>
  <c r="B8455" i="2"/>
  <c r="B8456" i="2"/>
  <c r="B8457" i="2"/>
  <c r="B8458" i="2"/>
  <c r="B8459" i="2"/>
  <c r="B8460" i="2"/>
  <c r="B8461" i="2"/>
  <c r="B8462" i="2"/>
  <c r="B8463" i="2"/>
  <c r="B8464" i="2"/>
  <c r="B8465" i="2"/>
  <c r="B8466" i="2"/>
  <c r="B8467" i="2"/>
  <c r="B8468" i="2"/>
  <c r="B8469" i="2"/>
  <c r="B8470" i="2"/>
  <c r="B8471" i="2"/>
  <c r="B8472" i="2"/>
  <c r="B8473" i="2"/>
  <c r="B8474" i="2"/>
  <c r="B8475" i="2"/>
  <c r="B8476" i="2"/>
  <c r="B8477" i="2"/>
  <c r="B8478" i="2"/>
  <c r="B8479" i="2"/>
  <c r="B8480" i="2"/>
  <c r="B8481" i="2"/>
  <c r="B8482" i="2"/>
  <c r="B8483" i="2"/>
  <c r="B8484" i="2"/>
  <c r="B8485" i="2"/>
  <c r="B8486" i="2"/>
  <c r="B8487" i="2"/>
  <c r="B8488" i="2"/>
  <c r="B8489" i="2"/>
  <c r="B8490" i="2"/>
  <c r="B8491" i="2"/>
  <c r="B8492" i="2"/>
  <c r="B8493" i="2"/>
  <c r="B8494" i="2"/>
  <c r="B8495" i="2"/>
  <c r="B8496" i="2"/>
  <c r="B8497" i="2"/>
  <c r="B8498" i="2"/>
  <c r="B8499" i="2"/>
  <c r="B8500" i="2"/>
  <c r="B8501" i="2"/>
  <c r="B8502" i="2"/>
  <c r="B8503" i="2"/>
  <c r="B8504" i="2"/>
  <c r="B8505" i="2"/>
  <c r="B8506" i="2"/>
  <c r="B8507" i="2"/>
  <c r="B8508" i="2"/>
  <c r="B8509" i="2"/>
  <c r="B8510" i="2"/>
  <c r="B8511" i="2"/>
  <c r="B8512" i="2"/>
  <c r="B8513" i="2"/>
  <c r="B8514" i="2"/>
  <c r="B8515" i="2"/>
  <c r="B8516" i="2"/>
  <c r="B8517" i="2"/>
  <c r="B8518" i="2"/>
  <c r="B8519" i="2"/>
  <c r="B8520" i="2"/>
  <c r="B8521" i="2"/>
  <c r="B8522" i="2"/>
  <c r="B8523" i="2"/>
  <c r="B8524" i="2"/>
  <c r="B8525" i="2"/>
  <c r="B8526" i="2"/>
  <c r="B8527" i="2"/>
  <c r="B8528" i="2"/>
  <c r="B8529" i="2"/>
  <c r="B8530" i="2"/>
  <c r="B8531" i="2"/>
  <c r="B8532" i="2"/>
  <c r="B8533" i="2"/>
  <c r="B8534" i="2"/>
  <c r="B8535" i="2"/>
  <c r="B8536" i="2"/>
  <c r="B8537" i="2"/>
  <c r="B8538" i="2"/>
  <c r="B8539" i="2"/>
  <c r="B8540" i="2"/>
  <c r="B8541" i="2"/>
  <c r="B8542" i="2"/>
  <c r="B8543" i="2"/>
  <c r="B8544" i="2"/>
  <c r="B8545" i="2"/>
  <c r="B8546" i="2"/>
  <c r="B8547" i="2"/>
  <c r="B8548" i="2"/>
  <c r="B8549" i="2"/>
  <c r="B8550" i="2"/>
  <c r="B8551" i="2"/>
  <c r="B8552" i="2"/>
  <c r="B8553" i="2"/>
  <c r="B8554" i="2"/>
  <c r="B8555" i="2"/>
  <c r="B8556" i="2"/>
  <c r="B8557" i="2"/>
  <c r="B8558" i="2"/>
  <c r="B8559" i="2"/>
  <c r="B8560" i="2"/>
  <c r="B8561" i="2"/>
  <c r="B8562" i="2"/>
  <c r="B8563" i="2"/>
  <c r="B8564" i="2"/>
  <c r="B8565" i="2"/>
  <c r="B8566" i="2"/>
  <c r="B8567" i="2"/>
  <c r="B8568" i="2"/>
  <c r="B8569" i="2"/>
  <c r="B8570" i="2"/>
  <c r="B8571" i="2"/>
  <c r="B8572" i="2"/>
  <c r="B8573" i="2"/>
  <c r="B8574" i="2"/>
  <c r="B8575" i="2"/>
  <c r="B8576" i="2"/>
  <c r="B8577" i="2"/>
  <c r="B8578" i="2"/>
  <c r="B8579" i="2"/>
  <c r="B8580" i="2"/>
  <c r="B8581" i="2"/>
  <c r="B8582" i="2"/>
  <c r="B8583" i="2"/>
  <c r="B8584" i="2"/>
  <c r="B8585" i="2"/>
  <c r="B8586" i="2"/>
  <c r="B8587" i="2"/>
  <c r="B8588" i="2"/>
  <c r="B8589" i="2"/>
  <c r="B8590" i="2"/>
  <c r="B8591" i="2"/>
  <c r="B8592" i="2"/>
  <c r="B8593" i="2"/>
  <c r="B8594" i="2"/>
  <c r="B8595" i="2"/>
  <c r="B8596" i="2"/>
  <c r="B8597" i="2"/>
  <c r="B8598" i="2"/>
  <c r="B8599" i="2"/>
  <c r="B8600" i="2"/>
  <c r="B8601" i="2"/>
  <c r="B8602" i="2"/>
  <c r="B8603" i="2"/>
  <c r="B8604" i="2"/>
  <c r="B8605" i="2"/>
  <c r="B8606" i="2"/>
  <c r="B8607" i="2"/>
  <c r="B8608" i="2"/>
  <c r="B8609" i="2"/>
  <c r="B8610" i="2"/>
  <c r="B8611" i="2"/>
  <c r="B8612" i="2"/>
  <c r="B8613" i="2"/>
  <c r="B8614" i="2"/>
  <c r="B8615" i="2"/>
  <c r="B8616" i="2"/>
  <c r="B8617" i="2"/>
  <c r="B8618" i="2"/>
  <c r="B8619" i="2"/>
  <c r="B8620" i="2"/>
  <c r="B8621" i="2"/>
  <c r="B8622" i="2"/>
  <c r="B8623" i="2"/>
  <c r="B8624" i="2"/>
  <c r="B8625" i="2"/>
  <c r="B8626" i="2"/>
  <c r="B8627" i="2"/>
  <c r="B8628" i="2"/>
  <c r="B8629" i="2"/>
  <c r="B8630" i="2"/>
  <c r="B8631" i="2"/>
  <c r="B8632" i="2"/>
  <c r="B8633" i="2"/>
  <c r="B8634" i="2"/>
  <c r="B8635" i="2"/>
  <c r="B8636" i="2"/>
  <c r="B8637" i="2"/>
  <c r="B8638" i="2"/>
  <c r="B8639" i="2"/>
  <c r="B8640" i="2"/>
  <c r="B8641" i="2"/>
  <c r="B8642" i="2"/>
  <c r="B8643" i="2"/>
  <c r="B8644" i="2"/>
  <c r="B8645" i="2"/>
  <c r="B8646" i="2"/>
  <c r="B8647" i="2"/>
  <c r="B8648" i="2"/>
  <c r="B8649" i="2"/>
  <c r="B8650" i="2"/>
  <c r="B8651" i="2"/>
  <c r="B8652" i="2"/>
  <c r="B8653" i="2"/>
  <c r="B8654" i="2"/>
  <c r="B8655" i="2"/>
  <c r="B8656" i="2"/>
  <c r="B8657" i="2"/>
  <c r="B8658" i="2"/>
  <c r="B8659" i="2"/>
  <c r="B8660" i="2"/>
  <c r="B8661" i="2"/>
  <c r="B8662" i="2"/>
  <c r="B8663" i="2"/>
  <c r="B8664" i="2"/>
  <c r="B8665" i="2"/>
  <c r="B8666" i="2"/>
  <c r="B8667" i="2"/>
  <c r="B8668" i="2"/>
  <c r="B8669" i="2"/>
  <c r="B8670" i="2"/>
  <c r="B8671" i="2"/>
  <c r="B8672" i="2"/>
  <c r="B8673" i="2"/>
  <c r="B8674" i="2"/>
  <c r="B8675" i="2"/>
  <c r="B8676" i="2"/>
  <c r="B8677" i="2"/>
  <c r="B8678" i="2"/>
  <c r="B8679" i="2"/>
  <c r="B8680" i="2"/>
  <c r="B8681" i="2"/>
  <c r="B8682" i="2"/>
  <c r="B8683" i="2"/>
  <c r="B8684" i="2"/>
  <c r="B8685" i="2"/>
  <c r="B8686" i="2"/>
  <c r="B8687" i="2"/>
  <c r="B8688" i="2"/>
  <c r="B8689" i="2"/>
  <c r="B8690" i="2"/>
  <c r="B8691" i="2"/>
  <c r="B8692" i="2"/>
  <c r="B8693" i="2"/>
  <c r="B8694" i="2"/>
  <c r="B8695" i="2"/>
  <c r="B8696" i="2"/>
  <c r="B8697" i="2"/>
  <c r="B8698" i="2"/>
  <c r="B8699" i="2"/>
  <c r="B8700" i="2"/>
  <c r="B8701" i="2"/>
  <c r="B8702" i="2"/>
  <c r="B8703" i="2"/>
  <c r="B8704" i="2"/>
  <c r="B8705" i="2"/>
  <c r="B8706" i="2"/>
  <c r="B8707" i="2"/>
  <c r="B8708" i="2"/>
  <c r="B8709" i="2"/>
  <c r="B8710" i="2"/>
  <c r="B8711" i="2"/>
  <c r="B8712" i="2"/>
  <c r="B8713" i="2"/>
  <c r="B8714" i="2"/>
  <c r="B8715" i="2"/>
  <c r="B8716" i="2"/>
  <c r="B8717" i="2"/>
  <c r="B8718" i="2"/>
  <c r="B8719" i="2"/>
  <c r="B8720" i="2"/>
  <c r="B8721" i="2"/>
  <c r="B8722" i="2"/>
  <c r="B8723" i="2"/>
  <c r="B8724" i="2"/>
  <c r="B8725" i="2"/>
  <c r="B8726" i="2"/>
  <c r="B8727" i="2"/>
  <c r="B8728" i="2"/>
  <c r="B8729" i="2"/>
  <c r="B8730" i="2"/>
  <c r="B8731" i="2"/>
  <c r="B8732" i="2"/>
  <c r="B8733" i="2"/>
  <c r="B8734" i="2"/>
  <c r="B8735" i="2"/>
  <c r="B8736" i="2"/>
  <c r="B8737" i="2"/>
  <c r="B8738" i="2"/>
  <c r="B8739" i="2"/>
  <c r="B8740" i="2"/>
  <c r="B8741" i="2"/>
  <c r="B8742" i="2"/>
  <c r="B8743" i="2"/>
  <c r="B8744" i="2"/>
  <c r="B8745" i="2"/>
  <c r="B8746" i="2"/>
  <c r="B8747" i="2"/>
  <c r="B8748" i="2"/>
  <c r="B8749" i="2"/>
  <c r="B8750" i="2"/>
  <c r="B8751" i="2"/>
  <c r="B8752" i="2"/>
  <c r="B8753" i="2"/>
  <c r="B8754" i="2"/>
  <c r="B8755" i="2"/>
  <c r="B8756" i="2"/>
  <c r="B8757" i="2"/>
  <c r="B8758" i="2"/>
  <c r="B8759" i="2"/>
  <c r="B8760" i="2"/>
  <c r="B8761" i="2"/>
  <c r="B8762" i="2"/>
  <c r="B8763" i="2"/>
  <c r="B8764" i="2"/>
  <c r="B8765" i="2"/>
  <c r="B8766" i="2"/>
  <c r="B8767" i="2"/>
  <c r="B8768" i="2"/>
  <c r="B8769" i="2"/>
  <c r="B8770" i="2"/>
  <c r="B8771" i="2"/>
  <c r="B8772" i="2"/>
  <c r="B8773" i="2"/>
  <c r="B8774" i="2"/>
  <c r="B8775" i="2"/>
  <c r="B8776" i="2"/>
  <c r="B8777" i="2"/>
  <c r="B8778" i="2"/>
  <c r="B8779" i="2"/>
  <c r="B8780" i="2"/>
  <c r="B8781" i="2"/>
  <c r="B8782" i="2"/>
  <c r="B8783" i="2"/>
  <c r="B8784" i="2"/>
  <c r="B8785" i="2"/>
  <c r="B8786" i="2"/>
  <c r="B8787" i="2"/>
  <c r="B8788" i="2"/>
  <c r="B8789" i="2"/>
  <c r="B8790" i="2"/>
  <c r="B8791" i="2"/>
  <c r="B8792" i="2"/>
  <c r="B8793" i="2"/>
  <c r="B8794" i="2"/>
  <c r="B8795" i="2"/>
  <c r="B8796" i="2"/>
  <c r="B8797" i="2"/>
  <c r="B8798" i="2"/>
  <c r="B8799" i="2"/>
  <c r="B8800" i="2"/>
  <c r="B8801" i="2"/>
  <c r="B8802" i="2"/>
  <c r="B8803" i="2"/>
  <c r="B8804" i="2"/>
  <c r="B8805" i="2"/>
  <c r="B8806" i="2"/>
  <c r="B8807" i="2"/>
  <c r="B8808" i="2"/>
  <c r="B8809" i="2"/>
  <c r="B8810" i="2"/>
  <c r="B8811" i="2"/>
  <c r="B8812" i="2"/>
  <c r="B8813" i="2"/>
  <c r="B8814" i="2"/>
  <c r="B8815" i="2"/>
  <c r="B8816" i="2"/>
  <c r="B8817" i="2"/>
  <c r="B8818" i="2"/>
  <c r="B8819" i="2"/>
  <c r="B8820" i="2"/>
  <c r="B8821" i="2"/>
  <c r="B8822" i="2"/>
  <c r="B8823" i="2"/>
  <c r="B8824" i="2"/>
  <c r="B8825" i="2"/>
  <c r="B8826" i="2"/>
  <c r="B8827" i="2"/>
  <c r="B8828" i="2"/>
  <c r="B8829" i="2"/>
  <c r="B8830" i="2"/>
  <c r="B8831" i="2"/>
  <c r="B8832" i="2"/>
  <c r="B8833" i="2"/>
  <c r="B8834" i="2"/>
  <c r="B8835" i="2"/>
  <c r="B8836" i="2"/>
  <c r="B8837" i="2"/>
  <c r="B8838" i="2"/>
  <c r="B8839" i="2"/>
  <c r="B8840" i="2"/>
  <c r="B8841" i="2"/>
  <c r="B8842" i="2"/>
  <c r="B8843" i="2"/>
  <c r="B8844" i="2"/>
  <c r="B8845" i="2"/>
  <c r="B8846" i="2"/>
  <c r="B8847" i="2"/>
  <c r="B8848" i="2"/>
  <c r="B8849" i="2"/>
  <c r="B8850" i="2"/>
  <c r="B8851" i="2"/>
  <c r="B8852" i="2"/>
  <c r="B8853" i="2"/>
  <c r="B8854" i="2"/>
  <c r="B8855" i="2"/>
  <c r="B8856" i="2"/>
  <c r="B8857" i="2"/>
  <c r="B8858" i="2"/>
  <c r="B8859" i="2"/>
  <c r="B8860" i="2"/>
  <c r="B8861" i="2"/>
  <c r="B8862" i="2"/>
  <c r="B8863" i="2"/>
  <c r="B8864" i="2"/>
  <c r="B8865" i="2"/>
  <c r="B8866" i="2"/>
  <c r="B8867" i="2"/>
  <c r="B8868" i="2"/>
  <c r="B8869" i="2"/>
  <c r="B8870" i="2"/>
  <c r="B8871" i="2"/>
  <c r="B8872" i="2"/>
  <c r="B8873" i="2"/>
  <c r="B8874" i="2"/>
  <c r="B8875" i="2"/>
  <c r="B8876" i="2"/>
  <c r="B8877" i="2"/>
  <c r="B8878" i="2"/>
  <c r="B8879" i="2"/>
  <c r="B8880" i="2"/>
  <c r="B8881" i="2"/>
  <c r="B8882" i="2"/>
  <c r="B8883" i="2"/>
  <c r="B8884" i="2"/>
  <c r="B8885" i="2"/>
  <c r="B8886" i="2"/>
  <c r="B8887" i="2"/>
  <c r="B8888" i="2"/>
  <c r="B8889" i="2"/>
  <c r="B8890" i="2"/>
  <c r="B8891" i="2"/>
  <c r="B8892" i="2"/>
  <c r="B8893" i="2"/>
  <c r="B8894" i="2"/>
  <c r="B8895" i="2"/>
  <c r="B8896" i="2"/>
  <c r="B8897" i="2"/>
  <c r="B8898" i="2"/>
  <c r="B8899" i="2"/>
  <c r="B8900" i="2"/>
  <c r="B8901" i="2"/>
  <c r="B8902" i="2"/>
  <c r="B8903" i="2"/>
  <c r="B8904" i="2"/>
  <c r="B8905" i="2"/>
  <c r="B8906" i="2"/>
  <c r="B8907" i="2"/>
  <c r="B8908" i="2"/>
  <c r="B8909" i="2"/>
  <c r="B8910" i="2"/>
  <c r="B8911" i="2"/>
  <c r="B8912" i="2"/>
  <c r="B8913" i="2"/>
  <c r="B8914" i="2"/>
  <c r="B8915" i="2"/>
  <c r="B8916" i="2"/>
  <c r="B8917" i="2"/>
  <c r="B8918" i="2"/>
  <c r="B8919" i="2"/>
  <c r="B8920" i="2"/>
  <c r="B8921" i="2"/>
  <c r="B8922" i="2"/>
  <c r="B8923" i="2"/>
  <c r="B8924" i="2"/>
  <c r="B8925" i="2"/>
  <c r="B8926" i="2"/>
  <c r="B8927" i="2"/>
  <c r="B8928" i="2"/>
  <c r="B8929" i="2"/>
  <c r="B8930" i="2"/>
  <c r="B8931" i="2"/>
  <c r="B8932" i="2"/>
  <c r="B8933" i="2"/>
  <c r="B8934" i="2"/>
  <c r="B8935" i="2"/>
  <c r="B8936" i="2"/>
  <c r="B8937" i="2"/>
  <c r="B8938" i="2"/>
  <c r="B8939" i="2"/>
  <c r="B8940" i="2"/>
  <c r="B8941" i="2"/>
  <c r="B8942" i="2"/>
  <c r="B8943" i="2"/>
  <c r="B8944" i="2"/>
  <c r="B8945" i="2"/>
  <c r="B8946" i="2"/>
  <c r="B8947" i="2"/>
  <c r="B8948" i="2"/>
  <c r="B8949" i="2"/>
  <c r="B8950" i="2"/>
  <c r="B8951" i="2"/>
  <c r="B8952" i="2"/>
  <c r="B8953" i="2"/>
  <c r="B8954" i="2"/>
  <c r="B8955" i="2"/>
  <c r="B8956" i="2"/>
  <c r="B8957" i="2"/>
  <c r="B8958" i="2"/>
  <c r="B8959" i="2"/>
  <c r="B8960" i="2"/>
  <c r="B8961" i="2"/>
  <c r="B8962" i="2"/>
  <c r="B8963" i="2"/>
  <c r="B8964" i="2"/>
  <c r="B8965" i="2"/>
  <c r="B8966" i="2"/>
  <c r="B8967" i="2"/>
  <c r="B8968" i="2"/>
  <c r="B8969" i="2"/>
  <c r="B8970" i="2"/>
  <c r="B8971" i="2"/>
  <c r="B8972" i="2"/>
  <c r="B8973" i="2"/>
  <c r="B8974" i="2"/>
  <c r="B8975" i="2"/>
  <c r="B8976" i="2"/>
  <c r="B8977" i="2"/>
  <c r="B8978" i="2"/>
  <c r="B8979" i="2"/>
  <c r="B8980" i="2"/>
  <c r="B8981" i="2"/>
  <c r="B8982" i="2"/>
  <c r="B8983" i="2"/>
  <c r="B8984" i="2"/>
  <c r="B8985" i="2"/>
  <c r="B8986" i="2"/>
  <c r="B8987" i="2"/>
  <c r="B8988" i="2"/>
  <c r="B8989" i="2"/>
  <c r="B8990" i="2"/>
  <c r="B8991" i="2"/>
  <c r="B8992" i="2"/>
  <c r="B8993" i="2"/>
  <c r="B8994" i="2"/>
  <c r="B8995" i="2"/>
  <c r="B8996" i="2"/>
  <c r="B8997" i="2"/>
  <c r="B8998" i="2"/>
  <c r="B8999" i="2"/>
  <c r="B9000" i="2"/>
  <c r="B9001" i="2"/>
  <c r="B9002" i="2"/>
  <c r="B9003" i="2"/>
  <c r="B9004" i="2"/>
  <c r="B9005" i="2"/>
  <c r="B9006" i="2"/>
  <c r="B9007" i="2"/>
  <c r="B9008" i="2"/>
  <c r="B9009" i="2"/>
  <c r="B9010" i="2"/>
  <c r="B9011" i="2"/>
  <c r="B9012" i="2"/>
  <c r="B9013" i="2"/>
  <c r="B9014" i="2"/>
  <c r="B9015" i="2"/>
  <c r="B9016" i="2"/>
  <c r="B9017" i="2"/>
  <c r="B9018" i="2"/>
  <c r="B9019" i="2"/>
  <c r="B9020" i="2"/>
  <c r="B9021" i="2"/>
  <c r="B9022" i="2"/>
  <c r="B9023" i="2"/>
  <c r="B9024" i="2"/>
  <c r="B9025" i="2"/>
  <c r="B9026" i="2"/>
  <c r="B9027" i="2"/>
  <c r="B9028" i="2"/>
  <c r="B9029" i="2"/>
  <c r="B9030" i="2"/>
  <c r="B9031" i="2"/>
  <c r="B9032" i="2"/>
  <c r="B9033" i="2"/>
  <c r="B9034" i="2"/>
  <c r="B9035" i="2"/>
  <c r="B9036" i="2"/>
  <c r="B9037" i="2"/>
  <c r="B9038" i="2"/>
  <c r="B9039" i="2"/>
  <c r="B9040" i="2"/>
  <c r="B9041" i="2"/>
  <c r="B9042" i="2"/>
  <c r="B9043" i="2"/>
  <c r="B9044" i="2"/>
  <c r="B9045" i="2"/>
  <c r="B9046" i="2"/>
  <c r="B9047" i="2"/>
  <c r="B9048" i="2"/>
  <c r="B9049" i="2"/>
  <c r="B9050" i="2"/>
  <c r="B9051" i="2"/>
  <c r="B9052" i="2"/>
  <c r="B9053" i="2"/>
  <c r="B9054" i="2"/>
  <c r="B9055" i="2"/>
  <c r="B9056" i="2"/>
  <c r="B9057" i="2"/>
  <c r="B9058" i="2"/>
  <c r="B9059" i="2"/>
  <c r="B9060" i="2"/>
  <c r="B9061" i="2"/>
  <c r="B9062" i="2"/>
  <c r="B9063" i="2"/>
  <c r="B9064" i="2"/>
  <c r="B9065" i="2"/>
  <c r="B9066" i="2"/>
  <c r="B9067" i="2"/>
  <c r="B9068" i="2"/>
  <c r="B9069" i="2"/>
  <c r="B9070" i="2"/>
  <c r="B9071" i="2"/>
  <c r="B9072" i="2"/>
  <c r="B9073" i="2"/>
  <c r="B9074" i="2"/>
  <c r="B9075" i="2"/>
  <c r="B9076" i="2"/>
  <c r="B9077" i="2"/>
  <c r="B9078" i="2"/>
  <c r="B9079" i="2"/>
  <c r="B9080" i="2"/>
  <c r="B9081" i="2"/>
  <c r="B9082" i="2"/>
  <c r="B9083" i="2"/>
  <c r="B9084" i="2"/>
  <c r="B9085" i="2"/>
  <c r="B9086" i="2"/>
  <c r="B9087" i="2"/>
  <c r="B9088" i="2"/>
  <c r="B9089" i="2"/>
  <c r="B9090" i="2"/>
  <c r="B9091" i="2"/>
  <c r="B9092" i="2"/>
  <c r="B9093" i="2"/>
  <c r="B9094" i="2"/>
  <c r="B9095" i="2"/>
  <c r="B9096" i="2"/>
  <c r="B9097" i="2"/>
  <c r="B9098" i="2"/>
  <c r="B9099" i="2"/>
  <c r="B9100" i="2"/>
  <c r="B9101" i="2"/>
  <c r="B9102" i="2"/>
  <c r="B9103" i="2"/>
  <c r="B9104" i="2"/>
  <c r="B9105" i="2"/>
  <c r="B9106" i="2"/>
  <c r="B9107" i="2"/>
  <c r="B9108" i="2"/>
  <c r="B9109" i="2"/>
  <c r="B9110" i="2"/>
  <c r="B9111" i="2"/>
  <c r="B9112" i="2"/>
  <c r="B9113" i="2"/>
  <c r="B9114" i="2"/>
  <c r="B9115" i="2"/>
  <c r="B9116" i="2"/>
  <c r="B9117" i="2"/>
  <c r="B9118" i="2"/>
  <c r="B9119" i="2"/>
  <c r="B9120" i="2"/>
  <c r="B9121" i="2"/>
  <c r="B9122" i="2"/>
  <c r="B9123" i="2"/>
  <c r="B9124" i="2"/>
  <c r="B9125" i="2"/>
  <c r="B9126" i="2"/>
  <c r="B9127" i="2"/>
  <c r="B9128" i="2"/>
  <c r="B9129" i="2"/>
  <c r="B9130" i="2"/>
  <c r="B9131" i="2"/>
  <c r="B9132" i="2"/>
  <c r="B9133" i="2"/>
  <c r="B9134" i="2"/>
  <c r="B9135" i="2"/>
  <c r="B9136" i="2"/>
  <c r="B9137" i="2"/>
  <c r="B9138" i="2"/>
  <c r="B9139" i="2"/>
  <c r="B9140" i="2"/>
  <c r="B9141" i="2"/>
  <c r="B9142" i="2"/>
  <c r="B9143" i="2"/>
  <c r="B9144" i="2"/>
  <c r="B9145" i="2"/>
  <c r="B9146" i="2"/>
  <c r="B9147" i="2"/>
  <c r="B9148" i="2"/>
  <c r="B9149" i="2"/>
  <c r="B9150" i="2"/>
  <c r="B9151" i="2"/>
  <c r="B9152" i="2"/>
  <c r="B9153" i="2"/>
  <c r="B9154" i="2"/>
  <c r="B9155" i="2"/>
  <c r="B9156" i="2"/>
  <c r="B9157" i="2"/>
  <c r="B9158" i="2"/>
  <c r="B9159" i="2"/>
  <c r="B9160" i="2"/>
  <c r="B9161" i="2"/>
  <c r="B9162" i="2"/>
  <c r="B9163" i="2"/>
  <c r="B9164" i="2"/>
  <c r="B9165" i="2"/>
  <c r="B9166" i="2"/>
  <c r="B9167" i="2"/>
  <c r="B9168" i="2"/>
  <c r="B9169" i="2"/>
  <c r="B9170" i="2"/>
  <c r="B9171" i="2"/>
  <c r="B9172" i="2"/>
  <c r="B9173" i="2"/>
  <c r="B9174" i="2"/>
  <c r="B9175" i="2"/>
  <c r="B9176" i="2"/>
  <c r="B9177" i="2"/>
  <c r="B9178" i="2"/>
  <c r="B9179" i="2"/>
  <c r="B9180" i="2"/>
  <c r="B9181" i="2"/>
  <c r="B9182" i="2"/>
  <c r="B9183" i="2"/>
  <c r="B9184" i="2"/>
  <c r="B9185" i="2"/>
  <c r="B9186" i="2"/>
  <c r="B9187" i="2"/>
  <c r="B9188" i="2"/>
  <c r="B9189" i="2"/>
  <c r="B9190" i="2"/>
  <c r="B9191" i="2"/>
  <c r="B9192" i="2"/>
  <c r="B9193" i="2"/>
  <c r="B9194" i="2"/>
  <c r="B9195" i="2"/>
  <c r="B9196" i="2"/>
  <c r="B9197" i="2"/>
  <c r="B9198" i="2"/>
  <c r="B9199" i="2"/>
  <c r="B9200" i="2"/>
  <c r="B9201" i="2"/>
  <c r="B9202" i="2"/>
  <c r="B9203" i="2"/>
  <c r="B9204" i="2"/>
  <c r="B9205" i="2"/>
  <c r="B9206" i="2"/>
  <c r="B9207" i="2"/>
  <c r="B9208" i="2"/>
  <c r="B9209" i="2"/>
  <c r="B9210" i="2"/>
  <c r="B9211" i="2"/>
  <c r="B9212" i="2"/>
  <c r="B9213" i="2"/>
  <c r="B9214" i="2"/>
  <c r="B9215" i="2"/>
  <c r="B9216" i="2"/>
  <c r="B9217" i="2"/>
  <c r="B9218" i="2"/>
  <c r="B9219" i="2"/>
  <c r="B9220" i="2"/>
  <c r="B9221" i="2"/>
  <c r="B9222" i="2"/>
  <c r="B9223" i="2"/>
  <c r="B9224" i="2"/>
  <c r="B9225" i="2"/>
  <c r="B9226" i="2"/>
  <c r="B9227" i="2"/>
  <c r="B9228" i="2"/>
  <c r="B9229" i="2"/>
  <c r="B9230" i="2"/>
  <c r="B9231" i="2"/>
  <c r="B9232" i="2"/>
  <c r="B9233" i="2"/>
  <c r="B9234" i="2"/>
  <c r="B9235" i="2"/>
  <c r="B9236" i="2"/>
  <c r="B9237" i="2"/>
  <c r="B9238" i="2"/>
  <c r="B9239" i="2"/>
  <c r="B9240" i="2"/>
  <c r="B9241" i="2"/>
  <c r="B9242" i="2"/>
  <c r="B9243" i="2"/>
  <c r="B9244" i="2"/>
  <c r="B9245" i="2"/>
  <c r="B9246" i="2"/>
  <c r="B9247" i="2"/>
  <c r="B9248" i="2"/>
  <c r="B9249" i="2"/>
  <c r="B9250" i="2"/>
  <c r="B9251" i="2"/>
  <c r="B9252" i="2"/>
  <c r="B9253" i="2"/>
  <c r="B9254" i="2"/>
  <c r="B9255" i="2"/>
  <c r="B9256" i="2"/>
  <c r="B9257" i="2"/>
  <c r="B9258" i="2"/>
  <c r="B9259" i="2"/>
  <c r="B9260" i="2"/>
  <c r="B9261" i="2"/>
  <c r="B9262" i="2"/>
  <c r="B9263" i="2"/>
  <c r="B9264" i="2"/>
  <c r="B9265" i="2"/>
  <c r="B9266" i="2"/>
  <c r="B9267" i="2"/>
  <c r="B9268" i="2"/>
  <c r="B9269" i="2"/>
  <c r="B9270" i="2"/>
  <c r="B9271" i="2"/>
  <c r="B9272" i="2"/>
  <c r="B9273" i="2"/>
  <c r="B9274" i="2"/>
  <c r="B9275" i="2"/>
  <c r="B9276" i="2"/>
  <c r="B9277" i="2"/>
  <c r="B9278" i="2"/>
  <c r="B9279" i="2"/>
  <c r="B9280" i="2"/>
  <c r="B9281" i="2"/>
  <c r="B9282" i="2"/>
  <c r="B9283" i="2"/>
  <c r="B9284" i="2"/>
  <c r="B9285" i="2"/>
  <c r="B9286" i="2"/>
  <c r="B9287" i="2"/>
  <c r="B9288" i="2"/>
  <c r="B9289" i="2"/>
  <c r="B9290" i="2"/>
  <c r="B9291" i="2"/>
  <c r="B9292" i="2"/>
  <c r="B9293" i="2"/>
  <c r="B9294" i="2"/>
  <c r="B9295" i="2"/>
  <c r="B9296" i="2"/>
  <c r="B9297" i="2"/>
  <c r="B9298" i="2"/>
  <c r="B9299" i="2"/>
  <c r="B9300" i="2"/>
  <c r="B9301" i="2"/>
  <c r="B9302" i="2"/>
  <c r="B9303" i="2"/>
  <c r="B9304" i="2"/>
  <c r="B9305" i="2"/>
  <c r="B9306" i="2"/>
  <c r="B9307" i="2"/>
  <c r="B9308" i="2"/>
  <c r="B9309" i="2"/>
  <c r="B9310" i="2"/>
  <c r="B9311" i="2"/>
  <c r="B9312" i="2"/>
  <c r="B9313" i="2"/>
  <c r="B9314" i="2"/>
  <c r="B9315" i="2"/>
  <c r="B9316" i="2"/>
  <c r="B9317" i="2"/>
  <c r="B9318" i="2"/>
  <c r="B9319" i="2"/>
  <c r="B9320" i="2"/>
  <c r="B9321" i="2"/>
  <c r="B9322" i="2"/>
  <c r="B9323" i="2"/>
  <c r="B9324" i="2"/>
  <c r="B9325" i="2"/>
  <c r="B9326" i="2"/>
  <c r="B9327" i="2"/>
  <c r="B9328" i="2"/>
  <c r="B9329" i="2"/>
  <c r="B9330" i="2"/>
  <c r="B9331" i="2"/>
  <c r="B9332" i="2"/>
  <c r="B9333" i="2"/>
  <c r="B9334" i="2"/>
  <c r="B9335" i="2"/>
  <c r="B9336" i="2"/>
  <c r="B9337" i="2"/>
  <c r="B9338" i="2"/>
  <c r="B9339" i="2"/>
  <c r="B9340" i="2"/>
  <c r="B9341" i="2"/>
  <c r="B9342" i="2"/>
  <c r="B9343" i="2"/>
  <c r="B9344" i="2"/>
  <c r="B9345" i="2"/>
  <c r="B9346" i="2"/>
  <c r="B9347" i="2"/>
  <c r="B9348" i="2"/>
  <c r="B9349" i="2"/>
  <c r="B9350" i="2"/>
  <c r="B9351" i="2"/>
  <c r="B9352" i="2"/>
  <c r="B9353" i="2"/>
  <c r="B9354" i="2"/>
  <c r="B9355" i="2"/>
  <c r="B9356" i="2"/>
  <c r="B9357" i="2"/>
  <c r="B9358" i="2"/>
  <c r="B9359" i="2"/>
  <c r="B9360" i="2"/>
  <c r="B9361" i="2"/>
  <c r="B9362" i="2"/>
  <c r="B9363" i="2"/>
  <c r="B9364" i="2"/>
  <c r="B9365" i="2"/>
  <c r="B9366" i="2"/>
  <c r="B9367" i="2"/>
  <c r="B9368" i="2"/>
  <c r="B9369" i="2"/>
  <c r="B9370" i="2"/>
  <c r="B9371" i="2"/>
  <c r="B9372" i="2"/>
  <c r="B9373" i="2"/>
  <c r="B9374" i="2"/>
  <c r="B9375" i="2"/>
  <c r="B9376" i="2"/>
  <c r="B9377" i="2"/>
  <c r="B9378" i="2"/>
  <c r="B9379" i="2"/>
  <c r="B9380" i="2"/>
  <c r="B9381" i="2"/>
  <c r="B9382" i="2"/>
  <c r="B9383" i="2"/>
  <c r="B9384" i="2"/>
  <c r="B9385" i="2"/>
  <c r="B9386" i="2"/>
  <c r="B9387" i="2"/>
  <c r="B9388" i="2"/>
  <c r="B9389" i="2"/>
  <c r="B9390" i="2"/>
  <c r="B9391" i="2"/>
  <c r="B9392" i="2"/>
  <c r="B9393" i="2"/>
  <c r="B9394" i="2"/>
  <c r="B9395" i="2"/>
  <c r="B9396" i="2"/>
  <c r="B9397" i="2"/>
  <c r="B9398" i="2"/>
  <c r="B9399" i="2"/>
  <c r="B9400" i="2"/>
  <c r="B9401" i="2"/>
  <c r="B9402" i="2"/>
  <c r="B9403" i="2"/>
  <c r="B9404" i="2"/>
  <c r="B9405" i="2"/>
  <c r="B9406" i="2"/>
  <c r="B9407" i="2"/>
  <c r="B9408" i="2"/>
  <c r="B9409" i="2"/>
  <c r="B9410" i="2"/>
  <c r="B9411" i="2"/>
  <c r="B9412" i="2"/>
  <c r="B9413" i="2"/>
  <c r="B9414" i="2"/>
  <c r="B9415" i="2"/>
  <c r="B9416" i="2"/>
  <c r="B9417" i="2"/>
  <c r="B9418" i="2"/>
  <c r="B9419" i="2"/>
  <c r="B9420" i="2"/>
  <c r="B9421" i="2"/>
  <c r="B9422" i="2"/>
  <c r="B9423" i="2"/>
  <c r="B9424" i="2"/>
  <c r="B9425" i="2"/>
  <c r="B9426" i="2"/>
  <c r="B9427" i="2"/>
  <c r="B9428" i="2"/>
  <c r="B9429" i="2"/>
  <c r="B9430" i="2"/>
  <c r="B9431" i="2"/>
  <c r="B9432" i="2"/>
  <c r="B9433" i="2"/>
  <c r="B9434" i="2"/>
  <c r="B9435" i="2"/>
  <c r="B9436" i="2"/>
  <c r="B9437" i="2"/>
  <c r="B9438" i="2"/>
  <c r="B9439" i="2"/>
  <c r="B9440" i="2"/>
  <c r="B9441" i="2"/>
  <c r="B9442" i="2"/>
  <c r="B9443" i="2"/>
  <c r="B9444" i="2"/>
  <c r="B9445" i="2"/>
  <c r="B9446" i="2"/>
  <c r="B9447" i="2"/>
  <c r="B9448" i="2"/>
  <c r="B9449" i="2"/>
  <c r="B9450" i="2"/>
  <c r="B9451" i="2"/>
  <c r="B9452" i="2"/>
  <c r="B9453" i="2"/>
  <c r="B9454" i="2"/>
  <c r="B9455" i="2"/>
  <c r="B9456" i="2"/>
  <c r="B9457" i="2"/>
  <c r="B9458" i="2"/>
  <c r="B9459" i="2"/>
  <c r="B9460" i="2"/>
  <c r="B9461" i="2"/>
  <c r="B9462" i="2"/>
  <c r="B9463" i="2"/>
  <c r="B9464" i="2"/>
  <c r="B9465" i="2"/>
  <c r="B9466" i="2"/>
  <c r="B9467" i="2"/>
  <c r="B9468" i="2"/>
  <c r="B9469" i="2"/>
  <c r="B9470" i="2"/>
  <c r="B9471" i="2"/>
  <c r="B9472" i="2"/>
  <c r="B9473" i="2"/>
  <c r="B9474" i="2"/>
  <c r="B9475" i="2"/>
  <c r="B9476" i="2"/>
  <c r="B9477" i="2"/>
  <c r="B9478" i="2"/>
  <c r="B9479" i="2"/>
  <c r="B9480" i="2"/>
  <c r="B9481" i="2"/>
  <c r="B9482" i="2"/>
  <c r="B9483" i="2"/>
  <c r="B9484" i="2"/>
  <c r="B9485" i="2"/>
  <c r="B9486" i="2"/>
  <c r="B9487" i="2"/>
  <c r="B9488" i="2"/>
  <c r="B9489" i="2"/>
  <c r="B9490" i="2"/>
  <c r="B9491" i="2"/>
  <c r="B9492" i="2"/>
  <c r="B9493" i="2"/>
  <c r="B9494" i="2"/>
  <c r="B9495" i="2"/>
  <c r="B9496" i="2"/>
  <c r="B9497" i="2"/>
  <c r="B9498" i="2"/>
  <c r="B9499" i="2"/>
  <c r="B9500" i="2"/>
  <c r="B9501" i="2"/>
  <c r="B9502" i="2"/>
  <c r="B9503" i="2"/>
  <c r="B9504" i="2"/>
  <c r="B9505" i="2"/>
  <c r="B9506" i="2"/>
  <c r="B9507" i="2"/>
  <c r="B9508" i="2"/>
  <c r="B9509" i="2"/>
  <c r="B9510" i="2"/>
  <c r="B9511" i="2"/>
  <c r="B9512" i="2"/>
  <c r="B9513" i="2"/>
  <c r="B9514" i="2"/>
  <c r="B9515" i="2"/>
  <c r="B9516" i="2"/>
  <c r="B9517" i="2"/>
  <c r="B9518" i="2"/>
  <c r="B9519" i="2"/>
  <c r="B9520" i="2"/>
  <c r="B9521" i="2"/>
  <c r="B9522" i="2"/>
  <c r="B9523" i="2"/>
  <c r="B9524" i="2"/>
  <c r="B9525" i="2"/>
  <c r="B9526" i="2"/>
  <c r="B9527" i="2"/>
  <c r="B9528" i="2"/>
  <c r="B9529" i="2"/>
  <c r="B9530" i="2"/>
  <c r="B9531" i="2"/>
  <c r="B9532" i="2"/>
  <c r="B9533" i="2"/>
  <c r="B9534" i="2"/>
  <c r="B9535" i="2"/>
  <c r="B9536" i="2"/>
  <c r="B9537" i="2"/>
  <c r="B9538" i="2"/>
  <c r="B9539" i="2"/>
  <c r="B9540" i="2"/>
  <c r="B9541" i="2"/>
  <c r="B9542" i="2"/>
  <c r="B9543" i="2"/>
  <c r="B9544" i="2"/>
  <c r="B9545" i="2"/>
  <c r="B9546" i="2"/>
  <c r="B9547" i="2"/>
  <c r="B9548" i="2"/>
  <c r="B9549" i="2"/>
  <c r="B9550" i="2"/>
  <c r="B9551" i="2"/>
  <c r="B9552" i="2"/>
  <c r="B9553" i="2"/>
  <c r="B9554" i="2"/>
  <c r="B9555" i="2"/>
  <c r="B9556" i="2"/>
  <c r="B9557" i="2"/>
  <c r="B9558" i="2"/>
  <c r="B9559" i="2"/>
  <c r="B9560" i="2"/>
  <c r="B9561" i="2"/>
  <c r="B9562" i="2"/>
  <c r="B9563" i="2"/>
  <c r="B9564" i="2"/>
  <c r="B9565" i="2"/>
  <c r="B9566" i="2"/>
  <c r="B9567" i="2"/>
  <c r="B9568" i="2"/>
  <c r="B9569" i="2"/>
  <c r="B9570" i="2"/>
  <c r="B9571" i="2"/>
  <c r="B9572" i="2"/>
  <c r="B9573" i="2"/>
  <c r="B9574" i="2"/>
  <c r="B9575" i="2"/>
  <c r="B9576" i="2"/>
  <c r="B9577" i="2"/>
  <c r="B9578" i="2"/>
  <c r="B9579" i="2"/>
  <c r="B9580" i="2"/>
  <c r="B9581" i="2"/>
  <c r="B9582" i="2"/>
  <c r="B9583" i="2"/>
  <c r="B9584" i="2"/>
  <c r="B9585" i="2"/>
  <c r="B9586" i="2"/>
  <c r="B9587" i="2"/>
  <c r="B9588" i="2"/>
  <c r="B9589" i="2"/>
  <c r="B9590" i="2"/>
  <c r="B9591" i="2"/>
  <c r="B9592" i="2"/>
  <c r="B9593" i="2"/>
  <c r="B9594" i="2"/>
  <c r="B9595" i="2"/>
  <c r="B9596" i="2"/>
  <c r="B9597" i="2"/>
  <c r="B9598" i="2"/>
  <c r="B9599" i="2"/>
  <c r="B9600" i="2"/>
  <c r="B9601" i="2"/>
  <c r="B9602" i="2"/>
  <c r="B9603" i="2"/>
  <c r="B9604" i="2"/>
  <c r="B9605" i="2"/>
  <c r="B9606" i="2"/>
  <c r="B9607" i="2"/>
  <c r="B9608" i="2"/>
  <c r="B9609" i="2"/>
  <c r="B9610" i="2"/>
  <c r="B9611" i="2"/>
  <c r="B9612" i="2"/>
  <c r="B9613" i="2"/>
  <c r="B9614" i="2"/>
  <c r="B9615" i="2"/>
  <c r="B9616" i="2"/>
  <c r="B9617" i="2"/>
  <c r="B9618" i="2"/>
  <c r="B9619" i="2"/>
  <c r="B9620" i="2"/>
  <c r="B9621" i="2"/>
  <c r="B9622" i="2"/>
  <c r="B9623" i="2"/>
  <c r="B9624" i="2"/>
  <c r="B9625" i="2"/>
  <c r="B9626" i="2"/>
  <c r="B9627" i="2"/>
  <c r="B9628" i="2"/>
  <c r="B9629" i="2"/>
  <c r="B9630" i="2"/>
  <c r="B9631" i="2"/>
  <c r="B9632" i="2"/>
  <c r="B9633" i="2"/>
  <c r="B9634" i="2"/>
  <c r="B9635" i="2"/>
  <c r="B9636" i="2"/>
  <c r="B9637" i="2"/>
  <c r="B9638" i="2"/>
  <c r="B9639" i="2"/>
  <c r="B9640" i="2"/>
  <c r="B9641" i="2"/>
  <c r="B9642" i="2"/>
  <c r="B9643" i="2"/>
  <c r="B9644" i="2"/>
  <c r="B9645" i="2"/>
  <c r="B9646" i="2"/>
  <c r="B9647" i="2"/>
  <c r="B9648" i="2"/>
  <c r="B9649" i="2"/>
  <c r="B9650" i="2"/>
  <c r="B9651" i="2"/>
  <c r="B9652" i="2"/>
  <c r="B9653" i="2"/>
  <c r="B9654" i="2"/>
  <c r="B9655" i="2"/>
  <c r="B9656" i="2"/>
  <c r="B9657" i="2"/>
  <c r="B9658" i="2"/>
  <c r="B9659" i="2"/>
  <c r="B9660" i="2"/>
  <c r="B9661" i="2"/>
  <c r="B9662" i="2"/>
  <c r="B9663" i="2"/>
  <c r="B9664" i="2"/>
  <c r="B9665" i="2"/>
  <c r="B9666" i="2"/>
  <c r="B9667" i="2"/>
  <c r="B9668" i="2"/>
  <c r="B9669" i="2"/>
  <c r="B9670" i="2"/>
  <c r="B9671" i="2"/>
  <c r="B9672" i="2"/>
  <c r="B9673" i="2"/>
  <c r="B9674" i="2"/>
  <c r="B9675" i="2"/>
  <c r="B9676" i="2"/>
  <c r="B9677" i="2"/>
  <c r="B9678" i="2"/>
  <c r="B9679" i="2"/>
  <c r="B9680" i="2"/>
  <c r="B9681" i="2"/>
  <c r="B9682" i="2"/>
  <c r="B9683" i="2"/>
  <c r="B9684" i="2"/>
  <c r="B9685" i="2"/>
  <c r="B9686" i="2"/>
  <c r="B9687" i="2"/>
  <c r="B9688" i="2"/>
  <c r="B9689" i="2"/>
  <c r="B9690" i="2"/>
  <c r="B9691" i="2"/>
  <c r="B9692" i="2"/>
  <c r="B9693" i="2"/>
  <c r="B9694" i="2"/>
  <c r="B9695" i="2"/>
  <c r="B9696" i="2"/>
  <c r="B9697" i="2"/>
  <c r="B9698" i="2"/>
  <c r="B9699" i="2"/>
  <c r="B9700" i="2"/>
  <c r="B9701" i="2"/>
  <c r="B9702" i="2"/>
  <c r="B9703" i="2"/>
  <c r="B9704" i="2"/>
  <c r="B9705" i="2"/>
  <c r="B9706" i="2"/>
  <c r="B9707" i="2"/>
  <c r="B9708" i="2"/>
  <c r="B9709" i="2"/>
  <c r="B9710" i="2"/>
  <c r="B9711" i="2"/>
  <c r="B9712" i="2"/>
  <c r="B9713" i="2"/>
  <c r="B9714" i="2"/>
  <c r="B9715" i="2"/>
  <c r="B9716" i="2"/>
  <c r="B9717" i="2"/>
  <c r="B9718" i="2"/>
  <c r="B9719" i="2"/>
  <c r="B9720" i="2"/>
  <c r="B9721" i="2"/>
  <c r="B9722" i="2"/>
  <c r="B9723" i="2"/>
  <c r="B9724" i="2"/>
  <c r="B9725" i="2"/>
  <c r="B9726" i="2"/>
  <c r="B9727" i="2"/>
  <c r="B9728" i="2"/>
  <c r="B9729" i="2"/>
  <c r="B9730" i="2"/>
  <c r="B9731" i="2"/>
  <c r="B9732" i="2"/>
  <c r="B9733" i="2"/>
  <c r="B9734" i="2"/>
  <c r="B9735" i="2"/>
  <c r="B9736" i="2"/>
  <c r="B9737" i="2"/>
  <c r="B9738" i="2"/>
  <c r="B9739" i="2"/>
  <c r="B9740" i="2"/>
  <c r="B9741" i="2"/>
  <c r="B9742" i="2"/>
  <c r="B9743" i="2"/>
  <c r="B9744" i="2"/>
  <c r="B9745" i="2"/>
  <c r="B9746" i="2"/>
  <c r="B9747" i="2"/>
  <c r="B9748" i="2"/>
  <c r="B9749" i="2"/>
  <c r="B9750" i="2"/>
  <c r="B9751" i="2"/>
  <c r="B9752" i="2"/>
  <c r="B9753" i="2"/>
  <c r="B9754" i="2"/>
  <c r="B9755" i="2"/>
  <c r="B9756" i="2"/>
  <c r="B9757" i="2"/>
  <c r="B9758" i="2"/>
  <c r="B9759" i="2"/>
  <c r="B9760" i="2"/>
  <c r="B9761" i="2"/>
  <c r="B9762" i="2"/>
  <c r="B9763" i="2"/>
  <c r="B9764" i="2"/>
  <c r="B9765" i="2"/>
  <c r="B9766" i="2"/>
  <c r="B9767" i="2"/>
  <c r="B9768" i="2"/>
  <c r="B9769" i="2"/>
  <c r="B9770" i="2"/>
  <c r="B9771" i="2"/>
  <c r="B9772" i="2"/>
  <c r="B9773" i="2"/>
  <c r="B9774" i="2"/>
  <c r="B9775" i="2"/>
  <c r="B9776" i="2"/>
  <c r="B9777" i="2"/>
  <c r="B9778" i="2"/>
  <c r="B9779" i="2"/>
  <c r="B9780" i="2"/>
  <c r="B9781" i="2"/>
  <c r="B9782" i="2"/>
  <c r="B9783" i="2"/>
  <c r="B9784" i="2"/>
  <c r="B9785" i="2"/>
  <c r="B9786" i="2"/>
  <c r="B9787" i="2"/>
  <c r="B9788" i="2"/>
  <c r="B9789" i="2"/>
  <c r="B9790" i="2"/>
  <c r="B9791" i="2"/>
  <c r="B9792" i="2"/>
  <c r="B9793" i="2"/>
  <c r="B9794" i="2"/>
  <c r="B9795" i="2"/>
  <c r="B9796" i="2"/>
  <c r="B9797" i="2"/>
  <c r="B9798" i="2"/>
  <c r="B9799" i="2"/>
  <c r="B9800" i="2"/>
  <c r="B9801" i="2"/>
  <c r="B9802" i="2"/>
  <c r="B9803" i="2"/>
  <c r="B9804" i="2"/>
  <c r="B9805" i="2"/>
  <c r="B9806" i="2"/>
  <c r="B9807" i="2"/>
  <c r="B9808" i="2"/>
  <c r="B9809" i="2"/>
  <c r="B9810" i="2"/>
  <c r="B9811" i="2"/>
  <c r="B9812" i="2"/>
  <c r="B9813" i="2"/>
  <c r="B9814" i="2"/>
  <c r="B9815" i="2"/>
  <c r="B9816" i="2"/>
  <c r="B9817" i="2"/>
  <c r="B9818" i="2"/>
  <c r="B9819" i="2"/>
  <c r="B9820" i="2"/>
  <c r="B9821" i="2"/>
  <c r="B9822" i="2"/>
  <c r="B9823" i="2"/>
  <c r="B9824" i="2"/>
  <c r="B9825" i="2"/>
  <c r="B9826" i="2"/>
  <c r="B9827" i="2"/>
  <c r="B9828" i="2"/>
  <c r="B9829" i="2"/>
  <c r="B9830" i="2"/>
  <c r="B9831" i="2"/>
  <c r="B9832" i="2"/>
  <c r="B9833" i="2"/>
  <c r="B9834" i="2"/>
  <c r="B9835" i="2"/>
  <c r="B9836" i="2"/>
  <c r="B9837" i="2"/>
  <c r="B9838" i="2"/>
  <c r="B9839" i="2"/>
  <c r="B9840" i="2"/>
  <c r="B9841" i="2"/>
  <c r="B9842" i="2"/>
  <c r="B9843" i="2"/>
  <c r="B9844" i="2"/>
  <c r="B9845" i="2"/>
  <c r="B9846" i="2"/>
  <c r="B9847" i="2"/>
  <c r="B9848" i="2"/>
  <c r="B9849" i="2"/>
  <c r="B9850" i="2"/>
  <c r="B9851" i="2"/>
  <c r="B9852" i="2"/>
  <c r="B9853" i="2"/>
  <c r="B9854" i="2"/>
  <c r="B9855" i="2"/>
  <c r="B9856" i="2"/>
  <c r="B9857" i="2"/>
  <c r="B9858" i="2"/>
  <c r="B9859" i="2"/>
  <c r="B9860" i="2"/>
  <c r="B9861" i="2"/>
  <c r="B9862" i="2"/>
  <c r="B9863" i="2"/>
  <c r="B9864" i="2"/>
  <c r="B9865" i="2"/>
  <c r="B9866" i="2"/>
  <c r="B9867" i="2"/>
  <c r="B9868" i="2"/>
  <c r="B9869" i="2"/>
  <c r="B9870" i="2"/>
  <c r="B9871" i="2"/>
  <c r="B9872" i="2"/>
  <c r="B9873" i="2"/>
  <c r="B9874" i="2"/>
  <c r="B9875" i="2"/>
  <c r="B9876" i="2"/>
  <c r="B9877" i="2"/>
  <c r="B9878" i="2"/>
  <c r="B9879" i="2"/>
  <c r="B9880" i="2"/>
  <c r="B9881" i="2"/>
  <c r="B9882" i="2"/>
  <c r="B9883" i="2"/>
  <c r="B9884" i="2"/>
  <c r="B9885" i="2"/>
  <c r="B9886" i="2"/>
  <c r="B9887" i="2"/>
  <c r="B9888" i="2"/>
  <c r="B9889" i="2"/>
  <c r="B9890" i="2"/>
  <c r="B9891" i="2"/>
  <c r="B9892" i="2"/>
  <c r="B9893" i="2"/>
  <c r="B9894" i="2"/>
  <c r="B9895" i="2"/>
  <c r="B9896" i="2"/>
  <c r="B9897" i="2"/>
  <c r="B9898" i="2"/>
  <c r="B9899" i="2"/>
  <c r="B9900" i="2"/>
  <c r="B9901" i="2"/>
  <c r="B9902" i="2"/>
  <c r="B9903" i="2"/>
  <c r="B9904" i="2"/>
  <c r="B9905" i="2"/>
  <c r="B9906" i="2"/>
  <c r="B9907" i="2"/>
  <c r="B9908" i="2"/>
  <c r="B9909" i="2"/>
  <c r="B9910" i="2"/>
  <c r="B9911" i="2"/>
  <c r="B9912" i="2"/>
  <c r="B9913" i="2"/>
  <c r="B9914" i="2"/>
  <c r="B9915" i="2"/>
  <c r="B9916" i="2"/>
  <c r="B9917" i="2"/>
  <c r="B9918" i="2"/>
  <c r="B9919" i="2"/>
  <c r="B9920" i="2"/>
  <c r="B9921" i="2"/>
  <c r="B9922" i="2"/>
  <c r="B9923" i="2"/>
  <c r="B9924" i="2"/>
  <c r="B9925" i="2"/>
  <c r="B9926" i="2"/>
  <c r="B9927" i="2"/>
  <c r="B9928" i="2"/>
  <c r="B9929" i="2"/>
  <c r="B9930" i="2"/>
  <c r="B9931" i="2"/>
  <c r="B9932" i="2"/>
  <c r="B9933" i="2"/>
  <c r="B9934" i="2"/>
  <c r="B9935" i="2"/>
  <c r="B9936" i="2"/>
  <c r="B9937" i="2"/>
  <c r="B9938" i="2"/>
  <c r="B9939" i="2"/>
  <c r="B9940" i="2"/>
  <c r="B9941" i="2"/>
  <c r="B9942" i="2"/>
  <c r="B9943" i="2"/>
  <c r="B9944" i="2"/>
  <c r="B9945" i="2"/>
  <c r="B9946" i="2"/>
  <c r="B9947" i="2"/>
  <c r="B9948" i="2"/>
  <c r="B9949" i="2"/>
  <c r="B9950" i="2"/>
  <c r="B9951" i="2"/>
  <c r="B9952" i="2"/>
  <c r="B9953" i="2"/>
  <c r="B9954" i="2"/>
  <c r="B9955" i="2"/>
  <c r="B9956" i="2"/>
  <c r="B9957" i="2"/>
  <c r="B9958" i="2"/>
  <c r="B9959" i="2"/>
  <c r="B9960" i="2"/>
  <c r="B9961" i="2"/>
  <c r="B9962" i="2"/>
  <c r="B9963" i="2"/>
  <c r="B9964" i="2"/>
  <c r="B9965" i="2"/>
  <c r="B9966" i="2"/>
  <c r="B9967" i="2"/>
  <c r="B9968" i="2"/>
  <c r="B9969" i="2"/>
  <c r="B9970" i="2"/>
  <c r="B9971" i="2"/>
  <c r="B9972" i="2"/>
  <c r="B9973" i="2"/>
  <c r="B9974" i="2"/>
  <c r="B9975" i="2"/>
  <c r="B9976" i="2"/>
  <c r="B9977" i="2"/>
  <c r="B9978" i="2"/>
  <c r="B9979" i="2"/>
  <c r="B9980" i="2"/>
  <c r="B9981" i="2"/>
  <c r="B9982" i="2"/>
  <c r="B9983" i="2"/>
  <c r="B9984" i="2"/>
  <c r="B9985" i="2"/>
  <c r="B9986" i="2"/>
  <c r="B9987" i="2"/>
  <c r="B9988" i="2"/>
  <c r="B9989" i="2"/>
  <c r="B9990" i="2"/>
  <c r="B9991" i="2"/>
  <c r="B9992" i="2"/>
  <c r="B9993" i="2"/>
  <c r="B9994" i="2"/>
  <c r="B9995" i="2"/>
  <c r="B9996" i="2"/>
  <c r="B9997" i="2"/>
  <c r="B9998" i="2"/>
  <c r="B9999" i="2"/>
  <c r="B10000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A6004" i="2"/>
  <c r="A6005" i="2"/>
  <c r="A6006" i="2"/>
  <c r="A6007" i="2"/>
  <c r="A6008" i="2"/>
  <c r="A6009" i="2"/>
  <c r="A6010" i="2"/>
  <c r="A6011" i="2"/>
  <c r="A6012" i="2"/>
  <c r="A6013" i="2"/>
  <c r="A6014" i="2"/>
  <c r="A6015" i="2"/>
  <c r="A6016" i="2"/>
  <c r="A6017" i="2"/>
  <c r="A6018" i="2"/>
  <c r="A6019" i="2"/>
  <c r="A6020" i="2"/>
  <c r="A6021" i="2"/>
  <c r="A6022" i="2"/>
  <c r="A6023" i="2"/>
  <c r="A6024" i="2"/>
  <c r="A6025" i="2"/>
  <c r="A6026" i="2"/>
  <c r="A6027" i="2"/>
  <c r="A6028" i="2"/>
  <c r="A6029" i="2"/>
  <c r="A6030" i="2"/>
  <c r="A6031" i="2"/>
  <c r="A6032" i="2"/>
  <c r="A6033" i="2"/>
  <c r="A6034" i="2"/>
  <c r="A6035" i="2"/>
  <c r="A6036" i="2"/>
  <c r="A6037" i="2"/>
  <c r="A6038" i="2"/>
  <c r="A6039" i="2"/>
  <c r="A6040" i="2"/>
  <c r="A6041" i="2"/>
  <c r="A6042" i="2"/>
  <c r="A6043" i="2"/>
  <c r="A6044" i="2"/>
  <c r="A6045" i="2"/>
  <c r="A6046" i="2"/>
  <c r="A6047" i="2"/>
  <c r="A6048" i="2"/>
  <c r="A6049" i="2"/>
  <c r="A6050" i="2"/>
  <c r="A6051" i="2"/>
  <c r="A6052" i="2"/>
  <c r="A6053" i="2"/>
  <c r="A6054" i="2"/>
  <c r="A6055" i="2"/>
  <c r="A6056" i="2"/>
  <c r="A6057" i="2"/>
  <c r="A6058" i="2"/>
  <c r="A6059" i="2"/>
  <c r="A6060" i="2"/>
  <c r="A6061" i="2"/>
  <c r="A6062" i="2"/>
  <c r="A6063" i="2"/>
  <c r="A6064" i="2"/>
  <c r="A6065" i="2"/>
  <c r="A6066" i="2"/>
  <c r="A6067" i="2"/>
  <c r="A6068" i="2"/>
  <c r="A6069" i="2"/>
  <c r="A6070" i="2"/>
  <c r="A6071" i="2"/>
  <c r="A6072" i="2"/>
  <c r="A6073" i="2"/>
  <c r="A6074" i="2"/>
  <c r="A6075" i="2"/>
  <c r="A6076" i="2"/>
  <c r="A6077" i="2"/>
  <c r="A6078" i="2"/>
  <c r="A6079" i="2"/>
  <c r="A6080" i="2"/>
  <c r="A6081" i="2"/>
  <c r="A6082" i="2"/>
  <c r="A6083" i="2"/>
  <c r="A6084" i="2"/>
  <c r="A6085" i="2"/>
  <c r="A6086" i="2"/>
  <c r="A6087" i="2"/>
  <c r="A6088" i="2"/>
  <c r="A6089" i="2"/>
  <c r="A6090" i="2"/>
  <c r="A6091" i="2"/>
  <c r="A6092" i="2"/>
  <c r="A6093" i="2"/>
  <c r="A6094" i="2"/>
  <c r="A6095" i="2"/>
  <c r="A6096" i="2"/>
  <c r="A6097" i="2"/>
  <c r="A6098" i="2"/>
  <c r="A6099" i="2"/>
  <c r="A6100" i="2"/>
  <c r="A6101" i="2"/>
  <c r="A6102" i="2"/>
  <c r="A6103" i="2"/>
  <c r="A6104" i="2"/>
  <c r="A6105" i="2"/>
  <c r="A6106" i="2"/>
  <c r="A6107" i="2"/>
  <c r="A6108" i="2"/>
  <c r="A6109" i="2"/>
  <c r="A6110" i="2"/>
  <c r="A6111" i="2"/>
  <c r="A6112" i="2"/>
  <c r="A6113" i="2"/>
  <c r="A6114" i="2"/>
  <c r="A6115" i="2"/>
  <c r="A6116" i="2"/>
  <c r="A6117" i="2"/>
  <c r="A6118" i="2"/>
  <c r="A6119" i="2"/>
  <c r="A6120" i="2"/>
  <c r="A6121" i="2"/>
  <c r="A6122" i="2"/>
  <c r="A6123" i="2"/>
  <c r="A6124" i="2"/>
  <c r="A6125" i="2"/>
  <c r="A6126" i="2"/>
  <c r="A6127" i="2"/>
  <c r="A6128" i="2"/>
  <c r="A6129" i="2"/>
  <c r="A6130" i="2"/>
  <c r="A6131" i="2"/>
  <c r="A6132" i="2"/>
  <c r="A6133" i="2"/>
  <c r="A6134" i="2"/>
  <c r="A6135" i="2"/>
  <c r="A6136" i="2"/>
  <c r="A6137" i="2"/>
  <c r="A6138" i="2"/>
  <c r="A6139" i="2"/>
  <c r="A6140" i="2"/>
  <c r="A6141" i="2"/>
  <c r="A6142" i="2"/>
  <c r="A6143" i="2"/>
  <c r="A6144" i="2"/>
  <c r="A6145" i="2"/>
  <c r="A6146" i="2"/>
  <c r="A6147" i="2"/>
  <c r="A6148" i="2"/>
  <c r="A6149" i="2"/>
  <c r="A6150" i="2"/>
  <c r="A6151" i="2"/>
  <c r="A6152" i="2"/>
  <c r="A6153" i="2"/>
  <c r="A6154" i="2"/>
  <c r="A6155" i="2"/>
  <c r="A6156" i="2"/>
  <c r="A6157" i="2"/>
  <c r="A6158" i="2"/>
  <c r="A6159" i="2"/>
  <c r="A6160" i="2"/>
  <c r="A6161" i="2"/>
  <c r="A6162" i="2"/>
  <c r="A6163" i="2"/>
  <c r="A6164" i="2"/>
  <c r="A6165" i="2"/>
  <c r="A6166" i="2"/>
  <c r="A6167" i="2"/>
  <c r="A6168" i="2"/>
  <c r="A6169" i="2"/>
  <c r="A6170" i="2"/>
  <c r="A6171" i="2"/>
  <c r="A6172" i="2"/>
  <c r="A6173" i="2"/>
  <c r="A6174" i="2"/>
  <c r="A6175" i="2"/>
  <c r="A6176" i="2"/>
  <c r="A6177" i="2"/>
  <c r="A6178" i="2"/>
  <c r="A6179" i="2"/>
  <c r="A6180" i="2"/>
  <c r="A6181" i="2"/>
  <c r="A6182" i="2"/>
  <c r="A6183" i="2"/>
  <c r="A6184" i="2"/>
  <c r="A6185" i="2"/>
  <c r="A6186" i="2"/>
  <c r="A6187" i="2"/>
  <c r="A6188" i="2"/>
  <c r="A6189" i="2"/>
  <c r="A6190" i="2"/>
  <c r="A6191" i="2"/>
  <c r="A6192" i="2"/>
  <c r="A6193" i="2"/>
  <c r="A6194" i="2"/>
  <c r="A6195" i="2"/>
  <c r="A6196" i="2"/>
  <c r="A6197" i="2"/>
  <c r="A6198" i="2"/>
  <c r="A6199" i="2"/>
  <c r="A6200" i="2"/>
  <c r="A6201" i="2"/>
  <c r="A6202" i="2"/>
  <c r="A6203" i="2"/>
  <c r="A6204" i="2"/>
  <c r="A6205" i="2"/>
  <c r="A6206" i="2"/>
  <c r="A6207" i="2"/>
  <c r="A6208" i="2"/>
  <c r="A6209" i="2"/>
  <c r="A6210" i="2"/>
  <c r="A6211" i="2"/>
  <c r="A6212" i="2"/>
  <c r="A6213" i="2"/>
  <c r="A6214" i="2"/>
  <c r="A6215" i="2"/>
  <c r="A6216" i="2"/>
  <c r="A6217" i="2"/>
  <c r="A6218" i="2"/>
  <c r="A6219" i="2"/>
  <c r="A6220" i="2"/>
  <c r="A6221" i="2"/>
  <c r="A6222" i="2"/>
  <c r="A6223" i="2"/>
  <c r="A6224" i="2"/>
  <c r="A6225" i="2"/>
  <c r="A6226" i="2"/>
  <c r="A6227" i="2"/>
  <c r="A6228" i="2"/>
  <c r="A6229" i="2"/>
  <c r="A6230" i="2"/>
  <c r="A6231" i="2"/>
  <c r="A6232" i="2"/>
  <c r="A6233" i="2"/>
  <c r="A6234" i="2"/>
  <c r="A6235" i="2"/>
  <c r="A6236" i="2"/>
  <c r="A6237" i="2"/>
  <c r="A6238" i="2"/>
  <c r="A6239" i="2"/>
  <c r="A6240" i="2"/>
  <c r="A6241" i="2"/>
  <c r="A6242" i="2"/>
  <c r="A6243" i="2"/>
  <c r="A6244" i="2"/>
  <c r="A6245" i="2"/>
  <c r="A6246" i="2"/>
  <c r="A6247" i="2"/>
  <c r="A6248" i="2"/>
  <c r="A6249" i="2"/>
  <c r="A6250" i="2"/>
  <c r="A6251" i="2"/>
  <c r="A6252" i="2"/>
  <c r="A6253" i="2"/>
  <c r="A6254" i="2"/>
  <c r="A6255" i="2"/>
  <c r="A6256" i="2"/>
  <c r="A6257" i="2"/>
  <c r="A6258" i="2"/>
  <c r="A6259" i="2"/>
  <c r="A6260" i="2"/>
  <c r="A6261" i="2"/>
  <c r="A6262" i="2"/>
  <c r="A6263" i="2"/>
  <c r="A6264" i="2"/>
  <c r="A6265" i="2"/>
  <c r="A6266" i="2"/>
  <c r="A6267" i="2"/>
  <c r="A6268" i="2"/>
  <c r="A6269" i="2"/>
  <c r="A6270" i="2"/>
  <c r="A6271" i="2"/>
  <c r="A6272" i="2"/>
  <c r="A6273" i="2"/>
  <c r="A6274" i="2"/>
  <c r="A6275" i="2"/>
  <c r="A6276" i="2"/>
  <c r="A6277" i="2"/>
  <c r="A6278" i="2"/>
  <c r="A6279" i="2"/>
  <c r="A6280" i="2"/>
  <c r="A6281" i="2"/>
  <c r="A6282" i="2"/>
  <c r="A6283" i="2"/>
  <c r="A6284" i="2"/>
  <c r="A6285" i="2"/>
  <c r="A6286" i="2"/>
  <c r="A6287" i="2"/>
  <c r="A6288" i="2"/>
  <c r="A6289" i="2"/>
  <c r="A6290" i="2"/>
  <c r="A6291" i="2"/>
  <c r="A6292" i="2"/>
  <c r="A6293" i="2"/>
  <c r="A6294" i="2"/>
  <c r="A6295" i="2"/>
  <c r="A6296" i="2"/>
  <c r="A6297" i="2"/>
  <c r="A6298" i="2"/>
  <c r="A6299" i="2"/>
  <c r="A6300" i="2"/>
  <c r="A6301" i="2"/>
  <c r="A6302" i="2"/>
  <c r="A6303" i="2"/>
  <c r="A6304" i="2"/>
  <c r="A6305" i="2"/>
  <c r="A6306" i="2"/>
  <c r="A6307" i="2"/>
  <c r="A6308" i="2"/>
  <c r="A6309" i="2"/>
  <c r="A6310" i="2"/>
  <c r="A6311" i="2"/>
  <c r="A6312" i="2"/>
  <c r="A6313" i="2"/>
  <c r="A6314" i="2"/>
  <c r="A6315" i="2"/>
  <c r="A6316" i="2"/>
  <c r="A6317" i="2"/>
  <c r="A6318" i="2"/>
  <c r="A6319" i="2"/>
  <c r="A6320" i="2"/>
  <c r="A6321" i="2"/>
  <c r="A6322" i="2"/>
  <c r="A6323" i="2"/>
  <c r="A6324" i="2"/>
  <c r="A6325" i="2"/>
  <c r="A6326" i="2"/>
  <c r="A6327" i="2"/>
  <c r="A6328" i="2"/>
  <c r="A6329" i="2"/>
  <c r="A6330" i="2"/>
  <c r="A6331" i="2"/>
  <c r="A6332" i="2"/>
  <c r="A6333" i="2"/>
  <c r="A6334" i="2"/>
  <c r="A6335" i="2"/>
  <c r="A6336" i="2"/>
  <c r="A6337" i="2"/>
  <c r="A6338" i="2"/>
  <c r="A6339" i="2"/>
  <c r="A6340" i="2"/>
  <c r="A6341" i="2"/>
  <c r="A6342" i="2"/>
  <c r="A6343" i="2"/>
  <c r="A6344" i="2"/>
  <c r="A6345" i="2"/>
  <c r="A6346" i="2"/>
  <c r="A6347" i="2"/>
  <c r="A6348" i="2"/>
  <c r="A6349" i="2"/>
  <c r="A6350" i="2"/>
  <c r="A6351" i="2"/>
  <c r="A6352" i="2"/>
  <c r="A6353" i="2"/>
  <c r="A6354" i="2"/>
  <c r="A6355" i="2"/>
  <c r="A6356" i="2"/>
  <c r="A6357" i="2"/>
  <c r="A6358" i="2"/>
  <c r="A6359" i="2"/>
  <c r="A6360" i="2"/>
  <c r="A6361" i="2"/>
  <c r="A6362" i="2"/>
  <c r="A6363" i="2"/>
  <c r="A6364" i="2"/>
  <c r="A6365" i="2"/>
  <c r="A6366" i="2"/>
  <c r="A6367" i="2"/>
  <c r="A6368" i="2"/>
  <c r="A6369" i="2"/>
  <c r="A6370" i="2"/>
  <c r="A6371" i="2"/>
  <c r="A6372" i="2"/>
  <c r="A6373" i="2"/>
  <c r="A6374" i="2"/>
  <c r="A6375" i="2"/>
  <c r="A6376" i="2"/>
  <c r="A6377" i="2"/>
  <c r="A6378" i="2"/>
  <c r="A6379" i="2"/>
  <c r="A6380" i="2"/>
  <c r="A6381" i="2"/>
  <c r="A6382" i="2"/>
  <c r="A6383" i="2"/>
  <c r="A6384" i="2"/>
  <c r="A6385" i="2"/>
  <c r="A6386" i="2"/>
  <c r="A6387" i="2"/>
  <c r="A6388" i="2"/>
  <c r="A6389" i="2"/>
  <c r="A6390" i="2"/>
  <c r="A6391" i="2"/>
  <c r="A6392" i="2"/>
  <c r="A6393" i="2"/>
  <c r="A6394" i="2"/>
  <c r="A6395" i="2"/>
  <c r="A6396" i="2"/>
  <c r="A6397" i="2"/>
  <c r="A6398" i="2"/>
  <c r="A6399" i="2"/>
  <c r="A6400" i="2"/>
  <c r="A6401" i="2"/>
  <c r="A6402" i="2"/>
  <c r="A6403" i="2"/>
  <c r="A6404" i="2"/>
  <c r="A6405" i="2"/>
  <c r="A6406" i="2"/>
  <c r="A6407" i="2"/>
  <c r="A6408" i="2"/>
  <c r="A6409" i="2"/>
  <c r="A6410" i="2"/>
  <c r="A6411" i="2"/>
  <c r="A6412" i="2"/>
  <c r="A6413" i="2"/>
  <c r="A6414" i="2"/>
  <c r="A6415" i="2"/>
  <c r="A6416" i="2"/>
  <c r="A6417" i="2"/>
  <c r="A6418" i="2"/>
  <c r="A6419" i="2"/>
  <c r="A6420" i="2"/>
  <c r="A6421" i="2"/>
  <c r="A6422" i="2"/>
  <c r="A6423" i="2"/>
  <c r="A6424" i="2"/>
  <c r="A6425" i="2"/>
  <c r="A6426" i="2"/>
  <c r="A6427" i="2"/>
  <c r="A6428" i="2"/>
  <c r="A6429" i="2"/>
  <c r="A6430" i="2"/>
  <c r="A6431" i="2"/>
  <c r="A6432" i="2"/>
  <c r="A6433" i="2"/>
  <c r="A6434" i="2"/>
  <c r="A6435" i="2"/>
  <c r="A6436" i="2"/>
  <c r="A6437" i="2"/>
  <c r="A6438" i="2"/>
  <c r="A6439" i="2"/>
  <c r="A6440" i="2"/>
  <c r="A6441" i="2"/>
  <c r="A6442" i="2"/>
  <c r="A6443" i="2"/>
  <c r="A6444" i="2"/>
  <c r="A6445" i="2"/>
  <c r="A6446" i="2"/>
  <c r="A6447" i="2"/>
  <c r="A6448" i="2"/>
  <c r="A6449" i="2"/>
  <c r="A6450" i="2"/>
  <c r="A6451" i="2"/>
  <c r="A6452" i="2"/>
  <c r="A6453" i="2"/>
  <c r="A6454" i="2"/>
  <c r="A6455" i="2"/>
  <c r="A6456" i="2"/>
  <c r="A6457" i="2"/>
  <c r="A6458" i="2"/>
  <c r="A6459" i="2"/>
  <c r="A6460" i="2"/>
  <c r="A6461" i="2"/>
  <c r="A6462" i="2"/>
  <c r="A6463" i="2"/>
  <c r="A6464" i="2"/>
  <c r="A6465" i="2"/>
  <c r="A6466" i="2"/>
  <c r="A6467" i="2"/>
  <c r="A6468" i="2"/>
  <c r="A6469" i="2"/>
  <c r="A6470" i="2"/>
  <c r="A6471" i="2"/>
  <c r="A6472" i="2"/>
  <c r="A6473" i="2"/>
  <c r="A6474" i="2"/>
  <c r="A6475" i="2"/>
  <c r="A6476" i="2"/>
  <c r="A6477" i="2"/>
  <c r="A6478" i="2"/>
  <c r="A6479" i="2"/>
  <c r="A6480" i="2"/>
  <c r="A6481" i="2"/>
  <c r="A6482" i="2"/>
  <c r="A6483" i="2"/>
  <c r="A6484" i="2"/>
  <c r="A6485" i="2"/>
  <c r="A6486" i="2"/>
  <c r="A6487" i="2"/>
  <c r="A6488" i="2"/>
  <c r="A6489" i="2"/>
  <c r="A6490" i="2"/>
  <c r="A6491" i="2"/>
  <c r="A6492" i="2"/>
  <c r="A6493" i="2"/>
  <c r="A6494" i="2"/>
  <c r="A6495" i="2"/>
  <c r="A6496" i="2"/>
  <c r="A6497" i="2"/>
  <c r="A6498" i="2"/>
  <c r="A6499" i="2"/>
  <c r="A6500" i="2"/>
  <c r="A6501" i="2"/>
  <c r="A6502" i="2"/>
  <c r="A6503" i="2"/>
  <c r="A6504" i="2"/>
  <c r="A6505" i="2"/>
  <c r="A6506" i="2"/>
  <c r="A6507" i="2"/>
  <c r="A6508" i="2"/>
  <c r="A6509" i="2"/>
  <c r="A6510" i="2"/>
  <c r="A6511" i="2"/>
  <c r="A6512" i="2"/>
  <c r="A6513" i="2"/>
  <c r="A6514" i="2"/>
  <c r="A6515" i="2"/>
  <c r="A6516" i="2"/>
  <c r="A6517" i="2"/>
  <c r="A6518" i="2"/>
  <c r="A6519" i="2"/>
  <c r="A6520" i="2"/>
  <c r="A6521" i="2"/>
  <c r="A6522" i="2"/>
  <c r="A6523" i="2"/>
  <c r="A6524" i="2"/>
  <c r="A6525" i="2"/>
  <c r="A6526" i="2"/>
  <c r="A6527" i="2"/>
  <c r="A6528" i="2"/>
  <c r="A6529" i="2"/>
  <c r="A6530" i="2"/>
  <c r="A6531" i="2"/>
  <c r="A6532" i="2"/>
  <c r="A6533" i="2"/>
  <c r="A6534" i="2"/>
  <c r="A6535" i="2"/>
  <c r="A6536" i="2"/>
  <c r="A6537" i="2"/>
  <c r="A6538" i="2"/>
  <c r="A6539" i="2"/>
  <c r="A6540" i="2"/>
  <c r="A6541" i="2"/>
  <c r="A6542" i="2"/>
  <c r="A6543" i="2"/>
  <c r="A6544" i="2"/>
  <c r="A6545" i="2"/>
  <c r="A6546" i="2"/>
  <c r="A6547" i="2"/>
  <c r="A6548" i="2"/>
  <c r="A6549" i="2"/>
  <c r="A6550" i="2"/>
  <c r="A6551" i="2"/>
  <c r="A6552" i="2"/>
  <c r="A6553" i="2"/>
  <c r="A6554" i="2"/>
  <c r="A6555" i="2"/>
  <c r="A6556" i="2"/>
  <c r="A6557" i="2"/>
  <c r="A6558" i="2"/>
  <c r="A6559" i="2"/>
  <c r="A6560" i="2"/>
  <c r="A6561" i="2"/>
  <c r="A6562" i="2"/>
  <c r="A6563" i="2"/>
  <c r="A6564" i="2"/>
  <c r="A6565" i="2"/>
  <c r="A6566" i="2"/>
  <c r="A6567" i="2"/>
  <c r="A6568" i="2"/>
  <c r="A6569" i="2"/>
  <c r="A6570" i="2"/>
  <c r="A6571" i="2"/>
  <c r="A6572" i="2"/>
  <c r="A6573" i="2"/>
  <c r="A6574" i="2"/>
  <c r="A6575" i="2"/>
  <c r="A6576" i="2"/>
  <c r="A6577" i="2"/>
  <c r="A6578" i="2"/>
  <c r="A6579" i="2"/>
  <c r="A6580" i="2"/>
  <c r="A6581" i="2"/>
  <c r="A6582" i="2"/>
  <c r="A6583" i="2"/>
  <c r="A6584" i="2"/>
  <c r="A6585" i="2"/>
  <c r="A6586" i="2"/>
  <c r="A6587" i="2"/>
  <c r="A6588" i="2"/>
  <c r="A6589" i="2"/>
  <c r="A6590" i="2"/>
  <c r="A6591" i="2"/>
  <c r="A6592" i="2"/>
  <c r="A6593" i="2"/>
  <c r="A6594" i="2"/>
  <c r="A6595" i="2"/>
  <c r="A6596" i="2"/>
  <c r="A6597" i="2"/>
  <c r="A6598" i="2"/>
  <c r="A6599" i="2"/>
  <c r="A6600" i="2"/>
  <c r="A6601" i="2"/>
  <c r="A6602" i="2"/>
  <c r="A6603" i="2"/>
  <c r="A6604" i="2"/>
  <c r="A6605" i="2"/>
  <c r="A6606" i="2"/>
  <c r="A6607" i="2"/>
  <c r="A6608" i="2"/>
  <c r="A6609" i="2"/>
  <c r="A6610" i="2"/>
  <c r="A6611" i="2"/>
  <c r="A6612" i="2"/>
  <c r="A6613" i="2"/>
  <c r="A6614" i="2"/>
  <c r="A6615" i="2"/>
  <c r="A6616" i="2"/>
  <c r="A6617" i="2"/>
  <c r="A6618" i="2"/>
  <c r="A6619" i="2"/>
  <c r="A6620" i="2"/>
  <c r="A6621" i="2"/>
  <c r="A6622" i="2"/>
  <c r="A6623" i="2"/>
  <c r="A6624" i="2"/>
  <c r="A6625" i="2"/>
  <c r="A6626" i="2"/>
  <c r="A6627" i="2"/>
  <c r="A6628" i="2"/>
  <c r="A6629" i="2"/>
  <c r="A6630" i="2"/>
  <c r="A6631" i="2"/>
  <c r="A6632" i="2"/>
  <c r="A6633" i="2"/>
  <c r="A6634" i="2"/>
  <c r="A6635" i="2"/>
  <c r="A6636" i="2"/>
  <c r="A6637" i="2"/>
  <c r="A6638" i="2"/>
  <c r="A6639" i="2"/>
  <c r="A6640" i="2"/>
  <c r="A6641" i="2"/>
  <c r="A6642" i="2"/>
  <c r="A6643" i="2"/>
  <c r="A6644" i="2"/>
  <c r="A6645" i="2"/>
  <c r="A6646" i="2"/>
  <c r="A6647" i="2"/>
  <c r="A6648" i="2"/>
  <c r="A6649" i="2"/>
  <c r="A6650" i="2"/>
  <c r="A6651" i="2"/>
  <c r="A6652" i="2"/>
  <c r="A6653" i="2"/>
  <c r="A6654" i="2"/>
  <c r="A6655" i="2"/>
  <c r="A6656" i="2"/>
  <c r="A6657" i="2"/>
  <c r="A6658" i="2"/>
  <c r="A6659" i="2"/>
  <c r="A6660" i="2"/>
  <c r="A6661" i="2"/>
  <c r="A6662" i="2"/>
  <c r="A6663" i="2"/>
  <c r="A6664" i="2"/>
  <c r="A6665" i="2"/>
  <c r="A6666" i="2"/>
  <c r="A6667" i="2"/>
  <c r="A6668" i="2"/>
  <c r="A6669" i="2"/>
  <c r="A6670" i="2"/>
  <c r="A6671" i="2"/>
  <c r="A6672" i="2"/>
  <c r="A6673" i="2"/>
  <c r="A6674" i="2"/>
  <c r="A6675" i="2"/>
  <c r="A6676" i="2"/>
  <c r="A6677" i="2"/>
  <c r="A6678" i="2"/>
  <c r="A6679" i="2"/>
  <c r="A6680" i="2"/>
  <c r="A6681" i="2"/>
  <c r="A6682" i="2"/>
  <c r="A6683" i="2"/>
  <c r="A6684" i="2"/>
  <c r="A6685" i="2"/>
  <c r="A6686" i="2"/>
  <c r="A6687" i="2"/>
  <c r="A6688" i="2"/>
  <c r="A6689" i="2"/>
  <c r="A6690" i="2"/>
  <c r="A6691" i="2"/>
  <c r="A6692" i="2"/>
  <c r="A6693" i="2"/>
  <c r="A6694" i="2"/>
  <c r="A6695" i="2"/>
  <c r="A6696" i="2"/>
  <c r="A6697" i="2"/>
  <c r="A6698" i="2"/>
  <c r="A6699" i="2"/>
  <c r="A6700" i="2"/>
  <c r="A6701" i="2"/>
  <c r="A6702" i="2"/>
  <c r="A6703" i="2"/>
  <c r="A6704" i="2"/>
  <c r="A6705" i="2"/>
  <c r="A6706" i="2"/>
  <c r="A6707" i="2"/>
  <c r="A6708" i="2"/>
  <c r="A6709" i="2"/>
  <c r="A6710" i="2"/>
  <c r="A6711" i="2"/>
  <c r="A6712" i="2"/>
  <c r="A6713" i="2"/>
  <c r="A6714" i="2"/>
  <c r="A6715" i="2"/>
  <c r="A6716" i="2"/>
  <c r="A6717" i="2"/>
  <c r="A6718" i="2"/>
  <c r="A6719" i="2"/>
  <c r="A6720" i="2"/>
  <c r="A6721" i="2"/>
  <c r="A6722" i="2"/>
  <c r="A6723" i="2"/>
  <c r="A6724" i="2"/>
  <c r="A6725" i="2"/>
  <c r="A6726" i="2"/>
  <c r="A6727" i="2"/>
  <c r="A6728" i="2"/>
  <c r="A6729" i="2"/>
  <c r="A6730" i="2"/>
  <c r="A6731" i="2"/>
  <c r="A6732" i="2"/>
  <c r="A6733" i="2"/>
  <c r="A6734" i="2"/>
  <c r="A6735" i="2"/>
  <c r="A6736" i="2"/>
  <c r="A6737" i="2"/>
  <c r="A6738" i="2"/>
  <c r="A6739" i="2"/>
  <c r="A6740" i="2"/>
  <c r="A6741" i="2"/>
  <c r="A6742" i="2"/>
  <c r="A6743" i="2"/>
  <c r="A6744" i="2"/>
  <c r="A6745" i="2"/>
  <c r="A6746" i="2"/>
  <c r="A6747" i="2"/>
  <c r="A6748" i="2"/>
  <c r="A6749" i="2"/>
  <c r="A6750" i="2"/>
  <c r="A6751" i="2"/>
  <c r="A6752" i="2"/>
  <c r="A6753" i="2"/>
  <c r="A6754" i="2"/>
  <c r="A6755" i="2"/>
  <c r="A6756" i="2"/>
  <c r="A6757" i="2"/>
  <c r="A6758" i="2"/>
  <c r="A6759" i="2"/>
  <c r="A6760" i="2"/>
  <c r="A6761" i="2"/>
  <c r="A6762" i="2"/>
  <c r="A6763" i="2"/>
  <c r="A6764" i="2"/>
  <c r="A6765" i="2"/>
  <c r="A6766" i="2"/>
  <c r="A6767" i="2"/>
  <c r="A6768" i="2"/>
  <c r="A6769" i="2"/>
  <c r="A6770" i="2"/>
  <c r="A6771" i="2"/>
  <c r="A6772" i="2"/>
  <c r="A6773" i="2"/>
  <c r="A6774" i="2"/>
  <c r="A6775" i="2"/>
  <c r="A6776" i="2"/>
  <c r="A6777" i="2"/>
  <c r="A6778" i="2"/>
  <c r="A6779" i="2"/>
  <c r="A6780" i="2"/>
  <c r="A6781" i="2"/>
  <c r="A6782" i="2"/>
  <c r="A6783" i="2"/>
  <c r="A6784" i="2"/>
  <c r="A6785" i="2"/>
  <c r="A6786" i="2"/>
  <c r="A6787" i="2"/>
  <c r="A6788" i="2"/>
  <c r="A6789" i="2"/>
  <c r="A6790" i="2"/>
  <c r="A6791" i="2"/>
  <c r="A6792" i="2"/>
  <c r="A6793" i="2"/>
  <c r="A6794" i="2"/>
  <c r="A6795" i="2"/>
  <c r="A6796" i="2"/>
  <c r="A6797" i="2"/>
  <c r="A6798" i="2"/>
  <c r="A6799" i="2"/>
  <c r="A6800" i="2"/>
  <c r="A6801" i="2"/>
  <c r="A6802" i="2"/>
  <c r="A6803" i="2"/>
  <c r="A6804" i="2"/>
  <c r="A6805" i="2"/>
  <c r="A6806" i="2"/>
  <c r="A6807" i="2"/>
  <c r="A6808" i="2"/>
  <c r="A6809" i="2"/>
  <c r="A6810" i="2"/>
  <c r="A6811" i="2"/>
  <c r="A6812" i="2"/>
  <c r="A6813" i="2"/>
  <c r="A6814" i="2"/>
  <c r="A6815" i="2"/>
  <c r="A6816" i="2"/>
  <c r="A6817" i="2"/>
  <c r="A6818" i="2"/>
  <c r="A6819" i="2"/>
  <c r="A6820" i="2"/>
  <c r="A6821" i="2"/>
  <c r="A6822" i="2"/>
  <c r="A6823" i="2"/>
  <c r="A6824" i="2"/>
  <c r="A6825" i="2"/>
  <c r="A6826" i="2"/>
  <c r="A6827" i="2"/>
  <c r="A6828" i="2"/>
  <c r="A6829" i="2"/>
  <c r="A6830" i="2"/>
  <c r="A6831" i="2"/>
  <c r="A6832" i="2"/>
  <c r="A6833" i="2"/>
  <c r="A6834" i="2"/>
  <c r="A6835" i="2"/>
  <c r="A6836" i="2"/>
  <c r="A6837" i="2"/>
  <c r="A6838" i="2"/>
  <c r="A6839" i="2"/>
  <c r="A6840" i="2"/>
  <c r="A6841" i="2"/>
  <c r="A6842" i="2"/>
  <c r="A6843" i="2"/>
  <c r="A6844" i="2"/>
  <c r="A6845" i="2"/>
  <c r="A6846" i="2"/>
  <c r="A6847" i="2"/>
  <c r="A6848" i="2"/>
  <c r="A6849" i="2"/>
  <c r="A6850" i="2"/>
  <c r="A6851" i="2"/>
  <c r="A6852" i="2"/>
  <c r="A6853" i="2"/>
  <c r="A6854" i="2"/>
  <c r="A6855" i="2"/>
  <c r="A6856" i="2"/>
  <c r="A6857" i="2"/>
  <c r="A6858" i="2"/>
  <c r="A6859" i="2"/>
  <c r="A6860" i="2"/>
  <c r="A6861" i="2"/>
  <c r="A6862" i="2"/>
  <c r="A6863" i="2"/>
  <c r="A6864" i="2"/>
  <c r="A6865" i="2"/>
  <c r="A6866" i="2"/>
  <c r="A6867" i="2"/>
  <c r="A6868" i="2"/>
  <c r="A6869" i="2"/>
  <c r="A6870" i="2"/>
  <c r="A6871" i="2"/>
  <c r="A6872" i="2"/>
  <c r="A6873" i="2"/>
  <c r="A6874" i="2"/>
  <c r="A6875" i="2"/>
  <c r="A6876" i="2"/>
  <c r="A6877" i="2"/>
  <c r="A6878" i="2"/>
  <c r="A6879" i="2"/>
  <c r="A6880" i="2"/>
  <c r="A6881" i="2"/>
  <c r="A6882" i="2"/>
  <c r="A6883" i="2"/>
  <c r="A6884" i="2"/>
  <c r="A6885" i="2"/>
  <c r="A6886" i="2"/>
  <c r="A6887" i="2"/>
  <c r="A6888" i="2"/>
  <c r="A6889" i="2"/>
  <c r="A6890" i="2"/>
  <c r="A6891" i="2"/>
  <c r="A6892" i="2"/>
  <c r="A6893" i="2"/>
  <c r="A6894" i="2"/>
  <c r="A6895" i="2"/>
  <c r="A6896" i="2"/>
  <c r="A6897" i="2"/>
  <c r="A6898" i="2"/>
  <c r="A6899" i="2"/>
  <c r="A6900" i="2"/>
  <c r="A6901" i="2"/>
  <c r="A6902" i="2"/>
  <c r="A6903" i="2"/>
  <c r="A6904" i="2"/>
  <c r="A6905" i="2"/>
  <c r="A6906" i="2"/>
  <c r="A6907" i="2"/>
  <c r="A6908" i="2"/>
  <c r="A6909" i="2"/>
  <c r="A6910" i="2"/>
  <c r="A6911" i="2"/>
  <c r="A6912" i="2"/>
  <c r="A6913" i="2"/>
  <c r="A6914" i="2"/>
  <c r="A6915" i="2"/>
  <c r="A6916" i="2"/>
  <c r="A6917" i="2"/>
  <c r="A6918" i="2"/>
  <c r="A6919" i="2"/>
  <c r="A6920" i="2"/>
  <c r="A6921" i="2"/>
  <c r="A6922" i="2"/>
  <c r="A6923" i="2"/>
  <c r="A6924" i="2"/>
  <c r="A6925" i="2"/>
  <c r="A6926" i="2"/>
  <c r="A6927" i="2"/>
  <c r="A6928" i="2"/>
  <c r="A6929" i="2"/>
  <c r="A6930" i="2"/>
  <c r="A6931" i="2"/>
  <c r="A6932" i="2"/>
  <c r="A6933" i="2"/>
  <c r="A6934" i="2"/>
  <c r="A6935" i="2"/>
  <c r="A6936" i="2"/>
  <c r="A6937" i="2"/>
  <c r="A6938" i="2"/>
  <c r="A6939" i="2"/>
  <c r="A6940" i="2"/>
  <c r="A6941" i="2"/>
  <c r="A6942" i="2"/>
  <c r="A6943" i="2"/>
  <c r="A6944" i="2"/>
  <c r="A6945" i="2"/>
  <c r="A6946" i="2"/>
  <c r="A6947" i="2"/>
  <c r="A6948" i="2"/>
  <c r="A6949" i="2"/>
  <c r="A6950" i="2"/>
  <c r="A6951" i="2"/>
  <c r="A6952" i="2"/>
  <c r="A6953" i="2"/>
  <c r="A6954" i="2"/>
  <c r="A6955" i="2"/>
  <c r="A6956" i="2"/>
  <c r="A6957" i="2"/>
  <c r="A6958" i="2"/>
  <c r="A6959" i="2"/>
  <c r="A6960" i="2"/>
  <c r="A6961" i="2"/>
  <c r="A6962" i="2"/>
  <c r="A6963" i="2"/>
  <c r="A6964" i="2"/>
  <c r="A6965" i="2"/>
  <c r="A6966" i="2"/>
  <c r="A6967" i="2"/>
  <c r="A6968" i="2"/>
  <c r="A6969" i="2"/>
  <c r="A6970" i="2"/>
  <c r="A6971" i="2"/>
  <c r="A6972" i="2"/>
  <c r="A6973" i="2"/>
  <c r="A6974" i="2"/>
  <c r="A6975" i="2"/>
  <c r="A6976" i="2"/>
  <c r="A6977" i="2"/>
  <c r="A6978" i="2"/>
  <c r="A6979" i="2"/>
  <c r="A6980" i="2"/>
  <c r="A6981" i="2"/>
  <c r="A6982" i="2"/>
  <c r="A6983" i="2"/>
  <c r="A6984" i="2"/>
  <c r="A6985" i="2"/>
  <c r="A6986" i="2"/>
  <c r="A6987" i="2"/>
  <c r="A6988" i="2"/>
  <c r="A6989" i="2"/>
  <c r="A6990" i="2"/>
  <c r="A6991" i="2"/>
  <c r="A6992" i="2"/>
  <c r="A6993" i="2"/>
  <c r="A6994" i="2"/>
  <c r="A6995" i="2"/>
  <c r="A6996" i="2"/>
  <c r="A6997" i="2"/>
  <c r="A6998" i="2"/>
  <c r="A6999" i="2"/>
  <c r="A7000" i="2"/>
  <c r="A7001" i="2"/>
  <c r="A7002" i="2"/>
  <c r="A7003" i="2"/>
  <c r="A7004" i="2"/>
  <c r="A7005" i="2"/>
  <c r="A7006" i="2"/>
  <c r="A7007" i="2"/>
  <c r="A7008" i="2"/>
  <c r="A7009" i="2"/>
  <c r="A7010" i="2"/>
  <c r="A7011" i="2"/>
  <c r="A7012" i="2"/>
  <c r="A7013" i="2"/>
  <c r="A7014" i="2"/>
  <c r="A7015" i="2"/>
  <c r="A7016" i="2"/>
  <c r="A7017" i="2"/>
  <c r="A7018" i="2"/>
  <c r="A7019" i="2"/>
  <c r="A7020" i="2"/>
  <c r="A7021" i="2"/>
  <c r="A7022" i="2"/>
  <c r="A7023" i="2"/>
  <c r="A7024" i="2"/>
  <c r="A7025" i="2"/>
  <c r="A7026" i="2"/>
  <c r="A7027" i="2"/>
  <c r="A7028" i="2"/>
  <c r="A7029" i="2"/>
  <c r="A7030" i="2"/>
  <c r="A7031" i="2"/>
  <c r="A7032" i="2"/>
  <c r="A7033" i="2"/>
  <c r="A7034" i="2"/>
  <c r="A7035" i="2"/>
  <c r="A7036" i="2"/>
  <c r="A7037" i="2"/>
  <c r="A7038" i="2"/>
  <c r="A7039" i="2"/>
  <c r="A7040" i="2"/>
  <c r="A7041" i="2"/>
  <c r="A7042" i="2"/>
  <c r="A7043" i="2"/>
  <c r="A7044" i="2"/>
  <c r="A7045" i="2"/>
  <c r="A7046" i="2"/>
  <c r="A7047" i="2"/>
  <c r="A7048" i="2"/>
  <c r="A7049" i="2"/>
  <c r="A7050" i="2"/>
  <c r="A7051" i="2"/>
  <c r="A7052" i="2"/>
  <c r="A7053" i="2"/>
  <c r="A7054" i="2"/>
  <c r="A7055" i="2"/>
  <c r="A7056" i="2"/>
  <c r="A7057" i="2"/>
  <c r="A7058" i="2"/>
  <c r="A7059" i="2"/>
  <c r="A7060" i="2"/>
  <c r="A7061" i="2"/>
  <c r="A7062" i="2"/>
  <c r="A7063" i="2"/>
  <c r="A7064" i="2"/>
  <c r="A7065" i="2"/>
  <c r="A7066" i="2"/>
  <c r="A7067" i="2"/>
  <c r="A7068" i="2"/>
  <c r="A7069" i="2"/>
  <c r="A7070" i="2"/>
  <c r="A7071" i="2"/>
  <c r="A7072" i="2"/>
  <c r="A7073" i="2"/>
  <c r="A7074" i="2"/>
  <c r="A7075" i="2"/>
  <c r="A7076" i="2"/>
  <c r="A7077" i="2"/>
  <c r="A7078" i="2"/>
  <c r="A7079" i="2"/>
  <c r="A7080" i="2"/>
  <c r="A7081" i="2"/>
  <c r="A7082" i="2"/>
  <c r="A7083" i="2"/>
  <c r="A7084" i="2"/>
  <c r="A7085" i="2"/>
  <c r="A7086" i="2"/>
  <c r="A7087" i="2"/>
  <c r="A7088" i="2"/>
  <c r="A7089" i="2"/>
  <c r="A7090" i="2"/>
  <c r="A7091" i="2"/>
  <c r="A7092" i="2"/>
  <c r="A7093" i="2"/>
  <c r="A7094" i="2"/>
  <c r="A7095" i="2"/>
  <c r="A7096" i="2"/>
  <c r="A7097" i="2"/>
  <c r="A7098" i="2"/>
  <c r="A7099" i="2"/>
  <c r="A7100" i="2"/>
  <c r="A7101" i="2"/>
  <c r="A7102" i="2"/>
  <c r="A7103" i="2"/>
  <c r="A7104" i="2"/>
  <c r="A7105" i="2"/>
  <c r="A7106" i="2"/>
  <c r="A7107" i="2"/>
  <c r="A7108" i="2"/>
  <c r="A7109" i="2"/>
  <c r="A7110" i="2"/>
  <c r="A7111" i="2"/>
  <c r="A7112" i="2"/>
  <c r="A7113" i="2"/>
  <c r="A7114" i="2"/>
  <c r="A7115" i="2"/>
  <c r="A7116" i="2"/>
  <c r="A7117" i="2"/>
  <c r="A7118" i="2"/>
  <c r="A7119" i="2"/>
  <c r="A7120" i="2"/>
  <c r="A7121" i="2"/>
  <c r="A7122" i="2"/>
  <c r="A7123" i="2"/>
  <c r="A7124" i="2"/>
  <c r="A7125" i="2"/>
  <c r="A7126" i="2"/>
  <c r="A7127" i="2"/>
  <c r="A7128" i="2"/>
  <c r="A7129" i="2"/>
  <c r="A7130" i="2"/>
  <c r="A7131" i="2"/>
  <c r="A7132" i="2"/>
  <c r="A7133" i="2"/>
  <c r="A7134" i="2"/>
  <c r="A7135" i="2"/>
  <c r="A7136" i="2"/>
  <c r="A7137" i="2"/>
  <c r="A7138" i="2"/>
  <c r="A7139" i="2"/>
  <c r="A7140" i="2"/>
  <c r="A7141" i="2"/>
  <c r="A7142" i="2"/>
  <c r="A7143" i="2"/>
  <c r="A7144" i="2"/>
  <c r="A7145" i="2"/>
  <c r="A7146" i="2"/>
  <c r="A7147" i="2"/>
  <c r="A7148" i="2"/>
  <c r="A7149" i="2"/>
  <c r="A7150" i="2"/>
  <c r="A7151" i="2"/>
  <c r="A7152" i="2"/>
  <c r="A7153" i="2"/>
  <c r="A7154" i="2"/>
  <c r="A7155" i="2"/>
  <c r="A7156" i="2"/>
  <c r="A7157" i="2"/>
  <c r="A7158" i="2"/>
  <c r="A7159" i="2"/>
  <c r="A7160" i="2"/>
  <c r="A7161" i="2"/>
  <c r="A7162" i="2"/>
  <c r="A7163" i="2"/>
  <c r="A7164" i="2"/>
  <c r="A7165" i="2"/>
  <c r="A7166" i="2"/>
  <c r="A7167" i="2"/>
  <c r="A7168" i="2"/>
  <c r="A7169" i="2"/>
  <c r="A7170" i="2"/>
  <c r="A7171" i="2"/>
  <c r="A7172" i="2"/>
  <c r="A7173" i="2"/>
  <c r="A7174" i="2"/>
  <c r="A7175" i="2"/>
  <c r="A7176" i="2"/>
  <c r="A7177" i="2"/>
  <c r="A7178" i="2"/>
  <c r="A7179" i="2"/>
  <c r="A7180" i="2"/>
  <c r="A7181" i="2"/>
  <c r="A7182" i="2"/>
  <c r="A7183" i="2"/>
  <c r="A7184" i="2"/>
  <c r="A7185" i="2"/>
  <c r="A7186" i="2"/>
  <c r="A7187" i="2"/>
  <c r="A7188" i="2"/>
  <c r="A7189" i="2"/>
  <c r="A7190" i="2"/>
  <c r="A7191" i="2"/>
  <c r="A7192" i="2"/>
  <c r="A7193" i="2"/>
  <c r="A7194" i="2"/>
  <c r="A7195" i="2"/>
  <c r="A7196" i="2"/>
  <c r="A7197" i="2"/>
  <c r="A7198" i="2"/>
  <c r="A7199" i="2"/>
  <c r="A7200" i="2"/>
  <c r="A7201" i="2"/>
  <c r="A7202" i="2"/>
  <c r="A7203" i="2"/>
  <c r="A7204" i="2"/>
  <c r="A7205" i="2"/>
  <c r="A7206" i="2"/>
  <c r="A7207" i="2"/>
  <c r="A7208" i="2"/>
  <c r="A7209" i="2"/>
  <c r="A7210" i="2"/>
  <c r="A7211" i="2"/>
  <c r="A7212" i="2"/>
  <c r="A7213" i="2"/>
  <c r="A7214" i="2"/>
  <c r="A7215" i="2"/>
  <c r="A7216" i="2"/>
  <c r="A7217" i="2"/>
  <c r="A7218" i="2"/>
  <c r="A7219" i="2"/>
  <c r="A7220" i="2"/>
  <c r="A7221" i="2"/>
  <c r="A7222" i="2"/>
  <c r="A7223" i="2"/>
  <c r="A7224" i="2"/>
  <c r="A7225" i="2"/>
  <c r="A7226" i="2"/>
  <c r="A7227" i="2"/>
  <c r="A7228" i="2"/>
  <c r="A7229" i="2"/>
  <c r="A7230" i="2"/>
  <c r="A7231" i="2"/>
  <c r="A7232" i="2"/>
  <c r="A7233" i="2"/>
  <c r="A7234" i="2"/>
  <c r="A7235" i="2"/>
  <c r="A7236" i="2"/>
  <c r="A7237" i="2"/>
  <c r="A7238" i="2"/>
  <c r="A7239" i="2"/>
  <c r="A7240" i="2"/>
  <c r="A7241" i="2"/>
  <c r="A7242" i="2"/>
  <c r="A7243" i="2"/>
  <c r="A7244" i="2"/>
  <c r="A7245" i="2"/>
  <c r="A7246" i="2"/>
  <c r="A7247" i="2"/>
  <c r="A7248" i="2"/>
  <c r="A7249" i="2"/>
  <c r="A7250" i="2"/>
  <c r="A7251" i="2"/>
  <c r="A7252" i="2"/>
  <c r="A7253" i="2"/>
  <c r="A7254" i="2"/>
  <c r="A7255" i="2"/>
  <c r="A7256" i="2"/>
  <c r="A7257" i="2"/>
  <c r="A7258" i="2"/>
  <c r="A7259" i="2"/>
  <c r="A7260" i="2"/>
  <c r="A7261" i="2"/>
  <c r="A7262" i="2"/>
  <c r="A7263" i="2"/>
  <c r="A7264" i="2"/>
  <c r="A7265" i="2"/>
  <c r="A7266" i="2"/>
  <c r="A7267" i="2"/>
  <c r="A7268" i="2"/>
  <c r="A7269" i="2"/>
  <c r="A7270" i="2"/>
  <c r="A7271" i="2"/>
  <c r="A7272" i="2"/>
  <c r="A7273" i="2"/>
  <c r="A7274" i="2"/>
  <c r="A7275" i="2"/>
  <c r="A7276" i="2"/>
  <c r="A7277" i="2"/>
  <c r="A7278" i="2"/>
  <c r="A7279" i="2"/>
  <c r="A7280" i="2"/>
  <c r="A7281" i="2"/>
  <c r="A7282" i="2"/>
  <c r="A7283" i="2"/>
  <c r="A7284" i="2"/>
  <c r="A7285" i="2"/>
  <c r="A7286" i="2"/>
  <c r="A7287" i="2"/>
  <c r="A7288" i="2"/>
  <c r="A7289" i="2"/>
  <c r="A7290" i="2"/>
  <c r="A7291" i="2"/>
  <c r="A7292" i="2"/>
  <c r="A7293" i="2"/>
  <c r="A7294" i="2"/>
  <c r="A7295" i="2"/>
  <c r="A7296" i="2"/>
  <c r="A7297" i="2"/>
  <c r="A7298" i="2"/>
  <c r="A7299" i="2"/>
  <c r="A7300" i="2"/>
  <c r="A7301" i="2"/>
  <c r="A7302" i="2"/>
  <c r="A7303" i="2"/>
  <c r="A7304" i="2"/>
  <c r="A7305" i="2"/>
  <c r="A7306" i="2"/>
  <c r="A7307" i="2"/>
  <c r="A7308" i="2"/>
  <c r="A7309" i="2"/>
  <c r="A7310" i="2"/>
  <c r="A7311" i="2"/>
  <c r="A7312" i="2"/>
  <c r="A7313" i="2"/>
  <c r="A7314" i="2"/>
  <c r="A7315" i="2"/>
  <c r="A7316" i="2"/>
  <c r="A7317" i="2"/>
  <c r="A7318" i="2"/>
  <c r="A7319" i="2"/>
  <c r="A7320" i="2"/>
  <c r="A7321" i="2"/>
  <c r="A7322" i="2"/>
  <c r="A7323" i="2"/>
  <c r="A7324" i="2"/>
  <c r="A7325" i="2"/>
  <c r="A7326" i="2"/>
  <c r="A7327" i="2"/>
  <c r="A7328" i="2"/>
  <c r="A7329" i="2"/>
  <c r="A7330" i="2"/>
  <c r="A7331" i="2"/>
  <c r="A7332" i="2"/>
  <c r="A7333" i="2"/>
  <c r="A7334" i="2"/>
  <c r="A7335" i="2"/>
  <c r="A7336" i="2"/>
  <c r="A7337" i="2"/>
  <c r="A7338" i="2"/>
  <c r="A7339" i="2"/>
  <c r="A7340" i="2"/>
  <c r="A7341" i="2"/>
  <c r="A7342" i="2"/>
  <c r="A7343" i="2"/>
  <c r="A7344" i="2"/>
  <c r="A7345" i="2"/>
  <c r="A7346" i="2"/>
  <c r="A7347" i="2"/>
  <c r="A7348" i="2"/>
  <c r="A7349" i="2"/>
  <c r="A7350" i="2"/>
  <c r="A7351" i="2"/>
  <c r="A7352" i="2"/>
  <c r="A7353" i="2"/>
  <c r="A7354" i="2"/>
  <c r="A7355" i="2"/>
  <c r="A7356" i="2"/>
  <c r="A7357" i="2"/>
  <c r="A7358" i="2"/>
  <c r="A7359" i="2"/>
  <c r="A7360" i="2"/>
  <c r="A7361" i="2"/>
  <c r="A7362" i="2"/>
  <c r="A7363" i="2"/>
  <c r="A7364" i="2"/>
  <c r="A7365" i="2"/>
  <c r="A7366" i="2"/>
  <c r="A7367" i="2"/>
  <c r="A7368" i="2"/>
  <c r="A7369" i="2"/>
  <c r="A7370" i="2"/>
  <c r="A7371" i="2"/>
  <c r="A7372" i="2"/>
  <c r="A7373" i="2"/>
  <c r="A7374" i="2"/>
  <c r="A7375" i="2"/>
  <c r="A7376" i="2"/>
  <c r="A7377" i="2"/>
  <c r="A7378" i="2"/>
  <c r="A7379" i="2"/>
  <c r="A7380" i="2"/>
  <c r="A7381" i="2"/>
  <c r="A7382" i="2"/>
  <c r="A7383" i="2"/>
  <c r="A7384" i="2"/>
  <c r="A7385" i="2"/>
  <c r="A7386" i="2"/>
  <c r="A7387" i="2"/>
  <c r="A7388" i="2"/>
  <c r="A7389" i="2"/>
  <c r="A7390" i="2"/>
  <c r="A7391" i="2"/>
  <c r="A7392" i="2"/>
  <c r="A7393" i="2"/>
  <c r="A7394" i="2"/>
  <c r="A7395" i="2"/>
  <c r="A7396" i="2"/>
  <c r="A7397" i="2"/>
  <c r="A7398" i="2"/>
  <c r="A7399" i="2"/>
  <c r="A7400" i="2"/>
  <c r="A7401" i="2"/>
  <c r="A7402" i="2"/>
  <c r="A7403" i="2"/>
  <c r="A7404" i="2"/>
  <c r="A7405" i="2"/>
  <c r="A7406" i="2"/>
  <c r="A7407" i="2"/>
  <c r="A7408" i="2"/>
  <c r="A7409" i="2"/>
  <c r="A7410" i="2"/>
  <c r="A7411" i="2"/>
  <c r="A7412" i="2"/>
  <c r="A7413" i="2"/>
  <c r="A7414" i="2"/>
  <c r="A7415" i="2"/>
  <c r="A7416" i="2"/>
  <c r="A7417" i="2"/>
  <c r="A7418" i="2"/>
  <c r="A7419" i="2"/>
  <c r="A7420" i="2"/>
  <c r="A7421" i="2"/>
  <c r="A7422" i="2"/>
  <c r="A7423" i="2"/>
  <c r="A7424" i="2"/>
  <c r="A7425" i="2"/>
  <c r="A7426" i="2"/>
  <c r="A7427" i="2"/>
  <c r="A7428" i="2"/>
  <c r="A7429" i="2"/>
  <c r="A7430" i="2"/>
  <c r="A7431" i="2"/>
  <c r="A7432" i="2"/>
  <c r="A7433" i="2"/>
  <c r="A7434" i="2"/>
  <c r="A7435" i="2"/>
  <c r="A7436" i="2"/>
  <c r="A7437" i="2"/>
  <c r="A7438" i="2"/>
  <c r="A7439" i="2"/>
  <c r="A7440" i="2"/>
  <c r="A7441" i="2"/>
  <c r="A7442" i="2"/>
  <c r="A7443" i="2"/>
  <c r="A7444" i="2"/>
  <c r="A7445" i="2"/>
  <c r="A7446" i="2"/>
  <c r="A7447" i="2"/>
  <c r="A7448" i="2"/>
  <c r="A7449" i="2"/>
  <c r="A7450" i="2"/>
  <c r="A7451" i="2"/>
  <c r="A7452" i="2"/>
  <c r="A7453" i="2"/>
  <c r="A7454" i="2"/>
  <c r="A7455" i="2"/>
  <c r="A7456" i="2"/>
  <c r="A7457" i="2"/>
  <c r="A7458" i="2"/>
  <c r="A7459" i="2"/>
  <c r="A7460" i="2"/>
  <c r="A7461" i="2"/>
  <c r="A7462" i="2"/>
  <c r="A7463" i="2"/>
  <c r="A7464" i="2"/>
  <c r="A7465" i="2"/>
  <c r="A7466" i="2"/>
  <c r="A7467" i="2"/>
  <c r="A7468" i="2"/>
  <c r="A7469" i="2"/>
  <c r="A7470" i="2"/>
  <c r="A7471" i="2"/>
  <c r="A7472" i="2"/>
  <c r="A7473" i="2"/>
  <c r="A7474" i="2"/>
  <c r="A7475" i="2"/>
  <c r="A7476" i="2"/>
  <c r="A7477" i="2"/>
  <c r="A7478" i="2"/>
  <c r="A7479" i="2"/>
  <c r="A7480" i="2"/>
  <c r="A7481" i="2"/>
  <c r="A7482" i="2"/>
  <c r="A7483" i="2"/>
  <c r="A7484" i="2"/>
  <c r="A7485" i="2"/>
  <c r="A7486" i="2"/>
  <c r="A7487" i="2"/>
  <c r="A7488" i="2"/>
  <c r="A7489" i="2"/>
  <c r="A7490" i="2"/>
  <c r="A7491" i="2"/>
  <c r="A7492" i="2"/>
  <c r="A7493" i="2"/>
  <c r="A7494" i="2"/>
  <c r="A7495" i="2"/>
  <c r="A7496" i="2"/>
  <c r="A7497" i="2"/>
  <c r="A7498" i="2"/>
  <c r="A7499" i="2"/>
  <c r="A7500" i="2"/>
  <c r="A7501" i="2"/>
  <c r="A7502" i="2"/>
  <c r="A7503" i="2"/>
  <c r="A7504" i="2"/>
  <c r="A7505" i="2"/>
  <c r="A7506" i="2"/>
  <c r="A7507" i="2"/>
  <c r="A7508" i="2"/>
  <c r="A7509" i="2"/>
  <c r="A7510" i="2"/>
  <c r="A7511" i="2"/>
  <c r="A7512" i="2"/>
  <c r="A7513" i="2"/>
  <c r="A7514" i="2"/>
  <c r="A7515" i="2"/>
  <c r="A7516" i="2"/>
  <c r="A7517" i="2"/>
  <c r="A7518" i="2"/>
  <c r="A7519" i="2"/>
  <c r="A7520" i="2"/>
  <c r="A7521" i="2"/>
  <c r="A7522" i="2"/>
  <c r="A7523" i="2"/>
  <c r="A7524" i="2"/>
  <c r="A7525" i="2"/>
  <c r="A7526" i="2"/>
  <c r="A7527" i="2"/>
  <c r="A7528" i="2"/>
  <c r="A7529" i="2"/>
  <c r="A7530" i="2"/>
  <c r="A7531" i="2"/>
  <c r="A7532" i="2"/>
  <c r="A7533" i="2"/>
  <c r="A7534" i="2"/>
  <c r="A7535" i="2"/>
  <c r="A7536" i="2"/>
  <c r="A7537" i="2"/>
  <c r="A7538" i="2"/>
  <c r="A7539" i="2"/>
  <c r="A7540" i="2"/>
  <c r="A7541" i="2"/>
  <c r="A7542" i="2"/>
  <c r="A7543" i="2"/>
  <c r="A7544" i="2"/>
  <c r="A7545" i="2"/>
  <c r="A7546" i="2"/>
  <c r="A7547" i="2"/>
  <c r="A7548" i="2"/>
  <c r="A7549" i="2"/>
  <c r="A7550" i="2"/>
  <c r="A7551" i="2"/>
  <c r="A7552" i="2"/>
  <c r="A7553" i="2"/>
  <c r="A7554" i="2"/>
  <c r="A7555" i="2"/>
  <c r="A7556" i="2"/>
  <c r="A7557" i="2"/>
  <c r="A7558" i="2"/>
  <c r="A7559" i="2"/>
  <c r="A7560" i="2"/>
  <c r="A7561" i="2"/>
  <c r="A7562" i="2"/>
  <c r="A7563" i="2"/>
  <c r="A7564" i="2"/>
  <c r="A7565" i="2"/>
  <c r="A7566" i="2"/>
  <c r="A7567" i="2"/>
  <c r="A7568" i="2"/>
  <c r="A7569" i="2"/>
  <c r="A7570" i="2"/>
  <c r="A7571" i="2"/>
  <c r="A7572" i="2"/>
  <c r="A7573" i="2"/>
  <c r="A7574" i="2"/>
  <c r="A7575" i="2"/>
  <c r="A7576" i="2"/>
  <c r="A7577" i="2"/>
  <c r="A7578" i="2"/>
  <c r="A7579" i="2"/>
  <c r="A7580" i="2"/>
  <c r="A7581" i="2"/>
  <c r="A7582" i="2"/>
  <c r="A7583" i="2"/>
  <c r="A7584" i="2"/>
  <c r="A7585" i="2"/>
  <c r="A7586" i="2"/>
  <c r="A7587" i="2"/>
  <c r="A7588" i="2"/>
  <c r="A7589" i="2"/>
  <c r="A7590" i="2"/>
  <c r="A7591" i="2"/>
  <c r="A7592" i="2"/>
  <c r="A7593" i="2"/>
  <c r="A7594" i="2"/>
  <c r="A7595" i="2"/>
  <c r="A7596" i="2"/>
  <c r="A7597" i="2"/>
  <c r="A7598" i="2"/>
  <c r="A7599" i="2"/>
  <c r="A7600" i="2"/>
  <c r="A7601" i="2"/>
  <c r="A7602" i="2"/>
  <c r="A7603" i="2"/>
  <c r="A7604" i="2"/>
  <c r="A7605" i="2"/>
  <c r="A7606" i="2"/>
  <c r="A7607" i="2"/>
  <c r="A7608" i="2"/>
  <c r="A7609" i="2"/>
  <c r="A7610" i="2"/>
  <c r="A7611" i="2"/>
  <c r="A7612" i="2"/>
  <c r="A7613" i="2"/>
  <c r="A7614" i="2"/>
  <c r="A7615" i="2"/>
  <c r="A7616" i="2"/>
  <c r="A7617" i="2"/>
  <c r="A7618" i="2"/>
  <c r="A7619" i="2"/>
  <c r="A7620" i="2"/>
  <c r="A7621" i="2"/>
  <c r="A7622" i="2"/>
  <c r="A7623" i="2"/>
  <c r="A7624" i="2"/>
  <c r="A7625" i="2"/>
  <c r="A7626" i="2"/>
  <c r="A7627" i="2"/>
  <c r="A7628" i="2"/>
  <c r="A7629" i="2"/>
  <c r="A7630" i="2"/>
  <c r="A7631" i="2"/>
  <c r="A7632" i="2"/>
  <c r="A7633" i="2"/>
  <c r="A7634" i="2"/>
  <c r="A7635" i="2"/>
  <c r="A7636" i="2"/>
  <c r="A7637" i="2"/>
  <c r="A7638" i="2"/>
  <c r="A7639" i="2"/>
  <c r="A7640" i="2"/>
  <c r="A7641" i="2"/>
  <c r="A7642" i="2"/>
  <c r="A7643" i="2"/>
  <c r="A7644" i="2"/>
  <c r="A7645" i="2"/>
  <c r="A7646" i="2"/>
  <c r="A7647" i="2"/>
  <c r="A7648" i="2"/>
  <c r="A7649" i="2"/>
  <c r="A7650" i="2"/>
  <c r="A7651" i="2"/>
  <c r="A7652" i="2"/>
  <c r="A7653" i="2"/>
  <c r="A7654" i="2"/>
  <c r="A7655" i="2"/>
  <c r="A7656" i="2"/>
  <c r="A7657" i="2"/>
  <c r="A7658" i="2"/>
  <c r="A7659" i="2"/>
  <c r="A7660" i="2"/>
  <c r="A7661" i="2"/>
  <c r="A7662" i="2"/>
  <c r="A7663" i="2"/>
  <c r="A7664" i="2"/>
  <c r="A7665" i="2"/>
  <c r="A7666" i="2"/>
  <c r="A7667" i="2"/>
  <c r="A7668" i="2"/>
  <c r="A7669" i="2"/>
  <c r="A7670" i="2"/>
  <c r="A7671" i="2"/>
  <c r="A7672" i="2"/>
  <c r="A7673" i="2"/>
  <c r="A7674" i="2"/>
  <c r="A7675" i="2"/>
  <c r="A7676" i="2"/>
  <c r="A7677" i="2"/>
  <c r="A7678" i="2"/>
  <c r="A7679" i="2"/>
  <c r="A7680" i="2"/>
  <c r="A7681" i="2"/>
  <c r="A7682" i="2"/>
  <c r="A7683" i="2"/>
  <c r="A7684" i="2"/>
  <c r="A7685" i="2"/>
  <c r="A7686" i="2"/>
  <c r="A7687" i="2"/>
  <c r="A7688" i="2"/>
  <c r="A7689" i="2"/>
  <c r="A7690" i="2"/>
  <c r="A7691" i="2"/>
  <c r="A7692" i="2"/>
  <c r="A7693" i="2"/>
  <c r="A7694" i="2"/>
  <c r="A7695" i="2"/>
  <c r="A7696" i="2"/>
  <c r="A7697" i="2"/>
  <c r="A7698" i="2"/>
  <c r="A7699" i="2"/>
  <c r="A7700" i="2"/>
  <c r="A7701" i="2"/>
  <c r="A7702" i="2"/>
  <c r="A7703" i="2"/>
  <c r="A7704" i="2"/>
  <c r="A7705" i="2"/>
  <c r="A7706" i="2"/>
  <c r="A7707" i="2"/>
  <c r="A7708" i="2"/>
  <c r="A7709" i="2"/>
  <c r="A7710" i="2"/>
  <c r="A7711" i="2"/>
  <c r="A7712" i="2"/>
  <c r="A7713" i="2"/>
  <c r="A7714" i="2"/>
  <c r="A7715" i="2"/>
  <c r="A7716" i="2"/>
  <c r="A7717" i="2"/>
  <c r="A7718" i="2"/>
  <c r="A7719" i="2"/>
  <c r="A7720" i="2"/>
  <c r="A7721" i="2"/>
  <c r="A7722" i="2"/>
  <c r="A7723" i="2"/>
  <c r="A7724" i="2"/>
  <c r="A7725" i="2"/>
  <c r="A7726" i="2"/>
  <c r="A7727" i="2"/>
  <c r="A7728" i="2"/>
  <c r="A7729" i="2"/>
  <c r="A7730" i="2"/>
  <c r="A7731" i="2"/>
  <c r="A7732" i="2"/>
  <c r="A7733" i="2"/>
  <c r="A7734" i="2"/>
  <c r="A7735" i="2"/>
  <c r="A7736" i="2"/>
  <c r="A7737" i="2"/>
  <c r="A7738" i="2"/>
  <c r="A7739" i="2"/>
  <c r="A7740" i="2"/>
  <c r="A7741" i="2"/>
  <c r="A7742" i="2"/>
  <c r="A7743" i="2"/>
  <c r="A7744" i="2"/>
  <c r="A7745" i="2"/>
  <c r="A7746" i="2"/>
  <c r="A7747" i="2"/>
  <c r="A7748" i="2"/>
  <c r="A7749" i="2"/>
  <c r="A7750" i="2"/>
  <c r="A7751" i="2"/>
  <c r="A7752" i="2"/>
  <c r="A7753" i="2"/>
  <c r="A7754" i="2"/>
  <c r="A7755" i="2"/>
  <c r="A7756" i="2"/>
  <c r="A7757" i="2"/>
  <c r="A7758" i="2"/>
  <c r="A7759" i="2"/>
  <c r="A7760" i="2"/>
  <c r="A7761" i="2"/>
  <c r="A7762" i="2"/>
  <c r="A7763" i="2"/>
  <c r="A7764" i="2"/>
  <c r="A7765" i="2"/>
  <c r="A7766" i="2"/>
  <c r="A7767" i="2"/>
  <c r="A7768" i="2"/>
  <c r="A7769" i="2"/>
  <c r="A7770" i="2"/>
  <c r="A7771" i="2"/>
  <c r="A7772" i="2"/>
  <c r="A7773" i="2"/>
  <c r="A7774" i="2"/>
  <c r="A7775" i="2"/>
  <c r="A7776" i="2"/>
  <c r="A7777" i="2"/>
  <c r="A7778" i="2"/>
  <c r="A7779" i="2"/>
  <c r="A7780" i="2"/>
  <c r="A7781" i="2"/>
  <c r="A7782" i="2"/>
  <c r="A7783" i="2"/>
  <c r="A7784" i="2"/>
  <c r="A7785" i="2"/>
  <c r="A7786" i="2"/>
  <c r="A7787" i="2"/>
  <c r="A7788" i="2"/>
  <c r="A7789" i="2"/>
  <c r="A7790" i="2"/>
  <c r="A7791" i="2"/>
  <c r="A7792" i="2"/>
  <c r="A7793" i="2"/>
  <c r="A7794" i="2"/>
  <c r="A7795" i="2"/>
  <c r="A7796" i="2"/>
  <c r="A7797" i="2"/>
  <c r="A7798" i="2"/>
  <c r="A7799" i="2"/>
  <c r="A7800" i="2"/>
  <c r="A7801" i="2"/>
  <c r="A7802" i="2"/>
  <c r="A7803" i="2"/>
  <c r="A7804" i="2"/>
  <c r="A7805" i="2"/>
  <c r="A7806" i="2"/>
  <c r="A7807" i="2"/>
  <c r="A7808" i="2"/>
  <c r="A7809" i="2"/>
  <c r="A7810" i="2"/>
  <c r="A7811" i="2"/>
  <c r="A7812" i="2"/>
  <c r="A7813" i="2"/>
  <c r="A7814" i="2"/>
  <c r="A7815" i="2"/>
  <c r="A7816" i="2"/>
  <c r="A7817" i="2"/>
  <c r="A7818" i="2"/>
  <c r="A7819" i="2"/>
  <c r="A7820" i="2"/>
  <c r="A7821" i="2"/>
  <c r="A7822" i="2"/>
  <c r="A7823" i="2"/>
  <c r="A7824" i="2"/>
  <c r="A7825" i="2"/>
  <c r="A7826" i="2"/>
  <c r="A7827" i="2"/>
  <c r="A7828" i="2"/>
  <c r="A7829" i="2"/>
  <c r="A7830" i="2"/>
  <c r="A7831" i="2"/>
  <c r="A7832" i="2"/>
  <c r="A7833" i="2"/>
  <c r="A7834" i="2"/>
  <c r="A7835" i="2"/>
  <c r="A7836" i="2"/>
  <c r="A7837" i="2"/>
  <c r="A7838" i="2"/>
  <c r="A7839" i="2"/>
  <c r="A7840" i="2"/>
  <c r="A7841" i="2"/>
  <c r="A7842" i="2"/>
  <c r="A7843" i="2"/>
  <c r="A7844" i="2"/>
  <c r="A7845" i="2"/>
  <c r="A7846" i="2"/>
  <c r="A7847" i="2"/>
  <c r="A7848" i="2"/>
  <c r="A7849" i="2"/>
  <c r="A7850" i="2"/>
  <c r="A7851" i="2"/>
  <c r="A7852" i="2"/>
  <c r="A7853" i="2"/>
  <c r="A7854" i="2"/>
  <c r="A7855" i="2"/>
  <c r="A7856" i="2"/>
  <c r="A7857" i="2"/>
  <c r="A7858" i="2"/>
  <c r="A7859" i="2"/>
  <c r="A7860" i="2"/>
  <c r="A7861" i="2"/>
  <c r="A7862" i="2"/>
  <c r="A7863" i="2"/>
  <c r="A7864" i="2"/>
  <c r="A7865" i="2"/>
  <c r="A7866" i="2"/>
  <c r="A7867" i="2"/>
  <c r="A7868" i="2"/>
  <c r="A7869" i="2"/>
  <c r="A7870" i="2"/>
  <c r="A7871" i="2"/>
  <c r="A7872" i="2"/>
  <c r="A7873" i="2"/>
  <c r="A7874" i="2"/>
  <c r="A7875" i="2"/>
  <c r="A7876" i="2"/>
  <c r="A7877" i="2"/>
  <c r="A7878" i="2"/>
  <c r="A7879" i="2"/>
  <c r="A7880" i="2"/>
  <c r="A7881" i="2"/>
  <c r="A7882" i="2"/>
  <c r="A7883" i="2"/>
  <c r="A7884" i="2"/>
  <c r="A7885" i="2"/>
  <c r="A7886" i="2"/>
  <c r="A7887" i="2"/>
  <c r="A7888" i="2"/>
  <c r="A7889" i="2"/>
  <c r="A7890" i="2"/>
  <c r="A7891" i="2"/>
  <c r="A7892" i="2"/>
  <c r="A7893" i="2"/>
  <c r="A7894" i="2"/>
  <c r="A7895" i="2"/>
  <c r="A7896" i="2"/>
  <c r="A7897" i="2"/>
  <c r="A7898" i="2"/>
  <c r="A7899" i="2"/>
  <c r="A7900" i="2"/>
  <c r="A7901" i="2"/>
  <c r="A7902" i="2"/>
  <c r="A7903" i="2"/>
  <c r="A7904" i="2"/>
  <c r="A7905" i="2"/>
  <c r="A7906" i="2"/>
  <c r="A7907" i="2"/>
  <c r="A7908" i="2"/>
  <c r="A7909" i="2"/>
  <c r="A7910" i="2"/>
  <c r="A7911" i="2"/>
  <c r="A7912" i="2"/>
  <c r="A7913" i="2"/>
  <c r="A7914" i="2"/>
  <c r="A7915" i="2"/>
  <c r="A7916" i="2"/>
  <c r="A7917" i="2"/>
  <c r="A7918" i="2"/>
  <c r="A7919" i="2"/>
  <c r="A7920" i="2"/>
  <c r="A7921" i="2"/>
  <c r="A7922" i="2"/>
  <c r="A7923" i="2"/>
  <c r="A7924" i="2"/>
  <c r="A7925" i="2"/>
  <c r="A7926" i="2"/>
  <c r="A7927" i="2"/>
  <c r="A7928" i="2"/>
  <c r="A7929" i="2"/>
  <c r="A7930" i="2"/>
  <c r="A7931" i="2"/>
  <c r="A7932" i="2"/>
  <c r="A7933" i="2"/>
  <c r="A7934" i="2"/>
  <c r="A7935" i="2"/>
  <c r="A7936" i="2"/>
  <c r="A7937" i="2"/>
  <c r="A7938" i="2"/>
  <c r="A7939" i="2"/>
  <c r="A7940" i="2"/>
  <c r="A7941" i="2"/>
  <c r="A7942" i="2"/>
  <c r="A7943" i="2"/>
  <c r="A7944" i="2"/>
  <c r="A7945" i="2"/>
  <c r="A7946" i="2"/>
  <c r="A7947" i="2"/>
  <c r="A7948" i="2"/>
  <c r="A7949" i="2"/>
  <c r="A7950" i="2"/>
  <c r="A7951" i="2"/>
  <c r="A7952" i="2"/>
  <c r="A7953" i="2"/>
  <c r="A7954" i="2"/>
  <c r="A7955" i="2"/>
  <c r="A7956" i="2"/>
  <c r="A7957" i="2"/>
  <c r="A7958" i="2"/>
  <c r="A7959" i="2"/>
  <c r="A7960" i="2"/>
  <c r="A7961" i="2"/>
  <c r="A7962" i="2"/>
  <c r="A7963" i="2"/>
  <c r="A7964" i="2"/>
  <c r="A7965" i="2"/>
  <c r="A7966" i="2"/>
  <c r="A7967" i="2"/>
  <c r="A7968" i="2"/>
  <c r="A7969" i="2"/>
  <c r="A7970" i="2"/>
  <c r="A7971" i="2"/>
  <c r="A7972" i="2"/>
  <c r="A7973" i="2"/>
  <c r="A7974" i="2"/>
  <c r="A7975" i="2"/>
  <c r="A7976" i="2"/>
  <c r="A7977" i="2"/>
  <c r="A7978" i="2"/>
  <c r="A7979" i="2"/>
  <c r="A7980" i="2"/>
  <c r="A7981" i="2"/>
  <c r="A7982" i="2"/>
  <c r="A7983" i="2"/>
  <c r="A7984" i="2"/>
  <c r="A7985" i="2"/>
  <c r="A7986" i="2"/>
  <c r="A7987" i="2"/>
  <c r="A7988" i="2"/>
  <c r="A7989" i="2"/>
  <c r="A7990" i="2"/>
  <c r="A7991" i="2"/>
  <c r="A7992" i="2"/>
  <c r="A7993" i="2"/>
  <c r="A7994" i="2"/>
  <c r="A7995" i="2"/>
  <c r="A7996" i="2"/>
  <c r="A7997" i="2"/>
  <c r="A7998" i="2"/>
  <c r="A7999" i="2"/>
  <c r="A8000" i="2"/>
  <c r="A8001" i="2"/>
  <c r="A8002" i="2"/>
  <c r="A8003" i="2"/>
  <c r="A8004" i="2"/>
  <c r="A8005" i="2"/>
  <c r="A8006" i="2"/>
  <c r="A8007" i="2"/>
  <c r="A8008" i="2"/>
  <c r="A8009" i="2"/>
  <c r="A8010" i="2"/>
  <c r="A8011" i="2"/>
  <c r="A8012" i="2"/>
  <c r="A8013" i="2"/>
  <c r="A8014" i="2"/>
  <c r="A8015" i="2"/>
  <c r="A8016" i="2"/>
  <c r="A8017" i="2"/>
  <c r="A8018" i="2"/>
  <c r="A8019" i="2"/>
  <c r="A8020" i="2"/>
  <c r="A8021" i="2"/>
  <c r="A8022" i="2"/>
  <c r="A8023" i="2"/>
  <c r="A8024" i="2"/>
  <c r="A8025" i="2"/>
  <c r="A8026" i="2"/>
  <c r="A8027" i="2"/>
  <c r="A8028" i="2"/>
  <c r="A8029" i="2"/>
  <c r="A8030" i="2"/>
  <c r="A8031" i="2"/>
  <c r="A8032" i="2"/>
  <c r="A8033" i="2"/>
  <c r="A8034" i="2"/>
  <c r="A8035" i="2"/>
  <c r="A8036" i="2"/>
  <c r="A8037" i="2"/>
  <c r="A8038" i="2"/>
  <c r="A8039" i="2"/>
  <c r="A8040" i="2"/>
  <c r="A8041" i="2"/>
  <c r="A8042" i="2"/>
  <c r="A8043" i="2"/>
  <c r="A8044" i="2"/>
  <c r="A8045" i="2"/>
  <c r="A8046" i="2"/>
  <c r="A8047" i="2"/>
  <c r="A8048" i="2"/>
  <c r="A8049" i="2"/>
  <c r="A8050" i="2"/>
  <c r="A8051" i="2"/>
  <c r="A8052" i="2"/>
  <c r="A8053" i="2"/>
  <c r="A8054" i="2"/>
  <c r="A8055" i="2"/>
  <c r="A8056" i="2"/>
  <c r="A8057" i="2"/>
  <c r="A8058" i="2"/>
  <c r="A8059" i="2"/>
  <c r="A8060" i="2"/>
  <c r="A8061" i="2"/>
  <c r="A8062" i="2"/>
  <c r="A8063" i="2"/>
  <c r="A8064" i="2"/>
  <c r="A8065" i="2"/>
  <c r="A8066" i="2"/>
  <c r="A8067" i="2"/>
  <c r="A8068" i="2"/>
  <c r="A8069" i="2"/>
  <c r="A8070" i="2"/>
  <c r="A8071" i="2"/>
  <c r="A8072" i="2"/>
  <c r="A8073" i="2"/>
  <c r="A8074" i="2"/>
  <c r="A8075" i="2"/>
  <c r="A8076" i="2"/>
  <c r="A8077" i="2"/>
  <c r="A8078" i="2"/>
  <c r="A8079" i="2"/>
  <c r="A8080" i="2"/>
  <c r="A8081" i="2"/>
  <c r="A8082" i="2"/>
  <c r="A8083" i="2"/>
  <c r="A8084" i="2"/>
  <c r="A8085" i="2"/>
  <c r="A8086" i="2"/>
  <c r="A8087" i="2"/>
  <c r="A8088" i="2"/>
  <c r="A8089" i="2"/>
  <c r="A8090" i="2"/>
  <c r="A8091" i="2"/>
  <c r="A8092" i="2"/>
  <c r="A8093" i="2"/>
  <c r="A8094" i="2"/>
  <c r="A8095" i="2"/>
  <c r="A8096" i="2"/>
  <c r="A8097" i="2"/>
  <c r="A8098" i="2"/>
  <c r="A8099" i="2"/>
  <c r="A8100" i="2"/>
  <c r="A8101" i="2"/>
  <c r="A8102" i="2"/>
  <c r="A8103" i="2"/>
  <c r="A8104" i="2"/>
  <c r="A8105" i="2"/>
  <c r="A8106" i="2"/>
  <c r="A8107" i="2"/>
  <c r="A8108" i="2"/>
  <c r="A8109" i="2"/>
  <c r="A8110" i="2"/>
  <c r="A8111" i="2"/>
  <c r="A8112" i="2"/>
  <c r="A8113" i="2"/>
  <c r="A8114" i="2"/>
  <c r="A8115" i="2"/>
  <c r="A8116" i="2"/>
  <c r="A8117" i="2"/>
  <c r="A8118" i="2"/>
  <c r="A8119" i="2"/>
  <c r="A8120" i="2"/>
  <c r="A8121" i="2"/>
  <c r="A8122" i="2"/>
  <c r="A8123" i="2"/>
  <c r="A8124" i="2"/>
  <c r="A8125" i="2"/>
  <c r="A8126" i="2"/>
  <c r="A8127" i="2"/>
  <c r="A8128" i="2"/>
  <c r="A8129" i="2"/>
  <c r="A8130" i="2"/>
  <c r="A8131" i="2"/>
  <c r="A8132" i="2"/>
  <c r="A8133" i="2"/>
  <c r="A8134" i="2"/>
  <c r="A8135" i="2"/>
  <c r="A8136" i="2"/>
  <c r="A8137" i="2"/>
  <c r="A8138" i="2"/>
  <c r="A8139" i="2"/>
  <c r="A8140" i="2"/>
  <c r="A8141" i="2"/>
  <c r="A8142" i="2"/>
  <c r="A8143" i="2"/>
  <c r="A8144" i="2"/>
  <c r="A8145" i="2"/>
  <c r="A8146" i="2"/>
  <c r="A8147" i="2"/>
  <c r="A8148" i="2"/>
  <c r="A8149" i="2"/>
  <c r="A8150" i="2"/>
  <c r="A8151" i="2"/>
  <c r="A8152" i="2"/>
  <c r="A8153" i="2"/>
  <c r="A8154" i="2"/>
  <c r="A8155" i="2"/>
  <c r="A8156" i="2"/>
  <c r="A8157" i="2"/>
  <c r="A8158" i="2"/>
  <c r="A8159" i="2"/>
  <c r="A8160" i="2"/>
  <c r="A8161" i="2"/>
  <c r="A8162" i="2"/>
  <c r="A8163" i="2"/>
  <c r="A8164" i="2"/>
  <c r="A8165" i="2"/>
  <c r="A8166" i="2"/>
  <c r="A8167" i="2"/>
  <c r="A8168" i="2"/>
  <c r="A8169" i="2"/>
  <c r="A8170" i="2"/>
  <c r="A8171" i="2"/>
  <c r="A8172" i="2"/>
  <c r="A8173" i="2"/>
  <c r="A8174" i="2"/>
  <c r="A8175" i="2"/>
  <c r="A8176" i="2"/>
  <c r="A8177" i="2"/>
  <c r="A8178" i="2"/>
  <c r="A8179" i="2"/>
  <c r="A8180" i="2"/>
  <c r="A8181" i="2"/>
  <c r="A8182" i="2"/>
  <c r="A8183" i="2"/>
  <c r="A8184" i="2"/>
  <c r="A8185" i="2"/>
  <c r="A8186" i="2"/>
  <c r="A8187" i="2"/>
  <c r="A8188" i="2"/>
  <c r="A8189" i="2"/>
  <c r="A8190" i="2"/>
  <c r="A8191" i="2"/>
  <c r="A8192" i="2"/>
  <c r="A8193" i="2"/>
  <c r="A8194" i="2"/>
  <c r="A8195" i="2"/>
  <c r="A8196" i="2"/>
  <c r="A8197" i="2"/>
  <c r="A8198" i="2"/>
  <c r="A8199" i="2"/>
  <c r="A8200" i="2"/>
  <c r="A8201" i="2"/>
  <c r="A8202" i="2"/>
  <c r="A8203" i="2"/>
  <c r="A8204" i="2"/>
  <c r="A8205" i="2"/>
  <c r="A8206" i="2"/>
  <c r="A8207" i="2"/>
  <c r="A8208" i="2"/>
  <c r="A8209" i="2"/>
  <c r="A8210" i="2"/>
  <c r="A8211" i="2"/>
  <c r="A8212" i="2"/>
  <c r="A8213" i="2"/>
  <c r="A8214" i="2"/>
  <c r="A8215" i="2"/>
  <c r="A8216" i="2"/>
  <c r="A8217" i="2"/>
  <c r="A8218" i="2"/>
  <c r="A8219" i="2"/>
  <c r="A8220" i="2"/>
  <c r="A8221" i="2"/>
  <c r="A8222" i="2"/>
  <c r="A8223" i="2"/>
  <c r="A8224" i="2"/>
  <c r="A8225" i="2"/>
  <c r="A8226" i="2"/>
  <c r="A8227" i="2"/>
  <c r="A8228" i="2"/>
  <c r="A8229" i="2"/>
  <c r="A8230" i="2"/>
  <c r="A8231" i="2"/>
  <c r="A8232" i="2"/>
  <c r="A8233" i="2"/>
  <c r="A8234" i="2"/>
  <c r="A8235" i="2"/>
  <c r="A8236" i="2"/>
  <c r="A8237" i="2"/>
  <c r="A8238" i="2"/>
  <c r="A8239" i="2"/>
  <c r="A8240" i="2"/>
  <c r="A8241" i="2"/>
  <c r="A8242" i="2"/>
  <c r="A8243" i="2"/>
  <c r="A8244" i="2"/>
  <c r="A8245" i="2"/>
  <c r="A8246" i="2"/>
  <c r="A8247" i="2"/>
  <c r="A8248" i="2"/>
  <c r="A8249" i="2"/>
  <c r="A8250" i="2"/>
  <c r="A8251" i="2"/>
  <c r="A8252" i="2"/>
  <c r="A8253" i="2"/>
  <c r="A8254" i="2"/>
  <c r="A8255" i="2"/>
  <c r="A8256" i="2"/>
  <c r="A8257" i="2"/>
  <c r="A8258" i="2"/>
  <c r="A8259" i="2"/>
  <c r="A8260" i="2"/>
  <c r="A8261" i="2"/>
  <c r="A8262" i="2"/>
  <c r="A8263" i="2"/>
  <c r="A8264" i="2"/>
  <c r="A8265" i="2"/>
  <c r="A8266" i="2"/>
  <c r="A8267" i="2"/>
  <c r="A8268" i="2"/>
  <c r="A8269" i="2"/>
  <c r="A8270" i="2"/>
  <c r="A8271" i="2"/>
  <c r="A8272" i="2"/>
  <c r="A8273" i="2"/>
  <c r="A8274" i="2"/>
  <c r="A8275" i="2"/>
  <c r="A8276" i="2"/>
  <c r="A8277" i="2"/>
  <c r="A8278" i="2"/>
  <c r="A8279" i="2"/>
  <c r="A8280" i="2"/>
  <c r="A8281" i="2"/>
  <c r="A8282" i="2"/>
  <c r="A8283" i="2"/>
  <c r="A8284" i="2"/>
  <c r="A8285" i="2"/>
  <c r="A8286" i="2"/>
  <c r="A8287" i="2"/>
  <c r="A8288" i="2"/>
  <c r="A8289" i="2"/>
  <c r="A8290" i="2"/>
  <c r="A8291" i="2"/>
  <c r="A8292" i="2"/>
  <c r="A8293" i="2"/>
  <c r="A8294" i="2"/>
  <c r="A8295" i="2"/>
  <c r="A8296" i="2"/>
  <c r="A8297" i="2"/>
  <c r="A8298" i="2"/>
  <c r="A8299" i="2"/>
  <c r="A8300" i="2"/>
  <c r="A8301" i="2"/>
  <c r="A8302" i="2"/>
  <c r="A8303" i="2"/>
  <c r="A8304" i="2"/>
  <c r="A8305" i="2"/>
  <c r="A8306" i="2"/>
  <c r="A8307" i="2"/>
  <c r="A8308" i="2"/>
  <c r="A8309" i="2"/>
  <c r="A8310" i="2"/>
  <c r="A8311" i="2"/>
  <c r="A8312" i="2"/>
  <c r="A8313" i="2"/>
  <c r="A8314" i="2"/>
  <c r="A8315" i="2"/>
  <c r="A8316" i="2"/>
  <c r="A8317" i="2"/>
  <c r="A8318" i="2"/>
  <c r="A8319" i="2"/>
  <c r="A8320" i="2"/>
  <c r="A8321" i="2"/>
  <c r="A8322" i="2"/>
  <c r="A8323" i="2"/>
  <c r="A8324" i="2"/>
  <c r="A8325" i="2"/>
  <c r="A8326" i="2"/>
  <c r="A8327" i="2"/>
  <c r="A8328" i="2"/>
  <c r="A8329" i="2"/>
  <c r="A8330" i="2"/>
  <c r="A8331" i="2"/>
  <c r="A8332" i="2"/>
  <c r="A8333" i="2"/>
  <c r="A8334" i="2"/>
  <c r="A8335" i="2"/>
  <c r="A8336" i="2"/>
  <c r="A8337" i="2"/>
  <c r="A8338" i="2"/>
  <c r="A8339" i="2"/>
  <c r="A8340" i="2"/>
  <c r="A8341" i="2"/>
  <c r="A8342" i="2"/>
  <c r="A8343" i="2"/>
  <c r="A8344" i="2"/>
  <c r="A8345" i="2"/>
  <c r="A8346" i="2"/>
  <c r="A8347" i="2"/>
  <c r="A8348" i="2"/>
  <c r="A8349" i="2"/>
  <c r="A8350" i="2"/>
  <c r="A8351" i="2"/>
  <c r="A8352" i="2"/>
  <c r="A8353" i="2"/>
  <c r="A8354" i="2"/>
  <c r="A8355" i="2"/>
  <c r="A8356" i="2"/>
  <c r="A8357" i="2"/>
  <c r="A8358" i="2"/>
  <c r="A8359" i="2"/>
  <c r="A8360" i="2"/>
  <c r="A8361" i="2"/>
  <c r="A8362" i="2"/>
  <c r="A8363" i="2"/>
  <c r="A8364" i="2"/>
  <c r="A8365" i="2"/>
  <c r="A8366" i="2"/>
  <c r="A8367" i="2"/>
  <c r="A8368" i="2"/>
  <c r="A8369" i="2"/>
  <c r="A8370" i="2"/>
  <c r="A8371" i="2"/>
  <c r="A8372" i="2"/>
  <c r="A8373" i="2"/>
  <c r="A8374" i="2"/>
  <c r="A8375" i="2"/>
  <c r="A8376" i="2"/>
  <c r="A8377" i="2"/>
  <c r="A8378" i="2"/>
  <c r="A8379" i="2"/>
  <c r="A8380" i="2"/>
  <c r="A8381" i="2"/>
  <c r="A8382" i="2"/>
  <c r="A8383" i="2"/>
  <c r="A8384" i="2"/>
  <c r="A8385" i="2"/>
  <c r="A8386" i="2"/>
  <c r="A8387" i="2"/>
  <c r="A8388" i="2"/>
  <c r="A8389" i="2"/>
  <c r="A8390" i="2"/>
  <c r="A8391" i="2"/>
  <c r="A8392" i="2"/>
  <c r="A8393" i="2"/>
  <c r="A8394" i="2"/>
  <c r="A8395" i="2"/>
  <c r="A8396" i="2"/>
  <c r="A8397" i="2"/>
  <c r="A8398" i="2"/>
  <c r="A8399" i="2"/>
  <c r="A8400" i="2"/>
  <c r="A8401" i="2"/>
  <c r="A8402" i="2"/>
  <c r="A8403" i="2"/>
  <c r="A8404" i="2"/>
  <c r="A8405" i="2"/>
  <c r="A8406" i="2"/>
  <c r="A8407" i="2"/>
  <c r="A8408" i="2"/>
  <c r="A8409" i="2"/>
  <c r="A8410" i="2"/>
  <c r="A8411" i="2"/>
  <c r="A8412" i="2"/>
  <c r="A8413" i="2"/>
  <c r="A8414" i="2"/>
  <c r="A8415" i="2"/>
  <c r="A8416" i="2"/>
  <c r="A8417" i="2"/>
  <c r="A8418" i="2"/>
  <c r="A8419" i="2"/>
  <c r="A8420" i="2"/>
  <c r="A8421" i="2"/>
  <c r="A8422" i="2"/>
  <c r="A8423" i="2"/>
  <c r="A8424" i="2"/>
  <c r="A8425" i="2"/>
  <c r="A8426" i="2"/>
  <c r="A8427" i="2"/>
  <c r="A8428" i="2"/>
  <c r="A8429" i="2"/>
  <c r="A8430" i="2"/>
  <c r="A8431" i="2"/>
  <c r="A8432" i="2"/>
  <c r="A8433" i="2"/>
  <c r="A8434" i="2"/>
  <c r="A8435" i="2"/>
  <c r="A8436" i="2"/>
  <c r="A8437" i="2"/>
  <c r="A8438" i="2"/>
  <c r="A8439" i="2"/>
  <c r="A8440" i="2"/>
  <c r="A8441" i="2"/>
  <c r="A8442" i="2"/>
  <c r="A8443" i="2"/>
  <c r="A8444" i="2"/>
  <c r="A8445" i="2"/>
  <c r="A8446" i="2"/>
  <c r="A8447" i="2"/>
  <c r="A8448" i="2"/>
  <c r="A8449" i="2"/>
  <c r="A8450" i="2"/>
  <c r="A8451" i="2"/>
  <c r="A8452" i="2"/>
  <c r="A8453" i="2"/>
  <c r="A8454" i="2"/>
  <c r="A8455" i="2"/>
  <c r="A8456" i="2"/>
  <c r="A8457" i="2"/>
  <c r="A8458" i="2"/>
  <c r="A8459" i="2"/>
  <c r="A8460" i="2"/>
  <c r="A8461" i="2"/>
  <c r="A8462" i="2"/>
  <c r="A8463" i="2"/>
  <c r="A8464" i="2"/>
  <c r="A8465" i="2"/>
  <c r="A8466" i="2"/>
  <c r="A8467" i="2"/>
  <c r="A8468" i="2"/>
  <c r="A8469" i="2"/>
  <c r="A8470" i="2"/>
  <c r="A8471" i="2"/>
  <c r="A8472" i="2"/>
  <c r="A8473" i="2"/>
  <c r="A8474" i="2"/>
  <c r="A8475" i="2"/>
  <c r="A8476" i="2"/>
  <c r="A8477" i="2"/>
  <c r="A8478" i="2"/>
  <c r="A8479" i="2"/>
  <c r="A8480" i="2"/>
  <c r="A8481" i="2"/>
  <c r="A8482" i="2"/>
  <c r="A8483" i="2"/>
  <c r="A8484" i="2"/>
  <c r="A8485" i="2"/>
  <c r="A8486" i="2"/>
  <c r="A8487" i="2"/>
  <c r="A8488" i="2"/>
  <c r="A8489" i="2"/>
  <c r="A8490" i="2"/>
  <c r="A8491" i="2"/>
  <c r="A8492" i="2"/>
  <c r="A8493" i="2"/>
  <c r="A8494" i="2"/>
  <c r="A8495" i="2"/>
  <c r="A8496" i="2"/>
  <c r="A8497" i="2"/>
  <c r="A8498" i="2"/>
  <c r="A8499" i="2"/>
  <c r="A8500" i="2"/>
  <c r="A8501" i="2"/>
  <c r="A8502" i="2"/>
  <c r="A8503" i="2"/>
  <c r="A8504" i="2"/>
  <c r="A8505" i="2"/>
  <c r="A8506" i="2"/>
  <c r="A8507" i="2"/>
  <c r="A8508" i="2"/>
  <c r="A8509" i="2"/>
  <c r="A8510" i="2"/>
  <c r="A8511" i="2"/>
  <c r="A8512" i="2"/>
  <c r="A8513" i="2"/>
  <c r="A8514" i="2"/>
  <c r="A8515" i="2"/>
  <c r="A8516" i="2"/>
  <c r="A8517" i="2"/>
  <c r="A8518" i="2"/>
  <c r="A8519" i="2"/>
  <c r="A8520" i="2"/>
  <c r="A8521" i="2"/>
  <c r="A8522" i="2"/>
  <c r="A8523" i="2"/>
  <c r="A8524" i="2"/>
  <c r="A8525" i="2"/>
  <c r="A8526" i="2"/>
  <c r="A8527" i="2"/>
  <c r="A8528" i="2"/>
  <c r="A8529" i="2"/>
  <c r="A8530" i="2"/>
  <c r="A8531" i="2"/>
  <c r="A8532" i="2"/>
  <c r="A8533" i="2"/>
  <c r="A8534" i="2"/>
  <c r="A8535" i="2"/>
  <c r="A8536" i="2"/>
  <c r="A8537" i="2"/>
  <c r="A8538" i="2"/>
  <c r="A8539" i="2"/>
  <c r="A8540" i="2"/>
  <c r="A8541" i="2"/>
  <c r="A8542" i="2"/>
  <c r="A8543" i="2"/>
  <c r="A8544" i="2"/>
  <c r="A8545" i="2"/>
  <c r="A8546" i="2"/>
  <c r="A8547" i="2"/>
  <c r="A8548" i="2"/>
  <c r="A8549" i="2"/>
  <c r="A8550" i="2"/>
  <c r="A8551" i="2"/>
  <c r="A8552" i="2"/>
  <c r="A8553" i="2"/>
  <c r="A8554" i="2"/>
  <c r="A8555" i="2"/>
  <c r="A8556" i="2"/>
  <c r="A8557" i="2"/>
  <c r="A8558" i="2"/>
  <c r="A8559" i="2"/>
  <c r="A8560" i="2"/>
  <c r="A8561" i="2"/>
  <c r="A8562" i="2"/>
  <c r="A8563" i="2"/>
  <c r="A8564" i="2"/>
  <c r="A8565" i="2"/>
  <c r="A8566" i="2"/>
  <c r="A8567" i="2"/>
  <c r="A8568" i="2"/>
  <c r="A8569" i="2"/>
  <c r="A8570" i="2"/>
  <c r="A8571" i="2"/>
  <c r="A8572" i="2"/>
  <c r="A8573" i="2"/>
  <c r="A8574" i="2"/>
  <c r="A8575" i="2"/>
  <c r="A8576" i="2"/>
  <c r="A8577" i="2"/>
  <c r="A8578" i="2"/>
  <c r="A8579" i="2"/>
  <c r="A8580" i="2"/>
  <c r="A8581" i="2"/>
  <c r="A8582" i="2"/>
  <c r="A8583" i="2"/>
  <c r="A8584" i="2"/>
  <c r="A8585" i="2"/>
  <c r="A8586" i="2"/>
  <c r="A8587" i="2"/>
  <c r="A8588" i="2"/>
  <c r="A8589" i="2"/>
  <c r="A8590" i="2"/>
  <c r="A8591" i="2"/>
  <c r="A8592" i="2"/>
  <c r="A8593" i="2"/>
  <c r="A8594" i="2"/>
  <c r="A8595" i="2"/>
  <c r="A8596" i="2"/>
  <c r="A8597" i="2"/>
  <c r="A8598" i="2"/>
  <c r="A8599" i="2"/>
  <c r="A8600" i="2"/>
  <c r="A8601" i="2"/>
  <c r="A8602" i="2"/>
  <c r="A8603" i="2"/>
  <c r="A8604" i="2"/>
  <c r="A8605" i="2"/>
  <c r="A8606" i="2"/>
  <c r="A8607" i="2"/>
  <c r="A8608" i="2"/>
  <c r="A8609" i="2"/>
  <c r="A8610" i="2"/>
  <c r="A8611" i="2"/>
  <c r="A8612" i="2"/>
  <c r="A8613" i="2"/>
  <c r="A8614" i="2"/>
  <c r="A8615" i="2"/>
  <c r="A8616" i="2"/>
  <c r="A8617" i="2"/>
  <c r="A8618" i="2"/>
  <c r="A8619" i="2"/>
  <c r="A8620" i="2"/>
  <c r="A8621" i="2"/>
  <c r="A8622" i="2"/>
  <c r="A8623" i="2"/>
  <c r="A8624" i="2"/>
  <c r="A8625" i="2"/>
  <c r="A8626" i="2"/>
  <c r="A8627" i="2"/>
  <c r="A8628" i="2"/>
  <c r="A8629" i="2"/>
  <c r="A8630" i="2"/>
  <c r="A8631" i="2"/>
  <c r="A8632" i="2"/>
  <c r="A8633" i="2"/>
  <c r="A8634" i="2"/>
  <c r="A8635" i="2"/>
  <c r="A8636" i="2"/>
  <c r="A8637" i="2"/>
  <c r="A8638" i="2"/>
  <c r="A8639" i="2"/>
  <c r="A8640" i="2"/>
  <c r="A8641" i="2"/>
  <c r="A8642" i="2"/>
  <c r="A8643" i="2"/>
  <c r="A8644" i="2"/>
  <c r="A8645" i="2"/>
  <c r="A8646" i="2"/>
  <c r="A8647" i="2"/>
  <c r="A8648" i="2"/>
  <c r="A8649" i="2"/>
  <c r="A8650" i="2"/>
  <c r="A8651" i="2"/>
  <c r="A8652" i="2"/>
  <c r="A8653" i="2"/>
  <c r="A8654" i="2"/>
  <c r="A8655" i="2"/>
  <c r="A8656" i="2"/>
  <c r="A8657" i="2"/>
  <c r="A8658" i="2"/>
  <c r="A8659" i="2"/>
  <c r="A8660" i="2"/>
  <c r="A8661" i="2"/>
  <c r="A8662" i="2"/>
  <c r="A8663" i="2"/>
  <c r="A8664" i="2"/>
  <c r="A8665" i="2"/>
  <c r="A8666" i="2"/>
  <c r="A8667" i="2"/>
  <c r="A8668" i="2"/>
  <c r="A8669" i="2"/>
  <c r="A8670" i="2"/>
  <c r="A8671" i="2"/>
  <c r="A8672" i="2"/>
  <c r="A8673" i="2"/>
  <c r="A8674" i="2"/>
  <c r="A8675" i="2"/>
  <c r="A8676" i="2"/>
  <c r="A8677" i="2"/>
  <c r="A8678" i="2"/>
  <c r="A8679" i="2"/>
  <c r="A8680" i="2"/>
  <c r="A8681" i="2"/>
  <c r="A8682" i="2"/>
  <c r="A8683" i="2"/>
  <c r="A8684" i="2"/>
  <c r="A8685" i="2"/>
  <c r="A8686" i="2"/>
  <c r="A8687" i="2"/>
  <c r="A8688" i="2"/>
  <c r="A8689" i="2"/>
  <c r="A8690" i="2"/>
  <c r="A8691" i="2"/>
  <c r="A8692" i="2"/>
  <c r="A8693" i="2"/>
  <c r="A8694" i="2"/>
  <c r="A8695" i="2"/>
  <c r="A8696" i="2"/>
  <c r="A8697" i="2"/>
  <c r="A8698" i="2"/>
  <c r="A8699" i="2"/>
  <c r="A8700" i="2"/>
  <c r="A8701" i="2"/>
  <c r="A8702" i="2"/>
  <c r="A8703" i="2"/>
  <c r="A8704" i="2"/>
  <c r="A8705" i="2"/>
  <c r="A8706" i="2"/>
  <c r="A8707" i="2"/>
  <c r="A8708" i="2"/>
  <c r="A8709" i="2"/>
  <c r="A8710" i="2"/>
  <c r="A8711" i="2"/>
  <c r="A8712" i="2"/>
  <c r="A8713" i="2"/>
  <c r="A8714" i="2"/>
  <c r="A8715" i="2"/>
  <c r="A8716" i="2"/>
  <c r="A8717" i="2"/>
  <c r="A8718" i="2"/>
  <c r="A8719" i="2"/>
  <c r="A8720" i="2"/>
  <c r="A8721" i="2"/>
  <c r="A8722" i="2"/>
  <c r="A8723" i="2"/>
  <c r="A8724" i="2"/>
  <c r="A8725" i="2"/>
  <c r="A8726" i="2"/>
  <c r="A8727" i="2"/>
  <c r="A8728" i="2"/>
  <c r="A8729" i="2"/>
  <c r="A8730" i="2"/>
  <c r="A8731" i="2"/>
  <c r="A8732" i="2"/>
  <c r="A8733" i="2"/>
  <c r="A8734" i="2"/>
  <c r="A8735" i="2"/>
  <c r="A8736" i="2"/>
  <c r="A8737" i="2"/>
  <c r="A8738" i="2"/>
  <c r="A8739" i="2"/>
  <c r="A8740" i="2"/>
  <c r="A8741" i="2"/>
  <c r="A8742" i="2"/>
  <c r="A8743" i="2"/>
  <c r="A8744" i="2"/>
  <c r="A8745" i="2"/>
  <c r="A8746" i="2"/>
  <c r="A8747" i="2"/>
  <c r="A8748" i="2"/>
  <c r="A8749" i="2"/>
  <c r="A8750" i="2"/>
  <c r="A8751" i="2"/>
  <c r="A8752" i="2"/>
  <c r="A8753" i="2"/>
  <c r="A8754" i="2"/>
  <c r="A8755" i="2"/>
  <c r="A8756" i="2"/>
  <c r="A8757" i="2"/>
  <c r="A8758" i="2"/>
  <c r="A8759" i="2"/>
  <c r="A8760" i="2"/>
  <c r="A8761" i="2"/>
  <c r="A8762" i="2"/>
  <c r="A8763" i="2"/>
  <c r="A8764" i="2"/>
  <c r="A8765" i="2"/>
  <c r="A8766" i="2"/>
  <c r="A8767" i="2"/>
  <c r="A8768" i="2"/>
  <c r="A8769" i="2"/>
  <c r="A8770" i="2"/>
  <c r="A8771" i="2"/>
  <c r="A8772" i="2"/>
  <c r="A8773" i="2"/>
  <c r="A8774" i="2"/>
  <c r="A8775" i="2"/>
  <c r="A8776" i="2"/>
  <c r="A8777" i="2"/>
  <c r="A8778" i="2"/>
  <c r="A8779" i="2"/>
  <c r="A8780" i="2"/>
  <c r="A8781" i="2"/>
  <c r="A8782" i="2"/>
  <c r="A8783" i="2"/>
  <c r="A8784" i="2"/>
  <c r="A8785" i="2"/>
  <c r="A8786" i="2"/>
  <c r="A8787" i="2"/>
  <c r="A8788" i="2"/>
  <c r="A8789" i="2"/>
  <c r="A8790" i="2"/>
  <c r="A8791" i="2"/>
  <c r="A8792" i="2"/>
  <c r="A8793" i="2"/>
  <c r="A8794" i="2"/>
  <c r="A8795" i="2"/>
  <c r="A8796" i="2"/>
  <c r="A8797" i="2"/>
  <c r="A8798" i="2"/>
  <c r="A8799" i="2"/>
  <c r="A8800" i="2"/>
  <c r="A8801" i="2"/>
  <c r="A8802" i="2"/>
  <c r="A8803" i="2"/>
  <c r="A8804" i="2"/>
  <c r="A8805" i="2"/>
  <c r="A8806" i="2"/>
  <c r="A8807" i="2"/>
  <c r="A8808" i="2"/>
  <c r="A8809" i="2"/>
  <c r="A8810" i="2"/>
  <c r="A8811" i="2"/>
  <c r="A8812" i="2"/>
  <c r="A8813" i="2"/>
  <c r="A8814" i="2"/>
  <c r="A8815" i="2"/>
  <c r="A8816" i="2"/>
  <c r="A8817" i="2"/>
  <c r="A8818" i="2"/>
  <c r="A8819" i="2"/>
  <c r="A8820" i="2"/>
  <c r="A8821" i="2"/>
  <c r="A8822" i="2"/>
  <c r="A8823" i="2"/>
  <c r="A8824" i="2"/>
  <c r="A8825" i="2"/>
  <c r="A8826" i="2"/>
  <c r="A8827" i="2"/>
  <c r="A8828" i="2"/>
  <c r="A8829" i="2"/>
  <c r="A8830" i="2"/>
  <c r="A8831" i="2"/>
  <c r="A8832" i="2"/>
  <c r="A8833" i="2"/>
  <c r="A8834" i="2"/>
  <c r="A8835" i="2"/>
  <c r="A8836" i="2"/>
  <c r="A8837" i="2"/>
  <c r="A8838" i="2"/>
  <c r="A8839" i="2"/>
  <c r="A8840" i="2"/>
  <c r="A8841" i="2"/>
  <c r="A8842" i="2"/>
  <c r="A8843" i="2"/>
  <c r="A8844" i="2"/>
  <c r="A8845" i="2"/>
  <c r="A8846" i="2"/>
  <c r="A8847" i="2"/>
  <c r="A8848" i="2"/>
  <c r="A8849" i="2"/>
  <c r="A8850" i="2"/>
  <c r="A8851" i="2"/>
  <c r="A8852" i="2"/>
  <c r="A8853" i="2"/>
  <c r="A8854" i="2"/>
  <c r="A8855" i="2"/>
  <c r="A8856" i="2"/>
  <c r="A8857" i="2"/>
  <c r="A8858" i="2"/>
  <c r="A8859" i="2"/>
  <c r="A8860" i="2"/>
  <c r="A8861" i="2"/>
  <c r="A8862" i="2"/>
  <c r="A8863" i="2"/>
  <c r="A8864" i="2"/>
  <c r="A8865" i="2"/>
  <c r="A8866" i="2"/>
  <c r="A8867" i="2"/>
  <c r="A8868" i="2"/>
  <c r="A8869" i="2"/>
  <c r="A8870" i="2"/>
  <c r="A8871" i="2"/>
  <c r="A8872" i="2"/>
  <c r="A8873" i="2"/>
  <c r="A8874" i="2"/>
  <c r="A8875" i="2"/>
  <c r="A8876" i="2"/>
  <c r="A8877" i="2"/>
  <c r="A8878" i="2"/>
  <c r="A8879" i="2"/>
  <c r="A8880" i="2"/>
  <c r="A8881" i="2"/>
  <c r="A8882" i="2"/>
  <c r="A8883" i="2"/>
  <c r="A8884" i="2"/>
  <c r="A8885" i="2"/>
  <c r="A8886" i="2"/>
  <c r="A8887" i="2"/>
  <c r="A8888" i="2"/>
  <c r="A8889" i="2"/>
  <c r="A8890" i="2"/>
  <c r="A8891" i="2"/>
  <c r="A8892" i="2"/>
  <c r="A8893" i="2"/>
  <c r="A8894" i="2"/>
  <c r="A8895" i="2"/>
  <c r="A8896" i="2"/>
  <c r="A8897" i="2"/>
  <c r="A8898" i="2"/>
  <c r="A8899" i="2"/>
  <c r="A8900" i="2"/>
  <c r="A8901" i="2"/>
  <c r="A8902" i="2"/>
  <c r="A8903" i="2"/>
  <c r="A8904" i="2"/>
  <c r="A8905" i="2"/>
  <c r="A8906" i="2"/>
  <c r="A8907" i="2"/>
  <c r="A8908" i="2"/>
  <c r="A8909" i="2"/>
  <c r="A8910" i="2"/>
  <c r="A8911" i="2"/>
  <c r="A8912" i="2"/>
  <c r="A8913" i="2"/>
  <c r="A8914" i="2"/>
  <c r="A8915" i="2"/>
  <c r="A8916" i="2"/>
  <c r="A8917" i="2"/>
  <c r="A8918" i="2"/>
  <c r="A8919" i="2"/>
  <c r="A8920" i="2"/>
  <c r="A8921" i="2"/>
  <c r="A8922" i="2"/>
  <c r="A8923" i="2"/>
  <c r="A8924" i="2"/>
  <c r="A8925" i="2"/>
  <c r="A8926" i="2"/>
  <c r="A8927" i="2"/>
  <c r="A8928" i="2"/>
  <c r="A8929" i="2"/>
  <c r="A8930" i="2"/>
  <c r="A8931" i="2"/>
  <c r="A8932" i="2"/>
  <c r="A8933" i="2"/>
  <c r="A8934" i="2"/>
  <c r="A8935" i="2"/>
  <c r="A8936" i="2"/>
  <c r="A8937" i="2"/>
  <c r="A8938" i="2"/>
  <c r="A8939" i="2"/>
  <c r="A8940" i="2"/>
  <c r="A8941" i="2"/>
  <c r="A8942" i="2"/>
  <c r="A8943" i="2"/>
  <c r="A8944" i="2"/>
  <c r="A8945" i="2"/>
  <c r="A8946" i="2"/>
  <c r="A8947" i="2"/>
  <c r="A8948" i="2"/>
  <c r="A8949" i="2"/>
  <c r="A8950" i="2"/>
  <c r="A8951" i="2"/>
  <c r="A8952" i="2"/>
  <c r="A8953" i="2"/>
  <c r="A8954" i="2"/>
  <c r="A8955" i="2"/>
  <c r="A8956" i="2"/>
  <c r="A8957" i="2"/>
  <c r="A8958" i="2"/>
  <c r="A8959" i="2"/>
  <c r="A8960" i="2"/>
  <c r="A8961" i="2"/>
  <c r="A8962" i="2"/>
  <c r="A8963" i="2"/>
  <c r="A8964" i="2"/>
  <c r="A8965" i="2"/>
  <c r="A8966" i="2"/>
  <c r="A8967" i="2"/>
  <c r="A8968" i="2"/>
  <c r="A8969" i="2"/>
  <c r="A8970" i="2"/>
  <c r="A8971" i="2"/>
  <c r="A8972" i="2"/>
  <c r="A8973" i="2"/>
  <c r="A8974" i="2"/>
  <c r="A8975" i="2"/>
  <c r="A8976" i="2"/>
  <c r="A8977" i="2"/>
  <c r="A8978" i="2"/>
  <c r="A8979" i="2"/>
  <c r="A8980" i="2"/>
  <c r="A8981" i="2"/>
  <c r="A8982" i="2"/>
  <c r="A8983" i="2"/>
  <c r="A8984" i="2"/>
  <c r="A8985" i="2"/>
  <c r="A8986" i="2"/>
  <c r="A8987" i="2"/>
  <c r="A8988" i="2"/>
  <c r="A8989" i="2"/>
  <c r="A8990" i="2"/>
  <c r="A8991" i="2"/>
  <c r="A8992" i="2"/>
  <c r="A8993" i="2"/>
  <c r="A8994" i="2"/>
  <c r="A8995" i="2"/>
  <c r="A8996" i="2"/>
  <c r="A8997" i="2"/>
  <c r="A8998" i="2"/>
  <c r="A8999" i="2"/>
  <c r="A9000" i="2"/>
  <c r="A9001" i="2"/>
  <c r="A9002" i="2"/>
  <c r="A9003" i="2"/>
  <c r="A9004" i="2"/>
  <c r="A9005" i="2"/>
  <c r="A9006" i="2"/>
  <c r="A9007" i="2"/>
  <c r="A9008" i="2"/>
  <c r="A9009" i="2"/>
  <c r="A9010" i="2"/>
  <c r="A9011" i="2"/>
  <c r="A9012" i="2"/>
  <c r="A9013" i="2"/>
  <c r="A9014" i="2"/>
  <c r="A9015" i="2"/>
  <c r="A9016" i="2"/>
  <c r="A9017" i="2"/>
  <c r="A9018" i="2"/>
  <c r="A9019" i="2"/>
  <c r="A9020" i="2"/>
  <c r="A9021" i="2"/>
  <c r="A9022" i="2"/>
  <c r="A9023" i="2"/>
  <c r="A9024" i="2"/>
  <c r="A9025" i="2"/>
  <c r="A9026" i="2"/>
  <c r="A9027" i="2"/>
  <c r="A9028" i="2"/>
  <c r="A9029" i="2"/>
  <c r="A9030" i="2"/>
  <c r="A9031" i="2"/>
  <c r="A9032" i="2"/>
  <c r="A9033" i="2"/>
  <c r="A9034" i="2"/>
  <c r="A9035" i="2"/>
  <c r="A9036" i="2"/>
  <c r="A9037" i="2"/>
  <c r="A9038" i="2"/>
  <c r="A9039" i="2"/>
  <c r="A9040" i="2"/>
  <c r="A9041" i="2"/>
  <c r="A9042" i="2"/>
  <c r="A9043" i="2"/>
  <c r="A9044" i="2"/>
  <c r="A9045" i="2"/>
  <c r="A9046" i="2"/>
  <c r="A9047" i="2"/>
  <c r="A9048" i="2"/>
  <c r="A9049" i="2"/>
  <c r="A9050" i="2"/>
  <c r="A9051" i="2"/>
  <c r="A9052" i="2"/>
  <c r="A9053" i="2"/>
  <c r="A9054" i="2"/>
  <c r="A9055" i="2"/>
  <c r="A9056" i="2"/>
  <c r="A9057" i="2"/>
  <c r="A9058" i="2"/>
  <c r="A9059" i="2"/>
  <c r="A9060" i="2"/>
  <c r="A9061" i="2"/>
  <c r="A9062" i="2"/>
  <c r="A9063" i="2"/>
  <c r="A9064" i="2"/>
  <c r="A9065" i="2"/>
  <c r="A9066" i="2"/>
  <c r="A9067" i="2"/>
  <c r="A9068" i="2"/>
  <c r="A9069" i="2"/>
  <c r="A9070" i="2"/>
  <c r="A9071" i="2"/>
  <c r="A9072" i="2"/>
  <c r="A9073" i="2"/>
  <c r="A9074" i="2"/>
  <c r="A9075" i="2"/>
  <c r="A9076" i="2"/>
  <c r="A9077" i="2"/>
  <c r="A9078" i="2"/>
  <c r="A9079" i="2"/>
  <c r="A9080" i="2"/>
  <c r="A9081" i="2"/>
  <c r="A9082" i="2"/>
  <c r="A9083" i="2"/>
  <c r="A9084" i="2"/>
  <c r="A9085" i="2"/>
  <c r="A9086" i="2"/>
  <c r="A9087" i="2"/>
  <c r="A9088" i="2"/>
  <c r="A9089" i="2"/>
  <c r="A9090" i="2"/>
  <c r="A9091" i="2"/>
  <c r="A9092" i="2"/>
  <c r="A9093" i="2"/>
  <c r="A9094" i="2"/>
  <c r="A9095" i="2"/>
  <c r="A9096" i="2"/>
  <c r="A9097" i="2"/>
  <c r="A9098" i="2"/>
  <c r="A9099" i="2"/>
  <c r="A9100" i="2"/>
  <c r="A9101" i="2"/>
  <c r="A9102" i="2"/>
  <c r="A9103" i="2"/>
  <c r="A9104" i="2"/>
  <c r="A9105" i="2"/>
  <c r="A9106" i="2"/>
  <c r="A9107" i="2"/>
  <c r="A9108" i="2"/>
  <c r="A9109" i="2"/>
  <c r="A9110" i="2"/>
  <c r="A9111" i="2"/>
  <c r="A9112" i="2"/>
  <c r="A9113" i="2"/>
  <c r="A9114" i="2"/>
  <c r="A9115" i="2"/>
  <c r="A9116" i="2"/>
  <c r="A9117" i="2"/>
  <c r="A9118" i="2"/>
  <c r="A9119" i="2"/>
  <c r="A9120" i="2"/>
  <c r="A9121" i="2"/>
  <c r="A9122" i="2"/>
  <c r="A9123" i="2"/>
  <c r="A9124" i="2"/>
  <c r="A9125" i="2"/>
  <c r="A9126" i="2"/>
  <c r="A9127" i="2"/>
  <c r="A9128" i="2"/>
  <c r="A9129" i="2"/>
  <c r="A9130" i="2"/>
  <c r="A9131" i="2"/>
  <c r="A9132" i="2"/>
  <c r="A9133" i="2"/>
  <c r="A9134" i="2"/>
  <c r="A9135" i="2"/>
  <c r="A9136" i="2"/>
  <c r="A9137" i="2"/>
  <c r="A9138" i="2"/>
  <c r="A9139" i="2"/>
  <c r="A9140" i="2"/>
  <c r="A9141" i="2"/>
  <c r="A9142" i="2"/>
  <c r="A9143" i="2"/>
  <c r="A9144" i="2"/>
  <c r="A9145" i="2"/>
  <c r="A9146" i="2"/>
  <c r="A9147" i="2"/>
  <c r="A9148" i="2"/>
  <c r="A9149" i="2"/>
  <c r="A9150" i="2"/>
  <c r="A9151" i="2"/>
  <c r="A9152" i="2"/>
  <c r="A9153" i="2"/>
  <c r="A9154" i="2"/>
  <c r="A9155" i="2"/>
  <c r="A9156" i="2"/>
  <c r="A9157" i="2"/>
  <c r="A9158" i="2"/>
  <c r="A9159" i="2"/>
  <c r="A9160" i="2"/>
  <c r="A9161" i="2"/>
  <c r="A9162" i="2"/>
  <c r="A9163" i="2"/>
  <c r="A9164" i="2"/>
  <c r="A9165" i="2"/>
  <c r="A9166" i="2"/>
  <c r="A9167" i="2"/>
  <c r="A9168" i="2"/>
  <c r="A9169" i="2"/>
  <c r="A9170" i="2"/>
  <c r="A9171" i="2"/>
  <c r="A9172" i="2"/>
  <c r="A9173" i="2"/>
  <c r="A9174" i="2"/>
  <c r="A9175" i="2"/>
  <c r="A9176" i="2"/>
  <c r="A9177" i="2"/>
  <c r="A9178" i="2"/>
  <c r="A9179" i="2"/>
  <c r="A9180" i="2"/>
  <c r="A9181" i="2"/>
  <c r="A9182" i="2"/>
  <c r="A9183" i="2"/>
  <c r="A9184" i="2"/>
  <c r="A9185" i="2"/>
  <c r="A9186" i="2"/>
  <c r="A9187" i="2"/>
  <c r="A9188" i="2"/>
  <c r="A9189" i="2"/>
  <c r="A9190" i="2"/>
  <c r="A9191" i="2"/>
  <c r="A9192" i="2"/>
  <c r="A9193" i="2"/>
  <c r="A9194" i="2"/>
  <c r="A9195" i="2"/>
  <c r="A9196" i="2"/>
  <c r="A9197" i="2"/>
  <c r="A9198" i="2"/>
  <c r="A9199" i="2"/>
  <c r="A9200" i="2"/>
  <c r="A9201" i="2"/>
  <c r="A9202" i="2"/>
  <c r="A9203" i="2"/>
  <c r="A9204" i="2"/>
  <c r="A9205" i="2"/>
  <c r="A9206" i="2"/>
  <c r="A9207" i="2"/>
  <c r="A9208" i="2"/>
  <c r="A9209" i="2"/>
  <c r="A9210" i="2"/>
  <c r="A9211" i="2"/>
  <c r="A9212" i="2"/>
  <c r="A9213" i="2"/>
  <c r="A9214" i="2"/>
  <c r="A9215" i="2"/>
  <c r="A9216" i="2"/>
  <c r="A9217" i="2"/>
  <c r="A9218" i="2"/>
  <c r="A9219" i="2"/>
  <c r="A9220" i="2"/>
  <c r="A9221" i="2"/>
  <c r="A9222" i="2"/>
  <c r="A9223" i="2"/>
  <c r="A9224" i="2"/>
  <c r="A9225" i="2"/>
  <c r="A9226" i="2"/>
  <c r="A9227" i="2"/>
  <c r="A9228" i="2"/>
  <c r="A9229" i="2"/>
  <c r="A9230" i="2"/>
  <c r="A9231" i="2"/>
  <c r="A9232" i="2"/>
  <c r="A9233" i="2"/>
  <c r="A9234" i="2"/>
  <c r="A9235" i="2"/>
  <c r="A9236" i="2"/>
  <c r="A9237" i="2"/>
  <c r="A9238" i="2"/>
  <c r="A9239" i="2"/>
  <c r="A9240" i="2"/>
  <c r="A9241" i="2"/>
  <c r="A9242" i="2"/>
  <c r="A9243" i="2"/>
  <c r="A9244" i="2"/>
  <c r="A9245" i="2"/>
  <c r="A9246" i="2"/>
  <c r="A9247" i="2"/>
  <c r="A9248" i="2"/>
  <c r="A9249" i="2"/>
  <c r="A9250" i="2"/>
  <c r="A9251" i="2"/>
  <c r="A9252" i="2"/>
  <c r="A9253" i="2"/>
  <c r="A9254" i="2"/>
  <c r="A9255" i="2"/>
  <c r="A9256" i="2"/>
  <c r="A9257" i="2"/>
  <c r="A9258" i="2"/>
  <c r="A9259" i="2"/>
  <c r="A9260" i="2"/>
  <c r="A9261" i="2"/>
  <c r="A9262" i="2"/>
  <c r="A9263" i="2"/>
  <c r="A9264" i="2"/>
  <c r="A9265" i="2"/>
  <c r="A9266" i="2"/>
  <c r="A9267" i="2"/>
  <c r="A9268" i="2"/>
  <c r="A9269" i="2"/>
  <c r="A9270" i="2"/>
  <c r="A9271" i="2"/>
  <c r="A9272" i="2"/>
  <c r="A9273" i="2"/>
  <c r="A9274" i="2"/>
  <c r="A9275" i="2"/>
  <c r="A9276" i="2"/>
  <c r="A9277" i="2"/>
  <c r="A9278" i="2"/>
  <c r="A9279" i="2"/>
  <c r="A9280" i="2"/>
  <c r="A9281" i="2"/>
  <c r="A9282" i="2"/>
  <c r="A9283" i="2"/>
  <c r="A9284" i="2"/>
  <c r="A9285" i="2"/>
  <c r="A9286" i="2"/>
  <c r="A9287" i="2"/>
  <c r="A9288" i="2"/>
  <c r="A9289" i="2"/>
  <c r="A9290" i="2"/>
  <c r="A9291" i="2"/>
  <c r="A9292" i="2"/>
  <c r="A9293" i="2"/>
  <c r="A9294" i="2"/>
  <c r="A9295" i="2"/>
  <c r="A9296" i="2"/>
  <c r="A9297" i="2"/>
  <c r="A9298" i="2"/>
  <c r="A9299" i="2"/>
  <c r="A9300" i="2"/>
  <c r="A9301" i="2"/>
  <c r="A9302" i="2"/>
  <c r="A9303" i="2"/>
  <c r="A9304" i="2"/>
  <c r="A9305" i="2"/>
  <c r="A9306" i="2"/>
  <c r="A9307" i="2"/>
  <c r="A9308" i="2"/>
  <c r="A9309" i="2"/>
  <c r="A9310" i="2"/>
  <c r="A9311" i="2"/>
  <c r="A9312" i="2"/>
  <c r="A9313" i="2"/>
  <c r="A9314" i="2"/>
  <c r="A9315" i="2"/>
  <c r="A9316" i="2"/>
  <c r="A9317" i="2"/>
  <c r="A9318" i="2"/>
  <c r="A9319" i="2"/>
  <c r="A9320" i="2"/>
  <c r="A9321" i="2"/>
  <c r="A9322" i="2"/>
  <c r="A9323" i="2"/>
  <c r="A9324" i="2"/>
  <c r="A9325" i="2"/>
  <c r="A9326" i="2"/>
  <c r="A9327" i="2"/>
  <c r="A9328" i="2"/>
  <c r="A9329" i="2"/>
  <c r="A9330" i="2"/>
  <c r="A9331" i="2"/>
  <c r="A9332" i="2"/>
  <c r="A9333" i="2"/>
  <c r="A9334" i="2"/>
  <c r="A9335" i="2"/>
  <c r="A9336" i="2"/>
  <c r="A9337" i="2"/>
  <c r="A9338" i="2"/>
  <c r="A9339" i="2"/>
  <c r="A9340" i="2"/>
  <c r="A9341" i="2"/>
  <c r="A9342" i="2"/>
  <c r="A9343" i="2"/>
  <c r="A9344" i="2"/>
  <c r="A9345" i="2"/>
  <c r="A9346" i="2"/>
  <c r="A9347" i="2"/>
  <c r="A9348" i="2"/>
  <c r="A9349" i="2"/>
  <c r="A9350" i="2"/>
  <c r="A9351" i="2"/>
  <c r="A9352" i="2"/>
  <c r="A9353" i="2"/>
  <c r="A9354" i="2"/>
  <c r="A9355" i="2"/>
  <c r="A9356" i="2"/>
  <c r="A9357" i="2"/>
  <c r="A9358" i="2"/>
  <c r="A9359" i="2"/>
  <c r="A9360" i="2"/>
  <c r="A9361" i="2"/>
  <c r="A9362" i="2"/>
  <c r="A9363" i="2"/>
  <c r="A9364" i="2"/>
  <c r="A9365" i="2"/>
  <c r="A9366" i="2"/>
  <c r="A9367" i="2"/>
  <c r="A9368" i="2"/>
  <c r="A9369" i="2"/>
  <c r="A9370" i="2"/>
  <c r="A9371" i="2"/>
  <c r="A9372" i="2"/>
  <c r="A9373" i="2"/>
  <c r="A9374" i="2"/>
  <c r="A9375" i="2"/>
  <c r="A9376" i="2"/>
  <c r="A9377" i="2"/>
  <c r="A9378" i="2"/>
  <c r="A9379" i="2"/>
  <c r="A9380" i="2"/>
  <c r="A9381" i="2"/>
  <c r="A9382" i="2"/>
  <c r="A9383" i="2"/>
  <c r="A9384" i="2"/>
  <c r="A9385" i="2"/>
  <c r="A9386" i="2"/>
  <c r="A9387" i="2"/>
  <c r="A9388" i="2"/>
  <c r="A9389" i="2"/>
  <c r="A9390" i="2"/>
  <c r="A9391" i="2"/>
  <c r="A9392" i="2"/>
  <c r="A9393" i="2"/>
  <c r="A9394" i="2"/>
  <c r="A9395" i="2"/>
  <c r="A9396" i="2"/>
  <c r="A9397" i="2"/>
  <c r="A9398" i="2"/>
  <c r="A9399" i="2"/>
  <c r="A9400" i="2"/>
  <c r="A9401" i="2"/>
  <c r="A9402" i="2"/>
  <c r="A9403" i="2"/>
  <c r="A9404" i="2"/>
  <c r="A9405" i="2"/>
  <c r="A9406" i="2"/>
  <c r="A9407" i="2"/>
  <c r="A9408" i="2"/>
  <c r="A9409" i="2"/>
  <c r="A9410" i="2"/>
  <c r="A9411" i="2"/>
  <c r="A9412" i="2"/>
  <c r="A9413" i="2"/>
  <c r="A9414" i="2"/>
  <c r="A9415" i="2"/>
  <c r="A9416" i="2"/>
  <c r="A9417" i="2"/>
  <c r="A9418" i="2"/>
  <c r="A9419" i="2"/>
  <c r="A9420" i="2"/>
  <c r="A9421" i="2"/>
  <c r="A9422" i="2"/>
  <c r="A9423" i="2"/>
  <c r="A9424" i="2"/>
  <c r="A9425" i="2"/>
  <c r="A9426" i="2"/>
  <c r="A9427" i="2"/>
  <c r="A9428" i="2"/>
  <c r="A9429" i="2"/>
  <c r="A9430" i="2"/>
  <c r="A9431" i="2"/>
  <c r="A9432" i="2"/>
  <c r="A9433" i="2"/>
  <c r="A9434" i="2"/>
  <c r="A9435" i="2"/>
  <c r="A9436" i="2"/>
  <c r="A9437" i="2"/>
  <c r="A9438" i="2"/>
  <c r="A9439" i="2"/>
  <c r="A9440" i="2"/>
  <c r="A9441" i="2"/>
  <c r="A9442" i="2"/>
  <c r="A9443" i="2"/>
  <c r="A9444" i="2"/>
  <c r="A9445" i="2"/>
  <c r="A9446" i="2"/>
  <c r="A9447" i="2"/>
  <c r="A9448" i="2"/>
  <c r="A9449" i="2"/>
  <c r="A9450" i="2"/>
  <c r="A9451" i="2"/>
  <c r="A9452" i="2"/>
  <c r="A9453" i="2"/>
  <c r="A9454" i="2"/>
  <c r="A9455" i="2"/>
  <c r="A9456" i="2"/>
  <c r="A9457" i="2"/>
  <c r="A9458" i="2"/>
  <c r="A9459" i="2"/>
  <c r="A9460" i="2"/>
  <c r="A9461" i="2"/>
  <c r="A9462" i="2"/>
  <c r="A9463" i="2"/>
  <c r="A9464" i="2"/>
  <c r="A9465" i="2"/>
  <c r="A9466" i="2"/>
  <c r="A9467" i="2"/>
  <c r="A9468" i="2"/>
  <c r="A9469" i="2"/>
  <c r="A9470" i="2"/>
  <c r="A9471" i="2"/>
  <c r="A9472" i="2"/>
  <c r="A9473" i="2"/>
  <c r="A9474" i="2"/>
  <c r="A9475" i="2"/>
  <c r="A9476" i="2"/>
  <c r="A9477" i="2"/>
  <c r="A9478" i="2"/>
  <c r="A9479" i="2"/>
  <c r="A9480" i="2"/>
  <c r="A9481" i="2"/>
  <c r="A9482" i="2"/>
  <c r="A9483" i="2"/>
  <c r="A9484" i="2"/>
  <c r="A9485" i="2"/>
  <c r="A9486" i="2"/>
  <c r="A9487" i="2"/>
  <c r="A9488" i="2"/>
  <c r="A9489" i="2"/>
  <c r="A9490" i="2"/>
  <c r="A9491" i="2"/>
  <c r="A9492" i="2"/>
  <c r="A9493" i="2"/>
  <c r="A9494" i="2"/>
  <c r="A9495" i="2"/>
  <c r="A9496" i="2"/>
  <c r="A9497" i="2"/>
  <c r="A9498" i="2"/>
  <c r="A9499" i="2"/>
  <c r="A9500" i="2"/>
  <c r="A9501" i="2"/>
  <c r="A9502" i="2"/>
  <c r="A9503" i="2"/>
  <c r="A9504" i="2"/>
  <c r="A9505" i="2"/>
  <c r="A9506" i="2"/>
  <c r="A9507" i="2"/>
  <c r="A9508" i="2"/>
  <c r="A9509" i="2"/>
  <c r="A9510" i="2"/>
  <c r="A9511" i="2"/>
  <c r="A9512" i="2"/>
  <c r="A9513" i="2"/>
  <c r="A9514" i="2"/>
  <c r="A9515" i="2"/>
  <c r="A9516" i="2"/>
  <c r="A9517" i="2"/>
  <c r="A9518" i="2"/>
  <c r="A9519" i="2"/>
  <c r="A9520" i="2"/>
  <c r="A9521" i="2"/>
  <c r="A9522" i="2"/>
  <c r="A9523" i="2"/>
  <c r="A9524" i="2"/>
  <c r="A9525" i="2"/>
  <c r="A9526" i="2"/>
  <c r="A9527" i="2"/>
  <c r="A9528" i="2"/>
  <c r="A9529" i="2"/>
  <c r="A9530" i="2"/>
  <c r="A9531" i="2"/>
  <c r="A9532" i="2"/>
  <c r="A9533" i="2"/>
  <c r="A9534" i="2"/>
  <c r="A9535" i="2"/>
  <c r="A9536" i="2"/>
  <c r="A9537" i="2"/>
  <c r="A9538" i="2"/>
  <c r="A9539" i="2"/>
  <c r="A9540" i="2"/>
  <c r="A9541" i="2"/>
  <c r="A9542" i="2"/>
  <c r="A9543" i="2"/>
  <c r="A9544" i="2"/>
  <c r="A9545" i="2"/>
  <c r="A9546" i="2"/>
  <c r="A9547" i="2"/>
  <c r="A9548" i="2"/>
  <c r="A9549" i="2"/>
  <c r="A9550" i="2"/>
  <c r="A9551" i="2"/>
  <c r="A9552" i="2"/>
  <c r="A9553" i="2"/>
  <c r="A9554" i="2"/>
  <c r="A9555" i="2"/>
  <c r="A9556" i="2"/>
  <c r="A9557" i="2"/>
  <c r="A9558" i="2"/>
  <c r="A9559" i="2"/>
  <c r="A9560" i="2"/>
  <c r="A9561" i="2"/>
  <c r="A9562" i="2"/>
  <c r="A9563" i="2"/>
  <c r="A9564" i="2"/>
  <c r="A9565" i="2"/>
  <c r="A9566" i="2"/>
  <c r="A9567" i="2"/>
  <c r="A9568" i="2"/>
  <c r="A9569" i="2"/>
  <c r="A9570" i="2"/>
  <c r="A9571" i="2"/>
  <c r="A9572" i="2"/>
  <c r="A9573" i="2"/>
  <c r="A9574" i="2"/>
  <c r="A9575" i="2"/>
  <c r="A9576" i="2"/>
  <c r="A9577" i="2"/>
  <c r="A9578" i="2"/>
  <c r="A9579" i="2"/>
  <c r="A9580" i="2"/>
  <c r="A9581" i="2"/>
  <c r="A9582" i="2"/>
  <c r="A9583" i="2"/>
  <c r="A9584" i="2"/>
  <c r="A9585" i="2"/>
  <c r="A9586" i="2"/>
  <c r="A9587" i="2"/>
  <c r="A9588" i="2"/>
  <c r="A9589" i="2"/>
  <c r="A9590" i="2"/>
  <c r="A9591" i="2"/>
  <c r="A9592" i="2"/>
  <c r="A9593" i="2"/>
  <c r="A9594" i="2"/>
  <c r="A9595" i="2"/>
  <c r="A9596" i="2"/>
  <c r="A9597" i="2"/>
  <c r="A9598" i="2"/>
  <c r="A9599" i="2"/>
  <c r="A9600" i="2"/>
  <c r="A9601" i="2"/>
  <c r="A9602" i="2"/>
  <c r="A9603" i="2"/>
  <c r="A9604" i="2"/>
  <c r="A9605" i="2"/>
  <c r="A9606" i="2"/>
  <c r="A9607" i="2"/>
  <c r="A9608" i="2"/>
  <c r="A9609" i="2"/>
  <c r="A9610" i="2"/>
  <c r="A9611" i="2"/>
  <c r="A9612" i="2"/>
  <c r="A9613" i="2"/>
  <c r="A9614" i="2"/>
  <c r="A9615" i="2"/>
  <c r="A9616" i="2"/>
  <c r="A9617" i="2"/>
  <c r="A9618" i="2"/>
  <c r="A9619" i="2"/>
  <c r="A9620" i="2"/>
  <c r="A9621" i="2"/>
  <c r="A9622" i="2"/>
  <c r="A9623" i="2"/>
  <c r="A9624" i="2"/>
  <c r="A9625" i="2"/>
  <c r="A9626" i="2"/>
  <c r="A9627" i="2"/>
  <c r="A9628" i="2"/>
  <c r="A9629" i="2"/>
  <c r="A9630" i="2"/>
  <c r="A9631" i="2"/>
  <c r="A9632" i="2"/>
  <c r="A9633" i="2"/>
  <c r="A9634" i="2"/>
  <c r="A9635" i="2"/>
  <c r="A9636" i="2"/>
  <c r="A9637" i="2"/>
  <c r="A9638" i="2"/>
  <c r="A9639" i="2"/>
  <c r="A9640" i="2"/>
  <c r="A9641" i="2"/>
  <c r="A9642" i="2"/>
  <c r="A9643" i="2"/>
  <c r="A9644" i="2"/>
  <c r="A9645" i="2"/>
  <c r="A9646" i="2"/>
  <c r="A9647" i="2"/>
  <c r="A9648" i="2"/>
  <c r="A9649" i="2"/>
  <c r="A9650" i="2"/>
  <c r="A9651" i="2"/>
  <c r="A9652" i="2"/>
  <c r="A9653" i="2"/>
  <c r="A9654" i="2"/>
  <c r="A9655" i="2"/>
  <c r="A9656" i="2"/>
  <c r="A9657" i="2"/>
  <c r="A9658" i="2"/>
  <c r="A9659" i="2"/>
  <c r="A9660" i="2"/>
  <c r="A9661" i="2"/>
  <c r="A9662" i="2"/>
  <c r="A9663" i="2"/>
  <c r="A9664" i="2"/>
  <c r="A9665" i="2"/>
  <c r="A9666" i="2"/>
  <c r="A9667" i="2"/>
  <c r="A9668" i="2"/>
  <c r="A9669" i="2"/>
  <c r="A9670" i="2"/>
  <c r="A9671" i="2"/>
  <c r="A9672" i="2"/>
  <c r="A9673" i="2"/>
  <c r="A9674" i="2"/>
  <c r="A9675" i="2"/>
  <c r="A9676" i="2"/>
  <c r="A9677" i="2"/>
  <c r="A9678" i="2"/>
  <c r="A9679" i="2"/>
  <c r="A9680" i="2"/>
  <c r="A9681" i="2"/>
  <c r="A9682" i="2"/>
  <c r="A9683" i="2"/>
  <c r="A9684" i="2"/>
  <c r="A9685" i="2"/>
  <c r="A9686" i="2"/>
  <c r="A9687" i="2"/>
  <c r="A9688" i="2"/>
  <c r="A9689" i="2"/>
  <c r="A9690" i="2"/>
  <c r="A9691" i="2"/>
  <c r="A9692" i="2"/>
  <c r="A9693" i="2"/>
  <c r="A9694" i="2"/>
  <c r="A9695" i="2"/>
  <c r="A9696" i="2"/>
  <c r="A9697" i="2"/>
  <c r="A9698" i="2"/>
  <c r="A9699" i="2"/>
  <c r="A9700" i="2"/>
  <c r="A9701" i="2"/>
  <c r="A9702" i="2"/>
  <c r="A9703" i="2"/>
  <c r="A9704" i="2"/>
  <c r="A9705" i="2"/>
  <c r="A9706" i="2"/>
  <c r="A9707" i="2"/>
  <c r="A9708" i="2"/>
  <c r="A9709" i="2"/>
  <c r="A9710" i="2"/>
  <c r="A9711" i="2"/>
  <c r="A9712" i="2"/>
  <c r="A9713" i="2"/>
  <c r="A9714" i="2"/>
  <c r="A9715" i="2"/>
  <c r="A9716" i="2"/>
  <c r="A9717" i="2"/>
  <c r="A9718" i="2"/>
  <c r="A9719" i="2"/>
  <c r="A9720" i="2"/>
  <c r="A9721" i="2"/>
  <c r="A9722" i="2"/>
  <c r="A9723" i="2"/>
  <c r="A9724" i="2"/>
  <c r="A9725" i="2"/>
  <c r="A9726" i="2"/>
  <c r="A9727" i="2"/>
  <c r="A9728" i="2"/>
  <c r="A9729" i="2"/>
  <c r="A9730" i="2"/>
  <c r="A9731" i="2"/>
  <c r="A9732" i="2"/>
  <c r="A9733" i="2"/>
  <c r="A9734" i="2"/>
  <c r="A9735" i="2"/>
  <c r="A9736" i="2"/>
  <c r="A9737" i="2"/>
  <c r="A9738" i="2"/>
  <c r="A9739" i="2"/>
  <c r="A9740" i="2"/>
  <c r="A9741" i="2"/>
  <c r="A9742" i="2"/>
  <c r="A9743" i="2"/>
  <c r="A9744" i="2"/>
  <c r="A9745" i="2"/>
  <c r="A9746" i="2"/>
  <c r="A9747" i="2"/>
  <c r="A9748" i="2"/>
  <c r="A9749" i="2"/>
  <c r="A9750" i="2"/>
  <c r="A9751" i="2"/>
  <c r="A9752" i="2"/>
  <c r="A9753" i="2"/>
  <c r="A9754" i="2"/>
  <c r="A9755" i="2"/>
  <c r="A9756" i="2"/>
  <c r="A9757" i="2"/>
  <c r="A9758" i="2"/>
  <c r="A9759" i="2"/>
  <c r="A9760" i="2"/>
  <c r="A9761" i="2"/>
  <c r="A9762" i="2"/>
  <c r="A9763" i="2"/>
  <c r="A9764" i="2"/>
  <c r="A9765" i="2"/>
  <c r="A9766" i="2"/>
  <c r="A9767" i="2"/>
  <c r="A9768" i="2"/>
  <c r="A9769" i="2"/>
  <c r="A9770" i="2"/>
  <c r="A9771" i="2"/>
  <c r="A9772" i="2"/>
  <c r="A9773" i="2"/>
  <c r="A9774" i="2"/>
  <c r="A9775" i="2"/>
  <c r="A9776" i="2"/>
  <c r="A9777" i="2"/>
  <c r="A9778" i="2"/>
  <c r="A9779" i="2"/>
  <c r="A9780" i="2"/>
  <c r="A9781" i="2"/>
  <c r="A9782" i="2"/>
  <c r="A9783" i="2"/>
  <c r="A9784" i="2"/>
  <c r="A9785" i="2"/>
  <c r="A9786" i="2"/>
  <c r="A9787" i="2"/>
  <c r="A9788" i="2"/>
  <c r="A9789" i="2"/>
  <c r="A9790" i="2"/>
  <c r="A9791" i="2"/>
  <c r="A9792" i="2"/>
  <c r="A9793" i="2"/>
  <c r="A9794" i="2"/>
  <c r="A9795" i="2"/>
  <c r="A9796" i="2"/>
  <c r="A9797" i="2"/>
  <c r="A9798" i="2"/>
  <c r="A9799" i="2"/>
  <c r="A9800" i="2"/>
  <c r="A9801" i="2"/>
  <c r="A9802" i="2"/>
  <c r="A9803" i="2"/>
  <c r="A9804" i="2"/>
  <c r="A9805" i="2"/>
  <c r="A9806" i="2"/>
  <c r="A9807" i="2"/>
  <c r="A9808" i="2"/>
  <c r="A9809" i="2"/>
  <c r="A9810" i="2"/>
  <c r="A9811" i="2"/>
  <c r="A9812" i="2"/>
  <c r="A9813" i="2"/>
  <c r="A9814" i="2"/>
  <c r="A9815" i="2"/>
  <c r="A9816" i="2"/>
  <c r="A9817" i="2"/>
  <c r="A9818" i="2"/>
  <c r="A9819" i="2"/>
  <c r="A9820" i="2"/>
  <c r="A9821" i="2"/>
  <c r="A9822" i="2"/>
  <c r="A9823" i="2"/>
  <c r="A9824" i="2"/>
  <c r="A9825" i="2"/>
  <c r="A9826" i="2"/>
  <c r="A9827" i="2"/>
  <c r="A9828" i="2"/>
  <c r="A9829" i="2"/>
  <c r="A9830" i="2"/>
  <c r="A9831" i="2"/>
  <c r="A9832" i="2"/>
  <c r="A9833" i="2"/>
  <c r="A9834" i="2"/>
  <c r="A9835" i="2"/>
  <c r="A9836" i="2"/>
  <c r="A9837" i="2"/>
  <c r="A9838" i="2"/>
  <c r="A9839" i="2"/>
  <c r="A9840" i="2"/>
  <c r="A9841" i="2"/>
  <c r="A9842" i="2"/>
  <c r="A9843" i="2"/>
  <c r="A9844" i="2"/>
  <c r="A9845" i="2"/>
  <c r="A9846" i="2"/>
  <c r="A9847" i="2"/>
  <c r="A9848" i="2"/>
  <c r="A9849" i="2"/>
  <c r="A9850" i="2"/>
  <c r="A9851" i="2"/>
  <c r="A9852" i="2"/>
  <c r="A9853" i="2"/>
  <c r="A9854" i="2"/>
  <c r="A9855" i="2"/>
  <c r="A9856" i="2"/>
  <c r="A9857" i="2"/>
  <c r="A9858" i="2"/>
  <c r="A9859" i="2"/>
  <c r="A9860" i="2"/>
  <c r="A9861" i="2"/>
  <c r="A9862" i="2"/>
  <c r="A9863" i="2"/>
  <c r="A9864" i="2"/>
  <c r="A9865" i="2"/>
  <c r="A9866" i="2"/>
  <c r="A9867" i="2"/>
  <c r="A9868" i="2"/>
  <c r="A9869" i="2"/>
  <c r="A9870" i="2"/>
  <c r="A9871" i="2"/>
  <c r="A9872" i="2"/>
  <c r="A9873" i="2"/>
  <c r="A9874" i="2"/>
  <c r="A9875" i="2"/>
  <c r="A9876" i="2"/>
  <c r="A9877" i="2"/>
  <c r="A9878" i="2"/>
  <c r="A9879" i="2"/>
  <c r="A9880" i="2"/>
  <c r="A9881" i="2"/>
  <c r="A9882" i="2"/>
  <c r="A9883" i="2"/>
  <c r="A9884" i="2"/>
  <c r="A9885" i="2"/>
  <c r="A9886" i="2"/>
  <c r="A9887" i="2"/>
  <c r="A9888" i="2"/>
  <c r="A9889" i="2"/>
  <c r="A9890" i="2"/>
  <c r="A9891" i="2"/>
  <c r="A9892" i="2"/>
  <c r="A9893" i="2"/>
  <c r="A9894" i="2"/>
  <c r="A9895" i="2"/>
  <c r="A9896" i="2"/>
  <c r="A9897" i="2"/>
  <c r="A9898" i="2"/>
  <c r="A9899" i="2"/>
  <c r="A9900" i="2"/>
  <c r="A9901" i="2"/>
  <c r="A9902" i="2"/>
  <c r="A9903" i="2"/>
  <c r="A9904" i="2"/>
  <c r="A9905" i="2"/>
  <c r="A9906" i="2"/>
  <c r="A9907" i="2"/>
  <c r="A9908" i="2"/>
  <c r="A9909" i="2"/>
  <c r="A9910" i="2"/>
  <c r="A9911" i="2"/>
  <c r="A9912" i="2"/>
  <c r="A9913" i="2"/>
  <c r="A9914" i="2"/>
  <c r="A9915" i="2"/>
  <c r="A9916" i="2"/>
  <c r="A9917" i="2"/>
  <c r="A9918" i="2"/>
  <c r="A9919" i="2"/>
  <c r="A9920" i="2"/>
  <c r="A9921" i="2"/>
  <c r="A9922" i="2"/>
  <c r="A9923" i="2"/>
  <c r="A9924" i="2"/>
  <c r="A9925" i="2"/>
  <c r="A9926" i="2"/>
  <c r="A9927" i="2"/>
  <c r="A9928" i="2"/>
  <c r="A9929" i="2"/>
  <c r="A9930" i="2"/>
  <c r="A9931" i="2"/>
  <c r="A9932" i="2"/>
  <c r="A9933" i="2"/>
  <c r="A9934" i="2"/>
  <c r="A9935" i="2"/>
  <c r="A9936" i="2"/>
  <c r="A9937" i="2"/>
  <c r="A9938" i="2"/>
  <c r="A9939" i="2"/>
  <c r="A9940" i="2"/>
  <c r="A9941" i="2"/>
  <c r="A9942" i="2"/>
  <c r="A9943" i="2"/>
  <c r="A9944" i="2"/>
  <c r="A9945" i="2"/>
  <c r="A9946" i="2"/>
  <c r="A9947" i="2"/>
  <c r="A9948" i="2"/>
  <c r="A9949" i="2"/>
  <c r="A9950" i="2"/>
  <c r="A9951" i="2"/>
  <c r="A9952" i="2"/>
  <c r="A9953" i="2"/>
  <c r="A9954" i="2"/>
  <c r="A9955" i="2"/>
  <c r="A9956" i="2"/>
  <c r="A9957" i="2"/>
  <c r="A9958" i="2"/>
  <c r="A9959" i="2"/>
  <c r="A9960" i="2"/>
  <c r="A9961" i="2"/>
  <c r="A9962" i="2"/>
  <c r="A9963" i="2"/>
  <c r="A9964" i="2"/>
  <c r="A9965" i="2"/>
  <c r="A9966" i="2"/>
  <c r="A9967" i="2"/>
  <c r="A9968" i="2"/>
  <c r="A9969" i="2"/>
  <c r="A9970" i="2"/>
  <c r="A9971" i="2"/>
  <c r="A9972" i="2"/>
  <c r="A9973" i="2"/>
  <c r="A9974" i="2"/>
  <c r="A9975" i="2"/>
  <c r="A9976" i="2"/>
  <c r="A9977" i="2"/>
  <c r="A9978" i="2"/>
  <c r="A9979" i="2"/>
  <c r="A9980" i="2"/>
  <c r="A9981" i="2"/>
  <c r="A9982" i="2"/>
  <c r="A9983" i="2"/>
  <c r="A9984" i="2"/>
  <c r="A9985" i="2"/>
  <c r="A9986" i="2"/>
  <c r="A9987" i="2"/>
  <c r="A9988" i="2"/>
  <c r="A9989" i="2"/>
  <c r="A9990" i="2"/>
  <c r="A9991" i="2"/>
  <c r="A9992" i="2"/>
  <c r="A9993" i="2"/>
  <c r="A9994" i="2"/>
  <c r="A9995" i="2"/>
  <c r="A9996" i="2"/>
  <c r="A9997" i="2"/>
  <c r="A9998" i="2"/>
  <c r="A9999" i="2"/>
  <c r="A10000" i="2"/>
  <c r="A2" i="2"/>
  <c r="N8149" i="2" l="1"/>
  <c r="H8149" i="2"/>
  <c r="N8145" i="2"/>
  <c r="H8145" i="2"/>
  <c r="N8141" i="2"/>
  <c r="H8141" i="2"/>
  <c r="N8137" i="2"/>
  <c r="H8137" i="2"/>
  <c r="N8133" i="2"/>
  <c r="H8133" i="2"/>
  <c r="N8129" i="2"/>
  <c r="H8129" i="2"/>
  <c r="N8125" i="2"/>
  <c r="H8125" i="2"/>
  <c r="N8121" i="2"/>
  <c r="H8121" i="2"/>
  <c r="N8117" i="2"/>
  <c r="H8117" i="2"/>
  <c r="N8113" i="2"/>
  <c r="H8113" i="2"/>
  <c r="N8109" i="2"/>
  <c r="H8109" i="2"/>
  <c r="N8105" i="2"/>
  <c r="H8105" i="2"/>
  <c r="N8101" i="2"/>
  <c r="H8101" i="2"/>
  <c r="N8097" i="2"/>
  <c r="H8097" i="2"/>
  <c r="N8093" i="2"/>
  <c r="H8093" i="2"/>
  <c r="N8089" i="2"/>
  <c r="H8089" i="2"/>
  <c r="N8085" i="2"/>
  <c r="H8085" i="2"/>
  <c r="N8081" i="2"/>
  <c r="H8081" i="2"/>
  <c r="N8077" i="2"/>
  <c r="H8077" i="2"/>
  <c r="N8073" i="2"/>
  <c r="H8073" i="2"/>
  <c r="N8069" i="2"/>
  <c r="H8069" i="2"/>
  <c r="N8065" i="2"/>
  <c r="H8065" i="2"/>
  <c r="N8061" i="2"/>
  <c r="H8061" i="2"/>
  <c r="N8057" i="2"/>
  <c r="H8057" i="2"/>
  <c r="N8053" i="2"/>
  <c r="H8053" i="2"/>
  <c r="N8049" i="2"/>
  <c r="H8049" i="2"/>
  <c r="N8045" i="2"/>
  <c r="H8045" i="2"/>
  <c r="N8041" i="2"/>
  <c r="H8041" i="2"/>
  <c r="N8037" i="2"/>
  <c r="H8037" i="2"/>
  <c r="N8033" i="2"/>
  <c r="H8033" i="2"/>
  <c r="N8029" i="2"/>
  <c r="H8029" i="2"/>
  <c r="N8025" i="2"/>
  <c r="H8025" i="2"/>
  <c r="N8021" i="2"/>
  <c r="H8021" i="2"/>
  <c r="N8017" i="2"/>
  <c r="H8017" i="2"/>
  <c r="N8013" i="2"/>
  <c r="H8013" i="2"/>
  <c r="N8009" i="2"/>
  <c r="H8009" i="2"/>
  <c r="N8005" i="2"/>
  <c r="H8005" i="2"/>
  <c r="N8001" i="2"/>
  <c r="H8001" i="2"/>
  <c r="N7997" i="2"/>
  <c r="H7997" i="2"/>
  <c r="N7993" i="2"/>
  <c r="H7993" i="2"/>
  <c r="N7989" i="2"/>
  <c r="H7989" i="2"/>
  <c r="N7985" i="2"/>
  <c r="H7985" i="2"/>
  <c r="N7981" i="2"/>
  <c r="H7981" i="2"/>
  <c r="N7977" i="2"/>
  <c r="H7977" i="2"/>
  <c r="N7973" i="2"/>
  <c r="H7973" i="2"/>
  <c r="N7969" i="2"/>
  <c r="H7969" i="2"/>
  <c r="N7965" i="2"/>
  <c r="H7965" i="2"/>
  <c r="N7961" i="2"/>
  <c r="H7961" i="2"/>
  <c r="N7957" i="2"/>
  <c r="H7957" i="2"/>
  <c r="N7953" i="2"/>
  <c r="H7953" i="2"/>
  <c r="N7949" i="2"/>
  <c r="H7949" i="2"/>
  <c r="N7945" i="2"/>
  <c r="H7945" i="2"/>
  <c r="N7941" i="2"/>
  <c r="H7941" i="2"/>
  <c r="N7937" i="2"/>
  <c r="H7937" i="2"/>
  <c r="N7933" i="2"/>
  <c r="H7933" i="2"/>
  <c r="N7929" i="2"/>
  <c r="H7929" i="2"/>
  <c r="N7925" i="2"/>
  <c r="H7925" i="2"/>
  <c r="N7921" i="2"/>
  <c r="H7921" i="2"/>
  <c r="N7917" i="2"/>
  <c r="H7917" i="2"/>
  <c r="N7913" i="2"/>
  <c r="H7913" i="2"/>
  <c r="N7909" i="2"/>
  <c r="H7909" i="2"/>
  <c r="N7905" i="2"/>
  <c r="H7905" i="2"/>
  <c r="N7901" i="2"/>
  <c r="H7901" i="2"/>
  <c r="N7897" i="2"/>
  <c r="H7897" i="2"/>
  <c r="N7893" i="2"/>
  <c r="H7893" i="2"/>
  <c r="N7889" i="2"/>
  <c r="H7889" i="2"/>
  <c r="N7885" i="2"/>
  <c r="H7885" i="2"/>
  <c r="N7881" i="2"/>
  <c r="H7881" i="2"/>
  <c r="N7877" i="2"/>
  <c r="H7877" i="2"/>
  <c r="N7873" i="2"/>
  <c r="H7873" i="2"/>
  <c r="N7869" i="2"/>
  <c r="H7869" i="2"/>
  <c r="N7865" i="2"/>
  <c r="H7865" i="2"/>
  <c r="N7861" i="2"/>
  <c r="H7861" i="2"/>
  <c r="N7857" i="2"/>
  <c r="H7857" i="2"/>
  <c r="N7853" i="2"/>
  <c r="H7853" i="2"/>
  <c r="N7849" i="2"/>
  <c r="H7849" i="2"/>
  <c r="N7845" i="2"/>
  <c r="H7845" i="2"/>
  <c r="N7841" i="2"/>
  <c r="H7841" i="2"/>
  <c r="N7837" i="2"/>
  <c r="H7837" i="2"/>
  <c r="N7833" i="2"/>
  <c r="H7833" i="2"/>
  <c r="N7829" i="2"/>
  <c r="H7829" i="2"/>
  <c r="N7825" i="2"/>
  <c r="H7825" i="2"/>
  <c r="N7821" i="2"/>
  <c r="H7821" i="2"/>
  <c r="N7817" i="2"/>
  <c r="H7817" i="2"/>
  <c r="N7813" i="2"/>
  <c r="H7813" i="2"/>
  <c r="N7809" i="2"/>
  <c r="H7809" i="2"/>
  <c r="N7805" i="2"/>
  <c r="H7805" i="2"/>
  <c r="N7801" i="2"/>
  <c r="H7801" i="2"/>
  <c r="N7797" i="2"/>
  <c r="H7797" i="2"/>
  <c r="N7793" i="2"/>
  <c r="H7793" i="2"/>
  <c r="N7789" i="2"/>
  <c r="H7789" i="2"/>
  <c r="N7785" i="2"/>
  <c r="H7785" i="2"/>
  <c r="N7781" i="2"/>
  <c r="H7781" i="2"/>
  <c r="N7777" i="2"/>
  <c r="H7777" i="2"/>
  <c r="N7773" i="2"/>
  <c r="H7773" i="2"/>
  <c r="N7769" i="2"/>
  <c r="H7769" i="2"/>
  <c r="N7765" i="2"/>
  <c r="H7765" i="2"/>
  <c r="N7761" i="2"/>
  <c r="H7761" i="2"/>
  <c r="N7757" i="2"/>
  <c r="H7757" i="2"/>
  <c r="N7753" i="2"/>
  <c r="H7753" i="2"/>
  <c r="N7749" i="2"/>
  <c r="H7749" i="2"/>
  <c r="N7745" i="2"/>
  <c r="H7745" i="2"/>
  <c r="N7741" i="2"/>
  <c r="H7741" i="2"/>
  <c r="N7737" i="2"/>
  <c r="H7737" i="2"/>
  <c r="N7733" i="2"/>
  <c r="H7733" i="2"/>
  <c r="N7729" i="2"/>
  <c r="H7729" i="2"/>
  <c r="N7725" i="2"/>
  <c r="H7725" i="2"/>
  <c r="N7721" i="2"/>
  <c r="H7721" i="2"/>
  <c r="N7717" i="2"/>
  <c r="H7717" i="2"/>
  <c r="N7713" i="2"/>
  <c r="H7713" i="2"/>
  <c r="N7709" i="2"/>
  <c r="H7709" i="2"/>
  <c r="N7705" i="2"/>
  <c r="H7705" i="2"/>
  <c r="N7701" i="2"/>
  <c r="H7701" i="2"/>
  <c r="N7697" i="2"/>
  <c r="H7697" i="2"/>
  <c r="N7693" i="2"/>
  <c r="H7693" i="2"/>
  <c r="N7689" i="2"/>
  <c r="H7689" i="2"/>
  <c r="N7685" i="2"/>
  <c r="H7685" i="2"/>
  <c r="N7681" i="2"/>
  <c r="H7681" i="2"/>
  <c r="N7677" i="2"/>
  <c r="H7677" i="2"/>
  <c r="N7673" i="2"/>
  <c r="H7673" i="2"/>
  <c r="N7669" i="2"/>
  <c r="H7669" i="2"/>
  <c r="N7665" i="2"/>
  <c r="H7665" i="2"/>
  <c r="N7661" i="2"/>
  <c r="H7661" i="2"/>
  <c r="N7657" i="2"/>
  <c r="H7657" i="2"/>
  <c r="N7653" i="2"/>
  <c r="H7653" i="2"/>
  <c r="N7649" i="2"/>
  <c r="H7649" i="2"/>
  <c r="N7645" i="2"/>
  <c r="H7645" i="2"/>
  <c r="N7641" i="2"/>
  <c r="H7641" i="2"/>
  <c r="N7637" i="2"/>
  <c r="H7637" i="2"/>
  <c r="N7633" i="2"/>
  <c r="H7633" i="2"/>
  <c r="N7629" i="2"/>
  <c r="H7629" i="2"/>
  <c r="N7625" i="2"/>
  <c r="H7625" i="2"/>
  <c r="N7621" i="2"/>
  <c r="H7621" i="2"/>
  <c r="N7617" i="2"/>
  <c r="H7617" i="2"/>
  <c r="N7613" i="2"/>
  <c r="H7613" i="2"/>
  <c r="N7609" i="2"/>
  <c r="H7609" i="2"/>
  <c r="N7605" i="2"/>
  <c r="H7605" i="2"/>
  <c r="N7601" i="2"/>
  <c r="H7601" i="2"/>
  <c r="N7597" i="2"/>
  <c r="H7597" i="2"/>
  <c r="N7593" i="2"/>
  <c r="H7593" i="2"/>
  <c r="N7589" i="2"/>
  <c r="H7589" i="2"/>
  <c r="N7585" i="2"/>
  <c r="H7585" i="2"/>
  <c r="N7581" i="2"/>
  <c r="H7581" i="2"/>
  <c r="N7577" i="2"/>
  <c r="H7577" i="2"/>
  <c r="N7573" i="2"/>
  <c r="H7573" i="2"/>
  <c r="N7569" i="2"/>
  <c r="H7569" i="2"/>
  <c r="N7565" i="2"/>
  <c r="H7565" i="2"/>
  <c r="N7561" i="2"/>
  <c r="H7561" i="2"/>
  <c r="N7557" i="2"/>
  <c r="H7557" i="2"/>
  <c r="N7553" i="2"/>
  <c r="H7553" i="2"/>
  <c r="N7549" i="2"/>
  <c r="H7549" i="2"/>
  <c r="N7545" i="2"/>
  <c r="H7545" i="2"/>
  <c r="N7541" i="2"/>
  <c r="H7541" i="2"/>
  <c r="N7537" i="2"/>
  <c r="H7537" i="2"/>
  <c r="N7533" i="2"/>
  <c r="H7533" i="2"/>
  <c r="N7529" i="2"/>
  <c r="H7529" i="2"/>
  <c r="N7525" i="2"/>
  <c r="H7525" i="2"/>
  <c r="N7521" i="2"/>
  <c r="H7521" i="2"/>
  <c r="N7517" i="2"/>
  <c r="H7517" i="2"/>
  <c r="N7513" i="2"/>
  <c r="H7513" i="2"/>
  <c r="N7509" i="2"/>
  <c r="H7509" i="2"/>
  <c r="N7505" i="2"/>
  <c r="H7505" i="2"/>
  <c r="N7501" i="2"/>
  <c r="H7501" i="2"/>
  <c r="N7497" i="2"/>
  <c r="H7497" i="2"/>
  <c r="N7493" i="2"/>
  <c r="H7493" i="2"/>
  <c r="N7489" i="2"/>
  <c r="H7489" i="2"/>
  <c r="N7485" i="2"/>
  <c r="H7485" i="2"/>
  <c r="N7481" i="2"/>
  <c r="H7481" i="2"/>
  <c r="N7477" i="2"/>
  <c r="H7477" i="2"/>
  <c r="N7473" i="2"/>
  <c r="H7473" i="2"/>
  <c r="N7469" i="2"/>
  <c r="H7469" i="2"/>
  <c r="N7465" i="2"/>
  <c r="H7465" i="2"/>
  <c r="N7461" i="2"/>
  <c r="H7461" i="2"/>
  <c r="N7457" i="2"/>
  <c r="H7457" i="2"/>
  <c r="N7453" i="2"/>
  <c r="H7453" i="2"/>
  <c r="N7449" i="2"/>
  <c r="H7449" i="2"/>
  <c r="N7445" i="2"/>
  <c r="H7445" i="2"/>
  <c r="N7441" i="2"/>
  <c r="H7441" i="2"/>
  <c r="N7437" i="2"/>
  <c r="H7437" i="2"/>
  <c r="N7433" i="2"/>
  <c r="H7433" i="2"/>
  <c r="N7429" i="2"/>
  <c r="H7429" i="2"/>
  <c r="N7425" i="2"/>
  <c r="H7425" i="2"/>
  <c r="N7421" i="2"/>
  <c r="H7421" i="2"/>
  <c r="N7417" i="2"/>
  <c r="H7417" i="2"/>
  <c r="N7413" i="2"/>
  <c r="H7413" i="2"/>
  <c r="N7409" i="2"/>
  <c r="H7409" i="2"/>
  <c r="N7405" i="2"/>
  <c r="H7405" i="2"/>
  <c r="N7401" i="2"/>
  <c r="H7401" i="2"/>
  <c r="N7397" i="2"/>
  <c r="H7397" i="2"/>
  <c r="N7393" i="2"/>
  <c r="H7393" i="2"/>
  <c r="N7389" i="2"/>
  <c r="H7389" i="2"/>
  <c r="N7385" i="2"/>
  <c r="H7385" i="2"/>
  <c r="N7381" i="2"/>
  <c r="H7381" i="2"/>
  <c r="N7377" i="2"/>
  <c r="H7377" i="2"/>
  <c r="N7373" i="2"/>
  <c r="H7373" i="2"/>
  <c r="N7369" i="2"/>
  <c r="H7369" i="2"/>
  <c r="N7365" i="2"/>
  <c r="H7365" i="2"/>
  <c r="N7361" i="2"/>
  <c r="H7361" i="2"/>
  <c r="N7357" i="2"/>
  <c r="H7357" i="2"/>
  <c r="N7353" i="2"/>
  <c r="H7353" i="2"/>
  <c r="N7349" i="2"/>
  <c r="H7349" i="2"/>
  <c r="N7345" i="2"/>
  <c r="H7345" i="2"/>
  <c r="N7341" i="2"/>
  <c r="H7341" i="2"/>
  <c r="N7337" i="2"/>
  <c r="H7337" i="2"/>
  <c r="N7333" i="2"/>
  <c r="H7333" i="2"/>
  <c r="N7329" i="2"/>
  <c r="H7329" i="2"/>
  <c r="N7325" i="2"/>
  <c r="H7325" i="2"/>
  <c r="N7321" i="2"/>
  <c r="H7321" i="2"/>
  <c r="N7317" i="2"/>
  <c r="H7317" i="2"/>
  <c r="N7313" i="2"/>
  <c r="H7313" i="2"/>
  <c r="N7309" i="2"/>
  <c r="H7309" i="2"/>
  <c r="N7305" i="2"/>
  <c r="H7305" i="2"/>
  <c r="N7301" i="2"/>
  <c r="H7301" i="2"/>
  <c r="N7297" i="2"/>
  <c r="H7297" i="2"/>
  <c r="N7293" i="2"/>
  <c r="H7293" i="2"/>
  <c r="N8148" i="2"/>
  <c r="H8148" i="2"/>
  <c r="N8144" i="2"/>
  <c r="H8144" i="2"/>
  <c r="N8140" i="2"/>
  <c r="H8140" i="2"/>
  <c r="N8136" i="2"/>
  <c r="H8136" i="2"/>
  <c r="N8132" i="2"/>
  <c r="H8132" i="2"/>
  <c r="N8128" i="2"/>
  <c r="H8128" i="2"/>
  <c r="N8124" i="2"/>
  <c r="H8124" i="2"/>
  <c r="N8120" i="2"/>
  <c r="H8120" i="2"/>
  <c r="N8116" i="2"/>
  <c r="H8116" i="2"/>
  <c r="N8112" i="2"/>
  <c r="H8112" i="2"/>
  <c r="N8108" i="2"/>
  <c r="H8108" i="2"/>
  <c r="N8104" i="2"/>
  <c r="H8104" i="2"/>
  <c r="N8100" i="2"/>
  <c r="H8100" i="2"/>
  <c r="N8096" i="2"/>
  <c r="H8096" i="2"/>
  <c r="N8092" i="2"/>
  <c r="H8092" i="2"/>
  <c r="N8088" i="2"/>
  <c r="H8088" i="2"/>
  <c r="N8084" i="2"/>
  <c r="H8084" i="2"/>
  <c r="N8080" i="2"/>
  <c r="H8080" i="2"/>
  <c r="N8076" i="2"/>
  <c r="H8076" i="2"/>
  <c r="N8072" i="2"/>
  <c r="H8072" i="2"/>
  <c r="N8068" i="2"/>
  <c r="H8068" i="2"/>
  <c r="N8064" i="2"/>
  <c r="H8064" i="2"/>
  <c r="N8060" i="2"/>
  <c r="H8060" i="2"/>
  <c r="N8056" i="2"/>
  <c r="H8056" i="2"/>
  <c r="N8052" i="2"/>
  <c r="H8052" i="2"/>
  <c r="N8048" i="2"/>
  <c r="H8048" i="2"/>
  <c r="N8044" i="2"/>
  <c r="H8044" i="2"/>
  <c r="N8040" i="2"/>
  <c r="H8040" i="2"/>
  <c r="N8036" i="2"/>
  <c r="H8036" i="2"/>
  <c r="N8032" i="2"/>
  <c r="H8032" i="2"/>
  <c r="N8028" i="2"/>
  <c r="H8028" i="2"/>
  <c r="N8024" i="2"/>
  <c r="H8024" i="2"/>
  <c r="N8020" i="2"/>
  <c r="H8020" i="2"/>
  <c r="N8016" i="2"/>
  <c r="H8016" i="2"/>
  <c r="N8012" i="2"/>
  <c r="H8012" i="2"/>
  <c r="N8008" i="2"/>
  <c r="H8008" i="2"/>
  <c r="N8004" i="2"/>
  <c r="H8004" i="2"/>
  <c r="N8000" i="2"/>
  <c r="H8000" i="2"/>
  <c r="N7996" i="2"/>
  <c r="H7996" i="2"/>
  <c r="N7992" i="2"/>
  <c r="H7992" i="2"/>
  <c r="N7988" i="2"/>
  <c r="H7988" i="2"/>
  <c r="N7984" i="2"/>
  <c r="H7984" i="2"/>
  <c r="N7980" i="2"/>
  <c r="H7980" i="2"/>
  <c r="N7976" i="2"/>
  <c r="H7976" i="2"/>
  <c r="N7972" i="2"/>
  <c r="H7972" i="2"/>
  <c r="N7968" i="2"/>
  <c r="H7968" i="2"/>
  <c r="N7964" i="2"/>
  <c r="H7964" i="2"/>
  <c r="N7960" i="2"/>
  <c r="H7960" i="2"/>
  <c r="N7956" i="2"/>
  <c r="H7956" i="2"/>
  <c r="N7952" i="2"/>
  <c r="H7952" i="2"/>
  <c r="N7948" i="2"/>
  <c r="H7948" i="2"/>
  <c r="N7944" i="2"/>
  <c r="H7944" i="2"/>
  <c r="N7940" i="2"/>
  <c r="H7940" i="2"/>
  <c r="N7936" i="2"/>
  <c r="H7936" i="2"/>
  <c r="N7932" i="2"/>
  <c r="H7932" i="2"/>
  <c r="N7928" i="2"/>
  <c r="H7928" i="2"/>
  <c r="N7924" i="2"/>
  <c r="H7924" i="2"/>
  <c r="N7920" i="2"/>
  <c r="H7920" i="2"/>
  <c r="N7916" i="2"/>
  <c r="H7916" i="2"/>
  <c r="N7912" i="2"/>
  <c r="H7912" i="2"/>
  <c r="N7908" i="2"/>
  <c r="H7908" i="2"/>
  <c r="N7904" i="2"/>
  <c r="H7904" i="2"/>
  <c r="N7900" i="2"/>
  <c r="H7900" i="2"/>
  <c r="N7896" i="2"/>
  <c r="H7896" i="2"/>
  <c r="N7892" i="2"/>
  <c r="H7892" i="2"/>
  <c r="N7888" i="2"/>
  <c r="H7888" i="2"/>
  <c r="N7884" i="2"/>
  <c r="H7884" i="2"/>
  <c r="N7880" i="2"/>
  <c r="H7880" i="2"/>
  <c r="N7876" i="2"/>
  <c r="H7876" i="2"/>
  <c r="N7872" i="2"/>
  <c r="H7872" i="2"/>
  <c r="N7868" i="2"/>
  <c r="H7868" i="2"/>
  <c r="N7864" i="2"/>
  <c r="H7864" i="2"/>
  <c r="N7860" i="2"/>
  <c r="H7860" i="2"/>
  <c r="N7856" i="2"/>
  <c r="H7856" i="2"/>
  <c r="N7852" i="2"/>
  <c r="H7852" i="2"/>
  <c r="N7848" i="2"/>
  <c r="H7848" i="2"/>
  <c r="N7844" i="2"/>
  <c r="H7844" i="2"/>
  <c r="N7840" i="2"/>
  <c r="H7840" i="2"/>
  <c r="N7836" i="2"/>
  <c r="H7836" i="2"/>
  <c r="N7832" i="2"/>
  <c r="H7832" i="2"/>
  <c r="N7828" i="2"/>
  <c r="H7828" i="2"/>
  <c r="N7824" i="2"/>
  <c r="H7824" i="2"/>
  <c r="N7820" i="2"/>
  <c r="H7820" i="2"/>
  <c r="N7816" i="2"/>
  <c r="H7816" i="2"/>
  <c r="N7812" i="2"/>
  <c r="H7812" i="2"/>
  <c r="N7808" i="2"/>
  <c r="H7808" i="2"/>
  <c r="N7804" i="2"/>
  <c r="H7804" i="2"/>
  <c r="N7800" i="2"/>
  <c r="H7800" i="2"/>
  <c r="N7796" i="2"/>
  <c r="H7796" i="2"/>
  <c r="N7792" i="2"/>
  <c r="H7792" i="2"/>
  <c r="N7788" i="2"/>
  <c r="H7788" i="2"/>
  <c r="N7784" i="2"/>
  <c r="H7784" i="2"/>
  <c r="N7780" i="2"/>
  <c r="H7780" i="2"/>
  <c r="N7776" i="2"/>
  <c r="H7776" i="2"/>
  <c r="N7772" i="2"/>
  <c r="H7772" i="2"/>
  <c r="N7768" i="2"/>
  <c r="H7768" i="2"/>
  <c r="N7764" i="2"/>
  <c r="H7764" i="2"/>
  <c r="N7760" i="2"/>
  <c r="H7760" i="2"/>
  <c r="N7756" i="2"/>
  <c r="H7756" i="2"/>
  <c r="N7752" i="2"/>
  <c r="H7752" i="2"/>
  <c r="N7748" i="2"/>
  <c r="H7748" i="2"/>
  <c r="N7744" i="2"/>
  <c r="H7744" i="2"/>
  <c r="N7740" i="2"/>
  <c r="H7740" i="2"/>
  <c r="N7736" i="2"/>
  <c r="H7736" i="2"/>
  <c r="N7732" i="2"/>
  <c r="H7732" i="2"/>
  <c r="N7728" i="2"/>
  <c r="H7728" i="2"/>
  <c r="N7724" i="2"/>
  <c r="H7724" i="2"/>
  <c r="N7720" i="2"/>
  <c r="H7720" i="2"/>
  <c r="N7716" i="2"/>
  <c r="H7716" i="2"/>
  <c r="N7712" i="2"/>
  <c r="H7712" i="2"/>
  <c r="N7708" i="2"/>
  <c r="H7708" i="2"/>
  <c r="N7704" i="2"/>
  <c r="H7704" i="2"/>
  <c r="N7700" i="2"/>
  <c r="H7700" i="2"/>
  <c r="N7696" i="2"/>
  <c r="H7696" i="2"/>
  <c r="N7692" i="2"/>
  <c r="H7692" i="2"/>
  <c r="N7688" i="2"/>
  <c r="H7688" i="2"/>
  <c r="N7684" i="2"/>
  <c r="H7684" i="2"/>
  <c r="N7680" i="2"/>
  <c r="H7680" i="2"/>
  <c r="N7676" i="2"/>
  <c r="H7676" i="2"/>
  <c r="N7672" i="2"/>
  <c r="H7672" i="2"/>
  <c r="N7668" i="2"/>
  <c r="H7668" i="2"/>
  <c r="N7664" i="2"/>
  <c r="H7664" i="2"/>
  <c r="N7660" i="2"/>
  <c r="H7660" i="2"/>
  <c r="N7656" i="2"/>
  <c r="H7656" i="2"/>
  <c r="N7652" i="2"/>
  <c r="H7652" i="2"/>
  <c r="N7648" i="2"/>
  <c r="H7648" i="2"/>
  <c r="N7644" i="2"/>
  <c r="H7644" i="2"/>
  <c r="N7640" i="2"/>
  <c r="H7640" i="2"/>
  <c r="N7636" i="2"/>
  <c r="H7636" i="2"/>
  <c r="N7632" i="2"/>
  <c r="H7632" i="2"/>
  <c r="N7628" i="2"/>
  <c r="H7628" i="2"/>
  <c r="N7624" i="2"/>
  <c r="H7624" i="2"/>
  <c r="N7620" i="2"/>
  <c r="H7620" i="2"/>
  <c r="N7616" i="2"/>
  <c r="H7616" i="2"/>
  <c r="N7612" i="2"/>
  <c r="H7612" i="2"/>
  <c r="N7608" i="2"/>
  <c r="H7608" i="2"/>
  <c r="N7604" i="2"/>
  <c r="H7604" i="2"/>
  <c r="N7600" i="2"/>
  <c r="H7600" i="2"/>
  <c r="N7596" i="2"/>
  <c r="H7596" i="2"/>
  <c r="N7592" i="2"/>
  <c r="H7592" i="2"/>
  <c r="N7588" i="2"/>
  <c r="H7588" i="2"/>
  <c r="N7584" i="2"/>
  <c r="H7584" i="2"/>
  <c r="N7580" i="2"/>
  <c r="H7580" i="2"/>
  <c r="N7576" i="2"/>
  <c r="H7576" i="2"/>
  <c r="N7572" i="2"/>
  <c r="H7572" i="2"/>
  <c r="N7568" i="2"/>
  <c r="H7568" i="2"/>
  <c r="N7564" i="2"/>
  <c r="H7564" i="2"/>
  <c r="N7560" i="2"/>
  <c r="H7560" i="2"/>
  <c r="N7556" i="2"/>
  <c r="H7556" i="2"/>
  <c r="N7552" i="2"/>
  <c r="H7552" i="2"/>
  <c r="N7548" i="2"/>
  <c r="H7548" i="2"/>
  <c r="N7544" i="2"/>
  <c r="H7544" i="2"/>
  <c r="N7540" i="2"/>
  <c r="H7540" i="2"/>
  <c r="N7536" i="2"/>
  <c r="H7536" i="2"/>
  <c r="N7532" i="2"/>
  <c r="H7532" i="2"/>
  <c r="N7528" i="2"/>
  <c r="H7528" i="2"/>
  <c r="N7524" i="2"/>
  <c r="H7524" i="2"/>
  <c r="N7520" i="2"/>
  <c r="H7520" i="2"/>
  <c r="N7516" i="2"/>
  <c r="H7516" i="2"/>
  <c r="N7512" i="2"/>
  <c r="H7512" i="2"/>
  <c r="N7508" i="2"/>
  <c r="H7508" i="2"/>
  <c r="N7504" i="2"/>
  <c r="H7504" i="2"/>
  <c r="N7500" i="2"/>
  <c r="H7500" i="2"/>
  <c r="N7496" i="2"/>
  <c r="H7496" i="2"/>
  <c r="N7492" i="2"/>
  <c r="H7492" i="2"/>
  <c r="N7488" i="2"/>
  <c r="H7488" i="2"/>
  <c r="N7484" i="2"/>
  <c r="H7484" i="2"/>
  <c r="N7480" i="2"/>
  <c r="H7480" i="2"/>
  <c r="N7476" i="2"/>
  <c r="H7476" i="2"/>
  <c r="N7472" i="2"/>
  <c r="H7472" i="2"/>
  <c r="N7468" i="2"/>
  <c r="H7468" i="2"/>
  <c r="N7464" i="2"/>
  <c r="H7464" i="2"/>
  <c r="N7460" i="2"/>
  <c r="H7460" i="2"/>
  <c r="N7456" i="2"/>
  <c r="H7456" i="2"/>
  <c r="N7452" i="2"/>
  <c r="H7452" i="2"/>
  <c r="N7448" i="2"/>
  <c r="H7448" i="2"/>
  <c r="N7444" i="2"/>
  <c r="H7444" i="2"/>
  <c r="N7440" i="2"/>
  <c r="H7440" i="2"/>
  <c r="N7436" i="2"/>
  <c r="H7436" i="2"/>
  <c r="N7432" i="2"/>
  <c r="H7432" i="2"/>
  <c r="N7428" i="2"/>
  <c r="H7428" i="2"/>
  <c r="N7424" i="2"/>
  <c r="H7424" i="2"/>
  <c r="N7420" i="2"/>
  <c r="H7420" i="2"/>
  <c r="N7416" i="2"/>
  <c r="H7416" i="2"/>
  <c r="N7412" i="2"/>
  <c r="H7412" i="2"/>
  <c r="N7408" i="2"/>
  <c r="H7408" i="2"/>
  <c r="N7404" i="2"/>
  <c r="H7404" i="2"/>
  <c r="N7400" i="2"/>
  <c r="H7400" i="2"/>
  <c r="N7396" i="2"/>
  <c r="H7396" i="2"/>
  <c r="N7392" i="2"/>
  <c r="H7392" i="2"/>
  <c r="N7388" i="2"/>
  <c r="H7388" i="2"/>
  <c r="N7384" i="2"/>
  <c r="H7384" i="2"/>
  <c r="N7380" i="2"/>
  <c r="H7380" i="2"/>
  <c r="N7376" i="2"/>
  <c r="H7376" i="2"/>
  <c r="N7372" i="2"/>
  <c r="H7372" i="2"/>
  <c r="N7368" i="2"/>
  <c r="H7368" i="2"/>
  <c r="N7364" i="2"/>
  <c r="H7364" i="2"/>
  <c r="N7360" i="2"/>
  <c r="H7360" i="2"/>
  <c r="N7356" i="2"/>
  <c r="H7356" i="2"/>
  <c r="N7352" i="2"/>
  <c r="H7352" i="2"/>
  <c r="N7348" i="2"/>
  <c r="H7348" i="2"/>
  <c r="N7344" i="2"/>
  <c r="H7344" i="2"/>
  <c r="N7340" i="2"/>
  <c r="H7340" i="2"/>
  <c r="N7336" i="2"/>
  <c r="H7336" i="2"/>
  <c r="N7332" i="2"/>
  <c r="H7332" i="2"/>
  <c r="N7328" i="2"/>
  <c r="H7328" i="2"/>
  <c r="N7324" i="2"/>
  <c r="H7324" i="2"/>
  <c r="N7320" i="2"/>
  <c r="H7320" i="2"/>
  <c r="N7316" i="2"/>
  <c r="H7316" i="2"/>
  <c r="N7312" i="2"/>
  <c r="H7312" i="2"/>
  <c r="N7308" i="2"/>
  <c r="H7308" i="2"/>
  <c r="N7304" i="2"/>
  <c r="H7304" i="2"/>
  <c r="N7300" i="2"/>
  <c r="H7300" i="2"/>
  <c r="N7296" i="2"/>
  <c r="H7296" i="2"/>
  <c r="N7292" i="2"/>
  <c r="H7292" i="2"/>
  <c r="H8147" i="2"/>
  <c r="N8147" i="2"/>
  <c r="N8143" i="2"/>
  <c r="H8143" i="2"/>
  <c r="H8139" i="2"/>
  <c r="N8139" i="2"/>
  <c r="H8135" i="2"/>
  <c r="N8135" i="2"/>
  <c r="H8131" i="2"/>
  <c r="N8131" i="2"/>
  <c r="N8127" i="2"/>
  <c r="H8127" i="2"/>
  <c r="H8123" i="2"/>
  <c r="N8123" i="2"/>
  <c r="H8119" i="2"/>
  <c r="N8119" i="2"/>
  <c r="H8115" i="2"/>
  <c r="N8115" i="2"/>
  <c r="N8111" i="2"/>
  <c r="H8111" i="2"/>
  <c r="N8107" i="2"/>
  <c r="H8107" i="2"/>
  <c r="N8103" i="2"/>
  <c r="H8103" i="2"/>
  <c r="N8099" i="2"/>
  <c r="H8099" i="2"/>
  <c r="N8095" i="2"/>
  <c r="H8095" i="2"/>
  <c r="H8091" i="2"/>
  <c r="N8091" i="2"/>
  <c r="N8087" i="2"/>
  <c r="H8087" i="2"/>
  <c r="N8083" i="2"/>
  <c r="H8083" i="2"/>
  <c r="N8079" i="2"/>
  <c r="H8079" i="2"/>
  <c r="H8075" i="2"/>
  <c r="N8075" i="2"/>
  <c r="N8071" i="2"/>
  <c r="H8071" i="2"/>
  <c r="N8067" i="2"/>
  <c r="H8067" i="2"/>
  <c r="N8063" i="2"/>
  <c r="H8063" i="2"/>
  <c r="H8059" i="2"/>
  <c r="N8059" i="2"/>
  <c r="N8055" i="2"/>
  <c r="H8055" i="2"/>
  <c r="N8051" i="2"/>
  <c r="H8051" i="2"/>
  <c r="N8047" i="2"/>
  <c r="H8047" i="2"/>
  <c r="N8043" i="2"/>
  <c r="H8043" i="2"/>
  <c r="N8039" i="2"/>
  <c r="H8039" i="2"/>
  <c r="N8035" i="2"/>
  <c r="H8035" i="2"/>
  <c r="N8031" i="2"/>
  <c r="H8031" i="2"/>
  <c r="H8027" i="2"/>
  <c r="N8027" i="2"/>
  <c r="N8023" i="2"/>
  <c r="H8023" i="2"/>
  <c r="N8019" i="2"/>
  <c r="H8019" i="2"/>
  <c r="N8015" i="2"/>
  <c r="H8015" i="2"/>
  <c r="H8011" i="2"/>
  <c r="N8011" i="2"/>
  <c r="N8007" i="2"/>
  <c r="H8007" i="2"/>
  <c r="N8003" i="2"/>
  <c r="H8003" i="2"/>
  <c r="N7999" i="2"/>
  <c r="H7999" i="2"/>
  <c r="H7995" i="2"/>
  <c r="N7995" i="2"/>
  <c r="N7991" i="2"/>
  <c r="H7991" i="2"/>
  <c r="N7987" i="2"/>
  <c r="H7987" i="2"/>
  <c r="N7983" i="2"/>
  <c r="H7983" i="2"/>
  <c r="N7979" i="2"/>
  <c r="H7979" i="2"/>
  <c r="N7975" i="2"/>
  <c r="H7975" i="2"/>
  <c r="N7971" i="2"/>
  <c r="H7971" i="2"/>
  <c r="N7967" i="2"/>
  <c r="H7967" i="2"/>
  <c r="H7963" i="2"/>
  <c r="N7963" i="2"/>
  <c r="N7959" i="2"/>
  <c r="H7959" i="2"/>
  <c r="N7955" i="2"/>
  <c r="H7955" i="2"/>
  <c r="N7951" i="2"/>
  <c r="H7951" i="2"/>
  <c r="H7947" i="2"/>
  <c r="N7947" i="2"/>
  <c r="N7943" i="2"/>
  <c r="H7943" i="2"/>
  <c r="N7939" i="2"/>
  <c r="H7939" i="2"/>
  <c r="N7935" i="2"/>
  <c r="H7935" i="2"/>
  <c r="H7931" i="2"/>
  <c r="N7931" i="2"/>
  <c r="N7927" i="2"/>
  <c r="H7927" i="2"/>
  <c r="N7923" i="2"/>
  <c r="H7923" i="2"/>
  <c r="N7919" i="2"/>
  <c r="H7919" i="2"/>
  <c r="N7915" i="2"/>
  <c r="H7915" i="2"/>
  <c r="N7911" i="2"/>
  <c r="H7911" i="2"/>
  <c r="N7907" i="2"/>
  <c r="H7907" i="2"/>
  <c r="N7903" i="2"/>
  <c r="H7903" i="2"/>
  <c r="H7899" i="2"/>
  <c r="N7899" i="2"/>
  <c r="N7895" i="2"/>
  <c r="H7895" i="2"/>
  <c r="N7891" i="2"/>
  <c r="H7891" i="2"/>
  <c r="N7887" i="2"/>
  <c r="H7887" i="2"/>
  <c r="N7883" i="2"/>
  <c r="H7883" i="2"/>
  <c r="N7879" i="2"/>
  <c r="H7879" i="2"/>
  <c r="N7875" i="2"/>
  <c r="H7875" i="2"/>
  <c r="N7871" i="2"/>
  <c r="H7871" i="2"/>
  <c r="N7867" i="2"/>
  <c r="H7867" i="2"/>
  <c r="N7863" i="2"/>
  <c r="H7863" i="2"/>
  <c r="N7859" i="2"/>
  <c r="H7859" i="2"/>
  <c r="N7855" i="2"/>
  <c r="H7855" i="2"/>
  <c r="N7851" i="2"/>
  <c r="H7851" i="2"/>
  <c r="N7847" i="2"/>
  <c r="H7847" i="2"/>
  <c r="N7843" i="2"/>
  <c r="H7843" i="2"/>
  <c r="H7839" i="2"/>
  <c r="N7839" i="2"/>
  <c r="N7835" i="2"/>
  <c r="H7835" i="2"/>
  <c r="N7831" i="2"/>
  <c r="H7831" i="2"/>
  <c r="N7827" i="2"/>
  <c r="H7827" i="2"/>
  <c r="N7823" i="2"/>
  <c r="H7823" i="2"/>
  <c r="N7819" i="2"/>
  <c r="H7819" i="2"/>
  <c r="N7815" i="2"/>
  <c r="H7815" i="2"/>
  <c r="N7811" i="2"/>
  <c r="H7811" i="2"/>
  <c r="N7807" i="2"/>
  <c r="H7807" i="2"/>
  <c r="N7803" i="2"/>
  <c r="H7803" i="2"/>
  <c r="N7799" i="2"/>
  <c r="H7799" i="2"/>
  <c r="N7795" i="2"/>
  <c r="H7795" i="2"/>
  <c r="N7791" i="2"/>
  <c r="H7791" i="2"/>
  <c r="N7787" i="2"/>
  <c r="H7787" i="2"/>
  <c r="N7783" i="2"/>
  <c r="H7783" i="2"/>
  <c r="N7779" i="2"/>
  <c r="H7779" i="2"/>
  <c r="N7775" i="2"/>
  <c r="H7775" i="2"/>
  <c r="N7771" i="2"/>
  <c r="H7771" i="2"/>
  <c r="N7767" i="2"/>
  <c r="H7767" i="2"/>
  <c r="N7763" i="2"/>
  <c r="H7763" i="2"/>
  <c r="N7759" i="2"/>
  <c r="H7759" i="2"/>
  <c r="N7755" i="2"/>
  <c r="H7755" i="2"/>
  <c r="N7751" i="2"/>
  <c r="H7751" i="2"/>
  <c r="N7747" i="2"/>
  <c r="H7747" i="2"/>
  <c r="N7743" i="2"/>
  <c r="H7743" i="2"/>
  <c r="N7739" i="2"/>
  <c r="H7739" i="2"/>
  <c r="N7735" i="2"/>
  <c r="H7735" i="2"/>
  <c r="N7731" i="2"/>
  <c r="H7731" i="2"/>
  <c r="N7727" i="2"/>
  <c r="H7727" i="2"/>
  <c r="N7723" i="2"/>
  <c r="H7723" i="2"/>
  <c r="N7719" i="2"/>
  <c r="H7719" i="2"/>
  <c r="N7715" i="2"/>
  <c r="H7715" i="2"/>
  <c r="N7711" i="2"/>
  <c r="H7711" i="2"/>
  <c r="N7707" i="2"/>
  <c r="H7707" i="2"/>
  <c r="N7703" i="2"/>
  <c r="H7703" i="2"/>
  <c r="N7699" i="2"/>
  <c r="H7699" i="2"/>
  <c r="N7695" i="2"/>
  <c r="H7695" i="2"/>
  <c r="N7691" i="2"/>
  <c r="H7691" i="2"/>
  <c r="N7687" i="2"/>
  <c r="H7687" i="2"/>
  <c r="N7683" i="2"/>
  <c r="H7683" i="2"/>
  <c r="N7679" i="2"/>
  <c r="H7679" i="2"/>
  <c r="N7675" i="2"/>
  <c r="H7675" i="2"/>
  <c r="N7671" i="2"/>
  <c r="H7671" i="2"/>
  <c r="N7667" i="2"/>
  <c r="H7667" i="2"/>
  <c r="N7663" i="2"/>
  <c r="H7663" i="2"/>
  <c r="N7659" i="2"/>
  <c r="H7659" i="2"/>
  <c r="N7655" i="2"/>
  <c r="H7655" i="2"/>
  <c r="N7651" i="2"/>
  <c r="H7651" i="2"/>
  <c r="N7647" i="2"/>
  <c r="H7647" i="2"/>
  <c r="N7643" i="2"/>
  <c r="H7643" i="2"/>
  <c r="N7639" i="2"/>
  <c r="H7639" i="2"/>
  <c r="N7635" i="2"/>
  <c r="H7635" i="2"/>
  <c r="N7631" i="2"/>
  <c r="H7631" i="2"/>
  <c r="N7627" i="2"/>
  <c r="H7627" i="2"/>
  <c r="N7623" i="2"/>
  <c r="H7623" i="2"/>
  <c r="N7619" i="2"/>
  <c r="H7619" i="2"/>
  <c r="N7615" i="2"/>
  <c r="H7615" i="2"/>
  <c r="N7611" i="2"/>
  <c r="H7611" i="2"/>
  <c r="N7607" i="2"/>
  <c r="H7607" i="2"/>
  <c r="N7603" i="2"/>
  <c r="H7603" i="2"/>
  <c r="N7599" i="2"/>
  <c r="H7599" i="2"/>
  <c r="N7595" i="2"/>
  <c r="H7595" i="2"/>
  <c r="N7591" i="2"/>
  <c r="H7591" i="2"/>
  <c r="N7587" i="2"/>
  <c r="H7587" i="2"/>
  <c r="N7583" i="2"/>
  <c r="H7583" i="2"/>
  <c r="N7579" i="2"/>
  <c r="H7579" i="2"/>
  <c r="N7575" i="2"/>
  <c r="H7575" i="2"/>
  <c r="N7571" i="2"/>
  <c r="H7571" i="2"/>
  <c r="N7567" i="2"/>
  <c r="H7567" i="2"/>
  <c r="N7563" i="2"/>
  <c r="H7563" i="2"/>
  <c r="N7559" i="2"/>
  <c r="H7559" i="2"/>
  <c r="N7555" i="2"/>
  <c r="H7555" i="2"/>
  <c r="N7551" i="2"/>
  <c r="H7551" i="2"/>
  <c r="H7547" i="2"/>
  <c r="N7547" i="2"/>
  <c r="N7543" i="2"/>
  <c r="H7543" i="2"/>
  <c r="N7539" i="2"/>
  <c r="H7539" i="2"/>
  <c r="N7535" i="2"/>
  <c r="H7535" i="2"/>
  <c r="N7531" i="2"/>
  <c r="H7531" i="2"/>
  <c r="N7527" i="2"/>
  <c r="H7527" i="2"/>
  <c r="N7523" i="2"/>
  <c r="H7523" i="2"/>
  <c r="N7519" i="2"/>
  <c r="H7519" i="2"/>
  <c r="N7515" i="2"/>
  <c r="H7515" i="2"/>
  <c r="N7511" i="2"/>
  <c r="H7511" i="2"/>
  <c r="N7507" i="2"/>
  <c r="H7507" i="2"/>
  <c r="N7503" i="2"/>
  <c r="H7503" i="2"/>
  <c r="N7499" i="2"/>
  <c r="H7499" i="2"/>
  <c r="N7495" i="2"/>
  <c r="H7495" i="2"/>
  <c r="N7491" i="2"/>
  <c r="H7491" i="2"/>
  <c r="N7487" i="2"/>
  <c r="H7487" i="2"/>
  <c r="N7483" i="2"/>
  <c r="H7483" i="2"/>
  <c r="N7479" i="2"/>
  <c r="H7479" i="2"/>
  <c r="N7475" i="2"/>
  <c r="H7475" i="2"/>
  <c r="N7471" i="2"/>
  <c r="H7471" i="2"/>
  <c r="N7467" i="2"/>
  <c r="H7467" i="2"/>
  <c r="N7463" i="2"/>
  <c r="H7463" i="2"/>
  <c r="N7459" i="2"/>
  <c r="H7459" i="2"/>
  <c r="N7455" i="2"/>
  <c r="H7455" i="2"/>
  <c r="N7451" i="2"/>
  <c r="H7451" i="2"/>
  <c r="N7447" i="2"/>
  <c r="H7447" i="2"/>
  <c r="N7443" i="2"/>
  <c r="H7443" i="2"/>
  <c r="N7439" i="2"/>
  <c r="H7439" i="2"/>
  <c r="N7435" i="2"/>
  <c r="H7435" i="2"/>
  <c r="N7431" i="2"/>
  <c r="H7431" i="2"/>
  <c r="N7427" i="2"/>
  <c r="H7427" i="2"/>
  <c r="N7423" i="2"/>
  <c r="H7423" i="2"/>
  <c r="N7419" i="2"/>
  <c r="H7419" i="2"/>
  <c r="N7415" i="2"/>
  <c r="H7415" i="2"/>
  <c r="N7411" i="2"/>
  <c r="H7411" i="2"/>
  <c r="N7407" i="2"/>
  <c r="H7407" i="2"/>
  <c r="N7403" i="2"/>
  <c r="H7403" i="2"/>
  <c r="N7399" i="2"/>
  <c r="H7399" i="2"/>
  <c r="N7395" i="2"/>
  <c r="H7395" i="2"/>
  <c r="N7391" i="2"/>
  <c r="H7391" i="2"/>
  <c r="N7387" i="2"/>
  <c r="H7387" i="2"/>
  <c r="N7383" i="2"/>
  <c r="H7383" i="2"/>
  <c r="N7379" i="2"/>
  <c r="H7379" i="2"/>
  <c r="N7375" i="2"/>
  <c r="H7375" i="2"/>
  <c r="N7371" i="2"/>
  <c r="H7371" i="2"/>
  <c r="N7367" i="2"/>
  <c r="H7367" i="2"/>
  <c r="N7363" i="2"/>
  <c r="H7363" i="2"/>
  <c r="N7359" i="2"/>
  <c r="H7359" i="2"/>
  <c r="N7355" i="2"/>
  <c r="H7355" i="2"/>
  <c r="N7351" i="2"/>
  <c r="H7351" i="2"/>
  <c r="N7347" i="2"/>
  <c r="H7347" i="2"/>
  <c r="N7343" i="2"/>
  <c r="H7343" i="2"/>
  <c r="N7339" i="2"/>
  <c r="H7339" i="2"/>
  <c r="N7335" i="2"/>
  <c r="H7335" i="2"/>
  <c r="N7331" i="2"/>
  <c r="H7331" i="2"/>
  <c r="N7327" i="2"/>
  <c r="H7327" i="2"/>
  <c r="N7323" i="2"/>
  <c r="H7323" i="2"/>
  <c r="N7319" i="2"/>
  <c r="H7319" i="2"/>
  <c r="N7315" i="2"/>
  <c r="H7315" i="2"/>
  <c r="N7311" i="2"/>
  <c r="H7311" i="2"/>
  <c r="N7307" i="2"/>
  <c r="H7307" i="2"/>
  <c r="N7303" i="2"/>
  <c r="H7303" i="2"/>
  <c r="N7299" i="2"/>
  <c r="H7299" i="2"/>
  <c r="N7295" i="2"/>
  <c r="H7295" i="2"/>
  <c r="N8150" i="2"/>
  <c r="H8150" i="2"/>
  <c r="N8146" i="2"/>
  <c r="H8146" i="2"/>
  <c r="N8142" i="2"/>
  <c r="H8142" i="2"/>
  <c r="N8138" i="2"/>
  <c r="H8138" i="2"/>
  <c r="N8134" i="2"/>
  <c r="H8134" i="2"/>
  <c r="N8130" i="2"/>
  <c r="H8130" i="2"/>
  <c r="N8126" i="2"/>
  <c r="H8126" i="2"/>
  <c r="N8122" i="2"/>
  <c r="H8122" i="2"/>
  <c r="N8118" i="2"/>
  <c r="H8118" i="2"/>
  <c r="N8114" i="2"/>
  <c r="H8114" i="2"/>
  <c r="N8110" i="2"/>
  <c r="H8110" i="2"/>
  <c r="N8106" i="2"/>
  <c r="H8106" i="2"/>
  <c r="N8102" i="2"/>
  <c r="H8102" i="2"/>
  <c r="N8098" i="2"/>
  <c r="H8098" i="2"/>
  <c r="N8094" i="2"/>
  <c r="H8094" i="2"/>
  <c r="N8090" i="2"/>
  <c r="H8090" i="2"/>
  <c r="N8086" i="2"/>
  <c r="H8086" i="2"/>
  <c r="N8082" i="2"/>
  <c r="H8082" i="2"/>
  <c r="N8078" i="2"/>
  <c r="H8078" i="2"/>
  <c r="N8074" i="2"/>
  <c r="H8074" i="2"/>
  <c r="N8070" i="2"/>
  <c r="H8070" i="2"/>
  <c r="N8066" i="2"/>
  <c r="H8066" i="2"/>
  <c r="N8062" i="2"/>
  <c r="H8062" i="2"/>
  <c r="N8058" i="2"/>
  <c r="H8058" i="2"/>
  <c r="N8054" i="2"/>
  <c r="H8054" i="2"/>
  <c r="N8050" i="2"/>
  <c r="H8050" i="2"/>
  <c r="N8046" i="2"/>
  <c r="H8046" i="2"/>
  <c r="N8042" i="2"/>
  <c r="H8042" i="2"/>
  <c r="N8038" i="2"/>
  <c r="H8038" i="2"/>
  <c r="N8034" i="2"/>
  <c r="H8034" i="2"/>
  <c r="N8030" i="2"/>
  <c r="H8030" i="2"/>
  <c r="N8026" i="2"/>
  <c r="H8026" i="2"/>
  <c r="N8022" i="2"/>
  <c r="H8022" i="2"/>
  <c r="N8018" i="2"/>
  <c r="H8018" i="2"/>
  <c r="N8014" i="2"/>
  <c r="H8014" i="2"/>
  <c r="N8010" i="2"/>
  <c r="H8010" i="2"/>
  <c r="N8006" i="2"/>
  <c r="H8006" i="2"/>
  <c r="N8002" i="2"/>
  <c r="H8002" i="2"/>
  <c r="N7998" i="2"/>
  <c r="H7998" i="2"/>
  <c r="N7994" i="2"/>
  <c r="H7994" i="2"/>
  <c r="N7990" i="2"/>
  <c r="H7990" i="2"/>
  <c r="N7986" i="2"/>
  <c r="H7986" i="2"/>
  <c r="N7982" i="2"/>
  <c r="H7982" i="2"/>
  <c r="N7978" i="2"/>
  <c r="H7978" i="2"/>
  <c r="N7974" i="2"/>
  <c r="H7974" i="2"/>
  <c r="N7970" i="2"/>
  <c r="H7970" i="2"/>
  <c r="N7966" i="2"/>
  <c r="H7966" i="2"/>
  <c r="N7962" i="2"/>
  <c r="H7962" i="2"/>
  <c r="N7958" i="2"/>
  <c r="H7958" i="2"/>
  <c r="N7954" i="2"/>
  <c r="H7954" i="2"/>
  <c r="N7950" i="2"/>
  <c r="H7950" i="2"/>
  <c r="N7946" i="2"/>
  <c r="H7946" i="2"/>
  <c r="N7942" i="2"/>
  <c r="H7942" i="2"/>
  <c r="N7938" i="2"/>
  <c r="H7938" i="2"/>
  <c r="N7934" i="2"/>
  <c r="H7934" i="2"/>
  <c r="N7930" i="2"/>
  <c r="H7930" i="2"/>
  <c r="N7926" i="2"/>
  <c r="H7926" i="2"/>
  <c r="N7922" i="2"/>
  <c r="H7922" i="2"/>
  <c r="N7918" i="2"/>
  <c r="H7918" i="2"/>
  <c r="N7914" i="2"/>
  <c r="H7914" i="2"/>
  <c r="N7910" i="2"/>
  <c r="H7910" i="2"/>
  <c r="N7906" i="2"/>
  <c r="H7906" i="2"/>
  <c r="N7902" i="2"/>
  <c r="H7902" i="2"/>
  <c r="N7898" i="2"/>
  <c r="H7898" i="2"/>
  <c r="N7894" i="2"/>
  <c r="H7894" i="2"/>
  <c r="N7890" i="2"/>
  <c r="H7890" i="2"/>
  <c r="N7886" i="2"/>
  <c r="H7886" i="2"/>
  <c r="N7882" i="2"/>
  <c r="H7882" i="2"/>
  <c r="N7878" i="2"/>
  <c r="H7878" i="2"/>
  <c r="N7874" i="2"/>
  <c r="H7874" i="2"/>
  <c r="N7870" i="2"/>
  <c r="H7870" i="2"/>
  <c r="N7866" i="2"/>
  <c r="H7866" i="2"/>
  <c r="N7862" i="2"/>
  <c r="H7862" i="2"/>
  <c r="N7858" i="2"/>
  <c r="H7858" i="2"/>
  <c r="N7854" i="2"/>
  <c r="H7854" i="2"/>
  <c r="N7850" i="2"/>
  <c r="H7850" i="2"/>
  <c r="N7846" i="2"/>
  <c r="H7846" i="2"/>
  <c r="N7842" i="2"/>
  <c r="H7842" i="2"/>
  <c r="N7838" i="2"/>
  <c r="H7838" i="2"/>
  <c r="H7834" i="2"/>
  <c r="N7834" i="2"/>
  <c r="N7830" i="2"/>
  <c r="H7830" i="2"/>
  <c r="N7826" i="2"/>
  <c r="H7826" i="2"/>
  <c r="N7822" i="2"/>
  <c r="H7822" i="2"/>
  <c r="N7818" i="2"/>
  <c r="H7818" i="2"/>
  <c r="N7814" i="2"/>
  <c r="H7814" i="2"/>
  <c r="N7810" i="2"/>
  <c r="H7810" i="2"/>
  <c r="N7806" i="2"/>
  <c r="H7806" i="2"/>
  <c r="H7802" i="2"/>
  <c r="N7802" i="2"/>
  <c r="N7798" i="2"/>
  <c r="H7798" i="2"/>
  <c r="N7794" i="2"/>
  <c r="H7794" i="2"/>
  <c r="N7790" i="2"/>
  <c r="H7790" i="2"/>
  <c r="H7786" i="2"/>
  <c r="N7786" i="2"/>
  <c r="N7782" i="2"/>
  <c r="H7782" i="2"/>
  <c r="N7778" i="2"/>
  <c r="H7778" i="2"/>
  <c r="N7774" i="2"/>
  <c r="H7774" i="2"/>
  <c r="N7770" i="2"/>
  <c r="H7770" i="2"/>
  <c r="N7766" i="2"/>
  <c r="H7766" i="2"/>
  <c r="N7762" i="2"/>
  <c r="H7762" i="2"/>
  <c r="N7758" i="2"/>
  <c r="H7758" i="2"/>
  <c r="N7754" i="2"/>
  <c r="H7754" i="2"/>
  <c r="N7750" i="2"/>
  <c r="H7750" i="2"/>
  <c r="N7746" i="2"/>
  <c r="H7746" i="2"/>
  <c r="N7742" i="2"/>
  <c r="H7742" i="2"/>
  <c r="H7738" i="2"/>
  <c r="N7738" i="2"/>
  <c r="N7734" i="2"/>
  <c r="H7734" i="2"/>
  <c r="N7730" i="2"/>
  <c r="H7730" i="2"/>
  <c r="N7726" i="2"/>
  <c r="H7726" i="2"/>
  <c r="H7722" i="2"/>
  <c r="N7722" i="2"/>
  <c r="N7718" i="2"/>
  <c r="H7718" i="2"/>
  <c r="N7714" i="2"/>
  <c r="H7714" i="2"/>
  <c r="N7710" i="2"/>
  <c r="H7710" i="2"/>
  <c r="N7706" i="2"/>
  <c r="H7706" i="2"/>
  <c r="N7702" i="2"/>
  <c r="H7702" i="2"/>
  <c r="N7698" i="2"/>
  <c r="H7698" i="2"/>
  <c r="N7694" i="2"/>
  <c r="H7694" i="2"/>
  <c r="N7690" i="2"/>
  <c r="H7690" i="2"/>
  <c r="N7686" i="2"/>
  <c r="H7686" i="2"/>
  <c r="N7682" i="2"/>
  <c r="H7682" i="2"/>
  <c r="N7678" i="2"/>
  <c r="H7678" i="2"/>
  <c r="H7674" i="2"/>
  <c r="N7674" i="2"/>
  <c r="N7670" i="2"/>
  <c r="H7670" i="2"/>
  <c r="N7666" i="2"/>
  <c r="H7666" i="2"/>
  <c r="N7662" i="2"/>
  <c r="H7662" i="2"/>
  <c r="H7658" i="2"/>
  <c r="N7658" i="2"/>
  <c r="N7654" i="2"/>
  <c r="H7654" i="2"/>
  <c r="N7650" i="2"/>
  <c r="H7650" i="2"/>
  <c r="N7646" i="2"/>
  <c r="H7646" i="2"/>
  <c r="N7642" i="2"/>
  <c r="H7642" i="2"/>
  <c r="N7638" i="2"/>
  <c r="H7638" i="2"/>
  <c r="N7634" i="2"/>
  <c r="H7634" i="2"/>
  <c r="N7630" i="2"/>
  <c r="H7630" i="2"/>
  <c r="N7626" i="2"/>
  <c r="H7626" i="2"/>
  <c r="N7622" i="2"/>
  <c r="H7622" i="2"/>
  <c r="N7618" i="2"/>
  <c r="H7618" i="2"/>
  <c r="N7614" i="2"/>
  <c r="H7614" i="2"/>
  <c r="N7610" i="2"/>
  <c r="H7610" i="2"/>
  <c r="N7606" i="2"/>
  <c r="H7606" i="2"/>
  <c r="N7602" i="2"/>
  <c r="H7602" i="2"/>
  <c r="N7598" i="2"/>
  <c r="H7598" i="2"/>
  <c r="N7594" i="2"/>
  <c r="H7594" i="2"/>
  <c r="N7590" i="2"/>
  <c r="H7590" i="2"/>
  <c r="N7586" i="2"/>
  <c r="H7586" i="2"/>
  <c r="N7582" i="2"/>
  <c r="H7582" i="2"/>
  <c r="N7578" i="2"/>
  <c r="H7578" i="2"/>
  <c r="N7574" i="2"/>
  <c r="H7574" i="2"/>
  <c r="N7570" i="2"/>
  <c r="H7570" i="2"/>
  <c r="N7566" i="2"/>
  <c r="H7566" i="2"/>
  <c r="N7562" i="2"/>
  <c r="H7562" i="2"/>
  <c r="N7558" i="2"/>
  <c r="H7558" i="2"/>
  <c r="N7554" i="2"/>
  <c r="H7554" i="2"/>
  <c r="N7550" i="2"/>
  <c r="H7550" i="2"/>
  <c r="N7546" i="2"/>
  <c r="H7546" i="2"/>
  <c r="N7542" i="2"/>
  <c r="H7542" i="2"/>
  <c r="N7538" i="2"/>
  <c r="H7538" i="2"/>
  <c r="N7534" i="2"/>
  <c r="H7534" i="2"/>
  <c r="N7530" i="2"/>
  <c r="H7530" i="2"/>
  <c r="N7526" i="2"/>
  <c r="H7526" i="2"/>
  <c r="N7522" i="2"/>
  <c r="H7522" i="2"/>
  <c r="N7518" i="2"/>
  <c r="H7518" i="2"/>
  <c r="N7514" i="2"/>
  <c r="H7514" i="2"/>
  <c r="N7510" i="2"/>
  <c r="H7510" i="2"/>
  <c r="N7506" i="2"/>
  <c r="H7506" i="2"/>
  <c r="N7502" i="2"/>
  <c r="H7502" i="2"/>
  <c r="N7498" i="2"/>
  <c r="H7498" i="2"/>
  <c r="N7494" i="2"/>
  <c r="H7494" i="2"/>
  <c r="N7490" i="2"/>
  <c r="H7490" i="2"/>
  <c r="N7486" i="2"/>
  <c r="H7486" i="2"/>
  <c r="N7482" i="2"/>
  <c r="H7482" i="2"/>
  <c r="N7478" i="2"/>
  <c r="H7478" i="2"/>
  <c r="N7474" i="2"/>
  <c r="H7474" i="2"/>
  <c r="N7470" i="2"/>
  <c r="H7470" i="2"/>
  <c r="N7466" i="2"/>
  <c r="H7466" i="2"/>
  <c r="N7462" i="2"/>
  <c r="H7462" i="2"/>
  <c r="N7458" i="2"/>
  <c r="H7458" i="2"/>
  <c r="N7454" i="2"/>
  <c r="H7454" i="2"/>
  <c r="N7450" i="2"/>
  <c r="H7450" i="2"/>
  <c r="N7446" i="2"/>
  <c r="H7446" i="2"/>
  <c r="N7442" i="2"/>
  <c r="H7442" i="2"/>
  <c r="N7438" i="2"/>
  <c r="H7438" i="2"/>
  <c r="N7434" i="2"/>
  <c r="H7434" i="2"/>
  <c r="N7430" i="2"/>
  <c r="H7430" i="2"/>
  <c r="N7426" i="2"/>
  <c r="H7426" i="2"/>
  <c r="N7422" i="2"/>
  <c r="H7422" i="2"/>
  <c r="N7418" i="2"/>
  <c r="H7418" i="2"/>
  <c r="N7414" i="2"/>
  <c r="H7414" i="2"/>
  <c r="N7410" i="2"/>
  <c r="H7410" i="2"/>
  <c r="N7406" i="2"/>
  <c r="H7406" i="2"/>
  <c r="N7402" i="2"/>
  <c r="H7402" i="2"/>
  <c r="N7398" i="2"/>
  <c r="H7398" i="2"/>
  <c r="N7394" i="2"/>
  <c r="H7394" i="2"/>
  <c r="N7390" i="2"/>
  <c r="H7390" i="2"/>
  <c r="N7386" i="2"/>
  <c r="H7386" i="2"/>
  <c r="N7382" i="2"/>
  <c r="H7382" i="2"/>
  <c r="N7378" i="2"/>
  <c r="H7378" i="2"/>
  <c r="N7374" i="2"/>
  <c r="H7374" i="2"/>
  <c r="N7370" i="2"/>
  <c r="H7370" i="2"/>
  <c r="N7366" i="2"/>
  <c r="H7366" i="2"/>
  <c r="N7362" i="2"/>
  <c r="H7362" i="2"/>
  <c r="N7358" i="2"/>
  <c r="H7358" i="2"/>
  <c r="N7354" i="2"/>
  <c r="H7354" i="2"/>
  <c r="N7350" i="2"/>
  <c r="H7350" i="2"/>
  <c r="N7346" i="2"/>
  <c r="H7346" i="2"/>
  <c r="N7342" i="2"/>
  <c r="H7342" i="2"/>
  <c r="N7338" i="2"/>
  <c r="H7338" i="2"/>
  <c r="N7334" i="2"/>
  <c r="H7334" i="2"/>
  <c r="N7330" i="2"/>
  <c r="H7330" i="2"/>
  <c r="N7326" i="2"/>
  <c r="H7326" i="2"/>
  <c r="N7322" i="2"/>
  <c r="H7322" i="2"/>
  <c r="N7318" i="2"/>
  <c r="H7318" i="2"/>
  <c r="N7314" i="2"/>
  <c r="H7314" i="2"/>
  <c r="N7310" i="2"/>
  <c r="H7310" i="2"/>
  <c r="N7306" i="2"/>
  <c r="H7306" i="2"/>
  <c r="N7302" i="2"/>
  <c r="H7302" i="2"/>
  <c r="N7298" i="2"/>
  <c r="H7298" i="2"/>
  <c r="N7294" i="2"/>
  <c r="H7294" i="2"/>
  <c r="N6642" i="2"/>
  <c r="H6642" i="2"/>
  <c r="N6626" i="2"/>
  <c r="H6626" i="2"/>
  <c r="N6614" i="2"/>
  <c r="H6614" i="2"/>
  <c r="N6602" i="2"/>
  <c r="H6602" i="2"/>
  <c r="N6590" i="2"/>
  <c r="H6590" i="2"/>
  <c r="N6582" i="2"/>
  <c r="H6582" i="2"/>
  <c r="N6566" i="2"/>
  <c r="H6566" i="2"/>
  <c r="N6558" i="2"/>
  <c r="H6558" i="2"/>
  <c r="N6550" i="2"/>
  <c r="H6550" i="2"/>
  <c r="N6530" i="2"/>
  <c r="H6530" i="2"/>
  <c r="N6518" i="2"/>
  <c r="H6518" i="2"/>
  <c r="N6506" i="2"/>
  <c r="H6506" i="2"/>
  <c r="N6498" i="2"/>
  <c r="H6498" i="2"/>
  <c r="N6482" i="2"/>
  <c r="H6482" i="2"/>
  <c r="N6470" i="2"/>
  <c r="H6470" i="2"/>
  <c r="N6458" i="2"/>
  <c r="H6458" i="2"/>
  <c r="N6454" i="2"/>
  <c r="H6454" i="2"/>
  <c r="N6442" i="2"/>
  <c r="H6442" i="2"/>
  <c r="N6422" i="2"/>
  <c r="H6422" i="2"/>
  <c r="N6414" i="2"/>
  <c r="H6414" i="2"/>
  <c r="N6406" i="2"/>
  <c r="H6406" i="2"/>
  <c r="N6390" i="2"/>
  <c r="H6390" i="2"/>
  <c r="N6378" i="2"/>
  <c r="H6378" i="2"/>
  <c r="N6366" i="2"/>
  <c r="H6366" i="2"/>
  <c r="N6354" i="2"/>
  <c r="H6354" i="2"/>
  <c r="N6346" i="2"/>
  <c r="H6346" i="2"/>
  <c r="N6334" i="2"/>
  <c r="H6334" i="2"/>
  <c r="N6318" i="2"/>
  <c r="H6318" i="2"/>
  <c r="N6310" i="2"/>
  <c r="H6310" i="2"/>
  <c r="N6298" i="2"/>
  <c r="H6298" i="2"/>
  <c r="N6286" i="2"/>
  <c r="H6286" i="2"/>
  <c r="N6274" i="2"/>
  <c r="H6274" i="2"/>
  <c r="N6262" i="2"/>
  <c r="H6262" i="2"/>
  <c r="N6250" i="2"/>
  <c r="H6250" i="2"/>
  <c r="N6238" i="2"/>
  <c r="H6238" i="2"/>
  <c r="N6226" i="2"/>
  <c r="H6226" i="2"/>
  <c r="N6214" i="2"/>
  <c r="H6214" i="2"/>
  <c r="N6198" i="2"/>
  <c r="H6198" i="2"/>
  <c r="N6182" i="2"/>
  <c r="H6182" i="2"/>
  <c r="N6170" i="2"/>
  <c r="H6170" i="2"/>
  <c r="N6158" i="2"/>
  <c r="H6158" i="2"/>
  <c r="N6150" i="2"/>
  <c r="H6150" i="2"/>
  <c r="N6134" i="2"/>
  <c r="H6134" i="2"/>
  <c r="N6122" i="2"/>
  <c r="H6122" i="2"/>
  <c r="N6110" i="2"/>
  <c r="H6110" i="2"/>
  <c r="N6098" i="2"/>
  <c r="H6098" i="2"/>
  <c r="N6094" i="2"/>
  <c r="H6094" i="2"/>
  <c r="N6082" i="2"/>
  <c r="H6082" i="2"/>
  <c r="N6066" i="2"/>
  <c r="H6066" i="2"/>
  <c r="N6054" i="2"/>
  <c r="H6054" i="2"/>
  <c r="N6042" i="2"/>
  <c r="H6042" i="2"/>
  <c r="N6030" i="2"/>
  <c r="H6030" i="2"/>
  <c r="N6018" i="2"/>
  <c r="H6018" i="2"/>
  <c r="N6006" i="2"/>
  <c r="H6006" i="2"/>
  <c r="N5986" i="2"/>
  <c r="H5986" i="2"/>
  <c r="N5974" i="2"/>
  <c r="H5974" i="2"/>
  <c r="N5962" i="2"/>
  <c r="H5962" i="2"/>
  <c r="N5950" i="2"/>
  <c r="H5950" i="2"/>
  <c r="N5946" i="2"/>
  <c r="H5946" i="2"/>
  <c r="N5934" i="2"/>
  <c r="H5934" i="2"/>
  <c r="N5922" i="2"/>
  <c r="H5922" i="2"/>
  <c r="N5906" i="2"/>
  <c r="H5906" i="2"/>
  <c r="N5894" i="2"/>
  <c r="H5894" i="2"/>
  <c r="N5882" i="2"/>
  <c r="H5882" i="2"/>
  <c r="N5866" i="2"/>
  <c r="H5866" i="2"/>
  <c r="N5850" i="2"/>
  <c r="H5850" i="2"/>
  <c r="N5838" i="2"/>
  <c r="H5838" i="2"/>
  <c r="N5826" i="2"/>
  <c r="H5826" i="2"/>
  <c r="N5810" i="2"/>
  <c r="H5810" i="2"/>
  <c r="N5794" i="2"/>
  <c r="H5794" i="2"/>
  <c r="N5786" i="2"/>
  <c r="H5786" i="2"/>
  <c r="N5774" i="2"/>
  <c r="H5774" i="2"/>
  <c r="N5762" i="2"/>
  <c r="H5762" i="2"/>
  <c r="N5754" i="2"/>
  <c r="H5754" i="2"/>
  <c r="N5742" i="2"/>
  <c r="H5742" i="2"/>
  <c r="N5734" i="2"/>
  <c r="H5734" i="2"/>
  <c r="N5714" i="2"/>
  <c r="H5714" i="2"/>
  <c r="N5698" i="2"/>
  <c r="H5698" i="2"/>
  <c r="N5682" i="2"/>
  <c r="H5682" i="2"/>
  <c r="N5670" i="2"/>
  <c r="H5670" i="2"/>
  <c r="N5658" i="2"/>
  <c r="H5658" i="2"/>
  <c r="N5646" i="2"/>
  <c r="H5646" i="2"/>
  <c r="N5634" i="2"/>
  <c r="H5634" i="2"/>
  <c r="N5622" i="2"/>
  <c r="H5622" i="2"/>
  <c r="N5606" i="2"/>
  <c r="H5606" i="2"/>
  <c r="N5590" i="2"/>
  <c r="H5590" i="2"/>
  <c r="N5578" i="2"/>
  <c r="H5578" i="2"/>
  <c r="N5566" i="2"/>
  <c r="H5566" i="2"/>
  <c r="N5554" i="2"/>
  <c r="H5554" i="2"/>
  <c r="N5546" i="2"/>
  <c r="H5546" i="2"/>
  <c r="N5530" i="2"/>
  <c r="H5530" i="2"/>
  <c r="N5518" i="2"/>
  <c r="H5518" i="2"/>
  <c r="N5506" i="2"/>
  <c r="H5506" i="2"/>
  <c r="N5494" i="2"/>
  <c r="H5494" i="2"/>
  <c r="N5486" i="2"/>
  <c r="H5486" i="2"/>
  <c r="N5474" i="2"/>
  <c r="H5474" i="2"/>
  <c r="N5462" i="2"/>
  <c r="H5462" i="2"/>
  <c r="N5450" i="2"/>
  <c r="H5450" i="2"/>
  <c r="N5438" i="2"/>
  <c r="H5438" i="2"/>
  <c r="N5426" i="2"/>
  <c r="H5426" i="2"/>
  <c r="N5414" i="2"/>
  <c r="H5414" i="2"/>
  <c r="N5402" i="2"/>
  <c r="H5402" i="2"/>
  <c r="N5390" i="2"/>
  <c r="H5390" i="2"/>
  <c r="N5378" i="2"/>
  <c r="H5378" i="2"/>
  <c r="N5366" i="2"/>
  <c r="H5366" i="2"/>
  <c r="N5354" i="2"/>
  <c r="H5354" i="2"/>
  <c r="N5342" i="2"/>
  <c r="H5342" i="2"/>
  <c r="N5330" i="2"/>
  <c r="H5330" i="2"/>
  <c r="N5318" i="2"/>
  <c r="H5318" i="2"/>
  <c r="N5302" i="2"/>
  <c r="H5302" i="2"/>
  <c r="N5294" i="2"/>
  <c r="H5294" i="2"/>
  <c r="N5286" i="2"/>
  <c r="H5286" i="2"/>
  <c r="N5274" i="2"/>
  <c r="H5274" i="2"/>
  <c r="N5262" i="2"/>
  <c r="H5262" i="2"/>
  <c r="N5250" i="2"/>
  <c r="H5250" i="2"/>
  <c r="N5238" i="2"/>
  <c r="H5238" i="2"/>
  <c r="N5222" i="2"/>
  <c r="H5222" i="2"/>
  <c r="N5210" i="2"/>
  <c r="H5210" i="2"/>
  <c r="N5202" i="2"/>
  <c r="H5202" i="2"/>
  <c r="N5190" i="2"/>
  <c r="H5190" i="2"/>
  <c r="N5178" i="2"/>
  <c r="H5178" i="2"/>
  <c r="N5166" i="2"/>
  <c r="H5166" i="2"/>
  <c r="N5154" i="2"/>
  <c r="H5154" i="2"/>
  <c r="N5138" i="2"/>
  <c r="H5138" i="2"/>
  <c r="N5126" i="2"/>
  <c r="H5126" i="2"/>
  <c r="N5114" i="2"/>
  <c r="H5114" i="2"/>
  <c r="N5102" i="2"/>
  <c r="H5102" i="2"/>
  <c r="N5090" i="2"/>
  <c r="H5090" i="2"/>
  <c r="N5074" i="2"/>
  <c r="H5074" i="2"/>
  <c r="N5062" i="2"/>
  <c r="H5062" i="2"/>
  <c r="N5050" i="2"/>
  <c r="H5050" i="2"/>
  <c r="N5038" i="2"/>
  <c r="H5038" i="2"/>
  <c r="N5026" i="2"/>
  <c r="H5026" i="2"/>
  <c r="N5014" i="2"/>
  <c r="H5014" i="2"/>
  <c r="N5002" i="2"/>
  <c r="H5002" i="2"/>
  <c r="N4990" i="2"/>
  <c r="H4990" i="2"/>
  <c r="N4978" i="2"/>
  <c r="H4978" i="2"/>
  <c r="N4966" i="2"/>
  <c r="H4966" i="2"/>
  <c r="N4954" i="2"/>
  <c r="H4954" i="2"/>
  <c r="N4942" i="2"/>
  <c r="H4942" i="2"/>
  <c r="N4934" i="2"/>
  <c r="H4934" i="2"/>
  <c r="N4918" i="2"/>
  <c r="H4918" i="2"/>
  <c r="N4902" i="2"/>
  <c r="H4902" i="2"/>
  <c r="N4890" i="2"/>
  <c r="H4890" i="2"/>
  <c r="N4878" i="2"/>
  <c r="H4878" i="2"/>
  <c r="N4866" i="2"/>
  <c r="H4866" i="2"/>
  <c r="N4854" i="2"/>
  <c r="H4854" i="2"/>
  <c r="N4842" i="2"/>
  <c r="H4842" i="2"/>
  <c r="N4830" i="2"/>
  <c r="H4830" i="2"/>
  <c r="N4818" i="2"/>
  <c r="H4818" i="2"/>
  <c r="N4806" i="2"/>
  <c r="H4806" i="2"/>
  <c r="N4794" i="2"/>
  <c r="H4794" i="2"/>
  <c r="N4782" i="2"/>
  <c r="H4782" i="2"/>
  <c r="N4770" i="2"/>
  <c r="H4770" i="2"/>
  <c r="N4758" i="2"/>
  <c r="H4758" i="2"/>
  <c r="N4746" i="2"/>
  <c r="H4746" i="2"/>
  <c r="N4730" i="2"/>
  <c r="H4730" i="2"/>
  <c r="N4718" i="2"/>
  <c r="H4718" i="2"/>
  <c r="N4706" i="2"/>
  <c r="H4706" i="2"/>
  <c r="N4690" i="2"/>
  <c r="H4690" i="2"/>
  <c r="N4682" i="2"/>
  <c r="H4682" i="2"/>
  <c r="N4674" i="2"/>
  <c r="H4674" i="2"/>
  <c r="N4662" i="2"/>
  <c r="H4662" i="2"/>
  <c r="N4650" i="2"/>
  <c r="H4650" i="2"/>
  <c r="N4634" i="2"/>
  <c r="H4634" i="2"/>
  <c r="N4626" i="2"/>
  <c r="H4626" i="2"/>
  <c r="N4614" i="2"/>
  <c r="H4614" i="2"/>
  <c r="N4594" i="2"/>
  <c r="H4594" i="2"/>
  <c r="N4582" i="2"/>
  <c r="H4582" i="2"/>
  <c r="N4570" i="2"/>
  <c r="H4570" i="2"/>
  <c r="N4566" i="2"/>
  <c r="H4566" i="2"/>
  <c r="N7291" i="2"/>
  <c r="H7291" i="2"/>
  <c r="N7287" i="2"/>
  <c r="H7287" i="2"/>
  <c r="N7283" i="2"/>
  <c r="H7283" i="2"/>
  <c r="N7279" i="2"/>
  <c r="H7279" i="2"/>
  <c r="N7275" i="2"/>
  <c r="H7275" i="2"/>
  <c r="N7271" i="2"/>
  <c r="H7271" i="2"/>
  <c r="N7267" i="2"/>
  <c r="H7267" i="2"/>
  <c r="N7263" i="2"/>
  <c r="H7263" i="2"/>
  <c r="N7259" i="2"/>
  <c r="H7259" i="2"/>
  <c r="N7255" i="2"/>
  <c r="H7255" i="2"/>
  <c r="N7251" i="2"/>
  <c r="H7251" i="2"/>
  <c r="N7247" i="2"/>
  <c r="H7247" i="2"/>
  <c r="N7243" i="2"/>
  <c r="H7243" i="2"/>
  <c r="N7239" i="2"/>
  <c r="H7239" i="2"/>
  <c r="N7235" i="2"/>
  <c r="H7235" i="2"/>
  <c r="N7231" i="2"/>
  <c r="H7231" i="2"/>
  <c r="N7227" i="2"/>
  <c r="H7227" i="2"/>
  <c r="N7223" i="2"/>
  <c r="H7223" i="2"/>
  <c r="N7219" i="2"/>
  <c r="H7219" i="2"/>
  <c r="N7215" i="2"/>
  <c r="H7215" i="2"/>
  <c r="N7211" i="2"/>
  <c r="H7211" i="2"/>
  <c r="N7207" i="2"/>
  <c r="H7207" i="2"/>
  <c r="N7203" i="2"/>
  <c r="H7203" i="2"/>
  <c r="N7199" i="2"/>
  <c r="H7199" i="2"/>
  <c r="N7195" i="2"/>
  <c r="H7195" i="2"/>
  <c r="N7191" i="2"/>
  <c r="H7191" i="2"/>
  <c r="N7187" i="2"/>
  <c r="H7187" i="2"/>
  <c r="N7183" i="2"/>
  <c r="H7183" i="2"/>
  <c r="N7179" i="2"/>
  <c r="H7179" i="2"/>
  <c r="N7175" i="2"/>
  <c r="H7175" i="2"/>
  <c r="N7171" i="2"/>
  <c r="H7171" i="2"/>
  <c r="N7167" i="2"/>
  <c r="H7167" i="2"/>
  <c r="N7163" i="2"/>
  <c r="H7163" i="2"/>
  <c r="N7159" i="2"/>
  <c r="H7159" i="2"/>
  <c r="N7155" i="2"/>
  <c r="H7155" i="2"/>
  <c r="N7151" i="2"/>
  <c r="H7151" i="2"/>
  <c r="N7147" i="2"/>
  <c r="H7147" i="2"/>
  <c r="N7143" i="2"/>
  <c r="H7143" i="2"/>
  <c r="N7139" i="2"/>
  <c r="H7139" i="2"/>
  <c r="N7135" i="2"/>
  <c r="H7135" i="2"/>
  <c r="N7131" i="2"/>
  <c r="H7131" i="2"/>
  <c r="N7127" i="2"/>
  <c r="H7127" i="2"/>
  <c r="N7123" i="2"/>
  <c r="H7123" i="2"/>
  <c r="N7119" i="2"/>
  <c r="H7119" i="2"/>
  <c r="N7115" i="2"/>
  <c r="H7115" i="2"/>
  <c r="N7111" i="2"/>
  <c r="H7111" i="2"/>
  <c r="N7107" i="2"/>
  <c r="H7107" i="2"/>
  <c r="N7103" i="2"/>
  <c r="H7103" i="2"/>
  <c r="N7099" i="2"/>
  <c r="H7099" i="2"/>
  <c r="N7095" i="2"/>
  <c r="H7095" i="2"/>
  <c r="N7091" i="2"/>
  <c r="H7091" i="2"/>
  <c r="N7087" i="2"/>
  <c r="H7087" i="2"/>
  <c r="N7083" i="2"/>
  <c r="H7083" i="2"/>
  <c r="N7079" i="2"/>
  <c r="H7079" i="2"/>
  <c r="N7075" i="2"/>
  <c r="H7075" i="2"/>
  <c r="N7071" i="2"/>
  <c r="H7071" i="2"/>
  <c r="N7067" i="2"/>
  <c r="H7067" i="2"/>
  <c r="N7063" i="2"/>
  <c r="H7063" i="2"/>
  <c r="N7059" i="2"/>
  <c r="H7059" i="2"/>
  <c r="N7055" i="2"/>
  <c r="H7055" i="2"/>
  <c r="N7051" i="2"/>
  <c r="H7051" i="2"/>
  <c r="N7047" i="2"/>
  <c r="H7047" i="2"/>
  <c r="N7043" i="2"/>
  <c r="H7043" i="2"/>
  <c r="N7039" i="2"/>
  <c r="H7039" i="2"/>
  <c r="N7035" i="2"/>
  <c r="H7035" i="2"/>
  <c r="N7031" i="2"/>
  <c r="H7031" i="2"/>
  <c r="N7027" i="2"/>
  <c r="H7027" i="2"/>
  <c r="N7023" i="2"/>
  <c r="H7023" i="2"/>
  <c r="N7019" i="2"/>
  <c r="H7019" i="2"/>
  <c r="N7015" i="2"/>
  <c r="H7015" i="2"/>
  <c r="N7011" i="2"/>
  <c r="H7011" i="2"/>
  <c r="N7007" i="2"/>
  <c r="H7007" i="2"/>
  <c r="N7003" i="2"/>
  <c r="H7003" i="2"/>
  <c r="N6999" i="2"/>
  <c r="H6999" i="2"/>
  <c r="N6995" i="2"/>
  <c r="H6995" i="2"/>
  <c r="N6991" i="2"/>
  <c r="H6991" i="2"/>
  <c r="N6987" i="2"/>
  <c r="H6987" i="2"/>
  <c r="N6983" i="2"/>
  <c r="H6983" i="2"/>
  <c r="N6979" i="2"/>
  <c r="H6979" i="2"/>
  <c r="N6975" i="2"/>
  <c r="H6975" i="2"/>
  <c r="N6971" i="2"/>
  <c r="H6971" i="2"/>
  <c r="N6967" i="2"/>
  <c r="H6967" i="2"/>
  <c r="N6963" i="2"/>
  <c r="H6963" i="2"/>
  <c r="N6959" i="2"/>
  <c r="H6959" i="2"/>
  <c r="N6955" i="2"/>
  <c r="H6955" i="2"/>
  <c r="N6951" i="2"/>
  <c r="H6951" i="2"/>
  <c r="N6947" i="2"/>
  <c r="H6947" i="2"/>
  <c r="N6943" i="2"/>
  <c r="H6943" i="2"/>
  <c r="N6939" i="2"/>
  <c r="H6939" i="2"/>
  <c r="N6935" i="2"/>
  <c r="H6935" i="2"/>
  <c r="N6931" i="2"/>
  <c r="H6931" i="2"/>
  <c r="N6927" i="2"/>
  <c r="H6927" i="2"/>
  <c r="N6923" i="2"/>
  <c r="H6923" i="2"/>
  <c r="N6919" i="2"/>
  <c r="H6919" i="2"/>
  <c r="N6915" i="2"/>
  <c r="H6915" i="2"/>
  <c r="N6911" i="2"/>
  <c r="H6911" i="2"/>
  <c r="N6907" i="2"/>
  <c r="H6907" i="2"/>
  <c r="N6903" i="2"/>
  <c r="H6903" i="2"/>
  <c r="N6899" i="2"/>
  <c r="H6899" i="2"/>
  <c r="N6895" i="2"/>
  <c r="H6895" i="2"/>
  <c r="N6891" i="2"/>
  <c r="H6891" i="2"/>
  <c r="N6887" i="2"/>
  <c r="H6887" i="2"/>
  <c r="N6883" i="2"/>
  <c r="H6883" i="2"/>
  <c r="N6879" i="2"/>
  <c r="H6879" i="2"/>
  <c r="N6875" i="2"/>
  <c r="H6875" i="2"/>
  <c r="N6871" i="2"/>
  <c r="H6871" i="2"/>
  <c r="N6867" i="2"/>
  <c r="H6867" i="2"/>
  <c r="N6863" i="2"/>
  <c r="H6863" i="2"/>
  <c r="N6859" i="2"/>
  <c r="H6859" i="2"/>
  <c r="N6855" i="2"/>
  <c r="H6855" i="2"/>
  <c r="N6851" i="2"/>
  <c r="H6851" i="2"/>
  <c r="N6847" i="2"/>
  <c r="H6847" i="2"/>
  <c r="N6843" i="2"/>
  <c r="H6843" i="2"/>
  <c r="N6839" i="2"/>
  <c r="H6839" i="2"/>
  <c r="N6835" i="2"/>
  <c r="H6835" i="2"/>
  <c r="N6831" i="2"/>
  <c r="H6831" i="2"/>
  <c r="N6827" i="2"/>
  <c r="H6827" i="2"/>
  <c r="N6823" i="2"/>
  <c r="H6823" i="2"/>
  <c r="N6819" i="2"/>
  <c r="H6819" i="2"/>
  <c r="N6815" i="2"/>
  <c r="H6815" i="2"/>
  <c r="N6811" i="2"/>
  <c r="H6811" i="2"/>
  <c r="N6807" i="2"/>
  <c r="H6807" i="2"/>
  <c r="N6803" i="2"/>
  <c r="H6803" i="2"/>
  <c r="N6799" i="2"/>
  <c r="H6799" i="2"/>
  <c r="N6795" i="2"/>
  <c r="H6795" i="2"/>
  <c r="N6791" i="2"/>
  <c r="H6791" i="2"/>
  <c r="N6787" i="2"/>
  <c r="H6787" i="2"/>
  <c r="N6783" i="2"/>
  <c r="H6783" i="2"/>
  <c r="N6779" i="2"/>
  <c r="H6779" i="2"/>
  <c r="N6775" i="2"/>
  <c r="H6775" i="2"/>
  <c r="N6771" i="2"/>
  <c r="H6771" i="2"/>
  <c r="N6767" i="2"/>
  <c r="H6767" i="2"/>
  <c r="N6763" i="2"/>
  <c r="H6763" i="2"/>
  <c r="N6759" i="2"/>
  <c r="H6759" i="2"/>
  <c r="N6755" i="2"/>
  <c r="H6755" i="2"/>
  <c r="N6751" i="2"/>
  <c r="H6751" i="2"/>
  <c r="N6747" i="2"/>
  <c r="H6747" i="2"/>
  <c r="N6743" i="2"/>
  <c r="H6743" i="2"/>
  <c r="N6739" i="2"/>
  <c r="H6739" i="2"/>
  <c r="N6735" i="2"/>
  <c r="H6735" i="2"/>
  <c r="N6731" i="2"/>
  <c r="H6731" i="2"/>
  <c r="N6727" i="2"/>
  <c r="H6727" i="2"/>
  <c r="N6723" i="2"/>
  <c r="H6723" i="2"/>
  <c r="N6719" i="2"/>
  <c r="H6719" i="2"/>
  <c r="N6715" i="2"/>
  <c r="H6715" i="2"/>
  <c r="N6711" i="2"/>
  <c r="H6711" i="2"/>
  <c r="N6707" i="2"/>
  <c r="H6707" i="2"/>
  <c r="N6703" i="2"/>
  <c r="H6703" i="2"/>
  <c r="N6699" i="2"/>
  <c r="H6699" i="2"/>
  <c r="N6695" i="2"/>
  <c r="H6695" i="2"/>
  <c r="N6691" i="2"/>
  <c r="H6691" i="2"/>
  <c r="N6687" i="2"/>
  <c r="H6687" i="2"/>
  <c r="N6683" i="2"/>
  <c r="H6683" i="2"/>
  <c r="N6679" i="2"/>
  <c r="H6679" i="2"/>
  <c r="N6675" i="2"/>
  <c r="H6675" i="2"/>
  <c r="N6671" i="2"/>
  <c r="H6671" i="2"/>
  <c r="N6667" i="2"/>
  <c r="H6667" i="2"/>
  <c r="N6663" i="2"/>
  <c r="H6663" i="2"/>
  <c r="N6659" i="2"/>
  <c r="H6659" i="2"/>
  <c r="N6655" i="2"/>
  <c r="H6655" i="2"/>
  <c r="N6651" i="2"/>
  <c r="H6651" i="2"/>
  <c r="N6647" i="2"/>
  <c r="H6647" i="2"/>
  <c r="N6643" i="2"/>
  <c r="H6643" i="2"/>
  <c r="N6639" i="2"/>
  <c r="H6639" i="2"/>
  <c r="N6635" i="2"/>
  <c r="H6635" i="2"/>
  <c r="N6631" i="2"/>
  <c r="H6631" i="2"/>
  <c r="N6627" i="2"/>
  <c r="H6627" i="2"/>
  <c r="N6623" i="2"/>
  <c r="H6623" i="2"/>
  <c r="N6619" i="2"/>
  <c r="H6619" i="2"/>
  <c r="N6615" i="2"/>
  <c r="H6615" i="2"/>
  <c r="N6611" i="2"/>
  <c r="H6611" i="2"/>
  <c r="N6607" i="2"/>
  <c r="H6607" i="2"/>
  <c r="N6603" i="2"/>
  <c r="H6603" i="2"/>
  <c r="N6599" i="2"/>
  <c r="H6599" i="2"/>
  <c r="N6595" i="2"/>
  <c r="H6595" i="2"/>
  <c r="N6591" i="2"/>
  <c r="H6591" i="2"/>
  <c r="N6587" i="2"/>
  <c r="H6587" i="2"/>
  <c r="N6583" i="2"/>
  <c r="H6583" i="2"/>
  <c r="N6579" i="2"/>
  <c r="H6579" i="2"/>
  <c r="N6575" i="2"/>
  <c r="H6575" i="2"/>
  <c r="N6571" i="2"/>
  <c r="H6571" i="2"/>
  <c r="N6567" i="2"/>
  <c r="H6567" i="2"/>
  <c r="N6563" i="2"/>
  <c r="H6563" i="2"/>
  <c r="N6559" i="2"/>
  <c r="H6559" i="2"/>
  <c r="N6555" i="2"/>
  <c r="H6555" i="2"/>
  <c r="N6551" i="2"/>
  <c r="H6551" i="2"/>
  <c r="N6547" i="2"/>
  <c r="H6547" i="2"/>
  <c r="N6543" i="2"/>
  <c r="H6543" i="2"/>
  <c r="N6539" i="2"/>
  <c r="H6539" i="2"/>
  <c r="N6535" i="2"/>
  <c r="H6535" i="2"/>
  <c r="N6531" i="2"/>
  <c r="H6531" i="2"/>
  <c r="N6527" i="2"/>
  <c r="H6527" i="2"/>
  <c r="N6523" i="2"/>
  <c r="H6523" i="2"/>
  <c r="N6519" i="2"/>
  <c r="H6519" i="2"/>
  <c r="N6515" i="2"/>
  <c r="H6515" i="2"/>
  <c r="N6511" i="2"/>
  <c r="H6511" i="2"/>
  <c r="N6507" i="2"/>
  <c r="H6507" i="2"/>
  <c r="N6503" i="2"/>
  <c r="H6503" i="2"/>
  <c r="N6499" i="2"/>
  <c r="H6499" i="2"/>
  <c r="N6495" i="2"/>
  <c r="H6495" i="2"/>
  <c r="N6491" i="2"/>
  <c r="H6491" i="2"/>
  <c r="N6487" i="2"/>
  <c r="H6487" i="2"/>
  <c r="N6483" i="2"/>
  <c r="H6483" i="2"/>
  <c r="N6479" i="2"/>
  <c r="H6479" i="2"/>
  <c r="N6475" i="2"/>
  <c r="H6475" i="2"/>
  <c r="N6471" i="2"/>
  <c r="H6471" i="2"/>
  <c r="N6467" i="2"/>
  <c r="H6467" i="2"/>
  <c r="N6463" i="2"/>
  <c r="H6463" i="2"/>
  <c r="N6459" i="2"/>
  <c r="H6459" i="2"/>
  <c r="N6455" i="2"/>
  <c r="H6455" i="2"/>
  <c r="N6451" i="2"/>
  <c r="H6451" i="2"/>
  <c r="N6447" i="2"/>
  <c r="H6447" i="2"/>
  <c r="N6443" i="2"/>
  <c r="H6443" i="2"/>
  <c r="N6439" i="2"/>
  <c r="H6439" i="2"/>
  <c r="N6435" i="2"/>
  <c r="H6435" i="2"/>
  <c r="N6431" i="2"/>
  <c r="H6431" i="2"/>
  <c r="N6427" i="2"/>
  <c r="H6427" i="2"/>
  <c r="N6423" i="2"/>
  <c r="H6423" i="2"/>
  <c r="N6419" i="2"/>
  <c r="H6419" i="2"/>
  <c r="N6415" i="2"/>
  <c r="H6415" i="2"/>
  <c r="N6411" i="2"/>
  <c r="H6411" i="2"/>
  <c r="N6407" i="2"/>
  <c r="H6407" i="2"/>
  <c r="N6403" i="2"/>
  <c r="H6403" i="2"/>
  <c r="N6399" i="2"/>
  <c r="H6399" i="2"/>
  <c r="N6395" i="2"/>
  <c r="H6395" i="2"/>
  <c r="N6391" i="2"/>
  <c r="H6391" i="2"/>
  <c r="N6387" i="2"/>
  <c r="H6387" i="2"/>
  <c r="N6383" i="2"/>
  <c r="H6383" i="2"/>
  <c r="N6379" i="2"/>
  <c r="H6379" i="2"/>
  <c r="N6375" i="2"/>
  <c r="H6375" i="2"/>
  <c r="N6371" i="2"/>
  <c r="H6371" i="2"/>
  <c r="N6367" i="2"/>
  <c r="H6367" i="2"/>
  <c r="N6363" i="2"/>
  <c r="H6363" i="2"/>
  <c r="N6359" i="2"/>
  <c r="H6359" i="2"/>
  <c r="N6355" i="2"/>
  <c r="H6355" i="2"/>
  <c r="N6351" i="2"/>
  <c r="H6351" i="2"/>
  <c r="N6347" i="2"/>
  <c r="H6347" i="2"/>
  <c r="N6343" i="2"/>
  <c r="H6343" i="2"/>
  <c r="N6339" i="2"/>
  <c r="H6339" i="2"/>
  <c r="N6335" i="2"/>
  <c r="H6335" i="2"/>
  <c r="N6331" i="2"/>
  <c r="H6331" i="2"/>
  <c r="N6327" i="2"/>
  <c r="H6327" i="2"/>
  <c r="N6323" i="2"/>
  <c r="H6323" i="2"/>
  <c r="N6319" i="2"/>
  <c r="H6319" i="2"/>
  <c r="N6315" i="2"/>
  <c r="H6315" i="2"/>
  <c r="N6311" i="2"/>
  <c r="H6311" i="2"/>
  <c r="N6307" i="2"/>
  <c r="H6307" i="2"/>
  <c r="N6303" i="2"/>
  <c r="H6303" i="2"/>
  <c r="N6299" i="2"/>
  <c r="H6299" i="2"/>
  <c r="N6295" i="2"/>
  <c r="H6295" i="2"/>
  <c r="N6291" i="2"/>
  <c r="H6291" i="2"/>
  <c r="N6287" i="2"/>
  <c r="H6287" i="2"/>
  <c r="N6283" i="2"/>
  <c r="H6283" i="2"/>
  <c r="N6279" i="2"/>
  <c r="H6279" i="2"/>
  <c r="N6275" i="2"/>
  <c r="H6275" i="2"/>
  <c r="N6271" i="2"/>
  <c r="H6271" i="2"/>
  <c r="N6267" i="2"/>
  <c r="H6267" i="2"/>
  <c r="N6263" i="2"/>
  <c r="H6263" i="2"/>
  <c r="N6259" i="2"/>
  <c r="H6259" i="2"/>
  <c r="N6255" i="2"/>
  <c r="H6255" i="2"/>
  <c r="N6251" i="2"/>
  <c r="H6251" i="2"/>
  <c r="N6247" i="2"/>
  <c r="H6247" i="2"/>
  <c r="N6243" i="2"/>
  <c r="H6243" i="2"/>
  <c r="N6239" i="2"/>
  <c r="H6239" i="2"/>
  <c r="N6235" i="2"/>
  <c r="H6235" i="2"/>
  <c r="N6231" i="2"/>
  <c r="H6231" i="2"/>
  <c r="N6227" i="2"/>
  <c r="H6227" i="2"/>
  <c r="N6223" i="2"/>
  <c r="H6223" i="2"/>
  <c r="N6219" i="2"/>
  <c r="H6219" i="2"/>
  <c r="N6215" i="2"/>
  <c r="H6215" i="2"/>
  <c r="N6211" i="2"/>
  <c r="H6211" i="2"/>
  <c r="N6207" i="2"/>
  <c r="H6207" i="2"/>
  <c r="N6203" i="2"/>
  <c r="H6203" i="2"/>
  <c r="N6199" i="2"/>
  <c r="H6199" i="2"/>
  <c r="N6195" i="2"/>
  <c r="H6195" i="2"/>
  <c r="N6191" i="2"/>
  <c r="H6191" i="2"/>
  <c r="N6187" i="2"/>
  <c r="H6187" i="2"/>
  <c r="N6183" i="2"/>
  <c r="H6183" i="2"/>
  <c r="N6179" i="2"/>
  <c r="H6179" i="2"/>
  <c r="N6175" i="2"/>
  <c r="H6175" i="2"/>
  <c r="N6171" i="2"/>
  <c r="H6171" i="2"/>
  <c r="N6167" i="2"/>
  <c r="H6167" i="2"/>
  <c r="N6163" i="2"/>
  <c r="H6163" i="2"/>
  <c r="N6159" i="2"/>
  <c r="H6159" i="2"/>
  <c r="N6155" i="2"/>
  <c r="H6155" i="2"/>
  <c r="N6151" i="2"/>
  <c r="H6151" i="2"/>
  <c r="N6147" i="2"/>
  <c r="H6147" i="2"/>
  <c r="N6143" i="2"/>
  <c r="H6143" i="2"/>
  <c r="N6139" i="2"/>
  <c r="H6139" i="2"/>
  <c r="N6135" i="2"/>
  <c r="H6135" i="2"/>
  <c r="N6131" i="2"/>
  <c r="H6131" i="2"/>
  <c r="N6127" i="2"/>
  <c r="H6127" i="2"/>
  <c r="N6123" i="2"/>
  <c r="H6123" i="2"/>
  <c r="N6119" i="2"/>
  <c r="H6119" i="2"/>
  <c r="N6115" i="2"/>
  <c r="H6115" i="2"/>
  <c r="N6111" i="2"/>
  <c r="H6111" i="2"/>
  <c r="N6107" i="2"/>
  <c r="H6107" i="2"/>
  <c r="N6103" i="2"/>
  <c r="H6103" i="2"/>
  <c r="N6099" i="2"/>
  <c r="H6099" i="2"/>
  <c r="N6095" i="2"/>
  <c r="H6095" i="2"/>
  <c r="N6091" i="2"/>
  <c r="H6091" i="2"/>
  <c r="N6087" i="2"/>
  <c r="H6087" i="2"/>
  <c r="N6083" i="2"/>
  <c r="H6083" i="2"/>
  <c r="N6079" i="2"/>
  <c r="H6079" i="2"/>
  <c r="N6075" i="2"/>
  <c r="H6075" i="2"/>
  <c r="N6071" i="2"/>
  <c r="H6071" i="2"/>
  <c r="N6067" i="2"/>
  <c r="H6067" i="2"/>
  <c r="N6063" i="2"/>
  <c r="H6063" i="2"/>
  <c r="N6059" i="2"/>
  <c r="H6059" i="2"/>
  <c r="N6055" i="2"/>
  <c r="H6055" i="2"/>
  <c r="N6051" i="2"/>
  <c r="H6051" i="2"/>
  <c r="N6047" i="2"/>
  <c r="H6047" i="2"/>
  <c r="N6043" i="2"/>
  <c r="H6043" i="2"/>
  <c r="N6039" i="2"/>
  <c r="H6039" i="2"/>
  <c r="N6035" i="2"/>
  <c r="H6035" i="2"/>
  <c r="N6031" i="2"/>
  <c r="H6031" i="2"/>
  <c r="N6027" i="2"/>
  <c r="H6027" i="2"/>
  <c r="N6023" i="2"/>
  <c r="H6023" i="2"/>
  <c r="N6019" i="2"/>
  <c r="H6019" i="2"/>
  <c r="N6015" i="2"/>
  <c r="H6015" i="2"/>
  <c r="N6011" i="2"/>
  <c r="H6011" i="2"/>
  <c r="N6007" i="2"/>
  <c r="H6007" i="2"/>
  <c r="N6003" i="2"/>
  <c r="H6003" i="2"/>
  <c r="N5999" i="2"/>
  <c r="H5999" i="2"/>
  <c r="N5995" i="2"/>
  <c r="H5995" i="2"/>
  <c r="N5991" i="2"/>
  <c r="H5991" i="2"/>
  <c r="N5987" i="2"/>
  <c r="H5987" i="2"/>
  <c r="N5983" i="2"/>
  <c r="H5983" i="2"/>
  <c r="N5979" i="2"/>
  <c r="H5979" i="2"/>
  <c r="N5975" i="2"/>
  <c r="H5975" i="2"/>
  <c r="N5971" i="2"/>
  <c r="H5971" i="2"/>
  <c r="N5967" i="2"/>
  <c r="H5967" i="2"/>
  <c r="N5963" i="2"/>
  <c r="H5963" i="2"/>
  <c r="N5959" i="2"/>
  <c r="H5959" i="2"/>
  <c r="N5955" i="2"/>
  <c r="H5955" i="2"/>
  <c r="N5951" i="2"/>
  <c r="H5951" i="2"/>
  <c r="N5947" i="2"/>
  <c r="H5947" i="2"/>
  <c r="N5943" i="2"/>
  <c r="H5943" i="2"/>
  <c r="N5939" i="2"/>
  <c r="H5939" i="2"/>
  <c r="N5935" i="2"/>
  <c r="H5935" i="2"/>
  <c r="N5931" i="2"/>
  <c r="H5931" i="2"/>
  <c r="N5927" i="2"/>
  <c r="H5927" i="2"/>
  <c r="N5923" i="2"/>
  <c r="H5923" i="2"/>
  <c r="N5919" i="2"/>
  <c r="H5919" i="2"/>
  <c r="N5915" i="2"/>
  <c r="H5915" i="2"/>
  <c r="N5911" i="2"/>
  <c r="H5911" i="2"/>
  <c r="N5907" i="2"/>
  <c r="H5907" i="2"/>
  <c r="N5903" i="2"/>
  <c r="H5903" i="2"/>
  <c r="N5899" i="2"/>
  <c r="H5899" i="2"/>
  <c r="N5895" i="2"/>
  <c r="H5895" i="2"/>
  <c r="N5891" i="2"/>
  <c r="H5891" i="2"/>
  <c r="N5887" i="2"/>
  <c r="H5887" i="2"/>
  <c r="N5883" i="2"/>
  <c r="H5883" i="2"/>
  <c r="N5879" i="2"/>
  <c r="H5879" i="2"/>
  <c r="N5875" i="2"/>
  <c r="H5875" i="2"/>
  <c r="N5871" i="2"/>
  <c r="H5871" i="2"/>
  <c r="N5867" i="2"/>
  <c r="H5867" i="2"/>
  <c r="N5863" i="2"/>
  <c r="H5863" i="2"/>
  <c r="N5859" i="2"/>
  <c r="H5859" i="2"/>
  <c r="N5855" i="2"/>
  <c r="H5855" i="2"/>
  <c r="N5851" i="2"/>
  <c r="H5851" i="2"/>
  <c r="N5847" i="2"/>
  <c r="H5847" i="2"/>
  <c r="N5843" i="2"/>
  <c r="H5843" i="2"/>
  <c r="N5839" i="2"/>
  <c r="H5839" i="2"/>
  <c r="N5835" i="2"/>
  <c r="H5835" i="2"/>
  <c r="N5831" i="2"/>
  <c r="H5831" i="2"/>
  <c r="N5827" i="2"/>
  <c r="H5827" i="2"/>
  <c r="N5823" i="2"/>
  <c r="H5823" i="2"/>
  <c r="N5819" i="2"/>
  <c r="H5819" i="2"/>
  <c r="N5815" i="2"/>
  <c r="H5815" i="2"/>
  <c r="N5811" i="2"/>
  <c r="H5811" i="2"/>
  <c r="N5807" i="2"/>
  <c r="H5807" i="2"/>
  <c r="N5803" i="2"/>
  <c r="H5803" i="2"/>
  <c r="N5799" i="2"/>
  <c r="H5799" i="2"/>
  <c r="N5795" i="2"/>
  <c r="H5795" i="2"/>
  <c r="N5791" i="2"/>
  <c r="H5791" i="2"/>
  <c r="N5787" i="2"/>
  <c r="H5787" i="2"/>
  <c r="N5783" i="2"/>
  <c r="H5783" i="2"/>
  <c r="N5779" i="2"/>
  <c r="H5779" i="2"/>
  <c r="N5775" i="2"/>
  <c r="H5775" i="2"/>
  <c r="N5771" i="2"/>
  <c r="H5771" i="2"/>
  <c r="N5767" i="2"/>
  <c r="H5767" i="2"/>
  <c r="N5763" i="2"/>
  <c r="H5763" i="2"/>
  <c r="N5759" i="2"/>
  <c r="H5759" i="2"/>
  <c r="N5755" i="2"/>
  <c r="H5755" i="2"/>
  <c r="N5751" i="2"/>
  <c r="H5751" i="2"/>
  <c r="N5747" i="2"/>
  <c r="H5747" i="2"/>
  <c r="N5743" i="2"/>
  <c r="H5743" i="2"/>
  <c r="N5739" i="2"/>
  <c r="H5739" i="2"/>
  <c r="N5735" i="2"/>
  <c r="H5735" i="2"/>
  <c r="N5731" i="2"/>
  <c r="H5731" i="2"/>
  <c r="N5727" i="2"/>
  <c r="H5727" i="2"/>
  <c r="N5723" i="2"/>
  <c r="H5723" i="2"/>
  <c r="N5719" i="2"/>
  <c r="H5719" i="2"/>
  <c r="N5715" i="2"/>
  <c r="H5715" i="2"/>
  <c r="N5711" i="2"/>
  <c r="H5711" i="2"/>
  <c r="N5707" i="2"/>
  <c r="H5707" i="2"/>
  <c r="N5703" i="2"/>
  <c r="H5703" i="2"/>
  <c r="N5699" i="2"/>
  <c r="H5699" i="2"/>
  <c r="N5695" i="2"/>
  <c r="H5695" i="2"/>
  <c r="N5691" i="2"/>
  <c r="H5691" i="2"/>
  <c r="N5687" i="2"/>
  <c r="H5687" i="2"/>
  <c r="N5683" i="2"/>
  <c r="H5683" i="2"/>
  <c r="N5679" i="2"/>
  <c r="H5679" i="2"/>
  <c r="N5675" i="2"/>
  <c r="H5675" i="2"/>
  <c r="N5671" i="2"/>
  <c r="H5671" i="2"/>
  <c r="N5667" i="2"/>
  <c r="H5667" i="2"/>
  <c r="N5663" i="2"/>
  <c r="H5663" i="2"/>
  <c r="N5659" i="2"/>
  <c r="H5659" i="2"/>
  <c r="N5655" i="2"/>
  <c r="H5655" i="2"/>
  <c r="N5651" i="2"/>
  <c r="H5651" i="2"/>
  <c r="N5647" i="2"/>
  <c r="H5647" i="2"/>
  <c r="N5643" i="2"/>
  <c r="H5643" i="2"/>
  <c r="N5639" i="2"/>
  <c r="H5639" i="2"/>
  <c r="N5635" i="2"/>
  <c r="H5635" i="2"/>
  <c r="N5631" i="2"/>
  <c r="H5631" i="2"/>
  <c r="N5627" i="2"/>
  <c r="H5627" i="2"/>
  <c r="N5623" i="2"/>
  <c r="H5623" i="2"/>
  <c r="N5619" i="2"/>
  <c r="H5619" i="2"/>
  <c r="N5615" i="2"/>
  <c r="H5615" i="2"/>
  <c r="N5611" i="2"/>
  <c r="H5611" i="2"/>
  <c r="N5607" i="2"/>
  <c r="H5607" i="2"/>
  <c r="N5603" i="2"/>
  <c r="H5603" i="2"/>
  <c r="N5599" i="2"/>
  <c r="H5599" i="2"/>
  <c r="N5595" i="2"/>
  <c r="H5595" i="2"/>
  <c r="N5591" i="2"/>
  <c r="H5591" i="2"/>
  <c r="N5587" i="2"/>
  <c r="H5587" i="2"/>
  <c r="N5583" i="2"/>
  <c r="H5583" i="2"/>
  <c r="N5579" i="2"/>
  <c r="H5579" i="2"/>
  <c r="N5575" i="2"/>
  <c r="H5575" i="2"/>
  <c r="N5571" i="2"/>
  <c r="H5571" i="2"/>
  <c r="N5567" i="2"/>
  <c r="H5567" i="2"/>
  <c r="N5563" i="2"/>
  <c r="H5563" i="2"/>
  <c r="N5559" i="2"/>
  <c r="H5559" i="2"/>
  <c r="N5555" i="2"/>
  <c r="H5555" i="2"/>
  <c r="N5551" i="2"/>
  <c r="H5551" i="2"/>
  <c r="N5547" i="2"/>
  <c r="H5547" i="2"/>
  <c r="N5543" i="2"/>
  <c r="H5543" i="2"/>
  <c r="N5539" i="2"/>
  <c r="H5539" i="2"/>
  <c r="N5535" i="2"/>
  <c r="H5535" i="2"/>
  <c r="N5531" i="2"/>
  <c r="H5531" i="2"/>
  <c r="N5527" i="2"/>
  <c r="H5527" i="2"/>
  <c r="N5523" i="2"/>
  <c r="H5523" i="2"/>
  <c r="N5519" i="2"/>
  <c r="H5519" i="2"/>
  <c r="N5515" i="2"/>
  <c r="H5515" i="2"/>
  <c r="N5511" i="2"/>
  <c r="H5511" i="2"/>
  <c r="N5507" i="2"/>
  <c r="H5507" i="2"/>
  <c r="N5503" i="2"/>
  <c r="H5503" i="2"/>
  <c r="N5499" i="2"/>
  <c r="H5499" i="2"/>
  <c r="N5495" i="2"/>
  <c r="H5495" i="2"/>
  <c r="N5491" i="2"/>
  <c r="H5491" i="2"/>
  <c r="N5487" i="2"/>
  <c r="H5487" i="2"/>
  <c r="N5483" i="2"/>
  <c r="H5483" i="2"/>
  <c r="N5479" i="2"/>
  <c r="H5479" i="2"/>
  <c r="N5475" i="2"/>
  <c r="H5475" i="2"/>
  <c r="N5471" i="2"/>
  <c r="H5471" i="2"/>
  <c r="N5467" i="2"/>
  <c r="H5467" i="2"/>
  <c r="N5463" i="2"/>
  <c r="H5463" i="2"/>
  <c r="N5459" i="2"/>
  <c r="H5459" i="2"/>
  <c r="N5455" i="2"/>
  <c r="H5455" i="2"/>
  <c r="N5451" i="2"/>
  <c r="H5451" i="2"/>
  <c r="N5447" i="2"/>
  <c r="H5447" i="2"/>
  <c r="N5443" i="2"/>
  <c r="H5443" i="2"/>
  <c r="N5439" i="2"/>
  <c r="H5439" i="2"/>
  <c r="N5435" i="2"/>
  <c r="H5435" i="2"/>
  <c r="N5431" i="2"/>
  <c r="H5431" i="2"/>
  <c r="N5427" i="2"/>
  <c r="H5427" i="2"/>
  <c r="N5423" i="2"/>
  <c r="H5423" i="2"/>
  <c r="N5419" i="2"/>
  <c r="H5419" i="2"/>
  <c r="N5415" i="2"/>
  <c r="H5415" i="2"/>
  <c r="N5411" i="2"/>
  <c r="H5411" i="2"/>
  <c r="N5407" i="2"/>
  <c r="H5407" i="2"/>
  <c r="N5403" i="2"/>
  <c r="H5403" i="2"/>
  <c r="N5399" i="2"/>
  <c r="H5399" i="2"/>
  <c r="N5395" i="2"/>
  <c r="H5395" i="2"/>
  <c r="N5391" i="2"/>
  <c r="H5391" i="2"/>
  <c r="N5387" i="2"/>
  <c r="H5387" i="2"/>
  <c r="N5383" i="2"/>
  <c r="H5383" i="2"/>
  <c r="N5379" i="2"/>
  <c r="H5379" i="2"/>
  <c r="N5375" i="2"/>
  <c r="H5375" i="2"/>
  <c r="N5371" i="2"/>
  <c r="H5371" i="2"/>
  <c r="N5367" i="2"/>
  <c r="H5367" i="2"/>
  <c r="N5363" i="2"/>
  <c r="H5363" i="2"/>
  <c r="N5359" i="2"/>
  <c r="H5359" i="2"/>
  <c r="N5355" i="2"/>
  <c r="H5355" i="2"/>
  <c r="N5351" i="2"/>
  <c r="H5351" i="2"/>
  <c r="N5347" i="2"/>
  <c r="H5347" i="2"/>
  <c r="N5343" i="2"/>
  <c r="H5343" i="2"/>
  <c r="N5339" i="2"/>
  <c r="H5339" i="2"/>
  <c r="N5335" i="2"/>
  <c r="H5335" i="2"/>
  <c r="N5331" i="2"/>
  <c r="H5331" i="2"/>
  <c r="N5327" i="2"/>
  <c r="H5327" i="2"/>
  <c r="N5323" i="2"/>
  <c r="H5323" i="2"/>
  <c r="N5319" i="2"/>
  <c r="H5319" i="2"/>
  <c r="N5315" i="2"/>
  <c r="H5315" i="2"/>
  <c r="N5311" i="2"/>
  <c r="H5311" i="2"/>
  <c r="N5307" i="2"/>
  <c r="H5307" i="2"/>
  <c r="N5303" i="2"/>
  <c r="H5303" i="2"/>
  <c r="N5299" i="2"/>
  <c r="H5299" i="2"/>
  <c r="N5295" i="2"/>
  <c r="H5295" i="2"/>
  <c r="N5291" i="2"/>
  <c r="H5291" i="2"/>
  <c r="N5287" i="2"/>
  <c r="H5287" i="2"/>
  <c r="N5283" i="2"/>
  <c r="H5283" i="2"/>
  <c r="N5279" i="2"/>
  <c r="H5279" i="2"/>
  <c r="N5275" i="2"/>
  <c r="H5275" i="2"/>
  <c r="N5271" i="2"/>
  <c r="H5271" i="2"/>
  <c r="N5267" i="2"/>
  <c r="H5267" i="2"/>
  <c r="N5263" i="2"/>
  <c r="H5263" i="2"/>
  <c r="N5259" i="2"/>
  <c r="H5259" i="2"/>
  <c r="N5255" i="2"/>
  <c r="H5255" i="2"/>
  <c r="N5251" i="2"/>
  <c r="H5251" i="2"/>
  <c r="N5247" i="2"/>
  <c r="H5247" i="2"/>
  <c r="N5243" i="2"/>
  <c r="H5243" i="2"/>
  <c r="N5239" i="2"/>
  <c r="H5239" i="2"/>
  <c r="N5235" i="2"/>
  <c r="H5235" i="2"/>
  <c r="N5231" i="2"/>
  <c r="H5231" i="2"/>
  <c r="N5227" i="2"/>
  <c r="H5227" i="2"/>
  <c r="N5223" i="2"/>
  <c r="H5223" i="2"/>
  <c r="N5219" i="2"/>
  <c r="H5219" i="2"/>
  <c r="N5215" i="2"/>
  <c r="H5215" i="2"/>
  <c r="N5211" i="2"/>
  <c r="H5211" i="2"/>
  <c r="N5207" i="2"/>
  <c r="H5207" i="2"/>
  <c r="N5203" i="2"/>
  <c r="H5203" i="2"/>
  <c r="N5199" i="2"/>
  <c r="H5199" i="2"/>
  <c r="N5195" i="2"/>
  <c r="H5195" i="2"/>
  <c r="N5191" i="2"/>
  <c r="H5191" i="2"/>
  <c r="N5187" i="2"/>
  <c r="H5187" i="2"/>
  <c r="N5183" i="2"/>
  <c r="H5183" i="2"/>
  <c r="N5179" i="2"/>
  <c r="H5179" i="2"/>
  <c r="N5175" i="2"/>
  <c r="H5175" i="2"/>
  <c r="N5171" i="2"/>
  <c r="H5171" i="2"/>
  <c r="N5167" i="2"/>
  <c r="H5167" i="2"/>
  <c r="N5163" i="2"/>
  <c r="H5163" i="2"/>
  <c r="N5159" i="2"/>
  <c r="H5159" i="2"/>
  <c r="N5155" i="2"/>
  <c r="H5155" i="2"/>
  <c r="N5151" i="2"/>
  <c r="H5151" i="2"/>
  <c r="N5147" i="2"/>
  <c r="H5147" i="2"/>
  <c r="N5143" i="2"/>
  <c r="H5143" i="2"/>
  <c r="N5139" i="2"/>
  <c r="H5139" i="2"/>
  <c r="N5135" i="2"/>
  <c r="H5135" i="2"/>
  <c r="N5131" i="2"/>
  <c r="H5131" i="2"/>
  <c r="N5127" i="2"/>
  <c r="H5127" i="2"/>
  <c r="N5123" i="2"/>
  <c r="H5123" i="2"/>
  <c r="N5119" i="2"/>
  <c r="H5119" i="2"/>
  <c r="N5115" i="2"/>
  <c r="H5115" i="2"/>
  <c r="N5111" i="2"/>
  <c r="H5111" i="2"/>
  <c r="N5107" i="2"/>
  <c r="H5107" i="2"/>
  <c r="N5103" i="2"/>
  <c r="H5103" i="2"/>
  <c r="N5099" i="2"/>
  <c r="H5099" i="2"/>
  <c r="N5095" i="2"/>
  <c r="H5095" i="2"/>
  <c r="N5091" i="2"/>
  <c r="H5091" i="2"/>
  <c r="N5087" i="2"/>
  <c r="H5087" i="2"/>
  <c r="N5083" i="2"/>
  <c r="H5083" i="2"/>
  <c r="N5079" i="2"/>
  <c r="H5079" i="2"/>
  <c r="N5075" i="2"/>
  <c r="H5075" i="2"/>
  <c r="N5071" i="2"/>
  <c r="H5071" i="2"/>
  <c r="N5067" i="2"/>
  <c r="H5067" i="2"/>
  <c r="N5063" i="2"/>
  <c r="H5063" i="2"/>
  <c r="N5059" i="2"/>
  <c r="H5059" i="2"/>
  <c r="N5055" i="2"/>
  <c r="H5055" i="2"/>
  <c r="N5051" i="2"/>
  <c r="H5051" i="2"/>
  <c r="N5047" i="2"/>
  <c r="H5047" i="2"/>
  <c r="N5043" i="2"/>
  <c r="H5043" i="2"/>
  <c r="N5039" i="2"/>
  <c r="H5039" i="2"/>
  <c r="N5035" i="2"/>
  <c r="H5035" i="2"/>
  <c r="N5031" i="2"/>
  <c r="H5031" i="2"/>
  <c r="N5027" i="2"/>
  <c r="H5027" i="2"/>
  <c r="N5023" i="2"/>
  <c r="H5023" i="2"/>
  <c r="N5019" i="2"/>
  <c r="H5019" i="2"/>
  <c r="N5015" i="2"/>
  <c r="H5015" i="2"/>
  <c r="N5011" i="2"/>
  <c r="H5011" i="2"/>
  <c r="N5007" i="2"/>
  <c r="H5007" i="2"/>
  <c r="N5003" i="2"/>
  <c r="H5003" i="2"/>
  <c r="N4999" i="2"/>
  <c r="H4999" i="2"/>
  <c r="N4995" i="2"/>
  <c r="H4995" i="2"/>
  <c r="N4991" i="2"/>
  <c r="H4991" i="2"/>
  <c r="N4987" i="2"/>
  <c r="H4987" i="2"/>
  <c r="N4983" i="2"/>
  <c r="H4983" i="2"/>
  <c r="N4979" i="2"/>
  <c r="H4979" i="2"/>
  <c r="N4975" i="2"/>
  <c r="H4975" i="2"/>
  <c r="N4971" i="2"/>
  <c r="H4971" i="2"/>
  <c r="N4967" i="2"/>
  <c r="H4967" i="2"/>
  <c r="N4963" i="2"/>
  <c r="H4963" i="2"/>
  <c r="N4959" i="2"/>
  <c r="H4959" i="2"/>
  <c r="N4955" i="2"/>
  <c r="H4955" i="2"/>
  <c r="N4951" i="2"/>
  <c r="H4951" i="2"/>
  <c r="N4947" i="2"/>
  <c r="H4947" i="2"/>
  <c r="N4943" i="2"/>
  <c r="H4943" i="2"/>
  <c r="N4939" i="2"/>
  <c r="H4939" i="2"/>
  <c r="N4935" i="2"/>
  <c r="H4935" i="2"/>
  <c r="N4931" i="2"/>
  <c r="H4931" i="2"/>
  <c r="N4927" i="2"/>
  <c r="H4927" i="2"/>
  <c r="N4923" i="2"/>
  <c r="H4923" i="2"/>
  <c r="N4919" i="2"/>
  <c r="H4919" i="2"/>
  <c r="N4915" i="2"/>
  <c r="H4915" i="2"/>
  <c r="N4911" i="2"/>
  <c r="H4911" i="2"/>
  <c r="N4907" i="2"/>
  <c r="H4907" i="2"/>
  <c r="N4903" i="2"/>
  <c r="H4903" i="2"/>
  <c r="N4899" i="2"/>
  <c r="H4899" i="2"/>
  <c r="N4895" i="2"/>
  <c r="H4895" i="2"/>
  <c r="N4891" i="2"/>
  <c r="H4891" i="2"/>
  <c r="N4887" i="2"/>
  <c r="H4887" i="2"/>
  <c r="N4883" i="2"/>
  <c r="H4883" i="2"/>
  <c r="N4879" i="2"/>
  <c r="H4879" i="2"/>
  <c r="N4875" i="2"/>
  <c r="H4875" i="2"/>
  <c r="N4871" i="2"/>
  <c r="H4871" i="2"/>
  <c r="N4867" i="2"/>
  <c r="H4867" i="2"/>
  <c r="N4863" i="2"/>
  <c r="H4863" i="2"/>
  <c r="N4859" i="2"/>
  <c r="H4859" i="2"/>
  <c r="N4855" i="2"/>
  <c r="H4855" i="2"/>
  <c r="N4851" i="2"/>
  <c r="H4851" i="2"/>
  <c r="N4847" i="2"/>
  <c r="H4847" i="2"/>
  <c r="N4843" i="2"/>
  <c r="H4843" i="2"/>
  <c r="N4839" i="2"/>
  <c r="H4839" i="2"/>
  <c r="N4835" i="2"/>
  <c r="H4835" i="2"/>
  <c r="N4831" i="2"/>
  <c r="H4831" i="2"/>
  <c r="N4827" i="2"/>
  <c r="H4827" i="2"/>
  <c r="N4823" i="2"/>
  <c r="H4823" i="2"/>
  <c r="N4819" i="2"/>
  <c r="H4819" i="2"/>
  <c r="N4815" i="2"/>
  <c r="H4815" i="2"/>
  <c r="N4811" i="2"/>
  <c r="H4811" i="2"/>
  <c r="N4807" i="2"/>
  <c r="H4807" i="2"/>
  <c r="N4803" i="2"/>
  <c r="H4803" i="2"/>
  <c r="N4799" i="2"/>
  <c r="H4799" i="2"/>
  <c r="N4795" i="2"/>
  <c r="H4795" i="2"/>
  <c r="N4791" i="2"/>
  <c r="H4791" i="2"/>
  <c r="N4787" i="2"/>
  <c r="H4787" i="2"/>
  <c r="N4783" i="2"/>
  <c r="H4783" i="2"/>
  <c r="N4779" i="2"/>
  <c r="H4779" i="2"/>
  <c r="N4775" i="2"/>
  <c r="H4775" i="2"/>
  <c r="N4771" i="2"/>
  <c r="H4771" i="2"/>
  <c r="N4767" i="2"/>
  <c r="H4767" i="2"/>
  <c r="N4763" i="2"/>
  <c r="H4763" i="2"/>
  <c r="N4759" i="2"/>
  <c r="H4759" i="2"/>
  <c r="N4755" i="2"/>
  <c r="H4755" i="2"/>
  <c r="N4751" i="2"/>
  <c r="H4751" i="2"/>
  <c r="N4747" i="2"/>
  <c r="H4747" i="2"/>
  <c r="N4743" i="2"/>
  <c r="H4743" i="2"/>
  <c r="N4739" i="2"/>
  <c r="H4739" i="2"/>
  <c r="N4735" i="2"/>
  <c r="H4735" i="2"/>
  <c r="N4731" i="2"/>
  <c r="H4731" i="2"/>
  <c r="N4727" i="2"/>
  <c r="H4727" i="2"/>
  <c r="N4723" i="2"/>
  <c r="H4723" i="2"/>
  <c r="N4719" i="2"/>
  <c r="H4719" i="2"/>
  <c r="N4715" i="2"/>
  <c r="H4715" i="2"/>
  <c r="N4711" i="2"/>
  <c r="H4711" i="2"/>
  <c r="N4707" i="2"/>
  <c r="H4707" i="2"/>
  <c r="N4703" i="2"/>
  <c r="H4703" i="2"/>
  <c r="N4699" i="2"/>
  <c r="H4699" i="2"/>
  <c r="N4695" i="2"/>
  <c r="H4695" i="2"/>
  <c r="N4691" i="2"/>
  <c r="H4691" i="2"/>
  <c r="N4687" i="2"/>
  <c r="H4687" i="2"/>
  <c r="N4683" i="2"/>
  <c r="H4683" i="2"/>
  <c r="N4679" i="2"/>
  <c r="H4679" i="2"/>
  <c r="N4675" i="2"/>
  <c r="H4675" i="2"/>
  <c r="N4671" i="2"/>
  <c r="H4671" i="2"/>
  <c r="N4667" i="2"/>
  <c r="H4667" i="2"/>
  <c r="N4663" i="2"/>
  <c r="H4663" i="2"/>
  <c r="N4659" i="2"/>
  <c r="H4659" i="2"/>
  <c r="N4655" i="2"/>
  <c r="H4655" i="2"/>
  <c r="N4651" i="2"/>
  <c r="H4651" i="2"/>
  <c r="N4647" i="2"/>
  <c r="H4647" i="2"/>
  <c r="N4643" i="2"/>
  <c r="H4643" i="2"/>
  <c r="N4639" i="2"/>
  <c r="H4639" i="2"/>
  <c r="N4635" i="2"/>
  <c r="H4635" i="2"/>
  <c r="N4631" i="2"/>
  <c r="H4631" i="2"/>
  <c r="N4627" i="2"/>
  <c r="H4627" i="2"/>
  <c r="N4623" i="2"/>
  <c r="H4623" i="2"/>
  <c r="N4619" i="2"/>
  <c r="H4619" i="2"/>
  <c r="N4615" i="2"/>
  <c r="H4615" i="2"/>
  <c r="N4611" i="2"/>
  <c r="H4611" i="2"/>
  <c r="N4607" i="2"/>
  <c r="H4607" i="2"/>
  <c r="N4603" i="2"/>
  <c r="H4603" i="2"/>
  <c r="N4599" i="2"/>
  <c r="H4599" i="2"/>
  <c r="N4595" i="2"/>
  <c r="H4595" i="2"/>
  <c r="N4591" i="2"/>
  <c r="H4591" i="2"/>
  <c r="N4587" i="2"/>
  <c r="H4587" i="2"/>
  <c r="N4583" i="2"/>
  <c r="H4583" i="2"/>
  <c r="N4579" i="2"/>
  <c r="H4579" i="2"/>
  <c r="N4575" i="2"/>
  <c r="H4575" i="2"/>
  <c r="N4571" i="2"/>
  <c r="H4571" i="2"/>
  <c r="N4567" i="2"/>
  <c r="H4567" i="2"/>
  <c r="N4563" i="2"/>
  <c r="H4563" i="2"/>
  <c r="N4559" i="2"/>
  <c r="H4559" i="2"/>
  <c r="N4555" i="2"/>
  <c r="H4555" i="2"/>
  <c r="N4551" i="2"/>
  <c r="H4551" i="2"/>
  <c r="N4547" i="2"/>
  <c r="H4547" i="2"/>
  <c r="N4543" i="2"/>
  <c r="H4543" i="2"/>
  <c r="N4539" i="2"/>
  <c r="H4539" i="2"/>
  <c r="N4535" i="2"/>
  <c r="H4535" i="2"/>
  <c r="N4531" i="2"/>
  <c r="H4531" i="2"/>
  <c r="N4527" i="2"/>
  <c r="H4527" i="2"/>
  <c r="N4523" i="2"/>
  <c r="H4523" i="2"/>
  <c r="N4519" i="2"/>
  <c r="H4519" i="2"/>
  <c r="N4515" i="2"/>
  <c r="H4515" i="2"/>
  <c r="N4511" i="2"/>
  <c r="H4511" i="2"/>
  <c r="N4507" i="2"/>
  <c r="H4507" i="2"/>
  <c r="N4503" i="2"/>
  <c r="H4503" i="2"/>
  <c r="N4499" i="2"/>
  <c r="H4499" i="2"/>
  <c r="N4495" i="2"/>
  <c r="H4495" i="2"/>
  <c r="N4491" i="2"/>
  <c r="H4491" i="2"/>
  <c r="N4487" i="2"/>
  <c r="H4487" i="2"/>
  <c r="N4483" i="2"/>
  <c r="H4483" i="2"/>
  <c r="N4479" i="2"/>
  <c r="H4479" i="2"/>
  <c r="N4475" i="2"/>
  <c r="H4475" i="2"/>
  <c r="N4471" i="2"/>
  <c r="H4471" i="2"/>
  <c r="N4467" i="2"/>
  <c r="H4467" i="2"/>
  <c r="N4463" i="2"/>
  <c r="H4463" i="2"/>
  <c r="N4459" i="2"/>
  <c r="H4459" i="2"/>
  <c r="N4455" i="2"/>
  <c r="H4455" i="2"/>
  <c r="N4451" i="2"/>
  <c r="H4451" i="2"/>
  <c r="N4447" i="2"/>
  <c r="H4447" i="2"/>
  <c r="N4443" i="2"/>
  <c r="H4443" i="2"/>
  <c r="N4439" i="2"/>
  <c r="H4439" i="2"/>
  <c r="N4435" i="2"/>
  <c r="H4435" i="2"/>
  <c r="N4431" i="2"/>
  <c r="H4431" i="2"/>
  <c r="N4427" i="2"/>
  <c r="H4427" i="2"/>
  <c r="N4423" i="2"/>
  <c r="H4423" i="2"/>
  <c r="N4419" i="2"/>
  <c r="H4419" i="2"/>
  <c r="N4415" i="2"/>
  <c r="H4415" i="2"/>
  <c r="N4411" i="2"/>
  <c r="H4411" i="2"/>
  <c r="N4407" i="2"/>
  <c r="H4407" i="2"/>
  <c r="N4403" i="2"/>
  <c r="H4403" i="2"/>
  <c r="N4399" i="2"/>
  <c r="H4399" i="2"/>
  <c r="N4395" i="2"/>
  <c r="H4395" i="2"/>
  <c r="N4391" i="2"/>
  <c r="H4391" i="2"/>
  <c r="N4387" i="2"/>
  <c r="H4387" i="2"/>
  <c r="N4383" i="2"/>
  <c r="H4383" i="2"/>
  <c r="N4379" i="2"/>
  <c r="H4379" i="2"/>
  <c r="N4375" i="2"/>
  <c r="H4375" i="2"/>
  <c r="N4371" i="2"/>
  <c r="H4371" i="2"/>
  <c r="N4367" i="2"/>
  <c r="H4367" i="2"/>
  <c r="N4363" i="2"/>
  <c r="H4363" i="2"/>
  <c r="N4359" i="2"/>
  <c r="H4359" i="2"/>
  <c r="N4355" i="2"/>
  <c r="H4355" i="2"/>
  <c r="N4351" i="2"/>
  <c r="H4351" i="2"/>
  <c r="N4347" i="2"/>
  <c r="H4347" i="2"/>
  <c r="N4343" i="2"/>
  <c r="H4343" i="2"/>
  <c r="N4339" i="2"/>
  <c r="H4339" i="2"/>
  <c r="N4335" i="2"/>
  <c r="H4335" i="2"/>
  <c r="N4331" i="2"/>
  <c r="H4331" i="2"/>
  <c r="N4327" i="2"/>
  <c r="H4327" i="2"/>
  <c r="N4323" i="2"/>
  <c r="H4323" i="2"/>
  <c r="N4319" i="2"/>
  <c r="H4319" i="2"/>
  <c r="N4315" i="2"/>
  <c r="H4315" i="2"/>
  <c r="N4311" i="2"/>
  <c r="H4311" i="2"/>
  <c r="N4307" i="2"/>
  <c r="H4307" i="2"/>
  <c r="N4303" i="2"/>
  <c r="H4303" i="2"/>
  <c r="N4299" i="2"/>
  <c r="H4299" i="2"/>
  <c r="N4295" i="2"/>
  <c r="H4295" i="2"/>
  <c r="N4291" i="2"/>
  <c r="H4291" i="2"/>
  <c r="N4287" i="2"/>
  <c r="H4287" i="2"/>
  <c r="N4283" i="2"/>
  <c r="H4283" i="2"/>
  <c r="N4279" i="2"/>
  <c r="H4279" i="2"/>
  <c r="N4275" i="2"/>
  <c r="H4275" i="2"/>
  <c r="N4271" i="2"/>
  <c r="H4271" i="2"/>
  <c r="N4267" i="2"/>
  <c r="H4267" i="2"/>
  <c r="N4263" i="2"/>
  <c r="H4263" i="2"/>
  <c r="N4259" i="2"/>
  <c r="H4259" i="2"/>
  <c r="N4255" i="2"/>
  <c r="H4255" i="2"/>
  <c r="N4251" i="2"/>
  <c r="H4251" i="2"/>
  <c r="N4247" i="2"/>
  <c r="H4247" i="2"/>
  <c r="N4243" i="2"/>
  <c r="H4243" i="2"/>
  <c r="N4239" i="2"/>
  <c r="H4239" i="2"/>
  <c r="N4235" i="2"/>
  <c r="H4235" i="2"/>
  <c r="N4231" i="2"/>
  <c r="H4231" i="2"/>
  <c r="N4227" i="2"/>
  <c r="H4227" i="2"/>
  <c r="N4223" i="2"/>
  <c r="H4223" i="2"/>
  <c r="N4219" i="2"/>
  <c r="H4219" i="2"/>
  <c r="N4215" i="2"/>
  <c r="H4215" i="2"/>
  <c r="N4211" i="2"/>
  <c r="H4211" i="2"/>
  <c r="N4207" i="2"/>
  <c r="H4207" i="2"/>
  <c r="N4203" i="2"/>
  <c r="H4203" i="2"/>
  <c r="N4199" i="2"/>
  <c r="H4199" i="2"/>
  <c r="N4195" i="2"/>
  <c r="H4195" i="2"/>
  <c r="N4191" i="2"/>
  <c r="H4191" i="2"/>
  <c r="N4187" i="2"/>
  <c r="H4187" i="2"/>
  <c r="N4183" i="2"/>
  <c r="H4183" i="2"/>
  <c r="N4179" i="2"/>
  <c r="H4179" i="2"/>
  <c r="N4175" i="2"/>
  <c r="H4175" i="2"/>
  <c r="N4171" i="2"/>
  <c r="H4171" i="2"/>
  <c r="N4167" i="2"/>
  <c r="H4167" i="2"/>
  <c r="N4163" i="2"/>
  <c r="H4163" i="2"/>
  <c r="N4159" i="2"/>
  <c r="H4159" i="2"/>
  <c r="N4155" i="2"/>
  <c r="H4155" i="2"/>
  <c r="N4151" i="2"/>
  <c r="H4151" i="2"/>
  <c r="N4147" i="2"/>
  <c r="H4147" i="2"/>
  <c r="N4143" i="2"/>
  <c r="H4143" i="2"/>
  <c r="N4139" i="2"/>
  <c r="H4139" i="2"/>
  <c r="N4135" i="2"/>
  <c r="H4135" i="2"/>
  <c r="N4131" i="2"/>
  <c r="H4131" i="2"/>
  <c r="N4127" i="2"/>
  <c r="H4127" i="2"/>
  <c r="N4123" i="2"/>
  <c r="H4123" i="2"/>
  <c r="N4119" i="2"/>
  <c r="H4119" i="2"/>
  <c r="N4115" i="2"/>
  <c r="H4115" i="2"/>
  <c r="N4111" i="2"/>
  <c r="H4111" i="2"/>
  <c r="N4107" i="2"/>
  <c r="H4107" i="2"/>
  <c r="N4103" i="2"/>
  <c r="H4103" i="2"/>
  <c r="N4099" i="2"/>
  <c r="H4099" i="2"/>
  <c r="N4095" i="2"/>
  <c r="H4095" i="2"/>
  <c r="N4091" i="2"/>
  <c r="H4091" i="2"/>
  <c r="N4087" i="2"/>
  <c r="H4087" i="2"/>
  <c r="N4083" i="2"/>
  <c r="H4083" i="2"/>
  <c r="N4079" i="2"/>
  <c r="H4079" i="2"/>
  <c r="N4075" i="2"/>
  <c r="H4075" i="2"/>
  <c r="N4071" i="2"/>
  <c r="H4071" i="2"/>
  <c r="N4067" i="2"/>
  <c r="H4067" i="2"/>
  <c r="N4063" i="2"/>
  <c r="H4063" i="2"/>
  <c r="N4059" i="2"/>
  <c r="H4059" i="2"/>
  <c r="N4055" i="2"/>
  <c r="H4055" i="2"/>
  <c r="N4051" i="2"/>
  <c r="H4051" i="2"/>
  <c r="N4047" i="2"/>
  <c r="H4047" i="2"/>
  <c r="N4043" i="2"/>
  <c r="H4043" i="2"/>
  <c r="N4039" i="2"/>
  <c r="H4039" i="2"/>
  <c r="N4035" i="2"/>
  <c r="H4035" i="2"/>
  <c r="N4031" i="2"/>
  <c r="H4031" i="2"/>
  <c r="N4027" i="2"/>
  <c r="H4027" i="2"/>
  <c r="N4023" i="2"/>
  <c r="H4023" i="2"/>
  <c r="N4019" i="2"/>
  <c r="H4019" i="2"/>
  <c r="N4015" i="2"/>
  <c r="H4015" i="2"/>
  <c r="N4011" i="2"/>
  <c r="H4011" i="2"/>
  <c r="N4007" i="2"/>
  <c r="H4007" i="2"/>
  <c r="N4003" i="2"/>
  <c r="H4003" i="2"/>
  <c r="N3999" i="2"/>
  <c r="H3999" i="2"/>
  <c r="N3995" i="2"/>
  <c r="H3995" i="2"/>
  <c r="N3991" i="2"/>
  <c r="H3991" i="2"/>
  <c r="N3987" i="2"/>
  <c r="H3987" i="2"/>
  <c r="N3983" i="2"/>
  <c r="H3983" i="2"/>
  <c r="N3979" i="2"/>
  <c r="H3979" i="2"/>
  <c r="N3975" i="2"/>
  <c r="H3975" i="2"/>
  <c r="N3971" i="2"/>
  <c r="H3971" i="2"/>
  <c r="N3967" i="2"/>
  <c r="H3967" i="2"/>
  <c r="N3963" i="2"/>
  <c r="H3963" i="2"/>
  <c r="N3959" i="2"/>
  <c r="H3959" i="2"/>
  <c r="N3955" i="2"/>
  <c r="H3955" i="2"/>
  <c r="N3951" i="2"/>
  <c r="H3951" i="2"/>
  <c r="N3947" i="2"/>
  <c r="H3947" i="2"/>
  <c r="N3943" i="2"/>
  <c r="H3943" i="2"/>
  <c r="N3939" i="2"/>
  <c r="H3939" i="2"/>
  <c r="N3935" i="2"/>
  <c r="H3935" i="2"/>
  <c r="N3931" i="2"/>
  <c r="H3931" i="2"/>
  <c r="N3927" i="2"/>
  <c r="H3927" i="2"/>
  <c r="N3923" i="2"/>
  <c r="H3923" i="2"/>
  <c r="N3919" i="2"/>
  <c r="H3919" i="2"/>
  <c r="N3915" i="2"/>
  <c r="H3915" i="2"/>
  <c r="N3911" i="2"/>
  <c r="H3911" i="2"/>
  <c r="N3907" i="2"/>
  <c r="H3907" i="2"/>
  <c r="N3903" i="2"/>
  <c r="H3903" i="2"/>
  <c r="N3899" i="2"/>
  <c r="H3899" i="2"/>
  <c r="N3895" i="2"/>
  <c r="H3895" i="2"/>
  <c r="N3891" i="2"/>
  <c r="H3891" i="2"/>
  <c r="N3887" i="2"/>
  <c r="H3887" i="2"/>
  <c r="N3883" i="2"/>
  <c r="H3883" i="2"/>
  <c r="N3879" i="2"/>
  <c r="H3879" i="2"/>
  <c r="N3875" i="2"/>
  <c r="H3875" i="2"/>
  <c r="N3871" i="2"/>
  <c r="H3871" i="2"/>
  <c r="N3867" i="2"/>
  <c r="H3867" i="2"/>
  <c r="N3863" i="2"/>
  <c r="H3863" i="2"/>
  <c r="N3859" i="2"/>
  <c r="H3859" i="2"/>
  <c r="N3855" i="2"/>
  <c r="H3855" i="2"/>
  <c r="N3851" i="2"/>
  <c r="H3851" i="2"/>
  <c r="N3847" i="2"/>
  <c r="H3847" i="2"/>
  <c r="N3843" i="2"/>
  <c r="H3843" i="2"/>
  <c r="N3839" i="2"/>
  <c r="H3839" i="2"/>
  <c r="N3835" i="2"/>
  <c r="H3835" i="2"/>
  <c r="N3831" i="2"/>
  <c r="H3831" i="2"/>
  <c r="N3827" i="2"/>
  <c r="H3827" i="2"/>
  <c r="N3823" i="2"/>
  <c r="H3823" i="2"/>
  <c r="N3819" i="2"/>
  <c r="H3819" i="2"/>
  <c r="N3815" i="2"/>
  <c r="H3815" i="2"/>
  <c r="N3811" i="2"/>
  <c r="H3811" i="2"/>
  <c r="N3807" i="2"/>
  <c r="H3807" i="2"/>
  <c r="N3803" i="2"/>
  <c r="H3803" i="2"/>
  <c r="N3799" i="2"/>
  <c r="H3799" i="2"/>
  <c r="N3795" i="2"/>
  <c r="H3795" i="2"/>
  <c r="N3791" i="2"/>
  <c r="H3791" i="2"/>
  <c r="N3787" i="2"/>
  <c r="H3787" i="2"/>
  <c r="N3783" i="2"/>
  <c r="H3783" i="2"/>
  <c r="N3779" i="2"/>
  <c r="H3779" i="2"/>
  <c r="N3775" i="2"/>
  <c r="H3775" i="2"/>
  <c r="N3771" i="2"/>
  <c r="H3771" i="2"/>
  <c r="N3767" i="2"/>
  <c r="H3767" i="2"/>
  <c r="N3763" i="2"/>
  <c r="H3763" i="2"/>
  <c r="N3759" i="2"/>
  <c r="H3759" i="2"/>
  <c r="N3755" i="2"/>
  <c r="H3755" i="2"/>
  <c r="N3751" i="2"/>
  <c r="H3751" i="2"/>
  <c r="N3747" i="2"/>
  <c r="H3747" i="2"/>
  <c r="N3743" i="2"/>
  <c r="H3743" i="2"/>
  <c r="N3739" i="2"/>
  <c r="H3739" i="2"/>
  <c r="N3735" i="2"/>
  <c r="H3735" i="2"/>
  <c r="N3731" i="2"/>
  <c r="H3731" i="2"/>
  <c r="N3727" i="2"/>
  <c r="H3727" i="2"/>
  <c r="N3723" i="2"/>
  <c r="H3723" i="2"/>
  <c r="N3719" i="2"/>
  <c r="H3719" i="2"/>
  <c r="N3715" i="2"/>
  <c r="H3715" i="2"/>
  <c r="N3711" i="2"/>
  <c r="H3711" i="2"/>
  <c r="N3707" i="2"/>
  <c r="H3707" i="2"/>
  <c r="N3703" i="2"/>
  <c r="H3703" i="2"/>
  <c r="N3699" i="2"/>
  <c r="H3699" i="2"/>
  <c r="N3695" i="2"/>
  <c r="H3695" i="2"/>
  <c r="N3691" i="2"/>
  <c r="H3691" i="2"/>
  <c r="N3687" i="2"/>
  <c r="H3687" i="2"/>
  <c r="N3683" i="2"/>
  <c r="H3683" i="2"/>
  <c r="N3679" i="2"/>
  <c r="H3679" i="2"/>
  <c r="N3675" i="2"/>
  <c r="H3675" i="2"/>
  <c r="N3671" i="2"/>
  <c r="H3671" i="2"/>
  <c r="N3667" i="2"/>
  <c r="H3667" i="2"/>
  <c r="N3663" i="2"/>
  <c r="H3663" i="2"/>
  <c r="N3659" i="2"/>
  <c r="H3659" i="2"/>
  <c r="N3655" i="2"/>
  <c r="H3655" i="2"/>
  <c r="N3651" i="2"/>
  <c r="H3651" i="2"/>
  <c r="N3647" i="2"/>
  <c r="H3647" i="2"/>
  <c r="N3643" i="2"/>
  <c r="H3643" i="2"/>
  <c r="N3639" i="2"/>
  <c r="H3639" i="2"/>
  <c r="N3635" i="2"/>
  <c r="H3635" i="2"/>
  <c r="N3631" i="2"/>
  <c r="H3631" i="2"/>
  <c r="N3627" i="2"/>
  <c r="H3627" i="2"/>
  <c r="N3623" i="2"/>
  <c r="H3623" i="2"/>
  <c r="N3619" i="2"/>
  <c r="H3619" i="2"/>
  <c r="N3615" i="2"/>
  <c r="H3615" i="2"/>
  <c r="N3611" i="2"/>
  <c r="H3611" i="2"/>
  <c r="N3607" i="2"/>
  <c r="H3607" i="2"/>
  <c r="N3603" i="2"/>
  <c r="H3603" i="2"/>
  <c r="N3599" i="2"/>
  <c r="H3599" i="2"/>
  <c r="N3595" i="2"/>
  <c r="H3595" i="2"/>
  <c r="N3591" i="2"/>
  <c r="H3591" i="2"/>
  <c r="N3587" i="2"/>
  <c r="H3587" i="2"/>
  <c r="N3583" i="2"/>
  <c r="H3583" i="2"/>
  <c r="N3579" i="2"/>
  <c r="H3579" i="2"/>
  <c r="N3575" i="2"/>
  <c r="H3575" i="2"/>
  <c r="N3571" i="2"/>
  <c r="H3571" i="2"/>
  <c r="N3567" i="2"/>
  <c r="H3567" i="2"/>
  <c r="N3563" i="2"/>
  <c r="H3563" i="2"/>
  <c r="N3559" i="2"/>
  <c r="H3559" i="2"/>
  <c r="N3555" i="2"/>
  <c r="H3555" i="2"/>
  <c r="N3551" i="2"/>
  <c r="H3551" i="2"/>
  <c r="N3547" i="2"/>
  <c r="H3547" i="2"/>
  <c r="N3543" i="2"/>
  <c r="H3543" i="2"/>
  <c r="N3539" i="2"/>
  <c r="H3539" i="2"/>
  <c r="N3535" i="2"/>
  <c r="H3535" i="2"/>
  <c r="N3531" i="2"/>
  <c r="H3531" i="2"/>
  <c r="N3527" i="2"/>
  <c r="H3527" i="2"/>
  <c r="N3523" i="2"/>
  <c r="H3523" i="2"/>
  <c r="N3519" i="2"/>
  <c r="H3519" i="2"/>
  <c r="N3515" i="2"/>
  <c r="H3515" i="2"/>
  <c r="N3511" i="2"/>
  <c r="H3511" i="2"/>
  <c r="N3507" i="2"/>
  <c r="H3507" i="2"/>
  <c r="N3503" i="2"/>
  <c r="H3503" i="2"/>
  <c r="N3499" i="2"/>
  <c r="H3499" i="2"/>
  <c r="N3495" i="2"/>
  <c r="H3495" i="2"/>
  <c r="N3491" i="2"/>
  <c r="H3491" i="2"/>
  <c r="N3487" i="2"/>
  <c r="H3487" i="2"/>
  <c r="N3483" i="2"/>
  <c r="H3483" i="2"/>
  <c r="N3479" i="2"/>
  <c r="H3479" i="2"/>
  <c r="N3475" i="2"/>
  <c r="H3475" i="2"/>
  <c r="N3471" i="2"/>
  <c r="H3471" i="2"/>
  <c r="N3467" i="2"/>
  <c r="H3467" i="2"/>
  <c r="N3463" i="2"/>
  <c r="H3463" i="2"/>
  <c r="N3459" i="2"/>
  <c r="H3459" i="2"/>
  <c r="N3455" i="2"/>
  <c r="H3455" i="2"/>
  <c r="N3451" i="2"/>
  <c r="H3451" i="2"/>
  <c r="N3447" i="2"/>
  <c r="H3447" i="2"/>
  <c r="N3443" i="2"/>
  <c r="H3443" i="2"/>
  <c r="N3439" i="2"/>
  <c r="H3439" i="2"/>
  <c r="N3435" i="2"/>
  <c r="H3435" i="2"/>
  <c r="N3431" i="2"/>
  <c r="H3431" i="2"/>
  <c r="N3427" i="2"/>
  <c r="H3427" i="2"/>
  <c r="N3423" i="2"/>
  <c r="H3423" i="2"/>
  <c r="N3419" i="2"/>
  <c r="H3419" i="2"/>
  <c r="N3415" i="2"/>
  <c r="H3415" i="2"/>
  <c r="N3411" i="2"/>
  <c r="H3411" i="2"/>
  <c r="N3407" i="2"/>
  <c r="H3407" i="2"/>
  <c r="N3403" i="2"/>
  <c r="H3403" i="2"/>
  <c r="N3399" i="2"/>
  <c r="H3399" i="2"/>
  <c r="N3395" i="2"/>
  <c r="H3395" i="2"/>
  <c r="N3391" i="2"/>
  <c r="H3391" i="2"/>
  <c r="N3387" i="2"/>
  <c r="H3387" i="2"/>
  <c r="N3383" i="2"/>
  <c r="H3383" i="2"/>
  <c r="N3379" i="2"/>
  <c r="H3379" i="2"/>
  <c r="N3375" i="2"/>
  <c r="H3375" i="2"/>
  <c r="N3371" i="2"/>
  <c r="H3371" i="2"/>
  <c r="N3367" i="2"/>
  <c r="H3367" i="2"/>
  <c r="N3363" i="2"/>
  <c r="H3363" i="2"/>
  <c r="N3359" i="2"/>
  <c r="H3359" i="2"/>
  <c r="N3355" i="2"/>
  <c r="H3355" i="2"/>
  <c r="N3351" i="2"/>
  <c r="H3351" i="2"/>
  <c r="N3347" i="2"/>
  <c r="H3347" i="2"/>
  <c r="N3343" i="2"/>
  <c r="H3343" i="2"/>
  <c r="N3339" i="2"/>
  <c r="H3339" i="2"/>
  <c r="N3335" i="2"/>
  <c r="H3335" i="2"/>
  <c r="N3331" i="2"/>
  <c r="H3331" i="2"/>
  <c r="N3327" i="2"/>
  <c r="H3327" i="2"/>
  <c r="N3323" i="2"/>
  <c r="H3323" i="2"/>
  <c r="N3319" i="2"/>
  <c r="H3319" i="2"/>
  <c r="N3315" i="2"/>
  <c r="H3315" i="2"/>
  <c r="N3311" i="2"/>
  <c r="H3311" i="2"/>
  <c r="N3307" i="2"/>
  <c r="H3307" i="2"/>
  <c r="N3303" i="2"/>
  <c r="H3303" i="2"/>
  <c r="N3299" i="2"/>
  <c r="H3299" i="2"/>
  <c r="N3295" i="2"/>
  <c r="H3295" i="2"/>
  <c r="N3291" i="2"/>
  <c r="H3291" i="2"/>
  <c r="N3287" i="2"/>
  <c r="H3287" i="2"/>
  <c r="N3283" i="2"/>
  <c r="H3283" i="2"/>
  <c r="N3279" i="2"/>
  <c r="H3279" i="2"/>
  <c r="N3275" i="2"/>
  <c r="H3275" i="2"/>
  <c r="N3271" i="2"/>
  <c r="H3271" i="2"/>
  <c r="N3267" i="2"/>
  <c r="H3267" i="2"/>
  <c r="N3263" i="2"/>
  <c r="H3263" i="2"/>
  <c r="N3259" i="2"/>
  <c r="H3259" i="2"/>
  <c r="N3255" i="2"/>
  <c r="H3255" i="2"/>
  <c r="N3251" i="2"/>
  <c r="H3251" i="2"/>
  <c r="N3247" i="2"/>
  <c r="H3247" i="2"/>
  <c r="N3243" i="2"/>
  <c r="H3243" i="2"/>
  <c r="N3239" i="2"/>
  <c r="H3239" i="2"/>
  <c r="N3235" i="2"/>
  <c r="H3235" i="2"/>
  <c r="N3231" i="2"/>
  <c r="H3231" i="2"/>
  <c r="N3227" i="2"/>
  <c r="H3227" i="2"/>
  <c r="N3223" i="2"/>
  <c r="H3223" i="2"/>
  <c r="N3219" i="2"/>
  <c r="H3219" i="2"/>
  <c r="N3215" i="2"/>
  <c r="H3215" i="2"/>
  <c r="N3211" i="2"/>
  <c r="H3211" i="2"/>
  <c r="N3207" i="2"/>
  <c r="H3207" i="2"/>
  <c r="N3203" i="2"/>
  <c r="H3203" i="2"/>
  <c r="N3199" i="2"/>
  <c r="H3199" i="2"/>
  <c r="N3195" i="2"/>
  <c r="H3195" i="2"/>
  <c r="N3191" i="2"/>
  <c r="H3191" i="2"/>
  <c r="N3187" i="2"/>
  <c r="H3187" i="2"/>
  <c r="N3183" i="2"/>
  <c r="H3183" i="2"/>
  <c r="N3179" i="2"/>
  <c r="H3179" i="2"/>
  <c r="N3175" i="2"/>
  <c r="H3175" i="2"/>
  <c r="N3171" i="2"/>
  <c r="H3171" i="2"/>
  <c r="N3167" i="2"/>
  <c r="H3167" i="2"/>
  <c r="N3163" i="2"/>
  <c r="H3163" i="2"/>
  <c r="N3159" i="2"/>
  <c r="H3159" i="2"/>
  <c r="N3155" i="2"/>
  <c r="H3155" i="2"/>
  <c r="N3151" i="2"/>
  <c r="H3151" i="2"/>
  <c r="N3147" i="2"/>
  <c r="H3147" i="2"/>
  <c r="N3143" i="2"/>
  <c r="H3143" i="2"/>
  <c r="N3139" i="2"/>
  <c r="H3139" i="2"/>
  <c r="N3135" i="2"/>
  <c r="H3135" i="2"/>
  <c r="N3131" i="2"/>
  <c r="H3131" i="2"/>
  <c r="N3127" i="2"/>
  <c r="H3127" i="2"/>
  <c r="N3123" i="2"/>
  <c r="H3123" i="2"/>
  <c r="N3119" i="2"/>
  <c r="H3119" i="2"/>
  <c r="N3115" i="2"/>
  <c r="H3115" i="2"/>
  <c r="N3111" i="2"/>
  <c r="H3111" i="2"/>
  <c r="N3107" i="2"/>
  <c r="H3107" i="2"/>
  <c r="N3103" i="2"/>
  <c r="H3103" i="2"/>
  <c r="N3099" i="2"/>
  <c r="H3099" i="2"/>
  <c r="N3095" i="2"/>
  <c r="H3095" i="2"/>
  <c r="N3091" i="2"/>
  <c r="H3091" i="2"/>
  <c r="N3087" i="2"/>
  <c r="H3087" i="2"/>
  <c r="N3083" i="2"/>
  <c r="H3083" i="2"/>
  <c r="N3079" i="2"/>
  <c r="H3079" i="2"/>
  <c r="N3075" i="2"/>
  <c r="H3075" i="2"/>
  <c r="N3071" i="2"/>
  <c r="H3071" i="2"/>
  <c r="N3067" i="2"/>
  <c r="H3067" i="2"/>
  <c r="N3063" i="2"/>
  <c r="H3063" i="2"/>
  <c r="N3059" i="2"/>
  <c r="H3059" i="2"/>
  <c r="N3055" i="2"/>
  <c r="H3055" i="2"/>
  <c r="N3051" i="2"/>
  <c r="H3051" i="2"/>
  <c r="N3047" i="2"/>
  <c r="H3047" i="2"/>
  <c r="N3043" i="2"/>
  <c r="H3043" i="2"/>
  <c r="N3039" i="2"/>
  <c r="H3039" i="2"/>
  <c r="N3035" i="2"/>
  <c r="H3035" i="2"/>
  <c r="N3031" i="2"/>
  <c r="H3031" i="2"/>
  <c r="N3027" i="2"/>
  <c r="H3027" i="2"/>
  <c r="N3023" i="2"/>
  <c r="H3023" i="2"/>
  <c r="N3019" i="2"/>
  <c r="H3019" i="2"/>
  <c r="N3015" i="2"/>
  <c r="H3015" i="2"/>
  <c r="N3011" i="2"/>
  <c r="H3011" i="2"/>
  <c r="N3007" i="2"/>
  <c r="H3007" i="2"/>
  <c r="N3003" i="2"/>
  <c r="H3003" i="2"/>
  <c r="N2999" i="2"/>
  <c r="H2999" i="2"/>
  <c r="N2995" i="2"/>
  <c r="H2995" i="2"/>
  <c r="N2991" i="2"/>
  <c r="H2991" i="2"/>
  <c r="N2987" i="2"/>
  <c r="H2987" i="2"/>
  <c r="N2983" i="2"/>
  <c r="H2983" i="2"/>
  <c r="N2979" i="2"/>
  <c r="H2979" i="2"/>
  <c r="N2975" i="2"/>
  <c r="H2975" i="2"/>
  <c r="N2971" i="2"/>
  <c r="H2971" i="2"/>
  <c r="N2967" i="2"/>
  <c r="H2967" i="2"/>
  <c r="N2963" i="2"/>
  <c r="H2963" i="2"/>
  <c r="N2959" i="2"/>
  <c r="H2959" i="2"/>
  <c r="N2955" i="2"/>
  <c r="H2955" i="2"/>
  <c r="N2951" i="2"/>
  <c r="H2951" i="2"/>
  <c r="N2947" i="2"/>
  <c r="H2947" i="2"/>
  <c r="N2943" i="2"/>
  <c r="H2943" i="2"/>
  <c r="N2939" i="2"/>
  <c r="H2939" i="2"/>
  <c r="N2935" i="2"/>
  <c r="H2935" i="2"/>
  <c r="N2931" i="2"/>
  <c r="H2931" i="2"/>
  <c r="N2927" i="2"/>
  <c r="H2927" i="2"/>
  <c r="N2923" i="2"/>
  <c r="H2923" i="2"/>
  <c r="N2919" i="2"/>
  <c r="H2919" i="2"/>
  <c r="N2915" i="2"/>
  <c r="H2915" i="2"/>
  <c r="N2911" i="2"/>
  <c r="H2911" i="2"/>
  <c r="N2907" i="2"/>
  <c r="H2907" i="2"/>
  <c r="N2903" i="2"/>
  <c r="H2903" i="2"/>
  <c r="N2899" i="2"/>
  <c r="H2899" i="2"/>
  <c r="N2895" i="2"/>
  <c r="H2895" i="2"/>
  <c r="N2891" i="2"/>
  <c r="H2891" i="2"/>
  <c r="N2887" i="2"/>
  <c r="H2887" i="2"/>
  <c r="N2883" i="2"/>
  <c r="H2883" i="2"/>
  <c r="N2879" i="2"/>
  <c r="H2879" i="2"/>
  <c r="N2875" i="2"/>
  <c r="H2875" i="2"/>
  <c r="N2871" i="2"/>
  <c r="H2871" i="2"/>
  <c r="N2867" i="2"/>
  <c r="H2867" i="2"/>
  <c r="N2863" i="2"/>
  <c r="H2863" i="2"/>
  <c r="N2859" i="2"/>
  <c r="H2859" i="2"/>
  <c r="N2855" i="2"/>
  <c r="H2855" i="2"/>
  <c r="N2851" i="2"/>
  <c r="H2851" i="2"/>
  <c r="N2847" i="2"/>
  <c r="H2847" i="2"/>
  <c r="N2843" i="2"/>
  <c r="H2843" i="2"/>
  <c r="N2839" i="2"/>
  <c r="H2839" i="2"/>
  <c r="N2835" i="2"/>
  <c r="H2835" i="2"/>
  <c r="N2831" i="2"/>
  <c r="H2831" i="2"/>
  <c r="N2827" i="2"/>
  <c r="H2827" i="2"/>
  <c r="N2823" i="2"/>
  <c r="H2823" i="2"/>
  <c r="N2819" i="2"/>
  <c r="H2819" i="2"/>
  <c r="N2815" i="2"/>
  <c r="H2815" i="2"/>
  <c r="N2811" i="2"/>
  <c r="H2811" i="2"/>
  <c r="N2807" i="2"/>
  <c r="H2807" i="2"/>
  <c r="N2803" i="2"/>
  <c r="H2803" i="2"/>
  <c r="N2799" i="2"/>
  <c r="H2799" i="2"/>
  <c r="N2795" i="2"/>
  <c r="H2795" i="2"/>
  <c r="N2791" i="2"/>
  <c r="H2791" i="2"/>
  <c r="N2787" i="2"/>
  <c r="H2787" i="2"/>
  <c r="N2783" i="2"/>
  <c r="H2783" i="2"/>
  <c r="N2779" i="2"/>
  <c r="H2779" i="2"/>
  <c r="N2775" i="2"/>
  <c r="H2775" i="2"/>
  <c r="N2771" i="2"/>
  <c r="H2771" i="2"/>
  <c r="N2767" i="2"/>
  <c r="H2767" i="2"/>
  <c r="N2763" i="2"/>
  <c r="H2763" i="2"/>
  <c r="N2759" i="2"/>
  <c r="H2759" i="2"/>
  <c r="N2755" i="2"/>
  <c r="H2755" i="2"/>
  <c r="N2751" i="2"/>
  <c r="H2751" i="2"/>
  <c r="N2747" i="2"/>
  <c r="H2747" i="2"/>
  <c r="N2743" i="2"/>
  <c r="H2743" i="2"/>
  <c r="N2739" i="2"/>
  <c r="H2739" i="2"/>
  <c r="N2735" i="2"/>
  <c r="H2735" i="2"/>
  <c r="N2731" i="2"/>
  <c r="H2731" i="2"/>
  <c r="N2727" i="2"/>
  <c r="H2727" i="2"/>
  <c r="N2723" i="2"/>
  <c r="H2723" i="2"/>
  <c r="N2719" i="2"/>
  <c r="H2719" i="2"/>
  <c r="N2715" i="2"/>
  <c r="H2715" i="2"/>
  <c r="N2711" i="2"/>
  <c r="H2711" i="2"/>
  <c r="N2707" i="2"/>
  <c r="H2707" i="2"/>
  <c r="N2703" i="2"/>
  <c r="H2703" i="2"/>
  <c r="N2699" i="2"/>
  <c r="H2699" i="2"/>
  <c r="N2695" i="2"/>
  <c r="H2695" i="2"/>
  <c r="N2691" i="2"/>
  <c r="H2691" i="2"/>
  <c r="N2687" i="2"/>
  <c r="H2687" i="2"/>
  <c r="N2683" i="2"/>
  <c r="H2683" i="2"/>
  <c r="N2679" i="2"/>
  <c r="H2679" i="2"/>
  <c r="N2675" i="2"/>
  <c r="H2675" i="2"/>
  <c r="N2671" i="2"/>
  <c r="H2671" i="2"/>
  <c r="N2667" i="2"/>
  <c r="H2667" i="2"/>
  <c r="N2663" i="2"/>
  <c r="H2663" i="2"/>
  <c r="N2659" i="2"/>
  <c r="H2659" i="2"/>
  <c r="N2655" i="2"/>
  <c r="H2655" i="2"/>
  <c r="N2651" i="2"/>
  <c r="H2651" i="2"/>
  <c r="N2647" i="2"/>
  <c r="H2647" i="2"/>
  <c r="N2643" i="2"/>
  <c r="H2643" i="2"/>
  <c r="N2639" i="2"/>
  <c r="H2639" i="2"/>
  <c r="N2635" i="2"/>
  <c r="H2635" i="2"/>
  <c r="N2631" i="2"/>
  <c r="H2631" i="2"/>
  <c r="N2627" i="2"/>
  <c r="H2627" i="2"/>
  <c r="N2623" i="2"/>
  <c r="H2623" i="2"/>
  <c r="N2619" i="2"/>
  <c r="H2619" i="2"/>
  <c r="N2615" i="2"/>
  <c r="H2615" i="2"/>
  <c r="N2611" i="2"/>
  <c r="H2611" i="2"/>
  <c r="N2607" i="2"/>
  <c r="H2607" i="2"/>
  <c r="N2603" i="2"/>
  <c r="H2603" i="2"/>
  <c r="N2599" i="2"/>
  <c r="H2599" i="2"/>
  <c r="N2595" i="2"/>
  <c r="H2595" i="2"/>
  <c r="N2591" i="2"/>
  <c r="H2591" i="2"/>
  <c r="N2587" i="2"/>
  <c r="H2587" i="2"/>
  <c r="N2583" i="2"/>
  <c r="H2583" i="2"/>
  <c r="N2579" i="2"/>
  <c r="H2579" i="2"/>
  <c r="N2575" i="2"/>
  <c r="H2575" i="2"/>
  <c r="N2571" i="2"/>
  <c r="H2571" i="2"/>
  <c r="N2567" i="2"/>
  <c r="H2567" i="2"/>
  <c r="N2563" i="2"/>
  <c r="H2563" i="2"/>
  <c r="N2559" i="2"/>
  <c r="H2559" i="2"/>
  <c r="N2555" i="2"/>
  <c r="H2555" i="2"/>
  <c r="N2551" i="2"/>
  <c r="H2551" i="2"/>
  <c r="N2547" i="2"/>
  <c r="H2547" i="2"/>
  <c r="N2543" i="2"/>
  <c r="H2543" i="2"/>
  <c r="N2539" i="2"/>
  <c r="H2539" i="2"/>
  <c r="N2535" i="2"/>
  <c r="H2535" i="2"/>
  <c r="N2531" i="2"/>
  <c r="H2531" i="2"/>
  <c r="N2527" i="2"/>
  <c r="H2527" i="2"/>
  <c r="N2523" i="2"/>
  <c r="H2523" i="2"/>
  <c r="N2519" i="2"/>
  <c r="H2519" i="2"/>
  <c r="N2515" i="2"/>
  <c r="H2515" i="2"/>
  <c r="N2511" i="2"/>
  <c r="H2511" i="2"/>
  <c r="N2507" i="2"/>
  <c r="H2507" i="2"/>
  <c r="N2503" i="2"/>
  <c r="H2503" i="2"/>
  <c r="N2499" i="2"/>
  <c r="H2499" i="2"/>
  <c r="N2495" i="2"/>
  <c r="H2495" i="2"/>
  <c r="N2491" i="2"/>
  <c r="H2491" i="2"/>
  <c r="N2487" i="2"/>
  <c r="H2487" i="2"/>
  <c r="N2483" i="2"/>
  <c r="H2483" i="2"/>
  <c r="N2479" i="2"/>
  <c r="H2479" i="2"/>
  <c r="N2475" i="2"/>
  <c r="H2475" i="2"/>
  <c r="N2471" i="2"/>
  <c r="H2471" i="2"/>
  <c r="N2467" i="2"/>
  <c r="H2467" i="2"/>
  <c r="N2463" i="2"/>
  <c r="H2463" i="2"/>
  <c r="N2459" i="2"/>
  <c r="H2459" i="2"/>
  <c r="N2455" i="2"/>
  <c r="H2455" i="2"/>
  <c r="N2451" i="2"/>
  <c r="H2451" i="2"/>
  <c r="N2447" i="2"/>
  <c r="H2447" i="2"/>
  <c r="N2443" i="2"/>
  <c r="H2443" i="2"/>
  <c r="N2439" i="2"/>
  <c r="H2439" i="2"/>
  <c r="N2435" i="2"/>
  <c r="H2435" i="2"/>
  <c r="N2431" i="2"/>
  <c r="H2431" i="2"/>
  <c r="N2427" i="2"/>
  <c r="H2427" i="2"/>
  <c r="N2423" i="2"/>
  <c r="H2423" i="2"/>
  <c r="N2419" i="2"/>
  <c r="H2419" i="2"/>
  <c r="N2415" i="2"/>
  <c r="H2415" i="2"/>
  <c r="N2411" i="2"/>
  <c r="H2411" i="2"/>
  <c r="N2407" i="2"/>
  <c r="H2407" i="2"/>
  <c r="N2403" i="2"/>
  <c r="H2403" i="2"/>
  <c r="N2399" i="2"/>
  <c r="H2399" i="2"/>
  <c r="N2395" i="2"/>
  <c r="H2395" i="2"/>
  <c r="N2391" i="2"/>
  <c r="H2391" i="2"/>
  <c r="N2387" i="2"/>
  <c r="H2387" i="2"/>
  <c r="N2383" i="2"/>
  <c r="H2383" i="2"/>
  <c r="N2379" i="2"/>
  <c r="H2379" i="2"/>
  <c r="N2375" i="2"/>
  <c r="H2375" i="2"/>
  <c r="N2371" i="2"/>
  <c r="H2371" i="2"/>
  <c r="N2367" i="2"/>
  <c r="H2367" i="2"/>
  <c r="N2363" i="2"/>
  <c r="H2363" i="2"/>
  <c r="N2359" i="2"/>
  <c r="H2359" i="2"/>
  <c r="N2355" i="2"/>
  <c r="H2355" i="2"/>
  <c r="N2351" i="2"/>
  <c r="H2351" i="2"/>
  <c r="N2347" i="2"/>
  <c r="H2347" i="2"/>
  <c r="N2343" i="2"/>
  <c r="H2343" i="2"/>
  <c r="N2339" i="2"/>
  <c r="H2339" i="2"/>
  <c r="N2335" i="2"/>
  <c r="H2335" i="2"/>
  <c r="N2331" i="2"/>
  <c r="H2331" i="2"/>
  <c r="N2327" i="2"/>
  <c r="H2327" i="2"/>
  <c r="N2323" i="2"/>
  <c r="H2323" i="2"/>
  <c r="N2319" i="2"/>
  <c r="H2319" i="2"/>
  <c r="N2315" i="2"/>
  <c r="H2315" i="2"/>
  <c r="N2311" i="2"/>
  <c r="H2311" i="2"/>
  <c r="N2307" i="2"/>
  <c r="H2307" i="2"/>
  <c r="N2303" i="2"/>
  <c r="H2303" i="2"/>
  <c r="N2299" i="2"/>
  <c r="H2299" i="2"/>
  <c r="N2295" i="2"/>
  <c r="H2295" i="2"/>
  <c r="N2291" i="2"/>
  <c r="H2291" i="2"/>
  <c r="N2287" i="2"/>
  <c r="H2287" i="2"/>
  <c r="N2283" i="2"/>
  <c r="H2283" i="2"/>
  <c r="N2279" i="2"/>
  <c r="H2279" i="2"/>
  <c r="N2275" i="2"/>
  <c r="H2275" i="2"/>
  <c r="N2271" i="2"/>
  <c r="H2271" i="2"/>
  <c r="N2267" i="2"/>
  <c r="H2267" i="2"/>
  <c r="N2263" i="2"/>
  <c r="H2263" i="2"/>
  <c r="N2259" i="2"/>
  <c r="H2259" i="2"/>
  <c r="N2255" i="2"/>
  <c r="H2255" i="2"/>
  <c r="N2251" i="2"/>
  <c r="H2251" i="2"/>
  <c r="N2247" i="2"/>
  <c r="H2247" i="2"/>
  <c r="N2243" i="2"/>
  <c r="H2243" i="2"/>
  <c r="N2239" i="2"/>
  <c r="H2239" i="2"/>
  <c r="N2235" i="2"/>
  <c r="H2235" i="2"/>
  <c r="N2231" i="2"/>
  <c r="H2231" i="2"/>
  <c r="N2227" i="2"/>
  <c r="H2227" i="2"/>
  <c r="N2223" i="2"/>
  <c r="H2223" i="2"/>
  <c r="N2219" i="2"/>
  <c r="H2219" i="2"/>
  <c r="N2215" i="2"/>
  <c r="H2215" i="2"/>
  <c r="N2211" i="2"/>
  <c r="H2211" i="2"/>
  <c r="N2207" i="2"/>
  <c r="H2207" i="2"/>
  <c r="N2203" i="2"/>
  <c r="H2203" i="2"/>
  <c r="N2199" i="2"/>
  <c r="H2199" i="2"/>
  <c r="N2195" i="2"/>
  <c r="H2195" i="2"/>
  <c r="N2191" i="2"/>
  <c r="H2191" i="2"/>
  <c r="N2187" i="2"/>
  <c r="H2187" i="2"/>
  <c r="N2183" i="2"/>
  <c r="H2183" i="2"/>
  <c r="N2179" i="2"/>
  <c r="H2179" i="2"/>
  <c r="N2175" i="2"/>
  <c r="H2175" i="2"/>
  <c r="N2171" i="2"/>
  <c r="H2171" i="2"/>
  <c r="N2167" i="2"/>
  <c r="H2167" i="2"/>
  <c r="N2163" i="2"/>
  <c r="H2163" i="2"/>
  <c r="N2159" i="2"/>
  <c r="H2159" i="2"/>
  <c r="N2155" i="2"/>
  <c r="H2155" i="2"/>
  <c r="N2151" i="2"/>
  <c r="H2151" i="2"/>
  <c r="N2147" i="2"/>
  <c r="H2147" i="2"/>
  <c r="N2143" i="2"/>
  <c r="H2143" i="2"/>
  <c r="N2139" i="2"/>
  <c r="H2139" i="2"/>
  <c r="N2135" i="2"/>
  <c r="H2135" i="2"/>
  <c r="N2131" i="2"/>
  <c r="H2131" i="2"/>
  <c r="N2127" i="2"/>
  <c r="H2127" i="2"/>
  <c r="N2123" i="2"/>
  <c r="H2123" i="2"/>
  <c r="N2119" i="2"/>
  <c r="H2119" i="2"/>
  <c r="N2115" i="2"/>
  <c r="H2115" i="2"/>
  <c r="N2111" i="2"/>
  <c r="H2111" i="2"/>
  <c r="N2107" i="2"/>
  <c r="H2107" i="2"/>
  <c r="N2103" i="2"/>
  <c r="H2103" i="2"/>
  <c r="N2099" i="2"/>
  <c r="H2099" i="2"/>
  <c r="N2095" i="2"/>
  <c r="H2095" i="2"/>
  <c r="N2091" i="2"/>
  <c r="H2091" i="2"/>
  <c r="N2087" i="2"/>
  <c r="H2087" i="2"/>
  <c r="N2083" i="2"/>
  <c r="H2083" i="2"/>
  <c r="N2079" i="2"/>
  <c r="H2079" i="2"/>
  <c r="N2075" i="2"/>
  <c r="H2075" i="2"/>
  <c r="N2071" i="2"/>
  <c r="H2071" i="2"/>
  <c r="N2067" i="2"/>
  <c r="H2067" i="2"/>
  <c r="N2063" i="2"/>
  <c r="H2063" i="2"/>
  <c r="N2059" i="2"/>
  <c r="H2059" i="2"/>
  <c r="N2055" i="2"/>
  <c r="H2055" i="2"/>
  <c r="N2051" i="2"/>
  <c r="H2051" i="2"/>
  <c r="N2047" i="2"/>
  <c r="H2047" i="2"/>
  <c r="N2043" i="2"/>
  <c r="H2043" i="2"/>
  <c r="N2039" i="2"/>
  <c r="H2039" i="2"/>
  <c r="N2035" i="2"/>
  <c r="H2035" i="2"/>
  <c r="N2031" i="2"/>
  <c r="H2031" i="2"/>
  <c r="N2027" i="2"/>
  <c r="H2027" i="2"/>
  <c r="N2023" i="2"/>
  <c r="H2023" i="2"/>
  <c r="N2019" i="2"/>
  <c r="H2019" i="2"/>
  <c r="N2015" i="2"/>
  <c r="H2015" i="2"/>
  <c r="N2011" i="2"/>
  <c r="H2011" i="2"/>
  <c r="N2007" i="2"/>
  <c r="H2007" i="2"/>
  <c r="N2003" i="2"/>
  <c r="H2003" i="2"/>
  <c r="N1999" i="2"/>
  <c r="H1999" i="2"/>
  <c r="N1995" i="2"/>
  <c r="H1995" i="2"/>
  <c r="N1991" i="2"/>
  <c r="H1991" i="2"/>
  <c r="N1987" i="2"/>
  <c r="H1987" i="2"/>
  <c r="N1983" i="2"/>
  <c r="H1983" i="2"/>
  <c r="N1979" i="2"/>
  <c r="H1979" i="2"/>
  <c r="N1975" i="2"/>
  <c r="H1975" i="2"/>
  <c r="N1971" i="2"/>
  <c r="H1971" i="2"/>
  <c r="N1967" i="2"/>
  <c r="H1967" i="2"/>
  <c r="N1963" i="2"/>
  <c r="H1963" i="2"/>
  <c r="N1959" i="2"/>
  <c r="H1959" i="2"/>
  <c r="N1955" i="2"/>
  <c r="H1955" i="2"/>
  <c r="N1951" i="2"/>
  <c r="H1951" i="2"/>
  <c r="N1947" i="2"/>
  <c r="H1947" i="2"/>
  <c r="N1943" i="2"/>
  <c r="H1943" i="2"/>
  <c r="N1939" i="2"/>
  <c r="H1939" i="2"/>
  <c r="N1935" i="2"/>
  <c r="H1935" i="2"/>
  <c r="N1931" i="2"/>
  <c r="H1931" i="2"/>
  <c r="N1927" i="2"/>
  <c r="H1927" i="2"/>
  <c r="N1923" i="2"/>
  <c r="H1923" i="2"/>
  <c r="N1919" i="2"/>
  <c r="H1919" i="2"/>
  <c r="N1915" i="2"/>
  <c r="H1915" i="2"/>
  <c r="N1911" i="2"/>
  <c r="H1911" i="2"/>
  <c r="N1907" i="2"/>
  <c r="H1907" i="2"/>
  <c r="N1903" i="2"/>
  <c r="H1903" i="2"/>
  <c r="N1899" i="2"/>
  <c r="H1899" i="2"/>
  <c r="N1895" i="2"/>
  <c r="H1895" i="2"/>
  <c r="N1891" i="2"/>
  <c r="H1891" i="2"/>
  <c r="N1887" i="2"/>
  <c r="H1887" i="2"/>
  <c r="N1883" i="2"/>
  <c r="H1883" i="2"/>
  <c r="N1879" i="2"/>
  <c r="H1879" i="2"/>
  <c r="N1875" i="2"/>
  <c r="H1875" i="2"/>
  <c r="N1871" i="2"/>
  <c r="H1871" i="2"/>
  <c r="N1867" i="2"/>
  <c r="H1867" i="2"/>
  <c r="N1863" i="2"/>
  <c r="H1863" i="2"/>
  <c r="N1859" i="2"/>
  <c r="H1859" i="2"/>
  <c r="N1855" i="2"/>
  <c r="H1855" i="2"/>
  <c r="N1851" i="2"/>
  <c r="H1851" i="2"/>
  <c r="N1847" i="2"/>
  <c r="H1847" i="2"/>
  <c r="N1843" i="2"/>
  <c r="H1843" i="2"/>
  <c r="N1839" i="2"/>
  <c r="H1839" i="2"/>
  <c r="N1835" i="2"/>
  <c r="H1835" i="2"/>
  <c r="N1831" i="2"/>
  <c r="H1831" i="2"/>
  <c r="N1827" i="2"/>
  <c r="H1827" i="2"/>
  <c r="N1823" i="2"/>
  <c r="H1823" i="2"/>
  <c r="N1819" i="2"/>
  <c r="H1819" i="2"/>
  <c r="N1815" i="2"/>
  <c r="H1815" i="2"/>
  <c r="N1811" i="2"/>
  <c r="H1811" i="2"/>
  <c r="N1807" i="2"/>
  <c r="H1807" i="2"/>
  <c r="N1803" i="2"/>
  <c r="H1803" i="2"/>
  <c r="N1799" i="2"/>
  <c r="H1799" i="2"/>
  <c r="N1795" i="2"/>
  <c r="H1795" i="2"/>
  <c r="N1791" i="2"/>
  <c r="H1791" i="2"/>
  <c r="N1787" i="2"/>
  <c r="H1787" i="2"/>
  <c r="N1783" i="2"/>
  <c r="H1783" i="2"/>
  <c r="N1779" i="2"/>
  <c r="H1779" i="2"/>
  <c r="N1775" i="2"/>
  <c r="H1775" i="2"/>
  <c r="N1771" i="2"/>
  <c r="H1771" i="2"/>
  <c r="N1767" i="2"/>
  <c r="H1767" i="2"/>
  <c r="N1763" i="2"/>
  <c r="H1763" i="2"/>
  <c r="N1759" i="2"/>
  <c r="H1759" i="2"/>
  <c r="N1755" i="2"/>
  <c r="H1755" i="2"/>
  <c r="N1751" i="2"/>
  <c r="H1751" i="2"/>
  <c r="N1747" i="2"/>
  <c r="H1747" i="2"/>
  <c r="N1743" i="2"/>
  <c r="H1743" i="2"/>
  <c r="N1739" i="2"/>
  <c r="H1739" i="2"/>
  <c r="N1735" i="2"/>
  <c r="H1735" i="2"/>
  <c r="N1731" i="2"/>
  <c r="H1731" i="2"/>
  <c r="N1727" i="2"/>
  <c r="H1727" i="2"/>
  <c r="N1723" i="2"/>
  <c r="H1723" i="2"/>
  <c r="N1719" i="2"/>
  <c r="H1719" i="2"/>
  <c r="N1715" i="2"/>
  <c r="H1715" i="2"/>
  <c r="N1711" i="2"/>
  <c r="H1711" i="2"/>
  <c r="N1707" i="2"/>
  <c r="H1707" i="2"/>
  <c r="N1703" i="2"/>
  <c r="H1703" i="2"/>
  <c r="N1699" i="2"/>
  <c r="H1699" i="2"/>
  <c r="N1695" i="2"/>
  <c r="H1695" i="2"/>
  <c r="N1691" i="2"/>
  <c r="H1691" i="2"/>
  <c r="N1687" i="2"/>
  <c r="H1687" i="2"/>
  <c r="N1683" i="2"/>
  <c r="H1683" i="2"/>
  <c r="N1679" i="2"/>
  <c r="H1679" i="2"/>
  <c r="N1675" i="2"/>
  <c r="H1675" i="2"/>
  <c r="N1671" i="2"/>
  <c r="H1671" i="2"/>
  <c r="N1667" i="2"/>
  <c r="H1667" i="2"/>
  <c r="N1663" i="2"/>
  <c r="H1663" i="2"/>
  <c r="N1659" i="2"/>
  <c r="H1659" i="2"/>
  <c r="N1655" i="2"/>
  <c r="H1655" i="2"/>
  <c r="N1651" i="2"/>
  <c r="H1651" i="2"/>
  <c r="N1647" i="2"/>
  <c r="H1647" i="2"/>
  <c r="N1643" i="2"/>
  <c r="H1643" i="2"/>
  <c r="N1639" i="2"/>
  <c r="H1639" i="2"/>
  <c r="N1635" i="2"/>
  <c r="H1635" i="2"/>
  <c r="N1631" i="2"/>
  <c r="H1631" i="2"/>
  <c r="N1627" i="2"/>
  <c r="H1627" i="2"/>
  <c r="N1623" i="2"/>
  <c r="H1623" i="2"/>
  <c r="N1619" i="2"/>
  <c r="H1619" i="2"/>
  <c r="N1615" i="2"/>
  <c r="H1615" i="2"/>
  <c r="N1611" i="2"/>
  <c r="H1611" i="2"/>
  <c r="N1607" i="2"/>
  <c r="H1607" i="2"/>
  <c r="N1603" i="2"/>
  <c r="H1603" i="2"/>
  <c r="N1599" i="2"/>
  <c r="H1599" i="2"/>
  <c r="N1595" i="2"/>
  <c r="H1595" i="2"/>
  <c r="N1591" i="2"/>
  <c r="H1591" i="2"/>
  <c r="N1587" i="2"/>
  <c r="H1587" i="2"/>
  <c r="N1583" i="2"/>
  <c r="H1583" i="2"/>
  <c r="N1579" i="2"/>
  <c r="H1579" i="2"/>
  <c r="N1575" i="2"/>
  <c r="H1575" i="2"/>
  <c r="N1571" i="2"/>
  <c r="H1571" i="2"/>
  <c r="N1567" i="2"/>
  <c r="H1567" i="2"/>
  <c r="N1563" i="2"/>
  <c r="H1563" i="2"/>
  <c r="N1559" i="2"/>
  <c r="H1559" i="2"/>
  <c r="N1555" i="2"/>
  <c r="H1555" i="2"/>
  <c r="N1551" i="2"/>
  <c r="H1551" i="2"/>
  <c r="N1547" i="2"/>
  <c r="H1547" i="2"/>
  <c r="N1543" i="2"/>
  <c r="H1543" i="2"/>
  <c r="N1539" i="2"/>
  <c r="H1539" i="2"/>
  <c r="N1535" i="2"/>
  <c r="H1535" i="2"/>
  <c r="N1531" i="2"/>
  <c r="H1531" i="2"/>
  <c r="N1527" i="2"/>
  <c r="H1527" i="2"/>
  <c r="N1523" i="2"/>
  <c r="H1523" i="2"/>
  <c r="N1519" i="2"/>
  <c r="H1519" i="2"/>
  <c r="N1515" i="2"/>
  <c r="H1515" i="2"/>
  <c r="N1511" i="2"/>
  <c r="H1511" i="2"/>
  <c r="N1507" i="2"/>
  <c r="H1507" i="2"/>
  <c r="N1503" i="2"/>
  <c r="H1503" i="2"/>
  <c r="N1499" i="2"/>
  <c r="H1499" i="2"/>
  <c r="N1495" i="2"/>
  <c r="H1495" i="2"/>
  <c r="N1491" i="2"/>
  <c r="H1491" i="2"/>
  <c r="N1487" i="2"/>
  <c r="H1487" i="2"/>
  <c r="N1483" i="2"/>
  <c r="H1483" i="2"/>
  <c r="N1479" i="2"/>
  <c r="H1479" i="2"/>
  <c r="N1475" i="2"/>
  <c r="H1475" i="2"/>
  <c r="N1471" i="2"/>
  <c r="H1471" i="2"/>
  <c r="N1467" i="2"/>
  <c r="H1467" i="2"/>
  <c r="N1463" i="2"/>
  <c r="H1463" i="2"/>
  <c r="N1459" i="2"/>
  <c r="H1459" i="2"/>
  <c r="N1455" i="2"/>
  <c r="H1455" i="2"/>
  <c r="N1451" i="2"/>
  <c r="H1451" i="2"/>
  <c r="N1447" i="2"/>
  <c r="H1447" i="2"/>
  <c r="N1443" i="2"/>
  <c r="H1443" i="2"/>
  <c r="N1439" i="2"/>
  <c r="H1439" i="2"/>
  <c r="N1435" i="2"/>
  <c r="H1435" i="2"/>
  <c r="N1431" i="2"/>
  <c r="H1431" i="2"/>
  <c r="N1427" i="2"/>
  <c r="H1427" i="2"/>
  <c r="N1423" i="2"/>
  <c r="H1423" i="2"/>
  <c r="N1419" i="2"/>
  <c r="H1419" i="2"/>
  <c r="N1415" i="2"/>
  <c r="H1415" i="2"/>
  <c r="N1411" i="2"/>
  <c r="H1411" i="2"/>
  <c r="N1407" i="2"/>
  <c r="H1407" i="2"/>
  <c r="N1403" i="2"/>
  <c r="H1403" i="2"/>
  <c r="N1399" i="2"/>
  <c r="H1399" i="2"/>
  <c r="N1395" i="2"/>
  <c r="H1395" i="2"/>
  <c r="N1391" i="2"/>
  <c r="H1391" i="2"/>
  <c r="N1387" i="2"/>
  <c r="H1387" i="2"/>
  <c r="N1383" i="2"/>
  <c r="H1383" i="2"/>
  <c r="N1379" i="2"/>
  <c r="H1379" i="2"/>
  <c r="N1375" i="2"/>
  <c r="H1375" i="2"/>
  <c r="N1371" i="2"/>
  <c r="H1371" i="2"/>
  <c r="N1367" i="2"/>
  <c r="H1367" i="2"/>
  <c r="N1363" i="2"/>
  <c r="H1363" i="2"/>
  <c r="N1359" i="2"/>
  <c r="H1359" i="2"/>
  <c r="N1355" i="2"/>
  <c r="H1355" i="2"/>
  <c r="N1351" i="2"/>
  <c r="H1351" i="2"/>
  <c r="N1347" i="2"/>
  <c r="H1347" i="2"/>
  <c r="N1343" i="2"/>
  <c r="H1343" i="2"/>
  <c r="N1339" i="2"/>
  <c r="H1339" i="2"/>
  <c r="N1335" i="2"/>
  <c r="H1335" i="2"/>
  <c r="N1331" i="2"/>
  <c r="H1331" i="2"/>
  <c r="N1327" i="2"/>
  <c r="H1327" i="2"/>
  <c r="N1323" i="2"/>
  <c r="H1323" i="2"/>
  <c r="N1319" i="2"/>
  <c r="H1319" i="2"/>
  <c r="N1315" i="2"/>
  <c r="H1315" i="2"/>
  <c r="N1311" i="2"/>
  <c r="H1311" i="2"/>
  <c r="N1307" i="2"/>
  <c r="H1307" i="2"/>
  <c r="N1303" i="2"/>
  <c r="H1303" i="2"/>
  <c r="N1299" i="2"/>
  <c r="H1299" i="2"/>
  <c r="N1295" i="2"/>
  <c r="H1295" i="2"/>
  <c r="N1291" i="2"/>
  <c r="H1291" i="2"/>
  <c r="N1287" i="2"/>
  <c r="H1287" i="2"/>
  <c r="N1283" i="2"/>
  <c r="H1283" i="2"/>
  <c r="N1279" i="2"/>
  <c r="H1279" i="2"/>
  <c r="N1275" i="2"/>
  <c r="H1275" i="2"/>
  <c r="N1271" i="2"/>
  <c r="H1271" i="2"/>
  <c r="N1267" i="2"/>
  <c r="H1267" i="2"/>
  <c r="N1263" i="2"/>
  <c r="H1263" i="2"/>
  <c r="N1259" i="2"/>
  <c r="H1259" i="2"/>
  <c r="N1255" i="2"/>
  <c r="H1255" i="2"/>
  <c r="N1251" i="2"/>
  <c r="H1251" i="2"/>
  <c r="N1247" i="2"/>
  <c r="H1247" i="2"/>
  <c r="N1243" i="2"/>
  <c r="H1243" i="2"/>
  <c r="N1239" i="2"/>
  <c r="H1239" i="2"/>
  <c r="N1235" i="2"/>
  <c r="H1235" i="2"/>
  <c r="N1231" i="2"/>
  <c r="H1231" i="2"/>
  <c r="N1227" i="2"/>
  <c r="H1227" i="2"/>
  <c r="N1223" i="2"/>
  <c r="H1223" i="2"/>
  <c r="N1219" i="2"/>
  <c r="H1219" i="2"/>
  <c r="N1215" i="2"/>
  <c r="H1215" i="2"/>
  <c r="N1211" i="2"/>
  <c r="H1211" i="2"/>
  <c r="N1207" i="2"/>
  <c r="H1207" i="2"/>
  <c r="N1203" i="2"/>
  <c r="H1203" i="2"/>
  <c r="N1199" i="2"/>
  <c r="H1199" i="2"/>
  <c r="N1195" i="2"/>
  <c r="H1195" i="2"/>
  <c r="N1191" i="2"/>
  <c r="H1191" i="2"/>
  <c r="N1187" i="2"/>
  <c r="H1187" i="2"/>
  <c r="N1183" i="2"/>
  <c r="H1183" i="2"/>
  <c r="N1179" i="2"/>
  <c r="H1179" i="2"/>
  <c r="N1175" i="2"/>
  <c r="H1175" i="2"/>
  <c r="N1171" i="2"/>
  <c r="H1171" i="2"/>
  <c r="N1167" i="2"/>
  <c r="H1167" i="2"/>
  <c r="N1163" i="2"/>
  <c r="H1163" i="2"/>
  <c r="N1159" i="2"/>
  <c r="H1159" i="2"/>
  <c r="N1155" i="2"/>
  <c r="H1155" i="2"/>
  <c r="N1151" i="2"/>
  <c r="H1151" i="2"/>
  <c r="N1147" i="2"/>
  <c r="H1147" i="2"/>
  <c r="N1143" i="2"/>
  <c r="H1143" i="2"/>
  <c r="N1139" i="2"/>
  <c r="H1139" i="2"/>
  <c r="N1135" i="2"/>
  <c r="H1135" i="2"/>
  <c r="N1131" i="2"/>
  <c r="H1131" i="2"/>
  <c r="N1127" i="2"/>
  <c r="H1127" i="2"/>
  <c r="N1123" i="2"/>
  <c r="H1123" i="2"/>
  <c r="N1119" i="2"/>
  <c r="H1119" i="2"/>
  <c r="N1115" i="2"/>
  <c r="H1115" i="2"/>
  <c r="N1111" i="2"/>
  <c r="H1111" i="2"/>
  <c r="N1107" i="2"/>
  <c r="H1107" i="2"/>
  <c r="N1103" i="2"/>
  <c r="H1103" i="2"/>
  <c r="N1099" i="2"/>
  <c r="H1099" i="2"/>
  <c r="N1095" i="2"/>
  <c r="H1095" i="2"/>
  <c r="N1091" i="2"/>
  <c r="H1091" i="2"/>
  <c r="N1087" i="2"/>
  <c r="H1087" i="2"/>
  <c r="N1083" i="2"/>
  <c r="H1083" i="2"/>
  <c r="N1079" i="2"/>
  <c r="H1079" i="2"/>
  <c r="N1075" i="2"/>
  <c r="H1075" i="2"/>
  <c r="N1071" i="2"/>
  <c r="H1071" i="2"/>
  <c r="N1067" i="2"/>
  <c r="H1067" i="2"/>
  <c r="N1063" i="2"/>
  <c r="H1063" i="2"/>
  <c r="N1059" i="2"/>
  <c r="H1059" i="2"/>
  <c r="N1055" i="2"/>
  <c r="H1055" i="2"/>
  <c r="N1051" i="2"/>
  <c r="H1051" i="2"/>
  <c r="N1047" i="2"/>
  <c r="H1047" i="2"/>
  <c r="N1043" i="2"/>
  <c r="H1043" i="2"/>
  <c r="N1039" i="2"/>
  <c r="H1039" i="2"/>
  <c r="N1035" i="2"/>
  <c r="H1035" i="2"/>
  <c r="N1031" i="2"/>
  <c r="H1031" i="2"/>
  <c r="N1027" i="2"/>
  <c r="H1027" i="2"/>
  <c r="N4554" i="2"/>
  <c r="H4554" i="2"/>
  <c r="N4550" i="2"/>
  <c r="H4550" i="2"/>
  <c r="N4546" i="2"/>
  <c r="H4546" i="2"/>
  <c r="N4542" i="2"/>
  <c r="H4542" i="2"/>
  <c r="N4538" i="2"/>
  <c r="H4538" i="2"/>
  <c r="N4534" i="2"/>
  <c r="H4534" i="2"/>
  <c r="N4530" i="2"/>
  <c r="H4530" i="2"/>
  <c r="N4526" i="2"/>
  <c r="H4526" i="2"/>
  <c r="N4522" i="2"/>
  <c r="H4522" i="2"/>
  <c r="N4518" i="2"/>
  <c r="H4518" i="2"/>
  <c r="N4514" i="2"/>
  <c r="H4514" i="2"/>
  <c r="N4510" i="2"/>
  <c r="H4510" i="2"/>
  <c r="N4506" i="2"/>
  <c r="H4506" i="2"/>
  <c r="N4502" i="2"/>
  <c r="H4502" i="2"/>
  <c r="N4498" i="2"/>
  <c r="H4498" i="2"/>
  <c r="N4494" i="2"/>
  <c r="H4494" i="2"/>
  <c r="N4490" i="2"/>
  <c r="H4490" i="2"/>
  <c r="N4486" i="2"/>
  <c r="H4486" i="2"/>
  <c r="N4482" i="2"/>
  <c r="H4482" i="2"/>
  <c r="N4478" i="2"/>
  <c r="H4478" i="2"/>
  <c r="N4474" i="2"/>
  <c r="H4474" i="2"/>
  <c r="N4470" i="2"/>
  <c r="H4470" i="2"/>
  <c r="N4466" i="2"/>
  <c r="H4466" i="2"/>
  <c r="N4462" i="2"/>
  <c r="H4462" i="2"/>
  <c r="N4458" i="2"/>
  <c r="H4458" i="2"/>
  <c r="N4454" i="2"/>
  <c r="H4454" i="2"/>
  <c r="N4450" i="2"/>
  <c r="H4450" i="2"/>
  <c r="N4446" i="2"/>
  <c r="H4446" i="2"/>
  <c r="N4442" i="2"/>
  <c r="H4442" i="2"/>
  <c r="N4438" i="2"/>
  <c r="H4438" i="2"/>
  <c r="N4434" i="2"/>
  <c r="H4434" i="2"/>
  <c r="N4430" i="2"/>
  <c r="H4430" i="2"/>
  <c r="N4426" i="2"/>
  <c r="H4426" i="2"/>
  <c r="N4422" i="2"/>
  <c r="H4422" i="2"/>
  <c r="N4418" i="2"/>
  <c r="H4418" i="2"/>
  <c r="N4414" i="2"/>
  <c r="H4414" i="2"/>
  <c r="N4410" i="2"/>
  <c r="H4410" i="2"/>
  <c r="N4406" i="2"/>
  <c r="H4406" i="2"/>
  <c r="N4402" i="2"/>
  <c r="H4402" i="2"/>
  <c r="N4398" i="2"/>
  <c r="H4398" i="2"/>
  <c r="N4394" i="2"/>
  <c r="H4394" i="2"/>
  <c r="N4390" i="2"/>
  <c r="H4390" i="2"/>
  <c r="N4386" i="2"/>
  <c r="H4386" i="2"/>
  <c r="N4382" i="2"/>
  <c r="H4382" i="2"/>
  <c r="N4378" i="2"/>
  <c r="H4378" i="2"/>
  <c r="N4374" i="2"/>
  <c r="H4374" i="2"/>
  <c r="N4370" i="2"/>
  <c r="H4370" i="2"/>
  <c r="N4366" i="2"/>
  <c r="H4366" i="2"/>
  <c r="N4362" i="2"/>
  <c r="H4362" i="2"/>
  <c r="N4358" i="2"/>
  <c r="H4358" i="2"/>
  <c r="N4354" i="2"/>
  <c r="H4354" i="2"/>
  <c r="N4350" i="2"/>
  <c r="H4350" i="2"/>
  <c r="N4346" i="2"/>
  <c r="H4346" i="2"/>
  <c r="N4342" i="2"/>
  <c r="H4342" i="2"/>
  <c r="N4338" i="2"/>
  <c r="H4338" i="2"/>
  <c r="N4334" i="2"/>
  <c r="H4334" i="2"/>
  <c r="N4330" i="2"/>
  <c r="H4330" i="2"/>
  <c r="N4326" i="2"/>
  <c r="H4326" i="2"/>
  <c r="N4322" i="2"/>
  <c r="H4322" i="2"/>
  <c r="N4318" i="2"/>
  <c r="H4318" i="2"/>
  <c r="N4314" i="2"/>
  <c r="H4314" i="2"/>
  <c r="N4310" i="2"/>
  <c r="H4310" i="2"/>
  <c r="N4306" i="2"/>
  <c r="H4306" i="2"/>
  <c r="N4302" i="2"/>
  <c r="H4302" i="2"/>
  <c r="N4298" i="2"/>
  <c r="H4298" i="2"/>
  <c r="N4294" i="2"/>
  <c r="H4294" i="2"/>
  <c r="N4290" i="2"/>
  <c r="H4290" i="2"/>
  <c r="N4286" i="2"/>
  <c r="H4286" i="2"/>
  <c r="N4282" i="2"/>
  <c r="H4282" i="2"/>
  <c r="N4278" i="2"/>
  <c r="H4278" i="2"/>
  <c r="N4274" i="2"/>
  <c r="H4274" i="2"/>
  <c r="N4270" i="2"/>
  <c r="H4270" i="2"/>
  <c r="N4266" i="2"/>
  <c r="H4266" i="2"/>
  <c r="N4262" i="2"/>
  <c r="H4262" i="2"/>
  <c r="N4258" i="2"/>
  <c r="H4258" i="2"/>
  <c r="N4254" i="2"/>
  <c r="H4254" i="2"/>
  <c r="N4250" i="2"/>
  <c r="H4250" i="2"/>
  <c r="N4246" i="2"/>
  <c r="H4246" i="2"/>
  <c r="N4242" i="2"/>
  <c r="H4242" i="2"/>
  <c r="N4238" i="2"/>
  <c r="H4238" i="2"/>
  <c r="N4234" i="2"/>
  <c r="H4234" i="2"/>
  <c r="N4230" i="2"/>
  <c r="H4230" i="2"/>
  <c r="N4226" i="2"/>
  <c r="H4226" i="2"/>
  <c r="N4222" i="2"/>
  <c r="H4222" i="2"/>
  <c r="N4218" i="2"/>
  <c r="H4218" i="2"/>
  <c r="N4214" i="2"/>
  <c r="H4214" i="2"/>
  <c r="N4210" i="2"/>
  <c r="H4210" i="2"/>
  <c r="N4206" i="2"/>
  <c r="H4206" i="2"/>
  <c r="N4202" i="2"/>
  <c r="H4202" i="2"/>
  <c r="N4198" i="2"/>
  <c r="H4198" i="2"/>
  <c r="N4194" i="2"/>
  <c r="H4194" i="2"/>
  <c r="N4190" i="2"/>
  <c r="H4190" i="2"/>
  <c r="N4186" i="2"/>
  <c r="H4186" i="2"/>
  <c r="N4182" i="2"/>
  <c r="H4182" i="2"/>
  <c r="N4178" i="2"/>
  <c r="H4178" i="2"/>
  <c r="N4174" i="2"/>
  <c r="H4174" i="2"/>
  <c r="N4170" i="2"/>
  <c r="H4170" i="2"/>
  <c r="N4166" i="2"/>
  <c r="H4166" i="2"/>
  <c r="N4162" i="2"/>
  <c r="H4162" i="2"/>
  <c r="N4158" i="2"/>
  <c r="H4158" i="2"/>
  <c r="N4154" i="2"/>
  <c r="H4154" i="2"/>
  <c r="N4150" i="2"/>
  <c r="H4150" i="2"/>
  <c r="N4146" i="2"/>
  <c r="H4146" i="2"/>
  <c r="N4142" i="2"/>
  <c r="H4142" i="2"/>
  <c r="N4138" i="2"/>
  <c r="H4138" i="2"/>
  <c r="N4134" i="2"/>
  <c r="H4134" i="2"/>
  <c r="N4130" i="2"/>
  <c r="H4130" i="2"/>
  <c r="N4126" i="2"/>
  <c r="H4126" i="2"/>
  <c r="N4122" i="2"/>
  <c r="H4122" i="2"/>
  <c r="N4118" i="2"/>
  <c r="H4118" i="2"/>
  <c r="N4114" i="2"/>
  <c r="H4114" i="2"/>
  <c r="N4110" i="2"/>
  <c r="H4110" i="2"/>
  <c r="N4106" i="2"/>
  <c r="H4106" i="2"/>
  <c r="N4102" i="2"/>
  <c r="H4102" i="2"/>
  <c r="N4098" i="2"/>
  <c r="H4098" i="2"/>
  <c r="N4094" i="2"/>
  <c r="H4094" i="2"/>
  <c r="N4090" i="2"/>
  <c r="H4090" i="2"/>
  <c r="N4086" i="2"/>
  <c r="H4086" i="2"/>
  <c r="N4082" i="2"/>
  <c r="H4082" i="2"/>
  <c r="N4078" i="2"/>
  <c r="H4078" i="2"/>
  <c r="N4074" i="2"/>
  <c r="H4074" i="2"/>
  <c r="N4070" i="2"/>
  <c r="H4070" i="2"/>
  <c r="N4066" i="2"/>
  <c r="H4066" i="2"/>
  <c r="N4062" i="2"/>
  <c r="H4062" i="2"/>
  <c r="N4058" i="2"/>
  <c r="H4058" i="2"/>
  <c r="N4054" i="2"/>
  <c r="H4054" i="2"/>
  <c r="N4050" i="2"/>
  <c r="H4050" i="2"/>
  <c r="N4046" i="2"/>
  <c r="H4046" i="2"/>
  <c r="N4042" i="2"/>
  <c r="H4042" i="2"/>
  <c r="N4038" i="2"/>
  <c r="H4038" i="2"/>
  <c r="N4034" i="2"/>
  <c r="H4034" i="2"/>
  <c r="N4030" i="2"/>
  <c r="H4030" i="2"/>
  <c r="N4026" i="2"/>
  <c r="H4026" i="2"/>
  <c r="N4022" i="2"/>
  <c r="H4022" i="2"/>
  <c r="N4018" i="2"/>
  <c r="H4018" i="2"/>
  <c r="N4014" i="2"/>
  <c r="H4014" i="2"/>
  <c r="N4010" i="2"/>
  <c r="H4010" i="2"/>
  <c r="N4006" i="2"/>
  <c r="H4006" i="2"/>
  <c r="N4002" i="2"/>
  <c r="H4002" i="2"/>
  <c r="N3998" i="2"/>
  <c r="H3998" i="2"/>
  <c r="N3994" i="2"/>
  <c r="H3994" i="2"/>
  <c r="N3990" i="2"/>
  <c r="H3990" i="2"/>
  <c r="N3986" i="2"/>
  <c r="H3986" i="2"/>
  <c r="N3982" i="2"/>
  <c r="H3982" i="2"/>
  <c r="N3978" i="2"/>
  <c r="H3978" i="2"/>
  <c r="N3974" i="2"/>
  <c r="H3974" i="2"/>
  <c r="N3970" i="2"/>
  <c r="H3970" i="2"/>
  <c r="N3966" i="2"/>
  <c r="H3966" i="2"/>
  <c r="N3962" i="2"/>
  <c r="H3962" i="2"/>
  <c r="N3958" i="2"/>
  <c r="H3958" i="2"/>
  <c r="N3954" i="2"/>
  <c r="H3954" i="2"/>
  <c r="N3950" i="2"/>
  <c r="H3950" i="2"/>
  <c r="N3946" i="2"/>
  <c r="H3946" i="2"/>
  <c r="N3942" i="2"/>
  <c r="H3942" i="2"/>
  <c r="N3938" i="2"/>
  <c r="H3938" i="2"/>
  <c r="N3934" i="2"/>
  <c r="H3934" i="2"/>
  <c r="N3930" i="2"/>
  <c r="H3930" i="2"/>
  <c r="N3926" i="2"/>
  <c r="H3926" i="2"/>
  <c r="N3922" i="2"/>
  <c r="H3922" i="2"/>
  <c r="N3918" i="2"/>
  <c r="H3918" i="2"/>
  <c r="N3914" i="2"/>
  <c r="H3914" i="2"/>
  <c r="N3910" i="2"/>
  <c r="H3910" i="2"/>
  <c r="N3906" i="2"/>
  <c r="H3906" i="2"/>
  <c r="N3902" i="2"/>
  <c r="H3902" i="2"/>
  <c r="N3898" i="2"/>
  <c r="H3898" i="2"/>
  <c r="N3894" i="2"/>
  <c r="H3894" i="2"/>
  <c r="N3890" i="2"/>
  <c r="H3890" i="2"/>
  <c r="N3886" i="2"/>
  <c r="H3886" i="2"/>
  <c r="N3882" i="2"/>
  <c r="H3882" i="2"/>
  <c r="N3878" i="2"/>
  <c r="H3878" i="2"/>
  <c r="N3874" i="2"/>
  <c r="H3874" i="2"/>
  <c r="N3870" i="2"/>
  <c r="H3870" i="2"/>
  <c r="N3866" i="2"/>
  <c r="H3866" i="2"/>
  <c r="N3862" i="2"/>
  <c r="H3862" i="2"/>
  <c r="N3858" i="2"/>
  <c r="H3858" i="2"/>
  <c r="N3854" i="2"/>
  <c r="H3854" i="2"/>
  <c r="N3850" i="2"/>
  <c r="H3850" i="2"/>
  <c r="N3846" i="2"/>
  <c r="H3846" i="2"/>
  <c r="N3842" i="2"/>
  <c r="H3842" i="2"/>
  <c r="N3838" i="2"/>
  <c r="H3838" i="2"/>
  <c r="N3834" i="2"/>
  <c r="H3834" i="2"/>
  <c r="N3830" i="2"/>
  <c r="H3830" i="2"/>
  <c r="N3826" i="2"/>
  <c r="H3826" i="2"/>
  <c r="N3822" i="2"/>
  <c r="H3822" i="2"/>
  <c r="N3818" i="2"/>
  <c r="H3818" i="2"/>
  <c r="N3814" i="2"/>
  <c r="H3814" i="2"/>
  <c r="N3810" i="2"/>
  <c r="H3810" i="2"/>
  <c r="N3806" i="2"/>
  <c r="H3806" i="2"/>
  <c r="N3802" i="2"/>
  <c r="H3802" i="2"/>
  <c r="N3798" i="2"/>
  <c r="H3798" i="2"/>
  <c r="N3794" i="2"/>
  <c r="H3794" i="2"/>
  <c r="N3790" i="2"/>
  <c r="H3790" i="2"/>
  <c r="N3786" i="2"/>
  <c r="H3786" i="2"/>
  <c r="N3782" i="2"/>
  <c r="H3782" i="2"/>
  <c r="N3778" i="2"/>
  <c r="H3778" i="2"/>
  <c r="N3774" i="2"/>
  <c r="H3774" i="2"/>
  <c r="N3770" i="2"/>
  <c r="H3770" i="2"/>
  <c r="N3766" i="2"/>
  <c r="H3766" i="2"/>
  <c r="N3762" i="2"/>
  <c r="H3762" i="2"/>
  <c r="N3758" i="2"/>
  <c r="H3758" i="2"/>
  <c r="N3754" i="2"/>
  <c r="H3754" i="2"/>
  <c r="N3750" i="2"/>
  <c r="H3750" i="2"/>
  <c r="N3746" i="2"/>
  <c r="H3746" i="2"/>
  <c r="N3742" i="2"/>
  <c r="H3742" i="2"/>
  <c r="N3738" i="2"/>
  <c r="H3738" i="2"/>
  <c r="N3734" i="2"/>
  <c r="H3734" i="2"/>
  <c r="N3730" i="2"/>
  <c r="H3730" i="2"/>
  <c r="N3726" i="2"/>
  <c r="H3726" i="2"/>
  <c r="N3722" i="2"/>
  <c r="H3722" i="2"/>
  <c r="N3718" i="2"/>
  <c r="H3718" i="2"/>
  <c r="N3714" i="2"/>
  <c r="H3714" i="2"/>
  <c r="N3710" i="2"/>
  <c r="H3710" i="2"/>
  <c r="N3706" i="2"/>
  <c r="H3706" i="2"/>
  <c r="N3702" i="2"/>
  <c r="H3702" i="2"/>
  <c r="N3698" i="2"/>
  <c r="H3698" i="2"/>
  <c r="N3694" i="2"/>
  <c r="H3694" i="2"/>
  <c r="N3690" i="2"/>
  <c r="H3690" i="2"/>
  <c r="N3686" i="2"/>
  <c r="H3686" i="2"/>
  <c r="N3682" i="2"/>
  <c r="H3682" i="2"/>
  <c r="N3678" i="2"/>
  <c r="H3678" i="2"/>
  <c r="N3674" i="2"/>
  <c r="H3674" i="2"/>
  <c r="N3670" i="2"/>
  <c r="H3670" i="2"/>
  <c r="N3666" i="2"/>
  <c r="H3666" i="2"/>
  <c r="N3662" i="2"/>
  <c r="H3662" i="2"/>
  <c r="N3658" i="2"/>
  <c r="H3658" i="2"/>
  <c r="N3654" i="2"/>
  <c r="H3654" i="2"/>
  <c r="N3650" i="2"/>
  <c r="H3650" i="2"/>
  <c r="N3646" i="2"/>
  <c r="H3646" i="2"/>
  <c r="N3642" i="2"/>
  <c r="H3642" i="2"/>
  <c r="N3638" i="2"/>
  <c r="H3638" i="2"/>
  <c r="N3634" i="2"/>
  <c r="H3634" i="2"/>
  <c r="N3630" i="2"/>
  <c r="H3630" i="2"/>
  <c r="N3626" i="2"/>
  <c r="H3626" i="2"/>
  <c r="N3622" i="2"/>
  <c r="H3622" i="2"/>
  <c r="N3618" i="2"/>
  <c r="H3618" i="2"/>
  <c r="N3614" i="2"/>
  <c r="H3614" i="2"/>
  <c r="N3610" i="2"/>
  <c r="H3610" i="2"/>
  <c r="N3606" i="2"/>
  <c r="H3606" i="2"/>
  <c r="N3602" i="2"/>
  <c r="H3602" i="2"/>
  <c r="N3598" i="2"/>
  <c r="H3598" i="2"/>
  <c r="N3594" i="2"/>
  <c r="H3594" i="2"/>
  <c r="N3590" i="2"/>
  <c r="H3590" i="2"/>
  <c r="N3586" i="2"/>
  <c r="H3586" i="2"/>
  <c r="N3582" i="2"/>
  <c r="H3582" i="2"/>
  <c r="N3578" i="2"/>
  <c r="H3578" i="2"/>
  <c r="N3574" i="2"/>
  <c r="H3574" i="2"/>
  <c r="N3570" i="2"/>
  <c r="H3570" i="2"/>
  <c r="N3566" i="2"/>
  <c r="H3566" i="2"/>
  <c r="N3562" i="2"/>
  <c r="H3562" i="2"/>
  <c r="N3558" i="2"/>
  <c r="H3558" i="2"/>
  <c r="N3554" i="2"/>
  <c r="H3554" i="2"/>
  <c r="N3550" i="2"/>
  <c r="H3550" i="2"/>
  <c r="N3546" i="2"/>
  <c r="H3546" i="2"/>
  <c r="N3542" i="2"/>
  <c r="H3542" i="2"/>
  <c r="N3538" i="2"/>
  <c r="H3538" i="2"/>
  <c r="N3534" i="2"/>
  <c r="H3534" i="2"/>
  <c r="N3530" i="2"/>
  <c r="H3530" i="2"/>
  <c r="N3526" i="2"/>
  <c r="H3526" i="2"/>
  <c r="N3522" i="2"/>
  <c r="H3522" i="2"/>
  <c r="N3518" i="2"/>
  <c r="H3518" i="2"/>
  <c r="N3514" i="2"/>
  <c r="H3514" i="2"/>
  <c r="N3510" i="2"/>
  <c r="H3510" i="2"/>
  <c r="N3506" i="2"/>
  <c r="H3506" i="2"/>
  <c r="N3502" i="2"/>
  <c r="H3502" i="2"/>
  <c r="N3498" i="2"/>
  <c r="H3498" i="2"/>
  <c r="N3494" i="2"/>
  <c r="H3494" i="2"/>
  <c r="N3490" i="2"/>
  <c r="H3490" i="2"/>
  <c r="N3486" i="2"/>
  <c r="H3486" i="2"/>
  <c r="N3482" i="2"/>
  <c r="H3482" i="2"/>
  <c r="N3478" i="2"/>
  <c r="H3478" i="2"/>
  <c r="N3474" i="2"/>
  <c r="H3474" i="2"/>
  <c r="N3470" i="2"/>
  <c r="H3470" i="2"/>
  <c r="N3466" i="2"/>
  <c r="H3466" i="2"/>
  <c r="N3462" i="2"/>
  <c r="H3462" i="2"/>
  <c r="N3458" i="2"/>
  <c r="H3458" i="2"/>
  <c r="N3454" i="2"/>
  <c r="H3454" i="2"/>
  <c r="N3450" i="2"/>
  <c r="H3450" i="2"/>
  <c r="N3446" i="2"/>
  <c r="H3446" i="2"/>
  <c r="N3442" i="2"/>
  <c r="H3442" i="2"/>
  <c r="N3438" i="2"/>
  <c r="H3438" i="2"/>
  <c r="N3434" i="2"/>
  <c r="H3434" i="2"/>
  <c r="N3430" i="2"/>
  <c r="H3430" i="2"/>
  <c r="N3426" i="2"/>
  <c r="H3426" i="2"/>
  <c r="N3422" i="2"/>
  <c r="H3422" i="2"/>
  <c r="N3418" i="2"/>
  <c r="H3418" i="2"/>
  <c r="N3414" i="2"/>
  <c r="H3414" i="2"/>
  <c r="N3410" i="2"/>
  <c r="H3410" i="2"/>
  <c r="N3406" i="2"/>
  <c r="H3406" i="2"/>
  <c r="N3402" i="2"/>
  <c r="H3402" i="2"/>
  <c r="N3398" i="2"/>
  <c r="H3398" i="2"/>
  <c r="N3394" i="2"/>
  <c r="H3394" i="2"/>
  <c r="N3390" i="2"/>
  <c r="H3390" i="2"/>
  <c r="N3386" i="2"/>
  <c r="H3386" i="2"/>
  <c r="N3382" i="2"/>
  <c r="H3382" i="2"/>
  <c r="N3378" i="2"/>
  <c r="H3378" i="2"/>
  <c r="N3374" i="2"/>
  <c r="H3374" i="2"/>
  <c r="N3370" i="2"/>
  <c r="H3370" i="2"/>
  <c r="N3366" i="2"/>
  <c r="H3366" i="2"/>
  <c r="N3362" i="2"/>
  <c r="H3362" i="2"/>
  <c r="N3358" i="2"/>
  <c r="H3358" i="2"/>
  <c r="N3354" i="2"/>
  <c r="H3354" i="2"/>
  <c r="N3350" i="2"/>
  <c r="H3350" i="2"/>
  <c r="N3346" i="2"/>
  <c r="H3346" i="2"/>
  <c r="N3342" i="2"/>
  <c r="H3342" i="2"/>
  <c r="N3338" i="2"/>
  <c r="H3338" i="2"/>
  <c r="N3334" i="2"/>
  <c r="H3334" i="2"/>
  <c r="N3330" i="2"/>
  <c r="H3330" i="2"/>
  <c r="N3326" i="2"/>
  <c r="H3326" i="2"/>
  <c r="N3322" i="2"/>
  <c r="H3322" i="2"/>
  <c r="N3318" i="2"/>
  <c r="H3318" i="2"/>
  <c r="N3314" i="2"/>
  <c r="H3314" i="2"/>
  <c r="N3310" i="2"/>
  <c r="H3310" i="2"/>
  <c r="N3306" i="2"/>
  <c r="H3306" i="2"/>
  <c r="N3302" i="2"/>
  <c r="H3302" i="2"/>
  <c r="N3298" i="2"/>
  <c r="H3298" i="2"/>
  <c r="N3294" i="2"/>
  <c r="H3294" i="2"/>
  <c r="N3290" i="2"/>
  <c r="H3290" i="2"/>
  <c r="N3286" i="2"/>
  <c r="H3286" i="2"/>
  <c r="N3282" i="2"/>
  <c r="H3282" i="2"/>
  <c r="N3278" i="2"/>
  <c r="H3278" i="2"/>
  <c r="N3274" i="2"/>
  <c r="H3274" i="2"/>
  <c r="N3270" i="2"/>
  <c r="H3270" i="2"/>
  <c r="N3266" i="2"/>
  <c r="H3266" i="2"/>
  <c r="N3262" i="2"/>
  <c r="H3262" i="2"/>
  <c r="N3258" i="2"/>
  <c r="H3258" i="2"/>
  <c r="N3254" i="2"/>
  <c r="H3254" i="2"/>
  <c r="N3250" i="2"/>
  <c r="H3250" i="2"/>
  <c r="N3246" i="2"/>
  <c r="H3246" i="2"/>
  <c r="N3242" i="2"/>
  <c r="H3242" i="2"/>
  <c r="N3238" i="2"/>
  <c r="H3238" i="2"/>
  <c r="N3234" i="2"/>
  <c r="H3234" i="2"/>
  <c r="N3230" i="2"/>
  <c r="H3230" i="2"/>
  <c r="N3226" i="2"/>
  <c r="H3226" i="2"/>
  <c r="N3222" i="2"/>
  <c r="H3222" i="2"/>
  <c r="N3218" i="2"/>
  <c r="H3218" i="2"/>
  <c r="N3214" i="2"/>
  <c r="H3214" i="2"/>
  <c r="N3210" i="2"/>
  <c r="H3210" i="2"/>
  <c r="N3206" i="2"/>
  <c r="H3206" i="2"/>
  <c r="N3202" i="2"/>
  <c r="H3202" i="2"/>
  <c r="N3198" i="2"/>
  <c r="H3198" i="2"/>
  <c r="N3194" i="2"/>
  <c r="H3194" i="2"/>
  <c r="N3190" i="2"/>
  <c r="H3190" i="2"/>
  <c r="N3186" i="2"/>
  <c r="H3186" i="2"/>
  <c r="N3182" i="2"/>
  <c r="H3182" i="2"/>
  <c r="N3178" i="2"/>
  <c r="H3178" i="2"/>
  <c r="N3174" i="2"/>
  <c r="H3174" i="2"/>
  <c r="N3170" i="2"/>
  <c r="H3170" i="2"/>
  <c r="N3166" i="2"/>
  <c r="H3166" i="2"/>
  <c r="N3162" i="2"/>
  <c r="H3162" i="2"/>
  <c r="N3158" i="2"/>
  <c r="H3158" i="2"/>
  <c r="N3154" i="2"/>
  <c r="H3154" i="2"/>
  <c r="N3150" i="2"/>
  <c r="H3150" i="2"/>
  <c r="N3146" i="2"/>
  <c r="H3146" i="2"/>
  <c r="N3142" i="2"/>
  <c r="H3142" i="2"/>
  <c r="N3138" i="2"/>
  <c r="H3138" i="2"/>
  <c r="N3134" i="2"/>
  <c r="H3134" i="2"/>
  <c r="N3130" i="2"/>
  <c r="H3130" i="2"/>
  <c r="N3126" i="2"/>
  <c r="H3126" i="2"/>
  <c r="N3122" i="2"/>
  <c r="H3122" i="2"/>
  <c r="N3118" i="2"/>
  <c r="H3118" i="2"/>
  <c r="N3114" i="2"/>
  <c r="H3114" i="2"/>
  <c r="N3110" i="2"/>
  <c r="H3110" i="2"/>
  <c r="N3106" i="2"/>
  <c r="H3106" i="2"/>
  <c r="N3102" i="2"/>
  <c r="H3102" i="2"/>
  <c r="N3098" i="2"/>
  <c r="H3098" i="2"/>
  <c r="N3094" i="2"/>
  <c r="H3094" i="2"/>
  <c r="N3090" i="2"/>
  <c r="H3090" i="2"/>
  <c r="N3086" i="2"/>
  <c r="H3086" i="2"/>
  <c r="N3082" i="2"/>
  <c r="H3082" i="2"/>
  <c r="N3078" i="2"/>
  <c r="H3078" i="2"/>
  <c r="N3074" i="2"/>
  <c r="H3074" i="2"/>
  <c r="N3070" i="2"/>
  <c r="H3070" i="2"/>
  <c r="N3066" i="2"/>
  <c r="H3066" i="2"/>
  <c r="N3062" i="2"/>
  <c r="H3062" i="2"/>
  <c r="N3058" i="2"/>
  <c r="H3058" i="2"/>
  <c r="N3054" i="2"/>
  <c r="H3054" i="2"/>
  <c r="N3050" i="2"/>
  <c r="H3050" i="2"/>
  <c r="N3046" i="2"/>
  <c r="H3046" i="2"/>
  <c r="N3042" i="2"/>
  <c r="H3042" i="2"/>
  <c r="N3038" i="2"/>
  <c r="H3038" i="2"/>
  <c r="N3034" i="2"/>
  <c r="H3034" i="2"/>
  <c r="N3030" i="2"/>
  <c r="H3030" i="2"/>
  <c r="N3026" i="2"/>
  <c r="H3026" i="2"/>
  <c r="N3022" i="2"/>
  <c r="H3022" i="2"/>
  <c r="N3018" i="2"/>
  <c r="H3018" i="2"/>
  <c r="N3014" i="2"/>
  <c r="H3014" i="2"/>
  <c r="N3010" i="2"/>
  <c r="H3010" i="2"/>
  <c r="N3006" i="2"/>
  <c r="H3006" i="2"/>
  <c r="N3002" i="2"/>
  <c r="H3002" i="2"/>
  <c r="N2998" i="2"/>
  <c r="H2998" i="2"/>
  <c r="N2994" i="2"/>
  <c r="H2994" i="2"/>
  <c r="N2990" i="2"/>
  <c r="H2990" i="2"/>
  <c r="N2986" i="2"/>
  <c r="H2986" i="2"/>
  <c r="N2982" i="2"/>
  <c r="H2982" i="2"/>
  <c r="N2978" i="2"/>
  <c r="H2978" i="2"/>
  <c r="N2974" i="2"/>
  <c r="H2974" i="2"/>
  <c r="N2970" i="2"/>
  <c r="H2970" i="2"/>
  <c r="N2966" i="2"/>
  <c r="H2966" i="2"/>
  <c r="N2962" i="2"/>
  <c r="H2962" i="2"/>
  <c r="N2958" i="2"/>
  <c r="H2958" i="2"/>
  <c r="N2954" i="2"/>
  <c r="H2954" i="2"/>
  <c r="N2950" i="2"/>
  <c r="H2950" i="2"/>
  <c r="N2946" i="2"/>
  <c r="H2946" i="2"/>
  <c r="N2942" i="2"/>
  <c r="H2942" i="2"/>
  <c r="N2938" i="2"/>
  <c r="H2938" i="2"/>
  <c r="N2934" i="2"/>
  <c r="H2934" i="2"/>
  <c r="N2930" i="2"/>
  <c r="H2930" i="2"/>
  <c r="N2926" i="2"/>
  <c r="H2926" i="2"/>
  <c r="N2922" i="2"/>
  <c r="H2922" i="2"/>
  <c r="N2918" i="2"/>
  <c r="H2918" i="2"/>
  <c r="N2914" i="2"/>
  <c r="H2914" i="2"/>
  <c r="N2910" i="2"/>
  <c r="H2910" i="2"/>
  <c r="N2906" i="2"/>
  <c r="H2906" i="2"/>
  <c r="N2902" i="2"/>
  <c r="H2902" i="2"/>
  <c r="N2898" i="2"/>
  <c r="H2898" i="2"/>
  <c r="N2894" i="2"/>
  <c r="H2894" i="2"/>
  <c r="N2890" i="2"/>
  <c r="H2890" i="2"/>
  <c r="N2886" i="2"/>
  <c r="H2886" i="2"/>
  <c r="N2882" i="2"/>
  <c r="H2882" i="2"/>
  <c r="N2878" i="2"/>
  <c r="H2878" i="2"/>
  <c r="N2874" i="2"/>
  <c r="H2874" i="2"/>
  <c r="N2870" i="2"/>
  <c r="H2870" i="2"/>
  <c r="N2866" i="2"/>
  <c r="H2866" i="2"/>
  <c r="N2862" i="2"/>
  <c r="H2862" i="2"/>
  <c r="N2858" i="2"/>
  <c r="H2858" i="2"/>
  <c r="N2854" i="2"/>
  <c r="H2854" i="2"/>
  <c r="N2850" i="2"/>
  <c r="H2850" i="2"/>
  <c r="N2846" i="2"/>
  <c r="H2846" i="2"/>
  <c r="N2842" i="2"/>
  <c r="H2842" i="2"/>
  <c r="N2838" i="2"/>
  <c r="H2838" i="2"/>
  <c r="N2834" i="2"/>
  <c r="H2834" i="2"/>
  <c r="N2830" i="2"/>
  <c r="H2830" i="2"/>
  <c r="N2826" i="2"/>
  <c r="H2826" i="2"/>
  <c r="N2822" i="2"/>
  <c r="H2822" i="2"/>
  <c r="N2818" i="2"/>
  <c r="H2818" i="2"/>
  <c r="N2814" i="2"/>
  <c r="H2814" i="2"/>
  <c r="N2810" i="2"/>
  <c r="H2810" i="2"/>
  <c r="N2806" i="2"/>
  <c r="H2806" i="2"/>
  <c r="N2802" i="2"/>
  <c r="H2802" i="2"/>
  <c r="N2798" i="2"/>
  <c r="H2798" i="2"/>
  <c r="N2794" i="2"/>
  <c r="H2794" i="2"/>
  <c r="N2790" i="2"/>
  <c r="H2790" i="2"/>
  <c r="N2786" i="2"/>
  <c r="H2786" i="2"/>
  <c r="N2782" i="2"/>
  <c r="H2782" i="2"/>
  <c r="N2778" i="2"/>
  <c r="H2778" i="2"/>
  <c r="N2774" i="2"/>
  <c r="H2774" i="2"/>
  <c r="N2770" i="2"/>
  <c r="H2770" i="2"/>
  <c r="N2766" i="2"/>
  <c r="H2766" i="2"/>
  <c r="N2762" i="2"/>
  <c r="H2762" i="2"/>
  <c r="N2758" i="2"/>
  <c r="H2758" i="2"/>
  <c r="N2754" i="2"/>
  <c r="H2754" i="2"/>
  <c r="N2750" i="2"/>
  <c r="H2750" i="2"/>
  <c r="N2746" i="2"/>
  <c r="H2746" i="2"/>
  <c r="N2742" i="2"/>
  <c r="H2742" i="2"/>
  <c r="N2738" i="2"/>
  <c r="H2738" i="2"/>
  <c r="N2734" i="2"/>
  <c r="H2734" i="2"/>
  <c r="N2730" i="2"/>
  <c r="H2730" i="2"/>
  <c r="N2726" i="2"/>
  <c r="H2726" i="2"/>
  <c r="N2722" i="2"/>
  <c r="H2722" i="2"/>
  <c r="N2718" i="2"/>
  <c r="H2718" i="2"/>
  <c r="N2714" i="2"/>
  <c r="H2714" i="2"/>
  <c r="N2710" i="2"/>
  <c r="H2710" i="2"/>
  <c r="N2706" i="2"/>
  <c r="H2706" i="2"/>
  <c r="N2702" i="2"/>
  <c r="H2702" i="2"/>
  <c r="N2698" i="2"/>
  <c r="H2698" i="2"/>
  <c r="N2694" i="2"/>
  <c r="H2694" i="2"/>
  <c r="N2690" i="2"/>
  <c r="H2690" i="2"/>
  <c r="N2686" i="2"/>
  <c r="H2686" i="2"/>
  <c r="N2682" i="2"/>
  <c r="H2682" i="2"/>
  <c r="N2678" i="2"/>
  <c r="H2678" i="2"/>
  <c r="N2674" i="2"/>
  <c r="H2674" i="2"/>
  <c r="N2670" i="2"/>
  <c r="H2670" i="2"/>
  <c r="N2666" i="2"/>
  <c r="H2666" i="2"/>
  <c r="N2662" i="2"/>
  <c r="H2662" i="2"/>
  <c r="N2658" i="2"/>
  <c r="H2658" i="2"/>
  <c r="N2654" i="2"/>
  <c r="H2654" i="2"/>
  <c r="N2650" i="2"/>
  <c r="H2650" i="2"/>
  <c r="N2646" i="2"/>
  <c r="H2646" i="2"/>
  <c r="N2642" i="2"/>
  <c r="H2642" i="2"/>
  <c r="N2638" i="2"/>
  <c r="H2638" i="2"/>
  <c r="N2634" i="2"/>
  <c r="H2634" i="2"/>
  <c r="N2630" i="2"/>
  <c r="H2630" i="2"/>
  <c r="N2626" i="2"/>
  <c r="H2626" i="2"/>
  <c r="N2622" i="2"/>
  <c r="H2622" i="2"/>
  <c r="N2618" i="2"/>
  <c r="H2618" i="2"/>
  <c r="N2614" i="2"/>
  <c r="H2614" i="2"/>
  <c r="N2610" i="2"/>
  <c r="H2610" i="2"/>
  <c r="N2606" i="2"/>
  <c r="H2606" i="2"/>
  <c r="N2602" i="2"/>
  <c r="H2602" i="2"/>
  <c r="N2598" i="2"/>
  <c r="H2598" i="2"/>
  <c r="N2594" i="2"/>
  <c r="H2594" i="2"/>
  <c r="N2590" i="2"/>
  <c r="H2590" i="2"/>
  <c r="N2586" i="2"/>
  <c r="H2586" i="2"/>
  <c r="N2582" i="2"/>
  <c r="H2582" i="2"/>
  <c r="N2578" i="2"/>
  <c r="H2578" i="2"/>
  <c r="N2574" i="2"/>
  <c r="H2574" i="2"/>
  <c r="N2570" i="2"/>
  <c r="H2570" i="2"/>
  <c r="N2566" i="2"/>
  <c r="H2566" i="2"/>
  <c r="N2562" i="2"/>
  <c r="H2562" i="2"/>
  <c r="N2558" i="2"/>
  <c r="H2558" i="2"/>
  <c r="N2554" i="2"/>
  <c r="H2554" i="2"/>
  <c r="N2550" i="2"/>
  <c r="H2550" i="2"/>
  <c r="N2546" i="2"/>
  <c r="H2546" i="2"/>
  <c r="N2542" i="2"/>
  <c r="H2542" i="2"/>
  <c r="N2538" i="2"/>
  <c r="H2538" i="2"/>
  <c r="N2534" i="2"/>
  <c r="H2534" i="2"/>
  <c r="N2530" i="2"/>
  <c r="H2530" i="2"/>
  <c r="N2526" i="2"/>
  <c r="H2526" i="2"/>
  <c r="N2522" i="2"/>
  <c r="H2522" i="2"/>
  <c r="N2518" i="2"/>
  <c r="H2518" i="2"/>
  <c r="N2514" i="2"/>
  <c r="H2514" i="2"/>
  <c r="N2510" i="2"/>
  <c r="H2510" i="2"/>
  <c r="N2506" i="2"/>
  <c r="H2506" i="2"/>
  <c r="N2502" i="2"/>
  <c r="H2502" i="2"/>
  <c r="N2498" i="2"/>
  <c r="H2498" i="2"/>
  <c r="N2494" i="2"/>
  <c r="H2494" i="2"/>
  <c r="N2490" i="2"/>
  <c r="H2490" i="2"/>
  <c r="N2486" i="2"/>
  <c r="H2486" i="2"/>
  <c r="N2482" i="2"/>
  <c r="H2482" i="2"/>
  <c r="N2478" i="2"/>
  <c r="H2478" i="2"/>
  <c r="N2474" i="2"/>
  <c r="H2474" i="2"/>
  <c r="N2470" i="2"/>
  <c r="H2470" i="2"/>
  <c r="N2466" i="2"/>
  <c r="H2466" i="2"/>
  <c r="N2462" i="2"/>
  <c r="H2462" i="2"/>
  <c r="N2458" i="2"/>
  <c r="H2458" i="2"/>
  <c r="N2454" i="2"/>
  <c r="H2454" i="2"/>
  <c r="N2450" i="2"/>
  <c r="H2450" i="2"/>
  <c r="N2446" i="2"/>
  <c r="H2446" i="2"/>
  <c r="N2442" i="2"/>
  <c r="H2442" i="2"/>
  <c r="N2438" i="2"/>
  <c r="H2438" i="2"/>
  <c r="N2434" i="2"/>
  <c r="H2434" i="2"/>
  <c r="N2430" i="2"/>
  <c r="H2430" i="2"/>
  <c r="N2426" i="2"/>
  <c r="H2426" i="2"/>
  <c r="N2422" i="2"/>
  <c r="H2422" i="2"/>
  <c r="N2418" i="2"/>
  <c r="H2418" i="2"/>
  <c r="N2414" i="2"/>
  <c r="H2414" i="2"/>
  <c r="N2410" i="2"/>
  <c r="H2410" i="2"/>
  <c r="N2406" i="2"/>
  <c r="H2406" i="2"/>
  <c r="N2402" i="2"/>
  <c r="H2402" i="2"/>
  <c r="N2398" i="2"/>
  <c r="H2398" i="2"/>
  <c r="N2394" i="2"/>
  <c r="H2394" i="2"/>
  <c r="N2390" i="2"/>
  <c r="H2390" i="2"/>
  <c r="N2386" i="2"/>
  <c r="H2386" i="2"/>
  <c r="N2382" i="2"/>
  <c r="H2382" i="2"/>
  <c r="N2378" i="2"/>
  <c r="H2378" i="2"/>
  <c r="N2374" i="2"/>
  <c r="H2374" i="2"/>
  <c r="N2370" i="2"/>
  <c r="H2370" i="2"/>
  <c r="N2366" i="2"/>
  <c r="H2366" i="2"/>
  <c r="N2362" i="2"/>
  <c r="H2362" i="2"/>
  <c r="N2358" i="2"/>
  <c r="H2358" i="2"/>
  <c r="N2354" i="2"/>
  <c r="H2354" i="2"/>
  <c r="N2350" i="2"/>
  <c r="H2350" i="2"/>
  <c r="N2346" i="2"/>
  <c r="H2346" i="2"/>
  <c r="N2342" i="2"/>
  <c r="H2342" i="2"/>
  <c r="N2338" i="2"/>
  <c r="H2338" i="2"/>
  <c r="N2334" i="2"/>
  <c r="H2334" i="2"/>
  <c r="N2330" i="2"/>
  <c r="H2330" i="2"/>
  <c r="N2326" i="2"/>
  <c r="H2326" i="2"/>
  <c r="N2322" i="2"/>
  <c r="H2322" i="2"/>
  <c r="N2318" i="2"/>
  <c r="H2318" i="2"/>
  <c r="N2314" i="2"/>
  <c r="H2314" i="2"/>
  <c r="N2310" i="2"/>
  <c r="H2310" i="2"/>
  <c r="N2306" i="2"/>
  <c r="H2306" i="2"/>
  <c r="N2302" i="2"/>
  <c r="H2302" i="2"/>
  <c r="N2298" i="2"/>
  <c r="H2298" i="2"/>
  <c r="N2294" i="2"/>
  <c r="H2294" i="2"/>
  <c r="N2290" i="2"/>
  <c r="H2290" i="2"/>
  <c r="N2286" i="2"/>
  <c r="H2286" i="2"/>
  <c r="N2282" i="2"/>
  <c r="H2282" i="2"/>
  <c r="N2278" i="2"/>
  <c r="H2278" i="2"/>
  <c r="N2274" i="2"/>
  <c r="H2274" i="2"/>
  <c r="N2270" i="2"/>
  <c r="H2270" i="2"/>
  <c r="N2266" i="2"/>
  <c r="H2266" i="2"/>
  <c r="N2262" i="2"/>
  <c r="H2262" i="2"/>
  <c r="N2258" i="2"/>
  <c r="H2258" i="2"/>
  <c r="N2254" i="2"/>
  <c r="H2254" i="2"/>
  <c r="N2250" i="2"/>
  <c r="H2250" i="2"/>
  <c r="N2246" i="2"/>
  <c r="H2246" i="2"/>
  <c r="N2242" i="2"/>
  <c r="H2242" i="2"/>
  <c r="N2238" i="2"/>
  <c r="H2238" i="2"/>
  <c r="N2234" i="2"/>
  <c r="H2234" i="2"/>
  <c r="N2230" i="2"/>
  <c r="H2230" i="2"/>
  <c r="N2226" i="2"/>
  <c r="H2226" i="2"/>
  <c r="N2222" i="2"/>
  <c r="H2222" i="2"/>
  <c r="N2218" i="2"/>
  <c r="H2218" i="2"/>
  <c r="N2214" i="2"/>
  <c r="H2214" i="2"/>
  <c r="N2210" i="2"/>
  <c r="H2210" i="2"/>
  <c r="N2206" i="2"/>
  <c r="H2206" i="2"/>
  <c r="N2202" i="2"/>
  <c r="H2202" i="2"/>
  <c r="N2198" i="2"/>
  <c r="H2198" i="2"/>
  <c r="N2194" i="2"/>
  <c r="H2194" i="2"/>
  <c r="N2190" i="2"/>
  <c r="H2190" i="2"/>
  <c r="N2186" i="2"/>
  <c r="H2186" i="2"/>
  <c r="N2182" i="2"/>
  <c r="H2182" i="2"/>
  <c r="N2178" i="2"/>
  <c r="H2178" i="2"/>
  <c r="N2174" i="2"/>
  <c r="H2174" i="2"/>
  <c r="N2170" i="2"/>
  <c r="H2170" i="2"/>
  <c r="N2166" i="2"/>
  <c r="H2166" i="2"/>
  <c r="N2162" i="2"/>
  <c r="H2162" i="2"/>
  <c r="N2158" i="2"/>
  <c r="H2158" i="2"/>
  <c r="N2154" i="2"/>
  <c r="H2154" i="2"/>
  <c r="N2150" i="2"/>
  <c r="H2150" i="2"/>
  <c r="N2146" i="2"/>
  <c r="H2146" i="2"/>
  <c r="N2142" i="2"/>
  <c r="H2142" i="2"/>
  <c r="N2138" i="2"/>
  <c r="H2138" i="2"/>
  <c r="N2134" i="2"/>
  <c r="H2134" i="2"/>
  <c r="N2130" i="2"/>
  <c r="H2130" i="2"/>
  <c r="N2126" i="2"/>
  <c r="H2126" i="2"/>
  <c r="N2122" i="2"/>
  <c r="H2122" i="2"/>
  <c r="N2118" i="2"/>
  <c r="H2118" i="2"/>
  <c r="N2114" i="2"/>
  <c r="H2114" i="2"/>
  <c r="N2110" i="2"/>
  <c r="H2110" i="2"/>
  <c r="N2106" i="2"/>
  <c r="H2106" i="2"/>
  <c r="N2102" i="2"/>
  <c r="H2102" i="2"/>
  <c r="N2098" i="2"/>
  <c r="H2098" i="2"/>
  <c r="N2094" i="2"/>
  <c r="H2094" i="2"/>
  <c r="N2090" i="2"/>
  <c r="H2090" i="2"/>
  <c r="N2086" i="2"/>
  <c r="H2086" i="2"/>
  <c r="N2082" i="2"/>
  <c r="H2082" i="2"/>
  <c r="N2078" i="2"/>
  <c r="H2078" i="2"/>
  <c r="N2074" i="2"/>
  <c r="H2074" i="2"/>
  <c r="N2070" i="2"/>
  <c r="H2070" i="2"/>
  <c r="N2066" i="2"/>
  <c r="H2066" i="2"/>
  <c r="N2062" i="2"/>
  <c r="H2062" i="2"/>
  <c r="N2058" i="2"/>
  <c r="H2058" i="2"/>
  <c r="N2054" i="2"/>
  <c r="H2054" i="2"/>
  <c r="N2050" i="2"/>
  <c r="H2050" i="2"/>
  <c r="N2046" i="2"/>
  <c r="H2046" i="2"/>
  <c r="N2042" i="2"/>
  <c r="H2042" i="2"/>
  <c r="N2038" i="2"/>
  <c r="H2038" i="2"/>
  <c r="N2034" i="2"/>
  <c r="H2034" i="2"/>
  <c r="N2030" i="2"/>
  <c r="H2030" i="2"/>
  <c r="N2026" i="2"/>
  <c r="H2026" i="2"/>
  <c r="N2022" i="2"/>
  <c r="H2022" i="2"/>
  <c r="N2018" i="2"/>
  <c r="H2018" i="2"/>
  <c r="N2014" i="2"/>
  <c r="H2014" i="2"/>
  <c r="N2010" i="2"/>
  <c r="H2010" i="2"/>
  <c r="N2006" i="2"/>
  <c r="H2006" i="2"/>
  <c r="N2002" i="2"/>
  <c r="H2002" i="2"/>
  <c r="N1998" i="2"/>
  <c r="H1998" i="2"/>
  <c r="N1994" i="2"/>
  <c r="H1994" i="2"/>
  <c r="N1990" i="2"/>
  <c r="H1990" i="2"/>
  <c r="N1986" i="2"/>
  <c r="H1986" i="2"/>
  <c r="N1982" i="2"/>
  <c r="H1982" i="2"/>
  <c r="N1978" i="2"/>
  <c r="H1978" i="2"/>
  <c r="N1974" i="2"/>
  <c r="H1974" i="2"/>
  <c r="N1970" i="2"/>
  <c r="H1970" i="2"/>
  <c r="N1966" i="2"/>
  <c r="H1966" i="2"/>
  <c r="N1962" i="2"/>
  <c r="H1962" i="2"/>
  <c r="N1958" i="2"/>
  <c r="H1958" i="2"/>
  <c r="N1954" i="2"/>
  <c r="H1954" i="2"/>
  <c r="N1950" i="2"/>
  <c r="H1950" i="2"/>
  <c r="N1946" i="2"/>
  <c r="H1946" i="2"/>
  <c r="N1942" i="2"/>
  <c r="H1942" i="2"/>
  <c r="N1938" i="2"/>
  <c r="H1938" i="2"/>
  <c r="N1934" i="2"/>
  <c r="H1934" i="2"/>
  <c r="N1930" i="2"/>
  <c r="H1930" i="2"/>
  <c r="N1926" i="2"/>
  <c r="H1926" i="2"/>
  <c r="N1922" i="2"/>
  <c r="H1922" i="2"/>
  <c r="N1918" i="2"/>
  <c r="H1918" i="2"/>
  <c r="N1914" i="2"/>
  <c r="H1914" i="2"/>
  <c r="N1910" i="2"/>
  <c r="H1910" i="2"/>
  <c r="N1906" i="2"/>
  <c r="H1906" i="2"/>
  <c r="N1902" i="2"/>
  <c r="H1902" i="2"/>
  <c r="N1898" i="2"/>
  <c r="H1898" i="2"/>
  <c r="N1894" i="2"/>
  <c r="H1894" i="2"/>
  <c r="N1890" i="2"/>
  <c r="H1890" i="2"/>
  <c r="N1886" i="2"/>
  <c r="H1886" i="2"/>
  <c r="N1882" i="2"/>
  <c r="H1882" i="2"/>
  <c r="N1878" i="2"/>
  <c r="H1878" i="2"/>
  <c r="N1874" i="2"/>
  <c r="H1874" i="2"/>
  <c r="N1870" i="2"/>
  <c r="H1870" i="2"/>
  <c r="N1866" i="2"/>
  <c r="H1866" i="2"/>
  <c r="N1862" i="2"/>
  <c r="H1862" i="2"/>
  <c r="N1858" i="2"/>
  <c r="H1858" i="2"/>
  <c r="N1854" i="2"/>
  <c r="H1854" i="2"/>
  <c r="N1850" i="2"/>
  <c r="H1850" i="2"/>
  <c r="N1846" i="2"/>
  <c r="H1846" i="2"/>
  <c r="N1842" i="2"/>
  <c r="H1842" i="2"/>
  <c r="N1838" i="2"/>
  <c r="H1838" i="2"/>
  <c r="N1834" i="2"/>
  <c r="H1834" i="2"/>
  <c r="N1830" i="2"/>
  <c r="H1830" i="2"/>
  <c r="N1826" i="2"/>
  <c r="H1826" i="2"/>
  <c r="N1822" i="2"/>
  <c r="H1822" i="2"/>
  <c r="N1818" i="2"/>
  <c r="H1818" i="2"/>
  <c r="N1814" i="2"/>
  <c r="H1814" i="2"/>
  <c r="N1810" i="2"/>
  <c r="H1810" i="2"/>
  <c r="N1806" i="2"/>
  <c r="H1806" i="2"/>
  <c r="N1802" i="2"/>
  <c r="H1802" i="2"/>
  <c r="N1798" i="2"/>
  <c r="H1798" i="2"/>
  <c r="N1794" i="2"/>
  <c r="H1794" i="2"/>
  <c r="N1790" i="2"/>
  <c r="H1790" i="2"/>
  <c r="N1786" i="2"/>
  <c r="H1786" i="2"/>
  <c r="N1782" i="2"/>
  <c r="H1782" i="2"/>
  <c r="N1778" i="2"/>
  <c r="H1778" i="2"/>
  <c r="N1774" i="2"/>
  <c r="H1774" i="2"/>
  <c r="N1770" i="2"/>
  <c r="H1770" i="2"/>
  <c r="N1766" i="2"/>
  <c r="H1766" i="2"/>
  <c r="N1762" i="2"/>
  <c r="H1762" i="2"/>
  <c r="N1758" i="2"/>
  <c r="H1758" i="2"/>
  <c r="N1754" i="2"/>
  <c r="H1754" i="2"/>
  <c r="N1750" i="2"/>
  <c r="H1750" i="2"/>
  <c r="N1746" i="2"/>
  <c r="H1746" i="2"/>
  <c r="N1742" i="2"/>
  <c r="H1742" i="2"/>
  <c r="N1738" i="2"/>
  <c r="H1738" i="2"/>
  <c r="N1734" i="2"/>
  <c r="H1734" i="2"/>
  <c r="N1730" i="2"/>
  <c r="H1730" i="2"/>
  <c r="N1726" i="2"/>
  <c r="H1726" i="2"/>
  <c r="N1722" i="2"/>
  <c r="H1722" i="2"/>
  <c r="N1718" i="2"/>
  <c r="H1718" i="2"/>
  <c r="N1714" i="2"/>
  <c r="H1714" i="2"/>
  <c r="N1710" i="2"/>
  <c r="H1710" i="2"/>
  <c r="N1706" i="2"/>
  <c r="H1706" i="2"/>
  <c r="N1702" i="2"/>
  <c r="H1702" i="2"/>
  <c r="N1698" i="2"/>
  <c r="H1698" i="2"/>
  <c r="N1694" i="2"/>
  <c r="H1694" i="2"/>
  <c r="N1690" i="2"/>
  <c r="H1690" i="2"/>
  <c r="N1686" i="2"/>
  <c r="H1686" i="2"/>
  <c r="N1682" i="2"/>
  <c r="H1682" i="2"/>
  <c r="N1678" i="2"/>
  <c r="H1678" i="2"/>
  <c r="N1674" i="2"/>
  <c r="H1674" i="2"/>
  <c r="N1670" i="2"/>
  <c r="H1670" i="2"/>
  <c r="N1666" i="2"/>
  <c r="H1666" i="2"/>
  <c r="N1662" i="2"/>
  <c r="H1662" i="2"/>
  <c r="N1658" i="2"/>
  <c r="H1658" i="2"/>
  <c r="N1654" i="2"/>
  <c r="H1654" i="2"/>
  <c r="N1650" i="2"/>
  <c r="H1650" i="2"/>
  <c r="N1646" i="2"/>
  <c r="H1646" i="2"/>
  <c r="N1642" i="2"/>
  <c r="H1642" i="2"/>
  <c r="N1638" i="2"/>
  <c r="H1638" i="2"/>
  <c r="N1634" i="2"/>
  <c r="H1634" i="2"/>
  <c r="N1630" i="2"/>
  <c r="H1630" i="2"/>
  <c r="N1626" i="2"/>
  <c r="H1626" i="2"/>
  <c r="N1622" i="2"/>
  <c r="H1622" i="2"/>
  <c r="N1618" i="2"/>
  <c r="H1618" i="2"/>
  <c r="N1614" i="2"/>
  <c r="H1614" i="2"/>
  <c r="N1610" i="2"/>
  <c r="H1610" i="2"/>
  <c r="N1606" i="2"/>
  <c r="H1606" i="2"/>
  <c r="N1602" i="2"/>
  <c r="H1602" i="2"/>
  <c r="N1598" i="2"/>
  <c r="H1598" i="2"/>
  <c r="N1594" i="2"/>
  <c r="H1594" i="2"/>
  <c r="N1590" i="2"/>
  <c r="H1590" i="2"/>
  <c r="N1586" i="2"/>
  <c r="H1586" i="2"/>
  <c r="N1582" i="2"/>
  <c r="H1582" i="2"/>
  <c r="N1578" i="2"/>
  <c r="H1578" i="2"/>
  <c r="N1574" i="2"/>
  <c r="H1574" i="2"/>
  <c r="N1570" i="2"/>
  <c r="H1570" i="2"/>
  <c r="N1566" i="2"/>
  <c r="H1566" i="2"/>
  <c r="N1562" i="2"/>
  <c r="H1562" i="2"/>
  <c r="N1558" i="2"/>
  <c r="H1558" i="2"/>
  <c r="N1554" i="2"/>
  <c r="H1554" i="2"/>
  <c r="N1550" i="2"/>
  <c r="H1550" i="2"/>
  <c r="N1546" i="2"/>
  <c r="H1546" i="2"/>
  <c r="N1542" i="2"/>
  <c r="H1542" i="2"/>
  <c r="N1538" i="2"/>
  <c r="H1538" i="2"/>
  <c r="N1534" i="2"/>
  <c r="H1534" i="2"/>
  <c r="N1530" i="2"/>
  <c r="H1530" i="2"/>
  <c r="N1526" i="2"/>
  <c r="H1526" i="2"/>
  <c r="N1522" i="2"/>
  <c r="H1522" i="2"/>
  <c r="N1518" i="2"/>
  <c r="H1518" i="2"/>
  <c r="N1514" i="2"/>
  <c r="H1514" i="2"/>
  <c r="N1510" i="2"/>
  <c r="H1510" i="2"/>
  <c r="N1506" i="2"/>
  <c r="H1506" i="2"/>
  <c r="N1502" i="2"/>
  <c r="H1502" i="2"/>
  <c r="N1498" i="2"/>
  <c r="H1498" i="2"/>
  <c r="N1494" i="2"/>
  <c r="H1494" i="2"/>
  <c r="N1490" i="2"/>
  <c r="H1490" i="2"/>
  <c r="N1486" i="2"/>
  <c r="H1486" i="2"/>
  <c r="N1482" i="2"/>
  <c r="H1482" i="2"/>
  <c r="N1478" i="2"/>
  <c r="H1478" i="2"/>
  <c r="N1474" i="2"/>
  <c r="H1474" i="2"/>
  <c r="N1470" i="2"/>
  <c r="H1470" i="2"/>
  <c r="N1466" i="2"/>
  <c r="H1466" i="2"/>
  <c r="N1462" i="2"/>
  <c r="H1462" i="2"/>
  <c r="N1458" i="2"/>
  <c r="H1458" i="2"/>
  <c r="N1454" i="2"/>
  <c r="H1454" i="2"/>
  <c r="N1450" i="2"/>
  <c r="H1450" i="2"/>
  <c r="N1446" i="2"/>
  <c r="H1446" i="2"/>
  <c r="N1442" i="2"/>
  <c r="H1442" i="2"/>
  <c r="N1438" i="2"/>
  <c r="H1438" i="2"/>
  <c r="N1434" i="2"/>
  <c r="H1434" i="2"/>
  <c r="N1430" i="2"/>
  <c r="H1430" i="2"/>
  <c r="N1426" i="2"/>
  <c r="H1426" i="2"/>
  <c r="N1422" i="2"/>
  <c r="H1422" i="2"/>
  <c r="N1418" i="2"/>
  <c r="H1418" i="2"/>
  <c r="N1414" i="2"/>
  <c r="H1414" i="2"/>
  <c r="N1410" i="2"/>
  <c r="H1410" i="2"/>
  <c r="N1406" i="2"/>
  <c r="H1406" i="2"/>
  <c r="N1402" i="2"/>
  <c r="H1402" i="2"/>
  <c r="N1398" i="2"/>
  <c r="H1398" i="2"/>
  <c r="N1394" i="2"/>
  <c r="H1394" i="2"/>
  <c r="N1390" i="2"/>
  <c r="H1390" i="2"/>
  <c r="N1386" i="2"/>
  <c r="H1386" i="2"/>
  <c r="N1382" i="2"/>
  <c r="H1382" i="2"/>
  <c r="N1378" i="2"/>
  <c r="H1378" i="2"/>
  <c r="N1374" i="2"/>
  <c r="H1374" i="2"/>
  <c r="N1370" i="2"/>
  <c r="H1370" i="2"/>
  <c r="N1366" i="2"/>
  <c r="H1366" i="2"/>
  <c r="N1362" i="2"/>
  <c r="H1362" i="2"/>
  <c r="N1358" i="2"/>
  <c r="H1358" i="2"/>
  <c r="N1354" i="2"/>
  <c r="H1354" i="2"/>
  <c r="N1350" i="2"/>
  <c r="H1350" i="2"/>
  <c r="N1346" i="2"/>
  <c r="H1346" i="2"/>
  <c r="N1342" i="2"/>
  <c r="H1342" i="2"/>
  <c r="N1338" i="2"/>
  <c r="H1338" i="2"/>
  <c r="N1334" i="2"/>
  <c r="H1334" i="2"/>
  <c r="N1330" i="2"/>
  <c r="H1330" i="2"/>
  <c r="N1326" i="2"/>
  <c r="H1326" i="2"/>
  <c r="N1322" i="2"/>
  <c r="H1322" i="2"/>
  <c r="N1318" i="2"/>
  <c r="H1318" i="2"/>
  <c r="N1314" i="2"/>
  <c r="H1314" i="2"/>
  <c r="N1310" i="2"/>
  <c r="H1310" i="2"/>
  <c r="N1306" i="2"/>
  <c r="H1306" i="2"/>
  <c r="N1302" i="2"/>
  <c r="H1302" i="2"/>
  <c r="N1298" i="2"/>
  <c r="H1298" i="2"/>
  <c r="N1294" i="2"/>
  <c r="H1294" i="2"/>
  <c r="N1290" i="2"/>
  <c r="H1290" i="2"/>
  <c r="N1286" i="2"/>
  <c r="H1286" i="2"/>
  <c r="N1282" i="2"/>
  <c r="H1282" i="2"/>
  <c r="N1278" i="2"/>
  <c r="H1278" i="2"/>
  <c r="N1274" i="2"/>
  <c r="H1274" i="2"/>
  <c r="N1270" i="2"/>
  <c r="H1270" i="2"/>
  <c r="N1266" i="2"/>
  <c r="H1266" i="2"/>
  <c r="N1262" i="2"/>
  <c r="H1262" i="2"/>
  <c r="N1258" i="2"/>
  <c r="H1258" i="2"/>
  <c r="N1254" i="2"/>
  <c r="H1254" i="2"/>
  <c r="N1250" i="2"/>
  <c r="H1250" i="2"/>
  <c r="N1246" i="2"/>
  <c r="H1246" i="2"/>
  <c r="N1242" i="2"/>
  <c r="H1242" i="2"/>
  <c r="N1238" i="2"/>
  <c r="H1238" i="2"/>
  <c r="N1234" i="2"/>
  <c r="H1234" i="2"/>
  <c r="N1230" i="2"/>
  <c r="H1230" i="2"/>
  <c r="N1226" i="2"/>
  <c r="H1226" i="2"/>
  <c r="N1222" i="2"/>
  <c r="H1222" i="2"/>
  <c r="N1218" i="2"/>
  <c r="H1218" i="2"/>
  <c r="N1214" i="2"/>
  <c r="H1214" i="2"/>
  <c r="N1210" i="2"/>
  <c r="H1210" i="2"/>
  <c r="N1206" i="2"/>
  <c r="H1206" i="2"/>
  <c r="N1202" i="2"/>
  <c r="H1202" i="2"/>
  <c r="N1198" i="2"/>
  <c r="H1198" i="2"/>
  <c r="N1194" i="2"/>
  <c r="H1194" i="2"/>
  <c r="N1190" i="2"/>
  <c r="H1190" i="2"/>
  <c r="N1186" i="2"/>
  <c r="H1186" i="2"/>
  <c r="N1182" i="2"/>
  <c r="H1182" i="2"/>
  <c r="N1178" i="2"/>
  <c r="H1178" i="2"/>
  <c r="N1174" i="2"/>
  <c r="H1174" i="2"/>
  <c r="N1170" i="2"/>
  <c r="H1170" i="2"/>
  <c r="N1166" i="2"/>
  <c r="H1166" i="2"/>
  <c r="N1162" i="2"/>
  <c r="H1162" i="2"/>
  <c r="N1158" i="2"/>
  <c r="H1158" i="2"/>
  <c r="N1154" i="2"/>
  <c r="H1154" i="2"/>
  <c r="N1150" i="2"/>
  <c r="H1150" i="2"/>
  <c r="N1146" i="2"/>
  <c r="H1146" i="2"/>
  <c r="N1142" i="2"/>
  <c r="H1142" i="2"/>
  <c r="N1138" i="2"/>
  <c r="H1138" i="2"/>
  <c r="N1134" i="2"/>
  <c r="H1134" i="2"/>
  <c r="N1130" i="2"/>
  <c r="H1130" i="2"/>
  <c r="N1126" i="2"/>
  <c r="H1126" i="2"/>
  <c r="N1122" i="2"/>
  <c r="H1122" i="2"/>
  <c r="N1118" i="2"/>
  <c r="H1118" i="2"/>
  <c r="N1114" i="2"/>
  <c r="H1114" i="2"/>
  <c r="N1110" i="2"/>
  <c r="H1110" i="2"/>
  <c r="N1106" i="2"/>
  <c r="H1106" i="2"/>
  <c r="N1102" i="2"/>
  <c r="H1102" i="2"/>
  <c r="N1098" i="2"/>
  <c r="H1098" i="2"/>
  <c r="N1094" i="2"/>
  <c r="H1094" i="2"/>
  <c r="N1090" i="2"/>
  <c r="H1090" i="2"/>
  <c r="N1086" i="2"/>
  <c r="H1086" i="2"/>
  <c r="N1082" i="2"/>
  <c r="H1082" i="2"/>
  <c r="N1078" i="2"/>
  <c r="H1078" i="2"/>
  <c r="N1074" i="2"/>
  <c r="H1074" i="2"/>
  <c r="N1070" i="2"/>
  <c r="H1070" i="2"/>
  <c r="N1066" i="2"/>
  <c r="H1066" i="2"/>
  <c r="N1062" i="2"/>
  <c r="H1062" i="2"/>
  <c r="N1058" i="2"/>
  <c r="H1058" i="2"/>
  <c r="N1054" i="2"/>
  <c r="H1054" i="2"/>
  <c r="N1050" i="2"/>
  <c r="H1050" i="2"/>
  <c r="N1046" i="2"/>
  <c r="H1046" i="2"/>
  <c r="N1042" i="2"/>
  <c r="H1042" i="2"/>
  <c r="N1038" i="2"/>
  <c r="H1038" i="2"/>
  <c r="N1034" i="2"/>
  <c r="H1034" i="2"/>
  <c r="N1030" i="2"/>
  <c r="H1030" i="2"/>
  <c r="N1026" i="2"/>
  <c r="H1026" i="2"/>
  <c r="N7290" i="2"/>
  <c r="H7290" i="2"/>
  <c r="N7286" i="2"/>
  <c r="H7286" i="2"/>
  <c r="N7282" i="2"/>
  <c r="H7282" i="2"/>
  <c r="N7278" i="2"/>
  <c r="H7278" i="2"/>
  <c r="N7274" i="2"/>
  <c r="H7274" i="2"/>
  <c r="N7270" i="2"/>
  <c r="H7270" i="2"/>
  <c r="N7266" i="2"/>
  <c r="H7266" i="2"/>
  <c r="N7262" i="2"/>
  <c r="H7262" i="2"/>
  <c r="N7258" i="2"/>
  <c r="H7258" i="2"/>
  <c r="N7254" i="2"/>
  <c r="H7254" i="2"/>
  <c r="N7250" i="2"/>
  <c r="H7250" i="2"/>
  <c r="N7246" i="2"/>
  <c r="H7246" i="2"/>
  <c r="N7242" i="2"/>
  <c r="H7242" i="2"/>
  <c r="N7238" i="2"/>
  <c r="H7238" i="2"/>
  <c r="N7234" i="2"/>
  <c r="H7234" i="2"/>
  <c r="N7230" i="2"/>
  <c r="H7230" i="2"/>
  <c r="N7226" i="2"/>
  <c r="H7226" i="2"/>
  <c r="N7222" i="2"/>
  <c r="H7222" i="2"/>
  <c r="N7218" i="2"/>
  <c r="H7218" i="2"/>
  <c r="N7214" i="2"/>
  <c r="H7214" i="2"/>
  <c r="N7210" i="2"/>
  <c r="H7210" i="2"/>
  <c r="N7206" i="2"/>
  <c r="H7206" i="2"/>
  <c r="N7202" i="2"/>
  <c r="H7202" i="2"/>
  <c r="N7198" i="2"/>
  <c r="H7198" i="2"/>
  <c r="N7194" i="2"/>
  <c r="H7194" i="2"/>
  <c r="N7190" i="2"/>
  <c r="H7190" i="2"/>
  <c r="N7186" i="2"/>
  <c r="H7186" i="2"/>
  <c r="N7182" i="2"/>
  <c r="H7182" i="2"/>
  <c r="N7178" i="2"/>
  <c r="H7178" i="2"/>
  <c r="N7174" i="2"/>
  <c r="H7174" i="2"/>
  <c r="N7170" i="2"/>
  <c r="H7170" i="2"/>
  <c r="N7166" i="2"/>
  <c r="H7166" i="2"/>
  <c r="N7162" i="2"/>
  <c r="H7162" i="2"/>
  <c r="N7158" i="2"/>
  <c r="H7158" i="2"/>
  <c r="N7154" i="2"/>
  <c r="H7154" i="2"/>
  <c r="N7150" i="2"/>
  <c r="H7150" i="2"/>
  <c r="N7146" i="2"/>
  <c r="H7146" i="2"/>
  <c r="N7142" i="2"/>
  <c r="H7142" i="2"/>
  <c r="N7138" i="2"/>
  <c r="H7138" i="2"/>
  <c r="N7134" i="2"/>
  <c r="H7134" i="2"/>
  <c r="N7130" i="2"/>
  <c r="H7130" i="2"/>
  <c r="N7126" i="2"/>
  <c r="H7126" i="2"/>
  <c r="N7118" i="2"/>
  <c r="H7118" i="2"/>
  <c r="N7110" i="2"/>
  <c r="H7110" i="2"/>
  <c r="N7102" i="2"/>
  <c r="H7102" i="2"/>
  <c r="N7094" i="2"/>
  <c r="H7094" i="2"/>
  <c r="N7082" i="2"/>
  <c r="H7082" i="2"/>
  <c r="N7074" i="2"/>
  <c r="H7074" i="2"/>
  <c r="N7066" i="2"/>
  <c r="H7066" i="2"/>
  <c r="N7062" i="2"/>
  <c r="H7062" i="2"/>
  <c r="N7054" i="2"/>
  <c r="H7054" i="2"/>
  <c r="N7042" i="2"/>
  <c r="H7042" i="2"/>
  <c r="N7034" i="2"/>
  <c r="H7034" i="2"/>
  <c r="N7030" i="2"/>
  <c r="H7030" i="2"/>
  <c r="N7022" i="2"/>
  <c r="H7022" i="2"/>
  <c r="N7014" i="2"/>
  <c r="H7014" i="2"/>
  <c r="N7006" i="2"/>
  <c r="H7006" i="2"/>
  <c r="N6994" i="2"/>
  <c r="H6994" i="2"/>
  <c r="N6986" i="2"/>
  <c r="H6986" i="2"/>
  <c r="N6982" i="2"/>
  <c r="H6982" i="2"/>
  <c r="N6974" i="2"/>
  <c r="H6974" i="2"/>
  <c r="N6966" i="2"/>
  <c r="H6966" i="2"/>
  <c r="N6958" i="2"/>
  <c r="H6958" i="2"/>
  <c r="N6950" i="2"/>
  <c r="H6950" i="2"/>
  <c r="N6942" i="2"/>
  <c r="H6942" i="2"/>
  <c r="N6934" i="2"/>
  <c r="H6934" i="2"/>
  <c r="N6922" i="2"/>
  <c r="H6922" i="2"/>
  <c r="N6918" i="2"/>
  <c r="H6918" i="2"/>
  <c r="N6906" i="2"/>
  <c r="H6906" i="2"/>
  <c r="N6898" i="2"/>
  <c r="H6898" i="2"/>
  <c r="N6890" i="2"/>
  <c r="H6890" i="2"/>
  <c r="N6882" i="2"/>
  <c r="H6882" i="2"/>
  <c r="N6874" i="2"/>
  <c r="H6874" i="2"/>
  <c r="N6862" i="2"/>
  <c r="H6862" i="2"/>
  <c r="N6854" i="2"/>
  <c r="H6854" i="2"/>
  <c r="N6842" i="2"/>
  <c r="H6842" i="2"/>
  <c r="N6834" i="2"/>
  <c r="H6834" i="2"/>
  <c r="N6830" i="2"/>
  <c r="H6830" i="2"/>
  <c r="N6818" i="2"/>
  <c r="H6818" i="2"/>
  <c r="N6810" i="2"/>
  <c r="H6810" i="2"/>
  <c r="N6802" i="2"/>
  <c r="H6802" i="2"/>
  <c r="N6798" i="2"/>
  <c r="H6798" i="2"/>
  <c r="N6786" i="2"/>
  <c r="H6786" i="2"/>
  <c r="N6782" i="2"/>
  <c r="H6782" i="2"/>
  <c r="N6774" i="2"/>
  <c r="H6774" i="2"/>
  <c r="N6766" i="2"/>
  <c r="H6766" i="2"/>
  <c r="N6754" i="2"/>
  <c r="H6754" i="2"/>
  <c r="N6746" i="2"/>
  <c r="H6746" i="2"/>
  <c r="N6742" i="2"/>
  <c r="H6742" i="2"/>
  <c r="N6730" i="2"/>
  <c r="H6730" i="2"/>
  <c r="N6722" i="2"/>
  <c r="H6722" i="2"/>
  <c r="N6714" i="2"/>
  <c r="H6714" i="2"/>
  <c r="N6710" i="2"/>
  <c r="H6710" i="2"/>
  <c r="N6702" i="2"/>
  <c r="H6702" i="2"/>
  <c r="N6690" i="2"/>
  <c r="H6690" i="2"/>
  <c r="N6682" i="2"/>
  <c r="H6682" i="2"/>
  <c r="N6674" i="2"/>
  <c r="H6674" i="2"/>
  <c r="N6666" i="2"/>
  <c r="H6666" i="2"/>
  <c r="N6658" i="2"/>
  <c r="H6658" i="2"/>
  <c r="N6650" i="2"/>
  <c r="H6650" i="2"/>
  <c r="N6638" i="2"/>
  <c r="H6638" i="2"/>
  <c r="N6630" i="2"/>
  <c r="H6630" i="2"/>
  <c r="N6618" i="2"/>
  <c r="H6618" i="2"/>
  <c r="N6606" i="2"/>
  <c r="H6606" i="2"/>
  <c r="N6594" i="2"/>
  <c r="H6594" i="2"/>
  <c r="N6578" i="2"/>
  <c r="H6578" i="2"/>
  <c r="N6570" i="2"/>
  <c r="H6570" i="2"/>
  <c r="N6554" i="2"/>
  <c r="H6554" i="2"/>
  <c r="N6542" i="2"/>
  <c r="H6542" i="2"/>
  <c r="N6534" i="2"/>
  <c r="H6534" i="2"/>
  <c r="N6522" i="2"/>
  <c r="H6522" i="2"/>
  <c r="N6514" i="2"/>
  <c r="H6514" i="2"/>
  <c r="N6494" i="2"/>
  <c r="H6494" i="2"/>
  <c r="N6486" i="2"/>
  <c r="H6486" i="2"/>
  <c r="N6474" i="2"/>
  <c r="H6474" i="2"/>
  <c r="N6466" i="2"/>
  <c r="H6466" i="2"/>
  <c r="N6450" i="2"/>
  <c r="H6450" i="2"/>
  <c r="N6434" i="2"/>
  <c r="H6434" i="2"/>
  <c r="N6426" i="2"/>
  <c r="H6426" i="2"/>
  <c r="N6410" i="2"/>
  <c r="H6410" i="2"/>
  <c r="N6398" i="2"/>
  <c r="H6398" i="2"/>
  <c r="N6386" i="2"/>
  <c r="H6386" i="2"/>
  <c r="N6374" i="2"/>
  <c r="H6374" i="2"/>
  <c r="N6362" i="2"/>
  <c r="H6362" i="2"/>
  <c r="N6350" i="2"/>
  <c r="H6350" i="2"/>
  <c r="N6338" i="2"/>
  <c r="H6338" i="2"/>
  <c r="N6326" i="2"/>
  <c r="H6326" i="2"/>
  <c r="N6314" i="2"/>
  <c r="H6314" i="2"/>
  <c r="N6302" i="2"/>
  <c r="H6302" i="2"/>
  <c r="N6290" i="2"/>
  <c r="H6290" i="2"/>
  <c r="N6278" i="2"/>
  <c r="H6278" i="2"/>
  <c r="N6266" i="2"/>
  <c r="H6266" i="2"/>
  <c r="N6254" i="2"/>
  <c r="H6254" i="2"/>
  <c r="N6242" i="2"/>
  <c r="H6242" i="2"/>
  <c r="N6230" i="2"/>
  <c r="H6230" i="2"/>
  <c r="N6222" i="2"/>
  <c r="H6222" i="2"/>
  <c r="N6210" i="2"/>
  <c r="H6210" i="2"/>
  <c r="N6194" i="2"/>
  <c r="H6194" i="2"/>
  <c r="N6186" i="2"/>
  <c r="H6186" i="2"/>
  <c r="N6174" i="2"/>
  <c r="H6174" i="2"/>
  <c r="N6162" i="2"/>
  <c r="H6162" i="2"/>
  <c r="N6146" i="2"/>
  <c r="H6146" i="2"/>
  <c r="N6138" i="2"/>
  <c r="H6138" i="2"/>
  <c r="N6126" i="2"/>
  <c r="H6126" i="2"/>
  <c r="N6118" i="2"/>
  <c r="H6118" i="2"/>
  <c r="N6106" i="2"/>
  <c r="H6106" i="2"/>
  <c r="N6090" i="2"/>
  <c r="H6090" i="2"/>
  <c r="N6078" i="2"/>
  <c r="H6078" i="2"/>
  <c r="N6070" i="2"/>
  <c r="H6070" i="2"/>
  <c r="N6058" i="2"/>
  <c r="H6058" i="2"/>
  <c r="N6046" i="2"/>
  <c r="H6046" i="2"/>
  <c r="N6038" i="2"/>
  <c r="H6038" i="2"/>
  <c r="N6022" i="2"/>
  <c r="H6022" i="2"/>
  <c r="N6014" i="2"/>
  <c r="H6014" i="2"/>
  <c r="N6002" i="2"/>
  <c r="H6002" i="2"/>
  <c r="N5990" i="2"/>
  <c r="H5990" i="2"/>
  <c r="N5978" i="2"/>
  <c r="H5978" i="2"/>
  <c r="N5970" i="2"/>
  <c r="H5970" i="2"/>
  <c r="N5954" i="2"/>
  <c r="H5954" i="2"/>
  <c r="N5942" i="2"/>
  <c r="H5942" i="2"/>
  <c r="N5930" i="2"/>
  <c r="H5930" i="2"/>
  <c r="N5918" i="2"/>
  <c r="H5918" i="2"/>
  <c r="N5910" i="2"/>
  <c r="H5910" i="2"/>
  <c r="N5898" i="2"/>
  <c r="H5898" i="2"/>
  <c r="N5886" i="2"/>
  <c r="H5886" i="2"/>
  <c r="N5874" i="2"/>
  <c r="H5874" i="2"/>
  <c r="N5862" i="2"/>
  <c r="H5862" i="2"/>
  <c r="N5854" i="2"/>
  <c r="H5854" i="2"/>
  <c r="N5846" i="2"/>
  <c r="H5846" i="2"/>
  <c r="N5830" i="2"/>
  <c r="H5830" i="2"/>
  <c r="N5818" i="2"/>
  <c r="H5818" i="2"/>
  <c r="N5806" i="2"/>
  <c r="H5806" i="2"/>
  <c r="N5798" i="2"/>
  <c r="H5798" i="2"/>
  <c r="N5782" i="2"/>
  <c r="H5782" i="2"/>
  <c r="N5770" i="2"/>
  <c r="H5770" i="2"/>
  <c r="N5758" i="2"/>
  <c r="H5758" i="2"/>
  <c r="N5746" i="2"/>
  <c r="H5746" i="2"/>
  <c r="N5730" i="2"/>
  <c r="H5730" i="2"/>
  <c r="N5722" i="2"/>
  <c r="H5722" i="2"/>
  <c r="N5710" i="2"/>
  <c r="H5710" i="2"/>
  <c r="N5702" i="2"/>
  <c r="H5702" i="2"/>
  <c r="N5690" i="2"/>
  <c r="H5690" i="2"/>
  <c r="N5674" i="2"/>
  <c r="H5674" i="2"/>
  <c r="N5662" i="2"/>
  <c r="H5662" i="2"/>
  <c r="N5654" i="2"/>
  <c r="H5654" i="2"/>
  <c r="N5642" i="2"/>
  <c r="H5642" i="2"/>
  <c r="N5630" i="2"/>
  <c r="H5630" i="2"/>
  <c r="N5618" i="2"/>
  <c r="H5618" i="2"/>
  <c r="N5602" i="2"/>
  <c r="H5602" i="2"/>
  <c r="N5594" i="2"/>
  <c r="H5594" i="2"/>
  <c r="N5582" i="2"/>
  <c r="H5582" i="2"/>
  <c r="N5574" i="2"/>
  <c r="H5574" i="2"/>
  <c r="N5562" i="2"/>
  <c r="H5562" i="2"/>
  <c r="N5550" i="2"/>
  <c r="H5550" i="2"/>
  <c r="N5538" i="2"/>
  <c r="H5538" i="2"/>
  <c r="N5522" i="2"/>
  <c r="H5522" i="2"/>
  <c r="N5514" i="2"/>
  <c r="H5514" i="2"/>
  <c r="N5502" i="2"/>
  <c r="H5502" i="2"/>
  <c r="N5490" i="2"/>
  <c r="H5490" i="2"/>
  <c r="N5478" i="2"/>
  <c r="H5478" i="2"/>
  <c r="N5466" i="2"/>
  <c r="H5466" i="2"/>
  <c r="N5454" i="2"/>
  <c r="H5454" i="2"/>
  <c r="N5442" i="2"/>
  <c r="H5442" i="2"/>
  <c r="N5430" i="2"/>
  <c r="H5430" i="2"/>
  <c r="N5422" i="2"/>
  <c r="H5422" i="2"/>
  <c r="N5410" i="2"/>
  <c r="H5410" i="2"/>
  <c r="N5394" i="2"/>
  <c r="H5394" i="2"/>
  <c r="N5382" i="2"/>
  <c r="H5382" i="2"/>
  <c r="N5370" i="2"/>
  <c r="H5370" i="2"/>
  <c r="N5358" i="2"/>
  <c r="H5358" i="2"/>
  <c r="N5346" i="2"/>
  <c r="H5346" i="2"/>
  <c r="N5334" i="2"/>
  <c r="H5334" i="2"/>
  <c r="N5322" i="2"/>
  <c r="H5322" i="2"/>
  <c r="N5310" i="2"/>
  <c r="H5310" i="2"/>
  <c r="N5298" i="2"/>
  <c r="H5298" i="2"/>
  <c r="N5282" i="2"/>
  <c r="H5282" i="2"/>
  <c r="N5266" i="2"/>
  <c r="H5266" i="2"/>
  <c r="N5254" i="2"/>
  <c r="H5254" i="2"/>
  <c r="N5242" i="2"/>
  <c r="H5242" i="2"/>
  <c r="N5230" i="2"/>
  <c r="H5230" i="2"/>
  <c r="N5218" i="2"/>
  <c r="H5218" i="2"/>
  <c r="N5206" i="2"/>
  <c r="H5206" i="2"/>
  <c r="N5194" i="2"/>
  <c r="H5194" i="2"/>
  <c r="N5182" i="2"/>
  <c r="H5182" i="2"/>
  <c r="N5170" i="2"/>
  <c r="H5170" i="2"/>
  <c r="N5158" i="2"/>
  <c r="H5158" i="2"/>
  <c r="N5146" i="2"/>
  <c r="H5146" i="2"/>
  <c r="N5134" i="2"/>
  <c r="H5134" i="2"/>
  <c r="N5122" i="2"/>
  <c r="H5122" i="2"/>
  <c r="N5110" i="2"/>
  <c r="H5110" i="2"/>
  <c r="N5098" i="2"/>
  <c r="H5098" i="2"/>
  <c r="N5086" i="2"/>
  <c r="H5086" i="2"/>
  <c r="N5078" i="2"/>
  <c r="H5078" i="2"/>
  <c r="N5066" i="2"/>
  <c r="H5066" i="2"/>
  <c r="N5054" i="2"/>
  <c r="H5054" i="2"/>
  <c r="N5042" i="2"/>
  <c r="H5042" i="2"/>
  <c r="N5030" i="2"/>
  <c r="H5030" i="2"/>
  <c r="N5018" i="2"/>
  <c r="H5018" i="2"/>
  <c r="N5006" i="2"/>
  <c r="H5006" i="2"/>
  <c r="N4994" i="2"/>
  <c r="H4994" i="2"/>
  <c r="N4986" i="2"/>
  <c r="H4986" i="2"/>
  <c r="N4974" i="2"/>
  <c r="H4974" i="2"/>
  <c r="N4962" i="2"/>
  <c r="H4962" i="2"/>
  <c r="N4946" i="2"/>
  <c r="H4946" i="2"/>
  <c r="N4930" i="2"/>
  <c r="H4930" i="2"/>
  <c r="N4922" i="2"/>
  <c r="H4922" i="2"/>
  <c r="N4910" i="2"/>
  <c r="H4910" i="2"/>
  <c r="N4898" i="2"/>
  <c r="H4898" i="2"/>
  <c r="N4886" i="2"/>
  <c r="H4886" i="2"/>
  <c r="N4874" i="2"/>
  <c r="H4874" i="2"/>
  <c r="N4862" i="2"/>
  <c r="H4862" i="2"/>
  <c r="N4850" i="2"/>
  <c r="H4850" i="2"/>
  <c r="N4834" i="2"/>
  <c r="H4834" i="2"/>
  <c r="N4822" i="2"/>
  <c r="H4822" i="2"/>
  <c r="N4810" i="2"/>
  <c r="H4810" i="2"/>
  <c r="N4798" i="2"/>
  <c r="H4798" i="2"/>
  <c r="N4790" i="2"/>
  <c r="H4790" i="2"/>
  <c r="N4778" i="2"/>
  <c r="H4778" i="2"/>
  <c r="N4766" i="2"/>
  <c r="H4766" i="2"/>
  <c r="N4754" i="2"/>
  <c r="H4754" i="2"/>
  <c r="N4750" i="2"/>
  <c r="H4750" i="2"/>
  <c r="N4738" i="2"/>
  <c r="H4738" i="2"/>
  <c r="N4726" i="2"/>
  <c r="H4726" i="2"/>
  <c r="N4714" i="2"/>
  <c r="H4714" i="2"/>
  <c r="N4702" i="2"/>
  <c r="H4702" i="2"/>
  <c r="N4698" i="2"/>
  <c r="H4698" i="2"/>
  <c r="N4686" i="2"/>
  <c r="H4686" i="2"/>
  <c r="N4670" i="2"/>
  <c r="H4670" i="2"/>
  <c r="N4658" i="2"/>
  <c r="H4658" i="2"/>
  <c r="N4646" i="2"/>
  <c r="H4646" i="2"/>
  <c r="N4638" i="2"/>
  <c r="H4638" i="2"/>
  <c r="N4622" i="2"/>
  <c r="H4622" i="2"/>
  <c r="N4610" i="2"/>
  <c r="H4610" i="2"/>
  <c r="N4598" i="2"/>
  <c r="H4598" i="2"/>
  <c r="N4586" i="2"/>
  <c r="H4586" i="2"/>
  <c r="N4574" i="2"/>
  <c r="H4574" i="2"/>
  <c r="N4558" i="2"/>
  <c r="H4558" i="2"/>
  <c r="N2" i="2"/>
  <c r="H2" i="2"/>
  <c r="N7289" i="2"/>
  <c r="H7289" i="2"/>
  <c r="N7285" i="2"/>
  <c r="H7285" i="2"/>
  <c r="N7281" i="2"/>
  <c r="H7281" i="2"/>
  <c r="N7277" i="2"/>
  <c r="H7277" i="2"/>
  <c r="N7273" i="2"/>
  <c r="H7273" i="2"/>
  <c r="N7269" i="2"/>
  <c r="H7269" i="2"/>
  <c r="N7265" i="2"/>
  <c r="H7265" i="2"/>
  <c r="N7261" i="2"/>
  <c r="H7261" i="2"/>
  <c r="N7257" i="2"/>
  <c r="H7257" i="2"/>
  <c r="N7253" i="2"/>
  <c r="H7253" i="2"/>
  <c r="N7249" i="2"/>
  <c r="H7249" i="2"/>
  <c r="N7245" i="2"/>
  <c r="H7245" i="2"/>
  <c r="N7241" i="2"/>
  <c r="H7241" i="2"/>
  <c r="N7237" i="2"/>
  <c r="H7237" i="2"/>
  <c r="N7233" i="2"/>
  <c r="H7233" i="2"/>
  <c r="N7229" i="2"/>
  <c r="H7229" i="2"/>
  <c r="N7225" i="2"/>
  <c r="H7225" i="2"/>
  <c r="N7221" i="2"/>
  <c r="H7221" i="2"/>
  <c r="N7217" i="2"/>
  <c r="H7217" i="2"/>
  <c r="N7213" i="2"/>
  <c r="H7213" i="2"/>
  <c r="N7209" i="2"/>
  <c r="H7209" i="2"/>
  <c r="N7205" i="2"/>
  <c r="H7205" i="2"/>
  <c r="N7201" i="2"/>
  <c r="H7201" i="2"/>
  <c r="N7197" i="2"/>
  <c r="H7197" i="2"/>
  <c r="N7193" i="2"/>
  <c r="H7193" i="2"/>
  <c r="N7189" i="2"/>
  <c r="H7189" i="2"/>
  <c r="N7185" i="2"/>
  <c r="H7185" i="2"/>
  <c r="N7181" i="2"/>
  <c r="H7181" i="2"/>
  <c r="N7177" i="2"/>
  <c r="H7177" i="2"/>
  <c r="N7173" i="2"/>
  <c r="H7173" i="2"/>
  <c r="N7169" i="2"/>
  <c r="H7169" i="2"/>
  <c r="N7165" i="2"/>
  <c r="H7165" i="2"/>
  <c r="N7161" i="2"/>
  <c r="H7161" i="2"/>
  <c r="N7157" i="2"/>
  <c r="H7157" i="2"/>
  <c r="N7153" i="2"/>
  <c r="H7153" i="2"/>
  <c r="N7149" i="2"/>
  <c r="H7149" i="2"/>
  <c r="N7145" i="2"/>
  <c r="H7145" i="2"/>
  <c r="N7141" i="2"/>
  <c r="H7141" i="2"/>
  <c r="N7137" i="2"/>
  <c r="H7137" i="2"/>
  <c r="N7133" i="2"/>
  <c r="H7133" i="2"/>
  <c r="N7129" i="2"/>
  <c r="H7129" i="2"/>
  <c r="N7125" i="2"/>
  <c r="H7125" i="2"/>
  <c r="N7121" i="2"/>
  <c r="H7121" i="2"/>
  <c r="N7117" i="2"/>
  <c r="H7117" i="2"/>
  <c r="N7113" i="2"/>
  <c r="H7113" i="2"/>
  <c r="N7109" i="2"/>
  <c r="H7109" i="2"/>
  <c r="N7105" i="2"/>
  <c r="H7105" i="2"/>
  <c r="N7101" i="2"/>
  <c r="H7101" i="2"/>
  <c r="N7097" i="2"/>
  <c r="H7097" i="2"/>
  <c r="N7093" i="2"/>
  <c r="H7093" i="2"/>
  <c r="N7089" i="2"/>
  <c r="H7089" i="2"/>
  <c r="N7085" i="2"/>
  <c r="H7085" i="2"/>
  <c r="N7081" i="2"/>
  <c r="H7081" i="2"/>
  <c r="N7077" i="2"/>
  <c r="H7077" i="2"/>
  <c r="N7073" i="2"/>
  <c r="H7073" i="2"/>
  <c r="N7069" i="2"/>
  <c r="H7069" i="2"/>
  <c r="N7065" i="2"/>
  <c r="H7065" i="2"/>
  <c r="N7061" i="2"/>
  <c r="H7061" i="2"/>
  <c r="N7057" i="2"/>
  <c r="H7057" i="2"/>
  <c r="N7053" i="2"/>
  <c r="H7053" i="2"/>
  <c r="N7049" i="2"/>
  <c r="H7049" i="2"/>
  <c r="N7045" i="2"/>
  <c r="H7045" i="2"/>
  <c r="N7041" i="2"/>
  <c r="H7041" i="2"/>
  <c r="N7037" i="2"/>
  <c r="H7037" i="2"/>
  <c r="N7033" i="2"/>
  <c r="H7033" i="2"/>
  <c r="N7029" i="2"/>
  <c r="H7029" i="2"/>
  <c r="N7025" i="2"/>
  <c r="H7025" i="2"/>
  <c r="N7021" i="2"/>
  <c r="H7021" i="2"/>
  <c r="N7017" i="2"/>
  <c r="H7017" i="2"/>
  <c r="N7013" i="2"/>
  <c r="H7013" i="2"/>
  <c r="N7009" i="2"/>
  <c r="H7009" i="2"/>
  <c r="N7005" i="2"/>
  <c r="H7005" i="2"/>
  <c r="N7001" i="2"/>
  <c r="H7001" i="2"/>
  <c r="N6997" i="2"/>
  <c r="H6997" i="2"/>
  <c r="N6993" i="2"/>
  <c r="H6993" i="2"/>
  <c r="N6989" i="2"/>
  <c r="H6989" i="2"/>
  <c r="N6985" i="2"/>
  <c r="H6985" i="2"/>
  <c r="N6981" i="2"/>
  <c r="H6981" i="2"/>
  <c r="N6977" i="2"/>
  <c r="H6977" i="2"/>
  <c r="N6973" i="2"/>
  <c r="H6973" i="2"/>
  <c r="N6969" i="2"/>
  <c r="H6969" i="2"/>
  <c r="N6965" i="2"/>
  <c r="H6965" i="2"/>
  <c r="N6961" i="2"/>
  <c r="H6961" i="2"/>
  <c r="N6957" i="2"/>
  <c r="H6957" i="2"/>
  <c r="N6953" i="2"/>
  <c r="H6953" i="2"/>
  <c r="N6949" i="2"/>
  <c r="H6949" i="2"/>
  <c r="N6945" i="2"/>
  <c r="H6945" i="2"/>
  <c r="N6941" i="2"/>
  <c r="H6941" i="2"/>
  <c r="N6937" i="2"/>
  <c r="H6937" i="2"/>
  <c r="N6933" i="2"/>
  <c r="H6933" i="2"/>
  <c r="N6929" i="2"/>
  <c r="H6929" i="2"/>
  <c r="N6925" i="2"/>
  <c r="H6925" i="2"/>
  <c r="N6921" i="2"/>
  <c r="H6921" i="2"/>
  <c r="N6917" i="2"/>
  <c r="H6917" i="2"/>
  <c r="N6913" i="2"/>
  <c r="H6913" i="2"/>
  <c r="N6909" i="2"/>
  <c r="H6909" i="2"/>
  <c r="N6905" i="2"/>
  <c r="H6905" i="2"/>
  <c r="N6901" i="2"/>
  <c r="H6901" i="2"/>
  <c r="N6897" i="2"/>
  <c r="H6897" i="2"/>
  <c r="N6893" i="2"/>
  <c r="H6893" i="2"/>
  <c r="N6889" i="2"/>
  <c r="H6889" i="2"/>
  <c r="N6885" i="2"/>
  <c r="H6885" i="2"/>
  <c r="N6881" i="2"/>
  <c r="H6881" i="2"/>
  <c r="N6877" i="2"/>
  <c r="H6877" i="2"/>
  <c r="N6873" i="2"/>
  <c r="H6873" i="2"/>
  <c r="N6869" i="2"/>
  <c r="H6869" i="2"/>
  <c r="N6865" i="2"/>
  <c r="H6865" i="2"/>
  <c r="N6861" i="2"/>
  <c r="H6861" i="2"/>
  <c r="N6857" i="2"/>
  <c r="H6857" i="2"/>
  <c r="N6853" i="2"/>
  <c r="H6853" i="2"/>
  <c r="N6849" i="2"/>
  <c r="H6849" i="2"/>
  <c r="N6845" i="2"/>
  <c r="H6845" i="2"/>
  <c r="N6841" i="2"/>
  <c r="H6841" i="2"/>
  <c r="N6837" i="2"/>
  <c r="H6837" i="2"/>
  <c r="N6833" i="2"/>
  <c r="H6833" i="2"/>
  <c r="N6829" i="2"/>
  <c r="H6829" i="2"/>
  <c r="N6825" i="2"/>
  <c r="H6825" i="2"/>
  <c r="N6821" i="2"/>
  <c r="H6821" i="2"/>
  <c r="N6817" i="2"/>
  <c r="H6817" i="2"/>
  <c r="N6813" i="2"/>
  <c r="H6813" i="2"/>
  <c r="N6809" i="2"/>
  <c r="H6809" i="2"/>
  <c r="N6805" i="2"/>
  <c r="H6805" i="2"/>
  <c r="N6801" i="2"/>
  <c r="H6801" i="2"/>
  <c r="N6797" i="2"/>
  <c r="H6797" i="2"/>
  <c r="N6793" i="2"/>
  <c r="H6793" i="2"/>
  <c r="N6789" i="2"/>
  <c r="H6789" i="2"/>
  <c r="N6785" i="2"/>
  <c r="H6785" i="2"/>
  <c r="N6781" i="2"/>
  <c r="H6781" i="2"/>
  <c r="N6777" i="2"/>
  <c r="H6777" i="2"/>
  <c r="N6773" i="2"/>
  <c r="H6773" i="2"/>
  <c r="N6769" i="2"/>
  <c r="H6769" i="2"/>
  <c r="N6765" i="2"/>
  <c r="H6765" i="2"/>
  <c r="N6761" i="2"/>
  <c r="H6761" i="2"/>
  <c r="N6757" i="2"/>
  <c r="H6757" i="2"/>
  <c r="N6753" i="2"/>
  <c r="H6753" i="2"/>
  <c r="N6749" i="2"/>
  <c r="H6749" i="2"/>
  <c r="N6745" i="2"/>
  <c r="H6745" i="2"/>
  <c r="N6741" i="2"/>
  <c r="H6741" i="2"/>
  <c r="N6737" i="2"/>
  <c r="H6737" i="2"/>
  <c r="N6733" i="2"/>
  <c r="H6733" i="2"/>
  <c r="N6729" i="2"/>
  <c r="H6729" i="2"/>
  <c r="N6725" i="2"/>
  <c r="H6725" i="2"/>
  <c r="N6721" i="2"/>
  <c r="H6721" i="2"/>
  <c r="N6717" i="2"/>
  <c r="H6717" i="2"/>
  <c r="N6713" i="2"/>
  <c r="H6713" i="2"/>
  <c r="N6709" i="2"/>
  <c r="H6709" i="2"/>
  <c r="N6705" i="2"/>
  <c r="H6705" i="2"/>
  <c r="N6701" i="2"/>
  <c r="H6701" i="2"/>
  <c r="N6697" i="2"/>
  <c r="H6697" i="2"/>
  <c r="N6693" i="2"/>
  <c r="H6693" i="2"/>
  <c r="N6689" i="2"/>
  <c r="H6689" i="2"/>
  <c r="N6685" i="2"/>
  <c r="H6685" i="2"/>
  <c r="N6681" i="2"/>
  <c r="H6681" i="2"/>
  <c r="N6677" i="2"/>
  <c r="H6677" i="2"/>
  <c r="N6673" i="2"/>
  <c r="H6673" i="2"/>
  <c r="N6669" i="2"/>
  <c r="H6669" i="2"/>
  <c r="N6665" i="2"/>
  <c r="H6665" i="2"/>
  <c r="N6661" i="2"/>
  <c r="H6661" i="2"/>
  <c r="N6657" i="2"/>
  <c r="H6657" i="2"/>
  <c r="N6653" i="2"/>
  <c r="H6653" i="2"/>
  <c r="N6649" i="2"/>
  <c r="H6649" i="2"/>
  <c r="N6645" i="2"/>
  <c r="H6645" i="2"/>
  <c r="N6641" i="2"/>
  <c r="H6641" i="2"/>
  <c r="N6637" i="2"/>
  <c r="H6637" i="2"/>
  <c r="N6633" i="2"/>
  <c r="H6633" i="2"/>
  <c r="N6629" i="2"/>
  <c r="H6629" i="2"/>
  <c r="N6625" i="2"/>
  <c r="H6625" i="2"/>
  <c r="N6621" i="2"/>
  <c r="H6621" i="2"/>
  <c r="N6617" i="2"/>
  <c r="H6617" i="2"/>
  <c r="N6613" i="2"/>
  <c r="H6613" i="2"/>
  <c r="N6609" i="2"/>
  <c r="H6609" i="2"/>
  <c r="N6605" i="2"/>
  <c r="H6605" i="2"/>
  <c r="N6601" i="2"/>
  <c r="H6601" i="2"/>
  <c r="N6597" i="2"/>
  <c r="H6597" i="2"/>
  <c r="N6593" i="2"/>
  <c r="H6593" i="2"/>
  <c r="N6589" i="2"/>
  <c r="H6589" i="2"/>
  <c r="N6585" i="2"/>
  <c r="H6585" i="2"/>
  <c r="N6581" i="2"/>
  <c r="H6581" i="2"/>
  <c r="N6577" i="2"/>
  <c r="H6577" i="2"/>
  <c r="N6573" i="2"/>
  <c r="H6573" i="2"/>
  <c r="N6569" i="2"/>
  <c r="H6569" i="2"/>
  <c r="N6565" i="2"/>
  <c r="H6565" i="2"/>
  <c r="N6561" i="2"/>
  <c r="H6561" i="2"/>
  <c r="N6557" i="2"/>
  <c r="H6557" i="2"/>
  <c r="N6553" i="2"/>
  <c r="H6553" i="2"/>
  <c r="N6549" i="2"/>
  <c r="H6549" i="2"/>
  <c r="N6545" i="2"/>
  <c r="H6545" i="2"/>
  <c r="N6541" i="2"/>
  <c r="H6541" i="2"/>
  <c r="N6537" i="2"/>
  <c r="H6537" i="2"/>
  <c r="N6533" i="2"/>
  <c r="H6533" i="2"/>
  <c r="N6529" i="2"/>
  <c r="H6529" i="2"/>
  <c r="N6525" i="2"/>
  <c r="H6525" i="2"/>
  <c r="N6521" i="2"/>
  <c r="H6521" i="2"/>
  <c r="N6517" i="2"/>
  <c r="H6517" i="2"/>
  <c r="N6513" i="2"/>
  <c r="H6513" i="2"/>
  <c r="N6509" i="2"/>
  <c r="H6509" i="2"/>
  <c r="N6505" i="2"/>
  <c r="H6505" i="2"/>
  <c r="N6501" i="2"/>
  <c r="H6501" i="2"/>
  <c r="N6497" i="2"/>
  <c r="H6497" i="2"/>
  <c r="N6493" i="2"/>
  <c r="H6493" i="2"/>
  <c r="N6489" i="2"/>
  <c r="H6489" i="2"/>
  <c r="N6485" i="2"/>
  <c r="H6485" i="2"/>
  <c r="N6481" i="2"/>
  <c r="H6481" i="2"/>
  <c r="N6477" i="2"/>
  <c r="H6477" i="2"/>
  <c r="N6473" i="2"/>
  <c r="H6473" i="2"/>
  <c r="N6469" i="2"/>
  <c r="H6469" i="2"/>
  <c r="N6465" i="2"/>
  <c r="H6465" i="2"/>
  <c r="N6461" i="2"/>
  <c r="H6461" i="2"/>
  <c r="N6457" i="2"/>
  <c r="H6457" i="2"/>
  <c r="N6453" i="2"/>
  <c r="H6453" i="2"/>
  <c r="N6449" i="2"/>
  <c r="H6449" i="2"/>
  <c r="N6445" i="2"/>
  <c r="H6445" i="2"/>
  <c r="N6441" i="2"/>
  <c r="H6441" i="2"/>
  <c r="N6437" i="2"/>
  <c r="H6437" i="2"/>
  <c r="N6433" i="2"/>
  <c r="H6433" i="2"/>
  <c r="N6429" i="2"/>
  <c r="H6429" i="2"/>
  <c r="N6425" i="2"/>
  <c r="H6425" i="2"/>
  <c r="N6421" i="2"/>
  <c r="H6421" i="2"/>
  <c r="N6417" i="2"/>
  <c r="H6417" i="2"/>
  <c r="N6413" i="2"/>
  <c r="H6413" i="2"/>
  <c r="N6409" i="2"/>
  <c r="H6409" i="2"/>
  <c r="N6405" i="2"/>
  <c r="H6405" i="2"/>
  <c r="N6401" i="2"/>
  <c r="H6401" i="2"/>
  <c r="N6397" i="2"/>
  <c r="H6397" i="2"/>
  <c r="N6393" i="2"/>
  <c r="H6393" i="2"/>
  <c r="N6389" i="2"/>
  <c r="H6389" i="2"/>
  <c r="N6385" i="2"/>
  <c r="H6385" i="2"/>
  <c r="N6381" i="2"/>
  <c r="H6381" i="2"/>
  <c r="N6377" i="2"/>
  <c r="H6377" i="2"/>
  <c r="N6373" i="2"/>
  <c r="H6373" i="2"/>
  <c r="N6369" i="2"/>
  <c r="H6369" i="2"/>
  <c r="N6365" i="2"/>
  <c r="H6365" i="2"/>
  <c r="N6361" i="2"/>
  <c r="H6361" i="2"/>
  <c r="N6357" i="2"/>
  <c r="H6357" i="2"/>
  <c r="N6353" i="2"/>
  <c r="H6353" i="2"/>
  <c r="N6349" i="2"/>
  <c r="H6349" i="2"/>
  <c r="N6345" i="2"/>
  <c r="H6345" i="2"/>
  <c r="N6341" i="2"/>
  <c r="H6341" i="2"/>
  <c r="N6337" i="2"/>
  <c r="H6337" i="2"/>
  <c r="N6333" i="2"/>
  <c r="H6333" i="2"/>
  <c r="N6329" i="2"/>
  <c r="H6329" i="2"/>
  <c r="N6325" i="2"/>
  <c r="H6325" i="2"/>
  <c r="N6321" i="2"/>
  <c r="H6321" i="2"/>
  <c r="N6317" i="2"/>
  <c r="H6317" i="2"/>
  <c r="N6313" i="2"/>
  <c r="H6313" i="2"/>
  <c r="N6309" i="2"/>
  <c r="H6309" i="2"/>
  <c r="N6305" i="2"/>
  <c r="H6305" i="2"/>
  <c r="N6301" i="2"/>
  <c r="H6301" i="2"/>
  <c r="N6297" i="2"/>
  <c r="H6297" i="2"/>
  <c r="N6293" i="2"/>
  <c r="H6293" i="2"/>
  <c r="N6289" i="2"/>
  <c r="H6289" i="2"/>
  <c r="N6285" i="2"/>
  <c r="H6285" i="2"/>
  <c r="N6281" i="2"/>
  <c r="H6281" i="2"/>
  <c r="N6277" i="2"/>
  <c r="H6277" i="2"/>
  <c r="N6273" i="2"/>
  <c r="H6273" i="2"/>
  <c r="N6269" i="2"/>
  <c r="H6269" i="2"/>
  <c r="N6265" i="2"/>
  <c r="H6265" i="2"/>
  <c r="N6261" i="2"/>
  <c r="H6261" i="2"/>
  <c r="N6257" i="2"/>
  <c r="H6257" i="2"/>
  <c r="N6253" i="2"/>
  <c r="H6253" i="2"/>
  <c r="N6249" i="2"/>
  <c r="H6249" i="2"/>
  <c r="N6245" i="2"/>
  <c r="H6245" i="2"/>
  <c r="N6241" i="2"/>
  <c r="H6241" i="2"/>
  <c r="N6237" i="2"/>
  <c r="H6237" i="2"/>
  <c r="N6233" i="2"/>
  <c r="H6233" i="2"/>
  <c r="N6229" i="2"/>
  <c r="H6229" i="2"/>
  <c r="N6225" i="2"/>
  <c r="H6225" i="2"/>
  <c r="N6221" i="2"/>
  <c r="H6221" i="2"/>
  <c r="N6217" i="2"/>
  <c r="H6217" i="2"/>
  <c r="N6213" i="2"/>
  <c r="H6213" i="2"/>
  <c r="N6209" i="2"/>
  <c r="H6209" i="2"/>
  <c r="N6205" i="2"/>
  <c r="H6205" i="2"/>
  <c r="N6201" i="2"/>
  <c r="H6201" i="2"/>
  <c r="N6197" i="2"/>
  <c r="H6197" i="2"/>
  <c r="N6193" i="2"/>
  <c r="H6193" i="2"/>
  <c r="N6189" i="2"/>
  <c r="H6189" i="2"/>
  <c r="N6185" i="2"/>
  <c r="H6185" i="2"/>
  <c r="N6181" i="2"/>
  <c r="H6181" i="2"/>
  <c r="N6177" i="2"/>
  <c r="H6177" i="2"/>
  <c r="N6173" i="2"/>
  <c r="H6173" i="2"/>
  <c r="N6169" i="2"/>
  <c r="H6169" i="2"/>
  <c r="N6165" i="2"/>
  <c r="H6165" i="2"/>
  <c r="N6161" i="2"/>
  <c r="H6161" i="2"/>
  <c r="N6157" i="2"/>
  <c r="H6157" i="2"/>
  <c r="N6153" i="2"/>
  <c r="H6153" i="2"/>
  <c r="N6149" i="2"/>
  <c r="H6149" i="2"/>
  <c r="N6145" i="2"/>
  <c r="H6145" i="2"/>
  <c r="N6141" i="2"/>
  <c r="H6141" i="2"/>
  <c r="N6137" i="2"/>
  <c r="H6137" i="2"/>
  <c r="N6133" i="2"/>
  <c r="H6133" i="2"/>
  <c r="N6129" i="2"/>
  <c r="H6129" i="2"/>
  <c r="N6125" i="2"/>
  <c r="H6125" i="2"/>
  <c r="N6121" i="2"/>
  <c r="H6121" i="2"/>
  <c r="N6117" i="2"/>
  <c r="H6117" i="2"/>
  <c r="N6113" i="2"/>
  <c r="H6113" i="2"/>
  <c r="N6109" i="2"/>
  <c r="H6109" i="2"/>
  <c r="N6105" i="2"/>
  <c r="H6105" i="2"/>
  <c r="N6101" i="2"/>
  <c r="H6101" i="2"/>
  <c r="N6097" i="2"/>
  <c r="H6097" i="2"/>
  <c r="N6093" i="2"/>
  <c r="H6093" i="2"/>
  <c r="N6089" i="2"/>
  <c r="H6089" i="2"/>
  <c r="N6085" i="2"/>
  <c r="H6085" i="2"/>
  <c r="N6081" i="2"/>
  <c r="H6081" i="2"/>
  <c r="N6077" i="2"/>
  <c r="H6077" i="2"/>
  <c r="N6073" i="2"/>
  <c r="H6073" i="2"/>
  <c r="N6069" i="2"/>
  <c r="H6069" i="2"/>
  <c r="N6065" i="2"/>
  <c r="H6065" i="2"/>
  <c r="N6061" i="2"/>
  <c r="H6061" i="2"/>
  <c r="N6057" i="2"/>
  <c r="H6057" i="2"/>
  <c r="N6053" i="2"/>
  <c r="H6053" i="2"/>
  <c r="N6049" i="2"/>
  <c r="H6049" i="2"/>
  <c r="N6045" i="2"/>
  <c r="H6045" i="2"/>
  <c r="N6041" i="2"/>
  <c r="H6041" i="2"/>
  <c r="N6037" i="2"/>
  <c r="H6037" i="2"/>
  <c r="N6033" i="2"/>
  <c r="H6033" i="2"/>
  <c r="N6029" i="2"/>
  <c r="H6029" i="2"/>
  <c r="N6025" i="2"/>
  <c r="H6025" i="2"/>
  <c r="N6021" i="2"/>
  <c r="H6021" i="2"/>
  <c r="N6017" i="2"/>
  <c r="H6017" i="2"/>
  <c r="N6013" i="2"/>
  <c r="H6013" i="2"/>
  <c r="N6009" i="2"/>
  <c r="H6009" i="2"/>
  <c r="N6005" i="2"/>
  <c r="H6005" i="2"/>
  <c r="N6001" i="2"/>
  <c r="H6001" i="2"/>
  <c r="N5997" i="2"/>
  <c r="H5997" i="2"/>
  <c r="N5993" i="2"/>
  <c r="H5993" i="2"/>
  <c r="N5989" i="2"/>
  <c r="H5989" i="2"/>
  <c r="N5985" i="2"/>
  <c r="H5985" i="2"/>
  <c r="N5981" i="2"/>
  <c r="H5981" i="2"/>
  <c r="N5977" i="2"/>
  <c r="H5977" i="2"/>
  <c r="N5973" i="2"/>
  <c r="H5973" i="2"/>
  <c r="N5969" i="2"/>
  <c r="H5969" i="2"/>
  <c r="N5965" i="2"/>
  <c r="H5965" i="2"/>
  <c r="N5961" i="2"/>
  <c r="H5961" i="2"/>
  <c r="N5957" i="2"/>
  <c r="H5957" i="2"/>
  <c r="N5953" i="2"/>
  <c r="H5953" i="2"/>
  <c r="N5949" i="2"/>
  <c r="H5949" i="2"/>
  <c r="N5945" i="2"/>
  <c r="H5945" i="2"/>
  <c r="N5941" i="2"/>
  <c r="H5941" i="2"/>
  <c r="N5937" i="2"/>
  <c r="H5937" i="2"/>
  <c r="N5933" i="2"/>
  <c r="H5933" i="2"/>
  <c r="N5929" i="2"/>
  <c r="H5929" i="2"/>
  <c r="N5925" i="2"/>
  <c r="H5925" i="2"/>
  <c r="N5921" i="2"/>
  <c r="H5921" i="2"/>
  <c r="N5917" i="2"/>
  <c r="H5917" i="2"/>
  <c r="N5913" i="2"/>
  <c r="H5913" i="2"/>
  <c r="N5909" i="2"/>
  <c r="H5909" i="2"/>
  <c r="N5905" i="2"/>
  <c r="H5905" i="2"/>
  <c r="N5901" i="2"/>
  <c r="H5901" i="2"/>
  <c r="N5897" i="2"/>
  <c r="H5897" i="2"/>
  <c r="N5893" i="2"/>
  <c r="H5893" i="2"/>
  <c r="N5889" i="2"/>
  <c r="H5889" i="2"/>
  <c r="N5885" i="2"/>
  <c r="H5885" i="2"/>
  <c r="N5881" i="2"/>
  <c r="H5881" i="2"/>
  <c r="N5877" i="2"/>
  <c r="H5877" i="2"/>
  <c r="N5873" i="2"/>
  <c r="H5873" i="2"/>
  <c r="N5869" i="2"/>
  <c r="H5869" i="2"/>
  <c r="N5865" i="2"/>
  <c r="H5865" i="2"/>
  <c r="N5861" i="2"/>
  <c r="H5861" i="2"/>
  <c r="N5857" i="2"/>
  <c r="H5857" i="2"/>
  <c r="N5853" i="2"/>
  <c r="H5853" i="2"/>
  <c r="N5849" i="2"/>
  <c r="H5849" i="2"/>
  <c r="N5845" i="2"/>
  <c r="H5845" i="2"/>
  <c r="N5841" i="2"/>
  <c r="H5841" i="2"/>
  <c r="N5837" i="2"/>
  <c r="H5837" i="2"/>
  <c r="N5833" i="2"/>
  <c r="H5833" i="2"/>
  <c r="N5829" i="2"/>
  <c r="H5829" i="2"/>
  <c r="N5825" i="2"/>
  <c r="H5825" i="2"/>
  <c r="N5821" i="2"/>
  <c r="H5821" i="2"/>
  <c r="N5817" i="2"/>
  <c r="H5817" i="2"/>
  <c r="N5813" i="2"/>
  <c r="H5813" i="2"/>
  <c r="N5809" i="2"/>
  <c r="H5809" i="2"/>
  <c r="N5805" i="2"/>
  <c r="H5805" i="2"/>
  <c r="N5801" i="2"/>
  <c r="H5801" i="2"/>
  <c r="N5797" i="2"/>
  <c r="H5797" i="2"/>
  <c r="N5793" i="2"/>
  <c r="H5793" i="2"/>
  <c r="N5789" i="2"/>
  <c r="H5789" i="2"/>
  <c r="N5785" i="2"/>
  <c r="H5785" i="2"/>
  <c r="N5781" i="2"/>
  <c r="H5781" i="2"/>
  <c r="N5777" i="2"/>
  <c r="H5777" i="2"/>
  <c r="N5773" i="2"/>
  <c r="H5773" i="2"/>
  <c r="N5769" i="2"/>
  <c r="H5769" i="2"/>
  <c r="N5765" i="2"/>
  <c r="H5765" i="2"/>
  <c r="N5761" i="2"/>
  <c r="H5761" i="2"/>
  <c r="N5757" i="2"/>
  <c r="H5757" i="2"/>
  <c r="N5753" i="2"/>
  <c r="H5753" i="2"/>
  <c r="N5749" i="2"/>
  <c r="H5749" i="2"/>
  <c r="N5745" i="2"/>
  <c r="H5745" i="2"/>
  <c r="N5741" i="2"/>
  <c r="H5741" i="2"/>
  <c r="N5737" i="2"/>
  <c r="H5737" i="2"/>
  <c r="N5733" i="2"/>
  <c r="H5733" i="2"/>
  <c r="N5729" i="2"/>
  <c r="H5729" i="2"/>
  <c r="N5725" i="2"/>
  <c r="H5725" i="2"/>
  <c r="N5721" i="2"/>
  <c r="H5721" i="2"/>
  <c r="N5717" i="2"/>
  <c r="H5717" i="2"/>
  <c r="N5713" i="2"/>
  <c r="H5713" i="2"/>
  <c r="N5709" i="2"/>
  <c r="H5709" i="2"/>
  <c r="N5705" i="2"/>
  <c r="H5705" i="2"/>
  <c r="N5701" i="2"/>
  <c r="H5701" i="2"/>
  <c r="N5697" i="2"/>
  <c r="H5697" i="2"/>
  <c r="N5693" i="2"/>
  <c r="H5693" i="2"/>
  <c r="N5689" i="2"/>
  <c r="H5689" i="2"/>
  <c r="N5685" i="2"/>
  <c r="H5685" i="2"/>
  <c r="N5681" i="2"/>
  <c r="H5681" i="2"/>
  <c r="N5677" i="2"/>
  <c r="H5677" i="2"/>
  <c r="N5673" i="2"/>
  <c r="H5673" i="2"/>
  <c r="N5669" i="2"/>
  <c r="H5669" i="2"/>
  <c r="N5665" i="2"/>
  <c r="H5665" i="2"/>
  <c r="N5661" i="2"/>
  <c r="H5661" i="2"/>
  <c r="N5657" i="2"/>
  <c r="H5657" i="2"/>
  <c r="N5653" i="2"/>
  <c r="H5653" i="2"/>
  <c r="N5649" i="2"/>
  <c r="H5649" i="2"/>
  <c r="N5645" i="2"/>
  <c r="H5645" i="2"/>
  <c r="N5641" i="2"/>
  <c r="H5641" i="2"/>
  <c r="N5637" i="2"/>
  <c r="H5637" i="2"/>
  <c r="N5633" i="2"/>
  <c r="H5633" i="2"/>
  <c r="N5629" i="2"/>
  <c r="H5629" i="2"/>
  <c r="N5625" i="2"/>
  <c r="H5625" i="2"/>
  <c r="N5621" i="2"/>
  <c r="H5621" i="2"/>
  <c r="N5617" i="2"/>
  <c r="H5617" i="2"/>
  <c r="N5613" i="2"/>
  <c r="H5613" i="2"/>
  <c r="N5609" i="2"/>
  <c r="H5609" i="2"/>
  <c r="N5605" i="2"/>
  <c r="H5605" i="2"/>
  <c r="N5601" i="2"/>
  <c r="H5601" i="2"/>
  <c r="N5597" i="2"/>
  <c r="H5597" i="2"/>
  <c r="N5593" i="2"/>
  <c r="H5593" i="2"/>
  <c r="N5589" i="2"/>
  <c r="H5589" i="2"/>
  <c r="N5585" i="2"/>
  <c r="H5585" i="2"/>
  <c r="N5581" i="2"/>
  <c r="H5581" i="2"/>
  <c r="N5577" i="2"/>
  <c r="H5577" i="2"/>
  <c r="N5573" i="2"/>
  <c r="H5573" i="2"/>
  <c r="N5569" i="2"/>
  <c r="H5569" i="2"/>
  <c r="N5565" i="2"/>
  <c r="H5565" i="2"/>
  <c r="N5561" i="2"/>
  <c r="H5561" i="2"/>
  <c r="N5557" i="2"/>
  <c r="H5557" i="2"/>
  <c r="N5553" i="2"/>
  <c r="H5553" i="2"/>
  <c r="N5549" i="2"/>
  <c r="H5549" i="2"/>
  <c r="N5545" i="2"/>
  <c r="H5545" i="2"/>
  <c r="N5541" i="2"/>
  <c r="H5541" i="2"/>
  <c r="N5537" i="2"/>
  <c r="H5537" i="2"/>
  <c r="N5533" i="2"/>
  <c r="H5533" i="2"/>
  <c r="N5529" i="2"/>
  <c r="H5529" i="2"/>
  <c r="N5525" i="2"/>
  <c r="H5525" i="2"/>
  <c r="N5521" i="2"/>
  <c r="H5521" i="2"/>
  <c r="N5517" i="2"/>
  <c r="H5517" i="2"/>
  <c r="N5513" i="2"/>
  <c r="H5513" i="2"/>
  <c r="N5509" i="2"/>
  <c r="H5509" i="2"/>
  <c r="N5505" i="2"/>
  <c r="H5505" i="2"/>
  <c r="N5501" i="2"/>
  <c r="H5501" i="2"/>
  <c r="N5497" i="2"/>
  <c r="H5497" i="2"/>
  <c r="N5493" i="2"/>
  <c r="H5493" i="2"/>
  <c r="N5489" i="2"/>
  <c r="H5489" i="2"/>
  <c r="N5485" i="2"/>
  <c r="H5485" i="2"/>
  <c r="N5481" i="2"/>
  <c r="H5481" i="2"/>
  <c r="N5477" i="2"/>
  <c r="H5477" i="2"/>
  <c r="N5473" i="2"/>
  <c r="H5473" i="2"/>
  <c r="N5469" i="2"/>
  <c r="H5469" i="2"/>
  <c r="N5465" i="2"/>
  <c r="H5465" i="2"/>
  <c r="N5461" i="2"/>
  <c r="H5461" i="2"/>
  <c r="N5457" i="2"/>
  <c r="H5457" i="2"/>
  <c r="N5453" i="2"/>
  <c r="H5453" i="2"/>
  <c r="N5449" i="2"/>
  <c r="H5449" i="2"/>
  <c r="N5445" i="2"/>
  <c r="H5445" i="2"/>
  <c r="N5441" i="2"/>
  <c r="H5441" i="2"/>
  <c r="N5437" i="2"/>
  <c r="H5437" i="2"/>
  <c r="N5433" i="2"/>
  <c r="H5433" i="2"/>
  <c r="N5429" i="2"/>
  <c r="H5429" i="2"/>
  <c r="N5425" i="2"/>
  <c r="H5425" i="2"/>
  <c r="N5421" i="2"/>
  <c r="H5421" i="2"/>
  <c r="N5417" i="2"/>
  <c r="H5417" i="2"/>
  <c r="N5413" i="2"/>
  <c r="H5413" i="2"/>
  <c r="N5409" i="2"/>
  <c r="H5409" i="2"/>
  <c r="N5405" i="2"/>
  <c r="H5405" i="2"/>
  <c r="N5401" i="2"/>
  <c r="H5401" i="2"/>
  <c r="N5397" i="2"/>
  <c r="H5397" i="2"/>
  <c r="N5393" i="2"/>
  <c r="H5393" i="2"/>
  <c r="N5389" i="2"/>
  <c r="H5389" i="2"/>
  <c r="N5385" i="2"/>
  <c r="H5385" i="2"/>
  <c r="N5381" i="2"/>
  <c r="H5381" i="2"/>
  <c r="N5377" i="2"/>
  <c r="H5377" i="2"/>
  <c r="N5373" i="2"/>
  <c r="H5373" i="2"/>
  <c r="N5369" i="2"/>
  <c r="H5369" i="2"/>
  <c r="N5365" i="2"/>
  <c r="H5365" i="2"/>
  <c r="N5361" i="2"/>
  <c r="H5361" i="2"/>
  <c r="N5357" i="2"/>
  <c r="H5357" i="2"/>
  <c r="N5353" i="2"/>
  <c r="H5353" i="2"/>
  <c r="N5349" i="2"/>
  <c r="H5349" i="2"/>
  <c r="N5345" i="2"/>
  <c r="H5345" i="2"/>
  <c r="N5341" i="2"/>
  <c r="H5341" i="2"/>
  <c r="N5337" i="2"/>
  <c r="H5337" i="2"/>
  <c r="N5333" i="2"/>
  <c r="H5333" i="2"/>
  <c r="N5329" i="2"/>
  <c r="H5329" i="2"/>
  <c r="N5325" i="2"/>
  <c r="H5325" i="2"/>
  <c r="N5321" i="2"/>
  <c r="H5321" i="2"/>
  <c r="N5317" i="2"/>
  <c r="H5317" i="2"/>
  <c r="N5313" i="2"/>
  <c r="H5313" i="2"/>
  <c r="N5309" i="2"/>
  <c r="H5309" i="2"/>
  <c r="N5305" i="2"/>
  <c r="H5305" i="2"/>
  <c r="N5301" i="2"/>
  <c r="H5301" i="2"/>
  <c r="N5297" i="2"/>
  <c r="H5297" i="2"/>
  <c r="N5293" i="2"/>
  <c r="H5293" i="2"/>
  <c r="N5289" i="2"/>
  <c r="H5289" i="2"/>
  <c r="N5285" i="2"/>
  <c r="H5285" i="2"/>
  <c r="N5281" i="2"/>
  <c r="H5281" i="2"/>
  <c r="N5277" i="2"/>
  <c r="H5277" i="2"/>
  <c r="N5273" i="2"/>
  <c r="H5273" i="2"/>
  <c r="N5269" i="2"/>
  <c r="H5269" i="2"/>
  <c r="N5265" i="2"/>
  <c r="H5265" i="2"/>
  <c r="N5261" i="2"/>
  <c r="H5261" i="2"/>
  <c r="N5257" i="2"/>
  <c r="H5257" i="2"/>
  <c r="N5253" i="2"/>
  <c r="H5253" i="2"/>
  <c r="N5249" i="2"/>
  <c r="H5249" i="2"/>
  <c r="N5245" i="2"/>
  <c r="H5245" i="2"/>
  <c r="N5241" i="2"/>
  <c r="H5241" i="2"/>
  <c r="N5237" i="2"/>
  <c r="H5237" i="2"/>
  <c r="N5233" i="2"/>
  <c r="H5233" i="2"/>
  <c r="N5229" i="2"/>
  <c r="H5229" i="2"/>
  <c r="N5225" i="2"/>
  <c r="H5225" i="2"/>
  <c r="N5221" i="2"/>
  <c r="H5221" i="2"/>
  <c r="N5217" i="2"/>
  <c r="H5217" i="2"/>
  <c r="N5213" i="2"/>
  <c r="H5213" i="2"/>
  <c r="N5209" i="2"/>
  <c r="H5209" i="2"/>
  <c r="N5205" i="2"/>
  <c r="H5205" i="2"/>
  <c r="N5201" i="2"/>
  <c r="H5201" i="2"/>
  <c r="N5197" i="2"/>
  <c r="H5197" i="2"/>
  <c r="N5193" i="2"/>
  <c r="H5193" i="2"/>
  <c r="N5189" i="2"/>
  <c r="H5189" i="2"/>
  <c r="N5185" i="2"/>
  <c r="H5185" i="2"/>
  <c r="N5181" i="2"/>
  <c r="H5181" i="2"/>
  <c r="N5177" i="2"/>
  <c r="H5177" i="2"/>
  <c r="N5173" i="2"/>
  <c r="H5173" i="2"/>
  <c r="N5169" i="2"/>
  <c r="H5169" i="2"/>
  <c r="N5165" i="2"/>
  <c r="H5165" i="2"/>
  <c r="N5161" i="2"/>
  <c r="H5161" i="2"/>
  <c r="N5157" i="2"/>
  <c r="H5157" i="2"/>
  <c r="N5153" i="2"/>
  <c r="H5153" i="2"/>
  <c r="N5149" i="2"/>
  <c r="H5149" i="2"/>
  <c r="N5145" i="2"/>
  <c r="H5145" i="2"/>
  <c r="N5141" i="2"/>
  <c r="H5141" i="2"/>
  <c r="N5137" i="2"/>
  <c r="H5137" i="2"/>
  <c r="N5133" i="2"/>
  <c r="H5133" i="2"/>
  <c r="N5129" i="2"/>
  <c r="H5129" i="2"/>
  <c r="N5125" i="2"/>
  <c r="H5125" i="2"/>
  <c r="N5121" i="2"/>
  <c r="H5121" i="2"/>
  <c r="N5117" i="2"/>
  <c r="H5117" i="2"/>
  <c r="N5113" i="2"/>
  <c r="H5113" i="2"/>
  <c r="N5109" i="2"/>
  <c r="H5109" i="2"/>
  <c r="N5105" i="2"/>
  <c r="H5105" i="2"/>
  <c r="N5101" i="2"/>
  <c r="H5101" i="2"/>
  <c r="N5097" i="2"/>
  <c r="H5097" i="2"/>
  <c r="N5093" i="2"/>
  <c r="H5093" i="2"/>
  <c r="N5089" i="2"/>
  <c r="H5089" i="2"/>
  <c r="N5085" i="2"/>
  <c r="H5085" i="2"/>
  <c r="N5081" i="2"/>
  <c r="H5081" i="2"/>
  <c r="N5077" i="2"/>
  <c r="H5077" i="2"/>
  <c r="N5073" i="2"/>
  <c r="H5073" i="2"/>
  <c r="N5069" i="2"/>
  <c r="H5069" i="2"/>
  <c r="N5065" i="2"/>
  <c r="H5065" i="2"/>
  <c r="N5061" i="2"/>
  <c r="H5061" i="2"/>
  <c r="N5057" i="2"/>
  <c r="H5057" i="2"/>
  <c r="N5053" i="2"/>
  <c r="H5053" i="2"/>
  <c r="N5049" i="2"/>
  <c r="H5049" i="2"/>
  <c r="N5045" i="2"/>
  <c r="H5045" i="2"/>
  <c r="N5041" i="2"/>
  <c r="H5041" i="2"/>
  <c r="N5037" i="2"/>
  <c r="H5037" i="2"/>
  <c r="N5033" i="2"/>
  <c r="H5033" i="2"/>
  <c r="N5029" i="2"/>
  <c r="H5029" i="2"/>
  <c r="N5025" i="2"/>
  <c r="H5025" i="2"/>
  <c r="N5021" i="2"/>
  <c r="H5021" i="2"/>
  <c r="N5017" i="2"/>
  <c r="H5017" i="2"/>
  <c r="N5013" i="2"/>
  <c r="H5013" i="2"/>
  <c r="N5009" i="2"/>
  <c r="H5009" i="2"/>
  <c r="N5005" i="2"/>
  <c r="H5005" i="2"/>
  <c r="N5001" i="2"/>
  <c r="H5001" i="2"/>
  <c r="N4997" i="2"/>
  <c r="H4997" i="2"/>
  <c r="N4993" i="2"/>
  <c r="H4993" i="2"/>
  <c r="N4989" i="2"/>
  <c r="H4989" i="2"/>
  <c r="N4985" i="2"/>
  <c r="H4985" i="2"/>
  <c r="N4981" i="2"/>
  <c r="H4981" i="2"/>
  <c r="N4977" i="2"/>
  <c r="H4977" i="2"/>
  <c r="N4973" i="2"/>
  <c r="H4973" i="2"/>
  <c r="N4969" i="2"/>
  <c r="H4969" i="2"/>
  <c r="N4965" i="2"/>
  <c r="H4965" i="2"/>
  <c r="N4961" i="2"/>
  <c r="H4961" i="2"/>
  <c r="N4957" i="2"/>
  <c r="H4957" i="2"/>
  <c r="N4953" i="2"/>
  <c r="H4953" i="2"/>
  <c r="N4949" i="2"/>
  <c r="H4949" i="2"/>
  <c r="N4945" i="2"/>
  <c r="H4945" i="2"/>
  <c r="N4941" i="2"/>
  <c r="H4941" i="2"/>
  <c r="N4937" i="2"/>
  <c r="H4937" i="2"/>
  <c r="N4933" i="2"/>
  <c r="H4933" i="2"/>
  <c r="N4929" i="2"/>
  <c r="H4929" i="2"/>
  <c r="N4925" i="2"/>
  <c r="H4925" i="2"/>
  <c r="N4921" i="2"/>
  <c r="H4921" i="2"/>
  <c r="N4917" i="2"/>
  <c r="H4917" i="2"/>
  <c r="N4913" i="2"/>
  <c r="H4913" i="2"/>
  <c r="N4909" i="2"/>
  <c r="H4909" i="2"/>
  <c r="N4905" i="2"/>
  <c r="H4905" i="2"/>
  <c r="N4901" i="2"/>
  <c r="H4901" i="2"/>
  <c r="N4897" i="2"/>
  <c r="H4897" i="2"/>
  <c r="N4893" i="2"/>
  <c r="H4893" i="2"/>
  <c r="N4889" i="2"/>
  <c r="H4889" i="2"/>
  <c r="N4885" i="2"/>
  <c r="H4885" i="2"/>
  <c r="N4881" i="2"/>
  <c r="H4881" i="2"/>
  <c r="N4877" i="2"/>
  <c r="H4877" i="2"/>
  <c r="N4873" i="2"/>
  <c r="H4873" i="2"/>
  <c r="N4869" i="2"/>
  <c r="H4869" i="2"/>
  <c r="N4865" i="2"/>
  <c r="H4865" i="2"/>
  <c r="N4861" i="2"/>
  <c r="H4861" i="2"/>
  <c r="N4857" i="2"/>
  <c r="H4857" i="2"/>
  <c r="N4853" i="2"/>
  <c r="H4853" i="2"/>
  <c r="N4849" i="2"/>
  <c r="H4849" i="2"/>
  <c r="N4845" i="2"/>
  <c r="H4845" i="2"/>
  <c r="N4841" i="2"/>
  <c r="H4841" i="2"/>
  <c r="N4837" i="2"/>
  <c r="H4837" i="2"/>
  <c r="N4833" i="2"/>
  <c r="H4833" i="2"/>
  <c r="N4829" i="2"/>
  <c r="H4829" i="2"/>
  <c r="N4825" i="2"/>
  <c r="H4825" i="2"/>
  <c r="N4821" i="2"/>
  <c r="H4821" i="2"/>
  <c r="N4817" i="2"/>
  <c r="H4817" i="2"/>
  <c r="N4813" i="2"/>
  <c r="H4813" i="2"/>
  <c r="N4809" i="2"/>
  <c r="H4809" i="2"/>
  <c r="N4805" i="2"/>
  <c r="H4805" i="2"/>
  <c r="N4801" i="2"/>
  <c r="H4801" i="2"/>
  <c r="N4797" i="2"/>
  <c r="H4797" i="2"/>
  <c r="N4793" i="2"/>
  <c r="H4793" i="2"/>
  <c r="N4789" i="2"/>
  <c r="H4789" i="2"/>
  <c r="N4785" i="2"/>
  <c r="H4785" i="2"/>
  <c r="N4781" i="2"/>
  <c r="H4781" i="2"/>
  <c r="N4777" i="2"/>
  <c r="H4777" i="2"/>
  <c r="N4773" i="2"/>
  <c r="H4773" i="2"/>
  <c r="N4769" i="2"/>
  <c r="H4769" i="2"/>
  <c r="N4765" i="2"/>
  <c r="H4765" i="2"/>
  <c r="N4761" i="2"/>
  <c r="H4761" i="2"/>
  <c r="N4757" i="2"/>
  <c r="H4757" i="2"/>
  <c r="N4753" i="2"/>
  <c r="H4753" i="2"/>
  <c r="N4749" i="2"/>
  <c r="H4749" i="2"/>
  <c r="N4745" i="2"/>
  <c r="H4745" i="2"/>
  <c r="N4741" i="2"/>
  <c r="H4741" i="2"/>
  <c r="N4737" i="2"/>
  <c r="H4737" i="2"/>
  <c r="N4733" i="2"/>
  <c r="H4733" i="2"/>
  <c r="N4729" i="2"/>
  <c r="H4729" i="2"/>
  <c r="N4725" i="2"/>
  <c r="H4725" i="2"/>
  <c r="N4721" i="2"/>
  <c r="H4721" i="2"/>
  <c r="N4717" i="2"/>
  <c r="H4717" i="2"/>
  <c r="N4713" i="2"/>
  <c r="H4713" i="2"/>
  <c r="N4709" i="2"/>
  <c r="H4709" i="2"/>
  <c r="N4705" i="2"/>
  <c r="H4705" i="2"/>
  <c r="N4701" i="2"/>
  <c r="H4701" i="2"/>
  <c r="N4697" i="2"/>
  <c r="H4697" i="2"/>
  <c r="N4693" i="2"/>
  <c r="H4693" i="2"/>
  <c r="N4689" i="2"/>
  <c r="H4689" i="2"/>
  <c r="N4685" i="2"/>
  <c r="H4685" i="2"/>
  <c r="N4681" i="2"/>
  <c r="H4681" i="2"/>
  <c r="N4677" i="2"/>
  <c r="H4677" i="2"/>
  <c r="N4673" i="2"/>
  <c r="H4673" i="2"/>
  <c r="N4669" i="2"/>
  <c r="H4669" i="2"/>
  <c r="N4665" i="2"/>
  <c r="H4665" i="2"/>
  <c r="N4661" i="2"/>
  <c r="H4661" i="2"/>
  <c r="N4657" i="2"/>
  <c r="H4657" i="2"/>
  <c r="N4653" i="2"/>
  <c r="H4653" i="2"/>
  <c r="N4649" i="2"/>
  <c r="H4649" i="2"/>
  <c r="N4645" i="2"/>
  <c r="H4645" i="2"/>
  <c r="N4641" i="2"/>
  <c r="H4641" i="2"/>
  <c r="N4637" i="2"/>
  <c r="H4637" i="2"/>
  <c r="N4633" i="2"/>
  <c r="H4633" i="2"/>
  <c r="N4629" i="2"/>
  <c r="H4629" i="2"/>
  <c r="N4625" i="2"/>
  <c r="H4625" i="2"/>
  <c r="N4621" i="2"/>
  <c r="H4621" i="2"/>
  <c r="N4617" i="2"/>
  <c r="H4617" i="2"/>
  <c r="N4613" i="2"/>
  <c r="H4613" i="2"/>
  <c r="N4609" i="2"/>
  <c r="H4609" i="2"/>
  <c r="N4605" i="2"/>
  <c r="H4605" i="2"/>
  <c r="N4601" i="2"/>
  <c r="H4601" i="2"/>
  <c r="N4597" i="2"/>
  <c r="H4597" i="2"/>
  <c r="N4593" i="2"/>
  <c r="H4593" i="2"/>
  <c r="N4589" i="2"/>
  <c r="H4589" i="2"/>
  <c r="N4585" i="2"/>
  <c r="H4585" i="2"/>
  <c r="N4581" i="2"/>
  <c r="H4581" i="2"/>
  <c r="N4577" i="2"/>
  <c r="H4577" i="2"/>
  <c r="N4573" i="2"/>
  <c r="H4573" i="2"/>
  <c r="N4569" i="2"/>
  <c r="H4569" i="2"/>
  <c r="N4565" i="2"/>
  <c r="H4565" i="2"/>
  <c r="N4561" i="2"/>
  <c r="H4561" i="2"/>
  <c r="N4557" i="2"/>
  <c r="H4557" i="2"/>
  <c r="N4553" i="2"/>
  <c r="H4553" i="2"/>
  <c r="N4549" i="2"/>
  <c r="H4549" i="2"/>
  <c r="N4545" i="2"/>
  <c r="H4545" i="2"/>
  <c r="N4541" i="2"/>
  <c r="H4541" i="2"/>
  <c r="N4537" i="2"/>
  <c r="H4537" i="2"/>
  <c r="N4533" i="2"/>
  <c r="H4533" i="2"/>
  <c r="N4529" i="2"/>
  <c r="H4529" i="2"/>
  <c r="N4525" i="2"/>
  <c r="H4525" i="2"/>
  <c r="N4521" i="2"/>
  <c r="H4521" i="2"/>
  <c r="N4517" i="2"/>
  <c r="H4517" i="2"/>
  <c r="N4513" i="2"/>
  <c r="H4513" i="2"/>
  <c r="N4509" i="2"/>
  <c r="H4509" i="2"/>
  <c r="N4505" i="2"/>
  <c r="H4505" i="2"/>
  <c r="N4501" i="2"/>
  <c r="H4501" i="2"/>
  <c r="N4497" i="2"/>
  <c r="H4497" i="2"/>
  <c r="N4493" i="2"/>
  <c r="H4493" i="2"/>
  <c r="N4489" i="2"/>
  <c r="H4489" i="2"/>
  <c r="N4485" i="2"/>
  <c r="H4485" i="2"/>
  <c r="N4481" i="2"/>
  <c r="H4481" i="2"/>
  <c r="N4477" i="2"/>
  <c r="H4477" i="2"/>
  <c r="N4473" i="2"/>
  <c r="H4473" i="2"/>
  <c r="N4469" i="2"/>
  <c r="H4469" i="2"/>
  <c r="N4465" i="2"/>
  <c r="H4465" i="2"/>
  <c r="N4461" i="2"/>
  <c r="H4461" i="2"/>
  <c r="N4457" i="2"/>
  <c r="H4457" i="2"/>
  <c r="N4453" i="2"/>
  <c r="H4453" i="2"/>
  <c r="N4449" i="2"/>
  <c r="H4449" i="2"/>
  <c r="N4445" i="2"/>
  <c r="H4445" i="2"/>
  <c r="N4441" i="2"/>
  <c r="H4441" i="2"/>
  <c r="N4437" i="2"/>
  <c r="H4437" i="2"/>
  <c r="N4433" i="2"/>
  <c r="H4433" i="2"/>
  <c r="N4429" i="2"/>
  <c r="H4429" i="2"/>
  <c r="N4425" i="2"/>
  <c r="H4425" i="2"/>
  <c r="N4421" i="2"/>
  <c r="H4421" i="2"/>
  <c r="N4417" i="2"/>
  <c r="H4417" i="2"/>
  <c r="N4413" i="2"/>
  <c r="H4413" i="2"/>
  <c r="N4409" i="2"/>
  <c r="H4409" i="2"/>
  <c r="N4405" i="2"/>
  <c r="H4405" i="2"/>
  <c r="N4401" i="2"/>
  <c r="H4401" i="2"/>
  <c r="N4397" i="2"/>
  <c r="H4397" i="2"/>
  <c r="N4393" i="2"/>
  <c r="H4393" i="2"/>
  <c r="N4389" i="2"/>
  <c r="H4389" i="2"/>
  <c r="N4385" i="2"/>
  <c r="H4385" i="2"/>
  <c r="N4381" i="2"/>
  <c r="H4381" i="2"/>
  <c r="N4377" i="2"/>
  <c r="H4377" i="2"/>
  <c r="N4373" i="2"/>
  <c r="H4373" i="2"/>
  <c r="N4369" i="2"/>
  <c r="H4369" i="2"/>
  <c r="N4365" i="2"/>
  <c r="H4365" i="2"/>
  <c r="N4361" i="2"/>
  <c r="H4361" i="2"/>
  <c r="N4357" i="2"/>
  <c r="H4357" i="2"/>
  <c r="N4353" i="2"/>
  <c r="H4353" i="2"/>
  <c r="N4349" i="2"/>
  <c r="H4349" i="2"/>
  <c r="N4345" i="2"/>
  <c r="H4345" i="2"/>
  <c r="N4341" i="2"/>
  <c r="H4341" i="2"/>
  <c r="N4337" i="2"/>
  <c r="H4337" i="2"/>
  <c r="N4333" i="2"/>
  <c r="H4333" i="2"/>
  <c r="N4329" i="2"/>
  <c r="H4329" i="2"/>
  <c r="N4325" i="2"/>
  <c r="H4325" i="2"/>
  <c r="N4321" i="2"/>
  <c r="H4321" i="2"/>
  <c r="N4317" i="2"/>
  <c r="H4317" i="2"/>
  <c r="N4313" i="2"/>
  <c r="H4313" i="2"/>
  <c r="N4309" i="2"/>
  <c r="H4309" i="2"/>
  <c r="N4305" i="2"/>
  <c r="H4305" i="2"/>
  <c r="N4301" i="2"/>
  <c r="H4301" i="2"/>
  <c r="N4297" i="2"/>
  <c r="H4297" i="2"/>
  <c r="N4293" i="2"/>
  <c r="H4293" i="2"/>
  <c r="N4289" i="2"/>
  <c r="H4289" i="2"/>
  <c r="N4285" i="2"/>
  <c r="H4285" i="2"/>
  <c r="N4281" i="2"/>
  <c r="H4281" i="2"/>
  <c r="N4277" i="2"/>
  <c r="H4277" i="2"/>
  <c r="N4273" i="2"/>
  <c r="H4273" i="2"/>
  <c r="N4269" i="2"/>
  <c r="H4269" i="2"/>
  <c r="N4265" i="2"/>
  <c r="H4265" i="2"/>
  <c r="N4261" i="2"/>
  <c r="H4261" i="2"/>
  <c r="N4257" i="2"/>
  <c r="H4257" i="2"/>
  <c r="N4253" i="2"/>
  <c r="H4253" i="2"/>
  <c r="N4249" i="2"/>
  <c r="H4249" i="2"/>
  <c r="N4245" i="2"/>
  <c r="H4245" i="2"/>
  <c r="N4241" i="2"/>
  <c r="H4241" i="2"/>
  <c r="N4237" i="2"/>
  <c r="H4237" i="2"/>
  <c r="N4233" i="2"/>
  <c r="H4233" i="2"/>
  <c r="N4229" i="2"/>
  <c r="H4229" i="2"/>
  <c r="N4225" i="2"/>
  <c r="H4225" i="2"/>
  <c r="N4221" i="2"/>
  <c r="H4221" i="2"/>
  <c r="N4217" i="2"/>
  <c r="H4217" i="2"/>
  <c r="N4213" i="2"/>
  <c r="H4213" i="2"/>
  <c r="N4209" i="2"/>
  <c r="H4209" i="2"/>
  <c r="N4205" i="2"/>
  <c r="H4205" i="2"/>
  <c r="N4201" i="2"/>
  <c r="H4201" i="2"/>
  <c r="N4197" i="2"/>
  <c r="H4197" i="2"/>
  <c r="N4193" i="2"/>
  <c r="H4193" i="2"/>
  <c r="N4189" i="2"/>
  <c r="H4189" i="2"/>
  <c r="N4185" i="2"/>
  <c r="H4185" i="2"/>
  <c r="N4181" i="2"/>
  <c r="H4181" i="2"/>
  <c r="N4177" i="2"/>
  <c r="H4177" i="2"/>
  <c r="N4173" i="2"/>
  <c r="H4173" i="2"/>
  <c r="N4169" i="2"/>
  <c r="H4169" i="2"/>
  <c r="N4165" i="2"/>
  <c r="H4165" i="2"/>
  <c r="N4161" i="2"/>
  <c r="H4161" i="2"/>
  <c r="N4157" i="2"/>
  <c r="H4157" i="2"/>
  <c r="N4153" i="2"/>
  <c r="H4153" i="2"/>
  <c r="N4149" i="2"/>
  <c r="H4149" i="2"/>
  <c r="N4145" i="2"/>
  <c r="H4145" i="2"/>
  <c r="N4141" i="2"/>
  <c r="H4141" i="2"/>
  <c r="N4137" i="2"/>
  <c r="H4137" i="2"/>
  <c r="N4133" i="2"/>
  <c r="H4133" i="2"/>
  <c r="N4129" i="2"/>
  <c r="H4129" i="2"/>
  <c r="N4125" i="2"/>
  <c r="H4125" i="2"/>
  <c r="N4121" i="2"/>
  <c r="H4121" i="2"/>
  <c r="N4117" i="2"/>
  <c r="H4117" i="2"/>
  <c r="N4113" i="2"/>
  <c r="H4113" i="2"/>
  <c r="N4109" i="2"/>
  <c r="H4109" i="2"/>
  <c r="N4105" i="2"/>
  <c r="H4105" i="2"/>
  <c r="N4101" i="2"/>
  <c r="H4101" i="2"/>
  <c r="N4097" i="2"/>
  <c r="H4097" i="2"/>
  <c r="N4093" i="2"/>
  <c r="H4093" i="2"/>
  <c r="N4089" i="2"/>
  <c r="H4089" i="2"/>
  <c r="N4085" i="2"/>
  <c r="H4085" i="2"/>
  <c r="N4081" i="2"/>
  <c r="H4081" i="2"/>
  <c r="N4077" i="2"/>
  <c r="H4077" i="2"/>
  <c r="N4073" i="2"/>
  <c r="H4073" i="2"/>
  <c r="N4069" i="2"/>
  <c r="H4069" i="2"/>
  <c r="N4065" i="2"/>
  <c r="H4065" i="2"/>
  <c r="N4061" i="2"/>
  <c r="H4061" i="2"/>
  <c r="N4057" i="2"/>
  <c r="H4057" i="2"/>
  <c r="N4053" i="2"/>
  <c r="H4053" i="2"/>
  <c r="N4049" i="2"/>
  <c r="H4049" i="2"/>
  <c r="N4045" i="2"/>
  <c r="H4045" i="2"/>
  <c r="N4041" i="2"/>
  <c r="H4041" i="2"/>
  <c r="N4037" i="2"/>
  <c r="H4037" i="2"/>
  <c r="N4033" i="2"/>
  <c r="H4033" i="2"/>
  <c r="N4029" i="2"/>
  <c r="H4029" i="2"/>
  <c r="N4025" i="2"/>
  <c r="H4025" i="2"/>
  <c r="N4021" i="2"/>
  <c r="H4021" i="2"/>
  <c r="N4017" i="2"/>
  <c r="H4017" i="2"/>
  <c r="N4013" i="2"/>
  <c r="H4013" i="2"/>
  <c r="N4009" i="2"/>
  <c r="H4009" i="2"/>
  <c r="N4005" i="2"/>
  <c r="H4005" i="2"/>
  <c r="N4001" i="2"/>
  <c r="H4001" i="2"/>
  <c r="N3997" i="2"/>
  <c r="H3997" i="2"/>
  <c r="N3993" i="2"/>
  <c r="H3993" i="2"/>
  <c r="N3989" i="2"/>
  <c r="H3989" i="2"/>
  <c r="N3985" i="2"/>
  <c r="H3985" i="2"/>
  <c r="N3981" i="2"/>
  <c r="H3981" i="2"/>
  <c r="N3977" i="2"/>
  <c r="H3977" i="2"/>
  <c r="N3973" i="2"/>
  <c r="H3973" i="2"/>
  <c r="N3969" i="2"/>
  <c r="H3969" i="2"/>
  <c r="N3965" i="2"/>
  <c r="H3965" i="2"/>
  <c r="N3961" i="2"/>
  <c r="H3961" i="2"/>
  <c r="N3957" i="2"/>
  <c r="H3957" i="2"/>
  <c r="N3953" i="2"/>
  <c r="H3953" i="2"/>
  <c r="N3949" i="2"/>
  <c r="H3949" i="2"/>
  <c r="N3945" i="2"/>
  <c r="H3945" i="2"/>
  <c r="N3941" i="2"/>
  <c r="H3941" i="2"/>
  <c r="N3937" i="2"/>
  <c r="H3937" i="2"/>
  <c r="N3933" i="2"/>
  <c r="H3933" i="2"/>
  <c r="N3929" i="2"/>
  <c r="H3929" i="2"/>
  <c r="N3925" i="2"/>
  <c r="H3925" i="2"/>
  <c r="N3921" i="2"/>
  <c r="H3921" i="2"/>
  <c r="N3917" i="2"/>
  <c r="H3917" i="2"/>
  <c r="N3913" i="2"/>
  <c r="H3913" i="2"/>
  <c r="N3909" i="2"/>
  <c r="H3909" i="2"/>
  <c r="N3905" i="2"/>
  <c r="H3905" i="2"/>
  <c r="N3901" i="2"/>
  <c r="H3901" i="2"/>
  <c r="N3897" i="2"/>
  <c r="H3897" i="2"/>
  <c r="N3893" i="2"/>
  <c r="H3893" i="2"/>
  <c r="N3889" i="2"/>
  <c r="H3889" i="2"/>
  <c r="N3885" i="2"/>
  <c r="H3885" i="2"/>
  <c r="N3881" i="2"/>
  <c r="H3881" i="2"/>
  <c r="N3877" i="2"/>
  <c r="H3877" i="2"/>
  <c r="N3873" i="2"/>
  <c r="H3873" i="2"/>
  <c r="N3869" i="2"/>
  <c r="H3869" i="2"/>
  <c r="N3865" i="2"/>
  <c r="H3865" i="2"/>
  <c r="N3861" i="2"/>
  <c r="H3861" i="2"/>
  <c r="N3857" i="2"/>
  <c r="H3857" i="2"/>
  <c r="N3853" i="2"/>
  <c r="H3853" i="2"/>
  <c r="N3849" i="2"/>
  <c r="H3849" i="2"/>
  <c r="N3845" i="2"/>
  <c r="H3845" i="2"/>
  <c r="N3841" i="2"/>
  <c r="H3841" i="2"/>
  <c r="N3837" i="2"/>
  <c r="H3837" i="2"/>
  <c r="N3833" i="2"/>
  <c r="H3833" i="2"/>
  <c r="N3829" i="2"/>
  <c r="H3829" i="2"/>
  <c r="N3825" i="2"/>
  <c r="H3825" i="2"/>
  <c r="N3821" i="2"/>
  <c r="H3821" i="2"/>
  <c r="N3817" i="2"/>
  <c r="H3817" i="2"/>
  <c r="N3813" i="2"/>
  <c r="H3813" i="2"/>
  <c r="N3809" i="2"/>
  <c r="H3809" i="2"/>
  <c r="N3805" i="2"/>
  <c r="H3805" i="2"/>
  <c r="N3801" i="2"/>
  <c r="H3801" i="2"/>
  <c r="N3797" i="2"/>
  <c r="H3797" i="2"/>
  <c r="N3793" i="2"/>
  <c r="H3793" i="2"/>
  <c r="N3789" i="2"/>
  <c r="H3789" i="2"/>
  <c r="N3785" i="2"/>
  <c r="H3785" i="2"/>
  <c r="N3781" i="2"/>
  <c r="H3781" i="2"/>
  <c r="N3777" i="2"/>
  <c r="H3777" i="2"/>
  <c r="N3773" i="2"/>
  <c r="H3773" i="2"/>
  <c r="N3769" i="2"/>
  <c r="H3769" i="2"/>
  <c r="N3765" i="2"/>
  <c r="H3765" i="2"/>
  <c r="N3761" i="2"/>
  <c r="H3761" i="2"/>
  <c r="N3757" i="2"/>
  <c r="H3757" i="2"/>
  <c r="N3753" i="2"/>
  <c r="H3753" i="2"/>
  <c r="N3749" i="2"/>
  <c r="H3749" i="2"/>
  <c r="N3745" i="2"/>
  <c r="H3745" i="2"/>
  <c r="N3741" i="2"/>
  <c r="H3741" i="2"/>
  <c r="N3737" i="2"/>
  <c r="H3737" i="2"/>
  <c r="N3733" i="2"/>
  <c r="H3733" i="2"/>
  <c r="N3729" i="2"/>
  <c r="H3729" i="2"/>
  <c r="N3725" i="2"/>
  <c r="H3725" i="2"/>
  <c r="N3721" i="2"/>
  <c r="H3721" i="2"/>
  <c r="N3717" i="2"/>
  <c r="H3717" i="2"/>
  <c r="N3713" i="2"/>
  <c r="H3713" i="2"/>
  <c r="N3709" i="2"/>
  <c r="H3709" i="2"/>
  <c r="N3705" i="2"/>
  <c r="H3705" i="2"/>
  <c r="N3701" i="2"/>
  <c r="H3701" i="2"/>
  <c r="N3697" i="2"/>
  <c r="H3697" i="2"/>
  <c r="N3693" i="2"/>
  <c r="H3693" i="2"/>
  <c r="N3689" i="2"/>
  <c r="H3689" i="2"/>
  <c r="N3685" i="2"/>
  <c r="H3685" i="2"/>
  <c r="N3681" i="2"/>
  <c r="H3681" i="2"/>
  <c r="N3677" i="2"/>
  <c r="H3677" i="2"/>
  <c r="N3673" i="2"/>
  <c r="H3673" i="2"/>
  <c r="N3669" i="2"/>
  <c r="H3669" i="2"/>
  <c r="N3665" i="2"/>
  <c r="H3665" i="2"/>
  <c r="N3661" i="2"/>
  <c r="H3661" i="2"/>
  <c r="N3657" i="2"/>
  <c r="H3657" i="2"/>
  <c r="N3653" i="2"/>
  <c r="H3653" i="2"/>
  <c r="N3649" i="2"/>
  <c r="H3649" i="2"/>
  <c r="N3645" i="2"/>
  <c r="H3645" i="2"/>
  <c r="N3641" i="2"/>
  <c r="H3641" i="2"/>
  <c r="N3637" i="2"/>
  <c r="H3637" i="2"/>
  <c r="N3633" i="2"/>
  <c r="H3633" i="2"/>
  <c r="N3629" i="2"/>
  <c r="H3629" i="2"/>
  <c r="N3625" i="2"/>
  <c r="H3625" i="2"/>
  <c r="N3621" i="2"/>
  <c r="H3621" i="2"/>
  <c r="N3617" i="2"/>
  <c r="H3617" i="2"/>
  <c r="N3613" i="2"/>
  <c r="H3613" i="2"/>
  <c r="N3609" i="2"/>
  <c r="H3609" i="2"/>
  <c r="N3605" i="2"/>
  <c r="H3605" i="2"/>
  <c r="N3601" i="2"/>
  <c r="H3601" i="2"/>
  <c r="N3597" i="2"/>
  <c r="H3597" i="2"/>
  <c r="N3593" i="2"/>
  <c r="H3593" i="2"/>
  <c r="N3589" i="2"/>
  <c r="H3589" i="2"/>
  <c r="N3585" i="2"/>
  <c r="H3585" i="2"/>
  <c r="N3581" i="2"/>
  <c r="H3581" i="2"/>
  <c r="N3577" i="2"/>
  <c r="H3577" i="2"/>
  <c r="N3573" i="2"/>
  <c r="H3573" i="2"/>
  <c r="N3569" i="2"/>
  <c r="H3569" i="2"/>
  <c r="N3565" i="2"/>
  <c r="H3565" i="2"/>
  <c r="N3561" i="2"/>
  <c r="H3561" i="2"/>
  <c r="N3557" i="2"/>
  <c r="H3557" i="2"/>
  <c r="N3553" i="2"/>
  <c r="H3553" i="2"/>
  <c r="N3549" i="2"/>
  <c r="H3549" i="2"/>
  <c r="N3545" i="2"/>
  <c r="H3545" i="2"/>
  <c r="N3541" i="2"/>
  <c r="H3541" i="2"/>
  <c r="N3537" i="2"/>
  <c r="H3537" i="2"/>
  <c r="N3533" i="2"/>
  <c r="H3533" i="2"/>
  <c r="N3529" i="2"/>
  <c r="H3529" i="2"/>
  <c r="N3525" i="2"/>
  <c r="H3525" i="2"/>
  <c r="N3521" i="2"/>
  <c r="H3521" i="2"/>
  <c r="N3517" i="2"/>
  <c r="H3517" i="2"/>
  <c r="N3513" i="2"/>
  <c r="H3513" i="2"/>
  <c r="N3509" i="2"/>
  <c r="H3509" i="2"/>
  <c r="N3505" i="2"/>
  <c r="H3505" i="2"/>
  <c r="N3501" i="2"/>
  <c r="H3501" i="2"/>
  <c r="N3497" i="2"/>
  <c r="H3497" i="2"/>
  <c r="N3493" i="2"/>
  <c r="H3493" i="2"/>
  <c r="N3489" i="2"/>
  <c r="H3489" i="2"/>
  <c r="N3485" i="2"/>
  <c r="H3485" i="2"/>
  <c r="N3481" i="2"/>
  <c r="H3481" i="2"/>
  <c r="N3477" i="2"/>
  <c r="H3477" i="2"/>
  <c r="N3473" i="2"/>
  <c r="H3473" i="2"/>
  <c r="N3469" i="2"/>
  <c r="H3469" i="2"/>
  <c r="N3465" i="2"/>
  <c r="H3465" i="2"/>
  <c r="N3461" i="2"/>
  <c r="H3461" i="2"/>
  <c r="N3457" i="2"/>
  <c r="H3457" i="2"/>
  <c r="N3453" i="2"/>
  <c r="H3453" i="2"/>
  <c r="N3449" i="2"/>
  <c r="H3449" i="2"/>
  <c r="N3445" i="2"/>
  <c r="H3445" i="2"/>
  <c r="N3441" i="2"/>
  <c r="H3441" i="2"/>
  <c r="N3437" i="2"/>
  <c r="H3437" i="2"/>
  <c r="N3433" i="2"/>
  <c r="H3433" i="2"/>
  <c r="N3429" i="2"/>
  <c r="H3429" i="2"/>
  <c r="N3425" i="2"/>
  <c r="H3425" i="2"/>
  <c r="N3421" i="2"/>
  <c r="H3421" i="2"/>
  <c r="N3417" i="2"/>
  <c r="H3417" i="2"/>
  <c r="N3413" i="2"/>
  <c r="H3413" i="2"/>
  <c r="N3409" i="2"/>
  <c r="H3409" i="2"/>
  <c r="N3405" i="2"/>
  <c r="H3405" i="2"/>
  <c r="N3401" i="2"/>
  <c r="H3401" i="2"/>
  <c r="N3397" i="2"/>
  <c r="H3397" i="2"/>
  <c r="N3393" i="2"/>
  <c r="H3393" i="2"/>
  <c r="N3389" i="2"/>
  <c r="H3389" i="2"/>
  <c r="N3385" i="2"/>
  <c r="H3385" i="2"/>
  <c r="N3381" i="2"/>
  <c r="H3381" i="2"/>
  <c r="N3377" i="2"/>
  <c r="H3377" i="2"/>
  <c r="N3373" i="2"/>
  <c r="H3373" i="2"/>
  <c r="N3369" i="2"/>
  <c r="H3369" i="2"/>
  <c r="N3365" i="2"/>
  <c r="H3365" i="2"/>
  <c r="N3361" i="2"/>
  <c r="H3361" i="2"/>
  <c r="N3357" i="2"/>
  <c r="H3357" i="2"/>
  <c r="N3353" i="2"/>
  <c r="H3353" i="2"/>
  <c r="N3349" i="2"/>
  <c r="H3349" i="2"/>
  <c r="N3345" i="2"/>
  <c r="H3345" i="2"/>
  <c r="N3341" i="2"/>
  <c r="H3341" i="2"/>
  <c r="N3337" i="2"/>
  <c r="H3337" i="2"/>
  <c r="N3333" i="2"/>
  <c r="H3333" i="2"/>
  <c r="N3329" i="2"/>
  <c r="H3329" i="2"/>
  <c r="N3325" i="2"/>
  <c r="H3325" i="2"/>
  <c r="N3321" i="2"/>
  <c r="H3321" i="2"/>
  <c r="N3317" i="2"/>
  <c r="H3317" i="2"/>
  <c r="N3313" i="2"/>
  <c r="H3313" i="2"/>
  <c r="N3309" i="2"/>
  <c r="H3309" i="2"/>
  <c r="N3305" i="2"/>
  <c r="H3305" i="2"/>
  <c r="N3301" i="2"/>
  <c r="H3301" i="2"/>
  <c r="N3297" i="2"/>
  <c r="H3297" i="2"/>
  <c r="N3293" i="2"/>
  <c r="H3293" i="2"/>
  <c r="N3289" i="2"/>
  <c r="H3289" i="2"/>
  <c r="N3285" i="2"/>
  <c r="H3285" i="2"/>
  <c r="N3281" i="2"/>
  <c r="H3281" i="2"/>
  <c r="N3277" i="2"/>
  <c r="H3277" i="2"/>
  <c r="N3273" i="2"/>
  <c r="H3273" i="2"/>
  <c r="N3269" i="2"/>
  <c r="H3269" i="2"/>
  <c r="N3265" i="2"/>
  <c r="H3265" i="2"/>
  <c r="N3261" i="2"/>
  <c r="H3261" i="2"/>
  <c r="N3257" i="2"/>
  <c r="H3257" i="2"/>
  <c r="N3253" i="2"/>
  <c r="H3253" i="2"/>
  <c r="N3249" i="2"/>
  <c r="H3249" i="2"/>
  <c r="N3245" i="2"/>
  <c r="H3245" i="2"/>
  <c r="N3241" i="2"/>
  <c r="H3241" i="2"/>
  <c r="N3237" i="2"/>
  <c r="H3237" i="2"/>
  <c r="N3233" i="2"/>
  <c r="H3233" i="2"/>
  <c r="N3229" i="2"/>
  <c r="H3229" i="2"/>
  <c r="N3225" i="2"/>
  <c r="H3225" i="2"/>
  <c r="N3221" i="2"/>
  <c r="H3221" i="2"/>
  <c r="N3217" i="2"/>
  <c r="H3217" i="2"/>
  <c r="N3213" i="2"/>
  <c r="H3213" i="2"/>
  <c r="N3209" i="2"/>
  <c r="H3209" i="2"/>
  <c r="N3205" i="2"/>
  <c r="H3205" i="2"/>
  <c r="N3201" i="2"/>
  <c r="H3201" i="2"/>
  <c r="N3197" i="2"/>
  <c r="H3197" i="2"/>
  <c r="N3193" i="2"/>
  <c r="H3193" i="2"/>
  <c r="N3189" i="2"/>
  <c r="H3189" i="2"/>
  <c r="N3185" i="2"/>
  <c r="H3185" i="2"/>
  <c r="N3181" i="2"/>
  <c r="H3181" i="2"/>
  <c r="N3177" i="2"/>
  <c r="H3177" i="2"/>
  <c r="N3173" i="2"/>
  <c r="H3173" i="2"/>
  <c r="N3169" i="2"/>
  <c r="H3169" i="2"/>
  <c r="N3165" i="2"/>
  <c r="H3165" i="2"/>
  <c r="N3161" i="2"/>
  <c r="H3161" i="2"/>
  <c r="N3157" i="2"/>
  <c r="H3157" i="2"/>
  <c r="N3153" i="2"/>
  <c r="H3153" i="2"/>
  <c r="N3149" i="2"/>
  <c r="H3149" i="2"/>
  <c r="N3145" i="2"/>
  <c r="H3145" i="2"/>
  <c r="N3141" i="2"/>
  <c r="H3141" i="2"/>
  <c r="N3137" i="2"/>
  <c r="H3137" i="2"/>
  <c r="N3133" i="2"/>
  <c r="H3133" i="2"/>
  <c r="N3129" i="2"/>
  <c r="H3129" i="2"/>
  <c r="N3125" i="2"/>
  <c r="H3125" i="2"/>
  <c r="N3121" i="2"/>
  <c r="H3121" i="2"/>
  <c r="N3117" i="2"/>
  <c r="H3117" i="2"/>
  <c r="N3113" i="2"/>
  <c r="H3113" i="2"/>
  <c r="N3109" i="2"/>
  <c r="H3109" i="2"/>
  <c r="N3105" i="2"/>
  <c r="H3105" i="2"/>
  <c r="N3101" i="2"/>
  <c r="H3101" i="2"/>
  <c r="N3097" i="2"/>
  <c r="H3097" i="2"/>
  <c r="N3093" i="2"/>
  <c r="H3093" i="2"/>
  <c r="N3089" i="2"/>
  <c r="H3089" i="2"/>
  <c r="N3085" i="2"/>
  <c r="H3085" i="2"/>
  <c r="N3081" i="2"/>
  <c r="H3081" i="2"/>
  <c r="N3077" i="2"/>
  <c r="H3077" i="2"/>
  <c r="N3073" i="2"/>
  <c r="H3073" i="2"/>
  <c r="N3069" i="2"/>
  <c r="H3069" i="2"/>
  <c r="N3065" i="2"/>
  <c r="H3065" i="2"/>
  <c r="N3061" i="2"/>
  <c r="H3061" i="2"/>
  <c r="N3057" i="2"/>
  <c r="H3057" i="2"/>
  <c r="N3053" i="2"/>
  <c r="H3053" i="2"/>
  <c r="N3049" i="2"/>
  <c r="H3049" i="2"/>
  <c r="N3045" i="2"/>
  <c r="H3045" i="2"/>
  <c r="N3041" i="2"/>
  <c r="H3041" i="2"/>
  <c r="N3037" i="2"/>
  <c r="H3037" i="2"/>
  <c r="N3033" i="2"/>
  <c r="H3033" i="2"/>
  <c r="N3029" i="2"/>
  <c r="H3029" i="2"/>
  <c r="N3025" i="2"/>
  <c r="H3025" i="2"/>
  <c r="N3021" i="2"/>
  <c r="H3021" i="2"/>
  <c r="N3017" i="2"/>
  <c r="H3017" i="2"/>
  <c r="N3013" i="2"/>
  <c r="H3013" i="2"/>
  <c r="N3009" i="2"/>
  <c r="H3009" i="2"/>
  <c r="N3005" i="2"/>
  <c r="H3005" i="2"/>
  <c r="N3001" i="2"/>
  <c r="H3001" i="2"/>
  <c r="N2997" i="2"/>
  <c r="H2997" i="2"/>
  <c r="N2993" i="2"/>
  <c r="H2993" i="2"/>
  <c r="N2989" i="2"/>
  <c r="H2989" i="2"/>
  <c r="N2985" i="2"/>
  <c r="H2985" i="2"/>
  <c r="N2981" i="2"/>
  <c r="H2981" i="2"/>
  <c r="N2977" i="2"/>
  <c r="H2977" i="2"/>
  <c r="N2973" i="2"/>
  <c r="H2973" i="2"/>
  <c r="N2969" i="2"/>
  <c r="H2969" i="2"/>
  <c r="N2965" i="2"/>
  <c r="H2965" i="2"/>
  <c r="N2961" i="2"/>
  <c r="H2961" i="2"/>
  <c r="N2957" i="2"/>
  <c r="H2957" i="2"/>
  <c r="N2953" i="2"/>
  <c r="H2953" i="2"/>
  <c r="N2949" i="2"/>
  <c r="H2949" i="2"/>
  <c r="N2945" i="2"/>
  <c r="H2945" i="2"/>
  <c r="N2941" i="2"/>
  <c r="H2941" i="2"/>
  <c r="N2937" i="2"/>
  <c r="H2937" i="2"/>
  <c r="N2933" i="2"/>
  <c r="H2933" i="2"/>
  <c r="N2929" i="2"/>
  <c r="H2929" i="2"/>
  <c r="N2925" i="2"/>
  <c r="H2925" i="2"/>
  <c r="N2921" i="2"/>
  <c r="H2921" i="2"/>
  <c r="N2917" i="2"/>
  <c r="H2917" i="2"/>
  <c r="N2913" i="2"/>
  <c r="H2913" i="2"/>
  <c r="N2909" i="2"/>
  <c r="H2909" i="2"/>
  <c r="N2905" i="2"/>
  <c r="H2905" i="2"/>
  <c r="N2901" i="2"/>
  <c r="H2901" i="2"/>
  <c r="N2897" i="2"/>
  <c r="H2897" i="2"/>
  <c r="N2893" i="2"/>
  <c r="H2893" i="2"/>
  <c r="N2889" i="2"/>
  <c r="H2889" i="2"/>
  <c r="N2885" i="2"/>
  <c r="H2885" i="2"/>
  <c r="N2881" i="2"/>
  <c r="H2881" i="2"/>
  <c r="N2877" i="2"/>
  <c r="H2877" i="2"/>
  <c r="N2873" i="2"/>
  <c r="H2873" i="2"/>
  <c r="N2869" i="2"/>
  <c r="H2869" i="2"/>
  <c r="N2865" i="2"/>
  <c r="H2865" i="2"/>
  <c r="N2861" i="2"/>
  <c r="H2861" i="2"/>
  <c r="N2857" i="2"/>
  <c r="H2857" i="2"/>
  <c r="N2853" i="2"/>
  <c r="H2853" i="2"/>
  <c r="N2849" i="2"/>
  <c r="H2849" i="2"/>
  <c r="N2845" i="2"/>
  <c r="H2845" i="2"/>
  <c r="N2841" i="2"/>
  <c r="H2841" i="2"/>
  <c r="N2837" i="2"/>
  <c r="H2837" i="2"/>
  <c r="N2833" i="2"/>
  <c r="H2833" i="2"/>
  <c r="N2829" i="2"/>
  <c r="H2829" i="2"/>
  <c r="N2825" i="2"/>
  <c r="H2825" i="2"/>
  <c r="N2821" i="2"/>
  <c r="H2821" i="2"/>
  <c r="N2817" i="2"/>
  <c r="H2817" i="2"/>
  <c r="N2813" i="2"/>
  <c r="H2813" i="2"/>
  <c r="N2809" i="2"/>
  <c r="H2809" i="2"/>
  <c r="N2805" i="2"/>
  <c r="H2805" i="2"/>
  <c r="N2801" i="2"/>
  <c r="H2801" i="2"/>
  <c r="N2797" i="2"/>
  <c r="H2797" i="2"/>
  <c r="N2793" i="2"/>
  <c r="H2793" i="2"/>
  <c r="N2789" i="2"/>
  <c r="H2789" i="2"/>
  <c r="N2785" i="2"/>
  <c r="H2785" i="2"/>
  <c r="N2781" i="2"/>
  <c r="H2781" i="2"/>
  <c r="N2777" i="2"/>
  <c r="H2777" i="2"/>
  <c r="N2773" i="2"/>
  <c r="H2773" i="2"/>
  <c r="N2769" i="2"/>
  <c r="H2769" i="2"/>
  <c r="N2765" i="2"/>
  <c r="H2765" i="2"/>
  <c r="N2761" i="2"/>
  <c r="H2761" i="2"/>
  <c r="N2757" i="2"/>
  <c r="H2757" i="2"/>
  <c r="N2753" i="2"/>
  <c r="H2753" i="2"/>
  <c r="N2749" i="2"/>
  <c r="H2749" i="2"/>
  <c r="N2745" i="2"/>
  <c r="H2745" i="2"/>
  <c r="N2741" i="2"/>
  <c r="H2741" i="2"/>
  <c r="N2737" i="2"/>
  <c r="H2737" i="2"/>
  <c r="N2733" i="2"/>
  <c r="H2733" i="2"/>
  <c r="N2729" i="2"/>
  <c r="H2729" i="2"/>
  <c r="N2725" i="2"/>
  <c r="H2725" i="2"/>
  <c r="N2721" i="2"/>
  <c r="H2721" i="2"/>
  <c r="N2717" i="2"/>
  <c r="H2717" i="2"/>
  <c r="N2713" i="2"/>
  <c r="H2713" i="2"/>
  <c r="N2709" i="2"/>
  <c r="H2709" i="2"/>
  <c r="N2705" i="2"/>
  <c r="H2705" i="2"/>
  <c r="N2701" i="2"/>
  <c r="H2701" i="2"/>
  <c r="N2697" i="2"/>
  <c r="H2697" i="2"/>
  <c r="N2693" i="2"/>
  <c r="H2693" i="2"/>
  <c r="N2689" i="2"/>
  <c r="H2689" i="2"/>
  <c r="N2685" i="2"/>
  <c r="H2685" i="2"/>
  <c r="N2681" i="2"/>
  <c r="H2681" i="2"/>
  <c r="N2677" i="2"/>
  <c r="H2677" i="2"/>
  <c r="N2673" i="2"/>
  <c r="H2673" i="2"/>
  <c r="N2669" i="2"/>
  <c r="H2669" i="2"/>
  <c r="N2665" i="2"/>
  <c r="H2665" i="2"/>
  <c r="N2661" i="2"/>
  <c r="H2661" i="2"/>
  <c r="N2657" i="2"/>
  <c r="H2657" i="2"/>
  <c r="N2653" i="2"/>
  <c r="H2653" i="2"/>
  <c r="N2649" i="2"/>
  <c r="H2649" i="2"/>
  <c r="N2645" i="2"/>
  <c r="H2645" i="2"/>
  <c r="N2641" i="2"/>
  <c r="H2641" i="2"/>
  <c r="N2637" i="2"/>
  <c r="H2637" i="2"/>
  <c r="N2633" i="2"/>
  <c r="H2633" i="2"/>
  <c r="N2629" i="2"/>
  <c r="H2629" i="2"/>
  <c r="N2625" i="2"/>
  <c r="H2625" i="2"/>
  <c r="N2621" i="2"/>
  <c r="H2621" i="2"/>
  <c r="N2617" i="2"/>
  <c r="H2617" i="2"/>
  <c r="N2613" i="2"/>
  <c r="H2613" i="2"/>
  <c r="N2609" i="2"/>
  <c r="H2609" i="2"/>
  <c r="N2605" i="2"/>
  <c r="H2605" i="2"/>
  <c r="N2601" i="2"/>
  <c r="H2601" i="2"/>
  <c r="N2597" i="2"/>
  <c r="H2597" i="2"/>
  <c r="N2593" i="2"/>
  <c r="H2593" i="2"/>
  <c r="N2589" i="2"/>
  <c r="H2589" i="2"/>
  <c r="N2585" i="2"/>
  <c r="H2585" i="2"/>
  <c r="N2581" i="2"/>
  <c r="H2581" i="2"/>
  <c r="N2577" i="2"/>
  <c r="H2577" i="2"/>
  <c r="N2573" i="2"/>
  <c r="H2573" i="2"/>
  <c r="N2569" i="2"/>
  <c r="H2569" i="2"/>
  <c r="N2565" i="2"/>
  <c r="H2565" i="2"/>
  <c r="N2561" i="2"/>
  <c r="H2561" i="2"/>
  <c r="N2557" i="2"/>
  <c r="H2557" i="2"/>
  <c r="N2553" i="2"/>
  <c r="H2553" i="2"/>
  <c r="N2549" i="2"/>
  <c r="H2549" i="2"/>
  <c r="N2545" i="2"/>
  <c r="H2545" i="2"/>
  <c r="N2541" i="2"/>
  <c r="H2541" i="2"/>
  <c r="N2537" i="2"/>
  <c r="H2537" i="2"/>
  <c r="N2533" i="2"/>
  <c r="H2533" i="2"/>
  <c r="N2529" i="2"/>
  <c r="H2529" i="2"/>
  <c r="N2525" i="2"/>
  <c r="H2525" i="2"/>
  <c r="N2521" i="2"/>
  <c r="H2521" i="2"/>
  <c r="N2517" i="2"/>
  <c r="H2517" i="2"/>
  <c r="N2513" i="2"/>
  <c r="H2513" i="2"/>
  <c r="N2509" i="2"/>
  <c r="H2509" i="2"/>
  <c r="N2505" i="2"/>
  <c r="H2505" i="2"/>
  <c r="N2501" i="2"/>
  <c r="H2501" i="2"/>
  <c r="N2497" i="2"/>
  <c r="H2497" i="2"/>
  <c r="N2493" i="2"/>
  <c r="H2493" i="2"/>
  <c r="N2489" i="2"/>
  <c r="H2489" i="2"/>
  <c r="N2485" i="2"/>
  <c r="H2485" i="2"/>
  <c r="N2481" i="2"/>
  <c r="H2481" i="2"/>
  <c r="N2477" i="2"/>
  <c r="H2477" i="2"/>
  <c r="N2473" i="2"/>
  <c r="H2473" i="2"/>
  <c r="N2469" i="2"/>
  <c r="H2469" i="2"/>
  <c r="N2465" i="2"/>
  <c r="H2465" i="2"/>
  <c r="N2461" i="2"/>
  <c r="H2461" i="2"/>
  <c r="N2457" i="2"/>
  <c r="H2457" i="2"/>
  <c r="N2453" i="2"/>
  <c r="H2453" i="2"/>
  <c r="N2449" i="2"/>
  <c r="H2449" i="2"/>
  <c r="N2445" i="2"/>
  <c r="H2445" i="2"/>
  <c r="N2441" i="2"/>
  <c r="H2441" i="2"/>
  <c r="N2437" i="2"/>
  <c r="H2437" i="2"/>
  <c r="N2433" i="2"/>
  <c r="H2433" i="2"/>
  <c r="N2429" i="2"/>
  <c r="H2429" i="2"/>
  <c r="N2425" i="2"/>
  <c r="H2425" i="2"/>
  <c r="N2421" i="2"/>
  <c r="H2421" i="2"/>
  <c r="N2417" i="2"/>
  <c r="H2417" i="2"/>
  <c r="N2413" i="2"/>
  <c r="H2413" i="2"/>
  <c r="N2409" i="2"/>
  <c r="H2409" i="2"/>
  <c r="N2405" i="2"/>
  <c r="H2405" i="2"/>
  <c r="N2401" i="2"/>
  <c r="H2401" i="2"/>
  <c r="N2397" i="2"/>
  <c r="H2397" i="2"/>
  <c r="N2393" i="2"/>
  <c r="H2393" i="2"/>
  <c r="N2389" i="2"/>
  <c r="H2389" i="2"/>
  <c r="N2385" i="2"/>
  <c r="H2385" i="2"/>
  <c r="N2381" i="2"/>
  <c r="H2381" i="2"/>
  <c r="N2377" i="2"/>
  <c r="H2377" i="2"/>
  <c r="N2373" i="2"/>
  <c r="H2373" i="2"/>
  <c r="N2369" i="2"/>
  <c r="H2369" i="2"/>
  <c r="N2365" i="2"/>
  <c r="H2365" i="2"/>
  <c r="N2361" i="2"/>
  <c r="H2361" i="2"/>
  <c r="N2357" i="2"/>
  <c r="H2357" i="2"/>
  <c r="N2353" i="2"/>
  <c r="H2353" i="2"/>
  <c r="N2349" i="2"/>
  <c r="H2349" i="2"/>
  <c r="N2345" i="2"/>
  <c r="H2345" i="2"/>
  <c r="N2341" i="2"/>
  <c r="H2341" i="2"/>
  <c r="N2337" i="2"/>
  <c r="H2337" i="2"/>
  <c r="N2333" i="2"/>
  <c r="H2333" i="2"/>
  <c r="N2329" i="2"/>
  <c r="H2329" i="2"/>
  <c r="N2325" i="2"/>
  <c r="H2325" i="2"/>
  <c r="N2321" i="2"/>
  <c r="H2321" i="2"/>
  <c r="N2317" i="2"/>
  <c r="H2317" i="2"/>
  <c r="N2313" i="2"/>
  <c r="H2313" i="2"/>
  <c r="N2309" i="2"/>
  <c r="H2309" i="2"/>
  <c r="N2305" i="2"/>
  <c r="H2305" i="2"/>
  <c r="N2301" i="2"/>
  <c r="H2301" i="2"/>
  <c r="N2297" i="2"/>
  <c r="H2297" i="2"/>
  <c r="N2293" i="2"/>
  <c r="H2293" i="2"/>
  <c r="N2289" i="2"/>
  <c r="H2289" i="2"/>
  <c r="N2285" i="2"/>
  <c r="H2285" i="2"/>
  <c r="N2281" i="2"/>
  <c r="H2281" i="2"/>
  <c r="N2277" i="2"/>
  <c r="H2277" i="2"/>
  <c r="N2273" i="2"/>
  <c r="H2273" i="2"/>
  <c r="N2269" i="2"/>
  <c r="H2269" i="2"/>
  <c r="N2265" i="2"/>
  <c r="H2265" i="2"/>
  <c r="N2261" i="2"/>
  <c r="H2261" i="2"/>
  <c r="N2257" i="2"/>
  <c r="H2257" i="2"/>
  <c r="N2253" i="2"/>
  <c r="H2253" i="2"/>
  <c r="N2249" i="2"/>
  <c r="H2249" i="2"/>
  <c r="N2245" i="2"/>
  <c r="H2245" i="2"/>
  <c r="N2241" i="2"/>
  <c r="H2241" i="2"/>
  <c r="N2237" i="2"/>
  <c r="H2237" i="2"/>
  <c r="N2233" i="2"/>
  <c r="H2233" i="2"/>
  <c r="N2229" i="2"/>
  <c r="H2229" i="2"/>
  <c r="N2225" i="2"/>
  <c r="H2225" i="2"/>
  <c r="N2221" i="2"/>
  <c r="H2221" i="2"/>
  <c r="N2217" i="2"/>
  <c r="H2217" i="2"/>
  <c r="N2213" i="2"/>
  <c r="H2213" i="2"/>
  <c r="N2209" i="2"/>
  <c r="H2209" i="2"/>
  <c r="N2205" i="2"/>
  <c r="H2205" i="2"/>
  <c r="N2201" i="2"/>
  <c r="H2201" i="2"/>
  <c r="N2197" i="2"/>
  <c r="H2197" i="2"/>
  <c r="N2193" i="2"/>
  <c r="H2193" i="2"/>
  <c r="N2189" i="2"/>
  <c r="H2189" i="2"/>
  <c r="N2185" i="2"/>
  <c r="H2185" i="2"/>
  <c r="N2181" i="2"/>
  <c r="H2181" i="2"/>
  <c r="N2177" i="2"/>
  <c r="H2177" i="2"/>
  <c r="N2173" i="2"/>
  <c r="H2173" i="2"/>
  <c r="N2169" i="2"/>
  <c r="H2169" i="2"/>
  <c r="N2165" i="2"/>
  <c r="H2165" i="2"/>
  <c r="N2161" i="2"/>
  <c r="H2161" i="2"/>
  <c r="N2157" i="2"/>
  <c r="H2157" i="2"/>
  <c r="N2153" i="2"/>
  <c r="H2153" i="2"/>
  <c r="N2149" i="2"/>
  <c r="H2149" i="2"/>
  <c r="N2145" i="2"/>
  <c r="H2145" i="2"/>
  <c r="N2141" i="2"/>
  <c r="H2141" i="2"/>
  <c r="N2137" i="2"/>
  <c r="H2137" i="2"/>
  <c r="N2133" i="2"/>
  <c r="H2133" i="2"/>
  <c r="N2129" i="2"/>
  <c r="H2129" i="2"/>
  <c r="N2125" i="2"/>
  <c r="H2125" i="2"/>
  <c r="N2121" i="2"/>
  <c r="H2121" i="2"/>
  <c r="N2117" i="2"/>
  <c r="H2117" i="2"/>
  <c r="N2113" i="2"/>
  <c r="H2113" i="2"/>
  <c r="N2109" i="2"/>
  <c r="H2109" i="2"/>
  <c r="N2105" i="2"/>
  <c r="H2105" i="2"/>
  <c r="N2101" i="2"/>
  <c r="H2101" i="2"/>
  <c r="N2097" i="2"/>
  <c r="H2097" i="2"/>
  <c r="N2093" i="2"/>
  <c r="H2093" i="2"/>
  <c r="N2089" i="2"/>
  <c r="H2089" i="2"/>
  <c r="N2085" i="2"/>
  <c r="H2085" i="2"/>
  <c r="N2081" i="2"/>
  <c r="H2081" i="2"/>
  <c r="N2077" i="2"/>
  <c r="H2077" i="2"/>
  <c r="N2073" i="2"/>
  <c r="H2073" i="2"/>
  <c r="N2069" i="2"/>
  <c r="H2069" i="2"/>
  <c r="N2065" i="2"/>
  <c r="H2065" i="2"/>
  <c r="N2061" i="2"/>
  <c r="H2061" i="2"/>
  <c r="N2057" i="2"/>
  <c r="H2057" i="2"/>
  <c r="N2053" i="2"/>
  <c r="H2053" i="2"/>
  <c r="N2049" i="2"/>
  <c r="H2049" i="2"/>
  <c r="N2045" i="2"/>
  <c r="H2045" i="2"/>
  <c r="N2041" i="2"/>
  <c r="H2041" i="2"/>
  <c r="N2037" i="2"/>
  <c r="H2037" i="2"/>
  <c r="N2033" i="2"/>
  <c r="H2033" i="2"/>
  <c r="N2029" i="2"/>
  <c r="H2029" i="2"/>
  <c r="N2025" i="2"/>
  <c r="H2025" i="2"/>
  <c r="N2021" i="2"/>
  <c r="H2021" i="2"/>
  <c r="N2017" i="2"/>
  <c r="H2017" i="2"/>
  <c r="N2013" i="2"/>
  <c r="H2013" i="2"/>
  <c r="N2009" i="2"/>
  <c r="H2009" i="2"/>
  <c r="N2005" i="2"/>
  <c r="H2005" i="2"/>
  <c r="N2001" i="2"/>
  <c r="H2001" i="2"/>
  <c r="N1997" i="2"/>
  <c r="H1997" i="2"/>
  <c r="N1993" i="2"/>
  <c r="H1993" i="2"/>
  <c r="N1989" i="2"/>
  <c r="H1989" i="2"/>
  <c r="N1985" i="2"/>
  <c r="H1985" i="2"/>
  <c r="N1981" i="2"/>
  <c r="H1981" i="2"/>
  <c r="N1977" i="2"/>
  <c r="H1977" i="2"/>
  <c r="N1973" i="2"/>
  <c r="H1973" i="2"/>
  <c r="N1969" i="2"/>
  <c r="H1969" i="2"/>
  <c r="N1965" i="2"/>
  <c r="H1965" i="2"/>
  <c r="N1961" i="2"/>
  <c r="H1961" i="2"/>
  <c r="N1957" i="2"/>
  <c r="H1957" i="2"/>
  <c r="N1953" i="2"/>
  <c r="H1953" i="2"/>
  <c r="N1949" i="2"/>
  <c r="H1949" i="2"/>
  <c r="N1945" i="2"/>
  <c r="H1945" i="2"/>
  <c r="N1941" i="2"/>
  <c r="H1941" i="2"/>
  <c r="N1937" i="2"/>
  <c r="H1937" i="2"/>
  <c r="N1933" i="2"/>
  <c r="H1933" i="2"/>
  <c r="N1929" i="2"/>
  <c r="H1929" i="2"/>
  <c r="N1925" i="2"/>
  <c r="H1925" i="2"/>
  <c r="N1921" i="2"/>
  <c r="H1921" i="2"/>
  <c r="N1917" i="2"/>
  <c r="H1917" i="2"/>
  <c r="N1913" i="2"/>
  <c r="H1913" i="2"/>
  <c r="N1909" i="2"/>
  <c r="H1909" i="2"/>
  <c r="N1905" i="2"/>
  <c r="H1905" i="2"/>
  <c r="N1901" i="2"/>
  <c r="H1901" i="2"/>
  <c r="N1897" i="2"/>
  <c r="H1897" i="2"/>
  <c r="N1893" i="2"/>
  <c r="H1893" i="2"/>
  <c r="N1889" i="2"/>
  <c r="H1889" i="2"/>
  <c r="N1885" i="2"/>
  <c r="H1885" i="2"/>
  <c r="N1881" i="2"/>
  <c r="H1881" i="2"/>
  <c r="N1877" i="2"/>
  <c r="H1877" i="2"/>
  <c r="N1873" i="2"/>
  <c r="H1873" i="2"/>
  <c r="N1869" i="2"/>
  <c r="H1869" i="2"/>
  <c r="N1865" i="2"/>
  <c r="H1865" i="2"/>
  <c r="N1861" i="2"/>
  <c r="H1861" i="2"/>
  <c r="N1857" i="2"/>
  <c r="H1857" i="2"/>
  <c r="N1853" i="2"/>
  <c r="H1853" i="2"/>
  <c r="N1849" i="2"/>
  <c r="H1849" i="2"/>
  <c r="N1845" i="2"/>
  <c r="H1845" i="2"/>
  <c r="N1841" i="2"/>
  <c r="H1841" i="2"/>
  <c r="N1837" i="2"/>
  <c r="H1837" i="2"/>
  <c r="N1833" i="2"/>
  <c r="H1833" i="2"/>
  <c r="N1829" i="2"/>
  <c r="H1829" i="2"/>
  <c r="N1825" i="2"/>
  <c r="H1825" i="2"/>
  <c r="N1821" i="2"/>
  <c r="H1821" i="2"/>
  <c r="N1817" i="2"/>
  <c r="H1817" i="2"/>
  <c r="N1813" i="2"/>
  <c r="H1813" i="2"/>
  <c r="N1809" i="2"/>
  <c r="H1809" i="2"/>
  <c r="N1805" i="2"/>
  <c r="H1805" i="2"/>
  <c r="N1801" i="2"/>
  <c r="H1801" i="2"/>
  <c r="N1797" i="2"/>
  <c r="H1797" i="2"/>
  <c r="N1793" i="2"/>
  <c r="H1793" i="2"/>
  <c r="N1789" i="2"/>
  <c r="H1789" i="2"/>
  <c r="N1785" i="2"/>
  <c r="H1785" i="2"/>
  <c r="N1781" i="2"/>
  <c r="H1781" i="2"/>
  <c r="N1777" i="2"/>
  <c r="H1777" i="2"/>
  <c r="N1773" i="2"/>
  <c r="H1773" i="2"/>
  <c r="N1769" i="2"/>
  <c r="H1769" i="2"/>
  <c r="N1765" i="2"/>
  <c r="H1765" i="2"/>
  <c r="N1761" i="2"/>
  <c r="H1761" i="2"/>
  <c r="N1757" i="2"/>
  <c r="H1757" i="2"/>
  <c r="N1753" i="2"/>
  <c r="H1753" i="2"/>
  <c r="N1749" i="2"/>
  <c r="H1749" i="2"/>
  <c r="N1745" i="2"/>
  <c r="H1745" i="2"/>
  <c r="N1741" i="2"/>
  <c r="H1741" i="2"/>
  <c r="N1737" i="2"/>
  <c r="H1737" i="2"/>
  <c r="N1733" i="2"/>
  <c r="H1733" i="2"/>
  <c r="N1729" i="2"/>
  <c r="H1729" i="2"/>
  <c r="N1725" i="2"/>
  <c r="H1725" i="2"/>
  <c r="N1721" i="2"/>
  <c r="H1721" i="2"/>
  <c r="N1717" i="2"/>
  <c r="H1717" i="2"/>
  <c r="N1713" i="2"/>
  <c r="H1713" i="2"/>
  <c r="N1709" i="2"/>
  <c r="H1709" i="2"/>
  <c r="N1705" i="2"/>
  <c r="H1705" i="2"/>
  <c r="N1701" i="2"/>
  <c r="H1701" i="2"/>
  <c r="N1697" i="2"/>
  <c r="H1697" i="2"/>
  <c r="N1693" i="2"/>
  <c r="H1693" i="2"/>
  <c r="N1689" i="2"/>
  <c r="H1689" i="2"/>
  <c r="N1685" i="2"/>
  <c r="H1685" i="2"/>
  <c r="N1681" i="2"/>
  <c r="H1681" i="2"/>
  <c r="N1677" i="2"/>
  <c r="H1677" i="2"/>
  <c r="N1673" i="2"/>
  <c r="H1673" i="2"/>
  <c r="N1669" i="2"/>
  <c r="H1669" i="2"/>
  <c r="N1665" i="2"/>
  <c r="H1665" i="2"/>
  <c r="N1661" i="2"/>
  <c r="H1661" i="2"/>
  <c r="N1657" i="2"/>
  <c r="H1657" i="2"/>
  <c r="N1653" i="2"/>
  <c r="H1653" i="2"/>
  <c r="N1649" i="2"/>
  <c r="H1649" i="2"/>
  <c r="N1645" i="2"/>
  <c r="H1645" i="2"/>
  <c r="N1641" i="2"/>
  <c r="H1641" i="2"/>
  <c r="N1637" i="2"/>
  <c r="H1637" i="2"/>
  <c r="N1633" i="2"/>
  <c r="H1633" i="2"/>
  <c r="N1629" i="2"/>
  <c r="H1629" i="2"/>
  <c r="N1625" i="2"/>
  <c r="H1625" i="2"/>
  <c r="N1621" i="2"/>
  <c r="H1621" i="2"/>
  <c r="N1617" i="2"/>
  <c r="H1617" i="2"/>
  <c r="N1613" i="2"/>
  <c r="H1613" i="2"/>
  <c r="N1609" i="2"/>
  <c r="H1609" i="2"/>
  <c r="N1605" i="2"/>
  <c r="H1605" i="2"/>
  <c r="N1601" i="2"/>
  <c r="H1601" i="2"/>
  <c r="N1597" i="2"/>
  <c r="H1597" i="2"/>
  <c r="N1593" i="2"/>
  <c r="H1593" i="2"/>
  <c r="N1589" i="2"/>
  <c r="H1589" i="2"/>
  <c r="N1585" i="2"/>
  <c r="H1585" i="2"/>
  <c r="N1581" i="2"/>
  <c r="H1581" i="2"/>
  <c r="N1577" i="2"/>
  <c r="H1577" i="2"/>
  <c r="N1573" i="2"/>
  <c r="H1573" i="2"/>
  <c r="N1569" i="2"/>
  <c r="H1569" i="2"/>
  <c r="N1565" i="2"/>
  <c r="H1565" i="2"/>
  <c r="N1561" i="2"/>
  <c r="H1561" i="2"/>
  <c r="N1557" i="2"/>
  <c r="H1557" i="2"/>
  <c r="N1553" i="2"/>
  <c r="H1553" i="2"/>
  <c r="N1549" i="2"/>
  <c r="H1549" i="2"/>
  <c r="N1545" i="2"/>
  <c r="H1545" i="2"/>
  <c r="N1541" i="2"/>
  <c r="H1541" i="2"/>
  <c r="N1537" i="2"/>
  <c r="H1537" i="2"/>
  <c r="N1533" i="2"/>
  <c r="H1533" i="2"/>
  <c r="N1529" i="2"/>
  <c r="H1529" i="2"/>
  <c r="N1525" i="2"/>
  <c r="H1525" i="2"/>
  <c r="N1521" i="2"/>
  <c r="H1521" i="2"/>
  <c r="N1517" i="2"/>
  <c r="H1517" i="2"/>
  <c r="N1513" i="2"/>
  <c r="H1513" i="2"/>
  <c r="N1509" i="2"/>
  <c r="H1509" i="2"/>
  <c r="N1505" i="2"/>
  <c r="H1505" i="2"/>
  <c r="N1501" i="2"/>
  <c r="H1501" i="2"/>
  <c r="N1497" i="2"/>
  <c r="H1497" i="2"/>
  <c r="N1493" i="2"/>
  <c r="H1493" i="2"/>
  <c r="N1489" i="2"/>
  <c r="H1489" i="2"/>
  <c r="N1485" i="2"/>
  <c r="H1485" i="2"/>
  <c r="N1481" i="2"/>
  <c r="H1481" i="2"/>
  <c r="N1477" i="2"/>
  <c r="H1477" i="2"/>
  <c r="N1473" i="2"/>
  <c r="H1473" i="2"/>
  <c r="N1469" i="2"/>
  <c r="H1469" i="2"/>
  <c r="N1465" i="2"/>
  <c r="H1465" i="2"/>
  <c r="N1461" i="2"/>
  <c r="H1461" i="2"/>
  <c r="N1457" i="2"/>
  <c r="H1457" i="2"/>
  <c r="N1453" i="2"/>
  <c r="H1453" i="2"/>
  <c r="N1449" i="2"/>
  <c r="H1449" i="2"/>
  <c r="N1445" i="2"/>
  <c r="H1445" i="2"/>
  <c r="N1441" i="2"/>
  <c r="H1441" i="2"/>
  <c r="N1437" i="2"/>
  <c r="H1437" i="2"/>
  <c r="N1433" i="2"/>
  <c r="H1433" i="2"/>
  <c r="N1429" i="2"/>
  <c r="H1429" i="2"/>
  <c r="N1425" i="2"/>
  <c r="H1425" i="2"/>
  <c r="N1421" i="2"/>
  <c r="H1421" i="2"/>
  <c r="N1417" i="2"/>
  <c r="H1417" i="2"/>
  <c r="N1413" i="2"/>
  <c r="H1413" i="2"/>
  <c r="N1409" i="2"/>
  <c r="H1409" i="2"/>
  <c r="N1405" i="2"/>
  <c r="H1405" i="2"/>
  <c r="N1401" i="2"/>
  <c r="H1401" i="2"/>
  <c r="N1397" i="2"/>
  <c r="H1397" i="2"/>
  <c r="N1393" i="2"/>
  <c r="H1393" i="2"/>
  <c r="N1389" i="2"/>
  <c r="H1389" i="2"/>
  <c r="N1385" i="2"/>
  <c r="H1385" i="2"/>
  <c r="N1381" i="2"/>
  <c r="H1381" i="2"/>
  <c r="N1377" i="2"/>
  <c r="H1377" i="2"/>
  <c r="N1373" i="2"/>
  <c r="H1373" i="2"/>
  <c r="N1369" i="2"/>
  <c r="H1369" i="2"/>
  <c r="N1365" i="2"/>
  <c r="H1365" i="2"/>
  <c r="N1361" i="2"/>
  <c r="H1361" i="2"/>
  <c r="N1357" i="2"/>
  <c r="H1357" i="2"/>
  <c r="N1353" i="2"/>
  <c r="H1353" i="2"/>
  <c r="N1349" i="2"/>
  <c r="H1349" i="2"/>
  <c r="N1345" i="2"/>
  <c r="H1345" i="2"/>
  <c r="N1341" i="2"/>
  <c r="H1341" i="2"/>
  <c r="N1337" i="2"/>
  <c r="H1337" i="2"/>
  <c r="N1333" i="2"/>
  <c r="H1333" i="2"/>
  <c r="N1329" i="2"/>
  <c r="H1329" i="2"/>
  <c r="N1325" i="2"/>
  <c r="H1325" i="2"/>
  <c r="N1321" i="2"/>
  <c r="H1321" i="2"/>
  <c r="N1317" i="2"/>
  <c r="H1317" i="2"/>
  <c r="N1313" i="2"/>
  <c r="H1313" i="2"/>
  <c r="N1309" i="2"/>
  <c r="H1309" i="2"/>
  <c r="N1305" i="2"/>
  <c r="H1305" i="2"/>
  <c r="N1301" i="2"/>
  <c r="H1301" i="2"/>
  <c r="N1297" i="2"/>
  <c r="H1297" i="2"/>
  <c r="N1293" i="2"/>
  <c r="H1293" i="2"/>
  <c r="N1289" i="2"/>
  <c r="H1289" i="2"/>
  <c r="N1285" i="2"/>
  <c r="H1285" i="2"/>
  <c r="N1281" i="2"/>
  <c r="H1281" i="2"/>
  <c r="N1277" i="2"/>
  <c r="H1277" i="2"/>
  <c r="N1273" i="2"/>
  <c r="H1273" i="2"/>
  <c r="N1269" i="2"/>
  <c r="H1269" i="2"/>
  <c r="N1265" i="2"/>
  <c r="H1265" i="2"/>
  <c r="N1261" i="2"/>
  <c r="H1261" i="2"/>
  <c r="N1257" i="2"/>
  <c r="H1257" i="2"/>
  <c r="N1253" i="2"/>
  <c r="H1253" i="2"/>
  <c r="N1249" i="2"/>
  <c r="H1249" i="2"/>
  <c r="N1245" i="2"/>
  <c r="H1245" i="2"/>
  <c r="N1241" i="2"/>
  <c r="H1241" i="2"/>
  <c r="N1237" i="2"/>
  <c r="H1237" i="2"/>
  <c r="N1233" i="2"/>
  <c r="H1233" i="2"/>
  <c r="N1229" i="2"/>
  <c r="H1229" i="2"/>
  <c r="N1225" i="2"/>
  <c r="H1225" i="2"/>
  <c r="N1221" i="2"/>
  <c r="H1221" i="2"/>
  <c r="N1217" i="2"/>
  <c r="H1217" i="2"/>
  <c r="N1213" i="2"/>
  <c r="H1213" i="2"/>
  <c r="N1209" i="2"/>
  <c r="H1209" i="2"/>
  <c r="N1205" i="2"/>
  <c r="H1205" i="2"/>
  <c r="N1201" i="2"/>
  <c r="H1201" i="2"/>
  <c r="N1197" i="2"/>
  <c r="H1197" i="2"/>
  <c r="N1193" i="2"/>
  <c r="H1193" i="2"/>
  <c r="N1189" i="2"/>
  <c r="H1189" i="2"/>
  <c r="N1185" i="2"/>
  <c r="H1185" i="2"/>
  <c r="N1181" i="2"/>
  <c r="H1181" i="2"/>
  <c r="N1177" i="2"/>
  <c r="H1177" i="2"/>
  <c r="N1173" i="2"/>
  <c r="H1173" i="2"/>
  <c r="N1169" i="2"/>
  <c r="H1169" i="2"/>
  <c r="N1165" i="2"/>
  <c r="H1165" i="2"/>
  <c r="N1161" i="2"/>
  <c r="H1161" i="2"/>
  <c r="N1157" i="2"/>
  <c r="H1157" i="2"/>
  <c r="N1153" i="2"/>
  <c r="H1153" i="2"/>
  <c r="N1149" i="2"/>
  <c r="H1149" i="2"/>
  <c r="N1145" i="2"/>
  <c r="H1145" i="2"/>
  <c r="N1141" i="2"/>
  <c r="H1141" i="2"/>
  <c r="N1137" i="2"/>
  <c r="H1137" i="2"/>
  <c r="N1133" i="2"/>
  <c r="H1133" i="2"/>
  <c r="N1129" i="2"/>
  <c r="H1129" i="2"/>
  <c r="N1125" i="2"/>
  <c r="H1125" i="2"/>
  <c r="N1121" i="2"/>
  <c r="H1121" i="2"/>
  <c r="N1117" i="2"/>
  <c r="H1117" i="2"/>
  <c r="N1113" i="2"/>
  <c r="H1113" i="2"/>
  <c r="N1109" i="2"/>
  <c r="H1109" i="2"/>
  <c r="N1105" i="2"/>
  <c r="H1105" i="2"/>
  <c r="N1101" i="2"/>
  <c r="H1101" i="2"/>
  <c r="N1097" i="2"/>
  <c r="H1097" i="2"/>
  <c r="N1093" i="2"/>
  <c r="H1093" i="2"/>
  <c r="N1089" i="2"/>
  <c r="H1089" i="2"/>
  <c r="N1085" i="2"/>
  <c r="H1085" i="2"/>
  <c r="N1081" i="2"/>
  <c r="H1081" i="2"/>
  <c r="N1077" i="2"/>
  <c r="H1077" i="2"/>
  <c r="N1073" i="2"/>
  <c r="H1073" i="2"/>
  <c r="N1069" i="2"/>
  <c r="H1069" i="2"/>
  <c r="N1065" i="2"/>
  <c r="H1065" i="2"/>
  <c r="N1061" i="2"/>
  <c r="H1061" i="2"/>
  <c r="N1057" i="2"/>
  <c r="H1057" i="2"/>
  <c r="N1053" i="2"/>
  <c r="H1053" i="2"/>
  <c r="N1049" i="2"/>
  <c r="H1049" i="2"/>
  <c r="N1045" i="2"/>
  <c r="H1045" i="2"/>
  <c r="N1041" i="2"/>
  <c r="H1041" i="2"/>
  <c r="N1037" i="2"/>
  <c r="H1037" i="2"/>
  <c r="N1033" i="2"/>
  <c r="H1033" i="2"/>
  <c r="N1029" i="2"/>
  <c r="H1029" i="2"/>
  <c r="N1025" i="2"/>
  <c r="H1025" i="2"/>
  <c r="N7122" i="2"/>
  <c r="H7122" i="2"/>
  <c r="N7114" i="2"/>
  <c r="H7114" i="2"/>
  <c r="N7106" i="2"/>
  <c r="H7106" i="2"/>
  <c r="N7098" i="2"/>
  <c r="H7098" i="2"/>
  <c r="N7090" i="2"/>
  <c r="H7090" i="2"/>
  <c r="N7086" i="2"/>
  <c r="H7086" i="2"/>
  <c r="N7078" i="2"/>
  <c r="H7078" i="2"/>
  <c r="N7070" i="2"/>
  <c r="H7070" i="2"/>
  <c r="N7058" i="2"/>
  <c r="H7058" i="2"/>
  <c r="N7050" i="2"/>
  <c r="H7050" i="2"/>
  <c r="N7046" i="2"/>
  <c r="H7046" i="2"/>
  <c r="N7038" i="2"/>
  <c r="H7038" i="2"/>
  <c r="N7026" i="2"/>
  <c r="H7026" i="2"/>
  <c r="N7018" i="2"/>
  <c r="H7018" i="2"/>
  <c r="N7010" i="2"/>
  <c r="H7010" i="2"/>
  <c r="N7002" i="2"/>
  <c r="H7002" i="2"/>
  <c r="N6998" i="2"/>
  <c r="H6998" i="2"/>
  <c r="N6990" i="2"/>
  <c r="H6990" i="2"/>
  <c r="N6978" i="2"/>
  <c r="H6978" i="2"/>
  <c r="N6970" i="2"/>
  <c r="H6970" i="2"/>
  <c r="N6962" i="2"/>
  <c r="H6962" i="2"/>
  <c r="N6954" i="2"/>
  <c r="H6954" i="2"/>
  <c r="N6946" i="2"/>
  <c r="H6946" i="2"/>
  <c r="N6938" i="2"/>
  <c r="H6938" i="2"/>
  <c r="N6930" i="2"/>
  <c r="H6930" i="2"/>
  <c r="N6926" i="2"/>
  <c r="H6926" i="2"/>
  <c r="N6914" i="2"/>
  <c r="H6914" i="2"/>
  <c r="N6910" i="2"/>
  <c r="H6910" i="2"/>
  <c r="N6902" i="2"/>
  <c r="H6902" i="2"/>
  <c r="N6894" i="2"/>
  <c r="H6894" i="2"/>
  <c r="N6886" i="2"/>
  <c r="H6886" i="2"/>
  <c r="N6878" i="2"/>
  <c r="H6878" i="2"/>
  <c r="N6870" i="2"/>
  <c r="H6870" i="2"/>
  <c r="N6866" i="2"/>
  <c r="H6866" i="2"/>
  <c r="N6858" i="2"/>
  <c r="H6858" i="2"/>
  <c r="N6850" i="2"/>
  <c r="H6850" i="2"/>
  <c r="N6846" i="2"/>
  <c r="H6846" i="2"/>
  <c r="N6838" i="2"/>
  <c r="H6838" i="2"/>
  <c r="N6826" i="2"/>
  <c r="H6826" i="2"/>
  <c r="N6822" i="2"/>
  <c r="H6822" i="2"/>
  <c r="N6814" i="2"/>
  <c r="H6814" i="2"/>
  <c r="N6806" i="2"/>
  <c r="H6806" i="2"/>
  <c r="N6794" i="2"/>
  <c r="H6794" i="2"/>
  <c r="N6790" i="2"/>
  <c r="H6790" i="2"/>
  <c r="N6778" i="2"/>
  <c r="H6778" i="2"/>
  <c r="N6770" i="2"/>
  <c r="H6770" i="2"/>
  <c r="N6762" i="2"/>
  <c r="H6762" i="2"/>
  <c r="N6758" i="2"/>
  <c r="H6758" i="2"/>
  <c r="N6750" i="2"/>
  <c r="H6750" i="2"/>
  <c r="N6738" i="2"/>
  <c r="H6738" i="2"/>
  <c r="N6734" i="2"/>
  <c r="H6734" i="2"/>
  <c r="N6726" i="2"/>
  <c r="H6726" i="2"/>
  <c r="N6718" i="2"/>
  <c r="H6718" i="2"/>
  <c r="N6706" i="2"/>
  <c r="H6706" i="2"/>
  <c r="N6698" i="2"/>
  <c r="H6698" i="2"/>
  <c r="N6694" i="2"/>
  <c r="H6694" i="2"/>
  <c r="N6686" i="2"/>
  <c r="H6686" i="2"/>
  <c r="N6678" i="2"/>
  <c r="H6678" i="2"/>
  <c r="N6670" i="2"/>
  <c r="H6670" i="2"/>
  <c r="N6662" i="2"/>
  <c r="H6662" i="2"/>
  <c r="N6654" i="2"/>
  <c r="H6654" i="2"/>
  <c r="N6646" i="2"/>
  <c r="H6646" i="2"/>
  <c r="N6634" i="2"/>
  <c r="H6634" i="2"/>
  <c r="N6622" i="2"/>
  <c r="H6622" i="2"/>
  <c r="N6610" i="2"/>
  <c r="H6610" i="2"/>
  <c r="N6598" i="2"/>
  <c r="H6598" i="2"/>
  <c r="N6586" i="2"/>
  <c r="H6586" i="2"/>
  <c r="N6574" i="2"/>
  <c r="H6574" i="2"/>
  <c r="N6562" i="2"/>
  <c r="H6562" i="2"/>
  <c r="N6546" i="2"/>
  <c r="H6546" i="2"/>
  <c r="N6538" i="2"/>
  <c r="H6538" i="2"/>
  <c r="N6526" i="2"/>
  <c r="H6526" i="2"/>
  <c r="N6510" i="2"/>
  <c r="H6510" i="2"/>
  <c r="N6502" i="2"/>
  <c r="H6502" i="2"/>
  <c r="N6490" i="2"/>
  <c r="H6490" i="2"/>
  <c r="N6478" i="2"/>
  <c r="H6478" i="2"/>
  <c r="N6462" i="2"/>
  <c r="H6462" i="2"/>
  <c r="N6446" i="2"/>
  <c r="H6446" i="2"/>
  <c r="N6438" i="2"/>
  <c r="H6438" i="2"/>
  <c r="N6430" i="2"/>
  <c r="H6430" i="2"/>
  <c r="N6418" i="2"/>
  <c r="H6418" i="2"/>
  <c r="N6402" i="2"/>
  <c r="H6402" i="2"/>
  <c r="N6394" i="2"/>
  <c r="H6394" i="2"/>
  <c r="N6382" i="2"/>
  <c r="H6382" i="2"/>
  <c r="N6370" i="2"/>
  <c r="H6370" i="2"/>
  <c r="N6358" i="2"/>
  <c r="H6358" i="2"/>
  <c r="N6342" i="2"/>
  <c r="H6342" i="2"/>
  <c r="N6330" i="2"/>
  <c r="H6330" i="2"/>
  <c r="N6322" i="2"/>
  <c r="H6322" i="2"/>
  <c r="N6306" i="2"/>
  <c r="H6306" i="2"/>
  <c r="N6294" i="2"/>
  <c r="H6294" i="2"/>
  <c r="N6282" i="2"/>
  <c r="H6282" i="2"/>
  <c r="N6270" i="2"/>
  <c r="H6270" i="2"/>
  <c r="N6258" i="2"/>
  <c r="H6258" i="2"/>
  <c r="N6246" i="2"/>
  <c r="H6246" i="2"/>
  <c r="N6234" i="2"/>
  <c r="H6234" i="2"/>
  <c r="N6218" i="2"/>
  <c r="H6218" i="2"/>
  <c r="N6206" i="2"/>
  <c r="H6206" i="2"/>
  <c r="N6202" i="2"/>
  <c r="H6202" i="2"/>
  <c r="N6190" i="2"/>
  <c r="H6190" i="2"/>
  <c r="N6178" i="2"/>
  <c r="H6178" i="2"/>
  <c r="N6166" i="2"/>
  <c r="H6166" i="2"/>
  <c r="N6154" i="2"/>
  <c r="H6154" i="2"/>
  <c r="N6142" i="2"/>
  <c r="H6142" i="2"/>
  <c r="N6130" i="2"/>
  <c r="H6130" i="2"/>
  <c r="N6114" i="2"/>
  <c r="H6114" i="2"/>
  <c r="N6102" i="2"/>
  <c r="H6102" i="2"/>
  <c r="N6086" i="2"/>
  <c r="H6086" i="2"/>
  <c r="N6074" i="2"/>
  <c r="H6074" i="2"/>
  <c r="N6062" i="2"/>
  <c r="H6062" i="2"/>
  <c r="N6050" i="2"/>
  <c r="H6050" i="2"/>
  <c r="N6034" i="2"/>
  <c r="H6034" i="2"/>
  <c r="N6026" i="2"/>
  <c r="H6026" i="2"/>
  <c r="N6010" i="2"/>
  <c r="H6010" i="2"/>
  <c r="N5998" i="2"/>
  <c r="H5998" i="2"/>
  <c r="N5994" i="2"/>
  <c r="H5994" i="2"/>
  <c r="N5982" i="2"/>
  <c r="H5982" i="2"/>
  <c r="N5966" i="2"/>
  <c r="H5966" i="2"/>
  <c r="N5958" i="2"/>
  <c r="H5958" i="2"/>
  <c r="N5938" i="2"/>
  <c r="H5938" i="2"/>
  <c r="N5926" i="2"/>
  <c r="H5926" i="2"/>
  <c r="N5914" i="2"/>
  <c r="H5914" i="2"/>
  <c r="N5902" i="2"/>
  <c r="H5902" i="2"/>
  <c r="N5890" i="2"/>
  <c r="H5890" i="2"/>
  <c r="N5878" i="2"/>
  <c r="H5878" i="2"/>
  <c r="N5870" i="2"/>
  <c r="H5870" i="2"/>
  <c r="N5858" i="2"/>
  <c r="H5858" i="2"/>
  <c r="N5842" i="2"/>
  <c r="H5842" i="2"/>
  <c r="N5834" i="2"/>
  <c r="H5834" i="2"/>
  <c r="N5822" i="2"/>
  <c r="H5822" i="2"/>
  <c r="N5814" i="2"/>
  <c r="H5814" i="2"/>
  <c r="N5802" i="2"/>
  <c r="H5802" i="2"/>
  <c r="N5790" i="2"/>
  <c r="H5790" i="2"/>
  <c r="N5778" i="2"/>
  <c r="H5778" i="2"/>
  <c r="N5766" i="2"/>
  <c r="H5766" i="2"/>
  <c r="N5750" i="2"/>
  <c r="H5750" i="2"/>
  <c r="N5738" i="2"/>
  <c r="H5738" i="2"/>
  <c r="N5726" i="2"/>
  <c r="H5726" i="2"/>
  <c r="N5718" i="2"/>
  <c r="H5718" i="2"/>
  <c r="N5706" i="2"/>
  <c r="H5706" i="2"/>
  <c r="N5694" i="2"/>
  <c r="H5694" i="2"/>
  <c r="N5686" i="2"/>
  <c r="H5686" i="2"/>
  <c r="N5678" i="2"/>
  <c r="H5678" i="2"/>
  <c r="N5666" i="2"/>
  <c r="H5666" i="2"/>
  <c r="N5650" i="2"/>
  <c r="H5650" i="2"/>
  <c r="N5638" i="2"/>
  <c r="H5638" i="2"/>
  <c r="N5626" i="2"/>
  <c r="H5626" i="2"/>
  <c r="N5614" i="2"/>
  <c r="H5614" i="2"/>
  <c r="N5610" i="2"/>
  <c r="H5610" i="2"/>
  <c r="N5598" i="2"/>
  <c r="H5598" i="2"/>
  <c r="N5586" i="2"/>
  <c r="H5586" i="2"/>
  <c r="N5570" i="2"/>
  <c r="H5570" i="2"/>
  <c r="N5558" i="2"/>
  <c r="H5558" i="2"/>
  <c r="N5542" i="2"/>
  <c r="H5542" i="2"/>
  <c r="N5534" i="2"/>
  <c r="H5534" i="2"/>
  <c r="N5526" i="2"/>
  <c r="H5526" i="2"/>
  <c r="N5510" i="2"/>
  <c r="H5510" i="2"/>
  <c r="N5498" i="2"/>
  <c r="H5498" i="2"/>
  <c r="N5482" i="2"/>
  <c r="H5482" i="2"/>
  <c r="N5470" i="2"/>
  <c r="H5470" i="2"/>
  <c r="N5458" i="2"/>
  <c r="H5458" i="2"/>
  <c r="N5446" i="2"/>
  <c r="H5446" i="2"/>
  <c r="N5434" i="2"/>
  <c r="H5434" i="2"/>
  <c r="N5418" i="2"/>
  <c r="H5418" i="2"/>
  <c r="N5406" i="2"/>
  <c r="H5406" i="2"/>
  <c r="N5398" i="2"/>
  <c r="H5398" i="2"/>
  <c r="N5386" i="2"/>
  <c r="H5386" i="2"/>
  <c r="N5374" i="2"/>
  <c r="H5374" i="2"/>
  <c r="N5362" i="2"/>
  <c r="H5362" i="2"/>
  <c r="N5350" i="2"/>
  <c r="H5350" i="2"/>
  <c r="N5338" i="2"/>
  <c r="H5338" i="2"/>
  <c r="N5326" i="2"/>
  <c r="H5326" i="2"/>
  <c r="N5314" i="2"/>
  <c r="H5314" i="2"/>
  <c r="N5306" i="2"/>
  <c r="H5306" i="2"/>
  <c r="N5290" i="2"/>
  <c r="H5290" i="2"/>
  <c r="N5278" i="2"/>
  <c r="H5278" i="2"/>
  <c r="N5270" i="2"/>
  <c r="H5270" i="2"/>
  <c r="N5258" i="2"/>
  <c r="H5258" i="2"/>
  <c r="N5246" i="2"/>
  <c r="H5246" i="2"/>
  <c r="N5234" i="2"/>
  <c r="H5234" i="2"/>
  <c r="N5226" i="2"/>
  <c r="H5226" i="2"/>
  <c r="N5214" i="2"/>
  <c r="H5214" i="2"/>
  <c r="N5198" i="2"/>
  <c r="H5198" i="2"/>
  <c r="N5186" i="2"/>
  <c r="H5186" i="2"/>
  <c r="N5174" i="2"/>
  <c r="H5174" i="2"/>
  <c r="N5162" i="2"/>
  <c r="H5162" i="2"/>
  <c r="N5150" i="2"/>
  <c r="H5150" i="2"/>
  <c r="N5142" i="2"/>
  <c r="H5142" i="2"/>
  <c r="N5130" i="2"/>
  <c r="H5130" i="2"/>
  <c r="N5118" i="2"/>
  <c r="H5118" i="2"/>
  <c r="N5106" i="2"/>
  <c r="H5106" i="2"/>
  <c r="N5094" i="2"/>
  <c r="H5094" i="2"/>
  <c r="N5082" i="2"/>
  <c r="H5082" i="2"/>
  <c r="N5070" i="2"/>
  <c r="H5070" i="2"/>
  <c r="N5058" i="2"/>
  <c r="H5058" i="2"/>
  <c r="N5046" i="2"/>
  <c r="H5046" i="2"/>
  <c r="N5034" i="2"/>
  <c r="H5034" i="2"/>
  <c r="N5022" i="2"/>
  <c r="H5022" i="2"/>
  <c r="N5010" i="2"/>
  <c r="H5010" i="2"/>
  <c r="N4998" i="2"/>
  <c r="H4998" i="2"/>
  <c r="N4982" i="2"/>
  <c r="H4982" i="2"/>
  <c r="N4970" i="2"/>
  <c r="H4970" i="2"/>
  <c r="N4958" i="2"/>
  <c r="H4958" i="2"/>
  <c r="N4950" i="2"/>
  <c r="H4950" i="2"/>
  <c r="N4938" i="2"/>
  <c r="H4938" i="2"/>
  <c r="N4926" i="2"/>
  <c r="H4926" i="2"/>
  <c r="N4914" i="2"/>
  <c r="H4914" i="2"/>
  <c r="N4906" i="2"/>
  <c r="H4906" i="2"/>
  <c r="N4894" i="2"/>
  <c r="H4894" i="2"/>
  <c r="N4882" i="2"/>
  <c r="H4882" i="2"/>
  <c r="N4870" i="2"/>
  <c r="H4870" i="2"/>
  <c r="N4858" i="2"/>
  <c r="H4858" i="2"/>
  <c r="N4846" i="2"/>
  <c r="H4846" i="2"/>
  <c r="N4838" i="2"/>
  <c r="H4838" i="2"/>
  <c r="N4826" i="2"/>
  <c r="H4826" i="2"/>
  <c r="N4814" i="2"/>
  <c r="H4814" i="2"/>
  <c r="N4802" i="2"/>
  <c r="H4802" i="2"/>
  <c r="N4786" i="2"/>
  <c r="H4786" i="2"/>
  <c r="N4774" i="2"/>
  <c r="H4774" i="2"/>
  <c r="N4762" i="2"/>
  <c r="H4762" i="2"/>
  <c r="N4742" i="2"/>
  <c r="H4742" i="2"/>
  <c r="N4734" i="2"/>
  <c r="H4734" i="2"/>
  <c r="N4722" i="2"/>
  <c r="H4722" i="2"/>
  <c r="N4710" i="2"/>
  <c r="H4710" i="2"/>
  <c r="N4694" i="2"/>
  <c r="H4694" i="2"/>
  <c r="N4678" i="2"/>
  <c r="H4678" i="2"/>
  <c r="N4666" i="2"/>
  <c r="H4666" i="2"/>
  <c r="N4654" i="2"/>
  <c r="H4654" i="2"/>
  <c r="N4642" i="2"/>
  <c r="H4642" i="2"/>
  <c r="N4630" i="2"/>
  <c r="H4630" i="2"/>
  <c r="N4618" i="2"/>
  <c r="H4618" i="2"/>
  <c r="N4606" i="2"/>
  <c r="H4606" i="2"/>
  <c r="N4602" i="2"/>
  <c r="H4602" i="2"/>
  <c r="N4590" i="2"/>
  <c r="H4590" i="2"/>
  <c r="N4578" i="2"/>
  <c r="H4578" i="2"/>
  <c r="N4562" i="2"/>
  <c r="H4562" i="2"/>
  <c r="N7288" i="2"/>
  <c r="H7288" i="2"/>
  <c r="N7284" i="2"/>
  <c r="H7284" i="2"/>
  <c r="N7280" i="2"/>
  <c r="H7280" i="2"/>
  <c r="N7276" i="2"/>
  <c r="H7276" i="2"/>
  <c r="N7272" i="2"/>
  <c r="H7272" i="2"/>
  <c r="N7268" i="2"/>
  <c r="H7268" i="2"/>
  <c r="N7264" i="2"/>
  <c r="H7264" i="2"/>
  <c r="N7260" i="2"/>
  <c r="H7260" i="2"/>
  <c r="N7256" i="2"/>
  <c r="H7256" i="2"/>
  <c r="N7252" i="2"/>
  <c r="H7252" i="2"/>
  <c r="N7248" i="2"/>
  <c r="H7248" i="2"/>
  <c r="N7244" i="2"/>
  <c r="H7244" i="2"/>
  <c r="N7240" i="2"/>
  <c r="H7240" i="2"/>
  <c r="N7236" i="2"/>
  <c r="H7236" i="2"/>
  <c r="N7232" i="2"/>
  <c r="H7232" i="2"/>
  <c r="N7228" i="2"/>
  <c r="H7228" i="2"/>
  <c r="N7224" i="2"/>
  <c r="H7224" i="2"/>
  <c r="N7220" i="2"/>
  <c r="H7220" i="2"/>
  <c r="N7216" i="2"/>
  <c r="H7216" i="2"/>
  <c r="N7212" i="2"/>
  <c r="H7212" i="2"/>
  <c r="N7208" i="2"/>
  <c r="H7208" i="2"/>
  <c r="N7204" i="2"/>
  <c r="H7204" i="2"/>
  <c r="N7200" i="2"/>
  <c r="H7200" i="2"/>
  <c r="N7196" i="2"/>
  <c r="H7196" i="2"/>
  <c r="N7192" i="2"/>
  <c r="H7192" i="2"/>
  <c r="N7188" i="2"/>
  <c r="H7188" i="2"/>
  <c r="N7184" i="2"/>
  <c r="H7184" i="2"/>
  <c r="N7180" i="2"/>
  <c r="H7180" i="2"/>
  <c r="N7176" i="2"/>
  <c r="H7176" i="2"/>
  <c r="N7172" i="2"/>
  <c r="H7172" i="2"/>
  <c r="N7168" i="2"/>
  <c r="H7168" i="2"/>
  <c r="N7164" i="2"/>
  <c r="H7164" i="2"/>
  <c r="N7160" i="2"/>
  <c r="H7160" i="2"/>
  <c r="N7156" i="2"/>
  <c r="H7156" i="2"/>
  <c r="N7152" i="2"/>
  <c r="H7152" i="2"/>
  <c r="N7148" i="2"/>
  <c r="H7148" i="2"/>
  <c r="N7144" i="2"/>
  <c r="H7144" i="2"/>
  <c r="N7140" i="2"/>
  <c r="H7140" i="2"/>
  <c r="N7136" i="2"/>
  <c r="H7136" i="2"/>
  <c r="N7132" i="2"/>
  <c r="H7132" i="2"/>
  <c r="N7128" i="2"/>
  <c r="H7128" i="2"/>
  <c r="N7124" i="2"/>
  <c r="H7124" i="2"/>
  <c r="N7120" i="2"/>
  <c r="H7120" i="2"/>
  <c r="N7116" i="2"/>
  <c r="H7116" i="2"/>
  <c r="N7112" i="2"/>
  <c r="H7112" i="2"/>
  <c r="N7108" i="2"/>
  <c r="H7108" i="2"/>
  <c r="N7104" i="2"/>
  <c r="H7104" i="2"/>
  <c r="N7100" i="2"/>
  <c r="H7100" i="2"/>
  <c r="N7096" i="2"/>
  <c r="H7096" i="2"/>
  <c r="N7092" i="2"/>
  <c r="H7092" i="2"/>
  <c r="N7088" i="2"/>
  <c r="H7088" i="2"/>
  <c r="N7084" i="2"/>
  <c r="H7084" i="2"/>
  <c r="N7080" i="2"/>
  <c r="H7080" i="2"/>
  <c r="N7076" i="2"/>
  <c r="H7076" i="2"/>
  <c r="N7072" i="2"/>
  <c r="H7072" i="2"/>
  <c r="N7068" i="2"/>
  <c r="H7068" i="2"/>
  <c r="N7064" i="2"/>
  <c r="H7064" i="2"/>
  <c r="N7060" i="2"/>
  <c r="H7060" i="2"/>
  <c r="N7056" i="2"/>
  <c r="H7056" i="2"/>
  <c r="N7052" i="2"/>
  <c r="H7052" i="2"/>
  <c r="N7048" i="2"/>
  <c r="H7048" i="2"/>
  <c r="N7044" i="2"/>
  <c r="H7044" i="2"/>
  <c r="N7040" i="2"/>
  <c r="H7040" i="2"/>
  <c r="N7036" i="2"/>
  <c r="H7036" i="2"/>
  <c r="N7032" i="2"/>
  <c r="H7032" i="2"/>
  <c r="N7028" i="2"/>
  <c r="H7028" i="2"/>
  <c r="N7024" i="2"/>
  <c r="H7024" i="2"/>
  <c r="N7020" i="2"/>
  <c r="H7020" i="2"/>
  <c r="N7016" i="2"/>
  <c r="H7016" i="2"/>
  <c r="N7012" i="2"/>
  <c r="H7012" i="2"/>
  <c r="N7008" i="2"/>
  <c r="H7008" i="2"/>
  <c r="N7004" i="2"/>
  <c r="H7004" i="2"/>
  <c r="N7000" i="2"/>
  <c r="H7000" i="2"/>
  <c r="N6996" i="2"/>
  <c r="H6996" i="2"/>
  <c r="N6992" i="2"/>
  <c r="H6992" i="2"/>
  <c r="N6988" i="2"/>
  <c r="H6988" i="2"/>
  <c r="N6984" i="2"/>
  <c r="H6984" i="2"/>
  <c r="N6980" i="2"/>
  <c r="H6980" i="2"/>
  <c r="N6976" i="2"/>
  <c r="H6976" i="2"/>
  <c r="N6972" i="2"/>
  <c r="H6972" i="2"/>
  <c r="N6968" i="2"/>
  <c r="H6968" i="2"/>
  <c r="N6964" i="2"/>
  <c r="H6964" i="2"/>
  <c r="N6960" i="2"/>
  <c r="H6960" i="2"/>
  <c r="N6956" i="2"/>
  <c r="H6956" i="2"/>
  <c r="N6952" i="2"/>
  <c r="H6952" i="2"/>
  <c r="N6948" i="2"/>
  <c r="H6948" i="2"/>
  <c r="N6944" i="2"/>
  <c r="H6944" i="2"/>
  <c r="N6940" i="2"/>
  <c r="H6940" i="2"/>
  <c r="N6936" i="2"/>
  <c r="H6936" i="2"/>
  <c r="N6932" i="2"/>
  <c r="H6932" i="2"/>
  <c r="N6928" i="2"/>
  <c r="H6928" i="2"/>
  <c r="N6924" i="2"/>
  <c r="H6924" i="2"/>
  <c r="N6920" i="2"/>
  <c r="H6920" i="2"/>
  <c r="N6916" i="2"/>
  <c r="H6916" i="2"/>
  <c r="N6912" i="2"/>
  <c r="H6912" i="2"/>
  <c r="N6908" i="2"/>
  <c r="H6908" i="2"/>
  <c r="N6904" i="2"/>
  <c r="H6904" i="2"/>
  <c r="N6900" i="2"/>
  <c r="H6900" i="2"/>
  <c r="N6896" i="2"/>
  <c r="H6896" i="2"/>
  <c r="N6892" i="2"/>
  <c r="H6892" i="2"/>
  <c r="N6888" i="2"/>
  <c r="H6888" i="2"/>
  <c r="N6884" i="2"/>
  <c r="H6884" i="2"/>
  <c r="N6880" i="2"/>
  <c r="H6880" i="2"/>
  <c r="N6876" i="2"/>
  <c r="H6876" i="2"/>
  <c r="N6872" i="2"/>
  <c r="H6872" i="2"/>
  <c r="N6868" i="2"/>
  <c r="H6868" i="2"/>
  <c r="N6864" i="2"/>
  <c r="H6864" i="2"/>
  <c r="N6860" i="2"/>
  <c r="H6860" i="2"/>
  <c r="N6856" i="2"/>
  <c r="H6856" i="2"/>
  <c r="N6852" i="2"/>
  <c r="H6852" i="2"/>
  <c r="N6848" i="2"/>
  <c r="H6848" i="2"/>
  <c r="N6844" i="2"/>
  <c r="H6844" i="2"/>
  <c r="N6840" i="2"/>
  <c r="H6840" i="2"/>
  <c r="N6836" i="2"/>
  <c r="H6836" i="2"/>
  <c r="N6832" i="2"/>
  <c r="H6832" i="2"/>
  <c r="N6828" i="2"/>
  <c r="H6828" i="2"/>
  <c r="N6824" i="2"/>
  <c r="H6824" i="2"/>
  <c r="N6820" i="2"/>
  <c r="H6820" i="2"/>
  <c r="N6816" i="2"/>
  <c r="H6816" i="2"/>
  <c r="N6812" i="2"/>
  <c r="H6812" i="2"/>
  <c r="N6808" i="2"/>
  <c r="H6808" i="2"/>
  <c r="N6804" i="2"/>
  <c r="H6804" i="2"/>
  <c r="N6800" i="2"/>
  <c r="H6800" i="2"/>
  <c r="N6796" i="2"/>
  <c r="H6796" i="2"/>
  <c r="N6792" i="2"/>
  <c r="H6792" i="2"/>
  <c r="N6788" i="2"/>
  <c r="H6788" i="2"/>
  <c r="N6784" i="2"/>
  <c r="H6784" i="2"/>
  <c r="N6780" i="2"/>
  <c r="H6780" i="2"/>
  <c r="N6776" i="2"/>
  <c r="H6776" i="2"/>
  <c r="N6772" i="2"/>
  <c r="H6772" i="2"/>
  <c r="N6768" i="2"/>
  <c r="H6768" i="2"/>
  <c r="N6764" i="2"/>
  <c r="H6764" i="2"/>
  <c r="N6760" i="2"/>
  <c r="H6760" i="2"/>
  <c r="N6756" i="2"/>
  <c r="H6756" i="2"/>
  <c r="N6752" i="2"/>
  <c r="H6752" i="2"/>
  <c r="N6748" i="2"/>
  <c r="H6748" i="2"/>
  <c r="N6744" i="2"/>
  <c r="H6744" i="2"/>
  <c r="N6740" i="2"/>
  <c r="H6740" i="2"/>
  <c r="N6736" i="2"/>
  <c r="H6736" i="2"/>
  <c r="N6732" i="2"/>
  <c r="H6732" i="2"/>
  <c r="N6728" i="2"/>
  <c r="H6728" i="2"/>
  <c r="N6724" i="2"/>
  <c r="H6724" i="2"/>
  <c r="N6720" i="2"/>
  <c r="H6720" i="2"/>
  <c r="N6716" i="2"/>
  <c r="H6716" i="2"/>
  <c r="N6712" i="2"/>
  <c r="H6712" i="2"/>
  <c r="N6708" i="2"/>
  <c r="H6708" i="2"/>
  <c r="N6704" i="2"/>
  <c r="H6704" i="2"/>
  <c r="N6700" i="2"/>
  <c r="H6700" i="2"/>
  <c r="N6696" i="2"/>
  <c r="H6696" i="2"/>
  <c r="N6692" i="2"/>
  <c r="H6692" i="2"/>
  <c r="N6688" i="2"/>
  <c r="H6688" i="2"/>
  <c r="N6684" i="2"/>
  <c r="H6684" i="2"/>
  <c r="N6680" i="2"/>
  <c r="H6680" i="2"/>
  <c r="N6676" i="2"/>
  <c r="H6676" i="2"/>
  <c r="N6672" i="2"/>
  <c r="H6672" i="2"/>
  <c r="N6668" i="2"/>
  <c r="H6668" i="2"/>
  <c r="N6664" i="2"/>
  <c r="H6664" i="2"/>
  <c r="N6660" i="2"/>
  <c r="H6660" i="2"/>
  <c r="N6656" i="2"/>
  <c r="H6656" i="2"/>
  <c r="N6652" i="2"/>
  <c r="H6652" i="2"/>
  <c r="N6648" i="2"/>
  <c r="H6648" i="2"/>
  <c r="N6644" i="2"/>
  <c r="H6644" i="2"/>
  <c r="N6640" i="2"/>
  <c r="H6640" i="2"/>
  <c r="N6636" i="2"/>
  <c r="H6636" i="2"/>
  <c r="N6632" i="2"/>
  <c r="H6632" i="2"/>
  <c r="N6628" i="2"/>
  <c r="H6628" i="2"/>
  <c r="N6624" i="2"/>
  <c r="H6624" i="2"/>
  <c r="N6620" i="2"/>
  <c r="H6620" i="2"/>
  <c r="N6616" i="2"/>
  <c r="H6616" i="2"/>
  <c r="N6612" i="2"/>
  <c r="H6612" i="2"/>
  <c r="N6608" i="2"/>
  <c r="H6608" i="2"/>
  <c r="N6604" i="2"/>
  <c r="H6604" i="2"/>
  <c r="N6600" i="2"/>
  <c r="H6600" i="2"/>
  <c r="N6596" i="2"/>
  <c r="H6596" i="2"/>
  <c r="N6592" i="2"/>
  <c r="H6592" i="2"/>
  <c r="N6588" i="2"/>
  <c r="H6588" i="2"/>
  <c r="N6584" i="2"/>
  <c r="H6584" i="2"/>
  <c r="N6580" i="2"/>
  <c r="H6580" i="2"/>
  <c r="N6576" i="2"/>
  <c r="H6576" i="2"/>
  <c r="N6572" i="2"/>
  <c r="H6572" i="2"/>
  <c r="N6568" i="2"/>
  <c r="H6568" i="2"/>
  <c r="N6564" i="2"/>
  <c r="H6564" i="2"/>
  <c r="N6560" i="2"/>
  <c r="H6560" i="2"/>
  <c r="N6556" i="2"/>
  <c r="H6556" i="2"/>
  <c r="N6552" i="2"/>
  <c r="H6552" i="2"/>
  <c r="N6548" i="2"/>
  <c r="H6548" i="2"/>
  <c r="N6544" i="2"/>
  <c r="H6544" i="2"/>
  <c r="N6540" i="2"/>
  <c r="H6540" i="2"/>
  <c r="N6536" i="2"/>
  <c r="H6536" i="2"/>
  <c r="N6532" i="2"/>
  <c r="H6532" i="2"/>
  <c r="N6528" i="2"/>
  <c r="H6528" i="2"/>
  <c r="N6524" i="2"/>
  <c r="H6524" i="2"/>
  <c r="N6520" i="2"/>
  <c r="H6520" i="2"/>
  <c r="N6516" i="2"/>
  <c r="H6516" i="2"/>
  <c r="N6512" i="2"/>
  <c r="H6512" i="2"/>
  <c r="N6508" i="2"/>
  <c r="H6508" i="2"/>
  <c r="N6504" i="2"/>
  <c r="H6504" i="2"/>
  <c r="N6500" i="2"/>
  <c r="H6500" i="2"/>
  <c r="N6496" i="2"/>
  <c r="H6496" i="2"/>
  <c r="N6492" i="2"/>
  <c r="H6492" i="2"/>
  <c r="N6488" i="2"/>
  <c r="H6488" i="2"/>
  <c r="N6484" i="2"/>
  <c r="H6484" i="2"/>
  <c r="N6480" i="2"/>
  <c r="H6480" i="2"/>
  <c r="N6476" i="2"/>
  <c r="H6476" i="2"/>
  <c r="N6472" i="2"/>
  <c r="H6472" i="2"/>
  <c r="N6468" i="2"/>
  <c r="H6468" i="2"/>
  <c r="N6464" i="2"/>
  <c r="H6464" i="2"/>
  <c r="N6460" i="2"/>
  <c r="H6460" i="2"/>
  <c r="N6456" i="2"/>
  <c r="H6456" i="2"/>
  <c r="N6452" i="2"/>
  <c r="H6452" i="2"/>
  <c r="N6448" i="2"/>
  <c r="H6448" i="2"/>
  <c r="N6444" i="2"/>
  <c r="H6444" i="2"/>
  <c r="N6440" i="2"/>
  <c r="H6440" i="2"/>
  <c r="N6436" i="2"/>
  <c r="H6436" i="2"/>
  <c r="N6432" i="2"/>
  <c r="H6432" i="2"/>
  <c r="N6428" i="2"/>
  <c r="H6428" i="2"/>
  <c r="N6424" i="2"/>
  <c r="H6424" i="2"/>
  <c r="N6420" i="2"/>
  <c r="H6420" i="2"/>
  <c r="N6416" i="2"/>
  <c r="H6416" i="2"/>
  <c r="N6412" i="2"/>
  <c r="H6412" i="2"/>
  <c r="N6408" i="2"/>
  <c r="H6408" i="2"/>
  <c r="N6404" i="2"/>
  <c r="H6404" i="2"/>
  <c r="N6400" i="2"/>
  <c r="H6400" i="2"/>
  <c r="N6396" i="2"/>
  <c r="H6396" i="2"/>
  <c r="N6392" i="2"/>
  <c r="H6392" i="2"/>
  <c r="N6388" i="2"/>
  <c r="H6388" i="2"/>
  <c r="N6384" i="2"/>
  <c r="H6384" i="2"/>
  <c r="N6380" i="2"/>
  <c r="H6380" i="2"/>
  <c r="N6376" i="2"/>
  <c r="H6376" i="2"/>
  <c r="N6372" i="2"/>
  <c r="H6372" i="2"/>
  <c r="N6368" i="2"/>
  <c r="H6368" i="2"/>
  <c r="N6364" i="2"/>
  <c r="H6364" i="2"/>
  <c r="N6360" i="2"/>
  <c r="H6360" i="2"/>
  <c r="N6356" i="2"/>
  <c r="H6356" i="2"/>
  <c r="N6352" i="2"/>
  <c r="H6352" i="2"/>
  <c r="N6348" i="2"/>
  <c r="H6348" i="2"/>
  <c r="N6344" i="2"/>
  <c r="H6344" i="2"/>
  <c r="N6340" i="2"/>
  <c r="H6340" i="2"/>
  <c r="N6336" i="2"/>
  <c r="H6336" i="2"/>
  <c r="N6332" i="2"/>
  <c r="H6332" i="2"/>
  <c r="N6328" i="2"/>
  <c r="H6328" i="2"/>
  <c r="N6324" i="2"/>
  <c r="H6324" i="2"/>
  <c r="N6320" i="2"/>
  <c r="H6320" i="2"/>
  <c r="N6316" i="2"/>
  <c r="H6316" i="2"/>
  <c r="N6312" i="2"/>
  <c r="H6312" i="2"/>
  <c r="N6308" i="2"/>
  <c r="H6308" i="2"/>
  <c r="N6304" i="2"/>
  <c r="H6304" i="2"/>
  <c r="N6300" i="2"/>
  <c r="H6300" i="2"/>
  <c r="N6296" i="2"/>
  <c r="H6296" i="2"/>
  <c r="N6292" i="2"/>
  <c r="H6292" i="2"/>
  <c r="N6288" i="2"/>
  <c r="H6288" i="2"/>
  <c r="N6284" i="2"/>
  <c r="H6284" i="2"/>
  <c r="N6280" i="2"/>
  <c r="H6280" i="2"/>
  <c r="N6276" i="2"/>
  <c r="H6276" i="2"/>
  <c r="N6272" i="2"/>
  <c r="H6272" i="2"/>
  <c r="N6268" i="2"/>
  <c r="H6268" i="2"/>
  <c r="N6264" i="2"/>
  <c r="H6264" i="2"/>
  <c r="N6260" i="2"/>
  <c r="H6260" i="2"/>
  <c r="N6256" i="2"/>
  <c r="H6256" i="2"/>
  <c r="N6252" i="2"/>
  <c r="H6252" i="2"/>
  <c r="N6248" i="2"/>
  <c r="H6248" i="2"/>
  <c r="N6244" i="2"/>
  <c r="H6244" i="2"/>
  <c r="N6240" i="2"/>
  <c r="H6240" i="2"/>
  <c r="N6236" i="2"/>
  <c r="H6236" i="2"/>
  <c r="N6232" i="2"/>
  <c r="H6232" i="2"/>
  <c r="N6228" i="2"/>
  <c r="H6228" i="2"/>
  <c r="N6224" i="2"/>
  <c r="H6224" i="2"/>
  <c r="N6220" i="2"/>
  <c r="H6220" i="2"/>
  <c r="N6216" i="2"/>
  <c r="H6216" i="2"/>
  <c r="N6212" i="2"/>
  <c r="H6212" i="2"/>
  <c r="N6208" i="2"/>
  <c r="H6208" i="2"/>
  <c r="N6204" i="2"/>
  <c r="H6204" i="2"/>
  <c r="N6200" i="2"/>
  <c r="H6200" i="2"/>
  <c r="N6196" i="2"/>
  <c r="H6196" i="2"/>
  <c r="N6192" i="2"/>
  <c r="H6192" i="2"/>
  <c r="N6188" i="2"/>
  <c r="H6188" i="2"/>
  <c r="N6184" i="2"/>
  <c r="H6184" i="2"/>
  <c r="N6180" i="2"/>
  <c r="H6180" i="2"/>
  <c r="N6176" i="2"/>
  <c r="H6176" i="2"/>
  <c r="N6172" i="2"/>
  <c r="H6172" i="2"/>
  <c r="N6168" i="2"/>
  <c r="H6168" i="2"/>
  <c r="N6164" i="2"/>
  <c r="H6164" i="2"/>
  <c r="N6160" i="2"/>
  <c r="H6160" i="2"/>
  <c r="N6156" i="2"/>
  <c r="H6156" i="2"/>
  <c r="N6152" i="2"/>
  <c r="H6152" i="2"/>
  <c r="N6148" i="2"/>
  <c r="H6148" i="2"/>
  <c r="N6144" i="2"/>
  <c r="H6144" i="2"/>
  <c r="N6140" i="2"/>
  <c r="H6140" i="2"/>
  <c r="N6136" i="2"/>
  <c r="H6136" i="2"/>
  <c r="N6132" i="2"/>
  <c r="H6132" i="2"/>
  <c r="N6128" i="2"/>
  <c r="H6128" i="2"/>
  <c r="N6124" i="2"/>
  <c r="H6124" i="2"/>
  <c r="N6120" i="2"/>
  <c r="H6120" i="2"/>
  <c r="N6116" i="2"/>
  <c r="H6116" i="2"/>
  <c r="N6112" i="2"/>
  <c r="H6112" i="2"/>
  <c r="N6108" i="2"/>
  <c r="H6108" i="2"/>
  <c r="N6104" i="2"/>
  <c r="H6104" i="2"/>
  <c r="N6100" i="2"/>
  <c r="H6100" i="2"/>
  <c r="N6096" i="2"/>
  <c r="H6096" i="2"/>
  <c r="N6092" i="2"/>
  <c r="H6092" i="2"/>
  <c r="N6088" i="2"/>
  <c r="H6088" i="2"/>
  <c r="N6084" i="2"/>
  <c r="H6084" i="2"/>
  <c r="N6080" i="2"/>
  <c r="H6080" i="2"/>
  <c r="N6076" i="2"/>
  <c r="H6076" i="2"/>
  <c r="N6072" i="2"/>
  <c r="H6072" i="2"/>
  <c r="N6068" i="2"/>
  <c r="H6068" i="2"/>
  <c r="N6064" i="2"/>
  <c r="H6064" i="2"/>
  <c r="N6060" i="2"/>
  <c r="H6060" i="2"/>
  <c r="N6056" i="2"/>
  <c r="H6056" i="2"/>
  <c r="N6052" i="2"/>
  <c r="H6052" i="2"/>
  <c r="N6048" i="2"/>
  <c r="H6048" i="2"/>
  <c r="N6044" i="2"/>
  <c r="H6044" i="2"/>
  <c r="N6040" i="2"/>
  <c r="H6040" i="2"/>
  <c r="N6036" i="2"/>
  <c r="H6036" i="2"/>
  <c r="N6032" i="2"/>
  <c r="H6032" i="2"/>
  <c r="N6028" i="2"/>
  <c r="H6028" i="2"/>
  <c r="N6024" i="2"/>
  <c r="H6024" i="2"/>
  <c r="N6020" i="2"/>
  <c r="H6020" i="2"/>
  <c r="N6016" i="2"/>
  <c r="H6016" i="2"/>
  <c r="N6012" i="2"/>
  <c r="H6012" i="2"/>
  <c r="N6008" i="2"/>
  <c r="H6008" i="2"/>
  <c r="N6004" i="2"/>
  <c r="H6004" i="2"/>
  <c r="N6000" i="2"/>
  <c r="H6000" i="2"/>
  <c r="N5996" i="2"/>
  <c r="H5996" i="2"/>
  <c r="N5992" i="2"/>
  <c r="H5992" i="2"/>
  <c r="N5988" i="2"/>
  <c r="H5988" i="2"/>
  <c r="N5984" i="2"/>
  <c r="H5984" i="2"/>
  <c r="N5980" i="2"/>
  <c r="H5980" i="2"/>
  <c r="N5976" i="2"/>
  <c r="H5976" i="2"/>
  <c r="N5972" i="2"/>
  <c r="H5972" i="2"/>
  <c r="N5968" i="2"/>
  <c r="H5968" i="2"/>
  <c r="N5964" i="2"/>
  <c r="H5964" i="2"/>
  <c r="N5960" i="2"/>
  <c r="H5960" i="2"/>
  <c r="N5956" i="2"/>
  <c r="H5956" i="2"/>
  <c r="N5952" i="2"/>
  <c r="H5952" i="2"/>
  <c r="N5948" i="2"/>
  <c r="H5948" i="2"/>
  <c r="N5944" i="2"/>
  <c r="H5944" i="2"/>
  <c r="N5940" i="2"/>
  <c r="H5940" i="2"/>
  <c r="N5936" i="2"/>
  <c r="H5936" i="2"/>
  <c r="N5932" i="2"/>
  <c r="H5932" i="2"/>
  <c r="N5928" i="2"/>
  <c r="H5928" i="2"/>
  <c r="N5924" i="2"/>
  <c r="H5924" i="2"/>
  <c r="N5920" i="2"/>
  <c r="H5920" i="2"/>
  <c r="N5916" i="2"/>
  <c r="H5916" i="2"/>
  <c r="N5912" i="2"/>
  <c r="H5912" i="2"/>
  <c r="N5908" i="2"/>
  <c r="H5908" i="2"/>
  <c r="N5904" i="2"/>
  <c r="H5904" i="2"/>
  <c r="N5900" i="2"/>
  <c r="H5900" i="2"/>
  <c r="N5896" i="2"/>
  <c r="H5896" i="2"/>
  <c r="N5892" i="2"/>
  <c r="H5892" i="2"/>
  <c r="N5888" i="2"/>
  <c r="H5888" i="2"/>
  <c r="N5884" i="2"/>
  <c r="H5884" i="2"/>
  <c r="N5880" i="2"/>
  <c r="H5880" i="2"/>
  <c r="N5876" i="2"/>
  <c r="H5876" i="2"/>
  <c r="N5872" i="2"/>
  <c r="H5872" i="2"/>
  <c r="N5868" i="2"/>
  <c r="H5868" i="2"/>
  <c r="N5864" i="2"/>
  <c r="H5864" i="2"/>
  <c r="N5860" i="2"/>
  <c r="H5860" i="2"/>
  <c r="N5856" i="2"/>
  <c r="H5856" i="2"/>
  <c r="N5852" i="2"/>
  <c r="H5852" i="2"/>
  <c r="N5848" i="2"/>
  <c r="H5848" i="2"/>
  <c r="N5844" i="2"/>
  <c r="H5844" i="2"/>
  <c r="N5840" i="2"/>
  <c r="H5840" i="2"/>
  <c r="N5836" i="2"/>
  <c r="H5836" i="2"/>
  <c r="N5832" i="2"/>
  <c r="H5832" i="2"/>
  <c r="N5828" i="2"/>
  <c r="H5828" i="2"/>
  <c r="N5824" i="2"/>
  <c r="H5824" i="2"/>
  <c r="N5820" i="2"/>
  <c r="H5820" i="2"/>
  <c r="N5816" i="2"/>
  <c r="H5816" i="2"/>
  <c r="N5812" i="2"/>
  <c r="H5812" i="2"/>
  <c r="N5808" i="2"/>
  <c r="H5808" i="2"/>
  <c r="N5804" i="2"/>
  <c r="H5804" i="2"/>
  <c r="N5800" i="2"/>
  <c r="H5800" i="2"/>
  <c r="N5796" i="2"/>
  <c r="H5796" i="2"/>
  <c r="N5792" i="2"/>
  <c r="H5792" i="2"/>
  <c r="N5788" i="2"/>
  <c r="H5788" i="2"/>
  <c r="N5784" i="2"/>
  <c r="H5784" i="2"/>
  <c r="N5780" i="2"/>
  <c r="H5780" i="2"/>
  <c r="N5776" i="2"/>
  <c r="H5776" i="2"/>
  <c r="N5772" i="2"/>
  <c r="H5772" i="2"/>
  <c r="N5768" i="2"/>
  <c r="H5768" i="2"/>
  <c r="N5764" i="2"/>
  <c r="H5764" i="2"/>
  <c r="N5760" i="2"/>
  <c r="H5760" i="2"/>
  <c r="N5756" i="2"/>
  <c r="H5756" i="2"/>
  <c r="N5752" i="2"/>
  <c r="H5752" i="2"/>
  <c r="N5748" i="2"/>
  <c r="H5748" i="2"/>
  <c r="N5744" i="2"/>
  <c r="H5744" i="2"/>
  <c r="N5740" i="2"/>
  <c r="H5740" i="2"/>
  <c r="N5736" i="2"/>
  <c r="H5736" i="2"/>
  <c r="N5732" i="2"/>
  <c r="H5732" i="2"/>
  <c r="N5728" i="2"/>
  <c r="H5728" i="2"/>
  <c r="N5724" i="2"/>
  <c r="H5724" i="2"/>
  <c r="N5720" i="2"/>
  <c r="H5720" i="2"/>
  <c r="N5716" i="2"/>
  <c r="H5716" i="2"/>
  <c r="N5712" i="2"/>
  <c r="H5712" i="2"/>
  <c r="N5708" i="2"/>
  <c r="H5708" i="2"/>
  <c r="N5704" i="2"/>
  <c r="H5704" i="2"/>
  <c r="N5700" i="2"/>
  <c r="H5700" i="2"/>
  <c r="N5696" i="2"/>
  <c r="H5696" i="2"/>
  <c r="N5692" i="2"/>
  <c r="H5692" i="2"/>
  <c r="N5688" i="2"/>
  <c r="H5688" i="2"/>
  <c r="N5684" i="2"/>
  <c r="H5684" i="2"/>
  <c r="N5680" i="2"/>
  <c r="H5680" i="2"/>
  <c r="N5676" i="2"/>
  <c r="H5676" i="2"/>
  <c r="N5672" i="2"/>
  <c r="H5672" i="2"/>
  <c r="N5668" i="2"/>
  <c r="H5668" i="2"/>
  <c r="N5664" i="2"/>
  <c r="H5664" i="2"/>
  <c r="N5660" i="2"/>
  <c r="H5660" i="2"/>
  <c r="N5656" i="2"/>
  <c r="H5656" i="2"/>
  <c r="N5652" i="2"/>
  <c r="H5652" i="2"/>
  <c r="N5648" i="2"/>
  <c r="H5648" i="2"/>
  <c r="N5644" i="2"/>
  <c r="H5644" i="2"/>
  <c r="N5640" i="2"/>
  <c r="H5640" i="2"/>
  <c r="N5636" i="2"/>
  <c r="H5636" i="2"/>
  <c r="N5632" i="2"/>
  <c r="H5632" i="2"/>
  <c r="N5628" i="2"/>
  <c r="H5628" i="2"/>
  <c r="N5624" i="2"/>
  <c r="H5624" i="2"/>
  <c r="N5620" i="2"/>
  <c r="H5620" i="2"/>
  <c r="N5616" i="2"/>
  <c r="H5616" i="2"/>
  <c r="N5612" i="2"/>
  <c r="H5612" i="2"/>
  <c r="N5608" i="2"/>
  <c r="H5608" i="2"/>
  <c r="N5604" i="2"/>
  <c r="H5604" i="2"/>
  <c r="N5600" i="2"/>
  <c r="H5600" i="2"/>
  <c r="N5596" i="2"/>
  <c r="H5596" i="2"/>
  <c r="N5592" i="2"/>
  <c r="H5592" i="2"/>
  <c r="N5588" i="2"/>
  <c r="H5588" i="2"/>
  <c r="N5584" i="2"/>
  <c r="H5584" i="2"/>
  <c r="N5580" i="2"/>
  <c r="H5580" i="2"/>
  <c r="N5576" i="2"/>
  <c r="H5576" i="2"/>
  <c r="N5572" i="2"/>
  <c r="H5572" i="2"/>
  <c r="N5568" i="2"/>
  <c r="H5568" i="2"/>
  <c r="N5564" i="2"/>
  <c r="H5564" i="2"/>
  <c r="N5560" i="2"/>
  <c r="H5560" i="2"/>
  <c r="N5556" i="2"/>
  <c r="H5556" i="2"/>
  <c r="N5552" i="2"/>
  <c r="H5552" i="2"/>
  <c r="N5548" i="2"/>
  <c r="H5548" i="2"/>
  <c r="N5544" i="2"/>
  <c r="H5544" i="2"/>
  <c r="N5540" i="2"/>
  <c r="H5540" i="2"/>
  <c r="N5536" i="2"/>
  <c r="H5536" i="2"/>
  <c r="N5532" i="2"/>
  <c r="H5532" i="2"/>
  <c r="N5528" i="2"/>
  <c r="H5528" i="2"/>
  <c r="N5524" i="2"/>
  <c r="H5524" i="2"/>
  <c r="N5520" i="2"/>
  <c r="H5520" i="2"/>
  <c r="N5516" i="2"/>
  <c r="H5516" i="2"/>
  <c r="N5512" i="2"/>
  <c r="H5512" i="2"/>
  <c r="N5508" i="2"/>
  <c r="H5508" i="2"/>
  <c r="N5504" i="2"/>
  <c r="H5504" i="2"/>
  <c r="N5500" i="2"/>
  <c r="H5500" i="2"/>
  <c r="N5496" i="2"/>
  <c r="H5496" i="2"/>
  <c r="N5492" i="2"/>
  <c r="H5492" i="2"/>
  <c r="N5488" i="2"/>
  <c r="H5488" i="2"/>
  <c r="N5484" i="2"/>
  <c r="H5484" i="2"/>
  <c r="N5480" i="2"/>
  <c r="H5480" i="2"/>
  <c r="N5476" i="2"/>
  <c r="H5476" i="2"/>
  <c r="N5472" i="2"/>
  <c r="H5472" i="2"/>
  <c r="N5468" i="2"/>
  <c r="H5468" i="2"/>
  <c r="N5464" i="2"/>
  <c r="H5464" i="2"/>
  <c r="N5460" i="2"/>
  <c r="H5460" i="2"/>
  <c r="N5456" i="2"/>
  <c r="H5456" i="2"/>
  <c r="N5452" i="2"/>
  <c r="H5452" i="2"/>
  <c r="N5448" i="2"/>
  <c r="H5448" i="2"/>
  <c r="N5444" i="2"/>
  <c r="H5444" i="2"/>
  <c r="N5440" i="2"/>
  <c r="H5440" i="2"/>
  <c r="N5436" i="2"/>
  <c r="H5436" i="2"/>
  <c r="N5432" i="2"/>
  <c r="H5432" i="2"/>
  <c r="N5428" i="2"/>
  <c r="H5428" i="2"/>
  <c r="N5424" i="2"/>
  <c r="H5424" i="2"/>
  <c r="N5420" i="2"/>
  <c r="H5420" i="2"/>
  <c r="N5416" i="2"/>
  <c r="H5416" i="2"/>
  <c r="N5412" i="2"/>
  <c r="H5412" i="2"/>
  <c r="N5408" i="2"/>
  <c r="H5408" i="2"/>
  <c r="N5404" i="2"/>
  <c r="H5404" i="2"/>
  <c r="N5400" i="2"/>
  <c r="H5400" i="2"/>
  <c r="N5396" i="2"/>
  <c r="H5396" i="2"/>
  <c r="N5392" i="2"/>
  <c r="H5392" i="2"/>
  <c r="N5388" i="2"/>
  <c r="H5388" i="2"/>
  <c r="N5384" i="2"/>
  <c r="H5384" i="2"/>
  <c r="N5380" i="2"/>
  <c r="H5380" i="2"/>
  <c r="N5376" i="2"/>
  <c r="H5376" i="2"/>
  <c r="N5372" i="2"/>
  <c r="H5372" i="2"/>
  <c r="N5368" i="2"/>
  <c r="H5368" i="2"/>
  <c r="N5364" i="2"/>
  <c r="H5364" i="2"/>
  <c r="N5360" i="2"/>
  <c r="H5360" i="2"/>
  <c r="N5356" i="2"/>
  <c r="H5356" i="2"/>
  <c r="N5352" i="2"/>
  <c r="H5352" i="2"/>
  <c r="N5348" i="2"/>
  <c r="H5348" i="2"/>
  <c r="N5344" i="2"/>
  <c r="H5344" i="2"/>
  <c r="N5340" i="2"/>
  <c r="H5340" i="2"/>
  <c r="N5336" i="2"/>
  <c r="H5336" i="2"/>
  <c r="N5332" i="2"/>
  <c r="H5332" i="2"/>
  <c r="N5328" i="2"/>
  <c r="H5328" i="2"/>
  <c r="N5324" i="2"/>
  <c r="H5324" i="2"/>
  <c r="N5320" i="2"/>
  <c r="H5320" i="2"/>
  <c r="N5316" i="2"/>
  <c r="H5316" i="2"/>
  <c r="N5312" i="2"/>
  <c r="H5312" i="2"/>
  <c r="N5308" i="2"/>
  <c r="H5308" i="2"/>
  <c r="N5304" i="2"/>
  <c r="H5304" i="2"/>
  <c r="N5300" i="2"/>
  <c r="H5300" i="2"/>
  <c r="N5296" i="2"/>
  <c r="H5296" i="2"/>
  <c r="N5292" i="2"/>
  <c r="H5292" i="2"/>
  <c r="N5288" i="2"/>
  <c r="H5288" i="2"/>
  <c r="N5284" i="2"/>
  <c r="H5284" i="2"/>
  <c r="N5280" i="2"/>
  <c r="H5280" i="2"/>
  <c r="N5276" i="2"/>
  <c r="H5276" i="2"/>
  <c r="N5272" i="2"/>
  <c r="H5272" i="2"/>
  <c r="N5268" i="2"/>
  <c r="H5268" i="2"/>
  <c r="N5264" i="2"/>
  <c r="H5264" i="2"/>
  <c r="N5260" i="2"/>
  <c r="H5260" i="2"/>
  <c r="N5256" i="2"/>
  <c r="H5256" i="2"/>
  <c r="N5252" i="2"/>
  <c r="H5252" i="2"/>
  <c r="N5248" i="2"/>
  <c r="H5248" i="2"/>
  <c r="N5244" i="2"/>
  <c r="H5244" i="2"/>
  <c r="N5240" i="2"/>
  <c r="H5240" i="2"/>
  <c r="N5236" i="2"/>
  <c r="H5236" i="2"/>
  <c r="N5232" i="2"/>
  <c r="H5232" i="2"/>
  <c r="N5228" i="2"/>
  <c r="H5228" i="2"/>
  <c r="N5224" i="2"/>
  <c r="H5224" i="2"/>
  <c r="N5220" i="2"/>
  <c r="H5220" i="2"/>
  <c r="N5216" i="2"/>
  <c r="H5216" i="2"/>
  <c r="N5212" i="2"/>
  <c r="H5212" i="2"/>
  <c r="N5208" i="2"/>
  <c r="H5208" i="2"/>
  <c r="N5204" i="2"/>
  <c r="H5204" i="2"/>
  <c r="N5200" i="2"/>
  <c r="H5200" i="2"/>
  <c r="N5196" i="2"/>
  <c r="H5196" i="2"/>
  <c r="N5192" i="2"/>
  <c r="H5192" i="2"/>
  <c r="N5188" i="2"/>
  <c r="H5188" i="2"/>
  <c r="N5184" i="2"/>
  <c r="H5184" i="2"/>
  <c r="N5180" i="2"/>
  <c r="H5180" i="2"/>
  <c r="N5176" i="2"/>
  <c r="H5176" i="2"/>
  <c r="N5172" i="2"/>
  <c r="H5172" i="2"/>
  <c r="N5168" i="2"/>
  <c r="H5168" i="2"/>
  <c r="N5164" i="2"/>
  <c r="H5164" i="2"/>
  <c r="N5160" i="2"/>
  <c r="H5160" i="2"/>
  <c r="N5156" i="2"/>
  <c r="H5156" i="2"/>
  <c r="N5152" i="2"/>
  <c r="H5152" i="2"/>
  <c r="N5148" i="2"/>
  <c r="H5148" i="2"/>
  <c r="N5144" i="2"/>
  <c r="H5144" i="2"/>
  <c r="N5140" i="2"/>
  <c r="H5140" i="2"/>
  <c r="N5136" i="2"/>
  <c r="H5136" i="2"/>
  <c r="N5132" i="2"/>
  <c r="H5132" i="2"/>
  <c r="N5128" i="2"/>
  <c r="H5128" i="2"/>
  <c r="N5124" i="2"/>
  <c r="H5124" i="2"/>
  <c r="N5120" i="2"/>
  <c r="H5120" i="2"/>
  <c r="N5116" i="2"/>
  <c r="H5116" i="2"/>
  <c r="N5112" i="2"/>
  <c r="H5112" i="2"/>
  <c r="N5108" i="2"/>
  <c r="H5108" i="2"/>
  <c r="N5104" i="2"/>
  <c r="H5104" i="2"/>
  <c r="N5100" i="2"/>
  <c r="H5100" i="2"/>
  <c r="N5096" i="2"/>
  <c r="H5096" i="2"/>
  <c r="N5092" i="2"/>
  <c r="H5092" i="2"/>
  <c r="N5088" i="2"/>
  <c r="H5088" i="2"/>
  <c r="N5084" i="2"/>
  <c r="H5084" i="2"/>
  <c r="N5080" i="2"/>
  <c r="H5080" i="2"/>
  <c r="N5076" i="2"/>
  <c r="H5076" i="2"/>
  <c r="N5072" i="2"/>
  <c r="H5072" i="2"/>
  <c r="N5068" i="2"/>
  <c r="H5068" i="2"/>
  <c r="N5064" i="2"/>
  <c r="H5064" i="2"/>
  <c r="N5060" i="2"/>
  <c r="H5060" i="2"/>
  <c r="N5056" i="2"/>
  <c r="H5056" i="2"/>
  <c r="N5052" i="2"/>
  <c r="H5052" i="2"/>
  <c r="N5048" i="2"/>
  <c r="H5048" i="2"/>
  <c r="N5044" i="2"/>
  <c r="H5044" i="2"/>
  <c r="N5040" i="2"/>
  <c r="H5040" i="2"/>
  <c r="N5036" i="2"/>
  <c r="H5036" i="2"/>
  <c r="N5032" i="2"/>
  <c r="H5032" i="2"/>
  <c r="N5028" i="2"/>
  <c r="H5028" i="2"/>
  <c r="N5024" i="2"/>
  <c r="H5024" i="2"/>
  <c r="N5020" i="2"/>
  <c r="H5020" i="2"/>
  <c r="N5016" i="2"/>
  <c r="H5016" i="2"/>
  <c r="N5012" i="2"/>
  <c r="H5012" i="2"/>
  <c r="N5008" i="2"/>
  <c r="H5008" i="2"/>
  <c r="N5004" i="2"/>
  <c r="H5004" i="2"/>
  <c r="N5000" i="2"/>
  <c r="H5000" i="2"/>
  <c r="N4996" i="2"/>
  <c r="H4996" i="2"/>
  <c r="N4992" i="2"/>
  <c r="H4992" i="2"/>
  <c r="N4988" i="2"/>
  <c r="H4988" i="2"/>
  <c r="N4984" i="2"/>
  <c r="H4984" i="2"/>
  <c r="N4980" i="2"/>
  <c r="H4980" i="2"/>
  <c r="N4976" i="2"/>
  <c r="H4976" i="2"/>
  <c r="N4972" i="2"/>
  <c r="H4972" i="2"/>
  <c r="N4968" i="2"/>
  <c r="H4968" i="2"/>
  <c r="N4964" i="2"/>
  <c r="H4964" i="2"/>
  <c r="N4960" i="2"/>
  <c r="H4960" i="2"/>
  <c r="N4956" i="2"/>
  <c r="H4956" i="2"/>
  <c r="N4952" i="2"/>
  <c r="H4952" i="2"/>
  <c r="N4948" i="2"/>
  <c r="H4948" i="2"/>
  <c r="N4944" i="2"/>
  <c r="H4944" i="2"/>
  <c r="N4940" i="2"/>
  <c r="H4940" i="2"/>
  <c r="N4936" i="2"/>
  <c r="H4936" i="2"/>
  <c r="N4932" i="2"/>
  <c r="H4932" i="2"/>
  <c r="N4928" i="2"/>
  <c r="H4928" i="2"/>
  <c r="N4924" i="2"/>
  <c r="H4924" i="2"/>
  <c r="N4920" i="2"/>
  <c r="H4920" i="2"/>
  <c r="N4916" i="2"/>
  <c r="H4916" i="2"/>
  <c r="N4912" i="2"/>
  <c r="H4912" i="2"/>
  <c r="N4908" i="2"/>
  <c r="H4908" i="2"/>
  <c r="N4904" i="2"/>
  <c r="H4904" i="2"/>
  <c r="N4900" i="2"/>
  <c r="H4900" i="2"/>
  <c r="N4896" i="2"/>
  <c r="H4896" i="2"/>
  <c r="N4892" i="2"/>
  <c r="H4892" i="2"/>
  <c r="N4888" i="2"/>
  <c r="H4888" i="2"/>
  <c r="N4884" i="2"/>
  <c r="H4884" i="2"/>
  <c r="N4880" i="2"/>
  <c r="H4880" i="2"/>
  <c r="N4876" i="2"/>
  <c r="H4876" i="2"/>
  <c r="N4872" i="2"/>
  <c r="H4872" i="2"/>
  <c r="N4868" i="2"/>
  <c r="H4868" i="2"/>
  <c r="N4864" i="2"/>
  <c r="H4864" i="2"/>
  <c r="N4860" i="2"/>
  <c r="H4860" i="2"/>
  <c r="N4856" i="2"/>
  <c r="H4856" i="2"/>
  <c r="N4852" i="2"/>
  <c r="H4852" i="2"/>
  <c r="N4848" i="2"/>
  <c r="H4848" i="2"/>
  <c r="N4844" i="2"/>
  <c r="H4844" i="2"/>
  <c r="N4840" i="2"/>
  <c r="H4840" i="2"/>
  <c r="N4836" i="2"/>
  <c r="H4836" i="2"/>
  <c r="N4832" i="2"/>
  <c r="H4832" i="2"/>
  <c r="N4828" i="2"/>
  <c r="H4828" i="2"/>
  <c r="N4824" i="2"/>
  <c r="H4824" i="2"/>
  <c r="N4820" i="2"/>
  <c r="H4820" i="2"/>
  <c r="N4816" i="2"/>
  <c r="H4816" i="2"/>
  <c r="N4812" i="2"/>
  <c r="H4812" i="2"/>
  <c r="N4808" i="2"/>
  <c r="H4808" i="2"/>
  <c r="N4804" i="2"/>
  <c r="H4804" i="2"/>
  <c r="N4800" i="2"/>
  <c r="H4800" i="2"/>
  <c r="N4796" i="2"/>
  <c r="H4796" i="2"/>
  <c r="N4792" i="2"/>
  <c r="H4792" i="2"/>
  <c r="N4788" i="2"/>
  <c r="H4788" i="2"/>
  <c r="N4784" i="2"/>
  <c r="H4784" i="2"/>
  <c r="N4780" i="2"/>
  <c r="H4780" i="2"/>
  <c r="N4776" i="2"/>
  <c r="H4776" i="2"/>
  <c r="N4772" i="2"/>
  <c r="H4772" i="2"/>
  <c r="N4768" i="2"/>
  <c r="H4768" i="2"/>
  <c r="N4764" i="2"/>
  <c r="H4764" i="2"/>
  <c r="N4760" i="2"/>
  <c r="H4760" i="2"/>
  <c r="N4756" i="2"/>
  <c r="H4756" i="2"/>
  <c r="N4752" i="2"/>
  <c r="H4752" i="2"/>
  <c r="N4748" i="2"/>
  <c r="H4748" i="2"/>
  <c r="N4744" i="2"/>
  <c r="H4744" i="2"/>
  <c r="N4740" i="2"/>
  <c r="H4740" i="2"/>
  <c r="N4736" i="2"/>
  <c r="H4736" i="2"/>
  <c r="N4732" i="2"/>
  <c r="H4732" i="2"/>
  <c r="N4728" i="2"/>
  <c r="H4728" i="2"/>
  <c r="N4724" i="2"/>
  <c r="H4724" i="2"/>
  <c r="N4720" i="2"/>
  <c r="H4720" i="2"/>
  <c r="N4716" i="2"/>
  <c r="H4716" i="2"/>
  <c r="N4712" i="2"/>
  <c r="H4712" i="2"/>
  <c r="N4708" i="2"/>
  <c r="H4708" i="2"/>
  <c r="N4704" i="2"/>
  <c r="H4704" i="2"/>
  <c r="N4700" i="2"/>
  <c r="H4700" i="2"/>
  <c r="N4696" i="2"/>
  <c r="H4696" i="2"/>
  <c r="N4692" i="2"/>
  <c r="H4692" i="2"/>
  <c r="N4688" i="2"/>
  <c r="H4688" i="2"/>
  <c r="N4684" i="2"/>
  <c r="H4684" i="2"/>
  <c r="N4680" i="2"/>
  <c r="H4680" i="2"/>
  <c r="N4676" i="2"/>
  <c r="H4676" i="2"/>
  <c r="N4672" i="2"/>
  <c r="H4672" i="2"/>
  <c r="N4668" i="2"/>
  <c r="H4668" i="2"/>
  <c r="N4664" i="2"/>
  <c r="H4664" i="2"/>
  <c r="N4660" i="2"/>
  <c r="H4660" i="2"/>
  <c r="N4656" i="2"/>
  <c r="H4656" i="2"/>
  <c r="N4652" i="2"/>
  <c r="H4652" i="2"/>
  <c r="N4648" i="2"/>
  <c r="H4648" i="2"/>
  <c r="N4644" i="2"/>
  <c r="H4644" i="2"/>
  <c r="N4640" i="2"/>
  <c r="H4640" i="2"/>
  <c r="N4636" i="2"/>
  <c r="H4636" i="2"/>
  <c r="N4632" i="2"/>
  <c r="H4632" i="2"/>
  <c r="N4628" i="2"/>
  <c r="H4628" i="2"/>
  <c r="N4624" i="2"/>
  <c r="H4624" i="2"/>
  <c r="N4620" i="2"/>
  <c r="H4620" i="2"/>
  <c r="N4616" i="2"/>
  <c r="H4616" i="2"/>
  <c r="N4612" i="2"/>
  <c r="H4612" i="2"/>
  <c r="N4608" i="2"/>
  <c r="H4608" i="2"/>
  <c r="N4604" i="2"/>
  <c r="H4604" i="2"/>
  <c r="N4600" i="2"/>
  <c r="H4600" i="2"/>
  <c r="N4596" i="2"/>
  <c r="H4596" i="2"/>
  <c r="N4592" i="2"/>
  <c r="H4592" i="2"/>
  <c r="N4588" i="2"/>
  <c r="H4588" i="2"/>
  <c r="N4584" i="2"/>
  <c r="H4584" i="2"/>
  <c r="N4580" i="2"/>
  <c r="H4580" i="2"/>
  <c r="N4576" i="2"/>
  <c r="H4576" i="2"/>
  <c r="N4572" i="2"/>
  <c r="H4572" i="2"/>
  <c r="N4568" i="2"/>
  <c r="H4568" i="2"/>
  <c r="N4564" i="2"/>
  <c r="H4564" i="2"/>
  <c r="N4560" i="2"/>
  <c r="H4560" i="2"/>
  <c r="N4556" i="2"/>
  <c r="H4556" i="2"/>
  <c r="N4552" i="2"/>
  <c r="H4552" i="2"/>
  <c r="N4548" i="2"/>
  <c r="H4548" i="2"/>
  <c r="N4544" i="2"/>
  <c r="H4544" i="2"/>
  <c r="N4540" i="2"/>
  <c r="H4540" i="2"/>
  <c r="N4536" i="2"/>
  <c r="H4536" i="2"/>
  <c r="N4532" i="2"/>
  <c r="H4532" i="2"/>
  <c r="N4528" i="2"/>
  <c r="H4528" i="2"/>
  <c r="N4524" i="2"/>
  <c r="H4524" i="2"/>
  <c r="N4520" i="2"/>
  <c r="H4520" i="2"/>
  <c r="N4516" i="2"/>
  <c r="H4516" i="2"/>
  <c r="N4512" i="2"/>
  <c r="H4512" i="2"/>
  <c r="N4508" i="2"/>
  <c r="H4508" i="2"/>
  <c r="N4504" i="2"/>
  <c r="H4504" i="2"/>
  <c r="N4500" i="2"/>
  <c r="H4500" i="2"/>
  <c r="N4496" i="2"/>
  <c r="H4496" i="2"/>
  <c r="N4492" i="2"/>
  <c r="H4492" i="2"/>
  <c r="N4488" i="2"/>
  <c r="H4488" i="2"/>
  <c r="N4484" i="2"/>
  <c r="H4484" i="2"/>
  <c r="N4480" i="2"/>
  <c r="H4480" i="2"/>
  <c r="N4476" i="2"/>
  <c r="H4476" i="2"/>
  <c r="N4472" i="2"/>
  <c r="H4472" i="2"/>
  <c r="N4468" i="2"/>
  <c r="H4468" i="2"/>
  <c r="N4464" i="2"/>
  <c r="H4464" i="2"/>
  <c r="N4460" i="2"/>
  <c r="H4460" i="2"/>
  <c r="N4456" i="2"/>
  <c r="H4456" i="2"/>
  <c r="N4452" i="2"/>
  <c r="H4452" i="2"/>
  <c r="N4448" i="2"/>
  <c r="H4448" i="2"/>
  <c r="N4444" i="2"/>
  <c r="H4444" i="2"/>
  <c r="N4440" i="2"/>
  <c r="H4440" i="2"/>
  <c r="N4436" i="2"/>
  <c r="H4436" i="2"/>
  <c r="N4432" i="2"/>
  <c r="H4432" i="2"/>
  <c r="N4428" i="2"/>
  <c r="H4428" i="2"/>
  <c r="N4424" i="2"/>
  <c r="H4424" i="2"/>
  <c r="N4420" i="2"/>
  <c r="H4420" i="2"/>
  <c r="N4416" i="2"/>
  <c r="H4416" i="2"/>
  <c r="N4412" i="2"/>
  <c r="H4412" i="2"/>
  <c r="N4408" i="2"/>
  <c r="H4408" i="2"/>
  <c r="N4404" i="2"/>
  <c r="H4404" i="2"/>
  <c r="N4400" i="2"/>
  <c r="H4400" i="2"/>
  <c r="N4396" i="2"/>
  <c r="H4396" i="2"/>
  <c r="N4392" i="2"/>
  <c r="H4392" i="2"/>
  <c r="N4388" i="2"/>
  <c r="H4388" i="2"/>
  <c r="N4384" i="2"/>
  <c r="H4384" i="2"/>
  <c r="N4380" i="2"/>
  <c r="H4380" i="2"/>
  <c r="N4376" i="2"/>
  <c r="H4376" i="2"/>
  <c r="N4372" i="2"/>
  <c r="H4372" i="2"/>
  <c r="N4368" i="2"/>
  <c r="H4368" i="2"/>
  <c r="N4364" i="2"/>
  <c r="H4364" i="2"/>
  <c r="N4360" i="2"/>
  <c r="H4360" i="2"/>
  <c r="N4356" i="2"/>
  <c r="H4356" i="2"/>
  <c r="N4352" i="2"/>
  <c r="H4352" i="2"/>
  <c r="N4348" i="2"/>
  <c r="H4348" i="2"/>
  <c r="N4344" i="2"/>
  <c r="H4344" i="2"/>
  <c r="N4340" i="2"/>
  <c r="H4340" i="2"/>
  <c r="N4336" i="2"/>
  <c r="H4336" i="2"/>
  <c r="N4332" i="2"/>
  <c r="H4332" i="2"/>
  <c r="N4328" i="2"/>
  <c r="H4328" i="2"/>
  <c r="N4324" i="2"/>
  <c r="H4324" i="2"/>
  <c r="N4320" i="2"/>
  <c r="H4320" i="2"/>
  <c r="N4316" i="2"/>
  <c r="H4316" i="2"/>
  <c r="N4312" i="2"/>
  <c r="H4312" i="2"/>
  <c r="N4308" i="2"/>
  <c r="H4308" i="2"/>
  <c r="N4304" i="2"/>
  <c r="H4304" i="2"/>
  <c r="N4300" i="2"/>
  <c r="H4300" i="2"/>
  <c r="N4296" i="2"/>
  <c r="H4296" i="2"/>
  <c r="N4292" i="2"/>
  <c r="H4292" i="2"/>
  <c r="N4288" i="2"/>
  <c r="H4288" i="2"/>
  <c r="N4284" i="2"/>
  <c r="H4284" i="2"/>
  <c r="N4280" i="2"/>
  <c r="H4280" i="2"/>
  <c r="N4276" i="2"/>
  <c r="H4276" i="2"/>
  <c r="N4272" i="2"/>
  <c r="H4272" i="2"/>
  <c r="N4268" i="2"/>
  <c r="H4268" i="2"/>
  <c r="N4264" i="2"/>
  <c r="H4264" i="2"/>
  <c r="N4260" i="2"/>
  <c r="H4260" i="2"/>
  <c r="N4256" i="2"/>
  <c r="H4256" i="2"/>
  <c r="N4252" i="2"/>
  <c r="H4252" i="2"/>
  <c r="N4248" i="2"/>
  <c r="H4248" i="2"/>
  <c r="N4244" i="2"/>
  <c r="H4244" i="2"/>
  <c r="N4240" i="2"/>
  <c r="H4240" i="2"/>
  <c r="N4236" i="2"/>
  <c r="H4236" i="2"/>
  <c r="N4232" i="2"/>
  <c r="H4232" i="2"/>
  <c r="N4228" i="2"/>
  <c r="H4228" i="2"/>
  <c r="N4224" i="2"/>
  <c r="H4224" i="2"/>
  <c r="N4220" i="2"/>
  <c r="H4220" i="2"/>
  <c r="N4216" i="2"/>
  <c r="H4216" i="2"/>
  <c r="N4212" i="2"/>
  <c r="H4212" i="2"/>
  <c r="N4208" i="2"/>
  <c r="H4208" i="2"/>
  <c r="N4204" i="2"/>
  <c r="H4204" i="2"/>
  <c r="N4200" i="2"/>
  <c r="H4200" i="2"/>
  <c r="N4196" i="2"/>
  <c r="H4196" i="2"/>
  <c r="N4192" i="2"/>
  <c r="H4192" i="2"/>
  <c r="N4188" i="2"/>
  <c r="H4188" i="2"/>
  <c r="N4184" i="2"/>
  <c r="H4184" i="2"/>
  <c r="N4180" i="2"/>
  <c r="H4180" i="2"/>
  <c r="N4176" i="2"/>
  <c r="H4176" i="2"/>
  <c r="N4172" i="2"/>
  <c r="H4172" i="2"/>
  <c r="N4168" i="2"/>
  <c r="H4168" i="2"/>
  <c r="N4164" i="2"/>
  <c r="H4164" i="2"/>
  <c r="N4160" i="2"/>
  <c r="H4160" i="2"/>
  <c r="N4156" i="2"/>
  <c r="H4156" i="2"/>
  <c r="N4152" i="2"/>
  <c r="H4152" i="2"/>
  <c r="N4148" i="2"/>
  <c r="H4148" i="2"/>
  <c r="N4144" i="2"/>
  <c r="H4144" i="2"/>
  <c r="N4140" i="2"/>
  <c r="H4140" i="2"/>
  <c r="N4136" i="2"/>
  <c r="H4136" i="2"/>
  <c r="N4132" i="2"/>
  <c r="H4132" i="2"/>
  <c r="N4128" i="2"/>
  <c r="H4128" i="2"/>
  <c r="N4124" i="2"/>
  <c r="H4124" i="2"/>
  <c r="N4120" i="2"/>
  <c r="H4120" i="2"/>
  <c r="N4116" i="2"/>
  <c r="H4116" i="2"/>
  <c r="N4112" i="2"/>
  <c r="H4112" i="2"/>
  <c r="N4108" i="2"/>
  <c r="H4108" i="2"/>
  <c r="N4104" i="2"/>
  <c r="H4104" i="2"/>
  <c r="N4100" i="2"/>
  <c r="H4100" i="2"/>
  <c r="N4096" i="2"/>
  <c r="H4096" i="2"/>
  <c r="N4092" i="2"/>
  <c r="H4092" i="2"/>
  <c r="N4088" i="2"/>
  <c r="H4088" i="2"/>
  <c r="N4084" i="2"/>
  <c r="H4084" i="2"/>
  <c r="N4080" i="2"/>
  <c r="H4080" i="2"/>
  <c r="N4076" i="2"/>
  <c r="H4076" i="2"/>
  <c r="N4072" i="2"/>
  <c r="H4072" i="2"/>
  <c r="N4068" i="2"/>
  <c r="H4068" i="2"/>
  <c r="N4064" i="2"/>
  <c r="H4064" i="2"/>
  <c r="N4060" i="2"/>
  <c r="H4060" i="2"/>
  <c r="N4056" i="2"/>
  <c r="H4056" i="2"/>
  <c r="N4052" i="2"/>
  <c r="H4052" i="2"/>
  <c r="N4048" i="2"/>
  <c r="H4048" i="2"/>
  <c r="N4044" i="2"/>
  <c r="H4044" i="2"/>
  <c r="N4040" i="2"/>
  <c r="H4040" i="2"/>
  <c r="N4036" i="2"/>
  <c r="H4036" i="2"/>
  <c r="N4032" i="2"/>
  <c r="H4032" i="2"/>
  <c r="N4028" i="2"/>
  <c r="H4028" i="2"/>
  <c r="N4024" i="2"/>
  <c r="H4024" i="2"/>
  <c r="N4020" i="2"/>
  <c r="H4020" i="2"/>
  <c r="N4016" i="2"/>
  <c r="H4016" i="2"/>
  <c r="N4012" i="2"/>
  <c r="H4012" i="2"/>
  <c r="N4008" i="2"/>
  <c r="H4008" i="2"/>
  <c r="N4004" i="2"/>
  <c r="H4004" i="2"/>
  <c r="N4000" i="2"/>
  <c r="H4000" i="2"/>
  <c r="N3996" i="2"/>
  <c r="H3996" i="2"/>
  <c r="N3992" i="2"/>
  <c r="H3992" i="2"/>
  <c r="N3988" i="2"/>
  <c r="H3988" i="2"/>
  <c r="N3984" i="2"/>
  <c r="H3984" i="2"/>
  <c r="N3980" i="2"/>
  <c r="H3980" i="2"/>
  <c r="N3976" i="2"/>
  <c r="H3976" i="2"/>
  <c r="N3972" i="2"/>
  <c r="H3972" i="2"/>
  <c r="N3968" i="2"/>
  <c r="H3968" i="2"/>
  <c r="N3964" i="2"/>
  <c r="H3964" i="2"/>
  <c r="N3960" i="2"/>
  <c r="H3960" i="2"/>
  <c r="N3956" i="2"/>
  <c r="H3956" i="2"/>
  <c r="N3952" i="2"/>
  <c r="H3952" i="2"/>
  <c r="N3948" i="2"/>
  <c r="H3948" i="2"/>
  <c r="N3944" i="2"/>
  <c r="H3944" i="2"/>
  <c r="N3940" i="2"/>
  <c r="H3940" i="2"/>
  <c r="N3936" i="2"/>
  <c r="H3936" i="2"/>
  <c r="N3932" i="2"/>
  <c r="H3932" i="2"/>
  <c r="N3928" i="2"/>
  <c r="H3928" i="2"/>
  <c r="N3924" i="2"/>
  <c r="H3924" i="2"/>
  <c r="N3920" i="2"/>
  <c r="H3920" i="2"/>
  <c r="N3916" i="2"/>
  <c r="H3916" i="2"/>
  <c r="N3912" i="2"/>
  <c r="H3912" i="2"/>
  <c r="N3908" i="2"/>
  <c r="H3908" i="2"/>
  <c r="N3904" i="2"/>
  <c r="H3904" i="2"/>
  <c r="N3900" i="2"/>
  <c r="H3900" i="2"/>
  <c r="N3896" i="2"/>
  <c r="H3896" i="2"/>
  <c r="N3892" i="2"/>
  <c r="H3892" i="2"/>
  <c r="N3888" i="2"/>
  <c r="H3888" i="2"/>
  <c r="N3884" i="2"/>
  <c r="H3884" i="2"/>
  <c r="N3880" i="2"/>
  <c r="H3880" i="2"/>
  <c r="N3876" i="2"/>
  <c r="H3876" i="2"/>
  <c r="N3872" i="2"/>
  <c r="H3872" i="2"/>
  <c r="N3868" i="2"/>
  <c r="H3868" i="2"/>
  <c r="N3864" i="2"/>
  <c r="H3864" i="2"/>
  <c r="N3860" i="2"/>
  <c r="H3860" i="2"/>
  <c r="N3856" i="2"/>
  <c r="H3856" i="2"/>
  <c r="N3852" i="2"/>
  <c r="H3852" i="2"/>
  <c r="N3848" i="2"/>
  <c r="H3848" i="2"/>
  <c r="N3844" i="2"/>
  <c r="H3844" i="2"/>
  <c r="N3840" i="2"/>
  <c r="H3840" i="2"/>
  <c r="N3836" i="2"/>
  <c r="H3836" i="2"/>
  <c r="N3832" i="2"/>
  <c r="H3832" i="2"/>
  <c r="N3828" i="2"/>
  <c r="H3828" i="2"/>
  <c r="N3824" i="2"/>
  <c r="H3824" i="2"/>
  <c r="N3820" i="2"/>
  <c r="H3820" i="2"/>
  <c r="N3816" i="2"/>
  <c r="H3816" i="2"/>
  <c r="N3812" i="2"/>
  <c r="H3812" i="2"/>
  <c r="N3808" i="2"/>
  <c r="H3808" i="2"/>
  <c r="N3804" i="2"/>
  <c r="H3804" i="2"/>
  <c r="N3800" i="2"/>
  <c r="H3800" i="2"/>
  <c r="N3796" i="2"/>
  <c r="H3796" i="2"/>
  <c r="N3792" i="2"/>
  <c r="H3792" i="2"/>
  <c r="N3788" i="2"/>
  <c r="H3788" i="2"/>
  <c r="N3784" i="2"/>
  <c r="H3784" i="2"/>
  <c r="N3780" i="2"/>
  <c r="H3780" i="2"/>
  <c r="N3776" i="2"/>
  <c r="H3776" i="2"/>
  <c r="N3772" i="2"/>
  <c r="H3772" i="2"/>
  <c r="N3768" i="2"/>
  <c r="H3768" i="2"/>
  <c r="N3764" i="2"/>
  <c r="H3764" i="2"/>
  <c r="N3760" i="2"/>
  <c r="H3760" i="2"/>
  <c r="N3756" i="2"/>
  <c r="H3756" i="2"/>
  <c r="N3752" i="2"/>
  <c r="H3752" i="2"/>
  <c r="N3748" i="2"/>
  <c r="H3748" i="2"/>
  <c r="N3744" i="2"/>
  <c r="H3744" i="2"/>
  <c r="N3740" i="2"/>
  <c r="H3740" i="2"/>
  <c r="N3736" i="2"/>
  <c r="H3736" i="2"/>
  <c r="N3732" i="2"/>
  <c r="H3732" i="2"/>
  <c r="N3728" i="2"/>
  <c r="H3728" i="2"/>
  <c r="N3724" i="2"/>
  <c r="H3724" i="2"/>
  <c r="N3720" i="2"/>
  <c r="H3720" i="2"/>
  <c r="N3716" i="2"/>
  <c r="H3716" i="2"/>
  <c r="N3712" i="2"/>
  <c r="H3712" i="2"/>
  <c r="N3708" i="2"/>
  <c r="H3708" i="2"/>
  <c r="N3704" i="2"/>
  <c r="H3704" i="2"/>
  <c r="N3700" i="2"/>
  <c r="H3700" i="2"/>
  <c r="N3696" i="2"/>
  <c r="H3696" i="2"/>
  <c r="N3692" i="2"/>
  <c r="H3692" i="2"/>
  <c r="N3688" i="2"/>
  <c r="H3688" i="2"/>
  <c r="N3684" i="2"/>
  <c r="H3684" i="2"/>
  <c r="N3680" i="2"/>
  <c r="H3680" i="2"/>
  <c r="N3676" i="2"/>
  <c r="H3676" i="2"/>
  <c r="N3672" i="2"/>
  <c r="H3672" i="2"/>
  <c r="N3668" i="2"/>
  <c r="H3668" i="2"/>
  <c r="N3664" i="2"/>
  <c r="H3664" i="2"/>
  <c r="N3660" i="2"/>
  <c r="H3660" i="2"/>
  <c r="N3656" i="2"/>
  <c r="H3656" i="2"/>
  <c r="N3652" i="2"/>
  <c r="H3652" i="2"/>
  <c r="N3648" i="2"/>
  <c r="H3648" i="2"/>
  <c r="N3644" i="2"/>
  <c r="H3644" i="2"/>
  <c r="N3640" i="2"/>
  <c r="H3640" i="2"/>
  <c r="N3636" i="2"/>
  <c r="H3636" i="2"/>
  <c r="N3632" i="2"/>
  <c r="H3632" i="2"/>
  <c r="N3628" i="2"/>
  <c r="H3628" i="2"/>
  <c r="N3624" i="2"/>
  <c r="H3624" i="2"/>
  <c r="N3620" i="2"/>
  <c r="H3620" i="2"/>
  <c r="N3616" i="2"/>
  <c r="H3616" i="2"/>
  <c r="N3612" i="2"/>
  <c r="H3612" i="2"/>
  <c r="N3608" i="2"/>
  <c r="H3608" i="2"/>
  <c r="N3604" i="2"/>
  <c r="H3604" i="2"/>
  <c r="N3600" i="2"/>
  <c r="H3600" i="2"/>
  <c r="N3596" i="2"/>
  <c r="H3596" i="2"/>
  <c r="N3592" i="2"/>
  <c r="H3592" i="2"/>
  <c r="N3588" i="2"/>
  <c r="H3588" i="2"/>
  <c r="N3584" i="2"/>
  <c r="H3584" i="2"/>
  <c r="N3580" i="2"/>
  <c r="H3580" i="2"/>
  <c r="N3576" i="2"/>
  <c r="H3576" i="2"/>
  <c r="N3572" i="2"/>
  <c r="H3572" i="2"/>
  <c r="N3568" i="2"/>
  <c r="H3568" i="2"/>
  <c r="N3564" i="2"/>
  <c r="H3564" i="2"/>
  <c r="N3560" i="2"/>
  <c r="H3560" i="2"/>
  <c r="N3556" i="2"/>
  <c r="H3556" i="2"/>
  <c r="N3552" i="2"/>
  <c r="H3552" i="2"/>
  <c r="N3548" i="2"/>
  <c r="H3548" i="2"/>
  <c r="N3544" i="2"/>
  <c r="H3544" i="2"/>
  <c r="N3540" i="2"/>
  <c r="H3540" i="2"/>
  <c r="N3536" i="2"/>
  <c r="H3536" i="2"/>
  <c r="N3532" i="2"/>
  <c r="H3532" i="2"/>
  <c r="N3528" i="2"/>
  <c r="H3528" i="2"/>
  <c r="N3524" i="2"/>
  <c r="H3524" i="2"/>
  <c r="N3520" i="2"/>
  <c r="H3520" i="2"/>
  <c r="N3516" i="2"/>
  <c r="H3516" i="2"/>
  <c r="N3512" i="2"/>
  <c r="H3512" i="2"/>
  <c r="N3508" i="2"/>
  <c r="H3508" i="2"/>
  <c r="N3504" i="2"/>
  <c r="H3504" i="2"/>
  <c r="N3500" i="2"/>
  <c r="H3500" i="2"/>
  <c r="N3496" i="2"/>
  <c r="H3496" i="2"/>
  <c r="N3492" i="2"/>
  <c r="H3492" i="2"/>
  <c r="N3488" i="2"/>
  <c r="H3488" i="2"/>
  <c r="N3484" i="2"/>
  <c r="H3484" i="2"/>
  <c r="N3480" i="2"/>
  <c r="H3480" i="2"/>
  <c r="N3476" i="2"/>
  <c r="H3476" i="2"/>
  <c r="N3472" i="2"/>
  <c r="H3472" i="2"/>
  <c r="N3468" i="2"/>
  <c r="H3468" i="2"/>
  <c r="N3464" i="2"/>
  <c r="H3464" i="2"/>
  <c r="N3460" i="2"/>
  <c r="H3460" i="2"/>
  <c r="N3456" i="2"/>
  <c r="H3456" i="2"/>
  <c r="N3452" i="2"/>
  <c r="H3452" i="2"/>
  <c r="N3448" i="2"/>
  <c r="H3448" i="2"/>
  <c r="N3444" i="2"/>
  <c r="H3444" i="2"/>
  <c r="N3440" i="2"/>
  <c r="H3440" i="2"/>
  <c r="N3436" i="2"/>
  <c r="H3436" i="2"/>
  <c r="N3432" i="2"/>
  <c r="H3432" i="2"/>
  <c r="N3428" i="2"/>
  <c r="H3428" i="2"/>
  <c r="N3424" i="2"/>
  <c r="H3424" i="2"/>
  <c r="N3420" i="2"/>
  <c r="H3420" i="2"/>
  <c r="N3416" i="2"/>
  <c r="H3416" i="2"/>
  <c r="N3412" i="2"/>
  <c r="H3412" i="2"/>
  <c r="N3408" i="2"/>
  <c r="H3408" i="2"/>
  <c r="N3404" i="2"/>
  <c r="H3404" i="2"/>
  <c r="N3400" i="2"/>
  <c r="H3400" i="2"/>
  <c r="N3396" i="2"/>
  <c r="H3396" i="2"/>
  <c r="N3392" i="2"/>
  <c r="H3392" i="2"/>
  <c r="N3388" i="2"/>
  <c r="H3388" i="2"/>
  <c r="N3384" i="2"/>
  <c r="H3384" i="2"/>
  <c r="N3380" i="2"/>
  <c r="H3380" i="2"/>
  <c r="N3376" i="2"/>
  <c r="H3376" i="2"/>
  <c r="N3372" i="2"/>
  <c r="H3372" i="2"/>
  <c r="N3368" i="2"/>
  <c r="H3368" i="2"/>
  <c r="N3364" i="2"/>
  <c r="H3364" i="2"/>
  <c r="N3360" i="2"/>
  <c r="H3360" i="2"/>
  <c r="N3356" i="2"/>
  <c r="H3356" i="2"/>
  <c r="N3352" i="2"/>
  <c r="H3352" i="2"/>
  <c r="N3348" i="2"/>
  <c r="H3348" i="2"/>
  <c r="N3344" i="2"/>
  <c r="H3344" i="2"/>
  <c r="N3340" i="2"/>
  <c r="H3340" i="2"/>
  <c r="N3336" i="2"/>
  <c r="H3336" i="2"/>
  <c r="N3332" i="2"/>
  <c r="H3332" i="2"/>
  <c r="N3328" i="2"/>
  <c r="H3328" i="2"/>
  <c r="N3324" i="2"/>
  <c r="H3324" i="2"/>
  <c r="N3320" i="2"/>
  <c r="H3320" i="2"/>
  <c r="N3316" i="2"/>
  <c r="H3316" i="2"/>
  <c r="N3312" i="2"/>
  <c r="H3312" i="2"/>
  <c r="N3308" i="2"/>
  <c r="H3308" i="2"/>
  <c r="N3304" i="2"/>
  <c r="H3304" i="2"/>
  <c r="N3300" i="2"/>
  <c r="H3300" i="2"/>
  <c r="N3296" i="2"/>
  <c r="H3296" i="2"/>
  <c r="N3292" i="2"/>
  <c r="H3292" i="2"/>
  <c r="N3288" i="2"/>
  <c r="H3288" i="2"/>
  <c r="N3284" i="2"/>
  <c r="H3284" i="2"/>
  <c r="N3280" i="2"/>
  <c r="H3280" i="2"/>
  <c r="N3276" i="2"/>
  <c r="H3276" i="2"/>
  <c r="N3272" i="2"/>
  <c r="H3272" i="2"/>
  <c r="N3268" i="2"/>
  <c r="H3268" i="2"/>
  <c r="N3264" i="2"/>
  <c r="H3264" i="2"/>
  <c r="N3260" i="2"/>
  <c r="H3260" i="2"/>
  <c r="N3256" i="2"/>
  <c r="H3256" i="2"/>
  <c r="N3252" i="2"/>
  <c r="H3252" i="2"/>
  <c r="N3248" i="2"/>
  <c r="H3248" i="2"/>
  <c r="N3244" i="2"/>
  <c r="H3244" i="2"/>
  <c r="N3240" i="2"/>
  <c r="H3240" i="2"/>
  <c r="N3236" i="2"/>
  <c r="H3236" i="2"/>
  <c r="N3232" i="2"/>
  <c r="H3232" i="2"/>
  <c r="N3228" i="2"/>
  <c r="H3228" i="2"/>
  <c r="N3224" i="2"/>
  <c r="H3224" i="2"/>
  <c r="N3220" i="2"/>
  <c r="H3220" i="2"/>
  <c r="N3216" i="2"/>
  <c r="H3216" i="2"/>
  <c r="N3212" i="2"/>
  <c r="H3212" i="2"/>
  <c r="N3208" i="2"/>
  <c r="H3208" i="2"/>
  <c r="N3204" i="2"/>
  <c r="H3204" i="2"/>
  <c r="N3200" i="2"/>
  <c r="H3200" i="2"/>
  <c r="N3196" i="2"/>
  <c r="H3196" i="2"/>
  <c r="N3192" i="2"/>
  <c r="H3192" i="2"/>
  <c r="N3188" i="2"/>
  <c r="H3188" i="2"/>
  <c r="N3184" i="2"/>
  <c r="H3184" i="2"/>
  <c r="N3180" i="2"/>
  <c r="H3180" i="2"/>
  <c r="N3176" i="2"/>
  <c r="H3176" i="2"/>
  <c r="N3172" i="2"/>
  <c r="H3172" i="2"/>
  <c r="N3168" i="2"/>
  <c r="H3168" i="2"/>
  <c r="N3164" i="2"/>
  <c r="H3164" i="2"/>
  <c r="N3160" i="2"/>
  <c r="H3160" i="2"/>
  <c r="N3156" i="2"/>
  <c r="H3156" i="2"/>
  <c r="N3152" i="2"/>
  <c r="H3152" i="2"/>
  <c r="N3148" i="2"/>
  <c r="H3148" i="2"/>
  <c r="N3144" i="2"/>
  <c r="H3144" i="2"/>
  <c r="N3140" i="2"/>
  <c r="H3140" i="2"/>
  <c r="N3136" i="2"/>
  <c r="H3136" i="2"/>
  <c r="N3132" i="2"/>
  <c r="H3132" i="2"/>
  <c r="N3128" i="2"/>
  <c r="H3128" i="2"/>
  <c r="N3124" i="2"/>
  <c r="H3124" i="2"/>
  <c r="N3120" i="2"/>
  <c r="H3120" i="2"/>
  <c r="N3116" i="2"/>
  <c r="H3116" i="2"/>
  <c r="N3112" i="2"/>
  <c r="H3112" i="2"/>
  <c r="N3108" i="2"/>
  <c r="H3108" i="2"/>
  <c r="N3104" i="2"/>
  <c r="H3104" i="2"/>
  <c r="N3100" i="2"/>
  <c r="H3100" i="2"/>
  <c r="N3096" i="2"/>
  <c r="H3096" i="2"/>
  <c r="N3092" i="2"/>
  <c r="H3092" i="2"/>
  <c r="N3088" i="2"/>
  <c r="H3088" i="2"/>
  <c r="N3084" i="2"/>
  <c r="H3084" i="2"/>
  <c r="N3080" i="2"/>
  <c r="H3080" i="2"/>
  <c r="N3076" i="2"/>
  <c r="H3076" i="2"/>
  <c r="N3072" i="2"/>
  <c r="H3072" i="2"/>
  <c r="N3068" i="2"/>
  <c r="H3068" i="2"/>
  <c r="N3064" i="2"/>
  <c r="H3064" i="2"/>
  <c r="N3060" i="2"/>
  <c r="H3060" i="2"/>
  <c r="N3056" i="2"/>
  <c r="H3056" i="2"/>
  <c r="N3052" i="2"/>
  <c r="H3052" i="2"/>
  <c r="N3048" i="2"/>
  <c r="H3048" i="2"/>
  <c r="N3044" i="2"/>
  <c r="H3044" i="2"/>
  <c r="N3040" i="2"/>
  <c r="H3040" i="2"/>
  <c r="N3036" i="2"/>
  <c r="H3036" i="2"/>
  <c r="N3032" i="2"/>
  <c r="H3032" i="2"/>
  <c r="N3028" i="2"/>
  <c r="H3028" i="2"/>
  <c r="N3024" i="2"/>
  <c r="H3024" i="2"/>
  <c r="N3020" i="2"/>
  <c r="H3020" i="2"/>
  <c r="N3016" i="2"/>
  <c r="H3016" i="2"/>
  <c r="N3012" i="2"/>
  <c r="H3012" i="2"/>
  <c r="N3008" i="2"/>
  <c r="H3008" i="2"/>
  <c r="N3004" i="2"/>
  <c r="H3004" i="2"/>
  <c r="N3000" i="2"/>
  <c r="H3000" i="2"/>
  <c r="N2996" i="2"/>
  <c r="H2996" i="2"/>
  <c r="N2992" i="2"/>
  <c r="H2992" i="2"/>
  <c r="N2988" i="2"/>
  <c r="H2988" i="2"/>
  <c r="N2984" i="2"/>
  <c r="H2984" i="2"/>
  <c r="N2980" i="2"/>
  <c r="H2980" i="2"/>
  <c r="N2976" i="2"/>
  <c r="H2976" i="2"/>
  <c r="N2972" i="2"/>
  <c r="H2972" i="2"/>
  <c r="N2968" i="2"/>
  <c r="H2968" i="2"/>
  <c r="N2964" i="2"/>
  <c r="H2964" i="2"/>
  <c r="N2960" i="2"/>
  <c r="H2960" i="2"/>
  <c r="N2956" i="2"/>
  <c r="H2956" i="2"/>
  <c r="N2952" i="2"/>
  <c r="H2952" i="2"/>
  <c r="N2948" i="2"/>
  <c r="H2948" i="2"/>
  <c r="N2944" i="2"/>
  <c r="H2944" i="2"/>
  <c r="N2940" i="2"/>
  <c r="H2940" i="2"/>
  <c r="N2936" i="2"/>
  <c r="H2936" i="2"/>
  <c r="N2932" i="2"/>
  <c r="H2932" i="2"/>
  <c r="N2928" i="2"/>
  <c r="H2928" i="2"/>
  <c r="N2924" i="2"/>
  <c r="H2924" i="2"/>
  <c r="N2920" i="2"/>
  <c r="H2920" i="2"/>
  <c r="N2916" i="2"/>
  <c r="H2916" i="2"/>
  <c r="N2912" i="2"/>
  <c r="H2912" i="2"/>
  <c r="N2908" i="2"/>
  <c r="H2908" i="2"/>
  <c r="N2904" i="2"/>
  <c r="H2904" i="2"/>
  <c r="N2900" i="2"/>
  <c r="H2900" i="2"/>
  <c r="N2896" i="2"/>
  <c r="H2896" i="2"/>
  <c r="N2892" i="2"/>
  <c r="H2892" i="2"/>
  <c r="N2888" i="2"/>
  <c r="H2888" i="2"/>
  <c r="N2884" i="2"/>
  <c r="H2884" i="2"/>
  <c r="N2880" i="2"/>
  <c r="H2880" i="2"/>
  <c r="N2876" i="2"/>
  <c r="H2876" i="2"/>
  <c r="N2872" i="2"/>
  <c r="H2872" i="2"/>
  <c r="N2868" i="2"/>
  <c r="H2868" i="2"/>
  <c r="N2864" i="2"/>
  <c r="H2864" i="2"/>
  <c r="N2860" i="2"/>
  <c r="H2860" i="2"/>
  <c r="N2856" i="2"/>
  <c r="H2856" i="2"/>
  <c r="N2852" i="2"/>
  <c r="H2852" i="2"/>
  <c r="N2848" i="2"/>
  <c r="H2848" i="2"/>
  <c r="N2844" i="2"/>
  <c r="H2844" i="2"/>
  <c r="N2840" i="2"/>
  <c r="H2840" i="2"/>
  <c r="N2836" i="2"/>
  <c r="H2836" i="2"/>
  <c r="N2832" i="2"/>
  <c r="H2832" i="2"/>
  <c r="N2828" i="2"/>
  <c r="H2828" i="2"/>
  <c r="N2824" i="2"/>
  <c r="H2824" i="2"/>
  <c r="N2820" i="2"/>
  <c r="H2820" i="2"/>
  <c r="N2816" i="2"/>
  <c r="H2816" i="2"/>
  <c r="N2812" i="2"/>
  <c r="H2812" i="2"/>
  <c r="N2808" i="2"/>
  <c r="H2808" i="2"/>
  <c r="N2804" i="2"/>
  <c r="H2804" i="2"/>
  <c r="N2800" i="2"/>
  <c r="H2800" i="2"/>
  <c r="N2796" i="2"/>
  <c r="H2796" i="2"/>
  <c r="N2792" i="2"/>
  <c r="H2792" i="2"/>
  <c r="N2788" i="2"/>
  <c r="H2788" i="2"/>
  <c r="N2784" i="2"/>
  <c r="H2784" i="2"/>
  <c r="N2780" i="2"/>
  <c r="H2780" i="2"/>
  <c r="N2776" i="2"/>
  <c r="H2776" i="2"/>
  <c r="N2772" i="2"/>
  <c r="H2772" i="2"/>
  <c r="N2768" i="2"/>
  <c r="H2768" i="2"/>
  <c r="N2764" i="2"/>
  <c r="H2764" i="2"/>
  <c r="N2760" i="2"/>
  <c r="H2760" i="2"/>
  <c r="N2756" i="2"/>
  <c r="H2756" i="2"/>
  <c r="N2752" i="2"/>
  <c r="H2752" i="2"/>
  <c r="N2748" i="2"/>
  <c r="H2748" i="2"/>
  <c r="N2744" i="2"/>
  <c r="H2744" i="2"/>
  <c r="N2740" i="2"/>
  <c r="H2740" i="2"/>
  <c r="N2736" i="2"/>
  <c r="H2736" i="2"/>
  <c r="N2732" i="2"/>
  <c r="H2732" i="2"/>
  <c r="N2728" i="2"/>
  <c r="H2728" i="2"/>
  <c r="N2724" i="2"/>
  <c r="H2724" i="2"/>
  <c r="N2720" i="2"/>
  <c r="H2720" i="2"/>
  <c r="N2716" i="2"/>
  <c r="H2716" i="2"/>
  <c r="N2712" i="2"/>
  <c r="H2712" i="2"/>
  <c r="N2708" i="2"/>
  <c r="H2708" i="2"/>
  <c r="N2704" i="2"/>
  <c r="H2704" i="2"/>
  <c r="N2700" i="2"/>
  <c r="H2700" i="2"/>
  <c r="N2696" i="2"/>
  <c r="H2696" i="2"/>
  <c r="N2692" i="2"/>
  <c r="H2692" i="2"/>
  <c r="N2688" i="2"/>
  <c r="H2688" i="2"/>
  <c r="N2684" i="2"/>
  <c r="H2684" i="2"/>
  <c r="N2680" i="2"/>
  <c r="H2680" i="2"/>
  <c r="N2676" i="2"/>
  <c r="H2676" i="2"/>
  <c r="N2672" i="2"/>
  <c r="H2672" i="2"/>
  <c r="N2668" i="2"/>
  <c r="H2668" i="2"/>
  <c r="N2664" i="2"/>
  <c r="H2664" i="2"/>
  <c r="N2660" i="2"/>
  <c r="H2660" i="2"/>
  <c r="N2656" i="2"/>
  <c r="H2656" i="2"/>
  <c r="N2652" i="2"/>
  <c r="H2652" i="2"/>
  <c r="N2648" i="2"/>
  <c r="H2648" i="2"/>
  <c r="N2644" i="2"/>
  <c r="H2644" i="2"/>
  <c r="N2640" i="2"/>
  <c r="H2640" i="2"/>
  <c r="N2636" i="2"/>
  <c r="H2636" i="2"/>
  <c r="N2632" i="2"/>
  <c r="H2632" i="2"/>
  <c r="N2628" i="2"/>
  <c r="H2628" i="2"/>
  <c r="N2624" i="2"/>
  <c r="H2624" i="2"/>
  <c r="N2620" i="2"/>
  <c r="H2620" i="2"/>
  <c r="N2616" i="2"/>
  <c r="H2616" i="2"/>
  <c r="N2612" i="2"/>
  <c r="H2612" i="2"/>
  <c r="N2608" i="2"/>
  <c r="H2608" i="2"/>
  <c r="N2604" i="2"/>
  <c r="H2604" i="2"/>
  <c r="N2600" i="2"/>
  <c r="H2600" i="2"/>
  <c r="N2596" i="2"/>
  <c r="H2596" i="2"/>
  <c r="N2592" i="2"/>
  <c r="H2592" i="2"/>
  <c r="N2588" i="2"/>
  <c r="H2588" i="2"/>
  <c r="N2584" i="2"/>
  <c r="H2584" i="2"/>
  <c r="N2580" i="2"/>
  <c r="H2580" i="2"/>
  <c r="N2576" i="2"/>
  <c r="H2576" i="2"/>
  <c r="N2572" i="2"/>
  <c r="H2572" i="2"/>
  <c r="N2568" i="2"/>
  <c r="H2568" i="2"/>
  <c r="N2564" i="2"/>
  <c r="H2564" i="2"/>
  <c r="N2560" i="2"/>
  <c r="H2560" i="2"/>
  <c r="N2556" i="2"/>
  <c r="H2556" i="2"/>
  <c r="N2552" i="2"/>
  <c r="H2552" i="2"/>
  <c r="N2548" i="2"/>
  <c r="H2548" i="2"/>
  <c r="N2544" i="2"/>
  <c r="H2544" i="2"/>
  <c r="N2540" i="2"/>
  <c r="H2540" i="2"/>
  <c r="N2536" i="2"/>
  <c r="H2536" i="2"/>
  <c r="N2532" i="2"/>
  <c r="H2532" i="2"/>
  <c r="N2528" i="2"/>
  <c r="H2528" i="2"/>
  <c r="N2524" i="2"/>
  <c r="H2524" i="2"/>
  <c r="N2520" i="2"/>
  <c r="H2520" i="2"/>
  <c r="N2516" i="2"/>
  <c r="H2516" i="2"/>
  <c r="N2512" i="2"/>
  <c r="H2512" i="2"/>
  <c r="N2508" i="2"/>
  <c r="H2508" i="2"/>
  <c r="N2504" i="2"/>
  <c r="H2504" i="2"/>
  <c r="N2500" i="2"/>
  <c r="H2500" i="2"/>
  <c r="N2496" i="2"/>
  <c r="H2496" i="2"/>
  <c r="N2492" i="2"/>
  <c r="H2492" i="2"/>
  <c r="N2488" i="2"/>
  <c r="H2488" i="2"/>
  <c r="N2484" i="2"/>
  <c r="H2484" i="2"/>
  <c r="N2480" i="2"/>
  <c r="H2480" i="2"/>
  <c r="N2476" i="2"/>
  <c r="H2476" i="2"/>
  <c r="N2472" i="2"/>
  <c r="H2472" i="2"/>
  <c r="N2468" i="2"/>
  <c r="H2468" i="2"/>
  <c r="N2464" i="2"/>
  <c r="H2464" i="2"/>
  <c r="N2460" i="2"/>
  <c r="H2460" i="2"/>
  <c r="N2456" i="2"/>
  <c r="H2456" i="2"/>
  <c r="N2452" i="2"/>
  <c r="H2452" i="2"/>
  <c r="N2448" i="2"/>
  <c r="H2448" i="2"/>
  <c r="N2444" i="2"/>
  <c r="H2444" i="2"/>
  <c r="N2440" i="2"/>
  <c r="H2440" i="2"/>
  <c r="N2436" i="2"/>
  <c r="H2436" i="2"/>
  <c r="N2432" i="2"/>
  <c r="H2432" i="2"/>
  <c r="N2428" i="2"/>
  <c r="H2428" i="2"/>
  <c r="N2424" i="2"/>
  <c r="H2424" i="2"/>
  <c r="N2420" i="2"/>
  <c r="H2420" i="2"/>
  <c r="N2416" i="2"/>
  <c r="H2416" i="2"/>
  <c r="N2412" i="2"/>
  <c r="H2412" i="2"/>
  <c r="N2408" i="2"/>
  <c r="H2408" i="2"/>
  <c r="N2404" i="2"/>
  <c r="H2404" i="2"/>
  <c r="N2400" i="2"/>
  <c r="H2400" i="2"/>
  <c r="N2396" i="2"/>
  <c r="H2396" i="2"/>
  <c r="N2392" i="2"/>
  <c r="H2392" i="2"/>
  <c r="N2388" i="2"/>
  <c r="H2388" i="2"/>
  <c r="N2384" i="2"/>
  <c r="H2384" i="2"/>
  <c r="N2380" i="2"/>
  <c r="H2380" i="2"/>
  <c r="N2376" i="2"/>
  <c r="H2376" i="2"/>
  <c r="N2372" i="2"/>
  <c r="H2372" i="2"/>
  <c r="N2368" i="2"/>
  <c r="H2368" i="2"/>
  <c r="N2364" i="2"/>
  <c r="H2364" i="2"/>
  <c r="N2360" i="2"/>
  <c r="H2360" i="2"/>
  <c r="N2356" i="2"/>
  <c r="H2356" i="2"/>
  <c r="N2352" i="2"/>
  <c r="H2352" i="2"/>
  <c r="N2348" i="2"/>
  <c r="H2348" i="2"/>
  <c r="N2344" i="2"/>
  <c r="H2344" i="2"/>
  <c r="N2340" i="2"/>
  <c r="H2340" i="2"/>
  <c r="N2336" i="2"/>
  <c r="H2336" i="2"/>
  <c r="N2332" i="2"/>
  <c r="H2332" i="2"/>
  <c r="N2328" i="2"/>
  <c r="H2328" i="2"/>
  <c r="N2324" i="2"/>
  <c r="H2324" i="2"/>
  <c r="N2320" i="2"/>
  <c r="H2320" i="2"/>
  <c r="N2316" i="2"/>
  <c r="H2316" i="2"/>
  <c r="N2312" i="2"/>
  <c r="H2312" i="2"/>
  <c r="N2308" i="2"/>
  <c r="H2308" i="2"/>
  <c r="N2304" i="2"/>
  <c r="H2304" i="2"/>
  <c r="N2300" i="2"/>
  <c r="H2300" i="2"/>
  <c r="N2296" i="2"/>
  <c r="H2296" i="2"/>
  <c r="N2292" i="2"/>
  <c r="H2292" i="2"/>
  <c r="N2288" i="2"/>
  <c r="H2288" i="2"/>
  <c r="N2284" i="2"/>
  <c r="H2284" i="2"/>
  <c r="N2280" i="2"/>
  <c r="H2280" i="2"/>
  <c r="N2276" i="2"/>
  <c r="H2276" i="2"/>
  <c r="N2272" i="2"/>
  <c r="H2272" i="2"/>
  <c r="N2268" i="2"/>
  <c r="H2268" i="2"/>
  <c r="N2264" i="2"/>
  <c r="H2264" i="2"/>
  <c r="N2260" i="2"/>
  <c r="H2260" i="2"/>
  <c r="N2256" i="2"/>
  <c r="H2256" i="2"/>
  <c r="N2252" i="2"/>
  <c r="H2252" i="2"/>
  <c r="N2248" i="2"/>
  <c r="H2248" i="2"/>
  <c r="N2244" i="2"/>
  <c r="H2244" i="2"/>
  <c r="N2240" i="2"/>
  <c r="H2240" i="2"/>
  <c r="N2236" i="2"/>
  <c r="H2236" i="2"/>
  <c r="N2232" i="2"/>
  <c r="H2232" i="2"/>
  <c r="N2228" i="2"/>
  <c r="H2228" i="2"/>
  <c r="N2224" i="2"/>
  <c r="H2224" i="2"/>
  <c r="N2220" i="2"/>
  <c r="H2220" i="2"/>
  <c r="N2216" i="2"/>
  <c r="H2216" i="2"/>
  <c r="N2212" i="2"/>
  <c r="H2212" i="2"/>
  <c r="N2208" i="2"/>
  <c r="H2208" i="2"/>
  <c r="N2204" i="2"/>
  <c r="H2204" i="2"/>
  <c r="N2200" i="2"/>
  <c r="H2200" i="2"/>
  <c r="N2196" i="2"/>
  <c r="H2196" i="2"/>
  <c r="N2192" i="2"/>
  <c r="H2192" i="2"/>
  <c r="N2188" i="2"/>
  <c r="H2188" i="2"/>
  <c r="N2184" i="2"/>
  <c r="H2184" i="2"/>
  <c r="N2180" i="2"/>
  <c r="H2180" i="2"/>
  <c r="N2176" i="2"/>
  <c r="H2176" i="2"/>
  <c r="N2172" i="2"/>
  <c r="H2172" i="2"/>
  <c r="N2168" i="2"/>
  <c r="H2168" i="2"/>
  <c r="N2164" i="2"/>
  <c r="H2164" i="2"/>
  <c r="N2160" i="2"/>
  <c r="H2160" i="2"/>
  <c r="N2156" i="2"/>
  <c r="H2156" i="2"/>
  <c r="N2152" i="2"/>
  <c r="H2152" i="2"/>
  <c r="N2148" i="2"/>
  <c r="H2148" i="2"/>
  <c r="N2144" i="2"/>
  <c r="H2144" i="2"/>
  <c r="N2140" i="2"/>
  <c r="H2140" i="2"/>
  <c r="N2136" i="2"/>
  <c r="H2136" i="2"/>
  <c r="N2132" i="2"/>
  <c r="H2132" i="2"/>
  <c r="N2128" i="2"/>
  <c r="H2128" i="2"/>
  <c r="N2124" i="2"/>
  <c r="H2124" i="2"/>
  <c r="N2120" i="2"/>
  <c r="H2120" i="2"/>
  <c r="N2116" i="2"/>
  <c r="H2116" i="2"/>
  <c r="N2112" i="2"/>
  <c r="H2112" i="2"/>
  <c r="N2108" i="2"/>
  <c r="H2108" i="2"/>
  <c r="N2104" i="2"/>
  <c r="H2104" i="2"/>
  <c r="N2100" i="2"/>
  <c r="H2100" i="2"/>
  <c r="N2096" i="2"/>
  <c r="H2096" i="2"/>
  <c r="N2092" i="2"/>
  <c r="H2092" i="2"/>
  <c r="N2088" i="2"/>
  <c r="H2088" i="2"/>
  <c r="N2084" i="2"/>
  <c r="H2084" i="2"/>
  <c r="N2080" i="2"/>
  <c r="H2080" i="2"/>
  <c r="N2076" i="2"/>
  <c r="H2076" i="2"/>
  <c r="N2072" i="2"/>
  <c r="H2072" i="2"/>
  <c r="N2068" i="2"/>
  <c r="H2068" i="2"/>
  <c r="N2064" i="2"/>
  <c r="H2064" i="2"/>
  <c r="N2060" i="2"/>
  <c r="H2060" i="2"/>
  <c r="N2056" i="2"/>
  <c r="H2056" i="2"/>
  <c r="N2052" i="2"/>
  <c r="H2052" i="2"/>
  <c r="N2048" i="2"/>
  <c r="H2048" i="2"/>
  <c r="N2044" i="2"/>
  <c r="H2044" i="2"/>
  <c r="N2040" i="2"/>
  <c r="H2040" i="2"/>
  <c r="N2036" i="2"/>
  <c r="H2036" i="2"/>
  <c r="N2032" i="2"/>
  <c r="H2032" i="2"/>
  <c r="N2028" i="2"/>
  <c r="H2028" i="2"/>
  <c r="N2024" i="2"/>
  <c r="H2024" i="2"/>
  <c r="N2020" i="2"/>
  <c r="H2020" i="2"/>
  <c r="N2016" i="2"/>
  <c r="H2016" i="2"/>
  <c r="N2012" i="2"/>
  <c r="H2012" i="2"/>
  <c r="N2008" i="2"/>
  <c r="H2008" i="2"/>
  <c r="N2004" i="2"/>
  <c r="H2004" i="2"/>
  <c r="N2000" i="2"/>
  <c r="H2000" i="2"/>
  <c r="N1996" i="2"/>
  <c r="H1996" i="2"/>
  <c r="N1992" i="2"/>
  <c r="H1992" i="2"/>
  <c r="N1988" i="2"/>
  <c r="H1988" i="2"/>
  <c r="N1984" i="2"/>
  <c r="H1984" i="2"/>
  <c r="N1980" i="2"/>
  <c r="H1980" i="2"/>
  <c r="N1976" i="2"/>
  <c r="H1976" i="2"/>
  <c r="N1972" i="2"/>
  <c r="H1972" i="2"/>
  <c r="N1968" i="2"/>
  <c r="H1968" i="2"/>
  <c r="N1964" i="2"/>
  <c r="H1964" i="2"/>
  <c r="N1960" i="2"/>
  <c r="H1960" i="2"/>
  <c r="N1956" i="2"/>
  <c r="H1956" i="2"/>
  <c r="N1952" i="2"/>
  <c r="H1952" i="2"/>
  <c r="N1948" i="2"/>
  <c r="H1948" i="2"/>
  <c r="N1944" i="2"/>
  <c r="H1944" i="2"/>
  <c r="N1940" i="2"/>
  <c r="H1940" i="2"/>
  <c r="N1936" i="2"/>
  <c r="H1936" i="2"/>
  <c r="N1932" i="2"/>
  <c r="H1932" i="2"/>
  <c r="N1928" i="2"/>
  <c r="H1928" i="2"/>
  <c r="N1924" i="2"/>
  <c r="H1924" i="2"/>
  <c r="N1920" i="2"/>
  <c r="H1920" i="2"/>
  <c r="N1916" i="2"/>
  <c r="H1916" i="2"/>
  <c r="N1912" i="2"/>
  <c r="H1912" i="2"/>
  <c r="N1908" i="2"/>
  <c r="H1908" i="2"/>
  <c r="N1904" i="2"/>
  <c r="H1904" i="2"/>
  <c r="N1900" i="2"/>
  <c r="H1900" i="2"/>
  <c r="N1896" i="2"/>
  <c r="H1896" i="2"/>
  <c r="N1892" i="2"/>
  <c r="H1892" i="2"/>
  <c r="N1888" i="2"/>
  <c r="H1888" i="2"/>
  <c r="N1884" i="2"/>
  <c r="H1884" i="2"/>
  <c r="N1880" i="2"/>
  <c r="H1880" i="2"/>
  <c r="N1876" i="2"/>
  <c r="H1876" i="2"/>
  <c r="N1872" i="2"/>
  <c r="H1872" i="2"/>
  <c r="N1868" i="2"/>
  <c r="H1868" i="2"/>
  <c r="N1864" i="2"/>
  <c r="H1864" i="2"/>
  <c r="N1860" i="2"/>
  <c r="H1860" i="2"/>
  <c r="N1856" i="2"/>
  <c r="H1856" i="2"/>
  <c r="N1852" i="2"/>
  <c r="H1852" i="2"/>
  <c r="N1848" i="2"/>
  <c r="H1848" i="2"/>
  <c r="N1844" i="2"/>
  <c r="H1844" i="2"/>
  <c r="N1840" i="2"/>
  <c r="H1840" i="2"/>
  <c r="N1836" i="2"/>
  <c r="H1836" i="2"/>
  <c r="N1832" i="2"/>
  <c r="H1832" i="2"/>
  <c r="N1828" i="2"/>
  <c r="H1828" i="2"/>
  <c r="N1824" i="2"/>
  <c r="H1824" i="2"/>
  <c r="N1820" i="2"/>
  <c r="H1820" i="2"/>
  <c r="N1816" i="2"/>
  <c r="H1816" i="2"/>
  <c r="N1812" i="2"/>
  <c r="H1812" i="2"/>
  <c r="N1808" i="2"/>
  <c r="H1808" i="2"/>
  <c r="N1804" i="2"/>
  <c r="H1804" i="2"/>
  <c r="N1800" i="2"/>
  <c r="H1800" i="2"/>
  <c r="N1796" i="2"/>
  <c r="H1796" i="2"/>
  <c r="N1792" i="2"/>
  <c r="H1792" i="2"/>
  <c r="N1788" i="2"/>
  <c r="H1788" i="2"/>
  <c r="N1784" i="2"/>
  <c r="H1784" i="2"/>
  <c r="N1780" i="2"/>
  <c r="H1780" i="2"/>
  <c r="N1776" i="2"/>
  <c r="H1776" i="2"/>
  <c r="N1772" i="2"/>
  <c r="H1772" i="2"/>
  <c r="N1768" i="2"/>
  <c r="H1768" i="2"/>
  <c r="N1764" i="2"/>
  <c r="H1764" i="2"/>
  <c r="N1760" i="2"/>
  <c r="H1760" i="2"/>
  <c r="N1756" i="2"/>
  <c r="H1756" i="2"/>
  <c r="N1752" i="2"/>
  <c r="H1752" i="2"/>
  <c r="N1748" i="2"/>
  <c r="H1748" i="2"/>
  <c r="N1744" i="2"/>
  <c r="H1744" i="2"/>
  <c r="N1740" i="2"/>
  <c r="H1740" i="2"/>
  <c r="N1736" i="2"/>
  <c r="H1736" i="2"/>
  <c r="N1732" i="2"/>
  <c r="H1732" i="2"/>
  <c r="N1728" i="2"/>
  <c r="H1728" i="2"/>
  <c r="N1724" i="2"/>
  <c r="H1724" i="2"/>
  <c r="N1720" i="2"/>
  <c r="H1720" i="2"/>
  <c r="N1716" i="2"/>
  <c r="H1716" i="2"/>
  <c r="N1712" i="2"/>
  <c r="H1712" i="2"/>
  <c r="N1708" i="2"/>
  <c r="H1708" i="2"/>
  <c r="N1704" i="2"/>
  <c r="H1704" i="2"/>
  <c r="N1700" i="2"/>
  <c r="H1700" i="2"/>
  <c r="N1696" i="2"/>
  <c r="H1696" i="2"/>
  <c r="N1692" i="2"/>
  <c r="H1692" i="2"/>
  <c r="N1688" i="2"/>
  <c r="H1688" i="2"/>
  <c r="N1684" i="2"/>
  <c r="H1684" i="2"/>
  <c r="N1680" i="2"/>
  <c r="H1680" i="2"/>
  <c r="N1676" i="2"/>
  <c r="H1676" i="2"/>
  <c r="N1672" i="2"/>
  <c r="H1672" i="2"/>
  <c r="N1668" i="2"/>
  <c r="H1668" i="2"/>
  <c r="N1664" i="2"/>
  <c r="H1664" i="2"/>
  <c r="N1660" i="2"/>
  <c r="H1660" i="2"/>
  <c r="N1656" i="2"/>
  <c r="H1656" i="2"/>
  <c r="N1652" i="2"/>
  <c r="H1652" i="2"/>
  <c r="N1648" i="2"/>
  <c r="H1648" i="2"/>
  <c r="N1644" i="2"/>
  <c r="H1644" i="2"/>
  <c r="N1640" i="2"/>
  <c r="H1640" i="2"/>
  <c r="N1636" i="2"/>
  <c r="H1636" i="2"/>
  <c r="N1632" i="2"/>
  <c r="H1632" i="2"/>
  <c r="N1628" i="2"/>
  <c r="H1628" i="2"/>
  <c r="N1624" i="2"/>
  <c r="H1624" i="2"/>
  <c r="N1620" i="2"/>
  <c r="H1620" i="2"/>
  <c r="N1616" i="2"/>
  <c r="H1616" i="2"/>
  <c r="N1612" i="2"/>
  <c r="H1612" i="2"/>
  <c r="N1608" i="2"/>
  <c r="H1608" i="2"/>
  <c r="N1604" i="2"/>
  <c r="H1604" i="2"/>
  <c r="N1600" i="2"/>
  <c r="H1600" i="2"/>
  <c r="N1596" i="2"/>
  <c r="H1596" i="2"/>
  <c r="N1592" i="2"/>
  <c r="H1592" i="2"/>
  <c r="N1588" i="2"/>
  <c r="H1588" i="2"/>
  <c r="N1584" i="2"/>
  <c r="H1584" i="2"/>
  <c r="N1580" i="2"/>
  <c r="H1580" i="2"/>
  <c r="N1576" i="2"/>
  <c r="H1576" i="2"/>
  <c r="N1572" i="2"/>
  <c r="H1572" i="2"/>
  <c r="N1568" i="2"/>
  <c r="H1568" i="2"/>
  <c r="N1564" i="2"/>
  <c r="H1564" i="2"/>
  <c r="N1560" i="2"/>
  <c r="H1560" i="2"/>
  <c r="N1556" i="2"/>
  <c r="H1556" i="2"/>
  <c r="N1552" i="2"/>
  <c r="H1552" i="2"/>
  <c r="N1548" i="2"/>
  <c r="H1548" i="2"/>
  <c r="N1544" i="2"/>
  <c r="H1544" i="2"/>
  <c r="N1540" i="2"/>
  <c r="H1540" i="2"/>
  <c r="N1536" i="2"/>
  <c r="H1536" i="2"/>
  <c r="N1532" i="2"/>
  <c r="H1532" i="2"/>
  <c r="N1528" i="2"/>
  <c r="H1528" i="2"/>
  <c r="N1524" i="2"/>
  <c r="H1524" i="2"/>
  <c r="N1520" i="2"/>
  <c r="H1520" i="2"/>
  <c r="N1516" i="2"/>
  <c r="H1516" i="2"/>
  <c r="N1512" i="2"/>
  <c r="H1512" i="2"/>
  <c r="N1508" i="2"/>
  <c r="H1508" i="2"/>
  <c r="N1504" i="2"/>
  <c r="H1504" i="2"/>
  <c r="N1500" i="2"/>
  <c r="H1500" i="2"/>
  <c r="N1496" i="2"/>
  <c r="H1496" i="2"/>
  <c r="N1492" i="2"/>
  <c r="H1492" i="2"/>
  <c r="N1488" i="2"/>
  <c r="H1488" i="2"/>
  <c r="N1484" i="2"/>
  <c r="H1484" i="2"/>
  <c r="N1480" i="2"/>
  <c r="H1480" i="2"/>
  <c r="N1476" i="2"/>
  <c r="H1476" i="2"/>
  <c r="N1472" i="2"/>
  <c r="H1472" i="2"/>
  <c r="N1468" i="2"/>
  <c r="H1468" i="2"/>
  <c r="N1464" i="2"/>
  <c r="H1464" i="2"/>
  <c r="N1460" i="2"/>
  <c r="H1460" i="2"/>
  <c r="N1456" i="2"/>
  <c r="H1456" i="2"/>
  <c r="N1452" i="2"/>
  <c r="H1452" i="2"/>
  <c r="N1448" i="2"/>
  <c r="H1448" i="2"/>
  <c r="N1444" i="2"/>
  <c r="H1444" i="2"/>
  <c r="N1440" i="2"/>
  <c r="H1440" i="2"/>
  <c r="N1436" i="2"/>
  <c r="H1436" i="2"/>
  <c r="N1432" i="2"/>
  <c r="H1432" i="2"/>
  <c r="N1428" i="2"/>
  <c r="H1428" i="2"/>
  <c r="N1424" i="2"/>
  <c r="H1424" i="2"/>
  <c r="N1420" i="2"/>
  <c r="H1420" i="2"/>
  <c r="N1416" i="2"/>
  <c r="H1416" i="2"/>
  <c r="N1412" i="2"/>
  <c r="H1412" i="2"/>
  <c r="N1408" i="2"/>
  <c r="H1408" i="2"/>
  <c r="N1404" i="2"/>
  <c r="H1404" i="2"/>
  <c r="N1400" i="2"/>
  <c r="H1400" i="2"/>
  <c r="N1396" i="2"/>
  <c r="H1396" i="2"/>
  <c r="N1392" i="2"/>
  <c r="H1392" i="2"/>
  <c r="N1388" i="2"/>
  <c r="H1388" i="2"/>
  <c r="N1384" i="2"/>
  <c r="H1384" i="2"/>
  <c r="N1380" i="2"/>
  <c r="H1380" i="2"/>
  <c r="N1376" i="2"/>
  <c r="H1376" i="2"/>
  <c r="N1372" i="2"/>
  <c r="H1372" i="2"/>
  <c r="N1368" i="2"/>
  <c r="H1368" i="2"/>
  <c r="N1364" i="2"/>
  <c r="H1364" i="2"/>
  <c r="N1360" i="2"/>
  <c r="H1360" i="2"/>
  <c r="N1356" i="2"/>
  <c r="H1356" i="2"/>
  <c r="N1352" i="2"/>
  <c r="H1352" i="2"/>
  <c r="N1348" i="2"/>
  <c r="H1348" i="2"/>
  <c r="N1344" i="2"/>
  <c r="H1344" i="2"/>
  <c r="N1340" i="2"/>
  <c r="H1340" i="2"/>
  <c r="N1336" i="2"/>
  <c r="H1336" i="2"/>
  <c r="N1332" i="2"/>
  <c r="H1332" i="2"/>
  <c r="N1328" i="2"/>
  <c r="H1328" i="2"/>
  <c r="N1324" i="2"/>
  <c r="H1324" i="2"/>
  <c r="N1320" i="2"/>
  <c r="H1320" i="2"/>
  <c r="N1316" i="2"/>
  <c r="H1316" i="2"/>
  <c r="N1312" i="2"/>
  <c r="H1312" i="2"/>
  <c r="N1308" i="2"/>
  <c r="H1308" i="2"/>
  <c r="N1304" i="2"/>
  <c r="H1304" i="2"/>
  <c r="N1300" i="2"/>
  <c r="H1300" i="2"/>
  <c r="N1296" i="2"/>
  <c r="H1296" i="2"/>
  <c r="N1292" i="2"/>
  <c r="H1292" i="2"/>
  <c r="N1288" i="2"/>
  <c r="H1288" i="2"/>
  <c r="N1284" i="2"/>
  <c r="H1284" i="2"/>
  <c r="N1280" i="2"/>
  <c r="H1280" i="2"/>
  <c r="N1276" i="2"/>
  <c r="H1276" i="2"/>
  <c r="N1272" i="2"/>
  <c r="H1272" i="2"/>
  <c r="N1268" i="2"/>
  <c r="H1268" i="2"/>
  <c r="N1264" i="2"/>
  <c r="H1264" i="2"/>
  <c r="N1260" i="2"/>
  <c r="H1260" i="2"/>
  <c r="N1256" i="2"/>
  <c r="H1256" i="2"/>
  <c r="N1252" i="2"/>
  <c r="H1252" i="2"/>
  <c r="N1248" i="2"/>
  <c r="H1248" i="2"/>
  <c r="N1244" i="2"/>
  <c r="H1244" i="2"/>
  <c r="N1240" i="2"/>
  <c r="H1240" i="2"/>
  <c r="N1236" i="2"/>
  <c r="H1236" i="2"/>
  <c r="N1232" i="2"/>
  <c r="H1232" i="2"/>
  <c r="N1228" i="2"/>
  <c r="H1228" i="2"/>
  <c r="N1224" i="2"/>
  <c r="H1224" i="2"/>
  <c r="N1220" i="2"/>
  <c r="H1220" i="2"/>
  <c r="N1216" i="2"/>
  <c r="H1216" i="2"/>
  <c r="N1212" i="2"/>
  <c r="H1212" i="2"/>
  <c r="N1208" i="2"/>
  <c r="H1208" i="2"/>
  <c r="N1204" i="2"/>
  <c r="H1204" i="2"/>
  <c r="N1200" i="2"/>
  <c r="H1200" i="2"/>
  <c r="N1196" i="2"/>
  <c r="H1196" i="2"/>
  <c r="N1192" i="2"/>
  <c r="H1192" i="2"/>
  <c r="N1188" i="2"/>
  <c r="H1188" i="2"/>
  <c r="N1184" i="2"/>
  <c r="H1184" i="2"/>
  <c r="N1180" i="2"/>
  <c r="H1180" i="2"/>
  <c r="N1176" i="2"/>
  <c r="H1176" i="2"/>
  <c r="N1172" i="2"/>
  <c r="H1172" i="2"/>
  <c r="N1168" i="2"/>
  <c r="H1168" i="2"/>
  <c r="N1164" i="2"/>
  <c r="H1164" i="2"/>
  <c r="N1160" i="2"/>
  <c r="H1160" i="2"/>
  <c r="N1156" i="2"/>
  <c r="H1156" i="2"/>
  <c r="N1152" i="2"/>
  <c r="H1152" i="2"/>
  <c r="N1148" i="2"/>
  <c r="H1148" i="2"/>
  <c r="N1144" i="2"/>
  <c r="H1144" i="2"/>
  <c r="N1140" i="2"/>
  <c r="H1140" i="2"/>
  <c r="N1136" i="2"/>
  <c r="H1136" i="2"/>
  <c r="N1132" i="2"/>
  <c r="H1132" i="2"/>
  <c r="N1128" i="2"/>
  <c r="H1128" i="2"/>
  <c r="N1124" i="2"/>
  <c r="H1124" i="2"/>
  <c r="N1120" i="2"/>
  <c r="H1120" i="2"/>
  <c r="N1116" i="2"/>
  <c r="H1116" i="2"/>
  <c r="N1112" i="2"/>
  <c r="H1112" i="2"/>
  <c r="N1108" i="2"/>
  <c r="H1108" i="2"/>
  <c r="N1104" i="2"/>
  <c r="H1104" i="2"/>
  <c r="N1100" i="2"/>
  <c r="H1100" i="2"/>
  <c r="N1096" i="2"/>
  <c r="H1096" i="2"/>
  <c r="N1092" i="2"/>
  <c r="H1092" i="2"/>
  <c r="N1088" i="2"/>
  <c r="H1088" i="2"/>
  <c r="N1084" i="2"/>
  <c r="H1084" i="2"/>
  <c r="N1080" i="2"/>
  <c r="H1080" i="2"/>
  <c r="N1076" i="2"/>
  <c r="H1076" i="2"/>
  <c r="N1072" i="2"/>
  <c r="H1072" i="2"/>
  <c r="N1068" i="2"/>
  <c r="H1068" i="2"/>
  <c r="N1064" i="2"/>
  <c r="H1064" i="2"/>
  <c r="N1060" i="2"/>
  <c r="H1060" i="2"/>
  <c r="N1056" i="2"/>
  <c r="H1056" i="2"/>
  <c r="N1052" i="2"/>
  <c r="H1052" i="2"/>
  <c r="N1048" i="2"/>
  <c r="H1048" i="2"/>
  <c r="N1044" i="2"/>
  <c r="H1044" i="2"/>
  <c r="N1040" i="2"/>
  <c r="H1040" i="2"/>
  <c r="N1036" i="2"/>
  <c r="H1036" i="2"/>
  <c r="N1032" i="2"/>
  <c r="H1032" i="2"/>
  <c r="N1028" i="2"/>
  <c r="H1028" i="2"/>
  <c r="N1021" i="2"/>
  <c r="H1021" i="2"/>
  <c r="N1017" i="2"/>
  <c r="H1017" i="2"/>
  <c r="N1013" i="2"/>
  <c r="H1013" i="2"/>
  <c r="N1009" i="2"/>
  <c r="H1009" i="2"/>
  <c r="N1005" i="2"/>
  <c r="H1005" i="2"/>
  <c r="N1001" i="2"/>
  <c r="H1001" i="2"/>
  <c r="N997" i="2"/>
  <c r="H997" i="2"/>
  <c r="N993" i="2"/>
  <c r="H993" i="2"/>
  <c r="N989" i="2"/>
  <c r="H989" i="2"/>
  <c r="N985" i="2"/>
  <c r="H985" i="2"/>
  <c r="N981" i="2"/>
  <c r="H981" i="2"/>
  <c r="N977" i="2"/>
  <c r="H977" i="2"/>
  <c r="N973" i="2"/>
  <c r="H973" i="2"/>
  <c r="N969" i="2"/>
  <c r="H969" i="2"/>
  <c r="N965" i="2"/>
  <c r="H965" i="2"/>
  <c r="N961" i="2"/>
  <c r="H961" i="2"/>
  <c r="N957" i="2"/>
  <c r="H957" i="2"/>
  <c r="N953" i="2"/>
  <c r="H953" i="2"/>
  <c r="N949" i="2"/>
  <c r="H949" i="2"/>
  <c r="N945" i="2"/>
  <c r="H945" i="2"/>
  <c r="N941" i="2"/>
  <c r="H941" i="2"/>
  <c r="N937" i="2"/>
  <c r="H937" i="2"/>
  <c r="N933" i="2"/>
  <c r="H933" i="2"/>
  <c r="N929" i="2"/>
  <c r="H929" i="2"/>
  <c r="N925" i="2"/>
  <c r="H925" i="2"/>
  <c r="N921" i="2"/>
  <c r="H921" i="2"/>
  <c r="N917" i="2"/>
  <c r="H917" i="2"/>
  <c r="N913" i="2"/>
  <c r="H913" i="2"/>
  <c r="N909" i="2"/>
  <c r="H909" i="2"/>
  <c r="N905" i="2"/>
  <c r="H905" i="2"/>
  <c r="N901" i="2"/>
  <c r="H901" i="2"/>
  <c r="N897" i="2"/>
  <c r="H897" i="2"/>
  <c r="N893" i="2"/>
  <c r="H893" i="2"/>
  <c r="N889" i="2"/>
  <c r="H889" i="2"/>
  <c r="N885" i="2"/>
  <c r="H885" i="2"/>
  <c r="N881" i="2"/>
  <c r="H881" i="2"/>
  <c r="N877" i="2"/>
  <c r="H877" i="2"/>
  <c r="N873" i="2"/>
  <c r="H873" i="2"/>
  <c r="N869" i="2"/>
  <c r="H869" i="2"/>
  <c r="N865" i="2"/>
  <c r="H865" i="2"/>
  <c r="N861" i="2"/>
  <c r="H861" i="2"/>
  <c r="N857" i="2"/>
  <c r="H857" i="2"/>
  <c r="N853" i="2"/>
  <c r="H853" i="2"/>
  <c r="N849" i="2"/>
  <c r="H849" i="2"/>
  <c r="N845" i="2"/>
  <c r="H845" i="2"/>
  <c r="N841" i="2"/>
  <c r="H841" i="2"/>
  <c r="N837" i="2"/>
  <c r="H837" i="2"/>
  <c r="N833" i="2"/>
  <c r="H833" i="2"/>
  <c r="N829" i="2"/>
  <c r="H829" i="2"/>
  <c r="N825" i="2"/>
  <c r="H825" i="2"/>
  <c r="N821" i="2"/>
  <c r="H821" i="2"/>
  <c r="N817" i="2"/>
  <c r="H817" i="2"/>
  <c r="N813" i="2"/>
  <c r="H813" i="2"/>
  <c r="N809" i="2"/>
  <c r="H809" i="2"/>
  <c r="N805" i="2"/>
  <c r="H805" i="2"/>
  <c r="N801" i="2"/>
  <c r="H801" i="2"/>
  <c r="N797" i="2"/>
  <c r="H797" i="2"/>
  <c r="N793" i="2"/>
  <c r="H793" i="2"/>
  <c r="N789" i="2"/>
  <c r="H789" i="2"/>
  <c r="N785" i="2"/>
  <c r="H785" i="2"/>
  <c r="N781" i="2"/>
  <c r="H781" i="2"/>
  <c r="N777" i="2"/>
  <c r="H777" i="2"/>
  <c r="N773" i="2"/>
  <c r="H773" i="2"/>
  <c r="N769" i="2"/>
  <c r="H769" i="2"/>
  <c r="N765" i="2"/>
  <c r="H765" i="2"/>
  <c r="N761" i="2"/>
  <c r="H761" i="2"/>
  <c r="N757" i="2"/>
  <c r="H757" i="2"/>
  <c r="N753" i="2"/>
  <c r="H753" i="2"/>
  <c r="N749" i="2"/>
  <c r="H749" i="2"/>
  <c r="N745" i="2"/>
  <c r="H745" i="2"/>
  <c r="N741" i="2"/>
  <c r="H741" i="2"/>
  <c r="N737" i="2"/>
  <c r="H737" i="2"/>
  <c r="N733" i="2"/>
  <c r="H733" i="2"/>
  <c r="N729" i="2"/>
  <c r="H729" i="2"/>
  <c r="N725" i="2"/>
  <c r="H725" i="2"/>
  <c r="N721" i="2"/>
  <c r="H721" i="2"/>
  <c r="N717" i="2"/>
  <c r="H717" i="2"/>
  <c r="N713" i="2"/>
  <c r="H713" i="2"/>
  <c r="N709" i="2"/>
  <c r="H709" i="2"/>
  <c r="N705" i="2"/>
  <c r="H705" i="2"/>
  <c r="N701" i="2"/>
  <c r="H701" i="2"/>
  <c r="N697" i="2"/>
  <c r="H697" i="2"/>
  <c r="N693" i="2"/>
  <c r="H693" i="2"/>
  <c r="N689" i="2"/>
  <c r="H689" i="2"/>
  <c r="N685" i="2"/>
  <c r="H685" i="2"/>
  <c r="N681" i="2"/>
  <c r="H681" i="2"/>
  <c r="N677" i="2"/>
  <c r="H677" i="2"/>
  <c r="N673" i="2"/>
  <c r="H673" i="2"/>
  <c r="N669" i="2"/>
  <c r="H669" i="2"/>
  <c r="N665" i="2"/>
  <c r="H665" i="2"/>
  <c r="N661" i="2"/>
  <c r="H661" i="2"/>
  <c r="N657" i="2"/>
  <c r="H657" i="2"/>
  <c r="N653" i="2"/>
  <c r="H653" i="2"/>
  <c r="N649" i="2"/>
  <c r="H649" i="2"/>
  <c r="N645" i="2"/>
  <c r="H645" i="2"/>
  <c r="N641" i="2"/>
  <c r="H641" i="2"/>
  <c r="N637" i="2"/>
  <c r="H637" i="2"/>
  <c r="N633" i="2"/>
  <c r="H633" i="2"/>
  <c r="N629" i="2"/>
  <c r="H629" i="2"/>
  <c r="N625" i="2"/>
  <c r="H625" i="2"/>
  <c r="N621" i="2"/>
  <c r="H621" i="2"/>
  <c r="N617" i="2"/>
  <c r="H617" i="2"/>
  <c r="N613" i="2"/>
  <c r="H613" i="2"/>
  <c r="N609" i="2"/>
  <c r="H609" i="2"/>
  <c r="N605" i="2"/>
  <c r="H605" i="2"/>
  <c r="N601" i="2"/>
  <c r="H601" i="2"/>
  <c r="N597" i="2"/>
  <c r="H597" i="2"/>
  <c r="N593" i="2"/>
  <c r="H593" i="2"/>
  <c r="N589" i="2"/>
  <c r="H589" i="2"/>
  <c r="N585" i="2"/>
  <c r="H585" i="2"/>
  <c r="N581" i="2"/>
  <c r="H581" i="2"/>
  <c r="N577" i="2"/>
  <c r="H577" i="2"/>
  <c r="N573" i="2"/>
  <c r="H573" i="2"/>
  <c r="N569" i="2"/>
  <c r="H569" i="2"/>
  <c r="N565" i="2"/>
  <c r="H565" i="2"/>
  <c r="N561" i="2"/>
  <c r="H561" i="2"/>
  <c r="N557" i="2"/>
  <c r="H557" i="2"/>
  <c r="N553" i="2"/>
  <c r="H553" i="2"/>
  <c r="N549" i="2"/>
  <c r="H549" i="2"/>
  <c r="N545" i="2"/>
  <c r="H545" i="2"/>
  <c r="N541" i="2"/>
  <c r="H541" i="2"/>
  <c r="N537" i="2"/>
  <c r="H537" i="2"/>
  <c r="N533" i="2"/>
  <c r="H533" i="2"/>
  <c r="N529" i="2"/>
  <c r="H529" i="2"/>
  <c r="N525" i="2"/>
  <c r="H525" i="2"/>
  <c r="N521" i="2"/>
  <c r="H521" i="2"/>
  <c r="N517" i="2"/>
  <c r="H517" i="2"/>
  <c r="N513" i="2"/>
  <c r="H513" i="2"/>
  <c r="N509" i="2"/>
  <c r="H509" i="2"/>
  <c r="N505" i="2"/>
  <c r="H505" i="2"/>
  <c r="N501" i="2"/>
  <c r="H501" i="2"/>
  <c r="N497" i="2"/>
  <c r="H497" i="2"/>
  <c r="N493" i="2"/>
  <c r="H493" i="2"/>
  <c r="N489" i="2"/>
  <c r="H489" i="2"/>
  <c r="N485" i="2"/>
  <c r="H485" i="2"/>
  <c r="N481" i="2"/>
  <c r="H481" i="2"/>
  <c r="N477" i="2"/>
  <c r="H477" i="2"/>
  <c r="N473" i="2"/>
  <c r="H473" i="2"/>
  <c r="N469" i="2"/>
  <c r="H469" i="2"/>
  <c r="N465" i="2"/>
  <c r="H465" i="2"/>
  <c r="N461" i="2"/>
  <c r="H461" i="2"/>
  <c r="N457" i="2"/>
  <c r="H457" i="2"/>
  <c r="N453" i="2"/>
  <c r="H453" i="2"/>
  <c r="N449" i="2"/>
  <c r="H449" i="2"/>
  <c r="N445" i="2"/>
  <c r="H445" i="2"/>
  <c r="N441" i="2"/>
  <c r="H441" i="2"/>
  <c r="N437" i="2"/>
  <c r="H437" i="2"/>
  <c r="N433" i="2"/>
  <c r="H433" i="2"/>
  <c r="N429" i="2"/>
  <c r="H429" i="2"/>
  <c r="N425" i="2"/>
  <c r="H425" i="2"/>
  <c r="N421" i="2"/>
  <c r="H421" i="2"/>
  <c r="N417" i="2"/>
  <c r="H417" i="2"/>
  <c r="N413" i="2"/>
  <c r="H413" i="2"/>
  <c r="N409" i="2"/>
  <c r="H409" i="2"/>
  <c r="N405" i="2"/>
  <c r="H405" i="2"/>
  <c r="N401" i="2"/>
  <c r="H401" i="2"/>
  <c r="N397" i="2"/>
  <c r="H397" i="2"/>
  <c r="N393" i="2"/>
  <c r="H393" i="2"/>
  <c r="N389" i="2"/>
  <c r="H389" i="2"/>
  <c r="N385" i="2"/>
  <c r="H385" i="2"/>
  <c r="N381" i="2"/>
  <c r="H381" i="2"/>
  <c r="N377" i="2"/>
  <c r="H377" i="2"/>
  <c r="N373" i="2"/>
  <c r="H373" i="2"/>
  <c r="N369" i="2"/>
  <c r="H369" i="2"/>
  <c r="N365" i="2"/>
  <c r="H365" i="2"/>
  <c r="N361" i="2"/>
  <c r="H361" i="2"/>
  <c r="N357" i="2"/>
  <c r="H357" i="2"/>
  <c r="N353" i="2"/>
  <c r="H353" i="2"/>
  <c r="N349" i="2"/>
  <c r="H349" i="2"/>
  <c r="N345" i="2"/>
  <c r="H345" i="2"/>
  <c r="N341" i="2"/>
  <c r="H341" i="2"/>
  <c r="N337" i="2"/>
  <c r="H337" i="2"/>
  <c r="N333" i="2"/>
  <c r="H333" i="2"/>
  <c r="N329" i="2"/>
  <c r="H329" i="2"/>
  <c r="N325" i="2"/>
  <c r="H325" i="2"/>
  <c r="N321" i="2"/>
  <c r="H321" i="2"/>
  <c r="N317" i="2"/>
  <c r="H317" i="2"/>
  <c r="N313" i="2"/>
  <c r="H313" i="2"/>
  <c r="N309" i="2"/>
  <c r="H309" i="2"/>
  <c r="N305" i="2"/>
  <c r="H305" i="2"/>
  <c r="N301" i="2"/>
  <c r="H301" i="2"/>
  <c r="N297" i="2"/>
  <c r="H297" i="2"/>
  <c r="N293" i="2"/>
  <c r="H293" i="2"/>
  <c r="N289" i="2"/>
  <c r="H289" i="2"/>
  <c r="N285" i="2"/>
  <c r="H285" i="2"/>
  <c r="N281" i="2"/>
  <c r="H281" i="2"/>
  <c r="N277" i="2"/>
  <c r="H277" i="2"/>
  <c r="N273" i="2"/>
  <c r="H273" i="2"/>
  <c r="N269" i="2"/>
  <c r="H269" i="2"/>
  <c r="N265" i="2"/>
  <c r="H265" i="2"/>
  <c r="N261" i="2"/>
  <c r="H261" i="2"/>
  <c r="N257" i="2"/>
  <c r="H257" i="2"/>
  <c r="N253" i="2"/>
  <c r="H253" i="2"/>
  <c r="N249" i="2"/>
  <c r="H249" i="2"/>
  <c r="N245" i="2"/>
  <c r="H245" i="2"/>
  <c r="N241" i="2"/>
  <c r="H241" i="2"/>
  <c r="N237" i="2"/>
  <c r="H237" i="2"/>
  <c r="N233" i="2"/>
  <c r="H233" i="2"/>
  <c r="N229" i="2"/>
  <c r="H229" i="2"/>
  <c r="N225" i="2"/>
  <c r="H225" i="2"/>
  <c r="N221" i="2"/>
  <c r="H221" i="2"/>
  <c r="N217" i="2"/>
  <c r="H217" i="2"/>
  <c r="N213" i="2"/>
  <c r="H213" i="2"/>
  <c r="N209" i="2"/>
  <c r="H209" i="2"/>
  <c r="N205" i="2"/>
  <c r="H205" i="2"/>
  <c r="N201" i="2"/>
  <c r="H201" i="2"/>
  <c r="N197" i="2"/>
  <c r="H197" i="2"/>
  <c r="N193" i="2"/>
  <c r="H193" i="2"/>
  <c r="N189" i="2"/>
  <c r="H189" i="2"/>
  <c r="N185" i="2"/>
  <c r="H185" i="2"/>
  <c r="N181" i="2"/>
  <c r="H181" i="2"/>
  <c r="N177" i="2"/>
  <c r="H177" i="2"/>
  <c r="N173" i="2"/>
  <c r="H173" i="2"/>
  <c r="N169" i="2"/>
  <c r="H169" i="2"/>
  <c r="N165" i="2"/>
  <c r="H165" i="2"/>
  <c r="N161" i="2"/>
  <c r="H161" i="2"/>
  <c r="N157" i="2"/>
  <c r="H157" i="2"/>
  <c r="N153" i="2"/>
  <c r="H153" i="2"/>
  <c r="N149" i="2"/>
  <c r="H149" i="2"/>
  <c r="N145" i="2"/>
  <c r="H145" i="2"/>
  <c r="N141" i="2"/>
  <c r="H141" i="2"/>
  <c r="N137" i="2"/>
  <c r="H137" i="2"/>
  <c r="N133" i="2"/>
  <c r="H133" i="2"/>
  <c r="N129" i="2"/>
  <c r="H129" i="2"/>
  <c r="N125" i="2"/>
  <c r="H125" i="2"/>
  <c r="N121" i="2"/>
  <c r="H121" i="2"/>
  <c r="N117" i="2"/>
  <c r="H117" i="2"/>
  <c r="N113" i="2"/>
  <c r="H113" i="2"/>
  <c r="N109" i="2"/>
  <c r="H109" i="2"/>
  <c r="N105" i="2"/>
  <c r="H105" i="2"/>
  <c r="N101" i="2"/>
  <c r="H101" i="2"/>
  <c r="N97" i="2"/>
  <c r="H97" i="2"/>
  <c r="N93" i="2"/>
  <c r="H93" i="2"/>
  <c r="N89" i="2"/>
  <c r="H89" i="2"/>
  <c r="N85" i="2"/>
  <c r="H85" i="2"/>
  <c r="N81" i="2"/>
  <c r="H81" i="2"/>
  <c r="N77" i="2"/>
  <c r="H77" i="2"/>
  <c r="N73" i="2"/>
  <c r="H73" i="2"/>
  <c r="N69" i="2"/>
  <c r="H69" i="2"/>
  <c r="N65" i="2"/>
  <c r="H65" i="2"/>
  <c r="N61" i="2"/>
  <c r="H61" i="2"/>
  <c r="N57" i="2"/>
  <c r="H57" i="2"/>
  <c r="N53" i="2"/>
  <c r="H53" i="2"/>
  <c r="N49" i="2"/>
  <c r="H49" i="2"/>
  <c r="N45" i="2"/>
  <c r="H45" i="2"/>
  <c r="N41" i="2"/>
  <c r="H41" i="2"/>
  <c r="N37" i="2"/>
  <c r="H37" i="2"/>
  <c r="N33" i="2"/>
  <c r="H33" i="2"/>
  <c r="N29" i="2"/>
  <c r="H29" i="2"/>
  <c r="N25" i="2"/>
  <c r="H25" i="2"/>
  <c r="N21" i="2"/>
  <c r="H21" i="2"/>
  <c r="N17" i="2"/>
  <c r="H17" i="2"/>
  <c r="N13" i="2"/>
  <c r="H13" i="2"/>
  <c r="N9" i="2"/>
  <c r="H9" i="2"/>
  <c r="N5" i="2"/>
  <c r="H5" i="2"/>
  <c r="N1024" i="2"/>
  <c r="H1024" i="2"/>
  <c r="N1020" i="2"/>
  <c r="H1020" i="2"/>
  <c r="N1016" i="2"/>
  <c r="H1016" i="2"/>
  <c r="N1012" i="2"/>
  <c r="H1012" i="2"/>
  <c r="N1008" i="2"/>
  <c r="H1008" i="2"/>
  <c r="N1004" i="2"/>
  <c r="H1004" i="2"/>
  <c r="N1000" i="2"/>
  <c r="H1000" i="2"/>
  <c r="N996" i="2"/>
  <c r="H996" i="2"/>
  <c r="N992" i="2"/>
  <c r="H992" i="2"/>
  <c r="N988" i="2"/>
  <c r="H988" i="2"/>
  <c r="N984" i="2"/>
  <c r="H984" i="2"/>
  <c r="N980" i="2"/>
  <c r="H980" i="2"/>
  <c r="N976" i="2"/>
  <c r="H976" i="2"/>
  <c r="N972" i="2"/>
  <c r="H972" i="2"/>
  <c r="N968" i="2"/>
  <c r="H968" i="2"/>
  <c r="N964" i="2"/>
  <c r="H964" i="2"/>
  <c r="N960" i="2"/>
  <c r="H960" i="2"/>
  <c r="N956" i="2"/>
  <c r="H956" i="2"/>
  <c r="N952" i="2"/>
  <c r="H952" i="2"/>
  <c r="N948" i="2"/>
  <c r="H948" i="2"/>
  <c r="N944" i="2"/>
  <c r="H944" i="2"/>
  <c r="N940" i="2"/>
  <c r="H940" i="2"/>
  <c r="N936" i="2"/>
  <c r="H936" i="2"/>
  <c r="N932" i="2"/>
  <c r="H932" i="2"/>
  <c r="N928" i="2"/>
  <c r="H928" i="2"/>
  <c r="N924" i="2"/>
  <c r="H924" i="2"/>
  <c r="N920" i="2"/>
  <c r="H920" i="2"/>
  <c r="N916" i="2"/>
  <c r="H916" i="2"/>
  <c r="N912" i="2"/>
  <c r="H912" i="2"/>
  <c r="N908" i="2"/>
  <c r="H908" i="2"/>
  <c r="N904" i="2"/>
  <c r="H904" i="2"/>
  <c r="N900" i="2"/>
  <c r="H900" i="2"/>
  <c r="N896" i="2"/>
  <c r="H896" i="2"/>
  <c r="N892" i="2"/>
  <c r="H892" i="2"/>
  <c r="N888" i="2"/>
  <c r="H888" i="2"/>
  <c r="N884" i="2"/>
  <c r="H884" i="2"/>
  <c r="N880" i="2"/>
  <c r="H880" i="2"/>
  <c r="N876" i="2"/>
  <c r="H876" i="2"/>
  <c r="N872" i="2"/>
  <c r="H872" i="2"/>
  <c r="N868" i="2"/>
  <c r="H868" i="2"/>
  <c r="N864" i="2"/>
  <c r="H864" i="2"/>
  <c r="N860" i="2"/>
  <c r="H860" i="2"/>
  <c r="N856" i="2"/>
  <c r="H856" i="2"/>
  <c r="N852" i="2"/>
  <c r="H852" i="2"/>
  <c r="N848" i="2"/>
  <c r="H848" i="2"/>
  <c r="N844" i="2"/>
  <c r="H844" i="2"/>
  <c r="N840" i="2"/>
  <c r="H840" i="2"/>
  <c r="N836" i="2"/>
  <c r="H836" i="2"/>
  <c r="N832" i="2"/>
  <c r="H832" i="2"/>
  <c r="N828" i="2"/>
  <c r="H828" i="2"/>
  <c r="N824" i="2"/>
  <c r="H824" i="2"/>
  <c r="N820" i="2"/>
  <c r="H820" i="2"/>
  <c r="N816" i="2"/>
  <c r="H816" i="2"/>
  <c r="N812" i="2"/>
  <c r="H812" i="2"/>
  <c r="N808" i="2"/>
  <c r="H808" i="2"/>
  <c r="N804" i="2"/>
  <c r="H804" i="2"/>
  <c r="N800" i="2"/>
  <c r="H800" i="2"/>
  <c r="N796" i="2"/>
  <c r="H796" i="2"/>
  <c r="N792" i="2"/>
  <c r="H792" i="2"/>
  <c r="N788" i="2"/>
  <c r="H788" i="2"/>
  <c r="N784" i="2"/>
  <c r="H784" i="2"/>
  <c r="N780" i="2"/>
  <c r="H780" i="2"/>
  <c r="N776" i="2"/>
  <c r="H776" i="2"/>
  <c r="N772" i="2"/>
  <c r="H772" i="2"/>
  <c r="N768" i="2"/>
  <c r="H768" i="2"/>
  <c r="N764" i="2"/>
  <c r="H764" i="2"/>
  <c r="N760" i="2"/>
  <c r="H760" i="2"/>
  <c r="N756" i="2"/>
  <c r="H756" i="2"/>
  <c r="N752" i="2"/>
  <c r="H752" i="2"/>
  <c r="N748" i="2"/>
  <c r="H748" i="2"/>
  <c r="N744" i="2"/>
  <c r="H744" i="2"/>
  <c r="N740" i="2"/>
  <c r="H740" i="2"/>
  <c r="N736" i="2"/>
  <c r="H736" i="2"/>
  <c r="N732" i="2"/>
  <c r="H732" i="2"/>
  <c r="N728" i="2"/>
  <c r="H728" i="2"/>
  <c r="N724" i="2"/>
  <c r="H724" i="2"/>
  <c r="N720" i="2"/>
  <c r="H720" i="2"/>
  <c r="N716" i="2"/>
  <c r="H716" i="2"/>
  <c r="N712" i="2"/>
  <c r="H712" i="2"/>
  <c r="N708" i="2"/>
  <c r="H708" i="2"/>
  <c r="N704" i="2"/>
  <c r="H704" i="2"/>
  <c r="N700" i="2"/>
  <c r="H700" i="2"/>
  <c r="N696" i="2"/>
  <c r="H696" i="2"/>
  <c r="N692" i="2"/>
  <c r="H692" i="2"/>
  <c r="N688" i="2"/>
  <c r="H688" i="2"/>
  <c r="N684" i="2"/>
  <c r="H684" i="2"/>
  <c r="N680" i="2"/>
  <c r="H680" i="2"/>
  <c r="N676" i="2"/>
  <c r="H676" i="2"/>
  <c r="N672" i="2"/>
  <c r="H672" i="2"/>
  <c r="N668" i="2"/>
  <c r="H668" i="2"/>
  <c r="N664" i="2"/>
  <c r="H664" i="2"/>
  <c r="N660" i="2"/>
  <c r="H660" i="2"/>
  <c r="N656" i="2"/>
  <c r="H656" i="2"/>
  <c r="N652" i="2"/>
  <c r="H652" i="2"/>
  <c r="N648" i="2"/>
  <c r="H648" i="2"/>
  <c r="N644" i="2"/>
  <c r="H644" i="2"/>
  <c r="N640" i="2"/>
  <c r="H640" i="2"/>
  <c r="N636" i="2"/>
  <c r="H636" i="2"/>
  <c r="N632" i="2"/>
  <c r="H632" i="2"/>
  <c r="N628" i="2"/>
  <c r="H628" i="2"/>
  <c r="N624" i="2"/>
  <c r="H624" i="2"/>
  <c r="N620" i="2"/>
  <c r="H620" i="2"/>
  <c r="N616" i="2"/>
  <c r="H616" i="2"/>
  <c r="N612" i="2"/>
  <c r="H612" i="2"/>
  <c r="N608" i="2"/>
  <c r="H608" i="2"/>
  <c r="N604" i="2"/>
  <c r="H604" i="2"/>
  <c r="N600" i="2"/>
  <c r="H600" i="2"/>
  <c r="N596" i="2"/>
  <c r="H596" i="2"/>
  <c r="N592" i="2"/>
  <c r="H592" i="2"/>
  <c r="N588" i="2"/>
  <c r="H588" i="2"/>
  <c r="N584" i="2"/>
  <c r="H584" i="2"/>
  <c r="N580" i="2"/>
  <c r="H580" i="2"/>
  <c r="N576" i="2"/>
  <c r="H576" i="2"/>
  <c r="N572" i="2"/>
  <c r="H572" i="2"/>
  <c r="N568" i="2"/>
  <c r="H568" i="2"/>
  <c r="N564" i="2"/>
  <c r="H564" i="2"/>
  <c r="N560" i="2"/>
  <c r="H560" i="2"/>
  <c r="N556" i="2"/>
  <c r="H556" i="2"/>
  <c r="N552" i="2"/>
  <c r="H552" i="2"/>
  <c r="N548" i="2"/>
  <c r="H548" i="2"/>
  <c r="N544" i="2"/>
  <c r="H544" i="2"/>
  <c r="N540" i="2"/>
  <c r="H540" i="2"/>
  <c r="N536" i="2"/>
  <c r="H536" i="2"/>
  <c r="N532" i="2"/>
  <c r="H532" i="2"/>
  <c r="N528" i="2"/>
  <c r="H528" i="2"/>
  <c r="N524" i="2"/>
  <c r="H524" i="2"/>
  <c r="N520" i="2"/>
  <c r="H520" i="2"/>
  <c r="N516" i="2"/>
  <c r="H516" i="2"/>
  <c r="N512" i="2"/>
  <c r="H512" i="2"/>
  <c r="N508" i="2"/>
  <c r="H508" i="2"/>
  <c r="N504" i="2"/>
  <c r="H504" i="2"/>
  <c r="N500" i="2"/>
  <c r="H500" i="2"/>
  <c r="N496" i="2"/>
  <c r="H496" i="2"/>
  <c r="N492" i="2"/>
  <c r="H492" i="2"/>
  <c r="N488" i="2"/>
  <c r="H488" i="2"/>
  <c r="N484" i="2"/>
  <c r="H484" i="2"/>
  <c r="N480" i="2"/>
  <c r="H480" i="2"/>
  <c r="N476" i="2"/>
  <c r="H476" i="2"/>
  <c r="N472" i="2"/>
  <c r="H472" i="2"/>
  <c r="N468" i="2"/>
  <c r="H468" i="2"/>
  <c r="N464" i="2"/>
  <c r="H464" i="2"/>
  <c r="N460" i="2"/>
  <c r="H460" i="2"/>
  <c r="N456" i="2"/>
  <c r="H456" i="2"/>
  <c r="N452" i="2"/>
  <c r="H452" i="2"/>
  <c r="N448" i="2"/>
  <c r="H448" i="2"/>
  <c r="N444" i="2"/>
  <c r="H444" i="2"/>
  <c r="N440" i="2"/>
  <c r="H440" i="2"/>
  <c r="N436" i="2"/>
  <c r="H436" i="2"/>
  <c r="N432" i="2"/>
  <c r="H432" i="2"/>
  <c r="N428" i="2"/>
  <c r="H428" i="2"/>
  <c r="N424" i="2"/>
  <c r="H424" i="2"/>
  <c r="N420" i="2"/>
  <c r="H420" i="2"/>
  <c r="N416" i="2"/>
  <c r="H416" i="2"/>
  <c r="N412" i="2"/>
  <c r="H412" i="2"/>
  <c r="N408" i="2"/>
  <c r="H408" i="2"/>
  <c r="N404" i="2"/>
  <c r="H404" i="2"/>
  <c r="N400" i="2"/>
  <c r="H400" i="2"/>
  <c r="N396" i="2"/>
  <c r="H396" i="2"/>
  <c r="N392" i="2"/>
  <c r="H392" i="2"/>
  <c r="N388" i="2"/>
  <c r="H388" i="2"/>
  <c r="N384" i="2"/>
  <c r="H384" i="2"/>
  <c r="N380" i="2"/>
  <c r="H380" i="2"/>
  <c r="N376" i="2"/>
  <c r="H376" i="2"/>
  <c r="N372" i="2"/>
  <c r="H372" i="2"/>
  <c r="N368" i="2"/>
  <c r="H368" i="2"/>
  <c r="N364" i="2"/>
  <c r="H364" i="2"/>
  <c r="N360" i="2"/>
  <c r="H360" i="2"/>
  <c r="N356" i="2"/>
  <c r="H356" i="2"/>
  <c r="N352" i="2"/>
  <c r="H352" i="2"/>
  <c r="N348" i="2"/>
  <c r="H348" i="2"/>
  <c r="N344" i="2"/>
  <c r="H344" i="2"/>
  <c r="N340" i="2"/>
  <c r="H340" i="2"/>
  <c r="N336" i="2"/>
  <c r="H336" i="2"/>
  <c r="N332" i="2"/>
  <c r="H332" i="2"/>
  <c r="N328" i="2"/>
  <c r="H328" i="2"/>
  <c r="N324" i="2"/>
  <c r="H324" i="2"/>
  <c r="N320" i="2"/>
  <c r="H320" i="2"/>
  <c r="N316" i="2"/>
  <c r="H316" i="2"/>
  <c r="N312" i="2"/>
  <c r="H312" i="2"/>
  <c r="N308" i="2"/>
  <c r="H308" i="2"/>
  <c r="N304" i="2"/>
  <c r="H304" i="2"/>
  <c r="N300" i="2"/>
  <c r="H300" i="2"/>
  <c r="N296" i="2"/>
  <c r="H296" i="2"/>
  <c r="N292" i="2"/>
  <c r="H292" i="2"/>
  <c r="N288" i="2"/>
  <c r="H288" i="2"/>
  <c r="N284" i="2"/>
  <c r="H284" i="2"/>
  <c r="N280" i="2"/>
  <c r="H280" i="2"/>
  <c r="N276" i="2"/>
  <c r="H276" i="2"/>
  <c r="N272" i="2"/>
  <c r="H272" i="2"/>
  <c r="N268" i="2"/>
  <c r="H268" i="2"/>
  <c r="N264" i="2"/>
  <c r="H264" i="2"/>
  <c r="N260" i="2"/>
  <c r="H260" i="2"/>
  <c r="N256" i="2"/>
  <c r="H256" i="2"/>
  <c r="N252" i="2"/>
  <c r="H252" i="2"/>
  <c r="N248" i="2"/>
  <c r="H248" i="2"/>
  <c r="N244" i="2"/>
  <c r="H244" i="2"/>
  <c r="N240" i="2"/>
  <c r="H240" i="2"/>
  <c r="N236" i="2"/>
  <c r="H236" i="2"/>
  <c r="N232" i="2"/>
  <c r="H232" i="2"/>
  <c r="N228" i="2"/>
  <c r="H228" i="2"/>
  <c r="N224" i="2"/>
  <c r="H224" i="2"/>
  <c r="N220" i="2"/>
  <c r="H220" i="2"/>
  <c r="N216" i="2"/>
  <c r="H216" i="2"/>
  <c r="N212" i="2"/>
  <c r="H212" i="2"/>
  <c r="N208" i="2"/>
  <c r="H208" i="2"/>
  <c r="N204" i="2"/>
  <c r="H204" i="2"/>
  <c r="N200" i="2"/>
  <c r="H200" i="2"/>
  <c r="N196" i="2"/>
  <c r="H196" i="2"/>
  <c r="N192" i="2"/>
  <c r="H192" i="2"/>
  <c r="N188" i="2"/>
  <c r="H188" i="2"/>
  <c r="N184" i="2"/>
  <c r="H184" i="2"/>
  <c r="N180" i="2"/>
  <c r="H180" i="2"/>
  <c r="N176" i="2"/>
  <c r="H176" i="2"/>
  <c r="N172" i="2"/>
  <c r="H172" i="2"/>
  <c r="N168" i="2"/>
  <c r="H168" i="2"/>
  <c r="N164" i="2"/>
  <c r="H164" i="2"/>
  <c r="N160" i="2"/>
  <c r="H160" i="2"/>
  <c r="N156" i="2"/>
  <c r="H156" i="2"/>
  <c r="N152" i="2"/>
  <c r="H152" i="2"/>
  <c r="N148" i="2"/>
  <c r="H148" i="2"/>
  <c r="N144" i="2"/>
  <c r="H144" i="2"/>
  <c r="N140" i="2"/>
  <c r="H140" i="2"/>
  <c r="N136" i="2"/>
  <c r="H136" i="2"/>
  <c r="N132" i="2"/>
  <c r="H132" i="2"/>
  <c r="N128" i="2"/>
  <c r="H128" i="2"/>
  <c r="N124" i="2"/>
  <c r="H124" i="2"/>
  <c r="N120" i="2"/>
  <c r="H120" i="2"/>
  <c r="N116" i="2"/>
  <c r="H116" i="2"/>
  <c r="N112" i="2"/>
  <c r="H112" i="2"/>
  <c r="N108" i="2"/>
  <c r="H108" i="2"/>
  <c r="N104" i="2"/>
  <c r="H104" i="2"/>
  <c r="N100" i="2"/>
  <c r="H100" i="2"/>
  <c r="N96" i="2"/>
  <c r="H96" i="2"/>
  <c r="N92" i="2"/>
  <c r="H92" i="2"/>
  <c r="N88" i="2"/>
  <c r="H88" i="2"/>
  <c r="N84" i="2"/>
  <c r="H84" i="2"/>
  <c r="N80" i="2"/>
  <c r="H80" i="2"/>
  <c r="N76" i="2"/>
  <c r="H76" i="2"/>
  <c r="N72" i="2"/>
  <c r="H72" i="2"/>
  <c r="N68" i="2"/>
  <c r="H68" i="2"/>
  <c r="N64" i="2"/>
  <c r="H64" i="2"/>
  <c r="N60" i="2"/>
  <c r="H60" i="2"/>
  <c r="N56" i="2"/>
  <c r="H56" i="2"/>
  <c r="N52" i="2"/>
  <c r="H52" i="2"/>
  <c r="N48" i="2"/>
  <c r="H48" i="2"/>
  <c r="N44" i="2"/>
  <c r="H44" i="2"/>
  <c r="N40" i="2"/>
  <c r="H40" i="2"/>
  <c r="N36" i="2"/>
  <c r="H36" i="2"/>
  <c r="N32" i="2"/>
  <c r="H32" i="2"/>
  <c r="N28" i="2"/>
  <c r="H28" i="2"/>
  <c r="N24" i="2"/>
  <c r="H24" i="2"/>
  <c r="N20" i="2"/>
  <c r="H20" i="2"/>
  <c r="N16" i="2"/>
  <c r="H16" i="2"/>
  <c r="N12" i="2"/>
  <c r="H12" i="2"/>
  <c r="N8" i="2"/>
  <c r="H8" i="2"/>
  <c r="N4" i="2"/>
  <c r="H4" i="2"/>
  <c r="N1023" i="2"/>
  <c r="H1023" i="2"/>
  <c r="N1019" i="2"/>
  <c r="H1019" i="2"/>
  <c r="N1015" i="2"/>
  <c r="H1015" i="2"/>
  <c r="N1011" i="2"/>
  <c r="H1011" i="2"/>
  <c r="N1007" i="2"/>
  <c r="H1007" i="2"/>
  <c r="N1003" i="2"/>
  <c r="H1003" i="2"/>
  <c r="N999" i="2"/>
  <c r="H999" i="2"/>
  <c r="N995" i="2"/>
  <c r="H995" i="2"/>
  <c r="N991" i="2"/>
  <c r="H991" i="2"/>
  <c r="N987" i="2"/>
  <c r="H987" i="2"/>
  <c r="N983" i="2"/>
  <c r="H983" i="2"/>
  <c r="N979" i="2"/>
  <c r="H979" i="2"/>
  <c r="N975" i="2"/>
  <c r="H975" i="2"/>
  <c r="N971" i="2"/>
  <c r="H971" i="2"/>
  <c r="N967" i="2"/>
  <c r="H967" i="2"/>
  <c r="N963" i="2"/>
  <c r="H963" i="2"/>
  <c r="N959" i="2"/>
  <c r="H959" i="2"/>
  <c r="N955" i="2"/>
  <c r="H955" i="2"/>
  <c r="N951" i="2"/>
  <c r="H951" i="2"/>
  <c r="N947" i="2"/>
  <c r="H947" i="2"/>
  <c r="N943" i="2"/>
  <c r="H943" i="2"/>
  <c r="N939" i="2"/>
  <c r="H939" i="2"/>
  <c r="N935" i="2"/>
  <c r="H935" i="2"/>
  <c r="N931" i="2"/>
  <c r="H931" i="2"/>
  <c r="N927" i="2"/>
  <c r="H927" i="2"/>
  <c r="N923" i="2"/>
  <c r="H923" i="2"/>
  <c r="N919" i="2"/>
  <c r="H919" i="2"/>
  <c r="N915" i="2"/>
  <c r="H915" i="2"/>
  <c r="N911" i="2"/>
  <c r="H911" i="2"/>
  <c r="N907" i="2"/>
  <c r="H907" i="2"/>
  <c r="N903" i="2"/>
  <c r="H903" i="2"/>
  <c r="N899" i="2"/>
  <c r="H899" i="2"/>
  <c r="N895" i="2"/>
  <c r="H895" i="2"/>
  <c r="N891" i="2"/>
  <c r="H891" i="2"/>
  <c r="N887" i="2"/>
  <c r="H887" i="2"/>
  <c r="N883" i="2"/>
  <c r="H883" i="2"/>
  <c r="N879" i="2"/>
  <c r="H879" i="2"/>
  <c r="N875" i="2"/>
  <c r="H875" i="2"/>
  <c r="N871" i="2"/>
  <c r="H871" i="2"/>
  <c r="N867" i="2"/>
  <c r="H867" i="2"/>
  <c r="N863" i="2"/>
  <c r="H863" i="2"/>
  <c r="N859" i="2"/>
  <c r="H859" i="2"/>
  <c r="N855" i="2"/>
  <c r="H855" i="2"/>
  <c r="N851" i="2"/>
  <c r="H851" i="2"/>
  <c r="N847" i="2"/>
  <c r="H847" i="2"/>
  <c r="N843" i="2"/>
  <c r="H843" i="2"/>
  <c r="N839" i="2"/>
  <c r="H839" i="2"/>
  <c r="N835" i="2"/>
  <c r="H835" i="2"/>
  <c r="N831" i="2"/>
  <c r="H831" i="2"/>
  <c r="N827" i="2"/>
  <c r="H827" i="2"/>
  <c r="N823" i="2"/>
  <c r="H823" i="2"/>
  <c r="N819" i="2"/>
  <c r="H819" i="2"/>
  <c r="N815" i="2"/>
  <c r="H815" i="2"/>
  <c r="N811" i="2"/>
  <c r="H811" i="2"/>
  <c r="N807" i="2"/>
  <c r="H807" i="2"/>
  <c r="N803" i="2"/>
  <c r="H803" i="2"/>
  <c r="N799" i="2"/>
  <c r="H799" i="2"/>
  <c r="N795" i="2"/>
  <c r="H795" i="2"/>
  <c r="N791" i="2"/>
  <c r="H791" i="2"/>
  <c r="N787" i="2"/>
  <c r="H787" i="2"/>
  <c r="N783" i="2"/>
  <c r="H783" i="2"/>
  <c r="N779" i="2"/>
  <c r="H779" i="2"/>
  <c r="N775" i="2"/>
  <c r="H775" i="2"/>
  <c r="N771" i="2"/>
  <c r="H771" i="2"/>
  <c r="N767" i="2"/>
  <c r="H767" i="2"/>
  <c r="N763" i="2"/>
  <c r="H763" i="2"/>
  <c r="N759" i="2"/>
  <c r="H759" i="2"/>
  <c r="N755" i="2"/>
  <c r="H755" i="2"/>
  <c r="N751" i="2"/>
  <c r="H751" i="2"/>
  <c r="N747" i="2"/>
  <c r="H747" i="2"/>
  <c r="N743" i="2"/>
  <c r="H743" i="2"/>
  <c r="N739" i="2"/>
  <c r="H739" i="2"/>
  <c r="N735" i="2"/>
  <c r="H735" i="2"/>
  <c r="N731" i="2"/>
  <c r="H731" i="2"/>
  <c r="N727" i="2"/>
  <c r="H727" i="2"/>
  <c r="N723" i="2"/>
  <c r="H723" i="2"/>
  <c r="N719" i="2"/>
  <c r="H719" i="2"/>
  <c r="N715" i="2"/>
  <c r="H715" i="2"/>
  <c r="N711" i="2"/>
  <c r="H711" i="2"/>
  <c r="N707" i="2"/>
  <c r="H707" i="2"/>
  <c r="N703" i="2"/>
  <c r="H703" i="2"/>
  <c r="N699" i="2"/>
  <c r="H699" i="2"/>
  <c r="N695" i="2"/>
  <c r="H695" i="2"/>
  <c r="N691" i="2"/>
  <c r="H691" i="2"/>
  <c r="N687" i="2"/>
  <c r="H687" i="2"/>
  <c r="N683" i="2"/>
  <c r="H683" i="2"/>
  <c r="N679" i="2"/>
  <c r="H679" i="2"/>
  <c r="N675" i="2"/>
  <c r="H675" i="2"/>
  <c r="N671" i="2"/>
  <c r="H671" i="2"/>
  <c r="N667" i="2"/>
  <c r="H667" i="2"/>
  <c r="N663" i="2"/>
  <c r="H663" i="2"/>
  <c r="N659" i="2"/>
  <c r="H659" i="2"/>
  <c r="N655" i="2"/>
  <c r="H655" i="2"/>
  <c r="N651" i="2"/>
  <c r="H651" i="2"/>
  <c r="N647" i="2"/>
  <c r="H647" i="2"/>
  <c r="N643" i="2"/>
  <c r="H643" i="2"/>
  <c r="N639" i="2"/>
  <c r="H639" i="2"/>
  <c r="N635" i="2"/>
  <c r="H635" i="2"/>
  <c r="N631" i="2"/>
  <c r="H631" i="2"/>
  <c r="N627" i="2"/>
  <c r="H627" i="2"/>
  <c r="N623" i="2"/>
  <c r="H623" i="2"/>
  <c r="N619" i="2"/>
  <c r="H619" i="2"/>
  <c r="N615" i="2"/>
  <c r="H615" i="2"/>
  <c r="N611" i="2"/>
  <c r="H611" i="2"/>
  <c r="N607" i="2"/>
  <c r="H607" i="2"/>
  <c r="N603" i="2"/>
  <c r="H603" i="2"/>
  <c r="N599" i="2"/>
  <c r="H599" i="2"/>
  <c r="N595" i="2"/>
  <c r="H595" i="2"/>
  <c r="N591" i="2"/>
  <c r="H591" i="2"/>
  <c r="N587" i="2"/>
  <c r="H587" i="2"/>
  <c r="N583" i="2"/>
  <c r="H583" i="2"/>
  <c r="N579" i="2"/>
  <c r="H579" i="2"/>
  <c r="N575" i="2"/>
  <c r="H575" i="2"/>
  <c r="N571" i="2"/>
  <c r="H571" i="2"/>
  <c r="N567" i="2"/>
  <c r="H567" i="2"/>
  <c r="N563" i="2"/>
  <c r="H563" i="2"/>
  <c r="N559" i="2"/>
  <c r="H559" i="2"/>
  <c r="N555" i="2"/>
  <c r="H555" i="2"/>
  <c r="N551" i="2"/>
  <c r="H551" i="2"/>
  <c r="N547" i="2"/>
  <c r="H547" i="2"/>
  <c r="N543" i="2"/>
  <c r="H543" i="2"/>
  <c r="N539" i="2"/>
  <c r="H539" i="2"/>
  <c r="N535" i="2"/>
  <c r="H535" i="2"/>
  <c r="N531" i="2"/>
  <c r="H531" i="2"/>
  <c r="N527" i="2"/>
  <c r="H527" i="2"/>
  <c r="N523" i="2"/>
  <c r="H523" i="2"/>
  <c r="N519" i="2"/>
  <c r="H519" i="2"/>
  <c r="N515" i="2"/>
  <c r="H515" i="2"/>
  <c r="N511" i="2"/>
  <c r="H511" i="2"/>
  <c r="N507" i="2"/>
  <c r="H507" i="2"/>
  <c r="N503" i="2"/>
  <c r="H503" i="2"/>
  <c r="N499" i="2"/>
  <c r="H499" i="2"/>
  <c r="N495" i="2"/>
  <c r="H495" i="2"/>
  <c r="N491" i="2"/>
  <c r="H491" i="2"/>
  <c r="N487" i="2"/>
  <c r="H487" i="2"/>
  <c r="N483" i="2"/>
  <c r="H483" i="2"/>
  <c r="N479" i="2"/>
  <c r="H479" i="2"/>
  <c r="N475" i="2"/>
  <c r="H475" i="2"/>
  <c r="N471" i="2"/>
  <c r="H471" i="2"/>
  <c r="N467" i="2"/>
  <c r="H467" i="2"/>
  <c r="N463" i="2"/>
  <c r="H463" i="2"/>
  <c r="N459" i="2"/>
  <c r="H459" i="2"/>
  <c r="N455" i="2"/>
  <c r="H455" i="2"/>
  <c r="N451" i="2"/>
  <c r="H451" i="2"/>
  <c r="N447" i="2"/>
  <c r="H447" i="2"/>
  <c r="N443" i="2"/>
  <c r="H443" i="2"/>
  <c r="N439" i="2"/>
  <c r="H439" i="2"/>
  <c r="N435" i="2"/>
  <c r="H435" i="2"/>
  <c r="N431" i="2"/>
  <c r="H431" i="2"/>
  <c r="N427" i="2"/>
  <c r="H427" i="2"/>
  <c r="N423" i="2"/>
  <c r="H423" i="2"/>
  <c r="N419" i="2"/>
  <c r="H419" i="2"/>
  <c r="N415" i="2"/>
  <c r="H415" i="2"/>
  <c r="N411" i="2"/>
  <c r="H411" i="2"/>
  <c r="N407" i="2"/>
  <c r="H407" i="2"/>
  <c r="N403" i="2"/>
  <c r="H403" i="2"/>
  <c r="N399" i="2"/>
  <c r="H399" i="2"/>
  <c r="N395" i="2"/>
  <c r="H395" i="2"/>
  <c r="N391" i="2"/>
  <c r="H391" i="2"/>
  <c r="N387" i="2"/>
  <c r="H387" i="2"/>
  <c r="N383" i="2"/>
  <c r="H383" i="2"/>
  <c r="N379" i="2"/>
  <c r="H379" i="2"/>
  <c r="N375" i="2"/>
  <c r="H375" i="2"/>
  <c r="N371" i="2"/>
  <c r="H371" i="2"/>
  <c r="N367" i="2"/>
  <c r="H367" i="2"/>
  <c r="N363" i="2"/>
  <c r="H363" i="2"/>
  <c r="N359" i="2"/>
  <c r="H359" i="2"/>
  <c r="N355" i="2"/>
  <c r="H355" i="2"/>
  <c r="N351" i="2"/>
  <c r="H351" i="2"/>
  <c r="N347" i="2"/>
  <c r="H347" i="2"/>
  <c r="N343" i="2"/>
  <c r="H343" i="2"/>
  <c r="N339" i="2"/>
  <c r="H339" i="2"/>
  <c r="N335" i="2"/>
  <c r="H335" i="2"/>
  <c r="N331" i="2"/>
  <c r="H331" i="2"/>
  <c r="N327" i="2"/>
  <c r="H327" i="2"/>
  <c r="N323" i="2"/>
  <c r="H323" i="2"/>
  <c r="N319" i="2"/>
  <c r="H319" i="2"/>
  <c r="N315" i="2"/>
  <c r="H315" i="2"/>
  <c r="N311" i="2"/>
  <c r="H311" i="2"/>
  <c r="N307" i="2"/>
  <c r="H307" i="2"/>
  <c r="N303" i="2"/>
  <c r="H303" i="2"/>
  <c r="N299" i="2"/>
  <c r="H299" i="2"/>
  <c r="N295" i="2"/>
  <c r="H295" i="2"/>
  <c r="N291" i="2"/>
  <c r="H291" i="2"/>
  <c r="N287" i="2"/>
  <c r="H287" i="2"/>
  <c r="N283" i="2"/>
  <c r="H283" i="2"/>
  <c r="N279" i="2"/>
  <c r="H279" i="2"/>
  <c r="N275" i="2"/>
  <c r="H275" i="2"/>
  <c r="N271" i="2"/>
  <c r="H271" i="2"/>
  <c r="N267" i="2"/>
  <c r="H267" i="2"/>
  <c r="N263" i="2"/>
  <c r="H263" i="2"/>
  <c r="N259" i="2"/>
  <c r="H259" i="2"/>
  <c r="N255" i="2"/>
  <c r="H255" i="2"/>
  <c r="N251" i="2"/>
  <c r="H251" i="2"/>
  <c r="N247" i="2"/>
  <c r="H247" i="2"/>
  <c r="N243" i="2"/>
  <c r="H243" i="2"/>
  <c r="N239" i="2"/>
  <c r="H239" i="2"/>
  <c r="N235" i="2"/>
  <c r="H235" i="2"/>
  <c r="N231" i="2"/>
  <c r="H231" i="2"/>
  <c r="N227" i="2"/>
  <c r="H227" i="2"/>
  <c r="N223" i="2"/>
  <c r="H223" i="2"/>
  <c r="N219" i="2"/>
  <c r="H219" i="2"/>
  <c r="N215" i="2"/>
  <c r="H215" i="2"/>
  <c r="N211" i="2"/>
  <c r="H211" i="2"/>
  <c r="N207" i="2"/>
  <c r="H207" i="2"/>
  <c r="N203" i="2"/>
  <c r="H203" i="2"/>
  <c r="N199" i="2"/>
  <c r="H199" i="2"/>
  <c r="N195" i="2"/>
  <c r="H195" i="2"/>
  <c r="N191" i="2"/>
  <c r="H191" i="2"/>
  <c r="N187" i="2"/>
  <c r="H187" i="2"/>
  <c r="N183" i="2"/>
  <c r="H183" i="2"/>
  <c r="N179" i="2"/>
  <c r="H179" i="2"/>
  <c r="N175" i="2"/>
  <c r="H175" i="2"/>
  <c r="N171" i="2"/>
  <c r="H171" i="2"/>
  <c r="N167" i="2"/>
  <c r="H167" i="2"/>
  <c r="N163" i="2"/>
  <c r="H163" i="2"/>
  <c r="N159" i="2"/>
  <c r="H159" i="2"/>
  <c r="N155" i="2"/>
  <c r="H155" i="2"/>
  <c r="N151" i="2"/>
  <c r="H151" i="2"/>
  <c r="N147" i="2"/>
  <c r="H147" i="2"/>
  <c r="N143" i="2"/>
  <c r="H143" i="2"/>
  <c r="N139" i="2"/>
  <c r="H139" i="2"/>
  <c r="N135" i="2"/>
  <c r="H135" i="2"/>
  <c r="N131" i="2"/>
  <c r="H131" i="2"/>
  <c r="N127" i="2"/>
  <c r="H127" i="2"/>
  <c r="N123" i="2"/>
  <c r="H123" i="2"/>
  <c r="N119" i="2"/>
  <c r="H119" i="2"/>
  <c r="N115" i="2"/>
  <c r="H115" i="2"/>
  <c r="N111" i="2"/>
  <c r="H111" i="2"/>
  <c r="N107" i="2"/>
  <c r="H107" i="2"/>
  <c r="N103" i="2"/>
  <c r="H103" i="2"/>
  <c r="N99" i="2"/>
  <c r="H99" i="2"/>
  <c r="N95" i="2"/>
  <c r="H95" i="2"/>
  <c r="N91" i="2"/>
  <c r="H91" i="2"/>
  <c r="N87" i="2"/>
  <c r="H87" i="2"/>
  <c r="N83" i="2"/>
  <c r="H83" i="2"/>
  <c r="N79" i="2"/>
  <c r="H79" i="2"/>
  <c r="N75" i="2"/>
  <c r="H75" i="2"/>
  <c r="N71" i="2"/>
  <c r="H71" i="2"/>
  <c r="N67" i="2"/>
  <c r="H67" i="2"/>
  <c r="N63" i="2"/>
  <c r="H63" i="2"/>
  <c r="N59" i="2"/>
  <c r="H59" i="2"/>
  <c r="N55" i="2"/>
  <c r="H55" i="2"/>
  <c r="N51" i="2"/>
  <c r="H51" i="2"/>
  <c r="N47" i="2"/>
  <c r="H47" i="2"/>
  <c r="N43" i="2"/>
  <c r="H43" i="2"/>
  <c r="N39" i="2"/>
  <c r="H39" i="2"/>
  <c r="N35" i="2"/>
  <c r="H35" i="2"/>
  <c r="N31" i="2"/>
  <c r="H31" i="2"/>
  <c r="N27" i="2"/>
  <c r="H27" i="2"/>
  <c r="N23" i="2"/>
  <c r="H23" i="2"/>
  <c r="N19" i="2"/>
  <c r="H19" i="2"/>
  <c r="N15" i="2"/>
  <c r="H15" i="2"/>
  <c r="N11" i="2"/>
  <c r="H11" i="2"/>
  <c r="N7" i="2"/>
  <c r="H7" i="2"/>
  <c r="N3" i="2"/>
  <c r="H3" i="2"/>
  <c r="N1022" i="2"/>
  <c r="H1022" i="2"/>
  <c r="N1018" i="2"/>
  <c r="H1018" i="2"/>
  <c r="N1014" i="2"/>
  <c r="H1014" i="2"/>
  <c r="N1010" i="2"/>
  <c r="H1010" i="2"/>
  <c r="N1006" i="2"/>
  <c r="H1006" i="2"/>
  <c r="N1002" i="2"/>
  <c r="H1002" i="2"/>
  <c r="N998" i="2"/>
  <c r="H998" i="2"/>
  <c r="N994" i="2"/>
  <c r="H994" i="2"/>
  <c r="N990" i="2"/>
  <c r="H990" i="2"/>
  <c r="N986" i="2"/>
  <c r="H986" i="2"/>
  <c r="N982" i="2"/>
  <c r="H982" i="2"/>
  <c r="N978" i="2"/>
  <c r="H978" i="2"/>
  <c r="N974" i="2"/>
  <c r="H974" i="2"/>
  <c r="N970" i="2"/>
  <c r="H970" i="2"/>
  <c r="N966" i="2"/>
  <c r="H966" i="2"/>
  <c r="N962" i="2"/>
  <c r="H962" i="2"/>
  <c r="N958" i="2"/>
  <c r="H958" i="2"/>
  <c r="N954" i="2"/>
  <c r="H954" i="2"/>
  <c r="N950" i="2"/>
  <c r="H950" i="2"/>
  <c r="N946" i="2"/>
  <c r="H946" i="2"/>
  <c r="N942" i="2"/>
  <c r="H942" i="2"/>
  <c r="N938" i="2"/>
  <c r="H938" i="2"/>
  <c r="N934" i="2"/>
  <c r="H934" i="2"/>
  <c r="N930" i="2"/>
  <c r="H930" i="2"/>
  <c r="N926" i="2"/>
  <c r="H926" i="2"/>
  <c r="N922" i="2"/>
  <c r="H922" i="2"/>
  <c r="N918" i="2"/>
  <c r="H918" i="2"/>
  <c r="N914" i="2"/>
  <c r="H914" i="2"/>
  <c r="N910" i="2"/>
  <c r="H910" i="2"/>
  <c r="N906" i="2"/>
  <c r="H906" i="2"/>
  <c r="N902" i="2"/>
  <c r="H902" i="2"/>
  <c r="N898" i="2"/>
  <c r="H898" i="2"/>
  <c r="N894" i="2"/>
  <c r="H894" i="2"/>
  <c r="N890" i="2"/>
  <c r="H890" i="2"/>
  <c r="N886" i="2"/>
  <c r="H886" i="2"/>
  <c r="N882" i="2"/>
  <c r="H882" i="2"/>
  <c r="N878" i="2"/>
  <c r="H878" i="2"/>
  <c r="N874" i="2"/>
  <c r="H874" i="2"/>
  <c r="N870" i="2"/>
  <c r="H870" i="2"/>
  <c r="N866" i="2"/>
  <c r="H866" i="2"/>
  <c r="N862" i="2"/>
  <c r="H862" i="2"/>
  <c r="N858" i="2"/>
  <c r="H858" i="2"/>
  <c r="N854" i="2"/>
  <c r="H854" i="2"/>
  <c r="N850" i="2"/>
  <c r="H850" i="2"/>
  <c r="N846" i="2"/>
  <c r="H846" i="2"/>
  <c r="N842" i="2"/>
  <c r="H842" i="2"/>
  <c r="N838" i="2"/>
  <c r="H838" i="2"/>
  <c r="N834" i="2"/>
  <c r="H834" i="2"/>
  <c r="N830" i="2"/>
  <c r="H830" i="2"/>
  <c r="N826" i="2"/>
  <c r="H826" i="2"/>
  <c r="N822" i="2"/>
  <c r="H822" i="2"/>
  <c r="N818" i="2"/>
  <c r="H818" i="2"/>
  <c r="N814" i="2"/>
  <c r="H814" i="2"/>
  <c r="N810" i="2"/>
  <c r="H810" i="2"/>
  <c r="N806" i="2"/>
  <c r="H806" i="2"/>
  <c r="N802" i="2"/>
  <c r="H802" i="2"/>
  <c r="N798" i="2"/>
  <c r="H798" i="2"/>
  <c r="N794" i="2"/>
  <c r="H794" i="2"/>
  <c r="N790" i="2"/>
  <c r="H790" i="2"/>
  <c r="N786" i="2"/>
  <c r="H786" i="2"/>
  <c r="N782" i="2"/>
  <c r="H782" i="2"/>
  <c r="N778" i="2"/>
  <c r="H778" i="2"/>
  <c r="N774" i="2"/>
  <c r="H774" i="2"/>
  <c r="N770" i="2"/>
  <c r="H770" i="2"/>
  <c r="N766" i="2"/>
  <c r="H766" i="2"/>
  <c r="N762" i="2"/>
  <c r="H762" i="2"/>
  <c r="N758" i="2"/>
  <c r="H758" i="2"/>
  <c r="N754" i="2"/>
  <c r="H754" i="2"/>
  <c r="N750" i="2"/>
  <c r="H750" i="2"/>
  <c r="N746" i="2"/>
  <c r="H746" i="2"/>
  <c r="N742" i="2"/>
  <c r="H742" i="2"/>
  <c r="N738" i="2"/>
  <c r="H738" i="2"/>
  <c r="N734" i="2"/>
  <c r="H734" i="2"/>
  <c r="N730" i="2"/>
  <c r="H730" i="2"/>
  <c r="N726" i="2"/>
  <c r="H726" i="2"/>
  <c r="N722" i="2"/>
  <c r="H722" i="2"/>
  <c r="N718" i="2"/>
  <c r="H718" i="2"/>
  <c r="N714" i="2"/>
  <c r="H714" i="2"/>
  <c r="N710" i="2"/>
  <c r="H710" i="2"/>
  <c r="N706" i="2"/>
  <c r="H706" i="2"/>
  <c r="N702" i="2"/>
  <c r="H702" i="2"/>
  <c r="N698" i="2"/>
  <c r="H698" i="2"/>
  <c r="N694" i="2"/>
  <c r="H694" i="2"/>
  <c r="N690" i="2"/>
  <c r="H690" i="2"/>
  <c r="N686" i="2"/>
  <c r="H686" i="2"/>
  <c r="N682" i="2"/>
  <c r="H682" i="2"/>
  <c r="N678" i="2"/>
  <c r="H678" i="2"/>
  <c r="N674" i="2"/>
  <c r="H674" i="2"/>
  <c r="N670" i="2"/>
  <c r="H670" i="2"/>
  <c r="N666" i="2"/>
  <c r="H666" i="2"/>
  <c r="N662" i="2"/>
  <c r="H662" i="2"/>
  <c r="N658" i="2"/>
  <c r="H658" i="2"/>
  <c r="N654" i="2"/>
  <c r="H654" i="2"/>
  <c r="N650" i="2"/>
  <c r="H650" i="2"/>
  <c r="N646" i="2"/>
  <c r="H646" i="2"/>
  <c r="N642" i="2"/>
  <c r="H642" i="2"/>
  <c r="N638" i="2"/>
  <c r="H638" i="2"/>
  <c r="N634" i="2"/>
  <c r="H634" i="2"/>
  <c r="N630" i="2"/>
  <c r="H630" i="2"/>
  <c r="N626" i="2"/>
  <c r="H626" i="2"/>
  <c r="N622" i="2"/>
  <c r="H622" i="2"/>
  <c r="N618" i="2"/>
  <c r="H618" i="2"/>
  <c r="N614" i="2"/>
  <c r="H614" i="2"/>
  <c r="N610" i="2"/>
  <c r="H610" i="2"/>
  <c r="N606" i="2"/>
  <c r="H606" i="2"/>
  <c r="N602" i="2"/>
  <c r="H602" i="2"/>
  <c r="N598" i="2"/>
  <c r="H598" i="2"/>
  <c r="N594" i="2"/>
  <c r="H594" i="2"/>
  <c r="N590" i="2"/>
  <c r="H590" i="2"/>
  <c r="N586" i="2"/>
  <c r="H586" i="2"/>
  <c r="N582" i="2"/>
  <c r="H582" i="2"/>
  <c r="N578" i="2"/>
  <c r="H578" i="2"/>
  <c r="N574" i="2"/>
  <c r="H574" i="2"/>
  <c r="N570" i="2"/>
  <c r="H570" i="2"/>
  <c r="N566" i="2"/>
  <c r="H566" i="2"/>
  <c r="N562" i="2"/>
  <c r="H562" i="2"/>
  <c r="N558" i="2"/>
  <c r="H558" i="2"/>
  <c r="N554" i="2"/>
  <c r="H554" i="2"/>
  <c r="N550" i="2"/>
  <c r="H550" i="2"/>
  <c r="N546" i="2"/>
  <c r="H546" i="2"/>
  <c r="N542" i="2"/>
  <c r="H542" i="2"/>
  <c r="N538" i="2"/>
  <c r="H538" i="2"/>
  <c r="N534" i="2"/>
  <c r="H534" i="2"/>
  <c r="N530" i="2"/>
  <c r="H530" i="2"/>
  <c r="N526" i="2"/>
  <c r="H526" i="2"/>
  <c r="N522" i="2"/>
  <c r="H522" i="2"/>
  <c r="N518" i="2"/>
  <c r="H518" i="2"/>
  <c r="N514" i="2"/>
  <c r="H514" i="2"/>
  <c r="N510" i="2"/>
  <c r="H510" i="2"/>
  <c r="N506" i="2"/>
  <c r="H506" i="2"/>
  <c r="N502" i="2"/>
  <c r="H502" i="2"/>
  <c r="N498" i="2"/>
  <c r="H498" i="2"/>
  <c r="N494" i="2"/>
  <c r="H494" i="2"/>
  <c r="N490" i="2"/>
  <c r="H490" i="2"/>
  <c r="N486" i="2"/>
  <c r="H486" i="2"/>
  <c r="N482" i="2"/>
  <c r="H482" i="2"/>
  <c r="N478" i="2"/>
  <c r="H478" i="2"/>
  <c r="N474" i="2"/>
  <c r="H474" i="2"/>
  <c r="N470" i="2"/>
  <c r="H470" i="2"/>
  <c r="N466" i="2"/>
  <c r="H466" i="2"/>
  <c r="N462" i="2"/>
  <c r="H462" i="2"/>
  <c r="N458" i="2"/>
  <c r="H458" i="2"/>
  <c r="N454" i="2"/>
  <c r="H454" i="2"/>
  <c r="N450" i="2"/>
  <c r="H450" i="2"/>
  <c r="N446" i="2"/>
  <c r="H446" i="2"/>
  <c r="N442" i="2"/>
  <c r="H442" i="2"/>
  <c r="N438" i="2"/>
  <c r="H438" i="2"/>
  <c r="N434" i="2"/>
  <c r="H434" i="2"/>
  <c r="N430" i="2"/>
  <c r="H430" i="2"/>
  <c r="N426" i="2"/>
  <c r="H426" i="2"/>
  <c r="N422" i="2"/>
  <c r="H422" i="2"/>
  <c r="N418" i="2"/>
  <c r="H418" i="2"/>
  <c r="N414" i="2"/>
  <c r="H414" i="2"/>
  <c r="N410" i="2"/>
  <c r="H410" i="2"/>
  <c r="N406" i="2"/>
  <c r="H406" i="2"/>
  <c r="N402" i="2"/>
  <c r="H402" i="2"/>
  <c r="N398" i="2"/>
  <c r="H398" i="2"/>
  <c r="N394" i="2"/>
  <c r="H394" i="2"/>
  <c r="N390" i="2"/>
  <c r="H390" i="2"/>
  <c r="N386" i="2"/>
  <c r="H386" i="2"/>
  <c r="N382" i="2"/>
  <c r="H382" i="2"/>
  <c r="N378" i="2"/>
  <c r="H378" i="2"/>
  <c r="N374" i="2"/>
  <c r="H374" i="2"/>
  <c r="N370" i="2"/>
  <c r="H370" i="2"/>
  <c r="N366" i="2"/>
  <c r="H366" i="2"/>
  <c r="N362" i="2"/>
  <c r="H362" i="2"/>
  <c r="N358" i="2"/>
  <c r="H358" i="2"/>
  <c r="N354" i="2"/>
  <c r="H354" i="2"/>
  <c r="N350" i="2"/>
  <c r="H350" i="2"/>
  <c r="N346" i="2"/>
  <c r="H346" i="2"/>
  <c r="N342" i="2"/>
  <c r="H342" i="2"/>
  <c r="N338" i="2"/>
  <c r="H338" i="2"/>
  <c r="N334" i="2"/>
  <c r="H334" i="2"/>
  <c r="N330" i="2"/>
  <c r="H330" i="2"/>
  <c r="N326" i="2"/>
  <c r="H326" i="2"/>
  <c r="N322" i="2"/>
  <c r="H322" i="2"/>
  <c r="N318" i="2"/>
  <c r="H318" i="2"/>
  <c r="N314" i="2"/>
  <c r="H314" i="2"/>
  <c r="N310" i="2"/>
  <c r="H310" i="2"/>
  <c r="N306" i="2"/>
  <c r="H306" i="2"/>
  <c r="N302" i="2"/>
  <c r="H302" i="2"/>
  <c r="N298" i="2"/>
  <c r="H298" i="2"/>
  <c r="N294" i="2"/>
  <c r="H294" i="2"/>
  <c r="N290" i="2"/>
  <c r="H290" i="2"/>
  <c r="N286" i="2"/>
  <c r="H286" i="2"/>
  <c r="N282" i="2"/>
  <c r="H282" i="2"/>
  <c r="N278" i="2"/>
  <c r="H278" i="2"/>
  <c r="N274" i="2"/>
  <c r="H274" i="2"/>
  <c r="N270" i="2"/>
  <c r="H270" i="2"/>
  <c r="N266" i="2"/>
  <c r="H266" i="2"/>
  <c r="N262" i="2"/>
  <c r="H262" i="2"/>
  <c r="N258" i="2"/>
  <c r="H258" i="2"/>
  <c r="N254" i="2"/>
  <c r="H254" i="2"/>
  <c r="N250" i="2"/>
  <c r="H250" i="2"/>
  <c r="N246" i="2"/>
  <c r="H246" i="2"/>
  <c r="N242" i="2"/>
  <c r="H242" i="2"/>
  <c r="N238" i="2"/>
  <c r="H238" i="2"/>
  <c r="N234" i="2"/>
  <c r="H234" i="2"/>
  <c r="N230" i="2"/>
  <c r="H230" i="2"/>
  <c r="N226" i="2"/>
  <c r="H226" i="2"/>
  <c r="N222" i="2"/>
  <c r="H222" i="2"/>
  <c r="N218" i="2"/>
  <c r="H218" i="2"/>
  <c r="N214" i="2"/>
  <c r="H214" i="2"/>
  <c r="N210" i="2"/>
  <c r="H210" i="2"/>
  <c r="N206" i="2"/>
  <c r="H206" i="2"/>
  <c r="N202" i="2"/>
  <c r="H202" i="2"/>
  <c r="N198" i="2"/>
  <c r="H198" i="2"/>
  <c r="N194" i="2"/>
  <c r="H194" i="2"/>
  <c r="N190" i="2"/>
  <c r="H190" i="2"/>
  <c r="N186" i="2"/>
  <c r="H186" i="2"/>
  <c r="N182" i="2"/>
  <c r="H182" i="2"/>
  <c r="N178" i="2"/>
  <c r="H178" i="2"/>
  <c r="N174" i="2"/>
  <c r="H174" i="2"/>
  <c r="N170" i="2"/>
  <c r="H170" i="2"/>
  <c r="N166" i="2"/>
  <c r="H166" i="2"/>
  <c r="N162" i="2"/>
  <c r="H162" i="2"/>
  <c r="N158" i="2"/>
  <c r="H158" i="2"/>
  <c r="N154" i="2"/>
  <c r="H154" i="2"/>
  <c r="N150" i="2"/>
  <c r="H150" i="2"/>
  <c r="N146" i="2"/>
  <c r="H146" i="2"/>
  <c r="N142" i="2"/>
  <c r="H142" i="2"/>
  <c r="N138" i="2"/>
  <c r="H138" i="2"/>
  <c r="N134" i="2"/>
  <c r="H134" i="2"/>
  <c r="N130" i="2"/>
  <c r="H130" i="2"/>
  <c r="N126" i="2"/>
  <c r="H126" i="2"/>
  <c r="N122" i="2"/>
  <c r="H122" i="2"/>
  <c r="N118" i="2"/>
  <c r="H118" i="2"/>
  <c r="N114" i="2"/>
  <c r="H114" i="2"/>
  <c r="N110" i="2"/>
  <c r="H110" i="2"/>
  <c r="N106" i="2"/>
  <c r="H106" i="2"/>
  <c r="N102" i="2"/>
  <c r="H102" i="2"/>
  <c r="N98" i="2"/>
  <c r="H98" i="2"/>
  <c r="N94" i="2"/>
  <c r="H94" i="2"/>
  <c r="N90" i="2"/>
  <c r="H90" i="2"/>
  <c r="N86" i="2"/>
  <c r="H86" i="2"/>
  <c r="N82" i="2"/>
  <c r="H82" i="2"/>
  <c r="N78" i="2"/>
  <c r="H78" i="2"/>
  <c r="N74" i="2"/>
  <c r="H74" i="2"/>
  <c r="N70" i="2"/>
  <c r="H70" i="2"/>
  <c r="N66" i="2"/>
  <c r="H66" i="2"/>
  <c r="N62" i="2"/>
  <c r="H62" i="2"/>
  <c r="N58" i="2"/>
  <c r="H58" i="2"/>
  <c r="N54" i="2"/>
  <c r="H54" i="2"/>
  <c r="N50" i="2"/>
  <c r="H50" i="2"/>
  <c r="N46" i="2"/>
  <c r="H46" i="2"/>
  <c r="N42" i="2"/>
  <c r="H42" i="2"/>
  <c r="N38" i="2"/>
  <c r="H38" i="2"/>
  <c r="N34" i="2"/>
  <c r="H34" i="2"/>
  <c r="N30" i="2"/>
  <c r="H30" i="2"/>
  <c r="N26" i="2"/>
  <c r="H26" i="2"/>
  <c r="N22" i="2"/>
  <c r="H22" i="2"/>
  <c r="N18" i="2"/>
  <c r="H18" i="2"/>
  <c r="N14" i="2"/>
  <c r="H14" i="2"/>
  <c r="N10" i="2"/>
  <c r="H10" i="2"/>
  <c r="N6" i="2"/>
  <c r="H6" i="2"/>
  <c r="G2" i="2"/>
  <c r="I2" i="2"/>
  <c r="O2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8257" i="2"/>
  <c r="P8258" i="2"/>
  <c r="P8259" i="2"/>
  <c r="P8260" i="2"/>
  <c r="P8261" i="2"/>
  <c r="P8262" i="2"/>
  <c r="P8263" i="2"/>
  <c r="P8264" i="2"/>
  <c r="P8265" i="2"/>
  <c r="P8266" i="2"/>
  <c r="P8267" i="2"/>
  <c r="P8268" i="2"/>
  <c r="P8269" i="2"/>
  <c r="P8270" i="2"/>
  <c r="P8271" i="2"/>
  <c r="P8272" i="2"/>
  <c r="P8273" i="2"/>
  <c r="P8274" i="2"/>
  <c r="P8275" i="2"/>
  <c r="P8276" i="2"/>
  <c r="P8277" i="2"/>
  <c r="P8278" i="2"/>
  <c r="P8279" i="2"/>
  <c r="P8280" i="2"/>
  <c r="P8281" i="2"/>
  <c r="P8282" i="2"/>
  <c r="P8283" i="2"/>
  <c r="P8284" i="2"/>
  <c r="P8285" i="2"/>
  <c r="P8286" i="2"/>
  <c r="P8287" i="2"/>
  <c r="P8288" i="2"/>
  <c r="P8289" i="2"/>
  <c r="P8290" i="2"/>
  <c r="P8291" i="2"/>
  <c r="P8292" i="2"/>
  <c r="P8293" i="2"/>
  <c r="P8294" i="2"/>
  <c r="P8295" i="2"/>
  <c r="P8296" i="2"/>
  <c r="P8297" i="2"/>
  <c r="P8298" i="2"/>
  <c r="P8299" i="2"/>
  <c r="P8300" i="2"/>
  <c r="P8301" i="2"/>
  <c r="P8302" i="2"/>
  <c r="P8303" i="2"/>
  <c r="P8304" i="2"/>
  <c r="P8305" i="2"/>
  <c r="P8306" i="2"/>
  <c r="P8307" i="2"/>
  <c r="P8308" i="2"/>
  <c r="P8309" i="2"/>
  <c r="P8310" i="2"/>
  <c r="P8311" i="2"/>
  <c r="P8312" i="2"/>
  <c r="P8313" i="2"/>
  <c r="P8314" i="2"/>
  <c r="P8315" i="2"/>
  <c r="P8316" i="2"/>
  <c r="P8317" i="2"/>
  <c r="P8318" i="2"/>
  <c r="P8319" i="2"/>
  <c r="P8320" i="2"/>
  <c r="P8321" i="2"/>
  <c r="P8322" i="2"/>
  <c r="P8323" i="2"/>
  <c r="P8324" i="2"/>
  <c r="P8325" i="2"/>
  <c r="P8326" i="2"/>
  <c r="P8327" i="2"/>
  <c r="P8328" i="2"/>
  <c r="P8329" i="2"/>
  <c r="P8330" i="2"/>
  <c r="P8331" i="2"/>
  <c r="P8332" i="2"/>
  <c r="P8333" i="2"/>
  <c r="P8334" i="2"/>
  <c r="P8335" i="2"/>
  <c r="P8336" i="2"/>
  <c r="P8337" i="2"/>
  <c r="P8338" i="2"/>
  <c r="P8339" i="2"/>
  <c r="P8340" i="2"/>
  <c r="P8341" i="2"/>
  <c r="P8342" i="2"/>
  <c r="P8343" i="2"/>
  <c r="P8344" i="2"/>
  <c r="P8345" i="2"/>
  <c r="P8346" i="2"/>
  <c r="P8347" i="2"/>
  <c r="P8348" i="2"/>
  <c r="P8349" i="2"/>
  <c r="P8350" i="2"/>
  <c r="P8351" i="2"/>
  <c r="P8352" i="2"/>
  <c r="P8353" i="2"/>
  <c r="P8354" i="2"/>
  <c r="P8355" i="2"/>
  <c r="P8356" i="2"/>
  <c r="P8357" i="2"/>
  <c r="P8358" i="2"/>
  <c r="P8359" i="2"/>
  <c r="P8360" i="2"/>
  <c r="P8361" i="2"/>
  <c r="P8362" i="2"/>
  <c r="P8363" i="2"/>
  <c r="P8364" i="2"/>
  <c r="P8365" i="2"/>
  <c r="P8366" i="2"/>
  <c r="P8367" i="2"/>
  <c r="P8368" i="2"/>
  <c r="P8369" i="2"/>
  <c r="P8370" i="2"/>
  <c r="P8371" i="2"/>
  <c r="P8372" i="2"/>
  <c r="P8373" i="2"/>
  <c r="P8374" i="2"/>
  <c r="P8375" i="2"/>
  <c r="P8376" i="2"/>
  <c r="P8377" i="2"/>
  <c r="P8378" i="2"/>
  <c r="P8379" i="2"/>
  <c r="P8380" i="2"/>
  <c r="P8381" i="2"/>
  <c r="P8382" i="2"/>
  <c r="P8383" i="2"/>
  <c r="P8384" i="2"/>
  <c r="P8385" i="2"/>
  <c r="P8386" i="2"/>
  <c r="P8387" i="2"/>
  <c r="P8388" i="2"/>
  <c r="P8389" i="2"/>
  <c r="P8390" i="2"/>
  <c r="P8391" i="2"/>
  <c r="P8392" i="2"/>
  <c r="P8393" i="2"/>
  <c r="P8394" i="2"/>
  <c r="P8395" i="2"/>
  <c r="P8396" i="2"/>
  <c r="P8397" i="2"/>
  <c r="P8398" i="2"/>
  <c r="P8399" i="2"/>
  <c r="P8400" i="2"/>
  <c r="P8401" i="2"/>
  <c r="P8402" i="2"/>
  <c r="P8403" i="2"/>
  <c r="P8404" i="2"/>
  <c r="P8405" i="2"/>
  <c r="P8406" i="2"/>
  <c r="P8407" i="2"/>
  <c r="P8408" i="2"/>
  <c r="P8409" i="2"/>
  <c r="P8410" i="2"/>
  <c r="P8411" i="2"/>
  <c r="P8412" i="2"/>
  <c r="P8413" i="2"/>
  <c r="P8414" i="2"/>
  <c r="P8415" i="2"/>
  <c r="P8416" i="2"/>
  <c r="P8417" i="2"/>
  <c r="P8418" i="2"/>
  <c r="P8419" i="2"/>
  <c r="P8420" i="2"/>
  <c r="P8421" i="2"/>
  <c r="P8422" i="2"/>
  <c r="P8423" i="2"/>
  <c r="P8424" i="2"/>
  <c r="P8425" i="2"/>
  <c r="P8426" i="2"/>
  <c r="P8427" i="2"/>
  <c r="P8428" i="2"/>
  <c r="P8429" i="2"/>
  <c r="P8430" i="2"/>
  <c r="P8431" i="2"/>
  <c r="P8432" i="2"/>
  <c r="P8433" i="2"/>
  <c r="P8434" i="2"/>
  <c r="P8435" i="2"/>
  <c r="P8436" i="2"/>
  <c r="P8437" i="2"/>
  <c r="P8438" i="2"/>
  <c r="P8439" i="2"/>
  <c r="P8440" i="2"/>
  <c r="P8441" i="2"/>
  <c r="P8442" i="2"/>
  <c r="P8443" i="2"/>
  <c r="P8444" i="2"/>
  <c r="P8445" i="2"/>
  <c r="P8446" i="2"/>
  <c r="P8447" i="2"/>
  <c r="P8448" i="2"/>
  <c r="P8449" i="2"/>
  <c r="P8450" i="2"/>
  <c r="P8451" i="2"/>
  <c r="P8452" i="2"/>
  <c r="P8453" i="2"/>
  <c r="P8454" i="2"/>
  <c r="P8455" i="2"/>
  <c r="P8456" i="2"/>
  <c r="P8457" i="2"/>
  <c r="P8458" i="2"/>
  <c r="P8459" i="2"/>
  <c r="P8460" i="2"/>
  <c r="P8461" i="2"/>
  <c r="P8462" i="2"/>
  <c r="P8463" i="2"/>
  <c r="P8464" i="2"/>
  <c r="P8465" i="2"/>
  <c r="P8466" i="2"/>
  <c r="P8467" i="2"/>
  <c r="P8468" i="2"/>
  <c r="P8469" i="2"/>
  <c r="P8470" i="2"/>
  <c r="P8471" i="2"/>
  <c r="P8472" i="2"/>
  <c r="P8473" i="2"/>
  <c r="P8474" i="2"/>
  <c r="P8475" i="2"/>
  <c r="P8476" i="2"/>
  <c r="P8477" i="2"/>
  <c r="P8478" i="2"/>
  <c r="P8479" i="2"/>
  <c r="P8480" i="2"/>
  <c r="P8481" i="2"/>
  <c r="P8482" i="2"/>
  <c r="P8483" i="2"/>
  <c r="P8484" i="2"/>
  <c r="P8485" i="2"/>
  <c r="P8486" i="2"/>
  <c r="P8487" i="2"/>
  <c r="P8488" i="2"/>
  <c r="P8489" i="2"/>
  <c r="P8490" i="2"/>
  <c r="P8491" i="2"/>
  <c r="P8492" i="2"/>
  <c r="P8493" i="2"/>
  <c r="P8494" i="2"/>
  <c r="P8495" i="2"/>
  <c r="P8496" i="2"/>
  <c r="P8497" i="2"/>
  <c r="P8498" i="2"/>
  <c r="P8499" i="2"/>
  <c r="P8500" i="2"/>
  <c r="P8501" i="2"/>
  <c r="P8502" i="2"/>
  <c r="P8503" i="2"/>
  <c r="P8504" i="2"/>
  <c r="P8505" i="2"/>
  <c r="P8506" i="2"/>
  <c r="P8507" i="2"/>
  <c r="P8508" i="2"/>
  <c r="P8509" i="2"/>
  <c r="P8510" i="2"/>
  <c r="P8511" i="2"/>
  <c r="P8512" i="2"/>
  <c r="P8513" i="2"/>
  <c r="P8514" i="2"/>
  <c r="P8515" i="2"/>
  <c r="P8516" i="2"/>
  <c r="P8517" i="2"/>
  <c r="P8518" i="2"/>
  <c r="P8519" i="2"/>
  <c r="P8520" i="2"/>
  <c r="P8521" i="2"/>
  <c r="P8522" i="2"/>
  <c r="P8523" i="2"/>
  <c r="P8524" i="2"/>
  <c r="P8525" i="2"/>
  <c r="P8526" i="2"/>
  <c r="P8527" i="2"/>
  <c r="P8528" i="2"/>
  <c r="P8529" i="2"/>
  <c r="P8530" i="2"/>
  <c r="P8531" i="2"/>
  <c r="P8532" i="2"/>
  <c r="P8533" i="2"/>
  <c r="P8534" i="2"/>
  <c r="P8535" i="2"/>
  <c r="P8536" i="2"/>
  <c r="P8537" i="2"/>
  <c r="P8538" i="2"/>
  <c r="P8539" i="2"/>
  <c r="P8540" i="2"/>
  <c r="P8541" i="2"/>
  <c r="P8542" i="2"/>
  <c r="P8543" i="2"/>
  <c r="P8544" i="2"/>
  <c r="P8545" i="2"/>
  <c r="P8546" i="2"/>
  <c r="P8547" i="2"/>
  <c r="P8548" i="2"/>
  <c r="P8549" i="2"/>
  <c r="P8550" i="2"/>
  <c r="P8551" i="2"/>
  <c r="P8552" i="2"/>
  <c r="P8553" i="2"/>
  <c r="P8554" i="2"/>
  <c r="P8555" i="2"/>
  <c r="P8556" i="2"/>
  <c r="P8557" i="2"/>
  <c r="P8558" i="2"/>
  <c r="P8559" i="2"/>
  <c r="P8560" i="2"/>
  <c r="P8561" i="2"/>
  <c r="P8562" i="2"/>
  <c r="P8563" i="2"/>
  <c r="P8564" i="2"/>
  <c r="P8565" i="2"/>
  <c r="P8566" i="2"/>
  <c r="P8567" i="2"/>
  <c r="P8568" i="2"/>
  <c r="P8569" i="2"/>
  <c r="P8570" i="2"/>
  <c r="P8571" i="2"/>
  <c r="P8572" i="2"/>
  <c r="P8573" i="2"/>
  <c r="P8574" i="2"/>
  <c r="P8575" i="2"/>
  <c r="P8576" i="2"/>
  <c r="P8577" i="2"/>
  <c r="P8578" i="2"/>
  <c r="P8579" i="2"/>
  <c r="P8580" i="2"/>
  <c r="P8581" i="2"/>
  <c r="P8582" i="2"/>
  <c r="P8583" i="2"/>
  <c r="P8584" i="2"/>
  <c r="P8585" i="2"/>
  <c r="P8586" i="2"/>
  <c r="P8587" i="2"/>
  <c r="P8588" i="2"/>
  <c r="P8589" i="2"/>
  <c r="P8590" i="2"/>
  <c r="P8591" i="2"/>
  <c r="P8592" i="2"/>
  <c r="P8593" i="2"/>
  <c r="P8594" i="2"/>
  <c r="P8595" i="2"/>
  <c r="P8596" i="2"/>
  <c r="P8597" i="2"/>
  <c r="P8598" i="2"/>
  <c r="P8599" i="2"/>
  <c r="P8600" i="2"/>
  <c r="P8601" i="2"/>
  <c r="P8602" i="2"/>
  <c r="P8603" i="2"/>
  <c r="P8604" i="2"/>
  <c r="P8605" i="2"/>
  <c r="P8606" i="2"/>
  <c r="P8607" i="2"/>
  <c r="P8608" i="2"/>
  <c r="P8609" i="2"/>
  <c r="P8610" i="2"/>
  <c r="P8611" i="2"/>
  <c r="P8612" i="2"/>
  <c r="P8613" i="2"/>
  <c r="P8614" i="2"/>
  <c r="P8615" i="2"/>
  <c r="P8616" i="2"/>
  <c r="P8617" i="2"/>
  <c r="P8618" i="2"/>
  <c r="P8619" i="2"/>
  <c r="P8620" i="2"/>
  <c r="P8621" i="2"/>
  <c r="P8622" i="2"/>
  <c r="P8623" i="2"/>
  <c r="P8624" i="2"/>
  <c r="P8625" i="2"/>
  <c r="P8626" i="2"/>
  <c r="P8627" i="2"/>
  <c r="P8628" i="2"/>
  <c r="P8629" i="2"/>
  <c r="P8630" i="2"/>
  <c r="P8631" i="2"/>
  <c r="P8632" i="2"/>
  <c r="P8633" i="2"/>
  <c r="P8634" i="2"/>
  <c r="P8635" i="2"/>
  <c r="P8636" i="2"/>
  <c r="P8637" i="2"/>
  <c r="P8638" i="2"/>
  <c r="P8639" i="2"/>
  <c r="P8640" i="2"/>
  <c r="P8641" i="2"/>
  <c r="P8642" i="2"/>
  <c r="P8643" i="2"/>
  <c r="P8644" i="2"/>
  <c r="P8645" i="2"/>
  <c r="P8646" i="2"/>
  <c r="P8647" i="2"/>
  <c r="P8648" i="2"/>
  <c r="P8649" i="2"/>
  <c r="P8650" i="2"/>
  <c r="P8651" i="2"/>
  <c r="P8652" i="2"/>
  <c r="P8653" i="2"/>
  <c r="P8654" i="2"/>
  <c r="P8655" i="2"/>
  <c r="P8656" i="2"/>
  <c r="P8657" i="2"/>
  <c r="P8658" i="2"/>
  <c r="P8659" i="2"/>
  <c r="P8660" i="2"/>
  <c r="P8661" i="2"/>
  <c r="P8662" i="2"/>
  <c r="P8663" i="2"/>
  <c r="P8664" i="2"/>
  <c r="P8665" i="2"/>
  <c r="P8666" i="2"/>
  <c r="P8667" i="2"/>
  <c r="P8668" i="2"/>
  <c r="P8669" i="2"/>
  <c r="P8670" i="2"/>
  <c r="P8671" i="2"/>
  <c r="P8672" i="2"/>
  <c r="P8673" i="2"/>
  <c r="P8674" i="2"/>
  <c r="P8675" i="2"/>
  <c r="P8676" i="2"/>
  <c r="P8677" i="2"/>
  <c r="P8678" i="2"/>
  <c r="P8679" i="2"/>
  <c r="P8680" i="2"/>
  <c r="P8681" i="2"/>
  <c r="P8682" i="2"/>
  <c r="P8683" i="2"/>
  <c r="P8684" i="2"/>
  <c r="P8685" i="2"/>
  <c r="P8686" i="2"/>
  <c r="P8687" i="2"/>
  <c r="P8688" i="2"/>
  <c r="P8689" i="2"/>
  <c r="P8690" i="2"/>
  <c r="P8691" i="2"/>
  <c r="P8692" i="2"/>
  <c r="P8693" i="2"/>
  <c r="P8694" i="2"/>
  <c r="P8695" i="2"/>
  <c r="P8696" i="2"/>
  <c r="P8697" i="2"/>
  <c r="P8698" i="2"/>
  <c r="P8699" i="2"/>
  <c r="P8700" i="2"/>
  <c r="P8701" i="2"/>
  <c r="P8702" i="2"/>
  <c r="P8703" i="2"/>
  <c r="P8704" i="2"/>
  <c r="P8705" i="2"/>
  <c r="P8706" i="2"/>
  <c r="P8707" i="2"/>
  <c r="P8708" i="2"/>
  <c r="P8709" i="2"/>
  <c r="P8710" i="2"/>
  <c r="P8711" i="2"/>
  <c r="P8712" i="2"/>
  <c r="P8713" i="2"/>
  <c r="P8714" i="2"/>
  <c r="P8715" i="2"/>
  <c r="P8716" i="2"/>
  <c r="P8717" i="2"/>
  <c r="P8718" i="2"/>
  <c r="P8719" i="2"/>
  <c r="P8720" i="2"/>
  <c r="P8721" i="2"/>
  <c r="P8722" i="2"/>
  <c r="P8723" i="2"/>
  <c r="P8724" i="2"/>
  <c r="P8725" i="2"/>
  <c r="P8726" i="2"/>
  <c r="P8727" i="2"/>
  <c r="P8728" i="2"/>
  <c r="P8729" i="2"/>
  <c r="P8730" i="2"/>
  <c r="P8731" i="2"/>
  <c r="P8732" i="2"/>
  <c r="P8733" i="2"/>
  <c r="P8734" i="2"/>
  <c r="P8735" i="2"/>
  <c r="P8736" i="2"/>
  <c r="P8737" i="2"/>
  <c r="P8738" i="2"/>
  <c r="P8739" i="2"/>
  <c r="P8740" i="2"/>
  <c r="P8741" i="2"/>
  <c r="P8742" i="2"/>
  <c r="P8743" i="2"/>
  <c r="P8744" i="2"/>
  <c r="P8745" i="2"/>
  <c r="P8746" i="2"/>
  <c r="P8747" i="2"/>
  <c r="P8748" i="2"/>
  <c r="P8749" i="2"/>
  <c r="P8750" i="2"/>
  <c r="P8751" i="2"/>
  <c r="P8752" i="2"/>
  <c r="P8753" i="2"/>
  <c r="P8754" i="2"/>
  <c r="P8755" i="2"/>
  <c r="P8756" i="2"/>
  <c r="P8757" i="2"/>
  <c r="P8758" i="2"/>
  <c r="P8759" i="2"/>
  <c r="P8760" i="2"/>
  <c r="P8761" i="2"/>
  <c r="P8762" i="2"/>
  <c r="P8763" i="2"/>
  <c r="P8764" i="2"/>
  <c r="P8765" i="2"/>
  <c r="P8766" i="2"/>
  <c r="P8767" i="2"/>
  <c r="P8768" i="2"/>
  <c r="P8769" i="2"/>
  <c r="P8770" i="2"/>
  <c r="P8771" i="2"/>
  <c r="P8772" i="2"/>
  <c r="P8773" i="2"/>
  <c r="P8774" i="2"/>
  <c r="P8775" i="2"/>
  <c r="P8776" i="2"/>
  <c r="P8777" i="2"/>
  <c r="P8778" i="2"/>
  <c r="P8779" i="2"/>
  <c r="P8780" i="2"/>
  <c r="P8781" i="2"/>
  <c r="P8782" i="2"/>
  <c r="P8783" i="2"/>
  <c r="P8784" i="2"/>
  <c r="P8785" i="2"/>
  <c r="P8786" i="2"/>
  <c r="P8787" i="2"/>
  <c r="P8788" i="2"/>
  <c r="P8789" i="2"/>
  <c r="P8790" i="2"/>
  <c r="P8791" i="2"/>
  <c r="P8792" i="2"/>
  <c r="P8793" i="2"/>
  <c r="P8794" i="2"/>
  <c r="P8795" i="2"/>
  <c r="P8796" i="2"/>
  <c r="P8797" i="2"/>
  <c r="P8798" i="2"/>
  <c r="P8799" i="2"/>
  <c r="P8800" i="2"/>
  <c r="P8801" i="2"/>
  <c r="P8802" i="2"/>
  <c r="P8803" i="2"/>
  <c r="P8804" i="2"/>
  <c r="P8805" i="2"/>
  <c r="P8806" i="2"/>
  <c r="P8807" i="2"/>
  <c r="P8808" i="2"/>
  <c r="P8809" i="2"/>
  <c r="P8810" i="2"/>
  <c r="P8811" i="2"/>
  <c r="P8812" i="2"/>
  <c r="P8813" i="2"/>
  <c r="P8814" i="2"/>
  <c r="P8815" i="2"/>
  <c r="P8816" i="2"/>
  <c r="P8817" i="2"/>
  <c r="P8818" i="2"/>
  <c r="P8819" i="2"/>
  <c r="P8820" i="2"/>
  <c r="P8821" i="2"/>
  <c r="P8822" i="2"/>
  <c r="P8823" i="2"/>
  <c r="P8824" i="2"/>
  <c r="P8825" i="2"/>
  <c r="P8826" i="2"/>
  <c r="P8827" i="2"/>
  <c r="P8828" i="2"/>
  <c r="P8829" i="2"/>
  <c r="P8830" i="2"/>
  <c r="P8831" i="2"/>
  <c r="P8832" i="2"/>
  <c r="P8833" i="2"/>
  <c r="P8834" i="2"/>
  <c r="P8835" i="2"/>
  <c r="P8836" i="2"/>
  <c r="P8837" i="2"/>
  <c r="P8838" i="2"/>
  <c r="P8839" i="2"/>
  <c r="P8840" i="2"/>
  <c r="P8841" i="2"/>
  <c r="P8842" i="2"/>
  <c r="P8843" i="2"/>
  <c r="P8844" i="2"/>
  <c r="P8845" i="2"/>
  <c r="P8846" i="2"/>
  <c r="P8847" i="2"/>
  <c r="P8848" i="2"/>
  <c r="P8849" i="2"/>
  <c r="P8850" i="2"/>
  <c r="P8851" i="2"/>
  <c r="P8852" i="2"/>
  <c r="P8853" i="2"/>
  <c r="P8854" i="2"/>
  <c r="P8855" i="2"/>
  <c r="P8856" i="2"/>
  <c r="P8857" i="2"/>
  <c r="P8858" i="2"/>
  <c r="P8859" i="2"/>
  <c r="P8860" i="2"/>
  <c r="P8861" i="2"/>
  <c r="P8862" i="2"/>
  <c r="P8863" i="2"/>
  <c r="P8864" i="2"/>
  <c r="P8865" i="2"/>
  <c r="P8866" i="2"/>
  <c r="P8867" i="2"/>
  <c r="P8868" i="2"/>
  <c r="P8869" i="2"/>
  <c r="P8870" i="2"/>
  <c r="P8871" i="2"/>
  <c r="P8872" i="2"/>
  <c r="P8873" i="2"/>
  <c r="P8874" i="2"/>
  <c r="P8875" i="2"/>
  <c r="P8876" i="2"/>
  <c r="P8877" i="2"/>
  <c r="P8878" i="2"/>
  <c r="P8879" i="2"/>
  <c r="P8880" i="2"/>
  <c r="P8881" i="2"/>
  <c r="P8882" i="2"/>
  <c r="P8883" i="2"/>
  <c r="P8884" i="2"/>
  <c r="P8885" i="2"/>
  <c r="P8886" i="2"/>
  <c r="P8887" i="2"/>
  <c r="P8888" i="2"/>
  <c r="P8889" i="2"/>
  <c r="P8890" i="2"/>
  <c r="P8891" i="2"/>
  <c r="P8892" i="2"/>
  <c r="P8893" i="2"/>
  <c r="P8894" i="2"/>
  <c r="P8895" i="2"/>
  <c r="P8896" i="2"/>
  <c r="P8897" i="2"/>
  <c r="P8898" i="2"/>
  <c r="P8899" i="2"/>
  <c r="P8900" i="2"/>
  <c r="P8901" i="2"/>
  <c r="P8902" i="2"/>
  <c r="P8903" i="2"/>
  <c r="P8904" i="2"/>
  <c r="P8905" i="2"/>
  <c r="P8906" i="2"/>
  <c r="P8907" i="2"/>
  <c r="P8908" i="2"/>
  <c r="P8909" i="2"/>
  <c r="P8910" i="2"/>
  <c r="P8911" i="2"/>
  <c r="P8912" i="2"/>
  <c r="P8913" i="2"/>
  <c r="P8914" i="2"/>
  <c r="P8915" i="2"/>
  <c r="P8916" i="2"/>
  <c r="P8917" i="2"/>
  <c r="P8918" i="2"/>
  <c r="P8919" i="2"/>
  <c r="P8920" i="2"/>
  <c r="P8921" i="2"/>
  <c r="P8922" i="2"/>
  <c r="P8923" i="2"/>
  <c r="P8924" i="2"/>
  <c r="P8925" i="2"/>
  <c r="P8926" i="2"/>
  <c r="P8927" i="2"/>
  <c r="P8928" i="2"/>
  <c r="P8929" i="2"/>
  <c r="P8930" i="2"/>
  <c r="P8931" i="2"/>
  <c r="P8932" i="2"/>
  <c r="P8933" i="2"/>
  <c r="P8934" i="2"/>
  <c r="P8935" i="2"/>
  <c r="P8936" i="2"/>
  <c r="P8937" i="2"/>
  <c r="P8938" i="2"/>
  <c r="P8939" i="2"/>
  <c r="P8940" i="2"/>
  <c r="P8941" i="2"/>
  <c r="P8942" i="2"/>
  <c r="P8943" i="2"/>
  <c r="P8944" i="2"/>
  <c r="P8945" i="2"/>
  <c r="P8946" i="2"/>
  <c r="P8947" i="2"/>
  <c r="P8948" i="2"/>
  <c r="P8949" i="2"/>
  <c r="P8950" i="2"/>
  <c r="P8951" i="2"/>
  <c r="P8952" i="2"/>
  <c r="P8953" i="2"/>
  <c r="P8954" i="2"/>
  <c r="P8955" i="2"/>
  <c r="P8956" i="2"/>
  <c r="P8957" i="2"/>
  <c r="P8958" i="2"/>
  <c r="P8959" i="2"/>
  <c r="P8960" i="2"/>
  <c r="P8961" i="2"/>
  <c r="P8962" i="2"/>
  <c r="P8963" i="2"/>
  <c r="P8964" i="2"/>
  <c r="P8965" i="2"/>
  <c r="P8966" i="2"/>
  <c r="P8967" i="2"/>
  <c r="P8968" i="2"/>
  <c r="P8969" i="2"/>
  <c r="P8970" i="2"/>
  <c r="P8971" i="2"/>
  <c r="P8972" i="2"/>
  <c r="P8973" i="2"/>
  <c r="P8974" i="2"/>
  <c r="P8975" i="2"/>
  <c r="P8976" i="2"/>
  <c r="P8977" i="2"/>
  <c r="P8978" i="2"/>
  <c r="P8979" i="2"/>
  <c r="P8980" i="2"/>
  <c r="P8981" i="2"/>
  <c r="P8982" i="2"/>
  <c r="P8983" i="2"/>
  <c r="P8984" i="2"/>
  <c r="P8985" i="2"/>
  <c r="P8986" i="2"/>
  <c r="P8987" i="2"/>
  <c r="P8988" i="2"/>
  <c r="P8989" i="2"/>
  <c r="P8990" i="2"/>
  <c r="P8991" i="2"/>
  <c r="P8992" i="2"/>
  <c r="P8993" i="2"/>
  <c r="P8994" i="2"/>
  <c r="P8995" i="2"/>
  <c r="P8996" i="2"/>
  <c r="P8997" i="2"/>
  <c r="P8998" i="2"/>
  <c r="P8999" i="2"/>
  <c r="P9000" i="2"/>
  <c r="P9001" i="2"/>
  <c r="P9002" i="2"/>
  <c r="P9003" i="2"/>
  <c r="P9004" i="2"/>
  <c r="P9005" i="2"/>
  <c r="P9006" i="2"/>
  <c r="P9007" i="2"/>
  <c r="P9008" i="2"/>
  <c r="P9009" i="2"/>
  <c r="P9010" i="2"/>
  <c r="P9011" i="2"/>
  <c r="P9012" i="2"/>
  <c r="P9013" i="2"/>
  <c r="P9014" i="2"/>
  <c r="P9015" i="2"/>
  <c r="P9016" i="2"/>
  <c r="P9017" i="2"/>
  <c r="P9018" i="2"/>
  <c r="P9019" i="2"/>
  <c r="P9020" i="2"/>
  <c r="P9021" i="2"/>
  <c r="P9022" i="2"/>
  <c r="P9023" i="2"/>
  <c r="P9024" i="2"/>
  <c r="P9025" i="2"/>
  <c r="P9026" i="2"/>
  <c r="P9027" i="2"/>
  <c r="P9028" i="2"/>
  <c r="P9029" i="2"/>
  <c r="P9030" i="2"/>
  <c r="P9031" i="2"/>
  <c r="P9032" i="2"/>
  <c r="P9033" i="2"/>
  <c r="P9034" i="2"/>
  <c r="P9035" i="2"/>
  <c r="P9036" i="2"/>
  <c r="P9037" i="2"/>
  <c r="P9038" i="2"/>
  <c r="P9039" i="2"/>
  <c r="P9040" i="2"/>
  <c r="P9041" i="2"/>
  <c r="P9042" i="2"/>
  <c r="P9043" i="2"/>
  <c r="P9044" i="2"/>
  <c r="P9045" i="2"/>
  <c r="P9046" i="2"/>
  <c r="P9047" i="2"/>
  <c r="P9048" i="2"/>
  <c r="P9049" i="2"/>
  <c r="P9050" i="2"/>
  <c r="P9051" i="2"/>
  <c r="P9052" i="2"/>
  <c r="P9053" i="2"/>
  <c r="P9054" i="2"/>
  <c r="P9055" i="2"/>
  <c r="P9056" i="2"/>
  <c r="P9057" i="2"/>
  <c r="P9058" i="2"/>
  <c r="P9059" i="2"/>
  <c r="P9060" i="2"/>
  <c r="P9061" i="2"/>
  <c r="P9062" i="2"/>
  <c r="P9063" i="2"/>
  <c r="P9064" i="2"/>
  <c r="P9065" i="2"/>
  <c r="P9066" i="2"/>
  <c r="P9067" i="2"/>
  <c r="P9068" i="2"/>
  <c r="P9069" i="2"/>
  <c r="P9070" i="2"/>
  <c r="P9071" i="2"/>
  <c r="P9072" i="2"/>
  <c r="P9073" i="2"/>
  <c r="P9074" i="2"/>
  <c r="P9075" i="2"/>
  <c r="P9076" i="2"/>
  <c r="P9077" i="2"/>
  <c r="P9078" i="2"/>
  <c r="P9079" i="2"/>
  <c r="P9080" i="2"/>
  <c r="P9081" i="2"/>
  <c r="P9082" i="2"/>
  <c r="P9083" i="2"/>
  <c r="P9084" i="2"/>
  <c r="P9085" i="2"/>
  <c r="P9086" i="2"/>
  <c r="P9087" i="2"/>
  <c r="P9088" i="2"/>
  <c r="P9089" i="2"/>
  <c r="P9090" i="2"/>
  <c r="P9091" i="2"/>
  <c r="P9092" i="2"/>
  <c r="P9093" i="2"/>
  <c r="P9094" i="2"/>
  <c r="P9095" i="2"/>
  <c r="P9096" i="2"/>
  <c r="P9097" i="2"/>
  <c r="P9098" i="2"/>
  <c r="P9099" i="2"/>
  <c r="P9100" i="2"/>
  <c r="P9101" i="2"/>
  <c r="P9102" i="2"/>
  <c r="P9103" i="2"/>
  <c r="P9104" i="2"/>
  <c r="P9105" i="2"/>
  <c r="P9106" i="2"/>
  <c r="P9107" i="2"/>
  <c r="P9108" i="2"/>
  <c r="P9109" i="2"/>
  <c r="P9110" i="2"/>
  <c r="P9111" i="2"/>
  <c r="P9112" i="2"/>
  <c r="P9113" i="2"/>
  <c r="P9114" i="2"/>
  <c r="P9115" i="2"/>
  <c r="P9116" i="2"/>
  <c r="P9117" i="2"/>
  <c r="P9118" i="2"/>
  <c r="P9119" i="2"/>
  <c r="P9120" i="2"/>
  <c r="P9121" i="2"/>
  <c r="P9122" i="2"/>
  <c r="P9123" i="2"/>
  <c r="P9124" i="2"/>
  <c r="P9125" i="2"/>
  <c r="P9126" i="2"/>
  <c r="P9127" i="2"/>
  <c r="P9128" i="2"/>
  <c r="P9129" i="2"/>
  <c r="P9130" i="2"/>
  <c r="P9131" i="2"/>
  <c r="P9132" i="2"/>
  <c r="P9133" i="2"/>
  <c r="P9134" i="2"/>
  <c r="P9135" i="2"/>
  <c r="P9136" i="2"/>
  <c r="P9137" i="2"/>
  <c r="P9138" i="2"/>
  <c r="P9139" i="2"/>
  <c r="P9140" i="2"/>
  <c r="P9141" i="2"/>
  <c r="P9142" i="2"/>
  <c r="P9143" i="2"/>
  <c r="P9144" i="2"/>
  <c r="P9145" i="2"/>
  <c r="P9146" i="2"/>
  <c r="P9147" i="2"/>
  <c r="P9148" i="2"/>
  <c r="P9149" i="2"/>
  <c r="P9150" i="2"/>
  <c r="P9151" i="2"/>
  <c r="P9152" i="2"/>
  <c r="P9153" i="2"/>
  <c r="P9154" i="2"/>
  <c r="P9155" i="2"/>
  <c r="P9156" i="2"/>
  <c r="P9157" i="2"/>
  <c r="P9158" i="2"/>
  <c r="P9159" i="2"/>
  <c r="P9160" i="2"/>
  <c r="P9161" i="2"/>
  <c r="P9162" i="2"/>
  <c r="P9163" i="2"/>
  <c r="P9164" i="2"/>
  <c r="P9165" i="2"/>
  <c r="P9166" i="2"/>
  <c r="P9167" i="2"/>
  <c r="P9168" i="2"/>
  <c r="P9169" i="2"/>
  <c r="P9170" i="2"/>
  <c r="P9171" i="2"/>
  <c r="P9172" i="2"/>
  <c r="P9173" i="2"/>
  <c r="P9174" i="2"/>
  <c r="P9175" i="2"/>
  <c r="P9176" i="2"/>
  <c r="P9177" i="2"/>
  <c r="P9178" i="2"/>
  <c r="P9179" i="2"/>
  <c r="P9180" i="2"/>
  <c r="P9181" i="2"/>
  <c r="P9182" i="2"/>
  <c r="P9183" i="2"/>
  <c r="P9184" i="2"/>
  <c r="P9185" i="2"/>
  <c r="P9186" i="2"/>
  <c r="P9187" i="2"/>
  <c r="P9188" i="2"/>
  <c r="P9189" i="2"/>
  <c r="P9190" i="2"/>
  <c r="P9191" i="2"/>
  <c r="P9192" i="2"/>
  <c r="P9193" i="2"/>
  <c r="P9194" i="2"/>
  <c r="P9195" i="2"/>
  <c r="P9196" i="2"/>
  <c r="P9197" i="2"/>
  <c r="P9198" i="2"/>
  <c r="P9199" i="2"/>
  <c r="P9200" i="2"/>
  <c r="P9201" i="2"/>
  <c r="P9202" i="2"/>
  <c r="P9203" i="2"/>
  <c r="P9204" i="2"/>
  <c r="P9205" i="2"/>
  <c r="P9206" i="2"/>
  <c r="P9207" i="2"/>
  <c r="P9208" i="2"/>
  <c r="P9209" i="2"/>
  <c r="P9210" i="2"/>
  <c r="P9211" i="2"/>
  <c r="P9212" i="2"/>
  <c r="P9213" i="2"/>
  <c r="P9214" i="2"/>
  <c r="P9215" i="2"/>
  <c r="P9216" i="2"/>
  <c r="P9217" i="2"/>
  <c r="P9218" i="2"/>
  <c r="P9219" i="2"/>
  <c r="P9220" i="2"/>
  <c r="P9221" i="2"/>
  <c r="P9222" i="2"/>
  <c r="P9223" i="2"/>
  <c r="P9224" i="2"/>
  <c r="P9225" i="2"/>
  <c r="P9226" i="2"/>
  <c r="P9227" i="2"/>
  <c r="P9228" i="2"/>
  <c r="P9229" i="2"/>
  <c r="P9230" i="2"/>
  <c r="P9231" i="2"/>
  <c r="P9232" i="2"/>
  <c r="P9233" i="2"/>
  <c r="P9234" i="2"/>
  <c r="P9235" i="2"/>
  <c r="P9236" i="2"/>
  <c r="P9237" i="2"/>
  <c r="P9238" i="2"/>
  <c r="P9239" i="2"/>
  <c r="P9240" i="2"/>
  <c r="P9241" i="2"/>
  <c r="P9242" i="2"/>
  <c r="P9243" i="2"/>
  <c r="P9244" i="2"/>
  <c r="P9245" i="2"/>
  <c r="P9246" i="2"/>
  <c r="P9247" i="2"/>
  <c r="P9248" i="2"/>
  <c r="P9249" i="2"/>
  <c r="P9250" i="2"/>
  <c r="P9251" i="2"/>
  <c r="P9252" i="2"/>
  <c r="P9253" i="2"/>
  <c r="P9254" i="2"/>
  <c r="P9255" i="2"/>
  <c r="P9256" i="2"/>
  <c r="P9257" i="2"/>
  <c r="P9258" i="2"/>
  <c r="P9259" i="2"/>
  <c r="P9260" i="2"/>
  <c r="P9261" i="2"/>
  <c r="P9262" i="2"/>
  <c r="P9263" i="2"/>
  <c r="P9264" i="2"/>
  <c r="P9265" i="2"/>
  <c r="P9266" i="2"/>
  <c r="P9267" i="2"/>
  <c r="P9268" i="2"/>
  <c r="P9269" i="2"/>
  <c r="P9270" i="2"/>
  <c r="P9271" i="2"/>
  <c r="P9272" i="2"/>
  <c r="P9273" i="2"/>
  <c r="P9274" i="2"/>
  <c r="P9275" i="2"/>
  <c r="P9276" i="2"/>
  <c r="P9277" i="2"/>
  <c r="P9278" i="2"/>
  <c r="P9279" i="2"/>
  <c r="P9280" i="2"/>
  <c r="P9281" i="2"/>
  <c r="P9282" i="2"/>
  <c r="P9283" i="2"/>
  <c r="P9284" i="2"/>
  <c r="P9285" i="2"/>
  <c r="P9286" i="2"/>
  <c r="P9287" i="2"/>
  <c r="P9288" i="2"/>
  <c r="P9289" i="2"/>
  <c r="P9290" i="2"/>
  <c r="P9291" i="2"/>
  <c r="P9292" i="2"/>
  <c r="P9293" i="2"/>
  <c r="P9294" i="2"/>
  <c r="P9295" i="2"/>
  <c r="P9296" i="2"/>
  <c r="P9297" i="2"/>
  <c r="P9298" i="2"/>
  <c r="P9299" i="2"/>
  <c r="P9300" i="2"/>
  <c r="P9301" i="2"/>
  <c r="P9302" i="2"/>
  <c r="P9303" i="2"/>
  <c r="P9304" i="2"/>
  <c r="P9305" i="2"/>
  <c r="P9306" i="2"/>
  <c r="P9307" i="2"/>
  <c r="P9308" i="2"/>
  <c r="P9309" i="2"/>
  <c r="P9310" i="2"/>
  <c r="P9311" i="2"/>
  <c r="P9312" i="2"/>
  <c r="P9313" i="2"/>
  <c r="P9314" i="2"/>
  <c r="P9315" i="2"/>
  <c r="P9316" i="2"/>
  <c r="P9317" i="2"/>
  <c r="P9318" i="2"/>
  <c r="P9319" i="2"/>
  <c r="P9320" i="2"/>
  <c r="P9321" i="2"/>
  <c r="P9322" i="2"/>
  <c r="P9323" i="2"/>
  <c r="P9324" i="2"/>
  <c r="P9325" i="2"/>
  <c r="P9326" i="2"/>
  <c r="P9327" i="2"/>
  <c r="P9328" i="2"/>
  <c r="P9329" i="2"/>
  <c r="P9330" i="2"/>
  <c r="P9331" i="2"/>
  <c r="P9332" i="2"/>
  <c r="P9333" i="2"/>
  <c r="P9334" i="2"/>
  <c r="P9335" i="2"/>
  <c r="P9336" i="2"/>
  <c r="P9337" i="2"/>
  <c r="P9338" i="2"/>
  <c r="P9339" i="2"/>
  <c r="P9340" i="2"/>
  <c r="P9341" i="2"/>
  <c r="P9342" i="2"/>
  <c r="P9343" i="2"/>
  <c r="P9344" i="2"/>
  <c r="P9345" i="2"/>
  <c r="P9346" i="2"/>
  <c r="P9347" i="2"/>
  <c r="P9348" i="2"/>
  <c r="P9349" i="2"/>
  <c r="P9350" i="2"/>
  <c r="P9351" i="2"/>
  <c r="P9352" i="2"/>
  <c r="P9353" i="2"/>
  <c r="P9354" i="2"/>
  <c r="P9355" i="2"/>
  <c r="P9356" i="2"/>
  <c r="P9357" i="2"/>
  <c r="P9358" i="2"/>
  <c r="P9359" i="2"/>
  <c r="P9360" i="2"/>
  <c r="P9361" i="2"/>
  <c r="P9362" i="2"/>
  <c r="P9363" i="2"/>
  <c r="P9364" i="2"/>
  <c r="P9365" i="2"/>
  <c r="P9366" i="2"/>
  <c r="P9367" i="2"/>
  <c r="P9368" i="2"/>
  <c r="P9369" i="2"/>
  <c r="P9370" i="2"/>
  <c r="P9371" i="2"/>
  <c r="P9372" i="2"/>
  <c r="P9373" i="2"/>
  <c r="P9374" i="2"/>
  <c r="P9375" i="2"/>
  <c r="P9376" i="2"/>
  <c r="P9377" i="2"/>
  <c r="P9378" i="2"/>
  <c r="P9379" i="2"/>
  <c r="P9380" i="2"/>
  <c r="P9381" i="2"/>
  <c r="P9382" i="2"/>
  <c r="P9383" i="2"/>
  <c r="P9384" i="2"/>
  <c r="P9385" i="2"/>
  <c r="P9386" i="2"/>
  <c r="P9387" i="2"/>
  <c r="P9388" i="2"/>
  <c r="P9389" i="2"/>
  <c r="P9390" i="2"/>
  <c r="P9391" i="2"/>
  <c r="P9392" i="2"/>
  <c r="P9393" i="2"/>
  <c r="P9394" i="2"/>
  <c r="P9395" i="2"/>
  <c r="P9396" i="2"/>
  <c r="P9397" i="2"/>
  <c r="P9398" i="2"/>
  <c r="P9399" i="2"/>
  <c r="P9400" i="2"/>
  <c r="P9401" i="2"/>
  <c r="P9402" i="2"/>
  <c r="P9403" i="2"/>
  <c r="P9404" i="2"/>
  <c r="P9405" i="2"/>
  <c r="P9406" i="2"/>
  <c r="P9407" i="2"/>
  <c r="P9408" i="2"/>
  <c r="P9409" i="2"/>
  <c r="P9410" i="2"/>
  <c r="P9411" i="2"/>
  <c r="P9412" i="2"/>
  <c r="P9413" i="2"/>
  <c r="P9414" i="2"/>
  <c r="P9415" i="2"/>
  <c r="P9416" i="2"/>
  <c r="P9417" i="2"/>
  <c r="P9418" i="2"/>
  <c r="P9419" i="2"/>
  <c r="P9420" i="2"/>
  <c r="P9421" i="2"/>
  <c r="P9422" i="2"/>
  <c r="P9423" i="2"/>
  <c r="P9424" i="2"/>
  <c r="P9425" i="2"/>
  <c r="P9426" i="2"/>
  <c r="P9427" i="2"/>
  <c r="P9428" i="2"/>
  <c r="P9429" i="2"/>
  <c r="P9430" i="2"/>
  <c r="P9431" i="2"/>
  <c r="P9432" i="2"/>
  <c r="P9433" i="2"/>
  <c r="P9434" i="2"/>
  <c r="P9435" i="2"/>
  <c r="P9436" i="2"/>
  <c r="P9437" i="2"/>
  <c r="P9438" i="2"/>
  <c r="P9439" i="2"/>
  <c r="P9440" i="2"/>
  <c r="P9441" i="2"/>
  <c r="P9442" i="2"/>
  <c r="P9443" i="2"/>
  <c r="P9444" i="2"/>
  <c r="P9445" i="2"/>
  <c r="P9446" i="2"/>
  <c r="P9447" i="2"/>
  <c r="P9448" i="2"/>
  <c r="P9449" i="2"/>
  <c r="P9450" i="2"/>
  <c r="P9451" i="2"/>
  <c r="P9452" i="2"/>
  <c r="P9453" i="2"/>
  <c r="P9454" i="2"/>
  <c r="P9455" i="2"/>
  <c r="P9456" i="2"/>
  <c r="P9457" i="2"/>
  <c r="P9458" i="2"/>
  <c r="P9459" i="2"/>
  <c r="P9460" i="2"/>
  <c r="P9461" i="2"/>
  <c r="P9462" i="2"/>
  <c r="P9463" i="2"/>
  <c r="P9464" i="2"/>
  <c r="P9465" i="2"/>
  <c r="P9466" i="2"/>
  <c r="P9467" i="2"/>
  <c r="P9468" i="2"/>
  <c r="P9469" i="2"/>
  <c r="P9470" i="2"/>
  <c r="P9471" i="2"/>
  <c r="P9472" i="2"/>
  <c r="P9473" i="2"/>
  <c r="P9474" i="2"/>
  <c r="P9475" i="2"/>
  <c r="P9476" i="2"/>
  <c r="P9477" i="2"/>
  <c r="P9478" i="2"/>
  <c r="P9479" i="2"/>
  <c r="P9480" i="2"/>
  <c r="P9481" i="2"/>
  <c r="P9482" i="2"/>
  <c r="P9483" i="2"/>
  <c r="P9484" i="2"/>
  <c r="P9485" i="2"/>
  <c r="P9486" i="2"/>
  <c r="P9487" i="2"/>
  <c r="P9488" i="2"/>
  <c r="P9489" i="2"/>
  <c r="P9490" i="2"/>
  <c r="P9491" i="2"/>
  <c r="P9492" i="2"/>
  <c r="P9493" i="2"/>
  <c r="P9494" i="2"/>
  <c r="P9495" i="2"/>
  <c r="P9496" i="2"/>
  <c r="P9497" i="2"/>
  <c r="P9498" i="2"/>
  <c r="P9499" i="2"/>
  <c r="P9500" i="2"/>
  <c r="P9501" i="2"/>
  <c r="P9502" i="2"/>
  <c r="P9503" i="2"/>
  <c r="P9504" i="2"/>
  <c r="P9505" i="2"/>
  <c r="P9506" i="2"/>
  <c r="P9507" i="2"/>
  <c r="P9508" i="2"/>
  <c r="P9509" i="2"/>
  <c r="P9510" i="2"/>
  <c r="P9511" i="2"/>
  <c r="P9512" i="2"/>
  <c r="P9513" i="2"/>
  <c r="P9514" i="2"/>
  <c r="P9515" i="2"/>
  <c r="P9516" i="2"/>
  <c r="P9517" i="2"/>
  <c r="P9518" i="2"/>
  <c r="P9519" i="2"/>
  <c r="P9520" i="2"/>
  <c r="P9521" i="2"/>
  <c r="P9522" i="2"/>
  <c r="P9523" i="2"/>
  <c r="P9524" i="2"/>
  <c r="P9525" i="2"/>
  <c r="P9526" i="2"/>
  <c r="P9527" i="2"/>
  <c r="P9528" i="2"/>
  <c r="P9529" i="2"/>
  <c r="P9530" i="2"/>
  <c r="P9531" i="2"/>
  <c r="P9532" i="2"/>
  <c r="P9533" i="2"/>
  <c r="P9534" i="2"/>
  <c r="P9535" i="2"/>
  <c r="P9536" i="2"/>
  <c r="P9537" i="2"/>
  <c r="P9538" i="2"/>
  <c r="P9539" i="2"/>
  <c r="P9540" i="2"/>
  <c r="P9541" i="2"/>
  <c r="P9542" i="2"/>
  <c r="P9543" i="2"/>
  <c r="P9544" i="2"/>
  <c r="P9545" i="2"/>
  <c r="P9546" i="2"/>
  <c r="P9547" i="2"/>
  <c r="P9548" i="2"/>
  <c r="P9549" i="2"/>
  <c r="P9550" i="2"/>
  <c r="P9551" i="2"/>
  <c r="P9552" i="2"/>
  <c r="P9553" i="2"/>
  <c r="P9554" i="2"/>
  <c r="P9555" i="2"/>
  <c r="P9556" i="2"/>
  <c r="P9557" i="2"/>
  <c r="P9558" i="2"/>
  <c r="P9559" i="2"/>
  <c r="P9560" i="2"/>
  <c r="P9561" i="2"/>
  <c r="P9562" i="2"/>
  <c r="P9563" i="2"/>
  <c r="P9564" i="2"/>
  <c r="P9565" i="2"/>
  <c r="P9566" i="2"/>
  <c r="P9567" i="2"/>
  <c r="P9568" i="2"/>
  <c r="P9569" i="2"/>
  <c r="P9570" i="2"/>
  <c r="P9571" i="2"/>
  <c r="P9572" i="2"/>
  <c r="P9573" i="2"/>
  <c r="P9574" i="2"/>
  <c r="P9575" i="2"/>
  <c r="P9576" i="2"/>
  <c r="P9577" i="2"/>
  <c r="P9578" i="2"/>
  <c r="P9579" i="2"/>
  <c r="P9580" i="2"/>
  <c r="P9581" i="2"/>
  <c r="P9582" i="2"/>
  <c r="P9583" i="2"/>
  <c r="P9584" i="2"/>
  <c r="P9585" i="2"/>
  <c r="P9586" i="2"/>
  <c r="P9587" i="2"/>
  <c r="P9588" i="2"/>
  <c r="P9589" i="2"/>
  <c r="P9590" i="2"/>
  <c r="P9591" i="2"/>
  <c r="P9592" i="2"/>
  <c r="P9593" i="2"/>
  <c r="P9594" i="2"/>
  <c r="P9595" i="2"/>
  <c r="P9596" i="2"/>
  <c r="P9597" i="2"/>
  <c r="P9598" i="2"/>
  <c r="P9599" i="2"/>
  <c r="P9600" i="2"/>
  <c r="P9601" i="2"/>
  <c r="P9602" i="2"/>
  <c r="P9603" i="2"/>
  <c r="P9604" i="2"/>
  <c r="P9605" i="2"/>
  <c r="P9606" i="2"/>
  <c r="P9607" i="2"/>
  <c r="P9608" i="2"/>
  <c r="P9609" i="2"/>
  <c r="P9610" i="2"/>
  <c r="P9611" i="2"/>
  <c r="P9612" i="2"/>
  <c r="P9613" i="2"/>
  <c r="P9614" i="2"/>
  <c r="P9615" i="2"/>
  <c r="P9616" i="2"/>
  <c r="P9617" i="2"/>
  <c r="P9618" i="2"/>
  <c r="P9619" i="2"/>
  <c r="P9620" i="2"/>
  <c r="P9621" i="2"/>
  <c r="P9622" i="2"/>
  <c r="P9623" i="2"/>
  <c r="P9624" i="2"/>
  <c r="P9625" i="2"/>
  <c r="P9626" i="2"/>
  <c r="P9627" i="2"/>
  <c r="P9628" i="2"/>
  <c r="P9629" i="2"/>
  <c r="P9630" i="2"/>
  <c r="P9631" i="2"/>
  <c r="P9632" i="2"/>
  <c r="P9633" i="2"/>
  <c r="P9634" i="2"/>
  <c r="P9635" i="2"/>
  <c r="P9636" i="2"/>
  <c r="P9637" i="2"/>
  <c r="P9638" i="2"/>
  <c r="P9639" i="2"/>
  <c r="P9640" i="2"/>
  <c r="P9641" i="2"/>
  <c r="P9642" i="2"/>
  <c r="P9643" i="2"/>
  <c r="P9644" i="2"/>
  <c r="P9645" i="2"/>
  <c r="P9646" i="2"/>
  <c r="P9647" i="2"/>
  <c r="P9648" i="2"/>
  <c r="P9649" i="2"/>
  <c r="P9650" i="2"/>
  <c r="P9651" i="2"/>
  <c r="P9652" i="2"/>
  <c r="P9653" i="2"/>
  <c r="P9654" i="2"/>
  <c r="P9655" i="2"/>
  <c r="P9656" i="2"/>
  <c r="P9657" i="2"/>
  <c r="P9658" i="2"/>
  <c r="P9659" i="2"/>
  <c r="P9660" i="2"/>
  <c r="P9661" i="2"/>
  <c r="P9662" i="2"/>
  <c r="P9663" i="2"/>
  <c r="P9664" i="2"/>
  <c r="P9665" i="2"/>
  <c r="P9666" i="2"/>
  <c r="P9667" i="2"/>
  <c r="P9668" i="2"/>
  <c r="P9669" i="2"/>
  <c r="P9670" i="2"/>
  <c r="P9671" i="2"/>
  <c r="P9672" i="2"/>
  <c r="P9673" i="2"/>
  <c r="P9674" i="2"/>
  <c r="P9675" i="2"/>
  <c r="P9676" i="2"/>
  <c r="P9677" i="2"/>
  <c r="P9678" i="2"/>
  <c r="P9679" i="2"/>
  <c r="P9680" i="2"/>
  <c r="P9681" i="2"/>
  <c r="P9682" i="2"/>
  <c r="P9683" i="2"/>
  <c r="P9684" i="2"/>
  <c r="P9685" i="2"/>
  <c r="P9686" i="2"/>
  <c r="P9687" i="2"/>
  <c r="P9688" i="2"/>
  <c r="P9689" i="2"/>
  <c r="P9690" i="2"/>
  <c r="P9691" i="2"/>
  <c r="P9692" i="2"/>
  <c r="P9693" i="2"/>
  <c r="P9694" i="2"/>
  <c r="P9695" i="2"/>
  <c r="P9696" i="2"/>
  <c r="P9697" i="2"/>
  <c r="P9698" i="2"/>
  <c r="P9699" i="2"/>
  <c r="P9700" i="2"/>
  <c r="P9701" i="2"/>
  <c r="P9702" i="2"/>
  <c r="P9703" i="2"/>
  <c r="P9704" i="2"/>
  <c r="P9705" i="2"/>
  <c r="P9706" i="2"/>
  <c r="P9707" i="2"/>
  <c r="P9708" i="2"/>
  <c r="P9709" i="2"/>
  <c r="P9710" i="2"/>
  <c r="P9711" i="2"/>
  <c r="P9712" i="2"/>
  <c r="P9713" i="2"/>
  <c r="P9714" i="2"/>
  <c r="P9715" i="2"/>
  <c r="P9716" i="2"/>
  <c r="P9717" i="2"/>
  <c r="P9718" i="2"/>
  <c r="P9719" i="2"/>
  <c r="P9720" i="2"/>
  <c r="P9721" i="2"/>
  <c r="P9722" i="2"/>
  <c r="P9723" i="2"/>
  <c r="P9724" i="2"/>
  <c r="P9725" i="2"/>
  <c r="P9726" i="2"/>
  <c r="P9727" i="2"/>
  <c r="P9728" i="2"/>
  <c r="P9729" i="2"/>
  <c r="P9730" i="2"/>
  <c r="P9731" i="2"/>
  <c r="P9732" i="2"/>
  <c r="P9733" i="2"/>
  <c r="P9734" i="2"/>
  <c r="P9735" i="2"/>
  <c r="P9736" i="2"/>
  <c r="P9737" i="2"/>
  <c r="P9738" i="2"/>
  <c r="P9739" i="2"/>
  <c r="P9740" i="2"/>
  <c r="P9741" i="2"/>
  <c r="P9742" i="2"/>
  <c r="P9743" i="2"/>
  <c r="P9744" i="2"/>
  <c r="P9745" i="2"/>
  <c r="P9746" i="2"/>
  <c r="P9747" i="2"/>
  <c r="P9748" i="2"/>
  <c r="P9749" i="2"/>
  <c r="P9750" i="2"/>
  <c r="P9751" i="2"/>
  <c r="P9752" i="2"/>
  <c r="P9753" i="2"/>
  <c r="P9754" i="2"/>
  <c r="P9755" i="2"/>
  <c r="P9756" i="2"/>
  <c r="P9757" i="2"/>
  <c r="P9758" i="2"/>
  <c r="P9759" i="2"/>
  <c r="P9760" i="2"/>
  <c r="P9761" i="2"/>
  <c r="P9762" i="2"/>
  <c r="P9763" i="2"/>
  <c r="P9764" i="2"/>
  <c r="P9765" i="2"/>
  <c r="P9766" i="2"/>
  <c r="P9767" i="2"/>
  <c r="P9768" i="2"/>
  <c r="P9769" i="2"/>
  <c r="P9770" i="2"/>
  <c r="P9771" i="2"/>
  <c r="P9772" i="2"/>
  <c r="P9773" i="2"/>
  <c r="P9774" i="2"/>
  <c r="P9775" i="2"/>
  <c r="P9776" i="2"/>
  <c r="P9777" i="2"/>
  <c r="P9778" i="2"/>
  <c r="P9779" i="2"/>
  <c r="P9780" i="2"/>
  <c r="P9781" i="2"/>
  <c r="P9782" i="2"/>
  <c r="P9783" i="2"/>
  <c r="P9784" i="2"/>
  <c r="P9785" i="2"/>
  <c r="P9786" i="2"/>
  <c r="P9787" i="2"/>
  <c r="P9788" i="2"/>
  <c r="P9789" i="2"/>
  <c r="P9790" i="2"/>
  <c r="P9791" i="2"/>
  <c r="P9792" i="2"/>
  <c r="P9793" i="2"/>
  <c r="P9794" i="2"/>
  <c r="P9795" i="2"/>
  <c r="P9796" i="2"/>
  <c r="P9797" i="2"/>
  <c r="P9798" i="2"/>
  <c r="P9799" i="2"/>
  <c r="P9800" i="2"/>
  <c r="P9801" i="2"/>
  <c r="P9802" i="2"/>
  <c r="P9803" i="2"/>
  <c r="P9804" i="2"/>
  <c r="P9805" i="2"/>
  <c r="P9806" i="2"/>
  <c r="P9807" i="2"/>
  <c r="P9808" i="2"/>
  <c r="P9809" i="2"/>
  <c r="P9810" i="2"/>
  <c r="P9811" i="2"/>
  <c r="P9812" i="2"/>
  <c r="P9813" i="2"/>
  <c r="P9814" i="2"/>
  <c r="P9815" i="2"/>
  <c r="P9816" i="2"/>
  <c r="P9817" i="2"/>
  <c r="P9818" i="2"/>
  <c r="P9819" i="2"/>
  <c r="P9820" i="2"/>
  <c r="P9821" i="2"/>
  <c r="P9822" i="2"/>
  <c r="P9823" i="2"/>
  <c r="P9824" i="2"/>
  <c r="P9825" i="2"/>
  <c r="P9826" i="2"/>
  <c r="P9827" i="2"/>
  <c r="P9828" i="2"/>
  <c r="P9829" i="2"/>
  <c r="P9830" i="2"/>
  <c r="P9831" i="2"/>
  <c r="P9832" i="2"/>
  <c r="P9833" i="2"/>
  <c r="P9834" i="2"/>
  <c r="P9835" i="2"/>
  <c r="P9836" i="2"/>
  <c r="P9837" i="2"/>
  <c r="P9838" i="2"/>
  <c r="P9839" i="2"/>
  <c r="P9840" i="2"/>
  <c r="P9841" i="2"/>
  <c r="P9842" i="2"/>
  <c r="P9843" i="2"/>
  <c r="P9844" i="2"/>
  <c r="P9845" i="2"/>
  <c r="P9846" i="2"/>
  <c r="P9847" i="2"/>
  <c r="P9848" i="2"/>
  <c r="P9849" i="2"/>
  <c r="P9850" i="2"/>
  <c r="P9851" i="2"/>
  <c r="P9852" i="2"/>
  <c r="P9853" i="2"/>
  <c r="P9854" i="2"/>
  <c r="P9855" i="2"/>
  <c r="P9856" i="2"/>
  <c r="P9857" i="2"/>
  <c r="P9858" i="2"/>
  <c r="P9859" i="2"/>
  <c r="P9860" i="2"/>
  <c r="P9861" i="2"/>
  <c r="P9862" i="2"/>
  <c r="P9863" i="2"/>
  <c r="P9864" i="2"/>
  <c r="P9865" i="2"/>
  <c r="P9866" i="2"/>
  <c r="P9867" i="2"/>
  <c r="P9868" i="2"/>
  <c r="P9869" i="2"/>
  <c r="P9870" i="2"/>
  <c r="P9871" i="2"/>
  <c r="P9872" i="2"/>
  <c r="P9873" i="2"/>
  <c r="P9874" i="2"/>
  <c r="P9875" i="2"/>
  <c r="P9876" i="2"/>
  <c r="P9877" i="2"/>
  <c r="P9878" i="2"/>
  <c r="P9879" i="2"/>
  <c r="P9880" i="2"/>
  <c r="P9881" i="2"/>
  <c r="P9882" i="2"/>
  <c r="P9883" i="2"/>
  <c r="P9884" i="2"/>
  <c r="P9885" i="2"/>
  <c r="P9886" i="2"/>
  <c r="P9887" i="2"/>
  <c r="P9888" i="2"/>
  <c r="P9889" i="2"/>
  <c r="P9890" i="2"/>
  <c r="P9891" i="2"/>
  <c r="P9892" i="2"/>
  <c r="P9893" i="2"/>
  <c r="P9894" i="2"/>
  <c r="P9895" i="2"/>
  <c r="P9896" i="2"/>
  <c r="P9897" i="2"/>
  <c r="P9898" i="2"/>
  <c r="P9899" i="2"/>
  <c r="P9900" i="2"/>
  <c r="P9901" i="2"/>
  <c r="P9902" i="2"/>
  <c r="P9903" i="2"/>
  <c r="P9904" i="2"/>
  <c r="P9905" i="2"/>
  <c r="P9906" i="2"/>
  <c r="P9907" i="2"/>
  <c r="P9908" i="2"/>
  <c r="P9909" i="2"/>
  <c r="P9910" i="2"/>
  <c r="P9911" i="2"/>
  <c r="P9912" i="2"/>
  <c r="P9913" i="2"/>
  <c r="P9914" i="2"/>
  <c r="P9915" i="2"/>
  <c r="P9916" i="2"/>
  <c r="P9917" i="2"/>
  <c r="P9918" i="2"/>
  <c r="P9919" i="2"/>
  <c r="P9920" i="2"/>
  <c r="P9921" i="2"/>
  <c r="P9922" i="2"/>
  <c r="P9923" i="2"/>
  <c r="P9924" i="2"/>
  <c r="P9925" i="2"/>
  <c r="P9926" i="2"/>
  <c r="P9927" i="2"/>
  <c r="P9928" i="2"/>
  <c r="P9929" i="2"/>
  <c r="P9930" i="2"/>
  <c r="P9931" i="2"/>
  <c r="P9932" i="2"/>
  <c r="P9933" i="2"/>
  <c r="P9934" i="2"/>
  <c r="P9935" i="2"/>
  <c r="P9936" i="2"/>
  <c r="P9937" i="2"/>
  <c r="P9938" i="2"/>
  <c r="P9939" i="2"/>
  <c r="P9940" i="2"/>
  <c r="P9941" i="2"/>
  <c r="P9942" i="2"/>
  <c r="P9943" i="2"/>
  <c r="P9944" i="2"/>
  <c r="P9945" i="2"/>
  <c r="P9946" i="2"/>
  <c r="P9947" i="2"/>
  <c r="P9948" i="2"/>
  <c r="P9949" i="2"/>
  <c r="P9950" i="2"/>
  <c r="P9951" i="2"/>
  <c r="P9952" i="2"/>
  <c r="P9953" i="2"/>
  <c r="P9954" i="2"/>
  <c r="P9955" i="2"/>
  <c r="P9956" i="2"/>
  <c r="P9957" i="2"/>
  <c r="P9958" i="2"/>
  <c r="P9959" i="2"/>
  <c r="P9960" i="2"/>
  <c r="P9961" i="2"/>
  <c r="P9962" i="2"/>
  <c r="P9963" i="2"/>
  <c r="P9964" i="2"/>
  <c r="P9965" i="2"/>
  <c r="P9966" i="2"/>
  <c r="P9967" i="2"/>
  <c r="P9968" i="2"/>
  <c r="P9969" i="2"/>
  <c r="P9970" i="2"/>
  <c r="P9971" i="2"/>
  <c r="P9972" i="2"/>
  <c r="P9973" i="2"/>
  <c r="P9974" i="2"/>
  <c r="P9975" i="2"/>
  <c r="P9976" i="2"/>
  <c r="P9977" i="2"/>
  <c r="P9978" i="2"/>
  <c r="P9979" i="2"/>
  <c r="P9980" i="2"/>
  <c r="P9981" i="2"/>
  <c r="P9982" i="2"/>
  <c r="P9983" i="2"/>
  <c r="P9984" i="2"/>
  <c r="P9985" i="2"/>
  <c r="P9986" i="2"/>
  <c r="P9987" i="2"/>
  <c r="P9988" i="2"/>
  <c r="P9989" i="2"/>
  <c r="P9990" i="2"/>
  <c r="P9991" i="2"/>
  <c r="P9992" i="2"/>
  <c r="P9993" i="2"/>
  <c r="P9994" i="2"/>
  <c r="P9995" i="2"/>
  <c r="P9996" i="2"/>
  <c r="P9997" i="2"/>
  <c r="P9998" i="2"/>
  <c r="P9999" i="2"/>
  <c r="P10000" i="2"/>
  <c r="M2" i="2"/>
  <c r="Q9999" i="2" l="1"/>
  <c r="Q9995" i="2"/>
  <c r="Q9991" i="2"/>
  <c r="Q9987" i="2"/>
  <c r="Q9983" i="2"/>
  <c r="Q9979" i="2"/>
  <c r="Q9975" i="2"/>
  <c r="Q9971" i="2"/>
  <c r="Q9967" i="2"/>
  <c r="Q9963" i="2"/>
  <c r="Q9959" i="2"/>
  <c r="Q9955" i="2"/>
  <c r="Q9951" i="2"/>
  <c r="Q9947" i="2"/>
  <c r="Q9943" i="2"/>
  <c r="Q9939" i="2"/>
  <c r="Q9935" i="2"/>
  <c r="Q9931" i="2"/>
  <c r="Q9927" i="2"/>
  <c r="Q9923" i="2"/>
  <c r="Q9919" i="2"/>
  <c r="Q9915" i="2"/>
  <c r="Q9911" i="2"/>
  <c r="Q9907" i="2"/>
  <c r="Q9903" i="2"/>
  <c r="Q9899" i="2"/>
  <c r="Q9895" i="2"/>
  <c r="Q9891" i="2"/>
  <c r="Q9887" i="2"/>
  <c r="Q9883" i="2"/>
  <c r="Q9879" i="2"/>
  <c r="Q9875" i="2"/>
  <c r="Q9871" i="2"/>
  <c r="Q9867" i="2"/>
  <c r="Q9863" i="2"/>
  <c r="Q9859" i="2"/>
  <c r="Q9855" i="2"/>
  <c r="Q9851" i="2"/>
  <c r="Q9847" i="2"/>
  <c r="Q9843" i="2"/>
  <c r="Q9839" i="2"/>
  <c r="Q9835" i="2"/>
  <c r="Q9831" i="2"/>
  <c r="Q9827" i="2"/>
  <c r="Q9823" i="2"/>
  <c r="Q9819" i="2"/>
  <c r="Q9815" i="2"/>
  <c r="Q9811" i="2"/>
  <c r="Q9807" i="2"/>
  <c r="Q9803" i="2"/>
  <c r="Q9799" i="2"/>
  <c r="Q9795" i="2"/>
  <c r="Q9791" i="2"/>
  <c r="Q9787" i="2"/>
  <c r="Q9783" i="2"/>
  <c r="Q9779" i="2"/>
  <c r="Q9775" i="2"/>
  <c r="Q9771" i="2"/>
  <c r="Q9767" i="2"/>
  <c r="Q9763" i="2"/>
  <c r="Q9759" i="2"/>
  <c r="Q9755" i="2"/>
  <c r="Q9751" i="2"/>
  <c r="Q9747" i="2"/>
  <c r="Q9743" i="2"/>
  <c r="Q9739" i="2"/>
  <c r="Q9735" i="2"/>
  <c r="Q9731" i="2"/>
  <c r="Q9727" i="2"/>
  <c r="Q9723" i="2"/>
  <c r="Q9719" i="2"/>
  <c r="Q9715" i="2"/>
  <c r="Q9711" i="2"/>
  <c r="Q9707" i="2"/>
  <c r="Q9703" i="2"/>
  <c r="Q9699" i="2"/>
  <c r="Q9695" i="2"/>
  <c r="Q9691" i="2"/>
  <c r="Q9687" i="2"/>
  <c r="Q9683" i="2"/>
  <c r="Q9679" i="2"/>
  <c r="Q9675" i="2"/>
  <c r="Q9671" i="2"/>
  <c r="Q9667" i="2"/>
  <c r="Q9663" i="2"/>
  <c r="Q9659" i="2"/>
  <c r="Q9655" i="2"/>
  <c r="Q9651" i="2"/>
  <c r="Q9647" i="2"/>
  <c r="Q9643" i="2"/>
  <c r="Q9639" i="2"/>
  <c r="Q9635" i="2"/>
  <c r="Q9631" i="2"/>
  <c r="Q9627" i="2"/>
  <c r="Q9623" i="2"/>
  <c r="Q9619" i="2"/>
  <c r="Q9615" i="2"/>
  <c r="Q9611" i="2"/>
  <c r="Q9607" i="2"/>
  <c r="Q9603" i="2"/>
  <c r="Q9599" i="2"/>
  <c r="Q9595" i="2"/>
  <c r="Q9591" i="2"/>
  <c r="Q9587" i="2"/>
  <c r="Q9583" i="2"/>
  <c r="Q9579" i="2"/>
  <c r="Q9575" i="2"/>
  <c r="Q9571" i="2"/>
  <c r="Q9567" i="2"/>
  <c r="Q9563" i="2"/>
  <c r="Q9559" i="2"/>
  <c r="Q9555" i="2"/>
  <c r="Q9551" i="2"/>
  <c r="Q9547" i="2"/>
  <c r="Q9543" i="2"/>
  <c r="Q9539" i="2"/>
  <c r="Q9535" i="2"/>
  <c r="Q9531" i="2"/>
  <c r="Q9527" i="2"/>
  <c r="Q9523" i="2"/>
  <c r="Q9519" i="2"/>
  <c r="Q9515" i="2"/>
  <c r="Q9511" i="2"/>
  <c r="Q9507" i="2"/>
  <c r="Q9503" i="2"/>
  <c r="Q9499" i="2"/>
  <c r="Q9495" i="2"/>
  <c r="Q9491" i="2"/>
  <c r="Q9487" i="2"/>
  <c r="Q9483" i="2"/>
  <c r="Q9479" i="2"/>
  <c r="Q9475" i="2"/>
  <c r="Q9471" i="2"/>
  <c r="Q9467" i="2"/>
  <c r="Q9463" i="2"/>
  <c r="Q9459" i="2"/>
  <c r="Q9455" i="2"/>
  <c r="Q9451" i="2"/>
  <c r="Q9447" i="2"/>
  <c r="Q9443" i="2"/>
  <c r="Q9439" i="2"/>
  <c r="Q9435" i="2"/>
  <c r="Q9431" i="2"/>
  <c r="Q9427" i="2"/>
  <c r="Q9423" i="2"/>
  <c r="Q9419" i="2"/>
  <c r="Q9415" i="2"/>
  <c r="Q9411" i="2"/>
  <c r="Q9407" i="2"/>
  <c r="Q9403" i="2"/>
  <c r="Q9399" i="2"/>
  <c r="Q9395" i="2"/>
  <c r="Q9391" i="2"/>
  <c r="Q9387" i="2"/>
  <c r="Q9383" i="2"/>
  <c r="Q9379" i="2"/>
  <c r="Q9375" i="2"/>
  <c r="Q9371" i="2"/>
  <c r="Q9367" i="2"/>
  <c r="Q9363" i="2"/>
  <c r="Q9359" i="2"/>
  <c r="Q9355" i="2"/>
  <c r="Q9351" i="2"/>
  <c r="Q9347" i="2"/>
  <c r="Q9343" i="2"/>
  <c r="Q9339" i="2"/>
  <c r="Q9335" i="2"/>
  <c r="Q9331" i="2"/>
  <c r="Q9327" i="2"/>
  <c r="Q9323" i="2"/>
  <c r="Q9319" i="2"/>
  <c r="Q9315" i="2"/>
  <c r="Q9311" i="2"/>
  <c r="Q9307" i="2"/>
  <c r="Q9303" i="2"/>
  <c r="Q9299" i="2"/>
  <c r="Q9295" i="2"/>
  <c r="Q9291" i="2"/>
  <c r="Q9287" i="2"/>
  <c r="Q9283" i="2"/>
  <c r="Q9279" i="2"/>
  <c r="Q9275" i="2"/>
  <c r="Q9271" i="2"/>
  <c r="Q9267" i="2"/>
  <c r="Q9263" i="2"/>
  <c r="Q9259" i="2"/>
  <c r="Q9255" i="2"/>
  <c r="Q9251" i="2"/>
  <c r="Q9247" i="2"/>
  <c r="Q9243" i="2"/>
  <c r="Q9239" i="2"/>
  <c r="Q9235" i="2"/>
  <c r="Q9231" i="2"/>
  <c r="Q9227" i="2"/>
  <c r="Q9223" i="2"/>
  <c r="Q9219" i="2"/>
  <c r="Q9215" i="2"/>
  <c r="Q9211" i="2"/>
  <c r="Q9207" i="2"/>
  <c r="Q9203" i="2"/>
  <c r="Q9199" i="2"/>
  <c r="Q9195" i="2"/>
  <c r="Q9191" i="2"/>
  <c r="Q9187" i="2"/>
  <c r="Q9183" i="2"/>
  <c r="Q9179" i="2"/>
  <c r="Q9175" i="2"/>
  <c r="Q9171" i="2"/>
  <c r="Q9167" i="2"/>
  <c r="Q9163" i="2"/>
  <c r="Q9159" i="2"/>
  <c r="Q9155" i="2"/>
  <c r="Q9151" i="2"/>
  <c r="Q9147" i="2"/>
  <c r="Q9143" i="2"/>
  <c r="Q9139" i="2"/>
  <c r="Q9135" i="2"/>
  <c r="Q9131" i="2"/>
  <c r="Q9127" i="2"/>
  <c r="Q9123" i="2"/>
  <c r="Q9119" i="2"/>
  <c r="Q9115" i="2"/>
  <c r="Q9111" i="2"/>
  <c r="Q9107" i="2"/>
  <c r="Q9103" i="2"/>
  <c r="Q9099" i="2"/>
  <c r="Q9095" i="2"/>
  <c r="Q9091" i="2"/>
  <c r="Q9087" i="2"/>
  <c r="Q9083" i="2"/>
  <c r="Q9079" i="2"/>
  <c r="Q9075" i="2"/>
  <c r="Q9071" i="2"/>
  <c r="Q9067" i="2"/>
  <c r="Q9063" i="2"/>
  <c r="Q9059" i="2"/>
  <c r="Q9055" i="2"/>
  <c r="Q9051" i="2"/>
  <c r="Q9047" i="2"/>
  <c r="Q9043" i="2"/>
  <c r="Q9039" i="2"/>
  <c r="Q9035" i="2"/>
  <c r="Q9031" i="2"/>
  <c r="Q9027" i="2"/>
  <c r="Q9023" i="2"/>
  <c r="Q9019" i="2"/>
  <c r="Q9015" i="2"/>
  <c r="Q9011" i="2"/>
  <c r="Q9007" i="2"/>
  <c r="Q9003" i="2"/>
  <c r="Q8999" i="2"/>
  <c r="Q8995" i="2"/>
  <c r="Q8991" i="2"/>
  <c r="Q8987" i="2"/>
  <c r="Q8983" i="2"/>
  <c r="Q8979" i="2"/>
  <c r="Q8975" i="2"/>
  <c r="Q8971" i="2"/>
  <c r="Q8967" i="2"/>
  <c r="Q8963" i="2"/>
  <c r="Q8959" i="2"/>
  <c r="Q8955" i="2"/>
  <c r="Q8951" i="2"/>
  <c r="Q8947" i="2"/>
  <c r="Q8943" i="2"/>
  <c r="Q8939" i="2"/>
  <c r="Q8935" i="2"/>
  <c r="Q8931" i="2"/>
  <c r="Q8927" i="2"/>
  <c r="Q8923" i="2"/>
  <c r="Q8919" i="2"/>
  <c r="Q8915" i="2"/>
  <c r="Q8911" i="2"/>
  <c r="Q8907" i="2"/>
  <c r="Q8903" i="2"/>
  <c r="Q8899" i="2"/>
  <c r="Q8895" i="2"/>
  <c r="Q8891" i="2"/>
  <c r="Q8887" i="2"/>
  <c r="Q8883" i="2"/>
  <c r="Q8879" i="2"/>
  <c r="Q8875" i="2"/>
  <c r="Q8871" i="2"/>
  <c r="Q8867" i="2"/>
  <c r="Q8863" i="2"/>
  <c r="Q8859" i="2"/>
  <c r="Q8855" i="2"/>
  <c r="Q8851" i="2"/>
  <c r="Q8847" i="2"/>
  <c r="Q8843" i="2"/>
  <c r="Q8839" i="2"/>
  <c r="Q8835" i="2"/>
  <c r="Q8831" i="2"/>
  <c r="Q8827" i="2"/>
  <c r="Q8823" i="2"/>
  <c r="Q8819" i="2"/>
  <c r="Q8815" i="2"/>
  <c r="Q8811" i="2"/>
  <c r="Q8807" i="2"/>
  <c r="Q8803" i="2"/>
  <c r="Q8799" i="2"/>
  <c r="Q8795" i="2"/>
  <c r="Q8791" i="2"/>
  <c r="Q8787" i="2"/>
  <c r="Q8783" i="2"/>
  <c r="Q8779" i="2"/>
  <c r="Q8775" i="2"/>
  <c r="Q8771" i="2"/>
  <c r="Q8767" i="2"/>
  <c r="Q8763" i="2"/>
  <c r="Q8759" i="2"/>
  <c r="Q8755" i="2"/>
  <c r="Q8751" i="2"/>
  <c r="Q8747" i="2"/>
  <c r="Q8743" i="2"/>
  <c r="Q8739" i="2"/>
  <c r="Q8735" i="2"/>
  <c r="Q8731" i="2"/>
  <c r="Q8727" i="2"/>
  <c r="Q8723" i="2"/>
  <c r="Q8719" i="2"/>
  <c r="Q8715" i="2"/>
  <c r="Q8711" i="2"/>
  <c r="Q8707" i="2"/>
  <c r="Q8703" i="2"/>
  <c r="Q8699" i="2"/>
  <c r="Q8695" i="2"/>
  <c r="Q8691" i="2"/>
  <c r="Q8687" i="2"/>
  <c r="Q8683" i="2"/>
  <c r="Q8679" i="2"/>
  <c r="Q8675" i="2"/>
  <c r="Q8671" i="2"/>
  <c r="Q8667" i="2"/>
  <c r="Q8663" i="2"/>
  <c r="Q8659" i="2"/>
  <c r="Q8655" i="2"/>
  <c r="Q8651" i="2"/>
  <c r="Q8647" i="2"/>
  <c r="Q8643" i="2"/>
  <c r="Q8639" i="2"/>
  <c r="Q8635" i="2"/>
  <c r="Q8631" i="2"/>
  <c r="Q8627" i="2"/>
  <c r="Q8623" i="2"/>
  <c r="Q8619" i="2"/>
  <c r="Q8615" i="2"/>
  <c r="Q8611" i="2"/>
  <c r="Q8607" i="2"/>
  <c r="Q8603" i="2"/>
  <c r="Q8599" i="2"/>
  <c r="Q8595" i="2"/>
  <c r="Q8591" i="2"/>
  <c r="Q8587" i="2"/>
  <c r="Q8583" i="2"/>
  <c r="Q8579" i="2"/>
  <c r="Q8575" i="2"/>
  <c r="Q8571" i="2"/>
  <c r="Q8567" i="2"/>
  <c r="Q8563" i="2"/>
  <c r="Q8559" i="2"/>
  <c r="Q8555" i="2"/>
  <c r="Q8551" i="2"/>
  <c r="Q8547" i="2"/>
  <c r="Q8543" i="2"/>
  <c r="Q8539" i="2"/>
  <c r="Q8535" i="2"/>
  <c r="Q8531" i="2"/>
  <c r="Q8527" i="2"/>
  <c r="Q8523" i="2"/>
  <c r="Q8519" i="2"/>
  <c r="Q8515" i="2"/>
  <c r="Q8511" i="2"/>
  <c r="Q8507" i="2"/>
  <c r="Q8503" i="2"/>
  <c r="Q8499" i="2"/>
  <c r="Q8495" i="2"/>
  <c r="Q8491" i="2"/>
  <c r="Q8487" i="2"/>
  <c r="Q8483" i="2"/>
  <c r="Q8479" i="2"/>
  <c r="Q8475" i="2"/>
  <c r="Q8471" i="2"/>
  <c r="Q8467" i="2"/>
  <c r="Q8463" i="2"/>
  <c r="Q8459" i="2"/>
  <c r="Q8455" i="2"/>
  <c r="Q8451" i="2"/>
  <c r="Q8447" i="2"/>
  <c r="Q8443" i="2"/>
  <c r="Q8439" i="2"/>
  <c r="Q8435" i="2"/>
  <c r="Q8431" i="2"/>
  <c r="Q8427" i="2"/>
  <c r="Q8423" i="2"/>
  <c r="Q8419" i="2"/>
  <c r="Q8415" i="2"/>
  <c r="Q8411" i="2"/>
  <c r="Q8407" i="2"/>
  <c r="Q8403" i="2"/>
  <c r="Q8399" i="2"/>
  <c r="Q8395" i="2"/>
  <c r="Q8391" i="2"/>
  <c r="Q8387" i="2"/>
  <c r="Q8383" i="2"/>
  <c r="Q8379" i="2"/>
  <c r="Q8375" i="2"/>
  <c r="Q8371" i="2"/>
  <c r="Q8367" i="2"/>
  <c r="Q8363" i="2"/>
  <c r="Q8359" i="2"/>
  <c r="Q8355" i="2"/>
  <c r="Q8351" i="2"/>
  <c r="Q8347" i="2"/>
  <c r="Q8343" i="2"/>
  <c r="Q8339" i="2"/>
  <c r="Q8335" i="2"/>
  <c r="Q8331" i="2"/>
  <c r="Q8327" i="2"/>
  <c r="Q8323" i="2"/>
  <c r="Q8319" i="2"/>
  <c r="Q8315" i="2"/>
  <c r="Q8311" i="2"/>
  <c r="Q8307" i="2"/>
  <c r="Q8303" i="2"/>
  <c r="Q8299" i="2"/>
  <c r="Q8295" i="2"/>
  <c r="Q8291" i="2"/>
  <c r="Q8287" i="2"/>
  <c r="Q8283" i="2"/>
  <c r="Q8279" i="2"/>
  <c r="Q8275" i="2"/>
  <c r="Q8271" i="2"/>
  <c r="Q8267" i="2"/>
  <c r="Q8263" i="2"/>
  <c r="Q8259" i="2"/>
  <c r="Q8255" i="2"/>
  <c r="Q8251" i="2"/>
  <c r="Q8247" i="2"/>
  <c r="Q8243" i="2"/>
  <c r="Q8239" i="2"/>
  <c r="Q8235" i="2"/>
  <c r="Q8231" i="2"/>
  <c r="Q8227" i="2"/>
  <c r="Q8223" i="2"/>
  <c r="Q8219" i="2"/>
  <c r="Q8215" i="2"/>
  <c r="Q8211" i="2"/>
  <c r="Q8207" i="2"/>
  <c r="Q8203" i="2"/>
  <c r="Q8199" i="2"/>
  <c r="Q8195" i="2"/>
  <c r="Q8191" i="2"/>
  <c r="Q8187" i="2"/>
  <c r="Q8183" i="2"/>
  <c r="Q8179" i="2"/>
  <c r="Q8175" i="2"/>
  <c r="Q8171" i="2"/>
  <c r="Q8167" i="2"/>
  <c r="Q8163" i="2"/>
  <c r="Q8159" i="2"/>
  <c r="Q8155" i="2"/>
  <c r="Q8151" i="2"/>
  <c r="Q9998" i="2"/>
  <c r="Q9994" i="2"/>
  <c r="Q9990" i="2"/>
  <c r="Q9986" i="2"/>
  <c r="Q9982" i="2"/>
  <c r="Q9978" i="2"/>
  <c r="Q9974" i="2"/>
  <c r="Q9970" i="2"/>
  <c r="Q9966" i="2"/>
  <c r="Q9962" i="2"/>
  <c r="Q9958" i="2"/>
  <c r="Q9954" i="2"/>
  <c r="Q9950" i="2"/>
  <c r="Q9946" i="2"/>
  <c r="Q9942" i="2"/>
  <c r="Q9938" i="2"/>
  <c r="Q9934" i="2"/>
  <c r="Q9930" i="2"/>
  <c r="Q9926" i="2"/>
  <c r="Q9922" i="2"/>
  <c r="Q9918" i="2"/>
  <c r="Q9914" i="2"/>
  <c r="Q9910" i="2"/>
  <c r="Q9906" i="2"/>
  <c r="Q9902" i="2"/>
  <c r="Q9898" i="2"/>
  <c r="Q9894" i="2"/>
  <c r="Q9890" i="2"/>
  <c r="Q9886" i="2"/>
  <c r="Q9882" i="2"/>
  <c r="Q9878" i="2"/>
  <c r="Q9874" i="2"/>
  <c r="Q9870" i="2"/>
  <c r="Q9866" i="2"/>
  <c r="Q9862" i="2"/>
  <c r="Q9858" i="2"/>
  <c r="Q9854" i="2"/>
  <c r="Q9850" i="2"/>
  <c r="Q9846" i="2"/>
  <c r="Q9842" i="2"/>
  <c r="Q9838" i="2"/>
  <c r="Q9834" i="2"/>
  <c r="Q9830" i="2"/>
  <c r="Q9826" i="2"/>
  <c r="Q9822" i="2"/>
  <c r="Q9818" i="2"/>
  <c r="Q9814" i="2"/>
  <c r="Q9810" i="2"/>
  <c r="Q9806" i="2"/>
  <c r="Q9802" i="2"/>
  <c r="Q9798" i="2"/>
  <c r="Q9794" i="2"/>
  <c r="Q9790" i="2"/>
  <c r="Q9786" i="2"/>
  <c r="Q9782" i="2"/>
  <c r="Q9778" i="2"/>
  <c r="Q9774" i="2"/>
  <c r="Q9770" i="2"/>
  <c r="Q9766" i="2"/>
  <c r="Q9762" i="2"/>
  <c r="Q9758" i="2"/>
  <c r="Q9754" i="2"/>
  <c r="Q9750" i="2"/>
  <c r="Q9746" i="2"/>
  <c r="Q9742" i="2"/>
  <c r="Q9738" i="2"/>
  <c r="Q9734" i="2"/>
  <c r="Q9730" i="2"/>
  <c r="Q9726" i="2"/>
  <c r="Q9722" i="2"/>
  <c r="Q9718" i="2"/>
  <c r="Q9714" i="2"/>
  <c r="Q9710" i="2"/>
  <c r="Q9706" i="2"/>
  <c r="Q9702" i="2"/>
  <c r="Q9698" i="2"/>
  <c r="Q9694" i="2"/>
  <c r="Q9690" i="2"/>
  <c r="Q9686" i="2"/>
  <c r="Q9682" i="2"/>
  <c r="Q9678" i="2"/>
  <c r="Q9674" i="2"/>
  <c r="Q9670" i="2"/>
  <c r="Q9666" i="2"/>
  <c r="Q9662" i="2"/>
  <c r="Q9658" i="2"/>
  <c r="Q9654" i="2"/>
  <c r="Q9650" i="2"/>
  <c r="Q9646" i="2"/>
  <c r="Q9642" i="2"/>
  <c r="Q9638" i="2"/>
  <c r="Q9634" i="2"/>
  <c r="Q9630" i="2"/>
  <c r="Q9626" i="2"/>
  <c r="Q9622" i="2"/>
  <c r="Q9618" i="2"/>
  <c r="Q9614" i="2"/>
  <c r="Q9610" i="2"/>
  <c r="Q9606" i="2"/>
  <c r="Q9602" i="2"/>
  <c r="Q9598" i="2"/>
  <c r="Q9594" i="2"/>
  <c r="Q9590" i="2"/>
  <c r="Q9586" i="2"/>
  <c r="Q9582" i="2"/>
  <c r="Q9578" i="2"/>
  <c r="Q9574" i="2"/>
  <c r="Q9570" i="2"/>
  <c r="Q9566" i="2"/>
  <c r="Q9562" i="2"/>
  <c r="Q9558" i="2"/>
  <c r="Q9554" i="2"/>
  <c r="Q9550" i="2"/>
  <c r="Q9546" i="2"/>
  <c r="Q9542" i="2"/>
  <c r="Q9538" i="2"/>
  <c r="Q9534" i="2"/>
  <c r="Q9530" i="2"/>
  <c r="Q9526" i="2"/>
  <c r="Q9522" i="2"/>
  <c r="Q9518" i="2"/>
  <c r="Q9514" i="2"/>
  <c r="Q9510" i="2"/>
  <c r="Q9506" i="2"/>
  <c r="Q9502" i="2"/>
  <c r="Q9498" i="2"/>
  <c r="Q9494" i="2"/>
  <c r="Q9490" i="2"/>
  <c r="Q9486" i="2"/>
  <c r="Q9482" i="2"/>
  <c r="Q9478" i="2"/>
  <c r="Q9474" i="2"/>
  <c r="Q9470" i="2"/>
  <c r="Q9466" i="2"/>
  <c r="Q9462" i="2"/>
  <c r="Q9458" i="2"/>
  <c r="Q9454" i="2"/>
  <c r="Q9450" i="2"/>
  <c r="Q9446" i="2"/>
  <c r="Q9442" i="2"/>
  <c r="Q9438" i="2"/>
  <c r="Q9434" i="2"/>
  <c r="Q9430" i="2"/>
  <c r="Q9426" i="2"/>
  <c r="Q9422" i="2"/>
  <c r="Q9418" i="2"/>
  <c r="Q9414" i="2"/>
  <c r="Q9410" i="2"/>
  <c r="Q9406" i="2"/>
  <c r="Q9402" i="2"/>
  <c r="Q9398" i="2"/>
  <c r="Q9394" i="2"/>
  <c r="Q9390" i="2"/>
  <c r="Q9386" i="2"/>
  <c r="Q9382" i="2"/>
  <c r="Q9378" i="2"/>
  <c r="Q9374" i="2"/>
  <c r="Q9370" i="2"/>
  <c r="Q9366" i="2"/>
  <c r="Q9362" i="2"/>
  <c r="Q9358" i="2"/>
  <c r="Q9354" i="2"/>
  <c r="Q9350" i="2"/>
  <c r="Q9346" i="2"/>
  <c r="Q9342" i="2"/>
  <c r="Q9338" i="2"/>
  <c r="Q9334" i="2"/>
  <c r="Q9330" i="2"/>
  <c r="Q9326" i="2"/>
  <c r="Q9322" i="2"/>
  <c r="Q9318" i="2"/>
  <c r="Q9314" i="2"/>
  <c r="Q9310" i="2"/>
  <c r="Q9306" i="2"/>
  <c r="Q9302" i="2"/>
  <c r="Q9298" i="2"/>
  <c r="Q9294" i="2"/>
  <c r="Q9290" i="2"/>
  <c r="Q9286" i="2"/>
  <c r="Q9282" i="2"/>
  <c r="Q9278" i="2"/>
  <c r="Q9274" i="2"/>
  <c r="Q9270" i="2"/>
  <c r="Q9266" i="2"/>
  <c r="Q9262" i="2"/>
  <c r="Q9258" i="2"/>
  <c r="Q9254" i="2"/>
  <c r="Q9250" i="2"/>
  <c r="Q9246" i="2"/>
  <c r="Q9242" i="2"/>
  <c r="Q9238" i="2"/>
  <c r="Q9234" i="2"/>
  <c r="Q9230" i="2"/>
  <c r="Q9226" i="2"/>
  <c r="Q9222" i="2"/>
  <c r="Q9218" i="2"/>
  <c r="Q9214" i="2"/>
  <c r="Q9210" i="2"/>
  <c r="Q9206" i="2"/>
  <c r="Q9202" i="2"/>
  <c r="Q9198" i="2"/>
  <c r="Q9194" i="2"/>
  <c r="Q9190" i="2"/>
  <c r="Q9186" i="2"/>
  <c r="Q9182" i="2"/>
  <c r="Q9178" i="2"/>
  <c r="Q9174" i="2"/>
  <c r="Q9170" i="2"/>
  <c r="Q9166" i="2"/>
  <c r="Q9162" i="2"/>
  <c r="Q9158" i="2"/>
  <c r="Q9154" i="2"/>
  <c r="Q9150" i="2"/>
  <c r="Q9146" i="2"/>
  <c r="Q9142" i="2"/>
  <c r="Q9138" i="2"/>
  <c r="Q9134" i="2"/>
  <c r="Q9130" i="2"/>
  <c r="Q9126" i="2"/>
  <c r="Q9122" i="2"/>
  <c r="Q9118" i="2"/>
  <c r="Q9114" i="2"/>
  <c r="Q9110" i="2"/>
  <c r="Q9106" i="2"/>
  <c r="Q9102" i="2"/>
  <c r="Q9098" i="2"/>
  <c r="Q9094" i="2"/>
  <c r="Q9090" i="2"/>
  <c r="Q9086" i="2"/>
  <c r="Q9082" i="2"/>
  <c r="Q9078" i="2"/>
  <c r="Q9074" i="2"/>
  <c r="Q9070" i="2"/>
  <c r="Q9066" i="2"/>
  <c r="Q9062" i="2"/>
  <c r="Q9058" i="2"/>
  <c r="Q9054" i="2"/>
  <c r="Q9050" i="2"/>
  <c r="Q9046" i="2"/>
  <c r="Q9042" i="2"/>
  <c r="Q9038" i="2"/>
  <c r="Q9034" i="2"/>
  <c r="Q9030" i="2"/>
  <c r="Q9026" i="2"/>
  <c r="Q9022" i="2"/>
  <c r="Q9018" i="2"/>
  <c r="Q9014" i="2"/>
  <c r="Q9010" i="2"/>
  <c r="Q9006" i="2"/>
  <c r="Q9002" i="2"/>
  <c r="Q8998" i="2"/>
  <c r="Q8994" i="2"/>
  <c r="Q8990" i="2"/>
  <c r="Q8986" i="2"/>
  <c r="Q8982" i="2"/>
  <c r="Q8978" i="2"/>
  <c r="Q8974" i="2"/>
  <c r="Q8970" i="2"/>
  <c r="Q8966" i="2"/>
  <c r="Q8962" i="2"/>
  <c r="Q8958" i="2"/>
  <c r="Q8954" i="2"/>
  <c r="Q8950" i="2"/>
  <c r="Q8946" i="2"/>
  <c r="Q8942" i="2"/>
  <c r="Q8938" i="2"/>
  <c r="Q8934" i="2"/>
  <c r="Q8930" i="2"/>
  <c r="Q8926" i="2"/>
  <c r="Q8922" i="2"/>
  <c r="Q8918" i="2"/>
  <c r="Q8914" i="2"/>
  <c r="Q8910" i="2"/>
  <c r="Q8906" i="2"/>
  <c r="Q8902" i="2"/>
  <c r="Q8898" i="2"/>
  <c r="Q8894" i="2"/>
  <c r="Q8890" i="2"/>
  <c r="Q8886" i="2"/>
  <c r="Q8882" i="2"/>
  <c r="Q8878" i="2"/>
  <c r="Q8874" i="2"/>
  <c r="Q8870" i="2"/>
  <c r="Q8866" i="2"/>
  <c r="Q8862" i="2"/>
  <c r="Q8858" i="2"/>
  <c r="Q8854" i="2"/>
  <c r="Q8850" i="2"/>
  <c r="Q8846" i="2"/>
  <c r="Q8842" i="2"/>
  <c r="Q8838" i="2"/>
  <c r="Q8834" i="2"/>
  <c r="Q8830" i="2"/>
  <c r="Q8826" i="2"/>
  <c r="Q8822" i="2"/>
  <c r="Q8818" i="2"/>
  <c r="Q8814" i="2"/>
  <c r="Q8810" i="2"/>
  <c r="Q8806" i="2"/>
  <c r="Q8802" i="2"/>
  <c r="Q8798" i="2"/>
  <c r="Q8794" i="2"/>
  <c r="Q8790" i="2"/>
  <c r="Q8786" i="2"/>
  <c r="Q8782" i="2"/>
  <c r="Q8778" i="2"/>
  <c r="Q8774" i="2"/>
  <c r="Q8770" i="2"/>
  <c r="Q8766" i="2"/>
  <c r="Q8762" i="2"/>
  <c r="Q8758" i="2"/>
  <c r="Q8754" i="2"/>
  <c r="Q8750" i="2"/>
  <c r="Q8746" i="2"/>
  <c r="Q8742" i="2"/>
  <c r="Q8738" i="2"/>
  <c r="Q8734" i="2"/>
  <c r="Q8730" i="2"/>
  <c r="Q8726" i="2"/>
  <c r="Q8722" i="2"/>
  <c r="Q8718" i="2"/>
  <c r="Q8714" i="2"/>
  <c r="Q8710" i="2"/>
  <c r="Q8706" i="2"/>
  <c r="Q8702" i="2"/>
  <c r="Q8698" i="2"/>
  <c r="Q8694" i="2"/>
  <c r="Q8690" i="2"/>
  <c r="Q8686" i="2"/>
  <c r="Q8682" i="2"/>
  <c r="Q8678" i="2"/>
  <c r="Q8674" i="2"/>
  <c r="Q8670" i="2"/>
  <c r="Q8666" i="2"/>
  <c r="Q8662" i="2"/>
  <c r="Q8658" i="2"/>
  <c r="Q8654" i="2"/>
  <c r="Q8650" i="2"/>
  <c r="Q8646" i="2"/>
  <c r="Q8642" i="2"/>
  <c r="Q8638" i="2"/>
  <c r="Q8634" i="2"/>
  <c r="Q8630" i="2"/>
  <c r="Q8626" i="2"/>
  <c r="Q8622" i="2"/>
  <c r="Q8618" i="2"/>
  <c r="Q8614" i="2"/>
  <c r="Q8610" i="2"/>
  <c r="Q8606" i="2"/>
  <c r="Q8602" i="2"/>
  <c r="Q8598" i="2"/>
  <c r="Q8594" i="2"/>
  <c r="Q8590" i="2"/>
  <c r="Q8586" i="2"/>
  <c r="Q8582" i="2"/>
  <c r="Q8578" i="2"/>
  <c r="Q8574" i="2"/>
  <c r="Q8570" i="2"/>
  <c r="Q8566" i="2"/>
  <c r="Q8562" i="2"/>
  <c r="Q8558" i="2"/>
  <c r="Q8554" i="2"/>
  <c r="Q8550" i="2"/>
  <c r="Q8546" i="2"/>
  <c r="Q8542" i="2"/>
  <c r="Q8538" i="2"/>
  <c r="Q8534" i="2"/>
  <c r="Q8530" i="2"/>
  <c r="Q8526" i="2"/>
  <c r="Q8522" i="2"/>
  <c r="Q8518" i="2"/>
  <c r="Q8514" i="2"/>
  <c r="Q8510" i="2"/>
  <c r="Q8506" i="2"/>
  <c r="Q8502" i="2"/>
  <c r="Q8498" i="2"/>
  <c r="Q8494" i="2"/>
  <c r="Q8490" i="2"/>
  <c r="Q8486" i="2"/>
  <c r="Q8482" i="2"/>
  <c r="Q8478" i="2"/>
  <c r="Q8474" i="2"/>
  <c r="Q8470" i="2"/>
  <c r="Q8466" i="2"/>
  <c r="Q8462" i="2"/>
  <c r="Q8458" i="2"/>
  <c r="Q8454" i="2"/>
  <c r="Q8450" i="2"/>
  <c r="Q8446" i="2"/>
  <c r="Q8442" i="2"/>
  <c r="Q8438" i="2"/>
  <c r="Q8434" i="2"/>
  <c r="Q8430" i="2"/>
  <c r="Q8426" i="2"/>
  <c r="Q8422" i="2"/>
  <c r="Q8418" i="2"/>
  <c r="Q8414" i="2"/>
  <c r="Q8410" i="2"/>
  <c r="Q8406" i="2"/>
  <c r="Q8402" i="2"/>
  <c r="Q8398" i="2"/>
  <c r="Q8394" i="2"/>
  <c r="Q8390" i="2"/>
  <c r="Q8386" i="2"/>
  <c r="Q8382" i="2"/>
  <c r="Q8378" i="2"/>
  <c r="Q8374" i="2"/>
  <c r="Q8370" i="2"/>
  <c r="Q8366" i="2"/>
  <c r="Q8362" i="2"/>
  <c r="Q8358" i="2"/>
  <c r="Q8354" i="2"/>
  <c r="Q8350" i="2"/>
  <c r="Q8346" i="2"/>
  <c r="Q8342" i="2"/>
  <c r="Q8338" i="2"/>
  <c r="Q8334" i="2"/>
  <c r="Q8330" i="2"/>
  <c r="Q8326" i="2"/>
  <c r="Q8322" i="2"/>
  <c r="Q8318" i="2"/>
  <c r="Q8314" i="2"/>
  <c r="Q8310" i="2"/>
  <c r="Q8306" i="2"/>
  <c r="Q8302" i="2"/>
  <c r="Q8298" i="2"/>
  <c r="Q8294" i="2"/>
  <c r="Q8290" i="2"/>
  <c r="Q8286" i="2"/>
  <c r="Q8282" i="2"/>
  <c r="Q8278" i="2"/>
  <c r="Q8274" i="2"/>
  <c r="Q8270" i="2"/>
  <c r="Q8266" i="2"/>
  <c r="Q8262" i="2"/>
  <c r="Q8258" i="2"/>
  <c r="Q8254" i="2"/>
  <c r="Q8250" i="2"/>
  <c r="Q8246" i="2"/>
  <c r="Q8242" i="2"/>
  <c r="Q8238" i="2"/>
  <c r="Q8234" i="2"/>
  <c r="Q8230" i="2"/>
  <c r="Q8226" i="2"/>
  <c r="Q8222" i="2"/>
  <c r="Q8218" i="2"/>
  <c r="Q8214" i="2"/>
  <c r="Q8210" i="2"/>
  <c r="Q8206" i="2"/>
  <c r="Q8202" i="2"/>
  <c r="Q8198" i="2"/>
  <c r="Q8194" i="2"/>
  <c r="Q8190" i="2"/>
  <c r="Q8186" i="2"/>
  <c r="Q8182" i="2"/>
  <c r="Q8178" i="2"/>
  <c r="Q8174" i="2"/>
  <c r="Q8170" i="2"/>
  <c r="Q8166" i="2"/>
  <c r="Q8162" i="2"/>
  <c r="Q8158" i="2"/>
  <c r="Q8154" i="2"/>
  <c r="Q9997" i="2"/>
  <c r="Q9993" i="2"/>
  <c r="Q9989" i="2"/>
  <c r="Q9985" i="2"/>
  <c r="Q9981" i="2"/>
  <c r="Q9977" i="2"/>
  <c r="Q9973" i="2"/>
  <c r="Q9969" i="2"/>
  <c r="Q9965" i="2"/>
  <c r="Q9961" i="2"/>
  <c r="Q9957" i="2"/>
  <c r="Q9953" i="2"/>
  <c r="Q9949" i="2"/>
  <c r="Q9945" i="2"/>
  <c r="Q9941" i="2"/>
  <c r="Q9937" i="2"/>
  <c r="Q9933" i="2"/>
  <c r="Q9929" i="2"/>
  <c r="Q9925" i="2"/>
  <c r="Q9921" i="2"/>
  <c r="Q9917" i="2"/>
  <c r="Q9913" i="2"/>
  <c r="Q9909" i="2"/>
  <c r="Q9905" i="2"/>
  <c r="Q9901" i="2"/>
  <c r="Q9897" i="2"/>
  <c r="Q9893" i="2"/>
  <c r="Q9889" i="2"/>
  <c r="Q9885" i="2"/>
  <c r="Q9881" i="2"/>
  <c r="Q9877" i="2"/>
  <c r="Q9873" i="2"/>
  <c r="Q9869" i="2"/>
  <c r="Q9865" i="2"/>
  <c r="Q9861" i="2"/>
  <c r="Q9857" i="2"/>
  <c r="Q9853" i="2"/>
  <c r="Q9849" i="2"/>
  <c r="Q9845" i="2"/>
  <c r="Q9841" i="2"/>
  <c r="Q9837" i="2"/>
  <c r="Q9833" i="2"/>
  <c r="Q9829" i="2"/>
  <c r="Q9825" i="2"/>
  <c r="Q9821" i="2"/>
  <c r="Q9817" i="2"/>
  <c r="Q9813" i="2"/>
  <c r="Q9809" i="2"/>
  <c r="Q9805" i="2"/>
  <c r="Q9801" i="2"/>
  <c r="Q9797" i="2"/>
  <c r="Q9793" i="2"/>
  <c r="Q9789" i="2"/>
  <c r="Q9785" i="2"/>
  <c r="Q9781" i="2"/>
  <c r="Q9777" i="2"/>
  <c r="Q9773" i="2"/>
  <c r="Q9769" i="2"/>
  <c r="Q9765" i="2"/>
  <c r="Q9761" i="2"/>
  <c r="Q9757" i="2"/>
  <c r="Q9753" i="2"/>
  <c r="Q9749" i="2"/>
  <c r="Q9745" i="2"/>
  <c r="Q9741" i="2"/>
  <c r="Q9737" i="2"/>
  <c r="Q9733" i="2"/>
  <c r="Q9729" i="2"/>
  <c r="Q9725" i="2"/>
  <c r="Q9721" i="2"/>
  <c r="Q9717" i="2"/>
  <c r="Q9713" i="2"/>
  <c r="Q9709" i="2"/>
  <c r="Q9705" i="2"/>
  <c r="Q9701" i="2"/>
  <c r="Q9697" i="2"/>
  <c r="Q9693" i="2"/>
  <c r="Q9689" i="2"/>
  <c r="Q9685" i="2"/>
  <c r="Q9681" i="2"/>
  <c r="Q9677" i="2"/>
  <c r="Q9673" i="2"/>
  <c r="Q9669" i="2"/>
  <c r="Q9665" i="2"/>
  <c r="Q9661" i="2"/>
  <c r="Q9657" i="2"/>
  <c r="Q9653" i="2"/>
  <c r="Q9649" i="2"/>
  <c r="Q9645" i="2"/>
  <c r="Q9641" i="2"/>
  <c r="Q9637" i="2"/>
  <c r="Q9633" i="2"/>
  <c r="Q9629" i="2"/>
  <c r="Q9625" i="2"/>
  <c r="Q9621" i="2"/>
  <c r="Q9617" i="2"/>
  <c r="Q9613" i="2"/>
  <c r="Q9609" i="2"/>
  <c r="Q9605" i="2"/>
  <c r="Q9601" i="2"/>
  <c r="Q9597" i="2"/>
  <c r="Q9593" i="2"/>
  <c r="Q9589" i="2"/>
  <c r="Q9585" i="2"/>
  <c r="Q9581" i="2"/>
  <c r="Q9577" i="2"/>
  <c r="Q9573" i="2"/>
  <c r="Q9569" i="2"/>
  <c r="Q9565" i="2"/>
  <c r="Q9561" i="2"/>
  <c r="Q9557" i="2"/>
  <c r="Q9553" i="2"/>
  <c r="Q9549" i="2"/>
  <c r="Q9545" i="2"/>
  <c r="Q9541" i="2"/>
  <c r="Q9537" i="2"/>
  <c r="Q9533" i="2"/>
  <c r="Q9529" i="2"/>
  <c r="Q9525" i="2"/>
  <c r="Q9521" i="2"/>
  <c r="Q9517" i="2"/>
  <c r="Q9513" i="2"/>
  <c r="Q9509" i="2"/>
  <c r="Q9505" i="2"/>
  <c r="Q9501" i="2"/>
  <c r="Q9497" i="2"/>
  <c r="Q9493" i="2"/>
  <c r="Q9489" i="2"/>
  <c r="Q9485" i="2"/>
  <c r="Q9481" i="2"/>
  <c r="Q9477" i="2"/>
  <c r="Q9473" i="2"/>
  <c r="Q9469" i="2"/>
  <c r="Q9465" i="2"/>
  <c r="Q9461" i="2"/>
  <c r="Q9457" i="2"/>
  <c r="Q9453" i="2"/>
  <c r="Q9449" i="2"/>
  <c r="Q9445" i="2"/>
  <c r="Q9441" i="2"/>
  <c r="Q9437" i="2"/>
  <c r="Q9433" i="2"/>
  <c r="Q9429" i="2"/>
  <c r="Q9425" i="2"/>
  <c r="Q9421" i="2"/>
  <c r="Q9417" i="2"/>
  <c r="Q9413" i="2"/>
  <c r="Q9409" i="2"/>
  <c r="Q9405" i="2"/>
  <c r="Q9401" i="2"/>
  <c r="Q9397" i="2"/>
  <c r="Q9393" i="2"/>
  <c r="Q9389" i="2"/>
  <c r="Q9385" i="2"/>
  <c r="Q9381" i="2"/>
  <c r="Q9377" i="2"/>
  <c r="Q9373" i="2"/>
  <c r="Q9369" i="2"/>
  <c r="Q9365" i="2"/>
  <c r="Q9361" i="2"/>
  <c r="Q9357" i="2"/>
  <c r="Q9353" i="2"/>
  <c r="Q9349" i="2"/>
  <c r="Q9345" i="2"/>
  <c r="Q9341" i="2"/>
  <c r="Q9337" i="2"/>
  <c r="Q9333" i="2"/>
  <c r="Q9329" i="2"/>
  <c r="Q9325" i="2"/>
  <c r="Q9321" i="2"/>
  <c r="Q9317" i="2"/>
  <c r="Q9313" i="2"/>
  <c r="Q9309" i="2"/>
  <c r="Q9305" i="2"/>
  <c r="Q9301" i="2"/>
  <c r="Q9297" i="2"/>
  <c r="Q9293" i="2"/>
  <c r="Q9289" i="2"/>
  <c r="Q9285" i="2"/>
  <c r="Q9281" i="2"/>
  <c r="Q9277" i="2"/>
  <c r="Q9273" i="2"/>
  <c r="Q9269" i="2"/>
  <c r="Q9265" i="2"/>
  <c r="Q9261" i="2"/>
  <c r="Q9257" i="2"/>
  <c r="Q9253" i="2"/>
  <c r="Q9249" i="2"/>
  <c r="Q9245" i="2"/>
  <c r="Q9241" i="2"/>
  <c r="Q9237" i="2"/>
  <c r="Q9233" i="2"/>
  <c r="Q9229" i="2"/>
  <c r="Q9225" i="2"/>
  <c r="Q9221" i="2"/>
  <c r="Q9217" i="2"/>
  <c r="Q9213" i="2"/>
  <c r="Q9209" i="2"/>
  <c r="Q9205" i="2"/>
  <c r="Q9201" i="2"/>
  <c r="Q9197" i="2"/>
  <c r="Q9193" i="2"/>
  <c r="Q9189" i="2"/>
  <c r="Q9185" i="2"/>
  <c r="Q9181" i="2"/>
  <c r="Q9177" i="2"/>
  <c r="Q9173" i="2"/>
  <c r="Q9169" i="2"/>
  <c r="Q9165" i="2"/>
  <c r="Q9161" i="2"/>
  <c r="Q9157" i="2"/>
  <c r="Q9153" i="2"/>
  <c r="Q9149" i="2"/>
  <c r="Q9145" i="2"/>
  <c r="Q9141" i="2"/>
  <c r="Q9137" i="2"/>
  <c r="Q9133" i="2"/>
  <c r="Q9129" i="2"/>
  <c r="Q9125" i="2"/>
  <c r="Q9121" i="2"/>
  <c r="Q9117" i="2"/>
  <c r="Q9113" i="2"/>
  <c r="Q9109" i="2"/>
  <c r="Q9105" i="2"/>
  <c r="Q9101" i="2"/>
  <c r="Q9097" i="2"/>
  <c r="Q9093" i="2"/>
  <c r="Q9089" i="2"/>
  <c r="Q9085" i="2"/>
  <c r="Q9081" i="2"/>
  <c r="Q9077" i="2"/>
  <c r="Q9073" i="2"/>
  <c r="Q9069" i="2"/>
  <c r="Q9065" i="2"/>
  <c r="Q9061" i="2"/>
  <c r="Q9057" i="2"/>
  <c r="Q9053" i="2"/>
  <c r="Q9049" i="2"/>
  <c r="Q9045" i="2"/>
  <c r="Q9041" i="2"/>
  <c r="Q9037" i="2"/>
  <c r="Q9033" i="2"/>
  <c r="Q9029" i="2"/>
  <c r="Q9025" i="2"/>
  <c r="Q9021" i="2"/>
  <c r="Q9017" i="2"/>
  <c r="Q9013" i="2"/>
  <c r="Q9009" i="2"/>
  <c r="Q9005" i="2"/>
  <c r="Q9001" i="2"/>
  <c r="Q8997" i="2"/>
  <c r="Q8993" i="2"/>
  <c r="Q8989" i="2"/>
  <c r="Q8985" i="2"/>
  <c r="Q8981" i="2"/>
  <c r="Q8977" i="2"/>
  <c r="Q8973" i="2"/>
  <c r="Q8969" i="2"/>
  <c r="Q8965" i="2"/>
  <c r="Q8961" i="2"/>
  <c r="Q8957" i="2"/>
  <c r="Q8953" i="2"/>
  <c r="Q8949" i="2"/>
  <c r="Q8945" i="2"/>
  <c r="Q8941" i="2"/>
  <c r="Q8937" i="2"/>
  <c r="Q8933" i="2"/>
  <c r="Q8929" i="2"/>
  <c r="Q8925" i="2"/>
  <c r="Q8921" i="2"/>
  <c r="Q8917" i="2"/>
  <c r="Q8913" i="2"/>
  <c r="Q8909" i="2"/>
  <c r="Q8905" i="2"/>
  <c r="Q8901" i="2"/>
  <c r="Q8897" i="2"/>
  <c r="Q8893" i="2"/>
  <c r="Q8889" i="2"/>
  <c r="Q8885" i="2"/>
  <c r="Q8881" i="2"/>
  <c r="Q8877" i="2"/>
  <c r="Q8873" i="2"/>
  <c r="Q8869" i="2"/>
  <c r="Q8865" i="2"/>
  <c r="Q8861" i="2"/>
  <c r="Q8857" i="2"/>
  <c r="Q8853" i="2"/>
  <c r="Q8849" i="2"/>
  <c r="Q8845" i="2"/>
  <c r="Q8841" i="2"/>
  <c r="Q8837" i="2"/>
  <c r="Q8833" i="2"/>
  <c r="Q8829" i="2"/>
  <c r="Q8825" i="2"/>
  <c r="Q8821" i="2"/>
  <c r="Q8817" i="2"/>
  <c r="Q8813" i="2"/>
  <c r="Q8809" i="2"/>
  <c r="Q8805" i="2"/>
  <c r="Q8801" i="2"/>
  <c r="Q8797" i="2"/>
  <c r="Q8793" i="2"/>
  <c r="Q8789" i="2"/>
  <c r="Q8785" i="2"/>
  <c r="Q8781" i="2"/>
  <c r="Q8777" i="2"/>
  <c r="Q8773" i="2"/>
  <c r="Q8769" i="2"/>
  <c r="Q8765" i="2"/>
  <c r="Q8761" i="2"/>
  <c r="Q8757" i="2"/>
  <c r="Q8753" i="2"/>
  <c r="Q8749" i="2"/>
  <c r="Q8745" i="2"/>
  <c r="Q8741" i="2"/>
  <c r="Q8737" i="2"/>
  <c r="Q8733" i="2"/>
  <c r="Q8729" i="2"/>
  <c r="Q8725" i="2"/>
  <c r="Q8721" i="2"/>
  <c r="Q8717" i="2"/>
  <c r="Q8713" i="2"/>
  <c r="Q8709" i="2"/>
  <c r="Q8705" i="2"/>
  <c r="Q8701" i="2"/>
  <c r="Q8697" i="2"/>
  <c r="Q8693" i="2"/>
  <c r="Q8689" i="2"/>
  <c r="Q8685" i="2"/>
  <c r="Q8681" i="2"/>
  <c r="Q8677" i="2"/>
  <c r="Q8673" i="2"/>
  <c r="Q8669" i="2"/>
  <c r="Q8665" i="2"/>
  <c r="Q8661" i="2"/>
  <c r="Q8657" i="2"/>
  <c r="Q8653" i="2"/>
  <c r="Q8649" i="2"/>
  <c r="Q8645" i="2"/>
  <c r="Q8641" i="2"/>
  <c r="Q8637" i="2"/>
  <c r="Q8633" i="2"/>
  <c r="Q8629" i="2"/>
  <c r="Q8625" i="2"/>
  <c r="Q8621" i="2"/>
  <c r="Q8617" i="2"/>
  <c r="Q8613" i="2"/>
  <c r="Q8609" i="2"/>
  <c r="Q8605" i="2"/>
  <c r="Q8601" i="2"/>
  <c r="Q8597" i="2"/>
  <c r="Q8593" i="2"/>
  <c r="Q8589" i="2"/>
  <c r="Q8585" i="2"/>
  <c r="Q8581" i="2"/>
  <c r="Q8577" i="2"/>
  <c r="Q8573" i="2"/>
  <c r="Q8569" i="2"/>
  <c r="Q8565" i="2"/>
  <c r="Q8561" i="2"/>
  <c r="Q8557" i="2"/>
  <c r="Q8553" i="2"/>
  <c r="Q8549" i="2"/>
  <c r="Q8545" i="2"/>
  <c r="Q8541" i="2"/>
  <c r="Q8537" i="2"/>
  <c r="Q8533" i="2"/>
  <c r="Q8529" i="2"/>
  <c r="Q8525" i="2"/>
  <c r="Q8521" i="2"/>
  <c r="Q8517" i="2"/>
  <c r="Q8513" i="2"/>
  <c r="Q8509" i="2"/>
  <c r="Q8505" i="2"/>
  <c r="Q8501" i="2"/>
  <c r="Q8497" i="2"/>
  <c r="Q8493" i="2"/>
  <c r="Q8489" i="2"/>
  <c r="Q8485" i="2"/>
  <c r="Q8481" i="2"/>
  <c r="Q8477" i="2"/>
  <c r="Q8473" i="2"/>
  <c r="Q8469" i="2"/>
  <c r="Q8465" i="2"/>
  <c r="Q8461" i="2"/>
  <c r="Q8457" i="2"/>
  <c r="Q8453" i="2"/>
  <c r="Q8449" i="2"/>
  <c r="Q8445" i="2"/>
  <c r="Q8441" i="2"/>
  <c r="Q8437" i="2"/>
  <c r="Q8433" i="2"/>
  <c r="Q8429" i="2"/>
  <c r="Q8425" i="2"/>
  <c r="Q8421" i="2"/>
  <c r="Q8417" i="2"/>
  <c r="Q8413" i="2"/>
  <c r="Q8409" i="2"/>
  <c r="Q8405" i="2"/>
  <c r="Q8401" i="2"/>
  <c r="Q8397" i="2"/>
  <c r="Q8393" i="2"/>
  <c r="Q8389" i="2"/>
  <c r="Q8385" i="2"/>
  <c r="Q8381" i="2"/>
  <c r="Q8377" i="2"/>
  <c r="Q8373" i="2"/>
  <c r="Q8369" i="2"/>
  <c r="Q8365" i="2"/>
  <c r="Q8361" i="2"/>
  <c r="Q8357" i="2"/>
  <c r="Q8353" i="2"/>
  <c r="Q8349" i="2"/>
  <c r="Q8345" i="2"/>
  <c r="Q8341" i="2"/>
  <c r="Q8337" i="2"/>
  <c r="Q8333" i="2"/>
  <c r="Q8329" i="2"/>
  <c r="Q8325" i="2"/>
  <c r="Q8321" i="2"/>
  <c r="Q8317" i="2"/>
  <c r="Q8313" i="2"/>
  <c r="Q8309" i="2"/>
  <c r="Q8305" i="2"/>
  <c r="Q8301" i="2"/>
  <c r="Q8297" i="2"/>
  <c r="Q8293" i="2"/>
  <c r="Q8289" i="2"/>
  <c r="Q8285" i="2"/>
  <c r="Q8281" i="2"/>
  <c r="Q8277" i="2"/>
  <c r="Q8273" i="2"/>
  <c r="Q8269" i="2"/>
  <c r="Q8265" i="2"/>
  <c r="Q8261" i="2"/>
  <c r="Q8257" i="2"/>
  <c r="Q8253" i="2"/>
  <c r="Q8249" i="2"/>
  <c r="Q8245" i="2"/>
  <c r="Q8241" i="2"/>
  <c r="Q8237" i="2"/>
  <c r="Q8233" i="2"/>
  <c r="Q8229" i="2"/>
  <c r="Q8225" i="2"/>
  <c r="Q8221" i="2"/>
  <c r="Q8217" i="2"/>
  <c r="Q8213" i="2"/>
  <c r="Q8209" i="2"/>
  <c r="Q8205" i="2"/>
  <c r="Q8201" i="2"/>
  <c r="Q8197" i="2"/>
  <c r="Q8193" i="2"/>
  <c r="Q8189" i="2"/>
  <c r="Q8185" i="2"/>
  <c r="Q8181" i="2"/>
  <c r="Q8177" i="2"/>
  <c r="Q8173" i="2"/>
  <c r="Q8169" i="2"/>
  <c r="Q8165" i="2"/>
  <c r="Q8161" i="2"/>
  <c r="Q8157" i="2"/>
  <c r="Q8153" i="2"/>
  <c r="Q10000" i="2"/>
  <c r="Q9996" i="2"/>
  <c r="Q9992" i="2"/>
  <c r="Q9988" i="2"/>
  <c r="Q9984" i="2"/>
  <c r="Q9980" i="2"/>
  <c r="Q9976" i="2"/>
  <c r="Q9972" i="2"/>
  <c r="Q9968" i="2"/>
  <c r="Q9964" i="2"/>
  <c r="Q9960" i="2"/>
  <c r="Q9956" i="2"/>
  <c r="Q9952" i="2"/>
  <c r="Q9948" i="2"/>
  <c r="Q9944" i="2"/>
  <c r="Q9940" i="2"/>
  <c r="Q9936" i="2"/>
  <c r="Q9932" i="2"/>
  <c r="Q9928" i="2"/>
  <c r="Q9924" i="2"/>
  <c r="Q9920" i="2"/>
  <c r="Q9916" i="2"/>
  <c r="Q9912" i="2"/>
  <c r="Q9908" i="2"/>
  <c r="Q9904" i="2"/>
  <c r="Q9900" i="2"/>
  <c r="Q9896" i="2"/>
  <c r="Q9892" i="2"/>
  <c r="Q9888" i="2"/>
  <c r="Q9884" i="2"/>
  <c r="Q9880" i="2"/>
  <c r="Q9876" i="2"/>
  <c r="Q9872" i="2"/>
  <c r="Q9868" i="2"/>
  <c r="Q9864" i="2"/>
  <c r="Q9860" i="2"/>
  <c r="Q9856" i="2"/>
  <c r="Q9852" i="2"/>
  <c r="Q9848" i="2"/>
  <c r="Q9844" i="2"/>
  <c r="Q9840" i="2"/>
  <c r="Q9836" i="2"/>
  <c r="Q9832" i="2"/>
  <c r="Q9828" i="2"/>
  <c r="Q9824" i="2"/>
  <c r="Q9820" i="2"/>
  <c r="Q9816" i="2"/>
  <c r="Q9812" i="2"/>
  <c r="Q9808" i="2"/>
  <c r="Q9804" i="2"/>
  <c r="Q9800" i="2"/>
  <c r="Q9796" i="2"/>
  <c r="Q9792" i="2"/>
  <c r="Q9788" i="2"/>
  <c r="Q9784" i="2"/>
  <c r="Q9780" i="2"/>
  <c r="Q9776" i="2"/>
  <c r="Q9772" i="2"/>
  <c r="Q9768" i="2"/>
  <c r="Q9764" i="2"/>
  <c r="Q9760" i="2"/>
  <c r="Q9756" i="2"/>
  <c r="Q9752" i="2"/>
  <c r="Q9748" i="2"/>
  <c r="Q9744" i="2"/>
  <c r="Q9740" i="2"/>
  <c r="Q9736" i="2"/>
  <c r="Q9732" i="2"/>
  <c r="Q9728" i="2"/>
  <c r="Q9724" i="2"/>
  <c r="Q9720" i="2"/>
  <c r="Q9716" i="2"/>
  <c r="Q9712" i="2"/>
  <c r="Q9708" i="2"/>
  <c r="Q9704" i="2"/>
  <c r="Q9700" i="2"/>
  <c r="Q9696" i="2"/>
  <c r="Q9692" i="2"/>
  <c r="Q9688" i="2"/>
  <c r="Q9684" i="2"/>
  <c r="Q9680" i="2"/>
  <c r="Q9676" i="2"/>
  <c r="Q9672" i="2"/>
  <c r="Q9668" i="2"/>
  <c r="Q9664" i="2"/>
  <c r="Q9660" i="2"/>
  <c r="Q9656" i="2"/>
  <c r="Q9652" i="2"/>
  <c r="Q9648" i="2"/>
  <c r="Q9644" i="2"/>
  <c r="Q9640" i="2"/>
  <c r="Q9636" i="2"/>
  <c r="Q9632" i="2"/>
  <c r="Q9628" i="2"/>
  <c r="Q9624" i="2"/>
  <c r="Q9620" i="2"/>
  <c r="Q9616" i="2"/>
  <c r="Q9612" i="2"/>
  <c r="Q9608" i="2"/>
  <c r="Q9604" i="2"/>
  <c r="Q9600" i="2"/>
  <c r="Q9596" i="2"/>
  <c r="Q9592" i="2"/>
  <c r="Q9588" i="2"/>
  <c r="Q9584" i="2"/>
  <c r="Q9580" i="2"/>
  <c r="Q9576" i="2"/>
  <c r="Q9572" i="2"/>
  <c r="Q9568" i="2"/>
  <c r="Q9564" i="2"/>
  <c r="Q9560" i="2"/>
  <c r="Q9556" i="2"/>
  <c r="Q9552" i="2"/>
  <c r="Q9548" i="2"/>
  <c r="Q9544" i="2"/>
  <c r="Q9540" i="2"/>
  <c r="Q9536" i="2"/>
  <c r="Q9532" i="2"/>
  <c r="Q9528" i="2"/>
  <c r="Q9524" i="2"/>
  <c r="Q9520" i="2"/>
  <c r="Q9516" i="2"/>
  <c r="Q9512" i="2"/>
  <c r="Q9508" i="2"/>
  <c r="Q9504" i="2"/>
  <c r="Q9500" i="2"/>
  <c r="Q9496" i="2"/>
  <c r="Q9492" i="2"/>
  <c r="Q9488" i="2"/>
  <c r="Q9484" i="2"/>
  <c r="Q9480" i="2"/>
  <c r="Q9476" i="2"/>
  <c r="Q9472" i="2"/>
  <c r="Q9468" i="2"/>
  <c r="Q9464" i="2"/>
  <c r="Q9460" i="2"/>
  <c r="Q9456" i="2"/>
  <c r="Q9452" i="2"/>
  <c r="Q9448" i="2"/>
  <c r="Q9444" i="2"/>
  <c r="Q9440" i="2"/>
  <c r="Q9436" i="2"/>
  <c r="Q9432" i="2"/>
  <c r="Q9428" i="2"/>
  <c r="Q9424" i="2"/>
  <c r="Q9420" i="2"/>
  <c r="Q9416" i="2"/>
  <c r="Q9412" i="2"/>
  <c r="Q9408" i="2"/>
  <c r="Q9404" i="2"/>
  <c r="Q9400" i="2"/>
  <c r="Q9396" i="2"/>
  <c r="Q9392" i="2"/>
  <c r="Q9388" i="2"/>
  <c r="Q9384" i="2"/>
  <c r="Q9380" i="2"/>
  <c r="Q9376" i="2"/>
  <c r="Q9372" i="2"/>
  <c r="Q9368" i="2"/>
  <c r="Q9364" i="2"/>
  <c r="Q9360" i="2"/>
  <c r="Q9356" i="2"/>
  <c r="Q9352" i="2"/>
  <c r="Q9348" i="2"/>
  <c r="Q9344" i="2"/>
  <c r="Q9340" i="2"/>
  <c r="Q9336" i="2"/>
  <c r="Q9332" i="2"/>
  <c r="Q9328" i="2"/>
  <c r="Q9324" i="2"/>
  <c r="Q9320" i="2"/>
  <c r="Q9316" i="2"/>
  <c r="Q9312" i="2"/>
  <c r="Q9308" i="2"/>
  <c r="Q9304" i="2"/>
  <c r="Q9300" i="2"/>
  <c r="Q9296" i="2"/>
  <c r="Q9292" i="2"/>
  <c r="Q9288" i="2"/>
  <c r="Q9284" i="2"/>
  <c r="Q9280" i="2"/>
  <c r="Q9276" i="2"/>
  <c r="Q9272" i="2"/>
  <c r="Q9268" i="2"/>
  <c r="Q9264" i="2"/>
  <c r="Q9260" i="2"/>
  <c r="Q9256" i="2"/>
  <c r="Q9252" i="2"/>
  <c r="Q9248" i="2"/>
  <c r="Q9244" i="2"/>
  <c r="Q9240" i="2"/>
  <c r="Q9236" i="2"/>
  <c r="Q9232" i="2"/>
  <c r="Q9228" i="2"/>
  <c r="Q9224" i="2"/>
  <c r="Q9220" i="2"/>
  <c r="Q9216" i="2"/>
  <c r="Q9212" i="2"/>
  <c r="Q9208" i="2"/>
  <c r="Q9204" i="2"/>
  <c r="Q9200" i="2"/>
  <c r="Q9196" i="2"/>
  <c r="Q9192" i="2"/>
  <c r="Q9188" i="2"/>
  <c r="Q9184" i="2"/>
  <c r="Q9180" i="2"/>
  <c r="Q9176" i="2"/>
  <c r="Q9172" i="2"/>
  <c r="Q9168" i="2"/>
  <c r="Q9164" i="2"/>
  <c r="Q9160" i="2"/>
  <c r="Q9156" i="2"/>
  <c r="Q9152" i="2"/>
  <c r="Q9148" i="2"/>
  <c r="Q9144" i="2"/>
  <c r="Q9140" i="2"/>
  <c r="Q9136" i="2"/>
  <c r="Q9132" i="2"/>
  <c r="Q9128" i="2"/>
  <c r="Q9124" i="2"/>
  <c r="Q9120" i="2"/>
  <c r="Q9116" i="2"/>
  <c r="Q9112" i="2"/>
  <c r="Q9108" i="2"/>
  <c r="Q9104" i="2"/>
  <c r="Q9100" i="2"/>
  <c r="Q9096" i="2"/>
  <c r="Q9092" i="2"/>
  <c r="Q9088" i="2"/>
  <c r="Q9084" i="2"/>
  <c r="Q9080" i="2"/>
  <c r="Q9076" i="2"/>
  <c r="Q9072" i="2"/>
  <c r="Q9068" i="2"/>
  <c r="Q9064" i="2"/>
  <c r="Q9060" i="2"/>
  <c r="Q9056" i="2"/>
  <c r="Q9052" i="2"/>
  <c r="Q9048" i="2"/>
  <c r="Q9044" i="2"/>
  <c r="Q9040" i="2"/>
  <c r="Q9036" i="2"/>
  <c r="Q9032" i="2"/>
  <c r="Q9028" i="2"/>
  <c r="Q9024" i="2"/>
  <c r="Q9020" i="2"/>
  <c r="Q9016" i="2"/>
  <c r="Q9012" i="2"/>
  <c r="Q9008" i="2"/>
  <c r="Q9004" i="2"/>
  <c r="Q9000" i="2"/>
  <c r="Q8996" i="2"/>
  <c r="Q8992" i="2"/>
  <c r="Q8988" i="2"/>
  <c r="Q8984" i="2"/>
  <c r="Q8980" i="2"/>
  <c r="Q8976" i="2"/>
  <c r="Q8972" i="2"/>
  <c r="Q8968" i="2"/>
  <c r="Q8964" i="2"/>
  <c r="Q8960" i="2"/>
  <c r="Q8956" i="2"/>
  <c r="Q8952" i="2"/>
  <c r="Q8948" i="2"/>
  <c r="Q8944" i="2"/>
  <c r="Q8940" i="2"/>
  <c r="Q8936" i="2"/>
  <c r="Q8932" i="2"/>
  <c r="Q8928" i="2"/>
  <c r="Q8924" i="2"/>
  <c r="Q8920" i="2"/>
  <c r="Q8916" i="2"/>
  <c r="Q8912" i="2"/>
  <c r="Q8908" i="2"/>
  <c r="Q8904" i="2"/>
  <c r="Q8900" i="2"/>
  <c r="Q8896" i="2"/>
  <c r="Q8892" i="2"/>
  <c r="Q8888" i="2"/>
  <c r="Q8884" i="2"/>
  <c r="Q8880" i="2"/>
  <c r="Q8876" i="2"/>
  <c r="Q8872" i="2"/>
  <c r="Q8868" i="2"/>
  <c r="Q8864" i="2"/>
  <c r="Q8860" i="2"/>
  <c r="Q8856" i="2"/>
  <c r="Q8852" i="2"/>
  <c r="Q8848" i="2"/>
  <c r="Q8844" i="2"/>
  <c r="Q8840" i="2"/>
  <c r="Q8836" i="2"/>
  <c r="Q8832" i="2"/>
  <c r="Q8828" i="2"/>
  <c r="Q8824" i="2"/>
  <c r="Q8820" i="2"/>
  <c r="Q8816" i="2"/>
  <c r="Q8812" i="2"/>
  <c r="Q8808" i="2"/>
  <c r="Q8804" i="2"/>
  <c r="Q8800" i="2"/>
  <c r="Q8796" i="2"/>
  <c r="Q8792" i="2"/>
  <c r="Q8788" i="2"/>
  <c r="Q8784" i="2"/>
  <c r="Q8780" i="2"/>
  <c r="Q8776" i="2"/>
  <c r="Q8772" i="2"/>
  <c r="Q8768" i="2"/>
  <c r="Q8764" i="2"/>
  <c r="Q8760" i="2"/>
  <c r="Q8756" i="2"/>
  <c r="Q8752" i="2"/>
  <c r="Q8748" i="2"/>
  <c r="Q8744" i="2"/>
  <c r="Q8740" i="2"/>
  <c r="Q8736" i="2"/>
  <c r="Q8732" i="2"/>
  <c r="Q8728" i="2"/>
  <c r="Q8724" i="2"/>
  <c r="Q8720" i="2"/>
  <c r="Q8716" i="2"/>
  <c r="Q8712" i="2"/>
  <c r="Q8708" i="2"/>
  <c r="Q8704" i="2"/>
  <c r="Q8700" i="2"/>
  <c r="Q8696" i="2"/>
  <c r="Q8692" i="2"/>
  <c r="Q8688" i="2"/>
  <c r="Q8684" i="2"/>
  <c r="Q8680" i="2"/>
  <c r="Q8676" i="2"/>
  <c r="Q8672" i="2"/>
  <c r="Q8668" i="2"/>
  <c r="Q8664" i="2"/>
  <c r="Q8660" i="2"/>
  <c r="Q8656" i="2"/>
  <c r="Q8652" i="2"/>
  <c r="Q8648" i="2"/>
  <c r="Q8644" i="2"/>
  <c r="Q8640" i="2"/>
  <c r="Q8636" i="2"/>
  <c r="Q8632" i="2"/>
  <c r="Q8628" i="2"/>
  <c r="Q8624" i="2"/>
  <c r="Q8620" i="2"/>
  <c r="Q8616" i="2"/>
  <c r="Q8612" i="2"/>
  <c r="Q8608" i="2"/>
  <c r="Q8604" i="2"/>
  <c r="Q8600" i="2"/>
  <c r="Q8596" i="2"/>
  <c r="Q8592" i="2"/>
  <c r="Q8588" i="2"/>
  <c r="Q8584" i="2"/>
  <c r="Q8580" i="2"/>
  <c r="Q8576" i="2"/>
  <c r="Q8572" i="2"/>
  <c r="Q8568" i="2"/>
  <c r="Q8564" i="2"/>
  <c r="Q8560" i="2"/>
  <c r="Q8556" i="2"/>
  <c r="Q8552" i="2"/>
  <c r="Q8548" i="2"/>
  <c r="Q8544" i="2"/>
  <c r="Q8540" i="2"/>
  <c r="Q8536" i="2"/>
  <c r="Q8532" i="2"/>
  <c r="Q8528" i="2"/>
  <c r="Q8524" i="2"/>
  <c r="Q8520" i="2"/>
  <c r="Q8516" i="2"/>
  <c r="Q8512" i="2"/>
  <c r="Q8508" i="2"/>
  <c r="Q8504" i="2"/>
  <c r="Q8500" i="2"/>
  <c r="Q8496" i="2"/>
  <c r="Q8492" i="2"/>
  <c r="Q8488" i="2"/>
  <c r="Q8484" i="2"/>
  <c r="Q8480" i="2"/>
  <c r="Q8476" i="2"/>
  <c r="Q8472" i="2"/>
  <c r="Q8468" i="2"/>
  <c r="Q8464" i="2"/>
  <c r="Q8460" i="2"/>
  <c r="Q8456" i="2"/>
  <c r="Q8452" i="2"/>
  <c r="Q8448" i="2"/>
  <c r="Q8444" i="2"/>
  <c r="Q8440" i="2"/>
  <c r="Q8436" i="2"/>
  <c r="Q8432" i="2"/>
  <c r="Q8428" i="2"/>
  <c r="Q8424" i="2"/>
  <c r="Q8420" i="2"/>
  <c r="Q8416" i="2"/>
  <c r="Q8412" i="2"/>
  <c r="Q8408" i="2"/>
  <c r="Q8404" i="2"/>
  <c r="Q8400" i="2"/>
  <c r="Q8396" i="2"/>
  <c r="Q8392" i="2"/>
  <c r="Q8388" i="2"/>
  <c r="Q8384" i="2"/>
  <c r="Q8380" i="2"/>
  <c r="Q8376" i="2"/>
  <c r="Q8372" i="2"/>
  <c r="Q8368" i="2"/>
  <c r="Q8364" i="2"/>
  <c r="Q8360" i="2"/>
  <c r="Q8356" i="2"/>
  <c r="Q8352" i="2"/>
  <c r="Q8348" i="2"/>
  <c r="Q8344" i="2"/>
  <c r="Q8340" i="2"/>
  <c r="Q8336" i="2"/>
  <c r="Q8332" i="2"/>
  <c r="Q8328" i="2"/>
  <c r="Q8324" i="2"/>
  <c r="Q8320" i="2"/>
  <c r="Q8316" i="2"/>
  <c r="Q8312" i="2"/>
  <c r="Q8308" i="2"/>
  <c r="Q8304" i="2"/>
  <c r="Q8300" i="2"/>
  <c r="Q8296" i="2"/>
  <c r="Q8292" i="2"/>
  <c r="Q8288" i="2"/>
  <c r="Q8284" i="2"/>
  <c r="Q8280" i="2"/>
  <c r="Q8276" i="2"/>
  <c r="Q8272" i="2"/>
  <c r="Q8268" i="2"/>
  <c r="Q8264" i="2"/>
  <c r="Q8260" i="2"/>
  <c r="Q8256" i="2"/>
  <c r="Q8252" i="2"/>
  <c r="Q8248" i="2"/>
  <c r="Q8244" i="2"/>
  <c r="Q8240" i="2"/>
  <c r="Q8236" i="2"/>
  <c r="Q8232" i="2"/>
  <c r="Q8228" i="2"/>
  <c r="Q8224" i="2"/>
  <c r="Q8220" i="2"/>
  <c r="Q8216" i="2"/>
  <c r="Q8212" i="2"/>
  <c r="Q8208" i="2"/>
  <c r="Q8204" i="2"/>
  <c r="Q8200" i="2"/>
  <c r="Q8196" i="2"/>
  <c r="Q8192" i="2"/>
  <c r="Q8188" i="2"/>
  <c r="Q8184" i="2"/>
  <c r="Q8180" i="2"/>
  <c r="Q8176" i="2"/>
  <c r="Q8172" i="2"/>
  <c r="Q8168" i="2"/>
  <c r="Q8164" i="2"/>
  <c r="Q8160" i="2"/>
  <c r="Q8156" i="2"/>
  <c r="Q8152" i="2"/>
  <c r="Q2" i="2"/>
  <c r="K2" i="2"/>
  <c r="J2" i="2"/>
  <c r="P2" i="2"/>
  <c r="K7289" i="2" l="1"/>
  <c r="K7257" i="2"/>
  <c r="K7249" i="2"/>
  <c r="K7185" i="2"/>
  <c r="K7125" i="2"/>
  <c r="K6853" i="2"/>
  <c r="K6781" i="2"/>
  <c r="K6761" i="2"/>
  <c r="K6733" i="2"/>
  <c r="K6693" i="2"/>
  <c r="K6457" i="2"/>
  <c r="K6325" i="2"/>
  <c r="K6249" i="2"/>
  <c r="K6225" i="2"/>
  <c r="K6221" i="2"/>
  <c r="K6213" i="2"/>
  <c r="K6181" i="2"/>
  <c r="K6141" i="2"/>
  <c r="K5921" i="2"/>
  <c r="K5917" i="2"/>
  <c r="K5913" i="2"/>
  <c r="K5893" i="2"/>
  <c r="K5889" i="2"/>
  <c r="K5873" i="2"/>
  <c r="K5809" i="2"/>
  <c r="K5765" i="2"/>
  <c r="K5745" i="2"/>
  <c r="K5733" i="2"/>
  <c r="K5717" i="2"/>
  <c r="K5681" i="2"/>
  <c r="K5669" i="2"/>
  <c r="K5633" i="2"/>
  <c r="K5629" i="2"/>
  <c r="K5597" i="2"/>
  <c r="K5589" i="2"/>
  <c r="K5577" i="2"/>
  <c r="K5557" i="2"/>
  <c r="K5553" i="2"/>
  <c r="K5537" i="2"/>
  <c r="K5529" i="2"/>
  <c r="K5509" i="2"/>
  <c r="K5505" i="2"/>
  <c r="K5501" i="2"/>
  <c r="K5493" i="2"/>
  <c r="K5489" i="2"/>
  <c r="K5477" i="2"/>
  <c r="K5457" i="2"/>
  <c r="K5453" i="2"/>
  <c r="K5433" i="2"/>
  <c r="K5421" i="2"/>
  <c r="K5417" i="2"/>
  <c r="K5373" i="2"/>
  <c r="K5369" i="2"/>
  <c r="K5361" i="2"/>
  <c r="K5357" i="2"/>
  <c r="K5353" i="2"/>
  <c r="K5349" i="2"/>
  <c r="K5321" i="2"/>
  <c r="K5309" i="2"/>
  <c r="K5301" i="2"/>
  <c r="K5297" i="2"/>
  <c r="K5293" i="2"/>
  <c r="K5285" i="2"/>
  <c r="K5281" i="2"/>
  <c r="K5253" i="2"/>
  <c r="K5249" i="2"/>
  <c r="K5237" i="2"/>
  <c r="K5229" i="2"/>
  <c r="K5221" i="2"/>
  <c r="K5213" i="2"/>
  <c r="K5193" i="2"/>
  <c r="K5169" i="2"/>
  <c r="K5149" i="2"/>
  <c r="K5125" i="2"/>
  <c r="K5121" i="2"/>
  <c r="K5109" i="2"/>
  <c r="K5105" i="2"/>
  <c r="K5089" i="2"/>
  <c r="K5069" i="2"/>
  <c r="K5057" i="2"/>
  <c r="K5037" i="2"/>
  <c r="K5021" i="2"/>
  <c r="K5013" i="2"/>
  <c r="K4993" i="2"/>
  <c r="K4989" i="2"/>
  <c r="K4969" i="2"/>
  <c r="K4965" i="2"/>
  <c r="K4953" i="2"/>
  <c r="K4881" i="2"/>
  <c r="K4849" i="2"/>
  <c r="K4833" i="2"/>
  <c r="K4829" i="2"/>
  <c r="K4805" i="2"/>
  <c r="K4801" i="2"/>
  <c r="K4789" i="2"/>
  <c r="K4785" i="2"/>
  <c r="K4781" i="2"/>
  <c r="K4777" i="2"/>
  <c r="K4773" i="2"/>
  <c r="K4765" i="2"/>
  <c r="K4753" i="2"/>
  <c r="K4749" i="2"/>
  <c r="K4729" i="2"/>
  <c r="K4717" i="2"/>
  <c r="K4689" i="2"/>
  <c r="K4649" i="2"/>
  <c r="K4633" i="2"/>
  <c r="K4617" i="2"/>
  <c r="K4613" i="2"/>
  <c r="K4601" i="2"/>
  <c r="K4557" i="2"/>
  <c r="K4553" i="2"/>
  <c r="K4549" i="2"/>
  <c r="K4545" i="2"/>
  <c r="K4541" i="2"/>
  <c r="K4533" i="2"/>
  <c r="K4529" i="2"/>
  <c r="K4521" i="2"/>
  <c r="K4509" i="2"/>
  <c r="K4493" i="2"/>
  <c r="K4481" i="2"/>
  <c r="K4441" i="2"/>
  <c r="K4433" i="2"/>
  <c r="K4429" i="2"/>
  <c r="K4417" i="2"/>
  <c r="K4413" i="2"/>
  <c r="K4401" i="2"/>
  <c r="K4397" i="2"/>
  <c r="K4377" i="2"/>
  <c r="K4373" i="2"/>
  <c r="K4369" i="2"/>
  <c r="K4309" i="2"/>
  <c r="K4305" i="2"/>
  <c r="K4301" i="2"/>
  <c r="K4297" i="2"/>
  <c r="K4289" i="2"/>
  <c r="K4285" i="2"/>
  <c r="K4277" i="2"/>
  <c r="K4261" i="2"/>
  <c r="K4253" i="2"/>
  <c r="K4249" i="2"/>
  <c r="K4225" i="2"/>
  <c r="K4213" i="2"/>
  <c r="K4201" i="2"/>
  <c r="K4181" i="2"/>
  <c r="K4157" i="2"/>
  <c r="K4149" i="2"/>
  <c r="K4145" i="2"/>
  <c r="K4141" i="2"/>
  <c r="K4137" i="2"/>
  <c r="K4081" i="2"/>
  <c r="K4069" i="2"/>
  <c r="K4045" i="2"/>
  <c r="K4041" i="2"/>
  <c r="K4029" i="2"/>
  <c r="K4017" i="2"/>
  <c r="K4013" i="2"/>
  <c r="K4009" i="2"/>
  <c r="K3993" i="2"/>
  <c r="K3989" i="2"/>
  <c r="K3985" i="2"/>
  <c r="K3977" i="2"/>
  <c r="K3965" i="2"/>
  <c r="K3909" i="2"/>
  <c r="K3885" i="2"/>
  <c r="K3873" i="2"/>
  <c r="K3853" i="2"/>
  <c r="K3849" i="2"/>
  <c r="K3845" i="2"/>
  <c r="K3837" i="2"/>
  <c r="K3829" i="2"/>
  <c r="K3809" i="2"/>
  <c r="K3805" i="2"/>
  <c r="K3789" i="2"/>
  <c r="K3693" i="2"/>
  <c r="K3669" i="2"/>
  <c r="K3649" i="2"/>
  <c r="K3637" i="2"/>
  <c r="K3633" i="2"/>
  <c r="K3629" i="2"/>
  <c r="K3589" i="2"/>
  <c r="K3585" i="2"/>
  <c r="K3573" i="2"/>
  <c r="K3561" i="2"/>
  <c r="K3545" i="2"/>
  <c r="K3525" i="2"/>
  <c r="K3517" i="2"/>
  <c r="K3513" i="2"/>
  <c r="K3509" i="2"/>
  <c r="K3493" i="2"/>
  <c r="K3489" i="2"/>
  <c r="K3473" i="2"/>
  <c r="K3445" i="2"/>
  <c r="K3429" i="2"/>
  <c r="K3425" i="2"/>
  <c r="K3417" i="2"/>
  <c r="K3409" i="2"/>
  <c r="K3385" i="2"/>
  <c r="K3381" i="2"/>
  <c r="K3377" i="2"/>
  <c r="K3365" i="2"/>
  <c r="K3353" i="2"/>
  <c r="K3349" i="2"/>
  <c r="K3341" i="2"/>
  <c r="K3325" i="2"/>
  <c r="K3321" i="2"/>
  <c r="K3293" i="2"/>
  <c r="K3281" i="2"/>
  <c r="K3277" i="2"/>
  <c r="K3253" i="2"/>
  <c r="K3249" i="2"/>
  <c r="K3229" i="2"/>
  <c r="K3221" i="2"/>
  <c r="K3181" i="2"/>
  <c r="K3177" i="2"/>
  <c r="K3145" i="2"/>
  <c r="K3133" i="2"/>
  <c r="K3129" i="2"/>
  <c r="K3125" i="2"/>
  <c r="K3121" i="2"/>
  <c r="K3117" i="2"/>
  <c r="K3089" i="2"/>
  <c r="K3085" i="2"/>
  <c r="K3029" i="2"/>
  <c r="K3021" i="2"/>
  <c r="K2961" i="2"/>
  <c r="K2957" i="2"/>
  <c r="K2953" i="2"/>
  <c r="K2905" i="2"/>
  <c r="K2893" i="2"/>
  <c r="K2857" i="2"/>
  <c r="K2845" i="2"/>
  <c r="K2841" i="2"/>
  <c r="K2817" i="2"/>
  <c r="K2813" i="2"/>
  <c r="K2761" i="2"/>
  <c r="K2749" i="2"/>
  <c r="K2741" i="2"/>
  <c r="K2725" i="2"/>
  <c r="K2721" i="2"/>
  <c r="K2713" i="2"/>
  <c r="K2709" i="2"/>
  <c r="K2693" i="2"/>
  <c r="K2685" i="2"/>
  <c r="K2609" i="2"/>
  <c r="K2601" i="2"/>
  <c r="K2597" i="2"/>
  <c r="K2573" i="2"/>
  <c r="K2561" i="2"/>
  <c r="K2557" i="2"/>
  <c r="K2545" i="2"/>
  <c r="K2521" i="2"/>
  <c r="K2501" i="2"/>
  <c r="K2497" i="2"/>
  <c r="K2481" i="2"/>
  <c r="K2465" i="2"/>
  <c r="K2453" i="2"/>
  <c r="K2449" i="2"/>
  <c r="K2441" i="2"/>
  <c r="K2369" i="2"/>
  <c r="K2365" i="2"/>
  <c r="K2361" i="2"/>
  <c r="K2349" i="2"/>
  <c r="K2337" i="2"/>
  <c r="K2333" i="2"/>
  <c r="K2329" i="2"/>
  <c r="K2313" i="2"/>
  <c r="K2285" i="2"/>
  <c r="K2273" i="2"/>
  <c r="K2253" i="2"/>
  <c r="K2237" i="2"/>
  <c r="K2233" i="2"/>
  <c r="K2193" i="2"/>
  <c r="K2165" i="2"/>
  <c r="K2153" i="2"/>
  <c r="K2141" i="2"/>
  <c r="K2113" i="2"/>
  <c r="K2109" i="2"/>
  <c r="K2073" i="2"/>
  <c r="K2025" i="2"/>
  <c r="K2017" i="2"/>
  <c r="K1941" i="2"/>
  <c r="K1905" i="2"/>
  <c r="K1893" i="2"/>
  <c r="K1889" i="2"/>
  <c r="K1873" i="2"/>
  <c r="K1861" i="2"/>
  <c r="K1857" i="2"/>
  <c r="K1853" i="2"/>
  <c r="K1845" i="2"/>
  <c r="K1817" i="2"/>
  <c r="K1785" i="2"/>
  <c r="K1745" i="2"/>
  <c r="K1721" i="2"/>
  <c r="K1705" i="2"/>
  <c r="K1697" i="2"/>
  <c r="K1677" i="2"/>
  <c r="K1653" i="2"/>
  <c r="K1629" i="2"/>
  <c r="K1625" i="2"/>
  <c r="K1601" i="2"/>
  <c r="K1593" i="2"/>
  <c r="K1589" i="2"/>
  <c r="K1573" i="2"/>
  <c r="K1553" i="2"/>
  <c r="K1509" i="2"/>
  <c r="K1489" i="2"/>
  <c r="K1477" i="2"/>
  <c r="K1409" i="2"/>
  <c r="K1385" i="2"/>
  <c r="K1381" i="2"/>
  <c r="K1357" i="2"/>
  <c r="K1353" i="2"/>
  <c r="K1341" i="2"/>
  <c r="K1333" i="2"/>
  <c r="K1321" i="2"/>
  <c r="K1293" i="2"/>
  <c r="K1281" i="2"/>
  <c r="K1261" i="2"/>
  <c r="K1257" i="2"/>
  <c r="K1249" i="2"/>
  <c r="K1209" i="2"/>
  <c r="K1205" i="2"/>
  <c r="K1201" i="2"/>
  <c r="K1197" i="2"/>
  <c r="K1181" i="2"/>
  <c r="K1169" i="2"/>
  <c r="K1149" i="2"/>
  <c r="K1145" i="2"/>
  <c r="K1109" i="2"/>
  <c r="K1101" i="2"/>
  <c r="K1005" i="2"/>
  <c r="K993" i="2"/>
  <c r="K989" i="2"/>
  <c r="K981" i="2"/>
  <c r="K973" i="2"/>
  <c r="K949" i="2"/>
  <c r="K945" i="2"/>
  <c r="K933" i="2"/>
  <c r="K925" i="2"/>
  <c r="K873" i="2"/>
  <c r="K865" i="2"/>
  <c r="K861" i="2"/>
  <c r="K853" i="2"/>
  <c r="K845" i="2"/>
  <c r="K825" i="2"/>
  <c r="K809" i="2"/>
  <c r="K801" i="2"/>
  <c r="K797" i="2"/>
  <c r="K789" i="2"/>
  <c r="K785" i="2"/>
  <c r="K757" i="2"/>
  <c r="K745" i="2"/>
  <c r="K741" i="2"/>
  <c r="K737" i="2"/>
  <c r="K725" i="2"/>
  <c r="K685" i="2"/>
  <c r="K665" i="2"/>
  <c r="K657" i="2"/>
  <c r="K645" i="2"/>
  <c r="K641" i="2"/>
  <c r="K629" i="2"/>
  <c r="K609" i="2"/>
  <c r="K605" i="2"/>
  <c r="K573" i="2"/>
  <c r="K569" i="2"/>
  <c r="K565" i="2"/>
  <c r="K529" i="2"/>
  <c r="K525" i="2"/>
  <c r="K521" i="2"/>
  <c r="K517" i="2"/>
  <c r="K501" i="2"/>
  <c r="K481" i="2"/>
  <c r="K477" i="2"/>
  <c r="K425" i="2"/>
  <c r="K417" i="2"/>
  <c r="K357" i="2"/>
  <c r="K345" i="2"/>
  <c r="K337" i="2"/>
  <c r="K321" i="2"/>
  <c r="K317" i="2"/>
  <c r="K289" i="2"/>
  <c r="K273" i="2"/>
  <c r="K257" i="2"/>
  <c r="K245" i="2"/>
  <c r="K221" i="2"/>
  <c r="K185" i="2"/>
  <c r="K181" i="2"/>
  <c r="K173" i="2"/>
  <c r="K157" i="2"/>
  <c r="K149" i="2"/>
  <c r="K125" i="2"/>
  <c r="K121" i="2"/>
  <c r="K117" i="2"/>
  <c r="K105" i="2"/>
  <c r="K101" i="2"/>
  <c r="K97" i="2"/>
  <c r="K29" i="2"/>
  <c r="K9995" i="2"/>
  <c r="K9991" i="2"/>
  <c r="K9987" i="2"/>
  <c r="K9979" i="2"/>
  <c r="K9975" i="2"/>
  <c r="K9971" i="2"/>
  <c r="K9963" i="2"/>
  <c r="K9959" i="2"/>
  <c r="K9955" i="2"/>
  <c r="K9947" i="2"/>
  <c r="K9943" i="2"/>
  <c r="K9939" i="2"/>
  <c r="K9931" i="2"/>
  <c r="K9927" i="2"/>
  <c r="K9923" i="2"/>
  <c r="K9915" i="2"/>
  <c r="K9911" i="2"/>
  <c r="K9907" i="2"/>
  <c r="K9899" i="2"/>
  <c r="K9895" i="2"/>
  <c r="K9891" i="2"/>
  <c r="K9883" i="2"/>
  <c r="K9879" i="2"/>
  <c r="K9875" i="2"/>
  <c r="K9867" i="2"/>
  <c r="K9863" i="2"/>
  <c r="K9859" i="2"/>
  <c r="K9851" i="2"/>
  <c r="K9847" i="2"/>
  <c r="K9843" i="2"/>
  <c r="K9835" i="2"/>
  <c r="K9831" i="2"/>
  <c r="K9827" i="2"/>
  <c r="K9819" i="2"/>
  <c r="K9815" i="2"/>
  <c r="K9811" i="2"/>
  <c r="K9803" i="2"/>
  <c r="K9799" i="2"/>
  <c r="K9795" i="2"/>
  <c r="K9787" i="2"/>
  <c r="K9783" i="2"/>
  <c r="K9779" i="2"/>
  <c r="K9771" i="2"/>
  <c r="K9767" i="2"/>
  <c r="K9763" i="2"/>
  <c r="K9755" i="2"/>
  <c r="K9751" i="2"/>
  <c r="K9747" i="2"/>
  <c r="K9739" i="2"/>
  <c r="K9735" i="2"/>
  <c r="K9731" i="2"/>
  <c r="K9723" i="2"/>
  <c r="K9719" i="2"/>
  <c r="K9715" i="2"/>
  <c r="K9707" i="2"/>
  <c r="K9703" i="2"/>
  <c r="K9699" i="2"/>
  <c r="K9691" i="2"/>
  <c r="K9687" i="2"/>
  <c r="K9683" i="2"/>
  <c r="K9675" i="2"/>
  <c r="K9671" i="2"/>
  <c r="K9667" i="2"/>
  <c r="K9659" i="2"/>
  <c r="K9655" i="2"/>
  <c r="K9651" i="2"/>
  <c r="K9643" i="2"/>
  <c r="K9639" i="2"/>
  <c r="K9635" i="2"/>
  <c r="K9627" i="2"/>
  <c r="K9623" i="2"/>
  <c r="K9619" i="2"/>
  <c r="K9611" i="2"/>
  <c r="K9607" i="2"/>
  <c r="K9603" i="2"/>
  <c r="K9595" i="2"/>
  <c r="K9591" i="2"/>
  <c r="K9587" i="2"/>
  <c r="K9579" i="2"/>
  <c r="K9575" i="2"/>
  <c r="K9571" i="2"/>
  <c r="K9563" i="2"/>
  <c r="K9559" i="2"/>
  <c r="K9555" i="2"/>
  <c r="K9547" i="2"/>
  <c r="K9543" i="2"/>
  <c r="K9539" i="2"/>
  <c r="K9531" i="2"/>
  <c r="K9527" i="2"/>
  <c r="K9523" i="2"/>
  <c r="K9515" i="2"/>
  <c r="K9511" i="2"/>
  <c r="K9507" i="2"/>
  <c r="K9499" i="2"/>
  <c r="K9495" i="2"/>
  <c r="K9491" i="2"/>
  <c r="K9483" i="2"/>
  <c r="K9479" i="2"/>
  <c r="K9475" i="2"/>
  <c r="K9467" i="2"/>
  <c r="K9463" i="2"/>
  <c r="K9459" i="2"/>
  <c r="K9451" i="2"/>
  <c r="K9447" i="2"/>
  <c r="K9443" i="2"/>
  <c r="K9435" i="2"/>
  <c r="K9431" i="2"/>
  <c r="K9427" i="2"/>
  <c r="K9419" i="2"/>
  <c r="K9415" i="2"/>
  <c r="K9411" i="2"/>
  <c r="K9403" i="2"/>
  <c r="K9399" i="2"/>
  <c r="K9395" i="2"/>
  <c r="K9387" i="2"/>
  <c r="K9383" i="2"/>
  <c r="K9379" i="2"/>
  <c r="K9371" i="2"/>
  <c r="K9367" i="2"/>
  <c r="K9363" i="2"/>
  <c r="K9355" i="2"/>
  <c r="K9351" i="2"/>
  <c r="K9347" i="2"/>
  <c r="K9339" i="2"/>
  <c r="K9335" i="2"/>
  <c r="K9331" i="2"/>
  <c r="K9323" i="2"/>
  <c r="K9319" i="2"/>
  <c r="K9315" i="2"/>
  <c r="K9307" i="2"/>
  <c r="K9303" i="2"/>
  <c r="K9299" i="2"/>
  <c r="K9291" i="2"/>
  <c r="K9287" i="2"/>
  <c r="K9283" i="2"/>
  <c r="K9275" i="2"/>
  <c r="K9271" i="2"/>
  <c r="K9267" i="2"/>
  <c r="K9259" i="2"/>
  <c r="K9255" i="2"/>
  <c r="K9251" i="2"/>
  <c r="K9243" i="2"/>
  <c r="K9239" i="2"/>
  <c r="K9235" i="2"/>
  <c r="K9227" i="2"/>
  <c r="K9223" i="2"/>
  <c r="K9219" i="2"/>
  <c r="K9211" i="2"/>
  <c r="K9207" i="2"/>
  <c r="K9203" i="2"/>
  <c r="K9195" i="2"/>
  <c r="K9191" i="2"/>
  <c r="K9187" i="2"/>
  <c r="K9179" i="2"/>
  <c r="K9175" i="2"/>
  <c r="K9171" i="2"/>
  <c r="K9163" i="2"/>
  <c r="K9159" i="2"/>
  <c r="K9155" i="2"/>
  <c r="K9147" i="2"/>
  <c r="K9143" i="2"/>
  <c r="K9139" i="2"/>
  <c r="K9131" i="2"/>
  <c r="K9127" i="2"/>
  <c r="K9123" i="2"/>
  <c r="K9115" i="2"/>
  <c r="K9111" i="2"/>
  <c r="K9107" i="2"/>
  <c r="K9099" i="2"/>
  <c r="K9095" i="2"/>
  <c r="K9091" i="2"/>
  <c r="K9083" i="2"/>
  <c r="K9079" i="2"/>
  <c r="K9075" i="2"/>
  <c r="K9067" i="2"/>
  <c r="K9063" i="2"/>
  <c r="K9059" i="2"/>
  <c r="K9051" i="2"/>
  <c r="K9047" i="2"/>
  <c r="K9043" i="2"/>
  <c r="K9035" i="2"/>
  <c r="K9031" i="2"/>
  <c r="K9027" i="2"/>
  <c r="K9019" i="2"/>
  <c r="K9015" i="2"/>
  <c r="K9011" i="2"/>
  <c r="K9003" i="2"/>
  <c r="K8999" i="2"/>
  <c r="K8995" i="2"/>
  <c r="K8987" i="2"/>
  <c r="K8983" i="2"/>
  <c r="K8979" i="2"/>
  <c r="K8971" i="2"/>
  <c r="K8967" i="2"/>
  <c r="K8963" i="2"/>
  <c r="K8955" i="2"/>
  <c r="K8951" i="2"/>
  <c r="K8947" i="2"/>
  <c r="K8939" i="2"/>
  <c r="K8935" i="2"/>
  <c r="K8931" i="2"/>
  <c r="K8923" i="2"/>
  <c r="K8919" i="2"/>
  <c r="K8915" i="2"/>
  <c r="K8907" i="2"/>
  <c r="K8903" i="2"/>
  <c r="K8899" i="2"/>
  <c r="K8891" i="2"/>
  <c r="K8887" i="2"/>
  <c r="K8883" i="2"/>
  <c r="K8875" i="2"/>
  <c r="K8871" i="2"/>
  <c r="K8867" i="2"/>
  <c r="K8859" i="2"/>
  <c r="K8855" i="2"/>
  <c r="K8851" i="2"/>
  <c r="K8843" i="2"/>
  <c r="K8839" i="2"/>
  <c r="K8835" i="2"/>
  <c r="K8827" i="2"/>
  <c r="K8823" i="2"/>
  <c r="K8819" i="2"/>
  <c r="K8811" i="2"/>
  <c r="K8807" i="2"/>
  <c r="K8803" i="2"/>
  <c r="K8795" i="2"/>
  <c r="K8791" i="2"/>
  <c r="K8787" i="2"/>
  <c r="K8779" i="2"/>
  <c r="K8775" i="2"/>
  <c r="K8771" i="2"/>
  <c r="K8763" i="2"/>
  <c r="K8759" i="2"/>
  <c r="K8755" i="2"/>
  <c r="K8747" i="2"/>
  <c r="K8743" i="2"/>
  <c r="K8739" i="2"/>
  <c r="K8731" i="2"/>
  <c r="K8727" i="2"/>
  <c r="K8723" i="2"/>
  <c r="K8715" i="2"/>
  <c r="K8711" i="2"/>
  <c r="K8707" i="2"/>
  <c r="K8699" i="2"/>
  <c r="K8695" i="2"/>
  <c r="K8691" i="2"/>
  <c r="K8683" i="2"/>
  <c r="K8679" i="2"/>
  <c r="K8675" i="2"/>
  <c r="K8667" i="2"/>
  <c r="K8663" i="2"/>
  <c r="K8659" i="2"/>
  <c r="K8651" i="2"/>
  <c r="K8647" i="2"/>
  <c r="K8643" i="2"/>
  <c r="K8639" i="2"/>
  <c r="K8635" i="2"/>
  <c r="K8631" i="2"/>
  <c r="K8627" i="2"/>
  <c r="K8623" i="2"/>
  <c r="K8619" i="2"/>
  <c r="K8615" i="2"/>
  <c r="K8611" i="2"/>
  <c r="K8603" i="2"/>
  <c r="K8599" i="2"/>
  <c r="K8595" i="2"/>
  <c r="K8587" i="2"/>
  <c r="K8583" i="2"/>
  <c r="K8579" i="2"/>
  <c r="K8571" i="2"/>
  <c r="K8567" i="2"/>
  <c r="K8563" i="2"/>
  <c r="K8555" i="2"/>
  <c r="K8551" i="2"/>
  <c r="K8547" i="2"/>
  <c r="K8539" i="2"/>
  <c r="K8535" i="2"/>
  <c r="K8531" i="2"/>
  <c r="K8523" i="2"/>
  <c r="K8519" i="2"/>
  <c r="K8515" i="2"/>
  <c r="K8507" i="2"/>
  <c r="K8503" i="2"/>
  <c r="K8499" i="2"/>
  <c r="K8491" i="2"/>
  <c r="K8487" i="2"/>
  <c r="K8483" i="2"/>
  <c r="K8475" i="2"/>
  <c r="K8471" i="2"/>
  <c r="K8467" i="2"/>
  <c r="K8459" i="2"/>
  <c r="K8455" i="2"/>
  <c r="K8451" i="2"/>
  <c r="K8443" i="2"/>
  <c r="K8439" i="2"/>
  <c r="K8435" i="2"/>
  <c r="K8427" i="2"/>
  <c r="K8423" i="2"/>
  <c r="K8419" i="2"/>
  <c r="K8411" i="2"/>
  <c r="K8407" i="2"/>
  <c r="K8403" i="2"/>
  <c r="K8395" i="2"/>
  <c r="K8391" i="2"/>
  <c r="K8387" i="2"/>
  <c r="K8379" i="2"/>
  <c r="K8375" i="2"/>
  <c r="K8371" i="2"/>
  <c r="K8363" i="2"/>
  <c r="K8359" i="2"/>
  <c r="K8355" i="2"/>
  <c r="K8347" i="2"/>
  <c r="K8343" i="2"/>
  <c r="K8339" i="2"/>
  <c r="K8331" i="2"/>
  <c r="K8327" i="2"/>
  <c r="K8323" i="2"/>
  <c r="K8315" i="2"/>
  <c r="K8311" i="2"/>
  <c r="K8307" i="2"/>
  <c r="K8299" i="2"/>
  <c r="K8295" i="2"/>
  <c r="K8291" i="2"/>
  <c r="K8283" i="2"/>
  <c r="K8279" i="2"/>
  <c r="K8275" i="2"/>
  <c r="K8267" i="2"/>
  <c r="K8263" i="2"/>
  <c r="K8259" i="2"/>
  <c r="K8251" i="2"/>
  <c r="K8247" i="2"/>
  <c r="K8243" i="2"/>
  <c r="K8235" i="2"/>
  <c r="K8231" i="2"/>
  <c r="K8227" i="2"/>
  <c r="K8219" i="2"/>
  <c r="K8215" i="2"/>
  <c r="K8211" i="2"/>
  <c r="K8203" i="2"/>
  <c r="K8199" i="2"/>
  <c r="K8195" i="2"/>
  <c r="K8187" i="2"/>
  <c r="K8183" i="2"/>
  <c r="K8179" i="2"/>
  <c r="K8171" i="2"/>
  <c r="K8167" i="2"/>
  <c r="K8163" i="2"/>
  <c r="K8155" i="2"/>
  <c r="K8151" i="2"/>
  <c r="K8147" i="2"/>
  <c r="K8139" i="2"/>
  <c r="K8135" i="2"/>
  <c r="K8131" i="2"/>
  <c r="K8123" i="2"/>
  <c r="K8119" i="2"/>
  <c r="K8115" i="2"/>
  <c r="K8107" i="2"/>
  <c r="K8103" i="2"/>
  <c r="K8099" i="2"/>
  <c r="K8091" i="2"/>
  <c r="K8087" i="2"/>
  <c r="K8083" i="2"/>
  <c r="K8075" i="2"/>
  <c r="K8071" i="2"/>
  <c r="K8067" i="2"/>
  <c r="K8063" i="2"/>
  <c r="K8059" i="2"/>
  <c r="K8055" i="2"/>
  <c r="K8051" i="2"/>
  <c r="K8047" i="2"/>
  <c r="K8043" i="2"/>
  <c r="K8039" i="2"/>
  <c r="K8035" i="2"/>
  <c r="K8031" i="2"/>
  <c r="K8027" i="2"/>
  <c r="K8023" i="2"/>
  <c r="K8019" i="2"/>
  <c r="K8015" i="2"/>
  <c r="K8011" i="2"/>
  <c r="K8007" i="2"/>
  <c r="K8003" i="2"/>
  <c r="K7999" i="2"/>
  <c r="K7995" i="2"/>
  <c r="K7991" i="2"/>
  <c r="K7987" i="2"/>
  <c r="K7983" i="2"/>
  <c r="K7979" i="2"/>
  <c r="K7975" i="2"/>
  <c r="K7971" i="2"/>
  <c r="K7967" i="2"/>
  <c r="K7963" i="2"/>
  <c r="K7959" i="2"/>
  <c r="K7955" i="2"/>
  <c r="K7947" i="2"/>
  <c r="K7943" i="2"/>
  <c r="K7939" i="2"/>
  <c r="K7935" i="2"/>
  <c r="K7931" i="2"/>
  <c r="K7927" i="2"/>
  <c r="K7923" i="2"/>
  <c r="K7915" i="2"/>
  <c r="K7911" i="2"/>
  <c r="K7907" i="2"/>
  <c r="K7903" i="2"/>
  <c r="K7899" i="2"/>
  <c r="K7895" i="2"/>
  <c r="K7891" i="2"/>
  <c r="K7887" i="2"/>
  <c r="K7883" i="2"/>
  <c r="K7879" i="2"/>
  <c r="K7875" i="2"/>
  <c r="K7871" i="2"/>
  <c r="K7867" i="2"/>
  <c r="K7863" i="2"/>
  <c r="K7859" i="2"/>
  <c r="K7855" i="2"/>
  <c r="K7851" i="2"/>
  <c r="K7847" i="2"/>
  <c r="K7843" i="2"/>
  <c r="K7835" i="2"/>
  <c r="K7831" i="2"/>
  <c r="K7827" i="2"/>
  <c r="K7819" i="2"/>
  <c r="K7815" i="2"/>
  <c r="K7811" i="2"/>
  <c r="K7803" i="2"/>
  <c r="K7799" i="2"/>
  <c r="K7795" i="2"/>
  <c r="K7787" i="2"/>
  <c r="K7783" i="2"/>
  <c r="K7779" i="2"/>
  <c r="K7771" i="2"/>
  <c r="K7767" i="2"/>
  <c r="K7763" i="2"/>
  <c r="K7755" i="2"/>
  <c r="K7751" i="2"/>
  <c r="K7747" i="2"/>
  <c r="K7739" i="2"/>
  <c r="K7735" i="2"/>
  <c r="K7731" i="2"/>
  <c r="K7727" i="2"/>
  <c r="K7723" i="2"/>
  <c r="K7719" i="2"/>
  <c r="K7715" i="2"/>
  <c r="K7707" i="2"/>
  <c r="K7703" i="2"/>
  <c r="K7699" i="2"/>
  <c r="K7695" i="2"/>
  <c r="K7691" i="2"/>
  <c r="K7687" i="2"/>
  <c r="K7683" i="2"/>
  <c r="K7679" i="2"/>
  <c r="K7675" i="2"/>
  <c r="K7671" i="2"/>
  <c r="K7667" i="2"/>
  <c r="K7663" i="2"/>
  <c r="K7659" i="2"/>
  <c r="K7655" i="2"/>
  <c r="K7651" i="2"/>
  <c r="K7647" i="2"/>
  <c r="K7643" i="2"/>
  <c r="K7639" i="2"/>
  <c r="K7635" i="2"/>
  <c r="K7631" i="2"/>
  <c r="K7627" i="2"/>
  <c r="K7623" i="2"/>
  <c r="K7619" i="2"/>
  <c r="K7615" i="2"/>
  <c r="K7611" i="2"/>
  <c r="K7607" i="2"/>
  <c r="K7603" i="2"/>
  <c r="K7599" i="2"/>
  <c r="K7595" i="2"/>
  <c r="K7591" i="2"/>
  <c r="K7587" i="2"/>
  <c r="K7579" i="2"/>
  <c r="K7575" i="2"/>
  <c r="K7571" i="2"/>
  <c r="K7563" i="2"/>
  <c r="K7559" i="2"/>
  <c r="K7555" i="2"/>
  <c r="K7551" i="2"/>
  <c r="K7547" i="2"/>
  <c r="K7543" i="2"/>
  <c r="K7539" i="2"/>
  <c r="K7535" i="2"/>
  <c r="K7531" i="2"/>
  <c r="K7527" i="2"/>
  <c r="K7523" i="2"/>
  <c r="K7515" i="2"/>
  <c r="K7511" i="2"/>
  <c r="K7507" i="2"/>
  <c r="K7503" i="2"/>
  <c r="K7499" i="2"/>
  <c r="K7495" i="2"/>
  <c r="K7491" i="2"/>
  <c r="K7487" i="2"/>
  <c r="K7483" i="2"/>
  <c r="K7479" i="2"/>
  <c r="K7475" i="2"/>
  <c r="K7471" i="2"/>
  <c r="K7467" i="2"/>
  <c r="K7463" i="2"/>
  <c r="K7459" i="2"/>
  <c r="K7455" i="2"/>
  <c r="K7451" i="2"/>
  <c r="K7447" i="2"/>
  <c r="K7443" i="2"/>
  <c r="K7439" i="2"/>
  <c r="K7435" i="2"/>
  <c r="K7431" i="2"/>
  <c r="K7427" i="2"/>
  <c r="K7423" i="2"/>
  <c r="K7419" i="2"/>
  <c r="K7415" i="2"/>
  <c r="K7411" i="2"/>
  <c r="K7407" i="2"/>
  <c r="K7403" i="2"/>
  <c r="K7399" i="2"/>
  <c r="K7395" i="2"/>
  <c r="K7391" i="2"/>
  <c r="K7387" i="2"/>
  <c r="K7383" i="2"/>
  <c r="K7379" i="2"/>
  <c r="K7371" i="2"/>
  <c r="K7367" i="2"/>
  <c r="K7363" i="2"/>
  <c r="K7359" i="2"/>
  <c r="K7355" i="2"/>
  <c r="K7351" i="2"/>
  <c r="K7347" i="2"/>
  <c r="K7343" i="2"/>
  <c r="K7339" i="2"/>
  <c r="K7335" i="2"/>
  <c r="K7331" i="2"/>
  <c r="K7327" i="2"/>
  <c r="K7323" i="2"/>
  <c r="K7319" i="2"/>
  <c r="K7315" i="2"/>
  <c r="K7311" i="2"/>
  <c r="K7307" i="2"/>
  <c r="K7303" i="2"/>
  <c r="K7299" i="2"/>
  <c r="K7253" i="2"/>
  <c r="K7233" i="2"/>
  <c r="K7177" i="2"/>
  <c r="K7149" i="2"/>
  <c r="K7093" i="2"/>
  <c r="K7009" i="2"/>
  <c r="K6737" i="2"/>
  <c r="K6533" i="2"/>
  <c r="K6473" i="2"/>
  <c r="K6409" i="2"/>
  <c r="K6193" i="2"/>
  <c r="K6137" i="2"/>
  <c r="K6057" i="2"/>
  <c r="K6037" i="2"/>
  <c r="K6033" i="2"/>
  <c r="K5961" i="2"/>
  <c r="K7276" i="2"/>
  <c r="K7256" i="2"/>
  <c r="K7252" i="2"/>
  <c r="K7248" i="2"/>
  <c r="K7244" i="2"/>
  <c r="K7240" i="2"/>
  <c r="K7236" i="2"/>
  <c r="K7220" i="2"/>
  <c r="K7204" i="2"/>
  <c r="K7196" i="2"/>
  <c r="K7184" i="2"/>
  <c r="K7176" i="2"/>
  <c r="K7144" i="2"/>
  <c r="K7140" i="2"/>
  <c r="K7116" i="2"/>
  <c r="K7108" i="2"/>
  <c r="K7104" i="2"/>
  <c r="K7100" i="2"/>
  <c r="K7092" i="2"/>
  <c r="K7080" i="2"/>
  <c r="K7036" i="2"/>
  <c r="K7024" i="2"/>
  <c r="K7016" i="2"/>
  <c r="K6968" i="2"/>
  <c r="K6952" i="2"/>
  <c r="K6920" i="2"/>
  <c r="K6744" i="2"/>
  <c r="K6736" i="2"/>
  <c r="K6724" i="2"/>
  <c r="K6692" i="2"/>
  <c r="K6688" i="2"/>
  <c r="K6636" i="2"/>
  <c r="K6580" i="2"/>
  <c r="K6556" i="2"/>
  <c r="K6536" i="2"/>
  <c r="K6532" i="2"/>
  <c r="K6500" i="2"/>
  <c r="K6472" i="2"/>
  <c r="K6468" i="2"/>
  <c r="K6464" i="2"/>
  <c r="K6456" i="2"/>
  <c r="K6444" i="2"/>
  <c r="K6436" i="2"/>
  <c r="K6404" i="2"/>
  <c r="K6376" i="2"/>
  <c r="K6344" i="2"/>
  <c r="K6324" i="2"/>
  <c r="K6248" i="2"/>
  <c r="K6244" i="2"/>
  <c r="K6232" i="2"/>
  <c r="K6224" i="2"/>
  <c r="K6212" i="2"/>
  <c r="K6152" i="2"/>
  <c r="K6144" i="2"/>
  <c r="K6132" i="2"/>
  <c r="K6128" i="2"/>
  <c r="K6064" i="2"/>
  <c r="K6052" i="2"/>
  <c r="K6036" i="2"/>
  <c r="K6032" i="2"/>
  <c r="K6016" i="2"/>
  <c r="K5976" i="2"/>
  <c r="K5972" i="2"/>
  <c r="K5920" i="2"/>
  <c r="K5912" i="2"/>
  <c r="K5904" i="2"/>
  <c r="K5892" i="2"/>
  <c r="K5884" i="2"/>
  <c r="K5872" i="2"/>
  <c r="K5856" i="2"/>
  <c r="K5844" i="2"/>
  <c r="K5828" i="2"/>
  <c r="K5812" i="2"/>
  <c r="K5804" i="2"/>
  <c r="K5780" i="2"/>
  <c r="K5764" i="2"/>
  <c r="K5760" i="2"/>
  <c r="K5740" i="2"/>
  <c r="K5736" i="2"/>
  <c r="K5732" i="2"/>
  <c r="K5728" i="2"/>
  <c r="K5724" i="2"/>
  <c r="K5716" i="2"/>
  <c r="K5696" i="2"/>
  <c r="K5680" i="2"/>
  <c r="K5668" i="2"/>
  <c r="K5616" i="2"/>
  <c r="K5588" i="2"/>
  <c r="K5580" i="2"/>
  <c r="K5568" i="2"/>
  <c r="K5560" i="2"/>
  <c r="K5552" i="2"/>
  <c r="K5528" i="2"/>
  <c r="K5504" i="2"/>
  <c r="K5500" i="2"/>
  <c r="K5496" i="2"/>
  <c r="K5492" i="2"/>
  <c r="K5488" i="2"/>
  <c r="K5484" i="2"/>
  <c r="K5476" i="2"/>
  <c r="K5456" i="2"/>
  <c r="K5436" i="2"/>
  <c r="K5432" i="2"/>
  <c r="K5420" i="2"/>
  <c r="K5376" i="2"/>
  <c r="K5352" i="2"/>
  <c r="K5348" i="2"/>
  <c r="K5344" i="2"/>
  <c r="K5300" i="2"/>
  <c r="K5284" i="2"/>
  <c r="K5280" i="2"/>
  <c r="K5264" i="2"/>
  <c r="K5252" i="2"/>
  <c r="K5212" i="2"/>
  <c r="K5192" i="2"/>
  <c r="K5168" i="2"/>
  <c r="K5108" i="2"/>
  <c r="K5104" i="2"/>
  <c r="K5100" i="2"/>
  <c r="K5088" i="2"/>
  <c r="K5080" i="2"/>
  <c r="K5076" i="2"/>
  <c r="K5068" i="2"/>
  <c r="K5036" i="2"/>
  <c r="K5020" i="2"/>
  <c r="K4992" i="2"/>
  <c r="K4976" i="2"/>
  <c r="K4968" i="2"/>
  <c r="K4964" i="2"/>
  <c r="K4932" i="2"/>
  <c r="K4928" i="2"/>
  <c r="K4920" i="2"/>
  <c r="K4880" i="2"/>
  <c r="K4840" i="2"/>
  <c r="K4804" i="2"/>
  <c r="K4784" i="2"/>
  <c r="K4776" i="2"/>
  <c r="K4772" i="2"/>
  <c r="K4744" i="2"/>
  <c r="K4736" i="2"/>
  <c r="K4732" i="2"/>
  <c r="K4728" i="2"/>
  <c r="K4720" i="2"/>
  <c r="K4716" i="2"/>
  <c r="K4704" i="2"/>
  <c r="K4676" i="2"/>
  <c r="K4672" i="2"/>
  <c r="K4648" i="2"/>
  <c r="K4612" i="2"/>
  <c r="K4552" i="2"/>
  <c r="K4544" i="2"/>
  <c r="K4540" i="2"/>
  <c r="K4528" i="2"/>
  <c r="K4508" i="2"/>
  <c r="K4480" i="2"/>
  <c r="K4448" i="2"/>
  <c r="K4444" i="2"/>
  <c r="K4436" i="2"/>
  <c r="K4432" i="2"/>
  <c r="K4424" i="2"/>
  <c r="K4416" i="2"/>
  <c r="K4364" i="2"/>
  <c r="K4360" i="2"/>
  <c r="K4344" i="2"/>
  <c r="K4340" i="2"/>
  <c r="K4336" i="2"/>
  <c r="K4316" i="2"/>
  <c r="K4312" i="2"/>
  <c r="K4308" i="2"/>
  <c r="K4288" i="2"/>
  <c r="K4276" i="2"/>
  <c r="K4268" i="2"/>
  <c r="K4260" i="2"/>
  <c r="K4252" i="2"/>
  <c r="K4212" i="2"/>
  <c r="K4192" i="2"/>
  <c r="K4168" i="2"/>
  <c r="K4164" i="2"/>
  <c r="K4156" i="2"/>
  <c r="K4136" i="2"/>
  <c r="K4124" i="2"/>
  <c r="K4068" i="2"/>
  <c r="K4060" i="2"/>
  <c r="K4036" i="2"/>
  <c r="K4028" i="2"/>
  <c r="K4012" i="2"/>
  <c r="K3992" i="2"/>
  <c r="K3968" i="2"/>
  <c r="K3940" i="2"/>
  <c r="K3936" i="2"/>
  <c r="K3932" i="2"/>
  <c r="K3924" i="2"/>
  <c r="K3916" i="2"/>
  <c r="K3908" i="2"/>
  <c r="K3860" i="2"/>
  <c r="K3844" i="2"/>
  <c r="K3840" i="2"/>
  <c r="K3724" i="2"/>
  <c r="K3712" i="2"/>
  <c r="K3708" i="2"/>
  <c r="K3692" i="2"/>
  <c r="K3648" i="2"/>
  <c r="K3636" i="2"/>
  <c r="K3632" i="2"/>
  <c r="K3628" i="2"/>
  <c r="K3624" i="2"/>
  <c r="K3616" i="2"/>
  <c r="K3560" i="2"/>
  <c r="K3552" i="2"/>
  <c r="K3524" i="2"/>
  <c r="K3516" i="2"/>
  <c r="K3504" i="2"/>
  <c r="K3496" i="2"/>
  <c r="K3492" i="2"/>
  <c r="K3472" i="2"/>
  <c r="K3468" i="2"/>
  <c r="K3424" i="2"/>
  <c r="K3420" i="2"/>
  <c r="K3416" i="2"/>
  <c r="K3412" i="2"/>
  <c r="K3408" i="2"/>
  <c r="K3376" i="2"/>
  <c r="K3336" i="2"/>
  <c r="K3320" i="2"/>
  <c r="K3308" i="2"/>
  <c r="K3304" i="2"/>
  <c r="K3284" i="2"/>
  <c r="K3280" i="2"/>
  <c r="K3276" i="2"/>
  <c r="K3260" i="2"/>
  <c r="K3256" i="2"/>
  <c r="K3248" i="2"/>
  <c r="K3228" i="2"/>
  <c r="K3220" i="2"/>
  <c r="K3128" i="2"/>
  <c r="K3108" i="2"/>
  <c r="K3088" i="2"/>
  <c r="K3084" i="2"/>
  <c r="K3044" i="2"/>
  <c r="K2992" i="2"/>
  <c r="K2980" i="2"/>
  <c r="K2952" i="2"/>
  <c r="K2948" i="2"/>
  <c r="K2904" i="2"/>
  <c r="K2892" i="2"/>
  <c r="K2820" i="2"/>
  <c r="K2748" i="2"/>
  <c r="K2724" i="2"/>
  <c r="K2720" i="2"/>
  <c r="K2716" i="2"/>
  <c r="K2692" i="2"/>
  <c r="K2672" i="2"/>
  <c r="K2668" i="2"/>
  <c r="K2660" i="2"/>
  <c r="K2604" i="2"/>
  <c r="K2600" i="2"/>
  <c r="K2568" i="2"/>
  <c r="K2564" i="2"/>
  <c r="K2560" i="2"/>
  <c r="K2556" i="2"/>
  <c r="K2548" i="2"/>
  <c r="K2544" i="2"/>
  <c r="K2524" i="2"/>
  <c r="K2496" i="2"/>
  <c r="K2488" i="2"/>
  <c r="K2472" i="2"/>
  <c r="K2460" i="2"/>
  <c r="K2416" i="2"/>
  <c r="K2388" i="2"/>
  <c r="K2384" i="2"/>
  <c r="K2368" i="2"/>
  <c r="K2364" i="2"/>
  <c r="K2360" i="2"/>
  <c r="K2356" i="2"/>
  <c r="K2348" i="2"/>
  <c r="K2336" i="2"/>
  <c r="K2332" i="2"/>
  <c r="K2312" i="2"/>
  <c r="K2296" i="2"/>
  <c r="K2292" i="2"/>
  <c r="K2272" i="2"/>
  <c r="K2264" i="2"/>
  <c r="K2244" i="2"/>
  <c r="K2240" i="2"/>
  <c r="K2232" i="2"/>
  <c r="K2228" i="2"/>
  <c r="K2200" i="2"/>
  <c r="K2108" i="2"/>
  <c r="K2088" i="2"/>
  <c r="K2080" i="2"/>
  <c r="K2072" i="2"/>
  <c r="K2064" i="2"/>
  <c r="K2024" i="2"/>
  <c r="K1936" i="2"/>
  <c r="K1916" i="2"/>
  <c r="K1904" i="2"/>
  <c r="K1888" i="2"/>
  <c r="K1876" i="2"/>
  <c r="K1872" i="2"/>
  <c r="K1864" i="2"/>
  <c r="K1860" i="2"/>
  <c r="K1856" i="2"/>
  <c r="K1852" i="2"/>
  <c r="K1844" i="2"/>
  <c r="K1836" i="2"/>
  <c r="K1824" i="2"/>
  <c r="K1816" i="2"/>
  <c r="K1788" i="2"/>
  <c r="K1752" i="2"/>
  <c r="K1732" i="2"/>
  <c r="K1720" i="2"/>
  <c r="K1704" i="2"/>
  <c r="K1700" i="2"/>
  <c r="K1676" i="2"/>
  <c r="K1668" i="2"/>
  <c r="K1652" i="2"/>
  <c r="K1648" i="2"/>
  <c r="K1636" i="2"/>
  <c r="K1612" i="2"/>
  <c r="K1576" i="2"/>
  <c r="K1548" i="2"/>
  <c r="K1532" i="2"/>
  <c r="K1516" i="2"/>
  <c r="K1504" i="2"/>
  <c r="K1488" i="2"/>
  <c r="K1484" i="2"/>
  <c r="K1476" i="2"/>
  <c r="K1428" i="2"/>
  <c r="K1424" i="2"/>
  <c r="K1400" i="2"/>
  <c r="K1388" i="2"/>
  <c r="K1380" i="2"/>
  <c r="K1376" i="2"/>
  <c r="K1372" i="2"/>
  <c r="K1368" i="2"/>
  <c r="K1340" i="2"/>
  <c r="K1280" i="2"/>
  <c r="K1272" i="2"/>
  <c r="K1256" i="2"/>
  <c r="K1220" i="2"/>
  <c r="K1216" i="2"/>
  <c r="K1212" i="2"/>
  <c r="K1208" i="2"/>
  <c r="K1204" i="2"/>
  <c r="K1196" i="2"/>
  <c r="K1192" i="2"/>
  <c r="K1176" i="2"/>
  <c r="K1168" i="2"/>
  <c r="K1164" i="2"/>
  <c r="K1156" i="2"/>
  <c r="K1148" i="2"/>
  <c r="K1144" i="2"/>
  <c r="K1120" i="2"/>
  <c r="K1108" i="2"/>
  <c r="K1100" i="2"/>
  <c r="K1080" i="2"/>
  <c r="K1052" i="2"/>
  <c r="K1048" i="2"/>
  <c r="K1040" i="2"/>
  <c r="K1032" i="2"/>
  <c r="K1004" i="2"/>
  <c r="K988" i="2"/>
  <c r="K976" i="2"/>
  <c r="K936" i="2"/>
  <c r="K932" i="2"/>
  <c r="K924" i="2"/>
  <c r="K908" i="2"/>
  <c r="K872" i="2"/>
  <c r="K840" i="2"/>
  <c r="K828" i="2"/>
  <c r="K800" i="2"/>
  <c r="K796" i="2"/>
  <c r="K788" i="2"/>
  <c r="K772" i="2"/>
  <c r="K768" i="2"/>
  <c r="K756" i="2"/>
  <c r="K752" i="2"/>
  <c r="K744" i="2"/>
  <c r="K736" i="2"/>
  <c r="K648" i="2"/>
  <c r="K608" i="2"/>
  <c r="K604" i="2"/>
  <c r="K540" i="2"/>
  <c r="K516" i="2"/>
  <c r="K500" i="2"/>
  <c r="K496" i="2"/>
  <c r="K480" i="2"/>
  <c r="K444" i="2"/>
  <c r="K424" i="2"/>
  <c r="K416" i="2"/>
  <c r="K356" i="2"/>
  <c r="K352" i="2"/>
  <c r="K348" i="2"/>
  <c r="K344" i="2"/>
  <c r="K340" i="2"/>
  <c r="K320" i="2"/>
  <c r="K304" i="2"/>
  <c r="K288" i="2"/>
  <c r="K244" i="2"/>
  <c r="K212" i="2"/>
  <c r="K204" i="2"/>
  <c r="K180" i="2"/>
  <c r="K124" i="2"/>
  <c r="K120" i="2"/>
  <c r="K116" i="2"/>
  <c r="K108" i="2"/>
  <c r="K100" i="2"/>
  <c r="K64" i="2"/>
  <c r="K60" i="2"/>
  <c r="K28" i="2"/>
  <c r="K9998" i="2"/>
  <c r="K9994" i="2"/>
  <c r="K9986" i="2"/>
  <c r="K9982" i="2"/>
  <c r="K9978" i="2"/>
  <c r="K9970" i="2"/>
  <c r="K9966" i="2"/>
  <c r="K9962" i="2"/>
  <c r="K9954" i="2"/>
  <c r="K9950" i="2"/>
  <c r="K9946" i="2"/>
  <c r="K9938" i="2"/>
  <c r="K9934" i="2"/>
  <c r="K9930" i="2"/>
  <c r="K9922" i="2"/>
  <c r="K9918" i="2"/>
  <c r="K9914" i="2"/>
  <c r="K9906" i="2"/>
  <c r="K9902" i="2"/>
  <c r="K9898" i="2"/>
  <c r="K9890" i="2"/>
  <c r="K9886" i="2"/>
  <c r="K9882" i="2"/>
  <c r="K9874" i="2"/>
  <c r="K9870" i="2"/>
  <c r="K9866" i="2"/>
  <c r="K9858" i="2"/>
  <c r="K9854" i="2"/>
  <c r="K9850" i="2"/>
  <c r="K9842" i="2"/>
  <c r="K9838" i="2"/>
  <c r="K9834" i="2"/>
  <c r="K9826" i="2"/>
  <c r="K9822" i="2"/>
  <c r="K9818" i="2"/>
  <c r="K9810" i="2"/>
  <c r="K9806" i="2"/>
  <c r="K9802" i="2"/>
  <c r="K9794" i="2"/>
  <c r="K9790" i="2"/>
  <c r="K9786" i="2"/>
  <c r="K9778" i="2"/>
  <c r="K9774" i="2"/>
  <c r="K9770" i="2"/>
  <c r="K9762" i="2"/>
  <c r="K9758" i="2"/>
  <c r="K9754" i="2"/>
  <c r="K9746" i="2"/>
  <c r="K9742" i="2"/>
  <c r="K9738" i="2"/>
  <c r="K9730" i="2"/>
  <c r="K9726" i="2"/>
  <c r="K9722" i="2"/>
  <c r="K9714" i="2"/>
  <c r="K9710" i="2"/>
  <c r="K9706" i="2"/>
  <c r="K9698" i="2"/>
  <c r="K9694" i="2"/>
  <c r="K9690" i="2"/>
  <c r="K9682" i="2"/>
  <c r="K9678" i="2"/>
  <c r="K9674" i="2"/>
  <c r="K9666" i="2"/>
  <c r="K9662" i="2"/>
  <c r="K9658" i="2"/>
  <c r="K9650" i="2"/>
  <c r="K9646" i="2"/>
  <c r="K9642" i="2"/>
  <c r="K9634" i="2"/>
  <c r="K9630" i="2"/>
  <c r="K9626" i="2"/>
  <c r="K9618" i="2"/>
  <c r="K9614" i="2"/>
  <c r="K9610" i="2"/>
  <c r="K9602" i="2"/>
  <c r="K9598" i="2"/>
  <c r="K9594" i="2"/>
  <c r="K9586" i="2"/>
  <c r="K9582" i="2"/>
  <c r="K9578" i="2"/>
  <c r="K9570" i="2"/>
  <c r="K9566" i="2"/>
  <c r="K9562" i="2"/>
  <c r="K9554" i="2"/>
  <c r="K9550" i="2"/>
  <c r="K9546" i="2"/>
  <c r="K9538" i="2"/>
  <c r="K9534" i="2"/>
  <c r="K9530" i="2"/>
  <c r="K9522" i="2"/>
  <c r="K9518" i="2"/>
  <c r="K9514" i="2"/>
  <c r="K9506" i="2"/>
  <c r="K9502" i="2"/>
  <c r="K9498" i="2"/>
  <c r="K9490" i="2"/>
  <c r="K9486" i="2"/>
  <c r="K9482" i="2"/>
  <c r="K9474" i="2"/>
  <c r="K9470" i="2"/>
  <c r="K9466" i="2"/>
  <c r="K9458" i="2"/>
  <c r="K9454" i="2"/>
  <c r="K9450" i="2"/>
  <c r="K9442" i="2"/>
  <c r="K9438" i="2"/>
  <c r="K9434" i="2"/>
  <c r="K9426" i="2"/>
  <c r="K9422" i="2"/>
  <c r="K9418" i="2"/>
  <c r="K9410" i="2"/>
  <c r="K9406" i="2"/>
  <c r="K9402" i="2"/>
  <c r="K9394" i="2"/>
  <c r="K9390" i="2"/>
  <c r="K9386" i="2"/>
  <c r="K9378" i="2"/>
  <c r="K9374" i="2"/>
  <c r="K9370" i="2"/>
  <c r="K9362" i="2"/>
  <c r="K9358" i="2"/>
  <c r="K9354" i="2"/>
  <c r="K9346" i="2"/>
  <c r="K9342" i="2"/>
  <c r="K9338" i="2"/>
  <c r="K9330" i="2"/>
  <c r="K9326" i="2"/>
  <c r="K9322" i="2"/>
  <c r="K9314" i="2"/>
  <c r="K9310" i="2"/>
  <c r="K9306" i="2"/>
  <c r="K9298" i="2"/>
  <c r="K9294" i="2"/>
  <c r="K9290" i="2"/>
  <c r="K9282" i="2"/>
  <c r="K9278" i="2"/>
  <c r="K9274" i="2"/>
  <c r="K9266" i="2"/>
  <c r="K9262" i="2"/>
  <c r="K9258" i="2"/>
  <c r="K9250" i="2"/>
  <c r="K9246" i="2"/>
  <c r="K9242" i="2"/>
  <c r="K9234" i="2"/>
  <c r="K9230" i="2"/>
  <c r="K9226" i="2"/>
  <c r="K9218" i="2"/>
  <c r="K9214" i="2"/>
  <c r="K9210" i="2"/>
  <c r="K9202" i="2"/>
  <c r="K9198" i="2"/>
  <c r="K9194" i="2"/>
  <c r="K9186" i="2"/>
  <c r="K9182" i="2"/>
  <c r="K9178" i="2"/>
  <c r="K9170" i="2"/>
  <c r="K9166" i="2"/>
  <c r="K9162" i="2"/>
  <c r="K9154" i="2"/>
  <c r="K9150" i="2"/>
  <c r="K9146" i="2"/>
  <c r="K9138" i="2"/>
  <c r="K9134" i="2"/>
  <c r="K9130" i="2"/>
  <c r="K9122" i="2"/>
  <c r="K9118" i="2"/>
  <c r="K9114" i="2"/>
  <c r="K9106" i="2"/>
  <c r="K9102" i="2"/>
  <c r="K9098" i="2"/>
  <c r="K9090" i="2"/>
  <c r="K9086" i="2"/>
  <c r="K9082" i="2"/>
  <c r="K9074" i="2"/>
  <c r="K9070" i="2"/>
  <c r="K9066" i="2"/>
  <c r="K9058" i="2"/>
  <c r="K9054" i="2"/>
  <c r="K9050" i="2"/>
  <c r="K9042" i="2"/>
  <c r="K9038" i="2"/>
  <c r="K9034" i="2"/>
  <c r="K9026" i="2"/>
  <c r="K9022" i="2"/>
  <c r="K9018" i="2"/>
  <c r="K9010" i="2"/>
  <c r="K9006" i="2"/>
  <c r="K9002" i="2"/>
  <c r="K8994" i="2"/>
  <c r="K8990" i="2"/>
  <c r="K8986" i="2"/>
  <c r="K8978" i="2"/>
  <c r="K8974" i="2"/>
  <c r="K8970" i="2"/>
  <c r="K8962" i="2"/>
  <c r="K8958" i="2"/>
  <c r="K8954" i="2"/>
  <c r="K8946" i="2"/>
  <c r="K8942" i="2"/>
  <c r="K8938" i="2"/>
  <c r="K8930" i="2"/>
  <c r="K8926" i="2"/>
  <c r="K8922" i="2"/>
  <c r="K8914" i="2"/>
  <c r="K8910" i="2"/>
  <c r="K8906" i="2"/>
  <c r="K8898" i="2"/>
  <c r="K8894" i="2"/>
  <c r="K8890" i="2"/>
  <c r="K8882" i="2"/>
  <c r="K8878" i="2"/>
  <c r="K8874" i="2"/>
  <c r="K8866" i="2"/>
  <c r="K8862" i="2"/>
  <c r="K8858" i="2"/>
  <c r="K8850" i="2"/>
  <c r="K8846" i="2"/>
  <c r="K8842" i="2"/>
  <c r="K8834" i="2"/>
  <c r="K8830" i="2"/>
  <c r="K8826" i="2"/>
  <c r="K8818" i="2"/>
  <c r="K8814" i="2"/>
  <c r="K8810" i="2"/>
  <c r="K8802" i="2"/>
  <c r="K8798" i="2"/>
  <c r="K8794" i="2"/>
  <c r="K8786" i="2"/>
  <c r="K8782" i="2"/>
  <c r="K8778" i="2"/>
  <c r="K8770" i="2"/>
  <c r="K8766" i="2"/>
  <c r="K8762" i="2"/>
  <c r="K8754" i="2"/>
  <c r="K8750" i="2"/>
  <c r="K8746" i="2"/>
  <c r="K8738" i="2"/>
  <c r="K8734" i="2"/>
  <c r="K8730" i="2"/>
  <c r="K8722" i="2"/>
  <c r="K8718" i="2"/>
  <c r="K8714" i="2"/>
  <c r="K8706" i="2"/>
  <c r="K8702" i="2"/>
  <c r="K8698" i="2"/>
  <c r="K8690" i="2"/>
  <c r="K8686" i="2"/>
  <c r="K8682" i="2"/>
  <c r="K8674" i="2"/>
  <c r="K8670" i="2"/>
  <c r="K8666" i="2"/>
  <c r="K8658" i="2"/>
  <c r="K8654" i="2"/>
  <c r="K8650" i="2"/>
  <c r="K8642" i="2"/>
  <c r="K8638" i="2"/>
  <c r="K8634" i="2"/>
  <c r="K8626" i="2"/>
  <c r="K8622" i="2"/>
  <c r="K8618" i="2"/>
  <c r="K8610" i="2"/>
  <c r="K8606" i="2"/>
  <c r="K8602" i="2"/>
  <c r="K8594" i="2"/>
  <c r="K8590" i="2"/>
  <c r="K8586" i="2"/>
  <c r="K8578" i="2"/>
  <c r="K8574" i="2"/>
  <c r="K8570" i="2"/>
  <c r="K8562" i="2"/>
  <c r="K8558" i="2"/>
  <c r="K8554" i="2"/>
  <c r="K8546" i="2"/>
  <c r="K8542" i="2"/>
  <c r="K8538" i="2"/>
  <c r="K8530" i="2"/>
  <c r="K8526" i="2"/>
  <c r="K8522" i="2"/>
  <c r="K8514" i="2"/>
  <c r="K8510" i="2"/>
  <c r="K8506" i="2"/>
  <c r="K8498" i="2"/>
  <c r="K8494" i="2"/>
  <c r="K8490" i="2"/>
  <c r="K8482" i="2"/>
  <c r="K8478" i="2"/>
  <c r="K8474" i="2"/>
  <c r="K8466" i="2"/>
  <c r="K8462" i="2"/>
  <c r="K8458" i="2"/>
  <c r="K8450" i="2"/>
  <c r="K8446" i="2"/>
  <c r="K8442" i="2"/>
  <c r="K8434" i="2"/>
  <c r="K8430" i="2"/>
  <c r="K8426" i="2"/>
  <c r="K8418" i="2"/>
  <c r="K8414" i="2"/>
  <c r="K8410" i="2"/>
  <c r="K8402" i="2"/>
  <c r="K8398" i="2"/>
  <c r="K8394" i="2"/>
  <c r="K8386" i="2"/>
  <c r="K8382" i="2"/>
  <c r="K8378" i="2"/>
  <c r="K8370" i="2"/>
  <c r="K8366" i="2"/>
  <c r="K8362" i="2"/>
  <c r="K8354" i="2"/>
  <c r="K8350" i="2"/>
  <c r="K8346" i="2"/>
  <c r="K8338" i="2"/>
  <c r="K8334" i="2"/>
  <c r="K8330" i="2"/>
  <c r="K8322" i="2"/>
  <c r="K8318" i="2"/>
  <c r="K8314" i="2"/>
  <c r="K8306" i="2"/>
  <c r="K8302" i="2"/>
  <c r="K8298" i="2"/>
  <c r="K8290" i="2"/>
  <c r="K8286" i="2"/>
  <c r="K8282" i="2"/>
  <c r="K8274" i="2"/>
  <c r="K8270" i="2"/>
  <c r="K8266" i="2"/>
  <c r="K8258" i="2"/>
  <c r="K8254" i="2"/>
  <c r="K8250" i="2"/>
  <c r="K8242" i="2"/>
  <c r="K8238" i="2"/>
  <c r="K8234" i="2"/>
  <c r="K8226" i="2"/>
  <c r="K8222" i="2"/>
  <c r="K8218" i="2"/>
  <c r="K8210" i="2"/>
  <c r="K8206" i="2"/>
  <c r="K8202" i="2"/>
  <c r="K8194" i="2"/>
  <c r="K8190" i="2"/>
  <c r="K8186" i="2"/>
  <c r="K8178" i="2"/>
  <c r="K8174" i="2"/>
  <c r="K8170" i="2"/>
  <c r="K8162" i="2"/>
  <c r="K8158" i="2"/>
  <c r="K8154" i="2"/>
  <c r="K8150" i="2"/>
  <c r="K8146" i="2"/>
  <c r="K8142" i="2"/>
  <c r="K8138" i="2"/>
  <c r="K8134" i="2"/>
  <c r="K8130" i="2"/>
  <c r="K8126" i="2"/>
  <c r="K8122" i="2"/>
  <c r="K8118" i="2"/>
  <c r="K8114" i="2"/>
  <c r="K8110" i="2"/>
  <c r="K8106" i="2"/>
  <c r="K8102" i="2"/>
  <c r="K8098" i="2"/>
  <c r="K8094" i="2"/>
  <c r="K8090" i="2"/>
  <c r="K8086" i="2"/>
  <c r="K8082" i="2"/>
  <c r="K8078" i="2"/>
  <c r="K8074" i="2"/>
  <c r="K8070" i="2"/>
  <c r="K8066" i="2"/>
  <c r="K8062" i="2"/>
  <c r="K8058" i="2"/>
  <c r="K8054" i="2"/>
  <c r="K8050" i="2"/>
  <c r="K8046" i="2"/>
  <c r="K8042" i="2"/>
  <c r="K8038" i="2"/>
  <c r="K8034" i="2"/>
  <c r="K8030" i="2"/>
  <c r="K8026" i="2"/>
  <c r="K8022" i="2"/>
  <c r="K8018" i="2"/>
  <c r="K8014" i="2"/>
  <c r="K8010" i="2"/>
  <c r="K8006" i="2"/>
  <c r="K8002" i="2"/>
  <c r="K7998" i="2"/>
  <c r="K7994" i="2"/>
  <c r="K7990" i="2"/>
  <c r="K7986" i="2"/>
  <c r="K7982" i="2"/>
  <c r="K7978" i="2"/>
  <c r="K7974" i="2"/>
  <c r="K7970" i="2"/>
  <c r="K7966" i="2"/>
  <c r="K7962" i="2"/>
  <c r="K7958" i="2"/>
  <c r="K7954" i="2"/>
  <c r="K7950" i="2"/>
  <c r="K7946" i="2"/>
  <c r="K7942" i="2"/>
  <c r="K7938" i="2"/>
  <c r="K7934" i="2"/>
  <c r="K7930" i="2"/>
  <c r="K7926" i="2"/>
  <c r="K7922" i="2"/>
  <c r="K7918" i="2"/>
  <c r="K7914" i="2"/>
  <c r="K7910" i="2"/>
  <c r="K7906" i="2"/>
  <c r="K7902" i="2"/>
  <c r="K7898" i="2"/>
  <c r="K7894" i="2"/>
  <c r="K7890" i="2"/>
  <c r="K7886" i="2"/>
  <c r="K7882" i="2"/>
  <c r="K7878" i="2"/>
  <c r="K7874" i="2"/>
  <c r="K7870" i="2"/>
  <c r="K7866" i="2"/>
  <c r="K7862" i="2"/>
  <c r="K7858" i="2"/>
  <c r="K7854" i="2"/>
  <c r="K7850" i="2"/>
  <c r="K7846" i="2"/>
  <c r="K7842" i="2"/>
  <c r="K7838" i="2"/>
  <c r="K7834" i="2"/>
  <c r="K7830" i="2"/>
  <c r="K7826" i="2"/>
  <c r="K7822" i="2"/>
  <c r="K7818" i="2"/>
  <c r="K7814" i="2"/>
  <c r="K7810" i="2"/>
  <c r="K7806" i="2"/>
  <c r="K7802" i="2"/>
  <c r="K7798" i="2"/>
  <c r="K7794" i="2"/>
  <c r="K7790" i="2"/>
  <c r="K7786" i="2"/>
  <c r="K7782" i="2"/>
  <c r="K7778" i="2"/>
  <c r="K7774" i="2"/>
  <c r="K7770" i="2"/>
  <c r="K7766" i="2"/>
  <c r="K7762" i="2"/>
  <c r="K7758" i="2"/>
  <c r="K7754" i="2"/>
  <c r="K7750" i="2"/>
  <c r="K7746" i="2"/>
  <c r="K7742" i="2"/>
  <c r="K7738" i="2"/>
  <c r="K7734" i="2"/>
  <c r="K7730" i="2"/>
  <c r="K7726" i="2"/>
  <c r="K7722" i="2"/>
  <c r="K7718" i="2"/>
  <c r="K7714" i="2"/>
  <c r="K7710" i="2"/>
  <c r="K7706" i="2"/>
  <c r="K7702" i="2"/>
  <c r="K7698" i="2"/>
  <c r="K7694" i="2"/>
  <c r="K7690" i="2"/>
  <c r="K7686" i="2"/>
  <c r="K7682" i="2"/>
  <c r="K7678" i="2"/>
  <c r="K7674" i="2"/>
  <c r="K7670" i="2"/>
  <c r="K7666" i="2"/>
  <c r="K7662" i="2"/>
  <c r="K7658" i="2"/>
  <c r="K7654" i="2"/>
  <c r="K7650" i="2"/>
  <c r="K7646" i="2"/>
  <c r="K7642" i="2"/>
  <c r="K7638" i="2"/>
  <c r="K7634" i="2"/>
  <c r="K7630" i="2"/>
  <c r="K7626" i="2"/>
  <c r="K7622" i="2"/>
  <c r="K7618" i="2"/>
  <c r="K7614" i="2"/>
  <c r="K7610" i="2"/>
  <c r="K7606" i="2"/>
  <c r="K7602" i="2"/>
  <c r="K7598" i="2"/>
  <c r="K7594" i="2"/>
  <c r="K7590" i="2"/>
  <c r="K7586" i="2"/>
  <c r="K7582" i="2"/>
  <c r="K7578" i="2"/>
  <c r="K7574" i="2"/>
  <c r="K7570" i="2"/>
  <c r="K7566" i="2"/>
  <c r="K7562" i="2"/>
  <c r="K7558" i="2"/>
  <c r="K7554" i="2"/>
  <c r="K7550" i="2"/>
  <c r="K7546" i="2"/>
  <c r="K7542" i="2"/>
  <c r="K7538" i="2"/>
  <c r="K7534" i="2"/>
  <c r="K7530" i="2"/>
  <c r="K7526" i="2"/>
  <c r="K7522" i="2"/>
  <c r="K7518" i="2"/>
  <c r="K7514" i="2"/>
  <c r="K7510" i="2"/>
  <c r="K7506" i="2"/>
  <c r="K7502" i="2"/>
  <c r="K7498" i="2"/>
  <c r="K7494" i="2"/>
  <c r="K7490" i="2"/>
  <c r="K7486" i="2"/>
  <c r="K7482" i="2"/>
  <c r="K7478" i="2"/>
  <c r="K7474" i="2"/>
  <c r="K7470" i="2"/>
  <c r="K7466" i="2"/>
  <c r="K7462" i="2"/>
  <c r="K7458" i="2"/>
  <c r="K7454" i="2"/>
  <c r="K7450" i="2"/>
  <c r="K7446" i="2"/>
  <c r="K7442" i="2"/>
  <c r="K7438" i="2"/>
  <c r="K7434" i="2"/>
  <c r="K7430" i="2"/>
  <c r="K7426" i="2"/>
  <c r="K7422" i="2"/>
  <c r="K7418" i="2"/>
  <c r="K7414" i="2"/>
  <c r="K7410" i="2"/>
  <c r="K7406" i="2"/>
  <c r="K7402" i="2"/>
  <c r="K7398" i="2"/>
  <c r="K7394" i="2"/>
  <c r="K7390" i="2"/>
  <c r="K7386" i="2"/>
  <c r="K7382" i="2"/>
  <c r="K7378" i="2"/>
  <c r="K7374" i="2"/>
  <c r="K7370" i="2"/>
  <c r="K7366" i="2"/>
  <c r="K7362" i="2"/>
  <c r="K7358" i="2"/>
  <c r="K7354" i="2"/>
  <c r="K7350" i="2"/>
  <c r="K7346" i="2"/>
  <c r="K7342" i="2"/>
  <c r="K7338" i="2"/>
  <c r="K7334" i="2"/>
  <c r="K7330" i="2"/>
  <c r="K7326" i="2"/>
  <c r="K7322" i="2"/>
  <c r="K7318" i="2"/>
  <c r="K7314" i="2"/>
  <c r="K7310" i="2"/>
  <c r="K7306" i="2"/>
  <c r="K7302" i="2"/>
  <c r="K7298" i="2"/>
  <c r="K7294" i="2"/>
  <c r="K7205" i="2"/>
  <c r="K7197" i="2"/>
  <c r="K7181" i="2"/>
  <c r="K7069" i="2"/>
  <c r="K6993" i="2"/>
  <c r="K6825" i="2"/>
  <c r="K6649" i="2"/>
  <c r="K6293" i="2"/>
  <c r="K6153" i="2"/>
  <c r="K6125" i="2"/>
  <c r="K6065" i="2"/>
  <c r="K6017" i="2"/>
  <c r="K7288" i="2"/>
  <c r="K7291" i="2"/>
  <c r="K7283" i="2"/>
  <c r="K7275" i="2"/>
  <c r="K7263" i="2"/>
  <c r="K7255" i="2"/>
  <c r="K7251" i="2"/>
  <c r="K7247" i="2"/>
  <c r="K7239" i="2"/>
  <c r="K7235" i="2"/>
  <c r="K7223" i="2"/>
  <c r="K7199" i="2"/>
  <c r="K7195" i="2"/>
  <c r="K7183" i="2"/>
  <c r="K7175" i="2"/>
  <c r="K7163" i="2"/>
  <c r="K7127" i="2"/>
  <c r="K7091" i="2"/>
  <c r="K7035" i="2"/>
  <c r="K7007" i="2"/>
  <c r="K6991" i="2"/>
  <c r="K6987" i="2"/>
  <c r="K6967" i="2"/>
  <c r="K6927" i="2"/>
  <c r="K6895" i="2"/>
  <c r="K6891" i="2"/>
  <c r="K6875" i="2"/>
  <c r="K6855" i="2"/>
  <c r="K6827" i="2"/>
  <c r="K6815" i="2"/>
  <c r="K6799" i="2"/>
  <c r="K6767" i="2"/>
  <c r="K6739" i="2"/>
  <c r="K6735" i="2"/>
  <c r="K6699" i="2"/>
  <c r="K6691" i="2"/>
  <c r="K6635" i="2"/>
  <c r="K6631" i="2"/>
  <c r="K6587" i="2"/>
  <c r="K6535" i="2"/>
  <c r="K6523" i="2"/>
  <c r="K6471" i="2"/>
  <c r="K6467" i="2"/>
  <c r="K6455" i="2"/>
  <c r="K6447" i="2"/>
  <c r="K6419" i="2"/>
  <c r="K6415" i="2"/>
  <c r="K6375" i="2"/>
  <c r="K6343" i="2"/>
  <c r="K6331" i="2"/>
  <c r="K6319" i="2"/>
  <c r="K6299" i="2"/>
  <c r="K6295" i="2"/>
  <c r="K6279" i="2"/>
  <c r="K6263" i="2"/>
  <c r="K6239" i="2"/>
  <c r="K6235" i="2"/>
  <c r="K6231" i="2"/>
  <c r="K6227" i="2"/>
  <c r="K6215" i="2"/>
  <c r="K6211" i="2"/>
  <c r="K6151" i="2"/>
  <c r="K6143" i="2"/>
  <c r="K6135" i="2"/>
  <c r="K6107" i="2"/>
  <c r="K6103" i="2"/>
  <c r="K6099" i="2"/>
  <c r="K6083" i="2"/>
  <c r="K6051" i="2"/>
  <c r="K6043" i="2"/>
  <c r="K6023" i="2"/>
  <c r="K6015" i="2"/>
  <c r="K5991" i="2"/>
  <c r="K5963" i="2"/>
  <c r="K5955" i="2"/>
  <c r="K5943" i="2"/>
  <c r="K5923" i="2"/>
  <c r="K5919" i="2"/>
  <c r="K5915" i="2"/>
  <c r="K5891" i="2"/>
  <c r="K5827" i="2"/>
  <c r="K5779" i="2"/>
  <c r="K5759" i="2"/>
  <c r="K5747" i="2"/>
  <c r="K5743" i="2"/>
  <c r="K5739" i="2"/>
  <c r="K5735" i="2"/>
  <c r="K5731" i="2"/>
  <c r="K5727" i="2"/>
  <c r="K5723" i="2"/>
  <c r="K5679" i="2"/>
  <c r="K5559" i="2"/>
  <c r="K5551" i="2"/>
  <c r="K5527" i="2"/>
  <c r="K5491" i="2"/>
  <c r="K5487" i="2"/>
  <c r="K5451" i="2"/>
  <c r="K5431" i="2"/>
  <c r="K5423" i="2"/>
  <c r="K5419" i="2"/>
  <c r="K5379" i="2"/>
  <c r="K5375" i="2"/>
  <c r="K5355" i="2"/>
  <c r="K5351" i="2"/>
  <c r="K5343" i="2"/>
  <c r="K5339" i="2"/>
  <c r="K5335" i="2"/>
  <c r="K5295" i="2"/>
  <c r="K5287" i="2"/>
  <c r="K5239" i="2"/>
  <c r="K5235" i="2"/>
  <c r="K5215" i="2"/>
  <c r="K5203" i="2"/>
  <c r="K5191" i="2"/>
  <c r="K5119" i="2"/>
  <c r="K5099" i="2"/>
  <c r="K5087" i="2"/>
  <c r="K5079" i="2"/>
  <c r="K5067" i="2"/>
  <c r="K5047" i="2"/>
  <c r="K4999" i="2"/>
  <c r="K4967" i="2"/>
  <c r="K4963" i="2"/>
  <c r="K4959" i="2"/>
  <c r="K4927" i="2"/>
  <c r="K4919" i="2"/>
  <c r="K4839" i="2"/>
  <c r="K4831" i="2"/>
  <c r="K4815" i="2"/>
  <c r="K4783" i="2"/>
  <c r="K4775" i="2"/>
  <c r="K4771" i="2"/>
  <c r="K4743" i="2"/>
  <c r="K4739" i="2"/>
  <c r="K4731" i="2"/>
  <c r="K4719" i="2"/>
  <c r="K4675" i="2"/>
  <c r="K4655" i="2"/>
  <c r="K4647" i="2"/>
  <c r="K4603" i="2"/>
  <c r="K4555" i="2"/>
  <c r="K4551" i="2"/>
  <c r="K4547" i="2"/>
  <c r="K4543" i="2"/>
  <c r="K4535" i="2"/>
  <c r="K4527" i="2"/>
  <c r="K4511" i="2"/>
  <c r="K4491" i="2"/>
  <c r="K4479" i="2"/>
  <c r="K4439" i="2"/>
  <c r="K4435" i="2"/>
  <c r="K4431" i="2"/>
  <c r="K4427" i="2"/>
  <c r="K4411" i="2"/>
  <c r="K4399" i="2"/>
  <c r="K4387" i="2"/>
  <c r="K4359" i="2"/>
  <c r="K4339" i="2"/>
  <c r="K4335" i="2"/>
  <c r="K4311" i="2"/>
  <c r="K4307" i="2"/>
  <c r="K4279" i="2"/>
  <c r="K4275" i="2"/>
  <c r="K4215" i="2"/>
  <c r="K4203" i="2"/>
  <c r="K4199" i="2"/>
  <c r="K4195" i="2"/>
  <c r="K4191" i="2"/>
  <c r="K4167" i="2"/>
  <c r="K4159" i="2"/>
  <c r="K4155" i="2"/>
  <c r="K4135" i="2"/>
  <c r="K4115" i="2"/>
  <c r="K4083" i="2"/>
  <c r="K4067" i="2"/>
  <c r="K4015" i="2"/>
  <c r="K4011" i="2"/>
  <c r="K3991" i="2"/>
  <c r="K3983" i="2"/>
  <c r="K3975" i="2"/>
  <c r="K3947" i="2"/>
  <c r="K3915" i="2"/>
  <c r="K3883" i="2"/>
  <c r="K3847" i="2"/>
  <c r="K3843" i="2"/>
  <c r="K3839" i="2"/>
  <c r="K3835" i="2"/>
  <c r="K3831" i="2"/>
  <c r="K3791" i="2"/>
  <c r="K3751" i="2"/>
  <c r="K3739" i="2"/>
  <c r="K3723" i="2"/>
  <c r="K3683" i="2"/>
  <c r="K3671" i="2"/>
  <c r="K3631" i="2"/>
  <c r="K3579" i="2"/>
  <c r="K3575" i="2"/>
  <c r="K3559" i="2"/>
  <c r="K3511" i="2"/>
  <c r="K3491" i="2"/>
  <c r="K3483" i="2"/>
  <c r="K3471" i="2"/>
  <c r="K3459" i="2"/>
  <c r="K3451" i="2"/>
  <c r="K3435" i="2"/>
  <c r="K3423" i="2"/>
  <c r="K3415" i="2"/>
  <c r="K3407" i="2"/>
  <c r="K3403" i="2"/>
  <c r="K3391" i="2"/>
  <c r="K3375" i="2"/>
  <c r="K3371" i="2"/>
  <c r="K3363" i="2"/>
  <c r="K3351" i="2"/>
  <c r="K3347" i="2"/>
  <c r="K3323" i="2"/>
  <c r="K3319" i="2"/>
  <c r="K3279" i="2"/>
  <c r="K3267" i="2"/>
  <c r="K3259" i="2"/>
  <c r="K3255" i="2"/>
  <c r="K3251" i="2"/>
  <c r="K3227" i="2"/>
  <c r="K3223" i="2"/>
  <c r="K3215" i="2"/>
  <c r="K3195" i="2"/>
  <c r="K3191" i="2"/>
  <c r="K3151" i="2"/>
  <c r="K3127" i="2"/>
  <c r="K3123" i="2"/>
  <c r="K3107" i="2"/>
  <c r="K3087" i="2"/>
  <c r="K3059" i="2"/>
  <c r="K3027" i="2"/>
  <c r="K3019" i="2"/>
  <c r="K2999" i="2"/>
  <c r="K2995" i="2"/>
  <c r="K2991" i="2"/>
  <c r="K2979" i="2"/>
  <c r="K2963" i="2"/>
  <c r="K2959" i="2"/>
  <c r="K2955" i="2"/>
  <c r="K2951" i="2"/>
  <c r="K2939" i="2"/>
  <c r="K2903" i="2"/>
  <c r="K2895" i="2"/>
  <c r="K2891" i="2"/>
  <c r="K2859" i="2"/>
  <c r="K2835" i="2"/>
  <c r="K2819" i="2"/>
  <c r="K2759" i="2"/>
  <c r="K2747" i="2"/>
  <c r="K2723" i="2"/>
  <c r="K2715" i="2"/>
  <c r="K2695" i="2"/>
  <c r="K2691" i="2"/>
  <c r="K2671" i="2"/>
  <c r="K2667" i="2"/>
  <c r="K2659" i="2"/>
  <c r="K2611" i="2"/>
  <c r="K2607" i="2"/>
  <c r="K2603" i="2"/>
  <c r="K2599" i="2"/>
  <c r="K2595" i="2"/>
  <c r="K2587" i="2"/>
  <c r="K2567" i="2"/>
  <c r="K2559" i="2"/>
  <c r="K2539" i="2"/>
  <c r="K2523" i="2"/>
  <c r="K2519" i="2"/>
  <c r="K2507" i="2"/>
  <c r="K2503" i="2"/>
  <c r="K2495" i="2"/>
  <c r="K2479" i="2"/>
  <c r="K2467" i="2"/>
  <c r="K2455" i="2"/>
  <c r="K2443" i="2"/>
  <c r="K2407" i="2"/>
  <c r="K2387" i="2"/>
  <c r="K2339" i="2"/>
  <c r="K2335" i="2"/>
  <c r="K2271" i="2"/>
  <c r="K2263" i="2"/>
  <c r="K2255" i="2"/>
  <c r="K2243" i="2"/>
  <c r="K2239" i="2"/>
  <c r="K2235" i="2"/>
  <c r="K2227" i="2"/>
  <c r="K2207" i="2"/>
  <c r="K2199" i="2"/>
  <c r="K2123" i="2"/>
  <c r="K2079" i="2"/>
  <c r="K2075" i="2"/>
  <c r="K2071" i="2"/>
  <c r="K1975" i="2"/>
  <c r="K1955" i="2"/>
  <c r="K1891" i="2"/>
  <c r="K1871" i="2"/>
  <c r="K1859" i="2"/>
  <c r="K1855" i="2"/>
  <c r="K1823" i="2"/>
  <c r="K1815" i="2"/>
  <c r="K1787" i="2"/>
  <c r="K1779" i="2"/>
  <c r="K1747" i="2"/>
  <c r="K1727" i="2"/>
  <c r="K1703" i="2"/>
  <c r="K1695" i="2"/>
  <c r="K1671" i="2"/>
  <c r="K1655" i="2"/>
  <c r="K1627" i="2"/>
  <c r="K1603" i="2"/>
  <c r="K1595" i="2"/>
  <c r="K1571" i="2"/>
  <c r="K1515" i="2"/>
  <c r="K1511" i="2"/>
  <c r="K1499" i="2"/>
  <c r="K1447" i="2"/>
  <c r="K1423" i="2"/>
  <c r="K1411" i="2"/>
  <c r="K1387" i="2"/>
  <c r="K1379" i="2"/>
  <c r="K1359" i="2"/>
  <c r="K1335" i="2"/>
  <c r="K1299" i="2"/>
  <c r="K1295" i="2"/>
  <c r="K1267" i="2"/>
  <c r="K1219" i="2"/>
  <c r="K1215" i="2"/>
  <c r="K1211" i="2"/>
  <c r="K1207" i="2"/>
  <c r="K1203" i="2"/>
  <c r="K1195" i="2"/>
  <c r="K1175" i="2"/>
  <c r="K1167" i="2"/>
  <c r="K1163" i="2"/>
  <c r="K1147" i="2"/>
  <c r="K1143" i="2"/>
  <c r="K1119" i="2"/>
  <c r="K1107" i="2"/>
  <c r="K1051" i="2"/>
  <c r="K1007" i="2"/>
  <c r="K991" i="2"/>
  <c r="K987" i="2"/>
  <c r="K975" i="2"/>
  <c r="K955" i="2"/>
  <c r="K951" i="2"/>
  <c r="K935" i="2"/>
  <c r="K923" i="2"/>
  <c r="K883" i="2"/>
  <c r="K879" i="2"/>
  <c r="K863" i="2"/>
  <c r="K851" i="2"/>
  <c r="K843" i="2"/>
  <c r="K839" i="2"/>
  <c r="K835" i="2"/>
  <c r="K827" i="2"/>
  <c r="K811" i="2"/>
  <c r="K807" i="2"/>
  <c r="K803" i="2"/>
  <c r="K799" i="2"/>
  <c r="K787" i="2"/>
  <c r="K767" i="2"/>
  <c r="K763" i="2"/>
  <c r="K739" i="2"/>
  <c r="K719" i="2"/>
  <c r="K687" i="2"/>
  <c r="K647" i="2"/>
  <c r="K643" i="2"/>
  <c r="K639" i="2"/>
  <c r="K619" i="2"/>
  <c r="K607" i="2"/>
  <c r="K587" i="2"/>
  <c r="K567" i="2"/>
  <c r="K551" i="2"/>
  <c r="K547" i="2"/>
  <c r="K539" i="2"/>
  <c r="K519" i="2"/>
  <c r="K515" i="2"/>
  <c r="K479" i="2"/>
  <c r="K451" i="2"/>
  <c r="K427" i="2"/>
  <c r="K399" i="2"/>
  <c r="K395" i="2"/>
  <c r="K355" i="2"/>
  <c r="K347" i="2"/>
  <c r="K343" i="2"/>
  <c r="K339" i="2"/>
  <c r="K319" i="2"/>
  <c r="K311" i="2"/>
  <c r="K287" i="2"/>
  <c r="K243" i="2"/>
  <c r="K231" i="2"/>
  <c r="K211" i="2"/>
  <c r="K171" i="2"/>
  <c r="K123" i="2"/>
  <c r="K119" i="2"/>
  <c r="K107" i="2"/>
  <c r="K103" i="2"/>
  <c r="K99" i="2"/>
  <c r="K63" i="2"/>
  <c r="K802" i="2"/>
  <c r="K3" i="2"/>
  <c r="K9993" i="2"/>
  <c r="K9989" i="2"/>
  <c r="K9985" i="2"/>
  <c r="K9977" i="2"/>
  <c r="K9973" i="2"/>
  <c r="K9969" i="2"/>
  <c r="K9961" i="2"/>
  <c r="K9957" i="2"/>
  <c r="K9953" i="2"/>
  <c r="K9945" i="2"/>
  <c r="K9941" i="2"/>
  <c r="K9937" i="2"/>
  <c r="K9929" i="2"/>
  <c r="K9925" i="2"/>
  <c r="K9921" i="2"/>
  <c r="K9913" i="2"/>
  <c r="K9909" i="2"/>
  <c r="K9905" i="2"/>
  <c r="K9897" i="2"/>
  <c r="K9893" i="2"/>
  <c r="K9889" i="2"/>
  <c r="K9881" i="2"/>
  <c r="K9877" i="2"/>
  <c r="K9873" i="2"/>
  <c r="K9865" i="2"/>
  <c r="K9861" i="2"/>
  <c r="K9857" i="2"/>
  <c r="K9849" i="2"/>
  <c r="K9845" i="2"/>
  <c r="K9841" i="2"/>
  <c r="K9833" i="2"/>
  <c r="K9829" i="2"/>
  <c r="K9825" i="2"/>
  <c r="K9817" i="2"/>
  <c r="K9813" i="2"/>
  <c r="K9809" i="2"/>
  <c r="K9801" i="2"/>
  <c r="K9797" i="2"/>
  <c r="K9793" i="2"/>
  <c r="K9785" i="2"/>
  <c r="K9781" i="2"/>
  <c r="K9777" i="2"/>
  <c r="K9769" i="2"/>
  <c r="K9765" i="2"/>
  <c r="K9761" i="2"/>
  <c r="K9753" i="2"/>
  <c r="K9749" i="2"/>
  <c r="K9745" i="2"/>
  <c r="K9737" i="2"/>
  <c r="K9733" i="2"/>
  <c r="K9729" i="2"/>
  <c r="K9721" i="2"/>
  <c r="K9717" i="2"/>
  <c r="K9713" i="2"/>
  <c r="K9705" i="2"/>
  <c r="K9701" i="2"/>
  <c r="K9697" i="2"/>
  <c r="K9689" i="2"/>
  <c r="K9685" i="2"/>
  <c r="K9681" i="2"/>
  <c r="K9673" i="2"/>
  <c r="K9669" i="2"/>
  <c r="K9665" i="2"/>
  <c r="K9657" i="2"/>
  <c r="K9653" i="2"/>
  <c r="K9649" i="2"/>
  <c r="K9641" i="2"/>
  <c r="K9637" i="2"/>
  <c r="K9633" i="2"/>
  <c r="K9625" i="2"/>
  <c r="K9621" i="2"/>
  <c r="K9617" i="2"/>
  <c r="K9609" i="2"/>
  <c r="K9605" i="2"/>
  <c r="K9601" i="2"/>
  <c r="K9593" i="2"/>
  <c r="K9589" i="2"/>
  <c r="K9585" i="2"/>
  <c r="K9577" i="2"/>
  <c r="K9573" i="2"/>
  <c r="K9569" i="2"/>
  <c r="K9561" i="2"/>
  <c r="K9557" i="2"/>
  <c r="K9553" i="2"/>
  <c r="K9545" i="2"/>
  <c r="K9541" i="2"/>
  <c r="K9537" i="2"/>
  <c r="K9529" i="2"/>
  <c r="K9525" i="2"/>
  <c r="K9521" i="2"/>
  <c r="K9513" i="2"/>
  <c r="K9509" i="2"/>
  <c r="K9505" i="2"/>
  <c r="K9497" i="2"/>
  <c r="K9493" i="2"/>
  <c r="K9489" i="2"/>
  <c r="K9481" i="2"/>
  <c r="K9477" i="2"/>
  <c r="K9473" i="2"/>
  <c r="K9465" i="2"/>
  <c r="K9461" i="2"/>
  <c r="K9457" i="2"/>
  <c r="K9449" i="2"/>
  <c r="K9445" i="2"/>
  <c r="K9441" i="2"/>
  <c r="K9433" i="2"/>
  <c r="K9429" i="2"/>
  <c r="K9425" i="2"/>
  <c r="K9417" i="2"/>
  <c r="K9413" i="2"/>
  <c r="K9409" i="2"/>
  <c r="K9401" i="2"/>
  <c r="K9397" i="2"/>
  <c r="K9393" i="2"/>
  <c r="K9385" i="2"/>
  <c r="K9381" i="2"/>
  <c r="K9377" i="2"/>
  <c r="K9369" i="2"/>
  <c r="K9365" i="2"/>
  <c r="K9361" i="2"/>
  <c r="K9353" i="2"/>
  <c r="K9349" i="2"/>
  <c r="K9345" i="2"/>
  <c r="K9337" i="2"/>
  <c r="K9333" i="2"/>
  <c r="K9329" i="2"/>
  <c r="K9321" i="2"/>
  <c r="K9317" i="2"/>
  <c r="K9313" i="2"/>
  <c r="K9305" i="2"/>
  <c r="K9301" i="2"/>
  <c r="K9297" i="2"/>
  <c r="K9289" i="2"/>
  <c r="K9285" i="2"/>
  <c r="K9281" i="2"/>
  <c r="K9273" i="2"/>
  <c r="K9269" i="2"/>
  <c r="K9265" i="2"/>
  <c r="K9257" i="2"/>
  <c r="K9253" i="2"/>
  <c r="K9249" i="2"/>
  <c r="K9241" i="2"/>
  <c r="K9237" i="2"/>
  <c r="K9233" i="2"/>
  <c r="K9225" i="2"/>
  <c r="K9221" i="2"/>
  <c r="K9217" i="2"/>
  <c r="K9209" i="2"/>
  <c r="K9205" i="2"/>
  <c r="K9201" i="2"/>
  <c r="K9193" i="2"/>
  <c r="K9189" i="2"/>
  <c r="K9185" i="2"/>
  <c r="K9177" i="2"/>
  <c r="K9173" i="2"/>
  <c r="K9169" i="2"/>
  <c r="K9161" i="2"/>
  <c r="K9157" i="2"/>
  <c r="K9153" i="2"/>
  <c r="K9145" i="2"/>
  <c r="K9141" i="2"/>
  <c r="K9137" i="2"/>
  <c r="K9129" i="2"/>
  <c r="K9125" i="2"/>
  <c r="K9121" i="2"/>
  <c r="K9113" i="2"/>
  <c r="K9109" i="2"/>
  <c r="K9105" i="2"/>
  <c r="K9097" i="2"/>
  <c r="K9093" i="2"/>
  <c r="K9089" i="2"/>
  <c r="K9081" i="2"/>
  <c r="K9077" i="2"/>
  <c r="K9073" i="2"/>
  <c r="K9065" i="2"/>
  <c r="K9061" i="2"/>
  <c r="K9057" i="2"/>
  <c r="K9049" i="2"/>
  <c r="K9045" i="2"/>
  <c r="K9041" i="2"/>
  <c r="K9033" i="2"/>
  <c r="K9029" i="2"/>
  <c r="K9025" i="2"/>
  <c r="K9017" i="2"/>
  <c r="K9013" i="2"/>
  <c r="K9009" i="2"/>
  <c r="K9001" i="2"/>
  <c r="K8997" i="2"/>
  <c r="K8993" i="2"/>
  <c r="K8985" i="2"/>
  <c r="K8981" i="2"/>
  <c r="K8977" i="2"/>
  <c r="K8969" i="2"/>
  <c r="K8965" i="2"/>
  <c r="K8961" i="2"/>
  <c r="K8953" i="2"/>
  <c r="K8949" i="2"/>
  <c r="K8945" i="2"/>
  <c r="K8937" i="2"/>
  <c r="K8933" i="2"/>
  <c r="K8929" i="2"/>
  <c r="K8921" i="2"/>
  <c r="K8917" i="2"/>
  <c r="K8913" i="2"/>
  <c r="K8905" i="2"/>
  <c r="K8901" i="2"/>
  <c r="K8897" i="2"/>
  <c r="K8889" i="2"/>
  <c r="K8885" i="2"/>
  <c r="K8881" i="2"/>
  <c r="K8873" i="2"/>
  <c r="K8869" i="2"/>
  <c r="K8865" i="2"/>
  <c r="K8857" i="2"/>
  <c r="K8853" i="2"/>
  <c r="K8849" i="2"/>
  <c r="K8841" i="2"/>
  <c r="K8837" i="2"/>
  <c r="K8833" i="2"/>
  <c r="K8825" i="2"/>
  <c r="K8821" i="2"/>
  <c r="K8817" i="2"/>
  <c r="K8809" i="2"/>
  <c r="K8805" i="2"/>
  <c r="K8801" i="2"/>
  <c r="K8793" i="2"/>
  <c r="K8789" i="2"/>
  <c r="K8785" i="2"/>
  <c r="K8777" i="2"/>
  <c r="K8773" i="2"/>
  <c r="K8769" i="2"/>
  <c r="K8761" i="2"/>
  <c r="K8757" i="2"/>
  <c r="K8753" i="2"/>
  <c r="K8745" i="2"/>
  <c r="K8741" i="2"/>
  <c r="K8737" i="2"/>
  <c r="K8729" i="2"/>
  <c r="K8725" i="2"/>
  <c r="K8721" i="2"/>
  <c r="K8713" i="2"/>
  <c r="K8709" i="2"/>
  <c r="K8705" i="2"/>
  <c r="K8697" i="2"/>
  <c r="K8693" i="2"/>
  <c r="K8689" i="2"/>
  <c r="K8681" i="2"/>
  <c r="K8677" i="2"/>
  <c r="K8673" i="2"/>
  <c r="K8665" i="2"/>
  <c r="K8661" i="2"/>
  <c r="K8657" i="2"/>
  <c r="K8649" i="2"/>
  <c r="K8645" i="2"/>
  <c r="K8641" i="2"/>
  <c r="K8633" i="2"/>
  <c r="K8629" i="2"/>
  <c r="K8625" i="2"/>
  <c r="K8617" i="2"/>
  <c r="K8613" i="2"/>
  <c r="K8609" i="2"/>
  <c r="K8601" i="2"/>
  <c r="K8597" i="2"/>
  <c r="K8593" i="2"/>
  <c r="K8585" i="2"/>
  <c r="K8581" i="2"/>
  <c r="K8577" i="2"/>
  <c r="K8569" i="2"/>
  <c r="K8565" i="2"/>
  <c r="K8561" i="2"/>
  <c r="K8553" i="2"/>
  <c r="K8549" i="2"/>
  <c r="K8545" i="2"/>
  <c r="K8537" i="2"/>
  <c r="K8533" i="2"/>
  <c r="K8529" i="2"/>
  <c r="K8521" i="2"/>
  <c r="K8517" i="2"/>
  <c r="K8513" i="2"/>
  <c r="K8505" i="2"/>
  <c r="K8501" i="2"/>
  <c r="K8497" i="2"/>
  <c r="K8489" i="2"/>
  <c r="K8485" i="2"/>
  <c r="K8481" i="2"/>
  <c r="K8473" i="2"/>
  <c r="K8469" i="2"/>
  <c r="K8465" i="2"/>
  <c r="K8457" i="2"/>
  <c r="K8453" i="2"/>
  <c r="K8449" i="2"/>
  <c r="K8441" i="2"/>
  <c r="K8437" i="2"/>
  <c r="K8433" i="2"/>
  <c r="K8425" i="2"/>
  <c r="K8421" i="2"/>
  <c r="K8417" i="2"/>
  <c r="K8409" i="2"/>
  <c r="K8405" i="2"/>
  <c r="K8401" i="2"/>
  <c r="K8393" i="2"/>
  <c r="K8389" i="2"/>
  <c r="K8385" i="2"/>
  <c r="K8377" i="2"/>
  <c r="K8373" i="2"/>
  <c r="K8369" i="2"/>
  <c r="K8361" i="2"/>
  <c r="K8357" i="2"/>
  <c r="K8353" i="2"/>
  <c r="K8345" i="2"/>
  <c r="K8341" i="2"/>
  <c r="K8337" i="2"/>
  <c r="K8329" i="2"/>
  <c r="K8325" i="2"/>
  <c r="K8321" i="2"/>
  <c r="K8313" i="2"/>
  <c r="K8309" i="2"/>
  <c r="K8305" i="2"/>
  <c r="K8297" i="2"/>
  <c r="K8293" i="2"/>
  <c r="K8289" i="2"/>
  <c r="K8281" i="2"/>
  <c r="K8277" i="2"/>
  <c r="K8273" i="2"/>
  <c r="K8265" i="2"/>
  <c r="K8261" i="2"/>
  <c r="K8257" i="2"/>
  <c r="K8249" i="2"/>
  <c r="K8245" i="2"/>
  <c r="K8241" i="2"/>
  <c r="K8233" i="2"/>
  <c r="K8229" i="2"/>
  <c r="K8225" i="2"/>
  <c r="K8217" i="2"/>
  <c r="K8213" i="2"/>
  <c r="K8209" i="2"/>
  <c r="K8201" i="2"/>
  <c r="K8197" i="2"/>
  <c r="K8193" i="2"/>
  <c r="K8185" i="2"/>
  <c r="K8181" i="2"/>
  <c r="K8177" i="2"/>
  <c r="K8169" i="2"/>
  <c r="K8165" i="2"/>
  <c r="K8161" i="2"/>
  <c r="K8153" i="2"/>
  <c r="K8149" i="2"/>
  <c r="K8145" i="2"/>
  <c r="K8141" i="2"/>
  <c r="K8137" i="2"/>
  <c r="K8133" i="2"/>
  <c r="K8129" i="2"/>
  <c r="K8125" i="2"/>
  <c r="K8121" i="2"/>
  <c r="K8117" i="2"/>
  <c r="K8113" i="2"/>
  <c r="K8109" i="2"/>
  <c r="K8105" i="2"/>
  <c r="K8101" i="2"/>
  <c r="K8097" i="2"/>
  <c r="K8093" i="2"/>
  <c r="K8089" i="2"/>
  <c r="K8085" i="2"/>
  <c r="K8081" i="2"/>
  <c r="K8077" i="2"/>
  <c r="K8073" i="2"/>
  <c r="K8069" i="2"/>
  <c r="K8065" i="2"/>
  <c r="K8061" i="2"/>
  <c r="K8057" i="2"/>
  <c r="K8053" i="2"/>
  <c r="K8049" i="2"/>
  <c r="K8045" i="2"/>
  <c r="K8041" i="2"/>
  <c r="K8037" i="2"/>
  <c r="K8033" i="2"/>
  <c r="K8029" i="2"/>
  <c r="K8025" i="2"/>
  <c r="K8021" i="2"/>
  <c r="K8017" i="2"/>
  <c r="K8013" i="2"/>
  <c r="K8009" i="2"/>
  <c r="K8005" i="2"/>
  <c r="K8001" i="2"/>
  <c r="K7997" i="2"/>
  <c r="K7993" i="2"/>
  <c r="K7989" i="2"/>
  <c r="K7985" i="2"/>
  <c r="K7981" i="2"/>
  <c r="K7977" i="2"/>
  <c r="K7973" i="2"/>
  <c r="K7969" i="2"/>
  <c r="K7965" i="2"/>
  <c r="K7961" i="2"/>
  <c r="K7957" i="2"/>
  <c r="K7953" i="2"/>
  <c r="K7949" i="2"/>
  <c r="K7945" i="2"/>
  <c r="K7941" i="2"/>
  <c r="K7937" i="2"/>
  <c r="K7933" i="2"/>
  <c r="K7929" i="2"/>
  <c r="K7925" i="2"/>
  <c r="K7921" i="2"/>
  <c r="K7917" i="2"/>
  <c r="K7913" i="2"/>
  <c r="K7909" i="2"/>
  <c r="K7905" i="2"/>
  <c r="K7901" i="2"/>
  <c r="K7897" i="2"/>
  <c r="K7893" i="2"/>
  <c r="K7889" i="2"/>
  <c r="K7885" i="2"/>
  <c r="K7881" i="2"/>
  <c r="K7877" i="2"/>
  <c r="K7873" i="2"/>
  <c r="K7869" i="2"/>
  <c r="K7865" i="2"/>
  <c r="K7861" i="2"/>
  <c r="K7857" i="2"/>
  <c r="K7853" i="2"/>
  <c r="K7849" i="2"/>
  <c r="K7845" i="2"/>
  <c r="K7841" i="2"/>
  <c r="K7837" i="2"/>
  <c r="K7833" i="2"/>
  <c r="K7829" i="2"/>
  <c r="K7825" i="2"/>
  <c r="K7821" i="2"/>
  <c r="K7817" i="2"/>
  <c r="K7813" i="2"/>
  <c r="K7809" i="2"/>
  <c r="K7805" i="2"/>
  <c r="K7801" i="2"/>
  <c r="K7797" i="2"/>
  <c r="K7793" i="2"/>
  <c r="K7789" i="2"/>
  <c r="K7785" i="2"/>
  <c r="K7781" i="2"/>
  <c r="K7777" i="2"/>
  <c r="K7773" i="2"/>
  <c r="K7769" i="2"/>
  <c r="K7765" i="2"/>
  <c r="K7761" i="2"/>
  <c r="K7757" i="2"/>
  <c r="K7753" i="2"/>
  <c r="K7749" i="2"/>
  <c r="K7745" i="2"/>
  <c r="K7741" i="2"/>
  <c r="K7737" i="2"/>
  <c r="K7733" i="2"/>
  <c r="K7729" i="2"/>
  <c r="K7725" i="2"/>
  <c r="K7721" i="2"/>
  <c r="K7717" i="2"/>
  <c r="K7713" i="2"/>
  <c r="K7709" i="2"/>
  <c r="K7705" i="2"/>
  <c r="K7701" i="2"/>
  <c r="K7697" i="2"/>
  <c r="K7693" i="2"/>
  <c r="K7689" i="2"/>
  <c r="K7685" i="2"/>
  <c r="K7681" i="2"/>
  <c r="K7677" i="2"/>
  <c r="K7673" i="2"/>
  <c r="K7669" i="2"/>
  <c r="K7665" i="2"/>
  <c r="K7661" i="2"/>
  <c r="K7657" i="2"/>
  <c r="K7653" i="2"/>
  <c r="K7649" i="2"/>
  <c r="K7645" i="2"/>
  <c r="K7641" i="2"/>
  <c r="K7637" i="2"/>
  <c r="K7633" i="2"/>
  <c r="K7629" i="2"/>
  <c r="K7625" i="2"/>
  <c r="K7621" i="2"/>
  <c r="K7617" i="2"/>
  <c r="K7613" i="2"/>
  <c r="K7609" i="2"/>
  <c r="K7605" i="2"/>
  <c r="K7601" i="2"/>
  <c r="K7597" i="2"/>
  <c r="K7593" i="2"/>
  <c r="K7589" i="2"/>
  <c r="K7585" i="2"/>
  <c r="K7581" i="2"/>
  <c r="K7577" i="2"/>
  <c r="K7573" i="2"/>
  <c r="K7569" i="2"/>
  <c r="K7565" i="2"/>
  <c r="K7561" i="2"/>
  <c r="K7557" i="2"/>
  <c r="K7553" i="2"/>
  <c r="K7549" i="2"/>
  <c r="K7545" i="2"/>
  <c r="K7541" i="2"/>
  <c r="K7537" i="2"/>
  <c r="K7533" i="2"/>
  <c r="K7529" i="2"/>
  <c r="K7525" i="2"/>
  <c r="K7521" i="2"/>
  <c r="K7517" i="2"/>
  <c r="K7513" i="2"/>
  <c r="K7509" i="2"/>
  <c r="K7505" i="2"/>
  <c r="K7501" i="2"/>
  <c r="K7497" i="2"/>
  <c r="K7493" i="2"/>
  <c r="K7489" i="2"/>
  <c r="K7485" i="2"/>
  <c r="K7481" i="2"/>
  <c r="K7477" i="2"/>
  <c r="K7473" i="2"/>
  <c r="K7469" i="2"/>
  <c r="K7465" i="2"/>
  <c r="K7461" i="2"/>
  <c r="K7457" i="2"/>
  <c r="K7453" i="2"/>
  <c r="K7449" i="2"/>
  <c r="K7445" i="2"/>
  <c r="K7441" i="2"/>
  <c r="K7437" i="2"/>
  <c r="K7433" i="2"/>
  <c r="K7429" i="2"/>
  <c r="K7425" i="2"/>
  <c r="K7421" i="2"/>
  <c r="K7417" i="2"/>
  <c r="K7413" i="2"/>
  <c r="K7409" i="2"/>
  <c r="K7405" i="2"/>
  <c r="K7401" i="2"/>
  <c r="K7397" i="2"/>
  <c r="K7393" i="2"/>
  <c r="K7389" i="2"/>
  <c r="K7385" i="2"/>
  <c r="K7381" i="2"/>
  <c r="K7377" i="2"/>
  <c r="K7373" i="2"/>
  <c r="K7369" i="2"/>
  <c r="K7365" i="2"/>
  <c r="K7361" i="2"/>
  <c r="K7357" i="2"/>
  <c r="K7353" i="2"/>
  <c r="K7349" i="2"/>
  <c r="K7345" i="2"/>
  <c r="K7341" i="2"/>
  <c r="K7337" i="2"/>
  <c r="K7333" i="2"/>
  <c r="K7329" i="2"/>
  <c r="K7325" i="2"/>
  <c r="K7321" i="2"/>
  <c r="K7317" i="2"/>
  <c r="K7313" i="2"/>
  <c r="K7309" i="2"/>
  <c r="K7305" i="2"/>
  <c r="K7301" i="2"/>
  <c r="K7297" i="2"/>
  <c r="K7293" i="2"/>
  <c r="K7273" i="2"/>
  <c r="K7129" i="2"/>
  <c r="K7117" i="2"/>
  <c r="K7089" i="2"/>
  <c r="K7033" i="2"/>
  <c r="K7029" i="2"/>
  <c r="K7013" i="2"/>
  <c r="K6665" i="2"/>
  <c r="K6661" i="2"/>
  <c r="K6637" i="2"/>
  <c r="K6501" i="2"/>
  <c r="K7290" i="2"/>
  <c r="K7258" i="2"/>
  <c r="K7254" i="2"/>
  <c r="K7250" i="2"/>
  <c r="K7246" i="2"/>
  <c r="K7242" i="2"/>
  <c r="K7234" i="2"/>
  <c r="K7202" i="2"/>
  <c r="K7198" i="2"/>
  <c r="K7190" i="2"/>
  <c r="K7186" i="2"/>
  <c r="K7182" i="2"/>
  <c r="K7178" i="2"/>
  <c r="K7154" i="2"/>
  <c r="K7150" i="2"/>
  <c r="K7134" i="2"/>
  <c r="G7126" i="2"/>
  <c r="K7114" i="2"/>
  <c r="K7098" i="2"/>
  <c r="K7094" i="2"/>
  <c r="K7090" i="2"/>
  <c r="K7082" i="2"/>
  <c r="K7062" i="2"/>
  <c r="K7006" i="2"/>
  <c r="K6902" i="2"/>
  <c r="K6858" i="2"/>
  <c r="K6826" i="2"/>
  <c r="K6794" i="2"/>
  <c r="K6686" i="2"/>
  <c r="K6650" i="2"/>
  <c r="K6638" i="2"/>
  <c r="K6634" i="2"/>
  <c r="K6470" i="2"/>
  <c r="K6426" i="2"/>
  <c r="K6374" i="2"/>
  <c r="K6338" i="2"/>
  <c r="K6334" i="2"/>
  <c r="K6326" i="2"/>
  <c r="K6302" i="2"/>
  <c r="K6278" i="2"/>
  <c r="K6258" i="2"/>
  <c r="K6250" i="2"/>
  <c r="K6230" i="2"/>
  <c r="K6218" i="2"/>
  <c r="K6214" i="2"/>
  <c r="K6150" i="2"/>
  <c r="K6134" i="2"/>
  <c r="K6090" i="2"/>
  <c r="K6054" i="2"/>
  <c r="K5790" i="2"/>
  <c r="K5778" i="2"/>
  <c r="K5766" i="2"/>
  <c r="K5746" i="2"/>
  <c r="K5742" i="2"/>
  <c r="K5738" i="2"/>
  <c r="K5726" i="2"/>
  <c r="K5694" i="2"/>
  <c r="K5678" i="2"/>
  <c r="K5606" i="2"/>
  <c r="K5590" i="2"/>
  <c r="K5558" i="2"/>
  <c r="K5510" i="2"/>
  <c r="K5506" i="2"/>
  <c r="K5502" i="2"/>
  <c r="K5498" i="2"/>
  <c r="K5490" i="2"/>
  <c r="K5478" i="2"/>
  <c r="K5450" i="2"/>
  <c r="K5434" i="2"/>
  <c r="K5422" i="2"/>
  <c r="K5418" i="2"/>
  <c r="K5402" i="2"/>
  <c r="K5378" i="2"/>
  <c r="K5374" i="2"/>
  <c r="K5370" i="2"/>
  <c r="K5354" i="2"/>
  <c r="K5346" i="2"/>
  <c r="K5338" i="2"/>
  <c r="K5306" i="2"/>
  <c r="K5298" i="2"/>
  <c r="K5294" i="2"/>
  <c r="K5290" i="2"/>
  <c r="K5282" i="2"/>
  <c r="K5246" i="2"/>
  <c r="K5234" i="2"/>
  <c r="K5222" i="2"/>
  <c r="K5194" i="2"/>
  <c r="K5186" i="2"/>
  <c r="K5150" i="2"/>
  <c r="K5126" i="2"/>
  <c r="K5122" i="2"/>
  <c r="K5110" i="2"/>
  <c r="K5106" i="2"/>
  <c r="K5098" i="2"/>
  <c r="K5094" i="2"/>
  <c r="K5090" i="2"/>
  <c r="K5086" i="2"/>
  <c r="K5066" i="2"/>
  <c r="K5046" i="2"/>
  <c r="K4978" i="2"/>
  <c r="K4966" i="2"/>
  <c r="K4962" i="2"/>
  <c r="K4958" i="2"/>
  <c r="K4942" i="2"/>
  <c r="K4938" i="2"/>
  <c r="K4922" i="2"/>
  <c r="K4886" i="2"/>
  <c r="K4878" i="2"/>
  <c r="K4850" i="2"/>
  <c r="K4834" i="2"/>
  <c r="K4830" i="2"/>
  <c r="K4806" i="2"/>
  <c r="K4782" i="2"/>
  <c r="K4774" i="2"/>
  <c r="K4770" i="2"/>
  <c r="K4762" i="2"/>
  <c r="K4754" i="2"/>
  <c r="K4746" i="2"/>
  <c r="K4734" i="2"/>
  <c r="K4730" i="2"/>
  <c r="K4722" i="2"/>
  <c r="K4718" i="2"/>
  <c r="K4634" i="2"/>
  <c r="K4614" i="2"/>
  <c r="K4602" i="2"/>
  <c r="K4586" i="2"/>
  <c r="K4558" i="2"/>
  <c r="K4554" i="2"/>
  <c r="K4542" i="2"/>
  <c r="K4534" i="2"/>
  <c r="K4530" i="2"/>
  <c r="K4522" i="2"/>
  <c r="K4510" i="2"/>
  <c r="K4478" i="2"/>
  <c r="K4442" i="2"/>
  <c r="K4434" i="2"/>
  <c r="K4426" i="2"/>
  <c r="K4386" i="2"/>
  <c r="K4358" i="2"/>
  <c r="K4354" i="2"/>
  <c r="K4338" i="2"/>
  <c r="K4306" i="2"/>
  <c r="K4302" i="2"/>
  <c r="K4298" i="2"/>
  <c r="K4286" i="2"/>
  <c r="K4282" i="2"/>
  <c r="K4278" i="2"/>
  <c r="K4270" i="2"/>
  <c r="K4222" i="2"/>
  <c r="K4182" i="2"/>
  <c r="K4166" i="2"/>
  <c r="K4162" i="2"/>
  <c r="K4158" i="2"/>
  <c r="K4150" i="2"/>
  <c r="K4138" i="2"/>
  <c r="K4114" i="2"/>
  <c r="K4098" i="2"/>
  <c r="K4082" i="2"/>
  <c r="K4070" i="2"/>
  <c r="K4030" i="2"/>
  <c r="K4014" i="2"/>
  <c r="K4010" i="2"/>
  <c r="K4006" i="2"/>
  <c r="K3990" i="2"/>
  <c r="K3974" i="2"/>
  <c r="K3966" i="2"/>
  <c r="K3906" i="2"/>
  <c r="K3886" i="2"/>
  <c r="K3882" i="2"/>
  <c r="K3874" i="2"/>
  <c r="K3846" i="2"/>
  <c r="K3838" i="2"/>
  <c r="K3834" i="2"/>
  <c r="K3830" i="2"/>
  <c r="K3826" i="2"/>
  <c r="K3810" i="2"/>
  <c r="K3798" i="2"/>
  <c r="K3790" i="2"/>
  <c r="K3694" i="2"/>
  <c r="K3670" i="2"/>
  <c r="K3650" i="2"/>
  <c r="K3646" i="2"/>
  <c r="K3642" i="2"/>
  <c r="K3638" i="2"/>
  <c r="K3622" i="2"/>
  <c r="K3598" i="2"/>
  <c r="K3594" i="2"/>
  <c r="K3586" i="2"/>
  <c r="K3554" i="2"/>
  <c r="K3522" i="2"/>
  <c r="K3514" i="2"/>
  <c r="K3494" i="2"/>
  <c r="K3434" i="2"/>
  <c r="K3426" i="2"/>
  <c r="K3406" i="2"/>
  <c r="K3394" i="2"/>
  <c r="K3370" i="2"/>
  <c r="K3366" i="2"/>
  <c r="K3354" i="2"/>
  <c r="K3350" i="2"/>
  <c r="K3342" i="2"/>
  <c r="K3334" i="2"/>
  <c r="K3322" i="2"/>
  <c r="K3306" i="2"/>
  <c r="K3282" i="2"/>
  <c r="K3270" i="2"/>
  <c r="K3254" i="2"/>
  <c r="K3246" i="2"/>
  <c r="K3222" i="2"/>
  <c r="K3182" i="2"/>
  <c r="K3178" i="2"/>
  <c r="K3158" i="2"/>
  <c r="K3130" i="2"/>
  <c r="K3126" i="2"/>
  <c r="K3122" i="2"/>
  <c r="K3098" i="2"/>
  <c r="K3086" i="2"/>
  <c r="K3050" i="2"/>
  <c r="K3026" i="2"/>
  <c r="K3010" i="2"/>
  <c r="K3002" i="2"/>
  <c r="K2962" i="2"/>
  <c r="K2958" i="2"/>
  <c r="K2954" i="2"/>
  <c r="K2950" i="2"/>
  <c r="K2938" i="2"/>
  <c r="K2926" i="2"/>
  <c r="K2894" i="2"/>
  <c r="K2858" i="2"/>
  <c r="K2818" i="2"/>
  <c r="K2806" i="2"/>
  <c r="K2726" i="2"/>
  <c r="K2722" i="2"/>
  <c r="K2714" i="2"/>
  <c r="K2710" i="2"/>
  <c r="K2702" i="2"/>
  <c r="K2618" i="2"/>
  <c r="K2606" i="2"/>
  <c r="K2586" i="2"/>
  <c r="K2574" i="2"/>
  <c r="K2566" i="2"/>
  <c r="K2558" i="2"/>
  <c r="K2542" i="2"/>
  <c r="K2514" i="2"/>
  <c r="K2498" i="2"/>
  <c r="K2494" i="2"/>
  <c r="K2470" i="2"/>
  <c r="K2454" i="2"/>
  <c r="K2450" i="2"/>
  <c r="K2442" i="2"/>
  <c r="K2378" i="2"/>
  <c r="K2366" i="2"/>
  <c r="K2358" i="2"/>
  <c r="K2350" i="2"/>
  <c r="K2334" i="2"/>
  <c r="K2310" i="2"/>
  <c r="K2254" i="2"/>
  <c r="K2234" i="2"/>
  <c r="K2218" i="2"/>
  <c r="K2198" i="2"/>
  <c r="K2194" i="2"/>
  <c r="K2186" i="2"/>
  <c r="K2142" i="2"/>
  <c r="K2134" i="2"/>
  <c r="K2078" i="2"/>
  <c r="K2074" i="2"/>
  <c r="K2066" i="2"/>
  <c r="K2046" i="2"/>
  <c r="K2042" i="2"/>
  <c r="K2026" i="2"/>
  <c r="K2018" i="2"/>
  <c r="K1986" i="2"/>
  <c r="K1974" i="2"/>
  <c r="K1918" i="2"/>
  <c r="K1906" i="2"/>
  <c r="K1890" i="2"/>
  <c r="K1866" i="2"/>
  <c r="K1862" i="2"/>
  <c r="K1858" i="2"/>
  <c r="K1854" i="2"/>
  <c r="K1842" i="2"/>
  <c r="K1822" i="2"/>
  <c r="K1818" i="2"/>
  <c r="K1810" i="2"/>
  <c r="K1794" i="2"/>
  <c r="K1786" i="2"/>
  <c r="K1754" i="2"/>
  <c r="K1746" i="2"/>
  <c r="K1738" i="2"/>
  <c r="K1722" i="2"/>
  <c r="K1714" i="2"/>
  <c r="K1710" i="2"/>
  <c r="K1706" i="2"/>
  <c r="K1682" i="2"/>
  <c r="K1654" i="2"/>
  <c r="K1638" i="2"/>
  <c r="K1626" i="2"/>
  <c r="K1610" i="2"/>
  <c r="K1602" i="2"/>
  <c r="K1594" i="2"/>
  <c r="K1586" i="2"/>
  <c r="K1570" i="2"/>
  <c r="K1550" i="2"/>
  <c r="K1514" i="2"/>
  <c r="K1434" i="2"/>
  <c r="K1410" i="2"/>
  <c r="K1398" i="2"/>
  <c r="K1386" i="2"/>
  <c r="K1358" i="2"/>
  <c r="K1354" i="2"/>
  <c r="K1338" i="2"/>
  <c r="K1294" i="2"/>
  <c r="K1262" i="2"/>
  <c r="K1250" i="2"/>
  <c r="K1234" i="2"/>
  <c r="K1218" i="2"/>
  <c r="K1210" i="2"/>
  <c r="K1206" i="2"/>
  <c r="K1202" i="2"/>
  <c r="K1198" i="2"/>
  <c r="K1170" i="2"/>
  <c r="K1162" i="2"/>
  <c r="K1158" i="2"/>
  <c r="K1146" i="2"/>
  <c r="K1142" i="2"/>
  <c r="K1110" i="2"/>
  <c r="K1006" i="2"/>
  <c r="K1002" i="2"/>
  <c r="K994" i="2"/>
  <c r="K990" i="2"/>
  <c r="K986" i="2"/>
  <c r="K978" i="2"/>
  <c r="K974" i="2"/>
  <c r="K954" i="2"/>
  <c r="K950" i="2"/>
  <c r="K914" i="2"/>
  <c r="K910" i="2"/>
  <c r="K850" i="2"/>
  <c r="K806" i="2"/>
  <c r="K790" i="2"/>
  <c r="K742" i="2"/>
  <c r="K722" i="2"/>
  <c r="K718" i="2"/>
  <c r="K686" i="2"/>
  <c r="K666" i="2"/>
  <c r="K658" i="2"/>
  <c r="K646" i="2"/>
  <c r="K638" i="2"/>
  <c r="K626" i="2"/>
  <c r="K618" i="2"/>
  <c r="K606" i="2"/>
  <c r="K566" i="2"/>
  <c r="K554" i="2"/>
  <c r="K530" i="2"/>
  <c r="K522" i="2"/>
  <c r="K510" i="2"/>
  <c r="K502" i="2"/>
  <c r="K486" i="2"/>
  <c r="K478" i="2"/>
  <c r="K434" i="2"/>
  <c r="K406" i="2"/>
  <c r="K398" i="2"/>
  <c r="K386" i="2"/>
  <c r="K354" i="2"/>
  <c r="K346" i="2"/>
  <c r="K342" i="2"/>
  <c r="K338" i="2"/>
  <c r="K310" i="2"/>
  <c r="K302" i="2"/>
  <c r="K258" i="2"/>
  <c r="K214" i="2"/>
  <c r="K182" i="2"/>
  <c r="K150" i="2"/>
  <c r="K126" i="2"/>
  <c r="K122" i="2"/>
  <c r="K118" i="2"/>
  <c r="K106" i="2"/>
  <c r="K102" i="2"/>
  <c r="K98" i="2"/>
  <c r="K42" i="2"/>
  <c r="K30" i="2"/>
  <c r="K10000" i="2"/>
  <c r="K9992" i="2"/>
  <c r="K9988" i="2"/>
  <c r="K9984" i="2"/>
  <c r="K9976" i="2"/>
  <c r="K9972" i="2"/>
  <c r="K9968" i="2"/>
  <c r="K9960" i="2"/>
  <c r="K9956" i="2"/>
  <c r="K9952" i="2"/>
  <c r="K9944" i="2"/>
  <c r="K9940" i="2"/>
  <c r="K9936" i="2"/>
  <c r="K9928" i="2"/>
  <c r="K9924" i="2"/>
  <c r="K9920" i="2"/>
  <c r="K9912" i="2"/>
  <c r="K9908" i="2"/>
  <c r="K9904" i="2"/>
  <c r="K9896" i="2"/>
  <c r="K9892" i="2"/>
  <c r="K9888" i="2"/>
  <c r="K9880" i="2"/>
  <c r="K9876" i="2"/>
  <c r="K9872" i="2"/>
  <c r="K9864" i="2"/>
  <c r="K9860" i="2"/>
  <c r="K9856" i="2"/>
  <c r="K9848" i="2"/>
  <c r="K9844" i="2"/>
  <c r="K9840" i="2"/>
  <c r="K9832" i="2"/>
  <c r="K9828" i="2"/>
  <c r="K9824" i="2"/>
  <c r="K9816" i="2"/>
  <c r="K9812" i="2"/>
  <c r="K9808" i="2"/>
  <c r="K9800" i="2"/>
  <c r="K9796" i="2"/>
  <c r="K9792" i="2"/>
  <c r="K9784" i="2"/>
  <c r="K9780" i="2"/>
  <c r="K9776" i="2"/>
  <c r="K9768" i="2"/>
  <c r="K9764" i="2"/>
  <c r="K9760" i="2"/>
  <c r="K9752" i="2"/>
  <c r="K9748" i="2"/>
  <c r="K9744" i="2"/>
  <c r="K9736" i="2"/>
  <c r="K9732" i="2"/>
  <c r="K9728" i="2"/>
  <c r="K9720" i="2"/>
  <c r="K9716" i="2"/>
  <c r="K9712" i="2"/>
  <c r="K9704" i="2"/>
  <c r="K9700" i="2"/>
  <c r="K9696" i="2"/>
  <c r="K9688" i="2"/>
  <c r="K9684" i="2"/>
  <c r="K9680" i="2"/>
  <c r="K9672" i="2"/>
  <c r="K9668" i="2"/>
  <c r="K9664" i="2"/>
  <c r="K9656" i="2"/>
  <c r="K9652" i="2"/>
  <c r="K9648" i="2"/>
  <c r="K9640" i="2"/>
  <c r="K9636" i="2"/>
  <c r="K9632" i="2"/>
  <c r="K9624" i="2"/>
  <c r="K9620" i="2"/>
  <c r="K9616" i="2"/>
  <c r="K9608" i="2"/>
  <c r="K9604" i="2"/>
  <c r="K9600" i="2"/>
  <c r="K9592" i="2"/>
  <c r="K9588" i="2"/>
  <c r="K9584" i="2"/>
  <c r="K9576" i="2"/>
  <c r="K9572" i="2"/>
  <c r="K9568" i="2"/>
  <c r="K9560" i="2"/>
  <c r="K9556" i="2"/>
  <c r="K9552" i="2"/>
  <c r="K9544" i="2"/>
  <c r="K9540" i="2"/>
  <c r="K9536" i="2"/>
  <c r="K9528" i="2"/>
  <c r="K9524" i="2"/>
  <c r="K9520" i="2"/>
  <c r="K9512" i="2"/>
  <c r="K9508" i="2"/>
  <c r="K9504" i="2"/>
  <c r="K9496" i="2"/>
  <c r="K9492" i="2"/>
  <c r="K9488" i="2"/>
  <c r="K9480" i="2"/>
  <c r="K9476" i="2"/>
  <c r="K9472" i="2"/>
  <c r="K9464" i="2"/>
  <c r="K9460" i="2"/>
  <c r="K9456" i="2"/>
  <c r="K9448" i="2"/>
  <c r="K9444" i="2"/>
  <c r="K9440" i="2"/>
  <c r="K9432" i="2"/>
  <c r="K9428" i="2"/>
  <c r="K9424" i="2"/>
  <c r="K9416" i="2"/>
  <c r="K9412" i="2"/>
  <c r="K9408" i="2"/>
  <c r="K9400" i="2"/>
  <c r="K9396" i="2"/>
  <c r="K9392" i="2"/>
  <c r="K9384" i="2"/>
  <c r="K9380" i="2"/>
  <c r="K9376" i="2"/>
  <c r="K9368" i="2"/>
  <c r="K9364" i="2"/>
  <c r="K9360" i="2"/>
  <c r="K9352" i="2"/>
  <c r="K9348" i="2"/>
  <c r="K9344" i="2"/>
  <c r="K9336" i="2"/>
  <c r="K9332" i="2"/>
  <c r="K9328" i="2"/>
  <c r="K9320" i="2"/>
  <c r="K9316" i="2"/>
  <c r="K9312" i="2"/>
  <c r="K9304" i="2"/>
  <c r="K9300" i="2"/>
  <c r="K9296" i="2"/>
  <c r="K9288" i="2"/>
  <c r="K9284" i="2"/>
  <c r="K9280" i="2"/>
  <c r="K9272" i="2"/>
  <c r="K9268" i="2"/>
  <c r="K9264" i="2"/>
  <c r="K9256" i="2"/>
  <c r="K9252" i="2"/>
  <c r="K9248" i="2"/>
  <c r="K9240" i="2"/>
  <c r="K9236" i="2"/>
  <c r="K9232" i="2"/>
  <c r="K9224" i="2"/>
  <c r="K9220" i="2"/>
  <c r="K9216" i="2"/>
  <c r="K9208" i="2"/>
  <c r="K9204" i="2"/>
  <c r="K9200" i="2"/>
  <c r="K9192" i="2"/>
  <c r="K9188" i="2"/>
  <c r="K9184" i="2"/>
  <c r="K9176" i="2"/>
  <c r="K9172" i="2"/>
  <c r="K9168" i="2"/>
  <c r="K9160" i="2"/>
  <c r="K9156" i="2"/>
  <c r="K9152" i="2"/>
  <c r="K9144" i="2"/>
  <c r="K9140" i="2"/>
  <c r="K9136" i="2"/>
  <c r="K9128" i="2"/>
  <c r="K9124" i="2"/>
  <c r="K9120" i="2"/>
  <c r="K9112" i="2"/>
  <c r="K9108" i="2"/>
  <c r="K9104" i="2"/>
  <c r="K9096" i="2"/>
  <c r="K9092" i="2"/>
  <c r="K9088" i="2"/>
  <c r="K9080" i="2"/>
  <c r="K9076" i="2"/>
  <c r="K9072" i="2"/>
  <c r="K9064" i="2"/>
  <c r="K9060" i="2"/>
  <c r="K9056" i="2"/>
  <c r="K9048" i="2"/>
  <c r="K9044" i="2"/>
  <c r="K9040" i="2"/>
  <c r="K9032" i="2"/>
  <c r="K9028" i="2"/>
  <c r="K9024" i="2"/>
  <c r="K9016" i="2"/>
  <c r="K9012" i="2"/>
  <c r="K9008" i="2"/>
  <c r="K9000" i="2"/>
  <c r="K8996" i="2"/>
  <c r="K8992" i="2"/>
  <c r="K8984" i="2"/>
  <c r="K8980" i="2"/>
  <c r="K8976" i="2"/>
  <c r="K8968" i="2"/>
  <c r="K8964" i="2"/>
  <c r="K8960" i="2"/>
  <c r="K8952" i="2"/>
  <c r="K8948" i="2"/>
  <c r="K8944" i="2"/>
  <c r="K8936" i="2"/>
  <c r="K8932" i="2"/>
  <c r="K8928" i="2"/>
  <c r="K8920" i="2"/>
  <c r="K8916" i="2"/>
  <c r="K8912" i="2"/>
  <c r="K8904" i="2"/>
  <c r="K8900" i="2"/>
  <c r="K8896" i="2"/>
  <c r="K8888" i="2"/>
  <c r="K8884" i="2"/>
  <c r="K8880" i="2"/>
  <c r="K8872" i="2"/>
  <c r="K8868" i="2"/>
  <c r="K8864" i="2"/>
  <c r="K8856" i="2"/>
  <c r="K8852" i="2"/>
  <c r="K8848" i="2"/>
  <c r="K8840" i="2"/>
  <c r="K8836" i="2"/>
  <c r="K8832" i="2"/>
  <c r="K8824" i="2"/>
  <c r="K8820" i="2"/>
  <c r="K8816" i="2"/>
  <c r="K8808" i="2"/>
  <c r="K8804" i="2"/>
  <c r="K8800" i="2"/>
  <c r="K8792" i="2"/>
  <c r="K8788" i="2"/>
  <c r="K8784" i="2"/>
  <c r="K8776" i="2"/>
  <c r="K8772" i="2"/>
  <c r="K8768" i="2"/>
  <c r="K8760" i="2"/>
  <c r="K8756" i="2"/>
  <c r="K8752" i="2"/>
  <c r="K8744" i="2"/>
  <c r="K8740" i="2"/>
  <c r="K8736" i="2"/>
  <c r="K8728" i="2"/>
  <c r="K8724" i="2"/>
  <c r="K8720" i="2"/>
  <c r="K8712" i="2"/>
  <c r="K8708" i="2"/>
  <c r="K8704" i="2"/>
  <c r="K8696" i="2"/>
  <c r="K8692" i="2"/>
  <c r="K8688" i="2"/>
  <c r="K8680" i="2"/>
  <c r="K8676" i="2"/>
  <c r="K8672" i="2"/>
  <c r="K8664" i="2"/>
  <c r="K8660" i="2"/>
  <c r="K8656" i="2"/>
  <c r="K8648" i="2"/>
  <c r="K8644" i="2"/>
  <c r="K8640" i="2"/>
  <c r="K8632" i="2"/>
  <c r="K8628" i="2"/>
  <c r="K8624" i="2"/>
  <c r="K8616" i="2"/>
  <c r="K8612" i="2"/>
  <c r="K8608" i="2"/>
  <c r="K8600" i="2"/>
  <c r="K8596" i="2"/>
  <c r="K8592" i="2"/>
  <c r="K8584" i="2"/>
  <c r="K8580" i="2"/>
  <c r="K8576" i="2"/>
  <c r="K8568" i="2"/>
  <c r="K8564" i="2"/>
  <c r="K8560" i="2"/>
  <c r="K8552" i="2"/>
  <c r="K8548" i="2"/>
  <c r="K8544" i="2"/>
  <c r="K8536" i="2"/>
  <c r="K8532" i="2"/>
  <c r="K8528" i="2"/>
  <c r="K8520" i="2"/>
  <c r="K8516" i="2"/>
  <c r="K8512" i="2"/>
  <c r="K8504" i="2"/>
  <c r="K8500" i="2"/>
  <c r="K8496" i="2"/>
  <c r="K8488" i="2"/>
  <c r="K8484" i="2"/>
  <c r="K8480" i="2"/>
  <c r="K8472" i="2"/>
  <c r="K8468" i="2"/>
  <c r="K8464" i="2"/>
  <c r="K8456" i="2"/>
  <c r="K8452" i="2"/>
  <c r="K8448" i="2"/>
  <c r="K8440" i="2"/>
  <c r="K8436" i="2"/>
  <c r="K8432" i="2"/>
  <c r="K8424" i="2"/>
  <c r="K8420" i="2"/>
  <c r="K8416" i="2"/>
  <c r="K8408" i="2"/>
  <c r="K8404" i="2"/>
  <c r="K8400" i="2"/>
  <c r="K8392" i="2"/>
  <c r="K8388" i="2"/>
  <c r="K8384" i="2"/>
  <c r="K8376" i="2"/>
  <c r="K8372" i="2"/>
  <c r="K8368" i="2"/>
  <c r="K8360" i="2"/>
  <c r="K8356" i="2"/>
  <c r="K8352" i="2"/>
  <c r="K8344" i="2"/>
  <c r="K8340" i="2"/>
  <c r="K8336" i="2"/>
  <c r="K8328" i="2"/>
  <c r="K8324" i="2"/>
  <c r="K8320" i="2"/>
  <c r="K8312" i="2"/>
  <c r="K8308" i="2"/>
  <c r="K8304" i="2"/>
  <c r="K8296" i="2"/>
  <c r="K8292" i="2"/>
  <c r="K8288" i="2"/>
  <c r="K8280" i="2"/>
  <c r="K8276" i="2"/>
  <c r="K8272" i="2"/>
  <c r="K8264" i="2"/>
  <c r="K8260" i="2"/>
  <c r="K8256" i="2"/>
  <c r="K8248" i="2"/>
  <c r="K8244" i="2"/>
  <c r="K8240" i="2"/>
  <c r="K8232" i="2"/>
  <c r="K8228" i="2"/>
  <c r="K8224" i="2"/>
  <c r="K8216" i="2"/>
  <c r="K8212" i="2"/>
  <c r="K8208" i="2"/>
  <c r="K8200" i="2"/>
  <c r="K8196" i="2"/>
  <c r="K8192" i="2"/>
  <c r="K8184" i="2"/>
  <c r="K8180" i="2"/>
  <c r="K8176" i="2"/>
  <c r="K8168" i="2"/>
  <c r="K8164" i="2"/>
  <c r="K8160" i="2"/>
  <c r="K8152" i="2"/>
  <c r="K8148" i="2"/>
  <c r="K8144" i="2"/>
  <c r="K8140" i="2"/>
  <c r="K8136" i="2"/>
  <c r="K8132" i="2"/>
  <c r="K8128" i="2"/>
  <c r="K8124" i="2"/>
  <c r="K8120" i="2"/>
  <c r="K8116" i="2"/>
  <c r="K8112" i="2"/>
  <c r="K8108" i="2"/>
  <c r="K8104" i="2"/>
  <c r="K8100" i="2"/>
  <c r="K8096" i="2"/>
  <c r="K8092" i="2"/>
  <c r="K8088" i="2"/>
  <c r="K8084" i="2"/>
  <c r="K8080" i="2"/>
  <c r="K8076" i="2"/>
  <c r="K8072" i="2"/>
  <c r="K8068" i="2"/>
  <c r="K8064" i="2"/>
  <c r="K8060" i="2"/>
  <c r="K8056" i="2"/>
  <c r="K8052" i="2"/>
  <c r="K8048" i="2"/>
  <c r="K8044" i="2"/>
  <c r="K8040" i="2"/>
  <c r="K8036" i="2"/>
  <c r="K8032" i="2"/>
  <c r="K8028" i="2"/>
  <c r="K8024" i="2"/>
  <c r="K8020" i="2"/>
  <c r="K8016" i="2"/>
  <c r="K8012" i="2"/>
  <c r="K8008" i="2"/>
  <c r="K8004" i="2"/>
  <c r="K8000" i="2"/>
  <c r="K7996" i="2"/>
  <c r="K7992" i="2"/>
  <c r="K7988" i="2"/>
  <c r="K7984" i="2"/>
  <c r="K7980" i="2"/>
  <c r="K7976" i="2"/>
  <c r="K7972" i="2"/>
  <c r="K7968" i="2"/>
  <c r="K7964" i="2"/>
  <c r="K7960" i="2"/>
  <c r="K7956" i="2"/>
  <c r="K7952" i="2"/>
  <c r="K7948" i="2"/>
  <c r="K7944" i="2"/>
  <c r="K7940" i="2"/>
  <c r="K7936" i="2"/>
  <c r="K7932" i="2"/>
  <c r="K7928" i="2"/>
  <c r="K7924" i="2"/>
  <c r="K7920" i="2"/>
  <c r="K7916" i="2"/>
  <c r="K7912" i="2"/>
  <c r="K7908" i="2"/>
  <c r="K7904" i="2"/>
  <c r="K7900" i="2"/>
  <c r="K7896" i="2"/>
  <c r="K7892" i="2"/>
  <c r="K7888" i="2"/>
  <c r="K7884" i="2"/>
  <c r="K7880" i="2"/>
  <c r="K7876" i="2"/>
  <c r="K7872" i="2"/>
  <c r="K7868" i="2"/>
  <c r="K7864" i="2"/>
  <c r="K7860" i="2"/>
  <c r="K7856" i="2"/>
  <c r="K7852" i="2"/>
  <c r="K7848" i="2"/>
  <c r="K7844" i="2"/>
  <c r="K7840" i="2"/>
  <c r="K7836" i="2"/>
  <c r="K7832" i="2"/>
  <c r="K7828" i="2"/>
  <c r="K7824" i="2"/>
  <c r="K7820" i="2"/>
  <c r="K7816" i="2"/>
  <c r="K7812" i="2"/>
  <c r="K7808" i="2"/>
  <c r="K7804" i="2"/>
  <c r="K7800" i="2"/>
  <c r="K7796" i="2"/>
  <c r="K7792" i="2"/>
  <c r="K7788" i="2"/>
  <c r="K7784" i="2"/>
  <c r="K7780" i="2"/>
  <c r="K7776" i="2"/>
  <c r="K7772" i="2"/>
  <c r="K7768" i="2"/>
  <c r="K7764" i="2"/>
  <c r="K7760" i="2"/>
  <c r="K7756" i="2"/>
  <c r="K7752" i="2"/>
  <c r="K7748" i="2"/>
  <c r="K7744" i="2"/>
  <c r="K7740" i="2"/>
  <c r="K7736" i="2"/>
  <c r="K7732" i="2"/>
  <c r="K7728" i="2"/>
  <c r="K7724" i="2"/>
  <c r="K7720" i="2"/>
  <c r="K7716" i="2"/>
  <c r="K7712" i="2"/>
  <c r="K7708" i="2"/>
  <c r="K7704" i="2"/>
  <c r="K7700" i="2"/>
  <c r="K7696" i="2"/>
  <c r="K7692" i="2"/>
  <c r="K7688" i="2"/>
  <c r="K7684" i="2"/>
  <c r="K7680" i="2"/>
  <c r="K7676" i="2"/>
  <c r="K7672" i="2"/>
  <c r="K7668" i="2"/>
  <c r="K7664" i="2"/>
  <c r="K7660" i="2"/>
  <c r="K7656" i="2"/>
  <c r="K7652" i="2"/>
  <c r="K7648" i="2"/>
  <c r="K7644" i="2"/>
  <c r="K7640" i="2"/>
  <c r="K7636" i="2"/>
  <c r="K7632" i="2"/>
  <c r="K7628" i="2"/>
  <c r="K7624" i="2"/>
  <c r="K7620" i="2"/>
  <c r="K7616" i="2"/>
  <c r="K7612" i="2"/>
  <c r="K7608" i="2"/>
  <c r="K7604" i="2"/>
  <c r="K7600" i="2"/>
  <c r="K7596" i="2"/>
  <c r="K7592" i="2"/>
  <c r="K7588" i="2"/>
  <c r="K7584" i="2"/>
  <c r="K7580" i="2"/>
  <c r="K7576" i="2"/>
  <c r="K7572" i="2"/>
  <c r="K7568" i="2"/>
  <c r="K7564" i="2"/>
  <c r="K7560" i="2"/>
  <c r="K7556" i="2"/>
  <c r="K7552" i="2"/>
  <c r="K7548" i="2"/>
  <c r="K7544" i="2"/>
  <c r="K7540" i="2"/>
  <c r="K7536" i="2"/>
  <c r="K7532" i="2"/>
  <c r="K7528" i="2"/>
  <c r="K7524" i="2"/>
  <c r="K7520" i="2"/>
  <c r="K7516" i="2"/>
  <c r="K7512" i="2"/>
  <c r="K7508" i="2"/>
  <c r="K7504" i="2"/>
  <c r="K7500" i="2"/>
  <c r="K7496" i="2"/>
  <c r="K7492" i="2"/>
  <c r="K7488" i="2"/>
  <c r="K7484" i="2"/>
  <c r="K7480" i="2"/>
  <c r="K7476" i="2"/>
  <c r="K7472" i="2"/>
  <c r="K7468" i="2"/>
  <c r="K7464" i="2"/>
  <c r="K7460" i="2"/>
  <c r="K7456" i="2"/>
  <c r="K7452" i="2"/>
  <c r="K7448" i="2"/>
  <c r="K7444" i="2"/>
  <c r="K7440" i="2"/>
  <c r="K7436" i="2"/>
  <c r="K7432" i="2"/>
  <c r="K7428" i="2"/>
  <c r="K7424" i="2"/>
  <c r="K7420" i="2"/>
  <c r="K7416" i="2"/>
  <c r="K7412" i="2"/>
  <c r="K7408" i="2"/>
  <c r="K7404" i="2"/>
  <c r="K7400" i="2"/>
  <c r="K7396" i="2"/>
  <c r="K7392" i="2"/>
  <c r="K7388" i="2"/>
  <c r="K7384" i="2"/>
  <c r="K7380" i="2"/>
  <c r="K7376" i="2"/>
  <c r="K7372" i="2"/>
  <c r="K7368" i="2"/>
  <c r="K7364" i="2"/>
  <c r="K7360" i="2"/>
  <c r="K7356" i="2"/>
  <c r="K7352" i="2"/>
  <c r="K7348" i="2"/>
  <c r="K7344" i="2"/>
  <c r="K7340" i="2"/>
  <c r="K7336" i="2"/>
  <c r="K7332" i="2"/>
  <c r="K7328" i="2"/>
  <c r="K7324" i="2"/>
  <c r="K7320" i="2"/>
  <c r="K7316" i="2"/>
  <c r="K7312" i="2"/>
  <c r="K7308" i="2"/>
  <c r="K7304" i="2"/>
  <c r="K7300" i="2"/>
  <c r="K7296" i="2"/>
  <c r="K7292" i="2"/>
  <c r="K7286" i="2"/>
  <c r="K613" i="2"/>
  <c r="K3659" i="2"/>
  <c r="K6766" i="2"/>
  <c r="K6510" i="2"/>
  <c r="K6336" i="2"/>
  <c r="K5001" i="2"/>
  <c r="K3773" i="2"/>
  <c r="K6502" i="2"/>
  <c r="K696" i="2"/>
  <c r="K7097" i="2"/>
  <c r="K3793" i="2"/>
  <c r="K7061" i="2"/>
  <c r="K2543" i="2"/>
  <c r="K5757" i="2"/>
  <c r="K7041" i="2"/>
  <c r="K1834" i="2"/>
  <c r="K7025" i="2"/>
  <c r="K1833" i="2"/>
  <c r="K4076" i="2"/>
  <c r="K2687" i="2"/>
  <c r="K6945" i="2"/>
  <c r="K3242" i="2"/>
  <c r="K4361" i="2"/>
  <c r="K6921" i="2"/>
  <c r="K241" i="2"/>
  <c r="K695" i="2"/>
  <c r="K1413" i="2"/>
  <c r="K2528" i="2"/>
  <c r="K421" i="2"/>
  <c r="K1609" i="2"/>
  <c r="K1284" i="2"/>
  <c r="K6881" i="2"/>
  <c r="K1275" i="2"/>
  <c r="K3851" i="2"/>
  <c r="K6869" i="2"/>
  <c r="K6861" i="2"/>
  <c r="K6849" i="2"/>
  <c r="K6841" i="2"/>
  <c r="K5479" i="2"/>
  <c r="K6821" i="2"/>
  <c r="K5022" i="2"/>
  <c r="K4852" i="2"/>
  <c r="K6785" i="2"/>
  <c r="K6559" i="2"/>
  <c r="K235" i="2"/>
  <c r="K361" i="2"/>
  <c r="K3231" i="2"/>
  <c r="K6741" i="2"/>
  <c r="K190" i="2"/>
  <c r="K6717" i="2"/>
  <c r="K6075" i="2"/>
  <c r="K6551" i="2"/>
  <c r="K6677" i="2"/>
  <c r="K3879" i="2"/>
  <c r="K6081" i="2"/>
  <c r="K1725" i="2"/>
  <c r="K2105" i="2"/>
  <c r="K4631" i="2"/>
  <c r="K4077" i="2"/>
  <c r="K3250" i="2"/>
  <c r="K1849" i="2"/>
  <c r="K3721" i="2"/>
  <c r="K3664" i="2"/>
  <c r="K5752" i="2"/>
  <c r="K3673" i="2"/>
  <c r="K4587" i="2"/>
  <c r="K3379" i="2"/>
  <c r="K6756" i="2"/>
  <c r="K6509" i="2"/>
  <c r="K6505" i="2"/>
  <c r="K3155" i="2"/>
  <c r="K3183" i="2"/>
  <c r="K3298" i="2"/>
  <c r="K6465" i="2"/>
  <c r="K6449" i="2"/>
  <c r="K2302" i="2"/>
  <c r="K5853" i="2"/>
  <c r="K7037" i="2"/>
  <c r="K5312" i="2"/>
  <c r="K2911" i="2"/>
  <c r="K6373" i="2"/>
  <c r="K2162" i="2"/>
  <c r="K176" i="2"/>
  <c r="K6297" i="2"/>
  <c r="K174" i="2"/>
  <c r="K6245" i="2"/>
  <c r="K366" i="2"/>
  <c r="K2269" i="2"/>
  <c r="K1213" i="2"/>
  <c r="K6173" i="2"/>
  <c r="K6169" i="2"/>
  <c r="K167" i="2"/>
  <c r="K6161" i="2"/>
  <c r="K3230" i="2"/>
  <c r="K2735" i="2"/>
  <c r="K2620" i="2"/>
  <c r="K6089" i="2"/>
  <c r="K4822" i="2"/>
  <c r="K6893" i="2"/>
  <c r="K1098" i="2"/>
  <c r="K6061" i="2"/>
  <c r="K5261" i="2"/>
  <c r="K4827" i="2"/>
  <c r="K4977" i="2"/>
  <c r="K4814" i="2"/>
  <c r="K2097" i="2"/>
  <c r="K5930" i="2"/>
  <c r="K2069" i="2"/>
  <c r="K5949" i="2"/>
  <c r="K5945" i="2"/>
  <c r="K5941" i="2"/>
  <c r="K404" i="2"/>
  <c r="K4988" i="2"/>
  <c r="K653" i="2"/>
  <c r="K5909" i="2"/>
  <c r="K5905" i="2"/>
  <c r="K5470" i="2"/>
  <c r="K5877" i="2"/>
  <c r="K4578" i="2"/>
  <c r="K2733" i="2"/>
  <c r="K2125" i="2"/>
  <c r="K5926" i="2"/>
  <c r="K2262" i="2"/>
  <c r="K6598" i="2"/>
  <c r="K5817" i="2"/>
  <c r="K5800" i="2"/>
  <c r="K6491" i="2"/>
  <c r="K407" i="2"/>
  <c r="K5692" i="2"/>
  <c r="K4951" i="2"/>
  <c r="K5773" i="2"/>
  <c r="K5769" i="2"/>
  <c r="K1606" i="2"/>
  <c r="K5753" i="2"/>
  <c r="K5741" i="2"/>
  <c r="K2174" i="2"/>
  <c r="K1047" i="2"/>
  <c r="K3262" i="2"/>
  <c r="K5258" i="2"/>
  <c r="K4179" i="2"/>
  <c r="K4818" i="2"/>
  <c r="K5697" i="2"/>
  <c r="K2771" i="2"/>
  <c r="K197" i="2"/>
  <c r="K7164" i="2"/>
  <c r="K6082" i="2"/>
  <c r="K1061" i="2"/>
  <c r="K7128" i="2"/>
  <c r="K7124" i="2"/>
  <c r="K6941" i="2"/>
  <c r="K4622" i="2"/>
  <c r="K7072" i="2"/>
  <c r="K371" i="2"/>
  <c r="K7056" i="2"/>
  <c r="K5497" i="2"/>
  <c r="K6423" i="2"/>
  <c r="K6745" i="2"/>
  <c r="K1276" i="2"/>
  <c r="K7020" i="2"/>
  <c r="K7004" i="2"/>
  <c r="K4193" i="2"/>
  <c r="K6992" i="2"/>
  <c r="K6976" i="2"/>
  <c r="K6960" i="2"/>
  <c r="K6936" i="2"/>
  <c r="K6932" i="2"/>
  <c r="K2283" i="2"/>
  <c r="K5791" i="2"/>
  <c r="K4742" i="2"/>
  <c r="K2462" i="2"/>
  <c r="K782" i="2"/>
  <c r="K6525" i="2"/>
  <c r="K4872" i="2"/>
  <c r="K6892" i="2"/>
  <c r="K5789" i="2"/>
  <c r="K6884" i="2"/>
  <c r="K6880" i="2"/>
  <c r="K6994" i="2"/>
  <c r="K6872" i="2"/>
  <c r="K3184" i="2"/>
  <c r="K4189" i="2"/>
  <c r="K4679" i="2"/>
  <c r="K6824" i="2"/>
  <c r="K6800" i="2"/>
  <c r="K6796" i="2"/>
  <c r="K6226" i="2"/>
  <c r="K5572" i="2"/>
  <c r="K2282" i="2"/>
  <c r="K6764" i="2"/>
  <c r="K1665" i="2"/>
  <c r="K6748" i="2"/>
  <c r="K1793" i="2"/>
  <c r="K7052" i="2"/>
  <c r="K1095" i="2"/>
  <c r="K6716" i="2"/>
  <c r="K823" i="2"/>
  <c r="K6995" i="2"/>
  <c r="K1726" i="2"/>
  <c r="K3660" i="2"/>
  <c r="K483" i="2"/>
  <c r="K2424" i="2"/>
  <c r="K6676" i="2"/>
  <c r="K5700" i="2"/>
  <c r="K3296" i="2"/>
  <c r="K6644" i="2"/>
  <c r="K3156" i="2"/>
  <c r="K6600" i="2"/>
  <c r="K3937" i="2"/>
  <c r="K7032" i="2"/>
  <c r="K555" i="2"/>
  <c r="K2277" i="2"/>
  <c r="K6568" i="2"/>
  <c r="K2138" i="2"/>
  <c r="K5846" i="2"/>
  <c r="K6481" i="2"/>
  <c r="K6048" i="2"/>
  <c r="K6094" i="2"/>
  <c r="K1023" i="2"/>
  <c r="K5550" i="2"/>
  <c r="K5788" i="2"/>
  <c r="K6508" i="2"/>
  <c r="K6504" i="2"/>
  <c r="K6492" i="2"/>
  <c r="K4817" i="2"/>
  <c r="K2848" i="2"/>
  <c r="K6448" i="2"/>
  <c r="K6913" i="2"/>
  <c r="K6432" i="2"/>
  <c r="K4494" i="2"/>
  <c r="K4838" i="2"/>
  <c r="K179" i="2"/>
  <c r="K328" i="2"/>
  <c r="K6264" i="2"/>
  <c r="K3113" i="2"/>
  <c r="K1680" i="2"/>
  <c r="K6200" i="2"/>
  <c r="K6689" i="2"/>
  <c r="K1524" i="2"/>
  <c r="K6168" i="2"/>
  <c r="K6773" i="2"/>
  <c r="K6112" i="2"/>
  <c r="K6108" i="2"/>
  <c r="K2734" i="2"/>
  <c r="K3016" i="2"/>
  <c r="K4303" i="2"/>
  <c r="K5526" i="2"/>
  <c r="K6076" i="2"/>
  <c r="K6421" i="2"/>
  <c r="K3004" i="2"/>
  <c r="K166" i="2"/>
  <c r="K2674" i="2"/>
  <c r="K145" i="2"/>
  <c r="K5980" i="2"/>
  <c r="K5603" i="2"/>
  <c r="K2381" i="2"/>
  <c r="K5948" i="2"/>
  <c r="K4051" i="2"/>
  <c r="K5936" i="2"/>
  <c r="K143" i="2"/>
  <c r="K6540" i="2"/>
  <c r="K1956" i="2"/>
  <c r="K5977" i="2"/>
  <c r="K1517" i="2"/>
  <c r="K1877" i="2"/>
  <c r="K907" i="2"/>
  <c r="K7191" i="2"/>
  <c r="K2173" i="2"/>
  <c r="K7147" i="2"/>
  <c r="K4020" i="2"/>
  <c r="K2386" i="2"/>
  <c r="K5886" i="2"/>
  <c r="K3297" i="2"/>
  <c r="K3033" i="2"/>
  <c r="K6252" i="2"/>
  <c r="K7059" i="2"/>
  <c r="K5156" i="2"/>
  <c r="K3015" i="2"/>
  <c r="K5996" i="2"/>
  <c r="K7027" i="2"/>
  <c r="K5097" i="2"/>
  <c r="K1171" i="2"/>
  <c r="K5612" i="2"/>
  <c r="K6975" i="2"/>
  <c r="K1417" i="2"/>
  <c r="K1355" i="2"/>
  <c r="K6931" i="2"/>
  <c r="K6923" i="2"/>
  <c r="K224" i="2"/>
  <c r="K6911" i="2"/>
  <c r="K5635" i="2"/>
  <c r="K6879" i="2"/>
  <c r="K5000" i="2"/>
  <c r="K7141" i="2"/>
  <c r="K6863" i="2"/>
  <c r="K5011" i="2"/>
  <c r="K6847" i="2"/>
  <c r="K2804" i="2"/>
  <c r="K5626" i="2"/>
  <c r="K6795" i="2"/>
  <c r="K2739" i="2"/>
  <c r="K4668" i="2"/>
  <c r="K5268" i="2"/>
  <c r="K3239" i="2"/>
  <c r="K6751" i="2"/>
  <c r="K5701" i="2"/>
  <c r="K4023" i="2"/>
  <c r="K3392" i="2"/>
  <c r="K6719" i="2"/>
  <c r="K6715" i="2"/>
  <c r="K5093" i="2"/>
  <c r="K3100" i="2"/>
  <c r="K6687" i="2"/>
  <c r="K6577" i="2"/>
  <c r="K6784" i="2"/>
  <c r="K3934" i="2"/>
  <c r="K4950" i="2"/>
  <c r="K436" i="2"/>
  <c r="K6607" i="2"/>
  <c r="K6603" i="2"/>
  <c r="K5535" i="2"/>
  <c r="K6595" i="2"/>
  <c r="K3655" i="2"/>
  <c r="K4304" i="2"/>
  <c r="K3764" i="2"/>
  <c r="K2274" i="2"/>
  <c r="K3031" i="2"/>
  <c r="K6567" i="2"/>
  <c r="K6563" i="2"/>
  <c r="K903" i="2"/>
  <c r="K1093" i="2"/>
  <c r="K7064" i="2"/>
  <c r="K6569" i="2"/>
  <c r="K6867" i="2"/>
  <c r="K6524" i="2"/>
  <c r="K1850" i="2"/>
  <c r="K6558" i="2"/>
  <c r="K1094" i="2"/>
  <c r="K6511" i="2"/>
  <c r="K6507" i="2"/>
  <c r="K6503" i="2"/>
  <c r="K6191" i="2"/>
  <c r="K6487" i="2"/>
  <c r="K2423" i="2"/>
  <c r="K5549" i="2"/>
  <c r="K6463" i="2"/>
  <c r="K583" i="2"/>
  <c r="K440" i="2"/>
  <c r="K6431" i="2"/>
  <c r="K2677" i="2"/>
  <c r="K4583" i="2"/>
  <c r="K7213" i="2"/>
  <c r="K4997" i="2"/>
  <c r="K6339" i="2"/>
  <c r="K177" i="2"/>
  <c r="K2473" i="2"/>
  <c r="K6303" i="2"/>
  <c r="K6199" i="2"/>
  <c r="K5486" i="2"/>
  <c r="K6171" i="2"/>
  <c r="K5318" i="2"/>
  <c r="K6147" i="2"/>
  <c r="K2610" i="2"/>
  <c r="K6111" i="2"/>
  <c r="K5481" i="2"/>
  <c r="K6091" i="2"/>
  <c r="K3241" i="2"/>
  <c r="K6742" i="2"/>
  <c r="K1501" i="2"/>
  <c r="K2934" i="2"/>
  <c r="K6067" i="2"/>
  <c r="K1500" i="2"/>
  <c r="K6047" i="2"/>
  <c r="K4207" i="2"/>
  <c r="K4187" i="2"/>
  <c r="K5026" i="2"/>
  <c r="K5979" i="2"/>
  <c r="K771" i="2"/>
  <c r="K3372" i="2"/>
  <c r="K5947" i="2"/>
  <c r="K3737" i="2"/>
  <c r="K3095" i="2"/>
  <c r="K6521" i="2"/>
  <c r="K196" i="2"/>
  <c r="K5014" i="2"/>
  <c r="K5836" i="2"/>
  <c r="K7206" i="2"/>
  <c r="K6789" i="2"/>
  <c r="K7142" i="2"/>
  <c r="K315" i="2"/>
  <c r="K7130" i="2"/>
  <c r="K7126" i="2"/>
  <c r="K7118" i="2"/>
  <c r="K7058" i="2"/>
  <c r="K5995" i="2"/>
  <c r="K7026" i="2"/>
  <c r="K6928" i="2"/>
  <c r="K7001" i="2"/>
  <c r="K3938" i="2"/>
  <c r="K6480" i="2"/>
  <c r="K1406" i="2"/>
  <c r="K1620" i="2"/>
  <c r="K6612" i="2"/>
  <c r="K6882" i="2"/>
  <c r="K6870" i="2"/>
  <c r="K6862" i="2"/>
  <c r="K7215" i="2"/>
  <c r="K6790" i="2"/>
  <c r="K1103" i="2"/>
  <c r="K4408" i="2"/>
  <c r="K4841" i="2"/>
  <c r="K4205" i="2"/>
  <c r="K3380" i="2"/>
  <c r="K6718" i="2"/>
  <c r="K2008" i="2"/>
  <c r="K6670" i="2"/>
  <c r="K5473" i="2"/>
  <c r="K6610" i="2"/>
  <c r="K6602" i="2"/>
  <c r="K3654" i="2"/>
  <c r="K3763" i="2"/>
  <c r="K6566" i="2"/>
  <c r="K740" i="2"/>
  <c r="K6783" i="2"/>
  <c r="K2293" i="2"/>
  <c r="K6439" i="2"/>
  <c r="K3048" i="2"/>
  <c r="K1065" i="2"/>
  <c r="K6494" i="2"/>
  <c r="K6705" i="2"/>
  <c r="K4658" i="2"/>
  <c r="K4819" i="2"/>
  <c r="K2802" i="2"/>
  <c r="K189" i="2"/>
  <c r="K1797" i="2"/>
  <c r="K2755" i="2"/>
  <c r="K6198" i="2"/>
  <c r="K2850" i="2"/>
  <c r="K1552" i="2"/>
  <c r="K6190" i="2"/>
  <c r="K6126" i="2"/>
  <c r="K2738" i="2"/>
  <c r="K5471" i="2"/>
  <c r="K2155" i="2"/>
  <c r="K1049" i="2"/>
  <c r="K7145" i="2"/>
  <c r="K2780" i="2"/>
  <c r="K4695" i="2"/>
  <c r="K2268" i="2"/>
  <c r="K5970" i="2"/>
  <c r="K5958" i="2"/>
  <c r="K5946" i="2"/>
  <c r="K1751" i="2"/>
  <c r="K2789" i="2"/>
  <c r="K5641" i="2"/>
  <c r="K1599" i="2"/>
  <c r="K6440" i="2"/>
  <c r="K5627" i="2"/>
  <c r="K5613" i="2"/>
  <c r="K5609" i="2"/>
  <c r="K6683" i="2"/>
  <c r="K6165" i="2"/>
  <c r="K3697" i="2"/>
  <c r="K210" i="2"/>
  <c r="K6899" i="2"/>
  <c r="K4952" i="2"/>
  <c r="K6516" i="2"/>
  <c r="K6333" i="2"/>
  <c r="K6696" i="2"/>
  <c r="K3905" i="2"/>
  <c r="K5547" i="2"/>
  <c r="K6605" i="2"/>
  <c r="K5485" i="2"/>
  <c r="K6182" i="2"/>
  <c r="K6106" i="2"/>
  <c r="K5248" i="2"/>
  <c r="K3114" i="2"/>
  <c r="K2937" i="2"/>
  <c r="K5429" i="2"/>
  <c r="K137" i="2"/>
  <c r="K3362" i="2"/>
  <c r="K5305" i="2"/>
  <c r="K2731" i="2"/>
  <c r="K795" i="2"/>
  <c r="K2754" i="2"/>
  <c r="K553" i="2"/>
  <c r="K4258" i="2"/>
  <c r="K5115" i="2"/>
  <c r="K3981" i="2"/>
  <c r="K5157" i="2"/>
  <c r="K1631" i="2"/>
  <c r="K6162" i="2"/>
  <c r="K134" i="2"/>
  <c r="K5129" i="2"/>
  <c r="K6189" i="2"/>
  <c r="K5881" i="2"/>
  <c r="K2517" i="2"/>
  <c r="K4487" i="2"/>
  <c r="K2947" i="2"/>
  <c r="K6669" i="2"/>
  <c r="K5045" i="2"/>
  <c r="K5522" i="2"/>
  <c r="K3626" i="2"/>
  <c r="K2770" i="2"/>
  <c r="K1060" i="2"/>
  <c r="K6386" i="2"/>
  <c r="K4985" i="2"/>
  <c r="K4981" i="2"/>
  <c r="K133" i="2"/>
  <c r="K4945" i="2"/>
  <c r="K5729" i="2"/>
  <c r="K2901" i="2"/>
  <c r="K4889" i="2"/>
  <c r="K4987" i="2"/>
  <c r="K5114" i="2"/>
  <c r="K5144" i="2"/>
  <c r="K4853" i="2"/>
  <c r="K6758" i="2"/>
  <c r="K4073" i="2"/>
  <c r="K4821" i="2"/>
  <c r="K4809" i="2"/>
  <c r="K6520" i="2"/>
  <c r="K2421" i="2"/>
  <c r="K4652" i="2"/>
  <c r="K4173" i="2"/>
  <c r="K3140" i="2"/>
  <c r="K1084" i="2"/>
  <c r="K6924" i="2"/>
  <c r="K4645" i="2"/>
  <c r="K4375" i="2"/>
  <c r="K4621" i="2"/>
  <c r="K4589" i="2"/>
  <c r="K4581" i="2"/>
  <c r="K2769" i="2"/>
  <c r="K4573" i="2"/>
  <c r="K437" i="2"/>
  <c r="K7120" i="2"/>
  <c r="K2825" i="2"/>
  <c r="K4485" i="2"/>
  <c r="K4425" i="2"/>
  <c r="K4405" i="2"/>
  <c r="K6105" i="2"/>
  <c r="K4365" i="2"/>
  <c r="K3119" i="2"/>
  <c r="K3611" i="2"/>
  <c r="K4293" i="2"/>
  <c r="K579" i="2"/>
  <c r="K3931" i="2"/>
  <c r="K6425" i="2"/>
  <c r="K4221" i="2"/>
  <c r="K2401" i="2"/>
  <c r="K2060" i="2"/>
  <c r="K4185" i="2"/>
  <c r="K5705" i="2"/>
  <c r="K1289" i="2"/>
  <c r="K4021" i="2"/>
  <c r="K4153" i="2"/>
  <c r="K4117" i="2"/>
  <c r="K4093" i="2"/>
  <c r="K94" i="2"/>
  <c r="K5973" i="2"/>
  <c r="K2128" i="2"/>
  <c r="K4606" i="2"/>
  <c r="K4065" i="2"/>
  <c r="K1805" i="2"/>
  <c r="K5672" i="2"/>
  <c r="K2107" i="2"/>
  <c r="K4037" i="2"/>
  <c r="K4025" i="2"/>
  <c r="K2126" i="2"/>
  <c r="K4170" i="2"/>
  <c r="K3717" i="2"/>
  <c r="K3973" i="2"/>
  <c r="K3945" i="2"/>
  <c r="K5824" i="2"/>
  <c r="K3933" i="2"/>
  <c r="K4610" i="2"/>
  <c r="K3755" i="2"/>
  <c r="K1232" i="2"/>
  <c r="K3913" i="2"/>
  <c r="K1050" i="2"/>
  <c r="K3893" i="2"/>
  <c r="K4641" i="2"/>
  <c r="K305" i="2"/>
  <c r="K3877" i="2"/>
  <c r="K3869" i="2"/>
  <c r="K3865" i="2"/>
  <c r="K3861" i="2"/>
  <c r="K1473" i="2"/>
  <c r="K3833" i="2"/>
  <c r="K3825" i="2"/>
  <c r="K4224" i="2"/>
  <c r="K7042" i="2"/>
  <c r="K3608" i="2"/>
  <c r="K2874" i="2"/>
  <c r="K3781" i="2"/>
  <c r="K3093" i="2"/>
  <c r="K4792" i="2"/>
  <c r="K3753" i="2"/>
  <c r="K2727" i="2"/>
  <c r="K3607" i="2"/>
  <c r="K3741" i="2"/>
  <c r="K1288" i="2"/>
  <c r="K1228" i="2"/>
  <c r="K4832" i="2"/>
  <c r="K4374" i="2"/>
  <c r="K3921" i="2"/>
  <c r="K7071" i="2"/>
  <c r="K3343" i="2"/>
  <c r="K3689" i="2"/>
  <c r="K1708" i="2"/>
  <c r="K3677" i="2"/>
  <c r="K5593" i="2"/>
  <c r="K2418" i="2"/>
  <c r="K5934" i="2"/>
  <c r="K3645" i="2"/>
  <c r="K2160" i="2"/>
  <c r="K1539" i="2"/>
  <c r="K1508" i="2"/>
  <c r="K5218" i="2"/>
  <c r="K4143" i="2"/>
  <c r="K3557" i="2"/>
  <c r="K3477" i="2"/>
  <c r="K1058" i="2"/>
  <c r="K3441" i="2"/>
  <c r="K3437" i="2"/>
  <c r="K3393" i="2"/>
  <c r="K3361" i="2"/>
  <c r="K3345" i="2"/>
  <c r="K3337" i="2"/>
  <c r="K3285" i="2"/>
  <c r="K5807" i="2"/>
  <c r="K3273" i="2"/>
  <c r="K3269" i="2"/>
  <c r="K4217" i="2"/>
  <c r="K2382" i="2"/>
  <c r="K6522" i="2"/>
  <c r="K6755" i="2"/>
  <c r="K6139" i="2"/>
  <c r="K3157" i="2"/>
  <c r="K3895" i="2"/>
  <c r="K3149" i="2"/>
  <c r="K3137" i="2"/>
  <c r="K396" i="2"/>
  <c r="K4119" i="2"/>
  <c r="K2411" i="2"/>
  <c r="K81" i="2"/>
  <c r="K4352" i="2"/>
  <c r="K507" i="2"/>
  <c r="K3025" i="2"/>
  <c r="K3268" i="2"/>
  <c r="K3013" i="2"/>
  <c r="K1056" i="2"/>
  <c r="K2149" i="2"/>
  <c r="K2989" i="2"/>
  <c r="K2985" i="2"/>
  <c r="K217" i="2"/>
  <c r="K2973" i="2"/>
  <c r="K5933" i="2"/>
  <c r="K1229" i="2"/>
  <c r="K6576" i="2"/>
  <c r="K5969" i="2"/>
  <c r="K2836" i="2"/>
  <c r="K4816" i="2"/>
  <c r="K2889" i="2"/>
  <c r="K2885" i="2"/>
  <c r="K332" i="2"/>
  <c r="K2119" i="2"/>
  <c r="K4059" i="2"/>
  <c r="K2805" i="2"/>
  <c r="K6582" i="2"/>
  <c r="K2793" i="2"/>
  <c r="K6720" i="2"/>
  <c r="K6513" i="2"/>
  <c r="K4726" i="2"/>
  <c r="K4414" i="2"/>
  <c r="K2745" i="2"/>
  <c r="K2414" i="2"/>
  <c r="K6833" i="2"/>
  <c r="K2705" i="2"/>
  <c r="K6104" i="2"/>
  <c r="K4882" i="2"/>
  <c r="K7151" i="2"/>
  <c r="K4392" i="2"/>
  <c r="K2625" i="2"/>
  <c r="K2585" i="2"/>
  <c r="K5935" i="2"/>
  <c r="K2565" i="2"/>
  <c r="K3727" i="2"/>
  <c r="K1362" i="2"/>
  <c r="K2529" i="2"/>
  <c r="K4295" i="2"/>
  <c r="K2509" i="2"/>
  <c r="K2694" i="2"/>
  <c r="K6939" i="2"/>
  <c r="K2469" i="2"/>
  <c r="K2457" i="2"/>
  <c r="K2445" i="2"/>
  <c r="K2712" i="2"/>
  <c r="K3745" i="2"/>
  <c r="K4857" i="2"/>
  <c r="K4003" i="2"/>
  <c r="K6289" i="2"/>
  <c r="K6554" i="2"/>
  <c r="K5303" i="2"/>
  <c r="K1296" i="2"/>
  <c r="K5569" i="2"/>
  <c r="K3166" i="2"/>
  <c r="K2289" i="2"/>
  <c r="K2281" i="2"/>
  <c r="K4370" i="2"/>
  <c r="K2265" i="2"/>
  <c r="K5319" i="2"/>
  <c r="K2257" i="2"/>
  <c r="K2821" i="2"/>
  <c r="K2197" i="2"/>
  <c r="K1505" i="2"/>
  <c r="K6848" i="2"/>
  <c r="K2708" i="2"/>
  <c r="K4986" i="2"/>
  <c r="K5143" i="2"/>
  <c r="K2129" i="2"/>
  <c r="K6488" i="2"/>
  <c r="K3679" i="2"/>
  <c r="K2101" i="2"/>
  <c r="K1926" i="2"/>
  <c r="K2089" i="2"/>
  <c r="K6424" i="2"/>
  <c r="K1971" i="2"/>
  <c r="K6656" i="2"/>
  <c r="K2100" i="2"/>
  <c r="K2041" i="2"/>
  <c r="K1985" i="2"/>
  <c r="K2824" i="2"/>
  <c r="K1969" i="2"/>
  <c r="K5649" i="2"/>
  <c r="K4946" i="2"/>
  <c r="K3307" i="2"/>
  <c r="K1929" i="2"/>
  <c r="K1925" i="2"/>
  <c r="K1921" i="2"/>
  <c r="K1909" i="2"/>
  <c r="K1897" i="2"/>
  <c r="K1869" i="2"/>
  <c r="K6787" i="2"/>
  <c r="K4497" i="2"/>
  <c r="K1825" i="2"/>
  <c r="K4103" i="2"/>
  <c r="K2577" i="2"/>
  <c r="K438" i="2"/>
  <c r="K1713" i="2"/>
  <c r="K7112" i="2"/>
  <c r="K6886" i="2"/>
  <c r="K5832" i="2"/>
  <c r="K1649" i="2"/>
  <c r="K1656" i="2"/>
  <c r="K1605" i="2"/>
  <c r="K2776" i="2"/>
  <c r="K3998" i="2"/>
  <c r="K4486" i="2"/>
  <c r="K4747" i="2"/>
  <c r="K1342" i="2"/>
  <c r="K5848" i="2"/>
  <c r="K4055" i="2"/>
  <c r="K382" i="2"/>
  <c r="K6543" i="2"/>
  <c r="K489" i="2"/>
  <c r="K1932" i="2"/>
  <c r="K393" i="2"/>
  <c r="K4868" i="2"/>
  <c r="K6530" i="2"/>
  <c r="K1441" i="2"/>
  <c r="K7019" i="2"/>
  <c r="K1433" i="2"/>
  <c r="K6938" i="2"/>
  <c r="K1401" i="2"/>
  <c r="K6071" i="2"/>
  <c r="K5118" i="2"/>
  <c r="K1530" i="2"/>
  <c r="K5514" i="2"/>
  <c r="K2095" i="2"/>
  <c r="K4854" i="2"/>
  <c r="K1277" i="2"/>
  <c r="K381" i="2"/>
  <c r="K1245" i="2"/>
  <c r="K1390" i="2"/>
  <c r="K227" i="2"/>
  <c r="K6518" i="2"/>
  <c r="K1221" i="2"/>
  <c r="K3701" i="2"/>
  <c r="K7055" i="2"/>
  <c r="K5299" i="2"/>
  <c r="K4362" i="2"/>
  <c r="K5360" i="2"/>
  <c r="K1157" i="2"/>
  <c r="K4846" i="2"/>
  <c r="K5637" i="2"/>
  <c r="K1313" i="2"/>
  <c r="K938" i="2"/>
  <c r="K2053" i="2"/>
  <c r="K6709" i="2"/>
  <c r="K3112" i="2"/>
  <c r="K2471" i="2"/>
  <c r="K4196" i="2"/>
  <c r="K2971" i="2"/>
  <c r="K1037" i="2"/>
  <c r="K4214" i="2"/>
  <c r="K6074" i="2"/>
  <c r="K1009" i="2"/>
  <c r="K1981" i="2"/>
  <c r="K1039" i="2"/>
  <c r="K953" i="2"/>
  <c r="K5709" i="2"/>
  <c r="K929" i="2"/>
  <c r="K372" i="2"/>
  <c r="K3454" i="2"/>
  <c r="K5840" i="2"/>
  <c r="K753" i="2"/>
  <c r="K2306" i="2"/>
  <c r="K5009" i="2"/>
  <c r="K3922" i="2"/>
  <c r="K701" i="2"/>
  <c r="K697" i="2"/>
  <c r="K3180" i="2"/>
  <c r="K681" i="2"/>
  <c r="K1878" i="2"/>
  <c r="K6896" i="2"/>
  <c r="K669" i="2"/>
  <c r="K6553" i="2"/>
  <c r="K4566" i="2"/>
  <c r="K585" i="2"/>
  <c r="K2700" i="2"/>
  <c r="K577" i="2"/>
  <c r="K561" i="2"/>
  <c r="K3690" i="2"/>
  <c r="K6512" i="2"/>
  <c r="K4022" i="2"/>
  <c r="K545" i="2"/>
  <c r="K537" i="2"/>
  <c r="K513" i="2"/>
  <c r="K5775" i="2"/>
  <c r="K4565" i="2"/>
  <c r="K4208" i="2"/>
  <c r="K6772" i="2"/>
  <c r="K6680" i="2"/>
  <c r="K1835" i="2"/>
  <c r="K413" i="2"/>
  <c r="K5579" i="2"/>
  <c r="K1525" i="2"/>
  <c r="K1683" i="2"/>
  <c r="K10" i="2"/>
  <c r="K2768" i="2"/>
  <c r="K377" i="2"/>
  <c r="K5845" i="2"/>
  <c r="K6813" i="2"/>
  <c r="K349" i="2"/>
  <c r="K6590" i="2"/>
  <c r="K325" i="2"/>
  <c r="K4941" i="2"/>
  <c r="K3023" i="2"/>
  <c r="K281" i="2"/>
  <c r="K1017" i="2"/>
  <c r="K253" i="2"/>
  <c r="K3422" i="2"/>
  <c r="K3946" i="2"/>
  <c r="K3718" i="2"/>
  <c r="K2203" i="2"/>
  <c r="K5138" i="2"/>
  <c r="K213" i="2"/>
  <c r="K201" i="2"/>
  <c r="K373" i="2"/>
  <c r="K2048" i="2"/>
  <c r="K165" i="2"/>
  <c r="K161" i="2"/>
  <c r="K5573" i="2"/>
  <c r="K2756" i="2"/>
  <c r="K6390" i="2"/>
  <c r="K1807" i="2"/>
  <c r="K350" i="2"/>
  <c r="K4075" i="2"/>
  <c r="K655" i="2"/>
  <c r="K6996" i="2"/>
  <c r="K1440" i="2"/>
  <c r="K5820" i="2"/>
  <c r="K5821" i="2"/>
  <c r="K4313" i="2"/>
  <c r="K2742" i="2"/>
  <c r="K5792" i="2"/>
  <c r="K2921" i="2"/>
  <c r="K2059" i="2"/>
  <c r="K5772" i="2"/>
  <c r="K1600" i="2"/>
  <c r="K2398" i="2"/>
  <c r="K6672" i="2"/>
  <c r="K139" i="2"/>
  <c r="K5900" i="2"/>
  <c r="K5257" i="2"/>
  <c r="K4178" i="2"/>
  <c r="K2784" i="2"/>
  <c r="K5467" i="2"/>
  <c r="K582" i="2"/>
  <c r="K5640" i="2"/>
  <c r="K2295" i="2"/>
  <c r="K2167" i="2"/>
  <c r="K2732" i="2"/>
  <c r="K1494" i="2"/>
  <c r="K2261" i="2"/>
  <c r="K238" i="2"/>
  <c r="K651" i="2"/>
  <c r="K5564" i="2"/>
  <c r="K3368" i="2"/>
  <c r="K5540" i="2"/>
  <c r="K5532" i="2"/>
  <c r="K2998" i="2"/>
  <c r="K4756" i="2"/>
  <c r="K7122" i="2"/>
  <c r="K4513" i="2"/>
  <c r="K2676" i="2"/>
  <c r="K1953" i="2"/>
  <c r="K3878" i="2"/>
  <c r="K2309" i="2"/>
  <c r="K5416" i="2"/>
  <c r="K5412" i="2"/>
  <c r="K2136" i="2"/>
  <c r="K3289" i="2"/>
  <c r="K5332" i="2"/>
  <c r="K966" i="2"/>
  <c r="K5304" i="2"/>
  <c r="K6060" i="2"/>
  <c r="K5256" i="2"/>
  <c r="K1657" i="2"/>
  <c r="K6757" i="2"/>
  <c r="K5240" i="2"/>
  <c r="K5232" i="2"/>
  <c r="K4539" i="2"/>
  <c r="K5623" i="2"/>
  <c r="K135" i="2"/>
  <c r="K6597" i="2"/>
  <c r="K4355" i="2"/>
  <c r="K3109" i="2"/>
  <c r="K5136" i="2"/>
  <c r="K5128" i="2"/>
  <c r="K6433" i="2"/>
  <c r="K5247" i="2"/>
  <c r="K3731" i="2"/>
  <c r="K5044" i="2"/>
  <c r="K6584" i="2"/>
  <c r="K3972" i="2"/>
  <c r="K6069" i="2"/>
  <c r="K6728" i="2"/>
  <c r="K5594" i="2"/>
  <c r="K5959" i="2"/>
  <c r="K6547" i="2"/>
  <c r="K4984" i="2"/>
  <c r="K1265" i="2"/>
  <c r="K7046" i="2"/>
  <c r="K1952" i="2"/>
  <c r="K5725" i="2"/>
  <c r="K4916" i="2"/>
  <c r="K4888" i="2"/>
  <c r="K4884" i="2"/>
  <c r="K3625" i="2"/>
  <c r="K2516" i="2"/>
  <c r="K4864" i="2"/>
  <c r="K5148" i="2"/>
  <c r="K6727" i="2"/>
  <c r="K4274" i="2"/>
  <c r="K749" i="2"/>
  <c r="K5937" i="2"/>
  <c r="K3703" i="2"/>
  <c r="K2362" i="2"/>
  <c r="K4808" i="2"/>
  <c r="K4800" i="2"/>
  <c r="K4796" i="2"/>
  <c r="K5244" i="2"/>
  <c r="K6068" i="2"/>
  <c r="K4688" i="2"/>
  <c r="K792" i="2"/>
  <c r="K2779" i="2"/>
  <c r="K1200" i="2"/>
  <c r="K699" i="2"/>
  <c r="K4666" i="2"/>
  <c r="K2371" i="2"/>
  <c r="K2083" i="2"/>
  <c r="K4624" i="2"/>
  <c r="K748" i="2"/>
  <c r="K3153" i="2"/>
  <c r="K4592" i="2"/>
  <c r="K5049" i="2"/>
  <c r="K4576" i="2"/>
  <c r="K2994" i="2"/>
  <c r="K1287" i="2"/>
  <c r="K4532" i="2"/>
  <c r="K2964" i="2"/>
  <c r="K4476" i="2"/>
  <c r="K856" i="2"/>
  <c r="K2987" i="2"/>
  <c r="K5242" i="2"/>
  <c r="K548" i="2"/>
  <c r="K1407" i="2"/>
  <c r="K1980" i="2"/>
  <c r="K4498" i="2"/>
  <c r="K6046" i="2"/>
  <c r="K527" i="2"/>
  <c r="K6583" i="2"/>
  <c r="K4272" i="2"/>
  <c r="K1375" i="2"/>
  <c r="K2294" i="2"/>
  <c r="K5028" i="2"/>
  <c r="K4063" i="2"/>
  <c r="K313" i="2"/>
  <c r="K1071" i="2"/>
  <c r="K4140" i="2"/>
  <c r="K4078" i="2"/>
  <c r="K2081" i="2"/>
  <c r="K4092" i="2"/>
  <c r="K5518" i="2"/>
  <c r="K4080" i="2"/>
  <c r="K693" i="2"/>
  <c r="K4040" i="2"/>
  <c r="K4032" i="2"/>
  <c r="K4024" i="2"/>
  <c r="K1067" i="2"/>
  <c r="K4948" i="2"/>
  <c r="K5238" i="2"/>
  <c r="K2847" i="2"/>
  <c r="K4572" i="2"/>
  <c r="K412" i="2"/>
  <c r="K2490" i="2"/>
  <c r="K892" i="2"/>
  <c r="K336" i="2"/>
  <c r="K303" i="2"/>
  <c r="K3868" i="2"/>
  <c r="K3864" i="2"/>
  <c r="K4858" i="2"/>
  <c r="K3795" i="2"/>
  <c r="K3848" i="2"/>
  <c r="K2359" i="2"/>
  <c r="K236" i="2"/>
  <c r="K3816" i="2"/>
  <c r="K3889" i="2"/>
  <c r="K5837" i="2"/>
  <c r="K1615" i="2"/>
  <c r="K4163" i="2"/>
  <c r="K3732" i="2"/>
  <c r="K3344" i="2"/>
  <c r="K3115" i="2"/>
  <c r="K3704" i="2"/>
  <c r="K3696" i="2"/>
  <c r="K1902" i="2"/>
  <c r="K3676" i="2"/>
  <c r="K4548" i="2"/>
  <c r="K4642" i="2"/>
  <c r="K1978" i="2"/>
  <c r="K6659" i="2"/>
  <c r="K3904" i="2"/>
  <c r="K3568" i="2"/>
  <c r="K4680" i="2"/>
  <c r="K5938" i="2"/>
  <c r="K6570" i="2"/>
  <c r="K3440" i="2"/>
  <c r="K2482" i="2"/>
  <c r="K1297" i="2"/>
  <c r="K1432" i="2"/>
  <c r="K3827" i="2"/>
  <c r="K3364" i="2"/>
  <c r="K3360" i="2"/>
  <c r="K3348" i="2"/>
  <c r="K449" i="2"/>
  <c r="K3283" i="2"/>
  <c r="K3316" i="2"/>
  <c r="K3300" i="2"/>
  <c r="K2202" i="2"/>
  <c r="K3292" i="2"/>
  <c r="K4793" i="2"/>
  <c r="K84" i="2"/>
  <c r="K3264" i="2"/>
  <c r="K996" i="2"/>
  <c r="K4866" i="2"/>
  <c r="K418" i="2"/>
  <c r="K1082" i="2"/>
  <c r="K6242" i="2"/>
  <c r="K6721" i="2"/>
  <c r="K3148" i="2"/>
  <c r="K3144" i="2"/>
  <c r="K1764" i="2"/>
  <c r="K6109" i="2"/>
  <c r="K937" i="2"/>
  <c r="K4123" i="2"/>
  <c r="K3274" i="2"/>
  <c r="K3707" i="2"/>
  <c r="K4269" i="2"/>
  <c r="K6365" i="2"/>
  <c r="K690" i="2"/>
  <c r="K940" i="2"/>
  <c r="K3012" i="2"/>
  <c r="K3746" i="2"/>
  <c r="K2996" i="2"/>
  <c r="K2988" i="2"/>
  <c r="K2984" i="2"/>
  <c r="K5835" i="2"/>
  <c r="K6905" i="2"/>
  <c r="K2932" i="2"/>
  <c r="K7040" i="2"/>
  <c r="K5842" i="2"/>
  <c r="K680" i="2"/>
  <c r="K7221" i="2"/>
  <c r="K1077" i="2"/>
  <c r="K223" i="2"/>
  <c r="K2301" i="2"/>
  <c r="K3172" i="2"/>
  <c r="K2792" i="2"/>
  <c r="K2788" i="2"/>
  <c r="K1427" i="2"/>
  <c r="K6675" i="2"/>
  <c r="K6342" i="2"/>
  <c r="K1983" i="2"/>
  <c r="K2977" i="2"/>
  <c r="K3794" i="2"/>
  <c r="K2146" i="2"/>
  <c r="K2752" i="2"/>
  <c r="K2736" i="2"/>
  <c r="K4875" i="2"/>
  <c r="K5982" i="2"/>
  <c r="K4786" i="2"/>
  <c r="K1258" i="2"/>
  <c r="K447" i="2"/>
  <c r="K5205" i="2"/>
  <c r="K4876" i="2"/>
  <c r="K7148" i="2"/>
  <c r="K2632" i="2"/>
  <c r="K5124" i="2"/>
  <c r="K2608" i="2"/>
  <c r="K2584" i="2"/>
  <c r="K5785" i="2"/>
  <c r="K2532" i="2"/>
  <c r="K78" i="2"/>
  <c r="K6228" i="2"/>
  <c r="K6868" i="2"/>
  <c r="K2512" i="2"/>
  <c r="K2492" i="2"/>
  <c r="K5924" i="2"/>
  <c r="K2826" i="2"/>
  <c r="K3185" i="2"/>
  <c r="K2420" i="2"/>
  <c r="K2412" i="2"/>
  <c r="K2400" i="2"/>
  <c r="K2396" i="2"/>
  <c r="K6865" i="2"/>
  <c r="K5750" i="2"/>
  <c r="K5180" i="2"/>
  <c r="K6159" i="2"/>
  <c r="K2288" i="2"/>
  <c r="K2777" i="2"/>
  <c r="K1895" i="2"/>
  <c r="K3824" i="2"/>
  <c r="K2252" i="2"/>
  <c r="K4007" i="2"/>
  <c r="K6087" i="2"/>
  <c r="K2196" i="2"/>
  <c r="K4026" i="2"/>
  <c r="K2176" i="2"/>
  <c r="K7099" i="2"/>
  <c r="K7021" i="2"/>
  <c r="K3752" i="2"/>
  <c r="K2144" i="2"/>
  <c r="K6489" i="2"/>
  <c r="K1279" i="2"/>
  <c r="K4790" i="2"/>
  <c r="K286" i="2"/>
  <c r="K1686" i="2"/>
  <c r="K2092" i="2"/>
  <c r="K6079" i="2"/>
  <c r="K2810" i="2"/>
  <c r="K3599" i="2"/>
  <c r="K2740" i="2"/>
  <c r="K6560" i="2"/>
  <c r="K2704" i="2"/>
  <c r="K2117" i="2"/>
  <c r="K1964" i="2"/>
  <c r="K1186" i="2"/>
  <c r="K6005" i="2"/>
  <c r="K1285" i="2"/>
  <c r="K6710" i="2"/>
  <c r="K5730" i="2"/>
  <c r="K6544" i="2"/>
  <c r="K1900" i="2"/>
  <c r="K4807" i="2"/>
  <c r="K5906" i="2"/>
  <c r="K1880" i="2"/>
  <c r="K4798" i="2"/>
  <c r="K1820" i="2"/>
  <c r="K5957" i="2"/>
  <c r="K2853" i="2"/>
  <c r="K1792" i="2"/>
  <c r="K1784" i="2"/>
  <c r="K549" i="2"/>
  <c r="K2373" i="2"/>
  <c r="K1831" i="2"/>
  <c r="K6588" i="2"/>
  <c r="K1660" i="2"/>
  <c r="K45" i="2"/>
  <c r="K3569" i="2"/>
  <c r="K251" i="2"/>
  <c r="K1592" i="2"/>
  <c r="K1588" i="2"/>
  <c r="K3740" i="2"/>
  <c r="K1396" i="2"/>
  <c r="K1512" i="2"/>
  <c r="K2935" i="2"/>
  <c r="K5175" i="2"/>
  <c r="K6894" i="2"/>
  <c r="K1448" i="2"/>
  <c r="K846" i="2"/>
  <c r="K3263" i="2"/>
  <c r="K4054" i="2"/>
  <c r="K248" i="2"/>
  <c r="K1404" i="2"/>
  <c r="K6062" i="2"/>
  <c r="K6908" i="2"/>
  <c r="K433" i="2"/>
  <c r="K6485" i="2"/>
  <c r="K1332" i="2"/>
  <c r="K1304" i="2"/>
  <c r="K1231" i="2"/>
  <c r="K5483" i="2"/>
  <c r="K5850" i="2"/>
  <c r="K2477" i="2"/>
  <c r="K1260" i="2"/>
  <c r="K1252" i="2"/>
  <c r="K1240" i="2"/>
  <c r="K1236" i="2"/>
  <c r="K1199" i="2"/>
  <c r="K5131" i="2"/>
  <c r="K2172" i="2"/>
  <c r="K3929" i="2"/>
  <c r="K2086" i="2"/>
  <c r="K5513" i="2"/>
  <c r="K3538" i="2"/>
  <c r="K3725" i="2"/>
  <c r="K4828" i="2"/>
  <c r="K812" i="2"/>
  <c r="K1072" i="2"/>
  <c r="K6592" i="2"/>
  <c r="K1577" i="2"/>
  <c r="K3881" i="2"/>
  <c r="K1036" i="2"/>
  <c r="K2698" i="2"/>
  <c r="K1020" i="2"/>
  <c r="K2690" i="2"/>
  <c r="K2827" i="2"/>
  <c r="K1008" i="2"/>
  <c r="K1446" i="2"/>
  <c r="K984" i="2"/>
  <c r="K972" i="2"/>
  <c r="K967" i="2"/>
  <c r="K960" i="2"/>
  <c r="K804" i="2"/>
  <c r="K7214" i="2"/>
  <c r="K660" i="2"/>
  <c r="K3521" i="2"/>
  <c r="K824" i="2"/>
  <c r="K852" i="2"/>
  <c r="K3490" i="2"/>
  <c r="K6486" i="2"/>
  <c r="K808" i="2"/>
  <c r="K3863" i="2"/>
  <c r="K5166" i="2"/>
  <c r="K3750" i="2"/>
  <c r="K760" i="2"/>
  <c r="K3999" i="2"/>
  <c r="K720" i="2"/>
  <c r="K965" i="2"/>
  <c r="K207" i="2"/>
  <c r="K5851" i="2"/>
  <c r="K2181" i="2"/>
  <c r="K743" i="2"/>
  <c r="K506" i="2"/>
  <c r="K664" i="2"/>
  <c r="K6542" i="2"/>
  <c r="K5032" i="2"/>
  <c r="K1613" i="2"/>
  <c r="K572" i="2"/>
  <c r="K568" i="2"/>
  <c r="K6917" i="2"/>
  <c r="K556" i="2"/>
  <c r="K552" i="2"/>
  <c r="K5542" i="2"/>
  <c r="K544" i="2"/>
  <c r="K7103" i="2"/>
  <c r="K504" i="2"/>
  <c r="K484" i="2"/>
  <c r="K476" i="2"/>
  <c r="K448" i="2"/>
  <c r="K3447" i="2"/>
  <c r="K813" i="2"/>
  <c r="K432" i="2"/>
  <c r="K5815" i="2"/>
  <c r="K1057" i="2"/>
  <c r="K5816" i="2"/>
  <c r="K4211" i="2"/>
  <c r="K209" i="2"/>
  <c r="K3890" i="2"/>
  <c r="K1884" i="2"/>
  <c r="K380" i="2"/>
  <c r="K5843" i="2"/>
  <c r="K2965" i="2"/>
  <c r="K5794" i="2"/>
  <c r="K6571" i="2"/>
  <c r="K5165" i="2"/>
  <c r="K2299" i="2"/>
  <c r="K316" i="2"/>
  <c r="K5340" i="2"/>
  <c r="K280" i="2"/>
  <c r="K252" i="2"/>
  <c r="K1442" i="2"/>
  <c r="K3419" i="2"/>
  <c r="K228" i="2"/>
  <c r="K3017" i="2"/>
  <c r="K220" i="2"/>
  <c r="K4004" i="2"/>
  <c r="K200" i="2"/>
  <c r="K5101" i="2"/>
  <c r="K6859" i="2"/>
  <c r="K172" i="2"/>
  <c r="K164" i="2"/>
  <c r="K148" i="2"/>
  <c r="K144" i="2"/>
  <c r="K140" i="2"/>
  <c r="K7053" i="2"/>
  <c r="K6671" i="2"/>
  <c r="K2023" i="2"/>
  <c r="K96" i="2"/>
  <c r="K445" i="2"/>
  <c r="K4404" i="2"/>
  <c r="K76" i="2"/>
  <c r="K72" i="2"/>
  <c r="K246" i="2"/>
  <c r="K36" i="2"/>
  <c r="K24" i="2"/>
  <c r="K20" i="2"/>
  <c r="K4653" i="2"/>
  <c r="K4836" i="2"/>
  <c r="K5468" i="2"/>
  <c r="K2790" i="2"/>
  <c r="K5847" i="2"/>
  <c r="K3653" i="2"/>
  <c r="K4608" i="2"/>
  <c r="K1092" i="2"/>
  <c r="K6146" i="2"/>
  <c r="K5819" i="2"/>
  <c r="K5152" i="2"/>
  <c r="K7070" i="2"/>
  <c r="K5803" i="2"/>
  <c r="K5942" i="2"/>
  <c r="K141" i="2"/>
  <c r="K512" i="2"/>
  <c r="K5787" i="2"/>
  <c r="K2541" i="2"/>
  <c r="K694" i="2"/>
  <c r="K5771" i="2"/>
  <c r="K5767" i="2"/>
  <c r="K5755" i="2"/>
  <c r="K2297" i="2"/>
  <c r="K5254" i="2"/>
  <c r="K1879" i="2"/>
  <c r="K7260" i="2"/>
  <c r="K3134" i="2"/>
  <c r="K6762" i="2"/>
  <c r="K5615" i="2"/>
  <c r="K5643" i="2"/>
  <c r="K4531" i="2"/>
  <c r="K1712" i="2"/>
  <c r="K3188" i="2"/>
  <c r="K5619" i="2"/>
  <c r="K3641" i="2"/>
  <c r="K2753" i="2"/>
  <c r="K4735" i="2"/>
  <c r="K2669" i="2"/>
  <c r="K3258" i="2"/>
  <c r="K6192" i="2"/>
  <c r="K6418" i="2"/>
  <c r="K4066" i="2"/>
  <c r="K1907" i="2"/>
  <c r="K6417" i="2"/>
  <c r="K5531" i="2"/>
  <c r="K3001" i="2"/>
  <c r="K6548" i="2"/>
  <c r="K5511" i="2"/>
  <c r="K6088" i="2"/>
  <c r="K5495" i="2"/>
  <c r="K3047" i="2"/>
  <c r="K4769" i="2"/>
  <c r="K7051" i="2"/>
  <c r="K5308" i="2"/>
  <c r="K138" i="2"/>
  <c r="K3797" i="2"/>
  <c r="K7218" i="2"/>
  <c r="K5415" i="2"/>
  <c r="K5411" i="2"/>
  <c r="K5407" i="2"/>
  <c r="K4042" i="2"/>
  <c r="K4176" i="2"/>
  <c r="K422" i="2"/>
  <c r="K1161" i="2"/>
  <c r="K5279" i="2"/>
  <c r="K3640" i="2"/>
  <c r="K1053" i="2"/>
  <c r="K761" i="2"/>
  <c r="K5231" i="2"/>
  <c r="K3852" i="2"/>
  <c r="K1377" i="2"/>
  <c r="K5163" i="2"/>
  <c r="K239" i="2"/>
  <c r="K3757" i="2"/>
  <c r="K5147" i="2"/>
  <c r="K6731" i="2"/>
  <c r="K5135" i="2"/>
  <c r="K2997" i="2"/>
  <c r="K5127" i="2"/>
  <c r="K5123" i="2"/>
  <c r="K6290" i="2"/>
  <c r="K5103" i="2"/>
  <c r="K5043" i="2"/>
  <c r="K5027" i="2"/>
  <c r="K5023" i="2"/>
  <c r="K738" i="2"/>
  <c r="K4379" i="2"/>
  <c r="K5003" i="2"/>
  <c r="K6441" i="2"/>
  <c r="K4983" i="2"/>
  <c r="K4257" i="2"/>
  <c r="K4406" i="2"/>
  <c r="K5245" i="2"/>
  <c r="K7209" i="2"/>
  <c r="K4915" i="2"/>
  <c r="K4883" i="2"/>
  <c r="K3620" i="2"/>
  <c r="K7028" i="2"/>
  <c r="K5682" i="2"/>
  <c r="K6889" i="2"/>
  <c r="K4859" i="2"/>
  <c r="K3802" i="2"/>
  <c r="K5520" i="2"/>
  <c r="K6726" i="2"/>
  <c r="K6416" i="2"/>
  <c r="K4823" i="2"/>
  <c r="K2363" i="2"/>
  <c r="K4811" i="2"/>
  <c r="K5822" i="2"/>
  <c r="K4803" i="2"/>
  <c r="K4799" i="2"/>
  <c r="K1290" i="2"/>
  <c r="K4791" i="2"/>
  <c r="K2161" i="2"/>
  <c r="K463" i="2"/>
  <c r="K1013" i="2"/>
  <c r="K4751" i="2"/>
  <c r="K2540" i="2"/>
  <c r="K2910" i="2"/>
  <c r="K5463" i="2"/>
  <c r="K6072" i="2"/>
  <c r="K1393" i="2"/>
  <c r="K233" i="2"/>
  <c r="K1012" i="2"/>
  <c r="K3613" i="2"/>
  <c r="K676" i="2"/>
  <c r="K4659" i="2"/>
  <c r="K7011" i="2"/>
  <c r="K4643" i="2"/>
  <c r="K4639" i="2"/>
  <c r="K4635" i="2"/>
  <c r="K5676" i="2"/>
  <c r="K3046" i="2"/>
  <c r="K4615" i="2"/>
  <c r="K6411" i="2"/>
  <c r="K4595" i="2"/>
  <c r="K4591" i="2"/>
  <c r="K1264" i="2"/>
  <c r="K3247" i="2"/>
  <c r="K6187" i="2"/>
  <c r="K4575" i="2"/>
  <c r="K7065" i="2"/>
  <c r="K5986" i="2"/>
  <c r="K1345" i="2"/>
  <c r="K203" i="2"/>
  <c r="K5455" i="2"/>
  <c r="K4475" i="2"/>
  <c r="K5964" i="2"/>
  <c r="K5015" i="2"/>
  <c r="K6174" i="2"/>
  <c r="K4403" i="2"/>
  <c r="K3960" i="2"/>
  <c r="K2256" i="2"/>
  <c r="K6537" i="2"/>
  <c r="K4363" i="2"/>
  <c r="K1159" i="2"/>
  <c r="K4319" i="2"/>
  <c r="K730" i="2"/>
  <c r="K2154" i="2"/>
  <c r="K2067" i="2"/>
  <c r="K330" i="2"/>
  <c r="K2982" i="2"/>
  <c r="K5452" i="2"/>
  <c r="K2380" i="2"/>
  <c r="K2251" i="2"/>
  <c r="K4623" i="2"/>
  <c r="K4183" i="2"/>
  <c r="K1490" i="2"/>
  <c r="K5008" i="2"/>
  <c r="K3170" i="2"/>
  <c r="K4147" i="2"/>
  <c r="K6575" i="2"/>
  <c r="K2800" i="2"/>
  <c r="K6871" i="2"/>
  <c r="K4111" i="2"/>
  <c r="K5017" i="2"/>
  <c r="K4095" i="2"/>
  <c r="K3743" i="2"/>
  <c r="K4087" i="2"/>
  <c r="K237" i="2"/>
  <c r="K2250" i="2"/>
  <c r="K4299" i="2"/>
  <c r="K692" i="2"/>
  <c r="K2763" i="2"/>
  <c r="K5671" i="2"/>
  <c r="K4863" i="2"/>
  <c r="K6810" i="2"/>
  <c r="K4031" i="2"/>
  <c r="K4027" i="2"/>
  <c r="K2839" i="2"/>
  <c r="K997" i="2"/>
  <c r="K6642" i="2"/>
  <c r="K1111" i="2"/>
  <c r="K7043" i="2"/>
  <c r="K3971" i="2"/>
  <c r="K675" i="2"/>
  <c r="K3943" i="2"/>
  <c r="K3939" i="2"/>
  <c r="K4715" i="2"/>
  <c r="K216" i="2"/>
  <c r="K2372" i="2"/>
  <c r="K1083" i="2"/>
  <c r="K3899" i="2"/>
  <c r="K6545" i="2"/>
  <c r="K2084" i="2"/>
  <c r="K300" i="2"/>
  <c r="K240" i="2"/>
  <c r="K3867" i="2"/>
  <c r="K3828" i="2"/>
  <c r="K3855" i="2"/>
  <c r="K891" i="2"/>
  <c r="K2352" i="2"/>
  <c r="K4844" i="2"/>
  <c r="K5721" i="2"/>
  <c r="K1298" i="2"/>
  <c r="K674" i="2"/>
  <c r="K3759" i="2"/>
  <c r="K4169" i="2"/>
  <c r="K1370" i="2"/>
  <c r="K2537" i="2"/>
  <c r="K2249" i="2"/>
  <c r="K3719" i="2"/>
  <c r="K2376" i="2"/>
  <c r="K2474" i="2"/>
  <c r="K5758" i="2"/>
  <c r="K3887" i="2"/>
  <c r="K3687" i="2"/>
  <c r="K225" i="2"/>
  <c r="K3675" i="2"/>
  <c r="K3667" i="2"/>
  <c r="K3663" i="2"/>
  <c r="K2106" i="2"/>
  <c r="K4447" i="2"/>
  <c r="K3688" i="2"/>
  <c r="K3813" i="2"/>
  <c r="K5233" i="2"/>
  <c r="K1951" i="2"/>
  <c r="K1949" i="2"/>
  <c r="K1024" i="2"/>
  <c r="K3567" i="2"/>
  <c r="K6160" i="2"/>
  <c r="K3503" i="2"/>
  <c r="K3495" i="2"/>
  <c r="K3487" i="2"/>
  <c r="K4125" i="2"/>
  <c r="K3917" i="2"/>
  <c r="K3439" i="2"/>
  <c r="K4843" i="2"/>
  <c r="K3383" i="2"/>
  <c r="K439" i="2"/>
  <c r="K7115" i="2"/>
  <c r="K5985" i="2"/>
  <c r="K5880" i="2"/>
  <c r="K3335" i="2"/>
  <c r="K1678" i="2"/>
  <c r="K3299" i="2"/>
  <c r="K3287" i="2"/>
  <c r="K1384" i="2"/>
  <c r="K3271" i="2"/>
  <c r="K6030" i="2"/>
  <c r="K2077" i="2"/>
  <c r="K4580" i="2"/>
  <c r="K2417" i="2"/>
  <c r="K2247" i="2"/>
  <c r="K392" i="2"/>
  <c r="K6565" i="2"/>
  <c r="K650" i="2"/>
  <c r="K3163" i="2"/>
  <c r="K1995" i="2"/>
  <c r="K3147" i="2"/>
  <c r="K3139" i="2"/>
  <c r="K4755" i="2"/>
  <c r="K1522" i="2"/>
  <c r="K234" i="2"/>
  <c r="K5430" i="2"/>
  <c r="K3055" i="2"/>
  <c r="K360" i="2"/>
  <c r="K2719" i="2"/>
  <c r="K82" i="2"/>
  <c r="K1303" i="2"/>
  <c r="K2145" i="2"/>
  <c r="K939" i="2"/>
  <c r="K3011" i="2"/>
  <c r="K1507" i="2"/>
  <c r="K3003" i="2"/>
  <c r="K684" i="2"/>
  <c r="K2983" i="2"/>
  <c r="K79" i="2"/>
  <c r="K5751" i="2"/>
  <c r="K1597" i="2"/>
  <c r="K5207" i="2"/>
  <c r="K7153" i="2"/>
  <c r="K2899" i="2"/>
  <c r="K2887" i="2"/>
  <c r="K2855" i="2"/>
  <c r="K1461" i="2"/>
  <c r="K2238" i="2"/>
  <c r="K3606" i="2"/>
  <c r="K2171" i="2"/>
  <c r="K878" i="2"/>
  <c r="K2823" i="2"/>
  <c r="K2815" i="2"/>
  <c r="K4871" i="2"/>
  <c r="K2807" i="2"/>
  <c r="K2803" i="2"/>
  <c r="K2799" i="2"/>
  <c r="K733" i="2"/>
  <c r="K6712" i="2"/>
  <c r="K6022" i="2"/>
  <c r="K2775" i="2"/>
  <c r="K734" i="2"/>
  <c r="K5482" i="2"/>
  <c r="K4206" i="2"/>
  <c r="K2751" i="2"/>
  <c r="K6519" i="2"/>
  <c r="K4008" i="2"/>
  <c r="K2614" i="2"/>
  <c r="K5981" i="2"/>
  <c r="K3167" i="2"/>
  <c r="K2707" i="2"/>
  <c r="K2699" i="2"/>
  <c r="K4116" i="2"/>
  <c r="K3175" i="2"/>
  <c r="K1135" i="2"/>
  <c r="K2583" i="2"/>
  <c r="K928" i="2"/>
  <c r="K5004" i="2"/>
  <c r="K2531" i="2"/>
  <c r="K2515" i="2"/>
  <c r="K2499" i="2"/>
  <c r="K1453" i="2"/>
  <c r="K2463" i="2"/>
  <c r="K2451" i="2"/>
  <c r="K2718" i="2"/>
  <c r="K2415" i="2"/>
  <c r="K6943" i="2"/>
  <c r="K1151" i="2"/>
  <c r="K2287" i="2"/>
  <c r="K1225" i="2"/>
  <c r="K4559" i="2"/>
  <c r="K294" i="2"/>
  <c r="K2375" i="2"/>
  <c r="K5033" i="2"/>
  <c r="K2298" i="2"/>
  <c r="K1187" i="2"/>
  <c r="K2351" i="2"/>
  <c r="K2311" i="2"/>
  <c r="K2104" i="2"/>
  <c r="K2413" i="2"/>
  <c r="K7002" i="2"/>
  <c r="K570" i="2"/>
  <c r="K6937" i="2"/>
  <c r="K764" i="2"/>
  <c r="K2259" i="2"/>
  <c r="K5102" i="2"/>
  <c r="K2976" i="2"/>
  <c r="K4651" i="2"/>
  <c r="K2219" i="2"/>
  <c r="K2831" i="2"/>
  <c r="K1920" i="2"/>
  <c r="K329" i="2"/>
  <c r="K2399" i="2"/>
  <c r="K2163" i="2"/>
  <c r="K3808" i="2"/>
  <c r="K2224" i="2"/>
  <c r="K2034" i="2"/>
  <c r="K2143" i="2"/>
  <c r="K2135" i="2"/>
  <c r="K2131" i="2"/>
  <c r="K1425" i="2"/>
  <c r="K791" i="2"/>
  <c r="K3857" i="2"/>
  <c r="K2103" i="2"/>
  <c r="K2175" i="2"/>
  <c r="K2091" i="2"/>
  <c r="K5544" i="2"/>
  <c r="K7222" i="2"/>
  <c r="K5878" i="2"/>
  <c r="K2047" i="2"/>
  <c r="K4865" i="2"/>
  <c r="K2015" i="2"/>
  <c r="K5998" i="2"/>
  <c r="K410" i="2"/>
  <c r="K3856" i="2"/>
  <c r="K3164" i="2"/>
  <c r="K1112" i="2"/>
  <c r="K1963" i="2"/>
  <c r="K58" i="2"/>
  <c r="K5818" i="2"/>
  <c r="K1943" i="2"/>
  <c r="K759" i="2"/>
  <c r="K2856" i="2"/>
  <c r="K2116" i="2"/>
  <c r="K1919" i="2"/>
  <c r="K1915" i="2"/>
  <c r="K256" i="2"/>
  <c r="K2345" i="2"/>
  <c r="K1899" i="2"/>
  <c r="K3818" i="2"/>
  <c r="K1883" i="2"/>
  <c r="K2975" i="2"/>
  <c r="K2159" i="2"/>
  <c r="K1097" i="2"/>
  <c r="K5030" i="2"/>
  <c r="K1819" i="2"/>
  <c r="K4944" i="2"/>
  <c r="K5563" i="2"/>
  <c r="K1699" i="2"/>
  <c r="K1118" i="2"/>
  <c r="K1679" i="2"/>
  <c r="K1675" i="2"/>
  <c r="K1663" i="2"/>
  <c r="K1659" i="2"/>
  <c r="K931" i="2"/>
  <c r="K3544" i="2"/>
  <c r="K2220" i="2"/>
  <c r="K5644" i="2"/>
  <c r="K1587" i="2"/>
  <c r="K3786" i="2"/>
  <c r="K1551" i="2"/>
  <c r="K5968" i="2"/>
  <c r="K2130" i="2"/>
  <c r="K1527" i="2"/>
  <c r="K1495" i="2"/>
  <c r="K3014" i="2"/>
  <c r="K1443" i="2"/>
  <c r="K1439" i="2"/>
  <c r="K1420" i="2"/>
  <c r="K2395" i="2"/>
  <c r="K1403" i="2"/>
  <c r="K1395" i="2"/>
  <c r="K1391" i="2"/>
  <c r="K1383" i="2"/>
  <c r="K44" i="2"/>
  <c r="K5133" i="2"/>
  <c r="K4096" i="2"/>
  <c r="K3811" i="2"/>
  <c r="K1327" i="2"/>
  <c r="K7084" i="2"/>
  <c r="K6001" i="2"/>
  <c r="K4630" i="2"/>
  <c r="K5024" i="2"/>
  <c r="K7017" i="2"/>
  <c r="K1271" i="2"/>
  <c r="K1263" i="2"/>
  <c r="K1243" i="2"/>
  <c r="K1239" i="2"/>
  <c r="K1235" i="2"/>
  <c r="K2906" i="2"/>
  <c r="K1227" i="2"/>
  <c r="K2061" i="2"/>
  <c r="K6836" i="2"/>
  <c r="K1183" i="2"/>
  <c r="K3661" i="2"/>
  <c r="K2535" i="2"/>
  <c r="K4874" i="2"/>
  <c r="K6885" i="2"/>
  <c r="K3165" i="2"/>
  <c r="K633" i="2"/>
  <c r="K1115" i="2"/>
  <c r="K1099" i="2"/>
  <c r="K5879" i="2"/>
  <c r="K5966" i="2"/>
  <c r="K2645" i="2"/>
  <c r="K964" i="2"/>
  <c r="K5911" i="2"/>
  <c r="K247" i="2"/>
  <c r="K2300" i="2"/>
  <c r="K1035" i="2"/>
  <c r="K1031" i="2"/>
  <c r="K3666" i="2"/>
  <c r="K1019" i="2"/>
  <c r="K983" i="2"/>
  <c r="K5929" i="2"/>
  <c r="K5618" i="2"/>
  <c r="K959" i="2"/>
  <c r="K4678" i="2"/>
  <c r="K4812" i="2"/>
  <c r="K4471" i="2"/>
  <c r="K656" i="2"/>
  <c r="K3475" i="2"/>
  <c r="K1910" i="2"/>
  <c r="K1054" i="2"/>
  <c r="K1931" i="2"/>
  <c r="K536" i="2"/>
  <c r="K1979" i="2"/>
  <c r="K5928" i="2"/>
  <c r="K2157" i="2"/>
  <c r="K3202" i="2"/>
  <c r="K3452" i="2"/>
  <c r="K691" i="2"/>
  <c r="K5584" i="2"/>
  <c r="K37" i="2"/>
  <c r="K671" i="2"/>
  <c r="K4085" i="2"/>
  <c r="K659" i="2"/>
  <c r="K5583" i="2"/>
  <c r="K3041" i="2"/>
  <c r="K591" i="2"/>
  <c r="K362" i="2"/>
  <c r="K3449" i="2"/>
  <c r="K575" i="2"/>
  <c r="K563" i="2"/>
  <c r="K6708" i="2"/>
  <c r="K543" i="2"/>
  <c r="K6442" i="2"/>
  <c r="K6578" i="2"/>
  <c r="K3680" i="2"/>
  <c r="K394" i="2"/>
  <c r="K1026" i="2"/>
  <c r="K4845" i="2"/>
  <c r="K3432" i="2"/>
  <c r="K435" i="2"/>
  <c r="K431" i="2"/>
  <c r="K2341" i="2"/>
  <c r="K1622" i="2"/>
  <c r="K6707" i="2"/>
  <c r="K4053" i="2"/>
  <c r="K403" i="2"/>
  <c r="K3174" i="2"/>
  <c r="K379" i="2"/>
  <c r="K375" i="2"/>
  <c r="K4043" i="2"/>
  <c r="K363" i="2"/>
  <c r="K331" i="2"/>
  <c r="K6750" i="2"/>
  <c r="K2851" i="2"/>
  <c r="K5337" i="2"/>
  <c r="K6771" i="2"/>
  <c r="K5965" i="2"/>
  <c r="K3418" i="2"/>
  <c r="K1364" i="2"/>
  <c r="K6769" i="2"/>
  <c r="K1113" i="2"/>
  <c r="K215" i="2"/>
  <c r="K6177" i="2"/>
  <c r="K4640" i="2"/>
  <c r="K1585" i="2"/>
  <c r="K5161" i="2"/>
  <c r="K3705" i="2"/>
  <c r="K2320" i="2"/>
  <c r="K4579" i="2"/>
  <c r="K163" i="2"/>
  <c r="K159" i="2"/>
  <c r="K147" i="2"/>
  <c r="K6914" i="2"/>
  <c r="K3037" i="2"/>
  <c r="K7101" i="2"/>
  <c r="K5978" i="2"/>
  <c r="K1970" i="2"/>
  <c r="K324" i="2"/>
  <c r="K83" i="2"/>
  <c r="K535" i="2"/>
  <c r="K4084" i="2"/>
  <c r="K6531" i="2"/>
  <c r="K7146" i="2"/>
  <c r="K2403" i="2"/>
  <c r="K7" i="2"/>
  <c r="K35" i="2"/>
  <c r="K23" i="2"/>
  <c r="K4489" i="2"/>
  <c r="K3024" i="2"/>
  <c r="K956" i="2"/>
  <c r="K3984" i="2"/>
  <c r="K5834" i="2"/>
  <c r="K6599" i="2"/>
  <c r="K5813" i="2"/>
  <c r="K6493" i="2"/>
  <c r="K1619" i="2"/>
  <c r="K389" i="2"/>
  <c r="K5259" i="2"/>
  <c r="K5774" i="2"/>
  <c r="K5770" i="2"/>
  <c r="K1496" i="2"/>
  <c r="K5754" i="2"/>
  <c r="K6092" i="2"/>
  <c r="K3665" i="2"/>
  <c r="K5722" i="2"/>
  <c r="K400" i="2"/>
  <c r="K5698" i="2"/>
  <c r="K2801" i="2"/>
  <c r="K6080" i="2"/>
  <c r="K1027" i="2"/>
  <c r="K4577" i="2"/>
  <c r="K5783" i="2"/>
  <c r="K6484" i="2"/>
  <c r="K5622" i="2"/>
  <c r="K652" i="2"/>
  <c r="K5830" i="2"/>
  <c r="K3681" i="2"/>
  <c r="K5598" i="2"/>
  <c r="K4259" i="2"/>
  <c r="K5582" i="2"/>
  <c r="K5578" i="2"/>
  <c r="K5574" i="2"/>
  <c r="K6866" i="2"/>
  <c r="K4663" i="2"/>
  <c r="K5554" i="2"/>
  <c r="K6483" i="2"/>
  <c r="K6857" i="2"/>
  <c r="K1016" i="2"/>
  <c r="K5534" i="2"/>
  <c r="K1547" i="2"/>
  <c r="K4415" i="2"/>
  <c r="K6307" i="2"/>
  <c r="K1046" i="2"/>
  <c r="K758" i="2"/>
  <c r="K4177" i="2"/>
  <c r="K4582" i="2"/>
  <c r="K7048" i="2"/>
  <c r="K5466" i="2"/>
  <c r="K3918" i="2"/>
  <c r="K5829" i="2"/>
  <c r="K5480" i="2"/>
  <c r="K7031" i="2"/>
  <c r="K6732" i="2"/>
  <c r="K1491" i="2"/>
  <c r="K5230" i="2"/>
  <c r="K5226" i="2"/>
  <c r="K1545" i="2"/>
  <c r="K5198" i="2"/>
  <c r="K1246" i="2"/>
  <c r="K3208" i="2"/>
  <c r="K5158" i="2"/>
  <c r="K5151" i="2"/>
  <c r="K5130" i="2"/>
  <c r="K5072" i="2"/>
  <c r="K705" i="2"/>
  <c r="K469" i="2"/>
  <c r="K5074" i="2"/>
  <c r="K6589" i="2"/>
  <c r="K4175" i="2"/>
  <c r="K3627" i="2"/>
  <c r="K3756" i="2"/>
  <c r="K5899" i="2"/>
  <c r="K6526" i="2"/>
  <c r="K5002" i="2"/>
  <c r="K3359" i="2"/>
  <c r="K4982" i="2"/>
  <c r="K4974" i="2"/>
  <c r="K4232" i="2"/>
  <c r="K1014" i="2"/>
  <c r="K1237" i="2"/>
  <c r="K4890" i="2"/>
  <c r="K3619" i="2"/>
  <c r="K1085" i="2"/>
  <c r="K5521" i="2"/>
  <c r="K3618" i="2"/>
  <c r="K1286" i="2"/>
  <c r="K5927" i="2"/>
  <c r="K128" i="2"/>
  <c r="K6768" i="2"/>
  <c r="K4810" i="2"/>
  <c r="K4802" i="2"/>
  <c r="K4794" i="2"/>
  <c r="K5992" i="2"/>
  <c r="K2783" i="2"/>
  <c r="K4795" i="2"/>
  <c r="K4714" i="2"/>
  <c r="K4710" i="2"/>
  <c r="K4851" i="2"/>
  <c r="K2728" i="2"/>
  <c r="K1117" i="2"/>
  <c r="K4662" i="2"/>
  <c r="K2260" i="2"/>
  <c r="K6541" i="2"/>
  <c r="K4861" i="2"/>
  <c r="K2508" i="2"/>
  <c r="K1968" i="2"/>
  <c r="K4867" i="2"/>
  <c r="K4590" i="2"/>
  <c r="K1414" i="2"/>
  <c r="K3997" i="2"/>
  <c r="K4574" i="2"/>
  <c r="K6517" i="2"/>
  <c r="K2990" i="2"/>
  <c r="K581" i="2"/>
  <c r="K4526" i="2"/>
  <c r="K4518" i="2"/>
  <c r="K7201" i="2"/>
  <c r="K4681" i="2"/>
  <c r="K5454" i="2"/>
  <c r="K4474" i="2"/>
  <c r="K6482" i="2"/>
  <c r="K3612" i="2"/>
  <c r="K2764" i="2"/>
  <c r="K4398" i="2"/>
  <c r="K769" i="2"/>
  <c r="K111" i="2"/>
  <c r="K4290" i="2"/>
  <c r="K1709" i="2"/>
  <c r="K4975" i="2"/>
  <c r="K4727" i="2"/>
  <c r="K4186" i="2"/>
  <c r="K4174" i="2"/>
  <c r="K3136" i="2"/>
  <c r="K4142" i="2"/>
  <c r="K5776" i="2"/>
  <c r="K5675" i="2"/>
  <c r="K4090" i="2"/>
  <c r="K5441" i="2"/>
  <c r="K3610" i="2"/>
  <c r="K1363" i="2"/>
  <c r="K6392" i="2"/>
  <c r="K6722" i="2"/>
  <c r="K6237" i="2"/>
  <c r="K4038" i="2"/>
  <c r="K6546" i="2"/>
  <c r="K4172" i="2"/>
  <c r="K4200" i="2"/>
  <c r="K3716" i="2"/>
  <c r="K4046" i="2"/>
  <c r="K3894" i="2"/>
  <c r="K2377" i="2"/>
  <c r="K6832" i="2"/>
  <c r="K3686" i="2"/>
  <c r="K3866" i="2"/>
  <c r="K3862" i="2"/>
  <c r="K5907" i="2"/>
  <c r="K3854" i="2"/>
  <c r="K3850" i="2"/>
  <c r="K92" i="2"/>
  <c r="K3288" i="2"/>
  <c r="K5720" i="2"/>
  <c r="K578" i="2"/>
  <c r="K5604" i="2"/>
  <c r="K3685" i="2"/>
  <c r="K411" i="2"/>
  <c r="K3135" i="2"/>
  <c r="K3738" i="2"/>
  <c r="K3730" i="2"/>
  <c r="K4154" i="2"/>
  <c r="K2070" i="2"/>
  <c r="K3714" i="2"/>
  <c r="K1022" i="2"/>
  <c r="K3702" i="2"/>
  <c r="K3698" i="2"/>
  <c r="K5931" i="2"/>
  <c r="K3668" i="2"/>
  <c r="K3678" i="2"/>
  <c r="K5040" i="2"/>
  <c r="K6041" i="2"/>
  <c r="K3871" i="2"/>
  <c r="K5806" i="2"/>
  <c r="K1950" i="2"/>
  <c r="K5439" i="2"/>
  <c r="K3566" i="2"/>
  <c r="K3996" i="2"/>
  <c r="K3526" i="2"/>
  <c r="K3482" i="2"/>
  <c r="K6059" i="2"/>
  <c r="K90" i="2"/>
  <c r="K5662" i="2"/>
  <c r="K5038" i="2"/>
  <c r="K6916" i="2"/>
  <c r="K3715" i="2"/>
  <c r="K3294" i="2"/>
  <c r="K3286" i="2"/>
  <c r="K1674" i="2"/>
  <c r="K3266" i="2"/>
  <c r="K6639" i="2"/>
  <c r="K4940" i="2"/>
  <c r="K6915" i="2"/>
  <c r="K397" i="2"/>
  <c r="K3238" i="2"/>
  <c r="K2840" i="2"/>
  <c r="K3226" i="2"/>
  <c r="K1104" i="2"/>
  <c r="K3194" i="2"/>
  <c r="K4204" i="2"/>
  <c r="K6490" i="2"/>
  <c r="K1430" i="2"/>
  <c r="K3162" i="2"/>
  <c r="K299" i="2"/>
  <c r="K3150" i="2"/>
  <c r="K5546" i="2"/>
  <c r="K3138" i="2"/>
  <c r="K4296" i="2"/>
  <c r="K5786" i="2"/>
  <c r="K3110" i="2"/>
  <c r="K3094" i="2"/>
  <c r="K3054" i="2"/>
  <c r="K4593" i="2"/>
  <c r="K3038" i="2"/>
  <c r="K3022" i="2"/>
  <c r="K3728" i="2"/>
  <c r="K3955" i="2"/>
  <c r="K1901" i="2"/>
  <c r="K1064" i="2"/>
  <c r="K2986" i="2"/>
  <c r="K5545" i="2"/>
  <c r="K2978" i="2"/>
  <c r="K2974" i="2"/>
  <c r="K2909" i="2"/>
  <c r="K673" i="2"/>
  <c r="K5428" i="2"/>
  <c r="K2898" i="2"/>
  <c r="K2890" i="2"/>
  <c r="K2886" i="2"/>
  <c r="K4826" i="2"/>
  <c r="K2870" i="2"/>
  <c r="K2854" i="2"/>
  <c r="K4661" i="2"/>
  <c r="K4049" i="2"/>
  <c r="K2830" i="2"/>
  <c r="K3754" i="2"/>
  <c r="K1076" i="2"/>
  <c r="K4372" i="2"/>
  <c r="K2794" i="2"/>
  <c r="K2778" i="2"/>
  <c r="K2774" i="2"/>
  <c r="K1454" i="2"/>
  <c r="K2619" i="2"/>
  <c r="K5795" i="2"/>
  <c r="K2750" i="2"/>
  <c r="K2746" i="2"/>
  <c r="K5960" i="2"/>
  <c r="K5585" i="2"/>
  <c r="K6694" i="2"/>
  <c r="K4571" i="2"/>
  <c r="K2706" i="2"/>
  <c r="K4118" i="2"/>
  <c r="K766" i="2"/>
  <c r="K5997" i="2"/>
  <c r="K7152" i="2"/>
  <c r="K5621" i="2"/>
  <c r="K2666" i="2"/>
  <c r="K2662" i="2"/>
  <c r="K2658" i="2"/>
  <c r="K2654" i="2"/>
  <c r="K6077" i="2"/>
  <c r="K6912" i="2"/>
  <c r="K2582" i="2"/>
  <c r="K2578" i="2"/>
  <c r="K2570" i="2"/>
  <c r="K5861" i="2"/>
  <c r="K2518" i="2"/>
  <c r="K4284" i="2"/>
  <c r="K4616" i="2"/>
  <c r="K820" i="2"/>
  <c r="K364" i="2"/>
  <c r="K2458" i="2"/>
  <c r="K2717" i="2"/>
  <c r="K3605" i="2"/>
  <c r="K75" i="2"/>
  <c r="K2402" i="2"/>
  <c r="K5841" i="2"/>
  <c r="K2390" i="2"/>
  <c r="K6579" i="2"/>
  <c r="K2811" i="2"/>
  <c r="K2374" i="2"/>
  <c r="K74" i="2"/>
  <c r="K2330" i="2"/>
  <c r="K663" i="2"/>
  <c r="K4847" i="2"/>
  <c r="K3603" i="2"/>
  <c r="K1177" i="2"/>
  <c r="K5650" i="2"/>
  <c r="K6241" i="2"/>
  <c r="K6391" i="2"/>
  <c r="K4400" i="2"/>
  <c r="K4570" i="2"/>
  <c r="K2266" i="2"/>
  <c r="K1045" i="2"/>
  <c r="K2258" i="2"/>
  <c r="K4752" i="2"/>
  <c r="K5117" i="2"/>
  <c r="K2222" i="2"/>
  <c r="K2405" i="2"/>
  <c r="K6663" i="2"/>
  <c r="K6063" i="2"/>
  <c r="K3329" i="2"/>
  <c r="K2150" i="2"/>
  <c r="K1283" i="2"/>
  <c r="K1948" i="2"/>
  <c r="K819" i="2"/>
  <c r="K6711" i="2"/>
  <c r="K1537" i="2"/>
  <c r="K2114" i="2"/>
  <c r="K4682" i="2"/>
  <c r="K4929" i="2"/>
  <c r="K2098" i="2"/>
  <c r="K2094" i="2"/>
  <c r="K2090" i="2"/>
  <c r="K5951" i="2"/>
  <c r="K4650" i="2"/>
  <c r="K4947" i="2"/>
  <c r="K2014" i="2"/>
  <c r="K5516" i="2"/>
  <c r="K3858" i="2"/>
  <c r="K3570" i="2"/>
  <c r="K1966" i="2"/>
  <c r="K4109" i="2"/>
  <c r="K3726" i="2"/>
  <c r="K2127" i="2"/>
  <c r="K5703" i="2"/>
  <c r="K1421" i="2"/>
  <c r="K2785" i="2"/>
  <c r="K4767" i="2"/>
  <c r="K1044" i="2"/>
  <c r="K1898" i="2"/>
  <c r="K1894" i="2"/>
  <c r="K1886" i="2"/>
  <c r="K1882" i="2"/>
  <c r="K2972" i="2"/>
  <c r="K47" i="2"/>
  <c r="K1939" i="2"/>
  <c r="K1806" i="2"/>
  <c r="K1742" i="2"/>
  <c r="K6055" i="2"/>
  <c r="K46" i="2"/>
  <c r="K5808" i="2"/>
  <c r="K3171" i="2"/>
  <c r="K5141" i="2"/>
  <c r="K1662" i="2"/>
  <c r="K2701" i="2"/>
  <c r="K385" i="2"/>
  <c r="K1546" i="2"/>
  <c r="K3539" i="2"/>
  <c r="K1538" i="2"/>
  <c r="K1912" i="2"/>
  <c r="K5614" i="2"/>
  <c r="K4283" i="2"/>
  <c r="K864" i="2"/>
  <c r="K1506" i="2"/>
  <c r="K3870" i="2"/>
  <c r="K1938" i="2"/>
  <c r="K679" i="2"/>
  <c r="K1914" i="2"/>
  <c r="K199" i="2"/>
  <c r="K2102" i="2"/>
  <c r="K5140" i="2"/>
  <c r="K1397" i="2"/>
  <c r="K1426" i="2"/>
  <c r="K4281" i="2"/>
  <c r="K1449" i="2"/>
  <c r="K6873" i="2"/>
  <c r="K1402" i="2"/>
  <c r="K2391" i="2"/>
  <c r="K6763" i="2"/>
  <c r="K1534" i="2"/>
  <c r="K446" i="2"/>
  <c r="K2852" i="2"/>
  <c r="K4094" i="2"/>
  <c r="K5712" i="2"/>
  <c r="K1318" i="2"/>
  <c r="K1302" i="2"/>
  <c r="K3888" i="2"/>
  <c r="K1073" i="2"/>
  <c r="K1927" i="2"/>
  <c r="K5628" i="2"/>
  <c r="K2148" i="2"/>
  <c r="K4039" i="2"/>
  <c r="K6155" i="2"/>
  <c r="K1242" i="2"/>
  <c r="K1238" i="2"/>
  <c r="K1230" i="2"/>
  <c r="K677" i="2"/>
  <c r="K5932" i="2"/>
  <c r="K4410" i="2"/>
  <c r="K2796" i="2"/>
  <c r="K1114" i="2"/>
  <c r="K4636" i="2"/>
  <c r="K415" i="2"/>
  <c r="K6095" i="2"/>
  <c r="K1090" i="2"/>
  <c r="K5901" i="2"/>
  <c r="K1078" i="2"/>
  <c r="K4980" i="2"/>
  <c r="K1066" i="2"/>
  <c r="K1062" i="2"/>
  <c r="K5831" i="2"/>
  <c r="K747" i="2"/>
  <c r="K6078" i="2"/>
  <c r="K1185" i="2"/>
  <c r="K1042" i="2"/>
  <c r="K1038" i="2"/>
  <c r="K1034" i="2"/>
  <c r="K963" i="2"/>
  <c r="K6186" i="2"/>
  <c r="K4091" i="2"/>
  <c r="K5543" i="2"/>
  <c r="K982" i="2"/>
  <c r="K5174" i="2"/>
  <c r="K5620" i="2"/>
  <c r="K930" i="2"/>
  <c r="K922" i="2"/>
  <c r="K43" i="2"/>
  <c r="K862" i="2"/>
  <c r="K39" i="2"/>
  <c r="K6835" i="2"/>
  <c r="K798" i="2"/>
  <c r="K6746" i="2"/>
  <c r="K3200" i="2"/>
  <c r="K700" i="2"/>
  <c r="K754" i="2"/>
  <c r="K750" i="2"/>
  <c r="K746" i="2"/>
  <c r="K2286" i="2"/>
  <c r="K4089" i="2"/>
  <c r="K4086" i="2"/>
  <c r="K1982" i="2"/>
  <c r="K6668" i="2"/>
  <c r="K3691" i="2"/>
  <c r="K662" i="2"/>
  <c r="K654" i="2"/>
  <c r="K3919" i="2"/>
  <c r="K630" i="2"/>
  <c r="K5347" i="2"/>
  <c r="K586" i="2"/>
  <c r="K1908" i="2"/>
  <c r="K5562" i="2"/>
  <c r="K3749" i="2"/>
  <c r="K562" i="2"/>
  <c r="K3448" i="2"/>
  <c r="K542" i="2"/>
  <c r="K538" i="2"/>
  <c r="K4496" i="2"/>
  <c r="K462" i="2"/>
  <c r="K4779" i="2"/>
  <c r="K450" i="2"/>
  <c r="K6704" i="2"/>
  <c r="K5555" i="2"/>
  <c r="K2217" i="2"/>
  <c r="K1222" i="2"/>
  <c r="K1804" i="2"/>
  <c r="K414" i="2"/>
  <c r="K6706" i="2"/>
  <c r="K2970" i="2"/>
  <c r="K390" i="2"/>
  <c r="K5784" i="2"/>
  <c r="K378" i="2"/>
  <c r="K374" i="2"/>
  <c r="K370" i="2"/>
  <c r="K1444" i="2"/>
  <c r="K2838" i="2"/>
  <c r="K2697" i="2"/>
  <c r="K1930" i="2"/>
  <c r="K4902" i="2"/>
  <c r="K558" i="2"/>
  <c r="K7285" i="2"/>
  <c r="K254" i="2"/>
  <c r="K3051" i="2"/>
  <c r="K5823" i="2"/>
  <c r="K523" i="2"/>
  <c r="K230" i="2"/>
  <c r="K226" i="2"/>
  <c r="K3328" i="2"/>
  <c r="K3920" i="2"/>
  <c r="K5805" i="2"/>
  <c r="K2318" i="2"/>
  <c r="K531" i="2"/>
  <c r="K162" i="2"/>
  <c r="K158" i="2"/>
  <c r="K146" i="2"/>
  <c r="K6906" i="2"/>
  <c r="K3036" i="2"/>
  <c r="K1226" i="2"/>
  <c r="K2156" i="2"/>
  <c r="K208" i="2"/>
  <c r="K6561" i="2"/>
  <c r="K4210" i="2"/>
  <c r="K4665" i="2"/>
  <c r="K5605" i="2"/>
  <c r="K62" i="2"/>
  <c r="K7038" i="2"/>
  <c r="K4291" i="2"/>
  <c r="K38" i="2"/>
  <c r="K1374" i="2"/>
  <c r="J9998" i="2"/>
  <c r="J9994" i="2"/>
  <c r="J9986" i="2"/>
  <c r="J9982" i="2"/>
  <c r="J9978" i="2"/>
  <c r="J9970" i="2"/>
  <c r="J9966" i="2"/>
  <c r="J9962" i="2"/>
  <c r="J9954" i="2"/>
  <c r="J9950" i="2"/>
  <c r="J9946" i="2"/>
  <c r="J9938" i="2"/>
  <c r="J9934" i="2"/>
  <c r="J9930" i="2"/>
  <c r="J9922" i="2"/>
  <c r="J9918" i="2"/>
  <c r="J9914" i="2"/>
  <c r="J10000" i="2"/>
  <c r="J9995" i="2"/>
  <c r="J9991" i="2"/>
  <c r="J9987" i="2"/>
  <c r="J9979" i="2"/>
  <c r="J9975" i="2"/>
  <c r="J9971" i="2"/>
  <c r="J9963" i="2"/>
  <c r="J9959" i="2"/>
  <c r="J9955" i="2"/>
  <c r="J9947" i="2"/>
  <c r="J9943" i="2"/>
  <c r="J9939" i="2"/>
  <c r="J9931" i="2"/>
  <c r="J9927" i="2"/>
  <c r="J9923" i="2"/>
  <c r="J9915" i="2"/>
  <c r="J9911" i="2"/>
  <c r="J9907" i="2"/>
  <c r="J9899" i="2"/>
  <c r="J9895" i="2"/>
  <c r="J9891" i="2"/>
  <c r="J9883" i="2"/>
  <c r="J9879" i="2"/>
  <c r="J9875" i="2"/>
  <c r="J9867" i="2"/>
  <c r="J9863" i="2"/>
  <c r="J9859" i="2"/>
  <c r="J9851" i="2"/>
  <c r="J9847" i="2"/>
  <c r="J9843" i="2"/>
  <c r="J9835" i="2"/>
  <c r="J9831" i="2"/>
  <c r="J9827" i="2"/>
  <c r="J9819" i="2"/>
  <c r="J9815" i="2"/>
  <c r="J9811" i="2"/>
  <c r="J9803" i="2"/>
  <c r="J9799" i="2"/>
  <c r="J9795" i="2"/>
  <c r="J9787" i="2"/>
  <c r="J9783" i="2"/>
  <c r="J9779" i="2"/>
  <c r="J9771" i="2"/>
  <c r="J9767" i="2"/>
  <c r="J9763" i="2"/>
  <c r="J9755" i="2"/>
  <c r="J9751" i="2"/>
  <c r="J9747" i="2"/>
  <c r="J9739" i="2"/>
  <c r="J9735" i="2"/>
  <c r="J9731" i="2"/>
  <c r="J9723" i="2"/>
  <c r="J9719" i="2"/>
  <c r="J9715" i="2"/>
  <c r="J9707" i="2"/>
  <c r="J9703" i="2"/>
  <c r="J9699" i="2"/>
  <c r="J9691" i="2"/>
  <c r="J9687" i="2"/>
  <c r="J9683" i="2"/>
  <c r="J9675" i="2"/>
  <c r="J9671" i="2"/>
  <c r="J9667" i="2"/>
  <c r="J9659" i="2"/>
  <c r="J9655" i="2"/>
  <c r="J9651" i="2"/>
  <c r="J9643" i="2"/>
  <c r="J9639" i="2"/>
  <c r="J9635" i="2"/>
  <c r="J9627" i="2"/>
  <c r="J9623" i="2"/>
  <c r="J9619" i="2"/>
  <c r="J9611" i="2"/>
  <c r="J9607" i="2"/>
  <c r="J9603" i="2"/>
  <c r="J9595" i="2"/>
  <c r="J9591" i="2"/>
  <c r="J9587" i="2"/>
  <c r="J9579" i="2"/>
  <c r="J9575" i="2"/>
  <c r="J9571" i="2"/>
  <c r="J9563" i="2"/>
  <c r="J9559" i="2"/>
  <c r="J9555" i="2"/>
  <c r="J9547" i="2"/>
  <c r="J9543" i="2"/>
  <c r="J9539" i="2"/>
  <c r="J9531" i="2"/>
  <c r="J9527" i="2"/>
  <c r="J9523" i="2"/>
  <c r="J9515" i="2"/>
  <c r="J9511" i="2"/>
  <c r="J9507" i="2"/>
  <c r="J9499" i="2"/>
  <c r="J9495" i="2"/>
  <c r="J9491" i="2"/>
  <c r="J9483" i="2"/>
  <c r="J9479" i="2"/>
  <c r="J9475" i="2"/>
  <c r="J9467" i="2"/>
  <c r="J9463" i="2"/>
  <c r="J9459" i="2"/>
  <c r="J9451" i="2"/>
  <c r="J9447" i="2"/>
  <c r="J9443" i="2"/>
  <c r="J9435" i="2"/>
  <c r="J9431" i="2"/>
  <c r="J9427" i="2"/>
  <c r="J9419" i="2"/>
  <c r="J9415" i="2"/>
  <c r="J9411" i="2"/>
  <c r="J9403" i="2"/>
  <c r="J9399" i="2"/>
  <c r="J9395" i="2"/>
  <c r="J9387" i="2"/>
  <c r="J9383" i="2"/>
  <c r="J9379" i="2"/>
  <c r="J9371" i="2"/>
  <c r="J9367" i="2"/>
  <c r="J9363" i="2"/>
  <c r="J9355" i="2"/>
  <c r="J9351" i="2"/>
  <c r="J9347" i="2"/>
  <c r="J9339" i="2"/>
  <c r="J9335" i="2"/>
  <c r="J9331" i="2"/>
  <c r="J9323" i="2"/>
  <c r="J9319" i="2"/>
  <c r="J9315" i="2"/>
  <c r="J9307" i="2"/>
  <c r="J9303" i="2"/>
  <c r="J9299" i="2"/>
  <c r="J9291" i="2"/>
  <c r="J9287" i="2"/>
  <c r="J9283" i="2"/>
  <c r="J9275" i="2"/>
  <c r="J9271" i="2"/>
  <c r="J9267" i="2"/>
  <c r="J9259" i="2"/>
  <c r="J9255" i="2"/>
  <c r="J9251" i="2"/>
  <c r="J9243" i="2"/>
  <c r="J9239" i="2"/>
  <c r="J9235" i="2"/>
  <c r="J9227" i="2"/>
  <c r="J9223" i="2"/>
  <c r="J9219" i="2"/>
  <c r="J9211" i="2"/>
  <c r="J9207" i="2"/>
  <c r="J9203" i="2"/>
  <c r="J9195" i="2"/>
  <c r="J9191" i="2"/>
  <c r="J9187" i="2"/>
  <c r="J9179" i="2"/>
  <c r="J9175" i="2"/>
  <c r="J9171" i="2"/>
  <c r="J9163" i="2"/>
  <c r="J9159" i="2"/>
  <c r="J9155" i="2"/>
  <c r="J9147" i="2"/>
  <c r="J9143" i="2"/>
  <c r="J9139" i="2"/>
  <c r="J9131" i="2"/>
  <c r="J9127" i="2"/>
  <c r="J9123" i="2"/>
  <c r="J9115" i="2"/>
  <c r="J9111" i="2"/>
  <c r="J9107" i="2"/>
  <c r="J9099" i="2"/>
  <c r="J9095" i="2"/>
  <c r="J9091" i="2"/>
  <c r="J9083" i="2"/>
  <c r="J9079" i="2"/>
  <c r="J9075" i="2"/>
  <c r="J9067" i="2"/>
  <c r="J9063" i="2"/>
  <c r="J9059" i="2"/>
  <c r="J9051" i="2"/>
  <c r="J9047" i="2"/>
  <c r="J9043" i="2"/>
  <c r="J9035" i="2"/>
  <c r="J9031" i="2"/>
  <c r="J9027" i="2"/>
  <c r="J9019" i="2"/>
  <c r="J9015" i="2"/>
  <c r="J9011" i="2"/>
  <c r="J9003" i="2"/>
  <c r="J8999" i="2"/>
  <c r="J8995" i="2"/>
  <c r="J8987" i="2"/>
  <c r="J8983" i="2"/>
  <c r="J8979" i="2"/>
  <c r="J8971" i="2"/>
  <c r="J8967" i="2"/>
  <c r="J8963" i="2"/>
  <c r="J8955" i="2"/>
  <c r="J8951" i="2"/>
  <c r="J8947" i="2"/>
  <c r="J8939" i="2"/>
  <c r="J8935" i="2"/>
  <c r="J8931" i="2"/>
  <c r="J8923" i="2"/>
  <c r="J8919" i="2"/>
  <c r="J8915" i="2"/>
  <c r="J8907" i="2"/>
  <c r="J8903" i="2"/>
  <c r="J8899" i="2"/>
  <c r="J8891" i="2"/>
  <c r="J8887" i="2"/>
  <c r="J8883" i="2"/>
  <c r="J8875" i="2"/>
  <c r="J8871" i="2"/>
  <c r="J8867" i="2"/>
  <c r="J8859" i="2"/>
  <c r="J8855" i="2"/>
  <c r="J8851" i="2"/>
  <c r="J8843" i="2"/>
  <c r="J8839" i="2"/>
  <c r="J8835" i="2"/>
  <c r="J8827" i="2"/>
  <c r="J8823" i="2"/>
  <c r="J8819" i="2"/>
  <c r="J8811" i="2"/>
  <c r="J8807" i="2"/>
  <c r="J8803" i="2"/>
  <c r="J8795" i="2"/>
  <c r="J8791" i="2"/>
  <c r="J8787" i="2"/>
  <c r="J8779" i="2"/>
  <c r="J8775" i="2"/>
  <c r="J8771" i="2"/>
  <c r="J8763" i="2"/>
  <c r="J8759" i="2"/>
  <c r="J8755" i="2"/>
  <c r="J8747" i="2"/>
  <c r="J8743" i="2"/>
  <c r="J8739" i="2"/>
  <c r="J8731" i="2"/>
  <c r="J8727" i="2"/>
  <c r="J8723" i="2"/>
  <c r="J8715" i="2"/>
  <c r="J8711" i="2"/>
  <c r="J8707" i="2"/>
  <c r="J8699" i="2"/>
  <c r="J8695" i="2"/>
  <c r="J8691" i="2"/>
  <c r="J8683" i="2"/>
  <c r="J8679" i="2"/>
  <c r="J8675" i="2"/>
  <c r="J8667" i="2"/>
  <c r="J8663" i="2"/>
  <c r="J8659" i="2"/>
  <c r="J8651" i="2"/>
  <c r="J8647" i="2"/>
  <c r="J8643" i="2"/>
  <c r="J8635" i="2"/>
  <c r="J8631" i="2"/>
  <c r="J8627" i="2"/>
  <c r="J8619" i="2"/>
  <c r="J8615" i="2"/>
  <c r="J8611" i="2"/>
  <c r="J8603" i="2"/>
  <c r="J8599" i="2"/>
  <c r="J8595" i="2"/>
  <c r="J8587" i="2"/>
  <c r="J8583" i="2"/>
  <c r="J8579" i="2"/>
  <c r="J8571" i="2"/>
  <c r="J8567" i="2"/>
  <c r="J8563" i="2"/>
  <c r="J8555" i="2"/>
  <c r="J8551" i="2"/>
  <c r="J8547" i="2"/>
  <c r="J8539" i="2"/>
  <c r="J8535" i="2"/>
  <c r="J8531" i="2"/>
  <c r="J8523" i="2"/>
  <c r="J8519" i="2"/>
  <c r="J8515" i="2"/>
  <c r="J8507" i="2"/>
  <c r="J8503" i="2"/>
  <c r="J8499" i="2"/>
  <c r="J8491" i="2"/>
  <c r="J8487" i="2"/>
  <c r="J8483" i="2"/>
  <c r="J8475" i="2"/>
  <c r="J8471" i="2"/>
  <c r="J8467" i="2"/>
  <c r="J8459" i="2"/>
  <c r="J8455" i="2"/>
  <c r="J8451" i="2"/>
  <c r="J8443" i="2"/>
  <c r="J8439" i="2"/>
  <c r="J8435" i="2"/>
  <c r="J8427" i="2"/>
  <c r="J8423" i="2"/>
  <c r="J8419" i="2"/>
  <c r="J8411" i="2"/>
  <c r="J8407" i="2"/>
  <c r="J8403" i="2"/>
  <c r="J8395" i="2"/>
  <c r="J8391" i="2"/>
  <c r="J8387" i="2"/>
  <c r="J8379" i="2"/>
  <c r="J8375" i="2"/>
  <c r="J8371" i="2"/>
  <c r="J8363" i="2"/>
  <c r="J8359" i="2"/>
  <c r="J8355" i="2"/>
  <c r="J8347" i="2"/>
  <c r="J8343" i="2"/>
  <c r="J8339" i="2"/>
  <c r="J8331" i="2"/>
  <c r="J8327" i="2"/>
  <c r="J8323" i="2"/>
  <c r="J8315" i="2"/>
  <c r="J8311" i="2"/>
  <c r="J8307" i="2"/>
  <c r="J8299" i="2"/>
  <c r="J8295" i="2"/>
  <c r="J8291" i="2"/>
  <c r="J8283" i="2"/>
  <c r="J8279" i="2"/>
  <c r="J8275" i="2"/>
  <c r="J8267" i="2"/>
  <c r="J8263" i="2"/>
  <c r="J8259" i="2"/>
  <c r="J8251" i="2"/>
  <c r="J8247" i="2"/>
  <c r="J8243" i="2"/>
  <c r="J8235" i="2"/>
  <c r="J8231" i="2"/>
  <c r="J8227" i="2"/>
  <c r="J8219" i="2"/>
  <c r="J8215" i="2"/>
  <c r="J8211" i="2"/>
  <c r="J8203" i="2"/>
  <c r="J8199" i="2"/>
  <c r="J8195" i="2"/>
  <c r="J8187" i="2"/>
  <c r="J8183" i="2"/>
  <c r="J8179" i="2"/>
  <c r="J8171" i="2"/>
  <c r="J8167" i="2"/>
  <c r="J8163" i="2"/>
  <c r="J8155" i="2"/>
  <c r="J8151" i="2"/>
  <c r="J9906" i="2"/>
  <c r="J9902" i="2"/>
  <c r="J9898" i="2"/>
  <c r="J9890" i="2"/>
  <c r="J9886" i="2"/>
  <c r="J9882" i="2"/>
  <c r="J9874" i="2"/>
  <c r="J9870" i="2"/>
  <c r="J9866" i="2"/>
  <c r="J9858" i="2"/>
  <c r="J9854" i="2"/>
  <c r="J9850" i="2"/>
  <c r="J9842" i="2"/>
  <c r="J9838" i="2"/>
  <c r="J9834" i="2"/>
  <c r="J9826" i="2"/>
  <c r="J9822" i="2"/>
  <c r="J9818" i="2"/>
  <c r="J9810" i="2"/>
  <c r="J9806" i="2"/>
  <c r="J9802" i="2"/>
  <c r="J9794" i="2"/>
  <c r="J9790" i="2"/>
  <c r="J9786" i="2"/>
  <c r="J9778" i="2"/>
  <c r="J9774" i="2"/>
  <c r="J9770" i="2"/>
  <c r="J9762" i="2"/>
  <c r="J9758" i="2"/>
  <c r="J9754" i="2"/>
  <c r="J9746" i="2"/>
  <c r="J9742" i="2"/>
  <c r="J9738" i="2"/>
  <c r="J9730" i="2"/>
  <c r="J9726" i="2"/>
  <c r="J9722" i="2"/>
  <c r="J9714" i="2"/>
  <c r="J9710" i="2"/>
  <c r="J9706" i="2"/>
  <c r="J9698" i="2"/>
  <c r="J9694" i="2"/>
  <c r="J9690" i="2"/>
  <c r="J9682" i="2"/>
  <c r="J9678" i="2"/>
  <c r="J9674" i="2"/>
  <c r="J9666" i="2"/>
  <c r="J9662" i="2"/>
  <c r="J9658" i="2"/>
  <c r="J9650" i="2"/>
  <c r="J9646" i="2"/>
  <c r="J9642" i="2"/>
  <c r="J9634" i="2"/>
  <c r="J9630" i="2"/>
  <c r="J9626" i="2"/>
  <c r="J9618" i="2"/>
  <c r="J9614" i="2"/>
  <c r="J9610" i="2"/>
  <c r="J9602" i="2"/>
  <c r="J9598" i="2"/>
  <c r="J9594" i="2"/>
  <c r="J9586" i="2"/>
  <c r="J9582" i="2"/>
  <c r="J9578" i="2"/>
  <c r="J9570" i="2"/>
  <c r="J9566" i="2"/>
  <c r="J9562" i="2"/>
  <c r="J9554" i="2"/>
  <c r="J9550" i="2"/>
  <c r="J9546" i="2"/>
  <c r="J9538" i="2"/>
  <c r="J9534" i="2"/>
  <c r="J9530" i="2"/>
  <c r="J9522" i="2"/>
  <c r="J9518" i="2"/>
  <c r="J9514" i="2"/>
  <c r="J9506" i="2"/>
  <c r="J9502" i="2"/>
  <c r="J9498" i="2"/>
  <c r="J9490" i="2"/>
  <c r="J9486" i="2"/>
  <c r="J9482" i="2"/>
  <c r="J9474" i="2"/>
  <c r="J9470" i="2"/>
  <c r="J9466" i="2"/>
  <c r="J9458" i="2"/>
  <c r="J9454" i="2"/>
  <c r="J9450" i="2"/>
  <c r="J9442" i="2"/>
  <c r="J9438" i="2"/>
  <c r="J9434" i="2"/>
  <c r="J9426" i="2"/>
  <c r="J9422" i="2"/>
  <c r="J9418" i="2"/>
  <c r="J9410" i="2"/>
  <c r="J9406" i="2"/>
  <c r="J9402" i="2"/>
  <c r="J9394" i="2"/>
  <c r="J9390" i="2"/>
  <c r="J9386" i="2"/>
  <c r="J9378" i="2"/>
  <c r="J9374" i="2"/>
  <c r="J9370" i="2"/>
  <c r="J9362" i="2"/>
  <c r="J9358" i="2"/>
  <c r="J9354" i="2"/>
  <c r="J9346" i="2"/>
  <c r="J9342" i="2"/>
  <c r="J9338" i="2"/>
  <c r="J9330" i="2"/>
  <c r="J9326" i="2"/>
  <c r="J9322" i="2"/>
  <c r="J9314" i="2"/>
  <c r="J9310" i="2"/>
  <c r="J9306" i="2"/>
  <c r="J9298" i="2"/>
  <c r="J9294" i="2"/>
  <c r="J9290" i="2"/>
  <c r="J9282" i="2"/>
  <c r="J9278" i="2"/>
  <c r="J9274" i="2"/>
  <c r="J9266" i="2"/>
  <c r="J9262" i="2"/>
  <c r="J9258" i="2"/>
  <c r="J9250" i="2"/>
  <c r="J9246" i="2"/>
  <c r="J9242" i="2"/>
  <c r="J9234" i="2"/>
  <c r="J9230" i="2"/>
  <c r="J9226" i="2"/>
  <c r="J9218" i="2"/>
  <c r="J9214" i="2"/>
  <c r="J9210" i="2"/>
  <c r="J9202" i="2"/>
  <c r="J9198" i="2"/>
  <c r="J9194" i="2"/>
  <c r="J9186" i="2"/>
  <c r="J9182" i="2"/>
  <c r="J9178" i="2"/>
  <c r="J9170" i="2"/>
  <c r="J9166" i="2"/>
  <c r="J9162" i="2"/>
  <c r="J9154" i="2"/>
  <c r="J9150" i="2"/>
  <c r="J9146" i="2"/>
  <c r="J9138" i="2"/>
  <c r="J9134" i="2"/>
  <c r="J9130" i="2"/>
  <c r="J9122" i="2"/>
  <c r="J9118" i="2"/>
  <c r="J9114" i="2"/>
  <c r="J9106" i="2"/>
  <c r="J9102" i="2"/>
  <c r="J9098" i="2"/>
  <c r="J9090" i="2"/>
  <c r="J9086" i="2"/>
  <c r="J9082" i="2"/>
  <c r="J9074" i="2"/>
  <c r="J9070" i="2"/>
  <c r="J9066" i="2"/>
  <c r="J9058" i="2"/>
  <c r="J9054" i="2"/>
  <c r="J9050" i="2"/>
  <c r="J9042" i="2"/>
  <c r="J9038" i="2"/>
  <c r="J9034" i="2"/>
  <c r="J9026" i="2"/>
  <c r="J9022" i="2"/>
  <c r="J9018" i="2"/>
  <c r="J9010" i="2"/>
  <c r="J9006" i="2"/>
  <c r="J9002" i="2"/>
  <c r="J8994" i="2"/>
  <c r="J8990" i="2"/>
  <c r="J8986" i="2"/>
  <c r="J8978" i="2"/>
  <c r="J8974" i="2"/>
  <c r="J8970" i="2"/>
  <c r="J8962" i="2"/>
  <c r="J8958" i="2"/>
  <c r="J8954" i="2"/>
  <c r="J8946" i="2"/>
  <c r="J8942" i="2"/>
  <c r="J8938" i="2"/>
  <c r="J8930" i="2"/>
  <c r="J8926" i="2"/>
  <c r="J8922" i="2"/>
  <c r="J8914" i="2"/>
  <c r="J8910" i="2"/>
  <c r="J8906" i="2"/>
  <c r="J8898" i="2"/>
  <c r="J8894" i="2"/>
  <c r="J8890" i="2"/>
  <c r="J8882" i="2"/>
  <c r="J8878" i="2"/>
  <c r="J8874" i="2"/>
  <c r="J8866" i="2"/>
  <c r="J8862" i="2"/>
  <c r="J8858" i="2"/>
  <c r="J8850" i="2"/>
  <c r="J8846" i="2"/>
  <c r="J8842" i="2"/>
  <c r="J8834" i="2"/>
  <c r="J8830" i="2"/>
  <c r="J8826" i="2"/>
  <c r="J8818" i="2"/>
  <c r="J8814" i="2"/>
  <c r="J8810" i="2"/>
  <c r="J8802" i="2"/>
  <c r="J8798" i="2"/>
  <c r="J8794" i="2"/>
  <c r="J8786" i="2"/>
  <c r="J8782" i="2"/>
  <c r="J8778" i="2"/>
  <c r="J8770" i="2"/>
  <c r="J8766" i="2"/>
  <c r="J8762" i="2"/>
  <c r="J8754" i="2"/>
  <c r="J8750" i="2"/>
  <c r="J8746" i="2"/>
  <c r="J8738" i="2"/>
  <c r="J8734" i="2"/>
  <c r="J8730" i="2"/>
  <c r="J8722" i="2"/>
  <c r="J8718" i="2"/>
  <c r="J8714" i="2"/>
  <c r="J8706" i="2"/>
  <c r="J8702" i="2"/>
  <c r="J8698" i="2"/>
  <c r="J8690" i="2"/>
  <c r="J8686" i="2"/>
  <c r="J8682" i="2"/>
  <c r="J8674" i="2"/>
  <c r="J8670" i="2"/>
  <c r="J8666" i="2"/>
  <c r="J8658" i="2"/>
  <c r="J8654" i="2"/>
  <c r="J8650" i="2"/>
  <c r="J8642" i="2"/>
  <c r="J8638" i="2"/>
  <c r="J8634" i="2"/>
  <c r="J8626" i="2"/>
  <c r="J8622" i="2"/>
  <c r="J8618" i="2"/>
  <c r="J8610" i="2"/>
  <c r="J8606" i="2"/>
  <c r="J8602" i="2"/>
  <c r="J8594" i="2"/>
  <c r="J8590" i="2"/>
  <c r="J8586" i="2"/>
  <c r="J8578" i="2"/>
  <c r="J8574" i="2"/>
  <c r="J8570" i="2"/>
  <c r="J8562" i="2"/>
  <c r="J8558" i="2"/>
  <c r="J8554" i="2"/>
  <c r="J8546" i="2"/>
  <c r="J8542" i="2"/>
  <c r="J8538" i="2"/>
  <c r="J8530" i="2"/>
  <c r="J8526" i="2"/>
  <c r="J8522" i="2"/>
  <c r="J8514" i="2"/>
  <c r="J8510" i="2"/>
  <c r="J8506" i="2"/>
  <c r="J8498" i="2"/>
  <c r="J8494" i="2"/>
  <c r="J8490" i="2"/>
  <c r="J8482" i="2"/>
  <c r="J8478" i="2"/>
  <c r="J8474" i="2"/>
  <c r="J8466" i="2"/>
  <c r="J8462" i="2"/>
  <c r="J8458" i="2"/>
  <c r="J8450" i="2"/>
  <c r="J8446" i="2"/>
  <c r="J8442" i="2"/>
  <c r="J8434" i="2"/>
  <c r="J8430" i="2"/>
  <c r="J8426" i="2"/>
  <c r="J8418" i="2"/>
  <c r="J8414" i="2"/>
  <c r="J8410" i="2"/>
  <c r="J8402" i="2"/>
  <c r="J8398" i="2"/>
  <c r="J8394" i="2"/>
  <c r="J8386" i="2"/>
  <c r="J8382" i="2"/>
  <c r="J8378" i="2"/>
  <c r="J8370" i="2"/>
  <c r="J8366" i="2"/>
  <c r="J8362" i="2"/>
  <c r="J8354" i="2"/>
  <c r="J8350" i="2"/>
  <c r="J8346" i="2"/>
  <c r="J8338" i="2"/>
  <c r="J8334" i="2"/>
  <c r="J8330" i="2"/>
  <c r="J8322" i="2"/>
  <c r="J8318" i="2"/>
  <c r="J8314" i="2"/>
  <c r="J8306" i="2"/>
  <c r="J8302" i="2"/>
  <c r="J8298" i="2"/>
  <c r="J8290" i="2"/>
  <c r="J8286" i="2"/>
  <c r="J8282" i="2"/>
  <c r="J8274" i="2"/>
  <c r="J8270" i="2"/>
  <c r="J8266" i="2"/>
  <c r="J8258" i="2"/>
  <c r="J8254" i="2"/>
  <c r="J8250" i="2"/>
  <c r="J8242" i="2"/>
  <c r="J8238" i="2"/>
  <c r="J8234" i="2"/>
  <c r="J8226" i="2"/>
  <c r="J8222" i="2"/>
  <c r="J8218" i="2"/>
  <c r="J8210" i="2"/>
  <c r="J8206" i="2"/>
  <c r="J8202" i="2"/>
  <c r="J8194" i="2"/>
  <c r="J8190" i="2"/>
  <c r="J8186" i="2"/>
  <c r="J8178" i="2"/>
  <c r="J8174" i="2"/>
  <c r="J8170" i="2"/>
  <c r="J8162" i="2"/>
  <c r="J8158" i="2"/>
  <c r="J8154" i="2"/>
  <c r="J9993" i="2"/>
  <c r="J9989" i="2"/>
  <c r="J9985" i="2"/>
  <c r="J9977" i="2"/>
  <c r="J9973" i="2"/>
  <c r="J9969" i="2"/>
  <c r="J9961" i="2"/>
  <c r="J9957" i="2"/>
  <c r="J9953" i="2"/>
  <c r="J9945" i="2"/>
  <c r="J9941" i="2"/>
  <c r="J9937" i="2"/>
  <c r="J9929" i="2"/>
  <c r="J9925" i="2"/>
  <c r="J9921" i="2"/>
  <c r="J9913" i="2"/>
  <c r="J9909" i="2"/>
  <c r="J9905" i="2"/>
  <c r="J9897" i="2"/>
  <c r="J9893" i="2"/>
  <c r="J9889" i="2"/>
  <c r="J9881" i="2"/>
  <c r="J9877" i="2"/>
  <c r="J9873" i="2"/>
  <c r="J9865" i="2"/>
  <c r="J9861" i="2"/>
  <c r="J9857" i="2"/>
  <c r="J9849" i="2"/>
  <c r="J9845" i="2"/>
  <c r="J9841" i="2"/>
  <c r="J9833" i="2"/>
  <c r="J9829" i="2"/>
  <c r="J9825" i="2"/>
  <c r="J9817" i="2"/>
  <c r="J9813" i="2"/>
  <c r="J9809" i="2"/>
  <c r="J9801" i="2"/>
  <c r="J9797" i="2"/>
  <c r="J9793" i="2"/>
  <c r="J9785" i="2"/>
  <c r="J9781" i="2"/>
  <c r="J9777" i="2"/>
  <c r="J9769" i="2"/>
  <c r="J9765" i="2"/>
  <c r="J9761" i="2"/>
  <c r="J9753" i="2"/>
  <c r="J9749" i="2"/>
  <c r="J9745" i="2"/>
  <c r="J9737" i="2"/>
  <c r="J9733" i="2"/>
  <c r="J9729" i="2"/>
  <c r="J9721" i="2"/>
  <c r="J9717" i="2"/>
  <c r="J9713" i="2"/>
  <c r="J9705" i="2"/>
  <c r="J9701" i="2"/>
  <c r="J9697" i="2"/>
  <c r="J9689" i="2"/>
  <c r="J9685" i="2"/>
  <c r="J9681" i="2"/>
  <c r="J9673" i="2"/>
  <c r="J9669" i="2"/>
  <c r="J9665" i="2"/>
  <c r="J9657" i="2"/>
  <c r="J9653" i="2"/>
  <c r="J9649" i="2"/>
  <c r="J9641" i="2"/>
  <c r="J9637" i="2"/>
  <c r="J9633" i="2"/>
  <c r="J9625" i="2"/>
  <c r="J9621" i="2"/>
  <c r="J9617" i="2"/>
  <c r="J9609" i="2"/>
  <c r="J9605" i="2"/>
  <c r="J9601" i="2"/>
  <c r="J9593" i="2"/>
  <c r="J9589" i="2"/>
  <c r="J9585" i="2"/>
  <c r="J9577" i="2"/>
  <c r="J9573" i="2"/>
  <c r="J9569" i="2"/>
  <c r="J9561" i="2"/>
  <c r="J9557" i="2"/>
  <c r="J9553" i="2"/>
  <c r="J9545" i="2"/>
  <c r="J9541" i="2"/>
  <c r="J9537" i="2"/>
  <c r="J9529" i="2"/>
  <c r="J9525" i="2"/>
  <c r="J9521" i="2"/>
  <c r="J9513" i="2"/>
  <c r="J9509" i="2"/>
  <c r="J9505" i="2"/>
  <c r="J9497" i="2"/>
  <c r="J9493" i="2"/>
  <c r="J9489" i="2"/>
  <c r="J9481" i="2"/>
  <c r="J9477" i="2"/>
  <c r="J9473" i="2"/>
  <c r="J9465" i="2"/>
  <c r="J9461" i="2"/>
  <c r="J9457" i="2"/>
  <c r="J9449" i="2"/>
  <c r="J9445" i="2"/>
  <c r="J9441" i="2"/>
  <c r="J9433" i="2"/>
  <c r="J9429" i="2"/>
  <c r="J9425" i="2"/>
  <c r="J9417" i="2"/>
  <c r="J9413" i="2"/>
  <c r="J9409" i="2"/>
  <c r="J9401" i="2"/>
  <c r="J9397" i="2"/>
  <c r="J9393" i="2"/>
  <c r="J9385" i="2"/>
  <c r="J9381" i="2"/>
  <c r="J9377" i="2"/>
  <c r="J9369" i="2"/>
  <c r="J9365" i="2"/>
  <c r="J9361" i="2"/>
  <c r="J9353" i="2"/>
  <c r="J9349" i="2"/>
  <c r="J9345" i="2"/>
  <c r="J9337" i="2"/>
  <c r="J9333" i="2"/>
  <c r="J9329" i="2"/>
  <c r="J9321" i="2"/>
  <c r="J9317" i="2"/>
  <c r="J9313" i="2"/>
  <c r="J9305" i="2"/>
  <c r="J9301" i="2"/>
  <c r="J9297" i="2"/>
  <c r="J9289" i="2"/>
  <c r="J9285" i="2"/>
  <c r="J9281" i="2"/>
  <c r="J9273" i="2"/>
  <c r="J9269" i="2"/>
  <c r="J9265" i="2"/>
  <c r="J9257" i="2"/>
  <c r="J9253" i="2"/>
  <c r="J9249" i="2"/>
  <c r="J9241" i="2"/>
  <c r="J9237" i="2"/>
  <c r="J9233" i="2"/>
  <c r="J9225" i="2"/>
  <c r="J9221" i="2"/>
  <c r="J9217" i="2"/>
  <c r="J9209" i="2"/>
  <c r="J9205" i="2"/>
  <c r="J9201" i="2"/>
  <c r="J9193" i="2"/>
  <c r="J9189" i="2"/>
  <c r="J9185" i="2"/>
  <c r="J9177" i="2"/>
  <c r="J9173" i="2"/>
  <c r="J9169" i="2"/>
  <c r="J9161" i="2"/>
  <c r="J9157" i="2"/>
  <c r="J9153" i="2"/>
  <c r="J9145" i="2"/>
  <c r="J9141" i="2"/>
  <c r="J9137" i="2"/>
  <c r="J9129" i="2"/>
  <c r="J9125" i="2"/>
  <c r="J9121" i="2"/>
  <c r="J9113" i="2"/>
  <c r="J9109" i="2"/>
  <c r="J9105" i="2"/>
  <c r="J9097" i="2"/>
  <c r="J9093" i="2"/>
  <c r="J9089" i="2"/>
  <c r="J9081" i="2"/>
  <c r="J9077" i="2"/>
  <c r="J9073" i="2"/>
  <c r="J9065" i="2"/>
  <c r="J9061" i="2"/>
  <c r="J9057" i="2"/>
  <c r="J9049" i="2"/>
  <c r="J9045" i="2"/>
  <c r="J9041" i="2"/>
  <c r="J9033" i="2"/>
  <c r="J9029" i="2"/>
  <c r="J9025" i="2"/>
  <c r="J9017" i="2"/>
  <c r="J9013" i="2"/>
  <c r="J9009" i="2"/>
  <c r="J9001" i="2"/>
  <c r="J8997" i="2"/>
  <c r="J8993" i="2"/>
  <c r="J8985" i="2"/>
  <c r="J8981" i="2"/>
  <c r="J8977" i="2"/>
  <c r="J8969" i="2"/>
  <c r="J8965" i="2"/>
  <c r="J8961" i="2"/>
  <c r="J8953" i="2"/>
  <c r="J8949" i="2"/>
  <c r="J8945" i="2"/>
  <c r="J8937" i="2"/>
  <c r="J8933" i="2"/>
  <c r="J8929" i="2"/>
  <c r="J8921" i="2"/>
  <c r="J8917" i="2"/>
  <c r="J8913" i="2"/>
  <c r="J8905" i="2"/>
  <c r="J8901" i="2"/>
  <c r="J8897" i="2"/>
  <c r="J8889" i="2"/>
  <c r="J8885" i="2"/>
  <c r="J8881" i="2"/>
  <c r="J8873" i="2"/>
  <c r="J8869" i="2"/>
  <c r="J8865" i="2"/>
  <c r="J8857" i="2"/>
  <c r="J8853" i="2"/>
  <c r="J8849" i="2"/>
  <c r="J8841" i="2"/>
  <c r="J8837" i="2"/>
  <c r="J8833" i="2"/>
  <c r="J8825" i="2"/>
  <c r="J8821" i="2"/>
  <c r="J8817" i="2"/>
  <c r="J8809" i="2"/>
  <c r="J8805" i="2"/>
  <c r="J8801" i="2"/>
  <c r="J8793" i="2"/>
  <c r="J8789" i="2"/>
  <c r="J8785" i="2"/>
  <c r="J8777" i="2"/>
  <c r="J8773" i="2"/>
  <c r="J8769" i="2"/>
  <c r="J8761" i="2"/>
  <c r="J8757" i="2"/>
  <c r="J8753" i="2"/>
  <c r="J8745" i="2"/>
  <c r="J8741" i="2"/>
  <c r="J8737" i="2"/>
  <c r="J8729" i="2"/>
  <c r="J8725" i="2"/>
  <c r="J8721" i="2"/>
  <c r="J8713" i="2"/>
  <c r="J8709" i="2"/>
  <c r="J8705" i="2"/>
  <c r="J8697" i="2"/>
  <c r="J8693" i="2"/>
  <c r="J8689" i="2"/>
  <c r="J8681" i="2"/>
  <c r="J8677" i="2"/>
  <c r="J8673" i="2"/>
  <c r="J8665" i="2"/>
  <c r="J8661" i="2"/>
  <c r="J8657" i="2"/>
  <c r="J8649" i="2"/>
  <c r="J8645" i="2"/>
  <c r="J8641" i="2"/>
  <c r="J8633" i="2"/>
  <c r="J8629" i="2"/>
  <c r="J8625" i="2"/>
  <c r="J8617" i="2"/>
  <c r="J8613" i="2"/>
  <c r="J8609" i="2"/>
  <c r="J8601" i="2"/>
  <c r="J8597" i="2"/>
  <c r="J8593" i="2"/>
  <c r="J8585" i="2"/>
  <c r="J8581" i="2"/>
  <c r="J8577" i="2"/>
  <c r="J8569" i="2"/>
  <c r="J8565" i="2"/>
  <c r="J8561" i="2"/>
  <c r="J8553" i="2"/>
  <c r="J8549" i="2"/>
  <c r="J8545" i="2"/>
  <c r="J8537" i="2"/>
  <c r="J8533" i="2"/>
  <c r="J8529" i="2"/>
  <c r="J8521" i="2"/>
  <c r="J8517" i="2"/>
  <c r="J8513" i="2"/>
  <c r="J8505" i="2"/>
  <c r="J8501" i="2"/>
  <c r="J8497" i="2"/>
  <c r="J8489" i="2"/>
  <c r="J8485" i="2"/>
  <c r="J8481" i="2"/>
  <c r="J8473" i="2"/>
  <c r="J8469" i="2"/>
  <c r="J8465" i="2"/>
  <c r="J8457" i="2"/>
  <c r="J8453" i="2"/>
  <c r="J8449" i="2"/>
  <c r="J8441" i="2"/>
  <c r="J8437" i="2"/>
  <c r="J8433" i="2"/>
  <c r="J8425" i="2"/>
  <c r="J8421" i="2"/>
  <c r="J8417" i="2"/>
  <c r="J8409" i="2"/>
  <c r="J8405" i="2"/>
  <c r="J8401" i="2"/>
  <c r="J8393" i="2"/>
  <c r="J8389" i="2"/>
  <c r="J8385" i="2"/>
  <c r="J8377" i="2"/>
  <c r="J8373" i="2"/>
  <c r="J8369" i="2"/>
  <c r="J8361" i="2"/>
  <c r="J8357" i="2"/>
  <c r="J8353" i="2"/>
  <c r="J8345" i="2"/>
  <c r="J8341" i="2"/>
  <c r="J8337" i="2"/>
  <c r="J8329" i="2"/>
  <c r="J8325" i="2"/>
  <c r="J8321" i="2"/>
  <c r="J8313" i="2"/>
  <c r="J8309" i="2"/>
  <c r="J8305" i="2"/>
  <c r="J8297" i="2"/>
  <c r="J8293" i="2"/>
  <c r="J8289" i="2"/>
  <c r="J8281" i="2"/>
  <c r="J8277" i="2"/>
  <c r="J8273" i="2"/>
  <c r="J8265" i="2"/>
  <c r="J8261" i="2"/>
  <c r="J8257" i="2"/>
  <c r="J8249" i="2"/>
  <c r="J8245" i="2"/>
  <c r="J8241" i="2"/>
  <c r="J8233" i="2"/>
  <c r="J8229" i="2"/>
  <c r="J8225" i="2"/>
  <c r="J8217" i="2"/>
  <c r="J8213" i="2"/>
  <c r="J8209" i="2"/>
  <c r="J8201" i="2"/>
  <c r="J8197" i="2"/>
  <c r="J8193" i="2"/>
  <c r="J8185" i="2"/>
  <c r="J8181" i="2"/>
  <c r="J8177" i="2"/>
  <c r="J8169" i="2"/>
  <c r="J8165" i="2"/>
  <c r="J8161" i="2"/>
  <c r="J8153" i="2"/>
  <c r="J9992" i="2"/>
  <c r="J9988" i="2"/>
  <c r="J9984" i="2"/>
  <c r="J9976" i="2"/>
  <c r="J9972" i="2"/>
  <c r="J9968" i="2"/>
  <c r="J9960" i="2"/>
  <c r="J9956" i="2"/>
  <c r="J9952" i="2"/>
  <c r="J9944" i="2"/>
  <c r="J9940" i="2"/>
  <c r="J9936" i="2"/>
  <c r="J9928" i="2"/>
  <c r="J9924" i="2"/>
  <c r="J9920" i="2"/>
  <c r="J9912" i="2"/>
  <c r="J9908" i="2"/>
  <c r="J9904" i="2"/>
  <c r="J9896" i="2"/>
  <c r="J9892" i="2"/>
  <c r="J9888" i="2"/>
  <c r="J9880" i="2"/>
  <c r="J9876" i="2"/>
  <c r="J9872" i="2"/>
  <c r="J9864" i="2"/>
  <c r="J9860" i="2"/>
  <c r="J9856" i="2"/>
  <c r="J9848" i="2"/>
  <c r="J9844" i="2"/>
  <c r="J9840" i="2"/>
  <c r="J9832" i="2"/>
  <c r="J9828" i="2"/>
  <c r="J9824" i="2"/>
  <c r="J9816" i="2"/>
  <c r="J9812" i="2"/>
  <c r="J9808" i="2"/>
  <c r="J9800" i="2"/>
  <c r="J9796" i="2"/>
  <c r="J9792" i="2"/>
  <c r="J9784" i="2"/>
  <c r="J9780" i="2"/>
  <c r="J9776" i="2"/>
  <c r="J9768" i="2"/>
  <c r="J9764" i="2"/>
  <c r="J9760" i="2"/>
  <c r="J9752" i="2"/>
  <c r="J9748" i="2"/>
  <c r="J9744" i="2"/>
  <c r="J9736" i="2"/>
  <c r="J9732" i="2"/>
  <c r="J9728" i="2"/>
  <c r="J9720" i="2"/>
  <c r="J9716" i="2"/>
  <c r="J9712" i="2"/>
  <c r="J9704" i="2"/>
  <c r="J9700" i="2"/>
  <c r="J9696" i="2"/>
  <c r="J9688" i="2"/>
  <c r="J9684" i="2"/>
  <c r="J9680" i="2"/>
  <c r="J9672" i="2"/>
  <c r="J9668" i="2"/>
  <c r="J9664" i="2"/>
  <c r="J9656" i="2"/>
  <c r="J9652" i="2"/>
  <c r="J9648" i="2"/>
  <c r="J9640" i="2"/>
  <c r="J9636" i="2"/>
  <c r="J9632" i="2"/>
  <c r="J9624" i="2"/>
  <c r="J9620" i="2"/>
  <c r="J9616" i="2"/>
  <c r="J9608" i="2"/>
  <c r="J9604" i="2"/>
  <c r="J9600" i="2"/>
  <c r="J9592" i="2"/>
  <c r="J9588" i="2"/>
  <c r="J9584" i="2"/>
  <c r="J9576" i="2"/>
  <c r="J9572" i="2"/>
  <c r="J9568" i="2"/>
  <c r="J9560" i="2"/>
  <c r="J9556" i="2"/>
  <c r="J9552" i="2"/>
  <c r="J9544" i="2"/>
  <c r="J9540" i="2"/>
  <c r="J9536" i="2"/>
  <c r="J9528" i="2"/>
  <c r="J9524" i="2"/>
  <c r="J9520" i="2"/>
  <c r="J9512" i="2"/>
  <c r="J9508" i="2"/>
  <c r="J9504" i="2"/>
  <c r="J9496" i="2"/>
  <c r="J9492" i="2"/>
  <c r="J9488" i="2"/>
  <c r="J9480" i="2"/>
  <c r="J9476" i="2"/>
  <c r="J9472" i="2"/>
  <c r="J9464" i="2"/>
  <c r="J9460" i="2"/>
  <c r="J9456" i="2"/>
  <c r="J9448" i="2"/>
  <c r="J9444" i="2"/>
  <c r="J9440" i="2"/>
  <c r="J9432" i="2"/>
  <c r="J9428" i="2"/>
  <c r="J9424" i="2"/>
  <c r="J9416" i="2"/>
  <c r="J9412" i="2"/>
  <c r="J9408" i="2"/>
  <c r="J9400" i="2"/>
  <c r="J9396" i="2"/>
  <c r="J9392" i="2"/>
  <c r="J9384" i="2"/>
  <c r="J9380" i="2"/>
  <c r="J9376" i="2"/>
  <c r="J9368" i="2"/>
  <c r="J9364" i="2"/>
  <c r="J9360" i="2"/>
  <c r="J9352" i="2"/>
  <c r="J9348" i="2"/>
  <c r="J9344" i="2"/>
  <c r="J9336" i="2"/>
  <c r="J9332" i="2"/>
  <c r="J9328" i="2"/>
  <c r="J9320" i="2"/>
  <c r="J9316" i="2"/>
  <c r="J9312" i="2"/>
  <c r="J9304" i="2"/>
  <c r="J9300" i="2"/>
  <c r="J9296" i="2"/>
  <c r="J9288" i="2"/>
  <c r="J9284" i="2"/>
  <c r="J9280" i="2"/>
  <c r="J9272" i="2"/>
  <c r="J9268" i="2"/>
  <c r="J9264" i="2"/>
  <c r="J9256" i="2"/>
  <c r="J9252" i="2"/>
  <c r="J9248" i="2"/>
  <c r="J9240" i="2"/>
  <c r="J9236" i="2"/>
  <c r="J9232" i="2"/>
  <c r="J9224" i="2"/>
  <c r="J9220" i="2"/>
  <c r="J9216" i="2"/>
  <c r="J9208" i="2"/>
  <c r="J9204" i="2"/>
  <c r="J9200" i="2"/>
  <c r="J9192" i="2"/>
  <c r="J9188" i="2"/>
  <c r="J9184" i="2"/>
  <c r="J9176" i="2"/>
  <c r="J9172" i="2"/>
  <c r="J9168" i="2"/>
  <c r="J9160" i="2"/>
  <c r="J9156" i="2"/>
  <c r="J9152" i="2"/>
  <c r="J9144" i="2"/>
  <c r="J9140" i="2"/>
  <c r="J9136" i="2"/>
  <c r="J9128" i="2"/>
  <c r="J9124" i="2"/>
  <c r="J9120" i="2"/>
  <c r="J9112" i="2"/>
  <c r="J9108" i="2"/>
  <c r="J9104" i="2"/>
  <c r="J9096" i="2"/>
  <c r="J9092" i="2"/>
  <c r="J9088" i="2"/>
  <c r="J9080" i="2"/>
  <c r="J9076" i="2"/>
  <c r="J9072" i="2"/>
  <c r="J9064" i="2"/>
  <c r="J9060" i="2"/>
  <c r="J9056" i="2"/>
  <c r="J9048" i="2"/>
  <c r="J9044" i="2"/>
  <c r="J9040" i="2"/>
  <c r="J9032" i="2"/>
  <c r="J9028" i="2"/>
  <c r="J9024" i="2"/>
  <c r="J9016" i="2"/>
  <c r="J9012" i="2"/>
  <c r="J9008" i="2"/>
  <c r="J9000" i="2"/>
  <c r="J8996" i="2"/>
  <c r="J8992" i="2"/>
  <c r="J8984" i="2"/>
  <c r="J8980" i="2"/>
  <c r="J8976" i="2"/>
  <c r="J8968" i="2"/>
  <c r="J8964" i="2"/>
  <c r="J8960" i="2"/>
  <c r="J8952" i="2"/>
  <c r="J8948" i="2"/>
  <c r="J8944" i="2"/>
  <c r="J8936" i="2"/>
  <c r="J8932" i="2"/>
  <c r="J8928" i="2"/>
  <c r="J8920" i="2"/>
  <c r="J8916" i="2"/>
  <c r="J8912" i="2"/>
  <c r="J8904" i="2"/>
  <c r="J8900" i="2"/>
  <c r="J8896" i="2"/>
  <c r="J8888" i="2"/>
  <c r="J8884" i="2"/>
  <c r="J8880" i="2"/>
  <c r="J8872" i="2"/>
  <c r="J8868" i="2"/>
  <c r="J8864" i="2"/>
  <c r="J8856" i="2"/>
  <c r="J8852" i="2"/>
  <c r="J8848" i="2"/>
  <c r="J8840" i="2"/>
  <c r="J8836" i="2"/>
  <c r="J8832" i="2"/>
  <c r="J8824" i="2"/>
  <c r="J8820" i="2"/>
  <c r="J8816" i="2"/>
  <c r="J8808" i="2"/>
  <c r="J8804" i="2"/>
  <c r="J8800" i="2"/>
  <c r="J8792" i="2"/>
  <c r="J8788" i="2"/>
  <c r="J8784" i="2"/>
  <c r="J8776" i="2"/>
  <c r="J8772" i="2"/>
  <c r="J8768" i="2"/>
  <c r="J8760" i="2"/>
  <c r="J8756" i="2"/>
  <c r="J8752" i="2"/>
  <c r="J8744" i="2"/>
  <c r="J8740" i="2"/>
  <c r="J8736" i="2"/>
  <c r="J8728" i="2"/>
  <c r="J8724" i="2"/>
  <c r="J8720" i="2"/>
  <c r="J8712" i="2"/>
  <c r="J8708" i="2"/>
  <c r="J8704" i="2"/>
  <c r="J8696" i="2"/>
  <c r="J8692" i="2"/>
  <c r="J8688" i="2"/>
  <c r="J8680" i="2"/>
  <c r="J8676" i="2"/>
  <c r="J8672" i="2"/>
  <c r="J8664" i="2"/>
  <c r="J8660" i="2"/>
  <c r="J8656" i="2"/>
  <c r="J8648" i="2"/>
  <c r="J8644" i="2"/>
  <c r="J8640" i="2"/>
  <c r="J8632" i="2"/>
  <c r="J8628" i="2"/>
  <c r="J8624" i="2"/>
  <c r="J8616" i="2"/>
  <c r="J8612" i="2"/>
  <c r="J8608" i="2"/>
  <c r="J8600" i="2"/>
  <c r="J8596" i="2"/>
  <c r="J8592" i="2"/>
  <c r="J8584" i="2"/>
  <c r="J8580" i="2"/>
  <c r="J8576" i="2"/>
  <c r="J8568" i="2"/>
  <c r="J8564" i="2"/>
  <c r="J8560" i="2"/>
  <c r="J8552" i="2"/>
  <c r="J8548" i="2"/>
  <c r="J8544" i="2"/>
  <c r="J8536" i="2"/>
  <c r="J8532" i="2"/>
  <c r="J8528" i="2"/>
  <c r="J8520" i="2"/>
  <c r="J8516" i="2"/>
  <c r="J8512" i="2"/>
  <c r="J8504" i="2"/>
  <c r="J8500" i="2"/>
  <c r="J8496" i="2"/>
  <c r="J8488" i="2"/>
  <c r="J8484" i="2"/>
  <c r="J8480" i="2"/>
  <c r="J8472" i="2"/>
  <c r="J8468" i="2"/>
  <c r="J8464" i="2"/>
  <c r="J8456" i="2"/>
  <c r="J8452" i="2"/>
  <c r="J8448" i="2"/>
  <c r="J8440" i="2"/>
  <c r="J8436" i="2"/>
  <c r="J8432" i="2"/>
  <c r="J8424" i="2"/>
  <c r="J8420" i="2"/>
  <c r="J8416" i="2"/>
  <c r="J8408" i="2"/>
  <c r="J8404" i="2"/>
  <c r="J8400" i="2"/>
  <c r="J8392" i="2"/>
  <c r="J8388" i="2"/>
  <c r="J8384" i="2"/>
  <c r="J8376" i="2"/>
  <c r="J8372" i="2"/>
  <c r="J8368" i="2"/>
  <c r="J8360" i="2"/>
  <c r="J8356" i="2"/>
  <c r="J8352" i="2"/>
  <c r="J8344" i="2"/>
  <c r="J8340" i="2"/>
  <c r="J8336" i="2"/>
  <c r="J8328" i="2"/>
  <c r="J8324" i="2"/>
  <c r="J8320" i="2"/>
  <c r="J8312" i="2"/>
  <c r="J8308" i="2"/>
  <c r="J8304" i="2"/>
  <c r="J8296" i="2"/>
  <c r="J8292" i="2"/>
  <c r="J8288" i="2"/>
  <c r="J8280" i="2"/>
  <c r="J8276" i="2"/>
  <c r="J8272" i="2"/>
  <c r="J8264" i="2"/>
  <c r="J8260" i="2"/>
  <c r="J8256" i="2"/>
  <c r="J8248" i="2"/>
  <c r="J8244" i="2"/>
  <c r="J8240" i="2"/>
  <c r="J8232" i="2"/>
  <c r="J8228" i="2"/>
  <c r="J8224" i="2"/>
  <c r="J8216" i="2"/>
  <c r="J8212" i="2"/>
  <c r="J8208" i="2"/>
  <c r="J8200" i="2"/>
  <c r="J8196" i="2"/>
  <c r="J8192" i="2"/>
  <c r="J8184" i="2"/>
  <c r="J8180" i="2"/>
  <c r="J8176" i="2"/>
  <c r="J8168" i="2"/>
  <c r="J8164" i="2"/>
  <c r="J8160" i="2"/>
  <c r="J8152" i="2"/>
  <c r="G7287" i="2"/>
  <c r="K7287" i="2"/>
  <c r="K7267" i="2"/>
  <c r="G7267" i="2"/>
  <c r="J7251" i="2"/>
  <c r="G7251" i="2"/>
  <c r="G7235" i="2"/>
  <c r="K7219" i="2"/>
  <c r="G7219" i="2"/>
  <c r="G7203" i="2"/>
  <c r="G7191" i="2"/>
  <c r="J7191" i="2"/>
  <c r="G7175" i="2"/>
  <c r="G7159" i="2"/>
  <c r="K7159" i="2"/>
  <c r="G7143" i="2"/>
  <c r="K7143" i="2"/>
  <c r="K7131" i="2"/>
  <c r="G7131" i="2"/>
  <c r="G7119" i="2"/>
  <c r="K7119" i="2"/>
  <c r="G3297" i="2"/>
  <c r="K7087" i="2"/>
  <c r="G7087" i="2"/>
  <c r="G6252" i="2"/>
  <c r="J6252" i="2"/>
  <c r="G1102" i="2"/>
  <c r="K7039" i="2"/>
  <c r="G7039" i="2"/>
  <c r="K7023" i="2"/>
  <c r="G7023" i="2"/>
  <c r="G7007" i="2"/>
  <c r="G6991" i="2"/>
  <c r="G6975" i="2"/>
  <c r="K6955" i="2"/>
  <c r="G6955" i="2"/>
  <c r="J1355" i="2"/>
  <c r="G1355" i="2"/>
  <c r="G6923" i="2"/>
  <c r="G5635" i="2"/>
  <c r="G6891" i="2"/>
  <c r="G6875" i="2"/>
  <c r="J6875" i="2"/>
  <c r="J5011" i="2"/>
  <c r="G5011" i="2"/>
  <c r="G6847" i="2"/>
  <c r="G6827" i="2"/>
  <c r="G6815" i="2"/>
  <c r="G6799" i="2"/>
  <c r="J6799" i="2"/>
  <c r="G3987" i="2"/>
  <c r="G6767" i="2"/>
  <c r="G6751" i="2"/>
  <c r="G6735" i="2"/>
  <c r="G2678" i="2"/>
  <c r="J613" i="2"/>
  <c r="G613" i="2"/>
  <c r="K7277" i="2"/>
  <c r="G7277" i="2"/>
  <c r="G7269" i="2"/>
  <c r="K7269" i="2"/>
  <c r="G7261" i="2"/>
  <c r="K7261" i="2"/>
  <c r="G7253" i="2"/>
  <c r="K7245" i="2"/>
  <c r="G7245" i="2"/>
  <c r="K7237" i="2"/>
  <c r="G7237" i="2"/>
  <c r="G7229" i="2"/>
  <c r="K7229" i="2"/>
  <c r="K7217" i="2"/>
  <c r="G7217" i="2"/>
  <c r="G6510" i="2"/>
  <c r="J6336" i="2"/>
  <c r="G6336" i="2"/>
  <c r="K7193" i="2"/>
  <c r="G7193" i="2"/>
  <c r="G7185" i="2"/>
  <c r="G7177" i="2"/>
  <c r="K7169" i="2"/>
  <c r="G7169" i="2"/>
  <c r="K7161" i="2"/>
  <c r="G7161" i="2"/>
  <c r="G5001" i="2"/>
  <c r="G3773" i="2"/>
  <c r="K7137" i="2"/>
  <c r="G7137" i="2"/>
  <c r="G7129" i="2"/>
  <c r="J7125" i="2"/>
  <c r="G7125" i="2"/>
  <c r="K7121" i="2"/>
  <c r="G7121" i="2"/>
  <c r="K7113" i="2"/>
  <c r="G7113" i="2"/>
  <c r="K7109" i="2"/>
  <c r="G7109" i="2"/>
  <c r="G7105" i="2"/>
  <c r="K7105" i="2"/>
  <c r="J696" i="2"/>
  <c r="G696" i="2"/>
  <c r="G7097" i="2"/>
  <c r="J7093" i="2"/>
  <c r="G7093" i="2"/>
  <c r="G7089" i="2"/>
  <c r="K7085" i="2"/>
  <c r="G7085" i="2"/>
  <c r="G7081" i="2"/>
  <c r="K7081" i="2"/>
  <c r="K7077" i="2"/>
  <c r="G7077" i="2"/>
  <c r="G7073" i="2"/>
  <c r="K7073" i="2"/>
  <c r="J7069" i="2"/>
  <c r="G7069" i="2"/>
  <c r="G3793" i="2"/>
  <c r="G7061" i="2"/>
  <c r="J2543" i="2"/>
  <c r="G2543" i="2"/>
  <c r="G5757" i="2"/>
  <c r="K7049" i="2"/>
  <c r="G7049" i="2"/>
  <c r="K7045" i="2"/>
  <c r="G7045" i="2"/>
  <c r="G7041" i="2"/>
  <c r="G1834" i="2"/>
  <c r="G7033" i="2"/>
  <c r="G7029" i="2"/>
  <c r="J7025" i="2"/>
  <c r="G7025" i="2"/>
  <c r="G1575" i="2"/>
  <c r="G1833" i="2"/>
  <c r="G7013" i="2"/>
  <c r="G7009" i="2"/>
  <c r="K7005" i="2"/>
  <c r="G7005" i="2"/>
  <c r="G4076" i="2"/>
  <c r="J2687" i="2"/>
  <c r="G2687" i="2"/>
  <c r="G6993" i="2"/>
  <c r="K6989" i="2"/>
  <c r="G6989" i="2"/>
  <c r="K6985" i="2"/>
  <c r="G6985" i="2"/>
  <c r="K6981" i="2"/>
  <c r="G6981" i="2"/>
  <c r="K6977" i="2"/>
  <c r="G6977" i="2"/>
  <c r="K6973" i="2"/>
  <c r="G6973" i="2"/>
  <c r="K6969" i="2"/>
  <c r="G6969" i="2"/>
  <c r="K6965" i="2"/>
  <c r="G6965" i="2"/>
  <c r="K6961" i="2"/>
  <c r="G6961" i="2"/>
  <c r="K6957" i="2"/>
  <c r="G6957" i="2"/>
  <c r="K6953" i="2"/>
  <c r="G6953" i="2"/>
  <c r="K6949" i="2"/>
  <c r="G6949" i="2"/>
  <c r="G6945" i="2"/>
  <c r="G3242" i="2"/>
  <c r="G3656" i="2"/>
  <c r="K6933" i="2"/>
  <c r="G6933" i="2"/>
  <c r="J4361" i="2"/>
  <c r="G4361" i="2"/>
  <c r="G6925" i="2"/>
  <c r="G6921" i="2"/>
  <c r="G241" i="2"/>
  <c r="J695" i="2"/>
  <c r="G695" i="2"/>
  <c r="G1413" i="2"/>
  <c r="G2528" i="2"/>
  <c r="K6901" i="2"/>
  <c r="G6901" i="2"/>
  <c r="G6897" i="2"/>
  <c r="J421" i="2"/>
  <c r="G421" i="2"/>
  <c r="G1609" i="2"/>
  <c r="G1284" i="2"/>
  <c r="G6881" i="2"/>
  <c r="J1275" i="2"/>
  <c r="G1275" i="2"/>
  <c r="G3851" i="2"/>
  <c r="G6869" i="2"/>
  <c r="G4660" i="2"/>
  <c r="J6861" i="2"/>
  <c r="G6861" i="2"/>
  <c r="G6904" i="2"/>
  <c r="G6853" i="2"/>
  <c r="G6849" i="2"/>
  <c r="G4931" i="2"/>
  <c r="J6841" i="2"/>
  <c r="G6841" i="2"/>
  <c r="G6837" i="2"/>
  <c r="K6837" i="2"/>
  <c r="G5479" i="2"/>
  <c r="K6829" i="2"/>
  <c r="G6829" i="2"/>
  <c r="G6825" i="2"/>
  <c r="G6821" i="2"/>
  <c r="G6817" i="2"/>
  <c r="K6817" i="2"/>
  <c r="G4820" i="2"/>
  <c r="G5022" i="2"/>
  <c r="J5022" i="2"/>
  <c r="K6805" i="2"/>
  <c r="G6805" i="2"/>
  <c r="K6801" i="2"/>
  <c r="G6801" i="2"/>
  <c r="G6797" i="2"/>
  <c r="G6793" i="2"/>
  <c r="K6793" i="2"/>
  <c r="G4852" i="2"/>
  <c r="G6785" i="2"/>
  <c r="G6781" i="2"/>
  <c r="K6777" i="2"/>
  <c r="G6777" i="2"/>
  <c r="J6559" i="2"/>
  <c r="G6559" i="2"/>
  <c r="G235" i="2"/>
  <c r="G361" i="2"/>
  <c r="G6761" i="2"/>
  <c r="G6528" i="2"/>
  <c r="K6753" i="2"/>
  <c r="G6753" i="2"/>
  <c r="J3231" i="2"/>
  <c r="G3231" i="2"/>
  <c r="G5756" i="2"/>
  <c r="G6741" i="2"/>
  <c r="G6737" i="2"/>
  <c r="G6733" i="2"/>
  <c r="K6729" i="2"/>
  <c r="G6729" i="2"/>
  <c r="G6725" i="2"/>
  <c r="K6725" i="2"/>
  <c r="G190" i="2"/>
  <c r="G6717" i="2"/>
  <c r="J6717" i="2"/>
  <c r="K6713" i="2"/>
  <c r="G6713" i="2"/>
  <c r="G6075" i="2"/>
  <c r="G6551" i="2"/>
  <c r="G6701" i="2"/>
  <c r="K6701" i="2"/>
  <c r="K6697" i="2"/>
  <c r="G6697" i="2"/>
  <c r="G6693" i="2"/>
  <c r="G6930" i="2"/>
  <c r="G6685" i="2"/>
  <c r="K6685" i="2"/>
  <c r="G6681" i="2"/>
  <c r="G6677" i="2"/>
  <c r="J6677" i="2"/>
  <c r="K6673" i="2"/>
  <c r="G6673" i="2"/>
  <c r="G3879" i="2"/>
  <c r="G6665" i="2"/>
  <c r="G6661" i="2"/>
  <c r="K6657" i="2"/>
  <c r="G6657" i="2"/>
  <c r="G6653" i="2"/>
  <c r="K6653" i="2"/>
  <c r="J6649" i="2"/>
  <c r="G6649" i="2"/>
  <c r="G6645" i="2"/>
  <c r="K6641" i="2"/>
  <c r="G6641" i="2"/>
  <c r="G6637" i="2"/>
  <c r="K6633" i="2"/>
  <c r="G6633" i="2"/>
  <c r="G6629" i="2"/>
  <c r="K6629" i="2"/>
  <c r="K6625" i="2"/>
  <c r="G6625" i="2"/>
  <c r="G6621" i="2"/>
  <c r="K6621" i="2"/>
  <c r="K6617" i="2"/>
  <c r="G6617" i="2"/>
  <c r="K6613" i="2"/>
  <c r="G6613" i="2"/>
  <c r="G6609" i="2"/>
  <c r="K6609" i="2"/>
  <c r="G6081" i="2"/>
  <c r="J1725" i="2"/>
  <c r="G1725" i="2"/>
  <c r="G2105" i="2"/>
  <c r="K6593" i="2"/>
  <c r="G6593" i="2"/>
  <c r="G2476" i="2"/>
  <c r="K6585" i="2"/>
  <c r="G6585" i="2"/>
  <c r="G6581" i="2"/>
  <c r="K6581" i="2"/>
  <c r="G2279" i="2"/>
  <c r="G6573" i="2"/>
  <c r="K6573" i="2"/>
  <c r="J4631" i="2"/>
  <c r="G4631" i="2"/>
  <c r="G4077" i="2"/>
  <c r="G3250" i="2"/>
  <c r="G6557" i="2"/>
  <c r="K6557" i="2"/>
  <c r="G1849" i="2"/>
  <c r="K6549" i="2"/>
  <c r="G6549" i="2"/>
  <c r="J3721" i="2"/>
  <c r="G3721" i="2"/>
  <c r="G3664" i="2"/>
  <c r="G5752" i="2"/>
  <c r="J6533" i="2"/>
  <c r="G6533" i="2"/>
  <c r="K6529" i="2"/>
  <c r="G6529" i="2"/>
  <c r="G3673" i="2"/>
  <c r="J4587" i="2"/>
  <c r="G4587" i="2"/>
  <c r="G3379" i="2"/>
  <c r="G6756" i="2"/>
  <c r="G6509" i="2"/>
  <c r="G6505" i="2"/>
  <c r="J6505" i="2"/>
  <c r="G6501" i="2"/>
  <c r="G6497" i="2"/>
  <c r="G3155" i="2"/>
  <c r="G6422" i="2"/>
  <c r="G3183" i="2"/>
  <c r="G3298" i="2"/>
  <c r="J3298" i="2"/>
  <c r="K6477" i="2"/>
  <c r="G6477" i="2"/>
  <c r="G6473" i="2"/>
  <c r="G6469" i="2"/>
  <c r="K6469" i="2"/>
  <c r="G6465" i="2"/>
  <c r="K6461" i="2"/>
  <c r="G6461" i="2"/>
  <c r="G6457" i="2"/>
  <c r="K6453" i="2"/>
  <c r="G6453" i="2"/>
  <c r="G6449" i="2"/>
  <c r="G6445" i="2"/>
  <c r="G2302" i="2"/>
  <c r="K6437" i="2"/>
  <c r="G6437" i="2"/>
  <c r="G5853" i="2"/>
  <c r="J5853" i="2"/>
  <c r="K6429" i="2"/>
  <c r="G6429" i="2"/>
  <c r="G7037" i="2"/>
  <c r="G5312" i="2"/>
  <c r="G1958" i="2"/>
  <c r="G6413" i="2"/>
  <c r="K6413" i="2"/>
  <c r="G6409" i="2"/>
  <c r="K6405" i="2"/>
  <c r="G6405" i="2"/>
  <c r="G6401" i="2"/>
  <c r="K6401" i="2"/>
  <c r="K6397" i="2"/>
  <c r="G6397" i="2"/>
  <c r="G6393" i="2"/>
  <c r="K6393" i="2"/>
  <c r="J2911" i="2"/>
  <c r="G2911" i="2"/>
  <c r="G6385" i="2"/>
  <c r="K6385" i="2"/>
  <c r="K6381" i="2"/>
  <c r="G6381" i="2"/>
  <c r="G6377" i="2"/>
  <c r="G6373" i="2"/>
  <c r="G6369" i="2"/>
  <c r="K6369" i="2"/>
  <c r="G2162" i="2"/>
  <c r="G6361" i="2"/>
  <c r="K6361" i="2"/>
  <c r="K6357" i="2"/>
  <c r="G6357" i="2"/>
  <c r="G6353" i="2"/>
  <c r="K6353" i="2"/>
  <c r="G6349" i="2"/>
  <c r="K6349" i="2"/>
  <c r="K6345" i="2"/>
  <c r="G6345" i="2"/>
  <c r="K6341" i="2"/>
  <c r="G6341" i="2"/>
  <c r="G6337" i="2"/>
  <c r="K6337" i="2"/>
  <c r="G176" i="2"/>
  <c r="K6329" i="2"/>
  <c r="G6329" i="2"/>
  <c r="G6325" i="2"/>
  <c r="K6321" i="2"/>
  <c r="G6321" i="2"/>
  <c r="K6317" i="2"/>
  <c r="G6317" i="2"/>
  <c r="G6313" i="2"/>
  <c r="K6313" i="2"/>
  <c r="K6309" i="2"/>
  <c r="G6309" i="2"/>
  <c r="G6305" i="2"/>
  <c r="K6305" i="2"/>
  <c r="G6301" i="2"/>
  <c r="G6297" i="2"/>
  <c r="J6297" i="2"/>
  <c r="J6293" i="2"/>
  <c r="G6293" i="2"/>
  <c r="G174" i="2"/>
  <c r="K6285" i="2"/>
  <c r="G6285" i="2"/>
  <c r="G6281" i="2"/>
  <c r="K6281" i="2"/>
  <c r="K6277" i="2"/>
  <c r="G6277" i="2"/>
  <c r="G6273" i="2"/>
  <c r="K6273" i="2"/>
  <c r="K6269" i="2"/>
  <c r="G6269" i="2"/>
  <c r="G6265" i="2"/>
  <c r="K6265" i="2"/>
  <c r="K6261" i="2"/>
  <c r="G6261" i="2"/>
  <c r="K6257" i="2"/>
  <c r="G6257" i="2"/>
  <c r="G6253" i="2"/>
  <c r="K6253" i="2"/>
  <c r="G6249" i="2"/>
  <c r="G6245" i="2"/>
  <c r="G3775" i="2"/>
  <c r="J366" i="2"/>
  <c r="G366" i="2"/>
  <c r="G6233" i="2"/>
  <c r="G6229" i="2"/>
  <c r="G6225" i="2"/>
  <c r="G6221" i="2"/>
  <c r="G6217" i="2"/>
  <c r="K6217" i="2"/>
  <c r="G6213" i="2"/>
  <c r="G6209" i="2"/>
  <c r="K6209" i="2"/>
  <c r="K6205" i="2"/>
  <c r="G6205" i="2"/>
  <c r="G6201" i="2"/>
  <c r="K6201" i="2"/>
  <c r="K6197" i="2"/>
  <c r="G6197" i="2"/>
  <c r="G6193" i="2"/>
  <c r="J6193" i="2"/>
  <c r="G2269" i="2"/>
  <c r="G6185" i="2"/>
  <c r="K6185" i="2"/>
  <c r="J6181" i="2"/>
  <c r="G6181" i="2"/>
  <c r="G1213" i="2"/>
  <c r="G6173" i="2"/>
  <c r="J6173" i="2"/>
  <c r="G6169" i="2"/>
  <c r="G167" i="2"/>
  <c r="G6161" i="2"/>
  <c r="G6157" i="2"/>
  <c r="G6153" i="2"/>
  <c r="G6149" i="2"/>
  <c r="K6149" i="2"/>
  <c r="G6145" i="2"/>
  <c r="K6145" i="2"/>
  <c r="G6141" i="2"/>
  <c r="G6137" i="2"/>
  <c r="J6137" i="2"/>
  <c r="G6133" i="2"/>
  <c r="G6129" i="2"/>
  <c r="K6129" i="2"/>
  <c r="G6125" i="2"/>
  <c r="K6121" i="2"/>
  <c r="G6121" i="2"/>
  <c r="K6117" i="2"/>
  <c r="G6117" i="2"/>
  <c r="K6113" i="2"/>
  <c r="G6113" i="2"/>
  <c r="J3230" i="2"/>
  <c r="G3230" i="2"/>
  <c r="G2735" i="2"/>
  <c r="K6101" i="2"/>
  <c r="G6101" i="2"/>
  <c r="G2620" i="2"/>
  <c r="K6093" i="2"/>
  <c r="G6093" i="2"/>
  <c r="G6089" i="2"/>
  <c r="K6085" i="2"/>
  <c r="G6085" i="2"/>
  <c r="J4822" i="2"/>
  <c r="G4822" i="2"/>
  <c r="G6893" i="2"/>
  <c r="G6073" i="2"/>
  <c r="G1098" i="2"/>
  <c r="G6065" i="2"/>
  <c r="G6061" i="2"/>
  <c r="G6057" i="2"/>
  <c r="K6053" i="2"/>
  <c r="G6053" i="2"/>
  <c r="K6049" i="2"/>
  <c r="G6049" i="2"/>
  <c r="K6045" i="2"/>
  <c r="G6045" i="2"/>
  <c r="J5261" i="2"/>
  <c r="G5261" i="2"/>
  <c r="G6037" i="2"/>
  <c r="G6033" i="2"/>
  <c r="K6029" i="2"/>
  <c r="G6029" i="2"/>
  <c r="K6025" i="2"/>
  <c r="G6025" i="2"/>
  <c r="K6021" i="2"/>
  <c r="G6021" i="2"/>
  <c r="G6017" i="2"/>
  <c r="K6013" i="2"/>
  <c r="G6013" i="2"/>
  <c r="K6009" i="2"/>
  <c r="G6009" i="2"/>
  <c r="G4827" i="2"/>
  <c r="G4977" i="2"/>
  <c r="G4368" i="2"/>
  <c r="K5993" i="2"/>
  <c r="G5993" i="2"/>
  <c r="K5989" i="2"/>
  <c r="G5989" i="2"/>
  <c r="J4814" i="2"/>
  <c r="G4814" i="2"/>
  <c r="G1392" i="2"/>
  <c r="G2097" i="2"/>
  <c r="G1796" i="2"/>
  <c r="J5930" i="2"/>
  <c r="G5930" i="2"/>
  <c r="G6389" i="2"/>
  <c r="G5961" i="2"/>
  <c r="G2069" i="2"/>
  <c r="K5953" i="2"/>
  <c r="G5953" i="2"/>
  <c r="G5949" i="2"/>
  <c r="J5945" i="2"/>
  <c r="G5945" i="2"/>
  <c r="G5941" i="2"/>
  <c r="G404" i="2"/>
  <c r="G4988" i="2"/>
  <c r="J653" i="2"/>
  <c r="G653" i="2"/>
  <c r="K5925" i="2"/>
  <c r="G5925" i="2"/>
  <c r="G5921" i="2"/>
  <c r="G5917" i="2"/>
  <c r="G5913" i="2"/>
  <c r="G5909" i="2"/>
  <c r="G5905" i="2"/>
  <c r="G1957" i="2"/>
  <c r="G5897" i="2"/>
  <c r="K5897" i="2"/>
  <c r="G5893" i="2"/>
  <c r="G5889" i="2"/>
  <c r="G5885" i="2"/>
  <c r="K5885" i="2"/>
  <c r="G5470" i="2"/>
  <c r="J5470" i="2"/>
  <c r="G5877" i="2"/>
  <c r="G5873" i="2"/>
  <c r="G5869" i="2"/>
  <c r="K5869" i="2"/>
  <c r="G5865" i="2"/>
  <c r="K5865" i="2"/>
  <c r="G1378" i="2"/>
  <c r="K5857" i="2"/>
  <c r="G5857" i="2"/>
  <c r="G4578" i="2"/>
  <c r="K5849" i="2"/>
  <c r="G5849" i="2"/>
  <c r="J2733" i="2"/>
  <c r="G2733" i="2"/>
  <c r="G2125" i="2"/>
  <c r="G5926" i="2"/>
  <c r="K5833" i="2"/>
  <c r="G5833" i="2"/>
  <c r="G2262" i="2"/>
  <c r="K5825" i="2"/>
  <c r="G5825" i="2"/>
  <c r="J6598" i="2"/>
  <c r="G6598" i="2"/>
  <c r="G5817" i="2"/>
  <c r="G5800" i="2"/>
  <c r="J5809" i="2"/>
  <c r="G5809" i="2"/>
  <c r="G6491" i="2"/>
  <c r="K5801" i="2"/>
  <c r="G5801" i="2"/>
  <c r="K5797" i="2"/>
  <c r="G5797" i="2"/>
  <c r="J407" i="2"/>
  <c r="G407" i="2"/>
  <c r="G5692" i="2"/>
  <c r="G4951" i="2"/>
  <c r="K5781" i="2"/>
  <c r="G5781" i="2"/>
  <c r="K5777" i="2"/>
  <c r="G5777" i="2"/>
  <c r="G5773" i="2"/>
  <c r="J5769" i="2"/>
  <c r="G5769" i="2"/>
  <c r="G5765" i="2"/>
  <c r="K5761" i="2"/>
  <c r="G5761" i="2"/>
  <c r="G1606" i="2"/>
  <c r="G5753" i="2"/>
  <c r="G5749" i="2"/>
  <c r="G5745" i="2"/>
  <c r="J5741" i="2"/>
  <c r="G5741" i="2"/>
  <c r="G5737" i="2"/>
  <c r="G5733" i="2"/>
  <c r="G2174" i="2"/>
  <c r="G1047" i="2"/>
  <c r="J3262" i="2"/>
  <c r="G3262" i="2"/>
  <c r="G5717" i="2"/>
  <c r="K5713" i="2"/>
  <c r="G5713" i="2"/>
  <c r="G5258" i="2"/>
  <c r="G4179" i="2"/>
  <c r="G4818" i="2"/>
  <c r="J5697" i="2"/>
  <c r="G5697" i="2"/>
  <c r="K5693" i="2"/>
  <c r="G5693" i="2"/>
  <c r="K5689" i="2"/>
  <c r="G5689" i="2"/>
  <c r="G5685" i="2"/>
  <c r="J5681" i="2"/>
  <c r="G5681" i="2"/>
  <c r="K5677" i="2"/>
  <c r="G5677" i="2"/>
  <c r="K5673" i="2"/>
  <c r="G5673" i="2"/>
  <c r="J5669" i="2"/>
  <c r="G5669" i="2"/>
  <c r="K5665" i="2"/>
  <c r="G5665" i="2"/>
  <c r="K5661" i="2"/>
  <c r="G5661" i="2"/>
  <c r="K5657" i="2"/>
  <c r="G5657" i="2"/>
  <c r="K5653" i="2"/>
  <c r="G5653" i="2"/>
  <c r="G2771" i="2"/>
  <c r="K5645" i="2"/>
  <c r="G5645" i="2"/>
  <c r="G5641" i="2"/>
  <c r="G1599" i="2"/>
  <c r="G5633" i="2"/>
  <c r="G5629" i="2"/>
  <c r="J6440" i="2"/>
  <c r="G6440" i="2"/>
  <c r="G5627" i="2"/>
  <c r="K5617" i="2"/>
  <c r="G5617" i="2"/>
  <c r="G5613" i="2"/>
  <c r="G5609" i="2"/>
  <c r="J6683" i="2"/>
  <c r="G6683" i="2"/>
  <c r="K5601" i="2"/>
  <c r="G5601" i="2"/>
  <c r="J5597" i="2"/>
  <c r="G5597" i="2"/>
  <c r="G6165" i="2"/>
  <c r="G5589" i="2"/>
  <c r="G3697" i="2"/>
  <c r="K5581" i="2"/>
  <c r="G5581" i="2"/>
  <c r="G5577" i="2"/>
  <c r="G210" i="2"/>
  <c r="J6899" i="2"/>
  <c r="G6899" i="2"/>
  <c r="K5565" i="2"/>
  <c r="G5565" i="2"/>
  <c r="K5561" i="2"/>
  <c r="G5561" i="2"/>
  <c r="G5557" i="2"/>
  <c r="G5553" i="2"/>
  <c r="G4952" i="2"/>
  <c r="G6516" i="2"/>
  <c r="G5541" i="2"/>
  <c r="G5537" i="2"/>
  <c r="J6333" i="2"/>
  <c r="G6333" i="2"/>
  <c r="G5529" i="2"/>
  <c r="G5525" i="2"/>
  <c r="G6696" i="2"/>
  <c r="G3905" i="2"/>
  <c r="J5547" i="2"/>
  <c r="G5547" i="2"/>
  <c r="G5509" i="2"/>
  <c r="G5505" i="2"/>
  <c r="G5501" i="2"/>
  <c r="G6605" i="2"/>
  <c r="G5493" i="2"/>
  <c r="G5489" i="2"/>
  <c r="G5485" i="2"/>
  <c r="G6182" i="2"/>
  <c r="J5477" i="2"/>
  <c r="G5477" i="2"/>
  <c r="J6106" i="2"/>
  <c r="G6106" i="2"/>
  <c r="G5248" i="2"/>
  <c r="K5465" i="2"/>
  <c r="G5465" i="2"/>
  <c r="K5461" i="2"/>
  <c r="G5461" i="2"/>
  <c r="G5457" i="2"/>
  <c r="G5453" i="2"/>
  <c r="K5449" i="2"/>
  <c r="G5449" i="2"/>
  <c r="K5445" i="2"/>
  <c r="G5445" i="2"/>
  <c r="G3114" i="2"/>
  <c r="G2937" i="2"/>
  <c r="G5433" i="2"/>
  <c r="J5429" i="2"/>
  <c r="G5429" i="2"/>
  <c r="K5425" i="2"/>
  <c r="G5425" i="2"/>
  <c r="G5421" i="2"/>
  <c r="G5417" i="2"/>
  <c r="K5413" i="2"/>
  <c r="G5413" i="2"/>
  <c r="K5409" i="2"/>
  <c r="G5409" i="2"/>
  <c r="K5405" i="2"/>
  <c r="G5405" i="2"/>
  <c r="K5401" i="2"/>
  <c r="G5401" i="2"/>
  <c r="K5397" i="2"/>
  <c r="G5397" i="2"/>
  <c r="K5393" i="2"/>
  <c r="G5393" i="2"/>
  <c r="K5389" i="2"/>
  <c r="G5389" i="2"/>
  <c r="K5385" i="2"/>
  <c r="G5385" i="2"/>
  <c r="K5381" i="2"/>
  <c r="G5381" i="2"/>
  <c r="K5377" i="2"/>
  <c r="G5377" i="2"/>
  <c r="G5373" i="2"/>
  <c r="G5369" i="2"/>
  <c r="K5365" i="2"/>
  <c r="G5365" i="2"/>
  <c r="G5361" i="2"/>
  <c r="G5357" i="2"/>
  <c r="G5353" i="2"/>
  <c r="G5349" i="2"/>
  <c r="K5345" i="2"/>
  <c r="G5345" i="2"/>
  <c r="K5341" i="2"/>
  <c r="G5341" i="2"/>
  <c r="G137" i="2"/>
  <c r="K5333" i="2"/>
  <c r="G5333" i="2"/>
  <c r="K5329" i="2"/>
  <c r="G5329" i="2"/>
  <c r="K5325" i="2"/>
  <c r="G5325" i="2"/>
  <c r="G5321" i="2"/>
  <c r="K5317" i="2"/>
  <c r="G5317" i="2"/>
  <c r="G3362" i="2"/>
  <c r="J5309" i="2"/>
  <c r="G5309" i="2"/>
  <c r="G5305" i="2"/>
  <c r="J5301" i="2"/>
  <c r="G5301" i="2"/>
  <c r="J5297" i="2"/>
  <c r="G5297" i="2"/>
  <c r="J5293" i="2"/>
  <c r="G5293" i="2"/>
  <c r="K5289" i="2"/>
  <c r="G5289" i="2"/>
  <c r="J5285" i="2"/>
  <c r="G5285" i="2"/>
  <c r="J5281" i="2"/>
  <c r="G5281" i="2"/>
  <c r="K5277" i="2"/>
  <c r="G5277" i="2"/>
  <c r="K5273" i="2"/>
  <c r="G5273" i="2"/>
  <c r="K5269" i="2"/>
  <c r="G5269" i="2"/>
  <c r="K5265" i="2"/>
  <c r="G5265" i="2"/>
  <c r="J2731" i="2"/>
  <c r="G2731" i="2"/>
  <c r="G795" i="2"/>
  <c r="G5253" i="2"/>
  <c r="G5249" i="2"/>
  <c r="G2754" i="2"/>
  <c r="K5241" i="2"/>
  <c r="G5241" i="2"/>
  <c r="G5237" i="2"/>
  <c r="G553" i="2"/>
  <c r="G5229" i="2"/>
  <c r="K5225" i="2"/>
  <c r="G5225" i="2"/>
  <c r="G5221" i="2"/>
  <c r="K5217" i="2"/>
  <c r="G5217" i="2"/>
  <c r="G5213" i="2"/>
  <c r="K5209" i="2"/>
  <c r="G5209" i="2"/>
  <c r="J4258" i="2"/>
  <c r="G4258" i="2"/>
  <c r="K5201" i="2"/>
  <c r="G5201" i="2"/>
  <c r="K5197" i="2"/>
  <c r="G5197" i="2"/>
  <c r="G5193" i="2"/>
  <c r="K5189" i="2"/>
  <c r="G5189" i="2"/>
  <c r="K5185" i="2"/>
  <c r="G5185" i="2"/>
  <c r="K5181" i="2"/>
  <c r="G5181" i="2"/>
  <c r="K5177" i="2"/>
  <c r="G5177" i="2"/>
  <c r="K5173" i="2"/>
  <c r="G5173" i="2"/>
  <c r="G5169" i="2"/>
  <c r="G5115" i="2"/>
  <c r="G3981" i="2"/>
  <c r="G5157" i="2"/>
  <c r="K5153" i="2"/>
  <c r="G5153" i="2"/>
  <c r="G5149" i="2"/>
  <c r="K5145" i="2"/>
  <c r="G5145" i="2"/>
  <c r="J1631" i="2"/>
  <c r="G1631" i="2"/>
  <c r="G6162" i="2"/>
  <c r="G134" i="2"/>
  <c r="G5129" i="2"/>
  <c r="G5125" i="2"/>
  <c r="G5121" i="2"/>
  <c r="J6189" i="2"/>
  <c r="G6189" i="2"/>
  <c r="K5113" i="2"/>
  <c r="G5113" i="2"/>
  <c r="G5109" i="2"/>
  <c r="G5105" i="2"/>
  <c r="G5881" i="2"/>
  <c r="G2517" i="2"/>
  <c r="G4487" i="2"/>
  <c r="J5089" i="2"/>
  <c r="G5089" i="2"/>
  <c r="K5085" i="2"/>
  <c r="G5085" i="2"/>
  <c r="K5081" i="2"/>
  <c r="G5081" i="2"/>
  <c r="J2947" i="2"/>
  <c r="G2947" i="2"/>
  <c r="K5073" i="2"/>
  <c r="G5073" i="2"/>
  <c r="J5069" i="2"/>
  <c r="G5069" i="2"/>
  <c r="K5065" i="2"/>
  <c r="G5065" i="2"/>
  <c r="K5061" i="2"/>
  <c r="G5061" i="2"/>
  <c r="J5057" i="2"/>
  <c r="G5057" i="2"/>
  <c r="K5053" i="2"/>
  <c r="G5053" i="2"/>
  <c r="G6669" i="2"/>
  <c r="G5045" i="2"/>
  <c r="K5041" i="2"/>
  <c r="G5041" i="2"/>
  <c r="G5037" i="2"/>
  <c r="G5522" i="2"/>
  <c r="J3626" i="2"/>
  <c r="G3626" i="2"/>
  <c r="K5025" i="2"/>
  <c r="G5025" i="2"/>
  <c r="G5021" i="2"/>
  <c r="G2770" i="2"/>
  <c r="G5013" i="2"/>
  <c r="G1060" i="2"/>
  <c r="G5005" i="2"/>
  <c r="J6386" i="2"/>
  <c r="G6386" i="2"/>
  <c r="G6555" i="2"/>
  <c r="G4993" i="2"/>
  <c r="J4989" i="2"/>
  <c r="G4989" i="2"/>
  <c r="G4985" i="2"/>
  <c r="G4981" i="2"/>
  <c r="J133" i="2"/>
  <c r="G133" i="2"/>
  <c r="K4973" i="2"/>
  <c r="G4973" i="2"/>
  <c r="G4969" i="2"/>
  <c r="G4965" i="2"/>
  <c r="K4961" i="2"/>
  <c r="G4961" i="2"/>
  <c r="K4957" i="2"/>
  <c r="G4957" i="2"/>
  <c r="G4953" i="2"/>
  <c r="K4949" i="2"/>
  <c r="G4949" i="2"/>
  <c r="G4945" i="2"/>
  <c r="G5729" i="2"/>
  <c r="K4937" i="2"/>
  <c r="G4937" i="2"/>
  <c r="K4933" i="2"/>
  <c r="G4933" i="2"/>
  <c r="G2901" i="2"/>
  <c r="K4925" i="2"/>
  <c r="G4925" i="2"/>
  <c r="G4921" i="2"/>
  <c r="K4917" i="2"/>
  <c r="G4917" i="2"/>
  <c r="K4913" i="2"/>
  <c r="G4913" i="2"/>
  <c r="K4909" i="2"/>
  <c r="G4909" i="2"/>
  <c r="K4905" i="2"/>
  <c r="G4905" i="2"/>
  <c r="K4901" i="2"/>
  <c r="G4901" i="2"/>
  <c r="K4897" i="2"/>
  <c r="G4897" i="2"/>
  <c r="K4893" i="2"/>
  <c r="G4893" i="2"/>
  <c r="J4889" i="2"/>
  <c r="G4889" i="2"/>
  <c r="K4885" i="2"/>
  <c r="G4885" i="2"/>
  <c r="J4881" i="2"/>
  <c r="G4881" i="2"/>
  <c r="K4877" i="2"/>
  <c r="G4877" i="2"/>
  <c r="K4873" i="2"/>
  <c r="G4873" i="2"/>
  <c r="K4869" i="2"/>
  <c r="G4869" i="2"/>
  <c r="G4987" i="2"/>
  <c r="G5114" i="2"/>
  <c r="G5144" i="2"/>
  <c r="J4853" i="2"/>
  <c r="G4853" i="2"/>
  <c r="G4849" i="2"/>
  <c r="G6758" i="2"/>
  <c r="G4073" i="2"/>
  <c r="G4837" i="2"/>
  <c r="G4833" i="2"/>
  <c r="G4829" i="2"/>
  <c r="K4825" i="2"/>
  <c r="G4825" i="2"/>
  <c r="J4821" i="2"/>
  <c r="G4821" i="2"/>
  <c r="G3358" i="2"/>
  <c r="K4813" i="2"/>
  <c r="G4813" i="2"/>
  <c r="G4809" i="2"/>
  <c r="G4805" i="2"/>
  <c r="G4801" i="2"/>
  <c r="G6520" i="2"/>
  <c r="J2421" i="2"/>
  <c r="G2421" i="2"/>
  <c r="G4789" i="2"/>
  <c r="G4785" i="2"/>
  <c r="G4781" i="2"/>
  <c r="G4777" i="2"/>
  <c r="G4773" i="2"/>
  <c r="G4652" i="2"/>
  <c r="G4765" i="2"/>
  <c r="K4761" i="2"/>
  <c r="G4761" i="2"/>
  <c r="K4757" i="2"/>
  <c r="G4757" i="2"/>
  <c r="G4753" i="2"/>
  <c r="G4749" i="2"/>
  <c r="K4745" i="2"/>
  <c r="G4745" i="2"/>
  <c r="G4173" i="2"/>
  <c r="K4737" i="2"/>
  <c r="G4737" i="2"/>
  <c r="K4733" i="2"/>
  <c r="G4733" i="2"/>
  <c r="J4729" i="2"/>
  <c r="G4729" i="2"/>
  <c r="K4725" i="2"/>
  <c r="G4725" i="2"/>
  <c r="G4721" i="2"/>
  <c r="J4717" i="2"/>
  <c r="G4717" i="2"/>
  <c r="K4713" i="2"/>
  <c r="G4713" i="2"/>
  <c r="K4709" i="2"/>
  <c r="G4709" i="2"/>
  <c r="K4705" i="2"/>
  <c r="G4705" i="2"/>
  <c r="K4701" i="2"/>
  <c r="G4701" i="2"/>
  <c r="K4697" i="2"/>
  <c r="G4697" i="2"/>
  <c r="K4693" i="2"/>
  <c r="G4693" i="2"/>
  <c r="G4689" i="2"/>
  <c r="K4685" i="2"/>
  <c r="G4685" i="2"/>
  <c r="G5519" i="2"/>
  <c r="K4677" i="2"/>
  <c r="G4677" i="2"/>
  <c r="K4673" i="2"/>
  <c r="G4673" i="2"/>
  <c r="K4669" i="2"/>
  <c r="G4669" i="2"/>
  <c r="J3140" i="2"/>
  <c r="G3140" i="2"/>
  <c r="G3146" i="2"/>
  <c r="G1084" i="2"/>
  <c r="G6924" i="2"/>
  <c r="G4649" i="2"/>
  <c r="J4645" i="2"/>
  <c r="G4645" i="2"/>
  <c r="G4375" i="2"/>
  <c r="K4637" i="2"/>
  <c r="G4637" i="2"/>
  <c r="G4633" i="2"/>
  <c r="K4629" i="2"/>
  <c r="G4629" i="2"/>
  <c r="K4625" i="2"/>
  <c r="G4625" i="2"/>
  <c r="G4621" i="2"/>
  <c r="G4617" i="2"/>
  <c r="G4613" i="2"/>
  <c r="K4609" i="2"/>
  <c r="G4609" i="2"/>
  <c r="K4605" i="2"/>
  <c r="G4605" i="2"/>
  <c r="G4601" i="2"/>
  <c r="K4597" i="2"/>
  <c r="G4597" i="2"/>
  <c r="G4458" i="2"/>
  <c r="J4589" i="2"/>
  <c r="G4589" i="2"/>
  <c r="G4585" i="2"/>
  <c r="G4581" i="2"/>
  <c r="G2769" i="2"/>
  <c r="J4573" i="2"/>
  <c r="G4573" i="2"/>
  <c r="G437" i="2"/>
  <c r="G7120" i="2"/>
  <c r="K4561" i="2"/>
  <c r="G4561" i="2"/>
  <c r="G4557" i="2"/>
  <c r="G4553" i="2"/>
  <c r="G4549" i="2"/>
  <c r="G4545" i="2"/>
  <c r="G4541" i="2"/>
  <c r="K4537" i="2"/>
  <c r="G4537" i="2"/>
  <c r="G4533" i="2"/>
  <c r="G4529" i="2"/>
  <c r="K4525" i="2"/>
  <c r="G4525" i="2"/>
  <c r="G4521" i="2"/>
  <c r="K4517" i="2"/>
  <c r="G4517" i="2"/>
  <c r="G5243" i="2"/>
  <c r="G4509" i="2"/>
  <c r="K4505" i="2"/>
  <c r="G4505" i="2"/>
  <c r="K4501" i="2"/>
  <c r="G4501" i="2"/>
  <c r="J2825" i="2"/>
  <c r="G2825" i="2"/>
  <c r="G4493" i="2"/>
  <c r="G4393" i="2"/>
  <c r="G4485" i="2"/>
  <c r="G4481" i="2"/>
  <c r="K4477" i="2"/>
  <c r="G4477" i="2"/>
  <c r="K4473" i="2"/>
  <c r="G4473" i="2"/>
  <c r="K4469" i="2"/>
  <c r="G4469" i="2"/>
  <c r="K4465" i="2"/>
  <c r="G4465" i="2"/>
  <c r="K4461" i="2"/>
  <c r="G4461" i="2"/>
  <c r="K4457" i="2"/>
  <c r="G4457" i="2"/>
  <c r="K4453" i="2"/>
  <c r="G4453" i="2"/>
  <c r="K4449" i="2"/>
  <c r="G4449" i="2"/>
  <c r="K4445" i="2"/>
  <c r="G4445" i="2"/>
  <c r="G4441" i="2"/>
  <c r="K4437" i="2"/>
  <c r="G4437" i="2"/>
  <c r="G4433" i="2"/>
  <c r="G4429" i="2"/>
  <c r="G4425" i="2"/>
  <c r="K4421" i="2"/>
  <c r="G4421" i="2"/>
  <c r="G4417" i="2"/>
  <c r="G4413" i="2"/>
  <c r="K4409" i="2"/>
  <c r="G4409" i="2"/>
  <c r="J4405" i="2"/>
  <c r="G4405" i="2"/>
  <c r="G4401" i="2"/>
  <c r="G4397" i="2"/>
  <c r="G6105" i="2"/>
  <c r="K4389" i="2"/>
  <c r="G4389" i="2"/>
  <c r="K4385" i="2"/>
  <c r="G4385" i="2"/>
  <c r="K4381" i="2"/>
  <c r="G4381" i="2"/>
  <c r="G4377" i="2"/>
  <c r="G4373" i="2"/>
  <c r="G4369" i="2"/>
  <c r="G4365" i="2"/>
  <c r="G3119" i="2"/>
  <c r="K4357" i="2"/>
  <c r="G4357" i="2"/>
  <c r="K4353" i="2"/>
  <c r="G4353" i="2"/>
  <c r="K4349" i="2"/>
  <c r="G4349" i="2"/>
  <c r="K4345" i="2"/>
  <c r="G4345" i="2"/>
  <c r="K4341" i="2"/>
  <c r="G4341" i="2"/>
  <c r="K4337" i="2"/>
  <c r="G4337" i="2"/>
  <c r="K4333" i="2"/>
  <c r="G4333" i="2"/>
  <c r="K4329" i="2"/>
  <c r="G4329" i="2"/>
  <c r="K4325" i="2"/>
  <c r="G4325" i="2"/>
  <c r="K4321" i="2"/>
  <c r="G4321" i="2"/>
  <c r="K4317" i="2"/>
  <c r="G4317" i="2"/>
  <c r="J3611" i="2"/>
  <c r="G3611" i="2"/>
  <c r="J4309" i="2"/>
  <c r="G4309" i="2"/>
  <c r="J4305" i="2"/>
  <c r="G4305" i="2"/>
  <c r="J4301" i="2"/>
  <c r="G4301" i="2"/>
  <c r="G4297" i="2"/>
  <c r="G4293" i="2"/>
  <c r="J4289" i="2"/>
  <c r="G4289" i="2"/>
  <c r="J4285" i="2"/>
  <c r="G4285" i="2"/>
  <c r="G579" i="2"/>
  <c r="G4277" i="2"/>
  <c r="K4273" i="2"/>
  <c r="G4273" i="2"/>
  <c r="G3931" i="2"/>
  <c r="K4265" i="2"/>
  <c r="G4265" i="2"/>
  <c r="G4261" i="2"/>
  <c r="J6425" i="2"/>
  <c r="G6425" i="2"/>
  <c r="G4253" i="2"/>
  <c r="G4249" i="2"/>
  <c r="K4245" i="2"/>
  <c r="G4245" i="2"/>
  <c r="K4241" i="2"/>
  <c r="G4241" i="2"/>
  <c r="K4237" i="2"/>
  <c r="G4237" i="2"/>
  <c r="K4233" i="2"/>
  <c r="G4233" i="2"/>
  <c r="K4229" i="2"/>
  <c r="G4229" i="2"/>
  <c r="G4225" i="2"/>
  <c r="G4221" i="2"/>
  <c r="G2401" i="2"/>
  <c r="G4213" i="2"/>
  <c r="K4209" i="2"/>
  <c r="G4209" i="2"/>
  <c r="G109" i="2"/>
  <c r="G4201" i="2"/>
  <c r="K4197" i="2"/>
  <c r="G4197" i="2"/>
  <c r="J2060" i="2"/>
  <c r="G2060" i="2"/>
  <c r="G6395" i="2"/>
  <c r="G4185" i="2"/>
  <c r="G4181" i="2"/>
  <c r="G5705" i="2"/>
  <c r="J1289" i="2"/>
  <c r="G1289" i="2"/>
  <c r="G4021" i="2"/>
  <c r="K4165" i="2"/>
  <c r="G4165" i="2"/>
  <c r="K4161" i="2"/>
  <c r="G4161" i="2"/>
  <c r="G4157" i="2"/>
  <c r="G4153" i="2"/>
  <c r="G4149" i="2"/>
  <c r="J4145" i="2"/>
  <c r="G4145" i="2"/>
  <c r="J4141" i="2"/>
  <c r="G4141" i="2"/>
  <c r="G4137" i="2"/>
  <c r="K4133" i="2"/>
  <c r="G4133" i="2"/>
  <c r="K4129" i="2"/>
  <c r="G4129" i="2"/>
  <c r="G1371" i="2"/>
  <c r="K4121" i="2"/>
  <c r="G4121" i="2"/>
  <c r="J4117" i="2"/>
  <c r="G4117" i="2"/>
  <c r="G4113" i="2"/>
  <c r="G6929" i="2"/>
  <c r="K4105" i="2"/>
  <c r="G4105" i="2"/>
  <c r="K4101" i="2"/>
  <c r="G4101" i="2"/>
  <c r="K4097" i="2"/>
  <c r="G4097" i="2"/>
  <c r="G4093" i="2"/>
  <c r="G94" i="2"/>
  <c r="J5973" i="2"/>
  <c r="G5973" i="2"/>
  <c r="G4081" i="2"/>
  <c r="G2128" i="2"/>
  <c r="G4606" i="2"/>
  <c r="G4069" i="2"/>
  <c r="G4065" i="2"/>
  <c r="J1805" i="2"/>
  <c r="G1805" i="2"/>
  <c r="K4057" i="2"/>
  <c r="G4057" i="2"/>
  <c r="G5672" i="2"/>
  <c r="G2107" i="2"/>
  <c r="G4045" i="2"/>
  <c r="G4041" i="2"/>
  <c r="G4037" i="2"/>
  <c r="K4033" i="2"/>
  <c r="G4033" i="2"/>
  <c r="G4029" i="2"/>
  <c r="J4025" i="2"/>
  <c r="G4025" i="2"/>
  <c r="G2126" i="2"/>
  <c r="G4017" i="2"/>
  <c r="G4013" i="2"/>
  <c r="G4009" i="2"/>
  <c r="K4005" i="2"/>
  <c r="G4005" i="2"/>
  <c r="K4001" i="2"/>
  <c r="G4001" i="2"/>
  <c r="G4170" i="2"/>
  <c r="G3993" i="2"/>
  <c r="G3989" i="2"/>
  <c r="J3985" i="2"/>
  <c r="G3985" i="2"/>
  <c r="G3717" i="2"/>
  <c r="G3977" i="2"/>
  <c r="J3973" i="2"/>
  <c r="G3973" i="2"/>
  <c r="K3969" i="2"/>
  <c r="G3969" i="2"/>
  <c r="J3965" i="2"/>
  <c r="G3965" i="2"/>
  <c r="K3961" i="2"/>
  <c r="G3961" i="2"/>
  <c r="K3957" i="2"/>
  <c r="G3957" i="2"/>
  <c r="K3953" i="2"/>
  <c r="G3953" i="2"/>
  <c r="K3949" i="2"/>
  <c r="G3949" i="2"/>
  <c r="G3945" i="2"/>
  <c r="K3941" i="2"/>
  <c r="G3941" i="2"/>
  <c r="G5824" i="2"/>
  <c r="G3933" i="2"/>
  <c r="J4610" i="2"/>
  <c r="G4610" i="2"/>
  <c r="K3925" i="2"/>
  <c r="G3925" i="2"/>
  <c r="G3755" i="2"/>
  <c r="G1232" i="2"/>
  <c r="G3913" i="2"/>
  <c r="J3909" i="2"/>
  <c r="G3909" i="2"/>
  <c r="J1050" i="2"/>
  <c r="G1050" i="2"/>
  <c r="K3901" i="2"/>
  <c r="G3901" i="2"/>
  <c r="K3897" i="2"/>
  <c r="G3897" i="2"/>
  <c r="G3893" i="2"/>
  <c r="G4641" i="2"/>
  <c r="G3885" i="2"/>
  <c r="G305" i="2"/>
  <c r="J3877" i="2"/>
  <c r="G3877" i="2"/>
  <c r="G3873" i="2"/>
  <c r="G3869" i="2"/>
  <c r="G3865" i="2"/>
  <c r="G3861" i="2"/>
  <c r="J1473" i="2"/>
  <c r="G1473" i="2"/>
  <c r="J3853" i="2"/>
  <c r="G3853" i="2"/>
  <c r="J3849" i="2"/>
  <c r="G3849" i="2"/>
  <c r="J3845" i="2"/>
  <c r="G3845" i="2"/>
  <c r="G3841" i="2"/>
  <c r="J3837" i="2"/>
  <c r="G3837" i="2"/>
  <c r="G3833" i="2"/>
  <c r="G3829" i="2"/>
  <c r="G3825" i="2"/>
  <c r="K3821" i="2"/>
  <c r="G3821" i="2"/>
  <c r="G4224" i="2"/>
  <c r="J7042" i="2"/>
  <c r="G7042" i="2"/>
  <c r="G3809" i="2"/>
  <c r="G3805" i="2"/>
  <c r="K3801" i="2"/>
  <c r="G3801" i="2"/>
  <c r="G3608" i="2"/>
  <c r="G2874" i="2"/>
  <c r="J3789" i="2"/>
  <c r="G3789" i="2"/>
  <c r="K3785" i="2"/>
  <c r="G3785" i="2"/>
  <c r="G3781" i="2"/>
  <c r="K3777" i="2"/>
  <c r="G3777" i="2"/>
  <c r="J3093" i="2"/>
  <c r="G3093" i="2"/>
  <c r="K3769" i="2"/>
  <c r="G3769" i="2"/>
  <c r="K3765" i="2"/>
  <c r="G3765" i="2"/>
  <c r="K3761" i="2"/>
  <c r="G3761" i="2"/>
  <c r="G4792" i="2"/>
  <c r="G3753" i="2"/>
  <c r="G2727" i="2"/>
  <c r="J3607" i="2"/>
  <c r="G3607" i="2"/>
  <c r="G3741" i="2"/>
  <c r="G1288" i="2"/>
  <c r="K3733" i="2"/>
  <c r="G3733" i="2"/>
  <c r="K3729" i="2"/>
  <c r="G3729" i="2"/>
  <c r="G1228" i="2"/>
  <c r="J4832" i="2"/>
  <c r="G4832" i="2"/>
  <c r="G4374" i="2"/>
  <c r="K3713" i="2"/>
  <c r="G3713" i="2"/>
  <c r="K3709" i="2"/>
  <c r="G3709" i="2"/>
  <c r="G3921" i="2"/>
  <c r="G7071" i="2"/>
  <c r="J3343" i="2"/>
  <c r="G3343" i="2"/>
  <c r="G3693" i="2"/>
  <c r="G3689" i="2"/>
  <c r="G1708" i="2"/>
  <c r="G6459" i="2"/>
  <c r="J3677" i="2"/>
  <c r="G3677" i="2"/>
  <c r="G91" i="2"/>
  <c r="G3669" i="2"/>
  <c r="G5593" i="2"/>
  <c r="G2418" i="2"/>
  <c r="K3657" i="2"/>
  <c r="G3657" i="2"/>
  <c r="J5934" i="2"/>
  <c r="G5934" i="2"/>
  <c r="G3649" i="2"/>
  <c r="G3645" i="2"/>
  <c r="G2160" i="2"/>
  <c r="J3637" i="2"/>
  <c r="G3637" i="2"/>
  <c r="J3633" i="2"/>
  <c r="G3633" i="2"/>
  <c r="J3629" i="2"/>
  <c r="G3629" i="2"/>
  <c r="G1539" i="2"/>
  <c r="K3621" i="2"/>
  <c r="G3621" i="2"/>
  <c r="K3617" i="2"/>
  <c r="G3617" i="2"/>
  <c r="J1508" i="2"/>
  <c r="G1508" i="2"/>
  <c r="G5218" i="2"/>
  <c r="G4143" i="2"/>
  <c r="K3601" i="2"/>
  <c r="G3601" i="2"/>
  <c r="K3597" i="2"/>
  <c r="G3597" i="2"/>
  <c r="K3593" i="2"/>
  <c r="G3593" i="2"/>
  <c r="G3589" i="2"/>
  <c r="G3585" i="2"/>
  <c r="K3581" i="2"/>
  <c r="G3581" i="2"/>
  <c r="K3577" i="2"/>
  <c r="G3577" i="2"/>
  <c r="G3573" i="2"/>
  <c r="G5437" i="2"/>
  <c r="K3565" i="2"/>
  <c r="G3565" i="2"/>
  <c r="G3561" i="2"/>
  <c r="J3561" i="2"/>
  <c r="J3557" i="2"/>
  <c r="G3557" i="2"/>
  <c r="K3553" i="2"/>
  <c r="G3553" i="2"/>
  <c r="K3549" i="2"/>
  <c r="G3549" i="2"/>
  <c r="G3545" i="2"/>
  <c r="K3541" i="2"/>
  <c r="G3541" i="2"/>
  <c r="K3537" i="2"/>
  <c r="G3537" i="2"/>
  <c r="K3533" i="2"/>
  <c r="G3533" i="2"/>
  <c r="K3529" i="2"/>
  <c r="G3529" i="2"/>
  <c r="G3525" i="2"/>
  <c r="G6888" i="2"/>
  <c r="G3517" i="2"/>
  <c r="G3513" i="2"/>
  <c r="G3509" i="2"/>
  <c r="K3505" i="2"/>
  <c r="G3505" i="2"/>
  <c r="K3501" i="2"/>
  <c r="G3501" i="2"/>
  <c r="K3497" i="2"/>
  <c r="G3497" i="2"/>
  <c r="G3493" i="2"/>
  <c r="G3489" i="2"/>
  <c r="K3485" i="2"/>
  <c r="G3485" i="2"/>
  <c r="K3481" i="2"/>
  <c r="G3481" i="2"/>
  <c r="G3477" i="2"/>
  <c r="J3473" i="2"/>
  <c r="G3473" i="2"/>
  <c r="K3469" i="2"/>
  <c r="G3469" i="2"/>
  <c r="K3465" i="2"/>
  <c r="G3465" i="2"/>
  <c r="K3461" i="2"/>
  <c r="G3461" i="2"/>
  <c r="K3457" i="2"/>
  <c r="G3457" i="2"/>
  <c r="K3453" i="2"/>
  <c r="G3453" i="2"/>
  <c r="G1058" i="2"/>
  <c r="G3445" i="2"/>
  <c r="J3441" i="2"/>
  <c r="G3441" i="2"/>
  <c r="G3437" i="2"/>
  <c r="K3433" i="2"/>
  <c r="G3433" i="2"/>
  <c r="J3429" i="2"/>
  <c r="G3429" i="2"/>
  <c r="J3425" i="2"/>
  <c r="G3425" i="2"/>
  <c r="K3421" i="2"/>
  <c r="G3421" i="2"/>
  <c r="J3417" i="2"/>
  <c r="G3417" i="2"/>
  <c r="K3413" i="2"/>
  <c r="G3413" i="2"/>
  <c r="J3409" i="2"/>
  <c r="G3409" i="2"/>
  <c r="K3405" i="2"/>
  <c r="G3405" i="2"/>
  <c r="K3401" i="2"/>
  <c r="G3401" i="2"/>
  <c r="K3397" i="2"/>
  <c r="G3397" i="2"/>
  <c r="G3393" i="2"/>
  <c r="K3389" i="2"/>
  <c r="G3389" i="2"/>
  <c r="G3385" i="2"/>
  <c r="G3381" i="2"/>
  <c r="G3377" i="2"/>
  <c r="K3373" i="2"/>
  <c r="G3373" i="2"/>
  <c r="K3369" i="2"/>
  <c r="G3369" i="2"/>
  <c r="G3365" i="2"/>
  <c r="G3361" i="2"/>
  <c r="K3357" i="2"/>
  <c r="G3357" i="2"/>
  <c r="G3353" i="2"/>
  <c r="G3349" i="2"/>
  <c r="J3345" i="2"/>
  <c r="G3345" i="2"/>
  <c r="G3341" i="2"/>
  <c r="G3337" i="2"/>
  <c r="K3333" i="2"/>
  <c r="G3333" i="2"/>
  <c r="G3285" i="2"/>
  <c r="G3325" i="2"/>
  <c r="J3321" i="2"/>
  <c r="G3321" i="2"/>
  <c r="K3317" i="2"/>
  <c r="G3317" i="2"/>
  <c r="K3313" i="2"/>
  <c r="G3313" i="2"/>
  <c r="K3309" i="2"/>
  <c r="G3309" i="2"/>
  <c r="K3305" i="2"/>
  <c r="G3305" i="2"/>
  <c r="K3301" i="2"/>
  <c r="G3301" i="2"/>
  <c r="G6845" i="2"/>
  <c r="J3293" i="2"/>
  <c r="G3293" i="2"/>
  <c r="J5807" i="2"/>
  <c r="G5807" i="2"/>
  <c r="G85" i="2"/>
  <c r="G3281" i="2"/>
  <c r="J3277" i="2"/>
  <c r="G3277" i="2"/>
  <c r="G3273" i="2"/>
  <c r="G3269" i="2"/>
  <c r="J4217" i="2"/>
  <c r="G4217" i="2"/>
  <c r="K3261" i="2"/>
  <c r="G3261" i="2"/>
  <c r="G2382" i="2"/>
  <c r="G3253" i="2"/>
  <c r="G3249" i="2"/>
  <c r="K3245" i="2"/>
  <c r="G3245" i="2"/>
  <c r="G6522" i="2"/>
  <c r="K3237" i="2"/>
  <c r="G3237" i="2"/>
  <c r="K3233" i="2"/>
  <c r="G3233" i="2"/>
  <c r="G3229" i="2"/>
  <c r="K3225" i="2"/>
  <c r="G3225" i="2"/>
  <c r="J3221" i="2"/>
  <c r="G3221" i="2"/>
  <c r="K3217" i="2"/>
  <c r="G3217" i="2"/>
  <c r="K3213" i="2"/>
  <c r="G3213" i="2"/>
  <c r="K3209" i="2"/>
  <c r="G3209" i="2"/>
  <c r="K3205" i="2"/>
  <c r="G3205" i="2"/>
  <c r="K3201" i="2"/>
  <c r="G3201" i="2"/>
  <c r="K3197" i="2"/>
  <c r="G3197" i="2"/>
  <c r="K3193" i="2"/>
  <c r="G3193" i="2"/>
  <c r="G3189" i="2"/>
  <c r="J6755" i="2"/>
  <c r="G6755" i="2"/>
  <c r="G3181" i="2"/>
  <c r="G3177" i="2"/>
  <c r="G2663" i="2"/>
  <c r="K3169" i="2"/>
  <c r="G3169" i="2"/>
  <c r="G6139" i="2"/>
  <c r="K3161" i="2"/>
  <c r="G3161" i="2"/>
  <c r="G3157" i="2"/>
  <c r="J3895" i="2"/>
  <c r="G3895" i="2"/>
  <c r="G3149" i="2"/>
  <c r="G3145" i="2"/>
  <c r="K3141" i="2"/>
  <c r="G3141" i="2"/>
  <c r="G3137" i="2"/>
  <c r="J3133" i="2"/>
  <c r="G3133" i="2"/>
  <c r="J3129" i="2"/>
  <c r="G3129" i="2"/>
  <c r="J3125" i="2"/>
  <c r="G3125" i="2"/>
  <c r="J3121" i="2"/>
  <c r="G3121" i="2"/>
  <c r="J3117" i="2"/>
  <c r="G3117" i="2"/>
  <c r="G396" i="2"/>
  <c r="J4119" i="2"/>
  <c r="G4119" i="2"/>
  <c r="K3105" i="2"/>
  <c r="G3105" i="2"/>
  <c r="K3101" i="2"/>
  <c r="G3101" i="2"/>
  <c r="K3097" i="2"/>
  <c r="G3097" i="2"/>
  <c r="G2411" i="2"/>
  <c r="J3089" i="2"/>
  <c r="G3089" i="2"/>
  <c r="J3085" i="2"/>
  <c r="G3085" i="2"/>
  <c r="K3081" i="2"/>
  <c r="G3081" i="2"/>
  <c r="K3077" i="2"/>
  <c r="G3077" i="2"/>
  <c r="K3073" i="2"/>
  <c r="G3073" i="2"/>
  <c r="K3069" i="2"/>
  <c r="G3069" i="2"/>
  <c r="K3065" i="2"/>
  <c r="G3065" i="2"/>
  <c r="K3061" i="2"/>
  <c r="G3061" i="2"/>
  <c r="K3057" i="2"/>
  <c r="G3057" i="2"/>
  <c r="K3053" i="2"/>
  <c r="G3053" i="2"/>
  <c r="K3049" i="2"/>
  <c r="G3049" i="2"/>
  <c r="K3045" i="2"/>
  <c r="G3045" i="2"/>
  <c r="G81" i="2"/>
  <c r="G4352" i="2"/>
  <c r="J507" i="2"/>
  <c r="G507" i="2"/>
  <c r="G3029" i="2"/>
  <c r="G3025" i="2"/>
  <c r="G3021" i="2"/>
  <c r="G3268" i="2"/>
  <c r="G3013" i="2"/>
  <c r="K3009" i="2"/>
  <c r="G3009" i="2"/>
  <c r="K3005" i="2"/>
  <c r="G3005" i="2"/>
  <c r="J1056" i="2"/>
  <c r="G1056" i="2"/>
  <c r="G2149" i="2"/>
  <c r="K2993" i="2"/>
  <c r="G2993" i="2"/>
  <c r="G2989" i="2"/>
  <c r="G2985" i="2"/>
  <c r="K2981" i="2"/>
  <c r="G2981" i="2"/>
  <c r="J217" i="2"/>
  <c r="G217" i="2"/>
  <c r="G2973" i="2"/>
  <c r="K2969" i="2"/>
  <c r="G2969" i="2"/>
  <c r="G5933" i="2"/>
  <c r="J2961" i="2"/>
  <c r="G2961" i="2"/>
  <c r="J2957" i="2"/>
  <c r="G2957" i="2"/>
  <c r="J2953" i="2"/>
  <c r="G2953" i="2"/>
  <c r="G1229" i="2"/>
  <c r="K2945" i="2"/>
  <c r="G2945" i="2"/>
  <c r="K2941" i="2"/>
  <c r="G2941" i="2"/>
  <c r="J6576" i="2"/>
  <c r="G6576" i="2"/>
  <c r="K2933" i="2"/>
  <c r="G2933" i="2"/>
  <c r="K2929" i="2"/>
  <c r="G2929" i="2"/>
  <c r="K2925" i="2"/>
  <c r="G2925" i="2"/>
  <c r="G5969" i="2"/>
  <c r="K2917" i="2"/>
  <c r="G2917" i="2"/>
  <c r="K2913" i="2"/>
  <c r="G2913" i="2"/>
  <c r="G2836" i="2"/>
  <c r="G2905" i="2"/>
  <c r="G4816" i="2"/>
  <c r="K2897" i="2"/>
  <c r="G2897" i="2"/>
  <c r="G2893" i="2"/>
  <c r="J2889" i="2"/>
  <c r="G2889" i="2"/>
  <c r="G2885" i="2"/>
  <c r="K2881" i="2"/>
  <c r="G2881" i="2"/>
  <c r="K2877" i="2"/>
  <c r="G2877" i="2"/>
  <c r="K2873" i="2"/>
  <c r="G2873" i="2"/>
  <c r="K2869" i="2"/>
  <c r="G2869" i="2"/>
  <c r="K2865" i="2"/>
  <c r="G2865" i="2"/>
  <c r="K2861" i="2"/>
  <c r="G2861" i="2"/>
  <c r="G2857" i="2"/>
  <c r="G332" i="2"/>
  <c r="G5517" i="2"/>
  <c r="G2845" i="2"/>
  <c r="J2841" i="2"/>
  <c r="G2841" i="2"/>
  <c r="J2119" i="2"/>
  <c r="G2119" i="2"/>
  <c r="K2833" i="2"/>
  <c r="G2833" i="2"/>
  <c r="K2829" i="2"/>
  <c r="G2829" i="2"/>
  <c r="G2231" i="2"/>
  <c r="G4059" i="2"/>
  <c r="G2817" i="2"/>
  <c r="G2813" i="2"/>
  <c r="K2809" i="2"/>
  <c r="G2809" i="2"/>
  <c r="G2805" i="2"/>
  <c r="J6582" i="2"/>
  <c r="G6582" i="2"/>
  <c r="K2797" i="2"/>
  <c r="G2797" i="2"/>
  <c r="G2793" i="2"/>
  <c r="G6720" i="2"/>
  <c r="G6552" i="2"/>
  <c r="K2781" i="2"/>
  <c r="G2781" i="2"/>
  <c r="J6513" i="2"/>
  <c r="G6513" i="2"/>
  <c r="K2773" i="2"/>
  <c r="G2773" i="2"/>
  <c r="G4726" i="2"/>
  <c r="G298" i="2"/>
  <c r="G2761" i="2"/>
  <c r="G2757" i="2"/>
  <c r="K2757" i="2"/>
  <c r="G4414" i="2"/>
  <c r="G2749" i="2"/>
  <c r="J2749" i="2"/>
  <c r="G2745" i="2"/>
  <c r="J2745" i="2"/>
  <c r="G2741" i="2"/>
  <c r="G2737" i="2"/>
  <c r="G2414" i="2"/>
  <c r="G2729" i="2"/>
  <c r="K2729" i="2"/>
  <c r="G2725" i="2"/>
  <c r="G2721" i="2"/>
  <c r="G6833" i="2"/>
  <c r="G2713" i="2"/>
  <c r="G2709" i="2"/>
  <c r="J2705" i="2"/>
  <c r="G2705" i="2"/>
  <c r="G6104" i="2"/>
  <c r="G5010" i="2"/>
  <c r="J2693" i="2"/>
  <c r="G2693" i="2"/>
  <c r="G4882" i="2"/>
  <c r="J2685" i="2"/>
  <c r="G2685" i="2"/>
  <c r="K2681" i="2"/>
  <c r="G2681" i="2"/>
  <c r="J7151" i="2"/>
  <c r="G7151" i="2"/>
  <c r="K2673" i="2"/>
  <c r="G2673" i="2"/>
  <c r="G4392" i="2"/>
  <c r="K2665" i="2"/>
  <c r="G2665" i="2"/>
  <c r="K2661" i="2"/>
  <c r="G2661" i="2"/>
  <c r="K2657" i="2"/>
  <c r="G2657" i="2"/>
  <c r="K2653" i="2"/>
  <c r="G2653" i="2"/>
  <c r="K2649" i="2"/>
  <c r="G2649" i="2"/>
  <c r="G2480" i="2"/>
  <c r="K2641" i="2"/>
  <c r="G2641" i="2"/>
  <c r="K2637" i="2"/>
  <c r="G2637" i="2"/>
  <c r="K2633" i="2"/>
  <c r="G2633" i="2"/>
  <c r="K2629" i="2"/>
  <c r="G2629" i="2"/>
  <c r="G2625" i="2"/>
  <c r="K2621" i="2"/>
  <c r="G2621" i="2"/>
  <c r="K2617" i="2"/>
  <c r="G2617" i="2"/>
  <c r="K2613" i="2"/>
  <c r="G2613" i="2"/>
  <c r="G2609" i="2"/>
  <c r="K2605" i="2"/>
  <c r="G2605" i="2"/>
  <c r="J2601" i="2"/>
  <c r="G2601" i="2"/>
  <c r="J2597" i="2"/>
  <c r="G2597" i="2"/>
  <c r="K2593" i="2"/>
  <c r="G2593" i="2"/>
  <c r="K2589" i="2"/>
  <c r="G2589" i="2"/>
  <c r="J2585" i="2"/>
  <c r="G2585" i="2"/>
  <c r="K2581" i="2"/>
  <c r="G2581" i="2"/>
  <c r="G5935" i="2"/>
  <c r="J2573" i="2"/>
  <c r="G2573" i="2"/>
  <c r="G2569" i="2"/>
  <c r="G2565" i="2"/>
  <c r="J2561" i="2"/>
  <c r="G2561" i="2"/>
  <c r="J2557" i="2"/>
  <c r="G2557" i="2"/>
  <c r="K2553" i="2"/>
  <c r="G2553" i="2"/>
  <c r="K2549" i="2"/>
  <c r="G2549" i="2"/>
  <c r="J2545" i="2"/>
  <c r="G2545" i="2"/>
  <c r="J3727" i="2"/>
  <c r="G3727" i="2"/>
  <c r="G1362" i="2"/>
  <c r="G2533" i="2"/>
  <c r="G2529" i="2"/>
  <c r="K2525" i="2"/>
  <c r="G2525" i="2"/>
  <c r="J2521" i="2"/>
  <c r="G2521" i="2"/>
  <c r="J4295" i="2"/>
  <c r="G4295" i="2"/>
  <c r="K2513" i="2"/>
  <c r="G2513" i="2"/>
  <c r="G2509" i="2"/>
  <c r="K2505" i="2"/>
  <c r="G2505" i="2"/>
  <c r="G2501" i="2"/>
  <c r="J2497" i="2"/>
  <c r="G2497" i="2"/>
  <c r="G2493" i="2"/>
  <c r="K2489" i="2"/>
  <c r="G2489" i="2"/>
  <c r="K2485" i="2"/>
  <c r="G2485" i="2"/>
  <c r="J2481" i="2"/>
  <c r="G2481" i="2"/>
  <c r="G2694" i="2"/>
  <c r="J6939" i="2"/>
  <c r="G6939" i="2"/>
  <c r="G2469" i="2"/>
  <c r="J2465" i="2"/>
  <c r="G2465" i="2"/>
  <c r="G2461" i="2"/>
  <c r="G2457" i="2"/>
  <c r="J2453" i="2"/>
  <c r="G2453" i="2"/>
  <c r="J2449" i="2"/>
  <c r="G2449" i="2"/>
  <c r="J2445" i="2"/>
  <c r="G2445" i="2"/>
  <c r="J2441" i="2"/>
  <c r="G2441" i="2"/>
  <c r="K2437" i="2"/>
  <c r="G2437" i="2"/>
  <c r="K2433" i="2"/>
  <c r="G2433" i="2"/>
  <c r="K2429" i="2"/>
  <c r="G2429" i="2"/>
  <c r="K2425" i="2"/>
  <c r="G2425" i="2"/>
  <c r="G2712" i="2"/>
  <c r="G5706" i="2"/>
  <c r="G3745" i="2"/>
  <c r="K2409" i="2"/>
  <c r="G2409" i="2"/>
  <c r="J4857" i="2"/>
  <c r="G4857" i="2"/>
  <c r="G4003" i="2"/>
  <c r="K2397" i="2"/>
  <c r="G2397" i="2"/>
  <c r="K2393" i="2"/>
  <c r="G2393" i="2"/>
  <c r="K2389" i="2"/>
  <c r="G2389" i="2"/>
  <c r="K2385" i="2"/>
  <c r="G2385" i="2"/>
  <c r="G1896" i="2"/>
  <c r="G6289" i="2"/>
  <c r="J6554" i="2"/>
  <c r="G6554" i="2"/>
  <c r="J2369" i="2"/>
  <c r="G2369" i="2"/>
  <c r="J2365" i="2"/>
  <c r="G2365" i="2"/>
  <c r="J2361" i="2"/>
  <c r="G2361" i="2"/>
  <c r="K2357" i="2"/>
  <c r="G2357" i="2"/>
  <c r="K2353" i="2"/>
  <c r="G2353" i="2"/>
  <c r="J2349" i="2"/>
  <c r="G2349" i="2"/>
  <c r="G5303" i="2"/>
  <c r="G2834" i="2"/>
  <c r="J2337" i="2"/>
  <c r="G2337" i="2"/>
  <c r="G2333" i="2"/>
  <c r="J2329" i="2"/>
  <c r="G2329" i="2"/>
  <c r="K2325" i="2"/>
  <c r="G2325" i="2"/>
  <c r="K2321" i="2"/>
  <c r="G2321" i="2"/>
  <c r="K2317" i="2"/>
  <c r="G2317" i="2"/>
  <c r="J2313" i="2"/>
  <c r="G2313" i="2"/>
  <c r="G1296" i="2"/>
  <c r="K2305" i="2"/>
  <c r="G2305" i="2"/>
  <c r="J5569" i="2"/>
  <c r="G5569" i="2"/>
  <c r="G3166" i="2"/>
  <c r="G1075" i="2"/>
  <c r="G2289" i="2"/>
  <c r="J2285" i="2"/>
  <c r="G2285" i="2"/>
  <c r="J2281" i="2"/>
  <c r="G2281" i="2"/>
  <c r="G4370" i="2"/>
  <c r="J2273" i="2"/>
  <c r="G2273" i="2"/>
  <c r="G6876" i="2"/>
  <c r="G2265" i="2"/>
  <c r="J5319" i="2"/>
  <c r="G5319" i="2"/>
  <c r="G2257" i="2"/>
  <c r="J2253" i="2"/>
  <c r="G2253" i="2"/>
  <c r="G6909" i="2"/>
  <c r="K2245" i="2"/>
  <c r="G2245" i="2"/>
  <c r="K2241" i="2"/>
  <c r="G2241" i="2"/>
  <c r="J2237" i="2"/>
  <c r="G2237" i="2"/>
  <c r="J2233" i="2"/>
  <c r="G2233" i="2"/>
  <c r="K2229" i="2"/>
  <c r="G2229" i="2"/>
  <c r="K2225" i="2"/>
  <c r="G2225" i="2"/>
  <c r="K2221" i="2"/>
  <c r="G2221" i="2"/>
  <c r="G2821" i="2"/>
  <c r="K2213" i="2"/>
  <c r="G2213" i="2"/>
  <c r="K2209" i="2"/>
  <c r="G2209" i="2"/>
  <c r="K2205" i="2"/>
  <c r="G2205" i="2"/>
  <c r="K2201" i="2"/>
  <c r="G2201" i="2"/>
  <c r="J2197" i="2"/>
  <c r="G2197" i="2"/>
  <c r="J2193" i="2"/>
  <c r="G2193" i="2"/>
  <c r="K2189" i="2"/>
  <c r="G2189" i="2"/>
  <c r="K2185" i="2"/>
  <c r="G2185" i="2"/>
  <c r="G1505" i="2"/>
  <c r="G2177" i="2"/>
  <c r="G6848" i="2"/>
  <c r="K2169" i="2"/>
  <c r="G2169" i="2"/>
  <c r="J2165" i="2"/>
  <c r="G2165" i="2"/>
  <c r="J2708" i="2"/>
  <c r="G2708" i="2"/>
  <c r="G4986" i="2"/>
  <c r="J2153" i="2"/>
  <c r="G2153" i="2"/>
  <c r="G71" i="2"/>
  <c r="G5143" i="2"/>
  <c r="J2141" i="2"/>
  <c r="G2141" i="2"/>
  <c r="K2137" i="2"/>
  <c r="G2137" i="2"/>
  <c r="K2133" i="2"/>
  <c r="G2133" i="2"/>
  <c r="J2129" i="2"/>
  <c r="G2129" i="2"/>
  <c r="G6488" i="2"/>
  <c r="K2121" i="2"/>
  <c r="G2121" i="2"/>
  <c r="G6298" i="2"/>
  <c r="J2113" i="2"/>
  <c r="G2113" i="2"/>
  <c r="J2109" i="2"/>
  <c r="G2109" i="2"/>
  <c r="G3679" i="2"/>
  <c r="J2101" i="2"/>
  <c r="G2101" i="2"/>
  <c r="G1926" i="2"/>
  <c r="G2093" i="2"/>
  <c r="G2089" i="2"/>
  <c r="K2085" i="2"/>
  <c r="G2085" i="2"/>
  <c r="J6424" i="2"/>
  <c r="G6424" i="2"/>
  <c r="G1971" i="2"/>
  <c r="J2073" i="2"/>
  <c r="G2073" i="2"/>
  <c r="G1535" i="2"/>
  <c r="K2065" i="2"/>
  <c r="G2065" i="2"/>
  <c r="G6656" i="2"/>
  <c r="K2057" i="2"/>
  <c r="G2057" i="2"/>
  <c r="J2100" i="2"/>
  <c r="G2100" i="2"/>
  <c r="G2049" i="2"/>
  <c r="K2049" i="2"/>
  <c r="K2045" i="2"/>
  <c r="G2045" i="2"/>
  <c r="G2041" i="2"/>
  <c r="K2037" i="2"/>
  <c r="G2037" i="2"/>
  <c r="G2033" i="2"/>
  <c r="K2033" i="2"/>
  <c r="K2029" i="2"/>
  <c r="G2029" i="2"/>
  <c r="J2025" i="2"/>
  <c r="G2025" i="2"/>
  <c r="G2021" i="2"/>
  <c r="K2021" i="2"/>
  <c r="G2017" i="2"/>
  <c r="K2013" i="2"/>
  <c r="G2013" i="2"/>
  <c r="G2009" i="2"/>
  <c r="K2009" i="2"/>
  <c r="G6940" i="2"/>
  <c r="K2001" i="2"/>
  <c r="G2001" i="2"/>
  <c r="K1997" i="2"/>
  <c r="G1997" i="2"/>
  <c r="G1993" i="2"/>
  <c r="K1993" i="2"/>
  <c r="K1989" i="2"/>
  <c r="G1989" i="2"/>
  <c r="G1985" i="2"/>
  <c r="J2824" i="2"/>
  <c r="G2824" i="2"/>
  <c r="G1977" i="2"/>
  <c r="K1977" i="2"/>
  <c r="K1973" i="2"/>
  <c r="G1973" i="2"/>
  <c r="G1969" i="2"/>
  <c r="G1965" i="2"/>
  <c r="G1961" i="2"/>
  <c r="K1961" i="2"/>
  <c r="G5649" i="2"/>
  <c r="J4946" i="2"/>
  <c r="G4946" i="2"/>
  <c r="G3307" i="2"/>
  <c r="G1945" i="2"/>
  <c r="K1945" i="2"/>
  <c r="J1941" i="2"/>
  <c r="G1941" i="2"/>
  <c r="G1937" i="2"/>
  <c r="K1933" i="2"/>
  <c r="G1933" i="2"/>
  <c r="G1929" i="2"/>
  <c r="J1925" i="2"/>
  <c r="G1925" i="2"/>
  <c r="G1921" i="2"/>
  <c r="K1917" i="2"/>
  <c r="G1917" i="2"/>
  <c r="G1913" i="2"/>
  <c r="K1913" i="2"/>
  <c r="G1909" i="2"/>
  <c r="G1905" i="2"/>
  <c r="G6747" i="2"/>
  <c r="G1897" i="2"/>
  <c r="J1897" i="2"/>
  <c r="J1893" i="2"/>
  <c r="G1893" i="2"/>
  <c r="G1889" i="2"/>
  <c r="G1885" i="2"/>
  <c r="G1881" i="2"/>
  <c r="G1867" i="2"/>
  <c r="G1873" i="2"/>
  <c r="G1869" i="2"/>
  <c r="J1869" i="2"/>
  <c r="G1865" i="2"/>
  <c r="G1861" i="2"/>
  <c r="G1857" i="2"/>
  <c r="G1853" i="2"/>
  <c r="G6787" i="2"/>
  <c r="G1845" i="2"/>
  <c r="K1841" i="2"/>
  <c r="G1841" i="2"/>
  <c r="K1837" i="2"/>
  <c r="G1837" i="2"/>
  <c r="G4497" i="2"/>
  <c r="K1829" i="2"/>
  <c r="G1829" i="2"/>
  <c r="J1825" i="2"/>
  <c r="G1825" i="2"/>
  <c r="K1821" i="2"/>
  <c r="G1821" i="2"/>
  <c r="G1817" i="2"/>
  <c r="K1813" i="2"/>
  <c r="G1813" i="2"/>
  <c r="K1809" i="2"/>
  <c r="G1809" i="2"/>
  <c r="G4103" i="2"/>
  <c r="K1801" i="2"/>
  <c r="G1801" i="2"/>
  <c r="G2577" i="2"/>
  <c r="G4568" i="2"/>
  <c r="K1789" i="2"/>
  <c r="G1789" i="2"/>
  <c r="J1785" i="2"/>
  <c r="G1785" i="2"/>
  <c r="K1781" i="2"/>
  <c r="G1781" i="2"/>
  <c r="K1777" i="2"/>
  <c r="G1777" i="2"/>
  <c r="K1773" i="2"/>
  <c r="G1773" i="2"/>
  <c r="K1769" i="2"/>
  <c r="G1769" i="2"/>
  <c r="K1765" i="2"/>
  <c r="G1765" i="2"/>
  <c r="K1761" i="2"/>
  <c r="G1761" i="2"/>
  <c r="K1757" i="2"/>
  <c r="G1757" i="2"/>
  <c r="K1753" i="2"/>
  <c r="G1753" i="2"/>
  <c r="K1749" i="2"/>
  <c r="G1749" i="2"/>
  <c r="G1745" i="2"/>
  <c r="K1741" i="2"/>
  <c r="G1741" i="2"/>
  <c r="K1737" i="2"/>
  <c r="G1737" i="2"/>
  <c r="K1733" i="2"/>
  <c r="G1733" i="2"/>
  <c r="K1729" i="2"/>
  <c r="G1729" i="2"/>
  <c r="J438" i="2"/>
  <c r="G438" i="2"/>
  <c r="J1721" i="2"/>
  <c r="G1721" i="2"/>
  <c r="G1717" i="2"/>
  <c r="G1713" i="2"/>
  <c r="G7112" i="2"/>
  <c r="G1705" i="2"/>
  <c r="K1701" i="2"/>
  <c r="G1701" i="2"/>
  <c r="G1697" i="2"/>
  <c r="K1693" i="2"/>
  <c r="G1693" i="2"/>
  <c r="K1689" i="2"/>
  <c r="G1689" i="2"/>
  <c r="K1685" i="2"/>
  <c r="G1685" i="2"/>
  <c r="K1681" i="2"/>
  <c r="G1681" i="2"/>
  <c r="G1677" i="2"/>
  <c r="K1673" i="2"/>
  <c r="G1673" i="2"/>
  <c r="K1669" i="2"/>
  <c r="G1669" i="2"/>
  <c r="J6886" i="2"/>
  <c r="G6886" i="2"/>
  <c r="K1661" i="2"/>
  <c r="G1661" i="2"/>
  <c r="G5832" i="2"/>
  <c r="G1653" i="2"/>
  <c r="G1649" i="2"/>
  <c r="K1645" i="2"/>
  <c r="G1645" i="2"/>
  <c r="K1641" i="2"/>
  <c r="G1641" i="2"/>
  <c r="G5399" i="2"/>
  <c r="K1633" i="2"/>
  <c r="G1633" i="2"/>
  <c r="G1629" i="2"/>
  <c r="J1625" i="2"/>
  <c r="G1625" i="2"/>
  <c r="K1621" i="2"/>
  <c r="G1621" i="2"/>
  <c r="K1617" i="2"/>
  <c r="G1617" i="2"/>
  <c r="J1656" i="2"/>
  <c r="G1656" i="2"/>
  <c r="G4569" i="2"/>
  <c r="G1605" i="2"/>
  <c r="G1601" i="2"/>
  <c r="G2776" i="2"/>
  <c r="G1593" i="2"/>
  <c r="G1589" i="2"/>
  <c r="J3998" i="2"/>
  <c r="G3998" i="2"/>
  <c r="K1581" i="2"/>
  <c r="G1581" i="2"/>
  <c r="G4486" i="2"/>
  <c r="G1573" i="2"/>
  <c r="K1569" i="2"/>
  <c r="G1569" i="2"/>
  <c r="G1565" i="2"/>
  <c r="K1565" i="2"/>
  <c r="G1561" i="2"/>
  <c r="K1561" i="2"/>
  <c r="K1557" i="2"/>
  <c r="G1557" i="2"/>
  <c r="G1553" i="2"/>
  <c r="K1549" i="2"/>
  <c r="G1549" i="2"/>
  <c r="G4747" i="2"/>
  <c r="K1541" i="2"/>
  <c r="G1541" i="2"/>
  <c r="G1342" i="2"/>
  <c r="K1533" i="2"/>
  <c r="G1533" i="2"/>
  <c r="G1529" i="2"/>
  <c r="K1529" i="2"/>
  <c r="J5848" i="2"/>
  <c r="G5848" i="2"/>
  <c r="G4055" i="2"/>
  <c r="G382" i="2"/>
  <c r="K1513" i="2"/>
  <c r="G1513" i="2"/>
  <c r="G1509" i="2"/>
  <c r="G6543" i="2"/>
  <c r="J489" i="2"/>
  <c r="G489" i="2"/>
  <c r="G1497" i="2"/>
  <c r="G1493" i="2"/>
  <c r="K1493" i="2"/>
  <c r="G1489" i="2"/>
  <c r="K1485" i="2"/>
  <c r="G1485" i="2"/>
  <c r="K1481" i="2"/>
  <c r="G1481" i="2"/>
  <c r="J1477" i="2"/>
  <c r="G1477" i="2"/>
  <c r="G1932" i="2"/>
  <c r="K1469" i="2"/>
  <c r="G1469" i="2"/>
  <c r="K1465" i="2"/>
  <c r="G1465" i="2"/>
  <c r="G393" i="2"/>
  <c r="K1457" i="2"/>
  <c r="G1457" i="2"/>
  <c r="J4868" i="2"/>
  <c r="G4868" i="2"/>
  <c r="G6530" i="2"/>
  <c r="G1445" i="2"/>
  <c r="G1441" i="2"/>
  <c r="J7019" i="2"/>
  <c r="G7019" i="2"/>
  <c r="G1433" i="2"/>
  <c r="K1429" i="2"/>
  <c r="G1429" i="2"/>
  <c r="G5638" i="2"/>
  <c r="G4216" i="2"/>
  <c r="J6938" i="2"/>
  <c r="G6938" i="2"/>
  <c r="G3954" i="2"/>
  <c r="G1409" i="2"/>
  <c r="K1405" i="2"/>
  <c r="G1405" i="2"/>
  <c r="G1401" i="2"/>
  <c r="G6071" i="2"/>
  <c r="J5118" i="2"/>
  <c r="G5118" i="2"/>
  <c r="K1389" i="2"/>
  <c r="G1389" i="2"/>
  <c r="J1385" i="2"/>
  <c r="G1385" i="2"/>
  <c r="J1381" i="2"/>
  <c r="G1381" i="2"/>
  <c r="G1530" i="2"/>
  <c r="K1373" i="2"/>
  <c r="G1373" i="2"/>
  <c r="K1369" i="2"/>
  <c r="G1369" i="2"/>
  <c r="K1365" i="2"/>
  <c r="G1365" i="2"/>
  <c r="K1361" i="2"/>
  <c r="G1361" i="2"/>
  <c r="G1357" i="2"/>
  <c r="G1353" i="2"/>
  <c r="K1349" i="2"/>
  <c r="G1349" i="2"/>
  <c r="G3923" i="2"/>
  <c r="J1341" i="2"/>
  <c r="G1341" i="2"/>
  <c r="K1337" i="2"/>
  <c r="G1337" i="2"/>
  <c r="J1333" i="2"/>
  <c r="G1333" i="2"/>
  <c r="K1329" i="2"/>
  <c r="G1329" i="2"/>
  <c r="K1325" i="2"/>
  <c r="G1325" i="2"/>
  <c r="G1321" i="2"/>
  <c r="K1317" i="2"/>
  <c r="G1317" i="2"/>
  <c r="G1018" i="2"/>
  <c r="K1309" i="2"/>
  <c r="G1309" i="2"/>
  <c r="K1305" i="2"/>
  <c r="G1305" i="2"/>
  <c r="K1301" i="2"/>
  <c r="G1301" i="2"/>
  <c r="J5514" i="2"/>
  <c r="G5514" i="2"/>
  <c r="G1293" i="2"/>
  <c r="G2095" i="2"/>
  <c r="G4854" i="2"/>
  <c r="J1281" i="2"/>
  <c r="G1281" i="2"/>
  <c r="G1277" i="2"/>
  <c r="K1273" i="2"/>
  <c r="G1273" i="2"/>
  <c r="K1269" i="2"/>
  <c r="G1269" i="2"/>
  <c r="J381" i="2"/>
  <c r="G381" i="2"/>
  <c r="G1261" i="2"/>
  <c r="G1257" i="2"/>
  <c r="K1253" i="2"/>
  <c r="G1253" i="2"/>
  <c r="G1249" i="2"/>
  <c r="G1245" i="2"/>
  <c r="G1241" i="2"/>
  <c r="G1390" i="2"/>
  <c r="J227" i="2"/>
  <c r="G227" i="2"/>
  <c r="G6518" i="2"/>
  <c r="G1418" i="2"/>
  <c r="G1221" i="2"/>
  <c r="K1217" i="2"/>
  <c r="G1217" i="2"/>
  <c r="J3701" i="2"/>
  <c r="G3701" i="2"/>
  <c r="G1209" i="2"/>
  <c r="G1205" i="2"/>
  <c r="G1201" i="2"/>
  <c r="G1197" i="2"/>
  <c r="G7055" i="2"/>
  <c r="K1189" i="2"/>
  <c r="G1189" i="2"/>
  <c r="G5299" i="2"/>
  <c r="J1181" i="2"/>
  <c r="G1181" i="2"/>
  <c r="G4362" i="2"/>
  <c r="K1173" i="2"/>
  <c r="G1173" i="2"/>
  <c r="G1169" i="2"/>
  <c r="K1165" i="2"/>
  <c r="G1165" i="2"/>
  <c r="J5360" i="2"/>
  <c r="G5360" i="2"/>
  <c r="G1157" i="2"/>
  <c r="K1153" i="2"/>
  <c r="G1153" i="2"/>
  <c r="J1149" i="2"/>
  <c r="G1149" i="2"/>
  <c r="J1145" i="2"/>
  <c r="G1145" i="2"/>
  <c r="K1141" i="2"/>
  <c r="G1141" i="2"/>
  <c r="K1137" i="2"/>
  <c r="G1137" i="2"/>
  <c r="K1133" i="2"/>
  <c r="G1133" i="2"/>
  <c r="K1129" i="2"/>
  <c r="G1129" i="2"/>
  <c r="K1125" i="2"/>
  <c r="G1125" i="2"/>
  <c r="K1121" i="2"/>
  <c r="G1121" i="2"/>
  <c r="G3706" i="2"/>
  <c r="G4846" i="2"/>
  <c r="G1109" i="2"/>
  <c r="K1105" i="2"/>
  <c r="G1105" i="2"/>
  <c r="G1101" i="2"/>
  <c r="J5637" i="2"/>
  <c r="G5637" i="2"/>
  <c r="G1313" i="2"/>
  <c r="K1089" i="2"/>
  <c r="G1089" i="2"/>
  <c r="G6596" i="2"/>
  <c r="K1081" i="2"/>
  <c r="G1081" i="2"/>
  <c r="G938" i="2"/>
  <c r="J2053" i="2"/>
  <c r="G2053" i="2"/>
  <c r="K1069" i="2"/>
  <c r="G1069" i="2"/>
  <c r="G6709" i="2"/>
  <c r="G5748" i="2"/>
  <c r="G3112" i="2"/>
  <c r="J2471" i="2"/>
  <c r="G2471" i="2"/>
  <c r="G4196" i="2"/>
  <c r="G2971" i="2"/>
  <c r="K1041" i="2"/>
  <c r="G1041" i="2"/>
  <c r="G1037" i="2"/>
  <c r="K1033" i="2"/>
  <c r="G1033" i="2"/>
  <c r="K1029" i="2"/>
  <c r="G1029" i="2"/>
  <c r="K1025" i="2"/>
  <c r="G1025" i="2"/>
  <c r="J4214" i="2"/>
  <c r="G4214" i="2"/>
  <c r="G6074" i="2"/>
  <c r="G6907" i="2"/>
  <c r="G1009" i="2"/>
  <c r="G1005" i="2"/>
  <c r="K1001" i="2"/>
  <c r="G1001" i="2"/>
  <c r="J1981" i="2"/>
  <c r="G1981" i="2"/>
  <c r="G993" i="2"/>
  <c r="G989" i="2"/>
  <c r="G1039" i="2"/>
  <c r="G981" i="2"/>
  <c r="K977" i="2"/>
  <c r="G977" i="2"/>
  <c r="G973" i="2"/>
  <c r="K969" i="2"/>
  <c r="G969" i="2"/>
  <c r="G5707" i="2"/>
  <c r="K961" i="2"/>
  <c r="G961" i="2"/>
  <c r="K957" i="2"/>
  <c r="G957" i="2"/>
  <c r="G953" i="2"/>
  <c r="G949" i="2"/>
  <c r="G945" i="2"/>
  <c r="K941" i="2"/>
  <c r="G941" i="2"/>
  <c r="J5709" i="2"/>
  <c r="G5709" i="2"/>
  <c r="G933" i="2"/>
  <c r="G929" i="2"/>
  <c r="G925" i="2"/>
  <c r="K921" i="2"/>
  <c r="G921" i="2"/>
  <c r="K917" i="2"/>
  <c r="G917" i="2"/>
  <c r="K913" i="2"/>
  <c r="G913" i="2"/>
  <c r="K909" i="2"/>
  <c r="G909" i="2"/>
  <c r="K905" i="2"/>
  <c r="G905" i="2"/>
  <c r="K901" i="2"/>
  <c r="G901" i="2"/>
  <c r="K897" i="2"/>
  <c r="G897" i="2"/>
  <c r="K893" i="2"/>
  <c r="G893" i="2"/>
  <c r="K889" i="2"/>
  <c r="G889" i="2"/>
  <c r="K885" i="2"/>
  <c r="G885" i="2"/>
  <c r="K881" i="2"/>
  <c r="G881" i="2"/>
  <c r="K877" i="2"/>
  <c r="G877" i="2"/>
  <c r="G873" i="2"/>
  <c r="K869" i="2"/>
  <c r="G869" i="2"/>
  <c r="G865" i="2"/>
  <c r="G861" i="2"/>
  <c r="G2765" i="2"/>
  <c r="G853" i="2"/>
  <c r="K849" i="2"/>
  <c r="G849" i="2"/>
  <c r="G845" i="2"/>
  <c r="K841" i="2"/>
  <c r="G841" i="2"/>
  <c r="K837" i="2"/>
  <c r="G837" i="2"/>
  <c r="K833" i="2"/>
  <c r="G833" i="2"/>
  <c r="K829" i="2"/>
  <c r="G829" i="2"/>
  <c r="G825" i="2"/>
  <c r="K821" i="2"/>
  <c r="G821" i="2"/>
  <c r="K817" i="2"/>
  <c r="G817" i="2"/>
  <c r="G372" i="2"/>
  <c r="G809" i="2"/>
  <c r="G805" i="2"/>
  <c r="G801" i="2"/>
  <c r="J797" i="2"/>
  <c r="G797" i="2"/>
  <c r="G793" i="2"/>
  <c r="K793" i="2"/>
  <c r="J789" i="2"/>
  <c r="G789" i="2"/>
  <c r="J785" i="2"/>
  <c r="G785" i="2"/>
  <c r="K781" i="2"/>
  <c r="G781" i="2"/>
  <c r="K777" i="2"/>
  <c r="G777" i="2"/>
  <c r="K773" i="2"/>
  <c r="G773" i="2"/>
  <c r="J3454" i="2"/>
  <c r="G3454" i="2"/>
  <c r="K765" i="2"/>
  <c r="G765" i="2"/>
  <c r="J5840" i="2"/>
  <c r="G5840" i="2"/>
  <c r="J757" i="2"/>
  <c r="G757" i="2"/>
  <c r="G753" i="2"/>
  <c r="G2306" i="2"/>
  <c r="J745" i="2"/>
  <c r="G745" i="2"/>
  <c r="J741" i="2"/>
  <c r="G741" i="2"/>
  <c r="J737" i="2"/>
  <c r="G737" i="2"/>
  <c r="J5009" i="2"/>
  <c r="G5009" i="2"/>
  <c r="G729" i="2"/>
  <c r="K729" i="2"/>
  <c r="J725" i="2"/>
  <c r="G725" i="2"/>
  <c r="K721" i="2"/>
  <c r="G721" i="2"/>
  <c r="K717" i="2"/>
  <c r="G717" i="2"/>
  <c r="K713" i="2"/>
  <c r="G713" i="2"/>
  <c r="K709" i="2"/>
  <c r="G709" i="2"/>
  <c r="J3922" i="2"/>
  <c r="G3922" i="2"/>
  <c r="G701" i="2"/>
  <c r="J697" i="2"/>
  <c r="G697" i="2"/>
  <c r="J3180" i="2"/>
  <c r="G3180" i="2"/>
  <c r="K689" i="2"/>
  <c r="G689" i="2"/>
  <c r="J685" i="2"/>
  <c r="G685" i="2"/>
  <c r="J681" i="2"/>
  <c r="G681" i="2"/>
  <c r="G1878" i="2"/>
  <c r="J6896" i="2"/>
  <c r="G6896" i="2"/>
  <c r="J669" i="2"/>
  <c r="G669" i="2"/>
  <c r="J665" i="2"/>
  <c r="G665" i="2"/>
  <c r="G661" i="2"/>
  <c r="K661" i="2"/>
  <c r="J657" i="2"/>
  <c r="G657" i="2"/>
  <c r="J6553" i="2"/>
  <c r="G6553" i="2"/>
  <c r="K649" i="2"/>
  <c r="G649" i="2"/>
  <c r="J645" i="2"/>
  <c r="G645" i="2"/>
  <c r="J641" i="2"/>
  <c r="G641" i="2"/>
  <c r="G637" i="2"/>
  <c r="K637" i="2"/>
  <c r="G5611" i="2"/>
  <c r="G629" i="2"/>
  <c r="K625" i="2"/>
  <c r="G625" i="2"/>
  <c r="K621" i="2"/>
  <c r="G621" i="2"/>
  <c r="G617" i="2"/>
  <c r="G4566" i="2"/>
  <c r="G609" i="2"/>
  <c r="G605" i="2"/>
  <c r="K601" i="2"/>
  <c r="G601" i="2"/>
  <c r="K597" i="2"/>
  <c r="G597" i="2"/>
  <c r="K593" i="2"/>
  <c r="G593" i="2"/>
  <c r="K589" i="2"/>
  <c r="G589" i="2"/>
  <c r="J585" i="2"/>
  <c r="G585" i="2"/>
  <c r="G2700" i="2"/>
  <c r="G577" i="2"/>
  <c r="J573" i="2"/>
  <c r="G573" i="2"/>
  <c r="G569" i="2"/>
  <c r="J565" i="2"/>
  <c r="G565" i="2"/>
  <c r="G561" i="2"/>
  <c r="J3690" i="2"/>
  <c r="G3690" i="2"/>
  <c r="G6512" i="2"/>
  <c r="G4022" i="2"/>
  <c r="G545" i="2"/>
  <c r="K541" i="2"/>
  <c r="G541" i="2"/>
  <c r="J537" i="2"/>
  <c r="G537" i="2"/>
  <c r="K533" i="2"/>
  <c r="G533" i="2"/>
  <c r="G529" i="2"/>
  <c r="G525" i="2"/>
  <c r="G521" i="2"/>
  <c r="G517" i="2"/>
  <c r="G513" i="2"/>
  <c r="K509" i="2"/>
  <c r="G509" i="2"/>
  <c r="K505" i="2"/>
  <c r="G505" i="2"/>
  <c r="G501" i="2"/>
  <c r="K497" i="2"/>
  <c r="G497" i="2"/>
  <c r="K493" i="2"/>
  <c r="G493" i="2"/>
  <c r="G5775" i="2"/>
  <c r="G485" i="2"/>
  <c r="J481" i="2"/>
  <c r="G481" i="2"/>
  <c r="J477" i="2"/>
  <c r="G477" i="2"/>
  <c r="K473" i="2"/>
  <c r="G473" i="2"/>
  <c r="G4565" i="2"/>
  <c r="K465" i="2"/>
  <c r="G465" i="2"/>
  <c r="K461" i="2"/>
  <c r="G461" i="2"/>
  <c r="K457" i="2"/>
  <c r="G457" i="2"/>
  <c r="K453" i="2"/>
  <c r="G453" i="2"/>
  <c r="J4208" i="2"/>
  <c r="G4208" i="2"/>
  <c r="G6772" i="2"/>
  <c r="K441" i="2"/>
  <c r="G441" i="2"/>
  <c r="G5636" i="2"/>
  <c r="G6680" i="2"/>
  <c r="K429" i="2"/>
  <c r="G429" i="2"/>
  <c r="G425" i="2"/>
  <c r="J1835" i="2"/>
  <c r="G1835" i="2"/>
  <c r="G417" i="2"/>
  <c r="G413" i="2"/>
  <c r="K409" i="2"/>
  <c r="G409" i="2"/>
  <c r="K405" i="2"/>
  <c r="G405" i="2"/>
  <c r="G3880" i="2"/>
  <c r="G5579" i="2"/>
  <c r="G1525" i="2"/>
  <c r="J1525" i="2"/>
  <c r="G1683" i="2"/>
  <c r="G10" i="2"/>
  <c r="G2768" i="2"/>
  <c r="J377" i="2"/>
  <c r="G377" i="2"/>
  <c r="G5845" i="2"/>
  <c r="K369" i="2"/>
  <c r="G369" i="2"/>
  <c r="G2147" i="2"/>
  <c r="G6813" i="2"/>
  <c r="J357" i="2"/>
  <c r="G357" i="2"/>
  <c r="K353" i="2"/>
  <c r="G353" i="2"/>
  <c r="J349" i="2"/>
  <c r="G349" i="2"/>
  <c r="J345" i="2"/>
  <c r="G345" i="2"/>
  <c r="G6590" i="2"/>
  <c r="J337" i="2"/>
  <c r="G337" i="2"/>
  <c r="K333" i="2"/>
  <c r="G333" i="2"/>
  <c r="G5610" i="2"/>
  <c r="G325" i="2"/>
  <c r="G321" i="2"/>
  <c r="G317" i="2"/>
  <c r="J4941" i="2"/>
  <c r="G4941" i="2"/>
  <c r="K309" i="2"/>
  <c r="G309" i="2"/>
  <c r="G3023" i="2"/>
  <c r="K301" i="2"/>
  <c r="G301" i="2"/>
  <c r="K297" i="2"/>
  <c r="G297" i="2"/>
  <c r="K293" i="2"/>
  <c r="G293" i="2"/>
  <c r="G289" i="2"/>
  <c r="K285" i="2"/>
  <c r="G285" i="2"/>
  <c r="G281" i="2"/>
  <c r="K277" i="2"/>
  <c r="G277" i="2"/>
  <c r="J273" i="2"/>
  <c r="G273" i="2"/>
  <c r="K269" i="2"/>
  <c r="G269" i="2"/>
  <c r="G1017" i="2"/>
  <c r="K261" i="2"/>
  <c r="G261" i="2"/>
  <c r="J257" i="2"/>
  <c r="G257" i="2"/>
  <c r="J253" i="2"/>
  <c r="G253" i="2"/>
  <c r="K249" i="2"/>
  <c r="G249" i="2"/>
  <c r="J245" i="2"/>
  <c r="G245" i="2"/>
  <c r="G3422" i="2"/>
  <c r="G3946" i="2"/>
  <c r="G3718" i="2"/>
  <c r="K229" i="2"/>
  <c r="G229" i="2"/>
  <c r="J2203" i="2"/>
  <c r="G2203" i="2"/>
  <c r="G221" i="2"/>
  <c r="G5138" i="2"/>
  <c r="G213" i="2"/>
  <c r="G2180" i="2"/>
  <c r="G205" i="2"/>
  <c r="J201" i="2"/>
  <c r="G201" i="2"/>
  <c r="G1848" i="2"/>
  <c r="K193" i="2"/>
  <c r="G193" i="2"/>
  <c r="G373" i="2"/>
  <c r="G185" i="2"/>
  <c r="G181" i="2"/>
  <c r="G2048" i="2"/>
  <c r="G173" i="2"/>
  <c r="K169" i="2"/>
  <c r="G169" i="2"/>
  <c r="J165" i="2"/>
  <c r="G165" i="2"/>
  <c r="G161" i="2"/>
  <c r="G157" i="2"/>
  <c r="K153" i="2"/>
  <c r="G153" i="2"/>
  <c r="G149" i="2"/>
  <c r="G5573" i="2"/>
  <c r="G2756" i="2"/>
  <c r="J6390" i="2"/>
  <c r="G6390" i="2"/>
  <c r="G1807" i="2"/>
  <c r="K129" i="2"/>
  <c r="G129" i="2"/>
  <c r="G125" i="2"/>
  <c r="G121" i="2"/>
  <c r="G117" i="2"/>
  <c r="K113" i="2"/>
  <c r="G113" i="2"/>
  <c r="G557" i="2"/>
  <c r="G105" i="2"/>
  <c r="G101" i="2"/>
  <c r="G97" i="2"/>
  <c r="K93" i="2"/>
  <c r="G93" i="2"/>
  <c r="K89" i="2"/>
  <c r="G89" i="2"/>
  <c r="G350" i="2"/>
  <c r="J4075" i="2"/>
  <c r="G4075" i="2"/>
  <c r="G77" i="2"/>
  <c r="K73" i="2"/>
  <c r="G73" i="2"/>
  <c r="K69" i="2"/>
  <c r="G69" i="2"/>
  <c r="G65" i="2"/>
  <c r="K61" i="2"/>
  <c r="G61" i="2"/>
  <c r="G57" i="2"/>
  <c r="K57" i="2"/>
  <c r="K53" i="2"/>
  <c r="G53" i="2"/>
  <c r="G49" i="2"/>
  <c r="K49" i="2"/>
  <c r="G655" i="2"/>
  <c r="G41" i="2"/>
  <c r="G6996" i="2"/>
  <c r="G33" i="2"/>
  <c r="K33" i="2"/>
  <c r="J29" i="2"/>
  <c r="G29" i="2"/>
  <c r="G25" i="2"/>
  <c r="K25" i="2"/>
  <c r="K21" i="2"/>
  <c r="G21" i="2"/>
  <c r="G17" i="2"/>
  <c r="K17" i="2"/>
  <c r="K13" i="2"/>
  <c r="G13" i="2"/>
  <c r="G9" i="2"/>
  <c r="K9" i="2"/>
  <c r="K5" i="2"/>
  <c r="G5" i="2"/>
  <c r="I9999" i="2"/>
  <c r="G9999" i="2"/>
  <c r="I9995" i="2"/>
  <c r="G9995" i="2"/>
  <c r="I9991" i="2"/>
  <c r="G9991" i="2"/>
  <c r="I9987" i="2"/>
  <c r="G9987" i="2"/>
  <c r="I9983" i="2"/>
  <c r="G9983" i="2"/>
  <c r="I9979" i="2"/>
  <c r="G9979" i="2"/>
  <c r="I9975" i="2"/>
  <c r="G9975" i="2"/>
  <c r="I9971" i="2"/>
  <c r="G9971" i="2"/>
  <c r="I9967" i="2"/>
  <c r="G9967" i="2"/>
  <c r="I9963" i="2"/>
  <c r="G9963" i="2"/>
  <c r="I9959" i="2"/>
  <c r="G9959" i="2"/>
  <c r="I9955" i="2"/>
  <c r="G9955" i="2"/>
  <c r="I9951" i="2"/>
  <c r="G9951" i="2"/>
  <c r="I9947" i="2"/>
  <c r="G9947" i="2"/>
  <c r="I9943" i="2"/>
  <c r="G9943" i="2"/>
  <c r="I9939" i="2"/>
  <c r="G9939" i="2"/>
  <c r="I9935" i="2"/>
  <c r="G9935" i="2"/>
  <c r="I9931" i="2"/>
  <c r="G9931" i="2"/>
  <c r="I9927" i="2"/>
  <c r="G9927" i="2"/>
  <c r="I9923" i="2"/>
  <c r="G9923" i="2"/>
  <c r="I9919" i="2"/>
  <c r="G9919" i="2"/>
  <c r="I9915" i="2"/>
  <c r="G9915" i="2"/>
  <c r="I9911" i="2"/>
  <c r="G9911" i="2"/>
  <c r="I9907" i="2"/>
  <c r="G9907" i="2"/>
  <c r="I9903" i="2"/>
  <c r="G9903" i="2"/>
  <c r="I9899" i="2"/>
  <c r="G9899" i="2"/>
  <c r="I9895" i="2"/>
  <c r="G9895" i="2"/>
  <c r="I9891" i="2"/>
  <c r="G9891" i="2"/>
  <c r="I9887" i="2"/>
  <c r="G9887" i="2"/>
  <c r="I9883" i="2"/>
  <c r="G9883" i="2"/>
  <c r="I9879" i="2"/>
  <c r="G9879" i="2"/>
  <c r="I9875" i="2"/>
  <c r="G9875" i="2"/>
  <c r="I9871" i="2"/>
  <c r="G9871" i="2"/>
  <c r="I9867" i="2"/>
  <c r="G9867" i="2"/>
  <c r="I9863" i="2"/>
  <c r="G9863" i="2"/>
  <c r="I9859" i="2"/>
  <c r="G9859" i="2"/>
  <c r="I9855" i="2"/>
  <c r="G9855" i="2"/>
  <c r="I9851" i="2"/>
  <c r="G9851" i="2"/>
  <c r="I9847" i="2"/>
  <c r="G9847" i="2"/>
  <c r="I9843" i="2"/>
  <c r="G9843" i="2"/>
  <c r="I9839" i="2"/>
  <c r="G9839" i="2"/>
  <c r="I9835" i="2"/>
  <c r="G9835" i="2"/>
  <c r="I9831" i="2"/>
  <c r="G9831" i="2"/>
  <c r="I9827" i="2"/>
  <c r="G9827" i="2"/>
  <c r="I9823" i="2"/>
  <c r="G9823" i="2"/>
  <c r="I9819" i="2"/>
  <c r="G9819" i="2"/>
  <c r="I9815" i="2"/>
  <c r="G9815" i="2"/>
  <c r="I9811" i="2"/>
  <c r="G9811" i="2"/>
  <c r="I9807" i="2"/>
  <c r="G9807" i="2"/>
  <c r="I9803" i="2"/>
  <c r="G9803" i="2"/>
  <c r="I9799" i="2"/>
  <c r="G9799" i="2"/>
  <c r="I9795" i="2"/>
  <c r="G9795" i="2"/>
  <c r="I9791" i="2"/>
  <c r="G9791" i="2"/>
  <c r="I9787" i="2"/>
  <c r="G9787" i="2"/>
  <c r="I9783" i="2"/>
  <c r="G9783" i="2"/>
  <c r="I9779" i="2"/>
  <c r="G9779" i="2"/>
  <c r="I9775" i="2"/>
  <c r="G9775" i="2"/>
  <c r="I9771" i="2"/>
  <c r="G9771" i="2"/>
  <c r="I9767" i="2"/>
  <c r="G9767" i="2"/>
  <c r="I9763" i="2"/>
  <c r="G9763" i="2"/>
  <c r="I9759" i="2"/>
  <c r="G9759" i="2"/>
  <c r="I9755" i="2"/>
  <c r="G9755" i="2"/>
  <c r="I9751" i="2"/>
  <c r="G9751" i="2"/>
  <c r="I9747" i="2"/>
  <c r="G9747" i="2"/>
  <c r="I9743" i="2"/>
  <c r="G9743" i="2"/>
  <c r="I9739" i="2"/>
  <c r="G9739" i="2"/>
  <c r="I9735" i="2"/>
  <c r="G9735" i="2"/>
  <c r="I9731" i="2"/>
  <c r="G9731" i="2"/>
  <c r="I9727" i="2"/>
  <c r="G9727" i="2"/>
  <c r="I9723" i="2"/>
  <c r="G9723" i="2"/>
  <c r="I9719" i="2"/>
  <c r="G9719" i="2"/>
  <c r="I9715" i="2"/>
  <c r="G9715" i="2"/>
  <c r="I9711" i="2"/>
  <c r="G9711" i="2"/>
  <c r="I9707" i="2"/>
  <c r="G9707" i="2"/>
  <c r="I9703" i="2"/>
  <c r="G9703" i="2"/>
  <c r="I9699" i="2"/>
  <c r="G9699" i="2"/>
  <c r="I9695" i="2"/>
  <c r="G9695" i="2"/>
  <c r="I9691" i="2"/>
  <c r="G9691" i="2"/>
  <c r="I9687" i="2"/>
  <c r="G9687" i="2"/>
  <c r="I9683" i="2"/>
  <c r="G9683" i="2"/>
  <c r="I9679" i="2"/>
  <c r="G9679" i="2"/>
  <c r="I9675" i="2"/>
  <c r="G9675" i="2"/>
  <c r="I9671" i="2"/>
  <c r="G9671" i="2"/>
  <c r="I9667" i="2"/>
  <c r="G9667" i="2"/>
  <c r="I9663" i="2"/>
  <c r="G9663" i="2"/>
  <c r="I9659" i="2"/>
  <c r="G9659" i="2"/>
  <c r="I9655" i="2"/>
  <c r="G9655" i="2"/>
  <c r="I9651" i="2"/>
  <c r="G9651" i="2"/>
  <c r="I9647" i="2"/>
  <c r="G9647" i="2"/>
  <c r="I9643" i="2"/>
  <c r="G9643" i="2"/>
  <c r="I9639" i="2"/>
  <c r="G9639" i="2"/>
  <c r="I9635" i="2"/>
  <c r="G9635" i="2"/>
  <c r="I9631" i="2"/>
  <c r="G9631" i="2"/>
  <c r="I9627" i="2"/>
  <c r="G9627" i="2"/>
  <c r="I9623" i="2"/>
  <c r="G9623" i="2"/>
  <c r="I9619" i="2"/>
  <c r="G9619" i="2"/>
  <c r="I9615" i="2"/>
  <c r="G9615" i="2"/>
  <c r="I9611" i="2"/>
  <c r="G9611" i="2"/>
  <c r="I9607" i="2"/>
  <c r="G9607" i="2"/>
  <c r="I9603" i="2"/>
  <c r="G9603" i="2"/>
  <c r="I9599" i="2"/>
  <c r="G9599" i="2"/>
  <c r="I9595" i="2"/>
  <c r="G9595" i="2"/>
  <c r="I9591" i="2"/>
  <c r="G9591" i="2"/>
  <c r="I9587" i="2"/>
  <c r="G9587" i="2"/>
  <c r="I9583" i="2"/>
  <c r="G9583" i="2"/>
  <c r="I9579" i="2"/>
  <c r="G9579" i="2"/>
  <c r="I9575" i="2"/>
  <c r="G9575" i="2"/>
  <c r="I9571" i="2"/>
  <c r="G9571" i="2"/>
  <c r="I9567" i="2"/>
  <c r="G9567" i="2"/>
  <c r="I9563" i="2"/>
  <c r="G9563" i="2"/>
  <c r="I9559" i="2"/>
  <c r="G9559" i="2"/>
  <c r="I9555" i="2"/>
  <c r="G9555" i="2"/>
  <c r="I9551" i="2"/>
  <c r="G9551" i="2"/>
  <c r="I9547" i="2"/>
  <c r="G9547" i="2"/>
  <c r="I9543" i="2"/>
  <c r="G9543" i="2"/>
  <c r="I9539" i="2"/>
  <c r="G9539" i="2"/>
  <c r="I9535" i="2"/>
  <c r="G9535" i="2"/>
  <c r="I9531" i="2"/>
  <c r="G9531" i="2"/>
  <c r="I9527" i="2"/>
  <c r="G9527" i="2"/>
  <c r="I9523" i="2"/>
  <c r="G9523" i="2"/>
  <c r="I9519" i="2"/>
  <c r="G9519" i="2"/>
  <c r="I9515" i="2"/>
  <c r="G9515" i="2"/>
  <c r="I9511" i="2"/>
  <c r="G9511" i="2"/>
  <c r="I9507" i="2"/>
  <c r="G9507" i="2"/>
  <c r="I9503" i="2"/>
  <c r="G9503" i="2"/>
  <c r="I9499" i="2"/>
  <c r="G9499" i="2"/>
  <c r="I9495" i="2"/>
  <c r="G9495" i="2"/>
  <c r="I9491" i="2"/>
  <c r="G9491" i="2"/>
  <c r="I9487" i="2"/>
  <c r="G9487" i="2"/>
  <c r="I9483" i="2"/>
  <c r="G9483" i="2"/>
  <c r="I9479" i="2"/>
  <c r="G9479" i="2"/>
  <c r="I9475" i="2"/>
  <c r="G9475" i="2"/>
  <c r="I9471" i="2"/>
  <c r="G9471" i="2"/>
  <c r="I9467" i="2"/>
  <c r="G9467" i="2"/>
  <c r="I9463" i="2"/>
  <c r="G9463" i="2"/>
  <c r="I9459" i="2"/>
  <c r="G9459" i="2"/>
  <c r="I9455" i="2"/>
  <c r="G9455" i="2"/>
  <c r="I9451" i="2"/>
  <c r="G9451" i="2"/>
  <c r="I9447" i="2"/>
  <c r="G9447" i="2"/>
  <c r="I9443" i="2"/>
  <c r="G9443" i="2"/>
  <c r="I9439" i="2"/>
  <c r="G9439" i="2"/>
  <c r="I9435" i="2"/>
  <c r="G9435" i="2"/>
  <c r="I9431" i="2"/>
  <c r="G9431" i="2"/>
  <c r="I9427" i="2"/>
  <c r="G9427" i="2"/>
  <c r="I9423" i="2"/>
  <c r="G9423" i="2"/>
  <c r="I9419" i="2"/>
  <c r="G9419" i="2"/>
  <c r="I9415" i="2"/>
  <c r="G9415" i="2"/>
  <c r="I9411" i="2"/>
  <c r="G9411" i="2"/>
  <c r="I9407" i="2"/>
  <c r="G9407" i="2"/>
  <c r="I9403" i="2"/>
  <c r="G9403" i="2"/>
  <c r="I9399" i="2"/>
  <c r="G9399" i="2"/>
  <c r="I9395" i="2"/>
  <c r="G9395" i="2"/>
  <c r="I9391" i="2"/>
  <c r="G9391" i="2"/>
  <c r="I9387" i="2"/>
  <c r="G9387" i="2"/>
  <c r="I9383" i="2"/>
  <c r="G9383" i="2"/>
  <c r="I9379" i="2"/>
  <c r="G9379" i="2"/>
  <c r="I9375" i="2"/>
  <c r="G9375" i="2"/>
  <c r="I9371" i="2"/>
  <c r="G9371" i="2"/>
  <c r="I9367" i="2"/>
  <c r="G9367" i="2"/>
  <c r="I9363" i="2"/>
  <c r="G9363" i="2"/>
  <c r="I9359" i="2"/>
  <c r="G9359" i="2"/>
  <c r="I9355" i="2"/>
  <c r="G9355" i="2"/>
  <c r="I9351" i="2"/>
  <c r="G9351" i="2"/>
  <c r="I9347" i="2"/>
  <c r="G9347" i="2"/>
  <c r="I9343" i="2"/>
  <c r="G9343" i="2"/>
  <c r="I9339" i="2"/>
  <c r="G9339" i="2"/>
  <c r="I9335" i="2"/>
  <c r="G9335" i="2"/>
  <c r="I9331" i="2"/>
  <c r="G9331" i="2"/>
  <c r="I9327" i="2"/>
  <c r="G9327" i="2"/>
  <c r="I9323" i="2"/>
  <c r="G9323" i="2"/>
  <c r="I9319" i="2"/>
  <c r="G9319" i="2"/>
  <c r="I9315" i="2"/>
  <c r="G9315" i="2"/>
  <c r="I9311" i="2"/>
  <c r="G9311" i="2"/>
  <c r="I9307" i="2"/>
  <c r="G9307" i="2"/>
  <c r="I9303" i="2"/>
  <c r="G9303" i="2"/>
  <c r="I9299" i="2"/>
  <c r="G9299" i="2"/>
  <c r="I9295" i="2"/>
  <c r="G9295" i="2"/>
  <c r="I9291" i="2"/>
  <c r="G9291" i="2"/>
  <c r="I9287" i="2"/>
  <c r="G9287" i="2"/>
  <c r="I9283" i="2"/>
  <c r="G9283" i="2"/>
  <c r="I9279" i="2"/>
  <c r="G9279" i="2"/>
  <c r="I9275" i="2"/>
  <c r="G9275" i="2"/>
  <c r="I9271" i="2"/>
  <c r="G9271" i="2"/>
  <c r="I9267" i="2"/>
  <c r="G9267" i="2"/>
  <c r="I9263" i="2"/>
  <c r="G9263" i="2"/>
  <c r="I9259" i="2"/>
  <c r="G9259" i="2"/>
  <c r="I9255" i="2"/>
  <c r="G9255" i="2"/>
  <c r="I9251" i="2"/>
  <c r="G9251" i="2"/>
  <c r="I9247" i="2"/>
  <c r="G9247" i="2"/>
  <c r="I9243" i="2"/>
  <c r="G9243" i="2"/>
  <c r="I9239" i="2"/>
  <c r="G9239" i="2"/>
  <c r="I9235" i="2"/>
  <c r="G9235" i="2"/>
  <c r="I9231" i="2"/>
  <c r="G9231" i="2"/>
  <c r="I9227" i="2"/>
  <c r="G9227" i="2"/>
  <c r="I9223" i="2"/>
  <c r="G9223" i="2"/>
  <c r="I9219" i="2"/>
  <c r="G9219" i="2"/>
  <c r="I9215" i="2"/>
  <c r="G9215" i="2"/>
  <c r="I9211" i="2"/>
  <c r="G9211" i="2"/>
  <c r="I9207" i="2"/>
  <c r="G9207" i="2"/>
  <c r="I9203" i="2"/>
  <c r="G9203" i="2"/>
  <c r="I9199" i="2"/>
  <c r="G9199" i="2"/>
  <c r="I9195" i="2"/>
  <c r="G9195" i="2"/>
  <c r="I9191" i="2"/>
  <c r="G9191" i="2"/>
  <c r="I9187" i="2"/>
  <c r="G9187" i="2"/>
  <c r="I9183" i="2"/>
  <c r="G9183" i="2"/>
  <c r="I9179" i="2"/>
  <c r="G9179" i="2"/>
  <c r="I9175" i="2"/>
  <c r="G9175" i="2"/>
  <c r="I9171" i="2"/>
  <c r="G9171" i="2"/>
  <c r="I9167" i="2"/>
  <c r="G9167" i="2"/>
  <c r="I9163" i="2"/>
  <c r="G9163" i="2"/>
  <c r="I9159" i="2"/>
  <c r="G9159" i="2"/>
  <c r="I9155" i="2"/>
  <c r="G9155" i="2"/>
  <c r="I9151" i="2"/>
  <c r="G9151" i="2"/>
  <c r="I9147" i="2"/>
  <c r="G9147" i="2"/>
  <c r="I9143" i="2"/>
  <c r="G9143" i="2"/>
  <c r="I9139" i="2"/>
  <c r="G9139" i="2"/>
  <c r="I9135" i="2"/>
  <c r="G9135" i="2"/>
  <c r="I9131" i="2"/>
  <c r="G9131" i="2"/>
  <c r="I9127" i="2"/>
  <c r="G9127" i="2"/>
  <c r="I9123" i="2"/>
  <c r="G9123" i="2"/>
  <c r="I9119" i="2"/>
  <c r="G9119" i="2"/>
  <c r="I9115" i="2"/>
  <c r="G9115" i="2"/>
  <c r="I9111" i="2"/>
  <c r="G9111" i="2"/>
  <c r="I9107" i="2"/>
  <c r="G9107" i="2"/>
  <c r="I9103" i="2"/>
  <c r="G9103" i="2"/>
  <c r="I9099" i="2"/>
  <c r="G9099" i="2"/>
  <c r="I9095" i="2"/>
  <c r="G9095" i="2"/>
  <c r="I9091" i="2"/>
  <c r="G9091" i="2"/>
  <c r="I9087" i="2"/>
  <c r="G9087" i="2"/>
  <c r="I9083" i="2"/>
  <c r="G9083" i="2"/>
  <c r="I9079" i="2"/>
  <c r="G9079" i="2"/>
  <c r="I9075" i="2"/>
  <c r="G9075" i="2"/>
  <c r="I9071" i="2"/>
  <c r="G9071" i="2"/>
  <c r="I9067" i="2"/>
  <c r="G9067" i="2"/>
  <c r="I9063" i="2"/>
  <c r="G9063" i="2"/>
  <c r="I9059" i="2"/>
  <c r="G9059" i="2"/>
  <c r="I9055" i="2"/>
  <c r="G9055" i="2"/>
  <c r="I9051" i="2"/>
  <c r="G9051" i="2"/>
  <c r="I9047" i="2"/>
  <c r="G9047" i="2"/>
  <c r="I9043" i="2"/>
  <c r="G9043" i="2"/>
  <c r="I9039" i="2"/>
  <c r="G9039" i="2"/>
  <c r="I9035" i="2"/>
  <c r="G9035" i="2"/>
  <c r="I9031" i="2"/>
  <c r="G9031" i="2"/>
  <c r="I9027" i="2"/>
  <c r="G9027" i="2"/>
  <c r="I9023" i="2"/>
  <c r="G9023" i="2"/>
  <c r="I9019" i="2"/>
  <c r="G9019" i="2"/>
  <c r="I9015" i="2"/>
  <c r="G9015" i="2"/>
  <c r="I9011" i="2"/>
  <c r="G9011" i="2"/>
  <c r="I9007" i="2"/>
  <c r="G9007" i="2"/>
  <c r="I9003" i="2"/>
  <c r="G9003" i="2"/>
  <c r="I8999" i="2"/>
  <c r="G8999" i="2"/>
  <c r="I8995" i="2"/>
  <c r="G8995" i="2"/>
  <c r="I8991" i="2"/>
  <c r="G8991" i="2"/>
  <c r="I8987" i="2"/>
  <c r="G8987" i="2"/>
  <c r="I8983" i="2"/>
  <c r="G8983" i="2"/>
  <c r="I8979" i="2"/>
  <c r="G8979" i="2"/>
  <c r="I8975" i="2"/>
  <c r="G8975" i="2"/>
  <c r="I8971" i="2"/>
  <c r="G8971" i="2"/>
  <c r="I8967" i="2"/>
  <c r="G8967" i="2"/>
  <c r="I8963" i="2"/>
  <c r="G8963" i="2"/>
  <c r="I8959" i="2"/>
  <c r="G8959" i="2"/>
  <c r="I8955" i="2"/>
  <c r="G8955" i="2"/>
  <c r="I8951" i="2"/>
  <c r="G8951" i="2"/>
  <c r="I8947" i="2"/>
  <c r="G8947" i="2"/>
  <c r="I8943" i="2"/>
  <c r="G8943" i="2"/>
  <c r="I8939" i="2"/>
  <c r="G8939" i="2"/>
  <c r="I8935" i="2"/>
  <c r="G8935" i="2"/>
  <c r="I8931" i="2"/>
  <c r="G8931" i="2"/>
  <c r="I8927" i="2"/>
  <c r="G8927" i="2"/>
  <c r="I8923" i="2"/>
  <c r="G8923" i="2"/>
  <c r="I8919" i="2"/>
  <c r="G8919" i="2"/>
  <c r="I8915" i="2"/>
  <c r="G8915" i="2"/>
  <c r="I8911" i="2"/>
  <c r="G8911" i="2"/>
  <c r="I8907" i="2"/>
  <c r="G8907" i="2"/>
  <c r="I8903" i="2"/>
  <c r="G8903" i="2"/>
  <c r="I8899" i="2"/>
  <c r="G8899" i="2"/>
  <c r="I8895" i="2"/>
  <c r="G8895" i="2"/>
  <c r="I8891" i="2"/>
  <c r="G8891" i="2"/>
  <c r="I8887" i="2"/>
  <c r="G8887" i="2"/>
  <c r="I8883" i="2"/>
  <c r="G8883" i="2"/>
  <c r="I8879" i="2"/>
  <c r="G8879" i="2"/>
  <c r="I8875" i="2"/>
  <c r="G8875" i="2"/>
  <c r="I8871" i="2"/>
  <c r="G8871" i="2"/>
  <c r="I8867" i="2"/>
  <c r="G8867" i="2"/>
  <c r="I8863" i="2"/>
  <c r="G8863" i="2"/>
  <c r="I8859" i="2"/>
  <c r="G8859" i="2"/>
  <c r="I8855" i="2"/>
  <c r="G8855" i="2"/>
  <c r="I8851" i="2"/>
  <c r="G8851" i="2"/>
  <c r="I8847" i="2"/>
  <c r="G8847" i="2"/>
  <c r="I8843" i="2"/>
  <c r="G8843" i="2"/>
  <c r="I8839" i="2"/>
  <c r="G8839" i="2"/>
  <c r="I8835" i="2"/>
  <c r="G8835" i="2"/>
  <c r="I8831" i="2"/>
  <c r="G8831" i="2"/>
  <c r="I8827" i="2"/>
  <c r="G8827" i="2"/>
  <c r="I8823" i="2"/>
  <c r="G8823" i="2"/>
  <c r="I8819" i="2"/>
  <c r="G8819" i="2"/>
  <c r="I8815" i="2"/>
  <c r="G8815" i="2"/>
  <c r="I8811" i="2"/>
  <c r="G8811" i="2"/>
  <c r="I8807" i="2"/>
  <c r="G8807" i="2"/>
  <c r="I8803" i="2"/>
  <c r="G8803" i="2"/>
  <c r="I8799" i="2"/>
  <c r="G8799" i="2"/>
  <c r="I8795" i="2"/>
  <c r="G8795" i="2"/>
  <c r="I8791" i="2"/>
  <c r="G8791" i="2"/>
  <c r="I8787" i="2"/>
  <c r="G8787" i="2"/>
  <c r="I8783" i="2"/>
  <c r="G8783" i="2"/>
  <c r="I8779" i="2"/>
  <c r="G8779" i="2"/>
  <c r="I8775" i="2"/>
  <c r="G8775" i="2"/>
  <c r="I8771" i="2"/>
  <c r="G8771" i="2"/>
  <c r="I8767" i="2"/>
  <c r="G8767" i="2"/>
  <c r="I8763" i="2"/>
  <c r="G8763" i="2"/>
  <c r="I8759" i="2"/>
  <c r="G8759" i="2"/>
  <c r="I8755" i="2"/>
  <c r="G8755" i="2"/>
  <c r="I8751" i="2"/>
  <c r="G8751" i="2"/>
  <c r="I8747" i="2"/>
  <c r="G8747" i="2"/>
  <c r="I8743" i="2"/>
  <c r="G8743" i="2"/>
  <c r="I8739" i="2"/>
  <c r="G8739" i="2"/>
  <c r="I8735" i="2"/>
  <c r="G8735" i="2"/>
  <c r="I8731" i="2"/>
  <c r="G8731" i="2"/>
  <c r="I8727" i="2"/>
  <c r="G8727" i="2"/>
  <c r="I8723" i="2"/>
  <c r="G8723" i="2"/>
  <c r="I8719" i="2"/>
  <c r="G8719" i="2"/>
  <c r="I8715" i="2"/>
  <c r="G8715" i="2"/>
  <c r="I8711" i="2"/>
  <c r="G8711" i="2"/>
  <c r="I8707" i="2"/>
  <c r="G8707" i="2"/>
  <c r="I8703" i="2"/>
  <c r="G8703" i="2"/>
  <c r="I8699" i="2"/>
  <c r="G8699" i="2"/>
  <c r="I8695" i="2"/>
  <c r="G8695" i="2"/>
  <c r="I8691" i="2"/>
  <c r="G8691" i="2"/>
  <c r="I8687" i="2"/>
  <c r="G8687" i="2"/>
  <c r="I8683" i="2"/>
  <c r="G8683" i="2"/>
  <c r="I8679" i="2"/>
  <c r="G8679" i="2"/>
  <c r="I8675" i="2"/>
  <c r="G8675" i="2"/>
  <c r="I8671" i="2"/>
  <c r="G8671" i="2"/>
  <c r="I8667" i="2"/>
  <c r="G8667" i="2"/>
  <c r="I8663" i="2"/>
  <c r="G8663" i="2"/>
  <c r="I8659" i="2"/>
  <c r="G8659" i="2"/>
  <c r="I8655" i="2"/>
  <c r="G8655" i="2"/>
  <c r="I8651" i="2"/>
  <c r="G8651" i="2"/>
  <c r="I8647" i="2"/>
  <c r="G8647" i="2"/>
  <c r="I8643" i="2"/>
  <c r="G8643" i="2"/>
  <c r="I8639" i="2"/>
  <c r="G8639" i="2"/>
  <c r="I8635" i="2"/>
  <c r="G8635" i="2"/>
  <c r="I8631" i="2"/>
  <c r="G8631" i="2"/>
  <c r="I8627" i="2"/>
  <c r="G8627" i="2"/>
  <c r="I8623" i="2"/>
  <c r="G8623" i="2"/>
  <c r="I8619" i="2"/>
  <c r="G8619" i="2"/>
  <c r="I8615" i="2"/>
  <c r="G8615" i="2"/>
  <c r="I8611" i="2"/>
  <c r="G8611" i="2"/>
  <c r="G8607" i="2"/>
  <c r="I8603" i="2"/>
  <c r="G8603" i="2"/>
  <c r="I8599" i="2"/>
  <c r="G8599" i="2"/>
  <c r="I8595" i="2"/>
  <c r="G8595" i="2"/>
  <c r="G8591" i="2"/>
  <c r="I8587" i="2"/>
  <c r="G8587" i="2"/>
  <c r="I8583" i="2"/>
  <c r="G8583" i="2"/>
  <c r="I8579" i="2"/>
  <c r="G8579" i="2"/>
  <c r="G8575" i="2"/>
  <c r="I8571" i="2"/>
  <c r="G8571" i="2"/>
  <c r="I8567" i="2"/>
  <c r="G8567" i="2"/>
  <c r="I8563" i="2"/>
  <c r="G8563" i="2"/>
  <c r="G8559" i="2"/>
  <c r="I8555" i="2"/>
  <c r="G8555" i="2"/>
  <c r="I8551" i="2"/>
  <c r="G8551" i="2"/>
  <c r="I8547" i="2"/>
  <c r="G8547" i="2"/>
  <c r="G8543" i="2"/>
  <c r="I8539" i="2"/>
  <c r="G8539" i="2"/>
  <c r="I8535" i="2"/>
  <c r="G8535" i="2"/>
  <c r="I8531" i="2"/>
  <c r="G8531" i="2"/>
  <c r="G8527" i="2"/>
  <c r="I8523" i="2"/>
  <c r="G8523" i="2"/>
  <c r="I8519" i="2"/>
  <c r="G8519" i="2"/>
  <c r="I8515" i="2"/>
  <c r="G8515" i="2"/>
  <c r="G8511" i="2"/>
  <c r="I8507" i="2"/>
  <c r="G8507" i="2"/>
  <c r="I8503" i="2"/>
  <c r="G8503" i="2"/>
  <c r="I8499" i="2"/>
  <c r="G8499" i="2"/>
  <c r="G8495" i="2"/>
  <c r="I8491" i="2"/>
  <c r="G8491" i="2"/>
  <c r="I8487" i="2"/>
  <c r="G8487" i="2"/>
  <c r="I8483" i="2"/>
  <c r="G8483" i="2"/>
  <c r="G8479" i="2"/>
  <c r="I8475" i="2"/>
  <c r="G8475" i="2"/>
  <c r="I8471" i="2"/>
  <c r="G8471" i="2"/>
  <c r="I8467" i="2"/>
  <c r="G8467" i="2"/>
  <c r="G8463" i="2"/>
  <c r="I8459" i="2"/>
  <c r="G8459" i="2"/>
  <c r="I8455" i="2"/>
  <c r="G8455" i="2"/>
  <c r="I8451" i="2"/>
  <c r="G8451" i="2"/>
  <c r="G8447" i="2"/>
  <c r="I8443" i="2"/>
  <c r="G8443" i="2"/>
  <c r="I8439" i="2"/>
  <c r="G8439" i="2"/>
  <c r="I8435" i="2"/>
  <c r="G8435" i="2"/>
  <c r="G8431" i="2"/>
  <c r="I8427" i="2"/>
  <c r="G8427" i="2"/>
  <c r="I8423" i="2"/>
  <c r="G8423" i="2"/>
  <c r="I8419" i="2"/>
  <c r="G8419" i="2"/>
  <c r="G8415" i="2"/>
  <c r="I8411" i="2"/>
  <c r="G8411" i="2"/>
  <c r="I8407" i="2"/>
  <c r="G8407" i="2"/>
  <c r="I8403" i="2"/>
  <c r="G8403" i="2"/>
  <c r="G8399" i="2"/>
  <c r="I8395" i="2"/>
  <c r="G8395" i="2"/>
  <c r="I8391" i="2"/>
  <c r="G8391" i="2"/>
  <c r="I8387" i="2"/>
  <c r="G8387" i="2"/>
  <c r="G8383" i="2"/>
  <c r="I8379" i="2"/>
  <c r="G8379" i="2"/>
  <c r="I8375" i="2"/>
  <c r="G8375" i="2"/>
  <c r="I8371" i="2"/>
  <c r="G8371" i="2"/>
  <c r="G8367" i="2"/>
  <c r="I8363" i="2"/>
  <c r="G8363" i="2"/>
  <c r="I8359" i="2"/>
  <c r="G8359" i="2"/>
  <c r="I8355" i="2"/>
  <c r="G8355" i="2"/>
  <c r="G8351" i="2"/>
  <c r="I8347" i="2"/>
  <c r="G8347" i="2"/>
  <c r="I8343" i="2"/>
  <c r="G8343" i="2"/>
  <c r="I8339" i="2"/>
  <c r="G8339" i="2"/>
  <c r="G8335" i="2"/>
  <c r="I8331" i="2"/>
  <c r="G8331" i="2"/>
  <c r="I8327" i="2"/>
  <c r="G8327" i="2"/>
  <c r="I8323" i="2"/>
  <c r="G8323" i="2"/>
  <c r="G8319" i="2"/>
  <c r="I8315" i="2"/>
  <c r="G8315" i="2"/>
  <c r="I8311" i="2"/>
  <c r="G8311" i="2"/>
  <c r="I8307" i="2"/>
  <c r="G8307" i="2"/>
  <c r="G8303" i="2"/>
  <c r="I8299" i="2"/>
  <c r="G8299" i="2"/>
  <c r="I8295" i="2"/>
  <c r="G8295" i="2"/>
  <c r="I8291" i="2"/>
  <c r="G8291" i="2"/>
  <c r="G8287" i="2"/>
  <c r="I8283" i="2"/>
  <c r="G8283" i="2"/>
  <c r="I8279" i="2"/>
  <c r="G8279" i="2"/>
  <c r="I8275" i="2"/>
  <c r="G8275" i="2"/>
  <c r="G8271" i="2"/>
  <c r="I8267" i="2"/>
  <c r="G8267" i="2"/>
  <c r="I8263" i="2"/>
  <c r="G8263" i="2"/>
  <c r="I8259" i="2"/>
  <c r="G8259" i="2"/>
  <c r="G8255" i="2"/>
  <c r="I8251" i="2"/>
  <c r="G8251" i="2"/>
  <c r="I8247" i="2"/>
  <c r="G8247" i="2"/>
  <c r="I8243" i="2"/>
  <c r="G8243" i="2"/>
  <c r="G8239" i="2"/>
  <c r="I8235" i="2"/>
  <c r="G8235" i="2"/>
  <c r="I8231" i="2"/>
  <c r="G8231" i="2"/>
  <c r="I8227" i="2"/>
  <c r="G8227" i="2"/>
  <c r="G8223" i="2"/>
  <c r="I8219" i="2"/>
  <c r="G8219" i="2"/>
  <c r="I8215" i="2"/>
  <c r="G8215" i="2"/>
  <c r="I8211" i="2"/>
  <c r="G8211" i="2"/>
  <c r="G8207" i="2"/>
  <c r="I8203" i="2"/>
  <c r="G8203" i="2"/>
  <c r="I8199" i="2"/>
  <c r="G8199" i="2"/>
  <c r="I8195" i="2"/>
  <c r="G8195" i="2"/>
  <c r="G8191" i="2"/>
  <c r="I8187" i="2"/>
  <c r="G8187" i="2"/>
  <c r="I8183" i="2"/>
  <c r="G8183" i="2"/>
  <c r="I8179" i="2"/>
  <c r="G8179" i="2"/>
  <c r="G8175" i="2"/>
  <c r="I8171" i="2"/>
  <c r="G8171" i="2"/>
  <c r="I8167" i="2"/>
  <c r="G8167" i="2"/>
  <c r="I8163" i="2"/>
  <c r="G8163" i="2"/>
  <c r="G8159" i="2"/>
  <c r="I8155" i="2"/>
  <c r="G8155" i="2"/>
  <c r="I8151" i="2"/>
  <c r="G8151" i="2"/>
  <c r="J8147" i="2"/>
  <c r="G8147" i="2"/>
  <c r="G8143" i="2"/>
  <c r="J8139" i="2"/>
  <c r="G8139" i="2"/>
  <c r="J8135" i="2"/>
  <c r="G8135" i="2"/>
  <c r="J8131" i="2"/>
  <c r="G8131" i="2"/>
  <c r="G8127" i="2"/>
  <c r="J8123" i="2"/>
  <c r="G8123" i="2"/>
  <c r="J8119" i="2"/>
  <c r="G8119" i="2"/>
  <c r="J8115" i="2"/>
  <c r="G8115" i="2"/>
  <c r="G8111" i="2"/>
  <c r="J8107" i="2"/>
  <c r="G8107" i="2"/>
  <c r="J8103" i="2"/>
  <c r="G8103" i="2"/>
  <c r="J8099" i="2"/>
  <c r="G8099" i="2"/>
  <c r="G8095" i="2"/>
  <c r="J8091" i="2"/>
  <c r="G8091" i="2"/>
  <c r="J8087" i="2"/>
  <c r="G8087" i="2"/>
  <c r="J8083" i="2"/>
  <c r="G8083" i="2"/>
  <c r="G8079" i="2"/>
  <c r="J8075" i="2"/>
  <c r="G8075" i="2"/>
  <c r="J8071" i="2"/>
  <c r="G8071" i="2"/>
  <c r="J8067" i="2"/>
  <c r="G8067" i="2"/>
  <c r="J8063" i="2"/>
  <c r="G8063" i="2"/>
  <c r="J8059" i="2"/>
  <c r="G8059" i="2"/>
  <c r="J8055" i="2"/>
  <c r="G8055" i="2"/>
  <c r="J8051" i="2"/>
  <c r="G8051" i="2"/>
  <c r="J8047" i="2"/>
  <c r="G8047" i="2"/>
  <c r="J8043" i="2"/>
  <c r="G8043" i="2"/>
  <c r="J8039" i="2"/>
  <c r="G8039" i="2"/>
  <c r="J8035" i="2"/>
  <c r="G8035" i="2"/>
  <c r="J8031" i="2"/>
  <c r="G8031" i="2"/>
  <c r="J8027" i="2"/>
  <c r="G8027" i="2"/>
  <c r="J8023" i="2"/>
  <c r="G8023" i="2"/>
  <c r="J8019" i="2"/>
  <c r="G8019" i="2"/>
  <c r="J8015" i="2"/>
  <c r="G8015" i="2"/>
  <c r="J8011" i="2"/>
  <c r="G8011" i="2"/>
  <c r="J8007" i="2"/>
  <c r="G8007" i="2"/>
  <c r="J8003" i="2"/>
  <c r="G8003" i="2"/>
  <c r="J7999" i="2"/>
  <c r="G7999" i="2"/>
  <c r="J7995" i="2"/>
  <c r="G7995" i="2"/>
  <c r="J7991" i="2"/>
  <c r="G7991" i="2"/>
  <c r="J7987" i="2"/>
  <c r="G7987" i="2"/>
  <c r="J7983" i="2"/>
  <c r="G7983" i="2"/>
  <c r="J7979" i="2"/>
  <c r="G7979" i="2"/>
  <c r="J7975" i="2"/>
  <c r="G7975" i="2"/>
  <c r="J7971" i="2"/>
  <c r="G7971" i="2"/>
  <c r="J7967" i="2"/>
  <c r="G7967" i="2"/>
  <c r="J7963" i="2"/>
  <c r="G7963" i="2"/>
  <c r="G7959" i="2"/>
  <c r="J7959" i="2"/>
  <c r="G7955" i="2"/>
  <c r="J7955" i="2"/>
  <c r="G7951" i="2"/>
  <c r="G7947" i="2"/>
  <c r="J7947" i="2"/>
  <c r="J7943" i="2"/>
  <c r="G7943" i="2"/>
  <c r="J7939" i="2"/>
  <c r="G7939" i="2"/>
  <c r="J7935" i="2"/>
  <c r="G7935" i="2"/>
  <c r="J7931" i="2"/>
  <c r="G7931" i="2"/>
  <c r="J7927" i="2"/>
  <c r="G7927" i="2"/>
  <c r="G7923" i="2"/>
  <c r="J7923" i="2"/>
  <c r="G7919" i="2"/>
  <c r="G7915" i="2"/>
  <c r="J7915" i="2"/>
  <c r="G7911" i="2"/>
  <c r="J7911" i="2"/>
  <c r="J7907" i="2"/>
  <c r="G7907" i="2"/>
  <c r="J7903" i="2"/>
  <c r="G7903" i="2"/>
  <c r="J7899" i="2"/>
  <c r="G7899" i="2"/>
  <c r="J7895" i="2"/>
  <c r="G7895" i="2"/>
  <c r="G7891" i="2"/>
  <c r="J7891" i="2"/>
  <c r="J7887" i="2"/>
  <c r="G7887" i="2"/>
  <c r="G7883" i="2"/>
  <c r="J7883" i="2"/>
  <c r="J7879" i="2"/>
  <c r="G7879" i="2"/>
  <c r="G7875" i="2"/>
  <c r="J7875" i="2"/>
  <c r="J7871" i="2"/>
  <c r="G7871" i="2"/>
  <c r="G7867" i="2"/>
  <c r="J7867" i="2"/>
  <c r="J7863" i="2"/>
  <c r="G7863" i="2"/>
  <c r="G7859" i="2"/>
  <c r="J7859" i="2"/>
  <c r="J7855" i="2"/>
  <c r="G7855" i="2"/>
  <c r="J7851" i="2"/>
  <c r="G7851" i="2"/>
  <c r="J7847" i="2"/>
  <c r="G7847" i="2"/>
  <c r="J7843" i="2"/>
  <c r="G7843" i="2"/>
  <c r="G7839" i="2"/>
  <c r="J7835" i="2"/>
  <c r="G7835" i="2"/>
  <c r="G7831" i="2"/>
  <c r="J7831" i="2"/>
  <c r="J7827" i="2"/>
  <c r="G7827" i="2"/>
  <c r="G7823" i="2"/>
  <c r="J7819" i="2"/>
  <c r="G7819" i="2"/>
  <c r="G7815" i="2"/>
  <c r="J7815" i="2"/>
  <c r="J7811" i="2"/>
  <c r="G7811" i="2"/>
  <c r="G7807" i="2"/>
  <c r="J7803" i="2"/>
  <c r="G7803" i="2"/>
  <c r="J7799" i="2"/>
  <c r="G7799" i="2"/>
  <c r="G7795" i="2"/>
  <c r="J7795" i="2"/>
  <c r="G7791" i="2"/>
  <c r="J7787" i="2"/>
  <c r="G7787" i="2"/>
  <c r="J7783" i="2"/>
  <c r="G7783" i="2"/>
  <c r="G7779" i="2"/>
  <c r="J7779" i="2"/>
  <c r="G7775" i="2"/>
  <c r="J7771" i="2"/>
  <c r="G7771" i="2"/>
  <c r="J7767" i="2"/>
  <c r="G7767" i="2"/>
  <c r="G7763" i="2"/>
  <c r="J7763" i="2"/>
  <c r="G7759" i="2"/>
  <c r="J7755" i="2"/>
  <c r="G7755" i="2"/>
  <c r="J7751" i="2"/>
  <c r="G7751" i="2"/>
  <c r="G7747" i="2"/>
  <c r="J7747" i="2"/>
  <c r="G7743" i="2"/>
  <c r="J7739" i="2"/>
  <c r="G7739" i="2"/>
  <c r="J7735" i="2"/>
  <c r="G7735" i="2"/>
  <c r="G7731" i="2"/>
  <c r="J7731" i="2"/>
  <c r="J7727" i="2"/>
  <c r="G7727" i="2"/>
  <c r="G7723" i="2"/>
  <c r="J7723" i="2"/>
  <c r="J7719" i="2"/>
  <c r="G7719" i="2"/>
  <c r="G7715" i="2"/>
  <c r="J7715" i="2"/>
  <c r="G7711" i="2"/>
  <c r="J7707" i="2"/>
  <c r="G7707" i="2"/>
  <c r="J7703" i="2"/>
  <c r="G7703" i="2"/>
  <c r="J7699" i="2"/>
  <c r="G7699" i="2"/>
  <c r="J7695" i="2"/>
  <c r="G7695" i="2"/>
  <c r="J7691" i="2"/>
  <c r="G7691" i="2"/>
  <c r="G7687" i="2"/>
  <c r="J7687" i="2"/>
  <c r="G7683" i="2"/>
  <c r="J7683" i="2"/>
  <c r="J7679" i="2"/>
  <c r="G7679" i="2"/>
  <c r="J7675" i="2"/>
  <c r="G7675" i="2"/>
  <c r="G7671" i="2"/>
  <c r="J7671" i="2"/>
  <c r="G7667" i="2"/>
  <c r="J7667" i="2"/>
  <c r="J7663" i="2"/>
  <c r="G7663" i="2"/>
  <c r="J7659" i="2"/>
  <c r="G7659" i="2"/>
  <c r="G7655" i="2"/>
  <c r="J7655" i="2"/>
  <c r="G7651" i="2"/>
  <c r="J7651" i="2"/>
  <c r="J7647" i="2"/>
  <c r="G7647" i="2"/>
  <c r="J7643" i="2"/>
  <c r="G7643" i="2"/>
  <c r="G7639" i="2"/>
  <c r="J7639" i="2"/>
  <c r="G7635" i="2"/>
  <c r="J7635" i="2"/>
  <c r="J7631" i="2"/>
  <c r="G7631" i="2"/>
  <c r="G7627" i="2"/>
  <c r="J7627" i="2"/>
  <c r="J7623" i="2"/>
  <c r="G7623" i="2"/>
  <c r="G7619" i="2"/>
  <c r="J7619" i="2"/>
  <c r="J7615" i="2"/>
  <c r="G7615" i="2"/>
  <c r="G7611" i="2"/>
  <c r="J7611" i="2"/>
  <c r="J7607" i="2"/>
  <c r="G7607" i="2"/>
  <c r="G7603" i="2"/>
  <c r="J7603" i="2"/>
  <c r="J7599" i="2"/>
  <c r="G7599" i="2"/>
  <c r="G7595" i="2"/>
  <c r="J7595" i="2"/>
  <c r="J7591" i="2"/>
  <c r="G7591" i="2"/>
  <c r="J7587" i="2"/>
  <c r="G7587" i="2"/>
  <c r="G7583" i="2"/>
  <c r="J7579" i="2"/>
  <c r="G7579" i="2"/>
  <c r="J7575" i="2"/>
  <c r="G7575" i="2"/>
  <c r="J7571" i="2"/>
  <c r="G7571" i="2"/>
  <c r="G7567" i="2"/>
  <c r="G7563" i="2"/>
  <c r="J7563" i="2"/>
  <c r="J7559" i="2"/>
  <c r="G7559" i="2"/>
  <c r="G7555" i="2"/>
  <c r="J7555" i="2"/>
  <c r="J7551" i="2"/>
  <c r="G7551" i="2"/>
  <c r="G7547" i="2"/>
  <c r="J7547" i="2"/>
  <c r="G7543" i="2"/>
  <c r="J7543" i="2"/>
  <c r="J7539" i="2"/>
  <c r="G7539" i="2"/>
  <c r="J7535" i="2"/>
  <c r="G7535" i="2"/>
  <c r="J7531" i="2"/>
  <c r="G7531" i="2"/>
  <c r="G7527" i="2"/>
  <c r="J7527" i="2"/>
  <c r="J7523" i="2"/>
  <c r="G7523" i="2"/>
  <c r="G7519" i="2"/>
  <c r="G7515" i="2"/>
  <c r="J7515" i="2"/>
  <c r="J7511" i="2"/>
  <c r="G7511" i="2"/>
  <c r="J7507" i="2"/>
  <c r="G7507" i="2"/>
  <c r="J7503" i="2"/>
  <c r="G7503" i="2"/>
  <c r="J7499" i="2"/>
  <c r="G7499" i="2"/>
  <c r="J7495" i="2"/>
  <c r="G7495" i="2"/>
  <c r="J7491" i="2"/>
  <c r="G7491" i="2"/>
  <c r="J7487" i="2"/>
  <c r="G7487" i="2"/>
  <c r="G7483" i="2"/>
  <c r="J7483" i="2"/>
  <c r="J7479" i="2"/>
  <c r="G7479" i="2"/>
  <c r="J7475" i="2"/>
  <c r="G7475" i="2"/>
  <c r="J7471" i="2"/>
  <c r="G7471" i="2"/>
  <c r="J7467" i="2"/>
  <c r="G7467" i="2"/>
  <c r="J7463" i="2"/>
  <c r="G7463" i="2"/>
  <c r="G7459" i="2"/>
  <c r="J7459" i="2"/>
  <c r="J7455" i="2"/>
  <c r="G7455" i="2"/>
  <c r="G7451" i="2"/>
  <c r="J7451" i="2"/>
  <c r="J7447" i="2"/>
  <c r="G7447" i="2"/>
  <c r="G7443" i="2"/>
  <c r="J7443" i="2"/>
  <c r="J7439" i="2"/>
  <c r="G7439" i="2"/>
  <c r="J7435" i="2"/>
  <c r="G7435" i="2"/>
  <c r="G7431" i="2"/>
  <c r="J7431" i="2"/>
  <c r="G7427" i="2"/>
  <c r="J7427" i="2"/>
  <c r="J7423" i="2"/>
  <c r="G7423" i="2"/>
  <c r="G7419" i="2"/>
  <c r="J7419" i="2"/>
  <c r="J7415" i="2"/>
  <c r="G7415" i="2"/>
  <c r="G7411" i="2"/>
  <c r="J7411" i="2"/>
  <c r="J7407" i="2"/>
  <c r="G7407" i="2"/>
  <c r="G7403" i="2"/>
  <c r="J7403" i="2"/>
  <c r="J7399" i="2"/>
  <c r="G7399" i="2"/>
  <c r="G7395" i="2"/>
  <c r="J7395" i="2"/>
  <c r="J7391" i="2"/>
  <c r="G7391" i="2"/>
  <c r="G7387" i="2"/>
  <c r="J7387" i="2"/>
  <c r="J7383" i="2"/>
  <c r="G7383" i="2"/>
  <c r="J7379" i="2"/>
  <c r="G7379" i="2"/>
  <c r="G7375" i="2"/>
  <c r="J7371" i="2"/>
  <c r="G7371" i="2"/>
  <c r="J7367" i="2"/>
  <c r="G7367" i="2"/>
  <c r="J7363" i="2"/>
  <c r="G7363" i="2"/>
  <c r="J7359" i="2"/>
  <c r="G7359" i="2"/>
  <c r="J7355" i="2"/>
  <c r="G7355" i="2"/>
  <c r="J7351" i="2"/>
  <c r="G7351" i="2"/>
  <c r="J7347" i="2"/>
  <c r="G7347" i="2"/>
  <c r="J7343" i="2"/>
  <c r="G7343" i="2"/>
  <c r="J7339" i="2"/>
  <c r="G7339" i="2"/>
  <c r="J7335" i="2"/>
  <c r="G7335" i="2"/>
  <c r="J7331" i="2"/>
  <c r="G7331" i="2"/>
  <c r="J7327" i="2"/>
  <c r="G7327" i="2"/>
  <c r="J7323" i="2"/>
  <c r="G7323" i="2"/>
  <c r="J7319" i="2"/>
  <c r="G7319" i="2"/>
  <c r="G7315" i="2"/>
  <c r="J7315" i="2"/>
  <c r="J7311" i="2"/>
  <c r="G7311" i="2"/>
  <c r="J7307" i="2"/>
  <c r="G7307" i="2"/>
  <c r="J7303" i="2"/>
  <c r="G7303" i="2"/>
  <c r="J7299" i="2"/>
  <c r="G7299" i="2"/>
  <c r="G7295" i="2"/>
  <c r="G7275" i="2"/>
  <c r="K7259" i="2"/>
  <c r="G7259" i="2"/>
  <c r="J7239" i="2"/>
  <c r="G7239" i="2"/>
  <c r="G7223" i="2"/>
  <c r="G7207" i="2"/>
  <c r="K7207" i="2"/>
  <c r="K7187" i="2"/>
  <c r="G7187" i="2"/>
  <c r="K7171" i="2"/>
  <c r="G7171" i="2"/>
  <c r="K7155" i="2"/>
  <c r="G7155" i="2"/>
  <c r="G7139" i="2"/>
  <c r="G7127" i="2"/>
  <c r="G7107" i="2"/>
  <c r="K7095" i="2"/>
  <c r="G7095" i="2"/>
  <c r="K7075" i="2"/>
  <c r="G7075" i="2"/>
  <c r="G7059" i="2"/>
  <c r="J3015" i="2"/>
  <c r="G3015" i="2"/>
  <c r="G5996" i="2"/>
  <c r="J1171" i="2"/>
  <c r="G1171" i="2"/>
  <c r="G5612" i="2"/>
  <c r="K6979" i="2"/>
  <c r="G6979" i="2"/>
  <c r="K6963" i="2"/>
  <c r="G6963" i="2"/>
  <c r="K6947" i="2"/>
  <c r="G6947" i="2"/>
  <c r="G6927" i="2"/>
  <c r="G224" i="2"/>
  <c r="G391" i="2"/>
  <c r="J6879" i="2"/>
  <c r="G6879" i="2"/>
  <c r="G6863" i="2"/>
  <c r="K6843" i="2"/>
  <c r="G6843" i="2"/>
  <c r="G5626" i="2"/>
  <c r="K6811" i="2"/>
  <c r="G6811" i="2"/>
  <c r="G2739" i="2"/>
  <c r="J5268" i="2"/>
  <c r="G5268" i="2"/>
  <c r="G2791" i="2"/>
  <c r="G6739" i="2"/>
  <c r="K6723" i="2"/>
  <c r="G6723" i="2"/>
  <c r="K6667" i="2"/>
  <c r="G6667" i="2"/>
  <c r="G7289" i="2"/>
  <c r="G7281" i="2"/>
  <c r="K7281" i="2"/>
  <c r="J7273" i="2"/>
  <c r="G7273" i="2"/>
  <c r="K7265" i="2"/>
  <c r="G7265" i="2"/>
  <c r="J7257" i="2"/>
  <c r="G7257" i="2"/>
  <c r="J7249" i="2"/>
  <c r="G7249" i="2"/>
  <c r="G7241" i="2"/>
  <c r="K7241" i="2"/>
  <c r="J7233" i="2"/>
  <c r="G7233" i="2"/>
  <c r="K7225" i="2"/>
  <c r="G7225" i="2"/>
  <c r="G3659" i="2"/>
  <c r="G6766" i="2"/>
  <c r="J6766" i="2"/>
  <c r="G7205" i="2"/>
  <c r="G7197" i="2"/>
  <c r="G7189" i="2"/>
  <c r="K7189" i="2"/>
  <c r="G7181" i="2"/>
  <c r="G7173" i="2"/>
  <c r="K7173" i="2"/>
  <c r="G7165" i="2"/>
  <c r="K7165" i="2"/>
  <c r="G7157" i="2"/>
  <c r="K7157" i="2"/>
  <c r="G7149" i="2"/>
  <c r="G6502" i="2"/>
  <c r="G7133" i="2"/>
  <c r="K7133" i="2"/>
  <c r="J7117" i="2"/>
  <c r="G7117" i="2"/>
  <c r="J7288" i="2"/>
  <c r="G7288" i="2"/>
  <c r="K7284" i="2"/>
  <c r="G7284" i="2"/>
  <c r="K7280" i="2"/>
  <c r="G7280" i="2"/>
  <c r="J7276" i="2"/>
  <c r="G7276" i="2"/>
  <c r="K7272" i="2"/>
  <c r="G7272" i="2"/>
  <c r="K7268" i="2"/>
  <c r="G7268" i="2"/>
  <c r="K7264" i="2"/>
  <c r="G7264" i="2"/>
  <c r="J197" i="2"/>
  <c r="G197" i="2"/>
  <c r="J7256" i="2"/>
  <c r="G7256" i="2"/>
  <c r="J7252" i="2"/>
  <c r="G7252" i="2"/>
  <c r="J7248" i="2"/>
  <c r="G7248" i="2"/>
  <c r="J7244" i="2"/>
  <c r="G7244" i="2"/>
  <c r="J7240" i="2"/>
  <c r="G7240" i="2"/>
  <c r="J7236" i="2"/>
  <c r="G7236" i="2"/>
  <c r="K7232" i="2"/>
  <c r="G7232" i="2"/>
  <c r="K7228" i="2"/>
  <c r="G7228" i="2"/>
  <c r="K7224" i="2"/>
  <c r="G7224" i="2"/>
  <c r="J7220" i="2"/>
  <c r="G7220" i="2"/>
  <c r="K7216" i="2"/>
  <c r="G7216" i="2"/>
  <c r="K7212" i="2"/>
  <c r="G7212" i="2"/>
  <c r="K7208" i="2"/>
  <c r="G7208" i="2"/>
  <c r="J7204" i="2"/>
  <c r="G7204" i="2"/>
  <c r="K7200" i="2"/>
  <c r="G7200" i="2"/>
  <c r="J7196" i="2"/>
  <c r="G7196" i="2"/>
  <c r="K7192" i="2"/>
  <c r="G7192" i="2"/>
  <c r="K7188" i="2"/>
  <c r="G7188" i="2"/>
  <c r="J7184" i="2"/>
  <c r="G7184" i="2"/>
  <c r="K7180" i="2"/>
  <c r="G7180" i="2"/>
  <c r="J7176" i="2"/>
  <c r="G7176" i="2"/>
  <c r="K7172" i="2"/>
  <c r="G7172" i="2"/>
  <c r="K7168" i="2"/>
  <c r="G7168" i="2"/>
  <c r="G7164" i="2"/>
  <c r="K7160" i="2"/>
  <c r="G7160" i="2"/>
  <c r="K7156" i="2"/>
  <c r="G7156" i="2"/>
  <c r="J6082" i="2"/>
  <c r="G6082" i="2"/>
  <c r="G1061" i="2"/>
  <c r="J7144" i="2"/>
  <c r="G7144" i="2"/>
  <c r="J7140" i="2"/>
  <c r="G7140" i="2"/>
  <c r="K7136" i="2"/>
  <c r="G7136" i="2"/>
  <c r="G7132" i="2"/>
  <c r="G7128" i="2"/>
  <c r="J7124" i="2"/>
  <c r="G7124" i="2"/>
  <c r="G6941" i="2"/>
  <c r="J7116" i="2"/>
  <c r="G7116" i="2"/>
  <c r="G5275" i="2"/>
  <c r="J7108" i="2"/>
  <c r="G7108" i="2"/>
  <c r="J7104" i="2"/>
  <c r="G7104" i="2"/>
  <c r="J7100" i="2"/>
  <c r="G7100" i="2"/>
  <c r="K7096" i="2"/>
  <c r="G7096" i="2"/>
  <c r="J7092" i="2"/>
  <c r="G7092" i="2"/>
  <c r="K7088" i="2"/>
  <c r="G7088" i="2"/>
  <c r="G4622" i="2"/>
  <c r="J7080" i="2"/>
  <c r="G7080" i="2"/>
  <c r="K7076" i="2"/>
  <c r="G7076" i="2"/>
  <c r="J7072" i="2"/>
  <c r="G7072" i="2"/>
  <c r="K7068" i="2"/>
  <c r="G7068" i="2"/>
  <c r="G371" i="2"/>
  <c r="K7060" i="2"/>
  <c r="G7060" i="2"/>
  <c r="G7056" i="2"/>
  <c r="G5497" i="2"/>
  <c r="J6423" i="2"/>
  <c r="G6423" i="2"/>
  <c r="K7044" i="2"/>
  <c r="G7044" i="2"/>
  <c r="G6745" i="2"/>
  <c r="J7036" i="2"/>
  <c r="G7036" i="2"/>
  <c r="G2530" i="2"/>
  <c r="G1276" i="2"/>
  <c r="J7024" i="2"/>
  <c r="G7024" i="2"/>
  <c r="J7020" i="2"/>
  <c r="G7020" i="2"/>
  <c r="J7016" i="2"/>
  <c r="G7016" i="2"/>
  <c r="K7012" i="2"/>
  <c r="G7012" i="2"/>
  <c r="G7008" i="2"/>
  <c r="G7004" i="2"/>
  <c r="K7000" i="2"/>
  <c r="G7000" i="2"/>
  <c r="G4193" i="2"/>
  <c r="G6992" i="2"/>
  <c r="K6988" i="2"/>
  <c r="G6988" i="2"/>
  <c r="K6984" i="2"/>
  <c r="G6984" i="2"/>
  <c r="K6980" i="2"/>
  <c r="G6980" i="2"/>
  <c r="J6976" i="2"/>
  <c r="G6976" i="2"/>
  <c r="K6972" i="2"/>
  <c r="G6972" i="2"/>
  <c r="J6968" i="2"/>
  <c r="G6968" i="2"/>
  <c r="K6964" i="2"/>
  <c r="G6964" i="2"/>
  <c r="G6960" i="2"/>
  <c r="K6956" i="2"/>
  <c r="G6956" i="2"/>
  <c r="J6952" i="2"/>
  <c r="G6952" i="2"/>
  <c r="K6948" i="2"/>
  <c r="G6948" i="2"/>
  <c r="K6944" i="2"/>
  <c r="G6944" i="2"/>
  <c r="G423" i="2"/>
  <c r="G6936" i="2"/>
  <c r="J6932" i="2"/>
  <c r="G6932" i="2"/>
  <c r="G2283" i="2"/>
  <c r="G5791" i="2"/>
  <c r="J6920" i="2"/>
  <c r="G6920" i="2"/>
  <c r="G4742" i="2"/>
  <c r="J2462" i="2"/>
  <c r="G2462" i="2"/>
  <c r="G782" i="2"/>
  <c r="G6525" i="2"/>
  <c r="K6900" i="2"/>
  <c r="G6900" i="2"/>
  <c r="G4872" i="2"/>
  <c r="J6892" i="2"/>
  <c r="G6892" i="2"/>
  <c r="G5789" i="2"/>
  <c r="G6884" i="2"/>
  <c r="G6880" i="2"/>
  <c r="J6994" i="2"/>
  <c r="G6994" i="2"/>
  <c r="G6872" i="2"/>
  <c r="G5029" i="2"/>
  <c r="G3184" i="2"/>
  <c r="G6860" i="2"/>
  <c r="K6856" i="2"/>
  <c r="G6856" i="2"/>
  <c r="K6852" i="2"/>
  <c r="G6852" i="2"/>
  <c r="J4189" i="2"/>
  <c r="G4189" i="2"/>
  <c r="G6844" i="2"/>
  <c r="K6840" i="2"/>
  <c r="G6840" i="2"/>
  <c r="G4679" i="2"/>
  <c r="G5474" i="2"/>
  <c r="K6828" i="2"/>
  <c r="G6828" i="2"/>
  <c r="G6824" i="2"/>
  <c r="K6820" i="2"/>
  <c r="G6820" i="2"/>
  <c r="K6816" i="2"/>
  <c r="G6816" i="2"/>
  <c r="K6812" i="2"/>
  <c r="G6812" i="2"/>
  <c r="K6808" i="2"/>
  <c r="G6808" i="2"/>
  <c r="K6804" i="2"/>
  <c r="G6804" i="2"/>
  <c r="J6800" i="2"/>
  <c r="G6800" i="2"/>
  <c r="G6796" i="2"/>
  <c r="G6792" i="2"/>
  <c r="G6226" i="2"/>
  <c r="J5572" i="2"/>
  <c r="G5572" i="2"/>
  <c r="K6780" i="2"/>
  <c r="G6780" i="2"/>
  <c r="K6776" i="2"/>
  <c r="G6776" i="2"/>
  <c r="G2282" i="2"/>
  <c r="G3744" i="2"/>
  <c r="G6764" i="2"/>
  <c r="G6760" i="2"/>
  <c r="J1665" i="2"/>
  <c r="G1665" i="2"/>
  <c r="G6752" i="2"/>
  <c r="G6748" i="2"/>
  <c r="J6744" i="2"/>
  <c r="G6744" i="2"/>
  <c r="G4000" i="2"/>
  <c r="J6736" i="2"/>
  <c r="G6736" i="2"/>
  <c r="G1793" i="2"/>
  <c r="J7052" i="2"/>
  <c r="G7052" i="2"/>
  <c r="J6724" i="2"/>
  <c r="G6724" i="2"/>
  <c r="G1095" i="2"/>
  <c r="G6716" i="2"/>
  <c r="G823" i="2"/>
  <c r="J6995" i="2"/>
  <c r="G6995" i="2"/>
  <c r="G1726" i="2"/>
  <c r="K6700" i="2"/>
  <c r="G6700" i="2"/>
  <c r="G3660" i="2"/>
  <c r="J6692" i="2"/>
  <c r="G6692" i="2"/>
  <c r="J6688" i="2"/>
  <c r="G6688" i="2"/>
  <c r="G483" i="2"/>
  <c r="J2424" i="2"/>
  <c r="G2424" i="2"/>
  <c r="G6676" i="2"/>
  <c r="G1967" i="2"/>
  <c r="G5700" i="2"/>
  <c r="G6664" i="2"/>
  <c r="K6660" i="2"/>
  <c r="G6660" i="2"/>
  <c r="J3296" i="2"/>
  <c r="G3296" i="2"/>
  <c r="G6652" i="2"/>
  <c r="K6648" i="2"/>
  <c r="G6648" i="2"/>
  <c r="G6644" i="2"/>
  <c r="K6640" i="2"/>
  <c r="G6640" i="2"/>
  <c r="J6636" i="2"/>
  <c r="G6636" i="2"/>
  <c r="G6632" i="2"/>
  <c r="K6628" i="2"/>
  <c r="G6628" i="2"/>
  <c r="K6624" i="2"/>
  <c r="G6624" i="2"/>
  <c r="K6620" i="2"/>
  <c r="G6620" i="2"/>
  <c r="K6616" i="2"/>
  <c r="G6616" i="2"/>
  <c r="G3156" i="2"/>
  <c r="K6608" i="2"/>
  <c r="G6608" i="2"/>
  <c r="K6604" i="2"/>
  <c r="G6604" i="2"/>
  <c r="J6600" i="2"/>
  <c r="G6600" i="2"/>
  <c r="G3937" i="2"/>
  <c r="G430" i="2"/>
  <c r="G7032" i="2"/>
  <c r="J555" i="2"/>
  <c r="G555" i="2"/>
  <c r="G6580" i="2"/>
  <c r="G2277" i="2"/>
  <c r="K6572" i="2"/>
  <c r="G6572" i="2"/>
  <c r="G6568" i="2"/>
  <c r="K6564" i="2"/>
  <c r="G6564" i="2"/>
  <c r="G2138" i="2"/>
  <c r="G6556" i="2"/>
  <c r="J5846" i="2"/>
  <c r="G5846" i="2"/>
  <c r="G6481" i="2"/>
  <c r="G3720" i="2"/>
  <c r="G6048" i="2"/>
  <c r="G6536" i="2"/>
  <c r="G6532" i="2"/>
  <c r="J6094" i="2"/>
  <c r="G6094" i="2"/>
  <c r="G1023" i="2"/>
  <c r="G1408" i="2"/>
  <c r="G5550" i="2"/>
  <c r="J5788" i="2"/>
  <c r="G5788" i="2"/>
  <c r="G6508" i="2"/>
  <c r="G6504" i="2"/>
  <c r="G6500" i="2"/>
  <c r="K6496" i="2"/>
  <c r="G6496" i="2"/>
  <c r="G6492" i="2"/>
  <c r="J4817" i="2"/>
  <c r="G4817" i="2"/>
  <c r="G2848" i="2"/>
  <c r="G1224" i="2"/>
  <c r="K6476" i="2"/>
  <c r="G6476" i="2"/>
  <c r="G6472" i="2"/>
  <c r="G6468" i="2"/>
  <c r="G6464" i="2"/>
  <c r="K6460" i="2"/>
  <c r="G6460" i="2"/>
  <c r="G6456" i="2"/>
  <c r="K6452" i="2"/>
  <c r="G6452" i="2"/>
  <c r="G6448" i="2"/>
  <c r="G6444" i="2"/>
  <c r="J6913" i="2"/>
  <c r="G6913" i="2"/>
  <c r="G6436" i="2"/>
  <c r="G6432" i="2"/>
  <c r="K6428" i="2"/>
  <c r="G6428" i="2"/>
  <c r="G4667" i="2"/>
  <c r="K6420" i="2"/>
  <c r="G6420" i="2"/>
  <c r="G4494" i="2"/>
  <c r="K6412" i="2"/>
  <c r="G6412" i="2"/>
  <c r="K6408" i="2"/>
  <c r="G6408" i="2"/>
  <c r="G6404" i="2"/>
  <c r="K6400" i="2"/>
  <c r="G6400" i="2"/>
  <c r="K6396" i="2"/>
  <c r="G6396" i="2"/>
  <c r="J4838" i="2"/>
  <c r="G4838" i="2"/>
  <c r="K6388" i="2"/>
  <c r="G6388" i="2"/>
  <c r="K6384" i="2"/>
  <c r="G6384" i="2"/>
  <c r="K6380" i="2"/>
  <c r="G6380" i="2"/>
  <c r="G6376" i="2"/>
  <c r="K6372" i="2"/>
  <c r="G6372" i="2"/>
  <c r="K6368" i="2"/>
  <c r="G6368" i="2"/>
  <c r="K6364" i="2"/>
  <c r="G6364" i="2"/>
  <c r="K6360" i="2"/>
  <c r="G6360" i="2"/>
  <c r="K6356" i="2"/>
  <c r="G6356" i="2"/>
  <c r="K6352" i="2"/>
  <c r="G6352" i="2"/>
  <c r="K6348" i="2"/>
  <c r="G6348" i="2"/>
  <c r="G6344" i="2"/>
  <c r="K6340" i="2"/>
  <c r="G6340" i="2"/>
  <c r="G179" i="2"/>
  <c r="K6332" i="2"/>
  <c r="G6332" i="2"/>
  <c r="K6328" i="2"/>
  <c r="G6328" i="2"/>
  <c r="G6324" i="2"/>
  <c r="K6320" i="2"/>
  <c r="G6320" i="2"/>
  <c r="K6316" i="2"/>
  <c r="G6316" i="2"/>
  <c r="K6312" i="2"/>
  <c r="G6312" i="2"/>
  <c r="G6308" i="2"/>
  <c r="G328" i="2"/>
  <c r="K6300" i="2"/>
  <c r="G6300" i="2"/>
  <c r="K6296" i="2"/>
  <c r="G6296" i="2"/>
  <c r="K6292" i="2"/>
  <c r="G6292" i="2"/>
  <c r="K6288" i="2"/>
  <c r="G6288" i="2"/>
  <c r="K6284" i="2"/>
  <c r="G6284" i="2"/>
  <c r="K6280" i="2"/>
  <c r="G6280" i="2"/>
  <c r="K6276" i="2"/>
  <c r="G6276" i="2"/>
  <c r="K6272" i="2"/>
  <c r="G6272" i="2"/>
  <c r="K6268" i="2"/>
  <c r="G6268" i="2"/>
  <c r="J6264" i="2"/>
  <c r="G6264" i="2"/>
  <c r="K6260" i="2"/>
  <c r="G6260" i="2"/>
  <c r="K6256" i="2"/>
  <c r="G6256" i="2"/>
  <c r="G3113" i="2"/>
  <c r="G6248" i="2"/>
  <c r="G6244" i="2"/>
  <c r="K6240" i="2"/>
  <c r="G6240" i="2"/>
  <c r="G6236" i="2"/>
  <c r="G6232" i="2"/>
  <c r="G1680" i="2"/>
  <c r="G6224" i="2"/>
  <c r="K6220" i="2"/>
  <c r="G6220" i="2"/>
  <c r="K6216" i="2"/>
  <c r="G6216" i="2"/>
  <c r="G6212" i="2"/>
  <c r="K6208" i="2"/>
  <c r="G6208" i="2"/>
  <c r="K6204" i="2"/>
  <c r="G6204" i="2"/>
  <c r="J6200" i="2"/>
  <c r="G6200" i="2"/>
  <c r="K6196" i="2"/>
  <c r="G6196" i="2"/>
  <c r="G6689" i="2"/>
  <c r="K6188" i="2"/>
  <c r="G6188" i="2"/>
  <c r="K6184" i="2"/>
  <c r="G6184" i="2"/>
  <c r="K6180" i="2"/>
  <c r="G6180" i="2"/>
  <c r="G2005" i="2"/>
  <c r="G1524" i="2"/>
  <c r="J6168" i="2"/>
  <c r="G6168" i="2"/>
  <c r="K6164" i="2"/>
  <c r="G6164" i="2"/>
  <c r="G6773" i="2"/>
  <c r="K6156" i="2"/>
  <c r="G6156" i="2"/>
  <c r="G6152" i="2"/>
  <c r="K6148" i="2"/>
  <c r="G6148" i="2"/>
  <c r="G6144" i="2"/>
  <c r="K6140" i="2"/>
  <c r="G6140" i="2"/>
  <c r="G6136" i="2"/>
  <c r="G6132" i="2"/>
  <c r="G6128" i="2"/>
  <c r="K6124" i="2"/>
  <c r="G6124" i="2"/>
  <c r="K6120" i="2"/>
  <c r="G6120" i="2"/>
  <c r="K6116" i="2"/>
  <c r="G6116" i="2"/>
  <c r="G6112" i="2"/>
  <c r="J6108" i="2"/>
  <c r="G6108" i="2"/>
  <c r="G2734" i="2"/>
  <c r="G6100" i="2"/>
  <c r="G3016" i="2"/>
  <c r="J4303" i="2"/>
  <c r="G4303" i="2"/>
  <c r="G5526" i="2"/>
  <c r="K6084" i="2"/>
  <c r="G6084" i="2"/>
  <c r="G1437" i="2"/>
  <c r="G6076" i="2"/>
  <c r="J6421" i="2"/>
  <c r="G6421" i="2"/>
  <c r="G3004" i="2"/>
  <c r="G6064" i="2"/>
  <c r="G7123" i="2"/>
  <c r="K6056" i="2"/>
  <c r="G6056" i="2"/>
  <c r="G6052" i="2"/>
  <c r="G166" i="2"/>
  <c r="K6044" i="2"/>
  <c r="G6044" i="2"/>
  <c r="K6040" i="2"/>
  <c r="G6040" i="2"/>
  <c r="G6036" i="2"/>
  <c r="G6032" i="2"/>
  <c r="K6028" i="2"/>
  <c r="G6028" i="2"/>
  <c r="K6024" i="2"/>
  <c r="G6024" i="2"/>
  <c r="K6020" i="2"/>
  <c r="G6020" i="2"/>
  <c r="G6016" i="2"/>
  <c r="K6012" i="2"/>
  <c r="G6012" i="2"/>
  <c r="K6008" i="2"/>
  <c r="G6008" i="2"/>
  <c r="K6004" i="2"/>
  <c r="G6004" i="2"/>
  <c r="K6000" i="2"/>
  <c r="G6000" i="2"/>
  <c r="J2674" i="2"/>
  <c r="G2674" i="2"/>
  <c r="G145" i="2"/>
  <c r="K5988" i="2"/>
  <c r="G5988" i="2"/>
  <c r="G1394" i="2"/>
  <c r="G5980" i="2"/>
  <c r="G5976" i="2"/>
  <c r="G5972" i="2"/>
  <c r="J5603" i="2"/>
  <c r="G5603" i="2"/>
  <c r="G2381" i="2"/>
  <c r="G4071" i="2"/>
  <c r="K5956" i="2"/>
  <c r="G5956" i="2"/>
  <c r="K5952" i="2"/>
  <c r="G5952" i="2"/>
  <c r="G5948" i="2"/>
  <c r="J4051" i="2"/>
  <c r="G4051" i="2"/>
  <c r="K5940" i="2"/>
  <c r="G5940" i="2"/>
  <c r="G5936" i="2"/>
  <c r="G4657" i="2"/>
  <c r="G143" i="2"/>
  <c r="J6540" i="2"/>
  <c r="G6540" i="2"/>
  <c r="G5920" i="2"/>
  <c r="K5916" i="2"/>
  <c r="G5916" i="2"/>
  <c r="G5912" i="2"/>
  <c r="K5908" i="2"/>
  <c r="G5908" i="2"/>
  <c r="G5904" i="2"/>
  <c r="G1956" i="2"/>
  <c r="K5896" i="2"/>
  <c r="G5896" i="2"/>
  <c r="G5892" i="2"/>
  <c r="K5888" i="2"/>
  <c r="G5888" i="2"/>
  <c r="G5884" i="2"/>
  <c r="G5469" i="2"/>
  <c r="K5876" i="2"/>
  <c r="G5876" i="2"/>
  <c r="G5872" i="2"/>
  <c r="K5868" i="2"/>
  <c r="G5868" i="2"/>
  <c r="K5864" i="2"/>
  <c r="G5864" i="2"/>
  <c r="K5860" i="2"/>
  <c r="G5860" i="2"/>
  <c r="G5856" i="2"/>
  <c r="K5852" i="2"/>
  <c r="G5852" i="2"/>
  <c r="G5977" i="2"/>
  <c r="G5844" i="2"/>
  <c r="J1517" i="2"/>
  <c r="G1517" i="2"/>
  <c r="G1877" i="2"/>
  <c r="G2520" i="2"/>
  <c r="G5828" i="2"/>
  <c r="J1440" i="2"/>
  <c r="G1440" i="2"/>
  <c r="G5820" i="2"/>
  <c r="G5821" i="2"/>
  <c r="G5812" i="2"/>
  <c r="G4313" i="2"/>
  <c r="G5804" i="2"/>
  <c r="J2742" i="2"/>
  <c r="G2742" i="2"/>
  <c r="K5796" i="2"/>
  <c r="G5796" i="2"/>
  <c r="G5792" i="2"/>
  <c r="G4644" i="2"/>
  <c r="G2921" i="2"/>
  <c r="G5780" i="2"/>
  <c r="J2059" i="2"/>
  <c r="G2059" i="2"/>
  <c r="G5772" i="2"/>
  <c r="G5768" i="2"/>
  <c r="G5764" i="2"/>
  <c r="G5760" i="2"/>
  <c r="G1600" i="2"/>
  <c r="J2398" i="2"/>
  <c r="G2398" i="2"/>
  <c r="G6672" i="2"/>
  <c r="K5744" i="2"/>
  <c r="G5744" i="2"/>
  <c r="G5740" i="2"/>
  <c r="G5736" i="2"/>
  <c r="G5732" i="2"/>
  <c r="G5728" i="2"/>
  <c r="G5724" i="2"/>
  <c r="G139" i="2"/>
  <c r="G5716" i="2"/>
  <c r="G5900" i="2"/>
  <c r="J5257" i="2"/>
  <c r="G5257" i="2"/>
  <c r="G4178" i="2"/>
  <c r="G3928" i="2"/>
  <c r="G5696" i="2"/>
  <c r="G2784" i="2"/>
  <c r="K5688" i="2"/>
  <c r="G5688" i="2"/>
  <c r="K5684" i="2"/>
  <c r="G5684" i="2"/>
  <c r="G5680" i="2"/>
  <c r="J5467" i="2"/>
  <c r="G5467" i="2"/>
  <c r="G582" i="2"/>
  <c r="G5668" i="2"/>
  <c r="K5664" i="2"/>
  <c r="G5664" i="2"/>
  <c r="K5660" i="2"/>
  <c r="G5660" i="2"/>
  <c r="K5656" i="2"/>
  <c r="G5656" i="2"/>
  <c r="K5652" i="2"/>
  <c r="G5652" i="2"/>
  <c r="K5648" i="2"/>
  <c r="G5648" i="2"/>
  <c r="G6646" i="2"/>
  <c r="G5640" i="2"/>
  <c r="J2295" i="2"/>
  <c r="G2295" i="2"/>
  <c r="K5632" i="2"/>
  <c r="G5632" i="2"/>
  <c r="G2167" i="2"/>
  <c r="G5624" i="2"/>
  <c r="G2732" i="2"/>
  <c r="G5616" i="2"/>
  <c r="J1494" i="2"/>
  <c r="G1494" i="2"/>
  <c r="K5608" i="2"/>
  <c r="G5608" i="2"/>
  <c r="G2261" i="2"/>
  <c r="G5600" i="2"/>
  <c r="K5596" i="2"/>
  <c r="G5596" i="2"/>
  <c r="K5592" i="2"/>
  <c r="G5592" i="2"/>
  <c r="G5588" i="2"/>
  <c r="G238" i="2"/>
  <c r="G5580" i="2"/>
  <c r="K5576" i="2"/>
  <c r="G5576" i="2"/>
  <c r="J651" i="2"/>
  <c r="G651" i="2"/>
  <c r="G5568" i="2"/>
  <c r="G5564" i="2"/>
  <c r="G5560" i="2"/>
  <c r="G5556" i="2"/>
  <c r="G5552" i="2"/>
  <c r="K5548" i="2"/>
  <c r="G5548" i="2"/>
  <c r="G3368" i="2"/>
  <c r="J5540" i="2"/>
  <c r="G5540" i="2"/>
  <c r="K5536" i="2"/>
  <c r="G5536" i="2"/>
  <c r="G5532" i="2"/>
  <c r="G5528" i="2"/>
  <c r="G5524" i="2"/>
  <c r="G2998" i="2"/>
  <c r="J4756" i="2"/>
  <c r="G4756" i="2"/>
  <c r="G7122" i="2"/>
  <c r="G5508" i="2"/>
  <c r="K5508" i="2"/>
  <c r="G5504" i="2"/>
  <c r="G5500" i="2"/>
  <c r="J5500" i="2"/>
  <c r="G5496" i="2"/>
  <c r="G5492" i="2"/>
  <c r="G5488" i="2"/>
  <c r="G5484" i="2"/>
  <c r="G4513" i="2"/>
  <c r="G5476" i="2"/>
  <c r="G2676" i="2"/>
  <c r="J1953" i="2"/>
  <c r="G1953" i="2"/>
  <c r="G3878" i="2"/>
  <c r="K5460" i="2"/>
  <c r="G5460" i="2"/>
  <c r="G5456" i="2"/>
  <c r="G857" i="2"/>
  <c r="K5448" i="2"/>
  <c r="G5448" i="2"/>
  <c r="G5444" i="2"/>
  <c r="K5444" i="2"/>
  <c r="K5440" i="2"/>
  <c r="G5440" i="2"/>
  <c r="G5436" i="2"/>
  <c r="J5436" i="2"/>
  <c r="G5432" i="2"/>
  <c r="G2309" i="2"/>
  <c r="K5424" i="2"/>
  <c r="G5424" i="2"/>
  <c r="G5420" i="2"/>
  <c r="J5416" i="2"/>
  <c r="G5416" i="2"/>
  <c r="G5412" i="2"/>
  <c r="K5408" i="2"/>
  <c r="G5408" i="2"/>
  <c r="G5404" i="2"/>
  <c r="K5400" i="2"/>
  <c r="G5400" i="2"/>
  <c r="K5396" i="2"/>
  <c r="G5396" i="2"/>
  <c r="K5392" i="2"/>
  <c r="G5392" i="2"/>
  <c r="K5388" i="2"/>
  <c r="G5388" i="2"/>
  <c r="K5384" i="2"/>
  <c r="G5384" i="2"/>
  <c r="K5380" i="2"/>
  <c r="G5380" i="2"/>
  <c r="G5376" i="2"/>
  <c r="K5372" i="2"/>
  <c r="G5372" i="2"/>
  <c r="K5368" i="2"/>
  <c r="G5368" i="2"/>
  <c r="K5364" i="2"/>
  <c r="G5364" i="2"/>
  <c r="G2136" i="2"/>
  <c r="K5356" i="2"/>
  <c r="G5356" i="2"/>
  <c r="G5352" i="2"/>
  <c r="G5348" i="2"/>
  <c r="G5344" i="2"/>
  <c r="J3289" i="2"/>
  <c r="G3289" i="2"/>
  <c r="K5336" i="2"/>
  <c r="G5336" i="2"/>
  <c r="G5332" i="2"/>
  <c r="K5328" i="2"/>
  <c r="G5328" i="2"/>
  <c r="K5324" i="2"/>
  <c r="G5324" i="2"/>
  <c r="K5320" i="2"/>
  <c r="G5320" i="2"/>
  <c r="K5316" i="2"/>
  <c r="G5316" i="2"/>
  <c r="G2689" i="2"/>
  <c r="G966" i="2"/>
  <c r="J5304" i="2"/>
  <c r="G5304" i="2"/>
  <c r="G5300" i="2"/>
  <c r="K5296" i="2"/>
  <c r="G5296" i="2"/>
  <c r="K5292" i="2"/>
  <c r="G5292" i="2"/>
  <c r="K5288" i="2"/>
  <c r="G5288" i="2"/>
  <c r="G5284" i="2"/>
  <c r="G5280" i="2"/>
  <c r="K5276" i="2"/>
  <c r="G5276" i="2"/>
  <c r="K5272" i="2"/>
  <c r="G5272" i="2"/>
  <c r="G6060" i="2"/>
  <c r="G5264" i="2"/>
  <c r="K5260" i="2"/>
  <c r="G5260" i="2"/>
  <c r="G5256" i="2"/>
  <c r="G5252" i="2"/>
  <c r="G1657" i="2"/>
  <c r="J6757" i="2"/>
  <c r="G6757" i="2"/>
  <c r="G5240" i="2"/>
  <c r="G4546" i="2"/>
  <c r="G5232" i="2"/>
  <c r="K5228" i="2"/>
  <c r="G5228" i="2"/>
  <c r="K5224" i="2"/>
  <c r="G5224" i="2"/>
  <c r="J4539" i="2"/>
  <c r="G4539" i="2"/>
  <c r="K5216" i="2"/>
  <c r="G5216" i="2"/>
  <c r="G5212" i="2"/>
  <c r="K5208" i="2"/>
  <c r="G5208" i="2"/>
  <c r="K5204" i="2"/>
  <c r="G5204" i="2"/>
  <c r="K5200" i="2"/>
  <c r="G5200" i="2"/>
  <c r="K5196" i="2"/>
  <c r="G5196" i="2"/>
  <c r="G5192" i="2"/>
  <c r="K5188" i="2"/>
  <c r="G5188" i="2"/>
  <c r="K5184" i="2"/>
  <c r="G5184" i="2"/>
  <c r="G5623" i="2"/>
  <c r="K5176" i="2"/>
  <c r="G5176" i="2"/>
  <c r="K5172" i="2"/>
  <c r="G5172" i="2"/>
  <c r="G5168" i="2"/>
  <c r="K5164" i="2"/>
  <c r="G5164" i="2"/>
  <c r="K5160" i="2"/>
  <c r="G5160" i="2"/>
  <c r="G6479" i="2"/>
  <c r="G135" i="2"/>
  <c r="J6597" i="2"/>
  <c r="G6597" i="2"/>
  <c r="G4355" i="2"/>
  <c r="G3109" i="2"/>
  <c r="G5136" i="2"/>
  <c r="K5132" i="2"/>
  <c r="G5132" i="2"/>
  <c r="J5128" i="2"/>
  <c r="G5128" i="2"/>
  <c r="G6433" i="2"/>
  <c r="K5120" i="2"/>
  <c r="G5120" i="2"/>
  <c r="G5116" i="2"/>
  <c r="K5112" i="2"/>
  <c r="G5112" i="2"/>
  <c r="G5108" i="2"/>
  <c r="G5104" i="2"/>
  <c r="G5100" i="2"/>
  <c r="K5096" i="2"/>
  <c r="G5096" i="2"/>
  <c r="K5092" i="2"/>
  <c r="G5092" i="2"/>
  <c r="G5088" i="2"/>
  <c r="G5247" i="2"/>
  <c r="G5080" i="2"/>
  <c r="G5076" i="2"/>
  <c r="J3731" i="2"/>
  <c r="G3731" i="2"/>
  <c r="G5068" i="2"/>
  <c r="K5064" i="2"/>
  <c r="G5064" i="2"/>
  <c r="K5060" i="2"/>
  <c r="G5060" i="2"/>
  <c r="K5056" i="2"/>
  <c r="G5056" i="2"/>
  <c r="K5052" i="2"/>
  <c r="G5052" i="2"/>
  <c r="K5048" i="2"/>
  <c r="G5048" i="2"/>
  <c r="G5044" i="2"/>
  <c r="G1415" i="2"/>
  <c r="G5036" i="2"/>
  <c r="G6584" i="2"/>
  <c r="J3972" i="2"/>
  <c r="G3972" i="2"/>
  <c r="G6069" i="2"/>
  <c r="G5020" i="2"/>
  <c r="G6798" i="2"/>
  <c r="K5012" i="2"/>
  <c r="G5012" i="2"/>
  <c r="G6728" i="2"/>
  <c r="J5594" i="2"/>
  <c r="G5594" i="2"/>
  <c r="G5959" i="2"/>
  <c r="G4996" i="2"/>
  <c r="G4992" i="2"/>
  <c r="G6547" i="2"/>
  <c r="J4984" i="2"/>
  <c r="G4984" i="2"/>
  <c r="G1265" i="2"/>
  <c r="G4976" i="2"/>
  <c r="K4972" i="2"/>
  <c r="G4972" i="2"/>
  <c r="G4968" i="2"/>
  <c r="G4964" i="2"/>
  <c r="K4960" i="2"/>
  <c r="G4960" i="2"/>
  <c r="K4956" i="2"/>
  <c r="G4956" i="2"/>
  <c r="G3302" i="2"/>
  <c r="G7046" i="2"/>
  <c r="J1952" i="2"/>
  <c r="G1952" i="2"/>
  <c r="G5725" i="2"/>
  <c r="K4936" i="2"/>
  <c r="G4936" i="2"/>
  <c r="G4932" i="2"/>
  <c r="G4928" i="2"/>
  <c r="K4924" i="2"/>
  <c r="G4924" i="2"/>
  <c r="G4920" i="2"/>
  <c r="G4916" i="2"/>
  <c r="K4912" i="2"/>
  <c r="G4912" i="2"/>
  <c r="K4908" i="2"/>
  <c r="G4908" i="2"/>
  <c r="K4904" i="2"/>
  <c r="G4904" i="2"/>
  <c r="K4900" i="2"/>
  <c r="G4900" i="2"/>
  <c r="K4896" i="2"/>
  <c r="G4896" i="2"/>
  <c r="K4892" i="2"/>
  <c r="G4892" i="2"/>
  <c r="G4888" i="2"/>
  <c r="J4884" i="2"/>
  <c r="G4884" i="2"/>
  <c r="G4880" i="2"/>
  <c r="G3625" i="2"/>
  <c r="G3154" i="2"/>
  <c r="G2516" i="2"/>
  <c r="J4864" i="2"/>
  <c r="G4864" i="2"/>
  <c r="G5148" i="2"/>
  <c r="K4856" i="2"/>
  <c r="G4856" i="2"/>
  <c r="G5464" i="2"/>
  <c r="K4848" i="2"/>
  <c r="G4848" i="2"/>
  <c r="G6727" i="2"/>
  <c r="G4840" i="2"/>
  <c r="J4274" i="2"/>
  <c r="G4274" i="2"/>
  <c r="G749" i="2"/>
  <c r="G5937" i="2"/>
  <c r="G6176" i="2"/>
  <c r="J3703" i="2"/>
  <c r="G3703" i="2"/>
  <c r="G2362" i="2"/>
  <c r="G1924" i="2"/>
  <c r="G4808" i="2"/>
  <c r="G4804" i="2"/>
  <c r="J4800" i="2"/>
  <c r="G4800" i="2"/>
  <c r="G4796" i="2"/>
  <c r="G3042" i="2"/>
  <c r="K4788" i="2"/>
  <c r="G4788" i="2"/>
  <c r="G4784" i="2"/>
  <c r="G4780" i="2"/>
  <c r="K4780" i="2"/>
  <c r="G4776" i="2"/>
  <c r="G4772" i="2"/>
  <c r="K4768" i="2"/>
  <c r="G4768" i="2"/>
  <c r="K4764" i="2"/>
  <c r="G4764" i="2"/>
  <c r="G4760" i="2"/>
  <c r="K4760" i="2"/>
  <c r="G5244" i="2"/>
  <c r="J6068" i="2"/>
  <c r="G6068" i="2"/>
  <c r="G4748" i="2"/>
  <c r="G4744" i="2"/>
  <c r="K4740" i="2"/>
  <c r="G4740" i="2"/>
  <c r="G4736" i="2"/>
  <c r="G4732" i="2"/>
  <c r="G4728" i="2"/>
  <c r="J4728" i="2"/>
  <c r="K4724" i="2"/>
  <c r="G4724" i="2"/>
  <c r="G4720" i="2"/>
  <c r="G4716" i="2"/>
  <c r="J4716" i="2"/>
  <c r="K4712" i="2"/>
  <c r="G4712" i="2"/>
  <c r="K4708" i="2"/>
  <c r="G4708" i="2"/>
  <c r="G4704" i="2"/>
  <c r="K4700" i="2"/>
  <c r="G4700" i="2"/>
  <c r="G4696" i="2"/>
  <c r="K4696" i="2"/>
  <c r="G4692" i="2"/>
  <c r="G4688" i="2"/>
  <c r="G4684" i="2"/>
  <c r="J792" i="2"/>
  <c r="G792" i="2"/>
  <c r="G4676" i="2"/>
  <c r="G4672" i="2"/>
  <c r="G2779" i="2"/>
  <c r="G4664" i="2"/>
  <c r="G1200" i="2"/>
  <c r="K4656" i="2"/>
  <c r="G4656" i="2"/>
  <c r="G699" i="2"/>
  <c r="J699" i="2"/>
  <c r="G4648" i="2"/>
  <c r="G4666" i="2"/>
  <c r="G5512" i="2"/>
  <c r="G2371" i="2"/>
  <c r="G2083" i="2"/>
  <c r="J2083" i="2"/>
  <c r="K4628" i="2"/>
  <c r="G4628" i="2"/>
  <c r="G4624" i="2"/>
  <c r="G4620" i="2"/>
  <c r="G748" i="2"/>
  <c r="G4612" i="2"/>
  <c r="J3153" i="2"/>
  <c r="G3153" i="2"/>
  <c r="K4604" i="2"/>
  <c r="G4604" i="2"/>
  <c r="G4600" i="2"/>
  <c r="K4600" i="2"/>
  <c r="K4596" i="2"/>
  <c r="G4596" i="2"/>
  <c r="G4592" i="2"/>
  <c r="G4588" i="2"/>
  <c r="K4584" i="2"/>
  <c r="G4584" i="2"/>
  <c r="G5049" i="2"/>
  <c r="J4576" i="2"/>
  <c r="G4576" i="2"/>
  <c r="G2994" i="2"/>
  <c r="G6765" i="2"/>
  <c r="K4564" i="2"/>
  <c r="G4564" i="2"/>
  <c r="K4560" i="2"/>
  <c r="G4560" i="2"/>
  <c r="G4556" i="2"/>
  <c r="G4552" i="2"/>
  <c r="G1287" i="2"/>
  <c r="G4544" i="2"/>
  <c r="G4540" i="2"/>
  <c r="G4536" i="2"/>
  <c r="J4532" i="2"/>
  <c r="G4532" i="2"/>
  <c r="G4528" i="2"/>
  <c r="G454" i="2"/>
  <c r="K4520" i="2"/>
  <c r="G4520" i="2"/>
  <c r="K4516" i="2"/>
  <c r="G4516" i="2"/>
  <c r="G4512" i="2"/>
  <c r="G4508" i="2"/>
  <c r="G4504" i="2"/>
  <c r="K4500" i="2"/>
  <c r="G4500" i="2"/>
  <c r="G2964" i="2"/>
  <c r="G4492" i="2"/>
  <c r="K4492" i="2"/>
  <c r="K4488" i="2"/>
  <c r="G4488" i="2"/>
  <c r="K4484" i="2"/>
  <c r="G4484" i="2"/>
  <c r="G4480" i="2"/>
  <c r="J4476" i="2"/>
  <c r="G4476" i="2"/>
  <c r="G4472" i="2"/>
  <c r="K4472" i="2"/>
  <c r="K4468" i="2"/>
  <c r="G4468" i="2"/>
  <c r="K4464" i="2"/>
  <c r="G4464" i="2"/>
  <c r="G4460" i="2"/>
  <c r="K4460" i="2"/>
  <c r="K4456" i="2"/>
  <c r="G4456" i="2"/>
  <c r="K4452" i="2"/>
  <c r="G4452" i="2"/>
  <c r="G4448" i="2"/>
  <c r="G4444" i="2"/>
  <c r="G4440" i="2"/>
  <c r="G4436" i="2"/>
  <c r="G4432" i="2"/>
  <c r="G4428" i="2"/>
  <c r="K4428" i="2"/>
  <c r="G4424" i="2"/>
  <c r="K4420" i="2"/>
  <c r="G4420" i="2"/>
  <c r="G4416" i="2"/>
  <c r="K4412" i="2"/>
  <c r="G4412" i="2"/>
  <c r="G856" i="2"/>
  <c r="G127" i="2"/>
  <c r="G2987" i="2"/>
  <c r="G4396" i="2"/>
  <c r="K4396" i="2"/>
  <c r="J5242" i="2"/>
  <c r="G5242" i="2"/>
  <c r="K4388" i="2"/>
  <c r="G4388" i="2"/>
  <c r="K4384" i="2"/>
  <c r="G4384" i="2"/>
  <c r="G548" i="2"/>
  <c r="G4376" i="2"/>
  <c r="K4376" i="2"/>
  <c r="J1407" i="2"/>
  <c r="G1407" i="2"/>
  <c r="G1980" i="2"/>
  <c r="G4364" i="2"/>
  <c r="J4364" i="2"/>
  <c r="G4360" i="2"/>
  <c r="K4356" i="2"/>
  <c r="G4356" i="2"/>
  <c r="J4498" i="2"/>
  <c r="G4498" i="2"/>
  <c r="K4348" i="2"/>
  <c r="G4348" i="2"/>
  <c r="G4344" i="2"/>
  <c r="J4344" i="2"/>
  <c r="G4340" i="2"/>
  <c r="G4336" i="2"/>
  <c r="G4332" i="2"/>
  <c r="K4332" i="2"/>
  <c r="K4328" i="2"/>
  <c r="G4328" i="2"/>
  <c r="K4324" i="2"/>
  <c r="G4324" i="2"/>
  <c r="K4320" i="2"/>
  <c r="G4320" i="2"/>
  <c r="G4316" i="2"/>
  <c r="G4312" i="2"/>
  <c r="J4312" i="2"/>
  <c r="G4308" i="2"/>
  <c r="G6046" i="2"/>
  <c r="G4300" i="2"/>
  <c r="G527" i="2"/>
  <c r="K4292" i="2"/>
  <c r="G4292" i="2"/>
  <c r="G4288" i="2"/>
  <c r="J6583" i="2"/>
  <c r="G6583" i="2"/>
  <c r="G4280" i="2"/>
  <c r="G4276" i="2"/>
  <c r="G4272" i="2"/>
  <c r="G4268" i="2"/>
  <c r="J4268" i="2"/>
  <c r="G110" i="2"/>
  <c r="G4260" i="2"/>
  <c r="K4256" i="2"/>
  <c r="G4256" i="2"/>
  <c r="G4252" i="2"/>
  <c r="G4248" i="2"/>
  <c r="K4248" i="2"/>
  <c r="K4244" i="2"/>
  <c r="G4244" i="2"/>
  <c r="K4240" i="2"/>
  <c r="G4240" i="2"/>
  <c r="G4236" i="2"/>
  <c r="K4236" i="2"/>
  <c r="G1375" i="2"/>
  <c r="K4228" i="2"/>
  <c r="G4228" i="2"/>
  <c r="J2294" i="2"/>
  <c r="G2294" i="2"/>
  <c r="K4220" i="2"/>
  <c r="G4220" i="2"/>
  <c r="G5028" i="2"/>
  <c r="G4212" i="2"/>
  <c r="G4824" i="2"/>
  <c r="G104" i="2"/>
  <c r="J4063" i="2"/>
  <c r="G4063" i="2"/>
  <c r="G313" i="2"/>
  <c r="G4192" i="2"/>
  <c r="G3355" i="2"/>
  <c r="G4184" i="2"/>
  <c r="K4180" i="2"/>
  <c r="G4180" i="2"/>
  <c r="J1071" i="2"/>
  <c r="G1071" i="2"/>
  <c r="G5974" i="2"/>
  <c r="G4168" i="2"/>
  <c r="G4164" i="2"/>
  <c r="G4160" i="2"/>
  <c r="G4156" i="2"/>
  <c r="G4152" i="2"/>
  <c r="K4152" i="2"/>
  <c r="K4148" i="2"/>
  <c r="G4148" i="2"/>
  <c r="K4144" i="2"/>
  <c r="G4144" i="2"/>
  <c r="G4140" i="2"/>
  <c r="G4136" i="2"/>
  <c r="K4132" i="2"/>
  <c r="G4132" i="2"/>
  <c r="K4128" i="2"/>
  <c r="G4128" i="2"/>
  <c r="G4124" i="2"/>
  <c r="G4120" i="2"/>
  <c r="K4120" i="2"/>
  <c r="J4078" i="2"/>
  <c r="G4078" i="2"/>
  <c r="K4112" i="2"/>
  <c r="G4112" i="2"/>
  <c r="K4108" i="2"/>
  <c r="G4108" i="2"/>
  <c r="K4104" i="2"/>
  <c r="G4104" i="2"/>
  <c r="K4100" i="2"/>
  <c r="G4100" i="2"/>
  <c r="G2081" i="2"/>
  <c r="G4092" i="2"/>
  <c r="G4088" i="2"/>
  <c r="K4088" i="2"/>
  <c r="G5518" i="2"/>
  <c r="J4080" i="2"/>
  <c r="G4080" i="2"/>
  <c r="G693" i="2"/>
  <c r="K4072" i="2"/>
  <c r="G4072" i="2"/>
  <c r="G4068" i="2"/>
  <c r="G3116" i="2"/>
  <c r="G4060" i="2"/>
  <c r="G4056" i="2"/>
  <c r="K4056" i="2"/>
  <c r="K4052" i="2"/>
  <c r="G4052" i="2"/>
  <c r="G4048" i="2"/>
  <c r="K4044" i="2"/>
  <c r="G4044" i="2"/>
  <c r="G4040" i="2"/>
  <c r="G4036" i="2"/>
  <c r="J4032" i="2"/>
  <c r="G4032" i="2"/>
  <c r="G4028" i="2"/>
  <c r="G4024" i="2"/>
  <c r="G3817" i="2"/>
  <c r="G4016" i="2"/>
  <c r="G4012" i="2"/>
  <c r="G1067" i="2"/>
  <c r="G4948" i="2"/>
  <c r="J4948" i="2"/>
  <c r="G5238" i="2"/>
  <c r="G4683" i="2"/>
  <c r="G3992" i="2"/>
  <c r="K3988" i="2"/>
  <c r="G3988" i="2"/>
  <c r="G2847" i="2"/>
  <c r="K3980" i="2"/>
  <c r="G3980" i="2"/>
  <c r="K3976" i="2"/>
  <c r="G3976" i="2"/>
  <c r="J4572" i="2"/>
  <c r="G4572" i="2"/>
  <c r="G3968" i="2"/>
  <c r="J3968" i="2"/>
  <c r="K3964" i="2"/>
  <c r="G3964" i="2"/>
  <c r="G412" i="2"/>
  <c r="K3956" i="2"/>
  <c r="G3956" i="2"/>
  <c r="K3952" i="2"/>
  <c r="G3952" i="2"/>
  <c r="K3948" i="2"/>
  <c r="G3948" i="2"/>
  <c r="K3944" i="2"/>
  <c r="G3944" i="2"/>
  <c r="G3940" i="2"/>
  <c r="G3936" i="2"/>
  <c r="G3932" i="2"/>
  <c r="G428" i="2"/>
  <c r="G3924" i="2"/>
  <c r="G2490" i="2"/>
  <c r="G3916" i="2"/>
  <c r="K3912" i="2"/>
  <c r="G3912" i="2"/>
  <c r="G3908" i="2"/>
  <c r="G892" i="2"/>
  <c r="J892" i="2"/>
  <c r="K3900" i="2"/>
  <c r="G3900" i="2"/>
  <c r="G3896" i="2"/>
  <c r="K3896" i="2"/>
  <c r="K3892" i="2"/>
  <c r="G3892" i="2"/>
  <c r="G336" i="2"/>
  <c r="G3884" i="2"/>
  <c r="G303" i="2"/>
  <c r="K3876" i="2"/>
  <c r="G3876" i="2"/>
  <c r="K3872" i="2"/>
  <c r="G3872" i="2"/>
  <c r="G3868" i="2"/>
  <c r="G3864" i="2"/>
  <c r="J3864" i="2"/>
  <c r="G3860" i="2"/>
  <c r="G4858" i="2"/>
  <c r="G3795" i="2"/>
  <c r="G3848" i="2"/>
  <c r="G3844" i="2"/>
  <c r="G3840" i="2"/>
  <c r="K3836" i="2"/>
  <c r="G3836" i="2"/>
  <c r="G3832" i="2"/>
  <c r="J2359" i="2"/>
  <c r="G2359" i="2"/>
  <c r="G236" i="2"/>
  <c r="G3820" i="2"/>
  <c r="G3816" i="2"/>
  <c r="G3812" i="2"/>
  <c r="K3812" i="2"/>
  <c r="J3889" i="2"/>
  <c r="G3889" i="2"/>
  <c r="K3804" i="2"/>
  <c r="G3804" i="2"/>
  <c r="G3800" i="2"/>
  <c r="K3800" i="2"/>
  <c r="K3796" i="2"/>
  <c r="G3796" i="2"/>
  <c r="G3792" i="2"/>
  <c r="K3792" i="2"/>
  <c r="K3788" i="2"/>
  <c r="G3788" i="2"/>
  <c r="K3784" i="2"/>
  <c r="G3784" i="2"/>
  <c r="K3780" i="2"/>
  <c r="G3780" i="2"/>
  <c r="K3776" i="2"/>
  <c r="G3776" i="2"/>
  <c r="K3772" i="2"/>
  <c r="G3772" i="2"/>
  <c r="K3768" i="2"/>
  <c r="G3768" i="2"/>
  <c r="G1180" i="2"/>
  <c r="K3760" i="2"/>
  <c r="G3760" i="2"/>
  <c r="G4632" i="2"/>
  <c r="G5837" i="2"/>
  <c r="G3748" i="2"/>
  <c r="K3748" i="2"/>
  <c r="J1615" i="2"/>
  <c r="G1615" i="2"/>
  <c r="G4163" i="2"/>
  <c r="G3736" i="2"/>
  <c r="G3732" i="2"/>
  <c r="G3344" i="2"/>
  <c r="J3344" i="2"/>
  <c r="G3724" i="2"/>
  <c r="G3115" i="2"/>
  <c r="G2822" i="2"/>
  <c r="G3712" i="2"/>
  <c r="G3708" i="2"/>
  <c r="G3704" i="2"/>
  <c r="K3700" i="2"/>
  <c r="G3700" i="2"/>
  <c r="G3696" i="2"/>
  <c r="J3696" i="2"/>
  <c r="G3692" i="2"/>
  <c r="G1902" i="2"/>
  <c r="G3684" i="2"/>
  <c r="K3684" i="2"/>
  <c r="G5704" i="2"/>
  <c r="G3676" i="2"/>
  <c r="K3672" i="2"/>
  <c r="G3672" i="2"/>
  <c r="J4548" i="2"/>
  <c r="G4548" i="2"/>
  <c r="G2949" i="2"/>
  <c r="G2837" i="2"/>
  <c r="G4642" i="2"/>
  <c r="G3652" i="2"/>
  <c r="K3652" i="2"/>
  <c r="G3648" i="2"/>
  <c r="K3644" i="2"/>
  <c r="G3644" i="2"/>
  <c r="J1978" i="2"/>
  <c r="G1978" i="2"/>
  <c r="G3636" i="2"/>
  <c r="G3632" i="2"/>
  <c r="J3632" i="2"/>
  <c r="G3628" i="2"/>
  <c r="G3624" i="2"/>
  <c r="G6659" i="2"/>
  <c r="G3616" i="2"/>
  <c r="G5236" i="2"/>
  <c r="G3904" i="2"/>
  <c r="K3604" i="2"/>
  <c r="G3604" i="2"/>
  <c r="G3600" i="2"/>
  <c r="K3600" i="2"/>
  <c r="K3596" i="2"/>
  <c r="G3596" i="2"/>
  <c r="K3592" i="2"/>
  <c r="G3592" i="2"/>
  <c r="G3588" i="2"/>
  <c r="K3588" i="2"/>
  <c r="K3584" i="2"/>
  <c r="G3584" i="2"/>
  <c r="K3580" i="2"/>
  <c r="G3580" i="2"/>
  <c r="K3576" i="2"/>
  <c r="G3576" i="2"/>
  <c r="K3572" i="2"/>
  <c r="G3572" i="2"/>
  <c r="G3568" i="2"/>
  <c r="J3568" i="2"/>
  <c r="G3564" i="2"/>
  <c r="K3564" i="2"/>
  <c r="G3560" i="2"/>
  <c r="J3560" i="2"/>
  <c r="K3556" i="2"/>
  <c r="G3556" i="2"/>
  <c r="G3552" i="2"/>
  <c r="K3548" i="2"/>
  <c r="G3548" i="2"/>
  <c r="G4680" i="2"/>
  <c r="K3540" i="2"/>
  <c r="G3540" i="2"/>
  <c r="K3536" i="2"/>
  <c r="G3536" i="2"/>
  <c r="K3532" i="2"/>
  <c r="G3532" i="2"/>
  <c r="K3528" i="2"/>
  <c r="G3528" i="2"/>
  <c r="G3524" i="2"/>
  <c r="J3524" i="2"/>
  <c r="G3520" i="2"/>
  <c r="G3516" i="2"/>
  <c r="G3512" i="2"/>
  <c r="K3512" i="2"/>
  <c r="K3508" i="2"/>
  <c r="G3508" i="2"/>
  <c r="G3504" i="2"/>
  <c r="K3500" i="2"/>
  <c r="G3500" i="2"/>
  <c r="G3496" i="2"/>
  <c r="G3492" i="2"/>
  <c r="G3488" i="2"/>
  <c r="K3488" i="2"/>
  <c r="G3484" i="2"/>
  <c r="G3480" i="2"/>
  <c r="K3476" i="2"/>
  <c r="G3476" i="2"/>
  <c r="G3472" i="2"/>
  <c r="G3468" i="2"/>
  <c r="K3464" i="2"/>
  <c r="G3464" i="2"/>
  <c r="K3460" i="2"/>
  <c r="G3460" i="2"/>
  <c r="G3456" i="2"/>
  <c r="K3456" i="2"/>
  <c r="G5938" i="2"/>
  <c r="G6570" i="2"/>
  <c r="J6570" i="2"/>
  <c r="K3444" i="2"/>
  <c r="G3444" i="2"/>
  <c r="G3440" i="2"/>
  <c r="G3436" i="2"/>
  <c r="G2482" i="2"/>
  <c r="K3428" i="2"/>
  <c r="G3428" i="2"/>
  <c r="G3424" i="2"/>
  <c r="G3420" i="2"/>
  <c r="G3416" i="2"/>
  <c r="J3416" i="2"/>
  <c r="G3412" i="2"/>
  <c r="G3408" i="2"/>
  <c r="G3404" i="2"/>
  <c r="K3404" i="2"/>
  <c r="K3400" i="2"/>
  <c r="G3400" i="2"/>
  <c r="K3396" i="2"/>
  <c r="G3396" i="2"/>
  <c r="J1297" i="2"/>
  <c r="G1297" i="2"/>
  <c r="K3388" i="2"/>
  <c r="G3388" i="2"/>
  <c r="G3384" i="2"/>
  <c r="G1432" i="2"/>
  <c r="G3376" i="2"/>
  <c r="G2812" i="2"/>
  <c r="G3827" i="2"/>
  <c r="J3364" i="2"/>
  <c r="G3364" i="2"/>
  <c r="G3360" i="2"/>
  <c r="K3356" i="2"/>
  <c r="G3356" i="2"/>
  <c r="G3352" i="2"/>
  <c r="K3352" i="2"/>
  <c r="G3348" i="2"/>
  <c r="G449" i="2"/>
  <c r="G3340" i="2"/>
  <c r="K3340" i="2"/>
  <c r="G3336" i="2"/>
  <c r="K3332" i="2"/>
  <c r="G3332" i="2"/>
  <c r="J3283" i="2"/>
  <c r="G3283" i="2"/>
  <c r="K3324" i="2"/>
  <c r="G3324" i="2"/>
  <c r="G3320" i="2"/>
  <c r="J3320" i="2"/>
  <c r="G3316" i="2"/>
  <c r="K3312" i="2"/>
  <c r="G3312" i="2"/>
  <c r="G3308" i="2"/>
  <c r="J3308" i="2"/>
  <c r="G3304" i="2"/>
  <c r="G3300" i="2"/>
  <c r="G2202" i="2"/>
  <c r="J3292" i="2"/>
  <c r="G3292" i="2"/>
  <c r="G4793" i="2"/>
  <c r="G3284" i="2"/>
  <c r="G3280" i="2"/>
  <c r="G3276" i="2"/>
  <c r="J3276" i="2"/>
  <c r="G3272" i="2"/>
  <c r="G84" i="2"/>
  <c r="J3264" i="2"/>
  <c r="G3264" i="2"/>
  <c r="G3260" i="2"/>
  <c r="G3256" i="2"/>
  <c r="G3252" i="2"/>
  <c r="G3248" i="2"/>
  <c r="K3244" i="2"/>
  <c r="G3244" i="2"/>
  <c r="K3240" i="2"/>
  <c r="G3240" i="2"/>
  <c r="K3236" i="2"/>
  <c r="G3236" i="2"/>
  <c r="G3232" i="2"/>
  <c r="K3232" i="2"/>
  <c r="G3228" i="2"/>
  <c r="K3224" i="2"/>
  <c r="G3224" i="2"/>
  <c r="G3220" i="2"/>
  <c r="J3220" i="2"/>
  <c r="K3216" i="2"/>
  <c r="G3216" i="2"/>
  <c r="K3212" i="2"/>
  <c r="G3212" i="2"/>
  <c r="G996" i="2"/>
  <c r="K3204" i="2"/>
  <c r="G3204" i="2"/>
  <c r="G4866" i="2"/>
  <c r="K3196" i="2"/>
  <c r="G3196" i="2"/>
  <c r="K3192" i="2"/>
  <c r="G3192" i="2"/>
  <c r="G418" i="2"/>
  <c r="J1082" i="2"/>
  <c r="G1082" i="2"/>
  <c r="G6242" i="2"/>
  <c r="K3176" i="2"/>
  <c r="G3176" i="2"/>
  <c r="G3265" i="2"/>
  <c r="G3168" i="2"/>
  <c r="J6721" i="2"/>
  <c r="G6721" i="2"/>
  <c r="K3160" i="2"/>
  <c r="G3160" i="2"/>
  <c r="G2004" i="2"/>
  <c r="K3152" i="2"/>
  <c r="G3152" i="2"/>
  <c r="G3148" i="2"/>
  <c r="G3144" i="2"/>
  <c r="J1764" i="2"/>
  <c r="G1764" i="2"/>
  <c r="G6109" i="2"/>
  <c r="K3132" i="2"/>
  <c r="G3132" i="2"/>
  <c r="G3128" i="2"/>
  <c r="G3124" i="2"/>
  <c r="G3120" i="2"/>
  <c r="G937" i="2"/>
  <c r="J4123" i="2"/>
  <c r="G4123" i="2"/>
  <c r="G3108" i="2"/>
  <c r="G3104" i="2"/>
  <c r="K3104" i="2"/>
  <c r="G3274" i="2"/>
  <c r="K3096" i="2"/>
  <c r="G3096" i="2"/>
  <c r="G3092" i="2"/>
  <c r="K3092" i="2"/>
  <c r="G3088" i="2"/>
  <c r="G3084" i="2"/>
  <c r="K3080" i="2"/>
  <c r="G3080" i="2"/>
  <c r="K3076" i="2"/>
  <c r="G3076" i="2"/>
  <c r="G3072" i="2"/>
  <c r="K3072" i="2"/>
  <c r="K3068" i="2"/>
  <c r="G3068" i="2"/>
  <c r="G3064" i="2"/>
  <c r="K3064" i="2"/>
  <c r="G3060" i="2"/>
  <c r="K3060" i="2"/>
  <c r="K3056" i="2"/>
  <c r="G3056" i="2"/>
  <c r="G3052" i="2"/>
  <c r="K3052" i="2"/>
  <c r="G3707" i="2"/>
  <c r="G3044" i="2"/>
  <c r="G3040" i="2"/>
  <c r="K3040" i="2"/>
  <c r="G4269" i="2"/>
  <c r="G6365" i="2"/>
  <c r="J6365" i="2"/>
  <c r="G3028" i="2"/>
  <c r="K3028" i="2"/>
  <c r="G690" i="2"/>
  <c r="G3020" i="2"/>
  <c r="G940" i="2"/>
  <c r="G3012" i="2"/>
  <c r="G3008" i="2"/>
  <c r="K3008" i="2"/>
  <c r="J3746" i="2"/>
  <c r="G3746" i="2"/>
  <c r="G3000" i="2"/>
  <c r="K3000" i="2"/>
  <c r="G2996" i="2"/>
  <c r="G2992" i="2"/>
  <c r="G2988" i="2"/>
  <c r="G2984" i="2"/>
  <c r="G2980" i="2"/>
  <c r="G5835" i="2"/>
  <c r="J5835" i="2"/>
  <c r="G6905" i="2"/>
  <c r="G2968" i="2"/>
  <c r="K2968" i="2"/>
  <c r="G5984" i="2"/>
  <c r="K2960" i="2"/>
  <c r="G2960" i="2"/>
  <c r="G2956" i="2"/>
  <c r="G2952" i="2"/>
  <c r="G2948" i="2"/>
  <c r="G2944" i="2"/>
  <c r="K2944" i="2"/>
  <c r="K2940" i="2"/>
  <c r="G2940" i="2"/>
  <c r="G2936" i="2"/>
  <c r="K2936" i="2"/>
  <c r="G2932" i="2"/>
  <c r="K2928" i="2"/>
  <c r="G2928" i="2"/>
  <c r="G2924" i="2"/>
  <c r="J7040" i="2"/>
  <c r="G7040" i="2"/>
  <c r="K2916" i="2"/>
  <c r="G2916" i="2"/>
  <c r="G2912" i="2"/>
  <c r="K2912" i="2"/>
  <c r="K2908" i="2"/>
  <c r="G2908" i="2"/>
  <c r="G2904" i="2"/>
  <c r="J2904" i="2"/>
  <c r="G2900" i="2"/>
  <c r="K2900" i="2"/>
  <c r="K2896" i="2"/>
  <c r="G2896" i="2"/>
  <c r="G2892" i="2"/>
  <c r="J2892" i="2"/>
  <c r="K2888" i="2"/>
  <c r="G2888" i="2"/>
  <c r="K2884" i="2"/>
  <c r="G2884" i="2"/>
  <c r="G2880" i="2"/>
  <c r="K2880" i="2"/>
  <c r="K2876" i="2"/>
  <c r="G2876" i="2"/>
  <c r="G2872" i="2"/>
  <c r="K2872" i="2"/>
  <c r="G2868" i="2"/>
  <c r="K2864" i="2"/>
  <c r="G2864" i="2"/>
  <c r="G2860" i="2"/>
  <c r="K2860" i="2"/>
  <c r="G5842" i="2"/>
  <c r="G680" i="2"/>
  <c r="G6172" i="2"/>
  <c r="K2844" i="2"/>
  <c r="G2844" i="2"/>
  <c r="G7221" i="2"/>
  <c r="J7221" i="2"/>
  <c r="G1152" i="2"/>
  <c r="K2832" i="2"/>
  <c r="G2832" i="2"/>
  <c r="G2828" i="2"/>
  <c r="K2828" i="2"/>
  <c r="G1077" i="2"/>
  <c r="G2820" i="2"/>
  <c r="G2816" i="2"/>
  <c r="G223" i="2"/>
  <c r="G2808" i="2"/>
  <c r="K2808" i="2"/>
  <c r="G2301" i="2"/>
  <c r="J2301" i="2"/>
  <c r="G3172" i="2"/>
  <c r="G3257" i="2"/>
  <c r="G2792" i="2"/>
  <c r="G2788" i="2"/>
  <c r="J2788" i="2"/>
  <c r="G1427" i="2"/>
  <c r="G6675" i="2"/>
  <c r="G6342" i="2"/>
  <c r="J1983" i="2"/>
  <c r="G1983" i="2"/>
  <c r="G2977" i="2"/>
  <c r="G1254" i="2"/>
  <c r="G2760" i="2"/>
  <c r="G3794" i="2"/>
  <c r="G2146" i="2"/>
  <c r="J2146" i="2"/>
  <c r="G2748" i="2"/>
  <c r="J2748" i="2"/>
  <c r="G2744" i="2"/>
  <c r="K2744" i="2"/>
  <c r="G2752" i="2"/>
  <c r="G2736" i="2"/>
  <c r="G4875" i="2"/>
  <c r="G5982" i="2"/>
  <c r="J5982" i="2"/>
  <c r="G2724" i="2"/>
  <c r="J2724" i="2"/>
  <c r="G2720" i="2"/>
  <c r="J2720" i="2"/>
  <c r="G2716" i="2"/>
  <c r="J2716" i="2"/>
  <c r="G4786" i="2"/>
  <c r="G1258" i="2"/>
  <c r="G447" i="2"/>
  <c r="J5205" i="2"/>
  <c r="G5205" i="2"/>
  <c r="K2696" i="2"/>
  <c r="G2696" i="2"/>
  <c r="G2692" i="2"/>
  <c r="G4876" i="2"/>
  <c r="G2684" i="2"/>
  <c r="K2684" i="2"/>
  <c r="K2680" i="2"/>
  <c r="G2680" i="2"/>
  <c r="G7148" i="2"/>
  <c r="G2672" i="2"/>
  <c r="G2668" i="2"/>
  <c r="K2664" i="2"/>
  <c r="G2664" i="2"/>
  <c r="G2660" i="2"/>
  <c r="G2656" i="2"/>
  <c r="K2656" i="2"/>
  <c r="K2652" i="2"/>
  <c r="G2652" i="2"/>
  <c r="K2648" i="2"/>
  <c r="G2648" i="2"/>
  <c r="K2644" i="2"/>
  <c r="G2644" i="2"/>
  <c r="G2640" i="2"/>
  <c r="K2640" i="2"/>
  <c r="K2636" i="2"/>
  <c r="G2636" i="2"/>
  <c r="G2632" i="2"/>
  <c r="K2628" i="2"/>
  <c r="G2628" i="2"/>
  <c r="K2624" i="2"/>
  <c r="G2624" i="2"/>
  <c r="J5124" i="2"/>
  <c r="G5124" i="2"/>
  <c r="G2616" i="2"/>
  <c r="K2616" i="2"/>
  <c r="K2612" i="2"/>
  <c r="G2612" i="2"/>
  <c r="G2608" i="2"/>
  <c r="G2604" i="2"/>
  <c r="J2604" i="2"/>
  <c r="G2600" i="2"/>
  <c r="G2596" i="2"/>
  <c r="K2596" i="2"/>
  <c r="K2592" i="2"/>
  <c r="G2592" i="2"/>
  <c r="K2588" i="2"/>
  <c r="G2588" i="2"/>
  <c r="G2584" i="2"/>
  <c r="G2580" i="2"/>
  <c r="K2580" i="2"/>
  <c r="K2576" i="2"/>
  <c r="G2576" i="2"/>
  <c r="G2572" i="2"/>
  <c r="G2568" i="2"/>
  <c r="G2564" i="2"/>
  <c r="G2560" i="2"/>
  <c r="J2560" i="2"/>
  <c r="G2556" i="2"/>
  <c r="K2552" i="2"/>
  <c r="G2552" i="2"/>
  <c r="G2548" i="2"/>
  <c r="J2548" i="2"/>
  <c r="G2544" i="2"/>
  <c r="J5785" i="2"/>
  <c r="G5785" i="2"/>
  <c r="K2536" i="2"/>
  <c r="G2536" i="2"/>
  <c r="G2532" i="2"/>
  <c r="G78" i="2"/>
  <c r="G2524" i="2"/>
  <c r="G6228" i="2"/>
  <c r="J6868" i="2"/>
  <c r="G6868" i="2"/>
  <c r="G2512" i="2"/>
  <c r="G1666" i="2"/>
  <c r="G2504" i="2"/>
  <c r="K2504" i="2"/>
  <c r="K2500" i="2"/>
  <c r="G2500" i="2"/>
  <c r="G2496" i="2"/>
  <c r="G2492" i="2"/>
  <c r="G2488" i="2"/>
  <c r="K2484" i="2"/>
  <c r="G2484" i="2"/>
  <c r="J5924" i="2"/>
  <c r="G5924" i="2"/>
  <c r="G2826" i="2"/>
  <c r="G2472" i="2"/>
  <c r="K2468" i="2"/>
  <c r="G2468" i="2"/>
  <c r="K2464" i="2"/>
  <c r="G2464" i="2"/>
  <c r="G2460" i="2"/>
  <c r="J2460" i="2"/>
  <c r="K2456" i="2"/>
  <c r="G2456" i="2"/>
  <c r="K2452" i="2"/>
  <c r="G2452" i="2"/>
  <c r="K2448" i="2"/>
  <c r="G2448" i="2"/>
  <c r="K2444" i="2"/>
  <c r="G2444" i="2"/>
  <c r="G2440" i="2"/>
  <c r="K2436" i="2"/>
  <c r="G2436" i="2"/>
  <c r="K2432" i="2"/>
  <c r="G2432" i="2"/>
  <c r="G2428" i="2"/>
  <c r="K2428" i="2"/>
  <c r="G3185" i="2"/>
  <c r="J2420" i="2"/>
  <c r="G2420" i="2"/>
  <c r="G2416" i="2"/>
  <c r="G2412" i="2"/>
  <c r="G2408" i="2"/>
  <c r="K2408" i="2"/>
  <c r="G2404" i="2"/>
  <c r="G2400" i="2"/>
  <c r="G2396" i="2"/>
  <c r="J2396" i="2"/>
  <c r="K2392" i="2"/>
  <c r="G2392" i="2"/>
  <c r="G2388" i="2"/>
  <c r="G2384" i="2"/>
  <c r="G6865" i="2"/>
  <c r="G6831" i="2"/>
  <c r="G5750" i="2"/>
  <c r="G2368" i="2"/>
  <c r="G2364" i="2"/>
  <c r="J2364" i="2"/>
  <c r="G2360" i="2"/>
  <c r="G2356" i="2"/>
  <c r="J5180" i="2"/>
  <c r="G5180" i="2"/>
  <c r="G2348" i="2"/>
  <c r="G2344" i="2"/>
  <c r="K2344" i="2"/>
  <c r="K2340" i="2"/>
  <c r="G2340" i="2"/>
  <c r="G2336" i="2"/>
  <c r="G2332" i="2"/>
  <c r="J2332" i="2"/>
  <c r="K2328" i="2"/>
  <c r="G2328" i="2"/>
  <c r="K2324" i="2"/>
  <c r="G2324" i="2"/>
  <c r="G6159" i="2"/>
  <c r="K2316" i="2"/>
  <c r="G2316" i="2"/>
  <c r="G2312" i="2"/>
  <c r="J2312" i="2"/>
  <c r="K2308" i="2"/>
  <c r="G2308" i="2"/>
  <c r="K2304" i="2"/>
  <c r="G2304" i="2"/>
  <c r="G2118" i="2"/>
  <c r="G2296" i="2"/>
  <c r="G2292" i="2"/>
  <c r="G2288" i="2"/>
  <c r="K2284" i="2"/>
  <c r="G2284" i="2"/>
  <c r="G2777" i="2"/>
  <c r="J2777" i="2"/>
  <c r="K2276" i="2"/>
  <c r="G2276" i="2"/>
  <c r="G2272" i="2"/>
  <c r="G1895" i="2"/>
  <c r="G2264" i="2"/>
  <c r="G7057" i="2"/>
  <c r="G3824" i="2"/>
  <c r="J2252" i="2"/>
  <c r="G2252" i="2"/>
  <c r="G4007" i="2"/>
  <c r="G2244" i="2"/>
  <c r="G2240" i="2"/>
  <c r="G2236" i="2"/>
  <c r="G2232" i="2"/>
  <c r="G2228" i="2"/>
  <c r="G4264" i="2"/>
  <c r="G6087" i="2"/>
  <c r="K2216" i="2"/>
  <c r="G2216" i="2"/>
  <c r="G2212" i="2"/>
  <c r="K2212" i="2"/>
  <c r="K2208" i="2"/>
  <c r="G2208" i="2"/>
  <c r="K2204" i="2"/>
  <c r="G2204" i="2"/>
  <c r="G2200" i="2"/>
  <c r="G2196" i="2"/>
  <c r="J2196" i="2"/>
  <c r="K2192" i="2"/>
  <c r="G2192" i="2"/>
  <c r="K2188" i="2"/>
  <c r="G2188" i="2"/>
  <c r="K2184" i="2"/>
  <c r="G2184" i="2"/>
  <c r="G4026" i="2"/>
  <c r="G2176" i="2"/>
  <c r="G7099" i="2"/>
  <c r="K2168" i="2"/>
  <c r="G2168" i="2"/>
  <c r="K2164" i="2"/>
  <c r="G2164" i="2"/>
  <c r="J7021" i="2"/>
  <c r="G7021" i="2"/>
  <c r="G3752" i="2"/>
  <c r="G2152" i="2"/>
  <c r="K2152" i="2"/>
  <c r="G3007" i="2"/>
  <c r="G2144" i="2"/>
  <c r="G2140" i="2"/>
  <c r="J6489" i="2"/>
  <c r="G6489" i="2"/>
  <c r="K2132" i="2"/>
  <c r="G2132" i="2"/>
  <c r="G1279" i="2"/>
  <c r="K2124" i="2"/>
  <c r="G2124" i="2"/>
  <c r="G202" i="2"/>
  <c r="G4790" i="2"/>
  <c r="K2112" i="2"/>
  <c r="G2112" i="2"/>
  <c r="G2108" i="2"/>
  <c r="J2108" i="2"/>
  <c r="J286" i="2"/>
  <c r="G286" i="2"/>
  <c r="G1686" i="2"/>
  <c r="G2096" i="2"/>
  <c r="G2092" i="2"/>
  <c r="G2088" i="2"/>
  <c r="J2088" i="2"/>
  <c r="J6079" i="2"/>
  <c r="G6079" i="2"/>
  <c r="G2080" i="2"/>
  <c r="G2076" i="2"/>
  <c r="G2072" i="2"/>
  <c r="K2068" i="2"/>
  <c r="G2068" i="2"/>
  <c r="G2064" i="2"/>
  <c r="G2810" i="2"/>
  <c r="G1947" i="2"/>
  <c r="K2052" i="2"/>
  <c r="G2052" i="2"/>
  <c r="G3599" i="2"/>
  <c r="K2044" i="2"/>
  <c r="G2044" i="2"/>
  <c r="K2040" i="2"/>
  <c r="G2040" i="2"/>
  <c r="K2036" i="2"/>
  <c r="G2036" i="2"/>
  <c r="G2032" i="2"/>
  <c r="K2032" i="2"/>
  <c r="K2028" i="2"/>
  <c r="G2028" i="2"/>
  <c r="G2024" i="2"/>
  <c r="G2020" i="2"/>
  <c r="K2020" i="2"/>
  <c r="K2016" i="2"/>
  <c r="G2016" i="2"/>
  <c r="K2012" i="2"/>
  <c r="G2012" i="2"/>
  <c r="G2740" i="2"/>
  <c r="J2740" i="2"/>
  <c r="G6560" i="2"/>
  <c r="K2000" i="2"/>
  <c r="G2000" i="2"/>
  <c r="K1996" i="2"/>
  <c r="G1996" i="2"/>
  <c r="G1992" i="2"/>
  <c r="K1992" i="2"/>
  <c r="K1988" i="2"/>
  <c r="G1988" i="2"/>
  <c r="G1984" i="2"/>
  <c r="G2704" i="2"/>
  <c r="G1976" i="2"/>
  <c r="K1972" i="2"/>
  <c r="G1972" i="2"/>
  <c r="J2117" i="2"/>
  <c r="G2117" i="2"/>
  <c r="G1964" i="2"/>
  <c r="G1960" i="2"/>
  <c r="K1960" i="2"/>
  <c r="G1074" i="2"/>
  <c r="G1186" i="2"/>
  <c r="J6005" i="2"/>
  <c r="G6005" i="2"/>
  <c r="G1944" i="2"/>
  <c r="K1944" i="2"/>
  <c r="K1940" i="2"/>
  <c r="G1940" i="2"/>
  <c r="G1936" i="2"/>
  <c r="G1285" i="2"/>
  <c r="G1928" i="2"/>
  <c r="G6710" i="2"/>
  <c r="J5730" i="2"/>
  <c r="G5730" i="2"/>
  <c r="G1916" i="2"/>
  <c r="G265" i="2"/>
  <c r="G6544" i="2"/>
  <c r="G1904" i="2"/>
  <c r="G1900" i="2"/>
  <c r="G4807" i="2"/>
  <c r="J4807" i="2"/>
  <c r="K1892" i="2"/>
  <c r="G1892" i="2"/>
  <c r="G1888" i="2"/>
  <c r="G5906" i="2"/>
  <c r="G1880" i="2"/>
  <c r="G1876" i="2"/>
  <c r="G1872" i="2"/>
  <c r="K1868" i="2"/>
  <c r="G1868" i="2"/>
  <c r="G1864" i="2"/>
  <c r="G1860" i="2"/>
  <c r="G1856" i="2"/>
  <c r="G1852" i="2"/>
  <c r="G4798" i="2"/>
  <c r="G1844" i="2"/>
  <c r="K1840" i="2"/>
  <c r="G1840" i="2"/>
  <c r="G1836" i="2"/>
  <c r="K1832" i="2"/>
  <c r="G1832" i="2"/>
  <c r="K1828" i="2"/>
  <c r="G1828" i="2"/>
  <c r="G1824" i="2"/>
  <c r="J1820" i="2"/>
  <c r="G1820" i="2"/>
  <c r="G1816" i="2"/>
  <c r="K1812" i="2"/>
  <c r="G1812" i="2"/>
  <c r="K1808" i="2"/>
  <c r="G1808" i="2"/>
  <c r="G5957" i="2"/>
  <c r="K1800" i="2"/>
  <c r="G1800" i="2"/>
  <c r="G2853" i="2"/>
  <c r="G1792" i="2"/>
  <c r="G1788" i="2"/>
  <c r="J1784" i="2"/>
  <c r="G1784" i="2"/>
  <c r="K1780" i="2"/>
  <c r="G1780" i="2"/>
  <c r="K1776" i="2"/>
  <c r="G1776" i="2"/>
  <c r="K1772" i="2"/>
  <c r="G1772" i="2"/>
  <c r="K1768" i="2"/>
  <c r="G1768" i="2"/>
  <c r="G549" i="2"/>
  <c r="K1760" i="2"/>
  <c r="G1760" i="2"/>
  <c r="K1756" i="2"/>
  <c r="G1756" i="2"/>
  <c r="G1752" i="2"/>
  <c r="K1748" i="2"/>
  <c r="G1748" i="2"/>
  <c r="K1744" i="2"/>
  <c r="G1744" i="2"/>
  <c r="K1740" i="2"/>
  <c r="G1740" i="2"/>
  <c r="K1736" i="2"/>
  <c r="G1736" i="2"/>
  <c r="G1732" i="2"/>
  <c r="K1728" i="2"/>
  <c r="G1728" i="2"/>
  <c r="K1724" i="2"/>
  <c r="G1724" i="2"/>
  <c r="G1720" i="2"/>
  <c r="G1716" i="2"/>
  <c r="G2373" i="2"/>
  <c r="J1831" i="2"/>
  <c r="G1831" i="2"/>
  <c r="G1704" i="2"/>
  <c r="G1700" i="2"/>
  <c r="K1696" i="2"/>
  <c r="G1696" i="2"/>
  <c r="K1692" i="2"/>
  <c r="G1692" i="2"/>
  <c r="K1688" i="2"/>
  <c r="G1688" i="2"/>
  <c r="K1684" i="2"/>
  <c r="G1684" i="2"/>
  <c r="G6588" i="2"/>
  <c r="G1676" i="2"/>
  <c r="K1672" i="2"/>
  <c r="G1672" i="2"/>
  <c r="G1668" i="2"/>
  <c r="K1664" i="2"/>
  <c r="G1664" i="2"/>
  <c r="G1660" i="2"/>
  <c r="G45" i="2"/>
  <c r="G1652" i="2"/>
  <c r="G1648" i="2"/>
  <c r="K1644" i="2"/>
  <c r="G1644" i="2"/>
  <c r="K1640" i="2"/>
  <c r="G1640" i="2"/>
  <c r="G1636" i="2"/>
  <c r="K1632" i="2"/>
  <c r="G1632" i="2"/>
  <c r="K1628" i="2"/>
  <c r="G1628" i="2"/>
  <c r="K1624" i="2"/>
  <c r="G1624" i="2"/>
  <c r="J3569" i="2"/>
  <c r="G3569" i="2"/>
  <c r="K1616" i="2"/>
  <c r="G1616" i="2"/>
  <c r="G1612" i="2"/>
  <c r="K1608" i="2"/>
  <c r="G1608" i="2"/>
  <c r="K1604" i="2"/>
  <c r="G1604" i="2"/>
  <c r="G251" i="2"/>
  <c r="G1596" i="2"/>
  <c r="G1592" i="2"/>
  <c r="J1588" i="2"/>
  <c r="G1588" i="2"/>
  <c r="K1584" i="2"/>
  <c r="G1584" i="2"/>
  <c r="K1580" i="2"/>
  <c r="G1580" i="2"/>
  <c r="G1576" i="2"/>
  <c r="K1572" i="2"/>
  <c r="G1572" i="2"/>
  <c r="K1568" i="2"/>
  <c r="G1568" i="2"/>
  <c r="K1564" i="2"/>
  <c r="G1564" i="2"/>
  <c r="K1560" i="2"/>
  <c r="G1560" i="2"/>
  <c r="G1556" i="2"/>
  <c r="K1556" i="2"/>
  <c r="G3740" i="2"/>
  <c r="G1548" i="2"/>
  <c r="G1544" i="2"/>
  <c r="K1544" i="2"/>
  <c r="G1540" i="2"/>
  <c r="K1536" i="2"/>
  <c r="G1536" i="2"/>
  <c r="G1532" i="2"/>
  <c r="K1528" i="2"/>
  <c r="G1528" i="2"/>
  <c r="G1396" i="2"/>
  <c r="K1520" i="2"/>
  <c r="G1520" i="2"/>
  <c r="G1516" i="2"/>
  <c r="J1512" i="2"/>
  <c r="G1512" i="2"/>
  <c r="G2935" i="2"/>
  <c r="G1504" i="2"/>
  <c r="G560" i="2"/>
  <c r="G5175" i="2"/>
  <c r="K1492" i="2"/>
  <c r="G1492" i="2"/>
  <c r="G1488" i="2"/>
  <c r="G1484" i="2"/>
  <c r="K1480" i="2"/>
  <c r="G1480" i="2"/>
  <c r="G1476" i="2"/>
  <c r="K1472" i="2"/>
  <c r="G1472" i="2"/>
  <c r="K1468" i="2"/>
  <c r="G1468" i="2"/>
  <c r="K1464" i="2"/>
  <c r="G1464" i="2"/>
  <c r="K1460" i="2"/>
  <c r="G1460" i="2"/>
  <c r="K1456" i="2"/>
  <c r="G1456" i="2"/>
  <c r="J6894" i="2"/>
  <c r="G6894" i="2"/>
  <c r="G1448" i="2"/>
  <c r="G6775" i="2"/>
  <c r="G846" i="2"/>
  <c r="K1436" i="2"/>
  <c r="G1436" i="2"/>
  <c r="J3263" i="2"/>
  <c r="G3263" i="2"/>
  <c r="G1428" i="2"/>
  <c r="G1424" i="2"/>
  <c r="G4054" i="2"/>
  <c r="G1416" i="2"/>
  <c r="K1412" i="2"/>
  <c r="G1412" i="2"/>
  <c r="G248" i="2"/>
  <c r="J1404" i="2"/>
  <c r="G1404" i="2"/>
  <c r="G1400" i="2"/>
  <c r="G6062" i="2"/>
  <c r="G6908" i="2"/>
  <c r="G1388" i="2"/>
  <c r="G433" i="2"/>
  <c r="G1380" i="2"/>
  <c r="G1376" i="2"/>
  <c r="G1372" i="2"/>
  <c r="G1368" i="2"/>
  <c r="J6485" i="2"/>
  <c r="G6485" i="2"/>
  <c r="K1360" i="2"/>
  <c r="G1360" i="2"/>
  <c r="K1356" i="2"/>
  <c r="G1356" i="2"/>
  <c r="K1352" i="2"/>
  <c r="G1352" i="2"/>
  <c r="K1348" i="2"/>
  <c r="G1348" i="2"/>
  <c r="K1344" i="2"/>
  <c r="G1344" i="2"/>
  <c r="G1340" i="2"/>
  <c r="K1336" i="2"/>
  <c r="G1336" i="2"/>
  <c r="G1332" i="2"/>
  <c r="K1328" i="2"/>
  <c r="G1328" i="2"/>
  <c r="K1324" i="2"/>
  <c r="G1324" i="2"/>
  <c r="K1320" i="2"/>
  <c r="G1320" i="2"/>
  <c r="K1316" i="2"/>
  <c r="G1316" i="2"/>
  <c r="K1312" i="2"/>
  <c r="G1312" i="2"/>
  <c r="K1308" i="2"/>
  <c r="G1308" i="2"/>
  <c r="G1304" i="2"/>
  <c r="K1300" i="2"/>
  <c r="G1300" i="2"/>
  <c r="G1231" i="2"/>
  <c r="K1292" i="2"/>
  <c r="G1292" i="2"/>
  <c r="J5483" i="2"/>
  <c r="G5483" i="2"/>
  <c r="G5850" i="2"/>
  <c r="G1280" i="2"/>
  <c r="G1911" i="2"/>
  <c r="G1272" i="2"/>
  <c r="K1268" i="2"/>
  <c r="G1268" i="2"/>
  <c r="G2477" i="2"/>
  <c r="J1260" i="2"/>
  <c r="G1260" i="2"/>
  <c r="G1256" i="2"/>
  <c r="G1252" i="2"/>
  <c r="K1248" i="2"/>
  <c r="G1248" i="2"/>
  <c r="G1244" i="2"/>
  <c r="G1240" i="2"/>
  <c r="J1236" i="2"/>
  <c r="G1236" i="2"/>
  <c r="G1199" i="2"/>
  <c r="G7111" i="2"/>
  <c r="G5131" i="2"/>
  <c r="G1220" i="2"/>
  <c r="G1216" i="2"/>
  <c r="G1212" i="2"/>
  <c r="G1208" i="2"/>
  <c r="G1204" i="2"/>
  <c r="J2172" i="2"/>
  <c r="G2172" i="2"/>
  <c r="G1196" i="2"/>
  <c r="G1192" i="2"/>
  <c r="K1188" i="2"/>
  <c r="G1188" i="2"/>
  <c r="K1184" i="2"/>
  <c r="G1184" i="2"/>
  <c r="G3929" i="2"/>
  <c r="G1176" i="2"/>
  <c r="K1172" i="2"/>
  <c r="G1172" i="2"/>
  <c r="G1168" i="2"/>
  <c r="G1164" i="2"/>
  <c r="G1160" i="2"/>
  <c r="G1156" i="2"/>
  <c r="G2086" i="2"/>
  <c r="G1148" i="2"/>
  <c r="G1144" i="2"/>
  <c r="K1140" i="2"/>
  <c r="G1140" i="2"/>
  <c r="K1136" i="2"/>
  <c r="G1136" i="2"/>
  <c r="K1132" i="2"/>
  <c r="G1132" i="2"/>
  <c r="K1128" i="2"/>
  <c r="G1128" i="2"/>
  <c r="K1124" i="2"/>
  <c r="G1124" i="2"/>
  <c r="G1120" i="2"/>
  <c r="K1116" i="2"/>
  <c r="G1116" i="2"/>
  <c r="J5513" i="2"/>
  <c r="G5513" i="2"/>
  <c r="G1108" i="2"/>
  <c r="G3538" i="2"/>
  <c r="G1100" i="2"/>
  <c r="G1096" i="2"/>
  <c r="G3725" i="2"/>
  <c r="K1088" i="2"/>
  <c r="G1088" i="2"/>
  <c r="J4828" i="2"/>
  <c r="G4828" i="2"/>
  <c r="G1080" i="2"/>
  <c r="G812" i="2"/>
  <c r="G1072" i="2"/>
  <c r="K1068" i="2"/>
  <c r="G1068" i="2"/>
  <c r="G6592" i="2"/>
  <c r="J1577" i="2"/>
  <c r="G1577" i="2"/>
  <c r="G3881" i="2"/>
  <c r="G1052" i="2"/>
  <c r="G1048" i="2"/>
  <c r="G1526" i="2"/>
  <c r="G1040" i="2"/>
  <c r="G1036" i="2"/>
  <c r="G1032" i="2"/>
  <c r="K1028" i="2"/>
  <c r="G1028" i="2"/>
  <c r="J2698" i="2"/>
  <c r="G2698" i="2"/>
  <c r="G1020" i="2"/>
  <c r="G2690" i="2"/>
  <c r="G2827" i="2"/>
  <c r="J1008" i="2"/>
  <c r="G1008" i="2"/>
  <c r="G1004" i="2"/>
  <c r="K1000" i="2"/>
  <c r="G1000" i="2"/>
  <c r="G1446" i="2"/>
  <c r="K992" i="2"/>
  <c r="G992" i="2"/>
  <c r="G988" i="2"/>
  <c r="G984" i="2"/>
  <c r="K980" i="2"/>
  <c r="G980" i="2"/>
  <c r="G976" i="2"/>
  <c r="G972" i="2"/>
  <c r="K968" i="2"/>
  <c r="G968" i="2"/>
  <c r="J967" i="2"/>
  <c r="G967" i="2"/>
  <c r="G960" i="2"/>
  <c r="G6601" i="2"/>
  <c r="K952" i="2"/>
  <c r="G952" i="2"/>
  <c r="K948" i="2"/>
  <c r="G948" i="2"/>
  <c r="K944" i="2"/>
  <c r="G944" i="2"/>
  <c r="G804" i="2"/>
  <c r="G936" i="2"/>
  <c r="G932" i="2"/>
  <c r="J7214" i="2"/>
  <c r="G7214" i="2"/>
  <c r="G924" i="2"/>
  <c r="K920" i="2"/>
  <c r="G920" i="2"/>
  <c r="K916" i="2"/>
  <c r="G916" i="2"/>
  <c r="K912" i="2"/>
  <c r="G912" i="2"/>
  <c r="G908" i="2"/>
  <c r="K904" i="2"/>
  <c r="G904" i="2"/>
  <c r="K900" i="2"/>
  <c r="G900" i="2"/>
  <c r="K896" i="2"/>
  <c r="G896" i="2"/>
  <c r="G660" i="2"/>
  <c r="K888" i="2"/>
  <c r="G888" i="2"/>
  <c r="K884" i="2"/>
  <c r="G884" i="2"/>
  <c r="K880" i="2"/>
  <c r="G880" i="2"/>
  <c r="K876" i="2"/>
  <c r="G876" i="2"/>
  <c r="G872" i="2"/>
  <c r="K868" i="2"/>
  <c r="G868" i="2"/>
  <c r="G3521" i="2"/>
  <c r="K860" i="2"/>
  <c r="G860" i="2"/>
  <c r="G824" i="2"/>
  <c r="J852" i="2"/>
  <c r="G852" i="2"/>
  <c r="K848" i="2"/>
  <c r="G848" i="2"/>
  <c r="K844" i="2"/>
  <c r="G844" i="2"/>
  <c r="G840" i="2"/>
  <c r="K836" i="2"/>
  <c r="G836" i="2"/>
  <c r="K832" i="2"/>
  <c r="G832" i="2"/>
  <c r="G828" i="2"/>
  <c r="G3490" i="2"/>
  <c r="G4058" i="2"/>
  <c r="K816" i="2"/>
  <c r="G816" i="2"/>
  <c r="G6486" i="2"/>
  <c r="G808" i="2"/>
  <c r="J808" i="2"/>
  <c r="G3863" i="2"/>
  <c r="G800" i="2"/>
  <c r="G796" i="2"/>
  <c r="J5166" i="2"/>
  <c r="G5166" i="2"/>
  <c r="G788" i="2"/>
  <c r="K784" i="2"/>
  <c r="G784" i="2"/>
  <c r="K780" i="2"/>
  <c r="G780" i="2"/>
  <c r="K776" i="2"/>
  <c r="G776" i="2"/>
  <c r="G772" i="2"/>
  <c r="G768" i="2"/>
  <c r="G3750" i="2"/>
  <c r="J760" i="2"/>
  <c r="G760" i="2"/>
  <c r="G756" i="2"/>
  <c r="G752" i="2"/>
  <c r="G3999" i="2"/>
  <c r="G744" i="2"/>
  <c r="G2849" i="2"/>
  <c r="G736" i="2"/>
  <c r="K732" i="2"/>
  <c r="G732" i="2"/>
  <c r="G728" i="2"/>
  <c r="K728" i="2"/>
  <c r="K724" i="2"/>
  <c r="G724" i="2"/>
  <c r="G720" i="2"/>
  <c r="K716" i="2"/>
  <c r="G716" i="2"/>
  <c r="K712" i="2"/>
  <c r="G712" i="2"/>
  <c r="K708" i="2"/>
  <c r="G708" i="2"/>
  <c r="K704" i="2"/>
  <c r="G704" i="2"/>
  <c r="J965" i="2"/>
  <c r="G965" i="2"/>
  <c r="G207" i="2"/>
  <c r="G5851" i="2"/>
  <c r="K688" i="2"/>
  <c r="G688" i="2"/>
  <c r="G2181" i="2"/>
  <c r="J743" i="2"/>
  <c r="G743" i="2"/>
  <c r="G506" i="2"/>
  <c r="K672" i="2"/>
  <c r="G672" i="2"/>
  <c r="K668" i="2"/>
  <c r="G668" i="2"/>
  <c r="G664" i="2"/>
  <c r="G6542" i="2"/>
  <c r="J5032" i="2"/>
  <c r="G5032" i="2"/>
  <c r="G1613" i="2"/>
  <c r="G648" i="2"/>
  <c r="K644" i="2"/>
  <c r="G644" i="2"/>
  <c r="K640" i="2"/>
  <c r="G640" i="2"/>
  <c r="K636" i="2"/>
  <c r="G636" i="2"/>
  <c r="K632" i="2"/>
  <c r="G632" i="2"/>
  <c r="K628" i="2"/>
  <c r="G628" i="2"/>
  <c r="K624" i="2"/>
  <c r="G624" i="2"/>
  <c r="K620" i="2"/>
  <c r="G620" i="2"/>
  <c r="K616" i="2"/>
  <c r="G616" i="2"/>
  <c r="K612" i="2"/>
  <c r="G612" i="2"/>
  <c r="G608" i="2"/>
  <c r="G604" i="2"/>
  <c r="K600" i="2"/>
  <c r="G600" i="2"/>
  <c r="K596" i="2"/>
  <c r="G596" i="2"/>
  <c r="K592" i="2"/>
  <c r="G592" i="2"/>
  <c r="G588" i="2"/>
  <c r="K588" i="2"/>
  <c r="K584" i="2"/>
  <c r="G584" i="2"/>
  <c r="K580" i="2"/>
  <c r="G580" i="2"/>
  <c r="K576" i="2"/>
  <c r="G576" i="2"/>
  <c r="G572" i="2"/>
  <c r="G568" i="2"/>
  <c r="K564" i="2"/>
  <c r="G564" i="2"/>
  <c r="J6917" i="2"/>
  <c r="G6917" i="2"/>
  <c r="G556" i="2"/>
  <c r="G552" i="2"/>
  <c r="G5542" i="2"/>
  <c r="J544" i="2"/>
  <c r="G544" i="2"/>
  <c r="G540" i="2"/>
  <c r="G7103" i="2"/>
  <c r="K532" i="2"/>
  <c r="G532" i="2"/>
  <c r="K528" i="2"/>
  <c r="G528" i="2"/>
  <c r="G524" i="2"/>
  <c r="K524" i="2"/>
  <c r="K520" i="2"/>
  <c r="G520" i="2"/>
  <c r="G516" i="2"/>
  <c r="G6097" i="2"/>
  <c r="K508" i="2"/>
  <c r="G508" i="2"/>
  <c r="G504" i="2"/>
  <c r="G500" i="2"/>
  <c r="G496" i="2"/>
  <c r="K492" i="2"/>
  <c r="G492" i="2"/>
  <c r="G488" i="2"/>
  <c r="K488" i="2"/>
  <c r="J484" i="2"/>
  <c r="G484" i="2"/>
  <c r="G480" i="2"/>
  <c r="G476" i="2"/>
  <c r="K472" i="2"/>
  <c r="G472" i="2"/>
  <c r="K468" i="2"/>
  <c r="G468" i="2"/>
  <c r="K464" i="2"/>
  <c r="G464" i="2"/>
  <c r="K460" i="2"/>
  <c r="G460" i="2"/>
  <c r="G456" i="2"/>
  <c r="K456" i="2"/>
  <c r="G452" i="2"/>
  <c r="G448" i="2"/>
  <c r="G444" i="2"/>
  <c r="J3447" i="2"/>
  <c r="G3447" i="2"/>
  <c r="G813" i="2"/>
  <c r="G432" i="2"/>
  <c r="G5815" i="2"/>
  <c r="G424" i="2"/>
  <c r="K420" i="2"/>
  <c r="G420" i="2"/>
  <c r="G416" i="2"/>
  <c r="J1057" i="2"/>
  <c r="G1057" i="2"/>
  <c r="G5816" i="2"/>
  <c r="G4211" i="2"/>
  <c r="G209" i="2"/>
  <c r="J3890" i="2"/>
  <c r="G3890" i="2"/>
  <c r="G1884" i="2"/>
  <c r="G388" i="2"/>
  <c r="K388" i="2"/>
  <c r="K384" i="2"/>
  <c r="G384" i="2"/>
  <c r="G380" i="2"/>
  <c r="G376" i="2"/>
  <c r="J5843" i="2"/>
  <c r="G5843" i="2"/>
  <c r="K368" i="2"/>
  <c r="G368" i="2"/>
  <c r="G2965" i="2"/>
  <c r="G5794" i="2"/>
  <c r="G356" i="2"/>
  <c r="G352" i="2"/>
  <c r="G348" i="2"/>
  <c r="G344" i="2"/>
  <c r="G340" i="2"/>
  <c r="G6571" i="2"/>
  <c r="J5165" i="2"/>
  <c r="G5165" i="2"/>
  <c r="G2299" i="2"/>
  <c r="G5313" i="2"/>
  <c r="G320" i="2"/>
  <c r="G316" i="2"/>
  <c r="K312" i="2"/>
  <c r="G312" i="2"/>
  <c r="K308" i="2"/>
  <c r="G308" i="2"/>
  <c r="G304" i="2"/>
  <c r="J304" i="2"/>
  <c r="J5340" i="2"/>
  <c r="G5340" i="2"/>
  <c r="K296" i="2"/>
  <c r="G296" i="2"/>
  <c r="G292" i="2"/>
  <c r="K292" i="2"/>
  <c r="G288" i="2"/>
  <c r="K284" i="2"/>
  <c r="G284" i="2"/>
  <c r="G280" i="2"/>
  <c r="K276" i="2"/>
  <c r="G276" i="2"/>
  <c r="K272" i="2"/>
  <c r="G272" i="2"/>
  <c r="K268" i="2"/>
  <c r="G268" i="2"/>
  <c r="K264" i="2"/>
  <c r="G264" i="2"/>
  <c r="K260" i="2"/>
  <c r="G260" i="2"/>
  <c r="G3173" i="2"/>
  <c r="G252" i="2"/>
  <c r="J1442" i="2"/>
  <c r="G1442" i="2"/>
  <c r="G244" i="2"/>
  <c r="G3419" i="2"/>
  <c r="G2902" i="2"/>
  <c r="K232" i="2"/>
  <c r="G232" i="2"/>
  <c r="G228" i="2"/>
  <c r="J3017" i="2"/>
  <c r="G3017" i="2"/>
  <c r="G220" i="2"/>
  <c r="G614" i="2"/>
  <c r="G212" i="2"/>
  <c r="G4004" i="2"/>
  <c r="G204" i="2"/>
  <c r="J200" i="2"/>
  <c r="G200" i="2"/>
  <c r="G5101" i="2"/>
  <c r="K192" i="2"/>
  <c r="G192" i="2"/>
  <c r="K188" i="2"/>
  <c r="G188" i="2"/>
  <c r="G184" i="2"/>
  <c r="G180" i="2"/>
  <c r="G6859" i="2"/>
  <c r="J172" i="2"/>
  <c r="G172" i="2"/>
  <c r="K168" i="2"/>
  <c r="G168" i="2"/>
  <c r="G164" i="2"/>
  <c r="G160" i="2"/>
  <c r="K156" i="2"/>
  <c r="G156" i="2"/>
  <c r="K152" i="2"/>
  <c r="G152" i="2"/>
  <c r="G148" i="2"/>
  <c r="G144" i="2"/>
  <c r="J144" i="2"/>
  <c r="G140" i="2"/>
  <c r="G7053" i="2"/>
  <c r="K132" i="2"/>
  <c r="G132" i="2"/>
  <c r="G6671" i="2"/>
  <c r="G124" i="2"/>
  <c r="G120" i="2"/>
  <c r="G116" i="2"/>
  <c r="K112" i="2"/>
  <c r="G112" i="2"/>
  <c r="G108" i="2"/>
  <c r="J2023" i="2"/>
  <c r="G2023" i="2"/>
  <c r="G100" i="2"/>
  <c r="G96" i="2"/>
  <c r="G445" i="2"/>
  <c r="K88" i="2"/>
  <c r="G88" i="2"/>
  <c r="G4404" i="2"/>
  <c r="K80" i="2"/>
  <c r="G80" i="2"/>
  <c r="G76" i="2"/>
  <c r="J76" i="2"/>
  <c r="G72" i="2"/>
  <c r="G68" i="2"/>
  <c r="K68" i="2"/>
  <c r="G64" i="2"/>
  <c r="G60" i="2"/>
  <c r="K56" i="2"/>
  <c r="G56" i="2"/>
  <c r="K52" i="2"/>
  <c r="G52" i="2"/>
  <c r="K48" i="2"/>
  <c r="G48" i="2"/>
  <c r="G246" i="2"/>
  <c r="K40" i="2"/>
  <c r="G40" i="2"/>
  <c r="G36" i="2"/>
  <c r="K32" i="2"/>
  <c r="G32" i="2"/>
  <c r="G28" i="2"/>
  <c r="J24" i="2"/>
  <c r="G24" i="2"/>
  <c r="G20" i="2"/>
  <c r="K16" i="2"/>
  <c r="G16" i="2"/>
  <c r="K12" i="2"/>
  <c r="G12" i="2"/>
  <c r="K8" i="2"/>
  <c r="G8" i="2"/>
  <c r="G4" i="2"/>
  <c r="K4" i="2"/>
  <c r="I9998" i="2"/>
  <c r="G9998" i="2"/>
  <c r="I9994" i="2"/>
  <c r="G9994" i="2"/>
  <c r="G9990" i="2"/>
  <c r="I9986" i="2"/>
  <c r="G9986" i="2"/>
  <c r="I9982" i="2"/>
  <c r="G9982" i="2"/>
  <c r="I9978" i="2"/>
  <c r="G9978" i="2"/>
  <c r="G9974" i="2"/>
  <c r="I9970" i="2"/>
  <c r="G9970" i="2"/>
  <c r="I9966" i="2"/>
  <c r="G9966" i="2"/>
  <c r="I9962" i="2"/>
  <c r="G9962" i="2"/>
  <c r="G9958" i="2"/>
  <c r="I9954" i="2"/>
  <c r="G9954" i="2"/>
  <c r="I9950" i="2"/>
  <c r="G9950" i="2"/>
  <c r="I9946" i="2"/>
  <c r="G9946" i="2"/>
  <c r="G9942" i="2"/>
  <c r="I9938" i="2"/>
  <c r="G9938" i="2"/>
  <c r="I9934" i="2"/>
  <c r="G9934" i="2"/>
  <c r="I9930" i="2"/>
  <c r="G9930" i="2"/>
  <c r="G9926" i="2"/>
  <c r="I9922" i="2"/>
  <c r="G9922" i="2"/>
  <c r="I9918" i="2"/>
  <c r="G9918" i="2"/>
  <c r="I9914" i="2"/>
  <c r="G9914" i="2"/>
  <c r="G9910" i="2"/>
  <c r="I9906" i="2"/>
  <c r="G9906" i="2"/>
  <c r="I9902" i="2"/>
  <c r="G9902" i="2"/>
  <c r="I9898" i="2"/>
  <c r="G9898" i="2"/>
  <c r="G9894" i="2"/>
  <c r="I9890" i="2"/>
  <c r="G9890" i="2"/>
  <c r="I9886" i="2"/>
  <c r="G9886" i="2"/>
  <c r="I9882" i="2"/>
  <c r="G9882" i="2"/>
  <c r="G9878" i="2"/>
  <c r="I9874" i="2"/>
  <c r="G9874" i="2"/>
  <c r="I9870" i="2"/>
  <c r="G9870" i="2"/>
  <c r="I9866" i="2"/>
  <c r="G9866" i="2"/>
  <c r="G9862" i="2"/>
  <c r="I9858" i="2"/>
  <c r="G9858" i="2"/>
  <c r="I9854" i="2"/>
  <c r="G9854" i="2"/>
  <c r="I9850" i="2"/>
  <c r="G9850" i="2"/>
  <c r="G9846" i="2"/>
  <c r="I9842" i="2"/>
  <c r="G9842" i="2"/>
  <c r="I9838" i="2"/>
  <c r="G9838" i="2"/>
  <c r="I9834" i="2"/>
  <c r="G9834" i="2"/>
  <c r="G9830" i="2"/>
  <c r="I9826" i="2"/>
  <c r="G9826" i="2"/>
  <c r="I9822" i="2"/>
  <c r="G9822" i="2"/>
  <c r="I9818" i="2"/>
  <c r="G9818" i="2"/>
  <c r="G9814" i="2"/>
  <c r="I9810" i="2"/>
  <c r="G9810" i="2"/>
  <c r="I9806" i="2"/>
  <c r="G9806" i="2"/>
  <c r="I9802" i="2"/>
  <c r="G9802" i="2"/>
  <c r="G9798" i="2"/>
  <c r="I9794" i="2"/>
  <c r="G9794" i="2"/>
  <c r="I9790" i="2"/>
  <c r="G9790" i="2"/>
  <c r="I9786" i="2"/>
  <c r="G9786" i="2"/>
  <c r="G9782" i="2"/>
  <c r="I9778" i="2"/>
  <c r="G9778" i="2"/>
  <c r="I9774" i="2"/>
  <c r="G9774" i="2"/>
  <c r="I9770" i="2"/>
  <c r="G9770" i="2"/>
  <c r="G9766" i="2"/>
  <c r="I9762" i="2"/>
  <c r="G9762" i="2"/>
  <c r="I9758" i="2"/>
  <c r="G9758" i="2"/>
  <c r="I9754" i="2"/>
  <c r="G9754" i="2"/>
  <c r="G9750" i="2"/>
  <c r="I9746" i="2"/>
  <c r="G9746" i="2"/>
  <c r="I9742" i="2"/>
  <c r="G9742" i="2"/>
  <c r="I9738" i="2"/>
  <c r="G9738" i="2"/>
  <c r="G9734" i="2"/>
  <c r="I9730" i="2"/>
  <c r="G9730" i="2"/>
  <c r="I9726" i="2"/>
  <c r="G9726" i="2"/>
  <c r="I9722" i="2"/>
  <c r="G9722" i="2"/>
  <c r="G9718" i="2"/>
  <c r="I9714" i="2"/>
  <c r="G9714" i="2"/>
  <c r="I9710" i="2"/>
  <c r="G9710" i="2"/>
  <c r="I9706" i="2"/>
  <c r="G9706" i="2"/>
  <c r="G9702" i="2"/>
  <c r="I9698" i="2"/>
  <c r="G9698" i="2"/>
  <c r="I9694" i="2"/>
  <c r="G9694" i="2"/>
  <c r="I9690" i="2"/>
  <c r="G9690" i="2"/>
  <c r="G9686" i="2"/>
  <c r="I9682" i="2"/>
  <c r="G9682" i="2"/>
  <c r="I9678" i="2"/>
  <c r="G9678" i="2"/>
  <c r="I9674" i="2"/>
  <c r="G9674" i="2"/>
  <c r="G9670" i="2"/>
  <c r="I9666" i="2"/>
  <c r="G9666" i="2"/>
  <c r="I9662" i="2"/>
  <c r="G9662" i="2"/>
  <c r="I9658" i="2"/>
  <c r="G9658" i="2"/>
  <c r="G9654" i="2"/>
  <c r="I9650" i="2"/>
  <c r="G9650" i="2"/>
  <c r="I9646" i="2"/>
  <c r="G9646" i="2"/>
  <c r="I9642" i="2"/>
  <c r="G9642" i="2"/>
  <c r="G9638" i="2"/>
  <c r="I9634" i="2"/>
  <c r="G9634" i="2"/>
  <c r="I9630" i="2"/>
  <c r="G9630" i="2"/>
  <c r="I9626" i="2"/>
  <c r="G9626" i="2"/>
  <c r="G9622" i="2"/>
  <c r="I9618" i="2"/>
  <c r="G9618" i="2"/>
  <c r="I9614" i="2"/>
  <c r="G9614" i="2"/>
  <c r="I9610" i="2"/>
  <c r="G9610" i="2"/>
  <c r="G9606" i="2"/>
  <c r="I9602" i="2"/>
  <c r="G9602" i="2"/>
  <c r="I9598" i="2"/>
  <c r="G9598" i="2"/>
  <c r="I9594" i="2"/>
  <c r="G9594" i="2"/>
  <c r="G9590" i="2"/>
  <c r="I9586" i="2"/>
  <c r="G9586" i="2"/>
  <c r="I9582" i="2"/>
  <c r="G9582" i="2"/>
  <c r="I9578" i="2"/>
  <c r="G9578" i="2"/>
  <c r="G9574" i="2"/>
  <c r="I9570" i="2"/>
  <c r="G9570" i="2"/>
  <c r="I9566" i="2"/>
  <c r="G9566" i="2"/>
  <c r="I9562" i="2"/>
  <c r="G9562" i="2"/>
  <c r="G9558" i="2"/>
  <c r="I9554" i="2"/>
  <c r="G9554" i="2"/>
  <c r="I9550" i="2"/>
  <c r="G9550" i="2"/>
  <c r="I9546" i="2"/>
  <c r="G9546" i="2"/>
  <c r="G9542" i="2"/>
  <c r="I9538" i="2"/>
  <c r="G9538" i="2"/>
  <c r="I9534" i="2"/>
  <c r="G9534" i="2"/>
  <c r="I9530" i="2"/>
  <c r="G9530" i="2"/>
  <c r="G9526" i="2"/>
  <c r="I9522" i="2"/>
  <c r="G9522" i="2"/>
  <c r="I9518" i="2"/>
  <c r="G9518" i="2"/>
  <c r="I9514" i="2"/>
  <c r="G9514" i="2"/>
  <c r="G9510" i="2"/>
  <c r="I9506" i="2"/>
  <c r="G9506" i="2"/>
  <c r="I9502" i="2"/>
  <c r="G9502" i="2"/>
  <c r="I9498" i="2"/>
  <c r="G9498" i="2"/>
  <c r="G9494" i="2"/>
  <c r="I9490" i="2"/>
  <c r="G9490" i="2"/>
  <c r="I9486" i="2"/>
  <c r="G9486" i="2"/>
  <c r="I9482" i="2"/>
  <c r="G9482" i="2"/>
  <c r="G9478" i="2"/>
  <c r="I9474" i="2"/>
  <c r="G9474" i="2"/>
  <c r="I9470" i="2"/>
  <c r="G9470" i="2"/>
  <c r="I9466" i="2"/>
  <c r="G9466" i="2"/>
  <c r="G9462" i="2"/>
  <c r="I9458" i="2"/>
  <c r="G9458" i="2"/>
  <c r="I9454" i="2"/>
  <c r="G9454" i="2"/>
  <c r="I9450" i="2"/>
  <c r="G9450" i="2"/>
  <c r="G9446" i="2"/>
  <c r="I9442" i="2"/>
  <c r="G9442" i="2"/>
  <c r="I9438" i="2"/>
  <c r="G9438" i="2"/>
  <c r="I9434" i="2"/>
  <c r="G9434" i="2"/>
  <c r="G9430" i="2"/>
  <c r="I9426" i="2"/>
  <c r="G9426" i="2"/>
  <c r="I9422" i="2"/>
  <c r="G9422" i="2"/>
  <c r="I9418" i="2"/>
  <c r="G9418" i="2"/>
  <c r="G9414" i="2"/>
  <c r="I9410" i="2"/>
  <c r="G9410" i="2"/>
  <c r="I9406" i="2"/>
  <c r="G9406" i="2"/>
  <c r="I9402" i="2"/>
  <c r="G9402" i="2"/>
  <c r="G9398" i="2"/>
  <c r="I9394" i="2"/>
  <c r="G9394" i="2"/>
  <c r="I9390" i="2"/>
  <c r="G9390" i="2"/>
  <c r="I9386" i="2"/>
  <c r="G9386" i="2"/>
  <c r="G9382" i="2"/>
  <c r="I9378" i="2"/>
  <c r="G9378" i="2"/>
  <c r="I9374" i="2"/>
  <c r="G9374" i="2"/>
  <c r="I9370" i="2"/>
  <c r="G9370" i="2"/>
  <c r="G9366" i="2"/>
  <c r="I9362" i="2"/>
  <c r="G9362" i="2"/>
  <c r="I9358" i="2"/>
  <c r="G9358" i="2"/>
  <c r="I9354" i="2"/>
  <c r="G9354" i="2"/>
  <c r="G9350" i="2"/>
  <c r="I9346" i="2"/>
  <c r="G9346" i="2"/>
  <c r="I9342" i="2"/>
  <c r="G9342" i="2"/>
  <c r="I9338" i="2"/>
  <c r="G9338" i="2"/>
  <c r="G9334" i="2"/>
  <c r="I9330" i="2"/>
  <c r="G9330" i="2"/>
  <c r="I9326" i="2"/>
  <c r="G9326" i="2"/>
  <c r="I9322" i="2"/>
  <c r="G9322" i="2"/>
  <c r="G9318" i="2"/>
  <c r="I9314" i="2"/>
  <c r="G9314" i="2"/>
  <c r="I9310" i="2"/>
  <c r="G9310" i="2"/>
  <c r="I9306" i="2"/>
  <c r="G9306" i="2"/>
  <c r="G9302" i="2"/>
  <c r="I9298" i="2"/>
  <c r="G9298" i="2"/>
  <c r="I9294" i="2"/>
  <c r="G9294" i="2"/>
  <c r="I9290" i="2"/>
  <c r="G9290" i="2"/>
  <c r="G9286" i="2"/>
  <c r="I9282" i="2"/>
  <c r="G9282" i="2"/>
  <c r="I9278" i="2"/>
  <c r="G9278" i="2"/>
  <c r="I9274" i="2"/>
  <c r="G9274" i="2"/>
  <c r="G9270" i="2"/>
  <c r="I9266" i="2"/>
  <c r="G9266" i="2"/>
  <c r="I9262" i="2"/>
  <c r="G9262" i="2"/>
  <c r="I9258" i="2"/>
  <c r="G9258" i="2"/>
  <c r="G9254" i="2"/>
  <c r="I9250" i="2"/>
  <c r="G9250" i="2"/>
  <c r="I9246" i="2"/>
  <c r="G9246" i="2"/>
  <c r="I9242" i="2"/>
  <c r="G9242" i="2"/>
  <c r="G9238" i="2"/>
  <c r="I9234" i="2"/>
  <c r="G9234" i="2"/>
  <c r="I9230" i="2"/>
  <c r="G9230" i="2"/>
  <c r="I9226" i="2"/>
  <c r="G9226" i="2"/>
  <c r="G9222" i="2"/>
  <c r="I9218" i="2"/>
  <c r="G9218" i="2"/>
  <c r="I9214" i="2"/>
  <c r="G9214" i="2"/>
  <c r="I9210" i="2"/>
  <c r="G9210" i="2"/>
  <c r="G9206" i="2"/>
  <c r="I9202" i="2"/>
  <c r="G9202" i="2"/>
  <c r="I9198" i="2"/>
  <c r="G9198" i="2"/>
  <c r="I9194" i="2"/>
  <c r="G9194" i="2"/>
  <c r="G9190" i="2"/>
  <c r="I9186" i="2"/>
  <c r="G9186" i="2"/>
  <c r="I9182" i="2"/>
  <c r="G9182" i="2"/>
  <c r="I9178" i="2"/>
  <c r="G9178" i="2"/>
  <c r="G9174" i="2"/>
  <c r="I9170" i="2"/>
  <c r="G9170" i="2"/>
  <c r="I9166" i="2"/>
  <c r="G9166" i="2"/>
  <c r="I9162" i="2"/>
  <c r="G9162" i="2"/>
  <c r="G9158" i="2"/>
  <c r="I9154" i="2"/>
  <c r="G9154" i="2"/>
  <c r="I9150" i="2"/>
  <c r="G9150" i="2"/>
  <c r="I9146" i="2"/>
  <c r="G9146" i="2"/>
  <c r="G9142" i="2"/>
  <c r="I9138" i="2"/>
  <c r="G9138" i="2"/>
  <c r="I9134" i="2"/>
  <c r="G9134" i="2"/>
  <c r="I9130" i="2"/>
  <c r="G9130" i="2"/>
  <c r="G9126" i="2"/>
  <c r="I9122" i="2"/>
  <c r="G9122" i="2"/>
  <c r="I9118" i="2"/>
  <c r="G9118" i="2"/>
  <c r="I9114" i="2"/>
  <c r="G9114" i="2"/>
  <c r="G9110" i="2"/>
  <c r="I9106" i="2"/>
  <c r="G9106" i="2"/>
  <c r="I9102" i="2"/>
  <c r="G9102" i="2"/>
  <c r="I9098" i="2"/>
  <c r="G9098" i="2"/>
  <c r="G9094" i="2"/>
  <c r="I9090" i="2"/>
  <c r="G9090" i="2"/>
  <c r="I9086" i="2"/>
  <c r="G9086" i="2"/>
  <c r="I9082" i="2"/>
  <c r="G9082" i="2"/>
  <c r="G9078" i="2"/>
  <c r="I9074" i="2"/>
  <c r="G9074" i="2"/>
  <c r="I9070" i="2"/>
  <c r="G9070" i="2"/>
  <c r="I9066" i="2"/>
  <c r="G9066" i="2"/>
  <c r="G9062" i="2"/>
  <c r="I9058" i="2"/>
  <c r="G9058" i="2"/>
  <c r="I9054" i="2"/>
  <c r="G9054" i="2"/>
  <c r="I9050" i="2"/>
  <c r="G9050" i="2"/>
  <c r="G9046" i="2"/>
  <c r="I9042" i="2"/>
  <c r="G9042" i="2"/>
  <c r="I9038" i="2"/>
  <c r="G9038" i="2"/>
  <c r="I9034" i="2"/>
  <c r="G9034" i="2"/>
  <c r="G9030" i="2"/>
  <c r="I9026" i="2"/>
  <c r="G9026" i="2"/>
  <c r="I9022" i="2"/>
  <c r="G9022" i="2"/>
  <c r="I9018" i="2"/>
  <c r="G9018" i="2"/>
  <c r="G9014" i="2"/>
  <c r="I9010" i="2"/>
  <c r="G9010" i="2"/>
  <c r="I9006" i="2"/>
  <c r="G9006" i="2"/>
  <c r="I9002" i="2"/>
  <c r="G9002" i="2"/>
  <c r="G8998" i="2"/>
  <c r="I8994" i="2"/>
  <c r="G8994" i="2"/>
  <c r="I8990" i="2"/>
  <c r="G8990" i="2"/>
  <c r="I8986" i="2"/>
  <c r="G8986" i="2"/>
  <c r="G8982" i="2"/>
  <c r="I8978" i="2"/>
  <c r="G8978" i="2"/>
  <c r="I8974" i="2"/>
  <c r="G8974" i="2"/>
  <c r="I8970" i="2"/>
  <c r="G8970" i="2"/>
  <c r="G8966" i="2"/>
  <c r="I8962" i="2"/>
  <c r="G8962" i="2"/>
  <c r="I8958" i="2"/>
  <c r="G8958" i="2"/>
  <c r="I8954" i="2"/>
  <c r="G8954" i="2"/>
  <c r="G8950" i="2"/>
  <c r="I8946" i="2"/>
  <c r="G8946" i="2"/>
  <c r="I8942" i="2"/>
  <c r="G8942" i="2"/>
  <c r="I8938" i="2"/>
  <c r="G8938" i="2"/>
  <c r="G8934" i="2"/>
  <c r="I8930" i="2"/>
  <c r="G8930" i="2"/>
  <c r="I8926" i="2"/>
  <c r="G8926" i="2"/>
  <c r="I8922" i="2"/>
  <c r="G8922" i="2"/>
  <c r="G8918" i="2"/>
  <c r="I8914" i="2"/>
  <c r="G8914" i="2"/>
  <c r="I8910" i="2"/>
  <c r="G8910" i="2"/>
  <c r="I8906" i="2"/>
  <c r="G8906" i="2"/>
  <c r="G8902" i="2"/>
  <c r="I8898" i="2"/>
  <c r="G8898" i="2"/>
  <c r="I8894" i="2"/>
  <c r="G8894" i="2"/>
  <c r="I8890" i="2"/>
  <c r="G8890" i="2"/>
  <c r="G8886" i="2"/>
  <c r="I8882" i="2"/>
  <c r="G8882" i="2"/>
  <c r="I8878" i="2"/>
  <c r="G8878" i="2"/>
  <c r="I8874" i="2"/>
  <c r="G8874" i="2"/>
  <c r="G8870" i="2"/>
  <c r="I8866" i="2"/>
  <c r="G8866" i="2"/>
  <c r="I8862" i="2"/>
  <c r="G8862" i="2"/>
  <c r="I8858" i="2"/>
  <c r="G8858" i="2"/>
  <c r="G8854" i="2"/>
  <c r="I8850" i="2"/>
  <c r="G8850" i="2"/>
  <c r="I8846" i="2"/>
  <c r="G8846" i="2"/>
  <c r="I8842" i="2"/>
  <c r="G8842" i="2"/>
  <c r="G8838" i="2"/>
  <c r="I8834" i="2"/>
  <c r="G8834" i="2"/>
  <c r="I8830" i="2"/>
  <c r="G8830" i="2"/>
  <c r="I8826" i="2"/>
  <c r="G8826" i="2"/>
  <c r="G8822" i="2"/>
  <c r="I8818" i="2"/>
  <c r="G8818" i="2"/>
  <c r="I8814" i="2"/>
  <c r="G8814" i="2"/>
  <c r="I8810" i="2"/>
  <c r="G8810" i="2"/>
  <c r="G8806" i="2"/>
  <c r="I8802" i="2"/>
  <c r="G8802" i="2"/>
  <c r="I8798" i="2"/>
  <c r="G8798" i="2"/>
  <c r="I8794" i="2"/>
  <c r="G8794" i="2"/>
  <c r="G8790" i="2"/>
  <c r="I8786" i="2"/>
  <c r="G8786" i="2"/>
  <c r="I8782" i="2"/>
  <c r="G8782" i="2"/>
  <c r="I8778" i="2"/>
  <c r="G8778" i="2"/>
  <c r="G8774" i="2"/>
  <c r="I8770" i="2"/>
  <c r="G8770" i="2"/>
  <c r="I8766" i="2"/>
  <c r="G8766" i="2"/>
  <c r="I8762" i="2"/>
  <c r="G8762" i="2"/>
  <c r="I8758" i="2"/>
  <c r="G8758" i="2"/>
  <c r="I8754" i="2"/>
  <c r="G8754" i="2"/>
  <c r="I8750" i="2"/>
  <c r="G8750" i="2"/>
  <c r="I8746" i="2"/>
  <c r="G8746" i="2"/>
  <c r="I8742" i="2"/>
  <c r="G8742" i="2"/>
  <c r="I8738" i="2"/>
  <c r="G8738" i="2"/>
  <c r="I8734" i="2"/>
  <c r="G8734" i="2"/>
  <c r="I8730" i="2"/>
  <c r="G8730" i="2"/>
  <c r="I8726" i="2"/>
  <c r="G8726" i="2"/>
  <c r="I8722" i="2"/>
  <c r="G8722" i="2"/>
  <c r="I8718" i="2"/>
  <c r="G8718" i="2"/>
  <c r="I8714" i="2"/>
  <c r="G8714" i="2"/>
  <c r="I8710" i="2"/>
  <c r="G8710" i="2"/>
  <c r="I8706" i="2"/>
  <c r="G8706" i="2"/>
  <c r="I8702" i="2"/>
  <c r="G8702" i="2"/>
  <c r="I8698" i="2"/>
  <c r="G8698" i="2"/>
  <c r="I8694" i="2"/>
  <c r="G8694" i="2"/>
  <c r="I8690" i="2"/>
  <c r="G8690" i="2"/>
  <c r="I8686" i="2"/>
  <c r="G8686" i="2"/>
  <c r="I8682" i="2"/>
  <c r="G8682" i="2"/>
  <c r="I8678" i="2"/>
  <c r="G8678" i="2"/>
  <c r="I8674" i="2"/>
  <c r="G8674" i="2"/>
  <c r="I8670" i="2"/>
  <c r="G8670" i="2"/>
  <c r="I8666" i="2"/>
  <c r="G8666" i="2"/>
  <c r="I8662" i="2"/>
  <c r="G8662" i="2"/>
  <c r="I8658" i="2"/>
  <c r="G8658" i="2"/>
  <c r="I8654" i="2"/>
  <c r="G8654" i="2"/>
  <c r="I8650" i="2"/>
  <c r="G8650" i="2"/>
  <c r="I8646" i="2"/>
  <c r="G8646" i="2"/>
  <c r="I8642" i="2"/>
  <c r="G8642" i="2"/>
  <c r="I8638" i="2"/>
  <c r="G8638" i="2"/>
  <c r="I8634" i="2"/>
  <c r="G8634" i="2"/>
  <c r="I8630" i="2"/>
  <c r="G8630" i="2"/>
  <c r="I8626" i="2"/>
  <c r="G8626" i="2"/>
  <c r="I8622" i="2"/>
  <c r="G8622" i="2"/>
  <c r="I8618" i="2"/>
  <c r="G8618" i="2"/>
  <c r="I8614" i="2"/>
  <c r="G8614" i="2"/>
  <c r="I8610" i="2"/>
  <c r="G8610" i="2"/>
  <c r="I8606" i="2"/>
  <c r="G8606" i="2"/>
  <c r="I8602" i="2"/>
  <c r="G8602" i="2"/>
  <c r="I8598" i="2"/>
  <c r="G8598" i="2"/>
  <c r="I8594" i="2"/>
  <c r="G8594" i="2"/>
  <c r="I8590" i="2"/>
  <c r="G8590" i="2"/>
  <c r="I8586" i="2"/>
  <c r="G8586" i="2"/>
  <c r="I8582" i="2"/>
  <c r="G8582" i="2"/>
  <c r="I8578" i="2"/>
  <c r="G8578" i="2"/>
  <c r="I8574" i="2"/>
  <c r="G8574" i="2"/>
  <c r="I8570" i="2"/>
  <c r="G8570" i="2"/>
  <c r="I8566" i="2"/>
  <c r="G8566" i="2"/>
  <c r="I8562" i="2"/>
  <c r="G8562" i="2"/>
  <c r="I8558" i="2"/>
  <c r="G8558" i="2"/>
  <c r="I8554" i="2"/>
  <c r="G8554" i="2"/>
  <c r="I8550" i="2"/>
  <c r="G8550" i="2"/>
  <c r="I8546" i="2"/>
  <c r="G8546" i="2"/>
  <c r="I8542" i="2"/>
  <c r="G8542" i="2"/>
  <c r="I8538" i="2"/>
  <c r="G8538" i="2"/>
  <c r="I8534" i="2"/>
  <c r="G8534" i="2"/>
  <c r="I8530" i="2"/>
  <c r="G8530" i="2"/>
  <c r="I8526" i="2"/>
  <c r="G8526" i="2"/>
  <c r="I8522" i="2"/>
  <c r="G8522" i="2"/>
  <c r="I8518" i="2"/>
  <c r="G8518" i="2"/>
  <c r="I8514" i="2"/>
  <c r="G8514" i="2"/>
  <c r="I8510" i="2"/>
  <c r="G8510" i="2"/>
  <c r="I8506" i="2"/>
  <c r="G8506" i="2"/>
  <c r="I8502" i="2"/>
  <c r="G8502" i="2"/>
  <c r="I8498" i="2"/>
  <c r="G8498" i="2"/>
  <c r="I8494" i="2"/>
  <c r="G8494" i="2"/>
  <c r="I8490" i="2"/>
  <c r="G8490" i="2"/>
  <c r="I8486" i="2"/>
  <c r="G8486" i="2"/>
  <c r="I8482" i="2"/>
  <c r="G8482" i="2"/>
  <c r="I8478" i="2"/>
  <c r="G8478" i="2"/>
  <c r="I8474" i="2"/>
  <c r="G8474" i="2"/>
  <c r="I8470" i="2"/>
  <c r="G8470" i="2"/>
  <c r="I8466" i="2"/>
  <c r="G8466" i="2"/>
  <c r="I8462" i="2"/>
  <c r="G8462" i="2"/>
  <c r="I8458" i="2"/>
  <c r="G8458" i="2"/>
  <c r="I8454" i="2"/>
  <c r="G8454" i="2"/>
  <c r="I8450" i="2"/>
  <c r="G8450" i="2"/>
  <c r="I8446" i="2"/>
  <c r="G8446" i="2"/>
  <c r="I8442" i="2"/>
  <c r="G8442" i="2"/>
  <c r="I8438" i="2"/>
  <c r="G8438" i="2"/>
  <c r="I8434" i="2"/>
  <c r="G8434" i="2"/>
  <c r="I8430" i="2"/>
  <c r="G8430" i="2"/>
  <c r="I8426" i="2"/>
  <c r="G8426" i="2"/>
  <c r="I8422" i="2"/>
  <c r="G8422" i="2"/>
  <c r="I8418" i="2"/>
  <c r="G8418" i="2"/>
  <c r="I8414" i="2"/>
  <c r="G8414" i="2"/>
  <c r="I8410" i="2"/>
  <c r="G8410" i="2"/>
  <c r="I8406" i="2"/>
  <c r="G8406" i="2"/>
  <c r="I8402" i="2"/>
  <c r="G8402" i="2"/>
  <c r="I8398" i="2"/>
  <c r="G8398" i="2"/>
  <c r="I8394" i="2"/>
  <c r="G8394" i="2"/>
  <c r="I8390" i="2"/>
  <c r="G8390" i="2"/>
  <c r="I8386" i="2"/>
  <c r="G8386" i="2"/>
  <c r="I8382" i="2"/>
  <c r="G8382" i="2"/>
  <c r="I8378" i="2"/>
  <c r="G8378" i="2"/>
  <c r="I8374" i="2"/>
  <c r="G8374" i="2"/>
  <c r="I8370" i="2"/>
  <c r="G8370" i="2"/>
  <c r="I8366" i="2"/>
  <c r="G8366" i="2"/>
  <c r="I8362" i="2"/>
  <c r="G8362" i="2"/>
  <c r="I8358" i="2"/>
  <c r="G8358" i="2"/>
  <c r="I8354" i="2"/>
  <c r="G8354" i="2"/>
  <c r="I8350" i="2"/>
  <c r="G8350" i="2"/>
  <c r="I8346" i="2"/>
  <c r="G8346" i="2"/>
  <c r="I8342" i="2"/>
  <c r="G8342" i="2"/>
  <c r="I8338" i="2"/>
  <c r="G8338" i="2"/>
  <c r="I8334" i="2"/>
  <c r="G8334" i="2"/>
  <c r="I8330" i="2"/>
  <c r="G8330" i="2"/>
  <c r="I8326" i="2"/>
  <c r="G8326" i="2"/>
  <c r="I8322" i="2"/>
  <c r="G8322" i="2"/>
  <c r="I8318" i="2"/>
  <c r="G8318" i="2"/>
  <c r="I8314" i="2"/>
  <c r="G8314" i="2"/>
  <c r="I8310" i="2"/>
  <c r="G8310" i="2"/>
  <c r="I8306" i="2"/>
  <c r="G8306" i="2"/>
  <c r="I8302" i="2"/>
  <c r="G8302" i="2"/>
  <c r="I8298" i="2"/>
  <c r="G8298" i="2"/>
  <c r="I8294" i="2"/>
  <c r="G8294" i="2"/>
  <c r="I8290" i="2"/>
  <c r="G8290" i="2"/>
  <c r="I8286" i="2"/>
  <c r="G8286" i="2"/>
  <c r="I8282" i="2"/>
  <c r="G8282" i="2"/>
  <c r="I8278" i="2"/>
  <c r="G8278" i="2"/>
  <c r="I8274" i="2"/>
  <c r="G8274" i="2"/>
  <c r="I8270" i="2"/>
  <c r="G8270" i="2"/>
  <c r="I8266" i="2"/>
  <c r="G8266" i="2"/>
  <c r="I8262" i="2"/>
  <c r="G8262" i="2"/>
  <c r="I8258" i="2"/>
  <c r="G8258" i="2"/>
  <c r="I8254" i="2"/>
  <c r="G8254" i="2"/>
  <c r="I8250" i="2"/>
  <c r="G8250" i="2"/>
  <c r="I8246" i="2"/>
  <c r="G8246" i="2"/>
  <c r="I8242" i="2"/>
  <c r="G8242" i="2"/>
  <c r="I8238" i="2"/>
  <c r="G8238" i="2"/>
  <c r="I8234" i="2"/>
  <c r="G8234" i="2"/>
  <c r="I8230" i="2"/>
  <c r="G8230" i="2"/>
  <c r="I8226" i="2"/>
  <c r="G8226" i="2"/>
  <c r="I8222" i="2"/>
  <c r="G8222" i="2"/>
  <c r="I8218" i="2"/>
  <c r="G8218" i="2"/>
  <c r="I8214" i="2"/>
  <c r="G8214" i="2"/>
  <c r="I8210" i="2"/>
  <c r="G8210" i="2"/>
  <c r="I8206" i="2"/>
  <c r="G8206" i="2"/>
  <c r="I8202" i="2"/>
  <c r="G8202" i="2"/>
  <c r="I8198" i="2"/>
  <c r="G8198" i="2"/>
  <c r="I8194" i="2"/>
  <c r="G8194" i="2"/>
  <c r="I8190" i="2"/>
  <c r="G8190" i="2"/>
  <c r="I8186" i="2"/>
  <c r="G8186" i="2"/>
  <c r="I8182" i="2"/>
  <c r="G8182" i="2"/>
  <c r="I8178" i="2"/>
  <c r="G8178" i="2"/>
  <c r="I8174" i="2"/>
  <c r="G8174" i="2"/>
  <c r="I8170" i="2"/>
  <c r="G8170" i="2"/>
  <c r="I8166" i="2"/>
  <c r="G8166" i="2"/>
  <c r="I8162" i="2"/>
  <c r="G8162" i="2"/>
  <c r="I8158" i="2"/>
  <c r="G8158" i="2"/>
  <c r="I8154" i="2"/>
  <c r="G8154" i="2"/>
  <c r="J8150" i="2"/>
  <c r="G8150" i="2"/>
  <c r="J8146" i="2"/>
  <c r="G8146" i="2"/>
  <c r="J8142" i="2"/>
  <c r="G8142" i="2"/>
  <c r="G8138" i="2"/>
  <c r="J8138" i="2"/>
  <c r="J8134" i="2"/>
  <c r="G8134" i="2"/>
  <c r="J8130" i="2"/>
  <c r="G8130" i="2"/>
  <c r="G8126" i="2"/>
  <c r="J8126" i="2"/>
  <c r="G8122" i="2"/>
  <c r="J8122" i="2"/>
  <c r="J8118" i="2"/>
  <c r="G8118" i="2"/>
  <c r="J8114" i="2"/>
  <c r="G8114" i="2"/>
  <c r="G8110" i="2"/>
  <c r="J8110" i="2"/>
  <c r="G8106" i="2"/>
  <c r="J8106" i="2"/>
  <c r="J8102" i="2"/>
  <c r="G8102" i="2"/>
  <c r="J8098" i="2"/>
  <c r="G8098" i="2"/>
  <c r="G8094" i="2"/>
  <c r="J8094" i="2"/>
  <c r="G8090" i="2"/>
  <c r="J8090" i="2"/>
  <c r="J8086" i="2"/>
  <c r="G8086" i="2"/>
  <c r="J8082" i="2"/>
  <c r="G8082" i="2"/>
  <c r="G8078" i="2"/>
  <c r="J8078" i="2"/>
  <c r="G8074" i="2"/>
  <c r="J8074" i="2"/>
  <c r="J8070" i="2"/>
  <c r="G8070" i="2"/>
  <c r="J8066" i="2"/>
  <c r="G8066" i="2"/>
  <c r="J8062" i="2"/>
  <c r="G8062" i="2"/>
  <c r="J8058" i="2"/>
  <c r="G8058" i="2"/>
  <c r="J8054" i="2"/>
  <c r="G8054" i="2"/>
  <c r="J8050" i="2"/>
  <c r="G8050" i="2"/>
  <c r="J8046" i="2"/>
  <c r="G8046" i="2"/>
  <c r="J8042" i="2"/>
  <c r="G8042" i="2"/>
  <c r="J8038" i="2"/>
  <c r="G8038" i="2"/>
  <c r="J8034" i="2"/>
  <c r="G8034" i="2"/>
  <c r="J8030" i="2"/>
  <c r="G8030" i="2"/>
  <c r="J8026" i="2"/>
  <c r="G8026" i="2"/>
  <c r="J8022" i="2"/>
  <c r="G8022" i="2"/>
  <c r="J8018" i="2"/>
  <c r="G8018" i="2"/>
  <c r="J8014" i="2"/>
  <c r="G8014" i="2"/>
  <c r="J8010" i="2"/>
  <c r="G8010" i="2"/>
  <c r="J8006" i="2"/>
  <c r="G8006" i="2"/>
  <c r="J8002" i="2"/>
  <c r="G8002" i="2"/>
  <c r="J7998" i="2"/>
  <c r="G7998" i="2"/>
  <c r="J7994" i="2"/>
  <c r="G7994" i="2"/>
  <c r="J7990" i="2"/>
  <c r="G7990" i="2"/>
  <c r="J7986" i="2"/>
  <c r="G7986" i="2"/>
  <c r="J7982" i="2"/>
  <c r="G7982" i="2"/>
  <c r="J7978" i="2"/>
  <c r="G7978" i="2"/>
  <c r="J7974" i="2"/>
  <c r="G7974" i="2"/>
  <c r="J7970" i="2"/>
  <c r="G7970" i="2"/>
  <c r="J7966" i="2"/>
  <c r="G7966" i="2"/>
  <c r="J7962" i="2"/>
  <c r="G7962" i="2"/>
  <c r="J7958" i="2"/>
  <c r="G7958" i="2"/>
  <c r="J7954" i="2"/>
  <c r="G7954" i="2"/>
  <c r="J7950" i="2"/>
  <c r="G7950" i="2"/>
  <c r="J7946" i="2"/>
  <c r="G7946" i="2"/>
  <c r="J7942" i="2"/>
  <c r="G7942" i="2"/>
  <c r="J7938" i="2"/>
  <c r="G7938" i="2"/>
  <c r="J7934" i="2"/>
  <c r="G7934" i="2"/>
  <c r="J7930" i="2"/>
  <c r="G7930" i="2"/>
  <c r="J7926" i="2"/>
  <c r="G7926" i="2"/>
  <c r="J7922" i="2"/>
  <c r="G7922" i="2"/>
  <c r="J7918" i="2"/>
  <c r="G7918" i="2"/>
  <c r="J7914" i="2"/>
  <c r="G7914" i="2"/>
  <c r="J7910" i="2"/>
  <c r="G7910" i="2"/>
  <c r="J7906" i="2"/>
  <c r="G7906" i="2"/>
  <c r="J7902" i="2"/>
  <c r="G7902" i="2"/>
  <c r="J7898" i="2"/>
  <c r="G7898" i="2"/>
  <c r="J7894" i="2"/>
  <c r="G7894" i="2"/>
  <c r="J7890" i="2"/>
  <c r="G7890" i="2"/>
  <c r="J7886" i="2"/>
  <c r="G7886" i="2"/>
  <c r="J7882" i="2"/>
  <c r="G7882" i="2"/>
  <c r="J7878" i="2"/>
  <c r="G7878" i="2"/>
  <c r="J7874" i="2"/>
  <c r="G7874" i="2"/>
  <c r="J7870" i="2"/>
  <c r="G7870" i="2"/>
  <c r="J7866" i="2"/>
  <c r="G7866" i="2"/>
  <c r="J7862" i="2"/>
  <c r="G7862" i="2"/>
  <c r="J7858" i="2"/>
  <c r="G7858" i="2"/>
  <c r="J7854" i="2"/>
  <c r="G7854" i="2"/>
  <c r="J7850" i="2"/>
  <c r="G7850" i="2"/>
  <c r="J7846" i="2"/>
  <c r="G7846" i="2"/>
  <c r="J7842" i="2"/>
  <c r="G7842" i="2"/>
  <c r="J7838" i="2"/>
  <c r="G7838" i="2"/>
  <c r="J7834" i="2"/>
  <c r="G7834" i="2"/>
  <c r="J7830" i="2"/>
  <c r="G7830" i="2"/>
  <c r="J7826" i="2"/>
  <c r="G7826" i="2"/>
  <c r="J7822" i="2"/>
  <c r="G7822" i="2"/>
  <c r="J7818" i="2"/>
  <c r="G7818" i="2"/>
  <c r="J7814" i="2"/>
  <c r="G7814" i="2"/>
  <c r="J7810" i="2"/>
  <c r="G7810" i="2"/>
  <c r="J7806" i="2"/>
  <c r="G7806" i="2"/>
  <c r="J7802" i="2"/>
  <c r="G7802" i="2"/>
  <c r="J7798" i="2"/>
  <c r="G7798" i="2"/>
  <c r="J7794" i="2"/>
  <c r="G7794" i="2"/>
  <c r="J7790" i="2"/>
  <c r="G7790" i="2"/>
  <c r="J7786" i="2"/>
  <c r="G7786" i="2"/>
  <c r="J7782" i="2"/>
  <c r="G7782" i="2"/>
  <c r="J7778" i="2"/>
  <c r="G7778" i="2"/>
  <c r="J7774" i="2"/>
  <c r="G7774" i="2"/>
  <c r="J7770" i="2"/>
  <c r="G7770" i="2"/>
  <c r="J7766" i="2"/>
  <c r="G7766" i="2"/>
  <c r="J7762" i="2"/>
  <c r="G7762" i="2"/>
  <c r="J7758" i="2"/>
  <c r="G7758" i="2"/>
  <c r="J7754" i="2"/>
  <c r="G7754" i="2"/>
  <c r="J7750" i="2"/>
  <c r="G7750" i="2"/>
  <c r="J7746" i="2"/>
  <c r="G7746" i="2"/>
  <c r="J7742" i="2"/>
  <c r="G7742" i="2"/>
  <c r="J7738" i="2"/>
  <c r="G7738" i="2"/>
  <c r="J7734" i="2"/>
  <c r="G7734" i="2"/>
  <c r="G7730" i="2"/>
  <c r="J7730" i="2"/>
  <c r="J7726" i="2"/>
  <c r="G7726" i="2"/>
  <c r="G7722" i="2"/>
  <c r="J7722" i="2"/>
  <c r="J7718" i="2"/>
  <c r="G7718" i="2"/>
  <c r="G7714" i="2"/>
  <c r="J7714" i="2"/>
  <c r="G7710" i="2"/>
  <c r="J7710" i="2"/>
  <c r="J7706" i="2"/>
  <c r="G7706" i="2"/>
  <c r="J7702" i="2"/>
  <c r="G7702" i="2"/>
  <c r="J7698" i="2"/>
  <c r="G7698" i="2"/>
  <c r="J7694" i="2"/>
  <c r="G7694" i="2"/>
  <c r="J7690" i="2"/>
  <c r="G7690" i="2"/>
  <c r="G7686" i="2"/>
  <c r="J7686" i="2"/>
  <c r="G7682" i="2"/>
  <c r="J7682" i="2"/>
  <c r="J7678" i="2"/>
  <c r="G7678" i="2"/>
  <c r="J7674" i="2"/>
  <c r="G7674" i="2"/>
  <c r="G7670" i="2"/>
  <c r="J7670" i="2"/>
  <c r="G7666" i="2"/>
  <c r="J7666" i="2"/>
  <c r="J7662" i="2"/>
  <c r="G7662" i="2"/>
  <c r="J7658" i="2"/>
  <c r="G7658" i="2"/>
  <c r="G7654" i="2"/>
  <c r="J7654" i="2"/>
  <c r="G7650" i="2"/>
  <c r="J7650" i="2"/>
  <c r="J7646" i="2"/>
  <c r="G7646" i="2"/>
  <c r="J7642" i="2"/>
  <c r="G7642" i="2"/>
  <c r="G7638" i="2"/>
  <c r="J7638" i="2"/>
  <c r="J7634" i="2"/>
  <c r="G7634" i="2"/>
  <c r="J7630" i="2"/>
  <c r="G7630" i="2"/>
  <c r="J7626" i="2"/>
  <c r="G7626" i="2"/>
  <c r="J7622" i="2"/>
  <c r="G7622" i="2"/>
  <c r="J7618" i="2"/>
  <c r="G7618" i="2"/>
  <c r="J7614" i="2"/>
  <c r="G7614" i="2"/>
  <c r="J7610" i="2"/>
  <c r="G7610" i="2"/>
  <c r="J7606" i="2"/>
  <c r="G7606" i="2"/>
  <c r="J7602" i="2"/>
  <c r="G7602" i="2"/>
  <c r="J7598" i="2"/>
  <c r="G7598" i="2"/>
  <c r="J7594" i="2"/>
  <c r="G7594" i="2"/>
  <c r="G7590" i="2"/>
  <c r="J7590" i="2"/>
  <c r="J7586" i="2"/>
  <c r="G7586" i="2"/>
  <c r="J7582" i="2"/>
  <c r="G7582" i="2"/>
  <c r="J7578" i="2"/>
  <c r="G7578" i="2"/>
  <c r="J7574" i="2"/>
  <c r="G7574" i="2"/>
  <c r="J7570" i="2"/>
  <c r="G7570" i="2"/>
  <c r="J7566" i="2"/>
  <c r="G7566" i="2"/>
  <c r="J7562" i="2"/>
  <c r="G7562" i="2"/>
  <c r="J7558" i="2"/>
  <c r="G7558" i="2"/>
  <c r="J7554" i="2"/>
  <c r="G7554" i="2"/>
  <c r="J7550" i="2"/>
  <c r="G7550" i="2"/>
  <c r="J7546" i="2"/>
  <c r="G7546" i="2"/>
  <c r="J7542" i="2"/>
  <c r="G7542" i="2"/>
  <c r="J7538" i="2"/>
  <c r="G7538" i="2"/>
  <c r="J7534" i="2"/>
  <c r="G7534" i="2"/>
  <c r="J7530" i="2"/>
  <c r="G7530" i="2"/>
  <c r="J7526" i="2"/>
  <c r="G7526" i="2"/>
  <c r="J7522" i="2"/>
  <c r="G7522" i="2"/>
  <c r="J7518" i="2"/>
  <c r="G7518" i="2"/>
  <c r="J7514" i="2"/>
  <c r="G7514" i="2"/>
  <c r="J7510" i="2"/>
  <c r="G7510" i="2"/>
  <c r="J7506" i="2"/>
  <c r="G7506" i="2"/>
  <c r="J7502" i="2"/>
  <c r="G7502" i="2"/>
  <c r="J7498" i="2"/>
  <c r="G7498" i="2"/>
  <c r="J7494" i="2"/>
  <c r="G7494" i="2"/>
  <c r="J7490" i="2"/>
  <c r="G7490" i="2"/>
  <c r="J7486" i="2"/>
  <c r="G7486" i="2"/>
  <c r="J7482" i="2"/>
  <c r="G7482" i="2"/>
  <c r="J7478" i="2"/>
  <c r="G7478" i="2"/>
  <c r="J7474" i="2"/>
  <c r="G7474" i="2"/>
  <c r="J7470" i="2"/>
  <c r="G7470" i="2"/>
  <c r="J7466" i="2"/>
  <c r="G7466" i="2"/>
  <c r="J7462" i="2"/>
  <c r="G7462" i="2"/>
  <c r="J7458" i="2"/>
  <c r="G7458" i="2"/>
  <c r="J7454" i="2"/>
  <c r="G7454" i="2"/>
  <c r="J7450" i="2"/>
  <c r="G7450" i="2"/>
  <c r="J7446" i="2"/>
  <c r="G7446" i="2"/>
  <c r="J7442" i="2"/>
  <c r="G7442" i="2"/>
  <c r="J7438" i="2"/>
  <c r="G7438" i="2"/>
  <c r="J7434" i="2"/>
  <c r="G7434" i="2"/>
  <c r="J7430" i="2"/>
  <c r="G7430" i="2"/>
  <c r="J7426" i="2"/>
  <c r="G7426" i="2"/>
  <c r="J7422" i="2"/>
  <c r="G7422" i="2"/>
  <c r="J7418" i="2"/>
  <c r="G7418" i="2"/>
  <c r="J7414" i="2"/>
  <c r="G7414" i="2"/>
  <c r="J7410" i="2"/>
  <c r="G7410" i="2"/>
  <c r="J7406" i="2"/>
  <c r="G7406" i="2"/>
  <c r="J7402" i="2"/>
  <c r="G7402" i="2"/>
  <c r="J7398" i="2"/>
  <c r="G7398" i="2"/>
  <c r="J7394" i="2"/>
  <c r="G7394" i="2"/>
  <c r="J7390" i="2"/>
  <c r="G7390" i="2"/>
  <c r="J7386" i="2"/>
  <c r="G7386" i="2"/>
  <c r="J7382" i="2"/>
  <c r="G7382" i="2"/>
  <c r="J7378" i="2"/>
  <c r="G7378" i="2"/>
  <c r="J7374" i="2"/>
  <c r="G7374" i="2"/>
  <c r="J7370" i="2"/>
  <c r="G7370" i="2"/>
  <c r="J7366" i="2"/>
  <c r="G7366" i="2"/>
  <c r="J7362" i="2"/>
  <c r="G7362" i="2"/>
  <c r="J7358" i="2"/>
  <c r="G7358" i="2"/>
  <c r="J7354" i="2"/>
  <c r="G7354" i="2"/>
  <c r="J7350" i="2"/>
  <c r="G7350" i="2"/>
  <c r="J7346" i="2"/>
  <c r="G7346" i="2"/>
  <c r="J7342" i="2"/>
  <c r="G7342" i="2"/>
  <c r="J7338" i="2"/>
  <c r="G7338" i="2"/>
  <c r="J7334" i="2"/>
  <c r="G7334" i="2"/>
  <c r="J7330" i="2"/>
  <c r="G7330" i="2"/>
  <c r="J7326" i="2"/>
  <c r="G7326" i="2"/>
  <c r="J7322" i="2"/>
  <c r="G7322" i="2"/>
  <c r="J7318" i="2"/>
  <c r="G7318" i="2"/>
  <c r="J7314" i="2"/>
  <c r="G7314" i="2"/>
  <c r="J7310" i="2"/>
  <c r="G7310" i="2"/>
  <c r="J7306" i="2"/>
  <c r="G7306" i="2"/>
  <c r="J7302" i="2"/>
  <c r="G7302" i="2"/>
  <c r="J7298" i="2"/>
  <c r="G7298" i="2"/>
  <c r="J7294" i="2"/>
  <c r="G7294" i="2"/>
  <c r="G7291" i="2"/>
  <c r="G7279" i="2"/>
  <c r="K7279" i="2"/>
  <c r="G7263" i="2"/>
  <c r="J7263" i="2"/>
  <c r="G7247" i="2"/>
  <c r="K7227" i="2"/>
  <c r="G7227" i="2"/>
  <c r="G907" i="2"/>
  <c r="J907" i="2"/>
  <c r="G7199" i="2"/>
  <c r="J7199" i="2"/>
  <c r="G7183" i="2"/>
  <c r="J7183" i="2"/>
  <c r="G7167" i="2"/>
  <c r="K7167" i="2"/>
  <c r="G2173" i="2"/>
  <c r="J2173" i="2"/>
  <c r="G7135" i="2"/>
  <c r="K7135" i="2"/>
  <c r="J2386" i="2"/>
  <c r="G2386" i="2"/>
  <c r="G3033" i="2"/>
  <c r="K7083" i="2"/>
  <c r="G7083" i="2"/>
  <c r="G7063" i="2"/>
  <c r="G7047" i="2"/>
  <c r="K7047" i="2"/>
  <c r="G7027" i="2"/>
  <c r="K7015" i="2"/>
  <c r="G7015" i="2"/>
  <c r="K6999" i="2"/>
  <c r="G6999" i="2"/>
  <c r="K6983" i="2"/>
  <c r="G6983" i="2"/>
  <c r="G6967" i="2"/>
  <c r="K6951" i="2"/>
  <c r="G6951" i="2"/>
  <c r="K6935" i="2"/>
  <c r="G6935" i="2"/>
  <c r="J6911" i="2"/>
  <c r="G6911" i="2"/>
  <c r="G6895" i="2"/>
  <c r="G6883" i="2"/>
  <c r="G7141" i="2"/>
  <c r="K6851" i="2"/>
  <c r="G6851" i="2"/>
  <c r="G2804" i="2"/>
  <c r="K6819" i="2"/>
  <c r="G6819" i="2"/>
  <c r="K6807" i="2"/>
  <c r="G6807" i="2"/>
  <c r="J6795" i="2"/>
  <c r="G6795" i="2"/>
  <c r="K6779" i="2"/>
  <c r="G6779" i="2"/>
  <c r="G3239" i="2"/>
  <c r="G5701" i="2"/>
  <c r="J5701" i="2"/>
  <c r="G3392" i="2"/>
  <c r="G6719" i="2"/>
  <c r="J6719" i="2"/>
  <c r="G5093" i="2"/>
  <c r="J5093" i="2"/>
  <c r="G6699" i="2"/>
  <c r="G6691" i="2"/>
  <c r="G6577" i="2"/>
  <c r="G6784" i="2"/>
  <c r="G4950" i="2"/>
  <c r="K6651" i="2"/>
  <c r="G6651" i="2"/>
  <c r="K6643" i="2"/>
  <c r="G6643" i="2"/>
  <c r="G6635" i="2"/>
  <c r="K6627" i="2"/>
  <c r="G6627" i="2"/>
  <c r="K6619" i="2"/>
  <c r="G6619" i="2"/>
  <c r="G6615" i="2"/>
  <c r="G6607" i="2"/>
  <c r="G5535" i="2"/>
  <c r="G6595" i="2"/>
  <c r="G3655" i="2"/>
  <c r="G6587" i="2"/>
  <c r="J4304" i="2"/>
  <c r="G4304" i="2"/>
  <c r="G3764" i="2"/>
  <c r="G2274" i="2"/>
  <c r="G3031" i="2"/>
  <c r="J6567" i="2"/>
  <c r="G6567" i="2"/>
  <c r="G6563" i="2"/>
  <c r="G903" i="2"/>
  <c r="G1093" i="2"/>
  <c r="G7064" i="2"/>
  <c r="J7064" i="2"/>
  <c r="G6569" i="2"/>
  <c r="G6867" i="2"/>
  <c r="G6524" i="2"/>
  <c r="J1850" i="2"/>
  <c r="G1850" i="2"/>
  <c r="G6558" i="2"/>
  <c r="G6523" i="2"/>
  <c r="G1094" i="2"/>
  <c r="K6515" i="2"/>
  <c r="G6515" i="2"/>
  <c r="G6511" i="2"/>
  <c r="G6507" i="2"/>
  <c r="J6507" i="2"/>
  <c r="G6503" i="2"/>
  <c r="G6499" i="2"/>
  <c r="K6495" i="2"/>
  <c r="G6495" i="2"/>
  <c r="G6191" i="2"/>
  <c r="G6487" i="2"/>
  <c r="G2423" i="2"/>
  <c r="J2423" i="2"/>
  <c r="G5549" i="2"/>
  <c r="G6475" i="2"/>
  <c r="G6471" i="2"/>
  <c r="G6467" i="2"/>
  <c r="G6463" i="2"/>
  <c r="G583" i="2"/>
  <c r="G6455" i="2"/>
  <c r="K6451" i="2"/>
  <c r="G6451" i="2"/>
  <c r="G6447" i="2"/>
  <c r="G6443" i="2"/>
  <c r="J440" i="2"/>
  <c r="G440" i="2"/>
  <c r="G6435" i="2"/>
  <c r="G6431" i="2"/>
  <c r="G6427" i="2"/>
  <c r="K6427" i="2"/>
  <c r="G2677" i="2"/>
  <c r="G6419" i="2"/>
  <c r="J6419" i="2"/>
  <c r="G6415" i="2"/>
  <c r="G4583" i="2"/>
  <c r="G6407" i="2"/>
  <c r="K6407" i="2"/>
  <c r="G6403" i="2"/>
  <c r="K6403" i="2"/>
  <c r="K6399" i="2"/>
  <c r="G6399" i="2"/>
  <c r="G7213" i="2"/>
  <c r="J7213" i="2"/>
  <c r="G4997" i="2"/>
  <c r="G6387" i="2"/>
  <c r="K6383" i="2"/>
  <c r="G6383" i="2"/>
  <c r="G6379" i="2"/>
  <c r="K6379" i="2"/>
  <c r="G6375" i="2"/>
  <c r="G6371" i="2"/>
  <c r="K6371" i="2"/>
  <c r="K6367" i="2"/>
  <c r="G6367" i="2"/>
  <c r="G6363" i="2"/>
  <c r="K6363" i="2"/>
  <c r="K6359" i="2"/>
  <c r="G6359" i="2"/>
  <c r="G6355" i="2"/>
  <c r="K6351" i="2"/>
  <c r="G6351" i="2"/>
  <c r="K6347" i="2"/>
  <c r="G6347" i="2"/>
  <c r="G6343" i="2"/>
  <c r="J6343" i="2"/>
  <c r="G6339" i="2"/>
  <c r="G177" i="2"/>
  <c r="G6331" i="2"/>
  <c r="G6327" i="2"/>
  <c r="K6327" i="2"/>
  <c r="K6323" i="2"/>
  <c r="G6323" i="2"/>
  <c r="G6319" i="2"/>
  <c r="J6319" i="2"/>
  <c r="G6315" i="2"/>
  <c r="K6315" i="2"/>
  <c r="K6311" i="2"/>
  <c r="G6311" i="2"/>
  <c r="G2473" i="2"/>
  <c r="J2473" i="2"/>
  <c r="G6303" i="2"/>
  <c r="G6299" i="2"/>
  <c r="J6299" i="2"/>
  <c r="G6295" i="2"/>
  <c r="G6291" i="2"/>
  <c r="K6291" i="2"/>
  <c r="K6287" i="2"/>
  <c r="G6287" i="2"/>
  <c r="G6283" i="2"/>
  <c r="K6283" i="2"/>
  <c r="G6279" i="2"/>
  <c r="G6275" i="2"/>
  <c r="K6275" i="2"/>
  <c r="K6271" i="2"/>
  <c r="G6271" i="2"/>
  <c r="G6267" i="2"/>
  <c r="K6267" i="2"/>
  <c r="G6263" i="2"/>
  <c r="G6259" i="2"/>
  <c r="G6255" i="2"/>
  <c r="K6255" i="2"/>
  <c r="K6251" i="2"/>
  <c r="G6251" i="2"/>
  <c r="K6247" i="2"/>
  <c r="G6247" i="2"/>
  <c r="G6243" i="2"/>
  <c r="G6239" i="2"/>
  <c r="G6235" i="2"/>
  <c r="J6235" i="2"/>
  <c r="G6231" i="2"/>
  <c r="G6227" i="2"/>
  <c r="G6223" i="2"/>
  <c r="K6223" i="2"/>
  <c r="K6219" i="2"/>
  <c r="G6219" i="2"/>
  <c r="G6215" i="2"/>
  <c r="J6215" i="2"/>
  <c r="G6211" i="2"/>
  <c r="G6207" i="2"/>
  <c r="K6207" i="2"/>
  <c r="K6203" i="2"/>
  <c r="G6203" i="2"/>
  <c r="G6199" i="2"/>
  <c r="K6195" i="2"/>
  <c r="G6195" i="2"/>
  <c r="G6809" i="2"/>
  <c r="J5486" i="2"/>
  <c r="G5486" i="2"/>
  <c r="K6183" i="2"/>
  <c r="G6183" i="2"/>
  <c r="G6179" i="2"/>
  <c r="G6175" i="2"/>
  <c r="G6171" i="2"/>
  <c r="G6167" i="2"/>
  <c r="G6163" i="2"/>
  <c r="J5318" i="2"/>
  <c r="G5318" i="2"/>
  <c r="G5793" i="2"/>
  <c r="G6151" i="2"/>
  <c r="G6147" i="2"/>
  <c r="G6143" i="2"/>
  <c r="J6143" i="2"/>
  <c r="G2610" i="2"/>
  <c r="J2610" i="2"/>
  <c r="G6135" i="2"/>
  <c r="J6135" i="2"/>
  <c r="G6131" i="2"/>
  <c r="K6131" i="2"/>
  <c r="G6127" i="2"/>
  <c r="K6127" i="2"/>
  <c r="K6123" i="2"/>
  <c r="G6123" i="2"/>
  <c r="K6119" i="2"/>
  <c r="G6119" i="2"/>
  <c r="K6115" i="2"/>
  <c r="G6115" i="2"/>
  <c r="J6111" i="2"/>
  <c r="G6111" i="2"/>
  <c r="G6107" i="2"/>
  <c r="G6103" i="2"/>
  <c r="G6099" i="2"/>
  <c r="G5481" i="2"/>
  <c r="G6091" i="2"/>
  <c r="G3241" i="2"/>
  <c r="G6083" i="2"/>
  <c r="J6742" i="2"/>
  <c r="G6742" i="2"/>
  <c r="G1501" i="2"/>
  <c r="G2934" i="2"/>
  <c r="G6067" i="2"/>
  <c r="J1500" i="2"/>
  <c r="G1500" i="2"/>
  <c r="G6047" i="2"/>
  <c r="G4207" i="2"/>
  <c r="G6051" i="2"/>
  <c r="G4187" i="2"/>
  <c r="G6043" i="2"/>
  <c r="K6039" i="2"/>
  <c r="G6039" i="2"/>
  <c r="K6035" i="2"/>
  <c r="G6035" i="2"/>
  <c r="K6031" i="2"/>
  <c r="G6031" i="2"/>
  <c r="K6027" i="2"/>
  <c r="G6027" i="2"/>
  <c r="G6023" i="2"/>
  <c r="K6019" i="2"/>
  <c r="G6019" i="2"/>
  <c r="G6015" i="2"/>
  <c r="K6011" i="2"/>
  <c r="G6011" i="2"/>
  <c r="K6007" i="2"/>
  <c r="G6007" i="2"/>
  <c r="K6003" i="2"/>
  <c r="G6003" i="2"/>
  <c r="K5999" i="2"/>
  <c r="G5999" i="2"/>
  <c r="J5026" i="2"/>
  <c r="G5026" i="2"/>
  <c r="G5991" i="2"/>
  <c r="K5987" i="2"/>
  <c r="G5987" i="2"/>
  <c r="K5983" i="2"/>
  <c r="G5983" i="2"/>
  <c r="G5979" i="2"/>
  <c r="G5975" i="2"/>
  <c r="K5975" i="2"/>
  <c r="K5971" i="2"/>
  <c r="G5971" i="2"/>
  <c r="G5967" i="2"/>
  <c r="K5967" i="2"/>
  <c r="G5963" i="2"/>
  <c r="G771" i="2"/>
  <c r="G5955" i="2"/>
  <c r="G3372" i="2"/>
  <c r="J5947" i="2"/>
  <c r="G5947" i="2"/>
  <c r="G5943" i="2"/>
  <c r="K5939" i="2"/>
  <c r="G5939" i="2"/>
  <c r="G3737" i="2"/>
  <c r="G3095" i="2"/>
  <c r="G6521" i="2"/>
  <c r="G5923" i="2"/>
  <c r="G5919" i="2"/>
  <c r="G5915" i="2"/>
  <c r="G4653" i="2"/>
  <c r="G142" i="2"/>
  <c r="K5903" i="2"/>
  <c r="G5903" i="2"/>
  <c r="J4836" i="2"/>
  <c r="G4836" i="2"/>
  <c r="G5895" i="2"/>
  <c r="K5895" i="2"/>
  <c r="G5891" i="2"/>
  <c r="K5887" i="2"/>
  <c r="G5887" i="2"/>
  <c r="K5883" i="2"/>
  <c r="G5883" i="2"/>
  <c r="G5468" i="2"/>
  <c r="K5875" i="2"/>
  <c r="G5875" i="2"/>
  <c r="K5871" i="2"/>
  <c r="G5871" i="2"/>
  <c r="K5867" i="2"/>
  <c r="G5867" i="2"/>
  <c r="K5863" i="2"/>
  <c r="G5863" i="2"/>
  <c r="G5859" i="2"/>
  <c r="K5859" i="2"/>
  <c r="K5855" i="2"/>
  <c r="G5855" i="2"/>
  <c r="G2790" i="2"/>
  <c r="G5847" i="2"/>
  <c r="J3653" i="2"/>
  <c r="G3653" i="2"/>
  <c r="K5839" i="2"/>
  <c r="G5839" i="2"/>
  <c r="G4608" i="2"/>
  <c r="G1092" i="2"/>
  <c r="G5827" i="2"/>
  <c r="G6146" i="2"/>
  <c r="J5819" i="2"/>
  <c r="G5819" i="2"/>
  <c r="G5152" i="2"/>
  <c r="K5811" i="2"/>
  <c r="G5811" i="2"/>
  <c r="G7070" i="2"/>
  <c r="G5803" i="2"/>
  <c r="J5942" i="2"/>
  <c r="G5942" i="2"/>
  <c r="G141" i="2"/>
  <c r="G512" i="2"/>
  <c r="G5787" i="2"/>
  <c r="J2541" i="2"/>
  <c r="G2541" i="2"/>
  <c r="G5779" i="2"/>
  <c r="G694" i="2"/>
  <c r="G5771" i="2"/>
  <c r="G5767" i="2"/>
  <c r="K5763" i="2"/>
  <c r="G5763" i="2"/>
  <c r="G5759" i="2"/>
  <c r="J5755" i="2"/>
  <c r="G5755" i="2"/>
  <c r="G2297" i="2"/>
  <c r="G5747" i="2"/>
  <c r="G5743" i="2"/>
  <c r="G5739" i="2"/>
  <c r="G5735" i="2"/>
  <c r="G5731" i="2"/>
  <c r="G5727" i="2"/>
  <c r="G5723" i="2"/>
  <c r="K5719" i="2"/>
  <c r="G5719" i="2"/>
  <c r="K5715" i="2"/>
  <c r="G5715" i="2"/>
  <c r="K5711" i="2"/>
  <c r="G5711" i="2"/>
  <c r="G5254" i="2"/>
  <c r="G1879" i="2"/>
  <c r="J7260" i="2"/>
  <c r="G7260" i="2"/>
  <c r="G3134" i="2"/>
  <c r="K5691" i="2"/>
  <c r="G5691" i="2"/>
  <c r="K5687" i="2"/>
  <c r="G5687" i="2"/>
  <c r="K5683" i="2"/>
  <c r="G5683" i="2"/>
  <c r="G5679" i="2"/>
  <c r="G6762" i="2"/>
  <c r="G5615" i="2"/>
  <c r="K5667" i="2"/>
  <c r="G5667" i="2"/>
  <c r="K5663" i="2"/>
  <c r="G5663" i="2"/>
  <c r="K5659" i="2"/>
  <c r="G5659" i="2"/>
  <c r="K5655" i="2"/>
  <c r="G5655" i="2"/>
  <c r="K5651" i="2"/>
  <c r="G5651" i="2"/>
  <c r="K5647" i="2"/>
  <c r="G5647" i="2"/>
  <c r="J5643" i="2"/>
  <c r="G5643" i="2"/>
  <c r="K5639" i="2"/>
  <c r="G5639" i="2"/>
  <c r="G4531" i="2"/>
  <c r="K5631" i="2"/>
  <c r="G5631" i="2"/>
  <c r="G1712" i="2"/>
  <c r="G3188" i="2"/>
  <c r="J5619" i="2"/>
  <c r="G5619" i="2"/>
  <c r="G3641" i="2"/>
  <c r="G2753" i="2"/>
  <c r="K5607" i="2"/>
  <c r="G5607" i="2"/>
  <c r="G4735" i="2"/>
  <c r="K5599" i="2"/>
  <c r="G5599" i="2"/>
  <c r="K5595" i="2"/>
  <c r="G5595" i="2"/>
  <c r="K5591" i="2"/>
  <c r="G5591" i="2"/>
  <c r="K5587" i="2"/>
  <c r="G5587" i="2"/>
  <c r="J2669" i="2"/>
  <c r="G2669" i="2"/>
  <c r="G3258" i="2"/>
  <c r="K5575" i="2"/>
  <c r="G5575" i="2"/>
  <c r="K5571" i="2"/>
  <c r="G5571" i="2"/>
  <c r="K5567" i="2"/>
  <c r="G5567" i="2"/>
  <c r="G6192" i="2"/>
  <c r="G5559" i="2"/>
  <c r="G6418" i="2"/>
  <c r="G5551" i="2"/>
  <c r="J4066" i="2"/>
  <c r="G4066" i="2"/>
  <c r="G1907" i="2"/>
  <c r="K5539" i="2"/>
  <c r="G5539" i="2"/>
  <c r="G6417" i="2"/>
  <c r="G5531" i="2"/>
  <c r="G5527" i="2"/>
  <c r="J3001" i="2"/>
  <c r="G3001" i="2"/>
  <c r="G6548" i="2"/>
  <c r="K5515" i="2"/>
  <c r="G5515" i="2"/>
  <c r="G5511" i="2"/>
  <c r="G5507" i="2"/>
  <c r="K5507" i="2"/>
  <c r="G6088" i="2"/>
  <c r="G5499" i="2"/>
  <c r="J5495" i="2"/>
  <c r="G5495" i="2"/>
  <c r="G5491" i="2"/>
  <c r="G5487" i="2"/>
  <c r="G3047" i="2"/>
  <c r="G4769" i="2"/>
  <c r="K5475" i="2"/>
  <c r="G5475" i="2"/>
  <c r="G7051" i="2"/>
  <c r="J5308" i="2"/>
  <c r="G5308" i="2"/>
  <c r="G138" i="2"/>
  <c r="K5459" i="2"/>
  <c r="G5459" i="2"/>
  <c r="G3797" i="2"/>
  <c r="G5451" i="2"/>
  <c r="K5447" i="2"/>
  <c r="G5447" i="2"/>
  <c r="G5443" i="2"/>
  <c r="K5443" i="2"/>
  <c r="G7218" i="2"/>
  <c r="G5435" i="2"/>
  <c r="G5431" i="2"/>
  <c r="K5427" i="2"/>
  <c r="G5427" i="2"/>
  <c r="G5423" i="2"/>
  <c r="G5419" i="2"/>
  <c r="J5415" i="2"/>
  <c r="G5415" i="2"/>
  <c r="G5411" i="2"/>
  <c r="G5407" i="2"/>
  <c r="G5403" i="2"/>
  <c r="K5403" i="2"/>
  <c r="G4042" i="2"/>
  <c r="K5395" i="2"/>
  <c r="G5395" i="2"/>
  <c r="K5391" i="2"/>
  <c r="G5391" i="2"/>
  <c r="G5387" i="2"/>
  <c r="K5387" i="2"/>
  <c r="K5383" i="2"/>
  <c r="G5383" i="2"/>
  <c r="G5379" i="2"/>
  <c r="J5379" i="2"/>
  <c r="G5375" i="2"/>
  <c r="G5371" i="2"/>
  <c r="K5371" i="2"/>
  <c r="K5367" i="2"/>
  <c r="G5367" i="2"/>
  <c r="K5363" i="2"/>
  <c r="G5363" i="2"/>
  <c r="K5359" i="2"/>
  <c r="G5359" i="2"/>
  <c r="G5355" i="2"/>
  <c r="G5351" i="2"/>
  <c r="J4176" i="2"/>
  <c r="G4176" i="2"/>
  <c r="G5343" i="2"/>
  <c r="G5339" i="2"/>
  <c r="G5335" i="2"/>
  <c r="K5331" i="2"/>
  <c r="G5331" i="2"/>
  <c r="K5327" i="2"/>
  <c r="G5327" i="2"/>
  <c r="G5323" i="2"/>
  <c r="K5323" i="2"/>
  <c r="G422" i="2"/>
  <c r="G5315" i="2"/>
  <c r="K5315" i="2"/>
  <c r="K5311" i="2"/>
  <c r="G5311" i="2"/>
  <c r="G5307" i="2"/>
  <c r="K5307" i="2"/>
  <c r="G1161" i="2"/>
  <c r="G136" i="2"/>
  <c r="G5295" i="2"/>
  <c r="G5291" i="2"/>
  <c r="K5291" i="2"/>
  <c r="G5287" i="2"/>
  <c r="G5283" i="2"/>
  <c r="K5283" i="2"/>
  <c r="J5279" i="2"/>
  <c r="G5279" i="2"/>
  <c r="G4860" i="2"/>
  <c r="K5271" i="2"/>
  <c r="G5271" i="2"/>
  <c r="G5267" i="2"/>
  <c r="K5267" i="2"/>
  <c r="K5263" i="2"/>
  <c r="G5263" i="2"/>
  <c r="G3640" i="2"/>
  <c r="K5255" i="2"/>
  <c r="G5255" i="2"/>
  <c r="G5251" i="2"/>
  <c r="G1053" i="2"/>
  <c r="G761" i="2"/>
  <c r="J761" i="2"/>
  <c r="G5239" i="2"/>
  <c r="G5235" i="2"/>
  <c r="J5235" i="2"/>
  <c r="G5231" i="2"/>
  <c r="G5227" i="2"/>
  <c r="K5227" i="2"/>
  <c r="K5223" i="2"/>
  <c r="G5223" i="2"/>
  <c r="G5219" i="2"/>
  <c r="G5215" i="2"/>
  <c r="G5211" i="2"/>
  <c r="K5211" i="2"/>
  <c r="G3852" i="2"/>
  <c r="G5203" i="2"/>
  <c r="J5203" i="2"/>
  <c r="K5199" i="2"/>
  <c r="G5199" i="2"/>
  <c r="G5195" i="2"/>
  <c r="K5195" i="2"/>
  <c r="G5191" i="2"/>
  <c r="G5187" i="2"/>
  <c r="K5187" i="2"/>
  <c r="K5183" i="2"/>
  <c r="G5183" i="2"/>
  <c r="G5179" i="2"/>
  <c r="K5179" i="2"/>
  <c r="G1377" i="2"/>
  <c r="G5171" i="2"/>
  <c r="K5171" i="2"/>
  <c r="K5167" i="2"/>
  <c r="G5167" i="2"/>
  <c r="J5163" i="2"/>
  <c r="G5163" i="2"/>
  <c r="K5159" i="2"/>
  <c r="G5159" i="2"/>
  <c r="G239" i="2"/>
  <c r="G3757" i="2"/>
  <c r="G5147" i="2"/>
  <c r="J6731" i="2"/>
  <c r="G6731" i="2"/>
  <c r="K5139" i="2"/>
  <c r="G5139" i="2"/>
  <c r="G5135" i="2"/>
  <c r="G2997" i="2"/>
  <c r="G5127" i="2"/>
  <c r="J5123" i="2"/>
  <c r="G5123" i="2"/>
  <c r="G5119" i="2"/>
  <c r="G6290" i="2"/>
  <c r="K5111" i="2"/>
  <c r="G5111" i="2"/>
  <c r="K5107" i="2"/>
  <c r="G5107" i="2"/>
  <c r="G5103" i="2"/>
  <c r="G5099" i="2"/>
  <c r="K5095" i="2"/>
  <c r="G5095" i="2"/>
  <c r="K5091" i="2"/>
  <c r="G5091" i="2"/>
  <c r="G5087" i="2"/>
  <c r="K5083" i="2"/>
  <c r="G5083" i="2"/>
  <c r="G5079" i="2"/>
  <c r="K5075" i="2"/>
  <c r="G5075" i="2"/>
  <c r="K5071" i="2"/>
  <c r="G5071" i="2"/>
  <c r="G5067" i="2"/>
  <c r="K5063" i="2"/>
  <c r="G5063" i="2"/>
  <c r="K5059" i="2"/>
  <c r="G5059" i="2"/>
  <c r="K5055" i="2"/>
  <c r="G5055" i="2"/>
  <c r="K5051" i="2"/>
  <c r="G5051" i="2"/>
  <c r="G5047" i="2"/>
  <c r="G5043" i="2"/>
  <c r="K5039" i="2"/>
  <c r="G5039" i="2"/>
  <c r="K5035" i="2"/>
  <c r="G5035" i="2"/>
  <c r="K5031" i="2"/>
  <c r="G5031" i="2"/>
  <c r="J5027" i="2"/>
  <c r="G5027" i="2"/>
  <c r="G5023" i="2"/>
  <c r="K5019" i="2"/>
  <c r="G5019" i="2"/>
  <c r="G738" i="2"/>
  <c r="G4379" i="2"/>
  <c r="K5007" i="2"/>
  <c r="G5007" i="2"/>
  <c r="J5003" i="2"/>
  <c r="G5003" i="2"/>
  <c r="G4999" i="2"/>
  <c r="G4995" i="2"/>
  <c r="K4991" i="2"/>
  <c r="G4991" i="2"/>
  <c r="G6441" i="2"/>
  <c r="G4983" i="2"/>
  <c r="K4979" i="2"/>
  <c r="G4979" i="2"/>
  <c r="J4257" i="2"/>
  <c r="G4257" i="2"/>
  <c r="K4971" i="2"/>
  <c r="G4971" i="2"/>
  <c r="G4967" i="2"/>
  <c r="G4963" i="2"/>
  <c r="G4959" i="2"/>
  <c r="K4955" i="2"/>
  <c r="G4955" i="2"/>
  <c r="G4406" i="2"/>
  <c r="G5245" i="2"/>
  <c r="K4943" i="2"/>
  <c r="G4943" i="2"/>
  <c r="K4939" i="2"/>
  <c r="G4939" i="2"/>
  <c r="K4935" i="2"/>
  <c r="G4935" i="2"/>
  <c r="G7209" i="2"/>
  <c r="G4927" i="2"/>
  <c r="K4923" i="2"/>
  <c r="G4923" i="2"/>
  <c r="G4919" i="2"/>
  <c r="J4915" i="2"/>
  <c r="G4915" i="2"/>
  <c r="K4911" i="2"/>
  <c r="G4911" i="2"/>
  <c r="K4907" i="2"/>
  <c r="G4907" i="2"/>
  <c r="K4903" i="2"/>
  <c r="G4903" i="2"/>
  <c r="K4899" i="2"/>
  <c r="G4899" i="2"/>
  <c r="K4895" i="2"/>
  <c r="G4895" i="2"/>
  <c r="K4891" i="2"/>
  <c r="G4891" i="2"/>
  <c r="K4887" i="2"/>
  <c r="G4887" i="2"/>
  <c r="G4883" i="2"/>
  <c r="G4879" i="2"/>
  <c r="G3620" i="2"/>
  <c r="G7028" i="2"/>
  <c r="J5682" i="2"/>
  <c r="G5682" i="2"/>
  <c r="G6889" i="2"/>
  <c r="G4859" i="2"/>
  <c r="K4855" i="2"/>
  <c r="G4855" i="2"/>
  <c r="G3802" i="2"/>
  <c r="J5520" i="2"/>
  <c r="G5520" i="2"/>
  <c r="G6726" i="2"/>
  <c r="G4839" i="2"/>
  <c r="K4835" i="2"/>
  <c r="G4835" i="2"/>
  <c r="G4831" i="2"/>
  <c r="G6416" i="2"/>
  <c r="G4823" i="2"/>
  <c r="J2363" i="2"/>
  <c r="G2363" i="2"/>
  <c r="G4815" i="2"/>
  <c r="G4811" i="2"/>
  <c r="G5822" i="2"/>
  <c r="G4803" i="2"/>
  <c r="J4799" i="2"/>
  <c r="G4799" i="2"/>
  <c r="G1290" i="2"/>
  <c r="G4791" i="2"/>
  <c r="K4787" i="2"/>
  <c r="G4787" i="2"/>
  <c r="G4783" i="2"/>
  <c r="G2161" i="2"/>
  <c r="G4775" i="2"/>
  <c r="G4771" i="2"/>
  <c r="J463" i="2"/>
  <c r="G463" i="2"/>
  <c r="K4763" i="2"/>
  <c r="G4763" i="2"/>
  <c r="K4759" i="2"/>
  <c r="G4759" i="2"/>
  <c r="G1013" i="2"/>
  <c r="G4751" i="2"/>
  <c r="G2540" i="2"/>
  <c r="G4743" i="2"/>
  <c r="G4739" i="2"/>
  <c r="J2910" i="2"/>
  <c r="G2910" i="2"/>
  <c r="G4731" i="2"/>
  <c r="G5463" i="2"/>
  <c r="K4723" i="2"/>
  <c r="G4723" i="2"/>
  <c r="G4719" i="2"/>
  <c r="G6072" i="2"/>
  <c r="K4711" i="2"/>
  <c r="G4711" i="2"/>
  <c r="K4707" i="2"/>
  <c r="G4707" i="2"/>
  <c r="K4703" i="2"/>
  <c r="G4703" i="2"/>
  <c r="K4699" i="2"/>
  <c r="G4699" i="2"/>
  <c r="G1393" i="2"/>
  <c r="K4691" i="2"/>
  <c r="G4691" i="2"/>
  <c r="K4687" i="2"/>
  <c r="G4687" i="2"/>
  <c r="J233" i="2"/>
  <c r="G233" i="2"/>
  <c r="G1012" i="2"/>
  <c r="G4675" i="2"/>
  <c r="K4671" i="2"/>
  <c r="G4671" i="2"/>
  <c r="G3613" i="2"/>
  <c r="G676" i="2"/>
  <c r="J4659" i="2"/>
  <c r="G4659" i="2"/>
  <c r="G4655" i="2"/>
  <c r="G7011" i="2"/>
  <c r="G4647" i="2"/>
  <c r="G4643" i="2"/>
  <c r="G4639" i="2"/>
  <c r="J4635" i="2"/>
  <c r="G4635" i="2"/>
  <c r="G5676" i="2"/>
  <c r="K4627" i="2"/>
  <c r="G4627" i="2"/>
  <c r="G3046" i="2"/>
  <c r="K4619" i="2"/>
  <c r="G4619" i="2"/>
  <c r="G4615" i="2"/>
  <c r="J6411" i="2"/>
  <c r="G6411" i="2"/>
  <c r="K4607" i="2"/>
  <c r="G4607" i="2"/>
  <c r="G4603" i="2"/>
  <c r="K4599" i="2"/>
  <c r="G4599" i="2"/>
  <c r="G4595" i="2"/>
  <c r="G4591" i="2"/>
  <c r="G1264" i="2"/>
  <c r="J3247" i="2"/>
  <c r="G3247" i="2"/>
  <c r="G6187" i="2"/>
  <c r="G4575" i="2"/>
  <c r="G7065" i="2"/>
  <c r="K4567" i="2"/>
  <c r="G4567" i="2"/>
  <c r="K4563" i="2"/>
  <c r="G4563" i="2"/>
  <c r="J5986" i="2"/>
  <c r="G5986" i="2"/>
  <c r="G4555" i="2"/>
  <c r="G4551" i="2"/>
  <c r="G4547" i="2"/>
  <c r="G4543" i="2"/>
  <c r="G1345" i="2"/>
  <c r="G4535" i="2"/>
  <c r="G203" i="2"/>
  <c r="G4527" i="2"/>
  <c r="K4523" i="2"/>
  <c r="G4523" i="2"/>
  <c r="K4519" i="2"/>
  <c r="G4519" i="2"/>
  <c r="K4515" i="2"/>
  <c r="G4515" i="2"/>
  <c r="G4511" i="2"/>
  <c r="K4507" i="2"/>
  <c r="G4507" i="2"/>
  <c r="K4503" i="2"/>
  <c r="G4503" i="2"/>
  <c r="K4499" i="2"/>
  <c r="G4499" i="2"/>
  <c r="K4495" i="2"/>
  <c r="G4495" i="2"/>
  <c r="G4491" i="2"/>
  <c r="G5455" i="2"/>
  <c r="K4483" i="2"/>
  <c r="G4483" i="2"/>
  <c r="G4479" i="2"/>
  <c r="J4475" i="2"/>
  <c r="G4475" i="2"/>
  <c r="G5964" i="2"/>
  <c r="K4467" i="2"/>
  <c r="G4467" i="2"/>
  <c r="K4463" i="2"/>
  <c r="G4463" i="2"/>
  <c r="K4459" i="2"/>
  <c r="G4459" i="2"/>
  <c r="K4455" i="2"/>
  <c r="G4455" i="2"/>
  <c r="K4451" i="2"/>
  <c r="G4451" i="2"/>
  <c r="G5015" i="2"/>
  <c r="K4443" i="2"/>
  <c r="G4443" i="2"/>
  <c r="G4439" i="2"/>
  <c r="G4435" i="2"/>
  <c r="G4431" i="2"/>
  <c r="G4427" i="2"/>
  <c r="K4423" i="2"/>
  <c r="G4423" i="2"/>
  <c r="K4419" i="2"/>
  <c r="G4419" i="2"/>
  <c r="G6174" i="2"/>
  <c r="G4411" i="2"/>
  <c r="K4407" i="2"/>
  <c r="G4407" i="2"/>
  <c r="J4403" i="2"/>
  <c r="G4403" i="2"/>
  <c r="G4399" i="2"/>
  <c r="K4395" i="2"/>
  <c r="G4395" i="2"/>
  <c r="K4391" i="2"/>
  <c r="G4391" i="2"/>
  <c r="G4387" i="2"/>
  <c r="K4383" i="2"/>
  <c r="G4383" i="2"/>
  <c r="G3960" i="2"/>
  <c r="G2256" i="2"/>
  <c r="K4371" i="2"/>
  <c r="G4371" i="2"/>
  <c r="G6537" i="2"/>
  <c r="J4363" i="2"/>
  <c r="G4363" i="2"/>
  <c r="G4359" i="2"/>
  <c r="G1159" i="2"/>
  <c r="K4351" i="2"/>
  <c r="G4351" i="2"/>
  <c r="K4347" i="2"/>
  <c r="G4347" i="2"/>
  <c r="K4343" i="2"/>
  <c r="G4343" i="2"/>
  <c r="G4339" i="2"/>
  <c r="G4335" i="2"/>
  <c r="K4331" i="2"/>
  <c r="G4331" i="2"/>
  <c r="K4327" i="2"/>
  <c r="G4327" i="2"/>
  <c r="K4323" i="2"/>
  <c r="G4323" i="2"/>
  <c r="G4319" i="2"/>
  <c r="K4315" i="2"/>
  <c r="G4315" i="2"/>
  <c r="G4311" i="2"/>
  <c r="G4307" i="2"/>
  <c r="G730" i="2"/>
  <c r="J2154" i="2"/>
  <c r="G2154" i="2"/>
  <c r="G2067" i="2"/>
  <c r="G330" i="2"/>
  <c r="K4287" i="2"/>
  <c r="G4287" i="2"/>
  <c r="G2982" i="2"/>
  <c r="G4279" i="2"/>
  <c r="G4275" i="2"/>
  <c r="K4271" i="2"/>
  <c r="G4271" i="2"/>
  <c r="K4267" i="2"/>
  <c r="G4267" i="2"/>
  <c r="K4263" i="2"/>
  <c r="G4263" i="2"/>
  <c r="J5452" i="2"/>
  <c r="G5452" i="2"/>
  <c r="K4255" i="2"/>
  <c r="G4255" i="2"/>
  <c r="K4251" i="2"/>
  <c r="G4251" i="2"/>
  <c r="K4247" i="2"/>
  <c r="G4247" i="2"/>
  <c r="K4243" i="2"/>
  <c r="G4243" i="2"/>
  <c r="K4239" i="2"/>
  <c r="G4239" i="2"/>
  <c r="K4235" i="2"/>
  <c r="G4235" i="2"/>
  <c r="K4231" i="2"/>
  <c r="G4231" i="2"/>
  <c r="K4227" i="2"/>
  <c r="G4227" i="2"/>
  <c r="K4223" i="2"/>
  <c r="G4223" i="2"/>
  <c r="K4219" i="2"/>
  <c r="G4219" i="2"/>
  <c r="G4215" i="2"/>
  <c r="G2380" i="2"/>
  <c r="G2251" i="2"/>
  <c r="G4203" i="2"/>
  <c r="G4199" i="2"/>
  <c r="G4195" i="2"/>
  <c r="G4191" i="2"/>
  <c r="G4623" i="2"/>
  <c r="J4183" i="2"/>
  <c r="G4183" i="2"/>
  <c r="G1490" i="2"/>
  <c r="G5008" i="2"/>
  <c r="K4171" i="2"/>
  <c r="G4171" i="2"/>
  <c r="G4167" i="2"/>
  <c r="G3170" i="2"/>
  <c r="G4159" i="2"/>
  <c r="G4155" i="2"/>
  <c r="K4151" i="2"/>
  <c r="G4151" i="2"/>
  <c r="J4147" i="2"/>
  <c r="G4147" i="2"/>
  <c r="G6575" i="2"/>
  <c r="K4139" i="2"/>
  <c r="G4139" i="2"/>
  <c r="G4135" i="2"/>
  <c r="K4131" i="2"/>
  <c r="G4131" i="2"/>
  <c r="K4127" i="2"/>
  <c r="G4127" i="2"/>
  <c r="G2800" i="2"/>
  <c r="G6871" i="2"/>
  <c r="G4115" i="2"/>
  <c r="J4111" i="2"/>
  <c r="G4111" i="2"/>
  <c r="K4107" i="2"/>
  <c r="G4107" i="2"/>
  <c r="G5017" i="2"/>
  <c r="K4099" i="2"/>
  <c r="G4099" i="2"/>
  <c r="G4095" i="2"/>
  <c r="G3743" i="2"/>
  <c r="J4087" i="2"/>
  <c r="G4087" i="2"/>
  <c r="G4083" i="2"/>
  <c r="K4079" i="2"/>
  <c r="G4079" i="2"/>
  <c r="G237" i="2"/>
  <c r="G2250" i="2"/>
  <c r="G4067" i="2"/>
  <c r="G4299" i="2"/>
  <c r="J692" i="2"/>
  <c r="G692" i="2"/>
  <c r="G2763" i="2"/>
  <c r="G5671" i="2"/>
  <c r="K4047" i="2"/>
  <c r="G4047" i="2"/>
  <c r="G4863" i="2"/>
  <c r="J6810" i="2"/>
  <c r="G6810" i="2"/>
  <c r="K4035" i="2"/>
  <c r="G4035" i="2"/>
  <c r="G4031" i="2"/>
  <c r="G4027" i="2"/>
  <c r="G2839" i="2"/>
  <c r="K4019" i="2"/>
  <c r="G4019" i="2"/>
  <c r="G4015" i="2"/>
  <c r="G4011" i="2"/>
  <c r="J997" i="2"/>
  <c r="G997" i="2"/>
  <c r="G6642" i="2"/>
  <c r="G1111" i="2"/>
  <c r="K3995" i="2"/>
  <c r="G3995" i="2"/>
  <c r="G3991" i="2"/>
  <c r="G7043" i="2"/>
  <c r="G3983" i="2"/>
  <c r="K3979" i="2"/>
  <c r="G3979" i="2"/>
  <c r="G3975" i="2"/>
  <c r="J3971" i="2"/>
  <c r="G3971" i="2"/>
  <c r="K3967" i="2"/>
  <c r="G3967" i="2"/>
  <c r="K3963" i="2"/>
  <c r="G3963" i="2"/>
  <c r="K3959" i="2"/>
  <c r="G3959" i="2"/>
  <c r="G675" i="2"/>
  <c r="K3951" i="2"/>
  <c r="G3951" i="2"/>
  <c r="G3947" i="2"/>
  <c r="G3943" i="2"/>
  <c r="G3939" i="2"/>
  <c r="K3935" i="2"/>
  <c r="G3935" i="2"/>
  <c r="J4715" i="2"/>
  <c r="G4715" i="2"/>
  <c r="G216" i="2"/>
  <c r="G2372" i="2"/>
  <c r="G1083" i="2"/>
  <c r="G3915" i="2"/>
  <c r="K3911" i="2"/>
  <c r="G3911" i="2"/>
  <c r="K3907" i="2"/>
  <c r="G3907" i="2"/>
  <c r="K3903" i="2"/>
  <c r="G3903" i="2"/>
  <c r="J3899" i="2"/>
  <c r="G3899" i="2"/>
  <c r="G6545" i="2"/>
  <c r="K3891" i="2"/>
  <c r="G3891" i="2"/>
  <c r="G2084" i="2"/>
  <c r="G3883" i="2"/>
  <c r="G300" i="2"/>
  <c r="K3875" i="2"/>
  <c r="G3875" i="2"/>
  <c r="J240" i="2"/>
  <c r="G240" i="2"/>
  <c r="G3867" i="2"/>
  <c r="G3828" i="2"/>
  <c r="K3859" i="2"/>
  <c r="G3859" i="2"/>
  <c r="G3855" i="2"/>
  <c r="J891" i="2"/>
  <c r="G891" i="2"/>
  <c r="G3847" i="2"/>
  <c r="G3843" i="2"/>
  <c r="G3839" i="2"/>
  <c r="G3835" i="2"/>
  <c r="G3831" i="2"/>
  <c r="G2352" i="2"/>
  <c r="K3823" i="2"/>
  <c r="G3823" i="2"/>
  <c r="K3819" i="2"/>
  <c r="G3819" i="2"/>
  <c r="K3815" i="2"/>
  <c r="G3815" i="2"/>
  <c r="G4844" i="2"/>
  <c r="K3807" i="2"/>
  <c r="G3807" i="2"/>
  <c r="K3803" i="2"/>
  <c r="G3803" i="2"/>
  <c r="K3799" i="2"/>
  <c r="G3799" i="2"/>
  <c r="G5721" i="2"/>
  <c r="G3791" i="2"/>
  <c r="K3787" i="2"/>
  <c r="G3787" i="2"/>
  <c r="K3783" i="2"/>
  <c r="G3783" i="2"/>
  <c r="K3779" i="2"/>
  <c r="G3779" i="2"/>
  <c r="J1298" i="2"/>
  <c r="G1298" i="2"/>
  <c r="K3771" i="2"/>
  <c r="G3771" i="2"/>
  <c r="K3767" i="2"/>
  <c r="G3767" i="2"/>
  <c r="G674" i="2"/>
  <c r="G3759" i="2"/>
  <c r="G4169" i="2"/>
  <c r="G3751" i="2"/>
  <c r="K3747" i="2"/>
  <c r="G3747" i="2"/>
  <c r="J1370" i="2"/>
  <c r="G1370" i="2"/>
  <c r="G3739" i="2"/>
  <c r="K3735" i="2"/>
  <c r="G3735" i="2"/>
  <c r="G2537" i="2"/>
  <c r="G2249" i="2"/>
  <c r="G3723" i="2"/>
  <c r="G3719" i="2"/>
  <c r="J2376" i="2"/>
  <c r="G2376" i="2"/>
  <c r="K3711" i="2"/>
  <c r="G3711" i="2"/>
  <c r="G2474" i="2"/>
  <c r="G5758" i="2"/>
  <c r="K3699" i="2"/>
  <c r="G3699" i="2"/>
  <c r="K3695" i="2"/>
  <c r="G3695" i="2"/>
  <c r="G3887" i="2"/>
  <c r="J3687" i="2"/>
  <c r="G3687" i="2"/>
  <c r="G3683" i="2"/>
  <c r="G225" i="2"/>
  <c r="G3675" i="2"/>
  <c r="G3671" i="2"/>
  <c r="G3667" i="2"/>
  <c r="J3663" i="2"/>
  <c r="G3663" i="2"/>
  <c r="G2106" i="2"/>
  <c r="G4447" i="2"/>
  <c r="K3651" i="2"/>
  <c r="G3651" i="2"/>
  <c r="K3647" i="2"/>
  <c r="G3647" i="2"/>
  <c r="K3643" i="2"/>
  <c r="G3643" i="2"/>
  <c r="K3639" i="2"/>
  <c r="G3639" i="2"/>
  <c r="K3635" i="2"/>
  <c r="G3635" i="2"/>
  <c r="G3631" i="2"/>
  <c r="G3688" i="2"/>
  <c r="K3623" i="2"/>
  <c r="G3623" i="2"/>
  <c r="J3813" i="2"/>
  <c r="G3813" i="2"/>
  <c r="K3615" i="2"/>
  <c r="G3615" i="2"/>
  <c r="G5233" i="2"/>
  <c r="G1951" i="2"/>
  <c r="G1949" i="2"/>
  <c r="J1024" i="2"/>
  <c r="G1024" i="2"/>
  <c r="K3595" i="2"/>
  <c r="G3595" i="2"/>
  <c r="K3591" i="2"/>
  <c r="G3591" i="2"/>
  <c r="K3587" i="2"/>
  <c r="G3587" i="2"/>
  <c r="K3583" i="2"/>
  <c r="G3583" i="2"/>
  <c r="G3579" i="2"/>
  <c r="G3575" i="2"/>
  <c r="K3571" i="2"/>
  <c r="G3571" i="2"/>
  <c r="G3567" i="2"/>
  <c r="K3563" i="2"/>
  <c r="G3563" i="2"/>
  <c r="G3559" i="2"/>
  <c r="K3555" i="2"/>
  <c r="G3555" i="2"/>
  <c r="K3551" i="2"/>
  <c r="G3551" i="2"/>
  <c r="K3547" i="2"/>
  <c r="G3547" i="2"/>
  <c r="K3543" i="2"/>
  <c r="G3543" i="2"/>
  <c r="G6160" i="2"/>
  <c r="K3535" i="2"/>
  <c r="G3535" i="2"/>
  <c r="K3531" i="2"/>
  <c r="G3531" i="2"/>
  <c r="K3527" i="2"/>
  <c r="G3527" i="2"/>
  <c r="K3523" i="2"/>
  <c r="G3523" i="2"/>
  <c r="K3519" i="2"/>
  <c r="G3519" i="2"/>
  <c r="K3515" i="2"/>
  <c r="G3515" i="2"/>
  <c r="G3511" i="2"/>
  <c r="K3507" i="2"/>
  <c r="G3507" i="2"/>
  <c r="G3503" i="2"/>
  <c r="K3499" i="2"/>
  <c r="G3499" i="2"/>
  <c r="J3495" i="2"/>
  <c r="G3495" i="2"/>
  <c r="G3491" i="2"/>
  <c r="G3487" i="2"/>
  <c r="G3483" i="2"/>
  <c r="K3479" i="2"/>
  <c r="G3479" i="2"/>
  <c r="G4125" i="2"/>
  <c r="G3471" i="2"/>
  <c r="K3467" i="2"/>
  <c r="G3467" i="2"/>
  <c r="K3463" i="2"/>
  <c r="G3463" i="2"/>
  <c r="G3459" i="2"/>
  <c r="K3455" i="2"/>
  <c r="G3455" i="2"/>
  <c r="G3451" i="2"/>
  <c r="G3917" i="2"/>
  <c r="K3443" i="2"/>
  <c r="G3443" i="2"/>
  <c r="J3439" i="2"/>
  <c r="G3439" i="2"/>
  <c r="G3435" i="2"/>
  <c r="K3431" i="2"/>
  <c r="G3431" i="2"/>
  <c r="K3427" i="2"/>
  <c r="G3427" i="2"/>
  <c r="G3423" i="2"/>
  <c r="G4843" i="2"/>
  <c r="G3415" i="2"/>
  <c r="K3411" i="2"/>
  <c r="G3411" i="2"/>
  <c r="G3407" i="2"/>
  <c r="G3403" i="2"/>
  <c r="K3399" i="2"/>
  <c r="G3399" i="2"/>
  <c r="K3395" i="2"/>
  <c r="G3395" i="2"/>
  <c r="G3391" i="2"/>
  <c r="K3387" i="2"/>
  <c r="G3387" i="2"/>
  <c r="G3383" i="2"/>
  <c r="G439" i="2"/>
  <c r="G3375" i="2"/>
  <c r="G3371" i="2"/>
  <c r="K3367" i="2"/>
  <c r="G3367" i="2"/>
  <c r="G3363" i="2"/>
  <c r="J7115" i="2"/>
  <c r="G7115" i="2"/>
  <c r="G5985" i="2"/>
  <c r="G3351" i="2"/>
  <c r="G3347" i="2"/>
  <c r="G5880" i="2"/>
  <c r="K3339" i="2"/>
  <c r="G3339" i="2"/>
  <c r="G3335" i="2"/>
  <c r="K3331" i="2"/>
  <c r="G3331" i="2"/>
  <c r="K3327" i="2"/>
  <c r="G3327" i="2"/>
  <c r="G3323" i="2"/>
  <c r="G3319" i="2"/>
  <c r="K3315" i="2"/>
  <c r="G3315" i="2"/>
  <c r="K3311" i="2"/>
  <c r="G3311" i="2"/>
  <c r="J1678" i="2"/>
  <c r="G1678" i="2"/>
  <c r="K3303" i="2"/>
  <c r="G3303" i="2"/>
  <c r="G3299" i="2"/>
  <c r="K3295" i="2"/>
  <c r="G3295" i="2"/>
  <c r="K3291" i="2"/>
  <c r="G3291" i="2"/>
  <c r="G3287" i="2"/>
  <c r="G1384" i="2"/>
  <c r="G3279" i="2"/>
  <c r="K3275" i="2"/>
  <c r="G3275" i="2"/>
  <c r="J3271" i="2"/>
  <c r="G3271" i="2"/>
  <c r="G3267" i="2"/>
  <c r="G6030" i="2"/>
  <c r="G3259" i="2"/>
  <c r="G3255" i="2"/>
  <c r="G3251" i="2"/>
  <c r="G2077" i="2"/>
  <c r="K3243" i="2"/>
  <c r="G3243" i="2"/>
  <c r="G4580" i="2"/>
  <c r="K3235" i="2"/>
  <c r="G3235" i="2"/>
  <c r="J2417" i="2"/>
  <c r="G2417" i="2"/>
  <c r="G3227" i="2"/>
  <c r="G3223" i="2"/>
  <c r="K3219" i="2"/>
  <c r="G3219" i="2"/>
  <c r="G3215" i="2"/>
  <c r="K3211" i="2"/>
  <c r="G3211" i="2"/>
  <c r="K3207" i="2"/>
  <c r="G3207" i="2"/>
  <c r="K3203" i="2"/>
  <c r="G3203" i="2"/>
  <c r="K3199" i="2"/>
  <c r="G3199" i="2"/>
  <c r="G3195" i="2"/>
  <c r="G3191" i="2"/>
  <c r="K3187" i="2"/>
  <c r="G3187" i="2"/>
  <c r="G2247" i="2"/>
  <c r="K3179" i="2"/>
  <c r="G3179" i="2"/>
  <c r="G392" i="2"/>
  <c r="G6565" i="2"/>
  <c r="J650" i="2"/>
  <c r="G650" i="2"/>
  <c r="G3163" i="2"/>
  <c r="K3159" i="2"/>
  <c r="G3159" i="2"/>
  <c r="G1995" i="2"/>
  <c r="G3151" i="2"/>
  <c r="G3147" i="2"/>
  <c r="K3143" i="2"/>
  <c r="G3143" i="2"/>
  <c r="J3139" i="2"/>
  <c r="G3139" i="2"/>
  <c r="G4755" i="2"/>
  <c r="K3131" i="2"/>
  <c r="G3131" i="2"/>
  <c r="G3127" i="2"/>
  <c r="G3123" i="2"/>
  <c r="G1522" i="2"/>
  <c r="G234" i="2"/>
  <c r="K3111" i="2"/>
  <c r="G3111" i="2"/>
  <c r="G3107" i="2"/>
  <c r="K3103" i="2"/>
  <c r="G3103" i="2"/>
  <c r="K3099" i="2"/>
  <c r="G3099" i="2"/>
  <c r="J5430" i="2"/>
  <c r="G5430" i="2"/>
  <c r="K3091" i="2"/>
  <c r="G3091" i="2"/>
  <c r="G3087" i="2"/>
  <c r="K3083" i="2"/>
  <c r="G3083" i="2"/>
  <c r="K3079" i="2"/>
  <c r="G3079" i="2"/>
  <c r="K3075" i="2"/>
  <c r="G3075" i="2"/>
  <c r="K3071" i="2"/>
  <c r="G3071" i="2"/>
  <c r="K3067" i="2"/>
  <c r="G3067" i="2"/>
  <c r="K3063" i="2"/>
  <c r="G3063" i="2"/>
  <c r="G3059" i="2"/>
  <c r="G3055" i="2"/>
  <c r="G360" i="2"/>
  <c r="G2719" i="2"/>
  <c r="J82" i="2"/>
  <c r="G82" i="2"/>
  <c r="K3039" i="2"/>
  <c r="G3039" i="2"/>
  <c r="K3035" i="2"/>
  <c r="G3035" i="2"/>
  <c r="G1303" i="2"/>
  <c r="G3027" i="2"/>
  <c r="G2145" i="2"/>
  <c r="G3019" i="2"/>
  <c r="G939" i="2"/>
  <c r="J3011" i="2"/>
  <c r="G3011" i="2"/>
  <c r="G1507" i="2"/>
  <c r="G3003" i="2"/>
  <c r="G2999" i="2"/>
  <c r="G2995" i="2"/>
  <c r="G2991" i="2"/>
  <c r="G684" i="2"/>
  <c r="J2983" i="2"/>
  <c r="G2983" i="2"/>
  <c r="G2979" i="2"/>
  <c r="G79" i="2"/>
  <c r="G5751" i="2"/>
  <c r="K2967" i="2"/>
  <c r="G2967" i="2"/>
  <c r="G2963" i="2"/>
  <c r="G2959" i="2"/>
  <c r="G2955" i="2"/>
  <c r="G2951" i="2"/>
  <c r="G1597" i="2"/>
  <c r="K2943" i="2"/>
  <c r="G2943" i="2"/>
  <c r="G2939" i="2"/>
  <c r="J5207" i="2"/>
  <c r="G5207" i="2"/>
  <c r="K2931" i="2"/>
  <c r="G2931" i="2"/>
  <c r="K2927" i="2"/>
  <c r="G2927" i="2"/>
  <c r="K2923" i="2"/>
  <c r="G2923" i="2"/>
  <c r="K2919" i="2"/>
  <c r="G2919" i="2"/>
  <c r="K2915" i="2"/>
  <c r="G2915" i="2"/>
  <c r="G7153" i="2"/>
  <c r="K2907" i="2"/>
  <c r="G2907" i="2"/>
  <c r="G2903" i="2"/>
  <c r="G2899" i="2"/>
  <c r="G2895" i="2"/>
  <c r="G2891" i="2"/>
  <c r="G2887" i="2"/>
  <c r="K2883" i="2"/>
  <c r="G2883" i="2"/>
  <c r="K2879" i="2"/>
  <c r="G2879" i="2"/>
  <c r="K2875" i="2"/>
  <c r="G2875" i="2"/>
  <c r="K2871" i="2"/>
  <c r="G2871" i="2"/>
  <c r="K2867" i="2"/>
  <c r="G2867" i="2"/>
  <c r="K2863" i="2"/>
  <c r="G2863" i="2"/>
  <c r="G2859" i="2"/>
  <c r="J2855" i="2"/>
  <c r="G2855" i="2"/>
  <c r="G1461" i="2"/>
  <c r="G2238" i="2"/>
  <c r="K2843" i="2"/>
  <c r="G2843" i="2"/>
  <c r="G3606" i="2"/>
  <c r="G2835" i="2"/>
  <c r="J2171" i="2"/>
  <c r="G2171" i="2"/>
  <c r="G878" i="2"/>
  <c r="G2823" i="2"/>
  <c r="G2819" i="2"/>
  <c r="G2815" i="2"/>
  <c r="J4871" i="2"/>
  <c r="G4871" i="2"/>
  <c r="G2807" i="2"/>
  <c r="G2803" i="2"/>
  <c r="G2799" i="2"/>
  <c r="K2795" i="2"/>
  <c r="G2795" i="2"/>
  <c r="J733" i="2"/>
  <c r="G733" i="2"/>
  <c r="K2787" i="2"/>
  <c r="G2787" i="2"/>
  <c r="G6712" i="2"/>
  <c r="G6022" i="2"/>
  <c r="G2775" i="2"/>
  <c r="J734" i="2"/>
  <c r="G734" i="2"/>
  <c r="K2767" i="2"/>
  <c r="G2767" i="2"/>
  <c r="G5482" i="2"/>
  <c r="G2759" i="2"/>
  <c r="G4206" i="2"/>
  <c r="G2751" i="2"/>
  <c r="G2747" i="2"/>
  <c r="K2743" i="2"/>
  <c r="G2743" i="2"/>
  <c r="J6519" i="2"/>
  <c r="G6519" i="2"/>
  <c r="G4008" i="2"/>
  <c r="G2614" i="2"/>
  <c r="G5981" i="2"/>
  <c r="G2723" i="2"/>
  <c r="J3167" i="2"/>
  <c r="G3167" i="2"/>
  <c r="G2715" i="2"/>
  <c r="K2711" i="2"/>
  <c r="G2711" i="2"/>
  <c r="G2707" i="2"/>
  <c r="K2703" i="2"/>
  <c r="G2703" i="2"/>
  <c r="G2699" i="2"/>
  <c r="G2695" i="2"/>
  <c r="G2691" i="2"/>
  <c r="G4116" i="2"/>
  <c r="K2683" i="2"/>
  <c r="G2683" i="2"/>
  <c r="K2679" i="2"/>
  <c r="G2679" i="2"/>
  <c r="K2675" i="2"/>
  <c r="G2675" i="2"/>
  <c r="G2671" i="2"/>
  <c r="G2667" i="2"/>
  <c r="J3175" i="2"/>
  <c r="G3175" i="2"/>
  <c r="G2659" i="2"/>
  <c r="K2655" i="2"/>
  <c r="G2655" i="2"/>
  <c r="K2651" i="2"/>
  <c r="G2651" i="2"/>
  <c r="K2647" i="2"/>
  <c r="G2647" i="2"/>
  <c r="K2643" i="2"/>
  <c r="G2643" i="2"/>
  <c r="K2639" i="2"/>
  <c r="G2639" i="2"/>
  <c r="K2635" i="2"/>
  <c r="G2635" i="2"/>
  <c r="K2631" i="2"/>
  <c r="G2631" i="2"/>
  <c r="K2627" i="2"/>
  <c r="G2627" i="2"/>
  <c r="K2623" i="2"/>
  <c r="G2623" i="2"/>
  <c r="G1135" i="2"/>
  <c r="K2615" i="2"/>
  <c r="G2615" i="2"/>
  <c r="G2611" i="2"/>
  <c r="G2607" i="2"/>
  <c r="G2603" i="2"/>
  <c r="G2599" i="2"/>
  <c r="G2595" i="2"/>
  <c r="K2591" i="2"/>
  <c r="G2591" i="2"/>
  <c r="G2587" i="2"/>
  <c r="G2583" i="2"/>
  <c r="K2579" i="2"/>
  <c r="G2579" i="2"/>
  <c r="K2575" i="2"/>
  <c r="G2575" i="2"/>
  <c r="K2571" i="2"/>
  <c r="G2571" i="2"/>
  <c r="G2567" i="2"/>
  <c r="K2563" i="2"/>
  <c r="G2563" i="2"/>
  <c r="G2559" i="2"/>
  <c r="K2555" i="2"/>
  <c r="G2555" i="2"/>
  <c r="K2551" i="2"/>
  <c r="G2551" i="2"/>
  <c r="K2547" i="2"/>
  <c r="G2547" i="2"/>
  <c r="G928" i="2"/>
  <c r="G2539" i="2"/>
  <c r="J5004" i="2"/>
  <c r="G5004" i="2"/>
  <c r="G2531" i="2"/>
  <c r="K2527" i="2"/>
  <c r="G2527" i="2"/>
  <c r="G2523" i="2"/>
  <c r="G2519" i="2"/>
  <c r="G2515" i="2"/>
  <c r="K2511" i="2"/>
  <c r="G2511" i="2"/>
  <c r="G2507" i="2"/>
  <c r="G2503" i="2"/>
  <c r="G2499" i="2"/>
  <c r="G2495" i="2"/>
  <c r="K2491" i="2"/>
  <c r="G2491" i="2"/>
  <c r="K2487" i="2"/>
  <c r="G2487" i="2"/>
  <c r="K2483" i="2"/>
  <c r="G2483" i="2"/>
  <c r="G2479" i="2"/>
  <c r="K2475" i="2"/>
  <c r="G2475" i="2"/>
  <c r="J1453" i="2"/>
  <c r="G1453" i="2"/>
  <c r="G2467" i="2"/>
  <c r="G2463" i="2"/>
  <c r="K2459" i="2"/>
  <c r="G2459" i="2"/>
  <c r="G2455" i="2"/>
  <c r="G2451" i="2"/>
  <c r="K2447" i="2"/>
  <c r="G2447" i="2"/>
  <c r="G2443" i="2"/>
  <c r="K2439" i="2"/>
  <c r="G2439" i="2"/>
  <c r="K2435" i="2"/>
  <c r="G2435" i="2"/>
  <c r="K2431" i="2"/>
  <c r="G2431" i="2"/>
  <c r="K2427" i="2"/>
  <c r="G2427" i="2"/>
  <c r="G2718" i="2"/>
  <c r="K2419" i="2"/>
  <c r="G2419" i="2"/>
  <c r="J2415" i="2"/>
  <c r="G2415" i="2"/>
  <c r="G6943" i="2"/>
  <c r="G2407" i="2"/>
  <c r="G1151" i="2"/>
  <c r="G2287" i="2"/>
  <c r="J1225" i="2"/>
  <c r="G1225" i="2"/>
  <c r="G4559" i="2"/>
  <c r="G2387" i="2"/>
  <c r="G294" i="2"/>
  <c r="K2379" i="2"/>
  <c r="G2379" i="2"/>
  <c r="G2375" i="2"/>
  <c r="J5033" i="2"/>
  <c r="G5033" i="2"/>
  <c r="K2367" i="2"/>
  <c r="G2367" i="2"/>
  <c r="G2298" i="2"/>
  <c r="G1187" i="2"/>
  <c r="K2355" i="2"/>
  <c r="G2355" i="2"/>
  <c r="G2351" i="2"/>
  <c r="K2347" i="2"/>
  <c r="G2347" i="2"/>
  <c r="K2343" i="2"/>
  <c r="G2343" i="2"/>
  <c r="G2339" i="2"/>
  <c r="G2335" i="2"/>
  <c r="K2331" i="2"/>
  <c r="G2331" i="2"/>
  <c r="K2327" i="2"/>
  <c r="G2327" i="2"/>
  <c r="K2323" i="2"/>
  <c r="G2323" i="2"/>
  <c r="K2319" i="2"/>
  <c r="G2319" i="2"/>
  <c r="K2315" i="2"/>
  <c r="G2315" i="2"/>
  <c r="J2311" i="2"/>
  <c r="G2311" i="2"/>
  <c r="K2307" i="2"/>
  <c r="G2307" i="2"/>
  <c r="K2303" i="2"/>
  <c r="G2303" i="2"/>
  <c r="G2104" i="2"/>
  <c r="G2413" i="2"/>
  <c r="K2291" i="2"/>
  <c r="G2291" i="2"/>
  <c r="G7002" i="2"/>
  <c r="J570" i="2"/>
  <c r="G570" i="2"/>
  <c r="G6937" i="2"/>
  <c r="K2275" i="2"/>
  <c r="G2275" i="2"/>
  <c r="G2271" i="2"/>
  <c r="G764" i="2"/>
  <c r="G2263" i="2"/>
  <c r="G2259" i="2"/>
  <c r="G2255" i="2"/>
  <c r="J5102" i="2"/>
  <c r="G5102" i="2"/>
  <c r="G2976" i="2"/>
  <c r="G2243" i="2"/>
  <c r="G2239" i="2"/>
  <c r="G2235" i="2"/>
  <c r="G4651" i="2"/>
  <c r="G2227" i="2"/>
  <c r="K2223" i="2"/>
  <c r="G2223" i="2"/>
  <c r="G2219" i="2"/>
  <c r="K2215" i="2"/>
  <c r="G2215" i="2"/>
  <c r="K2211" i="2"/>
  <c r="G2211" i="2"/>
  <c r="G2207" i="2"/>
  <c r="J2831" i="2"/>
  <c r="G2831" i="2"/>
  <c r="G2199" i="2"/>
  <c r="K2195" i="2"/>
  <c r="G2195" i="2"/>
  <c r="K2191" i="2"/>
  <c r="G2191" i="2"/>
  <c r="K2187" i="2"/>
  <c r="G2187" i="2"/>
  <c r="K2183" i="2"/>
  <c r="G2183" i="2"/>
  <c r="K2179" i="2"/>
  <c r="G2179" i="2"/>
  <c r="G1920" i="2"/>
  <c r="G329" i="2"/>
  <c r="G2399" i="2"/>
  <c r="J2163" i="2"/>
  <c r="G2163" i="2"/>
  <c r="G3808" i="2"/>
  <c r="G2224" i="2"/>
  <c r="K2151" i="2"/>
  <c r="G2151" i="2"/>
  <c r="G2034" i="2"/>
  <c r="J2143" i="2"/>
  <c r="G2143" i="2"/>
  <c r="K2139" i="2"/>
  <c r="G2139" i="2"/>
  <c r="G2135" i="2"/>
  <c r="G2131" i="2"/>
  <c r="G1425" i="2"/>
  <c r="G2123" i="2"/>
  <c r="J791" i="2"/>
  <c r="G791" i="2"/>
  <c r="K2115" i="2"/>
  <c r="G2115" i="2"/>
  <c r="K2111" i="2"/>
  <c r="G2111" i="2"/>
  <c r="G3857" i="2"/>
  <c r="G2103" i="2"/>
  <c r="K2099" i="2"/>
  <c r="G2099" i="2"/>
  <c r="G2175" i="2"/>
  <c r="J2091" i="2"/>
  <c r="G2091" i="2"/>
  <c r="K2087" i="2"/>
  <c r="G2087" i="2"/>
  <c r="G5544" i="2"/>
  <c r="G2079" i="2"/>
  <c r="G2075" i="2"/>
  <c r="G2071" i="2"/>
  <c r="G7222" i="2"/>
  <c r="K2063" i="2"/>
  <c r="G2063" i="2"/>
  <c r="G5878" i="2"/>
  <c r="K2055" i="2"/>
  <c r="G2055" i="2"/>
  <c r="K2051" i="2"/>
  <c r="G2051" i="2"/>
  <c r="J2047" i="2"/>
  <c r="G2047" i="2"/>
  <c r="K2043" i="2"/>
  <c r="G2043" i="2"/>
  <c r="K2039" i="2"/>
  <c r="G2039" i="2"/>
  <c r="K2035" i="2"/>
  <c r="G2035" i="2"/>
  <c r="K2031" i="2"/>
  <c r="G2031" i="2"/>
  <c r="K2027" i="2"/>
  <c r="G2027" i="2"/>
  <c r="G4865" i="2"/>
  <c r="K2019" i="2"/>
  <c r="G2019" i="2"/>
  <c r="G2015" i="2"/>
  <c r="K2011" i="2"/>
  <c r="G2011" i="2"/>
  <c r="K2007" i="2"/>
  <c r="G2007" i="2"/>
  <c r="K2003" i="2"/>
  <c r="G2003" i="2"/>
  <c r="K1999" i="2"/>
  <c r="G1999" i="2"/>
  <c r="G5998" i="2"/>
  <c r="K1991" i="2"/>
  <c r="G1991" i="2"/>
  <c r="K1987" i="2"/>
  <c r="G1987" i="2"/>
  <c r="J410" i="2"/>
  <c r="G410" i="2"/>
  <c r="G3856" i="2"/>
  <c r="G1975" i="2"/>
  <c r="G3164" i="2"/>
  <c r="G1112" i="2"/>
  <c r="J1963" i="2"/>
  <c r="G1963" i="2"/>
  <c r="K1959" i="2"/>
  <c r="G1959" i="2"/>
  <c r="G1955" i="2"/>
  <c r="G58" i="2"/>
  <c r="G5818" i="2"/>
  <c r="G1943" i="2"/>
  <c r="J759" i="2"/>
  <c r="G759" i="2"/>
  <c r="K1935" i="2"/>
  <c r="G1935" i="2"/>
  <c r="G2856" i="2"/>
  <c r="G2116" i="2"/>
  <c r="K1923" i="2"/>
  <c r="G1923" i="2"/>
  <c r="G1919" i="2"/>
  <c r="J1915" i="2"/>
  <c r="G1915" i="2"/>
  <c r="G256" i="2"/>
  <c r="G2345" i="2"/>
  <c r="K1903" i="2"/>
  <c r="G1903" i="2"/>
  <c r="G1899" i="2"/>
  <c r="J3818" i="2"/>
  <c r="G3818" i="2"/>
  <c r="G1891" i="2"/>
  <c r="K1887" i="2"/>
  <c r="G1887" i="2"/>
  <c r="G1883" i="2"/>
  <c r="G2975" i="2"/>
  <c r="K1875" i="2"/>
  <c r="G1875" i="2"/>
  <c r="G1871" i="2"/>
  <c r="G2159" i="2"/>
  <c r="K1863" i="2"/>
  <c r="G1863" i="2"/>
  <c r="G1859" i="2"/>
  <c r="G1855" i="2"/>
  <c r="K1851" i="2"/>
  <c r="G1851" i="2"/>
  <c r="K1847" i="2"/>
  <c r="G1847" i="2"/>
  <c r="K1843" i="2"/>
  <c r="G1843" i="2"/>
  <c r="K1839" i="2"/>
  <c r="G1839" i="2"/>
  <c r="J1097" i="2"/>
  <c r="G1097" i="2"/>
  <c r="G5030" i="2"/>
  <c r="K1827" i="2"/>
  <c r="G1827" i="2"/>
  <c r="G1823" i="2"/>
  <c r="G1819" i="2"/>
  <c r="G1815" i="2"/>
  <c r="K1811" i="2"/>
  <c r="G1811" i="2"/>
  <c r="G4944" i="2"/>
  <c r="K1803" i="2"/>
  <c r="G1803" i="2"/>
  <c r="K1799" i="2"/>
  <c r="G1799" i="2"/>
  <c r="K1795" i="2"/>
  <c r="G1795" i="2"/>
  <c r="K1791" i="2"/>
  <c r="G1791" i="2"/>
  <c r="G1787" i="2"/>
  <c r="K1783" i="2"/>
  <c r="G1783" i="2"/>
  <c r="G1779" i="2"/>
  <c r="K1775" i="2"/>
  <c r="G1775" i="2"/>
  <c r="K1771" i="2"/>
  <c r="G1771" i="2"/>
  <c r="K1767" i="2"/>
  <c r="G1767" i="2"/>
  <c r="K1763" i="2"/>
  <c r="G1763" i="2"/>
  <c r="K1759" i="2"/>
  <c r="G1759" i="2"/>
  <c r="K1755" i="2"/>
  <c r="G1755" i="2"/>
  <c r="J5563" i="2"/>
  <c r="G5563" i="2"/>
  <c r="G1747" i="2"/>
  <c r="K1743" i="2"/>
  <c r="G1743" i="2"/>
  <c r="K1739" i="2"/>
  <c r="G1739" i="2"/>
  <c r="K1735" i="2"/>
  <c r="G1735" i="2"/>
  <c r="K1731" i="2"/>
  <c r="G1731" i="2"/>
  <c r="G1727" i="2"/>
  <c r="K1723" i="2"/>
  <c r="G1723" i="2"/>
  <c r="K1719" i="2"/>
  <c r="G1719" i="2"/>
  <c r="K1715" i="2"/>
  <c r="G1715" i="2"/>
  <c r="K1711" i="2"/>
  <c r="G1711" i="2"/>
  <c r="K1707" i="2"/>
  <c r="G1707" i="2"/>
  <c r="G1703" i="2"/>
  <c r="G1699" i="2"/>
  <c r="G1695" i="2"/>
  <c r="K1691" i="2"/>
  <c r="G1691" i="2"/>
  <c r="K1687" i="2"/>
  <c r="G1687" i="2"/>
  <c r="G1118" i="2"/>
  <c r="G1679" i="2"/>
  <c r="J1675" i="2"/>
  <c r="G1675" i="2"/>
  <c r="G1671" i="2"/>
  <c r="K1667" i="2"/>
  <c r="G1667" i="2"/>
  <c r="G1663" i="2"/>
  <c r="G1659" i="2"/>
  <c r="G1655" i="2"/>
  <c r="K1651" i="2"/>
  <c r="G1651" i="2"/>
  <c r="K1647" i="2"/>
  <c r="G1647" i="2"/>
  <c r="K1643" i="2"/>
  <c r="G1643" i="2"/>
  <c r="K1639" i="2"/>
  <c r="G1639" i="2"/>
  <c r="K1635" i="2"/>
  <c r="G1635" i="2"/>
  <c r="G931" i="2"/>
  <c r="G1627" i="2"/>
  <c r="K1623" i="2"/>
  <c r="G1623" i="2"/>
  <c r="J3544" i="2"/>
  <c r="G3544" i="2"/>
  <c r="G2220" i="2"/>
  <c r="K1611" i="2"/>
  <c r="G1611" i="2"/>
  <c r="K1607" i="2"/>
  <c r="G1607" i="2"/>
  <c r="G1603" i="2"/>
  <c r="G5644" i="2"/>
  <c r="G1595" i="2"/>
  <c r="K1591" i="2"/>
  <c r="G1591" i="2"/>
  <c r="G1587" i="2"/>
  <c r="K1583" i="2"/>
  <c r="G1583" i="2"/>
  <c r="K1579" i="2"/>
  <c r="G1579" i="2"/>
  <c r="J3786" i="2"/>
  <c r="G3786" i="2"/>
  <c r="G1571" i="2"/>
  <c r="K1567" i="2"/>
  <c r="G1567" i="2"/>
  <c r="K1563" i="2"/>
  <c r="G1563" i="2"/>
  <c r="K1559" i="2"/>
  <c r="G1559" i="2"/>
  <c r="K1555" i="2"/>
  <c r="G1555" i="2"/>
  <c r="G1551" i="2"/>
  <c r="G5968" i="2"/>
  <c r="K1543" i="2"/>
  <c r="G1543" i="2"/>
  <c r="G6778" i="2"/>
  <c r="J2130" i="2"/>
  <c r="G2130" i="2"/>
  <c r="G1531" i="2"/>
  <c r="G1527" i="2"/>
  <c r="K1523" i="2"/>
  <c r="G1523" i="2"/>
  <c r="G1519" i="2"/>
  <c r="K1519" i="2"/>
  <c r="G1515" i="2"/>
  <c r="G1511" i="2"/>
  <c r="G2920" i="2"/>
  <c r="K1503" i="2"/>
  <c r="G1503" i="2"/>
  <c r="G1499" i="2"/>
  <c r="J1495" i="2"/>
  <c r="G1495" i="2"/>
  <c r="G3014" i="2"/>
  <c r="G1487" i="2"/>
  <c r="K1487" i="2"/>
  <c r="K1483" i="2"/>
  <c r="G1483" i="2"/>
  <c r="K1479" i="2"/>
  <c r="G1479" i="2"/>
  <c r="G1475" i="2"/>
  <c r="K1475" i="2"/>
  <c r="K1471" i="2"/>
  <c r="G1471" i="2"/>
  <c r="K1467" i="2"/>
  <c r="G1467" i="2"/>
  <c r="K1463" i="2"/>
  <c r="G1463" i="2"/>
  <c r="K1459" i="2"/>
  <c r="G1459" i="2"/>
  <c r="K1455" i="2"/>
  <c r="G1455" i="2"/>
  <c r="K1451" i="2"/>
  <c r="G1451" i="2"/>
  <c r="G1447" i="2"/>
  <c r="G1443" i="2"/>
  <c r="G1439" i="2"/>
  <c r="K1435" i="2"/>
  <c r="G1435" i="2"/>
  <c r="K1431" i="2"/>
  <c r="G1431" i="2"/>
  <c r="J1420" i="2"/>
  <c r="G1420" i="2"/>
  <c r="G1423" i="2"/>
  <c r="J1423" i="2"/>
  <c r="K1419" i="2"/>
  <c r="G1419" i="2"/>
  <c r="G1452" i="2"/>
  <c r="G1411" i="2"/>
  <c r="G2395" i="2"/>
  <c r="G1403" i="2"/>
  <c r="K1399" i="2"/>
  <c r="G1399" i="2"/>
  <c r="G1395" i="2"/>
  <c r="J1395" i="2"/>
  <c r="G1391" i="2"/>
  <c r="G1387" i="2"/>
  <c r="G1383" i="2"/>
  <c r="G1379" i="2"/>
  <c r="G44" i="2"/>
  <c r="J5133" i="2"/>
  <c r="G5133" i="2"/>
  <c r="K1367" i="2"/>
  <c r="G1367" i="2"/>
  <c r="G4096" i="2"/>
  <c r="G1359" i="2"/>
  <c r="G3811" i="2"/>
  <c r="K1351" i="2"/>
  <c r="G1351" i="2"/>
  <c r="K1347" i="2"/>
  <c r="G1347" i="2"/>
  <c r="K1343" i="2"/>
  <c r="G1343" i="2"/>
  <c r="K1339" i="2"/>
  <c r="G1339" i="2"/>
  <c r="G1335" i="2"/>
  <c r="J1335" i="2"/>
  <c r="K1331" i="2"/>
  <c r="G1331" i="2"/>
  <c r="G1327" i="2"/>
  <c r="G1323" i="2"/>
  <c r="K1323" i="2"/>
  <c r="K1319" i="2"/>
  <c r="G1319" i="2"/>
  <c r="K1315" i="2"/>
  <c r="G1315" i="2"/>
  <c r="K1311" i="2"/>
  <c r="G1311" i="2"/>
  <c r="K1307" i="2"/>
  <c r="G1307" i="2"/>
  <c r="G7084" i="2"/>
  <c r="J7084" i="2"/>
  <c r="G1299" i="2"/>
  <c r="G1295" i="2"/>
  <c r="G1291" i="2"/>
  <c r="G6001" i="2"/>
  <c r="G4630" i="2"/>
  <c r="J5024" i="2"/>
  <c r="G5024" i="2"/>
  <c r="G7017" i="2"/>
  <c r="G1271" i="2"/>
  <c r="G1267" i="2"/>
  <c r="G1263" i="2"/>
  <c r="G1259" i="2"/>
  <c r="K1259" i="2"/>
  <c r="G1255" i="2"/>
  <c r="G1251" i="2"/>
  <c r="K1251" i="2"/>
  <c r="K1247" i="2"/>
  <c r="G1247" i="2"/>
  <c r="J1243" i="2"/>
  <c r="G1243" i="2"/>
  <c r="G1239" i="2"/>
  <c r="G1235" i="2"/>
  <c r="G2906" i="2"/>
  <c r="J1227" i="2"/>
  <c r="G1227" i="2"/>
  <c r="K1223" i="2"/>
  <c r="G1223" i="2"/>
  <c r="G1219" i="2"/>
  <c r="G1215" i="2"/>
  <c r="G1211" i="2"/>
  <c r="G1207" i="2"/>
  <c r="G1203" i="2"/>
  <c r="G2061" i="2"/>
  <c r="G1195" i="2"/>
  <c r="K1191" i="2"/>
  <c r="G1191" i="2"/>
  <c r="G6836" i="2"/>
  <c r="G1183" i="2"/>
  <c r="K1179" i="2"/>
  <c r="G1179" i="2"/>
  <c r="G1175" i="2"/>
  <c r="J3661" i="2"/>
  <c r="G3661" i="2"/>
  <c r="G1167" i="2"/>
  <c r="G1163" i="2"/>
  <c r="G2535" i="2"/>
  <c r="K1155" i="2"/>
  <c r="G1155" i="2"/>
  <c r="G4874" i="2"/>
  <c r="G1147" i="2"/>
  <c r="G1143" i="2"/>
  <c r="K1139" i="2"/>
  <c r="G1139" i="2"/>
  <c r="G6885" i="2"/>
  <c r="K1131" i="2"/>
  <c r="G1131" i="2"/>
  <c r="K1127" i="2"/>
  <c r="G1127" i="2"/>
  <c r="K1123" i="2"/>
  <c r="G1123" i="2"/>
  <c r="G1119" i="2"/>
  <c r="J3165" i="2"/>
  <c r="G3165" i="2"/>
  <c r="G633" i="2"/>
  <c r="G1107" i="2"/>
  <c r="G1115" i="2"/>
  <c r="G1099" i="2"/>
  <c r="G5879" i="2"/>
  <c r="J5879" i="2"/>
  <c r="G1091" i="2"/>
  <c r="K1087" i="2"/>
  <c r="G1087" i="2"/>
  <c r="G5966" i="2"/>
  <c r="K1079" i="2"/>
  <c r="G1079" i="2"/>
  <c r="G2645" i="2"/>
  <c r="G964" i="2"/>
  <c r="J5911" i="2"/>
  <c r="G5911" i="2"/>
  <c r="K1063" i="2"/>
  <c r="G1063" i="2"/>
  <c r="G1059" i="2"/>
  <c r="K1055" i="2"/>
  <c r="G1055" i="2"/>
  <c r="G1051" i="2"/>
  <c r="G247" i="2"/>
  <c r="G1043" i="2"/>
  <c r="J2300" i="2"/>
  <c r="G2300" i="2"/>
  <c r="G1035" i="2"/>
  <c r="G1031" i="2"/>
  <c r="G985" i="2"/>
  <c r="J3666" i="2"/>
  <c r="G3666" i="2"/>
  <c r="G1019" i="2"/>
  <c r="K1015" i="2"/>
  <c r="G1015" i="2"/>
  <c r="G1011" i="2"/>
  <c r="K1011" i="2"/>
  <c r="G1007" i="2"/>
  <c r="K1003" i="2"/>
  <c r="G1003" i="2"/>
  <c r="K999" i="2"/>
  <c r="G999" i="2"/>
  <c r="G995" i="2"/>
  <c r="G991" i="2"/>
  <c r="G987" i="2"/>
  <c r="G983" i="2"/>
  <c r="G979" i="2"/>
  <c r="K979" i="2"/>
  <c r="G975" i="2"/>
  <c r="K971" i="2"/>
  <c r="G971" i="2"/>
  <c r="G5929" i="2"/>
  <c r="J5618" i="2"/>
  <c r="G5618" i="2"/>
  <c r="G959" i="2"/>
  <c r="G955" i="2"/>
  <c r="G951" i="2"/>
  <c r="G947" i="2"/>
  <c r="K947" i="2"/>
  <c r="K943" i="2"/>
  <c r="G943" i="2"/>
  <c r="J4678" i="2"/>
  <c r="G4678" i="2"/>
  <c r="G935" i="2"/>
  <c r="G5625" i="2"/>
  <c r="K927" i="2"/>
  <c r="G927" i="2"/>
  <c r="G923" i="2"/>
  <c r="K919" i="2"/>
  <c r="G919" i="2"/>
  <c r="G915" i="2"/>
  <c r="K915" i="2"/>
  <c r="K911" i="2"/>
  <c r="G911" i="2"/>
  <c r="J4812" i="2"/>
  <c r="G4812" i="2"/>
  <c r="G4471" i="2"/>
  <c r="G899" i="2"/>
  <c r="K899" i="2"/>
  <c r="K895" i="2"/>
  <c r="G895" i="2"/>
  <c r="J656" i="2"/>
  <c r="G656" i="2"/>
  <c r="K887" i="2"/>
  <c r="G887" i="2"/>
  <c r="G883" i="2"/>
  <c r="J883" i="2"/>
  <c r="G879" i="2"/>
  <c r="K875" i="2"/>
  <c r="G875" i="2"/>
  <c r="K871" i="2"/>
  <c r="G871" i="2"/>
  <c r="G867" i="2"/>
  <c r="K867" i="2"/>
  <c r="G863" i="2"/>
  <c r="K859" i="2"/>
  <c r="G859" i="2"/>
  <c r="K855" i="2"/>
  <c r="G855" i="2"/>
  <c r="G851" i="2"/>
  <c r="J851" i="2"/>
  <c r="G847" i="2"/>
  <c r="K847" i="2"/>
  <c r="G843" i="2"/>
  <c r="G839" i="2"/>
  <c r="G835" i="2"/>
  <c r="J835" i="2"/>
  <c r="G831" i="2"/>
  <c r="K831" i="2"/>
  <c r="G827" i="2"/>
  <c r="G3475" i="2"/>
  <c r="G1910" i="2"/>
  <c r="J1910" i="2"/>
  <c r="G815" i="2"/>
  <c r="K815" i="2"/>
  <c r="G811" i="2"/>
  <c r="G807" i="2"/>
  <c r="G803" i="2"/>
  <c r="G799" i="2"/>
  <c r="G1054" i="2"/>
  <c r="G1931" i="2"/>
  <c r="G787" i="2"/>
  <c r="K783" i="2"/>
  <c r="G783" i="2"/>
  <c r="K779" i="2"/>
  <c r="G779" i="2"/>
  <c r="K775" i="2"/>
  <c r="G775" i="2"/>
  <c r="G536" i="2"/>
  <c r="G767" i="2"/>
  <c r="G763" i="2"/>
  <c r="J1979" i="2"/>
  <c r="G1979" i="2"/>
  <c r="K755" i="2"/>
  <c r="G755" i="2"/>
  <c r="K751" i="2"/>
  <c r="G751" i="2"/>
  <c r="G5928" i="2"/>
  <c r="G2157" i="2"/>
  <c r="G739" i="2"/>
  <c r="K735" i="2"/>
  <c r="G735" i="2"/>
  <c r="K731" i="2"/>
  <c r="G731" i="2"/>
  <c r="K727" i="2"/>
  <c r="G727" i="2"/>
  <c r="K723" i="2"/>
  <c r="G723" i="2"/>
  <c r="G719" i="2"/>
  <c r="K715" i="2"/>
  <c r="G715" i="2"/>
  <c r="K711" i="2"/>
  <c r="G711" i="2"/>
  <c r="K707" i="2"/>
  <c r="G707" i="2"/>
  <c r="K703" i="2"/>
  <c r="G703" i="2"/>
  <c r="G3202" i="2"/>
  <c r="J3452" i="2"/>
  <c r="G3452" i="2"/>
  <c r="G691" i="2"/>
  <c r="G687" i="2"/>
  <c r="K683" i="2"/>
  <c r="G683" i="2"/>
  <c r="G5584" i="2"/>
  <c r="G37" i="2"/>
  <c r="J671" i="2"/>
  <c r="G671" i="2"/>
  <c r="K667" i="2"/>
  <c r="G667" i="2"/>
  <c r="G4085" i="2"/>
  <c r="G659" i="2"/>
  <c r="G5583" i="2"/>
  <c r="J3041" i="2"/>
  <c r="G3041" i="2"/>
  <c r="G647" i="2"/>
  <c r="G643" i="2"/>
  <c r="G639" i="2"/>
  <c r="K635" i="2"/>
  <c r="G635" i="2"/>
  <c r="K631" i="2"/>
  <c r="G631" i="2"/>
  <c r="K627" i="2"/>
  <c r="G627" i="2"/>
  <c r="K623" i="2"/>
  <c r="G623" i="2"/>
  <c r="G619" i="2"/>
  <c r="K615" i="2"/>
  <c r="G615" i="2"/>
  <c r="K611" i="2"/>
  <c r="G611" i="2"/>
  <c r="G607" i="2"/>
  <c r="K603" i="2"/>
  <c r="G603" i="2"/>
  <c r="K599" i="2"/>
  <c r="G599" i="2"/>
  <c r="K595" i="2"/>
  <c r="G595" i="2"/>
  <c r="G591" i="2"/>
  <c r="G587" i="2"/>
  <c r="G362" i="2"/>
  <c r="G3449" i="2"/>
  <c r="J575" i="2"/>
  <c r="G575" i="2"/>
  <c r="G571" i="2"/>
  <c r="K571" i="2"/>
  <c r="G567" i="2"/>
  <c r="G563" i="2"/>
  <c r="K559" i="2"/>
  <c r="G559" i="2"/>
  <c r="G6708" i="2"/>
  <c r="G551" i="2"/>
  <c r="G547" i="2"/>
  <c r="G543" i="2"/>
  <c r="G539" i="2"/>
  <c r="J6442" i="2"/>
  <c r="G6442" i="2"/>
  <c r="G6539" i="2"/>
  <c r="G6578" i="2"/>
  <c r="G3680" i="2"/>
  <c r="G519" i="2"/>
  <c r="J519" i="2"/>
  <c r="G515" i="2"/>
  <c r="K511" i="2"/>
  <c r="G511" i="2"/>
  <c r="J394" i="2"/>
  <c r="G394" i="2"/>
  <c r="K503" i="2"/>
  <c r="G503" i="2"/>
  <c r="G499" i="2"/>
  <c r="K495" i="2"/>
  <c r="G495" i="2"/>
  <c r="G491" i="2"/>
  <c r="K491" i="2"/>
  <c r="K487" i="2"/>
  <c r="G487" i="2"/>
  <c r="G2056" i="2"/>
  <c r="G479" i="2"/>
  <c r="K475" i="2"/>
  <c r="G475" i="2"/>
  <c r="K471" i="2"/>
  <c r="G471" i="2"/>
  <c r="K467" i="2"/>
  <c r="G467" i="2"/>
  <c r="G1026" i="2"/>
  <c r="K459" i="2"/>
  <c r="G459" i="2"/>
  <c r="K455" i="2"/>
  <c r="G455" i="2"/>
  <c r="G451" i="2"/>
  <c r="J451" i="2"/>
  <c r="G4845" i="2"/>
  <c r="K443" i="2"/>
  <c r="G443" i="2"/>
  <c r="J3432" i="2"/>
  <c r="G3432" i="2"/>
  <c r="G435" i="2"/>
  <c r="G431" i="2"/>
  <c r="G427" i="2"/>
  <c r="J427" i="2"/>
  <c r="G2341" i="2"/>
  <c r="K419" i="2"/>
  <c r="G419" i="2"/>
  <c r="J1622" i="2"/>
  <c r="G1622" i="2"/>
  <c r="G6707" i="2"/>
  <c r="G4053" i="2"/>
  <c r="G403" i="2"/>
  <c r="G399" i="2"/>
  <c r="G395" i="2"/>
  <c r="J3174" i="2"/>
  <c r="G3174" i="2"/>
  <c r="K387" i="2"/>
  <c r="G387" i="2"/>
  <c r="G383" i="2"/>
  <c r="K383" i="2"/>
  <c r="G379" i="2"/>
  <c r="G375" i="2"/>
  <c r="G4043" i="2"/>
  <c r="K367" i="2"/>
  <c r="G367" i="2"/>
  <c r="J363" i="2"/>
  <c r="G363" i="2"/>
  <c r="K359" i="2"/>
  <c r="G359" i="2"/>
  <c r="G355" i="2"/>
  <c r="K351" i="2"/>
  <c r="G351" i="2"/>
  <c r="G347" i="2"/>
  <c r="G343" i="2"/>
  <c r="G339" i="2"/>
  <c r="K335" i="2"/>
  <c r="G335" i="2"/>
  <c r="G331" i="2"/>
  <c r="K327" i="2"/>
  <c r="G327" i="2"/>
  <c r="K323" i="2"/>
  <c r="G323" i="2"/>
  <c r="G319" i="2"/>
  <c r="G6750" i="2"/>
  <c r="G311" i="2"/>
  <c r="K307" i="2"/>
  <c r="G307" i="2"/>
  <c r="G2851" i="2"/>
  <c r="J5337" i="2"/>
  <c r="G5337" i="2"/>
  <c r="K295" i="2"/>
  <c r="G295" i="2"/>
  <c r="K291" i="2"/>
  <c r="G291" i="2"/>
  <c r="G287" i="2"/>
  <c r="K283" i="2"/>
  <c r="G283" i="2"/>
  <c r="K279" i="2"/>
  <c r="G279" i="2"/>
  <c r="K275" i="2"/>
  <c r="G275" i="2"/>
  <c r="K271" i="2"/>
  <c r="G271" i="2"/>
  <c r="K267" i="2"/>
  <c r="G267" i="2"/>
  <c r="K263" i="2"/>
  <c r="G263" i="2"/>
  <c r="K259" i="2"/>
  <c r="G259" i="2"/>
  <c r="K255" i="2"/>
  <c r="G255" i="2"/>
  <c r="G6771" i="2"/>
  <c r="G5965" i="2"/>
  <c r="G243" i="2"/>
  <c r="G3418" i="2"/>
  <c r="J1364" i="2"/>
  <c r="G1364" i="2"/>
  <c r="G231" i="2"/>
  <c r="G6769" i="2"/>
  <c r="G1113" i="2"/>
  <c r="K219" i="2"/>
  <c r="G219" i="2"/>
  <c r="G215" i="2"/>
  <c r="G211" i="2"/>
  <c r="J6177" i="2"/>
  <c r="G6177" i="2"/>
  <c r="G4640" i="2"/>
  <c r="G1585" i="2"/>
  <c r="G5161" i="2"/>
  <c r="K191" i="2"/>
  <c r="G191" i="2"/>
  <c r="K187" i="2"/>
  <c r="G187" i="2"/>
  <c r="K183" i="2"/>
  <c r="G183" i="2"/>
  <c r="J3705" i="2"/>
  <c r="G3705" i="2"/>
  <c r="G2320" i="2"/>
  <c r="G171" i="2"/>
  <c r="G4579" i="2"/>
  <c r="G163" i="2"/>
  <c r="J159" i="2"/>
  <c r="G159" i="2"/>
  <c r="K155" i="2"/>
  <c r="G155" i="2"/>
  <c r="K151" i="2"/>
  <c r="G151" i="2"/>
  <c r="G147" i="2"/>
  <c r="G6914" i="2"/>
  <c r="G3037" i="2"/>
  <c r="J7101" i="2"/>
  <c r="G7101" i="2"/>
  <c r="K131" i="2"/>
  <c r="G131" i="2"/>
  <c r="G5978" i="2"/>
  <c r="G123" i="2"/>
  <c r="G119" i="2"/>
  <c r="K115" i="2"/>
  <c r="G115" i="2"/>
  <c r="G1970" i="2"/>
  <c r="G107" i="2"/>
  <c r="G103" i="2"/>
  <c r="G99" i="2"/>
  <c r="K95" i="2"/>
  <c r="G95" i="2"/>
  <c r="G324" i="2"/>
  <c r="K87" i="2"/>
  <c r="G87" i="2"/>
  <c r="J83" i="2"/>
  <c r="G83" i="2"/>
  <c r="G535" i="2"/>
  <c r="G4084" i="2"/>
  <c r="G6531" i="2"/>
  <c r="G67" i="2"/>
  <c r="K67" i="2"/>
  <c r="G63" i="2"/>
  <c r="K59" i="2"/>
  <c r="G59" i="2"/>
  <c r="K55" i="2"/>
  <c r="G55" i="2"/>
  <c r="K51" i="2"/>
  <c r="G51" i="2"/>
  <c r="J7146" i="2"/>
  <c r="G7146" i="2"/>
  <c r="G2403" i="2"/>
  <c r="G7" i="2"/>
  <c r="G35" i="2"/>
  <c r="K31" i="2"/>
  <c r="G31" i="2"/>
  <c r="K27" i="2"/>
  <c r="G27" i="2"/>
  <c r="J23" i="2"/>
  <c r="G23" i="2"/>
  <c r="K19" i="2"/>
  <c r="G19" i="2"/>
  <c r="K15" i="2"/>
  <c r="G15" i="2"/>
  <c r="K11" i="2"/>
  <c r="G11" i="2"/>
  <c r="G802" i="2"/>
  <c r="G3" i="2"/>
  <c r="I9997" i="2"/>
  <c r="G9997" i="2"/>
  <c r="I9993" i="2"/>
  <c r="G9993" i="2"/>
  <c r="I9989" i="2"/>
  <c r="G9989" i="2"/>
  <c r="I9985" i="2"/>
  <c r="G9985" i="2"/>
  <c r="I9981" i="2"/>
  <c r="G9981" i="2"/>
  <c r="I9977" i="2"/>
  <c r="G9977" i="2"/>
  <c r="I9973" i="2"/>
  <c r="G9973" i="2"/>
  <c r="I9969" i="2"/>
  <c r="G9969" i="2"/>
  <c r="I9965" i="2"/>
  <c r="G9965" i="2"/>
  <c r="I9961" i="2"/>
  <c r="G9961" i="2"/>
  <c r="I9957" i="2"/>
  <c r="G9957" i="2"/>
  <c r="I9953" i="2"/>
  <c r="G9953" i="2"/>
  <c r="I9949" i="2"/>
  <c r="G9949" i="2"/>
  <c r="I9945" i="2"/>
  <c r="G9945" i="2"/>
  <c r="I9941" i="2"/>
  <c r="G9941" i="2"/>
  <c r="I9937" i="2"/>
  <c r="G9937" i="2"/>
  <c r="I9933" i="2"/>
  <c r="G9933" i="2"/>
  <c r="I9929" i="2"/>
  <c r="G9929" i="2"/>
  <c r="I9925" i="2"/>
  <c r="G9925" i="2"/>
  <c r="I9921" i="2"/>
  <c r="G9921" i="2"/>
  <c r="I9917" i="2"/>
  <c r="G9917" i="2"/>
  <c r="I9913" i="2"/>
  <c r="G9913" i="2"/>
  <c r="I9909" i="2"/>
  <c r="G9909" i="2"/>
  <c r="I9905" i="2"/>
  <c r="G9905" i="2"/>
  <c r="I9901" i="2"/>
  <c r="G9901" i="2"/>
  <c r="I9897" i="2"/>
  <c r="G9897" i="2"/>
  <c r="I9893" i="2"/>
  <c r="G9893" i="2"/>
  <c r="I9889" i="2"/>
  <c r="G9889" i="2"/>
  <c r="I9885" i="2"/>
  <c r="G9885" i="2"/>
  <c r="I9881" i="2"/>
  <c r="G9881" i="2"/>
  <c r="I9877" i="2"/>
  <c r="G9877" i="2"/>
  <c r="I9873" i="2"/>
  <c r="G9873" i="2"/>
  <c r="I9869" i="2"/>
  <c r="G9869" i="2"/>
  <c r="I9865" i="2"/>
  <c r="G9865" i="2"/>
  <c r="I9861" i="2"/>
  <c r="G9861" i="2"/>
  <c r="I9857" i="2"/>
  <c r="G9857" i="2"/>
  <c r="I9853" i="2"/>
  <c r="G9853" i="2"/>
  <c r="I9849" i="2"/>
  <c r="G9849" i="2"/>
  <c r="I9845" i="2"/>
  <c r="G9845" i="2"/>
  <c r="I9841" i="2"/>
  <c r="G9841" i="2"/>
  <c r="I9837" i="2"/>
  <c r="G9837" i="2"/>
  <c r="I9833" i="2"/>
  <c r="G9833" i="2"/>
  <c r="I9829" i="2"/>
  <c r="G9829" i="2"/>
  <c r="I9825" i="2"/>
  <c r="G9825" i="2"/>
  <c r="I9821" i="2"/>
  <c r="G9821" i="2"/>
  <c r="I9817" i="2"/>
  <c r="G9817" i="2"/>
  <c r="I9813" i="2"/>
  <c r="G9813" i="2"/>
  <c r="I9809" i="2"/>
  <c r="G9809" i="2"/>
  <c r="I9805" i="2"/>
  <c r="G9805" i="2"/>
  <c r="I9801" i="2"/>
  <c r="G9801" i="2"/>
  <c r="I9797" i="2"/>
  <c r="G9797" i="2"/>
  <c r="I9793" i="2"/>
  <c r="G9793" i="2"/>
  <c r="I9789" i="2"/>
  <c r="G9789" i="2"/>
  <c r="I9785" i="2"/>
  <c r="G9785" i="2"/>
  <c r="I9781" i="2"/>
  <c r="G9781" i="2"/>
  <c r="I9777" i="2"/>
  <c r="G9777" i="2"/>
  <c r="I9773" i="2"/>
  <c r="G9773" i="2"/>
  <c r="I9769" i="2"/>
  <c r="G9769" i="2"/>
  <c r="I9765" i="2"/>
  <c r="G9765" i="2"/>
  <c r="I9761" i="2"/>
  <c r="G9761" i="2"/>
  <c r="I9757" i="2"/>
  <c r="G9757" i="2"/>
  <c r="I9753" i="2"/>
  <c r="G9753" i="2"/>
  <c r="I9749" i="2"/>
  <c r="G9749" i="2"/>
  <c r="I9745" i="2"/>
  <c r="G9745" i="2"/>
  <c r="I9741" i="2"/>
  <c r="G9741" i="2"/>
  <c r="I9737" i="2"/>
  <c r="G9737" i="2"/>
  <c r="I9733" i="2"/>
  <c r="G9733" i="2"/>
  <c r="I9729" i="2"/>
  <c r="G9729" i="2"/>
  <c r="I9725" i="2"/>
  <c r="G9725" i="2"/>
  <c r="I9721" i="2"/>
  <c r="G9721" i="2"/>
  <c r="I9717" i="2"/>
  <c r="G9717" i="2"/>
  <c r="I9713" i="2"/>
  <c r="G9713" i="2"/>
  <c r="I9709" i="2"/>
  <c r="G9709" i="2"/>
  <c r="I9705" i="2"/>
  <c r="G9705" i="2"/>
  <c r="I9701" i="2"/>
  <c r="G9701" i="2"/>
  <c r="I9697" i="2"/>
  <c r="G9697" i="2"/>
  <c r="I9693" i="2"/>
  <c r="G9693" i="2"/>
  <c r="I9689" i="2"/>
  <c r="G9689" i="2"/>
  <c r="I9685" i="2"/>
  <c r="G9685" i="2"/>
  <c r="I9681" i="2"/>
  <c r="G9681" i="2"/>
  <c r="I9677" i="2"/>
  <c r="G9677" i="2"/>
  <c r="I9673" i="2"/>
  <c r="G9673" i="2"/>
  <c r="I9669" i="2"/>
  <c r="G9669" i="2"/>
  <c r="I9665" i="2"/>
  <c r="G9665" i="2"/>
  <c r="I9661" i="2"/>
  <c r="G9661" i="2"/>
  <c r="I9657" i="2"/>
  <c r="G9657" i="2"/>
  <c r="I9653" i="2"/>
  <c r="G9653" i="2"/>
  <c r="I9649" i="2"/>
  <c r="G9649" i="2"/>
  <c r="I9645" i="2"/>
  <c r="G9645" i="2"/>
  <c r="I9641" i="2"/>
  <c r="G9641" i="2"/>
  <c r="I9637" i="2"/>
  <c r="G9637" i="2"/>
  <c r="I9633" i="2"/>
  <c r="G9633" i="2"/>
  <c r="I9629" i="2"/>
  <c r="G9629" i="2"/>
  <c r="I9625" i="2"/>
  <c r="G9625" i="2"/>
  <c r="I9621" i="2"/>
  <c r="G9621" i="2"/>
  <c r="I9617" i="2"/>
  <c r="G9617" i="2"/>
  <c r="I9613" i="2"/>
  <c r="G9613" i="2"/>
  <c r="I9609" i="2"/>
  <c r="G9609" i="2"/>
  <c r="I9605" i="2"/>
  <c r="G9605" i="2"/>
  <c r="I9601" i="2"/>
  <c r="G9601" i="2"/>
  <c r="I9597" i="2"/>
  <c r="G9597" i="2"/>
  <c r="I9593" i="2"/>
  <c r="G9593" i="2"/>
  <c r="I9589" i="2"/>
  <c r="G9589" i="2"/>
  <c r="I9585" i="2"/>
  <c r="G9585" i="2"/>
  <c r="I9581" i="2"/>
  <c r="G9581" i="2"/>
  <c r="I9577" i="2"/>
  <c r="G9577" i="2"/>
  <c r="I9573" i="2"/>
  <c r="G9573" i="2"/>
  <c r="I9569" i="2"/>
  <c r="G9569" i="2"/>
  <c r="I9565" i="2"/>
  <c r="G9565" i="2"/>
  <c r="I9561" i="2"/>
  <c r="G9561" i="2"/>
  <c r="I9557" i="2"/>
  <c r="G9557" i="2"/>
  <c r="I9553" i="2"/>
  <c r="G9553" i="2"/>
  <c r="I9549" i="2"/>
  <c r="G9549" i="2"/>
  <c r="I9545" i="2"/>
  <c r="G9545" i="2"/>
  <c r="I9541" i="2"/>
  <c r="G9541" i="2"/>
  <c r="I9537" i="2"/>
  <c r="G9537" i="2"/>
  <c r="I9533" i="2"/>
  <c r="G9533" i="2"/>
  <c r="I9529" i="2"/>
  <c r="G9529" i="2"/>
  <c r="I9525" i="2"/>
  <c r="G9525" i="2"/>
  <c r="I9521" i="2"/>
  <c r="G9521" i="2"/>
  <c r="I9517" i="2"/>
  <c r="G9517" i="2"/>
  <c r="I9513" i="2"/>
  <c r="G9513" i="2"/>
  <c r="I9509" i="2"/>
  <c r="G9509" i="2"/>
  <c r="I9505" i="2"/>
  <c r="G9505" i="2"/>
  <c r="I9501" i="2"/>
  <c r="G9501" i="2"/>
  <c r="I9497" i="2"/>
  <c r="G9497" i="2"/>
  <c r="I9493" i="2"/>
  <c r="G9493" i="2"/>
  <c r="I9489" i="2"/>
  <c r="G9489" i="2"/>
  <c r="I9485" i="2"/>
  <c r="G9485" i="2"/>
  <c r="I9481" i="2"/>
  <c r="G9481" i="2"/>
  <c r="I9477" i="2"/>
  <c r="G9477" i="2"/>
  <c r="I9473" i="2"/>
  <c r="G9473" i="2"/>
  <c r="I9469" i="2"/>
  <c r="G9469" i="2"/>
  <c r="I9465" i="2"/>
  <c r="G9465" i="2"/>
  <c r="I9461" i="2"/>
  <c r="G9461" i="2"/>
  <c r="I9457" i="2"/>
  <c r="G9457" i="2"/>
  <c r="I9453" i="2"/>
  <c r="G9453" i="2"/>
  <c r="I9449" i="2"/>
  <c r="G9449" i="2"/>
  <c r="I9445" i="2"/>
  <c r="G9445" i="2"/>
  <c r="I9441" i="2"/>
  <c r="G9441" i="2"/>
  <c r="I9437" i="2"/>
  <c r="G9437" i="2"/>
  <c r="I9433" i="2"/>
  <c r="G9433" i="2"/>
  <c r="I9429" i="2"/>
  <c r="G9429" i="2"/>
  <c r="I9425" i="2"/>
  <c r="G9425" i="2"/>
  <c r="I9421" i="2"/>
  <c r="G9421" i="2"/>
  <c r="I9417" i="2"/>
  <c r="G9417" i="2"/>
  <c r="I9413" i="2"/>
  <c r="G9413" i="2"/>
  <c r="I9409" i="2"/>
  <c r="G9409" i="2"/>
  <c r="I9405" i="2"/>
  <c r="G9405" i="2"/>
  <c r="I9401" i="2"/>
  <c r="G9401" i="2"/>
  <c r="I9397" i="2"/>
  <c r="G9397" i="2"/>
  <c r="I9393" i="2"/>
  <c r="G9393" i="2"/>
  <c r="I9389" i="2"/>
  <c r="G9389" i="2"/>
  <c r="I9385" i="2"/>
  <c r="G9385" i="2"/>
  <c r="I9381" i="2"/>
  <c r="G9381" i="2"/>
  <c r="I9377" i="2"/>
  <c r="G9377" i="2"/>
  <c r="I9373" i="2"/>
  <c r="G9373" i="2"/>
  <c r="I9369" i="2"/>
  <c r="G9369" i="2"/>
  <c r="I9365" i="2"/>
  <c r="G9365" i="2"/>
  <c r="I9361" i="2"/>
  <c r="G9361" i="2"/>
  <c r="I9357" i="2"/>
  <c r="G9357" i="2"/>
  <c r="I9353" i="2"/>
  <c r="G9353" i="2"/>
  <c r="I9349" i="2"/>
  <c r="G9349" i="2"/>
  <c r="I9345" i="2"/>
  <c r="G9345" i="2"/>
  <c r="I9341" i="2"/>
  <c r="G9341" i="2"/>
  <c r="I9337" i="2"/>
  <c r="G9337" i="2"/>
  <c r="I9333" i="2"/>
  <c r="G9333" i="2"/>
  <c r="I9329" i="2"/>
  <c r="G9329" i="2"/>
  <c r="I9325" i="2"/>
  <c r="G9325" i="2"/>
  <c r="I9321" i="2"/>
  <c r="G9321" i="2"/>
  <c r="I9317" i="2"/>
  <c r="G9317" i="2"/>
  <c r="I9313" i="2"/>
  <c r="G9313" i="2"/>
  <c r="I9309" i="2"/>
  <c r="G9309" i="2"/>
  <c r="I9305" i="2"/>
  <c r="G9305" i="2"/>
  <c r="I9301" i="2"/>
  <c r="G9301" i="2"/>
  <c r="I9297" i="2"/>
  <c r="G9297" i="2"/>
  <c r="I9293" i="2"/>
  <c r="G9293" i="2"/>
  <c r="I9289" i="2"/>
  <c r="G9289" i="2"/>
  <c r="I9285" i="2"/>
  <c r="G9285" i="2"/>
  <c r="I9281" i="2"/>
  <c r="G9281" i="2"/>
  <c r="I9277" i="2"/>
  <c r="G9277" i="2"/>
  <c r="I9273" i="2"/>
  <c r="G9273" i="2"/>
  <c r="I9269" i="2"/>
  <c r="G9269" i="2"/>
  <c r="I9265" i="2"/>
  <c r="G9265" i="2"/>
  <c r="I9261" i="2"/>
  <c r="G9261" i="2"/>
  <c r="I9257" i="2"/>
  <c r="G9257" i="2"/>
  <c r="I9253" i="2"/>
  <c r="G9253" i="2"/>
  <c r="I9249" i="2"/>
  <c r="G9249" i="2"/>
  <c r="I9245" i="2"/>
  <c r="G9245" i="2"/>
  <c r="I9241" i="2"/>
  <c r="G9241" i="2"/>
  <c r="I9237" i="2"/>
  <c r="G9237" i="2"/>
  <c r="I9233" i="2"/>
  <c r="G9233" i="2"/>
  <c r="I9229" i="2"/>
  <c r="G9229" i="2"/>
  <c r="I9225" i="2"/>
  <c r="G9225" i="2"/>
  <c r="I9221" i="2"/>
  <c r="G9221" i="2"/>
  <c r="I9217" i="2"/>
  <c r="G9217" i="2"/>
  <c r="I9213" i="2"/>
  <c r="G9213" i="2"/>
  <c r="I9209" i="2"/>
  <c r="G9209" i="2"/>
  <c r="I9205" i="2"/>
  <c r="G9205" i="2"/>
  <c r="I9201" i="2"/>
  <c r="G9201" i="2"/>
  <c r="I9197" i="2"/>
  <c r="G9197" i="2"/>
  <c r="I9193" i="2"/>
  <c r="G9193" i="2"/>
  <c r="I9189" i="2"/>
  <c r="G9189" i="2"/>
  <c r="I9185" i="2"/>
  <c r="G9185" i="2"/>
  <c r="I9181" i="2"/>
  <c r="G9181" i="2"/>
  <c r="I9177" i="2"/>
  <c r="G9177" i="2"/>
  <c r="I9173" i="2"/>
  <c r="G9173" i="2"/>
  <c r="I9169" i="2"/>
  <c r="G9169" i="2"/>
  <c r="I9165" i="2"/>
  <c r="G9165" i="2"/>
  <c r="I9161" i="2"/>
  <c r="G9161" i="2"/>
  <c r="I9157" i="2"/>
  <c r="G9157" i="2"/>
  <c r="I9153" i="2"/>
  <c r="G9153" i="2"/>
  <c r="I9149" i="2"/>
  <c r="G9149" i="2"/>
  <c r="I9145" i="2"/>
  <c r="G9145" i="2"/>
  <c r="I9141" i="2"/>
  <c r="G9141" i="2"/>
  <c r="I9137" i="2"/>
  <c r="G9137" i="2"/>
  <c r="I9133" i="2"/>
  <c r="G9133" i="2"/>
  <c r="I9129" i="2"/>
  <c r="G9129" i="2"/>
  <c r="I9125" i="2"/>
  <c r="G9125" i="2"/>
  <c r="I9121" i="2"/>
  <c r="G9121" i="2"/>
  <c r="I9117" i="2"/>
  <c r="G9117" i="2"/>
  <c r="I9113" i="2"/>
  <c r="G9113" i="2"/>
  <c r="I9109" i="2"/>
  <c r="G9109" i="2"/>
  <c r="I9105" i="2"/>
  <c r="G9105" i="2"/>
  <c r="I9101" i="2"/>
  <c r="G9101" i="2"/>
  <c r="I9097" i="2"/>
  <c r="G9097" i="2"/>
  <c r="I9093" i="2"/>
  <c r="G9093" i="2"/>
  <c r="I9089" i="2"/>
  <c r="G9089" i="2"/>
  <c r="I9085" i="2"/>
  <c r="G9085" i="2"/>
  <c r="I9081" i="2"/>
  <c r="G9081" i="2"/>
  <c r="I9077" i="2"/>
  <c r="G9077" i="2"/>
  <c r="I9073" i="2"/>
  <c r="G9073" i="2"/>
  <c r="I9069" i="2"/>
  <c r="G9069" i="2"/>
  <c r="I9065" i="2"/>
  <c r="G9065" i="2"/>
  <c r="I9061" i="2"/>
  <c r="G9061" i="2"/>
  <c r="I9057" i="2"/>
  <c r="G9057" i="2"/>
  <c r="I9053" i="2"/>
  <c r="G9053" i="2"/>
  <c r="I9049" i="2"/>
  <c r="G9049" i="2"/>
  <c r="I9045" i="2"/>
  <c r="G9045" i="2"/>
  <c r="I9041" i="2"/>
  <c r="G9041" i="2"/>
  <c r="I9037" i="2"/>
  <c r="G9037" i="2"/>
  <c r="I9033" i="2"/>
  <c r="G9033" i="2"/>
  <c r="I9029" i="2"/>
  <c r="G9029" i="2"/>
  <c r="I9025" i="2"/>
  <c r="G9025" i="2"/>
  <c r="I9021" i="2"/>
  <c r="G9021" i="2"/>
  <c r="I9017" i="2"/>
  <c r="G9017" i="2"/>
  <c r="I9013" i="2"/>
  <c r="G9013" i="2"/>
  <c r="I9009" i="2"/>
  <c r="G9009" i="2"/>
  <c r="I9005" i="2"/>
  <c r="G9005" i="2"/>
  <c r="I9001" i="2"/>
  <c r="G9001" i="2"/>
  <c r="I8997" i="2"/>
  <c r="G8997" i="2"/>
  <c r="I8993" i="2"/>
  <c r="G8993" i="2"/>
  <c r="I8989" i="2"/>
  <c r="G8989" i="2"/>
  <c r="I8985" i="2"/>
  <c r="G8985" i="2"/>
  <c r="I8981" i="2"/>
  <c r="G8981" i="2"/>
  <c r="I8977" i="2"/>
  <c r="G8977" i="2"/>
  <c r="I8973" i="2"/>
  <c r="G8973" i="2"/>
  <c r="I8969" i="2"/>
  <c r="G8969" i="2"/>
  <c r="I8965" i="2"/>
  <c r="G8965" i="2"/>
  <c r="I8961" i="2"/>
  <c r="G8961" i="2"/>
  <c r="I8957" i="2"/>
  <c r="G8957" i="2"/>
  <c r="I8953" i="2"/>
  <c r="G8953" i="2"/>
  <c r="I8949" i="2"/>
  <c r="G8949" i="2"/>
  <c r="I8945" i="2"/>
  <c r="G8945" i="2"/>
  <c r="I8941" i="2"/>
  <c r="G8941" i="2"/>
  <c r="I8937" i="2"/>
  <c r="G8937" i="2"/>
  <c r="I8933" i="2"/>
  <c r="G8933" i="2"/>
  <c r="I8929" i="2"/>
  <c r="G8929" i="2"/>
  <c r="I8925" i="2"/>
  <c r="G8925" i="2"/>
  <c r="I8921" i="2"/>
  <c r="G8921" i="2"/>
  <c r="I8917" i="2"/>
  <c r="G8917" i="2"/>
  <c r="I8913" i="2"/>
  <c r="G8913" i="2"/>
  <c r="I8909" i="2"/>
  <c r="G8909" i="2"/>
  <c r="I8905" i="2"/>
  <c r="G8905" i="2"/>
  <c r="I8901" i="2"/>
  <c r="G8901" i="2"/>
  <c r="I8897" i="2"/>
  <c r="G8897" i="2"/>
  <c r="I8893" i="2"/>
  <c r="G8893" i="2"/>
  <c r="I8889" i="2"/>
  <c r="G8889" i="2"/>
  <c r="I8885" i="2"/>
  <c r="G8885" i="2"/>
  <c r="I8881" i="2"/>
  <c r="G8881" i="2"/>
  <c r="I8877" i="2"/>
  <c r="G8877" i="2"/>
  <c r="I8873" i="2"/>
  <c r="G8873" i="2"/>
  <c r="I8869" i="2"/>
  <c r="G8869" i="2"/>
  <c r="I8865" i="2"/>
  <c r="G8865" i="2"/>
  <c r="I8861" i="2"/>
  <c r="G8861" i="2"/>
  <c r="I8857" i="2"/>
  <c r="G8857" i="2"/>
  <c r="I8853" i="2"/>
  <c r="G8853" i="2"/>
  <c r="I8849" i="2"/>
  <c r="G8849" i="2"/>
  <c r="I8845" i="2"/>
  <c r="G8845" i="2"/>
  <c r="I8841" i="2"/>
  <c r="G8841" i="2"/>
  <c r="I8837" i="2"/>
  <c r="G8837" i="2"/>
  <c r="I8833" i="2"/>
  <c r="G8833" i="2"/>
  <c r="I8829" i="2"/>
  <c r="G8829" i="2"/>
  <c r="I8825" i="2"/>
  <c r="G8825" i="2"/>
  <c r="I8821" i="2"/>
  <c r="G8821" i="2"/>
  <c r="I8817" i="2"/>
  <c r="G8817" i="2"/>
  <c r="I8813" i="2"/>
  <c r="G8813" i="2"/>
  <c r="I8809" i="2"/>
  <c r="G8809" i="2"/>
  <c r="I8805" i="2"/>
  <c r="G8805" i="2"/>
  <c r="I8801" i="2"/>
  <c r="G8801" i="2"/>
  <c r="I8797" i="2"/>
  <c r="G8797" i="2"/>
  <c r="I8793" i="2"/>
  <c r="G8793" i="2"/>
  <c r="I8789" i="2"/>
  <c r="G8789" i="2"/>
  <c r="I8785" i="2"/>
  <c r="G8785" i="2"/>
  <c r="I8781" i="2"/>
  <c r="G8781" i="2"/>
  <c r="I8777" i="2"/>
  <c r="G8777" i="2"/>
  <c r="I8773" i="2"/>
  <c r="G8773" i="2"/>
  <c r="I8769" i="2"/>
  <c r="G8769" i="2"/>
  <c r="I8765" i="2"/>
  <c r="G8765" i="2"/>
  <c r="I8761" i="2"/>
  <c r="G8761" i="2"/>
  <c r="I8757" i="2"/>
  <c r="G8757" i="2"/>
  <c r="I8753" i="2"/>
  <c r="G8753" i="2"/>
  <c r="I8749" i="2"/>
  <c r="G8749" i="2"/>
  <c r="I8745" i="2"/>
  <c r="G8745" i="2"/>
  <c r="I8741" i="2"/>
  <c r="G8741" i="2"/>
  <c r="I8737" i="2"/>
  <c r="G8737" i="2"/>
  <c r="I8733" i="2"/>
  <c r="G8733" i="2"/>
  <c r="I8729" i="2"/>
  <c r="G8729" i="2"/>
  <c r="I8725" i="2"/>
  <c r="G8725" i="2"/>
  <c r="I8721" i="2"/>
  <c r="G8721" i="2"/>
  <c r="I8717" i="2"/>
  <c r="G8717" i="2"/>
  <c r="I8713" i="2"/>
  <c r="G8713" i="2"/>
  <c r="I8709" i="2"/>
  <c r="G8709" i="2"/>
  <c r="I8705" i="2"/>
  <c r="G8705" i="2"/>
  <c r="I8701" i="2"/>
  <c r="G8701" i="2"/>
  <c r="I8697" i="2"/>
  <c r="G8697" i="2"/>
  <c r="I8693" i="2"/>
  <c r="G8693" i="2"/>
  <c r="I8689" i="2"/>
  <c r="G8689" i="2"/>
  <c r="I8685" i="2"/>
  <c r="G8685" i="2"/>
  <c r="I8681" i="2"/>
  <c r="G8681" i="2"/>
  <c r="I8677" i="2"/>
  <c r="G8677" i="2"/>
  <c r="I8673" i="2"/>
  <c r="G8673" i="2"/>
  <c r="I8669" i="2"/>
  <c r="G8669" i="2"/>
  <c r="I8665" i="2"/>
  <c r="G8665" i="2"/>
  <c r="I8661" i="2"/>
  <c r="G8661" i="2"/>
  <c r="I8657" i="2"/>
  <c r="G8657" i="2"/>
  <c r="I8653" i="2"/>
  <c r="G8653" i="2"/>
  <c r="I8649" i="2"/>
  <c r="G8649" i="2"/>
  <c r="I8645" i="2"/>
  <c r="G8645" i="2"/>
  <c r="I8641" i="2"/>
  <c r="G8641" i="2"/>
  <c r="I8637" i="2"/>
  <c r="G8637" i="2"/>
  <c r="I8633" i="2"/>
  <c r="G8633" i="2"/>
  <c r="I8629" i="2"/>
  <c r="G8629" i="2"/>
  <c r="I8625" i="2"/>
  <c r="G8625" i="2"/>
  <c r="I8621" i="2"/>
  <c r="G8621" i="2"/>
  <c r="I8617" i="2"/>
  <c r="G8617" i="2"/>
  <c r="I8613" i="2"/>
  <c r="G8613" i="2"/>
  <c r="I8609" i="2"/>
  <c r="G8609" i="2"/>
  <c r="I8605" i="2"/>
  <c r="G8605" i="2"/>
  <c r="I8601" i="2"/>
  <c r="G8601" i="2"/>
  <c r="I8597" i="2"/>
  <c r="G8597" i="2"/>
  <c r="I8593" i="2"/>
  <c r="G8593" i="2"/>
  <c r="I8589" i="2"/>
  <c r="G8589" i="2"/>
  <c r="I8585" i="2"/>
  <c r="G8585" i="2"/>
  <c r="I8581" i="2"/>
  <c r="G8581" i="2"/>
  <c r="I8577" i="2"/>
  <c r="G8577" i="2"/>
  <c r="I8573" i="2"/>
  <c r="G8573" i="2"/>
  <c r="I8569" i="2"/>
  <c r="G8569" i="2"/>
  <c r="I8565" i="2"/>
  <c r="G8565" i="2"/>
  <c r="I8561" i="2"/>
  <c r="G8561" i="2"/>
  <c r="I8557" i="2"/>
  <c r="G8557" i="2"/>
  <c r="I8553" i="2"/>
  <c r="G8553" i="2"/>
  <c r="I8549" i="2"/>
  <c r="G8549" i="2"/>
  <c r="I8545" i="2"/>
  <c r="G8545" i="2"/>
  <c r="I8541" i="2"/>
  <c r="G8541" i="2"/>
  <c r="I8537" i="2"/>
  <c r="G8537" i="2"/>
  <c r="I8533" i="2"/>
  <c r="G8533" i="2"/>
  <c r="I8529" i="2"/>
  <c r="G8529" i="2"/>
  <c r="I8525" i="2"/>
  <c r="G8525" i="2"/>
  <c r="I8521" i="2"/>
  <c r="G8521" i="2"/>
  <c r="I8517" i="2"/>
  <c r="G8517" i="2"/>
  <c r="I8513" i="2"/>
  <c r="G8513" i="2"/>
  <c r="I8509" i="2"/>
  <c r="G8509" i="2"/>
  <c r="I8505" i="2"/>
  <c r="G8505" i="2"/>
  <c r="I8501" i="2"/>
  <c r="G8501" i="2"/>
  <c r="I8497" i="2"/>
  <c r="G8497" i="2"/>
  <c r="I8493" i="2"/>
  <c r="G8493" i="2"/>
  <c r="I8489" i="2"/>
  <c r="G8489" i="2"/>
  <c r="I8485" i="2"/>
  <c r="G8485" i="2"/>
  <c r="I8481" i="2"/>
  <c r="G8481" i="2"/>
  <c r="I8477" i="2"/>
  <c r="G8477" i="2"/>
  <c r="I8473" i="2"/>
  <c r="G8473" i="2"/>
  <c r="I8469" i="2"/>
  <c r="G8469" i="2"/>
  <c r="I8465" i="2"/>
  <c r="G8465" i="2"/>
  <c r="I8461" i="2"/>
  <c r="G8461" i="2"/>
  <c r="I8457" i="2"/>
  <c r="G8457" i="2"/>
  <c r="I8453" i="2"/>
  <c r="G8453" i="2"/>
  <c r="I8449" i="2"/>
  <c r="G8449" i="2"/>
  <c r="I8445" i="2"/>
  <c r="G8445" i="2"/>
  <c r="I8441" i="2"/>
  <c r="G8441" i="2"/>
  <c r="I8437" i="2"/>
  <c r="G8437" i="2"/>
  <c r="I8433" i="2"/>
  <c r="G8433" i="2"/>
  <c r="I8429" i="2"/>
  <c r="G8429" i="2"/>
  <c r="I8425" i="2"/>
  <c r="G8425" i="2"/>
  <c r="I8421" i="2"/>
  <c r="G8421" i="2"/>
  <c r="I8417" i="2"/>
  <c r="G8417" i="2"/>
  <c r="I8413" i="2"/>
  <c r="G8413" i="2"/>
  <c r="I8409" i="2"/>
  <c r="G8409" i="2"/>
  <c r="I8405" i="2"/>
  <c r="G8405" i="2"/>
  <c r="I8401" i="2"/>
  <c r="G8401" i="2"/>
  <c r="I8397" i="2"/>
  <c r="G8397" i="2"/>
  <c r="I8393" i="2"/>
  <c r="G8393" i="2"/>
  <c r="I8389" i="2"/>
  <c r="G8389" i="2"/>
  <c r="I8385" i="2"/>
  <c r="G8385" i="2"/>
  <c r="I8381" i="2"/>
  <c r="G8381" i="2"/>
  <c r="I8377" i="2"/>
  <c r="G8377" i="2"/>
  <c r="I8373" i="2"/>
  <c r="G8373" i="2"/>
  <c r="I8369" i="2"/>
  <c r="G8369" i="2"/>
  <c r="I8365" i="2"/>
  <c r="G8365" i="2"/>
  <c r="I8361" i="2"/>
  <c r="G8361" i="2"/>
  <c r="I8357" i="2"/>
  <c r="G8357" i="2"/>
  <c r="I8353" i="2"/>
  <c r="G8353" i="2"/>
  <c r="I8349" i="2"/>
  <c r="G8349" i="2"/>
  <c r="I8345" i="2"/>
  <c r="G8345" i="2"/>
  <c r="I8341" i="2"/>
  <c r="G8341" i="2"/>
  <c r="I8337" i="2"/>
  <c r="G8337" i="2"/>
  <c r="I8333" i="2"/>
  <c r="G8333" i="2"/>
  <c r="I8329" i="2"/>
  <c r="G8329" i="2"/>
  <c r="I8325" i="2"/>
  <c r="G8325" i="2"/>
  <c r="I8321" i="2"/>
  <c r="G8321" i="2"/>
  <c r="I8317" i="2"/>
  <c r="G8317" i="2"/>
  <c r="I8313" i="2"/>
  <c r="G8313" i="2"/>
  <c r="I8309" i="2"/>
  <c r="G8309" i="2"/>
  <c r="I8305" i="2"/>
  <c r="G8305" i="2"/>
  <c r="I8301" i="2"/>
  <c r="G8301" i="2"/>
  <c r="I8297" i="2"/>
  <c r="G8297" i="2"/>
  <c r="I8293" i="2"/>
  <c r="G8293" i="2"/>
  <c r="I8289" i="2"/>
  <c r="G8289" i="2"/>
  <c r="I8285" i="2"/>
  <c r="G8285" i="2"/>
  <c r="I8281" i="2"/>
  <c r="G8281" i="2"/>
  <c r="I8277" i="2"/>
  <c r="G8277" i="2"/>
  <c r="I8273" i="2"/>
  <c r="G8273" i="2"/>
  <c r="I8269" i="2"/>
  <c r="G8269" i="2"/>
  <c r="I8265" i="2"/>
  <c r="G8265" i="2"/>
  <c r="I8261" i="2"/>
  <c r="G8261" i="2"/>
  <c r="I8257" i="2"/>
  <c r="G8257" i="2"/>
  <c r="I8253" i="2"/>
  <c r="G8253" i="2"/>
  <c r="I8249" i="2"/>
  <c r="G8249" i="2"/>
  <c r="I8245" i="2"/>
  <c r="G8245" i="2"/>
  <c r="I8241" i="2"/>
  <c r="G8241" i="2"/>
  <c r="I8237" i="2"/>
  <c r="G8237" i="2"/>
  <c r="I8233" i="2"/>
  <c r="G8233" i="2"/>
  <c r="I8229" i="2"/>
  <c r="G8229" i="2"/>
  <c r="I8225" i="2"/>
  <c r="G8225" i="2"/>
  <c r="I8221" i="2"/>
  <c r="G8221" i="2"/>
  <c r="I8217" i="2"/>
  <c r="G8217" i="2"/>
  <c r="I8213" i="2"/>
  <c r="G8213" i="2"/>
  <c r="I8209" i="2"/>
  <c r="G8209" i="2"/>
  <c r="I8205" i="2"/>
  <c r="G8205" i="2"/>
  <c r="I8201" i="2"/>
  <c r="G8201" i="2"/>
  <c r="I8197" i="2"/>
  <c r="G8197" i="2"/>
  <c r="I8193" i="2"/>
  <c r="G8193" i="2"/>
  <c r="I8189" i="2"/>
  <c r="G8189" i="2"/>
  <c r="I8185" i="2"/>
  <c r="G8185" i="2"/>
  <c r="I8181" i="2"/>
  <c r="G8181" i="2"/>
  <c r="I8177" i="2"/>
  <c r="G8177" i="2"/>
  <c r="I8173" i="2"/>
  <c r="G8173" i="2"/>
  <c r="I8169" i="2"/>
  <c r="G8169" i="2"/>
  <c r="I8165" i="2"/>
  <c r="G8165" i="2"/>
  <c r="I8161" i="2"/>
  <c r="G8161" i="2"/>
  <c r="I8157" i="2"/>
  <c r="G8157" i="2"/>
  <c r="I8153" i="2"/>
  <c r="G8153" i="2"/>
  <c r="J8149" i="2"/>
  <c r="G8149" i="2"/>
  <c r="J8145" i="2"/>
  <c r="G8145" i="2"/>
  <c r="J8141" i="2"/>
  <c r="G8141" i="2"/>
  <c r="J8137" i="2"/>
  <c r="G8137" i="2"/>
  <c r="J8133" i="2"/>
  <c r="G8133" i="2"/>
  <c r="J8129" i="2"/>
  <c r="G8129" i="2"/>
  <c r="J8125" i="2"/>
  <c r="G8125" i="2"/>
  <c r="J8121" i="2"/>
  <c r="G8121" i="2"/>
  <c r="J8117" i="2"/>
  <c r="G8117" i="2"/>
  <c r="J8113" i="2"/>
  <c r="G8113" i="2"/>
  <c r="J8109" i="2"/>
  <c r="G8109" i="2"/>
  <c r="J8105" i="2"/>
  <c r="G8105" i="2"/>
  <c r="J8101" i="2"/>
  <c r="G8101" i="2"/>
  <c r="J8097" i="2"/>
  <c r="G8097" i="2"/>
  <c r="J8093" i="2"/>
  <c r="G8093" i="2"/>
  <c r="J8089" i="2"/>
  <c r="G8089" i="2"/>
  <c r="J8085" i="2"/>
  <c r="G8085" i="2"/>
  <c r="J8081" i="2"/>
  <c r="G8081" i="2"/>
  <c r="J8077" i="2"/>
  <c r="G8077" i="2"/>
  <c r="J8073" i="2"/>
  <c r="G8073" i="2"/>
  <c r="J8069" i="2"/>
  <c r="G8069" i="2"/>
  <c r="J8065" i="2"/>
  <c r="G8065" i="2"/>
  <c r="J8061" i="2"/>
  <c r="G8061" i="2"/>
  <c r="J8057" i="2"/>
  <c r="G8057" i="2"/>
  <c r="J8053" i="2"/>
  <c r="G8053" i="2"/>
  <c r="J8049" i="2"/>
  <c r="G8049" i="2"/>
  <c r="J8045" i="2"/>
  <c r="G8045" i="2"/>
  <c r="J8041" i="2"/>
  <c r="G8041" i="2"/>
  <c r="J8037" i="2"/>
  <c r="G8037" i="2"/>
  <c r="J8033" i="2"/>
  <c r="G8033" i="2"/>
  <c r="J8029" i="2"/>
  <c r="G8029" i="2"/>
  <c r="J8025" i="2"/>
  <c r="G8025" i="2"/>
  <c r="J8021" i="2"/>
  <c r="G8021" i="2"/>
  <c r="J8017" i="2"/>
  <c r="G8017" i="2"/>
  <c r="J8013" i="2"/>
  <c r="G8013" i="2"/>
  <c r="J8009" i="2"/>
  <c r="G8009" i="2"/>
  <c r="J8005" i="2"/>
  <c r="G8005" i="2"/>
  <c r="J8001" i="2"/>
  <c r="G8001" i="2"/>
  <c r="J7997" i="2"/>
  <c r="G7997" i="2"/>
  <c r="J7993" i="2"/>
  <c r="G7993" i="2"/>
  <c r="J7989" i="2"/>
  <c r="G7989" i="2"/>
  <c r="J7985" i="2"/>
  <c r="G7985" i="2"/>
  <c r="J7981" i="2"/>
  <c r="G7981" i="2"/>
  <c r="J7977" i="2"/>
  <c r="G7977" i="2"/>
  <c r="J7973" i="2"/>
  <c r="G7973" i="2"/>
  <c r="G7969" i="2"/>
  <c r="J7969" i="2"/>
  <c r="G7965" i="2"/>
  <c r="J7965" i="2"/>
  <c r="J7961" i="2"/>
  <c r="G7961" i="2"/>
  <c r="J7957" i="2"/>
  <c r="G7957" i="2"/>
  <c r="J7953" i="2"/>
  <c r="G7953" i="2"/>
  <c r="J7949" i="2"/>
  <c r="G7949" i="2"/>
  <c r="G7945" i="2"/>
  <c r="J7945" i="2"/>
  <c r="G7941" i="2"/>
  <c r="J7941" i="2"/>
  <c r="G7937" i="2"/>
  <c r="J7937" i="2"/>
  <c r="G7933" i="2"/>
  <c r="J7933" i="2"/>
  <c r="G7929" i="2"/>
  <c r="J7929" i="2"/>
  <c r="J7925" i="2"/>
  <c r="G7925" i="2"/>
  <c r="J7921" i="2"/>
  <c r="G7921" i="2"/>
  <c r="J7917" i="2"/>
  <c r="G7917" i="2"/>
  <c r="J7913" i="2"/>
  <c r="G7913" i="2"/>
  <c r="G7909" i="2"/>
  <c r="J7909" i="2"/>
  <c r="G7905" i="2"/>
  <c r="J7905" i="2"/>
  <c r="G7901" i="2"/>
  <c r="J7901" i="2"/>
  <c r="G7897" i="2"/>
  <c r="J7897" i="2"/>
  <c r="J7893" i="2"/>
  <c r="G7893" i="2"/>
  <c r="J7889" i="2"/>
  <c r="G7889" i="2"/>
  <c r="G7885" i="2"/>
  <c r="J7885" i="2"/>
  <c r="J7881" i="2"/>
  <c r="G7881" i="2"/>
  <c r="G7877" i="2"/>
  <c r="J7877" i="2"/>
  <c r="J7873" i="2"/>
  <c r="G7873" i="2"/>
  <c r="G7869" i="2"/>
  <c r="J7869" i="2"/>
  <c r="J7865" i="2"/>
  <c r="G7865" i="2"/>
  <c r="G7861" i="2"/>
  <c r="J7861" i="2"/>
  <c r="J7857" i="2"/>
  <c r="G7857" i="2"/>
  <c r="J7853" i="2"/>
  <c r="G7853" i="2"/>
  <c r="J7849" i="2"/>
  <c r="G7849" i="2"/>
  <c r="G7845" i="2"/>
  <c r="J7845" i="2"/>
  <c r="J7841" i="2"/>
  <c r="G7841" i="2"/>
  <c r="G7837" i="2"/>
  <c r="J7837" i="2"/>
  <c r="J7833" i="2"/>
  <c r="G7833" i="2"/>
  <c r="G7829" i="2"/>
  <c r="J7829" i="2"/>
  <c r="J7825" i="2"/>
  <c r="G7825" i="2"/>
  <c r="G7821" i="2"/>
  <c r="J7821" i="2"/>
  <c r="J7817" i="2"/>
  <c r="G7817" i="2"/>
  <c r="G7813" i="2"/>
  <c r="J7813" i="2"/>
  <c r="J7809" i="2"/>
  <c r="G7809" i="2"/>
  <c r="G7805" i="2"/>
  <c r="J7805" i="2"/>
  <c r="G7801" i="2"/>
  <c r="J7801" i="2"/>
  <c r="J7797" i="2"/>
  <c r="G7797" i="2"/>
  <c r="J7793" i="2"/>
  <c r="G7793" i="2"/>
  <c r="G7789" i="2"/>
  <c r="J7789" i="2"/>
  <c r="G7785" i="2"/>
  <c r="J7785" i="2"/>
  <c r="J7781" i="2"/>
  <c r="G7781" i="2"/>
  <c r="J7777" i="2"/>
  <c r="G7777" i="2"/>
  <c r="G7773" i="2"/>
  <c r="J7773" i="2"/>
  <c r="G7769" i="2"/>
  <c r="J7769" i="2"/>
  <c r="J7765" i="2"/>
  <c r="G7765" i="2"/>
  <c r="J7761" i="2"/>
  <c r="G7761" i="2"/>
  <c r="G7757" i="2"/>
  <c r="J7757" i="2"/>
  <c r="G7753" i="2"/>
  <c r="J7753" i="2"/>
  <c r="J7749" i="2"/>
  <c r="G7749" i="2"/>
  <c r="J7745" i="2"/>
  <c r="G7745" i="2"/>
  <c r="G7741" i="2"/>
  <c r="J7741" i="2"/>
  <c r="G7737" i="2"/>
  <c r="J7737" i="2"/>
  <c r="J7733" i="2"/>
  <c r="G7733" i="2"/>
  <c r="J7729" i="2"/>
  <c r="G7729" i="2"/>
  <c r="J7725" i="2"/>
  <c r="G7725" i="2"/>
  <c r="J7721" i="2"/>
  <c r="G7721" i="2"/>
  <c r="J7717" i="2"/>
  <c r="G7717" i="2"/>
  <c r="J7713" i="2"/>
  <c r="G7713" i="2"/>
  <c r="J7709" i="2"/>
  <c r="G7709" i="2"/>
  <c r="J7705" i="2"/>
  <c r="G7705" i="2"/>
  <c r="J7701" i="2"/>
  <c r="G7701" i="2"/>
  <c r="J7697" i="2"/>
  <c r="G7697" i="2"/>
  <c r="J7693" i="2"/>
  <c r="G7693" i="2"/>
  <c r="J7689" i="2"/>
  <c r="G7689" i="2"/>
  <c r="J7685" i="2"/>
  <c r="G7685" i="2"/>
  <c r="J7681" i="2"/>
  <c r="G7681" i="2"/>
  <c r="J7677" i="2"/>
  <c r="G7677" i="2"/>
  <c r="J7673" i="2"/>
  <c r="G7673" i="2"/>
  <c r="J7669" i="2"/>
  <c r="G7669" i="2"/>
  <c r="J7665" i="2"/>
  <c r="G7665" i="2"/>
  <c r="J7661" i="2"/>
  <c r="G7661" i="2"/>
  <c r="J7657" i="2"/>
  <c r="G7657" i="2"/>
  <c r="J7653" i="2"/>
  <c r="G7653" i="2"/>
  <c r="J7649" i="2"/>
  <c r="G7649" i="2"/>
  <c r="J7645" i="2"/>
  <c r="G7645" i="2"/>
  <c r="J7641" i="2"/>
  <c r="G7641" i="2"/>
  <c r="J7637" i="2"/>
  <c r="G7637" i="2"/>
  <c r="J7633" i="2"/>
  <c r="G7633" i="2"/>
  <c r="J7629" i="2"/>
  <c r="G7629" i="2"/>
  <c r="J7625" i="2"/>
  <c r="G7625" i="2"/>
  <c r="J7621" i="2"/>
  <c r="G7621" i="2"/>
  <c r="J7617" i="2"/>
  <c r="G7617" i="2"/>
  <c r="J7613" i="2"/>
  <c r="G7613" i="2"/>
  <c r="J7609" i="2"/>
  <c r="G7609" i="2"/>
  <c r="J7605" i="2"/>
  <c r="G7605" i="2"/>
  <c r="J7601" i="2"/>
  <c r="G7601" i="2"/>
  <c r="J7597" i="2"/>
  <c r="G7597" i="2"/>
  <c r="J7593" i="2"/>
  <c r="G7593" i="2"/>
  <c r="G7589" i="2"/>
  <c r="J7589" i="2"/>
  <c r="J7585" i="2"/>
  <c r="G7585" i="2"/>
  <c r="J7581" i="2"/>
  <c r="G7581" i="2"/>
  <c r="G7577" i="2"/>
  <c r="J7577" i="2"/>
  <c r="J7573" i="2"/>
  <c r="G7573" i="2"/>
  <c r="G7569" i="2"/>
  <c r="J7569" i="2"/>
  <c r="J7565" i="2"/>
  <c r="G7565" i="2"/>
  <c r="J7561" i="2"/>
  <c r="G7561" i="2"/>
  <c r="G7557" i="2"/>
  <c r="J7557" i="2"/>
  <c r="G7553" i="2"/>
  <c r="J7553" i="2"/>
  <c r="G7549" i="2"/>
  <c r="J7549" i="2"/>
  <c r="J7545" i="2"/>
  <c r="G7545" i="2"/>
  <c r="J7541" i="2"/>
  <c r="G7541" i="2"/>
  <c r="J7537" i="2"/>
  <c r="G7537" i="2"/>
  <c r="G7533" i="2"/>
  <c r="J7533" i="2"/>
  <c r="G7529" i="2"/>
  <c r="J7529" i="2"/>
  <c r="J7525" i="2"/>
  <c r="G7525" i="2"/>
  <c r="J7521" i="2"/>
  <c r="G7521" i="2"/>
  <c r="J7517" i="2"/>
  <c r="G7517" i="2"/>
  <c r="J7513" i="2"/>
  <c r="G7513" i="2"/>
  <c r="J7509" i="2"/>
  <c r="G7509" i="2"/>
  <c r="J7505" i="2"/>
  <c r="G7505" i="2"/>
  <c r="G7501" i="2"/>
  <c r="J7501" i="2"/>
  <c r="J7497" i="2"/>
  <c r="G7497" i="2"/>
  <c r="J7493" i="2"/>
  <c r="G7493" i="2"/>
  <c r="J7489" i="2"/>
  <c r="G7489" i="2"/>
  <c r="J7485" i="2"/>
  <c r="G7485" i="2"/>
  <c r="J7481" i="2"/>
  <c r="G7481" i="2"/>
  <c r="G7477" i="2"/>
  <c r="J7477" i="2"/>
  <c r="J7473" i="2"/>
  <c r="G7473" i="2"/>
  <c r="G7469" i="2"/>
  <c r="J7469" i="2"/>
  <c r="J7465" i="2"/>
  <c r="G7465" i="2"/>
  <c r="G7461" i="2"/>
  <c r="J7461" i="2"/>
  <c r="J7457" i="2"/>
  <c r="G7457" i="2"/>
  <c r="G7453" i="2"/>
  <c r="J7453" i="2"/>
  <c r="J7449" i="2"/>
  <c r="G7449" i="2"/>
  <c r="G7445" i="2"/>
  <c r="J7445" i="2"/>
  <c r="J7441" i="2"/>
  <c r="G7441" i="2"/>
  <c r="J7437" i="2"/>
  <c r="G7437" i="2"/>
  <c r="J7433" i="2"/>
  <c r="G7433" i="2"/>
  <c r="J7429" i="2"/>
  <c r="G7429" i="2"/>
  <c r="G7425" i="2"/>
  <c r="J7425" i="2"/>
  <c r="J7421" i="2"/>
  <c r="G7421" i="2"/>
  <c r="J7417" i="2"/>
  <c r="G7417" i="2"/>
  <c r="J7413" i="2"/>
  <c r="G7413" i="2"/>
  <c r="J7409" i="2"/>
  <c r="G7409" i="2"/>
  <c r="J7405" i="2"/>
  <c r="G7405" i="2"/>
  <c r="J7401" i="2"/>
  <c r="G7401" i="2"/>
  <c r="J7397" i="2"/>
  <c r="G7397" i="2"/>
  <c r="J7393" i="2"/>
  <c r="G7393" i="2"/>
  <c r="J7389" i="2"/>
  <c r="G7389" i="2"/>
  <c r="J7385" i="2"/>
  <c r="G7385" i="2"/>
  <c r="G7381" i="2"/>
  <c r="J7381" i="2"/>
  <c r="J7377" i="2"/>
  <c r="G7377" i="2"/>
  <c r="J7373" i="2"/>
  <c r="G7373" i="2"/>
  <c r="G7369" i="2"/>
  <c r="J7369" i="2"/>
  <c r="J7365" i="2"/>
  <c r="G7365" i="2"/>
  <c r="G7361" i="2"/>
  <c r="J7361" i="2"/>
  <c r="J7357" i="2"/>
  <c r="G7357" i="2"/>
  <c r="G7353" i="2"/>
  <c r="J7353" i="2"/>
  <c r="J7349" i="2"/>
  <c r="G7349" i="2"/>
  <c r="G7345" i="2"/>
  <c r="J7345" i="2"/>
  <c r="J7341" i="2"/>
  <c r="G7341" i="2"/>
  <c r="G7337" i="2"/>
  <c r="J7337" i="2"/>
  <c r="J7333" i="2"/>
  <c r="G7333" i="2"/>
  <c r="G7329" i="2"/>
  <c r="J7329" i="2"/>
  <c r="J7325" i="2"/>
  <c r="G7325" i="2"/>
  <c r="G7321" i="2"/>
  <c r="J7321" i="2"/>
  <c r="J7317" i="2"/>
  <c r="G7317" i="2"/>
  <c r="G7313" i="2"/>
  <c r="J7313" i="2"/>
  <c r="J7309" i="2"/>
  <c r="G7309" i="2"/>
  <c r="J7305" i="2"/>
  <c r="G7305" i="2"/>
  <c r="G7301" i="2"/>
  <c r="J7301" i="2"/>
  <c r="J7297" i="2"/>
  <c r="G7297" i="2"/>
  <c r="J7293" i="2"/>
  <c r="G7293" i="2"/>
  <c r="G7283" i="2"/>
  <c r="K7271" i="2"/>
  <c r="G7271" i="2"/>
  <c r="G7255" i="2"/>
  <c r="J7255" i="2"/>
  <c r="G7243" i="2"/>
  <c r="K7243" i="2"/>
  <c r="K7231" i="2"/>
  <c r="G7231" i="2"/>
  <c r="K7211" i="2"/>
  <c r="G7211" i="2"/>
  <c r="G7195" i="2"/>
  <c r="K7179" i="2"/>
  <c r="G7179" i="2"/>
  <c r="G7163" i="2"/>
  <c r="G7147" i="2"/>
  <c r="G4020" i="2"/>
  <c r="G5886" i="2"/>
  <c r="G7091" i="2"/>
  <c r="K7079" i="2"/>
  <c r="G7079" i="2"/>
  <c r="K7067" i="2"/>
  <c r="G7067" i="2"/>
  <c r="G5156" i="2"/>
  <c r="G7035" i="2"/>
  <c r="J7035" i="2"/>
  <c r="G5097" i="2"/>
  <c r="J5097" i="2"/>
  <c r="K7003" i="2"/>
  <c r="G7003" i="2"/>
  <c r="G6987" i="2"/>
  <c r="K6971" i="2"/>
  <c r="G6971" i="2"/>
  <c r="K6959" i="2"/>
  <c r="G6959" i="2"/>
  <c r="G1417" i="2"/>
  <c r="G6931" i="2"/>
  <c r="K6919" i="2"/>
  <c r="G6919" i="2"/>
  <c r="K6903" i="2"/>
  <c r="G6903" i="2"/>
  <c r="K6887" i="2"/>
  <c r="G6887" i="2"/>
  <c r="G5000" i="2"/>
  <c r="G6855" i="2"/>
  <c r="K6839" i="2"/>
  <c r="G6839" i="2"/>
  <c r="K6823" i="2"/>
  <c r="G6823" i="2"/>
  <c r="K6803" i="2"/>
  <c r="G6803" i="2"/>
  <c r="K6791" i="2"/>
  <c r="G6791" i="2"/>
  <c r="G4668" i="2"/>
  <c r="K6759" i="2"/>
  <c r="G6759" i="2"/>
  <c r="K6743" i="2"/>
  <c r="G6743" i="2"/>
  <c r="G4023" i="2"/>
  <c r="J6715" i="2"/>
  <c r="G6715" i="2"/>
  <c r="G3100" i="2"/>
  <c r="G6703" i="2"/>
  <c r="K6703" i="2"/>
  <c r="G6695" i="2"/>
  <c r="G6687" i="2"/>
  <c r="J6687" i="2"/>
  <c r="G6679" i="2"/>
  <c r="K6679" i="2"/>
  <c r="G3934" i="2"/>
  <c r="J3934" i="2"/>
  <c r="G6655" i="2"/>
  <c r="K6655" i="2"/>
  <c r="G6647" i="2"/>
  <c r="K6647" i="2"/>
  <c r="G436" i="2"/>
  <c r="G6631" i="2"/>
  <c r="J6631" i="2"/>
  <c r="G6623" i="2"/>
  <c r="K6623" i="2"/>
  <c r="K6611" i="2"/>
  <c r="G6611" i="2"/>
  <c r="J6603" i="2"/>
  <c r="G6603" i="2"/>
  <c r="G6535" i="2"/>
  <c r="G7290" i="2"/>
  <c r="G7286" i="2"/>
  <c r="K7282" i="2"/>
  <c r="G7282" i="2"/>
  <c r="K7278" i="2"/>
  <c r="G7278" i="2"/>
  <c r="K7274" i="2"/>
  <c r="G7274" i="2"/>
  <c r="K7270" i="2"/>
  <c r="G7270" i="2"/>
  <c r="K7266" i="2"/>
  <c r="G7266" i="2"/>
  <c r="K7262" i="2"/>
  <c r="G7262" i="2"/>
  <c r="G7258" i="2"/>
  <c r="G7254" i="2"/>
  <c r="G7250" i="2"/>
  <c r="G7246" i="2"/>
  <c r="G7242" i="2"/>
  <c r="K7238" i="2"/>
  <c r="G7238" i="2"/>
  <c r="G7234" i="2"/>
  <c r="K7230" i="2"/>
  <c r="G7230" i="2"/>
  <c r="K7226" i="2"/>
  <c r="G7226" i="2"/>
  <c r="J196" i="2"/>
  <c r="G196" i="2"/>
  <c r="G5014" i="2"/>
  <c r="G5836" i="2"/>
  <c r="K7210" i="2"/>
  <c r="G7210" i="2"/>
  <c r="G7206" i="2"/>
  <c r="G7202" i="2"/>
  <c r="G7198" i="2"/>
  <c r="K7194" i="2"/>
  <c r="G7194" i="2"/>
  <c r="G7190" i="2"/>
  <c r="G7186" i="2"/>
  <c r="G7182" i="2"/>
  <c r="G7178" i="2"/>
  <c r="K7174" i="2"/>
  <c r="G7174" i="2"/>
  <c r="K7170" i="2"/>
  <c r="G7170" i="2"/>
  <c r="K7166" i="2"/>
  <c r="G7166" i="2"/>
  <c r="K7162" i="2"/>
  <c r="G7162" i="2"/>
  <c r="K7158" i="2"/>
  <c r="G7158" i="2"/>
  <c r="G7154" i="2"/>
  <c r="G7150" i="2"/>
  <c r="J6789" i="2"/>
  <c r="G6789" i="2"/>
  <c r="G7142" i="2"/>
  <c r="G315" i="2"/>
  <c r="G7134" i="2"/>
  <c r="G7130" i="2"/>
  <c r="J7126" i="2"/>
  <c r="G6050" i="2"/>
  <c r="G7118" i="2"/>
  <c r="J7114" i="2"/>
  <c r="G7114" i="2"/>
  <c r="K7110" i="2"/>
  <c r="G7110" i="2"/>
  <c r="G7106" i="2"/>
  <c r="K7102" i="2"/>
  <c r="G7102" i="2"/>
  <c r="J7098" i="2"/>
  <c r="G7098" i="2"/>
  <c r="J7094" i="2"/>
  <c r="G7094" i="2"/>
  <c r="J7090" i="2"/>
  <c r="G7090" i="2"/>
  <c r="K7086" i="2"/>
  <c r="G7086" i="2"/>
  <c r="J7082" i="2"/>
  <c r="G7082" i="2"/>
  <c r="K7078" i="2"/>
  <c r="G7078" i="2"/>
  <c r="K7074" i="2"/>
  <c r="G7074" i="2"/>
  <c r="G5799" i="2"/>
  <c r="K7066" i="2"/>
  <c r="G7066" i="2"/>
  <c r="J7062" i="2"/>
  <c r="G7062" i="2"/>
  <c r="J7058" i="2"/>
  <c r="G7058" i="2"/>
  <c r="K7054" i="2"/>
  <c r="G7054" i="2"/>
  <c r="K7050" i="2"/>
  <c r="G7050" i="2"/>
  <c r="G4870" i="2"/>
  <c r="G5995" i="2"/>
  <c r="G6770" i="2"/>
  <c r="G7034" i="2"/>
  <c r="K7030" i="2"/>
  <c r="G7030" i="2"/>
  <c r="J7026" i="2"/>
  <c r="G7026" i="2"/>
  <c r="G7022" i="2"/>
  <c r="J6928" i="2"/>
  <c r="G6928" i="2"/>
  <c r="G7014" i="2"/>
  <c r="G7010" i="2"/>
  <c r="J7006" i="2"/>
  <c r="G7006" i="2"/>
  <c r="G195" i="2"/>
  <c r="K6998" i="2"/>
  <c r="G6998" i="2"/>
  <c r="J7001" i="2"/>
  <c r="G7001" i="2"/>
  <c r="K6990" i="2"/>
  <c r="G6990" i="2"/>
  <c r="G6986" i="2"/>
  <c r="K6982" i="2"/>
  <c r="G6982" i="2"/>
  <c r="K6978" i="2"/>
  <c r="G6978" i="2"/>
  <c r="G6974" i="2"/>
  <c r="K6970" i="2"/>
  <c r="G6970" i="2"/>
  <c r="K6966" i="2"/>
  <c r="G6966" i="2"/>
  <c r="K6962" i="2"/>
  <c r="G6962" i="2"/>
  <c r="K6958" i="2"/>
  <c r="G6958" i="2"/>
  <c r="K6954" i="2"/>
  <c r="G6954" i="2"/>
  <c r="K6950" i="2"/>
  <c r="G6950" i="2"/>
  <c r="K6946" i="2"/>
  <c r="G6946" i="2"/>
  <c r="K6942" i="2"/>
  <c r="G6942" i="2"/>
  <c r="G3938" i="2"/>
  <c r="G6934" i="2"/>
  <c r="J6480" i="2"/>
  <c r="G6480" i="2"/>
  <c r="G6926" i="2"/>
  <c r="G6922" i="2"/>
  <c r="G6918" i="2"/>
  <c r="G1406" i="2"/>
  <c r="G6910" i="2"/>
  <c r="J1620" i="2"/>
  <c r="G1620" i="2"/>
  <c r="J6902" i="2"/>
  <c r="G6902" i="2"/>
  <c r="G6898" i="2"/>
  <c r="G6612" i="2"/>
  <c r="G6890" i="2"/>
  <c r="G3927" i="2"/>
  <c r="J6882" i="2"/>
  <c r="G6882" i="2"/>
  <c r="G6878" i="2"/>
  <c r="G6874" i="2"/>
  <c r="G6870" i="2"/>
  <c r="G7138" i="2"/>
  <c r="J6862" i="2"/>
  <c r="G6862" i="2"/>
  <c r="J6858" i="2"/>
  <c r="G6858" i="2"/>
  <c r="G6854" i="2"/>
  <c r="K6850" i="2"/>
  <c r="G6850" i="2"/>
  <c r="K6846" i="2"/>
  <c r="G6846" i="2"/>
  <c r="G6842" i="2"/>
  <c r="K6838" i="2"/>
  <c r="G6838" i="2"/>
  <c r="K6834" i="2"/>
  <c r="G6834" i="2"/>
  <c r="K6830" i="2"/>
  <c r="G6830" i="2"/>
  <c r="J6826" i="2"/>
  <c r="G6826" i="2"/>
  <c r="K6822" i="2"/>
  <c r="G6822" i="2"/>
  <c r="K6818" i="2"/>
  <c r="G6818" i="2"/>
  <c r="K6814" i="2"/>
  <c r="G6814" i="2"/>
  <c r="G7215" i="2"/>
  <c r="K6806" i="2"/>
  <c r="G6806" i="2"/>
  <c r="K6802" i="2"/>
  <c r="G6802" i="2"/>
  <c r="G3032" i="2"/>
  <c r="J6794" i="2"/>
  <c r="G6794" i="2"/>
  <c r="J6790" i="2"/>
  <c r="G6790" i="2"/>
  <c r="K6786" i="2"/>
  <c r="G6786" i="2"/>
  <c r="G6782" i="2"/>
  <c r="G1103" i="2"/>
  <c r="K6774" i="2"/>
  <c r="G6774" i="2"/>
  <c r="G5137" i="2"/>
  <c r="J4408" i="2"/>
  <c r="G4408" i="2"/>
  <c r="G6110" i="2"/>
  <c r="G4841" i="2"/>
  <c r="K6754" i="2"/>
  <c r="G6754" i="2"/>
  <c r="G1637" i="2"/>
  <c r="J4205" i="2"/>
  <c r="G4205" i="2"/>
  <c r="G401" i="2"/>
  <c r="G6738" i="2"/>
  <c r="G6734" i="2"/>
  <c r="K6730" i="2"/>
  <c r="G6730" i="2"/>
  <c r="G3380" i="2"/>
  <c r="G1270" i="2"/>
  <c r="J6718" i="2"/>
  <c r="G6718" i="2"/>
  <c r="K6714" i="2"/>
  <c r="G6714" i="2"/>
  <c r="G5084" i="2"/>
  <c r="G2008" i="2"/>
  <c r="K6702" i="2"/>
  <c r="G6702" i="2"/>
  <c r="K6698" i="2"/>
  <c r="G6698" i="2"/>
  <c r="G1502" i="2"/>
  <c r="G6690" i="2"/>
  <c r="J6686" i="2"/>
  <c r="G6686" i="2"/>
  <c r="K6682" i="2"/>
  <c r="G6682" i="2"/>
  <c r="K6678" i="2"/>
  <c r="G6678" i="2"/>
  <c r="K6674" i="2"/>
  <c r="G6674" i="2"/>
  <c r="J6670" i="2"/>
  <c r="G6670" i="2"/>
  <c r="G6666" i="2"/>
  <c r="K6662" i="2"/>
  <c r="G6662" i="2"/>
  <c r="K6658" i="2"/>
  <c r="G6658" i="2"/>
  <c r="G6654" i="2"/>
  <c r="J6650" i="2"/>
  <c r="G6650" i="2"/>
  <c r="G5473" i="2"/>
  <c r="G2280" i="2"/>
  <c r="J6638" i="2"/>
  <c r="G6638" i="2"/>
  <c r="J6634" i="2"/>
  <c r="G6634" i="2"/>
  <c r="K6630" i="2"/>
  <c r="G6630" i="2"/>
  <c r="K6626" i="2"/>
  <c r="G6626" i="2"/>
  <c r="K6622" i="2"/>
  <c r="G6622" i="2"/>
  <c r="K6618" i="2"/>
  <c r="G6618" i="2"/>
  <c r="K6614" i="2"/>
  <c r="G6614" i="2"/>
  <c r="J6610" i="2"/>
  <c r="G6610" i="2"/>
  <c r="G6606" i="2"/>
  <c r="G6602" i="2"/>
  <c r="G5533" i="2"/>
  <c r="K6594" i="2"/>
  <c r="G6594" i="2"/>
  <c r="J3654" i="2"/>
  <c r="G3654" i="2"/>
  <c r="G6586" i="2"/>
  <c r="G2772" i="2"/>
  <c r="G3763" i="2"/>
  <c r="G6574" i="2"/>
  <c r="G341" i="2"/>
  <c r="J6566" i="2"/>
  <c r="G6566" i="2"/>
  <c r="G6562" i="2"/>
  <c r="G4380" i="2"/>
  <c r="G740" i="2"/>
  <c r="K6550" i="2"/>
  <c r="G6550" i="2"/>
  <c r="G5699" i="2"/>
  <c r="J6783" i="2"/>
  <c r="G6783" i="2"/>
  <c r="G6538" i="2"/>
  <c r="G6534" i="2"/>
  <c r="G2293" i="2"/>
  <c r="G3942" i="2"/>
  <c r="J6439" i="2"/>
  <c r="G6439" i="2"/>
  <c r="G6527" i="2"/>
  <c r="K6514" i="2"/>
  <c r="G6514" i="2"/>
  <c r="G3048" i="2"/>
  <c r="G6506" i="2"/>
  <c r="J1065" i="2"/>
  <c r="G1065" i="2"/>
  <c r="G6498" i="2"/>
  <c r="G6494" i="2"/>
  <c r="G6788" i="2"/>
  <c r="J6705" i="2"/>
  <c r="G6705" i="2"/>
  <c r="G6096" i="2"/>
  <c r="K6478" i="2"/>
  <c r="G6478" i="2"/>
  <c r="G6474" i="2"/>
  <c r="J6470" i="2"/>
  <c r="G6470" i="2"/>
  <c r="G6466" i="2"/>
  <c r="K6462" i="2"/>
  <c r="G6462" i="2"/>
  <c r="G6458" i="2"/>
  <c r="K6454" i="2"/>
  <c r="G6454" i="2"/>
  <c r="G6450" i="2"/>
  <c r="G6446" i="2"/>
  <c r="G4658" i="2"/>
  <c r="G6438" i="2"/>
  <c r="G6434" i="2"/>
  <c r="K6430" i="2"/>
  <c r="G6430" i="2"/>
  <c r="J6426" i="2"/>
  <c r="G6426" i="2"/>
  <c r="G4188" i="2"/>
  <c r="J4819" i="2"/>
  <c r="G4819" i="2"/>
  <c r="K6414" i="2"/>
  <c r="G6414" i="2"/>
  <c r="K6410" i="2"/>
  <c r="G6410" i="2"/>
  <c r="K6406" i="2"/>
  <c r="G6406" i="2"/>
  <c r="K6402" i="2"/>
  <c r="G6402" i="2"/>
  <c r="G6398" i="2"/>
  <c r="K6394" i="2"/>
  <c r="G6394" i="2"/>
  <c r="G2802" i="2"/>
  <c r="G5472" i="2"/>
  <c r="K6382" i="2"/>
  <c r="G6382" i="2"/>
  <c r="K6378" i="2"/>
  <c r="G6378" i="2"/>
  <c r="J6374" i="2"/>
  <c r="G6374" i="2"/>
  <c r="K6370" i="2"/>
  <c r="G6370" i="2"/>
  <c r="K6366" i="2"/>
  <c r="G6366" i="2"/>
  <c r="K6362" i="2"/>
  <c r="G6362" i="2"/>
  <c r="K6358" i="2"/>
  <c r="G6358" i="2"/>
  <c r="K6354" i="2"/>
  <c r="G6354" i="2"/>
  <c r="K6350" i="2"/>
  <c r="G6350" i="2"/>
  <c r="K6346" i="2"/>
  <c r="G6346" i="2"/>
  <c r="J189" i="2"/>
  <c r="G189" i="2"/>
  <c r="J6338" i="2"/>
  <c r="G6338" i="2"/>
  <c r="J6334" i="2"/>
  <c r="G6334" i="2"/>
  <c r="K6330" i="2"/>
  <c r="G6330" i="2"/>
  <c r="J6326" i="2"/>
  <c r="G6326" i="2"/>
  <c r="K6322" i="2"/>
  <c r="G6322" i="2"/>
  <c r="K6318" i="2"/>
  <c r="G6318" i="2"/>
  <c r="K6314" i="2"/>
  <c r="G6314" i="2"/>
  <c r="G6310" i="2"/>
  <c r="K6306" i="2"/>
  <c r="G6306" i="2"/>
  <c r="J6302" i="2"/>
  <c r="G6302" i="2"/>
  <c r="G175" i="2"/>
  <c r="G6294" i="2"/>
  <c r="G1797" i="2"/>
  <c r="K6286" i="2"/>
  <c r="G6286" i="2"/>
  <c r="K6282" i="2"/>
  <c r="G6282" i="2"/>
  <c r="J6278" i="2"/>
  <c r="G6278" i="2"/>
  <c r="K6274" i="2"/>
  <c r="G6274" i="2"/>
  <c r="K6270" i="2"/>
  <c r="G6270" i="2"/>
  <c r="G6266" i="2"/>
  <c r="G6262" i="2"/>
  <c r="J6258" i="2"/>
  <c r="G6258" i="2"/>
  <c r="K6254" i="2"/>
  <c r="G6254" i="2"/>
  <c r="J6250" i="2"/>
  <c r="G6250" i="2"/>
  <c r="G6246" i="2"/>
  <c r="J2755" i="2"/>
  <c r="G2755" i="2"/>
  <c r="K6238" i="2"/>
  <c r="G6238" i="2"/>
  <c r="K6234" i="2"/>
  <c r="G6234" i="2"/>
  <c r="J6230" i="2"/>
  <c r="G6230" i="2"/>
  <c r="G4611" i="2"/>
  <c r="K6222" i="2"/>
  <c r="G6222" i="2"/>
  <c r="J6218" i="2"/>
  <c r="G6218" i="2"/>
  <c r="J6214" i="2"/>
  <c r="G6214" i="2"/>
  <c r="K6210" i="2"/>
  <c r="G6210" i="2"/>
  <c r="K6206" i="2"/>
  <c r="G6206" i="2"/>
  <c r="K6202" i="2"/>
  <c r="G6202" i="2"/>
  <c r="J6198" i="2"/>
  <c r="G6198" i="2"/>
  <c r="K6194" i="2"/>
  <c r="G6194" i="2"/>
  <c r="G2270" i="2"/>
  <c r="J2850" i="2"/>
  <c r="G2850" i="2"/>
  <c r="G5802" i="2"/>
  <c r="K6178" i="2"/>
  <c r="G6178" i="2"/>
  <c r="G1552" i="2"/>
  <c r="G6170" i="2"/>
  <c r="K6166" i="2"/>
  <c r="G6166" i="2"/>
  <c r="J6190" i="2"/>
  <c r="G6190" i="2"/>
  <c r="G6158" i="2"/>
  <c r="K6154" i="2"/>
  <c r="G6154" i="2"/>
  <c r="J6150" i="2"/>
  <c r="G6150" i="2"/>
  <c r="G4524" i="2"/>
  <c r="K6142" i="2"/>
  <c r="G6142" i="2"/>
  <c r="G6138" i="2"/>
  <c r="J6134" i="2"/>
  <c r="G6134" i="2"/>
  <c r="K6130" i="2"/>
  <c r="G6130" i="2"/>
  <c r="G6126" i="2"/>
  <c r="K6122" i="2"/>
  <c r="G6122" i="2"/>
  <c r="K6118" i="2"/>
  <c r="G6118" i="2"/>
  <c r="K6114" i="2"/>
  <c r="G6114" i="2"/>
  <c r="G6749" i="2"/>
  <c r="J2738" i="2"/>
  <c r="G2738" i="2"/>
  <c r="K6102" i="2"/>
  <c r="G6102" i="2"/>
  <c r="K6098" i="2"/>
  <c r="G6098" i="2"/>
  <c r="G4741" i="2"/>
  <c r="J6090" i="2"/>
  <c r="G6090" i="2"/>
  <c r="K6086" i="2"/>
  <c r="G6086" i="2"/>
  <c r="G5471" i="2"/>
  <c r="G6740" i="2"/>
  <c r="J2155" i="2"/>
  <c r="G2155" i="2"/>
  <c r="K6070" i="2"/>
  <c r="G6070" i="2"/>
  <c r="G6066" i="2"/>
  <c r="G5077" i="2"/>
  <c r="G6058" i="2"/>
  <c r="J6054" i="2"/>
  <c r="G6054" i="2"/>
  <c r="G1049" i="2"/>
  <c r="G6684" i="2"/>
  <c r="K6042" i="2"/>
  <c r="G6042" i="2"/>
  <c r="K6038" i="2"/>
  <c r="G6038" i="2"/>
  <c r="G6034" i="2"/>
  <c r="J7145" i="2"/>
  <c r="G7145" i="2"/>
  <c r="K6026" i="2"/>
  <c r="G6026" i="2"/>
  <c r="G4797" i="2"/>
  <c r="K6018" i="2"/>
  <c r="G6018" i="2"/>
  <c r="K6014" i="2"/>
  <c r="G6014" i="2"/>
  <c r="K6010" i="2"/>
  <c r="G6010" i="2"/>
  <c r="K6006" i="2"/>
  <c r="G6006" i="2"/>
  <c r="K6002" i="2"/>
  <c r="G6002" i="2"/>
  <c r="G2780" i="2"/>
  <c r="G5994" i="2"/>
  <c r="G5990" i="2"/>
  <c r="J4695" i="2"/>
  <c r="G4695" i="2"/>
  <c r="G1521" i="2"/>
  <c r="J2268" i="2"/>
  <c r="G2268" i="2"/>
  <c r="G5155" i="2"/>
  <c r="J5970" i="2"/>
  <c r="G5970" i="2"/>
  <c r="G408" i="2"/>
  <c r="G5962" i="2"/>
  <c r="G5958" i="2"/>
  <c r="K5954" i="2"/>
  <c r="G5954" i="2"/>
  <c r="G5950" i="2"/>
  <c r="J5946" i="2"/>
  <c r="G5946" i="2"/>
  <c r="G2383" i="2"/>
  <c r="G1751" i="2"/>
  <c r="G5944" i="2"/>
  <c r="J2789" i="2"/>
  <c r="G2789" i="2"/>
  <c r="G6335" i="2"/>
  <c r="G5922" i="2"/>
  <c r="G5918" i="2"/>
  <c r="G5914" i="2"/>
  <c r="G5910" i="2"/>
  <c r="G4489" i="2"/>
  <c r="G5902" i="2"/>
  <c r="G5898" i="2"/>
  <c r="K5894" i="2"/>
  <c r="G5894" i="2"/>
  <c r="K5890" i="2"/>
  <c r="G5890" i="2"/>
  <c r="J3024" i="2"/>
  <c r="G3024" i="2"/>
  <c r="K5882" i="2"/>
  <c r="G5882" i="2"/>
  <c r="G6997" i="2"/>
  <c r="K5874" i="2"/>
  <c r="G5874" i="2"/>
  <c r="K5870" i="2"/>
  <c r="G5870" i="2"/>
  <c r="K5866" i="2"/>
  <c r="G5866" i="2"/>
  <c r="K5862" i="2"/>
  <c r="G5862" i="2"/>
  <c r="K5858" i="2"/>
  <c r="G5858" i="2"/>
  <c r="K5854" i="2"/>
  <c r="G5854" i="2"/>
  <c r="G956" i="2"/>
  <c r="G5695" i="2"/>
  <c r="J3984" i="2"/>
  <c r="G3984" i="2"/>
  <c r="G5838" i="2"/>
  <c r="G5834" i="2"/>
  <c r="G2267" i="2"/>
  <c r="K5826" i="2"/>
  <c r="G5826" i="2"/>
  <c r="J6599" i="2"/>
  <c r="G6599" i="2"/>
  <c r="J5813" i="2"/>
  <c r="G5813" i="2"/>
  <c r="K5814" i="2"/>
  <c r="G5814" i="2"/>
  <c r="K5810" i="2"/>
  <c r="G5810" i="2"/>
  <c r="G6493" i="2"/>
  <c r="J1619" i="2"/>
  <c r="G1619" i="2"/>
  <c r="K5798" i="2"/>
  <c r="G5798" i="2"/>
  <c r="J389" i="2"/>
  <c r="G389" i="2"/>
  <c r="J5790" i="2"/>
  <c r="G5790" i="2"/>
  <c r="J5259" i="2"/>
  <c r="G5259" i="2"/>
  <c r="K5782" i="2"/>
  <c r="G5782" i="2"/>
  <c r="J5778" i="2"/>
  <c r="G5778" i="2"/>
  <c r="G5774" i="2"/>
  <c r="J5770" i="2"/>
  <c r="G5770" i="2"/>
  <c r="J5766" i="2"/>
  <c r="G5766" i="2"/>
  <c r="K5762" i="2"/>
  <c r="G5762" i="2"/>
  <c r="J1496" i="2"/>
  <c r="G1496" i="2"/>
  <c r="J5754" i="2"/>
  <c r="G5754" i="2"/>
  <c r="G6092" i="2"/>
  <c r="J5746" i="2"/>
  <c r="G5746" i="2"/>
  <c r="J5742" i="2"/>
  <c r="G5742" i="2"/>
  <c r="J5738" i="2"/>
  <c r="G5738" i="2"/>
  <c r="K5734" i="2"/>
  <c r="G5734" i="2"/>
  <c r="J3665" i="2"/>
  <c r="G3665" i="2"/>
  <c r="J5726" i="2"/>
  <c r="G5726" i="2"/>
  <c r="J5722" i="2"/>
  <c r="G5722" i="2"/>
  <c r="K5718" i="2"/>
  <c r="G5718" i="2"/>
  <c r="K5714" i="2"/>
  <c r="G5714" i="2"/>
  <c r="K5710" i="2"/>
  <c r="G5710" i="2"/>
  <c r="J400" i="2"/>
  <c r="G400" i="2"/>
  <c r="K5702" i="2"/>
  <c r="G5702" i="2"/>
  <c r="G5698" i="2"/>
  <c r="J5694" i="2"/>
  <c r="G5694" i="2"/>
  <c r="K5690" i="2"/>
  <c r="G5690" i="2"/>
  <c r="K5686" i="2"/>
  <c r="G5686" i="2"/>
  <c r="J2801" i="2"/>
  <c r="G2801" i="2"/>
  <c r="J5678" i="2"/>
  <c r="G5678" i="2"/>
  <c r="K5674" i="2"/>
  <c r="G5674" i="2"/>
  <c r="K5670" i="2"/>
  <c r="G5670" i="2"/>
  <c r="K5666" i="2"/>
  <c r="G5666" i="2"/>
  <c r="J6080" i="2"/>
  <c r="G6080" i="2"/>
  <c r="K5658" i="2"/>
  <c r="G5658" i="2"/>
  <c r="K5654" i="2"/>
  <c r="G5654" i="2"/>
  <c r="J1027" i="2"/>
  <c r="G1027" i="2"/>
  <c r="K5646" i="2"/>
  <c r="G5646" i="2"/>
  <c r="K5642" i="2"/>
  <c r="G5642" i="2"/>
  <c r="G4577" i="2"/>
  <c r="J5783" i="2"/>
  <c r="G5783" i="2"/>
  <c r="K5630" i="2"/>
  <c r="G5630" i="2"/>
  <c r="J6484" i="2"/>
  <c r="G6484" i="2"/>
  <c r="J5622" i="2"/>
  <c r="G5622" i="2"/>
  <c r="G652" i="2"/>
  <c r="J5830" i="2"/>
  <c r="G5830" i="2"/>
  <c r="J3681" i="2"/>
  <c r="G3681" i="2"/>
  <c r="J5606" i="2"/>
  <c r="G5606" i="2"/>
  <c r="K5602" i="2"/>
  <c r="G5602" i="2"/>
  <c r="J5598" i="2"/>
  <c r="G5598" i="2"/>
  <c r="G4259" i="2"/>
  <c r="J5590" i="2"/>
  <c r="G5590" i="2"/>
  <c r="K5586" i="2"/>
  <c r="G5586" i="2"/>
  <c r="J5582" i="2"/>
  <c r="G5582" i="2"/>
  <c r="J5578" i="2"/>
  <c r="G5578" i="2"/>
  <c r="J5574" i="2"/>
  <c r="G5574" i="2"/>
  <c r="G6866" i="2"/>
  <c r="K5566" i="2"/>
  <c r="G5566" i="2"/>
  <c r="J4663" i="2"/>
  <c r="G4663" i="2"/>
  <c r="J5558" i="2"/>
  <c r="G5558" i="2"/>
  <c r="J5554" i="2"/>
  <c r="G5554" i="2"/>
  <c r="J6483" i="2"/>
  <c r="G6483" i="2"/>
  <c r="G6857" i="2"/>
  <c r="J1016" i="2"/>
  <c r="G1016" i="2"/>
  <c r="K5538" i="2"/>
  <c r="G5538" i="2"/>
  <c r="J5534" i="2"/>
  <c r="G5534" i="2"/>
  <c r="K5530" i="2"/>
  <c r="G5530" i="2"/>
  <c r="G1547" i="2"/>
  <c r="G4415" i="2"/>
  <c r="G2422" i="2"/>
  <c r="J6307" i="2"/>
  <c r="G6307" i="2"/>
  <c r="G5510" i="2"/>
  <c r="G5506" i="2"/>
  <c r="G5502" i="2"/>
  <c r="G5498" i="2"/>
  <c r="G5494" i="2"/>
  <c r="J5490" i="2"/>
  <c r="G5490" i="2"/>
  <c r="G1046" i="2"/>
  <c r="G6591" i="2"/>
  <c r="J5478" i="2"/>
  <c r="G5478" i="2"/>
  <c r="J758" i="2"/>
  <c r="G758" i="2"/>
  <c r="G5250" i="2"/>
  <c r="G4177" i="2"/>
  <c r="G5462" i="2"/>
  <c r="K5458" i="2"/>
  <c r="G5458" i="2"/>
  <c r="J4582" i="2"/>
  <c r="G4582" i="2"/>
  <c r="J5450" i="2"/>
  <c r="G5450" i="2"/>
  <c r="G7048" i="2"/>
  <c r="G5442" i="2"/>
  <c r="K5442" i="2"/>
  <c r="G5438" i="2"/>
  <c r="K5438" i="2"/>
  <c r="G5434" i="2"/>
  <c r="G5466" i="2"/>
  <c r="K5426" i="2"/>
  <c r="G5426" i="2"/>
  <c r="J5422" i="2"/>
  <c r="G5422" i="2"/>
  <c r="J5418" i="2"/>
  <c r="G5418" i="2"/>
  <c r="K5414" i="2"/>
  <c r="G5414" i="2"/>
  <c r="K5410" i="2"/>
  <c r="G5410" i="2"/>
  <c r="K5406" i="2"/>
  <c r="G5406" i="2"/>
  <c r="J5402" i="2"/>
  <c r="G5402" i="2"/>
  <c r="G5398" i="2"/>
  <c r="K5398" i="2"/>
  <c r="K5394" i="2"/>
  <c r="G5394" i="2"/>
  <c r="K5390" i="2"/>
  <c r="G5390" i="2"/>
  <c r="K5386" i="2"/>
  <c r="G5386" i="2"/>
  <c r="K5382" i="2"/>
  <c r="G5382" i="2"/>
  <c r="J5378" i="2"/>
  <c r="G5378" i="2"/>
  <c r="J5374" i="2"/>
  <c r="G5374" i="2"/>
  <c r="J5370" i="2"/>
  <c r="G5370" i="2"/>
  <c r="K5366" i="2"/>
  <c r="G5366" i="2"/>
  <c r="G5362" i="2"/>
  <c r="K5362" i="2"/>
  <c r="K5358" i="2"/>
  <c r="G5358" i="2"/>
  <c r="G5354" i="2"/>
  <c r="K5350" i="2"/>
  <c r="G5350" i="2"/>
  <c r="G5346" i="2"/>
  <c r="K5342" i="2"/>
  <c r="G5342" i="2"/>
  <c r="G5338" i="2"/>
  <c r="K5334" i="2"/>
  <c r="G5334" i="2"/>
  <c r="G5330" i="2"/>
  <c r="K5330" i="2"/>
  <c r="K5326" i="2"/>
  <c r="G5326" i="2"/>
  <c r="K5322" i="2"/>
  <c r="G5322" i="2"/>
  <c r="G3918" i="2"/>
  <c r="K5314" i="2"/>
  <c r="G5314" i="2"/>
  <c r="K5310" i="2"/>
  <c r="G5310" i="2"/>
  <c r="J5306" i="2"/>
  <c r="G5306" i="2"/>
  <c r="K5302" i="2"/>
  <c r="G5302" i="2"/>
  <c r="J5298" i="2"/>
  <c r="G5298" i="2"/>
  <c r="J5294" i="2"/>
  <c r="G5294" i="2"/>
  <c r="J5290" i="2"/>
  <c r="G5290" i="2"/>
  <c r="K5286" i="2"/>
  <c r="G5286" i="2"/>
  <c r="J5282" i="2"/>
  <c r="G5282" i="2"/>
  <c r="K5278" i="2"/>
  <c r="G5278" i="2"/>
  <c r="K5274" i="2"/>
  <c r="G5274" i="2"/>
  <c r="K5270" i="2"/>
  <c r="G5270" i="2"/>
  <c r="K5266" i="2"/>
  <c r="G5266" i="2"/>
  <c r="K5262" i="2"/>
  <c r="G5262" i="2"/>
  <c r="J5829" i="2"/>
  <c r="G5829" i="2"/>
  <c r="G5480" i="2"/>
  <c r="G7031" i="2"/>
  <c r="J5246" i="2"/>
  <c r="G5246" i="2"/>
  <c r="G6732" i="2"/>
  <c r="J1491" i="2"/>
  <c r="G1491" i="2"/>
  <c r="J5234" i="2"/>
  <c r="G5234" i="2"/>
  <c r="G5230" i="2"/>
  <c r="J5226" i="2"/>
  <c r="G5226" i="2"/>
  <c r="J5222" i="2"/>
  <c r="G5222" i="2"/>
  <c r="G1545" i="2"/>
  <c r="K5214" i="2"/>
  <c r="G5214" i="2"/>
  <c r="K5210" i="2"/>
  <c r="G5210" i="2"/>
  <c r="K5206" i="2"/>
  <c r="G5206" i="2"/>
  <c r="K5202" i="2"/>
  <c r="G5202" i="2"/>
  <c r="J5198" i="2"/>
  <c r="G5198" i="2"/>
  <c r="J5194" i="2"/>
  <c r="G5194" i="2"/>
  <c r="K5190" i="2"/>
  <c r="G5190" i="2"/>
  <c r="J5186" i="2"/>
  <c r="G5186" i="2"/>
  <c r="K5182" i="2"/>
  <c r="G5182" i="2"/>
  <c r="K5178" i="2"/>
  <c r="G5178" i="2"/>
  <c r="G1246" i="2"/>
  <c r="K5170" i="2"/>
  <c r="G5170" i="2"/>
  <c r="G3208" i="2"/>
  <c r="K5162" i="2"/>
  <c r="G5162" i="2"/>
  <c r="G5158" i="2"/>
  <c r="K5154" i="2"/>
  <c r="G5154" i="2"/>
  <c r="G5150" i="2"/>
  <c r="J5151" i="2"/>
  <c r="G5151" i="2"/>
  <c r="G5142" i="2"/>
  <c r="K5142" i="2"/>
  <c r="G5523" i="2"/>
  <c r="G5134" i="2"/>
  <c r="K5134" i="2"/>
  <c r="G5130" i="2"/>
  <c r="G5126" i="2"/>
  <c r="J5122" i="2"/>
  <c r="G5122" i="2"/>
  <c r="G5072" i="2"/>
  <c r="J705" i="2"/>
  <c r="G705" i="2"/>
  <c r="G5110" i="2"/>
  <c r="J5106" i="2"/>
  <c r="G5106" i="2"/>
  <c r="G469" i="2"/>
  <c r="J5098" i="2"/>
  <c r="G5098" i="2"/>
  <c r="G5094" i="2"/>
  <c r="J5090" i="2"/>
  <c r="G5090" i="2"/>
  <c r="G5086" i="2"/>
  <c r="K5082" i="2"/>
  <c r="G5082" i="2"/>
  <c r="G5078" i="2"/>
  <c r="K5078" i="2"/>
  <c r="G5074" i="2"/>
  <c r="G5070" i="2"/>
  <c r="K5070" i="2"/>
  <c r="J5066" i="2"/>
  <c r="G5066" i="2"/>
  <c r="G5062" i="2"/>
  <c r="K5062" i="2"/>
  <c r="K5058" i="2"/>
  <c r="G5058" i="2"/>
  <c r="G6589" i="2"/>
  <c r="K5050" i="2"/>
  <c r="G5050" i="2"/>
  <c r="G5046" i="2"/>
  <c r="K5042" i="2"/>
  <c r="G5042" i="2"/>
  <c r="G4175" i="2"/>
  <c r="J4175" i="2"/>
  <c r="G5034" i="2"/>
  <c r="G3627" i="2"/>
  <c r="G5503" i="2"/>
  <c r="G3756" i="2"/>
  <c r="J3756" i="2"/>
  <c r="K5018" i="2"/>
  <c r="G5018" i="2"/>
  <c r="G5899" i="2"/>
  <c r="J6526" i="2"/>
  <c r="G6526" i="2"/>
  <c r="G5006" i="2"/>
  <c r="K5006" i="2"/>
  <c r="J5002" i="2"/>
  <c r="G5002" i="2"/>
  <c r="K4998" i="2"/>
  <c r="G4998" i="2"/>
  <c r="K4994" i="2"/>
  <c r="G4994" i="2"/>
  <c r="G4990" i="2"/>
  <c r="K4990" i="2"/>
  <c r="J3359" i="2"/>
  <c r="G3359" i="2"/>
  <c r="G4982" i="2"/>
  <c r="J4978" i="2"/>
  <c r="G4978" i="2"/>
  <c r="G4974" i="2"/>
  <c r="K4970" i="2"/>
  <c r="G4970" i="2"/>
  <c r="G4966" i="2"/>
  <c r="J4962" i="2"/>
  <c r="G4962" i="2"/>
  <c r="G4958" i="2"/>
  <c r="K4954" i="2"/>
  <c r="G4954" i="2"/>
  <c r="G4232" i="2"/>
  <c r="J1014" i="2"/>
  <c r="G1014" i="2"/>
  <c r="G4942" i="2"/>
  <c r="J4938" i="2"/>
  <c r="G4938" i="2"/>
  <c r="G4934" i="2"/>
  <c r="K4934" i="2"/>
  <c r="K4930" i="2"/>
  <c r="G4930" i="2"/>
  <c r="G4926" i="2"/>
  <c r="K4926" i="2"/>
  <c r="J4922" i="2"/>
  <c r="G4922" i="2"/>
  <c r="G4918" i="2"/>
  <c r="K4918" i="2"/>
  <c r="K4914" i="2"/>
  <c r="G4914" i="2"/>
  <c r="G4910" i="2"/>
  <c r="K4910" i="2"/>
  <c r="K4906" i="2"/>
  <c r="G4906" i="2"/>
  <c r="G1237" i="2"/>
  <c r="K4898" i="2"/>
  <c r="G4898" i="2"/>
  <c r="G4894" i="2"/>
  <c r="K4894" i="2"/>
  <c r="G4890" i="2"/>
  <c r="G4886" i="2"/>
  <c r="G365" i="2"/>
  <c r="J4878" i="2"/>
  <c r="G4878" i="2"/>
  <c r="G3619" i="2"/>
  <c r="J3619" i="2"/>
  <c r="G5708" i="2"/>
  <c r="G1085" i="2"/>
  <c r="K4862" i="2"/>
  <c r="G4862" i="2"/>
  <c r="G5146" i="2"/>
  <c r="J5521" i="2"/>
  <c r="G5521" i="2"/>
  <c r="J4850" i="2"/>
  <c r="G4850" i="2"/>
  <c r="G2120" i="2"/>
  <c r="K4842" i="2"/>
  <c r="G4842" i="2"/>
  <c r="G3618" i="2"/>
  <c r="J4834" i="2"/>
  <c r="G4834" i="2"/>
  <c r="G4830" i="2"/>
  <c r="J1286" i="2"/>
  <c r="G1286" i="2"/>
  <c r="J5927" i="2"/>
  <c r="G5927" i="2"/>
  <c r="J128" i="2"/>
  <c r="G128" i="2"/>
  <c r="G6768" i="2"/>
  <c r="J4810" i="2"/>
  <c r="G4810" i="2"/>
  <c r="G4806" i="2"/>
  <c r="J4802" i="2"/>
  <c r="G4802" i="2"/>
  <c r="G5054" i="2"/>
  <c r="G4794" i="2"/>
  <c r="G7018" i="2"/>
  <c r="J5992" i="2"/>
  <c r="G5992" i="2"/>
  <c r="J4782" i="2"/>
  <c r="G4782" i="2"/>
  <c r="K4778" i="2"/>
  <c r="G4778" i="2"/>
  <c r="G4774" i="2"/>
  <c r="J4770" i="2"/>
  <c r="G4770" i="2"/>
  <c r="K4766" i="2"/>
  <c r="G4766" i="2"/>
  <c r="G4762" i="2"/>
  <c r="K4758" i="2"/>
  <c r="G4758" i="2"/>
  <c r="J4754" i="2"/>
  <c r="G4754" i="2"/>
  <c r="G4750" i="2"/>
  <c r="J4746" i="2"/>
  <c r="G4746" i="2"/>
  <c r="G2783" i="2"/>
  <c r="K4738" i="2"/>
  <c r="G4738" i="2"/>
  <c r="J4734" i="2"/>
  <c r="G4734" i="2"/>
  <c r="G4730" i="2"/>
  <c r="G4795" i="2"/>
  <c r="J4722" i="2"/>
  <c r="G4722" i="2"/>
  <c r="J4718" i="2"/>
  <c r="G4718" i="2"/>
  <c r="J4714" i="2"/>
  <c r="G4714" i="2"/>
  <c r="G4710" i="2"/>
  <c r="K4706" i="2"/>
  <c r="G4706" i="2"/>
  <c r="K4702" i="2"/>
  <c r="G4702" i="2"/>
  <c r="G4698" i="2"/>
  <c r="K4698" i="2"/>
  <c r="K4694" i="2"/>
  <c r="G4694" i="2"/>
  <c r="K4690" i="2"/>
  <c r="G4690" i="2"/>
  <c r="K4686" i="2"/>
  <c r="G4686" i="2"/>
  <c r="G4851" i="2"/>
  <c r="G2728" i="2"/>
  <c r="K4674" i="2"/>
  <c r="G4674" i="2"/>
  <c r="K4670" i="2"/>
  <c r="G4670" i="2"/>
  <c r="G1117" i="2"/>
  <c r="J1117" i="2"/>
  <c r="G4662" i="2"/>
  <c r="G2260" i="2"/>
  <c r="K4654" i="2"/>
  <c r="G4654" i="2"/>
  <c r="G6541" i="2"/>
  <c r="G4646" i="2"/>
  <c r="K4646" i="2"/>
  <c r="J4861" i="2"/>
  <c r="G4861" i="2"/>
  <c r="K4638" i="2"/>
  <c r="G4638" i="2"/>
  <c r="G4634" i="2"/>
  <c r="G6304" i="2"/>
  <c r="K4626" i="2"/>
  <c r="G4626" i="2"/>
  <c r="G2508" i="2"/>
  <c r="K4618" i="2"/>
  <c r="G4618" i="2"/>
  <c r="G4614" i="2"/>
  <c r="J1968" i="2"/>
  <c r="G1968" i="2"/>
  <c r="J4867" i="2"/>
  <c r="G4867" i="2"/>
  <c r="G4602" i="2"/>
  <c r="K4598" i="2"/>
  <c r="G4598" i="2"/>
  <c r="G4594" i="2"/>
  <c r="G4590" i="2"/>
  <c r="J4586" i="2"/>
  <c r="G4586" i="2"/>
  <c r="G1414" i="2"/>
  <c r="J3997" i="2"/>
  <c r="G3997" i="2"/>
  <c r="G4574" i="2"/>
  <c r="G6517" i="2"/>
  <c r="G2990" i="2"/>
  <c r="K4562" i="2"/>
  <c r="G4562" i="2"/>
  <c r="J4558" i="2"/>
  <c r="G4558" i="2"/>
  <c r="J4554" i="2"/>
  <c r="G4554" i="2"/>
  <c r="G4550" i="2"/>
  <c r="K4550" i="2"/>
  <c r="J581" i="2"/>
  <c r="G581" i="2"/>
  <c r="J4542" i="2"/>
  <c r="G4542" i="2"/>
  <c r="G4538" i="2"/>
  <c r="K4538" i="2"/>
  <c r="J4534" i="2"/>
  <c r="G4534" i="2"/>
  <c r="J4530" i="2"/>
  <c r="G4530" i="2"/>
  <c r="G4526" i="2"/>
  <c r="J4522" i="2"/>
  <c r="G4522" i="2"/>
  <c r="G4518" i="2"/>
  <c r="K4514" i="2"/>
  <c r="G4514" i="2"/>
  <c r="J4510" i="2"/>
  <c r="G4510" i="2"/>
  <c r="G4506" i="2"/>
  <c r="K4506" i="2"/>
  <c r="K4502" i="2"/>
  <c r="G4502" i="2"/>
  <c r="G7201" i="2"/>
  <c r="J4681" i="2"/>
  <c r="G4681" i="2"/>
  <c r="K4490" i="2"/>
  <c r="G4490" i="2"/>
  <c r="G5454" i="2"/>
  <c r="K4482" i="2"/>
  <c r="G4482" i="2"/>
  <c r="J4478" i="2"/>
  <c r="G4478" i="2"/>
  <c r="G4474" i="2"/>
  <c r="K4470" i="2"/>
  <c r="G4470" i="2"/>
  <c r="K4466" i="2"/>
  <c r="G4466" i="2"/>
  <c r="K4462" i="2"/>
  <c r="G4462" i="2"/>
  <c r="G1021" i="2"/>
  <c r="G4454" i="2"/>
  <c r="K4454" i="2"/>
  <c r="K4450" i="2"/>
  <c r="G4450" i="2"/>
  <c r="K4446" i="2"/>
  <c r="G4446" i="2"/>
  <c r="G4442" i="2"/>
  <c r="K4438" i="2"/>
  <c r="G4438" i="2"/>
  <c r="J4434" i="2"/>
  <c r="G4434" i="2"/>
  <c r="K4430" i="2"/>
  <c r="G4430" i="2"/>
  <c r="J4426" i="2"/>
  <c r="G4426" i="2"/>
  <c r="G4422" i="2"/>
  <c r="K4422" i="2"/>
  <c r="K4418" i="2"/>
  <c r="G4418" i="2"/>
  <c r="J6482" i="2"/>
  <c r="G6482" i="2"/>
  <c r="G3612" i="2"/>
  <c r="G2764" i="2"/>
  <c r="G4402" i="2"/>
  <c r="J4398" i="2"/>
  <c r="G4398" i="2"/>
  <c r="G4394" i="2"/>
  <c r="G4390" i="2"/>
  <c r="K4390" i="2"/>
  <c r="J4386" i="2"/>
  <c r="G4386" i="2"/>
  <c r="K4382" i="2"/>
  <c r="G4382" i="2"/>
  <c r="G4378" i="2"/>
  <c r="K4378" i="2"/>
  <c r="G769" i="2"/>
  <c r="G4064" i="2"/>
  <c r="K4366" i="2"/>
  <c r="G4366" i="2"/>
  <c r="J111" i="2"/>
  <c r="G111" i="2"/>
  <c r="G4358" i="2"/>
  <c r="J4354" i="2"/>
  <c r="G4354" i="2"/>
  <c r="K4350" i="2"/>
  <c r="G4350" i="2"/>
  <c r="G4346" i="2"/>
  <c r="K4346" i="2"/>
  <c r="K4342" i="2"/>
  <c r="G4342" i="2"/>
  <c r="J4338" i="2"/>
  <c r="G4338" i="2"/>
  <c r="K4334" i="2"/>
  <c r="G4334" i="2"/>
  <c r="K4330" i="2"/>
  <c r="G4330" i="2"/>
  <c r="G4326" i="2"/>
  <c r="K4326" i="2"/>
  <c r="K4322" i="2"/>
  <c r="G4322" i="2"/>
  <c r="K4318" i="2"/>
  <c r="G4318" i="2"/>
  <c r="G4314" i="2"/>
  <c r="K4314" i="2"/>
  <c r="K4310" i="2"/>
  <c r="G4310" i="2"/>
  <c r="J4306" i="2"/>
  <c r="G4306" i="2"/>
  <c r="J4302" i="2"/>
  <c r="G4302" i="2"/>
  <c r="J4298" i="2"/>
  <c r="G4298" i="2"/>
  <c r="G4294" i="2"/>
  <c r="K4294" i="2"/>
  <c r="G4290" i="2"/>
  <c r="J4286" i="2"/>
  <c r="G4286" i="2"/>
  <c r="G4282" i="2"/>
  <c r="J4278" i="2"/>
  <c r="G4278" i="2"/>
  <c r="J1709" i="2"/>
  <c r="G1709" i="2"/>
  <c r="J4270" i="2"/>
  <c r="G4270" i="2"/>
  <c r="K4266" i="2"/>
  <c r="G4266" i="2"/>
  <c r="G4262" i="2"/>
  <c r="K4262" i="2"/>
  <c r="G5446" i="2"/>
  <c r="K4254" i="2"/>
  <c r="G4254" i="2"/>
  <c r="G4250" i="2"/>
  <c r="K4250" i="2"/>
  <c r="K4246" i="2"/>
  <c r="G4246" i="2"/>
  <c r="K4242" i="2"/>
  <c r="G4242" i="2"/>
  <c r="K4238" i="2"/>
  <c r="G4238" i="2"/>
  <c r="K4234" i="2"/>
  <c r="G4234" i="2"/>
  <c r="G4230" i="2"/>
  <c r="K4230" i="2"/>
  <c r="J4975" i="2"/>
  <c r="G4975" i="2"/>
  <c r="J4222" i="2"/>
  <c r="G4222" i="2"/>
  <c r="G4218" i="2"/>
  <c r="K4218" i="2"/>
  <c r="G4367" i="2"/>
  <c r="G4727" i="2"/>
  <c r="G2688" i="2"/>
  <c r="K4202" i="2"/>
  <c r="G4202" i="2"/>
  <c r="G4198" i="2"/>
  <c r="K4198" i="2"/>
  <c r="K4194" i="2"/>
  <c r="G4194" i="2"/>
  <c r="K4190" i="2"/>
  <c r="G4190" i="2"/>
  <c r="G4186" i="2"/>
  <c r="J4186" i="2"/>
  <c r="J4182" i="2"/>
  <c r="G4182" i="2"/>
  <c r="G4226" i="2"/>
  <c r="G4174" i="2"/>
  <c r="G6864" i="2"/>
  <c r="G4166" i="2"/>
  <c r="J4162" i="2"/>
  <c r="G4162" i="2"/>
  <c r="J4158" i="2"/>
  <c r="G4158" i="2"/>
  <c r="G3136" i="2"/>
  <c r="J3136" i="2"/>
  <c r="J4150" i="2"/>
  <c r="G4150" i="2"/>
  <c r="K4146" i="2"/>
  <c r="G4146" i="2"/>
  <c r="J4142" i="2"/>
  <c r="G4142" i="2"/>
  <c r="J4138" i="2"/>
  <c r="G4138" i="2"/>
  <c r="G4134" i="2"/>
  <c r="K4134" i="2"/>
  <c r="K4130" i="2"/>
  <c r="G4130" i="2"/>
  <c r="K4126" i="2"/>
  <c r="G4126" i="2"/>
  <c r="G4122" i="2"/>
  <c r="K4122" i="2"/>
  <c r="G5776" i="2"/>
  <c r="J4114" i="2"/>
  <c r="G4114" i="2"/>
  <c r="K4110" i="2"/>
  <c r="G4110" i="2"/>
  <c r="K4106" i="2"/>
  <c r="G4106" i="2"/>
  <c r="G4102" i="2"/>
  <c r="K4102" i="2"/>
  <c r="J4098" i="2"/>
  <c r="G4098" i="2"/>
  <c r="J5675" i="2"/>
  <c r="G5675" i="2"/>
  <c r="G4090" i="2"/>
  <c r="J4090" i="2"/>
  <c r="J5441" i="2"/>
  <c r="G5441" i="2"/>
  <c r="G4082" i="2"/>
  <c r="G3610" i="2"/>
  <c r="G4074" i="2"/>
  <c r="G4070" i="2"/>
  <c r="J1363" i="2"/>
  <c r="G1363" i="2"/>
  <c r="G4062" i="2"/>
  <c r="K4062" i="2"/>
  <c r="G6392" i="2"/>
  <c r="G6722" i="2"/>
  <c r="G4050" i="2"/>
  <c r="K4050" i="2"/>
  <c r="G3662" i="2"/>
  <c r="J6237" i="2"/>
  <c r="G6237" i="2"/>
  <c r="G4038" i="2"/>
  <c r="K4034" i="2"/>
  <c r="G4034" i="2"/>
  <c r="G4030" i="2"/>
  <c r="G6546" i="2"/>
  <c r="G3609" i="2"/>
  <c r="G4018" i="2"/>
  <c r="K4018" i="2"/>
  <c r="J4014" i="2"/>
  <c r="G4014" i="2"/>
  <c r="J4010" i="2"/>
  <c r="G4010" i="2"/>
  <c r="J4006" i="2"/>
  <c r="G4006" i="2"/>
  <c r="K4002" i="2"/>
  <c r="G4002" i="2"/>
  <c r="G4172" i="2"/>
  <c r="J4172" i="2"/>
  <c r="K3994" i="2"/>
  <c r="G3994" i="2"/>
  <c r="J3990" i="2"/>
  <c r="G3990" i="2"/>
  <c r="K3986" i="2"/>
  <c r="G3986" i="2"/>
  <c r="K3982" i="2"/>
  <c r="G3982" i="2"/>
  <c r="K3978" i="2"/>
  <c r="G3978" i="2"/>
  <c r="J3974" i="2"/>
  <c r="G3974" i="2"/>
  <c r="G3970" i="2"/>
  <c r="K3970" i="2"/>
  <c r="J3966" i="2"/>
  <c r="G3966" i="2"/>
  <c r="G3962" i="2"/>
  <c r="K3962" i="2"/>
  <c r="K3958" i="2"/>
  <c r="G3958" i="2"/>
  <c r="G5016" i="2"/>
  <c r="G3950" i="2"/>
  <c r="K3950" i="2"/>
  <c r="G4200" i="2"/>
  <c r="G3742" i="2"/>
  <c r="J3716" i="2"/>
  <c r="G3716" i="2"/>
  <c r="G1193" i="2"/>
  <c r="K3930" i="2"/>
  <c r="G3930" i="2"/>
  <c r="K3926" i="2"/>
  <c r="G3926" i="2"/>
  <c r="G4046" i="2"/>
  <c r="G4061" i="2"/>
  <c r="K3914" i="2"/>
  <c r="G3914" i="2"/>
  <c r="K3910" i="2"/>
  <c r="G3910" i="2"/>
  <c r="G3906" i="2"/>
  <c r="K3902" i="2"/>
  <c r="G3902" i="2"/>
  <c r="G3898" i="2"/>
  <c r="K3898" i="2"/>
  <c r="J3894" i="2"/>
  <c r="G3894" i="2"/>
  <c r="G2377" i="2"/>
  <c r="J3886" i="2"/>
  <c r="G3886" i="2"/>
  <c r="J3882" i="2"/>
  <c r="G3882" i="2"/>
  <c r="G6832" i="2"/>
  <c r="J3874" i="2"/>
  <c r="G3874" i="2"/>
  <c r="G3686" i="2"/>
  <c r="G3866" i="2"/>
  <c r="J3866" i="2"/>
  <c r="G3862" i="2"/>
  <c r="G5907" i="2"/>
  <c r="G3854" i="2"/>
  <c r="J3850" i="2"/>
  <c r="G3850" i="2"/>
  <c r="G3846" i="2"/>
  <c r="G3842" i="2"/>
  <c r="J3838" i="2"/>
  <c r="G3838" i="2"/>
  <c r="G3834" i="2"/>
  <c r="J3830" i="2"/>
  <c r="G3830" i="2"/>
  <c r="J3826" i="2"/>
  <c r="G3826" i="2"/>
  <c r="K3822" i="2"/>
  <c r="G3822" i="2"/>
  <c r="G92" i="2"/>
  <c r="G3814" i="2"/>
  <c r="K3814" i="2"/>
  <c r="J3810" i="2"/>
  <c r="G3810" i="2"/>
  <c r="K3806" i="2"/>
  <c r="G3806" i="2"/>
  <c r="J3288" i="2"/>
  <c r="G3288" i="2"/>
  <c r="J3798" i="2"/>
  <c r="G3798" i="2"/>
  <c r="G5720" i="2"/>
  <c r="J5720" i="2"/>
  <c r="J3790" i="2"/>
  <c r="G3790" i="2"/>
  <c r="G578" i="2"/>
  <c r="K3782" i="2"/>
  <c r="G3782" i="2"/>
  <c r="K3778" i="2"/>
  <c r="G3778" i="2"/>
  <c r="K3774" i="2"/>
  <c r="G3774" i="2"/>
  <c r="K3770" i="2"/>
  <c r="G3770" i="2"/>
  <c r="K3766" i="2"/>
  <c r="G3766" i="2"/>
  <c r="K3762" i="2"/>
  <c r="G3762" i="2"/>
  <c r="G3758" i="2"/>
  <c r="K3758" i="2"/>
  <c r="G5604" i="2"/>
  <c r="G3685" i="2"/>
  <c r="J411" i="2"/>
  <c r="G411" i="2"/>
  <c r="G3135" i="2"/>
  <c r="G3738" i="2"/>
  <c r="K3734" i="2"/>
  <c r="G3734" i="2"/>
  <c r="G3730" i="2"/>
  <c r="J4154" i="2"/>
  <c r="G4154" i="2"/>
  <c r="K3722" i="2"/>
  <c r="G3722" i="2"/>
  <c r="J2070" i="2"/>
  <c r="G2070" i="2"/>
  <c r="G3714" i="2"/>
  <c r="G3710" i="2"/>
  <c r="K3710" i="2"/>
  <c r="J1022" i="2"/>
  <c r="G1022" i="2"/>
  <c r="J3702" i="2"/>
  <c r="G3702" i="2"/>
  <c r="G3698" i="2"/>
  <c r="J3694" i="2"/>
  <c r="G3694" i="2"/>
  <c r="G5931" i="2"/>
  <c r="G6877" i="2"/>
  <c r="J3668" i="2"/>
  <c r="G3668" i="2"/>
  <c r="G3678" i="2"/>
  <c r="K3674" i="2"/>
  <c r="G3674" i="2"/>
  <c r="J3670" i="2"/>
  <c r="G3670" i="2"/>
  <c r="G5040" i="2"/>
  <c r="G6041" i="2"/>
  <c r="K3658" i="2"/>
  <c r="G3658" i="2"/>
  <c r="J3871" i="2"/>
  <c r="G3871" i="2"/>
  <c r="J3650" i="2"/>
  <c r="G3650" i="2"/>
  <c r="G3646" i="2"/>
  <c r="J3642" i="2"/>
  <c r="G3642" i="2"/>
  <c r="J3638" i="2"/>
  <c r="G3638" i="2"/>
  <c r="G3634" i="2"/>
  <c r="K3634" i="2"/>
  <c r="K3630" i="2"/>
  <c r="G3630" i="2"/>
  <c r="G1542" i="2"/>
  <c r="J3622" i="2"/>
  <c r="G3622" i="2"/>
  <c r="G5806" i="2"/>
  <c r="G3614" i="2"/>
  <c r="K3614" i="2"/>
  <c r="G5220" i="2"/>
  <c r="J1950" i="2"/>
  <c r="G1950" i="2"/>
  <c r="G3602" i="2"/>
  <c r="K3602" i="2"/>
  <c r="J3598" i="2"/>
  <c r="G3598" i="2"/>
  <c r="J3594" i="2"/>
  <c r="G3594" i="2"/>
  <c r="K3590" i="2"/>
  <c r="G3590" i="2"/>
  <c r="J3586" i="2"/>
  <c r="G3586" i="2"/>
  <c r="G3582" i="2"/>
  <c r="K3582" i="2"/>
  <c r="K3578" i="2"/>
  <c r="G3578" i="2"/>
  <c r="K3574" i="2"/>
  <c r="G3574" i="2"/>
  <c r="G5439" i="2"/>
  <c r="G3566" i="2"/>
  <c r="G3562" i="2"/>
  <c r="K3562" i="2"/>
  <c r="K3558" i="2"/>
  <c r="G3558" i="2"/>
  <c r="J3554" i="2"/>
  <c r="G3554" i="2"/>
  <c r="K3550" i="2"/>
  <c r="G3550" i="2"/>
  <c r="K3546" i="2"/>
  <c r="G3546" i="2"/>
  <c r="K3542" i="2"/>
  <c r="G3542" i="2"/>
  <c r="G3996" i="2"/>
  <c r="K3534" i="2"/>
  <c r="G3534" i="2"/>
  <c r="K3530" i="2"/>
  <c r="G3530" i="2"/>
  <c r="J3526" i="2"/>
  <c r="G3526" i="2"/>
  <c r="G3522" i="2"/>
  <c r="G3518" i="2"/>
  <c r="K3518" i="2"/>
  <c r="J3514" i="2"/>
  <c r="G3514" i="2"/>
  <c r="K3510" i="2"/>
  <c r="G3510" i="2"/>
  <c r="G3506" i="2"/>
  <c r="K3506" i="2"/>
  <c r="K3502" i="2"/>
  <c r="G3502" i="2"/>
  <c r="G3498" i="2"/>
  <c r="K3498" i="2"/>
  <c r="J3494" i="2"/>
  <c r="G3494" i="2"/>
  <c r="G1438" i="2"/>
  <c r="G3486" i="2"/>
  <c r="K3486" i="2"/>
  <c r="G3482" i="2"/>
  <c r="K3478" i="2"/>
  <c r="G3478" i="2"/>
  <c r="G3474" i="2"/>
  <c r="K3474" i="2"/>
  <c r="G3470" i="2"/>
  <c r="G3466" i="2"/>
  <c r="K3466" i="2"/>
  <c r="K3462" i="2"/>
  <c r="G3462" i="2"/>
  <c r="K3458" i="2"/>
  <c r="G3458" i="2"/>
  <c r="G6059" i="2"/>
  <c r="J6059" i="2"/>
  <c r="K3450" i="2"/>
  <c r="G3450" i="2"/>
  <c r="K3446" i="2"/>
  <c r="G3446" i="2"/>
  <c r="K3442" i="2"/>
  <c r="G3442" i="2"/>
  <c r="G3438" i="2"/>
  <c r="G3434" i="2"/>
  <c r="K3430" i="2"/>
  <c r="G3430" i="2"/>
  <c r="J3426" i="2"/>
  <c r="G3426" i="2"/>
  <c r="G90" i="2"/>
  <c r="J5662" i="2"/>
  <c r="G5662" i="2"/>
  <c r="K3414" i="2"/>
  <c r="G3414" i="2"/>
  <c r="K3410" i="2"/>
  <c r="G3410" i="2"/>
  <c r="J3406" i="2"/>
  <c r="G3406" i="2"/>
  <c r="G3402" i="2"/>
  <c r="K3402" i="2"/>
  <c r="K3398" i="2"/>
  <c r="G3398" i="2"/>
  <c r="J3394" i="2"/>
  <c r="G3394" i="2"/>
  <c r="G3390" i="2"/>
  <c r="K3390" i="2"/>
  <c r="K3386" i="2"/>
  <c r="G3386" i="2"/>
  <c r="K3382" i="2"/>
  <c r="G3382" i="2"/>
  <c r="K3378" i="2"/>
  <c r="G3378" i="2"/>
  <c r="K3374" i="2"/>
  <c r="G3374" i="2"/>
  <c r="G3370" i="2"/>
  <c r="J3366" i="2"/>
  <c r="G3366" i="2"/>
  <c r="J5038" i="2"/>
  <c r="G5038" i="2"/>
  <c r="G6916" i="2"/>
  <c r="J3354" i="2"/>
  <c r="G3354" i="2"/>
  <c r="J3350" i="2"/>
  <c r="G3350" i="2"/>
  <c r="K3346" i="2"/>
  <c r="G3346" i="2"/>
  <c r="J3342" i="2"/>
  <c r="G3342" i="2"/>
  <c r="G3338" i="2"/>
  <c r="K3338" i="2"/>
  <c r="J3334" i="2"/>
  <c r="G3334" i="2"/>
  <c r="K3330" i="2"/>
  <c r="G3330" i="2"/>
  <c r="G3326" i="2"/>
  <c r="K3326" i="2"/>
  <c r="J3322" i="2"/>
  <c r="G3322" i="2"/>
  <c r="K3318" i="2"/>
  <c r="G3318" i="2"/>
  <c r="K3314" i="2"/>
  <c r="G3314" i="2"/>
  <c r="K3310" i="2"/>
  <c r="G3310" i="2"/>
  <c r="G3306" i="2"/>
  <c r="G3715" i="2"/>
  <c r="G2248" i="2"/>
  <c r="G3294" i="2"/>
  <c r="J3294" i="2"/>
  <c r="G3290" i="2"/>
  <c r="G3286" i="2"/>
  <c r="J3282" i="2"/>
  <c r="G3282" i="2"/>
  <c r="K3278" i="2"/>
  <c r="G3278" i="2"/>
  <c r="G1674" i="2"/>
  <c r="J3270" i="2"/>
  <c r="G3270" i="2"/>
  <c r="J3266" i="2"/>
  <c r="G3266" i="2"/>
  <c r="J6639" i="2"/>
  <c r="G6639" i="2"/>
  <c r="G4940" i="2"/>
  <c r="J3254" i="2"/>
  <c r="G3254" i="2"/>
  <c r="G6915" i="2"/>
  <c r="J3246" i="2"/>
  <c r="G3246" i="2"/>
  <c r="J397" i="2"/>
  <c r="G397" i="2"/>
  <c r="G3238" i="2"/>
  <c r="K3234" i="2"/>
  <c r="G3234" i="2"/>
  <c r="G2840" i="2"/>
  <c r="J3226" i="2"/>
  <c r="G3226" i="2"/>
  <c r="J3222" i="2"/>
  <c r="G3222" i="2"/>
  <c r="G3218" i="2"/>
  <c r="K3218" i="2"/>
  <c r="K3214" i="2"/>
  <c r="G3214" i="2"/>
  <c r="K3210" i="2"/>
  <c r="G3210" i="2"/>
  <c r="G3206" i="2"/>
  <c r="K3206" i="2"/>
  <c r="J1104" i="2"/>
  <c r="G1104" i="2"/>
  <c r="K3198" i="2"/>
  <c r="G3198" i="2"/>
  <c r="J3194" i="2"/>
  <c r="G3194" i="2"/>
  <c r="K3190" i="2"/>
  <c r="G3190" i="2"/>
  <c r="G3186" i="2"/>
  <c r="K3186" i="2"/>
  <c r="J3182" i="2"/>
  <c r="G3182" i="2"/>
  <c r="J3178" i="2"/>
  <c r="G3178" i="2"/>
  <c r="G4204" i="2"/>
  <c r="J6490" i="2"/>
  <c r="G6490" i="2"/>
  <c r="J1430" i="2"/>
  <c r="G1430" i="2"/>
  <c r="J3162" i="2"/>
  <c r="G3162" i="2"/>
  <c r="J3158" i="2"/>
  <c r="G3158" i="2"/>
  <c r="G299" i="2"/>
  <c r="J3150" i="2"/>
  <c r="G3150" i="2"/>
  <c r="J5546" i="2"/>
  <c r="G5546" i="2"/>
  <c r="G3142" i="2"/>
  <c r="K3142" i="2"/>
  <c r="J3138" i="2"/>
  <c r="G3138" i="2"/>
  <c r="G4296" i="2"/>
  <c r="J3130" i="2"/>
  <c r="G3130" i="2"/>
  <c r="J3126" i="2"/>
  <c r="G3126" i="2"/>
  <c r="G3122" i="2"/>
  <c r="G3118" i="2"/>
  <c r="J5786" i="2"/>
  <c r="G5786" i="2"/>
  <c r="G3110" i="2"/>
  <c r="K3106" i="2"/>
  <c r="G3106" i="2"/>
  <c r="K3102" i="2"/>
  <c r="G3102" i="2"/>
  <c r="J3098" i="2"/>
  <c r="G3098" i="2"/>
  <c r="G3094" i="2"/>
  <c r="G3090" i="2"/>
  <c r="K3090" i="2"/>
  <c r="J3086" i="2"/>
  <c r="G3086" i="2"/>
  <c r="K3082" i="2"/>
  <c r="G3082" i="2"/>
  <c r="G3078" i="2"/>
  <c r="K3078" i="2"/>
  <c r="K3074" i="2"/>
  <c r="G3074" i="2"/>
  <c r="K3070" i="2"/>
  <c r="G3070" i="2"/>
  <c r="K3066" i="2"/>
  <c r="G3066" i="2"/>
  <c r="K3062" i="2"/>
  <c r="G3062" i="2"/>
  <c r="G3058" i="2"/>
  <c r="K3058" i="2"/>
  <c r="G3054" i="2"/>
  <c r="G3050" i="2"/>
  <c r="G4593" i="2"/>
  <c r="J4593" i="2"/>
  <c r="G5570" i="2"/>
  <c r="G3038" i="2"/>
  <c r="K3034" i="2"/>
  <c r="G3034" i="2"/>
  <c r="K3030" i="2"/>
  <c r="G3030" i="2"/>
  <c r="G3026" i="2"/>
  <c r="J3022" i="2"/>
  <c r="G3022" i="2"/>
  <c r="G3018" i="2"/>
  <c r="K3018" i="2"/>
  <c r="G3728" i="2"/>
  <c r="J3728" i="2"/>
  <c r="J3010" i="2"/>
  <c r="G3010" i="2"/>
  <c r="G3006" i="2"/>
  <c r="K3006" i="2"/>
  <c r="J3002" i="2"/>
  <c r="G3002" i="2"/>
  <c r="J3955" i="2"/>
  <c r="G3955" i="2"/>
  <c r="G1901" i="2"/>
  <c r="J1064" i="2"/>
  <c r="G1064" i="2"/>
  <c r="G2986" i="2"/>
  <c r="J2986" i="2"/>
  <c r="G5545" i="2"/>
  <c r="G2978" i="2"/>
  <c r="G2974" i="2"/>
  <c r="J2909" i="2"/>
  <c r="G2909" i="2"/>
  <c r="K2966" i="2"/>
  <c r="G2966" i="2"/>
  <c r="G2962" i="2"/>
  <c r="J2958" i="2"/>
  <c r="G2958" i="2"/>
  <c r="G2954" i="2"/>
  <c r="G2950" i="2"/>
  <c r="K2946" i="2"/>
  <c r="G2946" i="2"/>
  <c r="G2942" i="2"/>
  <c r="K2942" i="2"/>
  <c r="J2938" i="2"/>
  <c r="G2938" i="2"/>
  <c r="G2762" i="2"/>
  <c r="G2930" i="2"/>
  <c r="K2930" i="2"/>
  <c r="J2926" i="2"/>
  <c r="G2926" i="2"/>
  <c r="G2922" i="2"/>
  <c r="K2922" i="2"/>
  <c r="K2918" i="2"/>
  <c r="G2918" i="2"/>
  <c r="K2914" i="2"/>
  <c r="G2914" i="2"/>
  <c r="G673" i="2"/>
  <c r="G1233" i="2"/>
  <c r="J5428" i="2"/>
  <c r="G5428" i="2"/>
  <c r="G2898" i="2"/>
  <c r="J2894" i="2"/>
  <c r="G2894" i="2"/>
  <c r="G2890" i="2"/>
  <c r="J2886" i="2"/>
  <c r="G2886" i="2"/>
  <c r="K2882" i="2"/>
  <c r="G2882" i="2"/>
  <c r="G2878" i="2"/>
  <c r="K2878" i="2"/>
  <c r="J4826" i="2"/>
  <c r="G4826" i="2"/>
  <c r="J2870" i="2"/>
  <c r="G2870" i="2"/>
  <c r="G2866" i="2"/>
  <c r="K2866" i="2"/>
  <c r="K2862" i="2"/>
  <c r="G2862" i="2"/>
  <c r="G2858" i="2"/>
  <c r="G2854" i="2"/>
  <c r="G3682" i="2"/>
  <c r="G2846" i="2"/>
  <c r="K2846" i="2"/>
  <c r="K2842" i="2"/>
  <c r="G2842" i="2"/>
  <c r="J4661" i="2"/>
  <c r="G4661" i="2"/>
  <c r="G4049" i="2"/>
  <c r="G2830" i="2"/>
  <c r="G3754" i="2"/>
  <c r="G1076" i="2"/>
  <c r="J1076" i="2"/>
  <c r="J2818" i="2"/>
  <c r="G2818" i="2"/>
  <c r="G2814" i="2"/>
  <c r="K2814" i="2"/>
  <c r="G3043" i="2"/>
  <c r="J2806" i="2"/>
  <c r="G2806" i="2"/>
  <c r="G4372" i="2"/>
  <c r="G2798" i="2"/>
  <c r="G2794" i="2"/>
  <c r="J2794" i="2"/>
  <c r="G5634" i="2"/>
  <c r="G2786" i="2"/>
  <c r="K2786" i="2"/>
  <c r="K2782" i="2"/>
  <c r="G2782" i="2"/>
  <c r="G2778" i="2"/>
  <c r="G2774" i="2"/>
  <c r="J1454" i="2"/>
  <c r="G1454" i="2"/>
  <c r="G2766" i="2"/>
  <c r="K2766" i="2"/>
  <c r="G2619" i="2"/>
  <c r="G2758" i="2"/>
  <c r="K2758" i="2"/>
  <c r="G5795" i="2"/>
  <c r="G2750" i="2"/>
  <c r="G2746" i="2"/>
  <c r="J2746" i="2"/>
  <c r="J5960" i="2"/>
  <c r="G5960" i="2"/>
  <c r="G5585" i="2"/>
  <c r="J6694" i="2"/>
  <c r="G6694" i="2"/>
  <c r="K2730" i="2"/>
  <c r="G2730" i="2"/>
  <c r="J2726" i="2"/>
  <c r="G2726" i="2"/>
  <c r="J2722" i="2"/>
  <c r="G2722" i="2"/>
  <c r="J4571" i="2"/>
  <c r="G4571" i="2"/>
  <c r="J2714" i="2"/>
  <c r="G2714" i="2"/>
  <c r="J2710" i="2"/>
  <c r="G2710" i="2"/>
  <c r="J2706" i="2"/>
  <c r="G2706" i="2"/>
  <c r="J2702" i="2"/>
  <c r="G2702" i="2"/>
  <c r="G4118" i="2"/>
  <c r="J766" i="2"/>
  <c r="G766" i="2"/>
  <c r="J5997" i="2"/>
  <c r="G5997" i="2"/>
  <c r="K2686" i="2"/>
  <c r="G2686" i="2"/>
  <c r="K2682" i="2"/>
  <c r="G2682" i="2"/>
  <c r="J7152" i="2"/>
  <c r="G7152" i="2"/>
  <c r="G5621" i="2"/>
  <c r="K2670" i="2"/>
  <c r="G2670" i="2"/>
  <c r="J2666" i="2"/>
  <c r="G2666" i="2"/>
  <c r="J2662" i="2"/>
  <c r="G2662" i="2"/>
  <c r="J2658" i="2"/>
  <c r="G2658" i="2"/>
  <c r="G2654" i="2"/>
  <c r="K2650" i="2"/>
  <c r="G2650" i="2"/>
  <c r="K2646" i="2"/>
  <c r="G2646" i="2"/>
  <c r="K2642" i="2"/>
  <c r="G2642" i="2"/>
  <c r="G2638" i="2"/>
  <c r="K2638" i="2"/>
  <c r="K2634" i="2"/>
  <c r="G2634" i="2"/>
  <c r="K2630" i="2"/>
  <c r="G2630" i="2"/>
  <c r="G2626" i="2"/>
  <c r="K2626" i="2"/>
  <c r="K2622" i="2"/>
  <c r="G2622" i="2"/>
  <c r="J2618" i="2"/>
  <c r="G2618" i="2"/>
  <c r="J6077" i="2"/>
  <c r="G6077" i="2"/>
  <c r="J6912" i="2"/>
  <c r="G6912" i="2"/>
  <c r="J2606" i="2"/>
  <c r="G2606" i="2"/>
  <c r="G2602" i="2"/>
  <c r="K2602" i="2"/>
  <c r="K2598" i="2"/>
  <c r="G2598" i="2"/>
  <c r="K2594" i="2"/>
  <c r="G2594" i="2"/>
  <c r="G2590" i="2"/>
  <c r="K2590" i="2"/>
  <c r="G2586" i="2"/>
  <c r="G2582" i="2"/>
  <c r="G2578" i="2"/>
  <c r="J2574" i="2"/>
  <c r="G2574" i="2"/>
  <c r="G2570" i="2"/>
  <c r="G2566" i="2"/>
  <c r="K2562" i="2"/>
  <c r="G2562" i="2"/>
  <c r="J2558" i="2"/>
  <c r="G2558" i="2"/>
  <c r="G2554" i="2"/>
  <c r="K2554" i="2"/>
  <c r="K2550" i="2"/>
  <c r="G2550" i="2"/>
  <c r="K2546" i="2"/>
  <c r="G2546" i="2"/>
  <c r="J2542" i="2"/>
  <c r="G2542" i="2"/>
  <c r="K2538" i="2"/>
  <c r="G2538" i="2"/>
  <c r="G2534" i="2"/>
  <c r="K2534" i="2"/>
  <c r="J5861" i="2"/>
  <c r="G5861" i="2"/>
  <c r="K2526" i="2"/>
  <c r="G2526" i="2"/>
  <c r="K2522" i="2"/>
  <c r="G2522" i="2"/>
  <c r="G2518" i="2"/>
  <c r="J2514" i="2"/>
  <c r="G2514" i="2"/>
  <c r="K2510" i="2"/>
  <c r="G2510" i="2"/>
  <c r="K2506" i="2"/>
  <c r="G2506" i="2"/>
  <c r="K2502" i="2"/>
  <c r="G2502" i="2"/>
  <c r="J2498" i="2"/>
  <c r="G2498" i="2"/>
  <c r="J2494" i="2"/>
  <c r="G2494" i="2"/>
  <c r="G4284" i="2"/>
  <c r="K2486" i="2"/>
  <c r="G2486" i="2"/>
  <c r="G4616" i="2"/>
  <c r="K2478" i="2"/>
  <c r="G2478" i="2"/>
  <c r="J820" i="2"/>
  <c r="G820" i="2"/>
  <c r="J2470" i="2"/>
  <c r="G2470" i="2"/>
  <c r="K2466" i="2"/>
  <c r="G2466" i="2"/>
  <c r="G364" i="2"/>
  <c r="G2458" i="2"/>
  <c r="G2454" i="2"/>
  <c r="J2450" i="2"/>
  <c r="G2450" i="2"/>
  <c r="K2446" i="2"/>
  <c r="G2446" i="2"/>
  <c r="G2442" i="2"/>
  <c r="K2438" i="2"/>
  <c r="G2438" i="2"/>
  <c r="K2434" i="2"/>
  <c r="G2434" i="2"/>
  <c r="K2430" i="2"/>
  <c r="G2430" i="2"/>
  <c r="K2426" i="2"/>
  <c r="G2426" i="2"/>
  <c r="G2717" i="2"/>
  <c r="J3605" i="2"/>
  <c r="G3605" i="2"/>
  <c r="J75" i="2"/>
  <c r="G75" i="2"/>
  <c r="G2410" i="2"/>
  <c r="K2410" i="2"/>
  <c r="K2406" i="2"/>
  <c r="G2406" i="2"/>
  <c r="G2402" i="2"/>
  <c r="J5841" i="2"/>
  <c r="G5841" i="2"/>
  <c r="K2394" i="2"/>
  <c r="G2394" i="2"/>
  <c r="G2390" i="2"/>
  <c r="J2390" i="2"/>
  <c r="J6579" i="2"/>
  <c r="G6579" i="2"/>
  <c r="G2811" i="2"/>
  <c r="G2378" i="2"/>
  <c r="G2374" i="2"/>
  <c r="K2370" i="2"/>
  <c r="G2370" i="2"/>
  <c r="J2366" i="2"/>
  <c r="G2366" i="2"/>
  <c r="J74" i="2"/>
  <c r="G74" i="2"/>
  <c r="G2358" i="2"/>
  <c r="K2354" i="2"/>
  <c r="G2354" i="2"/>
  <c r="J2350" i="2"/>
  <c r="G2350" i="2"/>
  <c r="G2346" i="2"/>
  <c r="K2346" i="2"/>
  <c r="K2342" i="2"/>
  <c r="G2342" i="2"/>
  <c r="K2338" i="2"/>
  <c r="G2338" i="2"/>
  <c r="J2334" i="2"/>
  <c r="G2334" i="2"/>
  <c r="J2330" i="2"/>
  <c r="G2330" i="2"/>
  <c r="G2326" i="2"/>
  <c r="K2326" i="2"/>
  <c r="K2322" i="2"/>
  <c r="G2322" i="2"/>
  <c r="G663" i="2"/>
  <c r="G2314" i="2"/>
  <c r="K2314" i="2"/>
  <c r="J2310" i="2"/>
  <c r="G2310" i="2"/>
  <c r="J4847" i="2"/>
  <c r="G4847" i="2"/>
  <c r="J3603" i="2"/>
  <c r="G3603" i="2"/>
  <c r="J1177" i="2"/>
  <c r="G1177" i="2"/>
  <c r="G5650" i="2"/>
  <c r="K2290" i="2"/>
  <c r="G2290" i="2"/>
  <c r="J6241" i="2"/>
  <c r="G6241" i="2"/>
  <c r="G6391" i="2"/>
  <c r="J6391" i="2"/>
  <c r="K2278" i="2"/>
  <c r="G2278" i="2"/>
  <c r="J4400" i="2"/>
  <c r="G4400" i="2"/>
  <c r="J4570" i="2"/>
  <c r="G4570" i="2"/>
  <c r="J2266" i="2"/>
  <c r="G2266" i="2"/>
  <c r="G1045" i="2"/>
  <c r="J1045" i="2"/>
  <c r="J2258" i="2"/>
  <c r="G2258" i="2"/>
  <c r="J2254" i="2"/>
  <c r="G2254" i="2"/>
  <c r="G4752" i="2"/>
  <c r="K2246" i="2"/>
  <c r="G2246" i="2"/>
  <c r="K2242" i="2"/>
  <c r="G2242" i="2"/>
  <c r="J5117" i="2"/>
  <c r="G5117" i="2"/>
  <c r="J2234" i="2"/>
  <c r="G2234" i="2"/>
  <c r="G2230" i="2"/>
  <c r="K2230" i="2"/>
  <c r="K2226" i="2"/>
  <c r="G2226" i="2"/>
  <c r="J2222" i="2"/>
  <c r="G2222" i="2"/>
  <c r="J2218" i="2"/>
  <c r="G2218" i="2"/>
  <c r="K2214" i="2"/>
  <c r="G2214" i="2"/>
  <c r="K2210" i="2"/>
  <c r="G2210" i="2"/>
  <c r="G2206" i="2"/>
  <c r="K2206" i="2"/>
  <c r="J2405" i="2"/>
  <c r="G2405" i="2"/>
  <c r="J2198" i="2"/>
  <c r="G2198" i="2"/>
  <c r="G2194" i="2"/>
  <c r="K2190" i="2"/>
  <c r="G2190" i="2"/>
  <c r="J2186" i="2"/>
  <c r="G2186" i="2"/>
  <c r="G2182" i="2"/>
  <c r="K2182" i="2"/>
  <c r="K2178" i="2"/>
  <c r="G2178" i="2"/>
  <c r="G6663" i="2"/>
  <c r="K2170" i="2"/>
  <c r="G2170" i="2"/>
  <c r="K2166" i="2"/>
  <c r="G2166" i="2"/>
  <c r="G6063" i="2"/>
  <c r="G2158" i="2"/>
  <c r="K2158" i="2"/>
  <c r="J3329" i="2"/>
  <c r="G3329" i="2"/>
  <c r="G2150" i="2"/>
  <c r="G1283" i="2"/>
  <c r="J2142" i="2"/>
  <c r="G2142" i="2"/>
  <c r="G1948" i="2"/>
  <c r="J2134" i="2"/>
  <c r="G2134" i="2"/>
  <c r="J819" i="2"/>
  <c r="G819" i="2"/>
  <c r="G6711" i="2"/>
  <c r="K2122" i="2"/>
  <c r="G2122" i="2"/>
  <c r="G1537" i="2"/>
  <c r="G2114" i="2"/>
  <c r="K2110" i="2"/>
  <c r="G2110" i="2"/>
  <c r="G4682" i="2"/>
  <c r="J4682" i="2"/>
  <c r="G4929" i="2"/>
  <c r="G2098" i="2"/>
  <c r="G2094" i="2"/>
  <c r="J2090" i="2"/>
  <c r="G2090" i="2"/>
  <c r="J5951" i="2"/>
  <c r="G5951" i="2"/>
  <c r="K2082" i="2"/>
  <c r="G2082" i="2"/>
  <c r="J2078" i="2"/>
  <c r="G2078" i="2"/>
  <c r="G2074" i="2"/>
  <c r="G4650" i="2"/>
  <c r="J2066" i="2"/>
  <c r="G2066" i="2"/>
  <c r="G2062" i="2"/>
  <c r="K2062" i="2"/>
  <c r="K2058" i="2"/>
  <c r="G2058" i="2"/>
  <c r="K2054" i="2"/>
  <c r="G2054" i="2"/>
  <c r="K2050" i="2"/>
  <c r="G2050" i="2"/>
  <c r="G2046" i="2"/>
  <c r="J2042" i="2"/>
  <c r="G2042" i="2"/>
  <c r="K2038" i="2"/>
  <c r="G2038" i="2"/>
  <c r="J4947" i="2"/>
  <c r="G4947" i="2"/>
  <c r="G2030" i="2"/>
  <c r="K2030" i="2"/>
  <c r="J2026" i="2"/>
  <c r="G2026" i="2"/>
  <c r="K2022" i="2"/>
  <c r="G2022" i="2"/>
  <c r="J2018" i="2"/>
  <c r="G2018" i="2"/>
  <c r="J2014" i="2"/>
  <c r="G2014" i="2"/>
  <c r="K2010" i="2"/>
  <c r="G2010" i="2"/>
  <c r="G2006" i="2"/>
  <c r="K2006" i="2"/>
  <c r="K2002" i="2"/>
  <c r="G2002" i="2"/>
  <c r="K1998" i="2"/>
  <c r="G1998" i="2"/>
  <c r="K1994" i="2"/>
  <c r="G1994" i="2"/>
  <c r="G1990" i="2"/>
  <c r="K1990" i="2"/>
  <c r="J1986" i="2"/>
  <c r="G1986" i="2"/>
  <c r="J5516" i="2"/>
  <c r="G5516" i="2"/>
  <c r="G3858" i="2"/>
  <c r="G1974" i="2"/>
  <c r="G3570" i="2"/>
  <c r="J1966" i="2"/>
  <c r="G1966" i="2"/>
  <c r="K1962" i="2"/>
  <c r="G1962" i="2"/>
  <c r="G4109" i="2"/>
  <c r="K1954" i="2"/>
  <c r="G1954" i="2"/>
  <c r="G3726" i="2"/>
  <c r="K1946" i="2"/>
  <c r="G1946" i="2"/>
  <c r="G1942" i="2"/>
  <c r="K1942" i="2"/>
  <c r="J2127" i="2"/>
  <c r="G2127" i="2"/>
  <c r="K1934" i="2"/>
  <c r="G1934" i="2"/>
  <c r="J5703" i="2"/>
  <c r="G5703" i="2"/>
  <c r="G1421" i="2"/>
  <c r="K1922" i="2"/>
  <c r="G1922" i="2"/>
  <c r="J1918" i="2"/>
  <c r="G1918" i="2"/>
  <c r="G2785" i="2"/>
  <c r="G4767" i="2"/>
  <c r="J1906" i="2"/>
  <c r="G1906" i="2"/>
  <c r="J1044" i="2"/>
  <c r="G1044" i="2"/>
  <c r="J1898" i="2"/>
  <c r="G1898" i="2"/>
  <c r="G1894" i="2"/>
  <c r="J1890" i="2"/>
  <c r="G1890" i="2"/>
  <c r="J1886" i="2"/>
  <c r="G1886" i="2"/>
  <c r="J1882" i="2"/>
  <c r="G1882" i="2"/>
  <c r="G2972" i="2"/>
  <c r="K1874" i="2"/>
  <c r="G1874" i="2"/>
  <c r="K1870" i="2"/>
  <c r="G1870" i="2"/>
  <c r="G1866" i="2"/>
  <c r="J1862" i="2"/>
  <c r="G1862" i="2"/>
  <c r="J1858" i="2"/>
  <c r="G1858" i="2"/>
  <c r="J1854" i="2"/>
  <c r="G1854" i="2"/>
  <c r="G47" i="2"/>
  <c r="K1846" i="2"/>
  <c r="G1846" i="2"/>
  <c r="J1842" i="2"/>
  <c r="G1842" i="2"/>
  <c r="K1838" i="2"/>
  <c r="G1838" i="2"/>
  <c r="J1939" i="2"/>
  <c r="G1939" i="2"/>
  <c r="K1830" i="2"/>
  <c r="G1830" i="2"/>
  <c r="K1826" i="2"/>
  <c r="G1826" i="2"/>
  <c r="J1822" i="2"/>
  <c r="G1822" i="2"/>
  <c r="J1818" i="2"/>
  <c r="G1818" i="2"/>
  <c r="K1814" i="2"/>
  <c r="G1814" i="2"/>
  <c r="J1810" i="2"/>
  <c r="G1810" i="2"/>
  <c r="J1806" i="2"/>
  <c r="G1806" i="2"/>
  <c r="K1802" i="2"/>
  <c r="G1802" i="2"/>
  <c r="K1798" i="2"/>
  <c r="G1798" i="2"/>
  <c r="J1794" i="2"/>
  <c r="G1794" i="2"/>
  <c r="G1790" i="2"/>
  <c r="K1790" i="2"/>
  <c r="J1786" i="2"/>
  <c r="G1786" i="2"/>
  <c r="G1782" i="2"/>
  <c r="K1782" i="2"/>
  <c r="K1778" i="2"/>
  <c r="G1778" i="2"/>
  <c r="G1774" i="2"/>
  <c r="K1774" i="2"/>
  <c r="K1770" i="2"/>
  <c r="G1770" i="2"/>
  <c r="G1766" i="2"/>
  <c r="K1766" i="2"/>
  <c r="K1762" i="2"/>
  <c r="G1762" i="2"/>
  <c r="G1758" i="2"/>
  <c r="K1758" i="2"/>
  <c r="J1754" i="2"/>
  <c r="G1754" i="2"/>
  <c r="G1750" i="2"/>
  <c r="K1750" i="2"/>
  <c r="J1746" i="2"/>
  <c r="G1746" i="2"/>
  <c r="G1742" i="2"/>
  <c r="J1738" i="2"/>
  <c r="G1738" i="2"/>
  <c r="G1734" i="2"/>
  <c r="K1734" i="2"/>
  <c r="K1730" i="2"/>
  <c r="G1730" i="2"/>
  <c r="G6055" i="2"/>
  <c r="J1722" i="2"/>
  <c r="G1722" i="2"/>
  <c r="G1718" i="2"/>
  <c r="K1718" i="2"/>
  <c r="J1714" i="2"/>
  <c r="G1714" i="2"/>
  <c r="G1710" i="2"/>
  <c r="J1706" i="2"/>
  <c r="G1706" i="2"/>
  <c r="G1702" i="2"/>
  <c r="K1702" i="2"/>
  <c r="K1698" i="2"/>
  <c r="G1698" i="2"/>
  <c r="G1694" i="2"/>
  <c r="K1694" i="2"/>
  <c r="K1690" i="2"/>
  <c r="G1690" i="2"/>
  <c r="G46" i="2"/>
  <c r="J1682" i="2"/>
  <c r="G1682" i="2"/>
  <c r="G5808" i="2"/>
  <c r="J5808" i="2"/>
  <c r="G3171" i="2"/>
  <c r="G1670" i="2"/>
  <c r="K1670" i="2"/>
  <c r="G5141" i="2"/>
  <c r="G1662" i="2"/>
  <c r="K1658" i="2"/>
  <c r="G1658" i="2"/>
  <c r="G1654" i="2"/>
  <c r="K1650" i="2"/>
  <c r="G1650" i="2"/>
  <c r="G1646" i="2"/>
  <c r="K1646" i="2"/>
  <c r="K1642" i="2"/>
  <c r="G1642" i="2"/>
  <c r="G1638" i="2"/>
  <c r="K1634" i="2"/>
  <c r="G1634" i="2"/>
  <c r="G1630" i="2"/>
  <c r="K1630" i="2"/>
  <c r="J1626" i="2"/>
  <c r="G1626" i="2"/>
  <c r="G2701" i="2"/>
  <c r="J2701" i="2"/>
  <c r="K1618" i="2"/>
  <c r="G1618" i="2"/>
  <c r="G1614" i="2"/>
  <c r="K1614" i="2"/>
  <c r="J1610" i="2"/>
  <c r="G1610" i="2"/>
  <c r="G385" i="2"/>
  <c r="J1602" i="2"/>
  <c r="G1602" i="2"/>
  <c r="G1598" i="2"/>
  <c r="K1598" i="2"/>
  <c r="J1594" i="2"/>
  <c r="G1594" i="2"/>
  <c r="G1590" i="2"/>
  <c r="K1590" i="2"/>
  <c r="J1586" i="2"/>
  <c r="G1586" i="2"/>
  <c r="G1582" i="2"/>
  <c r="K1582" i="2"/>
  <c r="K1578" i="2"/>
  <c r="G1578" i="2"/>
  <c r="K1574" i="2"/>
  <c r="G1574" i="2"/>
  <c r="J1570" i="2"/>
  <c r="G1570" i="2"/>
  <c r="K1566" i="2"/>
  <c r="G1566" i="2"/>
  <c r="K1562" i="2"/>
  <c r="G1562" i="2"/>
  <c r="K1558" i="2"/>
  <c r="G1558" i="2"/>
  <c r="K1554" i="2"/>
  <c r="G1554" i="2"/>
  <c r="J1550" i="2"/>
  <c r="G1550" i="2"/>
  <c r="G1546" i="2"/>
  <c r="G3539" i="2"/>
  <c r="J1538" i="2"/>
  <c r="G1538" i="2"/>
  <c r="G1912" i="2"/>
  <c r="G5614" i="2"/>
  <c r="G4283" i="2"/>
  <c r="J864" i="2"/>
  <c r="G864" i="2"/>
  <c r="K1518" i="2"/>
  <c r="G1518" i="2"/>
  <c r="J1514" i="2"/>
  <c r="G1514" i="2"/>
  <c r="K1510" i="2"/>
  <c r="G1510" i="2"/>
  <c r="G1506" i="2"/>
  <c r="G3870" i="2"/>
  <c r="K1498" i="2"/>
  <c r="G1498" i="2"/>
  <c r="G1938" i="2"/>
  <c r="J679" i="2"/>
  <c r="G679" i="2"/>
  <c r="K1486" i="2"/>
  <c r="G1486" i="2"/>
  <c r="K1482" i="2"/>
  <c r="G1482" i="2"/>
  <c r="K1478" i="2"/>
  <c r="G1478" i="2"/>
  <c r="K1474" i="2"/>
  <c r="G1474" i="2"/>
  <c r="K1470" i="2"/>
  <c r="G1470" i="2"/>
  <c r="K1466" i="2"/>
  <c r="G1466" i="2"/>
  <c r="K1462" i="2"/>
  <c r="G1462" i="2"/>
  <c r="K1458" i="2"/>
  <c r="G1458" i="2"/>
  <c r="G1914" i="2"/>
  <c r="K1450" i="2"/>
  <c r="G1450" i="2"/>
  <c r="G199" i="2"/>
  <c r="G2102" i="2"/>
  <c r="J5140" i="2"/>
  <c r="G5140" i="2"/>
  <c r="J1434" i="2"/>
  <c r="G1434" i="2"/>
  <c r="G1397" i="2"/>
  <c r="G1426" i="2"/>
  <c r="K1422" i="2"/>
  <c r="G1422" i="2"/>
  <c r="G4281" i="2"/>
  <c r="J1449" i="2"/>
  <c r="G1449" i="2"/>
  <c r="J1410" i="2"/>
  <c r="G1410" i="2"/>
  <c r="G6873" i="2"/>
  <c r="G1402" i="2"/>
  <c r="J1398" i="2"/>
  <c r="G1398" i="2"/>
  <c r="G2391" i="2"/>
  <c r="J6763" i="2"/>
  <c r="G6763" i="2"/>
  <c r="J1386" i="2"/>
  <c r="G1386" i="2"/>
  <c r="K1382" i="2"/>
  <c r="G1382" i="2"/>
  <c r="G1534" i="2"/>
  <c r="G446" i="2"/>
  <c r="G2852" i="2"/>
  <c r="K1366" i="2"/>
  <c r="G1366" i="2"/>
  <c r="J4094" i="2"/>
  <c r="G4094" i="2"/>
  <c r="J1358" i="2"/>
  <c r="G1358" i="2"/>
  <c r="J1354" i="2"/>
  <c r="G1354" i="2"/>
  <c r="K1350" i="2"/>
  <c r="G1350" i="2"/>
  <c r="K1346" i="2"/>
  <c r="G1346" i="2"/>
  <c r="G5712" i="2"/>
  <c r="J1338" i="2"/>
  <c r="G1338" i="2"/>
  <c r="K1334" i="2"/>
  <c r="G1334" i="2"/>
  <c r="K1330" i="2"/>
  <c r="G1330" i="2"/>
  <c r="K1326" i="2"/>
  <c r="G1326" i="2"/>
  <c r="K1322" i="2"/>
  <c r="G1322" i="2"/>
  <c r="G1318" i="2"/>
  <c r="K1314" i="2"/>
  <c r="G1314" i="2"/>
  <c r="K1310" i="2"/>
  <c r="G1310" i="2"/>
  <c r="K1306" i="2"/>
  <c r="G1306" i="2"/>
  <c r="G1302" i="2"/>
  <c r="J3888" i="2"/>
  <c r="G3888" i="2"/>
  <c r="J1294" i="2"/>
  <c r="G1294" i="2"/>
  <c r="G1073" i="2"/>
  <c r="G1927" i="2"/>
  <c r="K1282" i="2"/>
  <c r="G1282" i="2"/>
  <c r="K1278" i="2"/>
  <c r="G1278" i="2"/>
  <c r="K1274" i="2"/>
  <c r="G1274" i="2"/>
  <c r="G5628" i="2"/>
  <c r="K1266" i="2"/>
  <c r="G1266" i="2"/>
  <c r="J1262" i="2"/>
  <c r="G1262" i="2"/>
  <c r="J2148" i="2"/>
  <c r="G2148" i="2"/>
  <c r="G4039" i="2"/>
  <c r="J1250" i="2"/>
  <c r="G1250" i="2"/>
  <c r="G6155" i="2"/>
  <c r="G1242" i="2"/>
  <c r="J1238" i="2"/>
  <c r="G1238" i="2"/>
  <c r="J1234" i="2"/>
  <c r="G1234" i="2"/>
  <c r="G1230" i="2"/>
  <c r="G677" i="2"/>
  <c r="G5932" i="2"/>
  <c r="J1218" i="2"/>
  <c r="G1218" i="2"/>
  <c r="K1214" i="2"/>
  <c r="G1214" i="2"/>
  <c r="J1210" i="2"/>
  <c r="G1210" i="2"/>
  <c r="J1206" i="2"/>
  <c r="G1206" i="2"/>
  <c r="J1202" i="2"/>
  <c r="G1202" i="2"/>
  <c r="J1198" i="2"/>
  <c r="G1198" i="2"/>
  <c r="K1194" i="2"/>
  <c r="G1194" i="2"/>
  <c r="K1190" i="2"/>
  <c r="G1190" i="2"/>
  <c r="J4410" i="2"/>
  <c r="G4410" i="2"/>
  <c r="K1182" i="2"/>
  <c r="G1182" i="2"/>
  <c r="K1178" i="2"/>
  <c r="G1178" i="2"/>
  <c r="K1174" i="2"/>
  <c r="G1174" i="2"/>
  <c r="J1170" i="2"/>
  <c r="G1170" i="2"/>
  <c r="K1166" i="2"/>
  <c r="G1166" i="2"/>
  <c r="J1162" i="2"/>
  <c r="G1162" i="2"/>
  <c r="J1158" i="2"/>
  <c r="G1158" i="2"/>
  <c r="K1154" i="2"/>
  <c r="G1154" i="2"/>
  <c r="K1150" i="2"/>
  <c r="G1150" i="2"/>
  <c r="J1146" i="2"/>
  <c r="G1146" i="2"/>
  <c r="J1142" i="2"/>
  <c r="G1142" i="2"/>
  <c r="K1138" i="2"/>
  <c r="G1138" i="2"/>
  <c r="K1134" i="2"/>
  <c r="G1134" i="2"/>
  <c r="K1130" i="2"/>
  <c r="G1130" i="2"/>
  <c r="K1126" i="2"/>
  <c r="G1126" i="2"/>
  <c r="K1122" i="2"/>
  <c r="G1122" i="2"/>
  <c r="G2796" i="2"/>
  <c r="G1114" i="2"/>
  <c r="J1110" i="2"/>
  <c r="G1110" i="2"/>
  <c r="K1106" i="2"/>
  <c r="G1106" i="2"/>
  <c r="G4636" i="2"/>
  <c r="J415" i="2"/>
  <c r="G415" i="2"/>
  <c r="G6095" i="2"/>
  <c r="G1090" i="2"/>
  <c r="G1086" i="2"/>
  <c r="K1086" i="2"/>
  <c r="G5901" i="2"/>
  <c r="J1078" i="2"/>
  <c r="G1078" i="2"/>
  <c r="G4980" i="2"/>
  <c r="G1070" i="2"/>
  <c r="K1070" i="2"/>
  <c r="G1066" i="2"/>
  <c r="G1062" i="2"/>
  <c r="J5831" i="2"/>
  <c r="G5831" i="2"/>
  <c r="G747" i="2"/>
  <c r="G6078" i="2"/>
  <c r="J1185" i="2"/>
  <c r="G1185" i="2"/>
  <c r="J1042" i="2"/>
  <c r="G1042" i="2"/>
  <c r="G1038" i="2"/>
  <c r="G1034" i="2"/>
  <c r="K1030" i="2"/>
  <c r="G1030" i="2"/>
  <c r="G963" i="2"/>
  <c r="G6186" i="2"/>
  <c r="J6186" i="2"/>
  <c r="G4091" i="2"/>
  <c r="G5543" i="2"/>
  <c r="K1010" i="2"/>
  <c r="G1010" i="2"/>
  <c r="G1006" i="2"/>
  <c r="J1002" i="2"/>
  <c r="G1002" i="2"/>
  <c r="K998" i="2"/>
  <c r="G998" i="2"/>
  <c r="J994" i="2"/>
  <c r="G994" i="2"/>
  <c r="G990" i="2"/>
  <c r="J986" i="2"/>
  <c r="G986" i="2"/>
  <c r="G982" i="2"/>
  <c r="J978" i="2"/>
  <c r="G978" i="2"/>
  <c r="J974" i="2"/>
  <c r="G974" i="2"/>
  <c r="K970" i="2"/>
  <c r="G970" i="2"/>
  <c r="J5174" i="2"/>
  <c r="G5174" i="2"/>
  <c r="K962" i="2"/>
  <c r="G962" i="2"/>
  <c r="K958" i="2"/>
  <c r="G958" i="2"/>
  <c r="J954" i="2"/>
  <c r="G954" i="2"/>
  <c r="J950" i="2"/>
  <c r="G950" i="2"/>
  <c r="K946" i="2"/>
  <c r="G946" i="2"/>
  <c r="K942" i="2"/>
  <c r="G942" i="2"/>
  <c r="G5620" i="2"/>
  <c r="K934" i="2"/>
  <c r="G934" i="2"/>
  <c r="G930" i="2"/>
  <c r="K926" i="2"/>
  <c r="G926" i="2"/>
  <c r="G922" i="2"/>
  <c r="K918" i="2"/>
  <c r="G918" i="2"/>
  <c r="J914" i="2"/>
  <c r="G914" i="2"/>
  <c r="G910" i="2"/>
  <c r="K906" i="2"/>
  <c r="G906" i="2"/>
  <c r="K902" i="2"/>
  <c r="G902" i="2"/>
  <c r="K898" i="2"/>
  <c r="G898" i="2"/>
  <c r="G894" i="2"/>
  <c r="K894" i="2"/>
  <c r="K890" i="2"/>
  <c r="G890" i="2"/>
  <c r="K886" i="2"/>
  <c r="G886" i="2"/>
  <c r="K882" i="2"/>
  <c r="G882" i="2"/>
  <c r="G43" i="2"/>
  <c r="J43" i="2"/>
  <c r="K874" i="2"/>
  <c r="G874" i="2"/>
  <c r="K870" i="2"/>
  <c r="G870" i="2"/>
  <c r="K866" i="2"/>
  <c r="G866" i="2"/>
  <c r="G862" i="2"/>
  <c r="K858" i="2"/>
  <c r="G858" i="2"/>
  <c r="K854" i="2"/>
  <c r="G854" i="2"/>
  <c r="J850" i="2"/>
  <c r="G850" i="2"/>
  <c r="G39" i="2"/>
  <c r="K842" i="2"/>
  <c r="G842" i="2"/>
  <c r="K838" i="2"/>
  <c r="G838" i="2"/>
  <c r="K834" i="2"/>
  <c r="G834" i="2"/>
  <c r="G830" i="2"/>
  <c r="K830" i="2"/>
  <c r="G826" i="2"/>
  <c r="K826" i="2"/>
  <c r="K822" i="2"/>
  <c r="G822" i="2"/>
  <c r="K818" i="2"/>
  <c r="G818" i="2"/>
  <c r="G814" i="2"/>
  <c r="K814" i="2"/>
  <c r="K810" i="2"/>
  <c r="G810" i="2"/>
  <c r="J806" i="2"/>
  <c r="G806" i="2"/>
  <c r="G6835" i="2"/>
  <c r="J798" i="2"/>
  <c r="G798" i="2"/>
  <c r="K794" i="2"/>
  <c r="G794" i="2"/>
  <c r="J790" i="2"/>
  <c r="G790" i="2"/>
  <c r="K786" i="2"/>
  <c r="G786" i="2"/>
  <c r="G6746" i="2"/>
  <c r="K778" i="2"/>
  <c r="G778" i="2"/>
  <c r="K774" i="2"/>
  <c r="G774" i="2"/>
  <c r="K770" i="2"/>
  <c r="G770" i="2"/>
  <c r="G3200" i="2"/>
  <c r="K762" i="2"/>
  <c r="G762" i="2"/>
  <c r="G700" i="2"/>
  <c r="J754" i="2"/>
  <c r="G754" i="2"/>
  <c r="G750" i="2"/>
  <c r="G746" i="2"/>
  <c r="J742" i="2"/>
  <c r="G742" i="2"/>
  <c r="G2286" i="2"/>
  <c r="J4089" i="2"/>
  <c r="G4089" i="2"/>
  <c r="G4086" i="2"/>
  <c r="G726" i="2"/>
  <c r="K726" i="2"/>
  <c r="J722" i="2"/>
  <c r="G722" i="2"/>
  <c r="G718" i="2"/>
  <c r="K714" i="2"/>
  <c r="G714" i="2"/>
  <c r="K710" i="2"/>
  <c r="G710" i="2"/>
  <c r="K706" i="2"/>
  <c r="G706" i="2"/>
  <c r="K702" i="2"/>
  <c r="G702" i="2"/>
  <c r="K698" i="2"/>
  <c r="G698" i="2"/>
  <c r="G1982" i="2"/>
  <c r="J6668" i="2"/>
  <c r="G6668" i="2"/>
  <c r="J686" i="2"/>
  <c r="G686" i="2"/>
  <c r="K682" i="2"/>
  <c r="G682" i="2"/>
  <c r="K678" i="2"/>
  <c r="G678" i="2"/>
  <c r="J3691" i="2"/>
  <c r="G3691" i="2"/>
  <c r="K670" i="2"/>
  <c r="G670" i="2"/>
  <c r="J666" i="2"/>
  <c r="G666" i="2"/>
  <c r="J662" i="2"/>
  <c r="G662" i="2"/>
  <c r="J658" i="2"/>
  <c r="G658" i="2"/>
  <c r="G654" i="2"/>
  <c r="J3919" i="2"/>
  <c r="G3919" i="2"/>
  <c r="J646" i="2"/>
  <c r="G646" i="2"/>
  <c r="G642" i="2"/>
  <c r="K642" i="2"/>
  <c r="J638" i="2"/>
  <c r="G638" i="2"/>
  <c r="K634" i="2"/>
  <c r="G634" i="2"/>
  <c r="J630" i="2"/>
  <c r="G630" i="2"/>
  <c r="J626" i="2"/>
  <c r="G626" i="2"/>
  <c r="K622" i="2"/>
  <c r="G622" i="2"/>
  <c r="J618" i="2"/>
  <c r="G618" i="2"/>
  <c r="J5347" i="2"/>
  <c r="G5347" i="2"/>
  <c r="K610" i="2"/>
  <c r="G610" i="2"/>
  <c r="J606" i="2"/>
  <c r="G606" i="2"/>
  <c r="K602" i="2"/>
  <c r="G602" i="2"/>
  <c r="K598" i="2"/>
  <c r="G598" i="2"/>
  <c r="K594" i="2"/>
  <c r="G594" i="2"/>
  <c r="K590" i="2"/>
  <c r="G590" i="2"/>
  <c r="J586" i="2"/>
  <c r="G586" i="2"/>
  <c r="J1908" i="2"/>
  <c r="G1908" i="2"/>
  <c r="J5562" i="2"/>
  <c r="G5562" i="2"/>
  <c r="K574" i="2"/>
  <c r="G574" i="2"/>
  <c r="J3749" i="2"/>
  <c r="G3749" i="2"/>
  <c r="J566" i="2"/>
  <c r="G566" i="2"/>
  <c r="J562" i="2"/>
  <c r="G562" i="2"/>
  <c r="J3448" i="2"/>
  <c r="G3448" i="2"/>
  <c r="J554" i="2"/>
  <c r="G554" i="2"/>
  <c r="K550" i="2"/>
  <c r="G550" i="2"/>
  <c r="K546" i="2"/>
  <c r="G546" i="2"/>
  <c r="J542" i="2"/>
  <c r="G542" i="2"/>
  <c r="G538" i="2"/>
  <c r="K534" i="2"/>
  <c r="G534" i="2"/>
  <c r="J530" i="2"/>
  <c r="G530" i="2"/>
  <c r="K526" i="2"/>
  <c r="G526" i="2"/>
  <c r="J522" i="2"/>
  <c r="G522" i="2"/>
  <c r="K518" i="2"/>
  <c r="G518" i="2"/>
  <c r="K514" i="2"/>
  <c r="G514" i="2"/>
  <c r="J510" i="2"/>
  <c r="G510" i="2"/>
  <c r="G4496" i="2"/>
  <c r="J502" i="2"/>
  <c r="G502" i="2"/>
  <c r="K498" i="2"/>
  <c r="G498" i="2"/>
  <c r="K494" i="2"/>
  <c r="G494" i="2"/>
  <c r="G490" i="2"/>
  <c r="K490" i="2"/>
  <c r="J486" i="2"/>
  <c r="G486" i="2"/>
  <c r="K482" i="2"/>
  <c r="G482" i="2"/>
  <c r="J478" i="2"/>
  <c r="G478" i="2"/>
  <c r="K474" i="2"/>
  <c r="G474" i="2"/>
  <c r="K470" i="2"/>
  <c r="G470" i="2"/>
  <c r="K466" i="2"/>
  <c r="G466" i="2"/>
  <c r="G462" i="2"/>
  <c r="K458" i="2"/>
  <c r="G458" i="2"/>
  <c r="J4779" i="2"/>
  <c r="G4779" i="2"/>
  <c r="G450" i="2"/>
  <c r="G6704" i="2"/>
  <c r="K442" i="2"/>
  <c r="G442" i="2"/>
  <c r="G5555" i="2"/>
  <c r="J434" i="2"/>
  <c r="G434" i="2"/>
  <c r="J2217" i="2"/>
  <c r="G2217" i="2"/>
  <c r="K426" i="2"/>
  <c r="G426" i="2"/>
  <c r="G1222" i="2"/>
  <c r="G1804" i="2"/>
  <c r="G414" i="2"/>
  <c r="J6706" i="2"/>
  <c r="G6706" i="2"/>
  <c r="J406" i="2"/>
  <c r="G406" i="2"/>
  <c r="K402" i="2"/>
  <c r="G402" i="2"/>
  <c r="J398" i="2"/>
  <c r="G398" i="2"/>
  <c r="G2970" i="2"/>
  <c r="G390" i="2"/>
  <c r="J386" i="2"/>
  <c r="G386" i="2"/>
  <c r="G5784" i="2"/>
  <c r="J378" i="2"/>
  <c r="G378" i="2"/>
  <c r="G374" i="2"/>
  <c r="G370" i="2"/>
  <c r="G1444" i="2"/>
  <c r="J2838" i="2"/>
  <c r="G2838" i="2"/>
  <c r="K358" i="2"/>
  <c r="G358" i="2"/>
  <c r="J354" i="2"/>
  <c r="G354" i="2"/>
  <c r="G2697" i="2"/>
  <c r="J346" i="2"/>
  <c r="G346" i="2"/>
  <c r="J342" i="2"/>
  <c r="G342" i="2"/>
  <c r="J338" i="2"/>
  <c r="G338" i="2"/>
  <c r="K334" i="2"/>
  <c r="G334" i="2"/>
  <c r="G1930" i="2"/>
  <c r="K326" i="2"/>
  <c r="G326" i="2"/>
  <c r="G322" i="2"/>
  <c r="K322" i="2"/>
  <c r="K318" i="2"/>
  <c r="G318" i="2"/>
  <c r="K314" i="2"/>
  <c r="G314" i="2"/>
  <c r="J310" i="2"/>
  <c r="G310" i="2"/>
  <c r="K306" i="2"/>
  <c r="G306" i="2"/>
  <c r="J302" i="2"/>
  <c r="G302" i="2"/>
  <c r="G4902" i="2"/>
  <c r="J558" i="2"/>
  <c r="G558" i="2"/>
  <c r="K290" i="2"/>
  <c r="G290" i="2"/>
  <c r="J7285" i="2"/>
  <c r="G7285" i="2"/>
  <c r="K282" i="2"/>
  <c r="G282" i="2"/>
  <c r="G278" i="2"/>
  <c r="K278" i="2"/>
  <c r="K274" i="2"/>
  <c r="G274" i="2"/>
  <c r="K270" i="2"/>
  <c r="G270" i="2"/>
  <c r="K266" i="2"/>
  <c r="G266" i="2"/>
  <c r="K262" i="2"/>
  <c r="G262" i="2"/>
  <c r="J258" i="2"/>
  <c r="G258" i="2"/>
  <c r="G254" i="2"/>
  <c r="K250" i="2"/>
  <c r="G250" i="2"/>
  <c r="J3051" i="2"/>
  <c r="G3051" i="2"/>
  <c r="K242" i="2"/>
  <c r="G242" i="2"/>
  <c r="J5823" i="2"/>
  <c r="G5823" i="2"/>
  <c r="J523" i="2"/>
  <c r="G523" i="2"/>
  <c r="G230" i="2"/>
  <c r="J226" i="2"/>
  <c r="G226" i="2"/>
  <c r="K222" i="2"/>
  <c r="G222" i="2"/>
  <c r="K218" i="2"/>
  <c r="G218" i="2"/>
  <c r="J214" i="2"/>
  <c r="G214" i="2"/>
  <c r="J3328" i="2"/>
  <c r="G3328" i="2"/>
  <c r="K206" i="2"/>
  <c r="G206" i="2"/>
  <c r="J3920" i="2"/>
  <c r="G3920" i="2"/>
  <c r="K198" i="2"/>
  <c r="G198" i="2"/>
  <c r="K194" i="2"/>
  <c r="G194" i="2"/>
  <c r="G5805" i="2"/>
  <c r="K186" i="2"/>
  <c r="G186" i="2"/>
  <c r="J182" i="2"/>
  <c r="G182" i="2"/>
  <c r="K178" i="2"/>
  <c r="G178" i="2"/>
  <c r="J2318" i="2"/>
  <c r="G2318" i="2"/>
  <c r="K170" i="2"/>
  <c r="G170" i="2"/>
  <c r="J531" i="2"/>
  <c r="G531" i="2"/>
  <c r="J162" i="2"/>
  <c r="G162" i="2"/>
  <c r="G158" i="2"/>
  <c r="G154" i="2"/>
  <c r="K154" i="2"/>
  <c r="J150" i="2"/>
  <c r="G150" i="2"/>
  <c r="J146" i="2"/>
  <c r="G146" i="2"/>
  <c r="J6906" i="2"/>
  <c r="G6906" i="2"/>
  <c r="J3036" i="2"/>
  <c r="G3036" i="2"/>
  <c r="G1226" i="2"/>
  <c r="K130" i="2"/>
  <c r="G130" i="2"/>
  <c r="J126" i="2"/>
  <c r="G126" i="2"/>
  <c r="J122" i="2"/>
  <c r="G122" i="2"/>
  <c r="J118" i="2"/>
  <c r="G118" i="2"/>
  <c r="K114" i="2"/>
  <c r="G114" i="2"/>
  <c r="J2156" i="2"/>
  <c r="G2156" i="2"/>
  <c r="J106" i="2"/>
  <c r="G106" i="2"/>
  <c r="J102" i="2"/>
  <c r="G102" i="2"/>
  <c r="J98" i="2"/>
  <c r="G98" i="2"/>
  <c r="J208" i="2"/>
  <c r="G208" i="2"/>
  <c r="J6561" i="2"/>
  <c r="G6561" i="2"/>
  <c r="K86" i="2"/>
  <c r="G86" i="2"/>
  <c r="G4210" i="2"/>
  <c r="J4665" i="2"/>
  <c r="G4665" i="2"/>
  <c r="J5605" i="2"/>
  <c r="G5605" i="2"/>
  <c r="K70" i="2"/>
  <c r="G70" i="2"/>
  <c r="K66" i="2"/>
  <c r="G66" i="2"/>
  <c r="J62" i="2"/>
  <c r="G62" i="2"/>
  <c r="G7038" i="2"/>
  <c r="K54" i="2"/>
  <c r="G54" i="2"/>
  <c r="K50" i="2"/>
  <c r="G50" i="2"/>
  <c r="J4291" i="2"/>
  <c r="G4291" i="2"/>
  <c r="J42" i="2"/>
  <c r="G42" i="2"/>
  <c r="J38" i="2"/>
  <c r="G38" i="2"/>
  <c r="K34" i="2"/>
  <c r="G34" i="2"/>
  <c r="J30" i="2"/>
  <c r="G30" i="2"/>
  <c r="K26" i="2"/>
  <c r="G26" i="2"/>
  <c r="K22" i="2"/>
  <c r="G22" i="2"/>
  <c r="K18" i="2"/>
  <c r="G18" i="2"/>
  <c r="K14" i="2"/>
  <c r="G14" i="2"/>
  <c r="J1374" i="2"/>
  <c r="G1374" i="2"/>
  <c r="K6" i="2"/>
  <c r="G6" i="2"/>
  <c r="I10000" i="2"/>
  <c r="G10000" i="2"/>
  <c r="I9996" i="2"/>
  <c r="G9996" i="2"/>
  <c r="I9992" i="2"/>
  <c r="G9992" i="2"/>
  <c r="I9988" i="2"/>
  <c r="G9988" i="2"/>
  <c r="I9984" i="2"/>
  <c r="G9984" i="2"/>
  <c r="I9980" i="2"/>
  <c r="G9980" i="2"/>
  <c r="I9976" i="2"/>
  <c r="G9976" i="2"/>
  <c r="I9972" i="2"/>
  <c r="G9972" i="2"/>
  <c r="I9968" i="2"/>
  <c r="G9968" i="2"/>
  <c r="I9964" i="2"/>
  <c r="G9964" i="2"/>
  <c r="I9960" i="2"/>
  <c r="G9960" i="2"/>
  <c r="I9956" i="2"/>
  <c r="G9956" i="2"/>
  <c r="I9952" i="2"/>
  <c r="G9952" i="2"/>
  <c r="I9948" i="2"/>
  <c r="G9948" i="2"/>
  <c r="I9944" i="2"/>
  <c r="G9944" i="2"/>
  <c r="I9940" i="2"/>
  <c r="G9940" i="2"/>
  <c r="I9936" i="2"/>
  <c r="G9936" i="2"/>
  <c r="I9932" i="2"/>
  <c r="G9932" i="2"/>
  <c r="I9928" i="2"/>
  <c r="G9928" i="2"/>
  <c r="I9924" i="2"/>
  <c r="G9924" i="2"/>
  <c r="I9920" i="2"/>
  <c r="G9920" i="2"/>
  <c r="I9916" i="2"/>
  <c r="G9916" i="2"/>
  <c r="I9912" i="2"/>
  <c r="G9912" i="2"/>
  <c r="I9908" i="2"/>
  <c r="G9908" i="2"/>
  <c r="I9904" i="2"/>
  <c r="G9904" i="2"/>
  <c r="I9900" i="2"/>
  <c r="G9900" i="2"/>
  <c r="I9896" i="2"/>
  <c r="G9896" i="2"/>
  <c r="I9892" i="2"/>
  <c r="G9892" i="2"/>
  <c r="I9888" i="2"/>
  <c r="G9888" i="2"/>
  <c r="I9884" i="2"/>
  <c r="G9884" i="2"/>
  <c r="I9880" i="2"/>
  <c r="G9880" i="2"/>
  <c r="I9876" i="2"/>
  <c r="G9876" i="2"/>
  <c r="I9872" i="2"/>
  <c r="G9872" i="2"/>
  <c r="I9868" i="2"/>
  <c r="G9868" i="2"/>
  <c r="I9864" i="2"/>
  <c r="G9864" i="2"/>
  <c r="I9860" i="2"/>
  <c r="G9860" i="2"/>
  <c r="I9856" i="2"/>
  <c r="G9856" i="2"/>
  <c r="I9852" i="2"/>
  <c r="G9852" i="2"/>
  <c r="I9848" i="2"/>
  <c r="G9848" i="2"/>
  <c r="I9844" i="2"/>
  <c r="G9844" i="2"/>
  <c r="I9840" i="2"/>
  <c r="G9840" i="2"/>
  <c r="I9836" i="2"/>
  <c r="G9836" i="2"/>
  <c r="I9832" i="2"/>
  <c r="G9832" i="2"/>
  <c r="I9828" i="2"/>
  <c r="G9828" i="2"/>
  <c r="I9824" i="2"/>
  <c r="G9824" i="2"/>
  <c r="I9820" i="2"/>
  <c r="G9820" i="2"/>
  <c r="I9816" i="2"/>
  <c r="G9816" i="2"/>
  <c r="I9812" i="2"/>
  <c r="G9812" i="2"/>
  <c r="I9808" i="2"/>
  <c r="G9808" i="2"/>
  <c r="I9804" i="2"/>
  <c r="G9804" i="2"/>
  <c r="I9800" i="2"/>
  <c r="G9800" i="2"/>
  <c r="I9796" i="2"/>
  <c r="G9796" i="2"/>
  <c r="I9792" i="2"/>
  <c r="G9792" i="2"/>
  <c r="I9788" i="2"/>
  <c r="G9788" i="2"/>
  <c r="I9784" i="2"/>
  <c r="G9784" i="2"/>
  <c r="I9780" i="2"/>
  <c r="G9780" i="2"/>
  <c r="I9776" i="2"/>
  <c r="G9776" i="2"/>
  <c r="I9772" i="2"/>
  <c r="G9772" i="2"/>
  <c r="I9768" i="2"/>
  <c r="G9768" i="2"/>
  <c r="I9764" i="2"/>
  <c r="G9764" i="2"/>
  <c r="I9760" i="2"/>
  <c r="G9760" i="2"/>
  <c r="I9756" i="2"/>
  <c r="G9756" i="2"/>
  <c r="I9752" i="2"/>
  <c r="G9752" i="2"/>
  <c r="I9748" i="2"/>
  <c r="G9748" i="2"/>
  <c r="I9744" i="2"/>
  <c r="G9744" i="2"/>
  <c r="I9740" i="2"/>
  <c r="G9740" i="2"/>
  <c r="I9736" i="2"/>
  <c r="G9736" i="2"/>
  <c r="I9732" i="2"/>
  <c r="G9732" i="2"/>
  <c r="I9728" i="2"/>
  <c r="G9728" i="2"/>
  <c r="I9724" i="2"/>
  <c r="G9724" i="2"/>
  <c r="I9720" i="2"/>
  <c r="G9720" i="2"/>
  <c r="I9716" i="2"/>
  <c r="G9716" i="2"/>
  <c r="I9712" i="2"/>
  <c r="G9712" i="2"/>
  <c r="I9708" i="2"/>
  <c r="G9708" i="2"/>
  <c r="I9704" i="2"/>
  <c r="G9704" i="2"/>
  <c r="I9700" i="2"/>
  <c r="G9700" i="2"/>
  <c r="I9696" i="2"/>
  <c r="G9696" i="2"/>
  <c r="I9692" i="2"/>
  <c r="G9692" i="2"/>
  <c r="I9688" i="2"/>
  <c r="G9688" i="2"/>
  <c r="I9684" i="2"/>
  <c r="G9684" i="2"/>
  <c r="I9680" i="2"/>
  <c r="G9680" i="2"/>
  <c r="I9676" i="2"/>
  <c r="G9676" i="2"/>
  <c r="I9672" i="2"/>
  <c r="G9672" i="2"/>
  <c r="I9668" i="2"/>
  <c r="G9668" i="2"/>
  <c r="I9664" i="2"/>
  <c r="G9664" i="2"/>
  <c r="I9660" i="2"/>
  <c r="G9660" i="2"/>
  <c r="I9656" i="2"/>
  <c r="G9656" i="2"/>
  <c r="I9652" i="2"/>
  <c r="G9652" i="2"/>
  <c r="I9648" i="2"/>
  <c r="G9648" i="2"/>
  <c r="I9644" i="2"/>
  <c r="G9644" i="2"/>
  <c r="I9640" i="2"/>
  <c r="G9640" i="2"/>
  <c r="I9636" i="2"/>
  <c r="G9636" i="2"/>
  <c r="I9632" i="2"/>
  <c r="G9632" i="2"/>
  <c r="I9628" i="2"/>
  <c r="G9628" i="2"/>
  <c r="I9624" i="2"/>
  <c r="G9624" i="2"/>
  <c r="I9620" i="2"/>
  <c r="G9620" i="2"/>
  <c r="I9616" i="2"/>
  <c r="G9616" i="2"/>
  <c r="I9612" i="2"/>
  <c r="G9612" i="2"/>
  <c r="I9608" i="2"/>
  <c r="G9608" i="2"/>
  <c r="I9604" i="2"/>
  <c r="G9604" i="2"/>
  <c r="I9600" i="2"/>
  <c r="G9600" i="2"/>
  <c r="I9596" i="2"/>
  <c r="G9596" i="2"/>
  <c r="I9592" i="2"/>
  <c r="G9592" i="2"/>
  <c r="I9588" i="2"/>
  <c r="G9588" i="2"/>
  <c r="I9584" i="2"/>
  <c r="G9584" i="2"/>
  <c r="I9580" i="2"/>
  <c r="G9580" i="2"/>
  <c r="I9576" i="2"/>
  <c r="G9576" i="2"/>
  <c r="I9572" i="2"/>
  <c r="G9572" i="2"/>
  <c r="I9568" i="2"/>
  <c r="G9568" i="2"/>
  <c r="I9564" i="2"/>
  <c r="G9564" i="2"/>
  <c r="I9560" i="2"/>
  <c r="G9560" i="2"/>
  <c r="I9556" i="2"/>
  <c r="G9556" i="2"/>
  <c r="I9552" i="2"/>
  <c r="G9552" i="2"/>
  <c r="I9548" i="2"/>
  <c r="G9548" i="2"/>
  <c r="I9544" i="2"/>
  <c r="G9544" i="2"/>
  <c r="I9540" i="2"/>
  <c r="G9540" i="2"/>
  <c r="I9536" i="2"/>
  <c r="G9536" i="2"/>
  <c r="I9532" i="2"/>
  <c r="G9532" i="2"/>
  <c r="I9528" i="2"/>
  <c r="G9528" i="2"/>
  <c r="I9524" i="2"/>
  <c r="G9524" i="2"/>
  <c r="I9520" i="2"/>
  <c r="G9520" i="2"/>
  <c r="I9516" i="2"/>
  <c r="G9516" i="2"/>
  <c r="I9512" i="2"/>
  <c r="G9512" i="2"/>
  <c r="I9508" i="2"/>
  <c r="G9508" i="2"/>
  <c r="I9504" i="2"/>
  <c r="G9504" i="2"/>
  <c r="I9500" i="2"/>
  <c r="G9500" i="2"/>
  <c r="I9496" i="2"/>
  <c r="G9496" i="2"/>
  <c r="I9492" i="2"/>
  <c r="G9492" i="2"/>
  <c r="I9488" i="2"/>
  <c r="G9488" i="2"/>
  <c r="I9484" i="2"/>
  <c r="G9484" i="2"/>
  <c r="I9480" i="2"/>
  <c r="G9480" i="2"/>
  <c r="I9476" i="2"/>
  <c r="G9476" i="2"/>
  <c r="I9472" i="2"/>
  <c r="G9472" i="2"/>
  <c r="I9468" i="2"/>
  <c r="G9468" i="2"/>
  <c r="I9464" i="2"/>
  <c r="G9464" i="2"/>
  <c r="I9460" i="2"/>
  <c r="G9460" i="2"/>
  <c r="I9456" i="2"/>
  <c r="G9456" i="2"/>
  <c r="I9452" i="2"/>
  <c r="G9452" i="2"/>
  <c r="I9448" i="2"/>
  <c r="G9448" i="2"/>
  <c r="I9444" i="2"/>
  <c r="G9444" i="2"/>
  <c r="I9440" i="2"/>
  <c r="G9440" i="2"/>
  <c r="I9436" i="2"/>
  <c r="G9436" i="2"/>
  <c r="I9432" i="2"/>
  <c r="G9432" i="2"/>
  <c r="I9428" i="2"/>
  <c r="G9428" i="2"/>
  <c r="I9424" i="2"/>
  <c r="G9424" i="2"/>
  <c r="I9420" i="2"/>
  <c r="G9420" i="2"/>
  <c r="I9416" i="2"/>
  <c r="G9416" i="2"/>
  <c r="I9412" i="2"/>
  <c r="G9412" i="2"/>
  <c r="I9408" i="2"/>
  <c r="G9408" i="2"/>
  <c r="I9404" i="2"/>
  <c r="G9404" i="2"/>
  <c r="I9400" i="2"/>
  <c r="G9400" i="2"/>
  <c r="I9396" i="2"/>
  <c r="G9396" i="2"/>
  <c r="I9392" i="2"/>
  <c r="G9392" i="2"/>
  <c r="I9388" i="2"/>
  <c r="G9388" i="2"/>
  <c r="I9384" i="2"/>
  <c r="G9384" i="2"/>
  <c r="I9380" i="2"/>
  <c r="G9380" i="2"/>
  <c r="I9376" i="2"/>
  <c r="G9376" i="2"/>
  <c r="I9372" i="2"/>
  <c r="G9372" i="2"/>
  <c r="I9368" i="2"/>
  <c r="G9368" i="2"/>
  <c r="I9364" i="2"/>
  <c r="G9364" i="2"/>
  <c r="I9360" i="2"/>
  <c r="G9360" i="2"/>
  <c r="I9356" i="2"/>
  <c r="G9356" i="2"/>
  <c r="I9352" i="2"/>
  <c r="G9352" i="2"/>
  <c r="I9348" i="2"/>
  <c r="G9348" i="2"/>
  <c r="I9344" i="2"/>
  <c r="G9344" i="2"/>
  <c r="I9340" i="2"/>
  <c r="G9340" i="2"/>
  <c r="I9336" i="2"/>
  <c r="G9336" i="2"/>
  <c r="I9332" i="2"/>
  <c r="G9332" i="2"/>
  <c r="I9328" i="2"/>
  <c r="G9328" i="2"/>
  <c r="I9324" i="2"/>
  <c r="G9324" i="2"/>
  <c r="I9320" i="2"/>
  <c r="G9320" i="2"/>
  <c r="I9316" i="2"/>
  <c r="G9316" i="2"/>
  <c r="I9312" i="2"/>
  <c r="G9312" i="2"/>
  <c r="I9308" i="2"/>
  <c r="G9308" i="2"/>
  <c r="I9304" i="2"/>
  <c r="G9304" i="2"/>
  <c r="I9300" i="2"/>
  <c r="G9300" i="2"/>
  <c r="I9296" i="2"/>
  <c r="G9296" i="2"/>
  <c r="I9292" i="2"/>
  <c r="G9292" i="2"/>
  <c r="I9288" i="2"/>
  <c r="G9288" i="2"/>
  <c r="I9284" i="2"/>
  <c r="G9284" i="2"/>
  <c r="I9280" i="2"/>
  <c r="G9280" i="2"/>
  <c r="I9276" i="2"/>
  <c r="G9276" i="2"/>
  <c r="I9272" i="2"/>
  <c r="G9272" i="2"/>
  <c r="I9268" i="2"/>
  <c r="G9268" i="2"/>
  <c r="I9264" i="2"/>
  <c r="G9264" i="2"/>
  <c r="I9260" i="2"/>
  <c r="G9260" i="2"/>
  <c r="I9256" i="2"/>
  <c r="G9256" i="2"/>
  <c r="I9252" i="2"/>
  <c r="G9252" i="2"/>
  <c r="I9248" i="2"/>
  <c r="G9248" i="2"/>
  <c r="I9244" i="2"/>
  <c r="G9244" i="2"/>
  <c r="I9240" i="2"/>
  <c r="G9240" i="2"/>
  <c r="I9236" i="2"/>
  <c r="G9236" i="2"/>
  <c r="I9232" i="2"/>
  <c r="G9232" i="2"/>
  <c r="I9228" i="2"/>
  <c r="G9228" i="2"/>
  <c r="I9224" i="2"/>
  <c r="G9224" i="2"/>
  <c r="I9220" i="2"/>
  <c r="G9220" i="2"/>
  <c r="I9216" i="2"/>
  <c r="G9216" i="2"/>
  <c r="I9212" i="2"/>
  <c r="G9212" i="2"/>
  <c r="I9208" i="2"/>
  <c r="G9208" i="2"/>
  <c r="I9204" i="2"/>
  <c r="G9204" i="2"/>
  <c r="I9200" i="2"/>
  <c r="G9200" i="2"/>
  <c r="I9196" i="2"/>
  <c r="G9196" i="2"/>
  <c r="I9192" i="2"/>
  <c r="G9192" i="2"/>
  <c r="I9188" i="2"/>
  <c r="G9188" i="2"/>
  <c r="I9184" i="2"/>
  <c r="G9184" i="2"/>
  <c r="I9180" i="2"/>
  <c r="G9180" i="2"/>
  <c r="I9176" i="2"/>
  <c r="G9176" i="2"/>
  <c r="I9172" i="2"/>
  <c r="G9172" i="2"/>
  <c r="I9168" i="2"/>
  <c r="G9168" i="2"/>
  <c r="I9164" i="2"/>
  <c r="G9164" i="2"/>
  <c r="I9160" i="2"/>
  <c r="G9160" i="2"/>
  <c r="I9156" i="2"/>
  <c r="G9156" i="2"/>
  <c r="I9152" i="2"/>
  <c r="G9152" i="2"/>
  <c r="I9148" i="2"/>
  <c r="G9148" i="2"/>
  <c r="I9144" i="2"/>
  <c r="G9144" i="2"/>
  <c r="I9140" i="2"/>
  <c r="G9140" i="2"/>
  <c r="I9136" i="2"/>
  <c r="G9136" i="2"/>
  <c r="I9132" i="2"/>
  <c r="G9132" i="2"/>
  <c r="I9128" i="2"/>
  <c r="G9128" i="2"/>
  <c r="I9124" i="2"/>
  <c r="G9124" i="2"/>
  <c r="I9120" i="2"/>
  <c r="G9120" i="2"/>
  <c r="I9116" i="2"/>
  <c r="G9116" i="2"/>
  <c r="I9112" i="2"/>
  <c r="G9112" i="2"/>
  <c r="I9108" i="2"/>
  <c r="G9108" i="2"/>
  <c r="I9104" i="2"/>
  <c r="G9104" i="2"/>
  <c r="I9100" i="2"/>
  <c r="G9100" i="2"/>
  <c r="I9096" i="2"/>
  <c r="G9096" i="2"/>
  <c r="I9092" i="2"/>
  <c r="G9092" i="2"/>
  <c r="I9088" i="2"/>
  <c r="G9088" i="2"/>
  <c r="I9084" i="2"/>
  <c r="G9084" i="2"/>
  <c r="I9080" i="2"/>
  <c r="G9080" i="2"/>
  <c r="I9076" i="2"/>
  <c r="G9076" i="2"/>
  <c r="I9072" i="2"/>
  <c r="G9072" i="2"/>
  <c r="I9068" i="2"/>
  <c r="G9068" i="2"/>
  <c r="I9064" i="2"/>
  <c r="G9064" i="2"/>
  <c r="I9060" i="2"/>
  <c r="G9060" i="2"/>
  <c r="I9056" i="2"/>
  <c r="G9056" i="2"/>
  <c r="I9052" i="2"/>
  <c r="G9052" i="2"/>
  <c r="I9048" i="2"/>
  <c r="G9048" i="2"/>
  <c r="I9044" i="2"/>
  <c r="G9044" i="2"/>
  <c r="I9040" i="2"/>
  <c r="G9040" i="2"/>
  <c r="I9036" i="2"/>
  <c r="G9036" i="2"/>
  <c r="I9032" i="2"/>
  <c r="G9032" i="2"/>
  <c r="I9028" i="2"/>
  <c r="G9028" i="2"/>
  <c r="I9024" i="2"/>
  <c r="G9024" i="2"/>
  <c r="I9020" i="2"/>
  <c r="G9020" i="2"/>
  <c r="I9016" i="2"/>
  <c r="G9016" i="2"/>
  <c r="I9012" i="2"/>
  <c r="G9012" i="2"/>
  <c r="I9008" i="2"/>
  <c r="G9008" i="2"/>
  <c r="I9004" i="2"/>
  <c r="G9004" i="2"/>
  <c r="I9000" i="2"/>
  <c r="G9000" i="2"/>
  <c r="I8996" i="2"/>
  <c r="G8996" i="2"/>
  <c r="I8992" i="2"/>
  <c r="G8992" i="2"/>
  <c r="I8988" i="2"/>
  <c r="G8988" i="2"/>
  <c r="I8984" i="2"/>
  <c r="G8984" i="2"/>
  <c r="I8980" i="2"/>
  <c r="G8980" i="2"/>
  <c r="I8976" i="2"/>
  <c r="G8976" i="2"/>
  <c r="I8972" i="2"/>
  <c r="G8972" i="2"/>
  <c r="I8968" i="2"/>
  <c r="G8968" i="2"/>
  <c r="I8964" i="2"/>
  <c r="G8964" i="2"/>
  <c r="I8960" i="2"/>
  <c r="G8960" i="2"/>
  <c r="I8956" i="2"/>
  <c r="G8956" i="2"/>
  <c r="I8952" i="2"/>
  <c r="G8952" i="2"/>
  <c r="I8948" i="2"/>
  <c r="G8948" i="2"/>
  <c r="I8944" i="2"/>
  <c r="G8944" i="2"/>
  <c r="I8940" i="2"/>
  <c r="G8940" i="2"/>
  <c r="I8936" i="2"/>
  <c r="G8936" i="2"/>
  <c r="I8932" i="2"/>
  <c r="G8932" i="2"/>
  <c r="I8928" i="2"/>
  <c r="G8928" i="2"/>
  <c r="I8924" i="2"/>
  <c r="G8924" i="2"/>
  <c r="I8920" i="2"/>
  <c r="G8920" i="2"/>
  <c r="I8916" i="2"/>
  <c r="G8916" i="2"/>
  <c r="I8912" i="2"/>
  <c r="G8912" i="2"/>
  <c r="I8908" i="2"/>
  <c r="G8908" i="2"/>
  <c r="I8904" i="2"/>
  <c r="G8904" i="2"/>
  <c r="I8900" i="2"/>
  <c r="G8900" i="2"/>
  <c r="I8896" i="2"/>
  <c r="G8896" i="2"/>
  <c r="I8892" i="2"/>
  <c r="G8892" i="2"/>
  <c r="I8888" i="2"/>
  <c r="G8888" i="2"/>
  <c r="I8884" i="2"/>
  <c r="G8884" i="2"/>
  <c r="I8880" i="2"/>
  <c r="G8880" i="2"/>
  <c r="I8876" i="2"/>
  <c r="G8876" i="2"/>
  <c r="I8872" i="2"/>
  <c r="G8872" i="2"/>
  <c r="I8868" i="2"/>
  <c r="G8868" i="2"/>
  <c r="I8864" i="2"/>
  <c r="G8864" i="2"/>
  <c r="I8860" i="2"/>
  <c r="G8860" i="2"/>
  <c r="I8856" i="2"/>
  <c r="G8856" i="2"/>
  <c r="I8852" i="2"/>
  <c r="G8852" i="2"/>
  <c r="I8848" i="2"/>
  <c r="G8848" i="2"/>
  <c r="I8844" i="2"/>
  <c r="G8844" i="2"/>
  <c r="I8840" i="2"/>
  <c r="G8840" i="2"/>
  <c r="I8836" i="2"/>
  <c r="G8836" i="2"/>
  <c r="I8832" i="2"/>
  <c r="G8832" i="2"/>
  <c r="I8828" i="2"/>
  <c r="G8828" i="2"/>
  <c r="I8824" i="2"/>
  <c r="G8824" i="2"/>
  <c r="I8820" i="2"/>
  <c r="G8820" i="2"/>
  <c r="I8816" i="2"/>
  <c r="G8816" i="2"/>
  <c r="I8812" i="2"/>
  <c r="G8812" i="2"/>
  <c r="I8808" i="2"/>
  <c r="G8808" i="2"/>
  <c r="I8804" i="2"/>
  <c r="G8804" i="2"/>
  <c r="I8800" i="2"/>
  <c r="G8800" i="2"/>
  <c r="I8796" i="2"/>
  <c r="G8796" i="2"/>
  <c r="I8792" i="2"/>
  <c r="G8792" i="2"/>
  <c r="I8788" i="2"/>
  <c r="G8788" i="2"/>
  <c r="I8784" i="2"/>
  <c r="G8784" i="2"/>
  <c r="I8780" i="2"/>
  <c r="G8780" i="2"/>
  <c r="I8776" i="2"/>
  <c r="G8776" i="2"/>
  <c r="I8772" i="2"/>
  <c r="G8772" i="2"/>
  <c r="I8768" i="2"/>
  <c r="G8768" i="2"/>
  <c r="I8764" i="2"/>
  <c r="G8764" i="2"/>
  <c r="I8760" i="2"/>
  <c r="G8760" i="2"/>
  <c r="I8756" i="2"/>
  <c r="G8756" i="2"/>
  <c r="I8752" i="2"/>
  <c r="G8752" i="2"/>
  <c r="I8748" i="2"/>
  <c r="G8748" i="2"/>
  <c r="I8744" i="2"/>
  <c r="G8744" i="2"/>
  <c r="I8740" i="2"/>
  <c r="G8740" i="2"/>
  <c r="I8736" i="2"/>
  <c r="G8736" i="2"/>
  <c r="I8732" i="2"/>
  <c r="G8732" i="2"/>
  <c r="I8728" i="2"/>
  <c r="G8728" i="2"/>
  <c r="I8724" i="2"/>
  <c r="G8724" i="2"/>
  <c r="I8720" i="2"/>
  <c r="G8720" i="2"/>
  <c r="I8716" i="2"/>
  <c r="G8716" i="2"/>
  <c r="I8712" i="2"/>
  <c r="G8712" i="2"/>
  <c r="I8708" i="2"/>
  <c r="G8708" i="2"/>
  <c r="I8704" i="2"/>
  <c r="G8704" i="2"/>
  <c r="I8700" i="2"/>
  <c r="G8700" i="2"/>
  <c r="I8696" i="2"/>
  <c r="G8696" i="2"/>
  <c r="I8692" i="2"/>
  <c r="G8692" i="2"/>
  <c r="I8688" i="2"/>
  <c r="G8688" i="2"/>
  <c r="I8684" i="2"/>
  <c r="G8684" i="2"/>
  <c r="I8680" i="2"/>
  <c r="G8680" i="2"/>
  <c r="I8676" i="2"/>
  <c r="G8676" i="2"/>
  <c r="I8672" i="2"/>
  <c r="G8672" i="2"/>
  <c r="I8668" i="2"/>
  <c r="G8668" i="2"/>
  <c r="I8664" i="2"/>
  <c r="G8664" i="2"/>
  <c r="I8660" i="2"/>
  <c r="G8660" i="2"/>
  <c r="I8656" i="2"/>
  <c r="G8656" i="2"/>
  <c r="I8652" i="2"/>
  <c r="G8652" i="2"/>
  <c r="I8648" i="2"/>
  <c r="G8648" i="2"/>
  <c r="I8644" i="2"/>
  <c r="G8644" i="2"/>
  <c r="I8640" i="2"/>
  <c r="G8640" i="2"/>
  <c r="I8636" i="2"/>
  <c r="G8636" i="2"/>
  <c r="I8632" i="2"/>
  <c r="G8632" i="2"/>
  <c r="I8628" i="2"/>
  <c r="G8628" i="2"/>
  <c r="I8624" i="2"/>
  <c r="G8624" i="2"/>
  <c r="I8620" i="2"/>
  <c r="G8620" i="2"/>
  <c r="I8616" i="2"/>
  <c r="G8616" i="2"/>
  <c r="I8612" i="2"/>
  <c r="G8612" i="2"/>
  <c r="I8608" i="2"/>
  <c r="G8608" i="2"/>
  <c r="I8604" i="2"/>
  <c r="G8604" i="2"/>
  <c r="I8600" i="2"/>
  <c r="G8600" i="2"/>
  <c r="I8596" i="2"/>
  <c r="G8596" i="2"/>
  <c r="I8592" i="2"/>
  <c r="G8592" i="2"/>
  <c r="I8588" i="2"/>
  <c r="G8588" i="2"/>
  <c r="I8584" i="2"/>
  <c r="G8584" i="2"/>
  <c r="I8580" i="2"/>
  <c r="G8580" i="2"/>
  <c r="I8576" i="2"/>
  <c r="G8576" i="2"/>
  <c r="I8572" i="2"/>
  <c r="G8572" i="2"/>
  <c r="I8568" i="2"/>
  <c r="G8568" i="2"/>
  <c r="I8564" i="2"/>
  <c r="G8564" i="2"/>
  <c r="I8560" i="2"/>
  <c r="G8560" i="2"/>
  <c r="I8556" i="2"/>
  <c r="G8556" i="2"/>
  <c r="I8552" i="2"/>
  <c r="G8552" i="2"/>
  <c r="I8548" i="2"/>
  <c r="G8548" i="2"/>
  <c r="I8544" i="2"/>
  <c r="G8544" i="2"/>
  <c r="I8540" i="2"/>
  <c r="G8540" i="2"/>
  <c r="I8536" i="2"/>
  <c r="G8536" i="2"/>
  <c r="I8532" i="2"/>
  <c r="G8532" i="2"/>
  <c r="I8528" i="2"/>
  <c r="G8528" i="2"/>
  <c r="I8524" i="2"/>
  <c r="G8524" i="2"/>
  <c r="I8520" i="2"/>
  <c r="G8520" i="2"/>
  <c r="I8516" i="2"/>
  <c r="G8516" i="2"/>
  <c r="I8512" i="2"/>
  <c r="G8512" i="2"/>
  <c r="I8508" i="2"/>
  <c r="G8508" i="2"/>
  <c r="I8504" i="2"/>
  <c r="G8504" i="2"/>
  <c r="I8500" i="2"/>
  <c r="G8500" i="2"/>
  <c r="I8496" i="2"/>
  <c r="G8496" i="2"/>
  <c r="I8492" i="2"/>
  <c r="G8492" i="2"/>
  <c r="I8488" i="2"/>
  <c r="G8488" i="2"/>
  <c r="I8484" i="2"/>
  <c r="G8484" i="2"/>
  <c r="I8480" i="2"/>
  <c r="G8480" i="2"/>
  <c r="I8476" i="2"/>
  <c r="G8476" i="2"/>
  <c r="I8472" i="2"/>
  <c r="G8472" i="2"/>
  <c r="I8468" i="2"/>
  <c r="G8468" i="2"/>
  <c r="I8464" i="2"/>
  <c r="G8464" i="2"/>
  <c r="I8460" i="2"/>
  <c r="G8460" i="2"/>
  <c r="I8456" i="2"/>
  <c r="G8456" i="2"/>
  <c r="I8452" i="2"/>
  <c r="G8452" i="2"/>
  <c r="I8448" i="2"/>
  <c r="G8448" i="2"/>
  <c r="I8444" i="2"/>
  <c r="G8444" i="2"/>
  <c r="I8440" i="2"/>
  <c r="G8440" i="2"/>
  <c r="I8436" i="2"/>
  <c r="G8436" i="2"/>
  <c r="I8432" i="2"/>
  <c r="G8432" i="2"/>
  <c r="I8428" i="2"/>
  <c r="G8428" i="2"/>
  <c r="I8424" i="2"/>
  <c r="G8424" i="2"/>
  <c r="I8420" i="2"/>
  <c r="G8420" i="2"/>
  <c r="I8416" i="2"/>
  <c r="G8416" i="2"/>
  <c r="I8412" i="2"/>
  <c r="G8412" i="2"/>
  <c r="I8408" i="2"/>
  <c r="G8408" i="2"/>
  <c r="I8404" i="2"/>
  <c r="G8404" i="2"/>
  <c r="I8400" i="2"/>
  <c r="G8400" i="2"/>
  <c r="I8396" i="2"/>
  <c r="G8396" i="2"/>
  <c r="I8392" i="2"/>
  <c r="G8392" i="2"/>
  <c r="I8388" i="2"/>
  <c r="G8388" i="2"/>
  <c r="I8384" i="2"/>
  <c r="G8384" i="2"/>
  <c r="I8380" i="2"/>
  <c r="G8380" i="2"/>
  <c r="I8376" i="2"/>
  <c r="G8376" i="2"/>
  <c r="I8372" i="2"/>
  <c r="G8372" i="2"/>
  <c r="I8368" i="2"/>
  <c r="G8368" i="2"/>
  <c r="I8364" i="2"/>
  <c r="G8364" i="2"/>
  <c r="I8360" i="2"/>
  <c r="G8360" i="2"/>
  <c r="I8356" i="2"/>
  <c r="G8356" i="2"/>
  <c r="I8352" i="2"/>
  <c r="G8352" i="2"/>
  <c r="I8348" i="2"/>
  <c r="G8348" i="2"/>
  <c r="I8344" i="2"/>
  <c r="G8344" i="2"/>
  <c r="I8340" i="2"/>
  <c r="G8340" i="2"/>
  <c r="I8336" i="2"/>
  <c r="G8336" i="2"/>
  <c r="I8332" i="2"/>
  <c r="G8332" i="2"/>
  <c r="I8328" i="2"/>
  <c r="G8328" i="2"/>
  <c r="I8324" i="2"/>
  <c r="G8324" i="2"/>
  <c r="I8320" i="2"/>
  <c r="G8320" i="2"/>
  <c r="I8316" i="2"/>
  <c r="G8316" i="2"/>
  <c r="I8312" i="2"/>
  <c r="G8312" i="2"/>
  <c r="I8308" i="2"/>
  <c r="G8308" i="2"/>
  <c r="I8304" i="2"/>
  <c r="G8304" i="2"/>
  <c r="I8300" i="2"/>
  <c r="G8300" i="2"/>
  <c r="I8296" i="2"/>
  <c r="G8296" i="2"/>
  <c r="I8292" i="2"/>
  <c r="G8292" i="2"/>
  <c r="I8288" i="2"/>
  <c r="G8288" i="2"/>
  <c r="I8284" i="2"/>
  <c r="G8284" i="2"/>
  <c r="I8280" i="2"/>
  <c r="G8280" i="2"/>
  <c r="I8276" i="2"/>
  <c r="G8276" i="2"/>
  <c r="I8272" i="2"/>
  <c r="G8272" i="2"/>
  <c r="I8268" i="2"/>
  <c r="G8268" i="2"/>
  <c r="I8264" i="2"/>
  <c r="G8264" i="2"/>
  <c r="I8260" i="2"/>
  <c r="G8260" i="2"/>
  <c r="I8256" i="2"/>
  <c r="G8256" i="2"/>
  <c r="I8252" i="2"/>
  <c r="G8252" i="2"/>
  <c r="I8248" i="2"/>
  <c r="G8248" i="2"/>
  <c r="I8244" i="2"/>
  <c r="G8244" i="2"/>
  <c r="I8240" i="2"/>
  <c r="G8240" i="2"/>
  <c r="I8236" i="2"/>
  <c r="G8236" i="2"/>
  <c r="I8232" i="2"/>
  <c r="G8232" i="2"/>
  <c r="I8228" i="2"/>
  <c r="G8228" i="2"/>
  <c r="I8224" i="2"/>
  <c r="G8224" i="2"/>
  <c r="I8220" i="2"/>
  <c r="G8220" i="2"/>
  <c r="I8216" i="2"/>
  <c r="G8216" i="2"/>
  <c r="I8212" i="2"/>
  <c r="G8212" i="2"/>
  <c r="I8208" i="2"/>
  <c r="G8208" i="2"/>
  <c r="I8204" i="2"/>
  <c r="G8204" i="2"/>
  <c r="I8200" i="2"/>
  <c r="G8200" i="2"/>
  <c r="I8196" i="2"/>
  <c r="G8196" i="2"/>
  <c r="I8192" i="2"/>
  <c r="G8192" i="2"/>
  <c r="I8188" i="2"/>
  <c r="G8188" i="2"/>
  <c r="I8184" i="2"/>
  <c r="G8184" i="2"/>
  <c r="I8180" i="2"/>
  <c r="G8180" i="2"/>
  <c r="I8176" i="2"/>
  <c r="G8176" i="2"/>
  <c r="I8172" i="2"/>
  <c r="G8172" i="2"/>
  <c r="I8168" i="2"/>
  <c r="G8168" i="2"/>
  <c r="I8164" i="2"/>
  <c r="G8164" i="2"/>
  <c r="I8160" i="2"/>
  <c r="G8160" i="2"/>
  <c r="I8156" i="2"/>
  <c r="G8156" i="2"/>
  <c r="I8152" i="2"/>
  <c r="G8152" i="2"/>
  <c r="G8148" i="2"/>
  <c r="J8148" i="2"/>
  <c r="J8144" i="2"/>
  <c r="G8144" i="2"/>
  <c r="J8140" i="2"/>
  <c r="G8140" i="2"/>
  <c r="G8136" i="2"/>
  <c r="J8136" i="2"/>
  <c r="G8132" i="2"/>
  <c r="J8132" i="2"/>
  <c r="J8128" i="2"/>
  <c r="G8128" i="2"/>
  <c r="J8124" i="2"/>
  <c r="G8124" i="2"/>
  <c r="G8120" i="2"/>
  <c r="J8120" i="2"/>
  <c r="G8116" i="2"/>
  <c r="J8116" i="2"/>
  <c r="J8112" i="2"/>
  <c r="G8112" i="2"/>
  <c r="J8108" i="2"/>
  <c r="G8108" i="2"/>
  <c r="G8104" i="2"/>
  <c r="J8104" i="2"/>
  <c r="G8100" i="2"/>
  <c r="J8100" i="2"/>
  <c r="J8096" i="2"/>
  <c r="G8096" i="2"/>
  <c r="J8092" i="2"/>
  <c r="G8092" i="2"/>
  <c r="G8088" i="2"/>
  <c r="J8088" i="2"/>
  <c r="G8084" i="2"/>
  <c r="J8084" i="2"/>
  <c r="J8080" i="2"/>
  <c r="G8080" i="2"/>
  <c r="J8076" i="2"/>
  <c r="G8076" i="2"/>
  <c r="G8072" i="2"/>
  <c r="J8072" i="2"/>
  <c r="G8068" i="2"/>
  <c r="J8068" i="2"/>
  <c r="G8064" i="2"/>
  <c r="J8064" i="2"/>
  <c r="G8060" i="2"/>
  <c r="J8060" i="2"/>
  <c r="G8056" i="2"/>
  <c r="J8056" i="2"/>
  <c r="G8052" i="2"/>
  <c r="J8052" i="2"/>
  <c r="G8048" i="2"/>
  <c r="J8048" i="2"/>
  <c r="G8044" i="2"/>
  <c r="J8044" i="2"/>
  <c r="G8040" i="2"/>
  <c r="J8040" i="2"/>
  <c r="G8036" i="2"/>
  <c r="J8036" i="2"/>
  <c r="G8032" i="2"/>
  <c r="J8032" i="2"/>
  <c r="G8028" i="2"/>
  <c r="J8028" i="2"/>
  <c r="G8024" i="2"/>
  <c r="J8024" i="2"/>
  <c r="G8020" i="2"/>
  <c r="J8020" i="2"/>
  <c r="G8016" i="2"/>
  <c r="J8016" i="2"/>
  <c r="G8012" i="2"/>
  <c r="J8012" i="2"/>
  <c r="G8008" i="2"/>
  <c r="J8008" i="2"/>
  <c r="G8004" i="2"/>
  <c r="J8004" i="2"/>
  <c r="G8000" i="2"/>
  <c r="J8000" i="2"/>
  <c r="G7996" i="2"/>
  <c r="J7996" i="2"/>
  <c r="G7992" i="2"/>
  <c r="J7992" i="2"/>
  <c r="G7988" i="2"/>
  <c r="J7988" i="2"/>
  <c r="G7984" i="2"/>
  <c r="J7984" i="2"/>
  <c r="G7980" i="2"/>
  <c r="J7980" i="2"/>
  <c r="G7976" i="2"/>
  <c r="J7976" i="2"/>
  <c r="J7972" i="2"/>
  <c r="G7972" i="2"/>
  <c r="J7968" i="2"/>
  <c r="G7968" i="2"/>
  <c r="J7964" i="2"/>
  <c r="G7964" i="2"/>
  <c r="J7960" i="2"/>
  <c r="G7960" i="2"/>
  <c r="J7956" i="2"/>
  <c r="G7956" i="2"/>
  <c r="J7952" i="2"/>
  <c r="G7952" i="2"/>
  <c r="J7948" i="2"/>
  <c r="G7948" i="2"/>
  <c r="J7944" i="2"/>
  <c r="G7944" i="2"/>
  <c r="J7940" i="2"/>
  <c r="G7940" i="2"/>
  <c r="J7936" i="2"/>
  <c r="G7936" i="2"/>
  <c r="J7932" i="2"/>
  <c r="G7932" i="2"/>
  <c r="J7928" i="2"/>
  <c r="G7928" i="2"/>
  <c r="J7924" i="2"/>
  <c r="G7924" i="2"/>
  <c r="J7920" i="2"/>
  <c r="G7920" i="2"/>
  <c r="J7916" i="2"/>
  <c r="G7916" i="2"/>
  <c r="J7912" i="2"/>
  <c r="G7912" i="2"/>
  <c r="J7908" i="2"/>
  <c r="G7908" i="2"/>
  <c r="J7904" i="2"/>
  <c r="G7904" i="2"/>
  <c r="J7900" i="2"/>
  <c r="G7900" i="2"/>
  <c r="J7896" i="2"/>
  <c r="G7896" i="2"/>
  <c r="J7892" i="2"/>
  <c r="G7892" i="2"/>
  <c r="J7888" i="2"/>
  <c r="G7888" i="2"/>
  <c r="J7884" i="2"/>
  <c r="G7884" i="2"/>
  <c r="J7880" i="2"/>
  <c r="G7880" i="2"/>
  <c r="J7876" i="2"/>
  <c r="G7876" i="2"/>
  <c r="J7872" i="2"/>
  <c r="G7872" i="2"/>
  <c r="J7868" i="2"/>
  <c r="G7868" i="2"/>
  <c r="J7864" i="2"/>
  <c r="G7864" i="2"/>
  <c r="J7860" i="2"/>
  <c r="G7860" i="2"/>
  <c r="J7856" i="2"/>
  <c r="G7856" i="2"/>
  <c r="J7852" i="2"/>
  <c r="G7852" i="2"/>
  <c r="J7848" i="2"/>
  <c r="G7848" i="2"/>
  <c r="J7844" i="2"/>
  <c r="G7844" i="2"/>
  <c r="J7840" i="2"/>
  <c r="G7840" i="2"/>
  <c r="J7836" i="2"/>
  <c r="G7836" i="2"/>
  <c r="J7832" i="2"/>
  <c r="G7832" i="2"/>
  <c r="J7828" i="2"/>
  <c r="G7828" i="2"/>
  <c r="J7824" i="2"/>
  <c r="G7824" i="2"/>
  <c r="J7820" i="2"/>
  <c r="G7820" i="2"/>
  <c r="J7816" i="2"/>
  <c r="G7816" i="2"/>
  <c r="J7812" i="2"/>
  <c r="G7812" i="2"/>
  <c r="J7808" i="2"/>
  <c r="G7808" i="2"/>
  <c r="J7804" i="2"/>
  <c r="G7804" i="2"/>
  <c r="J7800" i="2"/>
  <c r="G7800" i="2"/>
  <c r="J7796" i="2"/>
  <c r="G7796" i="2"/>
  <c r="J7792" i="2"/>
  <c r="G7792" i="2"/>
  <c r="J7788" i="2"/>
  <c r="G7788" i="2"/>
  <c r="J7784" i="2"/>
  <c r="G7784" i="2"/>
  <c r="J7780" i="2"/>
  <c r="G7780" i="2"/>
  <c r="J7776" i="2"/>
  <c r="G7776" i="2"/>
  <c r="J7772" i="2"/>
  <c r="G7772" i="2"/>
  <c r="J7768" i="2"/>
  <c r="G7768" i="2"/>
  <c r="J7764" i="2"/>
  <c r="G7764" i="2"/>
  <c r="J7760" i="2"/>
  <c r="G7760" i="2"/>
  <c r="J7756" i="2"/>
  <c r="G7756" i="2"/>
  <c r="J7752" i="2"/>
  <c r="G7752" i="2"/>
  <c r="J7748" i="2"/>
  <c r="G7748" i="2"/>
  <c r="J7744" i="2"/>
  <c r="G7744" i="2"/>
  <c r="J7740" i="2"/>
  <c r="G7740" i="2"/>
  <c r="J7736" i="2"/>
  <c r="G7736" i="2"/>
  <c r="J7732" i="2"/>
  <c r="G7732" i="2"/>
  <c r="G7728" i="2"/>
  <c r="J7728" i="2"/>
  <c r="J7724" i="2"/>
  <c r="G7724" i="2"/>
  <c r="G7720" i="2"/>
  <c r="J7720" i="2"/>
  <c r="J7716" i="2"/>
  <c r="G7716" i="2"/>
  <c r="G7712" i="2"/>
  <c r="J7712" i="2"/>
  <c r="G7708" i="2"/>
  <c r="J7708" i="2"/>
  <c r="G7704" i="2"/>
  <c r="J7704" i="2"/>
  <c r="G7700" i="2"/>
  <c r="J7700" i="2"/>
  <c r="G7696" i="2"/>
  <c r="J7696" i="2"/>
  <c r="J7692" i="2"/>
  <c r="G7692" i="2"/>
  <c r="J7688" i="2"/>
  <c r="G7688" i="2"/>
  <c r="G7684" i="2"/>
  <c r="J7684" i="2"/>
  <c r="G7680" i="2"/>
  <c r="J7680" i="2"/>
  <c r="J7676" i="2"/>
  <c r="G7676" i="2"/>
  <c r="J7672" i="2"/>
  <c r="G7672" i="2"/>
  <c r="G7668" i="2"/>
  <c r="J7668" i="2"/>
  <c r="G7664" i="2"/>
  <c r="J7664" i="2"/>
  <c r="J7660" i="2"/>
  <c r="G7660" i="2"/>
  <c r="J7656" i="2"/>
  <c r="G7656" i="2"/>
  <c r="G7652" i="2"/>
  <c r="J7652" i="2"/>
  <c r="G7648" i="2"/>
  <c r="J7648" i="2"/>
  <c r="J7644" i="2"/>
  <c r="G7644" i="2"/>
  <c r="J7640" i="2"/>
  <c r="G7640" i="2"/>
  <c r="G7636" i="2"/>
  <c r="J7636" i="2"/>
  <c r="J7632" i="2"/>
  <c r="G7632" i="2"/>
  <c r="G7628" i="2"/>
  <c r="J7628" i="2"/>
  <c r="J7624" i="2"/>
  <c r="G7624" i="2"/>
  <c r="G7620" i="2"/>
  <c r="J7620" i="2"/>
  <c r="J7616" i="2"/>
  <c r="G7616" i="2"/>
  <c r="G7612" i="2"/>
  <c r="J7612" i="2"/>
  <c r="J7608" i="2"/>
  <c r="G7608" i="2"/>
  <c r="G7604" i="2"/>
  <c r="J7604" i="2"/>
  <c r="J7600" i="2"/>
  <c r="G7600" i="2"/>
  <c r="G7596" i="2"/>
  <c r="J7596" i="2"/>
  <c r="J7592" i="2"/>
  <c r="G7592" i="2"/>
  <c r="J7588" i="2"/>
  <c r="G7588" i="2"/>
  <c r="J7584" i="2"/>
  <c r="G7584" i="2"/>
  <c r="J7580" i="2"/>
  <c r="G7580" i="2"/>
  <c r="J7576" i="2"/>
  <c r="G7576" i="2"/>
  <c r="J7572" i="2"/>
  <c r="G7572" i="2"/>
  <c r="J7568" i="2"/>
  <c r="G7568" i="2"/>
  <c r="J7564" i="2"/>
  <c r="G7564" i="2"/>
  <c r="J7560" i="2"/>
  <c r="G7560" i="2"/>
  <c r="J7556" i="2"/>
  <c r="G7556" i="2"/>
  <c r="J7552" i="2"/>
  <c r="G7552" i="2"/>
  <c r="J7548" i="2"/>
  <c r="G7548" i="2"/>
  <c r="J7544" i="2"/>
  <c r="G7544" i="2"/>
  <c r="J7540" i="2"/>
  <c r="G7540" i="2"/>
  <c r="J7536" i="2"/>
  <c r="G7536" i="2"/>
  <c r="J7532" i="2"/>
  <c r="G7532" i="2"/>
  <c r="J7528" i="2"/>
  <c r="G7528" i="2"/>
  <c r="J7524" i="2"/>
  <c r="G7524" i="2"/>
  <c r="J7520" i="2"/>
  <c r="G7520" i="2"/>
  <c r="J7516" i="2"/>
  <c r="G7516" i="2"/>
  <c r="J7512" i="2"/>
  <c r="G7512" i="2"/>
  <c r="J7508" i="2"/>
  <c r="G7508" i="2"/>
  <c r="J7504" i="2"/>
  <c r="G7504" i="2"/>
  <c r="J7500" i="2"/>
  <c r="G7500" i="2"/>
  <c r="J7496" i="2"/>
  <c r="G7496" i="2"/>
  <c r="J7492" i="2"/>
  <c r="G7492" i="2"/>
  <c r="J7488" i="2"/>
  <c r="G7488" i="2"/>
  <c r="J7484" i="2"/>
  <c r="G7484" i="2"/>
  <c r="J7480" i="2"/>
  <c r="G7480" i="2"/>
  <c r="J7476" i="2"/>
  <c r="G7476" i="2"/>
  <c r="J7472" i="2"/>
  <c r="G7472" i="2"/>
  <c r="J7468" i="2"/>
  <c r="G7468" i="2"/>
  <c r="J7464" i="2"/>
  <c r="G7464" i="2"/>
  <c r="J7460" i="2"/>
  <c r="G7460" i="2"/>
  <c r="J7456" i="2"/>
  <c r="G7456" i="2"/>
  <c r="J7452" i="2"/>
  <c r="G7452" i="2"/>
  <c r="J7448" i="2"/>
  <c r="G7448" i="2"/>
  <c r="J7444" i="2"/>
  <c r="G7444" i="2"/>
  <c r="J7440" i="2"/>
  <c r="G7440" i="2"/>
  <c r="J7436" i="2"/>
  <c r="G7436" i="2"/>
  <c r="J7432" i="2"/>
  <c r="G7432" i="2"/>
  <c r="J7428" i="2"/>
  <c r="G7428" i="2"/>
  <c r="J7424" i="2"/>
  <c r="G7424" i="2"/>
  <c r="J7420" i="2"/>
  <c r="G7420" i="2"/>
  <c r="J7416" i="2"/>
  <c r="G7416" i="2"/>
  <c r="J7412" i="2"/>
  <c r="G7412" i="2"/>
  <c r="J7408" i="2"/>
  <c r="G7408" i="2"/>
  <c r="J7404" i="2"/>
  <c r="G7404" i="2"/>
  <c r="J7400" i="2"/>
  <c r="G7400" i="2"/>
  <c r="J7396" i="2"/>
  <c r="G7396" i="2"/>
  <c r="J7392" i="2"/>
  <c r="G7392" i="2"/>
  <c r="J7388" i="2"/>
  <c r="G7388" i="2"/>
  <c r="J7384" i="2"/>
  <c r="G7384" i="2"/>
  <c r="J7380" i="2"/>
  <c r="G7380" i="2"/>
  <c r="J7376" i="2"/>
  <c r="G7376" i="2"/>
  <c r="J7372" i="2"/>
  <c r="G7372" i="2"/>
  <c r="J7368" i="2"/>
  <c r="G7368" i="2"/>
  <c r="J7364" i="2"/>
  <c r="G7364" i="2"/>
  <c r="J7360" i="2"/>
  <c r="G7360" i="2"/>
  <c r="J7356" i="2"/>
  <c r="G7356" i="2"/>
  <c r="J7352" i="2"/>
  <c r="G7352" i="2"/>
  <c r="J7348" i="2"/>
  <c r="G7348" i="2"/>
  <c r="J7344" i="2"/>
  <c r="G7344" i="2"/>
  <c r="J7340" i="2"/>
  <c r="G7340" i="2"/>
  <c r="J7336" i="2"/>
  <c r="G7336" i="2"/>
  <c r="J7332" i="2"/>
  <c r="G7332" i="2"/>
  <c r="J7328" i="2"/>
  <c r="G7328" i="2"/>
  <c r="J7324" i="2"/>
  <c r="G7324" i="2"/>
  <c r="J7320" i="2"/>
  <c r="G7320" i="2"/>
  <c r="J7316" i="2"/>
  <c r="G7316" i="2"/>
  <c r="J7312" i="2"/>
  <c r="G7312" i="2"/>
  <c r="J7308" i="2"/>
  <c r="G7308" i="2"/>
  <c r="J7304" i="2"/>
  <c r="G7304" i="2"/>
  <c r="J7300" i="2"/>
  <c r="G7300" i="2"/>
  <c r="J7296" i="2"/>
  <c r="G7296" i="2"/>
  <c r="J7292" i="2"/>
  <c r="G7292" i="2"/>
  <c r="Q7289" i="2"/>
  <c r="M7289" i="2"/>
  <c r="Q613" i="2"/>
  <c r="M613" i="2"/>
  <c r="M7281" i="2"/>
  <c r="M7277" i="2"/>
  <c r="Q7273" i="2"/>
  <c r="M7273" i="2"/>
  <c r="M7269" i="2"/>
  <c r="M7265" i="2"/>
  <c r="M7261" i="2"/>
  <c r="Q7257" i="2"/>
  <c r="M7257" i="2"/>
  <c r="Q7253" i="2"/>
  <c r="M7253" i="2"/>
  <c r="Q7249" i="2"/>
  <c r="M7249" i="2"/>
  <c r="M7245" i="2"/>
  <c r="M7241" i="2"/>
  <c r="M7237" i="2"/>
  <c r="Q7233" i="2"/>
  <c r="M7233" i="2"/>
  <c r="M7229" i="2"/>
  <c r="M7225" i="2"/>
  <c r="Q3659" i="2"/>
  <c r="M3659" i="2"/>
  <c r="M7217" i="2"/>
  <c r="Q6766" i="2"/>
  <c r="M6766" i="2"/>
  <c r="Q6510" i="2"/>
  <c r="M6510" i="2"/>
  <c r="Q7205" i="2"/>
  <c r="M7205" i="2"/>
  <c r="Q6336" i="2"/>
  <c r="M6336" i="2"/>
  <c r="Q7197" i="2"/>
  <c r="M7197" i="2"/>
  <c r="M7193" i="2"/>
  <c r="M7189" i="2"/>
  <c r="Q7185" i="2"/>
  <c r="M7185" i="2"/>
  <c r="Q7181" i="2"/>
  <c r="M7181" i="2"/>
  <c r="Q7177" i="2"/>
  <c r="M7177" i="2"/>
  <c r="M7173" i="2"/>
  <c r="M7169" i="2"/>
  <c r="M7165" i="2"/>
  <c r="M7161" i="2"/>
  <c r="M7157" i="2"/>
  <c r="Q5001" i="2"/>
  <c r="M5001" i="2"/>
  <c r="Q7149" i="2"/>
  <c r="M7149" i="2"/>
  <c r="Q3773" i="2"/>
  <c r="M3773" i="2"/>
  <c r="Q6502" i="2"/>
  <c r="M6502" i="2"/>
  <c r="M7137" i="2"/>
  <c r="M7133" i="2"/>
  <c r="Q7129" i="2"/>
  <c r="M7129" i="2"/>
  <c r="Q7125" i="2"/>
  <c r="M7125" i="2"/>
  <c r="M7121" i="2"/>
  <c r="Q7117" i="2"/>
  <c r="M7117" i="2"/>
  <c r="M7113" i="2"/>
  <c r="M7109" i="2"/>
  <c r="M7105" i="2"/>
  <c r="Q696" i="2"/>
  <c r="M696" i="2"/>
  <c r="Q7097" i="2"/>
  <c r="M7097" i="2"/>
  <c r="Q7093" i="2"/>
  <c r="M7093" i="2"/>
  <c r="M7089" i="2"/>
  <c r="M7085" i="2"/>
  <c r="M7081" i="2"/>
  <c r="M7077" i="2"/>
  <c r="M7073" i="2"/>
  <c r="Q7069" i="2"/>
  <c r="M7069" i="2"/>
  <c r="Q3793" i="2"/>
  <c r="M3793" i="2"/>
  <c r="Q7061" i="2"/>
  <c r="M7061" i="2"/>
  <c r="Q2543" i="2"/>
  <c r="M2543" i="2"/>
  <c r="Q5757" i="2"/>
  <c r="M5757" i="2"/>
  <c r="M7049" i="2"/>
  <c r="M7045" i="2"/>
  <c r="Q7041" i="2"/>
  <c r="M7041" i="2"/>
  <c r="Q1834" i="2"/>
  <c r="M1834" i="2"/>
  <c r="Q7033" i="2"/>
  <c r="M7033" i="2"/>
  <c r="Q7029" i="2"/>
  <c r="M7029" i="2"/>
  <c r="Q7025" i="2"/>
  <c r="M7025" i="2"/>
  <c r="Q1575" i="2"/>
  <c r="M1575" i="2"/>
  <c r="Q1833" i="2"/>
  <c r="M1833" i="2"/>
  <c r="Q7013" i="2"/>
  <c r="M7013" i="2"/>
  <c r="Q7009" i="2"/>
  <c r="M7009" i="2"/>
  <c r="M7005" i="2"/>
  <c r="M4076" i="2"/>
  <c r="Q2687" i="2"/>
  <c r="M2687" i="2"/>
  <c r="Q6993" i="2"/>
  <c r="M6993" i="2"/>
  <c r="M6989" i="2"/>
  <c r="M6985" i="2"/>
  <c r="M6981" i="2"/>
  <c r="M6977" i="2"/>
  <c r="M6973" i="2"/>
  <c r="M6969" i="2"/>
  <c r="M6965" i="2"/>
  <c r="M6961" i="2"/>
  <c r="M6957" i="2"/>
  <c r="M6953" i="2"/>
  <c r="M6949" i="2"/>
  <c r="Q6945" i="2"/>
  <c r="M6945" i="2"/>
  <c r="Q3242" i="2"/>
  <c r="M3242" i="2"/>
  <c r="M3656" i="2"/>
  <c r="M6933" i="2"/>
  <c r="M4361" i="2"/>
  <c r="Q6925" i="2"/>
  <c r="M6925" i="2"/>
  <c r="Q6921" i="2"/>
  <c r="M6921" i="2"/>
  <c r="Q241" i="2"/>
  <c r="M241" i="2"/>
  <c r="Q695" i="2"/>
  <c r="M695" i="2"/>
  <c r="Q1413" i="2"/>
  <c r="M1413" i="2"/>
  <c r="Q2528" i="2"/>
  <c r="M2528" i="2"/>
  <c r="M6901" i="2"/>
  <c r="M6897" i="2"/>
  <c r="M421" i="2"/>
  <c r="Q1609" i="2"/>
  <c r="M1609" i="2"/>
  <c r="Q1284" i="2"/>
  <c r="M1284" i="2"/>
  <c r="Q6881" i="2"/>
  <c r="M6881" i="2"/>
  <c r="Q1275" i="2"/>
  <c r="M1275" i="2"/>
  <c r="Q3851" i="2"/>
  <c r="M3851" i="2"/>
  <c r="Q6869" i="2"/>
  <c r="M6869" i="2"/>
  <c r="Q4660" i="2"/>
  <c r="M4660" i="2"/>
  <c r="M6861" i="2"/>
  <c r="Q6904" i="2"/>
  <c r="M6904" i="2"/>
  <c r="Q6853" i="2"/>
  <c r="M6853" i="2"/>
  <c r="Q6849" i="2"/>
  <c r="M6849" i="2"/>
  <c r="Q4931" i="2"/>
  <c r="M4931" i="2"/>
  <c r="Q6841" i="2"/>
  <c r="M6841" i="2"/>
  <c r="M6837" i="2"/>
  <c r="Q5479" i="2"/>
  <c r="M5479" i="2"/>
  <c r="M6829" i="2"/>
  <c r="Q6825" i="2"/>
  <c r="M6825" i="2"/>
  <c r="M6821" i="2"/>
  <c r="M6817" i="2"/>
  <c r="M4820" i="2"/>
  <c r="Q5022" i="2"/>
  <c r="M5022" i="2"/>
  <c r="M6805" i="2"/>
  <c r="M6801" i="2"/>
  <c r="Q6797" i="2"/>
  <c r="M6797" i="2"/>
  <c r="M6793" i="2"/>
  <c r="Q4852" i="2"/>
  <c r="M4852" i="2"/>
  <c r="Q6785" i="2"/>
  <c r="M6785" i="2"/>
  <c r="Q6781" i="2"/>
  <c r="M6781" i="2"/>
  <c r="M6777" i="2"/>
  <c r="Q6559" i="2"/>
  <c r="M6559" i="2"/>
  <c r="M235" i="2"/>
  <c r="M361" i="2"/>
  <c r="Q6761" i="2"/>
  <c r="M6761" i="2"/>
  <c r="Q6528" i="2"/>
  <c r="M6528" i="2"/>
  <c r="M6753" i="2"/>
  <c r="Q3231" i="2"/>
  <c r="M3231" i="2"/>
  <c r="Q5756" i="2"/>
  <c r="M5756" i="2"/>
  <c r="Q6741" i="2"/>
  <c r="M6741" i="2"/>
  <c r="Q6737" i="2"/>
  <c r="M6737" i="2"/>
  <c r="Q6733" i="2"/>
  <c r="M6733" i="2"/>
  <c r="M6729" i="2"/>
  <c r="M6725" i="2"/>
  <c r="Q190" i="2"/>
  <c r="M190" i="2"/>
  <c r="Q6717" i="2"/>
  <c r="M6717" i="2"/>
  <c r="M6713" i="2"/>
  <c r="Q6075" i="2"/>
  <c r="M6075" i="2"/>
  <c r="Q6551" i="2"/>
  <c r="M6551" i="2"/>
  <c r="M6701" i="2"/>
  <c r="M6697" i="2"/>
  <c r="Q6693" i="2"/>
  <c r="M6693" i="2"/>
  <c r="M6930" i="2"/>
  <c r="M6685" i="2"/>
  <c r="Q6681" i="2"/>
  <c r="M6681" i="2"/>
  <c r="M6677" i="2"/>
  <c r="M6673" i="2"/>
  <c r="Q3879" i="2"/>
  <c r="M3879" i="2"/>
  <c r="Q6665" i="2"/>
  <c r="M6665" i="2"/>
  <c r="Q6661" i="2"/>
  <c r="M6661" i="2"/>
  <c r="M6657" i="2"/>
  <c r="M6653" i="2"/>
  <c r="Q6649" i="2"/>
  <c r="M6649" i="2"/>
  <c r="Q6645" i="2"/>
  <c r="M6645" i="2"/>
  <c r="M6641" i="2"/>
  <c r="Q6637" i="2"/>
  <c r="M6637" i="2"/>
  <c r="M6633" i="2"/>
  <c r="M6629" i="2"/>
  <c r="M6625" i="2"/>
  <c r="M6621" i="2"/>
  <c r="M6617" i="2"/>
  <c r="M6613" i="2"/>
  <c r="M6609" i="2"/>
  <c r="Q6081" i="2"/>
  <c r="M6081" i="2"/>
  <c r="Q1725" i="2"/>
  <c r="M1725" i="2"/>
  <c r="Q2105" i="2"/>
  <c r="M2105" i="2"/>
  <c r="M6593" i="2"/>
  <c r="Q2476" i="2"/>
  <c r="M2476" i="2"/>
  <c r="M6585" i="2"/>
  <c r="M6581" i="2"/>
  <c r="Q2279" i="2"/>
  <c r="M2279" i="2"/>
  <c r="M6573" i="2"/>
  <c r="Q4631" i="2"/>
  <c r="M4631" i="2"/>
  <c r="Q4077" i="2"/>
  <c r="M4077" i="2"/>
  <c r="Q3250" i="2"/>
  <c r="M3250" i="2"/>
  <c r="M6557" i="2"/>
  <c r="Q1849" i="2"/>
  <c r="M1849" i="2"/>
  <c r="M6549" i="2"/>
  <c r="Q3721" i="2"/>
  <c r="M3721" i="2"/>
  <c r="Q3664" i="2"/>
  <c r="M3664" i="2"/>
  <c r="M5752" i="2"/>
  <c r="M6533" i="2"/>
  <c r="M6529" i="2"/>
  <c r="Q3673" i="2"/>
  <c r="M3673" i="2"/>
  <c r="M4587" i="2"/>
  <c r="Q3379" i="2"/>
  <c r="M3379" i="2"/>
  <c r="Q6756" i="2"/>
  <c r="M6756" i="2"/>
  <c r="Q6509" i="2"/>
  <c r="M6509" i="2"/>
  <c r="M6505" i="2"/>
  <c r="Q6501" i="2"/>
  <c r="M6501" i="2"/>
  <c r="Q6497" i="2"/>
  <c r="M6497" i="2"/>
  <c r="Q3155" i="2"/>
  <c r="M3155" i="2"/>
  <c r="M6422" i="2"/>
  <c r="Q3183" i="2"/>
  <c r="M3183" i="2"/>
  <c r="Q3298" i="2"/>
  <c r="M3298" i="2"/>
  <c r="M6477" i="2"/>
  <c r="Q6473" i="2"/>
  <c r="M6473" i="2"/>
  <c r="M6469" i="2"/>
  <c r="M6465" i="2"/>
  <c r="M6461" i="2"/>
  <c r="Q6457" i="2"/>
  <c r="M6457" i="2"/>
  <c r="M6453" i="2"/>
  <c r="Q6449" i="2"/>
  <c r="M6449" i="2"/>
  <c r="Q6445" i="2"/>
  <c r="M6445" i="2"/>
  <c r="M2302" i="2"/>
  <c r="M6437" i="2"/>
  <c r="Q5853" i="2"/>
  <c r="M5853" i="2"/>
  <c r="M6429" i="2"/>
  <c r="Q7037" i="2"/>
  <c r="M7037" i="2"/>
  <c r="Q5312" i="2"/>
  <c r="M5312" i="2"/>
  <c r="M1958" i="2"/>
  <c r="M6413" i="2"/>
  <c r="Q6409" i="2"/>
  <c r="M6409" i="2"/>
  <c r="M6405" i="2"/>
  <c r="M6401" i="2"/>
  <c r="M6397" i="2"/>
  <c r="M6393" i="2"/>
  <c r="Q2911" i="2"/>
  <c r="M2911" i="2"/>
  <c r="M6385" i="2"/>
  <c r="M6381" i="2"/>
  <c r="Q6377" i="2"/>
  <c r="M6377" i="2"/>
  <c r="M6373" i="2"/>
  <c r="M6369" i="2"/>
  <c r="Q2162" i="2"/>
  <c r="M2162" i="2"/>
  <c r="M6361" i="2"/>
  <c r="M6357" i="2"/>
  <c r="M6353" i="2"/>
  <c r="M6349" i="2"/>
  <c r="M6345" i="2"/>
  <c r="M6341" i="2"/>
  <c r="M6337" i="2"/>
  <c r="Q176" i="2"/>
  <c r="M176" i="2"/>
  <c r="M6329" i="2"/>
  <c r="Q6325" i="2"/>
  <c r="M6325" i="2"/>
  <c r="M6321" i="2"/>
  <c r="M6317" i="2"/>
  <c r="M6313" i="2"/>
  <c r="M6309" i="2"/>
  <c r="M6305" i="2"/>
  <c r="M6301" i="2"/>
  <c r="Q6297" i="2"/>
  <c r="M6297" i="2"/>
  <c r="Q6293" i="2"/>
  <c r="M6293" i="2"/>
  <c r="Q174" i="2"/>
  <c r="M174" i="2"/>
  <c r="M6285" i="2"/>
  <c r="M6281" i="2"/>
  <c r="M6277" i="2"/>
  <c r="M6273" i="2"/>
  <c r="M6269" i="2"/>
  <c r="M6265" i="2"/>
  <c r="M6261" i="2"/>
  <c r="M6257" i="2"/>
  <c r="M6253" i="2"/>
  <c r="M6249" i="2"/>
  <c r="Q6245" i="2"/>
  <c r="M6245" i="2"/>
  <c r="Q3775" i="2"/>
  <c r="M3775" i="2"/>
  <c r="Q366" i="2"/>
  <c r="M366" i="2"/>
  <c r="M6233" i="2"/>
  <c r="Q6229" i="2"/>
  <c r="M6229" i="2"/>
  <c r="Q6225" i="2"/>
  <c r="M6225" i="2"/>
  <c r="Q6221" i="2"/>
  <c r="M6221" i="2"/>
  <c r="M6217" i="2"/>
  <c r="M6213" i="2"/>
  <c r="M6209" i="2"/>
  <c r="M6205" i="2"/>
  <c r="M6201" i="2"/>
  <c r="M6197" i="2"/>
  <c r="Q6193" i="2"/>
  <c r="M6193" i="2"/>
  <c r="Q2269" i="2"/>
  <c r="M2269" i="2"/>
  <c r="M6185" i="2"/>
  <c r="Q6181" i="2"/>
  <c r="M6181" i="2"/>
  <c r="M1213" i="2"/>
  <c r="Q6173" i="2"/>
  <c r="M6173" i="2"/>
  <c r="Q6169" i="2"/>
  <c r="M6169" i="2"/>
  <c r="Q167" i="2"/>
  <c r="M167" i="2"/>
  <c r="M6161" i="2"/>
  <c r="Q6157" i="2"/>
  <c r="M6157" i="2"/>
  <c r="Q6153" i="2"/>
  <c r="M6153" i="2"/>
  <c r="M6149" i="2"/>
  <c r="M6145" i="2"/>
  <c r="Q6141" i="2"/>
  <c r="M6141" i="2"/>
  <c r="M6137" i="2"/>
  <c r="Q6133" i="2"/>
  <c r="M6133" i="2"/>
  <c r="M6129" i="2"/>
  <c r="Q6125" i="2"/>
  <c r="M6125" i="2"/>
  <c r="M6121" i="2"/>
  <c r="M6117" i="2"/>
  <c r="M6113" i="2"/>
  <c r="Q3230" i="2"/>
  <c r="M3230" i="2"/>
  <c r="M2735" i="2"/>
  <c r="M6101" i="2"/>
  <c r="Q2620" i="2"/>
  <c r="M2620" i="2"/>
  <c r="M6093" i="2"/>
  <c r="Q6089" i="2"/>
  <c r="M6089" i="2"/>
  <c r="M6085" i="2"/>
  <c r="Q4822" i="2"/>
  <c r="M4822" i="2"/>
  <c r="M6893" i="2"/>
  <c r="Q6073" i="2"/>
  <c r="M6073" i="2"/>
  <c r="Q1098" i="2"/>
  <c r="M1098" i="2"/>
  <c r="Q6065" i="2"/>
  <c r="M6065" i="2"/>
  <c r="M6061" i="2"/>
  <c r="Q6057" i="2"/>
  <c r="M6057" i="2"/>
  <c r="M6053" i="2"/>
  <c r="M6049" i="2"/>
  <c r="M6045" i="2"/>
  <c r="Q5261" i="2"/>
  <c r="M5261" i="2"/>
  <c r="Q6037" i="2"/>
  <c r="M6037" i="2"/>
  <c r="M6033" i="2"/>
  <c r="M6029" i="2"/>
  <c r="M6025" i="2"/>
  <c r="M6021" i="2"/>
  <c r="Q6017" i="2"/>
  <c r="M6017" i="2"/>
  <c r="M6013" i="2"/>
  <c r="M6009" i="2"/>
  <c r="Q4827" i="2"/>
  <c r="M4827" i="2"/>
  <c r="Q4977" i="2"/>
  <c r="M4977" i="2"/>
  <c r="M4368" i="2"/>
  <c r="M5993" i="2"/>
  <c r="M5989" i="2"/>
  <c r="Q4814" i="2"/>
  <c r="M4814" i="2"/>
  <c r="Q1392" i="2"/>
  <c r="M1392" i="2"/>
  <c r="Q2097" i="2"/>
  <c r="M2097" i="2"/>
  <c r="M1796" i="2"/>
  <c r="Q5930" i="2"/>
  <c r="M5930" i="2"/>
  <c r="Q6389" i="2"/>
  <c r="M6389" i="2"/>
  <c r="Q5961" i="2"/>
  <c r="M5961" i="2"/>
  <c r="M2069" i="2"/>
  <c r="M5953" i="2"/>
  <c r="Q5949" i="2"/>
  <c r="M5949" i="2"/>
  <c r="Q5945" i="2"/>
  <c r="M5945" i="2"/>
  <c r="Q5941" i="2"/>
  <c r="M5941" i="2"/>
  <c r="M404" i="2"/>
  <c r="Q4988" i="2"/>
  <c r="M4988" i="2"/>
  <c r="Q653" i="2"/>
  <c r="M653" i="2"/>
  <c r="M5925" i="2"/>
  <c r="Q5921" i="2"/>
  <c r="M5921" i="2"/>
  <c r="M5917" i="2"/>
  <c r="Q5913" i="2"/>
  <c r="M5913" i="2"/>
  <c r="Q5909" i="2"/>
  <c r="M5909" i="2"/>
  <c r="Q5905" i="2"/>
  <c r="M5905" i="2"/>
  <c r="M1957" i="2"/>
  <c r="M5897" i="2"/>
  <c r="Q5893" i="2"/>
  <c r="M5893" i="2"/>
  <c r="Q5889" i="2"/>
  <c r="M5889" i="2"/>
  <c r="M5885" i="2"/>
  <c r="Q5470" i="2"/>
  <c r="M5470" i="2"/>
  <c r="M5877" i="2"/>
  <c r="Q5873" i="2"/>
  <c r="M5873" i="2"/>
  <c r="M5869" i="2"/>
  <c r="M5865" i="2"/>
  <c r="Q1378" i="2"/>
  <c r="M1378" i="2"/>
  <c r="M5857" i="2"/>
  <c r="Q4578" i="2"/>
  <c r="M4578" i="2"/>
  <c r="M5849" i="2"/>
  <c r="M2733" i="2"/>
  <c r="Q2125" i="2"/>
  <c r="M2125" i="2"/>
  <c r="Q5926" i="2"/>
  <c r="M5926" i="2"/>
  <c r="M5833" i="2"/>
  <c r="Q2262" i="2"/>
  <c r="M2262" i="2"/>
  <c r="M5825" i="2"/>
  <c r="M6598" i="2"/>
  <c r="Q5817" i="2"/>
  <c r="M5817" i="2"/>
  <c r="Q5800" i="2"/>
  <c r="M5800" i="2"/>
  <c r="Q5809" i="2"/>
  <c r="M5809" i="2"/>
  <c r="M6491" i="2"/>
  <c r="M5801" i="2"/>
  <c r="M5797" i="2"/>
  <c r="Q407" i="2"/>
  <c r="M407" i="2"/>
  <c r="Q5692" i="2"/>
  <c r="M5692" i="2"/>
  <c r="Q4951" i="2"/>
  <c r="M4951" i="2"/>
  <c r="M5781" i="2"/>
  <c r="M5777" i="2"/>
  <c r="M5773" i="2"/>
  <c r="Q5769" i="2"/>
  <c r="M5769" i="2"/>
  <c r="Q5765" i="2"/>
  <c r="M5765" i="2"/>
  <c r="M5761" i="2"/>
  <c r="Q1606" i="2"/>
  <c r="M1606" i="2"/>
  <c r="M5753" i="2"/>
  <c r="Q5749" i="2"/>
  <c r="M5749" i="2"/>
  <c r="Q5745" i="2"/>
  <c r="M5745" i="2"/>
  <c r="Q5741" i="2"/>
  <c r="M5741" i="2"/>
  <c r="M5737" i="2"/>
  <c r="Q5733" i="2"/>
  <c r="M5733" i="2"/>
  <c r="Q2174" i="2"/>
  <c r="M2174" i="2"/>
  <c r="Q1047" i="2"/>
  <c r="M1047" i="2"/>
  <c r="M3262" i="2"/>
  <c r="Q5717" i="2"/>
  <c r="M5717" i="2"/>
  <c r="M5713" i="2"/>
  <c r="Q5258" i="2"/>
  <c r="M5258" i="2"/>
  <c r="Q4179" i="2"/>
  <c r="M4179" i="2"/>
  <c r="M4818" i="2"/>
  <c r="Q5697" i="2"/>
  <c r="M5697" i="2"/>
  <c r="M5693" i="2"/>
  <c r="M5689" i="2"/>
  <c r="Q5685" i="2"/>
  <c r="M5685" i="2"/>
  <c r="Q5681" i="2"/>
  <c r="M5681" i="2"/>
  <c r="M5677" i="2"/>
  <c r="M5673" i="2"/>
  <c r="M5669" i="2"/>
  <c r="M5665" i="2"/>
  <c r="M5661" i="2"/>
  <c r="M5657" i="2"/>
  <c r="M5653" i="2"/>
  <c r="Q2771" i="2"/>
  <c r="M2771" i="2"/>
  <c r="M5645" i="2"/>
  <c r="Q5641" i="2"/>
  <c r="M5641" i="2"/>
  <c r="Q1599" i="2"/>
  <c r="M1599" i="2"/>
  <c r="M5633" i="2"/>
  <c r="Q5629" i="2"/>
  <c r="M5629" i="2"/>
  <c r="Q6440" i="2"/>
  <c r="M6440" i="2"/>
  <c r="Q5627" i="2"/>
  <c r="M5627" i="2"/>
  <c r="M5617" i="2"/>
  <c r="M5613" i="2"/>
  <c r="Q5609" i="2"/>
  <c r="M5609" i="2"/>
  <c r="Q6683" i="2"/>
  <c r="M6683" i="2"/>
  <c r="M5601" i="2"/>
  <c r="Q5597" i="2"/>
  <c r="M5597" i="2"/>
  <c r="M6165" i="2"/>
  <c r="Q5589" i="2"/>
  <c r="M5589" i="2"/>
  <c r="Q3697" i="2"/>
  <c r="M3697" i="2"/>
  <c r="M5581" i="2"/>
  <c r="Q5577" i="2"/>
  <c r="M5577" i="2"/>
  <c r="M210" i="2"/>
  <c r="Q6899" i="2"/>
  <c r="M6899" i="2"/>
  <c r="M5565" i="2"/>
  <c r="M5561" i="2"/>
  <c r="Q5557" i="2"/>
  <c r="M5557" i="2"/>
  <c r="Q5553" i="2"/>
  <c r="M5553" i="2"/>
  <c r="M4952" i="2"/>
  <c r="Q6516" i="2"/>
  <c r="M6516" i="2"/>
  <c r="Q5541" i="2"/>
  <c r="M5541" i="2"/>
  <c r="Q5537" i="2"/>
  <c r="M5537" i="2"/>
  <c r="M6333" i="2"/>
  <c r="Q5529" i="2"/>
  <c r="M5529" i="2"/>
  <c r="Q5525" i="2"/>
  <c r="M5525" i="2"/>
  <c r="Q6696" i="2"/>
  <c r="M6696" i="2"/>
  <c r="M3905" i="2"/>
  <c r="Q5547" i="2"/>
  <c r="M5547" i="2"/>
  <c r="Q5509" i="2"/>
  <c r="M5509" i="2"/>
  <c r="Q5505" i="2"/>
  <c r="M5505" i="2"/>
  <c r="M5501" i="2"/>
  <c r="Q6605" i="2"/>
  <c r="M6605" i="2"/>
  <c r="Q5493" i="2"/>
  <c r="M5493" i="2"/>
  <c r="Q5489" i="2"/>
  <c r="M5489" i="2"/>
  <c r="M5485" i="2"/>
  <c r="Q6182" i="2"/>
  <c r="M6182" i="2"/>
  <c r="Q5477" i="2"/>
  <c r="M5477" i="2"/>
  <c r="Q6106" i="2"/>
  <c r="M6106" i="2"/>
  <c r="M5248" i="2"/>
  <c r="M5465" i="2"/>
  <c r="M5461" i="2"/>
  <c r="Q5457" i="2"/>
  <c r="M5457" i="2"/>
  <c r="Q5453" i="2"/>
  <c r="M5453" i="2"/>
  <c r="M5449" i="2"/>
  <c r="M5445" i="2"/>
  <c r="Q3114" i="2"/>
  <c r="M3114" i="2"/>
  <c r="M2937" i="2"/>
  <c r="Q5433" i="2"/>
  <c r="M5433" i="2"/>
  <c r="Q5429" i="2"/>
  <c r="M5429" i="2"/>
  <c r="M5425" i="2"/>
  <c r="Q5421" i="2"/>
  <c r="M5421" i="2"/>
  <c r="M5417" i="2"/>
  <c r="M5413" i="2"/>
  <c r="M5409" i="2"/>
  <c r="M5405" i="2"/>
  <c r="M5401" i="2"/>
  <c r="M5397" i="2"/>
  <c r="M5393" i="2"/>
  <c r="M5389" i="2"/>
  <c r="M5385" i="2"/>
  <c r="M5381" i="2"/>
  <c r="M5377" i="2"/>
  <c r="Q5373" i="2"/>
  <c r="M5373" i="2"/>
  <c r="Q5369" i="2"/>
  <c r="M5369" i="2"/>
  <c r="M5365" i="2"/>
  <c r="Q5361" i="2"/>
  <c r="M5361" i="2"/>
  <c r="M5357" i="2"/>
  <c r="Q5353" i="2"/>
  <c r="M5353" i="2"/>
  <c r="Q5349" i="2"/>
  <c r="M5349" i="2"/>
  <c r="M5345" i="2"/>
  <c r="M5341" i="2"/>
  <c r="Q137" i="2"/>
  <c r="M137" i="2"/>
  <c r="M5333" i="2"/>
  <c r="M5329" i="2"/>
  <c r="M5325" i="2"/>
  <c r="M5321" i="2"/>
  <c r="M5317" i="2"/>
  <c r="Q3362" i="2"/>
  <c r="M3362" i="2"/>
  <c r="Q5309" i="2"/>
  <c r="M5309" i="2"/>
  <c r="Q5305" i="2"/>
  <c r="M5305" i="2"/>
  <c r="M5301" i="2"/>
  <c r="Q5297" i="2"/>
  <c r="M5297" i="2"/>
  <c r="Q5293" i="2"/>
  <c r="M5293" i="2"/>
  <c r="M5289" i="2"/>
  <c r="Q5285" i="2"/>
  <c r="M5285" i="2"/>
  <c r="M5281" i="2"/>
  <c r="M5277" i="2"/>
  <c r="M5273" i="2"/>
  <c r="M5269" i="2"/>
  <c r="M5265" i="2"/>
  <c r="Q2731" i="2"/>
  <c r="M2731" i="2"/>
  <c r="Q795" i="2"/>
  <c r="M795" i="2"/>
  <c r="Q5253" i="2"/>
  <c r="M5253" i="2"/>
  <c r="M5249" i="2"/>
  <c r="Q2754" i="2"/>
  <c r="M2754" i="2"/>
  <c r="M5241" i="2"/>
  <c r="Q5237" i="2"/>
  <c r="M5237" i="2"/>
  <c r="Q553" i="2"/>
  <c r="M553" i="2"/>
  <c r="M5229" i="2"/>
  <c r="M5225" i="2"/>
  <c r="Q5221" i="2"/>
  <c r="M5221" i="2"/>
  <c r="M5217" i="2"/>
  <c r="Q5213" i="2"/>
  <c r="M5213" i="2"/>
  <c r="M5209" i="2"/>
  <c r="Q4258" i="2"/>
  <c r="M4258" i="2"/>
  <c r="M5201" i="2"/>
  <c r="M5197" i="2"/>
  <c r="M5193" i="2"/>
  <c r="M5189" i="2"/>
  <c r="M5185" i="2"/>
  <c r="M5181" i="2"/>
  <c r="M5177" i="2"/>
  <c r="M5173" i="2"/>
  <c r="Q5169" i="2"/>
  <c r="M5169" i="2"/>
  <c r="Q5115" i="2"/>
  <c r="M5115" i="2"/>
  <c r="Q3981" i="2"/>
  <c r="M3981" i="2"/>
  <c r="M5157" i="2"/>
  <c r="M5153" i="2"/>
  <c r="Q5149" i="2"/>
  <c r="M5149" i="2"/>
  <c r="M5145" i="2"/>
  <c r="Q1631" i="2"/>
  <c r="M1631" i="2"/>
  <c r="Q6162" i="2"/>
  <c r="M6162" i="2"/>
  <c r="Q134" i="2"/>
  <c r="M134" i="2"/>
  <c r="Q5129" i="2"/>
  <c r="M5129" i="2"/>
  <c r="Q5125" i="2"/>
  <c r="M5125" i="2"/>
  <c r="Q5121" i="2"/>
  <c r="M5121" i="2"/>
  <c r="Q6189" i="2"/>
  <c r="M6189" i="2"/>
  <c r="M5113" i="2"/>
  <c r="Q5109" i="2"/>
  <c r="M5109" i="2"/>
  <c r="Q5105" i="2"/>
  <c r="M5105" i="2"/>
  <c r="Q5881" i="2"/>
  <c r="M5881" i="2"/>
  <c r="Q2517" i="2"/>
  <c r="M2517" i="2"/>
  <c r="Q4487" i="2"/>
  <c r="M4487" i="2"/>
  <c r="Q5089" i="2"/>
  <c r="M5089" i="2"/>
  <c r="M5085" i="2"/>
  <c r="M5081" i="2"/>
  <c r="Q2947" i="2"/>
  <c r="M2947" i="2"/>
  <c r="M5073" i="2"/>
  <c r="Q5069" i="2"/>
  <c r="M5069" i="2"/>
  <c r="M5065" i="2"/>
  <c r="M5061" i="2"/>
  <c r="Q5057" i="2"/>
  <c r="M5057" i="2"/>
  <c r="M5053" i="2"/>
  <c r="Q6669" i="2"/>
  <c r="M6669" i="2"/>
  <c r="Q5045" i="2"/>
  <c r="M5045" i="2"/>
  <c r="M5041" i="2"/>
  <c r="Q5037" i="2"/>
  <c r="M5037" i="2"/>
  <c r="Q5522" i="2"/>
  <c r="M5522" i="2"/>
  <c r="Q3626" i="2"/>
  <c r="M3626" i="2"/>
  <c r="M5025" i="2"/>
  <c r="Q5021" i="2"/>
  <c r="M5021" i="2"/>
  <c r="Q2770" i="2"/>
  <c r="M2770" i="2"/>
  <c r="Q5013" i="2"/>
  <c r="M5013" i="2"/>
  <c r="Q1060" i="2"/>
  <c r="M1060" i="2"/>
  <c r="Q5005" i="2"/>
  <c r="M5005" i="2"/>
  <c r="M6386" i="2"/>
  <c r="Q6555" i="2"/>
  <c r="M6555" i="2"/>
  <c r="Q4993" i="2"/>
  <c r="M4993" i="2"/>
  <c r="Q4989" i="2"/>
  <c r="M4989" i="2"/>
  <c r="M4985" i="2"/>
  <c r="Q4981" i="2"/>
  <c r="M4981" i="2"/>
  <c r="Q133" i="2"/>
  <c r="M133" i="2"/>
  <c r="M4973" i="2"/>
  <c r="Q4969" i="2"/>
  <c r="M4969" i="2"/>
  <c r="M4965" i="2"/>
  <c r="M4961" i="2"/>
  <c r="M4957" i="2"/>
  <c r="Q4953" i="2"/>
  <c r="M4953" i="2"/>
  <c r="M4949" i="2"/>
  <c r="Q4945" i="2"/>
  <c r="M4945" i="2"/>
  <c r="Q5729" i="2"/>
  <c r="M5729" i="2"/>
  <c r="M4937" i="2"/>
  <c r="M4933" i="2"/>
  <c r="M2901" i="2"/>
  <c r="M4925" i="2"/>
  <c r="Q4921" i="2"/>
  <c r="M4921" i="2"/>
  <c r="M4917" i="2"/>
  <c r="M4913" i="2"/>
  <c r="M4909" i="2"/>
  <c r="M4905" i="2"/>
  <c r="M4901" i="2"/>
  <c r="M4897" i="2"/>
  <c r="M4893" i="2"/>
  <c r="Q4889" i="2"/>
  <c r="M4889" i="2"/>
  <c r="M4885" i="2"/>
  <c r="Q4881" i="2"/>
  <c r="M4881" i="2"/>
  <c r="M4877" i="2"/>
  <c r="M4873" i="2"/>
  <c r="M4869" i="2"/>
  <c r="M4987" i="2"/>
  <c r="Q5114" i="2"/>
  <c r="M5114" i="2"/>
  <c r="Q5144" i="2"/>
  <c r="M5144" i="2"/>
  <c r="Q4853" i="2"/>
  <c r="M4853" i="2"/>
  <c r="M4849" i="2"/>
  <c r="Q6758" i="2"/>
  <c r="M6758" i="2"/>
  <c r="Q4073" i="2"/>
  <c r="M4073" i="2"/>
  <c r="Q4837" i="2"/>
  <c r="M4837" i="2"/>
  <c r="M4833" i="2"/>
  <c r="Q4829" i="2"/>
  <c r="M4829" i="2"/>
  <c r="M4825" i="2"/>
  <c r="Q4821" i="2"/>
  <c r="M4821" i="2"/>
  <c r="Q3358" i="2"/>
  <c r="M3358" i="2"/>
  <c r="M4813" i="2"/>
  <c r="M4809" i="2"/>
  <c r="Q4805" i="2"/>
  <c r="M4805" i="2"/>
  <c r="Q4801" i="2"/>
  <c r="M4801" i="2"/>
  <c r="Q6520" i="2"/>
  <c r="M6520" i="2"/>
  <c r="M2421" i="2"/>
  <c r="Q4789" i="2"/>
  <c r="M4789" i="2"/>
  <c r="Q4785" i="2"/>
  <c r="M4785" i="2"/>
  <c r="Q4781" i="2"/>
  <c r="M4781" i="2"/>
  <c r="M4777" i="2"/>
  <c r="Q4773" i="2"/>
  <c r="M4773" i="2"/>
  <c r="Q4652" i="2"/>
  <c r="M4652" i="2"/>
  <c r="Q4765" i="2"/>
  <c r="M4765" i="2"/>
  <c r="M4761" i="2"/>
  <c r="M4757" i="2"/>
  <c r="M4753" i="2"/>
  <c r="Q4749" i="2"/>
  <c r="M4749" i="2"/>
  <c r="M4745" i="2"/>
  <c r="Q4173" i="2"/>
  <c r="M4173" i="2"/>
  <c r="M4737" i="2"/>
  <c r="M4733" i="2"/>
  <c r="Q4729" i="2"/>
  <c r="M4729" i="2"/>
  <c r="M4725" i="2"/>
  <c r="M4721" i="2"/>
  <c r="Q4717" i="2"/>
  <c r="M4717" i="2"/>
  <c r="M4713" i="2"/>
  <c r="M4709" i="2"/>
  <c r="M4705" i="2"/>
  <c r="M4701" i="2"/>
  <c r="M4697" i="2"/>
  <c r="M4693" i="2"/>
  <c r="Q4689" i="2"/>
  <c r="M4689" i="2"/>
  <c r="M4685" i="2"/>
  <c r="Q5519" i="2"/>
  <c r="M5519" i="2"/>
  <c r="M4677" i="2"/>
  <c r="M4673" i="2"/>
  <c r="M4669" i="2"/>
  <c r="M3140" i="2"/>
  <c r="Q3146" i="2"/>
  <c r="M3146" i="2"/>
  <c r="Q1084" i="2"/>
  <c r="M1084" i="2"/>
  <c r="Q6924" i="2"/>
  <c r="M6924" i="2"/>
  <c r="M4649" i="2"/>
  <c r="Q4645" i="2"/>
  <c r="M4645" i="2"/>
  <c r="Q4375" i="2"/>
  <c r="M4375" i="2"/>
  <c r="M4637" i="2"/>
  <c r="Q4633" i="2"/>
  <c r="M4633" i="2"/>
  <c r="M4629" i="2"/>
  <c r="M4625" i="2"/>
  <c r="M4621" i="2"/>
  <c r="Q4617" i="2"/>
  <c r="M4617" i="2"/>
  <c r="Q4613" i="2"/>
  <c r="M4613" i="2"/>
  <c r="M4609" i="2"/>
  <c r="M4605" i="2"/>
  <c r="Q4601" i="2"/>
  <c r="M4601" i="2"/>
  <c r="M4597" i="2"/>
  <c r="M4458" i="2"/>
  <c r="Q4589" i="2"/>
  <c r="M4589" i="2"/>
  <c r="Q4585" i="2"/>
  <c r="M4585" i="2"/>
  <c r="Q4581" i="2"/>
  <c r="M4581" i="2"/>
  <c r="M2769" i="2"/>
  <c r="Q4573" i="2"/>
  <c r="M4573" i="2"/>
  <c r="Q437" i="2"/>
  <c r="M437" i="2"/>
  <c r="Q7120" i="2"/>
  <c r="M7120" i="2"/>
  <c r="M4561" i="2"/>
  <c r="M4557" i="2"/>
  <c r="Q4553" i="2"/>
  <c r="M4553" i="2"/>
  <c r="Q4549" i="2"/>
  <c r="M4549" i="2"/>
  <c r="Q4545" i="2"/>
  <c r="M4545" i="2"/>
  <c r="M4541" i="2"/>
  <c r="M4537" i="2"/>
  <c r="Q4533" i="2"/>
  <c r="M4533" i="2"/>
  <c r="Q4529" i="2"/>
  <c r="M4529" i="2"/>
  <c r="M4525" i="2"/>
  <c r="Q4521" i="2"/>
  <c r="M4521" i="2"/>
  <c r="M4517" i="2"/>
  <c r="M5243" i="2"/>
  <c r="Q4509" i="2"/>
  <c r="M4509" i="2"/>
  <c r="M4505" i="2"/>
  <c r="M4501" i="2"/>
  <c r="Q2825" i="2"/>
  <c r="M2825" i="2"/>
  <c r="Q4493" i="2"/>
  <c r="M4493" i="2"/>
  <c r="M4393" i="2"/>
  <c r="Q4485" i="2"/>
  <c r="M4485" i="2"/>
  <c r="Q4481" i="2"/>
  <c r="M4481" i="2"/>
  <c r="M4477" i="2"/>
  <c r="M4473" i="2"/>
  <c r="M4469" i="2"/>
  <c r="M4465" i="2"/>
  <c r="M4461" i="2"/>
  <c r="M4457" i="2"/>
  <c r="M4453" i="2"/>
  <c r="M4449" i="2"/>
  <c r="M4445" i="2"/>
  <c r="Q4441" i="2"/>
  <c r="M4441" i="2"/>
  <c r="M4437" i="2"/>
  <c r="M4433" i="2"/>
  <c r="Q4429" i="2"/>
  <c r="M4429" i="2"/>
  <c r="Q4425" i="2"/>
  <c r="M4425" i="2"/>
  <c r="M4421" i="2"/>
  <c r="Q4417" i="2"/>
  <c r="M4417" i="2"/>
  <c r="M4413" i="2"/>
  <c r="M4409" i="2"/>
  <c r="Q4405" i="2"/>
  <c r="M4405" i="2"/>
  <c r="Q4401" i="2"/>
  <c r="M4401" i="2"/>
  <c r="Q4397" i="2"/>
  <c r="M4397" i="2"/>
  <c r="M6105" i="2"/>
  <c r="M4389" i="2"/>
  <c r="M4385" i="2"/>
  <c r="M4381" i="2"/>
  <c r="Q4377" i="2"/>
  <c r="M4377" i="2"/>
  <c r="Q4373" i="2"/>
  <c r="M4373" i="2"/>
  <c r="Q4369" i="2"/>
  <c r="M4369" i="2"/>
  <c r="M4365" i="2"/>
  <c r="Q3119" i="2"/>
  <c r="M3119" i="2"/>
  <c r="M4357" i="2"/>
  <c r="M4353" i="2"/>
  <c r="M4349" i="2"/>
  <c r="M4345" i="2"/>
  <c r="M4341" i="2"/>
  <c r="M4337" i="2"/>
  <c r="M4333" i="2"/>
  <c r="M4329" i="2"/>
  <c r="M4325" i="2"/>
  <c r="M4321" i="2"/>
  <c r="M4317" i="2"/>
  <c r="Q3611" i="2"/>
  <c r="M3611" i="2"/>
  <c r="Q4309" i="2"/>
  <c r="M4309" i="2"/>
  <c r="M4305" i="2"/>
  <c r="Q4301" i="2"/>
  <c r="M4301" i="2"/>
  <c r="Q4297" i="2"/>
  <c r="M4297" i="2"/>
  <c r="Q4293" i="2"/>
  <c r="M4293" i="2"/>
  <c r="M4289" i="2"/>
  <c r="Q4285" i="2"/>
  <c r="M4285" i="2"/>
  <c r="Q579" i="2"/>
  <c r="M579" i="2"/>
  <c r="Q4277" i="2"/>
  <c r="M4277" i="2"/>
  <c r="M4273" i="2"/>
  <c r="M3931" i="2"/>
  <c r="M4265" i="2"/>
  <c r="Q4261" i="2"/>
  <c r="M4261" i="2"/>
  <c r="Q6425" i="2"/>
  <c r="M6425" i="2"/>
  <c r="Q4253" i="2"/>
  <c r="M4253" i="2"/>
  <c r="M4249" i="2"/>
  <c r="M4245" i="2"/>
  <c r="M4241" i="2"/>
  <c r="M4237" i="2"/>
  <c r="M4233" i="2"/>
  <c r="M4229" i="2"/>
  <c r="Q4225" i="2"/>
  <c r="M4225" i="2"/>
  <c r="Q4221" i="2"/>
  <c r="M4221" i="2"/>
  <c r="Q2401" i="2"/>
  <c r="M2401" i="2"/>
  <c r="M4213" i="2"/>
  <c r="M4209" i="2"/>
  <c r="Q109" i="2"/>
  <c r="M109" i="2"/>
  <c r="Q4201" i="2"/>
  <c r="M4201" i="2"/>
  <c r="M4197" i="2"/>
  <c r="Q2060" i="2"/>
  <c r="M2060" i="2"/>
  <c r="M6395" i="2"/>
  <c r="Q4185" i="2"/>
  <c r="M4185" i="2"/>
  <c r="Q4181" i="2"/>
  <c r="M4181" i="2"/>
  <c r="Q5705" i="2"/>
  <c r="M5705" i="2"/>
  <c r="M1289" i="2"/>
  <c r="Q4021" i="2"/>
  <c r="M4021" i="2"/>
  <c r="M4165" i="2"/>
  <c r="M4161" i="2"/>
  <c r="Q4157" i="2"/>
  <c r="M4157" i="2"/>
  <c r="Q4153" i="2"/>
  <c r="M4153" i="2"/>
  <c r="M4149" i="2"/>
  <c r="Q4145" i="2"/>
  <c r="M4145" i="2"/>
  <c r="Q4141" i="2"/>
  <c r="M4141" i="2"/>
  <c r="Q4137" i="2"/>
  <c r="M4137" i="2"/>
  <c r="M4133" i="2"/>
  <c r="M4129" i="2"/>
  <c r="M1371" i="2"/>
  <c r="M4121" i="2"/>
  <c r="Q4117" i="2"/>
  <c r="M4117" i="2"/>
  <c r="Q4113" i="2"/>
  <c r="M4113" i="2"/>
  <c r="Q6929" i="2"/>
  <c r="M6929" i="2"/>
  <c r="M4105" i="2"/>
  <c r="M4101" i="2"/>
  <c r="M4097" i="2"/>
  <c r="M4093" i="2"/>
  <c r="Q94" i="2"/>
  <c r="M94" i="2"/>
  <c r="Q5973" i="2"/>
  <c r="M5973" i="2"/>
  <c r="Q4081" i="2"/>
  <c r="M4081" i="2"/>
  <c r="M2128" i="2"/>
  <c r="Q4606" i="2"/>
  <c r="M4606" i="2"/>
  <c r="Q4069" i="2"/>
  <c r="M4069" i="2"/>
  <c r="Q4065" i="2"/>
  <c r="M4065" i="2"/>
  <c r="M1805" i="2"/>
  <c r="M4057" i="2"/>
  <c r="Q5672" i="2"/>
  <c r="M5672" i="2"/>
  <c r="Q2107" i="2"/>
  <c r="M2107" i="2"/>
  <c r="Q4045" i="2"/>
  <c r="M4045" i="2"/>
  <c r="M4041" i="2"/>
  <c r="Q4037" i="2"/>
  <c r="M4037" i="2"/>
  <c r="M4033" i="2"/>
  <c r="Q4029" i="2"/>
  <c r="M4029" i="2"/>
  <c r="Q4025" i="2"/>
  <c r="M4025" i="2"/>
  <c r="M2126" i="2"/>
  <c r="Q4017" i="2"/>
  <c r="M4017" i="2"/>
  <c r="Q4013" i="2"/>
  <c r="M4013" i="2"/>
  <c r="Q4009" i="2"/>
  <c r="M4009" i="2"/>
  <c r="M4005" i="2"/>
  <c r="M4001" i="2"/>
  <c r="M4170" i="2"/>
  <c r="Q3993" i="2"/>
  <c r="M3993" i="2"/>
  <c r="Q3989" i="2"/>
  <c r="M3989" i="2"/>
  <c r="Q3985" i="2"/>
  <c r="M3985" i="2"/>
  <c r="M3717" i="2"/>
  <c r="Q3977" i="2"/>
  <c r="M3977" i="2"/>
  <c r="Q3973" i="2"/>
  <c r="M3973" i="2"/>
  <c r="M3969" i="2"/>
  <c r="Q3965" i="2"/>
  <c r="M3965" i="2"/>
  <c r="M3961" i="2"/>
  <c r="M3957" i="2"/>
  <c r="M3953" i="2"/>
  <c r="M3949" i="2"/>
  <c r="M3945" i="2"/>
  <c r="M3941" i="2"/>
  <c r="Q5824" i="2"/>
  <c r="M5824" i="2"/>
  <c r="Q3933" i="2"/>
  <c r="M3933" i="2"/>
  <c r="Q4610" i="2"/>
  <c r="M4610" i="2"/>
  <c r="M3925" i="2"/>
  <c r="M3755" i="2"/>
  <c r="Q1232" i="2"/>
  <c r="M1232" i="2"/>
  <c r="Q3913" i="2"/>
  <c r="M3913" i="2"/>
  <c r="Q3909" i="2"/>
  <c r="M3909" i="2"/>
  <c r="M1050" i="2"/>
  <c r="M3901" i="2"/>
  <c r="M3897" i="2"/>
  <c r="Q3893" i="2"/>
  <c r="M3893" i="2"/>
  <c r="Q4641" i="2"/>
  <c r="M4641" i="2"/>
  <c r="Q3885" i="2"/>
  <c r="M3885" i="2"/>
  <c r="M305" i="2"/>
  <c r="Q3877" i="2"/>
  <c r="M3877" i="2"/>
  <c r="Q3873" i="2"/>
  <c r="M3873" i="2"/>
  <c r="Q3869" i="2"/>
  <c r="M3869" i="2"/>
  <c r="M3865" i="2"/>
  <c r="Q3861" i="2"/>
  <c r="M3861" i="2"/>
  <c r="Q1473" i="2"/>
  <c r="M1473" i="2"/>
  <c r="Q3853" i="2"/>
  <c r="M3853" i="2"/>
  <c r="M3849" i="2"/>
  <c r="Q3845" i="2"/>
  <c r="M3845" i="2"/>
  <c r="Q3841" i="2"/>
  <c r="M3841" i="2"/>
  <c r="Q3837" i="2"/>
  <c r="M3837" i="2"/>
  <c r="M3833" i="2"/>
  <c r="Q3829" i="2"/>
  <c r="M3829" i="2"/>
  <c r="Q3825" i="2"/>
  <c r="M3825" i="2"/>
  <c r="M3821" i="2"/>
  <c r="Q4224" i="2"/>
  <c r="M4224" i="2"/>
  <c r="M7042" i="2"/>
  <c r="Q3809" i="2"/>
  <c r="M3809" i="2"/>
  <c r="Q3805" i="2"/>
  <c r="M3805" i="2"/>
  <c r="M3801" i="2"/>
  <c r="Q3608" i="2"/>
  <c r="M3608" i="2"/>
  <c r="M2874" i="2"/>
  <c r="Q3789" i="2"/>
  <c r="M3789" i="2"/>
  <c r="M3785" i="2"/>
  <c r="Q3781" i="2"/>
  <c r="M3781" i="2"/>
  <c r="M3777" i="2"/>
  <c r="Q3093" i="2"/>
  <c r="M3093" i="2"/>
  <c r="M3769" i="2"/>
  <c r="M3765" i="2"/>
  <c r="M3761" i="2"/>
  <c r="M4792" i="2"/>
  <c r="Q3753" i="2"/>
  <c r="M3753" i="2"/>
  <c r="Q2727" i="2"/>
  <c r="M2727" i="2"/>
  <c r="Q3607" i="2"/>
  <c r="M3607" i="2"/>
  <c r="M3741" i="2"/>
  <c r="Q1288" i="2"/>
  <c r="M1288" i="2"/>
  <c r="M3733" i="2"/>
  <c r="M3729" i="2"/>
  <c r="Q1228" i="2"/>
  <c r="M1228" i="2"/>
  <c r="Q4832" i="2"/>
  <c r="M4832" i="2"/>
  <c r="M4374" i="2"/>
  <c r="M3713" i="2"/>
  <c r="M3709" i="2"/>
  <c r="Q3921" i="2"/>
  <c r="M3921" i="2"/>
  <c r="Q7071" i="2"/>
  <c r="M7071" i="2"/>
  <c r="Q3343" i="2"/>
  <c r="M3343" i="2"/>
  <c r="M3693" i="2"/>
  <c r="Q3689" i="2"/>
  <c r="M3689" i="2"/>
  <c r="Q1708" i="2"/>
  <c r="M1708" i="2"/>
  <c r="Q6459" i="2"/>
  <c r="M6459" i="2"/>
  <c r="M3677" i="2"/>
  <c r="Q91" i="2"/>
  <c r="M91" i="2"/>
  <c r="Q3669" i="2"/>
  <c r="M3669" i="2"/>
  <c r="Q5593" i="2"/>
  <c r="M5593" i="2"/>
  <c r="M2418" i="2"/>
  <c r="M3657" i="2"/>
  <c r="Q5934" i="2"/>
  <c r="M5934" i="2"/>
  <c r="Q3649" i="2"/>
  <c r="M3649" i="2"/>
  <c r="Q3645" i="2"/>
  <c r="M3645" i="2"/>
  <c r="M2160" i="2"/>
  <c r="Q3637" i="2"/>
  <c r="M3637" i="2"/>
  <c r="Q3633" i="2"/>
  <c r="M3633" i="2"/>
  <c r="Q3629" i="2"/>
  <c r="M3629" i="2"/>
  <c r="M1539" i="2"/>
  <c r="M3621" i="2"/>
  <c r="M3617" i="2"/>
  <c r="Q1508" i="2"/>
  <c r="M1508" i="2"/>
  <c r="Q5218" i="2"/>
  <c r="M5218" i="2"/>
  <c r="Q4143" i="2"/>
  <c r="M4143" i="2"/>
  <c r="M3601" i="2"/>
  <c r="M3597" i="2"/>
  <c r="M3593" i="2"/>
  <c r="M3589" i="2"/>
  <c r="Q3585" i="2"/>
  <c r="M3585" i="2"/>
  <c r="M3581" i="2"/>
  <c r="M3577" i="2"/>
  <c r="Q3573" i="2"/>
  <c r="M3573" i="2"/>
  <c r="Q5437" i="2"/>
  <c r="M5437" i="2"/>
  <c r="M3565" i="2"/>
  <c r="M3561" i="2"/>
  <c r="Q3557" i="2"/>
  <c r="M3557" i="2"/>
  <c r="M3553" i="2"/>
  <c r="M3549" i="2"/>
  <c r="Q3545" i="2"/>
  <c r="M3545" i="2"/>
  <c r="M3541" i="2"/>
  <c r="M3537" i="2"/>
  <c r="M3533" i="2"/>
  <c r="M3529" i="2"/>
  <c r="Q3525" i="2"/>
  <c r="M3525" i="2"/>
  <c r="M6888" i="2"/>
  <c r="Q3517" i="2"/>
  <c r="M3517" i="2"/>
  <c r="Q3513" i="2"/>
  <c r="M3513" i="2"/>
  <c r="Q3509" i="2"/>
  <c r="M3509" i="2"/>
  <c r="M3505" i="2"/>
  <c r="M3501" i="2"/>
  <c r="M3497" i="2"/>
  <c r="M3493" i="2"/>
  <c r="Q3489" i="2"/>
  <c r="M3489" i="2"/>
  <c r="M3485" i="2"/>
  <c r="M3481" i="2"/>
  <c r="Q3477" i="2"/>
  <c r="M3477" i="2"/>
  <c r="Q3473" i="2"/>
  <c r="M3473" i="2"/>
  <c r="M3469" i="2"/>
  <c r="M3465" i="2"/>
  <c r="M3461" i="2"/>
  <c r="M3457" i="2"/>
  <c r="M3453" i="2"/>
  <c r="M1058" i="2"/>
  <c r="Q3445" i="2"/>
  <c r="M3445" i="2"/>
  <c r="Q3441" i="2"/>
  <c r="M3441" i="2"/>
  <c r="Q3437" i="2"/>
  <c r="M3437" i="2"/>
  <c r="M3433" i="2"/>
  <c r="M3429" i="2"/>
  <c r="Q3425" i="2"/>
  <c r="M3425" i="2"/>
  <c r="M3421" i="2"/>
  <c r="Q3417" i="2"/>
  <c r="M3417" i="2"/>
  <c r="M3413" i="2"/>
  <c r="Q3409" i="2"/>
  <c r="M3409" i="2"/>
  <c r="M3405" i="2"/>
  <c r="M3401" i="2"/>
  <c r="M3397" i="2"/>
  <c r="Q3393" i="2"/>
  <c r="M3393" i="2"/>
  <c r="M3389" i="2"/>
  <c r="Q3385" i="2"/>
  <c r="M3385" i="2"/>
  <c r="Q3381" i="2"/>
  <c r="M3381" i="2"/>
  <c r="Q3377" i="2"/>
  <c r="M3377" i="2"/>
  <c r="M3373" i="2"/>
  <c r="M3369" i="2"/>
  <c r="Q3365" i="2"/>
  <c r="M3365" i="2"/>
  <c r="Q3361" i="2"/>
  <c r="M3361" i="2"/>
  <c r="M3357" i="2"/>
  <c r="Q3353" i="2"/>
  <c r="M3353" i="2"/>
  <c r="Q3349" i="2"/>
  <c r="M3349" i="2"/>
  <c r="Q3345" i="2"/>
  <c r="M3345" i="2"/>
  <c r="Q3341" i="2"/>
  <c r="M3341" i="2"/>
  <c r="Q3337" i="2"/>
  <c r="M3337" i="2"/>
  <c r="M3333" i="2"/>
  <c r="Q3285" i="2"/>
  <c r="M3285" i="2"/>
  <c r="Q3325" i="2"/>
  <c r="M3325" i="2"/>
  <c r="Q3321" i="2"/>
  <c r="M3321" i="2"/>
  <c r="M3317" i="2"/>
  <c r="M3313" i="2"/>
  <c r="M3309" i="2"/>
  <c r="M3305" i="2"/>
  <c r="M3301" i="2"/>
  <c r="M6845" i="2"/>
  <c r="Q3293" i="2"/>
  <c r="M3293" i="2"/>
  <c r="Q5807" i="2"/>
  <c r="M5807" i="2"/>
  <c r="Q85" i="2"/>
  <c r="M85" i="2"/>
  <c r="M3281" i="2"/>
  <c r="Q3277" i="2"/>
  <c r="M3277" i="2"/>
  <c r="Q3273" i="2"/>
  <c r="M3273" i="2"/>
  <c r="Q3269" i="2"/>
  <c r="M3269" i="2"/>
  <c r="M4217" i="2"/>
  <c r="M3261" i="2"/>
  <c r="Q2382" i="2"/>
  <c r="M2382" i="2"/>
  <c r="Q3253" i="2"/>
  <c r="M3253" i="2"/>
  <c r="Q3249" i="2"/>
  <c r="M3249" i="2"/>
  <c r="M3245" i="2"/>
  <c r="M6522" i="2"/>
  <c r="M3237" i="2"/>
  <c r="M3233" i="2"/>
  <c r="Q3229" i="2"/>
  <c r="M3229" i="2"/>
  <c r="M3225" i="2"/>
  <c r="Q3221" i="2"/>
  <c r="M3221" i="2"/>
  <c r="M3217" i="2"/>
  <c r="M3213" i="2"/>
  <c r="M3209" i="2"/>
  <c r="M3205" i="2"/>
  <c r="M3201" i="2"/>
  <c r="M3197" i="2"/>
  <c r="M3193" i="2"/>
  <c r="Q3189" i="2"/>
  <c r="M3189" i="2"/>
  <c r="M6755" i="2"/>
  <c r="Q3181" i="2"/>
  <c r="M3181" i="2"/>
  <c r="Q3177" i="2"/>
  <c r="M3177" i="2"/>
  <c r="Q2663" i="2"/>
  <c r="M2663" i="2"/>
  <c r="M3169" i="2"/>
  <c r="M6139" i="2"/>
  <c r="M3161" i="2"/>
  <c r="Q3157" i="2"/>
  <c r="M3157" i="2"/>
  <c r="Q3895" i="2"/>
  <c r="M3895" i="2"/>
  <c r="Q3149" i="2"/>
  <c r="M3149" i="2"/>
  <c r="M3145" i="2"/>
  <c r="M3141" i="2"/>
  <c r="Q3137" i="2"/>
  <c r="M3137" i="2"/>
  <c r="Q3133" i="2"/>
  <c r="M3133" i="2"/>
  <c r="Q3129" i="2"/>
  <c r="M3129" i="2"/>
  <c r="M3125" i="2"/>
  <c r="Q3121" i="2"/>
  <c r="M3121" i="2"/>
  <c r="Q3117" i="2"/>
  <c r="M3117" i="2"/>
  <c r="Q396" i="2"/>
  <c r="M396" i="2"/>
  <c r="M4119" i="2"/>
  <c r="M3105" i="2"/>
  <c r="M3101" i="2"/>
  <c r="M3097" i="2"/>
  <c r="Q2411" i="2"/>
  <c r="M2411" i="2"/>
  <c r="Q3089" i="2"/>
  <c r="M3089" i="2"/>
  <c r="Q3085" i="2"/>
  <c r="M3085" i="2"/>
  <c r="M3081" i="2"/>
  <c r="M3077" i="2"/>
  <c r="M3073" i="2"/>
  <c r="M3069" i="2"/>
  <c r="M3065" i="2"/>
  <c r="M3061" i="2"/>
  <c r="M3057" i="2"/>
  <c r="M3053" i="2"/>
  <c r="M3049" i="2"/>
  <c r="M3045" i="2"/>
  <c r="M81" i="2"/>
  <c r="Q4352" i="2"/>
  <c r="M4352" i="2"/>
  <c r="Q507" i="2"/>
  <c r="M507" i="2"/>
  <c r="Q3029" i="2"/>
  <c r="M3029" i="2"/>
  <c r="M3025" i="2"/>
  <c r="Q3021" i="2"/>
  <c r="M3021" i="2"/>
  <c r="Q3268" i="2"/>
  <c r="M3268" i="2"/>
  <c r="Q3013" i="2"/>
  <c r="M3013" i="2"/>
  <c r="M3009" i="2"/>
  <c r="M3005" i="2"/>
  <c r="M1056" i="2"/>
  <c r="Q2149" i="2"/>
  <c r="M2149" i="2"/>
  <c r="M2993" i="2"/>
  <c r="Q2989" i="2"/>
  <c r="M2989" i="2"/>
  <c r="Q2985" i="2"/>
  <c r="M2985" i="2"/>
  <c r="M2981" i="2"/>
  <c r="M217" i="2"/>
  <c r="Q2973" i="2"/>
  <c r="M2973" i="2"/>
  <c r="M2969" i="2"/>
  <c r="Q5933" i="2"/>
  <c r="M5933" i="2"/>
  <c r="Q2961" i="2"/>
  <c r="M2961" i="2"/>
  <c r="M2957" i="2"/>
  <c r="Q2953" i="2"/>
  <c r="M2953" i="2"/>
  <c r="Q1229" i="2"/>
  <c r="M1229" i="2"/>
  <c r="M2945" i="2"/>
  <c r="M2941" i="2"/>
  <c r="Q6576" i="2"/>
  <c r="M6576" i="2"/>
  <c r="M2933" i="2"/>
  <c r="M2929" i="2"/>
  <c r="M2925" i="2"/>
  <c r="M5969" i="2"/>
  <c r="M2917" i="2"/>
  <c r="M2913" i="2"/>
  <c r="Q2836" i="2"/>
  <c r="M2836" i="2"/>
  <c r="Q2905" i="2"/>
  <c r="M2905" i="2"/>
  <c r="Q4816" i="2"/>
  <c r="M4816" i="2"/>
  <c r="M2897" i="2"/>
  <c r="M2893" i="2"/>
  <c r="Q2889" i="2"/>
  <c r="M2889" i="2"/>
  <c r="Q2885" i="2"/>
  <c r="M2885" i="2"/>
  <c r="M2881" i="2"/>
  <c r="M2877" i="2"/>
  <c r="M2873" i="2"/>
  <c r="M2869" i="2"/>
  <c r="M2865" i="2"/>
  <c r="M2861" i="2"/>
  <c r="Q2857" i="2"/>
  <c r="M2857" i="2"/>
  <c r="M332" i="2"/>
  <c r="Q5517" i="2"/>
  <c r="M5517" i="2"/>
  <c r="Q2845" i="2"/>
  <c r="M2845" i="2"/>
  <c r="Q2841" i="2"/>
  <c r="M2841" i="2"/>
  <c r="M2119" i="2"/>
  <c r="M2833" i="2"/>
  <c r="M2829" i="2"/>
  <c r="Q2231" i="2"/>
  <c r="M2231" i="2"/>
  <c r="Q4059" i="2"/>
  <c r="M4059" i="2"/>
  <c r="Q2817" i="2"/>
  <c r="M2817" i="2"/>
  <c r="M2813" i="2"/>
  <c r="M2809" i="2"/>
  <c r="Q2805" i="2"/>
  <c r="M2805" i="2"/>
  <c r="Q6582" i="2"/>
  <c r="M6582" i="2"/>
  <c r="M2797" i="2"/>
  <c r="Q2793" i="2"/>
  <c r="M2793" i="2"/>
  <c r="M6720" i="2"/>
  <c r="Q6552" i="2"/>
  <c r="M6552" i="2"/>
  <c r="M2781" i="2"/>
  <c r="Q6513" i="2"/>
  <c r="M6513" i="2"/>
  <c r="M2773" i="2"/>
  <c r="Q4726" i="2"/>
  <c r="M4726" i="2"/>
  <c r="M298" i="2"/>
  <c r="Q2761" i="2"/>
  <c r="M2761" i="2"/>
  <c r="M2757" i="2"/>
  <c r="Q4414" i="2"/>
  <c r="M4414" i="2"/>
  <c r="Q2749" i="2"/>
  <c r="M2749" i="2"/>
  <c r="M2745" i="2"/>
  <c r="Q2741" i="2"/>
  <c r="M2741" i="2"/>
  <c r="Q2737" i="2"/>
  <c r="M2737" i="2"/>
  <c r="Q2414" i="2"/>
  <c r="M2414" i="2"/>
  <c r="M2729" i="2"/>
  <c r="M2725" i="2"/>
  <c r="Q2721" i="2"/>
  <c r="M2721" i="2"/>
  <c r="Q6833" i="2"/>
  <c r="M6833" i="2"/>
  <c r="Q2713" i="2"/>
  <c r="M2713" i="2"/>
  <c r="M2709" i="2"/>
  <c r="Q2705" i="2"/>
  <c r="M2705" i="2"/>
  <c r="Q6104" i="2"/>
  <c r="M6104" i="2"/>
  <c r="Q5010" i="2"/>
  <c r="M5010" i="2"/>
  <c r="M2693" i="2"/>
  <c r="Q4882" i="2"/>
  <c r="M4882" i="2"/>
  <c r="Q2685" i="2"/>
  <c r="M2685" i="2"/>
  <c r="M2681" i="2"/>
  <c r="Q7151" i="2"/>
  <c r="M7151" i="2"/>
  <c r="M2673" i="2"/>
  <c r="M4392" i="2"/>
  <c r="M2665" i="2"/>
  <c r="M2661" i="2"/>
  <c r="M2657" i="2"/>
  <c r="M2653" i="2"/>
  <c r="M2649" i="2"/>
  <c r="Q2480" i="2"/>
  <c r="M2480" i="2"/>
  <c r="M2641" i="2"/>
  <c r="M2637" i="2"/>
  <c r="M2633" i="2"/>
  <c r="M2629" i="2"/>
  <c r="Q2625" i="2"/>
  <c r="M2625" i="2"/>
  <c r="M2621" i="2"/>
  <c r="M2617" i="2"/>
  <c r="M2613" i="2"/>
  <c r="Q2609" i="2"/>
  <c r="M2609" i="2"/>
  <c r="M2605" i="2"/>
  <c r="M2601" i="2"/>
  <c r="Q2597" i="2"/>
  <c r="M2597" i="2"/>
  <c r="M2593" i="2"/>
  <c r="M2589" i="2"/>
  <c r="Q2585" i="2"/>
  <c r="M2585" i="2"/>
  <c r="M2581" i="2"/>
  <c r="Q5935" i="2"/>
  <c r="M5935" i="2"/>
  <c r="M2573" i="2"/>
  <c r="Q2569" i="2"/>
  <c r="M2569" i="2"/>
  <c r="Q2565" i="2"/>
  <c r="M2565" i="2"/>
  <c r="Q2561" i="2"/>
  <c r="M2561" i="2"/>
  <c r="M2557" i="2"/>
  <c r="M2553" i="2"/>
  <c r="M2549" i="2"/>
  <c r="Q2545" i="2"/>
  <c r="M2545" i="2"/>
  <c r="Q3727" i="2"/>
  <c r="M3727" i="2"/>
  <c r="Q1362" i="2"/>
  <c r="M1362" i="2"/>
  <c r="M2533" i="2"/>
  <c r="Q2529" i="2"/>
  <c r="M2529" i="2"/>
  <c r="M2525" i="2"/>
  <c r="Q2521" i="2"/>
  <c r="M2521" i="2"/>
  <c r="Q4295" i="2"/>
  <c r="M4295" i="2"/>
  <c r="M2513" i="2"/>
  <c r="M2509" i="2"/>
  <c r="M2505" i="2"/>
  <c r="Q2501" i="2"/>
  <c r="M2501" i="2"/>
  <c r="Q2497" i="2"/>
  <c r="M2497" i="2"/>
  <c r="Q2493" i="2"/>
  <c r="M2493" i="2"/>
  <c r="M2489" i="2"/>
  <c r="M2485" i="2"/>
  <c r="M2481" i="2"/>
  <c r="Q2694" i="2"/>
  <c r="M2694" i="2"/>
  <c r="Q6939" i="2"/>
  <c r="M6939" i="2"/>
  <c r="Q2469" i="2"/>
  <c r="M2469" i="2"/>
  <c r="M2465" i="2"/>
  <c r="Q2461" i="2"/>
  <c r="M2461" i="2"/>
  <c r="Q2457" i="2"/>
  <c r="M2457" i="2"/>
  <c r="Q2453" i="2"/>
  <c r="M2453" i="2"/>
  <c r="M2449" i="2"/>
  <c r="Q2445" i="2"/>
  <c r="M2445" i="2"/>
  <c r="Q2441" i="2"/>
  <c r="M2441" i="2"/>
  <c r="M2437" i="2"/>
  <c r="M2433" i="2"/>
  <c r="M2429" i="2"/>
  <c r="M2425" i="2"/>
  <c r="Q2712" i="2"/>
  <c r="M2712" i="2"/>
  <c r="M5706" i="2"/>
  <c r="Q3745" i="2"/>
  <c r="M3745" i="2"/>
  <c r="M2409" i="2"/>
  <c r="Q4857" i="2"/>
  <c r="M4857" i="2"/>
  <c r="Q4003" i="2"/>
  <c r="M4003" i="2"/>
  <c r="M2397" i="2"/>
  <c r="M2393" i="2"/>
  <c r="M2389" i="2"/>
  <c r="M2385" i="2"/>
  <c r="M1896" i="2"/>
  <c r="Q6289" i="2"/>
  <c r="M6289" i="2"/>
  <c r="Q6554" i="2"/>
  <c r="M6554" i="2"/>
  <c r="Q2369" i="2"/>
  <c r="M2369" i="2"/>
  <c r="M2365" i="2"/>
  <c r="Q2361" i="2"/>
  <c r="M2361" i="2"/>
  <c r="M2357" i="2"/>
  <c r="M2353" i="2"/>
  <c r="Q2349" i="2"/>
  <c r="M2349" i="2"/>
  <c r="Q5303" i="2"/>
  <c r="M5303" i="2"/>
  <c r="M2834" i="2"/>
  <c r="Q2337" i="2"/>
  <c r="M2337" i="2"/>
  <c r="Q2333" i="2"/>
  <c r="M2333" i="2"/>
  <c r="Q2329" i="2"/>
  <c r="M2329" i="2"/>
  <c r="M2325" i="2"/>
  <c r="M2321" i="2"/>
  <c r="M2317" i="2"/>
  <c r="M2313" i="2"/>
  <c r="Q1296" i="2"/>
  <c r="M1296" i="2"/>
  <c r="M2305" i="2"/>
  <c r="Q5569" i="2"/>
  <c r="M5569" i="2"/>
  <c r="Q3166" i="2"/>
  <c r="M3166" i="2"/>
  <c r="M1075" i="2"/>
  <c r="Q2289" i="2"/>
  <c r="M2289" i="2"/>
  <c r="Q2285" i="2"/>
  <c r="M2285" i="2"/>
  <c r="Q2281" i="2"/>
  <c r="M2281" i="2"/>
  <c r="M4370" i="2"/>
  <c r="Q2273" i="2"/>
  <c r="M2273" i="2"/>
  <c r="Q6876" i="2"/>
  <c r="M6876" i="2"/>
  <c r="Q2265" i="2"/>
  <c r="M2265" i="2"/>
  <c r="M5319" i="2"/>
  <c r="Q2257" i="2"/>
  <c r="M2257" i="2"/>
  <c r="Q2253" i="2"/>
  <c r="M2253" i="2"/>
  <c r="Q6909" i="2"/>
  <c r="M6909" i="2"/>
  <c r="M2245" i="2"/>
  <c r="M2241" i="2"/>
  <c r="M2237" i="2"/>
  <c r="Q2233" i="2"/>
  <c r="M2233" i="2"/>
  <c r="M2229" i="2"/>
  <c r="M2225" i="2"/>
  <c r="M2221" i="2"/>
  <c r="Q2821" i="2"/>
  <c r="M2821" i="2"/>
  <c r="M2213" i="2"/>
  <c r="M2209" i="2"/>
  <c r="M2205" i="2"/>
  <c r="M2201" i="2"/>
  <c r="Q2197" i="2"/>
  <c r="M2197" i="2"/>
  <c r="M2193" i="2"/>
  <c r="M2189" i="2"/>
  <c r="M2185" i="2"/>
  <c r="Q1505" i="2"/>
  <c r="M1505" i="2"/>
  <c r="Q2177" i="2"/>
  <c r="M2177" i="2"/>
  <c r="Q6848" i="2"/>
  <c r="M6848" i="2"/>
  <c r="M2169" i="2"/>
  <c r="M2165" i="2"/>
  <c r="Q2708" i="2"/>
  <c r="M2708" i="2"/>
  <c r="Q4986" i="2"/>
  <c r="M4986" i="2"/>
  <c r="Q2153" i="2"/>
  <c r="M2153" i="2"/>
  <c r="M71" i="2"/>
  <c r="Q5143" i="2"/>
  <c r="M5143" i="2"/>
  <c r="Q2141" i="2"/>
  <c r="M2141" i="2"/>
  <c r="M2137" i="2"/>
  <c r="M2133" i="2"/>
  <c r="Q2129" i="2"/>
  <c r="M2129" i="2"/>
  <c r="M6488" i="2"/>
  <c r="M2121" i="2"/>
  <c r="Q6298" i="2"/>
  <c r="M6298" i="2"/>
  <c r="Q2113" i="2"/>
  <c r="M2113" i="2"/>
  <c r="Q2109" i="2"/>
  <c r="M2109" i="2"/>
  <c r="M3679" i="2"/>
  <c r="Q2101" i="2"/>
  <c r="M2101" i="2"/>
  <c r="Q1926" i="2"/>
  <c r="M1926" i="2"/>
  <c r="Q2093" i="2"/>
  <c r="M2093" i="2"/>
  <c r="M2089" i="2"/>
  <c r="M2085" i="2"/>
  <c r="Q6424" i="2"/>
  <c r="M6424" i="2"/>
  <c r="Q1971" i="2"/>
  <c r="M1971" i="2"/>
  <c r="Q2073" i="2"/>
  <c r="M2073" i="2"/>
  <c r="M1535" i="2"/>
  <c r="M2065" i="2"/>
  <c r="Q6656" i="2"/>
  <c r="M6656" i="2"/>
  <c r="M2057" i="2"/>
  <c r="Q2100" i="2"/>
  <c r="M2100" i="2"/>
  <c r="M2049" i="2"/>
  <c r="M2045" i="2"/>
  <c r="Q2041" i="2"/>
  <c r="M2041" i="2"/>
  <c r="M2037" i="2"/>
  <c r="M2033" i="2"/>
  <c r="M2029" i="2"/>
  <c r="M2025" i="2"/>
  <c r="M2021" i="2"/>
  <c r="Q2017" i="2"/>
  <c r="M2017" i="2"/>
  <c r="M2013" i="2"/>
  <c r="M2009" i="2"/>
  <c r="Q6940" i="2"/>
  <c r="M6940" i="2"/>
  <c r="M2001" i="2"/>
  <c r="M1997" i="2"/>
  <c r="M1993" i="2"/>
  <c r="M1989" i="2"/>
  <c r="Q1985" i="2"/>
  <c r="M1985" i="2"/>
  <c r="M2824" i="2"/>
  <c r="M1977" i="2"/>
  <c r="M1973" i="2"/>
  <c r="Q1969" i="2"/>
  <c r="M1969" i="2"/>
  <c r="Q1965" i="2"/>
  <c r="M1965" i="2"/>
  <c r="M1961" i="2"/>
  <c r="Q5649" i="2"/>
  <c r="M5649" i="2"/>
  <c r="M4946" i="2"/>
  <c r="Q3307" i="2"/>
  <c r="M3307" i="2"/>
  <c r="M1945" i="2"/>
  <c r="Q1941" i="2"/>
  <c r="M1941" i="2"/>
  <c r="Q1937" i="2"/>
  <c r="M1937" i="2"/>
  <c r="M1933" i="2"/>
  <c r="M1929" i="2"/>
  <c r="Q1925" i="2"/>
  <c r="M1925" i="2"/>
  <c r="Q1921" i="2"/>
  <c r="M1921" i="2"/>
  <c r="M1917" i="2"/>
  <c r="M1913" i="2"/>
  <c r="Q1909" i="2"/>
  <c r="M1909" i="2"/>
  <c r="M1905" i="2"/>
  <c r="Q6747" i="2"/>
  <c r="M6747" i="2"/>
  <c r="Q1897" i="2"/>
  <c r="M1897" i="2"/>
  <c r="Q1893" i="2"/>
  <c r="M1893" i="2"/>
  <c r="M1889" i="2"/>
  <c r="Q1885" i="2"/>
  <c r="M1885" i="2"/>
  <c r="Q1881" i="2"/>
  <c r="M1881" i="2"/>
  <c r="Q1867" i="2"/>
  <c r="M1867" i="2"/>
  <c r="M1873" i="2"/>
  <c r="Q1869" i="2"/>
  <c r="M1869" i="2"/>
  <c r="Q1865" i="2"/>
  <c r="M1865" i="2"/>
  <c r="Q1861" i="2"/>
  <c r="M1861" i="2"/>
  <c r="M1857" i="2"/>
  <c r="Q1853" i="2"/>
  <c r="M1853" i="2"/>
  <c r="Q6787" i="2"/>
  <c r="M6787" i="2"/>
  <c r="Q1845" i="2"/>
  <c r="M1845" i="2"/>
  <c r="M1841" i="2"/>
  <c r="M1837" i="2"/>
  <c r="M4497" i="2"/>
  <c r="M1829" i="2"/>
  <c r="Q1825" i="2"/>
  <c r="M1825" i="2"/>
  <c r="M1821" i="2"/>
  <c r="Q1817" i="2"/>
  <c r="M1817" i="2"/>
  <c r="M1813" i="2"/>
  <c r="M1809" i="2"/>
  <c r="Q4103" i="2"/>
  <c r="M4103" i="2"/>
  <c r="M1801" i="2"/>
  <c r="M2577" i="2"/>
  <c r="Q4568" i="2"/>
  <c r="M4568" i="2"/>
  <c r="M1789" i="2"/>
  <c r="Q1785" i="2"/>
  <c r="M1785" i="2"/>
  <c r="M1781" i="2"/>
  <c r="M1777" i="2"/>
  <c r="M1773" i="2"/>
  <c r="M1769" i="2"/>
  <c r="M1765" i="2"/>
  <c r="M1761" i="2"/>
  <c r="M1757" i="2"/>
  <c r="M1753" i="2"/>
  <c r="M1749" i="2"/>
  <c r="Q1745" i="2"/>
  <c r="M1745" i="2"/>
  <c r="M1741" i="2"/>
  <c r="M1737" i="2"/>
  <c r="M1733" i="2"/>
  <c r="M1729" i="2"/>
  <c r="M438" i="2"/>
  <c r="Q1721" i="2"/>
  <c r="M1721" i="2"/>
  <c r="Q1717" i="2"/>
  <c r="M1717" i="2"/>
  <c r="Q1713" i="2"/>
  <c r="M1713" i="2"/>
  <c r="M7112" i="2"/>
  <c r="Q1705" i="2"/>
  <c r="M1705" i="2"/>
  <c r="M1701" i="2"/>
  <c r="Q1697" i="2"/>
  <c r="M1697" i="2"/>
  <c r="M1693" i="2"/>
  <c r="M1689" i="2"/>
  <c r="M1685" i="2"/>
  <c r="M1681" i="2"/>
  <c r="Q1677" i="2"/>
  <c r="M1677" i="2"/>
  <c r="M1673" i="2"/>
  <c r="M1669" i="2"/>
  <c r="M6886" i="2"/>
  <c r="M1661" i="2"/>
  <c r="Q5832" i="2"/>
  <c r="M5832" i="2"/>
  <c r="Q1653" i="2"/>
  <c r="M1653" i="2"/>
  <c r="Q1649" i="2"/>
  <c r="M1649" i="2"/>
  <c r="M1645" i="2"/>
  <c r="M1641" i="2"/>
  <c r="M5399" i="2"/>
  <c r="M1633" i="2"/>
  <c r="Q1629" i="2"/>
  <c r="M1629" i="2"/>
  <c r="M1625" i="2"/>
  <c r="M1621" i="2"/>
  <c r="M1617" i="2"/>
  <c r="Q1656" i="2"/>
  <c r="M1656" i="2"/>
  <c r="M4569" i="2"/>
  <c r="Q1605" i="2"/>
  <c r="M1605" i="2"/>
  <c r="Q1601" i="2"/>
  <c r="M1601" i="2"/>
  <c r="Q2776" i="2"/>
  <c r="M2776" i="2"/>
  <c r="M1593" i="2"/>
  <c r="Q1589" i="2"/>
  <c r="M1589" i="2"/>
  <c r="M3998" i="2"/>
  <c r="M1581" i="2"/>
  <c r="Q4486" i="2"/>
  <c r="M4486" i="2"/>
  <c r="M1573" i="2"/>
  <c r="M1569" i="2"/>
  <c r="M1565" i="2"/>
  <c r="M1561" i="2"/>
  <c r="M1557" i="2"/>
  <c r="Q1553" i="2"/>
  <c r="M1553" i="2"/>
  <c r="M1549" i="2"/>
  <c r="Q4747" i="2"/>
  <c r="M4747" i="2"/>
  <c r="M1541" i="2"/>
  <c r="Q1342" i="2"/>
  <c r="M1342" i="2"/>
  <c r="M1533" i="2"/>
  <c r="M1529" i="2"/>
  <c r="M5848" i="2"/>
  <c r="Q4055" i="2"/>
  <c r="M4055" i="2"/>
  <c r="M382" i="2"/>
  <c r="M1513" i="2"/>
  <c r="Q1509" i="2"/>
  <c r="M1509" i="2"/>
  <c r="M6543" i="2"/>
  <c r="Q489" i="2"/>
  <c r="M489" i="2"/>
  <c r="Q1497" i="2"/>
  <c r="M1497" i="2"/>
  <c r="M1493" i="2"/>
  <c r="Q1489" i="2"/>
  <c r="M1489" i="2"/>
  <c r="M1485" i="2"/>
  <c r="M1481" i="2"/>
  <c r="M1477" i="2"/>
  <c r="Q1932" i="2"/>
  <c r="M1932" i="2"/>
  <c r="M1469" i="2"/>
  <c r="M1465" i="2"/>
  <c r="M393" i="2"/>
  <c r="M1457" i="2"/>
  <c r="Q4868" i="2"/>
  <c r="M4868" i="2"/>
  <c r="M6530" i="2"/>
  <c r="Q1445" i="2"/>
  <c r="M1445" i="2"/>
  <c r="Q1441" i="2"/>
  <c r="M1441" i="2"/>
  <c r="Q7019" i="2"/>
  <c r="M7019" i="2"/>
  <c r="M1433" i="2"/>
  <c r="M1429" i="2"/>
  <c r="Q5638" i="2"/>
  <c r="M5638" i="2"/>
  <c r="M4216" i="2"/>
  <c r="Q6938" i="2"/>
  <c r="M6938" i="2"/>
  <c r="M3954" i="2"/>
  <c r="Q1409" i="2"/>
  <c r="M1409" i="2"/>
  <c r="M1405" i="2"/>
  <c r="Q1401" i="2"/>
  <c r="M1401" i="2"/>
  <c r="Q6071" i="2"/>
  <c r="M6071" i="2"/>
  <c r="M5118" i="2"/>
  <c r="M1389" i="2"/>
  <c r="Q1385" i="2"/>
  <c r="M1385" i="2"/>
  <c r="M1381" i="2"/>
  <c r="Q1530" i="2"/>
  <c r="M1530" i="2"/>
  <c r="M1373" i="2"/>
  <c r="M1369" i="2"/>
  <c r="M1365" i="2"/>
  <c r="M1361" i="2"/>
  <c r="M1357" i="2"/>
  <c r="Q1353" i="2"/>
  <c r="M1353" i="2"/>
  <c r="M1349" i="2"/>
  <c r="Q3923" i="2"/>
  <c r="M3923" i="2"/>
  <c r="Q1341" i="2"/>
  <c r="M1341" i="2"/>
  <c r="M1337" i="2"/>
  <c r="M1333" i="2"/>
  <c r="M1329" i="2"/>
  <c r="M1325" i="2"/>
  <c r="Q1321" i="2"/>
  <c r="M1321" i="2"/>
  <c r="M1317" i="2"/>
  <c r="M1018" i="2"/>
  <c r="M1309" i="2"/>
  <c r="M1305" i="2"/>
  <c r="M1301" i="2"/>
  <c r="Q5514" i="2"/>
  <c r="M5514" i="2"/>
  <c r="M1293" i="2"/>
  <c r="Q2095" i="2"/>
  <c r="M2095" i="2"/>
  <c r="Q4854" i="2"/>
  <c r="M4854" i="2"/>
  <c r="Q1281" i="2"/>
  <c r="M1281" i="2"/>
  <c r="M1277" i="2"/>
  <c r="M1273" i="2"/>
  <c r="M1269" i="2"/>
  <c r="Q381" i="2"/>
  <c r="M381" i="2"/>
  <c r="M1261" i="2"/>
  <c r="Q1257" i="2"/>
  <c r="M1257" i="2"/>
  <c r="M1253" i="2"/>
  <c r="M1249" i="2"/>
  <c r="Q1245" i="2"/>
  <c r="M1245" i="2"/>
  <c r="Q1241" i="2"/>
  <c r="M1241" i="2"/>
  <c r="Q1390" i="2"/>
  <c r="M1390" i="2"/>
  <c r="M227" i="2"/>
  <c r="Q6518" i="2"/>
  <c r="M6518" i="2"/>
  <c r="M1418" i="2"/>
  <c r="Q1221" i="2"/>
  <c r="M1221" i="2"/>
  <c r="M1217" i="2"/>
  <c r="M3701" i="2"/>
  <c r="Q1209" i="2"/>
  <c r="M1209" i="2"/>
  <c r="Q1205" i="2"/>
  <c r="M1205" i="2"/>
  <c r="Q1201" i="2"/>
  <c r="M1201" i="2"/>
  <c r="M1197" i="2"/>
  <c r="Q7055" i="2"/>
  <c r="M7055" i="2"/>
  <c r="M1189" i="2"/>
  <c r="M5299" i="2"/>
  <c r="Q1181" i="2"/>
  <c r="M1181" i="2"/>
  <c r="M4362" i="2"/>
  <c r="M1173" i="2"/>
  <c r="Q1169" i="2"/>
  <c r="M1169" i="2"/>
  <c r="M1165" i="2"/>
  <c r="Q5360" i="2"/>
  <c r="M5360" i="2"/>
  <c r="Q1157" i="2"/>
  <c r="M1157" i="2"/>
  <c r="M1153" i="2"/>
  <c r="M1149" i="2"/>
  <c r="Q1145" i="2"/>
  <c r="M1145" i="2"/>
  <c r="M1141" i="2"/>
  <c r="M1137" i="2"/>
  <c r="M1133" i="2"/>
  <c r="M1129" i="2"/>
  <c r="M1125" i="2"/>
  <c r="M1121" i="2"/>
  <c r="M3706" i="2"/>
  <c r="Q4846" i="2"/>
  <c r="M4846" i="2"/>
  <c r="M1109" i="2"/>
  <c r="M1105" i="2"/>
  <c r="Q1101" i="2"/>
  <c r="M1101" i="2"/>
  <c r="Q5637" i="2"/>
  <c r="M5637" i="2"/>
  <c r="Q1313" i="2"/>
  <c r="M1313" i="2"/>
  <c r="M1089" i="2"/>
  <c r="M6596" i="2"/>
  <c r="M1081" i="2"/>
  <c r="Q938" i="2"/>
  <c r="M938" i="2"/>
  <c r="M2053" i="2"/>
  <c r="M1069" i="2"/>
  <c r="Q6709" i="2"/>
  <c r="M6709" i="2"/>
  <c r="M5748" i="2"/>
  <c r="Q3112" i="2"/>
  <c r="M3112" i="2"/>
  <c r="Q2471" i="2"/>
  <c r="M2471" i="2"/>
  <c r="Q4196" i="2"/>
  <c r="M4196" i="2"/>
  <c r="M2971" i="2"/>
  <c r="M1041" i="2"/>
  <c r="Q1037" i="2"/>
  <c r="M1037" i="2"/>
  <c r="M1033" i="2"/>
  <c r="M1029" i="2"/>
  <c r="M1025" i="2"/>
  <c r="M4214" i="2"/>
  <c r="Q6074" i="2"/>
  <c r="M6074" i="2"/>
  <c r="M6907" i="2"/>
  <c r="Q1009" i="2"/>
  <c r="M1009" i="2"/>
  <c r="Q1005" i="2"/>
  <c r="M1005" i="2"/>
  <c r="M1001" i="2"/>
  <c r="Q1981" i="2"/>
  <c r="M1981" i="2"/>
  <c r="M993" i="2"/>
  <c r="Q989" i="2"/>
  <c r="M989" i="2"/>
  <c r="M1039" i="2"/>
  <c r="Q981" i="2"/>
  <c r="M981" i="2"/>
  <c r="M977" i="2"/>
  <c r="M973" i="2"/>
  <c r="M969" i="2"/>
  <c r="Q5707" i="2"/>
  <c r="M5707" i="2"/>
  <c r="M961" i="2"/>
  <c r="M957" i="2"/>
  <c r="Q953" i="2"/>
  <c r="M953" i="2"/>
  <c r="Q949" i="2"/>
  <c r="M949" i="2"/>
  <c r="M945" i="2"/>
  <c r="M941" i="2"/>
  <c r="Q5709" i="2"/>
  <c r="M5709" i="2"/>
  <c r="M933" i="2"/>
  <c r="Q929" i="2"/>
  <c r="M929" i="2"/>
  <c r="M925" i="2"/>
  <c r="M921" i="2"/>
  <c r="M917" i="2"/>
  <c r="M913" i="2"/>
  <c r="M909" i="2"/>
  <c r="M905" i="2"/>
  <c r="M901" i="2"/>
  <c r="M897" i="2"/>
  <c r="M893" i="2"/>
  <c r="M889" i="2"/>
  <c r="M885" i="2"/>
  <c r="M881" i="2"/>
  <c r="M877" i="2"/>
  <c r="Q873" i="2"/>
  <c r="M873" i="2"/>
  <c r="M869" i="2"/>
  <c r="Q865" i="2"/>
  <c r="M865" i="2"/>
  <c r="Q861" i="2"/>
  <c r="M861" i="2"/>
  <c r="M2765" i="2"/>
  <c r="Q853" i="2"/>
  <c r="M853" i="2"/>
  <c r="M849" i="2"/>
  <c r="M845" i="2"/>
  <c r="M841" i="2"/>
  <c r="M837" i="2"/>
  <c r="M833" i="2"/>
  <c r="M829" i="2"/>
  <c r="Q825" i="2"/>
  <c r="M825" i="2"/>
  <c r="M821" i="2"/>
  <c r="M817" i="2"/>
  <c r="M372" i="2"/>
  <c r="Q809" i="2"/>
  <c r="M809" i="2"/>
  <c r="Q805" i="2"/>
  <c r="M805" i="2"/>
  <c r="Q801" i="2"/>
  <c r="M801" i="2"/>
  <c r="M797" i="2"/>
  <c r="M793" i="2"/>
  <c r="Q789" i="2"/>
  <c r="M789" i="2"/>
  <c r="M785" i="2"/>
  <c r="M781" i="2"/>
  <c r="M777" i="2"/>
  <c r="M773" i="2"/>
  <c r="Q3454" i="2"/>
  <c r="M3454" i="2"/>
  <c r="M765" i="2"/>
  <c r="M5840" i="2"/>
  <c r="Q757" i="2"/>
  <c r="M757" i="2"/>
  <c r="Q753" i="2"/>
  <c r="M753" i="2"/>
  <c r="Q2306" i="2"/>
  <c r="M2306" i="2"/>
  <c r="M745" i="2"/>
  <c r="Q741" i="2"/>
  <c r="M741" i="2"/>
  <c r="M737" i="2"/>
  <c r="Q5009" i="2"/>
  <c r="M5009" i="2"/>
  <c r="M729" i="2"/>
  <c r="M725" i="2"/>
  <c r="M721" i="2"/>
  <c r="M717" i="2"/>
  <c r="M713" i="2"/>
  <c r="M709" i="2"/>
  <c r="Q3922" i="2"/>
  <c r="M3922" i="2"/>
  <c r="Q701" i="2"/>
  <c r="M701" i="2"/>
  <c r="Q697" i="2"/>
  <c r="M697" i="2"/>
  <c r="M3180" i="2"/>
  <c r="M689" i="2"/>
  <c r="Q685" i="2"/>
  <c r="M685" i="2"/>
  <c r="M681" i="2"/>
  <c r="Q1878" i="2"/>
  <c r="M1878" i="2"/>
  <c r="M6896" i="2"/>
  <c r="Q669" i="2"/>
  <c r="M669" i="2"/>
  <c r="Q665" i="2"/>
  <c r="M665" i="2"/>
  <c r="M661" i="2"/>
  <c r="Q657" i="2"/>
  <c r="M657" i="2"/>
  <c r="M6553" i="2"/>
  <c r="M649" i="2"/>
  <c r="Q645" i="2"/>
  <c r="M645" i="2"/>
  <c r="M641" i="2"/>
  <c r="M637" i="2"/>
  <c r="Q5611" i="2"/>
  <c r="M5611" i="2"/>
  <c r="M629" i="2"/>
  <c r="M625" i="2"/>
  <c r="M621" i="2"/>
  <c r="Q617" i="2"/>
  <c r="M617" i="2"/>
  <c r="Q4566" i="2"/>
  <c r="M4566" i="2"/>
  <c r="Q609" i="2"/>
  <c r="M609" i="2"/>
  <c r="M605" i="2"/>
  <c r="M601" i="2"/>
  <c r="M597" i="2"/>
  <c r="M593" i="2"/>
  <c r="M589" i="2"/>
  <c r="Q585" i="2"/>
  <c r="M585" i="2"/>
  <c r="M2700" i="2"/>
  <c r="Q577" i="2"/>
  <c r="M577" i="2"/>
  <c r="M573" i="2"/>
  <c r="Q569" i="2"/>
  <c r="M569" i="2"/>
  <c r="Q565" i="2"/>
  <c r="M565" i="2"/>
  <c r="Q561" i="2"/>
  <c r="M561" i="2"/>
  <c r="M3690" i="2"/>
  <c r="Q6512" i="2"/>
  <c r="M6512" i="2"/>
  <c r="M4022" i="2"/>
  <c r="Q545" i="2"/>
  <c r="M545" i="2"/>
  <c r="M541" i="2"/>
  <c r="M537" i="2"/>
  <c r="M533" i="2"/>
  <c r="Q529" i="2"/>
  <c r="M529" i="2"/>
  <c r="Q525" i="2"/>
  <c r="M525" i="2"/>
  <c r="Q521" i="2"/>
  <c r="M521" i="2"/>
  <c r="M517" i="2"/>
  <c r="Q513" i="2"/>
  <c r="M513" i="2"/>
  <c r="M509" i="2"/>
  <c r="M505" i="2"/>
  <c r="M501" i="2"/>
  <c r="M497" i="2"/>
  <c r="M493" i="2"/>
  <c r="Q5775" i="2"/>
  <c r="M5775" i="2"/>
  <c r="M485" i="2"/>
  <c r="Q481" i="2"/>
  <c r="M481" i="2"/>
  <c r="Q477" i="2"/>
  <c r="M477" i="2"/>
  <c r="M473" i="2"/>
  <c r="Q4565" i="2"/>
  <c r="M4565" i="2"/>
  <c r="M465" i="2"/>
  <c r="M461" i="2"/>
  <c r="M457" i="2"/>
  <c r="M453" i="2"/>
  <c r="M4208" i="2"/>
  <c r="Q6772" i="2"/>
  <c r="M6772" i="2"/>
  <c r="M441" i="2"/>
  <c r="M5636" i="2"/>
  <c r="Q6680" i="2"/>
  <c r="M6680" i="2"/>
  <c r="M429" i="2"/>
  <c r="M425" i="2"/>
  <c r="Q1835" i="2"/>
  <c r="M1835" i="2"/>
  <c r="Q417" i="2"/>
  <c r="M417" i="2"/>
  <c r="Q413" i="2"/>
  <c r="M413" i="2"/>
  <c r="M409" i="2"/>
  <c r="M405" i="2"/>
  <c r="M3880" i="2"/>
  <c r="Q5579" i="2"/>
  <c r="M5579" i="2"/>
  <c r="M1525" i="2"/>
  <c r="Q1683" i="2"/>
  <c r="M1683" i="2"/>
  <c r="M10" i="2"/>
  <c r="Q2768" i="2"/>
  <c r="M2768" i="2"/>
  <c r="Q377" i="2"/>
  <c r="M377" i="2"/>
  <c r="Q5845" i="2"/>
  <c r="M5845" i="2"/>
  <c r="M369" i="2"/>
  <c r="M2147" i="2"/>
  <c r="Q6813" i="2"/>
  <c r="M6813" i="2"/>
  <c r="M357" i="2"/>
  <c r="M353" i="2"/>
  <c r="Q349" i="2"/>
  <c r="M349" i="2"/>
  <c r="M345" i="2"/>
  <c r="Q6590" i="2"/>
  <c r="M6590" i="2"/>
  <c r="Q337" i="2"/>
  <c r="M337" i="2"/>
  <c r="M333" i="2"/>
  <c r="Q5610" i="2"/>
  <c r="M5610" i="2"/>
  <c r="M325" i="2"/>
  <c r="Q321" i="2"/>
  <c r="M321" i="2"/>
  <c r="M317" i="2"/>
  <c r="Q4941" i="2"/>
  <c r="M4941" i="2"/>
  <c r="M309" i="2"/>
  <c r="M3023" i="2"/>
  <c r="M301" i="2"/>
  <c r="M297" i="2"/>
  <c r="M293" i="2"/>
  <c r="Q289" i="2"/>
  <c r="M289" i="2"/>
  <c r="M285" i="2"/>
  <c r="Q281" i="2"/>
  <c r="M281" i="2"/>
  <c r="M277" i="2"/>
  <c r="Q273" i="2"/>
  <c r="M273" i="2"/>
  <c r="M269" i="2"/>
  <c r="M1017" i="2"/>
  <c r="M261" i="2"/>
  <c r="Q257" i="2"/>
  <c r="M257" i="2"/>
  <c r="M253" i="2"/>
  <c r="M249" i="2"/>
  <c r="Q245" i="2"/>
  <c r="M245" i="2"/>
  <c r="M3422" i="2"/>
  <c r="Q3946" i="2"/>
  <c r="M3946" i="2"/>
  <c r="Q3718" i="2"/>
  <c r="M3718" i="2"/>
  <c r="M229" i="2"/>
  <c r="Q2203" i="2"/>
  <c r="M2203" i="2"/>
  <c r="M221" i="2"/>
  <c r="Q5138" i="2"/>
  <c r="M5138" i="2"/>
  <c r="M213" i="2"/>
  <c r="Q2180" i="2"/>
  <c r="M2180" i="2"/>
  <c r="M205" i="2"/>
  <c r="Q201" i="2"/>
  <c r="M201" i="2"/>
  <c r="Q1848" i="2"/>
  <c r="M1848" i="2"/>
  <c r="M193" i="2"/>
  <c r="Q373" i="2"/>
  <c r="M373" i="2"/>
  <c r="M185" i="2"/>
  <c r="Q181" i="2"/>
  <c r="M181" i="2"/>
  <c r="M2048" i="2"/>
  <c r="Q173" i="2"/>
  <c r="M173" i="2"/>
  <c r="M169" i="2"/>
  <c r="M165" i="2"/>
  <c r="Q161" i="2"/>
  <c r="M161" i="2"/>
  <c r="Q157" i="2"/>
  <c r="M157" i="2"/>
  <c r="M153" i="2"/>
  <c r="Q149" i="2"/>
  <c r="M149" i="2"/>
  <c r="M5573" i="2"/>
  <c r="Q2756" i="2"/>
  <c r="M2756" i="2"/>
  <c r="M6390" i="2"/>
  <c r="Q1807" i="2"/>
  <c r="M1807" i="2"/>
  <c r="M129" i="2"/>
  <c r="M125" i="2"/>
  <c r="Q121" i="2"/>
  <c r="M121" i="2"/>
  <c r="Q117" i="2"/>
  <c r="M117" i="2"/>
  <c r="M113" i="2"/>
  <c r="Q557" i="2"/>
  <c r="M557" i="2"/>
  <c r="M105" i="2"/>
  <c r="Q101" i="2"/>
  <c r="M101" i="2"/>
  <c r="M97" i="2"/>
  <c r="M93" i="2"/>
  <c r="M89" i="2"/>
  <c r="Q350" i="2"/>
  <c r="M350" i="2"/>
  <c r="M4075" i="2"/>
  <c r="Q77" i="2"/>
  <c r="M77" i="2"/>
  <c r="M73" i="2"/>
  <c r="M69" i="2"/>
  <c r="Q65" i="2"/>
  <c r="M65" i="2"/>
  <c r="M61" i="2"/>
  <c r="M57" i="2"/>
  <c r="M53" i="2"/>
  <c r="M49" i="2"/>
  <c r="Q655" i="2"/>
  <c r="M655" i="2"/>
  <c r="M41" i="2"/>
  <c r="Q6996" i="2"/>
  <c r="M6996" i="2"/>
  <c r="M33" i="2"/>
  <c r="M29" i="2"/>
  <c r="M25" i="2"/>
  <c r="M21" i="2"/>
  <c r="M17" i="2"/>
  <c r="M13" i="2"/>
  <c r="M9" i="2"/>
  <c r="M5" i="2"/>
  <c r="O9999" i="2"/>
  <c r="M9999" i="2"/>
  <c r="O9995" i="2"/>
  <c r="M9995" i="2"/>
  <c r="O9991" i="2"/>
  <c r="M9991" i="2"/>
  <c r="O9987" i="2"/>
  <c r="M9987" i="2"/>
  <c r="O9983" i="2"/>
  <c r="M9983" i="2"/>
  <c r="O9979" i="2"/>
  <c r="M9979" i="2"/>
  <c r="O9975" i="2"/>
  <c r="M9975" i="2"/>
  <c r="O9971" i="2"/>
  <c r="M9971" i="2"/>
  <c r="O9967" i="2"/>
  <c r="M9967" i="2"/>
  <c r="O9963" i="2"/>
  <c r="M9963" i="2"/>
  <c r="O9959" i="2"/>
  <c r="M9959" i="2"/>
  <c r="O9955" i="2"/>
  <c r="M9955" i="2"/>
  <c r="O9951" i="2"/>
  <c r="M9951" i="2"/>
  <c r="O9947" i="2"/>
  <c r="M9947" i="2"/>
  <c r="O9943" i="2"/>
  <c r="M9943" i="2"/>
  <c r="O9939" i="2"/>
  <c r="M9939" i="2"/>
  <c r="O9935" i="2"/>
  <c r="M9935" i="2"/>
  <c r="O9931" i="2"/>
  <c r="M9931" i="2"/>
  <c r="O9927" i="2"/>
  <c r="M9927" i="2"/>
  <c r="O9923" i="2"/>
  <c r="M9923" i="2"/>
  <c r="O9919" i="2"/>
  <c r="M9919" i="2"/>
  <c r="O9915" i="2"/>
  <c r="M9915" i="2"/>
  <c r="O9911" i="2"/>
  <c r="M9911" i="2"/>
  <c r="O9907" i="2"/>
  <c r="M9907" i="2"/>
  <c r="O9903" i="2"/>
  <c r="M9903" i="2"/>
  <c r="O9899" i="2"/>
  <c r="M9899" i="2"/>
  <c r="O9895" i="2"/>
  <c r="M9895" i="2"/>
  <c r="O9891" i="2"/>
  <c r="M9891" i="2"/>
  <c r="O9887" i="2"/>
  <c r="M9887" i="2"/>
  <c r="O9883" i="2"/>
  <c r="M9883" i="2"/>
  <c r="O9879" i="2"/>
  <c r="M9879" i="2"/>
  <c r="O9875" i="2"/>
  <c r="M9875" i="2"/>
  <c r="O9871" i="2"/>
  <c r="M9871" i="2"/>
  <c r="O9867" i="2"/>
  <c r="M9867" i="2"/>
  <c r="O9863" i="2"/>
  <c r="M9863" i="2"/>
  <c r="O9859" i="2"/>
  <c r="M9859" i="2"/>
  <c r="O9855" i="2"/>
  <c r="M9855" i="2"/>
  <c r="O9851" i="2"/>
  <c r="M9851" i="2"/>
  <c r="O9847" i="2"/>
  <c r="M9847" i="2"/>
  <c r="O9843" i="2"/>
  <c r="M9843" i="2"/>
  <c r="O9839" i="2"/>
  <c r="M9839" i="2"/>
  <c r="O9835" i="2"/>
  <c r="M9835" i="2"/>
  <c r="O9831" i="2"/>
  <c r="M9831" i="2"/>
  <c r="O9827" i="2"/>
  <c r="M9827" i="2"/>
  <c r="O9823" i="2"/>
  <c r="M9823" i="2"/>
  <c r="O9819" i="2"/>
  <c r="M9819" i="2"/>
  <c r="O9815" i="2"/>
  <c r="M9815" i="2"/>
  <c r="O9811" i="2"/>
  <c r="M9811" i="2"/>
  <c r="O9807" i="2"/>
  <c r="M9807" i="2"/>
  <c r="O9803" i="2"/>
  <c r="M9803" i="2"/>
  <c r="O9799" i="2"/>
  <c r="M9799" i="2"/>
  <c r="O9795" i="2"/>
  <c r="M9795" i="2"/>
  <c r="O9791" i="2"/>
  <c r="M9791" i="2"/>
  <c r="O9787" i="2"/>
  <c r="M9787" i="2"/>
  <c r="O9783" i="2"/>
  <c r="M9783" i="2"/>
  <c r="O9779" i="2"/>
  <c r="M9779" i="2"/>
  <c r="O9775" i="2"/>
  <c r="M9775" i="2"/>
  <c r="O9771" i="2"/>
  <c r="M9771" i="2"/>
  <c r="O9767" i="2"/>
  <c r="M9767" i="2"/>
  <c r="O9763" i="2"/>
  <c r="M9763" i="2"/>
  <c r="O9759" i="2"/>
  <c r="M9759" i="2"/>
  <c r="O9755" i="2"/>
  <c r="M9755" i="2"/>
  <c r="O9751" i="2"/>
  <c r="M9751" i="2"/>
  <c r="O9747" i="2"/>
  <c r="M9747" i="2"/>
  <c r="O9743" i="2"/>
  <c r="M9743" i="2"/>
  <c r="O9739" i="2"/>
  <c r="M9739" i="2"/>
  <c r="O9735" i="2"/>
  <c r="M9735" i="2"/>
  <c r="O9731" i="2"/>
  <c r="M9731" i="2"/>
  <c r="O9727" i="2"/>
  <c r="M9727" i="2"/>
  <c r="O9723" i="2"/>
  <c r="M9723" i="2"/>
  <c r="O9719" i="2"/>
  <c r="M9719" i="2"/>
  <c r="O9715" i="2"/>
  <c r="M9715" i="2"/>
  <c r="O9711" i="2"/>
  <c r="M9711" i="2"/>
  <c r="O9707" i="2"/>
  <c r="M9707" i="2"/>
  <c r="O9703" i="2"/>
  <c r="M9703" i="2"/>
  <c r="O9699" i="2"/>
  <c r="M9699" i="2"/>
  <c r="O9695" i="2"/>
  <c r="M9695" i="2"/>
  <c r="O9691" i="2"/>
  <c r="M9691" i="2"/>
  <c r="O9687" i="2"/>
  <c r="M9687" i="2"/>
  <c r="O9683" i="2"/>
  <c r="M9683" i="2"/>
  <c r="O9679" i="2"/>
  <c r="M9679" i="2"/>
  <c r="O9675" i="2"/>
  <c r="M9675" i="2"/>
  <c r="O9671" i="2"/>
  <c r="M9671" i="2"/>
  <c r="O9667" i="2"/>
  <c r="M9667" i="2"/>
  <c r="O9663" i="2"/>
  <c r="M9663" i="2"/>
  <c r="O9659" i="2"/>
  <c r="M9659" i="2"/>
  <c r="O9655" i="2"/>
  <c r="M9655" i="2"/>
  <c r="O9651" i="2"/>
  <c r="M9651" i="2"/>
  <c r="O9647" i="2"/>
  <c r="M9647" i="2"/>
  <c r="O9643" i="2"/>
  <c r="M9643" i="2"/>
  <c r="O9639" i="2"/>
  <c r="M9639" i="2"/>
  <c r="O9635" i="2"/>
  <c r="M9635" i="2"/>
  <c r="O9631" i="2"/>
  <c r="M9631" i="2"/>
  <c r="O9627" i="2"/>
  <c r="M9627" i="2"/>
  <c r="O9623" i="2"/>
  <c r="M9623" i="2"/>
  <c r="O9619" i="2"/>
  <c r="M9619" i="2"/>
  <c r="O9615" i="2"/>
  <c r="M9615" i="2"/>
  <c r="O9611" i="2"/>
  <c r="M9611" i="2"/>
  <c r="O9607" i="2"/>
  <c r="M9607" i="2"/>
  <c r="O9603" i="2"/>
  <c r="M9603" i="2"/>
  <c r="O9599" i="2"/>
  <c r="M9599" i="2"/>
  <c r="O9595" i="2"/>
  <c r="M9595" i="2"/>
  <c r="O9591" i="2"/>
  <c r="M9591" i="2"/>
  <c r="O9587" i="2"/>
  <c r="M9587" i="2"/>
  <c r="O9583" i="2"/>
  <c r="M9583" i="2"/>
  <c r="O9579" i="2"/>
  <c r="M9579" i="2"/>
  <c r="O9575" i="2"/>
  <c r="M9575" i="2"/>
  <c r="O9571" i="2"/>
  <c r="M9571" i="2"/>
  <c r="O9567" i="2"/>
  <c r="M9567" i="2"/>
  <c r="O9563" i="2"/>
  <c r="M9563" i="2"/>
  <c r="O9559" i="2"/>
  <c r="M9559" i="2"/>
  <c r="O9555" i="2"/>
  <c r="M9555" i="2"/>
  <c r="O9551" i="2"/>
  <c r="M9551" i="2"/>
  <c r="O9547" i="2"/>
  <c r="M9547" i="2"/>
  <c r="O9543" i="2"/>
  <c r="M9543" i="2"/>
  <c r="O9539" i="2"/>
  <c r="M9539" i="2"/>
  <c r="O9535" i="2"/>
  <c r="M9535" i="2"/>
  <c r="O9531" i="2"/>
  <c r="M9531" i="2"/>
  <c r="O9527" i="2"/>
  <c r="M9527" i="2"/>
  <c r="O9523" i="2"/>
  <c r="M9523" i="2"/>
  <c r="O9519" i="2"/>
  <c r="M9519" i="2"/>
  <c r="O9515" i="2"/>
  <c r="M9515" i="2"/>
  <c r="O9511" i="2"/>
  <c r="M9511" i="2"/>
  <c r="O9507" i="2"/>
  <c r="M9507" i="2"/>
  <c r="O9503" i="2"/>
  <c r="M9503" i="2"/>
  <c r="O9499" i="2"/>
  <c r="M9499" i="2"/>
  <c r="O9495" i="2"/>
  <c r="M9495" i="2"/>
  <c r="O9491" i="2"/>
  <c r="M9491" i="2"/>
  <c r="O9487" i="2"/>
  <c r="M9487" i="2"/>
  <c r="O9483" i="2"/>
  <c r="M9483" i="2"/>
  <c r="O9479" i="2"/>
  <c r="M9479" i="2"/>
  <c r="O9475" i="2"/>
  <c r="M9475" i="2"/>
  <c r="O9471" i="2"/>
  <c r="M9471" i="2"/>
  <c r="O9467" i="2"/>
  <c r="M9467" i="2"/>
  <c r="O9463" i="2"/>
  <c r="M9463" i="2"/>
  <c r="O9459" i="2"/>
  <c r="M9459" i="2"/>
  <c r="O9455" i="2"/>
  <c r="M9455" i="2"/>
  <c r="O9451" i="2"/>
  <c r="M9451" i="2"/>
  <c r="O9447" i="2"/>
  <c r="M9447" i="2"/>
  <c r="O9443" i="2"/>
  <c r="M9443" i="2"/>
  <c r="O9439" i="2"/>
  <c r="M9439" i="2"/>
  <c r="O9435" i="2"/>
  <c r="M9435" i="2"/>
  <c r="O9431" i="2"/>
  <c r="M9431" i="2"/>
  <c r="O9427" i="2"/>
  <c r="M9427" i="2"/>
  <c r="O9423" i="2"/>
  <c r="M9423" i="2"/>
  <c r="O9419" i="2"/>
  <c r="M9419" i="2"/>
  <c r="O9415" i="2"/>
  <c r="M9415" i="2"/>
  <c r="O9411" i="2"/>
  <c r="M9411" i="2"/>
  <c r="O9407" i="2"/>
  <c r="M9407" i="2"/>
  <c r="O9403" i="2"/>
  <c r="M9403" i="2"/>
  <c r="O9399" i="2"/>
  <c r="M9399" i="2"/>
  <c r="O9395" i="2"/>
  <c r="M9395" i="2"/>
  <c r="O9391" i="2"/>
  <c r="M9391" i="2"/>
  <c r="O9387" i="2"/>
  <c r="M9387" i="2"/>
  <c r="O9383" i="2"/>
  <c r="M9383" i="2"/>
  <c r="O9379" i="2"/>
  <c r="M9379" i="2"/>
  <c r="O9375" i="2"/>
  <c r="M9375" i="2"/>
  <c r="O9371" i="2"/>
  <c r="M9371" i="2"/>
  <c r="O9367" i="2"/>
  <c r="M9367" i="2"/>
  <c r="O9363" i="2"/>
  <c r="M9363" i="2"/>
  <c r="O9359" i="2"/>
  <c r="M9359" i="2"/>
  <c r="O9355" i="2"/>
  <c r="M9355" i="2"/>
  <c r="O9351" i="2"/>
  <c r="M9351" i="2"/>
  <c r="O9347" i="2"/>
  <c r="M9347" i="2"/>
  <c r="O9343" i="2"/>
  <c r="M9343" i="2"/>
  <c r="O9339" i="2"/>
  <c r="M9339" i="2"/>
  <c r="O9335" i="2"/>
  <c r="M9335" i="2"/>
  <c r="O9331" i="2"/>
  <c r="M9331" i="2"/>
  <c r="O9327" i="2"/>
  <c r="M9327" i="2"/>
  <c r="O9323" i="2"/>
  <c r="M9323" i="2"/>
  <c r="O9319" i="2"/>
  <c r="M9319" i="2"/>
  <c r="O9315" i="2"/>
  <c r="M9315" i="2"/>
  <c r="O9311" i="2"/>
  <c r="M9311" i="2"/>
  <c r="O9307" i="2"/>
  <c r="M9307" i="2"/>
  <c r="O9303" i="2"/>
  <c r="M9303" i="2"/>
  <c r="O9299" i="2"/>
  <c r="M9299" i="2"/>
  <c r="O9295" i="2"/>
  <c r="M9295" i="2"/>
  <c r="O9291" i="2"/>
  <c r="M9291" i="2"/>
  <c r="O9287" i="2"/>
  <c r="M9287" i="2"/>
  <c r="O9283" i="2"/>
  <c r="M9283" i="2"/>
  <c r="O9279" i="2"/>
  <c r="M9279" i="2"/>
  <c r="O9275" i="2"/>
  <c r="M9275" i="2"/>
  <c r="O9271" i="2"/>
  <c r="M9271" i="2"/>
  <c r="O9267" i="2"/>
  <c r="M9267" i="2"/>
  <c r="O9263" i="2"/>
  <c r="M9263" i="2"/>
  <c r="O9259" i="2"/>
  <c r="M9259" i="2"/>
  <c r="O9255" i="2"/>
  <c r="M9255" i="2"/>
  <c r="O9251" i="2"/>
  <c r="M9251" i="2"/>
  <c r="O9247" i="2"/>
  <c r="M9247" i="2"/>
  <c r="O9243" i="2"/>
  <c r="M9243" i="2"/>
  <c r="O9239" i="2"/>
  <c r="M9239" i="2"/>
  <c r="O9235" i="2"/>
  <c r="M9235" i="2"/>
  <c r="O9231" i="2"/>
  <c r="M9231" i="2"/>
  <c r="O9227" i="2"/>
  <c r="M9227" i="2"/>
  <c r="O9223" i="2"/>
  <c r="M9223" i="2"/>
  <c r="O9219" i="2"/>
  <c r="M9219" i="2"/>
  <c r="O9215" i="2"/>
  <c r="M9215" i="2"/>
  <c r="O9211" i="2"/>
  <c r="M9211" i="2"/>
  <c r="O9207" i="2"/>
  <c r="M9207" i="2"/>
  <c r="O9203" i="2"/>
  <c r="M9203" i="2"/>
  <c r="O9199" i="2"/>
  <c r="M9199" i="2"/>
  <c r="O9195" i="2"/>
  <c r="M9195" i="2"/>
  <c r="O9191" i="2"/>
  <c r="M9191" i="2"/>
  <c r="O9187" i="2"/>
  <c r="M9187" i="2"/>
  <c r="O9183" i="2"/>
  <c r="M9183" i="2"/>
  <c r="O9179" i="2"/>
  <c r="M9179" i="2"/>
  <c r="O9175" i="2"/>
  <c r="M9175" i="2"/>
  <c r="O9171" i="2"/>
  <c r="M9171" i="2"/>
  <c r="O9167" i="2"/>
  <c r="M9167" i="2"/>
  <c r="O9163" i="2"/>
  <c r="M9163" i="2"/>
  <c r="O9159" i="2"/>
  <c r="M9159" i="2"/>
  <c r="O9155" i="2"/>
  <c r="M9155" i="2"/>
  <c r="O9151" i="2"/>
  <c r="M9151" i="2"/>
  <c r="O9147" i="2"/>
  <c r="M9147" i="2"/>
  <c r="O9143" i="2"/>
  <c r="M9143" i="2"/>
  <c r="O9139" i="2"/>
  <c r="M9139" i="2"/>
  <c r="O9135" i="2"/>
  <c r="M9135" i="2"/>
  <c r="O9131" i="2"/>
  <c r="M9131" i="2"/>
  <c r="O9127" i="2"/>
  <c r="M9127" i="2"/>
  <c r="O9123" i="2"/>
  <c r="M9123" i="2"/>
  <c r="O9119" i="2"/>
  <c r="M9119" i="2"/>
  <c r="O9115" i="2"/>
  <c r="M9115" i="2"/>
  <c r="O9111" i="2"/>
  <c r="M9111" i="2"/>
  <c r="O9107" i="2"/>
  <c r="M9107" i="2"/>
  <c r="O9103" i="2"/>
  <c r="M9103" i="2"/>
  <c r="O9099" i="2"/>
  <c r="M9099" i="2"/>
  <c r="O9095" i="2"/>
  <c r="M9095" i="2"/>
  <c r="O9091" i="2"/>
  <c r="M9091" i="2"/>
  <c r="O9087" i="2"/>
  <c r="M9087" i="2"/>
  <c r="O9083" i="2"/>
  <c r="M9083" i="2"/>
  <c r="O9079" i="2"/>
  <c r="M9079" i="2"/>
  <c r="O9075" i="2"/>
  <c r="M9075" i="2"/>
  <c r="O9071" i="2"/>
  <c r="M9071" i="2"/>
  <c r="O9067" i="2"/>
  <c r="M9067" i="2"/>
  <c r="O9063" i="2"/>
  <c r="M9063" i="2"/>
  <c r="O9059" i="2"/>
  <c r="M9059" i="2"/>
  <c r="O9055" i="2"/>
  <c r="M9055" i="2"/>
  <c r="O9051" i="2"/>
  <c r="M9051" i="2"/>
  <c r="O9047" i="2"/>
  <c r="M9047" i="2"/>
  <c r="O9043" i="2"/>
  <c r="M9043" i="2"/>
  <c r="O9039" i="2"/>
  <c r="M9039" i="2"/>
  <c r="O9035" i="2"/>
  <c r="M9035" i="2"/>
  <c r="O9031" i="2"/>
  <c r="M9031" i="2"/>
  <c r="O9027" i="2"/>
  <c r="M9027" i="2"/>
  <c r="O9023" i="2"/>
  <c r="M9023" i="2"/>
  <c r="O9019" i="2"/>
  <c r="M9019" i="2"/>
  <c r="O9015" i="2"/>
  <c r="M9015" i="2"/>
  <c r="O9011" i="2"/>
  <c r="M9011" i="2"/>
  <c r="O9007" i="2"/>
  <c r="M9007" i="2"/>
  <c r="O9003" i="2"/>
  <c r="M9003" i="2"/>
  <c r="O8999" i="2"/>
  <c r="M8999" i="2"/>
  <c r="O8995" i="2"/>
  <c r="M8995" i="2"/>
  <c r="O8991" i="2"/>
  <c r="M8991" i="2"/>
  <c r="O8987" i="2"/>
  <c r="M8987" i="2"/>
  <c r="O8983" i="2"/>
  <c r="M8983" i="2"/>
  <c r="O8979" i="2"/>
  <c r="M8979" i="2"/>
  <c r="O8975" i="2"/>
  <c r="M8975" i="2"/>
  <c r="O8971" i="2"/>
  <c r="M8971" i="2"/>
  <c r="O8967" i="2"/>
  <c r="M8967" i="2"/>
  <c r="O8963" i="2"/>
  <c r="M8963" i="2"/>
  <c r="O8959" i="2"/>
  <c r="M8959" i="2"/>
  <c r="O8955" i="2"/>
  <c r="M8955" i="2"/>
  <c r="O8951" i="2"/>
  <c r="M8951" i="2"/>
  <c r="O8947" i="2"/>
  <c r="M8947" i="2"/>
  <c r="O8943" i="2"/>
  <c r="M8943" i="2"/>
  <c r="O8939" i="2"/>
  <c r="M8939" i="2"/>
  <c r="O8935" i="2"/>
  <c r="M8935" i="2"/>
  <c r="O8931" i="2"/>
  <c r="M8931" i="2"/>
  <c r="O8927" i="2"/>
  <c r="M8927" i="2"/>
  <c r="O8923" i="2"/>
  <c r="M8923" i="2"/>
  <c r="O8919" i="2"/>
  <c r="M8919" i="2"/>
  <c r="O8915" i="2"/>
  <c r="M8915" i="2"/>
  <c r="O8911" i="2"/>
  <c r="M8911" i="2"/>
  <c r="O8907" i="2"/>
  <c r="M8907" i="2"/>
  <c r="O8903" i="2"/>
  <c r="M8903" i="2"/>
  <c r="O8899" i="2"/>
  <c r="M8899" i="2"/>
  <c r="O8895" i="2"/>
  <c r="M8895" i="2"/>
  <c r="O8891" i="2"/>
  <c r="M8891" i="2"/>
  <c r="O8887" i="2"/>
  <c r="M8887" i="2"/>
  <c r="O8883" i="2"/>
  <c r="M8883" i="2"/>
  <c r="O8879" i="2"/>
  <c r="M8879" i="2"/>
  <c r="O8875" i="2"/>
  <c r="M8875" i="2"/>
  <c r="O8871" i="2"/>
  <c r="M8871" i="2"/>
  <c r="O8867" i="2"/>
  <c r="M8867" i="2"/>
  <c r="O8863" i="2"/>
  <c r="M8863" i="2"/>
  <c r="O8859" i="2"/>
  <c r="M8859" i="2"/>
  <c r="O8855" i="2"/>
  <c r="M8855" i="2"/>
  <c r="O8851" i="2"/>
  <c r="M8851" i="2"/>
  <c r="O8847" i="2"/>
  <c r="M8847" i="2"/>
  <c r="O8843" i="2"/>
  <c r="M8843" i="2"/>
  <c r="O8839" i="2"/>
  <c r="M8839" i="2"/>
  <c r="O8835" i="2"/>
  <c r="M8835" i="2"/>
  <c r="O8831" i="2"/>
  <c r="M8831" i="2"/>
  <c r="O8827" i="2"/>
  <c r="M8827" i="2"/>
  <c r="O8823" i="2"/>
  <c r="M8823" i="2"/>
  <c r="O8819" i="2"/>
  <c r="M8819" i="2"/>
  <c r="O8815" i="2"/>
  <c r="M8815" i="2"/>
  <c r="O8811" i="2"/>
  <c r="M8811" i="2"/>
  <c r="O8807" i="2"/>
  <c r="M8807" i="2"/>
  <c r="O8803" i="2"/>
  <c r="M8803" i="2"/>
  <c r="O8799" i="2"/>
  <c r="M8799" i="2"/>
  <c r="O8795" i="2"/>
  <c r="M8795" i="2"/>
  <c r="O8791" i="2"/>
  <c r="M8791" i="2"/>
  <c r="O8787" i="2"/>
  <c r="M8787" i="2"/>
  <c r="O8783" i="2"/>
  <c r="M8783" i="2"/>
  <c r="O8779" i="2"/>
  <c r="M8779" i="2"/>
  <c r="O8775" i="2"/>
  <c r="M8775" i="2"/>
  <c r="O8771" i="2"/>
  <c r="M8771" i="2"/>
  <c r="O8767" i="2"/>
  <c r="M8767" i="2"/>
  <c r="O8763" i="2"/>
  <c r="M8763" i="2"/>
  <c r="O8759" i="2"/>
  <c r="M8759" i="2"/>
  <c r="O8755" i="2"/>
  <c r="M8755" i="2"/>
  <c r="O8751" i="2"/>
  <c r="M8751" i="2"/>
  <c r="O8747" i="2"/>
  <c r="M8747" i="2"/>
  <c r="O8743" i="2"/>
  <c r="M8743" i="2"/>
  <c r="O8739" i="2"/>
  <c r="M8739" i="2"/>
  <c r="O8735" i="2"/>
  <c r="M8735" i="2"/>
  <c r="O8731" i="2"/>
  <c r="M8731" i="2"/>
  <c r="O8727" i="2"/>
  <c r="M8727" i="2"/>
  <c r="O8723" i="2"/>
  <c r="M8723" i="2"/>
  <c r="O8719" i="2"/>
  <c r="M8719" i="2"/>
  <c r="O8715" i="2"/>
  <c r="M8715" i="2"/>
  <c r="O8711" i="2"/>
  <c r="M8711" i="2"/>
  <c r="O8707" i="2"/>
  <c r="M8707" i="2"/>
  <c r="O8703" i="2"/>
  <c r="M8703" i="2"/>
  <c r="O8699" i="2"/>
  <c r="M8699" i="2"/>
  <c r="O8695" i="2"/>
  <c r="M8695" i="2"/>
  <c r="O8691" i="2"/>
  <c r="M8691" i="2"/>
  <c r="O8687" i="2"/>
  <c r="M8687" i="2"/>
  <c r="O8683" i="2"/>
  <c r="M8683" i="2"/>
  <c r="O8679" i="2"/>
  <c r="M8679" i="2"/>
  <c r="O8675" i="2"/>
  <c r="M8675" i="2"/>
  <c r="O8671" i="2"/>
  <c r="M8671" i="2"/>
  <c r="O8667" i="2"/>
  <c r="M8667" i="2"/>
  <c r="O8663" i="2"/>
  <c r="M8663" i="2"/>
  <c r="O8659" i="2"/>
  <c r="M8659" i="2"/>
  <c r="O8655" i="2"/>
  <c r="M8655" i="2"/>
  <c r="O8651" i="2"/>
  <c r="M8651" i="2"/>
  <c r="O8647" i="2"/>
  <c r="M8647" i="2"/>
  <c r="O8643" i="2"/>
  <c r="M8643" i="2"/>
  <c r="O8639" i="2"/>
  <c r="M8639" i="2"/>
  <c r="O8635" i="2"/>
  <c r="M8635" i="2"/>
  <c r="O8631" i="2"/>
  <c r="M8631" i="2"/>
  <c r="O8627" i="2"/>
  <c r="M8627" i="2"/>
  <c r="O8623" i="2"/>
  <c r="M8623" i="2"/>
  <c r="O8619" i="2"/>
  <c r="M8619" i="2"/>
  <c r="O8615" i="2"/>
  <c r="M8615" i="2"/>
  <c r="O8611" i="2"/>
  <c r="M8611" i="2"/>
  <c r="O8607" i="2"/>
  <c r="M8607" i="2"/>
  <c r="O8603" i="2"/>
  <c r="M8603" i="2"/>
  <c r="O8599" i="2"/>
  <c r="M8599" i="2"/>
  <c r="O8595" i="2"/>
  <c r="M8595" i="2"/>
  <c r="O8591" i="2"/>
  <c r="M8591" i="2"/>
  <c r="O8587" i="2"/>
  <c r="M8587" i="2"/>
  <c r="O8583" i="2"/>
  <c r="M8583" i="2"/>
  <c r="O8579" i="2"/>
  <c r="M8579" i="2"/>
  <c r="O8575" i="2"/>
  <c r="M8575" i="2"/>
  <c r="O8571" i="2"/>
  <c r="M8571" i="2"/>
  <c r="O8567" i="2"/>
  <c r="M8567" i="2"/>
  <c r="O8563" i="2"/>
  <c r="M8563" i="2"/>
  <c r="O8559" i="2"/>
  <c r="M8559" i="2"/>
  <c r="O8555" i="2"/>
  <c r="M8555" i="2"/>
  <c r="O8551" i="2"/>
  <c r="M8551" i="2"/>
  <c r="O8547" i="2"/>
  <c r="M8547" i="2"/>
  <c r="O8543" i="2"/>
  <c r="M8543" i="2"/>
  <c r="O8539" i="2"/>
  <c r="M8539" i="2"/>
  <c r="O8535" i="2"/>
  <c r="M8535" i="2"/>
  <c r="O8531" i="2"/>
  <c r="M8531" i="2"/>
  <c r="O8527" i="2"/>
  <c r="M8527" i="2"/>
  <c r="O8523" i="2"/>
  <c r="M8523" i="2"/>
  <c r="O8519" i="2"/>
  <c r="M8519" i="2"/>
  <c r="O8515" i="2"/>
  <c r="M8515" i="2"/>
  <c r="O8511" i="2"/>
  <c r="M8511" i="2"/>
  <c r="O8507" i="2"/>
  <c r="M8507" i="2"/>
  <c r="O8503" i="2"/>
  <c r="M8503" i="2"/>
  <c r="O8499" i="2"/>
  <c r="M8499" i="2"/>
  <c r="O8495" i="2"/>
  <c r="M8495" i="2"/>
  <c r="O8491" i="2"/>
  <c r="M8491" i="2"/>
  <c r="O8487" i="2"/>
  <c r="M8487" i="2"/>
  <c r="O8483" i="2"/>
  <c r="M8483" i="2"/>
  <c r="O8479" i="2"/>
  <c r="M8479" i="2"/>
  <c r="O8475" i="2"/>
  <c r="M8475" i="2"/>
  <c r="O8471" i="2"/>
  <c r="M8471" i="2"/>
  <c r="O8467" i="2"/>
  <c r="M8467" i="2"/>
  <c r="O8463" i="2"/>
  <c r="M8463" i="2"/>
  <c r="O8459" i="2"/>
  <c r="M8459" i="2"/>
  <c r="O8455" i="2"/>
  <c r="M8455" i="2"/>
  <c r="O8451" i="2"/>
  <c r="M8451" i="2"/>
  <c r="O8447" i="2"/>
  <c r="M8447" i="2"/>
  <c r="O8443" i="2"/>
  <c r="M8443" i="2"/>
  <c r="O8439" i="2"/>
  <c r="M8439" i="2"/>
  <c r="O8435" i="2"/>
  <c r="M8435" i="2"/>
  <c r="O8431" i="2"/>
  <c r="M8431" i="2"/>
  <c r="O8427" i="2"/>
  <c r="M8427" i="2"/>
  <c r="O8423" i="2"/>
  <c r="M8423" i="2"/>
  <c r="O8419" i="2"/>
  <c r="M8419" i="2"/>
  <c r="O8415" i="2"/>
  <c r="M8415" i="2"/>
  <c r="O8411" i="2"/>
  <c r="M8411" i="2"/>
  <c r="O8407" i="2"/>
  <c r="M8407" i="2"/>
  <c r="O8403" i="2"/>
  <c r="M8403" i="2"/>
  <c r="O8399" i="2"/>
  <c r="M8399" i="2"/>
  <c r="O8395" i="2"/>
  <c r="M8395" i="2"/>
  <c r="O8391" i="2"/>
  <c r="M8391" i="2"/>
  <c r="O8387" i="2"/>
  <c r="M8387" i="2"/>
  <c r="O8383" i="2"/>
  <c r="M8383" i="2"/>
  <c r="O8379" i="2"/>
  <c r="M8379" i="2"/>
  <c r="O8375" i="2"/>
  <c r="M8375" i="2"/>
  <c r="O8371" i="2"/>
  <c r="M8371" i="2"/>
  <c r="O8367" i="2"/>
  <c r="M8367" i="2"/>
  <c r="O8363" i="2"/>
  <c r="M8363" i="2"/>
  <c r="O8359" i="2"/>
  <c r="M8359" i="2"/>
  <c r="O8355" i="2"/>
  <c r="M8355" i="2"/>
  <c r="O8351" i="2"/>
  <c r="M8351" i="2"/>
  <c r="O8347" i="2"/>
  <c r="M8347" i="2"/>
  <c r="O8343" i="2"/>
  <c r="M8343" i="2"/>
  <c r="O8339" i="2"/>
  <c r="M8339" i="2"/>
  <c r="O8335" i="2"/>
  <c r="M8335" i="2"/>
  <c r="O8331" i="2"/>
  <c r="M8331" i="2"/>
  <c r="O8327" i="2"/>
  <c r="M8327" i="2"/>
  <c r="O8323" i="2"/>
  <c r="M8323" i="2"/>
  <c r="O8319" i="2"/>
  <c r="M8319" i="2"/>
  <c r="O8315" i="2"/>
  <c r="M8315" i="2"/>
  <c r="O8311" i="2"/>
  <c r="M8311" i="2"/>
  <c r="O8307" i="2"/>
  <c r="M8307" i="2"/>
  <c r="O8303" i="2"/>
  <c r="M8303" i="2"/>
  <c r="O8299" i="2"/>
  <c r="M8299" i="2"/>
  <c r="O8295" i="2"/>
  <c r="M8295" i="2"/>
  <c r="O8291" i="2"/>
  <c r="M8291" i="2"/>
  <c r="O8287" i="2"/>
  <c r="M8287" i="2"/>
  <c r="O8283" i="2"/>
  <c r="M8283" i="2"/>
  <c r="O8279" i="2"/>
  <c r="M8279" i="2"/>
  <c r="O8275" i="2"/>
  <c r="M8275" i="2"/>
  <c r="O8271" i="2"/>
  <c r="M8271" i="2"/>
  <c r="O8267" i="2"/>
  <c r="M8267" i="2"/>
  <c r="O8263" i="2"/>
  <c r="M8263" i="2"/>
  <c r="O8259" i="2"/>
  <c r="M8259" i="2"/>
  <c r="O8255" i="2"/>
  <c r="M8255" i="2"/>
  <c r="O8251" i="2"/>
  <c r="M8251" i="2"/>
  <c r="O8247" i="2"/>
  <c r="M8247" i="2"/>
  <c r="O8243" i="2"/>
  <c r="M8243" i="2"/>
  <c r="O8239" i="2"/>
  <c r="M8239" i="2"/>
  <c r="O8235" i="2"/>
  <c r="M8235" i="2"/>
  <c r="O8231" i="2"/>
  <c r="M8231" i="2"/>
  <c r="O8227" i="2"/>
  <c r="M8227" i="2"/>
  <c r="O8223" i="2"/>
  <c r="M8223" i="2"/>
  <c r="O8219" i="2"/>
  <c r="M8219" i="2"/>
  <c r="O8215" i="2"/>
  <c r="M8215" i="2"/>
  <c r="O8211" i="2"/>
  <c r="M8211" i="2"/>
  <c r="O8207" i="2"/>
  <c r="M8207" i="2"/>
  <c r="O8203" i="2"/>
  <c r="M8203" i="2"/>
  <c r="O8199" i="2"/>
  <c r="M8199" i="2"/>
  <c r="O8195" i="2"/>
  <c r="M8195" i="2"/>
  <c r="O8191" i="2"/>
  <c r="M8191" i="2"/>
  <c r="O8187" i="2"/>
  <c r="M8187" i="2"/>
  <c r="O8183" i="2"/>
  <c r="M8183" i="2"/>
  <c r="O8179" i="2"/>
  <c r="M8179" i="2"/>
  <c r="O8175" i="2"/>
  <c r="M8175" i="2"/>
  <c r="O8171" i="2"/>
  <c r="M8171" i="2"/>
  <c r="O8167" i="2"/>
  <c r="M8167" i="2"/>
  <c r="O8163" i="2"/>
  <c r="M8163" i="2"/>
  <c r="O8159" i="2"/>
  <c r="M8159" i="2"/>
  <c r="O8155" i="2"/>
  <c r="M8155" i="2"/>
  <c r="O8151" i="2"/>
  <c r="M8151" i="2"/>
  <c r="Q8147" i="2"/>
  <c r="M8147" i="2"/>
  <c r="M8143" i="2"/>
  <c r="Q8139" i="2"/>
  <c r="M8139" i="2"/>
  <c r="Q8135" i="2"/>
  <c r="M8135" i="2"/>
  <c r="Q8131" i="2"/>
  <c r="M8131" i="2"/>
  <c r="M8127" i="2"/>
  <c r="Q8123" i="2"/>
  <c r="M8123" i="2"/>
  <c r="M8119" i="2"/>
  <c r="Q8115" i="2"/>
  <c r="M8115" i="2"/>
  <c r="M8111" i="2"/>
  <c r="Q8107" i="2"/>
  <c r="M8107" i="2"/>
  <c r="Q8103" i="2"/>
  <c r="M8103" i="2"/>
  <c r="Q8099" i="2"/>
  <c r="M8099" i="2"/>
  <c r="M8095" i="2"/>
  <c r="Q8091" i="2"/>
  <c r="M8091" i="2"/>
  <c r="M8087" i="2"/>
  <c r="Q8083" i="2"/>
  <c r="M8083" i="2"/>
  <c r="M8079" i="2"/>
  <c r="Q8075" i="2"/>
  <c r="M8075" i="2"/>
  <c r="Q8071" i="2"/>
  <c r="M8071" i="2"/>
  <c r="Q8067" i="2"/>
  <c r="M8067" i="2"/>
  <c r="M8063" i="2"/>
  <c r="Q8059" i="2"/>
  <c r="M8059" i="2"/>
  <c r="M8055" i="2"/>
  <c r="Q8051" i="2"/>
  <c r="M8051" i="2"/>
  <c r="M8047" i="2"/>
  <c r="Q8043" i="2"/>
  <c r="M8043" i="2"/>
  <c r="Q8039" i="2"/>
  <c r="M8039" i="2"/>
  <c r="Q8035" i="2"/>
  <c r="M8035" i="2"/>
  <c r="M8031" i="2"/>
  <c r="Q8027" i="2"/>
  <c r="M8027" i="2"/>
  <c r="M8023" i="2"/>
  <c r="Q8019" i="2"/>
  <c r="M8019" i="2"/>
  <c r="M8015" i="2"/>
  <c r="Q8011" i="2"/>
  <c r="M8011" i="2"/>
  <c r="Q8007" i="2"/>
  <c r="M8007" i="2"/>
  <c r="Q8003" i="2"/>
  <c r="M8003" i="2"/>
  <c r="M7999" i="2"/>
  <c r="Q7995" i="2"/>
  <c r="M7995" i="2"/>
  <c r="M7991" i="2"/>
  <c r="Q7987" i="2"/>
  <c r="M7987" i="2"/>
  <c r="M7983" i="2"/>
  <c r="Q7979" i="2"/>
  <c r="M7979" i="2"/>
  <c r="Q7975" i="2"/>
  <c r="M7975" i="2"/>
  <c r="Q7971" i="2"/>
  <c r="M7971" i="2"/>
  <c r="M7967" i="2"/>
  <c r="Q7963" i="2"/>
  <c r="M7963" i="2"/>
  <c r="M7959" i="2"/>
  <c r="Q7955" i="2"/>
  <c r="M7955" i="2"/>
  <c r="M7951" i="2"/>
  <c r="Q7947" i="2"/>
  <c r="M7947" i="2"/>
  <c r="Q7943" i="2"/>
  <c r="M7943" i="2"/>
  <c r="Q7939" i="2"/>
  <c r="M7939" i="2"/>
  <c r="M7935" i="2"/>
  <c r="Q7931" i="2"/>
  <c r="M7931" i="2"/>
  <c r="M7927" i="2"/>
  <c r="Q7923" i="2"/>
  <c r="M7923" i="2"/>
  <c r="M7919" i="2"/>
  <c r="Q7915" i="2"/>
  <c r="M7915" i="2"/>
  <c r="Q7911" i="2"/>
  <c r="M7911" i="2"/>
  <c r="Q7907" i="2"/>
  <c r="M7907" i="2"/>
  <c r="M7903" i="2"/>
  <c r="Q7899" i="2"/>
  <c r="M7899" i="2"/>
  <c r="M7895" i="2"/>
  <c r="Q7891" i="2"/>
  <c r="M7891" i="2"/>
  <c r="M7887" i="2"/>
  <c r="Q7883" i="2"/>
  <c r="M7883" i="2"/>
  <c r="Q7879" i="2"/>
  <c r="M7879" i="2"/>
  <c r="Q7875" i="2"/>
  <c r="M7875" i="2"/>
  <c r="M7871" i="2"/>
  <c r="Q7867" i="2"/>
  <c r="M7867" i="2"/>
  <c r="M7863" i="2"/>
  <c r="Q7859" i="2"/>
  <c r="M7859" i="2"/>
  <c r="M7855" i="2"/>
  <c r="Q7851" i="2"/>
  <c r="M7851" i="2"/>
  <c r="Q7847" i="2"/>
  <c r="M7847" i="2"/>
  <c r="Q7843" i="2"/>
  <c r="M7843" i="2"/>
  <c r="M7839" i="2"/>
  <c r="Q7835" i="2"/>
  <c r="M7835" i="2"/>
  <c r="M7831" i="2"/>
  <c r="Q7827" i="2"/>
  <c r="M7827" i="2"/>
  <c r="M7823" i="2"/>
  <c r="Q7819" i="2"/>
  <c r="M7819" i="2"/>
  <c r="Q7815" i="2"/>
  <c r="M7815" i="2"/>
  <c r="Q7811" i="2"/>
  <c r="M7811" i="2"/>
  <c r="M7807" i="2"/>
  <c r="Q7803" i="2"/>
  <c r="M7803" i="2"/>
  <c r="M7799" i="2"/>
  <c r="Q7795" i="2"/>
  <c r="M7795" i="2"/>
  <c r="M7791" i="2"/>
  <c r="Q7787" i="2"/>
  <c r="M7787" i="2"/>
  <c r="Q7783" i="2"/>
  <c r="M7783" i="2"/>
  <c r="Q7779" i="2"/>
  <c r="M7779" i="2"/>
  <c r="M7775" i="2"/>
  <c r="Q7771" i="2"/>
  <c r="M7771" i="2"/>
  <c r="M7767" i="2"/>
  <c r="Q7763" i="2"/>
  <c r="M7763" i="2"/>
  <c r="M7759" i="2"/>
  <c r="Q7755" i="2"/>
  <c r="M7755" i="2"/>
  <c r="Q7751" i="2"/>
  <c r="M7751" i="2"/>
  <c r="Q7747" i="2"/>
  <c r="M7747" i="2"/>
  <c r="M7743" i="2"/>
  <c r="Q7739" i="2"/>
  <c r="M7739" i="2"/>
  <c r="M7735" i="2"/>
  <c r="Q7731" i="2"/>
  <c r="M7731" i="2"/>
  <c r="M7727" i="2"/>
  <c r="Q7723" i="2"/>
  <c r="M7723" i="2"/>
  <c r="Q7719" i="2"/>
  <c r="M7719" i="2"/>
  <c r="Q7715" i="2"/>
  <c r="M7715" i="2"/>
  <c r="M7711" i="2"/>
  <c r="Q7707" i="2"/>
  <c r="M7707" i="2"/>
  <c r="M7703" i="2"/>
  <c r="Q7699" i="2"/>
  <c r="M7699" i="2"/>
  <c r="M7695" i="2"/>
  <c r="Q7691" i="2"/>
  <c r="M7691" i="2"/>
  <c r="Q7687" i="2"/>
  <c r="M7687" i="2"/>
  <c r="Q7683" i="2"/>
  <c r="M7683" i="2"/>
  <c r="M7679" i="2"/>
  <c r="Q7675" i="2"/>
  <c r="M7675" i="2"/>
  <c r="M7671" i="2"/>
  <c r="Q7667" i="2"/>
  <c r="M7667" i="2"/>
  <c r="M7663" i="2"/>
  <c r="Q7659" i="2"/>
  <c r="M7659" i="2"/>
  <c r="Q7655" i="2"/>
  <c r="M7655" i="2"/>
  <c r="Q7651" i="2"/>
  <c r="M7651" i="2"/>
  <c r="M7647" i="2"/>
  <c r="Q7643" i="2"/>
  <c r="M7643" i="2"/>
  <c r="M7639" i="2"/>
  <c r="Q7635" i="2"/>
  <c r="M7635" i="2"/>
  <c r="M7631" i="2"/>
  <c r="Q7627" i="2"/>
  <c r="M7627" i="2"/>
  <c r="Q7623" i="2"/>
  <c r="M7623" i="2"/>
  <c r="Q7619" i="2"/>
  <c r="M7619" i="2"/>
  <c r="M7615" i="2"/>
  <c r="Q7611" i="2"/>
  <c r="M7611" i="2"/>
  <c r="M7607" i="2"/>
  <c r="Q7603" i="2"/>
  <c r="M7603" i="2"/>
  <c r="M7599" i="2"/>
  <c r="Q7595" i="2"/>
  <c r="M7595" i="2"/>
  <c r="Q7591" i="2"/>
  <c r="M7591" i="2"/>
  <c r="Q7587" i="2"/>
  <c r="M7587" i="2"/>
  <c r="M7583" i="2"/>
  <c r="Q7579" i="2"/>
  <c r="M7579" i="2"/>
  <c r="M7575" i="2"/>
  <c r="Q7571" i="2"/>
  <c r="M7571" i="2"/>
  <c r="M7567" i="2"/>
  <c r="Q7563" i="2"/>
  <c r="M7563" i="2"/>
  <c r="Q7559" i="2"/>
  <c r="M7559" i="2"/>
  <c r="Q7555" i="2"/>
  <c r="M7555" i="2"/>
  <c r="M7551" i="2"/>
  <c r="Q7547" i="2"/>
  <c r="M7547" i="2"/>
  <c r="M7543" i="2"/>
  <c r="Q7539" i="2"/>
  <c r="M7539" i="2"/>
  <c r="M7535" i="2"/>
  <c r="Q7531" i="2"/>
  <c r="M7531" i="2"/>
  <c r="Q7527" i="2"/>
  <c r="M7527" i="2"/>
  <c r="Q7523" i="2"/>
  <c r="M7523" i="2"/>
  <c r="M7519" i="2"/>
  <c r="Q7515" i="2"/>
  <c r="M7515" i="2"/>
  <c r="M7511" i="2"/>
  <c r="Q7507" i="2"/>
  <c r="M7507" i="2"/>
  <c r="M7503" i="2"/>
  <c r="Q7499" i="2"/>
  <c r="M7499" i="2"/>
  <c r="Q7495" i="2"/>
  <c r="M7495" i="2"/>
  <c r="Q7491" i="2"/>
  <c r="M7491" i="2"/>
  <c r="M7487" i="2"/>
  <c r="Q7483" i="2"/>
  <c r="M7483" i="2"/>
  <c r="M7479" i="2"/>
  <c r="Q7475" i="2"/>
  <c r="M7475" i="2"/>
  <c r="M7471" i="2"/>
  <c r="Q7467" i="2"/>
  <c r="M7467" i="2"/>
  <c r="Q7463" i="2"/>
  <c r="M7463" i="2"/>
  <c r="Q7459" i="2"/>
  <c r="M7459" i="2"/>
  <c r="M7455" i="2"/>
  <c r="Q7451" i="2"/>
  <c r="M7451" i="2"/>
  <c r="M7447" i="2"/>
  <c r="Q7443" i="2"/>
  <c r="M7443" i="2"/>
  <c r="M7439" i="2"/>
  <c r="Q7435" i="2"/>
  <c r="M7435" i="2"/>
  <c r="Q7431" i="2"/>
  <c r="M7431" i="2"/>
  <c r="Q7427" i="2"/>
  <c r="M7427" i="2"/>
  <c r="M7423" i="2"/>
  <c r="Q7419" i="2"/>
  <c r="M7419" i="2"/>
  <c r="M7415" i="2"/>
  <c r="Q7411" i="2"/>
  <c r="M7411" i="2"/>
  <c r="M7407" i="2"/>
  <c r="Q7403" i="2"/>
  <c r="M7403" i="2"/>
  <c r="Q7399" i="2"/>
  <c r="M7399" i="2"/>
  <c r="Q7395" i="2"/>
  <c r="M7395" i="2"/>
  <c r="M7391" i="2"/>
  <c r="Q7387" i="2"/>
  <c r="M7387" i="2"/>
  <c r="M7383" i="2"/>
  <c r="Q7379" i="2"/>
  <c r="M7379" i="2"/>
  <c r="M7375" i="2"/>
  <c r="Q7371" i="2"/>
  <c r="M7371" i="2"/>
  <c r="Q7367" i="2"/>
  <c r="M7367" i="2"/>
  <c r="Q7363" i="2"/>
  <c r="M7363" i="2"/>
  <c r="M7359" i="2"/>
  <c r="Q7355" i="2"/>
  <c r="M7355" i="2"/>
  <c r="M7351" i="2"/>
  <c r="Q7347" i="2"/>
  <c r="M7347" i="2"/>
  <c r="M7343" i="2"/>
  <c r="Q7339" i="2"/>
  <c r="M7339" i="2"/>
  <c r="Q7335" i="2"/>
  <c r="M7335" i="2"/>
  <c r="Q7331" i="2"/>
  <c r="M7331" i="2"/>
  <c r="M7327" i="2"/>
  <c r="Q7323" i="2"/>
  <c r="M7323" i="2"/>
  <c r="M7319" i="2"/>
  <c r="Q7315" i="2"/>
  <c r="M7315" i="2"/>
  <c r="M7311" i="2"/>
  <c r="Q7307" i="2"/>
  <c r="M7307" i="2"/>
  <c r="Q7303" i="2"/>
  <c r="M7303" i="2"/>
  <c r="Q7299" i="2"/>
  <c r="M7299" i="2"/>
  <c r="M7295" i="2"/>
  <c r="Q7288" i="2"/>
  <c r="M7288" i="2"/>
  <c r="M7284" i="2"/>
  <c r="M7280" i="2"/>
  <c r="Q7276" i="2"/>
  <c r="M7276" i="2"/>
  <c r="M7272" i="2"/>
  <c r="M7268" i="2"/>
  <c r="M7264" i="2"/>
  <c r="M197" i="2"/>
  <c r="Q7256" i="2"/>
  <c r="M7256" i="2"/>
  <c r="M7252" i="2"/>
  <c r="Q7248" i="2"/>
  <c r="M7248" i="2"/>
  <c r="M7244" i="2"/>
  <c r="Q7240" i="2"/>
  <c r="M7240" i="2"/>
  <c r="M7236" i="2"/>
  <c r="M7232" i="2"/>
  <c r="M7228" i="2"/>
  <c r="M7224" i="2"/>
  <c r="Q7220" i="2"/>
  <c r="M7220" i="2"/>
  <c r="M7216" i="2"/>
  <c r="M7212" i="2"/>
  <c r="M7208" i="2"/>
  <c r="M7204" i="2"/>
  <c r="M7200" i="2"/>
  <c r="Q7196" i="2"/>
  <c r="M7196" i="2"/>
  <c r="M7192" i="2"/>
  <c r="M7188" i="2"/>
  <c r="M7184" i="2"/>
  <c r="M7180" i="2"/>
  <c r="Q7176" i="2"/>
  <c r="M7176" i="2"/>
  <c r="M7172" i="2"/>
  <c r="M7168" i="2"/>
  <c r="M7164" i="2"/>
  <c r="M7160" i="2"/>
  <c r="M7156" i="2"/>
  <c r="Q6082" i="2"/>
  <c r="M6082" i="2"/>
  <c r="M1061" i="2"/>
  <c r="Q7144" i="2"/>
  <c r="M7144" i="2"/>
  <c r="M7140" i="2"/>
  <c r="M7136" i="2"/>
  <c r="Q7132" i="2"/>
  <c r="M7132" i="2"/>
  <c r="M7128" i="2"/>
  <c r="Q7124" i="2"/>
  <c r="M7124" i="2"/>
  <c r="M6941" i="2"/>
  <c r="Q7116" i="2"/>
  <c r="M7116" i="2"/>
  <c r="M5275" i="2"/>
  <c r="Q7108" i="2"/>
  <c r="M7108" i="2"/>
  <c r="Q7104" i="2"/>
  <c r="M7104" i="2"/>
  <c r="Q7100" i="2"/>
  <c r="M7100" i="2"/>
  <c r="M7096" i="2"/>
  <c r="M7092" i="2"/>
  <c r="M7088" i="2"/>
  <c r="Q4622" i="2"/>
  <c r="M4622" i="2"/>
  <c r="M7080" i="2"/>
  <c r="M7076" i="2"/>
  <c r="Q7072" i="2"/>
  <c r="M7072" i="2"/>
  <c r="M7068" i="2"/>
  <c r="M371" i="2"/>
  <c r="M7060" i="2"/>
  <c r="Q7056" i="2"/>
  <c r="M7056" i="2"/>
  <c r="M5497" i="2"/>
  <c r="Q6423" i="2"/>
  <c r="M6423" i="2"/>
  <c r="M7044" i="2"/>
  <c r="M6745" i="2"/>
  <c r="Q7036" i="2"/>
  <c r="M7036" i="2"/>
  <c r="M2530" i="2"/>
  <c r="Q1276" i="2"/>
  <c r="M1276" i="2"/>
  <c r="M7024" i="2"/>
  <c r="Q7020" i="2"/>
  <c r="M7020" i="2"/>
  <c r="M7016" i="2"/>
  <c r="M7012" i="2"/>
  <c r="Q7008" i="2"/>
  <c r="M7008" i="2"/>
  <c r="M7004" i="2"/>
  <c r="M7000" i="2"/>
  <c r="Q4193" i="2"/>
  <c r="M4193" i="2"/>
  <c r="M6992" i="2"/>
  <c r="M6988" i="2"/>
  <c r="M6984" i="2"/>
  <c r="M6980" i="2"/>
  <c r="Q6976" i="2"/>
  <c r="M6976" i="2"/>
  <c r="M6972" i="2"/>
  <c r="M6968" i="2"/>
  <c r="M6964" i="2"/>
  <c r="Q6960" i="2"/>
  <c r="M6960" i="2"/>
  <c r="M6956" i="2"/>
  <c r="M6952" i="2"/>
  <c r="M6948" i="2"/>
  <c r="M6944" i="2"/>
  <c r="Q423" i="2"/>
  <c r="M423" i="2"/>
  <c r="M6936" i="2"/>
  <c r="Q6932" i="2"/>
  <c r="M6932" i="2"/>
  <c r="M2283" i="2"/>
  <c r="Q5791" i="2"/>
  <c r="M5791" i="2"/>
  <c r="M6920" i="2"/>
  <c r="Q4742" i="2"/>
  <c r="M4742" i="2"/>
  <c r="Q2462" i="2"/>
  <c r="M2462" i="2"/>
  <c r="Q782" i="2"/>
  <c r="M782" i="2"/>
  <c r="M6525" i="2"/>
  <c r="M6900" i="2"/>
  <c r="Q4872" i="2"/>
  <c r="M4872" i="2"/>
  <c r="M6892" i="2"/>
  <c r="Q5789" i="2"/>
  <c r="M5789" i="2"/>
  <c r="M6884" i="2"/>
  <c r="Q6880" i="2"/>
  <c r="M6880" i="2"/>
  <c r="M6994" i="2"/>
  <c r="Q6872" i="2"/>
  <c r="M6872" i="2"/>
  <c r="M5029" i="2"/>
  <c r="Q3184" i="2"/>
  <c r="M3184" i="2"/>
  <c r="M6860" i="2"/>
  <c r="M6856" i="2"/>
  <c r="M6852" i="2"/>
  <c r="Q4189" i="2"/>
  <c r="M4189" i="2"/>
  <c r="M6844" i="2"/>
  <c r="M6840" i="2"/>
  <c r="Q4679" i="2"/>
  <c r="M4679" i="2"/>
  <c r="M5474" i="2"/>
  <c r="M6828" i="2"/>
  <c r="Q6824" i="2"/>
  <c r="M6824" i="2"/>
  <c r="M6820" i="2"/>
  <c r="M6816" i="2"/>
  <c r="M6812" i="2"/>
  <c r="M6808" i="2"/>
  <c r="M6804" i="2"/>
  <c r="M6800" i="2"/>
  <c r="Q6796" i="2"/>
  <c r="M6796" i="2"/>
  <c r="M6792" i="2"/>
  <c r="Q6226" i="2"/>
  <c r="M6226" i="2"/>
  <c r="M5572" i="2"/>
  <c r="M6780" i="2"/>
  <c r="M6776" i="2"/>
  <c r="Q2282" i="2"/>
  <c r="M2282" i="2"/>
  <c r="M3744" i="2"/>
  <c r="Q6764" i="2"/>
  <c r="M6764" i="2"/>
  <c r="M6760" i="2"/>
  <c r="Q1665" i="2"/>
  <c r="M1665" i="2"/>
  <c r="M6752" i="2"/>
  <c r="Q6748" i="2"/>
  <c r="M6748" i="2"/>
  <c r="M6744" i="2"/>
  <c r="Q4000" i="2"/>
  <c r="M4000" i="2"/>
  <c r="Q6736" i="2"/>
  <c r="M6736" i="2"/>
  <c r="Q1793" i="2"/>
  <c r="M1793" i="2"/>
  <c r="M7052" i="2"/>
  <c r="Q6724" i="2"/>
  <c r="M6724" i="2"/>
  <c r="M1095" i="2"/>
  <c r="Q6716" i="2"/>
  <c r="M6716" i="2"/>
  <c r="M823" i="2"/>
  <c r="Q6995" i="2"/>
  <c r="M6995" i="2"/>
  <c r="M1726" i="2"/>
  <c r="M6700" i="2"/>
  <c r="Q3660" i="2"/>
  <c r="M3660" i="2"/>
  <c r="M6692" i="2"/>
  <c r="Q6688" i="2"/>
  <c r="M6688" i="2"/>
  <c r="M483" i="2"/>
  <c r="Q2424" i="2"/>
  <c r="M2424" i="2"/>
  <c r="M6676" i="2"/>
  <c r="Q1967" i="2"/>
  <c r="M1967" i="2"/>
  <c r="M5700" i="2"/>
  <c r="Q6664" i="2"/>
  <c r="M6664" i="2"/>
  <c r="M6660" i="2"/>
  <c r="M3296" i="2"/>
  <c r="Q6652" i="2"/>
  <c r="M6652" i="2"/>
  <c r="M6648" i="2"/>
  <c r="M6644" i="2"/>
  <c r="M6640" i="2"/>
  <c r="Q6636" i="2"/>
  <c r="M6636" i="2"/>
  <c r="M6632" i="2"/>
  <c r="M6628" i="2"/>
  <c r="M6624" i="2"/>
  <c r="M6620" i="2"/>
  <c r="M6616" i="2"/>
  <c r="Q3156" i="2"/>
  <c r="M3156" i="2"/>
  <c r="M6608" i="2"/>
  <c r="M6604" i="2"/>
  <c r="M6600" i="2"/>
  <c r="Q3937" i="2"/>
  <c r="M3937" i="2"/>
  <c r="M430" i="2"/>
  <c r="Q7032" i="2"/>
  <c r="M7032" i="2"/>
  <c r="M555" i="2"/>
  <c r="Q6580" i="2"/>
  <c r="M6580" i="2"/>
  <c r="M2277" i="2"/>
  <c r="M6572" i="2"/>
  <c r="Q6568" i="2"/>
  <c r="M6568" i="2"/>
  <c r="M6564" i="2"/>
  <c r="Q2138" i="2"/>
  <c r="M2138" i="2"/>
  <c r="Q6556" i="2"/>
  <c r="M6556" i="2"/>
  <c r="M5846" i="2"/>
  <c r="Q6481" i="2"/>
  <c r="M6481" i="2"/>
  <c r="M3720" i="2"/>
  <c r="Q6048" i="2"/>
  <c r="M6048" i="2"/>
  <c r="M6536" i="2"/>
  <c r="Q6532" i="2"/>
  <c r="M6532" i="2"/>
  <c r="M6094" i="2"/>
  <c r="Q1023" i="2"/>
  <c r="M1023" i="2"/>
  <c r="M1408" i="2"/>
  <c r="Q5550" i="2"/>
  <c r="M5550" i="2"/>
  <c r="M5788" i="2"/>
  <c r="Q6508" i="2"/>
  <c r="M6508" i="2"/>
  <c r="M6504" i="2"/>
  <c r="Q6500" i="2"/>
  <c r="M6500" i="2"/>
  <c r="M6496" i="2"/>
  <c r="M6492" i="2"/>
  <c r="Q4817" i="2"/>
  <c r="M4817" i="2"/>
  <c r="M2848" i="2"/>
  <c r="Q1224" i="2"/>
  <c r="M1224" i="2"/>
  <c r="M6476" i="2"/>
  <c r="M6472" i="2"/>
  <c r="Q6468" i="2"/>
  <c r="M6468" i="2"/>
  <c r="M6464" i="2"/>
  <c r="M6460" i="2"/>
  <c r="Q6456" i="2"/>
  <c r="M6456" i="2"/>
  <c r="M6452" i="2"/>
  <c r="M6448" i="2"/>
  <c r="Q6444" i="2"/>
  <c r="M6444" i="2"/>
  <c r="M6913" i="2"/>
  <c r="Q6436" i="2"/>
  <c r="M6436" i="2"/>
  <c r="M6432" i="2"/>
  <c r="M6428" i="2"/>
  <c r="Q4667" i="2"/>
  <c r="M4667" i="2"/>
  <c r="M6420" i="2"/>
  <c r="M4494" i="2"/>
  <c r="M6412" i="2"/>
  <c r="M6408" i="2"/>
  <c r="Q6404" i="2"/>
  <c r="M6404" i="2"/>
  <c r="M6400" i="2"/>
  <c r="M6396" i="2"/>
  <c r="Q4838" i="2"/>
  <c r="M4838" i="2"/>
  <c r="M6388" i="2"/>
  <c r="M6384" i="2"/>
  <c r="M6380" i="2"/>
  <c r="Q6376" i="2"/>
  <c r="M6376" i="2"/>
  <c r="M6372" i="2"/>
  <c r="M6368" i="2"/>
  <c r="M6364" i="2"/>
  <c r="M6360" i="2"/>
  <c r="M6356" i="2"/>
  <c r="M6352" i="2"/>
  <c r="M6348" i="2"/>
  <c r="M6344" i="2"/>
  <c r="M6340" i="2"/>
  <c r="Q179" i="2"/>
  <c r="M179" i="2"/>
  <c r="M6332" i="2"/>
  <c r="M6328" i="2"/>
  <c r="M6324" i="2"/>
  <c r="M6320" i="2"/>
  <c r="M6316" i="2"/>
  <c r="M6312" i="2"/>
  <c r="Q6308" i="2"/>
  <c r="M6308" i="2"/>
  <c r="M328" i="2"/>
  <c r="M6300" i="2"/>
  <c r="M6296" i="2"/>
  <c r="M6292" i="2"/>
  <c r="M6288" i="2"/>
  <c r="M6284" i="2"/>
  <c r="M6280" i="2"/>
  <c r="M6276" i="2"/>
  <c r="M6272" i="2"/>
  <c r="M6268" i="2"/>
  <c r="Q6264" i="2"/>
  <c r="M6264" i="2"/>
  <c r="M6260" i="2"/>
  <c r="M6256" i="2"/>
  <c r="M3113" i="2"/>
  <c r="Q6248" i="2"/>
  <c r="M6248" i="2"/>
  <c r="M6244" i="2"/>
  <c r="M6240" i="2"/>
  <c r="Q6236" i="2"/>
  <c r="M6236" i="2"/>
  <c r="M6232" i="2"/>
  <c r="Q1680" i="2"/>
  <c r="M1680" i="2"/>
  <c r="M6224" i="2"/>
  <c r="M6220" i="2"/>
  <c r="M6216" i="2"/>
  <c r="Q6212" i="2"/>
  <c r="M6212" i="2"/>
  <c r="M6208" i="2"/>
  <c r="M6204" i="2"/>
  <c r="M6200" i="2"/>
  <c r="M6196" i="2"/>
  <c r="Q6689" i="2"/>
  <c r="M6689" i="2"/>
  <c r="M6188" i="2"/>
  <c r="M6184" i="2"/>
  <c r="M6180" i="2"/>
  <c r="M2005" i="2"/>
  <c r="Q1524" i="2"/>
  <c r="M1524" i="2"/>
  <c r="M6168" i="2"/>
  <c r="M6164" i="2"/>
  <c r="Q6773" i="2"/>
  <c r="M6773" i="2"/>
  <c r="M6156" i="2"/>
  <c r="M6152" i="2"/>
  <c r="M6148" i="2"/>
  <c r="Q6144" i="2"/>
  <c r="M6144" i="2"/>
  <c r="M6140" i="2"/>
  <c r="M6136" i="2"/>
  <c r="Q6132" i="2"/>
  <c r="M6132" i="2"/>
  <c r="M6128" i="2"/>
  <c r="M6124" i="2"/>
  <c r="M6120" i="2"/>
  <c r="M6116" i="2"/>
  <c r="Q6112" i="2"/>
  <c r="M6112" i="2"/>
  <c r="M6108" i="2"/>
  <c r="Q2734" i="2"/>
  <c r="M2734" i="2"/>
  <c r="M6100" i="2"/>
  <c r="Q3016" i="2"/>
  <c r="M3016" i="2"/>
  <c r="Q4303" i="2"/>
  <c r="M4303" i="2"/>
  <c r="Q5526" i="2"/>
  <c r="M5526" i="2"/>
  <c r="M6084" i="2"/>
  <c r="M1437" i="2"/>
  <c r="Q6076" i="2"/>
  <c r="M6076" i="2"/>
  <c r="M6421" i="2"/>
  <c r="Q3004" i="2"/>
  <c r="M3004" i="2"/>
  <c r="M6064" i="2"/>
  <c r="Q7123" i="2"/>
  <c r="M7123" i="2"/>
  <c r="M6056" i="2"/>
  <c r="M6052" i="2"/>
  <c r="Q166" i="2"/>
  <c r="M166" i="2"/>
  <c r="M6044" i="2"/>
  <c r="M6040" i="2"/>
  <c r="M6036" i="2"/>
  <c r="Q6032" i="2"/>
  <c r="M6032" i="2"/>
  <c r="M6028" i="2"/>
  <c r="M6024" i="2"/>
  <c r="M6020" i="2"/>
  <c r="M6016" i="2"/>
  <c r="M6012" i="2"/>
  <c r="M6008" i="2"/>
  <c r="M6004" i="2"/>
  <c r="M6000" i="2"/>
  <c r="Q2674" i="2"/>
  <c r="M2674" i="2"/>
  <c r="M145" i="2"/>
  <c r="M5988" i="2"/>
  <c r="Q1394" i="2"/>
  <c r="M1394" i="2"/>
  <c r="M5980" i="2"/>
  <c r="Q5976" i="2"/>
  <c r="M5976" i="2"/>
  <c r="M5972" i="2"/>
  <c r="Q5603" i="2"/>
  <c r="M5603" i="2"/>
  <c r="M2381" i="2"/>
  <c r="Q4071" i="2"/>
  <c r="M4071" i="2"/>
  <c r="M5956" i="2"/>
  <c r="M5952" i="2"/>
  <c r="M5948" i="2"/>
  <c r="Q4051" i="2"/>
  <c r="M4051" i="2"/>
  <c r="M5940" i="2"/>
  <c r="M5936" i="2"/>
  <c r="Q4657" i="2"/>
  <c r="M4657" i="2"/>
  <c r="M143" i="2"/>
  <c r="Q6540" i="2"/>
  <c r="M6540" i="2"/>
  <c r="M5920" i="2"/>
  <c r="M5916" i="2"/>
  <c r="Q5912" i="2"/>
  <c r="M5912" i="2"/>
  <c r="M5908" i="2"/>
  <c r="M5904" i="2"/>
  <c r="Q1956" i="2"/>
  <c r="M1956" i="2"/>
  <c r="M5896" i="2"/>
  <c r="Q5892" i="2"/>
  <c r="M5892" i="2"/>
  <c r="M5888" i="2"/>
  <c r="Q5884" i="2"/>
  <c r="M5884" i="2"/>
  <c r="M5469" i="2"/>
  <c r="M5876" i="2"/>
  <c r="Q5872" i="2"/>
  <c r="M5872" i="2"/>
  <c r="M5868" i="2"/>
  <c r="M5864" i="2"/>
  <c r="M5860" i="2"/>
  <c r="M5856" i="2"/>
  <c r="M5852" i="2"/>
  <c r="Q5977" i="2"/>
  <c r="M5977" i="2"/>
  <c r="M5844" i="2"/>
  <c r="Q1517" i="2"/>
  <c r="M1517" i="2"/>
  <c r="M1877" i="2"/>
  <c r="Q2520" i="2"/>
  <c r="M2520" i="2"/>
  <c r="M5828" i="2"/>
  <c r="Q1440" i="2"/>
  <c r="M1440" i="2"/>
  <c r="M5820" i="2"/>
  <c r="Q5821" i="2"/>
  <c r="M5821" i="2"/>
  <c r="M5812" i="2"/>
  <c r="Q4313" i="2"/>
  <c r="M4313" i="2"/>
  <c r="M5804" i="2"/>
  <c r="Q2742" i="2"/>
  <c r="M2742" i="2"/>
  <c r="M5796" i="2"/>
  <c r="M5792" i="2"/>
  <c r="Q4644" i="2"/>
  <c r="M4644" i="2"/>
  <c r="M2921" i="2"/>
  <c r="Q5780" i="2"/>
  <c r="M5780" i="2"/>
  <c r="M2059" i="2"/>
  <c r="Q5772" i="2"/>
  <c r="M5772" i="2"/>
  <c r="M5768" i="2"/>
  <c r="Q5764" i="2"/>
  <c r="M5764" i="2"/>
  <c r="M5760" i="2"/>
  <c r="Q1600" i="2"/>
  <c r="M1600" i="2"/>
  <c r="M2398" i="2"/>
  <c r="Q6672" i="2"/>
  <c r="M6672" i="2"/>
  <c r="M5744" i="2"/>
  <c r="M5740" i="2"/>
  <c r="Q5736" i="2"/>
  <c r="M5736" i="2"/>
  <c r="Q5732" i="2"/>
  <c r="M5732" i="2"/>
  <c r="Q5728" i="2"/>
  <c r="M5728" i="2"/>
  <c r="M5724" i="2"/>
  <c r="Q139" i="2"/>
  <c r="M139" i="2"/>
  <c r="M5716" i="2"/>
  <c r="Q5900" i="2"/>
  <c r="M5900" i="2"/>
  <c r="M5257" i="2"/>
  <c r="Q4178" i="2"/>
  <c r="M4178" i="2"/>
  <c r="M3928" i="2"/>
  <c r="Q5696" i="2"/>
  <c r="M5696" i="2"/>
  <c r="M2784" i="2"/>
  <c r="M5688" i="2"/>
  <c r="M5684" i="2"/>
  <c r="Q5680" i="2"/>
  <c r="M5680" i="2"/>
  <c r="M5467" i="2"/>
  <c r="Q582" i="2"/>
  <c r="M582" i="2"/>
  <c r="M5668" i="2"/>
  <c r="M5664" i="2"/>
  <c r="M5660" i="2"/>
  <c r="M5656" i="2"/>
  <c r="M5652" i="2"/>
  <c r="M5648" i="2"/>
  <c r="Q6646" i="2"/>
  <c r="M6646" i="2"/>
  <c r="M5640" i="2"/>
  <c r="Q2295" i="2"/>
  <c r="M2295" i="2"/>
  <c r="M5632" i="2"/>
  <c r="M2167" i="2"/>
  <c r="Q5624" i="2"/>
  <c r="M5624" i="2"/>
  <c r="M2732" i="2"/>
  <c r="Q5616" i="2"/>
  <c r="M5616" i="2"/>
  <c r="M1494" i="2"/>
  <c r="M5608" i="2"/>
  <c r="Q2261" i="2"/>
  <c r="M2261" i="2"/>
  <c r="M5600" i="2"/>
  <c r="M5596" i="2"/>
  <c r="M5592" i="2"/>
  <c r="Q5588" i="2"/>
  <c r="M5588" i="2"/>
  <c r="M238" i="2"/>
  <c r="Q5580" i="2"/>
  <c r="M5580" i="2"/>
  <c r="M5576" i="2"/>
  <c r="M651" i="2"/>
  <c r="Q5568" i="2"/>
  <c r="M5568" i="2"/>
  <c r="M5564" i="2"/>
  <c r="Q5560" i="2"/>
  <c r="M5560" i="2"/>
  <c r="Q5556" i="2"/>
  <c r="M5556" i="2"/>
  <c r="Q5552" i="2"/>
  <c r="M5552" i="2"/>
  <c r="M5548" i="2"/>
  <c r="M3368" i="2"/>
  <c r="Q5540" i="2"/>
  <c r="M5540" i="2"/>
  <c r="M5536" i="2"/>
  <c r="M5532" i="2"/>
  <c r="Q5528" i="2"/>
  <c r="M5528" i="2"/>
  <c r="M5524" i="2"/>
  <c r="Q2998" i="2"/>
  <c r="M2998" i="2"/>
  <c r="M4756" i="2"/>
  <c r="Q7122" i="2"/>
  <c r="M7122" i="2"/>
  <c r="M5508" i="2"/>
  <c r="M5504" i="2"/>
  <c r="Q5500" i="2"/>
  <c r="M5500" i="2"/>
  <c r="M5496" i="2"/>
  <c r="Q5492" i="2"/>
  <c r="M5492" i="2"/>
  <c r="M5488" i="2"/>
  <c r="Q5484" i="2"/>
  <c r="M5484" i="2"/>
  <c r="M4513" i="2"/>
  <c r="Q5476" i="2"/>
  <c r="M5476" i="2"/>
  <c r="M2676" i="2"/>
  <c r="Q1953" i="2"/>
  <c r="M1953" i="2"/>
  <c r="M3878" i="2"/>
  <c r="M5460" i="2"/>
  <c r="Q5456" i="2"/>
  <c r="M5456" i="2"/>
  <c r="M857" i="2"/>
  <c r="M5448" i="2"/>
  <c r="M5444" i="2"/>
  <c r="M5440" i="2"/>
  <c r="Q5436" i="2"/>
  <c r="M5436" i="2"/>
  <c r="M5432" i="2"/>
  <c r="Q2309" i="2"/>
  <c r="M2309" i="2"/>
  <c r="M5424" i="2"/>
  <c r="M5420" i="2"/>
  <c r="Q5416" i="2"/>
  <c r="M5416" i="2"/>
  <c r="M5412" i="2"/>
  <c r="M5408" i="2"/>
  <c r="Q5404" i="2"/>
  <c r="M5404" i="2"/>
  <c r="M5400" i="2"/>
  <c r="M5396" i="2"/>
  <c r="M5392" i="2"/>
  <c r="M5388" i="2"/>
  <c r="M5384" i="2"/>
  <c r="M5380" i="2"/>
  <c r="M5376" i="2"/>
  <c r="M5372" i="2"/>
  <c r="M5368" i="2"/>
  <c r="M5364" i="2"/>
  <c r="Q2136" i="2"/>
  <c r="M2136" i="2"/>
  <c r="M5356" i="2"/>
  <c r="Q5352" i="2"/>
  <c r="M5352" i="2"/>
  <c r="Q5348" i="2"/>
  <c r="M5348" i="2"/>
  <c r="M5344" i="2"/>
  <c r="Q3289" i="2"/>
  <c r="M3289" i="2"/>
  <c r="M5336" i="2"/>
  <c r="M5332" i="2"/>
  <c r="M5328" i="2"/>
  <c r="M5324" i="2"/>
  <c r="M5320" i="2"/>
  <c r="M5316" i="2"/>
  <c r="Q2689" i="2"/>
  <c r="M2689" i="2"/>
  <c r="M966" i="2"/>
  <c r="Q5304" i="2"/>
  <c r="M5304" i="2"/>
  <c r="M5300" i="2"/>
  <c r="M5296" i="2"/>
  <c r="M5292" i="2"/>
  <c r="M5288" i="2"/>
  <c r="Q5284" i="2"/>
  <c r="M5284" i="2"/>
  <c r="M5280" i="2"/>
  <c r="M5276" i="2"/>
  <c r="M5272" i="2"/>
  <c r="Q6060" i="2"/>
  <c r="M6060" i="2"/>
  <c r="M5264" i="2"/>
  <c r="M5260" i="2"/>
  <c r="Q5256" i="2"/>
  <c r="M5256" i="2"/>
  <c r="M5252" i="2"/>
  <c r="Q1657" i="2"/>
  <c r="M1657" i="2"/>
  <c r="M6757" i="2"/>
  <c r="Q5240" i="2"/>
  <c r="M5240" i="2"/>
  <c r="M4546" i="2"/>
  <c r="Q5232" i="2"/>
  <c r="M5232" i="2"/>
  <c r="M5228" i="2"/>
  <c r="M5224" i="2"/>
  <c r="M4539" i="2"/>
  <c r="M5216" i="2"/>
  <c r="Q5212" i="2"/>
  <c r="M5212" i="2"/>
  <c r="M5208" i="2"/>
  <c r="M5204" i="2"/>
  <c r="M5200" i="2"/>
  <c r="M5196" i="2"/>
  <c r="M5192" i="2"/>
  <c r="M5188" i="2"/>
  <c r="M5184" i="2"/>
  <c r="Q5623" i="2"/>
  <c r="M5623" i="2"/>
  <c r="M5176" i="2"/>
  <c r="M5172" i="2"/>
  <c r="M5168" i="2"/>
  <c r="M5164" i="2"/>
  <c r="M5160" i="2"/>
  <c r="Q6479" i="2"/>
  <c r="M6479" i="2"/>
  <c r="M135" i="2"/>
  <c r="Q6597" i="2"/>
  <c r="M6597" i="2"/>
  <c r="M4355" i="2"/>
  <c r="Q3109" i="2"/>
  <c r="M3109" i="2"/>
  <c r="Q5136" i="2"/>
  <c r="M5136" i="2"/>
  <c r="M5132" i="2"/>
  <c r="Q5128" i="2"/>
  <c r="M5128" i="2"/>
  <c r="M6433" i="2"/>
  <c r="M5120" i="2"/>
  <c r="Q5116" i="2"/>
  <c r="M5116" i="2"/>
  <c r="M5112" i="2"/>
  <c r="M5108" i="2"/>
  <c r="Q5104" i="2"/>
  <c r="M5104" i="2"/>
  <c r="M5100" i="2"/>
  <c r="M5096" i="2"/>
  <c r="M5092" i="2"/>
  <c r="Q5088" i="2"/>
  <c r="M5088" i="2"/>
  <c r="Q5247" i="2"/>
  <c r="M5247" i="2"/>
  <c r="Q5080" i="2"/>
  <c r="M5080" i="2"/>
  <c r="M5076" i="2"/>
  <c r="Q3731" i="2"/>
  <c r="M3731" i="2"/>
  <c r="M5068" i="2"/>
  <c r="M5064" i="2"/>
  <c r="M5060" i="2"/>
  <c r="M5056" i="2"/>
  <c r="M5052" i="2"/>
  <c r="M5048" i="2"/>
  <c r="Q5044" i="2"/>
  <c r="M5044" i="2"/>
  <c r="M1415" i="2"/>
  <c r="Q5036" i="2"/>
  <c r="M5036" i="2"/>
  <c r="Q6584" i="2"/>
  <c r="M6584" i="2"/>
  <c r="Q3972" i="2"/>
  <c r="M3972" i="2"/>
  <c r="M6069" i="2"/>
  <c r="Q5020" i="2"/>
  <c r="M5020" i="2"/>
  <c r="M6798" i="2"/>
  <c r="M5012" i="2"/>
  <c r="Q6728" i="2"/>
  <c r="M6728" i="2"/>
  <c r="M5594" i="2"/>
  <c r="Q5959" i="2"/>
  <c r="M5959" i="2"/>
  <c r="Q4996" i="2"/>
  <c r="M4996" i="2"/>
  <c r="Q4992" i="2"/>
  <c r="M4992" i="2"/>
  <c r="M6547" i="2"/>
  <c r="Q4984" i="2"/>
  <c r="M4984" i="2"/>
  <c r="M1265" i="2"/>
  <c r="Q4976" i="2"/>
  <c r="M4976" i="2"/>
  <c r="M4972" i="2"/>
  <c r="M4968" i="2"/>
  <c r="Q4964" i="2"/>
  <c r="M4964" i="2"/>
  <c r="M4960" i="2"/>
  <c r="M4956" i="2"/>
  <c r="Q3302" i="2"/>
  <c r="M3302" i="2"/>
  <c r="Q7046" i="2"/>
  <c r="M7046" i="2"/>
  <c r="M1952" i="2"/>
  <c r="Q5725" i="2"/>
  <c r="M5725" i="2"/>
  <c r="M4936" i="2"/>
  <c r="M4932" i="2"/>
  <c r="Q4928" i="2"/>
  <c r="M4928" i="2"/>
  <c r="M4924" i="2"/>
  <c r="M4920" i="2"/>
  <c r="Q4916" i="2"/>
  <c r="M4916" i="2"/>
  <c r="M4912" i="2"/>
  <c r="M4908" i="2"/>
  <c r="M4904" i="2"/>
  <c r="M4900" i="2"/>
  <c r="M4896" i="2"/>
  <c r="M4892" i="2"/>
  <c r="Q4888" i="2"/>
  <c r="M4888" i="2"/>
  <c r="Q4884" i="2"/>
  <c r="M4884" i="2"/>
  <c r="M4880" i="2"/>
  <c r="Q3625" i="2"/>
  <c r="M3625" i="2"/>
  <c r="M3154" i="2"/>
  <c r="Q2516" i="2"/>
  <c r="M2516" i="2"/>
  <c r="M4864" i="2"/>
  <c r="Q5148" i="2"/>
  <c r="M5148" i="2"/>
  <c r="M4856" i="2"/>
  <c r="Q5464" i="2"/>
  <c r="M5464" i="2"/>
  <c r="M4848" i="2"/>
  <c r="Q6727" i="2"/>
  <c r="M6727" i="2"/>
  <c r="M4840" i="2"/>
  <c r="Q4274" i="2"/>
  <c r="M4274" i="2"/>
  <c r="M749" i="2"/>
  <c r="Q5937" i="2"/>
  <c r="M5937" i="2"/>
  <c r="M6176" i="2"/>
  <c r="Q3703" i="2"/>
  <c r="M3703" i="2"/>
  <c r="Q2362" i="2"/>
  <c r="M2362" i="2"/>
  <c r="Q1924" i="2"/>
  <c r="M1924" i="2"/>
  <c r="M4808" i="2"/>
  <c r="Q4804" i="2"/>
  <c r="M4804" i="2"/>
  <c r="M4800" i="2"/>
  <c r="Q4796" i="2"/>
  <c r="M4796" i="2"/>
  <c r="M3042" i="2"/>
  <c r="M4788" i="2"/>
  <c r="Q4784" i="2"/>
  <c r="M4784" i="2"/>
  <c r="M4780" i="2"/>
  <c r="Q4776" i="2"/>
  <c r="M4776" i="2"/>
  <c r="Q4772" i="2"/>
  <c r="M4772" i="2"/>
  <c r="M4768" i="2"/>
  <c r="M4764" i="2"/>
  <c r="M4760" i="2"/>
  <c r="M5244" i="2"/>
  <c r="Q6068" i="2"/>
  <c r="M6068" i="2"/>
  <c r="M4748" i="2"/>
  <c r="Q4744" i="2"/>
  <c r="M4744" i="2"/>
  <c r="M4740" i="2"/>
  <c r="M4736" i="2"/>
  <c r="Q4732" i="2"/>
  <c r="M4732" i="2"/>
  <c r="Q4728" i="2"/>
  <c r="M4728" i="2"/>
  <c r="M4724" i="2"/>
  <c r="Q4720" i="2"/>
  <c r="M4720" i="2"/>
  <c r="M4716" i="2"/>
  <c r="M4712" i="2"/>
  <c r="M4708" i="2"/>
  <c r="Q4704" i="2"/>
  <c r="M4704" i="2"/>
  <c r="M4700" i="2"/>
  <c r="M4696" i="2"/>
  <c r="M4692" i="2"/>
  <c r="Q4688" i="2"/>
  <c r="M4688" i="2"/>
  <c r="M4684" i="2"/>
  <c r="Q792" i="2"/>
  <c r="M792" i="2"/>
  <c r="Q4676" i="2"/>
  <c r="M4676" i="2"/>
  <c r="Q4672" i="2"/>
  <c r="M4672" i="2"/>
  <c r="M2779" i="2"/>
  <c r="Q4664" i="2"/>
  <c r="M4664" i="2"/>
  <c r="M1200" i="2"/>
  <c r="M4656" i="2"/>
  <c r="Q699" i="2"/>
  <c r="M699" i="2"/>
  <c r="M4648" i="2"/>
  <c r="Q4666" i="2"/>
  <c r="M4666" i="2"/>
  <c r="Q5512" i="2"/>
  <c r="M5512" i="2"/>
  <c r="Q2371" i="2"/>
  <c r="M2371" i="2"/>
  <c r="M2083" i="2"/>
  <c r="M4628" i="2"/>
  <c r="Q4624" i="2"/>
  <c r="M4624" i="2"/>
  <c r="M4620" i="2"/>
  <c r="Q748" i="2"/>
  <c r="M748" i="2"/>
  <c r="M4612" i="2"/>
  <c r="Q3153" i="2"/>
  <c r="M3153" i="2"/>
  <c r="M4604" i="2"/>
  <c r="M4600" i="2"/>
  <c r="M4596" i="2"/>
  <c r="Q4592" i="2"/>
  <c r="M4592" i="2"/>
  <c r="Q4588" i="2"/>
  <c r="M4588" i="2"/>
  <c r="M4584" i="2"/>
  <c r="M5049" i="2"/>
  <c r="Q4576" i="2"/>
  <c r="M4576" i="2"/>
  <c r="M2994" i="2"/>
  <c r="Q6765" i="2"/>
  <c r="M6765" i="2"/>
  <c r="M4564" i="2"/>
  <c r="M4560" i="2"/>
  <c r="M4556" i="2"/>
  <c r="Q4552" i="2"/>
  <c r="M4552" i="2"/>
  <c r="Q1287" i="2"/>
  <c r="M1287" i="2"/>
  <c r="Q4544" i="2"/>
  <c r="M4544" i="2"/>
  <c r="M4540" i="2"/>
  <c r="Q4536" i="2"/>
  <c r="M4536" i="2"/>
  <c r="M4532" i="2"/>
  <c r="Q4528" i="2"/>
  <c r="M4528" i="2"/>
  <c r="M454" i="2"/>
  <c r="M4520" i="2"/>
  <c r="M4516" i="2"/>
  <c r="Q4512" i="2"/>
  <c r="M4512" i="2"/>
  <c r="Q4508" i="2"/>
  <c r="M4508" i="2"/>
  <c r="Q4504" i="2"/>
  <c r="M4504" i="2"/>
  <c r="M4500" i="2"/>
  <c r="M2964" i="2"/>
  <c r="M4492" i="2"/>
  <c r="M4488" i="2"/>
  <c r="M4484" i="2"/>
  <c r="Q4480" i="2"/>
  <c r="M4480" i="2"/>
  <c r="M4476" i="2"/>
  <c r="M4472" i="2"/>
  <c r="M4468" i="2"/>
  <c r="M4464" i="2"/>
  <c r="M4460" i="2"/>
  <c r="M4456" i="2"/>
  <c r="M4452" i="2"/>
  <c r="Q4448" i="2"/>
  <c r="M4448" i="2"/>
  <c r="M4444" i="2"/>
  <c r="Q4440" i="2"/>
  <c r="M4440" i="2"/>
  <c r="Q4436" i="2"/>
  <c r="M4436" i="2"/>
  <c r="Q4432" i="2"/>
  <c r="M4432" i="2"/>
  <c r="M4428" i="2"/>
  <c r="M4424" i="2"/>
  <c r="M4420" i="2"/>
  <c r="Q4416" i="2"/>
  <c r="M4416" i="2"/>
  <c r="M4412" i="2"/>
  <c r="M856" i="2"/>
  <c r="Q127" i="2"/>
  <c r="M127" i="2"/>
  <c r="M2987" i="2"/>
  <c r="M4396" i="2"/>
  <c r="Q5242" i="2"/>
  <c r="M5242" i="2"/>
  <c r="M4388" i="2"/>
  <c r="M4384" i="2"/>
  <c r="Q548" i="2"/>
  <c r="M548" i="2"/>
  <c r="M4376" i="2"/>
  <c r="Q1407" i="2"/>
  <c r="M1407" i="2"/>
  <c r="M1980" i="2"/>
  <c r="Q4364" i="2"/>
  <c r="M4364" i="2"/>
  <c r="M4360" i="2"/>
  <c r="M4356" i="2"/>
  <c r="Q4498" i="2"/>
  <c r="M4498" i="2"/>
  <c r="M4348" i="2"/>
  <c r="M4344" i="2"/>
  <c r="Q4340" i="2"/>
  <c r="M4340" i="2"/>
  <c r="Q4336" i="2"/>
  <c r="M4336" i="2"/>
  <c r="M4332" i="2"/>
  <c r="M4328" i="2"/>
  <c r="M4324" i="2"/>
  <c r="M4320" i="2"/>
  <c r="Q4316" i="2"/>
  <c r="M4316" i="2"/>
  <c r="M4312" i="2"/>
  <c r="Q4308" i="2"/>
  <c r="M4308" i="2"/>
  <c r="M6046" i="2"/>
  <c r="Q4300" i="2"/>
  <c r="M4300" i="2"/>
  <c r="M527" i="2"/>
  <c r="M4292" i="2"/>
  <c r="Q4288" i="2"/>
  <c r="M4288" i="2"/>
  <c r="Q6583" i="2"/>
  <c r="M6583" i="2"/>
  <c r="Q4280" i="2"/>
  <c r="M4280" i="2"/>
  <c r="M4276" i="2"/>
  <c r="Q4272" i="2"/>
  <c r="M4272" i="2"/>
  <c r="M4268" i="2"/>
  <c r="Q110" i="2"/>
  <c r="M110" i="2"/>
  <c r="M4260" i="2"/>
  <c r="M4256" i="2"/>
  <c r="Q4252" i="2"/>
  <c r="M4252" i="2"/>
  <c r="M4248" i="2"/>
  <c r="M4244" i="2"/>
  <c r="M4240" i="2"/>
  <c r="M4236" i="2"/>
  <c r="Q1375" i="2"/>
  <c r="M1375" i="2"/>
  <c r="M4228" i="2"/>
  <c r="Q2294" i="2"/>
  <c r="M2294" i="2"/>
  <c r="M4220" i="2"/>
  <c r="M5028" i="2"/>
  <c r="Q4212" i="2"/>
  <c r="M4212" i="2"/>
  <c r="M4824" i="2"/>
  <c r="Q104" i="2"/>
  <c r="M104" i="2"/>
  <c r="M4063" i="2"/>
  <c r="Q313" i="2"/>
  <c r="M313" i="2"/>
  <c r="Q4192" i="2"/>
  <c r="M4192" i="2"/>
  <c r="Q3355" i="2"/>
  <c r="M3355" i="2"/>
  <c r="M4184" i="2"/>
  <c r="M4180" i="2"/>
  <c r="Q1071" i="2"/>
  <c r="M1071" i="2"/>
  <c r="M5974" i="2"/>
  <c r="Q4168" i="2"/>
  <c r="M4168" i="2"/>
  <c r="M4164" i="2"/>
  <c r="Q4160" i="2"/>
  <c r="M4160" i="2"/>
  <c r="Q4156" i="2"/>
  <c r="M4156" i="2"/>
  <c r="M4152" i="2"/>
  <c r="M4148" i="2"/>
  <c r="M4144" i="2"/>
  <c r="Q4140" i="2"/>
  <c r="M4140" i="2"/>
  <c r="M4136" i="2"/>
  <c r="M4132" i="2"/>
  <c r="M4128" i="2"/>
  <c r="Q4124" i="2"/>
  <c r="M4124" i="2"/>
  <c r="M4120" i="2"/>
  <c r="M4078" i="2"/>
  <c r="M4112" i="2"/>
  <c r="M4108" i="2"/>
  <c r="M4104" i="2"/>
  <c r="M4100" i="2"/>
  <c r="Q2081" i="2"/>
  <c r="M2081" i="2"/>
  <c r="M4092" i="2"/>
  <c r="M4088" i="2"/>
  <c r="Q5518" i="2"/>
  <c r="M5518" i="2"/>
  <c r="Q4080" i="2"/>
  <c r="M4080" i="2"/>
  <c r="Q693" i="2"/>
  <c r="M693" i="2"/>
  <c r="M4072" i="2"/>
  <c r="M4068" i="2"/>
  <c r="Q3116" i="2"/>
  <c r="M3116" i="2"/>
  <c r="M4060" i="2"/>
  <c r="M4056" i="2"/>
  <c r="M4052" i="2"/>
  <c r="Q4048" i="2"/>
  <c r="M4048" i="2"/>
  <c r="M4044" i="2"/>
  <c r="M4040" i="2"/>
  <c r="Q4036" i="2"/>
  <c r="M4036" i="2"/>
  <c r="Q4032" i="2"/>
  <c r="M4032" i="2"/>
  <c r="Q4028" i="2"/>
  <c r="M4028" i="2"/>
  <c r="M4024" i="2"/>
  <c r="Q3817" i="2"/>
  <c r="M3817" i="2"/>
  <c r="M4016" i="2"/>
  <c r="Q4012" i="2"/>
  <c r="M4012" i="2"/>
  <c r="M1067" i="2"/>
  <c r="Q4948" i="2"/>
  <c r="M4948" i="2"/>
  <c r="Q5238" i="2"/>
  <c r="M5238" i="2"/>
  <c r="Q4683" i="2"/>
  <c r="M4683" i="2"/>
  <c r="M3992" i="2"/>
  <c r="M3988" i="2"/>
  <c r="Q2847" i="2"/>
  <c r="M2847" i="2"/>
  <c r="M3980" i="2"/>
  <c r="M3976" i="2"/>
  <c r="M4572" i="2"/>
  <c r="Q3968" i="2"/>
  <c r="M3968" i="2"/>
  <c r="M3964" i="2"/>
  <c r="M412" i="2"/>
  <c r="M3956" i="2"/>
  <c r="M3952" i="2"/>
  <c r="M3948" i="2"/>
  <c r="M3944" i="2"/>
  <c r="Q3940" i="2"/>
  <c r="M3940" i="2"/>
  <c r="Q3936" i="2"/>
  <c r="M3936" i="2"/>
  <c r="Q3932" i="2"/>
  <c r="M3932" i="2"/>
  <c r="M428" i="2"/>
  <c r="Q3924" i="2"/>
  <c r="M3924" i="2"/>
  <c r="M2490" i="2"/>
  <c r="Q3916" i="2"/>
  <c r="M3916" i="2"/>
  <c r="M3912" i="2"/>
  <c r="M3908" i="2"/>
  <c r="Q892" i="2"/>
  <c r="M892" i="2"/>
  <c r="M3900" i="2"/>
  <c r="M3896" i="2"/>
  <c r="M3892" i="2"/>
  <c r="Q336" i="2"/>
  <c r="M336" i="2"/>
  <c r="Q3884" i="2"/>
  <c r="M3884" i="2"/>
  <c r="M303" i="2"/>
  <c r="M3876" i="2"/>
  <c r="M3872" i="2"/>
  <c r="Q3868" i="2"/>
  <c r="M3868" i="2"/>
  <c r="M3864" i="2"/>
  <c r="Q3860" i="2"/>
  <c r="M3860" i="2"/>
  <c r="M4858" i="2"/>
  <c r="Q3795" i="2"/>
  <c r="M3795" i="2"/>
  <c r="Q3848" i="2"/>
  <c r="M3848" i="2"/>
  <c r="Q3844" i="2"/>
  <c r="M3844" i="2"/>
  <c r="M3840" i="2"/>
  <c r="M3836" i="2"/>
  <c r="Q3832" i="2"/>
  <c r="M3832" i="2"/>
  <c r="M2359" i="2"/>
  <c r="Q236" i="2"/>
  <c r="M236" i="2"/>
  <c r="M3820" i="2"/>
  <c r="Q3816" i="2"/>
  <c r="M3816" i="2"/>
  <c r="M3812" i="2"/>
  <c r="Q3889" i="2"/>
  <c r="M3889" i="2"/>
  <c r="M3804" i="2"/>
  <c r="M3800" i="2"/>
  <c r="M3796" i="2"/>
  <c r="M3792" i="2"/>
  <c r="M3788" i="2"/>
  <c r="M3784" i="2"/>
  <c r="M3780" i="2"/>
  <c r="M3776" i="2"/>
  <c r="M3772" i="2"/>
  <c r="M3768" i="2"/>
  <c r="Q1180" i="2"/>
  <c r="M1180" i="2"/>
  <c r="M3760" i="2"/>
  <c r="M4632" i="2"/>
  <c r="Q5837" i="2"/>
  <c r="M5837" i="2"/>
  <c r="M3748" i="2"/>
  <c r="M1615" i="2"/>
  <c r="Q4163" i="2"/>
  <c r="M4163" i="2"/>
  <c r="M3736" i="2"/>
  <c r="Q3732" i="2"/>
  <c r="M3732" i="2"/>
  <c r="Q3344" i="2"/>
  <c r="M3344" i="2"/>
  <c r="Q3724" i="2"/>
  <c r="M3724" i="2"/>
  <c r="M3115" i="2"/>
  <c r="Q2822" i="2"/>
  <c r="M2822" i="2"/>
  <c r="M3712" i="2"/>
  <c r="Q3708" i="2"/>
  <c r="M3708" i="2"/>
  <c r="M3704" i="2"/>
  <c r="M3700" i="2"/>
  <c r="Q3696" i="2"/>
  <c r="M3696" i="2"/>
  <c r="Q3692" i="2"/>
  <c r="M3692" i="2"/>
  <c r="Q1902" i="2"/>
  <c r="M1902" i="2"/>
  <c r="M3684" i="2"/>
  <c r="M5704" i="2"/>
  <c r="Q3676" i="2"/>
  <c r="M3676" i="2"/>
  <c r="M3672" i="2"/>
  <c r="M4548" i="2"/>
  <c r="Q2949" i="2"/>
  <c r="M2949" i="2"/>
  <c r="M2837" i="2"/>
  <c r="Q4642" i="2"/>
  <c r="M4642" i="2"/>
  <c r="M3652" i="2"/>
  <c r="Q3648" i="2"/>
  <c r="M3648" i="2"/>
  <c r="M3644" i="2"/>
  <c r="Q1978" i="2"/>
  <c r="M1978" i="2"/>
  <c r="M3636" i="2"/>
  <c r="Q3632" i="2"/>
  <c r="M3632" i="2"/>
  <c r="M3628" i="2"/>
  <c r="Q3624" i="2"/>
  <c r="M3624" i="2"/>
  <c r="M6659" i="2"/>
  <c r="Q3616" i="2"/>
  <c r="M3616" i="2"/>
  <c r="Q5236" i="2"/>
  <c r="M5236" i="2"/>
  <c r="Q3904" i="2"/>
  <c r="M3904" i="2"/>
  <c r="M3604" i="2"/>
  <c r="M3600" i="2"/>
  <c r="M3596" i="2"/>
  <c r="M3592" i="2"/>
  <c r="M3588" i="2"/>
  <c r="M3584" i="2"/>
  <c r="M3580" i="2"/>
  <c r="M3576" i="2"/>
  <c r="M3572" i="2"/>
  <c r="M3568" i="2"/>
  <c r="M3564" i="2"/>
  <c r="Q3560" i="2"/>
  <c r="M3560" i="2"/>
  <c r="M3556" i="2"/>
  <c r="M3552" i="2"/>
  <c r="M3548" i="2"/>
  <c r="Q4680" i="2"/>
  <c r="M4680" i="2"/>
  <c r="M3540" i="2"/>
  <c r="M3536" i="2"/>
  <c r="M3532" i="2"/>
  <c r="M3528" i="2"/>
  <c r="M3524" i="2"/>
  <c r="Q3520" i="2"/>
  <c r="M3520" i="2"/>
  <c r="Q3516" i="2"/>
  <c r="M3516" i="2"/>
  <c r="M3512" i="2"/>
  <c r="M3508" i="2"/>
  <c r="Q3504" i="2"/>
  <c r="M3504" i="2"/>
  <c r="M3500" i="2"/>
  <c r="M3496" i="2"/>
  <c r="Q3492" i="2"/>
  <c r="M3492" i="2"/>
  <c r="M3488" i="2"/>
  <c r="M3484" i="2"/>
  <c r="Q3480" i="2"/>
  <c r="M3480" i="2"/>
  <c r="M3476" i="2"/>
  <c r="M3472" i="2"/>
  <c r="Q3468" i="2"/>
  <c r="M3468" i="2"/>
  <c r="M3464" i="2"/>
  <c r="M3460" i="2"/>
  <c r="M3456" i="2"/>
  <c r="Q5938" i="2"/>
  <c r="M5938" i="2"/>
  <c r="Q6570" i="2"/>
  <c r="M6570" i="2"/>
  <c r="M3444" i="2"/>
  <c r="M3440" i="2"/>
  <c r="Q3436" i="2"/>
  <c r="M3436" i="2"/>
  <c r="M2482" i="2"/>
  <c r="M3428" i="2"/>
  <c r="Q3424" i="2"/>
  <c r="M3424" i="2"/>
  <c r="M3420" i="2"/>
  <c r="Q3416" i="2"/>
  <c r="M3416" i="2"/>
  <c r="Q3412" i="2"/>
  <c r="M3412" i="2"/>
  <c r="Q3408" i="2"/>
  <c r="M3408" i="2"/>
  <c r="M3404" i="2"/>
  <c r="M3400" i="2"/>
  <c r="M3396" i="2"/>
  <c r="M1297" i="2"/>
  <c r="M3388" i="2"/>
  <c r="Q3384" i="2"/>
  <c r="M3384" i="2"/>
  <c r="M1432" i="2"/>
  <c r="Q3376" i="2"/>
  <c r="M3376" i="2"/>
  <c r="M2812" i="2"/>
  <c r="Q3827" i="2"/>
  <c r="M3827" i="2"/>
  <c r="Q3364" i="2"/>
  <c r="M3364" i="2"/>
  <c r="Q3360" i="2"/>
  <c r="M3360" i="2"/>
  <c r="M3356" i="2"/>
  <c r="M3352" i="2"/>
  <c r="M3348" i="2"/>
  <c r="Q449" i="2"/>
  <c r="M449" i="2"/>
  <c r="M3340" i="2"/>
  <c r="M3336" i="2"/>
  <c r="M3332" i="2"/>
  <c r="Q3283" i="2"/>
  <c r="M3283" i="2"/>
  <c r="M3324" i="2"/>
  <c r="M3320" i="2"/>
  <c r="Q3316" i="2"/>
  <c r="M3316" i="2"/>
  <c r="M3312" i="2"/>
  <c r="Q3308" i="2"/>
  <c r="M3308" i="2"/>
  <c r="Q3304" i="2"/>
  <c r="M3304" i="2"/>
  <c r="M3300" i="2"/>
  <c r="Q2202" i="2"/>
  <c r="M2202" i="2"/>
  <c r="M3292" i="2"/>
  <c r="Q4793" i="2"/>
  <c r="M4793" i="2"/>
  <c r="M3284" i="2"/>
  <c r="Q3280" i="2"/>
  <c r="M3280" i="2"/>
  <c r="Q3276" i="2"/>
  <c r="M3276" i="2"/>
  <c r="Q3272" i="2"/>
  <c r="M3272" i="2"/>
  <c r="M84" i="2"/>
  <c r="Q3264" i="2"/>
  <c r="M3264" i="2"/>
  <c r="M3260" i="2"/>
  <c r="Q3256" i="2"/>
  <c r="M3256" i="2"/>
  <c r="M3252" i="2"/>
  <c r="Q3248" i="2"/>
  <c r="M3248" i="2"/>
  <c r="M3244" i="2"/>
  <c r="M3240" i="2"/>
  <c r="M3236" i="2"/>
  <c r="M3232" i="2"/>
  <c r="Q3228" i="2"/>
  <c r="M3228" i="2"/>
  <c r="M3224" i="2"/>
  <c r="Q3220" i="2"/>
  <c r="M3220" i="2"/>
  <c r="M3216" i="2"/>
  <c r="M3212" i="2"/>
  <c r="M996" i="2"/>
  <c r="M3204" i="2"/>
  <c r="Q4866" i="2"/>
  <c r="M4866" i="2"/>
  <c r="M3196" i="2"/>
  <c r="M3192" i="2"/>
  <c r="M418" i="2"/>
  <c r="Q1082" i="2"/>
  <c r="M1082" i="2"/>
  <c r="M6242" i="2"/>
  <c r="M3176" i="2"/>
  <c r="Q3265" i="2"/>
  <c r="M3265" i="2"/>
  <c r="Q3168" i="2"/>
  <c r="M3168" i="2"/>
  <c r="Q6721" i="2"/>
  <c r="M6721" i="2"/>
  <c r="M3160" i="2"/>
  <c r="M2004" i="2"/>
  <c r="M3152" i="2"/>
  <c r="Q3148" i="2"/>
  <c r="M3148" i="2"/>
  <c r="M3144" i="2"/>
  <c r="Q1764" i="2"/>
  <c r="M1764" i="2"/>
  <c r="M6109" i="2"/>
  <c r="M3132" i="2"/>
  <c r="Q3128" i="2"/>
  <c r="M3128" i="2"/>
  <c r="Q3124" i="2"/>
  <c r="M3124" i="2"/>
  <c r="Q3120" i="2"/>
  <c r="M3120" i="2"/>
  <c r="M937" i="2"/>
  <c r="Q4123" i="2"/>
  <c r="M4123" i="2"/>
  <c r="M3108" i="2"/>
  <c r="M3104" i="2"/>
  <c r="Q3274" i="2"/>
  <c r="M3274" i="2"/>
  <c r="M3096" i="2"/>
  <c r="M3092" i="2"/>
  <c r="M3088" i="2"/>
  <c r="Q3084" i="2"/>
  <c r="M3084" i="2"/>
  <c r="M3080" i="2"/>
  <c r="M3076" i="2"/>
  <c r="M3072" i="2"/>
  <c r="M3068" i="2"/>
  <c r="M3064" i="2"/>
  <c r="M3060" i="2"/>
  <c r="M3056" i="2"/>
  <c r="M3052" i="2"/>
  <c r="M3707" i="2"/>
  <c r="Q3044" i="2"/>
  <c r="M3044" i="2"/>
  <c r="M3040" i="2"/>
  <c r="M4269" i="2"/>
  <c r="Q6365" i="2"/>
  <c r="M6365" i="2"/>
  <c r="M3028" i="2"/>
  <c r="M690" i="2"/>
  <c r="Q3020" i="2"/>
  <c r="M3020" i="2"/>
  <c r="M940" i="2"/>
  <c r="Q3012" i="2"/>
  <c r="M3012" i="2"/>
  <c r="M3008" i="2"/>
  <c r="Q3746" i="2"/>
  <c r="M3746" i="2"/>
  <c r="M3000" i="2"/>
  <c r="Q2996" i="2"/>
  <c r="M2996" i="2"/>
  <c r="M2992" i="2"/>
  <c r="Q2988" i="2"/>
  <c r="M2988" i="2"/>
  <c r="M2984" i="2"/>
  <c r="Q2980" i="2"/>
  <c r="M2980" i="2"/>
  <c r="M5835" i="2"/>
  <c r="Q6905" i="2"/>
  <c r="M6905" i="2"/>
  <c r="M2968" i="2"/>
  <c r="M5984" i="2"/>
  <c r="M2960" i="2"/>
  <c r="Q2956" i="2"/>
  <c r="M2956" i="2"/>
  <c r="M2952" i="2"/>
  <c r="Q2948" i="2"/>
  <c r="M2948" i="2"/>
  <c r="M2944" i="2"/>
  <c r="M2940" i="2"/>
  <c r="M2936" i="2"/>
  <c r="M2932" i="2"/>
  <c r="M2928" i="2"/>
  <c r="Q2924" i="2"/>
  <c r="M2924" i="2"/>
  <c r="M7040" i="2"/>
  <c r="M2916" i="2"/>
  <c r="M2912" i="2"/>
  <c r="M2908" i="2"/>
  <c r="Q2904" i="2"/>
  <c r="M2904" i="2"/>
  <c r="M2900" i="2"/>
  <c r="M2896" i="2"/>
  <c r="Q2892" i="2"/>
  <c r="M2892" i="2"/>
  <c r="M2888" i="2"/>
  <c r="M2884" i="2"/>
  <c r="M2880" i="2"/>
  <c r="M2876" i="2"/>
  <c r="M2872" i="2"/>
  <c r="Q2868" i="2"/>
  <c r="M2868" i="2"/>
  <c r="M2864" i="2"/>
  <c r="M2860" i="2"/>
  <c r="M5842" i="2"/>
  <c r="Q680" i="2"/>
  <c r="M680" i="2"/>
  <c r="M6172" i="2"/>
  <c r="M2844" i="2"/>
  <c r="Q7221" i="2"/>
  <c r="M7221" i="2"/>
  <c r="M1152" i="2"/>
  <c r="M2832" i="2"/>
  <c r="M2828" i="2"/>
  <c r="Q1077" i="2"/>
  <c r="M1077" i="2"/>
  <c r="M2820" i="2"/>
  <c r="Q2816" i="2"/>
  <c r="M2816" i="2"/>
  <c r="M223" i="2"/>
  <c r="M2808" i="2"/>
  <c r="Q2301" i="2"/>
  <c r="M2301" i="2"/>
  <c r="M3172" i="2"/>
  <c r="Q3257" i="2"/>
  <c r="M3257" i="2"/>
  <c r="M2792" i="2"/>
  <c r="Q2788" i="2"/>
  <c r="M2788" i="2"/>
  <c r="Q1427" i="2"/>
  <c r="M1427" i="2"/>
  <c r="Q6675" i="2"/>
  <c r="M6675" i="2"/>
  <c r="M6342" i="2"/>
  <c r="Q1983" i="2"/>
  <c r="M1983" i="2"/>
  <c r="M2977" i="2"/>
  <c r="Q1254" i="2"/>
  <c r="M1254" i="2"/>
  <c r="M2760" i="2"/>
  <c r="Q3794" i="2"/>
  <c r="M3794" i="2"/>
  <c r="M2146" i="2"/>
  <c r="Q2748" i="2"/>
  <c r="M2748" i="2"/>
  <c r="M2744" i="2"/>
  <c r="M2752" i="2"/>
  <c r="Q2736" i="2"/>
  <c r="M2736" i="2"/>
  <c r="M4875" i="2"/>
  <c r="Q5982" i="2"/>
  <c r="M5982" i="2"/>
  <c r="M2724" i="2"/>
  <c r="Q2720" i="2"/>
  <c r="M2720" i="2"/>
  <c r="Q2716" i="2"/>
  <c r="M2716" i="2"/>
  <c r="Q4786" i="2"/>
  <c r="M4786" i="2"/>
  <c r="M1258" i="2"/>
  <c r="Q447" i="2"/>
  <c r="M447" i="2"/>
  <c r="M5205" i="2"/>
  <c r="M2696" i="2"/>
  <c r="Q2692" i="2"/>
  <c r="M2692" i="2"/>
  <c r="M4876" i="2"/>
  <c r="M2684" i="2"/>
  <c r="M2680" i="2"/>
  <c r="Q7148" i="2"/>
  <c r="M7148" i="2"/>
  <c r="M2672" i="2"/>
  <c r="Q2668" i="2"/>
  <c r="M2668" i="2"/>
  <c r="M2664" i="2"/>
  <c r="Q2660" i="2"/>
  <c r="M2660" i="2"/>
  <c r="M2656" i="2"/>
  <c r="M2652" i="2"/>
  <c r="M2648" i="2"/>
  <c r="M2644" i="2"/>
  <c r="M2640" i="2"/>
  <c r="M2636" i="2"/>
  <c r="Q2632" i="2"/>
  <c r="M2632" i="2"/>
  <c r="M2628" i="2"/>
  <c r="M2624" i="2"/>
  <c r="M5124" i="2"/>
  <c r="M2616" i="2"/>
  <c r="M2612" i="2"/>
  <c r="Q2608" i="2"/>
  <c r="M2608" i="2"/>
  <c r="M2604" i="2"/>
  <c r="Q2600" i="2"/>
  <c r="M2600" i="2"/>
  <c r="M2596" i="2"/>
  <c r="M2592" i="2"/>
  <c r="M2588" i="2"/>
  <c r="M2584" i="2"/>
  <c r="M2580" i="2"/>
  <c r="M2576" i="2"/>
  <c r="Q2572" i="2"/>
  <c r="M2572" i="2"/>
  <c r="Q2568" i="2"/>
  <c r="M2568" i="2"/>
  <c r="Q2564" i="2"/>
  <c r="M2564" i="2"/>
  <c r="M2560" i="2"/>
  <c r="Q2556" i="2"/>
  <c r="M2556" i="2"/>
  <c r="M2552" i="2"/>
  <c r="M2548" i="2"/>
  <c r="Q2544" i="2"/>
  <c r="M2544" i="2"/>
  <c r="M5785" i="2"/>
  <c r="M2536" i="2"/>
  <c r="Q2532" i="2"/>
  <c r="M2532" i="2"/>
  <c r="Q78" i="2"/>
  <c r="M78" i="2"/>
  <c r="Q2524" i="2"/>
  <c r="M2524" i="2"/>
  <c r="M6228" i="2"/>
  <c r="Q6868" i="2"/>
  <c r="M6868" i="2"/>
  <c r="M2512" i="2"/>
  <c r="Q1666" i="2"/>
  <c r="M1666" i="2"/>
  <c r="M2504" i="2"/>
  <c r="M2500" i="2"/>
  <c r="M2496" i="2"/>
  <c r="Q2492" i="2"/>
  <c r="M2492" i="2"/>
  <c r="Q2488" i="2"/>
  <c r="M2488" i="2"/>
  <c r="M2484" i="2"/>
  <c r="Q5924" i="2"/>
  <c r="M5924" i="2"/>
  <c r="M2826" i="2"/>
  <c r="Q2472" i="2"/>
  <c r="M2472" i="2"/>
  <c r="M2468" i="2"/>
  <c r="M2464" i="2"/>
  <c r="M2460" i="2"/>
  <c r="M2456" i="2"/>
  <c r="M2452" i="2"/>
  <c r="M2448" i="2"/>
  <c r="M2444" i="2"/>
  <c r="Q2440" i="2"/>
  <c r="M2440" i="2"/>
  <c r="M2436" i="2"/>
  <c r="M2432" i="2"/>
  <c r="M2428" i="2"/>
  <c r="M3185" i="2"/>
  <c r="Q2420" i="2"/>
  <c r="M2420" i="2"/>
  <c r="Q2416" i="2"/>
  <c r="M2416" i="2"/>
  <c r="Q2412" i="2"/>
  <c r="M2412" i="2"/>
  <c r="M2408" i="2"/>
  <c r="M2404" i="2"/>
  <c r="Q2400" i="2"/>
  <c r="M2400" i="2"/>
  <c r="M2396" i="2"/>
  <c r="M2392" i="2"/>
  <c r="Q2388" i="2"/>
  <c r="M2388" i="2"/>
  <c r="M2384" i="2"/>
  <c r="Q6865" i="2"/>
  <c r="M6865" i="2"/>
  <c r="Q6831" i="2"/>
  <c r="M6831" i="2"/>
  <c r="Q5750" i="2"/>
  <c r="M5750" i="2"/>
  <c r="M2368" i="2"/>
  <c r="Q2364" i="2"/>
  <c r="M2364" i="2"/>
  <c r="M2360" i="2"/>
  <c r="Q2356" i="2"/>
  <c r="M2356" i="2"/>
  <c r="M5180" i="2"/>
  <c r="Q2348" i="2"/>
  <c r="M2348" i="2"/>
  <c r="M2344" i="2"/>
  <c r="M2340" i="2"/>
  <c r="Q2336" i="2"/>
  <c r="M2336" i="2"/>
  <c r="Q2332" i="2"/>
  <c r="M2332" i="2"/>
  <c r="M2328" i="2"/>
  <c r="M2324" i="2"/>
  <c r="M6159" i="2"/>
  <c r="M2316" i="2"/>
  <c r="Q2312" i="2"/>
  <c r="M2312" i="2"/>
  <c r="M2308" i="2"/>
  <c r="M2304" i="2"/>
  <c r="M2118" i="2"/>
  <c r="Q2296" i="2"/>
  <c r="M2296" i="2"/>
  <c r="M2292" i="2"/>
  <c r="Q2288" i="2"/>
  <c r="M2288" i="2"/>
  <c r="M2284" i="2"/>
  <c r="Q2777" i="2"/>
  <c r="M2777" i="2"/>
  <c r="M2276" i="2"/>
  <c r="Q2272" i="2"/>
  <c r="M2272" i="2"/>
  <c r="M1895" i="2"/>
  <c r="Q2264" i="2"/>
  <c r="M2264" i="2"/>
  <c r="M7057" i="2"/>
  <c r="Q3824" i="2"/>
  <c r="M3824" i="2"/>
  <c r="M2252" i="2"/>
  <c r="Q4007" i="2"/>
  <c r="M4007" i="2"/>
  <c r="Q2244" i="2"/>
  <c r="M2244" i="2"/>
  <c r="Q2240" i="2"/>
  <c r="M2240" i="2"/>
  <c r="M2236" i="2"/>
  <c r="Q2232" i="2"/>
  <c r="M2232" i="2"/>
  <c r="M2228" i="2"/>
  <c r="Q4264" i="2"/>
  <c r="M4264" i="2"/>
  <c r="M6087" i="2"/>
  <c r="M2216" i="2"/>
  <c r="M2212" i="2"/>
  <c r="M2208" i="2"/>
  <c r="M2204" i="2"/>
  <c r="Q2200" i="2"/>
  <c r="M2200" i="2"/>
  <c r="Q2196" i="2"/>
  <c r="M2196" i="2"/>
  <c r="M2192" i="2"/>
  <c r="M2188" i="2"/>
  <c r="M2184" i="2"/>
  <c r="Q4026" i="2"/>
  <c r="M4026" i="2"/>
  <c r="M2176" i="2"/>
  <c r="Q7099" i="2"/>
  <c r="M7099" i="2"/>
  <c r="M2168" i="2"/>
  <c r="M2164" i="2"/>
  <c r="M7021" i="2"/>
  <c r="Q3752" i="2"/>
  <c r="M3752" i="2"/>
  <c r="M2152" i="2"/>
  <c r="M3007" i="2"/>
  <c r="Q2144" i="2"/>
  <c r="M2144" i="2"/>
  <c r="Q2140" i="2"/>
  <c r="M2140" i="2"/>
  <c r="Q6489" i="2"/>
  <c r="M6489" i="2"/>
  <c r="M2132" i="2"/>
  <c r="M1279" i="2"/>
  <c r="M2124" i="2"/>
  <c r="Q202" i="2"/>
  <c r="M202" i="2"/>
  <c r="M4790" i="2"/>
  <c r="M2112" i="2"/>
  <c r="Q2108" i="2"/>
  <c r="M2108" i="2"/>
  <c r="M286" i="2"/>
  <c r="Q1686" i="2"/>
  <c r="M1686" i="2"/>
  <c r="Q2096" i="2"/>
  <c r="M2096" i="2"/>
  <c r="Q2092" i="2"/>
  <c r="M2092" i="2"/>
  <c r="M2088" i="2"/>
  <c r="Q6079" i="2"/>
  <c r="M6079" i="2"/>
  <c r="M2080" i="2"/>
  <c r="Q2076" i="2"/>
  <c r="M2076" i="2"/>
  <c r="M2072" i="2"/>
  <c r="M2068" i="2"/>
  <c r="Q2064" i="2"/>
  <c r="M2064" i="2"/>
  <c r="Q2810" i="2"/>
  <c r="M2810" i="2"/>
  <c r="Q1947" i="2"/>
  <c r="M1947" i="2"/>
  <c r="M2052" i="2"/>
  <c r="M3599" i="2"/>
  <c r="M2044" i="2"/>
  <c r="M2040" i="2"/>
  <c r="M2036" i="2"/>
  <c r="M2032" i="2"/>
  <c r="M2028" i="2"/>
  <c r="Q2024" i="2"/>
  <c r="M2024" i="2"/>
  <c r="M2020" i="2"/>
  <c r="M2016" i="2"/>
  <c r="M2012" i="2"/>
  <c r="M2740" i="2"/>
  <c r="Q6560" i="2"/>
  <c r="M6560" i="2"/>
  <c r="M2000" i="2"/>
  <c r="M1996" i="2"/>
  <c r="M1992" i="2"/>
  <c r="M1988" i="2"/>
  <c r="M1984" i="2"/>
  <c r="Q2704" i="2"/>
  <c r="M2704" i="2"/>
  <c r="Q1976" i="2"/>
  <c r="M1976" i="2"/>
  <c r="M1972" i="2"/>
  <c r="Q2117" i="2"/>
  <c r="M2117" i="2"/>
  <c r="M1964" i="2"/>
  <c r="M1960" i="2"/>
  <c r="Q1074" i="2"/>
  <c r="M1074" i="2"/>
  <c r="M1186" i="2"/>
  <c r="Q6005" i="2"/>
  <c r="M6005" i="2"/>
  <c r="M1944" i="2"/>
  <c r="M1940" i="2"/>
  <c r="M1936" i="2"/>
  <c r="Q1285" i="2"/>
  <c r="M1285" i="2"/>
  <c r="Q1928" i="2"/>
  <c r="M1928" i="2"/>
  <c r="Q6710" i="2"/>
  <c r="M6710" i="2"/>
  <c r="M5730" i="2"/>
  <c r="Q1916" i="2"/>
  <c r="M1916" i="2"/>
  <c r="M265" i="2"/>
  <c r="Q6544" i="2"/>
  <c r="M6544" i="2"/>
  <c r="M1904" i="2"/>
  <c r="Q1900" i="2"/>
  <c r="M1900" i="2"/>
  <c r="Q4807" i="2"/>
  <c r="M4807" i="2"/>
  <c r="M1892" i="2"/>
  <c r="Q1888" i="2"/>
  <c r="M1888" i="2"/>
  <c r="M5906" i="2"/>
  <c r="Q1880" i="2"/>
  <c r="M1880" i="2"/>
  <c r="M1876" i="2"/>
  <c r="Q1872" i="2"/>
  <c r="M1872" i="2"/>
  <c r="M1868" i="2"/>
  <c r="M1864" i="2"/>
  <c r="Q1860" i="2"/>
  <c r="M1860" i="2"/>
  <c r="Q1856" i="2"/>
  <c r="M1856" i="2"/>
  <c r="Q1852" i="2"/>
  <c r="M1852" i="2"/>
  <c r="M4798" i="2"/>
  <c r="Q1844" i="2"/>
  <c r="M1844" i="2"/>
  <c r="M1840" i="2"/>
  <c r="M1836" i="2"/>
  <c r="M1832" i="2"/>
  <c r="M1828" i="2"/>
  <c r="Q1824" i="2"/>
  <c r="M1824" i="2"/>
  <c r="M1820" i="2"/>
  <c r="Q1816" i="2"/>
  <c r="M1816" i="2"/>
  <c r="M1812" i="2"/>
  <c r="M1808" i="2"/>
  <c r="Q5957" i="2"/>
  <c r="M5957" i="2"/>
  <c r="M1800" i="2"/>
  <c r="Q2853" i="2"/>
  <c r="M2853" i="2"/>
  <c r="M1792" i="2"/>
  <c r="Q1788" i="2"/>
  <c r="M1788" i="2"/>
  <c r="M1784" i="2"/>
  <c r="M1780" i="2"/>
  <c r="M1776" i="2"/>
  <c r="M1772" i="2"/>
  <c r="M1768" i="2"/>
  <c r="Q549" i="2"/>
  <c r="M549" i="2"/>
  <c r="M1760" i="2"/>
  <c r="M1756" i="2"/>
  <c r="M1752" i="2"/>
  <c r="M1748" i="2"/>
  <c r="M1744" i="2"/>
  <c r="M1740" i="2"/>
  <c r="M1736" i="2"/>
  <c r="Q1732" i="2"/>
  <c r="M1732" i="2"/>
  <c r="M1728" i="2"/>
  <c r="M1724" i="2"/>
  <c r="Q1720" i="2"/>
  <c r="M1720" i="2"/>
  <c r="Q1716" i="2"/>
  <c r="M1716" i="2"/>
  <c r="M2373" i="2"/>
  <c r="Q1831" i="2"/>
  <c r="M1831" i="2"/>
  <c r="M1704" i="2"/>
  <c r="Q1700" i="2"/>
  <c r="M1700" i="2"/>
  <c r="M1696" i="2"/>
  <c r="M1692" i="2"/>
  <c r="M1688" i="2"/>
  <c r="M1684" i="2"/>
  <c r="M6588" i="2"/>
  <c r="Q1676" i="2"/>
  <c r="M1676" i="2"/>
  <c r="M1672" i="2"/>
  <c r="Q1668" i="2"/>
  <c r="M1668" i="2"/>
  <c r="M1664" i="2"/>
  <c r="Q1660" i="2"/>
  <c r="M1660" i="2"/>
  <c r="M45" i="2"/>
  <c r="Q1652" i="2"/>
  <c r="M1652" i="2"/>
  <c r="M1648" i="2"/>
  <c r="M1644" i="2"/>
  <c r="M1640" i="2"/>
  <c r="Q1636" i="2"/>
  <c r="M1636" i="2"/>
  <c r="M1632" i="2"/>
  <c r="M1628" i="2"/>
  <c r="M1624" i="2"/>
  <c r="M3569" i="2"/>
  <c r="M1616" i="2"/>
  <c r="Q1612" i="2"/>
  <c r="M1612" i="2"/>
  <c r="M1608" i="2"/>
  <c r="M1604" i="2"/>
  <c r="Q251" i="2"/>
  <c r="M251" i="2"/>
  <c r="Q1596" i="2"/>
  <c r="M1596" i="2"/>
  <c r="M1592" i="2"/>
  <c r="Q1588" i="2"/>
  <c r="M1588" i="2"/>
  <c r="M1584" i="2"/>
  <c r="M1580" i="2"/>
  <c r="M1576" i="2"/>
  <c r="M1572" i="2"/>
  <c r="M1568" i="2"/>
  <c r="M1564" i="2"/>
  <c r="M1560" i="2"/>
  <c r="M1556" i="2"/>
  <c r="Q3740" i="2"/>
  <c r="M3740" i="2"/>
  <c r="M1548" i="2"/>
  <c r="M1544" i="2"/>
  <c r="Q1540" i="2"/>
  <c r="M1540" i="2"/>
  <c r="M1536" i="2"/>
  <c r="Q1532" i="2"/>
  <c r="M1532" i="2"/>
  <c r="M1528" i="2"/>
  <c r="Q1396" i="2"/>
  <c r="M1396" i="2"/>
  <c r="M1520" i="2"/>
  <c r="M1516" i="2"/>
  <c r="Q1512" i="2"/>
  <c r="M1512" i="2"/>
  <c r="M2935" i="2"/>
  <c r="Q1504" i="2"/>
  <c r="M1504" i="2"/>
  <c r="M560" i="2"/>
  <c r="Q5175" i="2"/>
  <c r="M5175" i="2"/>
  <c r="M1492" i="2"/>
  <c r="Q1488" i="2"/>
  <c r="M1488" i="2"/>
  <c r="Q1484" i="2"/>
  <c r="M1484" i="2"/>
  <c r="M1480" i="2"/>
  <c r="M1476" i="2"/>
  <c r="M1472" i="2"/>
  <c r="M1468" i="2"/>
  <c r="M1464" i="2"/>
  <c r="M1460" i="2"/>
  <c r="M1456" i="2"/>
  <c r="Q6894" i="2"/>
  <c r="M6894" i="2"/>
  <c r="M1448" i="2"/>
  <c r="Q6775" i="2"/>
  <c r="M6775" i="2"/>
  <c r="M846" i="2"/>
  <c r="M1436" i="2"/>
  <c r="Q3263" i="2"/>
  <c r="M3263" i="2"/>
  <c r="Q1428" i="2"/>
  <c r="M1428" i="2"/>
  <c r="Q1424" i="2"/>
  <c r="M1424" i="2"/>
  <c r="M4054" i="2"/>
  <c r="Q1416" i="2"/>
  <c r="M1416" i="2"/>
  <c r="M1412" i="2"/>
  <c r="M248" i="2"/>
  <c r="Q1404" i="2"/>
  <c r="M1404" i="2"/>
  <c r="M1400" i="2"/>
  <c r="Q6062" i="2"/>
  <c r="M6062" i="2"/>
  <c r="Q6908" i="2"/>
  <c r="M6908" i="2"/>
  <c r="Q1388" i="2"/>
  <c r="M1388" i="2"/>
  <c r="M433" i="2"/>
  <c r="Q1380" i="2"/>
  <c r="M1380" i="2"/>
  <c r="M1376" i="2"/>
  <c r="Q1372" i="2"/>
  <c r="M1372" i="2"/>
  <c r="M1368" i="2"/>
  <c r="Q6485" i="2"/>
  <c r="M6485" i="2"/>
  <c r="M1360" i="2"/>
  <c r="M1356" i="2"/>
  <c r="M1352" i="2"/>
  <c r="M1348" i="2"/>
  <c r="M1344" i="2"/>
  <c r="Q1340" i="2"/>
  <c r="M1340" i="2"/>
  <c r="M1336" i="2"/>
  <c r="Q1332" i="2"/>
  <c r="M1332" i="2"/>
  <c r="M1328" i="2"/>
  <c r="M1324" i="2"/>
  <c r="M1320" i="2"/>
  <c r="M1316" i="2"/>
  <c r="M1312" i="2"/>
  <c r="M1308" i="2"/>
  <c r="M1304" i="2"/>
  <c r="M1300" i="2"/>
  <c r="Q1231" i="2"/>
  <c r="M1231" i="2"/>
  <c r="M1292" i="2"/>
  <c r="M5483" i="2"/>
  <c r="Q5850" i="2"/>
  <c r="M5850" i="2"/>
  <c r="M1280" i="2"/>
  <c r="Q1911" i="2"/>
  <c r="M1911" i="2"/>
  <c r="Q1272" i="2"/>
  <c r="M1272" i="2"/>
  <c r="M1268" i="2"/>
  <c r="Q2477" i="2"/>
  <c r="M2477" i="2"/>
  <c r="M1260" i="2"/>
  <c r="Q1256" i="2"/>
  <c r="M1256" i="2"/>
  <c r="M1252" i="2"/>
  <c r="M1248" i="2"/>
  <c r="Q1244" i="2"/>
  <c r="M1244" i="2"/>
  <c r="M1240" i="2"/>
  <c r="Q1236" i="2"/>
  <c r="M1236" i="2"/>
  <c r="Q1199" i="2"/>
  <c r="M1199" i="2"/>
  <c r="Q7111" i="2"/>
  <c r="M7111" i="2"/>
  <c r="M5131" i="2"/>
  <c r="Q1220" i="2"/>
  <c r="M1220" i="2"/>
  <c r="M1216" i="2"/>
  <c r="Q1212" i="2"/>
  <c r="M1212" i="2"/>
  <c r="M1208" i="2"/>
  <c r="Q1204" i="2"/>
  <c r="M1204" i="2"/>
  <c r="Q2172" i="2"/>
  <c r="M2172" i="2"/>
  <c r="Q1196" i="2"/>
  <c r="M1196" i="2"/>
  <c r="M1192" i="2"/>
  <c r="M1188" i="2"/>
  <c r="M1184" i="2"/>
  <c r="Q3929" i="2"/>
  <c r="M3929" i="2"/>
  <c r="M1176" i="2"/>
  <c r="M1172" i="2"/>
  <c r="Q1168" i="2"/>
  <c r="M1168" i="2"/>
  <c r="M1164" i="2"/>
  <c r="Q1160" i="2"/>
  <c r="M1160" i="2"/>
  <c r="Q1156" i="2"/>
  <c r="M1156" i="2"/>
  <c r="Q2086" i="2"/>
  <c r="M2086" i="2"/>
  <c r="M1148" i="2"/>
  <c r="Q1144" i="2"/>
  <c r="M1144" i="2"/>
  <c r="M1140" i="2"/>
  <c r="M1136" i="2"/>
  <c r="M1132" i="2"/>
  <c r="M1128" i="2"/>
  <c r="M1124" i="2"/>
  <c r="M1120" i="2"/>
  <c r="M1116" i="2"/>
  <c r="Q5513" i="2"/>
  <c r="M5513" i="2"/>
  <c r="M1108" i="2"/>
  <c r="Q3538" i="2"/>
  <c r="M3538" i="2"/>
  <c r="Q1100" i="2"/>
  <c r="M1100" i="2"/>
  <c r="Q1096" i="2"/>
  <c r="M1096" i="2"/>
  <c r="M3725" i="2"/>
  <c r="M1088" i="2"/>
  <c r="Q4828" i="2"/>
  <c r="M4828" i="2"/>
  <c r="M1080" i="2"/>
  <c r="Q812" i="2"/>
  <c r="M812" i="2"/>
  <c r="M1072" i="2"/>
  <c r="M1068" i="2"/>
  <c r="Q6592" i="2"/>
  <c r="M6592" i="2"/>
  <c r="Q1577" i="2"/>
  <c r="M1577" i="2"/>
  <c r="Q3881" i="2"/>
  <c r="M3881" i="2"/>
  <c r="M1052" i="2"/>
  <c r="Q1048" i="2"/>
  <c r="M1048" i="2"/>
  <c r="M1526" i="2"/>
  <c r="Q1040" i="2"/>
  <c r="M1040" i="2"/>
  <c r="M1036" i="2"/>
  <c r="Q1032" i="2"/>
  <c r="M1032" i="2"/>
  <c r="M1028" i="2"/>
  <c r="Q2698" i="2"/>
  <c r="M2698" i="2"/>
  <c r="Q1020" i="2"/>
  <c r="M1020" i="2"/>
  <c r="M2690" i="2"/>
  <c r="Q2827" i="2"/>
  <c r="M2827" i="2"/>
  <c r="M1008" i="2"/>
  <c r="Q1004" i="2"/>
  <c r="M1004" i="2"/>
  <c r="M1000" i="2"/>
  <c r="M1446" i="2"/>
  <c r="M992" i="2"/>
  <c r="Q988" i="2"/>
  <c r="M988" i="2"/>
  <c r="Q984" i="2"/>
  <c r="M984" i="2"/>
  <c r="M980" i="2"/>
  <c r="Q976" i="2"/>
  <c r="M976" i="2"/>
  <c r="M972" i="2"/>
  <c r="M968" i="2"/>
  <c r="Q967" i="2"/>
  <c r="M967" i="2"/>
  <c r="M960" i="2"/>
  <c r="Q6601" i="2"/>
  <c r="M6601" i="2"/>
  <c r="M952" i="2"/>
  <c r="M948" i="2"/>
  <c r="M944" i="2"/>
  <c r="M804" i="2"/>
  <c r="Q936" i="2"/>
  <c r="M936" i="2"/>
  <c r="Q932" i="2"/>
  <c r="M932" i="2"/>
  <c r="Q7214" i="2"/>
  <c r="M7214" i="2"/>
  <c r="M924" i="2"/>
  <c r="M920" i="2"/>
  <c r="M916" i="2"/>
  <c r="M912" i="2"/>
  <c r="Q908" i="2"/>
  <c r="M908" i="2"/>
  <c r="M904" i="2"/>
  <c r="M900" i="2"/>
  <c r="M896" i="2"/>
  <c r="M660" i="2"/>
  <c r="M888" i="2"/>
  <c r="M884" i="2"/>
  <c r="M880" i="2"/>
  <c r="M876" i="2"/>
  <c r="Q872" i="2"/>
  <c r="M872" i="2"/>
  <c r="M868" i="2"/>
  <c r="M3521" i="2"/>
  <c r="M860" i="2"/>
  <c r="Q824" i="2"/>
  <c r="M824" i="2"/>
  <c r="Q852" i="2"/>
  <c r="M852" i="2"/>
  <c r="M848" i="2"/>
  <c r="M844" i="2"/>
  <c r="Q840" i="2"/>
  <c r="M840" i="2"/>
  <c r="M836" i="2"/>
  <c r="M832" i="2"/>
  <c r="M828" i="2"/>
  <c r="Q3490" i="2"/>
  <c r="M3490" i="2"/>
  <c r="M4058" i="2"/>
  <c r="M816" i="2"/>
  <c r="Q6486" i="2"/>
  <c r="M6486" i="2"/>
  <c r="M808" i="2"/>
  <c r="Q3863" i="2"/>
  <c r="M3863" i="2"/>
  <c r="Q800" i="2"/>
  <c r="M800" i="2"/>
  <c r="Q796" i="2"/>
  <c r="M796" i="2"/>
  <c r="M5166" i="2"/>
  <c r="Q788" i="2"/>
  <c r="M788" i="2"/>
  <c r="M784" i="2"/>
  <c r="M780" i="2"/>
  <c r="M776" i="2"/>
  <c r="M772" i="2"/>
  <c r="Q768" i="2"/>
  <c r="M768" i="2"/>
  <c r="M3750" i="2"/>
  <c r="Q760" i="2"/>
  <c r="M760" i="2"/>
  <c r="Q756" i="2"/>
  <c r="M756" i="2"/>
  <c r="Q752" i="2"/>
  <c r="M752" i="2"/>
  <c r="M3999" i="2"/>
  <c r="Q744" i="2"/>
  <c r="M744" i="2"/>
  <c r="M2849" i="2"/>
  <c r="Q736" i="2"/>
  <c r="M736" i="2"/>
  <c r="M732" i="2"/>
  <c r="M728" i="2"/>
  <c r="M724" i="2"/>
  <c r="M720" i="2"/>
  <c r="M716" i="2"/>
  <c r="M712" i="2"/>
  <c r="M708" i="2"/>
  <c r="M704" i="2"/>
  <c r="Q965" i="2"/>
  <c r="M965" i="2"/>
  <c r="Q207" i="2"/>
  <c r="M207" i="2"/>
  <c r="Q5851" i="2"/>
  <c r="M5851" i="2"/>
  <c r="M688" i="2"/>
  <c r="M2181" i="2"/>
  <c r="Q743" i="2"/>
  <c r="M743" i="2"/>
  <c r="M506" i="2"/>
  <c r="M672" i="2"/>
  <c r="M668" i="2"/>
  <c r="Q664" i="2"/>
  <c r="M664" i="2"/>
  <c r="M6542" i="2"/>
  <c r="Q5032" i="2"/>
  <c r="M5032" i="2"/>
  <c r="Q1613" i="2"/>
  <c r="M1613" i="2"/>
  <c r="Q648" i="2"/>
  <c r="M648" i="2"/>
  <c r="M644" i="2"/>
  <c r="M640" i="2"/>
  <c r="M636" i="2"/>
  <c r="M632" i="2"/>
  <c r="M628" i="2"/>
  <c r="M624" i="2"/>
  <c r="M620" i="2"/>
  <c r="M616" i="2"/>
  <c r="M612" i="2"/>
  <c r="M608" i="2"/>
  <c r="Q604" i="2"/>
  <c r="M604" i="2"/>
  <c r="M600" i="2"/>
  <c r="M596" i="2"/>
  <c r="M592" i="2"/>
  <c r="M588" i="2"/>
  <c r="M584" i="2"/>
  <c r="M580" i="2"/>
  <c r="M576" i="2"/>
  <c r="M572" i="2"/>
  <c r="Q568" i="2"/>
  <c r="M568" i="2"/>
  <c r="M564" i="2"/>
  <c r="M6917" i="2"/>
  <c r="Q556" i="2"/>
  <c r="M556" i="2"/>
  <c r="Q552" i="2"/>
  <c r="M552" i="2"/>
  <c r="Q5542" i="2"/>
  <c r="M5542" i="2"/>
  <c r="M544" i="2"/>
  <c r="Q540" i="2"/>
  <c r="M540" i="2"/>
  <c r="M7103" i="2"/>
  <c r="M532" i="2"/>
  <c r="M528" i="2"/>
  <c r="M524" i="2"/>
  <c r="M520" i="2"/>
  <c r="Q516" i="2"/>
  <c r="M516" i="2"/>
  <c r="M6097" i="2"/>
  <c r="M508" i="2"/>
  <c r="Q504" i="2"/>
  <c r="M504" i="2"/>
  <c r="Q500" i="2"/>
  <c r="M500" i="2"/>
  <c r="Q496" i="2"/>
  <c r="M496" i="2"/>
  <c r="M492" i="2"/>
  <c r="M488" i="2"/>
  <c r="M484" i="2"/>
  <c r="Q480" i="2"/>
  <c r="M480" i="2"/>
  <c r="M476" i="2"/>
  <c r="M472" i="2"/>
  <c r="M468" i="2"/>
  <c r="M464" i="2"/>
  <c r="M460" i="2"/>
  <c r="M456" i="2"/>
  <c r="Q452" i="2"/>
  <c r="M452" i="2"/>
  <c r="M448" i="2"/>
  <c r="Q444" i="2"/>
  <c r="M444" i="2"/>
  <c r="Q3447" i="2"/>
  <c r="M3447" i="2"/>
  <c r="Q813" i="2"/>
  <c r="M813" i="2"/>
  <c r="M432" i="2"/>
  <c r="Q5815" i="2"/>
  <c r="M5815" i="2"/>
  <c r="M424" i="2"/>
  <c r="M420" i="2"/>
  <c r="Q416" i="2"/>
  <c r="M416" i="2"/>
  <c r="M1057" i="2"/>
  <c r="Q5816" i="2"/>
  <c r="M5816" i="2"/>
  <c r="Q4211" i="2"/>
  <c r="M4211" i="2"/>
  <c r="Q209" i="2"/>
  <c r="M209" i="2"/>
  <c r="M3890" i="2"/>
  <c r="Q1884" i="2"/>
  <c r="M1884" i="2"/>
  <c r="M388" i="2"/>
  <c r="M384" i="2"/>
  <c r="M380" i="2"/>
  <c r="Q376" i="2"/>
  <c r="M376" i="2"/>
  <c r="M5843" i="2"/>
  <c r="M368" i="2"/>
  <c r="Q2965" i="2"/>
  <c r="M2965" i="2"/>
  <c r="Q5794" i="2"/>
  <c r="M5794" i="2"/>
  <c r="Q356" i="2"/>
  <c r="M356" i="2"/>
  <c r="M352" i="2"/>
  <c r="Q348" i="2"/>
  <c r="M348" i="2"/>
  <c r="M344" i="2"/>
  <c r="Q340" i="2"/>
  <c r="M340" i="2"/>
  <c r="M6571" i="2"/>
  <c r="Q5165" i="2"/>
  <c r="M5165" i="2"/>
  <c r="Q2299" i="2"/>
  <c r="M2299" i="2"/>
  <c r="Q5313" i="2"/>
  <c r="M5313" i="2"/>
  <c r="M320" i="2"/>
  <c r="Q316" i="2"/>
  <c r="M316" i="2"/>
  <c r="M312" i="2"/>
  <c r="M308" i="2"/>
  <c r="M304" i="2"/>
  <c r="Q5340" i="2"/>
  <c r="M5340" i="2"/>
  <c r="M296" i="2"/>
  <c r="M292" i="2"/>
  <c r="M288" i="2"/>
  <c r="M284" i="2"/>
  <c r="Q280" i="2"/>
  <c r="M280" i="2"/>
  <c r="M276" i="2"/>
  <c r="M272" i="2"/>
  <c r="M268" i="2"/>
  <c r="M264" i="2"/>
  <c r="M260" i="2"/>
  <c r="Q3173" i="2"/>
  <c r="M3173" i="2"/>
  <c r="Q252" i="2"/>
  <c r="M252" i="2"/>
  <c r="M1442" i="2"/>
  <c r="Q244" i="2"/>
  <c r="M244" i="2"/>
  <c r="M3419" i="2"/>
  <c r="Q2902" i="2"/>
  <c r="M2902" i="2"/>
  <c r="M232" i="2"/>
  <c r="M228" i="2"/>
  <c r="Q3017" i="2"/>
  <c r="M3017" i="2"/>
  <c r="Q220" i="2"/>
  <c r="M220" i="2"/>
  <c r="Q614" i="2"/>
  <c r="M614" i="2"/>
  <c r="M212" i="2"/>
  <c r="Q4004" i="2"/>
  <c r="M4004" i="2"/>
  <c r="M204" i="2"/>
  <c r="Q200" i="2"/>
  <c r="M200" i="2"/>
  <c r="M5101" i="2"/>
  <c r="M192" i="2"/>
  <c r="M188" i="2"/>
  <c r="Q184" i="2"/>
  <c r="M184" i="2"/>
  <c r="Q180" i="2"/>
  <c r="M180" i="2"/>
  <c r="Q6859" i="2"/>
  <c r="M6859" i="2"/>
  <c r="M172" i="2"/>
  <c r="M168" i="2"/>
  <c r="Q164" i="2"/>
  <c r="M164" i="2"/>
  <c r="M160" i="2"/>
  <c r="M156" i="2"/>
  <c r="M152" i="2"/>
  <c r="Q148" i="2"/>
  <c r="M148" i="2"/>
  <c r="M144" i="2"/>
  <c r="Q140" i="2"/>
  <c r="M140" i="2"/>
  <c r="Q7053" i="2"/>
  <c r="M7053" i="2"/>
  <c r="M132" i="2"/>
  <c r="Q6671" i="2"/>
  <c r="M6671" i="2"/>
  <c r="M124" i="2"/>
  <c r="Q120" i="2"/>
  <c r="M120" i="2"/>
  <c r="M116" i="2"/>
  <c r="M112" i="2"/>
  <c r="Q108" i="2"/>
  <c r="M108" i="2"/>
  <c r="M2023" i="2"/>
  <c r="Q100" i="2"/>
  <c r="M100" i="2"/>
  <c r="Q96" i="2"/>
  <c r="M96" i="2"/>
  <c r="Q445" i="2"/>
  <c r="M445" i="2"/>
  <c r="M88" i="2"/>
  <c r="M4404" i="2"/>
  <c r="M80" i="2"/>
  <c r="Q76" i="2"/>
  <c r="M76" i="2"/>
  <c r="M72" i="2"/>
  <c r="M68" i="2"/>
  <c r="Q64" i="2"/>
  <c r="M64" i="2"/>
  <c r="M60" i="2"/>
  <c r="M56" i="2"/>
  <c r="M52" i="2"/>
  <c r="M48" i="2"/>
  <c r="Q246" i="2"/>
  <c r="M246" i="2"/>
  <c r="M40" i="2"/>
  <c r="Q36" i="2"/>
  <c r="M36" i="2"/>
  <c r="M32" i="2"/>
  <c r="Q28" i="2"/>
  <c r="M28" i="2"/>
  <c r="M24" i="2"/>
  <c r="Q20" i="2"/>
  <c r="M20" i="2"/>
  <c r="M16" i="2"/>
  <c r="M12" i="2"/>
  <c r="M8" i="2"/>
  <c r="M4" i="2"/>
  <c r="O9998" i="2"/>
  <c r="M9998" i="2"/>
  <c r="O9994" i="2"/>
  <c r="M9994" i="2"/>
  <c r="O9990" i="2"/>
  <c r="M9990" i="2"/>
  <c r="O9986" i="2"/>
  <c r="M9986" i="2"/>
  <c r="O9982" i="2"/>
  <c r="M9982" i="2"/>
  <c r="O9978" i="2"/>
  <c r="M9978" i="2"/>
  <c r="O9974" i="2"/>
  <c r="M9974" i="2"/>
  <c r="O9970" i="2"/>
  <c r="M9970" i="2"/>
  <c r="O9966" i="2"/>
  <c r="M9966" i="2"/>
  <c r="O9962" i="2"/>
  <c r="M9962" i="2"/>
  <c r="O9958" i="2"/>
  <c r="M9958" i="2"/>
  <c r="O9954" i="2"/>
  <c r="M9954" i="2"/>
  <c r="O9950" i="2"/>
  <c r="M9950" i="2"/>
  <c r="O9946" i="2"/>
  <c r="M9946" i="2"/>
  <c r="O9942" i="2"/>
  <c r="M9942" i="2"/>
  <c r="O9938" i="2"/>
  <c r="M9938" i="2"/>
  <c r="O9934" i="2"/>
  <c r="M9934" i="2"/>
  <c r="O9930" i="2"/>
  <c r="M9930" i="2"/>
  <c r="O9926" i="2"/>
  <c r="M9926" i="2"/>
  <c r="O9922" i="2"/>
  <c r="M9922" i="2"/>
  <c r="O9918" i="2"/>
  <c r="M9918" i="2"/>
  <c r="O9914" i="2"/>
  <c r="M9914" i="2"/>
  <c r="O9910" i="2"/>
  <c r="M9910" i="2"/>
  <c r="O9906" i="2"/>
  <c r="M9906" i="2"/>
  <c r="O9902" i="2"/>
  <c r="M9902" i="2"/>
  <c r="O9898" i="2"/>
  <c r="M9898" i="2"/>
  <c r="O9894" i="2"/>
  <c r="M9894" i="2"/>
  <c r="O9890" i="2"/>
  <c r="M9890" i="2"/>
  <c r="O9886" i="2"/>
  <c r="M9886" i="2"/>
  <c r="O9882" i="2"/>
  <c r="M9882" i="2"/>
  <c r="O9878" i="2"/>
  <c r="M9878" i="2"/>
  <c r="O9874" i="2"/>
  <c r="M9874" i="2"/>
  <c r="O9870" i="2"/>
  <c r="M9870" i="2"/>
  <c r="O9866" i="2"/>
  <c r="M9866" i="2"/>
  <c r="O9862" i="2"/>
  <c r="M9862" i="2"/>
  <c r="O9858" i="2"/>
  <c r="M9858" i="2"/>
  <c r="O9854" i="2"/>
  <c r="M9854" i="2"/>
  <c r="O9850" i="2"/>
  <c r="M9850" i="2"/>
  <c r="O9846" i="2"/>
  <c r="M9846" i="2"/>
  <c r="O9842" i="2"/>
  <c r="M9842" i="2"/>
  <c r="O9838" i="2"/>
  <c r="M9838" i="2"/>
  <c r="O9834" i="2"/>
  <c r="M9834" i="2"/>
  <c r="O9830" i="2"/>
  <c r="M9830" i="2"/>
  <c r="O9826" i="2"/>
  <c r="M9826" i="2"/>
  <c r="O9822" i="2"/>
  <c r="M9822" i="2"/>
  <c r="O9818" i="2"/>
  <c r="M9818" i="2"/>
  <c r="O9814" i="2"/>
  <c r="M9814" i="2"/>
  <c r="O9810" i="2"/>
  <c r="M9810" i="2"/>
  <c r="O9806" i="2"/>
  <c r="M9806" i="2"/>
  <c r="O9802" i="2"/>
  <c r="M9802" i="2"/>
  <c r="O9798" i="2"/>
  <c r="M9798" i="2"/>
  <c r="O9794" i="2"/>
  <c r="M9794" i="2"/>
  <c r="O9790" i="2"/>
  <c r="M9790" i="2"/>
  <c r="O9786" i="2"/>
  <c r="M9786" i="2"/>
  <c r="O9782" i="2"/>
  <c r="M9782" i="2"/>
  <c r="O9778" i="2"/>
  <c r="M9778" i="2"/>
  <c r="O9774" i="2"/>
  <c r="M9774" i="2"/>
  <c r="O9770" i="2"/>
  <c r="M9770" i="2"/>
  <c r="O9766" i="2"/>
  <c r="M9766" i="2"/>
  <c r="O9762" i="2"/>
  <c r="M9762" i="2"/>
  <c r="O9758" i="2"/>
  <c r="M9758" i="2"/>
  <c r="O9754" i="2"/>
  <c r="M9754" i="2"/>
  <c r="O9750" i="2"/>
  <c r="M9750" i="2"/>
  <c r="O9746" i="2"/>
  <c r="M9746" i="2"/>
  <c r="O9742" i="2"/>
  <c r="M9742" i="2"/>
  <c r="O9738" i="2"/>
  <c r="M9738" i="2"/>
  <c r="O9734" i="2"/>
  <c r="M9734" i="2"/>
  <c r="O9730" i="2"/>
  <c r="M9730" i="2"/>
  <c r="O9726" i="2"/>
  <c r="M9726" i="2"/>
  <c r="O9722" i="2"/>
  <c r="M9722" i="2"/>
  <c r="O9718" i="2"/>
  <c r="M9718" i="2"/>
  <c r="O9714" i="2"/>
  <c r="M9714" i="2"/>
  <c r="O9710" i="2"/>
  <c r="M9710" i="2"/>
  <c r="O9706" i="2"/>
  <c r="M9706" i="2"/>
  <c r="O9702" i="2"/>
  <c r="M9702" i="2"/>
  <c r="O9698" i="2"/>
  <c r="M9698" i="2"/>
  <c r="O9694" i="2"/>
  <c r="M9694" i="2"/>
  <c r="O9690" i="2"/>
  <c r="M9690" i="2"/>
  <c r="O9686" i="2"/>
  <c r="M9686" i="2"/>
  <c r="O9682" i="2"/>
  <c r="M9682" i="2"/>
  <c r="O9678" i="2"/>
  <c r="M9678" i="2"/>
  <c r="O9674" i="2"/>
  <c r="M9674" i="2"/>
  <c r="O9670" i="2"/>
  <c r="M9670" i="2"/>
  <c r="O9666" i="2"/>
  <c r="M9666" i="2"/>
  <c r="O9662" i="2"/>
  <c r="M9662" i="2"/>
  <c r="O9658" i="2"/>
  <c r="M9658" i="2"/>
  <c r="O9654" i="2"/>
  <c r="M9654" i="2"/>
  <c r="O9650" i="2"/>
  <c r="M9650" i="2"/>
  <c r="O9646" i="2"/>
  <c r="M9646" i="2"/>
  <c r="O9642" i="2"/>
  <c r="M9642" i="2"/>
  <c r="O9638" i="2"/>
  <c r="M9638" i="2"/>
  <c r="O9634" i="2"/>
  <c r="M9634" i="2"/>
  <c r="O9630" i="2"/>
  <c r="M9630" i="2"/>
  <c r="O9626" i="2"/>
  <c r="M9626" i="2"/>
  <c r="O9622" i="2"/>
  <c r="M9622" i="2"/>
  <c r="O9618" i="2"/>
  <c r="M9618" i="2"/>
  <c r="O9614" i="2"/>
  <c r="M9614" i="2"/>
  <c r="O9610" i="2"/>
  <c r="M9610" i="2"/>
  <c r="O9606" i="2"/>
  <c r="M9606" i="2"/>
  <c r="O9602" i="2"/>
  <c r="M9602" i="2"/>
  <c r="O9598" i="2"/>
  <c r="M9598" i="2"/>
  <c r="O9594" i="2"/>
  <c r="M9594" i="2"/>
  <c r="O9590" i="2"/>
  <c r="M9590" i="2"/>
  <c r="O9586" i="2"/>
  <c r="M9586" i="2"/>
  <c r="O9582" i="2"/>
  <c r="M9582" i="2"/>
  <c r="O9578" i="2"/>
  <c r="M9578" i="2"/>
  <c r="O9574" i="2"/>
  <c r="M9574" i="2"/>
  <c r="O9570" i="2"/>
  <c r="M9570" i="2"/>
  <c r="O9566" i="2"/>
  <c r="M9566" i="2"/>
  <c r="O9562" i="2"/>
  <c r="M9562" i="2"/>
  <c r="O9558" i="2"/>
  <c r="M9558" i="2"/>
  <c r="O9554" i="2"/>
  <c r="M9554" i="2"/>
  <c r="O9550" i="2"/>
  <c r="M9550" i="2"/>
  <c r="O9546" i="2"/>
  <c r="M9546" i="2"/>
  <c r="O9542" i="2"/>
  <c r="M9542" i="2"/>
  <c r="O9538" i="2"/>
  <c r="M9538" i="2"/>
  <c r="O9534" i="2"/>
  <c r="M9534" i="2"/>
  <c r="O9530" i="2"/>
  <c r="M9530" i="2"/>
  <c r="O9526" i="2"/>
  <c r="M9526" i="2"/>
  <c r="O9522" i="2"/>
  <c r="M9522" i="2"/>
  <c r="O9518" i="2"/>
  <c r="M9518" i="2"/>
  <c r="O9514" i="2"/>
  <c r="M9514" i="2"/>
  <c r="O9510" i="2"/>
  <c r="M9510" i="2"/>
  <c r="O9506" i="2"/>
  <c r="M9506" i="2"/>
  <c r="O9502" i="2"/>
  <c r="M9502" i="2"/>
  <c r="O9498" i="2"/>
  <c r="M9498" i="2"/>
  <c r="O9494" i="2"/>
  <c r="M9494" i="2"/>
  <c r="O9490" i="2"/>
  <c r="M9490" i="2"/>
  <c r="O9486" i="2"/>
  <c r="M9486" i="2"/>
  <c r="O9482" i="2"/>
  <c r="M9482" i="2"/>
  <c r="O9478" i="2"/>
  <c r="M9478" i="2"/>
  <c r="O9474" i="2"/>
  <c r="M9474" i="2"/>
  <c r="O9470" i="2"/>
  <c r="M9470" i="2"/>
  <c r="O9466" i="2"/>
  <c r="M9466" i="2"/>
  <c r="O9462" i="2"/>
  <c r="M9462" i="2"/>
  <c r="O9458" i="2"/>
  <c r="M9458" i="2"/>
  <c r="O9454" i="2"/>
  <c r="M9454" i="2"/>
  <c r="O9450" i="2"/>
  <c r="M9450" i="2"/>
  <c r="O9446" i="2"/>
  <c r="M9446" i="2"/>
  <c r="O9442" i="2"/>
  <c r="M9442" i="2"/>
  <c r="O9438" i="2"/>
  <c r="M9438" i="2"/>
  <c r="O9434" i="2"/>
  <c r="M9434" i="2"/>
  <c r="O9430" i="2"/>
  <c r="M9430" i="2"/>
  <c r="O9426" i="2"/>
  <c r="M9426" i="2"/>
  <c r="O9422" i="2"/>
  <c r="M9422" i="2"/>
  <c r="O9418" i="2"/>
  <c r="M9418" i="2"/>
  <c r="O9414" i="2"/>
  <c r="M9414" i="2"/>
  <c r="O9410" i="2"/>
  <c r="M9410" i="2"/>
  <c r="O9406" i="2"/>
  <c r="M9406" i="2"/>
  <c r="O9402" i="2"/>
  <c r="M9402" i="2"/>
  <c r="O9398" i="2"/>
  <c r="M9398" i="2"/>
  <c r="O9394" i="2"/>
  <c r="M9394" i="2"/>
  <c r="O9390" i="2"/>
  <c r="M9390" i="2"/>
  <c r="O9386" i="2"/>
  <c r="M9386" i="2"/>
  <c r="O9382" i="2"/>
  <c r="M9382" i="2"/>
  <c r="O9378" i="2"/>
  <c r="M9378" i="2"/>
  <c r="O9374" i="2"/>
  <c r="M9374" i="2"/>
  <c r="O9370" i="2"/>
  <c r="M9370" i="2"/>
  <c r="O9366" i="2"/>
  <c r="M9366" i="2"/>
  <c r="O9362" i="2"/>
  <c r="M9362" i="2"/>
  <c r="O9358" i="2"/>
  <c r="M9358" i="2"/>
  <c r="O9354" i="2"/>
  <c r="M9354" i="2"/>
  <c r="O9350" i="2"/>
  <c r="M9350" i="2"/>
  <c r="O9346" i="2"/>
  <c r="M9346" i="2"/>
  <c r="O9342" i="2"/>
  <c r="M9342" i="2"/>
  <c r="O9338" i="2"/>
  <c r="M9338" i="2"/>
  <c r="O9334" i="2"/>
  <c r="M9334" i="2"/>
  <c r="O9330" i="2"/>
  <c r="M9330" i="2"/>
  <c r="O9326" i="2"/>
  <c r="M9326" i="2"/>
  <c r="O9322" i="2"/>
  <c r="M9322" i="2"/>
  <c r="O9318" i="2"/>
  <c r="M9318" i="2"/>
  <c r="O9314" i="2"/>
  <c r="M9314" i="2"/>
  <c r="O9310" i="2"/>
  <c r="M9310" i="2"/>
  <c r="O9306" i="2"/>
  <c r="M9306" i="2"/>
  <c r="O9302" i="2"/>
  <c r="M9302" i="2"/>
  <c r="O9298" i="2"/>
  <c r="M9298" i="2"/>
  <c r="O9294" i="2"/>
  <c r="M9294" i="2"/>
  <c r="O9290" i="2"/>
  <c r="M9290" i="2"/>
  <c r="O9286" i="2"/>
  <c r="M9286" i="2"/>
  <c r="O9282" i="2"/>
  <c r="M9282" i="2"/>
  <c r="O9278" i="2"/>
  <c r="M9278" i="2"/>
  <c r="O9274" i="2"/>
  <c r="M9274" i="2"/>
  <c r="O9270" i="2"/>
  <c r="M9270" i="2"/>
  <c r="O9266" i="2"/>
  <c r="M9266" i="2"/>
  <c r="O9262" i="2"/>
  <c r="M9262" i="2"/>
  <c r="O9258" i="2"/>
  <c r="M9258" i="2"/>
  <c r="O9254" i="2"/>
  <c r="M9254" i="2"/>
  <c r="O9250" i="2"/>
  <c r="M9250" i="2"/>
  <c r="O9246" i="2"/>
  <c r="M9246" i="2"/>
  <c r="O9242" i="2"/>
  <c r="M9242" i="2"/>
  <c r="O9238" i="2"/>
  <c r="M9238" i="2"/>
  <c r="O9234" i="2"/>
  <c r="M9234" i="2"/>
  <c r="O9230" i="2"/>
  <c r="M9230" i="2"/>
  <c r="O9226" i="2"/>
  <c r="M9226" i="2"/>
  <c r="O9222" i="2"/>
  <c r="M9222" i="2"/>
  <c r="O9218" i="2"/>
  <c r="M9218" i="2"/>
  <c r="O9214" i="2"/>
  <c r="M9214" i="2"/>
  <c r="O9210" i="2"/>
  <c r="M9210" i="2"/>
  <c r="O9206" i="2"/>
  <c r="M9206" i="2"/>
  <c r="O9202" i="2"/>
  <c r="M9202" i="2"/>
  <c r="O9198" i="2"/>
  <c r="M9198" i="2"/>
  <c r="O9194" i="2"/>
  <c r="M9194" i="2"/>
  <c r="O9190" i="2"/>
  <c r="M9190" i="2"/>
  <c r="O9186" i="2"/>
  <c r="M9186" i="2"/>
  <c r="O9182" i="2"/>
  <c r="M9182" i="2"/>
  <c r="O9178" i="2"/>
  <c r="M9178" i="2"/>
  <c r="O9174" i="2"/>
  <c r="M9174" i="2"/>
  <c r="O9170" i="2"/>
  <c r="M9170" i="2"/>
  <c r="O9166" i="2"/>
  <c r="M9166" i="2"/>
  <c r="O9162" i="2"/>
  <c r="M9162" i="2"/>
  <c r="O9158" i="2"/>
  <c r="M9158" i="2"/>
  <c r="O9154" i="2"/>
  <c r="M9154" i="2"/>
  <c r="O9150" i="2"/>
  <c r="M9150" i="2"/>
  <c r="O9146" i="2"/>
  <c r="M9146" i="2"/>
  <c r="O9142" i="2"/>
  <c r="M9142" i="2"/>
  <c r="O9138" i="2"/>
  <c r="M9138" i="2"/>
  <c r="O9134" i="2"/>
  <c r="M9134" i="2"/>
  <c r="O9130" i="2"/>
  <c r="M9130" i="2"/>
  <c r="O9126" i="2"/>
  <c r="M9126" i="2"/>
  <c r="O9122" i="2"/>
  <c r="M9122" i="2"/>
  <c r="O9118" i="2"/>
  <c r="M9118" i="2"/>
  <c r="O9114" i="2"/>
  <c r="M9114" i="2"/>
  <c r="O9110" i="2"/>
  <c r="M9110" i="2"/>
  <c r="O9106" i="2"/>
  <c r="M9106" i="2"/>
  <c r="O9102" i="2"/>
  <c r="M9102" i="2"/>
  <c r="O9098" i="2"/>
  <c r="M9098" i="2"/>
  <c r="O9094" i="2"/>
  <c r="M9094" i="2"/>
  <c r="O9090" i="2"/>
  <c r="M9090" i="2"/>
  <c r="O9086" i="2"/>
  <c r="M9086" i="2"/>
  <c r="O9082" i="2"/>
  <c r="M9082" i="2"/>
  <c r="O9078" i="2"/>
  <c r="M9078" i="2"/>
  <c r="O9074" i="2"/>
  <c r="M9074" i="2"/>
  <c r="O9070" i="2"/>
  <c r="M9070" i="2"/>
  <c r="O9066" i="2"/>
  <c r="M9066" i="2"/>
  <c r="O9062" i="2"/>
  <c r="M9062" i="2"/>
  <c r="O9058" i="2"/>
  <c r="M9058" i="2"/>
  <c r="O9054" i="2"/>
  <c r="M9054" i="2"/>
  <c r="O9050" i="2"/>
  <c r="M9050" i="2"/>
  <c r="O9046" i="2"/>
  <c r="M9046" i="2"/>
  <c r="O9042" i="2"/>
  <c r="M9042" i="2"/>
  <c r="O9038" i="2"/>
  <c r="M9038" i="2"/>
  <c r="O9034" i="2"/>
  <c r="M9034" i="2"/>
  <c r="O9030" i="2"/>
  <c r="M9030" i="2"/>
  <c r="O9026" i="2"/>
  <c r="M9026" i="2"/>
  <c r="O9022" i="2"/>
  <c r="M9022" i="2"/>
  <c r="O9018" i="2"/>
  <c r="M9018" i="2"/>
  <c r="O9014" i="2"/>
  <c r="M9014" i="2"/>
  <c r="O9010" i="2"/>
  <c r="M9010" i="2"/>
  <c r="O9006" i="2"/>
  <c r="M9006" i="2"/>
  <c r="O9002" i="2"/>
  <c r="M9002" i="2"/>
  <c r="O8998" i="2"/>
  <c r="M8998" i="2"/>
  <c r="O8994" i="2"/>
  <c r="M8994" i="2"/>
  <c r="O8990" i="2"/>
  <c r="M8990" i="2"/>
  <c r="O8986" i="2"/>
  <c r="M8986" i="2"/>
  <c r="O8982" i="2"/>
  <c r="M8982" i="2"/>
  <c r="O8978" i="2"/>
  <c r="M8978" i="2"/>
  <c r="O8974" i="2"/>
  <c r="M8974" i="2"/>
  <c r="O8970" i="2"/>
  <c r="M8970" i="2"/>
  <c r="O8966" i="2"/>
  <c r="M8966" i="2"/>
  <c r="O8962" i="2"/>
  <c r="M8962" i="2"/>
  <c r="O8958" i="2"/>
  <c r="M8958" i="2"/>
  <c r="O8954" i="2"/>
  <c r="M8954" i="2"/>
  <c r="O8950" i="2"/>
  <c r="M8950" i="2"/>
  <c r="O8946" i="2"/>
  <c r="M8946" i="2"/>
  <c r="O8942" i="2"/>
  <c r="M8942" i="2"/>
  <c r="O8938" i="2"/>
  <c r="M8938" i="2"/>
  <c r="O8934" i="2"/>
  <c r="M8934" i="2"/>
  <c r="O8930" i="2"/>
  <c r="M8930" i="2"/>
  <c r="O8926" i="2"/>
  <c r="M8926" i="2"/>
  <c r="O8922" i="2"/>
  <c r="M8922" i="2"/>
  <c r="O8918" i="2"/>
  <c r="M8918" i="2"/>
  <c r="O8914" i="2"/>
  <c r="M8914" i="2"/>
  <c r="O8910" i="2"/>
  <c r="M8910" i="2"/>
  <c r="O8906" i="2"/>
  <c r="M8906" i="2"/>
  <c r="O8902" i="2"/>
  <c r="M8902" i="2"/>
  <c r="O8898" i="2"/>
  <c r="M8898" i="2"/>
  <c r="O8894" i="2"/>
  <c r="M8894" i="2"/>
  <c r="O8890" i="2"/>
  <c r="M8890" i="2"/>
  <c r="O8886" i="2"/>
  <c r="M8886" i="2"/>
  <c r="O8882" i="2"/>
  <c r="M8882" i="2"/>
  <c r="O8878" i="2"/>
  <c r="M8878" i="2"/>
  <c r="O8874" i="2"/>
  <c r="M8874" i="2"/>
  <c r="O8870" i="2"/>
  <c r="M8870" i="2"/>
  <c r="O8866" i="2"/>
  <c r="M8866" i="2"/>
  <c r="O8862" i="2"/>
  <c r="M8862" i="2"/>
  <c r="O8858" i="2"/>
  <c r="M8858" i="2"/>
  <c r="O8854" i="2"/>
  <c r="M8854" i="2"/>
  <c r="O8850" i="2"/>
  <c r="M8850" i="2"/>
  <c r="O8846" i="2"/>
  <c r="M8846" i="2"/>
  <c r="O8842" i="2"/>
  <c r="M8842" i="2"/>
  <c r="O8838" i="2"/>
  <c r="M8838" i="2"/>
  <c r="O8834" i="2"/>
  <c r="M8834" i="2"/>
  <c r="O8830" i="2"/>
  <c r="M8830" i="2"/>
  <c r="O8826" i="2"/>
  <c r="M8826" i="2"/>
  <c r="O8822" i="2"/>
  <c r="M8822" i="2"/>
  <c r="O8818" i="2"/>
  <c r="M8818" i="2"/>
  <c r="O8814" i="2"/>
  <c r="M8814" i="2"/>
  <c r="O8810" i="2"/>
  <c r="M8810" i="2"/>
  <c r="O8806" i="2"/>
  <c r="M8806" i="2"/>
  <c r="O8802" i="2"/>
  <c r="M8802" i="2"/>
  <c r="O8798" i="2"/>
  <c r="M8798" i="2"/>
  <c r="O8794" i="2"/>
  <c r="M8794" i="2"/>
  <c r="O8790" i="2"/>
  <c r="M8790" i="2"/>
  <c r="O8786" i="2"/>
  <c r="M8786" i="2"/>
  <c r="O8782" i="2"/>
  <c r="M8782" i="2"/>
  <c r="O8778" i="2"/>
  <c r="M8778" i="2"/>
  <c r="O8774" i="2"/>
  <c r="M8774" i="2"/>
  <c r="O8770" i="2"/>
  <c r="M8770" i="2"/>
  <c r="O8766" i="2"/>
  <c r="M8766" i="2"/>
  <c r="O8762" i="2"/>
  <c r="M8762" i="2"/>
  <c r="O8758" i="2"/>
  <c r="M8758" i="2"/>
  <c r="O8754" i="2"/>
  <c r="M8754" i="2"/>
  <c r="O8750" i="2"/>
  <c r="M8750" i="2"/>
  <c r="O8746" i="2"/>
  <c r="M8746" i="2"/>
  <c r="O8742" i="2"/>
  <c r="M8742" i="2"/>
  <c r="O8738" i="2"/>
  <c r="M8738" i="2"/>
  <c r="O8734" i="2"/>
  <c r="M8734" i="2"/>
  <c r="O8730" i="2"/>
  <c r="M8730" i="2"/>
  <c r="O8726" i="2"/>
  <c r="M8726" i="2"/>
  <c r="O8722" i="2"/>
  <c r="M8722" i="2"/>
  <c r="O8718" i="2"/>
  <c r="M8718" i="2"/>
  <c r="O8714" i="2"/>
  <c r="M8714" i="2"/>
  <c r="O8710" i="2"/>
  <c r="M8710" i="2"/>
  <c r="O8706" i="2"/>
  <c r="M8706" i="2"/>
  <c r="O8702" i="2"/>
  <c r="M8702" i="2"/>
  <c r="O8698" i="2"/>
  <c r="M8698" i="2"/>
  <c r="O8694" i="2"/>
  <c r="M8694" i="2"/>
  <c r="O8690" i="2"/>
  <c r="M8690" i="2"/>
  <c r="O8686" i="2"/>
  <c r="M8686" i="2"/>
  <c r="O8682" i="2"/>
  <c r="M8682" i="2"/>
  <c r="O8678" i="2"/>
  <c r="M8678" i="2"/>
  <c r="O8674" i="2"/>
  <c r="M8674" i="2"/>
  <c r="O8670" i="2"/>
  <c r="M8670" i="2"/>
  <c r="O8666" i="2"/>
  <c r="M8666" i="2"/>
  <c r="O8662" i="2"/>
  <c r="M8662" i="2"/>
  <c r="O8658" i="2"/>
  <c r="M8658" i="2"/>
  <c r="O8654" i="2"/>
  <c r="M8654" i="2"/>
  <c r="O8650" i="2"/>
  <c r="M8650" i="2"/>
  <c r="O8646" i="2"/>
  <c r="M8646" i="2"/>
  <c r="O8642" i="2"/>
  <c r="M8642" i="2"/>
  <c r="O8638" i="2"/>
  <c r="M8638" i="2"/>
  <c r="O8634" i="2"/>
  <c r="M8634" i="2"/>
  <c r="O8630" i="2"/>
  <c r="M8630" i="2"/>
  <c r="O8626" i="2"/>
  <c r="M8626" i="2"/>
  <c r="O8622" i="2"/>
  <c r="M8622" i="2"/>
  <c r="O8618" i="2"/>
  <c r="M8618" i="2"/>
  <c r="O8614" i="2"/>
  <c r="M8614" i="2"/>
  <c r="O8610" i="2"/>
  <c r="M8610" i="2"/>
  <c r="O8606" i="2"/>
  <c r="M8606" i="2"/>
  <c r="O8602" i="2"/>
  <c r="M8602" i="2"/>
  <c r="O8598" i="2"/>
  <c r="M8598" i="2"/>
  <c r="O8594" i="2"/>
  <c r="M8594" i="2"/>
  <c r="O8590" i="2"/>
  <c r="M8590" i="2"/>
  <c r="O8586" i="2"/>
  <c r="M8586" i="2"/>
  <c r="O8582" i="2"/>
  <c r="M8582" i="2"/>
  <c r="O8578" i="2"/>
  <c r="M8578" i="2"/>
  <c r="O8574" i="2"/>
  <c r="M8574" i="2"/>
  <c r="O8570" i="2"/>
  <c r="M8570" i="2"/>
  <c r="O8566" i="2"/>
  <c r="M8566" i="2"/>
  <c r="O8562" i="2"/>
  <c r="M8562" i="2"/>
  <c r="O8558" i="2"/>
  <c r="M8558" i="2"/>
  <c r="O8554" i="2"/>
  <c r="M8554" i="2"/>
  <c r="O8550" i="2"/>
  <c r="M8550" i="2"/>
  <c r="O8546" i="2"/>
  <c r="M8546" i="2"/>
  <c r="O8542" i="2"/>
  <c r="M8542" i="2"/>
  <c r="O8538" i="2"/>
  <c r="M8538" i="2"/>
  <c r="O8534" i="2"/>
  <c r="M8534" i="2"/>
  <c r="O8530" i="2"/>
  <c r="M8530" i="2"/>
  <c r="O8526" i="2"/>
  <c r="M8526" i="2"/>
  <c r="O8522" i="2"/>
  <c r="M8522" i="2"/>
  <c r="O8518" i="2"/>
  <c r="M8518" i="2"/>
  <c r="O8514" i="2"/>
  <c r="M8514" i="2"/>
  <c r="O8510" i="2"/>
  <c r="M8510" i="2"/>
  <c r="O8506" i="2"/>
  <c r="M8506" i="2"/>
  <c r="O8502" i="2"/>
  <c r="M8502" i="2"/>
  <c r="O8498" i="2"/>
  <c r="M8498" i="2"/>
  <c r="O8494" i="2"/>
  <c r="M8494" i="2"/>
  <c r="O8490" i="2"/>
  <c r="M8490" i="2"/>
  <c r="O8486" i="2"/>
  <c r="M8486" i="2"/>
  <c r="O8482" i="2"/>
  <c r="M8482" i="2"/>
  <c r="O8478" i="2"/>
  <c r="M8478" i="2"/>
  <c r="O8474" i="2"/>
  <c r="M8474" i="2"/>
  <c r="O8470" i="2"/>
  <c r="M8470" i="2"/>
  <c r="O8466" i="2"/>
  <c r="M8466" i="2"/>
  <c r="O8462" i="2"/>
  <c r="M8462" i="2"/>
  <c r="O8458" i="2"/>
  <c r="M8458" i="2"/>
  <c r="O8454" i="2"/>
  <c r="M8454" i="2"/>
  <c r="O8450" i="2"/>
  <c r="M8450" i="2"/>
  <c r="O8446" i="2"/>
  <c r="M8446" i="2"/>
  <c r="O8442" i="2"/>
  <c r="M8442" i="2"/>
  <c r="O8438" i="2"/>
  <c r="M8438" i="2"/>
  <c r="O8434" i="2"/>
  <c r="M8434" i="2"/>
  <c r="O8430" i="2"/>
  <c r="M8430" i="2"/>
  <c r="O8426" i="2"/>
  <c r="M8426" i="2"/>
  <c r="O8422" i="2"/>
  <c r="M8422" i="2"/>
  <c r="O8418" i="2"/>
  <c r="M8418" i="2"/>
  <c r="O8414" i="2"/>
  <c r="M8414" i="2"/>
  <c r="O8410" i="2"/>
  <c r="M8410" i="2"/>
  <c r="O8406" i="2"/>
  <c r="M8406" i="2"/>
  <c r="O8402" i="2"/>
  <c r="M8402" i="2"/>
  <c r="O8398" i="2"/>
  <c r="M8398" i="2"/>
  <c r="O8394" i="2"/>
  <c r="M8394" i="2"/>
  <c r="O8390" i="2"/>
  <c r="M8390" i="2"/>
  <c r="O8386" i="2"/>
  <c r="M8386" i="2"/>
  <c r="O8382" i="2"/>
  <c r="M8382" i="2"/>
  <c r="O8378" i="2"/>
  <c r="M8378" i="2"/>
  <c r="O8374" i="2"/>
  <c r="M8374" i="2"/>
  <c r="O8370" i="2"/>
  <c r="M8370" i="2"/>
  <c r="O8366" i="2"/>
  <c r="M8366" i="2"/>
  <c r="O8362" i="2"/>
  <c r="M8362" i="2"/>
  <c r="O8358" i="2"/>
  <c r="M8358" i="2"/>
  <c r="O8354" i="2"/>
  <c r="M8354" i="2"/>
  <c r="O8350" i="2"/>
  <c r="M8350" i="2"/>
  <c r="O8346" i="2"/>
  <c r="M8346" i="2"/>
  <c r="O8342" i="2"/>
  <c r="M8342" i="2"/>
  <c r="O8338" i="2"/>
  <c r="M8338" i="2"/>
  <c r="O8334" i="2"/>
  <c r="M8334" i="2"/>
  <c r="O8330" i="2"/>
  <c r="M8330" i="2"/>
  <c r="O8326" i="2"/>
  <c r="M8326" i="2"/>
  <c r="O8322" i="2"/>
  <c r="M8322" i="2"/>
  <c r="O8318" i="2"/>
  <c r="M8318" i="2"/>
  <c r="O8314" i="2"/>
  <c r="M8314" i="2"/>
  <c r="O8310" i="2"/>
  <c r="M8310" i="2"/>
  <c r="O8306" i="2"/>
  <c r="M8306" i="2"/>
  <c r="O8302" i="2"/>
  <c r="M8302" i="2"/>
  <c r="O8298" i="2"/>
  <c r="M8298" i="2"/>
  <c r="O8294" i="2"/>
  <c r="M8294" i="2"/>
  <c r="O8290" i="2"/>
  <c r="M8290" i="2"/>
  <c r="O8286" i="2"/>
  <c r="M8286" i="2"/>
  <c r="O8282" i="2"/>
  <c r="M8282" i="2"/>
  <c r="O8278" i="2"/>
  <c r="M8278" i="2"/>
  <c r="O8274" i="2"/>
  <c r="M8274" i="2"/>
  <c r="O8270" i="2"/>
  <c r="M8270" i="2"/>
  <c r="O8266" i="2"/>
  <c r="M8266" i="2"/>
  <c r="O8262" i="2"/>
  <c r="M8262" i="2"/>
  <c r="O8258" i="2"/>
  <c r="M8258" i="2"/>
  <c r="O8254" i="2"/>
  <c r="M8254" i="2"/>
  <c r="O8250" i="2"/>
  <c r="M8250" i="2"/>
  <c r="O8246" i="2"/>
  <c r="M8246" i="2"/>
  <c r="O8242" i="2"/>
  <c r="M8242" i="2"/>
  <c r="O8238" i="2"/>
  <c r="M8238" i="2"/>
  <c r="O8234" i="2"/>
  <c r="M8234" i="2"/>
  <c r="O8230" i="2"/>
  <c r="M8230" i="2"/>
  <c r="O8226" i="2"/>
  <c r="M8226" i="2"/>
  <c r="O8222" i="2"/>
  <c r="M8222" i="2"/>
  <c r="O8218" i="2"/>
  <c r="M8218" i="2"/>
  <c r="O8214" i="2"/>
  <c r="M8214" i="2"/>
  <c r="O8210" i="2"/>
  <c r="M8210" i="2"/>
  <c r="O8206" i="2"/>
  <c r="M8206" i="2"/>
  <c r="O8202" i="2"/>
  <c r="M8202" i="2"/>
  <c r="O8198" i="2"/>
  <c r="M8198" i="2"/>
  <c r="O8194" i="2"/>
  <c r="M8194" i="2"/>
  <c r="O8190" i="2"/>
  <c r="M8190" i="2"/>
  <c r="O8186" i="2"/>
  <c r="M8186" i="2"/>
  <c r="O8182" i="2"/>
  <c r="M8182" i="2"/>
  <c r="O8178" i="2"/>
  <c r="M8178" i="2"/>
  <c r="O8174" i="2"/>
  <c r="M8174" i="2"/>
  <c r="O8170" i="2"/>
  <c r="M8170" i="2"/>
  <c r="O8166" i="2"/>
  <c r="M8166" i="2"/>
  <c r="O8162" i="2"/>
  <c r="M8162" i="2"/>
  <c r="O8158" i="2"/>
  <c r="M8158" i="2"/>
  <c r="O8154" i="2"/>
  <c r="M8154" i="2"/>
  <c r="M8150" i="2"/>
  <c r="Q8146" i="2"/>
  <c r="M8146" i="2"/>
  <c r="M8142" i="2"/>
  <c r="Q8138" i="2"/>
  <c r="M8138" i="2"/>
  <c r="Q8134" i="2"/>
  <c r="M8134" i="2"/>
  <c r="Q8130" i="2"/>
  <c r="M8130" i="2"/>
  <c r="M8126" i="2"/>
  <c r="Q8122" i="2"/>
  <c r="M8122" i="2"/>
  <c r="M8118" i="2"/>
  <c r="Q8114" i="2"/>
  <c r="M8114" i="2"/>
  <c r="M8110" i="2"/>
  <c r="Q8106" i="2"/>
  <c r="M8106" i="2"/>
  <c r="Q8102" i="2"/>
  <c r="M8102" i="2"/>
  <c r="Q8098" i="2"/>
  <c r="M8098" i="2"/>
  <c r="M8094" i="2"/>
  <c r="Q8090" i="2"/>
  <c r="M8090" i="2"/>
  <c r="M8086" i="2"/>
  <c r="Q8082" i="2"/>
  <c r="M8082" i="2"/>
  <c r="M8078" i="2"/>
  <c r="Q8074" i="2"/>
  <c r="M8074" i="2"/>
  <c r="Q8070" i="2"/>
  <c r="M8070" i="2"/>
  <c r="Q8066" i="2"/>
  <c r="M8066" i="2"/>
  <c r="M8062" i="2"/>
  <c r="Q8058" i="2"/>
  <c r="M8058" i="2"/>
  <c r="M8054" i="2"/>
  <c r="Q8050" i="2"/>
  <c r="M8050" i="2"/>
  <c r="M8046" i="2"/>
  <c r="Q8042" i="2"/>
  <c r="M8042" i="2"/>
  <c r="Q8038" i="2"/>
  <c r="M8038" i="2"/>
  <c r="Q8034" i="2"/>
  <c r="M8034" i="2"/>
  <c r="M8030" i="2"/>
  <c r="Q8026" i="2"/>
  <c r="M8026" i="2"/>
  <c r="M8022" i="2"/>
  <c r="Q8018" i="2"/>
  <c r="M8018" i="2"/>
  <c r="M8014" i="2"/>
  <c r="Q8010" i="2"/>
  <c r="M8010" i="2"/>
  <c r="Q8006" i="2"/>
  <c r="M8006" i="2"/>
  <c r="Q8002" i="2"/>
  <c r="M8002" i="2"/>
  <c r="M7998" i="2"/>
  <c r="Q7994" i="2"/>
  <c r="M7994" i="2"/>
  <c r="M7990" i="2"/>
  <c r="Q7986" i="2"/>
  <c r="M7986" i="2"/>
  <c r="M7982" i="2"/>
  <c r="Q7978" i="2"/>
  <c r="M7978" i="2"/>
  <c r="Q7974" i="2"/>
  <c r="M7974" i="2"/>
  <c r="Q7970" i="2"/>
  <c r="M7970" i="2"/>
  <c r="M7966" i="2"/>
  <c r="Q7962" i="2"/>
  <c r="M7962" i="2"/>
  <c r="M7958" i="2"/>
  <c r="Q7954" i="2"/>
  <c r="M7954" i="2"/>
  <c r="M7950" i="2"/>
  <c r="Q7946" i="2"/>
  <c r="M7946" i="2"/>
  <c r="Q7942" i="2"/>
  <c r="M7942" i="2"/>
  <c r="Q7938" i="2"/>
  <c r="M7938" i="2"/>
  <c r="M7934" i="2"/>
  <c r="Q7930" i="2"/>
  <c r="M7930" i="2"/>
  <c r="M7926" i="2"/>
  <c r="Q7922" i="2"/>
  <c r="M7922" i="2"/>
  <c r="M7918" i="2"/>
  <c r="Q7914" i="2"/>
  <c r="M7914" i="2"/>
  <c r="Q7910" i="2"/>
  <c r="M7910" i="2"/>
  <c r="Q7906" i="2"/>
  <c r="M7906" i="2"/>
  <c r="M7902" i="2"/>
  <c r="Q7898" i="2"/>
  <c r="M7898" i="2"/>
  <c r="M7894" i="2"/>
  <c r="Q7890" i="2"/>
  <c r="M7890" i="2"/>
  <c r="M7886" i="2"/>
  <c r="Q7882" i="2"/>
  <c r="M7882" i="2"/>
  <c r="Q7878" i="2"/>
  <c r="M7878" i="2"/>
  <c r="Q7874" i="2"/>
  <c r="M7874" i="2"/>
  <c r="M7870" i="2"/>
  <c r="Q7866" i="2"/>
  <c r="M7866" i="2"/>
  <c r="M7862" i="2"/>
  <c r="Q7858" i="2"/>
  <c r="M7858" i="2"/>
  <c r="M7854" i="2"/>
  <c r="Q7850" i="2"/>
  <c r="M7850" i="2"/>
  <c r="Q7846" i="2"/>
  <c r="M7846" i="2"/>
  <c r="Q7842" i="2"/>
  <c r="M7842" i="2"/>
  <c r="M7838" i="2"/>
  <c r="Q7834" i="2"/>
  <c r="M7834" i="2"/>
  <c r="M7830" i="2"/>
  <c r="Q7826" i="2"/>
  <c r="M7826" i="2"/>
  <c r="M7822" i="2"/>
  <c r="Q7818" i="2"/>
  <c r="M7818" i="2"/>
  <c r="Q7814" i="2"/>
  <c r="M7814" i="2"/>
  <c r="Q7810" i="2"/>
  <c r="M7810" i="2"/>
  <c r="M7806" i="2"/>
  <c r="Q7802" i="2"/>
  <c r="M7802" i="2"/>
  <c r="M7798" i="2"/>
  <c r="Q7794" i="2"/>
  <c r="M7794" i="2"/>
  <c r="M7790" i="2"/>
  <c r="Q7786" i="2"/>
  <c r="M7786" i="2"/>
  <c r="Q7782" i="2"/>
  <c r="M7782" i="2"/>
  <c r="Q7778" i="2"/>
  <c r="M7778" i="2"/>
  <c r="M7774" i="2"/>
  <c r="Q7770" i="2"/>
  <c r="M7770" i="2"/>
  <c r="M7766" i="2"/>
  <c r="Q7762" i="2"/>
  <c r="M7762" i="2"/>
  <c r="M7758" i="2"/>
  <c r="Q7754" i="2"/>
  <c r="M7754" i="2"/>
  <c r="Q7750" i="2"/>
  <c r="M7750" i="2"/>
  <c r="Q7746" i="2"/>
  <c r="M7746" i="2"/>
  <c r="M7742" i="2"/>
  <c r="Q7738" i="2"/>
  <c r="M7738" i="2"/>
  <c r="M7734" i="2"/>
  <c r="Q7730" i="2"/>
  <c r="M7730" i="2"/>
  <c r="M7726" i="2"/>
  <c r="Q7722" i="2"/>
  <c r="M7722" i="2"/>
  <c r="Q7718" i="2"/>
  <c r="M7718" i="2"/>
  <c r="Q7714" i="2"/>
  <c r="M7714" i="2"/>
  <c r="M7710" i="2"/>
  <c r="Q7706" i="2"/>
  <c r="M7706" i="2"/>
  <c r="M7702" i="2"/>
  <c r="Q7698" i="2"/>
  <c r="M7698" i="2"/>
  <c r="M7694" i="2"/>
  <c r="Q7690" i="2"/>
  <c r="M7690" i="2"/>
  <c r="Q7686" i="2"/>
  <c r="M7686" i="2"/>
  <c r="Q7682" i="2"/>
  <c r="M7682" i="2"/>
  <c r="M7678" i="2"/>
  <c r="Q7674" i="2"/>
  <c r="M7674" i="2"/>
  <c r="M7670" i="2"/>
  <c r="Q7666" i="2"/>
  <c r="M7666" i="2"/>
  <c r="M7662" i="2"/>
  <c r="Q7658" i="2"/>
  <c r="M7658" i="2"/>
  <c r="Q7654" i="2"/>
  <c r="M7654" i="2"/>
  <c r="Q7650" i="2"/>
  <c r="M7650" i="2"/>
  <c r="M7646" i="2"/>
  <c r="Q7642" i="2"/>
  <c r="M7642" i="2"/>
  <c r="M7638" i="2"/>
  <c r="Q7634" i="2"/>
  <c r="M7634" i="2"/>
  <c r="M7630" i="2"/>
  <c r="Q7626" i="2"/>
  <c r="M7626" i="2"/>
  <c r="Q7622" i="2"/>
  <c r="M7622" i="2"/>
  <c r="Q7618" i="2"/>
  <c r="M7618" i="2"/>
  <c r="M7614" i="2"/>
  <c r="Q7610" i="2"/>
  <c r="M7610" i="2"/>
  <c r="M7606" i="2"/>
  <c r="Q7602" i="2"/>
  <c r="M7602" i="2"/>
  <c r="M7598" i="2"/>
  <c r="Q7594" i="2"/>
  <c r="M7594" i="2"/>
  <c r="Q7590" i="2"/>
  <c r="M7590" i="2"/>
  <c r="Q7586" i="2"/>
  <c r="M7586" i="2"/>
  <c r="M7582" i="2"/>
  <c r="Q7578" i="2"/>
  <c r="M7578" i="2"/>
  <c r="M7574" i="2"/>
  <c r="Q7570" i="2"/>
  <c r="M7570" i="2"/>
  <c r="M7566" i="2"/>
  <c r="Q7562" i="2"/>
  <c r="M7562" i="2"/>
  <c r="Q7558" i="2"/>
  <c r="M7558" i="2"/>
  <c r="Q7554" i="2"/>
  <c r="M7554" i="2"/>
  <c r="M7550" i="2"/>
  <c r="Q7546" i="2"/>
  <c r="M7546" i="2"/>
  <c r="M7542" i="2"/>
  <c r="Q7538" i="2"/>
  <c r="M7538" i="2"/>
  <c r="M7534" i="2"/>
  <c r="Q7530" i="2"/>
  <c r="M7530" i="2"/>
  <c r="Q7526" i="2"/>
  <c r="M7526" i="2"/>
  <c r="Q7522" i="2"/>
  <c r="M7522" i="2"/>
  <c r="M7518" i="2"/>
  <c r="Q7514" i="2"/>
  <c r="M7514" i="2"/>
  <c r="M7510" i="2"/>
  <c r="Q7506" i="2"/>
  <c r="M7506" i="2"/>
  <c r="M7502" i="2"/>
  <c r="Q7498" i="2"/>
  <c r="M7498" i="2"/>
  <c r="Q7494" i="2"/>
  <c r="M7494" i="2"/>
  <c r="Q7490" i="2"/>
  <c r="M7490" i="2"/>
  <c r="M7486" i="2"/>
  <c r="Q7482" i="2"/>
  <c r="M7482" i="2"/>
  <c r="M7478" i="2"/>
  <c r="Q7474" i="2"/>
  <c r="M7474" i="2"/>
  <c r="M7470" i="2"/>
  <c r="Q7466" i="2"/>
  <c r="M7466" i="2"/>
  <c r="Q7462" i="2"/>
  <c r="M7462" i="2"/>
  <c r="Q7458" i="2"/>
  <c r="M7458" i="2"/>
  <c r="M7454" i="2"/>
  <c r="Q7450" i="2"/>
  <c r="M7450" i="2"/>
  <c r="M7446" i="2"/>
  <c r="Q7442" i="2"/>
  <c r="M7442" i="2"/>
  <c r="M7438" i="2"/>
  <c r="Q7434" i="2"/>
  <c r="M7434" i="2"/>
  <c r="Q7430" i="2"/>
  <c r="M7430" i="2"/>
  <c r="Q7426" i="2"/>
  <c r="M7426" i="2"/>
  <c r="M7422" i="2"/>
  <c r="Q7418" i="2"/>
  <c r="M7418" i="2"/>
  <c r="M7414" i="2"/>
  <c r="Q7410" i="2"/>
  <c r="M7410" i="2"/>
  <c r="M7406" i="2"/>
  <c r="Q7402" i="2"/>
  <c r="M7402" i="2"/>
  <c r="Q7398" i="2"/>
  <c r="M7398" i="2"/>
  <c r="Q7394" i="2"/>
  <c r="M7394" i="2"/>
  <c r="M7390" i="2"/>
  <c r="Q7386" i="2"/>
  <c r="M7386" i="2"/>
  <c r="M7382" i="2"/>
  <c r="Q7378" i="2"/>
  <c r="M7378" i="2"/>
  <c r="M7374" i="2"/>
  <c r="Q7370" i="2"/>
  <c r="M7370" i="2"/>
  <c r="Q7366" i="2"/>
  <c r="M7366" i="2"/>
  <c r="Q7362" i="2"/>
  <c r="M7362" i="2"/>
  <c r="M7358" i="2"/>
  <c r="Q7354" i="2"/>
  <c r="M7354" i="2"/>
  <c r="M7350" i="2"/>
  <c r="Q7346" i="2"/>
  <c r="M7346" i="2"/>
  <c r="M7342" i="2"/>
  <c r="Q7338" i="2"/>
  <c r="M7338" i="2"/>
  <c r="Q7334" i="2"/>
  <c r="M7334" i="2"/>
  <c r="Q7330" i="2"/>
  <c r="M7330" i="2"/>
  <c r="M7326" i="2"/>
  <c r="Q7322" i="2"/>
  <c r="M7322" i="2"/>
  <c r="M7318" i="2"/>
  <c r="Q7314" i="2"/>
  <c r="M7314" i="2"/>
  <c r="M7310" i="2"/>
  <c r="Q7306" i="2"/>
  <c r="M7306" i="2"/>
  <c r="Q7302" i="2"/>
  <c r="M7302" i="2"/>
  <c r="Q7298" i="2"/>
  <c r="M7298" i="2"/>
  <c r="M7294" i="2"/>
  <c r="M7291" i="2"/>
  <c r="M7287" i="2"/>
  <c r="Q7283" i="2"/>
  <c r="M7283" i="2"/>
  <c r="M7279" i="2"/>
  <c r="M7275" i="2"/>
  <c r="M7271" i="2"/>
  <c r="M7267" i="2"/>
  <c r="Q7263" i="2"/>
  <c r="M7263" i="2"/>
  <c r="M7259" i="2"/>
  <c r="M7255" i="2"/>
  <c r="Q7251" i="2"/>
  <c r="M7251" i="2"/>
  <c r="M7247" i="2"/>
  <c r="M7243" i="2"/>
  <c r="Q7239" i="2"/>
  <c r="M7239" i="2"/>
  <c r="M7235" i="2"/>
  <c r="M7231" i="2"/>
  <c r="M7227" i="2"/>
  <c r="Q7223" i="2"/>
  <c r="M7223" i="2"/>
  <c r="M7219" i="2"/>
  <c r="M907" i="2"/>
  <c r="M7211" i="2"/>
  <c r="M7207" i="2"/>
  <c r="Q7203" i="2"/>
  <c r="M7203" i="2"/>
  <c r="M7199" i="2"/>
  <c r="Q7195" i="2"/>
  <c r="M7195" i="2"/>
  <c r="M7191" i="2"/>
  <c r="M7187" i="2"/>
  <c r="Q7183" i="2"/>
  <c r="M7183" i="2"/>
  <c r="M7179" i="2"/>
  <c r="M7175" i="2"/>
  <c r="M7171" i="2"/>
  <c r="M7167" i="2"/>
  <c r="Q7163" i="2"/>
  <c r="M7163" i="2"/>
  <c r="M7159" i="2"/>
  <c r="M7155" i="2"/>
  <c r="M2173" i="2"/>
  <c r="Q7147" i="2"/>
  <c r="M7147" i="2"/>
  <c r="M7143" i="2"/>
  <c r="M7139" i="2"/>
  <c r="M7135" i="2"/>
  <c r="M7131" i="2"/>
  <c r="Q7127" i="2"/>
  <c r="M7127" i="2"/>
  <c r="M4020" i="2"/>
  <c r="M7119" i="2"/>
  <c r="Q2386" i="2"/>
  <c r="M2386" i="2"/>
  <c r="M5886" i="2"/>
  <c r="Q7107" i="2"/>
  <c r="M7107" i="2"/>
  <c r="M3297" i="2"/>
  <c r="Q3033" i="2"/>
  <c r="M3033" i="2"/>
  <c r="M7095" i="2"/>
  <c r="M7091" i="2"/>
  <c r="M7087" i="2"/>
  <c r="M7083" i="2"/>
  <c r="M7079" i="2"/>
  <c r="M7075" i="2"/>
  <c r="Q6252" i="2"/>
  <c r="M6252" i="2"/>
  <c r="M7067" i="2"/>
  <c r="M7063" i="2"/>
  <c r="Q7059" i="2"/>
  <c r="M7059" i="2"/>
  <c r="M1102" i="2"/>
  <c r="Q5156" i="2"/>
  <c r="M5156" i="2"/>
  <c r="M7047" i="2"/>
  <c r="M3015" i="2"/>
  <c r="M7039" i="2"/>
  <c r="Q7035" i="2"/>
  <c r="M7035" i="2"/>
  <c r="Q5996" i="2"/>
  <c r="M5996" i="2"/>
  <c r="Q7027" i="2"/>
  <c r="M7027" i="2"/>
  <c r="M7023" i="2"/>
  <c r="M5097" i="2"/>
  <c r="M7015" i="2"/>
  <c r="Q1171" i="2"/>
  <c r="M1171" i="2"/>
  <c r="M7007" i="2"/>
  <c r="M7003" i="2"/>
  <c r="M6999" i="2"/>
  <c r="Q5612" i="2"/>
  <c r="M5612" i="2"/>
  <c r="M6991" i="2"/>
  <c r="Q6987" i="2"/>
  <c r="M6987" i="2"/>
  <c r="M6983" i="2"/>
  <c r="M6979" i="2"/>
  <c r="M6975" i="2"/>
  <c r="M6971" i="2"/>
  <c r="Q6967" i="2"/>
  <c r="M6967" i="2"/>
  <c r="M6963" i="2"/>
  <c r="M6959" i="2"/>
  <c r="M6955" i="2"/>
  <c r="M6951" i="2"/>
  <c r="M6947" i="2"/>
  <c r="M1417" i="2"/>
  <c r="Q1355" i="2"/>
  <c r="M1355" i="2"/>
  <c r="M6935" i="2"/>
  <c r="M6931" i="2"/>
  <c r="Q6927" i="2"/>
  <c r="M6927" i="2"/>
  <c r="M6923" i="2"/>
  <c r="M6919" i="2"/>
  <c r="Q224" i="2"/>
  <c r="M224" i="2"/>
  <c r="M6911" i="2"/>
  <c r="Q5635" i="2"/>
  <c r="M5635" i="2"/>
  <c r="M6903" i="2"/>
  <c r="M391" i="2"/>
  <c r="Q6895" i="2"/>
  <c r="M6895" i="2"/>
  <c r="M6891" i="2"/>
  <c r="M6887" i="2"/>
  <c r="Q6883" i="2"/>
  <c r="M6883" i="2"/>
  <c r="M6879" i="2"/>
  <c r="Q6875" i="2"/>
  <c r="M6875" i="2"/>
  <c r="M5000" i="2"/>
  <c r="Q7141" i="2"/>
  <c r="M7141" i="2"/>
  <c r="M6863" i="2"/>
  <c r="Q5011" i="2"/>
  <c r="M5011" i="2"/>
  <c r="M6855" i="2"/>
  <c r="M6851" i="2"/>
  <c r="Q6847" i="2"/>
  <c r="M6847" i="2"/>
  <c r="M6843" i="2"/>
  <c r="M6839" i="2"/>
  <c r="M2804" i="2"/>
  <c r="Q5626" i="2"/>
  <c r="M5626" i="2"/>
  <c r="M6827" i="2"/>
  <c r="M6823" i="2"/>
  <c r="M6819" i="2"/>
  <c r="Q6815" i="2"/>
  <c r="M6815" i="2"/>
  <c r="M6811" i="2"/>
  <c r="M6807" i="2"/>
  <c r="M6803" i="2"/>
  <c r="M6799" i="2"/>
  <c r="Q6795" i="2"/>
  <c r="M6795" i="2"/>
  <c r="M6791" i="2"/>
  <c r="M2739" i="2"/>
  <c r="Q3987" i="2"/>
  <c r="M3987" i="2"/>
  <c r="M6779" i="2"/>
  <c r="Q4668" i="2"/>
  <c r="M4668" i="2"/>
  <c r="Q5268" i="2"/>
  <c r="M5268" i="2"/>
  <c r="M6767" i="2"/>
  <c r="Q3239" i="2"/>
  <c r="M3239" i="2"/>
  <c r="M6759" i="2"/>
  <c r="M2791" i="2"/>
  <c r="Q6751" i="2"/>
  <c r="M6751" i="2"/>
  <c r="M5701" i="2"/>
  <c r="M6743" i="2"/>
  <c r="Q6739" i="2"/>
  <c r="M6739" i="2"/>
  <c r="M6735" i="2"/>
  <c r="Q4023" i="2"/>
  <c r="M4023" i="2"/>
  <c r="M3392" i="2"/>
  <c r="M6723" i="2"/>
  <c r="Q6719" i="2"/>
  <c r="M6719" i="2"/>
  <c r="M6715" i="2"/>
  <c r="Q5093" i="2"/>
  <c r="M5093" i="2"/>
  <c r="M3100" i="2"/>
  <c r="M6703" i="2"/>
  <c r="Q6699" i="2"/>
  <c r="M6699" i="2"/>
  <c r="M6695" i="2"/>
  <c r="Q6691" i="2"/>
  <c r="M6691" i="2"/>
  <c r="M6687" i="2"/>
  <c r="Q6577" i="2"/>
  <c r="M6577" i="2"/>
  <c r="M6679" i="2"/>
  <c r="M6784" i="2"/>
  <c r="Q2678" i="2"/>
  <c r="M2678" i="2"/>
  <c r="M6667" i="2"/>
  <c r="M3934" i="2"/>
  <c r="Q4950" i="2"/>
  <c r="M4950" i="2"/>
  <c r="M6655" i="2"/>
  <c r="M6651" i="2"/>
  <c r="M6647" i="2"/>
  <c r="M6643" i="2"/>
  <c r="M436" i="2"/>
  <c r="Q6635" i="2"/>
  <c r="M6635" i="2"/>
  <c r="M6631" i="2"/>
  <c r="M6627" i="2"/>
  <c r="M6623" i="2"/>
  <c r="M6619" i="2"/>
  <c r="Q6615" i="2"/>
  <c r="M6615" i="2"/>
  <c r="M6611" i="2"/>
  <c r="M6607" i="2"/>
  <c r="Q6603" i="2"/>
  <c r="M6603" i="2"/>
  <c r="M5535" i="2"/>
  <c r="Q6595" i="2"/>
  <c r="M6595" i="2"/>
  <c r="Q3655" i="2"/>
  <c r="M3655" i="2"/>
  <c r="Q6587" i="2"/>
  <c r="M6587" i="2"/>
  <c r="M4304" i="2"/>
  <c r="Q3764" i="2"/>
  <c r="M3764" i="2"/>
  <c r="M2274" i="2"/>
  <c r="Q3031" i="2"/>
  <c r="M3031" i="2"/>
  <c r="M6567" i="2"/>
  <c r="Q6563" i="2"/>
  <c r="M6563" i="2"/>
  <c r="M903" i="2"/>
  <c r="Q1093" i="2"/>
  <c r="M1093" i="2"/>
  <c r="M7064" i="2"/>
  <c r="Q6569" i="2"/>
  <c r="M6569" i="2"/>
  <c r="M6867" i="2"/>
  <c r="Q6524" i="2"/>
  <c r="M6524" i="2"/>
  <c r="M6535" i="2"/>
  <c r="Q1850" i="2"/>
  <c r="M1850" i="2"/>
  <c r="M6558" i="2"/>
  <c r="Q6523" i="2"/>
  <c r="M6523" i="2"/>
  <c r="M1094" i="2"/>
  <c r="M6515" i="2"/>
  <c r="Q6511" i="2"/>
  <c r="M6511" i="2"/>
  <c r="M6507" i="2"/>
  <c r="Q6503" i="2"/>
  <c r="M6503" i="2"/>
  <c r="M6499" i="2"/>
  <c r="M6495" i="2"/>
  <c r="Q6191" i="2"/>
  <c r="M6191" i="2"/>
  <c r="M6487" i="2"/>
  <c r="Q2423" i="2"/>
  <c r="M2423" i="2"/>
  <c r="M5549" i="2"/>
  <c r="Q6475" i="2"/>
  <c r="M6475" i="2"/>
  <c r="M6471" i="2"/>
  <c r="Q6467" i="2"/>
  <c r="M6467" i="2"/>
  <c r="M6463" i="2"/>
  <c r="Q583" i="2"/>
  <c r="M583" i="2"/>
  <c r="Q6455" i="2"/>
  <c r="M6455" i="2"/>
  <c r="M6451" i="2"/>
  <c r="Q6447" i="2"/>
  <c r="M6447" i="2"/>
  <c r="M6443" i="2"/>
  <c r="Q440" i="2"/>
  <c r="M440" i="2"/>
  <c r="M6435" i="2"/>
  <c r="Q6431" i="2"/>
  <c r="M6431" i="2"/>
  <c r="M6427" i="2"/>
  <c r="M2677" i="2"/>
  <c r="Q6419" i="2"/>
  <c r="M6419" i="2"/>
  <c r="M6415" i="2"/>
  <c r="Q4583" i="2"/>
  <c r="M4583" i="2"/>
  <c r="M6407" i="2"/>
  <c r="M6403" i="2"/>
  <c r="M6399" i="2"/>
  <c r="M7213" i="2"/>
  <c r="Q4997" i="2"/>
  <c r="M4997" i="2"/>
  <c r="M6387" i="2"/>
  <c r="M6383" i="2"/>
  <c r="M6379" i="2"/>
  <c r="Q6375" i="2"/>
  <c r="M6375" i="2"/>
  <c r="M6371" i="2"/>
  <c r="M6367" i="2"/>
  <c r="M6363" i="2"/>
  <c r="M6359" i="2"/>
  <c r="M6355" i="2"/>
  <c r="M6351" i="2"/>
  <c r="M6347" i="2"/>
  <c r="Q6343" i="2"/>
  <c r="M6343" i="2"/>
  <c r="M6339" i="2"/>
  <c r="Q177" i="2"/>
  <c r="M177" i="2"/>
  <c r="M6331" i="2"/>
  <c r="M6327" i="2"/>
  <c r="M6323" i="2"/>
  <c r="Q6319" i="2"/>
  <c r="M6319" i="2"/>
  <c r="M6315" i="2"/>
  <c r="M6311" i="2"/>
  <c r="M2473" i="2"/>
  <c r="Q6303" i="2"/>
  <c r="M6303" i="2"/>
  <c r="M6299" i="2"/>
  <c r="Q6295" i="2"/>
  <c r="M6295" i="2"/>
  <c r="M6291" i="2"/>
  <c r="M6287" i="2"/>
  <c r="M6283" i="2"/>
  <c r="M6279" i="2"/>
  <c r="M6275" i="2"/>
  <c r="M6271" i="2"/>
  <c r="M6267" i="2"/>
  <c r="Q6263" i="2"/>
  <c r="M6263" i="2"/>
  <c r="M6259" i="2"/>
  <c r="M6255" i="2"/>
  <c r="M6251" i="2"/>
  <c r="M6247" i="2"/>
  <c r="Q6243" i="2"/>
  <c r="M6243" i="2"/>
  <c r="M6239" i="2"/>
  <c r="Q6235" i="2"/>
  <c r="M6235" i="2"/>
  <c r="M6231" i="2"/>
  <c r="Q6227" i="2"/>
  <c r="M6227" i="2"/>
  <c r="M6223" i="2"/>
  <c r="M6219" i="2"/>
  <c r="Q6215" i="2"/>
  <c r="M6215" i="2"/>
  <c r="Q6211" i="2"/>
  <c r="M6211" i="2"/>
  <c r="M6207" i="2"/>
  <c r="M6203" i="2"/>
  <c r="M6199" i="2"/>
  <c r="M6195" i="2"/>
  <c r="Q6809" i="2"/>
  <c r="M6809" i="2"/>
  <c r="M5486" i="2"/>
  <c r="M6183" i="2"/>
  <c r="Q6179" i="2"/>
  <c r="M6179" i="2"/>
  <c r="Q6175" i="2"/>
  <c r="M6175" i="2"/>
  <c r="Q6171" i="2"/>
  <c r="M6171" i="2"/>
  <c r="M6167" i="2"/>
  <c r="Q6163" i="2"/>
  <c r="M6163" i="2"/>
  <c r="Q5318" i="2"/>
  <c r="M5318" i="2"/>
  <c r="Q5793" i="2"/>
  <c r="M5793" i="2"/>
  <c r="M6151" i="2"/>
  <c r="Q6147" i="2"/>
  <c r="M6147" i="2"/>
  <c r="Q6143" i="2"/>
  <c r="M6143" i="2"/>
  <c r="Q2610" i="2"/>
  <c r="M2610" i="2"/>
  <c r="M6135" i="2"/>
  <c r="M6131" i="2"/>
  <c r="M6127" i="2"/>
  <c r="M6123" i="2"/>
  <c r="M6119" i="2"/>
  <c r="M6115" i="2"/>
  <c r="Q6111" i="2"/>
  <c r="M6111" i="2"/>
  <c r="Q6107" i="2"/>
  <c r="M6107" i="2"/>
  <c r="Q6103" i="2"/>
  <c r="M6103" i="2"/>
  <c r="M6099" i="2"/>
  <c r="Q5481" i="2"/>
  <c r="M5481" i="2"/>
  <c r="Q6091" i="2"/>
  <c r="M6091" i="2"/>
  <c r="Q3241" i="2"/>
  <c r="M3241" i="2"/>
  <c r="M6083" i="2"/>
  <c r="Q6742" i="2"/>
  <c r="M6742" i="2"/>
  <c r="Q1501" i="2"/>
  <c r="M1501" i="2"/>
  <c r="Q2934" i="2"/>
  <c r="M2934" i="2"/>
  <c r="M6067" i="2"/>
  <c r="Q1500" i="2"/>
  <c r="M1500" i="2"/>
  <c r="Q6047" i="2"/>
  <c r="M6047" i="2"/>
  <c r="Q4207" i="2"/>
  <c r="M4207" i="2"/>
  <c r="M6051" i="2"/>
  <c r="Q4187" i="2"/>
  <c r="M4187" i="2"/>
  <c r="Q6043" i="2"/>
  <c r="M6043" i="2"/>
  <c r="M6039" i="2"/>
  <c r="M6035" i="2"/>
  <c r="M6031" i="2"/>
  <c r="M6027" i="2"/>
  <c r="Q6023" i="2"/>
  <c r="M6023" i="2"/>
  <c r="M6019" i="2"/>
  <c r="M6015" i="2"/>
  <c r="M6011" i="2"/>
  <c r="M6007" i="2"/>
  <c r="M6003" i="2"/>
  <c r="M5999" i="2"/>
  <c r="Q5026" i="2"/>
  <c r="M5026" i="2"/>
  <c r="Q5991" i="2"/>
  <c r="M5991" i="2"/>
  <c r="M5987" i="2"/>
  <c r="M5983" i="2"/>
  <c r="Q5979" i="2"/>
  <c r="M5979" i="2"/>
  <c r="M5975" i="2"/>
  <c r="M5971" i="2"/>
  <c r="M5967" i="2"/>
  <c r="M5963" i="2"/>
  <c r="Q771" i="2"/>
  <c r="M771" i="2"/>
  <c r="Q5955" i="2"/>
  <c r="M5955" i="2"/>
  <c r="Q3372" i="2"/>
  <c r="M3372" i="2"/>
  <c r="M5947" i="2"/>
  <c r="Q5943" i="2"/>
  <c r="M5943" i="2"/>
  <c r="M5939" i="2"/>
  <c r="Q3737" i="2"/>
  <c r="M3737" i="2"/>
  <c r="Q3095" i="2"/>
  <c r="M3095" i="2"/>
  <c r="M6521" i="2"/>
  <c r="Q5923" i="2"/>
  <c r="M5923" i="2"/>
  <c r="Q5919" i="2"/>
  <c r="M5919" i="2"/>
  <c r="Q5915" i="2"/>
  <c r="M5915" i="2"/>
  <c r="M4653" i="2"/>
  <c r="Q142" i="2"/>
  <c r="M142" i="2"/>
  <c r="M5903" i="2"/>
  <c r="Q4836" i="2"/>
  <c r="M4836" i="2"/>
  <c r="M5895" i="2"/>
  <c r="Q5891" i="2"/>
  <c r="M5891" i="2"/>
  <c r="M5887" i="2"/>
  <c r="M5883" i="2"/>
  <c r="M5468" i="2"/>
  <c r="M5875" i="2"/>
  <c r="M5871" i="2"/>
  <c r="M5867" i="2"/>
  <c r="M5863" i="2"/>
  <c r="M5859" i="2"/>
  <c r="M5855" i="2"/>
  <c r="Q2790" i="2"/>
  <c r="M2790" i="2"/>
  <c r="Q5847" i="2"/>
  <c r="M5847" i="2"/>
  <c r="Q3653" i="2"/>
  <c r="M3653" i="2"/>
  <c r="M5839" i="2"/>
  <c r="Q4608" i="2"/>
  <c r="M4608" i="2"/>
  <c r="Q1092" i="2"/>
  <c r="M1092" i="2"/>
  <c r="Q5827" i="2"/>
  <c r="M5827" i="2"/>
  <c r="Q6146" i="2"/>
  <c r="M6146" i="2"/>
  <c r="M5819" i="2"/>
  <c r="Q5152" i="2"/>
  <c r="M5152" i="2"/>
  <c r="M5811" i="2"/>
  <c r="Q7070" i="2"/>
  <c r="M7070" i="2"/>
  <c r="Q5803" i="2"/>
  <c r="M5803" i="2"/>
  <c r="M5942" i="2"/>
  <c r="Q141" i="2"/>
  <c r="M141" i="2"/>
  <c r="Q512" i="2"/>
  <c r="M512" i="2"/>
  <c r="Q5787" i="2"/>
  <c r="M5787" i="2"/>
  <c r="M2541" i="2"/>
  <c r="Q5779" i="2"/>
  <c r="M5779" i="2"/>
  <c r="Q694" i="2"/>
  <c r="M694" i="2"/>
  <c r="Q5771" i="2"/>
  <c r="M5771" i="2"/>
  <c r="M5767" i="2"/>
  <c r="M5763" i="2"/>
  <c r="Q5759" i="2"/>
  <c r="M5759" i="2"/>
  <c r="Q5755" i="2"/>
  <c r="M5755" i="2"/>
  <c r="Q2297" i="2"/>
  <c r="M2297" i="2"/>
  <c r="M5747" i="2"/>
  <c r="Q5743" i="2"/>
  <c r="M5743" i="2"/>
  <c r="Q5739" i="2"/>
  <c r="M5739" i="2"/>
  <c r="Q5735" i="2"/>
  <c r="M5735" i="2"/>
  <c r="M5731" i="2"/>
  <c r="Q5727" i="2"/>
  <c r="M5727" i="2"/>
  <c r="Q5723" i="2"/>
  <c r="M5723" i="2"/>
  <c r="M5719" i="2"/>
  <c r="M5715" i="2"/>
  <c r="M5711" i="2"/>
  <c r="Q5254" i="2"/>
  <c r="M5254" i="2"/>
  <c r="M1879" i="2"/>
  <c r="Q7260" i="2"/>
  <c r="M7260" i="2"/>
  <c r="Q3134" i="2"/>
  <c r="M3134" i="2"/>
  <c r="M5691" i="2"/>
  <c r="M5687" i="2"/>
  <c r="M5683" i="2"/>
  <c r="Q5679" i="2"/>
  <c r="M5679" i="2"/>
  <c r="M6762" i="2"/>
  <c r="Q5615" i="2"/>
  <c r="M5615" i="2"/>
  <c r="M5667" i="2"/>
  <c r="M5663" i="2"/>
  <c r="M5659" i="2"/>
  <c r="M5655" i="2"/>
  <c r="M5651" i="2"/>
  <c r="M5647" i="2"/>
  <c r="Q5643" i="2"/>
  <c r="M5643" i="2"/>
  <c r="M5639" i="2"/>
  <c r="Q4531" i="2"/>
  <c r="M4531" i="2"/>
  <c r="M5631" i="2"/>
  <c r="M1712" i="2"/>
  <c r="Q3188" i="2"/>
  <c r="M3188" i="2"/>
  <c r="Q5619" i="2"/>
  <c r="M5619" i="2"/>
  <c r="Q3641" i="2"/>
  <c r="M3641" i="2"/>
  <c r="M2753" i="2"/>
  <c r="M5607" i="2"/>
  <c r="Q4735" i="2"/>
  <c r="M4735" i="2"/>
  <c r="M5599" i="2"/>
  <c r="M5595" i="2"/>
  <c r="M5591" i="2"/>
  <c r="M5587" i="2"/>
  <c r="Q2669" i="2"/>
  <c r="M2669" i="2"/>
  <c r="Q3258" i="2"/>
  <c r="M3258" i="2"/>
  <c r="M5575" i="2"/>
  <c r="M5571" i="2"/>
  <c r="M5567" i="2"/>
  <c r="M6192" i="2"/>
  <c r="Q5559" i="2"/>
  <c r="M5559" i="2"/>
  <c r="Q6418" i="2"/>
  <c r="M6418" i="2"/>
  <c r="Q5551" i="2"/>
  <c r="M5551" i="2"/>
  <c r="M4066" i="2"/>
  <c r="Q1907" i="2"/>
  <c r="M1907" i="2"/>
  <c r="M5539" i="2"/>
  <c r="Q6417" i="2"/>
  <c r="M6417" i="2"/>
  <c r="Q5531" i="2"/>
  <c r="M5531" i="2"/>
  <c r="M5527" i="2"/>
  <c r="Q3001" i="2"/>
  <c r="M3001" i="2"/>
  <c r="Q6548" i="2"/>
  <c r="M6548" i="2"/>
  <c r="M5515" i="2"/>
  <c r="Q5511" i="2"/>
  <c r="M5511" i="2"/>
  <c r="M5507" i="2"/>
  <c r="M6088" i="2"/>
  <c r="Q5499" i="2"/>
  <c r="M5499" i="2"/>
  <c r="Q5495" i="2"/>
  <c r="M5495" i="2"/>
  <c r="Q5491" i="2"/>
  <c r="M5491" i="2"/>
  <c r="M5487" i="2"/>
  <c r="Q3047" i="2"/>
  <c r="M3047" i="2"/>
  <c r="Q4769" i="2"/>
  <c r="M4769" i="2"/>
  <c r="M5475" i="2"/>
  <c r="Q7051" i="2"/>
  <c r="M7051" i="2"/>
  <c r="Q5308" i="2"/>
  <c r="M5308" i="2"/>
  <c r="Q138" i="2"/>
  <c r="M138" i="2"/>
  <c r="M5459" i="2"/>
  <c r="Q3797" i="2"/>
  <c r="M3797" i="2"/>
  <c r="Q5451" i="2"/>
  <c r="M5451" i="2"/>
  <c r="M5447" i="2"/>
  <c r="M5443" i="2"/>
  <c r="M7218" i="2"/>
  <c r="Q5435" i="2"/>
  <c r="M5435" i="2"/>
  <c r="Q5431" i="2"/>
  <c r="M5431" i="2"/>
  <c r="M5427" i="2"/>
  <c r="Q5423" i="2"/>
  <c r="M5423" i="2"/>
  <c r="M5419" i="2"/>
  <c r="Q5415" i="2"/>
  <c r="M5415" i="2"/>
  <c r="Q5411" i="2"/>
  <c r="M5411" i="2"/>
  <c r="Q5407" i="2"/>
  <c r="M5407" i="2"/>
  <c r="M5403" i="2"/>
  <c r="M4042" i="2"/>
  <c r="M5395" i="2"/>
  <c r="M5391" i="2"/>
  <c r="M5387" i="2"/>
  <c r="M5383" i="2"/>
  <c r="Q5379" i="2"/>
  <c r="M5379" i="2"/>
  <c r="Q5375" i="2"/>
  <c r="M5375" i="2"/>
  <c r="M5371" i="2"/>
  <c r="M5367" i="2"/>
  <c r="M5363" i="2"/>
  <c r="M5359" i="2"/>
  <c r="Q5355" i="2"/>
  <c r="M5355" i="2"/>
  <c r="M5351" i="2"/>
  <c r="Q4176" i="2"/>
  <c r="M4176" i="2"/>
  <c r="Q5343" i="2"/>
  <c r="M5343" i="2"/>
  <c r="Q5339" i="2"/>
  <c r="M5339" i="2"/>
  <c r="M5335" i="2"/>
  <c r="M5331" i="2"/>
  <c r="M5327" i="2"/>
  <c r="M5323" i="2"/>
  <c r="Q422" i="2"/>
  <c r="M422" i="2"/>
  <c r="M5315" i="2"/>
  <c r="M5311" i="2"/>
  <c r="M5307" i="2"/>
  <c r="Q1161" i="2"/>
  <c r="M1161" i="2"/>
  <c r="Q136" i="2"/>
  <c r="M136" i="2"/>
  <c r="M5295" i="2"/>
  <c r="M5291" i="2"/>
  <c r="Q5287" i="2"/>
  <c r="M5287" i="2"/>
  <c r="M5283" i="2"/>
  <c r="Q5279" i="2"/>
  <c r="M5279" i="2"/>
  <c r="Q4860" i="2"/>
  <c r="M4860" i="2"/>
  <c r="M5271" i="2"/>
  <c r="M5267" i="2"/>
  <c r="M5263" i="2"/>
  <c r="M3640" i="2"/>
  <c r="M5255" i="2"/>
  <c r="Q5251" i="2"/>
  <c r="M5251" i="2"/>
  <c r="Q1053" i="2"/>
  <c r="M1053" i="2"/>
  <c r="Q761" i="2"/>
  <c r="M761" i="2"/>
  <c r="M5239" i="2"/>
  <c r="Q5235" i="2"/>
  <c r="M5235" i="2"/>
  <c r="Q5231" i="2"/>
  <c r="M5231" i="2"/>
  <c r="M5227" i="2"/>
  <c r="M5223" i="2"/>
  <c r="Q5219" i="2"/>
  <c r="M5219" i="2"/>
  <c r="M5215" i="2"/>
  <c r="M5211" i="2"/>
  <c r="Q3852" i="2"/>
  <c r="M3852" i="2"/>
  <c r="Q5203" i="2"/>
  <c r="M5203" i="2"/>
  <c r="M5199" i="2"/>
  <c r="M5195" i="2"/>
  <c r="Q5191" i="2"/>
  <c r="M5191" i="2"/>
  <c r="M5187" i="2"/>
  <c r="M5183" i="2"/>
  <c r="M5179" i="2"/>
  <c r="M1377" i="2"/>
  <c r="M5171" i="2"/>
  <c r="M5167" i="2"/>
  <c r="Q5163" i="2"/>
  <c r="M5163" i="2"/>
  <c r="M5159" i="2"/>
  <c r="Q239" i="2"/>
  <c r="M239" i="2"/>
  <c r="Q3757" i="2"/>
  <c r="M3757" i="2"/>
  <c r="M5147" i="2"/>
  <c r="Q6731" i="2"/>
  <c r="M6731" i="2"/>
  <c r="M5139" i="2"/>
  <c r="Q5135" i="2"/>
  <c r="M5135" i="2"/>
  <c r="Q2997" i="2"/>
  <c r="M2997" i="2"/>
  <c r="M5127" i="2"/>
  <c r="Q5123" i="2"/>
  <c r="M5123" i="2"/>
  <c r="Q5119" i="2"/>
  <c r="M5119" i="2"/>
  <c r="Q6290" i="2"/>
  <c r="M6290" i="2"/>
  <c r="M5111" i="2"/>
  <c r="M5107" i="2"/>
  <c r="Q5103" i="2"/>
  <c r="M5103" i="2"/>
  <c r="M5099" i="2"/>
  <c r="M5095" i="2"/>
  <c r="M5091" i="2"/>
  <c r="Q5087" i="2"/>
  <c r="M5087" i="2"/>
  <c r="M5083" i="2"/>
  <c r="M5079" i="2"/>
  <c r="M5075" i="2"/>
  <c r="M5071" i="2"/>
  <c r="Q5067" i="2"/>
  <c r="M5067" i="2"/>
  <c r="M5063" i="2"/>
  <c r="M5059" i="2"/>
  <c r="M5055" i="2"/>
  <c r="M5051" i="2"/>
  <c r="Q5047" i="2"/>
  <c r="M5047" i="2"/>
  <c r="Q5043" i="2"/>
  <c r="M5043" i="2"/>
  <c r="M5039" i="2"/>
  <c r="M5035" i="2"/>
  <c r="M5031" i="2"/>
  <c r="M5027" i="2"/>
  <c r="Q5023" i="2"/>
  <c r="M5023" i="2"/>
  <c r="M5019" i="2"/>
  <c r="M738" i="2"/>
  <c r="Q4379" i="2"/>
  <c r="M4379" i="2"/>
  <c r="M5007" i="2"/>
  <c r="Q5003" i="2"/>
  <c r="M5003" i="2"/>
  <c r="Q4999" i="2"/>
  <c r="M4999" i="2"/>
  <c r="M4995" i="2"/>
  <c r="M4991" i="2"/>
  <c r="Q6441" i="2"/>
  <c r="M6441" i="2"/>
  <c r="Q4983" i="2"/>
  <c r="M4983" i="2"/>
  <c r="M4979" i="2"/>
  <c r="Q4257" i="2"/>
  <c r="M4257" i="2"/>
  <c r="M4971" i="2"/>
  <c r="M4967" i="2"/>
  <c r="Q4963" i="2"/>
  <c r="M4963" i="2"/>
  <c r="Q4959" i="2"/>
  <c r="M4959" i="2"/>
  <c r="M4955" i="2"/>
  <c r="Q4406" i="2"/>
  <c r="M4406" i="2"/>
  <c r="M5245" i="2"/>
  <c r="M4943" i="2"/>
  <c r="M4939" i="2"/>
  <c r="M4935" i="2"/>
  <c r="Q7209" i="2"/>
  <c r="M7209" i="2"/>
  <c r="Q4927" i="2"/>
  <c r="M4927" i="2"/>
  <c r="M4923" i="2"/>
  <c r="Q4919" i="2"/>
  <c r="M4919" i="2"/>
  <c r="M4915" i="2"/>
  <c r="M4911" i="2"/>
  <c r="M4907" i="2"/>
  <c r="M4903" i="2"/>
  <c r="M4899" i="2"/>
  <c r="M4895" i="2"/>
  <c r="M4891" i="2"/>
  <c r="M4887" i="2"/>
  <c r="Q4883" i="2"/>
  <c r="M4883" i="2"/>
  <c r="Q4879" i="2"/>
  <c r="M4879" i="2"/>
  <c r="Q3620" i="2"/>
  <c r="M3620" i="2"/>
  <c r="M7028" i="2"/>
  <c r="Q5682" i="2"/>
  <c r="M5682" i="2"/>
  <c r="Q6889" i="2"/>
  <c r="M6889" i="2"/>
  <c r="Q4859" i="2"/>
  <c r="M4859" i="2"/>
  <c r="M4855" i="2"/>
  <c r="Q3802" i="2"/>
  <c r="M3802" i="2"/>
  <c r="Q5520" i="2"/>
  <c r="M5520" i="2"/>
  <c r="Q6726" i="2"/>
  <c r="M6726" i="2"/>
  <c r="Q4839" i="2"/>
  <c r="M4839" i="2"/>
  <c r="M4835" i="2"/>
  <c r="M4831" i="2"/>
  <c r="Q6416" i="2"/>
  <c r="M6416" i="2"/>
  <c r="Q4823" i="2"/>
  <c r="M4823" i="2"/>
  <c r="Q2363" i="2"/>
  <c r="M2363" i="2"/>
  <c r="M4815" i="2"/>
  <c r="Q4811" i="2"/>
  <c r="M4811" i="2"/>
  <c r="Q5822" i="2"/>
  <c r="M5822" i="2"/>
  <c r="Q4803" i="2"/>
  <c r="M4803" i="2"/>
  <c r="M4799" i="2"/>
  <c r="Q1290" i="2"/>
  <c r="M1290" i="2"/>
  <c r="Q4791" i="2"/>
  <c r="M4791" i="2"/>
  <c r="M4787" i="2"/>
  <c r="Q4783" i="2"/>
  <c r="M4783" i="2"/>
  <c r="M2161" i="2"/>
  <c r="Q4775" i="2"/>
  <c r="M4775" i="2"/>
  <c r="Q4771" i="2"/>
  <c r="M4771" i="2"/>
  <c r="Q463" i="2"/>
  <c r="M463" i="2"/>
  <c r="M4763" i="2"/>
  <c r="M4759" i="2"/>
  <c r="M1013" i="2"/>
  <c r="Q4751" i="2"/>
  <c r="M4751" i="2"/>
  <c r="Q2540" i="2"/>
  <c r="M2540" i="2"/>
  <c r="Q4743" i="2"/>
  <c r="M4743" i="2"/>
  <c r="M4739" i="2"/>
  <c r="Q2910" i="2"/>
  <c r="M2910" i="2"/>
  <c r="Q4731" i="2"/>
  <c r="M4731" i="2"/>
  <c r="Q5463" i="2"/>
  <c r="M5463" i="2"/>
  <c r="M4723" i="2"/>
  <c r="M4719" i="2"/>
  <c r="Q6072" i="2"/>
  <c r="M6072" i="2"/>
  <c r="M4711" i="2"/>
  <c r="M4707" i="2"/>
  <c r="M4703" i="2"/>
  <c r="M4699" i="2"/>
  <c r="Q1393" i="2"/>
  <c r="M1393" i="2"/>
  <c r="M4691" i="2"/>
  <c r="M4687" i="2"/>
  <c r="Q233" i="2"/>
  <c r="M233" i="2"/>
  <c r="Q1012" i="2"/>
  <c r="M1012" i="2"/>
  <c r="Q4675" i="2"/>
  <c r="M4675" i="2"/>
  <c r="M4671" i="2"/>
  <c r="Q3613" i="2"/>
  <c r="M3613" i="2"/>
  <c r="Q676" i="2"/>
  <c r="M676" i="2"/>
  <c r="M4659" i="2"/>
  <c r="Q4655" i="2"/>
  <c r="M4655" i="2"/>
  <c r="Q7011" i="2"/>
  <c r="M7011" i="2"/>
  <c r="Q4647" i="2"/>
  <c r="M4647" i="2"/>
  <c r="M4643" i="2"/>
  <c r="Q4639" i="2"/>
  <c r="M4639" i="2"/>
  <c r="Q4635" i="2"/>
  <c r="M4635" i="2"/>
  <c r="Q5676" i="2"/>
  <c r="M5676" i="2"/>
  <c r="M4627" i="2"/>
  <c r="M3046" i="2"/>
  <c r="M4619" i="2"/>
  <c r="Q4615" i="2"/>
  <c r="M4615" i="2"/>
  <c r="Q6411" i="2"/>
  <c r="M6411" i="2"/>
  <c r="M4607" i="2"/>
  <c r="Q4603" i="2"/>
  <c r="M4603" i="2"/>
  <c r="M4599" i="2"/>
  <c r="M4595" i="2"/>
  <c r="Q4591" i="2"/>
  <c r="M4591" i="2"/>
  <c r="Q1264" i="2"/>
  <c r="M1264" i="2"/>
  <c r="Q3247" i="2"/>
  <c r="M3247" i="2"/>
  <c r="M6187" i="2"/>
  <c r="Q4575" i="2"/>
  <c r="M4575" i="2"/>
  <c r="Q7065" i="2"/>
  <c r="M7065" i="2"/>
  <c r="M4567" i="2"/>
  <c r="M4563" i="2"/>
  <c r="Q5986" i="2"/>
  <c r="M5986" i="2"/>
  <c r="M4555" i="2"/>
  <c r="Q4551" i="2"/>
  <c r="M4551" i="2"/>
  <c r="Q4547" i="2"/>
  <c r="M4547" i="2"/>
  <c r="Q4543" i="2"/>
  <c r="M4543" i="2"/>
  <c r="M1345" i="2"/>
  <c r="Q4535" i="2"/>
  <c r="M4535" i="2"/>
  <c r="Q203" i="2"/>
  <c r="M203" i="2"/>
  <c r="Q4527" i="2"/>
  <c r="M4527" i="2"/>
  <c r="M4523" i="2"/>
  <c r="M4519" i="2"/>
  <c r="M4515" i="2"/>
  <c r="Q4511" i="2"/>
  <c r="M4511" i="2"/>
  <c r="M4507" i="2"/>
  <c r="M4503" i="2"/>
  <c r="M4499" i="2"/>
  <c r="M4495" i="2"/>
  <c r="Q4491" i="2"/>
  <c r="M4491" i="2"/>
  <c r="Q5455" i="2"/>
  <c r="M5455" i="2"/>
  <c r="M4483" i="2"/>
  <c r="Q4479" i="2"/>
  <c r="M4479" i="2"/>
  <c r="M4475" i="2"/>
  <c r="Q5964" i="2"/>
  <c r="M5964" i="2"/>
  <c r="M4467" i="2"/>
  <c r="M4463" i="2"/>
  <c r="M4459" i="2"/>
  <c r="M4455" i="2"/>
  <c r="M4451" i="2"/>
  <c r="Q5015" i="2"/>
  <c r="M5015" i="2"/>
  <c r="M4443" i="2"/>
  <c r="Q4439" i="2"/>
  <c r="M4439" i="2"/>
  <c r="M4435" i="2"/>
  <c r="Q4431" i="2"/>
  <c r="M4431" i="2"/>
  <c r="Q4427" i="2"/>
  <c r="M4427" i="2"/>
  <c r="M4423" i="2"/>
  <c r="M4419" i="2"/>
  <c r="Q6174" i="2"/>
  <c r="M6174" i="2"/>
  <c r="M4411" i="2"/>
  <c r="M4407" i="2"/>
  <c r="Q4403" i="2"/>
  <c r="M4403" i="2"/>
  <c r="Q4399" i="2"/>
  <c r="M4399" i="2"/>
  <c r="M4395" i="2"/>
  <c r="M4391" i="2"/>
  <c r="Q4387" i="2"/>
  <c r="M4387" i="2"/>
  <c r="M4383" i="2"/>
  <c r="M3960" i="2"/>
  <c r="Q2256" i="2"/>
  <c r="M2256" i="2"/>
  <c r="M4371" i="2"/>
  <c r="Q6537" i="2"/>
  <c r="M6537" i="2"/>
  <c r="Q4363" i="2"/>
  <c r="M4363" i="2"/>
  <c r="M4359" i="2"/>
  <c r="Q1159" i="2"/>
  <c r="M1159" i="2"/>
  <c r="M4351" i="2"/>
  <c r="M4347" i="2"/>
  <c r="M4343" i="2"/>
  <c r="Q4339" i="2"/>
  <c r="M4339" i="2"/>
  <c r="Q4335" i="2"/>
  <c r="M4335" i="2"/>
  <c r="M4331" i="2"/>
  <c r="M4327" i="2"/>
  <c r="M4323" i="2"/>
  <c r="M4319" i="2"/>
  <c r="M4315" i="2"/>
  <c r="Q4311" i="2"/>
  <c r="M4311" i="2"/>
  <c r="Q4307" i="2"/>
  <c r="M4307" i="2"/>
  <c r="Q730" i="2"/>
  <c r="M730" i="2"/>
  <c r="M2154" i="2"/>
  <c r="Q2067" i="2"/>
  <c r="M2067" i="2"/>
  <c r="Q330" i="2"/>
  <c r="M330" i="2"/>
  <c r="M4287" i="2"/>
  <c r="Q2982" i="2"/>
  <c r="M2982" i="2"/>
  <c r="Q4279" i="2"/>
  <c r="M4279" i="2"/>
  <c r="Q4275" i="2"/>
  <c r="M4275" i="2"/>
  <c r="M4271" i="2"/>
  <c r="M4267" i="2"/>
  <c r="M4263" i="2"/>
  <c r="Q5452" i="2"/>
  <c r="M5452" i="2"/>
  <c r="M4255" i="2"/>
  <c r="M4251" i="2"/>
  <c r="M4247" i="2"/>
  <c r="M4243" i="2"/>
  <c r="M4239" i="2"/>
  <c r="M4235" i="2"/>
  <c r="M4231" i="2"/>
  <c r="M4227" i="2"/>
  <c r="M4223" i="2"/>
  <c r="M4219" i="2"/>
  <c r="Q4215" i="2"/>
  <c r="M4215" i="2"/>
  <c r="M2380" i="2"/>
  <c r="Q2251" i="2"/>
  <c r="M2251" i="2"/>
  <c r="Q4203" i="2"/>
  <c r="M4203" i="2"/>
  <c r="Q4199" i="2"/>
  <c r="M4199" i="2"/>
  <c r="M4195" i="2"/>
  <c r="Q4191" i="2"/>
  <c r="M4191" i="2"/>
  <c r="Q4623" i="2"/>
  <c r="M4623" i="2"/>
  <c r="Q4183" i="2"/>
  <c r="M4183" i="2"/>
  <c r="M1490" i="2"/>
  <c r="Q5008" i="2"/>
  <c r="M5008" i="2"/>
  <c r="M4171" i="2"/>
  <c r="Q4167" i="2"/>
  <c r="M4167" i="2"/>
  <c r="Q3170" i="2"/>
  <c r="M3170" i="2"/>
  <c r="M4159" i="2"/>
  <c r="Q4155" i="2"/>
  <c r="M4155" i="2"/>
  <c r="M4151" i="2"/>
  <c r="Q4147" i="2"/>
  <c r="M4147" i="2"/>
  <c r="Q6575" i="2"/>
  <c r="M6575" i="2"/>
  <c r="M4139" i="2"/>
  <c r="M4135" i="2"/>
  <c r="M4131" i="2"/>
  <c r="M4127" i="2"/>
  <c r="Q2800" i="2"/>
  <c r="M2800" i="2"/>
  <c r="Q6871" i="2"/>
  <c r="M6871" i="2"/>
  <c r="Q4115" i="2"/>
  <c r="M4115" i="2"/>
  <c r="M4111" i="2"/>
  <c r="M4107" i="2"/>
  <c r="Q5017" i="2"/>
  <c r="M5017" i="2"/>
  <c r="M4099" i="2"/>
  <c r="Q4095" i="2"/>
  <c r="M4095" i="2"/>
  <c r="Q3743" i="2"/>
  <c r="M3743" i="2"/>
  <c r="M4087" i="2"/>
  <c r="Q4083" i="2"/>
  <c r="M4083" i="2"/>
  <c r="M4079" i="2"/>
  <c r="Q237" i="2"/>
  <c r="M237" i="2"/>
  <c r="Q2250" i="2"/>
  <c r="M2250" i="2"/>
  <c r="Q4067" i="2"/>
  <c r="M4067" i="2"/>
  <c r="Q4299" i="2"/>
  <c r="M4299" i="2"/>
  <c r="Q692" i="2"/>
  <c r="M692" i="2"/>
  <c r="Q2763" i="2"/>
  <c r="M2763" i="2"/>
  <c r="M5671" i="2"/>
  <c r="M4047" i="2"/>
  <c r="Q4863" i="2"/>
  <c r="M4863" i="2"/>
  <c r="Q6810" i="2"/>
  <c r="M6810" i="2"/>
  <c r="M4035" i="2"/>
  <c r="Q4031" i="2"/>
  <c r="M4031" i="2"/>
  <c r="M4027" i="2"/>
  <c r="Q2839" i="2"/>
  <c r="M2839" i="2"/>
  <c r="M4019" i="2"/>
  <c r="Q4015" i="2"/>
  <c r="M4015" i="2"/>
  <c r="Q4011" i="2"/>
  <c r="M4011" i="2"/>
  <c r="M997" i="2"/>
  <c r="Q6642" i="2"/>
  <c r="M6642" i="2"/>
  <c r="Q1111" i="2"/>
  <c r="M1111" i="2"/>
  <c r="M3995" i="2"/>
  <c r="Q3991" i="2"/>
  <c r="M3991" i="2"/>
  <c r="M7043" i="2"/>
  <c r="Q3983" i="2"/>
  <c r="M3983" i="2"/>
  <c r="M3979" i="2"/>
  <c r="Q3975" i="2"/>
  <c r="M3975" i="2"/>
  <c r="Q3971" i="2"/>
  <c r="M3971" i="2"/>
  <c r="M3967" i="2"/>
  <c r="M3963" i="2"/>
  <c r="M3959" i="2"/>
  <c r="M675" i="2"/>
  <c r="M3951" i="2"/>
  <c r="Q3947" i="2"/>
  <c r="M3947" i="2"/>
  <c r="Q3943" i="2"/>
  <c r="M3943" i="2"/>
  <c r="Q3939" i="2"/>
  <c r="M3939" i="2"/>
  <c r="M3935" i="2"/>
  <c r="M4715" i="2"/>
  <c r="Q216" i="2"/>
  <c r="M216" i="2"/>
  <c r="Q2372" i="2"/>
  <c r="M2372" i="2"/>
  <c r="Q1083" i="2"/>
  <c r="M1083" i="2"/>
  <c r="M3915" i="2"/>
  <c r="M3911" i="2"/>
  <c r="M3907" i="2"/>
  <c r="M3903" i="2"/>
  <c r="Q3899" i="2"/>
  <c r="M3899" i="2"/>
  <c r="Q6545" i="2"/>
  <c r="M6545" i="2"/>
  <c r="M3891" i="2"/>
  <c r="Q2084" i="2"/>
  <c r="M2084" i="2"/>
  <c r="Q3883" i="2"/>
  <c r="M3883" i="2"/>
  <c r="Q300" i="2"/>
  <c r="M300" i="2"/>
  <c r="M3875" i="2"/>
  <c r="Q240" i="2"/>
  <c r="M240" i="2"/>
  <c r="Q3867" i="2"/>
  <c r="M3867" i="2"/>
  <c r="M3828" i="2"/>
  <c r="M3859" i="2"/>
  <c r="Q3855" i="2"/>
  <c r="M3855" i="2"/>
  <c r="Q891" i="2"/>
  <c r="M891" i="2"/>
  <c r="Q3847" i="2"/>
  <c r="M3847" i="2"/>
  <c r="M3843" i="2"/>
  <c r="Q3839" i="2"/>
  <c r="M3839" i="2"/>
  <c r="Q3835" i="2"/>
  <c r="M3835" i="2"/>
  <c r="Q3831" i="2"/>
  <c r="M3831" i="2"/>
  <c r="M2352" i="2"/>
  <c r="M3823" i="2"/>
  <c r="M3819" i="2"/>
  <c r="M3815" i="2"/>
  <c r="Q4844" i="2"/>
  <c r="M4844" i="2"/>
  <c r="M3807" i="2"/>
  <c r="M3803" i="2"/>
  <c r="M3799" i="2"/>
  <c r="Q5721" i="2"/>
  <c r="M5721" i="2"/>
  <c r="Q3791" i="2"/>
  <c r="M3791" i="2"/>
  <c r="M3787" i="2"/>
  <c r="M3783" i="2"/>
  <c r="M3779" i="2"/>
  <c r="M1298" i="2"/>
  <c r="M3771" i="2"/>
  <c r="M3767" i="2"/>
  <c r="Q674" i="2"/>
  <c r="M674" i="2"/>
  <c r="Q3759" i="2"/>
  <c r="M3759" i="2"/>
  <c r="Q4169" i="2"/>
  <c r="M4169" i="2"/>
  <c r="M3751" i="2"/>
  <c r="M3747" i="2"/>
  <c r="Q1370" i="2"/>
  <c r="M1370" i="2"/>
  <c r="Q3739" i="2"/>
  <c r="M3739" i="2"/>
  <c r="M3735" i="2"/>
  <c r="Q2537" i="2"/>
  <c r="M2537" i="2"/>
  <c r="M2249" i="2"/>
  <c r="Q3723" i="2"/>
  <c r="M3723" i="2"/>
  <c r="Q3719" i="2"/>
  <c r="M3719" i="2"/>
  <c r="Q2376" i="2"/>
  <c r="M2376" i="2"/>
  <c r="M3711" i="2"/>
  <c r="M2474" i="2"/>
  <c r="Q5758" i="2"/>
  <c r="M5758" i="2"/>
  <c r="M3699" i="2"/>
  <c r="M3695" i="2"/>
  <c r="Q3887" i="2"/>
  <c r="M3887" i="2"/>
  <c r="Q3687" i="2"/>
  <c r="M3687" i="2"/>
  <c r="Q3683" i="2"/>
  <c r="M3683" i="2"/>
  <c r="Q225" i="2"/>
  <c r="M225" i="2"/>
  <c r="Q3675" i="2"/>
  <c r="M3675" i="2"/>
  <c r="Q3671" i="2"/>
  <c r="M3671" i="2"/>
  <c r="M3667" i="2"/>
  <c r="Q3663" i="2"/>
  <c r="M3663" i="2"/>
  <c r="Q2106" i="2"/>
  <c r="M2106" i="2"/>
  <c r="Q4447" i="2"/>
  <c r="M4447" i="2"/>
  <c r="M3651" i="2"/>
  <c r="M3647" i="2"/>
  <c r="M3643" i="2"/>
  <c r="M3639" i="2"/>
  <c r="M3635" i="2"/>
  <c r="M3631" i="2"/>
  <c r="Q3688" i="2"/>
  <c r="M3688" i="2"/>
  <c r="M3623" i="2"/>
  <c r="Q3813" i="2"/>
  <c r="M3813" i="2"/>
  <c r="M3615" i="2"/>
  <c r="Q5233" i="2"/>
  <c r="M5233" i="2"/>
  <c r="M1951" i="2"/>
  <c r="Q1949" i="2"/>
  <c r="M1949" i="2"/>
  <c r="Q1024" i="2"/>
  <c r="M1024" i="2"/>
  <c r="M3595" i="2"/>
  <c r="M3591" i="2"/>
  <c r="M3587" i="2"/>
  <c r="M3583" i="2"/>
  <c r="Q3579" i="2"/>
  <c r="M3579" i="2"/>
  <c r="M3575" i="2"/>
  <c r="M3571" i="2"/>
  <c r="Q3567" i="2"/>
  <c r="M3567" i="2"/>
  <c r="M3563" i="2"/>
  <c r="Q3559" i="2"/>
  <c r="M3559" i="2"/>
  <c r="M3555" i="2"/>
  <c r="M3551" i="2"/>
  <c r="M3547" i="2"/>
  <c r="M3543" i="2"/>
  <c r="Q6160" i="2"/>
  <c r="M6160" i="2"/>
  <c r="M3535" i="2"/>
  <c r="M3531" i="2"/>
  <c r="M3527" i="2"/>
  <c r="M3523" i="2"/>
  <c r="M3519" i="2"/>
  <c r="M3515" i="2"/>
  <c r="M3511" i="2"/>
  <c r="M3507" i="2"/>
  <c r="Q3503" i="2"/>
  <c r="M3503" i="2"/>
  <c r="M3499" i="2"/>
  <c r="Q3495" i="2"/>
  <c r="M3495" i="2"/>
  <c r="Q3491" i="2"/>
  <c r="M3491" i="2"/>
  <c r="M3487" i="2"/>
  <c r="Q3483" i="2"/>
  <c r="M3483" i="2"/>
  <c r="M3479" i="2"/>
  <c r="Q4125" i="2"/>
  <c r="M4125" i="2"/>
  <c r="Q3471" i="2"/>
  <c r="M3471" i="2"/>
  <c r="M3467" i="2"/>
  <c r="M3463" i="2"/>
  <c r="M3459" i="2"/>
  <c r="M3455" i="2"/>
  <c r="Q3451" i="2"/>
  <c r="M3451" i="2"/>
  <c r="Q3917" i="2"/>
  <c r="M3917" i="2"/>
  <c r="M3443" i="2"/>
  <c r="Q3439" i="2"/>
  <c r="M3439" i="2"/>
  <c r="Q3435" i="2"/>
  <c r="M3435" i="2"/>
  <c r="M3431" i="2"/>
  <c r="M3427" i="2"/>
  <c r="Q3423" i="2"/>
  <c r="M3423" i="2"/>
  <c r="Q4843" i="2"/>
  <c r="M4843" i="2"/>
  <c r="Q3415" i="2"/>
  <c r="M3415" i="2"/>
  <c r="M3411" i="2"/>
  <c r="M3407" i="2"/>
  <c r="Q3403" i="2"/>
  <c r="M3403" i="2"/>
  <c r="M3399" i="2"/>
  <c r="M3395" i="2"/>
  <c r="Q3391" i="2"/>
  <c r="M3391" i="2"/>
  <c r="M3387" i="2"/>
  <c r="Q3383" i="2"/>
  <c r="M3383" i="2"/>
  <c r="M439" i="2"/>
  <c r="Q3375" i="2"/>
  <c r="M3375" i="2"/>
  <c r="Q3371" i="2"/>
  <c r="M3371" i="2"/>
  <c r="M3367" i="2"/>
  <c r="Q3363" i="2"/>
  <c r="M3363" i="2"/>
  <c r="M7115" i="2"/>
  <c r="Q5985" i="2"/>
  <c r="M5985" i="2"/>
  <c r="Q3351" i="2"/>
  <c r="M3351" i="2"/>
  <c r="Q3347" i="2"/>
  <c r="M3347" i="2"/>
  <c r="M5880" i="2"/>
  <c r="M3339" i="2"/>
  <c r="Q3335" i="2"/>
  <c r="M3335" i="2"/>
  <c r="M3331" i="2"/>
  <c r="M3327" i="2"/>
  <c r="Q3323" i="2"/>
  <c r="M3323" i="2"/>
  <c r="Q3319" i="2"/>
  <c r="M3319" i="2"/>
  <c r="M3315" i="2"/>
  <c r="M3311" i="2"/>
  <c r="M1678" i="2"/>
  <c r="M3303" i="2"/>
  <c r="Q3299" i="2"/>
  <c r="M3299" i="2"/>
  <c r="M3295" i="2"/>
  <c r="M3291" i="2"/>
  <c r="Q3287" i="2"/>
  <c r="M3287" i="2"/>
  <c r="Q1384" i="2"/>
  <c r="M1384" i="2"/>
  <c r="M3279" i="2"/>
  <c r="M3275" i="2"/>
  <c r="Q3271" i="2"/>
  <c r="M3271" i="2"/>
  <c r="Q3267" i="2"/>
  <c r="M3267" i="2"/>
  <c r="Q6030" i="2"/>
  <c r="M6030" i="2"/>
  <c r="M3259" i="2"/>
  <c r="Q3255" i="2"/>
  <c r="M3255" i="2"/>
  <c r="Q3251" i="2"/>
  <c r="M3251" i="2"/>
  <c r="Q2077" i="2"/>
  <c r="M2077" i="2"/>
  <c r="M3243" i="2"/>
  <c r="Q4580" i="2"/>
  <c r="M4580" i="2"/>
  <c r="M3235" i="2"/>
  <c r="Q2417" i="2"/>
  <c r="M2417" i="2"/>
  <c r="Q3227" i="2"/>
  <c r="M3227" i="2"/>
  <c r="Q3223" i="2"/>
  <c r="M3223" i="2"/>
  <c r="M3219" i="2"/>
  <c r="M3215" i="2"/>
  <c r="M3211" i="2"/>
  <c r="M3207" i="2"/>
  <c r="M3203" i="2"/>
  <c r="M3199" i="2"/>
  <c r="Q3195" i="2"/>
  <c r="M3195" i="2"/>
  <c r="Q3191" i="2"/>
  <c r="M3191" i="2"/>
  <c r="M3187" i="2"/>
  <c r="Q2247" i="2"/>
  <c r="M2247" i="2"/>
  <c r="M3179" i="2"/>
  <c r="M392" i="2"/>
  <c r="Q6565" i="2"/>
  <c r="M6565" i="2"/>
  <c r="Q650" i="2"/>
  <c r="M650" i="2"/>
  <c r="Q3163" i="2"/>
  <c r="M3163" i="2"/>
  <c r="M3159" i="2"/>
  <c r="M1995" i="2"/>
  <c r="Q3151" i="2"/>
  <c r="M3151" i="2"/>
  <c r="Q3147" i="2"/>
  <c r="M3147" i="2"/>
  <c r="M3143" i="2"/>
  <c r="Q3139" i="2"/>
  <c r="M3139" i="2"/>
  <c r="M4755" i="2"/>
  <c r="M3131" i="2"/>
  <c r="Q3127" i="2"/>
  <c r="M3127" i="2"/>
  <c r="Q3123" i="2"/>
  <c r="M3123" i="2"/>
  <c r="Q1522" i="2"/>
  <c r="M1522" i="2"/>
  <c r="M234" i="2"/>
  <c r="M3111" i="2"/>
  <c r="Q3107" i="2"/>
  <c r="M3107" i="2"/>
  <c r="M3103" i="2"/>
  <c r="M3099" i="2"/>
  <c r="Q5430" i="2"/>
  <c r="M5430" i="2"/>
  <c r="M3091" i="2"/>
  <c r="Q3087" i="2"/>
  <c r="M3087" i="2"/>
  <c r="M3083" i="2"/>
  <c r="M3079" i="2"/>
  <c r="M3075" i="2"/>
  <c r="M3071" i="2"/>
  <c r="M3067" i="2"/>
  <c r="M3063" i="2"/>
  <c r="M3059" i="2"/>
  <c r="Q3055" i="2"/>
  <c r="M3055" i="2"/>
  <c r="Q360" i="2"/>
  <c r="M360" i="2"/>
  <c r="Q2719" i="2"/>
  <c r="M2719" i="2"/>
  <c r="M82" i="2"/>
  <c r="M3039" i="2"/>
  <c r="M3035" i="2"/>
  <c r="Q1303" i="2"/>
  <c r="M1303" i="2"/>
  <c r="Q3027" i="2"/>
  <c r="M3027" i="2"/>
  <c r="Q2145" i="2"/>
  <c r="M2145" i="2"/>
  <c r="Q3019" i="2"/>
  <c r="M3019" i="2"/>
  <c r="Q939" i="2"/>
  <c r="M939" i="2"/>
  <c r="Q3011" i="2"/>
  <c r="M3011" i="2"/>
  <c r="Q1507" i="2"/>
  <c r="M1507" i="2"/>
  <c r="M3003" i="2"/>
  <c r="Q2999" i="2"/>
  <c r="M2999" i="2"/>
  <c r="Q2995" i="2"/>
  <c r="M2995" i="2"/>
  <c r="Q2991" i="2"/>
  <c r="M2991" i="2"/>
  <c r="M684" i="2"/>
  <c r="Q2983" i="2"/>
  <c r="M2983" i="2"/>
  <c r="Q2979" i="2"/>
  <c r="M2979" i="2"/>
  <c r="Q79" i="2"/>
  <c r="M79" i="2"/>
  <c r="M5751" i="2"/>
  <c r="M2967" i="2"/>
  <c r="Q2963" i="2"/>
  <c r="M2963" i="2"/>
  <c r="Q2959" i="2"/>
  <c r="M2959" i="2"/>
  <c r="Q2955" i="2"/>
  <c r="M2955" i="2"/>
  <c r="M2951" i="2"/>
  <c r="Q1597" i="2"/>
  <c r="M1597" i="2"/>
  <c r="M2943" i="2"/>
  <c r="Q2939" i="2"/>
  <c r="M2939" i="2"/>
  <c r="Q5207" i="2"/>
  <c r="M5207" i="2"/>
  <c r="M2931" i="2"/>
  <c r="M2927" i="2"/>
  <c r="M2923" i="2"/>
  <c r="M2919" i="2"/>
  <c r="M2915" i="2"/>
  <c r="Q7153" i="2"/>
  <c r="M7153" i="2"/>
  <c r="M2907" i="2"/>
  <c r="Q2903" i="2"/>
  <c r="M2903" i="2"/>
  <c r="Q2899" i="2"/>
  <c r="M2899" i="2"/>
  <c r="Q2895" i="2"/>
  <c r="M2895" i="2"/>
  <c r="M2891" i="2"/>
  <c r="Q2887" i="2"/>
  <c r="M2887" i="2"/>
  <c r="M2883" i="2"/>
  <c r="M2879" i="2"/>
  <c r="M2875" i="2"/>
  <c r="M2871" i="2"/>
  <c r="M2867" i="2"/>
  <c r="M2863" i="2"/>
  <c r="Q2859" i="2"/>
  <c r="M2859" i="2"/>
  <c r="Q2855" i="2"/>
  <c r="M2855" i="2"/>
  <c r="M1461" i="2"/>
  <c r="Q2238" i="2"/>
  <c r="M2238" i="2"/>
  <c r="M2843" i="2"/>
  <c r="Q3606" i="2"/>
  <c r="M3606" i="2"/>
  <c r="Q2835" i="2"/>
  <c r="M2835" i="2"/>
  <c r="M2171" i="2"/>
  <c r="Q878" i="2"/>
  <c r="M878" i="2"/>
  <c r="Q2823" i="2"/>
  <c r="M2823" i="2"/>
  <c r="Q2819" i="2"/>
  <c r="M2819" i="2"/>
  <c r="Q2815" i="2"/>
  <c r="M2815" i="2"/>
  <c r="Q4871" i="2"/>
  <c r="M4871" i="2"/>
  <c r="Q2807" i="2"/>
  <c r="M2807" i="2"/>
  <c r="Q2803" i="2"/>
  <c r="M2803" i="2"/>
  <c r="M2799" i="2"/>
  <c r="M2795" i="2"/>
  <c r="Q733" i="2"/>
  <c r="M733" i="2"/>
  <c r="M2787" i="2"/>
  <c r="Q6712" i="2"/>
  <c r="M6712" i="2"/>
  <c r="Q6022" i="2"/>
  <c r="M6022" i="2"/>
  <c r="M2775" i="2"/>
  <c r="Q734" i="2"/>
  <c r="M734" i="2"/>
  <c r="M2767" i="2"/>
  <c r="Q5482" i="2"/>
  <c r="M5482" i="2"/>
  <c r="Q2759" i="2"/>
  <c r="M2759" i="2"/>
  <c r="M4206" i="2"/>
  <c r="Q2751" i="2"/>
  <c r="M2751" i="2"/>
  <c r="Q2747" i="2"/>
  <c r="M2747" i="2"/>
  <c r="M2743" i="2"/>
  <c r="Q6519" i="2"/>
  <c r="M6519" i="2"/>
  <c r="Q4008" i="2"/>
  <c r="M4008" i="2"/>
  <c r="Q2614" i="2"/>
  <c r="M2614" i="2"/>
  <c r="Q5981" i="2"/>
  <c r="M5981" i="2"/>
  <c r="Q2723" i="2"/>
  <c r="M2723" i="2"/>
  <c r="M3167" i="2"/>
  <c r="Q2715" i="2"/>
  <c r="M2715" i="2"/>
  <c r="M2711" i="2"/>
  <c r="Q2707" i="2"/>
  <c r="M2707" i="2"/>
  <c r="M2703" i="2"/>
  <c r="Q2699" i="2"/>
  <c r="M2699" i="2"/>
  <c r="M2695" i="2"/>
  <c r="Q2691" i="2"/>
  <c r="M2691" i="2"/>
  <c r="Q4116" i="2"/>
  <c r="M4116" i="2"/>
  <c r="M2683" i="2"/>
  <c r="M2679" i="2"/>
  <c r="M2675" i="2"/>
  <c r="Q2671" i="2"/>
  <c r="M2671" i="2"/>
  <c r="M2667" i="2"/>
  <c r="Q3175" i="2"/>
  <c r="M3175" i="2"/>
  <c r="Q2659" i="2"/>
  <c r="M2659" i="2"/>
  <c r="M2655" i="2"/>
  <c r="M2651" i="2"/>
  <c r="M2647" i="2"/>
  <c r="M2643" i="2"/>
  <c r="M2639" i="2"/>
  <c r="M2635" i="2"/>
  <c r="M2631" i="2"/>
  <c r="M2627" i="2"/>
  <c r="M2623" i="2"/>
  <c r="Q1135" i="2"/>
  <c r="M1135" i="2"/>
  <c r="M2615" i="2"/>
  <c r="Q2611" i="2"/>
  <c r="M2611" i="2"/>
  <c r="Q2607" i="2"/>
  <c r="M2607" i="2"/>
  <c r="Q2603" i="2"/>
  <c r="M2603" i="2"/>
  <c r="Q2599" i="2"/>
  <c r="M2599" i="2"/>
  <c r="M2595" i="2"/>
  <c r="M2591" i="2"/>
  <c r="Q2587" i="2"/>
  <c r="M2587" i="2"/>
  <c r="Q2583" i="2"/>
  <c r="M2583" i="2"/>
  <c r="M2579" i="2"/>
  <c r="M2575" i="2"/>
  <c r="M2571" i="2"/>
  <c r="Q2567" i="2"/>
  <c r="M2567" i="2"/>
  <c r="M2563" i="2"/>
  <c r="M2559" i="2"/>
  <c r="M2555" i="2"/>
  <c r="M2551" i="2"/>
  <c r="M2547" i="2"/>
  <c r="Q928" i="2"/>
  <c r="M928" i="2"/>
  <c r="Q2539" i="2"/>
  <c r="M2539" i="2"/>
  <c r="Q5004" i="2"/>
  <c r="M5004" i="2"/>
  <c r="M2531" i="2"/>
  <c r="M2527" i="2"/>
  <c r="Q2523" i="2"/>
  <c r="M2523" i="2"/>
  <c r="Q2519" i="2"/>
  <c r="M2519" i="2"/>
  <c r="Q2515" i="2"/>
  <c r="M2515" i="2"/>
  <c r="M2511" i="2"/>
  <c r="Q2507" i="2"/>
  <c r="M2507" i="2"/>
  <c r="Q2503" i="2"/>
  <c r="M2503" i="2"/>
  <c r="Q2499" i="2"/>
  <c r="M2499" i="2"/>
  <c r="Q2495" i="2"/>
  <c r="M2495" i="2"/>
  <c r="M2491" i="2"/>
  <c r="M2487" i="2"/>
  <c r="M2483" i="2"/>
  <c r="M2479" i="2"/>
  <c r="M2475" i="2"/>
  <c r="Q1453" i="2"/>
  <c r="M1453" i="2"/>
  <c r="Q2467" i="2"/>
  <c r="M2467" i="2"/>
  <c r="Q2463" i="2"/>
  <c r="M2463" i="2"/>
  <c r="M2459" i="2"/>
  <c r="M2455" i="2"/>
  <c r="Q2451" i="2"/>
  <c r="M2451" i="2"/>
  <c r="M2447" i="2"/>
  <c r="Q2443" i="2"/>
  <c r="M2443" i="2"/>
  <c r="M2439" i="2"/>
  <c r="M2435" i="2"/>
  <c r="M2431" i="2"/>
  <c r="M2427" i="2"/>
  <c r="Q2718" i="2"/>
  <c r="M2718" i="2"/>
  <c r="M2419" i="2"/>
  <c r="M2415" i="2"/>
  <c r="Q6943" i="2"/>
  <c r="M6943" i="2"/>
  <c r="Q2407" i="2"/>
  <c r="M2407" i="2"/>
  <c r="Q1151" i="2"/>
  <c r="M1151" i="2"/>
  <c r="Q2287" i="2"/>
  <c r="M2287" i="2"/>
  <c r="Q1225" i="2"/>
  <c r="M1225" i="2"/>
  <c r="Q4559" i="2"/>
  <c r="M4559" i="2"/>
  <c r="Q2387" i="2"/>
  <c r="M2387" i="2"/>
  <c r="M294" i="2"/>
  <c r="M2379" i="2"/>
  <c r="Q2375" i="2"/>
  <c r="M2375" i="2"/>
  <c r="Q5033" i="2"/>
  <c r="M5033" i="2"/>
  <c r="M2367" i="2"/>
  <c r="Q2298" i="2"/>
  <c r="M2298" i="2"/>
  <c r="M1187" i="2"/>
  <c r="M2355" i="2"/>
  <c r="Q2351" i="2"/>
  <c r="M2351" i="2"/>
  <c r="M2347" i="2"/>
  <c r="M2343" i="2"/>
  <c r="Q2339" i="2"/>
  <c r="M2339" i="2"/>
  <c r="Q2335" i="2"/>
  <c r="M2335" i="2"/>
  <c r="M2331" i="2"/>
  <c r="M2327" i="2"/>
  <c r="M2323" i="2"/>
  <c r="M2319" i="2"/>
  <c r="M2315" i="2"/>
  <c r="M2311" i="2"/>
  <c r="M2307" i="2"/>
  <c r="M2303" i="2"/>
  <c r="Q2104" i="2"/>
  <c r="M2104" i="2"/>
  <c r="Q2413" i="2"/>
  <c r="M2413" i="2"/>
  <c r="M2291" i="2"/>
  <c r="Q7002" i="2"/>
  <c r="M7002" i="2"/>
  <c r="Q570" i="2"/>
  <c r="M570" i="2"/>
  <c r="Q6937" i="2"/>
  <c r="M6937" i="2"/>
  <c r="M2275" i="2"/>
  <c r="Q2271" i="2"/>
  <c r="M2271" i="2"/>
  <c r="Q764" i="2"/>
  <c r="M764" i="2"/>
  <c r="M2263" i="2"/>
  <c r="Q2259" i="2"/>
  <c r="M2259" i="2"/>
  <c r="Q2255" i="2"/>
  <c r="M2255" i="2"/>
  <c r="Q5102" i="2"/>
  <c r="M5102" i="2"/>
  <c r="M2976" i="2"/>
  <c r="Q2243" i="2"/>
  <c r="M2243" i="2"/>
  <c r="Q2239" i="2"/>
  <c r="M2239" i="2"/>
  <c r="Q2235" i="2"/>
  <c r="M2235" i="2"/>
  <c r="M4651" i="2"/>
  <c r="Q2227" i="2"/>
  <c r="M2227" i="2"/>
  <c r="M2223" i="2"/>
  <c r="Q2219" i="2"/>
  <c r="M2219" i="2"/>
  <c r="M2215" i="2"/>
  <c r="M2211" i="2"/>
  <c r="Q2207" i="2"/>
  <c r="M2207" i="2"/>
  <c r="Q2831" i="2"/>
  <c r="M2831" i="2"/>
  <c r="Q2199" i="2"/>
  <c r="M2199" i="2"/>
  <c r="M2195" i="2"/>
  <c r="M2191" i="2"/>
  <c r="M2187" i="2"/>
  <c r="M2183" i="2"/>
  <c r="M2179" i="2"/>
  <c r="Q1920" i="2"/>
  <c r="M1920" i="2"/>
  <c r="Q329" i="2"/>
  <c r="M329" i="2"/>
  <c r="M2399" i="2"/>
  <c r="Q2163" i="2"/>
  <c r="M2163" i="2"/>
  <c r="Q3808" i="2"/>
  <c r="M3808" i="2"/>
  <c r="Q2224" i="2"/>
  <c r="M2224" i="2"/>
  <c r="M2151" i="2"/>
  <c r="M2034" i="2"/>
  <c r="Q2143" i="2"/>
  <c r="M2143" i="2"/>
  <c r="M2139" i="2"/>
  <c r="Q2135" i="2"/>
  <c r="M2135" i="2"/>
  <c r="Q2131" i="2"/>
  <c r="M2131" i="2"/>
  <c r="M1425" i="2"/>
  <c r="Q2123" i="2"/>
  <c r="M2123" i="2"/>
  <c r="Q791" i="2"/>
  <c r="M791" i="2"/>
  <c r="M2115" i="2"/>
  <c r="M2111" i="2"/>
  <c r="Q3857" i="2"/>
  <c r="M3857" i="2"/>
  <c r="Q2103" i="2"/>
  <c r="M2103" i="2"/>
  <c r="M2099" i="2"/>
  <c r="Q2175" i="2"/>
  <c r="M2175" i="2"/>
  <c r="Q2091" i="2"/>
  <c r="M2091" i="2"/>
  <c r="M2087" i="2"/>
  <c r="Q5544" i="2"/>
  <c r="M5544" i="2"/>
  <c r="M2079" i="2"/>
  <c r="Q2075" i="2"/>
  <c r="M2075" i="2"/>
  <c r="Q2071" i="2"/>
  <c r="M2071" i="2"/>
  <c r="Q7222" i="2"/>
  <c r="M7222" i="2"/>
  <c r="M2063" i="2"/>
  <c r="M5878" i="2"/>
  <c r="M2055" i="2"/>
  <c r="M2051" i="2"/>
  <c r="Q2047" i="2"/>
  <c r="M2047" i="2"/>
  <c r="M2043" i="2"/>
  <c r="M2039" i="2"/>
  <c r="M2035" i="2"/>
  <c r="M2031" i="2"/>
  <c r="M2027" i="2"/>
  <c r="Q4865" i="2"/>
  <c r="M4865" i="2"/>
  <c r="M2019" i="2"/>
  <c r="Q2015" i="2"/>
  <c r="M2015" i="2"/>
  <c r="M2011" i="2"/>
  <c r="M2007" i="2"/>
  <c r="M2003" i="2"/>
  <c r="M1999" i="2"/>
  <c r="M5998" i="2"/>
  <c r="M1991" i="2"/>
  <c r="M1987" i="2"/>
  <c r="Q410" i="2"/>
  <c r="M410" i="2"/>
  <c r="Q3856" i="2"/>
  <c r="M3856" i="2"/>
  <c r="Q1975" i="2"/>
  <c r="M1975" i="2"/>
  <c r="Q3164" i="2"/>
  <c r="M3164" i="2"/>
  <c r="Q1112" i="2"/>
  <c r="M1112" i="2"/>
  <c r="Q1963" i="2"/>
  <c r="M1963" i="2"/>
  <c r="M1959" i="2"/>
  <c r="Q1955" i="2"/>
  <c r="M1955" i="2"/>
  <c r="M58" i="2"/>
  <c r="Q5818" i="2"/>
  <c r="M5818" i="2"/>
  <c r="Q1943" i="2"/>
  <c r="M1943" i="2"/>
  <c r="Q759" i="2"/>
  <c r="M759" i="2"/>
  <c r="M1935" i="2"/>
  <c r="M2856" i="2"/>
  <c r="Q2116" i="2"/>
  <c r="M2116" i="2"/>
  <c r="M1923" i="2"/>
  <c r="Q1919" i="2"/>
  <c r="M1919" i="2"/>
  <c r="Q1915" i="2"/>
  <c r="M1915" i="2"/>
  <c r="M256" i="2"/>
  <c r="Q2345" i="2"/>
  <c r="M2345" i="2"/>
  <c r="M1903" i="2"/>
  <c r="Q1899" i="2"/>
  <c r="M1899" i="2"/>
  <c r="Q3818" i="2"/>
  <c r="M3818" i="2"/>
  <c r="Q1891" i="2"/>
  <c r="M1891" i="2"/>
  <c r="M1887" i="2"/>
  <c r="Q1883" i="2"/>
  <c r="M1883" i="2"/>
  <c r="Q2975" i="2"/>
  <c r="M2975" i="2"/>
  <c r="M1875" i="2"/>
  <c r="Q1871" i="2"/>
  <c r="M1871" i="2"/>
  <c r="M2159" i="2"/>
  <c r="M1863" i="2"/>
  <c r="Q1859" i="2"/>
  <c r="M1859" i="2"/>
  <c r="Q1855" i="2"/>
  <c r="M1855" i="2"/>
  <c r="M1851" i="2"/>
  <c r="M1847" i="2"/>
  <c r="M1843" i="2"/>
  <c r="M1839" i="2"/>
  <c r="Q1097" i="2"/>
  <c r="M1097" i="2"/>
  <c r="M5030" i="2"/>
  <c r="M1827" i="2"/>
  <c r="Q1823" i="2"/>
  <c r="M1823" i="2"/>
  <c r="Q1819" i="2"/>
  <c r="M1819" i="2"/>
  <c r="Q1815" i="2"/>
  <c r="M1815" i="2"/>
  <c r="M1811" i="2"/>
  <c r="M4944" i="2"/>
  <c r="M1803" i="2"/>
  <c r="M1799" i="2"/>
  <c r="M1795" i="2"/>
  <c r="M1791" i="2"/>
  <c r="Q1787" i="2"/>
  <c r="M1787" i="2"/>
  <c r="M1783" i="2"/>
  <c r="Q1779" i="2"/>
  <c r="M1779" i="2"/>
  <c r="M1775" i="2"/>
  <c r="M1771" i="2"/>
  <c r="M1767" i="2"/>
  <c r="M1763" i="2"/>
  <c r="M1759" i="2"/>
  <c r="M1755" i="2"/>
  <c r="Q5563" i="2"/>
  <c r="M5563" i="2"/>
  <c r="Q1747" i="2"/>
  <c r="M1747" i="2"/>
  <c r="M1743" i="2"/>
  <c r="M1739" i="2"/>
  <c r="M1735" i="2"/>
  <c r="M1731" i="2"/>
  <c r="Q1727" i="2"/>
  <c r="M1727" i="2"/>
  <c r="M1723" i="2"/>
  <c r="M1719" i="2"/>
  <c r="M1715" i="2"/>
  <c r="M1711" i="2"/>
  <c r="M1707" i="2"/>
  <c r="Q1703" i="2"/>
  <c r="M1703" i="2"/>
  <c r="Q1699" i="2"/>
  <c r="M1699" i="2"/>
  <c r="M1695" i="2"/>
  <c r="M1691" i="2"/>
  <c r="M1687" i="2"/>
  <c r="Q1118" i="2"/>
  <c r="M1118" i="2"/>
  <c r="Q1679" i="2"/>
  <c r="M1679" i="2"/>
  <c r="Q1675" i="2"/>
  <c r="M1675" i="2"/>
  <c r="M1671" i="2"/>
  <c r="M1667" i="2"/>
  <c r="Q1663" i="2"/>
  <c r="M1663" i="2"/>
  <c r="Q1659" i="2"/>
  <c r="M1659" i="2"/>
  <c r="Q1655" i="2"/>
  <c r="M1655" i="2"/>
  <c r="M1651" i="2"/>
  <c r="M1647" i="2"/>
  <c r="M1643" i="2"/>
  <c r="M1639" i="2"/>
  <c r="M1635" i="2"/>
  <c r="M931" i="2"/>
  <c r="Q1627" i="2"/>
  <c r="M1627" i="2"/>
  <c r="M1623" i="2"/>
  <c r="Q3544" i="2"/>
  <c r="M3544" i="2"/>
  <c r="Q2220" i="2"/>
  <c r="M2220" i="2"/>
  <c r="M1611" i="2"/>
  <c r="M1607" i="2"/>
  <c r="Q1603" i="2"/>
  <c r="M1603" i="2"/>
  <c r="Q5644" i="2"/>
  <c r="M5644" i="2"/>
  <c r="Q1595" i="2"/>
  <c r="M1595" i="2"/>
  <c r="M1591" i="2"/>
  <c r="Q1587" i="2"/>
  <c r="M1587" i="2"/>
  <c r="M1583" i="2"/>
  <c r="M1579" i="2"/>
  <c r="M3786" i="2"/>
  <c r="Q1571" i="2"/>
  <c r="M1571" i="2"/>
  <c r="M1567" i="2"/>
  <c r="M1563" i="2"/>
  <c r="M1559" i="2"/>
  <c r="M1555" i="2"/>
  <c r="Q1551" i="2"/>
  <c r="M1551" i="2"/>
  <c r="Q5968" i="2"/>
  <c r="M5968" i="2"/>
  <c r="M1543" i="2"/>
  <c r="M6778" i="2"/>
  <c r="Q2130" i="2"/>
  <c r="M2130" i="2"/>
  <c r="Q1531" i="2"/>
  <c r="M1531" i="2"/>
  <c r="Q1527" i="2"/>
  <c r="M1527" i="2"/>
  <c r="M1523" i="2"/>
  <c r="M1519" i="2"/>
  <c r="M1515" i="2"/>
  <c r="Q1511" i="2"/>
  <c r="M1511" i="2"/>
  <c r="Q2920" i="2"/>
  <c r="M2920" i="2"/>
  <c r="M1503" i="2"/>
  <c r="Q1499" i="2"/>
  <c r="M1499" i="2"/>
  <c r="Q1495" i="2"/>
  <c r="M1495" i="2"/>
  <c r="Q3014" i="2"/>
  <c r="M3014" i="2"/>
  <c r="M1487" i="2"/>
  <c r="M1483" i="2"/>
  <c r="M1479" i="2"/>
  <c r="M1475" i="2"/>
  <c r="M1471" i="2"/>
  <c r="M1467" i="2"/>
  <c r="M1463" i="2"/>
  <c r="M1459" i="2"/>
  <c r="M1455" i="2"/>
  <c r="M1451" i="2"/>
  <c r="Q1447" i="2"/>
  <c r="M1447" i="2"/>
  <c r="Q1443" i="2"/>
  <c r="M1443" i="2"/>
  <c r="M1439" i="2"/>
  <c r="M1435" i="2"/>
  <c r="M1431" i="2"/>
  <c r="Q1420" i="2"/>
  <c r="M1420" i="2"/>
  <c r="Q1423" i="2"/>
  <c r="M1423" i="2"/>
  <c r="M1419" i="2"/>
  <c r="Q1452" i="2"/>
  <c r="M1452" i="2"/>
  <c r="M1411" i="2"/>
  <c r="Q2395" i="2"/>
  <c r="M2395" i="2"/>
  <c r="Q1403" i="2"/>
  <c r="M1403" i="2"/>
  <c r="M1399" i="2"/>
  <c r="Q1395" i="2"/>
  <c r="M1395" i="2"/>
  <c r="M1391" i="2"/>
  <c r="Q1387" i="2"/>
  <c r="M1387" i="2"/>
  <c r="Q1383" i="2"/>
  <c r="M1383" i="2"/>
  <c r="Q1379" i="2"/>
  <c r="M1379" i="2"/>
  <c r="Q44" i="2"/>
  <c r="M44" i="2"/>
  <c r="Q5133" i="2"/>
  <c r="M5133" i="2"/>
  <c r="M1367" i="2"/>
  <c r="Q4096" i="2"/>
  <c r="M4096" i="2"/>
  <c r="Q1359" i="2"/>
  <c r="M1359" i="2"/>
  <c r="M3811" i="2"/>
  <c r="M1351" i="2"/>
  <c r="M1347" i="2"/>
  <c r="M1343" i="2"/>
  <c r="M1339" i="2"/>
  <c r="Q1335" i="2"/>
  <c r="M1335" i="2"/>
  <c r="M1331" i="2"/>
  <c r="Q1327" i="2"/>
  <c r="M1327" i="2"/>
  <c r="M1323" i="2"/>
  <c r="M1319" i="2"/>
  <c r="M1315" i="2"/>
  <c r="M1311" i="2"/>
  <c r="M1307" i="2"/>
  <c r="Q7084" i="2"/>
  <c r="M7084" i="2"/>
  <c r="M1299" i="2"/>
  <c r="Q1295" i="2"/>
  <c r="M1295" i="2"/>
  <c r="Q1291" i="2"/>
  <c r="M1291" i="2"/>
  <c r="Q6001" i="2"/>
  <c r="M6001" i="2"/>
  <c r="M4630" i="2"/>
  <c r="Q5024" i="2"/>
  <c r="M5024" i="2"/>
  <c r="Q7017" i="2"/>
  <c r="M7017" i="2"/>
  <c r="Q1271" i="2"/>
  <c r="M1271" i="2"/>
  <c r="Q1267" i="2"/>
  <c r="M1267" i="2"/>
  <c r="Q1263" i="2"/>
  <c r="M1263" i="2"/>
  <c r="M1259" i="2"/>
  <c r="Q1255" i="2"/>
  <c r="M1255" i="2"/>
  <c r="M1251" i="2"/>
  <c r="M1247" i="2"/>
  <c r="Q1243" i="2"/>
  <c r="M1243" i="2"/>
  <c r="M1239" i="2"/>
  <c r="Q1235" i="2"/>
  <c r="M1235" i="2"/>
  <c r="Q2906" i="2"/>
  <c r="M2906" i="2"/>
  <c r="Q1227" i="2"/>
  <c r="M1227" i="2"/>
  <c r="M1223" i="2"/>
  <c r="M1219" i="2"/>
  <c r="Q1215" i="2"/>
  <c r="M1215" i="2"/>
  <c r="Q1211" i="2"/>
  <c r="M1211" i="2"/>
  <c r="Q1207" i="2"/>
  <c r="M1207" i="2"/>
  <c r="M1203" i="2"/>
  <c r="Q2061" i="2"/>
  <c r="M2061" i="2"/>
  <c r="Q1195" i="2"/>
  <c r="M1195" i="2"/>
  <c r="M1191" i="2"/>
  <c r="Q6836" i="2"/>
  <c r="M6836" i="2"/>
  <c r="Q1183" i="2"/>
  <c r="M1183" i="2"/>
  <c r="M1179" i="2"/>
  <c r="Q1175" i="2"/>
  <c r="M1175" i="2"/>
  <c r="Q3661" i="2"/>
  <c r="M3661" i="2"/>
  <c r="Q1167" i="2"/>
  <c r="M1167" i="2"/>
  <c r="M1163" i="2"/>
  <c r="Q2535" i="2"/>
  <c r="M2535" i="2"/>
  <c r="M1155" i="2"/>
  <c r="Q4874" i="2"/>
  <c r="M4874" i="2"/>
  <c r="Q1147" i="2"/>
  <c r="M1147" i="2"/>
  <c r="M1143" i="2"/>
  <c r="M1139" i="2"/>
  <c r="Q6885" i="2"/>
  <c r="M6885" i="2"/>
  <c r="M1131" i="2"/>
  <c r="M1127" i="2"/>
  <c r="M1123" i="2"/>
  <c r="Q1119" i="2"/>
  <c r="M1119" i="2"/>
  <c r="Q3165" i="2"/>
  <c r="M3165" i="2"/>
  <c r="M633" i="2"/>
  <c r="Q1107" i="2"/>
  <c r="M1107" i="2"/>
  <c r="Q1115" i="2"/>
  <c r="M1115" i="2"/>
  <c r="Q1099" i="2"/>
  <c r="M1099" i="2"/>
  <c r="Q5879" i="2"/>
  <c r="M5879" i="2"/>
  <c r="Q1091" i="2"/>
  <c r="M1091" i="2"/>
  <c r="M1087" i="2"/>
  <c r="Q5966" i="2"/>
  <c r="M5966" i="2"/>
  <c r="M1079" i="2"/>
  <c r="Q2645" i="2"/>
  <c r="M2645" i="2"/>
  <c r="M964" i="2"/>
  <c r="Q5911" i="2"/>
  <c r="M5911" i="2"/>
  <c r="M1063" i="2"/>
  <c r="Q1059" i="2"/>
  <c r="M1059" i="2"/>
  <c r="M1055" i="2"/>
  <c r="Q1051" i="2"/>
  <c r="M1051" i="2"/>
  <c r="M247" i="2"/>
  <c r="Q1043" i="2"/>
  <c r="M1043" i="2"/>
  <c r="Q2300" i="2"/>
  <c r="M2300" i="2"/>
  <c r="Q1035" i="2"/>
  <c r="M1035" i="2"/>
  <c r="M1031" i="2"/>
  <c r="Q985" i="2"/>
  <c r="M985" i="2"/>
  <c r="Q3666" i="2"/>
  <c r="M3666" i="2"/>
  <c r="Q1019" i="2"/>
  <c r="M1019" i="2"/>
  <c r="M1015" i="2"/>
  <c r="M1011" i="2"/>
  <c r="Q1007" i="2"/>
  <c r="M1007" i="2"/>
  <c r="M1003" i="2"/>
  <c r="M999" i="2"/>
  <c r="Q995" i="2"/>
  <c r="M995" i="2"/>
  <c r="Q991" i="2"/>
  <c r="M991" i="2"/>
  <c r="Q987" i="2"/>
  <c r="M987" i="2"/>
  <c r="M983" i="2"/>
  <c r="M979" i="2"/>
  <c r="Q975" i="2"/>
  <c r="M975" i="2"/>
  <c r="M971" i="2"/>
  <c r="Q5929" i="2"/>
  <c r="M5929" i="2"/>
  <c r="Q5618" i="2"/>
  <c r="M5618" i="2"/>
  <c r="M959" i="2"/>
  <c r="Q955" i="2"/>
  <c r="M955" i="2"/>
  <c r="Q951" i="2"/>
  <c r="M951" i="2"/>
  <c r="M947" i="2"/>
  <c r="M943" i="2"/>
  <c r="Q4678" i="2"/>
  <c r="M4678" i="2"/>
  <c r="M935" i="2"/>
  <c r="Q5625" i="2"/>
  <c r="M5625" i="2"/>
  <c r="M927" i="2"/>
  <c r="Q923" i="2"/>
  <c r="M923" i="2"/>
  <c r="M919" i="2"/>
  <c r="M915" i="2"/>
  <c r="M911" i="2"/>
  <c r="Q4812" i="2"/>
  <c r="M4812" i="2"/>
  <c r="Q4471" i="2"/>
  <c r="M4471" i="2"/>
  <c r="M899" i="2"/>
  <c r="M895" i="2"/>
  <c r="Q656" i="2"/>
  <c r="M656" i="2"/>
  <c r="M887" i="2"/>
  <c r="Q883" i="2"/>
  <c r="M883" i="2"/>
  <c r="Q879" i="2"/>
  <c r="M879" i="2"/>
  <c r="M875" i="2"/>
  <c r="M871" i="2"/>
  <c r="M867" i="2"/>
  <c r="M863" i="2"/>
  <c r="M859" i="2"/>
  <c r="M855" i="2"/>
  <c r="Q851" i="2"/>
  <c r="M851" i="2"/>
  <c r="M847" i="2"/>
  <c r="Q843" i="2"/>
  <c r="M843" i="2"/>
  <c r="Q839" i="2"/>
  <c r="M839" i="2"/>
  <c r="M835" i="2"/>
  <c r="M831" i="2"/>
  <c r="Q827" i="2"/>
  <c r="M827" i="2"/>
  <c r="Q3475" i="2"/>
  <c r="M3475" i="2"/>
  <c r="Q1910" i="2"/>
  <c r="M1910" i="2"/>
  <c r="M815" i="2"/>
  <c r="M811" i="2"/>
  <c r="Q807" i="2"/>
  <c r="M807" i="2"/>
  <c r="Q803" i="2"/>
  <c r="M803" i="2"/>
  <c r="Q799" i="2"/>
  <c r="M799" i="2"/>
  <c r="Q1054" i="2"/>
  <c r="M1054" i="2"/>
  <c r="Q1931" i="2"/>
  <c r="M1931" i="2"/>
  <c r="Q787" i="2"/>
  <c r="M787" i="2"/>
  <c r="M783" i="2"/>
  <c r="M779" i="2"/>
  <c r="M775" i="2"/>
  <c r="Q536" i="2"/>
  <c r="M536" i="2"/>
  <c r="M767" i="2"/>
  <c r="Q763" i="2"/>
  <c r="M763" i="2"/>
  <c r="Q1979" i="2"/>
  <c r="M1979" i="2"/>
  <c r="M755" i="2"/>
  <c r="M751" i="2"/>
  <c r="Q5928" i="2"/>
  <c r="M5928" i="2"/>
  <c r="M2157" i="2"/>
  <c r="Q739" i="2"/>
  <c r="M739" i="2"/>
  <c r="M735" i="2"/>
  <c r="M731" i="2"/>
  <c r="M727" i="2"/>
  <c r="M723" i="2"/>
  <c r="Q719" i="2"/>
  <c r="M719" i="2"/>
  <c r="M715" i="2"/>
  <c r="M711" i="2"/>
  <c r="M707" i="2"/>
  <c r="M703" i="2"/>
  <c r="Q3202" i="2"/>
  <c r="M3202" i="2"/>
  <c r="M3452" i="2"/>
  <c r="Q691" i="2"/>
  <c r="M691" i="2"/>
  <c r="Q687" i="2"/>
  <c r="M687" i="2"/>
  <c r="M683" i="2"/>
  <c r="Q5584" i="2"/>
  <c r="M5584" i="2"/>
  <c r="Q37" i="2"/>
  <c r="M37" i="2"/>
  <c r="Q671" i="2"/>
  <c r="M671" i="2"/>
  <c r="M667" i="2"/>
  <c r="Q4085" i="2"/>
  <c r="M4085" i="2"/>
  <c r="Q659" i="2"/>
  <c r="M659" i="2"/>
  <c r="M5583" i="2"/>
  <c r="Q3041" i="2"/>
  <c r="M3041" i="2"/>
  <c r="Q647" i="2"/>
  <c r="M647" i="2"/>
  <c r="Q643" i="2"/>
  <c r="M643" i="2"/>
  <c r="M639" i="2"/>
  <c r="M635" i="2"/>
  <c r="M631" i="2"/>
  <c r="M627" i="2"/>
  <c r="M623" i="2"/>
  <c r="Q619" i="2"/>
  <c r="M619" i="2"/>
  <c r="M615" i="2"/>
  <c r="M611" i="2"/>
  <c r="Q607" i="2"/>
  <c r="M607" i="2"/>
  <c r="M603" i="2"/>
  <c r="M599" i="2"/>
  <c r="M595" i="2"/>
  <c r="Q591" i="2"/>
  <c r="M591" i="2"/>
  <c r="M587" i="2"/>
  <c r="Q362" i="2"/>
  <c r="M362" i="2"/>
  <c r="Q3449" i="2"/>
  <c r="M3449" i="2"/>
  <c r="Q575" i="2"/>
  <c r="M575" i="2"/>
  <c r="M571" i="2"/>
  <c r="Q567" i="2"/>
  <c r="M567" i="2"/>
  <c r="Q563" i="2"/>
  <c r="M563" i="2"/>
  <c r="M559" i="2"/>
  <c r="Q6708" i="2"/>
  <c r="M6708" i="2"/>
  <c r="Q551" i="2"/>
  <c r="M551" i="2"/>
  <c r="M547" i="2"/>
  <c r="Q543" i="2"/>
  <c r="M543" i="2"/>
  <c r="Q539" i="2"/>
  <c r="M539" i="2"/>
  <c r="Q6442" i="2"/>
  <c r="M6442" i="2"/>
  <c r="M6539" i="2"/>
  <c r="Q6578" i="2"/>
  <c r="M6578" i="2"/>
  <c r="Q3680" i="2"/>
  <c r="M3680" i="2"/>
  <c r="Q519" i="2"/>
  <c r="M519" i="2"/>
  <c r="M515" i="2"/>
  <c r="M511" i="2"/>
  <c r="Q394" i="2"/>
  <c r="M394" i="2"/>
  <c r="M503" i="2"/>
  <c r="Q499" i="2"/>
  <c r="M499" i="2"/>
  <c r="M495" i="2"/>
  <c r="M491" i="2"/>
  <c r="M487" i="2"/>
  <c r="Q2056" i="2"/>
  <c r="M2056" i="2"/>
  <c r="Q479" i="2"/>
  <c r="M479" i="2"/>
  <c r="M475" i="2"/>
  <c r="M471" i="2"/>
  <c r="M467" i="2"/>
  <c r="Q1026" i="2"/>
  <c r="M1026" i="2"/>
  <c r="M459" i="2"/>
  <c r="M455" i="2"/>
  <c r="Q451" i="2"/>
  <c r="M451" i="2"/>
  <c r="Q4845" i="2"/>
  <c r="M4845" i="2"/>
  <c r="M443" i="2"/>
  <c r="M3432" i="2"/>
  <c r="Q435" i="2"/>
  <c r="M435" i="2"/>
  <c r="Q431" i="2"/>
  <c r="M431" i="2"/>
  <c r="Q427" i="2"/>
  <c r="M427" i="2"/>
  <c r="M2341" i="2"/>
  <c r="M419" i="2"/>
  <c r="Q1622" i="2"/>
  <c r="M1622" i="2"/>
  <c r="Q6707" i="2"/>
  <c r="M6707" i="2"/>
  <c r="Q4053" i="2"/>
  <c r="M4053" i="2"/>
  <c r="M403" i="2"/>
  <c r="Q399" i="2"/>
  <c r="M399" i="2"/>
  <c r="Q395" i="2"/>
  <c r="M395" i="2"/>
  <c r="Q3174" i="2"/>
  <c r="M3174" i="2"/>
  <c r="M387" i="2"/>
  <c r="M383" i="2"/>
  <c r="Q379" i="2"/>
  <c r="M379" i="2"/>
  <c r="Q375" i="2"/>
  <c r="M375" i="2"/>
  <c r="Q4043" i="2"/>
  <c r="M4043" i="2"/>
  <c r="M367" i="2"/>
  <c r="Q363" i="2"/>
  <c r="M363" i="2"/>
  <c r="M359" i="2"/>
  <c r="M355" i="2"/>
  <c r="M351" i="2"/>
  <c r="Q347" i="2"/>
  <c r="M347" i="2"/>
  <c r="Q343" i="2"/>
  <c r="M343" i="2"/>
  <c r="Q339" i="2"/>
  <c r="M339" i="2"/>
  <c r="M335" i="2"/>
  <c r="M331" i="2"/>
  <c r="M327" i="2"/>
  <c r="M323" i="2"/>
  <c r="Q319" i="2"/>
  <c r="M319" i="2"/>
  <c r="Q6750" i="2"/>
  <c r="M6750" i="2"/>
  <c r="Q311" i="2"/>
  <c r="M311" i="2"/>
  <c r="M307" i="2"/>
  <c r="M2851" i="2"/>
  <c r="Q5337" i="2"/>
  <c r="M5337" i="2"/>
  <c r="M295" i="2"/>
  <c r="M291" i="2"/>
  <c r="Q287" i="2"/>
  <c r="M287" i="2"/>
  <c r="M283" i="2"/>
  <c r="M279" i="2"/>
  <c r="M275" i="2"/>
  <c r="M271" i="2"/>
  <c r="M267" i="2"/>
  <c r="M263" i="2"/>
  <c r="M259" i="2"/>
  <c r="M255" i="2"/>
  <c r="Q6771" i="2"/>
  <c r="M6771" i="2"/>
  <c r="Q5965" i="2"/>
  <c r="M5965" i="2"/>
  <c r="Q243" i="2"/>
  <c r="M243" i="2"/>
  <c r="Q3418" i="2"/>
  <c r="M3418" i="2"/>
  <c r="Q1364" i="2"/>
  <c r="M1364" i="2"/>
  <c r="M231" i="2"/>
  <c r="Q6769" i="2"/>
  <c r="M6769" i="2"/>
  <c r="Q1113" i="2"/>
  <c r="M1113" i="2"/>
  <c r="M219" i="2"/>
  <c r="Q215" i="2"/>
  <c r="M215" i="2"/>
  <c r="M211" i="2"/>
  <c r="Q6177" i="2"/>
  <c r="M6177" i="2"/>
  <c r="Q4640" i="2"/>
  <c r="M4640" i="2"/>
  <c r="Q1585" i="2"/>
  <c r="M1585" i="2"/>
  <c r="M5161" i="2"/>
  <c r="M191" i="2"/>
  <c r="M187" i="2"/>
  <c r="M183" i="2"/>
  <c r="Q3705" i="2"/>
  <c r="M3705" i="2"/>
  <c r="Q2320" i="2"/>
  <c r="M2320" i="2"/>
  <c r="Q171" i="2"/>
  <c r="M171" i="2"/>
  <c r="Q4579" i="2"/>
  <c r="M4579" i="2"/>
  <c r="Q163" i="2"/>
  <c r="M163" i="2"/>
  <c r="Q159" i="2"/>
  <c r="M159" i="2"/>
  <c r="M155" i="2"/>
  <c r="M151" i="2"/>
  <c r="Q147" i="2"/>
  <c r="M147" i="2"/>
  <c r="M6914" i="2"/>
  <c r="Q3037" i="2"/>
  <c r="M3037" i="2"/>
  <c r="Q7101" i="2"/>
  <c r="M7101" i="2"/>
  <c r="M131" i="2"/>
  <c r="Q5978" i="2"/>
  <c r="M5978" i="2"/>
  <c r="M123" i="2"/>
  <c r="Q119" i="2"/>
  <c r="M119" i="2"/>
  <c r="M115" i="2"/>
  <c r="Q1970" i="2"/>
  <c r="M1970" i="2"/>
  <c r="Q107" i="2"/>
  <c r="M107" i="2"/>
  <c r="M103" i="2"/>
  <c r="Q99" i="2"/>
  <c r="M99" i="2"/>
  <c r="M95" i="2"/>
  <c r="Q324" i="2"/>
  <c r="M324" i="2"/>
  <c r="M87" i="2"/>
  <c r="Q83" i="2"/>
  <c r="M83" i="2"/>
  <c r="Q535" i="2"/>
  <c r="M535" i="2"/>
  <c r="Q4084" i="2"/>
  <c r="M4084" i="2"/>
  <c r="Q6531" i="2"/>
  <c r="M6531" i="2"/>
  <c r="M67" i="2"/>
  <c r="Q63" i="2"/>
  <c r="M63" i="2"/>
  <c r="M59" i="2"/>
  <c r="M55" i="2"/>
  <c r="M51" i="2"/>
  <c r="M7146" i="2"/>
  <c r="Q2403" i="2"/>
  <c r="M2403" i="2"/>
  <c r="Q7" i="2"/>
  <c r="M7" i="2"/>
  <c r="Q35" i="2"/>
  <c r="M35" i="2"/>
  <c r="M31" i="2"/>
  <c r="M27" i="2"/>
  <c r="M23" i="2"/>
  <c r="M19" i="2"/>
  <c r="M15" i="2"/>
  <c r="M11" i="2"/>
  <c r="Q802" i="2"/>
  <c r="M802" i="2"/>
  <c r="Q3" i="2"/>
  <c r="M3" i="2"/>
  <c r="O9997" i="2"/>
  <c r="M9997" i="2"/>
  <c r="O9993" i="2"/>
  <c r="M9993" i="2"/>
  <c r="O9989" i="2"/>
  <c r="M9989" i="2"/>
  <c r="O9985" i="2"/>
  <c r="M9985" i="2"/>
  <c r="O9981" i="2"/>
  <c r="M9981" i="2"/>
  <c r="O9977" i="2"/>
  <c r="M9977" i="2"/>
  <c r="O9973" i="2"/>
  <c r="M9973" i="2"/>
  <c r="O9969" i="2"/>
  <c r="M9969" i="2"/>
  <c r="O9965" i="2"/>
  <c r="M9965" i="2"/>
  <c r="O9961" i="2"/>
  <c r="M9961" i="2"/>
  <c r="O9957" i="2"/>
  <c r="M9957" i="2"/>
  <c r="O9953" i="2"/>
  <c r="M9953" i="2"/>
  <c r="O9949" i="2"/>
  <c r="M9949" i="2"/>
  <c r="O9945" i="2"/>
  <c r="M9945" i="2"/>
  <c r="O9941" i="2"/>
  <c r="M9941" i="2"/>
  <c r="O9937" i="2"/>
  <c r="M9937" i="2"/>
  <c r="O9933" i="2"/>
  <c r="M9933" i="2"/>
  <c r="O9929" i="2"/>
  <c r="M9929" i="2"/>
  <c r="O9925" i="2"/>
  <c r="M9925" i="2"/>
  <c r="O9921" i="2"/>
  <c r="M9921" i="2"/>
  <c r="O9917" i="2"/>
  <c r="M9917" i="2"/>
  <c r="O9913" i="2"/>
  <c r="M9913" i="2"/>
  <c r="O9909" i="2"/>
  <c r="M9909" i="2"/>
  <c r="O9905" i="2"/>
  <c r="M9905" i="2"/>
  <c r="O9901" i="2"/>
  <c r="M9901" i="2"/>
  <c r="O9897" i="2"/>
  <c r="M9897" i="2"/>
  <c r="O9893" i="2"/>
  <c r="M9893" i="2"/>
  <c r="O9889" i="2"/>
  <c r="M9889" i="2"/>
  <c r="O9885" i="2"/>
  <c r="M9885" i="2"/>
  <c r="O9881" i="2"/>
  <c r="M9881" i="2"/>
  <c r="O9877" i="2"/>
  <c r="M9877" i="2"/>
  <c r="O9873" i="2"/>
  <c r="M9873" i="2"/>
  <c r="O9869" i="2"/>
  <c r="M9869" i="2"/>
  <c r="O9865" i="2"/>
  <c r="M9865" i="2"/>
  <c r="O9861" i="2"/>
  <c r="M9861" i="2"/>
  <c r="O9857" i="2"/>
  <c r="M9857" i="2"/>
  <c r="O9853" i="2"/>
  <c r="M9853" i="2"/>
  <c r="O9849" i="2"/>
  <c r="M9849" i="2"/>
  <c r="O9845" i="2"/>
  <c r="M9845" i="2"/>
  <c r="O9841" i="2"/>
  <c r="M9841" i="2"/>
  <c r="O9837" i="2"/>
  <c r="M9837" i="2"/>
  <c r="O9833" i="2"/>
  <c r="M9833" i="2"/>
  <c r="O9829" i="2"/>
  <c r="M9829" i="2"/>
  <c r="O9825" i="2"/>
  <c r="M9825" i="2"/>
  <c r="O9821" i="2"/>
  <c r="M9821" i="2"/>
  <c r="O9817" i="2"/>
  <c r="M9817" i="2"/>
  <c r="O9813" i="2"/>
  <c r="M9813" i="2"/>
  <c r="O9809" i="2"/>
  <c r="M9809" i="2"/>
  <c r="O9805" i="2"/>
  <c r="M9805" i="2"/>
  <c r="O9801" i="2"/>
  <c r="M9801" i="2"/>
  <c r="O9797" i="2"/>
  <c r="M9797" i="2"/>
  <c r="O9793" i="2"/>
  <c r="M9793" i="2"/>
  <c r="O9789" i="2"/>
  <c r="M9789" i="2"/>
  <c r="O9785" i="2"/>
  <c r="M9785" i="2"/>
  <c r="O9781" i="2"/>
  <c r="M9781" i="2"/>
  <c r="O9777" i="2"/>
  <c r="M9777" i="2"/>
  <c r="O9773" i="2"/>
  <c r="M9773" i="2"/>
  <c r="O9769" i="2"/>
  <c r="M9769" i="2"/>
  <c r="O9765" i="2"/>
  <c r="M9765" i="2"/>
  <c r="O9761" i="2"/>
  <c r="M9761" i="2"/>
  <c r="O9757" i="2"/>
  <c r="M9757" i="2"/>
  <c r="O9753" i="2"/>
  <c r="M9753" i="2"/>
  <c r="O9749" i="2"/>
  <c r="M9749" i="2"/>
  <c r="O9745" i="2"/>
  <c r="M9745" i="2"/>
  <c r="O9741" i="2"/>
  <c r="M9741" i="2"/>
  <c r="O9737" i="2"/>
  <c r="M9737" i="2"/>
  <c r="O9733" i="2"/>
  <c r="M9733" i="2"/>
  <c r="O9729" i="2"/>
  <c r="M9729" i="2"/>
  <c r="O9725" i="2"/>
  <c r="M9725" i="2"/>
  <c r="O9721" i="2"/>
  <c r="M9721" i="2"/>
  <c r="O9717" i="2"/>
  <c r="M9717" i="2"/>
  <c r="O9713" i="2"/>
  <c r="M9713" i="2"/>
  <c r="O9709" i="2"/>
  <c r="M9709" i="2"/>
  <c r="O9705" i="2"/>
  <c r="M9705" i="2"/>
  <c r="O9701" i="2"/>
  <c r="M9701" i="2"/>
  <c r="O9697" i="2"/>
  <c r="M9697" i="2"/>
  <c r="O9693" i="2"/>
  <c r="M9693" i="2"/>
  <c r="O9689" i="2"/>
  <c r="M9689" i="2"/>
  <c r="O9685" i="2"/>
  <c r="M9685" i="2"/>
  <c r="O9681" i="2"/>
  <c r="M9681" i="2"/>
  <c r="O9677" i="2"/>
  <c r="M9677" i="2"/>
  <c r="O9673" i="2"/>
  <c r="M9673" i="2"/>
  <c r="O9669" i="2"/>
  <c r="M9669" i="2"/>
  <c r="O9665" i="2"/>
  <c r="M9665" i="2"/>
  <c r="O9661" i="2"/>
  <c r="M9661" i="2"/>
  <c r="O9657" i="2"/>
  <c r="M9657" i="2"/>
  <c r="O9653" i="2"/>
  <c r="M9653" i="2"/>
  <c r="O9649" i="2"/>
  <c r="M9649" i="2"/>
  <c r="O9645" i="2"/>
  <c r="M9645" i="2"/>
  <c r="O9641" i="2"/>
  <c r="M9641" i="2"/>
  <c r="O9637" i="2"/>
  <c r="M9637" i="2"/>
  <c r="O9633" i="2"/>
  <c r="M9633" i="2"/>
  <c r="O9629" i="2"/>
  <c r="M9629" i="2"/>
  <c r="O9625" i="2"/>
  <c r="M9625" i="2"/>
  <c r="O9621" i="2"/>
  <c r="M9621" i="2"/>
  <c r="O9617" i="2"/>
  <c r="M9617" i="2"/>
  <c r="O9613" i="2"/>
  <c r="M9613" i="2"/>
  <c r="O9609" i="2"/>
  <c r="M9609" i="2"/>
  <c r="O9605" i="2"/>
  <c r="M9605" i="2"/>
  <c r="O9601" i="2"/>
  <c r="M9601" i="2"/>
  <c r="O9597" i="2"/>
  <c r="M9597" i="2"/>
  <c r="O9593" i="2"/>
  <c r="M9593" i="2"/>
  <c r="O9589" i="2"/>
  <c r="M9589" i="2"/>
  <c r="O9585" i="2"/>
  <c r="M9585" i="2"/>
  <c r="O9581" i="2"/>
  <c r="M9581" i="2"/>
  <c r="O9577" i="2"/>
  <c r="M9577" i="2"/>
  <c r="O9573" i="2"/>
  <c r="M9573" i="2"/>
  <c r="O9569" i="2"/>
  <c r="M9569" i="2"/>
  <c r="O9565" i="2"/>
  <c r="M9565" i="2"/>
  <c r="O9561" i="2"/>
  <c r="M9561" i="2"/>
  <c r="O9557" i="2"/>
  <c r="M9557" i="2"/>
  <c r="O9553" i="2"/>
  <c r="M9553" i="2"/>
  <c r="O9549" i="2"/>
  <c r="M9549" i="2"/>
  <c r="O9545" i="2"/>
  <c r="M9545" i="2"/>
  <c r="O9541" i="2"/>
  <c r="M9541" i="2"/>
  <c r="O9537" i="2"/>
  <c r="M9537" i="2"/>
  <c r="O9533" i="2"/>
  <c r="M9533" i="2"/>
  <c r="O9529" i="2"/>
  <c r="M9529" i="2"/>
  <c r="O9525" i="2"/>
  <c r="M9525" i="2"/>
  <c r="O9521" i="2"/>
  <c r="M9521" i="2"/>
  <c r="O9517" i="2"/>
  <c r="M9517" i="2"/>
  <c r="O9513" i="2"/>
  <c r="M9513" i="2"/>
  <c r="O9509" i="2"/>
  <c r="M9509" i="2"/>
  <c r="O9505" i="2"/>
  <c r="M9505" i="2"/>
  <c r="O9501" i="2"/>
  <c r="M9501" i="2"/>
  <c r="O9497" i="2"/>
  <c r="M9497" i="2"/>
  <c r="O9493" i="2"/>
  <c r="M9493" i="2"/>
  <c r="O9489" i="2"/>
  <c r="M9489" i="2"/>
  <c r="O9485" i="2"/>
  <c r="M9485" i="2"/>
  <c r="O9481" i="2"/>
  <c r="M9481" i="2"/>
  <c r="O9477" i="2"/>
  <c r="M9477" i="2"/>
  <c r="O9473" i="2"/>
  <c r="M9473" i="2"/>
  <c r="O9469" i="2"/>
  <c r="M9469" i="2"/>
  <c r="O9465" i="2"/>
  <c r="M9465" i="2"/>
  <c r="O9461" i="2"/>
  <c r="M9461" i="2"/>
  <c r="O9457" i="2"/>
  <c r="M9457" i="2"/>
  <c r="O9453" i="2"/>
  <c r="M9453" i="2"/>
  <c r="O9449" i="2"/>
  <c r="M9449" i="2"/>
  <c r="O9445" i="2"/>
  <c r="M9445" i="2"/>
  <c r="O9441" i="2"/>
  <c r="M9441" i="2"/>
  <c r="O9437" i="2"/>
  <c r="M9437" i="2"/>
  <c r="O9433" i="2"/>
  <c r="M9433" i="2"/>
  <c r="O9429" i="2"/>
  <c r="M9429" i="2"/>
  <c r="O9425" i="2"/>
  <c r="M9425" i="2"/>
  <c r="O9421" i="2"/>
  <c r="M9421" i="2"/>
  <c r="O9417" i="2"/>
  <c r="M9417" i="2"/>
  <c r="O9413" i="2"/>
  <c r="M9413" i="2"/>
  <c r="O9409" i="2"/>
  <c r="M9409" i="2"/>
  <c r="O9405" i="2"/>
  <c r="M9405" i="2"/>
  <c r="O9401" i="2"/>
  <c r="M9401" i="2"/>
  <c r="O9397" i="2"/>
  <c r="M9397" i="2"/>
  <c r="O9393" i="2"/>
  <c r="M9393" i="2"/>
  <c r="O9389" i="2"/>
  <c r="M9389" i="2"/>
  <c r="O9385" i="2"/>
  <c r="M9385" i="2"/>
  <c r="O9381" i="2"/>
  <c r="M9381" i="2"/>
  <c r="O9377" i="2"/>
  <c r="M9377" i="2"/>
  <c r="O9373" i="2"/>
  <c r="M9373" i="2"/>
  <c r="O9369" i="2"/>
  <c r="M9369" i="2"/>
  <c r="O9365" i="2"/>
  <c r="M9365" i="2"/>
  <c r="O9361" i="2"/>
  <c r="M9361" i="2"/>
  <c r="O9357" i="2"/>
  <c r="M9357" i="2"/>
  <c r="O9353" i="2"/>
  <c r="M9353" i="2"/>
  <c r="O9349" i="2"/>
  <c r="M9349" i="2"/>
  <c r="O9345" i="2"/>
  <c r="M9345" i="2"/>
  <c r="O9341" i="2"/>
  <c r="M9341" i="2"/>
  <c r="O9337" i="2"/>
  <c r="M9337" i="2"/>
  <c r="O9333" i="2"/>
  <c r="M9333" i="2"/>
  <c r="O9329" i="2"/>
  <c r="M9329" i="2"/>
  <c r="O9325" i="2"/>
  <c r="M9325" i="2"/>
  <c r="O9321" i="2"/>
  <c r="M9321" i="2"/>
  <c r="O9317" i="2"/>
  <c r="M9317" i="2"/>
  <c r="O9313" i="2"/>
  <c r="M9313" i="2"/>
  <c r="O9309" i="2"/>
  <c r="M9309" i="2"/>
  <c r="O9305" i="2"/>
  <c r="M9305" i="2"/>
  <c r="O9301" i="2"/>
  <c r="M9301" i="2"/>
  <c r="O9297" i="2"/>
  <c r="M9297" i="2"/>
  <c r="O9293" i="2"/>
  <c r="M9293" i="2"/>
  <c r="O9289" i="2"/>
  <c r="M9289" i="2"/>
  <c r="O9285" i="2"/>
  <c r="M9285" i="2"/>
  <c r="O9281" i="2"/>
  <c r="M9281" i="2"/>
  <c r="O9277" i="2"/>
  <c r="M9277" i="2"/>
  <c r="O9273" i="2"/>
  <c r="M9273" i="2"/>
  <c r="O9269" i="2"/>
  <c r="M9269" i="2"/>
  <c r="O9265" i="2"/>
  <c r="M9265" i="2"/>
  <c r="O9261" i="2"/>
  <c r="M9261" i="2"/>
  <c r="O9257" i="2"/>
  <c r="M9257" i="2"/>
  <c r="O9253" i="2"/>
  <c r="M9253" i="2"/>
  <c r="O9249" i="2"/>
  <c r="M9249" i="2"/>
  <c r="O9245" i="2"/>
  <c r="M9245" i="2"/>
  <c r="O9241" i="2"/>
  <c r="M9241" i="2"/>
  <c r="O9237" i="2"/>
  <c r="M9237" i="2"/>
  <c r="O9233" i="2"/>
  <c r="M9233" i="2"/>
  <c r="O9229" i="2"/>
  <c r="M9229" i="2"/>
  <c r="O9225" i="2"/>
  <c r="M9225" i="2"/>
  <c r="O9221" i="2"/>
  <c r="M9221" i="2"/>
  <c r="O9217" i="2"/>
  <c r="M9217" i="2"/>
  <c r="O9213" i="2"/>
  <c r="M9213" i="2"/>
  <c r="O9209" i="2"/>
  <c r="M9209" i="2"/>
  <c r="O9205" i="2"/>
  <c r="M9205" i="2"/>
  <c r="O9201" i="2"/>
  <c r="M9201" i="2"/>
  <c r="O9197" i="2"/>
  <c r="M9197" i="2"/>
  <c r="O9193" i="2"/>
  <c r="M9193" i="2"/>
  <c r="O9189" i="2"/>
  <c r="M9189" i="2"/>
  <c r="O9185" i="2"/>
  <c r="M9185" i="2"/>
  <c r="O9181" i="2"/>
  <c r="M9181" i="2"/>
  <c r="O9177" i="2"/>
  <c r="M9177" i="2"/>
  <c r="O9173" i="2"/>
  <c r="M9173" i="2"/>
  <c r="O9169" i="2"/>
  <c r="M9169" i="2"/>
  <c r="O9165" i="2"/>
  <c r="M9165" i="2"/>
  <c r="O9161" i="2"/>
  <c r="M9161" i="2"/>
  <c r="O9157" i="2"/>
  <c r="M9157" i="2"/>
  <c r="O9153" i="2"/>
  <c r="M9153" i="2"/>
  <c r="O9149" i="2"/>
  <c r="M9149" i="2"/>
  <c r="O9145" i="2"/>
  <c r="M9145" i="2"/>
  <c r="O9141" i="2"/>
  <c r="M9141" i="2"/>
  <c r="O9137" i="2"/>
  <c r="M9137" i="2"/>
  <c r="O9133" i="2"/>
  <c r="M9133" i="2"/>
  <c r="O9129" i="2"/>
  <c r="M9129" i="2"/>
  <c r="O9125" i="2"/>
  <c r="M9125" i="2"/>
  <c r="O9121" i="2"/>
  <c r="M9121" i="2"/>
  <c r="O9117" i="2"/>
  <c r="M9117" i="2"/>
  <c r="O9113" i="2"/>
  <c r="M9113" i="2"/>
  <c r="O9109" i="2"/>
  <c r="M9109" i="2"/>
  <c r="O9105" i="2"/>
  <c r="M9105" i="2"/>
  <c r="O9101" i="2"/>
  <c r="M9101" i="2"/>
  <c r="O9097" i="2"/>
  <c r="M9097" i="2"/>
  <c r="O9093" i="2"/>
  <c r="M9093" i="2"/>
  <c r="O9089" i="2"/>
  <c r="M9089" i="2"/>
  <c r="O9085" i="2"/>
  <c r="M9085" i="2"/>
  <c r="O9081" i="2"/>
  <c r="M9081" i="2"/>
  <c r="O9077" i="2"/>
  <c r="M9077" i="2"/>
  <c r="O9073" i="2"/>
  <c r="M9073" i="2"/>
  <c r="O9069" i="2"/>
  <c r="M9069" i="2"/>
  <c r="O9065" i="2"/>
  <c r="M9065" i="2"/>
  <c r="O9061" i="2"/>
  <c r="M9061" i="2"/>
  <c r="O9057" i="2"/>
  <c r="M9057" i="2"/>
  <c r="O9053" i="2"/>
  <c r="M9053" i="2"/>
  <c r="O9049" i="2"/>
  <c r="M9049" i="2"/>
  <c r="O9045" i="2"/>
  <c r="M9045" i="2"/>
  <c r="O9041" i="2"/>
  <c r="M9041" i="2"/>
  <c r="O9037" i="2"/>
  <c r="M9037" i="2"/>
  <c r="O9033" i="2"/>
  <c r="M9033" i="2"/>
  <c r="O9029" i="2"/>
  <c r="M9029" i="2"/>
  <c r="O9025" i="2"/>
  <c r="M9025" i="2"/>
  <c r="O9021" i="2"/>
  <c r="M9021" i="2"/>
  <c r="O9017" i="2"/>
  <c r="M9017" i="2"/>
  <c r="O9013" i="2"/>
  <c r="M9013" i="2"/>
  <c r="O9009" i="2"/>
  <c r="M9009" i="2"/>
  <c r="O9005" i="2"/>
  <c r="M9005" i="2"/>
  <c r="O9001" i="2"/>
  <c r="M9001" i="2"/>
  <c r="O8997" i="2"/>
  <c r="M8997" i="2"/>
  <c r="O8993" i="2"/>
  <c r="M8993" i="2"/>
  <c r="O8989" i="2"/>
  <c r="M8989" i="2"/>
  <c r="O8985" i="2"/>
  <c r="M8985" i="2"/>
  <c r="O8981" i="2"/>
  <c r="M8981" i="2"/>
  <c r="O8977" i="2"/>
  <c r="M8977" i="2"/>
  <c r="O8973" i="2"/>
  <c r="M8973" i="2"/>
  <c r="O8969" i="2"/>
  <c r="M8969" i="2"/>
  <c r="O8965" i="2"/>
  <c r="M8965" i="2"/>
  <c r="O8961" i="2"/>
  <c r="M8961" i="2"/>
  <c r="O8957" i="2"/>
  <c r="M8957" i="2"/>
  <c r="O8953" i="2"/>
  <c r="M8953" i="2"/>
  <c r="O8949" i="2"/>
  <c r="M8949" i="2"/>
  <c r="O8945" i="2"/>
  <c r="M8945" i="2"/>
  <c r="O8941" i="2"/>
  <c r="M8941" i="2"/>
  <c r="O8937" i="2"/>
  <c r="M8937" i="2"/>
  <c r="O8933" i="2"/>
  <c r="M8933" i="2"/>
  <c r="O8929" i="2"/>
  <c r="M8929" i="2"/>
  <c r="O8925" i="2"/>
  <c r="M8925" i="2"/>
  <c r="O8921" i="2"/>
  <c r="M8921" i="2"/>
  <c r="O8917" i="2"/>
  <c r="M8917" i="2"/>
  <c r="O8913" i="2"/>
  <c r="M8913" i="2"/>
  <c r="O8909" i="2"/>
  <c r="M8909" i="2"/>
  <c r="O8905" i="2"/>
  <c r="M8905" i="2"/>
  <c r="O8901" i="2"/>
  <c r="M8901" i="2"/>
  <c r="O8897" i="2"/>
  <c r="M8897" i="2"/>
  <c r="O8893" i="2"/>
  <c r="M8893" i="2"/>
  <c r="O8889" i="2"/>
  <c r="M8889" i="2"/>
  <c r="O8885" i="2"/>
  <c r="M8885" i="2"/>
  <c r="O8881" i="2"/>
  <c r="M8881" i="2"/>
  <c r="O8877" i="2"/>
  <c r="M8877" i="2"/>
  <c r="O8873" i="2"/>
  <c r="M8873" i="2"/>
  <c r="O8869" i="2"/>
  <c r="M8869" i="2"/>
  <c r="O8865" i="2"/>
  <c r="M8865" i="2"/>
  <c r="O8861" i="2"/>
  <c r="M8861" i="2"/>
  <c r="O8857" i="2"/>
  <c r="M8857" i="2"/>
  <c r="O8853" i="2"/>
  <c r="M8853" i="2"/>
  <c r="O8849" i="2"/>
  <c r="M8849" i="2"/>
  <c r="O8845" i="2"/>
  <c r="M8845" i="2"/>
  <c r="O8841" i="2"/>
  <c r="M8841" i="2"/>
  <c r="O8837" i="2"/>
  <c r="M8837" i="2"/>
  <c r="O8833" i="2"/>
  <c r="M8833" i="2"/>
  <c r="O8829" i="2"/>
  <c r="M8829" i="2"/>
  <c r="O8825" i="2"/>
  <c r="M8825" i="2"/>
  <c r="O8821" i="2"/>
  <c r="M8821" i="2"/>
  <c r="O8817" i="2"/>
  <c r="M8817" i="2"/>
  <c r="O8813" i="2"/>
  <c r="M8813" i="2"/>
  <c r="O8809" i="2"/>
  <c r="M8809" i="2"/>
  <c r="O8805" i="2"/>
  <c r="M8805" i="2"/>
  <c r="O8801" i="2"/>
  <c r="M8801" i="2"/>
  <c r="O8797" i="2"/>
  <c r="M8797" i="2"/>
  <c r="O8793" i="2"/>
  <c r="M8793" i="2"/>
  <c r="O8789" i="2"/>
  <c r="M8789" i="2"/>
  <c r="O8785" i="2"/>
  <c r="M8785" i="2"/>
  <c r="O8781" i="2"/>
  <c r="M8781" i="2"/>
  <c r="O8777" i="2"/>
  <c r="M8777" i="2"/>
  <c r="O8773" i="2"/>
  <c r="M8773" i="2"/>
  <c r="O8769" i="2"/>
  <c r="M8769" i="2"/>
  <c r="O8765" i="2"/>
  <c r="M8765" i="2"/>
  <c r="O8761" i="2"/>
  <c r="M8761" i="2"/>
  <c r="O8757" i="2"/>
  <c r="M8757" i="2"/>
  <c r="O8753" i="2"/>
  <c r="M8753" i="2"/>
  <c r="O8749" i="2"/>
  <c r="M8749" i="2"/>
  <c r="O8745" i="2"/>
  <c r="M8745" i="2"/>
  <c r="O8741" i="2"/>
  <c r="M8741" i="2"/>
  <c r="O8737" i="2"/>
  <c r="M8737" i="2"/>
  <c r="O8733" i="2"/>
  <c r="M8733" i="2"/>
  <c r="O8729" i="2"/>
  <c r="M8729" i="2"/>
  <c r="O8725" i="2"/>
  <c r="M8725" i="2"/>
  <c r="O8721" i="2"/>
  <c r="M8721" i="2"/>
  <c r="O8717" i="2"/>
  <c r="M8717" i="2"/>
  <c r="O8713" i="2"/>
  <c r="M8713" i="2"/>
  <c r="O8709" i="2"/>
  <c r="M8709" i="2"/>
  <c r="O8705" i="2"/>
  <c r="M8705" i="2"/>
  <c r="O8701" i="2"/>
  <c r="M8701" i="2"/>
  <c r="O8697" i="2"/>
  <c r="M8697" i="2"/>
  <c r="O8693" i="2"/>
  <c r="M8693" i="2"/>
  <c r="O8689" i="2"/>
  <c r="M8689" i="2"/>
  <c r="O8685" i="2"/>
  <c r="M8685" i="2"/>
  <c r="O8681" i="2"/>
  <c r="M8681" i="2"/>
  <c r="O8677" i="2"/>
  <c r="M8677" i="2"/>
  <c r="O8673" i="2"/>
  <c r="M8673" i="2"/>
  <c r="O8669" i="2"/>
  <c r="M8669" i="2"/>
  <c r="O8665" i="2"/>
  <c r="M8665" i="2"/>
  <c r="O8661" i="2"/>
  <c r="M8661" i="2"/>
  <c r="O8657" i="2"/>
  <c r="M8657" i="2"/>
  <c r="O8653" i="2"/>
  <c r="M8653" i="2"/>
  <c r="O8649" i="2"/>
  <c r="M8649" i="2"/>
  <c r="O8645" i="2"/>
  <c r="M8645" i="2"/>
  <c r="O8641" i="2"/>
  <c r="M8641" i="2"/>
  <c r="O8637" i="2"/>
  <c r="M8637" i="2"/>
  <c r="O8633" i="2"/>
  <c r="M8633" i="2"/>
  <c r="O8629" i="2"/>
  <c r="M8629" i="2"/>
  <c r="O8625" i="2"/>
  <c r="M8625" i="2"/>
  <c r="O8621" i="2"/>
  <c r="M8621" i="2"/>
  <c r="O8617" i="2"/>
  <c r="M8617" i="2"/>
  <c r="O8613" i="2"/>
  <c r="M8613" i="2"/>
  <c r="O8609" i="2"/>
  <c r="M8609" i="2"/>
  <c r="O8605" i="2"/>
  <c r="M8605" i="2"/>
  <c r="O8601" i="2"/>
  <c r="M8601" i="2"/>
  <c r="O8597" i="2"/>
  <c r="M8597" i="2"/>
  <c r="O8593" i="2"/>
  <c r="M8593" i="2"/>
  <c r="O8589" i="2"/>
  <c r="M8589" i="2"/>
  <c r="O8585" i="2"/>
  <c r="M8585" i="2"/>
  <c r="O8581" i="2"/>
  <c r="M8581" i="2"/>
  <c r="O8577" i="2"/>
  <c r="M8577" i="2"/>
  <c r="O8573" i="2"/>
  <c r="M8573" i="2"/>
  <c r="O8569" i="2"/>
  <c r="M8569" i="2"/>
  <c r="O8565" i="2"/>
  <c r="M8565" i="2"/>
  <c r="O8561" i="2"/>
  <c r="M8561" i="2"/>
  <c r="O8557" i="2"/>
  <c r="M8557" i="2"/>
  <c r="O8553" i="2"/>
  <c r="M8553" i="2"/>
  <c r="O8549" i="2"/>
  <c r="M8549" i="2"/>
  <c r="O8545" i="2"/>
  <c r="M8545" i="2"/>
  <c r="O8541" i="2"/>
  <c r="M8541" i="2"/>
  <c r="O8537" i="2"/>
  <c r="M8537" i="2"/>
  <c r="O8533" i="2"/>
  <c r="M8533" i="2"/>
  <c r="O8529" i="2"/>
  <c r="M8529" i="2"/>
  <c r="O8525" i="2"/>
  <c r="M8525" i="2"/>
  <c r="O8521" i="2"/>
  <c r="M8521" i="2"/>
  <c r="O8517" i="2"/>
  <c r="M8517" i="2"/>
  <c r="O8513" i="2"/>
  <c r="M8513" i="2"/>
  <c r="O8509" i="2"/>
  <c r="M8509" i="2"/>
  <c r="O8505" i="2"/>
  <c r="M8505" i="2"/>
  <c r="O8501" i="2"/>
  <c r="M8501" i="2"/>
  <c r="O8497" i="2"/>
  <c r="M8497" i="2"/>
  <c r="O8493" i="2"/>
  <c r="M8493" i="2"/>
  <c r="O8489" i="2"/>
  <c r="M8489" i="2"/>
  <c r="O8485" i="2"/>
  <c r="M8485" i="2"/>
  <c r="O8481" i="2"/>
  <c r="M8481" i="2"/>
  <c r="O8477" i="2"/>
  <c r="M8477" i="2"/>
  <c r="O8473" i="2"/>
  <c r="M8473" i="2"/>
  <c r="O8469" i="2"/>
  <c r="M8469" i="2"/>
  <c r="O8465" i="2"/>
  <c r="M8465" i="2"/>
  <c r="O8461" i="2"/>
  <c r="M8461" i="2"/>
  <c r="O8457" i="2"/>
  <c r="M8457" i="2"/>
  <c r="O8453" i="2"/>
  <c r="M8453" i="2"/>
  <c r="O8449" i="2"/>
  <c r="M8449" i="2"/>
  <c r="O8445" i="2"/>
  <c r="M8445" i="2"/>
  <c r="O8441" i="2"/>
  <c r="M8441" i="2"/>
  <c r="O8437" i="2"/>
  <c r="M8437" i="2"/>
  <c r="O8433" i="2"/>
  <c r="M8433" i="2"/>
  <c r="O8429" i="2"/>
  <c r="M8429" i="2"/>
  <c r="O8425" i="2"/>
  <c r="M8425" i="2"/>
  <c r="O8421" i="2"/>
  <c r="M8421" i="2"/>
  <c r="O8417" i="2"/>
  <c r="M8417" i="2"/>
  <c r="O8413" i="2"/>
  <c r="M8413" i="2"/>
  <c r="O8409" i="2"/>
  <c r="M8409" i="2"/>
  <c r="O8405" i="2"/>
  <c r="M8405" i="2"/>
  <c r="O8401" i="2"/>
  <c r="M8401" i="2"/>
  <c r="O8397" i="2"/>
  <c r="M8397" i="2"/>
  <c r="O8393" i="2"/>
  <c r="M8393" i="2"/>
  <c r="O8389" i="2"/>
  <c r="M8389" i="2"/>
  <c r="O8385" i="2"/>
  <c r="M8385" i="2"/>
  <c r="O8381" i="2"/>
  <c r="M8381" i="2"/>
  <c r="O8377" i="2"/>
  <c r="M8377" i="2"/>
  <c r="O8373" i="2"/>
  <c r="M8373" i="2"/>
  <c r="O8369" i="2"/>
  <c r="M8369" i="2"/>
  <c r="O8365" i="2"/>
  <c r="M8365" i="2"/>
  <c r="O8361" i="2"/>
  <c r="M8361" i="2"/>
  <c r="O8357" i="2"/>
  <c r="M8357" i="2"/>
  <c r="O8353" i="2"/>
  <c r="M8353" i="2"/>
  <c r="O8349" i="2"/>
  <c r="M8349" i="2"/>
  <c r="O8345" i="2"/>
  <c r="M8345" i="2"/>
  <c r="O8341" i="2"/>
  <c r="M8341" i="2"/>
  <c r="O8337" i="2"/>
  <c r="M8337" i="2"/>
  <c r="O8333" i="2"/>
  <c r="M8333" i="2"/>
  <c r="O8329" i="2"/>
  <c r="M8329" i="2"/>
  <c r="O8325" i="2"/>
  <c r="M8325" i="2"/>
  <c r="O8321" i="2"/>
  <c r="M8321" i="2"/>
  <c r="O8317" i="2"/>
  <c r="M8317" i="2"/>
  <c r="O8313" i="2"/>
  <c r="M8313" i="2"/>
  <c r="O8309" i="2"/>
  <c r="M8309" i="2"/>
  <c r="O8305" i="2"/>
  <c r="M8305" i="2"/>
  <c r="O8301" i="2"/>
  <c r="M8301" i="2"/>
  <c r="O8297" i="2"/>
  <c r="M8297" i="2"/>
  <c r="O8293" i="2"/>
  <c r="M8293" i="2"/>
  <c r="O8289" i="2"/>
  <c r="M8289" i="2"/>
  <c r="O8285" i="2"/>
  <c r="M8285" i="2"/>
  <c r="O8281" i="2"/>
  <c r="M8281" i="2"/>
  <c r="O8277" i="2"/>
  <c r="M8277" i="2"/>
  <c r="O8273" i="2"/>
  <c r="M8273" i="2"/>
  <c r="O8269" i="2"/>
  <c r="M8269" i="2"/>
  <c r="O8265" i="2"/>
  <c r="M8265" i="2"/>
  <c r="O8261" i="2"/>
  <c r="M8261" i="2"/>
  <c r="O8257" i="2"/>
  <c r="M8257" i="2"/>
  <c r="O8253" i="2"/>
  <c r="M8253" i="2"/>
  <c r="O8249" i="2"/>
  <c r="M8249" i="2"/>
  <c r="O8245" i="2"/>
  <c r="M8245" i="2"/>
  <c r="O8241" i="2"/>
  <c r="M8241" i="2"/>
  <c r="O8237" i="2"/>
  <c r="M8237" i="2"/>
  <c r="O8233" i="2"/>
  <c r="M8233" i="2"/>
  <c r="O8229" i="2"/>
  <c r="M8229" i="2"/>
  <c r="O8225" i="2"/>
  <c r="M8225" i="2"/>
  <c r="O8221" i="2"/>
  <c r="M8221" i="2"/>
  <c r="O8217" i="2"/>
  <c r="M8217" i="2"/>
  <c r="O8213" i="2"/>
  <c r="M8213" i="2"/>
  <c r="O8209" i="2"/>
  <c r="M8209" i="2"/>
  <c r="O8205" i="2"/>
  <c r="M8205" i="2"/>
  <c r="O8201" i="2"/>
  <c r="M8201" i="2"/>
  <c r="O8197" i="2"/>
  <c r="M8197" i="2"/>
  <c r="O8193" i="2"/>
  <c r="M8193" i="2"/>
  <c r="O8189" i="2"/>
  <c r="M8189" i="2"/>
  <c r="O8185" i="2"/>
  <c r="M8185" i="2"/>
  <c r="O8181" i="2"/>
  <c r="M8181" i="2"/>
  <c r="O8177" i="2"/>
  <c r="M8177" i="2"/>
  <c r="O8173" i="2"/>
  <c r="M8173" i="2"/>
  <c r="O8169" i="2"/>
  <c r="M8169" i="2"/>
  <c r="O8165" i="2"/>
  <c r="M8165" i="2"/>
  <c r="O8161" i="2"/>
  <c r="M8161" i="2"/>
  <c r="O8157" i="2"/>
  <c r="M8157" i="2"/>
  <c r="O8153" i="2"/>
  <c r="M8153" i="2"/>
  <c r="Q8149" i="2"/>
  <c r="M8149" i="2"/>
  <c r="Q8145" i="2"/>
  <c r="M8145" i="2"/>
  <c r="Q8141" i="2"/>
  <c r="M8141" i="2"/>
  <c r="Q8137" i="2"/>
  <c r="M8137" i="2"/>
  <c r="Q8133" i="2"/>
  <c r="M8133" i="2"/>
  <c r="Q8129" i="2"/>
  <c r="M8129" i="2"/>
  <c r="Q8125" i="2"/>
  <c r="M8125" i="2"/>
  <c r="Q8121" i="2"/>
  <c r="M8121" i="2"/>
  <c r="Q8117" i="2"/>
  <c r="M8117" i="2"/>
  <c r="Q8113" i="2"/>
  <c r="M8113" i="2"/>
  <c r="Q8109" i="2"/>
  <c r="M8109" i="2"/>
  <c r="Q8105" i="2"/>
  <c r="M8105" i="2"/>
  <c r="Q8101" i="2"/>
  <c r="M8101" i="2"/>
  <c r="Q8097" i="2"/>
  <c r="M8097" i="2"/>
  <c r="Q8093" i="2"/>
  <c r="M8093" i="2"/>
  <c r="Q8089" i="2"/>
  <c r="M8089" i="2"/>
  <c r="Q8085" i="2"/>
  <c r="M8085" i="2"/>
  <c r="Q8081" i="2"/>
  <c r="M8081" i="2"/>
  <c r="Q8077" i="2"/>
  <c r="M8077" i="2"/>
  <c r="Q8073" i="2"/>
  <c r="M8073" i="2"/>
  <c r="Q8069" i="2"/>
  <c r="M8069" i="2"/>
  <c r="Q8065" i="2"/>
  <c r="M8065" i="2"/>
  <c r="Q8061" i="2"/>
  <c r="M8061" i="2"/>
  <c r="Q8057" i="2"/>
  <c r="M8057" i="2"/>
  <c r="Q8053" i="2"/>
  <c r="M8053" i="2"/>
  <c r="Q8049" i="2"/>
  <c r="M8049" i="2"/>
  <c r="Q8045" i="2"/>
  <c r="M8045" i="2"/>
  <c r="Q8041" i="2"/>
  <c r="M8041" i="2"/>
  <c r="Q8037" i="2"/>
  <c r="M8037" i="2"/>
  <c r="Q8033" i="2"/>
  <c r="M8033" i="2"/>
  <c r="Q8029" i="2"/>
  <c r="M8029" i="2"/>
  <c r="Q8025" i="2"/>
  <c r="M8025" i="2"/>
  <c r="Q8021" i="2"/>
  <c r="M8021" i="2"/>
  <c r="Q8017" i="2"/>
  <c r="M8017" i="2"/>
  <c r="Q8013" i="2"/>
  <c r="M8013" i="2"/>
  <c r="Q8009" i="2"/>
  <c r="M8009" i="2"/>
  <c r="Q8005" i="2"/>
  <c r="M8005" i="2"/>
  <c r="Q8001" i="2"/>
  <c r="M8001" i="2"/>
  <c r="Q7997" i="2"/>
  <c r="M7997" i="2"/>
  <c r="Q7993" i="2"/>
  <c r="M7993" i="2"/>
  <c r="Q7989" i="2"/>
  <c r="M7989" i="2"/>
  <c r="Q7985" i="2"/>
  <c r="M7985" i="2"/>
  <c r="Q7981" i="2"/>
  <c r="M7981" i="2"/>
  <c r="Q7977" i="2"/>
  <c r="M7977" i="2"/>
  <c r="Q7973" i="2"/>
  <c r="M7973" i="2"/>
  <c r="Q7969" i="2"/>
  <c r="M7969" i="2"/>
  <c r="Q7965" i="2"/>
  <c r="M7965" i="2"/>
  <c r="Q7961" i="2"/>
  <c r="M7961" i="2"/>
  <c r="Q7957" i="2"/>
  <c r="M7957" i="2"/>
  <c r="Q7953" i="2"/>
  <c r="M7953" i="2"/>
  <c r="Q7949" i="2"/>
  <c r="M7949" i="2"/>
  <c r="Q7945" i="2"/>
  <c r="M7945" i="2"/>
  <c r="Q7941" i="2"/>
  <c r="M7941" i="2"/>
  <c r="Q7937" i="2"/>
  <c r="M7937" i="2"/>
  <c r="Q7933" i="2"/>
  <c r="M7933" i="2"/>
  <c r="Q7929" i="2"/>
  <c r="M7929" i="2"/>
  <c r="Q7925" i="2"/>
  <c r="M7925" i="2"/>
  <c r="Q7921" i="2"/>
  <c r="M7921" i="2"/>
  <c r="Q7917" i="2"/>
  <c r="M7917" i="2"/>
  <c r="Q7913" i="2"/>
  <c r="M7913" i="2"/>
  <c r="Q7909" i="2"/>
  <c r="M7909" i="2"/>
  <c r="Q7905" i="2"/>
  <c r="M7905" i="2"/>
  <c r="Q7901" i="2"/>
  <c r="M7901" i="2"/>
  <c r="Q7897" i="2"/>
  <c r="M7897" i="2"/>
  <c r="Q7893" i="2"/>
  <c r="M7893" i="2"/>
  <c r="Q7889" i="2"/>
  <c r="M7889" i="2"/>
  <c r="Q7885" i="2"/>
  <c r="M7885" i="2"/>
  <c r="Q7881" i="2"/>
  <c r="M7881" i="2"/>
  <c r="Q7877" i="2"/>
  <c r="M7877" i="2"/>
  <c r="Q7873" i="2"/>
  <c r="M7873" i="2"/>
  <c r="Q7869" i="2"/>
  <c r="M7869" i="2"/>
  <c r="Q7865" i="2"/>
  <c r="M7865" i="2"/>
  <c r="Q7861" i="2"/>
  <c r="M7861" i="2"/>
  <c r="Q7857" i="2"/>
  <c r="M7857" i="2"/>
  <c r="Q7853" i="2"/>
  <c r="M7853" i="2"/>
  <c r="Q7849" i="2"/>
  <c r="M7849" i="2"/>
  <c r="Q7845" i="2"/>
  <c r="M7845" i="2"/>
  <c r="Q7841" i="2"/>
  <c r="M7841" i="2"/>
  <c r="Q7837" i="2"/>
  <c r="M7837" i="2"/>
  <c r="Q7833" i="2"/>
  <c r="M7833" i="2"/>
  <c r="Q7829" i="2"/>
  <c r="M7829" i="2"/>
  <c r="Q7825" i="2"/>
  <c r="M7825" i="2"/>
  <c r="Q7821" i="2"/>
  <c r="M7821" i="2"/>
  <c r="Q7817" i="2"/>
  <c r="M7817" i="2"/>
  <c r="Q7813" i="2"/>
  <c r="M7813" i="2"/>
  <c r="Q7809" i="2"/>
  <c r="M7809" i="2"/>
  <c r="Q7805" i="2"/>
  <c r="M7805" i="2"/>
  <c r="Q7801" i="2"/>
  <c r="M7801" i="2"/>
  <c r="Q7797" i="2"/>
  <c r="M7797" i="2"/>
  <c r="Q7793" i="2"/>
  <c r="M7793" i="2"/>
  <c r="Q7789" i="2"/>
  <c r="M7789" i="2"/>
  <c r="Q7785" i="2"/>
  <c r="M7785" i="2"/>
  <c r="Q7781" i="2"/>
  <c r="M7781" i="2"/>
  <c r="Q7777" i="2"/>
  <c r="M7777" i="2"/>
  <c r="Q7773" i="2"/>
  <c r="M7773" i="2"/>
  <c r="Q7769" i="2"/>
  <c r="M7769" i="2"/>
  <c r="Q7765" i="2"/>
  <c r="M7765" i="2"/>
  <c r="Q7761" i="2"/>
  <c r="M7761" i="2"/>
  <c r="Q7757" i="2"/>
  <c r="M7757" i="2"/>
  <c r="Q7753" i="2"/>
  <c r="M7753" i="2"/>
  <c r="Q7749" i="2"/>
  <c r="M7749" i="2"/>
  <c r="Q7745" i="2"/>
  <c r="M7745" i="2"/>
  <c r="Q7741" i="2"/>
  <c r="M7741" i="2"/>
  <c r="Q7737" i="2"/>
  <c r="M7737" i="2"/>
  <c r="Q7733" i="2"/>
  <c r="M7733" i="2"/>
  <c r="Q7729" i="2"/>
  <c r="M7729" i="2"/>
  <c r="Q7725" i="2"/>
  <c r="M7725" i="2"/>
  <c r="Q7721" i="2"/>
  <c r="M7721" i="2"/>
  <c r="Q7717" i="2"/>
  <c r="M7717" i="2"/>
  <c r="Q7713" i="2"/>
  <c r="M7713" i="2"/>
  <c r="Q7709" i="2"/>
  <c r="M7709" i="2"/>
  <c r="Q7705" i="2"/>
  <c r="M7705" i="2"/>
  <c r="Q7701" i="2"/>
  <c r="M7701" i="2"/>
  <c r="Q7697" i="2"/>
  <c r="M7697" i="2"/>
  <c r="Q7693" i="2"/>
  <c r="M7693" i="2"/>
  <c r="Q7689" i="2"/>
  <c r="M7689" i="2"/>
  <c r="Q7685" i="2"/>
  <c r="M7685" i="2"/>
  <c r="Q7681" i="2"/>
  <c r="M7681" i="2"/>
  <c r="Q7677" i="2"/>
  <c r="M7677" i="2"/>
  <c r="Q7673" i="2"/>
  <c r="M7673" i="2"/>
  <c r="Q7669" i="2"/>
  <c r="M7669" i="2"/>
  <c r="Q7665" i="2"/>
  <c r="M7665" i="2"/>
  <c r="Q7661" i="2"/>
  <c r="M7661" i="2"/>
  <c r="Q7657" i="2"/>
  <c r="M7657" i="2"/>
  <c r="Q7653" i="2"/>
  <c r="M7653" i="2"/>
  <c r="Q7649" i="2"/>
  <c r="M7649" i="2"/>
  <c r="Q7645" i="2"/>
  <c r="M7645" i="2"/>
  <c r="Q7641" i="2"/>
  <c r="M7641" i="2"/>
  <c r="Q7637" i="2"/>
  <c r="M7637" i="2"/>
  <c r="Q7633" i="2"/>
  <c r="M7633" i="2"/>
  <c r="Q7629" i="2"/>
  <c r="M7629" i="2"/>
  <c r="Q7625" i="2"/>
  <c r="M7625" i="2"/>
  <c r="Q7621" i="2"/>
  <c r="M7621" i="2"/>
  <c r="Q7617" i="2"/>
  <c r="M7617" i="2"/>
  <c r="Q7613" i="2"/>
  <c r="M7613" i="2"/>
  <c r="Q7609" i="2"/>
  <c r="M7609" i="2"/>
  <c r="Q7605" i="2"/>
  <c r="M7605" i="2"/>
  <c r="Q7601" i="2"/>
  <c r="M7601" i="2"/>
  <c r="Q7597" i="2"/>
  <c r="M7597" i="2"/>
  <c r="Q7593" i="2"/>
  <c r="M7593" i="2"/>
  <c r="Q7589" i="2"/>
  <c r="M7589" i="2"/>
  <c r="Q7585" i="2"/>
  <c r="M7585" i="2"/>
  <c r="Q7581" i="2"/>
  <c r="M7581" i="2"/>
  <c r="Q7577" i="2"/>
  <c r="M7577" i="2"/>
  <c r="Q7573" i="2"/>
  <c r="M7573" i="2"/>
  <c r="Q7569" i="2"/>
  <c r="M7569" i="2"/>
  <c r="Q7565" i="2"/>
  <c r="M7565" i="2"/>
  <c r="Q7561" i="2"/>
  <c r="M7561" i="2"/>
  <c r="Q7557" i="2"/>
  <c r="M7557" i="2"/>
  <c r="Q7553" i="2"/>
  <c r="M7553" i="2"/>
  <c r="Q7549" i="2"/>
  <c r="M7549" i="2"/>
  <c r="Q7545" i="2"/>
  <c r="M7545" i="2"/>
  <c r="Q7541" i="2"/>
  <c r="M7541" i="2"/>
  <c r="Q7537" i="2"/>
  <c r="M7537" i="2"/>
  <c r="Q7533" i="2"/>
  <c r="M7533" i="2"/>
  <c r="Q7529" i="2"/>
  <c r="M7529" i="2"/>
  <c r="Q7525" i="2"/>
  <c r="M7525" i="2"/>
  <c r="Q7521" i="2"/>
  <c r="M7521" i="2"/>
  <c r="Q7517" i="2"/>
  <c r="M7517" i="2"/>
  <c r="Q7513" i="2"/>
  <c r="M7513" i="2"/>
  <c r="Q7509" i="2"/>
  <c r="M7509" i="2"/>
  <c r="Q7505" i="2"/>
  <c r="M7505" i="2"/>
  <c r="Q7501" i="2"/>
  <c r="M7501" i="2"/>
  <c r="Q7497" i="2"/>
  <c r="M7497" i="2"/>
  <c r="Q7493" i="2"/>
  <c r="M7493" i="2"/>
  <c r="Q7489" i="2"/>
  <c r="M7489" i="2"/>
  <c r="Q7485" i="2"/>
  <c r="M7485" i="2"/>
  <c r="Q7481" i="2"/>
  <c r="M7481" i="2"/>
  <c r="Q7477" i="2"/>
  <c r="M7477" i="2"/>
  <c r="Q7473" i="2"/>
  <c r="M7473" i="2"/>
  <c r="Q7469" i="2"/>
  <c r="M7469" i="2"/>
  <c r="Q7465" i="2"/>
  <c r="M7465" i="2"/>
  <c r="Q7461" i="2"/>
  <c r="M7461" i="2"/>
  <c r="Q7457" i="2"/>
  <c r="M7457" i="2"/>
  <c r="Q7453" i="2"/>
  <c r="M7453" i="2"/>
  <c r="Q7449" i="2"/>
  <c r="M7449" i="2"/>
  <c r="Q7445" i="2"/>
  <c r="M7445" i="2"/>
  <c r="Q7441" i="2"/>
  <c r="M7441" i="2"/>
  <c r="Q7437" i="2"/>
  <c r="M7437" i="2"/>
  <c r="Q7433" i="2"/>
  <c r="M7433" i="2"/>
  <c r="Q7429" i="2"/>
  <c r="M7429" i="2"/>
  <c r="Q7425" i="2"/>
  <c r="M7425" i="2"/>
  <c r="Q7421" i="2"/>
  <c r="M7421" i="2"/>
  <c r="Q7417" i="2"/>
  <c r="M7417" i="2"/>
  <c r="Q7413" i="2"/>
  <c r="M7413" i="2"/>
  <c r="Q7409" i="2"/>
  <c r="M7409" i="2"/>
  <c r="Q7405" i="2"/>
  <c r="M7405" i="2"/>
  <c r="Q7401" i="2"/>
  <c r="M7401" i="2"/>
  <c r="Q7397" i="2"/>
  <c r="M7397" i="2"/>
  <c r="Q7393" i="2"/>
  <c r="M7393" i="2"/>
  <c r="Q7389" i="2"/>
  <c r="M7389" i="2"/>
  <c r="Q7385" i="2"/>
  <c r="M7385" i="2"/>
  <c r="Q7381" i="2"/>
  <c r="M7381" i="2"/>
  <c r="Q7377" i="2"/>
  <c r="M7377" i="2"/>
  <c r="Q7373" i="2"/>
  <c r="M7373" i="2"/>
  <c r="Q7369" i="2"/>
  <c r="M7369" i="2"/>
  <c r="Q7365" i="2"/>
  <c r="M7365" i="2"/>
  <c r="Q7361" i="2"/>
  <c r="M7361" i="2"/>
  <c r="Q7357" i="2"/>
  <c r="M7357" i="2"/>
  <c r="Q7353" i="2"/>
  <c r="M7353" i="2"/>
  <c r="Q7349" i="2"/>
  <c r="M7349" i="2"/>
  <c r="Q7345" i="2"/>
  <c r="M7345" i="2"/>
  <c r="Q7341" i="2"/>
  <c r="M7341" i="2"/>
  <c r="Q7337" i="2"/>
  <c r="M7337" i="2"/>
  <c r="Q7333" i="2"/>
  <c r="M7333" i="2"/>
  <c r="Q7329" i="2"/>
  <c r="M7329" i="2"/>
  <c r="Q7325" i="2"/>
  <c r="M7325" i="2"/>
  <c r="Q7321" i="2"/>
  <c r="M7321" i="2"/>
  <c r="Q7317" i="2"/>
  <c r="M7317" i="2"/>
  <c r="Q7313" i="2"/>
  <c r="M7313" i="2"/>
  <c r="Q7309" i="2"/>
  <c r="M7309" i="2"/>
  <c r="Q7305" i="2"/>
  <c r="M7305" i="2"/>
  <c r="Q7301" i="2"/>
  <c r="M7301" i="2"/>
  <c r="Q7297" i="2"/>
  <c r="M7297" i="2"/>
  <c r="Q7293" i="2"/>
  <c r="M7293" i="2"/>
  <c r="Q7290" i="2"/>
  <c r="M7290" i="2"/>
  <c r="Q7286" i="2"/>
  <c r="M7286" i="2"/>
  <c r="M7282" i="2"/>
  <c r="M7278" i="2"/>
  <c r="M7274" i="2"/>
  <c r="M7270" i="2"/>
  <c r="M7266" i="2"/>
  <c r="M7262" i="2"/>
  <c r="Q7258" i="2"/>
  <c r="M7258" i="2"/>
  <c r="Q7254" i="2"/>
  <c r="M7254" i="2"/>
  <c r="Q7250" i="2"/>
  <c r="M7250" i="2"/>
  <c r="Q7246" i="2"/>
  <c r="M7246" i="2"/>
  <c r="Q7242" i="2"/>
  <c r="M7242" i="2"/>
  <c r="M7238" i="2"/>
  <c r="Q7234" i="2"/>
  <c r="M7234" i="2"/>
  <c r="M7230" i="2"/>
  <c r="M7226" i="2"/>
  <c r="Q196" i="2"/>
  <c r="M196" i="2"/>
  <c r="Q5014" i="2"/>
  <c r="M5014" i="2"/>
  <c r="Q5836" i="2"/>
  <c r="M5836" i="2"/>
  <c r="M7210" i="2"/>
  <c r="Q7206" i="2"/>
  <c r="M7206" i="2"/>
  <c r="Q7202" i="2"/>
  <c r="M7202" i="2"/>
  <c r="Q7198" i="2"/>
  <c r="M7198" i="2"/>
  <c r="M7194" i="2"/>
  <c r="Q7190" i="2"/>
  <c r="M7190" i="2"/>
  <c r="Q7186" i="2"/>
  <c r="M7186" i="2"/>
  <c r="Q7182" i="2"/>
  <c r="M7182" i="2"/>
  <c r="Q7178" i="2"/>
  <c r="M7178" i="2"/>
  <c r="M7174" i="2"/>
  <c r="M7170" i="2"/>
  <c r="M7166" i="2"/>
  <c r="M7162" i="2"/>
  <c r="M7158" i="2"/>
  <c r="Q7154" i="2"/>
  <c r="M7154" i="2"/>
  <c r="Q7150" i="2"/>
  <c r="M7150" i="2"/>
  <c r="Q6789" i="2"/>
  <c r="M6789" i="2"/>
  <c r="Q7142" i="2"/>
  <c r="M7142" i="2"/>
  <c r="Q315" i="2"/>
  <c r="M315" i="2"/>
  <c r="Q7134" i="2"/>
  <c r="M7134" i="2"/>
  <c r="Q7130" i="2"/>
  <c r="M7130" i="2"/>
  <c r="Q7126" i="2"/>
  <c r="M7126" i="2"/>
  <c r="Q6050" i="2"/>
  <c r="M6050" i="2"/>
  <c r="Q7118" i="2"/>
  <c r="M7118" i="2"/>
  <c r="Q7114" i="2"/>
  <c r="M7114" i="2"/>
  <c r="M7110" i="2"/>
  <c r="Q7106" i="2"/>
  <c r="M7106" i="2"/>
  <c r="M7102" i="2"/>
  <c r="Q7098" i="2"/>
  <c r="M7098" i="2"/>
  <c r="Q7094" i="2"/>
  <c r="M7094" i="2"/>
  <c r="Q7090" i="2"/>
  <c r="M7090" i="2"/>
  <c r="M7086" i="2"/>
  <c r="Q7082" i="2"/>
  <c r="M7082" i="2"/>
  <c r="M7078" i="2"/>
  <c r="M7074" i="2"/>
  <c r="Q5799" i="2"/>
  <c r="M5799" i="2"/>
  <c r="M7066" i="2"/>
  <c r="Q7062" i="2"/>
  <c r="M7062" i="2"/>
  <c r="Q7058" i="2"/>
  <c r="M7058" i="2"/>
  <c r="M7054" i="2"/>
  <c r="M7050" i="2"/>
  <c r="Q4870" i="2"/>
  <c r="M4870" i="2"/>
  <c r="Q5995" i="2"/>
  <c r="M5995" i="2"/>
  <c r="Q6770" i="2"/>
  <c r="M6770" i="2"/>
  <c r="Q7034" i="2"/>
  <c r="M7034" i="2"/>
  <c r="M7030" i="2"/>
  <c r="Q7026" i="2"/>
  <c r="M7026" i="2"/>
  <c r="Q7022" i="2"/>
  <c r="M7022" i="2"/>
  <c r="Q6928" i="2"/>
  <c r="M6928" i="2"/>
  <c r="Q7014" i="2"/>
  <c r="M7014" i="2"/>
  <c r="Q7010" i="2"/>
  <c r="M7010" i="2"/>
  <c r="Q7006" i="2"/>
  <c r="M7006" i="2"/>
  <c r="Q195" i="2"/>
  <c r="M195" i="2"/>
  <c r="M6998" i="2"/>
  <c r="Q7001" i="2"/>
  <c r="M7001" i="2"/>
  <c r="M6990" i="2"/>
  <c r="Q6986" i="2"/>
  <c r="M6986" i="2"/>
  <c r="M6982" i="2"/>
  <c r="M6978" i="2"/>
  <c r="Q6974" i="2"/>
  <c r="M6974" i="2"/>
  <c r="M6970" i="2"/>
  <c r="M6966" i="2"/>
  <c r="M6962" i="2"/>
  <c r="M6958" i="2"/>
  <c r="M6954" i="2"/>
  <c r="M6950" i="2"/>
  <c r="M6946" i="2"/>
  <c r="M6942" i="2"/>
  <c r="Q3938" i="2"/>
  <c r="M3938" i="2"/>
  <c r="Q6934" i="2"/>
  <c r="M6934" i="2"/>
  <c r="Q6480" i="2"/>
  <c r="M6480" i="2"/>
  <c r="Q6926" i="2"/>
  <c r="M6926" i="2"/>
  <c r="Q6922" i="2"/>
  <c r="M6922" i="2"/>
  <c r="Q6918" i="2"/>
  <c r="M6918" i="2"/>
  <c r="Q1406" i="2"/>
  <c r="M1406" i="2"/>
  <c r="Q6910" i="2"/>
  <c r="M6910" i="2"/>
  <c r="Q1620" i="2"/>
  <c r="M1620" i="2"/>
  <c r="Q6902" i="2"/>
  <c r="M6902" i="2"/>
  <c r="Q6898" i="2"/>
  <c r="M6898" i="2"/>
  <c r="Q6612" i="2"/>
  <c r="M6612" i="2"/>
  <c r="Q6890" i="2"/>
  <c r="M6890" i="2"/>
  <c r="Q3927" i="2"/>
  <c r="M3927" i="2"/>
  <c r="Q6882" i="2"/>
  <c r="M6882" i="2"/>
  <c r="Q6878" i="2"/>
  <c r="M6878" i="2"/>
  <c r="Q6874" i="2"/>
  <c r="M6874" i="2"/>
  <c r="Q6870" i="2"/>
  <c r="M6870" i="2"/>
  <c r="Q7138" i="2"/>
  <c r="M7138" i="2"/>
  <c r="Q6862" i="2"/>
  <c r="M6862" i="2"/>
  <c r="Q6858" i="2"/>
  <c r="M6858" i="2"/>
  <c r="Q6854" i="2"/>
  <c r="M6854" i="2"/>
  <c r="M6850" i="2"/>
  <c r="M6846" i="2"/>
  <c r="Q6842" i="2"/>
  <c r="M6842" i="2"/>
  <c r="M6838" i="2"/>
  <c r="M6834" i="2"/>
  <c r="M6830" i="2"/>
  <c r="Q6826" i="2"/>
  <c r="M6826" i="2"/>
  <c r="M6822" i="2"/>
  <c r="M6818" i="2"/>
  <c r="M6814" i="2"/>
  <c r="Q7215" i="2"/>
  <c r="M7215" i="2"/>
  <c r="M6806" i="2"/>
  <c r="M6802" i="2"/>
  <c r="Q3032" i="2"/>
  <c r="M3032" i="2"/>
  <c r="Q6794" i="2"/>
  <c r="M6794" i="2"/>
  <c r="Q6790" i="2"/>
  <c r="M6790" i="2"/>
  <c r="M6786" i="2"/>
  <c r="Q6782" i="2"/>
  <c r="M6782" i="2"/>
  <c r="Q1103" i="2"/>
  <c r="M1103" i="2"/>
  <c r="M6774" i="2"/>
  <c r="Q5137" i="2"/>
  <c r="M5137" i="2"/>
  <c r="Q4408" i="2"/>
  <c r="M4408" i="2"/>
  <c r="Q6110" i="2"/>
  <c r="M6110" i="2"/>
  <c r="Q4841" i="2"/>
  <c r="M4841" i="2"/>
  <c r="M6754" i="2"/>
  <c r="Q1637" i="2"/>
  <c r="M1637" i="2"/>
  <c r="Q4205" i="2"/>
  <c r="M4205" i="2"/>
  <c r="Q401" i="2"/>
  <c r="M401" i="2"/>
  <c r="Q6738" i="2"/>
  <c r="M6738" i="2"/>
  <c r="Q6734" i="2"/>
  <c r="M6734" i="2"/>
  <c r="M6730" i="2"/>
  <c r="Q3380" i="2"/>
  <c r="M3380" i="2"/>
  <c r="Q1270" i="2"/>
  <c r="M1270" i="2"/>
  <c r="Q6718" i="2"/>
  <c r="M6718" i="2"/>
  <c r="M6714" i="2"/>
  <c r="Q5084" i="2"/>
  <c r="M5084" i="2"/>
  <c r="Q2008" i="2"/>
  <c r="M2008" i="2"/>
  <c r="M6702" i="2"/>
  <c r="M6698" i="2"/>
  <c r="Q1502" i="2"/>
  <c r="M1502" i="2"/>
  <c r="Q6690" i="2"/>
  <c r="M6690" i="2"/>
  <c r="Q6686" i="2"/>
  <c r="M6686" i="2"/>
  <c r="M6682" i="2"/>
  <c r="M6678" i="2"/>
  <c r="M6674" i="2"/>
  <c r="Q6670" i="2"/>
  <c r="M6670" i="2"/>
  <c r="Q6666" i="2"/>
  <c r="M6666" i="2"/>
  <c r="M6662" i="2"/>
  <c r="M6658" i="2"/>
  <c r="Q6654" i="2"/>
  <c r="M6654" i="2"/>
  <c r="Q6650" i="2"/>
  <c r="M6650" i="2"/>
  <c r="Q5473" i="2"/>
  <c r="M5473" i="2"/>
  <c r="Q2280" i="2"/>
  <c r="M2280" i="2"/>
  <c r="Q6638" i="2"/>
  <c r="M6638" i="2"/>
  <c r="Q6634" i="2"/>
  <c r="M6634" i="2"/>
  <c r="M6630" i="2"/>
  <c r="M6626" i="2"/>
  <c r="M6622" i="2"/>
  <c r="M6618" i="2"/>
  <c r="M6614" i="2"/>
  <c r="Q6610" i="2"/>
  <c r="M6610" i="2"/>
  <c r="Q6606" i="2"/>
  <c r="M6606" i="2"/>
  <c r="Q6602" i="2"/>
  <c r="M6602" i="2"/>
  <c r="Q5533" i="2"/>
  <c r="M5533" i="2"/>
  <c r="M6594" i="2"/>
  <c r="Q3654" i="2"/>
  <c r="M3654" i="2"/>
  <c r="Q6586" i="2"/>
  <c r="M6586" i="2"/>
  <c r="Q2772" i="2"/>
  <c r="M2772" i="2"/>
  <c r="Q3763" i="2"/>
  <c r="M3763" i="2"/>
  <c r="Q6574" i="2"/>
  <c r="M6574" i="2"/>
  <c r="Q341" i="2"/>
  <c r="M341" i="2"/>
  <c r="Q6566" i="2"/>
  <c r="M6566" i="2"/>
  <c r="Q6562" i="2"/>
  <c r="M6562" i="2"/>
  <c r="Q4380" i="2"/>
  <c r="M4380" i="2"/>
  <c r="Q740" i="2"/>
  <c r="M740" i="2"/>
  <c r="M6550" i="2"/>
  <c r="Q5699" i="2"/>
  <c r="M5699" i="2"/>
  <c r="Q6783" i="2"/>
  <c r="M6783" i="2"/>
  <c r="Q6538" i="2"/>
  <c r="M6538" i="2"/>
  <c r="Q6534" i="2"/>
  <c r="M6534" i="2"/>
  <c r="Q2293" i="2"/>
  <c r="M2293" i="2"/>
  <c r="Q3942" i="2"/>
  <c r="M3942" i="2"/>
  <c r="Q6439" i="2"/>
  <c r="M6439" i="2"/>
  <c r="Q6527" i="2"/>
  <c r="M6527" i="2"/>
  <c r="M6514" i="2"/>
  <c r="Q3048" i="2"/>
  <c r="M3048" i="2"/>
  <c r="Q6506" i="2"/>
  <c r="M6506" i="2"/>
  <c r="Q1065" i="2"/>
  <c r="M1065" i="2"/>
  <c r="Q6498" i="2"/>
  <c r="M6498" i="2"/>
  <c r="Q6494" i="2"/>
  <c r="M6494" i="2"/>
  <c r="Q6788" i="2"/>
  <c r="M6788" i="2"/>
  <c r="Q6705" i="2"/>
  <c r="M6705" i="2"/>
  <c r="Q6096" i="2"/>
  <c r="M6096" i="2"/>
  <c r="M6478" i="2"/>
  <c r="Q6474" i="2"/>
  <c r="M6474" i="2"/>
  <c r="Q6470" i="2"/>
  <c r="M6470" i="2"/>
  <c r="Q6466" i="2"/>
  <c r="M6466" i="2"/>
  <c r="M6462" i="2"/>
  <c r="Q6458" i="2"/>
  <c r="M6458" i="2"/>
  <c r="M6454" i="2"/>
  <c r="Q6450" i="2"/>
  <c r="M6450" i="2"/>
  <c r="Q6446" i="2"/>
  <c r="M6446" i="2"/>
  <c r="Q4658" i="2"/>
  <c r="M4658" i="2"/>
  <c r="Q6438" i="2"/>
  <c r="M6438" i="2"/>
  <c r="Q6434" i="2"/>
  <c r="M6434" i="2"/>
  <c r="M6430" i="2"/>
  <c r="Q6426" i="2"/>
  <c r="M6426" i="2"/>
  <c r="Q4188" i="2"/>
  <c r="M4188" i="2"/>
  <c r="Q4819" i="2"/>
  <c r="M4819" i="2"/>
  <c r="M6414" i="2"/>
  <c r="M6410" i="2"/>
  <c r="M6406" i="2"/>
  <c r="M6402" i="2"/>
  <c r="Q6398" i="2"/>
  <c r="M6398" i="2"/>
  <c r="M6394" i="2"/>
  <c r="Q2802" i="2"/>
  <c r="M2802" i="2"/>
  <c r="Q5472" i="2"/>
  <c r="M5472" i="2"/>
  <c r="M6382" i="2"/>
  <c r="M6378" i="2"/>
  <c r="Q6374" i="2"/>
  <c r="M6374" i="2"/>
  <c r="M6370" i="2"/>
  <c r="M6366" i="2"/>
  <c r="M6362" i="2"/>
  <c r="M6358" i="2"/>
  <c r="M6354" i="2"/>
  <c r="M6350" i="2"/>
  <c r="M6346" i="2"/>
  <c r="Q189" i="2"/>
  <c r="M189" i="2"/>
  <c r="Q6338" i="2"/>
  <c r="M6338" i="2"/>
  <c r="Q6334" i="2"/>
  <c r="M6334" i="2"/>
  <c r="M6330" i="2"/>
  <c r="Q6326" i="2"/>
  <c r="M6326" i="2"/>
  <c r="M6322" i="2"/>
  <c r="M6318" i="2"/>
  <c r="M6314" i="2"/>
  <c r="Q6310" i="2"/>
  <c r="M6310" i="2"/>
  <c r="M6306" i="2"/>
  <c r="Q6302" i="2"/>
  <c r="M6302" i="2"/>
  <c r="Q175" i="2"/>
  <c r="M175" i="2"/>
  <c r="Q6294" i="2"/>
  <c r="M6294" i="2"/>
  <c r="Q1797" i="2"/>
  <c r="M1797" i="2"/>
  <c r="M6286" i="2"/>
  <c r="M6282" i="2"/>
  <c r="Q6278" i="2"/>
  <c r="M6278" i="2"/>
  <c r="M6274" i="2"/>
  <c r="M6270" i="2"/>
  <c r="Q6266" i="2"/>
  <c r="M6266" i="2"/>
  <c r="Q6262" i="2"/>
  <c r="M6262" i="2"/>
  <c r="Q6258" i="2"/>
  <c r="M6258" i="2"/>
  <c r="M6254" i="2"/>
  <c r="Q6250" i="2"/>
  <c r="M6250" i="2"/>
  <c r="Q6246" i="2"/>
  <c r="M6246" i="2"/>
  <c r="Q2755" i="2"/>
  <c r="M2755" i="2"/>
  <c r="M6238" i="2"/>
  <c r="M6234" i="2"/>
  <c r="Q6230" i="2"/>
  <c r="M6230" i="2"/>
  <c r="Q4611" i="2"/>
  <c r="M4611" i="2"/>
  <c r="M6222" i="2"/>
  <c r="Q6218" i="2"/>
  <c r="M6218" i="2"/>
  <c r="Q6214" i="2"/>
  <c r="M6214" i="2"/>
  <c r="M6210" i="2"/>
  <c r="M6206" i="2"/>
  <c r="M6202" i="2"/>
  <c r="Q6198" i="2"/>
  <c r="M6198" i="2"/>
  <c r="M6194" i="2"/>
  <c r="Q2270" i="2"/>
  <c r="M2270" i="2"/>
  <c r="Q2850" i="2"/>
  <c r="M2850" i="2"/>
  <c r="Q5802" i="2"/>
  <c r="M5802" i="2"/>
  <c r="M6178" i="2"/>
  <c r="Q1552" i="2"/>
  <c r="M1552" i="2"/>
  <c r="Q6170" i="2"/>
  <c r="M6170" i="2"/>
  <c r="M6166" i="2"/>
  <c r="Q6190" i="2"/>
  <c r="M6190" i="2"/>
  <c r="Q6158" i="2"/>
  <c r="M6158" i="2"/>
  <c r="M6154" i="2"/>
  <c r="Q6150" i="2"/>
  <c r="M6150" i="2"/>
  <c r="Q4524" i="2"/>
  <c r="M4524" i="2"/>
  <c r="M6142" i="2"/>
  <c r="Q6138" i="2"/>
  <c r="M6138" i="2"/>
  <c r="Q6134" i="2"/>
  <c r="M6134" i="2"/>
  <c r="M6130" i="2"/>
  <c r="Q6126" i="2"/>
  <c r="M6126" i="2"/>
  <c r="M6122" i="2"/>
  <c r="M6118" i="2"/>
  <c r="M6114" i="2"/>
  <c r="Q6749" i="2"/>
  <c r="M6749" i="2"/>
  <c r="Q2738" i="2"/>
  <c r="M2738" i="2"/>
  <c r="M6102" i="2"/>
  <c r="M6098" i="2"/>
  <c r="Q4741" i="2"/>
  <c r="M4741" i="2"/>
  <c r="Q6090" i="2"/>
  <c r="M6090" i="2"/>
  <c r="M6086" i="2"/>
  <c r="Q5471" i="2"/>
  <c r="M5471" i="2"/>
  <c r="Q6740" i="2"/>
  <c r="M6740" i="2"/>
  <c r="Q2155" i="2"/>
  <c r="M2155" i="2"/>
  <c r="M6070" i="2"/>
  <c r="Q6066" i="2"/>
  <c r="M6066" i="2"/>
  <c r="Q5077" i="2"/>
  <c r="M5077" i="2"/>
  <c r="Q6058" i="2"/>
  <c r="M6058" i="2"/>
  <c r="Q6054" i="2"/>
  <c r="M6054" i="2"/>
  <c r="Q1049" i="2"/>
  <c r="M1049" i="2"/>
  <c r="Q6684" i="2"/>
  <c r="M6684" i="2"/>
  <c r="M6042" i="2"/>
  <c r="M6038" i="2"/>
  <c r="Q6034" i="2"/>
  <c r="M6034" i="2"/>
  <c r="Q7145" i="2"/>
  <c r="M7145" i="2"/>
  <c r="M6026" i="2"/>
  <c r="Q4797" i="2"/>
  <c r="M4797" i="2"/>
  <c r="M6018" i="2"/>
  <c r="M6014" i="2"/>
  <c r="M6010" i="2"/>
  <c r="M6006" i="2"/>
  <c r="M6002" i="2"/>
  <c r="Q2780" i="2"/>
  <c r="M2780" i="2"/>
  <c r="Q5994" i="2"/>
  <c r="M5994" i="2"/>
  <c r="Q5990" i="2"/>
  <c r="M5990" i="2"/>
  <c r="Q4695" i="2"/>
  <c r="M4695" i="2"/>
  <c r="Q1521" i="2"/>
  <c r="M1521" i="2"/>
  <c r="Q2268" i="2"/>
  <c r="M2268" i="2"/>
  <c r="Q5155" i="2"/>
  <c r="M5155" i="2"/>
  <c r="Q5970" i="2"/>
  <c r="M5970" i="2"/>
  <c r="Q408" i="2"/>
  <c r="M408" i="2"/>
  <c r="Q5962" i="2"/>
  <c r="M5962" i="2"/>
  <c r="Q5958" i="2"/>
  <c r="M5958" i="2"/>
  <c r="M5954" i="2"/>
  <c r="Q5950" i="2"/>
  <c r="M5950" i="2"/>
  <c r="Q5946" i="2"/>
  <c r="M5946" i="2"/>
  <c r="Q2383" i="2"/>
  <c r="M2383" i="2"/>
  <c r="Q1751" i="2"/>
  <c r="M1751" i="2"/>
  <c r="Q5944" i="2"/>
  <c r="M5944" i="2"/>
  <c r="Q2789" i="2"/>
  <c r="M2789" i="2"/>
  <c r="Q6335" i="2"/>
  <c r="M6335" i="2"/>
  <c r="Q5922" i="2"/>
  <c r="M5922" i="2"/>
  <c r="Q5918" i="2"/>
  <c r="M5918" i="2"/>
  <c r="Q5914" i="2"/>
  <c r="M5914" i="2"/>
  <c r="Q5910" i="2"/>
  <c r="M5910" i="2"/>
  <c r="Q4489" i="2"/>
  <c r="M4489" i="2"/>
  <c r="Q5902" i="2"/>
  <c r="M5902" i="2"/>
  <c r="Q5898" i="2"/>
  <c r="M5898" i="2"/>
  <c r="M5894" i="2"/>
  <c r="M5890" i="2"/>
  <c r="Q3024" i="2"/>
  <c r="M3024" i="2"/>
  <c r="M5882" i="2"/>
  <c r="Q6997" i="2"/>
  <c r="M6997" i="2"/>
  <c r="M5874" i="2"/>
  <c r="M5870" i="2"/>
  <c r="M5866" i="2"/>
  <c r="M5862" i="2"/>
  <c r="M5858" i="2"/>
  <c r="M5854" i="2"/>
  <c r="Q956" i="2"/>
  <c r="M956" i="2"/>
  <c r="Q5695" i="2"/>
  <c r="M5695" i="2"/>
  <c r="Q3984" i="2"/>
  <c r="M3984" i="2"/>
  <c r="Q5838" i="2"/>
  <c r="M5838" i="2"/>
  <c r="Q5834" i="2"/>
  <c r="M5834" i="2"/>
  <c r="Q2267" i="2"/>
  <c r="M2267" i="2"/>
  <c r="M5826" i="2"/>
  <c r="Q6599" i="2"/>
  <c r="M6599" i="2"/>
  <c r="Q5813" i="2"/>
  <c r="M5813" i="2"/>
  <c r="M5814" i="2"/>
  <c r="M5810" i="2"/>
  <c r="Q6493" i="2"/>
  <c r="M6493" i="2"/>
  <c r="Q1619" i="2"/>
  <c r="M1619" i="2"/>
  <c r="M5798" i="2"/>
  <c r="Q389" i="2"/>
  <c r="M389" i="2"/>
  <c r="Q5790" i="2"/>
  <c r="M5790" i="2"/>
  <c r="Q5259" i="2"/>
  <c r="M5259" i="2"/>
  <c r="M5782" i="2"/>
  <c r="Q5778" i="2"/>
  <c r="M5778" i="2"/>
  <c r="Q5774" i="2"/>
  <c r="M5774" i="2"/>
  <c r="Q5770" i="2"/>
  <c r="M5770" i="2"/>
  <c r="Q5766" i="2"/>
  <c r="M5766" i="2"/>
  <c r="M5762" i="2"/>
  <c r="Q1496" i="2"/>
  <c r="M1496" i="2"/>
  <c r="Q5754" i="2"/>
  <c r="M5754" i="2"/>
  <c r="Q6092" i="2"/>
  <c r="M6092" i="2"/>
  <c r="Q5746" i="2"/>
  <c r="M5746" i="2"/>
  <c r="Q5742" i="2"/>
  <c r="M5742" i="2"/>
  <c r="Q5738" i="2"/>
  <c r="M5738" i="2"/>
  <c r="M5734" i="2"/>
  <c r="Q3665" i="2"/>
  <c r="M3665" i="2"/>
  <c r="Q5726" i="2"/>
  <c r="M5726" i="2"/>
  <c r="Q5722" i="2"/>
  <c r="M5722" i="2"/>
  <c r="M5718" i="2"/>
  <c r="M5714" i="2"/>
  <c r="M5710" i="2"/>
  <c r="Q400" i="2"/>
  <c r="M400" i="2"/>
  <c r="M5702" i="2"/>
  <c r="Q5698" i="2"/>
  <c r="M5698" i="2"/>
  <c r="Q5694" i="2"/>
  <c r="M5694" i="2"/>
  <c r="M5690" i="2"/>
  <c r="M5686" i="2"/>
  <c r="Q2801" i="2"/>
  <c r="M2801" i="2"/>
  <c r="Q5678" i="2"/>
  <c r="M5678" i="2"/>
  <c r="M5674" i="2"/>
  <c r="M5670" i="2"/>
  <c r="M5666" i="2"/>
  <c r="Q6080" i="2"/>
  <c r="M6080" i="2"/>
  <c r="M5658" i="2"/>
  <c r="M5654" i="2"/>
  <c r="Q1027" i="2"/>
  <c r="M1027" i="2"/>
  <c r="M5646" i="2"/>
  <c r="M5642" i="2"/>
  <c r="Q4577" i="2"/>
  <c r="M4577" i="2"/>
  <c r="Q5783" i="2"/>
  <c r="M5783" i="2"/>
  <c r="M5630" i="2"/>
  <c r="Q6484" i="2"/>
  <c r="M6484" i="2"/>
  <c r="Q5622" i="2"/>
  <c r="M5622" i="2"/>
  <c r="Q652" i="2"/>
  <c r="M652" i="2"/>
  <c r="Q5830" i="2"/>
  <c r="M5830" i="2"/>
  <c r="Q3681" i="2"/>
  <c r="M3681" i="2"/>
  <c r="Q5606" i="2"/>
  <c r="M5606" i="2"/>
  <c r="M5602" i="2"/>
  <c r="Q5598" i="2"/>
  <c r="M5598" i="2"/>
  <c r="Q4259" i="2"/>
  <c r="M4259" i="2"/>
  <c r="Q5590" i="2"/>
  <c r="M5590" i="2"/>
  <c r="M5586" i="2"/>
  <c r="Q5582" i="2"/>
  <c r="M5582" i="2"/>
  <c r="Q5578" i="2"/>
  <c r="M5578" i="2"/>
  <c r="Q5574" i="2"/>
  <c r="M5574" i="2"/>
  <c r="Q6866" i="2"/>
  <c r="M6866" i="2"/>
  <c r="M5566" i="2"/>
  <c r="Q4663" i="2"/>
  <c r="M4663" i="2"/>
  <c r="Q5558" i="2"/>
  <c r="M5558" i="2"/>
  <c r="Q5554" i="2"/>
  <c r="M5554" i="2"/>
  <c r="Q6483" i="2"/>
  <c r="M6483" i="2"/>
  <c r="Q6857" i="2"/>
  <c r="M6857" i="2"/>
  <c r="Q1016" i="2"/>
  <c r="M1016" i="2"/>
  <c r="M5538" i="2"/>
  <c r="Q5534" i="2"/>
  <c r="M5534" i="2"/>
  <c r="M5530" i="2"/>
  <c r="Q1547" i="2"/>
  <c r="M1547" i="2"/>
  <c r="Q4415" i="2"/>
  <c r="M4415" i="2"/>
  <c r="Q2422" i="2"/>
  <c r="M2422" i="2"/>
  <c r="Q6307" i="2"/>
  <c r="M6307" i="2"/>
  <c r="Q5510" i="2"/>
  <c r="M5510" i="2"/>
  <c r="Q5506" i="2"/>
  <c r="M5506" i="2"/>
  <c r="Q5502" i="2"/>
  <c r="M5502" i="2"/>
  <c r="Q5498" i="2"/>
  <c r="M5498" i="2"/>
  <c r="Q5494" i="2"/>
  <c r="M5494" i="2"/>
  <c r="Q5490" i="2"/>
  <c r="M5490" i="2"/>
  <c r="Q1046" i="2"/>
  <c r="M1046" i="2"/>
  <c r="Q6591" i="2"/>
  <c r="M6591" i="2"/>
  <c r="Q5478" i="2"/>
  <c r="M5478" i="2"/>
  <c r="Q758" i="2"/>
  <c r="M758" i="2"/>
  <c r="Q5250" i="2"/>
  <c r="M5250" i="2"/>
  <c r="Q4177" i="2"/>
  <c r="M4177" i="2"/>
  <c r="Q5462" i="2"/>
  <c r="M5462" i="2"/>
  <c r="M5458" i="2"/>
  <c r="Q4582" i="2"/>
  <c r="M4582" i="2"/>
  <c r="Q5450" i="2"/>
  <c r="M5450" i="2"/>
  <c r="Q7048" i="2"/>
  <c r="M7048" i="2"/>
  <c r="M5442" i="2"/>
  <c r="M5438" i="2"/>
  <c r="Q5434" i="2"/>
  <c r="M5434" i="2"/>
  <c r="Q5466" i="2"/>
  <c r="M5466" i="2"/>
  <c r="M5426" i="2"/>
  <c r="Q5422" i="2"/>
  <c r="M5422" i="2"/>
  <c r="Q5418" i="2"/>
  <c r="M5418" i="2"/>
  <c r="M5414" i="2"/>
  <c r="M5410" i="2"/>
  <c r="M5406" i="2"/>
  <c r="Q5402" i="2"/>
  <c r="M5402" i="2"/>
  <c r="M5398" i="2"/>
  <c r="M5394" i="2"/>
  <c r="M5390" i="2"/>
  <c r="M5386" i="2"/>
  <c r="M5382" i="2"/>
  <c r="Q5378" i="2"/>
  <c r="M5378" i="2"/>
  <c r="Q5374" i="2"/>
  <c r="M5374" i="2"/>
  <c r="Q5370" i="2"/>
  <c r="M5370" i="2"/>
  <c r="M5366" i="2"/>
  <c r="M5362" i="2"/>
  <c r="M5358" i="2"/>
  <c r="Q5354" i="2"/>
  <c r="M5354" i="2"/>
  <c r="M5350" i="2"/>
  <c r="Q5346" i="2"/>
  <c r="M5346" i="2"/>
  <c r="M5342" i="2"/>
  <c r="Q5338" i="2"/>
  <c r="M5338" i="2"/>
  <c r="M5334" i="2"/>
  <c r="M5330" i="2"/>
  <c r="M5326" i="2"/>
  <c r="M5322" i="2"/>
  <c r="Q3918" i="2"/>
  <c r="M3918" i="2"/>
  <c r="M5314" i="2"/>
  <c r="M5310" i="2"/>
  <c r="Q5306" i="2"/>
  <c r="M5306" i="2"/>
  <c r="M5302" i="2"/>
  <c r="Q5298" i="2"/>
  <c r="M5298" i="2"/>
  <c r="Q5294" i="2"/>
  <c r="M5294" i="2"/>
  <c r="Q5290" i="2"/>
  <c r="M5290" i="2"/>
  <c r="M5286" i="2"/>
  <c r="Q5282" i="2"/>
  <c r="M5282" i="2"/>
  <c r="M5278" i="2"/>
  <c r="M5274" i="2"/>
  <c r="M5270" i="2"/>
  <c r="M5266" i="2"/>
  <c r="M5262" i="2"/>
  <c r="Q5829" i="2"/>
  <c r="M5829" i="2"/>
  <c r="Q5480" i="2"/>
  <c r="M5480" i="2"/>
  <c r="Q7031" i="2"/>
  <c r="M7031" i="2"/>
  <c r="Q5246" i="2"/>
  <c r="M5246" i="2"/>
  <c r="Q6732" i="2"/>
  <c r="M6732" i="2"/>
  <c r="Q1491" i="2"/>
  <c r="M1491" i="2"/>
  <c r="Q5234" i="2"/>
  <c r="M5234" i="2"/>
  <c r="Q5230" i="2"/>
  <c r="M5230" i="2"/>
  <c r="Q5226" i="2"/>
  <c r="M5226" i="2"/>
  <c r="Q5222" i="2"/>
  <c r="M5222" i="2"/>
  <c r="Q1545" i="2"/>
  <c r="M1545" i="2"/>
  <c r="M5214" i="2"/>
  <c r="M5210" i="2"/>
  <c r="M5206" i="2"/>
  <c r="M5202" i="2"/>
  <c r="Q5198" i="2"/>
  <c r="M5198" i="2"/>
  <c r="Q5194" i="2"/>
  <c r="M5194" i="2"/>
  <c r="M5190" i="2"/>
  <c r="Q5186" i="2"/>
  <c r="M5186" i="2"/>
  <c r="M5182" i="2"/>
  <c r="M5178" i="2"/>
  <c r="Q1246" i="2"/>
  <c r="M1246" i="2"/>
  <c r="M5170" i="2"/>
  <c r="Q3208" i="2"/>
  <c r="M3208" i="2"/>
  <c r="M5162" i="2"/>
  <c r="Q5158" i="2"/>
  <c r="M5158" i="2"/>
  <c r="M5154" i="2"/>
  <c r="Q5150" i="2"/>
  <c r="M5150" i="2"/>
  <c r="Q5151" i="2"/>
  <c r="M5151" i="2"/>
  <c r="M5142" i="2"/>
  <c r="Q5523" i="2"/>
  <c r="M5523" i="2"/>
  <c r="M5134" i="2"/>
  <c r="Q5130" i="2"/>
  <c r="M5130" i="2"/>
  <c r="Q5126" i="2"/>
  <c r="M5126" i="2"/>
  <c r="Q5122" i="2"/>
  <c r="M5122" i="2"/>
  <c r="Q5072" i="2"/>
  <c r="M5072" i="2"/>
  <c r="Q705" i="2"/>
  <c r="M705" i="2"/>
  <c r="Q5110" i="2"/>
  <c r="M5110" i="2"/>
  <c r="Q5106" i="2"/>
  <c r="M5106" i="2"/>
  <c r="Q469" i="2"/>
  <c r="M469" i="2"/>
  <c r="Q5098" i="2"/>
  <c r="M5098" i="2"/>
  <c r="Q5094" i="2"/>
  <c r="M5094" i="2"/>
  <c r="Q5090" i="2"/>
  <c r="M5090" i="2"/>
  <c r="Q5086" i="2"/>
  <c r="M5086" i="2"/>
  <c r="M5082" i="2"/>
  <c r="M5078" i="2"/>
  <c r="Q5074" i="2"/>
  <c r="M5074" i="2"/>
  <c r="M5070" i="2"/>
  <c r="Q5066" i="2"/>
  <c r="M5066" i="2"/>
  <c r="M5062" i="2"/>
  <c r="M5058" i="2"/>
  <c r="Q6589" i="2"/>
  <c r="M6589" i="2"/>
  <c r="M5050" i="2"/>
  <c r="Q5046" i="2"/>
  <c r="M5046" i="2"/>
  <c r="M5042" i="2"/>
  <c r="Q4175" i="2"/>
  <c r="M4175" i="2"/>
  <c r="Q5034" i="2"/>
  <c r="M5034" i="2"/>
  <c r="Q3627" i="2"/>
  <c r="M3627" i="2"/>
  <c r="Q5503" i="2"/>
  <c r="M5503" i="2"/>
  <c r="Q3756" i="2"/>
  <c r="M3756" i="2"/>
  <c r="M5018" i="2"/>
  <c r="Q5899" i="2"/>
  <c r="M5899" i="2"/>
  <c r="Q6526" i="2"/>
  <c r="M6526" i="2"/>
  <c r="M5006" i="2"/>
  <c r="Q5002" i="2"/>
  <c r="M5002" i="2"/>
  <c r="M4998" i="2"/>
  <c r="M4994" i="2"/>
  <c r="M4990" i="2"/>
  <c r="Q3359" i="2"/>
  <c r="M3359" i="2"/>
  <c r="Q4982" i="2"/>
  <c r="M4982" i="2"/>
  <c r="Q4978" i="2"/>
  <c r="M4978" i="2"/>
  <c r="Q4974" i="2"/>
  <c r="M4974" i="2"/>
  <c r="M4970" i="2"/>
  <c r="Q4966" i="2"/>
  <c r="M4966" i="2"/>
  <c r="Q4962" i="2"/>
  <c r="M4962" i="2"/>
  <c r="Q4958" i="2"/>
  <c r="M4958" i="2"/>
  <c r="M4954" i="2"/>
  <c r="Q4232" i="2"/>
  <c r="M4232" i="2"/>
  <c r="Q1014" i="2"/>
  <c r="M1014" i="2"/>
  <c r="Q4942" i="2"/>
  <c r="M4942" i="2"/>
  <c r="Q4938" i="2"/>
  <c r="M4938" i="2"/>
  <c r="M4934" i="2"/>
  <c r="M4930" i="2"/>
  <c r="M4926" i="2"/>
  <c r="Q4922" i="2"/>
  <c r="M4922" i="2"/>
  <c r="M4918" i="2"/>
  <c r="M4914" i="2"/>
  <c r="M4910" i="2"/>
  <c r="M4906" i="2"/>
  <c r="Q1237" i="2"/>
  <c r="M1237" i="2"/>
  <c r="M4898" i="2"/>
  <c r="M4894" i="2"/>
  <c r="Q4890" i="2"/>
  <c r="M4890" i="2"/>
  <c r="Q4886" i="2"/>
  <c r="M4886" i="2"/>
  <c r="Q365" i="2"/>
  <c r="M365" i="2"/>
  <c r="Q4878" i="2"/>
  <c r="M4878" i="2"/>
  <c r="Q3619" i="2"/>
  <c r="M3619" i="2"/>
  <c r="Q5708" i="2"/>
  <c r="M5708" i="2"/>
  <c r="Q1085" i="2"/>
  <c r="M1085" i="2"/>
  <c r="M4862" i="2"/>
  <c r="Q5146" i="2"/>
  <c r="M5146" i="2"/>
  <c r="Q5521" i="2"/>
  <c r="M5521" i="2"/>
  <c r="Q4850" i="2"/>
  <c r="M4850" i="2"/>
  <c r="Q2120" i="2"/>
  <c r="M2120" i="2"/>
  <c r="M4842" i="2"/>
  <c r="Q3618" i="2"/>
  <c r="M3618" i="2"/>
  <c r="Q4834" i="2"/>
  <c r="M4834" i="2"/>
  <c r="Q4830" i="2"/>
  <c r="M4830" i="2"/>
  <c r="Q1286" i="2"/>
  <c r="M1286" i="2"/>
  <c r="Q5927" i="2"/>
  <c r="M5927" i="2"/>
  <c r="Q128" i="2"/>
  <c r="M128" i="2"/>
  <c r="Q6768" i="2"/>
  <c r="M6768" i="2"/>
  <c r="Q4810" i="2"/>
  <c r="M4810" i="2"/>
  <c r="Q4806" i="2"/>
  <c r="M4806" i="2"/>
  <c r="Q4802" i="2"/>
  <c r="M4802" i="2"/>
  <c r="Q5054" i="2"/>
  <c r="M5054" i="2"/>
  <c r="Q4794" i="2"/>
  <c r="M4794" i="2"/>
  <c r="Q7018" i="2"/>
  <c r="M7018" i="2"/>
  <c r="Q5992" i="2"/>
  <c r="M5992" i="2"/>
  <c r="Q4782" i="2"/>
  <c r="M4782" i="2"/>
  <c r="M4778" i="2"/>
  <c r="Q4774" i="2"/>
  <c r="M4774" i="2"/>
  <c r="Q4770" i="2"/>
  <c r="M4770" i="2"/>
  <c r="M4766" i="2"/>
  <c r="Q4762" i="2"/>
  <c r="M4762" i="2"/>
  <c r="M4758" i="2"/>
  <c r="Q4754" i="2"/>
  <c r="M4754" i="2"/>
  <c r="Q4750" i="2"/>
  <c r="M4750" i="2"/>
  <c r="Q4746" i="2"/>
  <c r="M4746" i="2"/>
  <c r="Q2783" i="2"/>
  <c r="M2783" i="2"/>
  <c r="M4738" i="2"/>
  <c r="Q4734" i="2"/>
  <c r="M4734" i="2"/>
  <c r="Q4730" i="2"/>
  <c r="M4730" i="2"/>
  <c r="Q4795" i="2"/>
  <c r="M4795" i="2"/>
  <c r="Q4722" i="2"/>
  <c r="M4722" i="2"/>
  <c r="Q4718" i="2"/>
  <c r="M4718" i="2"/>
  <c r="Q4714" i="2"/>
  <c r="M4714" i="2"/>
  <c r="Q4710" i="2"/>
  <c r="M4710" i="2"/>
  <c r="M4706" i="2"/>
  <c r="M4702" i="2"/>
  <c r="M4698" i="2"/>
  <c r="M4694" i="2"/>
  <c r="M4690" i="2"/>
  <c r="M4686" i="2"/>
  <c r="Q4851" i="2"/>
  <c r="M4851" i="2"/>
  <c r="Q2728" i="2"/>
  <c r="M2728" i="2"/>
  <c r="M4674" i="2"/>
  <c r="M4670" i="2"/>
  <c r="Q1117" i="2"/>
  <c r="M1117" i="2"/>
  <c r="Q4662" i="2"/>
  <c r="M4662" i="2"/>
  <c r="Q2260" i="2"/>
  <c r="M2260" i="2"/>
  <c r="M4654" i="2"/>
  <c r="Q6541" i="2"/>
  <c r="M6541" i="2"/>
  <c r="M4646" i="2"/>
  <c r="Q4861" i="2"/>
  <c r="M4861" i="2"/>
  <c r="M4638" i="2"/>
  <c r="Q4634" i="2"/>
  <c r="M4634" i="2"/>
  <c r="Q6304" i="2"/>
  <c r="M6304" i="2"/>
  <c r="M4626" i="2"/>
  <c r="Q2508" i="2"/>
  <c r="M2508" i="2"/>
  <c r="M4618" i="2"/>
  <c r="Q4614" i="2"/>
  <c r="M4614" i="2"/>
  <c r="Q1968" i="2"/>
  <c r="M1968" i="2"/>
  <c r="Q4867" i="2"/>
  <c r="M4867" i="2"/>
  <c r="Q4602" i="2"/>
  <c r="M4602" i="2"/>
  <c r="M4598" i="2"/>
  <c r="Q4594" i="2"/>
  <c r="M4594" i="2"/>
  <c r="Q4590" i="2"/>
  <c r="M4590" i="2"/>
  <c r="Q4586" i="2"/>
  <c r="M4586" i="2"/>
  <c r="Q1414" i="2"/>
  <c r="M1414" i="2"/>
  <c r="Q3997" i="2"/>
  <c r="M3997" i="2"/>
  <c r="Q4574" i="2"/>
  <c r="M4574" i="2"/>
  <c r="Q6517" i="2"/>
  <c r="M6517" i="2"/>
  <c r="Q2990" i="2"/>
  <c r="M2990" i="2"/>
  <c r="M4562" i="2"/>
  <c r="Q4558" i="2"/>
  <c r="M4558" i="2"/>
  <c r="Q4554" i="2"/>
  <c r="M4554" i="2"/>
  <c r="M4550" i="2"/>
  <c r="Q581" i="2"/>
  <c r="M581" i="2"/>
  <c r="Q4542" i="2"/>
  <c r="M4542" i="2"/>
  <c r="M4538" i="2"/>
  <c r="Q4534" i="2"/>
  <c r="M4534" i="2"/>
  <c r="Q4530" i="2"/>
  <c r="M4530" i="2"/>
  <c r="Q4526" i="2"/>
  <c r="M4526" i="2"/>
  <c r="Q4522" i="2"/>
  <c r="M4522" i="2"/>
  <c r="Q4518" i="2"/>
  <c r="M4518" i="2"/>
  <c r="M4514" i="2"/>
  <c r="Q4510" i="2"/>
  <c r="M4510" i="2"/>
  <c r="M4506" i="2"/>
  <c r="M4502" i="2"/>
  <c r="Q7201" i="2"/>
  <c r="M7201" i="2"/>
  <c r="Q4681" i="2"/>
  <c r="M4681" i="2"/>
  <c r="M4490" i="2"/>
  <c r="Q5454" i="2"/>
  <c r="M5454" i="2"/>
  <c r="M4482" i="2"/>
  <c r="Q4478" i="2"/>
  <c r="M4478" i="2"/>
  <c r="Q4474" i="2"/>
  <c r="M4474" i="2"/>
  <c r="M4470" i="2"/>
  <c r="M4466" i="2"/>
  <c r="M4462" i="2"/>
  <c r="Q1021" i="2"/>
  <c r="M1021" i="2"/>
  <c r="M4454" i="2"/>
  <c r="M4450" i="2"/>
  <c r="M4446" i="2"/>
  <c r="Q4442" i="2"/>
  <c r="M4442" i="2"/>
  <c r="M4438" i="2"/>
  <c r="Q4434" i="2"/>
  <c r="M4434" i="2"/>
  <c r="M4430" i="2"/>
  <c r="Q4426" i="2"/>
  <c r="M4426" i="2"/>
  <c r="M4422" i="2"/>
  <c r="M4418" i="2"/>
  <c r="Q6482" i="2"/>
  <c r="M6482" i="2"/>
  <c r="Q3612" i="2"/>
  <c r="M3612" i="2"/>
  <c r="Q2764" i="2"/>
  <c r="M2764" i="2"/>
  <c r="Q4402" i="2"/>
  <c r="M4402" i="2"/>
  <c r="Q4398" i="2"/>
  <c r="M4398" i="2"/>
  <c r="Q4394" i="2"/>
  <c r="M4394" i="2"/>
  <c r="M4390" i="2"/>
  <c r="Q4386" i="2"/>
  <c r="M4386" i="2"/>
  <c r="M4382" i="2"/>
  <c r="M4378" i="2"/>
  <c r="Q769" i="2"/>
  <c r="M769" i="2"/>
  <c r="Q4064" i="2"/>
  <c r="M4064" i="2"/>
  <c r="M4366" i="2"/>
  <c r="Q111" i="2"/>
  <c r="M111" i="2"/>
  <c r="Q4358" i="2"/>
  <c r="M4358" i="2"/>
  <c r="Q4354" i="2"/>
  <c r="M4354" i="2"/>
  <c r="M4350" i="2"/>
  <c r="M4346" i="2"/>
  <c r="M4342" i="2"/>
  <c r="Q4338" i="2"/>
  <c r="M4338" i="2"/>
  <c r="M4334" i="2"/>
  <c r="M4330" i="2"/>
  <c r="M4326" i="2"/>
  <c r="M4322" i="2"/>
  <c r="M4318" i="2"/>
  <c r="M4314" i="2"/>
  <c r="M4310" i="2"/>
  <c r="Q4306" i="2"/>
  <c r="M4306" i="2"/>
  <c r="Q4302" i="2"/>
  <c r="M4302" i="2"/>
  <c r="Q4298" i="2"/>
  <c r="M4298" i="2"/>
  <c r="M4294" i="2"/>
  <c r="Q4290" i="2"/>
  <c r="M4290" i="2"/>
  <c r="Q4286" i="2"/>
  <c r="M4286" i="2"/>
  <c r="Q4282" i="2"/>
  <c r="M4282" i="2"/>
  <c r="Q4278" i="2"/>
  <c r="M4278" i="2"/>
  <c r="Q1709" i="2"/>
  <c r="M1709" i="2"/>
  <c r="Q4270" i="2"/>
  <c r="M4270" i="2"/>
  <c r="M4266" i="2"/>
  <c r="M4262" i="2"/>
  <c r="Q5446" i="2"/>
  <c r="M5446" i="2"/>
  <c r="M4254" i="2"/>
  <c r="M4250" i="2"/>
  <c r="M4246" i="2"/>
  <c r="M4242" i="2"/>
  <c r="M4238" i="2"/>
  <c r="M4234" i="2"/>
  <c r="M4230" i="2"/>
  <c r="Q4975" i="2"/>
  <c r="M4975" i="2"/>
  <c r="Q4222" i="2"/>
  <c r="M4222" i="2"/>
  <c r="M4218" i="2"/>
  <c r="Q4367" i="2"/>
  <c r="M4367" i="2"/>
  <c r="Q4727" i="2"/>
  <c r="M4727" i="2"/>
  <c r="Q2688" i="2"/>
  <c r="M2688" i="2"/>
  <c r="M4202" i="2"/>
  <c r="M4198" i="2"/>
  <c r="M4194" i="2"/>
  <c r="M4190" i="2"/>
  <c r="Q4186" i="2"/>
  <c r="M4186" i="2"/>
  <c r="Q4182" i="2"/>
  <c r="M4182" i="2"/>
  <c r="Q4226" i="2"/>
  <c r="M4226" i="2"/>
  <c r="Q4174" i="2"/>
  <c r="M4174" i="2"/>
  <c r="Q6864" i="2"/>
  <c r="M6864" i="2"/>
  <c r="Q4166" i="2"/>
  <c r="M4166" i="2"/>
  <c r="Q4162" i="2"/>
  <c r="M4162" i="2"/>
  <c r="Q4158" i="2"/>
  <c r="M4158" i="2"/>
  <c r="Q3136" i="2"/>
  <c r="M3136" i="2"/>
  <c r="Q4150" i="2"/>
  <c r="M4150" i="2"/>
  <c r="M4146" i="2"/>
  <c r="Q4142" i="2"/>
  <c r="M4142" i="2"/>
  <c r="Q4138" i="2"/>
  <c r="M4138" i="2"/>
  <c r="M4134" i="2"/>
  <c r="M4130" i="2"/>
  <c r="M4126" i="2"/>
  <c r="M4122" i="2"/>
  <c r="Q5776" i="2"/>
  <c r="M5776" i="2"/>
  <c r="Q4114" i="2"/>
  <c r="M4114" i="2"/>
  <c r="M4110" i="2"/>
  <c r="M4106" i="2"/>
  <c r="M4102" i="2"/>
  <c r="Q4098" i="2"/>
  <c r="M4098" i="2"/>
  <c r="Q5675" i="2"/>
  <c r="M5675" i="2"/>
  <c r="Q4090" i="2"/>
  <c r="M4090" i="2"/>
  <c r="Q5441" i="2"/>
  <c r="M5441" i="2"/>
  <c r="Q4082" i="2"/>
  <c r="M4082" i="2"/>
  <c r="Q3610" i="2"/>
  <c r="M3610" i="2"/>
  <c r="Q4074" i="2"/>
  <c r="M4074" i="2"/>
  <c r="Q4070" i="2"/>
  <c r="M4070" i="2"/>
  <c r="Q1363" i="2"/>
  <c r="M1363" i="2"/>
  <c r="M4062" i="2"/>
  <c r="Q6392" i="2"/>
  <c r="M6392" i="2"/>
  <c r="Q6722" i="2"/>
  <c r="M6722" i="2"/>
  <c r="M4050" i="2"/>
  <c r="Q3662" i="2"/>
  <c r="M3662" i="2"/>
  <c r="Q6237" i="2"/>
  <c r="M6237" i="2"/>
  <c r="Q4038" i="2"/>
  <c r="M4038" i="2"/>
  <c r="M4034" i="2"/>
  <c r="Q4030" i="2"/>
  <c r="M4030" i="2"/>
  <c r="Q6546" i="2"/>
  <c r="M6546" i="2"/>
  <c r="Q3609" i="2"/>
  <c r="M3609" i="2"/>
  <c r="M4018" i="2"/>
  <c r="Q4014" i="2"/>
  <c r="M4014" i="2"/>
  <c r="Q4010" i="2"/>
  <c r="M4010" i="2"/>
  <c r="Q4006" i="2"/>
  <c r="M4006" i="2"/>
  <c r="M4002" i="2"/>
  <c r="Q4172" i="2"/>
  <c r="M4172" i="2"/>
  <c r="M3994" i="2"/>
  <c r="Q3990" i="2"/>
  <c r="M3990" i="2"/>
  <c r="M3986" i="2"/>
  <c r="M3982" i="2"/>
  <c r="M3978" i="2"/>
  <c r="Q3974" i="2"/>
  <c r="M3974" i="2"/>
  <c r="M3970" i="2"/>
  <c r="Q3966" i="2"/>
  <c r="M3966" i="2"/>
  <c r="M3962" i="2"/>
  <c r="M3958" i="2"/>
  <c r="Q5016" i="2"/>
  <c r="M5016" i="2"/>
  <c r="M3950" i="2"/>
  <c r="Q4200" i="2"/>
  <c r="M4200" i="2"/>
  <c r="Q3742" i="2"/>
  <c r="M3742" i="2"/>
  <c r="Q3716" i="2"/>
  <c r="M3716" i="2"/>
  <c r="Q1193" i="2"/>
  <c r="M1193" i="2"/>
  <c r="M3930" i="2"/>
  <c r="M3926" i="2"/>
  <c r="Q4046" i="2"/>
  <c r="M4046" i="2"/>
  <c r="Q4061" i="2"/>
  <c r="M4061" i="2"/>
  <c r="M3914" i="2"/>
  <c r="M3910" i="2"/>
  <c r="Q3906" i="2"/>
  <c r="M3906" i="2"/>
  <c r="M3902" i="2"/>
  <c r="M3898" i="2"/>
  <c r="Q3894" i="2"/>
  <c r="M3894" i="2"/>
  <c r="Q2377" i="2"/>
  <c r="M2377" i="2"/>
  <c r="Q3886" i="2"/>
  <c r="M3886" i="2"/>
  <c r="Q3882" i="2"/>
  <c r="M3882" i="2"/>
  <c r="Q6832" i="2"/>
  <c r="M6832" i="2"/>
  <c r="Q3874" i="2"/>
  <c r="M3874" i="2"/>
  <c r="Q3686" i="2"/>
  <c r="M3686" i="2"/>
  <c r="Q3866" i="2"/>
  <c r="M3866" i="2"/>
  <c r="Q3862" i="2"/>
  <c r="M3862" i="2"/>
  <c r="Q5907" i="2"/>
  <c r="M5907" i="2"/>
  <c r="Q3854" i="2"/>
  <c r="M3854" i="2"/>
  <c r="Q3850" i="2"/>
  <c r="M3850" i="2"/>
  <c r="Q3846" i="2"/>
  <c r="M3846" i="2"/>
  <c r="Q3842" i="2"/>
  <c r="M3842" i="2"/>
  <c r="Q3838" i="2"/>
  <c r="M3838" i="2"/>
  <c r="Q3834" i="2"/>
  <c r="M3834" i="2"/>
  <c r="Q3830" i="2"/>
  <c r="M3830" i="2"/>
  <c r="Q3826" i="2"/>
  <c r="M3826" i="2"/>
  <c r="M3822" i="2"/>
  <c r="Q92" i="2"/>
  <c r="M92" i="2"/>
  <c r="M3814" i="2"/>
  <c r="Q3810" i="2"/>
  <c r="M3810" i="2"/>
  <c r="M3806" i="2"/>
  <c r="Q3288" i="2"/>
  <c r="M3288" i="2"/>
  <c r="Q3798" i="2"/>
  <c r="M3798" i="2"/>
  <c r="Q5720" i="2"/>
  <c r="M5720" i="2"/>
  <c r="Q3790" i="2"/>
  <c r="M3790" i="2"/>
  <c r="Q578" i="2"/>
  <c r="M578" i="2"/>
  <c r="M3782" i="2"/>
  <c r="M3778" i="2"/>
  <c r="M3774" i="2"/>
  <c r="M3770" i="2"/>
  <c r="M3766" i="2"/>
  <c r="M3762" i="2"/>
  <c r="M3758" i="2"/>
  <c r="Q5604" i="2"/>
  <c r="M5604" i="2"/>
  <c r="Q3685" i="2"/>
  <c r="M3685" i="2"/>
  <c r="Q411" i="2"/>
  <c r="M411" i="2"/>
  <c r="Q3135" i="2"/>
  <c r="M3135" i="2"/>
  <c r="Q3738" i="2"/>
  <c r="M3738" i="2"/>
  <c r="M3734" i="2"/>
  <c r="Q3730" i="2"/>
  <c r="M3730" i="2"/>
  <c r="Q4154" i="2"/>
  <c r="M4154" i="2"/>
  <c r="M3722" i="2"/>
  <c r="Q2070" i="2"/>
  <c r="M2070" i="2"/>
  <c r="Q3714" i="2"/>
  <c r="M3714" i="2"/>
  <c r="M3710" i="2"/>
  <c r="Q1022" i="2"/>
  <c r="M1022" i="2"/>
  <c r="Q3702" i="2"/>
  <c r="M3702" i="2"/>
  <c r="Q3698" i="2"/>
  <c r="M3698" i="2"/>
  <c r="Q3694" i="2"/>
  <c r="M3694" i="2"/>
  <c r="Q5931" i="2"/>
  <c r="M5931" i="2"/>
  <c r="Q6877" i="2"/>
  <c r="M6877" i="2"/>
  <c r="Q3668" i="2"/>
  <c r="M3668" i="2"/>
  <c r="Q3678" i="2"/>
  <c r="M3678" i="2"/>
  <c r="M3674" i="2"/>
  <c r="Q3670" i="2"/>
  <c r="M3670" i="2"/>
  <c r="Q5040" i="2"/>
  <c r="M5040" i="2"/>
  <c r="Q6041" i="2"/>
  <c r="M6041" i="2"/>
  <c r="M3658" i="2"/>
  <c r="Q3871" i="2"/>
  <c r="M3871" i="2"/>
  <c r="Q3650" i="2"/>
  <c r="M3650" i="2"/>
  <c r="Q3646" i="2"/>
  <c r="M3646" i="2"/>
  <c r="Q3642" i="2"/>
  <c r="M3642" i="2"/>
  <c r="Q3638" i="2"/>
  <c r="M3638" i="2"/>
  <c r="M3634" i="2"/>
  <c r="M3630" i="2"/>
  <c r="Q1542" i="2"/>
  <c r="M1542" i="2"/>
  <c r="Q3622" i="2"/>
  <c r="M3622" i="2"/>
  <c r="Q5806" i="2"/>
  <c r="M5806" i="2"/>
  <c r="M3614" i="2"/>
  <c r="Q5220" i="2"/>
  <c r="M5220" i="2"/>
  <c r="Q1950" i="2"/>
  <c r="M1950" i="2"/>
  <c r="M3602" i="2"/>
  <c r="Q3598" i="2"/>
  <c r="M3598" i="2"/>
  <c r="Q3594" i="2"/>
  <c r="M3594" i="2"/>
  <c r="M3590" i="2"/>
  <c r="Q3586" i="2"/>
  <c r="M3586" i="2"/>
  <c r="M3582" i="2"/>
  <c r="M3578" i="2"/>
  <c r="M3574" i="2"/>
  <c r="Q5439" i="2"/>
  <c r="M5439" i="2"/>
  <c r="Q3566" i="2"/>
  <c r="M3566" i="2"/>
  <c r="M3562" i="2"/>
  <c r="M3558" i="2"/>
  <c r="Q3554" i="2"/>
  <c r="M3554" i="2"/>
  <c r="M3550" i="2"/>
  <c r="M3546" i="2"/>
  <c r="M3542" i="2"/>
  <c r="Q3996" i="2"/>
  <c r="M3996" i="2"/>
  <c r="M3534" i="2"/>
  <c r="M3530" i="2"/>
  <c r="Q3526" i="2"/>
  <c r="M3526" i="2"/>
  <c r="Q3522" i="2"/>
  <c r="M3522" i="2"/>
  <c r="M3518" i="2"/>
  <c r="Q3514" i="2"/>
  <c r="M3514" i="2"/>
  <c r="M3510" i="2"/>
  <c r="M3506" i="2"/>
  <c r="M3502" i="2"/>
  <c r="M3498" i="2"/>
  <c r="Q3494" i="2"/>
  <c r="M3494" i="2"/>
  <c r="Q1438" i="2"/>
  <c r="M1438" i="2"/>
  <c r="M3486" i="2"/>
  <c r="Q3482" i="2"/>
  <c r="M3482" i="2"/>
  <c r="M3478" i="2"/>
  <c r="M3474" i="2"/>
  <c r="Q3470" i="2"/>
  <c r="M3470" i="2"/>
  <c r="M3466" i="2"/>
  <c r="M3462" i="2"/>
  <c r="M3458" i="2"/>
  <c r="Q6059" i="2"/>
  <c r="M6059" i="2"/>
  <c r="M3450" i="2"/>
  <c r="M3446" i="2"/>
  <c r="M3442" i="2"/>
  <c r="Q3438" i="2"/>
  <c r="M3438" i="2"/>
  <c r="Q3434" i="2"/>
  <c r="M3434" i="2"/>
  <c r="M3430" i="2"/>
  <c r="Q3426" i="2"/>
  <c r="M3426" i="2"/>
  <c r="Q90" i="2"/>
  <c r="M90" i="2"/>
  <c r="Q5662" i="2"/>
  <c r="M5662" i="2"/>
  <c r="M3414" i="2"/>
  <c r="M3410" i="2"/>
  <c r="Q3406" i="2"/>
  <c r="M3406" i="2"/>
  <c r="M3402" i="2"/>
  <c r="M3398" i="2"/>
  <c r="Q3394" i="2"/>
  <c r="M3394" i="2"/>
  <c r="M3390" i="2"/>
  <c r="M3386" i="2"/>
  <c r="M3382" i="2"/>
  <c r="M3378" i="2"/>
  <c r="M3374" i="2"/>
  <c r="Q3370" i="2"/>
  <c r="M3370" i="2"/>
  <c r="Q3366" i="2"/>
  <c r="M3366" i="2"/>
  <c r="Q5038" i="2"/>
  <c r="M5038" i="2"/>
  <c r="Q6916" i="2"/>
  <c r="M6916" i="2"/>
  <c r="Q3354" i="2"/>
  <c r="M3354" i="2"/>
  <c r="Q3350" i="2"/>
  <c r="M3350" i="2"/>
  <c r="M3346" i="2"/>
  <c r="Q3342" i="2"/>
  <c r="M3342" i="2"/>
  <c r="M3338" i="2"/>
  <c r="Q3334" i="2"/>
  <c r="M3334" i="2"/>
  <c r="M3330" i="2"/>
  <c r="M3326" i="2"/>
  <c r="Q3322" i="2"/>
  <c r="M3322" i="2"/>
  <c r="M3318" i="2"/>
  <c r="M3314" i="2"/>
  <c r="M3310" i="2"/>
  <c r="Q3306" i="2"/>
  <c r="M3306" i="2"/>
  <c r="Q3715" i="2"/>
  <c r="M3715" i="2"/>
  <c r="Q2248" i="2"/>
  <c r="M2248" i="2"/>
  <c r="Q3294" i="2"/>
  <c r="M3294" i="2"/>
  <c r="Q3290" i="2"/>
  <c r="M3290" i="2"/>
  <c r="Q3286" i="2"/>
  <c r="M3286" i="2"/>
  <c r="Q3282" i="2"/>
  <c r="M3282" i="2"/>
  <c r="M3278" i="2"/>
  <c r="Q1674" i="2"/>
  <c r="M1674" i="2"/>
  <c r="Q3270" i="2"/>
  <c r="M3270" i="2"/>
  <c r="Q3266" i="2"/>
  <c r="M3266" i="2"/>
  <c r="Q6639" i="2"/>
  <c r="M6639" i="2"/>
  <c r="Q4940" i="2"/>
  <c r="M4940" i="2"/>
  <c r="Q3254" i="2"/>
  <c r="M3254" i="2"/>
  <c r="Q6915" i="2"/>
  <c r="M6915" i="2"/>
  <c r="Q3246" i="2"/>
  <c r="M3246" i="2"/>
  <c r="Q397" i="2"/>
  <c r="M397" i="2"/>
  <c r="Q3238" i="2"/>
  <c r="M3238" i="2"/>
  <c r="M3234" i="2"/>
  <c r="Q2840" i="2"/>
  <c r="M2840" i="2"/>
  <c r="Q3226" i="2"/>
  <c r="M3226" i="2"/>
  <c r="Q3222" i="2"/>
  <c r="M3222" i="2"/>
  <c r="M3218" i="2"/>
  <c r="M3214" i="2"/>
  <c r="M3210" i="2"/>
  <c r="M3206" i="2"/>
  <c r="Q1104" i="2"/>
  <c r="M1104" i="2"/>
  <c r="M3198" i="2"/>
  <c r="Q3194" i="2"/>
  <c r="M3194" i="2"/>
  <c r="M3190" i="2"/>
  <c r="M3186" i="2"/>
  <c r="Q3182" i="2"/>
  <c r="M3182" i="2"/>
  <c r="Q3178" i="2"/>
  <c r="M3178" i="2"/>
  <c r="Q4204" i="2"/>
  <c r="M4204" i="2"/>
  <c r="Q6490" i="2"/>
  <c r="M6490" i="2"/>
  <c r="Q1430" i="2"/>
  <c r="M1430" i="2"/>
  <c r="Q3162" i="2"/>
  <c r="M3162" i="2"/>
  <c r="Q3158" i="2"/>
  <c r="M3158" i="2"/>
  <c r="Q299" i="2"/>
  <c r="M299" i="2"/>
  <c r="Q3150" i="2"/>
  <c r="M3150" i="2"/>
  <c r="Q5546" i="2"/>
  <c r="M5546" i="2"/>
  <c r="M3142" i="2"/>
  <c r="Q3138" i="2"/>
  <c r="M3138" i="2"/>
  <c r="Q4296" i="2"/>
  <c r="M4296" i="2"/>
  <c r="Q3130" i="2"/>
  <c r="M3130" i="2"/>
  <c r="Q3126" i="2"/>
  <c r="M3126" i="2"/>
  <c r="Q3122" i="2"/>
  <c r="M3122" i="2"/>
  <c r="Q3118" i="2"/>
  <c r="M3118" i="2"/>
  <c r="Q5786" i="2"/>
  <c r="M5786" i="2"/>
  <c r="Q3110" i="2"/>
  <c r="M3110" i="2"/>
  <c r="M3106" i="2"/>
  <c r="M3102" i="2"/>
  <c r="Q3098" i="2"/>
  <c r="M3098" i="2"/>
  <c r="Q3094" i="2"/>
  <c r="M3094" i="2"/>
  <c r="M3090" i="2"/>
  <c r="Q3086" i="2"/>
  <c r="M3086" i="2"/>
  <c r="M3082" i="2"/>
  <c r="M3078" i="2"/>
  <c r="M3074" i="2"/>
  <c r="M3070" i="2"/>
  <c r="M3066" i="2"/>
  <c r="M3062" i="2"/>
  <c r="M3058" i="2"/>
  <c r="Q3054" i="2"/>
  <c r="M3054" i="2"/>
  <c r="Q3050" i="2"/>
  <c r="M3050" i="2"/>
  <c r="Q4593" i="2"/>
  <c r="M4593" i="2"/>
  <c r="Q5570" i="2"/>
  <c r="M5570" i="2"/>
  <c r="Q3038" i="2"/>
  <c r="M3038" i="2"/>
  <c r="M3034" i="2"/>
  <c r="M3030" i="2"/>
  <c r="Q3026" i="2"/>
  <c r="M3026" i="2"/>
  <c r="Q3022" i="2"/>
  <c r="M3022" i="2"/>
  <c r="M3018" i="2"/>
  <c r="Q3728" i="2"/>
  <c r="M3728" i="2"/>
  <c r="Q3010" i="2"/>
  <c r="M3010" i="2"/>
  <c r="M3006" i="2"/>
  <c r="Q3002" i="2"/>
  <c r="M3002" i="2"/>
  <c r="Q3955" i="2"/>
  <c r="M3955" i="2"/>
  <c r="Q1901" i="2"/>
  <c r="M1901" i="2"/>
  <c r="Q1064" i="2"/>
  <c r="M1064" i="2"/>
  <c r="Q2986" i="2"/>
  <c r="M2986" i="2"/>
  <c r="Q5545" i="2"/>
  <c r="M5545" i="2"/>
  <c r="Q2978" i="2"/>
  <c r="M2978" i="2"/>
  <c r="Q2974" i="2"/>
  <c r="M2974" i="2"/>
  <c r="Q2909" i="2"/>
  <c r="M2909" i="2"/>
  <c r="M2966" i="2"/>
  <c r="Q2962" i="2"/>
  <c r="M2962" i="2"/>
  <c r="Q2958" i="2"/>
  <c r="M2958" i="2"/>
  <c r="Q2954" i="2"/>
  <c r="M2954" i="2"/>
  <c r="Q2950" i="2"/>
  <c r="M2950" i="2"/>
  <c r="M2946" i="2"/>
  <c r="M2942" i="2"/>
  <c r="Q2938" i="2"/>
  <c r="M2938" i="2"/>
  <c r="Q2762" i="2"/>
  <c r="M2762" i="2"/>
  <c r="M2930" i="2"/>
  <c r="Q2926" i="2"/>
  <c r="M2926" i="2"/>
  <c r="M2922" i="2"/>
  <c r="M2918" i="2"/>
  <c r="M2914" i="2"/>
  <c r="Q673" i="2"/>
  <c r="M673" i="2"/>
  <c r="Q1233" i="2"/>
  <c r="M1233" i="2"/>
  <c r="Q5428" i="2"/>
  <c r="M5428" i="2"/>
  <c r="Q2898" i="2"/>
  <c r="M2898" i="2"/>
  <c r="Q2894" i="2"/>
  <c r="M2894" i="2"/>
  <c r="Q2890" i="2"/>
  <c r="M2890" i="2"/>
  <c r="Q2886" i="2"/>
  <c r="M2886" i="2"/>
  <c r="M2882" i="2"/>
  <c r="M2878" i="2"/>
  <c r="Q4826" i="2"/>
  <c r="M4826" i="2"/>
  <c r="Q2870" i="2"/>
  <c r="M2870" i="2"/>
  <c r="M2866" i="2"/>
  <c r="M2862" i="2"/>
  <c r="Q2858" i="2"/>
  <c r="M2858" i="2"/>
  <c r="Q2854" i="2"/>
  <c r="M2854" i="2"/>
  <c r="Q3682" i="2"/>
  <c r="M3682" i="2"/>
  <c r="M2846" i="2"/>
  <c r="M2842" i="2"/>
  <c r="Q4661" i="2"/>
  <c r="M4661" i="2"/>
  <c r="Q4049" i="2"/>
  <c r="M4049" i="2"/>
  <c r="Q2830" i="2"/>
  <c r="M2830" i="2"/>
  <c r="Q3754" i="2"/>
  <c r="M3754" i="2"/>
  <c r="Q1076" i="2"/>
  <c r="M1076" i="2"/>
  <c r="Q2818" i="2"/>
  <c r="M2818" i="2"/>
  <c r="M2814" i="2"/>
  <c r="Q3043" i="2"/>
  <c r="M3043" i="2"/>
  <c r="Q2806" i="2"/>
  <c r="M2806" i="2"/>
  <c r="Q4372" i="2"/>
  <c r="M4372" i="2"/>
  <c r="Q2798" i="2"/>
  <c r="M2798" i="2"/>
  <c r="Q2794" i="2"/>
  <c r="M2794" i="2"/>
  <c r="Q5634" i="2"/>
  <c r="M5634" i="2"/>
  <c r="M2786" i="2"/>
  <c r="M2782" i="2"/>
  <c r="Q2778" i="2"/>
  <c r="M2778" i="2"/>
  <c r="Q2774" i="2"/>
  <c r="M2774" i="2"/>
  <c r="Q1454" i="2"/>
  <c r="M1454" i="2"/>
  <c r="M2766" i="2"/>
  <c r="Q2619" i="2"/>
  <c r="M2619" i="2"/>
  <c r="M2758" i="2"/>
  <c r="Q5795" i="2"/>
  <c r="M5795" i="2"/>
  <c r="Q2750" i="2"/>
  <c r="M2750" i="2"/>
  <c r="Q2746" i="2"/>
  <c r="M2746" i="2"/>
  <c r="Q5960" i="2"/>
  <c r="M5960" i="2"/>
  <c r="Q5585" i="2"/>
  <c r="M5585" i="2"/>
  <c r="Q6694" i="2"/>
  <c r="M6694" i="2"/>
  <c r="M2730" i="2"/>
  <c r="Q2726" i="2"/>
  <c r="M2726" i="2"/>
  <c r="Q2722" i="2"/>
  <c r="M2722" i="2"/>
  <c r="Q4571" i="2"/>
  <c r="M4571" i="2"/>
  <c r="Q2714" i="2"/>
  <c r="M2714" i="2"/>
  <c r="Q2710" i="2"/>
  <c r="M2710" i="2"/>
  <c r="Q2706" i="2"/>
  <c r="M2706" i="2"/>
  <c r="Q2702" i="2"/>
  <c r="M2702" i="2"/>
  <c r="Q4118" i="2"/>
  <c r="M4118" i="2"/>
  <c r="Q766" i="2"/>
  <c r="M766" i="2"/>
  <c r="Q5997" i="2"/>
  <c r="M5997" i="2"/>
  <c r="M2686" i="2"/>
  <c r="M2682" i="2"/>
  <c r="Q7152" i="2"/>
  <c r="M7152" i="2"/>
  <c r="Q5621" i="2"/>
  <c r="M5621" i="2"/>
  <c r="M2670" i="2"/>
  <c r="Q2666" i="2"/>
  <c r="M2666" i="2"/>
  <c r="Q2662" i="2"/>
  <c r="M2662" i="2"/>
  <c r="Q2658" i="2"/>
  <c r="M2658" i="2"/>
  <c r="Q2654" i="2"/>
  <c r="M2654" i="2"/>
  <c r="M2650" i="2"/>
  <c r="M2646" i="2"/>
  <c r="M2642" i="2"/>
  <c r="M2638" i="2"/>
  <c r="M2634" i="2"/>
  <c r="M2630" i="2"/>
  <c r="M2626" i="2"/>
  <c r="M2622" i="2"/>
  <c r="Q2618" i="2"/>
  <c r="M2618" i="2"/>
  <c r="Q6077" i="2"/>
  <c r="M6077" i="2"/>
  <c r="Q6912" i="2"/>
  <c r="M6912" i="2"/>
  <c r="Q2606" i="2"/>
  <c r="M2606" i="2"/>
  <c r="M2602" i="2"/>
  <c r="M2598" i="2"/>
  <c r="M2594" i="2"/>
  <c r="M2590" i="2"/>
  <c r="Q2586" i="2"/>
  <c r="M2586" i="2"/>
  <c r="Q2582" i="2"/>
  <c r="M2582" i="2"/>
  <c r="Q2578" i="2"/>
  <c r="M2578" i="2"/>
  <c r="Q2574" i="2"/>
  <c r="M2574" i="2"/>
  <c r="Q2570" i="2"/>
  <c r="M2570" i="2"/>
  <c r="Q2566" i="2"/>
  <c r="M2566" i="2"/>
  <c r="M2562" i="2"/>
  <c r="Q2558" i="2"/>
  <c r="M2558" i="2"/>
  <c r="M2554" i="2"/>
  <c r="M2550" i="2"/>
  <c r="M2546" i="2"/>
  <c r="Q2542" i="2"/>
  <c r="M2542" i="2"/>
  <c r="M2538" i="2"/>
  <c r="M2534" i="2"/>
  <c r="Q5861" i="2"/>
  <c r="M5861" i="2"/>
  <c r="M2526" i="2"/>
  <c r="M2522" i="2"/>
  <c r="Q2518" i="2"/>
  <c r="M2518" i="2"/>
  <c r="Q2514" i="2"/>
  <c r="M2514" i="2"/>
  <c r="M2510" i="2"/>
  <c r="M2506" i="2"/>
  <c r="M2502" i="2"/>
  <c r="Q2498" i="2"/>
  <c r="M2498" i="2"/>
  <c r="Q2494" i="2"/>
  <c r="M2494" i="2"/>
  <c r="Q4284" i="2"/>
  <c r="M4284" i="2"/>
  <c r="M2486" i="2"/>
  <c r="Q4616" i="2"/>
  <c r="M4616" i="2"/>
  <c r="M2478" i="2"/>
  <c r="Q820" i="2"/>
  <c r="M820" i="2"/>
  <c r="Q2470" i="2"/>
  <c r="M2470" i="2"/>
  <c r="M2466" i="2"/>
  <c r="Q364" i="2"/>
  <c r="M364" i="2"/>
  <c r="Q2458" i="2"/>
  <c r="M2458" i="2"/>
  <c r="Q2454" i="2"/>
  <c r="M2454" i="2"/>
  <c r="Q2450" i="2"/>
  <c r="M2450" i="2"/>
  <c r="M2446" i="2"/>
  <c r="Q2442" i="2"/>
  <c r="M2442" i="2"/>
  <c r="M2438" i="2"/>
  <c r="M2434" i="2"/>
  <c r="M2430" i="2"/>
  <c r="M2426" i="2"/>
  <c r="Q2717" i="2"/>
  <c r="M2717" i="2"/>
  <c r="Q3605" i="2"/>
  <c r="M3605" i="2"/>
  <c r="Q75" i="2"/>
  <c r="M75" i="2"/>
  <c r="M2410" i="2"/>
  <c r="M2406" i="2"/>
  <c r="Q2402" i="2"/>
  <c r="M2402" i="2"/>
  <c r="Q5841" i="2"/>
  <c r="M5841" i="2"/>
  <c r="M2394" i="2"/>
  <c r="Q2390" i="2"/>
  <c r="M2390" i="2"/>
  <c r="Q6579" i="2"/>
  <c r="M6579" i="2"/>
  <c r="Q2811" i="2"/>
  <c r="M2811" i="2"/>
  <c r="Q2378" i="2"/>
  <c r="M2378" i="2"/>
  <c r="Q2374" i="2"/>
  <c r="M2374" i="2"/>
  <c r="M2370" i="2"/>
  <c r="Q2366" i="2"/>
  <c r="M2366" i="2"/>
  <c r="Q74" i="2"/>
  <c r="M74" i="2"/>
  <c r="Q2358" i="2"/>
  <c r="M2358" i="2"/>
  <c r="M2354" i="2"/>
  <c r="Q2350" i="2"/>
  <c r="M2350" i="2"/>
  <c r="M2346" i="2"/>
  <c r="M2342" i="2"/>
  <c r="M2338" i="2"/>
  <c r="Q2334" i="2"/>
  <c r="M2334" i="2"/>
  <c r="Q2330" i="2"/>
  <c r="M2330" i="2"/>
  <c r="M2326" i="2"/>
  <c r="M2322" i="2"/>
  <c r="Q663" i="2"/>
  <c r="M663" i="2"/>
  <c r="M2314" i="2"/>
  <c r="Q2310" i="2"/>
  <c r="M2310" i="2"/>
  <c r="Q4847" i="2"/>
  <c r="M4847" i="2"/>
  <c r="Q3603" i="2"/>
  <c r="M3603" i="2"/>
  <c r="Q1177" i="2"/>
  <c r="M1177" i="2"/>
  <c r="Q5650" i="2"/>
  <c r="M5650" i="2"/>
  <c r="M2290" i="2"/>
  <c r="Q6241" i="2"/>
  <c r="M6241" i="2"/>
  <c r="Q6391" i="2"/>
  <c r="M6391" i="2"/>
  <c r="M2278" i="2"/>
  <c r="Q4400" i="2"/>
  <c r="M4400" i="2"/>
  <c r="Q4570" i="2"/>
  <c r="M4570" i="2"/>
  <c r="Q2266" i="2"/>
  <c r="M2266" i="2"/>
  <c r="Q1045" i="2"/>
  <c r="M1045" i="2"/>
  <c r="Q2258" i="2"/>
  <c r="M2258" i="2"/>
  <c r="Q2254" i="2"/>
  <c r="M2254" i="2"/>
  <c r="Q4752" i="2"/>
  <c r="M4752" i="2"/>
  <c r="M2246" i="2"/>
  <c r="M2242" i="2"/>
  <c r="Q5117" i="2"/>
  <c r="M5117" i="2"/>
  <c r="Q2234" i="2"/>
  <c r="M2234" i="2"/>
  <c r="M2230" i="2"/>
  <c r="M2226" i="2"/>
  <c r="Q2222" i="2"/>
  <c r="M2222" i="2"/>
  <c r="Q2218" i="2"/>
  <c r="M2218" i="2"/>
  <c r="M2214" i="2"/>
  <c r="M2210" i="2"/>
  <c r="M2206" i="2"/>
  <c r="Q2405" i="2"/>
  <c r="M2405" i="2"/>
  <c r="Q2198" i="2"/>
  <c r="M2198" i="2"/>
  <c r="Q2194" i="2"/>
  <c r="M2194" i="2"/>
  <c r="M2190" i="2"/>
  <c r="Q2186" i="2"/>
  <c r="M2186" i="2"/>
  <c r="M2182" i="2"/>
  <c r="M2178" i="2"/>
  <c r="Q6663" i="2"/>
  <c r="M6663" i="2"/>
  <c r="M2170" i="2"/>
  <c r="M2166" i="2"/>
  <c r="Q6063" i="2"/>
  <c r="M6063" i="2"/>
  <c r="M2158" i="2"/>
  <c r="Q3329" i="2"/>
  <c r="M3329" i="2"/>
  <c r="Q2150" i="2"/>
  <c r="M2150" i="2"/>
  <c r="Q1283" i="2"/>
  <c r="M1283" i="2"/>
  <c r="Q2142" i="2"/>
  <c r="M2142" i="2"/>
  <c r="Q1948" i="2"/>
  <c r="M1948" i="2"/>
  <c r="Q2134" i="2"/>
  <c r="M2134" i="2"/>
  <c r="Q819" i="2"/>
  <c r="M819" i="2"/>
  <c r="Q6711" i="2"/>
  <c r="M6711" i="2"/>
  <c r="M2122" i="2"/>
  <c r="Q1537" i="2"/>
  <c r="M1537" i="2"/>
  <c r="Q2114" i="2"/>
  <c r="M2114" i="2"/>
  <c r="M2110" i="2"/>
  <c r="Q4682" i="2"/>
  <c r="M4682" i="2"/>
  <c r="Q4929" i="2"/>
  <c r="M4929" i="2"/>
  <c r="Q2098" i="2"/>
  <c r="M2098" i="2"/>
  <c r="Q2094" i="2"/>
  <c r="M2094" i="2"/>
  <c r="Q2090" i="2"/>
  <c r="M2090" i="2"/>
  <c r="Q5951" i="2"/>
  <c r="M5951" i="2"/>
  <c r="M2082" i="2"/>
  <c r="Q2078" i="2"/>
  <c r="M2078" i="2"/>
  <c r="Q2074" i="2"/>
  <c r="M2074" i="2"/>
  <c r="Q4650" i="2"/>
  <c r="M4650" i="2"/>
  <c r="Q2066" i="2"/>
  <c r="M2066" i="2"/>
  <c r="M2062" i="2"/>
  <c r="M2058" i="2"/>
  <c r="M2054" i="2"/>
  <c r="M2050" i="2"/>
  <c r="Q2046" i="2"/>
  <c r="M2046" i="2"/>
  <c r="Q2042" i="2"/>
  <c r="M2042" i="2"/>
  <c r="M2038" i="2"/>
  <c r="Q4947" i="2"/>
  <c r="M4947" i="2"/>
  <c r="M2030" i="2"/>
  <c r="Q2026" i="2"/>
  <c r="M2026" i="2"/>
  <c r="M2022" i="2"/>
  <c r="Q2018" i="2"/>
  <c r="M2018" i="2"/>
  <c r="Q2014" i="2"/>
  <c r="M2014" i="2"/>
  <c r="M2010" i="2"/>
  <c r="M2006" i="2"/>
  <c r="M2002" i="2"/>
  <c r="M1998" i="2"/>
  <c r="M1994" i="2"/>
  <c r="M1990" i="2"/>
  <c r="Q1986" i="2"/>
  <c r="M1986" i="2"/>
  <c r="Q5516" i="2"/>
  <c r="M5516" i="2"/>
  <c r="Q3858" i="2"/>
  <c r="M3858" i="2"/>
  <c r="Q1974" i="2"/>
  <c r="M1974" i="2"/>
  <c r="Q3570" i="2"/>
  <c r="M3570" i="2"/>
  <c r="Q1966" i="2"/>
  <c r="M1966" i="2"/>
  <c r="M1962" i="2"/>
  <c r="Q4109" i="2"/>
  <c r="M4109" i="2"/>
  <c r="M1954" i="2"/>
  <c r="Q3726" i="2"/>
  <c r="M3726" i="2"/>
  <c r="M1946" i="2"/>
  <c r="M1942" i="2"/>
  <c r="Q2127" i="2"/>
  <c r="M2127" i="2"/>
  <c r="M1934" i="2"/>
  <c r="Q5703" i="2"/>
  <c r="M5703" i="2"/>
  <c r="Q1421" i="2"/>
  <c r="M1421" i="2"/>
  <c r="M1922" i="2"/>
  <c r="Q1918" i="2"/>
  <c r="M1918" i="2"/>
  <c r="Q2785" i="2"/>
  <c r="M2785" i="2"/>
  <c r="Q4767" i="2"/>
  <c r="M4767" i="2"/>
  <c r="Q1906" i="2"/>
  <c r="M1906" i="2"/>
  <c r="Q1044" i="2"/>
  <c r="M1044" i="2"/>
  <c r="Q1898" i="2"/>
  <c r="M1898" i="2"/>
  <c r="Q1894" i="2"/>
  <c r="M1894" i="2"/>
  <c r="Q1890" i="2"/>
  <c r="M1890" i="2"/>
  <c r="Q1886" i="2"/>
  <c r="M1886" i="2"/>
  <c r="Q1882" i="2"/>
  <c r="M1882" i="2"/>
  <c r="Q2972" i="2"/>
  <c r="M2972" i="2"/>
  <c r="M1874" i="2"/>
  <c r="M1870" i="2"/>
  <c r="Q1866" i="2"/>
  <c r="M1866" i="2"/>
  <c r="Q1862" i="2"/>
  <c r="M1862" i="2"/>
  <c r="Q1858" i="2"/>
  <c r="M1858" i="2"/>
  <c r="Q1854" i="2"/>
  <c r="M1854" i="2"/>
  <c r="Q47" i="2"/>
  <c r="M47" i="2"/>
  <c r="M1846" i="2"/>
  <c r="Q1842" i="2"/>
  <c r="M1842" i="2"/>
  <c r="M1838" i="2"/>
  <c r="Q1939" i="2"/>
  <c r="M1939" i="2"/>
  <c r="M1830" i="2"/>
  <c r="M1826" i="2"/>
  <c r="Q1822" i="2"/>
  <c r="M1822" i="2"/>
  <c r="Q1818" i="2"/>
  <c r="M1818" i="2"/>
  <c r="M1814" i="2"/>
  <c r="Q1810" i="2"/>
  <c r="M1810" i="2"/>
  <c r="Q1806" i="2"/>
  <c r="M1806" i="2"/>
  <c r="M1802" i="2"/>
  <c r="M1798" i="2"/>
  <c r="Q1794" i="2"/>
  <c r="M1794" i="2"/>
  <c r="M1790" i="2"/>
  <c r="Q1786" i="2"/>
  <c r="M1786" i="2"/>
  <c r="M1782" i="2"/>
  <c r="M1778" i="2"/>
  <c r="M1774" i="2"/>
  <c r="M1770" i="2"/>
  <c r="M1766" i="2"/>
  <c r="M1762" i="2"/>
  <c r="M1758" i="2"/>
  <c r="Q1754" i="2"/>
  <c r="M1754" i="2"/>
  <c r="M1750" i="2"/>
  <c r="Q1746" i="2"/>
  <c r="M1746" i="2"/>
  <c r="Q1742" i="2"/>
  <c r="M1742" i="2"/>
  <c r="Q1738" i="2"/>
  <c r="M1738" i="2"/>
  <c r="M1734" i="2"/>
  <c r="M1730" i="2"/>
  <c r="Q6055" i="2"/>
  <c r="M6055" i="2"/>
  <c r="Q1722" i="2"/>
  <c r="M1722" i="2"/>
  <c r="M1718" i="2"/>
  <c r="Q1714" i="2"/>
  <c r="M1714" i="2"/>
  <c r="Q1710" i="2"/>
  <c r="M1710" i="2"/>
  <c r="Q1706" i="2"/>
  <c r="M1706" i="2"/>
  <c r="M1702" i="2"/>
  <c r="M1698" i="2"/>
  <c r="M1694" i="2"/>
  <c r="M1690" i="2"/>
  <c r="Q46" i="2"/>
  <c r="M46" i="2"/>
  <c r="Q1682" i="2"/>
  <c r="M1682" i="2"/>
  <c r="Q5808" i="2"/>
  <c r="M5808" i="2"/>
  <c r="Q3171" i="2"/>
  <c r="M3171" i="2"/>
  <c r="M1670" i="2"/>
  <c r="Q5141" i="2"/>
  <c r="M5141" i="2"/>
  <c r="Q1662" i="2"/>
  <c r="M1662" i="2"/>
  <c r="M1658" i="2"/>
  <c r="Q1654" i="2"/>
  <c r="M1654" i="2"/>
  <c r="M1650" i="2"/>
  <c r="M1646" i="2"/>
  <c r="M1642" i="2"/>
  <c r="Q1638" i="2"/>
  <c r="M1638" i="2"/>
  <c r="M1634" i="2"/>
  <c r="M1630" i="2"/>
  <c r="Q1626" i="2"/>
  <c r="M1626" i="2"/>
  <c r="Q2701" i="2"/>
  <c r="M2701" i="2"/>
  <c r="M1618" i="2"/>
  <c r="M1614" i="2"/>
  <c r="Q1610" i="2"/>
  <c r="M1610" i="2"/>
  <c r="Q385" i="2"/>
  <c r="M385" i="2"/>
  <c r="Q1602" i="2"/>
  <c r="M1602" i="2"/>
  <c r="M1598" i="2"/>
  <c r="Q1594" i="2"/>
  <c r="M1594" i="2"/>
  <c r="M1590" i="2"/>
  <c r="Q1586" i="2"/>
  <c r="M1586" i="2"/>
  <c r="M1582" i="2"/>
  <c r="M1578" i="2"/>
  <c r="M1574" i="2"/>
  <c r="Q1570" i="2"/>
  <c r="M1570" i="2"/>
  <c r="M1566" i="2"/>
  <c r="M1562" i="2"/>
  <c r="M1558" i="2"/>
  <c r="M1554" i="2"/>
  <c r="Q1550" i="2"/>
  <c r="M1550" i="2"/>
  <c r="Q1546" i="2"/>
  <c r="M1546" i="2"/>
  <c r="Q3539" i="2"/>
  <c r="M3539" i="2"/>
  <c r="Q1538" i="2"/>
  <c r="M1538" i="2"/>
  <c r="Q1912" i="2"/>
  <c r="M1912" i="2"/>
  <c r="Q5614" i="2"/>
  <c r="M5614" i="2"/>
  <c r="Q4283" i="2"/>
  <c r="M4283" i="2"/>
  <c r="Q864" i="2"/>
  <c r="M864" i="2"/>
  <c r="M1518" i="2"/>
  <c r="Q1514" i="2"/>
  <c r="M1514" i="2"/>
  <c r="M1510" i="2"/>
  <c r="Q1506" i="2"/>
  <c r="M1506" i="2"/>
  <c r="Q3870" i="2"/>
  <c r="M3870" i="2"/>
  <c r="M1498" i="2"/>
  <c r="Q1938" i="2"/>
  <c r="M1938" i="2"/>
  <c r="Q679" i="2"/>
  <c r="M679" i="2"/>
  <c r="M1486" i="2"/>
  <c r="M1482" i="2"/>
  <c r="M1478" i="2"/>
  <c r="M1474" i="2"/>
  <c r="M1470" i="2"/>
  <c r="M1466" i="2"/>
  <c r="M1462" i="2"/>
  <c r="M1458" i="2"/>
  <c r="Q1914" i="2"/>
  <c r="M1914" i="2"/>
  <c r="M1450" i="2"/>
  <c r="Q199" i="2"/>
  <c r="M199" i="2"/>
  <c r="Q2102" i="2"/>
  <c r="M2102" i="2"/>
  <c r="Q5140" i="2"/>
  <c r="M5140" i="2"/>
  <c r="Q1434" i="2"/>
  <c r="M1434" i="2"/>
  <c r="Q1397" i="2"/>
  <c r="M1397" i="2"/>
  <c r="Q1426" i="2"/>
  <c r="M1426" i="2"/>
  <c r="M1422" i="2"/>
  <c r="Q4281" i="2"/>
  <c r="M4281" i="2"/>
  <c r="Q1449" i="2"/>
  <c r="M1449" i="2"/>
  <c r="Q1410" i="2"/>
  <c r="M1410" i="2"/>
  <c r="Q6873" i="2"/>
  <c r="M6873" i="2"/>
  <c r="Q1402" i="2"/>
  <c r="M1402" i="2"/>
  <c r="Q1398" i="2"/>
  <c r="M1398" i="2"/>
  <c r="Q2391" i="2"/>
  <c r="M2391" i="2"/>
  <c r="Q6763" i="2"/>
  <c r="M6763" i="2"/>
  <c r="Q1386" i="2"/>
  <c r="M1386" i="2"/>
  <c r="M1382" i="2"/>
  <c r="Q1534" i="2"/>
  <c r="M1534" i="2"/>
  <c r="Q446" i="2"/>
  <c r="M446" i="2"/>
  <c r="Q2852" i="2"/>
  <c r="M2852" i="2"/>
  <c r="M1366" i="2"/>
  <c r="Q4094" i="2"/>
  <c r="M4094" i="2"/>
  <c r="Q1358" i="2"/>
  <c r="M1358" i="2"/>
  <c r="Q1354" i="2"/>
  <c r="M1354" i="2"/>
  <c r="M1350" i="2"/>
  <c r="M1346" i="2"/>
  <c r="Q5712" i="2"/>
  <c r="M5712" i="2"/>
  <c r="Q1338" i="2"/>
  <c r="M1338" i="2"/>
  <c r="M1334" i="2"/>
  <c r="M1330" i="2"/>
  <c r="M1326" i="2"/>
  <c r="M1322" i="2"/>
  <c r="Q1318" i="2"/>
  <c r="M1318" i="2"/>
  <c r="M1314" i="2"/>
  <c r="M1310" i="2"/>
  <c r="M1306" i="2"/>
  <c r="Q1302" i="2"/>
  <c r="M1302" i="2"/>
  <c r="Q3888" i="2"/>
  <c r="M3888" i="2"/>
  <c r="Q1294" i="2"/>
  <c r="M1294" i="2"/>
  <c r="Q1073" i="2"/>
  <c r="M1073" i="2"/>
  <c r="Q1927" i="2"/>
  <c r="M1927" i="2"/>
  <c r="M1282" i="2"/>
  <c r="M1278" i="2"/>
  <c r="M1274" i="2"/>
  <c r="Q5628" i="2"/>
  <c r="M5628" i="2"/>
  <c r="M1266" i="2"/>
  <c r="Q1262" i="2"/>
  <c r="M1262" i="2"/>
  <c r="Q2148" i="2"/>
  <c r="M2148" i="2"/>
  <c r="Q4039" i="2"/>
  <c r="M4039" i="2"/>
  <c r="Q1250" i="2"/>
  <c r="M1250" i="2"/>
  <c r="Q6155" i="2"/>
  <c r="M6155" i="2"/>
  <c r="Q1242" i="2"/>
  <c r="M1242" i="2"/>
  <c r="Q1238" i="2"/>
  <c r="M1238" i="2"/>
  <c r="Q1234" i="2"/>
  <c r="M1234" i="2"/>
  <c r="Q1230" i="2"/>
  <c r="M1230" i="2"/>
  <c r="Q677" i="2"/>
  <c r="M677" i="2"/>
  <c r="Q5932" i="2"/>
  <c r="M5932" i="2"/>
  <c r="Q1218" i="2"/>
  <c r="M1218" i="2"/>
  <c r="M1214" i="2"/>
  <c r="Q1210" i="2"/>
  <c r="M1210" i="2"/>
  <c r="Q1206" i="2"/>
  <c r="M1206" i="2"/>
  <c r="Q1202" i="2"/>
  <c r="M1202" i="2"/>
  <c r="Q1198" i="2"/>
  <c r="M1198" i="2"/>
  <c r="M1194" i="2"/>
  <c r="M1190" i="2"/>
  <c r="Q4410" i="2"/>
  <c r="M4410" i="2"/>
  <c r="M1182" i="2"/>
  <c r="M1178" i="2"/>
  <c r="M1174" i="2"/>
  <c r="Q1170" i="2"/>
  <c r="M1170" i="2"/>
  <c r="M1166" i="2"/>
  <c r="Q1162" i="2"/>
  <c r="M1162" i="2"/>
  <c r="Q1158" i="2"/>
  <c r="M1158" i="2"/>
  <c r="M1154" i="2"/>
  <c r="M1150" i="2"/>
  <c r="Q1146" i="2"/>
  <c r="M1146" i="2"/>
  <c r="Q1142" i="2"/>
  <c r="M1142" i="2"/>
  <c r="M1138" i="2"/>
  <c r="M1134" i="2"/>
  <c r="M1130" i="2"/>
  <c r="M1126" i="2"/>
  <c r="M1122" i="2"/>
  <c r="Q2796" i="2"/>
  <c r="M2796" i="2"/>
  <c r="Q1114" i="2"/>
  <c r="M1114" i="2"/>
  <c r="Q1110" i="2"/>
  <c r="M1110" i="2"/>
  <c r="M1106" i="2"/>
  <c r="Q4636" i="2"/>
  <c r="M4636" i="2"/>
  <c r="Q415" i="2"/>
  <c r="M415" i="2"/>
  <c r="Q6095" i="2"/>
  <c r="M6095" i="2"/>
  <c r="Q1090" i="2"/>
  <c r="M1090" i="2"/>
  <c r="M1086" i="2"/>
  <c r="Q5901" i="2"/>
  <c r="M5901" i="2"/>
  <c r="Q1078" i="2"/>
  <c r="M1078" i="2"/>
  <c r="Q4980" i="2"/>
  <c r="M4980" i="2"/>
  <c r="M1070" i="2"/>
  <c r="Q1066" i="2"/>
  <c r="M1066" i="2"/>
  <c r="Q1062" i="2"/>
  <c r="M1062" i="2"/>
  <c r="Q5831" i="2"/>
  <c r="M5831" i="2"/>
  <c r="Q747" i="2"/>
  <c r="M747" i="2"/>
  <c r="Q6078" i="2"/>
  <c r="M6078" i="2"/>
  <c r="Q1185" i="2"/>
  <c r="M1185" i="2"/>
  <c r="Q1042" i="2"/>
  <c r="M1042" i="2"/>
  <c r="Q1038" i="2"/>
  <c r="M1038" i="2"/>
  <c r="Q1034" i="2"/>
  <c r="M1034" i="2"/>
  <c r="M1030" i="2"/>
  <c r="Q963" i="2"/>
  <c r="M963" i="2"/>
  <c r="Q6186" i="2"/>
  <c r="M6186" i="2"/>
  <c r="Q4091" i="2"/>
  <c r="M4091" i="2"/>
  <c r="Q5543" i="2"/>
  <c r="M5543" i="2"/>
  <c r="M1010" i="2"/>
  <c r="Q1006" i="2"/>
  <c r="M1006" i="2"/>
  <c r="Q1002" i="2"/>
  <c r="M1002" i="2"/>
  <c r="M998" i="2"/>
  <c r="Q994" i="2"/>
  <c r="M994" i="2"/>
  <c r="Q990" i="2"/>
  <c r="M990" i="2"/>
  <c r="Q986" i="2"/>
  <c r="M986" i="2"/>
  <c r="Q982" i="2"/>
  <c r="M982" i="2"/>
  <c r="Q978" i="2"/>
  <c r="M978" i="2"/>
  <c r="Q974" i="2"/>
  <c r="M974" i="2"/>
  <c r="M970" i="2"/>
  <c r="Q5174" i="2"/>
  <c r="M5174" i="2"/>
  <c r="M962" i="2"/>
  <c r="M958" i="2"/>
  <c r="Q954" i="2"/>
  <c r="M954" i="2"/>
  <c r="Q950" i="2"/>
  <c r="M950" i="2"/>
  <c r="M946" i="2"/>
  <c r="M942" i="2"/>
  <c r="Q5620" i="2"/>
  <c r="M5620" i="2"/>
  <c r="M934" i="2"/>
  <c r="Q930" i="2"/>
  <c r="M930" i="2"/>
  <c r="M926" i="2"/>
  <c r="Q922" i="2"/>
  <c r="M922" i="2"/>
  <c r="M918" i="2"/>
  <c r="Q914" i="2"/>
  <c r="M914" i="2"/>
  <c r="Q910" i="2"/>
  <c r="M910" i="2"/>
  <c r="M906" i="2"/>
  <c r="M902" i="2"/>
  <c r="M898" i="2"/>
  <c r="M894" i="2"/>
  <c r="M890" i="2"/>
  <c r="M886" i="2"/>
  <c r="M882" i="2"/>
  <c r="Q43" i="2"/>
  <c r="M43" i="2"/>
  <c r="M874" i="2"/>
  <c r="M870" i="2"/>
  <c r="M866" i="2"/>
  <c r="Q862" i="2"/>
  <c r="M862" i="2"/>
  <c r="M858" i="2"/>
  <c r="M854" i="2"/>
  <c r="Q850" i="2"/>
  <c r="M850" i="2"/>
  <c r="Q39" i="2"/>
  <c r="M39" i="2"/>
  <c r="M842" i="2"/>
  <c r="M838" i="2"/>
  <c r="M834" i="2"/>
  <c r="M830" i="2"/>
  <c r="M826" i="2"/>
  <c r="M822" i="2"/>
  <c r="M818" i="2"/>
  <c r="M814" i="2"/>
  <c r="M810" i="2"/>
  <c r="Q806" i="2"/>
  <c r="M806" i="2"/>
  <c r="Q6835" i="2"/>
  <c r="M6835" i="2"/>
  <c r="Q798" i="2"/>
  <c r="M798" i="2"/>
  <c r="M794" i="2"/>
  <c r="Q790" i="2"/>
  <c r="M790" i="2"/>
  <c r="M786" i="2"/>
  <c r="Q6746" i="2"/>
  <c r="M6746" i="2"/>
  <c r="M778" i="2"/>
  <c r="M774" i="2"/>
  <c r="M770" i="2"/>
  <c r="Q3200" i="2"/>
  <c r="M3200" i="2"/>
  <c r="M762" i="2"/>
  <c r="Q700" i="2"/>
  <c r="M700" i="2"/>
  <c r="Q754" i="2"/>
  <c r="M754" i="2"/>
  <c r="Q750" i="2"/>
  <c r="M750" i="2"/>
  <c r="Q746" i="2"/>
  <c r="M746" i="2"/>
  <c r="Q742" i="2"/>
  <c r="M742" i="2"/>
  <c r="Q2286" i="2"/>
  <c r="M2286" i="2"/>
  <c r="Q4089" i="2"/>
  <c r="M4089" i="2"/>
  <c r="Q4086" i="2"/>
  <c r="M4086" i="2"/>
  <c r="M726" i="2"/>
  <c r="Q722" i="2"/>
  <c r="M722" i="2"/>
  <c r="Q718" i="2"/>
  <c r="M718" i="2"/>
  <c r="M714" i="2"/>
  <c r="M710" i="2"/>
  <c r="M706" i="2"/>
  <c r="M702" i="2"/>
  <c r="M698" i="2"/>
  <c r="Q1982" i="2"/>
  <c r="M1982" i="2"/>
  <c r="Q6668" i="2"/>
  <c r="M6668" i="2"/>
  <c r="Q686" i="2"/>
  <c r="M686" i="2"/>
  <c r="M682" i="2"/>
  <c r="M678" i="2"/>
  <c r="Q3691" i="2"/>
  <c r="M3691" i="2"/>
  <c r="M670" i="2"/>
  <c r="Q666" i="2"/>
  <c r="M666" i="2"/>
  <c r="Q662" i="2"/>
  <c r="M662" i="2"/>
  <c r="Q658" i="2"/>
  <c r="M658" i="2"/>
  <c r="Q654" i="2"/>
  <c r="M654" i="2"/>
  <c r="Q3919" i="2"/>
  <c r="M3919" i="2"/>
  <c r="Q646" i="2"/>
  <c r="M646" i="2"/>
  <c r="M642" i="2"/>
  <c r="Q638" i="2"/>
  <c r="M638" i="2"/>
  <c r="M634" i="2"/>
  <c r="Q630" i="2"/>
  <c r="M630" i="2"/>
  <c r="Q626" i="2"/>
  <c r="M626" i="2"/>
  <c r="M622" i="2"/>
  <c r="Q618" i="2"/>
  <c r="M618" i="2"/>
  <c r="Q5347" i="2"/>
  <c r="M5347" i="2"/>
  <c r="M610" i="2"/>
  <c r="Q606" i="2"/>
  <c r="M606" i="2"/>
  <c r="M602" i="2"/>
  <c r="M598" i="2"/>
  <c r="M594" i="2"/>
  <c r="M590" i="2"/>
  <c r="Q586" i="2"/>
  <c r="M586" i="2"/>
  <c r="Q1908" i="2"/>
  <c r="M1908" i="2"/>
  <c r="Q5562" i="2"/>
  <c r="M5562" i="2"/>
  <c r="M574" i="2"/>
  <c r="Q3749" i="2"/>
  <c r="M3749" i="2"/>
  <c r="Q566" i="2"/>
  <c r="M566" i="2"/>
  <c r="Q562" i="2"/>
  <c r="M562" i="2"/>
  <c r="Q3448" i="2"/>
  <c r="M3448" i="2"/>
  <c r="Q554" i="2"/>
  <c r="M554" i="2"/>
  <c r="M550" i="2"/>
  <c r="M546" i="2"/>
  <c r="Q542" i="2"/>
  <c r="M542" i="2"/>
  <c r="Q538" i="2"/>
  <c r="M538" i="2"/>
  <c r="M534" i="2"/>
  <c r="Q530" i="2"/>
  <c r="M530" i="2"/>
  <c r="M526" i="2"/>
  <c r="Q522" i="2"/>
  <c r="M522" i="2"/>
  <c r="M518" i="2"/>
  <c r="M514" i="2"/>
  <c r="Q510" i="2"/>
  <c r="M510" i="2"/>
  <c r="Q4496" i="2"/>
  <c r="M4496" i="2"/>
  <c r="Q502" i="2"/>
  <c r="M502" i="2"/>
  <c r="M498" i="2"/>
  <c r="M494" i="2"/>
  <c r="M490" i="2"/>
  <c r="Q486" i="2"/>
  <c r="M486" i="2"/>
  <c r="M482" i="2"/>
  <c r="Q478" i="2"/>
  <c r="M478" i="2"/>
  <c r="M474" i="2"/>
  <c r="M470" i="2"/>
  <c r="M466" i="2"/>
  <c r="Q462" i="2"/>
  <c r="M462" i="2"/>
  <c r="M458" i="2"/>
  <c r="Q4779" i="2"/>
  <c r="M4779" i="2"/>
  <c r="Q450" i="2"/>
  <c r="M450" i="2"/>
  <c r="Q6704" i="2"/>
  <c r="M6704" i="2"/>
  <c r="M442" i="2"/>
  <c r="Q5555" i="2"/>
  <c r="M5555" i="2"/>
  <c r="Q434" i="2"/>
  <c r="M434" i="2"/>
  <c r="Q2217" i="2"/>
  <c r="M2217" i="2"/>
  <c r="M426" i="2"/>
  <c r="Q1222" i="2"/>
  <c r="M1222" i="2"/>
  <c r="Q1804" i="2"/>
  <c r="M1804" i="2"/>
  <c r="Q414" i="2"/>
  <c r="M414" i="2"/>
  <c r="Q6706" i="2"/>
  <c r="M6706" i="2"/>
  <c r="Q406" i="2"/>
  <c r="M406" i="2"/>
  <c r="M402" i="2"/>
  <c r="Q398" i="2"/>
  <c r="M398" i="2"/>
  <c r="Q2970" i="2"/>
  <c r="M2970" i="2"/>
  <c r="Q390" i="2"/>
  <c r="M390" i="2"/>
  <c r="Q386" i="2"/>
  <c r="M386" i="2"/>
  <c r="Q5784" i="2"/>
  <c r="M5784" i="2"/>
  <c r="Q378" i="2"/>
  <c r="M378" i="2"/>
  <c r="Q374" i="2"/>
  <c r="M374" i="2"/>
  <c r="Q370" i="2"/>
  <c r="M370" i="2"/>
  <c r="Q1444" i="2"/>
  <c r="M1444" i="2"/>
  <c r="Q2838" i="2"/>
  <c r="M2838" i="2"/>
  <c r="M358" i="2"/>
  <c r="Q354" i="2"/>
  <c r="M354" i="2"/>
  <c r="Q2697" i="2"/>
  <c r="M2697" i="2"/>
  <c r="Q346" i="2"/>
  <c r="M346" i="2"/>
  <c r="Q342" i="2"/>
  <c r="M342" i="2"/>
  <c r="Q338" i="2"/>
  <c r="M338" i="2"/>
  <c r="M334" i="2"/>
  <c r="Q1930" i="2"/>
  <c r="M1930" i="2"/>
  <c r="M326" i="2"/>
  <c r="M322" i="2"/>
  <c r="M318" i="2"/>
  <c r="M314" i="2"/>
  <c r="Q310" i="2"/>
  <c r="M310" i="2"/>
  <c r="M306" i="2"/>
  <c r="Q302" i="2"/>
  <c r="M302" i="2"/>
  <c r="Q4902" i="2"/>
  <c r="M4902" i="2"/>
  <c r="Q558" i="2"/>
  <c r="M558" i="2"/>
  <c r="M290" i="2"/>
  <c r="Q7285" i="2"/>
  <c r="M7285" i="2"/>
  <c r="M282" i="2"/>
  <c r="M278" i="2"/>
  <c r="M274" i="2"/>
  <c r="M270" i="2"/>
  <c r="M266" i="2"/>
  <c r="M262" i="2"/>
  <c r="Q258" i="2"/>
  <c r="M258" i="2"/>
  <c r="Q254" i="2"/>
  <c r="M254" i="2"/>
  <c r="M250" i="2"/>
  <c r="Q3051" i="2"/>
  <c r="M3051" i="2"/>
  <c r="M242" i="2"/>
  <c r="Q5823" i="2"/>
  <c r="M5823" i="2"/>
  <c r="Q523" i="2"/>
  <c r="M523" i="2"/>
  <c r="Q230" i="2"/>
  <c r="M230" i="2"/>
  <c r="Q226" i="2"/>
  <c r="M226" i="2"/>
  <c r="M222" i="2"/>
  <c r="M218" i="2"/>
  <c r="Q214" i="2"/>
  <c r="M214" i="2"/>
  <c r="Q3328" i="2"/>
  <c r="M3328" i="2"/>
  <c r="M206" i="2"/>
  <c r="Q3920" i="2"/>
  <c r="M3920" i="2"/>
  <c r="M198" i="2"/>
  <c r="M194" i="2"/>
  <c r="Q5805" i="2"/>
  <c r="M5805" i="2"/>
  <c r="M186" i="2"/>
  <c r="Q182" i="2"/>
  <c r="M182" i="2"/>
  <c r="M178" i="2"/>
  <c r="Q2318" i="2"/>
  <c r="M2318" i="2"/>
  <c r="M170" i="2"/>
  <c r="Q531" i="2"/>
  <c r="M531" i="2"/>
  <c r="Q162" i="2"/>
  <c r="M162" i="2"/>
  <c r="Q158" i="2"/>
  <c r="M158" i="2"/>
  <c r="M154" i="2"/>
  <c r="Q150" i="2"/>
  <c r="M150" i="2"/>
  <c r="Q146" i="2"/>
  <c r="M146" i="2"/>
  <c r="Q6906" i="2"/>
  <c r="M6906" i="2"/>
  <c r="Q3036" i="2"/>
  <c r="M3036" i="2"/>
  <c r="Q1226" i="2"/>
  <c r="M1226" i="2"/>
  <c r="M130" i="2"/>
  <c r="Q126" i="2"/>
  <c r="M126" i="2"/>
  <c r="Q122" i="2"/>
  <c r="M122" i="2"/>
  <c r="Q118" i="2"/>
  <c r="M118" i="2"/>
  <c r="M114" i="2"/>
  <c r="Q2156" i="2"/>
  <c r="M2156" i="2"/>
  <c r="Q106" i="2"/>
  <c r="M106" i="2"/>
  <c r="Q102" i="2"/>
  <c r="M102" i="2"/>
  <c r="Q98" i="2"/>
  <c r="M98" i="2"/>
  <c r="Q208" i="2"/>
  <c r="M208" i="2"/>
  <c r="Q6561" i="2"/>
  <c r="M6561" i="2"/>
  <c r="M86" i="2"/>
  <c r="Q4210" i="2"/>
  <c r="M4210" i="2"/>
  <c r="Q4665" i="2"/>
  <c r="M4665" i="2"/>
  <c r="Q5605" i="2"/>
  <c r="M5605" i="2"/>
  <c r="M70" i="2"/>
  <c r="M66" i="2"/>
  <c r="Q62" i="2"/>
  <c r="M62" i="2"/>
  <c r="Q7038" i="2"/>
  <c r="M7038" i="2"/>
  <c r="M54" i="2"/>
  <c r="M50" i="2"/>
  <c r="Q4291" i="2"/>
  <c r="M4291" i="2"/>
  <c r="Q42" i="2"/>
  <c r="M42" i="2"/>
  <c r="Q38" i="2"/>
  <c r="M38" i="2"/>
  <c r="M34" i="2"/>
  <c r="Q30" i="2"/>
  <c r="M30" i="2"/>
  <c r="M26" i="2"/>
  <c r="M22" i="2"/>
  <c r="M18" i="2"/>
  <c r="M14" i="2"/>
  <c r="Q1374" i="2"/>
  <c r="M1374" i="2"/>
  <c r="M6" i="2"/>
  <c r="O10000" i="2"/>
  <c r="M10000" i="2"/>
  <c r="O9996" i="2"/>
  <c r="M9996" i="2"/>
  <c r="O9992" i="2"/>
  <c r="M9992" i="2"/>
  <c r="O9988" i="2"/>
  <c r="M9988" i="2"/>
  <c r="O9984" i="2"/>
  <c r="M9984" i="2"/>
  <c r="O9980" i="2"/>
  <c r="M9980" i="2"/>
  <c r="O9976" i="2"/>
  <c r="M9976" i="2"/>
  <c r="O9972" i="2"/>
  <c r="M9972" i="2"/>
  <c r="O9968" i="2"/>
  <c r="M9968" i="2"/>
  <c r="O9964" i="2"/>
  <c r="M9964" i="2"/>
  <c r="O9960" i="2"/>
  <c r="M9960" i="2"/>
  <c r="O9956" i="2"/>
  <c r="M9956" i="2"/>
  <c r="O9952" i="2"/>
  <c r="M9952" i="2"/>
  <c r="O9948" i="2"/>
  <c r="M9948" i="2"/>
  <c r="O9944" i="2"/>
  <c r="M9944" i="2"/>
  <c r="O9940" i="2"/>
  <c r="M9940" i="2"/>
  <c r="O9936" i="2"/>
  <c r="M9936" i="2"/>
  <c r="O9932" i="2"/>
  <c r="M9932" i="2"/>
  <c r="O9928" i="2"/>
  <c r="M9928" i="2"/>
  <c r="O9924" i="2"/>
  <c r="M9924" i="2"/>
  <c r="O9920" i="2"/>
  <c r="M9920" i="2"/>
  <c r="O9916" i="2"/>
  <c r="M9916" i="2"/>
  <c r="O9912" i="2"/>
  <c r="M9912" i="2"/>
  <c r="O9908" i="2"/>
  <c r="M9908" i="2"/>
  <c r="O9904" i="2"/>
  <c r="M9904" i="2"/>
  <c r="O9900" i="2"/>
  <c r="M9900" i="2"/>
  <c r="O9896" i="2"/>
  <c r="M9896" i="2"/>
  <c r="O9892" i="2"/>
  <c r="M9892" i="2"/>
  <c r="O9888" i="2"/>
  <c r="M9888" i="2"/>
  <c r="O9884" i="2"/>
  <c r="M9884" i="2"/>
  <c r="O9880" i="2"/>
  <c r="M9880" i="2"/>
  <c r="O9876" i="2"/>
  <c r="M9876" i="2"/>
  <c r="O9872" i="2"/>
  <c r="M9872" i="2"/>
  <c r="O9868" i="2"/>
  <c r="M9868" i="2"/>
  <c r="O9864" i="2"/>
  <c r="M9864" i="2"/>
  <c r="O9860" i="2"/>
  <c r="M9860" i="2"/>
  <c r="O9856" i="2"/>
  <c r="M9856" i="2"/>
  <c r="O9852" i="2"/>
  <c r="M9852" i="2"/>
  <c r="O9848" i="2"/>
  <c r="M9848" i="2"/>
  <c r="O9844" i="2"/>
  <c r="M9844" i="2"/>
  <c r="O9840" i="2"/>
  <c r="M9840" i="2"/>
  <c r="O9836" i="2"/>
  <c r="M9836" i="2"/>
  <c r="O9832" i="2"/>
  <c r="M9832" i="2"/>
  <c r="O9828" i="2"/>
  <c r="M9828" i="2"/>
  <c r="O9824" i="2"/>
  <c r="M9824" i="2"/>
  <c r="O9820" i="2"/>
  <c r="M9820" i="2"/>
  <c r="O9816" i="2"/>
  <c r="M9816" i="2"/>
  <c r="O9812" i="2"/>
  <c r="M9812" i="2"/>
  <c r="O9808" i="2"/>
  <c r="M9808" i="2"/>
  <c r="O9804" i="2"/>
  <c r="M9804" i="2"/>
  <c r="O9800" i="2"/>
  <c r="M9800" i="2"/>
  <c r="O9796" i="2"/>
  <c r="M9796" i="2"/>
  <c r="O9792" i="2"/>
  <c r="M9792" i="2"/>
  <c r="O9788" i="2"/>
  <c r="M9788" i="2"/>
  <c r="O9784" i="2"/>
  <c r="M9784" i="2"/>
  <c r="O9780" i="2"/>
  <c r="M9780" i="2"/>
  <c r="O9776" i="2"/>
  <c r="M9776" i="2"/>
  <c r="O9772" i="2"/>
  <c r="M9772" i="2"/>
  <c r="O9768" i="2"/>
  <c r="M9768" i="2"/>
  <c r="O9764" i="2"/>
  <c r="M9764" i="2"/>
  <c r="O9760" i="2"/>
  <c r="M9760" i="2"/>
  <c r="O9756" i="2"/>
  <c r="M9756" i="2"/>
  <c r="O9752" i="2"/>
  <c r="M9752" i="2"/>
  <c r="O9748" i="2"/>
  <c r="M9748" i="2"/>
  <c r="O9744" i="2"/>
  <c r="M9744" i="2"/>
  <c r="O9740" i="2"/>
  <c r="M9740" i="2"/>
  <c r="O9736" i="2"/>
  <c r="M9736" i="2"/>
  <c r="O9732" i="2"/>
  <c r="M9732" i="2"/>
  <c r="O9728" i="2"/>
  <c r="M9728" i="2"/>
  <c r="O9724" i="2"/>
  <c r="M9724" i="2"/>
  <c r="O9720" i="2"/>
  <c r="M9720" i="2"/>
  <c r="O9716" i="2"/>
  <c r="M9716" i="2"/>
  <c r="O9712" i="2"/>
  <c r="M9712" i="2"/>
  <c r="O9708" i="2"/>
  <c r="M9708" i="2"/>
  <c r="O9704" i="2"/>
  <c r="M9704" i="2"/>
  <c r="O9700" i="2"/>
  <c r="M9700" i="2"/>
  <c r="O9696" i="2"/>
  <c r="M9696" i="2"/>
  <c r="O9692" i="2"/>
  <c r="M9692" i="2"/>
  <c r="O9688" i="2"/>
  <c r="M9688" i="2"/>
  <c r="O9684" i="2"/>
  <c r="M9684" i="2"/>
  <c r="O9680" i="2"/>
  <c r="M9680" i="2"/>
  <c r="O9676" i="2"/>
  <c r="M9676" i="2"/>
  <c r="O9672" i="2"/>
  <c r="M9672" i="2"/>
  <c r="O9668" i="2"/>
  <c r="M9668" i="2"/>
  <c r="O9664" i="2"/>
  <c r="M9664" i="2"/>
  <c r="O9660" i="2"/>
  <c r="M9660" i="2"/>
  <c r="O9656" i="2"/>
  <c r="M9656" i="2"/>
  <c r="O9652" i="2"/>
  <c r="M9652" i="2"/>
  <c r="O9648" i="2"/>
  <c r="M9648" i="2"/>
  <c r="O9644" i="2"/>
  <c r="M9644" i="2"/>
  <c r="O9640" i="2"/>
  <c r="M9640" i="2"/>
  <c r="O9636" i="2"/>
  <c r="M9636" i="2"/>
  <c r="O9632" i="2"/>
  <c r="M9632" i="2"/>
  <c r="O9628" i="2"/>
  <c r="M9628" i="2"/>
  <c r="O9624" i="2"/>
  <c r="M9624" i="2"/>
  <c r="O9620" i="2"/>
  <c r="M9620" i="2"/>
  <c r="O9616" i="2"/>
  <c r="M9616" i="2"/>
  <c r="O9612" i="2"/>
  <c r="M9612" i="2"/>
  <c r="O9608" i="2"/>
  <c r="M9608" i="2"/>
  <c r="O9604" i="2"/>
  <c r="M9604" i="2"/>
  <c r="O9600" i="2"/>
  <c r="M9600" i="2"/>
  <c r="O9596" i="2"/>
  <c r="M9596" i="2"/>
  <c r="O9592" i="2"/>
  <c r="M9592" i="2"/>
  <c r="O9588" i="2"/>
  <c r="M9588" i="2"/>
  <c r="O9584" i="2"/>
  <c r="M9584" i="2"/>
  <c r="O9580" i="2"/>
  <c r="M9580" i="2"/>
  <c r="O9576" i="2"/>
  <c r="M9576" i="2"/>
  <c r="O9572" i="2"/>
  <c r="M9572" i="2"/>
  <c r="O9568" i="2"/>
  <c r="M9568" i="2"/>
  <c r="O9564" i="2"/>
  <c r="M9564" i="2"/>
  <c r="O9560" i="2"/>
  <c r="M9560" i="2"/>
  <c r="O9556" i="2"/>
  <c r="M9556" i="2"/>
  <c r="O9552" i="2"/>
  <c r="M9552" i="2"/>
  <c r="O9548" i="2"/>
  <c r="M9548" i="2"/>
  <c r="O9544" i="2"/>
  <c r="M9544" i="2"/>
  <c r="O9540" i="2"/>
  <c r="M9540" i="2"/>
  <c r="O9536" i="2"/>
  <c r="M9536" i="2"/>
  <c r="O9532" i="2"/>
  <c r="M9532" i="2"/>
  <c r="O9528" i="2"/>
  <c r="M9528" i="2"/>
  <c r="O9524" i="2"/>
  <c r="M9524" i="2"/>
  <c r="O9520" i="2"/>
  <c r="M9520" i="2"/>
  <c r="O9516" i="2"/>
  <c r="M9516" i="2"/>
  <c r="O9512" i="2"/>
  <c r="M9512" i="2"/>
  <c r="O9508" i="2"/>
  <c r="M9508" i="2"/>
  <c r="O9504" i="2"/>
  <c r="M9504" i="2"/>
  <c r="O9500" i="2"/>
  <c r="M9500" i="2"/>
  <c r="O9496" i="2"/>
  <c r="M9496" i="2"/>
  <c r="O9492" i="2"/>
  <c r="M9492" i="2"/>
  <c r="O9488" i="2"/>
  <c r="M9488" i="2"/>
  <c r="O9484" i="2"/>
  <c r="M9484" i="2"/>
  <c r="O9480" i="2"/>
  <c r="M9480" i="2"/>
  <c r="O9476" i="2"/>
  <c r="M9476" i="2"/>
  <c r="O9472" i="2"/>
  <c r="M9472" i="2"/>
  <c r="O9468" i="2"/>
  <c r="M9468" i="2"/>
  <c r="O9464" i="2"/>
  <c r="M9464" i="2"/>
  <c r="O9460" i="2"/>
  <c r="M9460" i="2"/>
  <c r="O9456" i="2"/>
  <c r="M9456" i="2"/>
  <c r="O9452" i="2"/>
  <c r="M9452" i="2"/>
  <c r="O9448" i="2"/>
  <c r="M9448" i="2"/>
  <c r="O9444" i="2"/>
  <c r="M9444" i="2"/>
  <c r="O9440" i="2"/>
  <c r="M9440" i="2"/>
  <c r="O9436" i="2"/>
  <c r="M9436" i="2"/>
  <c r="O9432" i="2"/>
  <c r="M9432" i="2"/>
  <c r="O9428" i="2"/>
  <c r="M9428" i="2"/>
  <c r="O9424" i="2"/>
  <c r="M9424" i="2"/>
  <c r="O9420" i="2"/>
  <c r="M9420" i="2"/>
  <c r="O9416" i="2"/>
  <c r="M9416" i="2"/>
  <c r="O9412" i="2"/>
  <c r="M9412" i="2"/>
  <c r="O9408" i="2"/>
  <c r="M9408" i="2"/>
  <c r="O9404" i="2"/>
  <c r="M9404" i="2"/>
  <c r="O9400" i="2"/>
  <c r="M9400" i="2"/>
  <c r="O9396" i="2"/>
  <c r="M9396" i="2"/>
  <c r="O9392" i="2"/>
  <c r="M9392" i="2"/>
  <c r="O9388" i="2"/>
  <c r="M9388" i="2"/>
  <c r="O9384" i="2"/>
  <c r="M9384" i="2"/>
  <c r="O9380" i="2"/>
  <c r="M9380" i="2"/>
  <c r="O9376" i="2"/>
  <c r="M9376" i="2"/>
  <c r="O9372" i="2"/>
  <c r="M9372" i="2"/>
  <c r="O9368" i="2"/>
  <c r="M9368" i="2"/>
  <c r="O9364" i="2"/>
  <c r="M9364" i="2"/>
  <c r="O9360" i="2"/>
  <c r="M9360" i="2"/>
  <c r="O9356" i="2"/>
  <c r="M9356" i="2"/>
  <c r="O9352" i="2"/>
  <c r="M9352" i="2"/>
  <c r="O9348" i="2"/>
  <c r="M9348" i="2"/>
  <c r="O9344" i="2"/>
  <c r="M9344" i="2"/>
  <c r="O9340" i="2"/>
  <c r="M9340" i="2"/>
  <c r="O9336" i="2"/>
  <c r="M9336" i="2"/>
  <c r="O9332" i="2"/>
  <c r="M9332" i="2"/>
  <c r="O9328" i="2"/>
  <c r="M9328" i="2"/>
  <c r="O9324" i="2"/>
  <c r="M9324" i="2"/>
  <c r="O9320" i="2"/>
  <c r="M9320" i="2"/>
  <c r="O9316" i="2"/>
  <c r="M9316" i="2"/>
  <c r="O9312" i="2"/>
  <c r="M9312" i="2"/>
  <c r="O9308" i="2"/>
  <c r="M9308" i="2"/>
  <c r="O9304" i="2"/>
  <c r="M9304" i="2"/>
  <c r="O9300" i="2"/>
  <c r="M9300" i="2"/>
  <c r="O9296" i="2"/>
  <c r="M9296" i="2"/>
  <c r="O9292" i="2"/>
  <c r="M9292" i="2"/>
  <c r="O9288" i="2"/>
  <c r="M9288" i="2"/>
  <c r="O9284" i="2"/>
  <c r="M9284" i="2"/>
  <c r="O9280" i="2"/>
  <c r="M9280" i="2"/>
  <c r="O9276" i="2"/>
  <c r="M9276" i="2"/>
  <c r="O9272" i="2"/>
  <c r="M9272" i="2"/>
  <c r="O9268" i="2"/>
  <c r="M9268" i="2"/>
  <c r="O9264" i="2"/>
  <c r="M9264" i="2"/>
  <c r="O9260" i="2"/>
  <c r="M9260" i="2"/>
  <c r="O9256" i="2"/>
  <c r="M9256" i="2"/>
  <c r="O9252" i="2"/>
  <c r="M9252" i="2"/>
  <c r="O9248" i="2"/>
  <c r="M9248" i="2"/>
  <c r="O9244" i="2"/>
  <c r="M9244" i="2"/>
  <c r="O9240" i="2"/>
  <c r="M9240" i="2"/>
  <c r="O9236" i="2"/>
  <c r="M9236" i="2"/>
  <c r="O9232" i="2"/>
  <c r="M9232" i="2"/>
  <c r="O9228" i="2"/>
  <c r="M9228" i="2"/>
  <c r="O9224" i="2"/>
  <c r="M9224" i="2"/>
  <c r="O9220" i="2"/>
  <c r="M9220" i="2"/>
  <c r="O9216" i="2"/>
  <c r="M9216" i="2"/>
  <c r="O9212" i="2"/>
  <c r="M9212" i="2"/>
  <c r="O9208" i="2"/>
  <c r="M9208" i="2"/>
  <c r="O9204" i="2"/>
  <c r="M9204" i="2"/>
  <c r="O9200" i="2"/>
  <c r="M9200" i="2"/>
  <c r="O9196" i="2"/>
  <c r="M9196" i="2"/>
  <c r="O9192" i="2"/>
  <c r="M9192" i="2"/>
  <c r="O9188" i="2"/>
  <c r="M9188" i="2"/>
  <c r="O9184" i="2"/>
  <c r="M9184" i="2"/>
  <c r="O9180" i="2"/>
  <c r="M9180" i="2"/>
  <c r="O9176" i="2"/>
  <c r="M9176" i="2"/>
  <c r="O9172" i="2"/>
  <c r="M9172" i="2"/>
  <c r="O9168" i="2"/>
  <c r="M9168" i="2"/>
  <c r="O9164" i="2"/>
  <c r="M9164" i="2"/>
  <c r="O9160" i="2"/>
  <c r="M9160" i="2"/>
  <c r="O9156" i="2"/>
  <c r="M9156" i="2"/>
  <c r="O9152" i="2"/>
  <c r="M9152" i="2"/>
  <c r="O9148" i="2"/>
  <c r="M9148" i="2"/>
  <c r="O9144" i="2"/>
  <c r="M9144" i="2"/>
  <c r="O9140" i="2"/>
  <c r="M9140" i="2"/>
  <c r="O9136" i="2"/>
  <c r="M9136" i="2"/>
  <c r="O9132" i="2"/>
  <c r="M9132" i="2"/>
  <c r="O9128" i="2"/>
  <c r="M9128" i="2"/>
  <c r="O9124" i="2"/>
  <c r="M9124" i="2"/>
  <c r="O9120" i="2"/>
  <c r="M9120" i="2"/>
  <c r="O9116" i="2"/>
  <c r="M9116" i="2"/>
  <c r="O9112" i="2"/>
  <c r="M9112" i="2"/>
  <c r="O9108" i="2"/>
  <c r="M9108" i="2"/>
  <c r="O9104" i="2"/>
  <c r="M9104" i="2"/>
  <c r="O9100" i="2"/>
  <c r="M9100" i="2"/>
  <c r="O9096" i="2"/>
  <c r="M9096" i="2"/>
  <c r="O9092" i="2"/>
  <c r="M9092" i="2"/>
  <c r="O9088" i="2"/>
  <c r="M9088" i="2"/>
  <c r="O9084" i="2"/>
  <c r="M9084" i="2"/>
  <c r="O9080" i="2"/>
  <c r="M9080" i="2"/>
  <c r="O9076" i="2"/>
  <c r="M9076" i="2"/>
  <c r="O9072" i="2"/>
  <c r="M9072" i="2"/>
  <c r="O9068" i="2"/>
  <c r="M9068" i="2"/>
  <c r="O9064" i="2"/>
  <c r="M9064" i="2"/>
  <c r="O9060" i="2"/>
  <c r="M9060" i="2"/>
  <c r="O9056" i="2"/>
  <c r="M9056" i="2"/>
  <c r="O9052" i="2"/>
  <c r="M9052" i="2"/>
  <c r="O9048" i="2"/>
  <c r="M9048" i="2"/>
  <c r="O9044" i="2"/>
  <c r="M9044" i="2"/>
  <c r="O9040" i="2"/>
  <c r="M9040" i="2"/>
  <c r="O9036" i="2"/>
  <c r="M9036" i="2"/>
  <c r="O9032" i="2"/>
  <c r="M9032" i="2"/>
  <c r="O9028" i="2"/>
  <c r="M9028" i="2"/>
  <c r="O9024" i="2"/>
  <c r="M9024" i="2"/>
  <c r="O9020" i="2"/>
  <c r="M9020" i="2"/>
  <c r="O9016" i="2"/>
  <c r="M9016" i="2"/>
  <c r="O9012" i="2"/>
  <c r="M9012" i="2"/>
  <c r="O9008" i="2"/>
  <c r="M9008" i="2"/>
  <c r="O9004" i="2"/>
  <c r="M9004" i="2"/>
  <c r="O9000" i="2"/>
  <c r="M9000" i="2"/>
  <c r="O8996" i="2"/>
  <c r="M8996" i="2"/>
  <c r="O8992" i="2"/>
  <c r="M8992" i="2"/>
  <c r="O8988" i="2"/>
  <c r="M8988" i="2"/>
  <c r="O8984" i="2"/>
  <c r="M8984" i="2"/>
  <c r="O8980" i="2"/>
  <c r="M8980" i="2"/>
  <c r="O8976" i="2"/>
  <c r="M8976" i="2"/>
  <c r="O8972" i="2"/>
  <c r="M8972" i="2"/>
  <c r="O8968" i="2"/>
  <c r="M8968" i="2"/>
  <c r="O8964" i="2"/>
  <c r="M8964" i="2"/>
  <c r="O8960" i="2"/>
  <c r="M8960" i="2"/>
  <c r="O8956" i="2"/>
  <c r="M8956" i="2"/>
  <c r="O8952" i="2"/>
  <c r="M8952" i="2"/>
  <c r="O8948" i="2"/>
  <c r="M8948" i="2"/>
  <c r="O8944" i="2"/>
  <c r="M8944" i="2"/>
  <c r="O8940" i="2"/>
  <c r="M8940" i="2"/>
  <c r="O8936" i="2"/>
  <c r="M8936" i="2"/>
  <c r="O8932" i="2"/>
  <c r="M8932" i="2"/>
  <c r="O8928" i="2"/>
  <c r="M8928" i="2"/>
  <c r="O8924" i="2"/>
  <c r="M8924" i="2"/>
  <c r="O8920" i="2"/>
  <c r="M8920" i="2"/>
  <c r="O8916" i="2"/>
  <c r="M8916" i="2"/>
  <c r="O8912" i="2"/>
  <c r="M8912" i="2"/>
  <c r="O8908" i="2"/>
  <c r="M8908" i="2"/>
  <c r="O8904" i="2"/>
  <c r="M8904" i="2"/>
  <c r="O8900" i="2"/>
  <c r="M8900" i="2"/>
  <c r="O8896" i="2"/>
  <c r="M8896" i="2"/>
  <c r="O8892" i="2"/>
  <c r="M8892" i="2"/>
  <c r="O8888" i="2"/>
  <c r="M8888" i="2"/>
  <c r="O8884" i="2"/>
  <c r="M8884" i="2"/>
  <c r="O8880" i="2"/>
  <c r="M8880" i="2"/>
  <c r="O8876" i="2"/>
  <c r="M8876" i="2"/>
  <c r="O8872" i="2"/>
  <c r="M8872" i="2"/>
  <c r="O8868" i="2"/>
  <c r="M8868" i="2"/>
  <c r="O8864" i="2"/>
  <c r="M8864" i="2"/>
  <c r="O8860" i="2"/>
  <c r="M8860" i="2"/>
  <c r="O8856" i="2"/>
  <c r="M8856" i="2"/>
  <c r="O8852" i="2"/>
  <c r="M8852" i="2"/>
  <c r="O8848" i="2"/>
  <c r="M8848" i="2"/>
  <c r="O8844" i="2"/>
  <c r="M8844" i="2"/>
  <c r="O8840" i="2"/>
  <c r="M8840" i="2"/>
  <c r="O8836" i="2"/>
  <c r="M8836" i="2"/>
  <c r="O8832" i="2"/>
  <c r="M8832" i="2"/>
  <c r="O8828" i="2"/>
  <c r="M8828" i="2"/>
  <c r="O8824" i="2"/>
  <c r="M8824" i="2"/>
  <c r="O8820" i="2"/>
  <c r="M8820" i="2"/>
  <c r="O8816" i="2"/>
  <c r="M8816" i="2"/>
  <c r="O8812" i="2"/>
  <c r="M8812" i="2"/>
  <c r="O8808" i="2"/>
  <c r="M8808" i="2"/>
  <c r="O8804" i="2"/>
  <c r="M8804" i="2"/>
  <c r="O8800" i="2"/>
  <c r="M8800" i="2"/>
  <c r="O8796" i="2"/>
  <c r="M8796" i="2"/>
  <c r="O8792" i="2"/>
  <c r="M8792" i="2"/>
  <c r="O8788" i="2"/>
  <c r="M8788" i="2"/>
  <c r="O8784" i="2"/>
  <c r="M8784" i="2"/>
  <c r="O8780" i="2"/>
  <c r="M8780" i="2"/>
  <c r="O8776" i="2"/>
  <c r="M8776" i="2"/>
  <c r="O8772" i="2"/>
  <c r="M8772" i="2"/>
  <c r="O8768" i="2"/>
  <c r="M8768" i="2"/>
  <c r="O8764" i="2"/>
  <c r="M8764" i="2"/>
  <c r="O8760" i="2"/>
  <c r="M8760" i="2"/>
  <c r="O8756" i="2"/>
  <c r="M8756" i="2"/>
  <c r="O8752" i="2"/>
  <c r="M8752" i="2"/>
  <c r="O8748" i="2"/>
  <c r="M8748" i="2"/>
  <c r="O8744" i="2"/>
  <c r="M8744" i="2"/>
  <c r="O8740" i="2"/>
  <c r="M8740" i="2"/>
  <c r="O8736" i="2"/>
  <c r="M8736" i="2"/>
  <c r="O8732" i="2"/>
  <c r="M8732" i="2"/>
  <c r="O8728" i="2"/>
  <c r="M8728" i="2"/>
  <c r="O8724" i="2"/>
  <c r="M8724" i="2"/>
  <c r="O8720" i="2"/>
  <c r="M8720" i="2"/>
  <c r="O8716" i="2"/>
  <c r="M8716" i="2"/>
  <c r="O8712" i="2"/>
  <c r="M8712" i="2"/>
  <c r="O8708" i="2"/>
  <c r="M8708" i="2"/>
  <c r="O8704" i="2"/>
  <c r="M8704" i="2"/>
  <c r="O8700" i="2"/>
  <c r="M8700" i="2"/>
  <c r="O8696" i="2"/>
  <c r="M8696" i="2"/>
  <c r="O8692" i="2"/>
  <c r="M8692" i="2"/>
  <c r="O8688" i="2"/>
  <c r="M8688" i="2"/>
  <c r="O8684" i="2"/>
  <c r="M8684" i="2"/>
  <c r="O8680" i="2"/>
  <c r="M8680" i="2"/>
  <c r="O8676" i="2"/>
  <c r="M8676" i="2"/>
  <c r="O8672" i="2"/>
  <c r="M8672" i="2"/>
  <c r="O8668" i="2"/>
  <c r="M8668" i="2"/>
  <c r="O8664" i="2"/>
  <c r="M8664" i="2"/>
  <c r="O8660" i="2"/>
  <c r="M8660" i="2"/>
  <c r="O8656" i="2"/>
  <c r="M8656" i="2"/>
  <c r="O8652" i="2"/>
  <c r="M8652" i="2"/>
  <c r="O8648" i="2"/>
  <c r="M8648" i="2"/>
  <c r="O8644" i="2"/>
  <c r="M8644" i="2"/>
  <c r="O8640" i="2"/>
  <c r="M8640" i="2"/>
  <c r="O8636" i="2"/>
  <c r="M8636" i="2"/>
  <c r="O8632" i="2"/>
  <c r="M8632" i="2"/>
  <c r="O8628" i="2"/>
  <c r="M8628" i="2"/>
  <c r="O8624" i="2"/>
  <c r="M8624" i="2"/>
  <c r="O8620" i="2"/>
  <c r="M8620" i="2"/>
  <c r="O8616" i="2"/>
  <c r="M8616" i="2"/>
  <c r="O8612" i="2"/>
  <c r="M8612" i="2"/>
  <c r="O8608" i="2"/>
  <c r="M8608" i="2"/>
  <c r="O8604" i="2"/>
  <c r="M8604" i="2"/>
  <c r="O8600" i="2"/>
  <c r="M8600" i="2"/>
  <c r="O8596" i="2"/>
  <c r="M8596" i="2"/>
  <c r="O8592" i="2"/>
  <c r="M8592" i="2"/>
  <c r="O8588" i="2"/>
  <c r="M8588" i="2"/>
  <c r="O8584" i="2"/>
  <c r="M8584" i="2"/>
  <c r="O8580" i="2"/>
  <c r="M8580" i="2"/>
  <c r="O8576" i="2"/>
  <c r="M8576" i="2"/>
  <c r="O8572" i="2"/>
  <c r="M8572" i="2"/>
  <c r="O8568" i="2"/>
  <c r="M8568" i="2"/>
  <c r="O8564" i="2"/>
  <c r="M8564" i="2"/>
  <c r="O8560" i="2"/>
  <c r="M8560" i="2"/>
  <c r="O8556" i="2"/>
  <c r="M8556" i="2"/>
  <c r="O8552" i="2"/>
  <c r="M8552" i="2"/>
  <c r="O8548" i="2"/>
  <c r="M8548" i="2"/>
  <c r="O8544" i="2"/>
  <c r="M8544" i="2"/>
  <c r="O8540" i="2"/>
  <c r="M8540" i="2"/>
  <c r="O8536" i="2"/>
  <c r="M8536" i="2"/>
  <c r="O8532" i="2"/>
  <c r="M8532" i="2"/>
  <c r="O8528" i="2"/>
  <c r="M8528" i="2"/>
  <c r="O8524" i="2"/>
  <c r="M8524" i="2"/>
  <c r="O8520" i="2"/>
  <c r="M8520" i="2"/>
  <c r="O8516" i="2"/>
  <c r="M8516" i="2"/>
  <c r="O8512" i="2"/>
  <c r="M8512" i="2"/>
  <c r="O8508" i="2"/>
  <c r="M8508" i="2"/>
  <c r="O8504" i="2"/>
  <c r="M8504" i="2"/>
  <c r="O8500" i="2"/>
  <c r="M8500" i="2"/>
  <c r="O8496" i="2"/>
  <c r="M8496" i="2"/>
  <c r="O8492" i="2"/>
  <c r="M8492" i="2"/>
  <c r="O8488" i="2"/>
  <c r="M8488" i="2"/>
  <c r="O8484" i="2"/>
  <c r="M8484" i="2"/>
  <c r="O8480" i="2"/>
  <c r="M8480" i="2"/>
  <c r="O8476" i="2"/>
  <c r="M8476" i="2"/>
  <c r="O8472" i="2"/>
  <c r="M8472" i="2"/>
  <c r="O8468" i="2"/>
  <c r="M8468" i="2"/>
  <c r="O8464" i="2"/>
  <c r="M8464" i="2"/>
  <c r="O8460" i="2"/>
  <c r="M8460" i="2"/>
  <c r="O8456" i="2"/>
  <c r="M8456" i="2"/>
  <c r="O8452" i="2"/>
  <c r="M8452" i="2"/>
  <c r="O8448" i="2"/>
  <c r="M8448" i="2"/>
  <c r="O8444" i="2"/>
  <c r="M8444" i="2"/>
  <c r="O8440" i="2"/>
  <c r="M8440" i="2"/>
  <c r="O8436" i="2"/>
  <c r="M8436" i="2"/>
  <c r="O8432" i="2"/>
  <c r="M8432" i="2"/>
  <c r="O8428" i="2"/>
  <c r="M8428" i="2"/>
  <c r="O8424" i="2"/>
  <c r="M8424" i="2"/>
  <c r="O8420" i="2"/>
  <c r="M8420" i="2"/>
  <c r="O8416" i="2"/>
  <c r="M8416" i="2"/>
  <c r="O8412" i="2"/>
  <c r="M8412" i="2"/>
  <c r="O8408" i="2"/>
  <c r="M8408" i="2"/>
  <c r="O8404" i="2"/>
  <c r="M8404" i="2"/>
  <c r="O8400" i="2"/>
  <c r="M8400" i="2"/>
  <c r="O8396" i="2"/>
  <c r="M8396" i="2"/>
  <c r="O8392" i="2"/>
  <c r="M8392" i="2"/>
  <c r="O8388" i="2"/>
  <c r="M8388" i="2"/>
  <c r="O8384" i="2"/>
  <c r="M8384" i="2"/>
  <c r="O8380" i="2"/>
  <c r="M8380" i="2"/>
  <c r="O8376" i="2"/>
  <c r="M8376" i="2"/>
  <c r="O8372" i="2"/>
  <c r="M8372" i="2"/>
  <c r="O8368" i="2"/>
  <c r="M8368" i="2"/>
  <c r="O8364" i="2"/>
  <c r="M8364" i="2"/>
  <c r="O8360" i="2"/>
  <c r="M8360" i="2"/>
  <c r="O8356" i="2"/>
  <c r="M8356" i="2"/>
  <c r="O8352" i="2"/>
  <c r="M8352" i="2"/>
  <c r="O8348" i="2"/>
  <c r="M8348" i="2"/>
  <c r="O8344" i="2"/>
  <c r="M8344" i="2"/>
  <c r="O8340" i="2"/>
  <c r="M8340" i="2"/>
  <c r="O8336" i="2"/>
  <c r="M8336" i="2"/>
  <c r="O8332" i="2"/>
  <c r="M8332" i="2"/>
  <c r="O8328" i="2"/>
  <c r="M8328" i="2"/>
  <c r="O8324" i="2"/>
  <c r="M8324" i="2"/>
  <c r="O8320" i="2"/>
  <c r="M8320" i="2"/>
  <c r="O8316" i="2"/>
  <c r="M8316" i="2"/>
  <c r="O8312" i="2"/>
  <c r="M8312" i="2"/>
  <c r="O8308" i="2"/>
  <c r="M8308" i="2"/>
  <c r="O8304" i="2"/>
  <c r="M8304" i="2"/>
  <c r="O8300" i="2"/>
  <c r="M8300" i="2"/>
  <c r="O8296" i="2"/>
  <c r="M8296" i="2"/>
  <c r="O8292" i="2"/>
  <c r="M8292" i="2"/>
  <c r="O8288" i="2"/>
  <c r="M8288" i="2"/>
  <c r="O8284" i="2"/>
  <c r="M8284" i="2"/>
  <c r="O8280" i="2"/>
  <c r="M8280" i="2"/>
  <c r="O8276" i="2"/>
  <c r="M8276" i="2"/>
  <c r="O8272" i="2"/>
  <c r="M8272" i="2"/>
  <c r="O8268" i="2"/>
  <c r="M8268" i="2"/>
  <c r="O8264" i="2"/>
  <c r="M8264" i="2"/>
  <c r="O8260" i="2"/>
  <c r="M8260" i="2"/>
  <c r="O8256" i="2"/>
  <c r="M8256" i="2"/>
  <c r="O8252" i="2"/>
  <c r="M8252" i="2"/>
  <c r="O8248" i="2"/>
  <c r="M8248" i="2"/>
  <c r="O8244" i="2"/>
  <c r="M8244" i="2"/>
  <c r="O8240" i="2"/>
  <c r="M8240" i="2"/>
  <c r="O8236" i="2"/>
  <c r="M8236" i="2"/>
  <c r="O8232" i="2"/>
  <c r="M8232" i="2"/>
  <c r="O8228" i="2"/>
  <c r="M8228" i="2"/>
  <c r="O8224" i="2"/>
  <c r="M8224" i="2"/>
  <c r="O8220" i="2"/>
  <c r="M8220" i="2"/>
  <c r="O8216" i="2"/>
  <c r="M8216" i="2"/>
  <c r="O8212" i="2"/>
  <c r="M8212" i="2"/>
  <c r="O8208" i="2"/>
  <c r="M8208" i="2"/>
  <c r="O8204" i="2"/>
  <c r="M8204" i="2"/>
  <c r="O8200" i="2"/>
  <c r="M8200" i="2"/>
  <c r="O8196" i="2"/>
  <c r="M8196" i="2"/>
  <c r="O8192" i="2"/>
  <c r="M8192" i="2"/>
  <c r="O8188" i="2"/>
  <c r="M8188" i="2"/>
  <c r="O8184" i="2"/>
  <c r="M8184" i="2"/>
  <c r="O8180" i="2"/>
  <c r="M8180" i="2"/>
  <c r="O8176" i="2"/>
  <c r="M8176" i="2"/>
  <c r="O8172" i="2"/>
  <c r="M8172" i="2"/>
  <c r="O8168" i="2"/>
  <c r="M8168" i="2"/>
  <c r="O8164" i="2"/>
  <c r="M8164" i="2"/>
  <c r="O8160" i="2"/>
  <c r="M8160" i="2"/>
  <c r="O8156" i="2"/>
  <c r="M8156" i="2"/>
  <c r="O8152" i="2"/>
  <c r="M8152" i="2"/>
  <c r="Q8148" i="2"/>
  <c r="M8148" i="2"/>
  <c r="Q8144" i="2"/>
  <c r="M8144" i="2"/>
  <c r="Q8140" i="2"/>
  <c r="M8140" i="2"/>
  <c r="Q8136" i="2"/>
  <c r="M8136" i="2"/>
  <c r="Q8132" i="2"/>
  <c r="M8132" i="2"/>
  <c r="Q8128" i="2"/>
  <c r="M8128" i="2"/>
  <c r="Q8124" i="2"/>
  <c r="M8124" i="2"/>
  <c r="Q8120" i="2"/>
  <c r="M8120" i="2"/>
  <c r="Q8116" i="2"/>
  <c r="M8116" i="2"/>
  <c r="Q8112" i="2"/>
  <c r="M8112" i="2"/>
  <c r="Q8108" i="2"/>
  <c r="M8108" i="2"/>
  <c r="Q8104" i="2"/>
  <c r="M8104" i="2"/>
  <c r="Q8100" i="2"/>
  <c r="M8100" i="2"/>
  <c r="Q8096" i="2"/>
  <c r="M8096" i="2"/>
  <c r="Q8092" i="2"/>
  <c r="M8092" i="2"/>
  <c r="Q8088" i="2"/>
  <c r="M8088" i="2"/>
  <c r="Q8084" i="2"/>
  <c r="M8084" i="2"/>
  <c r="Q8080" i="2"/>
  <c r="M8080" i="2"/>
  <c r="Q8076" i="2"/>
  <c r="M8076" i="2"/>
  <c r="Q8072" i="2"/>
  <c r="M8072" i="2"/>
  <c r="Q8068" i="2"/>
  <c r="M8068" i="2"/>
  <c r="Q8064" i="2"/>
  <c r="M8064" i="2"/>
  <c r="Q8060" i="2"/>
  <c r="M8060" i="2"/>
  <c r="Q8056" i="2"/>
  <c r="M8056" i="2"/>
  <c r="Q8052" i="2"/>
  <c r="M8052" i="2"/>
  <c r="Q8048" i="2"/>
  <c r="M8048" i="2"/>
  <c r="Q8044" i="2"/>
  <c r="M8044" i="2"/>
  <c r="Q8040" i="2"/>
  <c r="M8040" i="2"/>
  <c r="Q8036" i="2"/>
  <c r="M8036" i="2"/>
  <c r="Q8032" i="2"/>
  <c r="M8032" i="2"/>
  <c r="Q8028" i="2"/>
  <c r="M8028" i="2"/>
  <c r="Q8024" i="2"/>
  <c r="M8024" i="2"/>
  <c r="Q8020" i="2"/>
  <c r="M8020" i="2"/>
  <c r="Q8016" i="2"/>
  <c r="M8016" i="2"/>
  <c r="Q8012" i="2"/>
  <c r="M8012" i="2"/>
  <c r="Q8008" i="2"/>
  <c r="M8008" i="2"/>
  <c r="Q8004" i="2"/>
  <c r="M8004" i="2"/>
  <c r="Q8000" i="2"/>
  <c r="M8000" i="2"/>
  <c r="Q7996" i="2"/>
  <c r="M7996" i="2"/>
  <c r="Q7992" i="2"/>
  <c r="M7992" i="2"/>
  <c r="Q7988" i="2"/>
  <c r="M7988" i="2"/>
  <c r="Q7984" i="2"/>
  <c r="M7984" i="2"/>
  <c r="Q7980" i="2"/>
  <c r="M7980" i="2"/>
  <c r="Q7976" i="2"/>
  <c r="M7976" i="2"/>
  <c r="Q7972" i="2"/>
  <c r="M7972" i="2"/>
  <c r="Q7968" i="2"/>
  <c r="M7968" i="2"/>
  <c r="Q7964" i="2"/>
  <c r="M7964" i="2"/>
  <c r="Q7960" i="2"/>
  <c r="M7960" i="2"/>
  <c r="Q7956" i="2"/>
  <c r="M7956" i="2"/>
  <c r="Q7952" i="2"/>
  <c r="M7952" i="2"/>
  <c r="Q7948" i="2"/>
  <c r="M7948" i="2"/>
  <c r="Q7944" i="2"/>
  <c r="M7944" i="2"/>
  <c r="Q7940" i="2"/>
  <c r="M7940" i="2"/>
  <c r="Q7936" i="2"/>
  <c r="M7936" i="2"/>
  <c r="Q7932" i="2"/>
  <c r="M7932" i="2"/>
  <c r="Q7928" i="2"/>
  <c r="M7928" i="2"/>
  <c r="Q7924" i="2"/>
  <c r="M7924" i="2"/>
  <c r="Q7920" i="2"/>
  <c r="M7920" i="2"/>
  <c r="Q7916" i="2"/>
  <c r="M7916" i="2"/>
  <c r="Q7912" i="2"/>
  <c r="M7912" i="2"/>
  <c r="Q7908" i="2"/>
  <c r="M7908" i="2"/>
  <c r="Q7904" i="2"/>
  <c r="M7904" i="2"/>
  <c r="Q7900" i="2"/>
  <c r="M7900" i="2"/>
  <c r="Q7896" i="2"/>
  <c r="M7896" i="2"/>
  <c r="Q7892" i="2"/>
  <c r="M7892" i="2"/>
  <c r="Q7888" i="2"/>
  <c r="M7888" i="2"/>
  <c r="Q7884" i="2"/>
  <c r="M7884" i="2"/>
  <c r="Q7880" i="2"/>
  <c r="M7880" i="2"/>
  <c r="Q7876" i="2"/>
  <c r="M7876" i="2"/>
  <c r="Q7872" i="2"/>
  <c r="M7872" i="2"/>
  <c r="Q7868" i="2"/>
  <c r="M7868" i="2"/>
  <c r="Q7864" i="2"/>
  <c r="M7864" i="2"/>
  <c r="Q7860" i="2"/>
  <c r="M7860" i="2"/>
  <c r="Q7856" i="2"/>
  <c r="M7856" i="2"/>
  <c r="Q7852" i="2"/>
  <c r="M7852" i="2"/>
  <c r="Q7848" i="2"/>
  <c r="M7848" i="2"/>
  <c r="Q7844" i="2"/>
  <c r="M7844" i="2"/>
  <c r="Q7840" i="2"/>
  <c r="M7840" i="2"/>
  <c r="Q7836" i="2"/>
  <c r="M7836" i="2"/>
  <c r="Q7832" i="2"/>
  <c r="M7832" i="2"/>
  <c r="Q7828" i="2"/>
  <c r="M7828" i="2"/>
  <c r="Q7824" i="2"/>
  <c r="M7824" i="2"/>
  <c r="Q7820" i="2"/>
  <c r="M7820" i="2"/>
  <c r="Q7816" i="2"/>
  <c r="M7816" i="2"/>
  <c r="Q7812" i="2"/>
  <c r="M7812" i="2"/>
  <c r="Q7808" i="2"/>
  <c r="M7808" i="2"/>
  <c r="Q7804" i="2"/>
  <c r="M7804" i="2"/>
  <c r="Q7800" i="2"/>
  <c r="M7800" i="2"/>
  <c r="Q7796" i="2"/>
  <c r="M7796" i="2"/>
  <c r="Q7792" i="2"/>
  <c r="M7792" i="2"/>
  <c r="Q7788" i="2"/>
  <c r="M7788" i="2"/>
  <c r="Q7784" i="2"/>
  <c r="M7784" i="2"/>
  <c r="Q7780" i="2"/>
  <c r="M7780" i="2"/>
  <c r="Q7776" i="2"/>
  <c r="M7776" i="2"/>
  <c r="Q7772" i="2"/>
  <c r="M7772" i="2"/>
  <c r="Q7768" i="2"/>
  <c r="M7768" i="2"/>
  <c r="Q7764" i="2"/>
  <c r="M7764" i="2"/>
  <c r="Q7760" i="2"/>
  <c r="M7760" i="2"/>
  <c r="Q7756" i="2"/>
  <c r="M7756" i="2"/>
  <c r="Q7752" i="2"/>
  <c r="M7752" i="2"/>
  <c r="Q7748" i="2"/>
  <c r="M7748" i="2"/>
  <c r="Q7744" i="2"/>
  <c r="M7744" i="2"/>
  <c r="Q7740" i="2"/>
  <c r="M7740" i="2"/>
  <c r="Q7736" i="2"/>
  <c r="M7736" i="2"/>
  <c r="Q7732" i="2"/>
  <c r="M7732" i="2"/>
  <c r="Q7728" i="2"/>
  <c r="M7728" i="2"/>
  <c r="Q7724" i="2"/>
  <c r="M7724" i="2"/>
  <c r="Q7720" i="2"/>
  <c r="M7720" i="2"/>
  <c r="Q7716" i="2"/>
  <c r="M7716" i="2"/>
  <c r="Q7712" i="2"/>
  <c r="M7712" i="2"/>
  <c r="Q7708" i="2"/>
  <c r="M7708" i="2"/>
  <c r="Q7704" i="2"/>
  <c r="M7704" i="2"/>
  <c r="Q7700" i="2"/>
  <c r="M7700" i="2"/>
  <c r="Q7696" i="2"/>
  <c r="M7696" i="2"/>
  <c r="Q7692" i="2"/>
  <c r="M7692" i="2"/>
  <c r="Q7688" i="2"/>
  <c r="M7688" i="2"/>
  <c r="Q7684" i="2"/>
  <c r="M7684" i="2"/>
  <c r="Q7680" i="2"/>
  <c r="M7680" i="2"/>
  <c r="Q7676" i="2"/>
  <c r="M7676" i="2"/>
  <c r="Q7672" i="2"/>
  <c r="M7672" i="2"/>
  <c r="Q7668" i="2"/>
  <c r="M7668" i="2"/>
  <c r="Q7664" i="2"/>
  <c r="M7664" i="2"/>
  <c r="Q7660" i="2"/>
  <c r="M7660" i="2"/>
  <c r="Q7656" i="2"/>
  <c r="M7656" i="2"/>
  <c r="Q7652" i="2"/>
  <c r="M7652" i="2"/>
  <c r="Q7648" i="2"/>
  <c r="M7648" i="2"/>
  <c r="Q7644" i="2"/>
  <c r="M7644" i="2"/>
  <c r="Q7640" i="2"/>
  <c r="M7640" i="2"/>
  <c r="Q7636" i="2"/>
  <c r="M7636" i="2"/>
  <c r="Q7632" i="2"/>
  <c r="M7632" i="2"/>
  <c r="Q7628" i="2"/>
  <c r="M7628" i="2"/>
  <c r="Q7624" i="2"/>
  <c r="M7624" i="2"/>
  <c r="Q7620" i="2"/>
  <c r="M7620" i="2"/>
  <c r="Q7616" i="2"/>
  <c r="M7616" i="2"/>
  <c r="Q7612" i="2"/>
  <c r="M7612" i="2"/>
  <c r="Q7608" i="2"/>
  <c r="M7608" i="2"/>
  <c r="Q7604" i="2"/>
  <c r="M7604" i="2"/>
  <c r="Q7600" i="2"/>
  <c r="M7600" i="2"/>
  <c r="Q7596" i="2"/>
  <c r="M7596" i="2"/>
  <c r="Q7592" i="2"/>
  <c r="M7592" i="2"/>
  <c r="Q7588" i="2"/>
  <c r="M7588" i="2"/>
  <c r="Q7584" i="2"/>
  <c r="M7584" i="2"/>
  <c r="Q7580" i="2"/>
  <c r="M7580" i="2"/>
  <c r="Q7576" i="2"/>
  <c r="M7576" i="2"/>
  <c r="Q7572" i="2"/>
  <c r="M7572" i="2"/>
  <c r="Q7568" i="2"/>
  <c r="M7568" i="2"/>
  <c r="Q7564" i="2"/>
  <c r="M7564" i="2"/>
  <c r="Q7560" i="2"/>
  <c r="M7560" i="2"/>
  <c r="Q7556" i="2"/>
  <c r="M7556" i="2"/>
  <c r="Q7552" i="2"/>
  <c r="M7552" i="2"/>
  <c r="Q7548" i="2"/>
  <c r="M7548" i="2"/>
  <c r="Q7544" i="2"/>
  <c r="M7544" i="2"/>
  <c r="Q7540" i="2"/>
  <c r="M7540" i="2"/>
  <c r="Q7536" i="2"/>
  <c r="M7536" i="2"/>
  <c r="Q7532" i="2"/>
  <c r="M7532" i="2"/>
  <c r="Q7528" i="2"/>
  <c r="M7528" i="2"/>
  <c r="Q7524" i="2"/>
  <c r="M7524" i="2"/>
  <c r="Q7520" i="2"/>
  <c r="M7520" i="2"/>
  <c r="Q7516" i="2"/>
  <c r="M7516" i="2"/>
  <c r="Q7512" i="2"/>
  <c r="M7512" i="2"/>
  <c r="Q7508" i="2"/>
  <c r="M7508" i="2"/>
  <c r="Q7504" i="2"/>
  <c r="M7504" i="2"/>
  <c r="Q7500" i="2"/>
  <c r="M7500" i="2"/>
  <c r="Q7496" i="2"/>
  <c r="M7496" i="2"/>
  <c r="Q7492" i="2"/>
  <c r="M7492" i="2"/>
  <c r="Q7488" i="2"/>
  <c r="M7488" i="2"/>
  <c r="Q7484" i="2"/>
  <c r="M7484" i="2"/>
  <c r="Q7480" i="2"/>
  <c r="M7480" i="2"/>
  <c r="Q7476" i="2"/>
  <c r="M7476" i="2"/>
  <c r="Q7472" i="2"/>
  <c r="M7472" i="2"/>
  <c r="Q7468" i="2"/>
  <c r="M7468" i="2"/>
  <c r="Q7464" i="2"/>
  <c r="M7464" i="2"/>
  <c r="Q7460" i="2"/>
  <c r="M7460" i="2"/>
  <c r="Q7456" i="2"/>
  <c r="M7456" i="2"/>
  <c r="Q7452" i="2"/>
  <c r="M7452" i="2"/>
  <c r="Q7448" i="2"/>
  <c r="M7448" i="2"/>
  <c r="Q7444" i="2"/>
  <c r="M7444" i="2"/>
  <c r="Q7440" i="2"/>
  <c r="M7440" i="2"/>
  <c r="Q7436" i="2"/>
  <c r="M7436" i="2"/>
  <c r="Q7432" i="2"/>
  <c r="M7432" i="2"/>
  <c r="Q7428" i="2"/>
  <c r="M7428" i="2"/>
  <c r="Q7424" i="2"/>
  <c r="M7424" i="2"/>
  <c r="Q7420" i="2"/>
  <c r="M7420" i="2"/>
  <c r="Q7416" i="2"/>
  <c r="M7416" i="2"/>
  <c r="Q7412" i="2"/>
  <c r="M7412" i="2"/>
  <c r="Q7408" i="2"/>
  <c r="M7408" i="2"/>
  <c r="Q7404" i="2"/>
  <c r="M7404" i="2"/>
  <c r="Q7400" i="2"/>
  <c r="M7400" i="2"/>
  <c r="Q7396" i="2"/>
  <c r="M7396" i="2"/>
  <c r="Q7392" i="2"/>
  <c r="M7392" i="2"/>
  <c r="Q7388" i="2"/>
  <c r="M7388" i="2"/>
  <c r="Q7384" i="2"/>
  <c r="M7384" i="2"/>
  <c r="Q7380" i="2"/>
  <c r="M7380" i="2"/>
  <c r="Q7376" i="2"/>
  <c r="M7376" i="2"/>
  <c r="Q7372" i="2"/>
  <c r="M7372" i="2"/>
  <c r="Q7368" i="2"/>
  <c r="M7368" i="2"/>
  <c r="Q7364" i="2"/>
  <c r="M7364" i="2"/>
  <c r="Q7360" i="2"/>
  <c r="M7360" i="2"/>
  <c r="Q7356" i="2"/>
  <c r="M7356" i="2"/>
  <c r="Q7352" i="2"/>
  <c r="M7352" i="2"/>
  <c r="Q7348" i="2"/>
  <c r="M7348" i="2"/>
  <c r="Q7344" i="2"/>
  <c r="M7344" i="2"/>
  <c r="Q7340" i="2"/>
  <c r="M7340" i="2"/>
  <c r="Q7336" i="2"/>
  <c r="M7336" i="2"/>
  <c r="Q7332" i="2"/>
  <c r="M7332" i="2"/>
  <c r="Q7328" i="2"/>
  <c r="M7328" i="2"/>
  <c r="Q7324" i="2"/>
  <c r="M7324" i="2"/>
  <c r="Q7320" i="2"/>
  <c r="M7320" i="2"/>
  <c r="Q7316" i="2"/>
  <c r="M7316" i="2"/>
  <c r="Q7312" i="2"/>
  <c r="M7312" i="2"/>
  <c r="Q7308" i="2"/>
  <c r="M7308" i="2"/>
  <c r="Q7304" i="2"/>
  <c r="M7304" i="2"/>
  <c r="Q7300" i="2"/>
  <c r="M7300" i="2"/>
  <c r="Q7296" i="2"/>
  <c r="M7296" i="2"/>
  <c r="Q7292" i="2"/>
  <c r="M7292" i="2"/>
  <c r="V7291" i="1"/>
  <c r="B7291" i="2" s="1"/>
  <c r="A7291" i="1"/>
  <c r="V7290" i="1"/>
  <c r="B7290" i="2" s="1"/>
  <c r="A7290" i="1"/>
  <c r="V7289" i="1"/>
  <c r="B7289" i="2" s="1"/>
  <c r="A7289" i="1"/>
  <c r="V7288" i="1"/>
  <c r="B7288" i="2" s="1"/>
  <c r="A7288" i="1"/>
  <c r="V7287" i="1"/>
  <c r="B7287" i="2" s="1"/>
  <c r="A7287" i="1"/>
  <c r="V7286" i="1"/>
  <c r="B7286" i="2" s="1"/>
  <c r="A7286" i="1"/>
  <c r="V7285" i="1"/>
  <c r="B7285" i="2" s="1"/>
  <c r="A7285" i="1"/>
  <c r="V7284" i="1"/>
  <c r="B7284" i="2" s="1"/>
  <c r="A7284" i="1"/>
  <c r="V7283" i="1"/>
  <c r="B7283" i="2" s="1"/>
  <c r="A7283" i="1"/>
  <c r="V7282" i="1"/>
  <c r="B7282" i="2" s="1"/>
  <c r="A7282" i="1"/>
  <c r="V7281" i="1"/>
  <c r="B7281" i="2" s="1"/>
  <c r="A7281" i="1"/>
  <c r="V7280" i="1"/>
  <c r="B7280" i="2" s="1"/>
  <c r="A7280" i="1"/>
  <c r="V7279" i="1"/>
  <c r="B7279" i="2" s="1"/>
  <c r="A7279" i="1"/>
  <c r="V7278" i="1"/>
  <c r="B7278" i="2" s="1"/>
  <c r="A7278" i="1"/>
  <c r="V7277" i="1"/>
  <c r="B7277" i="2" s="1"/>
  <c r="A7277" i="1"/>
  <c r="V7276" i="1"/>
  <c r="B7276" i="2" s="1"/>
  <c r="A7276" i="1"/>
  <c r="V7275" i="1"/>
  <c r="B7275" i="2" s="1"/>
  <c r="A7275" i="1"/>
  <c r="V7274" i="1"/>
  <c r="B7274" i="2" s="1"/>
  <c r="A7274" i="1"/>
  <c r="V7273" i="1"/>
  <c r="B7273" i="2" s="1"/>
  <c r="A7273" i="1"/>
  <c r="V7272" i="1"/>
  <c r="B7272" i="2" s="1"/>
  <c r="A7272" i="1"/>
  <c r="V7271" i="1"/>
  <c r="B7271" i="2" s="1"/>
  <c r="A7271" i="1"/>
  <c r="V7270" i="1"/>
  <c r="B7270" i="2" s="1"/>
  <c r="A7270" i="1"/>
  <c r="V7269" i="1"/>
  <c r="B7269" i="2" s="1"/>
  <c r="A7269" i="1"/>
  <c r="V7268" i="1"/>
  <c r="B7268" i="2" s="1"/>
  <c r="A7268" i="1"/>
  <c r="V7267" i="1"/>
  <c r="B7267" i="2" s="1"/>
  <c r="A7267" i="1"/>
  <c r="V7266" i="1"/>
  <c r="B7266" i="2" s="1"/>
  <c r="A7266" i="1"/>
  <c r="V7265" i="1"/>
  <c r="B7265" i="2" s="1"/>
  <c r="A7265" i="1"/>
  <c r="V7264" i="1"/>
  <c r="B7264" i="2" s="1"/>
  <c r="A7264" i="1"/>
  <c r="V7263" i="1"/>
  <c r="B7263" i="2" s="1"/>
  <c r="A7263" i="1"/>
  <c r="V7262" i="1"/>
  <c r="B7262" i="2" s="1"/>
  <c r="A7262" i="1"/>
  <c r="V7261" i="1"/>
  <c r="B7261" i="2" s="1"/>
  <c r="A7261" i="1"/>
  <c r="V7260" i="1"/>
  <c r="B7260" i="2" s="1"/>
  <c r="A7260" i="1"/>
  <c r="V7259" i="1"/>
  <c r="B7259" i="2" s="1"/>
  <c r="A7259" i="1"/>
  <c r="V7258" i="1"/>
  <c r="B7258" i="2" s="1"/>
  <c r="A7258" i="1"/>
  <c r="V7257" i="1"/>
  <c r="B7257" i="2" s="1"/>
  <c r="A7257" i="1"/>
  <c r="V7256" i="1"/>
  <c r="B7256" i="2" s="1"/>
  <c r="A7256" i="1"/>
  <c r="V7255" i="1"/>
  <c r="B7255" i="2" s="1"/>
  <c r="A7255" i="1"/>
  <c r="V7254" i="1"/>
  <c r="B7254" i="2" s="1"/>
  <c r="A7254" i="1"/>
  <c r="V7253" i="1"/>
  <c r="B7253" i="2" s="1"/>
  <c r="A7253" i="1"/>
  <c r="V7252" i="1"/>
  <c r="B7252" i="2" s="1"/>
  <c r="A7252" i="1"/>
  <c r="V7251" i="1"/>
  <c r="B7251" i="2" s="1"/>
  <c r="A7251" i="1"/>
  <c r="V7250" i="1"/>
  <c r="B7250" i="2" s="1"/>
  <c r="A7250" i="1"/>
  <c r="V7249" i="1"/>
  <c r="B7249" i="2" s="1"/>
  <c r="A7249" i="1"/>
  <c r="V7248" i="1"/>
  <c r="B7248" i="2" s="1"/>
  <c r="A7248" i="1"/>
  <c r="V7247" i="1"/>
  <c r="B7247" i="2" s="1"/>
  <c r="A7247" i="1"/>
  <c r="V7246" i="1"/>
  <c r="B7246" i="2" s="1"/>
  <c r="A7246" i="1"/>
  <c r="V7245" i="1"/>
  <c r="B7245" i="2" s="1"/>
  <c r="A7245" i="1"/>
  <c r="V7244" i="1"/>
  <c r="B7244" i="2" s="1"/>
  <c r="A7244" i="1"/>
  <c r="V7243" i="1"/>
  <c r="B7243" i="2" s="1"/>
  <c r="A7243" i="1"/>
  <c r="V7242" i="1"/>
  <c r="B7242" i="2" s="1"/>
  <c r="A7242" i="1"/>
  <c r="V7241" i="1"/>
  <c r="B7241" i="2" s="1"/>
  <c r="A7241" i="1"/>
  <c r="V7240" i="1"/>
  <c r="B7240" i="2" s="1"/>
  <c r="A7240" i="1"/>
  <c r="V7239" i="1"/>
  <c r="B7239" i="2" s="1"/>
  <c r="A7239" i="1"/>
  <c r="V7238" i="1"/>
  <c r="B7238" i="2" s="1"/>
  <c r="A7238" i="1"/>
  <c r="V7237" i="1"/>
  <c r="B7237" i="2" s="1"/>
  <c r="A7237" i="1"/>
  <c r="V7236" i="1"/>
  <c r="B7236" i="2" s="1"/>
  <c r="A7236" i="1"/>
  <c r="V7235" i="1"/>
  <c r="B7235" i="2" s="1"/>
  <c r="A7235" i="1"/>
  <c r="V7234" i="1"/>
  <c r="B7234" i="2" s="1"/>
  <c r="A7234" i="1"/>
  <c r="V7233" i="1"/>
  <c r="B7233" i="2" s="1"/>
  <c r="A7233" i="1"/>
  <c r="V7232" i="1"/>
  <c r="B7232" i="2" s="1"/>
  <c r="A7232" i="1"/>
  <c r="V7231" i="1"/>
  <c r="B7231" i="2" s="1"/>
  <c r="A7231" i="1"/>
  <c r="V7230" i="1"/>
  <c r="B7230" i="2" s="1"/>
  <c r="A7230" i="1"/>
  <c r="V7229" i="1"/>
  <c r="B7229" i="2" s="1"/>
  <c r="A7229" i="1"/>
  <c r="V7228" i="1"/>
  <c r="B7228" i="2" s="1"/>
  <c r="A7228" i="1"/>
  <c r="V7227" i="1"/>
  <c r="B7227" i="2" s="1"/>
  <c r="A7227" i="1"/>
  <c r="V7226" i="1"/>
  <c r="B7226" i="2" s="1"/>
  <c r="A7226" i="1"/>
  <c r="V7225" i="1"/>
  <c r="B7225" i="2" s="1"/>
  <c r="A7225" i="1"/>
  <c r="V7224" i="1"/>
  <c r="B7224" i="2" s="1"/>
  <c r="A7224" i="1"/>
  <c r="V7223" i="1"/>
  <c r="B7223" i="2" s="1"/>
  <c r="A7223" i="1"/>
  <c r="V7222" i="1"/>
  <c r="B7222" i="2" s="1"/>
  <c r="A7222" i="1"/>
  <c r="V7221" i="1"/>
  <c r="B7221" i="2" s="1"/>
  <c r="A7221" i="1"/>
  <c r="V7220" i="1"/>
  <c r="B7220" i="2" s="1"/>
  <c r="A7220" i="1"/>
  <c r="V7219" i="1"/>
  <c r="B7219" i="2" s="1"/>
  <c r="A7219" i="1"/>
  <c r="V7218" i="1"/>
  <c r="B7218" i="2" s="1"/>
  <c r="A7218" i="1"/>
  <c r="V7217" i="1"/>
  <c r="B7217" i="2" s="1"/>
  <c r="A7217" i="1"/>
  <c r="V7216" i="1"/>
  <c r="B7216" i="2" s="1"/>
  <c r="A7216" i="1"/>
  <c r="V7215" i="1"/>
  <c r="B7215" i="2" s="1"/>
  <c r="A7215" i="1"/>
  <c r="V7214" i="1"/>
  <c r="B7214" i="2" s="1"/>
  <c r="A7214" i="1"/>
  <c r="V7213" i="1"/>
  <c r="B7213" i="2" s="1"/>
  <c r="A7213" i="1"/>
  <c r="V7212" i="1"/>
  <c r="B7212" i="2" s="1"/>
  <c r="A7212" i="1"/>
  <c r="V7211" i="1"/>
  <c r="B7211" i="2" s="1"/>
  <c r="A7211" i="1"/>
  <c r="V7210" i="1"/>
  <c r="B7210" i="2" s="1"/>
  <c r="A7210" i="1"/>
  <c r="V7209" i="1"/>
  <c r="B7209" i="2" s="1"/>
  <c r="A7209" i="1"/>
  <c r="V7208" i="1"/>
  <c r="B7208" i="2" s="1"/>
  <c r="A7208" i="1"/>
  <c r="V7207" i="1"/>
  <c r="B7207" i="2" s="1"/>
  <c r="A7207" i="1"/>
  <c r="V7206" i="1"/>
  <c r="B7206" i="2" s="1"/>
  <c r="A7206" i="1"/>
  <c r="V7205" i="1"/>
  <c r="B7205" i="2" s="1"/>
  <c r="A7205" i="1"/>
  <c r="V7204" i="1"/>
  <c r="B7204" i="2" s="1"/>
  <c r="A7204" i="1"/>
  <c r="V7203" i="1"/>
  <c r="B7203" i="2" s="1"/>
  <c r="A7203" i="1"/>
  <c r="V7202" i="1"/>
  <c r="B7202" i="2" s="1"/>
  <c r="A7202" i="1"/>
  <c r="V7201" i="1"/>
  <c r="B7201" i="2" s="1"/>
  <c r="A7201" i="1"/>
  <c r="V7200" i="1"/>
  <c r="B7200" i="2" s="1"/>
  <c r="A7200" i="1"/>
  <c r="V7199" i="1"/>
  <c r="B7199" i="2" s="1"/>
  <c r="A7199" i="1"/>
  <c r="V7198" i="1"/>
  <c r="B7198" i="2" s="1"/>
  <c r="A7198" i="1"/>
  <c r="V7197" i="1"/>
  <c r="B7197" i="2" s="1"/>
  <c r="A7197" i="1"/>
  <c r="V7196" i="1"/>
  <c r="B7196" i="2" s="1"/>
  <c r="A7196" i="1"/>
  <c r="V7195" i="1"/>
  <c r="B7195" i="2" s="1"/>
  <c r="A7195" i="1"/>
  <c r="V7194" i="1"/>
  <c r="B7194" i="2" s="1"/>
  <c r="A7194" i="1"/>
  <c r="V7193" i="1"/>
  <c r="B7193" i="2" s="1"/>
  <c r="A7193" i="1"/>
  <c r="V7192" i="1"/>
  <c r="B7192" i="2" s="1"/>
  <c r="A7192" i="1"/>
  <c r="V7191" i="1"/>
  <c r="B7191" i="2" s="1"/>
  <c r="A7191" i="1"/>
  <c r="V7190" i="1"/>
  <c r="B7190" i="2" s="1"/>
  <c r="A7190" i="1"/>
  <c r="V7189" i="1"/>
  <c r="B7189" i="2" s="1"/>
  <c r="A7189" i="1"/>
  <c r="V7188" i="1"/>
  <c r="B7188" i="2" s="1"/>
  <c r="A7188" i="1"/>
  <c r="V7187" i="1"/>
  <c r="B7187" i="2" s="1"/>
  <c r="A7187" i="1"/>
  <c r="V7186" i="1"/>
  <c r="B7186" i="2" s="1"/>
  <c r="A7186" i="1"/>
  <c r="V7185" i="1"/>
  <c r="B7185" i="2" s="1"/>
  <c r="A7185" i="1"/>
  <c r="V7184" i="1"/>
  <c r="B7184" i="2" s="1"/>
  <c r="A7184" i="1"/>
  <c r="V7183" i="1"/>
  <c r="B7183" i="2" s="1"/>
  <c r="A7183" i="1"/>
  <c r="V7182" i="1"/>
  <c r="B7182" i="2" s="1"/>
  <c r="A7182" i="1"/>
  <c r="V7181" i="1"/>
  <c r="B7181" i="2" s="1"/>
  <c r="A7181" i="1"/>
  <c r="V7180" i="1"/>
  <c r="B7180" i="2" s="1"/>
  <c r="A7180" i="1"/>
  <c r="V7179" i="1"/>
  <c r="B7179" i="2" s="1"/>
  <c r="A7179" i="1"/>
  <c r="V7178" i="1"/>
  <c r="B7178" i="2" s="1"/>
  <c r="A7178" i="1"/>
  <c r="V7177" i="1"/>
  <c r="B7177" i="2" s="1"/>
  <c r="A7177" i="1"/>
  <c r="V7176" i="1"/>
  <c r="B7176" i="2" s="1"/>
  <c r="A7176" i="1"/>
  <c r="V7175" i="1"/>
  <c r="B7175" i="2" s="1"/>
  <c r="A7175" i="1"/>
  <c r="V7174" i="1"/>
  <c r="B7174" i="2" s="1"/>
  <c r="A7174" i="1"/>
  <c r="V7173" i="1"/>
  <c r="B7173" i="2" s="1"/>
  <c r="A7173" i="1"/>
  <c r="V7172" i="1"/>
  <c r="B7172" i="2" s="1"/>
  <c r="A7172" i="1"/>
  <c r="V7171" i="1"/>
  <c r="B7171" i="2" s="1"/>
  <c r="A7171" i="1"/>
  <c r="V7170" i="1"/>
  <c r="B7170" i="2" s="1"/>
  <c r="A7170" i="1"/>
  <c r="V7169" i="1"/>
  <c r="B7169" i="2" s="1"/>
  <c r="A7169" i="1"/>
  <c r="V7168" i="1"/>
  <c r="B7168" i="2" s="1"/>
  <c r="A7168" i="1"/>
  <c r="V7167" i="1"/>
  <c r="B7167" i="2" s="1"/>
  <c r="A7167" i="1"/>
  <c r="V7166" i="1"/>
  <c r="B7166" i="2" s="1"/>
  <c r="A7166" i="1"/>
  <c r="V7165" i="1"/>
  <c r="B7165" i="2" s="1"/>
  <c r="A7165" i="1"/>
  <c r="V7164" i="1"/>
  <c r="B7164" i="2" s="1"/>
  <c r="A7164" i="1"/>
  <c r="V7163" i="1"/>
  <c r="B7163" i="2" s="1"/>
  <c r="A7163" i="1"/>
  <c r="V7162" i="1"/>
  <c r="B7162" i="2" s="1"/>
  <c r="A7162" i="1"/>
  <c r="V7161" i="1"/>
  <c r="B7161" i="2" s="1"/>
  <c r="A7161" i="1"/>
  <c r="V7160" i="1"/>
  <c r="B7160" i="2" s="1"/>
  <c r="A7160" i="1"/>
  <c r="V7159" i="1"/>
  <c r="B7159" i="2" s="1"/>
  <c r="A7159" i="1"/>
  <c r="V7158" i="1"/>
  <c r="B7158" i="2" s="1"/>
  <c r="A7158" i="1"/>
  <c r="V7157" i="1"/>
  <c r="B7157" i="2" s="1"/>
  <c r="A7157" i="1"/>
  <c r="V7156" i="1"/>
  <c r="B7156" i="2" s="1"/>
  <c r="A7156" i="1"/>
  <c r="V7155" i="1"/>
  <c r="B7155" i="2" s="1"/>
  <c r="A7155" i="1"/>
  <c r="V7154" i="1"/>
  <c r="B7154" i="2" s="1"/>
  <c r="A7154" i="1"/>
  <c r="V7153" i="1"/>
  <c r="B7153" i="2" s="1"/>
  <c r="A7153" i="1"/>
  <c r="V7152" i="1"/>
  <c r="B7152" i="2" s="1"/>
  <c r="A7152" i="1"/>
  <c r="V7151" i="1"/>
  <c r="B7151" i="2" s="1"/>
  <c r="A7151" i="1"/>
  <c r="V7150" i="1"/>
  <c r="B7150" i="2" s="1"/>
  <c r="A7150" i="1"/>
  <c r="V7149" i="1"/>
  <c r="B7149" i="2" s="1"/>
  <c r="A7149" i="1"/>
  <c r="V7148" i="1"/>
  <c r="B7148" i="2" s="1"/>
  <c r="A7148" i="1"/>
  <c r="V7147" i="1"/>
  <c r="B7147" i="2" s="1"/>
  <c r="A7147" i="1"/>
  <c r="V7146" i="1"/>
  <c r="B7146" i="2" s="1"/>
  <c r="A7146" i="1"/>
  <c r="V7145" i="1"/>
  <c r="B7145" i="2" s="1"/>
  <c r="A7145" i="1"/>
  <c r="V7144" i="1"/>
  <c r="B7144" i="2" s="1"/>
  <c r="A7144" i="1"/>
  <c r="V7143" i="1"/>
  <c r="B7143" i="2" s="1"/>
  <c r="A7143" i="1"/>
  <c r="V7142" i="1"/>
  <c r="B7142" i="2" s="1"/>
  <c r="A7142" i="1"/>
  <c r="V7141" i="1"/>
  <c r="B7141" i="2" s="1"/>
  <c r="A7141" i="1"/>
  <c r="V7140" i="1"/>
  <c r="B7140" i="2" s="1"/>
  <c r="A7140" i="1"/>
  <c r="V7139" i="1"/>
  <c r="B7139" i="2" s="1"/>
  <c r="A7139" i="1"/>
  <c r="V7138" i="1"/>
  <c r="B7138" i="2" s="1"/>
  <c r="A7138" i="1"/>
  <c r="V7137" i="1"/>
  <c r="B7137" i="2" s="1"/>
  <c r="A7137" i="1"/>
  <c r="V7136" i="1"/>
  <c r="B7136" i="2" s="1"/>
  <c r="A7136" i="1"/>
  <c r="V7135" i="1"/>
  <c r="B7135" i="2" s="1"/>
  <c r="A7135" i="1"/>
  <c r="V7134" i="1"/>
  <c r="B7134" i="2" s="1"/>
  <c r="A7134" i="1"/>
  <c r="V7133" i="1"/>
  <c r="B7133" i="2" s="1"/>
  <c r="A7133" i="1"/>
  <c r="V7132" i="1"/>
  <c r="B7132" i="2" s="1"/>
  <c r="A7132" i="1"/>
  <c r="V7131" i="1"/>
  <c r="B7131" i="2" s="1"/>
  <c r="A7131" i="1"/>
  <c r="V7130" i="1"/>
  <c r="B7130" i="2" s="1"/>
  <c r="A7130" i="1"/>
  <c r="V7129" i="1"/>
  <c r="B7129" i="2" s="1"/>
  <c r="A7129" i="1"/>
  <c r="V7128" i="1"/>
  <c r="B7128" i="2" s="1"/>
  <c r="A7128" i="1"/>
  <c r="V7127" i="1"/>
  <c r="B7127" i="2" s="1"/>
  <c r="A7127" i="1"/>
  <c r="V7126" i="1"/>
  <c r="B7126" i="2" s="1"/>
  <c r="A7126" i="1"/>
  <c r="V7125" i="1"/>
  <c r="B7125" i="2" s="1"/>
  <c r="A7125" i="1"/>
  <c r="V7124" i="1"/>
  <c r="B7124" i="2" s="1"/>
  <c r="A7124" i="1"/>
  <c r="V7123" i="1"/>
  <c r="B7123" i="2" s="1"/>
  <c r="A7123" i="1"/>
  <c r="V7122" i="1"/>
  <c r="B7122" i="2" s="1"/>
  <c r="A7122" i="1"/>
  <c r="V7121" i="1"/>
  <c r="B7121" i="2" s="1"/>
  <c r="A7121" i="1"/>
  <c r="V7120" i="1"/>
  <c r="B7120" i="2" s="1"/>
  <c r="A7120" i="1"/>
  <c r="V7119" i="1"/>
  <c r="B7119" i="2" s="1"/>
  <c r="A7119" i="1"/>
  <c r="V7118" i="1"/>
  <c r="B7118" i="2" s="1"/>
  <c r="A7118" i="1"/>
  <c r="V7117" i="1"/>
  <c r="B7117" i="2" s="1"/>
  <c r="A7117" i="1"/>
  <c r="V7116" i="1"/>
  <c r="B7116" i="2" s="1"/>
  <c r="A7116" i="1"/>
  <c r="V7115" i="1"/>
  <c r="B7115" i="2" s="1"/>
  <c r="A7115" i="1"/>
  <c r="V7114" i="1"/>
  <c r="B7114" i="2" s="1"/>
  <c r="A7114" i="1"/>
  <c r="V7113" i="1"/>
  <c r="B7113" i="2" s="1"/>
  <c r="A7113" i="1"/>
  <c r="V7112" i="1"/>
  <c r="B7112" i="2" s="1"/>
  <c r="A7112" i="1"/>
  <c r="V7111" i="1"/>
  <c r="B7111" i="2" s="1"/>
  <c r="A7111" i="1"/>
  <c r="V7110" i="1"/>
  <c r="B7110" i="2" s="1"/>
  <c r="A7110" i="1"/>
  <c r="V7109" i="1"/>
  <c r="B7109" i="2" s="1"/>
  <c r="A7109" i="1"/>
  <c r="V7108" i="1"/>
  <c r="B7108" i="2" s="1"/>
  <c r="A7108" i="1"/>
  <c r="V7107" i="1"/>
  <c r="B7107" i="2" s="1"/>
  <c r="A7107" i="1"/>
  <c r="V7106" i="1"/>
  <c r="B7106" i="2" s="1"/>
  <c r="A7106" i="1"/>
  <c r="V7105" i="1"/>
  <c r="B7105" i="2" s="1"/>
  <c r="A7105" i="1"/>
  <c r="V7104" i="1"/>
  <c r="B7104" i="2" s="1"/>
  <c r="A7104" i="1"/>
  <c r="V7103" i="1"/>
  <c r="B7103" i="2" s="1"/>
  <c r="A7103" i="1"/>
  <c r="V7102" i="1"/>
  <c r="B7102" i="2" s="1"/>
  <c r="A7102" i="1"/>
  <c r="V7101" i="1"/>
  <c r="B7101" i="2" s="1"/>
  <c r="A7101" i="1"/>
  <c r="V7100" i="1"/>
  <c r="B7100" i="2" s="1"/>
  <c r="A7100" i="1"/>
  <c r="V7099" i="1"/>
  <c r="B7099" i="2" s="1"/>
  <c r="A7099" i="1"/>
  <c r="V7098" i="1"/>
  <c r="B7098" i="2" s="1"/>
  <c r="A7098" i="1"/>
  <c r="V7097" i="1"/>
  <c r="B7097" i="2" s="1"/>
  <c r="A7097" i="1"/>
  <c r="V7096" i="1"/>
  <c r="B7096" i="2" s="1"/>
  <c r="A7096" i="1"/>
  <c r="V7095" i="1"/>
  <c r="B7095" i="2" s="1"/>
  <c r="A7095" i="1"/>
  <c r="V7094" i="1"/>
  <c r="B7094" i="2" s="1"/>
  <c r="A7094" i="1"/>
  <c r="V7093" i="1"/>
  <c r="B7093" i="2" s="1"/>
  <c r="A7093" i="1"/>
  <c r="V7092" i="1"/>
  <c r="B7092" i="2" s="1"/>
  <c r="A7092" i="1"/>
  <c r="V7091" i="1"/>
  <c r="B7091" i="2" s="1"/>
  <c r="A7091" i="1"/>
  <c r="V7090" i="1"/>
  <c r="B7090" i="2" s="1"/>
  <c r="A7090" i="1"/>
  <c r="V7089" i="1"/>
  <c r="B7089" i="2" s="1"/>
  <c r="A7089" i="1"/>
  <c r="V7088" i="1"/>
  <c r="B7088" i="2" s="1"/>
  <c r="A7088" i="1"/>
  <c r="V7087" i="1"/>
  <c r="B7087" i="2" s="1"/>
  <c r="A7087" i="1"/>
  <c r="V7086" i="1"/>
  <c r="B7086" i="2" s="1"/>
  <c r="A7086" i="1"/>
  <c r="V7085" i="1"/>
  <c r="B7085" i="2" s="1"/>
  <c r="A7085" i="1"/>
  <c r="V7084" i="1"/>
  <c r="B7084" i="2" s="1"/>
  <c r="A7084" i="1"/>
  <c r="V7083" i="1"/>
  <c r="B7083" i="2" s="1"/>
  <c r="A7083" i="1"/>
  <c r="V7082" i="1"/>
  <c r="B7082" i="2" s="1"/>
  <c r="A7082" i="1"/>
  <c r="V7081" i="1"/>
  <c r="B7081" i="2" s="1"/>
  <c r="A7081" i="1"/>
  <c r="V7080" i="1"/>
  <c r="B7080" i="2" s="1"/>
  <c r="A7080" i="1"/>
  <c r="V7079" i="1"/>
  <c r="B7079" i="2" s="1"/>
  <c r="A7079" i="1"/>
  <c r="V7078" i="1"/>
  <c r="B7078" i="2" s="1"/>
  <c r="A7078" i="1"/>
  <c r="V7077" i="1"/>
  <c r="B7077" i="2" s="1"/>
  <c r="A7077" i="1"/>
  <c r="V7076" i="1"/>
  <c r="B7076" i="2" s="1"/>
  <c r="A7076" i="1"/>
  <c r="V7075" i="1"/>
  <c r="B7075" i="2" s="1"/>
  <c r="A7075" i="1"/>
  <c r="V7074" i="1"/>
  <c r="B7074" i="2" s="1"/>
  <c r="A7074" i="1"/>
  <c r="V7073" i="1"/>
  <c r="B7073" i="2" s="1"/>
  <c r="A7073" i="1"/>
  <c r="V7072" i="1"/>
  <c r="B7072" i="2" s="1"/>
  <c r="A7072" i="1"/>
  <c r="V7071" i="1"/>
  <c r="B7071" i="2" s="1"/>
  <c r="A7071" i="1"/>
  <c r="V7070" i="1"/>
  <c r="B7070" i="2" s="1"/>
  <c r="A7070" i="1"/>
  <c r="V7069" i="1"/>
  <c r="B7069" i="2" s="1"/>
  <c r="A7069" i="1"/>
  <c r="V7068" i="1"/>
  <c r="B7068" i="2" s="1"/>
  <c r="A7068" i="1"/>
  <c r="V7067" i="1"/>
  <c r="B7067" i="2" s="1"/>
  <c r="A7067" i="1"/>
  <c r="V7066" i="1"/>
  <c r="B7066" i="2" s="1"/>
  <c r="A7066" i="1"/>
  <c r="V7065" i="1"/>
  <c r="B7065" i="2" s="1"/>
  <c r="A7065" i="1"/>
  <c r="V7064" i="1"/>
  <c r="B7064" i="2" s="1"/>
  <c r="A7064" i="1"/>
  <c r="V7063" i="1"/>
  <c r="B7063" i="2" s="1"/>
  <c r="A7063" i="1"/>
  <c r="V7062" i="1"/>
  <c r="B7062" i="2" s="1"/>
  <c r="A7062" i="1"/>
  <c r="V7061" i="1"/>
  <c r="B7061" i="2" s="1"/>
  <c r="A7061" i="1"/>
  <c r="V7060" i="1"/>
  <c r="B7060" i="2" s="1"/>
  <c r="A7060" i="1"/>
  <c r="V7059" i="1"/>
  <c r="B7059" i="2" s="1"/>
  <c r="A7059" i="1"/>
  <c r="V7058" i="1"/>
  <c r="B7058" i="2" s="1"/>
  <c r="A7058" i="1"/>
  <c r="V7057" i="1"/>
  <c r="B7057" i="2" s="1"/>
  <c r="A7057" i="1"/>
  <c r="V7056" i="1"/>
  <c r="B7056" i="2" s="1"/>
  <c r="A7056" i="1"/>
  <c r="V7055" i="1"/>
  <c r="B7055" i="2" s="1"/>
  <c r="A7055" i="1"/>
  <c r="V7054" i="1"/>
  <c r="B7054" i="2" s="1"/>
  <c r="A7054" i="1"/>
  <c r="V7053" i="1"/>
  <c r="B7053" i="2" s="1"/>
  <c r="A7053" i="1"/>
  <c r="V7052" i="1"/>
  <c r="B7052" i="2" s="1"/>
  <c r="A7052" i="1"/>
  <c r="V7051" i="1"/>
  <c r="B7051" i="2" s="1"/>
  <c r="A7051" i="1"/>
  <c r="V7050" i="1"/>
  <c r="B7050" i="2" s="1"/>
  <c r="A7050" i="1"/>
  <c r="V7049" i="1"/>
  <c r="B7049" i="2" s="1"/>
  <c r="A7049" i="1"/>
  <c r="V7048" i="1"/>
  <c r="B7048" i="2" s="1"/>
  <c r="A7048" i="1"/>
  <c r="V7047" i="1"/>
  <c r="B7047" i="2" s="1"/>
  <c r="A7047" i="1"/>
  <c r="V7046" i="1"/>
  <c r="B7046" i="2" s="1"/>
  <c r="A7046" i="1"/>
  <c r="V7045" i="1"/>
  <c r="B7045" i="2" s="1"/>
  <c r="A7045" i="1"/>
  <c r="V7044" i="1"/>
  <c r="B7044" i="2" s="1"/>
  <c r="A7044" i="1"/>
  <c r="V7043" i="1"/>
  <c r="B7043" i="2" s="1"/>
  <c r="A7043" i="1"/>
  <c r="V7042" i="1"/>
  <c r="B7042" i="2" s="1"/>
  <c r="A7042" i="1"/>
  <c r="V7041" i="1"/>
  <c r="B7041" i="2" s="1"/>
  <c r="A7041" i="1"/>
  <c r="V7040" i="1"/>
  <c r="B7040" i="2" s="1"/>
  <c r="A7040" i="1"/>
  <c r="V7039" i="1"/>
  <c r="B7039" i="2" s="1"/>
  <c r="A7039" i="1"/>
  <c r="V7038" i="1"/>
  <c r="B7038" i="2" s="1"/>
  <c r="A7038" i="1"/>
  <c r="V7037" i="1"/>
  <c r="B7037" i="2" s="1"/>
  <c r="A7037" i="1"/>
  <c r="V7036" i="1"/>
  <c r="B7036" i="2" s="1"/>
  <c r="A7036" i="1"/>
  <c r="V7035" i="1"/>
  <c r="B7035" i="2" s="1"/>
  <c r="A7035" i="1"/>
  <c r="V7034" i="1"/>
  <c r="B7034" i="2" s="1"/>
  <c r="A7034" i="1"/>
  <c r="V7033" i="1"/>
  <c r="B7033" i="2" s="1"/>
  <c r="A7033" i="1"/>
  <c r="V7032" i="1"/>
  <c r="B7032" i="2" s="1"/>
  <c r="A7032" i="1"/>
  <c r="V7031" i="1"/>
  <c r="B7031" i="2" s="1"/>
  <c r="A7031" i="1"/>
  <c r="V7030" i="1"/>
  <c r="B7030" i="2" s="1"/>
  <c r="A7030" i="1"/>
  <c r="V7029" i="1"/>
  <c r="B7029" i="2" s="1"/>
  <c r="A7029" i="1"/>
  <c r="V7028" i="1"/>
  <c r="B7028" i="2" s="1"/>
  <c r="A7028" i="1"/>
  <c r="V7027" i="1"/>
  <c r="B7027" i="2" s="1"/>
  <c r="A7027" i="1"/>
  <c r="V7026" i="1"/>
  <c r="B7026" i="2" s="1"/>
  <c r="A7026" i="1"/>
  <c r="V7025" i="1"/>
  <c r="B7025" i="2" s="1"/>
  <c r="A7025" i="1"/>
  <c r="V7024" i="1"/>
  <c r="B7024" i="2" s="1"/>
  <c r="A7024" i="1"/>
  <c r="V7023" i="1"/>
  <c r="B7023" i="2" s="1"/>
  <c r="A7023" i="1"/>
  <c r="V7022" i="1"/>
  <c r="B7022" i="2" s="1"/>
  <c r="A7022" i="1"/>
  <c r="V7021" i="1"/>
  <c r="B7021" i="2" s="1"/>
  <c r="A7021" i="1"/>
  <c r="V7020" i="1"/>
  <c r="B7020" i="2" s="1"/>
  <c r="A7020" i="1"/>
  <c r="V7019" i="1"/>
  <c r="B7019" i="2" s="1"/>
  <c r="A7019" i="1"/>
  <c r="V7018" i="1"/>
  <c r="B7018" i="2" s="1"/>
  <c r="A7018" i="1"/>
  <c r="V7017" i="1"/>
  <c r="B7017" i="2" s="1"/>
  <c r="A7017" i="1"/>
  <c r="V7016" i="1"/>
  <c r="B7016" i="2" s="1"/>
  <c r="A7016" i="1"/>
  <c r="V7015" i="1"/>
  <c r="B7015" i="2" s="1"/>
  <c r="A7015" i="1"/>
  <c r="V7014" i="1"/>
  <c r="B7014" i="2" s="1"/>
  <c r="A7014" i="1"/>
  <c r="V7013" i="1"/>
  <c r="B7013" i="2" s="1"/>
  <c r="A7013" i="1"/>
  <c r="V7012" i="1"/>
  <c r="B7012" i="2" s="1"/>
  <c r="A7012" i="1"/>
  <c r="V7011" i="1"/>
  <c r="B7011" i="2" s="1"/>
  <c r="A7011" i="1"/>
  <c r="V7010" i="1"/>
  <c r="B7010" i="2" s="1"/>
  <c r="A7010" i="1"/>
  <c r="V7009" i="1"/>
  <c r="B7009" i="2" s="1"/>
  <c r="A7009" i="1"/>
  <c r="V7008" i="1"/>
  <c r="B7008" i="2" s="1"/>
  <c r="A7008" i="1"/>
  <c r="V7007" i="1"/>
  <c r="B7007" i="2" s="1"/>
  <c r="A7007" i="1"/>
  <c r="V7006" i="1"/>
  <c r="B7006" i="2" s="1"/>
  <c r="A7006" i="1"/>
  <c r="V7005" i="1"/>
  <c r="B7005" i="2" s="1"/>
  <c r="A7005" i="1"/>
  <c r="V7004" i="1"/>
  <c r="B7004" i="2" s="1"/>
  <c r="A7004" i="1"/>
  <c r="V7003" i="1"/>
  <c r="B7003" i="2" s="1"/>
  <c r="A7003" i="1"/>
  <c r="V7002" i="1"/>
  <c r="B7002" i="2" s="1"/>
  <c r="A7002" i="1"/>
  <c r="V7001" i="1"/>
  <c r="B7001" i="2" s="1"/>
  <c r="A7001" i="1"/>
  <c r="V7000" i="1"/>
  <c r="B7000" i="2" s="1"/>
  <c r="A7000" i="1"/>
  <c r="V6999" i="1"/>
  <c r="B6999" i="2" s="1"/>
  <c r="A6999" i="1"/>
  <c r="V6998" i="1"/>
  <c r="B6998" i="2" s="1"/>
  <c r="A6998" i="1"/>
  <c r="V6997" i="1"/>
  <c r="B6997" i="2" s="1"/>
  <c r="A6997" i="1"/>
  <c r="V6996" i="1"/>
  <c r="B6996" i="2" s="1"/>
  <c r="A6996" i="1"/>
  <c r="V6995" i="1"/>
  <c r="B6995" i="2" s="1"/>
  <c r="A6995" i="1"/>
  <c r="V6994" i="1"/>
  <c r="B6994" i="2" s="1"/>
  <c r="A6994" i="1"/>
  <c r="V6993" i="1"/>
  <c r="B6993" i="2" s="1"/>
  <c r="A6993" i="1"/>
  <c r="V6992" i="1"/>
  <c r="B6992" i="2" s="1"/>
  <c r="A6992" i="1"/>
  <c r="V6991" i="1"/>
  <c r="B6991" i="2" s="1"/>
  <c r="A6991" i="1"/>
  <c r="V6990" i="1"/>
  <c r="B6990" i="2" s="1"/>
  <c r="A6990" i="1"/>
  <c r="V6989" i="1"/>
  <c r="B6989" i="2" s="1"/>
  <c r="A6989" i="1"/>
  <c r="V6988" i="1"/>
  <c r="B6988" i="2" s="1"/>
  <c r="A6988" i="1"/>
  <c r="V6987" i="1"/>
  <c r="B6987" i="2" s="1"/>
  <c r="A6987" i="1"/>
  <c r="V6986" i="1"/>
  <c r="B6986" i="2" s="1"/>
  <c r="A6986" i="1"/>
  <c r="V6985" i="1"/>
  <c r="B6985" i="2" s="1"/>
  <c r="A6985" i="1"/>
  <c r="V6984" i="1"/>
  <c r="B6984" i="2" s="1"/>
  <c r="A6984" i="1"/>
  <c r="V6983" i="1"/>
  <c r="B6983" i="2" s="1"/>
  <c r="A6983" i="1"/>
  <c r="V6982" i="1"/>
  <c r="B6982" i="2" s="1"/>
  <c r="A6982" i="1"/>
  <c r="V6981" i="1"/>
  <c r="B6981" i="2" s="1"/>
  <c r="A6981" i="1"/>
  <c r="V6980" i="1"/>
  <c r="B6980" i="2" s="1"/>
  <c r="A6980" i="1"/>
  <c r="V6979" i="1"/>
  <c r="B6979" i="2" s="1"/>
  <c r="A6979" i="1"/>
  <c r="V6978" i="1"/>
  <c r="B6978" i="2" s="1"/>
  <c r="A6978" i="1"/>
  <c r="V6977" i="1"/>
  <c r="B6977" i="2" s="1"/>
  <c r="A6977" i="1"/>
  <c r="V6976" i="1"/>
  <c r="B6976" i="2" s="1"/>
  <c r="A6976" i="1"/>
  <c r="V6975" i="1"/>
  <c r="B6975" i="2" s="1"/>
  <c r="A6975" i="1"/>
  <c r="V6974" i="1"/>
  <c r="B6974" i="2" s="1"/>
  <c r="A6974" i="1"/>
  <c r="V6973" i="1"/>
  <c r="B6973" i="2" s="1"/>
  <c r="A6973" i="1"/>
  <c r="V6972" i="1"/>
  <c r="B6972" i="2" s="1"/>
  <c r="A6972" i="1"/>
  <c r="V6971" i="1"/>
  <c r="B6971" i="2" s="1"/>
  <c r="A6971" i="1"/>
  <c r="V6970" i="1"/>
  <c r="B6970" i="2" s="1"/>
  <c r="A6970" i="1"/>
  <c r="V6969" i="1"/>
  <c r="B6969" i="2" s="1"/>
  <c r="A6969" i="1"/>
  <c r="V6968" i="1"/>
  <c r="B6968" i="2" s="1"/>
  <c r="A6968" i="1"/>
  <c r="V6967" i="1"/>
  <c r="B6967" i="2" s="1"/>
  <c r="A6967" i="1"/>
  <c r="V6966" i="1"/>
  <c r="B6966" i="2" s="1"/>
  <c r="A6966" i="1"/>
  <c r="V6965" i="1"/>
  <c r="B6965" i="2" s="1"/>
  <c r="A6965" i="1"/>
  <c r="V6964" i="1"/>
  <c r="B6964" i="2" s="1"/>
  <c r="A6964" i="1"/>
  <c r="V6963" i="1"/>
  <c r="B6963" i="2" s="1"/>
  <c r="A6963" i="1"/>
  <c r="V6962" i="1"/>
  <c r="B6962" i="2" s="1"/>
  <c r="A6962" i="1"/>
  <c r="V6961" i="1"/>
  <c r="B6961" i="2" s="1"/>
  <c r="A6961" i="1"/>
  <c r="V6960" i="1"/>
  <c r="B6960" i="2" s="1"/>
  <c r="A6960" i="1"/>
  <c r="V6959" i="1"/>
  <c r="B6959" i="2" s="1"/>
  <c r="A6959" i="1"/>
  <c r="V6958" i="1"/>
  <c r="B6958" i="2" s="1"/>
  <c r="A6958" i="1"/>
  <c r="V6957" i="1"/>
  <c r="B6957" i="2" s="1"/>
  <c r="A6957" i="1"/>
  <c r="V6956" i="1"/>
  <c r="B6956" i="2" s="1"/>
  <c r="A6956" i="1"/>
  <c r="V6955" i="1"/>
  <c r="B6955" i="2" s="1"/>
  <c r="A6955" i="1"/>
  <c r="V6954" i="1"/>
  <c r="B6954" i="2" s="1"/>
  <c r="A6954" i="1"/>
  <c r="V6953" i="1"/>
  <c r="B6953" i="2" s="1"/>
  <c r="A6953" i="1"/>
  <c r="V6952" i="1"/>
  <c r="B6952" i="2" s="1"/>
  <c r="A6952" i="1"/>
  <c r="V6951" i="1"/>
  <c r="B6951" i="2" s="1"/>
  <c r="A6951" i="1"/>
  <c r="V6950" i="1"/>
  <c r="B6950" i="2" s="1"/>
  <c r="A6950" i="1"/>
  <c r="V6949" i="1"/>
  <c r="B6949" i="2" s="1"/>
  <c r="A6949" i="1"/>
  <c r="V6948" i="1"/>
  <c r="B6948" i="2" s="1"/>
  <c r="A6948" i="1"/>
  <c r="V6947" i="1"/>
  <c r="B6947" i="2" s="1"/>
  <c r="A6947" i="1"/>
  <c r="V6946" i="1"/>
  <c r="B6946" i="2" s="1"/>
  <c r="A6946" i="1"/>
  <c r="V6945" i="1"/>
  <c r="B6945" i="2" s="1"/>
  <c r="A6945" i="1"/>
  <c r="V6944" i="1"/>
  <c r="B6944" i="2" s="1"/>
  <c r="A6944" i="1"/>
  <c r="V6943" i="1"/>
  <c r="B6943" i="2" s="1"/>
  <c r="A6943" i="1"/>
  <c r="V6942" i="1"/>
  <c r="B6942" i="2" s="1"/>
  <c r="A6942" i="1"/>
  <c r="V6941" i="1"/>
  <c r="B6941" i="2" s="1"/>
  <c r="A6941" i="1"/>
  <c r="V6940" i="1"/>
  <c r="B6940" i="2" s="1"/>
  <c r="A6940" i="1"/>
  <c r="V6939" i="1"/>
  <c r="B6939" i="2" s="1"/>
  <c r="A6939" i="1"/>
  <c r="V6938" i="1"/>
  <c r="B6938" i="2" s="1"/>
  <c r="A6938" i="1"/>
  <c r="V6937" i="1"/>
  <c r="B6937" i="2" s="1"/>
  <c r="A6937" i="1"/>
  <c r="V6936" i="1"/>
  <c r="B6936" i="2" s="1"/>
  <c r="A6936" i="1"/>
  <c r="V6935" i="1"/>
  <c r="B6935" i="2" s="1"/>
  <c r="A6935" i="1"/>
  <c r="V6934" i="1"/>
  <c r="B6934" i="2" s="1"/>
  <c r="A6934" i="1"/>
  <c r="V6933" i="1"/>
  <c r="B6933" i="2" s="1"/>
  <c r="A6933" i="1"/>
  <c r="V6932" i="1"/>
  <c r="B6932" i="2" s="1"/>
  <c r="A6932" i="1"/>
  <c r="V6931" i="1"/>
  <c r="B6931" i="2" s="1"/>
  <c r="A6931" i="1"/>
  <c r="V6930" i="1"/>
  <c r="B6930" i="2" s="1"/>
  <c r="A6930" i="1"/>
  <c r="V6929" i="1"/>
  <c r="B6929" i="2" s="1"/>
  <c r="A6929" i="1"/>
  <c r="V6928" i="1"/>
  <c r="B6928" i="2" s="1"/>
  <c r="A6928" i="1"/>
  <c r="V6927" i="1"/>
  <c r="B6927" i="2" s="1"/>
  <c r="A6927" i="1"/>
  <c r="V6926" i="1"/>
  <c r="B6926" i="2" s="1"/>
  <c r="A6926" i="1"/>
  <c r="V6925" i="1"/>
  <c r="B6925" i="2" s="1"/>
  <c r="A6925" i="1"/>
  <c r="V6924" i="1"/>
  <c r="B6924" i="2" s="1"/>
  <c r="A6924" i="1"/>
  <c r="V6923" i="1"/>
  <c r="B6923" i="2" s="1"/>
  <c r="A6923" i="1"/>
  <c r="V6922" i="1"/>
  <c r="B6922" i="2" s="1"/>
  <c r="A6922" i="1"/>
  <c r="V6921" i="1"/>
  <c r="B6921" i="2" s="1"/>
  <c r="A6921" i="1"/>
  <c r="V6920" i="1"/>
  <c r="B6920" i="2" s="1"/>
  <c r="A6920" i="1"/>
  <c r="V6919" i="1"/>
  <c r="B6919" i="2" s="1"/>
  <c r="A6919" i="1"/>
  <c r="V6918" i="1"/>
  <c r="B6918" i="2" s="1"/>
  <c r="A6918" i="1"/>
  <c r="V6917" i="1"/>
  <c r="B6917" i="2" s="1"/>
  <c r="A6917" i="1"/>
  <c r="V6916" i="1"/>
  <c r="B6916" i="2" s="1"/>
  <c r="A6916" i="1"/>
  <c r="V6915" i="1"/>
  <c r="B6915" i="2" s="1"/>
  <c r="A6915" i="1"/>
  <c r="V6914" i="1"/>
  <c r="B6914" i="2" s="1"/>
  <c r="A6914" i="1"/>
  <c r="V6913" i="1"/>
  <c r="B6913" i="2" s="1"/>
  <c r="A6913" i="1"/>
  <c r="V6912" i="1"/>
  <c r="B6912" i="2" s="1"/>
  <c r="A6912" i="1"/>
  <c r="V6911" i="1"/>
  <c r="B6911" i="2" s="1"/>
  <c r="A6911" i="1"/>
  <c r="V6910" i="1"/>
  <c r="B6910" i="2" s="1"/>
  <c r="A6910" i="1"/>
  <c r="V6909" i="1"/>
  <c r="B6909" i="2" s="1"/>
  <c r="A6909" i="1"/>
  <c r="V6908" i="1"/>
  <c r="B6908" i="2" s="1"/>
  <c r="A6908" i="1"/>
  <c r="V6907" i="1"/>
  <c r="B6907" i="2" s="1"/>
  <c r="A6907" i="1"/>
  <c r="V6906" i="1"/>
  <c r="B6906" i="2" s="1"/>
  <c r="A6906" i="1"/>
  <c r="V6905" i="1"/>
  <c r="B6905" i="2" s="1"/>
  <c r="A6905" i="1"/>
  <c r="V6904" i="1"/>
  <c r="B6904" i="2" s="1"/>
  <c r="A6904" i="1"/>
  <c r="V6903" i="1"/>
  <c r="B6903" i="2" s="1"/>
  <c r="A6903" i="1"/>
  <c r="V6902" i="1"/>
  <c r="B6902" i="2" s="1"/>
  <c r="A6902" i="1"/>
  <c r="V6901" i="1"/>
  <c r="B6901" i="2" s="1"/>
  <c r="A6901" i="1"/>
  <c r="V6900" i="1"/>
  <c r="B6900" i="2" s="1"/>
  <c r="A6900" i="1"/>
  <c r="V6899" i="1"/>
  <c r="B6899" i="2" s="1"/>
  <c r="A6899" i="1"/>
  <c r="V6898" i="1"/>
  <c r="B6898" i="2" s="1"/>
  <c r="A6898" i="1"/>
  <c r="V6897" i="1"/>
  <c r="B6897" i="2" s="1"/>
  <c r="A6897" i="1"/>
  <c r="V6896" i="1"/>
  <c r="B6896" i="2" s="1"/>
  <c r="A6896" i="1"/>
  <c r="V6895" i="1"/>
  <c r="B6895" i="2" s="1"/>
  <c r="A6895" i="1"/>
  <c r="V6894" i="1"/>
  <c r="B6894" i="2" s="1"/>
  <c r="A6894" i="1"/>
  <c r="V6893" i="1"/>
  <c r="B6893" i="2" s="1"/>
  <c r="A6893" i="1"/>
  <c r="V6892" i="1"/>
  <c r="B6892" i="2" s="1"/>
  <c r="A6892" i="1"/>
  <c r="V6891" i="1"/>
  <c r="B6891" i="2" s="1"/>
  <c r="A6891" i="1"/>
  <c r="V6890" i="1"/>
  <c r="B6890" i="2" s="1"/>
  <c r="A6890" i="1"/>
  <c r="V6889" i="1"/>
  <c r="B6889" i="2" s="1"/>
  <c r="A6889" i="1"/>
  <c r="V6888" i="1"/>
  <c r="B6888" i="2" s="1"/>
  <c r="A6888" i="1"/>
  <c r="V6887" i="1"/>
  <c r="B6887" i="2" s="1"/>
  <c r="A6887" i="1"/>
  <c r="V6886" i="1"/>
  <c r="B6886" i="2" s="1"/>
  <c r="A6886" i="1"/>
  <c r="V6885" i="1"/>
  <c r="B6885" i="2" s="1"/>
  <c r="A6885" i="1"/>
  <c r="V6884" i="1"/>
  <c r="B6884" i="2" s="1"/>
  <c r="A6884" i="1"/>
  <c r="V6883" i="1"/>
  <c r="B6883" i="2" s="1"/>
  <c r="A6883" i="1"/>
  <c r="V6882" i="1"/>
  <c r="B6882" i="2" s="1"/>
  <c r="A6882" i="1"/>
  <c r="V6881" i="1"/>
  <c r="B6881" i="2" s="1"/>
  <c r="A6881" i="1"/>
  <c r="V6880" i="1"/>
  <c r="B6880" i="2" s="1"/>
  <c r="A6880" i="1"/>
  <c r="V6879" i="1"/>
  <c r="B6879" i="2" s="1"/>
  <c r="A6879" i="1"/>
  <c r="V6878" i="1"/>
  <c r="B6878" i="2" s="1"/>
  <c r="A6878" i="1"/>
  <c r="V6877" i="1"/>
  <c r="B6877" i="2" s="1"/>
  <c r="A6877" i="1"/>
  <c r="V6876" i="1"/>
  <c r="B6876" i="2" s="1"/>
  <c r="A6876" i="1"/>
  <c r="V6875" i="1"/>
  <c r="B6875" i="2" s="1"/>
  <c r="A6875" i="1"/>
  <c r="V6874" i="1"/>
  <c r="B6874" i="2" s="1"/>
  <c r="A6874" i="1"/>
  <c r="V6873" i="1"/>
  <c r="B6873" i="2" s="1"/>
  <c r="A6873" i="1"/>
  <c r="V6872" i="1"/>
  <c r="B6872" i="2" s="1"/>
  <c r="A6872" i="1"/>
  <c r="V6871" i="1"/>
  <c r="B6871" i="2" s="1"/>
  <c r="A6871" i="1"/>
  <c r="V6870" i="1"/>
  <c r="B6870" i="2" s="1"/>
  <c r="A6870" i="1"/>
  <c r="V6869" i="1"/>
  <c r="B6869" i="2" s="1"/>
  <c r="A6869" i="1"/>
  <c r="V6868" i="1"/>
  <c r="B6868" i="2" s="1"/>
  <c r="A6868" i="1"/>
  <c r="V6867" i="1"/>
  <c r="B6867" i="2" s="1"/>
  <c r="A6867" i="1"/>
  <c r="V6866" i="1"/>
  <c r="B6866" i="2" s="1"/>
  <c r="A6866" i="1"/>
  <c r="V6865" i="1"/>
  <c r="B6865" i="2" s="1"/>
  <c r="A6865" i="1"/>
  <c r="V6864" i="1"/>
  <c r="B6864" i="2" s="1"/>
  <c r="A6864" i="1"/>
  <c r="V6863" i="1"/>
  <c r="B6863" i="2" s="1"/>
  <c r="A6863" i="1"/>
  <c r="V6862" i="1"/>
  <c r="B6862" i="2" s="1"/>
  <c r="A6862" i="1"/>
  <c r="V6861" i="1"/>
  <c r="B6861" i="2" s="1"/>
  <c r="A6861" i="1"/>
  <c r="V6860" i="1"/>
  <c r="B6860" i="2" s="1"/>
  <c r="A6860" i="1"/>
  <c r="V6859" i="1"/>
  <c r="B6859" i="2" s="1"/>
  <c r="A6859" i="1"/>
  <c r="V6858" i="1"/>
  <c r="B6858" i="2" s="1"/>
  <c r="A6858" i="1"/>
  <c r="V6857" i="1"/>
  <c r="B6857" i="2" s="1"/>
  <c r="A6857" i="1"/>
  <c r="V6856" i="1"/>
  <c r="B6856" i="2" s="1"/>
  <c r="A6856" i="1"/>
  <c r="V6855" i="1"/>
  <c r="B6855" i="2" s="1"/>
  <c r="A6855" i="1"/>
  <c r="V6854" i="1"/>
  <c r="B6854" i="2" s="1"/>
  <c r="A6854" i="1"/>
  <c r="V6853" i="1"/>
  <c r="B6853" i="2" s="1"/>
  <c r="A6853" i="1"/>
  <c r="V6852" i="1"/>
  <c r="B6852" i="2" s="1"/>
  <c r="A6852" i="1"/>
  <c r="V6851" i="1"/>
  <c r="B6851" i="2" s="1"/>
  <c r="A6851" i="1"/>
  <c r="V6850" i="1"/>
  <c r="B6850" i="2" s="1"/>
  <c r="A6850" i="1"/>
  <c r="V6849" i="1"/>
  <c r="B6849" i="2" s="1"/>
  <c r="A6849" i="1"/>
  <c r="V6848" i="1"/>
  <c r="B6848" i="2" s="1"/>
  <c r="A6848" i="1"/>
  <c r="V6847" i="1"/>
  <c r="B6847" i="2" s="1"/>
  <c r="A6847" i="1"/>
  <c r="V6846" i="1"/>
  <c r="B6846" i="2" s="1"/>
  <c r="A6846" i="1"/>
  <c r="V6845" i="1"/>
  <c r="B6845" i="2" s="1"/>
  <c r="A6845" i="1"/>
  <c r="V6844" i="1"/>
  <c r="B6844" i="2" s="1"/>
  <c r="A6844" i="1"/>
  <c r="V6843" i="1"/>
  <c r="B6843" i="2" s="1"/>
  <c r="A6843" i="1"/>
  <c r="V6842" i="1"/>
  <c r="B6842" i="2" s="1"/>
  <c r="A6842" i="1"/>
  <c r="V6841" i="1"/>
  <c r="B6841" i="2" s="1"/>
  <c r="A6841" i="1"/>
  <c r="V6840" i="1"/>
  <c r="B6840" i="2" s="1"/>
  <c r="A6840" i="1"/>
  <c r="V6839" i="1"/>
  <c r="B6839" i="2" s="1"/>
  <c r="A6839" i="1"/>
  <c r="V6838" i="1"/>
  <c r="B6838" i="2" s="1"/>
  <c r="A6838" i="1"/>
  <c r="V6837" i="1"/>
  <c r="B6837" i="2" s="1"/>
  <c r="A6837" i="1"/>
  <c r="V6836" i="1"/>
  <c r="B6836" i="2" s="1"/>
  <c r="A6836" i="1"/>
  <c r="V6835" i="1"/>
  <c r="B6835" i="2" s="1"/>
  <c r="A6835" i="1"/>
  <c r="V6834" i="1"/>
  <c r="B6834" i="2" s="1"/>
  <c r="A6834" i="1"/>
  <c r="V6833" i="1"/>
  <c r="B6833" i="2" s="1"/>
  <c r="A6833" i="1"/>
  <c r="V6832" i="1"/>
  <c r="B6832" i="2" s="1"/>
  <c r="A6832" i="1"/>
  <c r="V6831" i="1"/>
  <c r="B6831" i="2" s="1"/>
  <c r="A6831" i="1"/>
  <c r="V6830" i="1"/>
  <c r="B6830" i="2" s="1"/>
  <c r="A6830" i="1"/>
  <c r="V6829" i="1"/>
  <c r="B6829" i="2" s="1"/>
  <c r="A6829" i="1"/>
  <c r="V6828" i="1"/>
  <c r="B6828" i="2" s="1"/>
  <c r="A6828" i="1"/>
  <c r="V6827" i="1"/>
  <c r="B6827" i="2" s="1"/>
  <c r="A6827" i="1"/>
  <c r="V6826" i="1"/>
  <c r="B6826" i="2" s="1"/>
  <c r="A6826" i="1"/>
  <c r="V6825" i="1"/>
  <c r="B6825" i="2" s="1"/>
  <c r="A6825" i="1"/>
  <c r="V6824" i="1"/>
  <c r="B6824" i="2" s="1"/>
  <c r="A6824" i="1"/>
  <c r="V6823" i="1"/>
  <c r="B6823" i="2" s="1"/>
  <c r="A6823" i="1"/>
  <c r="V6822" i="1"/>
  <c r="B6822" i="2" s="1"/>
  <c r="A6822" i="1"/>
  <c r="V6821" i="1"/>
  <c r="B6821" i="2" s="1"/>
  <c r="A6821" i="1"/>
  <c r="V6820" i="1"/>
  <c r="B6820" i="2" s="1"/>
  <c r="A6820" i="1"/>
  <c r="V6819" i="1"/>
  <c r="B6819" i="2" s="1"/>
  <c r="A6819" i="1"/>
  <c r="V6818" i="1"/>
  <c r="B6818" i="2" s="1"/>
  <c r="A6818" i="1"/>
  <c r="V6817" i="1"/>
  <c r="B6817" i="2" s="1"/>
  <c r="A6817" i="1"/>
  <c r="V6816" i="1"/>
  <c r="B6816" i="2" s="1"/>
  <c r="A6816" i="1"/>
  <c r="V6815" i="1"/>
  <c r="B6815" i="2" s="1"/>
  <c r="A6815" i="1"/>
  <c r="V6814" i="1"/>
  <c r="B6814" i="2" s="1"/>
  <c r="A6814" i="1"/>
  <c r="V6813" i="1"/>
  <c r="B6813" i="2" s="1"/>
  <c r="A6813" i="1"/>
  <c r="V6812" i="1"/>
  <c r="B6812" i="2" s="1"/>
  <c r="A6812" i="1"/>
  <c r="V6811" i="1"/>
  <c r="B6811" i="2" s="1"/>
  <c r="A6811" i="1"/>
  <c r="V6810" i="1"/>
  <c r="B6810" i="2" s="1"/>
  <c r="A6810" i="1"/>
  <c r="V6809" i="1"/>
  <c r="B6809" i="2" s="1"/>
  <c r="A6809" i="1"/>
  <c r="V6808" i="1"/>
  <c r="B6808" i="2" s="1"/>
  <c r="A6808" i="1"/>
  <c r="V6807" i="1"/>
  <c r="B6807" i="2" s="1"/>
  <c r="A6807" i="1"/>
  <c r="V6806" i="1"/>
  <c r="B6806" i="2" s="1"/>
  <c r="A6806" i="1"/>
  <c r="V6805" i="1"/>
  <c r="B6805" i="2" s="1"/>
  <c r="A6805" i="1"/>
  <c r="V6804" i="1"/>
  <c r="B6804" i="2" s="1"/>
  <c r="A6804" i="1"/>
  <c r="V6803" i="1"/>
  <c r="B6803" i="2" s="1"/>
  <c r="A6803" i="1"/>
  <c r="V6802" i="1"/>
  <c r="B6802" i="2" s="1"/>
  <c r="A6802" i="1"/>
  <c r="V6801" i="1"/>
  <c r="B6801" i="2" s="1"/>
  <c r="A6801" i="1"/>
  <c r="V6800" i="1"/>
  <c r="B6800" i="2" s="1"/>
  <c r="A6800" i="1"/>
  <c r="V6799" i="1"/>
  <c r="B6799" i="2" s="1"/>
  <c r="A6799" i="1"/>
  <c r="V6798" i="1"/>
  <c r="B6798" i="2" s="1"/>
  <c r="A6798" i="1"/>
  <c r="V6797" i="1"/>
  <c r="B6797" i="2" s="1"/>
  <c r="A6797" i="1"/>
  <c r="V6796" i="1"/>
  <c r="B6796" i="2" s="1"/>
  <c r="A6796" i="1"/>
  <c r="V6795" i="1"/>
  <c r="B6795" i="2" s="1"/>
  <c r="A6795" i="1"/>
  <c r="V6794" i="1"/>
  <c r="B6794" i="2" s="1"/>
  <c r="A6794" i="1"/>
  <c r="V6793" i="1"/>
  <c r="B6793" i="2" s="1"/>
  <c r="A6793" i="1"/>
  <c r="V6792" i="1"/>
  <c r="B6792" i="2" s="1"/>
  <c r="A6792" i="1"/>
  <c r="V6791" i="1"/>
  <c r="B6791" i="2" s="1"/>
  <c r="A6791" i="1"/>
  <c r="V6790" i="1"/>
  <c r="B6790" i="2" s="1"/>
  <c r="A6790" i="1"/>
  <c r="V6789" i="1"/>
  <c r="B6789" i="2" s="1"/>
  <c r="A6789" i="1"/>
  <c r="V6788" i="1"/>
  <c r="B6788" i="2" s="1"/>
  <c r="A6788" i="1"/>
  <c r="V6787" i="1"/>
  <c r="B6787" i="2" s="1"/>
  <c r="A6787" i="1"/>
  <c r="V6786" i="1"/>
  <c r="B6786" i="2" s="1"/>
  <c r="A6786" i="1"/>
  <c r="V6785" i="1"/>
  <c r="B6785" i="2" s="1"/>
  <c r="A6785" i="1"/>
  <c r="V6784" i="1"/>
  <c r="B6784" i="2" s="1"/>
  <c r="A6784" i="1"/>
  <c r="V6783" i="1"/>
  <c r="B6783" i="2" s="1"/>
  <c r="A6783" i="1"/>
  <c r="V6782" i="1"/>
  <c r="B6782" i="2" s="1"/>
  <c r="A6782" i="1"/>
  <c r="V6781" i="1"/>
  <c r="B6781" i="2" s="1"/>
  <c r="A6781" i="1"/>
  <c r="V6780" i="1"/>
  <c r="B6780" i="2" s="1"/>
  <c r="A6780" i="1"/>
  <c r="V6779" i="1"/>
  <c r="B6779" i="2" s="1"/>
  <c r="A6779" i="1"/>
  <c r="V6778" i="1"/>
  <c r="B6778" i="2" s="1"/>
  <c r="A6778" i="1"/>
  <c r="V6777" i="1"/>
  <c r="B6777" i="2" s="1"/>
  <c r="A6777" i="1"/>
  <c r="V6776" i="1"/>
  <c r="B6776" i="2" s="1"/>
  <c r="A6776" i="1"/>
  <c r="V6775" i="1"/>
  <c r="B6775" i="2" s="1"/>
  <c r="A6775" i="1"/>
  <c r="V6774" i="1"/>
  <c r="B6774" i="2" s="1"/>
  <c r="A6774" i="1"/>
  <c r="V6773" i="1"/>
  <c r="B6773" i="2" s="1"/>
  <c r="A6773" i="1"/>
  <c r="V6772" i="1"/>
  <c r="B6772" i="2" s="1"/>
  <c r="A6772" i="1"/>
  <c r="V6771" i="1"/>
  <c r="B6771" i="2" s="1"/>
  <c r="A6771" i="1"/>
  <c r="V6770" i="1"/>
  <c r="B6770" i="2" s="1"/>
  <c r="A6770" i="1"/>
  <c r="V6769" i="1"/>
  <c r="B6769" i="2" s="1"/>
  <c r="A6769" i="1"/>
  <c r="V6768" i="1"/>
  <c r="B6768" i="2" s="1"/>
  <c r="A6768" i="1"/>
  <c r="V6767" i="1"/>
  <c r="B6767" i="2" s="1"/>
  <c r="A6767" i="1"/>
  <c r="V6766" i="1"/>
  <c r="B6766" i="2" s="1"/>
  <c r="A6766" i="1"/>
  <c r="V6765" i="1"/>
  <c r="B6765" i="2" s="1"/>
  <c r="A6765" i="1"/>
  <c r="V6764" i="1"/>
  <c r="B6764" i="2" s="1"/>
  <c r="A6764" i="1"/>
  <c r="V6763" i="1"/>
  <c r="B6763" i="2" s="1"/>
  <c r="A6763" i="1"/>
  <c r="V6762" i="1"/>
  <c r="B6762" i="2" s="1"/>
  <c r="A6762" i="1"/>
  <c r="V6761" i="1"/>
  <c r="B6761" i="2" s="1"/>
  <c r="A6761" i="1"/>
  <c r="V6760" i="1"/>
  <c r="B6760" i="2" s="1"/>
  <c r="A6760" i="1"/>
  <c r="V6759" i="1"/>
  <c r="B6759" i="2" s="1"/>
  <c r="A6759" i="1"/>
  <c r="V6758" i="1"/>
  <c r="B6758" i="2" s="1"/>
  <c r="A6758" i="1"/>
  <c r="V6757" i="1"/>
  <c r="B6757" i="2" s="1"/>
  <c r="A6757" i="1"/>
  <c r="V6756" i="1"/>
  <c r="B6756" i="2" s="1"/>
  <c r="A6756" i="1"/>
  <c r="V6755" i="1"/>
  <c r="B6755" i="2" s="1"/>
  <c r="A6755" i="1"/>
  <c r="V6754" i="1"/>
  <c r="B6754" i="2" s="1"/>
  <c r="A6754" i="1"/>
  <c r="V6753" i="1"/>
  <c r="B6753" i="2" s="1"/>
  <c r="A6753" i="1"/>
  <c r="V6752" i="1"/>
  <c r="B6752" i="2" s="1"/>
  <c r="A6752" i="1"/>
  <c r="V6751" i="1"/>
  <c r="B6751" i="2" s="1"/>
  <c r="A6751" i="1"/>
  <c r="V6750" i="1"/>
  <c r="B6750" i="2" s="1"/>
  <c r="A6750" i="1"/>
  <c r="V6749" i="1"/>
  <c r="B6749" i="2" s="1"/>
  <c r="A6749" i="1"/>
  <c r="V6748" i="1"/>
  <c r="B6748" i="2" s="1"/>
  <c r="A6748" i="1"/>
  <c r="V6747" i="1"/>
  <c r="B6747" i="2" s="1"/>
  <c r="A6747" i="1"/>
  <c r="V6746" i="1"/>
  <c r="B6746" i="2" s="1"/>
  <c r="A6746" i="1"/>
  <c r="V6745" i="1"/>
  <c r="B6745" i="2" s="1"/>
  <c r="A6745" i="1"/>
  <c r="V6744" i="1"/>
  <c r="B6744" i="2" s="1"/>
  <c r="A6744" i="1"/>
  <c r="V6743" i="1"/>
  <c r="B6743" i="2" s="1"/>
  <c r="A6743" i="1"/>
  <c r="V6742" i="1"/>
  <c r="B6742" i="2" s="1"/>
  <c r="A6742" i="1"/>
  <c r="V6741" i="1"/>
  <c r="B6741" i="2" s="1"/>
  <c r="A6741" i="1"/>
  <c r="V6740" i="1"/>
  <c r="B6740" i="2" s="1"/>
  <c r="A6740" i="1"/>
  <c r="V6739" i="1"/>
  <c r="B6739" i="2" s="1"/>
  <c r="A6739" i="1"/>
  <c r="V6738" i="1"/>
  <c r="B6738" i="2" s="1"/>
  <c r="A6738" i="1"/>
  <c r="V6737" i="1"/>
  <c r="B6737" i="2" s="1"/>
  <c r="A6737" i="1"/>
  <c r="V6736" i="1"/>
  <c r="B6736" i="2" s="1"/>
  <c r="A6736" i="1"/>
  <c r="V6735" i="1"/>
  <c r="B6735" i="2" s="1"/>
  <c r="A6735" i="1"/>
  <c r="V6734" i="1"/>
  <c r="B6734" i="2" s="1"/>
  <c r="A6734" i="1"/>
  <c r="V6733" i="1"/>
  <c r="B6733" i="2" s="1"/>
  <c r="A6733" i="1"/>
  <c r="V6732" i="1"/>
  <c r="B6732" i="2" s="1"/>
  <c r="A6732" i="1"/>
  <c r="V6731" i="1"/>
  <c r="B6731" i="2" s="1"/>
  <c r="A6731" i="1"/>
  <c r="V6730" i="1"/>
  <c r="B6730" i="2" s="1"/>
  <c r="A6730" i="1"/>
  <c r="V6729" i="1"/>
  <c r="B6729" i="2" s="1"/>
  <c r="A6729" i="1"/>
  <c r="V6728" i="1"/>
  <c r="B6728" i="2" s="1"/>
  <c r="A6728" i="1"/>
  <c r="V6727" i="1"/>
  <c r="B6727" i="2" s="1"/>
  <c r="A6727" i="1"/>
  <c r="V6726" i="1"/>
  <c r="B6726" i="2" s="1"/>
  <c r="A6726" i="1"/>
  <c r="V6725" i="1"/>
  <c r="B6725" i="2" s="1"/>
  <c r="A6725" i="1"/>
  <c r="V6724" i="1"/>
  <c r="B6724" i="2" s="1"/>
  <c r="A6724" i="1"/>
  <c r="V6723" i="1"/>
  <c r="B6723" i="2" s="1"/>
  <c r="A6723" i="1"/>
  <c r="V6722" i="1"/>
  <c r="B6722" i="2" s="1"/>
  <c r="A6722" i="1"/>
  <c r="V6721" i="1"/>
  <c r="B6721" i="2" s="1"/>
  <c r="A6721" i="1"/>
  <c r="V6720" i="1"/>
  <c r="B6720" i="2" s="1"/>
  <c r="A6720" i="1"/>
  <c r="V6719" i="1"/>
  <c r="B6719" i="2" s="1"/>
  <c r="A6719" i="1"/>
  <c r="V6718" i="1"/>
  <c r="B6718" i="2" s="1"/>
  <c r="A6718" i="1"/>
  <c r="V6717" i="1"/>
  <c r="B6717" i="2" s="1"/>
  <c r="A6717" i="1"/>
  <c r="V6716" i="1"/>
  <c r="B6716" i="2" s="1"/>
  <c r="A6716" i="1"/>
  <c r="V6715" i="1"/>
  <c r="B6715" i="2" s="1"/>
  <c r="A6715" i="1"/>
  <c r="V6714" i="1"/>
  <c r="B6714" i="2" s="1"/>
  <c r="A6714" i="1"/>
  <c r="V6713" i="1"/>
  <c r="B6713" i="2" s="1"/>
  <c r="A6713" i="1"/>
  <c r="V6712" i="1"/>
  <c r="B6712" i="2" s="1"/>
  <c r="A6712" i="1"/>
  <c r="V6711" i="1"/>
  <c r="B6711" i="2" s="1"/>
  <c r="A6711" i="1"/>
  <c r="V6710" i="1"/>
  <c r="B6710" i="2" s="1"/>
  <c r="A6710" i="1"/>
  <c r="V6709" i="1"/>
  <c r="B6709" i="2" s="1"/>
  <c r="A6709" i="1"/>
  <c r="V6708" i="1"/>
  <c r="B6708" i="2" s="1"/>
  <c r="A6708" i="1"/>
  <c r="V6707" i="1"/>
  <c r="B6707" i="2" s="1"/>
  <c r="A6707" i="1"/>
  <c r="V6706" i="1"/>
  <c r="B6706" i="2" s="1"/>
  <c r="A6706" i="1"/>
  <c r="V6705" i="1"/>
  <c r="B6705" i="2" s="1"/>
  <c r="A6705" i="1"/>
  <c r="V6704" i="1"/>
  <c r="B6704" i="2" s="1"/>
  <c r="A6704" i="1"/>
  <c r="V6703" i="1"/>
  <c r="B6703" i="2" s="1"/>
  <c r="A6703" i="1"/>
  <c r="V6702" i="1"/>
  <c r="B6702" i="2" s="1"/>
  <c r="A6702" i="1"/>
  <c r="V6701" i="1"/>
  <c r="B6701" i="2" s="1"/>
  <c r="A6701" i="1"/>
  <c r="V6700" i="1"/>
  <c r="B6700" i="2" s="1"/>
  <c r="A6700" i="1"/>
  <c r="V6699" i="1"/>
  <c r="B6699" i="2" s="1"/>
  <c r="A6699" i="1"/>
  <c r="V6698" i="1"/>
  <c r="B6698" i="2" s="1"/>
  <c r="A6698" i="1"/>
  <c r="V6697" i="1"/>
  <c r="B6697" i="2" s="1"/>
  <c r="A6697" i="1"/>
  <c r="V6696" i="1"/>
  <c r="B6696" i="2" s="1"/>
  <c r="A6696" i="1"/>
  <c r="V6695" i="1"/>
  <c r="B6695" i="2" s="1"/>
  <c r="A6695" i="1"/>
  <c r="V6694" i="1"/>
  <c r="B6694" i="2" s="1"/>
  <c r="A6694" i="1"/>
  <c r="V6693" i="1"/>
  <c r="B6693" i="2" s="1"/>
  <c r="A6693" i="1"/>
  <c r="V6692" i="1"/>
  <c r="B6692" i="2" s="1"/>
  <c r="A6692" i="1"/>
  <c r="V6691" i="1"/>
  <c r="B6691" i="2" s="1"/>
  <c r="A6691" i="1"/>
  <c r="V6690" i="1"/>
  <c r="B6690" i="2" s="1"/>
  <c r="A6690" i="1"/>
  <c r="V6689" i="1"/>
  <c r="B6689" i="2" s="1"/>
  <c r="A6689" i="1"/>
  <c r="V6688" i="1"/>
  <c r="B6688" i="2" s="1"/>
  <c r="A6688" i="1"/>
  <c r="V6687" i="1"/>
  <c r="B6687" i="2" s="1"/>
  <c r="A6687" i="1"/>
  <c r="V6686" i="1"/>
  <c r="B6686" i="2" s="1"/>
  <c r="A6686" i="1"/>
  <c r="V6685" i="1"/>
  <c r="B6685" i="2" s="1"/>
  <c r="A6685" i="1"/>
  <c r="V6684" i="1"/>
  <c r="B6684" i="2" s="1"/>
  <c r="A6684" i="1"/>
  <c r="V6683" i="1"/>
  <c r="B6683" i="2" s="1"/>
  <c r="A6683" i="1"/>
  <c r="V6682" i="1"/>
  <c r="B6682" i="2" s="1"/>
  <c r="A6682" i="1"/>
  <c r="V6681" i="1"/>
  <c r="B6681" i="2" s="1"/>
  <c r="A6681" i="1"/>
  <c r="V6680" i="1"/>
  <c r="B6680" i="2" s="1"/>
  <c r="A6680" i="1"/>
  <c r="V6679" i="1"/>
  <c r="B6679" i="2" s="1"/>
  <c r="A6679" i="1"/>
  <c r="V6678" i="1"/>
  <c r="B6678" i="2" s="1"/>
  <c r="A6678" i="1"/>
  <c r="V6677" i="1"/>
  <c r="B6677" i="2" s="1"/>
  <c r="A6677" i="1"/>
  <c r="V6676" i="1"/>
  <c r="B6676" i="2" s="1"/>
  <c r="A6676" i="1"/>
  <c r="V6675" i="1"/>
  <c r="B6675" i="2" s="1"/>
  <c r="A6675" i="1"/>
  <c r="V6674" i="1"/>
  <c r="B6674" i="2" s="1"/>
  <c r="A6674" i="1"/>
  <c r="V6673" i="1"/>
  <c r="B6673" i="2" s="1"/>
  <c r="A6673" i="1"/>
  <c r="V6672" i="1"/>
  <c r="B6672" i="2" s="1"/>
  <c r="A6672" i="1"/>
  <c r="V6671" i="1"/>
  <c r="B6671" i="2" s="1"/>
  <c r="A6671" i="1"/>
  <c r="V6670" i="1"/>
  <c r="B6670" i="2" s="1"/>
  <c r="A6670" i="1"/>
  <c r="V6669" i="1"/>
  <c r="B6669" i="2" s="1"/>
  <c r="A6669" i="1"/>
  <c r="V6668" i="1"/>
  <c r="B6668" i="2" s="1"/>
  <c r="A6668" i="1"/>
  <c r="V6667" i="1"/>
  <c r="B6667" i="2" s="1"/>
  <c r="A6667" i="1"/>
  <c r="V6666" i="1"/>
  <c r="B6666" i="2" s="1"/>
  <c r="A6666" i="1"/>
  <c r="V6665" i="1"/>
  <c r="B6665" i="2" s="1"/>
  <c r="A6665" i="1"/>
  <c r="V6664" i="1"/>
  <c r="B6664" i="2" s="1"/>
  <c r="A6664" i="1"/>
  <c r="V6663" i="1"/>
  <c r="B6663" i="2" s="1"/>
  <c r="A6663" i="1"/>
  <c r="V6662" i="1"/>
  <c r="B6662" i="2" s="1"/>
  <c r="A6662" i="1"/>
  <c r="V6661" i="1"/>
  <c r="B6661" i="2" s="1"/>
  <c r="A6661" i="1"/>
  <c r="V6660" i="1"/>
  <c r="B6660" i="2" s="1"/>
  <c r="A6660" i="1"/>
  <c r="V6659" i="1"/>
  <c r="B6659" i="2" s="1"/>
  <c r="A6659" i="1"/>
  <c r="V6658" i="1"/>
  <c r="B6658" i="2" s="1"/>
  <c r="A6658" i="1"/>
  <c r="V6657" i="1"/>
  <c r="B6657" i="2" s="1"/>
  <c r="A6657" i="1"/>
  <c r="V6656" i="1"/>
  <c r="B6656" i="2" s="1"/>
  <c r="A6656" i="1"/>
  <c r="V6655" i="1"/>
  <c r="B6655" i="2" s="1"/>
  <c r="A6655" i="1"/>
  <c r="V6654" i="1"/>
  <c r="B6654" i="2" s="1"/>
  <c r="A6654" i="1"/>
  <c r="V6653" i="1"/>
  <c r="B6653" i="2" s="1"/>
  <c r="A6653" i="1"/>
  <c r="V6652" i="1"/>
  <c r="B6652" i="2" s="1"/>
  <c r="A6652" i="1"/>
  <c r="V6651" i="1"/>
  <c r="B6651" i="2" s="1"/>
  <c r="A6651" i="1"/>
  <c r="V6650" i="1"/>
  <c r="B6650" i="2" s="1"/>
  <c r="A6650" i="1"/>
  <c r="V6649" i="1"/>
  <c r="B6649" i="2" s="1"/>
  <c r="A6649" i="1"/>
  <c r="V6648" i="1"/>
  <c r="B6648" i="2" s="1"/>
  <c r="A6648" i="1"/>
  <c r="V6647" i="1"/>
  <c r="B6647" i="2" s="1"/>
  <c r="A6647" i="1"/>
  <c r="V6646" i="1"/>
  <c r="B6646" i="2" s="1"/>
  <c r="A6646" i="1"/>
  <c r="V6645" i="1"/>
  <c r="B6645" i="2" s="1"/>
  <c r="A6645" i="1"/>
  <c r="V6644" i="1"/>
  <c r="B6644" i="2" s="1"/>
  <c r="A6644" i="1"/>
  <c r="V6643" i="1"/>
  <c r="B6643" i="2" s="1"/>
  <c r="A6643" i="1"/>
  <c r="V6642" i="1"/>
  <c r="B6642" i="2" s="1"/>
  <c r="A6642" i="1"/>
  <c r="V6641" i="1"/>
  <c r="B6641" i="2" s="1"/>
  <c r="A6641" i="1"/>
  <c r="V6640" i="1"/>
  <c r="B6640" i="2" s="1"/>
  <c r="A6640" i="1"/>
  <c r="V6639" i="1"/>
  <c r="B6639" i="2" s="1"/>
  <c r="A6639" i="1"/>
  <c r="V6638" i="1"/>
  <c r="B6638" i="2" s="1"/>
  <c r="A6638" i="1"/>
  <c r="V6637" i="1"/>
  <c r="B6637" i="2" s="1"/>
  <c r="A6637" i="1"/>
  <c r="V6636" i="1"/>
  <c r="B6636" i="2" s="1"/>
  <c r="A6636" i="1"/>
  <c r="V6635" i="1"/>
  <c r="B6635" i="2" s="1"/>
  <c r="A6635" i="1"/>
  <c r="V6634" i="1"/>
  <c r="B6634" i="2" s="1"/>
  <c r="A6634" i="1"/>
  <c r="V6633" i="1"/>
  <c r="B6633" i="2" s="1"/>
  <c r="A6633" i="1"/>
  <c r="V6632" i="1"/>
  <c r="B6632" i="2" s="1"/>
  <c r="A6632" i="1"/>
  <c r="V6631" i="1"/>
  <c r="B6631" i="2" s="1"/>
  <c r="A6631" i="1"/>
  <c r="V6630" i="1"/>
  <c r="B6630" i="2" s="1"/>
  <c r="A6630" i="1"/>
  <c r="V6629" i="1"/>
  <c r="B6629" i="2" s="1"/>
  <c r="A6629" i="1"/>
  <c r="V6628" i="1"/>
  <c r="B6628" i="2" s="1"/>
  <c r="A6628" i="1"/>
  <c r="V6627" i="1"/>
  <c r="B6627" i="2" s="1"/>
  <c r="A6627" i="1"/>
  <c r="V6626" i="1"/>
  <c r="B6626" i="2" s="1"/>
  <c r="A6626" i="1"/>
  <c r="V6625" i="1"/>
  <c r="B6625" i="2" s="1"/>
  <c r="A6625" i="1"/>
  <c r="V6624" i="1"/>
  <c r="B6624" i="2" s="1"/>
  <c r="A6624" i="1"/>
  <c r="V6623" i="1"/>
  <c r="B6623" i="2" s="1"/>
  <c r="A6623" i="1"/>
  <c r="V6622" i="1"/>
  <c r="B6622" i="2" s="1"/>
  <c r="A6622" i="1"/>
  <c r="V6621" i="1"/>
  <c r="B6621" i="2" s="1"/>
  <c r="A6621" i="1"/>
  <c r="V6620" i="1"/>
  <c r="B6620" i="2" s="1"/>
  <c r="A6620" i="1"/>
  <c r="V6619" i="1"/>
  <c r="B6619" i="2" s="1"/>
  <c r="A6619" i="1"/>
  <c r="V6618" i="1"/>
  <c r="B6618" i="2" s="1"/>
  <c r="A6618" i="1"/>
  <c r="V6617" i="1"/>
  <c r="B6617" i="2" s="1"/>
  <c r="A6617" i="1"/>
  <c r="V6616" i="1"/>
  <c r="B6616" i="2" s="1"/>
  <c r="A6616" i="1"/>
  <c r="V6615" i="1"/>
  <c r="B6615" i="2" s="1"/>
  <c r="A6615" i="1"/>
  <c r="V6614" i="1"/>
  <c r="B6614" i="2" s="1"/>
  <c r="A6614" i="1"/>
  <c r="V6613" i="1"/>
  <c r="B6613" i="2" s="1"/>
  <c r="A6613" i="1"/>
  <c r="V6612" i="1"/>
  <c r="B6612" i="2" s="1"/>
  <c r="A6612" i="1"/>
  <c r="V6611" i="1"/>
  <c r="B6611" i="2" s="1"/>
  <c r="A6611" i="1"/>
  <c r="V6610" i="1"/>
  <c r="B6610" i="2" s="1"/>
  <c r="A6610" i="1"/>
  <c r="V6609" i="1"/>
  <c r="B6609" i="2" s="1"/>
  <c r="A6609" i="1"/>
  <c r="V6608" i="1"/>
  <c r="B6608" i="2" s="1"/>
  <c r="A6608" i="1"/>
  <c r="V6607" i="1"/>
  <c r="B6607" i="2" s="1"/>
  <c r="A6607" i="1"/>
  <c r="V6606" i="1"/>
  <c r="B6606" i="2" s="1"/>
  <c r="A6606" i="1"/>
  <c r="V6605" i="1"/>
  <c r="B6605" i="2" s="1"/>
  <c r="A6605" i="1"/>
  <c r="V6604" i="1"/>
  <c r="B6604" i="2" s="1"/>
  <c r="A6604" i="1"/>
  <c r="V6603" i="1"/>
  <c r="B6603" i="2" s="1"/>
  <c r="A6603" i="1"/>
  <c r="V6602" i="1"/>
  <c r="B6602" i="2" s="1"/>
  <c r="A6602" i="1"/>
  <c r="V6601" i="1"/>
  <c r="B6601" i="2" s="1"/>
  <c r="A6601" i="1"/>
  <c r="V6600" i="1"/>
  <c r="B6600" i="2" s="1"/>
  <c r="A6600" i="1"/>
  <c r="V6599" i="1"/>
  <c r="B6599" i="2" s="1"/>
  <c r="A6599" i="1"/>
  <c r="V6598" i="1"/>
  <c r="B6598" i="2" s="1"/>
  <c r="A6598" i="1"/>
  <c r="V6597" i="1"/>
  <c r="B6597" i="2" s="1"/>
  <c r="A6597" i="1"/>
  <c r="V6596" i="1"/>
  <c r="B6596" i="2" s="1"/>
  <c r="A6596" i="1"/>
  <c r="V6595" i="1"/>
  <c r="B6595" i="2" s="1"/>
  <c r="A6595" i="1"/>
  <c r="V6594" i="1"/>
  <c r="B6594" i="2" s="1"/>
  <c r="A6594" i="1"/>
  <c r="V6593" i="1"/>
  <c r="B6593" i="2" s="1"/>
  <c r="A6593" i="1"/>
  <c r="V6592" i="1"/>
  <c r="B6592" i="2" s="1"/>
  <c r="A6592" i="1"/>
  <c r="V6591" i="1"/>
  <c r="B6591" i="2" s="1"/>
  <c r="A6591" i="1"/>
  <c r="V6590" i="1"/>
  <c r="B6590" i="2" s="1"/>
  <c r="A6590" i="1"/>
  <c r="V6589" i="1"/>
  <c r="B6589" i="2" s="1"/>
  <c r="A6589" i="1"/>
  <c r="V6588" i="1"/>
  <c r="B6588" i="2" s="1"/>
  <c r="A6588" i="1"/>
  <c r="V6587" i="1"/>
  <c r="B6587" i="2" s="1"/>
  <c r="A6587" i="1"/>
  <c r="V6586" i="1"/>
  <c r="B6586" i="2" s="1"/>
  <c r="A6586" i="1"/>
  <c r="V6585" i="1"/>
  <c r="B6585" i="2" s="1"/>
  <c r="A6585" i="1"/>
  <c r="V6584" i="1"/>
  <c r="B6584" i="2" s="1"/>
  <c r="A6584" i="1"/>
  <c r="V6583" i="1"/>
  <c r="B6583" i="2" s="1"/>
  <c r="A6583" i="1"/>
  <c r="V6582" i="1"/>
  <c r="B6582" i="2" s="1"/>
  <c r="A6582" i="1"/>
  <c r="V6581" i="1"/>
  <c r="B6581" i="2" s="1"/>
  <c r="A6581" i="1"/>
  <c r="V6580" i="1"/>
  <c r="B6580" i="2" s="1"/>
  <c r="A6580" i="1"/>
  <c r="V6579" i="1"/>
  <c r="B6579" i="2" s="1"/>
  <c r="A6579" i="1"/>
  <c r="V6578" i="1"/>
  <c r="B6578" i="2" s="1"/>
  <c r="A6578" i="1"/>
  <c r="V6577" i="1"/>
  <c r="B6577" i="2" s="1"/>
  <c r="A6577" i="1"/>
  <c r="V6576" i="1"/>
  <c r="B6576" i="2" s="1"/>
  <c r="A6576" i="1"/>
  <c r="V6575" i="1"/>
  <c r="B6575" i="2" s="1"/>
  <c r="A6575" i="1"/>
  <c r="V6574" i="1"/>
  <c r="B6574" i="2" s="1"/>
  <c r="A6574" i="1"/>
  <c r="V6573" i="1"/>
  <c r="B6573" i="2" s="1"/>
  <c r="A6573" i="1"/>
  <c r="V6572" i="1"/>
  <c r="B6572" i="2" s="1"/>
  <c r="A6572" i="1"/>
  <c r="V6571" i="1"/>
  <c r="B6571" i="2" s="1"/>
  <c r="A6571" i="1"/>
  <c r="V6570" i="1"/>
  <c r="B6570" i="2" s="1"/>
  <c r="A6570" i="1"/>
  <c r="V6569" i="1"/>
  <c r="B6569" i="2" s="1"/>
  <c r="A6569" i="1"/>
  <c r="V6568" i="1"/>
  <c r="B6568" i="2" s="1"/>
  <c r="A6568" i="1"/>
  <c r="V6567" i="1"/>
  <c r="B6567" i="2" s="1"/>
  <c r="A6567" i="1"/>
  <c r="V6566" i="1"/>
  <c r="B6566" i="2" s="1"/>
  <c r="A6566" i="1"/>
  <c r="V6565" i="1"/>
  <c r="B6565" i="2" s="1"/>
  <c r="A6565" i="1"/>
  <c r="V6564" i="1"/>
  <c r="B6564" i="2" s="1"/>
  <c r="A6564" i="1"/>
  <c r="V6563" i="1"/>
  <c r="B6563" i="2" s="1"/>
  <c r="A6563" i="1"/>
  <c r="V6562" i="1"/>
  <c r="B6562" i="2" s="1"/>
  <c r="A6562" i="1"/>
  <c r="V6561" i="1"/>
  <c r="B6561" i="2" s="1"/>
  <c r="A6561" i="1"/>
  <c r="V6560" i="1"/>
  <c r="B6560" i="2" s="1"/>
  <c r="A6560" i="1"/>
  <c r="V6559" i="1"/>
  <c r="B6559" i="2" s="1"/>
  <c r="A6559" i="1"/>
  <c r="V6558" i="1"/>
  <c r="B6558" i="2" s="1"/>
  <c r="A6558" i="1"/>
  <c r="V6557" i="1"/>
  <c r="B6557" i="2" s="1"/>
  <c r="A6557" i="1"/>
  <c r="V6556" i="1"/>
  <c r="B6556" i="2" s="1"/>
  <c r="A6556" i="1"/>
  <c r="V6555" i="1"/>
  <c r="B6555" i="2" s="1"/>
  <c r="A6555" i="1"/>
  <c r="V6554" i="1"/>
  <c r="B6554" i="2" s="1"/>
  <c r="A6554" i="1"/>
  <c r="V6553" i="1"/>
  <c r="B6553" i="2" s="1"/>
  <c r="A6553" i="1"/>
  <c r="V6552" i="1"/>
  <c r="B6552" i="2" s="1"/>
  <c r="A6552" i="1"/>
  <c r="V6551" i="1"/>
  <c r="B6551" i="2" s="1"/>
  <c r="A6551" i="1"/>
  <c r="V6550" i="1"/>
  <c r="B6550" i="2" s="1"/>
  <c r="A6550" i="1"/>
  <c r="V6549" i="1"/>
  <c r="B6549" i="2" s="1"/>
  <c r="A6549" i="1"/>
  <c r="V6548" i="1"/>
  <c r="B6548" i="2" s="1"/>
  <c r="A6548" i="1"/>
  <c r="V6547" i="1"/>
  <c r="B6547" i="2" s="1"/>
  <c r="A6547" i="1"/>
  <c r="V6546" i="1"/>
  <c r="B6546" i="2" s="1"/>
  <c r="A6546" i="1"/>
  <c r="V6545" i="1"/>
  <c r="B6545" i="2" s="1"/>
  <c r="A6545" i="1"/>
  <c r="V6544" i="1"/>
  <c r="B6544" i="2" s="1"/>
  <c r="A6544" i="1"/>
  <c r="V6543" i="1"/>
  <c r="B6543" i="2" s="1"/>
  <c r="A6543" i="1"/>
  <c r="V6542" i="1"/>
  <c r="B6542" i="2" s="1"/>
  <c r="A6542" i="1"/>
  <c r="V6541" i="1"/>
  <c r="B6541" i="2" s="1"/>
  <c r="A6541" i="1"/>
  <c r="V6540" i="1"/>
  <c r="B6540" i="2" s="1"/>
  <c r="A6540" i="1"/>
  <c r="V6539" i="1"/>
  <c r="B6539" i="2" s="1"/>
  <c r="A6539" i="1"/>
  <c r="V6538" i="1"/>
  <c r="B6538" i="2" s="1"/>
  <c r="A6538" i="1"/>
  <c r="V6537" i="1"/>
  <c r="B6537" i="2" s="1"/>
  <c r="A6537" i="1"/>
  <c r="V6536" i="1"/>
  <c r="B6536" i="2" s="1"/>
  <c r="A6536" i="1"/>
  <c r="V6535" i="1"/>
  <c r="B6535" i="2" s="1"/>
  <c r="A6535" i="1"/>
  <c r="V6534" i="1"/>
  <c r="B6534" i="2" s="1"/>
  <c r="A6534" i="1"/>
  <c r="V6533" i="1"/>
  <c r="B6533" i="2" s="1"/>
  <c r="A6533" i="1"/>
  <c r="V6532" i="1"/>
  <c r="B6532" i="2" s="1"/>
  <c r="A6532" i="1"/>
  <c r="V6531" i="1"/>
  <c r="B6531" i="2" s="1"/>
  <c r="A6531" i="1"/>
  <c r="V6530" i="1"/>
  <c r="B6530" i="2" s="1"/>
  <c r="A6530" i="1"/>
  <c r="V6529" i="1"/>
  <c r="B6529" i="2" s="1"/>
  <c r="A6529" i="1"/>
  <c r="V6528" i="1"/>
  <c r="B6528" i="2" s="1"/>
  <c r="A6528" i="1"/>
  <c r="V6527" i="1"/>
  <c r="B6527" i="2" s="1"/>
  <c r="A6527" i="1"/>
  <c r="V6526" i="1"/>
  <c r="B6526" i="2" s="1"/>
  <c r="A6526" i="1"/>
  <c r="V6525" i="1"/>
  <c r="B6525" i="2" s="1"/>
  <c r="A6525" i="1"/>
  <c r="V6524" i="1"/>
  <c r="B6524" i="2" s="1"/>
  <c r="A6524" i="1"/>
  <c r="V6523" i="1"/>
  <c r="B6523" i="2" s="1"/>
  <c r="A6523" i="1"/>
  <c r="V6522" i="1"/>
  <c r="B6522" i="2" s="1"/>
  <c r="A6522" i="1"/>
  <c r="V6521" i="1"/>
  <c r="B6521" i="2" s="1"/>
  <c r="A6521" i="1"/>
  <c r="V6520" i="1"/>
  <c r="B6520" i="2" s="1"/>
  <c r="A6520" i="1"/>
  <c r="V6519" i="1"/>
  <c r="B6519" i="2" s="1"/>
  <c r="A6519" i="1"/>
  <c r="V6518" i="1"/>
  <c r="B6518" i="2" s="1"/>
  <c r="A6518" i="1"/>
  <c r="V6517" i="1"/>
  <c r="B6517" i="2" s="1"/>
  <c r="A6517" i="1"/>
  <c r="V6516" i="1"/>
  <c r="B6516" i="2" s="1"/>
  <c r="A6516" i="1"/>
  <c r="V6515" i="1"/>
  <c r="B6515" i="2" s="1"/>
  <c r="A6515" i="1"/>
  <c r="V6514" i="1"/>
  <c r="B6514" i="2" s="1"/>
  <c r="A6514" i="1"/>
  <c r="V6513" i="1"/>
  <c r="B6513" i="2" s="1"/>
  <c r="A6513" i="1"/>
  <c r="V6512" i="1"/>
  <c r="B6512" i="2" s="1"/>
  <c r="A6512" i="1"/>
  <c r="V6511" i="1"/>
  <c r="B6511" i="2" s="1"/>
  <c r="A6511" i="1"/>
  <c r="V6510" i="1"/>
  <c r="B6510" i="2" s="1"/>
  <c r="A6510" i="1"/>
  <c r="V6509" i="1"/>
  <c r="B6509" i="2" s="1"/>
  <c r="A6509" i="1"/>
  <c r="V6508" i="1"/>
  <c r="B6508" i="2" s="1"/>
  <c r="A6508" i="1"/>
  <c r="V6507" i="1"/>
  <c r="B6507" i="2" s="1"/>
  <c r="A6507" i="1"/>
  <c r="V6506" i="1"/>
  <c r="B6506" i="2" s="1"/>
  <c r="A6506" i="1"/>
  <c r="V6505" i="1"/>
  <c r="B6505" i="2" s="1"/>
  <c r="A6505" i="1"/>
  <c r="V6504" i="1"/>
  <c r="B6504" i="2" s="1"/>
  <c r="A6504" i="1"/>
  <c r="V6503" i="1"/>
  <c r="B6503" i="2" s="1"/>
  <c r="A6503" i="1"/>
  <c r="V6502" i="1"/>
  <c r="B6502" i="2" s="1"/>
  <c r="A6502" i="1"/>
  <c r="V6501" i="1"/>
  <c r="B6501" i="2" s="1"/>
  <c r="A6501" i="1"/>
  <c r="V6500" i="1"/>
  <c r="B6500" i="2" s="1"/>
  <c r="A6500" i="1"/>
  <c r="V6499" i="1"/>
  <c r="B6499" i="2" s="1"/>
  <c r="A6499" i="1"/>
  <c r="V6498" i="1"/>
  <c r="B6498" i="2" s="1"/>
  <c r="A6498" i="1"/>
  <c r="V6497" i="1"/>
  <c r="B6497" i="2" s="1"/>
  <c r="A6497" i="1"/>
  <c r="V6496" i="1"/>
  <c r="B6496" i="2" s="1"/>
  <c r="A6496" i="1"/>
  <c r="V6495" i="1"/>
  <c r="B6495" i="2" s="1"/>
  <c r="A6495" i="1"/>
  <c r="V6494" i="1"/>
  <c r="B6494" i="2" s="1"/>
  <c r="A6494" i="1"/>
  <c r="V6493" i="1"/>
  <c r="B6493" i="2" s="1"/>
  <c r="A6493" i="1"/>
  <c r="V6492" i="1"/>
  <c r="B6492" i="2" s="1"/>
  <c r="A6492" i="1"/>
  <c r="V6491" i="1"/>
  <c r="B6491" i="2" s="1"/>
  <c r="A6491" i="1"/>
  <c r="V6490" i="1"/>
  <c r="B6490" i="2" s="1"/>
  <c r="A6490" i="1"/>
  <c r="V6489" i="1"/>
  <c r="B6489" i="2" s="1"/>
  <c r="A6489" i="1"/>
  <c r="V6488" i="1"/>
  <c r="B6488" i="2" s="1"/>
  <c r="A6488" i="1"/>
  <c r="V6487" i="1"/>
  <c r="B6487" i="2" s="1"/>
  <c r="A6487" i="1"/>
  <c r="V6486" i="1"/>
  <c r="B6486" i="2" s="1"/>
  <c r="A6486" i="1"/>
  <c r="V6485" i="1"/>
  <c r="B6485" i="2" s="1"/>
  <c r="A6485" i="1"/>
  <c r="V6484" i="1"/>
  <c r="B6484" i="2" s="1"/>
  <c r="A6484" i="1"/>
  <c r="V6483" i="1"/>
  <c r="B6483" i="2" s="1"/>
  <c r="A6483" i="1"/>
  <c r="V6482" i="1"/>
  <c r="B6482" i="2" s="1"/>
  <c r="A6482" i="1"/>
  <c r="V6481" i="1"/>
  <c r="B6481" i="2" s="1"/>
  <c r="A6481" i="1"/>
  <c r="V6480" i="1"/>
  <c r="B6480" i="2" s="1"/>
  <c r="A6480" i="1"/>
  <c r="V6479" i="1"/>
  <c r="B6479" i="2" s="1"/>
  <c r="A6479" i="1"/>
  <c r="V6478" i="1"/>
  <c r="B6478" i="2" s="1"/>
  <c r="A6478" i="1"/>
  <c r="V6477" i="1"/>
  <c r="B6477" i="2" s="1"/>
  <c r="A6477" i="1"/>
  <c r="V6476" i="1"/>
  <c r="B6476" i="2" s="1"/>
  <c r="A6476" i="1"/>
  <c r="V6475" i="1"/>
  <c r="B6475" i="2" s="1"/>
  <c r="A6475" i="1"/>
  <c r="V6474" i="1"/>
  <c r="B6474" i="2" s="1"/>
  <c r="A6474" i="1"/>
  <c r="V6473" i="1"/>
  <c r="B6473" i="2" s="1"/>
  <c r="A6473" i="1"/>
  <c r="V6472" i="1"/>
  <c r="B6472" i="2" s="1"/>
  <c r="A6472" i="1"/>
  <c r="V6471" i="1"/>
  <c r="B6471" i="2" s="1"/>
  <c r="A6471" i="1"/>
  <c r="V6470" i="1"/>
  <c r="B6470" i="2" s="1"/>
  <c r="A6470" i="1"/>
  <c r="V6469" i="1"/>
  <c r="B6469" i="2" s="1"/>
  <c r="A6469" i="1"/>
  <c r="V6468" i="1"/>
  <c r="B6468" i="2" s="1"/>
  <c r="A6468" i="1"/>
  <c r="V6467" i="1"/>
  <c r="B6467" i="2" s="1"/>
  <c r="A6467" i="1"/>
  <c r="V6466" i="1"/>
  <c r="B6466" i="2" s="1"/>
  <c r="A6466" i="1"/>
  <c r="V6465" i="1"/>
  <c r="B6465" i="2" s="1"/>
  <c r="A6465" i="1"/>
  <c r="V6464" i="1"/>
  <c r="B6464" i="2" s="1"/>
  <c r="A6464" i="1"/>
  <c r="V6463" i="1"/>
  <c r="B6463" i="2" s="1"/>
  <c r="A6463" i="1"/>
  <c r="V6462" i="1"/>
  <c r="B6462" i="2" s="1"/>
  <c r="A6462" i="1"/>
  <c r="V6461" i="1"/>
  <c r="B6461" i="2" s="1"/>
  <c r="A6461" i="1"/>
  <c r="V6460" i="1"/>
  <c r="B6460" i="2" s="1"/>
  <c r="A6460" i="1"/>
  <c r="V6459" i="1"/>
  <c r="B6459" i="2" s="1"/>
  <c r="A6459" i="1"/>
  <c r="V6458" i="1"/>
  <c r="B6458" i="2" s="1"/>
  <c r="A6458" i="1"/>
  <c r="V6457" i="1"/>
  <c r="B6457" i="2" s="1"/>
  <c r="A6457" i="1"/>
  <c r="V6456" i="1"/>
  <c r="B6456" i="2" s="1"/>
  <c r="A6456" i="1"/>
  <c r="V6455" i="1"/>
  <c r="B6455" i="2" s="1"/>
  <c r="A6455" i="1"/>
  <c r="V6454" i="1"/>
  <c r="B6454" i="2" s="1"/>
  <c r="A6454" i="1"/>
  <c r="V6453" i="1"/>
  <c r="B6453" i="2" s="1"/>
  <c r="A6453" i="1"/>
  <c r="V6452" i="1"/>
  <c r="B6452" i="2" s="1"/>
  <c r="A6452" i="1"/>
  <c r="V6451" i="1"/>
  <c r="B6451" i="2" s="1"/>
  <c r="A6451" i="1"/>
  <c r="V6450" i="1"/>
  <c r="B6450" i="2" s="1"/>
  <c r="A6450" i="1"/>
  <c r="V6449" i="1"/>
  <c r="B6449" i="2" s="1"/>
  <c r="A6449" i="1"/>
  <c r="V6448" i="1"/>
  <c r="B6448" i="2" s="1"/>
  <c r="A6448" i="1"/>
  <c r="V6447" i="1"/>
  <c r="B6447" i="2" s="1"/>
  <c r="A6447" i="1"/>
  <c r="V6446" i="1"/>
  <c r="B6446" i="2" s="1"/>
  <c r="A6446" i="1"/>
  <c r="V6445" i="1"/>
  <c r="B6445" i="2" s="1"/>
  <c r="A6445" i="1"/>
  <c r="V6444" i="1"/>
  <c r="B6444" i="2" s="1"/>
  <c r="A6444" i="1"/>
  <c r="V6443" i="1"/>
  <c r="B6443" i="2" s="1"/>
  <c r="A6443" i="1"/>
  <c r="V6442" i="1"/>
  <c r="B6442" i="2" s="1"/>
  <c r="A6442" i="1"/>
  <c r="V6441" i="1"/>
  <c r="B6441" i="2" s="1"/>
  <c r="A6441" i="1"/>
  <c r="V6440" i="1"/>
  <c r="B6440" i="2" s="1"/>
  <c r="A6440" i="1"/>
  <c r="V6439" i="1"/>
  <c r="B6439" i="2" s="1"/>
  <c r="A6439" i="1"/>
  <c r="V6438" i="1"/>
  <c r="B6438" i="2" s="1"/>
  <c r="A6438" i="1"/>
  <c r="V6437" i="1"/>
  <c r="B6437" i="2" s="1"/>
  <c r="A6437" i="1"/>
  <c r="V6436" i="1"/>
  <c r="B6436" i="2" s="1"/>
  <c r="A6436" i="1"/>
  <c r="V6435" i="1"/>
  <c r="B6435" i="2" s="1"/>
  <c r="A6435" i="1"/>
  <c r="V6434" i="1"/>
  <c r="B6434" i="2" s="1"/>
  <c r="A6434" i="1"/>
  <c r="V6433" i="1"/>
  <c r="B6433" i="2" s="1"/>
  <c r="A6433" i="1"/>
  <c r="V6432" i="1"/>
  <c r="B6432" i="2" s="1"/>
  <c r="A6432" i="1"/>
  <c r="V6431" i="1"/>
  <c r="B6431" i="2" s="1"/>
  <c r="A6431" i="1"/>
  <c r="V6430" i="1"/>
  <c r="B6430" i="2" s="1"/>
  <c r="A6430" i="1"/>
  <c r="V6429" i="1"/>
  <c r="B6429" i="2" s="1"/>
  <c r="A6429" i="1"/>
  <c r="V6428" i="1"/>
  <c r="B6428" i="2" s="1"/>
  <c r="A6428" i="1"/>
  <c r="V6427" i="1"/>
  <c r="B6427" i="2" s="1"/>
  <c r="A6427" i="1"/>
  <c r="V6426" i="1"/>
  <c r="B6426" i="2" s="1"/>
  <c r="A6426" i="1"/>
  <c r="V6425" i="1"/>
  <c r="B6425" i="2" s="1"/>
  <c r="A6425" i="1"/>
  <c r="V6424" i="1"/>
  <c r="B6424" i="2" s="1"/>
  <c r="A6424" i="1"/>
  <c r="V6423" i="1"/>
  <c r="B6423" i="2" s="1"/>
  <c r="A6423" i="1"/>
  <c r="V6422" i="1"/>
  <c r="B6422" i="2" s="1"/>
  <c r="A6422" i="1"/>
  <c r="V6421" i="1"/>
  <c r="B6421" i="2" s="1"/>
  <c r="A6421" i="1"/>
  <c r="V6420" i="1"/>
  <c r="B6420" i="2" s="1"/>
  <c r="A6420" i="1"/>
  <c r="V6419" i="1"/>
  <c r="B6419" i="2" s="1"/>
  <c r="A6419" i="1"/>
  <c r="V6418" i="1"/>
  <c r="B6418" i="2" s="1"/>
  <c r="A6418" i="1"/>
  <c r="V6417" i="1"/>
  <c r="B6417" i="2" s="1"/>
  <c r="A6417" i="1"/>
  <c r="V6416" i="1"/>
  <c r="B6416" i="2" s="1"/>
  <c r="A6416" i="1"/>
  <c r="V6415" i="1"/>
  <c r="B6415" i="2" s="1"/>
  <c r="A6415" i="1"/>
  <c r="V6414" i="1"/>
  <c r="B6414" i="2" s="1"/>
  <c r="A6414" i="1"/>
  <c r="V6413" i="1"/>
  <c r="B6413" i="2" s="1"/>
  <c r="A6413" i="1"/>
  <c r="V6412" i="1"/>
  <c r="B6412" i="2" s="1"/>
  <c r="A6412" i="1"/>
  <c r="V6411" i="1"/>
  <c r="B6411" i="2" s="1"/>
  <c r="A6411" i="1"/>
  <c r="V6410" i="1"/>
  <c r="B6410" i="2" s="1"/>
  <c r="A6410" i="1"/>
  <c r="V6409" i="1"/>
  <c r="B6409" i="2" s="1"/>
  <c r="A6409" i="1"/>
  <c r="V6408" i="1"/>
  <c r="B6408" i="2" s="1"/>
  <c r="A6408" i="1"/>
  <c r="V6407" i="1"/>
  <c r="B6407" i="2" s="1"/>
  <c r="A6407" i="1"/>
  <c r="V6406" i="1"/>
  <c r="B6406" i="2" s="1"/>
  <c r="A6406" i="1"/>
  <c r="V6405" i="1"/>
  <c r="B6405" i="2" s="1"/>
  <c r="A6405" i="1"/>
  <c r="V6404" i="1"/>
  <c r="B6404" i="2" s="1"/>
  <c r="A6404" i="1"/>
  <c r="V6403" i="1"/>
  <c r="B6403" i="2" s="1"/>
  <c r="A6403" i="1"/>
  <c r="V6402" i="1"/>
  <c r="B6402" i="2" s="1"/>
  <c r="A6402" i="1"/>
  <c r="V6401" i="1"/>
  <c r="B6401" i="2" s="1"/>
  <c r="A6401" i="1"/>
  <c r="V6400" i="1"/>
  <c r="B6400" i="2" s="1"/>
  <c r="A6400" i="1"/>
  <c r="V6399" i="1"/>
  <c r="B6399" i="2" s="1"/>
  <c r="A6399" i="1"/>
  <c r="V6398" i="1"/>
  <c r="B6398" i="2" s="1"/>
  <c r="A6398" i="1"/>
  <c r="V6397" i="1"/>
  <c r="B6397" i="2" s="1"/>
  <c r="A6397" i="1"/>
  <c r="V6396" i="1"/>
  <c r="B6396" i="2" s="1"/>
  <c r="A6396" i="1"/>
  <c r="V6395" i="1"/>
  <c r="B6395" i="2" s="1"/>
  <c r="A6395" i="1"/>
  <c r="V6394" i="1"/>
  <c r="B6394" i="2" s="1"/>
  <c r="A6394" i="1"/>
  <c r="V6393" i="1"/>
  <c r="B6393" i="2" s="1"/>
  <c r="A6393" i="1"/>
  <c r="V6392" i="1"/>
  <c r="B6392" i="2" s="1"/>
  <c r="A6392" i="1"/>
  <c r="V6391" i="1"/>
  <c r="B6391" i="2" s="1"/>
  <c r="A6391" i="1"/>
  <c r="V6390" i="1"/>
  <c r="B6390" i="2" s="1"/>
  <c r="A6390" i="1"/>
  <c r="V6389" i="1"/>
  <c r="B6389" i="2" s="1"/>
  <c r="A6389" i="1"/>
  <c r="V6388" i="1"/>
  <c r="B6388" i="2" s="1"/>
  <c r="A6388" i="1"/>
  <c r="V6387" i="1"/>
  <c r="B6387" i="2" s="1"/>
  <c r="A6387" i="1"/>
  <c r="V6386" i="1"/>
  <c r="B6386" i="2" s="1"/>
  <c r="A6386" i="1"/>
  <c r="V6385" i="1"/>
  <c r="B6385" i="2" s="1"/>
  <c r="A6385" i="1"/>
  <c r="V6384" i="1"/>
  <c r="B6384" i="2" s="1"/>
  <c r="A6384" i="1"/>
  <c r="V6383" i="1"/>
  <c r="B6383" i="2" s="1"/>
  <c r="A6383" i="1"/>
  <c r="V6382" i="1"/>
  <c r="B6382" i="2" s="1"/>
  <c r="A6382" i="1"/>
  <c r="V6381" i="1"/>
  <c r="B6381" i="2" s="1"/>
  <c r="A6381" i="1"/>
  <c r="V6380" i="1"/>
  <c r="B6380" i="2" s="1"/>
  <c r="A6380" i="1"/>
  <c r="V6379" i="1"/>
  <c r="B6379" i="2" s="1"/>
  <c r="A6379" i="1"/>
  <c r="V6378" i="1"/>
  <c r="B6378" i="2" s="1"/>
  <c r="A6378" i="1"/>
  <c r="V6377" i="1"/>
  <c r="B6377" i="2" s="1"/>
  <c r="A6377" i="1"/>
  <c r="V6376" i="1"/>
  <c r="B6376" i="2" s="1"/>
  <c r="A6376" i="1"/>
  <c r="V6375" i="1"/>
  <c r="B6375" i="2" s="1"/>
  <c r="A6375" i="1"/>
  <c r="V6374" i="1"/>
  <c r="B6374" i="2" s="1"/>
  <c r="A6374" i="1"/>
  <c r="V6373" i="1"/>
  <c r="B6373" i="2" s="1"/>
  <c r="A6373" i="1"/>
  <c r="V6372" i="1"/>
  <c r="B6372" i="2" s="1"/>
  <c r="A6372" i="1"/>
  <c r="V6371" i="1"/>
  <c r="B6371" i="2" s="1"/>
  <c r="A6371" i="1"/>
  <c r="V6370" i="1"/>
  <c r="B6370" i="2" s="1"/>
  <c r="A6370" i="1"/>
  <c r="V6369" i="1"/>
  <c r="B6369" i="2" s="1"/>
  <c r="A6369" i="1"/>
  <c r="V6368" i="1"/>
  <c r="B6368" i="2" s="1"/>
  <c r="A6368" i="1"/>
  <c r="V6367" i="1"/>
  <c r="B6367" i="2" s="1"/>
  <c r="A6367" i="1"/>
  <c r="V6366" i="1"/>
  <c r="B6366" i="2" s="1"/>
  <c r="A6366" i="1"/>
  <c r="V6365" i="1"/>
  <c r="B6365" i="2" s="1"/>
  <c r="A6365" i="1"/>
  <c r="V6364" i="1"/>
  <c r="B6364" i="2" s="1"/>
  <c r="A6364" i="1"/>
  <c r="V6363" i="1"/>
  <c r="B6363" i="2" s="1"/>
  <c r="A6363" i="1"/>
  <c r="V6362" i="1"/>
  <c r="B6362" i="2" s="1"/>
  <c r="A6362" i="1"/>
  <c r="V6361" i="1"/>
  <c r="B6361" i="2" s="1"/>
  <c r="A6361" i="1"/>
  <c r="V6360" i="1"/>
  <c r="B6360" i="2" s="1"/>
  <c r="A6360" i="1"/>
  <c r="V6359" i="1"/>
  <c r="B6359" i="2" s="1"/>
  <c r="A6359" i="1"/>
  <c r="V6358" i="1"/>
  <c r="B6358" i="2" s="1"/>
  <c r="A6358" i="1"/>
  <c r="V6357" i="1"/>
  <c r="B6357" i="2" s="1"/>
  <c r="A6357" i="1"/>
  <c r="V6356" i="1"/>
  <c r="B6356" i="2" s="1"/>
  <c r="A6356" i="1"/>
  <c r="V6355" i="1"/>
  <c r="B6355" i="2" s="1"/>
  <c r="A6355" i="1"/>
  <c r="V6354" i="1"/>
  <c r="B6354" i="2" s="1"/>
  <c r="A6354" i="1"/>
  <c r="V6353" i="1"/>
  <c r="B6353" i="2" s="1"/>
  <c r="A6353" i="1"/>
  <c r="V6352" i="1"/>
  <c r="B6352" i="2" s="1"/>
  <c r="A6352" i="1"/>
  <c r="V6351" i="1"/>
  <c r="B6351" i="2" s="1"/>
  <c r="A6351" i="1"/>
  <c r="V6350" i="1"/>
  <c r="B6350" i="2" s="1"/>
  <c r="A6350" i="1"/>
  <c r="V6349" i="1"/>
  <c r="B6349" i="2" s="1"/>
  <c r="A6349" i="1"/>
  <c r="V6348" i="1"/>
  <c r="B6348" i="2" s="1"/>
  <c r="A6348" i="1"/>
  <c r="V6347" i="1"/>
  <c r="B6347" i="2" s="1"/>
  <c r="A6347" i="1"/>
  <c r="V6346" i="1"/>
  <c r="B6346" i="2" s="1"/>
  <c r="A6346" i="1"/>
  <c r="V6345" i="1"/>
  <c r="B6345" i="2" s="1"/>
  <c r="A6345" i="1"/>
  <c r="V6344" i="1"/>
  <c r="B6344" i="2" s="1"/>
  <c r="A6344" i="1"/>
  <c r="V6343" i="1"/>
  <c r="B6343" i="2" s="1"/>
  <c r="A6343" i="1"/>
  <c r="V6342" i="1"/>
  <c r="B6342" i="2" s="1"/>
  <c r="A6342" i="1"/>
  <c r="V6341" i="1"/>
  <c r="B6341" i="2" s="1"/>
  <c r="A6341" i="1"/>
  <c r="V6340" i="1"/>
  <c r="B6340" i="2" s="1"/>
  <c r="A6340" i="1"/>
  <c r="V6339" i="1"/>
  <c r="B6339" i="2" s="1"/>
  <c r="A6339" i="1"/>
  <c r="V6338" i="1"/>
  <c r="B6338" i="2" s="1"/>
  <c r="A6338" i="1"/>
  <c r="V6337" i="1"/>
  <c r="B6337" i="2" s="1"/>
  <c r="A6337" i="1"/>
  <c r="V6336" i="1"/>
  <c r="B6336" i="2" s="1"/>
  <c r="A6336" i="1"/>
  <c r="V6335" i="1"/>
  <c r="B6335" i="2" s="1"/>
  <c r="A6335" i="1"/>
  <c r="V6334" i="1"/>
  <c r="B6334" i="2" s="1"/>
  <c r="A6334" i="1"/>
  <c r="V6333" i="1"/>
  <c r="B6333" i="2" s="1"/>
  <c r="A6333" i="1"/>
  <c r="V6332" i="1"/>
  <c r="B6332" i="2" s="1"/>
  <c r="A6332" i="1"/>
  <c r="V6331" i="1"/>
  <c r="B6331" i="2" s="1"/>
  <c r="A6331" i="1"/>
  <c r="V6330" i="1"/>
  <c r="B6330" i="2" s="1"/>
  <c r="A6330" i="1"/>
  <c r="V6329" i="1"/>
  <c r="B6329" i="2" s="1"/>
  <c r="A6329" i="1"/>
  <c r="V6328" i="1"/>
  <c r="B6328" i="2" s="1"/>
  <c r="A6328" i="1"/>
  <c r="V6327" i="1"/>
  <c r="B6327" i="2" s="1"/>
  <c r="A6327" i="1"/>
  <c r="V6326" i="1"/>
  <c r="B6326" i="2" s="1"/>
  <c r="A6326" i="1"/>
  <c r="V6325" i="1"/>
  <c r="B6325" i="2" s="1"/>
  <c r="A6325" i="1"/>
  <c r="V6324" i="1"/>
  <c r="B6324" i="2" s="1"/>
  <c r="A6324" i="1"/>
  <c r="V6323" i="1"/>
  <c r="B6323" i="2" s="1"/>
  <c r="A6323" i="1"/>
  <c r="V6322" i="1"/>
  <c r="B6322" i="2" s="1"/>
  <c r="A6322" i="1"/>
  <c r="V6321" i="1"/>
  <c r="B6321" i="2" s="1"/>
  <c r="A6321" i="1"/>
  <c r="V6320" i="1"/>
  <c r="B6320" i="2" s="1"/>
  <c r="A6320" i="1"/>
  <c r="V6319" i="1"/>
  <c r="B6319" i="2" s="1"/>
  <c r="A6319" i="1"/>
  <c r="V6318" i="1"/>
  <c r="B6318" i="2" s="1"/>
  <c r="A6318" i="1"/>
  <c r="V6317" i="1"/>
  <c r="B6317" i="2" s="1"/>
  <c r="A6317" i="1"/>
  <c r="V6316" i="1"/>
  <c r="B6316" i="2" s="1"/>
  <c r="A6316" i="1"/>
  <c r="V6315" i="1"/>
  <c r="B6315" i="2" s="1"/>
  <c r="A6315" i="1"/>
  <c r="V6314" i="1"/>
  <c r="B6314" i="2" s="1"/>
  <c r="A6314" i="1"/>
  <c r="V6313" i="1"/>
  <c r="B6313" i="2" s="1"/>
  <c r="A6313" i="1"/>
  <c r="V6312" i="1"/>
  <c r="B6312" i="2" s="1"/>
  <c r="A6312" i="1"/>
  <c r="V6311" i="1"/>
  <c r="B6311" i="2" s="1"/>
  <c r="A6311" i="1"/>
  <c r="V6310" i="1"/>
  <c r="B6310" i="2" s="1"/>
  <c r="A6310" i="1"/>
  <c r="V6309" i="1"/>
  <c r="B6309" i="2" s="1"/>
  <c r="A6309" i="1"/>
  <c r="V6308" i="1"/>
  <c r="B6308" i="2" s="1"/>
  <c r="A6308" i="1"/>
  <c r="V6307" i="1"/>
  <c r="B6307" i="2" s="1"/>
  <c r="A6307" i="1"/>
  <c r="V6306" i="1"/>
  <c r="B6306" i="2" s="1"/>
  <c r="A6306" i="1"/>
  <c r="V6305" i="1"/>
  <c r="B6305" i="2" s="1"/>
  <c r="A6305" i="1"/>
  <c r="V6304" i="1"/>
  <c r="B6304" i="2" s="1"/>
  <c r="A6304" i="1"/>
  <c r="V6303" i="1"/>
  <c r="B6303" i="2" s="1"/>
  <c r="A6303" i="1"/>
  <c r="V6302" i="1"/>
  <c r="B6302" i="2" s="1"/>
  <c r="A6302" i="1"/>
  <c r="V6301" i="1"/>
  <c r="B6301" i="2" s="1"/>
  <c r="A6301" i="1"/>
  <c r="V6300" i="1"/>
  <c r="B6300" i="2" s="1"/>
  <c r="A6300" i="1"/>
  <c r="V6299" i="1"/>
  <c r="B6299" i="2" s="1"/>
  <c r="A6299" i="1"/>
  <c r="V6298" i="1"/>
  <c r="B6298" i="2" s="1"/>
  <c r="A6298" i="1"/>
  <c r="V6297" i="1"/>
  <c r="B6297" i="2" s="1"/>
  <c r="A6297" i="1"/>
  <c r="V6296" i="1"/>
  <c r="B6296" i="2" s="1"/>
  <c r="A6296" i="1"/>
  <c r="V6295" i="1"/>
  <c r="B6295" i="2" s="1"/>
  <c r="A6295" i="1"/>
  <c r="V6294" i="1"/>
  <c r="B6294" i="2" s="1"/>
  <c r="A6294" i="1"/>
  <c r="V6293" i="1"/>
  <c r="B6293" i="2" s="1"/>
  <c r="A6293" i="1"/>
  <c r="V6292" i="1"/>
  <c r="B6292" i="2" s="1"/>
  <c r="A6292" i="1"/>
  <c r="V6291" i="1"/>
  <c r="B6291" i="2" s="1"/>
  <c r="A6291" i="1"/>
  <c r="V6290" i="1"/>
  <c r="B6290" i="2" s="1"/>
  <c r="A6290" i="1"/>
  <c r="V6289" i="1"/>
  <c r="B6289" i="2" s="1"/>
  <c r="A6289" i="1"/>
  <c r="V6288" i="1"/>
  <c r="B6288" i="2" s="1"/>
  <c r="A6288" i="1"/>
  <c r="V6287" i="1"/>
  <c r="B6287" i="2" s="1"/>
  <c r="A6287" i="1"/>
  <c r="V6286" i="1"/>
  <c r="B6286" i="2" s="1"/>
  <c r="A6286" i="1"/>
  <c r="V6285" i="1"/>
  <c r="B6285" i="2" s="1"/>
  <c r="A6285" i="1"/>
  <c r="V6284" i="1"/>
  <c r="B6284" i="2" s="1"/>
  <c r="A6284" i="1"/>
  <c r="V6283" i="1"/>
  <c r="B6283" i="2" s="1"/>
  <c r="A6283" i="1"/>
  <c r="V6282" i="1"/>
  <c r="B6282" i="2" s="1"/>
  <c r="A6282" i="1"/>
  <c r="V6281" i="1"/>
  <c r="B6281" i="2" s="1"/>
  <c r="A6281" i="1"/>
  <c r="V6280" i="1"/>
  <c r="B6280" i="2" s="1"/>
  <c r="A6280" i="1"/>
  <c r="V6279" i="1"/>
  <c r="B6279" i="2" s="1"/>
  <c r="A6279" i="1"/>
  <c r="V6278" i="1"/>
  <c r="B6278" i="2" s="1"/>
  <c r="A6278" i="1"/>
  <c r="V6277" i="1"/>
  <c r="B6277" i="2" s="1"/>
  <c r="A6277" i="1"/>
  <c r="V6276" i="1"/>
  <c r="B6276" i="2" s="1"/>
  <c r="A6276" i="1"/>
  <c r="V6275" i="1"/>
  <c r="B6275" i="2" s="1"/>
  <c r="A6275" i="1"/>
  <c r="V6274" i="1"/>
  <c r="B6274" i="2" s="1"/>
  <c r="A6274" i="1"/>
  <c r="V6273" i="1"/>
  <c r="B6273" i="2" s="1"/>
  <c r="A6273" i="1"/>
  <c r="V6272" i="1"/>
  <c r="B6272" i="2" s="1"/>
  <c r="A6272" i="1"/>
  <c r="V6271" i="1"/>
  <c r="B6271" i="2" s="1"/>
  <c r="A6271" i="1"/>
  <c r="V6270" i="1"/>
  <c r="B6270" i="2" s="1"/>
  <c r="A6270" i="1"/>
  <c r="V6269" i="1"/>
  <c r="B6269" i="2" s="1"/>
  <c r="A6269" i="1"/>
  <c r="V6268" i="1"/>
  <c r="B6268" i="2" s="1"/>
  <c r="A6268" i="1"/>
  <c r="V6267" i="1"/>
  <c r="B6267" i="2" s="1"/>
  <c r="A6267" i="1"/>
  <c r="V6266" i="1"/>
  <c r="B6266" i="2" s="1"/>
  <c r="A6266" i="1"/>
  <c r="V6265" i="1"/>
  <c r="B6265" i="2" s="1"/>
  <c r="A6265" i="1"/>
  <c r="V6264" i="1"/>
  <c r="B6264" i="2" s="1"/>
  <c r="A6264" i="1"/>
  <c r="V6263" i="1"/>
  <c r="B6263" i="2" s="1"/>
  <c r="A6263" i="1"/>
  <c r="V6262" i="1"/>
  <c r="B6262" i="2" s="1"/>
  <c r="A6262" i="1"/>
  <c r="V6261" i="1"/>
  <c r="B6261" i="2" s="1"/>
  <c r="A6261" i="1"/>
  <c r="V6260" i="1"/>
  <c r="B6260" i="2" s="1"/>
  <c r="A6260" i="1"/>
  <c r="V6259" i="1"/>
  <c r="B6259" i="2" s="1"/>
  <c r="A6259" i="1"/>
  <c r="V6258" i="1"/>
  <c r="B6258" i="2" s="1"/>
  <c r="A6258" i="1"/>
  <c r="V6257" i="1"/>
  <c r="B6257" i="2" s="1"/>
  <c r="A6257" i="1"/>
  <c r="V6256" i="1"/>
  <c r="B6256" i="2" s="1"/>
  <c r="A6256" i="1"/>
  <c r="V6255" i="1"/>
  <c r="B6255" i="2" s="1"/>
  <c r="A6255" i="1"/>
  <c r="V6254" i="1"/>
  <c r="B6254" i="2" s="1"/>
  <c r="A6254" i="1"/>
  <c r="V6253" i="1"/>
  <c r="B6253" i="2" s="1"/>
  <c r="A6253" i="1"/>
  <c r="V6252" i="1"/>
  <c r="B6252" i="2" s="1"/>
  <c r="A6252" i="1"/>
  <c r="V6251" i="1"/>
  <c r="B6251" i="2" s="1"/>
  <c r="A6251" i="1"/>
  <c r="V6250" i="1"/>
  <c r="B6250" i="2" s="1"/>
  <c r="A6250" i="1"/>
  <c r="V6249" i="1"/>
  <c r="B6249" i="2" s="1"/>
  <c r="A6249" i="1"/>
  <c r="V6248" i="1"/>
  <c r="B6248" i="2" s="1"/>
  <c r="A6248" i="1"/>
  <c r="V6247" i="1"/>
  <c r="B6247" i="2" s="1"/>
  <c r="A6247" i="1"/>
  <c r="V6246" i="1"/>
  <c r="B6246" i="2" s="1"/>
  <c r="A6246" i="1"/>
  <c r="V6245" i="1"/>
  <c r="B6245" i="2" s="1"/>
  <c r="A6245" i="1"/>
  <c r="V6244" i="1"/>
  <c r="B6244" i="2" s="1"/>
  <c r="A6244" i="1"/>
  <c r="V6243" i="1"/>
  <c r="B6243" i="2" s="1"/>
  <c r="A6243" i="1"/>
  <c r="V6242" i="1"/>
  <c r="B6242" i="2" s="1"/>
  <c r="A6242" i="1"/>
  <c r="V6241" i="1"/>
  <c r="B6241" i="2" s="1"/>
  <c r="A6241" i="1"/>
  <c r="V6240" i="1"/>
  <c r="B6240" i="2" s="1"/>
  <c r="A6240" i="1"/>
  <c r="V6239" i="1"/>
  <c r="B6239" i="2" s="1"/>
  <c r="A6239" i="1"/>
  <c r="V6238" i="1"/>
  <c r="B6238" i="2" s="1"/>
  <c r="A6238" i="1"/>
  <c r="V6237" i="1"/>
  <c r="B6237" i="2" s="1"/>
  <c r="A6237" i="1"/>
  <c r="V6236" i="1"/>
  <c r="B6236" i="2" s="1"/>
  <c r="A6236" i="1"/>
  <c r="V6235" i="1"/>
  <c r="B6235" i="2" s="1"/>
  <c r="A6235" i="1"/>
  <c r="V6234" i="1"/>
  <c r="B6234" i="2" s="1"/>
  <c r="A6234" i="1"/>
  <c r="V6233" i="1"/>
  <c r="B6233" i="2" s="1"/>
  <c r="A6233" i="1"/>
  <c r="V6232" i="1"/>
  <c r="B6232" i="2" s="1"/>
  <c r="A6232" i="1"/>
  <c r="V6231" i="1"/>
  <c r="B6231" i="2" s="1"/>
  <c r="A6231" i="1"/>
  <c r="V6230" i="1"/>
  <c r="B6230" i="2" s="1"/>
  <c r="A6230" i="1"/>
  <c r="V6229" i="1"/>
  <c r="B6229" i="2" s="1"/>
  <c r="A6229" i="1"/>
  <c r="V6228" i="1"/>
  <c r="B6228" i="2" s="1"/>
  <c r="A6228" i="1"/>
  <c r="V6227" i="1"/>
  <c r="B6227" i="2" s="1"/>
  <c r="A6227" i="1"/>
  <c r="V6226" i="1"/>
  <c r="B6226" i="2" s="1"/>
  <c r="A6226" i="1"/>
  <c r="V6225" i="1"/>
  <c r="B6225" i="2" s="1"/>
  <c r="A6225" i="1"/>
  <c r="V6224" i="1"/>
  <c r="B6224" i="2" s="1"/>
  <c r="A6224" i="1"/>
  <c r="V6223" i="1"/>
  <c r="B6223" i="2" s="1"/>
  <c r="A6223" i="1"/>
  <c r="V6222" i="1"/>
  <c r="B6222" i="2" s="1"/>
  <c r="A6222" i="1"/>
  <c r="V6221" i="1"/>
  <c r="B6221" i="2" s="1"/>
  <c r="A6221" i="1"/>
  <c r="V6220" i="1"/>
  <c r="B6220" i="2" s="1"/>
  <c r="A6220" i="1"/>
  <c r="V6219" i="1"/>
  <c r="B6219" i="2" s="1"/>
  <c r="A6219" i="1"/>
  <c r="V6218" i="1"/>
  <c r="B6218" i="2" s="1"/>
  <c r="A6218" i="1"/>
  <c r="V6217" i="1"/>
  <c r="B6217" i="2" s="1"/>
  <c r="A6217" i="1"/>
  <c r="V6216" i="1"/>
  <c r="B6216" i="2" s="1"/>
  <c r="A6216" i="1"/>
  <c r="V6215" i="1"/>
  <c r="B6215" i="2" s="1"/>
  <c r="A6215" i="1"/>
  <c r="V6214" i="1"/>
  <c r="B6214" i="2" s="1"/>
  <c r="A6214" i="1"/>
  <c r="V6213" i="1"/>
  <c r="B6213" i="2" s="1"/>
  <c r="A6213" i="1"/>
  <c r="V6212" i="1"/>
  <c r="B6212" i="2" s="1"/>
  <c r="A6212" i="1"/>
  <c r="V6211" i="1"/>
  <c r="B6211" i="2" s="1"/>
  <c r="A6211" i="1"/>
  <c r="V6210" i="1"/>
  <c r="B6210" i="2" s="1"/>
  <c r="A6210" i="1"/>
  <c r="V6209" i="1"/>
  <c r="B6209" i="2" s="1"/>
  <c r="A6209" i="1"/>
  <c r="V6208" i="1"/>
  <c r="B6208" i="2" s="1"/>
  <c r="A6208" i="1"/>
  <c r="V6207" i="1"/>
  <c r="B6207" i="2" s="1"/>
  <c r="A6207" i="1"/>
  <c r="V6206" i="1"/>
  <c r="B6206" i="2" s="1"/>
  <c r="A6206" i="1"/>
  <c r="V6205" i="1"/>
  <c r="B6205" i="2" s="1"/>
  <c r="A6205" i="1"/>
  <c r="V6204" i="1"/>
  <c r="B6204" i="2" s="1"/>
  <c r="A6204" i="1"/>
  <c r="V6203" i="1"/>
  <c r="B6203" i="2" s="1"/>
  <c r="A6203" i="1"/>
  <c r="V6202" i="1"/>
  <c r="B6202" i="2" s="1"/>
  <c r="A6202" i="1"/>
  <c r="V6201" i="1"/>
  <c r="B6201" i="2" s="1"/>
  <c r="A6201" i="1"/>
  <c r="V6200" i="1"/>
  <c r="B6200" i="2" s="1"/>
  <c r="A6200" i="1"/>
  <c r="V6199" i="1"/>
  <c r="B6199" i="2" s="1"/>
  <c r="A6199" i="1"/>
  <c r="V6198" i="1"/>
  <c r="B6198" i="2" s="1"/>
  <c r="A6198" i="1"/>
  <c r="V6197" i="1"/>
  <c r="B6197" i="2" s="1"/>
  <c r="A6197" i="1"/>
  <c r="V6196" i="1"/>
  <c r="B6196" i="2" s="1"/>
  <c r="A6196" i="1"/>
  <c r="V6195" i="1"/>
  <c r="B6195" i="2" s="1"/>
  <c r="A6195" i="1"/>
  <c r="V6194" i="1"/>
  <c r="B6194" i="2" s="1"/>
  <c r="A6194" i="1"/>
  <c r="V6193" i="1"/>
  <c r="B6193" i="2" s="1"/>
  <c r="A6193" i="1"/>
  <c r="V6192" i="1"/>
  <c r="B6192" i="2" s="1"/>
  <c r="A6192" i="1"/>
  <c r="V6191" i="1"/>
  <c r="B6191" i="2" s="1"/>
  <c r="A6191" i="1"/>
  <c r="V6190" i="1"/>
  <c r="B6190" i="2" s="1"/>
  <c r="A6190" i="1"/>
  <c r="V6189" i="1"/>
  <c r="B6189" i="2" s="1"/>
  <c r="A6189" i="1"/>
  <c r="V6188" i="1"/>
  <c r="B6188" i="2" s="1"/>
  <c r="A6188" i="1"/>
  <c r="V6187" i="1"/>
  <c r="B6187" i="2" s="1"/>
  <c r="A6187" i="1"/>
  <c r="V6186" i="1"/>
  <c r="B6186" i="2" s="1"/>
  <c r="A6186" i="1"/>
  <c r="V6185" i="1"/>
  <c r="B6185" i="2" s="1"/>
  <c r="A6185" i="1"/>
  <c r="V6184" i="1"/>
  <c r="B6184" i="2" s="1"/>
  <c r="A6184" i="1"/>
  <c r="V6183" i="1"/>
  <c r="B6183" i="2" s="1"/>
  <c r="A6183" i="1"/>
  <c r="V6182" i="1"/>
  <c r="B6182" i="2" s="1"/>
  <c r="A6182" i="1"/>
  <c r="V6181" i="1"/>
  <c r="B6181" i="2" s="1"/>
  <c r="A6181" i="1"/>
  <c r="V6180" i="1"/>
  <c r="B6180" i="2" s="1"/>
  <c r="A6180" i="1"/>
  <c r="V6179" i="1"/>
  <c r="B6179" i="2" s="1"/>
  <c r="A6179" i="1"/>
  <c r="V6178" i="1"/>
  <c r="B6178" i="2" s="1"/>
  <c r="A6178" i="1"/>
  <c r="V6177" i="1"/>
  <c r="B6177" i="2" s="1"/>
  <c r="A6177" i="1"/>
  <c r="V6176" i="1"/>
  <c r="B6176" i="2" s="1"/>
  <c r="A6176" i="1"/>
  <c r="V6175" i="1"/>
  <c r="B6175" i="2" s="1"/>
  <c r="A6175" i="1"/>
  <c r="V6174" i="1"/>
  <c r="B6174" i="2" s="1"/>
  <c r="A6174" i="1"/>
  <c r="V6173" i="1"/>
  <c r="B6173" i="2" s="1"/>
  <c r="A6173" i="1"/>
  <c r="V6172" i="1"/>
  <c r="B6172" i="2" s="1"/>
  <c r="A6172" i="1"/>
  <c r="V6171" i="1"/>
  <c r="B6171" i="2" s="1"/>
  <c r="A6171" i="1"/>
  <c r="V6170" i="1"/>
  <c r="B6170" i="2" s="1"/>
  <c r="A6170" i="1"/>
  <c r="V6169" i="1"/>
  <c r="B6169" i="2" s="1"/>
  <c r="A6169" i="1"/>
  <c r="V6168" i="1"/>
  <c r="B6168" i="2" s="1"/>
  <c r="A6168" i="1"/>
  <c r="V6167" i="1"/>
  <c r="B6167" i="2" s="1"/>
  <c r="A6167" i="1"/>
  <c r="V6166" i="1"/>
  <c r="B6166" i="2" s="1"/>
  <c r="A6166" i="1"/>
  <c r="V6165" i="1"/>
  <c r="B6165" i="2" s="1"/>
  <c r="A6165" i="1"/>
  <c r="V6164" i="1"/>
  <c r="B6164" i="2" s="1"/>
  <c r="A6164" i="1"/>
  <c r="V6163" i="1"/>
  <c r="B6163" i="2" s="1"/>
  <c r="A6163" i="1"/>
  <c r="V6162" i="1"/>
  <c r="B6162" i="2" s="1"/>
  <c r="A6162" i="1"/>
  <c r="V6161" i="1"/>
  <c r="B6161" i="2" s="1"/>
  <c r="A6161" i="1"/>
  <c r="V6160" i="1"/>
  <c r="B6160" i="2" s="1"/>
  <c r="A6160" i="1"/>
  <c r="V6159" i="1"/>
  <c r="B6159" i="2" s="1"/>
  <c r="A6159" i="1"/>
  <c r="V6158" i="1"/>
  <c r="B6158" i="2" s="1"/>
  <c r="A6158" i="1"/>
  <c r="V6157" i="1"/>
  <c r="B6157" i="2" s="1"/>
  <c r="A6157" i="1"/>
  <c r="V6156" i="1"/>
  <c r="B6156" i="2" s="1"/>
  <c r="A6156" i="1"/>
  <c r="V6155" i="1"/>
  <c r="B6155" i="2" s="1"/>
  <c r="A6155" i="1"/>
  <c r="V6154" i="1"/>
  <c r="B6154" i="2" s="1"/>
  <c r="A6154" i="1"/>
  <c r="V6153" i="1"/>
  <c r="B6153" i="2" s="1"/>
  <c r="A6153" i="1"/>
  <c r="V6152" i="1"/>
  <c r="B6152" i="2" s="1"/>
  <c r="A6152" i="1"/>
  <c r="V6151" i="1"/>
  <c r="B6151" i="2" s="1"/>
  <c r="A6151" i="1"/>
  <c r="V6150" i="1"/>
  <c r="B6150" i="2" s="1"/>
  <c r="A6150" i="1"/>
  <c r="V6149" i="1"/>
  <c r="B6149" i="2" s="1"/>
  <c r="A6149" i="1"/>
  <c r="V6148" i="1"/>
  <c r="B6148" i="2" s="1"/>
  <c r="A6148" i="1"/>
  <c r="V6147" i="1"/>
  <c r="B6147" i="2" s="1"/>
  <c r="A6147" i="1"/>
  <c r="V6146" i="1"/>
  <c r="B6146" i="2" s="1"/>
  <c r="A6146" i="1"/>
  <c r="V6145" i="1"/>
  <c r="B6145" i="2" s="1"/>
  <c r="A6145" i="1"/>
  <c r="V6144" i="1"/>
  <c r="B6144" i="2" s="1"/>
  <c r="A6144" i="1"/>
  <c r="V6143" i="1"/>
  <c r="B6143" i="2" s="1"/>
  <c r="A6143" i="1"/>
  <c r="V6142" i="1"/>
  <c r="B6142" i="2" s="1"/>
  <c r="A6142" i="1"/>
  <c r="V6141" i="1"/>
  <c r="B6141" i="2" s="1"/>
  <c r="A6141" i="1"/>
  <c r="V6140" i="1"/>
  <c r="B6140" i="2" s="1"/>
  <c r="A6140" i="1"/>
  <c r="V6139" i="1"/>
  <c r="B6139" i="2" s="1"/>
  <c r="A6139" i="1"/>
  <c r="V6138" i="1"/>
  <c r="B6138" i="2" s="1"/>
  <c r="A6138" i="1"/>
  <c r="V6137" i="1"/>
  <c r="B6137" i="2" s="1"/>
  <c r="A6137" i="1"/>
  <c r="V6136" i="1"/>
  <c r="B6136" i="2" s="1"/>
  <c r="A6136" i="1"/>
  <c r="V6135" i="1"/>
  <c r="B6135" i="2" s="1"/>
  <c r="A6135" i="1"/>
  <c r="V6134" i="1"/>
  <c r="B6134" i="2" s="1"/>
  <c r="A6134" i="1"/>
  <c r="V6133" i="1"/>
  <c r="B6133" i="2" s="1"/>
  <c r="A6133" i="1"/>
  <c r="V6132" i="1"/>
  <c r="B6132" i="2" s="1"/>
  <c r="A6132" i="1"/>
  <c r="V6131" i="1"/>
  <c r="B6131" i="2" s="1"/>
  <c r="A6131" i="1"/>
  <c r="V6130" i="1"/>
  <c r="B6130" i="2" s="1"/>
  <c r="A6130" i="1"/>
  <c r="V6129" i="1"/>
  <c r="B6129" i="2" s="1"/>
  <c r="A6129" i="1"/>
  <c r="V6128" i="1"/>
  <c r="B6128" i="2" s="1"/>
  <c r="A6128" i="1"/>
  <c r="V6127" i="1"/>
  <c r="B6127" i="2" s="1"/>
  <c r="A6127" i="1"/>
  <c r="V6126" i="1"/>
  <c r="B6126" i="2" s="1"/>
  <c r="A6126" i="1"/>
  <c r="V6125" i="1"/>
  <c r="B6125" i="2" s="1"/>
  <c r="A6125" i="1"/>
  <c r="V6124" i="1"/>
  <c r="B6124" i="2" s="1"/>
  <c r="A6124" i="1"/>
  <c r="V6123" i="1"/>
  <c r="B6123" i="2" s="1"/>
  <c r="A6123" i="1"/>
  <c r="V6122" i="1"/>
  <c r="B6122" i="2" s="1"/>
  <c r="A6122" i="1"/>
  <c r="V6121" i="1"/>
  <c r="B6121" i="2" s="1"/>
  <c r="A6121" i="1"/>
  <c r="V6120" i="1"/>
  <c r="B6120" i="2" s="1"/>
  <c r="A6120" i="1"/>
  <c r="V6119" i="1"/>
  <c r="B6119" i="2" s="1"/>
  <c r="A6119" i="1"/>
  <c r="V6118" i="1"/>
  <c r="B6118" i="2" s="1"/>
  <c r="A6118" i="1"/>
  <c r="V6117" i="1"/>
  <c r="B6117" i="2" s="1"/>
  <c r="A6117" i="1"/>
  <c r="V6116" i="1"/>
  <c r="B6116" i="2" s="1"/>
  <c r="A6116" i="1"/>
  <c r="V6115" i="1"/>
  <c r="B6115" i="2" s="1"/>
  <c r="A6115" i="1"/>
  <c r="V6114" i="1"/>
  <c r="B6114" i="2" s="1"/>
  <c r="A6114" i="1"/>
  <c r="V6113" i="1"/>
  <c r="B6113" i="2" s="1"/>
  <c r="A6113" i="1"/>
  <c r="V6112" i="1"/>
  <c r="B6112" i="2" s="1"/>
  <c r="A6112" i="1"/>
  <c r="V6111" i="1"/>
  <c r="B6111" i="2" s="1"/>
  <c r="A6111" i="1"/>
  <c r="V6110" i="1"/>
  <c r="B6110" i="2" s="1"/>
  <c r="A6110" i="1"/>
  <c r="V6109" i="1"/>
  <c r="B6109" i="2" s="1"/>
  <c r="A6109" i="1"/>
  <c r="V6108" i="1"/>
  <c r="B6108" i="2" s="1"/>
  <c r="A6108" i="1"/>
  <c r="V6107" i="1"/>
  <c r="B6107" i="2" s="1"/>
  <c r="A6107" i="1"/>
  <c r="V6106" i="1"/>
  <c r="B6106" i="2" s="1"/>
  <c r="A6106" i="1"/>
  <c r="V6105" i="1"/>
  <c r="B6105" i="2" s="1"/>
  <c r="A6105" i="1"/>
  <c r="V6104" i="1"/>
  <c r="B6104" i="2" s="1"/>
  <c r="A6104" i="1"/>
  <c r="V6103" i="1"/>
  <c r="B6103" i="2" s="1"/>
  <c r="A6103" i="1"/>
  <c r="V6102" i="1"/>
  <c r="B6102" i="2" s="1"/>
  <c r="A6102" i="1"/>
  <c r="V6101" i="1"/>
  <c r="B6101" i="2" s="1"/>
  <c r="A6101" i="1"/>
  <c r="V6100" i="1"/>
  <c r="B6100" i="2" s="1"/>
  <c r="A6100" i="1"/>
  <c r="V6099" i="1"/>
  <c r="B6099" i="2" s="1"/>
  <c r="A6099" i="1"/>
  <c r="V6098" i="1"/>
  <c r="B6098" i="2" s="1"/>
  <c r="A6098" i="1"/>
  <c r="V6097" i="1"/>
  <c r="B6097" i="2" s="1"/>
  <c r="A6097" i="1"/>
  <c r="V6096" i="1"/>
  <c r="B6096" i="2" s="1"/>
  <c r="A6096" i="1"/>
  <c r="V6095" i="1"/>
  <c r="B6095" i="2" s="1"/>
  <c r="A6095" i="1"/>
  <c r="V6094" i="1"/>
  <c r="B6094" i="2" s="1"/>
  <c r="A6094" i="1"/>
  <c r="V6093" i="1"/>
  <c r="B6093" i="2" s="1"/>
  <c r="A6093" i="1"/>
  <c r="V6092" i="1"/>
  <c r="B6092" i="2" s="1"/>
  <c r="A6092" i="1"/>
  <c r="V6091" i="1"/>
  <c r="B6091" i="2" s="1"/>
  <c r="A6091" i="1"/>
  <c r="V6090" i="1"/>
  <c r="B6090" i="2" s="1"/>
  <c r="A6090" i="1"/>
  <c r="V6089" i="1"/>
  <c r="B6089" i="2" s="1"/>
  <c r="A6089" i="1"/>
  <c r="V6088" i="1"/>
  <c r="B6088" i="2" s="1"/>
  <c r="A6088" i="1"/>
  <c r="V6087" i="1"/>
  <c r="B6087" i="2" s="1"/>
  <c r="A6087" i="1"/>
  <c r="V6086" i="1"/>
  <c r="B6086" i="2" s="1"/>
  <c r="A6086" i="1"/>
  <c r="V6085" i="1"/>
  <c r="B6085" i="2" s="1"/>
  <c r="A6085" i="1"/>
  <c r="V6084" i="1"/>
  <c r="B6084" i="2" s="1"/>
  <c r="A6084" i="1"/>
  <c r="V6083" i="1"/>
  <c r="B6083" i="2" s="1"/>
  <c r="A6083" i="1"/>
  <c r="V6082" i="1"/>
  <c r="B6082" i="2" s="1"/>
  <c r="A6082" i="1"/>
  <c r="V6081" i="1"/>
  <c r="B6081" i="2" s="1"/>
  <c r="A6081" i="1"/>
  <c r="V6080" i="1"/>
  <c r="B6080" i="2" s="1"/>
  <c r="A6080" i="1"/>
  <c r="V6079" i="1"/>
  <c r="B6079" i="2" s="1"/>
  <c r="A6079" i="1"/>
  <c r="V6078" i="1"/>
  <c r="B6078" i="2" s="1"/>
  <c r="A6078" i="1"/>
  <c r="V6077" i="1"/>
  <c r="B6077" i="2" s="1"/>
  <c r="A6077" i="1"/>
  <c r="V6076" i="1"/>
  <c r="B6076" i="2" s="1"/>
  <c r="A6076" i="1"/>
  <c r="V6075" i="1"/>
  <c r="B6075" i="2" s="1"/>
  <c r="A6075" i="1"/>
  <c r="V6074" i="1"/>
  <c r="B6074" i="2" s="1"/>
  <c r="A6074" i="1"/>
  <c r="V6073" i="1"/>
  <c r="B6073" i="2" s="1"/>
  <c r="A6073" i="1"/>
  <c r="V6072" i="1"/>
  <c r="B6072" i="2" s="1"/>
  <c r="A6072" i="1"/>
  <c r="V6071" i="1"/>
  <c r="B6071" i="2" s="1"/>
  <c r="A6071" i="1"/>
  <c r="V6070" i="1"/>
  <c r="B6070" i="2" s="1"/>
  <c r="A6070" i="1"/>
  <c r="V6069" i="1"/>
  <c r="B6069" i="2" s="1"/>
  <c r="A6069" i="1"/>
  <c r="V6068" i="1"/>
  <c r="B6068" i="2" s="1"/>
  <c r="A6068" i="1"/>
  <c r="V6067" i="1"/>
  <c r="B6067" i="2" s="1"/>
  <c r="A6067" i="1"/>
  <c r="V6066" i="1"/>
  <c r="B6066" i="2" s="1"/>
  <c r="A6066" i="1"/>
  <c r="V6065" i="1"/>
  <c r="B6065" i="2" s="1"/>
  <c r="A6065" i="1"/>
  <c r="V6064" i="1"/>
  <c r="B6064" i="2" s="1"/>
  <c r="A6064" i="1"/>
  <c r="V6063" i="1"/>
  <c r="B6063" i="2" s="1"/>
  <c r="A6063" i="1"/>
  <c r="V6062" i="1"/>
  <c r="B6062" i="2" s="1"/>
  <c r="A6062" i="1"/>
  <c r="V6061" i="1"/>
  <c r="B6061" i="2" s="1"/>
  <c r="A6061" i="1"/>
  <c r="V6060" i="1"/>
  <c r="B6060" i="2" s="1"/>
  <c r="A6060" i="1"/>
  <c r="V6059" i="1"/>
  <c r="B6059" i="2" s="1"/>
  <c r="A6059" i="1"/>
  <c r="V6058" i="1"/>
  <c r="B6058" i="2" s="1"/>
  <c r="A6058" i="1"/>
  <c r="V6057" i="1"/>
  <c r="B6057" i="2" s="1"/>
  <c r="A6057" i="1"/>
  <c r="V6056" i="1"/>
  <c r="B6056" i="2" s="1"/>
  <c r="A6056" i="1"/>
  <c r="V6055" i="1"/>
  <c r="B6055" i="2" s="1"/>
  <c r="A6055" i="1"/>
  <c r="V6054" i="1"/>
  <c r="B6054" i="2" s="1"/>
  <c r="A6054" i="1"/>
  <c r="V6053" i="1"/>
  <c r="B6053" i="2" s="1"/>
  <c r="A6053" i="1"/>
  <c r="V6052" i="1"/>
  <c r="B6052" i="2" s="1"/>
  <c r="A6052" i="1"/>
  <c r="V6051" i="1"/>
  <c r="B6051" i="2" s="1"/>
  <c r="A6051" i="1"/>
  <c r="V6050" i="1"/>
  <c r="B6050" i="2" s="1"/>
  <c r="A6050" i="1"/>
  <c r="V6049" i="1"/>
  <c r="B6049" i="2" s="1"/>
  <c r="A6049" i="1"/>
  <c r="V6048" i="1"/>
  <c r="B6048" i="2" s="1"/>
  <c r="A6048" i="1"/>
  <c r="V6047" i="1"/>
  <c r="B6047" i="2" s="1"/>
  <c r="A6047" i="1"/>
  <c r="V6046" i="1"/>
  <c r="B6046" i="2" s="1"/>
  <c r="A6046" i="1"/>
  <c r="V6045" i="1"/>
  <c r="B6045" i="2" s="1"/>
  <c r="A6045" i="1"/>
  <c r="V6044" i="1"/>
  <c r="B6044" i="2" s="1"/>
  <c r="A6044" i="1"/>
  <c r="V6043" i="1"/>
  <c r="B6043" i="2" s="1"/>
  <c r="A6043" i="1"/>
  <c r="V6042" i="1"/>
  <c r="B6042" i="2" s="1"/>
  <c r="A6042" i="1"/>
  <c r="V6041" i="1"/>
  <c r="B6041" i="2" s="1"/>
  <c r="A6041" i="1"/>
  <c r="V6040" i="1"/>
  <c r="B6040" i="2" s="1"/>
  <c r="A6040" i="1"/>
  <c r="V6039" i="1"/>
  <c r="B6039" i="2" s="1"/>
  <c r="A6039" i="1"/>
  <c r="V6038" i="1"/>
  <c r="B6038" i="2" s="1"/>
  <c r="A6038" i="1"/>
  <c r="V6037" i="1"/>
  <c r="B6037" i="2" s="1"/>
  <c r="A6037" i="1"/>
  <c r="V6036" i="1"/>
  <c r="B6036" i="2" s="1"/>
  <c r="A6036" i="1"/>
  <c r="V6035" i="1"/>
  <c r="B6035" i="2" s="1"/>
  <c r="A6035" i="1"/>
  <c r="V6034" i="1"/>
  <c r="B6034" i="2" s="1"/>
  <c r="A6034" i="1"/>
  <c r="V6033" i="1"/>
  <c r="B6033" i="2" s="1"/>
  <c r="A6033" i="1"/>
  <c r="V6032" i="1"/>
  <c r="B6032" i="2" s="1"/>
  <c r="A6032" i="1"/>
  <c r="V6031" i="1"/>
  <c r="B6031" i="2" s="1"/>
  <c r="A6031" i="1"/>
  <c r="V6030" i="1"/>
  <c r="B6030" i="2" s="1"/>
  <c r="A6030" i="1"/>
  <c r="V6029" i="1"/>
  <c r="B6029" i="2" s="1"/>
  <c r="A6029" i="1"/>
  <c r="V6028" i="1"/>
  <c r="B6028" i="2" s="1"/>
  <c r="A6028" i="1"/>
  <c r="V6027" i="1"/>
  <c r="B6027" i="2" s="1"/>
  <c r="A6027" i="1"/>
  <c r="V6026" i="1"/>
  <c r="B6026" i="2" s="1"/>
  <c r="A6026" i="1"/>
  <c r="V6025" i="1"/>
  <c r="B6025" i="2" s="1"/>
  <c r="A6025" i="1"/>
  <c r="V6024" i="1"/>
  <c r="B6024" i="2" s="1"/>
  <c r="A6024" i="1"/>
  <c r="V6023" i="1"/>
  <c r="B6023" i="2" s="1"/>
  <c r="A6023" i="1"/>
  <c r="V6022" i="1"/>
  <c r="B6022" i="2" s="1"/>
  <c r="A6022" i="1"/>
  <c r="V6021" i="1"/>
  <c r="B6021" i="2" s="1"/>
  <c r="A6021" i="1"/>
  <c r="V6020" i="1"/>
  <c r="B6020" i="2" s="1"/>
  <c r="A6020" i="1"/>
  <c r="V6019" i="1"/>
  <c r="B6019" i="2" s="1"/>
  <c r="A6019" i="1"/>
  <c r="V6018" i="1"/>
  <c r="B6018" i="2" s="1"/>
  <c r="A6018" i="1"/>
  <c r="V6017" i="1"/>
  <c r="B6017" i="2" s="1"/>
  <c r="A6017" i="1"/>
  <c r="V6016" i="1"/>
  <c r="B6016" i="2" s="1"/>
  <c r="A6016" i="1"/>
  <c r="V6015" i="1"/>
  <c r="B6015" i="2" s="1"/>
  <c r="A6015" i="1"/>
  <c r="V6014" i="1"/>
  <c r="B6014" i="2" s="1"/>
  <c r="A6014" i="1"/>
  <c r="V6013" i="1"/>
  <c r="B6013" i="2" s="1"/>
  <c r="A6013" i="1"/>
  <c r="V6012" i="1"/>
  <c r="B6012" i="2" s="1"/>
  <c r="A6012" i="1"/>
  <c r="V6011" i="1"/>
  <c r="B6011" i="2" s="1"/>
  <c r="A6011" i="1"/>
  <c r="V6010" i="1"/>
  <c r="B6010" i="2" s="1"/>
  <c r="A6010" i="1"/>
  <c r="V6009" i="1"/>
  <c r="B6009" i="2" s="1"/>
  <c r="A6009" i="1"/>
  <c r="V6008" i="1"/>
  <c r="B6008" i="2" s="1"/>
  <c r="A6008" i="1"/>
  <c r="V6007" i="1"/>
  <c r="B6007" i="2" s="1"/>
  <c r="A6007" i="1"/>
  <c r="V6006" i="1"/>
  <c r="B6006" i="2" s="1"/>
  <c r="A6006" i="1"/>
  <c r="V6005" i="1"/>
  <c r="B6005" i="2" s="1"/>
  <c r="A6005" i="1"/>
  <c r="V6004" i="1"/>
  <c r="B6004" i="2" s="1"/>
  <c r="A6004" i="1"/>
  <c r="V6003" i="1"/>
  <c r="B6003" i="2" s="1"/>
  <c r="A6003" i="1"/>
  <c r="V6002" i="1"/>
  <c r="B6002" i="2" s="1"/>
  <c r="A6002" i="1"/>
  <c r="V6001" i="1"/>
  <c r="B6001" i="2" s="1"/>
  <c r="A6001" i="1"/>
  <c r="V6000" i="1"/>
  <c r="B6000" i="2" s="1"/>
  <c r="A6000" i="1"/>
  <c r="V5999" i="1"/>
  <c r="B5999" i="2" s="1"/>
  <c r="A5999" i="1"/>
  <c r="V5998" i="1"/>
  <c r="B5998" i="2" s="1"/>
  <c r="A5998" i="1"/>
  <c r="V5997" i="1"/>
  <c r="B5997" i="2" s="1"/>
  <c r="A5997" i="1"/>
  <c r="V5996" i="1"/>
  <c r="B5996" i="2" s="1"/>
  <c r="A5996" i="1"/>
  <c r="V5995" i="1"/>
  <c r="B5995" i="2" s="1"/>
  <c r="A5995" i="1"/>
  <c r="V5994" i="1"/>
  <c r="B5994" i="2" s="1"/>
  <c r="A5994" i="1"/>
  <c r="V5993" i="1"/>
  <c r="B5993" i="2" s="1"/>
  <c r="A5993" i="1"/>
  <c r="V5992" i="1"/>
  <c r="B5992" i="2" s="1"/>
  <c r="A5992" i="1"/>
  <c r="V5991" i="1"/>
  <c r="B5991" i="2" s="1"/>
  <c r="A5991" i="1"/>
  <c r="V5990" i="1"/>
  <c r="B5990" i="2" s="1"/>
  <c r="A5990" i="1"/>
  <c r="V5989" i="1"/>
  <c r="B5989" i="2" s="1"/>
  <c r="A5989" i="1"/>
  <c r="V5988" i="1"/>
  <c r="B5988" i="2" s="1"/>
  <c r="A5988" i="1"/>
  <c r="V5987" i="1"/>
  <c r="B5987" i="2" s="1"/>
  <c r="A5987" i="1"/>
  <c r="V5986" i="1"/>
  <c r="B5986" i="2" s="1"/>
  <c r="A5986" i="1"/>
  <c r="V5985" i="1"/>
  <c r="B5985" i="2" s="1"/>
  <c r="A5985" i="1"/>
  <c r="V5984" i="1"/>
  <c r="B5984" i="2" s="1"/>
  <c r="A5984" i="1"/>
  <c r="V5983" i="1"/>
  <c r="B5983" i="2" s="1"/>
  <c r="A5983" i="1"/>
  <c r="V5982" i="1"/>
  <c r="B5982" i="2" s="1"/>
  <c r="A5982" i="1"/>
  <c r="V5981" i="1"/>
  <c r="B5981" i="2" s="1"/>
  <c r="A5981" i="1"/>
  <c r="V5980" i="1"/>
  <c r="B5980" i="2" s="1"/>
  <c r="A5980" i="1"/>
  <c r="V5979" i="1"/>
  <c r="B5979" i="2" s="1"/>
  <c r="A5979" i="1"/>
  <c r="V5978" i="1"/>
  <c r="B5978" i="2" s="1"/>
  <c r="A5978" i="1"/>
  <c r="V5977" i="1"/>
  <c r="B5977" i="2" s="1"/>
  <c r="A5977" i="1"/>
  <c r="V5976" i="1"/>
  <c r="B5976" i="2" s="1"/>
  <c r="A5976" i="1"/>
  <c r="V5975" i="1"/>
  <c r="B5975" i="2" s="1"/>
  <c r="A5975" i="1"/>
  <c r="V5974" i="1"/>
  <c r="B5974" i="2" s="1"/>
  <c r="A5974" i="1"/>
  <c r="V5973" i="1"/>
  <c r="B5973" i="2" s="1"/>
  <c r="A5973" i="1"/>
  <c r="V5972" i="1"/>
  <c r="B5972" i="2" s="1"/>
  <c r="A5972" i="1"/>
  <c r="V5971" i="1"/>
  <c r="B5971" i="2" s="1"/>
  <c r="A5971" i="1"/>
  <c r="V5970" i="1"/>
  <c r="B5970" i="2" s="1"/>
  <c r="A5970" i="1"/>
  <c r="V5969" i="1"/>
  <c r="B5969" i="2" s="1"/>
  <c r="A5969" i="1"/>
  <c r="V5968" i="1"/>
  <c r="B5968" i="2" s="1"/>
  <c r="A5968" i="1"/>
  <c r="V5967" i="1"/>
  <c r="B5967" i="2" s="1"/>
  <c r="A5967" i="1"/>
  <c r="V5966" i="1"/>
  <c r="B5966" i="2" s="1"/>
  <c r="A5966" i="1"/>
  <c r="V5965" i="1"/>
  <c r="B5965" i="2" s="1"/>
  <c r="A5965" i="1"/>
  <c r="V5964" i="1"/>
  <c r="B5964" i="2" s="1"/>
  <c r="A5964" i="1"/>
  <c r="V5963" i="1"/>
  <c r="B5963" i="2" s="1"/>
  <c r="A5963" i="1"/>
  <c r="V5962" i="1"/>
  <c r="B5962" i="2" s="1"/>
  <c r="A5962" i="1"/>
  <c r="V5961" i="1"/>
  <c r="B5961" i="2" s="1"/>
  <c r="A5961" i="1"/>
  <c r="V5960" i="1"/>
  <c r="B5960" i="2" s="1"/>
  <c r="A5960" i="1"/>
  <c r="V5959" i="1"/>
  <c r="B5959" i="2" s="1"/>
  <c r="A5959" i="1"/>
  <c r="V5958" i="1"/>
  <c r="B5958" i="2" s="1"/>
  <c r="A5958" i="1"/>
  <c r="V5957" i="1"/>
  <c r="B5957" i="2" s="1"/>
  <c r="A5957" i="1"/>
  <c r="V5956" i="1"/>
  <c r="B5956" i="2" s="1"/>
  <c r="A5956" i="1"/>
  <c r="V5955" i="1"/>
  <c r="B5955" i="2" s="1"/>
  <c r="A5955" i="1"/>
  <c r="V5954" i="1"/>
  <c r="B5954" i="2" s="1"/>
  <c r="A5954" i="1"/>
  <c r="V5953" i="1"/>
  <c r="B5953" i="2" s="1"/>
  <c r="A5953" i="1"/>
  <c r="V5952" i="1"/>
  <c r="B5952" i="2" s="1"/>
  <c r="A5952" i="1"/>
  <c r="V5951" i="1"/>
  <c r="B5951" i="2" s="1"/>
  <c r="A5951" i="1"/>
  <c r="V5950" i="1"/>
  <c r="B5950" i="2" s="1"/>
  <c r="A5950" i="1"/>
  <c r="V5949" i="1"/>
  <c r="B5949" i="2" s="1"/>
  <c r="A5949" i="1"/>
  <c r="V5948" i="1"/>
  <c r="B5948" i="2" s="1"/>
  <c r="A5948" i="1"/>
  <c r="V5947" i="1"/>
  <c r="B5947" i="2" s="1"/>
  <c r="A5947" i="1"/>
  <c r="V5946" i="1"/>
  <c r="B5946" i="2" s="1"/>
  <c r="A5946" i="1"/>
  <c r="V5945" i="1"/>
  <c r="B5945" i="2" s="1"/>
  <c r="A5945" i="1"/>
  <c r="V5944" i="1"/>
  <c r="B5944" i="2" s="1"/>
  <c r="A5944" i="1"/>
  <c r="V5943" i="1"/>
  <c r="B5943" i="2" s="1"/>
  <c r="A5943" i="1"/>
  <c r="V5942" i="1"/>
  <c r="B5942" i="2" s="1"/>
  <c r="A5942" i="1"/>
  <c r="V5941" i="1"/>
  <c r="B5941" i="2" s="1"/>
  <c r="A5941" i="1"/>
  <c r="V5940" i="1"/>
  <c r="B5940" i="2" s="1"/>
  <c r="A5940" i="1"/>
  <c r="V5939" i="1"/>
  <c r="B5939" i="2" s="1"/>
  <c r="A5939" i="1"/>
  <c r="V5938" i="1"/>
  <c r="B5938" i="2" s="1"/>
  <c r="A5938" i="1"/>
  <c r="V5937" i="1"/>
  <c r="B5937" i="2" s="1"/>
  <c r="A5937" i="1"/>
  <c r="V5936" i="1"/>
  <c r="B5936" i="2" s="1"/>
  <c r="A5936" i="1"/>
  <c r="V5935" i="1"/>
  <c r="B5935" i="2" s="1"/>
  <c r="A5935" i="1"/>
  <c r="V5934" i="1"/>
  <c r="B5934" i="2" s="1"/>
  <c r="A5934" i="1"/>
  <c r="V5933" i="1"/>
  <c r="B5933" i="2" s="1"/>
  <c r="A5933" i="1"/>
  <c r="V5932" i="1"/>
  <c r="B5932" i="2" s="1"/>
  <c r="A5932" i="1"/>
  <c r="V5931" i="1"/>
  <c r="B5931" i="2" s="1"/>
  <c r="A5931" i="1"/>
  <c r="V5930" i="1"/>
  <c r="B5930" i="2" s="1"/>
  <c r="A5930" i="1"/>
  <c r="V5929" i="1"/>
  <c r="B5929" i="2" s="1"/>
  <c r="A5929" i="1"/>
  <c r="V5928" i="1"/>
  <c r="B5928" i="2" s="1"/>
  <c r="A5928" i="1"/>
  <c r="V5927" i="1"/>
  <c r="B5927" i="2" s="1"/>
  <c r="A5927" i="1"/>
  <c r="V5926" i="1"/>
  <c r="B5926" i="2" s="1"/>
  <c r="A5926" i="1"/>
  <c r="V5925" i="1"/>
  <c r="B5925" i="2" s="1"/>
  <c r="A5925" i="1"/>
  <c r="V5924" i="1"/>
  <c r="B5924" i="2" s="1"/>
  <c r="A5924" i="1"/>
  <c r="V5923" i="1"/>
  <c r="B5923" i="2" s="1"/>
  <c r="A5923" i="1"/>
  <c r="V5922" i="1"/>
  <c r="B5922" i="2" s="1"/>
  <c r="A5922" i="1"/>
  <c r="V5921" i="1"/>
  <c r="B5921" i="2" s="1"/>
  <c r="A5921" i="1"/>
  <c r="V5920" i="1"/>
  <c r="B5920" i="2" s="1"/>
  <c r="A5920" i="1"/>
  <c r="V5919" i="1"/>
  <c r="B5919" i="2" s="1"/>
  <c r="A5919" i="1"/>
  <c r="V5918" i="1"/>
  <c r="B5918" i="2" s="1"/>
  <c r="A5918" i="1"/>
  <c r="V5917" i="1"/>
  <c r="B5917" i="2" s="1"/>
  <c r="A5917" i="1"/>
  <c r="V5916" i="1"/>
  <c r="B5916" i="2" s="1"/>
  <c r="A5916" i="1"/>
  <c r="V5915" i="1"/>
  <c r="B5915" i="2" s="1"/>
  <c r="A5915" i="1"/>
  <c r="V5914" i="1"/>
  <c r="B5914" i="2" s="1"/>
  <c r="A5914" i="1"/>
  <c r="V5913" i="1"/>
  <c r="B5913" i="2" s="1"/>
  <c r="A5913" i="1"/>
  <c r="V5912" i="1"/>
  <c r="B5912" i="2" s="1"/>
  <c r="A5912" i="1"/>
  <c r="V5911" i="1"/>
  <c r="B5911" i="2" s="1"/>
  <c r="A5911" i="1"/>
  <c r="V5910" i="1"/>
  <c r="B5910" i="2" s="1"/>
  <c r="A5910" i="1"/>
  <c r="V5909" i="1"/>
  <c r="B5909" i="2" s="1"/>
  <c r="A5909" i="1"/>
  <c r="V5908" i="1"/>
  <c r="B5908" i="2" s="1"/>
  <c r="A5908" i="1"/>
  <c r="V5907" i="1"/>
  <c r="B5907" i="2" s="1"/>
  <c r="A5907" i="1"/>
  <c r="V5906" i="1"/>
  <c r="B5906" i="2" s="1"/>
  <c r="A5906" i="1"/>
  <c r="V5905" i="1"/>
  <c r="B5905" i="2" s="1"/>
  <c r="A5905" i="1"/>
  <c r="V5904" i="1"/>
  <c r="B5904" i="2" s="1"/>
  <c r="A5904" i="1"/>
  <c r="V5903" i="1"/>
  <c r="B5903" i="2" s="1"/>
  <c r="A5903" i="1"/>
  <c r="V5902" i="1"/>
  <c r="B5902" i="2" s="1"/>
  <c r="A5902" i="1"/>
  <c r="V5901" i="1"/>
  <c r="B5901" i="2" s="1"/>
  <c r="A5901" i="1"/>
  <c r="V5900" i="1"/>
  <c r="B5900" i="2" s="1"/>
  <c r="A5900" i="1"/>
  <c r="V5899" i="1"/>
  <c r="B5899" i="2" s="1"/>
  <c r="A5899" i="1"/>
  <c r="V5898" i="1"/>
  <c r="B5898" i="2" s="1"/>
  <c r="A5898" i="1"/>
  <c r="V5897" i="1"/>
  <c r="B5897" i="2" s="1"/>
  <c r="A5897" i="1"/>
  <c r="V5896" i="1"/>
  <c r="B5896" i="2" s="1"/>
  <c r="A5896" i="1"/>
  <c r="V5895" i="1"/>
  <c r="B5895" i="2" s="1"/>
  <c r="A5895" i="1"/>
  <c r="V5894" i="1"/>
  <c r="B5894" i="2" s="1"/>
  <c r="A5894" i="1"/>
  <c r="V5893" i="1"/>
  <c r="B5893" i="2" s="1"/>
  <c r="A5893" i="1"/>
  <c r="V5892" i="1"/>
  <c r="B5892" i="2" s="1"/>
  <c r="A5892" i="1"/>
  <c r="V5891" i="1"/>
  <c r="B5891" i="2" s="1"/>
  <c r="A5891" i="1"/>
  <c r="V5890" i="1"/>
  <c r="B5890" i="2" s="1"/>
  <c r="A5890" i="1"/>
  <c r="V5889" i="1"/>
  <c r="B5889" i="2" s="1"/>
  <c r="A5889" i="1"/>
  <c r="V5888" i="1"/>
  <c r="B5888" i="2" s="1"/>
  <c r="A5888" i="1"/>
  <c r="V5887" i="1"/>
  <c r="B5887" i="2" s="1"/>
  <c r="A5887" i="1"/>
  <c r="V5886" i="1"/>
  <c r="B5886" i="2" s="1"/>
  <c r="A5886" i="1"/>
  <c r="V5885" i="1"/>
  <c r="B5885" i="2" s="1"/>
  <c r="A5885" i="1"/>
  <c r="V5884" i="1"/>
  <c r="B5884" i="2" s="1"/>
  <c r="A5884" i="1"/>
  <c r="V5883" i="1"/>
  <c r="B5883" i="2" s="1"/>
  <c r="A5883" i="1"/>
  <c r="V5882" i="1"/>
  <c r="B5882" i="2" s="1"/>
  <c r="A5882" i="1"/>
  <c r="V5881" i="1"/>
  <c r="B5881" i="2" s="1"/>
  <c r="A5881" i="1"/>
  <c r="V5880" i="1"/>
  <c r="B5880" i="2" s="1"/>
  <c r="A5880" i="1"/>
  <c r="V5879" i="1"/>
  <c r="B5879" i="2" s="1"/>
  <c r="A5879" i="1"/>
  <c r="V5878" i="1"/>
  <c r="B5878" i="2" s="1"/>
  <c r="A5878" i="1"/>
  <c r="V5877" i="1"/>
  <c r="B5877" i="2" s="1"/>
  <c r="A5877" i="1"/>
  <c r="V5876" i="1"/>
  <c r="B5876" i="2" s="1"/>
  <c r="A5876" i="1"/>
  <c r="V5875" i="1"/>
  <c r="B5875" i="2" s="1"/>
  <c r="A5875" i="1"/>
  <c r="V5874" i="1"/>
  <c r="B5874" i="2" s="1"/>
  <c r="A5874" i="1"/>
  <c r="V5873" i="1"/>
  <c r="B5873" i="2" s="1"/>
  <c r="A5873" i="1"/>
  <c r="V5872" i="1"/>
  <c r="B5872" i="2" s="1"/>
  <c r="A5872" i="1"/>
  <c r="V5871" i="1"/>
  <c r="B5871" i="2" s="1"/>
  <c r="A5871" i="1"/>
  <c r="V5870" i="1"/>
  <c r="B5870" i="2" s="1"/>
  <c r="A5870" i="1"/>
  <c r="V5869" i="1"/>
  <c r="B5869" i="2" s="1"/>
  <c r="A5869" i="1"/>
  <c r="V5868" i="1"/>
  <c r="B5868" i="2" s="1"/>
  <c r="A5868" i="1"/>
  <c r="V5867" i="1"/>
  <c r="B5867" i="2" s="1"/>
  <c r="A5867" i="1"/>
  <c r="V5866" i="1"/>
  <c r="B5866" i="2" s="1"/>
  <c r="A5866" i="1"/>
  <c r="V5865" i="1"/>
  <c r="B5865" i="2" s="1"/>
  <c r="A5865" i="1"/>
  <c r="V5864" i="1"/>
  <c r="B5864" i="2" s="1"/>
  <c r="A5864" i="1"/>
  <c r="V5863" i="1"/>
  <c r="B5863" i="2" s="1"/>
  <c r="A5863" i="1"/>
  <c r="V5862" i="1"/>
  <c r="B5862" i="2" s="1"/>
  <c r="A5862" i="1"/>
  <c r="V5861" i="1"/>
  <c r="B5861" i="2" s="1"/>
  <c r="A5861" i="1"/>
  <c r="V5860" i="1"/>
  <c r="B5860" i="2" s="1"/>
  <c r="A5860" i="1"/>
  <c r="V5859" i="1"/>
  <c r="B5859" i="2" s="1"/>
  <c r="A5859" i="1"/>
  <c r="V5858" i="1"/>
  <c r="B5858" i="2" s="1"/>
  <c r="A5858" i="1"/>
  <c r="V5857" i="1"/>
  <c r="B5857" i="2" s="1"/>
  <c r="A5857" i="1"/>
  <c r="V5856" i="1"/>
  <c r="B5856" i="2" s="1"/>
  <c r="A5856" i="1"/>
  <c r="V5855" i="1"/>
  <c r="B5855" i="2" s="1"/>
  <c r="A5855" i="1"/>
  <c r="V5854" i="1"/>
  <c r="B5854" i="2" s="1"/>
  <c r="A5854" i="1"/>
  <c r="V5853" i="1"/>
  <c r="B5853" i="2" s="1"/>
  <c r="A5853" i="1"/>
  <c r="V5852" i="1"/>
  <c r="B5852" i="2" s="1"/>
  <c r="A5852" i="1"/>
  <c r="V5851" i="1"/>
  <c r="B5851" i="2" s="1"/>
  <c r="A5851" i="1"/>
  <c r="V5850" i="1"/>
  <c r="B5850" i="2" s="1"/>
  <c r="A5850" i="1"/>
  <c r="V5849" i="1"/>
  <c r="B5849" i="2" s="1"/>
  <c r="A5849" i="1"/>
  <c r="V5848" i="1"/>
  <c r="B5848" i="2" s="1"/>
  <c r="A5848" i="1"/>
  <c r="V5847" i="1"/>
  <c r="B5847" i="2" s="1"/>
  <c r="A5847" i="1"/>
  <c r="V5846" i="1"/>
  <c r="B5846" i="2" s="1"/>
  <c r="A5846" i="1"/>
  <c r="V5845" i="1"/>
  <c r="B5845" i="2" s="1"/>
  <c r="A5845" i="1"/>
  <c r="V5844" i="1"/>
  <c r="B5844" i="2" s="1"/>
  <c r="A5844" i="1"/>
  <c r="V5843" i="1"/>
  <c r="B5843" i="2" s="1"/>
  <c r="A5843" i="1"/>
  <c r="V5842" i="1"/>
  <c r="B5842" i="2" s="1"/>
  <c r="A5842" i="1"/>
  <c r="V5841" i="1"/>
  <c r="B5841" i="2" s="1"/>
  <c r="A5841" i="1"/>
  <c r="V5840" i="1"/>
  <c r="B5840" i="2" s="1"/>
  <c r="A5840" i="1"/>
  <c r="V5839" i="1"/>
  <c r="B5839" i="2" s="1"/>
  <c r="A5839" i="1"/>
  <c r="V5838" i="1"/>
  <c r="B5838" i="2" s="1"/>
  <c r="A5838" i="1"/>
  <c r="V5837" i="1"/>
  <c r="B5837" i="2" s="1"/>
  <c r="A5837" i="1"/>
  <c r="V5836" i="1"/>
  <c r="B5836" i="2" s="1"/>
  <c r="A5836" i="1"/>
  <c r="V5835" i="1"/>
  <c r="B5835" i="2" s="1"/>
  <c r="A5835" i="1"/>
  <c r="V5834" i="1"/>
  <c r="B5834" i="2" s="1"/>
  <c r="A5834" i="1"/>
  <c r="V5833" i="1"/>
  <c r="B5833" i="2" s="1"/>
  <c r="A5833" i="1"/>
  <c r="V5832" i="1"/>
  <c r="B5832" i="2" s="1"/>
  <c r="A5832" i="1"/>
  <c r="V5831" i="1"/>
  <c r="B5831" i="2" s="1"/>
  <c r="A5831" i="1"/>
  <c r="V5830" i="1"/>
  <c r="B5830" i="2" s="1"/>
  <c r="A5830" i="1"/>
  <c r="V5829" i="1"/>
  <c r="B5829" i="2" s="1"/>
  <c r="A5829" i="1"/>
  <c r="V5828" i="1"/>
  <c r="B5828" i="2" s="1"/>
  <c r="A5828" i="1"/>
  <c r="V5827" i="1"/>
  <c r="B5827" i="2" s="1"/>
  <c r="A5827" i="1"/>
  <c r="V5826" i="1"/>
  <c r="B5826" i="2" s="1"/>
  <c r="A5826" i="1"/>
  <c r="V5825" i="1"/>
  <c r="B5825" i="2" s="1"/>
  <c r="A5825" i="1"/>
  <c r="V5824" i="1"/>
  <c r="B5824" i="2" s="1"/>
  <c r="A5824" i="1"/>
  <c r="V5823" i="1"/>
  <c r="B5823" i="2" s="1"/>
  <c r="A5823" i="1"/>
  <c r="V5822" i="1"/>
  <c r="B5822" i="2" s="1"/>
  <c r="A5822" i="1"/>
  <c r="V5821" i="1"/>
  <c r="B5821" i="2" s="1"/>
  <c r="A5821" i="1"/>
  <c r="V5820" i="1"/>
  <c r="B5820" i="2" s="1"/>
  <c r="A5820" i="1"/>
  <c r="V5819" i="1"/>
  <c r="B5819" i="2" s="1"/>
  <c r="A5819" i="1"/>
  <c r="V5818" i="1"/>
  <c r="B5818" i="2" s="1"/>
  <c r="A5818" i="1"/>
  <c r="V5817" i="1"/>
  <c r="B5817" i="2" s="1"/>
  <c r="A5817" i="1"/>
  <c r="V5816" i="1"/>
  <c r="B5816" i="2" s="1"/>
  <c r="A5816" i="1"/>
  <c r="V5815" i="1"/>
  <c r="B5815" i="2" s="1"/>
  <c r="A5815" i="1"/>
  <c r="V5814" i="1"/>
  <c r="B5814" i="2" s="1"/>
  <c r="A5814" i="1"/>
  <c r="V5813" i="1"/>
  <c r="B5813" i="2" s="1"/>
  <c r="A5813" i="1"/>
  <c r="V5812" i="1"/>
  <c r="B5812" i="2" s="1"/>
  <c r="A5812" i="1"/>
  <c r="V5811" i="1"/>
  <c r="B5811" i="2" s="1"/>
  <c r="A5811" i="1"/>
  <c r="V5810" i="1"/>
  <c r="B5810" i="2" s="1"/>
  <c r="A5810" i="1"/>
  <c r="V5809" i="1"/>
  <c r="B5809" i="2" s="1"/>
  <c r="A5809" i="1"/>
  <c r="V5808" i="1"/>
  <c r="B5808" i="2" s="1"/>
  <c r="A5808" i="1"/>
  <c r="V5807" i="1"/>
  <c r="B5807" i="2" s="1"/>
  <c r="A5807" i="1"/>
  <c r="V5806" i="1"/>
  <c r="B5806" i="2" s="1"/>
  <c r="A5806" i="1"/>
  <c r="V5805" i="1"/>
  <c r="B5805" i="2" s="1"/>
  <c r="A5805" i="1"/>
  <c r="V5804" i="1"/>
  <c r="B5804" i="2" s="1"/>
  <c r="A5804" i="1"/>
  <c r="V5803" i="1"/>
  <c r="B5803" i="2" s="1"/>
  <c r="A5803" i="1"/>
  <c r="V5802" i="1"/>
  <c r="B5802" i="2" s="1"/>
  <c r="A5802" i="1"/>
  <c r="V5801" i="1"/>
  <c r="B5801" i="2" s="1"/>
  <c r="A5801" i="1"/>
  <c r="V5800" i="1"/>
  <c r="B5800" i="2" s="1"/>
  <c r="A5800" i="1"/>
  <c r="V5799" i="1"/>
  <c r="B5799" i="2" s="1"/>
  <c r="A5799" i="1"/>
  <c r="V5798" i="1"/>
  <c r="B5798" i="2" s="1"/>
  <c r="A5798" i="1"/>
  <c r="V5797" i="1"/>
  <c r="B5797" i="2" s="1"/>
  <c r="A5797" i="1"/>
  <c r="V5796" i="1"/>
  <c r="B5796" i="2" s="1"/>
  <c r="A5796" i="1"/>
  <c r="V5795" i="1"/>
  <c r="B5795" i="2" s="1"/>
  <c r="A5795" i="1"/>
  <c r="V5794" i="1"/>
  <c r="B5794" i="2" s="1"/>
  <c r="A5794" i="1"/>
  <c r="V5793" i="1"/>
  <c r="B5793" i="2" s="1"/>
  <c r="A5793" i="1"/>
  <c r="V5792" i="1"/>
  <c r="B5792" i="2" s="1"/>
  <c r="A5792" i="1"/>
  <c r="V5791" i="1"/>
  <c r="B5791" i="2" s="1"/>
  <c r="A5791" i="1"/>
  <c r="V5790" i="1"/>
  <c r="B5790" i="2" s="1"/>
  <c r="A5790" i="1"/>
  <c r="V5789" i="1"/>
  <c r="B5789" i="2" s="1"/>
  <c r="A5789" i="1"/>
  <c r="V5788" i="1"/>
  <c r="B5788" i="2" s="1"/>
  <c r="A5788" i="1"/>
  <c r="V5787" i="1"/>
  <c r="B5787" i="2" s="1"/>
  <c r="A5787" i="1"/>
  <c r="V5786" i="1"/>
  <c r="B5786" i="2" s="1"/>
  <c r="A5786" i="1"/>
  <c r="V5785" i="1"/>
  <c r="B5785" i="2" s="1"/>
  <c r="A5785" i="1"/>
  <c r="V5784" i="1"/>
  <c r="B5784" i="2" s="1"/>
  <c r="A5784" i="1"/>
  <c r="V5783" i="1"/>
  <c r="B5783" i="2" s="1"/>
  <c r="A5783" i="1"/>
  <c r="V5782" i="1"/>
  <c r="B5782" i="2" s="1"/>
  <c r="A5782" i="1"/>
  <c r="V5781" i="1"/>
  <c r="B5781" i="2" s="1"/>
  <c r="A5781" i="1"/>
  <c r="V5780" i="1"/>
  <c r="B5780" i="2" s="1"/>
  <c r="A5780" i="1"/>
  <c r="V5779" i="1"/>
  <c r="B5779" i="2" s="1"/>
  <c r="A5779" i="1"/>
  <c r="V5778" i="1"/>
  <c r="B5778" i="2" s="1"/>
  <c r="A5778" i="1"/>
  <c r="V5777" i="1"/>
  <c r="B5777" i="2" s="1"/>
  <c r="A5777" i="1"/>
  <c r="V5776" i="1"/>
  <c r="B5776" i="2" s="1"/>
  <c r="A5776" i="1"/>
  <c r="V5775" i="1"/>
  <c r="B5775" i="2" s="1"/>
  <c r="A5775" i="1"/>
  <c r="V5774" i="1"/>
  <c r="B5774" i="2" s="1"/>
  <c r="A5774" i="1"/>
  <c r="V5773" i="1"/>
  <c r="B5773" i="2" s="1"/>
  <c r="A5773" i="1"/>
  <c r="V5772" i="1"/>
  <c r="B5772" i="2" s="1"/>
  <c r="A5772" i="1"/>
  <c r="V5771" i="1"/>
  <c r="B5771" i="2" s="1"/>
  <c r="A5771" i="1"/>
  <c r="V5770" i="1"/>
  <c r="B5770" i="2" s="1"/>
  <c r="A5770" i="1"/>
  <c r="V5769" i="1"/>
  <c r="B5769" i="2" s="1"/>
  <c r="A5769" i="1"/>
  <c r="V5768" i="1"/>
  <c r="B5768" i="2" s="1"/>
  <c r="A5768" i="1"/>
  <c r="V5767" i="1"/>
  <c r="B5767" i="2" s="1"/>
  <c r="A5767" i="1"/>
  <c r="V5766" i="1"/>
  <c r="B5766" i="2" s="1"/>
  <c r="A5766" i="1"/>
  <c r="V5765" i="1"/>
  <c r="B5765" i="2" s="1"/>
  <c r="A5765" i="1"/>
  <c r="V5764" i="1"/>
  <c r="B5764" i="2" s="1"/>
  <c r="A5764" i="1"/>
  <c r="V5763" i="1"/>
  <c r="B5763" i="2" s="1"/>
  <c r="A5763" i="1"/>
  <c r="V5762" i="1"/>
  <c r="B5762" i="2" s="1"/>
  <c r="A5762" i="1"/>
  <c r="V5761" i="1"/>
  <c r="B5761" i="2" s="1"/>
  <c r="A5761" i="1"/>
  <c r="V5760" i="1"/>
  <c r="B5760" i="2" s="1"/>
  <c r="A5760" i="1"/>
  <c r="V5759" i="1"/>
  <c r="B5759" i="2" s="1"/>
  <c r="A5759" i="1"/>
  <c r="V5758" i="1"/>
  <c r="B5758" i="2" s="1"/>
  <c r="A5758" i="1"/>
  <c r="V5757" i="1"/>
  <c r="B5757" i="2" s="1"/>
  <c r="A5757" i="1"/>
  <c r="V5756" i="1"/>
  <c r="B5756" i="2" s="1"/>
  <c r="A5756" i="1"/>
  <c r="V5755" i="1"/>
  <c r="B5755" i="2" s="1"/>
  <c r="A5755" i="1"/>
  <c r="V5754" i="1"/>
  <c r="B5754" i="2" s="1"/>
  <c r="A5754" i="1"/>
  <c r="V5753" i="1"/>
  <c r="B5753" i="2" s="1"/>
  <c r="A5753" i="1"/>
  <c r="V5752" i="1"/>
  <c r="B5752" i="2" s="1"/>
  <c r="A5752" i="1"/>
  <c r="V5751" i="1"/>
  <c r="B5751" i="2" s="1"/>
  <c r="A5751" i="1"/>
  <c r="V5750" i="1"/>
  <c r="B5750" i="2" s="1"/>
  <c r="A5750" i="1"/>
  <c r="V5749" i="1"/>
  <c r="B5749" i="2" s="1"/>
  <c r="A5749" i="1"/>
  <c r="V5748" i="1"/>
  <c r="B5748" i="2" s="1"/>
  <c r="A5748" i="1"/>
  <c r="V5747" i="1"/>
  <c r="B5747" i="2" s="1"/>
  <c r="A5747" i="1"/>
  <c r="V5746" i="1"/>
  <c r="B5746" i="2" s="1"/>
  <c r="A5746" i="1"/>
  <c r="V5745" i="1"/>
  <c r="B5745" i="2" s="1"/>
  <c r="A5745" i="1"/>
  <c r="V5744" i="1"/>
  <c r="B5744" i="2" s="1"/>
  <c r="A5744" i="1"/>
  <c r="V5743" i="1"/>
  <c r="B5743" i="2" s="1"/>
  <c r="A5743" i="1"/>
  <c r="V5742" i="1"/>
  <c r="B5742" i="2" s="1"/>
  <c r="A5742" i="1"/>
  <c r="V5741" i="1"/>
  <c r="B5741" i="2" s="1"/>
  <c r="A5741" i="1"/>
  <c r="V5740" i="1"/>
  <c r="B5740" i="2" s="1"/>
  <c r="A5740" i="1"/>
  <c r="V5739" i="1"/>
  <c r="B5739" i="2" s="1"/>
  <c r="A5739" i="1"/>
  <c r="V5738" i="1"/>
  <c r="B5738" i="2" s="1"/>
  <c r="A5738" i="1"/>
  <c r="V5737" i="1"/>
  <c r="B5737" i="2" s="1"/>
  <c r="A5737" i="1"/>
  <c r="V5736" i="1"/>
  <c r="B5736" i="2" s="1"/>
  <c r="A5736" i="1"/>
  <c r="V5735" i="1"/>
  <c r="B5735" i="2" s="1"/>
  <c r="A5735" i="1"/>
  <c r="V5734" i="1"/>
  <c r="B5734" i="2" s="1"/>
  <c r="A5734" i="1"/>
  <c r="V5733" i="1"/>
  <c r="B5733" i="2" s="1"/>
  <c r="A5733" i="1"/>
  <c r="V5732" i="1"/>
  <c r="B5732" i="2" s="1"/>
  <c r="A5732" i="1"/>
  <c r="V5731" i="1"/>
  <c r="B5731" i="2" s="1"/>
  <c r="A5731" i="1"/>
  <c r="V5730" i="1"/>
  <c r="B5730" i="2" s="1"/>
  <c r="A5730" i="1"/>
  <c r="V5729" i="1"/>
  <c r="B5729" i="2" s="1"/>
  <c r="A5729" i="1"/>
  <c r="V5728" i="1"/>
  <c r="B5728" i="2" s="1"/>
  <c r="A5728" i="1"/>
  <c r="V5727" i="1"/>
  <c r="B5727" i="2" s="1"/>
  <c r="A5727" i="1"/>
  <c r="V5726" i="1"/>
  <c r="B5726" i="2" s="1"/>
  <c r="A5726" i="1"/>
  <c r="V5725" i="1"/>
  <c r="B5725" i="2" s="1"/>
  <c r="A5725" i="1"/>
  <c r="V5724" i="1"/>
  <c r="B5724" i="2" s="1"/>
  <c r="A5724" i="1"/>
  <c r="V5723" i="1"/>
  <c r="B5723" i="2" s="1"/>
  <c r="A5723" i="1"/>
  <c r="V5722" i="1"/>
  <c r="B5722" i="2" s="1"/>
  <c r="A5722" i="1"/>
  <c r="V5721" i="1"/>
  <c r="B5721" i="2" s="1"/>
  <c r="A5721" i="1"/>
  <c r="V5720" i="1"/>
  <c r="B5720" i="2" s="1"/>
  <c r="A5720" i="1"/>
  <c r="V5719" i="1"/>
  <c r="B5719" i="2" s="1"/>
  <c r="A5719" i="1"/>
  <c r="V5718" i="1"/>
  <c r="B5718" i="2" s="1"/>
  <c r="A5718" i="1"/>
  <c r="V5717" i="1"/>
  <c r="B5717" i="2" s="1"/>
  <c r="A5717" i="1"/>
  <c r="V5716" i="1"/>
  <c r="B5716" i="2" s="1"/>
  <c r="A5716" i="1"/>
  <c r="V5715" i="1"/>
  <c r="B5715" i="2" s="1"/>
  <c r="A5715" i="1"/>
  <c r="V5714" i="1"/>
  <c r="B5714" i="2" s="1"/>
  <c r="A5714" i="1"/>
  <c r="V5713" i="1"/>
  <c r="B5713" i="2" s="1"/>
  <c r="A5713" i="1"/>
  <c r="V5712" i="1"/>
  <c r="B5712" i="2" s="1"/>
  <c r="A5712" i="1"/>
  <c r="V5711" i="1"/>
  <c r="B5711" i="2" s="1"/>
  <c r="A5711" i="1"/>
  <c r="V5710" i="1"/>
  <c r="B5710" i="2" s="1"/>
  <c r="A5710" i="1"/>
  <c r="V5709" i="1"/>
  <c r="B5709" i="2" s="1"/>
  <c r="A5709" i="1"/>
  <c r="V5708" i="1"/>
  <c r="B5708" i="2" s="1"/>
  <c r="A5708" i="1"/>
  <c r="V5707" i="1"/>
  <c r="B5707" i="2" s="1"/>
  <c r="A5707" i="1"/>
  <c r="V5706" i="1"/>
  <c r="B5706" i="2" s="1"/>
  <c r="A5706" i="1"/>
  <c r="V5705" i="1"/>
  <c r="B5705" i="2" s="1"/>
  <c r="A5705" i="1"/>
  <c r="V5704" i="1"/>
  <c r="B5704" i="2" s="1"/>
  <c r="A5704" i="1"/>
  <c r="V5703" i="1"/>
  <c r="B5703" i="2" s="1"/>
  <c r="A5703" i="1"/>
  <c r="V5702" i="1"/>
  <c r="B5702" i="2" s="1"/>
  <c r="A5702" i="1"/>
  <c r="V5701" i="1"/>
  <c r="B5701" i="2" s="1"/>
  <c r="A5701" i="1"/>
  <c r="V5700" i="1"/>
  <c r="B5700" i="2" s="1"/>
  <c r="A5700" i="1"/>
  <c r="V5699" i="1"/>
  <c r="B5699" i="2" s="1"/>
  <c r="A5699" i="1"/>
  <c r="V5698" i="1"/>
  <c r="B5698" i="2" s="1"/>
  <c r="A5698" i="1"/>
  <c r="V5697" i="1"/>
  <c r="B5697" i="2" s="1"/>
  <c r="A5697" i="1"/>
  <c r="V5696" i="1"/>
  <c r="B5696" i="2" s="1"/>
  <c r="A5696" i="1"/>
  <c r="V5695" i="1"/>
  <c r="B5695" i="2" s="1"/>
  <c r="A5695" i="1"/>
  <c r="V5694" i="1"/>
  <c r="B5694" i="2" s="1"/>
  <c r="A5694" i="1"/>
  <c r="V5693" i="1"/>
  <c r="B5693" i="2" s="1"/>
  <c r="A5693" i="1"/>
  <c r="V5692" i="1"/>
  <c r="B5692" i="2" s="1"/>
  <c r="A5692" i="1"/>
  <c r="V5691" i="1"/>
  <c r="B5691" i="2" s="1"/>
  <c r="A5691" i="1"/>
  <c r="V5690" i="1"/>
  <c r="B5690" i="2" s="1"/>
  <c r="A5690" i="1"/>
  <c r="V5689" i="1"/>
  <c r="B5689" i="2" s="1"/>
  <c r="A5689" i="1"/>
  <c r="V5688" i="1"/>
  <c r="B5688" i="2" s="1"/>
  <c r="A5688" i="1"/>
  <c r="V5687" i="1"/>
  <c r="B5687" i="2" s="1"/>
  <c r="A5687" i="1"/>
  <c r="V5686" i="1"/>
  <c r="B5686" i="2" s="1"/>
  <c r="A5686" i="1"/>
  <c r="V5685" i="1"/>
  <c r="B5685" i="2" s="1"/>
  <c r="A5685" i="1"/>
  <c r="V5684" i="1"/>
  <c r="B5684" i="2" s="1"/>
  <c r="A5684" i="1"/>
  <c r="V5683" i="1"/>
  <c r="B5683" i="2" s="1"/>
  <c r="A5683" i="1"/>
  <c r="V5682" i="1"/>
  <c r="B5682" i="2" s="1"/>
  <c r="A5682" i="1"/>
  <c r="V5681" i="1"/>
  <c r="B5681" i="2" s="1"/>
  <c r="A5681" i="1"/>
  <c r="V5680" i="1"/>
  <c r="B5680" i="2" s="1"/>
  <c r="A5680" i="1"/>
  <c r="V5679" i="1"/>
  <c r="B5679" i="2" s="1"/>
  <c r="A5679" i="1"/>
  <c r="V5678" i="1"/>
  <c r="B5678" i="2" s="1"/>
  <c r="A5678" i="1"/>
  <c r="V5677" i="1"/>
  <c r="B5677" i="2" s="1"/>
  <c r="A5677" i="1"/>
  <c r="V5676" i="1"/>
  <c r="B5676" i="2" s="1"/>
  <c r="A5676" i="1"/>
  <c r="V5675" i="1"/>
  <c r="B5675" i="2" s="1"/>
  <c r="A5675" i="1"/>
  <c r="V5674" i="1"/>
  <c r="B5674" i="2" s="1"/>
  <c r="A5674" i="1"/>
  <c r="V5673" i="1"/>
  <c r="B5673" i="2" s="1"/>
  <c r="A5673" i="1"/>
  <c r="V5672" i="1"/>
  <c r="B5672" i="2" s="1"/>
  <c r="A5672" i="1"/>
  <c r="V5671" i="1"/>
  <c r="B5671" i="2" s="1"/>
  <c r="A5671" i="1"/>
  <c r="V5670" i="1"/>
  <c r="B5670" i="2" s="1"/>
  <c r="A5670" i="1"/>
  <c r="V5669" i="1"/>
  <c r="B5669" i="2" s="1"/>
  <c r="A5669" i="1"/>
  <c r="V5668" i="1"/>
  <c r="B5668" i="2" s="1"/>
  <c r="A5668" i="1"/>
  <c r="V5667" i="1"/>
  <c r="B5667" i="2" s="1"/>
  <c r="A5667" i="1"/>
  <c r="V5666" i="1"/>
  <c r="B5666" i="2" s="1"/>
  <c r="A5666" i="1"/>
  <c r="V5665" i="1"/>
  <c r="B5665" i="2" s="1"/>
  <c r="A5665" i="1"/>
  <c r="V5664" i="1"/>
  <c r="B5664" i="2" s="1"/>
  <c r="A5664" i="1"/>
  <c r="V5663" i="1"/>
  <c r="B5663" i="2" s="1"/>
  <c r="A5663" i="1"/>
  <c r="V5662" i="1"/>
  <c r="B5662" i="2" s="1"/>
  <c r="A5662" i="1"/>
  <c r="V5661" i="1"/>
  <c r="B5661" i="2" s="1"/>
  <c r="A5661" i="1"/>
  <c r="V5660" i="1"/>
  <c r="B5660" i="2" s="1"/>
  <c r="A5660" i="1"/>
  <c r="V5659" i="1"/>
  <c r="B5659" i="2" s="1"/>
  <c r="A5659" i="1"/>
  <c r="V5658" i="1"/>
  <c r="B5658" i="2" s="1"/>
  <c r="A5658" i="1"/>
  <c r="V5657" i="1"/>
  <c r="B5657" i="2" s="1"/>
  <c r="A5657" i="1"/>
  <c r="V5656" i="1"/>
  <c r="B5656" i="2" s="1"/>
  <c r="A5656" i="1"/>
  <c r="V5655" i="1"/>
  <c r="B5655" i="2" s="1"/>
  <c r="A5655" i="1"/>
  <c r="V5654" i="1"/>
  <c r="B5654" i="2" s="1"/>
  <c r="A5654" i="1"/>
  <c r="V5653" i="1"/>
  <c r="B5653" i="2" s="1"/>
  <c r="A5653" i="1"/>
  <c r="V5652" i="1"/>
  <c r="B5652" i="2" s="1"/>
  <c r="A5652" i="1"/>
  <c r="V5651" i="1"/>
  <c r="B5651" i="2" s="1"/>
  <c r="A5651" i="1"/>
  <c r="V5650" i="1"/>
  <c r="B5650" i="2" s="1"/>
  <c r="A5650" i="1"/>
  <c r="V5649" i="1"/>
  <c r="B5649" i="2" s="1"/>
  <c r="A5649" i="1"/>
  <c r="V5648" i="1"/>
  <c r="B5648" i="2" s="1"/>
  <c r="A5648" i="1"/>
  <c r="V5647" i="1"/>
  <c r="B5647" i="2" s="1"/>
  <c r="A5647" i="1"/>
  <c r="V5646" i="1"/>
  <c r="B5646" i="2" s="1"/>
  <c r="A5646" i="1"/>
  <c r="V5645" i="1"/>
  <c r="B5645" i="2" s="1"/>
  <c r="A5645" i="1"/>
  <c r="V5644" i="1"/>
  <c r="B5644" i="2" s="1"/>
  <c r="A5644" i="1"/>
  <c r="V5643" i="1"/>
  <c r="B5643" i="2" s="1"/>
  <c r="A5643" i="1"/>
  <c r="V5642" i="1"/>
  <c r="B5642" i="2" s="1"/>
  <c r="A5642" i="1"/>
  <c r="V5641" i="1"/>
  <c r="B5641" i="2" s="1"/>
  <c r="A5641" i="1"/>
  <c r="V5640" i="1"/>
  <c r="B5640" i="2" s="1"/>
  <c r="A5640" i="1"/>
  <c r="V5639" i="1"/>
  <c r="B5639" i="2" s="1"/>
  <c r="A5639" i="1"/>
  <c r="V5638" i="1"/>
  <c r="B5638" i="2" s="1"/>
  <c r="A5638" i="1"/>
  <c r="V5637" i="1"/>
  <c r="B5637" i="2" s="1"/>
  <c r="A5637" i="1"/>
  <c r="V5636" i="1"/>
  <c r="B5636" i="2" s="1"/>
  <c r="A5636" i="1"/>
  <c r="V5635" i="1"/>
  <c r="B5635" i="2" s="1"/>
  <c r="A5635" i="1"/>
  <c r="V5634" i="1"/>
  <c r="B5634" i="2" s="1"/>
  <c r="A5634" i="1"/>
  <c r="V5633" i="1"/>
  <c r="B5633" i="2" s="1"/>
  <c r="A5633" i="1"/>
  <c r="V5632" i="1"/>
  <c r="B5632" i="2" s="1"/>
  <c r="A5632" i="1"/>
  <c r="V5631" i="1"/>
  <c r="B5631" i="2" s="1"/>
  <c r="A5631" i="1"/>
  <c r="V5630" i="1"/>
  <c r="B5630" i="2" s="1"/>
  <c r="A5630" i="1"/>
  <c r="V5629" i="1"/>
  <c r="B5629" i="2" s="1"/>
  <c r="A5629" i="1"/>
  <c r="V5628" i="1"/>
  <c r="B5628" i="2" s="1"/>
  <c r="A5628" i="1"/>
  <c r="V5627" i="1"/>
  <c r="B5627" i="2" s="1"/>
  <c r="A5627" i="1"/>
  <c r="V5626" i="1"/>
  <c r="B5626" i="2" s="1"/>
  <c r="A5626" i="1"/>
  <c r="V5625" i="1"/>
  <c r="B5625" i="2" s="1"/>
  <c r="A5625" i="1"/>
  <c r="V5624" i="1"/>
  <c r="B5624" i="2" s="1"/>
  <c r="A5624" i="1"/>
  <c r="V5623" i="1"/>
  <c r="B5623" i="2" s="1"/>
  <c r="A5623" i="1"/>
  <c r="V5622" i="1"/>
  <c r="B5622" i="2" s="1"/>
  <c r="A5622" i="1"/>
  <c r="V5621" i="1"/>
  <c r="B5621" i="2" s="1"/>
  <c r="A5621" i="1"/>
  <c r="V5620" i="1"/>
  <c r="B5620" i="2" s="1"/>
  <c r="A5620" i="1"/>
  <c r="V5619" i="1"/>
  <c r="B5619" i="2" s="1"/>
  <c r="A5619" i="1"/>
  <c r="V5618" i="1"/>
  <c r="B5618" i="2" s="1"/>
  <c r="A5618" i="1"/>
  <c r="V5617" i="1"/>
  <c r="B5617" i="2" s="1"/>
  <c r="A5617" i="1"/>
  <c r="V5616" i="1"/>
  <c r="B5616" i="2" s="1"/>
  <c r="A5616" i="1"/>
  <c r="V5615" i="1"/>
  <c r="B5615" i="2" s="1"/>
  <c r="A5615" i="1"/>
  <c r="V5614" i="1"/>
  <c r="B5614" i="2" s="1"/>
  <c r="A5614" i="1"/>
  <c r="V5613" i="1"/>
  <c r="B5613" i="2" s="1"/>
  <c r="A5613" i="1"/>
  <c r="V5612" i="1"/>
  <c r="B5612" i="2" s="1"/>
  <c r="A5612" i="1"/>
  <c r="V5611" i="1"/>
  <c r="B5611" i="2" s="1"/>
  <c r="A5611" i="1"/>
  <c r="V5610" i="1"/>
  <c r="B5610" i="2" s="1"/>
  <c r="A5610" i="1"/>
  <c r="V5609" i="1"/>
  <c r="B5609" i="2" s="1"/>
  <c r="A5609" i="1"/>
  <c r="V5608" i="1"/>
  <c r="B5608" i="2" s="1"/>
  <c r="A5608" i="1"/>
  <c r="V5607" i="1"/>
  <c r="B5607" i="2" s="1"/>
  <c r="A5607" i="1"/>
  <c r="V5606" i="1"/>
  <c r="B5606" i="2" s="1"/>
  <c r="A5606" i="1"/>
  <c r="V5605" i="1"/>
  <c r="B5605" i="2" s="1"/>
  <c r="A5605" i="1"/>
  <c r="V5604" i="1"/>
  <c r="B5604" i="2" s="1"/>
  <c r="A5604" i="1"/>
  <c r="V5603" i="1"/>
  <c r="B5603" i="2" s="1"/>
  <c r="A5603" i="1"/>
  <c r="V5602" i="1"/>
  <c r="B5602" i="2" s="1"/>
  <c r="A5602" i="1"/>
  <c r="V5601" i="1"/>
  <c r="B5601" i="2" s="1"/>
  <c r="A5601" i="1"/>
  <c r="V5600" i="1"/>
  <c r="B5600" i="2" s="1"/>
  <c r="A5600" i="1"/>
  <c r="V5599" i="1"/>
  <c r="B5599" i="2" s="1"/>
  <c r="A5599" i="1"/>
  <c r="V5598" i="1"/>
  <c r="B5598" i="2" s="1"/>
  <c r="A5598" i="1"/>
  <c r="V5597" i="1"/>
  <c r="B5597" i="2" s="1"/>
  <c r="A5597" i="1"/>
  <c r="V5596" i="1"/>
  <c r="B5596" i="2" s="1"/>
  <c r="A5596" i="1"/>
  <c r="V5595" i="1"/>
  <c r="B5595" i="2" s="1"/>
  <c r="A5595" i="1"/>
  <c r="V5594" i="1"/>
  <c r="B5594" i="2" s="1"/>
  <c r="A5594" i="1"/>
  <c r="V5593" i="1"/>
  <c r="B5593" i="2" s="1"/>
  <c r="A5593" i="1"/>
  <c r="V5592" i="1"/>
  <c r="B5592" i="2" s="1"/>
  <c r="A5592" i="1"/>
  <c r="V5591" i="1"/>
  <c r="B5591" i="2" s="1"/>
  <c r="A5591" i="1"/>
  <c r="V5590" i="1"/>
  <c r="B5590" i="2" s="1"/>
  <c r="A5590" i="1"/>
  <c r="V5589" i="1"/>
  <c r="B5589" i="2" s="1"/>
  <c r="A5589" i="1"/>
  <c r="V5588" i="1"/>
  <c r="B5588" i="2" s="1"/>
  <c r="A5588" i="1"/>
  <c r="V5587" i="1"/>
  <c r="B5587" i="2" s="1"/>
  <c r="A5587" i="1"/>
  <c r="V5586" i="1"/>
  <c r="B5586" i="2" s="1"/>
  <c r="A5586" i="1"/>
  <c r="V5585" i="1"/>
  <c r="B5585" i="2" s="1"/>
  <c r="A5585" i="1"/>
  <c r="V5584" i="1"/>
  <c r="B5584" i="2" s="1"/>
  <c r="A5584" i="1"/>
  <c r="V5583" i="1"/>
  <c r="B5583" i="2" s="1"/>
  <c r="A5583" i="1"/>
  <c r="V5582" i="1"/>
  <c r="B5582" i="2" s="1"/>
  <c r="A5582" i="1"/>
  <c r="V5581" i="1"/>
  <c r="B5581" i="2" s="1"/>
  <c r="A5581" i="1"/>
  <c r="V5580" i="1"/>
  <c r="B5580" i="2" s="1"/>
  <c r="A5580" i="1"/>
  <c r="V5579" i="1"/>
  <c r="B5579" i="2" s="1"/>
  <c r="A5579" i="1"/>
  <c r="V5578" i="1"/>
  <c r="B5578" i="2" s="1"/>
  <c r="A5578" i="1"/>
  <c r="V5577" i="1"/>
  <c r="B5577" i="2" s="1"/>
  <c r="A5577" i="1"/>
  <c r="V5576" i="1"/>
  <c r="B5576" i="2" s="1"/>
  <c r="A5576" i="1"/>
  <c r="V5575" i="1"/>
  <c r="B5575" i="2" s="1"/>
  <c r="A5575" i="1"/>
  <c r="V5574" i="1"/>
  <c r="B5574" i="2" s="1"/>
  <c r="A5574" i="1"/>
  <c r="V5573" i="1"/>
  <c r="B5573" i="2" s="1"/>
  <c r="A5573" i="1"/>
  <c r="V5572" i="1"/>
  <c r="B5572" i="2" s="1"/>
  <c r="A5572" i="1"/>
  <c r="V5571" i="1"/>
  <c r="B5571" i="2" s="1"/>
  <c r="A5571" i="1"/>
  <c r="V5570" i="1"/>
  <c r="B5570" i="2" s="1"/>
  <c r="A5570" i="1"/>
  <c r="V5569" i="1"/>
  <c r="B5569" i="2" s="1"/>
  <c r="A5569" i="1"/>
  <c r="V5568" i="1"/>
  <c r="B5568" i="2" s="1"/>
  <c r="A5568" i="1"/>
  <c r="V5567" i="1"/>
  <c r="B5567" i="2" s="1"/>
  <c r="A5567" i="1"/>
  <c r="V5566" i="1"/>
  <c r="B5566" i="2" s="1"/>
  <c r="A5566" i="1"/>
  <c r="V5565" i="1"/>
  <c r="B5565" i="2" s="1"/>
  <c r="A5565" i="1"/>
  <c r="V5564" i="1"/>
  <c r="B5564" i="2" s="1"/>
  <c r="A5564" i="1"/>
  <c r="V5563" i="1"/>
  <c r="B5563" i="2" s="1"/>
  <c r="A5563" i="1"/>
  <c r="V5562" i="1"/>
  <c r="B5562" i="2" s="1"/>
  <c r="A5562" i="1"/>
  <c r="V5561" i="1"/>
  <c r="B5561" i="2" s="1"/>
  <c r="A5561" i="1"/>
  <c r="V5560" i="1"/>
  <c r="B5560" i="2" s="1"/>
  <c r="A5560" i="1"/>
  <c r="V5559" i="1"/>
  <c r="B5559" i="2" s="1"/>
  <c r="A5559" i="1"/>
  <c r="V5558" i="1"/>
  <c r="B5558" i="2" s="1"/>
  <c r="A5558" i="1"/>
  <c r="V5557" i="1"/>
  <c r="B5557" i="2" s="1"/>
  <c r="A5557" i="1"/>
  <c r="V5556" i="1"/>
  <c r="B5556" i="2" s="1"/>
  <c r="A5556" i="1"/>
  <c r="V5555" i="1"/>
  <c r="B5555" i="2" s="1"/>
  <c r="A5555" i="1"/>
  <c r="V5554" i="1"/>
  <c r="B5554" i="2" s="1"/>
  <c r="A5554" i="1"/>
  <c r="V5553" i="1"/>
  <c r="B5553" i="2" s="1"/>
  <c r="A5553" i="1"/>
  <c r="V5552" i="1"/>
  <c r="B5552" i="2" s="1"/>
  <c r="A5552" i="1"/>
  <c r="V5551" i="1"/>
  <c r="B5551" i="2" s="1"/>
  <c r="A5551" i="1"/>
  <c r="V5550" i="1"/>
  <c r="B5550" i="2" s="1"/>
  <c r="A5550" i="1"/>
  <c r="V5549" i="1"/>
  <c r="B5549" i="2" s="1"/>
  <c r="A5549" i="1"/>
  <c r="V5548" i="1"/>
  <c r="B5548" i="2" s="1"/>
  <c r="A5548" i="1"/>
  <c r="V5547" i="1"/>
  <c r="B5547" i="2" s="1"/>
  <c r="A5547" i="1"/>
  <c r="V5546" i="1"/>
  <c r="B5546" i="2" s="1"/>
  <c r="A5546" i="1"/>
  <c r="V5545" i="1"/>
  <c r="B5545" i="2" s="1"/>
  <c r="A5545" i="1"/>
  <c r="V5544" i="1"/>
  <c r="B5544" i="2" s="1"/>
  <c r="A5544" i="1"/>
  <c r="V5543" i="1"/>
  <c r="B5543" i="2" s="1"/>
  <c r="A5543" i="1"/>
  <c r="V5542" i="1"/>
  <c r="B5542" i="2" s="1"/>
  <c r="A5542" i="1"/>
  <c r="V5541" i="1"/>
  <c r="B5541" i="2" s="1"/>
  <c r="A5541" i="1"/>
  <c r="V5540" i="1"/>
  <c r="B5540" i="2" s="1"/>
  <c r="A5540" i="1"/>
  <c r="V5539" i="1"/>
  <c r="B5539" i="2" s="1"/>
  <c r="A5539" i="1"/>
  <c r="V5538" i="1"/>
  <c r="B5538" i="2" s="1"/>
  <c r="A5538" i="1"/>
  <c r="V5537" i="1"/>
  <c r="B5537" i="2" s="1"/>
  <c r="A5537" i="1"/>
  <c r="V5536" i="1"/>
  <c r="B5536" i="2" s="1"/>
  <c r="A5536" i="1"/>
  <c r="V5535" i="1"/>
  <c r="B5535" i="2" s="1"/>
  <c r="A5535" i="1"/>
  <c r="V5534" i="1"/>
  <c r="B5534" i="2" s="1"/>
  <c r="A5534" i="1"/>
  <c r="V5533" i="1"/>
  <c r="B5533" i="2" s="1"/>
  <c r="A5533" i="1"/>
  <c r="V5532" i="1"/>
  <c r="B5532" i="2" s="1"/>
  <c r="A5532" i="1"/>
  <c r="V5531" i="1"/>
  <c r="B5531" i="2" s="1"/>
  <c r="A5531" i="1"/>
  <c r="V5530" i="1"/>
  <c r="B5530" i="2" s="1"/>
  <c r="A5530" i="1"/>
  <c r="V5529" i="1"/>
  <c r="B5529" i="2" s="1"/>
  <c r="A5529" i="1"/>
  <c r="V5528" i="1"/>
  <c r="B5528" i="2" s="1"/>
  <c r="A5528" i="1"/>
  <c r="V5527" i="1"/>
  <c r="B5527" i="2" s="1"/>
  <c r="A5527" i="1"/>
  <c r="V5526" i="1"/>
  <c r="B5526" i="2" s="1"/>
  <c r="A5526" i="1"/>
  <c r="V5525" i="1"/>
  <c r="B5525" i="2" s="1"/>
  <c r="A5525" i="1"/>
  <c r="V5524" i="1"/>
  <c r="B5524" i="2" s="1"/>
  <c r="A5524" i="1"/>
  <c r="V5523" i="1"/>
  <c r="B5523" i="2" s="1"/>
  <c r="A5523" i="1"/>
  <c r="V5522" i="1"/>
  <c r="B5522" i="2" s="1"/>
  <c r="A5522" i="1"/>
  <c r="V5521" i="1"/>
  <c r="B5521" i="2" s="1"/>
  <c r="A5521" i="1"/>
  <c r="V5520" i="1"/>
  <c r="B5520" i="2" s="1"/>
  <c r="A5520" i="1"/>
  <c r="V5519" i="1"/>
  <c r="B5519" i="2" s="1"/>
  <c r="A5519" i="1"/>
  <c r="V5518" i="1"/>
  <c r="B5518" i="2" s="1"/>
  <c r="A5518" i="1"/>
  <c r="V5517" i="1"/>
  <c r="B5517" i="2" s="1"/>
  <c r="A5517" i="1"/>
  <c r="V5516" i="1"/>
  <c r="B5516" i="2" s="1"/>
  <c r="A5516" i="1"/>
  <c r="V5515" i="1"/>
  <c r="B5515" i="2" s="1"/>
  <c r="A5515" i="1"/>
  <c r="V5514" i="1"/>
  <c r="B5514" i="2" s="1"/>
  <c r="A5514" i="1"/>
  <c r="V5513" i="1"/>
  <c r="B5513" i="2" s="1"/>
  <c r="A5513" i="1"/>
  <c r="V5512" i="1"/>
  <c r="B5512" i="2" s="1"/>
  <c r="A5512" i="1"/>
  <c r="V5511" i="1"/>
  <c r="B5511" i="2" s="1"/>
  <c r="A5511" i="1"/>
  <c r="V5510" i="1"/>
  <c r="B5510" i="2" s="1"/>
  <c r="A5510" i="1"/>
  <c r="V5509" i="1"/>
  <c r="B5509" i="2" s="1"/>
  <c r="A5509" i="1"/>
  <c r="V5508" i="1"/>
  <c r="B5508" i="2" s="1"/>
  <c r="A5508" i="1"/>
  <c r="V5507" i="1"/>
  <c r="B5507" i="2" s="1"/>
  <c r="A5507" i="1"/>
  <c r="V5506" i="1"/>
  <c r="B5506" i="2" s="1"/>
  <c r="A5506" i="1"/>
  <c r="V5505" i="1"/>
  <c r="B5505" i="2" s="1"/>
  <c r="A5505" i="1"/>
  <c r="V5504" i="1"/>
  <c r="B5504" i="2" s="1"/>
  <c r="A5504" i="1"/>
  <c r="V5503" i="1"/>
  <c r="B5503" i="2" s="1"/>
  <c r="A5503" i="1"/>
  <c r="V5502" i="1"/>
  <c r="B5502" i="2" s="1"/>
  <c r="A5502" i="1"/>
  <c r="V5501" i="1"/>
  <c r="B5501" i="2" s="1"/>
  <c r="A5501" i="1"/>
  <c r="V5500" i="1"/>
  <c r="B5500" i="2" s="1"/>
  <c r="A5500" i="1"/>
  <c r="V5499" i="1"/>
  <c r="B5499" i="2" s="1"/>
  <c r="A5499" i="1"/>
  <c r="V5498" i="1"/>
  <c r="B5498" i="2" s="1"/>
  <c r="A5498" i="1"/>
  <c r="V5497" i="1"/>
  <c r="B5497" i="2" s="1"/>
  <c r="A5497" i="1"/>
  <c r="V5496" i="1"/>
  <c r="B5496" i="2" s="1"/>
  <c r="A5496" i="1"/>
  <c r="V5495" i="1"/>
  <c r="B5495" i="2" s="1"/>
  <c r="A5495" i="1"/>
  <c r="V5494" i="1"/>
  <c r="B5494" i="2" s="1"/>
  <c r="A5494" i="1"/>
  <c r="V5493" i="1"/>
  <c r="B5493" i="2" s="1"/>
  <c r="A5493" i="1"/>
  <c r="V5492" i="1"/>
  <c r="B5492" i="2" s="1"/>
  <c r="A5492" i="1"/>
  <c r="V5491" i="1"/>
  <c r="B5491" i="2" s="1"/>
  <c r="A5491" i="1"/>
  <c r="V5490" i="1"/>
  <c r="B5490" i="2" s="1"/>
  <c r="A5490" i="1"/>
  <c r="V5489" i="1"/>
  <c r="B5489" i="2" s="1"/>
  <c r="A5489" i="1"/>
  <c r="V5488" i="1"/>
  <c r="B5488" i="2" s="1"/>
  <c r="A5488" i="1"/>
  <c r="V5487" i="1"/>
  <c r="B5487" i="2" s="1"/>
  <c r="A5487" i="1"/>
  <c r="V5486" i="1"/>
  <c r="B5486" i="2" s="1"/>
  <c r="A5486" i="1"/>
  <c r="V5485" i="1"/>
  <c r="B5485" i="2" s="1"/>
  <c r="A5485" i="1"/>
  <c r="V5484" i="1"/>
  <c r="B5484" i="2" s="1"/>
  <c r="A5484" i="1"/>
  <c r="V5483" i="1"/>
  <c r="B5483" i="2" s="1"/>
  <c r="A5483" i="1"/>
  <c r="V5482" i="1"/>
  <c r="B5482" i="2" s="1"/>
  <c r="A5482" i="1"/>
  <c r="V5481" i="1"/>
  <c r="B5481" i="2" s="1"/>
  <c r="A5481" i="1"/>
  <c r="V5480" i="1"/>
  <c r="B5480" i="2" s="1"/>
  <c r="A5480" i="1"/>
  <c r="V5479" i="1"/>
  <c r="B5479" i="2" s="1"/>
  <c r="A5479" i="1"/>
  <c r="V5478" i="1"/>
  <c r="B5478" i="2" s="1"/>
  <c r="A5478" i="1"/>
  <c r="V5477" i="1"/>
  <c r="B5477" i="2" s="1"/>
  <c r="A5477" i="1"/>
  <c r="V5476" i="1"/>
  <c r="B5476" i="2" s="1"/>
  <c r="A5476" i="1"/>
  <c r="V5475" i="1"/>
  <c r="B5475" i="2" s="1"/>
  <c r="A5475" i="1"/>
  <c r="V5474" i="1"/>
  <c r="B5474" i="2" s="1"/>
  <c r="A5474" i="1"/>
  <c r="V5473" i="1"/>
  <c r="B5473" i="2" s="1"/>
  <c r="A5473" i="1"/>
  <c r="V5472" i="1"/>
  <c r="B5472" i="2" s="1"/>
  <c r="A5472" i="1"/>
  <c r="V5471" i="1"/>
  <c r="B5471" i="2" s="1"/>
  <c r="A5471" i="1"/>
  <c r="V5470" i="1"/>
  <c r="B5470" i="2" s="1"/>
  <c r="A5470" i="1"/>
  <c r="V5469" i="1"/>
  <c r="B5469" i="2" s="1"/>
  <c r="A5469" i="1"/>
  <c r="V5468" i="1"/>
  <c r="B5468" i="2" s="1"/>
  <c r="A5468" i="1"/>
  <c r="V5467" i="1"/>
  <c r="B5467" i="2" s="1"/>
  <c r="A5467" i="1"/>
  <c r="V5466" i="1"/>
  <c r="B5466" i="2" s="1"/>
  <c r="A5466" i="1"/>
  <c r="V5465" i="1"/>
  <c r="B5465" i="2" s="1"/>
  <c r="A5465" i="1"/>
  <c r="V5464" i="1"/>
  <c r="B5464" i="2" s="1"/>
  <c r="A5464" i="1"/>
  <c r="V5463" i="1"/>
  <c r="B5463" i="2" s="1"/>
  <c r="A5463" i="1"/>
  <c r="V5462" i="1"/>
  <c r="B5462" i="2" s="1"/>
  <c r="A5462" i="1"/>
  <c r="V5461" i="1"/>
  <c r="B5461" i="2" s="1"/>
  <c r="A5461" i="1"/>
  <c r="V5460" i="1"/>
  <c r="B5460" i="2" s="1"/>
  <c r="A5460" i="1"/>
  <c r="V5459" i="1"/>
  <c r="B5459" i="2" s="1"/>
  <c r="A5459" i="1"/>
  <c r="V5458" i="1"/>
  <c r="B5458" i="2" s="1"/>
  <c r="A5458" i="1"/>
  <c r="V5457" i="1"/>
  <c r="B5457" i="2" s="1"/>
  <c r="A5457" i="1"/>
  <c r="V5456" i="1"/>
  <c r="B5456" i="2" s="1"/>
  <c r="A5456" i="1"/>
  <c r="V5455" i="1"/>
  <c r="B5455" i="2" s="1"/>
  <c r="A5455" i="1"/>
  <c r="V5454" i="1"/>
  <c r="B5454" i="2" s="1"/>
  <c r="A5454" i="1"/>
  <c r="V5453" i="1"/>
  <c r="B5453" i="2" s="1"/>
  <c r="A5453" i="1"/>
  <c r="V5452" i="1"/>
  <c r="B5452" i="2" s="1"/>
  <c r="A5452" i="1"/>
  <c r="V5451" i="1"/>
  <c r="B5451" i="2" s="1"/>
  <c r="A5451" i="1"/>
  <c r="V5450" i="1"/>
  <c r="B5450" i="2" s="1"/>
  <c r="A5450" i="1"/>
  <c r="V5449" i="1"/>
  <c r="B5449" i="2" s="1"/>
  <c r="A5449" i="1"/>
  <c r="V5448" i="1"/>
  <c r="B5448" i="2" s="1"/>
  <c r="A5448" i="1"/>
  <c r="V5447" i="1"/>
  <c r="B5447" i="2" s="1"/>
  <c r="A5447" i="1"/>
  <c r="V5446" i="1"/>
  <c r="B5446" i="2" s="1"/>
  <c r="A5446" i="1"/>
  <c r="V5445" i="1"/>
  <c r="B5445" i="2" s="1"/>
  <c r="A5445" i="1"/>
  <c r="V5444" i="1"/>
  <c r="B5444" i="2" s="1"/>
  <c r="A5444" i="1"/>
  <c r="V5443" i="1"/>
  <c r="B5443" i="2" s="1"/>
  <c r="A5443" i="1"/>
  <c r="V5442" i="1"/>
  <c r="B5442" i="2" s="1"/>
  <c r="A5442" i="1"/>
  <c r="V5441" i="1"/>
  <c r="B5441" i="2" s="1"/>
  <c r="A5441" i="1"/>
  <c r="V5440" i="1"/>
  <c r="B5440" i="2" s="1"/>
  <c r="A5440" i="1"/>
  <c r="V5439" i="1"/>
  <c r="B5439" i="2" s="1"/>
  <c r="A5439" i="1"/>
  <c r="V5438" i="1"/>
  <c r="B5438" i="2" s="1"/>
  <c r="A5438" i="1"/>
  <c r="V5437" i="1"/>
  <c r="B5437" i="2" s="1"/>
  <c r="A5437" i="1"/>
  <c r="V5436" i="1"/>
  <c r="B5436" i="2" s="1"/>
  <c r="A5436" i="1"/>
  <c r="V5435" i="1"/>
  <c r="B5435" i="2" s="1"/>
  <c r="A5435" i="1"/>
  <c r="V5434" i="1"/>
  <c r="B5434" i="2" s="1"/>
  <c r="A5434" i="1"/>
  <c r="V5433" i="1"/>
  <c r="B5433" i="2" s="1"/>
  <c r="A5433" i="1"/>
  <c r="V5432" i="1"/>
  <c r="B5432" i="2" s="1"/>
  <c r="A5432" i="1"/>
  <c r="V5431" i="1"/>
  <c r="B5431" i="2" s="1"/>
  <c r="A5431" i="1"/>
  <c r="V5430" i="1"/>
  <c r="B5430" i="2" s="1"/>
  <c r="A5430" i="1"/>
  <c r="V5429" i="1"/>
  <c r="B5429" i="2" s="1"/>
  <c r="A5429" i="1"/>
  <c r="V5428" i="1"/>
  <c r="B5428" i="2" s="1"/>
  <c r="A5428" i="1"/>
  <c r="V5427" i="1"/>
  <c r="B5427" i="2" s="1"/>
  <c r="A5427" i="1"/>
  <c r="V5426" i="1"/>
  <c r="B5426" i="2" s="1"/>
  <c r="A5426" i="1"/>
  <c r="V5425" i="1"/>
  <c r="B5425" i="2" s="1"/>
  <c r="A5425" i="1"/>
  <c r="V5424" i="1"/>
  <c r="B5424" i="2" s="1"/>
  <c r="A5424" i="1"/>
  <c r="V5423" i="1"/>
  <c r="B5423" i="2" s="1"/>
  <c r="A5423" i="1"/>
  <c r="V5422" i="1"/>
  <c r="B5422" i="2" s="1"/>
  <c r="A5422" i="1"/>
  <c r="V5421" i="1"/>
  <c r="B5421" i="2" s="1"/>
  <c r="A5421" i="1"/>
  <c r="V5420" i="1"/>
  <c r="B5420" i="2" s="1"/>
  <c r="A5420" i="1"/>
  <c r="V5419" i="1"/>
  <c r="B5419" i="2" s="1"/>
  <c r="A5419" i="1"/>
  <c r="V5418" i="1"/>
  <c r="B5418" i="2" s="1"/>
  <c r="A5418" i="1"/>
  <c r="V5417" i="1"/>
  <c r="B5417" i="2" s="1"/>
  <c r="A5417" i="1"/>
  <c r="V5416" i="1"/>
  <c r="B5416" i="2" s="1"/>
  <c r="A5416" i="1"/>
  <c r="V5415" i="1"/>
  <c r="B5415" i="2" s="1"/>
  <c r="A5415" i="1"/>
  <c r="V5414" i="1"/>
  <c r="B5414" i="2" s="1"/>
  <c r="A5414" i="1"/>
  <c r="V5413" i="1"/>
  <c r="B5413" i="2" s="1"/>
  <c r="A5413" i="1"/>
  <c r="V5412" i="1"/>
  <c r="B5412" i="2" s="1"/>
  <c r="A5412" i="1"/>
  <c r="V5411" i="1"/>
  <c r="B5411" i="2" s="1"/>
  <c r="A5411" i="1"/>
  <c r="V5410" i="1"/>
  <c r="B5410" i="2" s="1"/>
  <c r="A5410" i="1"/>
  <c r="V5409" i="1"/>
  <c r="B5409" i="2" s="1"/>
  <c r="A5409" i="1"/>
  <c r="V5408" i="1"/>
  <c r="B5408" i="2" s="1"/>
  <c r="A5408" i="1"/>
  <c r="V5407" i="1"/>
  <c r="B5407" i="2" s="1"/>
  <c r="A5407" i="1"/>
  <c r="V5406" i="1"/>
  <c r="B5406" i="2" s="1"/>
  <c r="A5406" i="1"/>
  <c r="V5405" i="1"/>
  <c r="B5405" i="2" s="1"/>
  <c r="A5405" i="1"/>
  <c r="V5404" i="1"/>
  <c r="B5404" i="2" s="1"/>
  <c r="A5404" i="1"/>
  <c r="V5403" i="1"/>
  <c r="B5403" i="2" s="1"/>
  <c r="A5403" i="1"/>
  <c r="V5402" i="1"/>
  <c r="B5402" i="2" s="1"/>
  <c r="A5402" i="1"/>
  <c r="V5401" i="1"/>
  <c r="B5401" i="2" s="1"/>
  <c r="A5401" i="1"/>
  <c r="V5400" i="1"/>
  <c r="B5400" i="2" s="1"/>
  <c r="A5400" i="1"/>
  <c r="V5399" i="1"/>
  <c r="B5399" i="2" s="1"/>
  <c r="A5399" i="1"/>
  <c r="V5398" i="1"/>
  <c r="B5398" i="2" s="1"/>
  <c r="A5398" i="1"/>
  <c r="V5397" i="1"/>
  <c r="B5397" i="2" s="1"/>
  <c r="A5397" i="1"/>
  <c r="V5396" i="1"/>
  <c r="B5396" i="2" s="1"/>
  <c r="A5396" i="1"/>
  <c r="V5395" i="1"/>
  <c r="B5395" i="2" s="1"/>
  <c r="A5395" i="1"/>
  <c r="V5394" i="1"/>
  <c r="B5394" i="2" s="1"/>
  <c r="A5394" i="1"/>
  <c r="V5393" i="1"/>
  <c r="B5393" i="2" s="1"/>
  <c r="A5393" i="1"/>
  <c r="V5392" i="1"/>
  <c r="B5392" i="2" s="1"/>
  <c r="A5392" i="1"/>
  <c r="V5391" i="1"/>
  <c r="B5391" i="2" s="1"/>
  <c r="A5391" i="1"/>
  <c r="V5390" i="1"/>
  <c r="B5390" i="2" s="1"/>
  <c r="A5390" i="1"/>
  <c r="V5389" i="1"/>
  <c r="B5389" i="2" s="1"/>
  <c r="A5389" i="1"/>
  <c r="V5388" i="1"/>
  <c r="B5388" i="2" s="1"/>
  <c r="A5388" i="1"/>
  <c r="V5387" i="1"/>
  <c r="B5387" i="2" s="1"/>
  <c r="A5387" i="1"/>
  <c r="V5386" i="1"/>
  <c r="B5386" i="2" s="1"/>
  <c r="A5386" i="1"/>
  <c r="V5385" i="1"/>
  <c r="B5385" i="2" s="1"/>
  <c r="A5385" i="1"/>
  <c r="V5384" i="1"/>
  <c r="B5384" i="2" s="1"/>
  <c r="A5384" i="1"/>
  <c r="V5383" i="1"/>
  <c r="B5383" i="2" s="1"/>
  <c r="A5383" i="1"/>
  <c r="V5382" i="1"/>
  <c r="B5382" i="2" s="1"/>
  <c r="A5382" i="1"/>
  <c r="V5381" i="1"/>
  <c r="B5381" i="2" s="1"/>
  <c r="A5381" i="1"/>
  <c r="V5380" i="1"/>
  <c r="B5380" i="2" s="1"/>
  <c r="A5380" i="1"/>
  <c r="V5379" i="1"/>
  <c r="B5379" i="2" s="1"/>
  <c r="A5379" i="1"/>
  <c r="V5378" i="1"/>
  <c r="B5378" i="2" s="1"/>
  <c r="A5378" i="1"/>
  <c r="V5377" i="1"/>
  <c r="B5377" i="2" s="1"/>
  <c r="A5377" i="1"/>
  <c r="V5376" i="1"/>
  <c r="B5376" i="2" s="1"/>
  <c r="A5376" i="1"/>
  <c r="V5375" i="1"/>
  <c r="B5375" i="2" s="1"/>
  <c r="A5375" i="1"/>
  <c r="V5374" i="1"/>
  <c r="B5374" i="2" s="1"/>
  <c r="A5374" i="1"/>
  <c r="V5373" i="1"/>
  <c r="B5373" i="2" s="1"/>
  <c r="A5373" i="1"/>
  <c r="V5372" i="1"/>
  <c r="B5372" i="2" s="1"/>
  <c r="A5372" i="1"/>
  <c r="V5371" i="1"/>
  <c r="B5371" i="2" s="1"/>
  <c r="A5371" i="1"/>
  <c r="V5370" i="1"/>
  <c r="B5370" i="2" s="1"/>
  <c r="A5370" i="1"/>
  <c r="V5369" i="1"/>
  <c r="B5369" i="2" s="1"/>
  <c r="A5369" i="1"/>
  <c r="V5368" i="1"/>
  <c r="B5368" i="2" s="1"/>
  <c r="A5368" i="1"/>
  <c r="V5367" i="1"/>
  <c r="B5367" i="2" s="1"/>
  <c r="A5367" i="1"/>
  <c r="V5366" i="1"/>
  <c r="B5366" i="2" s="1"/>
  <c r="A5366" i="1"/>
  <c r="V5365" i="1"/>
  <c r="B5365" i="2" s="1"/>
  <c r="A5365" i="1"/>
  <c r="V5364" i="1"/>
  <c r="B5364" i="2" s="1"/>
  <c r="A5364" i="1"/>
  <c r="V5363" i="1"/>
  <c r="B5363" i="2" s="1"/>
  <c r="A5363" i="1"/>
  <c r="V5362" i="1"/>
  <c r="B5362" i="2" s="1"/>
  <c r="A5362" i="1"/>
  <c r="V5361" i="1"/>
  <c r="B5361" i="2" s="1"/>
  <c r="A5361" i="1"/>
  <c r="V5360" i="1"/>
  <c r="B5360" i="2" s="1"/>
  <c r="A5360" i="1"/>
  <c r="V5359" i="1"/>
  <c r="B5359" i="2" s="1"/>
  <c r="A5359" i="1"/>
  <c r="V5358" i="1"/>
  <c r="B5358" i="2" s="1"/>
  <c r="A5358" i="1"/>
  <c r="V5357" i="1"/>
  <c r="B5357" i="2" s="1"/>
  <c r="A5357" i="1"/>
  <c r="V5356" i="1"/>
  <c r="B5356" i="2" s="1"/>
  <c r="A5356" i="1"/>
  <c r="V5355" i="1"/>
  <c r="B5355" i="2" s="1"/>
  <c r="A5355" i="1"/>
  <c r="V5354" i="1"/>
  <c r="B5354" i="2" s="1"/>
  <c r="A5354" i="1"/>
  <c r="V5353" i="1"/>
  <c r="B5353" i="2" s="1"/>
  <c r="A5353" i="1"/>
  <c r="V5352" i="1"/>
  <c r="B5352" i="2" s="1"/>
  <c r="A5352" i="1"/>
  <c r="V5351" i="1"/>
  <c r="B5351" i="2" s="1"/>
  <c r="A5351" i="1"/>
  <c r="V5350" i="1"/>
  <c r="B5350" i="2" s="1"/>
  <c r="A5350" i="1"/>
  <c r="V5349" i="1"/>
  <c r="B5349" i="2" s="1"/>
  <c r="A5349" i="1"/>
  <c r="V5348" i="1"/>
  <c r="B5348" i="2" s="1"/>
  <c r="A5348" i="1"/>
  <c r="V5347" i="1"/>
  <c r="B5347" i="2" s="1"/>
  <c r="A5347" i="1"/>
  <c r="V5346" i="1"/>
  <c r="B5346" i="2" s="1"/>
  <c r="A5346" i="1"/>
  <c r="V5345" i="1"/>
  <c r="B5345" i="2" s="1"/>
  <c r="A5345" i="1"/>
  <c r="V5344" i="1"/>
  <c r="B5344" i="2" s="1"/>
  <c r="A5344" i="1"/>
  <c r="V5343" i="1"/>
  <c r="B5343" i="2" s="1"/>
  <c r="A5343" i="1"/>
  <c r="V5342" i="1"/>
  <c r="B5342" i="2" s="1"/>
  <c r="A5342" i="1"/>
  <c r="V5341" i="1"/>
  <c r="B5341" i="2" s="1"/>
  <c r="A5341" i="1"/>
  <c r="V5340" i="1"/>
  <c r="B5340" i="2" s="1"/>
  <c r="A5340" i="1"/>
  <c r="V5339" i="1"/>
  <c r="B5339" i="2" s="1"/>
  <c r="A5339" i="1"/>
  <c r="V5338" i="1"/>
  <c r="B5338" i="2" s="1"/>
  <c r="A5338" i="1"/>
  <c r="V5337" i="1"/>
  <c r="B5337" i="2" s="1"/>
  <c r="A5337" i="1"/>
  <c r="V5336" i="1"/>
  <c r="B5336" i="2" s="1"/>
  <c r="A5336" i="1"/>
  <c r="V5335" i="1"/>
  <c r="B5335" i="2" s="1"/>
  <c r="A5335" i="1"/>
  <c r="V5334" i="1"/>
  <c r="B5334" i="2" s="1"/>
  <c r="A5334" i="1"/>
  <c r="V5333" i="1"/>
  <c r="B5333" i="2" s="1"/>
  <c r="A5333" i="1"/>
  <c r="V5332" i="1"/>
  <c r="B5332" i="2" s="1"/>
  <c r="A5332" i="1"/>
  <c r="V5331" i="1"/>
  <c r="B5331" i="2" s="1"/>
  <c r="A5331" i="1"/>
  <c r="V5330" i="1"/>
  <c r="B5330" i="2" s="1"/>
  <c r="A5330" i="1"/>
  <c r="V5329" i="1"/>
  <c r="B5329" i="2" s="1"/>
  <c r="A5329" i="1"/>
  <c r="V5328" i="1"/>
  <c r="B5328" i="2" s="1"/>
  <c r="A5328" i="1"/>
  <c r="V5327" i="1"/>
  <c r="B5327" i="2" s="1"/>
  <c r="A5327" i="1"/>
  <c r="V5326" i="1"/>
  <c r="B5326" i="2" s="1"/>
  <c r="A5326" i="1"/>
  <c r="V5325" i="1"/>
  <c r="B5325" i="2" s="1"/>
  <c r="A5325" i="1"/>
  <c r="V5324" i="1"/>
  <c r="B5324" i="2" s="1"/>
  <c r="A5324" i="1"/>
  <c r="V5323" i="1"/>
  <c r="B5323" i="2" s="1"/>
  <c r="A5323" i="1"/>
  <c r="V5322" i="1"/>
  <c r="B5322" i="2" s="1"/>
  <c r="A5322" i="1"/>
  <c r="V5321" i="1"/>
  <c r="B5321" i="2" s="1"/>
  <c r="A5321" i="1"/>
  <c r="V5320" i="1"/>
  <c r="B5320" i="2" s="1"/>
  <c r="A5320" i="1"/>
  <c r="V5319" i="1"/>
  <c r="B5319" i="2" s="1"/>
  <c r="A5319" i="1"/>
  <c r="V5318" i="1"/>
  <c r="B5318" i="2" s="1"/>
  <c r="A5318" i="1"/>
  <c r="V5317" i="1"/>
  <c r="B5317" i="2" s="1"/>
  <c r="A5317" i="1"/>
  <c r="V5316" i="1"/>
  <c r="B5316" i="2" s="1"/>
  <c r="A5316" i="1"/>
  <c r="V5315" i="1"/>
  <c r="B5315" i="2" s="1"/>
  <c r="A5315" i="1"/>
  <c r="V5314" i="1"/>
  <c r="B5314" i="2" s="1"/>
  <c r="A5314" i="1"/>
  <c r="V5313" i="1"/>
  <c r="B5313" i="2" s="1"/>
  <c r="A5313" i="1"/>
  <c r="V5312" i="1"/>
  <c r="B5312" i="2" s="1"/>
  <c r="A5312" i="1"/>
  <c r="V5311" i="1"/>
  <c r="B5311" i="2" s="1"/>
  <c r="A5311" i="1"/>
  <c r="V5310" i="1"/>
  <c r="B5310" i="2" s="1"/>
  <c r="A5310" i="1"/>
  <c r="V5309" i="1"/>
  <c r="B5309" i="2" s="1"/>
  <c r="A5309" i="1"/>
  <c r="V5308" i="1"/>
  <c r="B5308" i="2" s="1"/>
  <c r="A5308" i="1"/>
  <c r="V5307" i="1"/>
  <c r="B5307" i="2" s="1"/>
  <c r="A5307" i="1"/>
  <c r="V5306" i="1"/>
  <c r="B5306" i="2" s="1"/>
  <c r="A5306" i="1"/>
  <c r="V5305" i="1"/>
  <c r="B5305" i="2" s="1"/>
  <c r="A5305" i="1"/>
  <c r="V5304" i="1"/>
  <c r="B5304" i="2" s="1"/>
  <c r="A5304" i="1"/>
  <c r="V5303" i="1"/>
  <c r="B5303" i="2" s="1"/>
  <c r="A5303" i="1"/>
  <c r="V5302" i="1"/>
  <c r="B5302" i="2" s="1"/>
  <c r="A5302" i="1"/>
  <c r="V5301" i="1"/>
  <c r="B5301" i="2" s="1"/>
  <c r="A5301" i="1"/>
  <c r="V5300" i="1"/>
  <c r="B5300" i="2" s="1"/>
  <c r="A5300" i="1"/>
  <c r="V5299" i="1"/>
  <c r="B5299" i="2" s="1"/>
  <c r="A5299" i="1"/>
  <c r="V5298" i="1"/>
  <c r="B5298" i="2" s="1"/>
  <c r="A5298" i="1"/>
  <c r="V5297" i="1"/>
  <c r="B5297" i="2" s="1"/>
  <c r="A5297" i="1"/>
  <c r="V5296" i="1"/>
  <c r="B5296" i="2" s="1"/>
  <c r="A5296" i="1"/>
  <c r="V5295" i="1"/>
  <c r="B5295" i="2" s="1"/>
  <c r="A5295" i="1"/>
  <c r="V5294" i="1"/>
  <c r="B5294" i="2" s="1"/>
  <c r="A5294" i="1"/>
  <c r="V5293" i="1"/>
  <c r="B5293" i="2" s="1"/>
  <c r="A5293" i="1"/>
  <c r="V5292" i="1"/>
  <c r="B5292" i="2" s="1"/>
  <c r="A5292" i="1"/>
  <c r="V5291" i="1"/>
  <c r="B5291" i="2" s="1"/>
  <c r="A5291" i="1"/>
  <c r="V5290" i="1"/>
  <c r="B5290" i="2" s="1"/>
  <c r="A5290" i="1"/>
  <c r="V5289" i="1"/>
  <c r="B5289" i="2" s="1"/>
  <c r="A5289" i="1"/>
  <c r="V5288" i="1"/>
  <c r="B5288" i="2" s="1"/>
  <c r="A5288" i="1"/>
  <c r="V5287" i="1"/>
  <c r="B5287" i="2" s="1"/>
  <c r="A5287" i="1"/>
  <c r="V5286" i="1"/>
  <c r="B5286" i="2" s="1"/>
  <c r="A5286" i="1"/>
  <c r="V5285" i="1"/>
  <c r="B5285" i="2" s="1"/>
  <c r="A5285" i="1"/>
  <c r="V5284" i="1"/>
  <c r="B5284" i="2" s="1"/>
  <c r="A5284" i="1"/>
  <c r="V5283" i="1"/>
  <c r="B5283" i="2" s="1"/>
  <c r="A5283" i="1"/>
  <c r="V5282" i="1"/>
  <c r="B5282" i="2" s="1"/>
  <c r="A5282" i="1"/>
  <c r="V5281" i="1"/>
  <c r="B5281" i="2" s="1"/>
  <c r="A5281" i="1"/>
  <c r="V5280" i="1"/>
  <c r="B5280" i="2" s="1"/>
  <c r="A5280" i="1"/>
  <c r="V5279" i="1"/>
  <c r="B5279" i="2" s="1"/>
  <c r="A5279" i="1"/>
  <c r="V5278" i="1"/>
  <c r="B5278" i="2" s="1"/>
  <c r="A5278" i="1"/>
  <c r="V5277" i="1"/>
  <c r="B5277" i="2" s="1"/>
  <c r="A5277" i="1"/>
  <c r="V5276" i="1"/>
  <c r="B5276" i="2" s="1"/>
  <c r="A5276" i="1"/>
  <c r="V5275" i="1"/>
  <c r="B5275" i="2" s="1"/>
  <c r="A5275" i="1"/>
  <c r="V5274" i="1"/>
  <c r="B5274" i="2" s="1"/>
  <c r="A5274" i="1"/>
  <c r="V5273" i="1"/>
  <c r="B5273" i="2" s="1"/>
  <c r="A5273" i="1"/>
  <c r="V5272" i="1"/>
  <c r="B5272" i="2" s="1"/>
  <c r="A5272" i="1"/>
  <c r="V5271" i="1"/>
  <c r="B5271" i="2" s="1"/>
  <c r="A5271" i="1"/>
  <c r="V5270" i="1"/>
  <c r="B5270" i="2" s="1"/>
  <c r="A5270" i="1"/>
  <c r="V5269" i="1"/>
  <c r="B5269" i="2" s="1"/>
  <c r="A5269" i="1"/>
  <c r="V5268" i="1"/>
  <c r="B5268" i="2" s="1"/>
  <c r="A5268" i="1"/>
  <c r="V5267" i="1"/>
  <c r="B5267" i="2" s="1"/>
  <c r="A5267" i="1"/>
  <c r="V5266" i="1"/>
  <c r="B5266" i="2" s="1"/>
  <c r="A5266" i="1"/>
  <c r="V5265" i="1"/>
  <c r="B5265" i="2" s="1"/>
  <c r="A5265" i="1"/>
  <c r="V5264" i="1"/>
  <c r="B5264" i="2" s="1"/>
  <c r="A5264" i="1"/>
  <c r="V5263" i="1"/>
  <c r="B5263" i="2" s="1"/>
  <c r="A5263" i="1"/>
  <c r="V5262" i="1"/>
  <c r="B5262" i="2" s="1"/>
  <c r="A5262" i="1"/>
  <c r="V5261" i="1"/>
  <c r="B5261" i="2" s="1"/>
  <c r="A5261" i="1"/>
  <c r="V5260" i="1"/>
  <c r="B5260" i="2" s="1"/>
  <c r="A5260" i="1"/>
  <c r="V5259" i="1"/>
  <c r="B5259" i="2" s="1"/>
  <c r="A5259" i="1"/>
  <c r="V5258" i="1"/>
  <c r="B5258" i="2" s="1"/>
  <c r="A5258" i="1"/>
  <c r="V5257" i="1"/>
  <c r="B5257" i="2" s="1"/>
  <c r="A5257" i="1"/>
  <c r="V5256" i="1"/>
  <c r="B5256" i="2" s="1"/>
  <c r="A5256" i="1"/>
  <c r="V5255" i="1"/>
  <c r="B5255" i="2" s="1"/>
  <c r="A5255" i="1"/>
  <c r="V5254" i="1"/>
  <c r="B5254" i="2" s="1"/>
  <c r="A5254" i="1"/>
  <c r="V5253" i="1"/>
  <c r="B5253" i="2" s="1"/>
  <c r="A5253" i="1"/>
  <c r="V5252" i="1"/>
  <c r="B5252" i="2" s="1"/>
  <c r="A5252" i="1"/>
  <c r="V5251" i="1"/>
  <c r="B5251" i="2" s="1"/>
  <c r="A5251" i="1"/>
  <c r="V5250" i="1"/>
  <c r="B5250" i="2" s="1"/>
  <c r="A5250" i="1"/>
  <c r="V5249" i="1"/>
  <c r="B5249" i="2" s="1"/>
  <c r="A5249" i="1"/>
  <c r="V5248" i="1"/>
  <c r="B5248" i="2" s="1"/>
  <c r="A5248" i="1"/>
  <c r="V5247" i="1"/>
  <c r="B5247" i="2" s="1"/>
  <c r="A5247" i="1"/>
  <c r="V5246" i="1"/>
  <c r="B5246" i="2" s="1"/>
  <c r="A5246" i="1"/>
  <c r="V5245" i="1"/>
  <c r="B5245" i="2" s="1"/>
  <c r="A5245" i="1"/>
  <c r="V5244" i="1"/>
  <c r="B5244" i="2" s="1"/>
  <c r="A5244" i="1"/>
  <c r="V5243" i="1"/>
  <c r="B5243" i="2" s="1"/>
  <c r="A5243" i="1"/>
  <c r="V5242" i="1"/>
  <c r="B5242" i="2" s="1"/>
  <c r="A5242" i="1"/>
  <c r="V5241" i="1"/>
  <c r="B5241" i="2" s="1"/>
  <c r="A5241" i="1"/>
  <c r="V5240" i="1"/>
  <c r="B5240" i="2" s="1"/>
  <c r="A5240" i="1"/>
  <c r="V5239" i="1"/>
  <c r="B5239" i="2" s="1"/>
  <c r="A5239" i="1"/>
  <c r="V5238" i="1"/>
  <c r="B5238" i="2" s="1"/>
  <c r="A5238" i="1"/>
  <c r="V5237" i="1"/>
  <c r="B5237" i="2" s="1"/>
  <c r="A5237" i="1"/>
  <c r="V5236" i="1"/>
  <c r="B5236" i="2" s="1"/>
  <c r="A5236" i="1"/>
  <c r="V5235" i="1"/>
  <c r="B5235" i="2" s="1"/>
  <c r="A5235" i="1"/>
  <c r="V5234" i="1"/>
  <c r="B5234" i="2" s="1"/>
  <c r="A5234" i="1"/>
  <c r="V5233" i="1"/>
  <c r="B5233" i="2" s="1"/>
  <c r="A5233" i="1"/>
  <c r="V5232" i="1"/>
  <c r="B5232" i="2" s="1"/>
  <c r="A5232" i="1"/>
  <c r="V5231" i="1"/>
  <c r="B5231" i="2" s="1"/>
  <c r="A5231" i="1"/>
  <c r="V5230" i="1"/>
  <c r="B5230" i="2" s="1"/>
  <c r="A5230" i="1"/>
  <c r="V5229" i="1"/>
  <c r="B5229" i="2" s="1"/>
  <c r="A5229" i="1"/>
  <c r="V5228" i="1"/>
  <c r="B5228" i="2" s="1"/>
  <c r="A5228" i="1"/>
  <c r="V5227" i="1"/>
  <c r="B5227" i="2" s="1"/>
  <c r="A5227" i="1"/>
  <c r="V5226" i="1"/>
  <c r="B5226" i="2" s="1"/>
  <c r="A5226" i="1"/>
  <c r="V5225" i="1"/>
  <c r="B5225" i="2" s="1"/>
  <c r="A5225" i="1"/>
  <c r="V5224" i="1"/>
  <c r="B5224" i="2" s="1"/>
  <c r="A5224" i="1"/>
  <c r="V5223" i="1"/>
  <c r="B5223" i="2" s="1"/>
  <c r="A5223" i="1"/>
  <c r="V5222" i="1"/>
  <c r="B5222" i="2" s="1"/>
  <c r="A5222" i="1"/>
  <c r="V5221" i="1"/>
  <c r="B5221" i="2" s="1"/>
  <c r="A5221" i="1"/>
  <c r="V5220" i="1"/>
  <c r="B5220" i="2" s="1"/>
  <c r="A5220" i="1"/>
  <c r="V5219" i="1"/>
  <c r="B5219" i="2" s="1"/>
  <c r="A5219" i="1"/>
  <c r="V5218" i="1"/>
  <c r="B5218" i="2" s="1"/>
  <c r="A5218" i="1"/>
  <c r="V5217" i="1"/>
  <c r="B5217" i="2" s="1"/>
  <c r="A5217" i="1"/>
  <c r="V5216" i="1"/>
  <c r="B5216" i="2" s="1"/>
  <c r="A5216" i="1"/>
  <c r="V5215" i="1"/>
  <c r="B5215" i="2" s="1"/>
  <c r="A5215" i="1"/>
  <c r="V5214" i="1"/>
  <c r="B5214" i="2" s="1"/>
  <c r="A5214" i="1"/>
  <c r="V5213" i="1"/>
  <c r="B5213" i="2" s="1"/>
  <c r="A5213" i="1"/>
  <c r="V5212" i="1"/>
  <c r="B5212" i="2" s="1"/>
  <c r="A5212" i="1"/>
  <c r="V5211" i="1"/>
  <c r="B5211" i="2" s="1"/>
  <c r="A5211" i="1"/>
  <c r="V5210" i="1"/>
  <c r="B5210" i="2" s="1"/>
  <c r="A5210" i="1"/>
  <c r="V5209" i="1"/>
  <c r="B5209" i="2" s="1"/>
  <c r="A5209" i="1"/>
  <c r="V5208" i="1"/>
  <c r="B5208" i="2" s="1"/>
  <c r="A5208" i="1"/>
  <c r="V5207" i="1"/>
  <c r="B5207" i="2" s="1"/>
  <c r="A5207" i="1"/>
  <c r="V5206" i="1"/>
  <c r="B5206" i="2" s="1"/>
  <c r="A5206" i="1"/>
  <c r="V5205" i="1"/>
  <c r="B5205" i="2" s="1"/>
  <c r="A5205" i="1"/>
  <c r="V5204" i="1"/>
  <c r="B5204" i="2" s="1"/>
  <c r="A5204" i="1"/>
  <c r="V5203" i="1"/>
  <c r="B5203" i="2" s="1"/>
  <c r="A5203" i="1"/>
  <c r="V5202" i="1"/>
  <c r="B5202" i="2" s="1"/>
  <c r="A5202" i="1"/>
  <c r="V5201" i="1"/>
  <c r="B5201" i="2" s="1"/>
  <c r="A5201" i="1"/>
  <c r="V5200" i="1"/>
  <c r="B5200" i="2" s="1"/>
  <c r="A5200" i="1"/>
  <c r="V5199" i="1"/>
  <c r="B5199" i="2" s="1"/>
  <c r="A5199" i="1"/>
  <c r="V5198" i="1"/>
  <c r="B5198" i="2" s="1"/>
  <c r="A5198" i="1"/>
  <c r="V5197" i="1"/>
  <c r="B5197" i="2" s="1"/>
  <c r="A5197" i="1"/>
  <c r="V5196" i="1"/>
  <c r="B5196" i="2" s="1"/>
  <c r="A5196" i="1"/>
  <c r="V5195" i="1"/>
  <c r="B5195" i="2" s="1"/>
  <c r="A5195" i="1"/>
  <c r="V5194" i="1"/>
  <c r="B5194" i="2" s="1"/>
  <c r="A5194" i="1"/>
  <c r="V5193" i="1"/>
  <c r="B5193" i="2" s="1"/>
  <c r="A5193" i="1"/>
  <c r="V5192" i="1"/>
  <c r="B5192" i="2" s="1"/>
  <c r="A5192" i="1"/>
  <c r="V5191" i="1"/>
  <c r="B5191" i="2" s="1"/>
  <c r="A5191" i="1"/>
  <c r="V5190" i="1"/>
  <c r="B5190" i="2" s="1"/>
  <c r="A5190" i="1"/>
  <c r="V5189" i="1"/>
  <c r="B5189" i="2" s="1"/>
  <c r="A5189" i="1"/>
  <c r="V5188" i="1"/>
  <c r="B5188" i="2" s="1"/>
  <c r="A5188" i="1"/>
  <c r="V5187" i="1"/>
  <c r="B5187" i="2" s="1"/>
  <c r="A5187" i="1"/>
  <c r="V5186" i="1"/>
  <c r="B5186" i="2" s="1"/>
  <c r="A5186" i="1"/>
  <c r="V5185" i="1"/>
  <c r="B5185" i="2" s="1"/>
  <c r="A5185" i="1"/>
  <c r="V5184" i="1"/>
  <c r="B5184" i="2" s="1"/>
  <c r="A5184" i="1"/>
  <c r="V5183" i="1"/>
  <c r="B5183" i="2" s="1"/>
  <c r="A5183" i="1"/>
  <c r="V5182" i="1"/>
  <c r="B5182" i="2" s="1"/>
  <c r="A5182" i="1"/>
  <c r="V5181" i="1"/>
  <c r="B5181" i="2" s="1"/>
  <c r="A5181" i="1"/>
  <c r="V5180" i="1"/>
  <c r="B5180" i="2" s="1"/>
  <c r="A5180" i="1"/>
  <c r="V5179" i="1"/>
  <c r="B5179" i="2" s="1"/>
  <c r="A5179" i="1"/>
  <c r="V5178" i="1"/>
  <c r="B5178" i="2" s="1"/>
  <c r="A5178" i="1"/>
  <c r="V5177" i="1"/>
  <c r="B5177" i="2" s="1"/>
  <c r="A5177" i="1"/>
  <c r="V5176" i="1"/>
  <c r="B5176" i="2" s="1"/>
  <c r="A5176" i="1"/>
  <c r="V5175" i="1"/>
  <c r="B5175" i="2" s="1"/>
  <c r="A5175" i="1"/>
  <c r="V5174" i="1"/>
  <c r="B5174" i="2" s="1"/>
  <c r="A5174" i="1"/>
  <c r="V5173" i="1"/>
  <c r="B5173" i="2" s="1"/>
  <c r="A5173" i="1"/>
  <c r="V5172" i="1"/>
  <c r="B5172" i="2" s="1"/>
  <c r="A5172" i="1"/>
  <c r="V5171" i="1"/>
  <c r="B5171" i="2" s="1"/>
  <c r="A5171" i="1"/>
  <c r="V5170" i="1"/>
  <c r="B5170" i="2" s="1"/>
  <c r="A5170" i="1"/>
  <c r="V5169" i="1"/>
  <c r="B5169" i="2" s="1"/>
  <c r="A5169" i="1"/>
  <c r="V5168" i="1"/>
  <c r="B5168" i="2" s="1"/>
  <c r="A5168" i="1"/>
  <c r="V5167" i="1"/>
  <c r="B5167" i="2" s="1"/>
  <c r="A5167" i="1"/>
  <c r="V5166" i="1"/>
  <c r="B5166" i="2" s="1"/>
  <c r="A5166" i="1"/>
  <c r="V5165" i="1"/>
  <c r="B5165" i="2" s="1"/>
  <c r="A5165" i="1"/>
  <c r="V5164" i="1"/>
  <c r="B5164" i="2" s="1"/>
  <c r="A5164" i="1"/>
  <c r="V5163" i="1"/>
  <c r="B5163" i="2" s="1"/>
  <c r="A5163" i="1"/>
  <c r="V5162" i="1"/>
  <c r="B5162" i="2" s="1"/>
  <c r="A5162" i="1"/>
  <c r="V5161" i="1"/>
  <c r="B5161" i="2" s="1"/>
  <c r="A5161" i="1"/>
  <c r="V5160" i="1"/>
  <c r="B5160" i="2" s="1"/>
  <c r="A5160" i="1"/>
  <c r="V5159" i="1"/>
  <c r="B5159" i="2" s="1"/>
  <c r="A5159" i="1"/>
  <c r="V5158" i="1"/>
  <c r="B5158" i="2" s="1"/>
  <c r="A5158" i="1"/>
  <c r="V5157" i="1"/>
  <c r="B5157" i="2" s="1"/>
  <c r="A5157" i="1"/>
  <c r="V5156" i="1"/>
  <c r="B5156" i="2" s="1"/>
  <c r="A5156" i="1"/>
  <c r="V5155" i="1"/>
  <c r="B5155" i="2" s="1"/>
  <c r="A5155" i="1"/>
  <c r="V5154" i="1"/>
  <c r="B5154" i="2" s="1"/>
  <c r="A5154" i="1"/>
  <c r="V5153" i="1"/>
  <c r="B5153" i="2" s="1"/>
  <c r="A5153" i="1"/>
  <c r="V5152" i="1"/>
  <c r="B5152" i="2" s="1"/>
  <c r="A5152" i="1"/>
  <c r="V5151" i="1"/>
  <c r="B5151" i="2" s="1"/>
  <c r="A5151" i="1"/>
  <c r="V5150" i="1"/>
  <c r="B5150" i="2" s="1"/>
  <c r="A5150" i="1"/>
  <c r="V5149" i="1"/>
  <c r="B5149" i="2" s="1"/>
  <c r="A5149" i="1"/>
  <c r="V5148" i="1"/>
  <c r="B5148" i="2" s="1"/>
  <c r="A5148" i="1"/>
  <c r="V5147" i="1"/>
  <c r="B5147" i="2" s="1"/>
  <c r="A5147" i="1"/>
  <c r="V5146" i="1"/>
  <c r="B5146" i="2" s="1"/>
  <c r="A5146" i="1"/>
  <c r="V5145" i="1"/>
  <c r="B5145" i="2" s="1"/>
  <c r="A5145" i="1"/>
  <c r="V5144" i="1"/>
  <c r="B5144" i="2" s="1"/>
  <c r="A5144" i="1"/>
  <c r="V5143" i="1"/>
  <c r="B5143" i="2" s="1"/>
  <c r="A5143" i="1"/>
  <c r="V5142" i="1"/>
  <c r="B5142" i="2" s="1"/>
  <c r="A5142" i="1"/>
  <c r="V5141" i="1"/>
  <c r="B5141" i="2" s="1"/>
  <c r="A5141" i="1"/>
  <c r="V5140" i="1"/>
  <c r="B5140" i="2" s="1"/>
  <c r="A5140" i="1"/>
  <c r="V5139" i="1"/>
  <c r="B5139" i="2" s="1"/>
  <c r="A5139" i="1"/>
  <c r="V5138" i="1"/>
  <c r="B5138" i="2" s="1"/>
  <c r="A5138" i="1"/>
  <c r="V5137" i="1"/>
  <c r="B5137" i="2" s="1"/>
  <c r="A5137" i="1"/>
  <c r="V5136" i="1"/>
  <c r="B5136" i="2" s="1"/>
  <c r="A5136" i="1"/>
  <c r="V5135" i="1"/>
  <c r="B5135" i="2" s="1"/>
  <c r="A5135" i="1"/>
  <c r="V5134" i="1"/>
  <c r="B5134" i="2" s="1"/>
  <c r="A5134" i="1"/>
  <c r="V5133" i="1"/>
  <c r="B5133" i="2" s="1"/>
  <c r="A5133" i="1"/>
  <c r="V5132" i="1"/>
  <c r="B5132" i="2" s="1"/>
  <c r="A5132" i="1"/>
  <c r="V5131" i="1"/>
  <c r="B5131" i="2" s="1"/>
  <c r="A5131" i="1"/>
  <c r="V5130" i="1"/>
  <c r="B5130" i="2" s="1"/>
  <c r="A5130" i="1"/>
  <c r="V5129" i="1"/>
  <c r="B5129" i="2" s="1"/>
  <c r="A5129" i="1"/>
  <c r="V5128" i="1"/>
  <c r="B5128" i="2" s="1"/>
  <c r="A5128" i="1"/>
  <c r="V5127" i="1"/>
  <c r="B5127" i="2" s="1"/>
  <c r="A5127" i="1"/>
  <c r="V5126" i="1"/>
  <c r="B5126" i="2" s="1"/>
  <c r="A5126" i="1"/>
  <c r="V5125" i="1"/>
  <c r="B5125" i="2" s="1"/>
  <c r="A5125" i="1"/>
  <c r="V5124" i="1"/>
  <c r="B5124" i="2" s="1"/>
  <c r="A5124" i="1"/>
  <c r="V5123" i="1"/>
  <c r="B5123" i="2" s="1"/>
  <c r="A5123" i="1"/>
  <c r="V5122" i="1"/>
  <c r="B5122" i="2" s="1"/>
  <c r="A5122" i="1"/>
  <c r="V5121" i="1"/>
  <c r="B5121" i="2" s="1"/>
  <c r="A5121" i="1"/>
  <c r="V5120" i="1"/>
  <c r="B5120" i="2" s="1"/>
  <c r="A5120" i="1"/>
  <c r="V5119" i="1"/>
  <c r="B5119" i="2" s="1"/>
  <c r="A5119" i="1"/>
  <c r="V5118" i="1"/>
  <c r="B5118" i="2" s="1"/>
  <c r="A5118" i="1"/>
  <c r="V5117" i="1"/>
  <c r="B5117" i="2" s="1"/>
  <c r="A5117" i="1"/>
  <c r="V5116" i="1"/>
  <c r="B5116" i="2" s="1"/>
  <c r="A5116" i="1"/>
  <c r="V5115" i="1"/>
  <c r="B5115" i="2" s="1"/>
  <c r="A5115" i="1"/>
  <c r="V5114" i="1"/>
  <c r="B5114" i="2" s="1"/>
  <c r="A5114" i="1"/>
  <c r="V5113" i="1"/>
  <c r="B5113" i="2" s="1"/>
  <c r="A5113" i="1"/>
  <c r="V5112" i="1"/>
  <c r="B5112" i="2" s="1"/>
  <c r="A5112" i="1"/>
  <c r="V5111" i="1"/>
  <c r="B5111" i="2" s="1"/>
  <c r="A5111" i="1"/>
  <c r="V5110" i="1"/>
  <c r="B5110" i="2" s="1"/>
  <c r="A5110" i="1"/>
  <c r="V5109" i="1"/>
  <c r="B5109" i="2" s="1"/>
  <c r="A5109" i="1"/>
  <c r="V5108" i="1"/>
  <c r="B5108" i="2" s="1"/>
  <c r="A5108" i="1"/>
  <c r="V5107" i="1"/>
  <c r="B5107" i="2" s="1"/>
  <c r="A5107" i="1"/>
  <c r="V5106" i="1"/>
  <c r="B5106" i="2" s="1"/>
  <c r="A5106" i="1"/>
  <c r="V5105" i="1"/>
  <c r="B5105" i="2" s="1"/>
  <c r="A5105" i="1"/>
  <c r="V5104" i="1"/>
  <c r="B5104" i="2" s="1"/>
  <c r="A5104" i="1"/>
  <c r="V5103" i="1"/>
  <c r="B5103" i="2" s="1"/>
  <c r="A5103" i="1"/>
  <c r="V5102" i="1"/>
  <c r="B5102" i="2" s="1"/>
  <c r="A5102" i="1"/>
  <c r="V5101" i="1"/>
  <c r="B5101" i="2" s="1"/>
  <c r="A5101" i="1"/>
  <c r="V5100" i="1"/>
  <c r="B5100" i="2" s="1"/>
  <c r="A5100" i="1"/>
  <c r="V5099" i="1"/>
  <c r="B5099" i="2" s="1"/>
  <c r="A5099" i="1"/>
  <c r="V5098" i="1"/>
  <c r="B5098" i="2" s="1"/>
  <c r="A5098" i="1"/>
  <c r="V5097" i="1"/>
  <c r="B5097" i="2" s="1"/>
  <c r="A5097" i="1"/>
  <c r="V5096" i="1"/>
  <c r="B5096" i="2" s="1"/>
  <c r="A5096" i="1"/>
  <c r="V5095" i="1"/>
  <c r="B5095" i="2" s="1"/>
  <c r="A5095" i="1"/>
  <c r="V5094" i="1"/>
  <c r="B5094" i="2" s="1"/>
  <c r="A5094" i="1"/>
  <c r="V5093" i="1"/>
  <c r="B5093" i="2" s="1"/>
  <c r="A5093" i="1"/>
  <c r="V5092" i="1"/>
  <c r="B5092" i="2" s="1"/>
  <c r="A5092" i="1"/>
  <c r="V5091" i="1"/>
  <c r="B5091" i="2" s="1"/>
  <c r="A5091" i="1"/>
  <c r="V5090" i="1"/>
  <c r="B5090" i="2" s="1"/>
  <c r="A5090" i="1"/>
  <c r="V5089" i="1"/>
  <c r="B5089" i="2" s="1"/>
  <c r="A5089" i="1"/>
  <c r="V5088" i="1"/>
  <c r="B5088" i="2" s="1"/>
  <c r="A5088" i="1"/>
  <c r="V5087" i="1"/>
  <c r="B5087" i="2" s="1"/>
  <c r="A5087" i="1"/>
  <c r="V5086" i="1"/>
  <c r="B5086" i="2" s="1"/>
  <c r="A5086" i="1"/>
  <c r="V5085" i="1"/>
  <c r="B5085" i="2" s="1"/>
  <c r="A5085" i="1"/>
  <c r="V5084" i="1"/>
  <c r="B5084" i="2" s="1"/>
  <c r="A5084" i="1"/>
  <c r="V5083" i="1"/>
  <c r="B5083" i="2" s="1"/>
  <c r="A5083" i="1"/>
  <c r="V5082" i="1"/>
  <c r="B5082" i="2" s="1"/>
  <c r="A5082" i="1"/>
  <c r="V5081" i="1"/>
  <c r="B5081" i="2" s="1"/>
  <c r="A5081" i="1"/>
  <c r="V5080" i="1"/>
  <c r="B5080" i="2" s="1"/>
  <c r="A5080" i="1"/>
  <c r="V5079" i="1"/>
  <c r="B5079" i="2" s="1"/>
  <c r="A5079" i="1"/>
  <c r="V5078" i="1"/>
  <c r="B5078" i="2" s="1"/>
  <c r="A5078" i="1"/>
  <c r="V5077" i="1"/>
  <c r="B5077" i="2" s="1"/>
  <c r="A5077" i="1"/>
  <c r="V5076" i="1"/>
  <c r="B5076" i="2" s="1"/>
  <c r="A5076" i="1"/>
  <c r="V5075" i="1"/>
  <c r="B5075" i="2" s="1"/>
  <c r="A5075" i="1"/>
  <c r="V5074" i="1"/>
  <c r="B5074" i="2" s="1"/>
  <c r="A5074" i="1"/>
  <c r="V5073" i="1"/>
  <c r="B5073" i="2" s="1"/>
  <c r="A5073" i="1"/>
  <c r="V5072" i="1"/>
  <c r="B5072" i="2" s="1"/>
  <c r="A5072" i="1"/>
  <c r="V5071" i="1"/>
  <c r="B5071" i="2" s="1"/>
  <c r="A5071" i="1"/>
  <c r="V5070" i="1"/>
  <c r="B5070" i="2" s="1"/>
  <c r="A5070" i="1"/>
  <c r="V5069" i="1"/>
  <c r="B5069" i="2" s="1"/>
  <c r="A5069" i="1"/>
  <c r="V5068" i="1"/>
  <c r="B5068" i="2" s="1"/>
  <c r="A5068" i="1"/>
  <c r="V5067" i="1"/>
  <c r="B5067" i="2" s="1"/>
  <c r="A5067" i="1"/>
  <c r="V5066" i="1"/>
  <c r="B5066" i="2" s="1"/>
  <c r="A5066" i="1"/>
  <c r="V5065" i="1"/>
  <c r="B5065" i="2" s="1"/>
  <c r="A5065" i="1"/>
  <c r="V5064" i="1"/>
  <c r="B5064" i="2" s="1"/>
  <c r="A5064" i="1"/>
  <c r="V5063" i="1"/>
  <c r="B5063" i="2" s="1"/>
  <c r="A5063" i="1"/>
  <c r="V5062" i="1"/>
  <c r="B5062" i="2" s="1"/>
  <c r="A5062" i="1"/>
  <c r="V5061" i="1"/>
  <c r="B5061" i="2" s="1"/>
  <c r="A5061" i="1"/>
  <c r="V5060" i="1"/>
  <c r="B5060" i="2" s="1"/>
  <c r="A5060" i="1"/>
  <c r="V5059" i="1"/>
  <c r="B5059" i="2" s="1"/>
  <c r="A5059" i="1"/>
  <c r="V5058" i="1"/>
  <c r="B5058" i="2" s="1"/>
  <c r="A5058" i="1"/>
  <c r="V5057" i="1"/>
  <c r="B5057" i="2" s="1"/>
  <c r="A5057" i="1"/>
  <c r="V5056" i="1"/>
  <c r="B5056" i="2" s="1"/>
  <c r="A5056" i="1"/>
  <c r="V5055" i="1"/>
  <c r="B5055" i="2" s="1"/>
  <c r="A5055" i="1"/>
  <c r="V5054" i="1"/>
  <c r="B5054" i="2" s="1"/>
  <c r="A5054" i="1"/>
  <c r="V5053" i="1"/>
  <c r="B5053" i="2" s="1"/>
  <c r="A5053" i="1"/>
  <c r="V5052" i="1"/>
  <c r="B5052" i="2" s="1"/>
  <c r="A5052" i="1"/>
  <c r="V5051" i="1"/>
  <c r="B5051" i="2" s="1"/>
  <c r="A5051" i="1"/>
  <c r="V5050" i="1"/>
  <c r="B5050" i="2" s="1"/>
  <c r="A5050" i="1"/>
  <c r="V5049" i="1"/>
  <c r="B5049" i="2" s="1"/>
  <c r="A5049" i="1"/>
  <c r="V5048" i="1"/>
  <c r="B5048" i="2" s="1"/>
  <c r="A5048" i="1"/>
  <c r="V5047" i="1"/>
  <c r="B5047" i="2" s="1"/>
  <c r="A5047" i="1"/>
  <c r="V5046" i="1"/>
  <c r="B5046" i="2" s="1"/>
  <c r="A5046" i="1"/>
  <c r="V5045" i="1"/>
  <c r="B5045" i="2" s="1"/>
  <c r="A5045" i="1"/>
  <c r="V5044" i="1"/>
  <c r="B5044" i="2" s="1"/>
  <c r="A5044" i="1"/>
  <c r="V5043" i="1"/>
  <c r="B5043" i="2" s="1"/>
  <c r="A5043" i="1"/>
  <c r="V5042" i="1"/>
  <c r="B5042" i="2" s="1"/>
  <c r="A5042" i="1"/>
  <c r="V5041" i="1"/>
  <c r="B5041" i="2" s="1"/>
  <c r="A5041" i="1"/>
  <c r="V5040" i="1"/>
  <c r="B5040" i="2" s="1"/>
  <c r="A5040" i="1"/>
  <c r="V5039" i="1"/>
  <c r="B5039" i="2" s="1"/>
  <c r="A5039" i="1"/>
  <c r="V5038" i="1"/>
  <c r="B5038" i="2" s="1"/>
  <c r="A5038" i="1"/>
  <c r="V5037" i="1"/>
  <c r="B5037" i="2" s="1"/>
  <c r="A5037" i="1"/>
  <c r="V5036" i="1"/>
  <c r="B5036" i="2" s="1"/>
  <c r="A5036" i="1"/>
  <c r="V5035" i="1"/>
  <c r="B5035" i="2" s="1"/>
  <c r="A5035" i="1"/>
  <c r="V5034" i="1"/>
  <c r="B5034" i="2" s="1"/>
  <c r="A5034" i="1"/>
  <c r="V5033" i="1"/>
  <c r="B5033" i="2" s="1"/>
  <c r="A5033" i="1"/>
  <c r="V5032" i="1"/>
  <c r="B5032" i="2" s="1"/>
  <c r="A5032" i="1"/>
  <c r="V5031" i="1"/>
  <c r="B5031" i="2" s="1"/>
  <c r="A5031" i="1"/>
  <c r="V5030" i="1"/>
  <c r="B5030" i="2" s="1"/>
  <c r="A5030" i="1"/>
  <c r="V5029" i="1"/>
  <c r="B5029" i="2" s="1"/>
  <c r="A5029" i="1"/>
  <c r="V5028" i="1"/>
  <c r="B5028" i="2" s="1"/>
  <c r="A5028" i="1"/>
  <c r="V5027" i="1"/>
  <c r="B5027" i="2" s="1"/>
  <c r="A5027" i="1"/>
  <c r="V5026" i="1"/>
  <c r="B5026" i="2" s="1"/>
  <c r="A5026" i="1"/>
  <c r="V5025" i="1"/>
  <c r="B5025" i="2" s="1"/>
  <c r="A5025" i="1"/>
  <c r="V5024" i="1"/>
  <c r="B5024" i="2" s="1"/>
  <c r="A5024" i="1"/>
  <c r="V5023" i="1"/>
  <c r="B5023" i="2" s="1"/>
  <c r="A5023" i="1"/>
  <c r="V5022" i="1"/>
  <c r="B5022" i="2" s="1"/>
  <c r="A5022" i="1"/>
  <c r="V5021" i="1"/>
  <c r="B5021" i="2" s="1"/>
  <c r="A5021" i="1"/>
  <c r="V5020" i="1"/>
  <c r="B5020" i="2" s="1"/>
  <c r="A5020" i="1"/>
  <c r="V5019" i="1"/>
  <c r="B5019" i="2" s="1"/>
  <c r="A5019" i="1"/>
  <c r="V5018" i="1"/>
  <c r="B5018" i="2" s="1"/>
  <c r="A5018" i="1"/>
  <c r="V5017" i="1"/>
  <c r="B5017" i="2" s="1"/>
  <c r="A5017" i="1"/>
  <c r="V5016" i="1"/>
  <c r="B5016" i="2" s="1"/>
  <c r="A5016" i="1"/>
  <c r="V5015" i="1"/>
  <c r="B5015" i="2" s="1"/>
  <c r="A5015" i="1"/>
  <c r="V5014" i="1"/>
  <c r="B5014" i="2" s="1"/>
  <c r="A5014" i="1"/>
  <c r="V5013" i="1"/>
  <c r="B5013" i="2" s="1"/>
  <c r="A5013" i="1"/>
  <c r="V5012" i="1"/>
  <c r="B5012" i="2" s="1"/>
  <c r="A5012" i="1"/>
  <c r="V5011" i="1"/>
  <c r="B5011" i="2" s="1"/>
  <c r="A5011" i="1"/>
  <c r="V5010" i="1"/>
  <c r="B5010" i="2" s="1"/>
  <c r="A5010" i="1"/>
  <c r="V5009" i="1"/>
  <c r="B5009" i="2" s="1"/>
  <c r="A5009" i="1"/>
  <c r="V5008" i="1"/>
  <c r="B5008" i="2" s="1"/>
  <c r="A5008" i="1"/>
  <c r="V5007" i="1"/>
  <c r="B5007" i="2" s="1"/>
  <c r="A5007" i="1"/>
  <c r="V5006" i="1"/>
  <c r="B5006" i="2" s="1"/>
  <c r="A5006" i="1"/>
  <c r="V5005" i="1"/>
  <c r="B5005" i="2" s="1"/>
  <c r="A5005" i="1"/>
  <c r="V5004" i="1"/>
  <c r="B5004" i="2" s="1"/>
  <c r="A5004" i="1"/>
  <c r="V5003" i="1"/>
  <c r="B5003" i="2" s="1"/>
  <c r="A5003" i="1"/>
  <c r="V5002" i="1"/>
  <c r="B5002" i="2" s="1"/>
  <c r="A5002" i="1"/>
  <c r="V5001" i="1"/>
  <c r="B5001" i="2" s="1"/>
  <c r="A5001" i="1"/>
  <c r="V5000" i="1"/>
  <c r="B5000" i="2" s="1"/>
  <c r="A5000" i="1"/>
  <c r="V4999" i="1"/>
  <c r="B4999" i="2" s="1"/>
  <c r="A4999" i="1"/>
  <c r="V4998" i="1"/>
  <c r="B4998" i="2" s="1"/>
  <c r="A4998" i="1"/>
  <c r="V4997" i="1"/>
  <c r="B4997" i="2" s="1"/>
  <c r="A4997" i="1"/>
  <c r="V4996" i="1"/>
  <c r="B4996" i="2" s="1"/>
  <c r="A4996" i="1"/>
  <c r="V4995" i="1"/>
  <c r="B4995" i="2" s="1"/>
  <c r="A4995" i="1"/>
  <c r="V4994" i="1"/>
  <c r="B4994" i="2" s="1"/>
  <c r="A4994" i="1"/>
  <c r="V4993" i="1"/>
  <c r="B4993" i="2" s="1"/>
  <c r="A4993" i="1"/>
  <c r="V4992" i="1"/>
  <c r="B4992" i="2" s="1"/>
  <c r="A4992" i="1"/>
  <c r="V4991" i="1"/>
  <c r="B4991" i="2" s="1"/>
  <c r="A4991" i="1"/>
  <c r="V4990" i="1"/>
  <c r="B4990" i="2" s="1"/>
  <c r="A4990" i="1"/>
  <c r="V4989" i="1"/>
  <c r="B4989" i="2" s="1"/>
  <c r="A4989" i="1"/>
  <c r="V4988" i="1"/>
  <c r="B4988" i="2" s="1"/>
  <c r="A4988" i="1"/>
  <c r="V4987" i="1"/>
  <c r="B4987" i="2" s="1"/>
  <c r="A4987" i="1"/>
  <c r="V4986" i="1"/>
  <c r="B4986" i="2" s="1"/>
  <c r="A4986" i="1"/>
  <c r="V4985" i="1"/>
  <c r="B4985" i="2" s="1"/>
  <c r="A4985" i="1"/>
  <c r="V4984" i="1"/>
  <c r="B4984" i="2" s="1"/>
  <c r="A4984" i="1"/>
  <c r="V4983" i="1"/>
  <c r="B4983" i="2" s="1"/>
  <c r="A4983" i="1"/>
  <c r="V4982" i="1"/>
  <c r="B4982" i="2" s="1"/>
  <c r="A4982" i="1"/>
  <c r="V4981" i="1"/>
  <c r="B4981" i="2" s="1"/>
  <c r="A4981" i="1"/>
  <c r="V4980" i="1"/>
  <c r="B4980" i="2" s="1"/>
  <c r="A4980" i="1"/>
  <c r="V4979" i="1"/>
  <c r="B4979" i="2" s="1"/>
  <c r="A4979" i="1"/>
  <c r="V4978" i="1"/>
  <c r="B4978" i="2" s="1"/>
  <c r="A4978" i="1"/>
  <c r="V4977" i="1"/>
  <c r="B4977" i="2" s="1"/>
  <c r="A4977" i="1"/>
  <c r="V4976" i="1"/>
  <c r="B4976" i="2" s="1"/>
  <c r="A4976" i="1"/>
  <c r="V4975" i="1"/>
  <c r="B4975" i="2" s="1"/>
  <c r="A4975" i="1"/>
  <c r="V4974" i="1"/>
  <c r="B4974" i="2" s="1"/>
  <c r="A4974" i="1"/>
  <c r="V4973" i="1"/>
  <c r="B4973" i="2" s="1"/>
  <c r="A4973" i="1"/>
  <c r="V4972" i="1"/>
  <c r="B4972" i="2" s="1"/>
  <c r="A4972" i="1"/>
  <c r="V4971" i="1"/>
  <c r="B4971" i="2" s="1"/>
  <c r="A4971" i="1"/>
  <c r="V4970" i="1"/>
  <c r="B4970" i="2" s="1"/>
  <c r="A4970" i="1"/>
  <c r="V4969" i="1"/>
  <c r="B4969" i="2" s="1"/>
  <c r="A4969" i="1"/>
  <c r="V4968" i="1"/>
  <c r="B4968" i="2" s="1"/>
  <c r="A4968" i="1"/>
  <c r="V4967" i="1"/>
  <c r="B4967" i="2" s="1"/>
  <c r="A4967" i="1"/>
  <c r="V4966" i="1"/>
  <c r="B4966" i="2" s="1"/>
  <c r="A4966" i="1"/>
  <c r="V4965" i="1"/>
  <c r="B4965" i="2" s="1"/>
  <c r="A4965" i="1"/>
  <c r="V4964" i="1"/>
  <c r="B4964" i="2" s="1"/>
  <c r="A4964" i="1"/>
  <c r="V4963" i="1"/>
  <c r="B4963" i="2" s="1"/>
  <c r="A4963" i="1"/>
  <c r="V4962" i="1"/>
  <c r="B4962" i="2" s="1"/>
  <c r="A4962" i="1"/>
  <c r="V4961" i="1"/>
  <c r="B4961" i="2" s="1"/>
  <c r="A4961" i="1"/>
  <c r="V4960" i="1"/>
  <c r="B4960" i="2" s="1"/>
  <c r="A4960" i="1"/>
  <c r="V4959" i="1"/>
  <c r="B4959" i="2" s="1"/>
  <c r="A4959" i="1"/>
  <c r="V4958" i="1"/>
  <c r="B4958" i="2" s="1"/>
  <c r="A4958" i="1"/>
  <c r="V4957" i="1"/>
  <c r="B4957" i="2" s="1"/>
  <c r="A4957" i="1"/>
  <c r="V4956" i="1"/>
  <c r="B4956" i="2" s="1"/>
  <c r="A4956" i="1"/>
  <c r="V4955" i="1"/>
  <c r="B4955" i="2" s="1"/>
  <c r="A4955" i="1"/>
  <c r="V4954" i="1"/>
  <c r="B4954" i="2" s="1"/>
  <c r="A4954" i="1"/>
  <c r="V4953" i="1"/>
  <c r="B4953" i="2" s="1"/>
  <c r="A4953" i="1"/>
  <c r="V4952" i="1"/>
  <c r="B4952" i="2" s="1"/>
  <c r="A4952" i="1"/>
  <c r="V4951" i="1"/>
  <c r="B4951" i="2" s="1"/>
  <c r="A4951" i="1"/>
  <c r="V4950" i="1"/>
  <c r="B4950" i="2" s="1"/>
  <c r="A4950" i="1"/>
  <c r="V4949" i="1"/>
  <c r="B4949" i="2" s="1"/>
  <c r="A4949" i="1"/>
  <c r="V4948" i="1"/>
  <c r="B4948" i="2" s="1"/>
  <c r="A4948" i="1"/>
  <c r="V4947" i="1"/>
  <c r="B4947" i="2" s="1"/>
  <c r="A4947" i="1"/>
  <c r="V4946" i="1"/>
  <c r="B4946" i="2" s="1"/>
  <c r="A4946" i="1"/>
  <c r="V4945" i="1"/>
  <c r="B4945" i="2" s="1"/>
  <c r="A4945" i="1"/>
  <c r="V4944" i="1"/>
  <c r="B4944" i="2" s="1"/>
  <c r="A4944" i="1"/>
  <c r="V4943" i="1"/>
  <c r="B4943" i="2" s="1"/>
  <c r="A4943" i="1"/>
  <c r="V4942" i="1"/>
  <c r="B4942" i="2" s="1"/>
  <c r="A4942" i="1"/>
  <c r="V4941" i="1"/>
  <c r="B4941" i="2" s="1"/>
  <c r="A4941" i="1"/>
  <c r="V4940" i="1"/>
  <c r="B4940" i="2" s="1"/>
  <c r="A4940" i="1"/>
  <c r="V4939" i="1"/>
  <c r="B4939" i="2" s="1"/>
  <c r="A4939" i="1"/>
  <c r="V4938" i="1"/>
  <c r="B4938" i="2" s="1"/>
  <c r="A4938" i="1"/>
  <c r="V4937" i="1"/>
  <c r="B4937" i="2" s="1"/>
  <c r="A4937" i="1"/>
  <c r="V4936" i="1"/>
  <c r="B4936" i="2" s="1"/>
  <c r="A4936" i="1"/>
  <c r="V4935" i="1"/>
  <c r="B4935" i="2" s="1"/>
  <c r="A4935" i="1"/>
  <c r="V4934" i="1"/>
  <c r="B4934" i="2" s="1"/>
  <c r="A4934" i="1"/>
  <c r="V4933" i="1"/>
  <c r="B4933" i="2" s="1"/>
  <c r="A4933" i="1"/>
  <c r="V4932" i="1"/>
  <c r="B4932" i="2" s="1"/>
  <c r="A4932" i="1"/>
  <c r="V4931" i="1"/>
  <c r="B4931" i="2" s="1"/>
  <c r="A4931" i="1"/>
  <c r="V4930" i="1"/>
  <c r="B4930" i="2" s="1"/>
  <c r="A4930" i="1"/>
  <c r="V4929" i="1"/>
  <c r="B4929" i="2" s="1"/>
  <c r="A4929" i="1"/>
  <c r="V4928" i="1"/>
  <c r="B4928" i="2" s="1"/>
  <c r="A4928" i="1"/>
  <c r="V4927" i="1"/>
  <c r="B4927" i="2" s="1"/>
  <c r="A4927" i="1"/>
  <c r="V4926" i="1"/>
  <c r="B4926" i="2" s="1"/>
  <c r="A4926" i="1"/>
  <c r="V4925" i="1"/>
  <c r="B4925" i="2" s="1"/>
  <c r="A4925" i="1"/>
  <c r="V4924" i="1"/>
  <c r="B4924" i="2" s="1"/>
  <c r="A4924" i="1"/>
  <c r="V4923" i="1"/>
  <c r="B4923" i="2" s="1"/>
  <c r="A4923" i="1"/>
  <c r="V4922" i="1"/>
  <c r="B4922" i="2" s="1"/>
  <c r="A4922" i="1"/>
  <c r="V4921" i="1"/>
  <c r="B4921" i="2" s="1"/>
  <c r="A4921" i="1"/>
  <c r="V4920" i="1"/>
  <c r="B4920" i="2" s="1"/>
  <c r="A4920" i="1"/>
  <c r="V4919" i="1"/>
  <c r="B4919" i="2" s="1"/>
  <c r="A4919" i="1"/>
  <c r="V4918" i="1"/>
  <c r="B4918" i="2" s="1"/>
  <c r="A4918" i="1"/>
  <c r="V4917" i="1"/>
  <c r="B4917" i="2" s="1"/>
  <c r="A4917" i="1"/>
  <c r="V4916" i="1"/>
  <c r="B4916" i="2" s="1"/>
  <c r="A4916" i="1"/>
  <c r="V4915" i="1"/>
  <c r="B4915" i="2" s="1"/>
  <c r="A4915" i="1"/>
  <c r="V4914" i="1"/>
  <c r="B4914" i="2" s="1"/>
  <c r="A4914" i="1"/>
  <c r="V4913" i="1"/>
  <c r="B4913" i="2" s="1"/>
  <c r="A4913" i="1"/>
  <c r="V4912" i="1"/>
  <c r="B4912" i="2" s="1"/>
  <c r="A4912" i="1"/>
  <c r="V4911" i="1"/>
  <c r="B4911" i="2" s="1"/>
  <c r="A4911" i="1"/>
  <c r="V4910" i="1"/>
  <c r="B4910" i="2" s="1"/>
  <c r="A4910" i="1"/>
  <c r="V4909" i="1"/>
  <c r="B4909" i="2" s="1"/>
  <c r="A4909" i="1"/>
  <c r="V4908" i="1"/>
  <c r="B4908" i="2" s="1"/>
  <c r="A4908" i="1"/>
  <c r="V4907" i="1"/>
  <c r="B4907" i="2" s="1"/>
  <c r="A4907" i="1"/>
  <c r="V4906" i="1"/>
  <c r="B4906" i="2" s="1"/>
  <c r="A4906" i="1"/>
  <c r="V4905" i="1"/>
  <c r="B4905" i="2" s="1"/>
  <c r="A4905" i="1"/>
  <c r="V4904" i="1"/>
  <c r="B4904" i="2" s="1"/>
  <c r="A4904" i="1"/>
  <c r="V4903" i="1"/>
  <c r="B4903" i="2" s="1"/>
  <c r="A4903" i="1"/>
  <c r="V4902" i="1"/>
  <c r="B4902" i="2" s="1"/>
  <c r="A4902" i="1"/>
  <c r="V4901" i="1"/>
  <c r="B4901" i="2" s="1"/>
  <c r="A4901" i="1"/>
  <c r="V4900" i="1"/>
  <c r="B4900" i="2" s="1"/>
  <c r="A4900" i="1"/>
  <c r="V4899" i="1"/>
  <c r="B4899" i="2" s="1"/>
  <c r="A4899" i="1"/>
  <c r="V4898" i="1"/>
  <c r="B4898" i="2" s="1"/>
  <c r="A4898" i="1"/>
  <c r="V4897" i="1"/>
  <c r="B4897" i="2" s="1"/>
  <c r="A4897" i="1"/>
  <c r="V4896" i="1"/>
  <c r="B4896" i="2" s="1"/>
  <c r="A4896" i="1"/>
  <c r="V4895" i="1"/>
  <c r="B4895" i="2" s="1"/>
  <c r="A4895" i="1"/>
  <c r="V4894" i="1"/>
  <c r="B4894" i="2" s="1"/>
  <c r="A4894" i="1"/>
  <c r="V4893" i="1"/>
  <c r="B4893" i="2" s="1"/>
  <c r="A4893" i="1"/>
  <c r="V4892" i="1"/>
  <c r="B4892" i="2" s="1"/>
  <c r="A4892" i="1"/>
  <c r="V4891" i="1"/>
  <c r="B4891" i="2" s="1"/>
  <c r="A4891" i="1"/>
  <c r="V4890" i="1"/>
  <c r="B4890" i="2" s="1"/>
  <c r="A4890" i="1"/>
  <c r="V4889" i="1"/>
  <c r="B4889" i="2" s="1"/>
  <c r="A4889" i="1"/>
  <c r="V4888" i="1"/>
  <c r="B4888" i="2" s="1"/>
  <c r="A4888" i="1"/>
  <c r="V4887" i="1"/>
  <c r="B4887" i="2" s="1"/>
  <c r="A4887" i="1"/>
  <c r="V4886" i="1"/>
  <c r="B4886" i="2" s="1"/>
  <c r="A4886" i="1"/>
  <c r="V4885" i="1"/>
  <c r="B4885" i="2" s="1"/>
  <c r="A4885" i="1"/>
  <c r="V4884" i="1"/>
  <c r="B4884" i="2" s="1"/>
  <c r="A4884" i="1"/>
  <c r="V4883" i="1"/>
  <c r="B4883" i="2" s="1"/>
  <c r="A4883" i="1"/>
  <c r="V4882" i="1"/>
  <c r="B4882" i="2" s="1"/>
  <c r="A4882" i="1"/>
  <c r="V4881" i="1"/>
  <c r="B4881" i="2" s="1"/>
  <c r="A4881" i="1"/>
  <c r="V4880" i="1"/>
  <c r="B4880" i="2" s="1"/>
  <c r="A4880" i="1"/>
  <c r="V4879" i="1"/>
  <c r="B4879" i="2" s="1"/>
  <c r="A4879" i="1"/>
  <c r="V4878" i="1"/>
  <c r="B4878" i="2" s="1"/>
  <c r="A4878" i="1"/>
  <c r="V4877" i="1"/>
  <c r="B4877" i="2" s="1"/>
  <c r="A4877" i="1"/>
  <c r="V4876" i="1"/>
  <c r="B4876" i="2" s="1"/>
  <c r="A4876" i="1"/>
  <c r="V4875" i="1"/>
  <c r="B4875" i="2" s="1"/>
  <c r="A4875" i="1"/>
  <c r="V4874" i="1"/>
  <c r="B4874" i="2" s="1"/>
  <c r="A4874" i="1"/>
  <c r="V4873" i="1"/>
  <c r="B4873" i="2" s="1"/>
  <c r="A4873" i="1"/>
  <c r="V4872" i="1"/>
  <c r="B4872" i="2" s="1"/>
  <c r="A4872" i="1"/>
  <c r="V4871" i="1"/>
  <c r="B4871" i="2" s="1"/>
  <c r="A4871" i="1"/>
  <c r="V4870" i="1"/>
  <c r="B4870" i="2" s="1"/>
  <c r="A4870" i="1"/>
  <c r="V4869" i="1"/>
  <c r="B4869" i="2" s="1"/>
  <c r="A4869" i="1"/>
  <c r="V4868" i="1"/>
  <c r="B4868" i="2" s="1"/>
  <c r="A4868" i="1"/>
  <c r="V4867" i="1"/>
  <c r="B4867" i="2" s="1"/>
  <c r="A4867" i="1"/>
  <c r="V4866" i="1"/>
  <c r="B4866" i="2" s="1"/>
  <c r="A4866" i="1"/>
  <c r="V4865" i="1"/>
  <c r="B4865" i="2" s="1"/>
  <c r="A4865" i="1"/>
  <c r="V4864" i="1"/>
  <c r="B4864" i="2" s="1"/>
  <c r="A4864" i="1"/>
  <c r="V4863" i="1"/>
  <c r="B4863" i="2" s="1"/>
  <c r="A4863" i="1"/>
  <c r="V4862" i="1"/>
  <c r="B4862" i="2" s="1"/>
  <c r="A4862" i="1"/>
  <c r="V4861" i="1"/>
  <c r="B4861" i="2" s="1"/>
  <c r="A4861" i="1"/>
  <c r="V4860" i="1"/>
  <c r="B4860" i="2" s="1"/>
  <c r="A4860" i="1"/>
  <c r="V4859" i="1"/>
  <c r="B4859" i="2" s="1"/>
  <c r="A4859" i="1"/>
  <c r="V4858" i="1"/>
  <c r="B4858" i="2" s="1"/>
  <c r="A4858" i="1"/>
  <c r="V4857" i="1"/>
  <c r="B4857" i="2" s="1"/>
  <c r="A4857" i="1"/>
  <c r="V4856" i="1"/>
  <c r="B4856" i="2" s="1"/>
  <c r="A4856" i="1"/>
  <c r="V4855" i="1"/>
  <c r="B4855" i="2" s="1"/>
  <c r="A4855" i="1"/>
  <c r="V4854" i="1"/>
  <c r="B4854" i="2" s="1"/>
  <c r="A4854" i="1"/>
  <c r="V4853" i="1"/>
  <c r="B4853" i="2" s="1"/>
  <c r="A4853" i="1"/>
  <c r="V4852" i="1"/>
  <c r="B4852" i="2" s="1"/>
  <c r="A4852" i="1"/>
  <c r="V4851" i="1"/>
  <c r="B4851" i="2" s="1"/>
  <c r="A4851" i="1"/>
  <c r="V4850" i="1"/>
  <c r="B4850" i="2" s="1"/>
  <c r="A4850" i="1"/>
  <c r="V4849" i="1"/>
  <c r="B4849" i="2" s="1"/>
  <c r="A4849" i="1"/>
  <c r="V4848" i="1"/>
  <c r="B4848" i="2" s="1"/>
  <c r="A4848" i="1"/>
  <c r="V4847" i="1"/>
  <c r="B4847" i="2" s="1"/>
  <c r="A4847" i="1"/>
  <c r="V4846" i="1"/>
  <c r="B4846" i="2" s="1"/>
  <c r="A4846" i="1"/>
  <c r="V4845" i="1"/>
  <c r="B4845" i="2" s="1"/>
  <c r="A4845" i="1"/>
  <c r="V4844" i="1"/>
  <c r="B4844" i="2" s="1"/>
  <c r="A4844" i="1"/>
  <c r="V4843" i="1"/>
  <c r="B4843" i="2" s="1"/>
  <c r="A4843" i="1"/>
  <c r="V4842" i="1"/>
  <c r="B4842" i="2" s="1"/>
  <c r="A4842" i="1"/>
  <c r="V4841" i="1"/>
  <c r="B4841" i="2" s="1"/>
  <c r="A4841" i="1"/>
  <c r="V4840" i="1"/>
  <c r="B4840" i="2" s="1"/>
  <c r="A4840" i="1"/>
  <c r="V4839" i="1"/>
  <c r="B4839" i="2" s="1"/>
  <c r="A4839" i="1"/>
  <c r="V4838" i="1"/>
  <c r="B4838" i="2" s="1"/>
  <c r="A4838" i="1"/>
  <c r="V4837" i="1"/>
  <c r="B4837" i="2" s="1"/>
  <c r="A4837" i="1"/>
  <c r="V4836" i="1"/>
  <c r="B4836" i="2" s="1"/>
  <c r="A4836" i="1"/>
  <c r="V4835" i="1"/>
  <c r="B4835" i="2" s="1"/>
  <c r="A4835" i="1"/>
  <c r="V4834" i="1"/>
  <c r="B4834" i="2" s="1"/>
  <c r="A4834" i="1"/>
  <c r="V4833" i="1"/>
  <c r="B4833" i="2" s="1"/>
  <c r="A4833" i="1"/>
  <c r="V4832" i="1"/>
  <c r="B4832" i="2" s="1"/>
  <c r="A4832" i="1"/>
  <c r="V4831" i="1"/>
  <c r="B4831" i="2" s="1"/>
  <c r="A4831" i="1"/>
  <c r="V4830" i="1"/>
  <c r="B4830" i="2" s="1"/>
  <c r="A4830" i="1"/>
  <c r="V4829" i="1"/>
  <c r="B4829" i="2" s="1"/>
  <c r="A4829" i="1"/>
  <c r="V4828" i="1"/>
  <c r="B4828" i="2" s="1"/>
  <c r="A4828" i="1"/>
  <c r="V4827" i="1"/>
  <c r="B4827" i="2" s="1"/>
  <c r="A4827" i="1"/>
  <c r="V4826" i="1"/>
  <c r="B4826" i="2" s="1"/>
  <c r="A4826" i="1"/>
  <c r="V4825" i="1"/>
  <c r="B4825" i="2" s="1"/>
  <c r="A4825" i="1"/>
  <c r="V4824" i="1"/>
  <c r="B4824" i="2" s="1"/>
  <c r="A4824" i="1"/>
  <c r="V4823" i="1"/>
  <c r="B4823" i="2" s="1"/>
  <c r="A4823" i="1"/>
  <c r="V4822" i="1"/>
  <c r="B4822" i="2" s="1"/>
  <c r="A4822" i="1"/>
  <c r="V4821" i="1"/>
  <c r="B4821" i="2" s="1"/>
  <c r="A4821" i="1"/>
  <c r="V4820" i="1"/>
  <c r="B4820" i="2" s="1"/>
  <c r="A4820" i="1"/>
  <c r="V4819" i="1"/>
  <c r="B4819" i="2" s="1"/>
  <c r="A4819" i="1"/>
  <c r="V4818" i="1"/>
  <c r="B4818" i="2" s="1"/>
  <c r="A4818" i="1"/>
  <c r="V4817" i="1"/>
  <c r="B4817" i="2" s="1"/>
  <c r="A4817" i="1"/>
  <c r="V4816" i="1"/>
  <c r="B4816" i="2" s="1"/>
  <c r="A4816" i="1"/>
  <c r="V4815" i="1"/>
  <c r="B4815" i="2" s="1"/>
  <c r="A4815" i="1"/>
  <c r="V4814" i="1"/>
  <c r="B4814" i="2" s="1"/>
  <c r="A4814" i="1"/>
  <c r="V4813" i="1"/>
  <c r="B4813" i="2" s="1"/>
  <c r="A4813" i="1"/>
  <c r="V4812" i="1"/>
  <c r="B4812" i="2" s="1"/>
  <c r="A4812" i="1"/>
  <c r="V4811" i="1"/>
  <c r="B4811" i="2" s="1"/>
  <c r="A4811" i="1"/>
  <c r="V4810" i="1"/>
  <c r="B4810" i="2" s="1"/>
  <c r="A4810" i="1"/>
  <c r="V4809" i="1"/>
  <c r="B4809" i="2" s="1"/>
  <c r="A4809" i="1"/>
  <c r="V4808" i="1"/>
  <c r="B4808" i="2" s="1"/>
  <c r="A4808" i="1"/>
  <c r="V4807" i="1"/>
  <c r="B4807" i="2" s="1"/>
  <c r="A4807" i="1"/>
  <c r="V4806" i="1"/>
  <c r="B4806" i="2" s="1"/>
  <c r="A4806" i="1"/>
  <c r="V4805" i="1"/>
  <c r="B4805" i="2" s="1"/>
  <c r="A4805" i="1"/>
  <c r="V4804" i="1"/>
  <c r="B4804" i="2" s="1"/>
  <c r="A4804" i="1"/>
  <c r="V4803" i="1"/>
  <c r="B4803" i="2" s="1"/>
  <c r="A4803" i="1"/>
  <c r="V4802" i="1"/>
  <c r="B4802" i="2" s="1"/>
  <c r="A4802" i="1"/>
  <c r="V4801" i="1"/>
  <c r="B4801" i="2" s="1"/>
  <c r="A4801" i="1"/>
  <c r="V4800" i="1"/>
  <c r="B4800" i="2" s="1"/>
  <c r="A4800" i="1"/>
  <c r="V4799" i="1"/>
  <c r="B4799" i="2" s="1"/>
  <c r="A4799" i="1"/>
  <c r="V4798" i="1"/>
  <c r="B4798" i="2" s="1"/>
  <c r="A4798" i="1"/>
  <c r="V4797" i="1"/>
  <c r="B4797" i="2" s="1"/>
  <c r="A4797" i="1"/>
  <c r="V4796" i="1"/>
  <c r="B4796" i="2" s="1"/>
  <c r="A4796" i="1"/>
  <c r="V4795" i="1"/>
  <c r="B4795" i="2" s="1"/>
  <c r="A4795" i="1"/>
  <c r="V4794" i="1"/>
  <c r="B4794" i="2" s="1"/>
  <c r="A4794" i="1"/>
  <c r="V4793" i="1"/>
  <c r="B4793" i="2" s="1"/>
  <c r="A4793" i="1"/>
  <c r="V4792" i="1"/>
  <c r="B4792" i="2" s="1"/>
  <c r="A4792" i="1"/>
  <c r="V4791" i="1"/>
  <c r="B4791" i="2" s="1"/>
  <c r="A4791" i="1"/>
  <c r="V4790" i="1"/>
  <c r="B4790" i="2" s="1"/>
  <c r="A4790" i="1"/>
  <c r="V4789" i="1"/>
  <c r="B4789" i="2" s="1"/>
  <c r="A4789" i="1"/>
  <c r="V4788" i="1"/>
  <c r="B4788" i="2" s="1"/>
  <c r="A4788" i="1"/>
  <c r="V4787" i="1"/>
  <c r="B4787" i="2" s="1"/>
  <c r="A4787" i="1"/>
  <c r="V4786" i="1"/>
  <c r="B4786" i="2" s="1"/>
  <c r="A4786" i="1"/>
  <c r="V4785" i="1"/>
  <c r="B4785" i="2" s="1"/>
  <c r="A4785" i="1"/>
  <c r="V4784" i="1"/>
  <c r="B4784" i="2" s="1"/>
  <c r="A4784" i="1"/>
  <c r="V4783" i="1"/>
  <c r="B4783" i="2" s="1"/>
  <c r="A4783" i="1"/>
  <c r="V4782" i="1"/>
  <c r="B4782" i="2" s="1"/>
  <c r="A4782" i="1"/>
  <c r="V4781" i="1"/>
  <c r="B4781" i="2" s="1"/>
  <c r="A4781" i="1"/>
  <c r="V4780" i="1"/>
  <c r="B4780" i="2" s="1"/>
  <c r="A4780" i="1"/>
  <c r="V4779" i="1"/>
  <c r="B4779" i="2" s="1"/>
  <c r="A4779" i="1"/>
  <c r="V4778" i="1"/>
  <c r="B4778" i="2" s="1"/>
  <c r="A4778" i="1"/>
  <c r="V4777" i="1"/>
  <c r="B4777" i="2" s="1"/>
  <c r="A4777" i="1"/>
  <c r="V4776" i="1"/>
  <c r="B4776" i="2" s="1"/>
  <c r="A4776" i="1"/>
  <c r="V4775" i="1"/>
  <c r="B4775" i="2" s="1"/>
  <c r="A4775" i="1"/>
  <c r="V4774" i="1"/>
  <c r="B4774" i="2" s="1"/>
  <c r="A4774" i="1"/>
  <c r="V4773" i="1"/>
  <c r="B4773" i="2" s="1"/>
  <c r="A4773" i="1"/>
  <c r="V4772" i="1"/>
  <c r="B4772" i="2" s="1"/>
  <c r="A4772" i="1"/>
  <c r="V4771" i="1"/>
  <c r="B4771" i="2" s="1"/>
  <c r="A4771" i="1"/>
  <c r="V4770" i="1"/>
  <c r="B4770" i="2" s="1"/>
  <c r="A4770" i="1"/>
  <c r="V4769" i="1"/>
  <c r="B4769" i="2" s="1"/>
  <c r="A4769" i="1"/>
  <c r="V4768" i="1"/>
  <c r="B4768" i="2" s="1"/>
  <c r="A4768" i="1"/>
  <c r="V4767" i="1"/>
  <c r="B4767" i="2" s="1"/>
  <c r="A4767" i="1"/>
  <c r="V4766" i="1"/>
  <c r="B4766" i="2" s="1"/>
  <c r="A4766" i="1"/>
  <c r="V4765" i="1"/>
  <c r="B4765" i="2" s="1"/>
  <c r="A4765" i="1"/>
  <c r="V4764" i="1"/>
  <c r="B4764" i="2" s="1"/>
  <c r="A4764" i="1"/>
  <c r="V4763" i="1"/>
  <c r="B4763" i="2" s="1"/>
  <c r="A4763" i="1"/>
  <c r="V4762" i="1"/>
  <c r="B4762" i="2" s="1"/>
  <c r="A4762" i="1"/>
  <c r="V4761" i="1"/>
  <c r="B4761" i="2" s="1"/>
  <c r="A4761" i="1"/>
  <c r="V4760" i="1"/>
  <c r="B4760" i="2" s="1"/>
  <c r="A4760" i="1"/>
  <c r="V4759" i="1"/>
  <c r="B4759" i="2" s="1"/>
  <c r="A4759" i="1"/>
  <c r="V4758" i="1"/>
  <c r="B4758" i="2" s="1"/>
  <c r="A4758" i="1"/>
  <c r="V4757" i="1"/>
  <c r="B4757" i="2" s="1"/>
  <c r="A4757" i="1"/>
  <c r="V4756" i="1"/>
  <c r="B4756" i="2" s="1"/>
  <c r="A4756" i="1"/>
  <c r="V4755" i="1"/>
  <c r="B4755" i="2" s="1"/>
  <c r="A4755" i="1"/>
  <c r="V4754" i="1"/>
  <c r="B4754" i="2" s="1"/>
  <c r="A4754" i="1"/>
  <c r="V4753" i="1"/>
  <c r="B4753" i="2" s="1"/>
  <c r="A4753" i="1"/>
  <c r="V4752" i="1"/>
  <c r="B4752" i="2" s="1"/>
  <c r="A4752" i="1"/>
  <c r="V4751" i="1"/>
  <c r="B4751" i="2" s="1"/>
  <c r="A4751" i="1"/>
  <c r="V4750" i="1"/>
  <c r="B4750" i="2" s="1"/>
  <c r="A4750" i="1"/>
  <c r="V4749" i="1"/>
  <c r="B4749" i="2" s="1"/>
  <c r="A4749" i="1"/>
  <c r="V4748" i="1"/>
  <c r="B4748" i="2" s="1"/>
  <c r="A4748" i="1"/>
  <c r="V4747" i="1"/>
  <c r="B4747" i="2" s="1"/>
  <c r="A4747" i="1"/>
  <c r="V4746" i="1"/>
  <c r="B4746" i="2" s="1"/>
  <c r="A4746" i="1"/>
  <c r="V4745" i="1"/>
  <c r="B4745" i="2" s="1"/>
  <c r="A4745" i="1"/>
  <c r="V4744" i="1"/>
  <c r="B4744" i="2" s="1"/>
  <c r="A4744" i="1"/>
  <c r="V4743" i="1"/>
  <c r="B4743" i="2" s="1"/>
  <c r="A4743" i="1"/>
  <c r="V4742" i="1"/>
  <c r="B4742" i="2" s="1"/>
  <c r="A4742" i="1"/>
  <c r="V4741" i="1"/>
  <c r="B4741" i="2" s="1"/>
  <c r="A4741" i="1"/>
  <c r="V4740" i="1"/>
  <c r="B4740" i="2" s="1"/>
  <c r="A4740" i="1"/>
  <c r="V4739" i="1"/>
  <c r="B4739" i="2" s="1"/>
  <c r="A4739" i="1"/>
  <c r="V4738" i="1"/>
  <c r="B4738" i="2" s="1"/>
  <c r="A4738" i="1"/>
  <c r="V4737" i="1"/>
  <c r="B4737" i="2" s="1"/>
  <c r="A4737" i="1"/>
  <c r="V4736" i="1"/>
  <c r="B4736" i="2" s="1"/>
  <c r="A4736" i="1"/>
  <c r="V4735" i="1"/>
  <c r="B4735" i="2" s="1"/>
  <c r="A4735" i="1"/>
  <c r="V4734" i="1"/>
  <c r="B4734" i="2" s="1"/>
  <c r="A4734" i="1"/>
  <c r="V4733" i="1"/>
  <c r="B4733" i="2" s="1"/>
  <c r="A4733" i="1"/>
  <c r="V4732" i="1"/>
  <c r="B4732" i="2" s="1"/>
  <c r="A4732" i="1"/>
  <c r="V4731" i="1"/>
  <c r="B4731" i="2" s="1"/>
  <c r="A4731" i="1"/>
  <c r="V4730" i="1"/>
  <c r="B4730" i="2" s="1"/>
  <c r="A4730" i="1"/>
  <c r="V4729" i="1"/>
  <c r="B4729" i="2" s="1"/>
  <c r="A4729" i="1"/>
  <c r="V4728" i="1"/>
  <c r="B4728" i="2" s="1"/>
  <c r="A4728" i="1"/>
  <c r="V4727" i="1"/>
  <c r="B4727" i="2" s="1"/>
  <c r="A4727" i="1"/>
  <c r="V4726" i="1"/>
  <c r="B4726" i="2" s="1"/>
  <c r="A4726" i="1"/>
  <c r="V4725" i="1"/>
  <c r="B4725" i="2" s="1"/>
  <c r="A4725" i="1"/>
  <c r="V4724" i="1"/>
  <c r="B4724" i="2" s="1"/>
  <c r="A4724" i="1"/>
  <c r="V4723" i="1"/>
  <c r="B4723" i="2" s="1"/>
  <c r="A4723" i="1"/>
  <c r="V4722" i="1"/>
  <c r="B4722" i="2" s="1"/>
  <c r="A4722" i="1"/>
  <c r="V4721" i="1"/>
  <c r="B4721" i="2" s="1"/>
  <c r="A4721" i="1"/>
  <c r="V4720" i="1"/>
  <c r="B4720" i="2" s="1"/>
  <c r="A4720" i="1"/>
  <c r="V4719" i="1"/>
  <c r="B4719" i="2" s="1"/>
  <c r="A4719" i="1"/>
  <c r="V4718" i="1"/>
  <c r="B4718" i="2" s="1"/>
  <c r="A4718" i="1"/>
  <c r="V4717" i="1"/>
  <c r="B4717" i="2" s="1"/>
  <c r="A4717" i="1"/>
  <c r="V4716" i="1"/>
  <c r="B4716" i="2" s="1"/>
  <c r="A4716" i="1"/>
  <c r="V4715" i="1"/>
  <c r="B4715" i="2" s="1"/>
  <c r="A4715" i="1"/>
  <c r="V4714" i="1"/>
  <c r="B4714" i="2" s="1"/>
  <c r="A4714" i="1"/>
  <c r="V4713" i="1"/>
  <c r="B4713" i="2" s="1"/>
  <c r="A4713" i="1"/>
  <c r="V4712" i="1"/>
  <c r="B4712" i="2" s="1"/>
  <c r="A4712" i="1"/>
  <c r="V4711" i="1"/>
  <c r="B4711" i="2" s="1"/>
  <c r="A4711" i="1"/>
  <c r="V4710" i="1"/>
  <c r="B4710" i="2" s="1"/>
  <c r="A4710" i="1"/>
  <c r="V4709" i="1"/>
  <c r="B4709" i="2" s="1"/>
  <c r="A4709" i="1"/>
  <c r="V4708" i="1"/>
  <c r="B4708" i="2" s="1"/>
  <c r="A4708" i="1"/>
  <c r="V4707" i="1"/>
  <c r="B4707" i="2" s="1"/>
  <c r="A4707" i="1"/>
  <c r="V4706" i="1"/>
  <c r="B4706" i="2" s="1"/>
  <c r="A4706" i="1"/>
  <c r="V4705" i="1"/>
  <c r="B4705" i="2" s="1"/>
  <c r="A4705" i="1"/>
  <c r="V4704" i="1"/>
  <c r="B4704" i="2" s="1"/>
  <c r="A4704" i="1"/>
  <c r="V4703" i="1"/>
  <c r="B4703" i="2" s="1"/>
  <c r="A4703" i="1"/>
  <c r="V4702" i="1"/>
  <c r="B4702" i="2" s="1"/>
  <c r="A4702" i="1"/>
  <c r="V4701" i="1"/>
  <c r="B4701" i="2" s="1"/>
  <c r="A4701" i="1"/>
  <c r="V4700" i="1"/>
  <c r="B4700" i="2" s="1"/>
  <c r="A4700" i="1"/>
  <c r="V4699" i="1"/>
  <c r="B4699" i="2" s="1"/>
  <c r="A4699" i="1"/>
  <c r="V4698" i="1"/>
  <c r="B4698" i="2" s="1"/>
  <c r="A4698" i="1"/>
  <c r="V4697" i="1"/>
  <c r="B4697" i="2" s="1"/>
  <c r="A4697" i="1"/>
  <c r="V4696" i="1"/>
  <c r="B4696" i="2" s="1"/>
  <c r="A4696" i="1"/>
  <c r="V4695" i="1"/>
  <c r="B4695" i="2" s="1"/>
  <c r="A4695" i="1"/>
  <c r="V4694" i="1"/>
  <c r="B4694" i="2" s="1"/>
  <c r="A4694" i="1"/>
  <c r="V4693" i="1"/>
  <c r="B4693" i="2" s="1"/>
  <c r="A4693" i="1"/>
  <c r="V4692" i="1"/>
  <c r="B4692" i="2" s="1"/>
  <c r="A4692" i="1"/>
  <c r="V4691" i="1"/>
  <c r="B4691" i="2" s="1"/>
  <c r="A4691" i="1"/>
  <c r="V4690" i="1"/>
  <c r="B4690" i="2" s="1"/>
  <c r="A4690" i="1"/>
  <c r="V4689" i="1"/>
  <c r="B4689" i="2" s="1"/>
  <c r="A4689" i="1"/>
  <c r="V4688" i="1"/>
  <c r="B4688" i="2" s="1"/>
  <c r="A4688" i="1"/>
  <c r="V4687" i="1"/>
  <c r="B4687" i="2" s="1"/>
  <c r="A4687" i="1"/>
  <c r="V4686" i="1"/>
  <c r="B4686" i="2" s="1"/>
  <c r="A4686" i="1"/>
  <c r="V4685" i="1"/>
  <c r="B4685" i="2" s="1"/>
  <c r="A4685" i="1"/>
  <c r="V4684" i="1"/>
  <c r="B4684" i="2" s="1"/>
  <c r="A4684" i="1"/>
  <c r="V4683" i="1"/>
  <c r="B4683" i="2" s="1"/>
  <c r="A4683" i="1"/>
  <c r="V4682" i="1"/>
  <c r="B4682" i="2" s="1"/>
  <c r="A4682" i="1"/>
  <c r="V4681" i="1"/>
  <c r="B4681" i="2" s="1"/>
  <c r="A4681" i="1"/>
  <c r="V4680" i="1"/>
  <c r="B4680" i="2" s="1"/>
  <c r="A4680" i="1"/>
  <c r="V4679" i="1"/>
  <c r="B4679" i="2" s="1"/>
  <c r="A4679" i="1"/>
  <c r="V4678" i="1"/>
  <c r="B4678" i="2" s="1"/>
  <c r="A4678" i="1"/>
  <c r="V4677" i="1"/>
  <c r="B4677" i="2" s="1"/>
  <c r="A4677" i="1"/>
  <c r="V4676" i="1"/>
  <c r="B4676" i="2" s="1"/>
  <c r="A4676" i="1"/>
  <c r="V4675" i="1"/>
  <c r="B4675" i="2" s="1"/>
  <c r="A4675" i="1"/>
  <c r="V4674" i="1"/>
  <c r="B4674" i="2" s="1"/>
  <c r="A4674" i="1"/>
  <c r="V4673" i="1"/>
  <c r="B4673" i="2" s="1"/>
  <c r="A4673" i="1"/>
  <c r="V4672" i="1"/>
  <c r="B4672" i="2" s="1"/>
  <c r="A4672" i="1"/>
  <c r="V4671" i="1"/>
  <c r="B4671" i="2" s="1"/>
  <c r="A4671" i="1"/>
  <c r="V4670" i="1"/>
  <c r="B4670" i="2" s="1"/>
  <c r="A4670" i="1"/>
  <c r="V4669" i="1"/>
  <c r="B4669" i="2" s="1"/>
  <c r="A4669" i="1"/>
  <c r="V4668" i="1"/>
  <c r="B4668" i="2" s="1"/>
  <c r="A4668" i="1"/>
  <c r="V4667" i="1"/>
  <c r="B4667" i="2" s="1"/>
  <c r="A4667" i="1"/>
  <c r="V4666" i="1"/>
  <c r="B4666" i="2" s="1"/>
  <c r="A4666" i="1"/>
  <c r="V4665" i="1"/>
  <c r="B4665" i="2" s="1"/>
  <c r="A4665" i="1"/>
  <c r="V4664" i="1"/>
  <c r="B4664" i="2" s="1"/>
  <c r="A4664" i="1"/>
  <c r="V4663" i="1"/>
  <c r="B4663" i="2" s="1"/>
  <c r="A4663" i="1"/>
  <c r="V4662" i="1"/>
  <c r="B4662" i="2" s="1"/>
  <c r="A4662" i="1"/>
  <c r="V4661" i="1"/>
  <c r="B4661" i="2" s="1"/>
  <c r="A4661" i="1"/>
  <c r="V4660" i="1"/>
  <c r="B4660" i="2" s="1"/>
  <c r="A4660" i="1"/>
  <c r="V4659" i="1"/>
  <c r="B4659" i="2" s="1"/>
  <c r="A4659" i="1"/>
  <c r="V4658" i="1"/>
  <c r="B4658" i="2" s="1"/>
  <c r="A4658" i="1"/>
  <c r="V4657" i="1"/>
  <c r="B4657" i="2" s="1"/>
  <c r="A4657" i="1"/>
  <c r="V4656" i="1"/>
  <c r="B4656" i="2" s="1"/>
  <c r="A4656" i="1"/>
  <c r="V4655" i="1"/>
  <c r="B4655" i="2" s="1"/>
  <c r="A4655" i="1"/>
  <c r="V4654" i="1"/>
  <c r="B4654" i="2" s="1"/>
  <c r="A4654" i="1"/>
  <c r="V4653" i="1"/>
  <c r="B4653" i="2" s="1"/>
  <c r="A4653" i="1"/>
  <c r="V4652" i="1"/>
  <c r="B4652" i="2" s="1"/>
  <c r="A4652" i="1"/>
  <c r="V4651" i="1"/>
  <c r="B4651" i="2" s="1"/>
  <c r="A4651" i="1"/>
  <c r="V4650" i="1"/>
  <c r="B4650" i="2" s="1"/>
  <c r="A4650" i="1"/>
  <c r="V4649" i="1"/>
  <c r="B4649" i="2" s="1"/>
  <c r="A4649" i="1"/>
  <c r="V4648" i="1"/>
  <c r="B4648" i="2" s="1"/>
  <c r="A4648" i="1"/>
  <c r="V4647" i="1"/>
  <c r="B4647" i="2" s="1"/>
  <c r="A4647" i="1"/>
  <c r="V4646" i="1"/>
  <c r="B4646" i="2" s="1"/>
  <c r="A4646" i="1"/>
  <c r="V4645" i="1"/>
  <c r="B4645" i="2" s="1"/>
  <c r="A4645" i="1"/>
  <c r="V4644" i="1"/>
  <c r="B4644" i="2" s="1"/>
  <c r="A4644" i="1"/>
  <c r="V4643" i="1"/>
  <c r="B4643" i="2" s="1"/>
  <c r="A4643" i="1"/>
  <c r="V4642" i="1"/>
  <c r="B4642" i="2" s="1"/>
  <c r="A4642" i="1"/>
  <c r="V4641" i="1"/>
  <c r="B4641" i="2" s="1"/>
  <c r="A4641" i="1"/>
  <c r="V4640" i="1"/>
  <c r="B4640" i="2" s="1"/>
  <c r="A4640" i="1"/>
  <c r="V4639" i="1"/>
  <c r="B4639" i="2" s="1"/>
  <c r="A4639" i="1"/>
  <c r="V4638" i="1"/>
  <c r="B4638" i="2" s="1"/>
  <c r="A4638" i="1"/>
  <c r="V4637" i="1"/>
  <c r="B4637" i="2" s="1"/>
  <c r="A4637" i="1"/>
  <c r="V4636" i="1"/>
  <c r="B4636" i="2" s="1"/>
  <c r="A4636" i="1"/>
  <c r="V4635" i="1"/>
  <c r="B4635" i="2" s="1"/>
  <c r="A4635" i="1"/>
  <c r="V4634" i="1"/>
  <c r="B4634" i="2" s="1"/>
  <c r="A4634" i="1"/>
  <c r="V4633" i="1"/>
  <c r="B4633" i="2" s="1"/>
  <c r="A4633" i="1"/>
  <c r="V4632" i="1"/>
  <c r="B4632" i="2" s="1"/>
  <c r="A4632" i="1"/>
  <c r="V4631" i="1"/>
  <c r="B4631" i="2" s="1"/>
  <c r="A4631" i="1"/>
  <c r="V4630" i="1"/>
  <c r="B4630" i="2" s="1"/>
  <c r="A4630" i="1"/>
  <c r="V4629" i="1"/>
  <c r="B4629" i="2" s="1"/>
  <c r="A4629" i="1"/>
  <c r="V4628" i="1"/>
  <c r="B4628" i="2" s="1"/>
  <c r="A4628" i="1"/>
  <c r="V4627" i="1"/>
  <c r="B4627" i="2" s="1"/>
  <c r="A4627" i="1"/>
  <c r="V4626" i="1"/>
  <c r="B4626" i="2" s="1"/>
  <c r="A4626" i="1"/>
  <c r="V4625" i="1"/>
  <c r="B4625" i="2" s="1"/>
  <c r="A4625" i="1"/>
  <c r="V4624" i="1"/>
  <c r="B4624" i="2" s="1"/>
  <c r="A4624" i="1"/>
  <c r="V4623" i="1"/>
  <c r="B4623" i="2" s="1"/>
  <c r="A4623" i="1"/>
  <c r="V4622" i="1"/>
  <c r="B4622" i="2" s="1"/>
  <c r="A4622" i="1"/>
  <c r="V4621" i="1"/>
  <c r="B4621" i="2" s="1"/>
  <c r="A4621" i="1"/>
  <c r="V4620" i="1"/>
  <c r="B4620" i="2" s="1"/>
  <c r="A4620" i="1"/>
  <c r="V4619" i="1"/>
  <c r="B4619" i="2" s="1"/>
  <c r="A4619" i="1"/>
  <c r="V4618" i="1"/>
  <c r="B4618" i="2" s="1"/>
  <c r="A4618" i="1"/>
  <c r="V4617" i="1"/>
  <c r="B4617" i="2" s="1"/>
  <c r="A4617" i="1"/>
  <c r="V4616" i="1"/>
  <c r="B4616" i="2" s="1"/>
  <c r="A4616" i="1"/>
  <c r="V4615" i="1"/>
  <c r="B4615" i="2" s="1"/>
  <c r="A4615" i="1"/>
  <c r="V4614" i="1"/>
  <c r="B4614" i="2" s="1"/>
  <c r="A4614" i="1"/>
  <c r="V4613" i="1"/>
  <c r="B4613" i="2" s="1"/>
  <c r="A4613" i="1"/>
  <c r="V4612" i="1"/>
  <c r="B4612" i="2" s="1"/>
  <c r="A4612" i="1"/>
  <c r="V4611" i="1"/>
  <c r="B4611" i="2" s="1"/>
  <c r="A4611" i="1"/>
  <c r="V4610" i="1"/>
  <c r="B4610" i="2" s="1"/>
  <c r="A4610" i="1"/>
  <c r="V4609" i="1"/>
  <c r="B4609" i="2" s="1"/>
  <c r="A4609" i="1"/>
  <c r="V4608" i="1"/>
  <c r="B4608" i="2" s="1"/>
  <c r="A4608" i="1"/>
  <c r="V4607" i="1"/>
  <c r="B4607" i="2" s="1"/>
  <c r="A4607" i="1"/>
  <c r="V4606" i="1"/>
  <c r="B4606" i="2" s="1"/>
  <c r="A4606" i="1"/>
  <c r="V4605" i="1"/>
  <c r="B4605" i="2" s="1"/>
  <c r="A4605" i="1"/>
  <c r="V4604" i="1"/>
  <c r="B4604" i="2" s="1"/>
  <c r="A4604" i="1"/>
  <c r="V4603" i="1"/>
  <c r="B4603" i="2" s="1"/>
  <c r="A4603" i="1"/>
  <c r="V4602" i="1"/>
  <c r="B4602" i="2" s="1"/>
  <c r="A4602" i="1"/>
  <c r="V4601" i="1"/>
  <c r="B4601" i="2" s="1"/>
  <c r="A4601" i="1"/>
  <c r="V4600" i="1"/>
  <c r="B4600" i="2" s="1"/>
  <c r="A4600" i="1"/>
  <c r="V4599" i="1"/>
  <c r="B4599" i="2" s="1"/>
  <c r="A4599" i="1"/>
  <c r="V4598" i="1"/>
  <c r="B4598" i="2" s="1"/>
  <c r="A4598" i="1"/>
  <c r="V4597" i="1"/>
  <c r="B4597" i="2" s="1"/>
  <c r="A4597" i="1"/>
  <c r="V4596" i="1"/>
  <c r="B4596" i="2" s="1"/>
  <c r="A4596" i="1"/>
  <c r="V4595" i="1"/>
  <c r="B4595" i="2" s="1"/>
  <c r="A4595" i="1"/>
  <c r="V4594" i="1"/>
  <c r="B4594" i="2" s="1"/>
  <c r="A4594" i="1"/>
  <c r="V4593" i="1"/>
  <c r="B4593" i="2" s="1"/>
  <c r="A4593" i="1"/>
  <c r="V4592" i="1"/>
  <c r="B4592" i="2" s="1"/>
  <c r="A4592" i="1"/>
  <c r="V4591" i="1"/>
  <c r="B4591" i="2" s="1"/>
  <c r="A4591" i="1"/>
  <c r="V4590" i="1"/>
  <c r="B4590" i="2" s="1"/>
  <c r="A4590" i="1"/>
  <c r="V4589" i="1"/>
  <c r="B4589" i="2" s="1"/>
  <c r="A4589" i="1"/>
  <c r="V4588" i="1"/>
  <c r="B4588" i="2" s="1"/>
  <c r="A4588" i="1"/>
  <c r="V4587" i="1"/>
  <c r="B4587" i="2" s="1"/>
  <c r="A4587" i="1"/>
  <c r="V4586" i="1"/>
  <c r="B4586" i="2" s="1"/>
  <c r="A4586" i="1"/>
  <c r="V4585" i="1"/>
  <c r="B4585" i="2" s="1"/>
  <c r="A4585" i="1"/>
  <c r="V4584" i="1"/>
  <c r="B4584" i="2" s="1"/>
  <c r="A4584" i="1"/>
  <c r="V4583" i="1"/>
  <c r="B4583" i="2" s="1"/>
  <c r="A4583" i="1"/>
  <c r="V4582" i="1"/>
  <c r="B4582" i="2" s="1"/>
  <c r="A4582" i="1"/>
  <c r="V4581" i="1"/>
  <c r="B4581" i="2" s="1"/>
  <c r="A4581" i="1"/>
  <c r="V4580" i="1"/>
  <c r="B4580" i="2" s="1"/>
  <c r="A4580" i="1"/>
  <c r="V4579" i="1"/>
  <c r="B4579" i="2" s="1"/>
  <c r="A4579" i="1"/>
  <c r="V4578" i="1"/>
  <c r="B4578" i="2" s="1"/>
  <c r="A4578" i="1"/>
  <c r="V4577" i="1"/>
  <c r="B4577" i="2" s="1"/>
  <c r="A4577" i="1"/>
  <c r="V4576" i="1"/>
  <c r="B4576" i="2" s="1"/>
  <c r="A4576" i="1"/>
  <c r="V4575" i="1"/>
  <c r="B4575" i="2" s="1"/>
  <c r="A4575" i="1"/>
  <c r="V4574" i="1"/>
  <c r="B4574" i="2" s="1"/>
  <c r="A4574" i="1"/>
  <c r="V4573" i="1"/>
  <c r="B4573" i="2" s="1"/>
  <c r="A4573" i="1"/>
  <c r="V4572" i="1"/>
  <c r="B4572" i="2" s="1"/>
  <c r="A4572" i="1"/>
  <c r="V4571" i="1"/>
  <c r="B4571" i="2" s="1"/>
  <c r="A4571" i="1"/>
  <c r="V4570" i="1"/>
  <c r="B4570" i="2" s="1"/>
  <c r="A4570" i="1"/>
  <c r="V4569" i="1"/>
  <c r="B4569" i="2" s="1"/>
  <c r="A4569" i="1"/>
  <c r="V4568" i="1"/>
  <c r="B4568" i="2" s="1"/>
  <c r="A4568" i="1"/>
  <c r="V4567" i="1"/>
  <c r="B4567" i="2" s="1"/>
  <c r="A4567" i="1"/>
  <c r="V4566" i="1"/>
  <c r="B4566" i="2" s="1"/>
  <c r="A4566" i="1"/>
  <c r="V4565" i="1"/>
  <c r="B4565" i="2" s="1"/>
  <c r="A4565" i="1"/>
  <c r="V4564" i="1"/>
  <c r="B4564" i="2" s="1"/>
  <c r="A4564" i="1"/>
  <c r="V4563" i="1"/>
  <c r="B4563" i="2" s="1"/>
  <c r="A4563" i="1"/>
  <c r="V4562" i="1"/>
  <c r="B4562" i="2" s="1"/>
  <c r="A4562" i="1"/>
  <c r="V4561" i="1"/>
  <c r="B4561" i="2" s="1"/>
  <c r="A4561" i="1"/>
  <c r="V4560" i="1"/>
  <c r="B4560" i="2" s="1"/>
  <c r="A4560" i="1"/>
  <c r="V4559" i="1"/>
  <c r="B4559" i="2" s="1"/>
  <c r="A4559" i="1"/>
  <c r="V4558" i="1"/>
  <c r="B4558" i="2" s="1"/>
  <c r="A4558" i="1"/>
  <c r="V4557" i="1"/>
  <c r="B4557" i="2" s="1"/>
  <c r="A4557" i="1"/>
  <c r="V4556" i="1"/>
  <c r="B4556" i="2" s="1"/>
  <c r="A4556" i="1"/>
  <c r="V4555" i="1"/>
  <c r="B4555" i="2" s="1"/>
  <c r="A4555" i="1"/>
  <c r="V4554" i="1"/>
  <c r="B4554" i="2" s="1"/>
  <c r="A4554" i="1"/>
  <c r="V4553" i="1"/>
  <c r="B4553" i="2" s="1"/>
  <c r="A4553" i="1"/>
  <c r="V4552" i="1"/>
  <c r="B4552" i="2" s="1"/>
  <c r="A4552" i="1"/>
  <c r="V4551" i="1"/>
  <c r="B4551" i="2" s="1"/>
  <c r="A4551" i="1"/>
  <c r="V4550" i="1"/>
  <c r="B4550" i="2" s="1"/>
  <c r="A4550" i="1"/>
  <c r="V4549" i="1"/>
  <c r="B4549" i="2" s="1"/>
  <c r="A4549" i="1"/>
  <c r="V4548" i="1"/>
  <c r="B4548" i="2" s="1"/>
  <c r="A4548" i="1"/>
  <c r="V4547" i="1"/>
  <c r="B4547" i="2" s="1"/>
  <c r="A4547" i="1"/>
  <c r="V4546" i="1"/>
  <c r="B4546" i="2" s="1"/>
  <c r="A4546" i="1"/>
  <c r="V4545" i="1"/>
  <c r="B4545" i="2" s="1"/>
  <c r="A4545" i="1"/>
  <c r="V4544" i="1"/>
  <c r="B4544" i="2" s="1"/>
  <c r="A4544" i="1"/>
  <c r="V4543" i="1"/>
  <c r="B4543" i="2" s="1"/>
  <c r="A4543" i="1"/>
  <c r="V4542" i="1"/>
  <c r="B4542" i="2" s="1"/>
  <c r="A4542" i="1"/>
  <c r="V4541" i="1"/>
  <c r="B4541" i="2" s="1"/>
  <c r="A4541" i="1"/>
  <c r="V4540" i="1"/>
  <c r="B4540" i="2" s="1"/>
  <c r="A4540" i="1"/>
  <c r="V4539" i="1"/>
  <c r="B4539" i="2" s="1"/>
  <c r="A4539" i="1"/>
  <c r="V4538" i="1"/>
  <c r="B4538" i="2" s="1"/>
  <c r="A4538" i="1"/>
  <c r="V4537" i="1"/>
  <c r="B4537" i="2" s="1"/>
  <c r="A4537" i="1"/>
  <c r="V4536" i="1"/>
  <c r="B4536" i="2" s="1"/>
  <c r="A4536" i="1"/>
  <c r="V4535" i="1"/>
  <c r="B4535" i="2" s="1"/>
  <c r="A4535" i="1"/>
  <c r="V4534" i="1"/>
  <c r="B4534" i="2" s="1"/>
  <c r="A4534" i="1"/>
  <c r="V4533" i="1"/>
  <c r="B4533" i="2" s="1"/>
  <c r="A4533" i="1"/>
  <c r="V4532" i="1"/>
  <c r="B4532" i="2" s="1"/>
  <c r="A4532" i="1"/>
  <c r="V4531" i="1"/>
  <c r="B4531" i="2" s="1"/>
  <c r="A4531" i="1"/>
  <c r="V4530" i="1"/>
  <c r="B4530" i="2" s="1"/>
  <c r="A4530" i="1"/>
  <c r="V4529" i="1"/>
  <c r="B4529" i="2" s="1"/>
  <c r="A4529" i="1"/>
  <c r="V4528" i="1"/>
  <c r="B4528" i="2" s="1"/>
  <c r="A4528" i="1"/>
  <c r="V4527" i="1"/>
  <c r="B4527" i="2" s="1"/>
  <c r="A4527" i="1"/>
  <c r="V4526" i="1"/>
  <c r="B4526" i="2" s="1"/>
  <c r="A4526" i="1"/>
  <c r="V4525" i="1"/>
  <c r="B4525" i="2" s="1"/>
  <c r="A4525" i="1"/>
  <c r="V4524" i="1"/>
  <c r="B4524" i="2" s="1"/>
  <c r="A4524" i="1"/>
  <c r="V4523" i="1"/>
  <c r="B4523" i="2" s="1"/>
  <c r="A4523" i="1"/>
  <c r="V4522" i="1"/>
  <c r="B4522" i="2" s="1"/>
  <c r="A4522" i="1"/>
  <c r="V4521" i="1"/>
  <c r="B4521" i="2" s="1"/>
  <c r="A4521" i="1"/>
  <c r="V4520" i="1"/>
  <c r="B4520" i="2" s="1"/>
  <c r="A4520" i="1"/>
  <c r="V4519" i="1"/>
  <c r="B4519" i="2" s="1"/>
  <c r="A4519" i="1"/>
  <c r="V4518" i="1"/>
  <c r="B4518" i="2" s="1"/>
  <c r="A4518" i="1"/>
  <c r="V4517" i="1"/>
  <c r="B4517" i="2" s="1"/>
  <c r="A4517" i="1"/>
  <c r="V4516" i="1"/>
  <c r="B4516" i="2" s="1"/>
  <c r="A4516" i="1"/>
  <c r="V4515" i="1"/>
  <c r="B4515" i="2" s="1"/>
  <c r="A4515" i="1"/>
  <c r="V4514" i="1"/>
  <c r="B4514" i="2" s="1"/>
  <c r="A4514" i="1"/>
  <c r="V4513" i="1"/>
  <c r="B4513" i="2" s="1"/>
  <c r="A4513" i="1"/>
  <c r="V4512" i="1"/>
  <c r="B4512" i="2" s="1"/>
  <c r="A4512" i="1"/>
  <c r="V4511" i="1"/>
  <c r="B4511" i="2" s="1"/>
  <c r="A4511" i="1"/>
  <c r="V4510" i="1"/>
  <c r="B4510" i="2" s="1"/>
  <c r="A4510" i="1"/>
  <c r="V4509" i="1"/>
  <c r="B4509" i="2" s="1"/>
  <c r="A4509" i="1"/>
  <c r="V4508" i="1"/>
  <c r="B4508" i="2" s="1"/>
  <c r="A4508" i="1"/>
  <c r="V4507" i="1"/>
  <c r="B4507" i="2" s="1"/>
  <c r="A4507" i="1"/>
  <c r="V4506" i="1"/>
  <c r="B4506" i="2" s="1"/>
  <c r="A4506" i="1"/>
  <c r="V4505" i="1"/>
  <c r="B4505" i="2" s="1"/>
  <c r="A4505" i="1"/>
  <c r="V4504" i="1"/>
  <c r="B4504" i="2" s="1"/>
  <c r="A4504" i="1"/>
  <c r="V4503" i="1"/>
  <c r="B4503" i="2" s="1"/>
  <c r="A4503" i="1"/>
  <c r="V4502" i="1"/>
  <c r="B4502" i="2" s="1"/>
  <c r="A4502" i="1"/>
  <c r="V4501" i="1"/>
  <c r="B4501" i="2" s="1"/>
  <c r="A4501" i="1"/>
  <c r="V4500" i="1"/>
  <c r="B4500" i="2" s="1"/>
  <c r="A4500" i="1"/>
  <c r="V4499" i="1"/>
  <c r="B4499" i="2" s="1"/>
  <c r="A4499" i="1"/>
  <c r="V4498" i="1"/>
  <c r="B4498" i="2" s="1"/>
  <c r="A4498" i="1"/>
  <c r="V4497" i="1"/>
  <c r="B4497" i="2" s="1"/>
  <c r="A4497" i="1"/>
  <c r="V4496" i="1"/>
  <c r="B4496" i="2" s="1"/>
  <c r="A4496" i="1"/>
  <c r="V4495" i="1"/>
  <c r="B4495" i="2" s="1"/>
  <c r="A4495" i="1"/>
  <c r="V4494" i="1"/>
  <c r="B4494" i="2" s="1"/>
  <c r="A4494" i="1"/>
  <c r="V4493" i="1"/>
  <c r="B4493" i="2" s="1"/>
  <c r="A4493" i="1"/>
  <c r="V4492" i="1"/>
  <c r="B4492" i="2" s="1"/>
  <c r="A4492" i="1"/>
  <c r="V4491" i="1"/>
  <c r="B4491" i="2" s="1"/>
  <c r="A4491" i="1"/>
  <c r="V4490" i="1"/>
  <c r="B4490" i="2" s="1"/>
  <c r="A4490" i="1"/>
  <c r="V4489" i="1"/>
  <c r="B4489" i="2" s="1"/>
  <c r="A4489" i="1"/>
  <c r="V4488" i="1"/>
  <c r="B4488" i="2" s="1"/>
  <c r="A4488" i="1"/>
  <c r="V4487" i="1"/>
  <c r="B4487" i="2" s="1"/>
  <c r="A4487" i="1"/>
  <c r="V4486" i="1"/>
  <c r="B4486" i="2" s="1"/>
  <c r="A4486" i="1"/>
  <c r="V4485" i="1"/>
  <c r="B4485" i="2" s="1"/>
  <c r="A4485" i="1"/>
  <c r="V4484" i="1"/>
  <c r="B4484" i="2" s="1"/>
  <c r="A4484" i="1"/>
  <c r="V4483" i="1"/>
  <c r="B4483" i="2" s="1"/>
  <c r="A4483" i="1"/>
  <c r="V4482" i="1"/>
  <c r="B4482" i="2" s="1"/>
  <c r="A4482" i="1"/>
  <c r="V4481" i="1"/>
  <c r="B4481" i="2" s="1"/>
  <c r="A4481" i="1"/>
  <c r="V4480" i="1"/>
  <c r="B4480" i="2" s="1"/>
  <c r="A4480" i="1"/>
  <c r="V4479" i="1"/>
  <c r="B4479" i="2" s="1"/>
  <c r="A4479" i="1"/>
  <c r="V4478" i="1"/>
  <c r="B4478" i="2" s="1"/>
  <c r="A4478" i="1"/>
  <c r="V4477" i="1"/>
  <c r="B4477" i="2" s="1"/>
  <c r="A4477" i="1"/>
  <c r="V4476" i="1"/>
  <c r="B4476" i="2" s="1"/>
  <c r="A4476" i="1"/>
  <c r="V4475" i="1"/>
  <c r="B4475" i="2" s="1"/>
  <c r="A4475" i="1"/>
  <c r="V4474" i="1"/>
  <c r="B4474" i="2" s="1"/>
  <c r="A4474" i="1"/>
  <c r="V4473" i="1"/>
  <c r="B4473" i="2" s="1"/>
  <c r="A4473" i="1"/>
  <c r="V4472" i="1"/>
  <c r="B4472" i="2" s="1"/>
  <c r="A4472" i="1"/>
  <c r="V4471" i="1"/>
  <c r="B4471" i="2" s="1"/>
  <c r="A4471" i="1"/>
  <c r="V4470" i="1"/>
  <c r="B4470" i="2" s="1"/>
  <c r="A4470" i="1"/>
  <c r="V4469" i="1"/>
  <c r="B4469" i="2" s="1"/>
  <c r="A4469" i="1"/>
  <c r="V4468" i="1"/>
  <c r="B4468" i="2" s="1"/>
  <c r="A4468" i="1"/>
  <c r="V4467" i="1"/>
  <c r="B4467" i="2" s="1"/>
  <c r="A4467" i="1"/>
  <c r="V4466" i="1"/>
  <c r="B4466" i="2" s="1"/>
  <c r="A4466" i="1"/>
  <c r="V4465" i="1"/>
  <c r="B4465" i="2" s="1"/>
  <c r="A4465" i="1"/>
  <c r="V4464" i="1"/>
  <c r="B4464" i="2" s="1"/>
  <c r="A4464" i="1"/>
  <c r="V4463" i="1"/>
  <c r="B4463" i="2" s="1"/>
  <c r="A4463" i="1"/>
  <c r="V4462" i="1"/>
  <c r="B4462" i="2" s="1"/>
  <c r="A4462" i="1"/>
  <c r="V4461" i="1"/>
  <c r="B4461" i="2" s="1"/>
  <c r="A4461" i="1"/>
  <c r="V4460" i="1"/>
  <c r="B4460" i="2" s="1"/>
  <c r="A4460" i="1"/>
  <c r="V4459" i="1"/>
  <c r="B4459" i="2" s="1"/>
  <c r="A4459" i="1"/>
  <c r="V4458" i="1"/>
  <c r="B4458" i="2" s="1"/>
  <c r="A4458" i="1"/>
  <c r="V4457" i="1"/>
  <c r="B4457" i="2" s="1"/>
  <c r="A4457" i="1"/>
  <c r="V4456" i="1"/>
  <c r="B4456" i="2" s="1"/>
  <c r="A4456" i="1"/>
  <c r="V4455" i="1"/>
  <c r="B4455" i="2" s="1"/>
  <c r="A4455" i="1"/>
  <c r="V4454" i="1"/>
  <c r="B4454" i="2" s="1"/>
  <c r="A4454" i="1"/>
  <c r="V4453" i="1"/>
  <c r="B4453" i="2" s="1"/>
  <c r="A4453" i="1"/>
  <c r="V4452" i="1"/>
  <c r="B4452" i="2" s="1"/>
  <c r="A4452" i="1"/>
  <c r="V4451" i="1"/>
  <c r="B4451" i="2" s="1"/>
  <c r="A4451" i="1"/>
  <c r="V4450" i="1"/>
  <c r="B4450" i="2" s="1"/>
  <c r="A4450" i="1"/>
  <c r="V4449" i="1"/>
  <c r="B4449" i="2" s="1"/>
  <c r="A4449" i="1"/>
  <c r="V4448" i="1"/>
  <c r="B4448" i="2" s="1"/>
  <c r="A4448" i="1"/>
  <c r="V4447" i="1"/>
  <c r="B4447" i="2" s="1"/>
  <c r="A4447" i="1"/>
  <c r="V4446" i="1"/>
  <c r="B4446" i="2" s="1"/>
  <c r="A4446" i="1"/>
  <c r="V4445" i="1"/>
  <c r="B4445" i="2" s="1"/>
  <c r="A4445" i="1"/>
  <c r="V4444" i="1"/>
  <c r="B4444" i="2" s="1"/>
  <c r="A4444" i="1"/>
  <c r="V4443" i="1"/>
  <c r="B4443" i="2" s="1"/>
  <c r="A4443" i="1"/>
  <c r="V4442" i="1"/>
  <c r="B4442" i="2" s="1"/>
  <c r="A4442" i="1"/>
  <c r="V4441" i="1"/>
  <c r="B4441" i="2" s="1"/>
  <c r="A4441" i="1"/>
  <c r="V4440" i="1"/>
  <c r="B4440" i="2" s="1"/>
  <c r="A4440" i="1"/>
  <c r="V4439" i="1"/>
  <c r="B4439" i="2" s="1"/>
  <c r="A4439" i="1"/>
  <c r="V4438" i="1"/>
  <c r="B4438" i="2" s="1"/>
  <c r="A4438" i="1"/>
  <c r="V4437" i="1"/>
  <c r="B4437" i="2" s="1"/>
  <c r="A4437" i="1"/>
  <c r="V4436" i="1"/>
  <c r="B4436" i="2" s="1"/>
  <c r="A4436" i="1"/>
  <c r="V4435" i="1"/>
  <c r="B4435" i="2" s="1"/>
  <c r="A4435" i="1"/>
  <c r="V4434" i="1"/>
  <c r="B4434" i="2" s="1"/>
  <c r="A4434" i="1"/>
  <c r="V4433" i="1"/>
  <c r="B4433" i="2" s="1"/>
  <c r="A4433" i="1"/>
  <c r="V4432" i="1"/>
  <c r="B4432" i="2" s="1"/>
  <c r="A4432" i="1"/>
  <c r="V4431" i="1"/>
  <c r="B4431" i="2" s="1"/>
  <c r="A4431" i="1"/>
  <c r="V4430" i="1"/>
  <c r="B4430" i="2" s="1"/>
  <c r="A4430" i="1"/>
  <c r="V4429" i="1"/>
  <c r="B4429" i="2" s="1"/>
  <c r="A4429" i="1"/>
  <c r="V4428" i="1"/>
  <c r="B4428" i="2" s="1"/>
  <c r="A4428" i="1"/>
  <c r="V4427" i="1"/>
  <c r="B4427" i="2" s="1"/>
  <c r="A4427" i="1"/>
  <c r="V4426" i="1"/>
  <c r="B4426" i="2" s="1"/>
  <c r="A4426" i="1"/>
  <c r="V4425" i="1"/>
  <c r="B4425" i="2" s="1"/>
  <c r="A4425" i="1"/>
  <c r="V4424" i="1"/>
  <c r="B4424" i="2" s="1"/>
  <c r="A4424" i="1"/>
  <c r="V4423" i="1"/>
  <c r="B4423" i="2" s="1"/>
  <c r="A4423" i="1"/>
  <c r="V4422" i="1"/>
  <c r="B4422" i="2" s="1"/>
  <c r="A4422" i="1"/>
  <c r="V4421" i="1"/>
  <c r="B4421" i="2" s="1"/>
  <c r="A4421" i="1"/>
  <c r="V4420" i="1"/>
  <c r="B4420" i="2" s="1"/>
  <c r="A4420" i="1"/>
  <c r="V4419" i="1"/>
  <c r="B4419" i="2" s="1"/>
  <c r="A4419" i="1"/>
  <c r="V4418" i="1"/>
  <c r="B4418" i="2" s="1"/>
  <c r="A4418" i="1"/>
  <c r="V4417" i="1"/>
  <c r="B4417" i="2" s="1"/>
  <c r="A4417" i="1"/>
  <c r="V4416" i="1"/>
  <c r="B4416" i="2" s="1"/>
  <c r="A4416" i="1"/>
  <c r="V4415" i="1"/>
  <c r="B4415" i="2" s="1"/>
  <c r="A4415" i="1"/>
  <c r="V4414" i="1"/>
  <c r="B4414" i="2" s="1"/>
  <c r="A4414" i="1"/>
  <c r="V4413" i="1"/>
  <c r="B4413" i="2" s="1"/>
  <c r="A4413" i="1"/>
  <c r="V4412" i="1"/>
  <c r="B4412" i="2" s="1"/>
  <c r="A4412" i="1"/>
  <c r="V4411" i="1"/>
  <c r="B4411" i="2" s="1"/>
  <c r="A4411" i="1"/>
  <c r="V4410" i="1"/>
  <c r="B4410" i="2" s="1"/>
  <c r="A4410" i="1"/>
  <c r="V4409" i="1"/>
  <c r="B4409" i="2" s="1"/>
  <c r="A4409" i="1"/>
  <c r="V4408" i="1"/>
  <c r="B4408" i="2" s="1"/>
  <c r="A4408" i="1"/>
  <c r="V4407" i="1"/>
  <c r="B4407" i="2" s="1"/>
  <c r="A4407" i="1"/>
  <c r="V4406" i="1"/>
  <c r="B4406" i="2" s="1"/>
  <c r="A4406" i="1"/>
  <c r="V4405" i="1"/>
  <c r="B4405" i="2" s="1"/>
  <c r="A4405" i="1"/>
  <c r="V4404" i="1"/>
  <c r="B4404" i="2" s="1"/>
  <c r="A4404" i="1"/>
  <c r="V4403" i="1"/>
  <c r="B4403" i="2" s="1"/>
  <c r="A4403" i="1"/>
  <c r="V4402" i="1"/>
  <c r="B4402" i="2" s="1"/>
  <c r="A4402" i="1"/>
  <c r="V4401" i="1"/>
  <c r="B4401" i="2" s="1"/>
  <c r="A4401" i="1"/>
  <c r="V4400" i="1"/>
  <c r="B4400" i="2" s="1"/>
  <c r="A4400" i="1"/>
  <c r="V4399" i="1"/>
  <c r="B4399" i="2" s="1"/>
  <c r="A4399" i="1"/>
  <c r="V4398" i="1"/>
  <c r="B4398" i="2" s="1"/>
  <c r="A4398" i="1"/>
  <c r="V4397" i="1"/>
  <c r="B4397" i="2" s="1"/>
  <c r="A4397" i="1"/>
  <c r="V4396" i="1"/>
  <c r="B4396" i="2" s="1"/>
  <c r="A4396" i="1"/>
  <c r="V4395" i="1"/>
  <c r="B4395" i="2" s="1"/>
  <c r="A4395" i="1"/>
  <c r="V4394" i="1"/>
  <c r="B4394" i="2" s="1"/>
  <c r="A4394" i="1"/>
  <c r="V4393" i="1"/>
  <c r="B4393" i="2" s="1"/>
  <c r="A4393" i="1"/>
  <c r="V4392" i="1"/>
  <c r="B4392" i="2" s="1"/>
  <c r="A4392" i="1"/>
  <c r="V4391" i="1"/>
  <c r="B4391" i="2" s="1"/>
  <c r="A4391" i="1"/>
  <c r="V4390" i="1"/>
  <c r="B4390" i="2" s="1"/>
  <c r="A4390" i="1"/>
  <c r="V4389" i="1"/>
  <c r="B4389" i="2" s="1"/>
  <c r="A4389" i="1"/>
  <c r="V4388" i="1"/>
  <c r="B4388" i="2" s="1"/>
  <c r="A4388" i="1"/>
  <c r="V4387" i="1"/>
  <c r="B4387" i="2" s="1"/>
  <c r="A4387" i="1"/>
  <c r="V4386" i="1"/>
  <c r="B4386" i="2" s="1"/>
  <c r="A4386" i="1"/>
  <c r="V4385" i="1"/>
  <c r="B4385" i="2" s="1"/>
  <c r="A4385" i="1"/>
  <c r="V4384" i="1"/>
  <c r="B4384" i="2" s="1"/>
  <c r="A4384" i="1"/>
  <c r="V4383" i="1"/>
  <c r="B4383" i="2" s="1"/>
  <c r="A4383" i="1"/>
  <c r="V4382" i="1"/>
  <c r="B4382" i="2" s="1"/>
  <c r="A4382" i="1"/>
  <c r="V4381" i="1"/>
  <c r="B4381" i="2" s="1"/>
  <c r="A4381" i="1"/>
  <c r="V4380" i="1"/>
  <c r="B4380" i="2" s="1"/>
  <c r="A4380" i="1"/>
  <c r="V4379" i="1"/>
  <c r="B4379" i="2" s="1"/>
  <c r="A4379" i="1"/>
  <c r="V4378" i="1"/>
  <c r="B4378" i="2" s="1"/>
  <c r="A4378" i="1"/>
  <c r="V4377" i="1"/>
  <c r="B4377" i="2" s="1"/>
  <c r="A4377" i="1"/>
  <c r="V4376" i="1"/>
  <c r="B4376" i="2" s="1"/>
  <c r="A4376" i="1"/>
  <c r="V4375" i="1"/>
  <c r="B4375" i="2" s="1"/>
  <c r="A4375" i="1"/>
  <c r="V4374" i="1"/>
  <c r="B4374" i="2" s="1"/>
  <c r="A4374" i="1"/>
  <c r="V4373" i="1"/>
  <c r="B4373" i="2" s="1"/>
  <c r="A4373" i="1"/>
  <c r="V4372" i="1"/>
  <c r="B4372" i="2" s="1"/>
  <c r="A4372" i="1"/>
  <c r="V4371" i="1"/>
  <c r="B4371" i="2" s="1"/>
  <c r="A4371" i="1"/>
  <c r="V4370" i="1"/>
  <c r="B4370" i="2" s="1"/>
  <c r="A4370" i="1"/>
  <c r="V4369" i="1"/>
  <c r="B4369" i="2" s="1"/>
  <c r="A4369" i="1"/>
  <c r="V4368" i="1"/>
  <c r="B4368" i="2" s="1"/>
  <c r="A4368" i="1"/>
  <c r="V4367" i="1"/>
  <c r="B4367" i="2" s="1"/>
  <c r="A4367" i="1"/>
  <c r="V4366" i="1"/>
  <c r="B4366" i="2" s="1"/>
  <c r="A4366" i="1"/>
  <c r="V4365" i="1"/>
  <c r="B4365" i="2" s="1"/>
  <c r="A4365" i="1"/>
  <c r="V4364" i="1"/>
  <c r="B4364" i="2" s="1"/>
  <c r="A4364" i="1"/>
  <c r="V4363" i="1"/>
  <c r="B4363" i="2" s="1"/>
  <c r="A4363" i="1"/>
  <c r="V4362" i="1"/>
  <c r="B4362" i="2" s="1"/>
  <c r="A4362" i="1"/>
  <c r="V4361" i="1"/>
  <c r="B4361" i="2" s="1"/>
  <c r="A4361" i="1"/>
  <c r="V4360" i="1"/>
  <c r="B4360" i="2" s="1"/>
  <c r="A4360" i="1"/>
  <c r="V4359" i="1"/>
  <c r="B4359" i="2" s="1"/>
  <c r="A4359" i="1"/>
  <c r="V4358" i="1"/>
  <c r="B4358" i="2" s="1"/>
  <c r="A4358" i="1"/>
  <c r="V4357" i="1"/>
  <c r="B4357" i="2" s="1"/>
  <c r="A4357" i="1"/>
  <c r="V4356" i="1"/>
  <c r="B4356" i="2" s="1"/>
  <c r="A4356" i="1"/>
  <c r="V4355" i="1"/>
  <c r="B4355" i="2" s="1"/>
  <c r="A4355" i="1"/>
  <c r="V4354" i="1"/>
  <c r="B4354" i="2" s="1"/>
  <c r="A4354" i="1"/>
  <c r="V4353" i="1"/>
  <c r="B4353" i="2" s="1"/>
  <c r="A4353" i="1"/>
  <c r="V4352" i="1"/>
  <c r="B4352" i="2" s="1"/>
  <c r="A4352" i="1"/>
  <c r="V4351" i="1"/>
  <c r="B4351" i="2" s="1"/>
  <c r="A4351" i="1"/>
  <c r="V4350" i="1"/>
  <c r="B4350" i="2" s="1"/>
  <c r="A4350" i="1"/>
  <c r="V4349" i="1"/>
  <c r="B4349" i="2" s="1"/>
  <c r="A4349" i="1"/>
  <c r="V4348" i="1"/>
  <c r="B4348" i="2" s="1"/>
  <c r="A4348" i="1"/>
  <c r="V4347" i="1"/>
  <c r="B4347" i="2" s="1"/>
  <c r="A4347" i="1"/>
  <c r="V4346" i="1"/>
  <c r="B4346" i="2" s="1"/>
  <c r="A4346" i="1"/>
  <c r="V4345" i="1"/>
  <c r="B4345" i="2" s="1"/>
  <c r="A4345" i="1"/>
  <c r="V4344" i="1"/>
  <c r="B4344" i="2" s="1"/>
  <c r="A4344" i="1"/>
  <c r="V4343" i="1"/>
  <c r="B4343" i="2" s="1"/>
  <c r="A4343" i="1"/>
  <c r="V4342" i="1"/>
  <c r="B4342" i="2" s="1"/>
  <c r="A4342" i="1"/>
  <c r="V4341" i="1"/>
  <c r="B4341" i="2" s="1"/>
  <c r="A4341" i="1"/>
  <c r="V4340" i="1"/>
  <c r="B4340" i="2" s="1"/>
  <c r="A4340" i="1"/>
  <c r="V4339" i="1"/>
  <c r="B4339" i="2" s="1"/>
  <c r="A4339" i="1"/>
  <c r="V4338" i="1"/>
  <c r="B4338" i="2" s="1"/>
  <c r="A4338" i="1"/>
  <c r="V4337" i="1"/>
  <c r="B4337" i="2" s="1"/>
  <c r="A4337" i="1"/>
  <c r="V4336" i="1"/>
  <c r="B4336" i="2" s="1"/>
  <c r="A4336" i="1"/>
  <c r="V4335" i="1"/>
  <c r="B4335" i="2" s="1"/>
  <c r="A4335" i="1"/>
  <c r="V4334" i="1"/>
  <c r="B4334" i="2" s="1"/>
  <c r="A4334" i="1"/>
  <c r="V4333" i="1"/>
  <c r="B4333" i="2" s="1"/>
  <c r="A4333" i="1"/>
  <c r="V4332" i="1"/>
  <c r="B4332" i="2" s="1"/>
  <c r="A4332" i="1"/>
  <c r="V4331" i="1"/>
  <c r="B4331" i="2" s="1"/>
  <c r="A4331" i="1"/>
  <c r="V4330" i="1"/>
  <c r="B4330" i="2" s="1"/>
  <c r="A4330" i="1"/>
  <c r="V4329" i="1"/>
  <c r="B4329" i="2" s="1"/>
  <c r="A4329" i="1"/>
  <c r="V4328" i="1"/>
  <c r="B4328" i="2" s="1"/>
  <c r="A4328" i="1"/>
  <c r="V4327" i="1"/>
  <c r="B4327" i="2" s="1"/>
  <c r="A4327" i="1"/>
  <c r="V4326" i="1"/>
  <c r="B4326" i="2" s="1"/>
  <c r="A4326" i="1"/>
  <c r="V4325" i="1"/>
  <c r="B4325" i="2" s="1"/>
  <c r="A4325" i="1"/>
  <c r="V4324" i="1"/>
  <c r="B4324" i="2" s="1"/>
  <c r="A4324" i="1"/>
  <c r="V4323" i="1"/>
  <c r="B4323" i="2" s="1"/>
  <c r="A4323" i="1"/>
  <c r="V4322" i="1"/>
  <c r="B4322" i="2" s="1"/>
  <c r="A4322" i="1"/>
  <c r="V4321" i="1"/>
  <c r="B4321" i="2" s="1"/>
  <c r="A4321" i="1"/>
  <c r="V4320" i="1"/>
  <c r="B4320" i="2" s="1"/>
  <c r="A4320" i="1"/>
  <c r="V4319" i="1"/>
  <c r="B4319" i="2" s="1"/>
  <c r="A4319" i="1"/>
  <c r="V4318" i="1"/>
  <c r="B4318" i="2" s="1"/>
  <c r="A4318" i="1"/>
  <c r="V4317" i="1"/>
  <c r="B4317" i="2" s="1"/>
  <c r="A4317" i="1"/>
  <c r="V4316" i="1"/>
  <c r="B4316" i="2" s="1"/>
  <c r="A4316" i="1"/>
  <c r="V4315" i="1"/>
  <c r="B4315" i="2" s="1"/>
  <c r="A4315" i="1"/>
  <c r="V4314" i="1"/>
  <c r="B4314" i="2" s="1"/>
  <c r="A4314" i="1"/>
  <c r="V4313" i="1"/>
  <c r="B4313" i="2" s="1"/>
  <c r="A4313" i="1"/>
  <c r="V4312" i="1"/>
  <c r="B4312" i="2" s="1"/>
  <c r="A4312" i="1"/>
  <c r="V4311" i="1"/>
  <c r="B4311" i="2" s="1"/>
  <c r="A4311" i="1"/>
  <c r="V4310" i="1"/>
  <c r="B4310" i="2" s="1"/>
  <c r="A4310" i="1"/>
  <c r="V4309" i="1"/>
  <c r="B4309" i="2" s="1"/>
  <c r="A4309" i="1"/>
  <c r="V4308" i="1"/>
  <c r="B4308" i="2" s="1"/>
  <c r="A4308" i="1"/>
  <c r="V4307" i="1"/>
  <c r="B4307" i="2" s="1"/>
  <c r="A4307" i="1"/>
  <c r="V4306" i="1"/>
  <c r="B4306" i="2" s="1"/>
  <c r="A4306" i="1"/>
  <c r="V4305" i="1"/>
  <c r="B4305" i="2" s="1"/>
  <c r="A4305" i="1"/>
  <c r="V4304" i="1"/>
  <c r="B4304" i="2" s="1"/>
  <c r="A4304" i="1"/>
  <c r="V4303" i="1"/>
  <c r="B4303" i="2" s="1"/>
  <c r="A4303" i="1"/>
  <c r="V4302" i="1"/>
  <c r="B4302" i="2" s="1"/>
  <c r="A4302" i="1"/>
  <c r="V4301" i="1"/>
  <c r="B4301" i="2" s="1"/>
  <c r="A4301" i="1"/>
  <c r="V4300" i="1"/>
  <c r="B4300" i="2" s="1"/>
  <c r="A4300" i="1"/>
  <c r="V4299" i="1"/>
  <c r="B4299" i="2" s="1"/>
  <c r="A4299" i="1"/>
  <c r="V4298" i="1"/>
  <c r="B4298" i="2" s="1"/>
  <c r="A4298" i="1"/>
  <c r="V4297" i="1"/>
  <c r="B4297" i="2" s="1"/>
  <c r="A4297" i="1"/>
  <c r="V4296" i="1"/>
  <c r="B4296" i="2" s="1"/>
  <c r="A4296" i="1"/>
  <c r="V4295" i="1"/>
  <c r="B4295" i="2" s="1"/>
  <c r="A4295" i="1"/>
  <c r="V4294" i="1"/>
  <c r="B4294" i="2" s="1"/>
  <c r="A4294" i="1"/>
  <c r="V4293" i="1"/>
  <c r="B4293" i="2" s="1"/>
  <c r="A4293" i="1"/>
  <c r="V4292" i="1"/>
  <c r="B4292" i="2" s="1"/>
  <c r="A4292" i="1"/>
  <c r="V4291" i="1"/>
  <c r="B4291" i="2" s="1"/>
  <c r="A4291" i="1"/>
  <c r="V4290" i="1"/>
  <c r="B4290" i="2" s="1"/>
  <c r="A4290" i="1"/>
  <c r="V4289" i="1"/>
  <c r="B4289" i="2" s="1"/>
  <c r="A4289" i="1"/>
  <c r="V4288" i="1"/>
  <c r="B4288" i="2" s="1"/>
  <c r="A4288" i="1"/>
  <c r="V4287" i="1"/>
  <c r="B4287" i="2" s="1"/>
  <c r="A4287" i="1"/>
  <c r="V4286" i="1"/>
  <c r="B4286" i="2" s="1"/>
  <c r="A4286" i="1"/>
  <c r="V4285" i="1"/>
  <c r="B4285" i="2" s="1"/>
  <c r="A4285" i="1"/>
  <c r="V4284" i="1"/>
  <c r="B4284" i="2" s="1"/>
  <c r="A4284" i="1"/>
  <c r="V4283" i="1"/>
  <c r="B4283" i="2" s="1"/>
  <c r="A4283" i="1"/>
  <c r="V4282" i="1"/>
  <c r="B4282" i="2" s="1"/>
  <c r="A4282" i="1"/>
  <c r="V4281" i="1"/>
  <c r="B4281" i="2" s="1"/>
  <c r="A4281" i="1"/>
  <c r="V4280" i="1"/>
  <c r="B4280" i="2" s="1"/>
  <c r="A4280" i="1"/>
  <c r="V4279" i="1"/>
  <c r="B4279" i="2" s="1"/>
  <c r="A4279" i="1"/>
  <c r="V4278" i="1"/>
  <c r="B4278" i="2" s="1"/>
  <c r="A4278" i="1"/>
  <c r="V4277" i="1"/>
  <c r="B4277" i="2" s="1"/>
  <c r="A4277" i="1"/>
  <c r="V4276" i="1"/>
  <c r="B4276" i="2" s="1"/>
  <c r="A4276" i="1"/>
  <c r="V4275" i="1"/>
  <c r="B4275" i="2" s="1"/>
  <c r="A4275" i="1"/>
  <c r="V4274" i="1"/>
  <c r="B4274" i="2" s="1"/>
  <c r="A4274" i="1"/>
  <c r="V4273" i="1"/>
  <c r="B4273" i="2" s="1"/>
  <c r="A4273" i="1"/>
  <c r="V4272" i="1"/>
  <c r="B4272" i="2" s="1"/>
  <c r="A4272" i="1"/>
  <c r="V4271" i="1"/>
  <c r="B4271" i="2" s="1"/>
  <c r="A4271" i="1"/>
  <c r="V4270" i="1"/>
  <c r="B4270" i="2" s="1"/>
  <c r="A4270" i="1"/>
  <c r="V4269" i="1"/>
  <c r="B4269" i="2" s="1"/>
  <c r="A4269" i="1"/>
  <c r="V4268" i="1"/>
  <c r="B4268" i="2" s="1"/>
  <c r="A4268" i="1"/>
  <c r="V4267" i="1"/>
  <c r="B4267" i="2" s="1"/>
  <c r="A4267" i="1"/>
  <c r="V4266" i="1"/>
  <c r="B4266" i="2" s="1"/>
  <c r="A4266" i="1"/>
  <c r="V4265" i="1"/>
  <c r="B4265" i="2" s="1"/>
  <c r="A4265" i="1"/>
  <c r="V4264" i="1"/>
  <c r="B4264" i="2" s="1"/>
  <c r="A4264" i="1"/>
  <c r="V4263" i="1"/>
  <c r="B4263" i="2" s="1"/>
  <c r="A4263" i="1"/>
  <c r="V4262" i="1"/>
  <c r="B4262" i="2" s="1"/>
  <c r="A4262" i="1"/>
  <c r="V4261" i="1"/>
  <c r="B4261" i="2" s="1"/>
  <c r="A4261" i="1"/>
  <c r="V4260" i="1"/>
  <c r="B4260" i="2" s="1"/>
  <c r="A4260" i="1"/>
  <c r="V4259" i="1"/>
  <c r="B4259" i="2" s="1"/>
  <c r="A4259" i="1"/>
  <c r="V4258" i="1"/>
  <c r="B4258" i="2" s="1"/>
  <c r="A4258" i="1"/>
  <c r="V4257" i="1"/>
  <c r="B4257" i="2" s="1"/>
  <c r="A4257" i="1"/>
  <c r="V4256" i="1"/>
  <c r="B4256" i="2" s="1"/>
  <c r="A4256" i="1"/>
  <c r="V4255" i="1"/>
  <c r="B4255" i="2" s="1"/>
  <c r="A4255" i="1"/>
  <c r="V4254" i="1"/>
  <c r="B4254" i="2" s="1"/>
  <c r="A4254" i="1"/>
  <c r="V4253" i="1"/>
  <c r="B4253" i="2" s="1"/>
  <c r="A4253" i="1"/>
  <c r="V4252" i="1"/>
  <c r="B4252" i="2" s="1"/>
  <c r="A4252" i="1"/>
  <c r="V4251" i="1"/>
  <c r="B4251" i="2" s="1"/>
  <c r="A4251" i="1"/>
  <c r="V4250" i="1"/>
  <c r="B4250" i="2" s="1"/>
  <c r="A4250" i="1"/>
  <c r="V4249" i="1"/>
  <c r="B4249" i="2" s="1"/>
  <c r="A4249" i="1"/>
  <c r="V4248" i="1"/>
  <c r="B4248" i="2" s="1"/>
  <c r="A4248" i="1"/>
  <c r="V4247" i="1"/>
  <c r="B4247" i="2" s="1"/>
  <c r="A4247" i="1"/>
  <c r="V4246" i="1"/>
  <c r="B4246" i="2" s="1"/>
  <c r="A4246" i="1"/>
  <c r="V4245" i="1"/>
  <c r="B4245" i="2" s="1"/>
  <c r="A4245" i="1"/>
  <c r="V4244" i="1"/>
  <c r="B4244" i="2" s="1"/>
  <c r="A4244" i="1"/>
  <c r="V4243" i="1"/>
  <c r="B4243" i="2" s="1"/>
  <c r="A4243" i="1"/>
  <c r="V4242" i="1"/>
  <c r="B4242" i="2" s="1"/>
  <c r="A4242" i="1"/>
  <c r="V4241" i="1"/>
  <c r="B4241" i="2" s="1"/>
  <c r="A4241" i="1"/>
  <c r="V4240" i="1"/>
  <c r="B4240" i="2" s="1"/>
  <c r="A4240" i="1"/>
  <c r="V4239" i="1"/>
  <c r="B4239" i="2" s="1"/>
  <c r="A4239" i="1"/>
  <c r="V4238" i="1"/>
  <c r="B4238" i="2" s="1"/>
  <c r="A4238" i="1"/>
  <c r="V4237" i="1"/>
  <c r="B4237" i="2" s="1"/>
  <c r="A4237" i="1"/>
  <c r="V4236" i="1"/>
  <c r="B4236" i="2" s="1"/>
  <c r="A4236" i="1"/>
  <c r="V4235" i="1"/>
  <c r="B4235" i="2" s="1"/>
  <c r="A4235" i="1"/>
  <c r="V4234" i="1"/>
  <c r="B4234" i="2" s="1"/>
  <c r="A4234" i="1"/>
  <c r="V4233" i="1"/>
  <c r="B4233" i="2" s="1"/>
  <c r="A4233" i="1"/>
  <c r="V4232" i="1"/>
  <c r="B4232" i="2" s="1"/>
  <c r="A4232" i="1"/>
  <c r="V4231" i="1"/>
  <c r="B4231" i="2" s="1"/>
  <c r="A4231" i="1"/>
  <c r="V4230" i="1"/>
  <c r="B4230" i="2" s="1"/>
  <c r="A4230" i="1"/>
  <c r="V4229" i="1"/>
  <c r="B4229" i="2" s="1"/>
  <c r="A4229" i="1"/>
  <c r="V4228" i="1"/>
  <c r="B4228" i="2" s="1"/>
  <c r="A4228" i="1"/>
  <c r="V4227" i="1"/>
  <c r="B4227" i="2" s="1"/>
  <c r="A4227" i="1"/>
  <c r="V4226" i="1"/>
  <c r="B4226" i="2" s="1"/>
  <c r="A4226" i="1"/>
  <c r="V4225" i="1"/>
  <c r="B4225" i="2" s="1"/>
  <c r="A4225" i="1"/>
  <c r="V4224" i="1"/>
  <c r="B4224" i="2" s="1"/>
  <c r="A4224" i="1"/>
  <c r="V4223" i="1"/>
  <c r="B4223" i="2" s="1"/>
  <c r="A4223" i="1"/>
  <c r="V4222" i="1"/>
  <c r="B4222" i="2" s="1"/>
  <c r="A4222" i="1"/>
  <c r="V4221" i="1"/>
  <c r="B4221" i="2" s="1"/>
  <c r="A4221" i="1"/>
  <c r="V4220" i="1"/>
  <c r="B4220" i="2" s="1"/>
  <c r="A4220" i="1"/>
  <c r="V4219" i="1"/>
  <c r="B4219" i="2" s="1"/>
  <c r="A4219" i="1"/>
  <c r="V4218" i="1"/>
  <c r="B4218" i="2" s="1"/>
  <c r="A4218" i="1"/>
  <c r="V4217" i="1"/>
  <c r="B4217" i="2" s="1"/>
  <c r="A4217" i="1"/>
  <c r="V4216" i="1"/>
  <c r="B4216" i="2" s="1"/>
  <c r="A4216" i="1"/>
  <c r="V4215" i="1"/>
  <c r="B4215" i="2" s="1"/>
  <c r="A4215" i="1"/>
  <c r="V4214" i="1"/>
  <c r="B4214" i="2" s="1"/>
  <c r="A4214" i="1"/>
  <c r="V4213" i="1"/>
  <c r="B4213" i="2" s="1"/>
  <c r="A4213" i="1"/>
  <c r="V4212" i="1"/>
  <c r="B4212" i="2" s="1"/>
  <c r="A4212" i="1"/>
  <c r="V4211" i="1"/>
  <c r="B4211" i="2" s="1"/>
  <c r="A4211" i="1"/>
  <c r="V4210" i="1"/>
  <c r="B4210" i="2" s="1"/>
  <c r="A4210" i="1"/>
  <c r="V4209" i="1"/>
  <c r="B4209" i="2" s="1"/>
  <c r="A4209" i="1"/>
  <c r="V4208" i="1"/>
  <c r="B4208" i="2" s="1"/>
  <c r="A4208" i="1"/>
  <c r="V4207" i="1"/>
  <c r="B4207" i="2" s="1"/>
  <c r="A4207" i="1"/>
  <c r="V4206" i="1"/>
  <c r="B4206" i="2" s="1"/>
  <c r="A4206" i="1"/>
  <c r="V4205" i="1"/>
  <c r="B4205" i="2" s="1"/>
  <c r="A4205" i="1"/>
  <c r="V4204" i="1"/>
  <c r="B4204" i="2" s="1"/>
  <c r="A4204" i="1"/>
  <c r="V4203" i="1"/>
  <c r="B4203" i="2" s="1"/>
  <c r="A4203" i="1"/>
  <c r="V4202" i="1"/>
  <c r="B4202" i="2" s="1"/>
  <c r="A4202" i="1"/>
  <c r="V4201" i="1"/>
  <c r="B4201" i="2" s="1"/>
  <c r="A4201" i="1"/>
  <c r="V4200" i="1"/>
  <c r="B4200" i="2" s="1"/>
  <c r="A4200" i="1"/>
  <c r="V4199" i="1"/>
  <c r="B4199" i="2" s="1"/>
  <c r="A4199" i="1"/>
  <c r="V4198" i="1"/>
  <c r="B4198" i="2" s="1"/>
  <c r="A4198" i="1"/>
  <c r="V4197" i="1"/>
  <c r="B4197" i="2" s="1"/>
  <c r="A4197" i="1"/>
  <c r="V4196" i="1"/>
  <c r="B4196" i="2" s="1"/>
  <c r="A4196" i="1"/>
  <c r="V4195" i="1"/>
  <c r="B4195" i="2" s="1"/>
  <c r="A4195" i="1"/>
  <c r="V4194" i="1"/>
  <c r="B4194" i="2" s="1"/>
  <c r="A4194" i="1"/>
  <c r="V4193" i="1"/>
  <c r="B4193" i="2" s="1"/>
  <c r="A4193" i="1"/>
  <c r="V4192" i="1"/>
  <c r="B4192" i="2" s="1"/>
  <c r="A4192" i="1"/>
  <c r="V4191" i="1"/>
  <c r="B4191" i="2" s="1"/>
  <c r="A4191" i="1"/>
  <c r="V4190" i="1"/>
  <c r="B4190" i="2" s="1"/>
  <c r="A4190" i="1"/>
  <c r="V4189" i="1"/>
  <c r="B4189" i="2" s="1"/>
  <c r="A4189" i="1"/>
  <c r="V4188" i="1"/>
  <c r="B4188" i="2" s="1"/>
  <c r="A4188" i="1"/>
  <c r="V4187" i="1"/>
  <c r="B4187" i="2" s="1"/>
  <c r="A4187" i="1"/>
  <c r="V4186" i="1"/>
  <c r="B4186" i="2" s="1"/>
  <c r="A4186" i="1"/>
  <c r="V4185" i="1"/>
  <c r="B4185" i="2" s="1"/>
  <c r="A4185" i="1"/>
  <c r="V4184" i="1"/>
  <c r="B4184" i="2" s="1"/>
  <c r="A4184" i="1"/>
  <c r="V4183" i="1"/>
  <c r="B4183" i="2" s="1"/>
  <c r="A4183" i="1"/>
  <c r="V4182" i="1"/>
  <c r="B4182" i="2" s="1"/>
  <c r="A4182" i="1"/>
  <c r="V4181" i="1"/>
  <c r="B4181" i="2" s="1"/>
  <c r="A4181" i="1"/>
  <c r="V4180" i="1"/>
  <c r="B4180" i="2" s="1"/>
  <c r="A4180" i="1"/>
  <c r="V4179" i="1"/>
  <c r="B4179" i="2" s="1"/>
  <c r="A4179" i="1"/>
  <c r="V4178" i="1"/>
  <c r="B4178" i="2" s="1"/>
  <c r="A4178" i="1"/>
  <c r="V4177" i="1"/>
  <c r="B4177" i="2" s="1"/>
  <c r="A4177" i="1"/>
  <c r="V4176" i="1"/>
  <c r="B4176" i="2" s="1"/>
  <c r="A4176" i="1"/>
  <c r="V4175" i="1"/>
  <c r="B4175" i="2" s="1"/>
  <c r="A4175" i="1"/>
  <c r="V4174" i="1"/>
  <c r="B4174" i="2" s="1"/>
  <c r="A4174" i="1"/>
  <c r="V4173" i="1"/>
  <c r="B4173" i="2" s="1"/>
  <c r="A4173" i="1"/>
  <c r="V4172" i="1"/>
  <c r="B4172" i="2" s="1"/>
  <c r="A4172" i="1"/>
  <c r="V4171" i="1"/>
  <c r="B4171" i="2" s="1"/>
  <c r="A4171" i="1"/>
  <c r="V4170" i="1"/>
  <c r="B4170" i="2" s="1"/>
  <c r="A4170" i="1"/>
  <c r="V4169" i="1"/>
  <c r="B4169" i="2" s="1"/>
  <c r="A4169" i="1"/>
  <c r="V4168" i="1"/>
  <c r="B4168" i="2" s="1"/>
  <c r="A4168" i="1"/>
  <c r="V4167" i="1"/>
  <c r="B4167" i="2" s="1"/>
  <c r="A4167" i="1"/>
  <c r="V4166" i="1"/>
  <c r="B4166" i="2" s="1"/>
  <c r="A4166" i="1"/>
  <c r="V4165" i="1"/>
  <c r="B4165" i="2" s="1"/>
  <c r="A4165" i="1"/>
  <c r="V4164" i="1"/>
  <c r="B4164" i="2" s="1"/>
  <c r="A4164" i="1"/>
  <c r="V4163" i="1"/>
  <c r="B4163" i="2" s="1"/>
  <c r="A4163" i="1"/>
  <c r="V4162" i="1"/>
  <c r="B4162" i="2" s="1"/>
  <c r="A4162" i="1"/>
  <c r="V4161" i="1"/>
  <c r="B4161" i="2" s="1"/>
  <c r="A4161" i="1"/>
  <c r="V4160" i="1"/>
  <c r="B4160" i="2" s="1"/>
  <c r="A4160" i="1"/>
  <c r="V4159" i="1"/>
  <c r="B4159" i="2" s="1"/>
  <c r="A4159" i="1"/>
  <c r="V4158" i="1"/>
  <c r="B4158" i="2" s="1"/>
  <c r="A4158" i="1"/>
  <c r="V4157" i="1"/>
  <c r="B4157" i="2" s="1"/>
  <c r="A4157" i="1"/>
  <c r="V4156" i="1"/>
  <c r="B4156" i="2" s="1"/>
  <c r="A4156" i="1"/>
  <c r="V4155" i="1"/>
  <c r="B4155" i="2" s="1"/>
  <c r="A4155" i="1"/>
  <c r="V4154" i="1"/>
  <c r="B4154" i="2" s="1"/>
  <c r="A4154" i="1"/>
  <c r="V4153" i="1"/>
  <c r="B4153" i="2" s="1"/>
  <c r="A4153" i="1"/>
  <c r="V4152" i="1"/>
  <c r="B4152" i="2" s="1"/>
  <c r="A4152" i="1"/>
  <c r="V4151" i="1"/>
  <c r="B4151" i="2" s="1"/>
  <c r="A4151" i="1"/>
  <c r="V4150" i="1"/>
  <c r="B4150" i="2" s="1"/>
  <c r="A4150" i="1"/>
  <c r="V4149" i="1"/>
  <c r="B4149" i="2" s="1"/>
  <c r="A4149" i="1"/>
  <c r="V4148" i="1"/>
  <c r="B4148" i="2" s="1"/>
  <c r="A4148" i="1"/>
  <c r="V4147" i="1"/>
  <c r="B4147" i="2" s="1"/>
  <c r="A4147" i="1"/>
  <c r="V4146" i="1"/>
  <c r="B4146" i="2" s="1"/>
  <c r="A4146" i="1"/>
  <c r="V4145" i="1"/>
  <c r="B4145" i="2" s="1"/>
  <c r="A4145" i="1"/>
  <c r="V4144" i="1"/>
  <c r="B4144" i="2" s="1"/>
  <c r="A4144" i="1"/>
  <c r="V4143" i="1"/>
  <c r="B4143" i="2" s="1"/>
  <c r="A4143" i="1"/>
  <c r="V4142" i="1"/>
  <c r="B4142" i="2" s="1"/>
  <c r="A4142" i="1"/>
  <c r="V4141" i="1"/>
  <c r="B4141" i="2" s="1"/>
  <c r="A4141" i="1"/>
  <c r="V4140" i="1"/>
  <c r="B4140" i="2" s="1"/>
  <c r="A4140" i="1"/>
  <c r="V4139" i="1"/>
  <c r="B4139" i="2" s="1"/>
  <c r="A4139" i="1"/>
  <c r="V4138" i="1"/>
  <c r="B4138" i="2" s="1"/>
  <c r="A4138" i="1"/>
  <c r="V4137" i="1"/>
  <c r="B4137" i="2" s="1"/>
  <c r="A4137" i="1"/>
  <c r="V4136" i="1"/>
  <c r="B4136" i="2" s="1"/>
  <c r="A4136" i="1"/>
  <c r="V4135" i="1"/>
  <c r="B4135" i="2" s="1"/>
  <c r="A4135" i="1"/>
  <c r="V4134" i="1"/>
  <c r="B4134" i="2" s="1"/>
  <c r="A4134" i="1"/>
  <c r="V4133" i="1"/>
  <c r="B4133" i="2" s="1"/>
  <c r="A4133" i="1"/>
  <c r="V4132" i="1"/>
  <c r="B4132" i="2" s="1"/>
  <c r="A4132" i="1"/>
  <c r="V4131" i="1"/>
  <c r="B4131" i="2" s="1"/>
  <c r="A4131" i="1"/>
  <c r="V4130" i="1"/>
  <c r="B4130" i="2" s="1"/>
  <c r="A4130" i="1"/>
  <c r="V4129" i="1"/>
  <c r="B4129" i="2" s="1"/>
  <c r="A4129" i="1"/>
  <c r="V4128" i="1"/>
  <c r="B4128" i="2" s="1"/>
  <c r="A4128" i="1"/>
  <c r="V4127" i="1"/>
  <c r="B4127" i="2" s="1"/>
  <c r="A4127" i="1"/>
  <c r="V4126" i="1"/>
  <c r="B4126" i="2" s="1"/>
  <c r="A4126" i="1"/>
  <c r="V4125" i="1"/>
  <c r="B4125" i="2" s="1"/>
  <c r="A4125" i="1"/>
  <c r="V4124" i="1"/>
  <c r="B4124" i="2" s="1"/>
  <c r="A4124" i="1"/>
  <c r="V4123" i="1"/>
  <c r="B4123" i="2" s="1"/>
  <c r="A4123" i="1"/>
  <c r="V4122" i="1"/>
  <c r="B4122" i="2" s="1"/>
  <c r="A4122" i="1"/>
  <c r="V4121" i="1"/>
  <c r="B4121" i="2" s="1"/>
  <c r="A4121" i="1"/>
  <c r="V4120" i="1"/>
  <c r="B4120" i="2" s="1"/>
  <c r="A4120" i="1"/>
  <c r="V4119" i="1"/>
  <c r="B4119" i="2" s="1"/>
  <c r="A4119" i="1"/>
  <c r="V4118" i="1"/>
  <c r="B4118" i="2" s="1"/>
  <c r="A4118" i="1"/>
  <c r="V4117" i="1"/>
  <c r="B4117" i="2" s="1"/>
  <c r="A4117" i="1"/>
  <c r="V4116" i="1"/>
  <c r="B4116" i="2" s="1"/>
  <c r="A4116" i="1"/>
  <c r="V4115" i="1"/>
  <c r="B4115" i="2" s="1"/>
  <c r="A4115" i="1"/>
  <c r="V4114" i="1"/>
  <c r="B4114" i="2" s="1"/>
  <c r="A4114" i="1"/>
  <c r="V4113" i="1"/>
  <c r="B4113" i="2" s="1"/>
  <c r="A4113" i="1"/>
  <c r="V4112" i="1"/>
  <c r="B4112" i="2" s="1"/>
  <c r="A4112" i="1"/>
  <c r="V4111" i="1"/>
  <c r="B4111" i="2" s="1"/>
  <c r="A4111" i="1"/>
  <c r="V4110" i="1"/>
  <c r="B4110" i="2" s="1"/>
  <c r="A4110" i="1"/>
  <c r="V4109" i="1"/>
  <c r="B4109" i="2" s="1"/>
  <c r="A4109" i="1"/>
  <c r="V4108" i="1"/>
  <c r="B4108" i="2" s="1"/>
  <c r="A4108" i="1"/>
  <c r="V4107" i="1"/>
  <c r="B4107" i="2" s="1"/>
  <c r="A4107" i="1"/>
  <c r="V4106" i="1"/>
  <c r="B4106" i="2" s="1"/>
  <c r="A4106" i="1"/>
  <c r="V4105" i="1"/>
  <c r="B4105" i="2" s="1"/>
  <c r="A4105" i="1"/>
  <c r="V4104" i="1"/>
  <c r="B4104" i="2" s="1"/>
  <c r="A4104" i="1"/>
  <c r="V4103" i="1"/>
  <c r="B4103" i="2" s="1"/>
  <c r="A4103" i="1"/>
  <c r="V4102" i="1"/>
  <c r="B4102" i="2" s="1"/>
  <c r="A4102" i="1"/>
  <c r="V4101" i="1"/>
  <c r="B4101" i="2" s="1"/>
  <c r="A4101" i="1"/>
  <c r="V4100" i="1"/>
  <c r="B4100" i="2" s="1"/>
  <c r="A4100" i="1"/>
  <c r="V4099" i="1"/>
  <c r="B4099" i="2" s="1"/>
  <c r="A4099" i="1"/>
  <c r="V4098" i="1"/>
  <c r="B4098" i="2" s="1"/>
  <c r="A4098" i="1"/>
  <c r="V4097" i="1"/>
  <c r="B4097" i="2" s="1"/>
  <c r="A4097" i="1"/>
  <c r="V4096" i="1"/>
  <c r="B4096" i="2" s="1"/>
  <c r="A4096" i="1"/>
  <c r="V4095" i="1"/>
  <c r="B4095" i="2" s="1"/>
  <c r="A4095" i="1"/>
  <c r="V4094" i="1"/>
  <c r="B4094" i="2" s="1"/>
  <c r="A4094" i="1"/>
  <c r="V4093" i="1"/>
  <c r="B4093" i="2" s="1"/>
  <c r="A4093" i="1"/>
  <c r="V4092" i="1"/>
  <c r="B4092" i="2" s="1"/>
  <c r="A4092" i="1"/>
  <c r="V4091" i="1"/>
  <c r="B4091" i="2" s="1"/>
  <c r="A4091" i="1"/>
  <c r="V4090" i="1"/>
  <c r="B4090" i="2" s="1"/>
  <c r="A4090" i="1"/>
  <c r="V4089" i="1"/>
  <c r="B4089" i="2" s="1"/>
  <c r="A4089" i="1"/>
  <c r="V4088" i="1"/>
  <c r="B4088" i="2" s="1"/>
  <c r="A4088" i="1"/>
  <c r="V4087" i="1"/>
  <c r="B4087" i="2" s="1"/>
  <c r="A4087" i="1"/>
  <c r="V4086" i="1"/>
  <c r="B4086" i="2" s="1"/>
  <c r="A4086" i="1"/>
  <c r="V4085" i="1"/>
  <c r="B4085" i="2" s="1"/>
  <c r="A4085" i="1"/>
  <c r="V4084" i="1"/>
  <c r="B4084" i="2" s="1"/>
  <c r="A4084" i="1"/>
  <c r="V4083" i="1"/>
  <c r="B4083" i="2" s="1"/>
  <c r="A4083" i="1"/>
  <c r="V4082" i="1"/>
  <c r="B4082" i="2" s="1"/>
  <c r="A4082" i="1"/>
  <c r="V4081" i="1"/>
  <c r="B4081" i="2" s="1"/>
  <c r="A4081" i="1"/>
  <c r="V4080" i="1"/>
  <c r="B4080" i="2" s="1"/>
  <c r="A4080" i="1"/>
  <c r="V4079" i="1"/>
  <c r="B4079" i="2" s="1"/>
  <c r="A4079" i="1"/>
  <c r="V4078" i="1"/>
  <c r="B4078" i="2" s="1"/>
  <c r="A4078" i="1"/>
  <c r="V4077" i="1"/>
  <c r="B4077" i="2" s="1"/>
  <c r="A4077" i="1"/>
  <c r="V4076" i="1"/>
  <c r="B4076" i="2" s="1"/>
  <c r="A4076" i="1"/>
  <c r="V4075" i="1"/>
  <c r="B4075" i="2" s="1"/>
  <c r="A4075" i="1"/>
  <c r="V4074" i="1"/>
  <c r="B4074" i="2" s="1"/>
  <c r="A4074" i="1"/>
  <c r="V4073" i="1"/>
  <c r="B4073" i="2" s="1"/>
  <c r="A4073" i="1"/>
  <c r="V4072" i="1"/>
  <c r="B4072" i="2" s="1"/>
  <c r="A4072" i="1"/>
  <c r="V4071" i="1"/>
  <c r="B4071" i="2" s="1"/>
  <c r="A4071" i="1"/>
  <c r="V4070" i="1"/>
  <c r="B4070" i="2" s="1"/>
  <c r="A4070" i="1"/>
  <c r="V4069" i="1"/>
  <c r="B4069" i="2" s="1"/>
  <c r="A4069" i="1"/>
  <c r="V4068" i="1"/>
  <c r="B4068" i="2" s="1"/>
  <c r="A4068" i="1"/>
  <c r="V4067" i="1"/>
  <c r="B4067" i="2" s="1"/>
  <c r="A4067" i="1"/>
  <c r="V4066" i="1"/>
  <c r="B4066" i="2" s="1"/>
  <c r="A4066" i="1"/>
  <c r="V4065" i="1"/>
  <c r="B4065" i="2" s="1"/>
  <c r="A4065" i="1"/>
  <c r="V4064" i="1"/>
  <c r="B4064" i="2" s="1"/>
  <c r="A4064" i="1"/>
  <c r="V4063" i="1"/>
  <c r="B4063" i="2" s="1"/>
  <c r="A4063" i="1"/>
  <c r="V4062" i="1"/>
  <c r="B4062" i="2" s="1"/>
  <c r="A4062" i="1"/>
  <c r="V4061" i="1"/>
  <c r="B4061" i="2" s="1"/>
  <c r="A4061" i="1"/>
  <c r="V4060" i="1"/>
  <c r="B4060" i="2" s="1"/>
  <c r="A4060" i="1"/>
  <c r="V4059" i="1"/>
  <c r="B4059" i="2" s="1"/>
  <c r="A4059" i="1"/>
  <c r="V4058" i="1"/>
  <c r="B4058" i="2" s="1"/>
  <c r="A4058" i="1"/>
  <c r="V4057" i="1"/>
  <c r="B4057" i="2" s="1"/>
  <c r="A4057" i="1"/>
  <c r="V4056" i="1"/>
  <c r="B4056" i="2" s="1"/>
  <c r="A4056" i="1"/>
  <c r="V4055" i="1"/>
  <c r="B4055" i="2" s="1"/>
  <c r="A4055" i="1"/>
  <c r="V4054" i="1"/>
  <c r="B4054" i="2" s="1"/>
  <c r="A4054" i="1"/>
  <c r="V4053" i="1"/>
  <c r="B4053" i="2" s="1"/>
  <c r="A4053" i="1"/>
  <c r="V4052" i="1"/>
  <c r="B4052" i="2" s="1"/>
  <c r="A4052" i="1"/>
  <c r="V4051" i="1"/>
  <c r="B4051" i="2" s="1"/>
  <c r="A4051" i="1"/>
  <c r="V4050" i="1"/>
  <c r="B4050" i="2" s="1"/>
  <c r="A4050" i="1"/>
  <c r="V4049" i="1"/>
  <c r="B4049" i="2" s="1"/>
  <c r="A4049" i="1"/>
  <c r="V4048" i="1"/>
  <c r="B4048" i="2" s="1"/>
  <c r="A4048" i="1"/>
  <c r="V4047" i="1"/>
  <c r="B4047" i="2" s="1"/>
  <c r="A4047" i="1"/>
  <c r="V4046" i="1"/>
  <c r="B4046" i="2" s="1"/>
  <c r="A4046" i="1"/>
  <c r="V4045" i="1"/>
  <c r="B4045" i="2" s="1"/>
  <c r="A4045" i="1"/>
  <c r="V4044" i="1"/>
  <c r="B4044" i="2" s="1"/>
  <c r="A4044" i="1"/>
  <c r="V4043" i="1"/>
  <c r="B4043" i="2" s="1"/>
  <c r="A4043" i="1"/>
  <c r="V4042" i="1"/>
  <c r="B4042" i="2" s="1"/>
  <c r="A4042" i="1"/>
  <c r="V4041" i="1"/>
  <c r="B4041" i="2" s="1"/>
  <c r="A4041" i="1"/>
  <c r="V4040" i="1"/>
  <c r="B4040" i="2" s="1"/>
  <c r="A4040" i="1"/>
  <c r="V4039" i="1"/>
  <c r="B4039" i="2" s="1"/>
  <c r="A4039" i="1"/>
  <c r="V4038" i="1"/>
  <c r="B4038" i="2" s="1"/>
  <c r="A4038" i="1"/>
  <c r="V4037" i="1"/>
  <c r="B4037" i="2" s="1"/>
  <c r="A4037" i="1"/>
  <c r="V4036" i="1"/>
  <c r="B4036" i="2" s="1"/>
  <c r="A4036" i="1"/>
  <c r="V4035" i="1"/>
  <c r="B4035" i="2" s="1"/>
  <c r="A4035" i="1"/>
  <c r="V4034" i="1"/>
  <c r="B4034" i="2" s="1"/>
  <c r="A4034" i="1"/>
  <c r="V4033" i="1"/>
  <c r="B4033" i="2" s="1"/>
  <c r="A4033" i="1"/>
  <c r="V4032" i="1"/>
  <c r="B4032" i="2" s="1"/>
  <c r="A4032" i="1"/>
  <c r="V4031" i="1"/>
  <c r="B4031" i="2" s="1"/>
  <c r="A4031" i="1"/>
  <c r="V4030" i="1"/>
  <c r="B4030" i="2" s="1"/>
  <c r="A4030" i="1"/>
  <c r="V4029" i="1"/>
  <c r="B4029" i="2" s="1"/>
  <c r="A4029" i="1"/>
  <c r="V4028" i="1"/>
  <c r="B4028" i="2" s="1"/>
  <c r="A4028" i="1"/>
  <c r="V4027" i="1"/>
  <c r="B4027" i="2" s="1"/>
  <c r="A4027" i="1"/>
  <c r="V4026" i="1"/>
  <c r="B4026" i="2" s="1"/>
  <c r="A4026" i="1"/>
  <c r="V4025" i="1"/>
  <c r="B4025" i="2" s="1"/>
  <c r="A4025" i="1"/>
  <c r="V4024" i="1"/>
  <c r="B4024" i="2" s="1"/>
  <c r="A4024" i="1"/>
  <c r="V4023" i="1"/>
  <c r="B4023" i="2" s="1"/>
  <c r="A4023" i="1"/>
  <c r="V4022" i="1"/>
  <c r="B4022" i="2" s="1"/>
  <c r="A4022" i="1"/>
  <c r="V4021" i="1"/>
  <c r="B4021" i="2" s="1"/>
  <c r="A4021" i="1"/>
  <c r="V4020" i="1"/>
  <c r="B4020" i="2" s="1"/>
  <c r="A4020" i="1"/>
  <c r="V4019" i="1"/>
  <c r="B4019" i="2" s="1"/>
  <c r="A4019" i="1"/>
  <c r="V4018" i="1"/>
  <c r="B4018" i="2" s="1"/>
  <c r="A4018" i="1"/>
  <c r="V4017" i="1"/>
  <c r="B4017" i="2" s="1"/>
  <c r="A4017" i="1"/>
  <c r="V4016" i="1"/>
  <c r="B4016" i="2" s="1"/>
  <c r="A4016" i="1"/>
  <c r="V4015" i="1"/>
  <c r="B4015" i="2" s="1"/>
  <c r="A4015" i="1"/>
  <c r="V4014" i="1"/>
  <c r="B4014" i="2" s="1"/>
  <c r="A4014" i="1"/>
  <c r="V4013" i="1"/>
  <c r="B4013" i="2" s="1"/>
  <c r="A4013" i="1"/>
  <c r="V4012" i="1"/>
  <c r="B4012" i="2" s="1"/>
  <c r="A4012" i="1"/>
  <c r="V4011" i="1"/>
  <c r="B4011" i="2" s="1"/>
  <c r="A4011" i="1"/>
  <c r="V4010" i="1"/>
  <c r="B4010" i="2" s="1"/>
  <c r="A4010" i="1"/>
  <c r="V4009" i="1"/>
  <c r="B4009" i="2" s="1"/>
  <c r="A4009" i="1"/>
  <c r="V4008" i="1"/>
  <c r="B4008" i="2" s="1"/>
  <c r="A4008" i="1"/>
  <c r="V4007" i="1"/>
  <c r="B4007" i="2" s="1"/>
  <c r="A4007" i="1"/>
  <c r="V4006" i="1"/>
  <c r="B4006" i="2" s="1"/>
  <c r="A4006" i="1"/>
  <c r="V4005" i="1"/>
  <c r="B4005" i="2" s="1"/>
  <c r="A4005" i="1"/>
  <c r="V4004" i="1"/>
  <c r="B4004" i="2" s="1"/>
  <c r="A4004" i="1"/>
  <c r="V4003" i="1"/>
  <c r="B4003" i="2" s="1"/>
  <c r="A4003" i="1"/>
  <c r="V4002" i="1"/>
  <c r="B4002" i="2" s="1"/>
  <c r="A4002" i="1"/>
  <c r="V4001" i="1"/>
  <c r="B4001" i="2" s="1"/>
  <c r="A4001" i="1"/>
  <c r="V4000" i="1"/>
  <c r="B4000" i="2" s="1"/>
  <c r="A4000" i="1"/>
  <c r="V3999" i="1"/>
  <c r="B3999" i="2" s="1"/>
  <c r="A3999" i="1"/>
  <c r="V3998" i="1"/>
  <c r="B3998" i="2" s="1"/>
  <c r="A3998" i="1"/>
  <c r="V3997" i="1"/>
  <c r="B3997" i="2" s="1"/>
  <c r="A3997" i="1"/>
  <c r="V3996" i="1"/>
  <c r="B3996" i="2" s="1"/>
  <c r="A3996" i="1"/>
  <c r="V3995" i="1"/>
  <c r="B3995" i="2" s="1"/>
  <c r="A3995" i="1"/>
  <c r="V3994" i="1"/>
  <c r="B3994" i="2" s="1"/>
  <c r="A3994" i="1"/>
  <c r="V3993" i="1"/>
  <c r="B3993" i="2" s="1"/>
  <c r="A3993" i="1"/>
  <c r="V3992" i="1"/>
  <c r="B3992" i="2" s="1"/>
  <c r="A3992" i="1"/>
  <c r="V3991" i="1"/>
  <c r="B3991" i="2" s="1"/>
  <c r="A3991" i="1"/>
  <c r="V3990" i="1"/>
  <c r="B3990" i="2" s="1"/>
  <c r="A3990" i="1"/>
  <c r="V3989" i="1"/>
  <c r="B3989" i="2" s="1"/>
  <c r="A3989" i="1"/>
  <c r="V3988" i="1"/>
  <c r="B3988" i="2" s="1"/>
  <c r="A3988" i="1"/>
  <c r="V3987" i="1"/>
  <c r="B3987" i="2" s="1"/>
  <c r="A3987" i="1"/>
  <c r="V3986" i="1"/>
  <c r="B3986" i="2" s="1"/>
  <c r="A3986" i="1"/>
  <c r="V3985" i="1"/>
  <c r="B3985" i="2" s="1"/>
  <c r="A3985" i="1"/>
  <c r="V3984" i="1"/>
  <c r="B3984" i="2" s="1"/>
  <c r="A3984" i="1"/>
  <c r="V3983" i="1"/>
  <c r="B3983" i="2" s="1"/>
  <c r="A3983" i="1"/>
  <c r="V3982" i="1"/>
  <c r="B3982" i="2" s="1"/>
  <c r="A3982" i="1"/>
  <c r="V3981" i="1"/>
  <c r="B3981" i="2" s="1"/>
  <c r="A3981" i="1"/>
  <c r="V3980" i="1"/>
  <c r="B3980" i="2" s="1"/>
  <c r="A3980" i="1"/>
  <c r="V3979" i="1"/>
  <c r="B3979" i="2" s="1"/>
  <c r="A3979" i="1"/>
  <c r="V3978" i="1"/>
  <c r="B3978" i="2" s="1"/>
  <c r="A3978" i="1"/>
  <c r="V3977" i="1"/>
  <c r="B3977" i="2" s="1"/>
  <c r="A3977" i="1"/>
  <c r="V3976" i="1"/>
  <c r="B3976" i="2" s="1"/>
  <c r="A3976" i="1"/>
  <c r="V3975" i="1"/>
  <c r="B3975" i="2" s="1"/>
  <c r="A3975" i="1"/>
  <c r="V3974" i="1"/>
  <c r="B3974" i="2" s="1"/>
  <c r="A3974" i="1"/>
  <c r="V3973" i="1"/>
  <c r="B3973" i="2" s="1"/>
  <c r="A3973" i="1"/>
  <c r="V3972" i="1"/>
  <c r="B3972" i="2" s="1"/>
  <c r="A3972" i="1"/>
  <c r="V3971" i="1"/>
  <c r="B3971" i="2" s="1"/>
  <c r="A3971" i="1"/>
  <c r="V3970" i="1"/>
  <c r="B3970" i="2" s="1"/>
  <c r="A3970" i="1"/>
  <c r="V3969" i="1"/>
  <c r="B3969" i="2" s="1"/>
  <c r="A3969" i="1"/>
  <c r="V3968" i="1"/>
  <c r="B3968" i="2" s="1"/>
  <c r="A3968" i="1"/>
  <c r="V3967" i="1"/>
  <c r="B3967" i="2" s="1"/>
  <c r="A3967" i="1"/>
  <c r="V3966" i="1"/>
  <c r="B3966" i="2" s="1"/>
  <c r="A3966" i="1"/>
  <c r="V3965" i="1"/>
  <c r="B3965" i="2" s="1"/>
  <c r="A3965" i="1"/>
  <c r="V3964" i="1"/>
  <c r="B3964" i="2" s="1"/>
  <c r="A3964" i="1"/>
  <c r="V3963" i="1"/>
  <c r="B3963" i="2" s="1"/>
  <c r="A3963" i="1"/>
  <c r="V3962" i="1"/>
  <c r="B3962" i="2" s="1"/>
  <c r="A3962" i="1"/>
  <c r="V3961" i="1"/>
  <c r="B3961" i="2" s="1"/>
  <c r="A3961" i="1"/>
  <c r="V3960" i="1"/>
  <c r="B3960" i="2" s="1"/>
  <c r="A3960" i="1"/>
  <c r="V3959" i="1"/>
  <c r="B3959" i="2" s="1"/>
  <c r="A3959" i="1"/>
  <c r="V3958" i="1"/>
  <c r="B3958" i="2" s="1"/>
  <c r="A3958" i="1"/>
  <c r="V3957" i="1"/>
  <c r="B3957" i="2" s="1"/>
  <c r="A3957" i="1"/>
  <c r="V3956" i="1"/>
  <c r="B3956" i="2" s="1"/>
  <c r="A3956" i="1"/>
  <c r="V3955" i="1"/>
  <c r="B3955" i="2" s="1"/>
  <c r="A3955" i="1"/>
  <c r="V3954" i="1"/>
  <c r="B3954" i="2" s="1"/>
  <c r="A3954" i="1"/>
  <c r="V3953" i="1"/>
  <c r="B3953" i="2" s="1"/>
  <c r="A3953" i="1"/>
  <c r="V3952" i="1"/>
  <c r="B3952" i="2" s="1"/>
  <c r="A3952" i="1"/>
  <c r="V3951" i="1"/>
  <c r="B3951" i="2" s="1"/>
  <c r="A3951" i="1"/>
  <c r="V3950" i="1"/>
  <c r="B3950" i="2" s="1"/>
  <c r="A3950" i="1"/>
  <c r="V3949" i="1"/>
  <c r="B3949" i="2" s="1"/>
  <c r="A3949" i="1"/>
  <c r="V3948" i="1"/>
  <c r="B3948" i="2" s="1"/>
  <c r="A3948" i="1"/>
  <c r="V3947" i="1"/>
  <c r="B3947" i="2" s="1"/>
  <c r="A3947" i="1"/>
  <c r="V3946" i="1"/>
  <c r="B3946" i="2" s="1"/>
  <c r="A3946" i="1"/>
  <c r="V3945" i="1"/>
  <c r="B3945" i="2" s="1"/>
  <c r="A3945" i="1"/>
  <c r="V3944" i="1"/>
  <c r="B3944" i="2" s="1"/>
  <c r="A3944" i="1"/>
  <c r="V3943" i="1"/>
  <c r="B3943" i="2" s="1"/>
  <c r="A3943" i="1"/>
  <c r="V3942" i="1"/>
  <c r="B3942" i="2" s="1"/>
  <c r="A3942" i="1"/>
  <c r="V3941" i="1"/>
  <c r="B3941" i="2" s="1"/>
  <c r="A3941" i="1"/>
  <c r="V3940" i="1"/>
  <c r="B3940" i="2" s="1"/>
  <c r="A3940" i="1"/>
  <c r="V3939" i="1"/>
  <c r="B3939" i="2" s="1"/>
  <c r="A3939" i="1"/>
  <c r="V3938" i="1"/>
  <c r="B3938" i="2" s="1"/>
  <c r="A3938" i="1"/>
  <c r="V3937" i="1"/>
  <c r="B3937" i="2" s="1"/>
  <c r="A3937" i="1"/>
  <c r="V3936" i="1"/>
  <c r="B3936" i="2" s="1"/>
  <c r="A3936" i="1"/>
  <c r="V3935" i="1"/>
  <c r="B3935" i="2" s="1"/>
  <c r="A3935" i="1"/>
  <c r="V3934" i="1"/>
  <c r="B3934" i="2" s="1"/>
  <c r="A3934" i="1"/>
  <c r="V3933" i="1"/>
  <c r="B3933" i="2" s="1"/>
  <c r="A3933" i="1"/>
  <c r="V3932" i="1"/>
  <c r="B3932" i="2" s="1"/>
  <c r="A3932" i="1"/>
  <c r="V3931" i="1"/>
  <c r="B3931" i="2" s="1"/>
  <c r="A3931" i="1"/>
  <c r="V3930" i="1"/>
  <c r="B3930" i="2" s="1"/>
  <c r="A3930" i="1"/>
  <c r="V3929" i="1"/>
  <c r="B3929" i="2" s="1"/>
  <c r="A3929" i="1"/>
  <c r="V3928" i="1"/>
  <c r="B3928" i="2" s="1"/>
  <c r="A3928" i="1"/>
  <c r="V3927" i="1"/>
  <c r="B3927" i="2" s="1"/>
  <c r="A3927" i="1"/>
  <c r="V3926" i="1"/>
  <c r="B3926" i="2" s="1"/>
  <c r="A3926" i="1"/>
  <c r="V3925" i="1"/>
  <c r="B3925" i="2" s="1"/>
  <c r="A3925" i="1"/>
  <c r="V3924" i="1"/>
  <c r="B3924" i="2" s="1"/>
  <c r="A3924" i="1"/>
  <c r="V3923" i="1"/>
  <c r="B3923" i="2" s="1"/>
  <c r="A3923" i="1"/>
  <c r="V3922" i="1"/>
  <c r="B3922" i="2" s="1"/>
  <c r="A3922" i="1"/>
  <c r="V3921" i="1"/>
  <c r="B3921" i="2" s="1"/>
  <c r="A3921" i="1"/>
  <c r="V3920" i="1"/>
  <c r="B3920" i="2" s="1"/>
  <c r="A3920" i="1"/>
  <c r="V3919" i="1"/>
  <c r="B3919" i="2" s="1"/>
  <c r="A3919" i="1"/>
  <c r="V3918" i="1"/>
  <c r="B3918" i="2" s="1"/>
  <c r="A3918" i="1"/>
  <c r="V3917" i="1"/>
  <c r="B3917" i="2" s="1"/>
  <c r="A3917" i="1"/>
  <c r="V3916" i="1"/>
  <c r="B3916" i="2" s="1"/>
  <c r="A3916" i="1"/>
  <c r="V3915" i="1"/>
  <c r="B3915" i="2" s="1"/>
  <c r="A3915" i="1"/>
  <c r="V3914" i="1"/>
  <c r="B3914" i="2" s="1"/>
  <c r="A3914" i="1"/>
  <c r="V3913" i="1"/>
  <c r="B3913" i="2" s="1"/>
  <c r="A3913" i="1"/>
  <c r="V3912" i="1"/>
  <c r="B3912" i="2" s="1"/>
  <c r="A3912" i="1"/>
  <c r="V3911" i="1"/>
  <c r="B3911" i="2" s="1"/>
  <c r="A3911" i="1"/>
  <c r="V3910" i="1"/>
  <c r="B3910" i="2" s="1"/>
  <c r="A3910" i="1"/>
  <c r="V3909" i="1"/>
  <c r="B3909" i="2" s="1"/>
  <c r="A3909" i="1"/>
  <c r="V3908" i="1"/>
  <c r="B3908" i="2" s="1"/>
  <c r="A3908" i="1"/>
  <c r="V3907" i="1"/>
  <c r="B3907" i="2" s="1"/>
  <c r="A3907" i="1"/>
  <c r="V3906" i="1"/>
  <c r="B3906" i="2" s="1"/>
  <c r="A3906" i="1"/>
  <c r="V3905" i="1"/>
  <c r="B3905" i="2" s="1"/>
  <c r="A3905" i="1"/>
  <c r="V3904" i="1"/>
  <c r="B3904" i="2" s="1"/>
  <c r="A3904" i="1"/>
  <c r="V3903" i="1"/>
  <c r="B3903" i="2" s="1"/>
  <c r="A3903" i="1"/>
  <c r="V3902" i="1"/>
  <c r="B3902" i="2" s="1"/>
  <c r="A3902" i="1"/>
  <c r="V3901" i="1"/>
  <c r="B3901" i="2" s="1"/>
  <c r="A3901" i="1"/>
  <c r="V3900" i="1"/>
  <c r="B3900" i="2" s="1"/>
  <c r="A3900" i="1"/>
  <c r="V3899" i="1"/>
  <c r="B3899" i="2" s="1"/>
  <c r="A3899" i="1"/>
  <c r="V3898" i="1"/>
  <c r="B3898" i="2" s="1"/>
  <c r="A3898" i="1"/>
  <c r="V3897" i="1"/>
  <c r="B3897" i="2" s="1"/>
  <c r="A3897" i="1"/>
  <c r="V3896" i="1"/>
  <c r="B3896" i="2" s="1"/>
  <c r="A3896" i="1"/>
  <c r="V3895" i="1"/>
  <c r="B3895" i="2" s="1"/>
  <c r="A3895" i="1"/>
  <c r="V3894" i="1"/>
  <c r="B3894" i="2" s="1"/>
  <c r="A3894" i="1"/>
  <c r="V3893" i="1"/>
  <c r="B3893" i="2" s="1"/>
  <c r="A3893" i="1"/>
  <c r="V3892" i="1"/>
  <c r="B3892" i="2" s="1"/>
  <c r="A3892" i="1"/>
  <c r="V3891" i="1"/>
  <c r="B3891" i="2" s="1"/>
  <c r="A3891" i="1"/>
  <c r="V3890" i="1"/>
  <c r="B3890" i="2" s="1"/>
  <c r="A3890" i="1"/>
  <c r="V3889" i="1"/>
  <c r="B3889" i="2" s="1"/>
  <c r="A3889" i="1"/>
  <c r="V3888" i="1"/>
  <c r="B3888" i="2" s="1"/>
  <c r="A3888" i="1"/>
  <c r="V3887" i="1"/>
  <c r="B3887" i="2" s="1"/>
  <c r="A3887" i="1"/>
  <c r="V3886" i="1"/>
  <c r="B3886" i="2" s="1"/>
  <c r="A3886" i="1"/>
  <c r="V3885" i="1"/>
  <c r="B3885" i="2" s="1"/>
  <c r="A3885" i="1"/>
  <c r="V3884" i="1"/>
  <c r="B3884" i="2" s="1"/>
  <c r="A3884" i="1"/>
  <c r="V3883" i="1"/>
  <c r="B3883" i="2" s="1"/>
  <c r="A3883" i="1"/>
  <c r="V3882" i="1"/>
  <c r="B3882" i="2" s="1"/>
  <c r="A3882" i="1"/>
  <c r="V3881" i="1"/>
  <c r="B3881" i="2" s="1"/>
  <c r="A3881" i="1"/>
  <c r="V3880" i="1"/>
  <c r="B3880" i="2" s="1"/>
  <c r="A3880" i="1"/>
  <c r="V3879" i="1"/>
  <c r="B3879" i="2" s="1"/>
  <c r="A3879" i="1"/>
  <c r="V3878" i="1"/>
  <c r="B3878" i="2" s="1"/>
  <c r="A3878" i="1"/>
  <c r="V3877" i="1"/>
  <c r="B3877" i="2" s="1"/>
  <c r="A3877" i="1"/>
  <c r="V3876" i="1"/>
  <c r="B3876" i="2" s="1"/>
  <c r="A3876" i="1"/>
  <c r="V3875" i="1"/>
  <c r="B3875" i="2" s="1"/>
  <c r="A3875" i="1"/>
  <c r="V3874" i="1"/>
  <c r="B3874" i="2" s="1"/>
  <c r="A3874" i="1"/>
  <c r="V3873" i="1"/>
  <c r="B3873" i="2" s="1"/>
  <c r="A3873" i="1"/>
  <c r="V3872" i="1"/>
  <c r="B3872" i="2" s="1"/>
  <c r="A3872" i="1"/>
  <c r="V3871" i="1"/>
  <c r="B3871" i="2" s="1"/>
  <c r="A3871" i="1"/>
  <c r="V3870" i="1"/>
  <c r="B3870" i="2" s="1"/>
  <c r="A3870" i="1"/>
  <c r="V3869" i="1"/>
  <c r="B3869" i="2" s="1"/>
  <c r="A3869" i="1"/>
  <c r="V3868" i="1"/>
  <c r="B3868" i="2" s="1"/>
  <c r="A3868" i="1"/>
  <c r="V3867" i="1"/>
  <c r="B3867" i="2" s="1"/>
  <c r="A3867" i="1"/>
  <c r="V3866" i="1"/>
  <c r="B3866" i="2" s="1"/>
  <c r="A3866" i="1"/>
  <c r="V3865" i="1"/>
  <c r="B3865" i="2" s="1"/>
  <c r="A3865" i="1"/>
  <c r="V3864" i="1"/>
  <c r="B3864" i="2" s="1"/>
  <c r="A3864" i="1"/>
  <c r="V3863" i="1"/>
  <c r="B3863" i="2" s="1"/>
  <c r="A3863" i="1"/>
  <c r="V3862" i="1"/>
  <c r="B3862" i="2" s="1"/>
  <c r="A3862" i="1"/>
  <c r="V3861" i="1"/>
  <c r="B3861" i="2" s="1"/>
  <c r="A3861" i="1"/>
  <c r="V3860" i="1"/>
  <c r="B3860" i="2" s="1"/>
  <c r="A3860" i="1"/>
  <c r="V3859" i="1"/>
  <c r="B3859" i="2" s="1"/>
  <c r="A3859" i="1"/>
  <c r="V3858" i="1"/>
  <c r="B3858" i="2" s="1"/>
  <c r="A3858" i="1"/>
  <c r="V3857" i="1"/>
  <c r="B3857" i="2" s="1"/>
  <c r="A3857" i="1"/>
  <c r="V3856" i="1"/>
  <c r="B3856" i="2" s="1"/>
  <c r="A3856" i="1"/>
  <c r="V3855" i="1"/>
  <c r="B3855" i="2" s="1"/>
  <c r="A3855" i="1"/>
  <c r="V3854" i="1"/>
  <c r="B3854" i="2" s="1"/>
  <c r="A3854" i="1"/>
  <c r="V3853" i="1"/>
  <c r="B3853" i="2" s="1"/>
  <c r="A3853" i="1"/>
  <c r="V3852" i="1"/>
  <c r="B3852" i="2" s="1"/>
  <c r="A3852" i="1"/>
  <c r="V3851" i="1"/>
  <c r="B3851" i="2" s="1"/>
  <c r="A3851" i="1"/>
  <c r="V3850" i="1"/>
  <c r="B3850" i="2" s="1"/>
  <c r="A3850" i="1"/>
  <c r="V3849" i="1"/>
  <c r="B3849" i="2" s="1"/>
  <c r="A3849" i="1"/>
  <c r="V3848" i="1"/>
  <c r="B3848" i="2" s="1"/>
  <c r="A3848" i="1"/>
  <c r="V3847" i="1"/>
  <c r="B3847" i="2" s="1"/>
  <c r="A3847" i="1"/>
  <c r="V3846" i="1"/>
  <c r="B3846" i="2" s="1"/>
  <c r="A3846" i="1"/>
  <c r="V3845" i="1"/>
  <c r="B3845" i="2" s="1"/>
  <c r="A3845" i="1"/>
  <c r="V3844" i="1"/>
  <c r="B3844" i="2" s="1"/>
  <c r="A3844" i="1"/>
  <c r="V3843" i="1"/>
  <c r="B3843" i="2" s="1"/>
  <c r="A3843" i="1"/>
  <c r="V3842" i="1"/>
  <c r="B3842" i="2" s="1"/>
  <c r="A3842" i="1"/>
  <c r="V3841" i="1"/>
  <c r="B3841" i="2" s="1"/>
  <c r="A3841" i="1"/>
  <c r="V3840" i="1"/>
  <c r="B3840" i="2" s="1"/>
  <c r="A3840" i="1"/>
  <c r="V3839" i="1"/>
  <c r="B3839" i="2" s="1"/>
  <c r="A3839" i="1"/>
  <c r="V3838" i="1"/>
  <c r="B3838" i="2" s="1"/>
  <c r="A3838" i="1"/>
  <c r="V3837" i="1"/>
  <c r="B3837" i="2" s="1"/>
  <c r="A3837" i="1"/>
  <c r="V3836" i="1"/>
  <c r="B3836" i="2" s="1"/>
  <c r="A3836" i="1"/>
  <c r="V3835" i="1"/>
  <c r="B3835" i="2" s="1"/>
  <c r="A3835" i="1"/>
  <c r="V3834" i="1"/>
  <c r="B3834" i="2" s="1"/>
  <c r="A3834" i="1"/>
  <c r="V3833" i="1"/>
  <c r="B3833" i="2" s="1"/>
  <c r="A3833" i="1"/>
  <c r="V3832" i="1"/>
  <c r="B3832" i="2" s="1"/>
  <c r="A3832" i="1"/>
  <c r="V3831" i="1"/>
  <c r="B3831" i="2" s="1"/>
  <c r="A3831" i="1"/>
  <c r="V3830" i="1"/>
  <c r="B3830" i="2" s="1"/>
  <c r="A3830" i="1"/>
  <c r="V3829" i="1"/>
  <c r="B3829" i="2" s="1"/>
  <c r="A3829" i="1"/>
  <c r="V3828" i="1"/>
  <c r="B3828" i="2" s="1"/>
  <c r="A3828" i="1"/>
  <c r="V3827" i="1"/>
  <c r="B3827" i="2" s="1"/>
  <c r="A3827" i="1"/>
  <c r="V3826" i="1"/>
  <c r="B3826" i="2" s="1"/>
  <c r="A3826" i="1"/>
  <c r="V3825" i="1"/>
  <c r="B3825" i="2" s="1"/>
  <c r="A3825" i="1"/>
  <c r="V3824" i="1"/>
  <c r="B3824" i="2" s="1"/>
  <c r="A3824" i="1"/>
  <c r="V3823" i="1"/>
  <c r="B3823" i="2" s="1"/>
  <c r="A3823" i="1"/>
  <c r="V3822" i="1"/>
  <c r="B3822" i="2" s="1"/>
  <c r="A3822" i="1"/>
  <c r="V3821" i="1"/>
  <c r="B3821" i="2" s="1"/>
  <c r="A3821" i="1"/>
  <c r="V3820" i="1"/>
  <c r="B3820" i="2" s="1"/>
  <c r="A3820" i="1"/>
  <c r="V3819" i="1"/>
  <c r="B3819" i="2" s="1"/>
  <c r="A3819" i="1"/>
  <c r="V3818" i="1"/>
  <c r="B3818" i="2" s="1"/>
  <c r="A3818" i="1"/>
  <c r="V3817" i="1"/>
  <c r="B3817" i="2" s="1"/>
  <c r="A3817" i="1"/>
  <c r="V3816" i="1"/>
  <c r="B3816" i="2" s="1"/>
  <c r="A3816" i="1"/>
  <c r="V3815" i="1"/>
  <c r="B3815" i="2" s="1"/>
  <c r="A3815" i="1"/>
  <c r="V3814" i="1"/>
  <c r="B3814" i="2" s="1"/>
  <c r="A3814" i="1"/>
  <c r="V3813" i="1"/>
  <c r="B3813" i="2" s="1"/>
  <c r="A3813" i="1"/>
  <c r="V3812" i="1"/>
  <c r="B3812" i="2" s="1"/>
  <c r="A3812" i="1"/>
  <c r="V3811" i="1"/>
  <c r="B3811" i="2" s="1"/>
  <c r="A3811" i="1"/>
  <c r="V3810" i="1"/>
  <c r="B3810" i="2" s="1"/>
  <c r="A3810" i="1"/>
  <c r="V3809" i="1"/>
  <c r="B3809" i="2" s="1"/>
  <c r="A3809" i="1"/>
  <c r="V3808" i="1"/>
  <c r="B3808" i="2" s="1"/>
  <c r="A3808" i="1"/>
  <c r="V3807" i="1"/>
  <c r="B3807" i="2" s="1"/>
  <c r="A3807" i="1"/>
  <c r="V3806" i="1"/>
  <c r="B3806" i="2" s="1"/>
  <c r="A3806" i="1"/>
  <c r="V3805" i="1"/>
  <c r="B3805" i="2" s="1"/>
  <c r="A3805" i="1"/>
  <c r="V3804" i="1"/>
  <c r="B3804" i="2" s="1"/>
  <c r="A3804" i="1"/>
  <c r="V3803" i="1"/>
  <c r="B3803" i="2" s="1"/>
  <c r="A3803" i="1"/>
  <c r="V3802" i="1"/>
  <c r="B3802" i="2" s="1"/>
  <c r="A3802" i="1"/>
  <c r="V3801" i="1"/>
  <c r="B3801" i="2" s="1"/>
  <c r="A3801" i="1"/>
  <c r="V3800" i="1"/>
  <c r="B3800" i="2" s="1"/>
  <c r="A3800" i="1"/>
  <c r="V3799" i="1"/>
  <c r="B3799" i="2" s="1"/>
  <c r="A3799" i="1"/>
  <c r="V3798" i="1"/>
  <c r="B3798" i="2" s="1"/>
  <c r="A3798" i="1"/>
  <c r="V3797" i="1"/>
  <c r="B3797" i="2" s="1"/>
  <c r="A3797" i="1"/>
  <c r="V3796" i="1"/>
  <c r="B3796" i="2" s="1"/>
  <c r="A3796" i="1"/>
  <c r="V3795" i="1"/>
  <c r="B3795" i="2" s="1"/>
  <c r="A3795" i="1"/>
  <c r="V3794" i="1"/>
  <c r="B3794" i="2" s="1"/>
  <c r="A3794" i="1"/>
  <c r="V3793" i="1"/>
  <c r="B3793" i="2" s="1"/>
  <c r="A3793" i="1"/>
  <c r="V3792" i="1"/>
  <c r="B3792" i="2" s="1"/>
  <c r="A3792" i="1"/>
  <c r="V3791" i="1"/>
  <c r="B3791" i="2" s="1"/>
  <c r="A3791" i="1"/>
  <c r="V3790" i="1"/>
  <c r="B3790" i="2" s="1"/>
  <c r="A3790" i="1"/>
  <c r="V3789" i="1"/>
  <c r="B3789" i="2" s="1"/>
  <c r="A3789" i="1"/>
  <c r="V3788" i="1"/>
  <c r="B3788" i="2" s="1"/>
  <c r="A3788" i="1"/>
  <c r="V3787" i="1"/>
  <c r="B3787" i="2" s="1"/>
  <c r="A3787" i="1"/>
  <c r="V3786" i="1"/>
  <c r="B3786" i="2" s="1"/>
  <c r="A3786" i="1"/>
  <c r="V3785" i="1"/>
  <c r="B3785" i="2" s="1"/>
  <c r="A3785" i="1"/>
  <c r="V3784" i="1"/>
  <c r="B3784" i="2" s="1"/>
  <c r="A3784" i="1"/>
  <c r="V3783" i="1"/>
  <c r="B3783" i="2" s="1"/>
  <c r="A3783" i="1"/>
  <c r="V3782" i="1"/>
  <c r="B3782" i="2" s="1"/>
  <c r="A3782" i="1"/>
  <c r="V3781" i="1"/>
  <c r="B3781" i="2" s="1"/>
  <c r="A3781" i="1"/>
  <c r="V3780" i="1"/>
  <c r="B3780" i="2" s="1"/>
  <c r="A3780" i="1"/>
  <c r="V3779" i="1"/>
  <c r="B3779" i="2" s="1"/>
  <c r="A3779" i="1"/>
  <c r="V3778" i="1"/>
  <c r="B3778" i="2" s="1"/>
  <c r="A3778" i="1"/>
  <c r="V3777" i="1"/>
  <c r="B3777" i="2" s="1"/>
  <c r="A3777" i="1"/>
  <c r="V3776" i="1"/>
  <c r="B3776" i="2" s="1"/>
  <c r="A3776" i="1"/>
  <c r="V3775" i="1"/>
  <c r="B3775" i="2" s="1"/>
  <c r="A3775" i="1"/>
  <c r="V3774" i="1"/>
  <c r="B3774" i="2" s="1"/>
  <c r="A3774" i="1"/>
  <c r="V3773" i="1"/>
  <c r="B3773" i="2" s="1"/>
  <c r="A3773" i="1"/>
  <c r="V3772" i="1"/>
  <c r="B3772" i="2" s="1"/>
  <c r="A3772" i="1"/>
  <c r="V3771" i="1"/>
  <c r="B3771" i="2" s="1"/>
  <c r="A3771" i="1"/>
  <c r="V3770" i="1"/>
  <c r="B3770" i="2" s="1"/>
  <c r="A3770" i="1"/>
  <c r="V3769" i="1"/>
  <c r="B3769" i="2" s="1"/>
  <c r="A3769" i="1"/>
  <c r="V3768" i="1"/>
  <c r="B3768" i="2" s="1"/>
  <c r="A3768" i="1"/>
  <c r="V3767" i="1"/>
  <c r="B3767" i="2" s="1"/>
  <c r="A3767" i="1"/>
  <c r="V3766" i="1"/>
  <c r="B3766" i="2" s="1"/>
  <c r="A3766" i="1"/>
  <c r="V3765" i="1"/>
  <c r="B3765" i="2" s="1"/>
  <c r="A3765" i="1"/>
  <c r="V3764" i="1"/>
  <c r="B3764" i="2" s="1"/>
  <c r="A3764" i="1"/>
  <c r="V3763" i="1"/>
  <c r="B3763" i="2" s="1"/>
  <c r="A3763" i="1"/>
  <c r="V3762" i="1"/>
  <c r="B3762" i="2" s="1"/>
  <c r="A3762" i="1"/>
  <c r="V3761" i="1"/>
  <c r="B3761" i="2" s="1"/>
  <c r="A3761" i="1"/>
  <c r="V3760" i="1"/>
  <c r="B3760" i="2" s="1"/>
  <c r="A3760" i="1"/>
  <c r="V3759" i="1"/>
  <c r="B3759" i="2" s="1"/>
  <c r="A3759" i="1"/>
  <c r="V3758" i="1"/>
  <c r="B3758" i="2" s="1"/>
  <c r="A3758" i="1"/>
  <c r="V3757" i="1"/>
  <c r="B3757" i="2" s="1"/>
  <c r="A3757" i="1"/>
  <c r="V3756" i="1"/>
  <c r="B3756" i="2" s="1"/>
  <c r="A3756" i="1"/>
  <c r="V3755" i="1"/>
  <c r="B3755" i="2" s="1"/>
  <c r="A3755" i="1"/>
  <c r="V3754" i="1"/>
  <c r="B3754" i="2" s="1"/>
  <c r="A3754" i="1"/>
  <c r="V3753" i="1"/>
  <c r="B3753" i="2" s="1"/>
  <c r="A3753" i="1"/>
  <c r="V3752" i="1"/>
  <c r="B3752" i="2" s="1"/>
  <c r="A3752" i="1"/>
  <c r="V3751" i="1"/>
  <c r="B3751" i="2" s="1"/>
  <c r="A3751" i="1"/>
  <c r="V3750" i="1"/>
  <c r="B3750" i="2" s="1"/>
  <c r="A3750" i="1"/>
  <c r="V3749" i="1"/>
  <c r="B3749" i="2" s="1"/>
  <c r="A3749" i="1"/>
  <c r="V3748" i="1"/>
  <c r="B3748" i="2" s="1"/>
  <c r="A3748" i="1"/>
  <c r="V3747" i="1"/>
  <c r="B3747" i="2" s="1"/>
  <c r="A3747" i="1"/>
  <c r="V3746" i="1"/>
  <c r="B3746" i="2" s="1"/>
  <c r="A3746" i="1"/>
  <c r="V3745" i="1"/>
  <c r="B3745" i="2" s="1"/>
  <c r="A3745" i="1"/>
  <c r="V3744" i="1"/>
  <c r="B3744" i="2" s="1"/>
  <c r="A3744" i="1"/>
  <c r="V3743" i="1"/>
  <c r="B3743" i="2" s="1"/>
  <c r="A3743" i="1"/>
  <c r="V3742" i="1"/>
  <c r="B3742" i="2" s="1"/>
  <c r="A3742" i="1"/>
  <c r="V3741" i="1"/>
  <c r="B3741" i="2" s="1"/>
  <c r="A3741" i="1"/>
  <c r="V3740" i="1"/>
  <c r="B3740" i="2" s="1"/>
  <c r="A3740" i="1"/>
  <c r="V3739" i="1"/>
  <c r="B3739" i="2" s="1"/>
  <c r="A3739" i="1"/>
  <c r="V3738" i="1"/>
  <c r="B3738" i="2" s="1"/>
  <c r="A3738" i="1"/>
  <c r="V3737" i="1"/>
  <c r="B3737" i="2" s="1"/>
  <c r="A3737" i="1"/>
  <c r="V3736" i="1"/>
  <c r="B3736" i="2" s="1"/>
  <c r="A3736" i="1"/>
  <c r="V3735" i="1"/>
  <c r="B3735" i="2" s="1"/>
  <c r="A3735" i="1"/>
  <c r="V3734" i="1"/>
  <c r="B3734" i="2" s="1"/>
  <c r="A3734" i="1"/>
  <c r="V3733" i="1"/>
  <c r="B3733" i="2" s="1"/>
  <c r="A3733" i="1"/>
  <c r="V3732" i="1"/>
  <c r="B3732" i="2" s="1"/>
  <c r="A3732" i="1"/>
  <c r="V3731" i="1"/>
  <c r="B3731" i="2" s="1"/>
  <c r="A3731" i="1"/>
  <c r="V3730" i="1"/>
  <c r="B3730" i="2" s="1"/>
  <c r="A3730" i="1"/>
  <c r="V3729" i="1"/>
  <c r="B3729" i="2" s="1"/>
  <c r="A3729" i="1"/>
  <c r="V3728" i="1"/>
  <c r="B3728" i="2" s="1"/>
  <c r="A3728" i="1"/>
  <c r="V3727" i="1"/>
  <c r="B3727" i="2" s="1"/>
  <c r="A3727" i="1"/>
  <c r="V3726" i="1"/>
  <c r="B3726" i="2" s="1"/>
  <c r="A3726" i="1"/>
  <c r="V3725" i="1"/>
  <c r="B3725" i="2" s="1"/>
  <c r="A3725" i="1"/>
  <c r="V3724" i="1"/>
  <c r="B3724" i="2" s="1"/>
  <c r="A3724" i="1"/>
  <c r="V3723" i="1"/>
  <c r="B3723" i="2" s="1"/>
  <c r="A3723" i="1"/>
  <c r="V3722" i="1"/>
  <c r="B3722" i="2" s="1"/>
  <c r="A3722" i="1"/>
  <c r="V3721" i="1"/>
  <c r="B3721" i="2" s="1"/>
  <c r="A3721" i="1"/>
  <c r="V3720" i="1"/>
  <c r="B3720" i="2" s="1"/>
  <c r="A3720" i="1"/>
  <c r="V3719" i="1"/>
  <c r="B3719" i="2" s="1"/>
  <c r="A3719" i="1"/>
  <c r="V3718" i="1"/>
  <c r="B3718" i="2" s="1"/>
  <c r="A3718" i="1"/>
  <c r="V3717" i="1"/>
  <c r="B3717" i="2" s="1"/>
  <c r="A3717" i="1"/>
  <c r="V3716" i="1"/>
  <c r="B3716" i="2" s="1"/>
  <c r="A3716" i="1"/>
  <c r="V3715" i="1"/>
  <c r="B3715" i="2" s="1"/>
  <c r="A3715" i="1"/>
  <c r="V3714" i="1"/>
  <c r="B3714" i="2" s="1"/>
  <c r="A3714" i="1"/>
  <c r="V3713" i="1"/>
  <c r="B3713" i="2" s="1"/>
  <c r="A3713" i="1"/>
  <c r="V3712" i="1"/>
  <c r="B3712" i="2" s="1"/>
  <c r="A3712" i="1"/>
  <c r="V3711" i="1"/>
  <c r="B3711" i="2" s="1"/>
  <c r="A3711" i="1"/>
  <c r="V3710" i="1"/>
  <c r="B3710" i="2" s="1"/>
  <c r="A3710" i="1"/>
  <c r="V3709" i="1"/>
  <c r="B3709" i="2" s="1"/>
  <c r="A3709" i="1"/>
  <c r="V3708" i="1"/>
  <c r="B3708" i="2" s="1"/>
  <c r="A3708" i="1"/>
  <c r="V3707" i="1"/>
  <c r="B3707" i="2" s="1"/>
  <c r="A3707" i="1"/>
  <c r="V3706" i="1"/>
  <c r="B3706" i="2" s="1"/>
  <c r="A3706" i="1"/>
  <c r="V3705" i="1"/>
  <c r="B3705" i="2" s="1"/>
  <c r="A3705" i="1"/>
  <c r="V3704" i="1"/>
  <c r="B3704" i="2" s="1"/>
  <c r="A3704" i="1"/>
  <c r="V3703" i="1"/>
  <c r="B3703" i="2" s="1"/>
  <c r="A3703" i="1"/>
  <c r="V3702" i="1"/>
  <c r="B3702" i="2" s="1"/>
  <c r="A3702" i="1"/>
  <c r="V3701" i="1"/>
  <c r="B3701" i="2" s="1"/>
  <c r="A3701" i="1"/>
  <c r="V3700" i="1"/>
  <c r="B3700" i="2" s="1"/>
  <c r="A3700" i="1"/>
  <c r="V3699" i="1"/>
  <c r="B3699" i="2" s="1"/>
  <c r="A3699" i="1"/>
  <c r="V3698" i="1"/>
  <c r="B3698" i="2" s="1"/>
  <c r="A3698" i="1"/>
  <c r="V3697" i="1"/>
  <c r="B3697" i="2" s="1"/>
  <c r="A3697" i="1"/>
  <c r="V3696" i="1"/>
  <c r="B3696" i="2" s="1"/>
  <c r="A3696" i="1"/>
  <c r="V3695" i="1"/>
  <c r="B3695" i="2" s="1"/>
  <c r="A3695" i="1"/>
  <c r="V3694" i="1"/>
  <c r="B3694" i="2" s="1"/>
  <c r="A3694" i="1"/>
  <c r="V3693" i="1"/>
  <c r="B3693" i="2" s="1"/>
  <c r="A3693" i="1"/>
  <c r="V3692" i="1"/>
  <c r="B3692" i="2" s="1"/>
  <c r="A3692" i="1"/>
  <c r="V3691" i="1"/>
  <c r="B3691" i="2" s="1"/>
  <c r="A3691" i="1"/>
  <c r="V3690" i="1"/>
  <c r="B3690" i="2" s="1"/>
  <c r="A3690" i="1"/>
  <c r="V3689" i="1"/>
  <c r="B3689" i="2" s="1"/>
  <c r="A3689" i="1"/>
  <c r="V3688" i="1"/>
  <c r="B3688" i="2" s="1"/>
  <c r="A3688" i="1"/>
  <c r="V3687" i="1"/>
  <c r="B3687" i="2" s="1"/>
  <c r="A3687" i="1"/>
  <c r="V3686" i="1"/>
  <c r="B3686" i="2" s="1"/>
  <c r="A3686" i="1"/>
  <c r="V3685" i="1"/>
  <c r="B3685" i="2" s="1"/>
  <c r="A3685" i="1"/>
  <c r="V3684" i="1"/>
  <c r="B3684" i="2" s="1"/>
  <c r="A3684" i="1"/>
  <c r="V3683" i="1"/>
  <c r="B3683" i="2" s="1"/>
  <c r="A3683" i="1"/>
  <c r="V3682" i="1"/>
  <c r="B3682" i="2" s="1"/>
  <c r="A3682" i="1"/>
  <c r="V3681" i="1"/>
  <c r="B3681" i="2" s="1"/>
  <c r="A3681" i="1"/>
  <c r="V3680" i="1"/>
  <c r="B3680" i="2" s="1"/>
  <c r="A3680" i="1"/>
  <c r="V3679" i="1"/>
  <c r="B3679" i="2" s="1"/>
  <c r="A3679" i="1"/>
  <c r="V3678" i="1"/>
  <c r="B3678" i="2" s="1"/>
  <c r="A3678" i="1"/>
  <c r="V3677" i="1"/>
  <c r="B3677" i="2" s="1"/>
  <c r="A3677" i="1"/>
  <c r="V3676" i="1"/>
  <c r="B3676" i="2" s="1"/>
  <c r="A3676" i="1"/>
  <c r="V3675" i="1"/>
  <c r="B3675" i="2" s="1"/>
  <c r="A3675" i="1"/>
  <c r="V3674" i="1"/>
  <c r="B3674" i="2" s="1"/>
  <c r="A3674" i="1"/>
  <c r="V3673" i="1"/>
  <c r="B3673" i="2" s="1"/>
  <c r="A3673" i="1"/>
  <c r="V3672" i="1"/>
  <c r="B3672" i="2" s="1"/>
  <c r="A3672" i="1"/>
  <c r="V3671" i="1"/>
  <c r="B3671" i="2" s="1"/>
  <c r="A3671" i="1"/>
  <c r="V3670" i="1"/>
  <c r="B3670" i="2" s="1"/>
  <c r="A3670" i="1"/>
  <c r="V3669" i="1"/>
  <c r="B3669" i="2" s="1"/>
  <c r="A3669" i="1"/>
  <c r="V3668" i="1"/>
  <c r="B3668" i="2" s="1"/>
  <c r="A3668" i="1"/>
  <c r="V3667" i="1"/>
  <c r="B3667" i="2" s="1"/>
  <c r="A3667" i="1"/>
  <c r="V3666" i="1"/>
  <c r="B3666" i="2" s="1"/>
  <c r="A3666" i="1"/>
  <c r="V3665" i="1"/>
  <c r="B3665" i="2" s="1"/>
  <c r="A3665" i="1"/>
  <c r="V3664" i="1"/>
  <c r="B3664" i="2" s="1"/>
  <c r="A3664" i="1"/>
  <c r="V3663" i="1"/>
  <c r="B3663" i="2" s="1"/>
  <c r="A3663" i="1"/>
  <c r="V3662" i="1"/>
  <c r="B3662" i="2" s="1"/>
  <c r="A3662" i="1"/>
  <c r="V3661" i="1"/>
  <c r="B3661" i="2" s="1"/>
  <c r="A3661" i="1"/>
  <c r="V3660" i="1"/>
  <c r="B3660" i="2" s="1"/>
  <c r="A3660" i="1"/>
  <c r="V3659" i="1"/>
  <c r="B3659" i="2" s="1"/>
  <c r="A3659" i="1"/>
  <c r="V3658" i="1"/>
  <c r="B3658" i="2" s="1"/>
  <c r="A3658" i="1"/>
  <c r="V3657" i="1"/>
  <c r="B3657" i="2" s="1"/>
  <c r="A3657" i="1"/>
  <c r="V3656" i="1"/>
  <c r="B3656" i="2" s="1"/>
  <c r="A3656" i="1"/>
  <c r="V3655" i="1"/>
  <c r="B3655" i="2" s="1"/>
  <c r="A3655" i="1"/>
  <c r="V3654" i="1"/>
  <c r="B3654" i="2" s="1"/>
  <c r="A3654" i="1"/>
  <c r="V3653" i="1"/>
  <c r="B3653" i="2" s="1"/>
  <c r="A3653" i="1"/>
  <c r="V3652" i="1"/>
  <c r="B3652" i="2" s="1"/>
  <c r="A3652" i="1"/>
  <c r="V3651" i="1"/>
  <c r="B3651" i="2" s="1"/>
  <c r="A3651" i="1"/>
  <c r="V3650" i="1"/>
  <c r="B3650" i="2" s="1"/>
  <c r="A3650" i="1"/>
  <c r="V3649" i="1"/>
  <c r="B3649" i="2" s="1"/>
  <c r="A3649" i="1"/>
  <c r="V3648" i="1"/>
  <c r="B3648" i="2" s="1"/>
  <c r="A3648" i="1"/>
  <c r="V3647" i="1"/>
  <c r="B3647" i="2" s="1"/>
  <c r="A3647" i="1"/>
  <c r="V3646" i="1"/>
  <c r="B3646" i="2" s="1"/>
  <c r="A3646" i="1"/>
  <c r="V3645" i="1"/>
  <c r="B3645" i="2" s="1"/>
  <c r="A3645" i="1"/>
  <c r="V3644" i="1"/>
  <c r="B3644" i="2" s="1"/>
  <c r="A3644" i="1"/>
  <c r="V3643" i="1"/>
  <c r="B3643" i="2" s="1"/>
  <c r="A3643" i="1"/>
  <c r="V3642" i="1"/>
  <c r="B3642" i="2" s="1"/>
  <c r="A3642" i="1"/>
  <c r="V3641" i="1"/>
  <c r="B3641" i="2" s="1"/>
  <c r="A3641" i="1"/>
  <c r="V3640" i="1"/>
  <c r="B3640" i="2" s="1"/>
  <c r="A3640" i="1"/>
  <c r="V3639" i="1"/>
  <c r="B3639" i="2" s="1"/>
  <c r="A3639" i="1"/>
  <c r="V3638" i="1"/>
  <c r="B3638" i="2" s="1"/>
  <c r="A3638" i="1"/>
  <c r="V3637" i="1"/>
  <c r="B3637" i="2" s="1"/>
  <c r="A3637" i="1"/>
  <c r="V3636" i="1"/>
  <c r="B3636" i="2" s="1"/>
  <c r="A3636" i="1"/>
  <c r="V3635" i="1"/>
  <c r="B3635" i="2" s="1"/>
  <c r="A3635" i="1"/>
  <c r="V3634" i="1"/>
  <c r="B3634" i="2" s="1"/>
  <c r="A3634" i="1"/>
  <c r="V3633" i="1"/>
  <c r="B3633" i="2" s="1"/>
  <c r="A3633" i="1"/>
  <c r="V3632" i="1"/>
  <c r="B3632" i="2" s="1"/>
  <c r="A3632" i="1"/>
  <c r="V3631" i="1"/>
  <c r="B3631" i="2" s="1"/>
  <c r="A3631" i="1"/>
  <c r="V3630" i="1"/>
  <c r="B3630" i="2" s="1"/>
  <c r="A3630" i="1"/>
  <c r="V3629" i="1"/>
  <c r="B3629" i="2" s="1"/>
  <c r="A3629" i="1"/>
  <c r="V3628" i="1"/>
  <c r="B3628" i="2" s="1"/>
  <c r="A3628" i="1"/>
  <c r="V3627" i="1"/>
  <c r="B3627" i="2" s="1"/>
  <c r="A3627" i="1"/>
  <c r="V3626" i="1"/>
  <c r="B3626" i="2" s="1"/>
  <c r="A3626" i="1"/>
  <c r="V3625" i="1"/>
  <c r="B3625" i="2" s="1"/>
  <c r="A3625" i="1"/>
  <c r="V3624" i="1"/>
  <c r="B3624" i="2" s="1"/>
  <c r="A3624" i="1"/>
  <c r="V3623" i="1"/>
  <c r="B3623" i="2" s="1"/>
  <c r="A3623" i="1"/>
  <c r="V3622" i="1"/>
  <c r="B3622" i="2" s="1"/>
  <c r="A3622" i="1"/>
  <c r="V3621" i="1"/>
  <c r="B3621" i="2" s="1"/>
  <c r="A3621" i="1"/>
  <c r="V3620" i="1"/>
  <c r="B3620" i="2" s="1"/>
  <c r="A3620" i="1"/>
  <c r="V3619" i="1"/>
  <c r="B3619" i="2" s="1"/>
  <c r="A3619" i="1"/>
  <c r="V3618" i="1"/>
  <c r="B3618" i="2" s="1"/>
  <c r="A3618" i="1"/>
  <c r="V3617" i="1"/>
  <c r="B3617" i="2" s="1"/>
  <c r="A3617" i="1"/>
  <c r="V3616" i="1"/>
  <c r="B3616" i="2" s="1"/>
  <c r="A3616" i="1"/>
  <c r="V3615" i="1"/>
  <c r="B3615" i="2" s="1"/>
  <c r="A3615" i="1"/>
  <c r="V3614" i="1"/>
  <c r="B3614" i="2" s="1"/>
  <c r="A3614" i="1"/>
  <c r="V3613" i="1"/>
  <c r="B3613" i="2" s="1"/>
  <c r="A3613" i="1"/>
  <c r="V3612" i="1"/>
  <c r="B3612" i="2" s="1"/>
  <c r="A3612" i="1"/>
  <c r="V3611" i="1"/>
  <c r="B3611" i="2" s="1"/>
  <c r="A3611" i="1"/>
  <c r="V3610" i="1"/>
  <c r="B3610" i="2" s="1"/>
  <c r="A3610" i="1"/>
  <c r="V3609" i="1"/>
  <c r="B3609" i="2" s="1"/>
  <c r="A3609" i="1"/>
  <c r="V3608" i="1"/>
  <c r="B3608" i="2" s="1"/>
  <c r="A3608" i="1"/>
  <c r="V3607" i="1"/>
  <c r="B3607" i="2" s="1"/>
  <c r="A3607" i="1"/>
  <c r="V3606" i="1"/>
  <c r="B3606" i="2" s="1"/>
  <c r="A3606" i="1"/>
  <c r="V3605" i="1"/>
  <c r="B3605" i="2" s="1"/>
  <c r="A3605" i="1"/>
  <c r="V3604" i="1"/>
  <c r="B3604" i="2" s="1"/>
  <c r="A3604" i="1"/>
  <c r="V3603" i="1"/>
  <c r="B3603" i="2" s="1"/>
  <c r="A3603" i="1"/>
  <c r="V3602" i="1"/>
  <c r="B3602" i="2" s="1"/>
  <c r="A3602" i="1"/>
  <c r="V3601" i="1"/>
  <c r="B3601" i="2" s="1"/>
  <c r="A3601" i="1"/>
  <c r="V3600" i="1"/>
  <c r="B3600" i="2" s="1"/>
  <c r="A3600" i="1"/>
  <c r="V3599" i="1"/>
  <c r="B3599" i="2" s="1"/>
  <c r="A3599" i="1"/>
  <c r="V3598" i="1"/>
  <c r="B3598" i="2" s="1"/>
  <c r="A3598" i="1"/>
  <c r="V3597" i="1"/>
  <c r="B3597" i="2" s="1"/>
  <c r="A3597" i="1"/>
  <c r="V3596" i="1"/>
  <c r="B3596" i="2" s="1"/>
  <c r="A3596" i="1"/>
  <c r="V3595" i="1"/>
  <c r="B3595" i="2" s="1"/>
  <c r="A3595" i="1"/>
  <c r="V3594" i="1"/>
  <c r="B3594" i="2" s="1"/>
  <c r="A3594" i="1"/>
  <c r="V3593" i="1"/>
  <c r="B3593" i="2" s="1"/>
  <c r="A3593" i="1"/>
  <c r="V3592" i="1"/>
  <c r="B3592" i="2" s="1"/>
  <c r="A3592" i="1"/>
  <c r="V3591" i="1"/>
  <c r="B3591" i="2" s="1"/>
  <c r="A3591" i="1"/>
  <c r="V3590" i="1"/>
  <c r="B3590" i="2" s="1"/>
  <c r="A3590" i="1"/>
  <c r="V3589" i="1"/>
  <c r="B3589" i="2" s="1"/>
  <c r="A3589" i="1"/>
  <c r="V3588" i="1"/>
  <c r="B3588" i="2" s="1"/>
  <c r="A3588" i="1"/>
  <c r="V3587" i="1"/>
  <c r="B3587" i="2" s="1"/>
  <c r="A3587" i="1"/>
  <c r="V3586" i="1"/>
  <c r="B3586" i="2" s="1"/>
  <c r="A3586" i="1"/>
  <c r="V3585" i="1"/>
  <c r="B3585" i="2" s="1"/>
  <c r="A3585" i="1"/>
  <c r="V3584" i="1"/>
  <c r="B3584" i="2" s="1"/>
  <c r="A3584" i="1"/>
  <c r="V3583" i="1"/>
  <c r="B3583" i="2" s="1"/>
  <c r="A3583" i="1"/>
  <c r="V3582" i="1"/>
  <c r="B3582" i="2" s="1"/>
  <c r="A3582" i="1"/>
  <c r="V3581" i="1"/>
  <c r="B3581" i="2" s="1"/>
  <c r="A3581" i="1"/>
  <c r="V3580" i="1"/>
  <c r="B3580" i="2" s="1"/>
  <c r="A3580" i="1"/>
  <c r="V3579" i="1"/>
  <c r="B3579" i="2" s="1"/>
  <c r="A3579" i="1"/>
  <c r="V3578" i="1"/>
  <c r="B3578" i="2" s="1"/>
  <c r="A3578" i="1"/>
  <c r="V3577" i="1"/>
  <c r="B3577" i="2" s="1"/>
  <c r="A3577" i="1"/>
  <c r="V3576" i="1"/>
  <c r="B3576" i="2" s="1"/>
  <c r="A3576" i="1"/>
  <c r="V3575" i="1"/>
  <c r="B3575" i="2" s="1"/>
  <c r="A3575" i="1"/>
  <c r="V3574" i="1"/>
  <c r="B3574" i="2" s="1"/>
  <c r="A3574" i="1"/>
  <c r="V3573" i="1"/>
  <c r="B3573" i="2" s="1"/>
  <c r="A3573" i="1"/>
  <c r="V3572" i="1"/>
  <c r="B3572" i="2" s="1"/>
  <c r="A3572" i="1"/>
  <c r="V3571" i="1"/>
  <c r="B3571" i="2" s="1"/>
  <c r="A3571" i="1"/>
  <c r="V3570" i="1"/>
  <c r="B3570" i="2" s="1"/>
  <c r="A3570" i="1"/>
  <c r="V3569" i="1"/>
  <c r="B3569" i="2" s="1"/>
  <c r="A3569" i="1"/>
  <c r="V3568" i="1"/>
  <c r="B3568" i="2" s="1"/>
  <c r="A3568" i="1"/>
  <c r="V3567" i="1"/>
  <c r="B3567" i="2" s="1"/>
  <c r="A3567" i="1"/>
  <c r="V3566" i="1"/>
  <c r="B3566" i="2" s="1"/>
  <c r="A3566" i="1"/>
  <c r="V3565" i="1"/>
  <c r="B3565" i="2" s="1"/>
  <c r="A3565" i="1"/>
  <c r="V3564" i="1"/>
  <c r="B3564" i="2" s="1"/>
  <c r="A3564" i="1"/>
  <c r="V3563" i="1"/>
  <c r="B3563" i="2" s="1"/>
  <c r="A3563" i="1"/>
  <c r="V3562" i="1"/>
  <c r="B3562" i="2" s="1"/>
  <c r="A3562" i="1"/>
  <c r="V3561" i="1"/>
  <c r="B3561" i="2" s="1"/>
  <c r="A3561" i="1"/>
  <c r="V3560" i="1"/>
  <c r="B3560" i="2" s="1"/>
  <c r="A3560" i="1"/>
  <c r="V3559" i="1"/>
  <c r="B3559" i="2" s="1"/>
  <c r="A3559" i="1"/>
  <c r="V3558" i="1"/>
  <c r="B3558" i="2" s="1"/>
  <c r="A3558" i="1"/>
  <c r="V3557" i="1"/>
  <c r="B3557" i="2" s="1"/>
  <c r="A3557" i="1"/>
  <c r="V3556" i="1"/>
  <c r="B3556" i="2" s="1"/>
  <c r="A3556" i="1"/>
  <c r="V3555" i="1"/>
  <c r="B3555" i="2" s="1"/>
  <c r="A3555" i="1"/>
  <c r="V3554" i="1"/>
  <c r="B3554" i="2" s="1"/>
  <c r="A3554" i="1"/>
  <c r="V3553" i="1"/>
  <c r="B3553" i="2" s="1"/>
  <c r="A3553" i="1"/>
  <c r="V3552" i="1"/>
  <c r="B3552" i="2" s="1"/>
  <c r="A3552" i="1"/>
  <c r="V3551" i="1"/>
  <c r="B3551" i="2" s="1"/>
  <c r="A3551" i="1"/>
  <c r="V3550" i="1"/>
  <c r="B3550" i="2" s="1"/>
  <c r="A3550" i="1"/>
  <c r="V3549" i="1"/>
  <c r="B3549" i="2" s="1"/>
  <c r="A3549" i="1"/>
  <c r="V3548" i="1"/>
  <c r="B3548" i="2" s="1"/>
  <c r="A3548" i="1"/>
  <c r="V3547" i="1"/>
  <c r="B3547" i="2" s="1"/>
  <c r="A3547" i="1"/>
  <c r="V3546" i="1"/>
  <c r="B3546" i="2" s="1"/>
  <c r="A3546" i="1"/>
  <c r="V3545" i="1"/>
  <c r="B3545" i="2" s="1"/>
  <c r="A3545" i="1"/>
  <c r="V3544" i="1"/>
  <c r="B3544" i="2" s="1"/>
  <c r="A3544" i="1"/>
  <c r="V3543" i="1"/>
  <c r="B3543" i="2" s="1"/>
  <c r="A3543" i="1"/>
  <c r="V3542" i="1"/>
  <c r="B3542" i="2" s="1"/>
  <c r="A3542" i="1"/>
  <c r="V3541" i="1"/>
  <c r="B3541" i="2" s="1"/>
  <c r="A3541" i="1"/>
  <c r="V3540" i="1"/>
  <c r="B3540" i="2" s="1"/>
  <c r="A3540" i="1"/>
  <c r="V3539" i="1"/>
  <c r="B3539" i="2" s="1"/>
  <c r="A3539" i="1"/>
  <c r="V3538" i="1"/>
  <c r="B3538" i="2" s="1"/>
  <c r="A3538" i="1"/>
  <c r="V3537" i="1"/>
  <c r="B3537" i="2" s="1"/>
  <c r="A3537" i="1"/>
  <c r="V3536" i="1"/>
  <c r="B3536" i="2" s="1"/>
  <c r="A3536" i="1"/>
  <c r="V3535" i="1"/>
  <c r="B3535" i="2" s="1"/>
  <c r="A3535" i="1"/>
  <c r="V3534" i="1"/>
  <c r="B3534" i="2" s="1"/>
  <c r="A3534" i="1"/>
  <c r="V3533" i="1"/>
  <c r="B3533" i="2" s="1"/>
  <c r="A3533" i="1"/>
  <c r="V3532" i="1"/>
  <c r="B3532" i="2" s="1"/>
  <c r="A3532" i="1"/>
  <c r="V3531" i="1"/>
  <c r="B3531" i="2" s="1"/>
  <c r="A3531" i="1"/>
  <c r="V3530" i="1"/>
  <c r="B3530" i="2" s="1"/>
  <c r="A3530" i="1"/>
  <c r="V3529" i="1"/>
  <c r="B3529" i="2" s="1"/>
  <c r="A3529" i="1"/>
  <c r="V3528" i="1"/>
  <c r="B3528" i="2" s="1"/>
  <c r="A3528" i="1"/>
  <c r="V3527" i="1"/>
  <c r="B3527" i="2" s="1"/>
  <c r="A3527" i="1"/>
  <c r="V3526" i="1"/>
  <c r="B3526" i="2" s="1"/>
  <c r="A3526" i="1"/>
  <c r="V3525" i="1"/>
  <c r="B3525" i="2" s="1"/>
  <c r="A3525" i="1"/>
  <c r="V3524" i="1"/>
  <c r="B3524" i="2" s="1"/>
  <c r="A3524" i="1"/>
  <c r="V3523" i="1"/>
  <c r="B3523" i="2" s="1"/>
  <c r="A3523" i="1"/>
  <c r="V3522" i="1"/>
  <c r="B3522" i="2" s="1"/>
  <c r="A3522" i="1"/>
  <c r="V3521" i="1"/>
  <c r="B3521" i="2" s="1"/>
  <c r="A3521" i="1"/>
  <c r="V3520" i="1"/>
  <c r="B3520" i="2" s="1"/>
  <c r="A3520" i="1"/>
  <c r="V3519" i="1"/>
  <c r="B3519" i="2" s="1"/>
  <c r="A3519" i="1"/>
  <c r="V3518" i="1"/>
  <c r="B3518" i="2" s="1"/>
  <c r="A3518" i="1"/>
  <c r="V3517" i="1"/>
  <c r="B3517" i="2" s="1"/>
  <c r="A3517" i="1"/>
  <c r="V3516" i="1"/>
  <c r="B3516" i="2" s="1"/>
  <c r="A3516" i="1"/>
  <c r="V3515" i="1"/>
  <c r="B3515" i="2" s="1"/>
  <c r="A3515" i="1"/>
  <c r="V3514" i="1"/>
  <c r="B3514" i="2" s="1"/>
  <c r="A3514" i="1"/>
  <c r="V3513" i="1"/>
  <c r="B3513" i="2" s="1"/>
  <c r="A3513" i="1"/>
  <c r="V3512" i="1"/>
  <c r="B3512" i="2" s="1"/>
  <c r="A3512" i="1"/>
  <c r="V3511" i="1"/>
  <c r="B3511" i="2" s="1"/>
  <c r="A3511" i="1"/>
  <c r="V3510" i="1"/>
  <c r="B3510" i="2" s="1"/>
  <c r="A3510" i="1"/>
  <c r="V3509" i="1"/>
  <c r="B3509" i="2" s="1"/>
  <c r="A3509" i="1"/>
  <c r="V3508" i="1"/>
  <c r="B3508" i="2" s="1"/>
  <c r="A3508" i="1"/>
  <c r="V3507" i="1"/>
  <c r="B3507" i="2" s="1"/>
  <c r="A3507" i="1"/>
  <c r="V3506" i="1"/>
  <c r="B3506" i="2" s="1"/>
  <c r="A3506" i="1"/>
  <c r="V3505" i="1"/>
  <c r="B3505" i="2" s="1"/>
  <c r="A3505" i="1"/>
  <c r="V3504" i="1"/>
  <c r="B3504" i="2" s="1"/>
  <c r="A3504" i="1"/>
  <c r="V3503" i="1"/>
  <c r="B3503" i="2" s="1"/>
  <c r="A3503" i="1"/>
  <c r="V3502" i="1"/>
  <c r="B3502" i="2" s="1"/>
  <c r="A3502" i="1"/>
  <c r="V3501" i="1"/>
  <c r="B3501" i="2" s="1"/>
  <c r="A3501" i="1"/>
  <c r="V3500" i="1"/>
  <c r="B3500" i="2" s="1"/>
  <c r="A3500" i="1"/>
  <c r="V3499" i="1"/>
  <c r="B3499" i="2" s="1"/>
  <c r="A3499" i="1"/>
  <c r="V3498" i="1"/>
  <c r="B3498" i="2" s="1"/>
  <c r="A3498" i="1"/>
  <c r="V3497" i="1"/>
  <c r="B3497" i="2" s="1"/>
  <c r="A3497" i="1"/>
  <c r="V3496" i="1"/>
  <c r="B3496" i="2" s="1"/>
  <c r="A3496" i="1"/>
  <c r="V3495" i="1"/>
  <c r="B3495" i="2" s="1"/>
  <c r="A3495" i="1"/>
  <c r="V3494" i="1"/>
  <c r="B3494" i="2" s="1"/>
  <c r="A3494" i="1"/>
  <c r="V3493" i="1"/>
  <c r="B3493" i="2" s="1"/>
  <c r="A3493" i="1"/>
  <c r="V3492" i="1"/>
  <c r="B3492" i="2" s="1"/>
  <c r="A3492" i="1"/>
  <c r="V3491" i="1"/>
  <c r="B3491" i="2" s="1"/>
  <c r="A3491" i="1"/>
  <c r="V3490" i="1"/>
  <c r="B3490" i="2" s="1"/>
  <c r="A3490" i="1"/>
  <c r="V3489" i="1"/>
  <c r="B3489" i="2" s="1"/>
  <c r="A3489" i="1"/>
  <c r="V3488" i="1"/>
  <c r="B3488" i="2" s="1"/>
  <c r="A3488" i="1"/>
  <c r="V3487" i="1"/>
  <c r="B3487" i="2" s="1"/>
  <c r="A3487" i="1"/>
  <c r="V3486" i="1"/>
  <c r="B3486" i="2" s="1"/>
  <c r="A3486" i="1"/>
  <c r="V3485" i="1"/>
  <c r="B3485" i="2" s="1"/>
  <c r="A3485" i="1"/>
  <c r="V3484" i="1"/>
  <c r="B3484" i="2" s="1"/>
  <c r="A3484" i="1"/>
  <c r="V3483" i="1"/>
  <c r="B3483" i="2" s="1"/>
  <c r="A3483" i="1"/>
  <c r="V3482" i="1"/>
  <c r="B3482" i="2" s="1"/>
  <c r="A3482" i="1"/>
  <c r="V3481" i="1"/>
  <c r="B3481" i="2" s="1"/>
  <c r="A3481" i="1"/>
  <c r="V3480" i="1"/>
  <c r="B3480" i="2" s="1"/>
  <c r="A3480" i="1"/>
  <c r="V3479" i="1"/>
  <c r="B3479" i="2" s="1"/>
  <c r="A3479" i="1"/>
  <c r="V3478" i="1"/>
  <c r="B3478" i="2" s="1"/>
  <c r="A3478" i="1"/>
  <c r="V3477" i="1"/>
  <c r="B3477" i="2" s="1"/>
  <c r="A3477" i="1"/>
  <c r="V3476" i="1"/>
  <c r="B3476" i="2" s="1"/>
  <c r="A3476" i="1"/>
  <c r="V3475" i="1"/>
  <c r="B3475" i="2" s="1"/>
  <c r="A3475" i="1"/>
  <c r="V3474" i="1"/>
  <c r="B3474" i="2" s="1"/>
  <c r="A3474" i="1"/>
  <c r="V3473" i="1"/>
  <c r="B3473" i="2" s="1"/>
  <c r="A3473" i="1"/>
  <c r="V3472" i="1"/>
  <c r="B3472" i="2" s="1"/>
  <c r="A3472" i="1"/>
  <c r="V3471" i="1"/>
  <c r="B3471" i="2" s="1"/>
  <c r="A3471" i="1"/>
  <c r="V3470" i="1"/>
  <c r="B3470" i="2" s="1"/>
  <c r="A3470" i="1"/>
  <c r="V3469" i="1"/>
  <c r="B3469" i="2" s="1"/>
  <c r="A3469" i="1"/>
  <c r="V3468" i="1"/>
  <c r="B3468" i="2" s="1"/>
  <c r="A3468" i="1"/>
  <c r="V3467" i="1"/>
  <c r="B3467" i="2" s="1"/>
  <c r="A3467" i="1"/>
  <c r="V3466" i="1"/>
  <c r="B3466" i="2" s="1"/>
  <c r="A3466" i="1"/>
  <c r="V3465" i="1"/>
  <c r="B3465" i="2" s="1"/>
  <c r="A3465" i="1"/>
  <c r="V3464" i="1"/>
  <c r="B3464" i="2" s="1"/>
  <c r="A3464" i="1"/>
  <c r="V3463" i="1"/>
  <c r="B3463" i="2" s="1"/>
  <c r="A3463" i="1"/>
  <c r="V3462" i="1"/>
  <c r="B3462" i="2" s="1"/>
  <c r="A3462" i="1"/>
  <c r="V3461" i="1"/>
  <c r="B3461" i="2" s="1"/>
  <c r="A3461" i="1"/>
  <c r="V3460" i="1"/>
  <c r="B3460" i="2" s="1"/>
  <c r="A3460" i="1"/>
  <c r="V3459" i="1"/>
  <c r="B3459" i="2" s="1"/>
  <c r="A3459" i="1"/>
  <c r="V3458" i="1"/>
  <c r="B3458" i="2" s="1"/>
  <c r="A3458" i="1"/>
  <c r="V3457" i="1"/>
  <c r="B3457" i="2" s="1"/>
  <c r="A3457" i="1"/>
  <c r="V3456" i="1"/>
  <c r="B3456" i="2" s="1"/>
  <c r="A3456" i="1"/>
  <c r="V3455" i="1"/>
  <c r="B3455" i="2" s="1"/>
  <c r="A3455" i="1"/>
  <c r="V3454" i="1"/>
  <c r="B3454" i="2" s="1"/>
  <c r="A3454" i="1"/>
  <c r="V3453" i="1"/>
  <c r="B3453" i="2" s="1"/>
  <c r="A3453" i="1"/>
  <c r="V3452" i="1"/>
  <c r="B3452" i="2" s="1"/>
  <c r="A3452" i="1"/>
  <c r="V3451" i="1"/>
  <c r="B3451" i="2" s="1"/>
  <c r="A3451" i="1"/>
  <c r="V3450" i="1"/>
  <c r="B3450" i="2" s="1"/>
  <c r="A3450" i="1"/>
  <c r="V3449" i="1"/>
  <c r="B3449" i="2" s="1"/>
  <c r="A3449" i="1"/>
  <c r="V3448" i="1"/>
  <c r="B3448" i="2" s="1"/>
  <c r="A3448" i="1"/>
  <c r="V3447" i="1"/>
  <c r="B3447" i="2" s="1"/>
  <c r="A3447" i="1"/>
  <c r="V3446" i="1"/>
  <c r="B3446" i="2" s="1"/>
  <c r="A3446" i="1"/>
  <c r="V3445" i="1"/>
  <c r="B3445" i="2" s="1"/>
  <c r="A3445" i="1"/>
  <c r="V3444" i="1"/>
  <c r="B3444" i="2" s="1"/>
  <c r="A3444" i="1"/>
  <c r="V3443" i="1"/>
  <c r="B3443" i="2" s="1"/>
  <c r="A3443" i="1"/>
  <c r="V3442" i="1"/>
  <c r="B3442" i="2" s="1"/>
  <c r="A3442" i="1"/>
  <c r="V3441" i="1"/>
  <c r="B3441" i="2" s="1"/>
  <c r="A3441" i="1"/>
  <c r="V3440" i="1"/>
  <c r="B3440" i="2" s="1"/>
  <c r="A3440" i="1"/>
  <c r="V3439" i="1"/>
  <c r="B3439" i="2" s="1"/>
  <c r="A3439" i="1"/>
  <c r="V3438" i="1"/>
  <c r="B3438" i="2" s="1"/>
  <c r="A3438" i="1"/>
  <c r="V3437" i="1"/>
  <c r="B3437" i="2" s="1"/>
  <c r="A3437" i="1"/>
  <c r="V3436" i="1"/>
  <c r="B3436" i="2" s="1"/>
  <c r="A3436" i="1"/>
  <c r="V3435" i="1"/>
  <c r="B3435" i="2" s="1"/>
  <c r="A3435" i="1"/>
  <c r="V3434" i="1"/>
  <c r="B3434" i="2" s="1"/>
  <c r="A3434" i="1"/>
  <c r="V3433" i="1"/>
  <c r="B3433" i="2" s="1"/>
  <c r="A3433" i="1"/>
  <c r="V3432" i="1"/>
  <c r="B3432" i="2" s="1"/>
  <c r="A3432" i="1"/>
  <c r="V3431" i="1"/>
  <c r="B3431" i="2" s="1"/>
  <c r="A3431" i="1"/>
  <c r="V3430" i="1"/>
  <c r="B3430" i="2" s="1"/>
  <c r="A3430" i="1"/>
  <c r="V3429" i="1"/>
  <c r="B3429" i="2" s="1"/>
  <c r="A3429" i="1"/>
  <c r="V3428" i="1"/>
  <c r="B3428" i="2" s="1"/>
  <c r="A3428" i="1"/>
  <c r="V3427" i="1"/>
  <c r="B3427" i="2" s="1"/>
  <c r="A3427" i="1"/>
  <c r="V3426" i="1"/>
  <c r="B3426" i="2" s="1"/>
  <c r="A3426" i="1"/>
  <c r="V3425" i="1"/>
  <c r="B3425" i="2" s="1"/>
  <c r="A3425" i="1"/>
  <c r="V3424" i="1"/>
  <c r="B3424" i="2" s="1"/>
  <c r="A3424" i="1"/>
  <c r="V3423" i="1"/>
  <c r="B3423" i="2" s="1"/>
  <c r="A3423" i="1"/>
  <c r="V3422" i="1"/>
  <c r="B3422" i="2" s="1"/>
  <c r="A3422" i="1"/>
  <c r="V3421" i="1"/>
  <c r="B3421" i="2" s="1"/>
  <c r="A3421" i="1"/>
  <c r="V3420" i="1"/>
  <c r="B3420" i="2" s="1"/>
  <c r="A3420" i="1"/>
  <c r="V3419" i="1"/>
  <c r="B3419" i="2" s="1"/>
  <c r="A3419" i="1"/>
  <c r="V3418" i="1"/>
  <c r="B3418" i="2" s="1"/>
  <c r="A3418" i="1"/>
  <c r="V3417" i="1"/>
  <c r="B3417" i="2" s="1"/>
  <c r="A3417" i="1"/>
  <c r="V3416" i="1"/>
  <c r="B3416" i="2" s="1"/>
  <c r="A3416" i="1"/>
  <c r="V3415" i="1"/>
  <c r="B3415" i="2" s="1"/>
  <c r="A3415" i="1"/>
  <c r="V3414" i="1"/>
  <c r="B3414" i="2" s="1"/>
  <c r="A3414" i="1"/>
  <c r="V3413" i="1"/>
  <c r="B3413" i="2" s="1"/>
  <c r="A3413" i="1"/>
  <c r="V3412" i="1"/>
  <c r="B3412" i="2" s="1"/>
  <c r="A3412" i="1"/>
  <c r="V3411" i="1"/>
  <c r="B3411" i="2" s="1"/>
  <c r="A3411" i="1"/>
  <c r="V3410" i="1"/>
  <c r="B3410" i="2" s="1"/>
  <c r="A3410" i="1"/>
  <c r="V3409" i="1"/>
  <c r="B3409" i="2" s="1"/>
  <c r="A3409" i="1"/>
  <c r="V3408" i="1"/>
  <c r="B3408" i="2" s="1"/>
  <c r="A3408" i="1"/>
  <c r="V3407" i="1"/>
  <c r="B3407" i="2" s="1"/>
  <c r="A3407" i="1"/>
  <c r="V3406" i="1"/>
  <c r="B3406" i="2" s="1"/>
  <c r="A3406" i="1"/>
  <c r="V3405" i="1"/>
  <c r="B3405" i="2" s="1"/>
  <c r="A3405" i="1"/>
  <c r="V3404" i="1"/>
  <c r="B3404" i="2" s="1"/>
  <c r="A3404" i="1"/>
  <c r="V3403" i="1"/>
  <c r="B3403" i="2" s="1"/>
  <c r="A3403" i="1"/>
  <c r="V3402" i="1"/>
  <c r="B3402" i="2" s="1"/>
  <c r="A3402" i="1"/>
  <c r="V3401" i="1"/>
  <c r="B3401" i="2" s="1"/>
  <c r="A3401" i="1"/>
  <c r="V3400" i="1"/>
  <c r="B3400" i="2" s="1"/>
  <c r="A3400" i="1"/>
  <c r="V3399" i="1"/>
  <c r="B3399" i="2" s="1"/>
  <c r="A3399" i="1"/>
  <c r="V3398" i="1"/>
  <c r="B3398" i="2" s="1"/>
  <c r="A3398" i="1"/>
  <c r="V3397" i="1"/>
  <c r="B3397" i="2" s="1"/>
  <c r="A3397" i="1"/>
  <c r="V3396" i="1"/>
  <c r="B3396" i="2" s="1"/>
  <c r="A3396" i="1"/>
  <c r="V3395" i="1"/>
  <c r="B3395" i="2" s="1"/>
  <c r="A3395" i="1"/>
  <c r="V3394" i="1"/>
  <c r="B3394" i="2" s="1"/>
  <c r="A3394" i="1"/>
  <c r="V3393" i="1"/>
  <c r="B3393" i="2" s="1"/>
  <c r="A3393" i="1"/>
  <c r="V3392" i="1"/>
  <c r="B3392" i="2" s="1"/>
  <c r="A3392" i="1"/>
  <c r="V3391" i="1"/>
  <c r="B3391" i="2" s="1"/>
  <c r="A3391" i="1"/>
  <c r="V3390" i="1"/>
  <c r="B3390" i="2" s="1"/>
  <c r="A3390" i="1"/>
  <c r="V3389" i="1"/>
  <c r="B3389" i="2" s="1"/>
  <c r="A3389" i="1"/>
  <c r="V3388" i="1"/>
  <c r="B3388" i="2" s="1"/>
  <c r="A3388" i="1"/>
  <c r="V3387" i="1"/>
  <c r="B3387" i="2" s="1"/>
  <c r="A3387" i="1"/>
  <c r="V3386" i="1"/>
  <c r="B3386" i="2" s="1"/>
  <c r="A3386" i="1"/>
  <c r="V3385" i="1"/>
  <c r="B3385" i="2" s="1"/>
  <c r="A3385" i="1"/>
  <c r="V3384" i="1"/>
  <c r="B3384" i="2" s="1"/>
  <c r="A3384" i="1"/>
  <c r="V3383" i="1"/>
  <c r="B3383" i="2" s="1"/>
  <c r="A3383" i="1"/>
  <c r="V3382" i="1"/>
  <c r="B3382" i="2" s="1"/>
  <c r="A3382" i="1"/>
  <c r="V3381" i="1"/>
  <c r="B3381" i="2" s="1"/>
  <c r="A3381" i="1"/>
  <c r="V3380" i="1"/>
  <c r="B3380" i="2" s="1"/>
  <c r="A3380" i="1"/>
  <c r="V3379" i="1"/>
  <c r="B3379" i="2" s="1"/>
  <c r="A3379" i="1"/>
  <c r="V3378" i="1"/>
  <c r="B3378" i="2" s="1"/>
  <c r="A3378" i="1"/>
  <c r="V3377" i="1"/>
  <c r="B3377" i="2" s="1"/>
  <c r="A3377" i="1"/>
  <c r="V3376" i="1"/>
  <c r="B3376" i="2" s="1"/>
  <c r="A3376" i="1"/>
  <c r="V3375" i="1"/>
  <c r="B3375" i="2" s="1"/>
  <c r="A3375" i="1"/>
  <c r="V3374" i="1"/>
  <c r="B3374" i="2" s="1"/>
  <c r="A3374" i="1"/>
  <c r="V3373" i="1"/>
  <c r="B3373" i="2" s="1"/>
  <c r="A3373" i="1"/>
  <c r="V3372" i="1"/>
  <c r="B3372" i="2" s="1"/>
  <c r="A3372" i="1"/>
  <c r="V3371" i="1"/>
  <c r="B3371" i="2" s="1"/>
  <c r="A3371" i="1"/>
  <c r="V3370" i="1"/>
  <c r="B3370" i="2" s="1"/>
  <c r="A3370" i="1"/>
  <c r="V3369" i="1"/>
  <c r="B3369" i="2" s="1"/>
  <c r="A3369" i="1"/>
  <c r="V3368" i="1"/>
  <c r="B3368" i="2" s="1"/>
  <c r="A3368" i="1"/>
  <c r="V3367" i="1"/>
  <c r="B3367" i="2" s="1"/>
  <c r="A3367" i="1"/>
  <c r="V3366" i="1"/>
  <c r="B3366" i="2" s="1"/>
  <c r="A3366" i="1"/>
  <c r="V3365" i="1"/>
  <c r="B3365" i="2" s="1"/>
  <c r="A3365" i="1"/>
  <c r="V3364" i="1"/>
  <c r="B3364" i="2" s="1"/>
  <c r="A3364" i="1"/>
  <c r="V3363" i="1"/>
  <c r="B3363" i="2" s="1"/>
  <c r="A3363" i="1"/>
  <c r="V3362" i="1"/>
  <c r="B3362" i="2" s="1"/>
  <c r="A3362" i="1"/>
  <c r="V3361" i="1"/>
  <c r="B3361" i="2" s="1"/>
  <c r="A3361" i="1"/>
  <c r="V3360" i="1"/>
  <c r="B3360" i="2" s="1"/>
  <c r="A3360" i="1"/>
  <c r="V3359" i="1"/>
  <c r="B3359" i="2" s="1"/>
  <c r="A3359" i="1"/>
  <c r="V3358" i="1"/>
  <c r="B3358" i="2" s="1"/>
  <c r="A3358" i="1"/>
  <c r="V3357" i="1"/>
  <c r="B3357" i="2" s="1"/>
  <c r="A3357" i="1"/>
  <c r="V3356" i="1"/>
  <c r="B3356" i="2" s="1"/>
  <c r="A3356" i="1"/>
  <c r="V3355" i="1"/>
  <c r="B3355" i="2" s="1"/>
  <c r="A3355" i="1"/>
  <c r="V3354" i="1"/>
  <c r="B3354" i="2" s="1"/>
  <c r="A3354" i="1"/>
  <c r="V3353" i="1"/>
  <c r="B3353" i="2" s="1"/>
  <c r="A3353" i="1"/>
  <c r="V3352" i="1"/>
  <c r="B3352" i="2" s="1"/>
  <c r="A3352" i="1"/>
  <c r="V3351" i="1"/>
  <c r="B3351" i="2" s="1"/>
  <c r="A3351" i="1"/>
  <c r="V3350" i="1"/>
  <c r="B3350" i="2" s="1"/>
  <c r="A3350" i="1"/>
  <c r="V3349" i="1"/>
  <c r="B3349" i="2" s="1"/>
  <c r="A3349" i="1"/>
  <c r="V3348" i="1"/>
  <c r="B3348" i="2" s="1"/>
  <c r="A3348" i="1"/>
  <c r="V3347" i="1"/>
  <c r="B3347" i="2" s="1"/>
  <c r="A3347" i="1"/>
  <c r="V3346" i="1"/>
  <c r="B3346" i="2" s="1"/>
  <c r="A3346" i="1"/>
  <c r="V3345" i="1"/>
  <c r="B3345" i="2" s="1"/>
  <c r="A3345" i="1"/>
  <c r="V3344" i="1"/>
  <c r="B3344" i="2" s="1"/>
  <c r="A3344" i="1"/>
  <c r="V3343" i="1"/>
  <c r="B3343" i="2" s="1"/>
  <c r="A3343" i="1"/>
  <c r="V3342" i="1"/>
  <c r="B3342" i="2" s="1"/>
  <c r="A3342" i="1"/>
  <c r="V3341" i="1"/>
  <c r="B3341" i="2" s="1"/>
  <c r="A3341" i="1"/>
  <c r="V3340" i="1"/>
  <c r="B3340" i="2" s="1"/>
  <c r="A3340" i="1"/>
  <c r="V3339" i="1"/>
  <c r="B3339" i="2" s="1"/>
  <c r="A3339" i="1"/>
  <c r="V3338" i="1"/>
  <c r="B3338" i="2" s="1"/>
  <c r="A3338" i="1"/>
  <c r="V3337" i="1"/>
  <c r="B3337" i="2" s="1"/>
  <c r="A3337" i="1"/>
  <c r="V3336" i="1"/>
  <c r="B3336" i="2" s="1"/>
  <c r="A3336" i="1"/>
  <c r="V3335" i="1"/>
  <c r="B3335" i="2" s="1"/>
  <c r="A3335" i="1"/>
  <c r="V3334" i="1"/>
  <c r="B3334" i="2" s="1"/>
  <c r="A3334" i="1"/>
  <c r="V3333" i="1"/>
  <c r="B3333" i="2" s="1"/>
  <c r="A3333" i="1"/>
  <c r="V3332" i="1"/>
  <c r="B3332" i="2" s="1"/>
  <c r="A3332" i="1"/>
  <c r="V3331" i="1"/>
  <c r="B3331" i="2" s="1"/>
  <c r="A3331" i="1"/>
  <c r="V3330" i="1"/>
  <c r="B3330" i="2" s="1"/>
  <c r="A3330" i="1"/>
  <c r="V3329" i="1"/>
  <c r="B3329" i="2" s="1"/>
  <c r="A3329" i="1"/>
  <c r="V3328" i="1"/>
  <c r="B3328" i="2" s="1"/>
  <c r="A3328" i="1"/>
  <c r="V3327" i="1"/>
  <c r="B3327" i="2" s="1"/>
  <c r="A3327" i="1"/>
  <c r="V3326" i="1"/>
  <c r="B3326" i="2" s="1"/>
  <c r="A3326" i="1"/>
  <c r="V3325" i="1"/>
  <c r="B3325" i="2" s="1"/>
  <c r="A3325" i="1"/>
  <c r="V3324" i="1"/>
  <c r="B3324" i="2" s="1"/>
  <c r="A3324" i="1"/>
  <c r="V3323" i="1"/>
  <c r="B3323" i="2" s="1"/>
  <c r="A3323" i="1"/>
  <c r="V3322" i="1"/>
  <c r="B3322" i="2" s="1"/>
  <c r="A3322" i="1"/>
  <c r="V3321" i="1"/>
  <c r="B3321" i="2" s="1"/>
  <c r="A3321" i="1"/>
  <c r="V3320" i="1"/>
  <c r="B3320" i="2" s="1"/>
  <c r="A3320" i="1"/>
  <c r="V3319" i="1"/>
  <c r="B3319" i="2" s="1"/>
  <c r="A3319" i="1"/>
  <c r="V3318" i="1"/>
  <c r="B3318" i="2" s="1"/>
  <c r="A3318" i="1"/>
  <c r="V3317" i="1"/>
  <c r="B3317" i="2" s="1"/>
  <c r="A3317" i="1"/>
  <c r="V3316" i="1"/>
  <c r="B3316" i="2" s="1"/>
  <c r="A3316" i="1"/>
  <c r="V3315" i="1"/>
  <c r="B3315" i="2" s="1"/>
  <c r="A3315" i="1"/>
  <c r="V3314" i="1"/>
  <c r="B3314" i="2" s="1"/>
  <c r="A3314" i="1"/>
  <c r="V3313" i="1"/>
  <c r="B3313" i="2" s="1"/>
  <c r="A3313" i="1"/>
  <c r="V3312" i="1"/>
  <c r="B3312" i="2" s="1"/>
  <c r="A3312" i="1"/>
  <c r="V3311" i="1"/>
  <c r="B3311" i="2" s="1"/>
  <c r="A3311" i="1"/>
  <c r="V3310" i="1"/>
  <c r="B3310" i="2" s="1"/>
  <c r="A3310" i="1"/>
  <c r="V3309" i="1"/>
  <c r="B3309" i="2" s="1"/>
  <c r="A3309" i="1"/>
  <c r="V3308" i="1"/>
  <c r="B3308" i="2" s="1"/>
  <c r="A3308" i="1"/>
  <c r="V3307" i="1"/>
  <c r="B3307" i="2" s="1"/>
  <c r="A3307" i="1"/>
  <c r="V3306" i="1"/>
  <c r="B3306" i="2" s="1"/>
  <c r="A3306" i="1"/>
  <c r="V3305" i="1"/>
  <c r="B3305" i="2" s="1"/>
  <c r="A3305" i="1"/>
  <c r="V3304" i="1"/>
  <c r="B3304" i="2" s="1"/>
  <c r="A3304" i="1"/>
  <c r="V3303" i="1"/>
  <c r="B3303" i="2" s="1"/>
  <c r="A3303" i="1"/>
  <c r="V3302" i="1"/>
  <c r="B3302" i="2" s="1"/>
  <c r="A3302" i="1"/>
  <c r="V3301" i="1"/>
  <c r="B3301" i="2" s="1"/>
  <c r="A3301" i="1"/>
  <c r="V3300" i="1"/>
  <c r="B3300" i="2" s="1"/>
  <c r="A3300" i="1"/>
  <c r="V3299" i="1"/>
  <c r="B3299" i="2" s="1"/>
  <c r="A3299" i="1"/>
  <c r="V3298" i="1"/>
  <c r="B3298" i="2" s="1"/>
  <c r="A3298" i="1"/>
  <c r="V3297" i="1"/>
  <c r="B3297" i="2" s="1"/>
  <c r="A3297" i="1"/>
  <c r="V3296" i="1"/>
  <c r="B3296" i="2" s="1"/>
  <c r="A3296" i="1"/>
  <c r="V3295" i="1"/>
  <c r="B3295" i="2" s="1"/>
  <c r="A3295" i="1"/>
  <c r="V3294" i="1"/>
  <c r="B3294" i="2" s="1"/>
  <c r="A3294" i="1"/>
  <c r="V3293" i="1"/>
  <c r="B3293" i="2" s="1"/>
  <c r="A3293" i="1"/>
  <c r="V3292" i="1"/>
  <c r="B3292" i="2" s="1"/>
  <c r="A3292" i="1"/>
  <c r="V3291" i="1"/>
  <c r="B3291" i="2" s="1"/>
  <c r="A3291" i="1"/>
  <c r="V3290" i="1"/>
  <c r="B3290" i="2" s="1"/>
  <c r="A3290" i="1"/>
  <c r="V3289" i="1"/>
  <c r="B3289" i="2" s="1"/>
  <c r="A3289" i="1"/>
  <c r="V3288" i="1"/>
  <c r="B3288" i="2" s="1"/>
  <c r="A3288" i="1"/>
  <c r="V3287" i="1"/>
  <c r="B3287" i="2" s="1"/>
  <c r="A3287" i="1"/>
  <c r="V3286" i="1"/>
  <c r="B3286" i="2" s="1"/>
  <c r="A3286" i="1"/>
  <c r="V3285" i="1"/>
  <c r="B3285" i="2" s="1"/>
  <c r="A3285" i="1"/>
  <c r="V3284" i="1"/>
  <c r="B3284" i="2" s="1"/>
  <c r="A3284" i="1"/>
  <c r="V3283" i="1"/>
  <c r="B3283" i="2" s="1"/>
  <c r="A3283" i="1"/>
  <c r="V3282" i="1"/>
  <c r="B3282" i="2" s="1"/>
  <c r="A3282" i="1"/>
  <c r="V3281" i="1"/>
  <c r="B3281" i="2" s="1"/>
  <c r="A3281" i="1"/>
  <c r="V3280" i="1"/>
  <c r="B3280" i="2" s="1"/>
  <c r="A3280" i="1"/>
  <c r="V3279" i="1"/>
  <c r="B3279" i="2" s="1"/>
  <c r="A3279" i="1"/>
  <c r="V3278" i="1"/>
  <c r="B3278" i="2" s="1"/>
  <c r="A3278" i="1"/>
  <c r="V3277" i="1"/>
  <c r="B3277" i="2" s="1"/>
  <c r="A3277" i="1"/>
  <c r="V3276" i="1"/>
  <c r="B3276" i="2" s="1"/>
  <c r="A3276" i="1"/>
  <c r="V3275" i="1"/>
  <c r="B3275" i="2" s="1"/>
  <c r="A3275" i="1"/>
  <c r="V3274" i="1"/>
  <c r="B3274" i="2" s="1"/>
  <c r="A3274" i="1"/>
  <c r="V3273" i="1"/>
  <c r="B3273" i="2" s="1"/>
  <c r="A3273" i="1"/>
  <c r="V3272" i="1"/>
  <c r="B3272" i="2" s="1"/>
  <c r="A3272" i="1"/>
  <c r="V3271" i="1"/>
  <c r="B3271" i="2" s="1"/>
  <c r="A3271" i="1"/>
  <c r="V3270" i="1"/>
  <c r="B3270" i="2" s="1"/>
  <c r="A3270" i="1"/>
  <c r="V3269" i="1"/>
  <c r="B3269" i="2" s="1"/>
  <c r="A3269" i="1"/>
  <c r="V3268" i="1"/>
  <c r="B3268" i="2" s="1"/>
  <c r="A3268" i="1"/>
  <c r="V3267" i="1"/>
  <c r="B3267" i="2" s="1"/>
  <c r="A3267" i="1"/>
  <c r="V3266" i="1"/>
  <c r="B3266" i="2" s="1"/>
  <c r="A3266" i="1"/>
  <c r="V3265" i="1"/>
  <c r="B3265" i="2" s="1"/>
  <c r="A3265" i="1"/>
  <c r="V3264" i="1"/>
  <c r="B3264" i="2" s="1"/>
  <c r="A3264" i="1"/>
  <c r="V3263" i="1"/>
  <c r="B3263" i="2" s="1"/>
  <c r="A3263" i="1"/>
  <c r="V3262" i="1"/>
  <c r="B3262" i="2" s="1"/>
  <c r="A3262" i="1"/>
  <c r="V3261" i="1"/>
  <c r="B3261" i="2" s="1"/>
  <c r="A3261" i="1"/>
  <c r="V3260" i="1"/>
  <c r="B3260" i="2" s="1"/>
  <c r="A3260" i="1"/>
  <c r="V3259" i="1"/>
  <c r="B3259" i="2" s="1"/>
  <c r="A3259" i="1"/>
  <c r="V3258" i="1"/>
  <c r="B3258" i="2" s="1"/>
  <c r="A3258" i="1"/>
  <c r="V3257" i="1"/>
  <c r="B3257" i="2" s="1"/>
  <c r="A3257" i="1"/>
  <c r="V3256" i="1"/>
  <c r="B3256" i="2" s="1"/>
  <c r="A3256" i="1"/>
  <c r="V3255" i="1"/>
  <c r="B3255" i="2" s="1"/>
  <c r="A3255" i="1"/>
  <c r="V3254" i="1"/>
  <c r="B3254" i="2" s="1"/>
  <c r="A3254" i="1"/>
  <c r="V3253" i="1"/>
  <c r="B3253" i="2" s="1"/>
  <c r="A3253" i="1"/>
  <c r="V3252" i="1"/>
  <c r="B3252" i="2" s="1"/>
  <c r="A3252" i="1"/>
  <c r="V3251" i="1"/>
  <c r="B3251" i="2" s="1"/>
  <c r="A3251" i="1"/>
  <c r="V3250" i="1"/>
  <c r="B3250" i="2" s="1"/>
  <c r="A3250" i="1"/>
  <c r="V3249" i="1"/>
  <c r="B3249" i="2" s="1"/>
  <c r="A3249" i="1"/>
  <c r="V3248" i="1"/>
  <c r="B3248" i="2" s="1"/>
  <c r="A3248" i="1"/>
  <c r="V3247" i="1"/>
  <c r="B3247" i="2" s="1"/>
  <c r="A3247" i="1"/>
  <c r="V3246" i="1"/>
  <c r="B3246" i="2" s="1"/>
  <c r="A3246" i="1"/>
  <c r="V3245" i="1"/>
  <c r="B3245" i="2" s="1"/>
  <c r="A3245" i="1"/>
  <c r="V3244" i="1"/>
  <c r="B3244" i="2" s="1"/>
  <c r="A3244" i="1"/>
  <c r="V3243" i="1"/>
  <c r="B3243" i="2" s="1"/>
  <c r="A3243" i="1"/>
  <c r="V3242" i="1"/>
  <c r="B3242" i="2" s="1"/>
  <c r="A3242" i="1"/>
  <c r="V3241" i="1"/>
  <c r="B3241" i="2" s="1"/>
  <c r="A3241" i="1"/>
  <c r="V3240" i="1"/>
  <c r="B3240" i="2" s="1"/>
  <c r="A3240" i="1"/>
  <c r="V3239" i="1"/>
  <c r="B3239" i="2" s="1"/>
  <c r="A3239" i="1"/>
  <c r="V3238" i="1"/>
  <c r="B3238" i="2" s="1"/>
  <c r="A3238" i="1"/>
  <c r="V3237" i="1"/>
  <c r="B3237" i="2" s="1"/>
  <c r="A3237" i="1"/>
  <c r="V3236" i="1"/>
  <c r="B3236" i="2" s="1"/>
  <c r="A3236" i="1"/>
  <c r="V3235" i="1"/>
  <c r="B3235" i="2" s="1"/>
  <c r="A3235" i="1"/>
  <c r="V3234" i="1"/>
  <c r="B3234" i="2" s="1"/>
  <c r="A3234" i="1"/>
  <c r="V3233" i="1"/>
  <c r="B3233" i="2" s="1"/>
  <c r="A3233" i="1"/>
  <c r="V3232" i="1"/>
  <c r="B3232" i="2" s="1"/>
  <c r="A3232" i="1"/>
  <c r="V3231" i="1"/>
  <c r="B3231" i="2" s="1"/>
  <c r="A3231" i="1"/>
  <c r="V3230" i="1"/>
  <c r="B3230" i="2" s="1"/>
  <c r="A3230" i="1"/>
  <c r="V3229" i="1"/>
  <c r="B3229" i="2" s="1"/>
  <c r="A3229" i="1"/>
  <c r="V3228" i="1"/>
  <c r="B3228" i="2" s="1"/>
  <c r="A3228" i="1"/>
  <c r="V3227" i="1"/>
  <c r="B3227" i="2" s="1"/>
  <c r="A3227" i="1"/>
  <c r="V3226" i="1"/>
  <c r="B3226" i="2" s="1"/>
  <c r="A3226" i="1"/>
  <c r="V3225" i="1"/>
  <c r="B3225" i="2" s="1"/>
  <c r="A3225" i="1"/>
  <c r="V3224" i="1"/>
  <c r="B3224" i="2" s="1"/>
  <c r="A3224" i="1"/>
  <c r="V3223" i="1"/>
  <c r="B3223" i="2" s="1"/>
  <c r="A3223" i="1"/>
  <c r="V3222" i="1"/>
  <c r="B3222" i="2" s="1"/>
  <c r="A3222" i="1"/>
  <c r="V3221" i="1"/>
  <c r="B3221" i="2" s="1"/>
  <c r="A3221" i="1"/>
  <c r="V3220" i="1"/>
  <c r="B3220" i="2" s="1"/>
  <c r="A3220" i="1"/>
  <c r="V3219" i="1"/>
  <c r="B3219" i="2" s="1"/>
  <c r="A3219" i="1"/>
  <c r="V3218" i="1"/>
  <c r="B3218" i="2" s="1"/>
  <c r="A3218" i="1"/>
  <c r="V3217" i="1"/>
  <c r="B3217" i="2" s="1"/>
  <c r="A3217" i="1"/>
  <c r="V3216" i="1"/>
  <c r="B3216" i="2" s="1"/>
  <c r="A3216" i="1"/>
  <c r="V3215" i="1"/>
  <c r="B3215" i="2" s="1"/>
  <c r="A3215" i="1"/>
  <c r="V3214" i="1"/>
  <c r="B3214" i="2" s="1"/>
  <c r="A3214" i="1"/>
  <c r="V3213" i="1"/>
  <c r="B3213" i="2" s="1"/>
  <c r="A3213" i="1"/>
  <c r="V3212" i="1"/>
  <c r="B3212" i="2" s="1"/>
  <c r="A3212" i="1"/>
  <c r="V3211" i="1"/>
  <c r="B3211" i="2" s="1"/>
  <c r="A3211" i="1"/>
  <c r="V3210" i="1"/>
  <c r="B3210" i="2" s="1"/>
  <c r="A3210" i="1"/>
  <c r="V3209" i="1"/>
  <c r="B3209" i="2" s="1"/>
  <c r="A3209" i="1"/>
  <c r="V3208" i="1"/>
  <c r="B3208" i="2" s="1"/>
  <c r="A3208" i="1"/>
  <c r="V3207" i="1"/>
  <c r="B3207" i="2" s="1"/>
  <c r="A3207" i="1"/>
  <c r="V3206" i="1"/>
  <c r="B3206" i="2" s="1"/>
  <c r="A3206" i="1"/>
  <c r="V3205" i="1"/>
  <c r="B3205" i="2" s="1"/>
  <c r="A3205" i="1"/>
  <c r="V3204" i="1"/>
  <c r="B3204" i="2" s="1"/>
  <c r="A3204" i="1"/>
  <c r="V3203" i="1"/>
  <c r="B3203" i="2" s="1"/>
  <c r="A3203" i="1"/>
  <c r="V3202" i="1"/>
  <c r="B3202" i="2" s="1"/>
  <c r="A3202" i="1"/>
  <c r="V3201" i="1"/>
  <c r="B3201" i="2" s="1"/>
  <c r="A3201" i="1"/>
  <c r="V3200" i="1"/>
  <c r="B3200" i="2" s="1"/>
  <c r="A3200" i="1"/>
  <c r="V3199" i="1"/>
  <c r="B3199" i="2" s="1"/>
  <c r="A3199" i="1"/>
  <c r="V3198" i="1"/>
  <c r="B3198" i="2" s="1"/>
  <c r="A3198" i="1"/>
  <c r="V3197" i="1"/>
  <c r="B3197" i="2" s="1"/>
  <c r="A3197" i="1"/>
  <c r="V3196" i="1"/>
  <c r="B3196" i="2" s="1"/>
  <c r="A3196" i="1"/>
  <c r="V3195" i="1"/>
  <c r="B3195" i="2" s="1"/>
  <c r="A3195" i="1"/>
  <c r="V3194" i="1"/>
  <c r="B3194" i="2" s="1"/>
  <c r="A3194" i="1"/>
  <c r="V3193" i="1"/>
  <c r="B3193" i="2" s="1"/>
  <c r="A3193" i="1"/>
  <c r="V3192" i="1"/>
  <c r="B3192" i="2" s="1"/>
  <c r="A3192" i="1"/>
  <c r="V3191" i="1"/>
  <c r="B3191" i="2" s="1"/>
  <c r="A3191" i="1"/>
  <c r="V3190" i="1"/>
  <c r="B3190" i="2" s="1"/>
  <c r="A3190" i="1"/>
  <c r="V3189" i="1"/>
  <c r="B3189" i="2" s="1"/>
  <c r="A3189" i="1"/>
  <c r="V3188" i="1"/>
  <c r="B3188" i="2" s="1"/>
  <c r="A3188" i="1"/>
  <c r="V3187" i="1"/>
  <c r="B3187" i="2" s="1"/>
  <c r="A3187" i="1"/>
  <c r="V3186" i="1"/>
  <c r="B3186" i="2" s="1"/>
  <c r="A3186" i="1"/>
  <c r="V3185" i="1"/>
  <c r="B3185" i="2" s="1"/>
  <c r="A3185" i="1"/>
  <c r="V3184" i="1"/>
  <c r="B3184" i="2" s="1"/>
  <c r="A3184" i="1"/>
  <c r="V3183" i="1"/>
  <c r="B3183" i="2" s="1"/>
  <c r="A3183" i="1"/>
  <c r="V3182" i="1"/>
  <c r="B3182" i="2" s="1"/>
  <c r="A3182" i="1"/>
  <c r="V3181" i="1"/>
  <c r="B3181" i="2" s="1"/>
  <c r="A3181" i="1"/>
  <c r="V3180" i="1"/>
  <c r="B3180" i="2" s="1"/>
  <c r="A3180" i="1"/>
  <c r="V3179" i="1"/>
  <c r="B3179" i="2" s="1"/>
  <c r="A3179" i="1"/>
  <c r="V3178" i="1"/>
  <c r="B3178" i="2" s="1"/>
  <c r="A3178" i="1"/>
  <c r="V3177" i="1"/>
  <c r="B3177" i="2" s="1"/>
  <c r="A3177" i="1"/>
  <c r="V3176" i="1"/>
  <c r="B3176" i="2" s="1"/>
  <c r="A3176" i="1"/>
  <c r="V3175" i="1"/>
  <c r="B3175" i="2" s="1"/>
  <c r="A3175" i="1"/>
  <c r="V3174" i="1"/>
  <c r="B3174" i="2" s="1"/>
  <c r="A3174" i="1"/>
  <c r="V3173" i="1"/>
  <c r="B3173" i="2" s="1"/>
  <c r="A3173" i="1"/>
  <c r="V3172" i="1"/>
  <c r="B3172" i="2" s="1"/>
  <c r="A3172" i="1"/>
  <c r="V3171" i="1"/>
  <c r="B3171" i="2" s="1"/>
  <c r="A3171" i="1"/>
  <c r="V3170" i="1"/>
  <c r="B3170" i="2" s="1"/>
  <c r="A3170" i="1"/>
  <c r="V3169" i="1"/>
  <c r="B3169" i="2" s="1"/>
  <c r="A3169" i="1"/>
  <c r="V3168" i="1"/>
  <c r="B3168" i="2" s="1"/>
  <c r="A3168" i="1"/>
  <c r="V3167" i="1"/>
  <c r="B3167" i="2" s="1"/>
  <c r="A3167" i="1"/>
  <c r="V3166" i="1"/>
  <c r="B3166" i="2" s="1"/>
  <c r="A3166" i="1"/>
  <c r="V3165" i="1"/>
  <c r="B3165" i="2" s="1"/>
  <c r="A3165" i="1"/>
  <c r="V3164" i="1"/>
  <c r="B3164" i="2" s="1"/>
  <c r="A3164" i="1"/>
  <c r="V3163" i="1"/>
  <c r="B3163" i="2" s="1"/>
  <c r="A3163" i="1"/>
  <c r="V3162" i="1"/>
  <c r="B3162" i="2" s="1"/>
  <c r="A3162" i="1"/>
  <c r="V3161" i="1"/>
  <c r="B3161" i="2" s="1"/>
  <c r="A3161" i="1"/>
  <c r="V3160" i="1"/>
  <c r="B3160" i="2" s="1"/>
  <c r="A3160" i="1"/>
  <c r="V3159" i="1"/>
  <c r="B3159" i="2" s="1"/>
  <c r="A3159" i="1"/>
  <c r="V3158" i="1"/>
  <c r="B3158" i="2" s="1"/>
  <c r="A3158" i="1"/>
  <c r="V3157" i="1"/>
  <c r="B3157" i="2" s="1"/>
  <c r="A3157" i="1"/>
  <c r="V3156" i="1"/>
  <c r="B3156" i="2" s="1"/>
  <c r="A3156" i="1"/>
  <c r="V3155" i="1"/>
  <c r="B3155" i="2" s="1"/>
  <c r="A3155" i="1"/>
  <c r="V3154" i="1"/>
  <c r="B3154" i="2" s="1"/>
  <c r="A3154" i="1"/>
  <c r="V3153" i="1"/>
  <c r="B3153" i="2" s="1"/>
  <c r="A3153" i="1"/>
  <c r="V3152" i="1"/>
  <c r="B3152" i="2" s="1"/>
  <c r="A3152" i="1"/>
  <c r="V3151" i="1"/>
  <c r="B3151" i="2" s="1"/>
  <c r="A3151" i="1"/>
  <c r="V3150" i="1"/>
  <c r="B3150" i="2" s="1"/>
  <c r="A3150" i="1"/>
  <c r="V3149" i="1"/>
  <c r="B3149" i="2" s="1"/>
  <c r="A3149" i="1"/>
  <c r="V3148" i="1"/>
  <c r="B3148" i="2" s="1"/>
  <c r="A3148" i="1"/>
  <c r="V3147" i="1"/>
  <c r="B3147" i="2" s="1"/>
  <c r="A3147" i="1"/>
  <c r="V3146" i="1"/>
  <c r="B3146" i="2" s="1"/>
  <c r="A3146" i="1"/>
  <c r="V3145" i="1"/>
  <c r="B3145" i="2" s="1"/>
  <c r="A3145" i="1"/>
  <c r="V3144" i="1"/>
  <c r="B3144" i="2" s="1"/>
  <c r="A3144" i="1"/>
  <c r="V3143" i="1"/>
  <c r="B3143" i="2" s="1"/>
  <c r="A3143" i="1"/>
  <c r="V3142" i="1"/>
  <c r="B3142" i="2" s="1"/>
  <c r="A3142" i="1"/>
  <c r="V3141" i="1"/>
  <c r="B3141" i="2" s="1"/>
  <c r="A3141" i="1"/>
  <c r="V3140" i="1"/>
  <c r="B3140" i="2" s="1"/>
  <c r="A3140" i="1"/>
  <c r="V3139" i="1"/>
  <c r="B3139" i="2" s="1"/>
  <c r="A3139" i="1"/>
  <c r="V3138" i="1"/>
  <c r="B3138" i="2" s="1"/>
  <c r="A3138" i="1"/>
  <c r="V3137" i="1"/>
  <c r="B3137" i="2" s="1"/>
  <c r="A3137" i="1"/>
  <c r="V3136" i="1"/>
  <c r="B3136" i="2" s="1"/>
  <c r="A3136" i="1"/>
  <c r="V3135" i="1"/>
  <c r="B3135" i="2" s="1"/>
  <c r="A3135" i="1"/>
  <c r="V3134" i="1"/>
  <c r="B3134" i="2" s="1"/>
  <c r="A3134" i="1"/>
  <c r="V3133" i="1"/>
  <c r="B3133" i="2" s="1"/>
  <c r="A3133" i="1"/>
  <c r="V3132" i="1"/>
  <c r="B3132" i="2" s="1"/>
  <c r="A3132" i="1"/>
  <c r="V3131" i="1"/>
  <c r="B3131" i="2" s="1"/>
  <c r="A3131" i="1"/>
  <c r="V3130" i="1"/>
  <c r="B3130" i="2" s="1"/>
  <c r="A3130" i="1"/>
  <c r="V3129" i="1"/>
  <c r="B3129" i="2" s="1"/>
  <c r="A3129" i="1"/>
  <c r="V3128" i="1"/>
  <c r="B3128" i="2" s="1"/>
  <c r="A3128" i="1"/>
  <c r="V3127" i="1"/>
  <c r="B3127" i="2" s="1"/>
  <c r="A3127" i="1"/>
  <c r="V3126" i="1"/>
  <c r="B3126" i="2" s="1"/>
  <c r="A3126" i="1"/>
  <c r="V3125" i="1"/>
  <c r="B3125" i="2" s="1"/>
  <c r="A3125" i="1"/>
  <c r="V3124" i="1"/>
  <c r="B3124" i="2" s="1"/>
  <c r="A3124" i="1"/>
  <c r="V3123" i="1"/>
  <c r="B3123" i="2" s="1"/>
  <c r="A3123" i="1"/>
  <c r="V3122" i="1"/>
  <c r="B3122" i="2" s="1"/>
  <c r="A3122" i="1"/>
  <c r="V3121" i="1"/>
  <c r="B3121" i="2" s="1"/>
  <c r="A3121" i="1"/>
  <c r="V3120" i="1"/>
  <c r="B3120" i="2" s="1"/>
  <c r="A3120" i="1"/>
  <c r="V3119" i="1"/>
  <c r="B3119" i="2" s="1"/>
  <c r="A3119" i="1"/>
  <c r="V3118" i="1"/>
  <c r="B3118" i="2" s="1"/>
  <c r="A3118" i="1"/>
  <c r="V3117" i="1"/>
  <c r="B3117" i="2" s="1"/>
  <c r="A3117" i="1"/>
  <c r="V3116" i="1"/>
  <c r="B3116" i="2" s="1"/>
  <c r="A3116" i="1"/>
  <c r="V3115" i="1"/>
  <c r="B3115" i="2" s="1"/>
  <c r="A3115" i="1"/>
  <c r="V3114" i="1"/>
  <c r="B3114" i="2" s="1"/>
  <c r="A3114" i="1"/>
  <c r="V3113" i="1"/>
  <c r="B3113" i="2" s="1"/>
  <c r="A3113" i="1"/>
  <c r="V3112" i="1"/>
  <c r="B3112" i="2" s="1"/>
  <c r="A3112" i="1"/>
  <c r="V3111" i="1"/>
  <c r="B3111" i="2" s="1"/>
  <c r="A3111" i="1"/>
  <c r="V3110" i="1"/>
  <c r="B3110" i="2" s="1"/>
  <c r="A3110" i="1"/>
  <c r="V3109" i="1"/>
  <c r="B3109" i="2" s="1"/>
  <c r="A3109" i="1"/>
  <c r="V3108" i="1"/>
  <c r="B3108" i="2" s="1"/>
  <c r="A3108" i="1"/>
  <c r="V3107" i="1"/>
  <c r="B3107" i="2" s="1"/>
  <c r="A3107" i="1"/>
  <c r="V3106" i="1"/>
  <c r="B3106" i="2" s="1"/>
  <c r="A3106" i="1"/>
  <c r="V3105" i="1"/>
  <c r="B3105" i="2" s="1"/>
  <c r="A3105" i="1"/>
  <c r="V3104" i="1"/>
  <c r="B3104" i="2" s="1"/>
  <c r="A3104" i="1"/>
  <c r="V3103" i="1"/>
  <c r="B3103" i="2" s="1"/>
  <c r="A3103" i="1"/>
  <c r="V3102" i="1"/>
  <c r="B3102" i="2" s="1"/>
  <c r="A3102" i="1"/>
  <c r="V3101" i="1"/>
  <c r="B3101" i="2" s="1"/>
  <c r="A3101" i="1"/>
  <c r="V3100" i="1"/>
  <c r="B3100" i="2" s="1"/>
  <c r="A3100" i="1"/>
  <c r="V3099" i="1"/>
  <c r="B3099" i="2" s="1"/>
  <c r="A3099" i="1"/>
  <c r="V3098" i="1"/>
  <c r="B3098" i="2" s="1"/>
  <c r="A3098" i="1"/>
  <c r="V3097" i="1"/>
  <c r="B3097" i="2" s="1"/>
  <c r="A3097" i="1"/>
  <c r="V3096" i="1"/>
  <c r="B3096" i="2" s="1"/>
  <c r="A3096" i="1"/>
  <c r="V3095" i="1"/>
  <c r="B3095" i="2" s="1"/>
  <c r="A3095" i="1"/>
  <c r="V3094" i="1"/>
  <c r="B3094" i="2" s="1"/>
  <c r="A3094" i="1"/>
  <c r="V3093" i="1"/>
  <c r="B3093" i="2" s="1"/>
  <c r="A3093" i="1"/>
  <c r="V3092" i="1"/>
  <c r="B3092" i="2" s="1"/>
  <c r="A3092" i="1"/>
  <c r="V3091" i="1"/>
  <c r="B3091" i="2" s="1"/>
  <c r="A3091" i="1"/>
  <c r="V3090" i="1"/>
  <c r="B3090" i="2" s="1"/>
  <c r="A3090" i="1"/>
  <c r="V3089" i="1"/>
  <c r="B3089" i="2" s="1"/>
  <c r="A3089" i="1"/>
  <c r="V3088" i="1"/>
  <c r="B3088" i="2" s="1"/>
  <c r="A3088" i="1"/>
  <c r="V3087" i="1"/>
  <c r="B3087" i="2" s="1"/>
  <c r="A3087" i="1"/>
  <c r="V3086" i="1"/>
  <c r="B3086" i="2" s="1"/>
  <c r="A3086" i="1"/>
  <c r="V3085" i="1"/>
  <c r="B3085" i="2" s="1"/>
  <c r="A3085" i="1"/>
  <c r="V3084" i="1"/>
  <c r="B3084" i="2" s="1"/>
  <c r="A3084" i="1"/>
  <c r="V3083" i="1"/>
  <c r="B3083" i="2" s="1"/>
  <c r="A3083" i="1"/>
  <c r="V3082" i="1"/>
  <c r="B3082" i="2" s="1"/>
  <c r="A3082" i="1"/>
  <c r="V3081" i="1"/>
  <c r="B3081" i="2" s="1"/>
  <c r="A3081" i="1"/>
  <c r="V3080" i="1"/>
  <c r="B3080" i="2" s="1"/>
  <c r="A3080" i="1"/>
  <c r="V3079" i="1"/>
  <c r="B3079" i="2" s="1"/>
  <c r="A3079" i="1"/>
  <c r="V3078" i="1"/>
  <c r="B3078" i="2" s="1"/>
  <c r="A3078" i="1"/>
  <c r="V3077" i="1"/>
  <c r="B3077" i="2" s="1"/>
  <c r="A3077" i="1"/>
  <c r="V3076" i="1"/>
  <c r="B3076" i="2" s="1"/>
  <c r="A3076" i="1"/>
  <c r="V3075" i="1"/>
  <c r="B3075" i="2" s="1"/>
  <c r="A3075" i="1"/>
  <c r="V3074" i="1"/>
  <c r="B3074" i="2" s="1"/>
  <c r="A3074" i="1"/>
  <c r="V3073" i="1"/>
  <c r="B3073" i="2" s="1"/>
  <c r="A3073" i="1"/>
  <c r="V3072" i="1"/>
  <c r="B3072" i="2" s="1"/>
  <c r="A3072" i="1"/>
  <c r="V3071" i="1"/>
  <c r="B3071" i="2" s="1"/>
  <c r="A3071" i="1"/>
  <c r="V3070" i="1"/>
  <c r="B3070" i="2" s="1"/>
  <c r="A3070" i="1"/>
  <c r="V3069" i="1"/>
  <c r="B3069" i="2" s="1"/>
  <c r="A3069" i="1"/>
  <c r="V3068" i="1"/>
  <c r="B3068" i="2" s="1"/>
  <c r="A3068" i="1"/>
  <c r="V3067" i="1"/>
  <c r="B3067" i="2" s="1"/>
  <c r="A3067" i="1"/>
  <c r="V3066" i="1"/>
  <c r="B3066" i="2" s="1"/>
  <c r="A3066" i="1"/>
  <c r="V3065" i="1"/>
  <c r="B3065" i="2" s="1"/>
  <c r="A3065" i="1"/>
  <c r="V3064" i="1"/>
  <c r="B3064" i="2" s="1"/>
  <c r="A3064" i="1"/>
  <c r="V3063" i="1"/>
  <c r="B3063" i="2" s="1"/>
  <c r="A3063" i="1"/>
  <c r="V3062" i="1"/>
  <c r="B3062" i="2" s="1"/>
  <c r="A3062" i="1"/>
  <c r="V3061" i="1"/>
  <c r="B3061" i="2" s="1"/>
  <c r="A3061" i="1"/>
  <c r="V3060" i="1"/>
  <c r="B3060" i="2" s="1"/>
  <c r="A3060" i="1"/>
  <c r="V3059" i="1"/>
  <c r="B3059" i="2" s="1"/>
  <c r="A3059" i="1"/>
  <c r="V3058" i="1"/>
  <c r="B3058" i="2" s="1"/>
  <c r="A3058" i="1"/>
  <c r="V3057" i="1"/>
  <c r="B3057" i="2" s="1"/>
  <c r="A3057" i="1"/>
  <c r="V3056" i="1"/>
  <c r="B3056" i="2" s="1"/>
  <c r="A3056" i="1"/>
  <c r="V3055" i="1"/>
  <c r="B3055" i="2" s="1"/>
  <c r="A3055" i="1"/>
  <c r="V3054" i="1"/>
  <c r="B3054" i="2" s="1"/>
  <c r="A3054" i="1"/>
  <c r="V3053" i="1"/>
  <c r="B3053" i="2" s="1"/>
  <c r="A3053" i="1"/>
  <c r="V3052" i="1"/>
  <c r="B3052" i="2" s="1"/>
  <c r="A3052" i="1"/>
  <c r="V3051" i="1"/>
  <c r="B3051" i="2" s="1"/>
  <c r="A3051" i="1"/>
  <c r="V3050" i="1"/>
  <c r="B3050" i="2" s="1"/>
  <c r="A3050" i="1"/>
  <c r="V3049" i="1"/>
  <c r="B3049" i="2" s="1"/>
  <c r="A3049" i="1"/>
  <c r="V3048" i="1"/>
  <c r="B3048" i="2" s="1"/>
  <c r="A3048" i="1"/>
  <c r="V3047" i="1"/>
  <c r="B3047" i="2" s="1"/>
  <c r="A3047" i="1"/>
  <c r="V3046" i="1"/>
  <c r="B3046" i="2" s="1"/>
  <c r="A3046" i="1"/>
  <c r="V3045" i="1"/>
  <c r="B3045" i="2" s="1"/>
  <c r="A3045" i="1"/>
  <c r="V3044" i="1"/>
  <c r="B3044" i="2" s="1"/>
  <c r="A3044" i="1"/>
  <c r="V3043" i="1"/>
  <c r="B3043" i="2" s="1"/>
  <c r="A3043" i="1"/>
  <c r="V3042" i="1"/>
  <c r="B3042" i="2" s="1"/>
  <c r="A3042" i="1"/>
  <c r="V3041" i="1"/>
  <c r="B3041" i="2" s="1"/>
  <c r="A3041" i="1"/>
  <c r="V3040" i="1"/>
  <c r="B3040" i="2" s="1"/>
  <c r="A3040" i="1"/>
  <c r="V3039" i="1"/>
  <c r="B3039" i="2" s="1"/>
  <c r="A3039" i="1"/>
  <c r="V3038" i="1"/>
  <c r="B3038" i="2" s="1"/>
  <c r="A3038" i="1"/>
  <c r="V3037" i="1"/>
  <c r="B3037" i="2" s="1"/>
  <c r="A3037" i="1"/>
  <c r="V3036" i="1"/>
  <c r="B3036" i="2" s="1"/>
  <c r="A3036" i="1"/>
  <c r="V3035" i="1"/>
  <c r="B3035" i="2" s="1"/>
  <c r="A3035" i="1"/>
  <c r="V3034" i="1"/>
  <c r="B3034" i="2" s="1"/>
  <c r="A3034" i="1"/>
  <c r="V3033" i="1"/>
  <c r="B3033" i="2" s="1"/>
  <c r="A3033" i="1"/>
  <c r="V3032" i="1"/>
  <c r="B3032" i="2" s="1"/>
  <c r="A3032" i="1"/>
  <c r="V3031" i="1"/>
  <c r="B3031" i="2" s="1"/>
  <c r="A3031" i="1"/>
  <c r="V3030" i="1"/>
  <c r="B3030" i="2" s="1"/>
  <c r="A3030" i="1"/>
  <c r="V3029" i="1"/>
  <c r="B3029" i="2" s="1"/>
  <c r="A3029" i="1"/>
  <c r="V3028" i="1"/>
  <c r="B3028" i="2" s="1"/>
  <c r="A3028" i="1"/>
  <c r="V3027" i="1"/>
  <c r="B3027" i="2" s="1"/>
  <c r="A3027" i="1"/>
  <c r="V3026" i="1"/>
  <c r="B3026" i="2" s="1"/>
  <c r="A3026" i="1"/>
  <c r="V3025" i="1"/>
  <c r="B3025" i="2" s="1"/>
  <c r="A3025" i="1"/>
  <c r="V3024" i="1"/>
  <c r="B3024" i="2" s="1"/>
  <c r="A3024" i="1"/>
  <c r="V3023" i="1"/>
  <c r="B3023" i="2" s="1"/>
  <c r="A3023" i="1"/>
  <c r="V3022" i="1"/>
  <c r="B3022" i="2" s="1"/>
  <c r="A3022" i="1"/>
  <c r="V3021" i="1"/>
  <c r="B3021" i="2" s="1"/>
  <c r="A3021" i="1"/>
  <c r="V3020" i="1"/>
  <c r="B3020" i="2" s="1"/>
  <c r="A3020" i="1"/>
  <c r="V3019" i="1"/>
  <c r="B3019" i="2" s="1"/>
  <c r="A3019" i="1"/>
  <c r="V3018" i="1"/>
  <c r="B3018" i="2" s="1"/>
  <c r="A3018" i="1"/>
  <c r="V3017" i="1"/>
  <c r="B3017" i="2" s="1"/>
  <c r="A3017" i="1"/>
  <c r="V3016" i="1"/>
  <c r="B3016" i="2" s="1"/>
  <c r="A3016" i="1"/>
  <c r="V3015" i="1"/>
  <c r="B3015" i="2" s="1"/>
  <c r="A3015" i="1"/>
  <c r="V3014" i="1"/>
  <c r="B3014" i="2" s="1"/>
  <c r="A3014" i="1"/>
  <c r="V3013" i="1"/>
  <c r="B3013" i="2" s="1"/>
  <c r="A3013" i="1"/>
  <c r="V3012" i="1"/>
  <c r="B3012" i="2" s="1"/>
  <c r="A3012" i="1"/>
  <c r="V3011" i="1"/>
  <c r="B3011" i="2" s="1"/>
  <c r="A3011" i="1"/>
  <c r="V3010" i="1"/>
  <c r="B3010" i="2" s="1"/>
  <c r="A3010" i="1"/>
  <c r="V3009" i="1"/>
  <c r="B3009" i="2" s="1"/>
  <c r="A3009" i="1"/>
  <c r="V3008" i="1"/>
  <c r="B3008" i="2" s="1"/>
  <c r="A3008" i="1"/>
  <c r="V3007" i="1"/>
  <c r="B3007" i="2" s="1"/>
  <c r="A3007" i="1"/>
  <c r="V3006" i="1"/>
  <c r="B3006" i="2" s="1"/>
  <c r="A3006" i="1"/>
  <c r="V3005" i="1"/>
  <c r="B3005" i="2" s="1"/>
  <c r="A3005" i="1"/>
  <c r="V3004" i="1"/>
  <c r="B3004" i="2" s="1"/>
  <c r="A3004" i="1"/>
  <c r="V3003" i="1"/>
  <c r="B3003" i="2" s="1"/>
  <c r="A3003" i="1"/>
  <c r="V3002" i="1"/>
  <c r="B3002" i="2" s="1"/>
  <c r="A3002" i="1"/>
  <c r="V3001" i="1"/>
  <c r="B3001" i="2" s="1"/>
  <c r="A3001" i="1"/>
  <c r="V3000" i="1"/>
  <c r="B3000" i="2" s="1"/>
  <c r="A3000" i="1"/>
  <c r="V2999" i="1"/>
  <c r="B2999" i="2" s="1"/>
  <c r="A2999" i="1"/>
  <c r="V2998" i="1"/>
  <c r="B2998" i="2" s="1"/>
  <c r="A2998" i="1"/>
  <c r="V2997" i="1"/>
  <c r="B2997" i="2" s="1"/>
  <c r="A2997" i="1"/>
  <c r="V2996" i="1"/>
  <c r="B2996" i="2" s="1"/>
  <c r="A2996" i="1"/>
  <c r="V2995" i="1"/>
  <c r="B2995" i="2" s="1"/>
  <c r="A2995" i="1"/>
  <c r="V2994" i="1"/>
  <c r="B2994" i="2" s="1"/>
  <c r="A2994" i="1"/>
  <c r="V2993" i="1"/>
  <c r="B2993" i="2" s="1"/>
  <c r="A2993" i="1"/>
  <c r="V2992" i="1"/>
  <c r="B2992" i="2" s="1"/>
  <c r="A2992" i="1"/>
  <c r="V2991" i="1"/>
  <c r="B2991" i="2" s="1"/>
  <c r="A2991" i="1"/>
  <c r="V2990" i="1"/>
  <c r="B2990" i="2" s="1"/>
  <c r="A2990" i="1"/>
  <c r="V2989" i="1"/>
  <c r="B2989" i="2" s="1"/>
  <c r="A2989" i="1"/>
  <c r="V2988" i="1"/>
  <c r="B2988" i="2" s="1"/>
  <c r="A2988" i="1"/>
  <c r="V2987" i="1"/>
  <c r="B2987" i="2" s="1"/>
  <c r="A2987" i="1"/>
  <c r="V2986" i="1"/>
  <c r="B2986" i="2" s="1"/>
  <c r="A2986" i="1"/>
  <c r="V2985" i="1"/>
  <c r="B2985" i="2" s="1"/>
  <c r="A2985" i="1"/>
  <c r="V2984" i="1"/>
  <c r="B2984" i="2" s="1"/>
  <c r="A2984" i="1"/>
  <c r="V2983" i="1"/>
  <c r="B2983" i="2" s="1"/>
  <c r="A2983" i="1"/>
  <c r="V2982" i="1"/>
  <c r="B2982" i="2" s="1"/>
  <c r="A2982" i="1"/>
  <c r="V2981" i="1"/>
  <c r="B2981" i="2" s="1"/>
  <c r="A2981" i="1"/>
  <c r="V2980" i="1"/>
  <c r="B2980" i="2" s="1"/>
  <c r="A2980" i="1"/>
  <c r="V2979" i="1"/>
  <c r="B2979" i="2" s="1"/>
  <c r="A2979" i="1"/>
  <c r="V2978" i="1"/>
  <c r="B2978" i="2" s="1"/>
  <c r="A2978" i="1"/>
  <c r="V2977" i="1"/>
  <c r="B2977" i="2" s="1"/>
  <c r="A2977" i="1"/>
  <c r="V2976" i="1"/>
  <c r="B2976" i="2" s="1"/>
  <c r="A2976" i="1"/>
  <c r="V2975" i="1"/>
  <c r="B2975" i="2" s="1"/>
  <c r="A2975" i="1"/>
  <c r="V2974" i="1"/>
  <c r="B2974" i="2" s="1"/>
  <c r="A2974" i="1"/>
  <c r="V2973" i="1"/>
  <c r="B2973" i="2" s="1"/>
  <c r="A2973" i="1"/>
  <c r="V2972" i="1"/>
  <c r="B2972" i="2" s="1"/>
  <c r="A2972" i="1"/>
  <c r="V2971" i="1"/>
  <c r="B2971" i="2" s="1"/>
  <c r="A2971" i="1"/>
  <c r="V2970" i="1"/>
  <c r="B2970" i="2" s="1"/>
  <c r="A2970" i="1"/>
  <c r="V2969" i="1"/>
  <c r="B2969" i="2" s="1"/>
  <c r="A2969" i="1"/>
  <c r="V2968" i="1"/>
  <c r="B2968" i="2" s="1"/>
  <c r="A2968" i="1"/>
  <c r="V2967" i="1"/>
  <c r="B2967" i="2" s="1"/>
  <c r="A2967" i="1"/>
  <c r="V2966" i="1"/>
  <c r="B2966" i="2" s="1"/>
  <c r="A2966" i="1"/>
  <c r="V2965" i="1"/>
  <c r="B2965" i="2" s="1"/>
  <c r="A2965" i="1"/>
  <c r="V2964" i="1"/>
  <c r="B2964" i="2" s="1"/>
  <c r="A2964" i="1"/>
  <c r="V2963" i="1"/>
  <c r="B2963" i="2" s="1"/>
  <c r="A2963" i="1"/>
  <c r="V2962" i="1"/>
  <c r="B2962" i="2" s="1"/>
  <c r="A2962" i="1"/>
  <c r="V2961" i="1"/>
  <c r="B2961" i="2" s="1"/>
  <c r="A2961" i="1"/>
  <c r="V2960" i="1"/>
  <c r="B2960" i="2" s="1"/>
  <c r="A2960" i="1"/>
  <c r="V2959" i="1"/>
  <c r="B2959" i="2" s="1"/>
  <c r="A2959" i="1"/>
  <c r="V2958" i="1"/>
  <c r="B2958" i="2" s="1"/>
  <c r="A2958" i="1"/>
  <c r="V2957" i="1"/>
  <c r="B2957" i="2" s="1"/>
  <c r="A2957" i="1"/>
  <c r="V2956" i="1"/>
  <c r="B2956" i="2" s="1"/>
  <c r="A2956" i="1"/>
  <c r="V2955" i="1"/>
  <c r="B2955" i="2" s="1"/>
  <c r="A2955" i="1"/>
  <c r="V2954" i="1"/>
  <c r="B2954" i="2" s="1"/>
  <c r="A2954" i="1"/>
  <c r="V2953" i="1"/>
  <c r="B2953" i="2" s="1"/>
  <c r="A2953" i="1"/>
  <c r="V2952" i="1"/>
  <c r="B2952" i="2" s="1"/>
  <c r="A2952" i="1"/>
  <c r="V2951" i="1"/>
  <c r="B2951" i="2" s="1"/>
  <c r="A2951" i="1"/>
  <c r="V2950" i="1"/>
  <c r="B2950" i="2" s="1"/>
  <c r="A2950" i="1"/>
  <c r="V2949" i="1"/>
  <c r="B2949" i="2" s="1"/>
  <c r="A2949" i="1"/>
  <c r="V2948" i="1"/>
  <c r="B2948" i="2" s="1"/>
  <c r="A2948" i="1"/>
  <c r="V2947" i="1"/>
  <c r="B2947" i="2" s="1"/>
  <c r="A2947" i="1"/>
  <c r="V2946" i="1"/>
  <c r="B2946" i="2" s="1"/>
  <c r="A2946" i="1"/>
  <c r="V2945" i="1"/>
  <c r="B2945" i="2" s="1"/>
  <c r="A2945" i="1"/>
  <c r="V2944" i="1"/>
  <c r="B2944" i="2" s="1"/>
  <c r="A2944" i="1"/>
  <c r="V2943" i="1"/>
  <c r="B2943" i="2" s="1"/>
  <c r="A2943" i="1"/>
  <c r="V2942" i="1"/>
  <c r="B2942" i="2" s="1"/>
  <c r="A2942" i="1"/>
  <c r="V2941" i="1"/>
  <c r="B2941" i="2" s="1"/>
  <c r="A2941" i="1"/>
  <c r="V2940" i="1"/>
  <c r="B2940" i="2" s="1"/>
  <c r="A2940" i="1"/>
  <c r="V2939" i="1"/>
  <c r="B2939" i="2" s="1"/>
  <c r="A2939" i="1"/>
  <c r="V2938" i="1"/>
  <c r="B2938" i="2" s="1"/>
  <c r="A2938" i="1"/>
  <c r="V2937" i="1"/>
  <c r="B2937" i="2" s="1"/>
  <c r="A2937" i="1"/>
  <c r="V2936" i="1"/>
  <c r="B2936" i="2" s="1"/>
  <c r="A2936" i="1"/>
  <c r="V2935" i="1"/>
  <c r="B2935" i="2" s="1"/>
  <c r="A2935" i="1"/>
  <c r="V2934" i="1"/>
  <c r="B2934" i="2" s="1"/>
  <c r="A2934" i="1"/>
  <c r="V2933" i="1"/>
  <c r="B2933" i="2" s="1"/>
  <c r="A2933" i="1"/>
  <c r="V2932" i="1"/>
  <c r="B2932" i="2" s="1"/>
  <c r="A2932" i="1"/>
  <c r="V2931" i="1"/>
  <c r="B2931" i="2" s="1"/>
  <c r="A2931" i="1"/>
  <c r="V2930" i="1"/>
  <c r="B2930" i="2" s="1"/>
  <c r="A2930" i="1"/>
  <c r="V2929" i="1"/>
  <c r="B2929" i="2" s="1"/>
  <c r="A2929" i="1"/>
  <c r="V2928" i="1"/>
  <c r="B2928" i="2" s="1"/>
  <c r="A2928" i="1"/>
  <c r="V2927" i="1"/>
  <c r="B2927" i="2" s="1"/>
  <c r="A2927" i="1"/>
  <c r="V2926" i="1"/>
  <c r="B2926" i="2" s="1"/>
  <c r="A2926" i="1"/>
  <c r="V2925" i="1"/>
  <c r="B2925" i="2" s="1"/>
  <c r="A2925" i="1"/>
  <c r="V2924" i="1"/>
  <c r="B2924" i="2" s="1"/>
  <c r="A2924" i="1"/>
  <c r="V2923" i="1"/>
  <c r="B2923" i="2" s="1"/>
  <c r="A2923" i="1"/>
  <c r="V2922" i="1"/>
  <c r="B2922" i="2" s="1"/>
  <c r="A2922" i="1"/>
  <c r="V2921" i="1"/>
  <c r="B2921" i="2" s="1"/>
  <c r="A2921" i="1"/>
  <c r="V2920" i="1"/>
  <c r="B2920" i="2" s="1"/>
  <c r="A2920" i="1"/>
  <c r="V2919" i="1"/>
  <c r="B2919" i="2" s="1"/>
  <c r="A2919" i="1"/>
  <c r="V2918" i="1"/>
  <c r="B2918" i="2" s="1"/>
  <c r="A2918" i="1"/>
  <c r="V2917" i="1"/>
  <c r="B2917" i="2" s="1"/>
  <c r="A2917" i="1"/>
  <c r="V2916" i="1"/>
  <c r="B2916" i="2" s="1"/>
  <c r="A2916" i="1"/>
  <c r="V2915" i="1"/>
  <c r="B2915" i="2" s="1"/>
  <c r="A2915" i="1"/>
  <c r="V2914" i="1"/>
  <c r="B2914" i="2" s="1"/>
  <c r="A2914" i="1"/>
  <c r="V2913" i="1"/>
  <c r="B2913" i="2" s="1"/>
  <c r="A2913" i="1"/>
  <c r="V2912" i="1"/>
  <c r="B2912" i="2" s="1"/>
  <c r="A2912" i="1"/>
  <c r="V2911" i="1"/>
  <c r="B2911" i="2" s="1"/>
  <c r="A2911" i="1"/>
  <c r="V2910" i="1"/>
  <c r="B2910" i="2" s="1"/>
  <c r="A2910" i="1"/>
  <c r="V2909" i="1"/>
  <c r="B2909" i="2" s="1"/>
  <c r="A2909" i="1"/>
  <c r="V2908" i="1"/>
  <c r="B2908" i="2" s="1"/>
  <c r="A2908" i="1"/>
  <c r="V2907" i="1"/>
  <c r="B2907" i="2" s="1"/>
  <c r="A2907" i="1"/>
  <c r="V2906" i="1"/>
  <c r="B2906" i="2" s="1"/>
  <c r="A2906" i="1"/>
  <c r="V2905" i="1"/>
  <c r="B2905" i="2" s="1"/>
  <c r="A2905" i="1"/>
  <c r="V2904" i="1"/>
  <c r="B2904" i="2" s="1"/>
  <c r="A2904" i="1"/>
  <c r="V2903" i="1"/>
  <c r="B2903" i="2" s="1"/>
  <c r="A2903" i="1"/>
  <c r="V2902" i="1"/>
  <c r="B2902" i="2" s="1"/>
  <c r="A2902" i="1"/>
  <c r="V2901" i="1"/>
  <c r="B2901" i="2" s="1"/>
  <c r="A2901" i="1"/>
  <c r="V2900" i="1"/>
  <c r="B2900" i="2" s="1"/>
  <c r="A2900" i="1"/>
  <c r="V2899" i="1"/>
  <c r="B2899" i="2" s="1"/>
  <c r="A2899" i="1"/>
  <c r="V2898" i="1"/>
  <c r="B2898" i="2" s="1"/>
  <c r="A2898" i="1"/>
  <c r="V2897" i="1"/>
  <c r="B2897" i="2" s="1"/>
  <c r="A2897" i="1"/>
  <c r="V2896" i="1"/>
  <c r="B2896" i="2" s="1"/>
  <c r="A2896" i="1"/>
  <c r="V2895" i="1"/>
  <c r="B2895" i="2" s="1"/>
  <c r="A2895" i="1"/>
  <c r="V2894" i="1"/>
  <c r="B2894" i="2" s="1"/>
  <c r="A2894" i="1"/>
  <c r="V2893" i="1"/>
  <c r="B2893" i="2" s="1"/>
  <c r="A2893" i="1"/>
  <c r="V2892" i="1"/>
  <c r="B2892" i="2" s="1"/>
  <c r="A2892" i="1"/>
  <c r="V2891" i="1"/>
  <c r="B2891" i="2" s="1"/>
  <c r="A2891" i="1"/>
  <c r="V2890" i="1"/>
  <c r="B2890" i="2" s="1"/>
  <c r="A2890" i="1"/>
  <c r="V2889" i="1"/>
  <c r="B2889" i="2" s="1"/>
  <c r="A2889" i="1"/>
  <c r="V2888" i="1"/>
  <c r="B2888" i="2" s="1"/>
  <c r="A2888" i="1"/>
  <c r="V2887" i="1"/>
  <c r="B2887" i="2" s="1"/>
  <c r="A2887" i="1"/>
  <c r="V2886" i="1"/>
  <c r="B2886" i="2" s="1"/>
  <c r="A2886" i="1"/>
  <c r="V2885" i="1"/>
  <c r="B2885" i="2" s="1"/>
  <c r="A2885" i="1"/>
  <c r="V2884" i="1"/>
  <c r="B2884" i="2" s="1"/>
  <c r="A2884" i="1"/>
  <c r="V2883" i="1"/>
  <c r="B2883" i="2" s="1"/>
  <c r="A2883" i="1"/>
  <c r="V2882" i="1"/>
  <c r="B2882" i="2" s="1"/>
  <c r="A2882" i="1"/>
  <c r="V2881" i="1"/>
  <c r="B2881" i="2" s="1"/>
  <c r="A2881" i="1"/>
  <c r="V2880" i="1"/>
  <c r="B2880" i="2" s="1"/>
  <c r="A2880" i="1"/>
  <c r="V2879" i="1"/>
  <c r="B2879" i="2" s="1"/>
  <c r="A2879" i="1"/>
  <c r="V2878" i="1"/>
  <c r="B2878" i="2" s="1"/>
  <c r="A2878" i="1"/>
  <c r="V2877" i="1"/>
  <c r="B2877" i="2" s="1"/>
  <c r="A2877" i="1"/>
  <c r="V2876" i="1"/>
  <c r="B2876" i="2" s="1"/>
  <c r="A2876" i="1"/>
  <c r="V2875" i="1"/>
  <c r="B2875" i="2" s="1"/>
  <c r="A2875" i="1"/>
  <c r="V2874" i="1"/>
  <c r="B2874" i="2" s="1"/>
  <c r="A2874" i="1"/>
  <c r="V2873" i="1"/>
  <c r="B2873" i="2" s="1"/>
  <c r="A2873" i="1"/>
  <c r="V2872" i="1"/>
  <c r="B2872" i="2" s="1"/>
  <c r="A2872" i="1"/>
  <c r="V2871" i="1"/>
  <c r="B2871" i="2" s="1"/>
  <c r="A2871" i="1"/>
  <c r="V2870" i="1"/>
  <c r="B2870" i="2" s="1"/>
  <c r="A2870" i="1"/>
  <c r="V2869" i="1"/>
  <c r="B2869" i="2" s="1"/>
  <c r="A2869" i="1"/>
  <c r="V2868" i="1"/>
  <c r="B2868" i="2" s="1"/>
  <c r="A2868" i="1"/>
  <c r="V2867" i="1"/>
  <c r="B2867" i="2" s="1"/>
  <c r="A2867" i="1"/>
  <c r="V2866" i="1"/>
  <c r="B2866" i="2" s="1"/>
  <c r="A2866" i="1"/>
  <c r="V2865" i="1"/>
  <c r="B2865" i="2" s="1"/>
  <c r="A2865" i="1"/>
  <c r="V2864" i="1"/>
  <c r="B2864" i="2" s="1"/>
  <c r="A2864" i="1"/>
  <c r="V2863" i="1"/>
  <c r="B2863" i="2" s="1"/>
  <c r="A2863" i="1"/>
  <c r="V2862" i="1"/>
  <c r="B2862" i="2" s="1"/>
  <c r="A2862" i="1"/>
  <c r="V2861" i="1"/>
  <c r="B2861" i="2" s="1"/>
  <c r="A2861" i="1"/>
  <c r="V2860" i="1"/>
  <c r="B2860" i="2" s="1"/>
  <c r="A2860" i="1"/>
  <c r="V2859" i="1"/>
  <c r="B2859" i="2" s="1"/>
  <c r="A2859" i="1"/>
  <c r="V2858" i="1"/>
  <c r="B2858" i="2" s="1"/>
  <c r="A2858" i="1"/>
  <c r="V2857" i="1"/>
  <c r="B2857" i="2" s="1"/>
  <c r="A2857" i="1"/>
  <c r="V2856" i="1"/>
  <c r="B2856" i="2" s="1"/>
  <c r="A2856" i="1"/>
  <c r="V2855" i="1"/>
  <c r="B2855" i="2" s="1"/>
  <c r="A2855" i="1"/>
  <c r="V2854" i="1"/>
  <c r="B2854" i="2" s="1"/>
  <c r="A2854" i="1"/>
  <c r="V2853" i="1"/>
  <c r="B2853" i="2" s="1"/>
  <c r="A2853" i="1"/>
  <c r="V2852" i="1"/>
  <c r="B2852" i="2" s="1"/>
  <c r="A2852" i="1"/>
  <c r="V2851" i="1"/>
  <c r="B2851" i="2" s="1"/>
  <c r="A2851" i="1"/>
  <c r="V2850" i="1"/>
  <c r="B2850" i="2" s="1"/>
  <c r="A2850" i="1"/>
  <c r="V2849" i="1"/>
  <c r="B2849" i="2" s="1"/>
  <c r="A2849" i="1"/>
  <c r="V2848" i="1"/>
  <c r="B2848" i="2" s="1"/>
  <c r="A2848" i="1"/>
  <c r="V2847" i="1"/>
  <c r="B2847" i="2" s="1"/>
  <c r="A2847" i="1"/>
  <c r="V2846" i="1"/>
  <c r="B2846" i="2" s="1"/>
  <c r="A2846" i="1"/>
  <c r="V2845" i="1"/>
  <c r="B2845" i="2" s="1"/>
  <c r="A2845" i="1"/>
  <c r="V2844" i="1"/>
  <c r="B2844" i="2" s="1"/>
  <c r="A2844" i="1"/>
  <c r="V2843" i="1"/>
  <c r="B2843" i="2" s="1"/>
  <c r="A2843" i="1"/>
  <c r="V2842" i="1"/>
  <c r="B2842" i="2" s="1"/>
  <c r="A2842" i="1"/>
  <c r="V2841" i="1"/>
  <c r="B2841" i="2" s="1"/>
  <c r="A2841" i="1"/>
  <c r="V2840" i="1"/>
  <c r="B2840" i="2" s="1"/>
  <c r="A2840" i="1"/>
  <c r="V2839" i="1"/>
  <c r="B2839" i="2" s="1"/>
  <c r="A2839" i="1"/>
  <c r="V2838" i="1"/>
  <c r="B2838" i="2" s="1"/>
  <c r="A2838" i="1"/>
  <c r="V2837" i="1"/>
  <c r="B2837" i="2" s="1"/>
  <c r="A2837" i="1"/>
  <c r="V2836" i="1"/>
  <c r="B2836" i="2" s="1"/>
  <c r="A2836" i="1"/>
  <c r="V2835" i="1"/>
  <c r="B2835" i="2" s="1"/>
  <c r="A2835" i="1"/>
  <c r="V2834" i="1"/>
  <c r="B2834" i="2" s="1"/>
  <c r="A2834" i="1"/>
  <c r="V2833" i="1"/>
  <c r="B2833" i="2" s="1"/>
  <c r="A2833" i="1"/>
  <c r="V2832" i="1"/>
  <c r="B2832" i="2" s="1"/>
  <c r="A2832" i="1"/>
  <c r="V2831" i="1"/>
  <c r="B2831" i="2" s="1"/>
  <c r="A2831" i="1"/>
  <c r="V2830" i="1"/>
  <c r="B2830" i="2" s="1"/>
  <c r="A2830" i="1"/>
  <c r="V2829" i="1"/>
  <c r="B2829" i="2" s="1"/>
  <c r="A2829" i="1"/>
  <c r="V2828" i="1"/>
  <c r="B2828" i="2" s="1"/>
  <c r="A2828" i="1"/>
  <c r="V2827" i="1"/>
  <c r="B2827" i="2" s="1"/>
  <c r="A2827" i="1"/>
  <c r="V2826" i="1"/>
  <c r="B2826" i="2" s="1"/>
  <c r="A2826" i="1"/>
  <c r="V2825" i="1"/>
  <c r="B2825" i="2" s="1"/>
  <c r="A2825" i="1"/>
  <c r="V2824" i="1"/>
  <c r="B2824" i="2" s="1"/>
  <c r="A2824" i="1"/>
  <c r="V2823" i="1"/>
  <c r="B2823" i="2" s="1"/>
  <c r="A2823" i="1"/>
  <c r="V2822" i="1"/>
  <c r="B2822" i="2" s="1"/>
  <c r="A2822" i="1"/>
  <c r="V2821" i="1"/>
  <c r="B2821" i="2" s="1"/>
  <c r="A2821" i="1"/>
  <c r="V2820" i="1"/>
  <c r="B2820" i="2" s="1"/>
  <c r="A2820" i="1"/>
  <c r="V2819" i="1"/>
  <c r="B2819" i="2" s="1"/>
  <c r="A2819" i="1"/>
  <c r="V2818" i="1"/>
  <c r="B2818" i="2" s="1"/>
  <c r="A2818" i="1"/>
  <c r="V2817" i="1"/>
  <c r="B2817" i="2" s="1"/>
  <c r="A2817" i="1"/>
  <c r="V2816" i="1"/>
  <c r="B2816" i="2" s="1"/>
  <c r="A2816" i="1"/>
  <c r="V2815" i="1"/>
  <c r="B2815" i="2" s="1"/>
  <c r="A2815" i="1"/>
  <c r="V2814" i="1"/>
  <c r="B2814" i="2" s="1"/>
  <c r="A2814" i="1"/>
  <c r="V2813" i="1"/>
  <c r="B2813" i="2" s="1"/>
  <c r="A2813" i="1"/>
  <c r="V2812" i="1"/>
  <c r="B2812" i="2" s="1"/>
  <c r="A2812" i="1"/>
  <c r="V2811" i="1"/>
  <c r="B2811" i="2" s="1"/>
  <c r="A2811" i="1"/>
  <c r="V2810" i="1"/>
  <c r="B2810" i="2" s="1"/>
  <c r="A2810" i="1"/>
  <c r="V2809" i="1"/>
  <c r="B2809" i="2" s="1"/>
  <c r="A2809" i="1"/>
  <c r="V2808" i="1"/>
  <c r="B2808" i="2" s="1"/>
  <c r="A2808" i="1"/>
  <c r="V2807" i="1"/>
  <c r="B2807" i="2" s="1"/>
  <c r="A2807" i="1"/>
  <c r="V2806" i="1"/>
  <c r="B2806" i="2" s="1"/>
  <c r="A2806" i="1"/>
  <c r="V2805" i="1"/>
  <c r="B2805" i="2" s="1"/>
  <c r="A2805" i="1"/>
  <c r="V2804" i="1"/>
  <c r="B2804" i="2" s="1"/>
  <c r="A2804" i="1"/>
  <c r="V2803" i="1"/>
  <c r="B2803" i="2" s="1"/>
  <c r="A2803" i="1"/>
  <c r="V2802" i="1"/>
  <c r="B2802" i="2" s="1"/>
  <c r="A2802" i="1"/>
  <c r="V2801" i="1"/>
  <c r="B2801" i="2" s="1"/>
  <c r="A2801" i="1"/>
  <c r="V2800" i="1"/>
  <c r="B2800" i="2" s="1"/>
  <c r="A2800" i="1"/>
  <c r="V2799" i="1"/>
  <c r="B2799" i="2" s="1"/>
  <c r="A2799" i="1"/>
  <c r="V2798" i="1"/>
  <c r="B2798" i="2" s="1"/>
  <c r="A2798" i="1"/>
  <c r="V2797" i="1"/>
  <c r="B2797" i="2" s="1"/>
  <c r="A2797" i="1"/>
  <c r="V2796" i="1"/>
  <c r="B2796" i="2" s="1"/>
  <c r="A2796" i="1"/>
  <c r="V2795" i="1"/>
  <c r="B2795" i="2" s="1"/>
  <c r="A2795" i="1"/>
  <c r="V2794" i="1"/>
  <c r="B2794" i="2" s="1"/>
  <c r="A2794" i="1"/>
  <c r="V2793" i="1"/>
  <c r="B2793" i="2" s="1"/>
  <c r="A2793" i="1"/>
  <c r="V2792" i="1"/>
  <c r="B2792" i="2" s="1"/>
  <c r="A2792" i="1"/>
  <c r="V2791" i="1"/>
  <c r="B2791" i="2" s="1"/>
  <c r="A2791" i="1"/>
  <c r="V2790" i="1"/>
  <c r="B2790" i="2" s="1"/>
  <c r="A2790" i="1"/>
  <c r="V2789" i="1"/>
  <c r="B2789" i="2" s="1"/>
  <c r="A2789" i="1"/>
  <c r="V2788" i="1"/>
  <c r="B2788" i="2" s="1"/>
  <c r="A2788" i="1"/>
  <c r="V2787" i="1"/>
  <c r="B2787" i="2" s="1"/>
  <c r="A2787" i="1"/>
  <c r="V2786" i="1"/>
  <c r="B2786" i="2" s="1"/>
  <c r="A2786" i="1"/>
  <c r="V2785" i="1"/>
  <c r="B2785" i="2" s="1"/>
  <c r="A2785" i="1"/>
  <c r="V2784" i="1"/>
  <c r="B2784" i="2" s="1"/>
  <c r="A2784" i="1"/>
  <c r="V2783" i="1"/>
  <c r="B2783" i="2" s="1"/>
  <c r="A2783" i="1"/>
  <c r="V2782" i="1"/>
  <c r="B2782" i="2" s="1"/>
  <c r="A2782" i="1"/>
  <c r="V2781" i="1"/>
  <c r="B2781" i="2" s="1"/>
  <c r="A2781" i="1"/>
  <c r="V2780" i="1"/>
  <c r="B2780" i="2" s="1"/>
  <c r="A2780" i="1"/>
  <c r="V2779" i="1"/>
  <c r="B2779" i="2" s="1"/>
  <c r="A2779" i="1"/>
  <c r="V2778" i="1"/>
  <c r="B2778" i="2" s="1"/>
  <c r="A2778" i="1"/>
  <c r="V2777" i="1"/>
  <c r="B2777" i="2" s="1"/>
  <c r="A2777" i="1"/>
  <c r="V2776" i="1"/>
  <c r="B2776" i="2" s="1"/>
  <c r="A2776" i="1"/>
  <c r="V2775" i="1"/>
  <c r="B2775" i="2" s="1"/>
  <c r="A2775" i="1"/>
  <c r="V2774" i="1"/>
  <c r="B2774" i="2" s="1"/>
  <c r="A2774" i="1"/>
  <c r="V2773" i="1"/>
  <c r="B2773" i="2" s="1"/>
  <c r="A2773" i="1"/>
  <c r="V2772" i="1"/>
  <c r="B2772" i="2" s="1"/>
  <c r="A2772" i="1"/>
  <c r="V2771" i="1"/>
  <c r="B2771" i="2" s="1"/>
  <c r="A2771" i="1"/>
  <c r="V2770" i="1"/>
  <c r="B2770" i="2" s="1"/>
  <c r="A2770" i="1"/>
  <c r="V2769" i="1"/>
  <c r="B2769" i="2" s="1"/>
  <c r="A2769" i="1"/>
  <c r="V2768" i="1"/>
  <c r="B2768" i="2" s="1"/>
  <c r="A2768" i="1"/>
  <c r="V2767" i="1"/>
  <c r="B2767" i="2" s="1"/>
  <c r="A2767" i="1"/>
  <c r="V2766" i="1"/>
  <c r="B2766" i="2" s="1"/>
  <c r="A2766" i="1"/>
  <c r="V2765" i="1"/>
  <c r="B2765" i="2" s="1"/>
  <c r="A2765" i="1"/>
  <c r="V2764" i="1"/>
  <c r="B2764" i="2" s="1"/>
  <c r="A2764" i="1"/>
  <c r="V2763" i="1"/>
  <c r="B2763" i="2" s="1"/>
  <c r="A2763" i="1"/>
  <c r="V2762" i="1"/>
  <c r="B2762" i="2" s="1"/>
  <c r="A2762" i="1"/>
  <c r="V2761" i="1"/>
  <c r="B2761" i="2" s="1"/>
  <c r="A2761" i="1"/>
  <c r="V2760" i="1"/>
  <c r="B2760" i="2" s="1"/>
  <c r="A2760" i="1"/>
  <c r="V2759" i="1"/>
  <c r="B2759" i="2" s="1"/>
  <c r="A2759" i="1"/>
  <c r="V2758" i="1"/>
  <c r="B2758" i="2" s="1"/>
  <c r="A2758" i="1"/>
  <c r="V2757" i="1"/>
  <c r="B2757" i="2" s="1"/>
  <c r="A2757" i="1"/>
  <c r="V2756" i="1"/>
  <c r="B2756" i="2" s="1"/>
  <c r="A2756" i="1"/>
  <c r="V2755" i="1"/>
  <c r="B2755" i="2" s="1"/>
  <c r="A2755" i="1"/>
  <c r="V2754" i="1"/>
  <c r="B2754" i="2" s="1"/>
  <c r="A2754" i="1"/>
  <c r="V2753" i="1"/>
  <c r="B2753" i="2" s="1"/>
  <c r="A2753" i="1"/>
  <c r="V2752" i="1"/>
  <c r="B2752" i="2" s="1"/>
  <c r="A2752" i="1"/>
  <c r="V2751" i="1"/>
  <c r="B2751" i="2" s="1"/>
  <c r="A2751" i="1"/>
  <c r="V2750" i="1"/>
  <c r="B2750" i="2" s="1"/>
  <c r="A2750" i="1"/>
  <c r="V2749" i="1"/>
  <c r="B2749" i="2" s="1"/>
  <c r="A2749" i="1"/>
  <c r="V2748" i="1"/>
  <c r="B2748" i="2" s="1"/>
  <c r="A2748" i="1"/>
  <c r="V2747" i="1"/>
  <c r="B2747" i="2" s="1"/>
  <c r="A2747" i="1"/>
  <c r="V2746" i="1"/>
  <c r="B2746" i="2" s="1"/>
  <c r="A2746" i="1"/>
  <c r="V2745" i="1"/>
  <c r="B2745" i="2" s="1"/>
  <c r="A2745" i="1"/>
  <c r="V2744" i="1"/>
  <c r="B2744" i="2" s="1"/>
  <c r="A2744" i="1"/>
  <c r="V2743" i="1"/>
  <c r="B2743" i="2" s="1"/>
  <c r="A2743" i="1"/>
  <c r="V2742" i="1"/>
  <c r="B2742" i="2" s="1"/>
  <c r="A2742" i="1"/>
  <c r="V2741" i="1"/>
  <c r="B2741" i="2" s="1"/>
  <c r="A2741" i="1"/>
  <c r="V2740" i="1"/>
  <c r="B2740" i="2" s="1"/>
  <c r="A2740" i="1"/>
  <c r="V2739" i="1"/>
  <c r="B2739" i="2" s="1"/>
  <c r="A2739" i="1"/>
  <c r="V2738" i="1"/>
  <c r="B2738" i="2" s="1"/>
  <c r="A2738" i="1"/>
  <c r="V2737" i="1"/>
  <c r="B2737" i="2" s="1"/>
  <c r="A2737" i="1"/>
  <c r="V2736" i="1"/>
  <c r="B2736" i="2" s="1"/>
  <c r="A2736" i="1"/>
  <c r="V2735" i="1"/>
  <c r="B2735" i="2" s="1"/>
  <c r="A2735" i="1"/>
  <c r="V2734" i="1"/>
  <c r="B2734" i="2" s="1"/>
  <c r="A2734" i="1"/>
  <c r="V2733" i="1"/>
  <c r="B2733" i="2" s="1"/>
  <c r="A2733" i="1"/>
  <c r="V2732" i="1"/>
  <c r="B2732" i="2" s="1"/>
  <c r="A2732" i="1"/>
  <c r="V2731" i="1"/>
  <c r="B2731" i="2" s="1"/>
  <c r="A2731" i="1"/>
  <c r="V2730" i="1"/>
  <c r="B2730" i="2" s="1"/>
  <c r="A2730" i="1"/>
  <c r="V2729" i="1"/>
  <c r="B2729" i="2" s="1"/>
  <c r="A2729" i="1"/>
  <c r="V2728" i="1"/>
  <c r="B2728" i="2" s="1"/>
  <c r="A2728" i="1"/>
  <c r="V2727" i="1"/>
  <c r="B2727" i="2" s="1"/>
  <c r="A2727" i="1"/>
  <c r="V2726" i="1"/>
  <c r="B2726" i="2" s="1"/>
  <c r="A2726" i="1"/>
  <c r="V2725" i="1"/>
  <c r="B2725" i="2" s="1"/>
  <c r="A2725" i="1"/>
  <c r="V2724" i="1"/>
  <c r="B2724" i="2" s="1"/>
  <c r="A2724" i="1"/>
  <c r="V2723" i="1"/>
  <c r="B2723" i="2" s="1"/>
  <c r="A2723" i="1"/>
  <c r="V2722" i="1"/>
  <c r="B2722" i="2" s="1"/>
  <c r="A2722" i="1"/>
  <c r="V2721" i="1"/>
  <c r="B2721" i="2" s="1"/>
  <c r="A2721" i="1"/>
  <c r="V2720" i="1"/>
  <c r="B2720" i="2" s="1"/>
  <c r="A2720" i="1"/>
  <c r="V2719" i="1"/>
  <c r="B2719" i="2" s="1"/>
  <c r="A2719" i="1"/>
  <c r="V2718" i="1"/>
  <c r="B2718" i="2" s="1"/>
  <c r="A2718" i="1"/>
  <c r="V2717" i="1"/>
  <c r="B2717" i="2" s="1"/>
  <c r="A2717" i="1"/>
  <c r="V2716" i="1"/>
  <c r="B2716" i="2" s="1"/>
  <c r="A2716" i="1"/>
  <c r="V2715" i="1"/>
  <c r="B2715" i="2" s="1"/>
  <c r="A2715" i="1"/>
  <c r="V2714" i="1"/>
  <c r="B2714" i="2" s="1"/>
  <c r="A2714" i="1"/>
  <c r="V2713" i="1"/>
  <c r="B2713" i="2" s="1"/>
  <c r="A2713" i="1"/>
  <c r="V2712" i="1"/>
  <c r="B2712" i="2" s="1"/>
  <c r="A2712" i="1"/>
  <c r="V2711" i="1"/>
  <c r="B2711" i="2" s="1"/>
  <c r="A2711" i="1"/>
  <c r="V2710" i="1"/>
  <c r="B2710" i="2" s="1"/>
  <c r="A2710" i="1"/>
  <c r="V2709" i="1"/>
  <c r="B2709" i="2" s="1"/>
  <c r="A2709" i="1"/>
  <c r="V2708" i="1"/>
  <c r="B2708" i="2" s="1"/>
  <c r="A2708" i="1"/>
  <c r="V2707" i="1"/>
  <c r="B2707" i="2" s="1"/>
  <c r="A2707" i="1"/>
  <c r="V2706" i="1"/>
  <c r="B2706" i="2" s="1"/>
  <c r="A2706" i="1"/>
  <c r="V2705" i="1"/>
  <c r="B2705" i="2" s="1"/>
  <c r="A2705" i="1"/>
  <c r="V2704" i="1"/>
  <c r="B2704" i="2" s="1"/>
  <c r="A2704" i="1"/>
  <c r="V2703" i="1"/>
  <c r="B2703" i="2" s="1"/>
  <c r="A2703" i="1"/>
  <c r="V2702" i="1"/>
  <c r="B2702" i="2" s="1"/>
  <c r="A2702" i="1"/>
  <c r="V2701" i="1"/>
  <c r="B2701" i="2" s="1"/>
  <c r="A2701" i="1"/>
  <c r="V2700" i="1"/>
  <c r="B2700" i="2" s="1"/>
  <c r="A2700" i="1"/>
  <c r="V2699" i="1"/>
  <c r="B2699" i="2" s="1"/>
  <c r="A2699" i="1"/>
  <c r="V2698" i="1"/>
  <c r="B2698" i="2" s="1"/>
  <c r="A2698" i="1"/>
  <c r="V2697" i="1"/>
  <c r="B2697" i="2" s="1"/>
  <c r="A2697" i="1"/>
  <c r="V2696" i="1"/>
  <c r="B2696" i="2" s="1"/>
  <c r="A2696" i="1"/>
  <c r="V2695" i="1"/>
  <c r="B2695" i="2" s="1"/>
  <c r="A2695" i="1"/>
  <c r="V2694" i="1"/>
  <c r="B2694" i="2" s="1"/>
  <c r="A2694" i="1"/>
  <c r="V2693" i="1"/>
  <c r="B2693" i="2" s="1"/>
  <c r="A2693" i="1"/>
  <c r="V2692" i="1"/>
  <c r="B2692" i="2" s="1"/>
  <c r="A2692" i="1"/>
  <c r="V2691" i="1"/>
  <c r="B2691" i="2" s="1"/>
  <c r="A2691" i="1"/>
  <c r="V2690" i="1"/>
  <c r="B2690" i="2" s="1"/>
  <c r="A2690" i="1"/>
  <c r="V2689" i="1"/>
  <c r="B2689" i="2" s="1"/>
  <c r="A2689" i="1"/>
  <c r="V2688" i="1"/>
  <c r="B2688" i="2" s="1"/>
  <c r="A2688" i="1"/>
  <c r="V2687" i="1"/>
  <c r="B2687" i="2" s="1"/>
  <c r="A2687" i="1"/>
  <c r="V2686" i="1"/>
  <c r="B2686" i="2" s="1"/>
  <c r="A2686" i="1"/>
  <c r="V2685" i="1"/>
  <c r="B2685" i="2" s="1"/>
  <c r="A2685" i="1"/>
  <c r="V2684" i="1"/>
  <c r="B2684" i="2" s="1"/>
  <c r="A2684" i="1"/>
  <c r="V2683" i="1"/>
  <c r="B2683" i="2" s="1"/>
  <c r="A2683" i="1"/>
  <c r="V2682" i="1"/>
  <c r="B2682" i="2" s="1"/>
  <c r="A2682" i="1"/>
  <c r="V2681" i="1"/>
  <c r="B2681" i="2" s="1"/>
  <c r="A2681" i="1"/>
  <c r="V2680" i="1"/>
  <c r="B2680" i="2" s="1"/>
  <c r="A2680" i="1"/>
  <c r="V2679" i="1"/>
  <c r="B2679" i="2" s="1"/>
  <c r="A2679" i="1"/>
  <c r="V2678" i="1"/>
  <c r="B2678" i="2" s="1"/>
  <c r="A2678" i="1"/>
  <c r="V2677" i="1"/>
  <c r="B2677" i="2" s="1"/>
  <c r="A2677" i="1"/>
  <c r="V2676" i="1"/>
  <c r="B2676" i="2" s="1"/>
  <c r="A2676" i="1"/>
  <c r="V2675" i="1"/>
  <c r="B2675" i="2" s="1"/>
  <c r="A2675" i="1"/>
  <c r="V2674" i="1"/>
  <c r="B2674" i="2" s="1"/>
  <c r="A2674" i="1"/>
  <c r="V2673" i="1"/>
  <c r="B2673" i="2" s="1"/>
  <c r="A2673" i="1"/>
  <c r="V2672" i="1"/>
  <c r="B2672" i="2" s="1"/>
  <c r="A2672" i="1"/>
  <c r="V2671" i="1"/>
  <c r="B2671" i="2" s="1"/>
  <c r="A2671" i="1"/>
  <c r="V2670" i="1"/>
  <c r="B2670" i="2" s="1"/>
  <c r="A2670" i="1"/>
  <c r="V2669" i="1"/>
  <c r="B2669" i="2" s="1"/>
  <c r="A2669" i="1"/>
  <c r="V2668" i="1"/>
  <c r="B2668" i="2" s="1"/>
  <c r="A2668" i="1"/>
  <c r="V2667" i="1"/>
  <c r="B2667" i="2" s="1"/>
  <c r="A2667" i="1"/>
  <c r="V2666" i="1"/>
  <c r="B2666" i="2" s="1"/>
  <c r="A2666" i="1"/>
  <c r="V2665" i="1"/>
  <c r="B2665" i="2" s="1"/>
  <c r="A2665" i="1"/>
  <c r="V2664" i="1"/>
  <c r="B2664" i="2" s="1"/>
  <c r="A2664" i="1"/>
  <c r="V2663" i="1"/>
  <c r="B2663" i="2" s="1"/>
  <c r="A2663" i="1"/>
  <c r="V2662" i="1"/>
  <c r="B2662" i="2" s="1"/>
  <c r="A2662" i="1"/>
  <c r="V2661" i="1"/>
  <c r="B2661" i="2" s="1"/>
  <c r="A2661" i="1"/>
  <c r="V2660" i="1"/>
  <c r="B2660" i="2" s="1"/>
  <c r="A2660" i="1"/>
  <c r="V2659" i="1"/>
  <c r="B2659" i="2" s="1"/>
  <c r="A2659" i="1"/>
  <c r="V2658" i="1"/>
  <c r="B2658" i="2" s="1"/>
  <c r="A2658" i="1"/>
  <c r="V2657" i="1"/>
  <c r="B2657" i="2" s="1"/>
  <c r="A2657" i="1"/>
  <c r="V2656" i="1"/>
  <c r="B2656" i="2" s="1"/>
  <c r="A2656" i="1"/>
  <c r="V2655" i="1"/>
  <c r="B2655" i="2" s="1"/>
  <c r="A2655" i="1"/>
  <c r="V2654" i="1"/>
  <c r="B2654" i="2" s="1"/>
  <c r="A2654" i="1"/>
  <c r="V2653" i="1"/>
  <c r="B2653" i="2" s="1"/>
  <c r="A2653" i="1"/>
  <c r="V2652" i="1"/>
  <c r="B2652" i="2" s="1"/>
  <c r="A2652" i="1"/>
  <c r="V2651" i="1"/>
  <c r="B2651" i="2" s="1"/>
  <c r="A2651" i="1"/>
  <c r="V2650" i="1"/>
  <c r="B2650" i="2" s="1"/>
  <c r="A2650" i="1"/>
  <c r="V2649" i="1"/>
  <c r="B2649" i="2" s="1"/>
  <c r="A2649" i="1"/>
  <c r="V2648" i="1"/>
  <c r="B2648" i="2" s="1"/>
  <c r="A2648" i="1"/>
  <c r="V2647" i="1"/>
  <c r="B2647" i="2" s="1"/>
  <c r="A2647" i="1"/>
  <c r="V2646" i="1"/>
  <c r="B2646" i="2" s="1"/>
  <c r="A2646" i="1"/>
  <c r="V2645" i="1"/>
  <c r="B2645" i="2" s="1"/>
  <c r="A2645" i="1"/>
  <c r="V2644" i="1"/>
  <c r="B2644" i="2" s="1"/>
  <c r="A2644" i="1"/>
  <c r="V2643" i="1"/>
  <c r="B2643" i="2" s="1"/>
  <c r="A2643" i="1"/>
  <c r="V2642" i="1"/>
  <c r="B2642" i="2" s="1"/>
  <c r="A2642" i="1"/>
  <c r="V2641" i="1"/>
  <c r="B2641" i="2" s="1"/>
  <c r="A2641" i="1"/>
  <c r="V2640" i="1"/>
  <c r="B2640" i="2" s="1"/>
  <c r="A2640" i="1"/>
  <c r="V2639" i="1"/>
  <c r="B2639" i="2" s="1"/>
  <c r="A2639" i="1"/>
  <c r="V2638" i="1"/>
  <c r="B2638" i="2" s="1"/>
  <c r="A2638" i="1"/>
  <c r="V2637" i="1"/>
  <c r="B2637" i="2" s="1"/>
  <c r="A2637" i="1"/>
  <c r="V2636" i="1"/>
  <c r="B2636" i="2" s="1"/>
  <c r="A2636" i="1"/>
  <c r="V2635" i="1"/>
  <c r="B2635" i="2" s="1"/>
  <c r="A2635" i="1"/>
  <c r="V2634" i="1"/>
  <c r="B2634" i="2" s="1"/>
  <c r="A2634" i="1"/>
  <c r="V2633" i="1"/>
  <c r="B2633" i="2" s="1"/>
  <c r="A2633" i="1"/>
  <c r="V2632" i="1"/>
  <c r="B2632" i="2" s="1"/>
  <c r="A2632" i="1"/>
  <c r="V2631" i="1"/>
  <c r="B2631" i="2" s="1"/>
  <c r="A2631" i="1"/>
  <c r="V2630" i="1"/>
  <c r="B2630" i="2" s="1"/>
  <c r="A2630" i="1"/>
  <c r="V2629" i="1"/>
  <c r="B2629" i="2" s="1"/>
  <c r="A2629" i="1"/>
  <c r="V2628" i="1"/>
  <c r="B2628" i="2" s="1"/>
  <c r="A2628" i="1"/>
  <c r="V2627" i="1"/>
  <c r="B2627" i="2" s="1"/>
  <c r="A2627" i="1"/>
  <c r="V2626" i="1"/>
  <c r="B2626" i="2" s="1"/>
  <c r="A2626" i="1"/>
  <c r="V2625" i="1"/>
  <c r="B2625" i="2" s="1"/>
  <c r="A2625" i="1"/>
  <c r="V2624" i="1"/>
  <c r="B2624" i="2" s="1"/>
  <c r="A2624" i="1"/>
  <c r="V2623" i="1"/>
  <c r="B2623" i="2" s="1"/>
  <c r="A2623" i="1"/>
  <c r="V2622" i="1"/>
  <c r="B2622" i="2" s="1"/>
  <c r="A2622" i="1"/>
  <c r="V2621" i="1"/>
  <c r="B2621" i="2" s="1"/>
  <c r="A2621" i="1"/>
  <c r="V2620" i="1"/>
  <c r="B2620" i="2" s="1"/>
  <c r="A2620" i="1"/>
  <c r="V2619" i="1"/>
  <c r="B2619" i="2" s="1"/>
  <c r="A2619" i="1"/>
  <c r="V2618" i="1"/>
  <c r="B2618" i="2" s="1"/>
  <c r="A2618" i="1"/>
  <c r="V2617" i="1"/>
  <c r="B2617" i="2" s="1"/>
  <c r="A2617" i="1"/>
  <c r="V2616" i="1"/>
  <c r="B2616" i="2" s="1"/>
  <c r="A2616" i="1"/>
  <c r="V2615" i="1"/>
  <c r="B2615" i="2" s="1"/>
  <c r="A2615" i="1"/>
  <c r="V2614" i="1"/>
  <c r="B2614" i="2" s="1"/>
  <c r="A2614" i="1"/>
  <c r="V2613" i="1"/>
  <c r="B2613" i="2" s="1"/>
  <c r="A2613" i="1"/>
  <c r="V2612" i="1"/>
  <c r="B2612" i="2" s="1"/>
  <c r="A2612" i="1"/>
  <c r="V2611" i="1"/>
  <c r="B2611" i="2" s="1"/>
  <c r="A2611" i="1"/>
  <c r="V2610" i="1"/>
  <c r="B2610" i="2" s="1"/>
  <c r="A2610" i="1"/>
  <c r="V2609" i="1"/>
  <c r="B2609" i="2" s="1"/>
  <c r="A2609" i="1"/>
  <c r="V2608" i="1"/>
  <c r="B2608" i="2" s="1"/>
  <c r="A2608" i="1"/>
  <c r="V2607" i="1"/>
  <c r="B2607" i="2" s="1"/>
  <c r="A2607" i="1"/>
  <c r="V2606" i="1"/>
  <c r="B2606" i="2" s="1"/>
  <c r="A2606" i="1"/>
  <c r="V2605" i="1"/>
  <c r="B2605" i="2" s="1"/>
  <c r="A2605" i="1"/>
  <c r="V2604" i="1"/>
  <c r="B2604" i="2" s="1"/>
  <c r="A2604" i="1"/>
  <c r="V2603" i="1"/>
  <c r="B2603" i="2" s="1"/>
  <c r="A2603" i="1"/>
  <c r="V2602" i="1"/>
  <c r="B2602" i="2" s="1"/>
  <c r="A2602" i="1"/>
  <c r="V2601" i="1"/>
  <c r="B2601" i="2" s="1"/>
  <c r="A2601" i="1"/>
  <c r="V2600" i="1"/>
  <c r="B2600" i="2" s="1"/>
  <c r="A2600" i="1"/>
  <c r="V2599" i="1"/>
  <c r="B2599" i="2" s="1"/>
  <c r="A2599" i="1"/>
  <c r="V2598" i="1"/>
  <c r="B2598" i="2" s="1"/>
  <c r="A2598" i="1"/>
  <c r="V2597" i="1"/>
  <c r="B2597" i="2" s="1"/>
  <c r="A2597" i="1"/>
  <c r="V2596" i="1"/>
  <c r="B2596" i="2" s="1"/>
  <c r="A2596" i="1"/>
  <c r="V2595" i="1"/>
  <c r="B2595" i="2" s="1"/>
  <c r="A2595" i="1"/>
  <c r="V2594" i="1"/>
  <c r="B2594" i="2" s="1"/>
  <c r="A2594" i="1"/>
  <c r="V2593" i="1"/>
  <c r="B2593" i="2" s="1"/>
  <c r="A2593" i="1"/>
  <c r="V2592" i="1"/>
  <c r="B2592" i="2" s="1"/>
  <c r="A2592" i="1"/>
  <c r="V2591" i="1"/>
  <c r="B2591" i="2" s="1"/>
  <c r="A2591" i="1"/>
  <c r="V2590" i="1"/>
  <c r="B2590" i="2" s="1"/>
  <c r="A2590" i="1"/>
  <c r="V2589" i="1"/>
  <c r="B2589" i="2" s="1"/>
  <c r="A2589" i="1"/>
  <c r="V2588" i="1"/>
  <c r="B2588" i="2" s="1"/>
  <c r="A2588" i="1"/>
  <c r="V2587" i="1"/>
  <c r="B2587" i="2" s="1"/>
  <c r="A2587" i="1"/>
  <c r="V2586" i="1"/>
  <c r="B2586" i="2" s="1"/>
  <c r="A2586" i="1"/>
  <c r="V2585" i="1"/>
  <c r="B2585" i="2" s="1"/>
  <c r="A2585" i="1"/>
  <c r="V2584" i="1"/>
  <c r="B2584" i="2" s="1"/>
  <c r="A2584" i="1"/>
  <c r="V2583" i="1"/>
  <c r="B2583" i="2" s="1"/>
  <c r="A2583" i="1"/>
  <c r="V2582" i="1"/>
  <c r="B2582" i="2" s="1"/>
  <c r="A2582" i="1"/>
  <c r="V2581" i="1"/>
  <c r="B2581" i="2" s="1"/>
  <c r="A2581" i="1"/>
  <c r="V2580" i="1"/>
  <c r="B2580" i="2" s="1"/>
  <c r="A2580" i="1"/>
  <c r="V2579" i="1"/>
  <c r="B2579" i="2" s="1"/>
  <c r="A2579" i="1"/>
  <c r="V2578" i="1"/>
  <c r="B2578" i="2" s="1"/>
  <c r="A2578" i="1"/>
  <c r="V2577" i="1"/>
  <c r="B2577" i="2" s="1"/>
  <c r="A2577" i="1"/>
  <c r="V2576" i="1"/>
  <c r="B2576" i="2" s="1"/>
  <c r="A2576" i="1"/>
  <c r="V2575" i="1"/>
  <c r="B2575" i="2" s="1"/>
  <c r="A2575" i="1"/>
  <c r="V2574" i="1"/>
  <c r="B2574" i="2" s="1"/>
  <c r="A2574" i="1"/>
  <c r="V2573" i="1"/>
  <c r="B2573" i="2" s="1"/>
  <c r="A2573" i="1"/>
  <c r="V2572" i="1"/>
  <c r="B2572" i="2" s="1"/>
  <c r="A2572" i="1"/>
  <c r="V2571" i="1"/>
  <c r="B2571" i="2" s="1"/>
  <c r="A2571" i="1"/>
  <c r="V2570" i="1"/>
  <c r="B2570" i="2" s="1"/>
  <c r="A2570" i="1"/>
  <c r="V2569" i="1"/>
  <c r="B2569" i="2" s="1"/>
  <c r="A2569" i="1"/>
  <c r="V2568" i="1"/>
  <c r="B2568" i="2" s="1"/>
  <c r="A2568" i="1"/>
  <c r="V2567" i="1"/>
  <c r="B2567" i="2" s="1"/>
  <c r="A2567" i="1"/>
  <c r="V2566" i="1"/>
  <c r="B2566" i="2" s="1"/>
  <c r="A2566" i="1"/>
  <c r="V2565" i="1"/>
  <c r="B2565" i="2" s="1"/>
  <c r="A2565" i="1"/>
  <c r="V2564" i="1"/>
  <c r="B2564" i="2" s="1"/>
  <c r="A2564" i="1"/>
  <c r="V2563" i="1"/>
  <c r="B2563" i="2" s="1"/>
  <c r="A2563" i="1"/>
  <c r="V2562" i="1"/>
  <c r="B2562" i="2" s="1"/>
  <c r="A2562" i="1"/>
  <c r="V2561" i="1"/>
  <c r="B2561" i="2" s="1"/>
  <c r="A2561" i="1"/>
  <c r="V2560" i="1"/>
  <c r="B2560" i="2" s="1"/>
  <c r="A2560" i="1"/>
  <c r="V2559" i="1"/>
  <c r="B2559" i="2" s="1"/>
  <c r="A2559" i="1"/>
  <c r="V2558" i="1"/>
  <c r="B2558" i="2" s="1"/>
  <c r="A2558" i="1"/>
  <c r="V2557" i="1"/>
  <c r="B2557" i="2" s="1"/>
  <c r="A2557" i="1"/>
  <c r="V2556" i="1"/>
  <c r="B2556" i="2" s="1"/>
  <c r="A2556" i="1"/>
  <c r="V2555" i="1"/>
  <c r="B2555" i="2" s="1"/>
  <c r="A2555" i="1"/>
  <c r="V2554" i="1"/>
  <c r="B2554" i="2" s="1"/>
  <c r="A2554" i="1"/>
  <c r="V2553" i="1"/>
  <c r="B2553" i="2" s="1"/>
  <c r="A2553" i="1"/>
  <c r="V2552" i="1"/>
  <c r="B2552" i="2" s="1"/>
  <c r="A2552" i="1"/>
  <c r="V2551" i="1"/>
  <c r="B2551" i="2" s="1"/>
  <c r="A2551" i="1"/>
  <c r="V2550" i="1"/>
  <c r="B2550" i="2" s="1"/>
  <c r="A2550" i="1"/>
  <c r="V2549" i="1"/>
  <c r="B2549" i="2" s="1"/>
  <c r="A2549" i="1"/>
  <c r="V2548" i="1"/>
  <c r="B2548" i="2" s="1"/>
  <c r="A2548" i="1"/>
  <c r="V2547" i="1"/>
  <c r="B2547" i="2" s="1"/>
  <c r="A2547" i="1"/>
  <c r="V2546" i="1"/>
  <c r="B2546" i="2" s="1"/>
  <c r="A2546" i="1"/>
  <c r="V2545" i="1"/>
  <c r="B2545" i="2" s="1"/>
  <c r="A2545" i="1"/>
  <c r="V2544" i="1"/>
  <c r="B2544" i="2" s="1"/>
  <c r="A2544" i="1"/>
  <c r="V2543" i="1"/>
  <c r="B2543" i="2" s="1"/>
  <c r="A2543" i="1"/>
  <c r="V2542" i="1"/>
  <c r="B2542" i="2" s="1"/>
  <c r="A2542" i="1"/>
  <c r="V2541" i="1"/>
  <c r="B2541" i="2" s="1"/>
  <c r="A2541" i="1"/>
  <c r="V2540" i="1"/>
  <c r="B2540" i="2" s="1"/>
  <c r="A2540" i="1"/>
  <c r="V2539" i="1"/>
  <c r="B2539" i="2" s="1"/>
  <c r="A2539" i="1"/>
  <c r="V2538" i="1"/>
  <c r="B2538" i="2" s="1"/>
  <c r="A2538" i="1"/>
  <c r="V2537" i="1"/>
  <c r="B2537" i="2" s="1"/>
  <c r="A2537" i="1"/>
  <c r="V2536" i="1"/>
  <c r="B2536" i="2" s="1"/>
  <c r="A2536" i="1"/>
  <c r="V2535" i="1"/>
  <c r="B2535" i="2" s="1"/>
  <c r="A2535" i="1"/>
  <c r="V2534" i="1"/>
  <c r="B2534" i="2" s="1"/>
  <c r="A2534" i="1"/>
  <c r="V2533" i="1"/>
  <c r="B2533" i="2" s="1"/>
  <c r="A2533" i="1"/>
  <c r="V2532" i="1"/>
  <c r="B2532" i="2" s="1"/>
  <c r="A2532" i="1"/>
  <c r="V2531" i="1"/>
  <c r="B2531" i="2" s="1"/>
  <c r="A2531" i="1"/>
  <c r="V2530" i="1"/>
  <c r="B2530" i="2" s="1"/>
  <c r="A2530" i="1"/>
  <c r="V2529" i="1"/>
  <c r="B2529" i="2" s="1"/>
  <c r="A2529" i="1"/>
  <c r="V2528" i="1"/>
  <c r="B2528" i="2" s="1"/>
  <c r="A2528" i="1"/>
  <c r="V2527" i="1"/>
  <c r="B2527" i="2" s="1"/>
  <c r="A2527" i="1"/>
  <c r="V2526" i="1"/>
  <c r="B2526" i="2" s="1"/>
  <c r="A2526" i="1"/>
  <c r="V2525" i="1"/>
  <c r="B2525" i="2" s="1"/>
  <c r="A2525" i="1"/>
  <c r="V2524" i="1"/>
  <c r="B2524" i="2" s="1"/>
  <c r="A2524" i="1"/>
  <c r="V2523" i="1"/>
  <c r="B2523" i="2" s="1"/>
  <c r="A2523" i="1"/>
  <c r="V2522" i="1"/>
  <c r="B2522" i="2" s="1"/>
  <c r="A2522" i="1"/>
  <c r="V2521" i="1"/>
  <c r="B2521" i="2" s="1"/>
  <c r="A2521" i="1"/>
  <c r="V2520" i="1"/>
  <c r="B2520" i="2" s="1"/>
  <c r="A2520" i="1"/>
  <c r="V2519" i="1"/>
  <c r="B2519" i="2" s="1"/>
  <c r="A2519" i="1"/>
  <c r="V2518" i="1"/>
  <c r="B2518" i="2" s="1"/>
  <c r="A2518" i="1"/>
  <c r="V2517" i="1"/>
  <c r="B2517" i="2" s="1"/>
  <c r="A2517" i="1"/>
  <c r="V2516" i="1"/>
  <c r="B2516" i="2" s="1"/>
  <c r="A2516" i="1"/>
  <c r="V2515" i="1"/>
  <c r="B2515" i="2" s="1"/>
  <c r="A2515" i="1"/>
  <c r="V2514" i="1"/>
  <c r="B2514" i="2" s="1"/>
  <c r="A2514" i="1"/>
  <c r="V2513" i="1"/>
  <c r="B2513" i="2" s="1"/>
  <c r="A2513" i="1"/>
  <c r="V2512" i="1"/>
  <c r="B2512" i="2" s="1"/>
  <c r="A2512" i="1"/>
  <c r="V2511" i="1"/>
  <c r="B2511" i="2" s="1"/>
  <c r="A2511" i="1"/>
  <c r="V2510" i="1"/>
  <c r="B2510" i="2" s="1"/>
  <c r="A2510" i="1"/>
  <c r="V2509" i="1"/>
  <c r="B2509" i="2" s="1"/>
  <c r="A2509" i="1"/>
  <c r="V2508" i="1"/>
  <c r="B2508" i="2" s="1"/>
  <c r="A2508" i="1"/>
  <c r="V2507" i="1"/>
  <c r="B2507" i="2" s="1"/>
  <c r="A2507" i="1"/>
  <c r="V2506" i="1"/>
  <c r="B2506" i="2" s="1"/>
  <c r="A2506" i="1"/>
  <c r="V2505" i="1"/>
  <c r="B2505" i="2" s="1"/>
  <c r="A2505" i="1"/>
  <c r="V2504" i="1"/>
  <c r="B2504" i="2" s="1"/>
  <c r="A2504" i="1"/>
  <c r="V2503" i="1"/>
  <c r="B2503" i="2" s="1"/>
  <c r="A2503" i="1"/>
  <c r="V2502" i="1"/>
  <c r="B2502" i="2" s="1"/>
  <c r="A2502" i="1"/>
  <c r="V2501" i="1"/>
  <c r="B2501" i="2" s="1"/>
  <c r="A2501" i="1"/>
  <c r="V2500" i="1"/>
  <c r="B2500" i="2" s="1"/>
  <c r="A2500" i="1"/>
  <c r="V2499" i="1"/>
  <c r="B2499" i="2" s="1"/>
  <c r="A2499" i="1"/>
  <c r="V2498" i="1"/>
  <c r="B2498" i="2" s="1"/>
  <c r="A2498" i="1"/>
  <c r="V2497" i="1"/>
  <c r="B2497" i="2" s="1"/>
  <c r="A2497" i="1"/>
  <c r="V2496" i="1"/>
  <c r="B2496" i="2" s="1"/>
  <c r="A2496" i="1"/>
  <c r="V2495" i="1"/>
  <c r="B2495" i="2" s="1"/>
  <c r="A2495" i="1"/>
  <c r="V2494" i="1"/>
  <c r="B2494" i="2" s="1"/>
  <c r="A2494" i="1"/>
  <c r="V2493" i="1"/>
  <c r="B2493" i="2" s="1"/>
  <c r="A2493" i="1"/>
  <c r="V2492" i="1"/>
  <c r="B2492" i="2" s="1"/>
  <c r="A2492" i="1"/>
  <c r="V2491" i="1"/>
  <c r="B2491" i="2" s="1"/>
  <c r="A2491" i="1"/>
  <c r="V2490" i="1"/>
  <c r="B2490" i="2" s="1"/>
  <c r="A2490" i="1"/>
  <c r="V2489" i="1"/>
  <c r="B2489" i="2" s="1"/>
  <c r="A2489" i="1"/>
  <c r="V2488" i="1"/>
  <c r="B2488" i="2" s="1"/>
  <c r="A2488" i="1"/>
  <c r="V2487" i="1"/>
  <c r="B2487" i="2" s="1"/>
  <c r="A2487" i="1"/>
  <c r="V2486" i="1"/>
  <c r="B2486" i="2" s="1"/>
  <c r="A2486" i="1"/>
  <c r="V2485" i="1"/>
  <c r="B2485" i="2" s="1"/>
  <c r="A2485" i="1"/>
  <c r="V2484" i="1"/>
  <c r="B2484" i="2" s="1"/>
  <c r="A2484" i="1"/>
  <c r="V2483" i="1"/>
  <c r="B2483" i="2" s="1"/>
  <c r="A2483" i="1"/>
  <c r="V2482" i="1"/>
  <c r="B2482" i="2" s="1"/>
  <c r="A2482" i="1"/>
  <c r="V2481" i="1"/>
  <c r="B2481" i="2" s="1"/>
  <c r="A2481" i="1"/>
  <c r="V2480" i="1"/>
  <c r="B2480" i="2" s="1"/>
  <c r="A2480" i="1"/>
  <c r="V2479" i="1"/>
  <c r="B2479" i="2" s="1"/>
  <c r="A2479" i="1"/>
  <c r="V2478" i="1"/>
  <c r="B2478" i="2" s="1"/>
  <c r="A2478" i="1"/>
  <c r="V2477" i="1"/>
  <c r="B2477" i="2" s="1"/>
  <c r="A2477" i="1"/>
  <c r="V2476" i="1"/>
  <c r="B2476" i="2" s="1"/>
  <c r="A2476" i="1"/>
  <c r="V2475" i="1"/>
  <c r="B2475" i="2" s="1"/>
  <c r="A2475" i="1"/>
  <c r="V2474" i="1"/>
  <c r="B2474" i="2" s="1"/>
  <c r="A2474" i="1"/>
  <c r="V2473" i="1"/>
  <c r="B2473" i="2" s="1"/>
  <c r="A2473" i="1"/>
  <c r="V2472" i="1"/>
  <c r="B2472" i="2" s="1"/>
  <c r="A2472" i="1"/>
  <c r="V2471" i="1"/>
  <c r="B2471" i="2" s="1"/>
  <c r="A2471" i="1"/>
  <c r="V2470" i="1"/>
  <c r="B2470" i="2" s="1"/>
  <c r="A2470" i="1"/>
  <c r="V2469" i="1"/>
  <c r="B2469" i="2" s="1"/>
  <c r="A2469" i="1"/>
  <c r="V2468" i="1"/>
  <c r="B2468" i="2" s="1"/>
  <c r="A2468" i="1"/>
  <c r="V2467" i="1"/>
  <c r="B2467" i="2" s="1"/>
  <c r="A2467" i="1"/>
  <c r="V2466" i="1"/>
  <c r="B2466" i="2" s="1"/>
  <c r="A2466" i="1"/>
  <c r="V2465" i="1"/>
  <c r="B2465" i="2" s="1"/>
  <c r="A2465" i="1"/>
  <c r="V2464" i="1"/>
  <c r="B2464" i="2" s="1"/>
  <c r="A2464" i="1"/>
  <c r="V2463" i="1"/>
  <c r="B2463" i="2" s="1"/>
  <c r="A2463" i="1"/>
  <c r="V2462" i="1"/>
  <c r="B2462" i="2" s="1"/>
  <c r="A2462" i="1"/>
  <c r="V2461" i="1"/>
  <c r="B2461" i="2" s="1"/>
  <c r="A2461" i="1"/>
  <c r="V2460" i="1"/>
  <c r="B2460" i="2" s="1"/>
  <c r="A2460" i="1"/>
  <c r="V2459" i="1"/>
  <c r="B2459" i="2" s="1"/>
  <c r="A2459" i="1"/>
  <c r="V2458" i="1"/>
  <c r="B2458" i="2" s="1"/>
  <c r="A2458" i="1"/>
  <c r="V2457" i="1"/>
  <c r="B2457" i="2" s="1"/>
  <c r="A2457" i="1"/>
  <c r="V2456" i="1"/>
  <c r="B2456" i="2" s="1"/>
  <c r="A2456" i="1"/>
  <c r="V2455" i="1"/>
  <c r="B2455" i="2" s="1"/>
  <c r="A2455" i="1"/>
  <c r="V2454" i="1"/>
  <c r="B2454" i="2" s="1"/>
  <c r="A2454" i="1"/>
  <c r="V2453" i="1"/>
  <c r="B2453" i="2" s="1"/>
  <c r="A2453" i="1"/>
  <c r="V2452" i="1"/>
  <c r="B2452" i="2" s="1"/>
  <c r="A2452" i="1"/>
  <c r="V2451" i="1"/>
  <c r="B2451" i="2" s="1"/>
  <c r="A2451" i="1"/>
  <c r="V2450" i="1"/>
  <c r="B2450" i="2" s="1"/>
  <c r="A2450" i="1"/>
  <c r="V2449" i="1"/>
  <c r="B2449" i="2" s="1"/>
  <c r="A2449" i="1"/>
  <c r="V2448" i="1"/>
  <c r="B2448" i="2" s="1"/>
  <c r="A2448" i="1"/>
  <c r="V2447" i="1"/>
  <c r="B2447" i="2" s="1"/>
  <c r="A2447" i="1"/>
  <c r="V2446" i="1"/>
  <c r="B2446" i="2" s="1"/>
  <c r="A2446" i="1"/>
  <c r="V2445" i="1"/>
  <c r="B2445" i="2" s="1"/>
  <c r="A2445" i="1"/>
  <c r="V2444" i="1"/>
  <c r="B2444" i="2" s="1"/>
  <c r="A2444" i="1"/>
  <c r="V2443" i="1"/>
  <c r="B2443" i="2" s="1"/>
  <c r="A2443" i="1"/>
  <c r="V2442" i="1"/>
  <c r="B2442" i="2" s="1"/>
  <c r="A2442" i="1"/>
  <c r="V2441" i="1"/>
  <c r="B2441" i="2" s="1"/>
  <c r="A2441" i="1"/>
  <c r="V2440" i="1"/>
  <c r="B2440" i="2" s="1"/>
  <c r="A2440" i="1"/>
  <c r="V2439" i="1"/>
  <c r="B2439" i="2" s="1"/>
  <c r="A2439" i="1"/>
  <c r="V2438" i="1"/>
  <c r="B2438" i="2" s="1"/>
  <c r="A2438" i="1"/>
  <c r="V2437" i="1"/>
  <c r="B2437" i="2" s="1"/>
  <c r="A2437" i="1"/>
  <c r="V2436" i="1"/>
  <c r="B2436" i="2" s="1"/>
  <c r="A2436" i="1"/>
  <c r="V2435" i="1"/>
  <c r="B2435" i="2" s="1"/>
  <c r="A2435" i="1"/>
  <c r="V2434" i="1"/>
  <c r="B2434" i="2" s="1"/>
  <c r="A2434" i="1"/>
  <c r="V2433" i="1"/>
  <c r="B2433" i="2" s="1"/>
  <c r="A2433" i="1"/>
  <c r="V2432" i="1"/>
  <c r="B2432" i="2" s="1"/>
  <c r="A2432" i="1"/>
  <c r="V2431" i="1"/>
  <c r="B2431" i="2" s="1"/>
  <c r="A2431" i="1"/>
  <c r="V2430" i="1"/>
  <c r="B2430" i="2" s="1"/>
  <c r="A2430" i="1"/>
  <c r="V2429" i="1"/>
  <c r="B2429" i="2" s="1"/>
  <c r="A2429" i="1"/>
  <c r="V2428" i="1"/>
  <c r="B2428" i="2" s="1"/>
  <c r="A2428" i="1"/>
  <c r="V2427" i="1"/>
  <c r="B2427" i="2" s="1"/>
  <c r="A2427" i="1"/>
  <c r="V2426" i="1"/>
  <c r="B2426" i="2" s="1"/>
  <c r="A2426" i="1"/>
  <c r="V2425" i="1"/>
  <c r="B2425" i="2" s="1"/>
  <c r="A2425" i="1"/>
  <c r="V2424" i="1"/>
  <c r="B2424" i="2" s="1"/>
  <c r="A2424" i="1"/>
  <c r="V2423" i="1"/>
  <c r="B2423" i="2" s="1"/>
  <c r="A2423" i="1"/>
  <c r="V2422" i="1"/>
  <c r="B2422" i="2" s="1"/>
  <c r="A2422" i="1"/>
  <c r="V2421" i="1"/>
  <c r="B2421" i="2" s="1"/>
  <c r="A2421" i="1"/>
  <c r="V2420" i="1"/>
  <c r="B2420" i="2" s="1"/>
  <c r="A2420" i="1"/>
  <c r="V2419" i="1"/>
  <c r="B2419" i="2" s="1"/>
  <c r="A2419" i="1"/>
  <c r="V2418" i="1"/>
  <c r="B2418" i="2" s="1"/>
  <c r="A2418" i="1"/>
  <c r="V2417" i="1"/>
  <c r="B2417" i="2" s="1"/>
  <c r="A2417" i="1"/>
  <c r="V2416" i="1"/>
  <c r="B2416" i="2" s="1"/>
  <c r="A2416" i="1"/>
  <c r="V2415" i="1"/>
  <c r="B2415" i="2" s="1"/>
  <c r="A2415" i="1"/>
  <c r="V2414" i="1"/>
  <c r="B2414" i="2" s="1"/>
  <c r="A2414" i="1"/>
  <c r="V2413" i="1"/>
  <c r="B2413" i="2" s="1"/>
  <c r="A2413" i="1"/>
  <c r="V2412" i="1"/>
  <c r="B2412" i="2" s="1"/>
  <c r="A2412" i="1"/>
  <c r="V2411" i="1"/>
  <c r="B2411" i="2" s="1"/>
  <c r="A2411" i="1"/>
  <c r="V2410" i="1"/>
  <c r="B2410" i="2" s="1"/>
  <c r="A2410" i="1"/>
  <c r="V2409" i="1"/>
  <c r="B2409" i="2" s="1"/>
  <c r="A2409" i="1"/>
  <c r="V2408" i="1"/>
  <c r="B2408" i="2" s="1"/>
  <c r="A2408" i="1"/>
  <c r="V2407" i="1"/>
  <c r="B2407" i="2" s="1"/>
  <c r="A2407" i="1"/>
  <c r="V2406" i="1"/>
  <c r="B2406" i="2" s="1"/>
  <c r="A2406" i="1"/>
  <c r="V2405" i="1"/>
  <c r="B2405" i="2" s="1"/>
  <c r="A2405" i="1"/>
  <c r="V2404" i="1"/>
  <c r="B2404" i="2" s="1"/>
  <c r="A2404" i="1"/>
  <c r="V2403" i="1"/>
  <c r="B2403" i="2" s="1"/>
  <c r="A2403" i="1"/>
  <c r="V2402" i="1"/>
  <c r="B2402" i="2" s="1"/>
  <c r="A2402" i="1"/>
  <c r="V2401" i="1"/>
  <c r="B2401" i="2" s="1"/>
  <c r="A2401" i="1"/>
  <c r="V2400" i="1"/>
  <c r="B2400" i="2" s="1"/>
  <c r="A2400" i="1"/>
  <c r="V2399" i="1"/>
  <c r="B2399" i="2" s="1"/>
  <c r="A2399" i="1"/>
  <c r="V2398" i="1"/>
  <c r="B2398" i="2" s="1"/>
  <c r="A2398" i="1"/>
  <c r="V2397" i="1"/>
  <c r="B2397" i="2" s="1"/>
  <c r="A2397" i="1"/>
  <c r="V2396" i="1"/>
  <c r="B2396" i="2" s="1"/>
  <c r="A2396" i="1"/>
  <c r="V2395" i="1"/>
  <c r="B2395" i="2" s="1"/>
  <c r="A2395" i="1"/>
  <c r="V2394" i="1"/>
  <c r="B2394" i="2" s="1"/>
  <c r="A2394" i="1"/>
  <c r="V2393" i="1"/>
  <c r="B2393" i="2" s="1"/>
  <c r="A2393" i="1"/>
  <c r="V2392" i="1"/>
  <c r="B2392" i="2" s="1"/>
  <c r="A2392" i="1"/>
  <c r="V2391" i="1"/>
  <c r="B2391" i="2" s="1"/>
  <c r="A2391" i="1"/>
  <c r="V2390" i="1"/>
  <c r="B2390" i="2" s="1"/>
  <c r="A2390" i="1"/>
  <c r="V2389" i="1"/>
  <c r="B2389" i="2" s="1"/>
  <c r="A2389" i="1"/>
  <c r="V2388" i="1"/>
  <c r="B2388" i="2" s="1"/>
  <c r="A2388" i="1"/>
  <c r="V2387" i="1"/>
  <c r="B2387" i="2" s="1"/>
  <c r="A2387" i="1"/>
  <c r="V2386" i="1"/>
  <c r="B2386" i="2" s="1"/>
  <c r="A2386" i="1"/>
  <c r="V2385" i="1"/>
  <c r="B2385" i="2" s="1"/>
  <c r="A2385" i="1"/>
  <c r="V2384" i="1"/>
  <c r="B2384" i="2" s="1"/>
  <c r="A2384" i="1"/>
  <c r="V2383" i="1"/>
  <c r="B2383" i="2" s="1"/>
  <c r="A2383" i="1"/>
  <c r="V2382" i="1"/>
  <c r="B2382" i="2" s="1"/>
  <c r="A2382" i="1"/>
  <c r="V2381" i="1"/>
  <c r="B2381" i="2" s="1"/>
  <c r="A2381" i="1"/>
  <c r="V2380" i="1"/>
  <c r="B2380" i="2" s="1"/>
  <c r="A2380" i="1"/>
  <c r="V2379" i="1"/>
  <c r="B2379" i="2" s="1"/>
  <c r="A2379" i="1"/>
  <c r="V2378" i="1"/>
  <c r="B2378" i="2" s="1"/>
  <c r="A2378" i="1"/>
  <c r="V2377" i="1"/>
  <c r="B2377" i="2" s="1"/>
  <c r="A2377" i="1"/>
  <c r="V2376" i="1"/>
  <c r="B2376" i="2" s="1"/>
  <c r="A2376" i="1"/>
  <c r="V2375" i="1"/>
  <c r="B2375" i="2" s="1"/>
  <c r="A2375" i="1"/>
  <c r="V2374" i="1"/>
  <c r="B2374" i="2" s="1"/>
  <c r="A2374" i="1"/>
  <c r="V2373" i="1"/>
  <c r="B2373" i="2" s="1"/>
  <c r="A2373" i="1"/>
  <c r="V2372" i="1"/>
  <c r="B2372" i="2" s="1"/>
  <c r="A2372" i="1"/>
  <c r="V2371" i="1"/>
  <c r="B2371" i="2" s="1"/>
  <c r="A2371" i="1"/>
  <c r="V2370" i="1"/>
  <c r="B2370" i="2" s="1"/>
  <c r="A2370" i="1"/>
  <c r="V2369" i="1"/>
  <c r="B2369" i="2" s="1"/>
  <c r="A2369" i="1"/>
  <c r="V2368" i="1"/>
  <c r="B2368" i="2" s="1"/>
  <c r="A2368" i="1"/>
  <c r="V2367" i="1"/>
  <c r="B2367" i="2" s="1"/>
  <c r="A2367" i="1"/>
  <c r="V2366" i="1"/>
  <c r="B2366" i="2" s="1"/>
  <c r="A2366" i="1"/>
  <c r="V2365" i="1"/>
  <c r="B2365" i="2" s="1"/>
  <c r="A2365" i="1"/>
  <c r="V2364" i="1"/>
  <c r="B2364" i="2" s="1"/>
  <c r="A2364" i="1"/>
  <c r="V2363" i="1"/>
  <c r="B2363" i="2" s="1"/>
  <c r="A2363" i="1"/>
  <c r="V2362" i="1"/>
  <c r="B2362" i="2" s="1"/>
  <c r="A2362" i="1"/>
  <c r="V2361" i="1"/>
  <c r="B2361" i="2" s="1"/>
  <c r="A2361" i="1"/>
  <c r="V2360" i="1"/>
  <c r="B2360" i="2" s="1"/>
  <c r="A2360" i="1"/>
  <c r="V2359" i="1"/>
  <c r="B2359" i="2" s="1"/>
  <c r="A2359" i="1"/>
  <c r="V2358" i="1"/>
  <c r="B2358" i="2" s="1"/>
  <c r="A2358" i="1"/>
  <c r="V2357" i="1"/>
  <c r="B2357" i="2" s="1"/>
  <c r="A2357" i="1"/>
  <c r="V2356" i="1"/>
  <c r="B2356" i="2" s="1"/>
  <c r="A2356" i="1"/>
  <c r="V2355" i="1"/>
  <c r="B2355" i="2" s="1"/>
  <c r="A2355" i="1"/>
  <c r="V2354" i="1"/>
  <c r="B2354" i="2" s="1"/>
  <c r="A2354" i="1"/>
  <c r="V2353" i="1"/>
  <c r="B2353" i="2" s="1"/>
  <c r="A2353" i="1"/>
  <c r="V2352" i="1"/>
  <c r="B2352" i="2" s="1"/>
  <c r="A2352" i="1"/>
  <c r="V2351" i="1"/>
  <c r="B2351" i="2" s="1"/>
  <c r="A2351" i="1"/>
  <c r="V2350" i="1"/>
  <c r="B2350" i="2" s="1"/>
  <c r="A2350" i="1"/>
  <c r="V2349" i="1"/>
  <c r="B2349" i="2" s="1"/>
  <c r="A2349" i="1"/>
  <c r="V2348" i="1"/>
  <c r="B2348" i="2" s="1"/>
  <c r="A2348" i="1"/>
  <c r="V2347" i="1"/>
  <c r="B2347" i="2" s="1"/>
  <c r="A2347" i="1"/>
  <c r="V2346" i="1"/>
  <c r="B2346" i="2" s="1"/>
  <c r="A2346" i="1"/>
  <c r="V2345" i="1"/>
  <c r="B2345" i="2" s="1"/>
  <c r="A2345" i="1"/>
  <c r="V2344" i="1"/>
  <c r="B2344" i="2" s="1"/>
  <c r="A2344" i="1"/>
  <c r="V2343" i="1"/>
  <c r="B2343" i="2" s="1"/>
  <c r="A2343" i="1"/>
  <c r="V2342" i="1"/>
  <c r="B2342" i="2" s="1"/>
  <c r="A2342" i="1"/>
  <c r="V2341" i="1"/>
  <c r="B2341" i="2" s="1"/>
  <c r="A2341" i="1"/>
  <c r="V2340" i="1"/>
  <c r="B2340" i="2" s="1"/>
  <c r="A2340" i="1"/>
  <c r="V2339" i="1"/>
  <c r="B2339" i="2" s="1"/>
  <c r="A2339" i="1"/>
  <c r="V2338" i="1"/>
  <c r="B2338" i="2" s="1"/>
  <c r="A2338" i="1"/>
  <c r="V2337" i="1"/>
  <c r="B2337" i="2" s="1"/>
  <c r="A2337" i="1"/>
  <c r="V2336" i="1"/>
  <c r="B2336" i="2" s="1"/>
  <c r="A2336" i="1"/>
  <c r="V2335" i="1"/>
  <c r="B2335" i="2" s="1"/>
  <c r="A2335" i="1"/>
  <c r="V2334" i="1"/>
  <c r="B2334" i="2" s="1"/>
  <c r="A2334" i="1"/>
  <c r="V2333" i="1"/>
  <c r="B2333" i="2" s="1"/>
  <c r="A2333" i="1"/>
  <c r="V2332" i="1"/>
  <c r="B2332" i="2" s="1"/>
  <c r="A2332" i="1"/>
  <c r="V2331" i="1"/>
  <c r="B2331" i="2" s="1"/>
  <c r="A2331" i="1"/>
  <c r="V2330" i="1"/>
  <c r="B2330" i="2" s="1"/>
  <c r="A2330" i="1"/>
  <c r="V2329" i="1"/>
  <c r="B2329" i="2" s="1"/>
  <c r="A2329" i="1"/>
  <c r="V2328" i="1"/>
  <c r="B2328" i="2" s="1"/>
  <c r="A2328" i="1"/>
  <c r="V2327" i="1"/>
  <c r="B2327" i="2" s="1"/>
  <c r="A2327" i="1"/>
  <c r="V2326" i="1"/>
  <c r="B2326" i="2" s="1"/>
  <c r="A2326" i="1"/>
  <c r="V2325" i="1"/>
  <c r="B2325" i="2" s="1"/>
  <c r="A2325" i="1"/>
  <c r="V2324" i="1"/>
  <c r="B2324" i="2" s="1"/>
  <c r="A2324" i="1"/>
  <c r="V2323" i="1"/>
  <c r="B2323" i="2" s="1"/>
  <c r="A2323" i="1"/>
  <c r="V2322" i="1"/>
  <c r="B2322" i="2" s="1"/>
  <c r="A2322" i="1"/>
  <c r="V2321" i="1"/>
  <c r="B2321" i="2" s="1"/>
  <c r="A2321" i="1"/>
  <c r="V2320" i="1"/>
  <c r="B2320" i="2" s="1"/>
  <c r="A2320" i="1"/>
  <c r="V2319" i="1"/>
  <c r="B2319" i="2" s="1"/>
  <c r="A2319" i="1"/>
  <c r="V2318" i="1"/>
  <c r="B2318" i="2" s="1"/>
  <c r="A2318" i="1"/>
  <c r="V2317" i="1"/>
  <c r="B2317" i="2" s="1"/>
  <c r="A2317" i="1"/>
  <c r="V2316" i="1"/>
  <c r="B2316" i="2" s="1"/>
  <c r="A2316" i="1"/>
  <c r="V2315" i="1"/>
  <c r="B2315" i="2" s="1"/>
  <c r="A2315" i="1"/>
  <c r="V2314" i="1"/>
  <c r="B2314" i="2" s="1"/>
  <c r="A2314" i="1"/>
  <c r="V2313" i="1"/>
  <c r="B2313" i="2" s="1"/>
  <c r="A2313" i="1"/>
  <c r="V2312" i="1"/>
  <c r="B2312" i="2" s="1"/>
  <c r="A2312" i="1"/>
  <c r="V2311" i="1"/>
  <c r="B2311" i="2" s="1"/>
  <c r="A2311" i="1"/>
  <c r="V2310" i="1"/>
  <c r="B2310" i="2" s="1"/>
  <c r="A2310" i="1"/>
  <c r="V2309" i="1"/>
  <c r="B2309" i="2" s="1"/>
  <c r="A2309" i="1"/>
  <c r="V2308" i="1"/>
  <c r="B2308" i="2" s="1"/>
  <c r="A2308" i="1"/>
  <c r="V2307" i="1"/>
  <c r="B2307" i="2" s="1"/>
  <c r="A2307" i="1"/>
  <c r="V2306" i="1"/>
  <c r="B2306" i="2" s="1"/>
  <c r="A2306" i="1"/>
  <c r="V2305" i="1"/>
  <c r="B2305" i="2" s="1"/>
  <c r="A2305" i="1"/>
  <c r="V2304" i="1"/>
  <c r="B2304" i="2" s="1"/>
  <c r="A2304" i="1"/>
  <c r="V2303" i="1"/>
  <c r="B2303" i="2" s="1"/>
  <c r="A2303" i="1"/>
  <c r="V2302" i="1"/>
  <c r="B2302" i="2" s="1"/>
  <c r="A2302" i="1"/>
  <c r="V2301" i="1"/>
  <c r="B2301" i="2" s="1"/>
  <c r="A2301" i="1"/>
  <c r="V2300" i="1"/>
  <c r="B2300" i="2" s="1"/>
  <c r="A2300" i="1"/>
  <c r="V2299" i="1"/>
  <c r="B2299" i="2" s="1"/>
  <c r="A2299" i="1"/>
  <c r="V2298" i="1"/>
  <c r="B2298" i="2" s="1"/>
  <c r="A2298" i="1"/>
  <c r="V2297" i="1"/>
  <c r="B2297" i="2" s="1"/>
  <c r="A2297" i="1"/>
  <c r="V2296" i="1"/>
  <c r="B2296" i="2" s="1"/>
  <c r="A2296" i="1"/>
  <c r="V2295" i="1"/>
  <c r="B2295" i="2" s="1"/>
  <c r="A2295" i="1"/>
  <c r="V2294" i="1"/>
  <c r="B2294" i="2" s="1"/>
  <c r="A2294" i="1"/>
  <c r="V2293" i="1"/>
  <c r="B2293" i="2" s="1"/>
  <c r="A2293" i="1"/>
  <c r="V2292" i="1"/>
  <c r="B2292" i="2" s="1"/>
  <c r="A2292" i="1"/>
  <c r="V2291" i="1"/>
  <c r="B2291" i="2" s="1"/>
  <c r="A2291" i="1"/>
  <c r="V2290" i="1"/>
  <c r="B2290" i="2" s="1"/>
  <c r="A2290" i="1"/>
  <c r="V2289" i="1"/>
  <c r="B2289" i="2" s="1"/>
  <c r="A2289" i="1"/>
  <c r="V2288" i="1"/>
  <c r="B2288" i="2" s="1"/>
  <c r="A2288" i="1"/>
  <c r="V2287" i="1"/>
  <c r="B2287" i="2" s="1"/>
  <c r="A2287" i="1"/>
  <c r="V2286" i="1"/>
  <c r="B2286" i="2" s="1"/>
  <c r="A2286" i="1"/>
  <c r="V2285" i="1"/>
  <c r="B2285" i="2" s="1"/>
  <c r="A2285" i="1"/>
  <c r="V2284" i="1"/>
  <c r="B2284" i="2" s="1"/>
  <c r="A2284" i="1"/>
  <c r="V2283" i="1"/>
  <c r="B2283" i="2" s="1"/>
  <c r="A2283" i="1"/>
  <c r="V2282" i="1"/>
  <c r="B2282" i="2" s="1"/>
  <c r="A2282" i="1"/>
  <c r="V2281" i="1"/>
  <c r="B2281" i="2" s="1"/>
  <c r="A2281" i="1"/>
  <c r="V2280" i="1"/>
  <c r="B2280" i="2" s="1"/>
  <c r="A2280" i="1"/>
  <c r="V2279" i="1"/>
  <c r="B2279" i="2" s="1"/>
  <c r="A2279" i="1"/>
  <c r="V2278" i="1"/>
  <c r="B2278" i="2" s="1"/>
  <c r="A2278" i="1"/>
  <c r="V2277" i="1"/>
  <c r="B2277" i="2" s="1"/>
  <c r="A2277" i="1"/>
  <c r="V2276" i="1"/>
  <c r="B2276" i="2" s="1"/>
  <c r="A2276" i="1"/>
  <c r="V2275" i="1"/>
  <c r="B2275" i="2" s="1"/>
  <c r="A2275" i="1"/>
  <c r="V2274" i="1"/>
  <c r="B2274" i="2" s="1"/>
  <c r="A2274" i="1"/>
  <c r="V2273" i="1"/>
  <c r="B2273" i="2" s="1"/>
  <c r="A2273" i="1"/>
  <c r="V2272" i="1"/>
  <c r="B2272" i="2" s="1"/>
  <c r="A2272" i="1"/>
  <c r="V2271" i="1"/>
  <c r="B2271" i="2" s="1"/>
  <c r="A2271" i="1"/>
  <c r="V2270" i="1"/>
  <c r="B2270" i="2" s="1"/>
  <c r="A2270" i="1"/>
  <c r="V2269" i="1"/>
  <c r="B2269" i="2" s="1"/>
  <c r="A2269" i="1"/>
  <c r="V2268" i="1"/>
  <c r="B2268" i="2" s="1"/>
  <c r="A2268" i="1"/>
  <c r="V2267" i="1"/>
  <c r="B2267" i="2" s="1"/>
  <c r="A2267" i="1"/>
  <c r="V2266" i="1"/>
  <c r="B2266" i="2" s="1"/>
  <c r="A2266" i="1"/>
  <c r="V2265" i="1"/>
  <c r="B2265" i="2" s="1"/>
  <c r="A2265" i="1"/>
  <c r="V2264" i="1"/>
  <c r="B2264" i="2" s="1"/>
  <c r="A2264" i="1"/>
  <c r="V2263" i="1"/>
  <c r="B2263" i="2" s="1"/>
  <c r="A2263" i="1"/>
  <c r="V2262" i="1"/>
  <c r="B2262" i="2" s="1"/>
  <c r="A2262" i="1"/>
  <c r="V2261" i="1"/>
  <c r="B2261" i="2" s="1"/>
  <c r="A2261" i="1"/>
  <c r="V2260" i="1"/>
  <c r="B2260" i="2" s="1"/>
  <c r="A2260" i="1"/>
  <c r="V2259" i="1"/>
  <c r="B2259" i="2" s="1"/>
  <c r="A2259" i="1"/>
  <c r="V2258" i="1"/>
  <c r="B2258" i="2" s="1"/>
  <c r="A2258" i="1"/>
  <c r="V2257" i="1"/>
  <c r="B2257" i="2" s="1"/>
  <c r="A2257" i="1"/>
  <c r="V2256" i="1"/>
  <c r="B2256" i="2" s="1"/>
  <c r="A2256" i="1"/>
  <c r="V2255" i="1"/>
  <c r="B2255" i="2" s="1"/>
  <c r="A2255" i="1"/>
  <c r="V2254" i="1"/>
  <c r="B2254" i="2" s="1"/>
  <c r="A2254" i="1"/>
  <c r="V2253" i="1"/>
  <c r="B2253" i="2" s="1"/>
  <c r="A2253" i="1"/>
  <c r="V2252" i="1"/>
  <c r="B2252" i="2" s="1"/>
  <c r="A2252" i="1"/>
  <c r="V2251" i="1"/>
  <c r="B2251" i="2" s="1"/>
  <c r="A2251" i="1"/>
  <c r="V2250" i="1"/>
  <c r="B2250" i="2" s="1"/>
  <c r="A2250" i="1"/>
  <c r="V2249" i="1"/>
  <c r="B2249" i="2" s="1"/>
  <c r="A2249" i="1"/>
  <c r="V2248" i="1"/>
  <c r="B2248" i="2" s="1"/>
  <c r="A2248" i="1"/>
  <c r="V2247" i="1"/>
  <c r="B2247" i="2" s="1"/>
  <c r="A2247" i="1"/>
  <c r="V2246" i="1"/>
  <c r="B2246" i="2" s="1"/>
  <c r="A2246" i="1"/>
  <c r="V2245" i="1"/>
  <c r="B2245" i="2" s="1"/>
  <c r="A2245" i="1"/>
  <c r="V2244" i="1"/>
  <c r="B2244" i="2" s="1"/>
  <c r="A2244" i="1"/>
  <c r="V2243" i="1"/>
  <c r="B2243" i="2" s="1"/>
  <c r="A2243" i="1"/>
  <c r="V2242" i="1"/>
  <c r="B2242" i="2" s="1"/>
  <c r="A2242" i="1"/>
  <c r="V2241" i="1"/>
  <c r="B2241" i="2" s="1"/>
  <c r="A2241" i="1"/>
  <c r="V2240" i="1"/>
  <c r="B2240" i="2" s="1"/>
  <c r="A2240" i="1"/>
  <c r="V2239" i="1"/>
  <c r="B2239" i="2" s="1"/>
  <c r="A2239" i="1"/>
  <c r="V2238" i="1"/>
  <c r="B2238" i="2" s="1"/>
  <c r="A2238" i="1"/>
  <c r="V2237" i="1"/>
  <c r="B2237" i="2" s="1"/>
  <c r="A2237" i="1"/>
  <c r="V2236" i="1"/>
  <c r="B2236" i="2" s="1"/>
  <c r="A2236" i="1"/>
  <c r="V2235" i="1"/>
  <c r="B2235" i="2" s="1"/>
  <c r="A2235" i="1"/>
  <c r="V2234" i="1"/>
  <c r="B2234" i="2" s="1"/>
  <c r="A2234" i="1"/>
  <c r="V2233" i="1"/>
  <c r="B2233" i="2" s="1"/>
  <c r="A2233" i="1"/>
  <c r="V2232" i="1"/>
  <c r="B2232" i="2" s="1"/>
  <c r="A2232" i="1"/>
  <c r="V2231" i="1"/>
  <c r="B2231" i="2" s="1"/>
  <c r="A2231" i="1"/>
  <c r="V2230" i="1"/>
  <c r="B2230" i="2" s="1"/>
  <c r="A2230" i="1"/>
  <c r="V2229" i="1"/>
  <c r="B2229" i="2" s="1"/>
  <c r="A2229" i="1"/>
  <c r="V2228" i="1"/>
  <c r="B2228" i="2" s="1"/>
  <c r="A2228" i="1"/>
  <c r="V2227" i="1"/>
  <c r="B2227" i="2" s="1"/>
  <c r="A2227" i="1"/>
  <c r="V2226" i="1"/>
  <c r="B2226" i="2" s="1"/>
  <c r="A2226" i="1"/>
  <c r="V2225" i="1"/>
  <c r="B2225" i="2" s="1"/>
  <c r="A2225" i="1"/>
  <c r="V2224" i="1"/>
  <c r="B2224" i="2" s="1"/>
  <c r="A2224" i="1"/>
  <c r="V2223" i="1"/>
  <c r="B2223" i="2" s="1"/>
  <c r="A2223" i="1"/>
  <c r="V2222" i="1"/>
  <c r="B2222" i="2" s="1"/>
  <c r="A2222" i="1"/>
  <c r="V2221" i="1"/>
  <c r="B2221" i="2" s="1"/>
  <c r="A2221" i="1"/>
  <c r="V2220" i="1"/>
  <c r="B2220" i="2" s="1"/>
  <c r="A2220" i="1"/>
  <c r="V2219" i="1"/>
  <c r="B2219" i="2" s="1"/>
  <c r="A2219" i="1"/>
  <c r="V2218" i="1"/>
  <c r="B2218" i="2" s="1"/>
  <c r="A2218" i="1"/>
  <c r="V2217" i="1"/>
  <c r="B2217" i="2" s="1"/>
  <c r="A2217" i="1"/>
  <c r="V2216" i="1"/>
  <c r="B2216" i="2" s="1"/>
  <c r="A2216" i="1"/>
  <c r="V2215" i="1"/>
  <c r="B2215" i="2" s="1"/>
  <c r="A2215" i="1"/>
  <c r="V2214" i="1"/>
  <c r="B2214" i="2" s="1"/>
  <c r="A2214" i="1"/>
  <c r="V2213" i="1"/>
  <c r="B2213" i="2" s="1"/>
  <c r="A2213" i="1"/>
  <c r="V2212" i="1"/>
  <c r="B2212" i="2" s="1"/>
  <c r="A2212" i="1"/>
  <c r="V2211" i="1"/>
  <c r="B2211" i="2" s="1"/>
  <c r="A2211" i="1"/>
  <c r="V2210" i="1"/>
  <c r="B2210" i="2" s="1"/>
  <c r="A2210" i="1"/>
  <c r="V2209" i="1"/>
  <c r="B2209" i="2" s="1"/>
  <c r="A2209" i="1"/>
  <c r="V2208" i="1"/>
  <c r="B2208" i="2" s="1"/>
  <c r="A2208" i="1"/>
  <c r="V2207" i="1"/>
  <c r="B2207" i="2" s="1"/>
  <c r="A2207" i="1"/>
  <c r="V2206" i="1"/>
  <c r="B2206" i="2" s="1"/>
  <c r="A2206" i="1"/>
  <c r="V2205" i="1"/>
  <c r="B2205" i="2" s="1"/>
  <c r="A2205" i="1"/>
  <c r="V2204" i="1"/>
  <c r="B2204" i="2" s="1"/>
  <c r="A2204" i="1"/>
  <c r="V2203" i="1"/>
  <c r="B2203" i="2" s="1"/>
  <c r="A2203" i="1"/>
  <c r="V2202" i="1"/>
  <c r="B2202" i="2" s="1"/>
  <c r="A2202" i="1"/>
  <c r="V2201" i="1"/>
  <c r="B2201" i="2" s="1"/>
  <c r="A2201" i="1"/>
  <c r="V2200" i="1"/>
  <c r="B2200" i="2" s="1"/>
  <c r="A2200" i="1"/>
  <c r="V2199" i="1"/>
  <c r="B2199" i="2" s="1"/>
  <c r="A2199" i="1"/>
  <c r="V2198" i="1"/>
  <c r="B2198" i="2" s="1"/>
  <c r="A2198" i="1"/>
  <c r="V2197" i="1"/>
  <c r="B2197" i="2" s="1"/>
  <c r="A2197" i="1"/>
  <c r="V2196" i="1"/>
  <c r="B2196" i="2" s="1"/>
  <c r="A2196" i="1"/>
  <c r="V2195" i="1"/>
  <c r="B2195" i="2" s="1"/>
  <c r="A2195" i="1"/>
  <c r="V2194" i="1"/>
  <c r="B2194" i="2" s="1"/>
  <c r="A2194" i="1"/>
  <c r="V2193" i="1"/>
  <c r="B2193" i="2" s="1"/>
  <c r="A2193" i="1"/>
  <c r="V2192" i="1"/>
  <c r="B2192" i="2" s="1"/>
  <c r="A2192" i="1"/>
  <c r="V2191" i="1"/>
  <c r="B2191" i="2" s="1"/>
  <c r="A2191" i="1"/>
  <c r="V2190" i="1"/>
  <c r="B2190" i="2" s="1"/>
  <c r="A2190" i="1"/>
  <c r="V2189" i="1"/>
  <c r="B2189" i="2" s="1"/>
  <c r="A2189" i="1"/>
  <c r="V2188" i="1"/>
  <c r="B2188" i="2" s="1"/>
  <c r="A2188" i="1"/>
  <c r="V2187" i="1"/>
  <c r="B2187" i="2" s="1"/>
  <c r="A2187" i="1"/>
  <c r="V2186" i="1"/>
  <c r="B2186" i="2" s="1"/>
  <c r="A2186" i="1"/>
  <c r="V2185" i="1"/>
  <c r="B2185" i="2" s="1"/>
  <c r="A2185" i="1"/>
  <c r="V2184" i="1"/>
  <c r="B2184" i="2" s="1"/>
  <c r="A2184" i="1"/>
  <c r="V2183" i="1"/>
  <c r="B2183" i="2" s="1"/>
  <c r="A2183" i="1"/>
  <c r="V2182" i="1"/>
  <c r="B2182" i="2" s="1"/>
  <c r="A2182" i="1"/>
  <c r="V2181" i="1"/>
  <c r="B2181" i="2" s="1"/>
  <c r="A2181" i="1"/>
  <c r="V2180" i="1"/>
  <c r="B2180" i="2" s="1"/>
  <c r="A2180" i="1"/>
  <c r="V2179" i="1"/>
  <c r="B2179" i="2" s="1"/>
  <c r="A2179" i="1"/>
  <c r="V2178" i="1"/>
  <c r="B2178" i="2" s="1"/>
  <c r="A2178" i="1"/>
  <c r="V2177" i="1"/>
  <c r="B2177" i="2" s="1"/>
  <c r="A2177" i="1"/>
  <c r="V2176" i="1"/>
  <c r="B2176" i="2" s="1"/>
  <c r="A2176" i="1"/>
  <c r="V2175" i="1"/>
  <c r="B2175" i="2" s="1"/>
  <c r="A2175" i="1"/>
  <c r="V2174" i="1"/>
  <c r="B2174" i="2" s="1"/>
  <c r="A2174" i="1"/>
  <c r="V2173" i="1"/>
  <c r="B2173" i="2" s="1"/>
  <c r="A2173" i="1"/>
  <c r="V2172" i="1"/>
  <c r="B2172" i="2" s="1"/>
  <c r="A2172" i="1"/>
  <c r="V2171" i="1"/>
  <c r="B2171" i="2" s="1"/>
  <c r="A2171" i="1"/>
  <c r="V2170" i="1"/>
  <c r="B2170" i="2" s="1"/>
  <c r="A2170" i="1"/>
  <c r="V2169" i="1"/>
  <c r="B2169" i="2" s="1"/>
  <c r="A2169" i="1"/>
  <c r="V2168" i="1"/>
  <c r="B2168" i="2" s="1"/>
  <c r="A2168" i="1"/>
  <c r="V2167" i="1"/>
  <c r="B2167" i="2" s="1"/>
  <c r="A2167" i="1"/>
  <c r="V2166" i="1"/>
  <c r="B2166" i="2" s="1"/>
  <c r="A2166" i="1"/>
  <c r="V2165" i="1"/>
  <c r="B2165" i="2" s="1"/>
  <c r="A2165" i="1"/>
  <c r="V2164" i="1"/>
  <c r="B2164" i="2" s="1"/>
  <c r="A2164" i="1"/>
  <c r="V2163" i="1"/>
  <c r="B2163" i="2" s="1"/>
  <c r="A2163" i="1"/>
  <c r="V2162" i="1"/>
  <c r="B2162" i="2" s="1"/>
  <c r="A2162" i="1"/>
  <c r="V2161" i="1"/>
  <c r="B2161" i="2" s="1"/>
  <c r="A2161" i="1"/>
  <c r="V2160" i="1"/>
  <c r="B2160" i="2" s="1"/>
  <c r="A2160" i="1"/>
  <c r="V2159" i="1"/>
  <c r="B2159" i="2" s="1"/>
  <c r="A2159" i="1"/>
  <c r="V2158" i="1"/>
  <c r="B2158" i="2" s="1"/>
  <c r="A2158" i="1"/>
  <c r="V2157" i="1"/>
  <c r="B2157" i="2" s="1"/>
  <c r="A2157" i="1"/>
  <c r="V2156" i="1"/>
  <c r="B2156" i="2" s="1"/>
  <c r="A2156" i="1"/>
  <c r="V2155" i="1"/>
  <c r="B2155" i="2" s="1"/>
  <c r="A2155" i="1"/>
  <c r="V2154" i="1"/>
  <c r="B2154" i="2" s="1"/>
  <c r="A2154" i="1"/>
  <c r="V2153" i="1"/>
  <c r="B2153" i="2" s="1"/>
  <c r="A2153" i="1"/>
  <c r="V2152" i="1"/>
  <c r="B2152" i="2" s="1"/>
  <c r="A2152" i="1"/>
  <c r="V2151" i="1"/>
  <c r="B2151" i="2" s="1"/>
  <c r="A2151" i="1"/>
  <c r="V2150" i="1"/>
  <c r="B2150" i="2" s="1"/>
  <c r="A2150" i="1"/>
  <c r="V2149" i="1"/>
  <c r="B2149" i="2" s="1"/>
  <c r="A2149" i="1"/>
  <c r="V2148" i="1"/>
  <c r="B2148" i="2" s="1"/>
  <c r="A2148" i="1"/>
  <c r="V2147" i="1"/>
  <c r="B2147" i="2" s="1"/>
  <c r="A2147" i="1"/>
  <c r="V2146" i="1"/>
  <c r="B2146" i="2" s="1"/>
  <c r="A2146" i="1"/>
  <c r="V2145" i="1"/>
  <c r="B2145" i="2" s="1"/>
  <c r="A2145" i="1"/>
  <c r="V2144" i="1"/>
  <c r="B2144" i="2" s="1"/>
  <c r="A2144" i="1"/>
  <c r="V2143" i="1"/>
  <c r="B2143" i="2" s="1"/>
  <c r="A2143" i="1"/>
  <c r="V2142" i="1"/>
  <c r="B2142" i="2" s="1"/>
  <c r="A2142" i="1"/>
  <c r="V2141" i="1"/>
  <c r="B2141" i="2" s="1"/>
  <c r="A2141" i="1"/>
  <c r="V2140" i="1"/>
  <c r="B2140" i="2" s="1"/>
  <c r="A2140" i="1"/>
  <c r="V2139" i="1"/>
  <c r="B2139" i="2" s="1"/>
  <c r="A2139" i="1"/>
  <c r="V2138" i="1"/>
  <c r="B2138" i="2" s="1"/>
  <c r="A2138" i="1"/>
  <c r="V2137" i="1"/>
  <c r="B2137" i="2" s="1"/>
  <c r="A2137" i="1"/>
  <c r="V2136" i="1"/>
  <c r="B2136" i="2" s="1"/>
  <c r="A2136" i="1"/>
  <c r="V2135" i="1"/>
  <c r="B2135" i="2" s="1"/>
  <c r="A2135" i="1"/>
  <c r="V2134" i="1"/>
  <c r="B2134" i="2" s="1"/>
  <c r="A2134" i="1"/>
  <c r="V2133" i="1"/>
  <c r="B2133" i="2" s="1"/>
  <c r="A2133" i="1"/>
  <c r="V2132" i="1"/>
  <c r="B2132" i="2" s="1"/>
  <c r="A2132" i="1"/>
  <c r="V2131" i="1"/>
  <c r="B2131" i="2" s="1"/>
  <c r="A2131" i="1"/>
  <c r="V2130" i="1"/>
  <c r="B2130" i="2" s="1"/>
  <c r="A2130" i="1"/>
  <c r="V2129" i="1"/>
  <c r="B2129" i="2" s="1"/>
  <c r="A2129" i="1"/>
  <c r="V2128" i="1"/>
  <c r="B2128" i="2" s="1"/>
  <c r="A2128" i="1"/>
  <c r="V2127" i="1"/>
  <c r="B2127" i="2" s="1"/>
  <c r="A2127" i="1"/>
  <c r="V2126" i="1"/>
  <c r="B2126" i="2" s="1"/>
  <c r="A2126" i="1"/>
  <c r="V2125" i="1"/>
  <c r="B2125" i="2" s="1"/>
  <c r="A2125" i="1"/>
  <c r="V2124" i="1"/>
  <c r="B2124" i="2" s="1"/>
  <c r="A2124" i="1"/>
  <c r="V2123" i="1"/>
  <c r="B2123" i="2" s="1"/>
  <c r="A2123" i="1"/>
  <c r="V2122" i="1"/>
  <c r="B2122" i="2" s="1"/>
  <c r="A2122" i="1"/>
  <c r="V2121" i="1"/>
  <c r="B2121" i="2" s="1"/>
  <c r="A2121" i="1"/>
  <c r="V2120" i="1"/>
  <c r="B2120" i="2" s="1"/>
  <c r="A2120" i="1"/>
  <c r="V2119" i="1"/>
  <c r="B2119" i="2" s="1"/>
  <c r="A2119" i="1"/>
  <c r="V2118" i="1"/>
  <c r="B2118" i="2" s="1"/>
  <c r="A2118" i="1"/>
  <c r="V2117" i="1"/>
  <c r="B2117" i="2" s="1"/>
  <c r="A2117" i="1"/>
  <c r="V2116" i="1"/>
  <c r="B2116" i="2" s="1"/>
  <c r="A2116" i="1"/>
  <c r="V2115" i="1"/>
  <c r="B2115" i="2" s="1"/>
  <c r="A2115" i="1"/>
  <c r="V2114" i="1"/>
  <c r="B2114" i="2" s="1"/>
  <c r="A2114" i="1"/>
  <c r="V2113" i="1"/>
  <c r="B2113" i="2" s="1"/>
  <c r="A2113" i="1"/>
  <c r="V2112" i="1"/>
  <c r="B2112" i="2" s="1"/>
  <c r="A2112" i="1"/>
  <c r="V2111" i="1"/>
  <c r="B2111" i="2" s="1"/>
  <c r="A2111" i="1"/>
  <c r="V2110" i="1"/>
  <c r="B2110" i="2" s="1"/>
  <c r="A2110" i="1"/>
  <c r="V2109" i="1"/>
  <c r="B2109" i="2" s="1"/>
  <c r="A2109" i="1"/>
  <c r="V2108" i="1"/>
  <c r="B2108" i="2" s="1"/>
  <c r="A2108" i="1"/>
  <c r="V2107" i="1"/>
  <c r="B2107" i="2" s="1"/>
  <c r="A2107" i="1"/>
  <c r="V2106" i="1"/>
  <c r="B2106" i="2" s="1"/>
  <c r="A2106" i="1"/>
  <c r="V2105" i="1"/>
  <c r="B2105" i="2" s="1"/>
  <c r="A2105" i="1"/>
  <c r="V2104" i="1"/>
  <c r="B2104" i="2" s="1"/>
  <c r="A2104" i="1"/>
  <c r="V2103" i="1"/>
  <c r="B2103" i="2" s="1"/>
  <c r="A2103" i="1"/>
  <c r="V2102" i="1"/>
  <c r="B2102" i="2" s="1"/>
  <c r="A2102" i="1"/>
  <c r="V2101" i="1"/>
  <c r="B2101" i="2" s="1"/>
  <c r="A2101" i="1"/>
  <c r="V2100" i="1"/>
  <c r="B2100" i="2" s="1"/>
  <c r="A2100" i="1"/>
  <c r="V2099" i="1"/>
  <c r="B2099" i="2" s="1"/>
  <c r="A2099" i="1"/>
  <c r="V2098" i="1"/>
  <c r="B2098" i="2" s="1"/>
  <c r="A2098" i="1"/>
  <c r="V2097" i="1"/>
  <c r="B2097" i="2" s="1"/>
  <c r="A2097" i="1"/>
  <c r="V2096" i="1"/>
  <c r="B2096" i="2" s="1"/>
  <c r="A2096" i="1"/>
  <c r="V2095" i="1"/>
  <c r="B2095" i="2" s="1"/>
  <c r="A2095" i="1"/>
  <c r="V2094" i="1"/>
  <c r="B2094" i="2" s="1"/>
  <c r="A2094" i="1"/>
  <c r="V2093" i="1"/>
  <c r="B2093" i="2" s="1"/>
  <c r="A2093" i="1"/>
  <c r="V2092" i="1"/>
  <c r="B2092" i="2" s="1"/>
  <c r="A2092" i="1"/>
  <c r="V2091" i="1"/>
  <c r="B2091" i="2" s="1"/>
  <c r="A2091" i="1"/>
  <c r="V2090" i="1"/>
  <c r="B2090" i="2" s="1"/>
  <c r="A2090" i="1"/>
  <c r="V2089" i="1"/>
  <c r="B2089" i="2" s="1"/>
  <c r="A2089" i="1"/>
  <c r="V2088" i="1"/>
  <c r="B2088" i="2" s="1"/>
  <c r="A2088" i="1"/>
  <c r="V2087" i="1"/>
  <c r="B2087" i="2" s="1"/>
  <c r="A2087" i="1"/>
  <c r="V2086" i="1"/>
  <c r="B2086" i="2" s="1"/>
  <c r="A2086" i="1"/>
  <c r="V2085" i="1"/>
  <c r="B2085" i="2" s="1"/>
  <c r="A2085" i="1"/>
  <c r="V2084" i="1"/>
  <c r="B2084" i="2" s="1"/>
  <c r="A2084" i="1"/>
  <c r="V2083" i="1"/>
  <c r="B2083" i="2" s="1"/>
  <c r="A2083" i="1"/>
  <c r="V2082" i="1"/>
  <c r="B2082" i="2" s="1"/>
  <c r="A2082" i="1"/>
  <c r="V2081" i="1"/>
  <c r="B2081" i="2" s="1"/>
  <c r="A2081" i="1"/>
  <c r="V2080" i="1"/>
  <c r="B2080" i="2" s="1"/>
  <c r="A2080" i="1"/>
  <c r="V2079" i="1"/>
  <c r="B2079" i="2" s="1"/>
  <c r="A2079" i="1"/>
  <c r="V2078" i="1"/>
  <c r="B2078" i="2" s="1"/>
  <c r="A2078" i="1"/>
  <c r="V2077" i="1"/>
  <c r="B2077" i="2" s="1"/>
  <c r="A2077" i="1"/>
  <c r="V2076" i="1"/>
  <c r="B2076" i="2" s="1"/>
  <c r="A2076" i="1"/>
  <c r="V2075" i="1"/>
  <c r="B2075" i="2" s="1"/>
  <c r="A2075" i="1"/>
  <c r="V2074" i="1"/>
  <c r="B2074" i="2" s="1"/>
  <c r="A2074" i="1"/>
  <c r="V2073" i="1"/>
  <c r="B2073" i="2" s="1"/>
  <c r="A2073" i="1"/>
  <c r="V2072" i="1"/>
  <c r="B2072" i="2" s="1"/>
  <c r="A2072" i="1"/>
  <c r="V2071" i="1"/>
  <c r="B2071" i="2" s="1"/>
  <c r="A2071" i="1"/>
  <c r="V2070" i="1"/>
  <c r="B2070" i="2" s="1"/>
  <c r="A2070" i="1"/>
  <c r="V2069" i="1"/>
  <c r="B2069" i="2" s="1"/>
  <c r="A2069" i="1"/>
  <c r="V2068" i="1"/>
  <c r="B2068" i="2" s="1"/>
  <c r="A2068" i="1"/>
  <c r="V2067" i="1"/>
  <c r="B2067" i="2" s="1"/>
  <c r="A2067" i="1"/>
  <c r="V2066" i="1"/>
  <c r="B2066" i="2" s="1"/>
  <c r="A2066" i="1"/>
  <c r="V2065" i="1"/>
  <c r="B2065" i="2" s="1"/>
  <c r="A2065" i="1"/>
  <c r="V2064" i="1"/>
  <c r="B2064" i="2" s="1"/>
  <c r="A2064" i="1"/>
  <c r="V2063" i="1"/>
  <c r="B2063" i="2" s="1"/>
  <c r="A2063" i="1"/>
  <c r="V2062" i="1"/>
  <c r="B2062" i="2" s="1"/>
  <c r="A2062" i="1"/>
  <c r="V2061" i="1"/>
  <c r="B2061" i="2" s="1"/>
  <c r="A2061" i="1"/>
  <c r="V2060" i="1"/>
  <c r="B2060" i="2" s="1"/>
  <c r="A2060" i="1"/>
  <c r="V2059" i="1"/>
  <c r="B2059" i="2" s="1"/>
  <c r="A2059" i="1"/>
  <c r="V2058" i="1"/>
  <c r="B2058" i="2" s="1"/>
  <c r="A2058" i="1"/>
  <c r="V2057" i="1"/>
  <c r="B2057" i="2" s="1"/>
  <c r="A2057" i="1"/>
  <c r="V2056" i="1"/>
  <c r="B2056" i="2" s="1"/>
  <c r="A2056" i="1"/>
  <c r="V2055" i="1"/>
  <c r="B2055" i="2" s="1"/>
  <c r="A2055" i="1"/>
  <c r="V2054" i="1"/>
  <c r="B2054" i="2" s="1"/>
  <c r="A2054" i="1"/>
  <c r="V2053" i="1"/>
  <c r="B2053" i="2" s="1"/>
  <c r="A2053" i="1"/>
  <c r="V2052" i="1"/>
  <c r="B2052" i="2" s="1"/>
  <c r="A2052" i="1"/>
  <c r="V2051" i="1"/>
  <c r="B2051" i="2" s="1"/>
  <c r="A2051" i="1"/>
  <c r="V2050" i="1"/>
  <c r="B2050" i="2" s="1"/>
  <c r="A2050" i="1"/>
  <c r="V2049" i="1"/>
  <c r="B2049" i="2" s="1"/>
  <c r="A2049" i="1"/>
  <c r="V2048" i="1"/>
  <c r="B2048" i="2" s="1"/>
  <c r="A2048" i="1"/>
  <c r="V2047" i="1"/>
  <c r="B2047" i="2" s="1"/>
  <c r="A2047" i="1"/>
  <c r="V2046" i="1"/>
  <c r="B2046" i="2" s="1"/>
  <c r="A2046" i="1"/>
  <c r="V2045" i="1"/>
  <c r="B2045" i="2" s="1"/>
  <c r="A2045" i="1"/>
  <c r="V2044" i="1"/>
  <c r="B2044" i="2" s="1"/>
  <c r="A2044" i="1"/>
  <c r="V2043" i="1"/>
  <c r="B2043" i="2" s="1"/>
  <c r="A2043" i="1"/>
  <c r="V2042" i="1"/>
  <c r="B2042" i="2" s="1"/>
  <c r="A2042" i="1"/>
  <c r="V2041" i="1"/>
  <c r="B2041" i="2" s="1"/>
  <c r="A2041" i="1"/>
  <c r="V2040" i="1"/>
  <c r="B2040" i="2" s="1"/>
  <c r="A2040" i="1"/>
  <c r="V2039" i="1"/>
  <c r="B2039" i="2" s="1"/>
  <c r="A2039" i="1"/>
  <c r="V2038" i="1"/>
  <c r="B2038" i="2" s="1"/>
  <c r="A2038" i="1"/>
  <c r="V2037" i="1"/>
  <c r="B2037" i="2" s="1"/>
  <c r="A2037" i="1"/>
  <c r="V2036" i="1"/>
  <c r="B2036" i="2" s="1"/>
  <c r="A2036" i="1"/>
  <c r="V2035" i="1"/>
  <c r="B2035" i="2" s="1"/>
  <c r="A2035" i="1"/>
  <c r="V2034" i="1"/>
  <c r="B2034" i="2" s="1"/>
  <c r="A2034" i="1"/>
  <c r="V2033" i="1"/>
  <c r="B2033" i="2" s="1"/>
  <c r="A2033" i="1"/>
  <c r="V2032" i="1"/>
  <c r="B2032" i="2" s="1"/>
  <c r="A2032" i="1"/>
  <c r="V2031" i="1"/>
  <c r="B2031" i="2" s="1"/>
  <c r="A2031" i="1"/>
  <c r="V2030" i="1"/>
  <c r="B2030" i="2" s="1"/>
  <c r="A2030" i="1"/>
  <c r="V2029" i="1"/>
  <c r="B2029" i="2" s="1"/>
  <c r="A2029" i="1"/>
  <c r="V2028" i="1"/>
  <c r="B2028" i="2" s="1"/>
  <c r="A2028" i="1"/>
  <c r="V2027" i="1"/>
  <c r="B2027" i="2" s="1"/>
  <c r="A2027" i="1"/>
  <c r="V2026" i="1"/>
  <c r="B2026" i="2" s="1"/>
  <c r="A2026" i="1"/>
  <c r="V2025" i="1"/>
  <c r="B2025" i="2" s="1"/>
  <c r="A2025" i="1"/>
  <c r="V2024" i="1"/>
  <c r="B2024" i="2" s="1"/>
  <c r="A2024" i="1"/>
  <c r="V2023" i="1"/>
  <c r="B2023" i="2" s="1"/>
  <c r="A2023" i="1"/>
  <c r="V2022" i="1"/>
  <c r="B2022" i="2" s="1"/>
  <c r="A2022" i="1"/>
  <c r="V2021" i="1"/>
  <c r="B2021" i="2" s="1"/>
  <c r="A2021" i="1"/>
  <c r="V2020" i="1"/>
  <c r="B2020" i="2" s="1"/>
  <c r="A2020" i="1"/>
  <c r="V2019" i="1"/>
  <c r="B2019" i="2" s="1"/>
  <c r="A2019" i="1"/>
  <c r="V2018" i="1"/>
  <c r="B2018" i="2" s="1"/>
  <c r="A2018" i="1"/>
  <c r="V2017" i="1"/>
  <c r="B2017" i="2" s="1"/>
  <c r="A2017" i="1"/>
  <c r="V2016" i="1"/>
  <c r="B2016" i="2" s="1"/>
  <c r="A2016" i="1"/>
  <c r="V2015" i="1"/>
  <c r="B2015" i="2" s="1"/>
  <c r="A2015" i="1"/>
  <c r="V2014" i="1"/>
  <c r="B2014" i="2" s="1"/>
  <c r="A2014" i="1"/>
  <c r="V2013" i="1"/>
  <c r="B2013" i="2" s="1"/>
  <c r="A2013" i="1"/>
  <c r="V2012" i="1"/>
  <c r="B2012" i="2" s="1"/>
  <c r="A2012" i="1"/>
  <c r="V2011" i="1"/>
  <c r="B2011" i="2" s="1"/>
  <c r="A2011" i="1"/>
  <c r="V2010" i="1"/>
  <c r="B2010" i="2" s="1"/>
  <c r="A2010" i="1"/>
  <c r="V2009" i="1"/>
  <c r="B2009" i="2" s="1"/>
  <c r="A2009" i="1"/>
  <c r="V2008" i="1"/>
  <c r="B2008" i="2" s="1"/>
  <c r="A2008" i="1"/>
  <c r="V2007" i="1"/>
  <c r="B2007" i="2" s="1"/>
  <c r="A2007" i="1"/>
  <c r="V2006" i="1"/>
  <c r="B2006" i="2" s="1"/>
  <c r="A2006" i="1"/>
  <c r="V2005" i="1"/>
  <c r="B2005" i="2" s="1"/>
  <c r="A2005" i="1"/>
  <c r="V2004" i="1"/>
  <c r="B2004" i="2" s="1"/>
  <c r="A2004" i="1"/>
  <c r="V2003" i="1"/>
  <c r="B2003" i="2" s="1"/>
  <c r="A2003" i="1"/>
  <c r="V2002" i="1"/>
  <c r="B2002" i="2" s="1"/>
  <c r="A2002" i="1"/>
  <c r="V2001" i="1"/>
  <c r="B2001" i="2" s="1"/>
  <c r="A2001" i="1"/>
  <c r="V2000" i="1"/>
  <c r="B2000" i="2" s="1"/>
  <c r="A2000" i="1"/>
  <c r="V1999" i="1"/>
  <c r="B1999" i="2" s="1"/>
  <c r="A1999" i="1"/>
  <c r="V1998" i="1"/>
  <c r="B1998" i="2" s="1"/>
  <c r="A1998" i="1"/>
  <c r="V1997" i="1"/>
  <c r="B1997" i="2" s="1"/>
  <c r="A1997" i="1"/>
  <c r="V1996" i="1"/>
  <c r="B1996" i="2" s="1"/>
  <c r="A1996" i="1"/>
  <c r="V1995" i="1"/>
  <c r="B1995" i="2" s="1"/>
  <c r="A1995" i="1"/>
  <c r="V1994" i="1"/>
  <c r="B1994" i="2" s="1"/>
  <c r="A1994" i="1"/>
  <c r="V1993" i="1"/>
  <c r="B1993" i="2" s="1"/>
  <c r="A1993" i="1"/>
  <c r="V1992" i="1"/>
  <c r="B1992" i="2" s="1"/>
  <c r="A1992" i="1"/>
  <c r="V1991" i="1"/>
  <c r="B1991" i="2" s="1"/>
  <c r="A1991" i="1"/>
  <c r="V1990" i="1"/>
  <c r="B1990" i="2" s="1"/>
  <c r="A1990" i="1"/>
  <c r="V1989" i="1"/>
  <c r="B1989" i="2" s="1"/>
  <c r="A1989" i="1"/>
  <c r="V1988" i="1"/>
  <c r="B1988" i="2" s="1"/>
  <c r="A1988" i="1"/>
  <c r="V1987" i="1"/>
  <c r="B1987" i="2" s="1"/>
  <c r="A1987" i="1"/>
  <c r="V1986" i="1"/>
  <c r="B1986" i="2" s="1"/>
  <c r="A1986" i="1"/>
  <c r="V1985" i="1"/>
  <c r="B1985" i="2" s="1"/>
  <c r="A1985" i="1"/>
  <c r="V1984" i="1"/>
  <c r="B1984" i="2" s="1"/>
  <c r="A1984" i="1"/>
  <c r="V1983" i="1"/>
  <c r="B1983" i="2" s="1"/>
  <c r="A1983" i="1"/>
  <c r="V1982" i="1"/>
  <c r="B1982" i="2" s="1"/>
  <c r="A1982" i="1"/>
  <c r="V1981" i="1"/>
  <c r="B1981" i="2" s="1"/>
  <c r="A1981" i="1"/>
  <c r="V1980" i="1"/>
  <c r="B1980" i="2" s="1"/>
  <c r="A1980" i="1"/>
  <c r="V1979" i="1"/>
  <c r="B1979" i="2" s="1"/>
  <c r="A1979" i="1"/>
  <c r="V1978" i="1"/>
  <c r="B1978" i="2" s="1"/>
  <c r="A1978" i="1"/>
  <c r="V1977" i="1"/>
  <c r="B1977" i="2" s="1"/>
  <c r="A1977" i="1"/>
  <c r="V1976" i="1"/>
  <c r="B1976" i="2" s="1"/>
  <c r="A1976" i="1"/>
  <c r="V1975" i="1"/>
  <c r="B1975" i="2" s="1"/>
  <c r="A1975" i="1"/>
  <c r="V1974" i="1"/>
  <c r="B1974" i="2" s="1"/>
  <c r="A1974" i="1"/>
  <c r="V1973" i="1"/>
  <c r="B1973" i="2" s="1"/>
  <c r="A1973" i="1"/>
  <c r="V1972" i="1"/>
  <c r="B1972" i="2" s="1"/>
  <c r="A1972" i="1"/>
  <c r="V1971" i="1"/>
  <c r="B1971" i="2" s="1"/>
  <c r="A1971" i="1"/>
  <c r="V1970" i="1"/>
  <c r="B1970" i="2" s="1"/>
  <c r="A1970" i="1"/>
  <c r="V1969" i="1"/>
  <c r="B1969" i="2" s="1"/>
  <c r="A1969" i="1"/>
  <c r="V1968" i="1"/>
  <c r="B1968" i="2" s="1"/>
  <c r="A1968" i="1"/>
  <c r="V1967" i="1"/>
  <c r="B1967" i="2" s="1"/>
  <c r="A1967" i="1"/>
  <c r="V1966" i="1"/>
  <c r="B1966" i="2" s="1"/>
  <c r="A1966" i="1"/>
  <c r="V1965" i="1"/>
  <c r="B1965" i="2" s="1"/>
  <c r="A1965" i="1"/>
  <c r="V1964" i="1"/>
  <c r="B1964" i="2" s="1"/>
  <c r="A1964" i="1"/>
  <c r="V1963" i="1"/>
  <c r="B1963" i="2" s="1"/>
  <c r="A1963" i="1"/>
  <c r="V1962" i="1"/>
  <c r="B1962" i="2" s="1"/>
  <c r="A1962" i="1"/>
  <c r="V1961" i="1"/>
  <c r="B1961" i="2" s="1"/>
  <c r="A1961" i="1"/>
  <c r="V1960" i="1"/>
  <c r="B1960" i="2" s="1"/>
  <c r="A1960" i="1"/>
  <c r="V1959" i="1"/>
  <c r="B1959" i="2" s="1"/>
  <c r="A1959" i="1"/>
  <c r="V1958" i="1"/>
  <c r="B1958" i="2" s="1"/>
  <c r="A1958" i="1"/>
  <c r="V1957" i="1"/>
  <c r="B1957" i="2" s="1"/>
  <c r="A1957" i="1"/>
  <c r="V1956" i="1"/>
  <c r="B1956" i="2" s="1"/>
  <c r="A1956" i="1"/>
  <c r="V1955" i="1"/>
  <c r="B1955" i="2" s="1"/>
  <c r="A1955" i="1"/>
  <c r="V1954" i="1"/>
  <c r="B1954" i="2" s="1"/>
  <c r="A1954" i="1"/>
  <c r="V1953" i="1"/>
  <c r="B1953" i="2" s="1"/>
  <c r="A1953" i="1"/>
  <c r="V1952" i="1"/>
  <c r="B1952" i="2" s="1"/>
  <c r="A1952" i="1"/>
  <c r="V1951" i="1"/>
  <c r="B1951" i="2" s="1"/>
  <c r="A1951" i="1"/>
  <c r="V1950" i="1"/>
  <c r="B1950" i="2" s="1"/>
  <c r="A1950" i="1"/>
  <c r="V1949" i="1"/>
  <c r="B1949" i="2" s="1"/>
  <c r="A1949" i="1"/>
  <c r="V1948" i="1"/>
  <c r="B1948" i="2" s="1"/>
  <c r="A1948" i="1"/>
  <c r="V1947" i="1"/>
  <c r="B1947" i="2" s="1"/>
  <c r="A1947" i="1"/>
  <c r="V1946" i="1"/>
  <c r="B1946" i="2" s="1"/>
  <c r="A1946" i="1"/>
  <c r="V1945" i="1"/>
  <c r="B1945" i="2" s="1"/>
  <c r="A1945" i="1"/>
  <c r="V1944" i="1"/>
  <c r="B1944" i="2" s="1"/>
  <c r="A1944" i="1"/>
  <c r="V1943" i="1"/>
  <c r="B1943" i="2" s="1"/>
  <c r="A1943" i="1"/>
  <c r="V1942" i="1"/>
  <c r="B1942" i="2" s="1"/>
  <c r="A1942" i="1"/>
  <c r="V1941" i="1"/>
  <c r="B1941" i="2" s="1"/>
  <c r="A1941" i="1"/>
  <c r="V1940" i="1"/>
  <c r="B1940" i="2" s="1"/>
  <c r="A1940" i="1"/>
  <c r="V1939" i="1"/>
  <c r="B1939" i="2" s="1"/>
  <c r="A1939" i="1"/>
  <c r="V1938" i="1"/>
  <c r="B1938" i="2" s="1"/>
  <c r="A1938" i="1"/>
  <c r="V1937" i="1"/>
  <c r="B1937" i="2" s="1"/>
  <c r="A1937" i="1"/>
  <c r="V1936" i="1"/>
  <c r="B1936" i="2" s="1"/>
  <c r="A1936" i="1"/>
  <c r="V1935" i="1"/>
  <c r="B1935" i="2" s="1"/>
  <c r="A1935" i="1"/>
  <c r="V1934" i="1"/>
  <c r="B1934" i="2" s="1"/>
  <c r="A1934" i="1"/>
  <c r="V1933" i="1"/>
  <c r="B1933" i="2" s="1"/>
  <c r="A1933" i="1"/>
  <c r="V1932" i="1"/>
  <c r="B1932" i="2" s="1"/>
  <c r="A1932" i="1"/>
  <c r="V1931" i="1"/>
  <c r="B1931" i="2" s="1"/>
  <c r="A1931" i="1"/>
  <c r="V1930" i="1"/>
  <c r="B1930" i="2" s="1"/>
  <c r="A1930" i="1"/>
  <c r="V1929" i="1"/>
  <c r="B1929" i="2" s="1"/>
  <c r="A1929" i="1"/>
  <c r="V1928" i="1"/>
  <c r="B1928" i="2" s="1"/>
  <c r="A1928" i="1"/>
  <c r="V1927" i="1"/>
  <c r="B1927" i="2" s="1"/>
  <c r="A1927" i="1"/>
  <c r="V1926" i="1"/>
  <c r="B1926" i="2" s="1"/>
  <c r="A1926" i="1"/>
  <c r="V1925" i="1"/>
  <c r="B1925" i="2" s="1"/>
  <c r="A1925" i="1"/>
  <c r="V1924" i="1"/>
  <c r="B1924" i="2" s="1"/>
  <c r="A1924" i="1"/>
  <c r="V1923" i="1"/>
  <c r="B1923" i="2" s="1"/>
  <c r="A1923" i="1"/>
  <c r="V1922" i="1"/>
  <c r="B1922" i="2" s="1"/>
  <c r="A1922" i="1"/>
  <c r="V1921" i="1"/>
  <c r="B1921" i="2" s="1"/>
  <c r="A1921" i="1"/>
  <c r="V1920" i="1"/>
  <c r="B1920" i="2" s="1"/>
  <c r="A1920" i="1"/>
  <c r="V1919" i="1"/>
  <c r="B1919" i="2" s="1"/>
  <c r="A1919" i="1"/>
  <c r="V1918" i="1"/>
  <c r="B1918" i="2" s="1"/>
  <c r="A1918" i="1"/>
  <c r="V1917" i="1"/>
  <c r="B1917" i="2" s="1"/>
  <c r="A1917" i="1"/>
  <c r="V1916" i="1"/>
  <c r="B1916" i="2" s="1"/>
  <c r="A1916" i="1"/>
  <c r="V1915" i="1"/>
  <c r="B1915" i="2" s="1"/>
  <c r="A1915" i="1"/>
  <c r="V1914" i="1"/>
  <c r="B1914" i="2" s="1"/>
  <c r="A1914" i="1"/>
  <c r="V1913" i="1"/>
  <c r="B1913" i="2" s="1"/>
  <c r="A1913" i="1"/>
  <c r="V1912" i="1"/>
  <c r="B1912" i="2" s="1"/>
  <c r="A1912" i="1"/>
  <c r="V1911" i="1"/>
  <c r="B1911" i="2" s="1"/>
  <c r="A1911" i="1"/>
  <c r="V1910" i="1"/>
  <c r="B1910" i="2" s="1"/>
  <c r="A1910" i="1"/>
  <c r="V1909" i="1"/>
  <c r="B1909" i="2" s="1"/>
  <c r="A1909" i="1"/>
  <c r="V1908" i="1"/>
  <c r="B1908" i="2" s="1"/>
  <c r="A1908" i="1"/>
  <c r="V1907" i="1"/>
  <c r="B1907" i="2" s="1"/>
  <c r="A1907" i="1"/>
  <c r="V1906" i="1"/>
  <c r="B1906" i="2" s="1"/>
  <c r="A1906" i="1"/>
  <c r="V1905" i="1"/>
  <c r="B1905" i="2" s="1"/>
  <c r="A1905" i="1"/>
  <c r="V1904" i="1"/>
  <c r="B1904" i="2" s="1"/>
  <c r="A1904" i="1"/>
  <c r="V1903" i="1"/>
  <c r="B1903" i="2" s="1"/>
  <c r="A1903" i="1"/>
  <c r="V1902" i="1"/>
  <c r="B1902" i="2" s="1"/>
  <c r="A1902" i="1"/>
  <c r="V1901" i="1"/>
  <c r="B1901" i="2" s="1"/>
  <c r="A1901" i="1"/>
  <c r="V1900" i="1"/>
  <c r="B1900" i="2" s="1"/>
  <c r="A1900" i="1"/>
  <c r="V1899" i="1"/>
  <c r="B1899" i="2" s="1"/>
  <c r="A1899" i="1"/>
  <c r="V1898" i="1"/>
  <c r="B1898" i="2" s="1"/>
  <c r="A1898" i="1"/>
  <c r="V1897" i="1"/>
  <c r="B1897" i="2" s="1"/>
  <c r="A1897" i="1"/>
  <c r="V1896" i="1"/>
  <c r="B1896" i="2" s="1"/>
  <c r="A1896" i="1"/>
  <c r="V1895" i="1"/>
  <c r="B1895" i="2" s="1"/>
  <c r="A1895" i="1"/>
  <c r="V1894" i="1"/>
  <c r="B1894" i="2" s="1"/>
  <c r="A1894" i="1"/>
  <c r="V1893" i="1"/>
  <c r="B1893" i="2" s="1"/>
  <c r="A1893" i="1"/>
  <c r="V1892" i="1"/>
  <c r="B1892" i="2" s="1"/>
  <c r="A1892" i="1"/>
  <c r="V1891" i="1"/>
  <c r="B1891" i="2" s="1"/>
  <c r="A1891" i="1"/>
  <c r="V1890" i="1"/>
  <c r="B1890" i="2" s="1"/>
  <c r="A1890" i="1"/>
  <c r="V1889" i="1"/>
  <c r="B1889" i="2" s="1"/>
  <c r="A1889" i="1"/>
  <c r="V1888" i="1"/>
  <c r="B1888" i="2" s="1"/>
  <c r="A1888" i="1"/>
  <c r="V1887" i="1"/>
  <c r="B1887" i="2" s="1"/>
  <c r="A1887" i="1"/>
  <c r="V1886" i="1"/>
  <c r="B1886" i="2" s="1"/>
  <c r="A1886" i="1"/>
  <c r="V1885" i="1"/>
  <c r="B1885" i="2" s="1"/>
  <c r="A1885" i="1"/>
  <c r="V1884" i="1"/>
  <c r="B1884" i="2" s="1"/>
  <c r="A1884" i="1"/>
  <c r="V1883" i="1"/>
  <c r="B1883" i="2" s="1"/>
  <c r="A1883" i="1"/>
  <c r="V1882" i="1"/>
  <c r="B1882" i="2" s="1"/>
  <c r="A1882" i="1"/>
  <c r="V1881" i="1"/>
  <c r="B1881" i="2" s="1"/>
  <c r="A1881" i="1"/>
  <c r="V1880" i="1"/>
  <c r="B1880" i="2" s="1"/>
  <c r="A1880" i="1"/>
  <c r="V1879" i="1"/>
  <c r="B1879" i="2" s="1"/>
  <c r="A1879" i="1"/>
  <c r="V1878" i="1"/>
  <c r="B1878" i="2" s="1"/>
  <c r="A1878" i="1"/>
  <c r="V1877" i="1"/>
  <c r="B1877" i="2" s="1"/>
  <c r="A1877" i="1"/>
  <c r="V1876" i="1"/>
  <c r="B1876" i="2" s="1"/>
  <c r="A1876" i="1"/>
  <c r="V1875" i="1"/>
  <c r="B1875" i="2" s="1"/>
  <c r="A1875" i="1"/>
  <c r="V1874" i="1"/>
  <c r="B1874" i="2" s="1"/>
  <c r="A1874" i="1"/>
  <c r="V1873" i="1"/>
  <c r="B1873" i="2" s="1"/>
  <c r="A1873" i="1"/>
  <c r="V1872" i="1"/>
  <c r="B1872" i="2" s="1"/>
  <c r="A1872" i="1"/>
  <c r="V1871" i="1"/>
  <c r="B1871" i="2" s="1"/>
  <c r="A1871" i="1"/>
  <c r="V1870" i="1"/>
  <c r="B1870" i="2" s="1"/>
  <c r="A1870" i="1"/>
  <c r="V1869" i="1"/>
  <c r="B1869" i="2" s="1"/>
  <c r="A1869" i="1"/>
  <c r="V1868" i="1"/>
  <c r="B1868" i="2" s="1"/>
  <c r="A1868" i="1"/>
  <c r="V1867" i="1"/>
  <c r="B1867" i="2" s="1"/>
  <c r="A1867" i="1"/>
  <c r="V1866" i="1"/>
  <c r="B1866" i="2" s="1"/>
  <c r="A1866" i="1"/>
  <c r="V1865" i="1"/>
  <c r="B1865" i="2" s="1"/>
  <c r="A1865" i="1"/>
  <c r="V1864" i="1"/>
  <c r="B1864" i="2" s="1"/>
  <c r="A1864" i="1"/>
  <c r="V1863" i="1"/>
  <c r="B1863" i="2" s="1"/>
  <c r="A1863" i="1"/>
  <c r="V1862" i="1"/>
  <c r="B1862" i="2" s="1"/>
  <c r="A1862" i="1"/>
  <c r="V1861" i="1"/>
  <c r="B1861" i="2" s="1"/>
  <c r="A1861" i="1"/>
  <c r="V1860" i="1"/>
  <c r="B1860" i="2" s="1"/>
  <c r="A1860" i="1"/>
  <c r="V1859" i="1"/>
  <c r="B1859" i="2" s="1"/>
  <c r="A1859" i="1"/>
  <c r="V1858" i="1"/>
  <c r="B1858" i="2" s="1"/>
  <c r="A1858" i="1"/>
  <c r="V1857" i="1"/>
  <c r="B1857" i="2" s="1"/>
  <c r="A1857" i="1"/>
  <c r="V1856" i="1"/>
  <c r="B1856" i="2" s="1"/>
  <c r="A1856" i="1"/>
  <c r="V1855" i="1"/>
  <c r="B1855" i="2" s="1"/>
  <c r="A1855" i="1"/>
  <c r="V1854" i="1"/>
  <c r="B1854" i="2" s="1"/>
  <c r="A1854" i="1"/>
  <c r="V1853" i="1"/>
  <c r="B1853" i="2" s="1"/>
  <c r="A1853" i="1"/>
  <c r="V1852" i="1"/>
  <c r="B1852" i="2" s="1"/>
  <c r="A1852" i="1"/>
  <c r="V1851" i="1"/>
  <c r="B1851" i="2" s="1"/>
  <c r="A1851" i="1"/>
  <c r="V1850" i="1"/>
  <c r="B1850" i="2" s="1"/>
  <c r="A1850" i="1"/>
  <c r="V1849" i="1"/>
  <c r="B1849" i="2" s="1"/>
  <c r="A1849" i="1"/>
  <c r="V1848" i="1"/>
  <c r="B1848" i="2" s="1"/>
  <c r="A1848" i="1"/>
  <c r="V1847" i="1"/>
  <c r="B1847" i="2" s="1"/>
  <c r="A1847" i="1"/>
  <c r="V1846" i="1"/>
  <c r="B1846" i="2" s="1"/>
  <c r="A1846" i="1"/>
  <c r="V1845" i="1"/>
  <c r="B1845" i="2" s="1"/>
  <c r="A1845" i="1"/>
  <c r="V1844" i="1"/>
  <c r="B1844" i="2" s="1"/>
  <c r="A1844" i="1"/>
  <c r="V1843" i="1"/>
  <c r="B1843" i="2" s="1"/>
  <c r="A1843" i="1"/>
  <c r="V1842" i="1"/>
  <c r="B1842" i="2" s="1"/>
  <c r="A1842" i="1"/>
  <c r="V1841" i="1"/>
  <c r="B1841" i="2" s="1"/>
  <c r="A1841" i="1"/>
  <c r="V1840" i="1"/>
  <c r="B1840" i="2" s="1"/>
  <c r="A1840" i="1"/>
  <c r="V1839" i="1"/>
  <c r="B1839" i="2" s="1"/>
  <c r="A1839" i="1"/>
  <c r="V1838" i="1"/>
  <c r="B1838" i="2" s="1"/>
  <c r="A1838" i="1"/>
  <c r="V1837" i="1"/>
  <c r="B1837" i="2" s="1"/>
  <c r="A1837" i="1"/>
  <c r="V1836" i="1"/>
  <c r="B1836" i="2" s="1"/>
  <c r="A1836" i="1"/>
  <c r="V1835" i="1"/>
  <c r="B1835" i="2" s="1"/>
  <c r="A1835" i="1"/>
  <c r="V1834" i="1"/>
  <c r="B1834" i="2" s="1"/>
  <c r="A1834" i="1"/>
  <c r="V1833" i="1"/>
  <c r="B1833" i="2" s="1"/>
  <c r="A1833" i="1"/>
  <c r="V1832" i="1"/>
  <c r="B1832" i="2" s="1"/>
  <c r="A1832" i="1"/>
  <c r="V1831" i="1"/>
  <c r="B1831" i="2" s="1"/>
  <c r="A1831" i="1"/>
  <c r="V1830" i="1"/>
  <c r="B1830" i="2" s="1"/>
  <c r="A1830" i="1"/>
  <c r="V1829" i="1"/>
  <c r="B1829" i="2" s="1"/>
  <c r="A1829" i="1"/>
  <c r="V1828" i="1"/>
  <c r="B1828" i="2" s="1"/>
  <c r="A1828" i="1"/>
  <c r="V1827" i="1"/>
  <c r="B1827" i="2" s="1"/>
  <c r="A1827" i="1"/>
  <c r="V1826" i="1"/>
  <c r="B1826" i="2" s="1"/>
  <c r="A1826" i="1"/>
  <c r="V1825" i="1"/>
  <c r="B1825" i="2" s="1"/>
  <c r="A1825" i="1"/>
  <c r="V1824" i="1"/>
  <c r="B1824" i="2" s="1"/>
  <c r="A1824" i="1"/>
  <c r="V1823" i="1"/>
  <c r="B1823" i="2" s="1"/>
  <c r="A1823" i="1"/>
  <c r="V1822" i="1"/>
  <c r="B1822" i="2" s="1"/>
  <c r="A1822" i="1"/>
  <c r="V1821" i="1"/>
  <c r="B1821" i="2" s="1"/>
  <c r="A1821" i="1"/>
  <c r="V1820" i="1"/>
  <c r="B1820" i="2" s="1"/>
  <c r="A1820" i="1"/>
  <c r="V1819" i="1"/>
  <c r="B1819" i="2" s="1"/>
  <c r="A1819" i="1"/>
  <c r="V1818" i="1"/>
  <c r="B1818" i="2" s="1"/>
  <c r="A1818" i="1"/>
  <c r="V1817" i="1"/>
  <c r="B1817" i="2" s="1"/>
  <c r="A1817" i="1"/>
  <c r="V1816" i="1"/>
  <c r="B1816" i="2" s="1"/>
  <c r="A1816" i="1"/>
  <c r="V1815" i="1"/>
  <c r="B1815" i="2" s="1"/>
  <c r="A1815" i="1"/>
  <c r="V1814" i="1"/>
  <c r="B1814" i="2" s="1"/>
  <c r="A1814" i="1"/>
  <c r="V1813" i="1"/>
  <c r="B1813" i="2" s="1"/>
  <c r="A1813" i="1"/>
  <c r="V1812" i="1"/>
  <c r="B1812" i="2" s="1"/>
  <c r="A1812" i="1"/>
  <c r="V1811" i="1"/>
  <c r="B1811" i="2" s="1"/>
  <c r="A1811" i="1"/>
  <c r="V1810" i="1"/>
  <c r="B1810" i="2" s="1"/>
  <c r="A1810" i="1"/>
  <c r="V1809" i="1"/>
  <c r="B1809" i="2" s="1"/>
  <c r="A1809" i="1"/>
  <c r="V1808" i="1"/>
  <c r="B1808" i="2" s="1"/>
  <c r="A1808" i="1"/>
  <c r="V1807" i="1"/>
  <c r="B1807" i="2" s="1"/>
  <c r="A1807" i="1"/>
  <c r="V1806" i="1"/>
  <c r="B1806" i="2" s="1"/>
  <c r="A1806" i="1"/>
  <c r="V1805" i="1"/>
  <c r="B1805" i="2" s="1"/>
  <c r="A1805" i="1"/>
  <c r="V1804" i="1"/>
  <c r="B1804" i="2" s="1"/>
  <c r="A1804" i="1"/>
  <c r="V1803" i="1"/>
  <c r="B1803" i="2" s="1"/>
  <c r="A1803" i="1"/>
  <c r="V1802" i="1"/>
  <c r="B1802" i="2" s="1"/>
  <c r="A1802" i="1"/>
  <c r="V1801" i="1"/>
  <c r="B1801" i="2" s="1"/>
  <c r="A1801" i="1"/>
  <c r="V1800" i="1"/>
  <c r="B1800" i="2" s="1"/>
  <c r="A1800" i="1"/>
  <c r="V1799" i="1"/>
  <c r="B1799" i="2" s="1"/>
  <c r="A1799" i="1"/>
  <c r="V1798" i="1"/>
  <c r="B1798" i="2" s="1"/>
  <c r="A1798" i="1"/>
  <c r="V1797" i="1"/>
  <c r="B1797" i="2" s="1"/>
  <c r="A1797" i="1"/>
  <c r="V1796" i="1"/>
  <c r="B1796" i="2" s="1"/>
  <c r="A1796" i="1"/>
  <c r="V1795" i="1"/>
  <c r="B1795" i="2" s="1"/>
  <c r="A1795" i="1"/>
  <c r="V1794" i="1"/>
  <c r="B1794" i="2" s="1"/>
  <c r="A1794" i="1"/>
  <c r="V1793" i="1"/>
  <c r="B1793" i="2" s="1"/>
  <c r="A1793" i="1"/>
  <c r="V1792" i="1"/>
  <c r="B1792" i="2" s="1"/>
  <c r="A1792" i="1"/>
  <c r="V1791" i="1"/>
  <c r="B1791" i="2" s="1"/>
  <c r="A1791" i="1"/>
  <c r="V1790" i="1"/>
  <c r="B1790" i="2" s="1"/>
  <c r="A1790" i="1"/>
  <c r="V1789" i="1"/>
  <c r="B1789" i="2" s="1"/>
  <c r="A1789" i="1"/>
  <c r="V1788" i="1"/>
  <c r="B1788" i="2" s="1"/>
  <c r="A1788" i="1"/>
  <c r="V1787" i="1"/>
  <c r="B1787" i="2" s="1"/>
  <c r="A1787" i="1"/>
  <c r="V1786" i="1"/>
  <c r="B1786" i="2" s="1"/>
  <c r="A1786" i="1"/>
  <c r="V1785" i="1"/>
  <c r="B1785" i="2" s="1"/>
  <c r="A1785" i="1"/>
  <c r="V1784" i="1"/>
  <c r="B1784" i="2" s="1"/>
  <c r="A1784" i="1"/>
  <c r="V1783" i="1"/>
  <c r="B1783" i="2" s="1"/>
  <c r="A1783" i="1"/>
  <c r="V1782" i="1"/>
  <c r="B1782" i="2" s="1"/>
  <c r="A1782" i="1"/>
  <c r="V1781" i="1"/>
  <c r="B1781" i="2" s="1"/>
  <c r="A1781" i="1"/>
  <c r="V1780" i="1"/>
  <c r="B1780" i="2" s="1"/>
  <c r="A1780" i="1"/>
  <c r="V1779" i="1"/>
  <c r="B1779" i="2" s="1"/>
  <c r="A1779" i="1"/>
  <c r="V1778" i="1"/>
  <c r="B1778" i="2" s="1"/>
  <c r="A1778" i="1"/>
  <c r="V1777" i="1"/>
  <c r="B1777" i="2" s="1"/>
  <c r="A1777" i="1"/>
  <c r="V1776" i="1"/>
  <c r="B1776" i="2" s="1"/>
  <c r="A1776" i="1"/>
  <c r="V1775" i="1"/>
  <c r="B1775" i="2" s="1"/>
  <c r="A1775" i="1"/>
  <c r="V1774" i="1"/>
  <c r="B1774" i="2" s="1"/>
  <c r="A1774" i="1"/>
  <c r="V1773" i="1"/>
  <c r="B1773" i="2" s="1"/>
  <c r="A1773" i="1"/>
  <c r="V1772" i="1"/>
  <c r="B1772" i="2" s="1"/>
  <c r="A1772" i="1"/>
  <c r="V1771" i="1"/>
  <c r="B1771" i="2" s="1"/>
  <c r="A1771" i="1"/>
  <c r="V1770" i="1"/>
  <c r="B1770" i="2" s="1"/>
  <c r="A1770" i="1"/>
  <c r="V1769" i="1"/>
  <c r="B1769" i="2" s="1"/>
  <c r="A1769" i="1"/>
  <c r="V1768" i="1"/>
  <c r="B1768" i="2" s="1"/>
  <c r="A1768" i="1"/>
  <c r="V1767" i="1"/>
  <c r="B1767" i="2" s="1"/>
  <c r="A1767" i="1"/>
  <c r="V1766" i="1"/>
  <c r="B1766" i="2" s="1"/>
  <c r="A1766" i="1"/>
  <c r="V1765" i="1"/>
  <c r="B1765" i="2" s="1"/>
  <c r="A1765" i="1"/>
  <c r="V1764" i="1"/>
  <c r="B1764" i="2" s="1"/>
  <c r="A1764" i="1"/>
  <c r="V1763" i="1"/>
  <c r="B1763" i="2" s="1"/>
  <c r="A1763" i="1"/>
  <c r="V1762" i="1"/>
  <c r="B1762" i="2" s="1"/>
  <c r="A1762" i="1"/>
  <c r="V1761" i="1"/>
  <c r="B1761" i="2" s="1"/>
  <c r="A1761" i="1"/>
  <c r="V1760" i="1"/>
  <c r="B1760" i="2" s="1"/>
  <c r="A1760" i="1"/>
  <c r="V1759" i="1"/>
  <c r="B1759" i="2" s="1"/>
  <c r="A1759" i="1"/>
  <c r="V1758" i="1"/>
  <c r="B1758" i="2" s="1"/>
  <c r="A1758" i="1"/>
  <c r="V1757" i="1"/>
  <c r="B1757" i="2" s="1"/>
  <c r="A1757" i="1"/>
  <c r="V1756" i="1"/>
  <c r="B1756" i="2" s="1"/>
  <c r="A1756" i="1"/>
  <c r="V1755" i="1"/>
  <c r="B1755" i="2" s="1"/>
  <c r="A1755" i="1"/>
  <c r="V1754" i="1"/>
  <c r="B1754" i="2" s="1"/>
  <c r="A1754" i="1"/>
  <c r="V1753" i="1"/>
  <c r="B1753" i="2" s="1"/>
  <c r="A1753" i="1"/>
  <c r="V1752" i="1"/>
  <c r="B1752" i="2" s="1"/>
  <c r="A1752" i="1"/>
  <c r="V1751" i="1"/>
  <c r="B1751" i="2" s="1"/>
  <c r="A1751" i="1"/>
  <c r="V1750" i="1"/>
  <c r="B1750" i="2" s="1"/>
  <c r="A1750" i="1"/>
  <c r="V1749" i="1"/>
  <c r="B1749" i="2" s="1"/>
  <c r="A1749" i="1"/>
  <c r="V1748" i="1"/>
  <c r="B1748" i="2" s="1"/>
  <c r="A1748" i="1"/>
  <c r="V1747" i="1"/>
  <c r="B1747" i="2" s="1"/>
  <c r="A1747" i="1"/>
  <c r="V1746" i="1"/>
  <c r="B1746" i="2" s="1"/>
  <c r="A1746" i="1"/>
  <c r="V1745" i="1"/>
  <c r="B1745" i="2" s="1"/>
  <c r="A1745" i="1"/>
  <c r="V1744" i="1"/>
  <c r="B1744" i="2" s="1"/>
  <c r="A1744" i="1"/>
  <c r="V1743" i="1"/>
  <c r="B1743" i="2" s="1"/>
  <c r="A1743" i="1"/>
  <c r="V1742" i="1"/>
  <c r="B1742" i="2" s="1"/>
  <c r="A1742" i="1"/>
  <c r="V1741" i="1"/>
  <c r="B1741" i="2" s="1"/>
  <c r="A1741" i="1"/>
  <c r="V1740" i="1"/>
  <c r="B1740" i="2" s="1"/>
  <c r="A1740" i="1"/>
  <c r="V1739" i="1"/>
  <c r="B1739" i="2" s="1"/>
  <c r="A1739" i="1"/>
  <c r="V1738" i="1"/>
  <c r="B1738" i="2" s="1"/>
  <c r="A1738" i="1"/>
  <c r="V1737" i="1"/>
  <c r="B1737" i="2" s="1"/>
  <c r="A1737" i="1"/>
  <c r="V1736" i="1"/>
  <c r="B1736" i="2" s="1"/>
  <c r="A1736" i="1"/>
  <c r="V1735" i="1"/>
  <c r="B1735" i="2" s="1"/>
  <c r="A1735" i="1"/>
  <c r="V1734" i="1"/>
  <c r="B1734" i="2" s="1"/>
  <c r="A1734" i="1"/>
  <c r="V1733" i="1"/>
  <c r="B1733" i="2" s="1"/>
  <c r="A1733" i="1"/>
  <c r="V1732" i="1"/>
  <c r="B1732" i="2" s="1"/>
  <c r="A1732" i="1"/>
  <c r="V1731" i="1"/>
  <c r="B1731" i="2" s="1"/>
  <c r="A1731" i="1"/>
  <c r="V1730" i="1"/>
  <c r="B1730" i="2" s="1"/>
  <c r="A1730" i="1"/>
  <c r="V1729" i="1"/>
  <c r="B1729" i="2" s="1"/>
  <c r="A1729" i="1"/>
  <c r="V1728" i="1"/>
  <c r="B1728" i="2" s="1"/>
  <c r="A1728" i="1"/>
  <c r="V1727" i="1"/>
  <c r="B1727" i="2" s="1"/>
  <c r="A1727" i="1"/>
  <c r="V1726" i="1"/>
  <c r="B1726" i="2" s="1"/>
  <c r="A1726" i="1"/>
  <c r="V1725" i="1"/>
  <c r="B1725" i="2" s="1"/>
  <c r="A1725" i="1"/>
  <c r="V1724" i="1"/>
  <c r="B1724" i="2" s="1"/>
  <c r="A1724" i="1"/>
  <c r="V1723" i="1"/>
  <c r="B1723" i="2" s="1"/>
  <c r="A1723" i="1"/>
  <c r="V1722" i="1"/>
  <c r="B1722" i="2" s="1"/>
  <c r="A1722" i="1"/>
  <c r="V1721" i="1"/>
  <c r="B1721" i="2" s="1"/>
  <c r="A1721" i="1"/>
  <c r="V1720" i="1"/>
  <c r="B1720" i="2" s="1"/>
  <c r="A1720" i="1"/>
  <c r="V1719" i="1"/>
  <c r="B1719" i="2" s="1"/>
  <c r="A1719" i="1"/>
  <c r="V1718" i="1"/>
  <c r="B1718" i="2" s="1"/>
  <c r="A1718" i="1"/>
  <c r="V1717" i="1"/>
  <c r="B1717" i="2" s="1"/>
  <c r="A1717" i="1"/>
  <c r="V1716" i="1"/>
  <c r="B1716" i="2" s="1"/>
  <c r="A1716" i="1"/>
  <c r="V1715" i="1"/>
  <c r="B1715" i="2" s="1"/>
  <c r="A1715" i="1"/>
  <c r="V1714" i="1"/>
  <c r="B1714" i="2" s="1"/>
  <c r="A1714" i="1"/>
  <c r="V1713" i="1"/>
  <c r="B1713" i="2" s="1"/>
  <c r="A1713" i="1"/>
  <c r="V1712" i="1"/>
  <c r="B1712" i="2" s="1"/>
  <c r="A1712" i="1"/>
  <c r="V1711" i="1"/>
  <c r="B1711" i="2" s="1"/>
  <c r="A1711" i="1"/>
  <c r="V1710" i="1"/>
  <c r="B1710" i="2" s="1"/>
  <c r="A1710" i="1"/>
  <c r="V1709" i="1"/>
  <c r="B1709" i="2" s="1"/>
  <c r="A1709" i="1"/>
  <c r="V1708" i="1"/>
  <c r="B1708" i="2" s="1"/>
  <c r="A1708" i="1"/>
  <c r="V1707" i="1"/>
  <c r="B1707" i="2" s="1"/>
  <c r="A1707" i="1"/>
  <c r="V1706" i="1"/>
  <c r="B1706" i="2" s="1"/>
  <c r="A1706" i="1"/>
  <c r="V1705" i="1"/>
  <c r="B1705" i="2" s="1"/>
  <c r="A1705" i="1"/>
  <c r="V1704" i="1"/>
  <c r="B1704" i="2" s="1"/>
  <c r="A1704" i="1"/>
  <c r="V1703" i="1"/>
  <c r="B1703" i="2" s="1"/>
  <c r="A1703" i="1"/>
  <c r="V1702" i="1"/>
  <c r="B1702" i="2" s="1"/>
  <c r="A1702" i="1"/>
  <c r="V1701" i="1"/>
  <c r="B1701" i="2" s="1"/>
  <c r="A1701" i="1"/>
  <c r="V1700" i="1"/>
  <c r="B1700" i="2" s="1"/>
  <c r="A1700" i="1"/>
  <c r="V1699" i="1"/>
  <c r="B1699" i="2" s="1"/>
  <c r="A1699" i="1"/>
  <c r="V1698" i="1"/>
  <c r="B1698" i="2" s="1"/>
  <c r="A1698" i="1"/>
  <c r="V1697" i="1"/>
  <c r="B1697" i="2" s="1"/>
  <c r="A1697" i="1"/>
  <c r="V1696" i="1"/>
  <c r="B1696" i="2" s="1"/>
  <c r="A1696" i="1"/>
  <c r="V1695" i="1"/>
  <c r="B1695" i="2" s="1"/>
  <c r="A1695" i="1"/>
  <c r="V1694" i="1"/>
  <c r="B1694" i="2" s="1"/>
  <c r="A1694" i="1"/>
  <c r="V1693" i="1"/>
  <c r="B1693" i="2" s="1"/>
  <c r="A1693" i="1"/>
  <c r="V1692" i="1"/>
  <c r="B1692" i="2" s="1"/>
  <c r="A1692" i="1"/>
  <c r="V1691" i="1"/>
  <c r="B1691" i="2" s="1"/>
  <c r="A1691" i="1"/>
  <c r="V1690" i="1"/>
  <c r="B1690" i="2" s="1"/>
  <c r="A1690" i="1"/>
  <c r="V1689" i="1"/>
  <c r="B1689" i="2" s="1"/>
  <c r="A1689" i="1"/>
  <c r="V1688" i="1"/>
  <c r="B1688" i="2" s="1"/>
  <c r="A1688" i="1"/>
  <c r="V1687" i="1"/>
  <c r="B1687" i="2" s="1"/>
  <c r="A1687" i="1"/>
  <c r="V1686" i="1"/>
  <c r="B1686" i="2" s="1"/>
  <c r="A1686" i="1"/>
  <c r="V1685" i="1"/>
  <c r="B1685" i="2" s="1"/>
  <c r="A1685" i="1"/>
  <c r="V1684" i="1"/>
  <c r="B1684" i="2" s="1"/>
  <c r="A1684" i="1"/>
  <c r="V1683" i="1"/>
  <c r="B1683" i="2" s="1"/>
  <c r="A1683" i="1"/>
  <c r="V1682" i="1"/>
  <c r="B1682" i="2" s="1"/>
  <c r="A1682" i="1"/>
  <c r="V1681" i="1"/>
  <c r="B1681" i="2" s="1"/>
  <c r="A1681" i="1"/>
  <c r="V1680" i="1"/>
  <c r="B1680" i="2" s="1"/>
  <c r="A1680" i="1"/>
  <c r="V1679" i="1"/>
  <c r="B1679" i="2" s="1"/>
  <c r="A1679" i="1"/>
  <c r="V1678" i="1"/>
  <c r="B1678" i="2" s="1"/>
  <c r="A1678" i="1"/>
  <c r="V1677" i="1"/>
  <c r="B1677" i="2" s="1"/>
  <c r="A1677" i="1"/>
  <c r="V1676" i="1"/>
  <c r="B1676" i="2" s="1"/>
  <c r="A1676" i="1"/>
  <c r="V1675" i="1"/>
  <c r="B1675" i="2" s="1"/>
  <c r="A1675" i="1"/>
  <c r="V1674" i="1"/>
  <c r="B1674" i="2" s="1"/>
  <c r="A1674" i="1"/>
  <c r="V1673" i="1"/>
  <c r="B1673" i="2" s="1"/>
  <c r="A1673" i="1"/>
  <c r="V1672" i="1"/>
  <c r="B1672" i="2" s="1"/>
  <c r="A1672" i="1"/>
  <c r="V1671" i="1"/>
  <c r="B1671" i="2" s="1"/>
  <c r="A1671" i="1"/>
  <c r="V1670" i="1"/>
  <c r="B1670" i="2" s="1"/>
  <c r="A1670" i="1"/>
  <c r="V1669" i="1"/>
  <c r="B1669" i="2" s="1"/>
  <c r="A1669" i="1"/>
  <c r="V1668" i="1"/>
  <c r="B1668" i="2" s="1"/>
  <c r="A1668" i="1"/>
  <c r="V1667" i="1"/>
  <c r="B1667" i="2" s="1"/>
  <c r="A1667" i="1"/>
  <c r="V1666" i="1"/>
  <c r="B1666" i="2" s="1"/>
  <c r="A1666" i="1"/>
  <c r="V1665" i="1"/>
  <c r="B1665" i="2" s="1"/>
  <c r="A1665" i="1"/>
  <c r="V1664" i="1"/>
  <c r="B1664" i="2" s="1"/>
  <c r="A1664" i="1"/>
  <c r="V1663" i="1"/>
  <c r="B1663" i="2" s="1"/>
  <c r="A1663" i="1"/>
  <c r="V1662" i="1"/>
  <c r="B1662" i="2" s="1"/>
  <c r="A1662" i="1"/>
  <c r="V1661" i="1"/>
  <c r="B1661" i="2" s="1"/>
  <c r="A1661" i="1"/>
  <c r="V1660" i="1"/>
  <c r="B1660" i="2" s="1"/>
  <c r="A1660" i="1"/>
  <c r="V1659" i="1"/>
  <c r="B1659" i="2" s="1"/>
  <c r="A1659" i="1"/>
  <c r="V1658" i="1"/>
  <c r="B1658" i="2" s="1"/>
  <c r="A1658" i="1"/>
  <c r="V1657" i="1"/>
  <c r="B1657" i="2" s="1"/>
  <c r="A1657" i="1"/>
  <c r="V1656" i="1"/>
  <c r="B1656" i="2" s="1"/>
  <c r="A1656" i="1"/>
  <c r="V1655" i="1"/>
  <c r="B1655" i="2" s="1"/>
  <c r="A1655" i="1"/>
  <c r="V1654" i="1"/>
  <c r="B1654" i="2" s="1"/>
  <c r="A1654" i="1"/>
  <c r="V1653" i="1"/>
  <c r="B1653" i="2" s="1"/>
  <c r="A1653" i="1"/>
  <c r="V1652" i="1"/>
  <c r="B1652" i="2" s="1"/>
  <c r="A1652" i="1"/>
  <c r="V1651" i="1"/>
  <c r="B1651" i="2" s="1"/>
  <c r="A1651" i="1"/>
  <c r="V1650" i="1"/>
  <c r="B1650" i="2" s="1"/>
  <c r="A1650" i="1"/>
  <c r="V1649" i="1"/>
  <c r="B1649" i="2" s="1"/>
  <c r="A1649" i="1"/>
  <c r="V1648" i="1"/>
  <c r="B1648" i="2" s="1"/>
  <c r="A1648" i="1"/>
  <c r="V1647" i="1"/>
  <c r="B1647" i="2" s="1"/>
  <c r="A1647" i="1"/>
  <c r="V1646" i="1"/>
  <c r="B1646" i="2" s="1"/>
  <c r="A1646" i="1"/>
  <c r="V1645" i="1"/>
  <c r="B1645" i="2" s="1"/>
  <c r="A1645" i="1"/>
  <c r="V1644" i="1"/>
  <c r="B1644" i="2" s="1"/>
  <c r="A1644" i="1"/>
  <c r="V1643" i="1"/>
  <c r="B1643" i="2" s="1"/>
  <c r="A1643" i="1"/>
  <c r="V1642" i="1"/>
  <c r="B1642" i="2" s="1"/>
  <c r="A1642" i="1"/>
  <c r="V1641" i="1"/>
  <c r="B1641" i="2" s="1"/>
  <c r="A1641" i="1"/>
  <c r="V1640" i="1"/>
  <c r="B1640" i="2" s="1"/>
  <c r="A1640" i="1"/>
  <c r="V1639" i="1"/>
  <c r="B1639" i="2" s="1"/>
  <c r="A1639" i="1"/>
  <c r="V1638" i="1"/>
  <c r="B1638" i="2" s="1"/>
  <c r="A1638" i="1"/>
  <c r="V1637" i="1"/>
  <c r="B1637" i="2" s="1"/>
  <c r="A1637" i="1"/>
  <c r="V1636" i="1"/>
  <c r="B1636" i="2" s="1"/>
  <c r="A1636" i="1"/>
  <c r="V1635" i="1"/>
  <c r="B1635" i="2" s="1"/>
  <c r="A1635" i="1"/>
  <c r="V1634" i="1"/>
  <c r="B1634" i="2" s="1"/>
  <c r="A1634" i="1"/>
  <c r="V1633" i="1"/>
  <c r="B1633" i="2" s="1"/>
  <c r="A1633" i="1"/>
  <c r="V1632" i="1"/>
  <c r="B1632" i="2" s="1"/>
  <c r="A1632" i="1"/>
  <c r="V1631" i="1"/>
  <c r="B1631" i="2" s="1"/>
  <c r="A1631" i="1"/>
  <c r="V1630" i="1"/>
  <c r="B1630" i="2" s="1"/>
  <c r="A1630" i="1"/>
  <c r="V1629" i="1"/>
  <c r="B1629" i="2" s="1"/>
  <c r="A1629" i="1"/>
  <c r="V1628" i="1"/>
  <c r="B1628" i="2" s="1"/>
  <c r="A1628" i="1"/>
  <c r="V1627" i="1"/>
  <c r="B1627" i="2" s="1"/>
  <c r="A1627" i="1"/>
  <c r="V1626" i="1"/>
  <c r="B1626" i="2" s="1"/>
  <c r="A1626" i="1"/>
  <c r="V1625" i="1"/>
  <c r="B1625" i="2" s="1"/>
  <c r="A1625" i="1"/>
  <c r="V1624" i="1"/>
  <c r="B1624" i="2" s="1"/>
  <c r="A1624" i="1"/>
  <c r="V1623" i="1"/>
  <c r="B1623" i="2" s="1"/>
  <c r="A1623" i="1"/>
  <c r="V1622" i="1"/>
  <c r="B1622" i="2" s="1"/>
  <c r="A1622" i="1"/>
  <c r="V1621" i="1"/>
  <c r="B1621" i="2" s="1"/>
  <c r="A1621" i="1"/>
  <c r="V1620" i="1"/>
  <c r="B1620" i="2" s="1"/>
  <c r="A1620" i="1"/>
  <c r="V1619" i="1"/>
  <c r="B1619" i="2" s="1"/>
  <c r="A1619" i="1"/>
  <c r="V1618" i="1"/>
  <c r="B1618" i="2" s="1"/>
  <c r="A1618" i="1"/>
  <c r="V1617" i="1"/>
  <c r="B1617" i="2" s="1"/>
  <c r="A1617" i="1"/>
  <c r="V1616" i="1"/>
  <c r="B1616" i="2" s="1"/>
  <c r="A1616" i="1"/>
  <c r="V1615" i="1"/>
  <c r="B1615" i="2" s="1"/>
  <c r="A1615" i="1"/>
  <c r="V1614" i="1"/>
  <c r="B1614" i="2" s="1"/>
  <c r="A1614" i="1"/>
  <c r="V1613" i="1"/>
  <c r="B1613" i="2" s="1"/>
  <c r="A1613" i="1"/>
  <c r="V1612" i="1"/>
  <c r="B1612" i="2" s="1"/>
  <c r="A1612" i="1"/>
  <c r="V1611" i="1"/>
  <c r="B1611" i="2" s="1"/>
  <c r="A1611" i="1"/>
  <c r="V1610" i="1"/>
  <c r="B1610" i="2" s="1"/>
  <c r="A1610" i="1"/>
  <c r="V1609" i="1"/>
  <c r="B1609" i="2" s="1"/>
  <c r="A1609" i="1"/>
  <c r="V1608" i="1"/>
  <c r="B1608" i="2" s="1"/>
  <c r="A1608" i="1"/>
  <c r="V1607" i="1"/>
  <c r="B1607" i="2" s="1"/>
  <c r="A1607" i="1"/>
  <c r="V1606" i="1"/>
  <c r="B1606" i="2" s="1"/>
  <c r="A1606" i="1"/>
  <c r="V1605" i="1"/>
  <c r="B1605" i="2" s="1"/>
  <c r="A1605" i="1"/>
  <c r="V1604" i="1"/>
  <c r="B1604" i="2" s="1"/>
  <c r="A1604" i="1"/>
  <c r="V1603" i="1"/>
  <c r="B1603" i="2" s="1"/>
  <c r="A1603" i="1"/>
  <c r="V1602" i="1"/>
  <c r="B1602" i="2" s="1"/>
  <c r="A1602" i="1"/>
  <c r="V1601" i="1"/>
  <c r="B1601" i="2" s="1"/>
  <c r="A1601" i="1"/>
  <c r="V1600" i="1"/>
  <c r="B1600" i="2" s="1"/>
  <c r="A1600" i="1"/>
  <c r="V1599" i="1"/>
  <c r="B1599" i="2" s="1"/>
  <c r="A1599" i="1"/>
  <c r="V1598" i="1"/>
  <c r="B1598" i="2" s="1"/>
  <c r="A1598" i="1"/>
  <c r="V1597" i="1"/>
  <c r="B1597" i="2" s="1"/>
  <c r="A1597" i="1"/>
  <c r="V1596" i="1"/>
  <c r="B1596" i="2" s="1"/>
  <c r="A1596" i="1"/>
  <c r="V1595" i="1"/>
  <c r="B1595" i="2" s="1"/>
  <c r="A1595" i="1"/>
  <c r="V1594" i="1"/>
  <c r="B1594" i="2" s="1"/>
  <c r="A1594" i="1"/>
  <c r="V1593" i="1"/>
  <c r="B1593" i="2" s="1"/>
  <c r="A1593" i="1"/>
  <c r="V1592" i="1"/>
  <c r="B1592" i="2" s="1"/>
  <c r="A1592" i="1"/>
  <c r="V1591" i="1"/>
  <c r="B1591" i="2" s="1"/>
  <c r="A1591" i="1"/>
  <c r="V1590" i="1"/>
  <c r="B1590" i="2" s="1"/>
  <c r="A1590" i="1"/>
  <c r="V1589" i="1"/>
  <c r="B1589" i="2" s="1"/>
  <c r="A1589" i="1"/>
  <c r="V1588" i="1"/>
  <c r="B1588" i="2" s="1"/>
  <c r="A1588" i="1"/>
  <c r="V1587" i="1"/>
  <c r="B1587" i="2" s="1"/>
  <c r="A1587" i="1"/>
  <c r="V1586" i="1"/>
  <c r="B1586" i="2" s="1"/>
  <c r="A1586" i="1"/>
  <c r="V1585" i="1"/>
  <c r="B1585" i="2" s="1"/>
  <c r="A1585" i="1"/>
  <c r="V1584" i="1"/>
  <c r="B1584" i="2" s="1"/>
  <c r="A1584" i="1"/>
  <c r="V1583" i="1"/>
  <c r="B1583" i="2" s="1"/>
  <c r="A1583" i="1"/>
  <c r="V1582" i="1"/>
  <c r="B1582" i="2" s="1"/>
  <c r="A1582" i="1"/>
  <c r="V1581" i="1"/>
  <c r="B1581" i="2" s="1"/>
  <c r="A1581" i="1"/>
  <c r="V1580" i="1"/>
  <c r="B1580" i="2" s="1"/>
  <c r="A1580" i="1"/>
  <c r="V1579" i="1"/>
  <c r="B1579" i="2" s="1"/>
  <c r="A1579" i="1"/>
  <c r="V1578" i="1"/>
  <c r="B1578" i="2" s="1"/>
  <c r="A1578" i="1"/>
  <c r="V1577" i="1"/>
  <c r="B1577" i="2" s="1"/>
  <c r="A1577" i="1"/>
  <c r="V1576" i="1"/>
  <c r="B1576" i="2" s="1"/>
  <c r="A1576" i="1"/>
  <c r="V1575" i="1"/>
  <c r="B1575" i="2" s="1"/>
  <c r="A1575" i="1"/>
  <c r="V1574" i="1"/>
  <c r="B1574" i="2" s="1"/>
  <c r="A1574" i="1"/>
  <c r="V1573" i="1"/>
  <c r="B1573" i="2" s="1"/>
  <c r="A1573" i="1"/>
  <c r="V1572" i="1"/>
  <c r="B1572" i="2" s="1"/>
  <c r="A1572" i="1"/>
  <c r="V1571" i="1"/>
  <c r="B1571" i="2" s="1"/>
  <c r="A1571" i="1"/>
  <c r="V1570" i="1"/>
  <c r="B1570" i="2" s="1"/>
  <c r="A1570" i="1"/>
  <c r="V1569" i="1"/>
  <c r="B1569" i="2" s="1"/>
  <c r="A1569" i="1"/>
  <c r="V1568" i="1"/>
  <c r="B1568" i="2" s="1"/>
  <c r="A1568" i="1"/>
  <c r="V1567" i="1"/>
  <c r="B1567" i="2" s="1"/>
  <c r="A1567" i="1"/>
  <c r="V1566" i="1"/>
  <c r="B1566" i="2" s="1"/>
  <c r="A1566" i="1"/>
  <c r="V1565" i="1"/>
  <c r="B1565" i="2" s="1"/>
  <c r="A1565" i="1"/>
  <c r="V1564" i="1"/>
  <c r="B1564" i="2" s="1"/>
  <c r="A1564" i="1"/>
  <c r="V1563" i="1"/>
  <c r="B1563" i="2" s="1"/>
  <c r="A1563" i="1"/>
  <c r="V1562" i="1"/>
  <c r="B1562" i="2" s="1"/>
  <c r="A1562" i="1"/>
  <c r="V1561" i="1"/>
  <c r="B1561" i="2" s="1"/>
  <c r="A1561" i="1"/>
  <c r="V1560" i="1"/>
  <c r="B1560" i="2" s="1"/>
  <c r="A1560" i="1"/>
  <c r="V1559" i="1"/>
  <c r="B1559" i="2" s="1"/>
  <c r="A1559" i="1"/>
  <c r="V1558" i="1"/>
  <c r="B1558" i="2" s="1"/>
  <c r="A1558" i="1"/>
  <c r="V1557" i="1"/>
  <c r="B1557" i="2" s="1"/>
  <c r="A1557" i="1"/>
  <c r="V1556" i="1"/>
  <c r="B1556" i="2" s="1"/>
  <c r="A1556" i="1"/>
  <c r="V1555" i="1"/>
  <c r="B1555" i="2" s="1"/>
  <c r="A1555" i="1"/>
  <c r="V1554" i="1"/>
  <c r="B1554" i="2" s="1"/>
  <c r="A1554" i="1"/>
  <c r="V1553" i="1"/>
  <c r="B1553" i="2" s="1"/>
  <c r="A1553" i="1"/>
  <c r="V1552" i="1"/>
  <c r="B1552" i="2" s="1"/>
  <c r="A1552" i="1"/>
  <c r="V1551" i="1"/>
  <c r="B1551" i="2" s="1"/>
  <c r="A1551" i="1"/>
  <c r="V1550" i="1"/>
  <c r="B1550" i="2" s="1"/>
  <c r="A1550" i="1"/>
  <c r="V1549" i="1"/>
  <c r="B1549" i="2" s="1"/>
  <c r="A1549" i="1"/>
  <c r="V1548" i="1"/>
  <c r="B1548" i="2" s="1"/>
  <c r="A1548" i="1"/>
  <c r="V1547" i="1"/>
  <c r="B1547" i="2" s="1"/>
  <c r="A1547" i="1"/>
  <c r="V1546" i="1"/>
  <c r="B1546" i="2" s="1"/>
  <c r="A1546" i="1"/>
  <c r="V1545" i="1"/>
  <c r="B1545" i="2" s="1"/>
  <c r="A1545" i="1"/>
  <c r="V1544" i="1"/>
  <c r="B1544" i="2" s="1"/>
  <c r="A1544" i="1"/>
  <c r="V1543" i="1"/>
  <c r="B1543" i="2" s="1"/>
  <c r="A1543" i="1"/>
  <c r="V1542" i="1"/>
  <c r="B1542" i="2" s="1"/>
  <c r="A1542" i="1"/>
  <c r="V1541" i="1"/>
  <c r="B1541" i="2" s="1"/>
  <c r="A1541" i="1"/>
  <c r="V1540" i="1"/>
  <c r="B1540" i="2" s="1"/>
  <c r="A1540" i="1"/>
  <c r="V1539" i="1"/>
  <c r="B1539" i="2" s="1"/>
  <c r="A1539" i="1"/>
  <c r="V1538" i="1"/>
  <c r="B1538" i="2" s="1"/>
  <c r="A1538" i="1"/>
  <c r="V1537" i="1"/>
  <c r="B1537" i="2" s="1"/>
  <c r="A1537" i="1"/>
  <c r="V1536" i="1"/>
  <c r="B1536" i="2" s="1"/>
  <c r="A1536" i="1"/>
  <c r="V1535" i="1"/>
  <c r="B1535" i="2" s="1"/>
  <c r="A1535" i="1"/>
  <c r="V1534" i="1"/>
  <c r="B1534" i="2" s="1"/>
  <c r="A1534" i="1"/>
  <c r="V1533" i="1"/>
  <c r="B1533" i="2" s="1"/>
  <c r="A1533" i="1"/>
  <c r="V1532" i="1"/>
  <c r="B1532" i="2" s="1"/>
  <c r="A1532" i="1"/>
  <c r="V1531" i="1"/>
  <c r="B1531" i="2" s="1"/>
  <c r="A1531" i="1"/>
  <c r="V1530" i="1"/>
  <c r="B1530" i="2" s="1"/>
  <c r="A1530" i="1"/>
  <c r="V1529" i="1"/>
  <c r="B1529" i="2" s="1"/>
  <c r="A1529" i="1"/>
  <c r="V1528" i="1"/>
  <c r="B1528" i="2" s="1"/>
  <c r="A1528" i="1"/>
  <c r="V1527" i="1"/>
  <c r="B1527" i="2" s="1"/>
  <c r="A1527" i="1"/>
  <c r="V1526" i="1"/>
  <c r="B1526" i="2" s="1"/>
  <c r="A1526" i="1"/>
  <c r="V1525" i="1"/>
  <c r="B1525" i="2" s="1"/>
  <c r="A1525" i="1"/>
  <c r="V1524" i="1"/>
  <c r="B1524" i="2" s="1"/>
  <c r="A1524" i="1"/>
  <c r="V1523" i="1"/>
  <c r="B1523" i="2" s="1"/>
  <c r="A1523" i="1"/>
  <c r="V1522" i="1"/>
  <c r="B1522" i="2" s="1"/>
  <c r="A1522" i="1"/>
  <c r="V1521" i="1"/>
  <c r="B1521" i="2" s="1"/>
  <c r="A1521" i="1"/>
  <c r="V1520" i="1"/>
  <c r="B1520" i="2" s="1"/>
  <c r="A1520" i="1"/>
  <c r="V1519" i="1"/>
  <c r="B1519" i="2" s="1"/>
  <c r="A1519" i="1"/>
  <c r="V1518" i="1"/>
  <c r="B1518" i="2" s="1"/>
  <c r="A1518" i="1"/>
  <c r="V1517" i="1"/>
  <c r="B1517" i="2" s="1"/>
  <c r="A1517" i="1"/>
  <c r="V1516" i="1"/>
  <c r="B1516" i="2" s="1"/>
  <c r="A1516" i="1"/>
  <c r="V1515" i="1"/>
  <c r="B1515" i="2" s="1"/>
  <c r="A1515" i="1"/>
  <c r="V1514" i="1"/>
  <c r="B1514" i="2" s="1"/>
  <c r="A1514" i="1"/>
  <c r="V1513" i="1"/>
  <c r="B1513" i="2" s="1"/>
  <c r="A1513" i="1"/>
  <c r="V1512" i="1"/>
  <c r="B1512" i="2" s="1"/>
  <c r="A1512" i="1"/>
  <c r="V1511" i="1"/>
  <c r="B1511" i="2" s="1"/>
  <c r="A1511" i="1"/>
  <c r="V1510" i="1"/>
  <c r="B1510" i="2" s="1"/>
  <c r="A1510" i="1"/>
  <c r="V1509" i="1"/>
  <c r="B1509" i="2" s="1"/>
  <c r="A1509" i="1"/>
  <c r="V1508" i="1"/>
  <c r="B1508" i="2" s="1"/>
  <c r="A1508" i="1"/>
  <c r="V1507" i="1"/>
  <c r="B1507" i="2" s="1"/>
  <c r="A1507" i="1"/>
  <c r="V1506" i="1"/>
  <c r="B1506" i="2" s="1"/>
  <c r="A1506" i="1"/>
  <c r="V1505" i="1"/>
  <c r="B1505" i="2" s="1"/>
  <c r="A1505" i="1"/>
  <c r="V1504" i="1"/>
  <c r="B1504" i="2" s="1"/>
  <c r="A1504" i="1"/>
  <c r="V1503" i="1"/>
  <c r="B1503" i="2" s="1"/>
  <c r="A1503" i="1"/>
  <c r="V1502" i="1"/>
  <c r="B1502" i="2" s="1"/>
  <c r="A1502" i="1"/>
  <c r="V1501" i="1"/>
  <c r="B1501" i="2" s="1"/>
  <c r="A1501" i="1"/>
  <c r="V1500" i="1"/>
  <c r="B1500" i="2" s="1"/>
  <c r="A1500" i="1"/>
  <c r="V1499" i="1"/>
  <c r="B1499" i="2" s="1"/>
  <c r="A1499" i="1"/>
  <c r="V1498" i="1"/>
  <c r="B1498" i="2" s="1"/>
  <c r="A1498" i="1"/>
  <c r="V1497" i="1"/>
  <c r="B1497" i="2" s="1"/>
  <c r="A1497" i="1"/>
  <c r="V1496" i="1"/>
  <c r="B1496" i="2" s="1"/>
  <c r="A1496" i="1"/>
  <c r="V1495" i="1"/>
  <c r="B1495" i="2" s="1"/>
  <c r="A1495" i="1"/>
  <c r="V1494" i="1"/>
  <c r="B1494" i="2" s="1"/>
  <c r="A1494" i="1"/>
  <c r="V1493" i="1"/>
  <c r="B1493" i="2" s="1"/>
  <c r="A1493" i="1"/>
  <c r="V1492" i="1"/>
  <c r="B1492" i="2" s="1"/>
  <c r="A1492" i="1"/>
  <c r="V1491" i="1"/>
  <c r="B1491" i="2" s="1"/>
  <c r="A1491" i="1"/>
  <c r="V1490" i="1"/>
  <c r="B1490" i="2" s="1"/>
  <c r="A1490" i="1"/>
  <c r="V1489" i="1"/>
  <c r="B1489" i="2" s="1"/>
  <c r="A1489" i="1"/>
  <c r="V1488" i="1"/>
  <c r="B1488" i="2" s="1"/>
  <c r="A1488" i="1"/>
  <c r="V1487" i="1"/>
  <c r="B1487" i="2" s="1"/>
  <c r="A1487" i="1"/>
  <c r="V1486" i="1"/>
  <c r="B1486" i="2" s="1"/>
  <c r="A1486" i="1"/>
  <c r="V1485" i="1"/>
  <c r="B1485" i="2" s="1"/>
  <c r="A1485" i="1"/>
  <c r="V1484" i="1"/>
  <c r="B1484" i="2" s="1"/>
  <c r="A1484" i="1"/>
  <c r="V1483" i="1"/>
  <c r="B1483" i="2" s="1"/>
  <c r="A1483" i="1"/>
  <c r="V1482" i="1"/>
  <c r="B1482" i="2" s="1"/>
  <c r="A1482" i="1"/>
  <c r="V1481" i="1"/>
  <c r="B1481" i="2" s="1"/>
  <c r="A1481" i="1"/>
  <c r="V1480" i="1"/>
  <c r="B1480" i="2" s="1"/>
  <c r="A1480" i="1"/>
  <c r="V1479" i="1"/>
  <c r="B1479" i="2" s="1"/>
  <c r="A1479" i="1"/>
  <c r="V1478" i="1"/>
  <c r="B1478" i="2" s="1"/>
  <c r="A1478" i="1"/>
  <c r="V1477" i="1"/>
  <c r="B1477" i="2" s="1"/>
  <c r="A1477" i="1"/>
  <c r="V1476" i="1"/>
  <c r="B1476" i="2" s="1"/>
  <c r="A1476" i="1"/>
  <c r="V1475" i="1"/>
  <c r="B1475" i="2" s="1"/>
  <c r="A1475" i="1"/>
  <c r="V1474" i="1"/>
  <c r="B1474" i="2" s="1"/>
  <c r="A1474" i="1"/>
  <c r="V1473" i="1"/>
  <c r="B1473" i="2" s="1"/>
  <c r="A1473" i="1"/>
  <c r="V1472" i="1"/>
  <c r="B1472" i="2" s="1"/>
  <c r="A1472" i="1"/>
  <c r="V1471" i="1"/>
  <c r="B1471" i="2" s="1"/>
  <c r="A1471" i="1"/>
  <c r="V1470" i="1"/>
  <c r="B1470" i="2" s="1"/>
  <c r="A1470" i="1"/>
  <c r="V1469" i="1"/>
  <c r="B1469" i="2" s="1"/>
  <c r="A1469" i="1"/>
  <c r="V1468" i="1"/>
  <c r="B1468" i="2" s="1"/>
  <c r="A1468" i="1"/>
  <c r="V1467" i="1"/>
  <c r="B1467" i="2" s="1"/>
  <c r="A1467" i="1"/>
  <c r="V1466" i="1"/>
  <c r="B1466" i="2" s="1"/>
  <c r="A1466" i="1"/>
  <c r="V1465" i="1"/>
  <c r="B1465" i="2" s="1"/>
  <c r="A1465" i="1"/>
  <c r="V1464" i="1"/>
  <c r="B1464" i="2" s="1"/>
  <c r="A1464" i="1"/>
  <c r="V1463" i="1"/>
  <c r="B1463" i="2" s="1"/>
  <c r="A1463" i="1"/>
  <c r="V1462" i="1"/>
  <c r="B1462" i="2" s="1"/>
  <c r="A1462" i="1"/>
  <c r="V1461" i="1"/>
  <c r="B1461" i="2" s="1"/>
  <c r="A1461" i="1"/>
  <c r="V1460" i="1"/>
  <c r="B1460" i="2" s="1"/>
  <c r="A1460" i="1"/>
  <c r="V1459" i="1"/>
  <c r="B1459" i="2" s="1"/>
  <c r="A1459" i="1"/>
  <c r="V1458" i="1"/>
  <c r="B1458" i="2" s="1"/>
  <c r="A1458" i="1"/>
  <c r="V1457" i="1"/>
  <c r="B1457" i="2" s="1"/>
  <c r="A1457" i="1"/>
  <c r="V1456" i="1"/>
  <c r="B1456" i="2" s="1"/>
  <c r="A1456" i="1"/>
  <c r="V1455" i="1"/>
  <c r="B1455" i="2" s="1"/>
  <c r="A1455" i="1"/>
  <c r="V1454" i="1"/>
  <c r="B1454" i="2" s="1"/>
  <c r="A1454" i="1"/>
  <c r="V1453" i="1"/>
  <c r="B1453" i="2" s="1"/>
  <c r="A1453" i="1"/>
  <c r="V1452" i="1"/>
  <c r="B1452" i="2" s="1"/>
  <c r="A1452" i="1"/>
  <c r="V1451" i="1"/>
  <c r="B1451" i="2" s="1"/>
  <c r="A1451" i="1"/>
  <c r="V1450" i="1"/>
  <c r="B1450" i="2" s="1"/>
  <c r="A1450" i="1"/>
  <c r="V1449" i="1"/>
  <c r="B1449" i="2" s="1"/>
  <c r="A1449" i="1"/>
  <c r="V1448" i="1"/>
  <c r="B1448" i="2" s="1"/>
  <c r="A1448" i="1"/>
  <c r="V1447" i="1"/>
  <c r="B1447" i="2" s="1"/>
  <c r="A1447" i="1"/>
  <c r="V1446" i="1"/>
  <c r="B1446" i="2" s="1"/>
  <c r="A1446" i="1"/>
  <c r="V1445" i="1"/>
  <c r="B1445" i="2" s="1"/>
  <c r="A1445" i="1"/>
  <c r="V1444" i="1"/>
  <c r="B1444" i="2" s="1"/>
  <c r="A1444" i="1"/>
  <c r="V1443" i="1"/>
  <c r="B1443" i="2" s="1"/>
  <c r="A1443" i="1"/>
  <c r="V1442" i="1"/>
  <c r="B1442" i="2" s="1"/>
  <c r="A1442" i="1"/>
  <c r="V1441" i="1"/>
  <c r="B1441" i="2" s="1"/>
  <c r="A1441" i="1"/>
  <c r="V1440" i="1"/>
  <c r="B1440" i="2" s="1"/>
  <c r="A1440" i="1"/>
  <c r="V1439" i="1"/>
  <c r="B1439" i="2" s="1"/>
  <c r="A1439" i="1"/>
  <c r="V1438" i="1"/>
  <c r="B1438" i="2" s="1"/>
  <c r="A1438" i="1"/>
  <c r="V1437" i="1"/>
  <c r="B1437" i="2" s="1"/>
  <c r="A1437" i="1"/>
  <c r="V1436" i="1"/>
  <c r="B1436" i="2" s="1"/>
  <c r="A1436" i="1"/>
  <c r="V1435" i="1"/>
  <c r="B1435" i="2" s="1"/>
  <c r="A1435" i="1"/>
  <c r="V1434" i="1"/>
  <c r="B1434" i="2" s="1"/>
  <c r="A1434" i="1"/>
  <c r="V1433" i="1"/>
  <c r="B1433" i="2" s="1"/>
  <c r="A1433" i="1"/>
  <c r="V1432" i="1"/>
  <c r="B1432" i="2" s="1"/>
  <c r="A1432" i="1"/>
  <c r="V1431" i="1"/>
  <c r="B1431" i="2" s="1"/>
  <c r="A1431" i="1"/>
  <c r="V1430" i="1"/>
  <c r="B1430" i="2" s="1"/>
  <c r="A1430" i="1"/>
  <c r="V1429" i="1"/>
  <c r="B1429" i="2" s="1"/>
  <c r="A1429" i="1"/>
  <c r="V1428" i="1"/>
  <c r="B1428" i="2" s="1"/>
  <c r="A1428" i="1"/>
  <c r="V1427" i="1"/>
  <c r="B1427" i="2" s="1"/>
  <c r="A1427" i="1"/>
  <c r="V1426" i="1"/>
  <c r="B1426" i="2" s="1"/>
  <c r="A1426" i="1"/>
  <c r="V1425" i="1"/>
  <c r="B1425" i="2" s="1"/>
  <c r="A1425" i="1"/>
  <c r="V1424" i="1"/>
  <c r="B1424" i="2" s="1"/>
  <c r="A1424" i="1"/>
  <c r="V1423" i="1"/>
  <c r="B1423" i="2" s="1"/>
  <c r="A1423" i="1"/>
  <c r="V1422" i="1"/>
  <c r="B1422" i="2" s="1"/>
  <c r="A1422" i="1"/>
  <c r="V1421" i="1"/>
  <c r="B1421" i="2" s="1"/>
  <c r="A1421" i="1"/>
  <c r="V1420" i="1"/>
  <c r="B1420" i="2" s="1"/>
  <c r="A1420" i="1"/>
  <c r="V1419" i="1"/>
  <c r="B1419" i="2" s="1"/>
  <c r="A1419" i="1"/>
  <c r="V1418" i="1"/>
  <c r="B1418" i="2" s="1"/>
  <c r="A1418" i="1"/>
  <c r="V1417" i="1"/>
  <c r="B1417" i="2" s="1"/>
  <c r="A1417" i="1"/>
  <c r="V1416" i="1"/>
  <c r="B1416" i="2" s="1"/>
  <c r="A1416" i="1"/>
  <c r="V1415" i="1"/>
  <c r="B1415" i="2" s="1"/>
  <c r="A1415" i="1"/>
  <c r="V1414" i="1"/>
  <c r="B1414" i="2" s="1"/>
  <c r="A1414" i="1"/>
  <c r="V1413" i="1"/>
  <c r="B1413" i="2" s="1"/>
  <c r="A1413" i="1"/>
  <c r="V1412" i="1"/>
  <c r="B1412" i="2" s="1"/>
  <c r="A1412" i="1"/>
  <c r="V1411" i="1"/>
  <c r="B1411" i="2" s="1"/>
  <c r="A1411" i="1"/>
  <c r="V1410" i="1"/>
  <c r="B1410" i="2" s="1"/>
  <c r="A1410" i="1"/>
  <c r="V1409" i="1"/>
  <c r="B1409" i="2" s="1"/>
  <c r="A1409" i="1"/>
  <c r="V1408" i="1"/>
  <c r="B1408" i="2" s="1"/>
  <c r="A1408" i="1"/>
  <c r="V1407" i="1"/>
  <c r="B1407" i="2" s="1"/>
  <c r="A1407" i="1"/>
  <c r="V1406" i="1"/>
  <c r="B1406" i="2" s="1"/>
  <c r="A1406" i="1"/>
  <c r="V1405" i="1"/>
  <c r="B1405" i="2" s="1"/>
  <c r="A1405" i="1"/>
  <c r="V1404" i="1"/>
  <c r="B1404" i="2" s="1"/>
  <c r="A1404" i="1"/>
  <c r="V1403" i="1"/>
  <c r="B1403" i="2" s="1"/>
  <c r="A1403" i="1"/>
  <c r="V1402" i="1"/>
  <c r="B1402" i="2" s="1"/>
  <c r="A1402" i="1"/>
  <c r="V1401" i="1"/>
  <c r="B1401" i="2" s="1"/>
  <c r="A1401" i="1"/>
  <c r="V1400" i="1"/>
  <c r="B1400" i="2" s="1"/>
  <c r="A1400" i="1"/>
  <c r="V1399" i="1"/>
  <c r="B1399" i="2" s="1"/>
  <c r="A1399" i="1"/>
  <c r="V1398" i="1"/>
  <c r="B1398" i="2" s="1"/>
  <c r="A1398" i="1"/>
  <c r="V1397" i="1"/>
  <c r="B1397" i="2" s="1"/>
  <c r="A1397" i="1"/>
  <c r="V1396" i="1"/>
  <c r="B1396" i="2" s="1"/>
  <c r="A1396" i="1"/>
  <c r="V1395" i="1"/>
  <c r="B1395" i="2" s="1"/>
  <c r="A1395" i="1"/>
  <c r="V1394" i="1"/>
  <c r="B1394" i="2" s="1"/>
  <c r="A1394" i="1"/>
  <c r="V1393" i="1"/>
  <c r="B1393" i="2" s="1"/>
  <c r="A1393" i="1"/>
  <c r="V1392" i="1"/>
  <c r="B1392" i="2" s="1"/>
  <c r="A1392" i="1"/>
  <c r="V1391" i="1"/>
  <c r="B1391" i="2" s="1"/>
  <c r="A1391" i="1"/>
  <c r="V1390" i="1"/>
  <c r="B1390" i="2" s="1"/>
  <c r="A1390" i="1"/>
  <c r="V1389" i="1"/>
  <c r="B1389" i="2" s="1"/>
  <c r="A1389" i="1"/>
  <c r="V1388" i="1"/>
  <c r="B1388" i="2" s="1"/>
  <c r="A1388" i="1"/>
  <c r="V1387" i="1"/>
  <c r="B1387" i="2" s="1"/>
  <c r="A1387" i="1"/>
  <c r="V1386" i="1"/>
  <c r="B1386" i="2" s="1"/>
  <c r="A1386" i="1"/>
  <c r="V1385" i="1"/>
  <c r="B1385" i="2" s="1"/>
  <c r="A1385" i="1"/>
  <c r="V1384" i="1"/>
  <c r="B1384" i="2" s="1"/>
  <c r="A1384" i="1"/>
  <c r="V1383" i="1"/>
  <c r="B1383" i="2" s="1"/>
  <c r="A1383" i="1"/>
  <c r="V1382" i="1"/>
  <c r="B1382" i="2" s="1"/>
  <c r="A1382" i="1"/>
  <c r="V1381" i="1"/>
  <c r="B1381" i="2" s="1"/>
  <c r="A1381" i="1"/>
  <c r="V1380" i="1"/>
  <c r="B1380" i="2" s="1"/>
  <c r="A1380" i="1"/>
  <c r="V1379" i="1"/>
  <c r="B1379" i="2" s="1"/>
  <c r="A1379" i="1"/>
  <c r="V1378" i="1"/>
  <c r="B1378" i="2" s="1"/>
  <c r="A1378" i="1"/>
  <c r="V1377" i="1"/>
  <c r="B1377" i="2" s="1"/>
  <c r="A1377" i="1"/>
  <c r="V1376" i="1"/>
  <c r="B1376" i="2" s="1"/>
  <c r="A1376" i="1"/>
  <c r="V1375" i="1"/>
  <c r="B1375" i="2" s="1"/>
  <c r="A1375" i="1"/>
  <c r="V1374" i="1"/>
  <c r="B1374" i="2" s="1"/>
  <c r="A1374" i="1"/>
  <c r="V1373" i="1"/>
  <c r="B1373" i="2" s="1"/>
  <c r="A1373" i="1"/>
  <c r="V1372" i="1"/>
  <c r="B1372" i="2" s="1"/>
  <c r="A1372" i="1"/>
  <c r="V1371" i="1"/>
  <c r="B1371" i="2" s="1"/>
  <c r="A1371" i="1"/>
  <c r="V1370" i="1"/>
  <c r="B1370" i="2" s="1"/>
  <c r="A1370" i="1"/>
  <c r="V1369" i="1"/>
  <c r="B1369" i="2" s="1"/>
  <c r="A1369" i="1"/>
  <c r="V1368" i="1"/>
  <c r="B1368" i="2" s="1"/>
  <c r="A1368" i="1"/>
  <c r="V1367" i="1"/>
  <c r="B1367" i="2" s="1"/>
  <c r="A1367" i="1"/>
  <c r="V1366" i="1"/>
  <c r="B1366" i="2" s="1"/>
  <c r="A1366" i="1"/>
  <c r="V1365" i="1"/>
  <c r="B1365" i="2" s="1"/>
  <c r="A1365" i="1"/>
  <c r="V1364" i="1"/>
  <c r="B1364" i="2" s="1"/>
  <c r="A1364" i="1"/>
  <c r="V1363" i="1"/>
  <c r="B1363" i="2" s="1"/>
  <c r="A1363" i="1"/>
  <c r="V1362" i="1"/>
  <c r="B1362" i="2" s="1"/>
  <c r="A1362" i="1"/>
  <c r="V1361" i="1"/>
  <c r="B1361" i="2" s="1"/>
  <c r="A1361" i="1"/>
  <c r="V1360" i="1"/>
  <c r="B1360" i="2" s="1"/>
  <c r="A1360" i="1"/>
  <c r="V1359" i="1"/>
  <c r="B1359" i="2" s="1"/>
  <c r="A1359" i="1"/>
  <c r="V1358" i="1"/>
  <c r="B1358" i="2" s="1"/>
  <c r="A1358" i="1"/>
  <c r="V1357" i="1"/>
  <c r="B1357" i="2" s="1"/>
  <c r="A1357" i="1"/>
  <c r="V1356" i="1"/>
  <c r="B1356" i="2" s="1"/>
  <c r="A1356" i="1"/>
  <c r="V1355" i="1"/>
  <c r="B1355" i="2" s="1"/>
  <c r="A1355" i="1"/>
  <c r="V1354" i="1"/>
  <c r="B1354" i="2" s="1"/>
  <c r="A1354" i="1"/>
  <c r="V1353" i="1"/>
  <c r="B1353" i="2" s="1"/>
  <c r="A1353" i="1"/>
  <c r="V1352" i="1"/>
  <c r="B1352" i="2" s="1"/>
  <c r="A1352" i="1"/>
  <c r="V1351" i="1"/>
  <c r="B1351" i="2" s="1"/>
  <c r="A1351" i="1"/>
  <c r="V1350" i="1"/>
  <c r="B1350" i="2" s="1"/>
  <c r="A1350" i="1"/>
  <c r="V1349" i="1"/>
  <c r="B1349" i="2" s="1"/>
  <c r="A1349" i="1"/>
  <c r="V1348" i="1"/>
  <c r="B1348" i="2" s="1"/>
  <c r="A1348" i="1"/>
  <c r="V1347" i="1"/>
  <c r="B1347" i="2" s="1"/>
  <c r="A1347" i="1"/>
  <c r="V1346" i="1"/>
  <c r="B1346" i="2" s="1"/>
  <c r="A1346" i="1"/>
  <c r="V1345" i="1"/>
  <c r="B1345" i="2" s="1"/>
  <c r="A1345" i="1"/>
  <c r="V1344" i="1"/>
  <c r="B1344" i="2" s="1"/>
  <c r="A1344" i="1"/>
  <c r="V1343" i="1"/>
  <c r="B1343" i="2" s="1"/>
  <c r="A1343" i="1"/>
  <c r="V1342" i="1"/>
  <c r="B1342" i="2" s="1"/>
  <c r="A1342" i="1"/>
  <c r="V1341" i="1"/>
  <c r="B1341" i="2" s="1"/>
  <c r="A1341" i="1"/>
  <c r="V1340" i="1"/>
  <c r="B1340" i="2" s="1"/>
  <c r="A1340" i="1"/>
  <c r="V1339" i="1"/>
  <c r="B1339" i="2" s="1"/>
  <c r="A1339" i="1"/>
  <c r="V1338" i="1"/>
  <c r="B1338" i="2" s="1"/>
  <c r="A1338" i="1"/>
  <c r="V1337" i="1"/>
  <c r="B1337" i="2" s="1"/>
  <c r="A1337" i="1"/>
  <c r="V1336" i="1"/>
  <c r="B1336" i="2" s="1"/>
  <c r="A1336" i="1"/>
  <c r="V1335" i="1"/>
  <c r="B1335" i="2" s="1"/>
  <c r="A1335" i="1"/>
  <c r="V1334" i="1"/>
  <c r="B1334" i="2" s="1"/>
  <c r="A1334" i="1"/>
  <c r="V1333" i="1"/>
  <c r="B1333" i="2" s="1"/>
  <c r="A1333" i="1"/>
  <c r="V1332" i="1"/>
  <c r="B1332" i="2" s="1"/>
  <c r="A1332" i="1"/>
  <c r="V1331" i="1"/>
  <c r="B1331" i="2" s="1"/>
  <c r="A1331" i="1"/>
  <c r="V1330" i="1"/>
  <c r="B1330" i="2" s="1"/>
  <c r="A1330" i="1"/>
  <c r="V1329" i="1"/>
  <c r="B1329" i="2" s="1"/>
  <c r="A1329" i="1"/>
  <c r="V1328" i="1"/>
  <c r="B1328" i="2" s="1"/>
  <c r="A1328" i="1"/>
  <c r="V1327" i="1"/>
  <c r="B1327" i="2" s="1"/>
  <c r="A1327" i="1"/>
  <c r="V1326" i="1"/>
  <c r="B1326" i="2" s="1"/>
  <c r="A1326" i="1"/>
  <c r="V1325" i="1"/>
  <c r="B1325" i="2" s="1"/>
  <c r="A1325" i="1"/>
  <c r="V1324" i="1"/>
  <c r="B1324" i="2" s="1"/>
  <c r="A1324" i="1"/>
  <c r="V1323" i="1"/>
  <c r="B1323" i="2" s="1"/>
  <c r="A1323" i="1"/>
  <c r="V1322" i="1"/>
  <c r="B1322" i="2" s="1"/>
  <c r="A1322" i="1"/>
  <c r="V1321" i="1"/>
  <c r="B1321" i="2" s="1"/>
  <c r="A1321" i="1"/>
  <c r="V1320" i="1"/>
  <c r="B1320" i="2" s="1"/>
  <c r="A1320" i="1"/>
  <c r="V1319" i="1"/>
  <c r="B1319" i="2" s="1"/>
  <c r="A1319" i="1"/>
  <c r="V1318" i="1"/>
  <c r="B1318" i="2" s="1"/>
  <c r="A1318" i="1"/>
  <c r="V1317" i="1"/>
  <c r="B1317" i="2" s="1"/>
  <c r="A1317" i="1"/>
  <c r="V1316" i="1"/>
  <c r="B1316" i="2" s="1"/>
  <c r="A1316" i="1"/>
  <c r="V1315" i="1"/>
  <c r="B1315" i="2" s="1"/>
  <c r="A1315" i="1"/>
  <c r="V1314" i="1"/>
  <c r="B1314" i="2" s="1"/>
  <c r="A1314" i="1"/>
  <c r="V1313" i="1"/>
  <c r="B1313" i="2" s="1"/>
  <c r="A1313" i="1"/>
  <c r="V1312" i="1"/>
  <c r="B1312" i="2" s="1"/>
  <c r="A1312" i="1"/>
  <c r="V1311" i="1"/>
  <c r="B1311" i="2" s="1"/>
  <c r="A1311" i="1"/>
  <c r="V1310" i="1"/>
  <c r="B1310" i="2" s="1"/>
  <c r="A1310" i="1"/>
  <c r="V1309" i="1"/>
  <c r="B1309" i="2" s="1"/>
  <c r="A1309" i="1"/>
  <c r="V1308" i="1"/>
  <c r="B1308" i="2" s="1"/>
  <c r="A1308" i="1"/>
  <c r="V1307" i="1"/>
  <c r="B1307" i="2" s="1"/>
  <c r="A1307" i="1"/>
  <c r="V1306" i="1"/>
  <c r="B1306" i="2" s="1"/>
  <c r="A1306" i="1"/>
  <c r="V1305" i="1"/>
  <c r="B1305" i="2" s="1"/>
  <c r="A1305" i="1"/>
  <c r="V1304" i="1"/>
  <c r="B1304" i="2" s="1"/>
  <c r="A1304" i="1"/>
  <c r="V1303" i="1"/>
  <c r="B1303" i="2" s="1"/>
  <c r="A1303" i="1"/>
  <c r="V1302" i="1"/>
  <c r="B1302" i="2" s="1"/>
  <c r="A1302" i="1"/>
  <c r="V1301" i="1"/>
  <c r="B1301" i="2" s="1"/>
  <c r="A1301" i="1"/>
  <c r="V1300" i="1"/>
  <c r="B1300" i="2" s="1"/>
  <c r="A1300" i="1"/>
  <c r="V1299" i="1"/>
  <c r="B1299" i="2" s="1"/>
  <c r="A1299" i="1"/>
  <c r="V1298" i="1"/>
  <c r="B1298" i="2" s="1"/>
  <c r="A1298" i="1"/>
  <c r="V1297" i="1"/>
  <c r="B1297" i="2" s="1"/>
  <c r="A1297" i="1"/>
  <c r="V1296" i="1"/>
  <c r="B1296" i="2" s="1"/>
  <c r="A1296" i="1"/>
  <c r="V1295" i="1"/>
  <c r="B1295" i="2" s="1"/>
  <c r="A1295" i="1"/>
  <c r="V1294" i="1"/>
  <c r="B1294" i="2" s="1"/>
  <c r="A1294" i="1"/>
  <c r="V1293" i="1"/>
  <c r="B1293" i="2" s="1"/>
  <c r="A1293" i="1"/>
  <c r="V1292" i="1"/>
  <c r="B1292" i="2" s="1"/>
  <c r="A1292" i="1"/>
  <c r="V1291" i="1"/>
  <c r="B1291" i="2" s="1"/>
  <c r="A1291" i="1"/>
  <c r="V1290" i="1"/>
  <c r="B1290" i="2" s="1"/>
  <c r="A1290" i="1"/>
  <c r="V1289" i="1"/>
  <c r="B1289" i="2" s="1"/>
  <c r="A1289" i="1"/>
  <c r="V1288" i="1"/>
  <c r="B1288" i="2" s="1"/>
  <c r="A1288" i="1"/>
  <c r="V1287" i="1"/>
  <c r="B1287" i="2" s="1"/>
  <c r="A1287" i="1"/>
  <c r="V1286" i="1"/>
  <c r="B1286" i="2" s="1"/>
  <c r="A1286" i="1"/>
  <c r="V1285" i="1"/>
  <c r="B1285" i="2" s="1"/>
  <c r="A1285" i="1"/>
  <c r="V1284" i="1"/>
  <c r="B1284" i="2" s="1"/>
  <c r="A1284" i="1"/>
  <c r="V1283" i="1"/>
  <c r="B1283" i="2" s="1"/>
  <c r="A1283" i="1"/>
  <c r="V1282" i="1"/>
  <c r="B1282" i="2" s="1"/>
  <c r="A1282" i="1"/>
  <c r="V1281" i="1"/>
  <c r="B1281" i="2" s="1"/>
  <c r="A1281" i="1"/>
  <c r="V1280" i="1"/>
  <c r="B1280" i="2" s="1"/>
  <c r="A1280" i="1"/>
  <c r="V1279" i="1"/>
  <c r="B1279" i="2" s="1"/>
  <c r="A1279" i="1"/>
  <c r="V1278" i="1"/>
  <c r="B1278" i="2" s="1"/>
  <c r="A1278" i="1"/>
  <c r="V1277" i="1"/>
  <c r="B1277" i="2" s="1"/>
  <c r="A1277" i="1"/>
  <c r="V1276" i="1"/>
  <c r="B1276" i="2" s="1"/>
  <c r="A1276" i="1"/>
  <c r="V1275" i="1"/>
  <c r="B1275" i="2" s="1"/>
  <c r="A1275" i="1"/>
  <c r="V1274" i="1"/>
  <c r="B1274" i="2" s="1"/>
  <c r="A1274" i="1"/>
  <c r="V1273" i="1"/>
  <c r="B1273" i="2" s="1"/>
  <c r="A1273" i="1"/>
  <c r="V1272" i="1"/>
  <c r="B1272" i="2" s="1"/>
  <c r="A1272" i="1"/>
  <c r="V1271" i="1"/>
  <c r="B1271" i="2" s="1"/>
  <c r="A1271" i="1"/>
  <c r="V1270" i="1"/>
  <c r="B1270" i="2" s="1"/>
  <c r="A1270" i="1"/>
  <c r="V1269" i="1"/>
  <c r="B1269" i="2" s="1"/>
  <c r="A1269" i="1"/>
  <c r="V1268" i="1"/>
  <c r="B1268" i="2" s="1"/>
  <c r="A1268" i="1"/>
  <c r="V1267" i="1"/>
  <c r="B1267" i="2" s="1"/>
  <c r="A1267" i="1"/>
  <c r="V1266" i="1"/>
  <c r="B1266" i="2" s="1"/>
  <c r="A1266" i="1"/>
  <c r="V1265" i="1"/>
  <c r="B1265" i="2" s="1"/>
  <c r="A1265" i="1"/>
  <c r="V1264" i="1"/>
  <c r="B1264" i="2" s="1"/>
  <c r="A1264" i="1"/>
  <c r="V1263" i="1"/>
  <c r="B1263" i="2" s="1"/>
  <c r="A1263" i="1"/>
  <c r="V1262" i="1"/>
  <c r="B1262" i="2" s="1"/>
  <c r="A1262" i="1"/>
  <c r="V1261" i="1"/>
  <c r="B1261" i="2" s="1"/>
  <c r="A1261" i="1"/>
  <c r="V1260" i="1"/>
  <c r="B1260" i="2" s="1"/>
  <c r="A1260" i="1"/>
  <c r="V1259" i="1"/>
  <c r="B1259" i="2" s="1"/>
  <c r="A1259" i="1"/>
  <c r="V1258" i="1"/>
  <c r="B1258" i="2" s="1"/>
  <c r="A1258" i="1"/>
  <c r="V1257" i="1"/>
  <c r="B1257" i="2" s="1"/>
  <c r="A1257" i="1"/>
  <c r="V1256" i="1"/>
  <c r="B1256" i="2" s="1"/>
  <c r="A1256" i="1"/>
  <c r="V1255" i="1"/>
  <c r="B1255" i="2" s="1"/>
  <c r="A1255" i="1"/>
  <c r="V1254" i="1"/>
  <c r="B1254" i="2" s="1"/>
  <c r="A1254" i="1"/>
  <c r="V1253" i="1"/>
  <c r="B1253" i="2" s="1"/>
  <c r="A1253" i="1"/>
  <c r="V1252" i="1"/>
  <c r="B1252" i="2" s="1"/>
  <c r="A1252" i="1"/>
  <c r="V1251" i="1"/>
  <c r="B1251" i="2" s="1"/>
  <c r="A1251" i="1"/>
  <c r="V1250" i="1"/>
  <c r="B1250" i="2" s="1"/>
  <c r="A1250" i="1"/>
  <c r="V1249" i="1"/>
  <c r="B1249" i="2" s="1"/>
  <c r="A1249" i="1"/>
  <c r="V1248" i="1"/>
  <c r="B1248" i="2" s="1"/>
  <c r="A1248" i="1"/>
  <c r="V1247" i="1"/>
  <c r="B1247" i="2" s="1"/>
  <c r="A1247" i="1"/>
  <c r="V1246" i="1"/>
  <c r="B1246" i="2" s="1"/>
  <c r="A1246" i="1"/>
  <c r="V1245" i="1"/>
  <c r="B1245" i="2" s="1"/>
  <c r="A1245" i="1"/>
  <c r="V1244" i="1"/>
  <c r="B1244" i="2" s="1"/>
  <c r="A1244" i="1"/>
  <c r="V1243" i="1"/>
  <c r="B1243" i="2" s="1"/>
  <c r="A1243" i="1"/>
  <c r="V1242" i="1"/>
  <c r="B1242" i="2" s="1"/>
  <c r="A1242" i="1"/>
  <c r="V1241" i="1"/>
  <c r="B1241" i="2" s="1"/>
  <c r="A1241" i="1"/>
  <c r="V1240" i="1"/>
  <c r="B1240" i="2" s="1"/>
  <c r="A1240" i="1"/>
  <c r="V1239" i="1"/>
  <c r="B1239" i="2" s="1"/>
  <c r="A1239" i="1"/>
  <c r="V1238" i="1"/>
  <c r="B1238" i="2" s="1"/>
  <c r="A1238" i="1"/>
  <c r="V1237" i="1"/>
  <c r="B1237" i="2" s="1"/>
  <c r="A1237" i="1"/>
  <c r="V1236" i="1"/>
  <c r="B1236" i="2" s="1"/>
  <c r="A1236" i="1"/>
  <c r="V1235" i="1"/>
  <c r="B1235" i="2" s="1"/>
  <c r="A1235" i="1"/>
  <c r="V1234" i="1"/>
  <c r="B1234" i="2" s="1"/>
  <c r="A1234" i="1"/>
  <c r="V1233" i="1"/>
  <c r="B1233" i="2" s="1"/>
  <c r="A1233" i="1"/>
  <c r="V1232" i="1"/>
  <c r="B1232" i="2" s="1"/>
  <c r="A1232" i="1"/>
  <c r="V1231" i="1"/>
  <c r="B1231" i="2" s="1"/>
  <c r="A1231" i="1"/>
  <c r="V1230" i="1"/>
  <c r="B1230" i="2" s="1"/>
  <c r="A1230" i="1"/>
  <c r="V1229" i="1"/>
  <c r="B1229" i="2" s="1"/>
  <c r="A1229" i="1"/>
  <c r="V1228" i="1"/>
  <c r="B1228" i="2" s="1"/>
  <c r="A1228" i="1"/>
  <c r="V1227" i="1"/>
  <c r="B1227" i="2" s="1"/>
  <c r="A1227" i="1"/>
  <c r="V1226" i="1"/>
  <c r="B1226" i="2" s="1"/>
  <c r="A1226" i="1"/>
  <c r="V1225" i="1"/>
  <c r="B1225" i="2" s="1"/>
  <c r="A1225" i="1"/>
  <c r="V1224" i="1"/>
  <c r="B1224" i="2" s="1"/>
  <c r="A1224" i="1"/>
  <c r="V1223" i="1"/>
  <c r="B1223" i="2" s="1"/>
  <c r="A1223" i="1"/>
  <c r="V1222" i="1"/>
  <c r="B1222" i="2" s="1"/>
  <c r="A1222" i="1"/>
  <c r="V1221" i="1"/>
  <c r="B1221" i="2" s="1"/>
  <c r="A1221" i="1"/>
  <c r="V1220" i="1"/>
  <c r="B1220" i="2" s="1"/>
  <c r="A1220" i="1"/>
  <c r="V1219" i="1"/>
  <c r="B1219" i="2" s="1"/>
  <c r="A1219" i="1"/>
  <c r="V1218" i="1"/>
  <c r="B1218" i="2" s="1"/>
  <c r="A1218" i="1"/>
  <c r="V1217" i="1"/>
  <c r="B1217" i="2" s="1"/>
  <c r="A1217" i="1"/>
  <c r="V1216" i="1"/>
  <c r="B1216" i="2" s="1"/>
  <c r="A1216" i="1"/>
  <c r="V1215" i="1"/>
  <c r="B1215" i="2" s="1"/>
  <c r="A1215" i="1"/>
  <c r="V1214" i="1"/>
  <c r="B1214" i="2" s="1"/>
  <c r="A1214" i="1"/>
  <c r="V1213" i="1"/>
  <c r="B1213" i="2" s="1"/>
  <c r="A1213" i="1"/>
  <c r="V1212" i="1"/>
  <c r="B1212" i="2" s="1"/>
  <c r="A1212" i="1"/>
  <c r="V1211" i="1"/>
  <c r="B1211" i="2" s="1"/>
  <c r="A1211" i="1"/>
  <c r="V1210" i="1"/>
  <c r="B1210" i="2" s="1"/>
  <c r="A1210" i="1"/>
  <c r="V1209" i="1"/>
  <c r="B1209" i="2" s="1"/>
  <c r="A1209" i="1"/>
  <c r="V1208" i="1"/>
  <c r="B1208" i="2" s="1"/>
  <c r="A1208" i="1"/>
  <c r="V1207" i="1"/>
  <c r="B1207" i="2" s="1"/>
  <c r="A1207" i="1"/>
  <c r="V1206" i="1"/>
  <c r="B1206" i="2" s="1"/>
  <c r="A1206" i="1"/>
  <c r="V1205" i="1"/>
  <c r="B1205" i="2" s="1"/>
  <c r="A1205" i="1"/>
  <c r="V1204" i="1"/>
  <c r="B1204" i="2" s="1"/>
  <c r="A1204" i="1"/>
  <c r="V1203" i="1"/>
  <c r="B1203" i="2" s="1"/>
  <c r="A1203" i="1"/>
  <c r="V1202" i="1"/>
  <c r="B1202" i="2" s="1"/>
  <c r="A1202" i="1"/>
  <c r="V1201" i="1"/>
  <c r="B1201" i="2" s="1"/>
  <c r="A1201" i="1"/>
  <c r="V1200" i="1"/>
  <c r="B1200" i="2" s="1"/>
  <c r="A1200" i="1"/>
  <c r="V1199" i="1"/>
  <c r="B1199" i="2" s="1"/>
  <c r="A1199" i="1"/>
  <c r="V1198" i="1"/>
  <c r="B1198" i="2" s="1"/>
  <c r="A1198" i="1"/>
  <c r="V1197" i="1"/>
  <c r="B1197" i="2" s="1"/>
  <c r="A1197" i="1"/>
  <c r="V1196" i="1"/>
  <c r="B1196" i="2" s="1"/>
  <c r="A1196" i="1"/>
  <c r="V1195" i="1"/>
  <c r="B1195" i="2" s="1"/>
  <c r="A1195" i="1"/>
  <c r="V1194" i="1"/>
  <c r="B1194" i="2" s="1"/>
  <c r="A1194" i="1"/>
  <c r="V1193" i="1"/>
  <c r="B1193" i="2" s="1"/>
  <c r="A1193" i="1"/>
  <c r="V1192" i="1"/>
  <c r="B1192" i="2" s="1"/>
  <c r="A1192" i="1"/>
  <c r="V1191" i="1"/>
  <c r="B1191" i="2" s="1"/>
  <c r="A1191" i="1"/>
  <c r="V1190" i="1"/>
  <c r="B1190" i="2" s="1"/>
  <c r="A1190" i="1"/>
  <c r="V1189" i="1"/>
  <c r="B1189" i="2" s="1"/>
  <c r="A1189" i="1"/>
  <c r="V1188" i="1"/>
  <c r="B1188" i="2" s="1"/>
  <c r="A1188" i="1"/>
  <c r="V1187" i="1"/>
  <c r="B1187" i="2" s="1"/>
  <c r="A1187" i="1"/>
  <c r="V1186" i="1"/>
  <c r="B1186" i="2" s="1"/>
  <c r="A1186" i="1"/>
  <c r="V1185" i="1"/>
  <c r="B1185" i="2" s="1"/>
  <c r="A1185" i="1"/>
  <c r="V1184" i="1"/>
  <c r="B1184" i="2" s="1"/>
  <c r="A1184" i="1"/>
  <c r="V1183" i="1"/>
  <c r="B1183" i="2" s="1"/>
  <c r="A1183" i="1"/>
  <c r="V1182" i="1"/>
  <c r="B1182" i="2" s="1"/>
  <c r="A1182" i="1"/>
  <c r="V1181" i="1"/>
  <c r="B1181" i="2" s="1"/>
  <c r="A1181" i="1"/>
  <c r="V1180" i="1"/>
  <c r="B1180" i="2" s="1"/>
  <c r="A1180" i="1"/>
  <c r="V1179" i="1"/>
  <c r="B1179" i="2" s="1"/>
  <c r="A1179" i="1"/>
  <c r="V1178" i="1"/>
  <c r="B1178" i="2" s="1"/>
  <c r="A1178" i="1"/>
  <c r="V1177" i="1"/>
  <c r="B1177" i="2" s="1"/>
  <c r="A1177" i="1"/>
  <c r="V1176" i="1"/>
  <c r="B1176" i="2" s="1"/>
  <c r="A1176" i="1"/>
  <c r="V1175" i="1"/>
  <c r="B1175" i="2" s="1"/>
  <c r="A1175" i="1"/>
  <c r="V1174" i="1"/>
  <c r="B1174" i="2" s="1"/>
  <c r="A1174" i="1"/>
  <c r="V1173" i="1"/>
  <c r="B1173" i="2" s="1"/>
  <c r="A1173" i="1"/>
  <c r="V1172" i="1"/>
  <c r="B1172" i="2" s="1"/>
  <c r="A1172" i="1"/>
  <c r="V1171" i="1"/>
  <c r="B1171" i="2" s="1"/>
  <c r="A1171" i="1"/>
  <c r="V1170" i="1"/>
  <c r="B1170" i="2" s="1"/>
  <c r="A1170" i="1"/>
  <c r="V1169" i="1"/>
  <c r="B1169" i="2" s="1"/>
  <c r="A1169" i="1"/>
  <c r="V1168" i="1"/>
  <c r="B1168" i="2" s="1"/>
  <c r="A1168" i="1"/>
  <c r="V1167" i="1"/>
  <c r="B1167" i="2" s="1"/>
  <c r="A1167" i="1"/>
  <c r="V1166" i="1"/>
  <c r="B1166" i="2" s="1"/>
  <c r="A1166" i="1"/>
  <c r="V1165" i="1"/>
  <c r="B1165" i="2" s="1"/>
  <c r="A1165" i="1"/>
  <c r="V1164" i="1"/>
  <c r="B1164" i="2" s="1"/>
  <c r="A1164" i="1"/>
  <c r="V1163" i="1"/>
  <c r="B1163" i="2" s="1"/>
  <c r="A1163" i="1"/>
  <c r="V1162" i="1"/>
  <c r="B1162" i="2" s="1"/>
  <c r="A1162" i="1"/>
  <c r="V1161" i="1"/>
  <c r="B1161" i="2" s="1"/>
  <c r="A1161" i="1"/>
  <c r="V1160" i="1"/>
  <c r="B1160" i="2" s="1"/>
  <c r="A1160" i="1"/>
  <c r="V1159" i="1"/>
  <c r="B1159" i="2" s="1"/>
  <c r="A1159" i="1"/>
  <c r="V1158" i="1"/>
  <c r="B1158" i="2" s="1"/>
  <c r="A1158" i="1"/>
  <c r="V1157" i="1"/>
  <c r="B1157" i="2" s="1"/>
  <c r="A1157" i="1"/>
  <c r="V1156" i="1"/>
  <c r="B1156" i="2" s="1"/>
  <c r="A1156" i="1"/>
  <c r="V1155" i="1"/>
  <c r="B1155" i="2" s="1"/>
  <c r="A1155" i="1"/>
  <c r="V1154" i="1"/>
  <c r="B1154" i="2" s="1"/>
  <c r="A1154" i="1"/>
  <c r="V1153" i="1"/>
  <c r="B1153" i="2" s="1"/>
  <c r="A1153" i="1"/>
  <c r="V1152" i="1"/>
  <c r="B1152" i="2" s="1"/>
  <c r="A1152" i="1"/>
  <c r="V1151" i="1"/>
  <c r="B1151" i="2" s="1"/>
  <c r="A1151" i="1"/>
  <c r="V1150" i="1"/>
  <c r="B1150" i="2" s="1"/>
  <c r="A1150" i="1"/>
  <c r="V1149" i="1"/>
  <c r="B1149" i="2" s="1"/>
  <c r="A1149" i="1"/>
  <c r="V1148" i="1"/>
  <c r="B1148" i="2" s="1"/>
  <c r="A1148" i="1"/>
  <c r="V1147" i="1"/>
  <c r="B1147" i="2" s="1"/>
  <c r="A1147" i="1"/>
  <c r="V1146" i="1"/>
  <c r="B1146" i="2" s="1"/>
  <c r="A1146" i="1"/>
  <c r="V1145" i="1"/>
  <c r="B1145" i="2" s="1"/>
  <c r="A1145" i="1"/>
  <c r="V1144" i="1"/>
  <c r="B1144" i="2" s="1"/>
  <c r="A1144" i="1"/>
  <c r="V1143" i="1"/>
  <c r="B1143" i="2" s="1"/>
  <c r="A1143" i="1"/>
  <c r="V1142" i="1"/>
  <c r="B1142" i="2" s="1"/>
  <c r="A1142" i="1"/>
  <c r="V1141" i="1"/>
  <c r="B1141" i="2" s="1"/>
  <c r="A1141" i="1"/>
  <c r="V1140" i="1"/>
  <c r="B1140" i="2" s="1"/>
  <c r="A1140" i="1"/>
  <c r="V1139" i="1"/>
  <c r="B1139" i="2" s="1"/>
  <c r="A1139" i="1"/>
  <c r="V1138" i="1"/>
  <c r="B1138" i="2" s="1"/>
  <c r="A1138" i="1"/>
  <c r="V1137" i="1"/>
  <c r="B1137" i="2" s="1"/>
  <c r="A1137" i="1"/>
  <c r="V1136" i="1"/>
  <c r="B1136" i="2" s="1"/>
  <c r="A1136" i="1"/>
  <c r="V1135" i="1"/>
  <c r="B1135" i="2" s="1"/>
  <c r="A1135" i="1"/>
  <c r="V1134" i="1"/>
  <c r="B1134" i="2" s="1"/>
  <c r="A1134" i="1"/>
  <c r="V1133" i="1"/>
  <c r="B1133" i="2" s="1"/>
  <c r="A1133" i="1"/>
  <c r="V1132" i="1"/>
  <c r="B1132" i="2" s="1"/>
  <c r="A1132" i="1"/>
  <c r="V1131" i="1"/>
  <c r="B1131" i="2" s="1"/>
  <c r="A1131" i="1"/>
  <c r="V1130" i="1"/>
  <c r="B1130" i="2" s="1"/>
  <c r="A1130" i="1"/>
  <c r="V1129" i="1"/>
  <c r="B1129" i="2" s="1"/>
  <c r="A1129" i="1"/>
  <c r="V1128" i="1"/>
  <c r="B1128" i="2" s="1"/>
  <c r="A1128" i="1"/>
  <c r="V1127" i="1"/>
  <c r="B1127" i="2" s="1"/>
  <c r="A1127" i="1"/>
  <c r="V1126" i="1"/>
  <c r="B1126" i="2" s="1"/>
  <c r="A1126" i="1"/>
  <c r="V1125" i="1"/>
  <c r="B1125" i="2" s="1"/>
  <c r="A1125" i="1"/>
  <c r="V1124" i="1"/>
  <c r="B1124" i="2" s="1"/>
  <c r="A1124" i="1"/>
  <c r="V1123" i="1"/>
  <c r="B1123" i="2" s="1"/>
  <c r="A1123" i="1"/>
  <c r="V1122" i="1"/>
  <c r="B1122" i="2" s="1"/>
  <c r="A1122" i="1"/>
  <c r="V1121" i="1"/>
  <c r="B1121" i="2" s="1"/>
  <c r="A1121" i="1"/>
  <c r="V1120" i="1"/>
  <c r="B1120" i="2" s="1"/>
  <c r="A1120" i="1"/>
  <c r="V1119" i="1"/>
  <c r="B1119" i="2" s="1"/>
  <c r="A1119" i="1"/>
  <c r="V1118" i="1"/>
  <c r="B1118" i="2" s="1"/>
  <c r="A1118" i="1"/>
  <c r="V1117" i="1"/>
  <c r="B1117" i="2" s="1"/>
  <c r="A1117" i="1"/>
  <c r="V1116" i="1"/>
  <c r="B1116" i="2" s="1"/>
  <c r="A1116" i="1"/>
  <c r="V1115" i="1"/>
  <c r="B1115" i="2" s="1"/>
  <c r="A1115" i="1"/>
  <c r="V1114" i="1"/>
  <c r="B1114" i="2" s="1"/>
  <c r="A1114" i="1"/>
  <c r="V1113" i="1"/>
  <c r="B1113" i="2" s="1"/>
  <c r="A1113" i="1"/>
  <c r="V1112" i="1"/>
  <c r="B1112" i="2" s="1"/>
  <c r="A1112" i="1"/>
  <c r="V1111" i="1"/>
  <c r="B1111" i="2" s="1"/>
  <c r="A1111" i="1"/>
  <c r="V1110" i="1"/>
  <c r="B1110" i="2" s="1"/>
  <c r="A1110" i="1"/>
  <c r="V1109" i="1"/>
  <c r="B1109" i="2" s="1"/>
  <c r="A1109" i="1"/>
  <c r="V1108" i="1"/>
  <c r="B1108" i="2" s="1"/>
  <c r="A1108" i="1"/>
  <c r="V1107" i="1"/>
  <c r="B1107" i="2" s="1"/>
  <c r="A1107" i="1"/>
  <c r="V1106" i="1"/>
  <c r="B1106" i="2" s="1"/>
  <c r="A1106" i="1"/>
  <c r="V1105" i="1"/>
  <c r="B1105" i="2" s="1"/>
  <c r="A1105" i="1"/>
  <c r="V1104" i="1"/>
  <c r="B1104" i="2" s="1"/>
  <c r="A1104" i="1"/>
  <c r="V1103" i="1"/>
  <c r="B1103" i="2" s="1"/>
  <c r="A1103" i="1"/>
  <c r="V1102" i="1"/>
  <c r="B1102" i="2" s="1"/>
  <c r="A1102" i="1"/>
  <c r="V1101" i="1"/>
  <c r="B1101" i="2" s="1"/>
  <c r="A1101" i="1"/>
  <c r="V1100" i="1"/>
  <c r="B1100" i="2" s="1"/>
  <c r="A1100" i="1"/>
  <c r="V1099" i="1"/>
  <c r="B1099" i="2" s="1"/>
  <c r="A1099" i="1"/>
  <c r="V1098" i="1"/>
  <c r="B1098" i="2" s="1"/>
  <c r="A1098" i="1"/>
  <c r="V1097" i="1"/>
  <c r="B1097" i="2" s="1"/>
  <c r="A1097" i="1"/>
  <c r="V1096" i="1"/>
  <c r="B1096" i="2" s="1"/>
  <c r="A1096" i="1"/>
  <c r="V1095" i="1"/>
  <c r="B1095" i="2" s="1"/>
  <c r="A1095" i="1"/>
  <c r="V1094" i="1"/>
  <c r="B1094" i="2" s="1"/>
  <c r="A1094" i="1"/>
  <c r="V1093" i="1"/>
  <c r="B1093" i="2" s="1"/>
  <c r="A1093" i="1"/>
  <c r="V1092" i="1"/>
  <c r="B1092" i="2" s="1"/>
  <c r="A1092" i="1"/>
  <c r="V1091" i="1"/>
  <c r="B1091" i="2" s="1"/>
  <c r="A1091" i="1"/>
  <c r="V1090" i="1"/>
  <c r="B1090" i="2" s="1"/>
  <c r="A1090" i="1"/>
  <c r="V1089" i="1"/>
  <c r="B1089" i="2" s="1"/>
  <c r="A1089" i="1"/>
  <c r="V1088" i="1"/>
  <c r="B1088" i="2" s="1"/>
  <c r="A1088" i="1"/>
  <c r="V1087" i="1"/>
  <c r="B1087" i="2" s="1"/>
  <c r="A1087" i="1"/>
  <c r="V1086" i="1"/>
  <c r="B1086" i="2" s="1"/>
  <c r="A1086" i="1"/>
  <c r="V1085" i="1"/>
  <c r="B1085" i="2" s="1"/>
  <c r="A1085" i="1"/>
  <c r="V1084" i="1"/>
  <c r="B1084" i="2" s="1"/>
  <c r="A1084" i="1"/>
  <c r="V1083" i="1"/>
  <c r="B1083" i="2" s="1"/>
  <c r="A1083" i="1"/>
  <c r="V1082" i="1"/>
  <c r="B1082" i="2" s="1"/>
  <c r="A1082" i="1"/>
  <c r="V1081" i="1"/>
  <c r="B1081" i="2" s="1"/>
  <c r="A1081" i="1"/>
  <c r="V1080" i="1"/>
  <c r="B1080" i="2" s="1"/>
  <c r="A1080" i="1"/>
  <c r="V1079" i="1"/>
  <c r="B1079" i="2" s="1"/>
  <c r="A1079" i="1"/>
  <c r="V1078" i="1"/>
  <c r="B1078" i="2" s="1"/>
  <c r="A1078" i="1"/>
  <c r="V1077" i="1"/>
  <c r="B1077" i="2" s="1"/>
  <c r="A1077" i="1"/>
  <c r="V1076" i="1"/>
  <c r="B1076" i="2" s="1"/>
  <c r="A1076" i="1"/>
  <c r="V1075" i="1"/>
  <c r="B1075" i="2" s="1"/>
  <c r="A1075" i="1"/>
  <c r="V1074" i="1"/>
  <c r="B1074" i="2" s="1"/>
  <c r="A1074" i="1"/>
  <c r="V1073" i="1"/>
  <c r="B1073" i="2" s="1"/>
  <c r="A1073" i="1"/>
  <c r="V1072" i="1"/>
  <c r="B1072" i="2" s="1"/>
  <c r="A1072" i="1"/>
  <c r="V1071" i="1"/>
  <c r="B1071" i="2" s="1"/>
  <c r="A1071" i="1"/>
  <c r="V1070" i="1"/>
  <c r="B1070" i="2" s="1"/>
  <c r="A1070" i="1"/>
  <c r="V1069" i="1"/>
  <c r="B1069" i="2" s="1"/>
  <c r="A1069" i="1"/>
  <c r="V1068" i="1"/>
  <c r="B1068" i="2" s="1"/>
  <c r="A1068" i="1"/>
  <c r="V1067" i="1"/>
  <c r="B1067" i="2" s="1"/>
  <c r="A1067" i="1"/>
  <c r="V1066" i="1"/>
  <c r="B1066" i="2" s="1"/>
  <c r="A1066" i="1"/>
  <c r="V1065" i="1"/>
  <c r="B1065" i="2" s="1"/>
  <c r="A1065" i="1"/>
  <c r="V1064" i="1"/>
  <c r="B1064" i="2" s="1"/>
  <c r="A1064" i="1"/>
  <c r="V1063" i="1"/>
  <c r="B1063" i="2" s="1"/>
  <c r="A1063" i="1"/>
  <c r="V1062" i="1"/>
  <c r="B1062" i="2" s="1"/>
  <c r="A1062" i="1"/>
  <c r="V1061" i="1"/>
  <c r="B1061" i="2" s="1"/>
  <c r="A1061" i="1"/>
  <c r="V1060" i="1"/>
  <c r="B1060" i="2" s="1"/>
  <c r="A1060" i="1"/>
  <c r="V1059" i="1"/>
  <c r="B1059" i="2" s="1"/>
  <c r="A1059" i="1"/>
  <c r="V1058" i="1"/>
  <c r="B1058" i="2" s="1"/>
  <c r="A1058" i="1"/>
  <c r="V1057" i="1"/>
  <c r="B1057" i="2" s="1"/>
  <c r="A1057" i="1"/>
  <c r="V1056" i="1"/>
  <c r="B1056" i="2" s="1"/>
  <c r="A1056" i="1"/>
  <c r="V1055" i="1"/>
  <c r="B1055" i="2" s="1"/>
  <c r="A1055" i="1"/>
  <c r="V1054" i="1"/>
  <c r="B1054" i="2" s="1"/>
  <c r="A1054" i="1"/>
  <c r="V1053" i="1"/>
  <c r="B1053" i="2" s="1"/>
  <c r="A1053" i="1"/>
  <c r="V1052" i="1"/>
  <c r="B1052" i="2" s="1"/>
  <c r="A1052" i="1"/>
  <c r="V1051" i="1"/>
  <c r="B1051" i="2" s="1"/>
  <c r="A1051" i="1"/>
  <c r="V1050" i="1"/>
  <c r="B1050" i="2" s="1"/>
  <c r="A1050" i="1"/>
  <c r="V1049" i="1"/>
  <c r="B1049" i="2" s="1"/>
  <c r="A1049" i="1"/>
  <c r="V1048" i="1"/>
  <c r="B1048" i="2" s="1"/>
  <c r="A1048" i="1"/>
  <c r="V1047" i="1"/>
  <c r="B1047" i="2" s="1"/>
  <c r="A1047" i="1"/>
  <c r="V1046" i="1"/>
  <c r="B1046" i="2" s="1"/>
  <c r="A1046" i="1"/>
  <c r="V1045" i="1"/>
  <c r="B1045" i="2" s="1"/>
  <c r="A1045" i="1"/>
  <c r="V1044" i="1"/>
  <c r="B1044" i="2" s="1"/>
  <c r="A1044" i="1"/>
  <c r="V1043" i="1"/>
  <c r="B1043" i="2" s="1"/>
  <c r="A1043" i="1"/>
  <c r="V1042" i="1"/>
  <c r="B1042" i="2" s="1"/>
  <c r="A1042" i="1"/>
  <c r="V1041" i="1"/>
  <c r="B1041" i="2" s="1"/>
  <c r="A1041" i="1"/>
  <c r="V1040" i="1"/>
  <c r="B1040" i="2" s="1"/>
  <c r="A1040" i="1"/>
  <c r="V1039" i="1"/>
  <c r="B1039" i="2" s="1"/>
  <c r="A1039" i="1"/>
  <c r="V1038" i="1"/>
  <c r="B1038" i="2" s="1"/>
  <c r="A1038" i="1"/>
  <c r="V1037" i="1"/>
  <c r="B1037" i="2" s="1"/>
  <c r="A1037" i="1"/>
  <c r="V1036" i="1"/>
  <c r="B1036" i="2" s="1"/>
  <c r="A1036" i="1"/>
  <c r="V1035" i="1"/>
  <c r="B1035" i="2" s="1"/>
  <c r="A1035" i="1"/>
  <c r="V1034" i="1"/>
  <c r="B1034" i="2" s="1"/>
  <c r="A1034" i="1"/>
  <c r="V1033" i="1"/>
  <c r="B1033" i="2" s="1"/>
  <c r="A1033" i="1"/>
  <c r="V1032" i="1"/>
  <c r="B1032" i="2" s="1"/>
  <c r="A1032" i="1"/>
  <c r="V1031" i="1"/>
  <c r="B1031" i="2" s="1"/>
  <c r="A1031" i="1"/>
  <c r="V1030" i="1"/>
  <c r="B1030" i="2" s="1"/>
  <c r="A1030" i="1"/>
  <c r="V1029" i="1"/>
  <c r="B1029" i="2" s="1"/>
  <c r="A1029" i="1"/>
  <c r="V1028" i="1"/>
  <c r="B1028" i="2" s="1"/>
  <c r="A1028" i="1"/>
  <c r="V1027" i="1"/>
  <c r="B1027" i="2" s="1"/>
  <c r="A1027" i="1"/>
  <c r="V1026" i="1"/>
  <c r="B1026" i="2" s="1"/>
  <c r="A1026" i="1"/>
  <c r="V1025" i="1"/>
  <c r="B1025" i="2" s="1"/>
  <c r="A1025" i="1"/>
  <c r="V1024" i="1"/>
  <c r="B1024" i="2" s="1"/>
  <c r="A1024" i="1"/>
  <c r="V1023" i="1"/>
  <c r="B1023" i="2" s="1"/>
  <c r="A1023" i="1"/>
  <c r="V1022" i="1"/>
  <c r="B1022" i="2" s="1"/>
  <c r="A1022" i="1"/>
  <c r="V1021" i="1"/>
  <c r="B1021" i="2" s="1"/>
  <c r="A1021" i="1"/>
  <c r="V1020" i="1"/>
  <c r="B1020" i="2" s="1"/>
  <c r="A1020" i="1"/>
  <c r="V1019" i="1"/>
  <c r="B1019" i="2" s="1"/>
  <c r="A1019" i="1"/>
  <c r="V1018" i="1"/>
  <c r="B1018" i="2" s="1"/>
  <c r="A1018" i="1"/>
  <c r="V1017" i="1"/>
  <c r="B1017" i="2" s="1"/>
  <c r="A1017" i="1"/>
  <c r="V1016" i="1"/>
  <c r="B1016" i="2" s="1"/>
  <c r="A1016" i="1"/>
  <c r="V1015" i="1"/>
  <c r="B1015" i="2" s="1"/>
  <c r="A1015" i="1"/>
  <c r="V1014" i="1"/>
  <c r="B1014" i="2" s="1"/>
  <c r="A1014" i="1"/>
  <c r="V1013" i="1"/>
  <c r="B1013" i="2" s="1"/>
  <c r="A1013" i="1"/>
  <c r="V1012" i="1"/>
  <c r="B1012" i="2" s="1"/>
  <c r="A1012" i="1"/>
  <c r="V1011" i="1"/>
  <c r="B1011" i="2" s="1"/>
  <c r="A1011" i="1"/>
  <c r="V1010" i="1"/>
  <c r="B1010" i="2" s="1"/>
  <c r="A1010" i="1"/>
  <c r="V1009" i="1"/>
  <c r="B1009" i="2" s="1"/>
  <c r="A1009" i="1"/>
  <c r="V1008" i="1"/>
  <c r="B1008" i="2" s="1"/>
  <c r="A1008" i="1"/>
  <c r="V1007" i="1"/>
  <c r="B1007" i="2" s="1"/>
  <c r="A1007" i="1"/>
  <c r="V1006" i="1"/>
  <c r="B1006" i="2" s="1"/>
  <c r="A1006" i="1"/>
  <c r="V1005" i="1"/>
  <c r="B1005" i="2" s="1"/>
  <c r="A1005" i="1"/>
  <c r="V1004" i="1"/>
  <c r="B1004" i="2" s="1"/>
  <c r="A1004" i="1"/>
  <c r="V1003" i="1"/>
  <c r="B1003" i="2" s="1"/>
  <c r="A1003" i="1"/>
  <c r="V1002" i="1"/>
  <c r="B1002" i="2" s="1"/>
  <c r="A1002" i="1"/>
  <c r="V1001" i="1"/>
  <c r="B1001" i="2" s="1"/>
  <c r="A1001" i="1"/>
  <c r="V1000" i="1"/>
  <c r="B1000" i="2" s="1"/>
  <c r="A1000" i="1"/>
  <c r="V999" i="1"/>
  <c r="B999" i="2" s="1"/>
  <c r="A999" i="1"/>
  <c r="V998" i="1"/>
  <c r="B998" i="2" s="1"/>
  <c r="A998" i="1"/>
  <c r="V997" i="1"/>
  <c r="B997" i="2" s="1"/>
  <c r="A997" i="1"/>
  <c r="V996" i="1"/>
  <c r="B996" i="2" s="1"/>
  <c r="A996" i="1"/>
  <c r="V995" i="1"/>
  <c r="B995" i="2" s="1"/>
  <c r="A995" i="1"/>
  <c r="V994" i="1"/>
  <c r="B994" i="2" s="1"/>
  <c r="A994" i="1"/>
  <c r="V993" i="1"/>
  <c r="B993" i="2" s="1"/>
  <c r="A993" i="1"/>
  <c r="V992" i="1"/>
  <c r="B992" i="2" s="1"/>
  <c r="A992" i="1"/>
  <c r="V991" i="1"/>
  <c r="B991" i="2" s="1"/>
  <c r="A991" i="1"/>
  <c r="V990" i="1"/>
  <c r="B990" i="2" s="1"/>
  <c r="A990" i="1"/>
  <c r="V989" i="1"/>
  <c r="B989" i="2" s="1"/>
  <c r="A989" i="1"/>
  <c r="V988" i="1"/>
  <c r="B988" i="2" s="1"/>
  <c r="A988" i="1"/>
  <c r="V987" i="1"/>
  <c r="B987" i="2" s="1"/>
  <c r="A987" i="1"/>
  <c r="V986" i="1"/>
  <c r="B986" i="2" s="1"/>
  <c r="A986" i="1"/>
  <c r="V985" i="1"/>
  <c r="B985" i="2" s="1"/>
  <c r="A985" i="1"/>
  <c r="V984" i="1"/>
  <c r="B984" i="2" s="1"/>
  <c r="A984" i="1"/>
  <c r="V983" i="1"/>
  <c r="B983" i="2" s="1"/>
  <c r="A983" i="1"/>
  <c r="V982" i="1"/>
  <c r="B982" i="2" s="1"/>
  <c r="A982" i="1"/>
  <c r="V981" i="1"/>
  <c r="B981" i="2" s="1"/>
  <c r="A981" i="1"/>
  <c r="V980" i="1"/>
  <c r="B980" i="2" s="1"/>
  <c r="A980" i="1"/>
  <c r="V979" i="1"/>
  <c r="B979" i="2" s="1"/>
  <c r="A979" i="1"/>
  <c r="V978" i="1"/>
  <c r="B978" i="2" s="1"/>
  <c r="A978" i="1"/>
  <c r="V977" i="1"/>
  <c r="B977" i="2" s="1"/>
  <c r="A977" i="1"/>
  <c r="V976" i="1"/>
  <c r="B976" i="2" s="1"/>
  <c r="A976" i="1"/>
  <c r="V975" i="1"/>
  <c r="B975" i="2" s="1"/>
  <c r="A975" i="1"/>
  <c r="V974" i="1"/>
  <c r="B974" i="2" s="1"/>
  <c r="A974" i="1"/>
  <c r="V973" i="1"/>
  <c r="B973" i="2" s="1"/>
  <c r="A973" i="1"/>
  <c r="V972" i="1"/>
  <c r="B972" i="2" s="1"/>
  <c r="A972" i="1"/>
  <c r="V971" i="1"/>
  <c r="B971" i="2" s="1"/>
  <c r="A971" i="1"/>
  <c r="V970" i="1"/>
  <c r="B970" i="2" s="1"/>
  <c r="A970" i="1"/>
  <c r="V969" i="1"/>
  <c r="B969" i="2" s="1"/>
  <c r="A969" i="1"/>
  <c r="V968" i="1"/>
  <c r="B968" i="2" s="1"/>
  <c r="A968" i="1"/>
  <c r="V967" i="1"/>
  <c r="B967" i="2" s="1"/>
  <c r="A967" i="1"/>
  <c r="V966" i="1"/>
  <c r="B966" i="2" s="1"/>
  <c r="A966" i="1"/>
  <c r="V965" i="1"/>
  <c r="B965" i="2" s="1"/>
  <c r="A965" i="1"/>
  <c r="V964" i="1"/>
  <c r="B964" i="2" s="1"/>
  <c r="A964" i="1"/>
  <c r="V963" i="1"/>
  <c r="B963" i="2" s="1"/>
  <c r="A963" i="1"/>
  <c r="V962" i="1"/>
  <c r="B962" i="2" s="1"/>
  <c r="A962" i="1"/>
  <c r="V961" i="1"/>
  <c r="B961" i="2" s="1"/>
  <c r="A961" i="1"/>
  <c r="V960" i="1"/>
  <c r="B960" i="2" s="1"/>
  <c r="A960" i="1"/>
  <c r="V959" i="1"/>
  <c r="B959" i="2" s="1"/>
  <c r="A959" i="1"/>
  <c r="V958" i="1"/>
  <c r="B958" i="2" s="1"/>
  <c r="A958" i="1"/>
  <c r="V957" i="1"/>
  <c r="B957" i="2" s="1"/>
  <c r="A957" i="1"/>
  <c r="V956" i="1"/>
  <c r="B956" i="2" s="1"/>
  <c r="A956" i="1"/>
  <c r="V955" i="1"/>
  <c r="B955" i="2" s="1"/>
  <c r="A955" i="1"/>
  <c r="V954" i="1"/>
  <c r="B954" i="2" s="1"/>
  <c r="A954" i="1"/>
  <c r="V953" i="1"/>
  <c r="B953" i="2" s="1"/>
  <c r="A953" i="1"/>
  <c r="V952" i="1"/>
  <c r="B952" i="2" s="1"/>
  <c r="A952" i="1"/>
  <c r="V951" i="1"/>
  <c r="B951" i="2" s="1"/>
  <c r="A951" i="1"/>
  <c r="V950" i="1"/>
  <c r="B950" i="2" s="1"/>
  <c r="A950" i="1"/>
  <c r="V949" i="1"/>
  <c r="B949" i="2" s="1"/>
  <c r="A949" i="1"/>
  <c r="V948" i="1"/>
  <c r="B948" i="2" s="1"/>
  <c r="A948" i="1"/>
  <c r="V947" i="1"/>
  <c r="B947" i="2" s="1"/>
  <c r="A947" i="1"/>
  <c r="V946" i="1"/>
  <c r="B946" i="2" s="1"/>
  <c r="A946" i="1"/>
  <c r="V945" i="1"/>
  <c r="B945" i="2" s="1"/>
  <c r="A945" i="1"/>
  <c r="V944" i="1"/>
  <c r="B944" i="2" s="1"/>
  <c r="A944" i="1"/>
  <c r="V943" i="1"/>
  <c r="B943" i="2" s="1"/>
  <c r="A943" i="1"/>
  <c r="V942" i="1"/>
  <c r="B942" i="2" s="1"/>
  <c r="A942" i="1"/>
  <c r="V941" i="1"/>
  <c r="B941" i="2" s="1"/>
  <c r="A941" i="1"/>
  <c r="V940" i="1"/>
  <c r="B940" i="2" s="1"/>
  <c r="A940" i="1"/>
  <c r="V939" i="1"/>
  <c r="B939" i="2" s="1"/>
  <c r="A939" i="1"/>
  <c r="V938" i="1"/>
  <c r="B938" i="2" s="1"/>
  <c r="A938" i="1"/>
  <c r="V937" i="1"/>
  <c r="B937" i="2" s="1"/>
  <c r="A937" i="1"/>
  <c r="V936" i="1"/>
  <c r="B936" i="2" s="1"/>
  <c r="A936" i="1"/>
  <c r="V935" i="1"/>
  <c r="B935" i="2" s="1"/>
  <c r="A935" i="1"/>
  <c r="V934" i="1"/>
  <c r="B934" i="2" s="1"/>
  <c r="A934" i="1"/>
  <c r="V933" i="1"/>
  <c r="B933" i="2" s="1"/>
  <c r="A933" i="1"/>
  <c r="V932" i="1"/>
  <c r="B932" i="2" s="1"/>
  <c r="A932" i="1"/>
  <c r="V931" i="1"/>
  <c r="B931" i="2" s="1"/>
  <c r="A931" i="1"/>
  <c r="V930" i="1"/>
  <c r="B930" i="2" s="1"/>
  <c r="A930" i="1"/>
  <c r="V929" i="1"/>
  <c r="B929" i="2" s="1"/>
  <c r="A929" i="1"/>
  <c r="V928" i="1"/>
  <c r="B928" i="2" s="1"/>
  <c r="A928" i="1"/>
  <c r="V927" i="1"/>
  <c r="B927" i="2" s="1"/>
  <c r="A927" i="1"/>
  <c r="V926" i="1"/>
  <c r="B926" i="2" s="1"/>
  <c r="A926" i="1"/>
  <c r="V925" i="1"/>
  <c r="B925" i="2" s="1"/>
  <c r="A925" i="1"/>
  <c r="V924" i="1"/>
  <c r="B924" i="2" s="1"/>
  <c r="A924" i="1"/>
  <c r="V923" i="1"/>
  <c r="B923" i="2" s="1"/>
  <c r="A923" i="1"/>
  <c r="V922" i="1"/>
  <c r="B922" i="2" s="1"/>
  <c r="A922" i="1"/>
  <c r="V921" i="1"/>
  <c r="B921" i="2" s="1"/>
  <c r="A921" i="1"/>
  <c r="V920" i="1"/>
  <c r="B920" i="2" s="1"/>
  <c r="A920" i="1"/>
  <c r="V919" i="1"/>
  <c r="B919" i="2" s="1"/>
  <c r="A919" i="1"/>
  <c r="V918" i="1"/>
  <c r="B918" i="2" s="1"/>
  <c r="A918" i="1"/>
  <c r="V917" i="1"/>
  <c r="B917" i="2" s="1"/>
  <c r="A917" i="1"/>
  <c r="V916" i="1"/>
  <c r="B916" i="2" s="1"/>
  <c r="A916" i="1"/>
  <c r="V915" i="1"/>
  <c r="B915" i="2" s="1"/>
  <c r="A915" i="1"/>
  <c r="V914" i="1"/>
  <c r="B914" i="2" s="1"/>
  <c r="A914" i="1"/>
  <c r="V913" i="1"/>
  <c r="B913" i="2" s="1"/>
  <c r="A913" i="1"/>
  <c r="V912" i="1"/>
  <c r="B912" i="2" s="1"/>
  <c r="A912" i="1"/>
  <c r="V911" i="1"/>
  <c r="B911" i="2" s="1"/>
  <c r="A911" i="1"/>
  <c r="V910" i="1"/>
  <c r="B910" i="2" s="1"/>
  <c r="A910" i="1"/>
  <c r="V909" i="1"/>
  <c r="B909" i="2" s="1"/>
  <c r="A909" i="1"/>
  <c r="V908" i="1"/>
  <c r="B908" i="2" s="1"/>
  <c r="A908" i="1"/>
  <c r="V907" i="1"/>
  <c r="B907" i="2" s="1"/>
  <c r="A907" i="1"/>
  <c r="V906" i="1"/>
  <c r="B906" i="2" s="1"/>
  <c r="A906" i="1"/>
  <c r="V905" i="1"/>
  <c r="B905" i="2" s="1"/>
  <c r="A905" i="1"/>
  <c r="V904" i="1"/>
  <c r="B904" i="2" s="1"/>
  <c r="A904" i="1"/>
  <c r="V903" i="1"/>
  <c r="B903" i="2" s="1"/>
  <c r="A903" i="1"/>
  <c r="V902" i="1"/>
  <c r="B902" i="2" s="1"/>
  <c r="A902" i="1"/>
  <c r="V901" i="1"/>
  <c r="B901" i="2" s="1"/>
  <c r="A901" i="1"/>
  <c r="V900" i="1"/>
  <c r="B900" i="2" s="1"/>
  <c r="A900" i="1"/>
  <c r="V899" i="1"/>
  <c r="B899" i="2" s="1"/>
  <c r="A899" i="1"/>
  <c r="V898" i="1"/>
  <c r="B898" i="2" s="1"/>
  <c r="A898" i="1"/>
  <c r="V897" i="1"/>
  <c r="B897" i="2" s="1"/>
  <c r="A897" i="1"/>
  <c r="V896" i="1"/>
  <c r="B896" i="2" s="1"/>
  <c r="A896" i="1"/>
  <c r="V895" i="1"/>
  <c r="B895" i="2" s="1"/>
  <c r="A895" i="1"/>
  <c r="V894" i="1"/>
  <c r="B894" i="2" s="1"/>
  <c r="A894" i="1"/>
  <c r="V893" i="1"/>
  <c r="B893" i="2" s="1"/>
  <c r="A893" i="1"/>
  <c r="V892" i="1"/>
  <c r="B892" i="2" s="1"/>
  <c r="A892" i="1"/>
  <c r="V891" i="1"/>
  <c r="B891" i="2" s="1"/>
  <c r="A891" i="1"/>
  <c r="V890" i="1"/>
  <c r="B890" i="2" s="1"/>
  <c r="A890" i="1"/>
  <c r="V889" i="1"/>
  <c r="B889" i="2" s="1"/>
  <c r="A889" i="1"/>
  <c r="V888" i="1"/>
  <c r="B888" i="2" s="1"/>
  <c r="A888" i="1"/>
  <c r="V887" i="1"/>
  <c r="B887" i="2" s="1"/>
  <c r="A887" i="1"/>
  <c r="V886" i="1"/>
  <c r="B886" i="2" s="1"/>
  <c r="A886" i="1"/>
  <c r="V885" i="1"/>
  <c r="B885" i="2" s="1"/>
  <c r="A885" i="1"/>
  <c r="V884" i="1"/>
  <c r="B884" i="2" s="1"/>
  <c r="A884" i="1"/>
  <c r="V883" i="1"/>
  <c r="B883" i="2" s="1"/>
  <c r="A883" i="1"/>
  <c r="V882" i="1"/>
  <c r="B882" i="2" s="1"/>
  <c r="A882" i="1"/>
  <c r="V881" i="1"/>
  <c r="B881" i="2" s="1"/>
  <c r="A881" i="1"/>
  <c r="V880" i="1"/>
  <c r="B880" i="2" s="1"/>
  <c r="A880" i="1"/>
  <c r="V879" i="1"/>
  <c r="B879" i="2" s="1"/>
  <c r="A879" i="1"/>
  <c r="V878" i="1"/>
  <c r="B878" i="2" s="1"/>
  <c r="A878" i="1"/>
  <c r="V877" i="1"/>
  <c r="B877" i="2" s="1"/>
  <c r="A877" i="1"/>
  <c r="V876" i="1"/>
  <c r="B876" i="2" s="1"/>
  <c r="A876" i="1"/>
  <c r="V875" i="1"/>
  <c r="B875" i="2" s="1"/>
  <c r="A875" i="1"/>
  <c r="V874" i="1"/>
  <c r="B874" i="2" s="1"/>
  <c r="A874" i="1"/>
  <c r="V873" i="1"/>
  <c r="B873" i="2" s="1"/>
  <c r="A873" i="1"/>
  <c r="V872" i="1"/>
  <c r="B872" i="2" s="1"/>
  <c r="A872" i="1"/>
  <c r="V871" i="1"/>
  <c r="B871" i="2" s="1"/>
  <c r="A871" i="1"/>
  <c r="V870" i="1"/>
  <c r="B870" i="2" s="1"/>
  <c r="A870" i="1"/>
  <c r="V869" i="1"/>
  <c r="B869" i="2" s="1"/>
  <c r="A869" i="1"/>
  <c r="V868" i="1"/>
  <c r="B868" i="2" s="1"/>
  <c r="A868" i="1"/>
  <c r="V867" i="1"/>
  <c r="B867" i="2" s="1"/>
  <c r="A867" i="1"/>
  <c r="V866" i="1"/>
  <c r="B866" i="2" s="1"/>
  <c r="A866" i="1"/>
  <c r="V865" i="1"/>
  <c r="B865" i="2" s="1"/>
  <c r="A865" i="1"/>
  <c r="V864" i="1"/>
  <c r="B864" i="2" s="1"/>
  <c r="A864" i="1"/>
  <c r="V863" i="1"/>
  <c r="B863" i="2" s="1"/>
  <c r="A863" i="1"/>
  <c r="V862" i="1"/>
  <c r="B862" i="2" s="1"/>
  <c r="A862" i="1"/>
  <c r="V861" i="1"/>
  <c r="B861" i="2" s="1"/>
  <c r="A861" i="1"/>
  <c r="V860" i="1"/>
  <c r="B860" i="2" s="1"/>
  <c r="A860" i="1"/>
  <c r="V859" i="1"/>
  <c r="B859" i="2" s="1"/>
  <c r="A859" i="1"/>
  <c r="V858" i="1"/>
  <c r="B858" i="2" s="1"/>
  <c r="A858" i="1"/>
  <c r="V857" i="1"/>
  <c r="B857" i="2" s="1"/>
  <c r="A857" i="1"/>
  <c r="V856" i="1"/>
  <c r="B856" i="2" s="1"/>
  <c r="A856" i="1"/>
  <c r="V855" i="1"/>
  <c r="B855" i="2" s="1"/>
  <c r="A855" i="1"/>
  <c r="V854" i="1"/>
  <c r="B854" i="2" s="1"/>
  <c r="A854" i="1"/>
  <c r="V853" i="1"/>
  <c r="B853" i="2" s="1"/>
  <c r="A853" i="1"/>
  <c r="V852" i="1"/>
  <c r="B852" i="2" s="1"/>
  <c r="A852" i="1"/>
  <c r="V851" i="1"/>
  <c r="B851" i="2" s="1"/>
  <c r="A851" i="1"/>
  <c r="V850" i="1"/>
  <c r="B850" i="2" s="1"/>
  <c r="A850" i="1"/>
  <c r="V849" i="1"/>
  <c r="B849" i="2" s="1"/>
  <c r="A849" i="1"/>
  <c r="V848" i="1"/>
  <c r="B848" i="2" s="1"/>
  <c r="A848" i="1"/>
  <c r="V847" i="1"/>
  <c r="B847" i="2" s="1"/>
  <c r="A847" i="1"/>
  <c r="V846" i="1"/>
  <c r="B846" i="2" s="1"/>
  <c r="A846" i="1"/>
  <c r="V845" i="1"/>
  <c r="B845" i="2" s="1"/>
  <c r="A845" i="1"/>
  <c r="V844" i="1"/>
  <c r="B844" i="2" s="1"/>
  <c r="A844" i="1"/>
  <c r="V843" i="1"/>
  <c r="B843" i="2" s="1"/>
  <c r="A843" i="1"/>
  <c r="V842" i="1"/>
  <c r="B842" i="2" s="1"/>
  <c r="A842" i="1"/>
  <c r="V841" i="1"/>
  <c r="B841" i="2" s="1"/>
  <c r="A841" i="1"/>
  <c r="V840" i="1"/>
  <c r="B840" i="2" s="1"/>
  <c r="A840" i="1"/>
  <c r="V839" i="1"/>
  <c r="B839" i="2" s="1"/>
  <c r="A839" i="1"/>
  <c r="V838" i="1"/>
  <c r="B838" i="2" s="1"/>
  <c r="A838" i="1"/>
  <c r="V837" i="1"/>
  <c r="B837" i="2" s="1"/>
  <c r="A837" i="1"/>
  <c r="V836" i="1"/>
  <c r="B836" i="2" s="1"/>
  <c r="A836" i="1"/>
  <c r="V835" i="1"/>
  <c r="B835" i="2" s="1"/>
  <c r="A835" i="1"/>
  <c r="V834" i="1"/>
  <c r="B834" i="2" s="1"/>
  <c r="A834" i="1"/>
  <c r="V833" i="1"/>
  <c r="B833" i="2" s="1"/>
  <c r="A833" i="1"/>
  <c r="V832" i="1"/>
  <c r="B832" i="2" s="1"/>
  <c r="A832" i="1"/>
  <c r="V831" i="1"/>
  <c r="B831" i="2" s="1"/>
  <c r="A831" i="1"/>
  <c r="V830" i="1"/>
  <c r="B830" i="2" s="1"/>
  <c r="A830" i="1"/>
  <c r="V829" i="1"/>
  <c r="B829" i="2" s="1"/>
  <c r="A829" i="1"/>
  <c r="V828" i="1"/>
  <c r="B828" i="2" s="1"/>
  <c r="A828" i="1"/>
  <c r="V827" i="1"/>
  <c r="B827" i="2" s="1"/>
  <c r="A827" i="1"/>
  <c r="V826" i="1"/>
  <c r="B826" i="2" s="1"/>
  <c r="A826" i="1"/>
  <c r="V825" i="1"/>
  <c r="B825" i="2" s="1"/>
  <c r="A825" i="1"/>
  <c r="V824" i="1"/>
  <c r="B824" i="2" s="1"/>
  <c r="A824" i="1"/>
  <c r="V823" i="1"/>
  <c r="B823" i="2" s="1"/>
  <c r="A823" i="1"/>
  <c r="V822" i="1"/>
  <c r="B822" i="2" s="1"/>
  <c r="A822" i="1"/>
  <c r="V821" i="1"/>
  <c r="B821" i="2" s="1"/>
  <c r="A821" i="1"/>
  <c r="V820" i="1"/>
  <c r="B820" i="2" s="1"/>
  <c r="A820" i="1"/>
  <c r="V819" i="1"/>
  <c r="B819" i="2" s="1"/>
  <c r="A819" i="1"/>
  <c r="V818" i="1"/>
  <c r="B818" i="2" s="1"/>
  <c r="A818" i="1"/>
  <c r="V817" i="1"/>
  <c r="B817" i="2" s="1"/>
  <c r="A817" i="1"/>
  <c r="V816" i="1"/>
  <c r="B816" i="2" s="1"/>
  <c r="A816" i="1"/>
  <c r="V815" i="1"/>
  <c r="B815" i="2" s="1"/>
  <c r="A815" i="1"/>
  <c r="V814" i="1"/>
  <c r="B814" i="2" s="1"/>
  <c r="A814" i="1"/>
  <c r="V813" i="1"/>
  <c r="B813" i="2" s="1"/>
  <c r="A813" i="1"/>
  <c r="V812" i="1"/>
  <c r="B812" i="2" s="1"/>
  <c r="A812" i="1"/>
  <c r="V811" i="1"/>
  <c r="B811" i="2" s="1"/>
  <c r="A811" i="1"/>
  <c r="V810" i="1"/>
  <c r="B810" i="2" s="1"/>
  <c r="A810" i="1"/>
  <c r="V809" i="1"/>
  <c r="B809" i="2" s="1"/>
  <c r="A809" i="1"/>
  <c r="V808" i="1"/>
  <c r="B808" i="2" s="1"/>
  <c r="A808" i="1"/>
  <c r="V807" i="1"/>
  <c r="B807" i="2" s="1"/>
  <c r="A807" i="1"/>
  <c r="V806" i="1"/>
  <c r="B806" i="2" s="1"/>
  <c r="A806" i="1"/>
  <c r="V805" i="1"/>
  <c r="B805" i="2" s="1"/>
  <c r="A805" i="1"/>
  <c r="V804" i="1"/>
  <c r="B804" i="2" s="1"/>
  <c r="A804" i="1"/>
  <c r="V803" i="1"/>
  <c r="B803" i="2" s="1"/>
  <c r="A803" i="1"/>
  <c r="V802" i="1"/>
  <c r="B802" i="2" s="1"/>
  <c r="A802" i="1"/>
  <c r="V801" i="1"/>
  <c r="B801" i="2" s="1"/>
  <c r="A801" i="1"/>
  <c r="V800" i="1"/>
  <c r="B800" i="2" s="1"/>
  <c r="A800" i="1"/>
  <c r="V799" i="1"/>
  <c r="B799" i="2" s="1"/>
  <c r="A799" i="1"/>
  <c r="V798" i="1"/>
  <c r="B798" i="2" s="1"/>
  <c r="A798" i="1"/>
  <c r="V797" i="1"/>
  <c r="B797" i="2" s="1"/>
  <c r="A797" i="1"/>
  <c r="V796" i="1"/>
  <c r="B796" i="2" s="1"/>
  <c r="A796" i="1"/>
  <c r="V795" i="1"/>
  <c r="B795" i="2" s="1"/>
  <c r="A795" i="1"/>
  <c r="V794" i="1"/>
  <c r="B794" i="2" s="1"/>
  <c r="A794" i="1"/>
  <c r="V793" i="1"/>
  <c r="B793" i="2" s="1"/>
  <c r="A793" i="1"/>
  <c r="V792" i="1"/>
  <c r="B792" i="2" s="1"/>
  <c r="A792" i="1"/>
  <c r="V791" i="1"/>
  <c r="B791" i="2" s="1"/>
  <c r="A791" i="1"/>
  <c r="V790" i="1"/>
  <c r="B790" i="2" s="1"/>
  <c r="A790" i="1"/>
  <c r="V789" i="1"/>
  <c r="B789" i="2" s="1"/>
  <c r="A789" i="1"/>
  <c r="V788" i="1"/>
  <c r="B788" i="2" s="1"/>
  <c r="A788" i="1"/>
  <c r="V787" i="1"/>
  <c r="B787" i="2" s="1"/>
  <c r="A787" i="1"/>
  <c r="V786" i="1"/>
  <c r="B786" i="2" s="1"/>
  <c r="A786" i="1"/>
  <c r="V785" i="1"/>
  <c r="B785" i="2" s="1"/>
  <c r="A785" i="1"/>
  <c r="V784" i="1"/>
  <c r="B784" i="2" s="1"/>
  <c r="A784" i="1"/>
  <c r="V783" i="1"/>
  <c r="B783" i="2" s="1"/>
  <c r="A783" i="1"/>
  <c r="V782" i="1"/>
  <c r="B782" i="2" s="1"/>
  <c r="A782" i="1"/>
  <c r="V781" i="1"/>
  <c r="B781" i="2" s="1"/>
  <c r="A781" i="1"/>
  <c r="V780" i="1"/>
  <c r="B780" i="2" s="1"/>
  <c r="A780" i="1"/>
  <c r="V779" i="1"/>
  <c r="B779" i="2" s="1"/>
  <c r="A779" i="1"/>
  <c r="V778" i="1"/>
  <c r="B778" i="2" s="1"/>
  <c r="A778" i="1"/>
  <c r="V777" i="1"/>
  <c r="B777" i="2" s="1"/>
  <c r="A777" i="1"/>
  <c r="V776" i="1"/>
  <c r="B776" i="2" s="1"/>
  <c r="A776" i="1"/>
  <c r="V775" i="1"/>
  <c r="B775" i="2" s="1"/>
  <c r="A775" i="1"/>
  <c r="V774" i="1"/>
  <c r="B774" i="2" s="1"/>
  <c r="A774" i="1"/>
  <c r="V773" i="1"/>
  <c r="B773" i="2" s="1"/>
  <c r="A773" i="1"/>
  <c r="V772" i="1"/>
  <c r="B772" i="2" s="1"/>
  <c r="A772" i="1"/>
  <c r="V771" i="1"/>
  <c r="B771" i="2" s="1"/>
  <c r="A771" i="1"/>
  <c r="V770" i="1"/>
  <c r="B770" i="2" s="1"/>
  <c r="A770" i="1"/>
  <c r="V769" i="1"/>
  <c r="B769" i="2" s="1"/>
  <c r="A769" i="1"/>
  <c r="V768" i="1"/>
  <c r="B768" i="2" s="1"/>
  <c r="A768" i="1"/>
  <c r="V767" i="1"/>
  <c r="B767" i="2" s="1"/>
  <c r="A767" i="1"/>
  <c r="V766" i="1"/>
  <c r="B766" i="2" s="1"/>
  <c r="A766" i="1"/>
  <c r="V765" i="1"/>
  <c r="B765" i="2" s="1"/>
  <c r="A765" i="1"/>
  <c r="V764" i="1"/>
  <c r="B764" i="2" s="1"/>
  <c r="A764" i="1"/>
  <c r="V763" i="1"/>
  <c r="B763" i="2" s="1"/>
  <c r="A763" i="1"/>
  <c r="V762" i="1"/>
  <c r="B762" i="2" s="1"/>
  <c r="A762" i="1"/>
  <c r="V761" i="1"/>
  <c r="B761" i="2" s="1"/>
  <c r="A761" i="1"/>
  <c r="V760" i="1"/>
  <c r="B760" i="2" s="1"/>
  <c r="A760" i="1"/>
  <c r="V759" i="1"/>
  <c r="B759" i="2" s="1"/>
  <c r="A759" i="1"/>
  <c r="V758" i="1"/>
  <c r="B758" i="2" s="1"/>
  <c r="A758" i="1"/>
  <c r="V757" i="1"/>
  <c r="B757" i="2" s="1"/>
  <c r="A757" i="1"/>
  <c r="V756" i="1"/>
  <c r="B756" i="2" s="1"/>
  <c r="A756" i="1"/>
  <c r="V755" i="1"/>
  <c r="B755" i="2" s="1"/>
  <c r="A755" i="1"/>
  <c r="V754" i="1"/>
  <c r="B754" i="2" s="1"/>
  <c r="A754" i="1"/>
  <c r="V753" i="1"/>
  <c r="B753" i="2" s="1"/>
  <c r="A753" i="1"/>
  <c r="V752" i="1"/>
  <c r="B752" i="2" s="1"/>
  <c r="A752" i="1"/>
  <c r="V751" i="1"/>
  <c r="B751" i="2" s="1"/>
  <c r="A751" i="1"/>
  <c r="V750" i="1"/>
  <c r="B750" i="2" s="1"/>
  <c r="A750" i="1"/>
  <c r="V749" i="1"/>
  <c r="B749" i="2" s="1"/>
  <c r="A749" i="1"/>
  <c r="V748" i="1"/>
  <c r="B748" i="2" s="1"/>
  <c r="A748" i="1"/>
  <c r="V747" i="1"/>
  <c r="B747" i="2" s="1"/>
  <c r="A747" i="1"/>
  <c r="V746" i="1"/>
  <c r="B746" i="2" s="1"/>
  <c r="A746" i="1"/>
  <c r="V745" i="1"/>
  <c r="B745" i="2" s="1"/>
  <c r="A745" i="1"/>
  <c r="V744" i="1"/>
  <c r="B744" i="2" s="1"/>
  <c r="A744" i="1"/>
  <c r="V743" i="1"/>
  <c r="B743" i="2" s="1"/>
  <c r="A743" i="1"/>
  <c r="V742" i="1"/>
  <c r="B742" i="2" s="1"/>
  <c r="A742" i="1"/>
  <c r="V741" i="1"/>
  <c r="B741" i="2" s="1"/>
  <c r="A741" i="1"/>
  <c r="V740" i="1"/>
  <c r="B740" i="2" s="1"/>
  <c r="A740" i="1"/>
  <c r="V739" i="1"/>
  <c r="B739" i="2" s="1"/>
  <c r="A739" i="1"/>
  <c r="V738" i="1"/>
  <c r="B738" i="2" s="1"/>
  <c r="A738" i="1"/>
  <c r="V737" i="1"/>
  <c r="B737" i="2" s="1"/>
  <c r="A737" i="1"/>
  <c r="V736" i="1"/>
  <c r="B736" i="2" s="1"/>
  <c r="A736" i="1"/>
  <c r="V735" i="1"/>
  <c r="B735" i="2" s="1"/>
  <c r="A735" i="1"/>
  <c r="V734" i="1"/>
  <c r="B734" i="2" s="1"/>
  <c r="A734" i="1"/>
  <c r="V733" i="1"/>
  <c r="B733" i="2" s="1"/>
  <c r="A733" i="1"/>
  <c r="V732" i="1"/>
  <c r="B732" i="2" s="1"/>
  <c r="A732" i="1"/>
  <c r="V731" i="1"/>
  <c r="B731" i="2" s="1"/>
  <c r="A731" i="1"/>
  <c r="V730" i="1"/>
  <c r="B730" i="2" s="1"/>
  <c r="A730" i="1"/>
  <c r="V729" i="1"/>
  <c r="B729" i="2" s="1"/>
  <c r="A729" i="1"/>
  <c r="V728" i="1"/>
  <c r="B728" i="2" s="1"/>
  <c r="A728" i="1"/>
  <c r="V727" i="1"/>
  <c r="B727" i="2" s="1"/>
  <c r="A727" i="1"/>
  <c r="V726" i="1"/>
  <c r="B726" i="2" s="1"/>
  <c r="A726" i="1"/>
  <c r="V725" i="1"/>
  <c r="B725" i="2" s="1"/>
  <c r="A725" i="1"/>
  <c r="V724" i="1"/>
  <c r="B724" i="2" s="1"/>
  <c r="A724" i="1"/>
  <c r="V723" i="1"/>
  <c r="B723" i="2" s="1"/>
  <c r="A723" i="1"/>
  <c r="V722" i="1"/>
  <c r="B722" i="2" s="1"/>
  <c r="A722" i="1"/>
  <c r="V721" i="1"/>
  <c r="B721" i="2" s="1"/>
  <c r="A721" i="1"/>
  <c r="V720" i="1"/>
  <c r="B720" i="2" s="1"/>
  <c r="A720" i="1"/>
  <c r="V719" i="1"/>
  <c r="B719" i="2" s="1"/>
  <c r="A719" i="1"/>
  <c r="V718" i="1"/>
  <c r="B718" i="2" s="1"/>
  <c r="A718" i="1"/>
  <c r="V717" i="1"/>
  <c r="B717" i="2" s="1"/>
  <c r="A717" i="1"/>
  <c r="V716" i="1"/>
  <c r="B716" i="2" s="1"/>
  <c r="A716" i="1"/>
  <c r="V715" i="1"/>
  <c r="B715" i="2" s="1"/>
  <c r="A715" i="1"/>
  <c r="V714" i="1"/>
  <c r="B714" i="2" s="1"/>
  <c r="A714" i="1"/>
  <c r="V713" i="1"/>
  <c r="B713" i="2" s="1"/>
  <c r="A713" i="1"/>
  <c r="V712" i="1"/>
  <c r="B712" i="2" s="1"/>
  <c r="A712" i="1"/>
  <c r="V711" i="1"/>
  <c r="B711" i="2" s="1"/>
  <c r="A711" i="1"/>
  <c r="V710" i="1"/>
  <c r="B710" i="2" s="1"/>
  <c r="A710" i="1"/>
  <c r="V709" i="1"/>
  <c r="B709" i="2" s="1"/>
  <c r="A709" i="1"/>
  <c r="V708" i="1"/>
  <c r="B708" i="2" s="1"/>
  <c r="A708" i="1"/>
  <c r="V707" i="1"/>
  <c r="B707" i="2" s="1"/>
  <c r="A707" i="1"/>
  <c r="V706" i="1"/>
  <c r="B706" i="2" s="1"/>
  <c r="A706" i="1"/>
  <c r="V705" i="1"/>
  <c r="B705" i="2" s="1"/>
  <c r="A705" i="1"/>
  <c r="V704" i="1"/>
  <c r="B704" i="2" s="1"/>
  <c r="A704" i="1"/>
  <c r="V703" i="1"/>
  <c r="B703" i="2" s="1"/>
  <c r="A703" i="1"/>
  <c r="V702" i="1"/>
  <c r="B702" i="2" s="1"/>
  <c r="A702" i="1"/>
  <c r="V701" i="1"/>
  <c r="B701" i="2" s="1"/>
  <c r="A701" i="1"/>
  <c r="V700" i="1"/>
  <c r="B700" i="2" s="1"/>
  <c r="A700" i="1"/>
  <c r="V699" i="1"/>
  <c r="B699" i="2" s="1"/>
  <c r="A699" i="1"/>
  <c r="V698" i="1"/>
  <c r="B698" i="2" s="1"/>
  <c r="A698" i="1"/>
  <c r="V697" i="1"/>
  <c r="B697" i="2" s="1"/>
  <c r="A697" i="1"/>
  <c r="V696" i="1"/>
  <c r="B696" i="2" s="1"/>
  <c r="A696" i="1"/>
  <c r="V695" i="1"/>
  <c r="B695" i="2" s="1"/>
  <c r="A695" i="1"/>
  <c r="V694" i="1"/>
  <c r="B694" i="2" s="1"/>
  <c r="A694" i="1"/>
  <c r="V693" i="1"/>
  <c r="B693" i="2" s="1"/>
  <c r="A693" i="1"/>
  <c r="V692" i="1"/>
  <c r="B692" i="2" s="1"/>
  <c r="A692" i="1"/>
  <c r="V691" i="1"/>
  <c r="B691" i="2" s="1"/>
  <c r="A691" i="1"/>
  <c r="V690" i="1"/>
  <c r="B690" i="2" s="1"/>
  <c r="A690" i="1"/>
  <c r="V689" i="1"/>
  <c r="B689" i="2" s="1"/>
  <c r="A689" i="1"/>
  <c r="V688" i="1"/>
  <c r="B688" i="2" s="1"/>
  <c r="A688" i="1"/>
  <c r="V687" i="1"/>
  <c r="B687" i="2" s="1"/>
  <c r="A687" i="1"/>
  <c r="V686" i="1"/>
  <c r="B686" i="2" s="1"/>
  <c r="A686" i="1"/>
  <c r="V685" i="1"/>
  <c r="B685" i="2" s="1"/>
  <c r="A685" i="1"/>
  <c r="V684" i="1"/>
  <c r="B684" i="2" s="1"/>
  <c r="A684" i="1"/>
  <c r="V683" i="1"/>
  <c r="B683" i="2" s="1"/>
  <c r="A683" i="1"/>
  <c r="V682" i="1"/>
  <c r="B682" i="2" s="1"/>
  <c r="A682" i="1"/>
  <c r="V681" i="1"/>
  <c r="B681" i="2" s="1"/>
  <c r="A681" i="1"/>
  <c r="V680" i="1"/>
  <c r="B680" i="2" s="1"/>
  <c r="A680" i="1"/>
  <c r="V679" i="1"/>
  <c r="B679" i="2" s="1"/>
  <c r="A679" i="1"/>
  <c r="V678" i="1"/>
  <c r="B678" i="2" s="1"/>
  <c r="A678" i="1"/>
  <c r="V677" i="1"/>
  <c r="B677" i="2" s="1"/>
  <c r="A677" i="1"/>
  <c r="V676" i="1"/>
  <c r="B676" i="2" s="1"/>
  <c r="A676" i="1"/>
  <c r="V675" i="1"/>
  <c r="B675" i="2" s="1"/>
  <c r="A675" i="1"/>
  <c r="V674" i="1"/>
  <c r="B674" i="2" s="1"/>
  <c r="A674" i="1"/>
  <c r="V673" i="1"/>
  <c r="B673" i="2" s="1"/>
  <c r="A673" i="1"/>
  <c r="V672" i="1"/>
  <c r="B672" i="2" s="1"/>
  <c r="A672" i="1"/>
  <c r="V671" i="1"/>
  <c r="B671" i="2" s="1"/>
  <c r="A671" i="1"/>
  <c r="V670" i="1"/>
  <c r="B670" i="2" s="1"/>
  <c r="A670" i="1"/>
  <c r="V669" i="1"/>
  <c r="B669" i="2" s="1"/>
  <c r="A669" i="1"/>
  <c r="V668" i="1"/>
  <c r="B668" i="2" s="1"/>
  <c r="A668" i="1"/>
  <c r="V667" i="1"/>
  <c r="B667" i="2" s="1"/>
  <c r="A667" i="1"/>
  <c r="V666" i="1"/>
  <c r="B666" i="2" s="1"/>
  <c r="A666" i="1"/>
  <c r="V665" i="1"/>
  <c r="B665" i="2" s="1"/>
  <c r="A665" i="1"/>
  <c r="V664" i="1"/>
  <c r="B664" i="2" s="1"/>
  <c r="A664" i="1"/>
  <c r="V663" i="1"/>
  <c r="B663" i="2" s="1"/>
  <c r="A663" i="1"/>
  <c r="V662" i="1"/>
  <c r="B662" i="2" s="1"/>
  <c r="A662" i="1"/>
  <c r="V661" i="1"/>
  <c r="B661" i="2" s="1"/>
  <c r="A661" i="1"/>
  <c r="V660" i="1"/>
  <c r="B660" i="2" s="1"/>
  <c r="A660" i="1"/>
  <c r="V659" i="1"/>
  <c r="B659" i="2" s="1"/>
  <c r="A659" i="1"/>
  <c r="V658" i="1"/>
  <c r="B658" i="2" s="1"/>
  <c r="A658" i="1"/>
  <c r="V657" i="1"/>
  <c r="B657" i="2" s="1"/>
  <c r="A657" i="1"/>
  <c r="V656" i="1"/>
  <c r="B656" i="2" s="1"/>
  <c r="A656" i="1"/>
  <c r="V655" i="1"/>
  <c r="B655" i="2" s="1"/>
  <c r="A655" i="1"/>
  <c r="V654" i="1"/>
  <c r="B654" i="2" s="1"/>
  <c r="A654" i="1"/>
  <c r="V653" i="1"/>
  <c r="B653" i="2" s="1"/>
  <c r="A653" i="1"/>
  <c r="V652" i="1"/>
  <c r="B652" i="2" s="1"/>
  <c r="A652" i="1"/>
  <c r="V651" i="1"/>
  <c r="B651" i="2" s="1"/>
  <c r="A651" i="1"/>
  <c r="V650" i="1"/>
  <c r="B650" i="2" s="1"/>
  <c r="A650" i="1"/>
  <c r="V649" i="1"/>
  <c r="B649" i="2" s="1"/>
  <c r="A649" i="1"/>
  <c r="V648" i="1"/>
  <c r="B648" i="2" s="1"/>
  <c r="A648" i="1"/>
  <c r="V647" i="1"/>
  <c r="B647" i="2" s="1"/>
  <c r="A647" i="1"/>
  <c r="V646" i="1"/>
  <c r="B646" i="2" s="1"/>
  <c r="A646" i="1"/>
  <c r="V645" i="1"/>
  <c r="B645" i="2" s="1"/>
  <c r="A645" i="1"/>
  <c r="V644" i="1"/>
  <c r="B644" i="2" s="1"/>
  <c r="A644" i="1"/>
  <c r="V643" i="1"/>
  <c r="B643" i="2" s="1"/>
  <c r="A643" i="1"/>
  <c r="V642" i="1"/>
  <c r="B642" i="2" s="1"/>
  <c r="A642" i="1"/>
  <c r="V641" i="1"/>
  <c r="B641" i="2" s="1"/>
  <c r="A641" i="1"/>
  <c r="V640" i="1"/>
  <c r="B640" i="2" s="1"/>
  <c r="A640" i="1"/>
  <c r="V639" i="1"/>
  <c r="B639" i="2" s="1"/>
  <c r="A639" i="1"/>
  <c r="V638" i="1"/>
  <c r="B638" i="2" s="1"/>
  <c r="A638" i="1"/>
  <c r="V637" i="1"/>
  <c r="B637" i="2" s="1"/>
  <c r="A637" i="1"/>
  <c r="V636" i="1"/>
  <c r="B636" i="2" s="1"/>
  <c r="A636" i="1"/>
  <c r="V635" i="1"/>
  <c r="B635" i="2" s="1"/>
  <c r="A635" i="1"/>
  <c r="V634" i="1"/>
  <c r="B634" i="2" s="1"/>
  <c r="A634" i="1"/>
  <c r="V633" i="1"/>
  <c r="B633" i="2" s="1"/>
  <c r="A633" i="1"/>
  <c r="V632" i="1"/>
  <c r="B632" i="2" s="1"/>
  <c r="A632" i="1"/>
  <c r="V631" i="1"/>
  <c r="B631" i="2" s="1"/>
  <c r="A631" i="1"/>
  <c r="V630" i="1"/>
  <c r="B630" i="2" s="1"/>
  <c r="A630" i="1"/>
  <c r="V629" i="1"/>
  <c r="B629" i="2" s="1"/>
  <c r="A629" i="1"/>
  <c r="V628" i="1"/>
  <c r="B628" i="2" s="1"/>
  <c r="A628" i="1"/>
  <c r="V627" i="1"/>
  <c r="B627" i="2" s="1"/>
  <c r="A627" i="1"/>
  <c r="V626" i="1"/>
  <c r="B626" i="2" s="1"/>
  <c r="A626" i="1"/>
  <c r="V625" i="1"/>
  <c r="B625" i="2" s="1"/>
  <c r="A625" i="1"/>
  <c r="V624" i="1"/>
  <c r="B624" i="2" s="1"/>
  <c r="A624" i="1"/>
  <c r="V623" i="1"/>
  <c r="B623" i="2" s="1"/>
  <c r="A623" i="1"/>
  <c r="V622" i="1"/>
  <c r="B622" i="2" s="1"/>
  <c r="A622" i="1"/>
  <c r="V621" i="1"/>
  <c r="B621" i="2" s="1"/>
  <c r="A621" i="1"/>
  <c r="V620" i="1"/>
  <c r="B620" i="2" s="1"/>
  <c r="A620" i="1"/>
  <c r="V619" i="1"/>
  <c r="B619" i="2" s="1"/>
  <c r="A619" i="1"/>
  <c r="V618" i="1"/>
  <c r="B618" i="2" s="1"/>
  <c r="A618" i="1"/>
  <c r="V617" i="1"/>
  <c r="B617" i="2" s="1"/>
  <c r="A617" i="1"/>
  <c r="V616" i="1"/>
  <c r="B616" i="2" s="1"/>
  <c r="A616" i="1"/>
  <c r="V615" i="1"/>
  <c r="B615" i="2" s="1"/>
  <c r="A615" i="1"/>
  <c r="V614" i="1"/>
  <c r="B614" i="2" s="1"/>
  <c r="A614" i="1"/>
  <c r="V613" i="1"/>
  <c r="B613" i="2" s="1"/>
  <c r="A613" i="1"/>
  <c r="V612" i="1"/>
  <c r="B612" i="2" s="1"/>
  <c r="A612" i="1"/>
  <c r="V611" i="1"/>
  <c r="B611" i="2" s="1"/>
  <c r="A611" i="1"/>
  <c r="V610" i="1"/>
  <c r="B610" i="2" s="1"/>
  <c r="A610" i="1"/>
  <c r="V609" i="1"/>
  <c r="B609" i="2" s="1"/>
  <c r="A609" i="1"/>
  <c r="V608" i="1"/>
  <c r="B608" i="2" s="1"/>
  <c r="A608" i="1"/>
  <c r="V607" i="1"/>
  <c r="B607" i="2" s="1"/>
  <c r="A607" i="1"/>
  <c r="V606" i="1"/>
  <c r="B606" i="2" s="1"/>
  <c r="A606" i="1"/>
  <c r="V605" i="1"/>
  <c r="B605" i="2" s="1"/>
  <c r="A605" i="1"/>
  <c r="V604" i="1"/>
  <c r="B604" i="2" s="1"/>
  <c r="A604" i="1"/>
  <c r="V603" i="1"/>
  <c r="B603" i="2" s="1"/>
  <c r="A603" i="1"/>
  <c r="V602" i="1"/>
  <c r="B602" i="2" s="1"/>
  <c r="A602" i="1"/>
  <c r="V601" i="1"/>
  <c r="B601" i="2" s="1"/>
  <c r="A601" i="1"/>
  <c r="V600" i="1"/>
  <c r="B600" i="2" s="1"/>
  <c r="A600" i="1"/>
  <c r="V599" i="1"/>
  <c r="B599" i="2" s="1"/>
  <c r="A599" i="1"/>
  <c r="V598" i="1"/>
  <c r="B598" i="2" s="1"/>
  <c r="A598" i="1"/>
  <c r="V597" i="1"/>
  <c r="B597" i="2" s="1"/>
  <c r="A597" i="1"/>
  <c r="V596" i="1"/>
  <c r="B596" i="2" s="1"/>
  <c r="A596" i="1"/>
  <c r="V595" i="1"/>
  <c r="B595" i="2" s="1"/>
  <c r="A595" i="1"/>
  <c r="V594" i="1"/>
  <c r="B594" i="2" s="1"/>
  <c r="A594" i="1"/>
  <c r="V593" i="1"/>
  <c r="B593" i="2" s="1"/>
  <c r="A593" i="1"/>
  <c r="V592" i="1"/>
  <c r="B592" i="2" s="1"/>
  <c r="A592" i="1"/>
  <c r="V591" i="1"/>
  <c r="B591" i="2" s="1"/>
  <c r="A591" i="1"/>
  <c r="V590" i="1"/>
  <c r="B590" i="2" s="1"/>
  <c r="A590" i="1"/>
  <c r="V589" i="1"/>
  <c r="B589" i="2" s="1"/>
  <c r="A589" i="1"/>
  <c r="V588" i="1"/>
  <c r="B588" i="2" s="1"/>
  <c r="A588" i="1"/>
  <c r="V587" i="1"/>
  <c r="B587" i="2" s="1"/>
  <c r="A587" i="1"/>
  <c r="V586" i="1"/>
  <c r="B586" i="2" s="1"/>
  <c r="A586" i="1"/>
  <c r="V585" i="1"/>
  <c r="B585" i="2" s="1"/>
  <c r="A585" i="1"/>
  <c r="V584" i="1"/>
  <c r="B584" i="2" s="1"/>
  <c r="A584" i="1"/>
  <c r="V583" i="1"/>
  <c r="B583" i="2" s="1"/>
  <c r="A583" i="1"/>
  <c r="V582" i="1"/>
  <c r="B582" i="2" s="1"/>
  <c r="A582" i="1"/>
  <c r="V581" i="1"/>
  <c r="B581" i="2" s="1"/>
  <c r="A581" i="1"/>
  <c r="V580" i="1"/>
  <c r="B580" i="2" s="1"/>
  <c r="A580" i="1"/>
  <c r="V579" i="1"/>
  <c r="B579" i="2" s="1"/>
  <c r="A579" i="1"/>
  <c r="V578" i="1"/>
  <c r="B578" i="2" s="1"/>
  <c r="A578" i="1"/>
  <c r="V577" i="1"/>
  <c r="B577" i="2" s="1"/>
  <c r="A577" i="1"/>
  <c r="V576" i="1"/>
  <c r="B576" i="2" s="1"/>
  <c r="A576" i="1"/>
  <c r="V575" i="1"/>
  <c r="B575" i="2" s="1"/>
  <c r="A575" i="1"/>
  <c r="V574" i="1"/>
  <c r="B574" i="2" s="1"/>
  <c r="A574" i="1"/>
  <c r="V573" i="1"/>
  <c r="B573" i="2" s="1"/>
  <c r="A573" i="1"/>
  <c r="V572" i="1"/>
  <c r="B572" i="2" s="1"/>
  <c r="A572" i="1"/>
  <c r="V571" i="1"/>
  <c r="B571" i="2" s="1"/>
  <c r="A571" i="1"/>
  <c r="V570" i="1"/>
  <c r="B570" i="2" s="1"/>
  <c r="A570" i="1"/>
  <c r="V569" i="1"/>
  <c r="B569" i="2" s="1"/>
  <c r="A569" i="1"/>
  <c r="V568" i="1"/>
  <c r="B568" i="2" s="1"/>
  <c r="A568" i="1"/>
  <c r="V567" i="1"/>
  <c r="B567" i="2" s="1"/>
  <c r="A567" i="1"/>
  <c r="V566" i="1"/>
  <c r="B566" i="2" s="1"/>
  <c r="A566" i="1"/>
  <c r="V565" i="1"/>
  <c r="B565" i="2" s="1"/>
  <c r="A565" i="1"/>
  <c r="V564" i="1"/>
  <c r="B564" i="2" s="1"/>
  <c r="A564" i="1"/>
  <c r="V563" i="1"/>
  <c r="B563" i="2" s="1"/>
  <c r="A563" i="1"/>
  <c r="V562" i="1"/>
  <c r="B562" i="2" s="1"/>
  <c r="A562" i="1"/>
  <c r="V561" i="1"/>
  <c r="B561" i="2" s="1"/>
  <c r="A561" i="1"/>
  <c r="V560" i="1"/>
  <c r="B560" i="2" s="1"/>
  <c r="A560" i="1"/>
  <c r="V559" i="1"/>
  <c r="B559" i="2" s="1"/>
  <c r="A559" i="1"/>
  <c r="V558" i="1"/>
  <c r="B558" i="2" s="1"/>
  <c r="A558" i="1"/>
  <c r="V557" i="1"/>
  <c r="B557" i="2" s="1"/>
  <c r="A557" i="1"/>
  <c r="V556" i="1"/>
  <c r="B556" i="2" s="1"/>
  <c r="A556" i="1"/>
  <c r="V555" i="1"/>
  <c r="B555" i="2" s="1"/>
  <c r="A555" i="1"/>
  <c r="V554" i="1"/>
  <c r="B554" i="2" s="1"/>
  <c r="A554" i="1"/>
  <c r="V553" i="1"/>
  <c r="B553" i="2" s="1"/>
  <c r="A553" i="1"/>
  <c r="V552" i="1"/>
  <c r="B552" i="2" s="1"/>
  <c r="A552" i="1"/>
  <c r="V551" i="1"/>
  <c r="B551" i="2" s="1"/>
  <c r="A551" i="1"/>
  <c r="V550" i="1"/>
  <c r="B550" i="2" s="1"/>
  <c r="A550" i="1"/>
  <c r="V549" i="1"/>
  <c r="B549" i="2" s="1"/>
  <c r="A549" i="1"/>
  <c r="V548" i="1"/>
  <c r="B548" i="2" s="1"/>
  <c r="A548" i="1"/>
  <c r="V547" i="1"/>
  <c r="B547" i="2" s="1"/>
  <c r="A547" i="1"/>
  <c r="V546" i="1"/>
  <c r="B546" i="2" s="1"/>
  <c r="A546" i="1"/>
  <c r="V545" i="1"/>
  <c r="B545" i="2" s="1"/>
  <c r="A545" i="1"/>
  <c r="V544" i="1"/>
  <c r="B544" i="2" s="1"/>
  <c r="A544" i="1"/>
  <c r="V543" i="1"/>
  <c r="B543" i="2" s="1"/>
  <c r="A543" i="1"/>
  <c r="V542" i="1"/>
  <c r="B542" i="2" s="1"/>
  <c r="A542" i="1"/>
  <c r="V541" i="1"/>
  <c r="B541" i="2" s="1"/>
  <c r="A541" i="1"/>
  <c r="V540" i="1"/>
  <c r="B540" i="2" s="1"/>
  <c r="A540" i="1"/>
  <c r="V539" i="1"/>
  <c r="B539" i="2" s="1"/>
  <c r="A539" i="1"/>
  <c r="V538" i="1"/>
  <c r="B538" i="2" s="1"/>
  <c r="A538" i="1"/>
  <c r="V537" i="1"/>
  <c r="B537" i="2" s="1"/>
  <c r="A537" i="1"/>
  <c r="V536" i="1"/>
  <c r="B536" i="2" s="1"/>
  <c r="A536" i="1"/>
  <c r="V535" i="1"/>
  <c r="B535" i="2" s="1"/>
  <c r="A535" i="1"/>
  <c r="V534" i="1"/>
  <c r="B534" i="2" s="1"/>
  <c r="A534" i="1"/>
  <c r="V533" i="1"/>
  <c r="B533" i="2" s="1"/>
  <c r="A533" i="1"/>
  <c r="V532" i="1"/>
  <c r="B532" i="2" s="1"/>
  <c r="A532" i="1"/>
  <c r="V531" i="1"/>
  <c r="B531" i="2" s="1"/>
  <c r="A531" i="1"/>
  <c r="V530" i="1"/>
  <c r="B530" i="2" s="1"/>
  <c r="A530" i="1"/>
  <c r="V529" i="1"/>
  <c r="B529" i="2" s="1"/>
  <c r="A529" i="1"/>
  <c r="V528" i="1"/>
  <c r="B528" i="2" s="1"/>
  <c r="A528" i="1"/>
  <c r="V527" i="1"/>
  <c r="B527" i="2" s="1"/>
  <c r="A527" i="1"/>
  <c r="V526" i="1"/>
  <c r="B526" i="2" s="1"/>
  <c r="A526" i="1"/>
  <c r="V525" i="1"/>
  <c r="B525" i="2" s="1"/>
  <c r="A525" i="1"/>
  <c r="V524" i="1"/>
  <c r="B524" i="2" s="1"/>
  <c r="A524" i="1"/>
  <c r="V523" i="1"/>
  <c r="B523" i="2" s="1"/>
  <c r="A523" i="1"/>
  <c r="V522" i="1"/>
  <c r="B522" i="2" s="1"/>
  <c r="A522" i="1"/>
  <c r="V521" i="1"/>
  <c r="B521" i="2" s="1"/>
  <c r="A521" i="1"/>
  <c r="V520" i="1"/>
  <c r="B520" i="2" s="1"/>
  <c r="A520" i="1"/>
  <c r="V519" i="1"/>
  <c r="B519" i="2" s="1"/>
  <c r="A519" i="1"/>
  <c r="V518" i="1"/>
  <c r="B518" i="2" s="1"/>
  <c r="A518" i="1"/>
  <c r="V517" i="1"/>
  <c r="B517" i="2" s="1"/>
  <c r="A517" i="1"/>
  <c r="V516" i="1"/>
  <c r="B516" i="2" s="1"/>
  <c r="A516" i="1"/>
  <c r="V515" i="1"/>
  <c r="B515" i="2" s="1"/>
  <c r="A515" i="1"/>
  <c r="V514" i="1"/>
  <c r="B514" i="2" s="1"/>
  <c r="A514" i="1"/>
  <c r="V513" i="1"/>
  <c r="B513" i="2" s="1"/>
  <c r="A513" i="1"/>
  <c r="V512" i="1"/>
  <c r="B512" i="2" s="1"/>
  <c r="A512" i="1"/>
  <c r="V511" i="1"/>
  <c r="B511" i="2" s="1"/>
  <c r="A511" i="1"/>
  <c r="V510" i="1"/>
  <c r="B510" i="2" s="1"/>
  <c r="A510" i="1"/>
  <c r="V509" i="1"/>
  <c r="B509" i="2" s="1"/>
  <c r="A509" i="1"/>
  <c r="V508" i="1"/>
  <c r="B508" i="2" s="1"/>
  <c r="A508" i="1"/>
  <c r="V507" i="1"/>
  <c r="B507" i="2" s="1"/>
  <c r="A507" i="1"/>
  <c r="V506" i="1"/>
  <c r="B506" i="2" s="1"/>
  <c r="A506" i="1"/>
  <c r="V505" i="1"/>
  <c r="B505" i="2" s="1"/>
  <c r="A505" i="1"/>
  <c r="V504" i="1"/>
  <c r="B504" i="2" s="1"/>
  <c r="A504" i="1"/>
  <c r="V503" i="1"/>
  <c r="B503" i="2" s="1"/>
  <c r="A503" i="1"/>
  <c r="V502" i="1"/>
  <c r="B502" i="2" s="1"/>
  <c r="A502" i="1"/>
  <c r="V501" i="1"/>
  <c r="B501" i="2" s="1"/>
  <c r="A501" i="1"/>
  <c r="V500" i="1"/>
  <c r="B500" i="2" s="1"/>
  <c r="A500" i="1"/>
  <c r="V499" i="1"/>
  <c r="B499" i="2" s="1"/>
  <c r="A499" i="1"/>
  <c r="V498" i="1"/>
  <c r="B498" i="2" s="1"/>
  <c r="A498" i="1"/>
  <c r="V497" i="1"/>
  <c r="B497" i="2" s="1"/>
  <c r="A497" i="1"/>
  <c r="V496" i="1"/>
  <c r="B496" i="2" s="1"/>
  <c r="A496" i="1"/>
  <c r="V495" i="1"/>
  <c r="B495" i="2" s="1"/>
  <c r="A495" i="1"/>
  <c r="V494" i="1"/>
  <c r="B494" i="2" s="1"/>
  <c r="A494" i="1"/>
  <c r="V493" i="1"/>
  <c r="B493" i="2" s="1"/>
  <c r="A493" i="1"/>
  <c r="V492" i="1"/>
  <c r="B492" i="2" s="1"/>
  <c r="A492" i="1"/>
  <c r="V491" i="1"/>
  <c r="B491" i="2" s="1"/>
  <c r="A491" i="1"/>
  <c r="V490" i="1"/>
  <c r="B490" i="2" s="1"/>
  <c r="A490" i="1"/>
  <c r="V489" i="1"/>
  <c r="B489" i="2" s="1"/>
  <c r="A489" i="1"/>
  <c r="V488" i="1"/>
  <c r="B488" i="2" s="1"/>
  <c r="A488" i="1"/>
  <c r="V487" i="1"/>
  <c r="B487" i="2" s="1"/>
  <c r="A487" i="1"/>
  <c r="V486" i="1"/>
  <c r="B486" i="2" s="1"/>
  <c r="A486" i="1"/>
  <c r="V485" i="1"/>
  <c r="B485" i="2" s="1"/>
  <c r="A485" i="1"/>
  <c r="V484" i="1"/>
  <c r="B484" i="2" s="1"/>
  <c r="A484" i="1"/>
  <c r="V483" i="1"/>
  <c r="B483" i="2" s="1"/>
  <c r="A483" i="1"/>
  <c r="V482" i="1"/>
  <c r="B482" i="2" s="1"/>
  <c r="A482" i="1"/>
  <c r="V481" i="1"/>
  <c r="B481" i="2" s="1"/>
  <c r="A481" i="1"/>
  <c r="V480" i="1"/>
  <c r="B480" i="2" s="1"/>
  <c r="A480" i="1"/>
  <c r="V479" i="1"/>
  <c r="B479" i="2" s="1"/>
  <c r="A479" i="1"/>
  <c r="V478" i="1"/>
  <c r="B478" i="2" s="1"/>
  <c r="A478" i="1"/>
  <c r="V477" i="1"/>
  <c r="B477" i="2" s="1"/>
  <c r="A477" i="1"/>
  <c r="V476" i="1"/>
  <c r="B476" i="2" s="1"/>
  <c r="A476" i="1"/>
  <c r="V475" i="1"/>
  <c r="B475" i="2" s="1"/>
  <c r="A475" i="1"/>
  <c r="V474" i="1"/>
  <c r="B474" i="2" s="1"/>
  <c r="A474" i="1"/>
  <c r="V473" i="1"/>
  <c r="B473" i="2" s="1"/>
  <c r="A473" i="1"/>
  <c r="V472" i="1"/>
  <c r="B472" i="2" s="1"/>
  <c r="A472" i="1"/>
  <c r="V471" i="1"/>
  <c r="B471" i="2" s="1"/>
  <c r="A471" i="1"/>
  <c r="V470" i="1"/>
  <c r="B470" i="2" s="1"/>
  <c r="A470" i="1"/>
  <c r="V469" i="1"/>
  <c r="B469" i="2" s="1"/>
  <c r="A469" i="1"/>
  <c r="V468" i="1"/>
  <c r="B468" i="2" s="1"/>
  <c r="A468" i="1"/>
  <c r="V467" i="1"/>
  <c r="B467" i="2" s="1"/>
  <c r="A467" i="1"/>
  <c r="V466" i="1"/>
  <c r="B466" i="2" s="1"/>
  <c r="A466" i="1"/>
  <c r="V465" i="1"/>
  <c r="B465" i="2" s="1"/>
  <c r="A465" i="1"/>
  <c r="V464" i="1"/>
  <c r="B464" i="2" s="1"/>
  <c r="A464" i="1"/>
  <c r="V463" i="1"/>
  <c r="B463" i="2" s="1"/>
  <c r="A463" i="1"/>
  <c r="V462" i="1"/>
  <c r="B462" i="2" s="1"/>
  <c r="A462" i="1"/>
  <c r="V461" i="1"/>
  <c r="B461" i="2" s="1"/>
  <c r="A461" i="1"/>
  <c r="V460" i="1"/>
  <c r="B460" i="2" s="1"/>
  <c r="A460" i="1"/>
  <c r="V459" i="1"/>
  <c r="B459" i="2" s="1"/>
  <c r="A459" i="1"/>
  <c r="V458" i="1"/>
  <c r="B458" i="2" s="1"/>
  <c r="A458" i="1"/>
  <c r="V457" i="1"/>
  <c r="B457" i="2" s="1"/>
  <c r="A457" i="1"/>
  <c r="V456" i="1"/>
  <c r="B456" i="2" s="1"/>
  <c r="A456" i="1"/>
  <c r="V455" i="1"/>
  <c r="B455" i="2" s="1"/>
  <c r="A455" i="1"/>
  <c r="V454" i="1"/>
  <c r="B454" i="2" s="1"/>
  <c r="A454" i="1"/>
  <c r="V453" i="1"/>
  <c r="B453" i="2" s="1"/>
  <c r="A453" i="1"/>
  <c r="V452" i="1"/>
  <c r="B452" i="2" s="1"/>
  <c r="A452" i="1"/>
  <c r="V451" i="1"/>
  <c r="B451" i="2" s="1"/>
  <c r="A451" i="1"/>
  <c r="V450" i="1"/>
  <c r="B450" i="2" s="1"/>
  <c r="A450" i="1"/>
  <c r="V449" i="1"/>
  <c r="B449" i="2" s="1"/>
  <c r="A449" i="1"/>
  <c r="V448" i="1"/>
  <c r="B448" i="2" s="1"/>
  <c r="A448" i="1"/>
  <c r="V447" i="1"/>
  <c r="B447" i="2" s="1"/>
  <c r="A447" i="1"/>
  <c r="V446" i="1"/>
  <c r="B446" i="2" s="1"/>
  <c r="A446" i="1"/>
  <c r="V445" i="1"/>
  <c r="B445" i="2" s="1"/>
  <c r="A445" i="1"/>
  <c r="V444" i="1"/>
  <c r="B444" i="2" s="1"/>
  <c r="A444" i="1"/>
  <c r="V443" i="1"/>
  <c r="B443" i="2" s="1"/>
  <c r="A443" i="1"/>
  <c r="V442" i="1"/>
  <c r="B442" i="2" s="1"/>
  <c r="A442" i="1"/>
  <c r="V441" i="1"/>
  <c r="B441" i="2" s="1"/>
  <c r="A441" i="1"/>
  <c r="V440" i="1"/>
  <c r="B440" i="2" s="1"/>
  <c r="A440" i="1"/>
  <c r="V439" i="1"/>
  <c r="B439" i="2" s="1"/>
  <c r="A439" i="1"/>
  <c r="V438" i="1"/>
  <c r="B438" i="2" s="1"/>
  <c r="A438" i="1"/>
  <c r="V437" i="1"/>
  <c r="B437" i="2" s="1"/>
  <c r="A437" i="1"/>
  <c r="V436" i="1"/>
  <c r="B436" i="2" s="1"/>
  <c r="A436" i="1"/>
  <c r="V435" i="1"/>
  <c r="B435" i="2" s="1"/>
  <c r="A435" i="1"/>
  <c r="V434" i="1"/>
  <c r="B434" i="2" s="1"/>
  <c r="A434" i="1"/>
  <c r="V433" i="1"/>
  <c r="B433" i="2" s="1"/>
  <c r="A433" i="1"/>
  <c r="V432" i="1"/>
  <c r="B432" i="2" s="1"/>
  <c r="A432" i="1"/>
  <c r="V431" i="1"/>
  <c r="B431" i="2" s="1"/>
  <c r="A431" i="1"/>
  <c r="V430" i="1"/>
  <c r="B430" i="2" s="1"/>
  <c r="A430" i="1"/>
  <c r="V429" i="1"/>
  <c r="B429" i="2" s="1"/>
  <c r="A429" i="1"/>
  <c r="V428" i="1"/>
  <c r="B428" i="2" s="1"/>
  <c r="A428" i="1"/>
  <c r="V427" i="1"/>
  <c r="B427" i="2" s="1"/>
  <c r="A427" i="1"/>
  <c r="V426" i="1"/>
  <c r="B426" i="2" s="1"/>
  <c r="A426" i="1"/>
  <c r="V425" i="1"/>
  <c r="B425" i="2" s="1"/>
  <c r="A425" i="1"/>
  <c r="V424" i="1"/>
  <c r="B424" i="2" s="1"/>
  <c r="A424" i="1"/>
  <c r="V423" i="1"/>
  <c r="B423" i="2" s="1"/>
  <c r="A423" i="1"/>
  <c r="V422" i="1"/>
  <c r="B422" i="2" s="1"/>
  <c r="A422" i="1"/>
  <c r="V421" i="1"/>
  <c r="B421" i="2" s="1"/>
  <c r="A421" i="1"/>
  <c r="V420" i="1"/>
  <c r="B420" i="2" s="1"/>
  <c r="A420" i="1"/>
  <c r="V419" i="1"/>
  <c r="B419" i="2" s="1"/>
  <c r="A419" i="1"/>
  <c r="V418" i="1"/>
  <c r="B418" i="2" s="1"/>
  <c r="A418" i="1"/>
  <c r="V417" i="1"/>
  <c r="B417" i="2" s="1"/>
  <c r="A417" i="1"/>
  <c r="V416" i="1"/>
  <c r="B416" i="2" s="1"/>
  <c r="A416" i="1"/>
  <c r="V415" i="1"/>
  <c r="B415" i="2" s="1"/>
  <c r="A415" i="1"/>
  <c r="V414" i="1"/>
  <c r="B414" i="2" s="1"/>
  <c r="A414" i="1"/>
  <c r="V413" i="1"/>
  <c r="B413" i="2" s="1"/>
  <c r="A413" i="1"/>
  <c r="V412" i="1"/>
  <c r="B412" i="2" s="1"/>
  <c r="A412" i="1"/>
  <c r="V411" i="1"/>
  <c r="B411" i="2" s="1"/>
  <c r="A411" i="1"/>
  <c r="V410" i="1"/>
  <c r="B410" i="2" s="1"/>
  <c r="A410" i="1"/>
  <c r="V409" i="1"/>
  <c r="B409" i="2" s="1"/>
  <c r="A409" i="1"/>
  <c r="V408" i="1"/>
  <c r="B408" i="2" s="1"/>
  <c r="A408" i="1"/>
  <c r="V407" i="1"/>
  <c r="B407" i="2" s="1"/>
  <c r="A407" i="1"/>
  <c r="V406" i="1"/>
  <c r="B406" i="2" s="1"/>
  <c r="A406" i="1"/>
  <c r="V405" i="1"/>
  <c r="B405" i="2" s="1"/>
  <c r="A405" i="1"/>
  <c r="V404" i="1"/>
  <c r="B404" i="2" s="1"/>
  <c r="A404" i="1"/>
  <c r="V403" i="1"/>
  <c r="B403" i="2" s="1"/>
  <c r="A403" i="1"/>
  <c r="V402" i="1"/>
  <c r="B402" i="2" s="1"/>
  <c r="A402" i="1"/>
  <c r="V401" i="1"/>
  <c r="B401" i="2" s="1"/>
  <c r="A401" i="1"/>
  <c r="V400" i="1"/>
  <c r="B400" i="2" s="1"/>
  <c r="A400" i="1"/>
  <c r="V399" i="1"/>
  <c r="B399" i="2" s="1"/>
  <c r="A399" i="1"/>
  <c r="V398" i="1"/>
  <c r="B398" i="2" s="1"/>
  <c r="A398" i="1"/>
  <c r="V397" i="1"/>
  <c r="B397" i="2" s="1"/>
  <c r="A397" i="1"/>
  <c r="V396" i="1"/>
  <c r="B396" i="2" s="1"/>
  <c r="A396" i="1"/>
  <c r="V395" i="1"/>
  <c r="B395" i="2" s="1"/>
  <c r="A395" i="1"/>
  <c r="V394" i="1"/>
  <c r="B394" i="2" s="1"/>
  <c r="A394" i="1"/>
  <c r="V393" i="1"/>
  <c r="B393" i="2" s="1"/>
  <c r="A393" i="1"/>
  <c r="V392" i="1"/>
  <c r="B392" i="2" s="1"/>
  <c r="A392" i="1"/>
  <c r="V391" i="1"/>
  <c r="B391" i="2" s="1"/>
  <c r="A391" i="1"/>
  <c r="V390" i="1"/>
  <c r="B390" i="2" s="1"/>
  <c r="A390" i="1"/>
  <c r="V389" i="1"/>
  <c r="B389" i="2" s="1"/>
  <c r="A389" i="1"/>
  <c r="V388" i="1"/>
  <c r="B388" i="2" s="1"/>
  <c r="A388" i="1"/>
  <c r="V387" i="1"/>
  <c r="B387" i="2" s="1"/>
  <c r="A387" i="1"/>
  <c r="V386" i="1"/>
  <c r="B386" i="2" s="1"/>
  <c r="A386" i="1"/>
  <c r="V385" i="1"/>
  <c r="B385" i="2" s="1"/>
  <c r="A385" i="1"/>
  <c r="V384" i="1"/>
  <c r="B384" i="2" s="1"/>
  <c r="A384" i="1"/>
  <c r="V383" i="1"/>
  <c r="B383" i="2" s="1"/>
  <c r="A383" i="1"/>
  <c r="V382" i="1"/>
  <c r="B382" i="2" s="1"/>
  <c r="A382" i="1"/>
  <c r="V381" i="1"/>
  <c r="B381" i="2" s="1"/>
  <c r="A381" i="1"/>
  <c r="V380" i="1"/>
  <c r="B380" i="2" s="1"/>
  <c r="A380" i="1"/>
  <c r="V379" i="1"/>
  <c r="B379" i="2" s="1"/>
  <c r="A379" i="1"/>
  <c r="V378" i="1"/>
  <c r="B378" i="2" s="1"/>
  <c r="A378" i="1"/>
  <c r="V377" i="1"/>
  <c r="B377" i="2" s="1"/>
  <c r="A377" i="1"/>
  <c r="V376" i="1"/>
  <c r="B376" i="2" s="1"/>
  <c r="A376" i="1"/>
  <c r="V375" i="1"/>
  <c r="B375" i="2" s="1"/>
  <c r="A375" i="1"/>
  <c r="V374" i="1"/>
  <c r="B374" i="2" s="1"/>
  <c r="A374" i="1"/>
  <c r="V373" i="1"/>
  <c r="B373" i="2" s="1"/>
  <c r="A373" i="1"/>
  <c r="V372" i="1"/>
  <c r="B372" i="2" s="1"/>
  <c r="A372" i="1"/>
  <c r="V371" i="1"/>
  <c r="B371" i="2" s="1"/>
  <c r="A371" i="1"/>
  <c r="V370" i="1"/>
  <c r="B370" i="2" s="1"/>
  <c r="A370" i="1"/>
  <c r="V369" i="1"/>
  <c r="B369" i="2" s="1"/>
  <c r="A369" i="1"/>
  <c r="V368" i="1"/>
  <c r="B368" i="2" s="1"/>
  <c r="A368" i="1"/>
  <c r="V367" i="1"/>
  <c r="B367" i="2" s="1"/>
  <c r="A367" i="1"/>
  <c r="V366" i="1"/>
  <c r="B366" i="2" s="1"/>
  <c r="A366" i="1"/>
  <c r="V365" i="1"/>
  <c r="B365" i="2" s="1"/>
  <c r="A365" i="1"/>
  <c r="V364" i="1"/>
  <c r="B364" i="2" s="1"/>
  <c r="A364" i="1"/>
  <c r="V363" i="1"/>
  <c r="B363" i="2" s="1"/>
  <c r="A363" i="1"/>
  <c r="V362" i="1"/>
  <c r="B362" i="2" s="1"/>
  <c r="A362" i="1"/>
  <c r="V361" i="1"/>
  <c r="B361" i="2" s="1"/>
  <c r="A361" i="1"/>
  <c r="V360" i="1"/>
  <c r="B360" i="2" s="1"/>
  <c r="A360" i="1"/>
  <c r="V359" i="1"/>
  <c r="B359" i="2" s="1"/>
  <c r="A359" i="1"/>
  <c r="V358" i="1"/>
  <c r="B358" i="2" s="1"/>
  <c r="A358" i="1"/>
  <c r="V357" i="1"/>
  <c r="B357" i="2" s="1"/>
  <c r="A357" i="1"/>
  <c r="V356" i="1"/>
  <c r="B356" i="2" s="1"/>
  <c r="A356" i="1"/>
  <c r="V355" i="1"/>
  <c r="B355" i="2" s="1"/>
  <c r="A355" i="1"/>
  <c r="V354" i="1"/>
  <c r="B354" i="2" s="1"/>
  <c r="A354" i="1"/>
  <c r="V353" i="1"/>
  <c r="B353" i="2" s="1"/>
  <c r="A353" i="1"/>
  <c r="V352" i="1"/>
  <c r="B352" i="2" s="1"/>
  <c r="A352" i="1"/>
  <c r="V351" i="1"/>
  <c r="B351" i="2" s="1"/>
  <c r="A351" i="1"/>
  <c r="V350" i="1"/>
  <c r="B350" i="2" s="1"/>
  <c r="A350" i="1"/>
  <c r="V349" i="1"/>
  <c r="B349" i="2" s="1"/>
  <c r="A349" i="1"/>
  <c r="V348" i="1"/>
  <c r="B348" i="2" s="1"/>
  <c r="A348" i="1"/>
  <c r="V347" i="1"/>
  <c r="B347" i="2" s="1"/>
  <c r="A347" i="1"/>
  <c r="V346" i="1"/>
  <c r="B346" i="2" s="1"/>
  <c r="A346" i="1"/>
  <c r="V345" i="1"/>
  <c r="B345" i="2" s="1"/>
  <c r="A345" i="1"/>
  <c r="V344" i="1"/>
  <c r="B344" i="2" s="1"/>
  <c r="A344" i="1"/>
  <c r="V343" i="1"/>
  <c r="B343" i="2" s="1"/>
  <c r="A343" i="1"/>
  <c r="V342" i="1"/>
  <c r="B342" i="2" s="1"/>
  <c r="A342" i="1"/>
  <c r="V341" i="1"/>
  <c r="B341" i="2" s="1"/>
  <c r="A341" i="1"/>
  <c r="V340" i="1"/>
  <c r="B340" i="2" s="1"/>
  <c r="A340" i="1"/>
  <c r="V339" i="1"/>
  <c r="B339" i="2" s="1"/>
  <c r="A339" i="1"/>
  <c r="V338" i="1"/>
  <c r="B338" i="2" s="1"/>
  <c r="A338" i="1"/>
  <c r="V337" i="1"/>
  <c r="B337" i="2" s="1"/>
  <c r="A337" i="1"/>
  <c r="V336" i="1"/>
  <c r="B336" i="2" s="1"/>
  <c r="A336" i="1"/>
  <c r="V335" i="1"/>
  <c r="B335" i="2" s="1"/>
  <c r="A335" i="1"/>
  <c r="V334" i="1"/>
  <c r="B334" i="2" s="1"/>
  <c r="A334" i="1"/>
  <c r="V333" i="1"/>
  <c r="B333" i="2" s="1"/>
  <c r="A333" i="1"/>
  <c r="V332" i="1"/>
  <c r="B332" i="2" s="1"/>
  <c r="A332" i="1"/>
  <c r="V331" i="1"/>
  <c r="B331" i="2" s="1"/>
  <c r="A331" i="1"/>
  <c r="V330" i="1"/>
  <c r="B330" i="2" s="1"/>
  <c r="A330" i="1"/>
  <c r="V329" i="1"/>
  <c r="B329" i="2" s="1"/>
  <c r="A329" i="1"/>
  <c r="V328" i="1"/>
  <c r="B328" i="2" s="1"/>
  <c r="A328" i="1"/>
  <c r="V327" i="1"/>
  <c r="B327" i="2" s="1"/>
  <c r="A327" i="1"/>
  <c r="V326" i="1"/>
  <c r="B326" i="2" s="1"/>
  <c r="A326" i="1"/>
  <c r="V325" i="1"/>
  <c r="B325" i="2" s="1"/>
  <c r="A325" i="1"/>
  <c r="V324" i="1"/>
  <c r="B324" i="2" s="1"/>
  <c r="A324" i="1"/>
  <c r="V323" i="1"/>
  <c r="B323" i="2" s="1"/>
  <c r="A323" i="1"/>
  <c r="V322" i="1"/>
  <c r="B322" i="2" s="1"/>
  <c r="A322" i="1"/>
  <c r="V321" i="1"/>
  <c r="B321" i="2" s="1"/>
  <c r="A321" i="1"/>
  <c r="V320" i="1"/>
  <c r="B320" i="2" s="1"/>
  <c r="A320" i="1"/>
  <c r="V319" i="1"/>
  <c r="B319" i="2" s="1"/>
  <c r="A319" i="1"/>
  <c r="V318" i="1"/>
  <c r="B318" i="2" s="1"/>
  <c r="A318" i="1"/>
  <c r="V317" i="1"/>
  <c r="B317" i="2" s="1"/>
  <c r="A317" i="1"/>
  <c r="V316" i="1"/>
  <c r="B316" i="2" s="1"/>
  <c r="A316" i="1"/>
  <c r="V315" i="1"/>
  <c r="B315" i="2" s="1"/>
  <c r="A315" i="1"/>
  <c r="V314" i="1"/>
  <c r="B314" i="2" s="1"/>
  <c r="A314" i="1"/>
  <c r="V313" i="1"/>
  <c r="B313" i="2" s="1"/>
  <c r="A313" i="1"/>
  <c r="V312" i="1"/>
  <c r="B312" i="2" s="1"/>
  <c r="A312" i="1"/>
  <c r="V311" i="1"/>
  <c r="B311" i="2" s="1"/>
  <c r="A311" i="1"/>
  <c r="V310" i="1"/>
  <c r="B310" i="2" s="1"/>
  <c r="A310" i="1"/>
  <c r="V309" i="1"/>
  <c r="B309" i="2" s="1"/>
  <c r="A309" i="1"/>
  <c r="V308" i="1"/>
  <c r="B308" i="2" s="1"/>
  <c r="A308" i="1"/>
  <c r="V307" i="1"/>
  <c r="B307" i="2" s="1"/>
  <c r="A307" i="1"/>
  <c r="V306" i="1"/>
  <c r="B306" i="2" s="1"/>
  <c r="A306" i="1"/>
  <c r="V305" i="1"/>
  <c r="B305" i="2" s="1"/>
  <c r="A305" i="1"/>
  <c r="V304" i="1"/>
  <c r="B304" i="2" s="1"/>
  <c r="A304" i="1"/>
  <c r="V303" i="1"/>
  <c r="B303" i="2" s="1"/>
  <c r="A303" i="1"/>
  <c r="V302" i="1"/>
  <c r="B302" i="2" s="1"/>
  <c r="A302" i="1"/>
  <c r="V301" i="1"/>
  <c r="B301" i="2" s="1"/>
  <c r="A301" i="1"/>
  <c r="V300" i="1"/>
  <c r="B300" i="2" s="1"/>
  <c r="A300" i="1"/>
  <c r="V299" i="1"/>
  <c r="B299" i="2" s="1"/>
  <c r="A299" i="1"/>
  <c r="V298" i="1"/>
  <c r="B298" i="2" s="1"/>
  <c r="A298" i="1"/>
  <c r="V297" i="1"/>
  <c r="B297" i="2" s="1"/>
  <c r="A297" i="1"/>
  <c r="V296" i="1"/>
  <c r="B296" i="2" s="1"/>
  <c r="A296" i="1"/>
  <c r="V295" i="1"/>
  <c r="B295" i="2" s="1"/>
  <c r="A295" i="1"/>
  <c r="V294" i="1"/>
  <c r="B294" i="2" s="1"/>
  <c r="A294" i="1"/>
  <c r="V293" i="1"/>
  <c r="B293" i="2" s="1"/>
  <c r="A293" i="1"/>
  <c r="V292" i="1"/>
  <c r="B292" i="2" s="1"/>
  <c r="A292" i="1"/>
  <c r="V291" i="1"/>
  <c r="B291" i="2" s="1"/>
  <c r="A291" i="1"/>
  <c r="V290" i="1"/>
  <c r="B290" i="2" s="1"/>
  <c r="A290" i="1"/>
  <c r="V289" i="1"/>
  <c r="B289" i="2" s="1"/>
  <c r="A289" i="1"/>
  <c r="V288" i="1"/>
  <c r="B288" i="2" s="1"/>
  <c r="A288" i="1"/>
  <c r="V287" i="1"/>
  <c r="B287" i="2" s="1"/>
  <c r="A287" i="1"/>
  <c r="V286" i="1"/>
  <c r="B286" i="2" s="1"/>
  <c r="A286" i="1"/>
  <c r="V285" i="1"/>
  <c r="B285" i="2" s="1"/>
  <c r="A285" i="1"/>
  <c r="V284" i="1"/>
  <c r="B284" i="2" s="1"/>
  <c r="A284" i="1"/>
  <c r="V283" i="1"/>
  <c r="B283" i="2" s="1"/>
  <c r="A283" i="1"/>
  <c r="V282" i="1"/>
  <c r="B282" i="2" s="1"/>
  <c r="A282" i="1"/>
  <c r="V281" i="1"/>
  <c r="B281" i="2" s="1"/>
  <c r="A281" i="1"/>
  <c r="V280" i="1"/>
  <c r="B280" i="2" s="1"/>
  <c r="A280" i="1"/>
  <c r="V279" i="1"/>
  <c r="B279" i="2" s="1"/>
  <c r="A279" i="1"/>
  <c r="V278" i="1"/>
  <c r="B278" i="2" s="1"/>
  <c r="A278" i="1"/>
  <c r="V277" i="1"/>
  <c r="B277" i="2" s="1"/>
  <c r="A277" i="1"/>
  <c r="V276" i="1"/>
  <c r="B276" i="2" s="1"/>
  <c r="A276" i="1"/>
  <c r="V275" i="1"/>
  <c r="B275" i="2" s="1"/>
  <c r="A275" i="1"/>
  <c r="V274" i="1"/>
  <c r="B274" i="2" s="1"/>
  <c r="A274" i="1"/>
  <c r="V273" i="1"/>
  <c r="B273" i="2" s="1"/>
  <c r="A273" i="1"/>
  <c r="V272" i="1"/>
  <c r="B272" i="2" s="1"/>
  <c r="A272" i="1"/>
  <c r="V271" i="1"/>
  <c r="B271" i="2" s="1"/>
  <c r="A271" i="1"/>
  <c r="V270" i="1"/>
  <c r="B270" i="2" s="1"/>
  <c r="A270" i="1"/>
  <c r="V269" i="1"/>
  <c r="B269" i="2" s="1"/>
  <c r="A269" i="1"/>
  <c r="V268" i="1"/>
  <c r="B268" i="2" s="1"/>
  <c r="A268" i="1"/>
  <c r="V267" i="1"/>
  <c r="B267" i="2" s="1"/>
  <c r="A267" i="1"/>
  <c r="V266" i="1"/>
  <c r="B266" i="2" s="1"/>
  <c r="A266" i="1"/>
  <c r="V265" i="1"/>
  <c r="B265" i="2" s="1"/>
  <c r="A265" i="1"/>
  <c r="V264" i="1"/>
  <c r="B264" i="2" s="1"/>
  <c r="A264" i="1"/>
  <c r="V263" i="1"/>
  <c r="B263" i="2" s="1"/>
  <c r="A263" i="1"/>
  <c r="V262" i="1"/>
  <c r="B262" i="2" s="1"/>
  <c r="A262" i="1"/>
  <c r="V261" i="1"/>
  <c r="B261" i="2" s="1"/>
  <c r="A261" i="1"/>
  <c r="V260" i="1"/>
  <c r="B260" i="2" s="1"/>
  <c r="A260" i="1"/>
  <c r="V259" i="1"/>
  <c r="B259" i="2" s="1"/>
  <c r="A259" i="1"/>
  <c r="V258" i="1"/>
  <c r="B258" i="2" s="1"/>
  <c r="A258" i="1"/>
  <c r="V257" i="1"/>
  <c r="B257" i="2" s="1"/>
  <c r="A257" i="1"/>
  <c r="V256" i="1"/>
  <c r="B256" i="2" s="1"/>
  <c r="A256" i="1"/>
  <c r="V255" i="1"/>
  <c r="B255" i="2" s="1"/>
  <c r="A255" i="1"/>
  <c r="V254" i="1"/>
  <c r="B254" i="2" s="1"/>
  <c r="A254" i="1"/>
  <c r="V253" i="1"/>
  <c r="B253" i="2" s="1"/>
  <c r="A253" i="1"/>
  <c r="V252" i="1"/>
  <c r="B252" i="2" s="1"/>
  <c r="A252" i="1"/>
  <c r="V251" i="1"/>
  <c r="B251" i="2" s="1"/>
  <c r="A251" i="1"/>
  <c r="V250" i="1"/>
  <c r="B250" i="2" s="1"/>
  <c r="A250" i="1"/>
  <c r="V249" i="1"/>
  <c r="B249" i="2" s="1"/>
  <c r="A249" i="1"/>
  <c r="V248" i="1"/>
  <c r="B248" i="2" s="1"/>
  <c r="A248" i="1"/>
  <c r="V247" i="1"/>
  <c r="B247" i="2" s="1"/>
  <c r="A247" i="1"/>
  <c r="V246" i="1"/>
  <c r="B246" i="2" s="1"/>
  <c r="A246" i="1"/>
  <c r="V245" i="1"/>
  <c r="B245" i="2" s="1"/>
  <c r="A245" i="1"/>
  <c r="V244" i="1"/>
  <c r="B244" i="2" s="1"/>
  <c r="A244" i="1"/>
  <c r="V243" i="1"/>
  <c r="B243" i="2" s="1"/>
  <c r="A243" i="1"/>
  <c r="V242" i="1"/>
  <c r="B242" i="2" s="1"/>
  <c r="A242" i="1"/>
  <c r="V241" i="1"/>
  <c r="B241" i="2" s="1"/>
  <c r="A241" i="1"/>
  <c r="V240" i="1"/>
  <c r="B240" i="2" s="1"/>
  <c r="A240" i="1"/>
  <c r="V239" i="1"/>
  <c r="B239" i="2" s="1"/>
  <c r="A239" i="1"/>
  <c r="V238" i="1"/>
  <c r="B238" i="2" s="1"/>
  <c r="A238" i="1"/>
  <c r="V237" i="1"/>
  <c r="B237" i="2" s="1"/>
  <c r="A237" i="1"/>
  <c r="V236" i="1"/>
  <c r="B236" i="2" s="1"/>
  <c r="A236" i="1"/>
  <c r="V235" i="1"/>
  <c r="B235" i="2" s="1"/>
  <c r="A235" i="1"/>
  <c r="V234" i="1"/>
  <c r="B234" i="2" s="1"/>
  <c r="A234" i="1"/>
  <c r="V233" i="1"/>
  <c r="B233" i="2" s="1"/>
  <c r="A233" i="1"/>
  <c r="V232" i="1"/>
  <c r="B232" i="2" s="1"/>
  <c r="A232" i="1"/>
  <c r="V231" i="1"/>
  <c r="B231" i="2" s="1"/>
  <c r="A231" i="1"/>
  <c r="V230" i="1"/>
  <c r="B230" i="2" s="1"/>
  <c r="A230" i="1"/>
  <c r="V229" i="1"/>
  <c r="B229" i="2" s="1"/>
  <c r="A229" i="1"/>
  <c r="V228" i="1"/>
  <c r="B228" i="2" s="1"/>
  <c r="A228" i="1"/>
  <c r="V227" i="1"/>
  <c r="B227" i="2" s="1"/>
  <c r="A227" i="1"/>
  <c r="V226" i="1"/>
  <c r="B226" i="2" s="1"/>
  <c r="A226" i="1"/>
  <c r="V225" i="1"/>
  <c r="B225" i="2" s="1"/>
  <c r="A225" i="1"/>
  <c r="V224" i="1"/>
  <c r="B224" i="2" s="1"/>
  <c r="A224" i="1"/>
  <c r="V223" i="1"/>
  <c r="B223" i="2" s="1"/>
  <c r="A223" i="1"/>
  <c r="V222" i="1"/>
  <c r="B222" i="2" s="1"/>
  <c r="A222" i="1"/>
  <c r="V221" i="1"/>
  <c r="B221" i="2" s="1"/>
  <c r="A221" i="1"/>
  <c r="V220" i="1"/>
  <c r="B220" i="2" s="1"/>
  <c r="A220" i="1"/>
  <c r="V219" i="1"/>
  <c r="B219" i="2" s="1"/>
  <c r="A219" i="1"/>
  <c r="V218" i="1"/>
  <c r="B218" i="2" s="1"/>
  <c r="A218" i="1"/>
  <c r="V217" i="1"/>
  <c r="B217" i="2" s="1"/>
  <c r="A217" i="1"/>
  <c r="V216" i="1"/>
  <c r="B216" i="2" s="1"/>
  <c r="A216" i="1"/>
  <c r="V215" i="1"/>
  <c r="B215" i="2" s="1"/>
  <c r="A215" i="1"/>
  <c r="V214" i="1"/>
  <c r="B214" i="2" s="1"/>
  <c r="A214" i="1"/>
  <c r="V213" i="1"/>
  <c r="B213" i="2" s="1"/>
  <c r="A213" i="1"/>
  <c r="V212" i="1"/>
  <c r="B212" i="2" s="1"/>
  <c r="A212" i="1"/>
  <c r="V211" i="1"/>
  <c r="B211" i="2" s="1"/>
  <c r="A211" i="1"/>
  <c r="V210" i="1"/>
  <c r="B210" i="2" s="1"/>
  <c r="A210" i="1"/>
  <c r="V209" i="1"/>
  <c r="B209" i="2" s="1"/>
  <c r="A209" i="1"/>
  <c r="V208" i="1"/>
  <c r="B208" i="2" s="1"/>
  <c r="A208" i="1"/>
  <c r="V207" i="1"/>
  <c r="B207" i="2" s="1"/>
  <c r="A207" i="1"/>
  <c r="V206" i="1"/>
  <c r="B206" i="2" s="1"/>
  <c r="A206" i="1"/>
  <c r="V205" i="1"/>
  <c r="B205" i="2" s="1"/>
  <c r="A205" i="1"/>
  <c r="V204" i="1"/>
  <c r="B204" i="2" s="1"/>
  <c r="A204" i="1"/>
  <c r="V203" i="1"/>
  <c r="B203" i="2" s="1"/>
  <c r="A203" i="1"/>
  <c r="V202" i="1"/>
  <c r="B202" i="2" s="1"/>
  <c r="A202" i="1"/>
  <c r="V201" i="1"/>
  <c r="B201" i="2" s="1"/>
  <c r="A201" i="1"/>
  <c r="V200" i="1"/>
  <c r="B200" i="2" s="1"/>
  <c r="A200" i="1"/>
  <c r="V199" i="1"/>
  <c r="B199" i="2" s="1"/>
  <c r="A199" i="1"/>
  <c r="V198" i="1"/>
  <c r="B198" i="2" s="1"/>
  <c r="A198" i="1"/>
  <c r="V197" i="1"/>
  <c r="B197" i="2" s="1"/>
  <c r="A197" i="1"/>
  <c r="V196" i="1"/>
  <c r="B196" i="2" s="1"/>
  <c r="A196" i="1"/>
  <c r="V195" i="1"/>
  <c r="B195" i="2" s="1"/>
  <c r="A195" i="1"/>
  <c r="V194" i="1"/>
  <c r="B194" i="2" s="1"/>
  <c r="A194" i="1"/>
  <c r="V193" i="1"/>
  <c r="B193" i="2" s="1"/>
  <c r="A193" i="1"/>
  <c r="V192" i="1"/>
  <c r="B192" i="2" s="1"/>
  <c r="A192" i="1"/>
  <c r="V191" i="1"/>
  <c r="B191" i="2" s="1"/>
  <c r="A191" i="1"/>
  <c r="V190" i="1"/>
  <c r="B190" i="2" s="1"/>
  <c r="A190" i="1"/>
  <c r="V189" i="1"/>
  <c r="B189" i="2" s="1"/>
  <c r="A189" i="1"/>
  <c r="V188" i="1"/>
  <c r="B188" i="2" s="1"/>
  <c r="A188" i="1"/>
  <c r="V187" i="1"/>
  <c r="B187" i="2" s="1"/>
  <c r="A187" i="1"/>
  <c r="V186" i="1"/>
  <c r="B186" i="2" s="1"/>
  <c r="A186" i="1"/>
  <c r="V185" i="1"/>
  <c r="B185" i="2" s="1"/>
  <c r="A185" i="1"/>
  <c r="V184" i="1"/>
  <c r="B184" i="2" s="1"/>
  <c r="A184" i="1"/>
  <c r="V183" i="1"/>
  <c r="B183" i="2" s="1"/>
  <c r="A183" i="1"/>
  <c r="V182" i="1"/>
  <c r="B182" i="2" s="1"/>
  <c r="A182" i="1"/>
  <c r="V181" i="1"/>
  <c r="B181" i="2" s="1"/>
  <c r="A181" i="1"/>
  <c r="V180" i="1"/>
  <c r="B180" i="2" s="1"/>
  <c r="A180" i="1"/>
  <c r="V179" i="1"/>
  <c r="B179" i="2" s="1"/>
  <c r="A179" i="1"/>
  <c r="V178" i="1"/>
  <c r="B178" i="2" s="1"/>
  <c r="A178" i="1"/>
  <c r="V177" i="1"/>
  <c r="B177" i="2" s="1"/>
  <c r="A177" i="1"/>
  <c r="V176" i="1"/>
  <c r="B176" i="2" s="1"/>
  <c r="A176" i="1"/>
  <c r="V175" i="1"/>
  <c r="B175" i="2" s="1"/>
  <c r="A175" i="1"/>
  <c r="V174" i="1"/>
  <c r="B174" i="2" s="1"/>
  <c r="A174" i="1"/>
  <c r="V173" i="1"/>
  <c r="B173" i="2" s="1"/>
  <c r="A173" i="1"/>
  <c r="V172" i="1"/>
  <c r="B172" i="2" s="1"/>
  <c r="A172" i="1"/>
  <c r="V171" i="1"/>
  <c r="B171" i="2" s="1"/>
  <c r="A171" i="1"/>
  <c r="V170" i="1"/>
  <c r="B170" i="2" s="1"/>
  <c r="A170" i="1"/>
  <c r="V169" i="1"/>
  <c r="B169" i="2" s="1"/>
  <c r="A169" i="1"/>
  <c r="V168" i="1"/>
  <c r="B168" i="2" s="1"/>
  <c r="A168" i="1"/>
  <c r="V167" i="1"/>
  <c r="B167" i="2" s="1"/>
  <c r="A167" i="1"/>
  <c r="V166" i="1"/>
  <c r="B166" i="2" s="1"/>
  <c r="A166" i="1"/>
  <c r="V165" i="1"/>
  <c r="B165" i="2" s="1"/>
  <c r="A165" i="1"/>
  <c r="V164" i="1"/>
  <c r="B164" i="2" s="1"/>
  <c r="A164" i="1"/>
  <c r="V163" i="1"/>
  <c r="B163" i="2" s="1"/>
  <c r="A163" i="1"/>
  <c r="V162" i="1"/>
  <c r="B162" i="2" s="1"/>
  <c r="A162" i="1"/>
  <c r="V161" i="1"/>
  <c r="B161" i="2" s="1"/>
  <c r="A161" i="1"/>
  <c r="V160" i="1"/>
  <c r="B160" i="2" s="1"/>
  <c r="A160" i="1"/>
  <c r="V159" i="1"/>
  <c r="B159" i="2" s="1"/>
  <c r="A159" i="1"/>
  <c r="V158" i="1"/>
  <c r="B158" i="2" s="1"/>
  <c r="A158" i="1"/>
  <c r="V157" i="1"/>
  <c r="B157" i="2" s="1"/>
  <c r="A157" i="1"/>
  <c r="V156" i="1"/>
  <c r="B156" i="2" s="1"/>
  <c r="A156" i="1"/>
  <c r="V155" i="1"/>
  <c r="B155" i="2" s="1"/>
  <c r="A155" i="1"/>
  <c r="V154" i="1"/>
  <c r="B154" i="2" s="1"/>
  <c r="A154" i="1"/>
  <c r="V153" i="1"/>
  <c r="B153" i="2" s="1"/>
  <c r="A153" i="1"/>
  <c r="V152" i="1"/>
  <c r="B152" i="2" s="1"/>
  <c r="A152" i="1"/>
  <c r="V151" i="1"/>
  <c r="B151" i="2" s="1"/>
  <c r="A151" i="1"/>
  <c r="V150" i="1"/>
  <c r="B150" i="2" s="1"/>
  <c r="A150" i="1"/>
  <c r="V149" i="1"/>
  <c r="B149" i="2" s="1"/>
  <c r="A149" i="1"/>
  <c r="V148" i="1"/>
  <c r="B148" i="2" s="1"/>
  <c r="A148" i="1"/>
  <c r="V147" i="1"/>
  <c r="B147" i="2" s="1"/>
  <c r="A147" i="1"/>
  <c r="V146" i="1"/>
  <c r="B146" i="2" s="1"/>
  <c r="A146" i="1"/>
  <c r="V145" i="1"/>
  <c r="B145" i="2" s="1"/>
  <c r="A145" i="1"/>
  <c r="V144" i="1"/>
  <c r="B144" i="2" s="1"/>
  <c r="A144" i="1"/>
  <c r="V143" i="1"/>
  <c r="B143" i="2" s="1"/>
  <c r="A143" i="1"/>
  <c r="V142" i="1"/>
  <c r="B142" i="2" s="1"/>
  <c r="A142" i="1"/>
  <c r="V141" i="1"/>
  <c r="B141" i="2" s="1"/>
  <c r="A141" i="1"/>
  <c r="V140" i="1"/>
  <c r="B140" i="2" s="1"/>
  <c r="A140" i="1"/>
  <c r="V139" i="1"/>
  <c r="B139" i="2" s="1"/>
  <c r="A139" i="1"/>
  <c r="V138" i="1"/>
  <c r="B138" i="2" s="1"/>
  <c r="A138" i="1"/>
  <c r="V137" i="1"/>
  <c r="B137" i="2" s="1"/>
  <c r="A137" i="1"/>
  <c r="V136" i="1"/>
  <c r="B136" i="2" s="1"/>
  <c r="A136" i="1"/>
  <c r="V135" i="1"/>
  <c r="B135" i="2" s="1"/>
  <c r="A135" i="1"/>
  <c r="V134" i="1"/>
  <c r="B134" i="2" s="1"/>
  <c r="A134" i="1"/>
  <c r="V133" i="1"/>
  <c r="B133" i="2" s="1"/>
  <c r="A133" i="1"/>
  <c r="V132" i="1"/>
  <c r="B132" i="2" s="1"/>
  <c r="A132" i="1"/>
  <c r="V131" i="1"/>
  <c r="B131" i="2" s="1"/>
  <c r="A131" i="1"/>
  <c r="V130" i="1"/>
  <c r="B130" i="2" s="1"/>
  <c r="A130" i="1"/>
  <c r="V129" i="1"/>
  <c r="B129" i="2" s="1"/>
  <c r="A129" i="1"/>
  <c r="V128" i="1"/>
  <c r="B128" i="2" s="1"/>
  <c r="A128" i="1"/>
  <c r="V127" i="1"/>
  <c r="B127" i="2" s="1"/>
  <c r="A127" i="1"/>
  <c r="V126" i="1"/>
  <c r="B126" i="2" s="1"/>
  <c r="A126" i="1"/>
  <c r="V125" i="1"/>
  <c r="B125" i="2" s="1"/>
  <c r="A125" i="1"/>
  <c r="V124" i="1"/>
  <c r="B124" i="2" s="1"/>
  <c r="A124" i="1"/>
  <c r="V123" i="1"/>
  <c r="B123" i="2" s="1"/>
  <c r="A123" i="1"/>
  <c r="V122" i="1"/>
  <c r="B122" i="2" s="1"/>
  <c r="A122" i="1"/>
  <c r="V121" i="1"/>
  <c r="B121" i="2" s="1"/>
  <c r="A121" i="1"/>
  <c r="V120" i="1"/>
  <c r="B120" i="2" s="1"/>
  <c r="A120" i="1"/>
  <c r="V119" i="1"/>
  <c r="B119" i="2" s="1"/>
  <c r="A119" i="1"/>
  <c r="V118" i="1"/>
  <c r="B118" i="2" s="1"/>
  <c r="A118" i="1"/>
  <c r="V117" i="1"/>
  <c r="B117" i="2" s="1"/>
  <c r="A117" i="1"/>
  <c r="V116" i="1"/>
  <c r="B116" i="2" s="1"/>
  <c r="A116" i="1"/>
  <c r="V115" i="1"/>
  <c r="B115" i="2" s="1"/>
  <c r="A115" i="1"/>
  <c r="V114" i="1"/>
  <c r="B114" i="2" s="1"/>
  <c r="A114" i="1"/>
  <c r="V113" i="1"/>
  <c r="B113" i="2" s="1"/>
  <c r="A113" i="1"/>
  <c r="V112" i="1"/>
  <c r="B112" i="2" s="1"/>
  <c r="A112" i="1"/>
  <c r="V111" i="1"/>
  <c r="B111" i="2" s="1"/>
  <c r="A111" i="1"/>
  <c r="V110" i="1"/>
  <c r="B110" i="2" s="1"/>
  <c r="A110" i="1"/>
  <c r="V109" i="1"/>
  <c r="B109" i="2" s="1"/>
  <c r="A109" i="1"/>
  <c r="V108" i="1"/>
  <c r="B108" i="2" s="1"/>
  <c r="A108" i="1"/>
  <c r="V107" i="1"/>
  <c r="B107" i="2" s="1"/>
  <c r="A107" i="1"/>
  <c r="V106" i="1"/>
  <c r="B106" i="2" s="1"/>
  <c r="A106" i="1"/>
  <c r="V105" i="1"/>
  <c r="B105" i="2" s="1"/>
  <c r="A105" i="1"/>
  <c r="V104" i="1"/>
  <c r="B104" i="2" s="1"/>
  <c r="A104" i="1"/>
  <c r="V103" i="1"/>
  <c r="B103" i="2" s="1"/>
  <c r="A103" i="1"/>
  <c r="V102" i="1"/>
  <c r="B102" i="2" s="1"/>
  <c r="A102" i="1"/>
  <c r="V101" i="1"/>
  <c r="B101" i="2" s="1"/>
  <c r="A101" i="1"/>
  <c r="V100" i="1"/>
  <c r="B100" i="2" s="1"/>
  <c r="A100" i="1"/>
  <c r="V99" i="1"/>
  <c r="B99" i="2" s="1"/>
  <c r="A99" i="1"/>
  <c r="V98" i="1"/>
  <c r="B98" i="2" s="1"/>
  <c r="A98" i="1"/>
  <c r="V97" i="1"/>
  <c r="B97" i="2" s="1"/>
  <c r="A97" i="1"/>
  <c r="V96" i="1"/>
  <c r="B96" i="2" s="1"/>
  <c r="A96" i="1"/>
  <c r="V95" i="1"/>
  <c r="B95" i="2" s="1"/>
  <c r="A95" i="1"/>
  <c r="V94" i="1"/>
  <c r="B94" i="2" s="1"/>
  <c r="A94" i="1"/>
  <c r="V93" i="1"/>
  <c r="B93" i="2" s="1"/>
  <c r="A93" i="1"/>
  <c r="V92" i="1"/>
  <c r="B92" i="2" s="1"/>
  <c r="A92" i="1"/>
  <c r="V91" i="1"/>
  <c r="B91" i="2" s="1"/>
  <c r="A91" i="1"/>
  <c r="V90" i="1"/>
  <c r="B90" i="2" s="1"/>
  <c r="A90" i="1"/>
  <c r="V89" i="1"/>
  <c r="B89" i="2" s="1"/>
  <c r="A89" i="1"/>
  <c r="V88" i="1"/>
  <c r="B88" i="2" s="1"/>
  <c r="A88" i="1"/>
  <c r="V87" i="1"/>
  <c r="B87" i="2" s="1"/>
  <c r="A87" i="1"/>
  <c r="V86" i="1"/>
  <c r="B86" i="2" s="1"/>
  <c r="A86" i="1"/>
  <c r="V85" i="1"/>
  <c r="B85" i="2" s="1"/>
  <c r="A85" i="1"/>
  <c r="V84" i="1"/>
  <c r="B84" i="2" s="1"/>
  <c r="A84" i="1"/>
  <c r="V83" i="1"/>
  <c r="B83" i="2" s="1"/>
  <c r="A83" i="1"/>
  <c r="V82" i="1"/>
  <c r="B82" i="2" s="1"/>
  <c r="A82" i="1"/>
  <c r="V81" i="1"/>
  <c r="B81" i="2" s="1"/>
  <c r="A81" i="1"/>
  <c r="V80" i="1"/>
  <c r="B80" i="2" s="1"/>
  <c r="A80" i="1"/>
  <c r="V79" i="1"/>
  <c r="B79" i="2" s="1"/>
  <c r="A79" i="1"/>
  <c r="V78" i="1"/>
  <c r="B78" i="2" s="1"/>
  <c r="A78" i="1"/>
  <c r="V77" i="1"/>
  <c r="B77" i="2" s="1"/>
  <c r="A77" i="1"/>
  <c r="V76" i="1"/>
  <c r="B76" i="2" s="1"/>
  <c r="A76" i="1"/>
  <c r="V75" i="1"/>
  <c r="B75" i="2" s="1"/>
  <c r="A75" i="1"/>
  <c r="V74" i="1"/>
  <c r="B74" i="2" s="1"/>
  <c r="A74" i="1"/>
  <c r="V73" i="1"/>
  <c r="B73" i="2" s="1"/>
  <c r="A73" i="1"/>
  <c r="V72" i="1"/>
  <c r="B72" i="2" s="1"/>
  <c r="A72" i="1"/>
  <c r="V71" i="1"/>
  <c r="B71" i="2" s="1"/>
  <c r="A71" i="1"/>
  <c r="V70" i="1"/>
  <c r="B70" i="2" s="1"/>
  <c r="A70" i="1"/>
  <c r="V69" i="1"/>
  <c r="B69" i="2" s="1"/>
  <c r="A69" i="1"/>
  <c r="V68" i="1"/>
  <c r="B68" i="2" s="1"/>
  <c r="A68" i="1"/>
  <c r="V67" i="1"/>
  <c r="B67" i="2" s="1"/>
  <c r="A67" i="1"/>
  <c r="V66" i="1"/>
  <c r="B66" i="2" s="1"/>
  <c r="A66" i="1"/>
  <c r="V65" i="1"/>
  <c r="B65" i="2" s="1"/>
  <c r="A65" i="1"/>
  <c r="V64" i="1"/>
  <c r="B64" i="2" s="1"/>
  <c r="A64" i="1"/>
  <c r="V63" i="1"/>
  <c r="B63" i="2" s="1"/>
  <c r="A63" i="1"/>
  <c r="V62" i="1"/>
  <c r="B62" i="2" s="1"/>
  <c r="A62" i="1"/>
  <c r="V61" i="1"/>
  <c r="B61" i="2" s="1"/>
  <c r="A61" i="1"/>
  <c r="V60" i="1"/>
  <c r="B60" i="2" s="1"/>
  <c r="A60" i="1"/>
  <c r="V59" i="1"/>
  <c r="B59" i="2" s="1"/>
  <c r="A59" i="1"/>
  <c r="V58" i="1"/>
  <c r="B58" i="2" s="1"/>
  <c r="A58" i="1"/>
  <c r="V57" i="1"/>
  <c r="B57" i="2" s="1"/>
  <c r="A57" i="1"/>
  <c r="V56" i="1"/>
  <c r="B56" i="2" s="1"/>
  <c r="A56" i="1"/>
  <c r="V55" i="1"/>
  <c r="B55" i="2" s="1"/>
  <c r="A55" i="1"/>
  <c r="V54" i="1"/>
  <c r="B54" i="2" s="1"/>
  <c r="A54" i="1"/>
  <c r="V53" i="1"/>
  <c r="B53" i="2" s="1"/>
  <c r="A53" i="1"/>
  <c r="V52" i="1"/>
  <c r="B52" i="2" s="1"/>
  <c r="A52" i="1"/>
  <c r="V51" i="1"/>
  <c r="B51" i="2" s="1"/>
  <c r="A51" i="1"/>
  <c r="V50" i="1"/>
  <c r="B50" i="2" s="1"/>
  <c r="A50" i="1"/>
  <c r="V49" i="1"/>
  <c r="B49" i="2" s="1"/>
  <c r="A49" i="1"/>
  <c r="V48" i="1"/>
  <c r="B48" i="2" s="1"/>
  <c r="A48" i="1"/>
  <c r="V47" i="1"/>
  <c r="B47" i="2" s="1"/>
  <c r="A47" i="1"/>
  <c r="V46" i="1"/>
  <c r="B46" i="2" s="1"/>
  <c r="A46" i="1"/>
  <c r="V45" i="1"/>
  <c r="B45" i="2" s="1"/>
  <c r="A45" i="1"/>
  <c r="V44" i="1"/>
  <c r="B44" i="2" s="1"/>
  <c r="A44" i="1"/>
  <c r="V43" i="1"/>
  <c r="B43" i="2" s="1"/>
  <c r="A43" i="1"/>
  <c r="V42" i="1"/>
  <c r="B42" i="2" s="1"/>
  <c r="A42" i="1"/>
  <c r="V41" i="1"/>
  <c r="B41" i="2" s="1"/>
  <c r="A41" i="1"/>
  <c r="V40" i="1"/>
  <c r="B40" i="2" s="1"/>
  <c r="A40" i="1"/>
  <c r="V39" i="1"/>
  <c r="B39" i="2" s="1"/>
  <c r="A39" i="1"/>
  <c r="V38" i="1"/>
  <c r="B38" i="2" s="1"/>
  <c r="A38" i="1"/>
  <c r="V37" i="1"/>
  <c r="B37" i="2" s="1"/>
  <c r="A37" i="1"/>
  <c r="V36" i="1"/>
  <c r="B36" i="2" s="1"/>
  <c r="A36" i="1"/>
  <c r="V35" i="1"/>
  <c r="B35" i="2" s="1"/>
  <c r="A35" i="1"/>
  <c r="V34" i="1"/>
  <c r="B34" i="2" s="1"/>
  <c r="A34" i="1"/>
  <c r="V33" i="1"/>
  <c r="B33" i="2" s="1"/>
  <c r="A33" i="1"/>
  <c r="V32" i="1"/>
  <c r="B32" i="2" s="1"/>
  <c r="A32" i="1"/>
  <c r="V31" i="1"/>
  <c r="B31" i="2" s="1"/>
  <c r="A31" i="1"/>
  <c r="V30" i="1"/>
  <c r="B30" i="2" s="1"/>
  <c r="A30" i="1"/>
  <c r="V29" i="1"/>
  <c r="B29" i="2" s="1"/>
  <c r="A29" i="1"/>
  <c r="V28" i="1"/>
  <c r="B28" i="2" s="1"/>
  <c r="A28" i="1"/>
  <c r="V27" i="1"/>
  <c r="B27" i="2" s="1"/>
  <c r="A27" i="1"/>
  <c r="V26" i="1"/>
  <c r="B26" i="2" s="1"/>
  <c r="A26" i="1"/>
  <c r="V25" i="1"/>
  <c r="B25" i="2" s="1"/>
  <c r="A25" i="1"/>
  <c r="V24" i="1"/>
  <c r="B24" i="2" s="1"/>
  <c r="A24" i="1"/>
  <c r="V23" i="1"/>
  <c r="B23" i="2" s="1"/>
  <c r="A23" i="1"/>
  <c r="V22" i="1"/>
  <c r="B22" i="2" s="1"/>
  <c r="A22" i="1"/>
  <c r="V21" i="1"/>
  <c r="B21" i="2" s="1"/>
  <c r="A21" i="1"/>
  <c r="V20" i="1"/>
  <c r="B20" i="2" s="1"/>
  <c r="A20" i="1"/>
  <c r="V19" i="1"/>
  <c r="B19" i="2" s="1"/>
  <c r="A19" i="1"/>
  <c r="V18" i="1"/>
  <c r="B18" i="2" s="1"/>
  <c r="A18" i="1"/>
  <c r="V17" i="1"/>
  <c r="B17" i="2" s="1"/>
  <c r="A17" i="1"/>
  <c r="V16" i="1"/>
  <c r="B16" i="2" s="1"/>
  <c r="A16" i="1"/>
  <c r="V15" i="1"/>
  <c r="B15" i="2" s="1"/>
  <c r="A15" i="1"/>
  <c r="V14" i="1"/>
  <c r="B14" i="2" s="1"/>
  <c r="A14" i="1"/>
  <c r="V13" i="1"/>
  <c r="B13" i="2" s="1"/>
  <c r="A13" i="1"/>
  <c r="V12" i="1"/>
  <c r="B12" i="2" s="1"/>
  <c r="A12" i="1"/>
  <c r="V11" i="1"/>
  <c r="B11" i="2" s="1"/>
  <c r="A11" i="1"/>
  <c r="V10" i="1"/>
  <c r="B10" i="2" s="1"/>
  <c r="A10" i="1"/>
  <c r="V9" i="1"/>
  <c r="B9" i="2" s="1"/>
  <c r="A9" i="1"/>
  <c r="V8" i="1"/>
  <c r="B8" i="2" s="1"/>
  <c r="A8" i="1"/>
  <c r="V7" i="1"/>
  <c r="B7" i="2" s="1"/>
  <c r="A7" i="1"/>
  <c r="V6" i="1"/>
  <c r="B6" i="2" s="1"/>
  <c r="A6" i="1"/>
  <c r="V5" i="1"/>
  <c r="B5" i="2" s="1"/>
  <c r="A5" i="1"/>
  <c r="V4" i="1"/>
  <c r="B4" i="2" s="1"/>
  <c r="A4" i="1"/>
  <c r="V3" i="1"/>
  <c r="B3" i="2" s="1"/>
  <c r="A3" i="1"/>
  <c r="V2" i="1"/>
  <c r="B2" i="2" s="1"/>
  <c r="A2" i="1"/>
  <c r="J2084" i="2" l="1"/>
  <c r="J4591" i="2"/>
  <c r="J1092" i="2"/>
  <c r="J2790" i="2"/>
  <c r="J2830" i="2"/>
  <c r="J2008" i="2"/>
  <c r="J3380" i="2"/>
  <c r="J4841" i="2"/>
  <c r="J1103" i="2"/>
  <c r="J903" i="2"/>
  <c r="J1660" i="2"/>
  <c r="J2802" i="2"/>
  <c r="J7147" i="2"/>
  <c r="J2015" i="2"/>
  <c r="J7222" i="2"/>
  <c r="J2458" i="2"/>
  <c r="J2978" i="2"/>
  <c r="J3566" i="2"/>
  <c r="J5806" i="2"/>
  <c r="J5040" i="2"/>
  <c r="J1751" i="2"/>
  <c r="J5958" i="2"/>
  <c r="J740" i="2"/>
  <c r="J3763" i="2"/>
  <c r="J6870" i="2"/>
  <c r="J6612" i="2"/>
  <c r="J1406" i="2"/>
  <c r="J3938" i="2"/>
  <c r="J5995" i="2"/>
  <c r="J4084" i="2"/>
  <c r="J5644" i="2"/>
  <c r="J2345" i="2"/>
  <c r="J2116" i="2"/>
  <c r="J5818" i="2"/>
  <c r="J764" i="2"/>
  <c r="J2699" i="2"/>
  <c r="J2614" i="2"/>
  <c r="J4844" i="2"/>
  <c r="J6339" i="2"/>
  <c r="J3660" i="2"/>
  <c r="J6716" i="2"/>
  <c r="J5543" i="2"/>
  <c r="J1034" i="2"/>
  <c r="J3858" i="2"/>
  <c r="J5776" i="2"/>
  <c r="J3618" i="2"/>
  <c r="J1085" i="2"/>
  <c r="J5834" i="2"/>
  <c r="J1049" i="2"/>
  <c r="J5471" i="2"/>
  <c r="J6126" i="2"/>
  <c r="J1552" i="2"/>
  <c r="J1797" i="2"/>
  <c r="J4658" i="2"/>
  <c r="J6602" i="2"/>
  <c r="J5473" i="2"/>
  <c r="J7215" i="2"/>
  <c r="J436" i="2"/>
  <c r="J3100" i="2"/>
  <c r="J1585" i="2"/>
  <c r="J3811" i="2"/>
  <c r="J329" i="2"/>
  <c r="J1151" i="2"/>
  <c r="J2451" i="2"/>
  <c r="J2515" i="2"/>
  <c r="J2238" i="2"/>
  <c r="J2077" i="2"/>
  <c r="J6160" i="2"/>
  <c r="J2800" i="2"/>
  <c r="J5008" i="2"/>
  <c r="J6171" i="2"/>
  <c r="J6784" i="2"/>
  <c r="J3392" i="2"/>
  <c r="J2176" i="2"/>
  <c r="J7038" i="2"/>
  <c r="J4210" i="2"/>
  <c r="J2785" i="2"/>
  <c r="J663" i="2"/>
  <c r="J6722" i="2"/>
  <c r="J2764" i="2"/>
  <c r="J2508" i="2"/>
  <c r="J2780" i="2"/>
  <c r="J2131" i="2"/>
  <c r="J2803" i="2"/>
  <c r="J5758" i="2"/>
  <c r="J2250" i="2"/>
  <c r="J2256" i="2"/>
  <c r="J3620" i="2"/>
  <c r="J1161" i="2"/>
  <c r="J5407" i="2"/>
  <c r="J5254" i="2"/>
  <c r="J6091" i="2"/>
  <c r="J984" i="2"/>
  <c r="J2690" i="2"/>
  <c r="J1880" i="2"/>
  <c r="J4916" i="2"/>
  <c r="J5821" i="2"/>
  <c r="K160" i="2"/>
  <c r="J160" i="2"/>
  <c r="K184" i="2"/>
  <c r="J184" i="2"/>
  <c r="K614" i="2"/>
  <c r="J614" i="2"/>
  <c r="K2902" i="2"/>
  <c r="J2902" i="2"/>
  <c r="K3173" i="2"/>
  <c r="J3173" i="2"/>
  <c r="K5313" i="2"/>
  <c r="J5313" i="2"/>
  <c r="K452" i="2"/>
  <c r="J452" i="2"/>
  <c r="K6097" i="2"/>
  <c r="J6097" i="2"/>
  <c r="K2849" i="2"/>
  <c r="J2849" i="2"/>
  <c r="K4058" i="2"/>
  <c r="J4058" i="2"/>
  <c r="K6601" i="2"/>
  <c r="J6601" i="2"/>
  <c r="K1526" i="2"/>
  <c r="J1526" i="2"/>
  <c r="K1096" i="2"/>
  <c r="J1096" i="2"/>
  <c r="K1160" i="2"/>
  <c r="J1160" i="2"/>
  <c r="K7111" i="2"/>
  <c r="J7111" i="2"/>
  <c r="K1244" i="2"/>
  <c r="J1244" i="2"/>
  <c r="K1911" i="2"/>
  <c r="J1911" i="2"/>
  <c r="K1416" i="2"/>
  <c r="J1416" i="2"/>
  <c r="K6775" i="2"/>
  <c r="J6775" i="2"/>
  <c r="K560" i="2"/>
  <c r="J560" i="2"/>
  <c r="K1540" i="2"/>
  <c r="J1540" i="2"/>
  <c r="K1596" i="2"/>
  <c r="J1596" i="2"/>
  <c r="K1716" i="2"/>
  <c r="J1716" i="2"/>
  <c r="K1928" i="2"/>
  <c r="J1928" i="2"/>
  <c r="K1074" i="2"/>
  <c r="J1074" i="2"/>
  <c r="K1984" i="2"/>
  <c r="J1984" i="2"/>
  <c r="K1947" i="2"/>
  <c r="J1947" i="2"/>
  <c r="K2096" i="2"/>
  <c r="J2096" i="2"/>
  <c r="K202" i="2"/>
  <c r="J202" i="2"/>
  <c r="K3007" i="2"/>
  <c r="J3007" i="2"/>
  <c r="K4264" i="2"/>
  <c r="J4264" i="2"/>
  <c r="K7057" i="2"/>
  <c r="J7057" i="2"/>
  <c r="K2118" i="2"/>
  <c r="J2118" i="2"/>
  <c r="K6831" i="2"/>
  <c r="J6831" i="2"/>
  <c r="K2404" i="2"/>
  <c r="J2404" i="2"/>
  <c r="K2440" i="2"/>
  <c r="J2440" i="2"/>
  <c r="K1666" i="2"/>
  <c r="J1666" i="2"/>
  <c r="K1254" i="2"/>
  <c r="J1254" i="2"/>
  <c r="K3257" i="2"/>
  <c r="J3257" i="2"/>
  <c r="K5984" i="2"/>
  <c r="J5984" i="2"/>
  <c r="K3120" i="2"/>
  <c r="J3120" i="2"/>
  <c r="K3265" i="2"/>
  <c r="J3265" i="2"/>
  <c r="K3272" i="2"/>
  <c r="J3272" i="2"/>
  <c r="K2812" i="2"/>
  <c r="J2812" i="2"/>
  <c r="K3436" i="2"/>
  <c r="J3436" i="2"/>
  <c r="K3484" i="2"/>
  <c r="J3484" i="2"/>
  <c r="K5236" i="2"/>
  <c r="J5236" i="2"/>
  <c r="K2837" i="2"/>
  <c r="J2837" i="2"/>
  <c r="K5704" i="2"/>
  <c r="J5704" i="2"/>
  <c r="K2822" i="2"/>
  <c r="J2822" i="2"/>
  <c r="K3736" i="2"/>
  <c r="J3736" i="2"/>
  <c r="K4632" i="2"/>
  <c r="J4632" i="2"/>
  <c r="K3820" i="2"/>
  <c r="J3820" i="2"/>
  <c r="K428" i="2"/>
  <c r="J428" i="2"/>
  <c r="K4683" i="2"/>
  <c r="J4683" i="2"/>
  <c r="K3817" i="2"/>
  <c r="J3817" i="2"/>
  <c r="K3116" i="2"/>
  <c r="J3116" i="2"/>
  <c r="K4160" i="2"/>
  <c r="J4160" i="2"/>
  <c r="K3355" i="2"/>
  <c r="J3355" i="2"/>
  <c r="K4824" i="2"/>
  <c r="J4824" i="2"/>
  <c r="K110" i="2"/>
  <c r="J110" i="2"/>
  <c r="K4300" i="2"/>
  <c r="J4300" i="2"/>
  <c r="K127" i="2"/>
  <c r="J127" i="2"/>
  <c r="K4512" i="2"/>
  <c r="J4512" i="2"/>
  <c r="K6765" i="2"/>
  <c r="J6765" i="2"/>
  <c r="K4588" i="2"/>
  <c r="J4588" i="2"/>
  <c r="K4620" i="2"/>
  <c r="J4620" i="2"/>
  <c r="K5512" i="2"/>
  <c r="J5512" i="2"/>
  <c r="K4664" i="2"/>
  <c r="J4664" i="2"/>
  <c r="K4692" i="2"/>
  <c r="J4692" i="2"/>
  <c r="K3042" i="2"/>
  <c r="J3042" i="2"/>
  <c r="K1924" i="2"/>
  <c r="J1924" i="2"/>
  <c r="K5464" i="2"/>
  <c r="J5464" i="2"/>
  <c r="K3154" i="2"/>
  <c r="J3154" i="2"/>
  <c r="K3302" i="2"/>
  <c r="J3302" i="2"/>
  <c r="K4996" i="2"/>
  <c r="J4996" i="2"/>
  <c r="K6798" i="2"/>
  <c r="J6798" i="2"/>
  <c r="K1415" i="2"/>
  <c r="J1415" i="2"/>
  <c r="K5116" i="2"/>
  <c r="J5116" i="2"/>
  <c r="K6479" i="2"/>
  <c r="J6479" i="2"/>
  <c r="K4546" i="2"/>
  <c r="J4546" i="2"/>
  <c r="K2689" i="2"/>
  <c r="J2689" i="2"/>
  <c r="K5404" i="2"/>
  <c r="J5404" i="2"/>
  <c r="K857" i="2"/>
  <c r="J857" i="2"/>
  <c r="K5524" i="2"/>
  <c r="J5524" i="2"/>
  <c r="K5556" i="2"/>
  <c r="J5556" i="2"/>
  <c r="K5600" i="2"/>
  <c r="J5600" i="2"/>
  <c r="K5624" i="2"/>
  <c r="J5624" i="2"/>
  <c r="K6646" i="2"/>
  <c r="J6646" i="2"/>
  <c r="K3928" i="2"/>
  <c r="J3928" i="2"/>
  <c r="K5768" i="2"/>
  <c r="J5768" i="2"/>
  <c r="K4644" i="2"/>
  <c r="J4644" i="2"/>
  <c r="K557" i="2"/>
  <c r="J557" i="2"/>
  <c r="K5610" i="2"/>
  <c r="J5610" i="2"/>
  <c r="K2147" i="2"/>
  <c r="J2147" i="2"/>
  <c r="K3880" i="2"/>
  <c r="J3880" i="2"/>
  <c r="K5636" i="2"/>
  <c r="J5636" i="2"/>
  <c r="K5611" i="2"/>
  <c r="J5611" i="2"/>
  <c r="K2765" i="2"/>
  <c r="J2765" i="2"/>
  <c r="K5707" i="2"/>
  <c r="J5707" i="2"/>
  <c r="K6907" i="2"/>
  <c r="J6907" i="2"/>
  <c r="K5748" i="2"/>
  <c r="J5748" i="2"/>
  <c r="K6596" i="2"/>
  <c r="J6596" i="2"/>
  <c r="K3706" i="2"/>
  <c r="J3706" i="2"/>
  <c r="K1418" i="2"/>
  <c r="J1418" i="2"/>
  <c r="K1241" i="2"/>
  <c r="J1241" i="2"/>
  <c r="K3923" i="2"/>
  <c r="J3923" i="2"/>
  <c r="K5638" i="2"/>
  <c r="J5638" i="2"/>
  <c r="K1445" i="2"/>
  <c r="J1445" i="2"/>
  <c r="K1881" i="2"/>
  <c r="J1881" i="2"/>
  <c r="K1937" i="2"/>
  <c r="J1937" i="2"/>
  <c r="K1965" i="2"/>
  <c r="J1965" i="2"/>
  <c r="K6940" i="2"/>
  <c r="J6940" i="2"/>
  <c r="K1535" i="2"/>
  <c r="J1535" i="2"/>
  <c r="K2093" i="2"/>
  <c r="J2093" i="2"/>
  <c r="K6298" i="2"/>
  <c r="J6298" i="2"/>
  <c r="K71" i="2"/>
  <c r="J71" i="2"/>
  <c r="K2177" i="2"/>
  <c r="J2177" i="2"/>
  <c r="K6909" i="2"/>
  <c r="J6909" i="2"/>
  <c r="K6876" i="2"/>
  <c r="J6876" i="2"/>
  <c r="K1075" i="2"/>
  <c r="J1075" i="2"/>
  <c r="K2834" i="2"/>
  <c r="J2834" i="2"/>
  <c r="K1896" i="2"/>
  <c r="J1896" i="2"/>
  <c r="K5706" i="2"/>
  <c r="J5706" i="2"/>
  <c r="K2461" i="2"/>
  <c r="J2461" i="2"/>
  <c r="K2493" i="2"/>
  <c r="J2493" i="2"/>
  <c r="K2533" i="2"/>
  <c r="J2533" i="2"/>
  <c r="K2569" i="2"/>
  <c r="J2569" i="2"/>
  <c r="K2480" i="2"/>
  <c r="J2480" i="2"/>
  <c r="K5010" i="2"/>
  <c r="J5010" i="2"/>
  <c r="K298" i="2"/>
  <c r="J298" i="2"/>
  <c r="K2791" i="2"/>
  <c r="J2791" i="2"/>
  <c r="K3987" i="2"/>
  <c r="J3987" i="2"/>
  <c r="K391" i="2"/>
  <c r="J391" i="2"/>
  <c r="K1102" i="2"/>
  <c r="J1102" i="2"/>
  <c r="K2520" i="2"/>
  <c r="J2520" i="2"/>
  <c r="K5469" i="2"/>
  <c r="J5469" i="2"/>
  <c r="K4657" i="2"/>
  <c r="J4657" i="2"/>
  <c r="K4071" i="2"/>
  <c r="J4071" i="2"/>
  <c r="K1394" i="2"/>
  <c r="J1394" i="2"/>
  <c r="K7123" i="2"/>
  <c r="J7123" i="2"/>
  <c r="K1437" i="2"/>
  <c r="J1437" i="2"/>
  <c r="K6100" i="2"/>
  <c r="J6100" i="2"/>
  <c r="K6136" i="2"/>
  <c r="J6136" i="2"/>
  <c r="K2005" i="2"/>
  <c r="J2005" i="2"/>
  <c r="K6236" i="2"/>
  <c r="J6236" i="2"/>
  <c r="K6308" i="2"/>
  <c r="J6308" i="2"/>
  <c r="K4667" i="2"/>
  <c r="J4667" i="2"/>
  <c r="K1224" i="2"/>
  <c r="J1224" i="2"/>
  <c r="K1408" i="2"/>
  <c r="J1408" i="2"/>
  <c r="K3720" i="2"/>
  <c r="J3720" i="2"/>
  <c r="K430" i="2"/>
  <c r="J430" i="2"/>
  <c r="K6632" i="2"/>
  <c r="J6632" i="2"/>
  <c r="K1967" i="2"/>
  <c r="J1967" i="2"/>
  <c r="K4000" i="2"/>
  <c r="J4000" i="2"/>
  <c r="K3744" i="2"/>
  <c r="J3744" i="2"/>
  <c r="K6792" i="2"/>
  <c r="J6792" i="2"/>
  <c r="K5474" i="2"/>
  <c r="J5474" i="2"/>
  <c r="K5029" i="2"/>
  <c r="J5029" i="2"/>
  <c r="K423" i="2"/>
  <c r="J423" i="2"/>
  <c r="K2530" i="2"/>
  <c r="J2530" i="2"/>
  <c r="K5275" i="2"/>
  <c r="J5275" i="2"/>
  <c r="K7132" i="2"/>
  <c r="J7132" i="2"/>
  <c r="K1378" i="2"/>
  <c r="J1378" i="2"/>
  <c r="K6422" i="2"/>
  <c r="J6422" i="2"/>
  <c r="K2476" i="2"/>
  <c r="J2476" i="2"/>
  <c r="K6645" i="2"/>
  <c r="J6645" i="2"/>
  <c r="K8156" i="2"/>
  <c r="J8156" i="2"/>
  <c r="K8172" i="2"/>
  <c r="J8172" i="2"/>
  <c r="K8188" i="2"/>
  <c r="J8188" i="2"/>
  <c r="K8204" i="2"/>
  <c r="J8204" i="2"/>
  <c r="K8220" i="2"/>
  <c r="J8220" i="2"/>
  <c r="K8236" i="2"/>
  <c r="J8236" i="2"/>
  <c r="K8252" i="2"/>
  <c r="J8252" i="2"/>
  <c r="K8268" i="2"/>
  <c r="J8268" i="2"/>
  <c r="K8284" i="2"/>
  <c r="J8284" i="2"/>
  <c r="K8300" i="2"/>
  <c r="J8300" i="2"/>
  <c r="K8316" i="2"/>
  <c r="J8316" i="2"/>
  <c r="K8332" i="2"/>
  <c r="J8332" i="2"/>
  <c r="K8348" i="2"/>
  <c r="J8348" i="2"/>
  <c r="K8364" i="2"/>
  <c r="J8364" i="2"/>
  <c r="K8380" i="2"/>
  <c r="J8380" i="2"/>
  <c r="K8396" i="2"/>
  <c r="J8396" i="2"/>
  <c r="K8412" i="2"/>
  <c r="J8412" i="2"/>
  <c r="K8428" i="2"/>
  <c r="J8428" i="2"/>
  <c r="K8444" i="2"/>
  <c r="J8444" i="2"/>
  <c r="K8460" i="2"/>
  <c r="J8460" i="2"/>
  <c r="K8476" i="2"/>
  <c r="J8476" i="2"/>
  <c r="K8492" i="2"/>
  <c r="J8492" i="2"/>
  <c r="K8508" i="2"/>
  <c r="J8508" i="2"/>
  <c r="K8524" i="2"/>
  <c r="J8524" i="2"/>
  <c r="K8540" i="2"/>
  <c r="J8540" i="2"/>
  <c r="K8556" i="2"/>
  <c r="J8556" i="2"/>
  <c r="K8572" i="2"/>
  <c r="J8572" i="2"/>
  <c r="K8588" i="2"/>
  <c r="J8588" i="2"/>
  <c r="K8604" i="2"/>
  <c r="J8604" i="2"/>
  <c r="K8620" i="2"/>
  <c r="J8620" i="2"/>
  <c r="K8636" i="2"/>
  <c r="J8636" i="2"/>
  <c r="K8652" i="2"/>
  <c r="J8652" i="2"/>
  <c r="K8668" i="2"/>
  <c r="J8668" i="2"/>
  <c r="K8684" i="2"/>
  <c r="J8684" i="2"/>
  <c r="K8700" i="2"/>
  <c r="J8700" i="2"/>
  <c r="K8716" i="2"/>
  <c r="J8716" i="2"/>
  <c r="K8732" i="2"/>
  <c r="J8732" i="2"/>
  <c r="K8748" i="2"/>
  <c r="J8748" i="2"/>
  <c r="K8764" i="2"/>
  <c r="J8764" i="2"/>
  <c r="K8780" i="2"/>
  <c r="J8780" i="2"/>
  <c r="K8796" i="2"/>
  <c r="J8796" i="2"/>
  <c r="K8812" i="2"/>
  <c r="J8812" i="2"/>
  <c r="K8828" i="2"/>
  <c r="J8828" i="2"/>
  <c r="K8844" i="2"/>
  <c r="J8844" i="2"/>
  <c r="K8860" i="2"/>
  <c r="J8860" i="2"/>
  <c r="K8876" i="2"/>
  <c r="J8876" i="2"/>
  <c r="K8892" i="2"/>
  <c r="J8892" i="2"/>
  <c r="K8908" i="2"/>
  <c r="J8908" i="2"/>
  <c r="K8924" i="2"/>
  <c r="J8924" i="2"/>
  <c r="K8940" i="2"/>
  <c r="J8940" i="2"/>
  <c r="K8956" i="2"/>
  <c r="J8956" i="2"/>
  <c r="K8972" i="2"/>
  <c r="J8972" i="2"/>
  <c r="K8988" i="2"/>
  <c r="J8988" i="2"/>
  <c r="K9004" i="2"/>
  <c r="J9004" i="2"/>
  <c r="K9020" i="2"/>
  <c r="J9020" i="2"/>
  <c r="K9036" i="2"/>
  <c r="J9036" i="2"/>
  <c r="K9052" i="2"/>
  <c r="J9052" i="2"/>
  <c r="K9068" i="2"/>
  <c r="J9068" i="2"/>
  <c r="K9084" i="2"/>
  <c r="J9084" i="2"/>
  <c r="K9100" i="2"/>
  <c r="J9100" i="2"/>
  <c r="K9116" i="2"/>
  <c r="J9116" i="2"/>
  <c r="K9132" i="2"/>
  <c r="J9132" i="2"/>
  <c r="K9148" i="2"/>
  <c r="J9148" i="2"/>
  <c r="K9164" i="2"/>
  <c r="J9164" i="2"/>
  <c r="K9180" i="2"/>
  <c r="J9180" i="2"/>
  <c r="K9196" i="2"/>
  <c r="J9196" i="2"/>
  <c r="K9212" i="2"/>
  <c r="J9212" i="2"/>
  <c r="K9228" i="2"/>
  <c r="J9228" i="2"/>
  <c r="K9244" i="2"/>
  <c r="J9244" i="2"/>
  <c r="K9260" i="2"/>
  <c r="J9260" i="2"/>
  <c r="K9276" i="2"/>
  <c r="J9276" i="2"/>
  <c r="K9292" i="2"/>
  <c r="J9292" i="2"/>
  <c r="K9308" i="2"/>
  <c r="J9308" i="2"/>
  <c r="K9324" i="2"/>
  <c r="J9324" i="2"/>
  <c r="K9340" i="2"/>
  <c r="J9340" i="2"/>
  <c r="K9356" i="2"/>
  <c r="J9356" i="2"/>
  <c r="K9372" i="2"/>
  <c r="J9372" i="2"/>
  <c r="K9388" i="2"/>
  <c r="J9388" i="2"/>
  <c r="K9404" i="2"/>
  <c r="J9404" i="2"/>
  <c r="K9420" i="2"/>
  <c r="J9420" i="2"/>
  <c r="K9436" i="2"/>
  <c r="J9436" i="2"/>
  <c r="K9452" i="2"/>
  <c r="J9452" i="2"/>
  <c r="K9468" i="2"/>
  <c r="J9468" i="2"/>
  <c r="K9484" i="2"/>
  <c r="J9484" i="2"/>
  <c r="K9500" i="2"/>
  <c r="J9500" i="2"/>
  <c r="K9516" i="2"/>
  <c r="J9516" i="2"/>
  <c r="K9532" i="2"/>
  <c r="J9532" i="2"/>
  <c r="K9548" i="2"/>
  <c r="J9548" i="2"/>
  <c r="K9564" i="2"/>
  <c r="J9564" i="2"/>
  <c r="K9580" i="2"/>
  <c r="J9580" i="2"/>
  <c r="K9596" i="2"/>
  <c r="J9596" i="2"/>
  <c r="K9612" i="2"/>
  <c r="J9612" i="2"/>
  <c r="K9628" i="2"/>
  <c r="J9628" i="2"/>
  <c r="K9644" i="2"/>
  <c r="J9644" i="2"/>
  <c r="K9660" i="2"/>
  <c r="J9660" i="2"/>
  <c r="K9676" i="2"/>
  <c r="J9676" i="2"/>
  <c r="K9692" i="2"/>
  <c r="J9692" i="2"/>
  <c r="K9708" i="2"/>
  <c r="J9708" i="2"/>
  <c r="K9724" i="2"/>
  <c r="J9724" i="2"/>
  <c r="K9740" i="2"/>
  <c r="J9740" i="2"/>
  <c r="K9756" i="2"/>
  <c r="J9756" i="2"/>
  <c r="K9772" i="2"/>
  <c r="J9772" i="2"/>
  <c r="K9788" i="2"/>
  <c r="J9788" i="2"/>
  <c r="K9804" i="2"/>
  <c r="J9804" i="2"/>
  <c r="K9820" i="2"/>
  <c r="J9820" i="2"/>
  <c r="K9836" i="2"/>
  <c r="J9836" i="2"/>
  <c r="K9852" i="2"/>
  <c r="J9852" i="2"/>
  <c r="K9868" i="2"/>
  <c r="J9868" i="2"/>
  <c r="K9884" i="2"/>
  <c r="J9884" i="2"/>
  <c r="K9900" i="2"/>
  <c r="J9900" i="2"/>
  <c r="K9916" i="2"/>
  <c r="J9916" i="2"/>
  <c r="K9932" i="2"/>
  <c r="J9932" i="2"/>
  <c r="K9948" i="2"/>
  <c r="J9948" i="2"/>
  <c r="K9964" i="2"/>
  <c r="J9964" i="2"/>
  <c r="K9980" i="2"/>
  <c r="J9980" i="2"/>
  <c r="K9996" i="2"/>
  <c r="J9996" i="2"/>
  <c r="K6497" i="2"/>
  <c r="J6497" i="2"/>
  <c r="K8157" i="2"/>
  <c r="J8157" i="2"/>
  <c r="K8173" i="2"/>
  <c r="J8173" i="2"/>
  <c r="K8189" i="2"/>
  <c r="J8189" i="2"/>
  <c r="K8205" i="2"/>
  <c r="J8205" i="2"/>
  <c r="K8221" i="2"/>
  <c r="J8221" i="2"/>
  <c r="K8237" i="2"/>
  <c r="J8237" i="2"/>
  <c r="K8253" i="2"/>
  <c r="J8253" i="2"/>
  <c r="K8269" i="2"/>
  <c r="J8269" i="2"/>
  <c r="K8285" i="2"/>
  <c r="J8285" i="2"/>
  <c r="K8301" i="2"/>
  <c r="J8301" i="2"/>
  <c r="K8317" i="2"/>
  <c r="J8317" i="2"/>
  <c r="K8333" i="2"/>
  <c r="J8333" i="2"/>
  <c r="K8349" i="2"/>
  <c r="J8349" i="2"/>
  <c r="K8365" i="2"/>
  <c r="J8365" i="2"/>
  <c r="K8381" i="2"/>
  <c r="J8381" i="2"/>
  <c r="K8397" i="2"/>
  <c r="J8397" i="2"/>
  <c r="K8413" i="2"/>
  <c r="J8413" i="2"/>
  <c r="K8429" i="2"/>
  <c r="J8429" i="2"/>
  <c r="K8445" i="2"/>
  <c r="J8445" i="2"/>
  <c r="K8461" i="2"/>
  <c r="J8461" i="2"/>
  <c r="K8477" i="2"/>
  <c r="J8477" i="2"/>
  <c r="K8493" i="2"/>
  <c r="J8493" i="2"/>
  <c r="K8509" i="2"/>
  <c r="J8509" i="2"/>
  <c r="K8525" i="2"/>
  <c r="J8525" i="2"/>
  <c r="K8541" i="2"/>
  <c r="J8541" i="2"/>
  <c r="K8557" i="2"/>
  <c r="J8557" i="2"/>
  <c r="K8573" i="2"/>
  <c r="J8573" i="2"/>
  <c r="K8589" i="2"/>
  <c r="J8589" i="2"/>
  <c r="K8605" i="2"/>
  <c r="J8605" i="2"/>
  <c r="K8621" i="2"/>
  <c r="J8621" i="2"/>
  <c r="K8637" i="2"/>
  <c r="J8637" i="2"/>
  <c r="K8653" i="2"/>
  <c r="J8653" i="2"/>
  <c r="K8669" i="2"/>
  <c r="J8669" i="2"/>
  <c r="K8685" i="2"/>
  <c r="J8685" i="2"/>
  <c r="J370" i="2"/>
  <c r="J390" i="2"/>
  <c r="J1804" i="2"/>
  <c r="J6704" i="2"/>
  <c r="J4496" i="2"/>
  <c r="J654" i="2"/>
  <c r="J746" i="2"/>
  <c r="J3200" i="2"/>
  <c r="J1066" i="2"/>
  <c r="J1114" i="2"/>
  <c r="J1927" i="2"/>
  <c r="J446" i="2"/>
  <c r="J1402" i="2"/>
  <c r="J3870" i="2"/>
  <c r="J5614" i="2"/>
  <c r="J6055" i="2"/>
  <c r="J3726" i="2"/>
  <c r="J4650" i="2"/>
  <c r="J2098" i="2"/>
  <c r="J1537" i="2"/>
  <c r="J1283" i="2"/>
  <c r="J6663" i="2"/>
  <c r="J4752" i="2"/>
  <c r="J2811" i="2"/>
  <c r="J4284" i="2"/>
  <c r="J5621" i="2"/>
  <c r="J4118" i="2"/>
  <c r="J5585" i="2"/>
  <c r="J2854" i="2"/>
  <c r="J3094" i="2"/>
  <c r="J4204" i="2"/>
  <c r="J3715" i="2"/>
  <c r="J90" i="2"/>
  <c r="J3482" i="2"/>
  <c r="J3738" i="2"/>
  <c r="J6832" i="2"/>
  <c r="J4046" i="2"/>
  <c r="J6546" i="2"/>
  <c r="J3610" i="2"/>
  <c r="J4851" i="2"/>
  <c r="J4794" i="2"/>
  <c r="J5130" i="2"/>
  <c r="J6857" i="2"/>
  <c r="J6866" i="2"/>
  <c r="J4259" i="2"/>
  <c r="J652" i="2"/>
  <c r="J5698" i="2"/>
  <c r="J6494" i="2"/>
  <c r="J315" i="2"/>
  <c r="J5836" i="2"/>
  <c r="J7" i="2"/>
  <c r="J1970" i="2"/>
  <c r="J6914" i="2"/>
  <c r="J1113" i="2"/>
  <c r="J5965" i="2"/>
  <c r="J1026" i="2"/>
  <c r="J6578" i="2"/>
  <c r="J362" i="2"/>
  <c r="J1931" i="2"/>
  <c r="J983" i="2"/>
  <c r="J247" i="2"/>
  <c r="J4874" i="2"/>
  <c r="J1659" i="2"/>
  <c r="J1819" i="2"/>
  <c r="J2975" i="2"/>
  <c r="J3164" i="2"/>
  <c r="J2103" i="2"/>
  <c r="J4651" i="2"/>
  <c r="J294" i="2"/>
  <c r="J4206" i="2"/>
  <c r="J2899" i="2"/>
  <c r="J5751" i="2"/>
  <c r="J360" i="2"/>
  <c r="J3287" i="2"/>
  <c r="J5880" i="2"/>
  <c r="J4125" i="2"/>
  <c r="J1951" i="2"/>
  <c r="J3675" i="2"/>
  <c r="J2249" i="2"/>
  <c r="J3759" i="2"/>
  <c r="J1111" i="2"/>
  <c r="J5671" i="2"/>
  <c r="J4095" i="2"/>
  <c r="J4319" i="2"/>
  <c r="J3046" i="2"/>
  <c r="J4643" i="2"/>
  <c r="J3613" i="2"/>
  <c r="J4791" i="2"/>
  <c r="J738" i="2"/>
  <c r="J2997" i="2"/>
  <c r="J3757" i="2"/>
  <c r="J3640" i="2"/>
  <c r="J3797" i="2"/>
  <c r="J6192" i="2"/>
  <c r="J1712" i="2"/>
  <c r="J512" i="2"/>
  <c r="J3095" i="2"/>
  <c r="J2934" i="2"/>
  <c r="J2677" i="2"/>
  <c r="J6595" i="2"/>
  <c r="J7141" i="2"/>
  <c r="J4211" i="2"/>
  <c r="J552" i="2"/>
  <c r="J572" i="2"/>
  <c r="J3300" i="2"/>
  <c r="J3348" i="2"/>
  <c r="J3795" i="2"/>
  <c r="J303" i="2"/>
  <c r="J5256" i="2"/>
  <c r="J6504" i="2"/>
  <c r="J1226" i="2"/>
  <c r="J158" i="2"/>
  <c r="J5805" i="2"/>
  <c r="J230" i="2"/>
  <c r="J254" i="2"/>
  <c r="J1982" i="2"/>
  <c r="J930" i="2"/>
  <c r="J1894" i="2"/>
  <c r="J2654" i="2"/>
  <c r="J2778" i="2"/>
  <c r="J2890" i="2"/>
  <c r="J673" i="2"/>
  <c r="J1901" i="2"/>
  <c r="J4296" i="2"/>
  <c r="J2840" i="2"/>
  <c r="J4940" i="2"/>
  <c r="J3714" i="2"/>
  <c r="J92" i="2"/>
  <c r="J5907" i="2"/>
  <c r="J4174" i="2"/>
  <c r="J4727" i="2"/>
  <c r="J769" i="2"/>
  <c r="J4474" i="2"/>
  <c r="J4518" i="2"/>
  <c r="J6517" i="2"/>
  <c r="J6768" i="2"/>
  <c r="J4890" i="2"/>
  <c r="J4974" i="2"/>
  <c r="J7031" i="2"/>
  <c r="J4177" i="2"/>
  <c r="J1046" i="2"/>
  <c r="J4415" i="2"/>
  <c r="J956" i="2"/>
  <c r="J375" i="2"/>
  <c r="J4053" i="2"/>
  <c r="J6708" i="2"/>
  <c r="J2157" i="2"/>
  <c r="J6836" i="2"/>
  <c r="J1235" i="2"/>
  <c r="J6001" i="2"/>
  <c r="J1383" i="2"/>
  <c r="J1443" i="2"/>
  <c r="J1527" i="2"/>
  <c r="J5968" i="2"/>
  <c r="J1118" i="2"/>
  <c r="J2224" i="2"/>
  <c r="J6022" i="2"/>
  <c r="J2145" i="2"/>
  <c r="J1522" i="2"/>
  <c r="J3383" i="2"/>
  <c r="J4447" i="2"/>
  <c r="J2251" i="2"/>
  <c r="J4575" i="2"/>
  <c r="J6072" i="2"/>
  <c r="J4751" i="2"/>
  <c r="J6416" i="2"/>
  <c r="J4859" i="2"/>
  <c r="J6441" i="2"/>
  <c r="J5103" i="2"/>
  <c r="J3852" i="2"/>
  <c r="J5511" i="2"/>
  <c r="J5771" i="2"/>
  <c r="J6199" i="2"/>
  <c r="J6867" i="2"/>
  <c r="J2274" i="2"/>
  <c r="J2804" i="2"/>
  <c r="J445" i="2"/>
  <c r="J7053" i="2"/>
  <c r="J664" i="2"/>
  <c r="J5851" i="2"/>
  <c r="J1304" i="2"/>
  <c r="J6908" i="2"/>
  <c r="J2584" i="2"/>
  <c r="J7148" i="2"/>
  <c r="J1258" i="2"/>
  <c r="J2736" i="2"/>
  <c r="J1077" i="2"/>
  <c r="J680" i="2"/>
  <c r="J2988" i="2"/>
  <c r="J940" i="2"/>
  <c r="J3707" i="2"/>
  <c r="J3148" i="2"/>
  <c r="J4866" i="2"/>
  <c r="J4092" i="2"/>
  <c r="J5937" i="2"/>
  <c r="J4513" i="2"/>
  <c r="J139" i="2"/>
  <c r="J6568" i="2"/>
  <c r="J4193" i="2"/>
  <c r="J7056" i="2"/>
  <c r="J1878" i="2"/>
  <c r="J701" i="2"/>
  <c r="J4854" i="2"/>
  <c r="J1930" i="2"/>
  <c r="J39" i="2"/>
  <c r="J6078" i="2"/>
  <c r="J1090" i="2"/>
  <c r="J677" i="2"/>
  <c r="J6155" i="2"/>
  <c r="J1318" i="2"/>
  <c r="J1426" i="2"/>
  <c r="J199" i="2"/>
  <c r="J1546" i="2"/>
  <c r="J5141" i="2"/>
  <c r="J47" i="2"/>
  <c r="J5650" i="2"/>
  <c r="J2402" i="2"/>
  <c r="J2578" i="2"/>
  <c r="J5795" i="2"/>
  <c r="J4372" i="2"/>
  <c r="J3038" i="2"/>
  <c r="J299" i="2"/>
  <c r="J3286" i="2"/>
  <c r="J5931" i="2"/>
  <c r="J5604" i="2"/>
  <c r="J4200" i="2"/>
  <c r="J4590" i="2"/>
  <c r="J2260" i="2"/>
  <c r="J2783" i="2"/>
  <c r="J3627" i="2"/>
  <c r="J5074" i="2"/>
  <c r="J3208" i="2"/>
  <c r="J5466" i="2"/>
  <c r="J4577" i="2"/>
  <c r="J6092" i="2"/>
  <c r="J5774" i="2"/>
  <c r="J6493" i="2"/>
  <c r="J4489" i="2"/>
  <c r="J3048" i="2"/>
  <c r="J2293" i="2"/>
  <c r="J7118" i="2"/>
  <c r="J4579" i="2"/>
  <c r="J6750" i="2"/>
  <c r="J431" i="2"/>
  <c r="J659" i="2"/>
  <c r="J5584" i="2"/>
  <c r="J1031" i="2"/>
  <c r="J2645" i="2"/>
  <c r="J1115" i="2"/>
  <c r="J1271" i="2"/>
  <c r="J2395" i="2"/>
  <c r="J2413" i="2"/>
  <c r="J1187" i="2"/>
  <c r="J2583" i="2"/>
  <c r="J2823" i="2"/>
  <c r="J3003" i="2"/>
  <c r="J1995" i="2"/>
  <c r="J392" i="2"/>
  <c r="J3828" i="2"/>
  <c r="J2372" i="2"/>
  <c r="J3943" i="2"/>
  <c r="J4027" i="2"/>
  <c r="J330" i="2"/>
  <c r="J5015" i="2"/>
  <c r="J203" i="2"/>
  <c r="J5822" i="2"/>
  <c r="J5245" i="2"/>
  <c r="J4769" i="2"/>
  <c r="J6417" i="2"/>
  <c r="J2753" i="2"/>
  <c r="J6762" i="2"/>
  <c r="J7070" i="2"/>
  <c r="J4653" i="2"/>
  <c r="J771" i="2"/>
  <c r="J4207" i="2"/>
  <c r="J6147" i="2"/>
  <c r="J6463" i="2"/>
  <c r="J6191" i="2"/>
  <c r="J1094" i="2"/>
  <c r="J7027" i="2"/>
  <c r="J246" i="2"/>
  <c r="J5794" i="2"/>
  <c r="J380" i="2"/>
  <c r="J432" i="2"/>
  <c r="J3521" i="2"/>
  <c r="J1072" i="2"/>
  <c r="J2853" i="2"/>
  <c r="J6544" i="2"/>
  <c r="J78" i="2"/>
  <c r="J6675" i="2"/>
  <c r="J3109" i="2"/>
  <c r="J6884" i="2"/>
  <c r="J6525" i="2"/>
  <c r="J5791" i="2"/>
  <c r="J5299" i="2"/>
  <c r="K8701" i="2"/>
  <c r="J8701" i="2"/>
  <c r="K8717" i="2"/>
  <c r="J8717" i="2"/>
  <c r="K8733" i="2"/>
  <c r="J8733" i="2"/>
  <c r="K8749" i="2"/>
  <c r="J8749" i="2"/>
  <c r="K8765" i="2"/>
  <c r="J8765" i="2"/>
  <c r="K8781" i="2"/>
  <c r="J8781" i="2"/>
  <c r="K8797" i="2"/>
  <c r="J8797" i="2"/>
  <c r="K8813" i="2"/>
  <c r="J8813" i="2"/>
  <c r="K8829" i="2"/>
  <c r="J8829" i="2"/>
  <c r="K8845" i="2"/>
  <c r="J8845" i="2"/>
  <c r="K8861" i="2"/>
  <c r="J8861" i="2"/>
  <c r="K8877" i="2"/>
  <c r="J8877" i="2"/>
  <c r="K8893" i="2"/>
  <c r="J8893" i="2"/>
  <c r="K8909" i="2"/>
  <c r="J8909" i="2"/>
  <c r="K8925" i="2"/>
  <c r="J8925" i="2"/>
  <c r="K8941" i="2"/>
  <c r="J8941" i="2"/>
  <c r="K8957" i="2"/>
  <c r="J8957" i="2"/>
  <c r="K8973" i="2"/>
  <c r="J8973" i="2"/>
  <c r="K8989" i="2"/>
  <c r="J8989" i="2"/>
  <c r="K9005" i="2"/>
  <c r="J9005" i="2"/>
  <c r="K9021" i="2"/>
  <c r="J9021" i="2"/>
  <c r="K9037" i="2"/>
  <c r="J9037" i="2"/>
  <c r="K9053" i="2"/>
  <c r="J9053" i="2"/>
  <c r="K9069" i="2"/>
  <c r="J9069" i="2"/>
  <c r="K9085" i="2"/>
  <c r="J9085" i="2"/>
  <c r="K9101" i="2"/>
  <c r="J9101" i="2"/>
  <c r="K9117" i="2"/>
  <c r="J9117" i="2"/>
  <c r="K9133" i="2"/>
  <c r="J9133" i="2"/>
  <c r="K9149" i="2"/>
  <c r="J9149" i="2"/>
  <c r="K9165" i="2"/>
  <c r="J9165" i="2"/>
  <c r="K9181" i="2"/>
  <c r="J9181" i="2"/>
  <c r="K9197" i="2"/>
  <c r="J9197" i="2"/>
  <c r="K9213" i="2"/>
  <c r="J9213" i="2"/>
  <c r="K9229" i="2"/>
  <c r="J9229" i="2"/>
  <c r="K9245" i="2"/>
  <c r="J9245" i="2"/>
  <c r="K9261" i="2"/>
  <c r="J9261" i="2"/>
  <c r="K9277" i="2"/>
  <c r="J9277" i="2"/>
  <c r="K9293" i="2"/>
  <c r="J9293" i="2"/>
  <c r="K9309" i="2"/>
  <c r="J9309" i="2"/>
  <c r="K9325" i="2"/>
  <c r="J9325" i="2"/>
  <c r="K9341" i="2"/>
  <c r="J9341" i="2"/>
  <c r="K9357" i="2"/>
  <c r="J9357" i="2"/>
  <c r="K9373" i="2"/>
  <c r="J9373" i="2"/>
  <c r="K9389" i="2"/>
  <c r="J9389" i="2"/>
  <c r="K9405" i="2"/>
  <c r="J9405" i="2"/>
  <c r="K9421" i="2"/>
  <c r="J9421" i="2"/>
  <c r="K9437" i="2"/>
  <c r="J9437" i="2"/>
  <c r="K9453" i="2"/>
  <c r="J9453" i="2"/>
  <c r="K9469" i="2"/>
  <c r="J9469" i="2"/>
  <c r="K9485" i="2"/>
  <c r="J9485" i="2"/>
  <c r="K9501" i="2"/>
  <c r="J9501" i="2"/>
  <c r="K9517" i="2"/>
  <c r="J9517" i="2"/>
  <c r="K9533" i="2"/>
  <c r="J9533" i="2"/>
  <c r="K9549" i="2"/>
  <c r="J9549" i="2"/>
  <c r="K9565" i="2"/>
  <c r="J9565" i="2"/>
  <c r="K9581" i="2"/>
  <c r="J9581" i="2"/>
  <c r="K9597" i="2"/>
  <c r="J9597" i="2"/>
  <c r="K9613" i="2"/>
  <c r="J9613" i="2"/>
  <c r="K9629" i="2"/>
  <c r="J9629" i="2"/>
  <c r="K9645" i="2"/>
  <c r="J9645" i="2"/>
  <c r="K9661" i="2"/>
  <c r="J9661" i="2"/>
  <c r="K9677" i="2"/>
  <c r="J9677" i="2"/>
  <c r="K9693" i="2"/>
  <c r="J9693" i="2"/>
  <c r="K9709" i="2"/>
  <c r="J9709" i="2"/>
  <c r="K9725" i="2"/>
  <c r="J9725" i="2"/>
  <c r="K9741" i="2"/>
  <c r="J9741" i="2"/>
  <c r="K9757" i="2"/>
  <c r="J9757" i="2"/>
  <c r="K9773" i="2"/>
  <c r="J9773" i="2"/>
  <c r="K9789" i="2"/>
  <c r="J9789" i="2"/>
  <c r="K9805" i="2"/>
  <c r="J9805" i="2"/>
  <c r="K9821" i="2"/>
  <c r="J9821" i="2"/>
  <c r="K9837" i="2"/>
  <c r="J9837" i="2"/>
  <c r="K9853" i="2"/>
  <c r="J9853" i="2"/>
  <c r="K9869" i="2"/>
  <c r="J9869" i="2"/>
  <c r="K9885" i="2"/>
  <c r="J9885" i="2"/>
  <c r="K9901" i="2"/>
  <c r="J9901" i="2"/>
  <c r="K9917" i="2"/>
  <c r="J9917" i="2"/>
  <c r="K9933" i="2"/>
  <c r="J9933" i="2"/>
  <c r="K9949" i="2"/>
  <c r="J9949" i="2"/>
  <c r="K9965" i="2"/>
  <c r="J9965" i="2"/>
  <c r="K9981" i="2"/>
  <c r="J9981" i="2"/>
  <c r="K9997" i="2"/>
  <c r="J9997" i="2"/>
  <c r="K7203" i="2"/>
  <c r="J7203" i="2"/>
  <c r="K8166" i="2"/>
  <c r="J8166" i="2"/>
  <c r="K8182" i="2"/>
  <c r="J8182" i="2"/>
  <c r="K8198" i="2"/>
  <c r="J8198" i="2"/>
  <c r="K8214" i="2"/>
  <c r="J8214" i="2"/>
  <c r="K8230" i="2"/>
  <c r="J8230" i="2"/>
  <c r="K8246" i="2"/>
  <c r="J8246" i="2"/>
  <c r="K8262" i="2"/>
  <c r="J8262" i="2"/>
  <c r="K8278" i="2"/>
  <c r="J8278" i="2"/>
  <c r="K8294" i="2"/>
  <c r="J8294" i="2"/>
  <c r="K8310" i="2"/>
  <c r="J8310" i="2"/>
  <c r="K8326" i="2"/>
  <c r="J8326" i="2"/>
  <c r="K8342" i="2"/>
  <c r="J8342" i="2"/>
  <c r="K8358" i="2"/>
  <c r="J8358" i="2"/>
  <c r="K8374" i="2"/>
  <c r="J8374" i="2"/>
  <c r="K8390" i="2"/>
  <c r="J8390" i="2"/>
  <c r="K8406" i="2"/>
  <c r="J8406" i="2"/>
  <c r="K8422" i="2"/>
  <c r="J8422" i="2"/>
  <c r="K8438" i="2"/>
  <c r="J8438" i="2"/>
  <c r="K8454" i="2"/>
  <c r="J8454" i="2"/>
  <c r="K8470" i="2"/>
  <c r="J8470" i="2"/>
  <c r="K8486" i="2"/>
  <c r="J8486" i="2"/>
  <c r="K8502" i="2"/>
  <c r="J8502" i="2"/>
  <c r="K8518" i="2"/>
  <c r="J8518" i="2"/>
  <c r="K8534" i="2"/>
  <c r="J8534" i="2"/>
  <c r="K8550" i="2"/>
  <c r="J8550" i="2"/>
  <c r="K8566" i="2"/>
  <c r="J8566" i="2"/>
  <c r="K8582" i="2"/>
  <c r="J8582" i="2"/>
  <c r="K8598" i="2"/>
  <c r="J8598" i="2"/>
  <c r="K8614" i="2"/>
  <c r="J8614" i="2"/>
  <c r="K8630" i="2"/>
  <c r="J8630" i="2"/>
  <c r="K8646" i="2"/>
  <c r="J8646" i="2"/>
  <c r="K8662" i="2"/>
  <c r="J8662" i="2"/>
  <c r="K8678" i="2"/>
  <c r="J8678" i="2"/>
  <c r="K8694" i="2"/>
  <c r="J8694" i="2"/>
  <c r="K8710" i="2"/>
  <c r="J8710" i="2"/>
  <c r="K8726" i="2"/>
  <c r="J8726" i="2"/>
  <c r="K8742" i="2"/>
  <c r="J8742" i="2"/>
  <c r="K8758" i="2"/>
  <c r="J8758" i="2"/>
  <c r="K8774" i="2"/>
  <c r="J8774" i="2"/>
  <c r="I8774" i="2"/>
  <c r="K8790" i="2"/>
  <c r="J8790" i="2"/>
  <c r="I8790" i="2"/>
  <c r="K8806" i="2"/>
  <c r="J8806" i="2"/>
  <c r="I8806" i="2"/>
  <c r="K8822" i="2"/>
  <c r="J8822" i="2"/>
  <c r="I8822" i="2"/>
  <c r="K8838" i="2"/>
  <c r="J8838" i="2"/>
  <c r="I8838" i="2"/>
  <c r="K8854" i="2"/>
  <c r="J8854" i="2"/>
  <c r="I8854" i="2"/>
  <c r="K8870" i="2"/>
  <c r="J8870" i="2"/>
  <c r="I8870" i="2"/>
  <c r="K8886" i="2"/>
  <c r="J8886" i="2"/>
  <c r="I8886" i="2"/>
  <c r="K8902" i="2"/>
  <c r="J8902" i="2"/>
  <c r="I8902" i="2"/>
  <c r="K8918" i="2"/>
  <c r="J8918" i="2"/>
  <c r="I8918" i="2"/>
  <c r="K8934" i="2"/>
  <c r="J8934" i="2"/>
  <c r="I8934" i="2"/>
  <c r="K8950" i="2"/>
  <c r="J8950" i="2"/>
  <c r="I8950" i="2"/>
  <c r="K8966" i="2"/>
  <c r="J8966" i="2"/>
  <c r="I8966" i="2"/>
  <c r="K8982" i="2"/>
  <c r="J8982" i="2"/>
  <c r="I8982" i="2"/>
  <c r="K8998" i="2"/>
  <c r="J8998" i="2"/>
  <c r="I8998" i="2"/>
  <c r="K9014" i="2"/>
  <c r="J9014" i="2"/>
  <c r="I9014" i="2"/>
  <c r="K9030" i="2"/>
  <c r="J9030" i="2"/>
  <c r="I9030" i="2"/>
  <c r="K9046" i="2"/>
  <c r="J9046" i="2"/>
  <c r="I9046" i="2"/>
  <c r="K9062" i="2"/>
  <c r="J9062" i="2"/>
  <c r="I9062" i="2"/>
  <c r="K9078" i="2"/>
  <c r="J9078" i="2"/>
  <c r="I9078" i="2"/>
  <c r="K9094" i="2"/>
  <c r="J9094" i="2"/>
  <c r="I9094" i="2"/>
  <c r="K9110" i="2"/>
  <c r="J9110" i="2"/>
  <c r="I9110" i="2"/>
  <c r="K9126" i="2"/>
  <c r="J9126" i="2"/>
  <c r="I9126" i="2"/>
  <c r="K9142" i="2"/>
  <c r="J9142" i="2"/>
  <c r="I9142" i="2"/>
  <c r="K9158" i="2"/>
  <c r="J9158" i="2"/>
  <c r="I9158" i="2"/>
  <c r="K9174" i="2"/>
  <c r="J9174" i="2"/>
  <c r="I9174" i="2"/>
  <c r="K9190" i="2"/>
  <c r="J9190" i="2"/>
  <c r="I9190" i="2"/>
  <c r="K9206" i="2"/>
  <c r="J9206" i="2"/>
  <c r="I9206" i="2"/>
  <c r="K9222" i="2"/>
  <c r="J9222" i="2"/>
  <c r="I9222" i="2"/>
  <c r="K9238" i="2"/>
  <c r="J9238" i="2"/>
  <c r="I9238" i="2"/>
  <c r="K9254" i="2"/>
  <c r="J9254" i="2"/>
  <c r="I9254" i="2"/>
  <c r="K9270" i="2"/>
  <c r="J9270" i="2"/>
  <c r="I9270" i="2"/>
  <c r="K9286" i="2"/>
  <c r="J9286" i="2"/>
  <c r="I9286" i="2"/>
  <c r="K9302" i="2"/>
  <c r="J9302" i="2"/>
  <c r="I9302" i="2"/>
  <c r="K9318" i="2"/>
  <c r="J9318" i="2"/>
  <c r="I9318" i="2"/>
  <c r="K9334" i="2"/>
  <c r="J9334" i="2"/>
  <c r="I9334" i="2"/>
  <c r="K9350" i="2"/>
  <c r="J9350" i="2"/>
  <c r="I9350" i="2"/>
  <c r="K9366" i="2"/>
  <c r="J9366" i="2"/>
  <c r="I9366" i="2"/>
  <c r="K9382" i="2"/>
  <c r="J9382" i="2"/>
  <c r="I9382" i="2"/>
  <c r="K9398" i="2"/>
  <c r="J9398" i="2"/>
  <c r="I9398" i="2"/>
  <c r="K9414" i="2"/>
  <c r="J9414" i="2"/>
  <c r="I9414" i="2"/>
  <c r="K9430" i="2"/>
  <c r="J9430" i="2"/>
  <c r="I9430" i="2"/>
  <c r="K9446" i="2"/>
  <c r="J9446" i="2"/>
  <c r="I9446" i="2"/>
  <c r="K9462" i="2"/>
  <c r="J9462" i="2"/>
  <c r="I9462" i="2"/>
  <c r="K9478" i="2"/>
  <c r="J9478" i="2"/>
  <c r="I9478" i="2"/>
  <c r="K9494" i="2"/>
  <c r="J9494" i="2"/>
  <c r="I9494" i="2"/>
  <c r="K9510" i="2"/>
  <c r="J9510" i="2"/>
  <c r="I9510" i="2"/>
  <c r="K9526" i="2"/>
  <c r="J9526" i="2"/>
  <c r="I9526" i="2"/>
  <c r="K9542" i="2"/>
  <c r="J9542" i="2"/>
  <c r="I9542" i="2"/>
  <c r="K9558" i="2"/>
  <c r="J9558" i="2"/>
  <c r="I9558" i="2"/>
  <c r="K9574" i="2"/>
  <c r="J9574" i="2"/>
  <c r="I9574" i="2"/>
  <c r="K9590" i="2"/>
  <c r="J9590" i="2"/>
  <c r="I9590" i="2"/>
  <c r="K9606" i="2"/>
  <c r="J9606" i="2"/>
  <c r="I9606" i="2"/>
  <c r="K9622" i="2"/>
  <c r="J9622" i="2"/>
  <c r="I9622" i="2"/>
  <c r="K9638" i="2"/>
  <c r="J9638" i="2"/>
  <c r="I9638" i="2"/>
  <c r="K9654" i="2"/>
  <c r="J9654" i="2"/>
  <c r="I9654" i="2"/>
  <c r="K9670" i="2"/>
  <c r="J9670" i="2"/>
  <c r="I9670" i="2"/>
  <c r="K9686" i="2"/>
  <c r="J9686" i="2"/>
  <c r="I9686" i="2"/>
  <c r="K9702" i="2"/>
  <c r="J9702" i="2"/>
  <c r="I9702" i="2"/>
  <c r="K9718" i="2"/>
  <c r="J9718" i="2"/>
  <c r="I9718" i="2"/>
  <c r="K9734" i="2"/>
  <c r="J9734" i="2"/>
  <c r="I9734" i="2"/>
  <c r="K9750" i="2"/>
  <c r="J9750" i="2"/>
  <c r="I9750" i="2"/>
  <c r="K9766" i="2"/>
  <c r="J9766" i="2"/>
  <c r="I9766" i="2"/>
  <c r="K9782" i="2"/>
  <c r="J9782" i="2"/>
  <c r="I9782" i="2"/>
  <c r="K9798" i="2"/>
  <c r="J9798" i="2"/>
  <c r="I9798" i="2"/>
  <c r="K9814" i="2"/>
  <c r="J9814" i="2"/>
  <c r="I9814" i="2"/>
  <c r="K9830" i="2"/>
  <c r="J9830" i="2"/>
  <c r="I9830" i="2"/>
  <c r="K9846" i="2"/>
  <c r="J9846" i="2"/>
  <c r="I9846" i="2"/>
  <c r="K9862" i="2"/>
  <c r="J9862" i="2"/>
  <c r="I9862" i="2"/>
  <c r="K9878" i="2"/>
  <c r="J9878" i="2"/>
  <c r="I9878" i="2"/>
  <c r="K9894" i="2"/>
  <c r="J9894" i="2"/>
  <c r="I9894" i="2"/>
  <c r="K9910" i="2"/>
  <c r="J9910" i="2"/>
  <c r="I9910" i="2"/>
  <c r="K9926" i="2"/>
  <c r="J9926" i="2"/>
  <c r="I9926" i="2"/>
  <c r="K9942" i="2"/>
  <c r="J9942" i="2"/>
  <c r="I9942" i="2"/>
  <c r="K9958" i="2"/>
  <c r="J9958" i="2"/>
  <c r="I9958" i="2"/>
  <c r="K9974" i="2"/>
  <c r="J9974" i="2"/>
  <c r="I9974" i="2"/>
  <c r="K9990" i="2"/>
  <c r="J9990" i="2"/>
  <c r="I9990" i="2"/>
  <c r="K2140" i="2"/>
  <c r="J2140" i="2"/>
  <c r="K2236" i="2"/>
  <c r="J2236" i="2"/>
  <c r="K2956" i="2"/>
  <c r="J2956" i="2"/>
  <c r="K4048" i="2"/>
  <c r="J4048" i="2"/>
  <c r="K4440" i="2"/>
  <c r="J4440" i="2"/>
  <c r="K4504" i="2"/>
  <c r="J4504" i="2"/>
  <c r="K4684" i="2"/>
  <c r="J4684" i="2"/>
  <c r="K7295" i="2"/>
  <c r="J7295" i="2"/>
  <c r="K7375" i="2"/>
  <c r="J7375" i="2"/>
  <c r="K7519" i="2"/>
  <c r="J7519" i="2"/>
  <c r="K7567" i="2"/>
  <c r="J7567" i="2"/>
  <c r="K7583" i="2"/>
  <c r="J7583" i="2"/>
  <c r="K7711" i="2"/>
  <c r="J7711" i="2"/>
  <c r="K7743" i="2"/>
  <c r="J7743" i="2"/>
  <c r="K7759" i="2"/>
  <c r="J7759" i="2"/>
  <c r="K7775" i="2"/>
  <c r="J7775" i="2"/>
  <c r="K7791" i="2"/>
  <c r="J7791" i="2"/>
  <c r="K7807" i="2"/>
  <c r="J7807" i="2"/>
  <c r="K7823" i="2"/>
  <c r="J7823" i="2"/>
  <c r="K7839" i="2"/>
  <c r="J7839" i="2"/>
  <c r="K7919" i="2"/>
  <c r="J7919" i="2"/>
  <c r="K7951" i="2"/>
  <c r="J7951" i="2"/>
  <c r="K8079" i="2"/>
  <c r="J8079" i="2"/>
  <c r="K8095" i="2"/>
  <c r="J8095" i="2"/>
  <c r="K8111" i="2"/>
  <c r="J8111" i="2"/>
  <c r="K8127" i="2"/>
  <c r="J8127" i="2"/>
  <c r="K8143" i="2"/>
  <c r="J8143" i="2"/>
  <c r="K8159" i="2"/>
  <c r="J8159" i="2"/>
  <c r="I8159" i="2"/>
  <c r="K8175" i="2"/>
  <c r="J8175" i="2"/>
  <c r="I8175" i="2"/>
  <c r="K8191" i="2"/>
  <c r="J8191" i="2"/>
  <c r="I8191" i="2"/>
  <c r="K8207" i="2"/>
  <c r="J8207" i="2"/>
  <c r="I8207" i="2"/>
  <c r="K8223" i="2"/>
  <c r="J8223" i="2"/>
  <c r="I8223" i="2"/>
  <c r="K8239" i="2"/>
  <c r="J8239" i="2"/>
  <c r="I8239" i="2"/>
  <c r="K8255" i="2"/>
  <c r="J8255" i="2"/>
  <c r="I8255" i="2"/>
  <c r="K8271" i="2"/>
  <c r="J8271" i="2"/>
  <c r="I8271" i="2"/>
  <c r="K8287" i="2"/>
  <c r="J8287" i="2"/>
  <c r="I8287" i="2"/>
  <c r="K8303" i="2"/>
  <c r="J8303" i="2"/>
  <c r="I8303" i="2"/>
  <c r="K8319" i="2"/>
  <c r="J8319" i="2"/>
  <c r="I8319" i="2"/>
  <c r="K8335" i="2"/>
  <c r="J8335" i="2"/>
  <c r="I8335" i="2"/>
  <c r="K8351" i="2"/>
  <c r="J8351" i="2"/>
  <c r="I8351" i="2"/>
  <c r="K8367" i="2"/>
  <c r="J8367" i="2"/>
  <c r="I8367" i="2"/>
  <c r="K8383" i="2"/>
  <c r="J8383" i="2"/>
  <c r="I8383" i="2"/>
  <c r="K8399" i="2"/>
  <c r="J8399" i="2"/>
  <c r="I8399" i="2"/>
  <c r="K8415" i="2"/>
  <c r="J8415" i="2"/>
  <c r="I8415" i="2"/>
  <c r="K8431" i="2"/>
  <c r="J8431" i="2"/>
  <c r="I8431" i="2"/>
  <c r="K8447" i="2"/>
  <c r="J8447" i="2"/>
  <c r="I8447" i="2"/>
  <c r="K8463" i="2"/>
  <c r="J8463" i="2"/>
  <c r="I8463" i="2"/>
  <c r="K8479" i="2"/>
  <c r="J8479" i="2"/>
  <c r="I8479" i="2"/>
  <c r="K8495" i="2"/>
  <c r="J8495" i="2"/>
  <c r="I8495" i="2"/>
  <c r="K8511" i="2"/>
  <c r="J8511" i="2"/>
  <c r="I8511" i="2"/>
  <c r="K8527" i="2"/>
  <c r="J8527" i="2"/>
  <c r="I8527" i="2"/>
  <c r="K8543" i="2"/>
  <c r="J8543" i="2"/>
  <c r="I8543" i="2"/>
  <c r="K8559" i="2"/>
  <c r="J8559" i="2"/>
  <c r="I8559" i="2"/>
  <c r="K8575" i="2"/>
  <c r="J8575" i="2"/>
  <c r="I8575" i="2"/>
  <c r="K8591" i="2"/>
  <c r="J8591" i="2"/>
  <c r="I8591" i="2"/>
  <c r="K8607" i="2"/>
  <c r="J8607" i="2"/>
  <c r="I8607" i="2"/>
  <c r="J6927" i="2"/>
  <c r="J6825" i="2"/>
  <c r="K8655" i="2"/>
  <c r="J8655" i="2"/>
  <c r="K8671" i="2"/>
  <c r="J8671" i="2"/>
  <c r="K8687" i="2"/>
  <c r="J8687" i="2"/>
  <c r="K8703" i="2"/>
  <c r="J8703" i="2"/>
  <c r="K8719" i="2"/>
  <c r="J8719" i="2"/>
  <c r="K8735" i="2"/>
  <c r="J8735" i="2"/>
  <c r="K8751" i="2"/>
  <c r="J8751" i="2"/>
  <c r="K8767" i="2"/>
  <c r="J8767" i="2"/>
  <c r="K8783" i="2"/>
  <c r="J8783" i="2"/>
  <c r="K8799" i="2"/>
  <c r="J8799" i="2"/>
  <c r="K8815" i="2"/>
  <c r="J8815" i="2"/>
  <c r="K8831" i="2"/>
  <c r="J8831" i="2"/>
  <c r="K8847" i="2"/>
  <c r="J8847" i="2"/>
  <c r="K8863" i="2"/>
  <c r="J8863" i="2"/>
  <c r="K8879" i="2"/>
  <c r="J8879" i="2"/>
  <c r="K8895" i="2"/>
  <c r="J8895" i="2"/>
  <c r="K8911" i="2"/>
  <c r="J8911" i="2"/>
  <c r="K8927" i="2"/>
  <c r="J8927" i="2"/>
  <c r="K8943" i="2"/>
  <c r="J8943" i="2"/>
  <c r="K8959" i="2"/>
  <c r="J8959" i="2"/>
  <c r="K8975" i="2"/>
  <c r="J8975" i="2"/>
  <c r="K8991" i="2"/>
  <c r="J8991" i="2"/>
  <c r="K9007" i="2"/>
  <c r="J9007" i="2"/>
  <c r="K9023" i="2"/>
  <c r="J9023" i="2"/>
  <c r="K9039" i="2"/>
  <c r="J9039" i="2"/>
  <c r="K9055" i="2"/>
  <c r="J9055" i="2"/>
  <c r="K9071" i="2"/>
  <c r="J9071" i="2"/>
  <c r="K9087" i="2"/>
  <c r="J9087" i="2"/>
  <c r="K9103" i="2"/>
  <c r="J9103" i="2"/>
  <c r="K9119" i="2"/>
  <c r="J9119" i="2"/>
  <c r="K9135" i="2"/>
  <c r="J9135" i="2"/>
  <c r="K9151" i="2"/>
  <c r="J9151" i="2"/>
  <c r="K9167" i="2"/>
  <c r="J9167" i="2"/>
  <c r="K9183" i="2"/>
  <c r="J9183" i="2"/>
  <c r="K9199" i="2"/>
  <c r="J9199" i="2"/>
  <c r="K9215" i="2"/>
  <c r="J9215" i="2"/>
  <c r="K9231" i="2"/>
  <c r="J9231" i="2"/>
  <c r="K9247" i="2"/>
  <c r="J9247" i="2"/>
  <c r="K9263" i="2"/>
  <c r="J9263" i="2"/>
  <c r="K9279" i="2"/>
  <c r="J9279" i="2"/>
  <c r="K9295" i="2"/>
  <c r="J9295" i="2"/>
  <c r="K9311" i="2"/>
  <c r="J9311" i="2"/>
  <c r="K9327" i="2"/>
  <c r="J9327" i="2"/>
  <c r="K9343" i="2"/>
  <c r="J9343" i="2"/>
  <c r="K9359" i="2"/>
  <c r="J9359" i="2"/>
  <c r="K9375" i="2"/>
  <c r="J9375" i="2"/>
  <c r="K9391" i="2"/>
  <c r="J9391" i="2"/>
  <c r="K9407" i="2"/>
  <c r="J9407" i="2"/>
  <c r="K9423" i="2"/>
  <c r="J9423" i="2"/>
  <c r="K9439" i="2"/>
  <c r="J9439" i="2"/>
  <c r="K9455" i="2"/>
  <c r="J9455" i="2"/>
  <c r="K9471" i="2"/>
  <c r="J9471" i="2"/>
  <c r="K9487" i="2"/>
  <c r="J9487" i="2"/>
  <c r="K9503" i="2"/>
  <c r="J9503" i="2"/>
  <c r="K9519" i="2"/>
  <c r="J9519" i="2"/>
  <c r="K9535" i="2"/>
  <c r="J9535" i="2"/>
  <c r="K9551" i="2"/>
  <c r="J9551" i="2"/>
  <c r="K9567" i="2"/>
  <c r="J9567" i="2"/>
  <c r="K9583" i="2"/>
  <c r="J9583" i="2"/>
  <c r="K9599" i="2"/>
  <c r="J9599" i="2"/>
  <c r="K9615" i="2"/>
  <c r="J9615" i="2"/>
  <c r="K9631" i="2"/>
  <c r="J9631" i="2"/>
  <c r="K9647" i="2"/>
  <c r="J9647" i="2"/>
  <c r="K9663" i="2"/>
  <c r="J9663" i="2"/>
  <c r="K9679" i="2"/>
  <c r="J9679" i="2"/>
  <c r="K9695" i="2"/>
  <c r="J9695" i="2"/>
  <c r="K9711" i="2"/>
  <c r="J9711" i="2"/>
  <c r="K9727" i="2"/>
  <c r="J9727" i="2"/>
  <c r="K9743" i="2"/>
  <c r="J9743" i="2"/>
  <c r="K9759" i="2"/>
  <c r="J9759" i="2"/>
  <c r="K9775" i="2"/>
  <c r="J9775" i="2"/>
  <c r="K9791" i="2"/>
  <c r="J9791" i="2"/>
  <c r="K9807" i="2"/>
  <c r="J9807" i="2"/>
  <c r="K9823" i="2"/>
  <c r="J9823" i="2"/>
  <c r="K9839" i="2"/>
  <c r="J9839" i="2"/>
  <c r="K9855" i="2"/>
  <c r="J9855" i="2"/>
  <c r="K9871" i="2"/>
  <c r="J9871" i="2"/>
  <c r="K9887" i="2"/>
  <c r="J9887" i="2"/>
  <c r="K9903" i="2"/>
  <c r="J9903" i="2"/>
  <c r="K9919" i="2"/>
  <c r="J9919" i="2"/>
  <c r="K9935" i="2"/>
  <c r="J9935" i="2"/>
  <c r="K9951" i="2"/>
  <c r="J9951" i="2"/>
  <c r="K9967" i="2"/>
  <c r="J9967" i="2"/>
  <c r="K9983" i="2"/>
  <c r="J9983" i="2"/>
  <c r="K9999" i="2"/>
  <c r="J9999" i="2"/>
  <c r="K3841" i="2"/>
  <c r="J3841" i="2"/>
  <c r="K4113" i="2"/>
  <c r="J4113" i="2"/>
  <c r="K4721" i="2"/>
  <c r="J4721" i="2"/>
  <c r="K4921" i="2"/>
  <c r="J4921" i="2"/>
  <c r="K5685" i="2"/>
  <c r="J5685" i="2"/>
  <c r="K6133" i="2"/>
  <c r="J6133" i="2"/>
  <c r="K6377" i="2"/>
  <c r="J6377" i="2"/>
  <c r="J1745" i="2"/>
  <c r="J2017" i="2"/>
  <c r="J2333" i="2"/>
  <c r="J2501" i="2"/>
  <c r="J3325" i="2"/>
  <c r="J3445" i="2"/>
  <c r="J4213" i="2"/>
  <c r="J4297" i="2"/>
  <c r="J2609" i="2"/>
  <c r="J3977" i="2"/>
  <c r="J5149" i="2"/>
  <c r="J5253" i="2"/>
  <c r="J8623" i="2"/>
  <c r="J8639" i="2"/>
  <c r="J2970" i="2"/>
  <c r="J450" i="2"/>
  <c r="J750" i="2"/>
  <c r="J700" i="2"/>
  <c r="J6746" i="2"/>
  <c r="J922" i="2"/>
  <c r="J5620" i="2"/>
  <c r="J4980" i="2"/>
  <c r="J5901" i="2"/>
  <c r="J1242" i="2"/>
  <c r="J1073" i="2"/>
  <c r="J2852" i="2"/>
  <c r="J1534" i="2"/>
  <c r="J2391" i="2"/>
  <c r="J4281" i="2"/>
  <c r="J2102" i="2"/>
  <c r="J1506" i="2"/>
  <c r="J3171" i="2"/>
  <c r="J3570" i="2"/>
  <c r="J2114" i="2"/>
  <c r="J2150" i="2"/>
  <c r="J4616" i="2"/>
  <c r="J2582" i="2"/>
  <c r="J3996" i="2"/>
  <c r="J3854" i="2"/>
  <c r="J3862" i="2"/>
  <c r="J3686" i="2"/>
  <c r="J4526" i="2"/>
  <c r="J2990" i="2"/>
  <c r="J4574" i="2"/>
  <c r="J6541" i="2"/>
  <c r="J4795" i="2"/>
  <c r="J1545" i="2"/>
  <c r="J6732" i="2"/>
  <c r="J4404" i="2"/>
  <c r="J148" i="2"/>
  <c r="J4007" i="2"/>
  <c r="J1895" i="2"/>
  <c r="J4793" i="2"/>
  <c r="J856" i="2"/>
  <c r="J6813" i="2"/>
  <c r="J1683" i="2"/>
  <c r="J3307" i="2"/>
  <c r="J5649" i="2"/>
  <c r="J6656" i="2"/>
  <c r="J1971" i="2"/>
  <c r="J6488" i="2"/>
  <c r="J4986" i="2"/>
  <c r="J6848" i="2"/>
  <c r="J1505" i="2"/>
  <c r="J4370" i="2"/>
  <c r="J1296" i="2"/>
  <c r="J3745" i="2"/>
  <c r="J2712" i="2"/>
  <c r="J2469" i="2"/>
  <c r="J2694" i="2"/>
  <c r="J2509" i="2"/>
  <c r="J2565" i="2"/>
  <c r="J4392" i="2"/>
  <c r="J6104" i="2"/>
  <c r="J1229" i="2"/>
  <c r="J2149" i="2"/>
  <c r="J3013" i="2"/>
  <c r="J396" i="2"/>
  <c r="J3437" i="2"/>
  <c r="J5218" i="2"/>
  <c r="J1539" i="2"/>
  <c r="J4293" i="2"/>
  <c r="J6169" i="2"/>
  <c r="J1213" i="2"/>
  <c r="J3379" i="2"/>
  <c r="J3673" i="2"/>
  <c r="K5838" i="2"/>
  <c r="J5838" i="2"/>
  <c r="K6997" i="2"/>
  <c r="J6997" i="2"/>
  <c r="K5910" i="2"/>
  <c r="J5910" i="2"/>
  <c r="K1291" i="2"/>
  <c r="J1291" i="2"/>
  <c r="K1180" i="2"/>
  <c r="J1180" i="2"/>
  <c r="K6335" i="2"/>
  <c r="J6335" i="2"/>
  <c r="K2383" i="2"/>
  <c r="J2383" i="2"/>
  <c r="K408" i="2"/>
  <c r="J408" i="2"/>
  <c r="K1521" i="2"/>
  <c r="J1521" i="2"/>
  <c r="K4797" i="2"/>
  <c r="J4797" i="2"/>
  <c r="K5077" i="2"/>
  <c r="J5077" i="2"/>
  <c r="K4741" i="2"/>
  <c r="J4741" i="2"/>
  <c r="K4524" i="2"/>
  <c r="J4524" i="2"/>
  <c r="K5802" i="2"/>
  <c r="J5802" i="2"/>
  <c r="K4611" i="2"/>
  <c r="J4611" i="2"/>
  <c r="K175" i="2"/>
  <c r="J175" i="2"/>
  <c r="K6398" i="2"/>
  <c r="J6398" i="2"/>
  <c r="K6096" i="2"/>
  <c r="J6096" i="2"/>
  <c r="K6498" i="2"/>
  <c r="J6498" i="2"/>
  <c r="K6527" i="2"/>
  <c r="J6527" i="2"/>
  <c r="K6538" i="2"/>
  <c r="J6538" i="2"/>
  <c r="K4380" i="2"/>
  <c r="J4380" i="2"/>
  <c r="K2772" i="2"/>
  <c r="J2772" i="2"/>
  <c r="K6606" i="2"/>
  <c r="J6606" i="2"/>
  <c r="K6654" i="2"/>
  <c r="J6654" i="2"/>
  <c r="K5084" i="2"/>
  <c r="J5084" i="2"/>
  <c r="K401" i="2"/>
  <c r="J401" i="2"/>
  <c r="K6110" i="2"/>
  <c r="J6110" i="2"/>
  <c r="K6782" i="2"/>
  <c r="J6782" i="2"/>
  <c r="K6842" i="2"/>
  <c r="J6842" i="2"/>
  <c r="K6878" i="2"/>
  <c r="J6878" i="2"/>
  <c r="K6898" i="2"/>
  <c r="J6898" i="2"/>
  <c r="K6922" i="2"/>
  <c r="J6922" i="2"/>
  <c r="K6974" i="2"/>
  <c r="J6974" i="2"/>
  <c r="K7022" i="2"/>
  <c r="J7022" i="2"/>
  <c r="K4870" i="2"/>
  <c r="J4870" i="2"/>
  <c r="K6050" i="2"/>
  <c r="J6050" i="2"/>
  <c r="K5756" i="2"/>
  <c r="J5756" i="2"/>
  <c r="K6925" i="2"/>
  <c r="J6925" i="2"/>
  <c r="K5898" i="2"/>
  <c r="J5898" i="2"/>
  <c r="K5918" i="2"/>
  <c r="J5918" i="2"/>
  <c r="K5962" i="2"/>
  <c r="J5962" i="2"/>
  <c r="K6034" i="2"/>
  <c r="J6034" i="2"/>
  <c r="K6058" i="2"/>
  <c r="J6058" i="2"/>
  <c r="K6138" i="2"/>
  <c r="J6138" i="2"/>
  <c r="K6158" i="2"/>
  <c r="J6158" i="2"/>
  <c r="K6262" i="2"/>
  <c r="J6262" i="2"/>
  <c r="K6438" i="2"/>
  <c r="J6438" i="2"/>
  <c r="K6450" i="2"/>
  <c r="J6450" i="2"/>
  <c r="K6466" i="2"/>
  <c r="J6466" i="2"/>
  <c r="K6474" i="2"/>
  <c r="J6474" i="2"/>
  <c r="K6562" i="2"/>
  <c r="J6562" i="2"/>
  <c r="K6586" i="2"/>
  <c r="J6586" i="2"/>
  <c r="K6666" i="2"/>
  <c r="J6666" i="2"/>
  <c r="K6690" i="2"/>
  <c r="J6690" i="2"/>
  <c r="K6738" i="2"/>
  <c r="J6738" i="2"/>
  <c r="K6890" i="2"/>
  <c r="J6890" i="2"/>
  <c r="K6918" i="2"/>
  <c r="J6918" i="2"/>
  <c r="K6986" i="2"/>
  <c r="J6986" i="2"/>
  <c r="K7010" i="2"/>
  <c r="J7010" i="2"/>
  <c r="K7034" i="2"/>
  <c r="J7034" i="2"/>
  <c r="K7106" i="2"/>
  <c r="J7106" i="2"/>
  <c r="K1255" i="2"/>
  <c r="J1255" i="2"/>
  <c r="K5219" i="2"/>
  <c r="J5219" i="2"/>
  <c r="K5499" i="2"/>
  <c r="J5499" i="2"/>
  <c r="K6435" i="2"/>
  <c r="J6435" i="2"/>
  <c r="K7107" i="2"/>
  <c r="J7107" i="2"/>
  <c r="K2816" i="2"/>
  <c r="J2816" i="2"/>
  <c r="K2868" i="2"/>
  <c r="J2868" i="2"/>
  <c r="K3480" i="2"/>
  <c r="J3480" i="2"/>
  <c r="K6664" i="2"/>
  <c r="J6664" i="2"/>
  <c r="K6752" i="2"/>
  <c r="J6752" i="2"/>
  <c r="K6844" i="2"/>
  <c r="J6844" i="2"/>
  <c r="J2697" i="2"/>
  <c r="J1444" i="2"/>
  <c r="J374" i="2"/>
  <c r="J5784" i="2"/>
  <c r="J414" i="2"/>
  <c r="J1222" i="2"/>
  <c r="J5555" i="2"/>
  <c r="J462" i="2"/>
  <c r="J4086" i="2"/>
  <c r="J2286" i="2"/>
  <c r="J6835" i="2"/>
  <c r="J982" i="2"/>
  <c r="J4091" i="2"/>
  <c r="J963" i="2"/>
  <c r="J1062" i="2"/>
  <c r="J6095" i="2"/>
  <c r="J4636" i="2"/>
  <c r="J2796" i="2"/>
  <c r="J5932" i="2"/>
  <c r="J1230" i="2"/>
  <c r="J4039" i="2"/>
  <c r="J5628" i="2"/>
  <c r="J1302" i="2"/>
  <c r="J5712" i="2"/>
  <c r="J6873" i="2"/>
  <c r="J1397" i="2"/>
  <c r="J1914" i="2"/>
  <c r="J1938" i="2"/>
  <c r="J4283" i="2"/>
  <c r="J1912" i="2"/>
  <c r="J3539" i="2"/>
  <c r="J4929" i="2"/>
  <c r="J6063" i="2"/>
  <c r="J2374" i="2"/>
  <c r="J364" i="2"/>
  <c r="J2570" i="2"/>
  <c r="J3054" i="2"/>
  <c r="J6041" i="2"/>
  <c r="J2377" i="2"/>
  <c r="J4290" i="2"/>
  <c r="J7201" i="2"/>
  <c r="J4662" i="2"/>
  <c r="J5230" i="2"/>
  <c r="J5480" i="2"/>
  <c r="J3918" i="2"/>
  <c r="J2299" i="2"/>
  <c r="J3422" i="2"/>
  <c r="J1017" i="2"/>
  <c r="J6590" i="2"/>
  <c r="J5845" i="2"/>
  <c r="J1969" i="2"/>
  <c r="J1985" i="2"/>
  <c r="J2041" i="2"/>
  <c r="J2089" i="2"/>
  <c r="J1926" i="2"/>
  <c r="J3679" i="2"/>
  <c r="J5143" i="2"/>
  <c r="J2821" i="2"/>
  <c r="J2257" i="2"/>
  <c r="J2265" i="2"/>
  <c r="J2289" i="2"/>
  <c r="J3166" i="2"/>
  <c r="J5303" i="2"/>
  <c r="J6289" i="2"/>
  <c r="J4003" i="2"/>
  <c r="J2457" i="2"/>
  <c r="J2529" i="2"/>
  <c r="J1362" i="2"/>
  <c r="J5935" i="2"/>
  <c r="J2625" i="2"/>
  <c r="J4882" i="2"/>
  <c r="J5969" i="2"/>
  <c r="J2411" i="2"/>
  <c r="J1058" i="2"/>
  <c r="J3119" i="2"/>
  <c r="J4987" i="2"/>
  <c r="J2901" i="2"/>
  <c r="K2267" i="2"/>
  <c r="J2267" i="2"/>
  <c r="K5695" i="2"/>
  <c r="J5695" i="2"/>
  <c r="K5902" i="2"/>
  <c r="J5902" i="2"/>
  <c r="K1043" i="2"/>
  <c r="J1043" i="2"/>
  <c r="K5944" i="2"/>
  <c r="J5944" i="2"/>
  <c r="K5950" i="2"/>
  <c r="J5950" i="2"/>
  <c r="K5155" i="2"/>
  <c r="J5155" i="2"/>
  <c r="K5994" i="2"/>
  <c r="J5994" i="2"/>
  <c r="K6684" i="2"/>
  <c r="J6684" i="2"/>
  <c r="K6740" i="2"/>
  <c r="J6740" i="2"/>
  <c r="K6749" i="2"/>
  <c r="J6749" i="2"/>
  <c r="K6170" i="2"/>
  <c r="J6170" i="2"/>
  <c r="K2270" i="2"/>
  <c r="J2270" i="2"/>
  <c r="K6246" i="2"/>
  <c r="J6246" i="2"/>
  <c r="K5472" i="2"/>
  <c r="J5472" i="2"/>
  <c r="K4188" i="2"/>
  <c r="J4188" i="2"/>
  <c r="K6788" i="2"/>
  <c r="J6788" i="2"/>
  <c r="K6506" i="2"/>
  <c r="J6506" i="2"/>
  <c r="K3942" i="2"/>
  <c r="J3942" i="2"/>
  <c r="K5699" i="2"/>
  <c r="J5699" i="2"/>
  <c r="K341" i="2"/>
  <c r="J341" i="2"/>
  <c r="K5533" i="2"/>
  <c r="J5533" i="2"/>
  <c r="K2280" i="2"/>
  <c r="J2280" i="2"/>
  <c r="K1502" i="2"/>
  <c r="J1502" i="2"/>
  <c r="K1270" i="2"/>
  <c r="J1270" i="2"/>
  <c r="K1637" i="2"/>
  <c r="J1637" i="2"/>
  <c r="K5137" i="2"/>
  <c r="J5137" i="2"/>
  <c r="K3032" i="2"/>
  <c r="J3032" i="2"/>
  <c r="K7138" i="2"/>
  <c r="J7138" i="2"/>
  <c r="K3927" i="2"/>
  <c r="J3927" i="2"/>
  <c r="K6910" i="2"/>
  <c r="J6910" i="2"/>
  <c r="K6934" i="2"/>
  <c r="J6934" i="2"/>
  <c r="K195" i="2"/>
  <c r="J195" i="2"/>
  <c r="K6770" i="2"/>
  <c r="J6770" i="2"/>
  <c r="K5799" i="2"/>
  <c r="J5799" i="2"/>
  <c r="K6695" i="2"/>
  <c r="J6695" i="2"/>
  <c r="K6528" i="2"/>
  <c r="J6528" i="2"/>
  <c r="K4931" i="2"/>
  <c r="J4931" i="2"/>
  <c r="K6897" i="2"/>
  <c r="J6897" i="2"/>
  <c r="K3656" i="2"/>
  <c r="J3656" i="2"/>
  <c r="K5914" i="2"/>
  <c r="J5914" i="2"/>
  <c r="K5922" i="2"/>
  <c r="J5922" i="2"/>
  <c r="K5990" i="2"/>
  <c r="J5990" i="2"/>
  <c r="K6066" i="2"/>
  <c r="J6066" i="2"/>
  <c r="K6266" i="2"/>
  <c r="J6266" i="2"/>
  <c r="K6294" i="2"/>
  <c r="J6294" i="2"/>
  <c r="K6310" i="2"/>
  <c r="J6310" i="2"/>
  <c r="K6434" i="2"/>
  <c r="J6434" i="2"/>
  <c r="K6446" i="2"/>
  <c r="J6446" i="2"/>
  <c r="K6458" i="2"/>
  <c r="J6458" i="2"/>
  <c r="K6534" i="2"/>
  <c r="J6534" i="2"/>
  <c r="K6574" i="2"/>
  <c r="J6574" i="2"/>
  <c r="K6734" i="2"/>
  <c r="J6734" i="2"/>
  <c r="K6854" i="2"/>
  <c r="J6854" i="2"/>
  <c r="K6874" i="2"/>
  <c r="J6874" i="2"/>
  <c r="K6926" i="2"/>
  <c r="J6926" i="2"/>
  <c r="K7014" i="2"/>
  <c r="J7014" i="2"/>
  <c r="K499" i="2"/>
  <c r="J499" i="2"/>
  <c r="K995" i="2"/>
  <c r="J995" i="2"/>
  <c r="K6387" i="2"/>
  <c r="J6387" i="2"/>
  <c r="K6443" i="2"/>
  <c r="J6443" i="2"/>
  <c r="K2760" i="2"/>
  <c r="J2760" i="2"/>
  <c r="K2924" i="2"/>
  <c r="J2924" i="2"/>
  <c r="K3520" i="2"/>
  <c r="J3520" i="2"/>
  <c r="K3832" i="2"/>
  <c r="J3832" i="2"/>
  <c r="K3884" i="2"/>
  <c r="J3884" i="2"/>
  <c r="K4016" i="2"/>
  <c r="J4016" i="2"/>
  <c r="K4536" i="2"/>
  <c r="J4536" i="2"/>
  <c r="K4556" i="2"/>
  <c r="J4556" i="2"/>
  <c r="K6652" i="2"/>
  <c r="J6652" i="2"/>
  <c r="K6760" i="2"/>
  <c r="J6760" i="2"/>
  <c r="K6860" i="2"/>
  <c r="J6860" i="2"/>
  <c r="K7008" i="2"/>
  <c r="J7008" i="2"/>
  <c r="K6073" i="2"/>
  <c r="J6073" i="2"/>
  <c r="J569" i="2"/>
  <c r="J1201" i="2"/>
  <c r="J1209" i="2"/>
  <c r="J1353" i="2"/>
  <c r="J3993" i="2"/>
  <c r="J5453" i="2"/>
  <c r="J1101" i="2"/>
  <c r="J1109" i="2"/>
  <c r="J1169" i="2"/>
  <c r="J1197" i="2"/>
  <c r="J1205" i="2"/>
  <c r="J1357" i="2"/>
  <c r="J3829" i="2"/>
  <c r="J3989" i="2"/>
  <c r="J4069" i="2"/>
  <c r="J5249" i="2"/>
  <c r="J5457" i="2"/>
  <c r="J5589" i="2"/>
  <c r="J6141" i="2"/>
  <c r="J6761" i="2"/>
  <c r="K5634" i="2"/>
  <c r="J5634" i="2"/>
  <c r="K3043" i="2"/>
  <c r="J3043" i="2"/>
  <c r="K2762" i="2"/>
  <c r="J2762" i="2"/>
  <c r="K5570" i="2"/>
  <c r="J5570" i="2"/>
  <c r="K3290" i="2"/>
  <c r="J3290" i="2"/>
  <c r="K3438" i="2"/>
  <c r="J3438" i="2"/>
  <c r="K1438" i="2"/>
  <c r="J1438" i="2"/>
  <c r="K1542" i="2"/>
  <c r="J1542" i="2"/>
  <c r="K3842" i="2"/>
  <c r="J3842" i="2"/>
  <c r="K1193" i="2"/>
  <c r="J1193" i="2"/>
  <c r="K5016" i="2"/>
  <c r="J5016" i="2"/>
  <c r="K4226" i="2"/>
  <c r="J4226" i="2"/>
  <c r="K4367" i="2"/>
  <c r="J4367" i="2"/>
  <c r="K4394" i="2"/>
  <c r="J4394" i="2"/>
  <c r="K4594" i="2"/>
  <c r="J4594" i="2"/>
  <c r="K6304" i="2"/>
  <c r="J6304" i="2"/>
  <c r="K4750" i="2"/>
  <c r="J4750" i="2"/>
  <c r="K5054" i="2"/>
  <c r="J5054" i="2"/>
  <c r="K2120" i="2"/>
  <c r="J2120" i="2"/>
  <c r="K5708" i="2"/>
  <c r="J5708" i="2"/>
  <c r="K5034" i="2"/>
  <c r="J5034" i="2"/>
  <c r="K5523" i="2"/>
  <c r="J5523" i="2"/>
  <c r="K5250" i="2"/>
  <c r="J5250" i="2"/>
  <c r="K5494" i="2"/>
  <c r="J5494" i="2"/>
  <c r="K2056" i="2"/>
  <c r="J2056" i="2"/>
  <c r="K6539" i="2"/>
  <c r="J6539" i="2"/>
  <c r="K1059" i="2"/>
  <c r="J1059" i="2"/>
  <c r="K1452" i="2"/>
  <c r="J1452" i="2"/>
  <c r="K1531" i="2"/>
  <c r="J1531" i="2"/>
  <c r="K4995" i="2"/>
  <c r="J4995" i="2"/>
  <c r="K4860" i="2"/>
  <c r="J4860" i="2"/>
  <c r="K2798" i="2"/>
  <c r="J2798" i="2"/>
  <c r="K3682" i="2"/>
  <c r="J3682" i="2"/>
  <c r="K1233" i="2"/>
  <c r="J1233" i="2"/>
  <c r="K3118" i="2"/>
  <c r="J3118" i="2"/>
  <c r="K2248" i="2"/>
  <c r="J2248" i="2"/>
  <c r="K3470" i="2"/>
  <c r="J3470" i="2"/>
  <c r="K5220" i="2"/>
  <c r="J5220" i="2"/>
  <c r="K6877" i="2"/>
  <c r="J6877" i="2"/>
  <c r="K4061" i="2"/>
  <c r="J4061" i="2"/>
  <c r="K3742" i="2"/>
  <c r="J3742" i="2"/>
  <c r="K3609" i="2"/>
  <c r="J3609" i="2"/>
  <c r="K3662" i="2"/>
  <c r="J3662" i="2"/>
  <c r="K4074" i="2"/>
  <c r="J4074" i="2"/>
  <c r="K6864" i="2"/>
  <c r="J6864" i="2"/>
  <c r="K2688" i="2"/>
  <c r="J2688" i="2"/>
  <c r="K5446" i="2"/>
  <c r="J5446" i="2"/>
  <c r="K4064" i="2"/>
  <c r="J4064" i="2"/>
  <c r="K4402" i="2"/>
  <c r="J4402" i="2"/>
  <c r="K1021" i="2"/>
  <c r="J1021" i="2"/>
  <c r="K7018" i="2"/>
  <c r="J7018" i="2"/>
  <c r="K5146" i="2"/>
  <c r="J5146" i="2"/>
  <c r="K365" i="2"/>
  <c r="J365" i="2"/>
  <c r="K5503" i="2"/>
  <c r="J5503" i="2"/>
  <c r="K5462" i="2"/>
  <c r="J5462" i="2"/>
  <c r="K6591" i="2"/>
  <c r="J6591" i="2"/>
  <c r="K2422" i="2"/>
  <c r="J2422" i="2"/>
  <c r="K5625" i="2"/>
  <c r="J5625" i="2"/>
  <c r="K985" i="2"/>
  <c r="J985" i="2"/>
  <c r="K2920" i="2"/>
  <c r="J2920" i="2"/>
  <c r="K6778" i="2"/>
  <c r="J6778" i="2"/>
  <c r="K136" i="2"/>
  <c r="J136" i="2"/>
  <c r="J476" i="2"/>
  <c r="J2608" i="2"/>
  <c r="J4876" i="2"/>
  <c r="J4875" i="2"/>
  <c r="J2752" i="2"/>
  <c r="J3794" i="2"/>
  <c r="J2932" i="2"/>
  <c r="J6109" i="2"/>
  <c r="J5028" i="2"/>
  <c r="J6644" i="2"/>
  <c r="J5700" i="2"/>
  <c r="J6676" i="2"/>
  <c r="J483" i="2"/>
  <c r="J1793" i="2"/>
  <c r="J6748" i="2"/>
  <c r="J6764" i="2"/>
  <c r="J2282" i="2"/>
  <c r="J6226" i="2"/>
  <c r="J6796" i="2"/>
  <c r="J4679" i="2"/>
  <c r="J782" i="2"/>
  <c r="J4742" i="2"/>
  <c r="J7004" i="2"/>
  <c r="J1276" i="2"/>
  <c r="J5497" i="2"/>
  <c r="J4622" i="2"/>
  <c r="J1061" i="2"/>
  <c r="J7164" i="2"/>
  <c r="J224" i="2"/>
  <c r="J938" i="2"/>
  <c r="J1313" i="2"/>
  <c r="J1157" i="2"/>
  <c r="J1221" i="2"/>
  <c r="J6518" i="2"/>
  <c r="J1390" i="2"/>
  <c r="J1245" i="2"/>
  <c r="J6071" i="2"/>
  <c r="J4055" i="2"/>
  <c r="J1342" i="2"/>
  <c r="J3861" i="2"/>
  <c r="J3913" i="2"/>
  <c r="J3945" i="2"/>
  <c r="J5672" i="2"/>
  <c r="J4487" i="2"/>
  <c r="J5157" i="2"/>
  <c r="J795" i="2"/>
  <c r="J5305" i="2"/>
  <c r="J5248" i="2"/>
  <c r="J2771" i="2"/>
  <c r="J5692" i="2"/>
  <c r="J6491" i="2"/>
  <c r="J4578" i="2"/>
  <c r="J5941" i="2"/>
  <c r="J5949" i="2"/>
  <c r="J6893" i="2"/>
  <c r="J6081" i="2"/>
  <c r="J6665" i="2"/>
  <c r="J6075" i="2"/>
  <c r="J7033" i="2"/>
  <c r="J7129" i="2"/>
  <c r="K265" i="2"/>
  <c r="J265" i="2"/>
  <c r="K1152" i="2"/>
  <c r="J1152" i="2"/>
  <c r="K2004" i="2"/>
  <c r="J2004" i="2"/>
  <c r="K2949" i="2"/>
  <c r="J2949" i="2"/>
  <c r="K5974" i="2"/>
  <c r="J5974" i="2"/>
  <c r="K454" i="2"/>
  <c r="J454" i="2"/>
  <c r="K4748" i="2"/>
  <c r="J4748" i="2"/>
  <c r="K77" i="2"/>
  <c r="J77" i="2"/>
  <c r="K1848" i="2"/>
  <c r="J1848" i="2"/>
  <c r="K3954" i="2"/>
  <c r="J3954" i="2"/>
  <c r="K1497" i="2"/>
  <c r="J1497" i="2"/>
  <c r="K4569" i="2"/>
  <c r="J4569" i="2"/>
  <c r="K1717" i="2"/>
  <c r="J1717" i="2"/>
  <c r="K1865" i="2"/>
  <c r="J1865" i="2"/>
  <c r="K1885" i="2"/>
  <c r="J1885" i="2"/>
  <c r="K2737" i="2"/>
  <c r="J2737" i="2"/>
  <c r="K2231" i="2"/>
  <c r="J2231" i="2"/>
  <c r="K2663" i="2"/>
  <c r="J2663" i="2"/>
  <c r="K85" i="2"/>
  <c r="J85" i="2"/>
  <c r="K6888" i="2"/>
  <c r="J6888" i="2"/>
  <c r="K91" i="2"/>
  <c r="J91" i="2"/>
  <c r="K6929" i="2"/>
  <c r="J6929" i="2"/>
  <c r="K6395" i="2"/>
  <c r="J6395" i="2"/>
  <c r="K4393" i="2"/>
  <c r="J4393" i="2"/>
  <c r="K4585" i="2"/>
  <c r="J4585" i="2"/>
  <c r="K3146" i="2"/>
  <c r="J3146" i="2"/>
  <c r="K3358" i="2"/>
  <c r="J3358" i="2"/>
  <c r="K6555" i="2"/>
  <c r="J6555" i="2"/>
  <c r="K5525" i="2"/>
  <c r="J5525" i="2"/>
  <c r="K5793" i="2"/>
  <c r="J5793" i="2"/>
  <c r="K6179" i="2"/>
  <c r="J6179" i="2"/>
  <c r="K5737" i="2"/>
  <c r="J5737" i="2"/>
  <c r="K6389" i="2"/>
  <c r="J6389" i="2"/>
  <c r="K1392" i="2"/>
  <c r="J1392" i="2"/>
  <c r="K6233" i="2"/>
  <c r="J6233" i="2"/>
  <c r="K6797" i="2"/>
  <c r="J6797" i="2"/>
  <c r="K6904" i="2"/>
  <c r="J6904" i="2"/>
  <c r="K1575" i="2"/>
  <c r="J1575" i="2"/>
  <c r="K1091" i="2"/>
  <c r="J1091" i="2"/>
  <c r="K4879" i="2"/>
  <c r="J4879" i="2"/>
  <c r="K5435" i="2"/>
  <c r="J5435" i="2"/>
  <c r="K6163" i="2"/>
  <c r="J6163" i="2"/>
  <c r="K6243" i="2"/>
  <c r="J6243" i="2"/>
  <c r="K6475" i="2"/>
  <c r="J6475" i="2"/>
  <c r="K7063" i="2"/>
  <c r="J7063" i="2"/>
  <c r="K7139" i="2"/>
  <c r="J7139" i="2"/>
  <c r="K6157" i="2"/>
  <c r="J6157" i="2"/>
  <c r="K6301" i="2"/>
  <c r="J6301" i="2"/>
  <c r="K1976" i="2"/>
  <c r="J1976" i="2"/>
  <c r="K2076" i="2"/>
  <c r="J2076" i="2"/>
  <c r="K3124" i="2"/>
  <c r="J3124" i="2"/>
  <c r="K3384" i="2"/>
  <c r="J3384" i="2"/>
  <c r="K4280" i="2"/>
  <c r="J4280" i="2"/>
  <c r="K6229" i="2"/>
  <c r="J6229" i="2"/>
  <c r="K6681" i="2"/>
  <c r="J6681" i="2"/>
  <c r="K41" i="2"/>
  <c r="J41" i="2"/>
  <c r="K485" i="2"/>
  <c r="J485" i="2"/>
  <c r="J3599" i="2"/>
  <c r="J4786" i="2"/>
  <c r="J2977" i="2"/>
  <c r="J6342" i="2"/>
  <c r="J2996" i="2"/>
  <c r="J418" i="2"/>
  <c r="J6659" i="2"/>
  <c r="J5148" i="2"/>
  <c r="J1726" i="2"/>
  <c r="J823" i="2"/>
  <c r="J1095" i="2"/>
  <c r="J6824" i="2"/>
  <c r="J3184" i="2"/>
  <c r="J6872" i="2"/>
  <c r="J6880" i="2"/>
  <c r="J5789" i="2"/>
  <c r="J4872" i="2"/>
  <c r="J2283" i="2"/>
  <c r="J6936" i="2"/>
  <c r="J6960" i="2"/>
  <c r="J6992" i="2"/>
  <c r="J6745" i="2"/>
  <c r="J371" i="2"/>
  <c r="J6941" i="2"/>
  <c r="J7128" i="2"/>
  <c r="J2739" i="2"/>
  <c r="J5626" i="2"/>
  <c r="J6863" i="2"/>
  <c r="J5612" i="2"/>
  <c r="J5996" i="2"/>
  <c r="J7059" i="2"/>
  <c r="J6512" i="2"/>
  <c r="J561" i="2"/>
  <c r="J3112" i="2"/>
  <c r="J6709" i="2"/>
  <c r="J4846" i="2"/>
  <c r="J4362" i="2"/>
  <c r="J7055" i="2"/>
  <c r="J1530" i="2"/>
  <c r="J4374" i="2"/>
  <c r="J1228" i="2"/>
  <c r="J4792" i="2"/>
  <c r="J3781" i="2"/>
  <c r="J3833" i="2"/>
  <c r="J3893" i="2"/>
  <c r="J3717" i="2"/>
  <c r="J4065" i="2"/>
  <c r="J6669" i="2"/>
  <c r="J6162" i="2"/>
  <c r="J6182" i="2"/>
  <c r="J6165" i="2"/>
  <c r="J5609" i="2"/>
  <c r="J4818" i="2"/>
  <c r="J2125" i="2"/>
  <c r="J6089" i="2"/>
  <c r="J1834" i="2"/>
  <c r="K142" i="2"/>
  <c r="J142" i="2"/>
  <c r="K376" i="2"/>
  <c r="J376" i="2"/>
  <c r="K2572" i="2"/>
  <c r="J2572" i="2"/>
  <c r="K6172" i="2"/>
  <c r="J6172" i="2"/>
  <c r="K3168" i="2"/>
  <c r="J3168" i="2"/>
  <c r="K4184" i="2"/>
  <c r="J4184" i="2"/>
  <c r="K104" i="2"/>
  <c r="J104" i="2"/>
  <c r="K6176" i="2"/>
  <c r="J6176" i="2"/>
  <c r="K2180" i="2"/>
  <c r="J2180" i="2"/>
  <c r="K1018" i="2"/>
  <c r="J1018" i="2"/>
  <c r="K4216" i="2"/>
  <c r="J4216" i="2"/>
  <c r="K5399" i="2"/>
  <c r="J5399" i="2"/>
  <c r="K4568" i="2"/>
  <c r="J4568" i="2"/>
  <c r="K1867" i="2"/>
  <c r="J1867" i="2"/>
  <c r="K6747" i="2"/>
  <c r="J6747" i="2"/>
  <c r="K6552" i="2"/>
  <c r="J6552" i="2"/>
  <c r="K5517" i="2"/>
  <c r="J5517" i="2"/>
  <c r="K3189" i="2"/>
  <c r="J3189" i="2"/>
  <c r="K6845" i="2"/>
  <c r="J6845" i="2"/>
  <c r="K5437" i="2"/>
  <c r="J5437" i="2"/>
  <c r="K6459" i="2"/>
  <c r="J6459" i="2"/>
  <c r="K1371" i="2"/>
  <c r="J1371" i="2"/>
  <c r="K109" i="2"/>
  <c r="J109" i="2"/>
  <c r="K5243" i="2"/>
  <c r="J5243" i="2"/>
  <c r="K4458" i="2"/>
  <c r="J4458" i="2"/>
  <c r="K5519" i="2"/>
  <c r="J5519" i="2"/>
  <c r="K4837" i="2"/>
  <c r="J4837" i="2"/>
  <c r="K5005" i="2"/>
  <c r="J5005" i="2"/>
  <c r="K5541" i="2"/>
  <c r="J5541" i="2"/>
  <c r="K6167" i="2"/>
  <c r="J6167" i="2"/>
  <c r="K6809" i="2"/>
  <c r="J6809" i="2"/>
  <c r="K2678" i="2"/>
  <c r="J2678" i="2"/>
  <c r="K6883" i="2"/>
  <c r="J6883" i="2"/>
  <c r="K5749" i="2"/>
  <c r="J5749" i="2"/>
  <c r="K1957" i="2"/>
  <c r="J1957" i="2"/>
  <c r="K1796" i="2"/>
  <c r="J1796" i="2"/>
  <c r="K4368" i="2"/>
  <c r="J4368" i="2"/>
  <c r="K3775" i="2"/>
  <c r="J3775" i="2"/>
  <c r="K1958" i="2"/>
  <c r="J1958" i="2"/>
  <c r="K2279" i="2"/>
  <c r="J2279" i="2"/>
  <c r="K6930" i="2"/>
  <c r="J6930" i="2"/>
  <c r="K4820" i="2"/>
  <c r="J4820" i="2"/>
  <c r="K4660" i="2"/>
  <c r="J4660" i="2"/>
  <c r="K6445" i="2"/>
  <c r="J6445" i="2"/>
  <c r="K5251" i="2"/>
  <c r="J5251" i="2"/>
  <c r="K6175" i="2"/>
  <c r="J6175" i="2"/>
  <c r="K6259" i="2"/>
  <c r="J6259" i="2"/>
  <c r="K6355" i="2"/>
  <c r="J6355" i="2"/>
  <c r="K6499" i="2"/>
  <c r="J6499" i="2"/>
  <c r="K6615" i="2"/>
  <c r="J6615" i="2"/>
  <c r="K3020" i="2"/>
  <c r="J3020" i="2"/>
  <c r="K3252" i="2"/>
  <c r="J3252" i="2"/>
  <c r="K65" i="2"/>
  <c r="J65" i="2"/>
  <c r="K205" i="2"/>
  <c r="J205" i="2"/>
  <c r="K617" i="2"/>
  <c r="J617" i="2"/>
  <c r="K805" i="2"/>
  <c r="J805" i="2"/>
  <c r="J1261" i="2"/>
  <c r="J1489" i="2"/>
  <c r="J1853" i="2"/>
  <c r="J1861" i="2"/>
  <c r="J3181" i="2"/>
  <c r="J3229" i="2"/>
  <c r="J3281" i="2"/>
  <c r="J4137" i="2"/>
  <c r="J4493" i="2"/>
  <c r="J4509" i="2"/>
  <c r="J4533" i="2"/>
  <c r="J4541" i="2"/>
  <c r="J4549" i="2"/>
  <c r="J4557" i="2"/>
  <c r="J4613" i="2"/>
  <c r="J4689" i="2"/>
  <c r="J4829" i="2"/>
  <c r="J5745" i="2"/>
  <c r="J6733" i="2"/>
  <c r="J1257" i="2"/>
  <c r="J1293" i="2"/>
  <c r="J1629" i="2"/>
  <c r="J1857" i="2"/>
  <c r="J1873" i="2"/>
  <c r="J1889" i="2"/>
  <c r="J1905" i="2"/>
  <c r="J2741" i="2"/>
  <c r="J2845" i="2"/>
  <c r="J3177" i="2"/>
  <c r="J3669" i="2"/>
  <c r="J4149" i="2"/>
  <c r="J4201" i="2"/>
  <c r="J4521" i="2"/>
  <c r="J4529" i="2"/>
  <c r="J4545" i="2"/>
  <c r="J4553" i="2"/>
  <c r="J4601" i="2"/>
  <c r="J4617" i="2"/>
  <c r="J4833" i="2"/>
  <c r="J4993" i="2"/>
  <c r="J5529" i="2"/>
  <c r="J5537" i="2"/>
  <c r="J5733" i="2"/>
  <c r="J5893" i="2"/>
  <c r="J718" i="2"/>
  <c r="J862" i="2"/>
  <c r="J910" i="2"/>
  <c r="J990" i="2"/>
  <c r="J1006" i="2"/>
  <c r="J1038" i="2"/>
  <c r="J747" i="2"/>
  <c r="J385" i="2"/>
  <c r="J1638" i="2"/>
  <c r="J1654" i="2"/>
  <c r="J1662" i="2"/>
  <c r="J46" i="2"/>
  <c r="J1710" i="2"/>
  <c r="J1742" i="2"/>
  <c r="J2972" i="2"/>
  <c r="J4767" i="2"/>
  <c r="J1421" i="2"/>
  <c r="J4109" i="2"/>
  <c r="J1974" i="2"/>
  <c r="J2046" i="2"/>
  <c r="J2094" i="2"/>
  <c r="J6711" i="2"/>
  <c r="J2358" i="2"/>
  <c r="J2717" i="2"/>
  <c r="J2454" i="2"/>
  <c r="J2518" i="2"/>
  <c r="J2566" i="2"/>
  <c r="J2750" i="2"/>
  <c r="J2774" i="2"/>
  <c r="J2950" i="2"/>
  <c r="J2974" i="2"/>
  <c r="J5545" i="2"/>
  <c r="J3110" i="2"/>
  <c r="J3238" i="2"/>
  <c r="J6916" i="2"/>
  <c r="J3646" i="2"/>
  <c r="J3678" i="2"/>
  <c r="J3135" i="2"/>
  <c r="J3685" i="2"/>
  <c r="J3846" i="2"/>
  <c r="J4030" i="2"/>
  <c r="J4038" i="2"/>
  <c r="J4070" i="2"/>
  <c r="J4166" i="2"/>
  <c r="J4358" i="2"/>
  <c r="J5454" i="2"/>
  <c r="J1414" i="2"/>
  <c r="J4614" i="2"/>
  <c r="J2728" i="2"/>
  <c r="J4710" i="2"/>
  <c r="J4774" i="2"/>
  <c r="J4806" i="2"/>
  <c r="J4830" i="2"/>
  <c r="J4886" i="2"/>
  <c r="J1237" i="2"/>
  <c r="J4942" i="2"/>
  <c r="J4232" i="2"/>
  <c r="J4958" i="2"/>
  <c r="J4966" i="2"/>
  <c r="J4982" i="2"/>
  <c r="J5899" i="2"/>
  <c r="J5046" i="2"/>
  <c r="J6589" i="2"/>
  <c r="J5086" i="2"/>
  <c r="J5094" i="2"/>
  <c r="J469" i="2"/>
  <c r="J5110" i="2"/>
  <c r="J5072" i="2"/>
  <c r="J5126" i="2"/>
  <c r="J5150" i="2"/>
  <c r="J5158" i="2"/>
  <c r="J1246" i="2"/>
  <c r="J7048" i="2"/>
  <c r="J5502" i="2"/>
  <c r="J5510" i="2"/>
  <c r="J1547" i="2"/>
  <c r="J7134" i="2"/>
  <c r="J7142" i="2"/>
  <c r="J7150" i="2"/>
  <c r="J7182" i="2"/>
  <c r="J7190" i="2"/>
  <c r="J7198" i="2"/>
  <c r="J7206" i="2"/>
  <c r="J7246" i="2"/>
  <c r="J7254" i="2"/>
  <c r="J7286" i="2"/>
  <c r="J6535" i="2"/>
  <c r="J4668" i="2"/>
  <c r="J5000" i="2"/>
  <c r="J6931" i="2"/>
  <c r="J6987" i="2"/>
  <c r="J5156" i="2"/>
  <c r="J5886" i="2"/>
  <c r="J802" i="2"/>
  <c r="J63" i="2"/>
  <c r="J6531" i="2"/>
  <c r="J535" i="2"/>
  <c r="J103" i="2"/>
  <c r="J119" i="2"/>
  <c r="J5978" i="2"/>
  <c r="J2320" i="2"/>
  <c r="J215" i="2"/>
  <c r="J231" i="2"/>
  <c r="J3418" i="2"/>
  <c r="J287" i="2"/>
  <c r="J2851" i="2"/>
  <c r="J311" i="2"/>
  <c r="J319" i="2"/>
  <c r="J343" i="2"/>
  <c r="J399" i="2"/>
  <c r="J2341" i="2"/>
  <c r="J4845" i="2"/>
  <c r="J479" i="2"/>
  <c r="J543" i="2"/>
  <c r="J551" i="2"/>
  <c r="J567" i="2"/>
  <c r="J591" i="2"/>
  <c r="J607" i="2"/>
  <c r="J639" i="2"/>
  <c r="J647" i="2"/>
  <c r="J5583" i="2"/>
  <c r="J4085" i="2"/>
  <c r="J687" i="2"/>
  <c r="J719" i="2"/>
  <c r="J767" i="2"/>
  <c r="J799" i="2"/>
  <c r="J807" i="2"/>
  <c r="J3475" i="2"/>
  <c r="J839" i="2"/>
  <c r="J863" i="2"/>
  <c r="J879" i="2"/>
  <c r="J4471" i="2"/>
  <c r="J935" i="2"/>
  <c r="J951" i="2"/>
  <c r="J959" i="2"/>
  <c r="J5929" i="2"/>
  <c r="J975" i="2"/>
  <c r="J991" i="2"/>
  <c r="J1007" i="2"/>
  <c r="J964" i="2"/>
  <c r="J633" i="2"/>
  <c r="J1119" i="2"/>
  <c r="J6885" i="2"/>
  <c r="J1143" i="2"/>
  <c r="J2535" i="2"/>
  <c r="J1167" i="2"/>
  <c r="J1175" i="2"/>
  <c r="J1183" i="2"/>
  <c r="J2061" i="2"/>
  <c r="J1207" i="2"/>
  <c r="J1215" i="2"/>
  <c r="J2906" i="2"/>
  <c r="J1239" i="2"/>
  <c r="J1263" i="2"/>
  <c r="J1295" i="2"/>
  <c r="J1327" i="2"/>
  <c r="J1359" i="2"/>
  <c r="J44" i="2"/>
  <c r="J1391" i="2"/>
  <c r="J1439" i="2"/>
  <c r="J1447" i="2"/>
  <c r="J1511" i="2"/>
  <c r="J1551" i="2"/>
  <c r="J2220" i="2"/>
  <c r="J931" i="2"/>
  <c r="J1655" i="2"/>
  <c r="J1663" i="2"/>
  <c r="J1671" i="2"/>
  <c r="J1679" i="2"/>
  <c r="J1695" i="2"/>
  <c r="J1703" i="2"/>
  <c r="J1727" i="2"/>
  <c r="J4944" i="2"/>
  <c r="J1815" i="2"/>
  <c r="J1823" i="2"/>
  <c r="J5030" i="2"/>
  <c r="J1855" i="2"/>
  <c r="J1871" i="2"/>
  <c r="J256" i="2"/>
  <c r="J1919" i="2"/>
  <c r="J1943" i="2"/>
  <c r="J58" i="2"/>
  <c r="J1112" i="2"/>
  <c r="J1975" i="2"/>
  <c r="J4865" i="2"/>
  <c r="J2071" i="2"/>
  <c r="J2079" i="2"/>
  <c r="J2175" i="2"/>
  <c r="J1425" i="2"/>
  <c r="J2135" i="2"/>
  <c r="J3808" i="2"/>
  <c r="J2399" i="2"/>
  <c r="J1920" i="2"/>
  <c r="J2199" i="2"/>
  <c r="J2207" i="2"/>
  <c r="J2239" i="2"/>
  <c r="J2976" i="2"/>
  <c r="J2255" i="2"/>
  <c r="J2263" i="2"/>
  <c r="J2271" i="2"/>
  <c r="J6937" i="2"/>
  <c r="J7002" i="2"/>
  <c r="J2335" i="2"/>
  <c r="J2351" i="2"/>
  <c r="J2375" i="2"/>
  <c r="J4559" i="2"/>
  <c r="J2287" i="2"/>
  <c r="J2407" i="2"/>
  <c r="J2718" i="2"/>
  <c r="J2455" i="2"/>
  <c r="J2463" i="2"/>
  <c r="J2479" i="2"/>
  <c r="J2495" i="2"/>
  <c r="J2503" i="2"/>
  <c r="J2519" i="2"/>
  <c r="J928" i="2"/>
  <c r="J2559" i="2"/>
  <c r="J2567" i="2"/>
  <c r="J2599" i="2"/>
  <c r="J2607" i="2"/>
  <c r="J2671" i="2"/>
  <c r="J4116" i="2"/>
  <c r="J2695" i="2"/>
  <c r="J5981" i="2"/>
  <c r="J4008" i="2"/>
  <c r="J2751" i="2"/>
  <c r="J2759" i="2"/>
  <c r="J2775" i="2"/>
  <c r="J6712" i="2"/>
  <c r="J2799" i="2"/>
  <c r="J2807" i="2"/>
  <c r="J2815" i="2"/>
  <c r="J3606" i="2"/>
  <c r="J2887" i="2"/>
  <c r="J2895" i="2"/>
  <c r="J2903" i="2"/>
  <c r="J7153" i="2"/>
  <c r="J2951" i="2"/>
  <c r="J2959" i="2"/>
  <c r="J79" i="2"/>
  <c r="J2991" i="2"/>
  <c r="J2999" i="2"/>
  <c r="J1507" i="2"/>
  <c r="J939" i="2"/>
  <c r="J1303" i="2"/>
  <c r="J2719" i="2"/>
  <c r="J3055" i="2"/>
  <c r="J3087" i="2"/>
  <c r="J3127" i="2"/>
  <c r="J4755" i="2"/>
  <c r="J3151" i="2"/>
  <c r="J2247" i="2"/>
  <c r="J3191" i="2"/>
  <c r="J3215" i="2"/>
  <c r="J3223" i="2"/>
  <c r="J4580" i="2"/>
  <c r="J3255" i="2"/>
  <c r="J6030" i="2"/>
  <c r="J3279" i="2"/>
  <c r="J3319" i="2"/>
  <c r="J3335" i="2"/>
  <c r="J3351" i="2"/>
  <c r="J3375" i="2"/>
  <c r="J3391" i="2"/>
  <c r="J3407" i="2"/>
  <c r="J3415" i="2"/>
  <c r="J3423" i="2"/>
  <c r="J3917" i="2"/>
  <c r="J3471" i="2"/>
  <c r="J3487" i="2"/>
  <c r="J3503" i="2"/>
  <c r="J3511" i="2"/>
  <c r="J3559" i="2"/>
  <c r="J3567" i="2"/>
  <c r="J3575" i="2"/>
  <c r="J3631" i="2"/>
  <c r="J3671" i="2"/>
  <c r="J225" i="2"/>
  <c r="J3719" i="2"/>
  <c r="J3751" i="2"/>
  <c r="J3791" i="2"/>
  <c r="J3831" i="2"/>
  <c r="J3839" i="2"/>
  <c r="J3847" i="2"/>
  <c r="J3855" i="2"/>
  <c r="J300" i="2"/>
  <c r="J6545" i="2"/>
  <c r="J1083" i="2"/>
  <c r="J216" i="2"/>
  <c r="J3975" i="2"/>
  <c r="J3983" i="2"/>
  <c r="J3991" i="2"/>
  <c r="J4015" i="2"/>
  <c r="J2839" i="2"/>
  <c r="J4031" i="2"/>
  <c r="J2763" i="2"/>
  <c r="J4299" i="2"/>
  <c r="J5017" i="2"/>
  <c r="J6871" i="2"/>
  <c r="J4135" i="2"/>
  <c r="J6575" i="2"/>
  <c r="J4159" i="2"/>
  <c r="J4167" i="2"/>
  <c r="J4191" i="2"/>
  <c r="J4199" i="2"/>
  <c r="J4215" i="2"/>
  <c r="J4279" i="2"/>
  <c r="J2067" i="2"/>
  <c r="J730" i="2"/>
  <c r="J4311" i="2"/>
  <c r="J4335" i="2"/>
  <c r="J4359" i="2"/>
  <c r="J6537" i="2"/>
  <c r="J4399" i="2"/>
  <c r="J6174" i="2"/>
  <c r="J4431" i="2"/>
  <c r="J4439" i="2"/>
  <c r="J5964" i="2"/>
  <c r="J4479" i="2"/>
  <c r="J5455" i="2"/>
  <c r="J4511" i="2"/>
  <c r="J4527" i="2"/>
  <c r="J4535" i="2"/>
  <c r="J4543" i="2"/>
  <c r="J4551" i="2"/>
  <c r="J4615" i="2"/>
  <c r="J5676" i="2"/>
  <c r="J4639" i="2"/>
  <c r="J4647" i="2"/>
  <c r="J4655" i="2"/>
  <c r="J676" i="2"/>
  <c r="J1012" i="2"/>
  <c r="J1393" i="2"/>
  <c r="J4719" i="2"/>
  <c r="J5463" i="2"/>
  <c r="J4743" i="2"/>
  <c r="J4775" i="2"/>
  <c r="J4783" i="2"/>
  <c r="J4815" i="2"/>
  <c r="J4823" i="2"/>
  <c r="J4831" i="2"/>
  <c r="J4839" i="2"/>
  <c r="J6889" i="2"/>
  <c r="J7028" i="2"/>
  <c r="J4919" i="2"/>
  <c r="J4927" i="2"/>
  <c r="J4406" i="2"/>
  <c r="J4959" i="2"/>
  <c r="J4967" i="2"/>
  <c r="J4983" i="2"/>
  <c r="J4999" i="2"/>
  <c r="J5023" i="2"/>
  <c r="J5047" i="2"/>
  <c r="J5079" i="2"/>
  <c r="J5087" i="2"/>
  <c r="J5119" i="2"/>
  <c r="J5127" i="2"/>
  <c r="J5135" i="2"/>
  <c r="J1377" i="2"/>
  <c r="J5191" i="2"/>
  <c r="J5215" i="2"/>
  <c r="J5231" i="2"/>
  <c r="J5239" i="2"/>
  <c r="J1053" i="2"/>
  <c r="J5287" i="2"/>
  <c r="J5295" i="2"/>
  <c r="J422" i="2"/>
  <c r="J5335" i="2"/>
  <c r="J5343" i="2"/>
  <c r="J5351" i="2"/>
  <c r="J5375" i="2"/>
  <c r="J4042" i="2"/>
  <c r="J5423" i="2"/>
  <c r="J5431" i="2"/>
  <c r="J7218" i="2"/>
  <c r="J138" i="2"/>
  <c r="J7051" i="2"/>
  <c r="J5487" i="2"/>
  <c r="J6088" i="2"/>
  <c r="J6548" i="2"/>
  <c r="J5527" i="2"/>
  <c r="J1907" i="2"/>
  <c r="J5551" i="2"/>
  <c r="J5559" i="2"/>
  <c r="J3641" i="2"/>
  <c r="J3188" i="2"/>
  <c r="J5615" i="2"/>
  <c r="J5679" i="2"/>
  <c r="J3134" i="2"/>
  <c r="J1879" i="2"/>
  <c r="J5727" i="2"/>
  <c r="J5735" i="2"/>
  <c r="J5743" i="2"/>
  <c r="J2297" i="2"/>
  <c r="J5759" i="2"/>
  <c r="J5767" i="2"/>
  <c r="J694" i="2"/>
  <c r="J5152" i="2"/>
  <c r="J6146" i="2"/>
  <c r="J5847" i="2"/>
  <c r="J5468" i="2"/>
  <c r="J5919" i="2"/>
  <c r="J6521" i="2"/>
  <c r="J3737" i="2"/>
  <c r="J5943" i="2"/>
  <c r="J3372" i="2"/>
  <c r="J5991" i="2"/>
  <c r="J6015" i="2"/>
  <c r="J6023" i="2"/>
  <c r="J4187" i="2"/>
  <c r="J3241" i="2"/>
  <c r="J5481" i="2"/>
  <c r="J6103" i="2"/>
  <c r="J6151" i="2"/>
  <c r="J6231" i="2"/>
  <c r="J6239" i="2"/>
  <c r="J6263" i="2"/>
  <c r="J6279" i="2"/>
  <c r="J6295" i="2"/>
  <c r="J6303" i="2"/>
  <c r="J177" i="2"/>
  <c r="J6375" i="2"/>
  <c r="J4997" i="2"/>
  <c r="J6415" i="2"/>
  <c r="J6431" i="2"/>
  <c r="J6447" i="2"/>
  <c r="J6455" i="2"/>
  <c r="J6471" i="2"/>
  <c r="J5549" i="2"/>
  <c r="J6487" i="2"/>
  <c r="J6503" i="2"/>
  <c r="J6511" i="2"/>
  <c r="J6558" i="2"/>
  <c r="J6524" i="2"/>
  <c r="J6569" i="2"/>
  <c r="J1093" i="2"/>
  <c r="J6563" i="2"/>
  <c r="J3031" i="2"/>
  <c r="J3764" i="2"/>
  <c r="J6587" i="2"/>
  <c r="J6607" i="2"/>
  <c r="J6635" i="2"/>
  <c r="J6691" i="2"/>
  <c r="J3239" i="2"/>
  <c r="J7247" i="2"/>
  <c r="J64" i="2"/>
  <c r="J72" i="2"/>
  <c r="J96" i="2"/>
  <c r="J120" i="2"/>
  <c r="J6671" i="2"/>
  <c r="J6859" i="2"/>
  <c r="J4004" i="2"/>
  <c r="J3419" i="2"/>
  <c r="J280" i="2"/>
  <c r="J288" i="2"/>
  <c r="J320" i="2"/>
  <c r="J6571" i="2"/>
  <c r="J344" i="2"/>
  <c r="J352" i="2"/>
  <c r="J1884" i="2"/>
  <c r="J209" i="2"/>
  <c r="J5816" i="2"/>
  <c r="J416" i="2"/>
  <c r="J424" i="2"/>
  <c r="J448" i="2"/>
  <c r="J480" i="2"/>
  <c r="J496" i="2"/>
  <c r="J504" i="2"/>
  <c r="J7103" i="2"/>
  <c r="J568" i="2"/>
  <c r="J608" i="2"/>
  <c r="J648" i="2"/>
  <c r="J207" i="2"/>
  <c r="J720" i="2"/>
  <c r="J736" i="2"/>
  <c r="J744" i="2"/>
  <c r="J752" i="2"/>
  <c r="J768" i="2"/>
  <c r="J800" i="2"/>
  <c r="J3490" i="2"/>
  <c r="J840" i="2"/>
  <c r="J824" i="2"/>
  <c r="J872" i="2"/>
  <c r="J936" i="2"/>
  <c r="J960" i="2"/>
  <c r="J976" i="2"/>
  <c r="J1032" i="2"/>
  <c r="J1040" i="2"/>
  <c r="J1048" i="2"/>
  <c r="J3881" i="2"/>
  <c r="J6592" i="2"/>
  <c r="J1080" i="2"/>
  <c r="J3538" i="2"/>
  <c r="J1120" i="2"/>
  <c r="J1144" i="2"/>
  <c r="J2086" i="2"/>
  <c r="J1168" i="2"/>
  <c r="J1176" i="2"/>
  <c r="J1192" i="2"/>
  <c r="J1208" i="2"/>
  <c r="J1216" i="2"/>
  <c r="J5131" i="2"/>
  <c r="J1199" i="2"/>
  <c r="J1240" i="2"/>
  <c r="J1256" i="2"/>
  <c r="J2477" i="2"/>
  <c r="J1272" i="2"/>
  <c r="J1280" i="2"/>
  <c r="J1231" i="2"/>
  <c r="J1368" i="2"/>
  <c r="J1376" i="2"/>
  <c r="J433" i="2"/>
  <c r="J1400" i="2"/>
  <c r="J248" i="2"/>
  <c r="J1424" i="2"/>
  <c r="J846" i="2"/>
  <c r="J1448" i="2"/>
  <c r="J1488" i="2"/>
  <c r="J5175" i="2"/>
  <c r="J1504" i="2"/>
  <c r="J3740" i="2"/>
  <c r="J1576" i="2"/>
  <c r="J1592" i="2"/>
  <c r="J251" i="2"/>
  <c r="J1648" i="2"/>
  <c r="J45" i="2"/>
  <c r="J6588" i="2"/>
  <c r="J1704" i="2"/>
  <c r="J2373" i="2"/>
  <c r="J1720" i="2"/>
  <c r="J1752" i="2"/>
  <c r="J1792" i="2"/>
  <c r="J1816" i="2"/>
  <c r="J1824" i="2"/>
  <c r="J4798" i="2"/>
  <c r="J1856" i="2"/>
  <c r="J1864" i="2"/>
  <c r="J1872" i="2"/>
  <c r="J1888" i="2"/>
  <c r="J1904" i="2"/>
  <c r="J1936" i="2"/>
  <c r="J1186" i="2"/>
  <c r="J2024" i="2"/>
  <c r="J2064" i="2"/>
  <c r="J2072" i="2"/>
  <c r="J2080" i="2"/>
  <c r="J1279" i="2"/>
  <c r="J2144" i="2"/>
  <c r="J2200" i="2"/>
  <c r="J2232" i="2"/>
  <c r="J2240" i="2"/>
  <c r="J3824" i="2"/>
  <c r="J2264" i="2"/>
  <c r="J2272" i="2"/>
  <c r="J2288" i="2"/>
  <c r="J2296" i="2"/>
  <c r="J6159" i="2"/>
  <c r="J2336" i="2"/>
  <c r="J2360" i="2"/>
  <c r="J2368" i="2"/>
  <c r="J2384" i="2"/>
  <c r="J2400" i="2"/>
  <c r="J2416" i="2"/>
  <c r="J3185" i="2"/>
  <c r="J2472" i="2"/>
  <c r="J2488" i="2"/>
  <c r="J2496" i="2"/>
  <c r="J2512" i="2"/>
  <c r="J6228" i="2"/>
  <c r="J2544" i="2"/>
  <c r="J2568" i="2"/>
  <c r="J2600" i="2"/>
  <c r="J2632" i="2"/>
  <c r="J2672" i="2"/>
  <c r="J447" i="2"/>
  <c r="J1427" i="2"/>
  <c r="J2792" i="2"/>
  <c r="J3172" i="2"/>
  <c r="J5842" i="2"/>
  <c r="J2952" i="2"/>
  <c r="J2984" i="2"/>
  <c r="J2992" i="2"/>
  <c r="J690" i="2"/>
  <c r="J3088" i="2"/>
  <c r="J3128" i="2"/>
  <c r="J3144" i="2"/>
  <c r="J996" i="2"/>
  <c r="J3248" i="2"/>
  <c r="J3256" i="2"/>
  <c r="J3280" i="2"/>
  <c r="J2202" i="2"/>
  <c r="J3304" i="2"/>
  <c r="J3336" i="2"/>
  <c r="J449" i="2"/>
  <c r="J3360" i="2"/>
  <c r="J3827" i="2"/>
  <c r="J3376" i="2"/>
  <c r="J3408" i="2"/>
  <c r="J3424" i="2"/>
  <c r="J2482" i="2"/>
  <c r="J3440" i="2"/>
  <c r="J3472" i="2"/>
  <c r="J3496" i="2"/>
  <c r="J3504" i="2"/>
  <c r="J4680" i="2"/>
  <c r="J3552" i="2"/>
  <c r="J3904" i="2"/>
  <c r="J3616" i="2"/>
  <c r="J3624" i="2"/>
  <c r="J3648" i="2"/>
  <c r="J4642" i="2"/>
  <c r="J1902" i="2"/>
  <c r="J3704" i="2"/>
  <c r="J3712" i="2"/>
  <c r="J3115" i="2"/>
  <c r="J5837" i="2"/>
  <c r="J3816" i="2"/>
  <c r="J236" i="2"/>
  <c r="J3840" i="2"/>
  <c r="J3848" i="2"/>
  <c r="J4858" i="2"/>
  <c r="J336" i="2"/>
  <c r="J2490" i="2"/>
  <c r="J3936" i="2"/>
  <c r="J412" i="2"/>
  <c r="J2847" i="2"/>
  <c r="J3992" i="2"/>
  <c r="J5238" i="2"/>
  <c r="J1067" i="2"/>
  <c r="J4024" i="2"/>
  <c r="J4040" i="2"/>
  <c r="J2081" i="2"/>
  <c r="J4136" i="2"/>
  <c r="J4168" i="2"/>
  <c r="J4192" i="2"/>
  <c r="J1375" i="2"/>
  <c r="J4272" i="2"/>
  <c r="J4288" i="2"/>
  <c r="J527" i="2"/>
  <c r="J6046" i="2"/>
  <c r="J4336" i="2"/>
  <c r="J4360" i="2"/>
  <c r="J1980" i="2"/>
  <c r="J2987" i="2"/>
  <c r="J4416" i="2"/>
  <c r="J4424" i="2"/>
  <c r="J4432" i="2"/>
  <c r="J4448" i="2"/>
  <c r="J4480" i="2"/>
  <c r="J2964" i="2"/>
  <c r="J4528" i="2"/>
  <c r="J4544" i="2"/>
  <c r="J4552" i="2"/>
  <c r="J4592" i="2"/>
  <c r="J748" i="2"/>
  <c r="J4624" i="2"/>
  <c r="J4648" i="2"/>
  <c r="J4672" i="2"/>
  <c r="J4688" i="2"/>
  <c r="J4704" i="2"/>
  <c r="J4720" i="2"/>
  <c r="J4736" i="2"/>
  <c r="J4744" i="2"/>
  <c r="J4776" i="2"/>
  <c r="J4784" i="2"/>
  <c r="J4808" i="2"/>
  <c r="J2362" i="2"/>
  <c r="J749" i="2"/>
  <c r="J4840" i="2"/>
  <c r="J4880" i="2"/>
  <c r="J4888" i="2"/>
  <c r="J4920" i="2"/>
  <c r="J4928" i="2"/>
  <c r="J4968" i="2"/>
  <c r="J4976" i="2"/>
  <c r="J4992" i="2"/>
  <c r="J5959" i="2"/>
  <c r="J6728" i="2"/>
  <c r="J6069" i="2"/>
  <c r="J6584" i="2"/>
  <c r="J5080" i="2"/>
  <c r="J5088" i="2"/>
  <c r="J5104" i="2"/>
  <c r="J5136" i="2"/>
  <c r="J4355" i="2"/>
  <c r="J135" i="2"/>
  <c r="J5168" i="2"/>
  <c r="J5192" i="2"/>
  <c r="J5232" i="2"/>
  <c r="J5240" i="2"/>
  <c r="J1657" i="2"/>
  <c r="J5264" i="2"/>
  <c r="J5280" i="2"/>
  <c r="J5344" i="2"/>
  <c r="J5352" i="2"/>
  <c r="J2136" i="2"/>
  <c r="J5376" i="2"/>
  <c r="J5432" i="2"/>
  <c r="J5456" i="2"/>
  <c r="J3878" i="2"/>
  <c r="J2676" i="2"/>
  <c r="J5488" i="2"/>
  <c r="J5496" i="2"/>
  <c r="J5504" i="2"/>
  <c r="J7122" i="2"/>
  <c r="J2998" i="2"/>
  <c r="J5528" i="2"/>
  <c r="J3368" i="2"/>
  <c r="J5552" i="2"/>
  <c r="J5560" i="2"/>
  <c r="J5568" i="2"/>
  <c r="J238" i="2"/>
  <c r="J5616" i="2"/>
  <c r="J5640" i="2"/>
  <c r="J582" i="2"/>
  <c r="J5680" i="2"/>
  <c r="J5696" i="2"/>
  <c r="J4178" i="2"/>
  <c r="J5900" i="2"/>
  <c r="J5728" i="2"/>
  <c r="J5736" i="2"/>
  <c r="J5760" i="2"/>
  <c r="J2921" i="2"/>
  <c r="J5792" i="2"/>
  <c r="J4313" i="2"/>
  <c r="J5977" i="2"/>
  <c r="J5856" i="2"/>
  <c r="J5872" i="2"/>
  <c r="J5904" i="2"/>
  <c r="J5912" i="2"/>
  <c r="J5920" i="2"/>
  <c r="J143" i="2"/>
  <c r="J5936" i="2"/>
  <c r="J5976" i="2"/>
  <c r="J145" i="2"/>
  <c r="J6016" i="2"/>
  <c r="J6032" i="2"/>
  <c r="J166" i="2"/>
  <c r="J6064" i="2"/>
  <c r="J5526" i="2"/>
  <c r="J3016" i="2"/>
  <c r="J2734" i="2"/>
  <c r="J6112" i="2"/>
  <c r="J6128" i="2"/>
  <c r="J6144" i="2"/>
  <c r="J6152" i="2"/>
  <c r="J6773" i="2"/>
  <c r="J6689" i="2"/>
  <c r="J6224" i="2"/>
  <c r="J6232" i="2"/>
  <c r="J6248" i="2"/>
  <c r="J328" i="2"/>
  <c r="J179" i="2"/>
  <c r="J6344" i="2"/>
  <c r="J6376" i="2"/>
  <c r="J4494" i="2"/>
  <c r="J6432" i="2"/>
  <c r="J6448" i="2"/>
  <c r="J6456" i="2"/>
  <c r="J6464" i="2"/>
  <c r="J6472" i="2"/>
  <c r="J6536" i="2"/>
  <c r="J2138" i="2"/>
  <c r="J2277" i="2"/>
  <c r="J6502" i="2"/>
  <c r="J7205" i="2"/>
  <c r="J3659" i="2"/>
  <c r="J6739" i="2"/>
  <c r="J7275" i="2"/>
  <c r="J97" i="2"/>
  <c r="J105" i="2"/>
  <c r="J121" i="2"/>
  <c r="J149" i="2"/>
  <c r="J157" i="2"/>
  <c r="J173" i="2"/>
  <c r="J181" i="2"/>
  <c r="J5138" i="2"/>
  <c r="J3718" i="2"/>
  <c r="J317" i="2"/>
  <c r="J413" i="2"/>
  <c r="J6772" i="2"/>
  <c r="J513" i="2"/>
  <c r="J521" i="2"/>
  <c r="J529" i="2"/>
  <c r="J545" i="2"/>
  <c r="J2700" i="2"/>
  <c r="J605" i="2"/>
  <c r="J845" i="2"/>
  <c r="J853" i="2"/>
  <c r="J861" i="2"/>
  <c r="J925" i="2"/>
  <c r="J933" i="2"/>
  <c r="J949" i="2"/>
  <c r="J973" i="2"/>
  <c r="J981" i="2"/>
  <c r="J989" i="2"/>
  <c r="J1005" i="2"/>
  <c r="J1277" i="2"/>
  <c r="J393" i="2"/>
  <c r="J1573" i="2"/>
  <c r="J1589" i="2"/>
  <c r="J2776" i="2"/>
  <c r="J5832" i="2"/>
  <c r="J1697" i="2"/>
  <c r="J1705" i="2"/>
  <c r="J4103" i="2"/>
  <c r="J1845" i="2"/>
  <c r="J1921" i="2"/>
  <c r="J2709" i="2"/>
  <c r="J6833" i="2"/>
  <c r="J2725" i="2"/>
  <c r="J2761" i="2"/>
  <c r="J4726" i="2"/>
  <c r="J2793" i="2"/>
  <c r="J2817" i="2"/>
  <c r="J2885" i="2"/>
  <c r="J2893" i="2"/>
  <c r="J4816" i="2"/>
  <c r="J2985" i="2"/>
  <c r="J3021" i="2"/>
  <c r="J3029" i="2"/>
  <c r="J4352" i="2"/>
  <c r="J3145" i="2"/>
  <c r="J3253" i="2"/>
  <c r="J3269" i="2"/>
  <c r="J3337" i="2"/>
  <c r="J3353" i="2"/>
  <c r="J3361" i="2"/>
  <c r="J3377" i="2"/>
  <c r="J3385" i="2"/>
  <c r="J3493" i="2"/>
  <c r="J3509" i="2"/>
  <c r="J3517" i="2"/>
  <c r="J3525" i="2"/>
  <c r="J3573" i="2"/>
  <c r="J3589" i="2"/>
  <c r="J3649" i="2"/>
  <c r="J3693" i="2"/>
  <c r="J7071" i="2"/>
  <c r="J3608" i="2"/>
  <c r="J3805" i="2"/>
  <c r="J3873" i="2"/>
  <c r="J305" i="2"/>
  <c r="J3933" i="2"/>
  <c r="J4009" i="2"/>
  <c r="J4017" i="2"/>
  <c r="J4041" i="2"/>
  <c r="J2128" i="2"/>
  <c r="J4021" i="2"/>
  <c r="J5705" i="2"/>
  <c r="J4221" i="2"/>
  <c r="J4253" i="2"/>
  <c r="J4261" i="2"/>
  <c r="J3931" i="2"/>
  <c r="J4277" i="2"/>
  <c r="J4369" i="2"/>
  <c r="J4377" i="2"/>
  <c r="J6105" i="2"/>
  <c r="J4401" i="2"/>
  <c r="J4417" i="2"/>
  <c r="J4425" i="2"/>
  <c r="J4433" i="2"/>
  <c r="J4441" i="2"/>
  <c r="J4481" i="2"/>
  <c r="J4633" i="2"/>
  <c r="J4375" i="2"/>
  <c r="J4649" i="2"/>
  <c r="J4749" i="2"/>
  <c r="J4765" i="2"/>
  <c r="J4773" i="2"/>
  <c r="J4781" i="2"/>
  <c r="J4789" i="2"/>
  <c r="J6520" i="2"/>
  <c r="J4805" i="2"/>
  <c r="J4849" i="2"/>
  <c r="J5144" i="2"/>
  <c r="J4965" i="2"/>
  <c r="J4981" i="2"/>
  <c r="J2770" i="2"/>
  <c r="J5522" i="2"/>
  <c r="J5881" i="2"/>
  <c r="J5109" i="2"/>
  <c r="J5125" i="2"/>
  <c r="J5169" i="2"/>
  <c r="J5193" i="2"/>
  <c r="J553" i="2"/>
  <c r="J5349" i="2"/>
  <c r="J5357" i="2"/>
  <c r="J5373" i="2"/>
  <c r="J5421" i="2"/>
  <c r="J2937" i="2"/>
  <c r="J5489" i="2"/>
  <c r="J6605" i="2"/>
  <c r="J5505" i="2"/>
  <c r="J4952" i="2"/>
  <c r="J5557" i="2"/>
  <c r="J210" i="2"/>
  <c r="J5633" i="2"/>
  <c r="J5258" i="2"/>
  <c r="J5717" i="2"/>
  <c r="J1047" i="2"/>
  <c r="J2262" i="2"/>
  <c r="J5873" i="2"/>
  <c r="J5889" i="2"/>
  <c r="J5913" i="2"/>
  <c r="J5921" i="2"/>
  <c r="J6017" i="2"/>
  <c r="J6033" i="2"/>
  <c r="J6057" i="2"/>
  <c r="J6065" i="2"/>
  <c r="J6125" i="2"/>
  <c r="J6225" i="2"/>
  <c r="J6325" i="2"/>
  <c r="J176" i="2"/>
  <c r="J6373" i="2"/>
  <c r="J7037" i="2"/>
  <c r="J2302" i="2"/>
  <c r="J6457" i="2"/>
  <c r="J6465" i="2"/>
  <c r="J6473" i="2"/>
  <c r="J3664" i="2"/>
  <c r="J190" i="2"/>
  <c r="J6737" i="2"/>
  <c r="J6781" i="2"/>
  <c r="J5479" i="2"/>
  <c r="J6853" i="2"/>
  <c r="J1609" i="2"/>
  <c r="J7013" i="2"/>
  <c r="J7177" i="2"/>
  <c r="J6510" i="2"/>
  <c r="J6751" i="2"/>
  <c r="J6815" i="2"/>
  <c r="J6847" i="2"/>
  <c r="J5635" i="2"/>
  <c r="J6991" i="2"/>
  <c r="J3156" i="2"/>
  <c r="J4902" i="2"/>
  <c r="J538" i="2"/>
  <c r="J1866" i="2"/>
  <c r="J2074" i="2"/>
  <c r="J1948" i="2"/>
  <c r="J2194" i="2"/>
  <c r="J2378" i="2"/>
  <c r="J2442" i="2"/>
  <c r="J2586" i="2"/>
  <c r="J2619" i="2"/>
  <c r="J3754" i="2"/>
  <c r="J4049" i="2"/>
  <c r="J2858" i="2"/>
  <c r="J2898" i="2"/>
  <c r="J2954" i="2"/>
  <c r="J2962" i="2"/>
  <c r="J3026" i="2"/>
  <c r="J3050" i="2"/>
  <c r="J3122" i="2"/>
  <c r="J6915" i="2"/>
  <c r="J1674" i="2"/>
  <c r="J3306" i="2"/>
  <c r="J3370" i="2"/>
  <c r="J3434" i="2"/>
  <c r="J3522" i="2"/>
  <c r="J5439" i="2"/>
  <c r="J3698" i="2"/>
  <c r="J3730" i="2"/>
  <c r="J578" i="2"/>
  <c r="J3834" i="2"/>
  <c r="J3906" i="2"/>
  <c r="J6392" i="2"/>
  <c r="J4082" i="2"/>
  <c r="J4282" i="2"/>
  <c r="J3612" i="2"/>
  <c r="J4442" i="2"/>
  <c r="J4602" i="2"/>
  <c r="J4634" i="2"/>
  <c r="J4730" i="2"/>
  <c r="J4762" i="2"/>
  <c r="J5338" i="2"/>
  <c r="J5346" i="2"/>
  <c r="J5354" i="2"/>
  <c r="J5434" i="2"/>
  <c r="J5498" i="2"/>
  <c r="J5506" i="2"/>
  <c r="J7130" i="2"/>
  <c r="J7154" i="2"/>
  <c r="J7178" i="2"/>
  <c r="J7186" i="2"/>
  <c r="J7202" i="2"/>
  <c r="J5014" i="2"/>
  <c r="J7234" i="2"/>
  <c r="J7242" i="2"/>
  <c r="J7250" i="2"/>
  <c r="J7258" i="2"/>
  <c r="J7290" i="2"/>
  <c r="J4023" i="2"/>
  <c r="J6855" i="2"/>
  <c r="J1417" i="2"/>
  <c r="J7091" i="2"/>
  <c r="J4020" i="2"/>
  <c r="J7163" i="2"/>
  <c r="J7195" i="2"/>
  <c r="J7283" i="2"/>
  <c r="J3" i="2"/>
  <c r="J35" i="2"/>
  <c r="J2403" i="2"/>
  <c r="J324" i="2"/>
  <c r="J99" i="2"/>
  <c r="J107" i="2"/>
  <c r="J123" i="2"/>
  <c r="J3037" i="2"/>
  <c r="J147" i="2"/>
  <c r="J163" i="2"/>
  <c r="J171" i="2"/>
  <c r="J5161" i="2"/>
  <c r="J4640" i="2"/>
  <c r="J211" i="2"/>
  <c r="J6769" i="2"/>
  <c r="J243" i="2"/>
  <c r="J6771" i="2"/>
  <c r="J331" i="2"/>
  <c r="J339" i="2"/>
  <c r="J347" i="2"/>
  <c r="J355" i="2"/>
  <c r="J4043" i="2"/>
  <c r="J379" i="2"/>
  <c r="J395" i="2"/>
  <c r="J403" i="2"/>
  <c r="J6707" i="2"/>
  <c r="J435" i="2"/>
  <c r="J515" i="2"/>
  <c r="J3680" i="2"/>
  <c r="J539" i="2"/>
  <c r="J547" i="2"/>
  <c r="J563" i="2"/>
  <c r="J3449" i="2"/>
  <c r="J587" i="2"/>
  <c r="J619" i="2"/>
  <c r="J643" i="2"/>
  <c r="J37" i="2"/>
  <c r="J691" i="2"/>
  <c r="J3202" i="2"/>
  <c r="J739" i="2"/>
  <c r="J5928" i="2"/>
  <c r="J763" i="2"/>
  <c r="J536" i="2"/>
  <c r="J787" i="2"/>
  <c r="J1054" i="2"/>
  <c r="J803" i="2"/>
  <c r="J811" i="2"/>
  <c r="J827" i="2"/>
  <c r="J843" i="2"/>
  <c r="J923" i="2"/>
  <c r="J955" i="2"/>
  <c r="J987" i="2"/>
  <c r="J1019" i="2"/>
  <c r="J1035" i="2"/>
  <c r="J1051" i="2"/>
  <c r="J5966" i="2"/>
  <c r="J1099" i="2"/>
  <c r="J1107" i="2"/>
  <c r="J1147" i="2"/>
  <c r="J1163" i="2"/>
  <c r="J1195" i="2"/>
  <c r="J1203" i="2"/>
  <c r="J1211" i="2"/>
  <c r="J1219" i="2"/>
  <c r="J1267" i="2"/>
  <c r="J7017" i="2"/>
  <c r="J4630" i="2"/>
  <c r="J1299" i="2"/>
  <c r="J4096" i="2"/>
  <c r="J1379" i="2"/>
  <c r="J1387" i="2"/>
  <c r="J1403" i="2"/>
  <c r="J1411" i="2"/>
  <c r="J3014" i="2"/>
  <c r="J1499" i="2"/>
  <c r="J1515" i="2"/>
  <c r="J1571" i="2"/>
  <c r="J1587" i="2"/>
  <c r="J1595" i="2"/>
  <c r="J1603" i="2"/>
  <c r="J1627" i="2"/>
  <c r="J1699" i="2"/>
  <c r="J1747" i="2"/>
  <c r="J1779" i="2"/>
  <c r="J1787" i="2"/>
  <c r="J1859" i="2"/>
  <c r="J2159" i="2"/>
  <c r="J1883" i="2"/>
  <c r="J1891" i="2"/>
  <c r="J1899" i="2"/>
  <c r="J2856" i="2"/>
  <c r="J1955" i="2"/>
  <c r="J3856" i="2"/>
  <c r="J5998" i="2"/>
  <c r="J5878" i="2"/>
  <c r="J2075" i="2"/>
  <c r="J5544" i="2"/>
  <c r="J3857" i="2"/>
  <c r="J2123" i="2"/>
  <c r="J2034" i="2"/>
  <c r="J2219" i="2"/>
  <c r="J2227" i="2"/>
  <c r="J2235" i="2"/>
  <c r="J2243" i="2"/>
  <c r="J2259" i="2"/>
  <c r="J2104" i="2"/>
  <c r="J2339" i="2"/>
  <c r="J2298" i="2"/>
  <c r="J2387" i="2"/>
  <c r="J6943" i="2"/>
  <c r="J2443" i="2"/>
  <c r="J2467" i="2"/>
  <c r="J2499" i="2"/>
  <c r="J2507" i="2"/>
  <c r="J2523" i="2"/>
  <c r="J2531" i="2"/>
  <c r="J2539" i="2"/>
  <c r="J2587" i="2"/>
  <c r="J2595" i="2"/>
  <c r="J2603" i="2"/>
  <c r="J2611" i="2"/>
  <c r="J1135" i="2"/>
  <c r="J2659" i="2"/>
  <c r="J2667" i="2"/>
  <c r="J2691" i="2"/>
  <c r="J2707" i="2"/>
  <c r="J2715" i="2"/>
  <c r="J2723" i="2"/>
  <c r="J2747" i="2"/>
  <c r="J5482" i="2"/>
  <c r="J2819" i="2"/>
  <c r="J878" i="2"/>
  <c r="J2835" i="2"/>
  <c r="J1461" i="2"/>
  <c r="J2859" i="2"/>
  <c r="J2891" i="2"/>
  <c r="J2939" i="2"/>
  <c r="J1597" i="2"/>
  <c r="J2955" i="2"/>
  <c r="J2963" i="2"/>
  <c r="J2979" i="2"/>
  <c r="J684" i="2"/>
  <c r="J2995" i="2"/>
  <c r="J3019" i="2"/>
  <c r="J3027" i="2"/>
  <c r="J3059" i="2"/>
  <c r="J3107" i="2"/>
  <c r="J234" i="2"/>
  <c r="J3123" i="2"/>
  <c r="J3147" i="2"/>
  <c r="J3163" i="2"/>
  <c r="J6565" i="2"/>
  <c r="J3195" i="2"/>
  <c r="J3227" i="2"/>
  <c r="J3251" i="2"/>
  <c r="J3259" i="2"/>
  <c r="J3267" i="2"/>
  <c r="J1384" i="2"/>
  <c r="J3299" i="2"/>
  <c r="J3323" i="2"/>
  <c r="J3347" i="2"/>
  <c r="J5985" i="2"/>
  <c r="J3363" i="2"/>
  <c r="J3371" i="2"/>
  <c r="J439" i="2"/>
  <c r="J3403" i="2"/>
  <c r="J4843" i="2"/>
  <c r="J3435" i="2"/>
  <c r="J3451" i="2"/>
  <c r="J3459" i="2"/>
  <c r="J3483" i="2"/>
  <c r="J3491" i="2"/>
  <c r="J3579" i="2"/>
  <c r="J1949" i="2"/>
  <c r="J5233" i="2"/>
  <c r="J3688" i="2"/>
  <c r="J2106" i="2"/>
  <c r="J3667" i="2"/>
  <c r="J3683" i="2"/>
  <c r="J3887" i="2"/>
  <c r="J2474" i="2"/>
  <c r="J3723" i="2"/>
  <c r="J2537" i="2"/>
  <c r="J3739" i="2"/>
  <c r="J4169" i="2"/>
  <c r="J674" i="2"/>
  <c r="J5721" i="2"/>
  <c r="J2352" i="2"/>
  <c r="J3835" i="2"/>
  <c r="J3843" i="2"/>
  <c r="J3867" i="2"/>
  <c r="J3883" i="2"/>
  <c r="J3915" i="2"/>
  <c r="J3939" i="2"/>
  <c r="J3947" i="2"/>
  <c r="J675" i="2"/>
  <c r="J7043" i="2"/>
  <c r="J6642" i="2"/>
  <c r="J4011" i="2"/>
  <c r="J4863" i="2"/>
  <c r="J4067" i="2"/>
  <c r="J237" i="2"/>
  <c r="J4083" i="2"/>
  <c r="J3743" i="2"/>
  <c r="J4115" i="2"/>
  <c r="J4155" i="2"/>
  <c r="J3170" i="2"/>
  <c r="J1490" i="2"/>
  <c r="J4623" i="2"/>
  <c r="J4195" i="2"/>
  <c r="J4203" i="2"/>
  <c r="J2380" i="2"/>
  <c r="J4275" i="2"/>
  <c r="J2982" i="2"/>
  <c r="J4307" i="2"/>
  <c r="J4339" i="2"/>
  <c r="J1159" i="2"/>
  <c r="J3960" i="2"/>
  <c r="J4387" i="2"/>
  <c r="J4411" i="2"/>
  <c r="J4427" i="2"/>
  <c r="J4435" i="2"/>
  <c r="J4491" i="2"/>
  <c r="J1345" i="2"/>
  <c r="J4547" i="2"/>
  <c r="J4555" i="2"/>
  <c r="J7065" i="2"/>
  <c r="J6187" i="2"/>
  <c r="J1264" i="2"/>
  <c r="J4595" i="2"/>
  <c r="J4603" i="2"/>
  <c r="J7011" i="2"/>
  <c r="J4675" i="2"/>
  <c r="J4731" i="2"/>
  <c r="J4739" i="2"/>
  <c r="J2540" i="2"/>
  <c r="J1013" i="2"/>
  <c r="J4771" i="2"/>
  <c r="J2161" i="2"/>
  <c r="J1290" i="2"/>
  <c r="J4803" i="2"/>
  <c r="J4811" i="2"/>
  <c r="J6726" i="2"/>
  <c r="J3802" i="2"/>
  <c r="J4883" i="2"/>
  <c r="J7209" i="2"/>
  <c r="J4963" i="2"/>
  <c r="J4379" i="2"/>
  <c r="J5043" i="2"/>
  <c r="J5067" i="2"/>
  <c r="J5099" i="2"/>
  <c r="J6290" i="2"/>
  <c r="J5147" i="2"/>
  <c r="J239" i="2"/>
  <c r="J5339" i="2"/>
  <c r="J5355" i="2"/>
  <c r="J5411" i="2"/>
  <c r="J5419" i="2"/>
  <c r="J5451" i="2"/>
  <c r="J3047" i="2"/>
  <c r="J5491" i="2"/>
  <c r="J5531" i="2"/>
  <c r="J6418" i="2"/>
  <c r="J3258" i="2"/>
  <c r="J4735" i="2"/>
  <c r="J4531" i="2"/>
  <c r="J5723" i="2"/>
  <c r="J5731" i="2"/>
  <c r="J5739" i="2"/>
  <c r="J5747" i="2"/>
  <c r="J5779" i="2"/>
  <c r="J5787" i="2"/>
  <c r="J141" i="2"/>
  <c r="J5803" i="2"/>
  <c r="J5827" i="2"/>
  <c r="J4608" i="2"/>
  <c r="J5891" i="2"/>
  <c r="J5915" i="2"/>
  <c r="J5923" i="2"/>
  <c r="J5955" i="2"/>
  <c r="J5963" i="2"/>
  <c r="J5979" i="2"/>
  <c r="J6043" i="2"/>
  <c r="J6051" i="2"/>
  <c r="J6047" i="2"/>
  <c r="J6067" i="2"/>
  <c r="J1501" i="2"/>
  <c r="J6083" i="2"/>
  <c r="J6099" i="2"/>
  <c r="J6107" i="2"/>
  <c r="J6211" i="2"/>
  <c r="J6227" i="2"/>
  <c r="J6331" i="2"/>
  <c r="J4583" i="2"/>
  <c r="J583" i="2"/>
  <c r="J6467" i="2"/>
  <c r="J6523" i="2"/>
  <c r="J3655" i="2"/>
  <c r="J5535" i="2"/>
  <c r="J4950" i="2"/>
  <c r="J6577" i="2"/>
  <c r="J6699" i="2"/>
  <c r="J6895" i="2"/>
  <c r="J6967" i="2"/>
  <c r="J3033" i="2"/>
  <c r="J7291" i="2"/>
  <c r="J20" i="2"/>
  <c r="J28" i="2"/>
  <c r="J36" i="2"/>
  <c r="J60" i="2"/>
  <c r="J100" i="2"/>
  <c r="J108" i="2"/>
  <c r="J116" i="2"/>
  <c r="J124" i="2"/>
  <c r="J140" i="2"/>
  <c r="J164" i="2"/>
  <c r="J180" i="2"/>
  <c r="J5101" i="2"/>
  <c r="J204" i="2"/>
  <c r="J212" i="2"/>
  <c r="J220" i="2"/>
  <c r="J228" i="2"/>
  <c r="J244" i="2"/>
  <c r="J252" i="2"/>
  <c r="J316" i="2"/>
  <c r="J340" i="2"/>
  <c r="J348" i="2"/>
  <c r="J356" i="2"/>
  <c r="J2965" i="2"/>
  <c r="J5815" i="2"/>
  <c r="J813" i="2"/>
  <c r="J444" i="2"/>
  <c r="J500" i="2"/>
  <c r="J516" i="2"/>
  <c r="J540" i="2"/>
  <c r="J5542" i="2"/>
  <c r="J556" i="2"/>
  <c r="J604" i="2"/>
  <c r="J1613" i="2"/>
  <c r="J6542" i="2"/>
  <c r="J506" i="2"/>
  <c r="J2181" i="2"/>
  <c r="J3999" i="2"/>
  <c r="J756" i="2"/>
  <c r="J3750" i="2"/>
  <c r="J772" i="2"/>
  <c r="J788" i="2"/>
  <c r="J796" i="2"/>
  <c r="J3863" i="2"/>
  <c r="J6486" i="2"/>
  <c r="J828" i="2"/>
  <c r="J660" i="2"/>
  <c r="J908" i="2"/>
  <c r="J924" i="2"/>
  <c r="J932" i="2"/>
  <c r="J804" i="2"/>
  <c r="J972" i="2"/>
  <c r="J988" i="2"/>
  <c r="J1446" i="2"/>
  <c r="J1004" i="2"/>
  <c r="J2827" i="2"/>
  <c r="J1020" i="2"/>
  <c r="J1036" i="2"/>
  <c r="J1052" i="2"/>
  <c r="J812" i="2"/>
  <c r="J3725" i="2"/>
  <c r="J1100" i="2"/>
  <c r="J1108" i="2"/>
  <c r="J1148" i="2"/>
  <c r="J1156" i="2"/>
  <c r="J1164" i="2"/>
  <c r="J3929" i="2"/>
  <c r="J1196" i="2"/>
  <c r="J1204" i="2"/>
  <c r="J1212" i="2"/>
  <c r="J1220" i="2"/>
  <c r="J1252" i="2"/>
  <c r="J5850" i="2"/>
  <c r="J1332" i="2"/>
  <c r="J1340" i="2"/>
  <c r="J1372" i="2"/>
  <c r="J1380" i="2"/>
  <c r="J1388" i="2"/>
  <c r="J6062" i="2"/>
  <c r="J4054" i="2"/>
  <c r="J1428" i="2"/>
  <c r="J1476" i="2"/>
  <c r="J1484" i="2"/>
  <c r="J2935" i="2"/>
  <c r="J1516" i="2"/>
  <c r="J1396" i="2"/>
  <c r="J1532" i="2"/>
  <c r="J1548" i="2"/>
  <c r="J1612" i="2"/>
  <c r="J1636" i="2"/>
  <c r="J1652" i="2"/>
  <c r="J1668" i="2"/>
  <c r="J1676" i="2"/>
  <c r="J1700" i="2"/>
  <c r="J1732" i="2"/>
  <c r="J549" i="2"/>
  <c r="J1788" i="2"/>
  <c r="J5957" i="2"/>
  <c r="J1836" i="2"/>
  <c r="J1844" i="2"/>
  <c r="J1852" i="2"/>
  <c r="J1860" i="2"/>
  <c r="J1876" i="2"/>
  <c r="J5906" i="2"/>
  <c r="J1900" i="2"/>
  <c r="J1916" i="2"/>
  <c r="J6710" i="2"/>
  <c r="J1285" i="2"/>
  <c r="J1964" i="2"/>
  <c r="J2704" i="2"/>
  <c r="J6560" i="2"/>
  <c r="J2810" i="2"/>
  <c r="J2092" i="2"/>
  <c r="J1686" i="2"/>
  <c r="J4790" i="2"/>
  <c r="J3752" i="2"/>
  <c r="J7099" i="2"/>
  <c r="J4026" i="2"/>
  <c r="J6087" i="2"/>
  <c r="J2228" i="2"/>
  <c r="J2244" i="2"/>
  <c r="J2292" i="2"/>
  <c r="J2348" i="2"/>
  <c r="J2356" i="2"/>
  <c r="J5750" i="2"/>
  <c r="J6865" i="2"/>
  <c r="J2388" i="2"/>
  <c r="J2412" i="2"/>
  <c r="J2826" i="2"/>
  <c r="J2492" i="2"/>
  <c r="J2524" i="2"/>
  <c r="J2532" i="2"/>
  <c r="J2556" i="2"/>
  <c r="J2564" i="2"/>
  <c r="J2660" i="2"/>
  <c r="J2668" i="2"/>
  <c r="J2692" i="2"/>
  <c r="J223" i="2"/>
  <c r="J2820" i="2"/>
  <c r="J2948" i="2"/>
  <c r="J6905" i="2"/>
  <c r="J2980" i="2"/>
  <c r="J3012" i="2"/>
  <c r="J4269" i="2"/>
  <c r="J3044" i="2"/>
  <c r="J3084" i="2"/>
  <c r="J3274" i="2"/>
  <c r="J3108" i="2"/>
  <c r="J937" i="2"/>
  <c r="J6242" i="2"/>
  <c r="J3228" i="2"/>
  <c r="J3260" i="2"/>
  <c r="J84" i="2"/>
  <c r="J3284" i="2"/>
  <c r="J3316" i="2"/>
  <c r="J1432" i="2"/>
  <c r="J3412" i="2"/>
  <c r="J3420" i="2"/>
  <c r="J5938" i="2"/>
  <c r="J3468" i="2"/>
  <c r="J3492" i="2"/>
  <c r="J3516" i="2"/>
  <c r="J3628" i="2"/>
  <c r="J3636" i="2"/>
  <c r="J3676" i="2"/>
  <c r="J3692" i="2"/>
  <c r="J3708" i="2"/>
  <c r="J3724" i="2"/>
  <c r="J3732" i="2"/>
  <c r="J4163" i="2"/>
  <c r="J3844" i="2"/>
  <c r="J3860" i="2"/>
  <c r="J3868" i="2"/>
  <c r="J3908" i="2"/>
  <c r="J3916" i="2"/>
  <c r="J3924" i="2"/>
  <c r="J3932" i="2"/>
  <c r="J3940" i="2"/>
  <c r="J4012" i="2"/>
  <c r="J4028" i="2"/>
  <c r="J4036" i="2"/>
  <c r="J4060" i="2"/>
  <c r="J4068" i="2"/>
  <c r="J693" i="2"/>
  <c r="J5518" i="2"/>
  <c r="J4124" i="2"/>
  <c r="J4140" i="2"/>
  <c r="J4156" i="2"/>
  <c r="J4164" i="2"/>
  <c r="J313" i="2"/>
  <c r="J4212" i="2"/>
  <c r="J4252" i="2"/>
  <c r="J4260" i="2"/>
  <c r="J4276" i="2"/>
  <c r="J4308" i="2"/>
  <c r="J4316" i="2"/>
  <c r="J4340" i="2"/>
  <c r="J548" i="2"/>
  <c r="J4436" i="2"/>
  <c r="J4444" i="2"/>
  <c r="J4508" i="2"/>
  <c r="J4540" i="2"/>
  <c r="J1287" i="2"/>
  <c r="J2994" i="2"/>
  <c r="J5049" i="2"/>
  <c r="J4612" i="2"/>
  <c r="J2371" i="2"/>
  <c r="J4666" i="2"/>
  <c r="J1200" i="2"/>
  <c r="J2779" i="2"/>
  <c r="J4676" i="2"/>
  <c r="J4732" i="2"/>
  <c r="J5244" i="2"/>
  <c r="J4772" i="2"/>
  <c r="J4796" i="2"/>
  <c r="J4804" i="2"/>
  <c r="J6727" i="2"/>
  <c r="J2516" i="2"/>
  <c r="J3625" i="2"/>
  <c r="J4932" i="2"/>
  <c r="J5725" i="2"/>
  <c r="J7046" i="2"/>
  <c r="J4964" i="2"/>
  <c r="J1265" i="2"/>
  <c r="J6547" i="2"/>
  <c r="J5020" i="2"/>
  <c r="J5036" i="2"/>
  <c r="J5044" i="2"/>
  <c r="J5068" i="2"/>
  <c r="J5076" i="2"/>
  <c r="J5247" i="2"/>
  <c r="J5100" i="2"/>
  <c r="J5108" i="2"/>
  <c r="J6433" i="2"/>
  <c r="J5623" i="2"/>
  <c r="J5212" i="2"/>
  <c r="J5252" i="2"/>
  <c r="J6060" i="2"/>
  <c r="J5284" i="2"/>
  <c r="J5300" i="2"/>
  <c r="J966" i="2"/>
  <c r="J5332" i="2"/>
  <c r="J5348" i="2"/>
  <c r="J5412" i="2"/>
  <c r="J5420" i="2"/>
  <c r="J2309" i="2"/>
  <c r="J5476" i="2"/>
  <c r="J5484" i="2"/>
  <c r="J5492" i="2"/>
  <c r="J5532" i="2"/>
  <c r="J5564" i="2"/>
  <c r="J5580" i="2"/>
  <c r="J5588" i="2"/>
  <c r="J2261" i="2"/>
  <c r="J2732" i="2"/>
  <c r="J2167" i="2"/>
  <c r="J5668" i="2"/>
  <c r="J2784" i="2"/>
  <c r="J5716" i="2"/>
  <c r="J5724" i="2"/>
  <c r="J5732" i="2"/>
  <c r="J5740" i="2"/>
  <c r="J6672" i="2"/>
  <c r="J1600" i="2"/>
  <c r="J5764" i="2"/>
  <c r="J5772" i="2"/>
  <c r="J5780" i="2"/>
  <c r="J5804" i="2"/>
  <c r="J5812" i="2"/>
  <c r="J5820" i="2"/>
  <c r="J5828" i="2"/>
  <c r="J1877" i="2"/>
  <c r="J5844" i="2"/>
  <c r="J5884" i="2"/>
  <c r="J5892" i="2"/>
  <c r="J1956" i="2"/>
  <c r="J5948" i="2"/>
  <c r="J2381" i="2"/>
  <c r="J5972" i="2"/>
  <c r="J5980" i="2"/>
  <c r="J6036" i="2"/>
  <c r="J6052" i="2"/>
  <c r="J3004" i="2"/>
  <c r="J6076" i="2"/>
  <c r="J6132" i="2"/>
  <c r="J1524" i="2"/>
  <c r="J6212" i="2"/>
  <c r="J1680" i="2"/>
  <c r="J6244" i="2"/>
  <c r="J3113" i="2"/>
  <c r="J6324" i="2"/>
  <c r="J6404" i="2"/>
  <c r="J6436" i="2"/>
  <c r="J6444" i="2"/>
  <c r="J6468" i="2"/>
  <c r="J2848" i="2"/>
  <c r="J6492" i="2"/>
  <c r="J6500" i="2"/>
  <c r="J6508" i="2"/>
  <c r="J5550" i="2"/>
  <c r="J1023" i="2"/>
  <c r="J6532" i="2"/>
  <c r="J6048" i="2"/>
  <c r="J6481" i="2"/>
  <c r="J6556" i="2"/>
  <c r="J6580" i="2"/>
  <c r="J7032" i="2"/>
  <c r="J3937" i="2"/>
  <c r="J7149" i="2"/>
  <c r="J7181" i="2"/>
  <c r="J7197" i="2"/>
  <c r="J7289" i="2"/>
  <c r="J7127" i="2"/>
  <c r="J7223" i="2"/>
  <c r="J101" i="2"/>
  <c r="J117" i="2"/>
  <c r="J125" i="2"/>
  <c r="J1807" i="2"/>
  <c r="J161" i="2"/>
  <c r="J2048" i="2"/>
  <c r="J185" i="2"/>
  <c r="J221" i="2"/>
  <c r="J289" i="2"/>
  <c r="J3023" i="2"/>
  <c r="J321" i="2"/>
  <c r="J417" i="2"/>
  <c r="J425" i="2"/>
  <c r="J6680" i="2"/>
  <c r="J501" i="2"/>
  <c r="J517" i="2"/>
  <c r="J525" i="2"/>
  <c r="J609" i="2"/>
  <c r="J629" i="2"/>
  <c r="J801" i="2"/>
  <c r="J809" i="2"/>
  <c r="J825" i="2"/>
  <c r="J865" i="2"/>
  <c r="J873" i="2"/>
  <c r="J929" i="2"/>
  <c r="J945" i="2"/>
  <c r="J953" i="2"/>
  <c r="J1039" i="2"/>
  <c r="J993" i="2"/>
  <c r="J1009" i="2"/>
  <c r="J6074" i="2"/>
  <c r="J1249" i="2"/>
  <c r="J2095" i="2"/>
  <c r="J1321" i="2"/>
  <c r="J1409" i="2"/>
  <c r="J1433" i="2"/>
  <c r="J1441" i="2"/>
  <c r="J6530" i="2"/>
  <c r="J1509" i="2"/>
  <c r="J1553" i="2"/>
  <c r="J4486" i="2"/>
  <c r="J1593" i="2"/>
  <c r="J1601" i="2"/>
  <c r="J1653" i="2"/>
  <c r="J1677" i="2"/>
  <c r="J7112" i="2"/>
  <c r="J1817" i="2"/>
  <c r="J4497" i="2"/>
  <c r="J2713" i="2"/>
  <c r="J2721" i="2"/>
  <c r="J2805" i="2"/>
  <c r="J2813" i="2"/>
  <c r="J2857" i="2"/>
  <c r="J2905" i="2"/>
  <c r="J2973" i="2"/>
  <c r="J3025" i="2"/>
  <c r="J3149" i="2"/>
  <c r="J3157" i="2"/>
  <c r="J3249" i="2"/>
  <c r="J2382" i="2"/>
  <c r="J3341" i="2"/>
  <c r="J3349" i="2"/>
  <c r="J3365" i="2"/>
  <c r="J3381" i="2"/>
  <c r="J3489" i="2"/>
  <c r="J3513" i="2"/>
  <c r="J3545" i="2"/>
  <c r="J3585" i="2"/>
  <c r="J3645" i="2"/>
  <c r="J2418" i="2"/>
  <c r="J3689" i="2"/>
  <c r="J3741" i="2"/>
  <c r="J2727" i="2"/>
  <c r="J3809" i="2"/>
  <c r="J4224" i="2"/>
  <c r="J3869" i="2"/>
  <c r="J3885" i="2"/>
  <c r="J3755" i="2"/>
  <c r="J4013" i="2"/>
  <c r="J2126" i="2"/>
  <c r="J4029" i="2"/>
  <c r="J4037" i="2"/>
  <c r="J4045" i="2"/>
  <c r="J4081" i="2"/>
  <c r="J94" i="2"/>
  <c r="J4157" i="2"/>
  <c r="J4181" i="2"/>
  <c r="J4225" i="2"/>
  <c r="J4249" i="2"/>
  <c r="J4373" i="2"/>
  <c r="J4397" i="2"/>
  <c r="J4413" i="2"/>
  <c r="J4429" i="2"/>
  <c r="J437" i="2"/>
  <c r="J2769" i="2"/>
  <c r="J6924" i="2"/>
  <c r="J4753" i="2"/>
  <c r="J4652" i="2"/>
  <c r="J4777" i="2"/>
  <c r="J4785" i="2"/>
  <c r="J4801" i="2"/>
  <c r="J6758" i="2"/>
  <c r="J4945" i="2"/>
  <c r="J4953" i="2"/>
  <c r="J4969" i="2"/>
  <c r="J5013" i="2"/>
  <c r="J5021" i="2"/>
  <c r="J5037" i="2"/>
  <c r="J5105" i="2"/>
  <c r="J5121" i="2"/>
  <c r="J5129" i="2"/>
  <c r="J5115" i="2"/>
  <c r="J5213" i="2"/>
  <c r="J5221" i="2"/>
  <c r="J5229" i="2"/>
  <c r="J5237" i="2"/>
  <c r="J5321" i="2"/>
  <c r="J137" i="2"/>
  <c r="J5353" i="2"/>
  <c r="J5361" i="2"/>
  <c r="J5369" i="2"/>
  <c r="J5417" i="2"/>
  <c r="J5433" i="2"/>
  <c r="J5493" i="2"/>
  <c r="J5501" i="2"/>
  <c r="J5509" i="2"/>
  <c r="J3905" i="2"/>
  <c r="J5553" i="2"/>
  <c r="J5577" i="2"/>
  <c r="J5627" i="2"/>
  <c r="J5629" i="2"/>
  <c r="J1599" i="2"/>
  <c r="J1606" i="2"/>
  <c r="J5765" i="2"/>
  <c r="J5773" i="2"/>
  <c r="J5817" i="2"/>
  <c r="J5877" i="2"/>
  <c r="J5909" i="2"/>
  <c r="J5917" i="2"/>
  <c r="J4988" i="2"/>
  <c r="J5961" i="2"/>
  <c r="J4827" i="2"/>
  <c r="J6037" i="2"/>
  <c r="J6061" i="2"/>
  <c r="J2735" i="2"/>
  <c r="J6153" i="2"/>
  <c r="J6161" i="2"/>
  <c r="J6213" i="2"/>
  <c r="J6221" i="2"/>
  <c r="J6249" i="2"/>
  <c r="J174" i="2"/>
  <c r="J6409" i="2"/>
  <c r="J3183" i="2"/>
  <c r="J3155" i="2"/>
  <c r="J6501" i="2"/>
  <c r="J6509" i="2"/>
  <c r="J1849" i="2"/>
  <c r="J4077" i="2"/>
  <c r="J2105" i="2"/>
  <c r="J6637" i="2"/>
  <c r="J6661" i="2"/>
  <c r="J3879" i="2"/>
  <c r="J6693" i="2"/>
  <c r="J235" i="2"/>
  <c r="J6785" i="2"/>
  <c r="J3851" i="2"/>
  <c r="J6881" i="2"/>
  <c r="J1413" i="2"/>
  <c r="J241" i="2"/>
  <c r="J6945" i="2"/>
  <c r="J6993" i="2"/>
  <c r="J4076" i="2"/>
  <c r="J7009" i="2"/>
  <c r="J7029" i="2"/>
  <c r="J5757" i="2"/>
  <c r="J7061" i="2"/>
  <c r="J7089" i="2"/>
  <c r="J7097" i="2"/>
  <c r="J5001" i="2"/>
  <c r="J7185" i="2"/>
  <c r="J7253" i="2"/>
  <c r="J6735" i="2"/>
  <c r="J6767" i="2"/>
  <c r="J6827" i="2"/>
  <c r="J6891" i="2"/>
  <c r="J7007" i="2"/>
  <c r="J7175" i="2"/>
  <c r="J7235" i="2"/>
  <c r="J373" i="2"/>
  <c r="J213" i="2"/>
  <c r="J3946" i="2"/>
  <c r="J10" i="2"/>
  <c r="J4022" i="2"/>
  <c r="J753" i="2"/>
  <c r="J2971" i="2"/>
  <c r="J1401" i="2"/>
  <c r="J1932" i="2"/>
  <c r="J4747" i="2"/>
  <c r="J1649" i="2"/>
  <c r="J1713" i="2"/>
  <c r="J6787" i="2"/>
  <c r="J2414" i="2"/>
  <c r="J6720" i="2"/>
  <c r="J4059" i="2"/>
  <c r="J332" i="2"/>
  <c r="J2836" i="2"/>
  <c r="J5933" i="2"/>
  <c r="J2989" i="2"/>
  <c r="J6139" i="2"/>
  <c r="J3477" i="2"/>
  <c r="J4143" i="2"/>
  <c r="J1708" i="2"/>
  <c r="J1232" i="2"/>
  <c r="J4170" i="2"/>
  <c r="J4093" i="2"/>
  <c r="J4365" i="2"/>
  <c r="J4485" i="2"/>
  <c r="J7120" i="2"/>
  <c r="J4581" i="2"/>
  <c r="J4621" i="2"/>
  <c r="J4173" i="2"/>
  <c r="J5114" i="2"/>
  <c r="J5729" i="2"/>
  <c r="J5045" i="2"/>
  <c r="J134" i="2"/>
  <c r="J2754" i="2"/>
  <c r="J5485" i="2"/>
  <c r="J5613" i="2"/>
  <c r="J5800" i="2"/>
  <c r="J5926" i="2"/>
  <c r="J2069" i="2"/>
  <c r="J1098" i="2"/>
  <c r="J167" i="2"/>
  <c r="J2269" i="2"/>
  <c r="J6245" i="2"/>
  <c r="J2162" i="2"/>
  <c r="J5312" i="2"/>
  <c r="J6741" i="2"/>
  <c r="J361" i="2"/>
  <c r="J4852" i="2"/>
  <c r="J6821" i="2"/>
  <c r="J6869" i="2"/>
  <c r="J1284" i="2"/>
  <c r="J3242" i="2"/>
  <c r="J3773" i="2"/>
  <c r="J6975" i="2"/>
  <c r="J3297" i="2"/>
  <c r="J655" i="2"/>
  <c r="J5573" i="2"/>
  <c r="J281" i="2"/>
  <c r="J5775" i="2"/>
  <c r="J577" i="2"/>
  <c r="J382" i="2"/>
  <c r="J1605" i="2"/>
  <c r="J2577" i="2"/>
  <c r="J1909" i="2"/>
  <c r="J3268" i="2"/>
  <c r="J81" i="2"/>
  <c r="J3137" i="2"/>
  <c r="J6522" i="2"/>
  <c r="J3273" i="2"/>
  <c r="J3285" i="2"/>
  <c r="J3393" i="2"/>
  <c r="J2160" i="2"/>
  <c r="J5593" i="2"/>
  <c r="J3921" i="2"/>
  <c r="J1288" i="2"/>
  <c r="J3753" i="2"/>
  <c r="J2874" i="2"/>
  <c r="J3825" i="2"/>
  <c r="J3865" i="2"/>
  <c r="J4641" i="2"/>
  <c r="J5824" i="2"/>
  <c r="J2107" i="2"/>
  <c r="J4606" i="2"/>
  <c r="J4153" i="2"/>
  <c r="J4185" i="2"/>
  <c r="J2401" i="2"/>
  <c r="J579" i="2"/>
  <c r="J1084" i="2"/>
  <c r="J4809" i="2"/>
  <c r="J4073" i="2"/>
  <c r="J4985" i="2"/>
  <c r="J1060" i="2"/>
  <c r="J2517" i="2"/>
  <c r="J3981" i="2"/>
  <c r="J3362" i="2"/>
  <c r="J3114" i="2"/>
  <c r="J6696" i="2"/>
  <c r="J6516" i="2"/>
  <c r="J3697" i="2"/>
  <c r="J5641" i="2"/>
  <c r="J4179" i="2"/>
  <c r="J2174" i="2"/>
  <c r="J5753" i="2"/>
  <c r="J4951" i="2"/>
  <c r="J5905" i="2"/>
  <c r="J404" i="2"/>
  <c r="J2097" i="2"/>
  <c r="J4977" i="2"/>
  <c r="J2620" i="2"/>
  <c r="J6449" i="2"/>
  <c r="J6756" i="2"/>
  <c r="J5752" i="2"/>
  <c r="J3250" i="2"/>
  <c r="J6551" i="2"/>
  <c r="J6849" i="2"/>
  <c r="J2528" i="2"/>
  <c r="J6921" i="2"/>
  <c r="J1833" i="2"/>
  <c r="J7041" i="2"/>
  <c r="J3793" i="2"/>
  <c r="J6923" i="2"/>
  <c r="P6" i="2"/>
  <c r="Q6" i="2"/>
  <c r="P14" i="2"/>
  <c r="Q14" i="2"/>
  <c r="P22" i="2"/>
  <c r="Q22" i="2"/>
  <c r="P54" i="2"/>
  <c r="Q54" i="2"/>
  <c r="P70" i="2"/>
  <c r="Q70" i="2"/>
  <c r="P86" i="2"/>
  <c r="Q86" i="2"/>
  <c r="P198" i="2"/>
  <c r="Q198" i="2"/>
  <c r="P206" i="2"/>
  <c r="Q206" i="2"/>
  <c r="P222" i="2"/>
  <c r="Q222" i="2"/>
  <c r="P262" i="2"/>
  <c r="Q262" i="2"/>
  <c r="P270" i="2"/>
  <c r="Q270" i="2"/>
  <c r="P278" i="2"/>
  <c r="Q278" i="2"/>
  <c r="P318" i="2"/>
  <c r="Q318" i="2"/>
  <c r="P326" i="2"/>
  <c r="Q326" i="2"/>
  <c r="P334" i="2"/>
  <c r="Q334" i="2"/>
  <c r="P358" i="2"/>
  <c r="Q358" i="2"/>
  <c r="P470" i="2"/>
  <c r="Q470" i="2"/>
  <c r="P494" i="2"/>
  <c r="Q494" i="2"/>
  <c r="P518" i="2"/>
  <c r="Q518" i="2"/>
  <c r="P526" i="2"/>
  <c r="Q526" i="2"/>
  <c r="P534" i="2"/>
  <c r="Q534" i="2"/>
  <c r="P550" i="2"/>
  <c r="Q550" i="2"/>
  <c r="P574" i="2"/>
  <c r="Q574" i="2"/>
  <c r="P590" i="2"/>
  <c r="Q590" i="2"/>
  <c r="P598" i="2"/>
  <c r="Q598" i="2"/>
  <c r="P622" i="2"/>
  <c r="Q622" i="2"/>
  <c r="P670" i="2"/>
  <c r="Q670" i="2"/>
  <c r="P678" i="2"/>
  <c r="Q678" i="2"/>
  <c r="P702" i="2"/>
  <c r="Q702" i="2"/>
  <c r="P710" i="2"/>
  <c r="Q710" i="2"/>
  <c r="P726" i="2"/>
  <c r="Q726" i="2"/>
  <c r="P774" i="2"/>
  <c r="Q774" i="2"/>
  <c r="P814" i="2"/>
  <c r="Q814" i="2"/>
  <c r="P822" i="2"/>
  <c r="Q822" i="2"/>
  <c r="P830" i="2"/>
  <c r="Q830" i="2"/>
  <c r="P838" i="2"/>
  <c r="Q838" i="2"/>
  <c r="P854" i="2"/>
  <c r="Q854" i="2"/>
  <c r="P870" i="2"/>
  <c r="Q870" i="2"/>
  <c r="P886" i="2"/>
  <c r="Q886" i="2"/>
  <c r="P894" i="2"/>
  <c r="Q894" i="2"/>
  <c r="P902" i="2"/>
  <c r="Q902" i="2"/>
  <c r="P918" i="2"/>
  <c r="Q918" i="2"/>
  <c r="P926" i="2"/>
  <c r="Q926" i="2"/>
  <c r="P934" i="2"/>
  <c r="Q934" i="2"/>
  <c r="P942" i="2"/>
  <c r="Q942" i="2"/>
  <c r="P958" i="2"/>
  <c r="Q958" i="2"/>
  <c r="P998" i="2"/>
  <c r="Q998" i="2"/>
  <c r="P1030" i="2"/>
  <c r="Q1030" i="2"/>
  <c r="P1070" i="2"/>
  <c r="Q1070" i="2"/>
  <c r="P1086" i="2"/>
  <c r="Q1086" i="2"/>
  <c r="P1126" i="2"/>
  <c r="Q1126" i="2"/>
  <c r="P1134" i="2"/>
  <c r="Q1134" i="2"/>
  <c r="P1150" i="2"/>
  <c r="Q1150" i="2"/>
  <c r="P1166" i="2"/>
  <c r="Q1166" i="2"/>
  <c r="P1174" i="2"/>
  <c r="Q1174" i="2"/>
  <c r="P1182" i="2"/>
  <c r="Q1182" i="2"/>
  <c r="P1190" i="2"/>
  <c r="Q1190" i="2"/>
  <c r="P1214" i="2"/>
  <c r="Q1214" i="2"/>
  <c r="P1278" i="2"/>
  <c r="Q1278" i="2"/>
  <c r="P1310" i="2"/>
  <c r="Q1310" i="2"/>
  <c r="P1326" i="2"/>
  <c r="Q1326" i="2"/>
  <c r="P1334" i="2"/>
  <c r="Q1334" i="2"/>
  <c r="P1350" i="2"/>
  <c r="Q1350" i="2"/>
  <c r="P1366" i="2"/>
  <c r="Q1366" i="2"/>
  <c r="P1382" i="2"/>
  <c r="Q1382" i="2"/>
  <c r="P1422" i="2"/>
  <c r="Q1422" i="2"/>
  <c r="P1462" i="2"/>
  <c r="Q1462" i="2"/>
  <c r="P1470" i="2"/>
  <c r="Q1470" i="2"/>
  <c r="P1478" i="2"/>
  <c r="Q1478" i="2"/>
  <c r="P1486" i="2"/>
  <c r="Q1486" i="2"/>
  <c r="P1510" i="2"/>
  <c r="Q1510" i="2"/>
  <c r="P1518" i="2"/>
  <c r="Q1518" i="2"/>
  <c r="P1558" i="2"/>
  <c r="Q1558" i="2"/>
  <c r="P1566" i="2"/>
  <c r="Q1566" i="2"/>
  <c r="P1574" i="2"/>
  <c r="Q1574" i="2"/>
  <c r="P1582" i="2"/>
  <c r="Q1582" i="2"/>
  <c r="P1590" i="2"/>
  <c r="Q1590" i="2"/>
  <c r="P1598" i="2"/>
  <c r="Q1598" i="2"/>
  <c r="P1614" i="2"/>
  <c r="Q1614" i="2"/>
  <c r="P1630" i="2"/>
  <c r="Q1630" i="2"/>
  <c r="P1646" i="2"/>
  <c r="Q1646" i="2"/>
  <c r="P1670" i="2"/>
  <c r="Q1670" i="2"/>
  <c r="P1694" i="2"/>
  <c r="Q1694" i="2"/>
  <c r="P1702" i="2"/>
  <c r="Q1702" i="2"/>
  <c r="P1718" i="2"/>
  <c r="Q1718" i="2"/>
  <c r="P1734" i="2"/>
  <c r="Q1734" i="2"/>
  <c r="P1750" i="2"/>
  <c r="Q1750" i="2"/>
  <c r="P1758" i="2"/>
  <c r="Q1758" i="2"/>
  <c r="P1766" i="2"/>
  <c r="Q1766" i="2"/>
  <c r="P1774" i="2"/>
  <c r="Q1774" i="2"/>
  <c r="P1782" i="2"/>
  <c r="Q1782" i="2"/>
  <c r="P1790" i="2"/>
  <c r="Q1790" i="2"/>
  <c r="P1798" i="2"/>
  <c r="Q1798" i="2"/>
  <c r="P1814" i="2"/>
  <c r="Q1814" i="2"/>
  <c r="P1830" i="2"/>
  <c r="Q1830" i="2"/>
  <c r="P1838" i="2"/>
  <c r="Q1838" i="2"/>
  <c r="P1846" i="2"/>
  <c r="Q1846" i="2"/>
  <c r="P1870" i="2"/>
  <c r="Q1870" i="2"/>
  <c r="P1934" i="2"/>
  <c r="Q1934" i="2"/>
  <c r="P1942" i="2"/>
  <c r="Q1942" i="2"/>
  <c r="P1990" i="2"/>
  <c r="Q1990" i="2"/>
  <c r="P1998" i="2"/>
  <c r="Q1998" i="2"/>
  <c r="P2006" i="2"/>
  <c r="Q2006" i="2"/>
  <c r="P2022" i="2"/>
  <c r="Q2022" i="2"/>
  <c r="P2030" i="2"/>
  <c r="Q2030" i="2"/>
  <c r="P2038" i="2"/>
  <c r="Q2038" i="2"/>
  <c r="P2054" i="2"/>
  <c r="Q2054" i="2"/>
  <c r="P2062" i="2"/>
  <c r="Q2062" i="2"/>
  <c r="P2110" i="2"/>
  <c r="Q2110" i="2"/>
  <c r="P2158" i="2"/>
  <c r="Q2158" i="2"/>
  <c r="P2166" i="2"/>
  <c r="Q2166" i="2"/>
  <c r="P2182" i="2"/>
  <c r="Q2182" i="2"/>
  <c r="P2190" i="2"/>
  <c r="Q2190" i="2"/>
  <c r="P2206" i="2"/>
  <c r="Q2206" i="2"/>
  <c r="P2214" i="2"/>
  <c r="Q2214" i="2"/>
  <c r="P2230" i="2"/>
  <c r="Q2230" i="2"/>
  <c r="P2246" i="2"/>
  <c r="Q2246" i="2"/>
  <c r="P2278" i="2"/>
  <c r="Q2278" i="2"/>
  <c r="P2326" i="2"/>
  <c r="Q2326" i="2"/>
  <c r="P2342" i="2"/>
  <c r="Q2342" i="2"/>
  <c r="P2406" i="2"/>
  <c r="Q2406" i="2"/>
  <c r="P2430" i="2"/>
  <c r="Q2430" i="2"/>
  <c r="P2438" i="2"/>
  <c r="Q2438" i="2"/>
  <c r="P2446" i="2"/>
  <c r="Q2446" i="2"/>
  <c r="P2478" i="2"/>
  <c r="Q2478" i="2"/>
  <c r="P2486" i="2"/>
  <c r="Q2486" i="2"/>
  <c r="P2502" i="2"/>
  <c r="Q2502" i="2"/>
  <c r="P2510" i="2"/>
  <c r="Q2510" i="2"/>
  <c r="P2526" i="2"/>
  <c r="Q2526" i="2"/>
  <c r="P2534" i="2"/>
  <c r="Q2534" i="2"/>
  <c r="P2550" i="2"/>
  <c r="Q2550" i="2"/>
  <c r="P2590" i="2"/>
  <c r="Q2590" i="2"/>
  <c r="P2598" i="2"/>
  <c r="Q2598" i="2"/>
  <c r="P2622" i="2"/>
  <c r="Q2622" i="2"/>
  <c r="P2630" i="2"/>
  <c r="Q2630" i="2"/>
  <c r="P2638" i="2"/>
  <c r="Q2638" i="2"/>
  <c r="P2646" i="2"/>
  <c r="Q2646" i="2"/>
  <c r="P2670" i="2"/>
  <c r="Q2670" i="2"/>
  <c r="P2686" i="2"/>
  <c r="Q2686" i="2"/>
  <c r="P2758" i="2"/>
  <c r="Q2758" i="2"/>
  <c r="P2766" i="2"/>
  <c r="Q2766" i="2"/>
  <c r="P2782" i="2"/>
  <c r="Q2782" i="2"/>
  <c r="P2814" i="2"/>
  <c r="Q2814" i="2"/>
  <c r="P2846" i="2"/>
  <c r="Q2846" i="2"/>
  <c r="P2862" i="2"/>
  <c r="Q2862" i="2"/>
  <c r="P2878" i="2"/>
  <c r="Q2878" i="2"/>
  <c r="P2918" i="2"/>
  <c r="Q2918" i="2"/>
  <c r="P2942" i="2"/>
  <c r="Q2942" i="2"/>
  <c r="P2966" i="2"/>
  <c r="Q2966" i="2"/>
  <c r="P3006" i="2"/>
  <c r="Q3006" i="2"/>
  <c r="P3030" i="2"/>
  <c r="Q3030" i="2"/>
  <c r="P3062" i="2"/>
  <c r="Q3062" i="2"/>
  <c r="P3070" i="2"/>
  <c r="Q3070" i="2"/>
  <c r="P3078" i="2"/>
  <c r="Q3078" i="2"/>
  <c r="P3102" i="2"/>
  <c r="Q3102" i="2"/>
  <c r="P3142" i="2"/>
  <c r="Q3142" i="2"/>
  <c r="P3190" i="2"/>
  <c r="Q3190" i="2"/>
  <c r="P3198" i="2"/>
  <c r="Q3198" i="2"/>
  <c r="P3206" i="2"/>
  <c r="Q3206" i="2"/>
  <c r="P3214" i="2"/>
  <c r="Q3214" i="2"/>
  <c r="P3278" i="2"/>
  <c r="Q3278" i="2"/>
  <c r="P3310" i="2"/>
  <c r="Q3310" i="2"/>
  <c r="P3318" i="2"/>
  <c r="Q3318" i="2"/>
  <c r="P3326" i="2"/>
  <c r="Q3326" i="2"/>
  <c r="P3374" i="2"/>
  <c r="Q3374" i="2"/>
  <c r="P3382" i="2"/>
  <c r="Q3382" i="2"/>
  <c r="P3390" i="2"/>
  <c r="Q3390" i="2"/>
  <c r="P3398" i="2"/>
  <c r="Q3398" i="2"/>
  <c r="P3414" i="2"/>
  <c r="Q3414" i="2"/>
  <c r="P3430" i="2"/>
  <c r="Q3430" i="2"/>
  <c r="P3446" i="2"/>
  <c r="Q3446" i="2"/>
  <c r="P3462" i="2"/>
  <c r="Q3462" i="2"/>
  <c r="P3478" i="2"/>
  <c r="Q3478" i="2"/>
  <c r="P3486" i="2"/>
  <c r="Q3486" i="2"/>
  <c r="P3502" i="2"/>
  <c r="Q3502" i="2"/>
  <c r="P3510" i="2"/>
  <c r="Q3510" i="2"/>
  <c r="P3518" i="2"/>
  <c r="Q3518" i="2"/>
  <c r="P3534" i="2"/>
  <c r="Q3534" i="2"/>
  <c r="P3542" i="2"/>
  <c r="Q3542" i="2"/>
  <c r="P3550" i="2"/>
  <c r="Q3550" i="2"/>
  <c r="P3558" i="2"/>
  <c r="Q3558" i="2"/>
  <c r="P3574" i="2"/>
  <c r="Q3574" i="2"/>
  <c r="P3582" i="2"/>
  <c r="Q3582" i="2"/>
  <c r="P3590" i="2"/>
  <c r="Q3590" i="2"/>
  <c r="P3614" i="2"/>
  <c r="Q3614" i="2"/>
  <c r="P3630" i="2"/>
  <c r="Q3630" i="2"/>
  <c r="P3710" i="2"/>
  <c r="Q3710" i="2"/>
  <c r="P3734" i="2"/>
  <c r="Q3734" i="2"/>
  <c r="P3758" i="2"/>
  <c r="Q3758" i="2"/>
  <c r="P3766" i="2"/>
  <c r="Q3766" i="2"/>
  <c r="P3774" i="2"/>
  <c r="Q3774" i="2"/>
  <c r="P3782" i="2"/>
  <c r="Q3782" i="2"/>
  <c r="P3806" i="2"/>
  <c r="Q3806" i="2"/>
  <c r="P3814" i="2"/>
  <c r="Q3814" i="2"/>
  <c r="P3822" i="2"/>
  <c r="Q3822" i="2"/>
  <c r="P3902" i="2"/>
  <c r="Q3902" i="2"/>
  <c r="P3910" i="2"/>
  <c r="Q3910" i="2"/>
  <c r="P3926" i="2"/>
  <c r="Q3926" i="2"/>
  <c r="P3950" i="2"/>
  <c r="Q3950" i="2"/>
  <c r="P3958" i="2"/>
  <c r="Q3958" i="2"/>
  <c r="P3982" i="2"/>
  <c r="Q3982" i="2"/>
  <c r="P4062" i="2"/>
  <c r="Q4062" i="2"/>
  <c r="P4102" i="2"/>
  <c r="Q4102" i="2"/>
  <c r="P4110" i="2"/>
  <c r="Q4110" i="2"/>
  <c r="P4126" i="2"/>
  <c r="Q4126" i="2"/>
  <c r="P4134" i="2"/>
  <c r="Q4134" i="2"/>
  <c r="P4190" i="2"/>
  <c r="Q4190" i="2"/>
  <c r="P4198" i="2"/>
  <c r="Q4198" i="2"/>
  <c r="P4230" i="2"/>
  <c r="Q4230" i="2"/>
  <c r="P4238" i="2"/>
  <c r="Q4238" i="2"/>
  <c r="P4246" i="2"/>
  <c r="Q4246" i="2"/>
  <c r="P4254" i="2"/>
  <c r="Q4254" i="2"/>
  <c r="P4262" i="2"/>
  <c r="Q4262" i="2"/>
  <c r="P4294" i="2"/>
  <c r="Q4294" i="2"/>
  <c r="P4310" i="2"/>
  <c r="Q4310" i="2"/>
  <c r="P4318" i="2"/>
  <c r="Q4318" i="2"/>
  <c r="P4326" i="2"/>
  <c r="Q4326" i="2"/>
  <c r="P4334" i="2"/>
  <c r="Q4334" i="2"/>
  <c r="P4342" i="2"/>
  <c r="Q4342" i="2"/>
  <c r="P4350" i="2"/>
  <c r="Q4350" i="2"/>
  <c r="P18" i="2"/>
  <c r="Q18" i="2"/>
  <c r="P26" i="2"/>
  <c r="Q26" i="2"/>
  <c r="P34" i="2"/>
  <c r="Q34" i="2"/>
  <c r="P50" i="2"/>
  <c r="Q50" i="2"/>
  <c r="P66" i="2"/>
  <c r="Q66" i="2"/>
  <c r="P114" i="2"/>
  <c r="Q114" i="2"/>
  <c r="P130" i="2"/>
  <c r="Q130" i="2"/>
  <c r="P154" i="2"/>
  <c r="Q154" i="2"/>
  <c r="P170" i="2"/>
  <c r="Q170" i="2"/>
  <c r="P178" i="2"/>
  <c r="Q178" i="2"/>
  <c r="P186" i="2"/>
  <c r="Q186" i="2"/>
  <c r="P194" i="2"/>
  <c r="Q194" i="2"/>
  <c r="P218" i="2"/>
  <c r="Q218" i="2"/>
  <c r="P242" i="2"/>
  <c r="Q242" i="2"/>
  <c r="P250" i="2"/>
  <c r="Q250" i="2"/>
  <c r="P266" i="2"/>
  <c r="Q266" i="2"/>
  <c r="P274" i="2"/>
  <c r="Q274" i="2"/>
  <c r="P282" i="2"/>
  <c r="Q282" i="2"/>
  <c r="P290" i="2"/>
  <c r="Q290" i="2"/>
  <c r="P306" i="2"/>
  <c r="Q306" i="2"/>
  <c r="P314" i="2"/>
  <c r="Q314" i="2"/>
  <c r="P322" i="2"/>
  <c r="Q322" i="2"/>
  <c r="P402" i="2"/>
  <c r="Q402" i="2"/>
  <c r="P426" i="2"/>
  <c r="Q426" i="2"/>
  <c r="P442" i="2"/>
  <c r="Q442" i="2"/>
  <c r="P458" i="2"/>
  <c r="Q458" i="2"/>
  <c r="P466" i="2"/>
  <c r="Q466" i="2"/>
  <c r="P474" i="2"/>
  <c r="Q474" i="2"/>
  <c r="P482" i="2"/>
  <c r="Q482" i="2"/>
  <c r="P490" i="2"/>
  <c r="Q490" i="2"/>
  <c r="P498" i="2"/>
  <c r="Q498" i="2"/>
  <c r="P514" i="2"/>
  <c r="Q514" i="2"/>
  <c r="P546" i="2"/>
  <c r="Q546" i="2"/>
  <c r="P594" i="2"/>
  <c r="Q594" i="2"/>
  <c r="P602" i="2"/>
  <c r="Q602" i="2"/>
  <c r="P610" i="2"/>
  <c r="Q610" i="2"/>
  <c r="P634" i="2"/>
  <c r="Q634" i="2"/>
  <c r="P642" i="2"/>
  <c r="Q642" i="2"/>
  <c r="P682" i="2"/>
  <c r="Q682" i="2"/>
  <c r="P698" i="2"/>
  <c r="Q698" i="2"/>
  <c r="P706" i="2"/>
  <c r="Q706" i="2"/>
  <c r="P714" i="2"/>
  <c r="Q714" i="2"/>
  <c r="P762" i="2"/>
  <c r="Q762" i="2"/>
  <c r="P770" i="2"/>
  <c r="Q770" i="2"/>
  <c r="P778" i="2"/>
  <c r="Q778" i="2"/>
  <c r="P786" i="2"/>
  <c r="Q786" i="2"/>
  <c r="P794" i="2"/>
  <c r="Q794" i="2"/>
  <c r="P810" i="2"/>
  <c r="Q810" i="2"/>
  <c r="P818" i="2"/>
  <c r="Q818" i="2"/>
  <c r="P826" i="2"/>
  <c r="Q826" i="2"/>
  <c r="P834" i="2"/>
  <c r="Q834" i="2"/>
  <c r="P842" i="2"/>
  <c r="Q842" i="2"/>
  <c r="P858" i="2"/>
  <c r="Q858" i="2"/>
  <c r="P866" i="2"/>
  <c r="Q866" i="2"/>
  <c r="P874" i="2"/>
  <c r="Q874" i="2"/>
  <c r="P882" i="2"/>
  <c r="Q882" i="2"/>
  <c r="P890" i="2"/>
  <c r="Q890" i="2"/>
  <c r="P898" i="2"/>
  <c r="Q898" i="2"/>
  <c r="P906" i="2"/>
  <c r="Q906" i="2"/>
  <c r="P946" i="2"/>
  <c r="Q946" i="2"/>
  <c r="P962" i="2"/>
  <c r="Q962" i="2"/>
  <c r="P970" i="2"/>
  <c r="Q970" i="2"/>
  <c r="P1010" i="2"/>
  <c r="Q1010" i="2"/>
  <c r="P1106" i="2"/>
  <c r="Q1106" i="2"/>
  <c r="P1122" i="2"/>
  <c r="Q1122" i="2"/>
  <c r="P1130" i="2"/>
  <c r="Q1130" i="2"/>
  <c r="P1138" i="2"/>
  <c r="Q1138" i="2"/>
  <c r="P1154" i="2"/>
  <c r="Q1154" i="2"/>
  <c r="P1178" i="2"/>
  <c r="Q1178" i="2"/>
  <c r="P1194" i="2"/>
  <c r="Q1194" i="2"/>
  <c r="P1266" i="2"/>
  <c r="Q1266" i="2"/>
  <c r="P1274" i="2"/>
  <c r="Q1274" i="2"/>
  <c r="P1282" i="2"/>
  <c r="Q1282" i="2"/>
  <c r="P1306" i="2"/>
  <c r="Q1306" i="2"/>
  <c r="P1314" i="2"/>
  <c r="Q1314" i="2"/>
  <c r="P1322" i="2"/>
  <c r="Q1322" i="2"/>
  <c r="P1330" i="2"/>
  <c r="Q1330" i="2"/>
  <c r="P1346" i="2"/>
  <c r="Q1346" i="2"/>
  <c r="P1450" i="2"/>
  <c r="Q1450" i="2"/>
  <c r="P1458" i="2"/>
  <c r="Q1458" i="2"/>
  <c r="P1466" i="2"/>
  <c r="Q1466" i="2"/>
  <c r="P1474" i="2"/>
  <c r="Q1474" i="2"/>
  <c r="P1482" i="2"/>
  <c r="Q1482" i="2"/>
  <c r="P1498" i="2"/>
  <c r="Q1498" i="2"/>
  <c r="P1554" i="2"/>
  <c r="Q1554" i="2"/>
  <c r="P1562" i="2"/>
  <c r="Q1562" i="2"/>
  <c r="P1578" i="2"/>
  <c r="Q1578" i="2"/>
  <c r="P1618" i="2"/>
  <c r="Q1618" i="2"/>
  <c r="P1634" i="2"/>
  <c r="Q1634" i="2"/>
  <c r="P1642" i="2"/>
  <c r="Q1642" i="2"/>
  <c r="P1650" i="2"/>
  <c r="Q1650" i="2"/>
  <c r="P1658" i="2"/>
  <c r="Q1658" i="2"/>
  <c r="P1690" i="2"/>
  <c r="Q1690" i="2"/>
  <c r="P1698" i="2"/>
  <c r="Q1698" i="2"/>
  <c r="P1730" i="2"/>
  <c r="Q1730" i="2"/>
  <c r="P1762" i="2"/>
  <c r="Q1762" i="2"/>
  <c r="P1770" i="2"/>
  <c r="Q1770" i="2"/>
  <c r="P1778" i="2"/>
  <c r="Q1778" i="2"/>
  <c r="P1802" i="2"/>
  <c r="Q1802" i="2"/>
  <c r="P1826" i="2"/>
  <c r="Q1826" i="2"/>
  <c r="P1874" i="2"/>
  <c r="Q1874" i="2"/>
  <c r="P1922" i="2"/>
  <c r="Q1922" i="2"/>
  <c r="P1946" i="2"/>
  <c r="Q1946" i="2"/>
  <c r="P1954" i="2"/>
  <c r="Q1954" i="2"/>
  <c r="P1962" i="2"/>
  <c r="Q1962" i="2"/>
  <c r="P1994" i="2"/>
  <c r="Q1994" i="2"/>
  <c r="P2002" i="2"/>
  <c r="Q2002" i="2"/>
  <c r="P2010" i="2"/>
  <c r="Q2010" i="2"/>
  <c r="P2050" i="2"/>
  <c r="Q2050" i="2"/>
  <c r="P2058" i="2"/>
  <c r="Q2058" i="2"/>
  <c r="P2082" i="2"/>
  <c r="Q2082" i="2"/>
  <c r="P2122" i="2"/>
  <c r="Q2122" i="2"/>
  <c r="P2170" i="2"/>
  <c r="Q2170" i="2"/>
  <c r="P2178" i="2"/>
  <c r="Q2178" i="2"/>
  <c r="P2210" i="2"/>
  <c r="Q2210" i="2"/>
  <c r="P2226" i="2"/>
  <c r="Q2226" i="2"/>
  <c r="P2242" i="2"/>
  <c r="Q2242" i="2"/>
  <c r="P2290" i="2"/>
  <c r="Q2290" i="2"/>
  <c r="P2314" i="2"/>
  <c r="Q2314" i="2"/>
  <c r="P2322" i="2"/>
  <c r="Q2322" i="2"/>
  <c r="P2338" i="2"/>
  <c r="Q2338" i="2"/>
  <c r="P2346" i="2"/>
  <c r="Q2346" i="2"/>
  <c r="P2354" i="2"/>
  <c r="Q2354" i="2"/>
  <c r="P2370" i="2"/>
  <c r="Q2370" i="2"/>
  <c r="P2394" i="2"/>
  <c r="Q2394" i="2"/>
  <c r="P2410" i="2"/>
  <c r="Q2410" i="2"/>
  <c r="P2426" i="2"/>
  <c r="Q2426" i="2"/>
  <c r="P2434" i="2"/>
  <c r="Q2434" i="2"/>
  <c r="P2466" i="2"/>
  <c r="Q2466" i="2"/>
  <c r="P2506" i="2"/>
  <c r="Q2506" i="2"/>
  <c r="P2522" i="2"/>
  <c r="Q2522" i="2"/>
  <c r="P2538" i="2"/>
  <c r="Q2538" i="2"/>
  <c r="P2546" i="2"/>
  <c r="Q2546" i="2"/>
  <c r="P2554" i="2"/>
  <c r="Q2554" i="2"/>
  <c r="P2562" i="2"/>
  <c r="Q2562" i="2"/>
  <c r="P2594" i="2"/>
  <c r="Q2594" i="2"/>
  <c r="P2602" i="2"/>
  <c r="Q2602" i="2"/>
  <c r="P2626" i="2"/>
  <c r="Q2626" i="2"/>
  <c r="P2634" i="2"/>
  <c r="Q2634" i="2"/>
  <c r="P2642" i="2"/>
  <c r="Q2642" i="2"/>
  <c r="P2650" i="2"/>
  <c r="Q2650" i="2"/>
  <c r="P2682" i="2"/>
  <c r="Q2682" i="2"/>
  <c r="P2730" i="2"/>
  <c r="Q2730" i="2"/>
  <c r="P2786" i="2"/>
  <c r="Q2786" i="2"/>
  <c r="P2842" i="2"/>
  <c r="Q2842" i="2"/>
  <c r="P2866" i="2"/>
  <c r="Q2866" i="2"/>
  <c r="P2882" i="2"/>
  <c r="Q2882" i="2"/>
  <c r="P2914" i="2"/>
  <c r="Q2914" i="2"/>
  <c r="P2922" i="2"/>
  <c r="Q2922" i="2"/>
  <c r="P2930" i="2"/>
  <c r="Q2930" i="2"/>
  <c r="P2946" i="2"/>
  <c r="Q2946" i="2"/>
  <c r="P3018" i="2"/>
  <c r="Q3018" i="2"/>
  <c r="P3034" i="2"/>
  <c r="Q3034" i="2"/>
  <c r="P3058" i="2"/>
  <c r="Q3058" i="2"/>
  <c r="P3066" i="2"/>
  <c r="Q3066" i="2"/>
  <c r="P3074" i="2"/>
  <c r="Q3074" i="2"/>
  <c r="P3082" i="2"/>
  <c r="Q3082" i="2"/>
  <c r="P3090" i="2"/>
  <c r="Q3090" i="2"/>
  <c r="P3106" i="2"/>
  <c r="Q3106" i="2"/>
  <c r="P3186" i="2"/>
  <c r="Q3186" i="2"/>
  <c r="P3210" i="2"/>
  <c r="Q3210" i="2"/>
  <c r="P3218" i="2"/>
  <c r="Q3218" i="2"/>
  <c r="P3234" i="2"/>
  <c r="Q3234" i="2"/>
  <c r="P3314" i="2"/>
  <c r="Q3314" i="2"/>
  <c r="P3330" i="2"/>
  <c r="Q3330" i="2"/>
  <c r="P3338" i="2"/>
  <c r="Q3338" i="2"/>
  <c r="P3346" i="2"/>
  <c r="Q3346" i="2"/>
  <c r="P3378" i="2"/>
  <c r="Q3378" i="2"/>
  <c r="P3386" i="2"/>
  <c r="Q3386" i="2"/>
  <c r="P3402" i="2"/>
  <c r="Q3402" i="2"/>
  <c r="P3410" i="2"/>
  <c r="Q3410" i="2"/>
  <c r="P3442" i="2"/>
  <c r="Q3442" i="2"/>
  <c r="P3450" i="2"/>
  <c r="Q3450" i="2"/>
  <c r="P3458" i="2"/>
  <c r="Q3458" i="2"/>
  <c r="P3466" i="2"/>
  <c r="Q3466" i="2"/>
  <c r="P3474" i="2"/>
  <c r="Q3474" i="2"/>
  <c r="P3498" i="2"/>
  <c r="Q3498" i="2"/>
  <c r="P3506" i="2"/>
  <c r="Q3506" i="2"/>
  <c r="P3530" i="2"/>
  <c r="Q3530" i="2"/>
  <c r="P3546" i="2"/>
  <c r="Q3546" i="2"/>
  <c r="P3562" i="2"/>
  <c r="Q3562" i="2"/>
  <c r="P3578" i="2"/>
  <c r="Q3578" i="2"/>
  <c r="P3602" i="2"/>
  <c r="Q3602" i="2"/>
  <c r="P3634" i="2"/>
  <c r="Q3634" i="2"/>
  <c r="P3658" i="2"/>
  <c r="Q3658" i="2"/>
  <c r="P3674" i="2"/>
  <c r="Q3674" i="2"/>
  <c r="P3722" i="2"/>
  <c r="Q3722" i="2"/>
  <c r="P3762" i="2"/>
  <c r="Q3762" i="2"/>
  <c r="P3770" i="2"/>
  <c r="Q3770" i="2"/>
  <c r="P3778" i="2"/>
  <c r="Q3778" i="2"/>
  <c r="P3898" i="2"/>
  <c r="Q3898" i="2"/>
  <c r="P3914" i="2"/>
  <c r="Q3914" i="2"/>
  <c r="P3930" i="2"/>
  <c r="Q3930" i="2"/>
  <c r="P3962" i="2"/>
  <c r="Q3962" i="2"/>
  <c r="P3970" i="2"/>
  <c r="Q3970" i="2"/>
  <c r="P3978" i="2"/>
  <c r="Q3978" i="2"/>
  <c r="P3986" i="2"/>
  <c r="Q3986" i="2"/>
  <c r="P3994" i="2"/>
  <c r="Q3994" i="2"/>
  <c r="P4002" i="2"/>
  <c r="Q4002" i="2"/>
  <c r="P4018" i="2"/>
  <c r="Q4018" i="2"/>
  <c r="P4034" i="2"/>
  <c r="Q4034" i="2"/>
  <c r="P4050" i="2"/>
  <c r="Q4050" i="2"/>
  <c r="P4106" i="2"/>
  <c r="Q4106" i="2"/>
  <c r="P4122" i="2"/>
  <c r="Q4122" i="2"/>
  <c r="P4130" i="2"/>
  <c r="Q4130" i="2"/>
  <c r="P4146" i="2"/>
  <c r="Q4146" i="2"/>
  <c r="P4194" i="2"/>
  <c r="Q4194" i="2"/>
  <c r="P4202" i="2"/>
  <c r="Q4202" i="2"/>
  <c r="P4218" i="2"/>
  <c r="Q4218" i="2"/>
  <c r="P4234" i="2"/>
  <c r="Q4234" i="2"/>
  <c r="P4242" i="2"/>
  <c r="Q4242" i="2"/>
  <c r="P4250" i="2"/>
  <c r="Q4250" i="2"/>
  <c r="P4266" i="2"/>
  <c r="Q4266" i="2"/>
  <c r="P4314" i="2"/>
  <c r="Q4314" i="2"/>
  <c r="P4322" i="2"/>
  <c r="Q4322" i="2"/>
  <c r="P4330" i="2"/>
  <c r="Q4330" i="2"/>
  <c r="P4346" i="2"/>
  <c r="Q4346" i="2"/>
  <c r="P4366" i="2"/>
  <c r="Q4366" i="2"/>
  <c r="P4382" i="2"/>
  <c r="Q4382" i="2"/>
  <c r="P4390" i="2"/>
  <c r="Q4390" i="2"/>
  <c r="P4422" i="2"/>
  <c r="Q4422" i="2"/>
  <c r="P4430" i="2"/>
  <c r="Q4430" i="2"/>
  <c r="P4438" i="2"/>
  <c r="Q4438" i="2"/>
  <c r="P4446" i="2"/>
  <c r="Q4446" i="2"/>
  <c r="P4454" i="2"/>
  <c r="Q4454" i="2"/>
  <c r="P4462" i="2"/>
  <c r="Q4462" i="2"/>
  <c r="P4470" i="2"/>
  <c r="Q4470" i="2"/>
  <c r="P4502" i="2"/>
  <c r="Q4502" i="2"/>
  <c r="P4550" i="2"/>
  <c r="Q4550" i="2"/>
  <c r="P4598" i="2"/>
  <c r="Q4598" i="2"/>
  <c r="P4638" i="2"/>
  <c r="Q4638" i="2"/>
  <c r="P4646" i="2"/>
  <c r="Q4646" i="2"/>
  <c r="P4654" i="2"/>
  <c r="Q4654" i="2"/>
  <c r="P4670" i="2"/>
  <c r="Q4670" i="2"/>
  <c r="P4686" i="2"/>
  <c r="Q4686" i="2"/>
  <c r="P4694" i="2"/>
  <c r="Q4694" i="2"/>
  <c r="P4702" i="2"/>
  <c r="Q4702" i="2"/>
  <c r="P4758" i="2"/>
  <c r="Q4758" i="2"/>
  <c r="P4766" i="2"/>
  <c r="Q4766" i="2"/>
  <c r="P4862" i="2"/>
  <c r="Q4862" i="2"/>
  <c r="P4894" i="2"/>
  <c r="Q4894" i="2"/>
  <c r="P4910" i="2"/>
  <c r="Q4910" i="2"/>
  <c r="P4918" i="2"/>
  <c r="Q4918" i="2"/>
  <c r="P4926" i="2"/>
  <c r="Q4926" i="2"/>
  <c r="P4934" i="2"/>
  <c r="Q4934" i="2"/>
  <c r="P4990" i="2"/>
  <c r="Q4990" i="2"/>
  <c r="P4998" i="2"/>
  <c r="Q4998" i="2"/>
  <c r="P5006" i="2"/>
  <c r="Q5006" i="2"/>
  <c r="P5062" i="2"/>
  <c r="Q5062" i="2"/>
  <c r="P5070" i="2"/>
  <c r="Q5070" i="2"/>
  <c r="P5078" i="2"/>
  <c r="Q5078" i="2"/>
  <c r="P5134" i="2"/>
  <c r="Q5134" i="2"/>
  <c r="P5142" i="2"/>
  <c r="Q5142" i="2"/>
  <c r="P5182" i="2"/>
  <c r="Q5182" i="2"/>
  <c r="P5190" i="2"/>
  <c r="Q5190" i="2"/>
  <c r="P5206" i="2"/>
  <c r="Q5206" i="2"/>
  <c r="P5214" i="2"/>
  <c r="Q5214" i="2"/>
  <c r="P5262" i="2"/>
  <c r="Q5262" i="2"/>
  <c r="P5270" i="2"/>
  <c r="Q5270" i="2"/>
  <c r="P5278" i="2"/>
  <c r="Q5278" i="2"/>
  <c r="P5286" i="2"/>
  <c r="Q5286" i="2"/>
  <c r="P5302" i="2"/>
  <c r="Q5302" i="2"/>
  <c r="P5310" i="2"/>
  <c r="Q5310" i="2"/>
  <c r="P5326" i="2"/>
  <c r="Q5326" i="2"/>
  <c r="P5334" i="2"/>
  <c r="Q5334" i="2"/>
  <c r="P5342" i="2"/>
  <c r="Q5342" i="2"/>
  <c r="P5350" i="2"/>
  <c r="Q5350" i="2"/>
  <c r="P5358" i="2"/>
  <c r="Q5358" i="2"/>
  <c r="P5366" i="2"/>
  <c r="Q5366" i="2"/>
  <c r="P5382" i="2"/>
  <c r="Q5382" i="2"/>
  <c r="P5390" i="2"/>
  <c r="Q5390" i="2"/>
  <c r="P5398" i="2"/>
  <c r="Q5398" i="2"/>
  <c r="P5406" i="2"/>
  <c r="Q5406" i="2"/>
  <c r="P5414" i="2"/>
  <c r="Q5414" i="2"/>
  <c r="P5438" i="2"/>
  <c r="Q5438" i="2"/>
  <c r="P5566" i="2"/>
  <c r="Q5566" i="2"/>
  <c r="P5630" i="2"/>
  <c r="Q5630" i="2"/>
  <c r="P5646" i="2"/>
  <c r="Q5646" i="2"/>
  <c r="P5654" i="2"/>
  <c r="Q5654" i="2"/>
  <c r="P5670" i="2"/>
  <c r="Q5670" i="2"/>
  <c r="P5686" i="2"/>
  <c r="Q5686" i="2"/>
  <c r="P5702" i="2"/>
  <c r="Q5702" i="2"/>
  <c r="P5710" i="2"/>
  <c r="Q5710" i="2"/>
  <c r="P5718" i="2"/>
  <c r="Q5718" i="2"/>
  <c r="P5734" i="2"/>
  <c r="Q5734" i="2"/>
  <c r="P5782" i="2"/>
  <c r="Q5782" i="2"/>
  <c r="P5798" i="2"/>
  <c r="Q5798" i="2"/>
  <c r="P5814" i="2"/>
  <c r="Q5814" i="2"/>
  <c r="P5854" i="2"/>
  <c r="Q5854" i="2"/>
  <c r="P5862" i="2"/>
  <c r="Q5862" i="2"/>
  <c r="P5870" i="2"/>
  <c r="Q5870" i="2"/>
  <c r="P5894" i="2"/>
  <c r="Q5894" i="2"/>
  <c r="P6006" i="2"/>
  <c r="Q6006" i="2"/>
  <c r="P6014" i="2"/>
  <c r="Q6014" i="2"/>
  <c r="P6038" i="2"/>
  <c r="Q6038" i="2"/>
  <c r="P6070" i="2"/>
  <c r="Q6070" i="2"/>
  <c r="P6086" i="2"/>
  <c r="Q6086" i="2"/>
  <c r="P6102" i="2"/>
  <c r="Q6102" i="2"/>
  <c r="P6118" i="2"/>
  <c r="Q6118" i="2"/>
  <c r="P6142" i="2"/>
  <c r="Q6142" i="2"/>
  <c r="P6166" i="2"/>
  <c r="Q6166" i="2"/>
  <c r="P6206" i="2"/>
  <c r="Q6206" i="2"/>
  <c r="P6222" i="2"/>
  <c r="Q6222" i="2"/>
  <c r="P6238" i="2"/>
  <c r="Q6238" i="2"/>
  <c r="P6254" i="2"/>
  <c r="Q6254" i="2"/>
  <c r="P6270" i="2"/>
  <c r="Q6270" i="2"/>
  <c r="P6286" i="2"/>
  <c r="Q6286" i="2"/>
  <c r="P6318" i="2"/>
  <c r="Q6318" i="2"/>
  <c r="P6350" i="2"/>
  <c r="Q6350" i="2"/>
  <c r="P6358" i="2"/>
  <c r="Q6358" i="2"/>
  <c r="P6366" i="2"/>
  <c r="Q6366" i="2"/>
  <c r="P6382" i="2"/>
  <c r="Q6382" i="2"/>
  <c r="P6406" i="2"/>
  <c r="Q6406" i="2"/>
  <c r="P6414" i="2"/>
  <c r="Q6414" i="2"/>
  <c r="P6430" i="2"/>
  <c r="Q6430" i="2"/>
  <c r="P6454" i="2"/>
  <c r="Q6454" i="2"/>
  <c r="P6462" i="2"/>
  <c r="Q6462" i="2"/>
  <c r="P6478" i="2"/>
  <c r="Q6478" i="2"/>
  <c r="P6550" i="2"/>
  <c r="Q6550" i="2"/>
  <c r="P6614" i="2"/>
  <c r="Q6614" i="2"/>
  <c r="P6622" i="2"/>
  <c r="Q6622" i="2"/>
  <c r="P6630" i="2"/>
  <c r="Q6630" i="2"/>
  <c r="P6662" i="2"/>
  <c r="Q6662" i="2"/>
  <c r="P6678" i="2"/>
  <c r="Q6678" i="2"/>
  <c r="P6702" i="2"/>
  <c r="Q6702" i="2"/>
  <c r="P6774" i="2"/>
  <c r="Q6774" i="2"/>
  <c r="P6806" i="2"/>
  <c r="Q6806" i="2"/>
  <c r="P6814" i="2"/>
  <c r="Q6814" i="2"/>
  <c r="P6822" i="2"/>
  <c r="Q6822" i="2"/>
  <c r="P6830" i="2"/>
  <c r="Q6830" i="2"/>
  <c r="P6838" i="2"/>
  <c r="Q6838" i="2"/>
  <c r="P6846" i="2"/>
  <c r="Q6846" i="2"/>
  <c r="P6942" i="2"/>
  <c r="Q6942" i="2"/>
  <c r="P6950" i="2"/>
  <c r="Q6950" i="2"/>
  <c r="P6958" i="2"/>
  <c r="Q6958" i="2"/>
  <c r="P6966" i="2"/>
  <c r="Q6966" i="2"/>
  <c r="P6982" i="2"/>
  <c r="Q6982" i="2"/>
  <c r="P6990" i="2"/>
  <c r="Q6990" i="2"/>
  <c r="P6998" i="2"/>
  <c r="Q6998" i="2"/>
  <c r="P7030" i="2"/>
  <c r="Q7030" i="2"/>
  <c r="P7054" i="2"/>
  <c r="Q7054" i="2"/>
  <c r="P7078" i="2"/>
  <c r="Q7078" i="2"/>
  <c r="P7086" i="2"/>
  <c r="Q7086" i="2"/>
  <c r="P7102" i="2"/>
  <c r="Q7102" i="2"/>
  <c r="P7110" i="2"/>
  <c r="Q7110" i="2"/>
  <c r="P7158" i="2"/>
  <c r="Q7158" i="2"/>
  <c r="P7166" i="2"/>
  <c r="Q7166" i="2"/>
  <c r="P7174" i="2"/>
  <c r="Q7174" i="2"/>
  <c r="P7230" i="2"/>
  <c r="Q7230" i="2"/>
  <c r="P7238" i="2"/>
  <c r="Q7238" i="2"/>
  <c r="P7262" i="2"/>
  <c r="Q7262" i="2"/>
  <c r="P7270" i="2"/>
  <c r="Q7270" i="2"/>
  <c r="P7278" i="2"/>
  <c r="Q7278" i="2"/>
  <c r="P15" i="2"/>
  <c r="Q15" i="2"/>
  <c r="P23" i="2"/>
  <c r="Q23" i="2"/>
  <c r="P31" i="2"/>
  <c r="Q31" i="2"/>
  <c r="P7146" i="2"/>
  <c r="Q7146" i="2"/>
  <c r="P55" i="2"/>
  <c r="Q55" i="2"/>
  <c r="P87" i="2"/>
  <c r="Q87" i="2"/>
  <c r="P95" i="2"/>
  <c r="Q95" i="2"/>
  <c r="P103" i="2"/>
  <c r="Q103" i="2"/>
  <c r="P6914" i="2"/>
  <c r="Q6914" i="2"/>
  <c r="P151" i="2"/>
  <c r="Q151" i="2"/>
  <c r="P183" i="2"/>
  <c r="Q183" i="2"/>
  <c r="P191" i="2"/>
  <c r="Q191" i="2"/>
  <c r="P231" i="2"/>
  <c r="Q231" i="2"/>
  <c r="P255" i="2"/>
  <c r="Q255" i="2"/>
  <c r="P263" i="2"/>
  <c r="Q263" i="2"/>
  <c r="P271" i="2"/>
  <c r="Q271" i="2"/>
  <c r="P279" i="2"/>
  <c r="Q279" i="2"/>
  <c r="P295" i="2"/>
  <c r="Q295" i="2"/>
  <c r="P2851" i="2"/>
  <c r="Q2851" i="2"/>
  <c r="P327" i="2"/>
  <c r="Q327" i="2"/>
  <c r="P335" i="2"/>
  <c r="Q335" i="2"/>
  <c r="P351" i="2"/>
  <c r="Q351" i="2"/>
  <c r="P359" i="2"/>
  <c r="Q359" i="2"/>
  <c r="P367" i="2"/>
  <c r="Q367" i="2"/>
  <c r="P383" i="2"/>
  <c r="Q383" i="2"/>
  <c r="P2341" i="2"/>
  <c r="Q2341" i="2"/>
  <c r="P3432" i="2"/>
  <c r="Q3432" i="2"/>
  <c r="P455" i="2"/>
  <c r="Q455" i="2"/>
  <c r="P471" i="2"/>
  <c r="Q471" i="2"/>
  <c r="P487" i="2"/>
  <c r="Q487" i="2"/>
  <c r="P495" i="2"/>
  <c r="Q495" i="2"/>
  <c r="P503" i="2"/>
  <c r="Q503" i="2"/>
  <c r="P511" i="2"/>
  <c r="Q511" i="2"/>
  <c r="P559" i="2"/>
  <c r="Q559" i="2"/>
  <c r="P599" i="2"/>
  <c r="Q599" i="2"/>
  <c r="P615" i="2"/>
  <c r="Q615" i="2"/>
  <c r="P623" i="2"/>
  <c r="Q623" i="2"/>
  <c r="P631" i="2"/>
  <c r="Q631" i="2"/>
  <c r="P639" i="2"/>
  <c r="Q639" i="2"/>
  <c r="P5583" i="2"/>
  <c r="Q5583" i="2"/>
  <c r="P3452" i="2"/>
  <c r="Q3452" i="2"/>
  <c r="P703" i="2"/>
  <c r="Q703" i="2"/>
  <c r="P711" i="2"/>
  <c r="Q711" i="2"/>
  <c r="P727" i="2"/>
  <c r="Q727" i="2"/>
  <c r="P735" i="2"/>
  <c r="Q735" i="2"/>
  <c r="P2157" i="2"/>
  <c r="Q2157" i="2"/>
  <c r="P751" i="2"/>
  <c r="Q751" i="2"/>
  <c r="P767" i="2"/>
  <c r="Q767" i="2"/>
  <c r="P775" i="2"/>
  <c r="Q775" i="2"/>
  <c r="P783" i="2"/>
  <c r="Q783" i="2"/>
  <c r="P815" i="2"/>
  <c r="Q815" i="2"/>
  <c r="P831" i="2"/>
  <c r="Q831" i="2"/>
  <c r="P847" i="2"/>
  <c r="Q847" i="2"/>
  <c r="P855" i="2"/>
  <c r="Q855" i="2"/>
  <c r="P863" i="2"/>
  <c r="Q863" i="2"/>
  <c r="P871" i="2"/>
  <c r="Q871" i="2"/>
  <c r="P887" i="2"/>
  <c r="Q887" i="2"/>
  <c r="P895" i="2"/>
  <c r="Q895" i="2"/>
  <c r="P911" i="2"/>
  <c r="Q911" i="2"/>
  <c r="P919" i="2"/>
  <c r="Q919" i="2"/>
  <c r="P927" i="2"/>
  <c r="Q927" i="2"/>
  <c r="P935" i="2"/>
  <c r="Q935" i="2"/>
  <c r="P943" i="2"/>
  <c r="Q943" i="2"/>
  <c r="P959" i="2"/>
  <c r="Q959" i="2"/>
  <c r="P983" i="2"/>
  <c r="Q983" i="2"/>
  <c r="P999" i="2"/>
  <c r="Q999" i="2"/>
  <c r="P1015" i="2"/>
  <c r="Q1015" i="2"/>
  <c r="P1031" i="2"/>
  <c r="Q1031" i="2"/>
  <c r="P247" i="2"/>
  <c r="Q247" i="2"/>
  <c r="P1055" i="2"/>
  <c r="Q1055" i="2"/>
  <c r="P1063" i="2"/>
  <c r="Q1063" i="2"/>
  <c r="P964" i="2"/>
  <c r="Q964" i="2"/>
  <c r="P1079" i="2"/>
  <c r="Q1079" i="2"/>
  <c r="P1087" i="2"/>
  <c r="Q1087" i="2"/>
  <c r="P633" i="2"/>
  <c r="Q633" i="2"/>
  <c r="P1127" i="2"/>
  <c r="Q1127" i="2"/>
  <c r="P1143" i="2"/>
  <c r="Q1143" i="2"/>
  <c r="P1191" i="2"/>
  <c r="Q1191" i="2"/>
  <c r="P1223" i="2"/>
  <c r="Q1223" i="2"/>
  <c r="P1239" i="2"/>
  <c r="Q1239" i="2"/>
  <c r="P1247" i="2"/>
  <c r="Q1247" i="2"/>
  <c r="P1311" i="2"/>
  <c r="Q1311" i="2"/>
  <c r="P1319" i="2"/>
  <c r="Q1319" i="2"/>
  <c r="P1343" i="2"/>
  <c r="Q1343" i="2"/>
  <c r="P1351" i="2"/>
  <c r="Q1351" i="2"/>
  <c r="P1367" i="2"/>
  <c r="Q1367" i="2"/>
  <c r="P1391" i="2"/>
  <c r="Q1391" i="2"/>
  <c r="P1399" i="2"/>
  <c r="Q1399" i="2"/>
  <c r="P1431" i="2"/>
  <c r="Q1431" i="2"/>
  <c r="P1439" i="2"/>
  <c r="Q1439" i="2"/>
  <c r="P1455" i="2"/>
  <c r="Q1455" i="2"/>
  <c r="P1463" i="2"/>
  <c r="Q1463" i="2"/>
  <c r="P1471" i="2"/>
  <c r="Q1471" i="2"/>
  <c r="P1479" i="2"/>
  <c r="Q1479" i="2"/>
  <c r="P1487" i="2"/>
  <c r="Q1487" i="2"/>
  <c r="P1503" i="2"/>
  <c r="Q1503" i="2"/>
  <c r="P1519" i="2"/>
  <c r="Q1519" i="2"/>
  <c r="P1543" i="2"/>
  <c r="Q1543" i="2"/>
  <c r="P1559" i="2"/>
  <c r="Q1559" i="2"/>
  <c r="P1567" i="2"/>
  <c r="Q1567" i="2"/>
  <c r="P3786" i="2"/>
  <c r="Q3786" i="2"/>
  <c r="P1583" i="2"/>
  <c r="Q1583" i="2"/>
  <c r="P1591" i="2"/>
  <c r="Q1591" i="2"/>
  <c r="P1607" i="2"/>
  <c r="Q1607" i="2"/>
  <c r="P1623" i="2"/>
  <c r="Q1623" i="2"/>
  <c r="P931" i="2"/>
  <c r="Q931" i="2"/>
  <c r="P1639" i="2"/>
  <c r="Q1639" i="2"/>
  <c r="P1647" i="2"/>
  <c r="Q1647" i="2"/>
  <c r="P1671" i="2"/>
  <c r="Q1671" i="2"/>
  <c r="P1687" i="2"/>
  <c r="Q1687" i="2"/>
  <c r="P1695" i="2"/>
  <c r="Q1695" i="2"/>
  <c r="P1711" i="2"/>
  <c r="Q1711" i="2"/>
  <c r="P1719" i="2"/>
  <c r="Q1719" i="2"/>
  <c r="P1735" i="2"/>
  <c r="Q1735" i="2"/>
  <c r="P1743" i="2"/>
  <c r="Q1743" i="2"/>
  <c r="P1759" i="2"/>
  <c r="Q1759" i="2"/>
  <c r="P1767" i="2"/>
  <c r="Q1767" i="2"/>
  <c r="P1775" i="2"/>
  <c r="Q1775" i="2"/>
  <c r="P1783" i="2"/>
  <c r="Q1783" i="2"/>
  <c r="P1791" i="2"/>
  <c r="Q1791" i="2"/>
  <c r="P1799" i="2"/>
  <c r="Q1799" i="2"/>
  <c r="P4944" i="2"/>
  <c r="Q4944" i="2"/>
  <c r="P5030" i="2"/>
  <c r="Q5030" i="2"/>
  <c r="P1839" i="2"/>
  <c r="Q1839" i="2"/>
  <c r="P1847" i="2"/>
  <c r="Q1847" i="2"/>
  <c r="P1863" i="2"/>
  <c r="Q1863" i="2"/>
  <c r="P1887" i="2"/>
  <c r="Q1887" i="2"/>
  <c r="P1903" i="2"/>
  <c r="Q1903" i="2"/>
  <c r="P256" i="2"/>
  <c r="Q256" i="2"/>
  <c r="P1935" i="2"/>
  <c r="Q1935" i="2"/>
  <c r="P58" i="2"/>
  <c r="Q58" i="2"/>
  <c r="P1959" i="2"/>
  <c r="Q1959" i="2"/>
  <c r="P1991" i="2"/>
  <c r="Q1991" i="2"/>
  <c r="P1999" i="2"/>
  <c r="Q1999" i="2"/>
  <c r="P2007" i="2"/>
  <c r="Q2007" i="2"/>
  <c r="P2031" i="2"/>
  <c r="Q2031" i="2"/>
  <c r="P2039" i="2"/>
  <c r="Q2039" i="2"/>
  <c r="P2055" i="2"/>
  <c r="Q2055" i="2"/>
  <c r="P2063" i="2"/>
  <c r="Q2063" i="2"/>
  <c r="P2079" i="2"/>
  <c r="Q2079" i="2"/>
  <c r="P2087" i="2"/>
  <c r="Q2087" i="2"/>
  <c r="P2111" i="2"/>
  <c r="Q2111" i="2"/>
  <c r="P1425" i="2"/>
  <c r="Q1425" i="2"/>
  <c r="P2151" i="2"/>
  <c r="Q2151" i="2"/>
  <c r="P2399" i="2"/>
  <c r="Q2399" i="2"/>
  <c r="P2183" i="2"/>
  <c r="Q2183" i="2"/>
  <c r="P2191" i="2"/>
  <c r="Q2191" i="2"/>
  <c r="P2215" i="2"/>
  <c r="Q2215" i="2"/>
  <c r="P2223" i="2"/>
  <c r="Q2223" i="2"/>
  <c r="P4651" i="2"/>
  <c r="Q4651" i="2"/>
  <c r="P2976" i="2"/>
  <c r="Q2976" i="2"/>
  <c r="P2263" i="2"/>
  <c r="Q2263" i="2"/>
  <c r="P2303" i="2"/>
  <c r="Q2303" i="2"/>
  <c r="P2311" i="2"/>
  <c r="Q2311" i="2"/>
  <c r="P2319" i="2"/>
  <c r="Q2319" i="2"/>
  <c r="P2327" i="2"/>
  <c r="Q2327" i="2"/>
  <c r="P2343" i="2"/>
  <c r="Q2343" i="2"/>
  <c r="P1187" i="2"/>
  <c r="Q1187" i="2"/>
  <c r="P2367" i="2"/>
  <c r="Q2367" i="2"/>
  <c r="P294" i="2"/>
  <c r="Q294" i="2"/>
  <c r="P2415" i="2"/>
  <c r="Q2415" i="2"/>
  <c r="P2431" i="2"/>
  <c r="Q2431" i="2"/>
  <c r="P2439" i="2"/>
  <c r="Q2439" i="2"/>
  <c r="P2447" i="2"/>
  <c r="Q2447" i="2"/>
  <c r="P2455" i="2"/>
  <c r="Q2455" i="2"/>
  <c r="P2479" i="2"/>
  <c r="Q2479" i="2"/>
  <c r="P2487" i="2"/>
  <c r="Q2487" i="2"/>
  <c r="P2511" i="2"/>
  <c r="Q2511" i="2"/>
  <c r="P2527" i="2"/>
  <c r="Q2527" i="2"/>
  <c r="P2551" i="2"/>
  <c r="Q2551" i="2"/>
  <c r="P2559" i="2"/>
  <c r="Q2559" i="2"/>
  <c r="P2575" i="2"/>
  <c r="Q2575" i="2"/>
  <c r="P2591" i="2"/>
  <c r="Q2591" i="2"/>
  <c r="P2615" i="2"/>
  <c r="Q2615" i="2"/>
  <c r="P2623" i="2"/>
  <c r="Q2623" i="2"/>
  <c r="P2631" i="2"/>
  <c r="Q2631" i="2"/>
  <c r="P2639" i="2"/>
  <c r="Q2639" i="2"/>
  <c r="P2647" i="2"/>
  <c r="Q2647" i="2"/>
  <c r="P2655" i="2"/>
  <c r="Q2655" i="2"/>
  <c r="P2679" i="2"/>
  <c r="Q2679" i="2"/>
  <c r="P2695" i="2"/>
  <c r="Q2695" i="2"/>
  <c r="P2703" i="2"/>
  <c r="Q2703" i="2"/>
  <c r="P2711" i="2"/>
  <c r="Q2711" i="2"/>
  <c r="P3167" i="2"/>
  <c r="Q3167" i="2"/>
  <c r="P2743" i="2"/>
  <c r="Q2743" i="2"/>
  <c r="P2767" i="2"/>
  <c r="Q2767" i="2"/>
  <c r="P2775" i="2"/>
  <c r="Q2775" i="2"/>
  <c r="P2799" i="2"/>
  <c r="Q2799" i="2"/>
  <c r="P2171" i="2"/>
  <c r="Q2171" i="2"/>
  <c r="P2863" i="2"/>
  <c r="Q2863" i="2"/>
  <c r="P2871" i="2"/>
  <c r="Q2871" i="2"/>
  <c r="P2879" i="2"/>
  <c r="Q2879" i="2"/>
  <c r="P2919" i="2"/>
  <c r="Q2919" i="2"/>
  <c r="P2927" i="2"/>
  <c r="Q2927" i="2"/>
  <c r="P2943" i="2"/>
  <c r="Q2943" i="2"/>
  <c r="P2951" i="2"/>
  <c r="Q2951" i="2"/>
  <c r="P2967" i="2"/>
  <c r="Q2967" i="2"/>
  <c r="P3039" i="2"/>
  <c r="Q3039" i="2"/>
  <c r="P3063" i="2"/>
  <c r="Q3063" i="2"/>
  <c r="P3071" i="2"/>
  <c r="Q3071" i="2"/>
  <c r="P3079" i="2"/>
  <c r="Q3079" i="2"/>
  <c r="P3103" i="2"/>
  <c r="Q3103" i="2"/>
  <c r="P3111" i="2"/>
  <c r="Q3111" i="2"/>
  <c r="P4755" i="2"/>
  <c r="Q4755" i="2"/>
  <c r="P3143" i="2"/>
  <c r="Q3143" i="2"/>
  <c r="P3159" i="2"/>
  <c r="Q3159" i="2"/>
  <c r="P392" i="2"/>
  <c r="Q392" i="2"/>
  <c r="P3199" i="2"/>
  <c r="Q3199" i="2"/>
  <c r="P3207" i="2"/>
  <c r="Q3207" i="2"/>
  <c r="P3215" i="2"/>
  <c r="Q3215" i="2"/>
  <c r="P3279" i="2"/>
  <c r="Q3279" i="2"/>
  <c r="P3295" i="2"/>
  <c r="Q3295" i="2"/>
  <c r="P3303" i="2"/>
  <c r="Q3303" i="2"/>
  <c r="P3311" i="2"/>
  <c r="Q3311" i="2"/>
  <c r="P3327" i="2"/>
  <c r="Q3327" i="2"/>
  <c r="P5880" i="2"/>
  <c r="Q5880" i="2"/>
  <c r="P7115" i="2"/>
  <c r="Q7115" i="2"/>
  <c r="P3367" i="2"/>
  <c r="Q3367" i="2"/>
  <c r="P3399" i="2"/>
  <c r="Q3399" i="2"/>
  <c r="P3407" i="2"/>
  <c r="Q3407" i="2"/>
  <c r="P3431" i="2"/>
  <c r="Q3431" i="2"/>
  <c r="P3455" i="2"/>
  <c r="Q3455" i="2"/>
  <c r="P3463" i="2"/>
  <c r="Q3463" i="2"/>
  <c r="P3479" i="2"/>
  <c r="Q3479" i="2"/>
  <c r="P3487" i="2"/>
  <c r="Q3487" i="2"/>
  <c r="P3511" i="2"/>
  <c r="Q3511" i="2"/>
  <c r="P3519" i="2"/>
  <c r="Q3519" i="2"/>
  <c r="P3527" i="2"/>
  <c r="Q3527" i="2"/>
  <c r="P3535" i="2"/>
  <c r="Q3535" i="2"/>
  <c r="P3543" i="2"/>
  <c r="Q3543" i="2"/>
  <c r="P3551" i="2"/>
  <c r="Q3551" i="2"/>
  <c r="P3575" i="2"/>
  <c r="Q3575" i="2"/>
  <c r="P3583" i="2"/>
  <c r="Q3583" i="2"/>
  <c r="P3591" i="2"/>
  <c r="Q3591" i="2"/>
  <c r="P1951" i="2"/>
  <c r="Q1951" i="2"/>
  <c r="P3615" i="2"/>
  <c r="Q3615" i="2"/>
  <c r="P3623" i="2"/>
  <c r="Q3623" i="2"/>
  <c r="P3631" i="2"/>
  <c r="Q3631" i="2"/>
  <c r="P3639" i="2"/>
  <c r="Q3639" i="2"/>
  <c r="P3647" i="2"/>
  <c r="Q3647" i="2"/>
  <c r="P3695" i="2"/>
  <c r="Q3695" i="2"/>
  <c r="P3711" i="2"/>
  <c r="Q3711" i="2"/>
  <c r="P2249" i="2"/>
  <c r="Q2249" i="2"/>
  <c r="P3735" i="2"/>
  <c r="Q3735" i="2"/>
  <c r="P3751" i="2"/>
  <c r="Q3751" i="2"/>
  <c r="P3767" i="2"/>
  <c r="Q3767" i="2"/>
  <c r="P1298" i="2"/>
  <c r="Q1298" i="2"/>
  <c r="P3783" i="2"/>
  <c r="Q3783" i="2"/>
  <c r="P3799" i="2"/>
  <c r="Q3799" i="2"/>
  <c r="P3807" i="2"/>
  <c r="Q3807" i="2"/>
  <c r="P3815" i="2"/>
  <c r="Q3815" i="2"/>
  <c r="P3823" i="2"/>
  <c r="Q3823" i="2"/>
  <c r="P3828" i="2"/>
  <c r="Q3828" i="2"/>
  <c r="P3903" i="2"/>
  <c r="Q3903" i="2"/>
  <c r="P3911" i="2"/>
  <c r="Q3911" i="2"/>
  <c r="P3935" i="2"/>
  <c r="Q3935" i="2"/>
  <c r="P3951" i="2"/>
  <c r="Q3951" i="2"/>
  <c r="P3959" i="2"/>
  <c r="Q3959" i="2"/>
  <c r="P3967" i="2"/>
  <c r="Q3967" i="2"/>
  <c r="P997" i="2"/>
  <c r="Q997" i="2"/>
  <c r="P4047" i="2"/>
  <c r="Q4047" i="2"/>
  <c r="P4079" i="2"/>
  <c r="Q4079" i="2"/>
  <c r="P4087" i="2"/>
  <c r="Q4087" i="2"/>
  <c r="P4111" i="2"/>
  <c r="Q4111" i="2"/>
  <c r="P4127" i="2"/>
  <c r="Q4127" i="2"/>
  <c r="P4135" i="2"/>
  <c r="Q4135" i="2"/>
  <c r="P4151" i="2"/>
  <c r="Q4151" i="2"/>
  <c r="P4159" i="2"/>
  <c r="Q4159" i="2"/>
  <c r="P4223" i="2"/>
  <c r="Q4223" i="2"/>
  <c r="P4231" i="2"/>
  <c r="Q4231" i="2"/>
  <c r="P4239" i="2"/>
  <c r="Q4239" i="2"/>
  <c r="P4247" i="2"/>
  <c r="Q4247" i="2"/>
  <c r="P4255" i="2"/>
  <c r="Q4255" i="2"/>
  <c r="P4263" i="2"/>
  <c r="Q4263" i="2"/>
  <c r="P4271" i="2"/>
  <c r="Q4271" i="2"/>
  <c r="P4287" i="2"/>
  <c r="Q4287" i="2"/>
  <c r="P4319" i="2"/>
  <c r="Q4319" i="2"/>
  <c r="P4327" i="2"/>
  <c r="Q4327" i="2"/>
  <c r="P4343" i="2"/>
  <c r="Q4343" i="2"/>
  <c r="P4351" i="2"/>
  <c r="Q4351" i="2"/>
  <c r="P4359" i="2"/>
  <c r="Q4359" i="2"/>
  <c r="P4383" i="2"/>
  <c r="Q4383" i="2"/>
  <c r="P4391" i="2"/>
  <c r="Q4391" i="2"/>
  <c r="P4407" i="2"/>
  <c r="Q4407" i="2"/>
  <c r="P4423" i="2"/>
  <c r="Q4423" i="2"/>
  <c r="P4455" i="2"/>
  <c r="Q4455" i="2"/>
  <c r="P4463" i="2"/>
  <c r="Q4463" i="2"/>
  <c r="P4495" i="2"/>
  <c r="Q4495" i="2"/>
  <c r="P4503" i="2"/>
  <c r="Q4503" i="2"/>
  <c r="P4519" i="2"/>
  <c r="Q4519" i="2"/>
  <c r="P4567" i="2"/>
  <c r="Q4567" i="2"/>
  <c r="P4599" i="2"/>
  <c r="Q4599" i="2"/>
  <c r="P4607" i="2"/>
  <c r="Q4607" i="2"/>
  <c r="P3046" i="2"/>
  <c r="Q3046" i="2"/>
  <c r="P4671" i="2"/>
  <c r="Q4671" i="2"/>
  <c r="P4687" i="2"/>
  <c r="Q4687" i="2"/>
  <c r="P4703" i="2"/>
  <c r="Q4703" i="2"/>
  <c r="P4711" i="2"/>
  <c r="Q4711" i="2"/>
  <c r="P4719" i="2"/>
  <c r="Q4719" i="2"/>
  <c r="P4759" i="2"/>
  <c r="Q4759" i="2"/>
  <c r="P4799" i="2"/>
  <c r="Q4799" i="2"/>
  <c r="P4815" i="2"/>
  <c r="Q4815" i="2"/>
  <c r="P4831" i="2"/>
  <c r="Q4831" i="2"/>
  <c r="P4855" i="2"/>
  <c r="Q4855" i="2"/>
  <c r="P7028" i="2"/>
  <c r="Q7028" i="2"/>
  <c r="P4887" i="2"/>
  <c r="Q4887" i="2"/>
  <c r="P4895" i="2"/>
  <c r="Q4895" i="2"/>
  <c r="P4903" i="2"/>
  <c r="Q4903" i="2"/>
  <c r="P4911" i="2"/>
  <c r="Q4911" i="2"/>
  <c r="P4935" i="2"/>
  <c r="Q4935" i="2"/>
  <c r="P4943" i="2"/>
  <c r="Q4943" i="2"/>
  <c r="P4967" i="2"/>
  <c r="Q4967" i="2"/>
  <c r="P4991" i="2"/>
  <c r="Q4991" i="2"/>
  <c r="P5007" i="2"/>
  <c r="Q5007" i="2"/>
  <c r="P738" i="2"/>
  <c r="Q738" i="2"/>
  <c r="P5031" i="2"/>
  <c r="Q5031" i="2"/>
  <c r="P5039" i="2"/>
  <c r="Q5039" i="2"/>
  <c r="P5055" i="2"/>
  <c r="Q5055" i="2"/>
  <c r="P5063" i="2"/>
  <c r="Q5063" i="2"/>
  <c r="P5071" i="2"/>
  <c r="Q5071" i="2"/>
  <c r="P5079" i="2"/>
  <c r="Q5079" i="2"/>
  <c r="P5095" i="2"/>
  <c r="Q5095" i="2"/>
  <c r="P5111" i="2"/>
  <c r="Q5111" i="2"/>
  <c r="P5127" i="2"/>
  <c r="Q5127" i="2"/>
  <c r="P5159" i="2"/>
  <c r="Q5159" i="2"/>
  <c r="P5167" i="2"/>
  <c r="Q5167" i="2"/>
  <c r="P1377" i="2"/>
  <c r="Q1377" i="2"/>
  <c r="P5183" i="2"/>
  <c r="Q5183" i="2"/>
  <c r="P5199" i="2"/>
  <c r="Q5199" i="2"/>
  <c r="P5215" i="2"/>
  <c r="Q5215" i="2"/>
  <c r="P5223" i="2"/>
  <c r="Q5223" i="2"/>
  <c r="P5239" i="2"/>
  <c r="Q5239" i="2"/>
  <c r="P5255" i="2"/>
  <c r="Q5255" i="2"/>
  <c r="P5263" i="2"/>
  <c r="Q5263" i="2"/>
  <c r="P5271" i="2"/>
  <c r="Q5271" i="2"/>
  <c r="P5295" i="2"/>
  <c r="Q5295" i="2"/>
  <c r="P5311" i="2"/>
  <c r="Q5311" i="2"/>
  <c r="P5327" i="2"/>
  <c r="Q5327" i="2"/>
  <c r="P5335" i="2"/>
  <c r="Q5335" i="2"/>
  <c r="P5351" i="2"/>
  <c r="Q5351" i="2"/>
  <c r="P5359" i="2"/>
  <c r="Q5359" i="2"/>
  <c r="P5367" i="2"/>
  <c r="Q5367" i="2"/>
  <c r="P5383" i="2"/>
  <c r="Q5383" i="2"/>
  <c r="P5391" i="2"/>
  <c r="Q5391" i="2"/>
  <c r="P4042" i="2"/>
  <c r="Q4042" i="2"/>
  <c r="P7218" i="2"/>
  <c r="Q7218" i="2"/>
  <c r="P5447" i="2"/>
  <c r="Q5447" i="2"/>
  <c r="P5487" i="2"/>
  <c r="Q5487" i="2"/>
  <c r="P6088" i="2"/>
  <c r="Q6088" i="2"/>
  <c r="P5527" i="2"/>
  <c r="Q5527" i="2"/>
  <c r="P5567" i="2"/>
  <c r="Q5567" i="2"/>
  <c r="P5575" i="2"/>
  <c r="Q5575" i="2"/>
  <c r="P5591" i="2"/>
  <c r="Q5591" i="2"/>
  <c r="P5599" i="2"/>
  <c r="Q5599" i="2"/>
  <c r="P5607" i="2"/>
  <c r="Q5607" i="2"/>
  <c r="P5631" i="2"/>
  <c r="Q5631" i="2"/>
  <c r="P5639" i="2"/>
  <c r="Q5639" i="2"/>
  <c r="P5647" i="2"/>
  <c r="Q5647" i="2"/>
  <c r="P5655" i="2"/>
  <c r="Q5655" i="2"/>
  <c r="P5663" i="2"/>
  <c r="Q5663" i="2"/>
  <c r="P5687" i="2"/>
  <c r="Q5687" i="2"/>
  <c r="P1879" i="2"/>
  <c r="Q1879" i="2"/>
  <c r="P5711" i="2"/>
  <c r="Q5711" i="2"/>
  <c r="P5719" i="2"/>
  <c r="Q5719" i="2"/>
  <c r="P5767" i="2"/>
  <c r="Q5767" i="2"/>
  <c r="P2541" i="2"/>
  <c r="Q2541" i="2"/>
  <c r="P5942" i="2"/>
  <c r="Q5942" i="2"/>
  <c r="P5839" i="2"/>
  <c r="Q5839" i="2"/>
  <c r="P5855" i="2"/>
  <c r="Q5855" i="2"/>
  <c r="P5863" i="2"/>
  <c r="Q5863" i="2"/>
  <c r="P5871" i="2"/>
  <c r="Q5871" i="2"/>
  <c r="P5468" i="2"/>
  <c r="Q5468" i="2"/>
  <c r="P5887" i="2"/>
  <c r="Q5887" i="2"/>
  <c r="P5895" i="2"/>
  <c r="Q5895" i="2"/>
  <c r="P5903" i="2"/>
  <c r="Q5903" i="2"/>
  <c r="P4653" i="2"/>
  <c r="Q4653" i="2"/>
  <c r="P6521" i="2"/>
  <c r="Q6521" i="2"/>
  <c r="P5967" i="2"/>
  <c r="Q5967" i="2"/>
  <c r="P5975" i="2"/>
  <c r="Q5975" i="2"/>
  <c r="P5983" i="2"/>
  <c r="Q5983" i="2"/>
  <c r="P5999" i="2"/>
  <c r="Q5999" i="2"/>
  <c r="P6007" i="2"/>
  <c r="Q6007" i="2"/>
  <c r="P6015" i="2"/>
  <c r="Q6015" i="2"/>
  <c r="P6031" i="2"/>
  <c r="Q6031" i="2"/>
  <c r="P6039" i="2"/>
  <c r="Q6039" i="2"/>
  <c r="P6119" i="2"/>
  <c r="Q6119" i="2"/>
  <c r="P6127" i="2"/>
  <c r="Q6127" i="2"/>
  <c r="P6135" i="2"/>
  <c r="Q6135" i="2"/>
  <c r="P6151" i="2"/>
  <c r="Q6151" i="2"/>
  <c r="P6167" i="2"/>
  <c r="Q6167" i="2"/>
  <c r="P6183" i="2"/>
  <c r="Q6183" i="2"/>
  <c r="P6199" i="2"/>
  <c r="Q6199" i="2"/>
  <c r="P6207" i="2"/>
  <c r="Q6207" i="2"/>
  <c r="P6223" i="2"/>
  <c r="Q6223" i="2"/>
  <c r="P6231" i="2"/>
  <c r="Q6231" i="2"/>
  <c r="P6239" i="2"/>
  <c r="Q6239" i="2"/>
  <c r="P6247" i="2"/>
  <c r="Q6247" i="2"/>
  <c r="P6255" i="2"/>
  <c r="Q6255" i="2"/>
  <c r="P6271" i="2"/>
  <c r="Q6271" i="2"/>
  <c r="P6279" i="2"/>
  <c r="Q6279" i="2"/>
  <c r="P6287" i="2"/>
  <c r="Q6287" i="2"/>
  <c r="P6311" i="2"/>
  <c r="Q6311" i="2"/>
  <c r="P6327" i="2"/>
  <c r="Q6327" i="2"/>
  <c r="P6351" i="2"/>
  <c r="Q6351" i="2"/>
  <c r="P6359" i="2"/>
  <c r="Q6359" i="2"/>
  <c r="P6367" i="2"/>
  <c r="Q6367" i="2"/>
  <c r="P6383" i="2"/>
  <c r="Q6383" i="2"/>
  <c r="P6399" i="2"/>
  <c r="Q6399" i="2"/>
  <c r="P6407" i="2"/>
  <c r="Q6407" i="2"/>
  <c r="P6415" i="2"/>
  <c r="Q6415" i="2"/>
  <c r="P2677" i="2"/>
  <c r="Q2677" i="2"/>
  <c r="P6463" i="2"/>
  <c r="Q6463" i="2"/>
  <c r="P6471" i="2"/>
  <c r="Q6471" i="2"/>
  <c r="P5549" i="2"/>
  <c r="Q5549" i="2"/>
  <c r="P6487" i="2"/>
  <c r="Q6487" i="2"/>
  <c r="P6495" i="2"/>
  <c r="Q6495" i="2"/>
  <c r="P1094" i="2"/>
  <c r="Q1094" i="2"/>
  <c r="P6558" i="2"/>
  <c r="Q6558" i="2"/>
  <c r="P6535" i="2"/>
  <c r="Q6535" i="2"/>
  <c r="P6867" i="2"/>
  <c r="Q6867" i="2"/>
  <c r="P7064" i="2"/>
  <c r="Q7064" i="2"/>
  <c r="P903" i="2"/>
  <c r="Q903" i="2"/>
  <c r="P6567" i="2"/>
  <c r="Q6567" i="2"/>
  <c r="P2274" i="2"/>
  <c r="Q2274" i="2"/>
  <c r="P4304" i="2"/>
  <c r="Q4304" i="2"/>
  <c r="P5535" i="2"/>
  <c r="Q5535" i="2"/>
  <c r="P6607" i="2"/>
  <c r="Q6607" i="2"/>
  <c r="P6623" i="2"/>
  <c r="Q6623" i="2"/>
  <c r="P6631" i="2"/>
  <c r="Q6631" i="2"/>
  <c r="P436" i="2"/>
  <c r="Q436" i="2"/>
  <c r="P6647" i="2"/>
  <c r="Q6647" i="2"/>
  <c r="P6655" i="2"/>
  <c r="Q6655" i="2"/>
  <c r="P3934" i="2"/>
  <c r="Q3934" i="2"/>
  <c r="P6679" i="2"/>
  <c r="Q6679" i="2"/>
  <c r="P6687" i="2"/>
  <c r="Q6687" i="2"/>
  <c r="P6695" i="2"/>
  <c r="Q6695" i="2"/>
  <c r="P6703" i="2"/>
  <c r="Q6703" i="2"/>
  <c r="P3392" i="2"/>
  <c r="Q3392" i="2"/>
  <c r="P6735" i="2"/>
  <c r="Q6735" i="2"/>
  <c r="P6743" i="2"/>
  <c r="Q6743" i="2"/>
  <c r="P6759" i="2"/>
  <c r="Q6759" i="2"/>
  <c r="P6767" i="2"/>
  <c r="Q6767" i="2"/>
  <c r="P6791" i="2"/>
  <c r="Q6791" i="2"/>
  <c r="P6799" i="2"/>
  <c r="Q6799" i="2"/>
  <c r="P6807" i="2"/>
  <c r="Q6807" i="2"/>
  <c r="P6823" i="2"/>
  <c r="Q6823" i="2"/>
  <c r="P6839" i="2"/>
  <c r="Q6839" i="2"/>
  <c r="P6855" i="2"/>
  <c r="Q6855" i="2"/>
  <c r="P6863" i="2"/>
  <c r="Q6863" i="2"/>
  <c r="P5000" i="2"/>
  <c r="Q5000" i="2"/>
  <c r="P6879" i="2"/>
  <c r="Q6879" i="2"/>
  <c r="P6887" i="2"/>
  <c r="Q6887" i="2"/>
  <c r="P6903" i="2"/>
  <c r="Q6903" i="2"/>
  <c r="P6911" i="2"/>
  <c r="Q6911" i="2"/>
  <c r="P6919" i="2"/>
  <c r="Q6919" i="2"/>
  <c r="P6935" i="2"/>
  <c r="Q6935" i="2"/>
  <c r="P1417" i="2"/>
  <c r="Q1417" i="2"/>
  <c r="P6951" i="2"/>
  <c r="Q6951" i="2"/>
  <c r="P6959" i="2"/>
  <c r="Q6959" i="2"/>
  <c r="P6975" i="2"/>
  <c r="Q6975" i="2"/>
  <c r="P6983" i="2"/>
  <c r="Q6983" i="2"/>
  <c r="P6991" i="2"/>
  <c r="Q6991" i="2"/>
  <c r="P6999" i="2"/>
  <c r="Q6999" i="2"/>
  <c r="P7007" i="2"/>
  <c r="Q7007" i="2"/>
  <c r="P7015" i="2"/>
  <c r="Q7015" i="2"/>
  <c r="P7023" i="2"/>
  <c r="Q7023" i="2"/>
  <c r="P7039" i="2"/>
  <c r="Q7039" i="2"/>
  <c r="P7047" i="2"/>
  <c r="Q7047" i="2"/>
  <c r="P1102" i="2"/>
  <c r="Q1102" i="2"/>
  <c r="P7063" i="2"/>
  <c r="Q7063" i="2"/>
  <c r="P7079" i="2"/>
  <c r="Q7079" i="2"/>
  <c r="P7087" i="2"/>
  <c r="Q7087" i="2"/>
  <c r="P7095" i="2"/>
  <c r="Q7095" i="2"/>
  <c r="P3297" i="2"/>
  <c r="Q3297" i="2"/>
  <c r="P5886" i="2"/>
  <c r="Q5886" i="2"/>
  <c r="P7119" i="2"/>
  <c r="Q7119" i="2"/>
  <c r="P7135" i="2"/>
  <c r="Q7135" i="2"/>
  <c r="P7143" i="2"/>
  <c r="Q7143" i="2"/>
  <c r="P2173" i="2"/>
  <c r="Q2173" i="2"/>
  <c r="P7159" i="2"/>
  <c r="Q7159" i="2"/>
  <c r="P7167" i="2"/>
  <c r="Q7167" i="2"/>
  <c r="P7175" i="2"/>
  <c r="Q7175" i="2"/>
  <c r="P7191" i="2"/>
  <c r="Q7191" i="2"/>
  <c r="P7199" i="2"/>
  <c r="Q7199" i="2"/>
  <c r="P7207" i="2"/>
  <c r="Q7207" i="2"/>
  <c r="P907" i="2"/>
  <c r="Q907" i="2"/>
  <c r="P7231" i="2"/>
  <c r="Q7231" i="2"/>
  <c r="P7247" i="2"/>
  <c r="Q7247" i="2"/>
  <c r="P7255" i="2"/>
  <c r="Q7255" i="2"/>
  <c r="P7271" i="2"/>
  <c r="Q7271" i="2"/>
  <c r="P7279" i="2"/>
  <c r="Q7279" i="2"/>
  <c r="P7287" i="2"/>
  <c r="Q7287" i="2"/>
  <c r="P7294" i="2"/>
  <c r="Q7294" i="2"/>
  <c r="P7310" i="2"/>
  <c r="Q7310" i="2"/>
  <c r="P7318" i="2"/>
  <c r="Q7318" i="2"/>
  <c r="P7326" i="2"/>
  <c r="Q7326" i="2"/>
  <c r="P7342" i="2"/>
  <c r="Q7342" i="2"/>
  <c r="P7350" i="2"/>
  <c r="Q7350" i="2"/>
  <c r="P7358" i="2"/>
  <c r="Q7358" i="2"/>
  <c r="P7374" i="2"/>
  <c r="Q7374" i="2"/>
  <c r="P7382" i="2"/>
  <c r="Q7382" i="2"/>
  <c r="P7390" i="2"/>
  <c r="Q7390" i="2"/>
  <c r="P7406" i="2"/>
  <c r="Q7406" i="2"/>
  <c r="P7414" i="2"/>
  <c r="Q7414" i="2"/>
  <c r="P7422" i="2"/>
  <c r="Q7422" i="2"/>
  <c r="P7438" i="2"/>
  <c r="Q7438" i="2"/>
  <c r="P7446" i="2"/>
  <c r="Q7446" i="2"/>
  <c r="P7454" i="2"/>
  <c r="Q7454" i="2"/>
  <c r="P7470" i="2"/>
  <c r="Q7470" i="2"/>
  <c r="P7478" i="2"/>
  <c r="Q7478" i="2"/>
  <c r="P7486" i="2"/>
  <c r="Q7486" i="2"/>
  <c r="P7502" i="2"/>
  <c r="Q7502" i="2"/>
  <c r="P7510" i="2"/>
  <c r="Q7510" i="2"/>
  <c r="P7518" i="2"/>
  <c r="Q7518" i="2"/>
  <c r="P7534" i="2"/>
  <c r="Q7534" i="2"/>
  <c r="P7542" i="2"/>
  <c r="Q7542" i="2"/>
  <c r="P7550" i="2"/>
  <c r="Q7550" i="2"/>
  <c r="P7566" i="2"/>
  <c r="Q7566" i="2"/>
  <c r="P7574" i="2"/>
  <c r="Q7574" i="2"/>
  <c r="P7582" i="2"/>
  <c r="Q7582" i="2"/>
  <c r="P7598" i="2"/>
  <c r="Q7598" i="2"/>
  <c r="P7606" i="2"/>
  <c r="Q7606" i="2"/>
  <c r="P7614" i="2"/>
  <c r="Q7614" i="2"/>
  <c r="P7630" i="2"/>
  <c r="Q7630" i="2"/>
  <c r="P7638" i="2"/>
  <c r="Q7638" i="2"/>
  <c r="P7646" i="2"/>
  <c r="Q7646" i="2"/>
  <c r="P7662" i="2"/>
  <c r="Q7662" i="2"/>
  <c r="P7670" i="2"/>
  <c r="Q7670" i="2"/>
  <c r="P7678" i="2"/>
  <c r="Q7678" i="2"/>
  <c r="P7694" i="2"/>
  <c r="Q7694" i="2"/>
  <c r="P7702" i="2"/>
  <c r="Q7702" i="2"/>
  <c r="P7710" i="2"/>
  <c r="Q7710" i="2"/>
  <c r="P7726" i="2"/>
  <c r="Q7726" i="2"/>
  <c r="P7734" i="2"/>
  <c r="Q7734" i="2"/>
  <c r="P7742" i="2"/>
  <c r="Q7742" i="2"/>
  <c r="P7758" i="2"/>
  <c r="Q7758" i="2"/>
  <c r="P7766" i="2"/>
  <c r="Q7766" i="2"/>
  <c r="P7774" i="2"/>
  <c r="Q7774" i="2"/>
  <c r="P7790" i="2"/>
  <c r="Q7790" i="2"/>
  <c r="P7798" i="2"/>
  <c r="Q7798" i="2"/>
  <c r="P7806" i="2"/>
  <c r="Q7806" i="2"/>
  <c r="P7822" i="2"/>
  <c r="Q7822" i="2"/>
  <c r="P7830" i="2"/>
  <c r="Q7830" i="2"/>
  <c r="P7838" i="2"/>
  <c r="Q7838" i="2"/>
  <c r="P7854" i="2"/>
  <c r="Q7854" i="2"/>
  <c r="P7862" i="2"/>
  <c r="Q7862" i="2"/>
  <c r="P7870" i="2"/>
  <c r="Q7870" i="2"/>
  <c r="P7886" i="2"/>
  <c r="Q7886" i="2"/>
  <c r="P7894" i="2"/>
  <c r="Q7894" i="2"/>
  <c r="P7902" i="2"/>
  <c r="Q7902" i="2"/>
  <c r="P7918" i="2"/>
  <c r="Q7918" i="2"/>
  <c r="P7926" i="2"/>
  <c r="Q7926" i="2"/>
  <c r="P7934" i="2"/>
  <c r="Q7934" i="2"/>
  <c r="P7950" i="2"/>
  <c r="Q7950" i="2"/>
  <c r="P7958" i="2"/>
  <c r="Q7958" i="2"/>
  <c r="P7966" i="2"/>
  <c r="Q7966" i="2"/>
  <c r="P7982" i="2"/>
  <c r="Q7982" i="2"/>
  <c r="P7990" i="2"/>
  <c r="Q7990" i="2"/>
  <c r="P7998" i="2"/>
  <c r="Q7998" i="2"/>
  <c r="P8014" i="2"/>
  <c r="Q8014" i="2"/>
  <c r="P8022" i="2"/>
  <c r="Q8022" i="2"/>
  <c r="P8030" i="2"/>
  <c r="Q8030" i="2"/>
  <c r="P8046" i="2"/>
  <c r="Q8046" i="2"/>
  <c r="P8054" i="2"/>
  <c r="Q8054" i="2"/>
  <c r="P8062" i="2"/>
  <c r="Q8062" i="2"/>
  <c r="P8078" i="2"/>
  <c r="Q8078" i="2"/>
  <c r="P8086" i="2"/>
  <c r="Q8086" i="2"/>
  <c r="P8094" i="2"/>
  <c r="Q8094" i="2"/>
  <c r="P8110" i="2"/>
  <c r="Q8110" i="2"/>
  <c r="P8118" i="2"/>
  <c r="Q8118" i="2"/>
  <c r="P8126" i="2"/>
  <c r="Q8126" i="2"/>
  <c r="P8142" i="2"/>
  <c r="Q8142" i="2"/>
  <c r="P8150" i="2"/>
  <c r="Q8150" i="2"/>
  <c r="P8" i="2"/>
  <c r="Q8" i="2"/>
  <c r="P16" i="2"/>
  <c r="Q16" i="2"/>
  <c r="P24" i="2"/>
  <c r="Q24" i="2"/>
  <c r="P32" i="2"/>
  <c r="Q32" i="2"/>
  <c r="P40" i="2"/>
  <c r="Q40" i="2"/>
  <c r="P48" i="2"/>
  <c r="Q48" i="2"/>
  <c r="P56" i="2"/>
  <c r="Q56" i="2"/>
  <c r="P72" i="2"/>
  <c r="Q72" i="2"/>
  <c r="P80" i="2"/>
  <c r="Q80" i="2"/>
  <c r="P88" i="2"/>
  <c r="Q88" i="2"/>
  <c r="P2023" i="2"/>
  <c r="Q2023" i="2"/>
  <c r="P112" i="2"/>
  <c r="Q112" i="2"/>
  <c r="P144" i="2"/>
  <c r="Q144" i="2"/>
  <c r="P152" i="2"/>
  <c r="Q152" i="2"/>
  <c r="P160" i="2"/>
  <c r="Q160" i="2"/>
  <c r="P168" i="2"/>
  <c r="Q168" i="2"/>
  <c r="P192" i="2"/>
  <c r="Q192" i="2"/>
  <c r="P232" i="2"/>
  <c r="Q232" i="2"/>
  <c r="P3419" i="2"/>
  <c r="Q3419" i="2"/>
  <c r="P1442" i="2"/>
  <c r="Q1442" i="2"/>
  <c r="P264" i="2"/>
  <c r="Q264" i="2"/>
  <c r="P272" i="2"/>
  <c r="Q272" i="2"/>
  <c r="P288" i="2"/>
  <c r="Q288" i="2"/>
  <c r="P296" i="2"/>
  <c r="Q296" i="2"/>
  <c r="P304" i="2"/>
  <c r="Q304" i="2"/>
  <c r="P312" i="2"/>
  <c r="Q312" i="2"/>
  <c r="P320" i="2"/>
  <c r="Q320" i="2"/>
  <c r="P6571" i="2"/>
  <c r="Q6571" i="2"/>
  <c r="P344" i="2"/>
  <c r="Q344" i="2"/>
  <c r="P352" i="2"/>
  <c r="Q352" i="2"/>
  <c r="P368" i="2"/>
  <c r="Q368" i="2"/>
  <c r="P384" i="2"/>
  <c r="Q384" i="2"/>
  <c r="P424" i="2"/>
  <c r="Q424" i="2"/>
  <c r="P432" i="2"/>
  <c r="Q432" i="2"/>
  <c r="P448" i="2"/>
  <c r="Q448" i="2"/>
  <c r="P456" i="2"/>
  <c r="Q456" i="2"/>
  <c r="P464" i="2"/>
  <c r="Q464" i="2"/>
  <c r="P472" i="2"/>
  <c r="Q472" i="2"/>
  <c r="P488" i="2"/>
  <c r="Q488" i="2"/>
  <c r="P6097" i="2"/>
  <c r="Q6097" i="2"/>
  <c r="P520" i="2"/>
  <c r="Q520" i="2"/>
  <c r="P528" i="2"/>
  <c r="Q528" i="2"/>
  <c r="P7103" i="2"/>
  <c r="Q7103" i="2"/>
  <c r="P544" i="2"/>
  <c r="Q544" i="2"/>
  <c r="P6917" i="2"/>
  <c r="Q6917" i="2"/>
  <c r="P576" i="2"/>
  <c r="Q576" i="2"/>
  <c r="P584" i="2"/>
  <c r="Q584" i="2"/>
  <c r="P592" i="2"/>
  <c r="Q592" i="2"/>
  <c r="P600" i="2"/>
  <c r="Q600" i="2"/>
  <c r="P608" i="2"/>
  <c r="Q608" i="2"/>
  <c r="P616" i="2"/>
  <c r="Q616" i="2"/>
  <c r="P624" i="2"/>
  <c r="Q624" i="2"/>
  <c r="P632" i="2"/>
  <c r="Q632" i="2"/>
  <c r="P640" i="2"/>
  <c r="Q640" i="2"/>
  <c r="P672" i="2"/>
  <c r="Q672" i="2"/>
  <c r="P688" i="2"/>
  <c r="Q688" i="2"/>
  <c r="P704" i="2"/>
  <c r="Q704" i="2"/>
  <c r="P712" i="2"/>
  <c r="Q712" i="2"/>
  <c r="P720" i="2"/>
  <c r="Q720" i="2"/>
  <c r="P728" i="2"/>
  <c r="Q728" i="2"/>
  <c r="P776" i="2"/>
  <c r="Q776" i="2"/>
  <c r="P784" i="2"/>
  <c r="Q784" i="2"/>
  <c r="P5166" i="2"/>
  <c r="Q5166" i="2"/>
  <c r="P808" i="2"/>
  <c r="Q808" i="2"/>
  <c r="P816" i="2"/>
  <c r="Q816" i="2"/>
  <c r="P832" i="2"/>
  <c r="Q832" i="2"/>
  <c r="P848" i="2"/>
  <c r="Q848" i="2"/>
  <c r="P3521" i="2"/>
  <c r="Q3521" i="2"/>
  <c r="P880" i="2"/>
  <c r="Q880" i="2"/>
  <c r="P888" i="2"/>
  <c r="Q888" i="2"/>
  <c r="P896" i="2"/>
  <c r="Q896" i="2"/>
  <c r="P904" i="2"/>
  <c r="Q904" i="2"/>
  <c r="P912" i="2"/>
  <c r="Q912" i="2"/>
  <c r="P920" i="2"/>
  <c r="Q920" i="2"/>
  <c r="P944" i="2"/>
  <c r="Q944" i="2"/>
  <c r="P952" i="2"/>
  <c r="Q952" i="2"/>
  <c r="P960" i="2"/>
  <c r="Q960" i="2"/>
  <c r="P968" i="2"/>
  <c r="Q968" i="2"/>
  <c r="P992" i="2"/>
  <c r="Q992" i="2"/>
  <c r="P1000" i="2"/>
  <c r="Q1000" i="2"/>
  <c r="P1008" i="2"/>
  <c r="Q1008" i="2"/>
  <c r="P2690" i="2"/>
  <c r="Q2690" i="2"/>
  <c r="P1072" i="2"/>
  <c r="Q1072" i="2"/>
  <c r="P1080" i="2"/>
  <c r="Q1080" i="2"/>
  <c r="P1088" i="2"/>
  <c r="Q1088" i="2"/>
  <c r="P1120" i="2"/>
  <c r="Q1120" i="2"/>
  <c r="P1128" i="2"/>
  <c r="Q1128" i="2"/>
  <c r="P1136" i="2"/>
  <c r="Q1136" i="2"/>
  <c r="P1176" i="2"/>
  <c r="Q1176" i="2"/>
  <c r="P1184" i="2"/>
  <c r="Q1184" i="2"/>
  <c r="P1192" i="2"/>
  <c r="Q1192" i="2"/>
  <c r="P1208" i="2"/>
  <c r="Q1208" i="2"/>
  <c r="P1216" i="2"/>
  <c r="Q1216" i="2"/>
  <c r="P5131" i="2"/>
  <c r="Q5131" i="2"/>
  <c r="P1240" i="2"/>
  <c r="Q1240" i="2"/>
  <c r="P1248" i="2"/>
  <c r="Q1248" i="2"/>
  <c r="P1280" i="2"/>
  <c r="Q1280" i="2"/>
  <c r="P5483" i="2"/>
  <c r="Q5483" i="2"/>
  <c r="P1304" i="2"/>
  <c r="Q1304" i="2"/>
  <c r="P1312" i="2"/>
  <c r="Q1312" i="2"/>
  <c r="P1320" i="2"/>
  <c r="Q1320" i="2"/>
  <c r="P1328" i="2"/>
  <c r="Q1328" i="2"/>
  <c r="P1336" i="2"/>
  <c r="Q1336" i="2"/>
  <c r="P1344" i="2"/>
  <c r="Q1344" i="2"/>
  <c r="P1352" i="2"/>
  <c r="Q1352" i="2"/>
  <c r="P1360" i="2"/>
  <c r="Q1360" i="2"/>
  <c r="P1368" i="2"/>
  <c r="Q1368" i="2"/>
  <c r="P1376" i="2"/>
  <c r="Q1376" i="2"/>
  <c r="P433" i="2"/>
  <c r="Q433" i="2"/>
  <c r="P1400" i="2"/>
  <c r="Q1400" i="2"/>
  <c r="P248" i="2"/>
  <c r="Q248" i="2"/>
  <c r="P846" i="2"/>
  <c r="Q846" i="2"/>
  <c r="P1448" i="2"/>
  <c r="Q1448" i="2"/>
  <c r="P1456" i="2"/>
  <c r="Q1456" i="2"/>
  <c r="P1464" i="2"/>
  <c r="Q1464" i="2"/>
  <c r="P1472" i="2"/>
  <c r="Q1472" i="2"/>
  <c r="P1480" i="2"/>
  <c r="Q1480" i="2"/>
  <c r="P1520" i="2"/>
  <c r="Q1520" i="2"/>
  <c r="P1528" i="2"/>
  <c r="Q1528" i="2"/>
  <c r="P1536" i="2"/>
  <c r="Q1536" i="2"/>
  <c r="P1544" i="2"/>
  <c r="Q1544" i="2"/>
  <c r="P1560" i="2"/>
  <c r="Q1560" i="2"/>
  <c r="P1568" i="2"/>
  <c r="Q1568" i="2"/>
  <c r="P1576" i="2"/>
  <c r="Q1576" i="2"/>
  <c r="P1584" i="2"/>
  <c r="Q1584" i="2"/>
  <c r="P1592" i="2"/>
  <c r="Q1592" i="2"/>
  <c r="P1608" i="2"/>
  <c r="Q1608" i="2"/>
  <c r="P1616" i="2"/>
  <c r="Q1616" i="2"/>
  <c r="P1624" i="2"/>
  <c r="Q1624" i="2"/>
  <c r="P1632" i="2"/>
  <c r="Q1632" i="2"/>
  <c r="P1640" i="2"/>
  <c r="Q1640" i="2"/>
  <c r="P1648" i="2"/>
  <c r="Q1648" i="2"/>
  <c r="P45" i="2"/>
  <c r="Q45" i="2"/>
  <c r="P1664" i="2"/>
  <c r="Q1664" i="2"/>
  <c r="P1672" i="2"/>
  <c r="Q1672" i="2"/>
  <c r="P6588" i="2"/>
  <c r="Q6588" i="2"/>
  <c r="P1688" i="2"/>
  <c r="Q1688" i="2"/>
  <c r="P1696" i="2"/>
  <c r="Q1696" i="2"/>
  <c r="P1704" i="2"/>
  <c r="Q1704" i="2"/>
  <c r="P2373" i="2"/>
  <c r="Q2373" i="2"/>
  <c r="P1728" i="2"/>
  <c r="Q1728" i="2"/>
  <c r="P1736" i="2"/>
  <c r="Q1736" i="2"/>
  <c r="P1744" i="2"/>
  <c r="Q1744" i="2"/>
  <c r="P1752" i="2"/>
  <c r="Q1752" i="2"/>
  <c r="P1760" i="2"/>
  <c r="Q1760" i="2"/>
  <c r="P1768" i="2"/>
  <c r="Q1768" i="2"/>
  <c r="P1776" i="2"/>
  <c r="Q1776" i="2"/>
  <c r="P1784" i="2"/>
  <c r="Q1784" i="2"/>
  <c r="P1792" i="2"/>
  <c r="Q1792" i="2"/>
  <c r="P1800" i="2"/>
  <c r="Q1800" i="2"/>
  <c r="P1808" i="2"/>
  <c r="Q1808" i="2"/>
  <c r="P1832" i="2"/>
  <c r="Q1832" i="2"/>
  <c r="P1840" i="2"/>
  <c r="Q1840" i="2"/>
  <c r="P4798" i="2"/>
  <c r="Q4798" i="2"/>
  <c r="P1864" i="2"/>
  <c r="Q1864" i="2"/>
  <c r="P1904" i="2"/>
  <c r="Q1904" i="2"/>
  <c r="P265" i="2"/>
  <c r="Q265" i="2"/>
  <c r="P5730" i="2"/>
  <c r="Q5730" i="2"/>
  <c r="P1936" i="2"/>
  <c r="Q1936" i="2"/>
  <c r="P1944" i="2"/>
  <c r="Q1944" i="2"/>
  <c r="P1186" i="2"/>
  <c r="Q1186" i="2"/>
  <c r="P1960" i="2"/>
  <c r="Q1960" i="2"/>
  <c r="P1984" i="2"/>
  <c r="Q1984" i="2"/>
  <c r="P1992" i="2"/>
  <c r="Q1992" i="2"/>
  <c r="P2000" i="2"/>
  <c r="Q2000" i="2"/>
  <c r="P2740" i="2"/>
  <c r="Q2740" i="2"/>
  <c r="P2016" i="2"/>
  <c r="Q2016" i="2"/>
  <c r="P2032" i="2"/>
  <c r="Q2032" i="2"/>
  <c r="P2040" i="2"/>
  <c r="Q2040" i="2"/>
  <c r="P3599" i="2"/>
  <c r="Q3599" i="2"/>
  <c r="P2072" i="2"/>
  <c r="Q2072" i="2"/>
  <c r="P2080" i="2"/>
  <c r="Q2080" i="2"/>
  <c r="P2088" i="2"/>
  <c r="Q2088" i="2"/>
  <c r="P286" i="2"/>
  <c r="Q286" i="2"/>
  <c r="P2112" i="2"/>
  <c r="Q2112" i="2"/>
  <c r="P1279" i="2"/>
  <c r="Q1279" i="2"/>
  <c r="P2152" i="2"/>
  <c r="Q2152" i="2"/>
  <c r="P7021" i="2"/>
  <c r="Q7021" i="2"/>
  <c r="P2168" i="2"/>
  <c r="Q2168" i="2"/>
  <c r="P2176" i="2"/>
  <c r="Q2176" i="2"/>
  <c r="P2184" i="2"/>
  <c r="Q2184" i="2"/>
  <c r="P2192" i="2"/>
  <c r="Q2192" i="2"/>
  <c r="P2208" i="2"/>
  <c r="Q2208" i="2"/>
  <c r="P2216" i="2"/>
  <c r="Q2216" i="2"/>
  <c r="P2304" i="2"/>
  <c r="Q2304" i="2"/>
  <c r="P6159" i="2"/>
  <c r="Q6159" i="2"/>
  <c r="P2328" i="2"/>
  <c r="Q2328" i="2"/>
  <c r="P2344" i="2"/>
  <c r="Q2344" i="2"/>
  <c r="P5180" i="2"/>
  <c r="Q5180" i="2"/>
  <c r="P2360" i="2"/>
  <c r="Q2360" i="2"/>
  <c r="P2368" i="2"/>
  <c r="Q2368" i="2"/>
  <c r="P2384" i="2"/>
  <c r="Q2384" i="2"/>
  <c r="P2392" i="2"/>
  <c r="Q2392" i="2"/>
  <c r="P2408" i="2"/>
  <c r="Q2408" i="2"/>
  <c r="P3185" i="2"/>
  <c r="Q3185" i="2"/>
  <c r="P2432" i="2"/>
  <c r="Q2432" i="2"/>
  <c r="P2448" i="2"/>
  <c r="Q2448" i="2"/>
  <c r="P2456" i="2"/>
  <c r="Q2456" i="2"/>
  <c r="P2464" i="2"/>
  <c r="Q2464" i="2"/>
  <c r="P2496" i="2"/>
  <c r="Q2496" i="2"/>
  <c r="P2504" i="2"/>
  <c r="Q2504" i="2"/>
  <c r="P2512" i="2"/>
  <c r="Q2512" i="2"/>
  <c r="P6228" i="2"/>
  <c r="Q6228" i="2"/>
  <c r="P2536" i="2"/>
  <c r="Q2536" i="2"/>
  <c r="P2552" i="2"/>
  <c r="Q2552" i="2"/>
  <c r="P2560" i="2"/>
  <c r="Q2560" i="2"/>
  <c r="P2576" i="2"/>
  <c r="Q2576" i="2"/>
  <c r="P2584" i="2"/>
  <c r="Q2584" i="2"/>
  <c r="P2592" i="2"/>
  <c r="Q2592" i="2"/>
  <c r="P2616" i="2"/>
  <c r="Q2616" i="2"/>
  <c r="P2624" i="2"/>
  <c r="Q2624" i="2"/>
  <c r="P2640" i="2"/>
  <c r="Q2640" i="2"/>
  <c r="P2648" i="2"/>
  <c r="Q2648" i="2"/>
  <c r="P2656" i="2"/>
  <c r="Q2656" i="2"/>
  <c r="P2664" i="2"/>
  <c r="Q2664" i="2"/>
  <c r="P2672" i="2"/>
  <c r="Q2672" i="2"/>
  <c r="P2680" i="2"/>
  <c r="Q2680" i="2"/>
  <c r="P4876" i="2"/>
  <c r="Q4876" i="2"/>
  <c r="P2696" i="2"/>
  <c r="Q2696" i="2"/>
  <c r="P2744" i="2"/>
  <c r="Q2744" i="2"/>
  <c r="P2146" i="2"/>
  <c r="Q2146" i="2"/>
  <c r="P2760" i="2"/>
  <c r="Q2760" i="2"/>
  <c r="P2977" i="2"/>
  <c r="Q2977" i="2"/>
  <c r="P6342" i="2"/>
  <c r="Q6342" i="2"/>
  <c r="P2792" i="2"/>
  <c r="Q2792" i="2"/>
  <c r="P3172" i="2"/>
  <c r="Q3172" i="2"/>
  <c r="P2808" i="2"/>
  <c r="Q2808" i="2"/>
  <c r="P2832" i="2"/>
  <c r="Q2832" i="2"/>
  <c r="P6172" i="2"/>
  <c r="Q6172" i="2"/>
  <c r="P5842" i="2"/>
  <c r="Q5842" i="2"/>
  <c r="P2864" i="2"/>
  <c r="Q2864" i="2"/>
  <c r="P2872" i="2"/>
  <c r="Q2872" i="2"/>
  <c r="P2880" i="2"/>
  <c r="Q2880" i="2"/>
  <c r="P2888" i="2"/>
  <c r="Q2888" i="2"/>
  <c r="P2896" i="2"/>
  <c r="Q2896" i="2"/>
  <c r="P2912" i="2"/>
  <c r="Q2912" i="2"/>
  <c r="P7040" i="2"/>
  <c r="Q7040" i="2"/>
  <c r="P2928" i="2"/>
  <c r="Q2928" i="2"/>
  <c r="P2936" i="2"/>
  <c r="Q2936" i="2"/>
  <c r="P2944" i="2"/>
  <c r="Q2944" i="2"/>
  <c r="P2952" i="2"/>
  <c r="Q2952" i="2"/>
  <c r="P2960" i="2"/>
  <c r="Q2960" i="2"/>
  <c r="P2968" i="2"/>
  <c r="Q2968" i="2"/>
  <c r="P5835" i="2"/>
  <c r="Q5835" i="2"/>
  <c r="P2984" i="2"/>
  <c r="Q2984" i="2"/>
  <c r="P2992" i="2"/>
  <c r="Q2992" i="2"/>
  <c r="P3000" i="2"/>
  <c r="Q3000" i="2"/>
  <c r="P3008" i="2"/>
  <c r="Q3008" i="2"/>
  <c r="P940" i="2"/>
  <c r="Q940" i="2"/>
  <c r="P690" i="2"/>
  <c r="Q690" i="2"/>
  <c r="P3040" i="2"/>
  <c r="Q3040" i="2"/>
  <c r="P3707" i="2"/>
  <c r="Q3707" i="2"/>
  <c r="P3056" i="2"/>
  <c r="Q3056" i="2"/>
  <c r="P3064" i="2"/>
  <c r="Q3064" i="2"/>
  <c r="P3072" i="2"/>
  <c r="Q3072" i="2"/>
  <c r="P3080" i="2"/>
  <c r="Q3080" i="2"/>
  <c r="P3088" i="2"/>
  <c r="Q3088" i="2"/>
  <c r="P3096" i="2"/>
  <c r="Q3096" i="2"/>
  <c r="P3104" i="2"/>
  <c r="Q3104" i="2"/>
  <c r="P6109" i="2"/>
  <c r="Q6109" i="2"/>
  <c r="P3144" i="2"/>
  <c r="Q3144" i="2"/>
  <c r="P3152" i="2"/>
  <c r="Q3152" i="2"/>
  <c r="P3160" i="2"/>
  <c r="Q3160" i="2"/>
  <c r="P3176" i="2"/>
  <c r="Q3176" i="2"/>
  <c r="P3192" i="2"/>
  <c r="Q3192" i="2"/>
  <c r="P996" i="2"/>
  <c r="Q996" i="2"/>
  <c r="P3216" i="2"/>
  <c r="Q3216" i="2"/>
  <c r="P3224" i="2"/>
  <c r="Q3224" i="2"/>
  <c r="P3232" i="2"/>
  <c r="Q3232" i="2"/>
  <c r="P3240" i="2"/>
  <c r="Q3240" i="2"/>
  <c r="P3312" i="2"/>
  <c r="Q3312" i="2"/>
  <c r="P3320" i="2"/>
  <c r="Q3320" i="2"/>
  <c r="P3336" i="2"/>
  <c r="Q3336" i="2"/>
  <c r="P3352" i="2"/>
  <c r="Q3352" i="2"/>
  <c r="P1297" i="2"/>
  <c r="Q1297" i="2"/>
  <c r="P3400" i="2"/>
  <c r="Q3400" i="2"/>
  <c r="P2482" i="2"/>
  <c r="Q2482" i="2"/>
  <c r="P3440" i="2"/>
  <c r="Q3440" i="2"/>
  <c r="P3456" i="2"/>
  <c r="Q3456" i="2"/>
  <c r="P3464" i="2"/>
  <c r="Q3464" i="2"/>
  <c r="P3472" i="2"/>
  <c r="Q3472" i="2"/>
  <c r="P3488" i="2"/>
  <c r="Q3488" i="2"/>
  <c r="P3496" i="2"/>
  <c r="Q3496" i="2"/>
  <c r="P3512" i="2"/>
  <c r="Q3512" i="2"/>
  <c r="P3528" i="2"/>
  <c r="Q3528" i="2"/>
  <c r="P3536" i="2"/>
  <c r="Q3536" i="2"/>
  <c r="P3552" i="2"/>
  <c r="Q3552" i="2"/>
  <c r="P3568" i="2"/>
  <c r="Q3568" i="2"/>
  <c r="P3576" i="2"/>
  <c r="Q3576" i="2"/>
  <c r="P3584" i="2"/>
  <c r="Q3584" i="2"/>
  <c r="P3592" i="2"/>
  <c r="Q3592" i="2"/>
  <c r="P3600" i="2"/>
  <c r="Q3600" i="2"/>
  <c r="P3672" i="2"/>
  <c r="Q3672" i="2"/>
  <c r="P5704" i="2"/>
  <c r="Q5704" i="2"/>
  <c r="P3704" i="2"/>
  <c r="Q3704" i="2"/>
  <c r="P3712" i="2"/>
  <c r="Q3712" i="2"/>
  <c r="P3115" i="2"/>
  <c r="Q3115" i="2"/>
  <c r="P3736" i="2"/>
  <c r="Q3736" i="2"/>
  <c r="P1615" i="2"/>
  <c r="Q1615" i="2"/>
  <c r="P3760" i="2"/>
  <c r="Q3760" i="2"/>
  <c r="P3768" i="2"/>
  <c r="Q3768" i="2"/>
  <c r="P3776" i="2"/>
  <c r="Q3776" i="2"/>
  <c r="P3784" i="2"/>
  <c r="Q3784" i="2"/>
  <c r="P3792" i="2"/>
  <c r="Q3792" i="2"/>
  <c r="P3800" i="2"/>
  <c r="Q3800" i="2"/>
  <c r="P3840" i="2"/>
  <c r="Q3840" i="2"/>
  <c r="P4858" i="2"/>
  <c r="Q4858" i="2"/>
  <c r="P3864" i="2"/>
  <c r="Q3864" i="2"/>
  <c r="P3872" i="2"/>
  <c r="Q3872" i="2"/>
  <c r="P303" i="2"/>
  <c r="Q303" i="2"/>
  <c r="P3896" i="2"/>
  <c r="Q3896" i="2"/>
  <c r="P3912" i="2"/>
  <c r="Q3912" i="2"/>
  <c r="P2490" i="2"/>
  <c r="Q2490" i="2"/>
  <c r="P4378" i="2"/>
  <c r="Q4378" i="2"/>
  <c r="P4418" i="2"/>
  <c r="Q4418" i="2"/>
  <c r="P4450" i="2"/>
  <c r="Q4450" i="2"/>
  <c r="P4466" i="2"/>
  <c r="Q4466" i="2"/>
  <c r="P4482" i="2"/>
  <c r="Q4482" i="2"/>
  <c r="P4490" i="2"/>
  <c r="Q4490" i="2"/>
  <c r="P4506" i="2"/>
  <c r="Q4506" i="2"/>
  <c r="P4514" i="2"/>
  <c r="Q4514" i="2"/>
  <c r="P4538" i="2"/>
  <c r="Q4538" i="2"/>
  <c r="P4562" i="2"/>
  <c r="Q4562" i="2"/>
  <c r="P4618" i="2"/>
  <c r="Q4618" i="2"/>
  <c r="P4626" i="2"/>
  <c r="Q4626" i="2"/>
  <c r="P4674" i="2"/>
  <c r="Q4674" i="2"/>
  <c r="P4690" i="2"/>
  <c r="Q4690" i="2"/>
  <c r="P4698" i="2"/>
  <c r="Q4698" i="2"/>
  <c r="P4706" i="2"/>
  <c r="Q4706" i="2"/>
  <c r="P4738" i="2"/>
  <c r="Q4738" i="2"/>
  <c r="P4778" i="2"/>
  <c r="Q4778" i="2"/>
  <c r="P4842" i="2"/>
  <c r="Q4842" i="2"/>
  <c r="P4898" i="2"/>
  <c r="Q4898" i="2"/>
  <c r="P4906" i="2"/>
  <c r="Q4906" i="2"/>
  <c r="P4914" i="2"/>
  <c r="Q4914" i="2"/>
  <c r="P4930" i="2"/>
  <c r="Q4930" i="2"/>
  <c r="P4954" i="2"/>
  <c r="Q4954" i="2"/>
  <c r="P4970" i="2"/>
  <c r="Q4970" i="2"/>
  <c r="P4994" i="2"/>
  <c r="Q4994" i="2"/>
  <c r="P5018" i="2"/>
  <c r="Q5018" i="2"/>
  <c r="P5042" i="2"/>
  <c r="Q5042" i="2"/>
  <c r="P5050" i="2"/>
  <c r="Q5050" i="2"/>
  <c r="P5058" i="2"/>
  <c r="Q5058" i="2"/>
  <c r="P5082" i="2"/>
  <c r="Q5082" i="2"/>
  <c r="P5154" i="2"/>
  <c r="Q5154" i="2"/>
  <c r="P5162" i="2"/>
  <c r="Q5162" i="2"/>
  <c r="P5170" i="2"/>
  <c r="Q5170" i="2"/>
  <c r="P5178" i="2"/>
  <c r="Q5178" i="2"/>
  <c r="P5202" i="2"/>
  <c r="Q5202" i="2"/>
  <c r="P5210" i="2"/>
  <c r="Q5210" i="2"/>
  <c r="P5266" i="2"/>
  <c r="Q5266" i="2"/>
  <c r="P5274" i="2"/>
  <c r="Q5274" i="2"/>
  <c r="P5314" i="2"/>
  <c r="Q5314" i="2"/>
  <c r="P5322" i="2"/>
  <c r="Q5322" i="2"/>
  <c r="P5330" i="2"/>
  <c r="Q5330" i="2"/>
  <c r="P5362" i="2"/>
  <c r="Q5362" i="2"/>
  <c r="P5386" i="2"/>
  <c r="Q5386" i="2"/>
  <c r="P5394" i="2"/>
  <c r="Q5394" i="2"/>
  <c r="P5410" i="2"/>
  <c r="Q5410" i="2"/>
  <c r="P5426" i="2"/>
  <c r="Q5426" i="2"/>
  <c r="P5442" i="2"/>
  <c r="Q5442" i="2"/>
  <c r="P5458" i="2"/>
  <c r="Q5458" i="2"/>
  <c r="P5530" i="2"/>
  <c r="Q5530" i="2"/>
  <c r="P5538" i="2"/>
  <c r="Q5538" i="2"/>
  <c r="P5586" i="2"/>
  <c r="Q5586" i="2"/>
  <c r="P5602" i="2"/>
  <c r="Q5602" i="2"/>
  <c r="P5642" i="2"/>
  <c r="Q5642" i="2"/>
  <c r="P5658" i="2"/>
  <c r="Q5658" i="2"/>
  <c r="P5666" i="2"/>
  <c r="Q5666" i="2"/>
  <c r="P5674" i="2"/>
  <c r="Q5674" i="2"/>
  <c r="P5690" i="2"/>
  <c r="Q5690" i="2"/>
  <c r="P5714" i="2"/>
  <c r="Q5714" i="2"/>
  <c r="P5762" i="2"/>
  <c r="Q5762" i="2"/>
  <c r="P5810" i="2"/>
  <c r="Q5810" i="2"/>
  <c r="P5826" i="2"/>
  <c r="Q5826" i="2"/>
  <c r="P5858" i="2"/>
  <c r="Q5858" i="2"/>
  <c r="P5866" i="2"/>
  <c r="Q5866" i="2"/>
  <c r="P5874" i="2"/>
  <c r="Q5874" i="2"/>
  <c r="P5882" i="2"/>
  <c r="Q5882" i="2"/>
  <c r="P5890" i="2"/>
  <c r="Q5890" i="2"/>
  <c r="P5954" i="2"/>
  <c r="Q5954" i="2"/>
  <c r="P6002" i="2"/>
  <c r="Q6002" i="2"/>
  <c r="P6010" i="2"/>
  <c r="Q6010" i="2"/>
  <c r="P6018" i="2"/>
  <c r="Q6018" i="2"/>
  <c r="P6026" i="2"/>
  <c r="Q6026" i="2"/>
  <c r="P6042" i="2"/>
  <c r="Q6042" i="2"/>
  <c r="P6098" i="2"/>
  <c r="Q6098" i="2"/>
  <c r="P6114" i="2"/>
  <c r="Q6114" i="2"/>
  <c r="P6122" i="2"/>
  <c r="Q6122" i="2"/>
  <c r="P6130" i="2"/>
  <c r="Q6130" i="2"/>
  <c r="P6154" i="2"/>
  <c r="Q6154" i="2"/>
  <c r="P6178" i="2"/>
  <c r="Q6178" i="2"/>
  <c r="P6194" i="2"/>
  <c r="Q6194" i="2"/>
  <c r="P6202" i="2"/>
  <c r="Q6202" i="2"/>
  <c r="P6210" i="2"/>
  <c r="Q6210" i="2"/>
  <c r="P6234" i="2"/>
  <c r="Q6234" i="2"/>
  <c r="P6274" i="2"/>
  <c r="Q6274" i="2"/>
  <c r="P6282" i="2"/>
  <c r="Q6282" i="2"/>
  <c r="P6306" i="2"/>
  <c r="Q6306" i="2"/>
  <c r="P6314" i="2"/>
  <c r="Q6314" i="2"/>
  <c r="P6322" i="2"/>
  <c r="Q6322" i="2"/>
  <c r="P6330" i="2"/>
  <c r="Q6330" i="2"/>
  <c r="P6346" i="2"/>
  <c r="Q6346" i="2"/>
  <c r="P6354" i="2"/>
  <c r="Q6354" i="2"/>
  <c r="P6362" i="2"/>
  <c r="Q6362" i="2"/>
  <c r="P6370" i="2"/>
  <c r="Q6370" i="2"/>
  <c r="P6378" i="2"/>
  <c r="Q6378" i="2"/>
  <c r="P6394" i="2"/>
  <c r="Q6394" i="2"/>
  <c r="P6402" i="2"/>
  <c r="Q6402" i="2"/>
  <c r="P6410" i="2"/>
  <c r="Q6410" i="2"/>
  <c r="P6514" i="2"/>
  <c r="Q6514" i="2"/>
  <c r="P6594" i="2"/>
  <c r="Q6594" i="2"/>
  <c r="P6618" i="2"/>
  <c r="Q6618" i="2"/>
  <c r="P6626" i="2"/>
  <c r="Q6626" i="2"/>
  <c r="P6658" i="2"/>
  <c r="Q6658" i="2"/>
  <c r="P6674" i="2"/>
  <c r="Q6674" i="2"/>
  <c r="P6682" i="2"/>
  <c r="Q6682" i="2"/>
  <c r="P6698" i="2"/>
  <c r="Q6698" i="2"/>
  <c r="P6714" i="2"/>
  <c r="Q6714" i="2"/>
  <c r="P6730" i="2"/>
  <c r="Q6730" i="2"/>
  <c r="P6754" i="2"/>
  <c r="Q6754" i="2"/>
  <c r="P6786" i="2"/>
  <c r="Q6786" i="2"/>
  <c r="P6802" i="2"/>
  <c r="Q6802" i="2"/>
  <c r="P6818" i="2"/>
  <c r="Q6818" i="2"/>
  <c r="P6834" i="2"/>
  <c r="Q6834" i="2"/>
  <c r="P6850" i="2"/>
  <c r="Q6850" i="2"/>
  <c r="P6946" i="2"/>
  <c r="Q6946" i="2"/>
  <c r="P6954" i="2"/>
  <c r="Q6954" i="2"/>
  <c r="P6962" i="2"/>
  <c r="Q6962" i="2"/>
  <c r="P6970" i="2"/>
  <c r="Q6970" i="2"/>
  <c r="P6978" i="2"/>
  <c r="Q6978" i="2"/>
  <c r="P7050" i="2"/>
  <c r="Q7050" i="2"/>
  <c r="P7066" i="2"/>
  <c r="Q7066" i="2"/>
  <c r="P7074" i="2"/>
  <c r="Q7074" i="2"/>
  <c r="P7162" i="2"/>
  <c r="Q7162" i="2"/>
  <c r="P7170" i="2"/>
  <c r="Q7170" i="2"/>
  <c r="P7194" i="2"/>
  <c r="Q7194" i="2"/>
  <c r="P7210" i="2"/>
  <c r="Q7210" i="2"/>
  <c r="P7226" i="2"/>
  <c r="Q7226" i="2"/>
  <c r="P7266" i="2"/>
  <c r="Q7266" i="2"/>
  <c r="P7274" i="2"/>
  <c r="Q7274" i="2"/>
  <c r="P7282" i="2"/>
  <c r="Q7282" i="2"/>
  <c r="P11" i="2"/>
  <c r="Q11" i="2"/>
  <c r="P19" i="2"/>
  <c r="Q19" i="2"/>
  <c r="P27" i="2"/>
  <c r="Q27" i="2"/>
  <c r="P51" i="2"/>
  <c r="Q51" i="2"/>
  <c r="P59" i="2"/>
  <c r="Q59" i="2"/>
  <c r="P67" i="2"/>
  <c r="Q67" i="2"/>
  <c r="P115" i="2"/>
  <c r="Q115" i="2"/>
  <c r="P123" i="2"/>
  <c r="Q123" i="2"/>
  <c r="P131" i="2"/>
  <c r="Q131" i="2"/>
  <c r="P155" i="2"/>
  <c r="Q155" i="2"/>
  <c r="P187" i="2"/>
  <c r="Q187" i="2"/>
  <c r="P5161" i="2"/>
  <c r="Q5161" i="2"/>
  <c r="P211" i="2"/>
  <c r="Q211" i="2"/>
  <c r="P219" i="2"/>
  <c r="Q219" i="2"/>
  <c r="P259" i="2"/>
  <c r="Q259" i="2"/>
  <c r="P267" i="2"/>
  <c r="Q267" i="2"/>
  <c r="P275" i="2"/>
  <c r="Q275" i="2"/>
  <c r="P283" i="2"/>
  <c r="Q283" i="2"/>
  <c r="P291" i="2"/>
  <c r="Q291" i="2"/>
  <c r="P307" i="2"/>
  <c r="Q307" i="2"/>
  <c r="P323" i="2"/>
  <c r="Q323" i="2"/>
  <c r="P331" i="2"/>
  <c r="Q331" i="2"/>
  <c r="P355" i="2"/>
  <c r="Q355" i="2"/>
  <c r="P387" i="2"/>
  <c r="Q387" i="2"/>
  <c r="P403" i="2"/>
  <c r="Q403" i="2"/>
  <c r="P419" i="2"/>
  <c r="Q419" i="2"/>
  <c r="P443" i="2"/>
  <c r="Q443" i="2"/>
  <c r="P459" i="2"/>
  <c r="Q459" i="2"/>
  <c r="P467" i="2"/>
  <c r="Q467" i="2"/>
  <c r="P475" i="2"/>
  <c r="Q475" i="2"/>
  <c r="P491" i="2"/>
  <c r="Q491" i="2"/>
  <c r="P515" i="2"/>
  <c r="Q515" i="2"/>
  <c r="P6539" i="2"/>
  <c r="Q6539" i="2"/>
  <c r="P547" i="2"/>
  <c r="Q547" i="2"/>
  <c r="P571" i="2"/>
  <c r="Q571" i="2"/>
  <c r="P587" i="2"/>
  <c r="Q587" i="2"/>
  <c r="P595" i="2"/>
  <c r="Q595" i="2"/>
  <c r="P603" i="2"/>
  <c r="Q603" i="2"/>
  <c r="P611" i="2"/>
  <c r="Q611" i="2"/>
  <c r="P627" i="2"/>
  <c r="Q627" i="2"/>
  <c r="P635" i="2"/>
  <c r="Q635" i="2"/>
  <c r="P667" i="2"/>
  <c r="Q667" i="2"/>
  <c r="P683" i="2"/>
  <c r="Q683" i="2"/>
  <c r="P707" i="2"/>
  <c r="Q707" i="2"/>
  <c r="P715" i="2"/>
  <c r="Q715" i="2"/>
  <c r="P723" i="2"/>
  <c r="Q723" i="2"/>
  <c r="P731" i="2"/>
  <c r="Q731" i="2"/>
  <c r="P755" i="2"/>
  <c r="Q755" i="2"/>
  <c r="P779" i="2"/>
  <c r="Q779" i="2"/>
  <c r="P811" i="2"/>
  <c r="Q811" i="2"/>
  <c r="P835" i="2"/>
  <c r="Q835" i="2"/>
  <c r="P859" i="2"/>
  <c r="Q859" i="2"/>
  <c r="P867" i="2"/>
  <c r="Q867" i="2"/>
  <c r="P875" i="2"/>
  <c r="Q875" i="2"/>
  <c r="P899" i="2"/>
  <c r="Q899" i="2"/>
  <c r="P915" i="2"/>
  <c r="Q915" i="2"/>
  <c r="P947" i="2"/>
  <c r="Q947" i="2"/>
  <c r="P971" i="2"/>
  <c r="Q971" i="2"/>
  <c r="P979" i="2"/>
  <c r="Q979" i="2"/>
  <c r="P1003" i="2"/>
  <c r="Q1003" i="2"/>
  <c r="P1011" i="2"/>
  <c r="Q1011" i="2"/>
  <c r="P1123" i="2"/>
  <c r="Q1123" i="2"/>
  <c r="P1131" i="2"/>
  <c r="Q1131" i="2"/>
  <c r="P1139" i="2"/>
  <c r="Q1139" i="2"/>
  <c r="P1155" i="2"/>
  <c r="Q1155" i="2"/>
  <c r="P1163" i="2"/>
  <c r="Q1163" i="2"/>
  <c r="P1179" i="2"/>
  <c r="Q1179" i="2"/>
  <c r="P1203" i="2"/>
  <c r="Q1203" i="2"/>
  <c r="P1219" i="2"/>
  <c r="Q1219" i="2"/>
  <c r="P1251" i="2"/>
  <c r="Q1251" i="2"/>
  <c r="P1259" i="2"/>
  <c r="Q1259" i="2"/>
  <c r="P4630" i="2"/>
  <c r="Q4630" i="2"/>
  <c r="P1299" i="2"/>
  <c r="Q1299" i="2"/>
  <c r="P1307" i="2"/>
  <c r="Q1307" i="2"/>
  <c r="P1315" i="2"/>
  <c r="Q1315" i="2"/>
  <c r="P1323" i="2"/>
  <c r="Q1323" i="2"/>
  <c r="P1331" i="2"/>
  <c r="Q1331" i="2"/>
  <c r="P1339" i="2"/>
  <c r="Q1339" i="2"/>
  <c r="P1347" i="2"/>
  <c r="Q1347" i="2"/>
  <c r="P3811" i="2"/>
  <c r="Q3811" i="2"/>
  <c r="P1411" i="2"/>
  <c r="Q1411" i="2"/>
  <c r="P1419" i="2"/>
  <c r="Q1419" i="2"/>
  <c r="P1435" i="2"/>
  <c r="Q1435" i="2"/>
  <c r="P1451" i="2"/>
  <c r="Q1451" i="2"/>
  <c r="P1459" i="2"/>
  <c r="Q1459" i="2"/>
  <c r="P1467" i="2"/>
  <c r="Q1467" i="2"/>
  <c r="P1475" i="2"/>
  <c r="Q1475" i="2"/>
  <c r="P1483" i="2"/>
  <c r="Q1483" i="2"/>
  <c r="P1515" i="2"/>
  <c r="Q1515" i="2"/>
  <c r="P1523" i="2"/>
  <c r="Q1523" i="2"/>
  <c r="P6778" i="2"/>
  <c r="Q6778" i="2"/>
  <c r="P1555" i="2"/>
  <c r="Q1555" i="2"/>
  <c r="P1563" i="2"/>
  <c r="Q1563" i="2"/>
  <c r="P1579" i="2"/>
  <c r="Q1579" i="2"/>
  <c r="P1611" i="2"/>
  <c r="Q1611" i="2"/>
  <c r="P1635" i="2"/>
  <c r="Q1635" i="2"/>
  <c r="P1643" i="2"/>
  <c r="Q1643" i="2"/>
  <c r="P1651" i="2"/>
  <c r="Q1651" i="2"/>
  <c r="P1667" i="2"/>
  <c r="Q1667" i="2"/>
  <c r="P1691" i="2"/>
  <c r="Q1691" i="2"/>
  <c r="P1707" i="2"/>
  <c r="Q1707" i="2"/>
  <c r="P1715" i="2"/>
  <c r="Q1715" i="2"/>
  <c r="P1723" i="2"/>
  <c r="Q1723" i="2"/>
  <c r="P1731" i="2"/>
  <c r="Q1731" i="2"/>
  <c r="P1739" i="2"/>
  <c r="Q1739" i="2"/>
  <c r="P1755" i="2"/>
  <c r="Q1755" i="2"/>
  <c r="P1763" i="2"/>
  <c r="Q1763" i="2"/>
  <c r="P1771" i="2"/>
  <c r="Q1771" i="2"/>
  <c r="P1795" i="2"/>
  <c r="Q1795" i="2"/>
  <c r="P1803" i="2"/>
  <c r="Q1803" i="2"/>
  <c r="P1811" i="2"/>
  <c r="Q1811" i="2"/>
  <c r="P1827" i="2"/>
  <c r="Q1827" i="2"/>
  <c r="P1843" i="2"/>
  <c r="Q1843" i="2"/>
  <c r="P1851" i="2"/>
  <c r="Q1851" i="2"/>
  <c r="P2159" i="2"/>
  <c r="Q2159" i="2"/>
  <c r="P1875" i="2"/>
  <c r="Q1875" i="2"/>
  <c r="P1923" i="2"/>
  <c r="Q1923" i="2"/>
  <c r="P2856" i="2"/>
  <c r="Q2856" i="2"/>
  <c r="P1987" i="2"/>
  <c r="Q1987" i="2"/>
  <c r="P5998" i="2"/>
  <c r="Q5998" i="2"/>
  <c r="P2003" i="2"/>
  <c r="Q2003" i="2"/>
  <c r="P2011" i="2"/>
  <c r="Q2011" i="2"/>
  <c r="P2019" i="2"/>
  <c r="Q2019" i="2"/>
  <c r="P2027" i="2"/>
  <c r="Q2027" i="2"/>
  <c r="P2035" i="2"/>
  <c r="Q2035" i="2"/>
  <c r="P2043" i="2"/>
  <c r="Q2043" i="2"/>
  <c r="P2051" i="2"/>
  <c r="Q2051" i="2"/>
  <c r="P5878" i="2"/>
  <c r="Q5878" i="2"/>
  <c r="P2099" i="2"/>
  <c r="Q2099" i="2"/>
  <c r="P2115" i="2"/>
  <c r="Q2115" i="2"/>
  <c r="P2139" i="2"/>
  <c r="Q2139" i="2"/>
  <c r="P2034" i="2"/>
  <c r="Q2034" i="2"/>
  <c r="P2179" i="2"/>
  <c r="Q2179" i="2"/>
  <c r="P2187" i="2"/>
  <c r="Q2187" i="2"/>
  <c r="P2195" i="2"/>
  <c r="Q2195" i="2"/>
  <c r="P2211" i="2"/>
  <c r="Q2211" i="2"/>
  <c r="P2275" i="2"/>
  <c r="Q2275" i="2"/>
  <c r="P2291" i="2"/>
  <c r="Q2291" i="2"/>
  <c r="P2307" i="2"/>
  <c r="Q2307" i="2"/>
  <c r="P2315" i="2"/>
  <c r="Q2315" i="2"/>
  <c r="P2323" i="2"/>
  <c r="Q2323" i="2"/>
  <c r="P2331" i="2"/>
  <c r="Q2331" i="2"/>
  <c r="P2347" i="2"/>
  <c r="Q2347" i="2"/>
  <c r="P2355" i="2"/>
  <c r="Q2355" i="2"/>
  <c r="P2379" i="2"/>
  <c r="Q2379" i="2"/>
  <c r="P2419" i="2"/>
  <c r="Q2419" i="2"/>
  <c r="P2427" i="2"/>
  <c r="Q2427" i="2"/>
  <c r="P2435" i="2"/>
  <c r="Q2435" i="2"/>
  <c r="P2459" i="2"/>
  <c r="Q2459" i="2"/>
  <c r="P2475" i="2"/>
  <c r="Q2475" i="2"/>
  <c r="P2483" i="2"/>
  <c r="Q2483" i="2"/>
  <c r="P2491" i="2"/>
  <c r="Q2491" i="2"/>
  <c r="P2531" i="2"/>
  <c r="Q2531" i="2"/>
  <c r="P2547" i="2"/>
  <c r="Q2547" i="2"/>
  <c r="P2555" i="2"/>
  <c r="Q2555" i="2"/>
  <c r="P2563" i="2"/>
  <c r="Q2563" i="2"/>
  <c r="P2571" i="2"/>
  <c r="Q2571" i="2"/>
  <c r="P2579" i="2"/>
  <c r="Q2579" i="2"/>
  <c r="P2595" i="2"/>
  <c r="Q2595" i="2"/>
  <c r="P2627" i="2"/>
  <c r="Q2627" i="2"/>
  <c r="P2635" i="2"/>
  <c r="Q2635" i="2"/>
  <c r="P2643" i="2"/>
  <c r="Q2643" i="2"/>
  <c r="P2651" i="2"/>
  <c r="Q2651" i="2"/>
  <c r="P2667" i="2"/>
  <c r="Q2667" i="2"/>
  <c r="P2675" i="2"/>
  <c r="Q2675" i="2"/>
  <c r="P2683" i="2"/>
  <c r="Q2683" i="2"/>
  <c r="P4206" i="2"/>
  <c r="Q4206" i="2"/>
  <c r="P2787" i="2"/>
  <c r="Q2787" i="2"/>
  <c r="P2795" i="2"/>
  <c r="Q2795" i="2"/>
  <c r="P2843" i="2"/>
  <c r="Q2843" i="2"/>
  <c r="P1461" i="2"/>
  <c r="Q1461" i="2"/>
  <c r="P2867" i="2"/>
  <c r="Q2867" i="2"/>
  <c r="P2875" i="2"/>
  <c r="Q2875" i="2"/>
  <c r="P2883" i="2"/>
  <c r="Q2883" i="2"/>
  <c r="P2891" i="2"/>
  <c r="Q2891" i="2"/>
  <c r="P2907" i="2"/>
  <c r="Q2907" i="2"/>
  <c r="P2915" i="2"/>
  <c r="Q2915" i="2"/>
  <c r="P2923" i="2"/>
  <c r="Q2923" i="2"/>
  <c r="P2931" i="2"/>
  <c r="Q2931" i="2"/>
  <c r="P5751" i="2"/>
  <c r="Q5751" i="2"/>
  <c r="P684" i="2"/>
  <c r="Q684" i="2"/>
  <c r="P3003" i="2"/>
  <c r="Q3003" i="2"/>
  <c r="P3035" i="2"/>
  <c r="Q3035" i="2"/>
  <c r="P82" i="2"/>
  <c r="Q82" i="2"/>
  <c r="P3059" i="2"/>
  <c r="Q3059" i="2"/>
  <c r="P3067" i="2"/>
  <c r="Q3067" i="2"/>
  <c r="P3075" i="2"/>
  <c r="Q3075" i="2"/>
  <c r="P3083" i="2"/>
  <c r="Q3083" i="2"/>
  <c r="P3091" i="2"/>
  <c r="Q3091" i="2"/>
  <c r="P3099" i="2"/>
  <c r="Q3099" i="2"/>
  <c r="P234" i="2"/>
  <c r="Q234" i="2"/>
  <c r="P3131" i="2"/>
  <c r="Q3131" i="2"/>
  <c r="P1995" i="2"/>
  <c r="Q1995" i="2"/>
  <c r="P3179" i="2"/>
  <c r="Q3179" i="2"/>
  <c r="P3187" i="2"/>
  <c r="Q3187" i="2"/>
  <c r="P3203" i="2"/>
  <c r="Q3203" i="2"/>
  <c r="P3211" i="2"/>
  <c r="Q3211" i="2"/>
  <c r="P3219" i="2"/>
  <c r="Q3219" i="2"/>
  <c r="P3235" i="2"/>
  <c r="Q3235" i="2"/>
  <c r="P3243" i="2"/>
  <c r="Q3243" i="2"/>
  <c r="P3259" i="2"/>
  <c r="Q3259" i="2"/>
  <c r="P3275" i="2"/>
  <c r="Q3275" i="2"/>
  <c r="P3291" i="2"/>
  <c r="Q3291" i="2"/>
  <c r="P1678" i="2"/>
  <c r="Q1678" i="2"/>
  <c r="P3315" i="2"/>
  <c r="Q3315" i="2"/>
  <c r="P3331" i="2"/>
  <c r="Q3331" i="2"/>
  <c r="P3339" i="2"/>
  <c r="Q3339" i="2"/>
  <c r="P439" i="2"/>
  <c r="Q439" i="2"/>
  <c r="P3387" i="2"/>
  <c r="Q3387" i="2"/>
  <c r="P3395" i="2"/>
  <c r="Q3395" i="2"/>
  <c r="P3411" i="2"/>
  <c r="Q3411" i="2"/>
  <c r="P3427" i="2"/>
  <c r="Q3427" i="2"/>
  <c r="P3443" i="2"/>
  <c r="Q3443" i="2"/>
  <c r="P3459" i="2"/>
  <c r="Q3459" i="2"/>
  <c r="P3467" i="2"/>
  <c r="Q3467" i="2"/>
  <c r="P3499" i="2"/>
  <c r="Q3499" i="2"/>
  <c r="P3507" i="2"/>
  <c r="Q3507" i="2"/>
  <c r="P3515" i="2"/>
  <c r="Q3515" i="2"/>
  <c r="P3523" i="2"/>
  <c r="Q3523" i="2"/>
  <c r="P3531" i="2"/>
  <c r="Q3531" i="2"/>
  <c r="P3547" i="2"/>
  <c r="Q3547" i="2"/>
  <c r="P3555" i="2"/>
  <c r="Q3555" i="2"/>
  <c r="P3563" i="2"/>
  <c r="Q3563" i="2"/>
  <c r="P3571" i="2"/>
  <c r="Q3571" i="2"/>
  <c r="P3587" i="2"/>
  <c r="Q3587" i="2"/>
  <c r="P3595" i="2"/>
  <c r="Q3595" i="2"/>
  <c r="P3635" i="2"/>
  <c r="Q3635" i="2"/>
  <c r="P3643" i="2"/>
  <c r="Q3643" i="2"/>
  <c r="P3651" i="2"/>
  <c r="Q3651" i="2"/>
  <c r="P3667" i="2"/>
  <c r="Q3667" i="2"/>
  <c r="P3699" i="2"/>
  <c r="Q3699" i="2"/>
  <c r="P2474" i="2"/>
  <c r="Q2474" i="2"/>
  <c r="P3747" i="2"/>
  <c r="Q3747" i="2"/>
  <c r="P3771" i="2"/>
  <c r="Q3771" i="2"/>
  <c r="P3779" i="2"/>
  <c r="Q3779" i="2"/>
  <c r="P3787" i="2"/>
  <c r="Q3787" i="2"/>
  <c r="P3803" i="2"/>
  <c r="Q3803" i="2"/>
  <c r="P3819" i="2"/>
  <c r="Q3819" i="2"/>
  <c r="P2352" i="2"/>
  <c r="Q2352" i="2"/>
  <c r="P3843" i="2"/>
  <c r="Q3843" i="2"/>
  <c r="P3859" i="2"/>
  <c r="Q3859" i="2"/>
  <c r="P3875" i="2"/>
  <c r="Q3875" i="2"/>
  <c r="P3891" i="2"/>
  <c r="Q3891" i="2"/>
  <c r="P3907" i="2"/>
  <c r="Q3907" i="2"/>
  <c r="P3915" i="2"/>
  <c r="Q3915" i="2"/>
  <c r="P4715" i="2"/>
  <c r="Q4715" i="2"/>
  <c r="P675" i="2"/>
  <c r="Q675" i="2"/>
  <c r="P3963" i="2"/>
  <c r="Q3963" i="2"/>
  <c r="P3979" i="2"/>
  <c r="Q3979" i="2"/>
  <c r="P7043" i="2"/>
  <c r="Q7043" i="2"/>
  <c r="P3995" i="2"/>
  <c r="Q3995" i="2"/>
  <c r="P4019" i="2"/>
  <c r="Q4019" i="2"/>
  <c r="P4027" i="2"/>
  <c r="Q4027" i="2"/>
  <c r="P4035" i="2"/>
  <c r="Q4035" i="2"/>
  <c r="P5671" i="2"/>
  <c r="Q5671" i="2"/>
  <c r="P4099" i="2"/>
  <c r="Q4099" i="2"/>
  <c r="P4107" i="2"/>
  <c r="Q4107" i="2"/>
  <c r="P4131" i="2"/>
  <c r="Q4131" i="2"/>
  <c r="P4139" i="2"/>
  <c r="Q4139" i="2"/>
  <c r="P4171" i="2"/>
  <c r="Q4171" i="2"/>
  <c r="P1490" i="2"/>
  <c r="Q1490" i="2"/>
  <c r="P4195" i="2"/>
  <c r="Q4195" i="2"/>
  <c r="P2380" i="2"/>
  <c r="Q2380" i="2"/>
  <c r="P4219" i="2"/>
  <c r="Q4219" i="2"/>
  <c r="P4227" i="2"/>
  <c r="Q4227" i="2"/>
  <c r="P4235" i="2"/>
  <c r="Q4235" i="2"/>
  <c r="P4243" i="2"/>
  <c r="Q4243" i="2"/>
  <c r="P4251" i="2"/>
  <c r="Q4251" i="2"/>
  <c r="P4267" i="2"/>
  <c r="Q4267" i="2"/>
  <c r="P2154" i="2"/>
  <c r="Q2154" i="2"/>
  <c r="P4315" i="2"/>
  <c r="Q4315" i="2"/>
  <c r="P4323" i="2"/>
  <c r="Q4323" i="2"/>
  <c r="P4331" i="2"/>
  <c r="Q4331" i="2"/>
  <c r="P4347" i="2"/>
  <c r="Q4347" i="2"/>
  <c r="P4371" i="2"/>
  <c r="Q4371" i="2"/>
  <c r="P3960" i="2"/>
  <c r="Q3960" i="2"/>
  <c r="P4395" i="2"/>
  <c r="Q4395" i="2"/>
  <c r="P4411" i="2"/>
  <c r="Q4411" i="2"/>
  <c r="P4419" i="2"/>
  <c r="Q4419" i="2"/>
  <c r="P4435" i="2"/>
  <c r="Q4435" i="2"/>
  <c r="P4443" i="2"/>
  <c r="Q4443" i="2"/>
  <c r="P4451" i="2"/>
  <c r="Q4451" i="2"/>
  <c r="P4459" i="2"/>
  <c r="Q4459" i="2"/>
  <c r="P4467" i="2"/>
  <c r="Q4467" i="2"/>
  <c r="P4475" i="2"/>
  <c r="Q4475" i="2"/>
  <c r="P4483" i="2"/>
  <c r="Q4483" i="2"/>
  <c r="P4499" i="2"/>
  <c r="Q4499" i="2"/>
  <c r="P4507" i="2"/>
  <c r="Q4507" i="2"/>
  <c r="P4515" i="2"/>
  <c r="Q4515" i="2"/>
  <c r="P4523" i="2"/>
  <c r="Q4523" i="2"/>
  <c r="P1345" i="2"/>
  <c r="Q1345" i="2"/>
  <c r="P4555" i="2"/>
  <c r="Q4555" i="2"/>
  <c r="P4563" i="2"/>
  <c r="Q4563" i="2"/>
  <c r="P6187" i="2"/>
  <c r="Q6187" i="2"/>
  <c r="P4595" i="2"/>
  <c r="Q4595" i="2"/>
  <c r="P4619" i="2"/>
  <c r="Q4619" i="2"/>
  <c r="P4627" i="2"/>
  <c r="Q4627" i="2"/>
  <c r="P4643" i="2"/>
  <c r="Q4643" i="2"/>
  <c r="P4659" i="2"/>
  <c r="Q4659" i="2"/>
  <c r="P4691" i="2"/>
  <c r="Q4691" i="2"/>
  <c r="P4699" i="2"/>
  <c r="Q4699" i="2"/>
  <c r="P4707" i="2"/>
  <c r="Q4707" i="2"/>
  <c r="P4723" i="2"/>
  <c r="Q4723" i="2"/>
  <c r="P4739" i="2"/>
  <c r="Q4739" i="2"/>
  <c r="P1013" i="2"/>
  <c r="Q1013" i="2"/>
  <c r="P4763" i="2"/>
  <c r="Q4763" i="2"/>
  <c r="P2161" i="2"/>
  <c r="Q2161" i="2"/>
  <c r="P4787" i="2"/>
  <c r="Q4787" i="2"/>
  <c r="P4835" i="2"/>
  <c r="Q4835" i="2"/>
  <c r="P4891" i="2"/>
  <c r="Q4891" i="2"/>
  <c r="P4899" i="2"/>
  <c r="Q4899" i="2"/>
  <c r="P4907" i="2"/>
  <c r="Q4907" i="2"/>
  <c r="P4915" i="2"/>
  <c r="Q4915" i="2"/>
  <c r="P4923" i="2"/>
  <c r="Q4923" i="2"/>
  <c r="P4939" i="2"/>
  <c r="Q4939" i="2"/>
  <c r="P5245" i="2"/>
  <c r="Q5245" i="2"/>
  <c r="P4955" i="2"/>
  <c r="Q4955" i="2"/>
  <c r="P4971" i="2"/>
  <c r="Q4971" i="2"/>
  <c r="P4979" i="2"/>
  <c r="Q4979" i="2"/>
  <c r="P4995" i="2"/>
  <c r="Q4995" i="2"/>
  <c r="P5019" i="2"/>
  <c r="Q5019" i="2"/>
  <c r="P5027" i="2"/>
  <c r="Q5027" i="2"/>
  <c r="P5035" i="2"/>
  <c r="Q5035" i="2"/>
  <c r="P5051" i="2"/>
  <c r="Q5051" i="2"/>
  <c r="P5059" i="2"/>
  <c r="Q5059" i="2"/>
  <c r="P5075" i="2"/>
  <c r="Q5075" i="2"/>
  <c r="P5083" i="2"/>
  <c r="Q5083" i="2"/>
  <c r="P5091" i="2"/>
  <c r="Q5091" i="2"/>
  <c r="P5099" i="2"/>
  <c r="Q5099" i="2"/>
  <c r="P5107" i="2"/>
  <c r="Q5107" i="2"/>
  <c r="P5139" i="2"/>
  <c r="Q5139" i="2"/>
  <c r="P5147" i="2"/>
  <c r="Q5147" i="2"/>
  <c r="P5171" i="2"/>
  <c r="Q5171" i="2"/>
  <c r="P5179" i="2"/>
  <c r="Q5179" i="2"/>
  <c r="P5187" i="2"/>
  <c r="Q5187" i="2"/>
  <c r="P5195" i="2"/>
  <c r="Q5195" i="2"/>
  <c r="P5211" i="2"/>
  <c r="Q5211" i="2"/>
  <c r="P5227" i="2"/>
  <c r="Q5227" i="2"/>
  <c r="P3640" i="2"/>
  <c r="Q3640" i="2"/>
  <c r="P5267" i="2"/>
  <c r="Q5267" i="2"/>
  <c r="P5283" i="2"/>
  <c r="Q5283" i="2"/>
  <c r="P5291" i="2"/>
  <c r="Q5291" i="2"/>
  <c r="P5307" i="2"/>
  <c r="Q5307" i="2"/>
  <c r="P5315" i="2"/>
  <c r="Q5315" i="2"/>
  <c r="P5323" i="2"/>
  <c r="Q5323" i="2"/>
  <c r="P5331" i="2"/>
  <c r="Q5331" i="2"/>
  <c r="P5363" i="2"/>
  <c r="Q5363" i="2"/>
  <c r="P5371" i="2"/>
  <c r="Q5371" i="2"/>
  <c r="P5387" i="2"/>
  <c r="Q5387" i="2"/>
  <c r="P5395" i="2"/>
  <c r="Q5395" i="2"/>
  <c r="P5403" i="2"/>
  <c r="Q5403" i="2"/>
  <c r="P5419" i="2"/>
  <c r="Q5419" i="2"/>
  <c r="P5427" i="2"/>
  <c r="Q5427" i="2"/>
  <c r="P5443" i="2"/>
  <c r="Q5443" i="2"/>
  <c r="P5459" i="2"/>
  <c r="Q5459" i="2"/>
  <c r="P5475" i="2"/>
  <c r="Q5475" i="2"/>
  <c r="P5507" i="2"/>
  <c r="Q5507" i="2"/>
  <c r="P5515" i="2"/>
  <c r="Q5515" i="2"/>
  <c r="P5539" i="2"/>
  <c r="Q5539" i="2"/>
  <c r="P4066" i="2"/>
  <c r="Q4066" i="2"/>
  <c r="P6192" i="2"/>
  <c r="Q6192" i="2"/>
  <c r="P5571" i="2"/>
  <c r="Q5571" i="2"/>
  <c r="P5587" i="2"/>
  <c r="Q5587" i="2"/>
  <c r="P5595" i="2"/>
  <c r="Q5595" i="2"/>
  <c r="P2753" i="2"/>
  <c r="Q2753" i="2"/>
  <c r="P1712" i="2"/>
  <c r="Q1712" i="2"/>
  <c r="P5651" i="2"/>
  <c r="Q5651" i="2"/>
  <c r="P5659" i="2"/>
  <c r="Q5659" i="2"/>
  <c r="P5667" i="2"/>
  <c r="Q5667" i="2"/>
  <c r="P6762" i="2"/>
  <c r="Q6762" i="2"/>
  <c r="P5683" i="2"/>
  <c r="Q5683" i="2"/>
  <c r="P5691" i="2"/>
  <c r="Q5691" i="2"/>
  <c r="P5715" i="2"/>
  <c r="Q5715" i="2"/>
  <c r="P5731" i="2"/>
  <c r="Q5731" i="2"/>
  <c r="P5747" i="2"/>
  <c r="Q5747" i="2"/>
  <c r="P5763" i="2"/>
  <c r="Q5763" i="2"/>
  <c r="P5811" i="2"/>
  <c r="Q5811" i="2"/>
  <c r="P5819" i="2"/>
  <c r="Q5819" i="2"/>
  <c r="P5859" i="2"/>
  <c r="Q5859" i="2"/>
  <c r="P5867" i="2"/>
  <c r="Q5867" i="2"/>
  <c r="P5875" i="2"/>
  <c r="Q5875" i="2"/>
  <c r="P5883" i="2"/>
  <c r="Q5883" i="2"/>
  <c r="P5939" i="2"/>
  <c r="Q5939" i="2"/>
  <c r="P5947" i="2"/>
  <c r="Q5947" i="2"/>
  <c r="P5963" i="2"/>
  <c r="Q5963" i="2"/>
  <c r="P5971" i="2"/>
  <c r="Q5971" i="2"/>
  <c r="P5987" i="2"/>
  <c r="Q5987" i="2"/>
  <c r="P6003" i="2"/>
  <c r="Q6003" i="2"/>
  <c r="P6011" i="2"/>
  <c r="Q6011" i="2"/>
  <c r="P6019" i="2"/>
  <c r="Q6019" i="2"/>
  <c r="P6027" i="2"/>
  <c r="Q6027" i="2"/>
  <c r="P6035" i="2"/>
  <c r="Q6035" i="2"/>
  <c r="P6051" i="2"/>
  <c r="Q6051" i="2"/>
  <c r="P6067" i="2"/>
  <c r="Q6067" i="2"/>
  <c r="P6083" i="2"/>
  <c r="Q6083" i="2"/>
  <c r="P6099" i="2"/>
  <c r="Q6099" i="2"/>
  <c r="P6115" i="2"/>
  <c r="Q6115" i="2"/>
  <c r="P6123" i="2"/>
  <c r="Q6123" i="2"/>
  <c r="P6131" i="2"/>
  <c r="Q6131" i="2"/>
  <c r="P5486" i="2"/>
  <c r="Q5486" i="2"/>
  <c r="P6195" i="2"/>
  <c r="Q6195" i="2"/>
  <c r="P6203" i="2"/>
  <c r="Q6203" i="2"/>
  <c r="P6219" i="2"/>
  <c r="Q6219" i="2"/>
  <c r="P6251" i="2"/>
  <c r="Q6251" i="2"/>
  <c r="P6259" i="2"/>
  <c r="Q6259" i="2"/>
  <c r="P6267" i="2"/>
  <c r="Q6267" i="2"/>
  <c r="P6275" i="2"/>
  <c r="Q6275" i="2"/>
  <c r="P6283" i="2"/>
  <c r="Q6283" i="2"/>
  <c r="P6291" i="2"/>
  <c r="Q6291" i="2"/>
  <c r="P6299" i="2"/>
  <c r="Q6299" i="2"/>
  <c r="P2473" i="2"/>
  <c r="Q2473" i="2"/>
  <c r="P6315" i="2"/>
  <c r="Q6315" i="2"/>
  <c r="P6323" i="2"/>
  <c r="Q6323" i="2"/>
  <c r="P6331" i="2"/>
  <c r="Q6331" i="2"/>
  <c r="P6339" i="2"/>
  <c r="Q6339" i="2"/>
  <c r="P6347" i="2"/>
  <c r="Q6347" i="2"/>
  <c r="P6355" i="2"/>
  <c r="Q6355" i="2"/>
  <c r="P6363" i="2"/>
  <c r="Q6363" i="2"/>
  <c r="P6371" i="2"/>
  <c r="Q6371" i="2"/>
  <c r="P6379" i="2"/>
  <c r="Q6379" i="2"/>
  <c r="P6387" i="2"/>
  <c r="Q6387" i="2"/>
  <c r="P7213" i="2"/>
  <c r="Q7213" i="2"/>
  <c r="P6403" i="2"/>
  <c r="Q6403" i="2"/>
  <c r="P6427" i="2"/>
  <c r="Q6427" i="2"/>
  <c r="P6435" i="2"/>
  <c r="Q6435" i="2"/>
  <c r="P6443" i="2"/>
  <c r="Q6443" i="2"/>
  <c r="P6451" i="2"/>
  <c r="Q6451" i="2"/>
  <c r="P6499" i="2"/>
  <c r="Q6499" i="2"/>
  <c r="P6507" i="2"/>
  <c r="Q6507" i="2"/>
  <c r="P6515" i="2"/>
  <c r="Q6515" i="2"/>
  <c r="P6611" i="2"/>
  <c r="Q6611" i="2"/>
  <c r="P6619" i="2"/>
  <c r="Q6619" i="2"/>
  <c r="P6627" i="2"/>
  <c r="Q6627" i="2"/>
  <c r="P6643" i="2"/>
  <c r="Q6643" i="2"/>
  <c r="P6651" i="2"/>
  <c r="Q6651" i="2"/>
  <c r="P6667" i="2"/>
  <c r="Q6667" i="2"/>
  <c r="P6784" i="2"/>
  <c r="Q6784" i="2"/>
  <c r="P3100" i="2"/>
  <c r="Q3100" i="2"/>
  <c r="P6715" i="2"/>
  <c r="Q6715" i="2"/>
  <c r="P6723" i="2"/>
  <c r="Q6723" i="2"/>
  <c r="P5701" i="2"/>
  <c r="Q5701" i="2"/>
  <c r="P2791" i="2"/>
  <c r="Q2791" i="2"/>
  <c r="P6779" i="2"/>
  <c r="Q6779" i="2"/>
  <c r="P2739" i="2"/>
  <c r="Q2739" i="2"/>
  <c r="P6803" i="2"/>
  <c r="Q6803" i="2"/>
  <c r="P6811" i="2"/>
  <c r="Q6811" i="2"/>
  <c r="P6819" i="2"/>
  <c r="Q6819" i="2"/>
  <c r="P6827" i="2"/>
  <c r="Q6827" i="2"/>
  <c r="P2804" i="2"/>
  <c r="Q2804" i="2"/>
  <c r="P6843" i="2"/>
  <c r="Q6843" i="2"/>
  <c r="P6851" i="2"/>
  <c r="Q6851" i="2"/>
  <c r="P6891" i="2"/>
  <c r="Q6891" i="2"/>
  <c r="P391" i="2"/>
  <c r="Q391" i="2"/>
  <c r="P6923" i="2"/>
  <c r="Q6923" i="2"/>
  <c r="P6931" i="2"/>
  <c r="Q6931" i="2"/>
  <c r="P6947" i="2"/>
  <c r="Q6947" i="2"/>
  <c r="P6955" i="2"/>
  <c r="Q6955" i="2"/>
  <c r="P6963" i="2"/>
  <c r="Q6963" i="2"/>
  <c r="P6971" i="2"/>
  <c r="Q6971" i="2"/>
  <c r="P6979" i="2"/>
  <c r="Q6979" i="2"/>
  <c r="P7003" i="2"/>
  <c r="Q7003" i="2"/>
  <c r="P5097" i="2"/>
  <c r="Q5097" i="2"/>
  <c r="P3015" i="2"/>
  <c r="Q3015" i="2"/>
  <c r="P7067" i="2"/>
  <c r="Q7067" i="2"/>
  <c r="P7075" i="2"/>
  <c r="Q7075" i="2"/>
  <c r="P7083" i="2"/>
  <c r="Q7083" i="2"/>
  <c r="P7091" i="2"/>
  <c r="Q7091" i="2"/>
  <c r="P4020" i="2"/>
  <c r="Q4020" i="2"/>
  <c r="P7131" i="2"/>
  <c r="Q7131" i="2"/>
  <c r="P7139" i="2"/>
  <c r="Q7139" i="2"/>
  <c r="P7155" i="2"/>
  <c r="Q7155" i="2"/>
  <c r="P7171" i="2"/>
  <c r="Q7171" i="2"/>
  <c r="P7179" i="2"/>
  <c r="Q7179" i="2"/>
  <c r="P7187" i="2"/>
  <c r="Q7187" i="2"/>
  <c r="P7211" i="2"/>
  <c r="Q7211" i="2"/>
  <c r="P7219" i="2"/>
  <c r="Q7219" i="2"/>
  <c r="P7227" i="2"/>
  <c r="Q7227" i="2"/>
  <c r="P7235" i="2"/>
  <c r="Q7235" i="2"/>
  <c r="P7243" i="2"/>
  <c r="Q7243" i="2"/>
  <c r="P7259" i="2"/>
  <c r="Q7259" i="2"/>
  <c r="P7267" i="2"/>
  <c r="Q7267" i="2"/>
  <c r="P7275" i="2"/>
  <c r="Q7275" i="2"/>
  <c r="P7291" i="2"/>
  <c r="Q7291" i="2"/>
  <c r="P4" i="2"/>
  <c r="Q4" i="2"/>
  <c r="P12" i="2"/>
  <c r="Q12" i="2"/>
  <c r="P52" i="2"/>
  <c r="Q52" i="2"/>
  <c r="P60" i="2"/>
  <c r="Q60" i="2"/>
  <c r="P68" i="2"/>
  <c r="Q68" i="2"/>
  <c r="P4404" i="2"/>
  <c r="Q4404" i="2"/>
  <c r="P116" i="2"/>
  <c r="Q116" i="2"/>
  <c r="P124" i="2"/>
  <c r="Q124" i="2"/>
  <c r="P132" i="2"/>
  <c r="Q132" i="2"/>
  <c r="P156" i="2"/>
  <c r="Q156" i="2"/>
  <c r="P172" i="2"/>
  <c r="Q172" i="2"/>
  <c r="P188" i="2"/>
  <c r="Q188" i="2"/>
  <c r="P5101" i="2"/>
  <c r="Q5101" i="2"/>
  <c r="P204" i="2"/>
  <c r="Q204" i="2"/>
  <c r="P212" i="2"/>
  <c r="Q212" i="2"/>
  <c r="P228" i="2"/>
  <c r="Q228" i="2"/>
  <c r="P260" i="2"/>
  <c r="Q260" i="2"/>
  <c r="P268" i="2"/>
  <c r="Q268" i="2"/>
  <c r="P276" i="2"/>
  <c r="Q276" i="2"/>
  <c r="P284" i="2"/>
  <c r="Q284" i="2"/>
  <c r="P292" i="2"/>
  <c r="Q292" i="2"/>
  <c r="P308" i="2"/>
  <c r="Q308" i="2"/>
  <c r="P5843" i="2"/>
  <c r="Q5843" i="2"/>
  <c r="P380" i="2"/>
  <c r="Q380" i="2"/>
  <c r="P388" i="2"/>
  <c r="Q388" i="2"/>
  <c r="P3890" i="2"/>
  <c r="Q3890" i="2"/>
  <c r="P1057" i="2"/>
  <c r="Q1057" i="2"/>
  <c r="P420" i="2"/>
  <c r="Q420" i="2"/>
  <c r="P460" i="2"/>
  <c r="Q460" i="2"/>
  <c r="P468" i="2"/>
  <c r="Q468" i="2"/>
  <c r="P476" i="2"/>
  <c r="Q476" i="2"/>
  <c r="P484" i="2"/>
  <c r="Q484" i="2"/>
  <c r="P492" i="2"/>
  <c r="Q492" i="2"/>
  <c r="P508" i="2"/>
  <c r="Q508" i="2"/>
  <c r="P524" i="2"/>
  <c r="Q524" i="2"/>
  <c r="P532" i="2"/>
  <c r="Q532" i="2"/>
  <c r="P564" i="2"/>
  <c r="Q564" i="2"/>
  <c r="P572" i="2"/>
  <c r="Q572" i="2"/>
  <c r="P580" i="2"/>
  <c r="Q580" i="2"/>
  <c r="P588" i="2"/>
  <c r="Q588" i="2"/>
  <c r="P596" i="2"/>
  <c r="Q596" i="2"/>
  <c r="P612" i="2"/>
  <c r="Q612" i="2"/>
  <c r="P620" i="2"/>
  <c r="Q620" i="2"/>
  <c r="P628" i="2"/>
  <c r="Q628" i="2"/>
  <c r="P636" i="2"/>
  <c r="Q636" i="2"/>
  <c r="P644" i="2"/>
  <c r="Q644" i="2"/>
  <c r="P6542" i="2"/>
  <c r="Q6542" i="2"/>
  <c r="P668" i="2"/>
  <c r="Q668" i="2"/>
  <c r="P506" i="2"/>
  <c r="Q506" i="2"/>
  <c r="P2181" i="2"/>
  <c r="Q2181" i="2"/>
  <c r="P708" i="2"/>
  <c r="Q708" i="2"/>
  <c r="P716" i="2"/>
  <c r="Q716" i="2"/>
  <c r="P724" i="2"/>
  <c r="Q724" i="2"/>
  <c r="P732" i="2"/>
  <c r="Q732" i="2"/>
  <c r="P2849" i="2"/>
  <c r="Q2849" i="2"/>
  <c r="P3999" i="2"/>
  <c r="Q3999" i="2"/>
  <c r="P3750" i="2"/>
  <c r="Q3750" i="2"/>
  <c r="P772" i="2"/>
  <c r="Q772" i="2"/>
  <c r="P780" i="2"/>
  <c r="Q780" i="2"/>
  <c r="P4058" i="2"/>
  <c r="Q4058" i="2"/>
  <c r="P828" i="2"/>
  <c r="Q828" i="2"/>
  <c r="P836" i="2"/>
  <c r="Q836" i="2"/>
  <c r="P844" i="2"/>
  <c r="Q844" i="2"/>
  <c r="P860" i="2"/>
  <c r="Q860" i="2"/>
  <c r="P868" i="2"/>
  <c r="Q868" i="2"/>
  <c r="P876" i="2"/>
  <c r="Q876" i="2"/>
  <c r="P884" i="2"/>
  <c r="Q884" i="2"/>
  <c r="P660" i="2"/>
  <c r="Q660" i="2"/>
  <c r="P900" i="2"/>
  <c r="Q900" i="2"/>
  <c r="P916" i="2"/>
  <c r="Q916" i="2"/>
  <c r="P924" i="2"/>
  <c r="Q924" i="2"/>
  <c r="P804" i="2"/>
  <c r="Q804" i="2"/>
  <c r="P948" i="2"/>
  <c r="Q948" i="2"/>
  <c r="P972" i="2"/>
  <c r="Q972" i="2"/>
  <c r="P980" i="2"/>
  <c r="Q980" i="2"/>
  <c r="P1446" i="2"/>
  <c r="Q1446" i="2"/>
  <c r="P1028" i="2"/>
  <c r="Q1028" i="2"/>
  <c r="P1036" i="2"/>
  <c r="Q1036" i="2"/>
  <c r="P1526" i="2"/>
  <c r="Q1526" i="2"/>
  <c r="P1052" i="2"/>
  <c r="Q1052" i="2"/>
  <c r="P1068" i="2"/>
  <c r="Q1068" i="2"/>
  <c r="P3725" i="2"/>
  <c r="Q3725" i="2"/>
  <c r="P1108" i="2"/>
  <c r="Q1108" i="2"/>
  <c r="P1116" i="2"/>
  <c r="Q1116" i="2"/>
  <c r="P1124" i="2"/>
  <c r="Q1124" i="2"/>
  <c r="P1132" i="2"/>
  <c r="Q1132" i="2"/>
  <c r="P1140" i="2"/>
  <c r="Q1140" i="2"/>
  <c r="P1148" i="2"/>
  <c r="Q1148" i="2"/>
  <c r="P1164" i="2"/>
  <c r="Q1164" i="2"/>
  <c r="P1172" i="2"/>
  <c r="Q1172" i="2"/>
  <c r="P1188" i="2"/>
  <c r="Q1188" i="2"/>
  <c r="P1252" i="2"/>
  <c r="Q1252" i="2"/>
  <c r="P1260" i="2"/>
  <c r="Q1260" i="2"/>
  <c r="P1268" i="2"/>
  <c r="Q1268" i="2"/>
  <c r="P1292" i="2"/>
  <c r="Q1292" i="2"/>
  <c r="P1300" i="2"/>
  <c r="Q1300" i="2"/>
  <c r="P1308" i="2"/>
  <c r="Q1308" i="2"/>
  <c r="P1316" i="2"/>
  <c r="Q1316" i="2"/>
  <c r="P1324" i="2"/>
  <c r="Q1324" i="2"/>
  <c r="P1348" i="2"/>
  <c r="Q1348" i="2"/>
  <c r="P1356" i="2"/>
  <c r="Q1356" i="2"/>
  <c r="P1412" i="2"/>
  <c r="Q1412" i="2"/>
  <c r="P4054" i="2"/>
  <c r="Q4054" i="2"/>
  <c r="P1436" i="2"/>
  <c r="Q1436" i="2"/>
  <c r="P1460" i="2"/>
  <c r="Q1460" i="2"/>
  <c r="P1468" i="2"/>
  <c r="Q1468" i="2"/>
  <c r="P1476" i="2"/>
  <c r="Q1476" i="2"/>
  <c r="P1492" i="2"/>
  <c r="Q1492" i="2"/>
  <c r="P560" i="2"/>
  <c r="Q560" i="2"/>
  <c r="P2935" i="2"/>
  <c r="Q2935" i="2"/>
  <c r="P1516" i="2"/>
  <c r="Q1516" i="2"/>
  <c r="P1548" i="2"/>
  <c r="Q1548" i="2"/>
  <c r="P1556" i="2"/>
  <c r="Q1556" i="2"/>
  <c r="P1564" i="2"/>
  <c r="Q1564" i="2"/>
  <c r="P1572" i="2"/>
  <c r="Q1572" i="2"/>
  <c r="P1580" i="2"/>
  <c r="Q1580" i="2"/>
  <c r="P1604" i="2"/>
  <c r="Q1604" i="2"/>
  <c r="P3569" i="2"/>
  <c r="Q3569" i="2"/>
  <c r="P1628" i="2"/>
  <c r="Q1628" i="2"/>
  <c r="P1644" i="2"/>
  <c r="Q1644" i="2"/>
  <c r="P1684" i="2"/>
  <c r="Q1684" i="2"/>
  <c r="P1692" i="2"/>
  <c r="Q1692" i="2"/>
  <c r="P1724" i="2"/>
  <c r="Q1724" i="2"/>
  <c r="P1740" i="2"/>
  <c r="Q1740" i="2"/>
  <c r="P1748" i="2"/>
  <c r="Q1748" i="2"/>
  <c r="P1756" i="2"/>
  <c r="Q1756" i="2"/>
  <c r="P1772" i="2"/>
  <c r="Q1772" i="2"/>
  <c r="P1780" i="2"/>
  <c r="Q1780" i="2"/>
  <c r="P1812" i="2"/>
  <c r="Q1812" i="2"/>
  <c r="P1820" i="2"/>
  <c r="Q1820" i="2"/>
  <c r="P1828" i="2"/>
  <c r="Q1828" i="2"/>
  <c r="P1836" i="2"/>
  <c r="Q1836" i="2"/>
  <c r="P1868" i="2"/>
  <c r="Q1868" i="2"/>
  <c r="P1876" i="2"/>
  <c r="Q1876" i="2"/>
  <c r="P5906" i="2"/>
  <c r="Q5906" i="2"/>
  <c r="P1892" i="2"/>
  <c r="Q1892" i="2"/>
  <c r="P1940" i="2"/>
  <c r="Q1940" i="2"/>
  <c r="P1964" i="2"/>
  <c r="Q1964" i="2"/>
  <c r="P1972" i="2"/>
  <c r="Q1972" i="2"/>
  <c r="P1988" i="2"/>
  <c r="Q1988" i="2"/>
  <c r="P1996" i="2"/>
  <c r="Q1996" i="2"/>
  <c r="P2012" i="2"/>
  <c r="Q2012" i="2"/>
  <c r="P2020" i="2"/>
  <c r="Q2020" i="2"/>
  <c r="P2028" i="2"/>
  <c r="Q2028" i="2"/>
  <c r="P2036" i="2"/>
  <c r="Q2036" i="2"/>
  <c r="P2044" i="2"/>
  <c r="Q2044" i="2"/>
  <c r="P2052" i="2"/>
  <c r="Q2052" i="2"/>
  <c r="P2068" i="2"/>
  <c r="Q2068" i="2"/>
  <c r="P4790" i="2"/>
  <c r="Q4790" i="2"/>
  <c r="P2124" i="2"/>
  <c r="Q2124" i="2"/>
  <c r="P2132" i="2"/>
  <c r="Q2132" i="2"/>
  <c r="P3007" i="2"/>
  <c r="Q3007" i="2"/>
  <c r="P2164" i="2"/>
  <c r="Q2164" i="2"/>
  <c r="P2188" i="2"/>
  <c r="Q2188" i="2"/>
  <c r="P2204" i="2"/>
  <c r="Q2204" i="2"/>
  <c r="P2212" i="2"/>
  <c r="Q2212" i="2"/>
  <c r="P6087" i="2"/>
  <c r="Q6087" i="2"/>
  <c r="P2228" i="2"/>
  <c r="Q2228" i="2"/>
  <c r="P2236" i="2"/>
  <c r="Q2236" i="2"/>
  <c r="P2252" i="2"/>
  <c r="Q2252" i="2"/>
  <c r="P7057" i="2"/>
  <c r="Q7057" i="2"/>
  <c r="P1895" i="2"/>
  <c r="Q1895" i="2"/>
  <c r="P2276" i="2"/>
  <c r="Q2276" i="2"/>
  <c r="P2284" i="2"/>
  <c r="Q2284" i="2"/>
  <c r="P2292" i="2"/>
  <c r="Q2292" i="2"/>
  <c r="P2118" i="2"/>
  <c r="Q2118" i="2"/>
  <c r="P2308" i="2"/>
  <c r="Q2308" i="2"/>
  <c r="P2316" i="2"/>
  <c r="Q2316" i="2"/>
  <c r="P2324" i="2"/>
  <c r="Q2324" i="2"/>
  <c r="P2340" i="2"/>
  <c r="Q2340" i="2"/>
  <c r="P2396" i="2"/>
  <c r="Q2396" i="2"/>
  <c r="P2404" i="2"/>
  <c r="Q2404" i="2"/>
  <c r="P2428" i="2"/>
  <c r="Q2428" i="2"/>
  <c r="P2436" i="2"/>
  <c r="Q2436" i="2"/>
  <c r="P2444" i="2"/>
  <c r="Q2444" i="2"/>
  <c r="P2452" i="2"/>
  <c r="Q2452" i="2"/>
  <c r="P2460" i="2"/>
  <c r="Q2460" i="2"/>
  <c r="P2468" i="2"/>
  <c r="Q2468" i="2"/>
  <c r="P2826" i="2"/>
  <c r="Q2826" i="2"/>
  <c r="P2484" i="2"/>
  <c r="Q2484" i="2"/>
  <c r="P2500" i="2"/>
  <c r="Q2500" i="2"/>
  <c r="P5785" i="2"/>
  <c r="Q5785" i="2"/>
  <c r="P2548" i="2"/>
  <c r="Q2548" i="2"/>
  <c r="P2580" i="2"/>
  <c r="Q2580" i="2"/>
  <c r="P2588" i="2"/>
  <c r="Q2588" i="2"/>
  <c r="P2596" i="2"/>
  <c r="Q2596" i="2"/>
  <c r="P2604" i="2"/>
  <c r="Q2604" i="2"/>
  <c r="P2612" i="2"/>
  <c r="Q2612" i="2"/>
  <c r="P5124" i="2"/>
  <c r="Q5124" i="2"/>
  <c r="P2628" i="2"/>
  <c r="Q2628" i="2"/>
  <c r="P2636" i="2"/>
  <c r="Q2636" i="2"/>
  <c r="P2644" i="2"/>
  <c r="Q2644" i="2"/>
  <c r="P2652" i="2"/>
  <c r="Q2652" i="2"/>
  <c r="P2684" i="2"/>
  <c r="Q2684" i="2"/>
  <c r="P5205" i="2"/>
  <c r="Q5205" i="2"/>
  <c r="P1258" i="2"/>
  <c r="Q1258" i="2"/>
  <c r="P2724" i="2"/>
  <c r="Q2724" i="2"/>
  <c r="P4875" i="2"/>
  <c r="Q4875" i="2"/>
  <c r="P2752" i="2"/>
  <c r="Q2752" i="2"/>
  <c r="P223" i="2"/>
  <c r="Q223" i="2"/>
  <c r="P2820" i="2"/>
  <c r="Q2820" i="2"/>
  <c r="P2828" i="2"/>
  <c r="Q2828" i="2"/>
  <c r="P1152" i="2"/>
  <c r="Q1152" i="2"/>
  <c r="P2844" i="2"/>
  <c r="Q2844" i="2"/>
  <c r="P2860" i="2"/>
  <c r="Q2860" i="2"/>
  <c r="P2876" i="2"/>
  <c r="Q2876" i="2"/>
  <c r="P2884" i="2"/>
  <c r="Q2884" i="2"/>
  <c r="P2900" i="2"/>
  <c r="Q2900" i="2"/>
  <c r="P2908" i="2"/>
  <c r="Q2908" i="2"/>
  <c r="P2916" i="2"/>
  <c r="Q2916" i="2"/>
  <c r="P2932" i="2"/>
  <c r="Q2932" i="2"/>
  <c r="P2940" i="2"/>
  <c r="Q2940" i="2"/>
  <c r="P5984" i="2"/>
  <c r="Q5984" i="2"/>
  <c r="P3028" i="2"/>
  <c r="Q3028" i="2"/>
  <c r="P4269" i="2"/>
  <c r="Q4269" i="2"/>
  <c r="P3052" i="2"/>
  <c r="Q3052" i="2"/>
  <c r="P3060" i="2"/>
  <c r="Q3060" i="2"/>
  <c r="P3068" i="2"/>
  <c r="Q3068" i="2"/>
  <c r="P3076" i="2"/>
  <c r="Q3076" i="2"/>
  <c r="P3092" i="2"/>
  <c r="Q3092" i="2"/>
  <c r="P3108" i="2"/>
  <c r="Q3108" i="2"/>
  <c r="P937" i="2"/>
  <c r="Q937" i="2"/>
  <c r="P3132" i="2"/>
  <c r="Q3132" i="2"/>
  <c r="P2004" i="2"/>
  <c r="Q2004" i="2"/>
  <c r="P6242" i="2"/>
  <c r="Q6242" i="2"/>
  <c r="P418" i="2"/>
  <c r="Q418" i="2"/>
  <c r="P3196" i="2"/>
  <c r="Q3196" i="2"/>
  <c r="P3204" i="2"/>
  <c r="Q3204" i="2"/>
  <c r="P3212" i="2"/>
  <c r="Q3212" i="2"/>
  <c r="P3236" i="2"/>
  <c r="Q3236" i="2"/>
  <c r="P3244" i="2"/>
  <c r="Q3244" i="2"/>
  <c r="P3252" i="2"/>
  <c r="Q3252" i="2"/>
  <c r="P3260" i="2"/>
  <c r="Q3260" i="2"/>
  <c r="P84" i="2"/>
  <c r="Q84" i="2"/>
  <c r="P3284" i="2"/>
  <c r="Q3284" i="2"/>
  <c r="P3292" i="2"/>
  <c r="Q3292" i="2"/>
  <c r="P3300" i="2"/>
  <c r="Q3300" i="2"/>
  <c r="P3324" i="2"/>
  <c r="Q3324" i="2"/>
  <c r="P3332" i="2"/>
  <c r="Q3332" i="2"/>
  <c r="P3340" i="2"/>
  <c r="Q3340" i="2"/>
  <c r="P3348" i="2"/>
  <c r="Q3348" i="2"/>
  <c r="P3356" i="2"/>
  <c r="Q3356" i="2"/>
  <c r="P2812" i="2"/>
  <c r="Q2812" i="2"/>
  <c r="P1432" i="2"/>
  <c r="Q1432" i="2"/>
  <c r="P3388" i="2"/>
  <c r="Q3388" i="2"/>
  <c r="P3396" i="2"/>
  <c r="Q3396" i="2"/>
  <c r="P3404" i="2"/>
  <c r="Q3404" i="2"/>
  <c r="P3420" i="2"/>
  <c r="Q3420" i="2"/>
  <c r="P3428" i="2"/>
  <c r="Q3428" i="2"/>
  <c r="P3444" i="2"/>
  <c r="Q3444" i="2"/>
  <c r="P3460" i="2"/>
  <c r="Q3460" i="2"/>
  <c r="P3476" i="2"/>
  <c r="Q3476" i="2"/>
  <c r="P3484" i="2"/>
  <c r="Q3484" i="2"/>
  <c r="P3500" i="2"/>
  <c r="Q3500" i="2"/>
  <c r="P3508" i="2"/>
  <c r="Q3508" i="2"/>
  <c r="P3524" i="2"/>
  <c r="Q3524" i="2"/>
  <c r="P3532" i="2"/>
  <c r="Q3532" i="2"/>
  <c r="P3540" i="2"/>
  <c r="Q3540" i="2"/>
  <c r="P3548" i="2"/>
  <c r="Q3548" i="2"/>
  <c r="P3556" i="2"/>
  <c r="Q3556" i="2"/>
  <c r="P3564" i="2"/>
  <c r="Q3564" i="2"/>
  <c r="P3572" i="2"/>
  <c r="Q3572" i="2"/>
  <c r="P3580" i="2"/>
  <c r="Q3580" i="2"/>
  <c r="P3588" i="2"/>
  <c r="Q3588" i="2"/>
  <c r="P3596" i="2"/>
  <c r="Q3596" i="2"/>
  <c r="P3604" i="2"/>
  <c r="Q3604" i="2"/>
  <c r="P6659" i="2"/>
  <c r="Q6659" i="2"/>
  <c r="P3628" i="2"/>
  <c r="Q3628" i="2"/>
  <c r="P3636" i="2"/>
  <c r="Q3636" i="2"/>
  <c r="P3644" i="2"/>
  <c r="Q3644" i="2"/>
  <c r="P3652" i="2"/>
  <c r="Q3652" i="2"/>
  <c r="P2837" i="2"/>
  <c r="Q2837" i="2"/>
  <c r="P4548" i="2"/>
  <c r="Q4548" i="2"/>
  <c r="P3684" i="2"/>
  <c r="Q3684" i="2"/>
  <c r="P3700" i="2"/>
  <c r="Q3700" i="2"/>
  <c r="P3748" i="2"/>
  <c r="Q3748" i="2"/>
  <c r="P4632" i="2"/>
  <c r="Q4632" i="2"/>
  <c r="P3772" i="2"/>
  <c r="Q3772" i="2"/>
  <c r="P3780" i="2"/>
  <c r="Q3780" i="2"/>
  <c r="P3788" i="2"/>
  <c r="Q3788" i="2"/>
  <c r="P3796" i="2"/>
  <c r="Q3796" i="2"/>
  <c r="P3804" i="2"/>
  <c r="Q3804" i="2"/>
  <c r="P3812" i="2"/>
  <c r="Q3812" i="2"/>
  <c r="P3820" i="2"/>
  <c r="Q3820" i="2"/>
  <c r="P2359" i="2"/>
  <c r="Q2359" i="2"/>
  <c r="P3836" i="2"/>
  <c r="Q3836" i="2"/>
  <c r="P3876" i="2"/>
  <c r="Q3876" i="2"/>
  <c r="P3892" i="2"/>
  <c r="Q3892" i="2"/>
  <c r="P3900" i="2"/>
  <c r="Q3900" i="2"/>
  <c r="P3908" i="2"/>
  <c r="Q3908" i="2"/>
  <c r="P428" i="2"/>
  <c r="Q428" i="2"/>
  <c r="P3944" i="2"/>
  <c r="Q3944" i="2"/>
  <c r="P3952" i="2"/>
  <c r="Q3952" i="2"/>
  <c r="P412" i="2"/>
  <c r="Q412" i="2"/>
  <c r="P3976" i="2"/>
  <c r="Q3976" i="2"/>
  <c r="P3992" i="2"/>
  <c r="Q3992" i="2"/>
  <c r="P1067" i="2"/>
  <c r="Q1067" i="2"/>
  <c r="P4016" i="2"/>
  <c r="Q4016" i="2"/>
  <c r="P4024" i="2"/>
  <c r="Q4024" i="2"/>
  <c r="P4040" i="2"/>
  <c r="Q4040" i="2"/>
  <c r="P4056" i="2"/>
  <c r="Q4056" i="2"/>
  <c r="P4072" i="2"/>
  <c r="Q4072" i="2"/>
  <c r="P4088" i="2"/>
  <c r="Q4088" i="2"/>
  <c r="P4104" i="2"/>
  <c r="Q4104" i="2"/>
  <c r="P4112" i="2"/>
  <c r="Q4112" i="2"/>
  <c r="P4120" i="2"/>
  <c r="Q4120" i="2"/>
  <c r="P4128" i="2"/>
  <c r="Q4128" i="2"/>
  <c r="P4136" i="2"/>
  <c r="Q4136" i="2"/>
  <c r="P4144" i="2"/>
  <c r="Q4144" i="2"/>
  <c r="P4152" i="2"/>
  <c r="Q4152" i="2"/>
  <c r="P4184" i="2"/>
  <c r="Q4184" i="2"/>
  <c r="P4063" i="2"/>
  <c r="Q4063" i="2"/>
  <c r="P4824" i="2"/>
  <c r="Q4824" i="2"/>
  <c r="P5028" i="2"/>
  <c r="Q5028" i="2"/>
  <c r="P4240" i="2"/>
  <c r="Q4240" i="2"/>
  <c r="P4248" i="2"/>
  <c r="Q4248" i="2"/>
  <c r="P4256" i="2"/>
  <c r="Q4256" i="2"/>
  <c r="P527" i="2"/>
  <c r="Q527" i="2"/>
  <c r="P6046" i="2"/>
  <c r="Q6046" i="2"/>
  <c r="P4312" i="2"/>
  <c r="Q4312" i="2"/>
  <c r="P4320" i="2"/>
  <c r="Q4320" i="2"/>
  <c r="P4328" i="2"/>
  <c r="Q4328" i="2"/>
  <c r="P4344" i="2"/>
  <c r="Q4344" i="2"/>
  <c r="P4360" i="2"/>
  <c r="Q4360" i="2"/>
  <c r="P1980" i="2"/>
  <c r="Q1980" i="2"/>
  <c r="P4376" i="2"/>
  <c r="Q4376" i="2"/>
  <c r="P4384" i="2"/>
  <c r="Q4384" i="2"/>
  <c r="P2987" i="2"/>
  <c r="Q2987" i="2"/>
  <c r="P856" i="2"/>
  <c r="Q856" i="2"/>
  <c r="P4424" i="2"/>
  <c r="Q4424" i="2"/>
  <c r="P4456" i="2"/>
  <c r="Q4456" i="2"/>
  <c r="P4464" i="2"/>
  <c r="Q4464" i="2"/>
  <c r="P4472" i="2"/>
  <c r="Q4472" i="2"/>
  <c r="P4488" i="2"/>
  <c r="Q4488" i="2"/>
  <c r="P2964" i="2"/>
  <c r="Q2964" i="2"/>
  <c r="P4520" i="2"/>
  <c r="Q4520" i="2"/>
  <c r="P4560" i="2"/>
  <c r="Q4560" i="2"/>
  <c r="P4584" i="2"/>
  <c r="Q4584" i="2"/>
  <c r="P4600" i="2"/>
  <c r="Q4600" i="2"/>
  <c r="P2083" i="2"/>
  <c r="Q2083" i="2"/>
  <c r="P4648" i="2"/>
  <c r="Q4648" i="2"/>
  <c r="P4656" i="2"/>
  <c r="Q4656" i="2"/>
  <c r="P4696" i="2"/>
  <c r="Q4696" i="2"/>
  <c r="P4712" i="2"/>
  <c r="Q4712" i="2"/>
  <c r="P4736" i="2"/>
  <c r="Q4736" i="2"/>
  <c r="P4760" i="2"/>
  <c r="Q4760" i="2"/>
  <c r="P4768" i="2"/>
  <c r="Q4768" i="2"/>
  <c r="P3042" i="2"/>
  <c r="Q3042" i="2"/>
  <c r="P4800" i="2"/>
  <c r="Q4800" i="2"/>
  <c r="P4808" i="2"/>
  <c r="Q4808" i="2"/>
  <c r="P6176" i="2"/>
  <c r="Q6176" i="2"/>
  <c r="P749" i="2"/>
  <c r="Q749" i="2"/>
  <c r="P4840" i="2"/>
  <c r="Q4840" i="2"/>
  <c r="P4848" i="2"/>
  <c r="Q4848" i="2"/>
  <c r="P4856" i="2"/>
  <c r="Q4856" i="2"/>
  <c r="P4864" i="2"/>
  <c r="Q4864" i="2"/>
  <c r="P3154" i="2"/>
  <c r="Q3154" i="2"/>
  <c r="P4880" i="2"/>
  <c r="Q4880" i="2"/>
  <c r="P4896" i="2"/>
  <c r="Q4896" i="2"/>
  <c r="P4904" i="2"/>
  <c r="Q4904" i="2"/>
  <c r="P4912" i="2"/>
  <c r="Q4912" i="2"/>
  <c r="P4920" i="2"/>
  <c r="Q4920" i="2"/>
  <c r="P4936" i="2"/>
  <c r="Q4936" i="2"/>
  <c r="P1952" i="2"/>
  <c r="Q1952" i="2"/>
  <c r="P4960" i="2"/>
  <c r="Q4960" i="2"/>
  <c r="P4968" i="2"/>
  <c r="Q4968" i="2"/>
  <c r="P6798" i="2"/>
  <c r="Q6798" i="2"/>
  <c r="P6069" i="2"/>
  <c r="Q6069" i="2"/>
  <c r="P1415" i="2"/>
  <c r="Q1415" i="2"/>
  <c r="P5048" i="2"/>
  <c r="Q5048" i="2"/>
  <c r="P5056" i="2"/>
  <c r="Q5056" i="2"/>
  <c r="P5064" i="2"/>
  <c r="Q5064" i="2"/>
  <c r="P5096" i="2"/>
  <c r="Q5096" i="2"/>
  <c r="P5112" i="2"/>
  <c r="Q5112" i="2"/>
  <c r="P5120" i="2"/>
  <c r="Q5120" i="2"/>
  <c r="P4355" i="2"/>
  <c r="Q4355" i="2"/>
  <c r="P135" i="2"/>
  <c r="Q135" i="2"/>
  <c r="P5160" i="2"/>
  <c r="Q5160" i="2"/>
  <c r="P5168" i="2"/>
  <c r="Q5168" i="2"/>
  <c r="P5176" i="2"/>
  <c r="Q5176" i="2"/>
  <c r="P5184" i="2"/>
  <c r="Q5184" i="2"/>
  <c r="P5192" i="2"/>
  <c r="Q5192" i="2"/>
  <c r="P5200" i="2"/>
  <c r="Q5200" i="2"/>
  <c r="P5208" i="2"/>
  <c r="Q5208" i="2"/>
  <c r="P5216" i="2"/>
  <c r="Q5216" i="2"/>
  <c r="P5224" i="2"/>
  <c r="Q5224" i="2"/>
  <c r="P5264" i="2"/>
  <c r="Q5264" i="2"/>
  <c r="P5272" i="2"/>
  <c r="Q5272" i="2"/>
  <c r="P5280" i="2"/>
  <c r="Q5280" i="2"/>
  <c r="P5288" i="2"/>
  <c r="Q5288" i="2"/>
  <c r="P5296" i="2"/>
  <c r="Q5296" i="2"/>
  <c r="P5320" i="2"/>
  <c r="Q5320" i="2"/>
  <c r="P5328" i="2"/>
  <c r="Q5328" i="2"/>
  <c r="P5336" i="2"/>
  <c r="Q5336" i="2"/>
  <c r="P5344" i="2"/>
  <c r="Q5344" i="2"/>
  <c r="P5368" i="2"/>
  <c r="Q5368" i="2"/>
  <c r="P5376" i="2"/>
  <c r="Q5376" i="2"/>
  <c r="P5384" i="2"/>
  <c r="Q5384" i="2"/>
  <c r="P5392" i="2"/>
  <c r="Q5392" i="2"/>
  <c r="P5400" i="2"/>
  <c r="Q5400" i="2"/>
  <c r="P5408" i="2"/>
  <c r="Q5408" i="2"/>
  <c r="P5424" i="2"/>
  <c r="Q5424" i="2"/>
  <c r="P5432" i="2"/>
  <c r="Q5432" i="2"/>
  <c r="P5440" i="2"/>
  <c r="Q5440" i="2"/>
  <c r="P5448" i="2"/>
  <c r="Q5448" i="2"/>
  <c r="P3878" i="2"/>
  <c r="Q3878" i="2"/>
  <c r="P2676" i="2"/>
  <c r="Q2676" i="2"/>
  <c r="P4513" i="2"/>
  <c r="Q4513" i="2"/>
  <c r="P5488" i="2"/>
  <c r="Q5488" i="2"/>
  <c r="P5496" i="2"/>
  <c r="Q5496" i="2"/>
  <c r="P5504" i="2"/>
  <c r="Q5504" i="2"/>
  <c r="P5536" i="2"/>
  <c r="Q5536" i="2"/>
  <c r="P3368" i="2"/>
  <c r="Q3368" i="2"/>
  <c r="P5576" i="2"/>
  <c r="Q5576" i="2"/>
  <c r="P238" i="2"/>
  <c r="Q238" i="2"/>
  <c r="P5592" i="2"/>
  <c r="Q5592" i="2"/>
  <c r="P5600" i="2"/>
  <c r="Q5600" i="2"/>
  <c r="P5608" i="2"/>
  <c r="Q5608" i="2"/>
  <c r="P5632" i="2"/>
  <c r="Q5632" i="2"/>
  <c r="P5640" i="2"/>
  <c r="Q5640" i="2"/>
  <c r="P5648" i="2"/>
  <c r="Q5648" i="2"/>
  <c r="P5656" i="2"/>
  <c r="Q5656" i="2"/>
  <c r="P5664" i="2"/>
  <c r="Q5664" i="2"/>
  <c r="P5688" i="2"/>
  <c r="Q5688" i="2"/>
  <c r="P5744" i="2"/>
  <c r="Q5744" i="2"/>
  <c r="P2398" i="2"/>
  <c r="Q2398" i="2"/>
  <c r="P5760" i="2"/>
  <c r="Q5760" i="2"/>
  <c r="P5768" i="2"/>
  <c r="Q5768" i="2"/>
  <c r="P2059" i="2"/>
  <c r="Q2059" i="2"/>
  <c r="P2921" i="2"/>
  <c r="Q2921" i="2"/>
  <c r="P5792" i="2"/>
  <c r="Q5792" i="2"/>
  <c r="P5856" i="2"/>
  <c r="Q5856" i="2"/>
  <c r="P5864" i="2"/>
  <c r="Q5864" i="2"/>
  <c r="P5469" i="2"/>
  <c r="Q5469" i="2"/>
  <c r="P5888" i="2"/>
  <c r="Q5888" i="2"/>
  <c r="P5896" i="2"/>
  <c r="Q5896" i="2"/>
  <c r="P5904" i="2"/>
  <c r="Q5904" i="2"/>
  <c r="P5920" i="2"/>
  <c r="Q5920" i="2"/>
  <c r="P143" i="2"/>
  <c r="Q143" i="2"/>
  <c r="P5936" i="2"/>
  <c r="Q5936" i="2"/>
  <c r="P5952" i="2"/>
  <c r="Q5952" i="2"/>
  <c r="P145" i="2"/>
  <c r="Q145" i="2"/>
  <c r="P6000" i="2"/>
  <c r="Q6000" i="2"/>
  <c r="P6008" i="2"/>
  <c r="Q6008" i="2"/>
  <c r="P6016" i="2"/>
  <c r="Q6016" i="2"/>
  <c r="P6024" i="2"/>
  <c r="Q6024" i="2"/>
  <c r="P6040" i="2"/>
  <c r="Q6040" i="2"/>
  <c r="P6056" i="2"/>
  <c r="Q6056" i="2"/>
  <c r="P6064" i="2"/>
  <c r="Q6064" i="2"/>
  <c r="P6421" i="2"/>
  <c r="Q6421" i="2"/>
  <c r="P1437" i="2"/>
  <c r="Q1437" i="2"/>
  <c r="P6120" i="2"/>
  <c r="Q6120" i="2"/>
  <c r="P6128" i="2"/>
  <c r="Q6128" i="2"/>
  <c r="P6136" i="2"/>
  <c r="Q6136" i="2"/>
  <c r="P6152" i="2"/>
  <c r="Q6152" i="2"/>
  <c r="P6168" i="2"/>
  <c r="Q6168" i="2"/>
  <c r="P2005" i="2"/>
  <c r="Q2005" i="2"/>
  <c r="P6184" i="2"/>
  <c r="Q6184" i="2"/>
  <c r="P6200" i="2"/>
  <c r="Q6200" i="2"/>
  <c r="P6208" i="2"/>
  <c r="Q6208" i="2"/>
  <c r="P6216" i="2"/>
  <c r="Q6216" i="2"/>
  <c r="P6224" i="2"/>
  <c r="Q6224" i="2"/>
  <c r="P6232" i="2"/>
  <c r="Q6232" i="2"/>
  <c r="P6240" i="2"/>
  <c r="Q6240" i="2"/>
  <c r="P6256" i="2"/>
  <c r="Q6256" i="2"/>
  <c r="P6272" i="2"/>
  <c r="Q6272" i="2"/>
  <c r="P6280" i="2"/>
  <c r="Q6280" i="2"/>
  <c r="P6288" i="2"/>
  <c r="Q6288" i="2"/>
  <c r="P6296" i="2"/>
  <c r="Q6296" i="2"/>
  <c r="P328" i="2"/>
  <c r="Q328" i="2"/>
  <c r="P6312" i="2"/>
  <c r="Q6312" i="2"/>
  <c r="P6320" i="2"/>
  <c r="Q6320" i="2"/>
  <c r="P6328" i="2"/>
  <c r="Q6328" i="2"/>
  <c r="P6344" i="2"/>
  <c r="Q6344" i="2"/>
  <c r="P6352" i="2"/>
  <c r="Q6352" i="2"/>
  <c r="P6360" i="2"/>
  <c r="Q6360" i="2"/>
  <c r="P6368" i="2"/>
  <c r="Q6368" i="2"/>
  <c r="P6384" i="2"/>
  <c r="Q6384" i="2"/>
  <c r="P6400" i="2"/>
  <c r="Q6400" i="2"/>
  <c r="P6408" i="2"/>
  <c r="Q6408" i="2"/>
  <c r="P4494" i="2"/>
  <c r="Q4494" i="2"/>
  <c r="P6432" i="2"/>
  <c r="Q6432" i="2"/>
  <c r="P6913" i="2"/>
  <c r="Q6913" i="2"/>
  <c r="P6448" i="2"/>
  <c r="Q6448" i="2"/>
  <c r="P6464" i="2"/>
  <c r="Q6464" i="2"/>
  <c r="P6472" i="2"/>
  <c r="Q6472" i="2"/>
  <c r="P6496" i="2"/>
  <c r="Q6496" i="2"/>
  <c r="P6504" i="2"/>
  <c r="Q6504" i="2"/>
  <c r="P5788" i="2"/>
  <c r="Q5788" i="2"/>
  <c r="P1408" i="2"/>
  <c r="Q1408" i="2"/>
  <c r="P6094" i="2"/>
  <c r="Q6094" i="2"/>
  <c r="P6536" i="2"/>
  <c r="Q6536" i="2"/>
  <c r="P3720" i="2"/>
  <c r="Q3720" i="2"/>
  <c r="P5846" i="2"/>
  <c r="Q5846" i="2"/>
  <c r="P2277" i="2"/>
  <c r="Q2277" i="2"/>
  <c r="P555" i="2"/>
  <c r="Q555" i="2"/>
  <c r="P430" i="2"/>
  <c r="Q430" i="2"/>
  <c r="P6600" i="2"/>
  <c r="Q6600" i="2"/>
  <c r="P6608" i="2"/>
  <c r="Q6608" i="2"/>
  <c r="P6616" i="2"/>
  <c r="Q6616" i="2"/>
  <c r="P6624" i="2"/>
  <c r="Q6624" i="2"/>
  <c r="P6632" i="2"/>
  <c r="Q6632" i="2"/>
  <c r="P6640" i="2"/>
  <c r="Q6640" i="2"/>
  <c r="P6648" i="2"/>
  <c r="Q6648" i="2"/>
  <c r="P3296" i="2"/>
  <c r="Q3296" i="2"/>
  <c r="P1726" i="2"/>
  <c r="Q1726" i="2"/>
  <c r="P823" i="2"/>
  <c r="Q823" i="2"/>
  <c r="P1095" i="2"/>
  <c r="Q1095" i="2"/>
  <c r="P7052" i="2"/>
  <c r="Q7052" i="2"/>
  <c r="P6744" i="2"/>
  <c r="Q6744" i="2"/>
  <c r="P6752" i="2"/>
  <c r="Q6752" i="2"/>
  <c r="P6760" i="2"/>
  <c r="Q6760" i="2"/>
  <c r="P3744" i="2"/>
  <c r="Q3744" i="2"/>
  <c r="P6776" i="2"/>
  <c r="Q6776" i="2"/>
  <c r="P5572" i="2"/>
  <c r="Q5572" i="2"/>
  <c r="P6792" i="2"/>
  <c r="Q6792" i="2"/>
  <c r="P6800" i="2"/>
  <c r="Q6800" i="2"/>
  <c r="P6808" i="2"/>
  <c r="Q6808" i="2"/>
  <c r="P6816" i="2"/>
  <c r="Q6816" i="2"/>
  <c r="P5474" i="2"/>
  <c r="Q5474" i="2"/>
  <c r="P6840" i="2"/>
  <c r="Q6840" i="2"/>
  <c r="P6856" i="2"/>
  <c r="Q6856" i="2"/>
  <c r="P6525" i="2"/>
  <c r="Q6525" i="2"/>
  <c r="P6920" i="2"/>
  <c r="Q6920" i="2"/>
  <c r="P2283" i="2"/>
  <c r="Q2283" i="2"/>
  <c r="P6936" i="2"/>
  <c r="Q6936" i="2"/>
  <c r="P6944" i="2"/>
  <c r="Q6944" i="2"/>
  <c r="P6952" i="2"/>
  <c r="Q6952" i="2"/>
  <c r="P6968" i="2"/>
  <c r="Q6968" i="2"/>
  <c r="P6984" i="2"/>
  <c r="Q6984" i="2"/>
  <c r="P6992" i="2"/>
  <c r="Q6992" i="2"/>
  <c r="P7000" i="2"/>
  <c r="Q7000" i="2"/>
  <c r="P7016" i="2"/>
  <c r="Q7016" i="2"/>
  <c r="P7024" i="2"/>
  <c r="Q7024" i="2"/>
  <c r="P2530" i="2"/>
  <c r="Q2530" i="2"/>
  <c r="P6745" i="2"/>
  <c r="Q6745" i="2"/>
  <c r="P371" i="2"/>
  <c r="Q371" i="2"/>
  <c r="P7080" i="2"/>
  <c r="Q7080" i="2"/>
  <c r="P7088" i="2"/>
  <c r="Q7088" i="2"/>
  <c r="P7096" i="2"/>
  <c r="Q7096" i="2"/>
  <c r="P5275" i="2"/>
  <c r="Q5275" i="2"/>
  <c r="P6941" i="2"/>
  <c r="Q6941" i="2"/>
  <c r="P7128" i="2"/>
  <c r="Q7128" i="2"/>
  <c r="P7136" i="2"/>
  <c r="Q7136" i="2"/>
  <c r="P7160" i="2"/>
  <c r="Q7160" i="2"/>
  <c r="P7168" i="2"/>
  <c r="Q7168" i="2"/>
  <c r="P7184" i="2"/>
  <c r="Q7184" i="2"/>
  <c r="P7192" i="2"/>
  <c r="Q7192" i="2"/>
  <c r="P7200" i="2"/>
  <c r="Q7200" i="2"/>
  <c r="P7208" i="2"/>
  <c r="Q7208" i="2"/>
  <c r="P7216" i="2"/>
  <c r="Q7216" i="2"/>
  <c r="P7224" i="2"/>
  <c r="Q7224" i="2"/>
  <c r="P7232" i="2"/>
  <c r="Q7232" i="2"/>
  <c r="P7264" i="2"/>
  <c r="Q7264" i="2"/>
  <c r="P7272" i="2"/>
  <c r="Q7272" i="2"/>
  <c r="P7280" i="2"/>
  <c r="Q7280" i="2"/>
  <c r="P5" i="2"/>
  <c r="Q5" i="2"/>
  <c r="P13" i="2"/>
  <c r="Q13" i="2"/>
  <c r="P21" i="2"/>
  <c r="Q21" i="2"/>
  <c r="P29" i="2"/>
  <c r="Q29" i="2"/>
  <c r="P53" i="2"/>
  <c r="Q53" i="2"/>
  <c r="P61" i="2"/>
  <c r="Q61" i="2"/>
  <c r="P69" i="2"/>
  <c r="Q69" i="2"/>
  <c r="P93" i="2"/>
  <c r="Q93" i="2"/>
  <c r="P125" i="2"/>
  <c r="Q125" i="2"/>
  <c r="P165" i="2"/>
  <c r="Q165" i="2"/>
  <c r="P205" i="2"/>
  <c r="Q205" i="2"/>
  <c r="P213" i="2"/>
  <c r="Q213" i="2"/>
  <c r="P221" i="2"/>
  <c r="Q221" i="2"/>
  <c r="P229" i="2"/>
  <c r="Q229" i="2"/>
  <c r="P253" i="2"/>
  <c r="Q253" i="2"/>
  <c r="P261" i="2"/>
  <c r="Q261" i="2"/>
  <c r="P269" i="2"/>
  <c r="Q269" i="2"/>
  <c r="P277" i="2"/>
  <c r="Q277" i="2"/>
  <c r="P285" i="2"/>
  <c r="Q285" i="2"/>
  <c r="P293" i="2"/>
  <c r="Q293" i="2"/>
  <c r="P301" i="2"/>
  <c r="Q301" i="2"/>
  <c r="P309" i="2"/>
  <c r="Q309" i="2"/>
  <c r="P317" i="2"/>
  <c r="Q317" i="2"/>
  <c r="P325" i="2"/>
  <c r="Q325" i="2"/>
  <c r="P333" i="2"/>
  <c r="Q333" i="2"/>
  <c r="P357" i="2"/>
  <c r="Q357" i="2"/>
  <c r="P2147" i="2"/>
  <c r="Q2147" i="2"/>
  <c r="P405" i="2"/>
  <c r="Q405" i="2"/>
  <c r="P429" i="2"/>
  <c r="Q429" i="2"/>
  <c r="P5636" i="2"/>
  <c r="Q5636" i="2"/>
  <c r="P453" i="2"/>
  <c r="Q453" i="2"/>
  <c r="P461" i="2"/>
  <c r="Q461" i="2"/>
  <c r="P485" i="2"/>
  <c r="Q485" i="2"/>
  <c r="P493" i="2"/>
  <c r="Q493" i="2"/>
  <c r="P501" i="2"/>
  <c r="Q501" i="2"/>
  <c r="P509" i="2"/>
  <c r="Q509" i="2"/>
  <c r="P517" i="2"/>
  <c r="Q517" i="2"/>
  <c r="P533" i="2"/>
  <c r="Q533" i="2"/>
  <c r="P541" i="2"/>
  <c r="Q541" i="2"/>
  <c r="P4022" i="2"/>
  <c r="Q4022" i="2"/>
  <c r="P3690" i="2"/>
  <c r="Q3690" i="2"/>
  <c r="P573" i="2"/>
  <c r="Q573" i="2"/>
  <c r="P2700" i="2"/>
  <c r="Q2700" i="2"/>
  <c r="P589" i="2"/>
  <c r="Q589" i="2"/>
  <c r="P597" i="2"/>
  <c r="Q597" i="2"/>
  <c r="P605" i="2"/>
  <c r="Q605" i="2"/>
  <c r="P621" i="2"/>
  <c r="Q621" i="2"/>
  <c r="P629" i="2"/>
  <c r="Q629" i="2"/>
  <c r="P637" i="2"/>
  <c r="Q637" i="2"/>
  <c r="P6553" i="2"/>
  <c r="Q6553" i="2"/>
  <c r="P661" i="2"/>
  <c r="Q661" i="2"/>
  <c r="P3180" i="2"/>
  <c r="Q3180" i="2"/>
  <c r="P709" i="2"/>
  <c r="Q709" i="2"/>
  <c r="P717" i="2"/>
  <c r="Q717" i="2"/>
  <c r="P725" i="2"/>
  <c r="Q725" i="2"/>
  <c r="P765" i="2"/>
  <c r="Q765" i="2"/>
  <c r="P773" i="2"/>
  <c r="Q773" i="2"/>
  <c r="P781" i="2"/>
  <c r="Q781" i="2"/>
  <c r="P797" i="2"/>
  <c r="Q797" i="2"/>
  <c r="P372" i="2"/>
  <c r="Q372" i="2"/>
  <c r="P821" i="2"/>
  <c r="Q821" i="2"/>
  <c r="P829" i="2"/>
  <c r="Q829" i="2"/>
  <c r="P837" i="2"/>
  <c r="Q837" i="2"/>
  <c r="P845" i="2"/>
  <c r="Q845" i="2"/>
  <c r="P869" i="2"/>
  <c r="Q869" i="2"/>
  <c r="P877" i="2"/>
  <c r="Q877" i="2"/>
  <c r="P885" i="2"/>
  <c r="Q885" i="2"/>
  <c r="P893" i="2"/>
  <c r="Q893" i="2"/>
  <c r="P901" i="2"/>
  <c r="Q901" i="2"/>
  <c r="P909" i="2"/>
  <c r="Q909" i="2"/>
  <c r="P917" i="2"/>
  <c r="Q917" i="2"/>
  <c r="P925" i="2"/>
  <c r="Q925" i="2"/>
  <c r="P933" i="2"/>
  <c r="Q933" i="2"/>
  <c r="P941" i="2"/>
  <c r="Q941" i="2"/>
  <c r="P957" i="2"/>
  <c r="Q957" i="2"/>
  <c r="P973" i="2"/>
  <c r="Q973" i="2"/>
  <c r="P6907" i="2"/>
  <c r="Q6907" i="2"/>
  <c r="P4214" i="2"/>
  <c r="Q4214" i="2"/>
  <c r="P1029" i="2"/>
  <c r="Q1029" i="2"/>
  <c r="P2971" i="2"/>
  <c r="Q2971" i="2"/>
  <c r="P5748" i="2"/>
  <c r="Q5748" i="2"/>
  <c r="P1069" i="2"/>
  <c r="Q1069" i="2"/>
  <c r="P6596" i="2"/>
  <c r="Q6596" i="2"/>
  <c r="P1109" i="2"/>
  <c r="Q1109" i="2"/>
  <c r="P3706" i="2"/>
  <c r="Q3706" i="2"/>
  <c r="P1125" i="2"/>
  <c r="Q1125" i="2"/>
  <c r="P1133" i="2"/>
  <c r="Q1133" i="2"/>
  <c r="P1141" i="2"/>
  <c r="Q1141" i="2"/>
  <c r="P1149" i="2"/>
  <c r="Q1149" i="2"/>
  <c r="P1165" i="2"/>
  <c r="Q1165" i="2"/>
  <c r="P1173" i="2"/>
  <c r="Q1173" i="2"/>
  <c r="P1189" i="2"/>
  <c r="Q1189" i="2"/>
  <c r="P1197" i="2"/>
  <c r="Q1197" i="2"/>
  <c r="P3701" i="2"/>
  <c r="Q3701" i="2"/>
  <c r="P1253" i="2"/>
  <c r="Q1253" i="2"/>
  <c r="P1261" i="2"/>
  <c r="Q1261" i="2"/>
  <c r="P1269" i="2"/>
  <c r="Q1269" i="2"/>
  <c r="P1277" i="2"/>
  <c r="Q1277" i="2"/>
  <c r="P1293" i="2"/>
  <c r="Q1293" i="2"/>
  <c r="P1301" i="2"/>
  <c r="Q1301" i="2"/>
  <c r="P1309" i="2"/>
  <c r="Q1309" i="2"/>
  <c r="P1317" i="2"/>
  <c r="Q1317" i="2"/>
  <c r="P1325" i="2"/>
  <c r="Q1325" i="2"/>
  <c r="P1333" i="2"/>
  <c r="Q1333" i="2"/>
  <c r="P1349" i="2"/>
  <c r="Q1349" i="2"/>
  <c r="P1357" i="2"/>
  <c r="Q1357" i="2"/>
  <c r="P1365" i="2"/>
  <c r="Q1365" i="2"/>
  <c r="P1373" i="2"/>
  <c r="Q1373" i="2"/>
  <c r="P1381" i="2"/>
  <c r="Q1381" i="2"/>
  <c r="P1389" i="2"/>
  <c r="Q1389" i="2"/>
  <c r="P1405" i="2"/>
  <c r="Q1405" i="2"/>
  <c r="P3954" i="2"/>
  <c r="Q3954" i="2"/>
  <c r="P4216" i="2"/>
  <c r="Q4216" i="2"/>
  <c r="P1429" i="2"/>
  <c r="Q1429" i="2"/>
  <c r="P393" i="2"/>
  <c r="Q393" i="2"/>
  <c r="P1469" i="2"/>
  <c r="Q1469" i="2"/>
  <c r="P1477" i="2"/>
  <c r="Q1477" i="2"/>
  <c r="P1485" i="2"/>
  <c r="Q1485" i="2"/>
  <c r="P1493" i="2"/>
  <c r="Q1493" i="2"/>
  <c r="P382" i="2"/>
  <c r="Q382" i="2"/>
  <c r="P5848" i="2"/>
  <c r="Q5848" i="2"/>
  <c r="P1533" i="2"/>
  <c r="Q1533" i="2"/>
  <c r="P1541" i="2"/>
  <c r="Q1541" i="2"/>
  <c r="P1549" i="2"/>
  <c r="Q1549" i="2"/>
  <c r="P1557" i="2"/>
  <c r="Q1557" i="2"/>
  <c r="P1565" i="2"/>
  <c r="Q1565" i="2"/>
  <c r="P1573" i="2"/>
  <c r="Q1573" i="2"/>
  <c r="P1581" i="2"/>
  <c r="Q1581" i="2"/>
  <c r="P1621" i="2"/>
  <c r="Q1621" i="2"/>
  <c r="P5399" i="2"/>
  <c r="Q5399" i="2"/>
  <c r="P1645" i="2"/>
  <c r="Q1645" i="2"/>
  <c r="P1661" i="2"/>
  <c r="Q1661" i="2"/>
  <c r="P1669" i="2"/>
  <c r="Q1669" i="2"/>
  <c r="P1685" i="2"/>
  <c r="Q1685" i="2"/>
  <c r="P1693" i="2"/>
  <c r="Q1693" i="2"/>
  <c r="P1701" i="2"/>
  <c r="Q1701" i="2"/>
  <c r="P7112" i="2"/>
  <c r="Q7112" i="2"/>
  <c r="P438" i="2"/>
  <c r="Q438" i="2"/>
  <c r="P1733" i="2"/>
  <c r="Q1733" i="2"/>
  <c r="P1741" i="2"/>
  <c r="Q1741" i="2"/>
  <c r="P1749" i="2"/>
  <c r="Q1749" i="2"/>
  <c r="P1757" i="2"/>
  <c r="Q1757" i="2"/>
  <c r="P1765" i="2"/>
  <c r="Q1765" i="2"/>
  <c r="P1773" i="2"/>
  <c r="Q1773" i="2"/>
  <c r="P1781" i="2"/>
  <c r="Q1781" i="2"/>
  <c r="P1789" i="2"/>
  <c r="Q1789" i="2"/>
  <c r="P2577" i="2"/>
  <c r="Q2577" i="2"/>
  <c r="P1813" i="2"/>
  <c r="Q1813" i="2"/>
  <c r="P1821" i="2"/>
  <c r="Q1821" i="2"/>
  <c r="P1829" i="2"/>
  <c r="Q1829" i="2"/>
  <c r="P1837" i="2"/>
  <c r="Q1837" i="2"/>
  <c r="P1917" i="2"/>
  <c r="Q1917" i="2"/>
  <c r="P1933" i="2"/>
  <c r="Q1933" i="2"/>
  <c r="P1973" i="2"/>
  <c r="Q1973" i="2"/>
  <c r="P2824" i="2"/>
  <c r="Q2824" i="2"/>
  <c r="P1989" i="2"/>
  <c r="Q1989" i="2"/>
  <c r="P1997" i="2"/>
  <c r="Q1997" i="2"/>
  <c r="P2013" i="2"/>
  <c r="Q2013" i="2"/>
  <c r="P2021" i="2"/>
  <c r="Q2021" i="2"/>
  <c r="P2029" i="2"/>
  <c r="Q2029" i="2"/>
  <c r="P2037" i="2"/>
  <c r="Q2037" i="2"/>
  <c r="P2045" i="2"/>
  <c r="Q2045" i="2"/>
  <c r="P1535" i="2"/>
  <c r="Q1535" i="2"/>
  <c r="P2085" i="2"/>
  <c r="Q2085" i="2"/>
  <c r="P6488" i="2"/>
  <c r="Q6488" i="2"/>
  <c r="P2133" i="2"/>
  <c r="Q2133" i="2"/>
  <c r="P71" i="2"/>
  <c r="Q71" i="2"/>
  <c r="P2165" i="2"/>
  <c r="Q2165" i="2"/>
  <c r="P2189" i="2"/>
  <c r="Q2189" i="2"/>
  <c r="P2205" i="2"/>
  <c r="Q2205" i="2"/>
  <c r="P2213" i="2"/>
  <c r="Q2213" i="2"/>
  <c r="P2221" i="2"/>
  <c r="Q2221" i="2"/>
  <c r="P2229" i="2"/>
  <c r="Q2229" i="2"/>
  <c r="P2237" i="2"/>
  <c r="Q2237" i="2"/>
  <c r="P2245" i="2"/>
  <c r="Q2245" i="2"/>
  <c r="P5319" i="2"/>
  <c r="Q5319" i="2"/>
  <c r="P4370" i="2"/>
  <c r="Q4370" i="2"/>
  <c r="P1075" i="2"/>
  <c r="Q1075" i="2"/>
  <c r="P2317" i="2"/>
  <c r="Q2317" i="2"/>
  <c r="P2325" i="2"/>
  <c r="Q2325" i="2"/>
  <c r="P2834" i="2"/>
  <c r="Q2834" i="2"/>
  <c r="P2357" i="2"/>
  <c r="Q2357" i="2"/>
  <c r="P2365" i="2"/>
  <c r="Q2365" i="2"/>
  <c r="P1896" i="2"/>
  <c r="Q1896" i="2"/>
  <c r="P2389" i="2"/>
  <c r="Q2389" i="2"/>
  <c r="P2397" i="2"/>
  <c r="Q2397" i="2"/>
  <c r="P2429" i="2"/>
  <c r="Q2429" i="2"/>
  <c r="P2437" i="2"/>
  <c r="Q2437" i="2"/>
  <c r="P2485" i="2"/>
  <c r="Q2485" i="2"/>
  <c r="P2509" i="2"/>
  <c r="Q2509" i="2"/>
  <c r="P2525" i="2"/>
  <c r="Q2525" i="2"/>
  <c r="P2533" i="2"/>
  <c r="Q2533" i="2"/>
  <c r="P2549" i="2"/>
  <c r="Q2549" i="2"/>
  <c r="P2557" i="2"/>
  <c r="Q2557" i="2"/>
  <c r="P2573" i="2"/>
  <c r="Q2573" i="2"/>
  <c r="P2581" i="2"/>
  <c r="Q2581" i="2"/>
  <c r="P2589" i="2"/>
  <c r="Q2589" i="2"/>
  <c r="P2605" i="2"/>
  <c r="Q2605" i="2"/>
  <c r="P2613" i="2"/>
  <c r="Q2613" i="2"/>
  <c r="P2621" i="2"/>
  <c r="Q2621" i="2"/>
  <c r="P2629" i="2"/>
  <c r="Q2629" i="2"/>
  <c r="P2637" i="2"/>
  <c r="Q2637" i="2"/>
  <c r="P2653" i="2"/>
  <c r="Q2653" i="2"/>
  <c r="P2661" i="2"/>
  <c r="Q2661" i="2"/>
  <c r="P4392" i="2"/>
  <c r="Q4392" i="2"/>
  <c r="P2693" i="2"/>
  <c r="Q2693" i="2"/>
  <c r="P2709" i="2"/>
  <c r="Q2709" i="2"/>
  <c r="P2725" i="2"/>
  <c r="Q2725" i="2"/>
  <c r="P2757" i="2"/>
  <c r="Q2757" i="2"/>
  <c r="P298" i="2"/>
  <c r="Q298" i="2"/>
  <c r="P2773" i="2"/>
  <c r="Q2773" i="2"/>
  <c r="P2781" i="2"/>
  <c r="Q2781" i="2"/>
  <c r="P6720" i="2"/>
  <c r="Q6720" i="2"/>
  <c r="P2797" i="2"/>
  <c r="Q2797" i="2"/>
  <c r="P2813" i="2"/>
  <c r="Q2813" i="2"/>
  <c r="P2829" i="2"/>
  <c r="Q2829" i="2"/>
  <c r="P2119" i="2"/>
  <c r="Q2119" i="2"/>
  <c r="P332" i="2"/>
  <c r="Q332" i="2"/>
  <c r="P2861" i="2"/>
  <c r="Q2861" i="2"/>
  <c r="P2869" i="2"/>
  <c r="Q2869" i="2"/>
  <c r="P2877" i="2"/>
  <c r="Q2877" i="2"/>
  <c r="P2893" i="2"/>
  <c r="Q2893" i="2"/>
  <c r="P2917" i="2"/>
  <c r="Q2917" i="2"/>
  <c r="P2925" i="2"/>
  <c r="Q2925" i="2"/>
  <c r="P2933" i="2"/>
  <c r="Q2933" i="2"/>
  <c r="P2941" i="2"/>
  <c r="Q2941" i="2"/>
  <c r="P2957" i="2"/>
  <c r="Q2957" i="2"/>
  <c r="P2981" i="2"/>
  <c r="Q2981" i="2"/>
  <c r="P3005" i="2"/>
  <c r="Q3005" i="2"/>
  <c r="P3045" i="2"/>
  <c r="Q3045" i="2"/>
  <c r="P3053" i="2"/>
  <c r="Q3053" i="2"/>
  <c r="P3061" i="2"/>
  <c r="Q3061" i="2"/>
  <c r="P3069" i="2"/>
  <c r="Q3069" i="2"/>
  <c r="P3077" i="2"/>
  <c r="Q3077" i="2"/>
  <c r="P3101" i="2"/>
  <c r="Q3101" i="2"/>
  <c r="P4119" i="2"/>
  <c r="Q4119" i="2"/>
  <c r="P3125" i="2"/>
  <c r="Q3125" i="2"/>
  <c r="P3141" i="2"/>
  <c r="Q3141" i="2"/>
  <c r="P6139" i="2"/>
  <c r="Q6139" i="2"/>
  <c r="P3197" i="2"/>
  <c r="Q3197" i="2"/>
  <c r="P3205" i="2"/>
  <c r="Q3205" i="2"/>
  <c r="P3213" i="2"/>
  <c r="Q3213" i="2"/>
  <c r="P3237" i="2"/>
  <c r="Q3237" i="2"/>
  <c r="P3245" i="2"/>
  <c r="Q3245" i="2"/>
  <c r="P3948" i="2"/>
  <c r="Q3948" i="2"/>
  <c r="P3956" i="2"/>
  <c r="Q3956" i="2"/>
  <c r="P3964" i="2"/>
  <c r="Q3964" i="2"/>
  <c r="P4572" i="2"/>
  <c r="Q4572" i="2"/>
  <c r="P3980" i="2"/>
  <c r="Q3980" i="2"/>
  <c r="P3988" i="2"/>
  <c r="Q3988" i="2"/>
  <c r="P4044" i="2"/>
  <c r="Q4044" i="2"/>
  <c r="P4052" i="2"/>
  <c r="Q4052" i="2"/>
  <c r="P4060" i="2"/>
  <c r="Q4060" i="2"/>
  <c r="P4068" i="2"/>
  <c r="Q4068" i="2"/>
  <c r="P4092" i="2"/>
  <c r="Q4092" i="2"/>
  <c r="P4100" i="2"/>
  <c r="Q4100" i="2"/>
  <c r="P4108" i="2"/>
  <c r="Q4108" i="2"/>
  <c r="P4078" i="2"/>
  <c r="Q4078" i="2"/>
  <c r="P4132" i="2"/>
  <c r="Q4132" i="2"/>
  <c r="P4148" i="2"/>
  <c r="Q4148" i="2"/>
  <c r="P4164" i="2"/>
  <c r="Q4164" i="2"/>
  <c r="P5974" i="2"/>
  <c r="Q5974" i="2"/>
  <c r="P4180" i="2"/>
  <c r="Q4180" i="2"/>
  <c r="P4220" i="2"/>
  <c r="Q4220" i="2"/>
  <c r="P4228" i="2"/>
  <c r="Q4228" i="2"/>
  <c r="P4236" i="2"/>
  <c r="Q4236" i="2"/>
  <c r="P4244" i="2"/>
  <c r="Q4244" i="2"/>
  <c r="P4260" i="2"/>
  <c r="Q4260" i="2"/>
  <c r="P4268" i="2"/>
  <c r="Q4268" i="2"/>
  <c r="P4276" i="2"/>
  <c r="Q4276" i="2"/>
  <c r="P4292" i="2"/>
  <c r="Q4292" i="2"/>
  <c r="P4324" i="2"/>
  <c r="Q4324" i="2"/>
  <c r="P4332" i="2"/>
  <c r="Q4332" i="2"/>
  <c r="P4348" i="2"/>
  <c r="Q4348" i="2"/>
  <c r="P4356" i="2"/>
  <c r="Q4356" i="2"/>
  <c r="P4388" i="2"/>
  <c r="Q4388" i="2"/>
  <c r="P4396" i="2"/>
  <c r="Q4396" i="2"/>
  <c r="P4412" i="2"/>
  <c r="Q4412" i="2"/>
  <c r="P4420" i="2"/>
  <c r="Q4420" i="2"/>
  <c r="P4428" i="2"/>
  <c r="Q4428" i="2"/>
  <c r="P4444" i="2"/>
  <c r="Q4444" i="2"/>
  <c r="P4452" i="2"/>
  <c r="Q4452" i="2"/>
  <c r="P4460" i="2"/>
  <c r="Q4460" i="2"/>
  <c r="P4468" i="2"/>
  <c r="Q4468" i="2"/>
  <c r="P4476" i="2"/>
  <c r="Q4476" i="2"/>
  <c r="P4484" i="2"/>
  <c r="Q4484" i="2"/>
  <c r="P4492" i="2"/>
  <c r="Q4492" i="2"/>
  <c r="P4500" i="2"/>
  <c r="Q4500" i="2"/>
  <c r="P4516" i="2"/>
  <c r="Q4516" i="2"/>
  <c r="P454" i="2"/>
  <c r="Q454" i="2"/>
  <c r="P4532" i="2"/>
  <c r="Q4532" i="2"/>
  <c r="P4540" i="2"/>
  <c r="Q4540" i="2"/>
  <c r="P4556" i="2"/>
  <c r="Q4556" i="2"/>
  <c r="P4564" i="2"/>
  <c r="Q4564" i="2"/>
  <c r="P2994" i="2"/>
  <c r="Q2994" i="2"/>
  <c r="P5049" i="2"/>
  <c r="Q5049" i="2"/>
  <c r="P4596" i="2"/>
  <c r="Q4596" i="2"/>
  <c r="P4604" i="2"/>
  <c r="Q4604" i="2"/>
  <c r="P4612" i="2"/>
  <c r="Q4612" i="2"/>
  <c r="P4620" i="2"/>
  <c r="Q4620" i="2"/>
  <c r="P4628" i="2"/>
  <c r="Q4628" i="2"/>
  <c r="P1200" i="2"/>
  <c r="Q1200" i="2"/>
  <c r="P2779" i="2"/>
  <c r="Q2779" i="2"/>
  <c r="P4684" i="2"/>
  <c r="Q4684" i="2"/>
  <c r="P4692" i="2"/>
  <c r="Q4692" i="2"/>
  <c r="P4700" i="2"/>
  <c r="Q4700" i="2"/>
  <c r="P4708" i="2"/>
  <c r="Q4708" i="2"/>
  <c r="P4716" i="2"/>
  <c r="Q4716" i="2"/>
  <c r="P4724" i="2"/>
  <c r="Q4724" i="2"/>
  <c r="P4740" i="2"/>
  <c r="Q4740" i="2"/>
  <c r="P4748" i="2"/>
  <c r="Q4748" i="2"/>
  <c r="P5244" i="2"/>
  <c r="Q5244" i="2"/>
  <c r="P4764" i="2"/>
  <c r="Q4764" i="2"/>
  <c r="P4780" i="2"/>
  <c r="Q4780" i="2"/>
  <c r="P4788" i="2"/>
  <c r="Q4788" i="2"/>
  <c r="P4892" i="2"/>
  <c r="Q4892" i="2"/>
  <c r="P4900" i="2"/>
  <c r="Q4900" i="2"/>
  <c r="P4908" i="2"/>
  <c r="Q4908" i="2"/>
  <c r="P4924" i="2"/>
  <c r="Q4924" i="2"/>
  <c r="P4932" i="2"/>
  <c r="Q4932" i="2"/>
  <c r="P4956" i="2"/>
  <c r="Q4956" i="2"/>
  <c r="P4972" i="2"/>
  <c r="Q4972" i="2"/>
  <c r="P1265" i="2"/>
  <c r="Q1265" i="2"/>
  <c r="P6547" i="2"/>
  <c r="Q6547" i="2"/>
  <c r="P5594" i="2"/>
  <c r="Q5594" i="2"/>
  <c r="P5012" i="2"/>
  <c r="Q5012" i="2"/>
  <c r="P5052" i="2"/>
  <c r="Q5052" i="2"/>
  <c r="P5060" i="2"/>
  <c r="Q5060" i="2"/>
  <c r="P5068" i="2"/>
  <c r="Q5068" i="2"/>
  <c r="P5076" i="2"/>
  <c r="Q5076" i="2"/>
  <c r="P5092" i="2"/>
  <c r="Q5092" i="2"/>
  <c r="P5100" i="2"/>
  <c r="Q5100" i="2"/>
  <c r="P5108" i="2"/>
  <c r="Q5108" i="2"/>
  <c r="P6433" i="2"/>
  <c r="Q6433" i="2"/>
  <c r="P5132" i="2"/>
  <c r="Q5132" i="2"/>
  <c r="P5164" i="2"/>
  <c r="Q5164" i="2"/>
  <c r="P5172" i="2"/>
  <c r="Q5172" i="2"/>
  <c r="P5188" i="2"/>
  <c r="Q5188" i="2"/>
  <c r="P5196" i="2"/>
  <c r="Q5196" i="2"/>
  <c r="P5204" i="2"/>
  <c r="Q5204" i="2"/>
  <c r="P4539" i="2"/>
  <c r="Q4539" i="2"/>
  <c r="P5228" i="2"/>
  <c r="Q5228" i="2"/>
  <c r="P4546" i="2"/>
  <c r="Q4546" i="2"/>
  <c r="P6757" i="2"/>
  <c r="Q6757" i="2"/>
  <c r="P5252" i="2"/>
  <c r="Q5252" i="2"/>
  <c r="P5260" i="2"/>
  <c r="Q5260" i="2"/>
  <c r="P5276" i="2"/>
  <c r="Q5276" i="2"/>
  <c r="P5292" i="2"/>
  <c r="Q5292" i="2"/>
  <c r="P5300" i="2"/>
  <c r="Q5300" i="2"/>
  <c r="P966" i="2"/>
  <c r="Q966" i="2"/>
  <c r="P5316" i="2"/>
  <c r="Q5316" i="2"/>
  <c r="P5324" i="2"/>
  <c r="Q5324" i="2"/>
  <c r="P5332" i="2"/>
  <c r="Q5332" i="2"/>
  <c r="P5356" i="2"/>
  <c r="Q5356" i="2"/>
  <c r="P5364" i="2"/>
  <c r="Q5364" i="2"/>
  <c r="P5372" i="2"/>
  <c r="Q5372" i="2"/>
  <c r="P5380" i="2"/>
  <c r="Q5380" i="2"/>
  <c r="P5388" i="2"/>
  <c r="Q5388" i="2"/>
  <c r="P5396" i="2"/>
  <c r="Q5396" i="2"/>
  <c r="P5412" i="2"/>
  <c r="Q5412" i="2"/>
  <c r="P5420" i="2"/>
  <c r="Q5420" i="2"/>
  <c r="P5444" i="2"/>
  <c r="Q5444" i="2"/>
  <c r="P857" i="2"/>
  <c r="Q857" i="2"/>
  <c r="P5460" i="2"/>
  <c r="Q5460" i="2"/>
  <c r="P5508" i="2"/>
  <c r="Q5508" i="2"/>
  <c r="P4756" i="2"/>
  <c r="Q4756" i="2"/>
  <c r="P5524" i="2"/>
  <c r="Q5524" i="2"/>
  <c r="P5532" i="2"/>
  <c r="Q5532" i="2"/>
  <c r="P5548" i="2"/>
  <c r="Q5548" i="2"/>
  <c r="P5564" i="2"/>
  <c r="Q5564" i="2"/>
  <c r="P651" i="2"/>
  <c r="Q651" i="2"/>
  <c r="P5596" i="2"/>
  <c r="Q5596" i="2"/>
  <c r="P1494" i="2"/>
  <c r="Q1494" i="2"/>
  <c r="P2732" i="2"/>
  <c r="Q2732" i="2"/>
  <c r="P2167" i="2"/>
  <c r="Q2167" i="2"/>
  <c r="P5652" i="2"/>
  <c r="Q5652" i="2"/>
  <c r="P5660" i="2"/>
  <c r="Q5660" i="2"/>
  <c r="P5668" i="2"/>
  <c r="Q5668" i="2"/>
  <c r="P5467" i="2"/>
  <c r="Q5467" i="2"/>
  <c r="P5684" i="2"/>
  <c r="Q5684" i="2"/>
  <c r="P2784" i="2"/>
  <c r="Q2784" i="2"/>
  <c r="P3928" i="2"/>
  <c r="Q3928" i="2"/>
  <c r="P5257" i="2"/>
  <c r="Q5257" i="2"/>
  <c r="P5716" i="2"/>
  <c r="Q5716" i="2"/>
  <c r="P5724" i="2"/>
  <c r="Q5724" i="2"/>
  <c r="P5740" i="2"/>
  <c r="Q5740" i="2"/>
  <c r="P5796" i="2"/>
  <c r="Q5796" i="2"/>
  <c r="P5804" i="2"/>
  <c r="Q5804" i="2"/>
  <c r="P5812" i="2"/>
  <c r="Q5812" i="2"/>
  <c r="P5820" i="2"/>
  <c r="Q5820" i="2"/>
  <c r="P5828" i="2"/>
  <c r="Q5828" i="2"/>
  <c r="P1877" i="2"/>
  <c r="Q1877" i="2"/>
  <c r="P5844" i="2"/>
  <c r="Q5844" i="2"/>
  <c r="P5852" i="2"/>
  <c r="Q5852" i="2"/>
  <c r="P5860" i="2"/>
  <c r="Q5860" i="2"/>
  <c r="P5868" i="2"/>
  <c r="Q5868" i="2"/>
  <c r="P5876" i="2"/>
  <c r="Q5876" i="2"/>
  <c r="P5908" i="2"/>
  <c r="Q5908" i="2"/>
  <c r="P5916" i="2"/>
  <c r="Q5916" i="2"/>
  <c r="P5940" i="2"/>
  <c r="Q5940" i="2"/>
  <c r="P5948" i="2"/>
  <c r="Q5948" i="2"/>
  <c r="P5956" i="2"/>
  <c r="Q5956" i="2"/>
  <c r="P2381" i="2"/>
  <c r="Q2381" i="2"/>
  <c r="P5972" i="2"/>
  <c r="Q5972" i="2"/>
  <c r="P5980" i="2"/>
  <c r="Q5980" i="2"/>
  <c r="P5988" i="2"/>
  <c r="Q5988" i="2"/>
  <c r="P6004" i="2"/>
  <c r="Q6004" i="2"/>
  <c r="P6012" i="2"/>
  <c r="Q6012" i="2"/>
  <c r="P6020" i="2"/>
  <c r="Q6020" i="2"/>
  <c r="P6028" i="2"/>
  <c r="Q6028" i="2"/>
  <c r="P6036" i="2"/>
  <c r="Q6036" i="2"/>
  <c r="P6044" i="2"/>
  <c r="Q6044" i="2"/>
  <c r="P6052" i="2"/>
  <c r="Q6052" i="2"/>
  <c r="P6084" i="2"/>
  <c r="Q6084" i="2"/>
  <c r="P6100" i="2"/>
  <c r="Q6100" i="2"/>
  <c r="P6108" i="2"/>
  <c r="Q6108" i="2"/>
  <c r="P6116" i="2"/>
  <c r="Q6116" i="2"/>
  <c r="P6124" i="2"/>
  <c r="Q6124" i="2"/>
  <c r="P6140" i="2"/>
  <c r="Q6140" i="2"/>
  <c r="P6148" i="2"/>
  <c r="Q6148" i="2"/>
  <c r="P6156" i="2"/>
  <c r="Q6156" i="2"/>
  <c r="P6164" i="2"/>
  <c r="Q6164" i="2"/>
  <c r="P6180" i="2"/>
  <c r="Q6180" i="2"/>
  <c r="P6188" i="2"/>
  <c r="Q6188" i="2"/>
  <c r="P6196" i="2"/>
  <c r="Q6196" i="2"/>
  <c r="P6204" i="2"/>
  <c r="Q6204" i="2"/>
  <c r="P6220" i="2"/>
  <c r="Q6220" i="2"/>
  <c r="P6244" i="2"/>
  <c r="Q6244" i="2"/>
  <c r="P3113" i="2"/>
  <c r="Q3113" i="2"/>
  <c r="P6260" i="2"/>
  <c r="Q6260" i="2"/>
  <c r="P6268" i="2"/>
  <c r="Q6268" i="2"/>
  <c r="P6276" i="2"/>
  <c r="Q6276" i="2"/>
  <c r="P6284" i="2"/>
  <c r="Q6284" i="2"/>
  <c r="P6292" i="2"/>
  <c r="Q6292" i="2"/>
  <c r="P6300" i="2"/>
  <c r="Q6300" i="2"/>
  <c r="P6316" i="2"/>
  <c r="Q6316" i="2"/>
  <c r="P6324" i="2"/>
  <c r="Q6324" i="2"/>
  <c r="P6332" i="2"/>
  <c r="Q6332" i="2"/>
  <c r="P6340" i="2"/>
  <c r="Q6340" i="2"/>
  <c r="P6348" i="2"/>
  <c r="Q6348" i="2"/>
  <c r="P6356" i="2"/>
  <c r="Q6356" i="2"/>
  <c r="P6364" i="2"/>
  <c r="Q6364" i="2"/>
  <c r="P6372" i="2"/>
  <c r="Q6372" i="2"/>
  <c r="P6380" i="2"/>
  <c r="Q6380" i="2"/>
  <c r="P6388" i="2"/>
  <c r="Q6388" i="2"/>
  <c r="P6396" i="2"/>
  <c r="Q6396" i="2"/>
  <c r="P6412" i="2"/>
  <c r="Q6412" i="2"/>
  <c r="P6420" i="2"/>
  <c r="Q6420" i="2"/>
  <c r="P6428" i="2"/>
  <c r="Q6428" i="2"/>
  <c r="P6452" i="2"/>
  <c r="Q6452" i="2"/>
  <c r="P6460" i="2"/>
  <c r="Q6460" i="2"/>
  <c r="P6476" i="2"/>
  <c r="Q6476" i="2"/>
  <c r="P2848" i="2"/>
  <c r="Q2848" i="2"/>
  <c r="P6492" i="2"/>
  <c r="Q6492" i="2"/>
  <c r="P6564" i="2"/>
  <c r="Q6564" i="2"/>
  <c r="P6572" i="2"/>
  <c r="Q6572" i="2"/>
  <c r="P6604" i="2"/>
  <c r="Q6604" i="2"/>
  <c r="P6620" i="2"/>
  <c r="Q6620" i="2"/>
  <c r="P6628" i="2"/>
  <c r="Q6628" i="2"/>
  <c r="P6644" i="2"/>
  <c r="Q6644" i="2"/>
  <c r="P6660" i="2"/>
  <c r="Q6660" i="2"/>
  <c r="P5700" i="2"/>
  <c r="Q5700" i="2"/>
  <c r="P6676" i="2"/>
  <c r="Q6676" i="2"/>
  <c r="P483" i="2"/>
  <c r="Q483" i="2"/>
  <c r="P6692" i="2"/>
  <c r="Q6692" i="2"/>
  <c r="P6700" i="2"/>
  <c r="Q6700" i="2"/>
  <c r="P6780" i="2"/>
  <c r="Q6780" i="2"/>
  <c r="P6804" i="2"/>
  <c r="Q6804" i="2"/>
  <c r="P6812" i="2"/>
  <c r="Q6812" i="2"/>
  <c r="P6820" i="2"/>
  <c r="Q6820" i="2"/>
  <c r="P6828" i="2"/>
  <c r="Q6828" i="2"/>
  <c r="P6844" i="2"/>
  <c r="Q6844" i="2"/>
  <c r="P6852" i="2"/>
  <c r="Q6852" i="2"/>
  <c r="P6860" i="2"/>
  <c r="Q6860" i="2"/>
  <c r="P5029" i="2"/>
  <c r="Q5029" i="2"/>
  <c r="P6994" i="2"/>
  <c r="Q6994" i="2"/>
  <c r="P6884" i="2"/>
  <c r="Q6884" i="2"/>
  <c r="P6892" i="2"/>
  <c r="Q6892" i="2"/>
  <c r="P6900" i="2"/>
  <c r="Q6900" i="2"/>
  <c r="P6948" i="2"/>
  <c r="Q6948" i="2"/>
  <c r="P6956" i="2"/>
  <c r="Q6956" i="2"/>
  <c r="P6964" i="2"/>
  <c r="Q6964" i="2"/>
  <c r="P6972" i="2"/>
  <c r="Q6972" i="2"/>
  <c r="P6980" i="2"/>
  <c r="Q6980" i="2"/>
  <c r="P6988" i="2"/>
  <c r="Q6988" i="2"/>
  <c r="P7004" i="2"/>
  <c r="Q7004" i="2"/>
  <c r="P7012" i="2"/>
  <c r="Q7012" i="2"/>
  <c r="P7044" i="2"/>
  <c r="Q7044" i="2"/>
  <c r="P5497" i="2"/>
  <c r="Q5497" i="2"/>
  <c r="P7060" i="2"/>
  <c r="Q7060" i="2"/>
  <c r="P7068" i="2"/>
  <c r="Q7068" i="2"/>
  <c r="P7076" i="2"/>
  <c r="Q7076" i="2"/>
  <c r="P7092" i="2"/>
  <c r="Q7092" i="2"/>
  <c r="P7140" i="2"/>
  <c r="Q7140" i="2"/>
  <c r="P1061" i="2"/>
  <c r="Q1061" i="2"/>
  <c r="P7156" i="2"/>
  <c r="Q7156" i="2"/>
  <c r="P7164" i="2"/>
  <c r="Q7164" i="2"/>
  <c r="P7172" i="2"/>
  <c r="Q7172" i="2"/>
  <c r="P7180" i="2"/>
  <c r="Q7180" i="2"/>
  <c r="P7188" i="2"/>
  <c r="Q7188" i="2"/>
  <c r="P7204" i="2"/>
  <c r="Q7204" i="2"/>
  <c r="P7212" i="2"/>
  <c r="Q7212" i="2"/>
  <c r="P7228" i="2"/>
  <c r="Q7228" i="2"/>
  <c r="P7236" i="2"/>
  <c r="Q7236" i="2"/>
  <c r="P7244" i="2"/>
  <c r="Q7244" i="2"/>
  <c r="P7252" i="2"/>
  <c r="Q7252" i="2"/>
  <c r="P197" i="2"/>
  <c r="Q197" i="2"/>
  <c r="P7268" i="2"/>
  <c r="Q7268" i="2"/>
  <c r="P7284" i="2"/>
  <c r="Q7284" i="2"/>
  <c r="P7295" i="2"/>
  <c r="Q7295" i="2"/>
  <c r="P7311" i="2"/>
  <c r="Q7311" i="2"/>
  <c r="P7319" i="2"/>
  <c r="Q7319" i="2"/>
  <c r="P7327" i="2"/>
  <c r="Q7327" i="2"/>
  <c r="P7343" i="2"/>
  <c r="Q7343" i="2"/>
  <c r="P7351" i="2"/>
  <c r="Q7351" i="2"/>
  <c r="P7359" i="2"/>
  <c r="Q7359" i="2"/>
  <c r="P7375" i="2"/>
  <c r="Q7375" i="2"/>
  <c r="P7383" i="2"/>
  <c r="Q7383" i="2"/>
  <c r="P7391" i="2"/>
  <c r="Q7391" i="2"/>
  <c r="P7407" i="2"/>
  <c r="Q7407" i="2"/>
  <c r="P7415" i="2"/>
  <c r="Q7415" i="2"/>
  <c r="P7423" i="2"/>
  <c r="Q7423" i="2"/>
  <c r="P7439" i="2"/>
  <c r="Q7439" i="2"/>
  <c r="P7447" i="2"/>
  <c r="Q7447" i="2"/>
  <c r="P7455" i="2"/>
  <c r="Q7455" i="2"/>
  <c r="P7471" i="2"/>
  <c r="Q7471" i="2"/>
  <c r="P7479" i="2"/>
  <c r="Q7479" i="2"/>
  <c r="P7487" i="2"/>
  <c r="Q7487" i="2"/>
  <c r="P7503" i="2"/>
  <c r="Q7503" i="2"/>
  <c r="P7511" i="2"/>
  <c r="Q7511" i="2"/>
  <c r="P7519" i="2"/>
  <c r="Q7519" i="2"/>
  <c r="P7535" i="2"/>
  <c r="Q7535" i="2"/>
  <c r="P7543" i="2"/>
  <c r="Q7543" i="2"/>
  <c r="P7551" i="2"/>
  <c r="Q7551" i="2"/>
  <c r="P7567" i="2"/>
  <c r="Q7567" i="2"/>
  <c r="P7575" i="2"/>
  <c r="Q7575" i="2"/>
  <c r="P7583" i="2"/>
  <c r="Q7583" i="2"/>
  <c r="P7599" i="2"/>
  <c r="Q7599" i="2"/>
  <c r="P7607" i="2"/>
  <c r="Q7607" i="2"/>
  <c r="P7615" i="2"/>
  <c r="Q7615" i="2"/>
  <c r="P7631" i="2"/>
  <c r="Q7631" i="2"/>
  <c r="P7639" i="2"/>
  <c r="Q7639" i="2"/>
  <c r="P7647" i="2"/>
  <c r="Q7647" i="2"/>
  <c r="P7663" i="2"/>
  <c r="Q7663" i="2"/>
  <c r="P7671" i="2"/>
  <c r="Q7671" i="2"/>
  <c r="P7679" i="2"/>
  <c r="Q7679" i="2"/>
  <c r="P7695" i="2"/>
  <c r="Q7695" i="2"/>
  <c r="P7703" i="2"/>
  <c r="Q7703" i="2"/>
  <c r="P7711" i="2"/>
  <c r="Q7711" i="2"/>
  <c r="P7727" i="2"/>
  <c r="Q7727" i="2"/>
  <c r="P7735" i="2"/>
  <c r="Q7735" i="2"/>
  <c r="P7743" i="2"/>
  <c r="Q7743" i="2"/>
  <c r="P7759" i="2"/>
  <c r="Q7759" i="2"/>
  <c r="P7767" i="2"/>
  <c r="Q7767" i="2"/>
  <c r="P7775" i="2"/>
  <c r="Q7775" i="2"/>
  <c r="P7791" i="2"/>
  <c r="Q7791" i="2"/>
  <c r="P7799" i="2"/>
  <c r="Q7799" i="2"/>
  <c r="P7807" i="2"/>
  <c r="Q7807" i="2"/>
  <c r="P7823" i="2"/>
  <c r="Q7823" i="2"/>
  <c r="P7831" i="2"/>
  <c r="Q7831" i="2"/>
  <c r="P7839" i="2"/>
  <c r="Q7839" i="2"/>
  <c r="P7855" i="2"/>
  <c r="Q7855" i="2"/>
  <c r="P7863" i="2"/>
  <c r="Q7863" i="2"/>
  <c r="P7871" i="2"/>
  <c r="Q7871" i="2"/>
  <c r="P7887" i="2"/>
  <c r="Q7887" i="2"/>
  <c r="P7895" i="2"/>
  <c r="Q7895" i="2"/>
  <c r="P7903" i="2"/>
  <c r="Q7903" i="2"/>
  <c r="P7919" i="2"/>
  <c r="Q7919" i="2"/>
  <c r="P7927" i="2"/>
  <c r="Q7927" i="2"/>
  <c r="P7935" i="2"/>
  <c r="Q7935" i="2"/>
  <c r="P7951" i="2"/>
  <c r="Q7951" i="2"/>
  <c r="P7959" i="2"/>
  <c r="Q7959" i="2"/>
  <c r="P7967" i="2"/>
  <c r="Q7967" i="2"/>
  <c r="P7983" i="2"/>
  <c r="Q7983" i="2"/>
  <c r="P7991" i="2"/>
  <c r="Q7991" i="2"/>
  <c r="P7999" i="2"/>
  <c r="Q7999" i="2"/>
  <c r="P8015" i="2"/>
  <c r="Q8015" i="2"/>
  <c r="P8023" i="2"/>
  <c r="Q8023" i="2"/>
  <c r="P8031" i="2"/>
  <c r="Q8031" i="2"/>
  <c r="P8047" i="2"/>
  <c r="Q8047" i="2"/>
  <c r="P8055" i="2"/>
  <c r="Q8055" i="2"/>
  <c r="P8063" i="2"/>
  <c r="Q8063" i="2"/>
  <c r="P8079" i="2"/>
  <c r="Q8079" i="2"/>
  <c r="P8087" i="2"/>
  <c r="Q8087" i="2"/>
  <c r="P8095" i="2"/>
  <c r="Q8095" i="2"/>
  <c r="P8111" i="2"/>
  <c r="Q8111" i="2"/>
  <c r="P8119" i="2"/>
  <c r="Q8119" i="2"/>
  <c r="P8127" i="2"/>
  <c r="Q8127" i="2"/>
  <c r="P8143" i="2"/>
  <c r="Q8143" i="2"/>
  <c r="P9" i="2"/>
  <c r="Q9" i="2"/>
  <c r="P17" i="2"/>
  <c r="Q17" i="2"/>
  <c r="P25" i="2"/>
  <c r="Q25" i="2"/>
  <c r="P33" i="2"/>
  <c r="Q33" i="2"/>
  <c r="P41" i="2"/>
  <c r="Q41" i="2"/>
  <c r="P49" i="2"/>
  <c r="Q49" i="2"/>
  <c r="P57" i="2"/>
  <c r="Q57" i="2"/>
  <c r="P73" i="2"/>
  <c r="Q73" i="2"/>
  <c r="P4075" i="2"/>
  <c r="Q4075" i="2"/>
  <c r="P89" i="2"/>
  <c r="Q89" i="2"/>
  <c r="P97" i="2"/>
  <c r="Q97" i="2"/>
  <c r="P105" i="2"/>
  <c r="Q105" i="2"/>
  <c r="P113" i="2"/>
  <c r="Q113" i="2"/>
  <c r="P129" i="2"/>
  <c r="Q129" i="2"/>
  <c r="P6390" i="2"/>
  <c r="Q6390" i="2"/>
  <c r="P5573" i="2"/>
  <c r="Q5573" i="2"/>
  <c r="P153" i="2"/>
  <c r="Q153" i="2"/>
  <c r="P169" i="2"/>
  <c r="Q169" i="2"/>
  <c r="P2048" i="2"/>
  <c r="Q2048" i="2"/>
  <c r="P185" i="2"/>
  <c r="Q185" i="2"/>
  <c r="P193" i="2"/>
  <c r="Q193" i="2"/>
  <c r="P3422" i="2"/>
  <c r="Q3422" i="2"/>
  <c r="P249" i="2"/>
  <c r="Q249" i="2"/>
  <c r="P1017" i="2"/>
  <c r="Q1017" i="2"/>
  <c r="P297" i="2"/>
  <c r="Q297" i="2"/>
  <c r="P3023" i="2"/>
  <c r="Q3023" i="2"/>
  <c r="P345" i="2"/>
  <c r="Q345" i="2"/>
  <c r="P353" i="2"/>
  <c r="Q353" i="2"/>
  <c r="P369" i="2"/>
  <c r="Q369" i="2"/>
  <c r="P10" i="2"/>
  <c r="Q10" i="2"/>
  <c r="P1525" i="2"/>
  <c r="Q1525" i="2"/>
  <c r="P3880" i="2"/>
  <c r="Q3880" i="2"/>
  <c r="P409" i="2"/>
  <c r="Q409" i="2"/>
  <c r="P425" i="2"/>
  <c r="Q425" i="2"/>
  <c r="P441" i="2"/>
  <c r="Q441" i="2"/>
  <c r="P4208" i="2"/>
  <c r="Q4208" i="2"/>
  <c r="P457" i="2"/>
  <c r="Q457" i="2"/>
  <c r="P465" i="2"/>
  <c r="Q465" i="2"/>
  <c r="P473" i="2"/>
  <c r="Q473" i="2"/>
  <c r="P497" i="2"/>
  <c r="Q497" i="2"/>
  <c r="P505" i="2"/>
  <c r="Q505" i="2"/>
  <c r="P537" i="2"/>
  <c r="Q537" i="2"/>
  <c r="P593" i="2"/>
  <c r="Q593" i="2"/>
  <c r="P601" i="2"/>
  <c r="Q601" i="2"/>
  <c r="P625" i="2"/>
  <c r="Q625" i="2"/>
  <c r="P641" i="2"/>
  <c r="Q641" i="2"/>
  <c r="P649" i="2"/>
  <c r="Q649" i="2"/>
  <c r="P6896" i="2"/>
  <c r="Q6896" i="2"/>
  <c r="P681" i="2"/>
  <c r="Q681" i="2"/>
  <c r="P689" i="2"/>
  <c r="Q689" i="2"/>
  <c r="P713" i="2"/>
  <c r="Q713" i="2"/>
  <c r="P721" i="2"/>
  <c r="Q721" i="2"/>
  <c r="P729" i="2"/>
  <c r="Q729" i="2"/>
  <c r="P737" i="2"/>
  <c r="Q737" i="2"/>
  <c r="P745" i="2"/>
  <c r="Q745" i="2"/>
  <c r="P5840" i="2"/>
  <c r="Q5840" i="2"/>
  <c r="P777" i="2"/>
  <c r="Q777" i="2"/>
  <c r="P785" i="2"/>
  <c r="Q785" i="2"/>
  <c r="P793" i="2"/>
  <c r="Q793" i="2"/>
  <c r="P817" i="2"/>
  <c r="Q817" i="2"/>
  <c r="P833" i="2"/>
  <c r="Q833" i="2"/>
  <c r="P841" i="2"/>
  <c r="Q841" i="2"/>
  <c r="P849" i="2"/>
  <c r="Q849" i="2"/>
  <c r="P2765" i="2"/>
  <c r="Q2765" i="2"/>
  <c r="P881" i="2"/>
  <c r="Q881" i="2"/>
  <c r="P889" i="2"/>
  <c r="Q889" i="2"/>
  <c r="P897" i="2"/>
  <c r="Q897" i="2"/>
  <c r="P905" i="2"/>
  <c r="Q905" i="2"/>
  <c r="P913" i="2"/>
  <c r="Q913" i="2"/>
  <c r="P921" i="2"/>
  <c r="Q921" i="2"/>
  <c r="P945" i="2"/>
  <c r="Q945" i="2"/>
  <c r="P961" i="2"/>
  <c r="Q961" i="2"/>
  <c r="P969" i="2"/>
  <c r="Q969" i="2"/>
  <c r="P977" i="2"/>
  <c r="Q977" i="2"/>
  <c r="P1039" i="2"/>
  <c r="Q1039" i="2"/>
  <c r="P993" i="2"/>
  <c r="Q993" i="2"/>
  <c r="P1001" i="2"/>
  <c r="Q1001" i="2"/>
  <c r="P1025" i="2"/>
  <c r="Q1025" i="2"/>
  <c r="P1033" i="2"/>
  <c r="Q1033" i="2"/>
  <c r="P1041" i="2"/>
  <c r="Q1041" i="2"/>
  <c r="P2053" i="2"/>
  <c r="Q2053" i="2"/>
  <c r="P1081" i="2"/>
  <c r="Q1081" i="2"/>
  <c r="P1089" i="2"/>
  <c r="Q1089" i="2"/>
  <c r="P1105" i="2"/>
  <c r="Q1105" i="2"/>
  <c r="P1121" i="2"/>
  <c r="Q1121" i="2"/>
  <c r="P1129" i="2"/>
  <c r="Q1129" i="2"/>
  <c r="P1137" i="2"/>
  <c r="Q1137" i="2"/>
  <c r="P1153" i="2"/>
  <c r="Q1153" i="2"/>
  <c r="P4362" i="2"/>
  <c r="Q4362" i="2"/>
  <c r="P5299" i="2"/>
  <c r="Q5299" i="2"/>
  <c r="P1217" i="2"/>
  <c r="Q1217" i="2"/>
  <c r="P1418" i="2"/>
  <c r="Q1418" i="2"/>
  <c r="P227" i="2"/>
  <c r="Q227" i="2"/>
  <c r="P1249" i="2"/>
  <c r="Q1249" i="2"/>
  <c r="P1273" i="2"/>
  <c r="Q1273" i="2"/>
  <c r="P1305" i="2"/>
  <c r="Q1305" i="2"/>
  <c r="P1018" i="2"/>
  <c r="Q1018" i="2"/>
  <c r="P1329" i="2"/>
  <c r="Q1329" i="2"/>
  <c r="P1337" i="2"/>
  <c r="Q1337" i="2"/>
  <c r="P1361" i="2"/>
  <c r="Q1361" i="2"/>
  <c r="P1369" i="2"/>
  <c r="Q1369" i="2"/>
  <c r="P5118" i="2"/>
  <c r="Q5118" i="2"/>
  <c r="P1433" i="2"/>
  <c r="Q1433" i="2"/>
  <c r="P6530" i="2"/>
  <c r="Q6530" i="2"/>
  <c r="P1457" i="2"/>
  <c r="Q1457" i="2"/>
  <c r="P1465" i="2"/>
  <c r="Q1465" i="2"/>
  <c r="P1481" i="2"/>
  <c r="Q1481" i="2"/>
  <c r="P6543" i="2"/>
  <c r="Q6543" i="2"/>
  <c r="P1513" i="2"/>
  <c r="Q1513" i="2"/>
  <c r="P1529" i="2"/>
  <c r="Q1529" i="2"/>
  <c r="P1561" i="2"/>
  <c r="Q1561" i="2"/>
  <c r="P1569" i="2"/>
  <c r="Q1569" i="2"/>
  <c r="P3998" i="2"/>
  <c r="Q3998" i="2"/>
  <c r="P1593" i="2"/>
  <c r="Q1593" i="2"/>
  <c r="P4569" i="2"/>
  <c r="Q4569" i="2"/>
  <c r="P1617" i="2"/>
  <c r="Q1617" i="2"/>
  <c r="P1625" i="2"/>
  <c r="Q1625" i="2"/>
  <c r="P1633" i="2"/>
  <c r="Q1633" i="2"/>
  <c r="P1641" i="2"/>
  <c r="Q1641" i="2"/>
  <c r="P6886" i="2"/>
  <c r="Q6886" i="2"/>
  <c r="P1673" i="2"/>
  <c r="Q1673" i="2"/>
  <c r="P1681" i="2"/>
  <c r="Q1681" i="2"/>
  <c r="P1689" i="2"/>
  <c r="Q1689" i="2"/>
  <c r="P1729" i="2"/>
  <c r="Q1729" i="2"/>
  <c r="P1737" i="2"/>
  <c r="Q1737" i="2"/>
  <c r="P1753" i="2"/>
  <c r="Q1753" i="2"/>
  <c r="P1761" i="2"/>
  <c r="Q1761" i="2"/>
  <c r="P1769" i="2"/>
  <c r="Q1769" i="2"/>
  <c r="P1777" i="2"/>
  <c r="Q1777" i="2"/>
  <c r="P1801" i="2"/>
  <c r="Q1801" i="2"/>
  <c r="P1809" i="2"/>
  <c r="Q1809" i="2"/>
  <c r="P4497" i="2"/>
  <c r="Q4497" i="2"/>
  <c r="P1841" i="2"/>
  <c r="Q1841" i="2"/>
  <c r="P1857" i="2"/>
  <c r="Q1857" i="2"/>
  <c r="P1873" i="2"/>
  <c r="Q1873" i="2"/>
  <c r="P1889" i="2"/>
  <c r="Q1889" i="2"/>
  <c r="P1905" i="2"/>
  <c r="Q1905" i="2"/>
  <c r="P1913" i="2"/>
  <c r="Q1913" i="2"/>
  <c r="P1929" i="2"/>
  <c r="Q1929" i="2"/>
  <c r="P1945" i="2"/>
  <c r="Q1945" i="2"/>
  <c r="P4946" i="2"/>
  <c r="Q4946" i="2"/>
  <c r="P1961" i="2"/>
  <c r="Q1961" i="2"/>
  <c r="P1977" i="2"/>
  <c r="Q1977" i="2"/>
  <c r="P1993" i="2"/>
  <c r="Q1993" i="2"/>
  <c r="P2001" i="2"/>
  <c r="Q2001" i="2"/>
  <c r="P2009" i="2"/>
  <c r="Q2009" i="2"/>
  <c r="P2025" i="2"/>
  <c r="Q2025" i="2"/>
  <c r="P2033" i="2"/>
  <c r="Q2033" i="2"/>
  <c r="P2049" i="2"/>
  <c r="Q2049" i="2"/>
  <c r="P2057" i="2"/>
  <c r="Q2057" i="2"/>
  <c r="P2065" i="2"/>
  <c r="Q2065" i="2"/>
  <c r="P2089" i="2"/>
  <c r="Q2089" i="2"/>
  <c r="P3679" i="2"/>
  <c r="Q3679" i="2"/>
  <c r="P2121" i="2"/>
  <c r="Q2121" i="2"/>
  <c r="P2137" i="2"/>
  <c r="Q2137" i="2"/>
  <c r="P2169" i="2"/>
  <c r="Q2169" i="2"/>
  <c r="P2185" i="2"/>
  <c r="Q2185" i="2"/>
  <c r="P2193" i="2"/>
  <c r="Q2193" i="2"/>
  <c r="P2201" i="2"/>
  <c r="Q2201" i="2"/>
  <c r="P2209" i="2"/>
  <c r="Q2209" i="2"/>
  <c r="P2225" i="2"/>
  <c r="Q2225" i="2"/>
  <c r="P2241" i="2"/>
  <c r="Q2241" i="2"/>
  <c r="P2305" i="2"/>
  <c r="Q2305" i="2"/>
  <c r="P2313" i="2"/>
  <c r="Q2313" i="2"/>
  <c r="P2321" i="2"/>
  <c r="Q2321" i="2"/>
  <c r="P2353" i="2"/>
  <c r="Q2353" i="2"/>
  <c r="P2385" i="2"/>
  <c r="Q2385" i="2"/>
  <c r="P2393" i="2"/>
  <c r="Q2393" i="2"/>
  <c r="P2409" i="2"/>
  <c r="Q2409" i="2"/>
  <c r="P5706" i="2"/>
  <c r="Q5706" i="2"/>
  <c r="P2425" i="2"/>
  <c r="Q2425" i="2"/>
  <c r="P2433" i="2"/>
  <c r="Q2433" i="2"/>
  <c r="P2449" i="2"/>
  <c r="Q2449" i="2"/>
  <c r="P2465" i="2"/>
  <c r="Q2465" i="2"/>
  <c r="P2481" i="2"/>
  <c r="Q2481" i="2"/>
  <c r="P2489" i="2"/>
  <c r="Q2489" i="2"/>
  <c r="P2505" i="2"/>
  <c r="Q2505" i="2"/>
  <c r="P2513" i="2"/>
  <c r="Q2513" i="2"/>
  <c r="P2553" i="2"/>
  <c r="Q2553" i="2"/>
  <c r="P2593" i="2"/>
  <c r="Q2593" i="2"/>
  <c r="P2601" i="2"/>
  <c r="Q2601" i="2"/>
  <c r="P2617" i="2"/>
  <c r="Q2617" i="2"/>
  <c r="P2633" i="2"/>
  <c r="Q2633" i="2"/>
  <c r="P2641" i="2"/>
  <c r="Q2641" i="2"/>
  <c r="P2649" i="2"/>
  <c r="Q2649" i="2"/>
  <c r="P2657" i="2"/>
  <c r="Q2657" i="2"/>
  <c r="P2665" i="2"/>
  <c r="Q2665" i="2"/>
  <c r="P2673" i="2"/>
  <c r="Q2673" i="2"/>
  <c r="P2681" i="2"/>
  <c r="Q2681" i="2"/>
  <c r="P2729" i="2"/>
  <c r="Q2729" i="2"/>
  <c r="P2745" i="2"/>
  <c r="Q2745" i="2"/>
  <c r="P2809" i="2"/>
  <c r="Q2809" i="2"/>
  <c r="P2833" i="2"/>
  <c r="Q2833" i="2"/>
  <c r="P2865" i="2"/>
  <c r="Q2865" i="2"/>
  <c r="P2873" i="2"/>
  <c r="Q2873" i="2"/>
  <c r="P2881" i="2"/>
  <c r="Q2881" i="2"/>
  <c r="P2897" i="2"/>
  <c r="Q2897" i="2"/>
  <c r="P2913" i="2"/>
  <c r="Q2913" i="2"/>
  <c r="P5969" i="2"/>
  <c r="Q5969" i="2"/>
  <c r="P2929" i="2"/>
  <c r="Q2929" i="2"/>
  <c r="P2945" i="2"/>
  <c r="Q2945" i="2"/>
  <c r="P2969" i="2"/>
  <c r="Q2969" i="2"/>
  <c r="P217" i="2"/>
  <c r="Q217" i="2"/>
  <c r="P2993" i="2"/>
  <c r="Q2993" i="2"/>
  <c r="P1056" i="2"/>
  <c r="Q1056" i="2"/>
  <c r="P3009" i="2"/>
  <c r="Q3009" i="2"/>
  <c r="P3025" i="2"/>
  <c r="Q3025" i="2"/>
  <c r="P81" i="2"/>
  <c r="Q81" i="2"/>
  <c r="P3049" i="2"/>
  <c r="Q3049" i="2"/>
  <c r="P3057" i="2"/>
  <c r="Q3057" i="2"/>
  <c r="P3065" i="2"/>
  <c r="Q3065" i="2"/>
  <c r="P3073" i="2"/>
  <c r="Q3073" i="2"/>
  <c r="P3081" i="2"/>
  <c r="Q3081" i="2"/>
  <c r="P3097" i="2"/>
  <c r="Q3097" i="2"/>
  <c r="P3105" i="2"/>
  <c r="Q3105" i="2"/>
  <c r="P3145" i="2"/>
  <c r="Q3145" i="2"/>
  <c r="P3161" i="2"/>
  <c r="Q3161" i="2"/>
  <c r="P3169" i="2"/>
  <c r="Q3169" i="2"/>
  <c r="P6755" i="2"/>
  <c r="Q6755" i="2"/>
  <c r="P3193" i="2"/>
  <c r="Q3193" i="2"/>
  <c r="P3201" i="2"/>
  <c r="Q3201" i="2"/>
  <c r="P3209" i="2"/>
  <c r="Q3209" i="2"/>
  <c r="P3217" i="2"/>
  <c r="Q3217" i="2"/>
  <c r="P3225" i="2"/>
  <c r="Q3225" i="2"/>
  <c r="P3233" i="2"/>
  <c r="Q3233" i="2"/>
  <c r="P6522" i="2"/>
  <c r="Q6522" i="2"/>
  <c r="P4217" i="2"/>
  <c r="Q4217" i="2"/>
  <c r="P3281" i="2"/>
  <c r="Q3281" i="2"/>
  <c r="P3261" i="2"/>
  <c r="Q3261" i="2"/>
  <c r="P3301" i="2"/>
  <c r="Q3301" i="2"/>
  <c r="P3309" i="2"/>
  <c r="Q3309" i="2"/>
  <c r="P3317" i="2"/>
  <c r="Q3317" i="2"/>
  <c r="P3333" i="2"/>
  <c r="Q3333" i="2"/>
  <c r="P3357" i="2"/>
  <c r="Q3357" i="2"/>
  <c r="P3373" i="2"/>
  <c r="Q3373" i="2"/>
  <c r="P3389" i="2"/>
  <c r="Q3389" i="2"/>
  <c r="P3397" i="2"/>
  <c r="Q3397" i="2"/>
  <c r="P3405" i="2"/>
  <c r="Q3405" i="2"/>
  <c r="P3413" i="2"/>
  <c r="Q3413" i="2"/>
  <c r="P3421" i="2"/>
  <c r="Q3421" i="2"/>
  <c r="P3429" i="2"/>
  <c r="Q3429" i="2"/>
  <c r="P3453" i="2"/>
  <c r="Q3453" i="2"/>
  <c r="P3461" i="2"/>
  <c r="Q3461" i="2"/>
  <c r="P3469" i="2"/>
  <c r="Q3469" i="2"/>
  <c r="P3485" i="2"/>
  <c r="Q3485" i="2"/>
  <c r="P3493" i="2"/>
  <c r="Q3493" i="2"/>
  <c r="P3501" i="2"/>
  <c r="Q3501" i="2"/>
  <c r="P3533" i="2"/>
  <c r="Q3533" i="2"/>
  <c r="P3541" i="2"/>
  <c r="Q3541" i="2"/>
  <c r="P3549" i="2"/>
  <c r="Q3549" i="2"/>
  <c r="P3565" i="2"/>
  <c r="Q3565" i="2"/>
  <c r="P3581" i="2"/>
  <c r="Q3581" i="2"/>
  <c r="P3589" i="2"/>
  <c r="Q3589" i="2"/>
  <c r="P3597" i="2"/>
  <c r="Q3597" i="2"/>
  <c r="P3621" i="2"/>
  <c r="Q3621" i="2"/>
  <c r="P2418" i="2"/>
  <c r="Q2418" i="2"/>
  <c r="P3677" i="2"/>
  <c r="Q3677" i="2"/>
  <c r="P3693" i="2"/>
  <c r="Q3693" i="2"/>
  <c r="P3709" i="2"/>
  <c r="Q3709" i="2"/>
  <c r="P4374" i="2"/>
  <c r="Q4374" i="2"/>
  <c r="P3733" i="2"/>
  <c r="Q3733" i="2"/>
  <c r="P3741" i="2"/>
  <c r="Q3741" i="2"/>
  <c r="P4792" i="2"/>
  <c r="Q4792" i="2"/>
  <c r="P3765" i="2"/>
  <c r="Q3765" i="2"/>
  <c r="P7042" i="2"/>
  <c r="Q7042" i="2"/>
  <c r="P3821" i="2"/>
  <c r="Q3821" i="2"/>
  <c r="P3901" i="2"/>
  <c r="Q3901" i="2"/>
  <c r="P3925" i="2"/>
  <c r="Q3925" i="2"/>
  <c r="P3941" i="2"/>
  <c r="Q3941" i="2"/>
  <c r="P3949" i="2"/>
  <c r="Q3949" i="2"/>
  <c r="P3957" i="2"/>
  <c r="Q3957" i="2"/>
  <c r="P3717" i="2"/>
  <c r="Q3717" i="2"/>
  <c r="P4170" i="2"/>
  <c r="Q4170" i="2"/>
  <c r="P4005" i="2"/>
  <c r="Q4005" i="2"/>
  <c r="P2126" i="2"/>
  <c r="Q2126" i="2"/>
  <c r="P1805" i="2"/>
  <c r="Q1805" i="2"/>
  <c r="P2128" i="2"/>
  <c r="Q2128" i="2"/>
  <c r="P4093" i="2"/>
  <c r="Q4093" i="2"/>
  <c r="P4101" i="2"/>
  <c r="Q4101" i="2"/>
  <c r="P1371" i="2"/>
  <c r="Q1371" i="2"/>
  <c r="P4133" i="2"/>
  <c r="Q4133" i="2"/>
  <c r="P4149" i="2"/>
  <c r="Q4149" i="2"/>
  <c r="P4165" i="2"/>
  <c r="Q4165" i="2"/>
  <c r="P1289" i="2"/>
  <c r="Q1289" i="2"/>
  <c r="P6395" i="2"/>
  <c r="Q6395" i="2"/>
  <c r="P4197" i="2"/>
  <c r="Q4197" i="2"/>
  <c r="P4213" i="2"/>
  <c r="Q4213" i="2"/>
  <c r="P4229" i="2"/>
  <c r="Q4229" i="2"/>
  <c r="P4237" i="2"/>
  <c r="Q4237" i="2"/>
  <c r="P4245" i="2"/>
  <c r="Q4245" i="2"/>
  <c r="P3931" i="2"/>
  <c r="Q3931" i="2"/>
  <c r="P4317" i="2"/>
  <c r="Q4317" i="2"/>
  <c r="P4325" i="2"/>
  <c r="Q4325" i="2"/>
  <c r="P4333" i="2"/>
  <c r="Q4333" i="2"/>
  <c r="P4341" i="2"/>
  <c r="Q4341" i="2"/>
  <c r="P4349" i="2"/>
  <c r="Q4349" i="2"/>
  <c r="P4357" i="2"/>
  <c r="Q4357" i="2"/>
  <c r="P4365" i="2"/>
  <c r="Q4365" i="2"/>
  <c r="P4381" i="2"/>
  <c r="Q4381" i="2"/>
  <c r="P4389" i="2"/>
  <c r="Q4389" i="2"/>
  <c r="P4413" i="2"/>
  <c r="Q4413" i="2"/>
  <c r="P4421" i="2"/>
  <c r="Q4421" i="2"/>
  <c r="P4437" i="2"/>
  <c r="Q4437" i="2"/>
  <c r="P4445" i="2"/>
  <c r="Q4445" i="2"/>
  <c r="P4453" i="2"/>
  <c r="Q4453" i="2"/>
  <c r="P4461" i="2"/>
  <c r="Q4461" i="2"/>
  <c r="P4469" i="2"/>
  <c r="Q4469" i="2"/>
  <c r="P4477" i="2"/>
  <c r="Q4477" i="2"/>
  <c r="P4501" i="2"/>
  <c r="Q4501" i="2"/>
  <c r="P4517" i="2"/>
  <c r="Q4517" i="2"/>
  <c r="P4525" i="2"/>
  <c r="Q4525" i="2"/>
  <c r="P4541" i="2"/>
  <c r="Q4541" i="2"/>
  <c r="P4557" i="2"/>
  <c r="Q4557" i="2"/>
  <c r="P4597" i="2"/>
  <c r="Q4597" i="2"/>
  <c r="P4605" i="2"/>
  <c r="Q4605" i="2"/>
  <c r="P4621" i="2"/>
  <c r="Q4621" i="2"/>
  <c r="P4629" i="2"/>
  <c r="Q4629" i="2"/>
  <c r="P4637" i="2"/>
  <c r="Q4637" i="2"/>
  <c r="P4669" i="2"/>
  <c r="Q4669" i="2"/>
  <c r="P4677" i="2"/>
  <c r="Q4677" i="2"/>
  <c r="P4685" i="2"/>
  <c r="Q4685" i="2"/>
  <c r="P4693" i="2"/>
  <c r="Q4693" i="2"/>
  <c r="P4701" i="2"/>
  <c r="Q4701" i="2"/>
  <c r="P4709" i="2"/>
  <c r="Q4709" i="2"/>
  <c r="P4725" i="2"/>
  <c r="Q4725" i="2"/>
  <c r="P4733" i="2"/>
  <c r="Q4733" i="2"/>
  <c r="P4757" i="2"/>
  <c r="Q4757" i="2"/>
  <c r="P4813" i="2"/>
  <c r="Q4813" i="2"/>
  <c r="P4869" i="2"/>
  <c r="Q4869" i="2"/>
  <c r="P4877" i="2"/>
  <c r="Q4877" i="2"/>
  <c r="P4885" i="2"/>
  <c r="Q4885" i="2"/>
  <c r="P4893" i="2"/>
  <c r="Q4893" i="2"/>
  <c r="P4901" i="2"/>
  <c r="Q4901" i="2"/>
  <c r="P4909" i="2"/>
  <c r="Q4909" i="2"/>
  <c r="P4917" i="2"/>
  <c r="Q4917" i="2"/>
  <c r="P4925" i="2"/>
  <c r="Q4925" i="2"/>
  <c r="P4933" i="2"/>
  <c r="Q4933" i="2"/>
  <c r="P4949" i="2"/>
  <c r="Q4949" i="2"/>
  <c r="P4957" i="2"/>
  <c r="Q4957" i="2"/>
  <c r="P4965" i="2"/>
  <c r="Q4965" i="2"/>
  <c r="P4973" i="2"/>
  <c r="Q4973" i="2"/>
  <c r="P5053" i="2"/>
  <c r="Q5053" i="2"/>
  <c r="P5061" i="2"/>
  <c r="Q5061" i="2"/>
  <c r="P5085" i="2"/>
  <c r="Q5085" i="2"/>
  <c r="P5157" i="2"/>
  <c r="Q5157" i="2"/>
  <c r="P5173" i="2"/>
  <c r="Q5173" i="2"/>
  <c r="P5181" i="2"/>
  <c r="Q5181" i="2"/>
  <c r="P5189" i="2"/>
  <c r="Q5189" i="2"/>
  <c r="P5197" i="2"/>
  <c r="Q5197" i="2"/>
  <c r="P5229" i="2"/>
  <c r="Q5229" i="2"/>
  <c r="P5269" i="2"/>
  <c r="Q5269" i="2"/>
  <c r="P5277" i="2"/>
  <c r="Q5277" i="2"/>
  <c r="P5301" i="2"/>
  <c r="Q5301" i="2"/>
  <c r="P5317" i="2"/>
  <c r="Q5317" i="2"/>
  <c r="P5325" i="2"/>
  <c r="Q5325" i="2"/>
  <c r="P5333" i="2"/>
  <c r="Q5333" i="2"/>
  <c r="P5341" i="2"/>
  <c r="Q5341" i="2"/>
  <c r="P5357" i="2"/>
  <c r="Q5357" i="2"/>
  <c r="P5365" i="2"/>
  <c r="Q5365" i="2"/>
  <c r="P5381" i="2"/>
  <c r="Q5381" i="2"/>
  <c r="P5389" i="2"/>
  <c r="Q5389" i="2"/>
  <c r="P5397" i="2"/>
  <c r="Q5397" i="2"/>
  <c r="P5405" i="2"/>
  <c r="Q5405" i="2"/>
  <c r="P5413" i="2"/>
  <c r="Q5413" i="2"/>
  <c r="P2937" i="2"/>
  <c r="Q2937" i="2"/>
  <c r="P5445" i="2"/>
  <c r="Q5445" i="2"/>
  <c r="P5461" i="2"/>
  <c r="Q5461" i="2"/>
  <c r="P5248" i="2"/>
  <c r="Q5248" i="2"/>
  <c r="P5485" i="2"/>
  <c r="Q5485" i="2"/>
  <c r="P5501" i="2"/>
  <c r="Q5501" i="2"/>
  <c r="P3905" i="2"/>
  <c r="Q3905" i="2"/>
  <c r="P6333" i="2"/>
  <c r="Q6333" i="2"/>
  <c r="P4952" i="2"/>
  <c r="Q4952" i="2"/>
  <c r="P5565" i="2"/>
  <c r="Q5565" i="2"/>
  <c r="P210" i="2"/>
  <c r="Q210" i="2"/>
  <c r="P5581" i="2"/>
  <c r="Q5581" i="2"/>
  <c r="P5613" i="2"/>
  <c r="Q5613" i="2"/>
  <c r="P5645" i="2"/>
  <c r="Q5645" i="2"/>
  <c r="P5653" i="2"/>
  <c r="Q5653" i="2"/>
  <c r="P5661" i="2"/>
  <c r="Q5661" i="2"/>
  <c r="P5669" i="2"/>
  <c r="Q5669" i="2"/>
  <c r="P5677" i="2"/>
  <c r="Q5677" i="2"/>
  <c r="P5693" i="2"/>
  <c r="Q5693" i="2"/>
  <c r="P4818" i="2"/>
  <c r="Q4818" i="2"/>
  <c r="P5773" i="2"/>
  <c r="Q5773" i="2"/>
  <c r="P5781" i="2"/>
  <c r="Q5781" i="2"/>
  <c r="P5797" i="2"/>
  <c r="Q5797" i="2"/>
  <c r="P6491" i="2"/>
  <c r="Q6491" i="2"/>
  <c r="P6598" i="2"/>
  <c r="Q6598" i="2"/>
  <c r="P2733" i="2"/>
  <c r="Q2733" i="2"/>
  <c r="P5869" i="2"/>
  <c r="Q5869" i="2"/>
  <c r="P5877" i="2"/>
  <c r="Q5877" i="2"/>
  <c r="P5885" i="2"/>
  <c r="Q5885" i="2"/>
  <c r="P1957" i="2"/>
  <c r="Q1957" i="2"/>
  <c r="P5917" i="2"/>
  <c r="Q5917" i="2"/>
  <c r="P5925" i="2"/>
  <c r="Q5925" i="2"/>
  <c r="P2069" i="2"/>
  <c r="Q2069" i="2"/>
  <c r="P1796" i="2"/>
  <c r="Q1796" i="2"/>
  <c r="P5989" i="2"/>
  <c r="Q5989" i="2"/>
  <c r="P4368" i="2"/>
  <c r="Q4368" i="2"/>
  <c r="P6013" i="2"/>
  <c r="Q6013" i="2"/>
  <c r="P6021" i="2"/>
  <c r="Q6021" i="2"/>
  <c r="P6029" i="2"/>
  <c r="Q6029" i="2"/>
  <c r="P6045" i="2"/>
  <c r="Q6045" i="2"/>
  <c r="P6053" i="2"/>
  <c r="Q6053" i="2"/>
  <c r="P6061" i="2"/>
  <c r="Q6061" i="2"/>
  <c r="P6893" i="2"/>
  <c r="Q6893" i="2"/>
  <c r="P6085" i="2"/>
  <c r="Q6085" i="2"/>
  <c r="P6093" i="2"/>
  <c r="Q6093" i="2"/>
  <c r="P6101" i="2"/>
  <c r="Q6101" i="2"/>
  <c r="P6117" i="2"/>
  <c r="Q6117" i="2"/>
  <c r="P6149" i="2"/>
  <c r="Q6149" i="2"/>
  <c r="P6197" i="2"/>
  <c r="Q6197" i="2"/>
  <c r="P6205" i="2"/>
  <c r="Q6205" i="2"/>
  <c r="P6213" i="2"/>
  <c r="Q6213" i="2"/>
  <c r="P6253" i="2"/>
  <c r="Q6253" i="2"/>
  <c r="P6261" i="2"/>
  <c r="Q6261" i="2"/>
  <c r="P6269" i="2"/>
  <c r="Q6269" i="2"/>
  <c r="P6277" i="2"/>
  <c r="Q6277" i="2"/>
  <c r="P6285" i="2"/>
  <c r="Q6285" i="2"/>
  <c r="P6301" i="2"/>
  <c r="Q6301" i="2"/>
  <c r="P6309" i="2"/>
  <c r="Q6309" i="2"/>
  <c r="P6317" i="2"/>
  <c r="Q6317" i="2"/>
  <c r="P6341" i="2"/>
  <c r="Q6341" i="2"/>
  <c r="P6349" i="2"/>
  <c r="Q6349" i="2"/>
  <c r="P6357" i="2"/>
  <c r="Q6357" i="2"/>
  <c r="P6373" i="2"/>
  <c r="Q6373" i="2"/>
  <c r="P6381" i="2"/>
  <c r="Q6381" i="2"/>
  <c r="P6397" i="2"/>
  <c r="Q6397" i="2"/>
  <c r="P6405" i="2"/>
  <c r="Q6405" i="2"/>
  <c r="P6413" i="2"/>
  <c r="Q6413" i="2"/>
  <c r="P6429" i="2"/>
  <c r="Q6429" i="2"/>
  <c r="P6437" i="2"/>
  <c r="Q6437" i="2"/>
  <c r="P6453" i="2"/>
  <c r="Q6453" i="2"/>
  <c r="P6461" i="2"/>
  <c r="Q6461" i="2"/>
  <c r="P6469" i="2"/>
  <c r="Q6469" i="2"/>
  <c r="P6477" i="2"/>
  <c r="Q6477" i="2"/>
  <c r="P6533" i="2"/>
  <c r="Q6533" i="2"/>
  <c r="P6549" i="2"/>
  <c r="Q6549" i="2"/>
  <c r="P6557" i="2"/>
  <c r="Q6557" i="2"/>
  <c r="P6573" i="2"/>
  <c r="Q6573" i="2"/>
  <c r="P6581" i="2"/>
  <c r="Q6581" i="2"/>
  <c r="P6613" i="2"/>
  <c r="Q6613" i="2"/>
  <c r="P6621" i="2"/>
  <c r="Q6621" i="2"/>
  <c r="P6629" i="2"/>
  <c r="Q6629" i="2"/>
  <c r="P6653" i="2"/>
  <c r="Q6653" i="2"/>
  <c r="P6677" i="2"/>
  <c r="Q6677" i="2"/>
  <c r="P6685" i="2"/>
  <c r="Q6685" i="2"/>
  <c r="P6701" i="2"/>
  <c r="Q6701" i="2"/>
  <c r="P6725" i="2"/>
  <c r="Q6725" i="2"/>
  <c r="P361" i="2"/>
  <c r="Q361" i="2"/>
  <c r="P6805" i="2"/>
  <c r="Q6805" i="2"/>
  <c r="P4820" i="2"/>
  <c r="Q4820" i="2"/>
  <c r="P6821" i="2"/>
  <c r="Q6821" i="2"/>
  <c r="P6829" i="2"/>
  <c r="Q6829" i="2"/>
  <c r="P6837" i="2"/>
  <c r="Q6837" i="2"/>
  <c r="P6861" i="2"/>
  <c r="Q6861" i="2"/>
  <c r="P421" i="2"/>
  <c r="Q421" i="2"/>
  <c r="P6901" i="2"/>
  <c r="Q6901" i="2"/>
  <c r="P6933" i="2"/>
  <c r="Q6933" i="2"/>
  <c r="P6949" i="2"/>
  <c r="Q6949" i="2"/>
  <c r="P6957" i="2"/>
  <c r="Q6957" i="2"/>
  <c r="P6965" i="2"/>
  <c r="Q6965" i="2"/>
  <c r="P6973" i="2"/>
  <c r="Q6973" i="2"/>
  <c r="P6981" i="2"/>
  <c r="Q6981" i="2"/>
  <c r="P6989" i="2"/>
  <c r="Q6989" i="2"/>
  <c r="P7005" i="2"/>
  <c r="Q7005" i="2"/>
  <c r="P7045" i="2"/>
  <c r="Q7045" i="2"/>
  <c r="P7077" i="2"/>
  <c r="Q7077" i="2"/>
  <c r="P7085" i="2"/>
  <c r="Q7085" i="2"/>
  <c r="P7109" i="2"/>
  <c r="Q7109" i="2"/>
  <c r="P7133" i="2"/>
  <c r="Q7133" i="2"/>
  <c r="P7157" i="2"/>
  <c r="Q7157" i="2"/>
  <c r="P7165" i="2"/>
  <c r="Q7165" i="2"/>
  <c r="P7173" i="2"/>
  <c r="Q7173" i="2"/>
  <c r="P7189" i="2"/>
  <c r="Q7189" i="2"/>
  <c r="P7229" i="2"/>
  <c r="Q7229" i="2"/>
  <c r="P7237" i="2"/>
  <c r="Q7237" i="2"/>
  <c r="P7245" i="2"/>
  <c r="Q7245" i="2"/>
  <c r="P7261" i="2"/>
  <c r="Q7261" i="2"/>
  <c r="P7269" i="2"/>
  <c r="Q7269" i="2"/>
  <c r="P7277" i="2"/>
  <c r="Q7277" i="2"/>
  <c r="P6845" i="2"/>
  <c r="Q6845" i="2"/>
  <c r="P3305" i="2"/>
  <c r="Q3305" i="2"/>
  <c r="P3313" i="2"/>
  <c r="Q3313" i="2"/>
  <c r="P3369" i="2"/>
  <c r="Q3369" i="2"/>
  <c r="P3401" i="2"/>
  <c r="Q3401" i="2"/>
  <c r="P3433" i="2"/>
  <c r="Q3433" i="2"/>
  <c r="P1058" i="2"/>
  <c r="Q1058" i="2"/>
  <c r="P3457" i="2"/>
  <c r="Q3457" i="2"/>
  <c r="P3465" i="2"/>
  <c r="Q3465" i="2"/>
  <c r="P3481" i="2"/>
  <c r="Q3481" i="2"/>
  <c r="P3497" i="2"/>
  <c r="Q3497" i="2"/>
  <c r="P3505" i="2"/>
  <c r="Q3505" i="2"/>
  <c r="P6888" i="2"/>
  <c r="Q6888" i="2"/>
  <c r="P3529" i="2"/>
  <c r="Q3529" i="2"/>
  <c r="P3537" i="2"/>
  <c r="Q3537" i="2"/>
  <c r="P3553" i="2"/>
  <c r="Q3553" i="2"/>
  <c r="P3561" i="2"/>
  <c r="Q3561" i="2"/>
  <c r="P3577" i="2"/>
  <c r="Q3577" i="2"/>
  <c r="P3593" i="2"/>
  <c r="Q3593" i="2"/>
  <c r="P3601" i="2"/>
  <c r="Q3601" i="2"/>
  <c r="P3617" i="2"/>
  <c r="Q3617" i="2"/>
  <c r="P1539" i="2"/>
  <c r="Q1539" i="2"/>
  <c r="P2160" i="2"/>
  <c r="Q2160" i="2"/>
  <c r="P3657" i="2"/>
  <c r="Q3657" i="2"/>
  <c r="P3713" i="2"/>
  <c r="Q3713" i="2"/>
  <c r="P3729" i="2"/>
  <c r="Q3729" i="2"/>
  <c r="P3761" i="2"/>
  <c r="Q3761" i="2"/>
  <c r="P3769" i="2"/>
  <c r="Q3769" i="2"/>
  <c r="P3777" i="2"/>
  <c r="Q3777" i="2"/>
  <c r="P3785" i="2"/>
  <c r="Q3785" i="2"/>
  <c r="P2874" i="2"/>
  <c r="Q2874" i="2"/>
  <c r="P3801" i="2"/>
  <c r="Q3801" i="2"/>
  <c r="P3833" i="2"/>
  <c r="Q3833" i="2"/>
  <c r="P3849" i="2"/>
  <c r="Q3849" i="2"/>
  <c r="P3865" i="2"/>
  <c r="Q3865" i="2"/>
  <c r="P305" i="2"/>
  <c r="Q305" i="2"/>
  <c r="P3897" i="2"/>
  <c r="Q3897" i="2"/>
  <c r="P1050" i="2"/>
  <c r="Q1050" i="2"/>
  <c r="P3755" i="2"/>
  <c r="Q3755" i="2"/>
  <c r="P3945" i="2"/>
  <c r="Q3945" i="2"/>
  <c r="P3953" i="2"/>
  <c r="Q3953" i="2"/>
  <c r="P3961" i="2"/>
  <c r="Q3961" i="2"/>
  <c r="P3969" i="2"/>
  <c r="Q3969" i="2"/>
  <c r="P4001" i="2"/>
  <c r="Q4001" i="2"/>
  <c r="P4033" i="2"/>
  <c r="Q4033" i="2"/>
  <c r="P4041" i="2"/>
  <c r="Q4041" i="2"/>
  <c r="P4057" i="2"/>
  <c r="Q4057" i="2"/>
  <c r="P4097" i="2"/>
  <c r="Q4097" i="2"/>
  <c r="P4105" i="2"/>
  <c r="Q4105" i="2"/>
  <c r="P4121" i="2"/>
  <c r="Q4121" i="2"/>
  <c r="P4129" i="2"/>
  <c r="Q4129" i="2"/>
  <c r="P4161" i="2"/>
  <c r="Q4161" i="2"/>
  <c r="P4209" i="2"/>
  <c r="Q4209" i="2"/>
  <c r="P4233" i="2"/>
  <c r="Q4233" i="2"/>
  <c r="P4241" i="2"/>
  <c r="Q4241" i="2"/>
  <c r="P4249" i="2"/>
  <c r="Q4249" i="2"/>
  <c r="P4265" i="2"/>
  <c r="Q4265" i="2"/>
  <c r="P4273" i="2"/>
  <c r="Q4273" i="2"/>
  <c r="P4289" i="2"/>
  <c r="Q4289" i="2"/>
  <c r="P4305" i="2"/>
  <c r="Q4305" i="2"/>
  <c r="P4321" i="2"/>
  <c r="Q4321" i="2"/>
  <c r="P4329" i="2"/>
  <c r="Q4329" i="2"/>
  <c r="P4337" i="2"/>
  <c r="Q4337" i="2"/>
  <c r="P4345" i="2"/>
  <c r="Q4345" i="2"/>
  <c r="P4353" i="2"/>
  <c r="Q4353" i="2"/>
  <c r="P4385" i="2"/>
  <c r="Q4385" i="2"/>
  <c r="P6105" i="2"/>
  <c r="Q6105" i="2"/>
  <c r="P4409" i="2"/>
  <c r="Q4409" i="2"/>
  <c r="P4433" i="2"/>
  <c r="Q4433" i="2"/>
  <c r="P4449" i="2"/>
  <c r="Q4449" i="2"/>
  <c r="P4457" i="2"/>
  <c r="Q4457" i="2"/>
  <c r="P4465" i="2"/>
  <c r="Q4465" i="2"/>
  <c r="P4473" i="2"/>
  <c r="Q4473" i="2"/>
  <c r="P4393" i="2"/>
  <c r="Q4393" i="2"/>
  <c r="P4505" i="2"/>
  <c r="Q4505" i="2"/>
  <c r="P5243" i="2"/>
  <c r="Q5243" i="2"/>
  <c r="P4537" i="2"/>
  <c r="Q4537" i="2"/>
  <c r="P4561" i="2"/>
  <c r="Q4561" i="2"/>
  <c r="P2769" i="2"/>
  <c r="Q2769" i="2"/>
  <c r="P4458" i="2"/>
  <c r="Q4458" i="2"/>
  <c r="P4609" i="2"/>
  <c r="Q4609" i="2"/>
  <c r="P4625" i="2"/>
  <c r="Q4625" i="2"/>
  <c r="P4649" i="2"/>
  <c r="Q4649" i="2"/>
  <c r="P3140" i="2"/>
  <c r="Q3140" i="2"/>
  <c r="P4673" i="2"/>
  <c r="Q4673" i="2"/>
  <c r="P4697" i="2"/>
  <c r="Q4697" i="2"/>
  <c r="P4705" i="2"/>
  <c r="Q4705" i="2"/>
  <c r="P4713" i="2"/>
  <c r="Q4713" i="2"/>
  <c r="P4721" i="2"/>
  <c r="Q4721" i="2"/>
  <c r="P4737" i="2"/>
  <c r="Q4737" i="2"/>
  <c r="P4745" i="2"/>
  <c r="Q4745" i="2"/>
  <c r="P4753" i="2"/>
  <c r="Q4753" i="2"/>
  <c r="P4761" i="2"/>
  <c r="Q4761" i="2"/>
  <c r="P4777" i="2"/>
  <c r="Q4777" i="2"/>
  <c r="P2421" i="2"/>
  <c r="Q2421" i="2"/>
  <c r="P4809" i="2"/>
  <c r="Q4809" i="2"/>
  <c r="P4825" i="2"/>
  <c r="Q4825" i="2"/>
  <c r="P4833" i="2"/>
  <c r="Q4833" i="2"/>
  <c r="P4849" i="2"/>
  <c r="Q4849" i="2"/>
  <c r="P4987" i="2"/>
  <c r="Q4987" i="2"/>
  <c r="P4873" i="2"/>
  <c r="Q4873" i="2"/>
  <c r="P4897" i="2"/>
  <c r="Q4897" i="2"/>
  <c r="P4905" i="2"/>
  <c r="Q4905" i="2"/>
  <c r="P4913" i="2"/>
  <c r="Q4913" i="2"/>
  <c r="P2901" i="2"/>
  <c r="Q2901" i="2"/>
  <c r="P4937" i="2"/>
  <c r="Q4937" i="2"/>
  <c r="P4961" i="2"/>
  <c r="Q4961" i="2"/>
  <c r="P4985" i="2"/>
  <c r="Q4985" i="2"/>
  <c r="P6386" i="2"/>
  <c r="Q6386" i="2"/>
  <c r="P5025" i="2"/>
  <c r="Q5025" i="2"/>
  <c r="P5041" i="2"/>
  <c r="Q5041" i="2"/>
  <c r="P5065" i="2"/>
  <c r="Q5065" i="2"/>
  <c r="P5073" i="2"/>
  <c r="Q5073" i="2"/>
  <c r="P5081" i="2"/>
  <c r="Q5081" i="2"/>
  <c r="P5113" i="2"/>
  <c r="Q5113" i="2"/>
  <c r="P5145" i="2"/>
  <c r="Q5145" i="2"/>
  <c r="P5153" i="2"/>
  <c r="Q5153" i="2"/>
  <c r="P5177" i="2"/>
  <c r="Q5177" i="2"/>
  <c r="P5185" i="2"/>
  <c r="Q5185" i="2"/>
  <c r="P5193" i="2"/>
  <c r="Q5193" i="2"/>
  <c r="P5201" i="2"/>
  <c r="Q5201" i="2"/>
  <c r="P5209" i="2"/>
  <c r="Q5209" i="2"/>
  <c r="P5217" i="2"/>
  <c r="Q5217" i="2"/>
  <c r="P5225" i="2"/>
  <c r="Q5225" i="2"/>
  <c r="P5241" i="2"/>
  <c r="Q5241" i="2"/>
  <c r="P5249" i="2"/>
  <c r="Q5249" i="2"/>
  <c r="P5265" i="2"/>
  <c r="Q5265" i="2"/>
  <c r="P5273" i="2"/>
  <c r="Q5273" i="2"/>
  <c r="P5281" i="2"/>
  <c r="Q5281" i="2"/>
  <c r="P5289" i="2"/>
  <c r="Q5289" i="2"/>
  <c r="P5321" i="2"/>
  <c r="Q5321" i="2"/>
  <c r="P5329" i="2"/>
  <c r="Q5329" i="2"/>
  <c r="P5345" i="2"/>
  <c r="Q5345" i="2"/>
  <c r="P5377" i="2"/>
  <c r="Q5377" i="2"/>
  <c r="P5385" i="2"/>
  <c r="Q5385" i="2"/>
  <c r="P5393" i="2"/>
  <c r="Q5393" i="2"/>
  <c r="P5401" i="2"/>
  <c r="Q5401" i="2"/>
  <c r="P5409" i="2"/>
  <c r="Q5409" i="2"/>
  <c r="P5417" i="2"/>
  <c r="Q5417" i="2"/>
  <c r="P5425" i="2"/>
  <c r="Q5425" i="2"/>
  <c r="P5449" i="2"/>
  <c r="Q5449" i="2"/>
  <c r="P5465" i="2"/>
  <c r="Q5465" i="2"/>
  <c r="P5561" i="2"/>
  <c r="Q5561" i="2"/>
  <c r="P6165" i="2"/>
  <c r="Q6165" i="2"/>
  <c r="P5601" i="2"/>
  <c r="Q5601" i="2"/>
  <c r="P5617" i="2"/>
  <c r="Q5617" i="2"/>
  <c r="P5633" i="2"/>
  <c r="Q5633" i="2"/>
  <c r="P5657" i="2"/>
  <c r="Q5657" i="2"/>
  <c r="P5665" i="2"/>
  <c r="Q5665" i="2"/>
  <c r="P5673" i="2"/>
  <c r="Q5673" i="2"/>
  <c r="P5689" i="2"/>
  <c r="Q5689" i="2"/>
  <c r="P5713" i="2"/>
  <c r="Q5713" i="2"/>
  <c r="P3262" i="2"/>
  <c r="Q3262" i="2"/>
  <c r="P5737" i="2"/>
  <c r="Q5737" i="2"/>
  <c r="P5753" i="2"/>
  <c r="Q5753" i="2"/>
  <c r="P5761" i="2"/>
  <c r="Q5761" i="2"/>
  <c r="P5777" i="2"/>
  <c r="Q5777" i="2"/>
  <c r="P5801" i="2"/>
  <c r="Q5801" i="2"/>
  <c r="P5825" i="2"/>
  <c r="Q5825" i="2"/>
  <c r="P5833" i="2"/>
  <c r="Q5833" i="2"/>
  <c r="P5849" i="2"/>
  <c r="Q5849" i="2"/>
  <c r="P5857" i="2"/>
  <c r="Q5857" i="2"/>
  <c r="P5865" i="2"/>
  <c r="Q5865" i="2"/>
  <c r="P5897" i="2"/>
  <c r="Q5897" i="2"/>
  <c r="P404" i="2"/>
  <c r="Q404" i="2"/>
  <c r="P5953" i="2"/>
  <c r="Q5953" i="2"/>
  <c r="P5993" i="2"/>
  <c r="Q5993" i="2"/>
  <c r="P6009" i="2"/>
  <c r="Q6009" i="2"/>
  <c r="P6025" i="2"/>
  <c r="Q6025" i="2"/>
  <c r="P6033" i="2"/>
  <c r="Q6033" i="2"/>
  <c r="P6049" i="2"/>
  <c r="Q6049" i="2"/>
  <c r="P2735" i="2"/>
  <c r="Q2735" i="2"/>
  <c r="P6113" i="2"/>
  <c r="Q6113" i="2"/>
  <c r="P6121" i="2"/>
  <c r="Q6121" i="2"/>
  <c r="P6129" i="2"/>
  <c r="Q6129" i="2"/>
  <c r="P6137" i="2"/>
  <c r="Q6137" i="2"/>
  <c r="P6145" i="2"/>
  <c r="Q6145" i="2"/>
  <c r="P6161" i="2"/>
  <c r="Q6161" i="2"/>
  <c r="P1213" i="2"/>
  <c r="Q1213" i="2"/>
  <c r="P6185" i="2"/>
  <c r="Q6185" i="2"/>
  <c r="P6201" i="2"/>
  <c r="Q6201" i="2"/>
  <c r="P6209" i="2"/>
  <c r="Q6209" i="2"/>
  <c r="P6217" i="2"/>
  <c r="Q6217" i="2"/>
  <c r="P6233" i="2"/>
  <c r="Q6233" i="2"/>
  <c r="P6249" i="2"/>
  <c r="Q6249" i="2"/>
  <c r="P6257" i="2"/>
  <c r="Q6257" i="2"/>
  <c r="P6265" i="2"/>
  <c r="Q6265" i="2"/>
  <c r="P6273" i="2"/>
  <c r="Q6273" i="2"/>
  <c r="P6281" i="2"/>
  <c r="Q6281" i="2"/>
  <c r="P6305" i="2"/>
  <c r="Q6305" i="2"/>
  <c r="P6313" i="2"/>
  <c r="Q6313" i="2"/>
  <c r="P6321" i="2"/>
  <c r="Q6321" i="2"/>
  <c r="P6329" i="2"/>
  <c r="Q6329" i="2"/>
  <c r="P6337" i="2"/>
  <c r="Q6337" i="2"/>
  <c r="P6345" i="2"/>
  <c r="Q6345" i="2"/>
  <c r="P6353" i="2"/>
  <c r="Q6353" i="2"/>
  <c r="P6361" i="2"/>
  <c r="Q6361" i="2"/>
  <c r="P6369" i="2"/>
  <c r="Q6369" i="2"/>
  <c r="P6385" i="2"/>
  <c r="Q6385" i="2"/>
  <c r="P6393" i="2"/>
  <c r="Q6393" i="2"/>
  <c r="P6401" i="2"/>
  <c r="Q6401" i="2"/>
  <c r="P1958" i="2"/>
  <c r="Q1958" i="2"/>
  <c r="P2302" i="2"/>
  <c r="Q2302" i="2"/>
  <c r="P6465" i="2"/>
  <c r="Q6465" i="2"/>
  <c r="P6422" i="2"/>
  <c r="Q6422" i="2"/>
  <c r="P6505" i="2"/>
  <c r="Q6505" i="2"/>
  <c r="P4587" i="2"/>
  <c r="Q4587" i="2"/>
  <c r="P6529" i="2"/>
  <c r="Q6529" i="2"/>
  <c r="P5752" i="2"/>
  <c r="Q5752" i="2"/>
  <c r="P6585" i="2"/>
  <c r="Q6585" i="2"/>
  <c r="P6593" i="2"/>
  <c r="Q6593" i="2"/>
  <c r="P6609" i="2"/>
  <c r="Q6609" i="2"/>
  <c r="P6617" i="2"/>
  <c r="Q6617" i="2"/>
  <c r="P6625" i="2"/>
  <c r="Q6625" i="2"/>
  <c r="P6633" i="2"/>
  <c r="Q6633" i="2"/>
  <c r="P6641" i="2"/>
  <c r="Q6641" i="2"/>
  <c r="P6657" i="2"/>
  <c r="Q6657" i="2"/>
  <c r="P6673" i="2"/>
  <c r="Q6673" i="2"/>
  <c r="P6930" i="2"/>
  <c r="Q6930" i="2"/>
  <c r="P6697" i="2"/>
  <c r="Q6697" i="2"/>
  <c r="P6713" i="2"/>
  <c r="Q6713" i="2"/>
  <c r="P6729" i="2"/>
  <c r="Q6729" i="2"/>
  <c r="P6753" i="2"/>
  <c r="Q6753" i="2"/>
  <c r="P235" i="2"/>
  <c r="Q235" i="2"/>
  <c r="P6777" i="2"/>
  <c r="Q6777" i="2"/>
  <c r="P6793" i="2"/>
  <c r="Q6793" i="2"/>
  <c r="P6801" i="2"/>
  <c r="Q6801" i="2"/>
  <c r="P6817" i="2"/>
  <c r="Q6817" i="2"/>
  <c r="P6897" i="2"/>
  <c r="Q6897" i="2"/>
  <c r="P4361" i="2"/>
  <c r="Q4361" i="2"/>
  <c r="P3656" i="2"/>
  <c r="Q3656" i="2"/>
  <c r="P6953" i="2"/>
  <c r="Q6953" i="2"/>
  <c r="P6961" i="2"/>
  <c r="Q6961" i="2"/>
  <c r="P6969" i="2"/>
  <c r="Q6969" i="2"/>
  <c r="P6977" i="2"/>
  <c r="Q6977" i="2"/>
  <c r="P6985" i="2"/>
  <c r="Q6985" i="2"/>
  <c r="P4076" i="2"/>
  <c r="Q4076" i="2"/>
  <c r="P7049" i="2"/>
  <c r="Q7049" i="2"/>
  <c r="P7073" i="2"/>
  <c r="Q7073" i="2"/>
  <c r="P7081" i="2"/>
  <c r="Q7081" i="2"/>
  <c r="P7089" i="2"/>
  <c r="Q7089" i="2"/>
  <c r="P7105" i="2"/>
  <c r="Q7105" i="2"/>
  <c r="P7113" i="2"/>
  <c r="Q7113" i="2"/>
  <c r="P7121" i="2"/>
  <c r="Q7121" i="2"/>
  <c r="P7137" i="2"/>
  <c r="Q7137" i="2"/>
  <c r="P7161" i="2"/>
  <c r="Q7161" i="2"/>
  <c r="P7169" i="2"/>
  <c r="Q7169" i="2"/>
  <c r="P7193" i="2"/>
  <c r="Q7193" i="2"/>
  <c r="P7217" i="2"/>
  <c r="Q7217" i="2"/>
  <c r="P7225" i="2"/>
  <c r="Q7225" i="2"/>
  <c r="P7241" i="2"/>
  <c r="Q7241" i="2"/>
  <c r="P7265" i="2"/>
  <c r="Q7265" i="2"/>
  <c r="P7281" i="2"/>
  <c r="Q7281" i="2"/>
  <c r="J6996" i="2"/>
  <c r="J350" i="2"/>
  <c r="J2756" i="2"/>
  <c r="J325" i="2"/>
  <c r="J2768" i="2"/>
  <c r="J5579" i="2"/>
  <c r="J4565" i="2"/>
  <c r="J4566" i="2"/>
  <c r="J2306" i="2"/>
  <c r="J372" i="2"/>
  <c r="J1037" i="2"/>
  <c r="J6543" i="2"/>
  <c r="J1929" i="2"/>
  <c r="J4414" i="2"/>
  <c r="J278" i="2"/>
  <c r="J726" i="2"/>
  <c r="J814" i="2"/>
  <c r="J830" i="2"/>
  <c r="J894" i="2"/>
  <c r="J1070" i="2"/>
  <c r="J1086" i="2"/>
  <c r="J1582" i="2"/>
  <c r="J1590" i="2"/>
  <c r="J1598" i="2"/>
  <c r="J1614" i="2"/>
  <c r="J1630" i="2"/>
  <c r="J1646" i="2"/>
  <c r="J1670" i="2"/>
  <c r="J1694" i="2"/>
  <c r="J1702" i="2"/>
  <c r="J1718" i="2"/>
  <c r="J1734" i="2"/>
  <c r="J1750" i="2"/>
  <c r="J1758" i="2"/>
  <c r="J1766" i="2"/>
  <c r="J1774" i="2"/>
  <c r="J1782" i="2"/>
  <c r="J1790" i="2"/>
  <c r="J1942" i="2"/>
  <c r="J1990" i="2"/>
  <c r="J2006" i="2"/>
  <c r="J2030" i="2"/>
  <c r="J2062" i="2"/>
  <c r="J2158" i="2"/>
  <c r="J2182" i="2"/>
  <c r="J2206" i="2"/>
  <c r="J2230" i="2"/>
  <c r="J2326" i="2"/>
  <c r="J2534" i="2"/>
  <c r="J2590" i="2"/>
  <c r="J2638" i="2"/>
  <c r="J2758" i="2"/>
  <c r="J2766" i="2"/>
  <c r="J2814" i="2"/>
  <c r="J2846" i="2"/>
  <c r="J2878" i="2"/>
  <c r="J2942" i="2"/>
  <c r="J3006" i="2"/>
  <c r="J3078" i="2"/>
  <c r="J3142" i="2"/>
  <c r="J3206" i="2"/>
  <c r="J3326" i="2"/>
  <c r="J3390" i="2"/>
  <c r="J3486" i="2"/>
  <c r="J3518" i="2"/>
  <c r="J3582" i="2"/>
  <c r="J3614" i="2"/>
  <c r="J3710" i="2"/>
  <c r="J3758" i="2"/>
  <c r="J3814" i="2"/>
  <c r="J3950" i="2"/>
  <c r="J4062" i="2"/>
  <c r="J4102" i="2"/>
  <c r="J4134" i="2"/>
  <c r="J4198" i="2"/>
  <c r="J4230" i="2"/>
  <c r="J4262" i="2"/>
  <c r="J4294" i="2"/>
  <c r="J4326" i="2"/>
  <c r="J4390" i="2"/>
  <c r="J4422" i="2"/>
  <c r="J4454" i="2"/>
  <c r="J4550" i="2"/>
  <c r="J4646" i="2"/>
  <c r="J4894" i="2"/>
  <c r="J4910" i="2"/>
  <c r="J4918" i="2"/>
  <c r="J4926" i="2"/>
  <c r="J4934" i="2"/>
  <c r="J4990" i="2"/>
  <c r="J5006" i="2"/>
  <c r="J5062" i="2"/>
  <c r="J5070" i="2"/>
  <c r="J5078" i="2"/>
  <c r="J5134" i="2"/>
  <c r="J5142" i="2"/>
  <c r="J5398" i="2"/>
  <c r="J5438" i="2"/>
  <c r="J6647" i="2"/>
  <c r="J6703" i="2"/>
  <c r="J7243" i="2"/>
  <c r="J383" i="2"/>
  <c r="J815" i="2"/>
  <c r="J831" i="2"/>
  <c r="J847" i="2"/>
  <c r="J1487" i="2"/>
  <c r="J1519" i="2"/>
  <c r="J5895" i="2"/>
  <c r="J5967" i="2"/>
  <c r="J5975" i="2"/>
  <c r="J6127" i="2"/>
  <c r="J6207" i="2"/>
  <c r="J6223" i="2"/>
  <c r="J6255" i="2"/>
  <c r="J6327" i="2"/>
  <c r="J6407" i="2"/>
  <c r="J7047" i="2"/>
  <c r="J7279" i="2"/>
  <c r="J456" i="2"/>
  <c r="J488" i="2"/>
  <c r="J728" i="2"/>
  <c r="J1544" i="2"/>
  <c r="J1944" i="2"/>
  <c r="J1960" i="2"/>
  <c r="J1992" i="2"/>
  <c r="J2032" i="2"/>
  <c r="J2152" i="2"/>
  <c r="J2344" i="2"/>
  <c r="J2408" i="2"/>
  <c r="J2504" i="2"/>
  <c r="J2616" i="2"/>
  <c r="J2640" i="2"/>
  <c r="J2656" i="2"/>
  <c r="J2744" i="2"/>
  <c r="J2808" i="2"/>
  <c r="J2872" i="2"/>
  <c r="J2880" i="2"/>
  <c r="J2912" i="2"/>
  <c r="J2936" i="2"/>
  <c r="J2944" i="2"/>
  <c r="J2968" i="2"/>
  <c r="J3000" i="2"/>
  <c r="J3008" i="2"/>
  <c r="J3040" i="2"/>
  <c r="J3064" i="2"/>
  <c r="J3072" i="2"/>
  <c r="J3104" i="2"/>
  <c r="J3232" i="2"/>
  <c r="J3352" i="2"/>
  <c r="J3456" i="2"/>
  <c r="J3488" i="2"/>
  <c r="J3512" i="2"/>
  <c r="J3600" i="2"/>
  <c r="J3792" i="2"/>
  <c r="J3800" i="2"/>
  <c r="J3896" i="2"/>
  <c r="J4056" i="2"/>
  <c r="J4088" i="2"/>
  <c r="J4120" i="2"/>
  <c r="J4152" i="2"/>
  <c r="J4248" i="2"/>
  <c r="J4376" i="2"/>
  <c r="J4472" i="2"/>
  <c r="J4600" i="2"/>
  <c r="J4696" i="2"/>
  <c r="J4760" i="2"/>
  <c r="J6616" i="2"/>
  <c r="J6624" i="2"/>
  <c r="J6640" i="2"/>
  <c r="J6648" i="2"/>
  <c r="J6776" i="2"/>
  <c r="J6808" i="2"/>
  <c r="J6816" i="2"/>
  <c r="J6840" i="2"/>
  <c r="J6856" i="2"/>
  <c r="J6944" i="2"/>
  <c r="J6984" i="2"/>
  <c r="J7000" i="2"/>
  <c r="J7088" i="2"/>
  <c r="J7096" i="2"/>
  <c r="J7136" i="2"/>
  <c r="J7160" i="2"/>
  <c r="J7168" i="2"/>
  <c r="J7192" i="2"/>
  <c r="J7200" i="2"/>
  <c r="J7208" i="2"/>
  <c r="J7216" i="2"/>
  <c r="J7224" i="2"/>
  <c r="J7232" i="2"/>
  <c r="J7264" i="2"/>
  <c r="J7272" i="2"/>
  <c r="J7280" i="2"/>
  <c r="J7225" i="2"/>
  <c r="J6723" i="2"/>
  <c r="J6963" i="2"/>
  <c r="J7095" i="2"/>
  <c r="J7155" i="2"/>
  <c r="J7187" i="2"/>
  <c r="J7259" i="2"/>
  <c r="J73" i="2"/>
  <c r="J89" i="2"/>
  <c r="J113" i="2"/>
  <c r="J129" i="2"/>
  <c r="J153" i="2"/>
  <c r="J169" i="2"/>
  <c r="J193" i="2"/>
  <c r="J249" i="2"/>
  <c r="J297" i="2"/>
  <c r="J353" i="2"/>
  <c r="J369" i="2"/>
  <c r="J409" i="2"/>
  <c r="J441" i="2"/>
  <c r="J457" i="2"/>
  <c r="J465" i="2"/>
  <c r="J473" i="2"/>
  <c r="J497" i="2"/>
  <c r="J505" i="2"/>
  <c r="J593" i="2"/>
  <c r="J601" i="2"/>
  <c r="J625" i="2"/>
  <c r="J649" i="2"/>
  <c r="J689" i="2"/>
  <c r="J713" i="2"/>
  <c r="J721" i="2"/>
  <c r="J777" i="2"/>
  <c r="J817" i="2"/>
  <c r="J833" i="2"/>
  <c r="J841" i="2"/>
  <c r="J849" i="2"/>
  <c r="J881" i="2"/>
  <c r="J889" i="2"/>
  <c r="J897" i="2"/>
  <c r="J905" i="2"/>
  <c r="J913" i="2"/>
  <c r="J921" i="2"/>
  <c r="J961" i="2"/>
  <c r="J969" i="2"/>
  <c r="J977" i="2"/>
  <c r="J1001" i="2"/>
  <c r="J1025" i="2"/>
  <c r="J1033" i="2"/>
  <c r="J1041" i="2"/>
  <c r="J1493" i="2"/>
  <c r="J1565" i="2"/>
  <c r="J2021" i="2"/>
  <c r="J2757" i="2"/>
  <c r="J6" i="2"/>
  <c r="J14" i="2"/>
  <c r="J22" i="2"/>
  <c r="J54" i="2"/>
  <c r="J70" i="2"/>
  <c r="J86" i="2"/>
  <c r="J198" i="2"/>
  <c r="J206" i="2"/>
  <c r="J222" i="2"/>
  <c r="J262" i="2"/>
  <c r="J270" i="2"/>
  <c r="J318" i="2"/>
  <c r="J326" i="2"/>
  <c r="J334" i="2"/>
  <c r="J358" i="2"/>
  <c r="J470" i="2"/>
  <c r="J494" i="2"/>
  <c r="J518" i="2"/>
  <c r="J526" i="2"/>
  <c r="J534" i="2"/>
  <c r="J550" i="2"/>
  <c r="J574" i="2"/>
  <c r="J590" i="2"/>
  <c r="J598" i="2"/>
  <c r="J622" i="2"/>
  <c r="J670" i="2"/>
  <c r="J678" i="2"/>
  <c r="J702" i="2"/>
  <c r="J710" i="2"/>
  <c r="J774" i="2"/>
  <c r="J822" i="2"/>
  <c r="J838" i="2"/>
  <c r="J854" i="2"/>
  <c r="J870" i="2"/>
  <c r="J886" i="2"/>
  <c r="J902" i="2"/>
  <c r="J918" i="2"/>
  <c r="J926" i="2"/>
  <c r="J934" i="2"/>
  <c r="J942" i="2"/>
  <c r="J958" i="2"/>
  <c r="J998" i="2"/>
  <c r="J1030" i="2"/>
  <c r="J1126" i="2"/>
  <c r="J1134" i="2"/>
  <c r="J1150" i="2"/>
  <c r="J1166" i="2"/>
  <c r="J1174" i="2"/>
  <c r="J1182" i="2"/>
  <c r="J1190" i="2"/>
  <c r="J1214" i="2"/>
  <c r="J1278" i="2"/>
  <c r="J1310" i="2"/>
  <c r="J1326" i="2"/>
  <c r="J1334" i="2"/>
  <c r="J1350" i="2"/>
  <c r="J1366" i="2"/>
  <c r="J1382" i="2"/>
  <c r="J1422" i="2"/>
  <c r="J1462" i="2"/>
  <c r="J1470" i="2"/>
  <c r="J1478" i="2"/>
  <c r="J1486" i="2"/>
  <c r="J1510" i="2"/>
  <c r="J1518" i="2"/>
  <c r="J1558" i="2"/>
  <c r="J1566" i="2"/>
  <c r="J1574" i="2"/>
  <c r="J1798" i="2"/>
  <c r="J1814" i="2"/>
  <c r="J1830" i="2"/>
  <c r="J1838" i="2"/>
  <c r="J1846" i="2"/>
  <c r="J1870" i="2"/>
  <c r="J1934" i="2"/>
  <c r="J1998" i="2"/>
  <c r="J2022" i="2"/>
  <c r="J2038" i="2"/>
  <c r="J2054" i="2"/>
  <c r="J2110" i="2"/>
  <c r="J2166" i="2"/>
  <c r="J2190" i="2"/>
  <c r="J2214" i="2"/>
  <c r="J2246" i="2"/>
  <c r="J2278" i="2"/>
  <c r="J2342" i="2"/>
  <c r="J2406" i="2"/>
  <c r="J2430" i="2"/>
  <c r="J2438" i="2"/>
  <c r="J2446" i="2"/>
  <c r="J2478" i="2"/>
  <c r="J2486" i="2"/>
  <c r="J2502" i="2"/>
  <c r="J2510" i="2"/>
  <c r="J2526" i="2"/>
  <c r="J2550" i="2"/>
  <c r="J2598" i="2"/>
  <c r="J2622" i="2"/>
  <c r="J2630" i="2"/>
  <c r="J2646" i="2"/>
  <c r="J2670" i="2"/>
  <c r="J2686" i="2"/>
  <c r="J2782" i="2"/>
  <c r="J2862" i="2"/>
  <c r="J2918" i="2"/>
  <c r="J2966" i="2"/>
  <c r="J3030" i="2"/>
  <c r="J3062" i="2"/>
  <c r="J3070" i="2"/>
  <c r="J3102" i="2"/>
  <c r="J3190" i="2"/>
  <c r="J3198" i="2"/>
  <c r="J3214" i="2"/>
  <c r="J3278" i="2"/>
  <c r="J3310" i="2"/>
  <c r="J3318" i="2"/>
  <c r="J3374" i="2"/>
  <c r="J3382" i="2"/>
  <c r="J3398" i="2"/>
  <c r="J3414" i="2"/>
  <c r="J3430" i="2"/>
  <c r="J3446" i="2"/>
  <c r="J3462" i="2"/>
  <c r="J3478" i="2"/>
  <c r="J3502" i="2"/>
  <c r="J3510" i="2"/>
  <c r="J3534" i="2"/>
  <c r="J3542" i="2"/>
  <c r="J3550" i="2"/>
  <c r="J3558" i="2"/>
  <c r="J3574" i="2"/>
  <c r="J3590" i="2"/>
  <c r="J3630" i="2"/>
  <c r="J3734" i="2"/>
  <c r="J3766" i="2"/>
  <c r="J3774" i="2"/>
  <c r="J3782" i="2"/>
  <c r="J3806" i="2"/>
  <c r="J3822" i="2"/>
  <c r="J3902" i="2"/>
  <c r="J3910" i="2"/>
  <c r="J3926" i="2"/>
  <c r="J3958" i="2"/>
  <c r="J3982" i="2"/>
  <c r="J4110" i="2"/>
  <c r="J4126" i="2"/>
  <c r="J4190" i="2"/>
  <c r="J4238" i="2"/>
  <c r="J4246" i="2"/>
  <c r="J4254" i="2"/>
  <c r="J4310" i="2"/>
  <c r="J4318" i="2"/>
  <c r="J4334" i="2"/>
  <c r="J4342" i="2"/>
  <c r="J4350" i="2"/>
  <c r="J4366" i="2"/>
  <c r="J4382" i="2"/>
  <c r="J4430" i="2"/>
  <c r="J4438" i="2"/>
  <c r="J4446" i="2"/>
  <c r="J4462" i="2"/>
  <c r="J4470" i="2"/>
  <c r="J4502" i="2"/>
  <c r="J4598" i="2"/>
  <c r="J4638" i="2"/>
  <c r="J4654" i="2"/>
  <c r="J4670" i="2"/>
  <c r="J4686" i="2"/>
  <c r="J4694" i="2"/>
  <c r="J4702" i="2"/>
  <c r="J4758" i="2"/>
  <c r="J4766" i="2"/>
  <c r="J4862" i="2"/>
  <c r="J4998" i="2"/>
  <c r="J5182" i="2"/>
  <c r="J5190" i="2"/>
  <c r="J5206" i="2"/>
  <c r="J5214" i="2"/>
  <c r="J5262" i="2"/>
  <c r="J5270" i="2"/>
  <c r="J5278" i="2"/>
  <c r="J5286" i="2"/>
  <c r="J5302" i="2"/>
  <c r="J5310" i="2"/>
  <c r="J5326" i="2"/>
  <c r="J5334" i="2"/>
  <c r="J5342" i="2"/>
  <c r="J5350" i="2"/>
  <c r="J5358" i="2"/>
  <c r="J5366" i="2"/>
  <c r="J5382" i="2"/>
  <c r="J5390" i="2"/>
  <c r="J5406" i="2"/>
  <c r="J5414" i="2"/>
  <c r="J5566" i="2"/>
  <c r="J5630" i="2"/>
  <c r="J5646" i="2"/>
  <c r="J5654" i="2"/>
  <c r="J5670" i="2"/>
  <c r="J5686" i="2"/>
  <c r="J5702" i="2"/>
  <c r="J5710" i="2"/>
  <c r="J5718" i="2"/>
  <c r="J5734" i="2"/>
  <c r="J5782" i="2"/>
  <c r="J5798" i="2"/>
  <c r="J5814" i="2"/>
  <c r="J5854" i="2"/>
  <c r="J5862" i="2"/>
  <c r="J5870" i="2"/>
  <c r="J5894" i="2"/>
  <c r="J6006" i="2"/>
  <c r="J6014" i="2"/>
  <c r="J6038" i="2"/>
  <c r="J6070" i="2"/>
  <c r="J6086" i="2"/>
  <c r="J6102" i="2"/>
  <c r="J6118" i="2"/>
  <c r="J6142" i="2"/>
  <c r="J6166" i="2"/>
  <c r="J6206" i="2"/>
  <c r="J6222" i="2"/>
  <c r="J6238" i="2"/>
  <c r="J6254" i="2"/>
  <c r="J6270" i="2"/>
  <c r="J6286" i="2"/>
  <c r="J6318" i="2"/>
  <c r="J6350" i="2"/>
  <c r="J6358" i="2"/>
  <c r="J6366" i="2"/>
  <c r="J6382" i="2"/>
  <c r="J6406" i="2"/>
  <c r="J6414" i="2"/>
  <c r="J6430" i="2"/>
  <c r="J6454" i="2"/>
  <c r="J6462" i="2"/>
  <c r="J6478" i="2"/>
  <c r="J6550" i="2"/>
  <c r="J6614" i="2"/>
  <c r="J6622" i="2"/>
  <c r="J6630" i="2"/>
  <c r="J6662" i="2"/>
  <c r="J6678" i="2"/>
  <c r="J6702" i="2"/>
  <c r="J6774" i="2"/>
  <c r="J6806" i="2"/>
  <c r="J6814" i="2"/>
  <c r="J6822" i="2"/>
  <c r="J6830" i="2"/>
  <c r="J6838" i="2"/>
  <c r="J6846" i="2"/>
  <c r="J6942" i="2"/>
  <c r="J6950" i="2"/>
  <c r="J6958" i="2"/>
  <c r="J6966" i="2"/>
  <c r="J6982" i="2"/>
  <c r="J6990" i="2"/>
  <c r="J6998" i="2"/>
  <c r="J7030" i="2"/>
  <c r="J7054" i="2"/>
  <c r="J7078" i="2"/>
  <c r="J7086" i="2"/>
  <c r="J7102" i="2"/>
  <c r="J7110" i="2"/>
  <c r="J7158" i="2"/>
  <c r="J7166" i="2"/>
  <c r="J7174" i="2"/>
  <c r="J7230" i="2"/>
  <c r="J7238" i="2"/>
  <c r="J7262" i="2"/>
  <c r="J7270" i="2"/>
  <c r="J7278" i="2"/>
  <c r="J6611" i="2"/>
  <c r="J6743" i="2"/>
  <c r="J6803" i="2"/>
  <c r="J6839" i="2"/>
  <c r="J6903" i="2"/>
  <c r="J6959" i="2"/>
  <c r="J7079" i="2"/>
  <c r="J7179" i="2"/>
  <c r="J7211" i="2"/>
  <c r="J7271" i="2"/>
  <c r="J15" i="2"/>
  <c r="J31" i="2"/>
  <c r="J55" i="2"/>
  <c r="J87" i="2"/>
  <c r="J95" i="2"/>
  <c r="J151" i="2"/>
  <c r="J183" i="2"/>
  <c r="J191" i="2"/>
  <c r="J255" i="2"/>
  <c r="J263" i="2"/>
  <c r="J271" i="2"/>
  <c r="J279" i="2"/>
  <c r="J295" i="2"/>
  <c r="J327" i="2"/>
  <c r="J335" i="2"/>
  <c r="J351" i="2"/>
  <c r="J359" i="2"/>
  <c r="J367" i="2"/>
  <c r="J455" i="2"/>
  <c r="J471" i="2"/>
  <c r="J487" i="2"/>
  <c r="J495" i="2"/>
  <c r="J503" i="2"/>
  <c r="J511" i="2"/>
  <c r="J559" i="2"/>
  <c r="J599" i="2"/>
  <c r="J615" i="2"/>
  <c r="J623" i="2"/>
  <c r="J631" i="2"/>
  <c r="J703" i="2"/>
  <c r="J711" i="2"/>
  <c r="J727" i="2"/>
  <c r="J735" i="2"/>
  <c r="J751" i="2"/>
  <c r="J775" i="2"/>
  <c r="J783" i="2"/>
  <c r="J855" i="2"/>
  <c r="J871" i="2"/>
  <c r="J887" i="2"/>
  <c r="J895" i="2"/>
  <c r="J911" i="2"/>
  <c r="J919" i="2"/>
  <c r="J927" i="2"/>
  <c r="J943" i="2"/>
  <c r="J999" i="2"/>
  <c r="J1015" i="2"/>
  <c r="J1055" i="2"/>
  <c r="J1063" i="2"/>
  <c r="J1079" i="2"/>
  <c r="J1087" i="2"/>
  <c r="J1127" i="2"/>
  <c r="J1191" i="2"/>
  <c r="J1223" i="2"/>
  <c r="J1247" i="2"/>
  <c r="J1311" i="2"/>
  <c r="J1319" i="2"/>
  <c r="J1343" i="2"/>
  <c r="J1351" i="2"/>
  <c r="J1367" i="2"/>
  <c r="J1399" i="2"/>
  <c r="J1431" i="2"/>
  <c r="J1455" i="2"/>
  <c r="J1463" i="2"/>
  <c r="J1471" i="2"/>
  <c r="J1479" i="2"/>
  <c r="J1503" i="2"/>
  <c r="J1543" i="2"/>
  <c r="J1559" i="2"/>
  <c r="J1567" i="2"/>
  <c r="J1583" i="2"/>
  <c r="J1591" i="2"/>
  <c r="J1607" i="2"/>
  <c r="J1623" i="2"/>
  <c r="J1639" i="2"/>
  <c r="J1647" i="2"/>
  <c r="J1687" i="2"/>
  <c r="J1711" i="2"/>
  <c r="J1719" i="2"/>
  <c r="J1735" i="2"/>
  <c r="J1743" i="2"/>
  <c r="J1759" i="2"/>
  <c r="J1767" i="2"/>
  <c r="J1775" i="2"/>
  <c r="J1783" i="2"/>
  <c r="J1791" i="2"/>
  <c r="J1799" i="2"/>
  <c r="J1839" i="2"/>
  <c r="J1847" i="2"/>
  <c r="J1863" i="2"/>
  <c r="J1887" i="2"/>
  <c r="J1903" i="2"/>
  <c r="J1935" i="2"/>
  <c r="J1959" i="2"/>
  <c r="J1991" i="2"/>
  <c r="J1999" i="2"/>
  <c r="J2007" i="2"/>
  <c r="J2031" i="2"/>
  <c r="J2039" i="2"/>
  <c r="J2055" i="2"/>
  <c r="J2063" i="2"/>
  <c r="J2087" i="2"/>
  <c r="J2111" i="2"/>
  <c r="J2151" i="2"/>
  <c r="J2183" i="2"/>
  <c r="J2191" i="2"/>
  <c r="J2215" i="2"/>
  <c r="J2223" i="2"/>
  <c r="J2303" i="2"/>
  <c r="J2319" i="2"/>
  <c r="J2327" i="2"/>
  <c r="J2343" i="2"/>
  <c r="J2367" i="2"/>
  <c r="J2431" i="2"/>
  <c r="J2439" i="2"/>
  <c r="J2447" i="2"/>
  <c r="J2487" i="2"/>
  <c r="J2511" i="2"/>
  <c r="J2527" i="2"/>
  <c r="J2551" i="2"/>
  <c r="J2575" i="2"/>
  <c r="J2591" i="2"/>
  <c r="J2615" i="2"/>
  <c r="J2623" i="2"/>
  <c r="J2631" i="2"/>
  <c r="J2639" i="2"/>
  <c r="J2647" i="2"/>
  <c r="J2655" i="2"/>
  <c r="J2679" i="2"/>
  <c r="J2703" i="2"/>
  <c r="J2711" i="2"/>
  <c r="J2743" i="2"/>
  <c r="J2767" i="2"/>
  <c r="J2863" i="2"/>
  <c r="J2871" i="2"/>
  <c r="J2879" i="2"/>
  <c r="J2919" i="2"/>
  <c r="J2927" i="2"/>
  <c r="J2943" i="2"/>
  <c r="J2967" i="2"/>
  <c r="J3039" i="2"/>
  <c r="J3063" i="2"/>
  <c r="J3071" i="2"/>
  <c r="J3079" i="2"/>
  <c r="J3103" i="2"/>
  <c r="J3111" i="2"/>
  <c r="J3143" i="2"/>
  <c r="J3159" i="2"/>
  <c r="J3199" i="2"/>
  <c r="J3207" i="2"/>
  <c r="J3295" i="2"/>
  <c r="J3303" i="2"/>
  <c r="J3311" i="2"/>
  <c r="J3327" i="2"/>
  <c r="J3367" i="2"/>
  <c r="J3399" i="2"/>
  <c r="J3431" i="2"/>
  <c r="J3455" i="2"/>
  <c r="J3463" i="2"/>
  <c r="J3479" i="2"/>
  <c r="J3519" i="2"/>
  <c r="J3527" i="2"/>
  <c r="J3535" i="2"/>
  <c r="J3543" i="2"/>
  <c r="J3551" i="2"/>
  <c r="J3583" i="2"/>
  <c r="J3591" i="2"/>
  <c r="J3615" i="2"/>
  <c r="J3623" i="2"/>
  <c r="J3639" i="2"/>
  <c r="J3647" i="2"/>
  <c r="J3695" i="2"/>
  <c r="J3711" i="2"/>
  <c r="J3735" i="2"/>
  <c r="J3767" i="2"/>
  <c r="J3783" i="2"/>
  <c r="J3799" i="2"/>
  <c r="J3807" i="2"/>
  <c r="J3815" i="2"/>
  <c r="J3823" i="2"/>
  <c r="J3903" i="2"/>
  <c r="J3911" i="2"/>
  <c r="J3935" i="2"/>
  <c r="J3951" i="2"/>
  <c r="J3959" i="2"/>
  <c r="J3967" i="2"/>
  <c r="J4047" i="2"/>
  <c r="J4079" i="2"/>
  <c r="J4127" i="2"/>
  <c r="J4151" i="2"/>
  <c r="J4223" i="2"/>
  <c r="J4231" i="2"/>
  <c r="J4239" i="2"/>
  <c r="J4247" i="2"/>
  <c r="J4255" i="2"/>
  <c r="J4263" i="2"/>
  <c r="J4271" i="2"/>
  <c r="J4287" i="2"/>
  <c r="J4327" i="2"/>
  <c r="J4343" i="2"/>
  <c r="J4351" i="2"/>
  <c r="J4383" i="2"/>
  <c r="J4391" i="2"/>
  <c r="J4407" i="2"/>
  <c r="J4423" i="2"/>
  <c r="J4455" i="2"/>
  <c r="J4463" i="2"/>
  <c r="J4495" i="2"/>
  <c r="J4503" i="2"/>
  <c r="J4519" i="2"/>
  <c r="J4567" i="2"/>
  <c r="J4599" i="2"/>
  <c r="J4607" i="2"/>
  <c r="J4671" i="2"/>
  <c r="J4687" i="2"/>
  <c r="J4703" i="2"/>
  <c r="J4711" i="2"/>
  <c r="J4759" i="2"/>
  <c r="J4855" i="2"/>
  <c r="J4887" i="2"/>
  <c r="J4895" i="2"/>
  <c r="J4903" i="2"/>
  <c r="J4911" i="2"/>
  <c r="J4935" i="2"/>
  <c r="J4943" i="2"/>
  <c r="J4991" i="2"/>
  <c r="J5007" i="2"/>
  <c r="J5031" i="2"/>
  <c r="J5039" i="2"/>
  <c r="J5055" i="2"/>
  <c r="J5063" i="2"/>
  <c r="J5071" i="2"/>
  <c r="J5095" i="2"/>
  <c r="J5111" i="2"/>
  <c r="J5159" i="2"/>
  <c r="J5167" i="2"/>
  <c r="J5183" i="2"/>
  <c r="J5199" i="2"/>
  <c r="J5223" i="2"/>
  <c r="J5255" i="2"/>
  <c r="J5263" i="2"/>
  <c r="J5271" i="2"/>
  <c r="J5311" i="2"/>
  <c r="J5327" i="2"/>
  <c r="J5359" i="2"/>
  <c r="J5367" i="2"/>
  <c r="J5383" i="2"/>
  <c r="J5391" i="2"/>
  <c r="J5447" i="2"/>
  <c r="J5567" i="2"/>
  <c r="J5575" i="2"/>
  <c r="J5591" i="2"/>
  <c r="J5599" i="2"/>
  <c r="J5607" i="2"/>
  <c r="J5631" i="2"/>
  <c r="J5639" i="2"/>
  <c r="J5647" i="2"/>
  <c r="J5655" i="2"/>
  <c r="J5663" i="2"/>
  <c r="J5687" i="2"/>
  <c r="J5711" i="2"/>
  <c r="J5719" i="2"/>
  <c r="J5839" i="2"/>
  <c r="J5855" i="2"/>
  <c r="J5863" i="2"/>
  <c r="J5871" i="2"/>
  <c r="J5887" i="2"/>
  <c r="J5903" i="2"/>
  <c r="J5983" i="2"/>
  <c r="J5999" i="2"/>
  <c r="J6007" i="2"/>
  <c r="J6031" i="2"/>
  <c r="J6039" i="2"/>
  <c r="J6119" i="2"/>
  <c r="J6183" i="2"/>
  <c r="J6247" i="2"/>
  <c r="J6271" i="2"/>
  <c r="J6287" i="2"/>
  <c r="J6311" i="2"/>
  <c r="J6351" i="2"/>
  <c r="J6359" i="2"/>
  <c r="J6367" i="2"/>
  <c r="J6383" i="2"/>
  <c r="J6399" i="2"/>
  <c r="J6495" i="2"/>
  <c r="J6619" i="2"/>
  <c r="J6651" i="2"/>
  <c r="J6819" i="2"/>
  <c r="J6851" i="2"/>
  <c r="J6951" i="2"/>
  <c r="J6983" i="2"/>
  <c r="J7015" i="2"/>
  <c r="J7083" i="2"/>
  <c r="J8" i="2"/>
  <c r="J16" i="2"/>
  <c r="J32" i="2"/>
  <c r="J40" i="2"/>
  <c r="J48" i="2"/>
  <c r="J56" i="2"/>
  <c r="J80" i="2"/>
  <c r="J88" i="2"/>
  <c r="J112" i="2"/>
  <c r="J152" i="2"/>
  <c r="J168" i="2"/>
  <c r="J192" i="2"/>
  <c r="J232" i="2"/>
  <c r="J264" i="2"/>
  <c r="J272" i="2"/>
  <c r="J296" i="2"/>
  <c r="J312" i="2"/>
  <c r="J368" i="2"/>
  <c r="J384" i="2"/>
  <c r="J464" i="2"/>
  <c r="J472" i="2"/>
  <c r="J520" i="2"/>
  <c r="J528" i="2"/>
  <c r="J576" i="2"/>
  <c r="J584" i="2"/>
  <c r="J592" i="2"/>
  <c r="J600" i="2"/>
  <c r="J616" i="2"/>
  <c r="J624" i="2"/>
  <c r="J632" i="2"/>
  <c r="J640" i="2"/>
  <c r="J672" i="2"/>
  <c r="J688" i="2"/>
  <c r="J704" i="2"/>
  <c r="J712" i="2"/>
  <c r="J776" i="2"/>
  <c r="J784" i="2"/>
  <c r="J816" i="2"/>
  <c r="J832" i="2"/>
  <c r="J848" i="2"/>
  <c r="J880" i="2"/>
  <c r="J888" i="2"/>
  <c r="J896" i="2"/>
  <c r="J904" i="2"/>
  <c r="J912" i="2"/>
  <c r="J920" i="2"/>
  <c r="J944" i="2"/>
  <c r="J952" i="2"/>
  <c r="J968" i="2"/>
  <c r="J992" i="2"/>
  <c r="J1000" i="2"/>
  <c r="J1088" i="2"/>
  <c r="J1128" i="2"/>
  <c r="J1136" i="2"/>
  <c r="J1184" i="2"/>
  <c r="J1248" i="2"/>
  <c r="J1312" i="2"/>
  <c r="J1320" i="2"/>
  <c r="J1328" i="2"/>
  <c r="J1336" i="2"/>
  <c r="J1344" i="2"/>
  <c r="J1352" i="2"/>
  <c r="J1360" i="2"/>
  <c r="J1456" i="2"/>
  <c r="J1464" i="2"/>
  <c r="J1472" i="2"/>
  <c r="J1480" i="2"/>
  <c r="J1520" i="2"/>
  <c r="J1528" i="2"/>
  <c r="J1536" i="2"/>
  <c r="J1560" i="2"/>
  <c r="J1568" i="2"/>
  <c r="J1584" i="2"/>
  <c r="J1608" i="2"/>
  <c r="J1616" i="2"/>
  <c r="J1624" i="2"/>
  <c r="J1632" i="2"/>
  <c r="J1640" i="2"/>
  <c r="J1664" i="2"/>
  <c r="J1672" i="2"/>
  <c r="J1688" i="2"/>
  <c r="J1696" i="2"/>
  <c r="J1728" i="2"/>
  <c r="J1736" i="2"/>
  <c r="J1744" i="2"/>
  <c r="J1760" i="2"/>
  <c r="J1768" i="2"/>
  <c r="J1776" i="2"/>
  <c r="J1800" i="2"/>
  <c r="J1808" i="2"/>
  <c r="J1832" i="2"/>
  <c r="J1840" i="2"/>
  <c r="J2000" i="2"/>
  <c r="J2016" i="2"/>
  <c r="J2040" i="2"/>
  <c r="J2112" i="2"/>
  <c r="J2168" i="2"/>
  <c r="J2184" i="2"/>
  <c r="J2192" i="2"/>
  <c r="J2208" i="2"/>
  <c r="J2216" i="2"/>
  <c r="J2304" i="2"/>
  <c r="J2328" i="2"/>
  <c r="J2392" i="2"/>
  <c r="J2432" i="2"/>
  <c r="J2448" i="2"/>
  <c r="J2456" i="2"/>
  <c r="J2464" i="2"/>
  <c r="J2536" i="2"/>
  <c r="J2552" i="2"/>
  <c r="J2576" i="2"/>
  <c r="J2592" i="2"/>
  <c r="J2624" i="2"/>
  <c r="J2648" i="2"/>
  <c r="J2664" i="2"/>
  <c r="J2680" i="2"/>
  <c r="J2696" i="2"/>
  <c r="J2832" i="2"/>
  <c r="J2864" i="2"/>
  <c r="J2888" i="2"/>
  <c r="J2896" i="2"/>
  <c r="J2928" i="2"/>
  <c r="J2960" i="2"/>
  <c r="J3056" i="2"/>
  <c r="J3080" i="2"/>
  <c r="J3096" i="2"/>
  <c r="J3152" i="2"/>
  <c r="J3160" i="2"/>
  <c r="J3176" i="2"/>
  <c r="J3192" i="2"/>
  <c r="J3216" i="2"/>
  <c r="J3224" i="2"/>
  <c r="J3240" i="2"/>
  <c r="J3312" i="2"/>
  <c r="J3400" i="2"/>
  <c r="J3464" i="2"/>
  <c r="J3528" i="2"/>
  <c r="J3536" i="2"/>
  <c r="J3576" i="2"/>
  <c r="J3584" i="2"/>
  <c r="J3592" i="2"/>
  <c r="J3672" i="2"/>
  <c r="J3760" i="2"/>
  <c r="J3768" i="2"/>
  <c r="J3776" i="2"/>
  <c r="J3784" i="2"/>
  <c r="J3872" i="2"/>
  <c r="J3912" i="2"/>
  <c r="J3944" i="2"/>
  <c r="J3952" i="2"/>
  <c r="J3976" i="2"/>
  <c r="J4072" i="2"/>
  <c r="J4104" i="2"/>
  <c r="J4112" i="2"/>
  <c r="J4128" i="2"/>
  <c r="J4144" i="2"/>
  <c r="J4240" i="2"/>
  <c r="J4256" i="2"/>
  <c r="J4320" i="2"/>
  <c r="J4328" i="2"/>
  <c r="J4384" i="2"/>
  <c r="J4456" i="2"/>
  <c r="J4464" i="2"/>
  <c r="J4488" i="2"/>
  <c r="J4520" i="2"/>
  <c r="J4560" i="2"/>
  <c r="J4584" i="2"/>
  <c r="J4656" i="2"/>
  <c r="J4712" i="2"/>
  <c r="J4768" i="2"/>
  <c r="J4848" i="2"/>
  <c r="J4856" i="2"/>
  <c r="J4896" i="2"/>
  <c r="J4904" i="2"/>
  <c r="J4912" i="2"/>
  <c r="J4936" i="2"/>
  <c r="J4960" i="2"/>
  <c r="J5048" i="2"/>
  <c r="J5056" i="2"/>
  <c r="J5064" i="2"/>
  <c r="J5096" i="2"/>
  <c r="J5112" i="2"/>
  <c r="J5120" i="2"/>
  <c r="J5160" i="2"/>
  <c r="J5176" i="2"/>
  <c r="J5184" i="2"/>
  <c r="J5200" i="2"/>
  <c r="J5208" i="2"/>
  <c r="J5216" i="2"/>
  <c r="J5224" i="2"/>
  <c r="J5272" i="2"/>
  <c r="J5288" i="2"/>
  <c r="J5296" i="2"/>
  <c r="J5320" i="2"/>
  <c r="J5328" i="2"/>
  <c r="J5336" i="2"/>
  <c r="J5368" i="2"/>
  <c r="J5384" i="2"/>
  <c r="J5392" i="2"/>
  <c r="J5400" i="2"/>
  <c r="J5408" i="2"/>
  <c r="J5424" i="2"/>
  <c r="J5440" i="2"/>
  <c r="J5448" i="2"/>
  <c r="J5536" i="2"/>
  <c r="J5576" i="2"/>
  <c r="J5592" i="2"/>
  <c r="J5608" i="2"/>
  <c r="J5632" i="2"/>
  <c r="J5648" i="2"/>
  <c r="J5656" i="2"/>
  <c r="J5664" i="2"/>
  <c r="J5688" i="2"/>
  <c r="J5744" i="2"/>
  <c r="J5864" i="2"/>
  <c r="J5888" i="2"/>
  <c r="J5896" i="2"/>
  <c r="J5952" i="2"/>
  <c r="J6000" i="2"/>
  <c r="J6008" i="2"/>
  <c r="J6024" i="2"/>
  <c r="J6040" i="2"/>
  <c r="J6056" i="2"/>
  <c r="J6120" i="2"/>
  <c r="J6184" i="2"/>
  <c r="J6208" i="2"/>
  <c r="J6216" i="2"/>
  <c r="J6240" i="2"/>
  <c r="J6256" i="2"/>
  <c r="J6272" i="2"/>
  <c r="J6280" i="2"/>
  <c r="J6288" i="2"/>
  <c r="J6296" i="2"/>
  <c r="J6312" i="2"/>
  <c r="J6320" i="2"/>
  <c r="J6328" i="2"/>
  <c r="J6352" i="2"/>
  <c r="J6360" i="2"/>
  <c r="J6368" i="2"/>
  <c r="J6384" i="2"/>
  <c r="J6400" i="2"/>
  <c r="J6408" i="2"/>
  <c r="J6496" i="2"/>
  <c r="J6608" i="2"/>
  <c r="J7157" i="2"/>
  <c r="J7173" i="2"/>
  <c r="J7189" i="2"/>
  <c r="J7281" i="2"/>
  <c r="J7207" i="2"/>
  <c r="J637" i="2"/>
  <c r="J661" i="2"/>
  <c r="J1069" i="2"/>
  <c r="J1125" i="2"/>
  <c r="J1133" i="2"/>
  <c r="J1141" i="2"/>
  <c r="J1165" i="2"/>
  <c r="J1173" i="2"/>
  <c r="J1189" i="2"/>
  <c r="J1253" i="2"/>
  <c r="J1269" i="2"/>
  <c r="J1301" i="2"/>
  <c r="J1309" i="2"/>
  <c r="J1317" i="2"/>
  <c r="J1325" i="2"/>
  <c r="J1349" i="2"/>
  <c r="J1365" i="2"/>
  <c r="J1373" i="2"/>
  <c r="J1389" i="2"/>
  <c r="J1405" i="2"/>
  <c r="J1429" i="2"/>
  <c r="J1469" i="2"/>
  <c r="J1485" i="2"/>
  <c r="J1533" i="2"/>
  <c r="J1541" i="2"/>
  <c r="J1549" i="2"/>
  <c r="J1557" i="2"/>
  <c r="J1581" i="2"/>
  <c r="J1621" i="2"/>
  <c r="J1645" i="2"/>
  <c r="J1661" i="2"/>
  <c r="J1669" i="2"/>
  <c r="J1685" i="2"/>
  <c r="J1693" i="2"/>
  <c r="J1701" i="2"/>
  <c r="J1733" i="2"/>
  <c r="J1741" i="2"/>
  <c r="J1749" i="2"/>
  <c r="J1757" i="2"/>
  <c r="J1765" i="2"/>
  <c r="J1773" i="2"/>
  <c r="J1781" i="2"/>
  <c r="J1789" i="2"/>
  <c r="J1813" i="2"/>
  <c r="J1821" i="2"/>
  <c r="J1829" i="2"/>
  <c r="J1837" i="2"/>
  <c r="J1917" i="2"/>
  <c r="J1933" i="2"/>
  <c r="J1973" i="2"/>
  <c r="J1989" i="2"/>
  <c r="J1997" i="2"/>
  <c r="J2013" i="2"/>
  <c r="J2029" i="2"/>
  <c r="J2037" i="2"/>
  <c r="J2045" i="2"/>
  <c r="J2085" i="2"/>
  <c r="J2133" i="2"/>
  <c r="J2189" i="2"/>
  <c r="J2205" i="2"/>
  <c r="J2213" i="2"/>
  <c r="J2221" i="2"/>
  <c r="J2229" i="2"/>
  <c r="J2245" i="2"/>
  <c r="J2317" i="2"/>
  <c r="J2325" i="2"/>
  <c r="J2357" i="2"/>
  <c r="J2389" i="2"/>
  <c r="J2397" i="2"/>
  <c r="J2429" i="2"/>
  <c r="J2437" i="2"/>
  <c r="J2485" i="2"/>
  <c r="J2525" i="2"/>
  <c r="J2549" i="2"/>
  <c r="J2581" i="2"/>
  <c r="J2589" i="2"/>
  <c r="J2605" i="2"/>
  <c r="J2613" i="2"/>
  <c r="J2621" i="2"/>
  <c r="J2629" i="2"/>
  <c r="J2637" i="2"/>
  <c r="J2653" i="2"/>
  <c r="J2661" i="2"/>
  <c r="J2773" i="2"/>
  <c r="J2781" i="2"/>
  <c r="J2797" i="2"/>
  <c r="J2829" i="2"/>
  <c r="J2861" i="2"/>
  <c r="J2869" i="2"/>
  <c r="J2877" i="2"/>
  <c r="J2917" i="2"/>
  <c r="J2925" i="2"/>
  <c r="J2933" i="2"/>
  <c r="J2941" i="2"/>
  <c r="J2981" i="2"/>
  <c r="J3005" i="2"/>
  <c r="J3045" i="2"/>
  <c r="J3053" i="2"/>
  <c r="J3061" i="2"/>
  <c r="J3069" i="2"/>
  <c r="J3077" i="2"/>
  <c r="J3101" i="2"/>
  <c r="J3141" i="2"/>
  <c r="J3197" i="2"/>
  <c r="J3205" i="2"/>
  <c r="J3213" i="2"/>
  <c r="J3237" i="2"/>
  <c r="J3245" i="2"/>
  <c r="J3261" i="2"/>
  <c r="J3301" i="2"/>
  <c r="J3309" i="2"/>
  <c r="J3317" i="2"/>
  <c r="J3333" i="2"/>
  <c r="J3357" i="2"/>
  <c r="J3373" i="2"/>
  <c r="J3389" i="2"/>
  <c r="J3397" i="2"/>
  <c r="J3405" i="2"/>
  <c r="J3413" i="2"/>
  <c r="J3421" i="2"/>
  <c r="J3453" i="2"/>
  <c r="J3461" i="2"/>
  <c r="J3469" i="2"/>
  <c r="J3485" i="2"/>
  <c r="J3501" i="2"/>
  <c r="J3533" i="2"/>
  <c r="J3541" i="2"/>
  <c r="J3549" i="2"/>
  <c r="J3565" i="2"/>
  <c r="J3581" i="2"/>
  <c r="J3597" i="2"/>
  <c r="J3621" i="2"/>
  <c r="J3709" i="2"/>
  <c r="J3733" i="2"/>
  <c r="J3765" i="2"/>
  <c r="J3821" i="2"/>
  <c r="J3901" i="2"/>
  <c r="J3925" i="2"/>
  <c r="J3941" i="2"/>
  <c r="J3949" i="2"/>
  <c r="J3957" i="2"/>
  <c r="J4005" i="2"/>
  <c r="J4101" i="2"/>
  <c r="J4133" i="2"/>
  <c r="J4165" i="2"/>
  <c r="J4197" i="2"/>
  <c r="J4229" i="2"/>
  <c r="J4237" i="2"/>
  <c r="J4245" i="2"/>
  <c r="J4317" i="2"/>
  <c r="J4325" i="2"/>
  <c r="J4333" i="2"/>
  <c r="J4341" i="2"/>
  <c r="J4349" i="2"/>
  <c r="J4357" i="2"/>
  <c r="J4381" i="2"/>
  <c r="J4389" i="2"/>
  <c r="J4421" i="2"/>
  <c r="J4437" i="2"/>
  <c r="J4445" i="2"/>
  <c r="J4453" i="2"/>
  <c r="J4461" i="2"/>
  <c r="J4469" i="2"/>
  <c r="J4477" i="2"/>
  <c r="J4501" i="2"/>
  <c r="J4517" i="2"/>
  <c r="J4525" i="2"/>
  <c r="J4597" i="2"/>
  <c r="J4605" i="2"/>
  <c r="J4629" i="2"/>
  <c r="J4637" i="2"/>
  <c r="J4669" i="2"/>
  <c r="J4677" i="2"/>
  <c r="J4685" i="2"/>
  <c r="J4693" i="2"/>
  <c r="J4701" i="2"/>
  <c r="J4709" i="2"/>
  <c r="J4725" i="2"/>
  <c r="J4733" i="2"/>
  <c r="J4757" i="2"/>
  <c r="J4813" i="2"/>
  <c r="J4869" i="2"/>
  <c r="J4877" i="2"/>
  <c r="J4885" i="2"/>
  <c r="J4893" i="2"/>
  <c r="J4901" i="2"/>
  <c r="J4909" i="2"/>
  <c r="J4917" i="2"/>
  <c r="J4925" i="2"/>
  <c r="J4933" i="2"/>
  <c r="J4949" i="2"/>
  <c r="J4957" i="2"/>
  <c r="J4973" i="2"/>
  <c r="J5053" i="2"/>
  <c r="J5061" i="2"/>
  <c r="J5085" i="2"/>
  <c r="J5173" i="2"/>
  <c r="J5181" i="2"/>
  <c r="J5189" i="2"/>
  <c r="J5197" i="2"/>
  <c r="J5269" i="2"/>
  <c r="J5277" i="2"/>
  <c r="J5317" i="2"/>
  <c r="J5325" i="2"/>
  <c r="J5333" i="2"/>
  <c r="J5341" i="2"/>
  <c r="J5365" i="2"/>
  <c r="J5381" i="2"/>
  <c r="J5389" i="2"/>
  <c r="J5397" i="2"/>
  <c r="J5405" i="2"/>
  <c r="J5413" i="2"/>
  <c r="J5445" i="2"/>
  <c r="J5461" i="2"/>
  <c r="J5565" i="2"/>
  <c r="J5581" i="2"/>
  <c r="J154" i="2"/>
  <c r="J322" i="2"/>
  <c r="J490" i="2"/>
  <c r="J642" i="2"/>
  <c r="J826" i="2"/>
  <c r="J2314" i="2"/>
  <c r="J2346" i="2"/>
  <c r="J2410" i="2"/>
  <c r="J2554" i="2"/>
  <c r="J2602" i="2"/>
  <c r="J2626" i="2"/>
  <c r="J2786" i="2"/>
  <c r="J2866" i="2"/>
  <c r="J2922" i="2"/>
  <c r="J2930" i="2"/>
  <c r="J3018" i="2"/>
  <c r="J3058" i="2"/>
  <c r="J3090" i="2"/>
  <c r="J3186" i="2"/>
  <c r="J3218" i="2"/>
  <c r="J3338" i="2"/>
  <c r="J3402" i="2"/>
  <c r="J3466" i="2"/>
  <c r="J3474" i="2"/>
  <c r="J3498" i="2"/>
  <c r="J3506" i="2"/>
  <c r="J3562" i="2"/>
  <c r="J3602" i="2"/>
  <c r="J3634" i="2"/>
  <c r="J3898" i="2"/>
  <c r="J3962" i="2"/>
  <c r="J3970" i="2"/>
  <c r="J4018" i="2"/>
  <c r="J4050" i="2"/>
  <c r="J4122" i="2"/>
  <c r="J4218" i="2"/>
  <c r="J4250" i="2"/>
  <c r="J4314" i="2"/>
  <c r="J4346" i="2"/>
  <c r="J4378" i="2"/>
  <c r="J4506" i="2"/>
  <c r="J4538" i="2"/>
  <c r="J4698" i="2"/>
  <c r="J5330" i="2"/>
  <c r="J5362" i="2"/>
  <c r="J5442" i="2"/>
  <c r="J6623" i="2"/>
  <c r="J6655" i="2"/>
  <c r="J6679" i="2"/>
  <c r="J67" i="2"/>
  <c r="J491" i="2"/>
  <c r="J571" i="2"/>
  <c r="J867" i="2"/>
  <c r="J899" i="2"/>
  <c r="J915" i="2"/>
  <c r="J947" i="2"/>
  <c r="J979" i="2"/>
  <c r="J1011" i="2"/>
  <c r="J1251" i="2"/>
  <c r="J1259" i="2"/>
  <c r="J1323" i="2"/>
  <c r="J1475" i="2"/>
  <c r="J5171" i="2"/>
  <c r="J5179" i="2"/>
  <c r="J5187" i="2"/>
  <c r="J5195" i="2"/>
  <c r="J5211" i="2"/>
  <c r="J5227" i="2"/>
  <c r="J5267" i="2"/>
  <c r="J5283" i="2"/>
  <c r="J5291" i="2"/>
  <c r="J5307" i="2"/>
  <c r="J5315" i="2"/>
  <c r="J5323" i="2"/>
  <c r="J5371" i="2"/>
  <c r="J5387" i="2"/>
  <c r="J5403" i="2"/>
  <c r="J5443" i="2"/>
  <c r="J5507" i="2"/>
  <c r="J5859" i="2"/>
  <c r="J6131" i="2"/>
  <c r="J6267" i="2"/>
  <c r="J6275" i="2"/>
  <c r="J6283" i="2"/>
  <c r="J6291" i="2"/>
  <c r="J6315" i="2"/>
  <c r="J6363" i="2"/>
  <c r="J6371" i="2"/>
  <c r="J6379" i="2"/>
  <c r="J6403" i="2"/>
  <c r="J6427" i="2"/>
  <c r="J7135" i="2"/>
  <c r="J7167" i="2"/>
  <c r="J4" i="2"/>
  <c r="J68" i="2"/>
  <c r="J292" i="2"/>
  <c r="J388" i="2"/>
  <c r="J524" i="2"/>
  <c r="J588" i="2"/>
  <c r="J1556" i="2"/>
  <c r="J2020" i="2"/>
  <c r="J2212" i="2"/>
  <c r="J2428" i="2"/>
  <c r="J2580" i="2"/>
  <c r="J2596" i="2"/>
  <c r="J2684" i="2"/>
  <c r="J2828" i="2"/>
  <c r="J2860" i="2"/>
  <c r="J2900" i="2"/>
  <c r="J3028" i="2"/>
  <c r="J3052" i="2"/>
  <c r="J3060" i="2"/>
  <c r="J3092" i="2"/>
  <c r="J3340" i="2"/>
  <c r="J3404" i="2"/>
  <c r="J3564" i="2"/>
  <c r="J3588" i="2"/>
  <c r="J3652" i="2"/>
  <c r="J3684" i="2"/>
  <c r="J3748" i="2"/>
  <c r="J3812" i="2"/>
  <c r="J4236" i="2"/>
  <c r="J4332" i="2"/>
  <c r="J4396" i="2"/>
  <c r="J4428" i="2"/>
  <c r="J4460" i="2"/>
  <c r="J4492" i="2"/>
  <c r="J4780" i="2"/>
  <c r="J5444" i="2"/>
  <c r="J5508" i="2"/>
  <c r="J6620" i="2"/>
  <c r="J6628" i="2"/>
  <c r="J6660" i="2"/>
  <c r="J6700" i="2"/>
  <c r="J6780" i="2"/>
  <c r="J6804" i="2"/>
  <c r="J6812" i="2"/>
  <c r="J6820" i="2"/>
  <c r="J6828" i="2"/>
  <c r="J6852" i="2"/>
  <c r="J6900" i="2"/>
  <c r="J6948" i="2"/>
  <c r="J6956" i="2"/>
  <c r="J6964" i="2"/>
  <c r="J6972" i="2"/>
  <c r="J6980" i="2"/>
  <c r="J6988" i="2"/>
  <c r="J7012" i="2"/>
  <c r="J7044" i="2"/>
  <c r="J7060" i="2"/>
  <c r="J7068" i="2"/>
  <c r="J7076" i="2"/>
  <c r="J7156" i="2"/>
  <c r="J7172" i="2"/>
  <c r="J7180" i="2"/>
  <c r="J7188" i="2"/>
  <c r="J7212" i="2"/>
  <c r="J7228" i="2"/>
  <c r="J7268" i="2"/>
  <c r="J7284" i="2"/>
  <c r="J7265" i="2"/>
  <c r="J6667" i="2"/>
  <c r="J6811" i="2"/>
  <c r="J6843" i="2"/>
  <c r="J6947" i="2"/>
  <c r="J6979" i="2"/>
  <c r="J7075" i="2"/>
  <c r="J7171" i="2"/>
  <c r="J5" i="2"/>
  <c r="J13" i="2"/>
  <c r="J21" i="2"/>
  <c r="J53" i="2"/>
  <c r="J61" i="2"/>
  <c r="J69" i="2"/>
  <c r="J93" i="2"/>
  <c r="J229" i="2"/>
  <c r="J261" i="2"/>
  <c r="J269" i="2"/>
  <c r="J277" i="2"/>
  <c r="J285" i="2"/>
  <c r="J293" i="2"/>
  <c r="J301" i="2"/>
  <c r="J309" i="2"/>
  <c r="J333" i="2"/>
  <c r="J405" i="2"/>
  <c r="J429" i="2"/>
  <c r="J453" i="2"/>
  <c r="J461" i="2"/>
  <c r="J493" i="2"/>
  <c r="J509" i="2"/>
  <c r="J533" i="2"/>
  <c r="J541" i="2"/>
  <c r="J589" i="2"/>
  <c r="J597" i="2"/>
  <c r="J621" i="2"/>
  <c r="J709" i="2"/>
  <c r="J717" i="2"/>
  <c r="J765" i="2"/>
  <c r="J773" i="2"/>
  <c r="J781" i="2"/>
  <c r="J821" i="2"/>
  <c r="J829" i="2"/>
  <c r="J837" i="2"/>
  <c r="J869" i="2"/>
  <c r="J877" i="2"/>
  <c r="J885" i="2"/>
  <c r="J893" i="2"/>
  <c r="J901" i="2"/>
  <c r="J909" i="2"/>
  <c r="J917" i="2"/>
  <c r="J941" i="2"/>
  <c r="J957" i="2"/>
  <c r="J1029" i="2"/>
  <c r="J1529" i="2"/>
  <c r="J1561" i="2"/>
  <c r="J1913" i="2"/>
  <c r="J1945" i="2"/>
  <c r="J1961" i="2"/>
  <c r="J1977" i="2"/>
  <c r="J1993" i="2"/>
  <c r="J2009" i="2"/>
  <c r="J2033" i="2"/>
  <c r="J2049" i="2"/>
  <c r="J2729" i="2"/>
  <c r="J18" i="2"/>
  <c r="J26" i="2"/>
  <c r="J34" i="2"/>
  <c r="J50" i="2"/>
  <c r="J66" i="2"/>
  <c r="J114" i="2"/>
  <c r="J130" i="2"/>
  <c r="J170" i="2"/>
  <c r="J178" i="2"/>
  <c r="J186" i="2"/>
  <c r="J194" i="2"/>
  <c r="J218" i="2"/>
  <c r="J242" i="2"/>
  <c r="J250" i="2"/>
  <c r="J266" i="2"/>
  <c r="J274" i="2"/>
  <c r="J282" i="2"/>
  <c r="J290" i="2"/>
  <c r="J306" i="2"/>
  <c r="J314" i="2"/>
  <c r="J402" i="2"/>
  <c r="J426" i="2"/>
  <c r="J442" i="2"/>
  <c r="J458" i="2"/>
  <c r="J466" i="2"/>
  <c r="J474" i="2"/>
  <c r="J482" i="2"/>
  <c r="J498" i="2"/>
  <c r="J514" i="2"/>
  <c r="J546" i="2"/>
  <c r="J594" i="2"/>
  <c r="J602" i="2"/>
  <c r="J610" i="2"/>
  <c r="J634" i="2"/>
  <c r="J682" i="2"/>
  <c r="J698" i="2"/>
  <c r="J706" i="2"/>
  <c r="J714" i="2"/>
  <c r="J762" i="2"/>
  <c r="J770" i="2"/>
  <c r="J778" i="2"/>
  <c r="J786" i="2"/>
  <c r="J794" i="2"/>
  <c r="J810" i="2"/>
  <c r="J818" i="2"/>
  <c r="J834" i="2"/>
  <c r="J842" i="2"/>
  <c r="J858" i="2"/>
  <c r="J866" i="2"/>
  <c r="J874" i="2"/>
  <c r="J882" i="2"/>
  <c r="J890" i="2"/>
  <c r="J898" i="2"/>
  <c r="J906" i="2"/>
  <c r="J946" i="2"/>
  <c r="J962" i="2"/>
  <c r="J970" i="2"/>
  <c r="J1010" i="2"/>
  <c r="J1106" i="2"/>
  <c r="J1122" i="2"/>
  <c r="J1130" i="2"/>
  <c r="J1138" i="2"/>
  <c r="J1154" i="2"/>
  <c r="J1178" i="2"/>
  <c r="J1194" i="2"/>
  <c r="J1266" i="2"/>
  <c r="J1274" i="2"/>
  <c r="J1282" i="2"/>
  <c r="J1306" i="2"/>
  <c r="J1314" i="2"/>
  <c r="J1322" i="2"/>
  <c r="J1330" i="2"/>
  <c r="J1346" i="2"/>
  <c r="J1450" i="2"/>
  <c r="J1458" i="2"/>
  <c r="J1466" i="2"/>
  <c r="J1474" i="2"/>
  <c r="J1482" i="2"/>
  <c r="J1498" i="2"/>
  <c r="J1554" i="2"/>
  <c r="J1562" i="2"/>
  <c r="J1578" i="2"/>
  <c r="J1618" i="2"/>
  <c r="J1634" i="2"/>
  <c r="J1642" i="2"/>
  <c r="J1650" i="2"/>
  <c r="J1658" i="2"/>
  <c r="J1690" i="2"/>
  <c r="J1698" i="2"/>
  <c r="J1730" i="2"/>
  <c r="J1762" i="2"/>
  <c r="J1770" i="2"/>
  <c r="J1778" i="2"/>
  <c r="J1802" i="2"/>
  <c r="J1826" i="2"/>
  <c r="J1874" i="2"/>
  <c r="J1922" i="2"/>
  <c r="J1946" i="2"/>
  <c r="J1954" i="2"/>
  <c r="J1962" i="2"/>
  <c r="J1994" i="2"/>
  <c r="J2002" i="2"/>
  <c r="J2010" i="2"/>
  <c r="J2050" i="2"/>
  <c r="J2058" i="2"/>
  <c r="J2082" i="2"/>
  <c r="J2122" i="2"/>
  <c r="J2170" i="2"/>
  <c r="J2178" i="2"/>
  <c r="J2210" i="2"/>
  <c r="J2226" i="2"/>
  <c r="J2242" i="2"/>
  <c r="J2290" i="2"/>
  <c r="J2322" i="2"/>
  <c r="J2338" i="2"/>
  <c r="J2354" i="2"/>
  <c r="J2370" i="2"/>
  <c r="J2394" i="2"/>
  <c r="J2426" i="2"/>
  <c r="J2434" i="2"/>
  <c r="J2466" i="2"/>
  <c r="J2506" i="2"/>
  <c r="J2522" i="2"/>
  <c r="J2538" i="2"/>
  <c r="J2546" i="2"/>
  <c r="J2562" i="2"/>
  <c r="J2594" i="2"/>
  <c r="J2634" i="2"/>
  <c r="J2642" i="2"/>
  <c r="J2650" i="2"/>
  <c r="J2682" i="2"/>
  <c r="J2730" i="2"/>
  <c r="J2842" i="2"/>
  <c r="J2882" i="2"/>
  <c r="J2914" i="2"/>
  <c r="J2946" i="2"/>
  <c r="J3034" i="2"/>
  <c r="J3066" i="2"/>
  <c r="J3074" i="2"/>
  <c r="J3082" i="2"/>
  <c r="J3106" i="2"/>
  <c r="J3210" i="2"/>
  <c r="J3234" i="2"/>
  <c r="J3314" i="2"/>
  <c r="J3330" i="2"/>
  <c r="J3346" i="2"/>
  <c r="J3378" i="2"/>
  <c r="J3386" i="2"/>
  <c r="J3410" i="2"/>
  <c r="J3442" i="2"/>
  <c r="J3450" i="2"/>
  <c r="J3458" i="2"/>
  <c r="J3530" i="2"/>
  <c r="J3546" i="2"/>
  <c r="J3578" i="2"/>
  <c r="J3658" i="2"/>
  <c r="J3674" i="2"/>
  <c r="J3722" i="2"/>
  <c r="J3762" i="2"/>
  <c r="J3770" i="2"/>
  <c r="J3778" i="2"/>
  <c r="J3914" i="2"/>
  <c r="J3930" i="2"/>
  <c r="J3978" i="2"/>
  <c r="J3986" i="2"/>
  <c r="J3994" i="2"/>
  <c r="J4002" i="2"/>
  <c r="J4034" i="2"/>
  <c r="J4106" i="2"/>
  <c r="J4130" i="2"/>
  <c r="J4146" i="2"/>
  <c r="J4194" i="2"/>
  <c r="J4202" i="2"/>
  <c r="J4234" i="2"/>
  <c r="J4242" i="2"/>
  <c r="J4266" i="2"/>
  <c r="J4322" i="2"/>
  <c r="J4330" i="2"/>
  <c r="J4418" i="2"/>
  <c r="J4450" i="2"/>
  <c r="J4466" i="2"/>
  <c r="J4482" i="2"/>
  <c r="J4490" i="2"/>
  <c r="J4514" i="2"/>
  <c r="J4562" i="2"/>
  <c r="J4618" i="2"/>
  <c r="J4626" i="2"/>
  <c r="J4674" i="2"/>
  <c r="J4690" i="2"/>
  <c r="J4706" i="2"/>
  <c r="J4738" i="2"/>
  <c r="J4778" i="2"/>
  <c r="J4842" i="2"/>
  <c r="J4898" i="2"/>
  <c r="J4906" i="2"/>
  <c r="J4914" i="2"/>
  <c r="J4930" i="2"/>
  <c r="J4954" i="2"/>
  <c r="J4970" i="2"/>
  <c r="J4994" i="2"/>
  <c r="J5018" i="2"/>
  <c r="J5042" i="2"/>
  <c r="J5050" i="2"/>
  <c r="J5058" i="2"/>
  <c r="J5082" i="2"/>
  <c r="J5154" i="2"/>
  <c r="J5162" i="2"/>
  <c r="J5170" i="2"/>
  <c r="J5178" i="2"/>
  <c r="J5202" i="2"/>
  <c r="J5210" i="2"/>
  <c r="J5266" i="2"/>
  <c r="J5274" i="2"/>
  <c r="J5314" i="2"/>
  <c r="J5322" i="2"/>
  <c r="J5386" i="2"/>
  <c r="J5394" i="2"/>
  <c r="J5410" i="2"/>
  <c r="J5426" i="2"/>
  <c r="J5458" i="2"/>
  <c r="J5530" i="2"/>
  <c r="J5538" i="2"/>
  <c r="J5586" i="2"/>
  <c r="J5602" i="2"/>
  <c r="J5642" i="2"/>
  <c r="J5658" i="2"/>
  <c r="J5666" i="2"/>
  <c r="J5674" i="2"/>
  <c r="J5690" i="2"/>
  <c r="J5714" i="2"/>
  <c r="J5762" i="2"/>
  <c r="J5810" i="2"/>
  <c r="J5826" i="2"/>
  <c r="J5858" i="2"/>
  <c r="J5866" i="2"/>
  <c r="J5874" i="2"/>
  <c r="J5882" i="2"/>
  <c r="J5890" i="2"/>
  <c r="J5954" i="2"/>
  <c r="J6002" i="2"/>
  <c r="J6010" i="2"/>
  <c r="J6018" i="2"/>
  <c r="J6026" i="2"/>
  <c r="J6042" i="2"/>
  <c r="J6098" i="2"/>
  <c r="J6114" i="2"/>
  <c r="J6122" i="2"/>
  <c r="J6130" i="2"/>
  <c r="J6154" i="2"/>
  <c r="J6178" i="2"/>
  <c r="J6194" i="2"/>
  <c r="J6202" i="2"/>
  <c r="J6210" i="2"/>
  <c r="J6234" i="2"/>
  <c r="J6274" i="2"/>
  <c r="J6282" i="2"/>
  <c r="J6306" i="2"/>
  <c r="J6314" i="2"/>
  <c r="J6322" i="2"/>
  <c r="J6330" i="2"/>
  <c r="J6346" i="2"/>
  <c r="J6354" i="2"/>
  <c r="J6362" i="2"/>
  <c r="J6370" i="2"/>
  <c r="J6378" i="2"/>
  <c r="J6394" i="2"/>
  <c r="J6402" i="2"/>
  <c r="J6410" i="2"/>
  <c r="J6514" i="2"/>
  <c r="J6594" i="2"/>
  <c r="J6618" i="2"/>
  <c r="J6626" i="2"/>
  <c r="J6658" i="2"/>
  <c r="J6674" i="2"/>
  <c r="J6682" i="2"/>
  <c r="J6698" i="2"/>
  <c r="J6714" i="2"/>
  <c r="J6730" i="2"/>
  <c r="J6754" i="2"/>
  <c r="J6786" i="2"/>
  <c r="J6802" i="2"/>
  <c r="J6818" i="2"/>
  <c r="J6834" i="2"/>
  <c r="J6850" i="2"/>
  <c r="J6946" i="2"/>
  <c r="J6954" i="2"/>
  <c r="J6962" i="2"/>
  <c r="J6970" i="2"/>
  <c r="J6978" i="2"/>
  <c r="J7050" i="2"/>
  <c r="J7066" i="2"/>
  <c r="J7074" i="2"/>
  <c r="J7162" i="2"/>
  <c r="J7170" i="2"/>
  <c r="J7194" i="2"/>
  <c r="J7210" i="2"/>
  <c r="J7226" i="2"/>
  <c r="J7266" i="2"/>
  <c r="J7274" i="2"/>
  <c r="J7282" i="2"/>
  <c r="J6759" i="2"/>
  <c r="J6791" i="2"/>
  <c r="J6823" i="2"/>
  <c r="J6887" i="2"/>
  <c r="J6919" i="2"/>
  <c r="J6971" i="2"/>
  <c r="J7003" i="2"/>
  <c r="J7067" i="2"/>
  <c r="J7231" i="2"/>
  <c r="J11" i="2"/>
  <c r="J19" i="2"/>
  <c r="J27" i="2"/>
  <c r="J51" i="2"/>
  <c r="J59" i="2"/>
  <c r="J115" i="2"/>
  <c r="J131" i="2"/>
  <c r="J155" i="2"/>
  <c r="J187" i="2"/>
  <c r="J219" i="2"/>
  <c r="J259" i="2"/>
  <c r="J267" i="2"/>
  <c r="J275" i="2"/>
  <c r="J283" i="2"/>
  <c r="J291" i="2"/>
  <c r="J307" i="2"/>
  <c r="J323" i="2"/>
  <c r="J387" i="2"/>
  <c r="J419" i="2"/>
  <c r="J443" i="2"/>
  <c r="J459" i="2"/>
  <c r="J467" i="2"/>
  <c r="J475" i="2"/>
  <c r="J595" i="2"/>
  <c r="J603" i="2"/>
  <c r="J611" i="2"/>
  <c r="J627" i="2"/>
  <c r="J635" i="2"/>
  <c r="J667" i="2"/>
  <c r="J683" i="2"/>
  <c r="J707" i="2"/>
  <c r="J715" i="2"/>
  <c r="J723" i="2"/>
  <c r="J731" i="2"/>
  <c r="J755" i="2"/>
  <c r="J779" i="2"/>
  <c r="J859" i="2"/>
  <c r="J875" i="2"/>
  <c r="J971" i="2"/>
  <c r="J1003" i="2"/>
  <c r="J1123" i="2"/>
  <c r="J1131" i="2"/>
  <c r="J1139" i="2"/>
  <c r="J1155" i="2"/>
  <c r="J1179" i="2"/>
  <c r="J1307" i="2"/>
  <c r="J1315" i="2"/>
  <c r="J1331" i="2"/>
  <c r="J1339" i="2"/>
  <c r="J1347" i="2"/>
  <c r="J1419" i="2"/>
  <c r="J1435" i="2"/>
  <c r="J1451" i="2"/>
  <c r="J1459" i="2"/>
  <c r="J1467" i="2"/>
  <c r="J1483" i="2"/>
  <c r="J1523" i="2"/>
  <c r="J1555" i="2"/>
  <c r="J1563" i="2"/>
  <c r="J1579" i="2"/>
  <c r="J1611" i="2"/>
  <c r="J1635" i="2"/>
  <c r="J1643" i="2"/>
  <c r="J1651" i="2"/>
  <c r="J1667" i="2"/>
  <c r="J1691" i="2"/>
  <c r="J1707" i="2"/>
  <c r="J1715" i="2"/>
  <c r="J1723" i="2"/>
  <c r="J1731" i="2"/>
  <c r="J1739" i="2"/>
  <c r="J1755" i="2"/>
  <c r="J1763" i="2"/>
  <c r="J1771" i="2"/>
  <c r="J1795" i="2"/>
  <c r="J1803" i="2"/>
  <c r="J1811" i="2"/>
  <c r="J1827" i="2"/>
  <c r="J1843" i="2"/>
  <c r="J1851" i="2"/>
  <c r="J1875" i="2"/>
  <c r="J1923" i="2"/>
  <c r="J1987" i="2"/>
  <c r="J2003" i="2"/>
  <c r="J2011" i="2"/>
  <c r="J2019" i="2"/>
  <c r="J2027" i="2"/>
  <c r="J2035" i="2"/>
  <c r="J2043" i="2"/>
  <c r="J2051" i="2"/>
  <c r="J2099" i="2"/>
  <c r="J2115" i="2"/>
  <c r="J2139" i="2"/>
  <c r="J2179" i="2"/>
  <c r="J2187" i="2"/>
  <c r="J2195" i="2"/>
  <c r="J2211" i="2"/>
  <c r="J2275" i="2"/>
  <c r="J2291" i="2"/>
  <c r="J2307" i="2"/>
  <c r="J2315" i="2"/>
  <c r="J2323" i="2"/>
  <c r="J2331" i="2"/>
  <c r="J2347" i="2"/>
  <c r="J2355" i="2"/>
  <c r="J2379" i="2"/>
  <c r="J2419" i="2"/>
  <c r="J2427" i="2"/>
  <c r="J2435" i="2"/>
  <c r="J2459" i="2"/>
  <c r="J2475" i="2"/>
  <c r="J2483" i="2"/>
  <c r="J2491" i="2"/>
  <c r="J2547" i="2"/>
  <c r="J2555" i="2"/>
  <c r="J2563" i="2"/>
  <c r="J2571" i="2"/>
  <c r="J2579" i="2"/>
  <c r="J2627" i="2"/>
  <c r="J2635" i="2"/>
  <c r="J2643" i="2"/>
  <c r="J2651" i="2"/>
  <c r="J2675" i="2"/>
  <c r="J2683" i="2"/>
  <c r="J2787" i="2"/>
  <c r="J2795" i="2"/>
  <c r="J2843" i="2"/>
  <c r="J2867" i="2"/>
  <c r="J2875" i="2"/>
  <c r="J2883" i="2"/>
  <c r="J2907" i="2"/>
  <c r="J2915" i="2"/>
  <c r="J2923" i="2"/>
  <c r="J2931" i="2"/>
  <c r="J3035" i="2"/>
  <c r="J3067" i="2"/>
  <c r="J3075" i="2"/>
  <c r="J3083" i="2"/>
  <c r="J3091" i="2"/>
  <c r="J3099" i="2"/>
  <c r="J3131" i="2"/>
  <c r="J3179" i="2"/>
  <c r="J3187" i="2"/>
  <c r="J3203" i="2"/>
  <c r="J3211" i="2"/>
  <c r="J3219" i="2"/>
  <c r="J3235" i="2"/>
  <c r="J3243" i="2"/>
  <c r="J3275" i="2"/>
  <c r="J3291" i="2"/>
  <c r="J3315" i="2"/>
  <c r="J3331" i="2"/>
  <c r="J3339" i="2"/>
  <c r="J3387" i="2"/>
  <c r="J3395" i="2"/>
  <c r="J3411" i="2"/>
  <c r="J3427" i="2"/>
  <c r="J3443" i="2"/>
  <c r="J3467" i="2"/>
  <c r="J3499" i="2"/>
  <c r="J3507" i="2"/>
  <c r="J3515" i="2"/>
  <c r="J3523" i="2"/>
  <c r="J3531" i="2"/>
  <c r="J3547" i="2"/>
  <c r="J3555" i="2"/>
  <c r="J3563" i="2"/>
  <c r="J3571" i="2"/>
  <c r="J3587" i="2"/>
  <c r="J3595" i="2"/>
  <c r="J3635" i="2"/>
  <c r="J3643" i="2"/>
  <c r="J3651" i="2"/>
  <c r="J3699" i="2"/>
  <c r="J3747" i="2"/>
  <c r="J3771" i="2"/>
  <c r="J3779" i="2"/>
  <c r="J3787" i="2"/>
  <c r="J3803" i="2"/>
  <c r="J3819" i="2"/>
  <c r="J3859" i="2"/>
  <c r="J3875" i="2"/>
  <c r="J3891" i="2"/>
  <c r="J3907" i="2"/>
  <c r="J3963" i="2"/>
  <c r="J3979" i="2"/>
  <c r="J3995" i="2"/>
  <c r="J4019" i="2"/>
  <c r="J4035" i="2"/>
  <c r="J4099" i="2"/>
  <c r="J4107" i="2"/>
  <c r="J4131" i="2"/>
  <c r="J4139" i="2"/>
  <c r="J4171" i="2"/>
  <c r="J4219" i="2"/>
  <c r="J4227" i="2"/>
  <c r="J4235" i="2"/>
  <c r="J4243" i="2"/>
  <c r="J4251" i="2"/>
  <c r="J4267" i="2"/>
  <c r="J4315" i="2"/>
  <c r="J4323" i="2"/>
  <c r="J4331" i="2"/>
  <c r="J4347" i="2"/>
  <c r="J4371" i="2"/>
  <c r="J4395" i="2"/>
  <c r="J4419" i="2"/>
  <c r="J4443" i="2"/>
  <c r="J4451" i="2"/>
  <c r="J4459" i="2"/>
  <c r="J4467" i="2"/>
  <c r="J4483" i="2"/>
  <c r="J4499" i="2"/>
  <c r="J4507" i="2"/>
  <c r="J4515" i="2"/>
  <c r="J4523" i="2"/>
  <c r="J4563" i="2"/>
  <c r="J4619" i="2"/>
  <c r="J4627" i="2"/>
  <c r="J4691" i="2"/>
  <c r="J4699" i="2"/>
  <c r="J4707" i="2"/>
  <c r="J4723" i="2"/>
  <c r="J4763" i="2"/>
  <c r="J4787" i="2"/>
  <c r="J4835" i="2"/>
  <c r="J4891" i="2"/>
  <c r="J4899" i="2"/>
  <c r="J4907" i="2"/>
  <c r="J4923" i="2"/>
  <c r="J4939" i="2"/>
  <c r="J4955" i="2"/>
  <c r="J4971" i="2"/>
  <c r="J4979" i="2"/>
  <c r="J5019" i="2"/>
  <c r="J5035" i="2"/>
  <c r="J5051" i="2"/>
  <c r="J5059" i="2"/>
  <c r="J5075" i="2"/>
  <c r="J5083" i="2"/>
  <c r="J5091" i="2"/>
  <c r="J5107" i="2"/>
  <c r="J5139" i="2"/>
  <c r="J5331" i="2"/>
  <c r="J5363" i="2"/>
  <c r="J5395" i="2"/>
  <c r="J5427" i="2"/>
  <c r="J5459" i="2"/>
  <c r="J5475" i="2"/>
  <c r="J5515" i="2"/>
  <c r="J5539" i="2"/>
  <c r="J5571" i="2"/>
  <c r="J5587" i="2"/>
  <c r="J5595" i="2"/>
  <c r="J5651" i="2"/>
  <c r="J5659" i="2"/>
  <c r="J5667" i="2"/>
  <c r="J5683" i="2"/>
  <c r="J5691" i="2"/>
  <c r="J5715" i="2"/>
  <c r="J5763" i="2"/>
  <c r="J5811" i="2"/>
  <c r="J5867" i="2"/>
  <c r="J5875" i="2"/>
  <c r="J5883" i="2"/>
  <c r="J5939" i="2"/>
  <c r="J5971" i="2"/>
  <c r="J5987" i="2"/>
  <c r="J6003" i="2"/>
  <c r="J6011" i="2"/>
  <c r="J6019" i="2"/>
  <c r="J6027" i="2"/>
  <c r="J6035" i="2"/>
  <c r="J6115" i="2"/>
  <c r="J6123" i="2"/>
  <c r="J6195" i="2"/>
  <c r="J6203" i="2"/>
  <c r="J6219" i="2"/>
  <c r="J6251" i="2"/>
  <c r="J6323" i="2"/>
  <c r="J6347" i="2"/>
  <c r="J6451" i="2"/>
  <c r="J6515" i="2"/>
  <c r="J6627" i="2"/>
  <c r="J6643" i="2"/>
  <c r="J6779" i="2"/>
  <c r="J6807" i="2"/>
  <c r="J6935" i="2"/>
  <c r="J6999" i="2"/>
  <c r="J7227" i="2"/>
  <c r="J12" i="2"/>
  <c r="J52" i="2"/>
  <c r="J132" i="2"/>
  <c r="J156" i="2"/>
  <c r="J188" i="2"/>
  <c r="J260" i="2"/>
  <c r="J268" i="2"/>
  <c r="J276" i="2"/>
  <c r="J284" i="2"/>
  <c r="J308" i="2"/>
  <c r="J420" i="2"/>
  <c r="J460" i="2"/>
  <c r="J468" i="2"/>
  <c r="J492" i="2"/>
  <c r="J508" i="2"/>
  <c r="J532" i="2"/>
  <c r="J564" i="2"/>
  <c r="J580" i="2"/>
  <c r="J596" i="2"/>
  <c r="J612" i="2"/>
  <c r="J620" i="2"/>
  <c r="J628" i="2"/>
  <c r="J636" i="2"/>
  <c r="J644" i="2"/>
  <c r="J668" i="2"/>
  <c r="J708" i="2"/>
  <c r="J716" i="2"/>
  <c r="J724" i="2"/>
  <c r="J732" i="2"/>
  <c r="J780" i="2"/>
  <c r="J836" i="2"/>
  <c r="J844" i="2"/>
  <c r="J860" i="2"/>
  <c r="J868" i="2"/>
  <c r="J876" i="2"/>
  <c r="J884" i="2"/>
  <c r="J900" i="2"/>
  <c r="J916" i="2"/>
  <c r="J948" i="2"/>
  <c r="J980" i="2"/>
  <c r="J1028" i="2"/>
  <c r="J1068" i="2"/>
  <c r="J1116" i="2"/>
  <c r="J1124" i="2"/>
  <c r="J1132" i="2"/>
  <c r="J1140" i="2"/>
  <c r="J1172" i="2"/>
  <c r="J1188" i="2"/>
  <c r="J1268" i="2"/>
  <c r="J1292" i="2"/>
  <c r="J1300" i="2"/>
  <c r="J1308" i="2"/>
  <c r="J1316" i="2"/>
  <c r="J1324" i="2"/>
  <c r="J1348" i="2"/>
  <c r="J1356" i="2"/>
  <c r="J1412" i="2"/>
  <c r="J1436" i="2"/>
  <c r="J1460" i="2"/>
  <c r="J1468" i="2"/>
  <c r="J1492" i="2"/>
  <c r="J1564" i="2"/>
  <c r="J1572" i="2"/>
  <c r="J1580" i="2"/>
  <c r="J1604" i="2"/>
  <c r="J1628" i="2"/>
  <c r="J1644" i="2"/>
  <c r="J1684" i="2"/>
  <c r="J1692" i="2"/>
  <c r="J1724" i="2"/>
  <c r="J1740" i="2"/>
  <c r="J1748" i="2"/>
  <c r="J1756" i="2"/>
  <c r="J1772" i="2"/>
  <c r="J1780" i="2"/>
  <c r="J1812" i="2"/>
  <c r="J1828" i="2"/>
  <c r="J1868" i="2"/>
  <c r="J1892" i="2"/>
  <c r="J1940" i="2"/>
  <c r="J1972" i="2"/>
  <c r="J1988" i="2"/>
  <c r="J1996" i="2"/>
  <c r="J2012" i="2"/>
  <c r="J2028" i="2"/>
  <c r="J2036" i="2"/>
  <c r="J2044" i="2"/>
  <c r="J2052" i="2"/>
  <c r="J2068" i="2"/>
  <c r="J2124" i="2"/>
  <c r="J2132" i="2"/>
  <c r="J2164" i="2"/>
  <c r="J2188" i="2"/>
  <c r="J2204" i="2"/>
  <c r="J2276" i="2"/>
  <c r="J2284" i="2"/>
  <c r="J2308" i="2"/>
  <c r="J2316" i="2"/>
  <c r="J2324" i="2"/>
  <c r="J2340" i="2"/>
  <c r="J2436" i="2"/>
  <c r="J2444" i="2"/>
  <c r="J2452" i="2"/>
  <c r="J2468" i="2"/>
  <c r="J2484" i="2"/>
  <c r="J2500" i="2"/>
  <c r="J2588" i="2"/>
  <c r="J2612" i="2"/>
  <c r="J2628" i="2"/>
  <c r="J2636" i="2"/>
  <c r="J2644" i="2"/>
  <c r="J2652" i="2"/>
  <c r="J2844" i="2"/>
  <c r="J2876" i="2"/>
  <c r="J2884" i="2"/>
  <c r="J2908" i="2"/>
  <c r="J2916" i="2"/>
  <c r="J2940" i="2"/>
  <c r="J3068" i="2"/>
  <c r="J3076" i="2"/>
  <c r="J3132" i="2"/>
  <c r="J3196" i="2"/>
  <c r="J3204" i="2"/>
  <c r="J3212" i="2"/>
  <c r="J3236" i="2"/>
  <c r="J3244" i="2"/>
  <c r="J3324" i="2"/>
  <c r="J3332" i="2"/>
  <c r="J3356" i="2"/>
  <c r="J3388" i="2"/>
  <c r="J3396" i="2"/>
  <c r="J3428" i="2"/>
  <c r="J3444" i="2"/>
  <c r="J3460" i="2"/>
  <c r="J3476" i="2"/>
  <c r="J3500" i="2"/>
  <c r="J3508" i="2"/>
  <c r="J3532" i="2"/>
  <c r="J3540" i="2"/>
  <c r="J3548" i="2"/>
  <c r="J3556" i="2"/>
  <c r="J3572" i="2"/>
  <c r="J3580" i="2"/>
  <c r="J3596" i="2"/>
  <c r="J3604" i="2"/>
  <c r="J3644" i="2"/>
  <c r="J3700" i="2"/>
  <c r="J3772" i="2"/>
  <c r="J3780" i="2"/>
  <c r="J3788" i="2"/>
  <c r="J3796" i="2"/>
  <c r="J3804" i="2"/>
  <c r="J3836" i="2"/>
  <c r="J3876" i="2"/>
  <c r="J3892" i="2"/>
  <c r="J3900" i="2"/>
  <c r="J3948" i="2"/>
  <c r="J3956" i="2"/>
  <c r="J3964" i="2"/>
  <c r="J3980" i="2"/>
  <c r="J3988" i="2"/>
  <c r="J4044" i="2"/>
  <c r="J4052" i="2"/>
  <c r="J4100" i="2"/>
  <c r="J4108" i="2"/>
  <c r="J4132" i="2"/>
  <c r="J4148" i="2"/>
  <c r="J4180" i="2"/>
  <c r="J4220" i="2"/>
  <c r="J4228" i="2"/>
  <c r="J4244" i="2"/>
  <c r="J4292" i="2"/>
  <c r="J4324" i="2"/>
  <c r="J4348" i="2"/>
  <c r="J4356" i="2"/>
  <c r="J4388" i="2"/>
  <c r="J4412" i="2"/>
  <c r="J4420" i="2"/>
  <c r="J4452" i="2"/>
  <c r="J4468" i="2"/>
  <c r="J4484" i="2"/>
  <c r="J4500" i="2"/>
  <c r="J4516" i="2"/>
  <c r="J4564" i="2"/>
  <c r="J4596" i="2"/>
  <c r="J4604" i="2"/>
  <c r="J4628" i="2"/>
  <c r="J4700" i="2"/>
  <c r="J4708" i="2"/>
  <c r="J4724" i="2"/>
  <c r="J4740" i="2"/>
  <c r="J4764" i="2"/>
  <c r="J4788" i="2"/>
  <c r="J4892" i="2"/>
  <c r="J4900" i="2"/>
  <c r="J4908" i="2"/>
  <c r="J4924" i="2"/>
  <c r="J4956" i="2"/>
  <c r="J4972" i="2"/>
  <c r="J5012" i="2"/>
  <c r="J5052" i="2"/>
  <c r="J5060" i="2"/>
  <c r="J5092" i="2"/>
  <c r="J5132" i="2"/>
  <c r="J5164" i="2"/>
  <c r="J5172" i="2"/>
  <c r="J5188" i="2"/>
  <c r="J5196" i="2"/>
  <c r="J5204" i="2"/>
  <c r="J5228" i="2"/>
  <c r="J5260" i="2"/>
  <c r="J5276" i="2"/>
  <c r="J5292" i="2"/>
  <c r="J5316" i="2"/>
  <c r="J5324" i="2"/>
  <c r="J5356" i="2"/>
  <c r="J5364" i="2"/>
  <c r="J5372" i="2"/>
  <c r="J5380" i="2"/>
  <c r="J5388" i="2"/>
  <c r="J5396" i="2"/>
  <c r="J5460" i="2"/>
  <c r="J5548" i="2"/>
  <c r="J5596" i="2"/>
  <c r="J5652" i="2"/>
  <c r="J5660" i="2"/>
  <c r="J5684" i="2"/>
  <c r="J5796" i="2"/>
  <c r="J5852" i="2"/>
  <c r="J5860" i="2"/>
  <c r="J5868" i="2"/>
  <c r="J5876" i="2"/>
  <c r="J5908" i="2"/>
  <c r="J5916" i="2"/>
  <c r="J5940" i="2"/>
  <c r="J5956" i="2"/>
  <c r="J5988" i="2"/>
  <c r="J6004" i="2"/>
  <c r="J6012" i="2"/>
  <c r="J6020" i="2"/>
  <c r="J6028" i="2"/>
  <c r="J6044" i="2"/>
  <c r="J6084" i="2"/>
  <c r="J6116" i="2"/>
  <c r="J6124" i="2"/>
  <c r="J6140" i="2"/>
  <c r="J6148" i="2"/>
  <c r="J6156" i="2"/>
  <c r="J6164" i="2"/>
  <c r="J6180" i="2"/>
  <c r="J6188" i="2"/>
  <c r="J6196" i="2"/>
  <c r="J6204" i="2"/>
  <c r="J6220" i="2"/>
  <c r="J6260" i="2"/>
  <c r="J6268" i="2"/>
  <c r="J6276" i="2"/>
  <c r="J6284" i="2"/>
  <c r="J6292" i="2"/>
  <c r="J6300" i="2"/>
  <c r="J6316" i="2"/>
  <c r="J6332" i="2"/>
  <c r="J6340" i="2"/>
  <c r="J6348" i="2"/>
  <c r="J6356" i="2"/>
  <c r="J6364" i="2"/>
  <c r="J6372" i="2"/>
  <c r="J6380" i="2"/>
  <c r="J6388" i="2"/>
  <c r="J6396" i="2"/>
  <c r="J6412" i="2"/>
  <c r="J6420" i="2"/>
  <c r="J6428" i="2"/>
  <c r="J6452" i="2"/>
  <c r="J6460" i="2"/>
  <c r="J6476" i="2"/>
  <c r="J6564" i="2"/>
  <c r="J6572" i="2"/>
  <c r="J6604" i="2"/>
  <c r="J7133" i="2"/>
  <c r="J7165" i="2"/>
  <c r="J7241" i="2"/>
  <c r="J9" i="2"/>
  <c r="J17" i="2"/>
  <c r="J25" i="2"/>
  <c r="J33" i="2"/>
  <c r="J49" i="2"/>
  <c r="J57" i="2"/>
  <c r="J729" i="2"/>
  <c r="J793" i="2"/>
  <c r="J1081" i="2"/>
  <c r="J1089" i="2"/>
  <c r="J1105" i="2"/>
  <c r="J1121" i="2"/>
  <c r="J1129" i="2"/>
  <c r="J1137" i="2"/>
  <c r="J1153" i="2"/>
  <c r="J1217" i="2"/>
  <c r="J1273" i="2"/>
  <c r="J1305" i="2"/>
  <c r="J1329" i="2"/>
  <c r="J1337" i="2"/>
  <c r="J1361" i="2"/>
  <c r="J1369" i="2"/>
  <c r="J1457" i="2"/>
  <c r="J1465" i="2"/>
  <c r="J1481" i="2"/>
  <c r="J1513" i="2"/>
  <c r="J1569" i="2"/>
  <c r="J1617" i="2"/>
  <c r="J1633" i="2"/>
  <c r="J1641" i="2"/>
  <c r="J1673" i="2"/>
  <c r="J1681" i="2"/>
  <c r="J1689" i="2"/>
  <c r="J1729" i="2"/>
  <c r="J1737" i="2"/>
  <c r="J1753" i="2"/>
  <c r="J1761" i="2"/>
  <c r="J1769" i="2"/>
  <c r="J1777" i="2"/>
  <c r="J1801" i="2"/>
  <c r="J1809" i="2"/>
  <c r="J1841" i="2"/>
  <c r="J2001" i="2"/>
  <c r="J2057" i="2"/>
  <c r="J2065" i="2"/>
  <c r="J2121" i="2"/>
  <c r="J2137" i="2"/>
  <c r="J2169" i="2"/>
  <c r="J2185" i="2"/>
  <c r="J2201" i="2"/>
  <c r="J2209" i="2"/>
  <c r="J2225" i="2"/>
  <c r="J2241" i="2"/>
  <c r="J2305" i="2"/>
  <c r="J2321" i="2"/>
  <c r="J2353" i="2"/>
  <c r="J2385" i="2"/>
  <c r="J2393" i="2"/>
  <c r="J2409" i="2"/>
  <c r="J2425" i="2"/>
  <c r="J2433" i="2"/>
  <c r="J2489" i="2"/>
  <c r="J2505" i="2"/>
  <c r="J2513" i="2"/>
  <c r="J2553" i="2"/>
  <c r="J2593" i="2"/>
  <c r="J2617" i="2"/>
  <c r="J2633" i="2"/>
  <c r="J2641" i="2"/>
  <c r="J2649" i="2"/>
  <c r="J2657" i="2"/>
  <c r="J2665" i="2"/>
  <c r="J2673" i="2"/>
  <c r="J2681" i="2"/>
  <c r="J2809" i="2"/>
  <c r="J2833" i="2"/>
  <c r="J2865" i="2"/>
  <c r="J2873" i="2"/>
  <c r="J2881" i="2"/>
  <c r="J2897" i="2"/>
  <c r="J2913" i="2"/>
  <c r="J2929" i="2"/>
  <c r="J2945" i="2"/>
  <c r="J2969" i="2"/>
  <c r="J2993" i="2"/>
  <c r="J3009" i="2"/>
  <c r="J3049" i="2"/>
  <c r="J3057" i="2"/>
  <c r="J3065" i="2"/>
  <c r="J3073" i="2"/>
  <c r="J3081" i="2"/>
  <c r="J3097" i="2"/>
  <c r="J3105" i="2"/>
  <c r="J3161" i="2"/>
  <c r="J3169" i="2"/>
  <c r="J3193" i="2"/>
  <c r="J3201" i="2"/>
  <c r="J3209" i="2"/>
  <c r="J3217" i="2"/>
  <c r="J3225" i="2"/>
  <c r="J3233" i="2"/>
  <c r="J3305" i="2"/>
  <c r="J3313" i="2"/>
  <c r="J3369" i="2"/>
  <c r="J3401" i="2"/>
  <c r="J3433" i="2"/>
  <c r="J3457" i="2"/>
  <c r="J3465" i="2"/>
  <c r="J3481" i="2"/>
  <c r="J3497" i="2"/>
  <c r="J3505" i="2"/>
  <c r="J3529" i="2"/>
  <c r="J3537" i="2"/>
  <c r="J3553" i="2"/>
  <c r="J3577" i="2"/>
  <c r="J3593" i="2"/>
  <c r="J3601" i="2"/>
  <c r="J3617" i="2"/>
  <c r="J3657" i="2"/>
  <c r="J3713" i="2"/>
  <c r="J3729" i="2"/>
  <c r="J3761" i="2"/>
  <c r="J3769" i="2"/>
  <c r="J3777" i="2"/>
  <c r="J3785" i="2"/>
  <c r="J3801" i="2"/>
  <c r="J3897" i="2"/>
  <c r="J3953" i="2"/>
  <c r="J3961" i="2"/>
  <c r="J3969" i="2"/>
  <c r="J4001" i="2"/>
  <c r="J4033" i="2"/>
  <c r="J4057" i="2"/>
  <c r="J4097" i="2"/>
  <c r="J4105" i="2"/>
  <c r="J4121" i="2"/>
  <c r="J4129" i="2"/>
  <c r="J4161" i="2"/>
  <c r="J4209" i="2"/>
  <c r="J4233" i="2"/>
  <c r="J4241" i="2"/>
  <c r="J4265" i="2"/>
  <c r="J4273" i="2"/>
  <c r="J4321" i="2"/>
  <c r="J4329" i="2"/>
  <c r="J4337" i="2"/>
  <c r="J4345" i="2"/>
  <c r="J4353" i="2"/>
  <c r="J4385" i="2"/>
  <c r="J4409" i="2"/>
  <c r="J4449" i="2"/>
  <c r="J4457" i="2"/>
  <c r="J4465" i="2"/>
  <c r="J4473" i="2"/>
  <c r="J4505" i="2"/>
  <c r="J4537" i="2"/>
  <c r="J4561" i="2"/>
  <c r="J4609" i="2"/>
  <c r="J4625" i="2"/>
  <c r="J4673" i="2"/>
  <c r="J4697" i="2"/>
  <c r="J4705" i="2"/>
  <c r="J4713" i="2"/>
  <c r="J4737" i="2"/>
  <c r="J4745" i="2"/>
  <c r="J4761" i="2"/>
  <c r="J4825" i="2"/>
  <c r="J4873" i="2"/>
  <c r="J4897" i="2"/>
  <c r="J4905" i="2"/>
  <c r="J4913" i="2"/>
  <c r="J4937" i="2"/>
  <c r="J4961" i="2"/>
  <c r="J5025" i="2"/>
  <c r="J5041" i="2"/>
  <c r="J5065" i="2"/>
  <c r="J5073" i="2"/>
  <c r="J5081" i="2"/>
  <c r="J5113" i="2"/>
  <c r="J5145" i="2"/>
  <c r="J5153" i="2"/>
  <c r="J5177" i="2"/>
  <c r="J5185" i="2"/>
  <c r="J5201" i="2"/>
  <c r="J5209" i="2"/>
  <c r="J5217" i="2"/>
  <c r="J5225" i="2"/>
  <c r="J5241" i="2"/>
  <c r="J5265" i="2"/>
  <c r="J5273" i="2"/>
  <c r="J5289" i="2"/>
  <c r="J5329" i="2"/>
  <c r="J5345" i="2"/>
  <c r="J5377" i="2"/>
  <c r="J5385" i="2"/>
  <c r="J5393" i="2"/>
  <c r="J5401" i="2"/>
  <c r="J5409" i="2"/>
  <c r="J5425" i="2"/>
  <c r="J5449" i="2"/>
  <c r="J5465" i="2"/>
  <c r="J5561" i="2"/>
  <c r="J5601" i="2"/>
  <c r="J5617" i="2"/>
  <c r="J5657" i="2"/>
  <c r="J5665" i="2"/>
  <c r="J5673" i="2"/>
  <c r="J5689" i="2"/>
  <c r="J5713" i="2"/>
  <c r="J5761" i="2"/>
  <c r="J5777" i="2"/>
  <c r="J5801" i="2"/>
  <c r="J5825" i="2"/>
  <c r="J5833" i="2"/>
  <c r="J5849" i="2"/>
  <c r="J5857" i="2"/>
  <c r="J5953" i="2"/>
  <c r="J5993" i="2"/>
  <c r="J6009" i="2"/>
  <c r="J6025" i="2"/>
  <c r="J6049" i="2"/>
  <c r="J6113" i="2"/>
  <c r="J6121" i="2"/>
  <c r="J6257" i="2"/>
  <c r="J6321" i="2"/>
  <c r="J6329" i="2"/>
  <c r="J6345" i="2"/>
  <c r="J6529" i="2"/>
  <c r="J6585" i="2"/>
  <c r="J6593" i="2"/>
  <c r="J6617" i="2"/>
  <c r="J6625" i="2"/>
  <c r="J6633" i="2"/>
  <c r="J6641" i="2"/>
  <c r="J6657" i="2"/>
  <c r="J6673" i="2"/>
  <c r="J6697" i="2"/>
  <c r="J6713" i="2"/>
  <c r="J6729" i="2"/>
  <c r="J6753" i="2"/>
  <c r="J6777" i="2"/>
  <c r="J6801" i="2"/>
  <c r="J6953" i="2"/>
  <c r="J6961" i="2"/>
  <c r="J6969" i="2"/>
  <c r="J6977" i="2"/>
  <c r="J6985" i="2"/>
  <c r="J7049" i="2"/>
  <c r="J7113" i="2"/>
  <c r="J7137" i="2"/>
  <c r="J7169" i="2"/>
  <c r="J7217" i="2"/>
  <c r="J7237" i="2"/>
  <c r="J6955" i="2"/>
  <c r="J7023" i="2"/>
  <c r="J7087" i="2"/>
  <c r="J7267" i="2"/>
  <c r="J5869" i="2"/>
  <c r="J5885" i="2"/>
  <c r="J6149" i="2"/>
  <c r="J6253" i="2"/>
  <c r="J6349" i="2"/>
  <c r="J6413" i="2"/>
  <c r="J6469" i="2"/>
  <c r="J6557" i="2"/>
  <c r="J6573" i="2"/>
  <c r="J6581" i="2"/>
  <c r="J6621" i="2"/>
  <c r="J6629" i="2"/>
  <c r="J6653" i="2"/>
  <c r="J6685" i="2"/>
  <c r="J6701" i="2"/>
  <c r="J6725" i="2"/>
  <c r="J6837" i="2"/>
  <c r="J7229" i="2"/>
  <c r="J7261" i="2"/>
  <c r="J7159" i="2"/>
  <c r="J7287" i="2"/>
  <c r="J5645" i="2"/>
  <c r="J5653" i="2"/>
  <c r="J5661" i="2"/>
  <c r="J5677" i="2"/>
  <c r="J5693" i="2"/>
  <c r="J5781" i="2"/>
  <c r="J5797" i="2"/>
  <c r="J5925" i="2"/>
  <c r="J5989" i="2"/>
  <c r="J6013" i="2"/>
  <c r="J6021" i="2"/>
  <c r="J6029" i="2"/>
  <c r="J6045" i="2"/>
  <c r="J6053" i="2"/>
  <c r="J6085" i="2"/>
  <c r="J6093" i="2"/>
  <c r="J6101" i="2"/>
  <c r="J6117" i="2"/>
  <c r="J6197" i="2"/>
  <c r="J6205" i="2"/>
  <c r="J6261" i="2"/>
  <c r="J6269" i="2"/>
  <c r="J6277" i="2"/>
  <c r="J6285" i="2"/>
  <c r="J6309" i="2"/>
  <c r="J6317" i="2"/>
  <c r="J6341" i="2"/>
  <c r="J6357" i="2"/>
  <c r="J6381" i="2"/>
  <c r="J6397" i="2"/>
  <c r="J6405" i="2"/>
  <c r="J6429" i="2"/>
  <c r="J6437" i="2"/>
  <c r="J6453" i="2"/>
  <c r="J6461" i="2"/>
  <c r="J6477" i="2"/>
  <c r="J6549" i="2"/>
  <c r="J6613" i="2"/>
  <c r="J6805" i="2"/>
  <c r="J6829" i="2"/>
  <c r="J6901" i="2"/>
  <c r="J6933" i="2"/>
  <c r="J6949" i="2"/>
  <c r="J6957" i="2"/>
  <c r="J6965" i="2"/>
  <c r="J6973" i="2"/>
  <c r="J6981" i="2"/>
  <c r="J6989" i="2"/>
  <c r="J7005" i="2"/>
  <c r="J7045" i="2"/>
  <c r="J7077" i="2"/>
  <c r="J7085" i="2"/>
  <c r="J7109" i="2"/>
  <c r="J7121" i="2"/>
  <c r="J7161" i="2"/>
  <c r="J7193" i="2"/>
  <c r="J7245" i="2"/>
  <c r="J7277" i="2"/>
  <c r="J7039" i="2"/>
  <c r="J7131" i="2"/>
  <c r="J7219" i="2"/>
  <c r="J5865" i="2"/>
  <c r="J5897" i="2"/>
  <c r="J6129" i="2"/>
  <c r="J6145" i="2"/>
  <c r="J6185" i="2"/>
  <c r="J6201" i="2"/>
  <c r="J6209" i="2"/>
  <c r="J6217" i="2"/>
  <c r="J6265" i="2"/>
  <c r="J6273" i="2"/>
  <c r="J6281" i="2"/>
  <c r="J6305" i="2"/>
  <c r="J6313" i="2"/>
  <c r="J6337" i="2"/>
  <c r="J6353" i="2"/>
  <c r="J6361" i="2"/>
  <c r="J6369" i="2"/>
  <c r="J6385" i="2"/>
  <c r="J6393" i="2"/>
  <c r="J6401" i="2"/>
  <c r="J6609" i="2"/>
  <c r="J6793" i="2"/>
  <c r="J6817" i="2"/>
  <c r="J7073" i="2"/>
  <c r="J7081" i="2"/>
  <c r="J7105" i="2"/>
  <c r="J7269" i="2"/>
  <c r="J7119" i="2"/>
  <c r="J7143" i="2"/>
  <c r="J4196" i="2"/>
  <c r="I4196" i="2"/>
  <c r="O7632" i="2"/>
  <c r="P7632" i="2"/>
  <c r="O7292" i="2"/>
  <c r="P7292" i="2"/>
  <c r="O7300" i="2"/>
  <c r="P7300" i="2"/>
  <c r="O7308" i="2"/>
  <c r="P7308" i="2"/>
  <c r="O7316" i="2"/>
  <c r="P7316" i="2"/>
  <c r="O7324" i="2"/>
  <c r="P7324" i="2"/>
  <c r="O7332" i="2"/>
  <c r="P7332" i="2"/>
  <c r="O7340" i="2"/>
  <c r="P7340" i="2"/>
  <c r="O7348" i="2"/>
  <c r="P7348" i="2"/>
  <c r="O7356" i="2"/>
  <c r="P7356" i="2"/>
  <c r="O7364" i="2"/>
  <c r="P7364" i="2"/>
  <c r="O7372" i="2"/>
  <c r="P7372" i="2"/>
  <c r="O7380" i="2"/>
  <c r="P7380" i="2"/>
  <c r="O7388" i="2"/>
  <c r="P7388" i="2"/>
  <c r="O7396" i="2"/>
  <c r="P7396" i="2"/>
  <c r="O7404" i="2"/>
  <c r="P7404" i="2"/>
  <c r="O7412" i="2"/>
  <c r="P7412" i="2"/>
  <c r="O7420" i="2"/>
  <c r="P7420" i="2"/>
  <c r="O7428" i="2"/>
  <c r="P7428" i="2"/>
  <c r="O7436" i="2"/>
  <c r="P7436" i="2"/>
  <c r="O7444" i="2"/>
  <c r="P7444" i="2"/>
  <c r="O7452" i="2"/>
  <c r="P7452" i="2"/>
  <c r="O7460" i="2"/>
  <c r="P7460" i="2"/>
  <c r="O7468" i="2"/>
  <c r="P7468" i="2"/>
  <c r="O7476" i="2"/>
  <c r="P7476" i="2"/>
  <c r="O7484" i="2"/>
  <c r="P7484" i="2"/>
  <c r="O7492" i="2"/>
  <c r="P7492" i="2"/>
  <c r="O7500" i="2"/>
  <c r="P7500" i="2"/>
  <c r="O7508" i="2"/>
  <c r="P7508" i="2"/>
  <c r="O7516" i="2"/>
  <c r="P7516" i="2"/>
  <c r="O7524" i="2"/>
  <c r="P7524" i="2"/>
  <c r="O7532" i="2"/>
  <c r="P7532" i="2"/>
  <c r="O7540" i="2"/>
  <c r="P7540" i="2"/>
  <c r="O7548" i="2"/>
  <c r="P7548" i="2"/>
  <c r="O7556" i="2"/>
  <c r="P7556" i="2"/>
  <c r="O7564" i="2"/>
  <c r="P7564" i="2"/>
  <c r="O7572" i="2"/>
  <c r="P7572" i="2"/>
  <c r="O7580" i="2"/>
  <c r="P7580" i="2"/>
  <c r="O7588" i="2"/>
  <c r="P7588" i="2"/>
  <c r="O7596" i="2"/>
  <c r="P7596" i="2"/>
  <c r="O7604" i="2"/>
  <c r="P7604" i="2"/>
  <c r="O7612" i="2"/>
  <c r="P7612" i="2"/>
  <c r="O7620" i="2"/>
  <c r="P7620" i="2"/>
  <c r="O7628" i="2"/>
  <c r="P7628" i="2"/>
  <c r="O7636" i="2"/>
  <c r="P7636" i="2"/>
  <c r="O7644" i="2"/>
  <c r="P7644" i="2"/>
  <c r="O7652" i="2"/>
  <c r="P7652" i="2"/>
  <c r="O7660" i="2"/>
  <c r="P7660" i="2"/>
  <c r="O7668" i="2"/>
  <c r="P7668" i="2"/>
  <c r="O7676" i="2"/>
  <c r="P7676" i="2"/>
  <c r="O7684" i="2"/>
  <c r="P7684" i="2"/>
  <c r="O7692" i="2"/>
  <c r="P7692" i="2"/>
  <c r="O7700" i="2"/>
  <c r="P7700" i="2"/>
  <c r="O7708" i="2"/>
  <c r="P7708" i="2"/>
  <c r="O7716" i="2"/>
  <c r="P7716" i="2"/>
  <c r="O7724" i="2"/>
  <c r="P7724" i="2"/>
  <c r="O7732" i="2"/>
  <c r="P7732" i="2"/>
  <c r="O7740" i="2"/>
  <c r="P7740" i="2"/>
  <c r="O7748" i="2"/>
  <c r="P7748" i="2"/>
  <c r="O7756" i="2"/>
  <c r="P7756" i="2"/>
  <c r="O7764" i="2"/>
  <c r="P7764" i="2"/>
  <c r="O7772" i="2"/>
  <c r="P7772" i="2"/>
  <c r="O7780" i="2"/>
  <c r="P7780" i="2"/>
  <c r="O7788" i="2"/>
  <c r="P7788" i="2"/>
  <c r="O7796" i="2"/>
  <c r="P7796" i="2"/>
  <c r="O7804" i="2"/>
  <c r="P7804" i="2"/>
  <c r="O7812" i="2"/>
  <c r="P7812" i="2"/>
  <c r="O7820" i="2"/>
  <c r="P7820" i="2"/>
  <c r="O7828" i="2"/>
  <c r="P7828" i="2"/>
  <c r="O7836" i="2"/>
  <c r="P7836" i="2"/>
  <c r="O7844" i="2"/>
  <c r="P7844" i="2"/>
  <c r="O7852" i="2"/>
  <c r="P7852" i="2"/>
  <c r="O7860" i="2"/>
  <c r="P7860" i="2"/>
  <c r="O7868" i="2"/>
  <c r="P7868" i="2"/>
  <c r="O7876" i="2"/>
  <c r="P7876" i="2"/>
  <c r="O7884" i="2"/>
  <c r="P7884" i="2"/>
  <c r="O7892" i="2"/>
  <c r="P7892" i="2"/>
  <c r="O7900" i="2"/>
  <c r="P7900" i="2"/>
  <c r="O7908" i="2"/>
  <c r="P7908" i="2"/>
  <c r="O7916" i="2"/>
  <c r="P7916" i="2"/>
  <c r="O7924" i="2"/>
  <c r="P7924" i="2"/>
  <c r="O7932" i="2"/>
  <c r="P7932" i="2"/>
  <c r="O7940" i="2"/>
  <c r="P7940" i="2"/>
  <c r="O7948" i="2"/>
  <c r="P7948" i="2"/>
  <c r="O7956" i="2"/>
  <c r="P7956" i="2"/>
  <c r="O7964" i="2"/>
  <c r="P7964" i="2"/>
  <c r="O7972" i="2"/>
  <c r="P7972" i="2"/>
  <c r="O7980" i="2"/>
  <c r="P7980" i="2"/>
  <c r="O7988" i="2"/>
  <c r="P7988" i="2"/>
  <c r="O7996" i="2"/>
  <c r="P7996" i="2"/>
  <c r="O8004" i="2"/>
  <c r="P8004" i="2"/>
  <c r="O8012" i="2"/>
  <c r="P8012" i="2"/>
  <c r="O8020" i="2"/>
  <c r="P8020" i="2"/>
  <c r="O8028" i="2"/>
  <c r="P8028" i="2"/>
  <c r="O8036" i="2"/>
  <c r="P8036" i="2"/>
  <c r="O8044" i="2"/>
  <c r="P8044" i="2"/>
  <c r="O8052" i="2"/>
  <c r="P8052" i="2"/>
  <c r="O8060" i="2"/>
  <c r="P8060" i="2"/>
  <c r="O8068" i="2"/>
  <c r="P8068" i="2"/>
  <c r="O8076" i="2"/>
  <c r="P8076" i="2"/>
  <c r="O8084" i="2"/>
  <c r="P8084" i="2"/>
  <c r="O8092" i="2"/>
  <c r="P8092" i="2"/>
  <c r="O8100" i="2"/>
  <c r="P8100" i="2"/>
  <c r="O8108" i="2"/>
  <c r="P8108" i="2"/>
  <c r="O8116" i="2"/>
  <c r="P8116" i="2"/>
  <c r="O8124" i="2"/>
  <c r="P8124" i="2"/>
  <c r="O8132" i="2"/>
  <c r="P8132" i="2"/>
  <c r="O8140" i="2"/>
  <c r="P8140" i="2"/>
  <c r="O8148" i="2"/>
  <c r="P8148" i="2"/>
  <c r="O30" i="2"/>
  <c r="P30" i="2"/>
  <c r="O38" i="2"/>
  <c r="P38" i="2"/>
  <c r="O4291" i="2"/>
  <c r="P4291" i="2"/>
  <c r="O62" i="2"/>
  <c r="P62" i="2"/>
  <c r="O4665" i="2"/>
  <c r="P4665" i="2"/>
  <c r="O208" i="2"/>
  <c r="P208" i="2"/>
  <c r="O102" i="2"/>
  <c r="P102" i="2"/>
  <c r="O2156" i="2"/>
  <c r="P2156" i="2"/>
  <c r="O118" i="2"/>
  <c r="P118" i="2"/>
  <c r="O126" i="2"/>
  <c r="P126" i="2"/>
  <c r="O1226" i="2"/>
  <c r="P1226" i="2"/>
  <c r="O6906" i="2"/>
  <c r="P6906" i="2"/>
  <c r="O150" i="2"/>
  <c r="P150" i="2"/>
  <c r="O158" i="2"/>
  <c r="P158" i="2"/>
  <c r="O531" i="2"/>
  <c r="P531" i="2"/>
  <c r="O2318" i="2"/>
  <c r="P2318" i="2"/>
  <c r="O182" i="2"/>
  <c r="P182" i="2"/>
  <c r="O5805" i="2"/>
  <c r="P5805" i="2"/>
  <c r="O214" i="2"/>
  <c r="P214" i="2"/>
  <c r="O230" i="2"/>
  <c r="P230" i="2"/>
  <c r="O5823" i="2"/>
  <c r="P5823" i="2"/>
  <c r="O3051" i="2"/>
  <c r="P3051" i="2"/>
  <c r="O254" i="2"/>
  <c r="P254" i="2"/>
  <c r="O7285" i="2"/>
  <c r="P7285" i="2"/>
  <c r="O558" i="2"/>
  <c r="P558" i="2"/>
  <c r="O302" i="2"/>
  <c r="P302" i="2"/>
  <c r="O310" i="2"/>
  <c r="P310" i="2"/>
  <c r="O342" i="2"/>
  <c r="P342" i="2"/>
  <c r="O2697" i="2"/>
  <c r="P2697" i="2"/>
  <c r="O1444" i="2"/>
  <c r="P1444" i="2"/>
  <c r="O374" i="2"/>
  <c r="P374" i="2"/>
  <c r="O5784" i="2"/>
  <c r="P5784" i="2"/>
  <c r="O390" i="2"/>
  <c r="P390" i="2"/>
  <c r="O398" i="2"/>
  <c r="P398" i="2"/>
  <c r="O406" i="2"/>
  <c r="P406" i="2"/>
  <c r="O414" i="2"/>
  <c r="P414" i="2"/>
  <c r="O1222" i="2"/>
  <c r="P1222" i="2"/>
  <c r="O2217" i="2"/>
  <c r="P2217" i="2"/>
  <c r="O5555" i="2"/>
  <c r="P5555" i="2"/>
  <c r="O6704" i="2"/>
  <c r="P6704" i="2"/>
  <c r="O4779" i="2"/>
  <c r="P4779" i="2"/>
  <c r="O462" i="2"/>
  <c r="P462" i="2"/>
  <c r="O478" i="2"/>
  <c r="P478" i="2"/>
  <c r="O486" i="2"/>
  <c r="P486" i="2"/>
  <c r="O502" i="2"/>
  <c r="P502" i="2"/>
  <c r="O510" i="2"/>
  <c r="P510" i="2"/>
  <c r="O542" i="2"/>
  <c r="P542" i="2"/>
  <c r="O3448" i="2"/>
  <c r="P3448" i="2"/>
  <c r="O566" i="2"/>
  <c r="P566" i="2"/>
  <c r="O1908" i="2"/>
  <c r="P1908" i="2"/>
  <c r="O606" i="2"/>
  <c r="P606" i="2"/>
  <c r="O5347" i="2"/>
  <c r="P5347" i="2"/>
  <c r="O630" i="2"/>
  <c r="P630" i="2"/>
  <c r="O638" i="2"/>
  <c r="P638" i="2"/>
  <c r="O646" i="2"/>
  <c r="P646" i="2"/>
  <c r="O654" i="2"/>
  <c r="P654" i="2"/>
  <c r="O662" i="2"/>
  <c r="P662" i="2"/>
  <c r="O686" i="2"/>
  <c r="P686" i="2"/>
  <c r="O1982" i="2"/>
  <c r="P1982" i="2"/>
  <c r="O718" i="2"/>
  <c r="P718" i="2"/>
  <c r="O4089" i="2"/>
  <c r="P4089" i="2"/>
  <c r="O742" i="2"/>
  <c r="P742" i="2"/>
  <c r="O750" i="2"/>
  <c r="P750" i="2"/>
  <c r="O700" i="2"/>
  <c r="P700" i="2"/>
  <c r="O3200" i="2"/>
  <c r="P3200" i="2"/>
  <c r="O6746" i="2"/>
  <c r="P6746" i="2"/>
  <c r="O790" i="2"/>
  <c r="P790" i="2"/>
  <c r="O798" i="2"/>
  <c r="P798" i="2"/>
  <c r="O806" i="2"/>
  <c r="P806" i="2"/>
  <c r="O39" i="2"/>
  <c r="P39" i="2"/>
  <c r="O862" i="2"/>
  <c r="P862" i="2"/>
  <c r="O43" i="2"/>
  <c r="P43" i="2"/>
  <c r="O910" i="2"/>
  <c r="P910" i="2"/>
  <c r="O950" i="2"/>
  <c r="P950" i="2"/>
  <c r="O5174" i="2"/>
  <c r="P5174" i="2"/>
  <c r="O974" i="2"/>
  <c r="P974" i="2"/>
  <c r="O982" i="2"/>
  <c r="P982" i="2"/>
  <c r="O990" i="2"/>
  <c r="P990" i="2"/>
  <c r="O1006" i="2"/>
  <c r="P1006" i="2"/>
  <c r="O5543" i="2"/>
  <c r="P5543" i="2"/>
  <c r="O6186" i="2"/>
  <c r="P6186" i="2"/>
  <c r="O1038" i="2"/>
  <c r="P1038" i="2"/>
  <c r="O1185" i="2"/>
  <c r="P1185" i="2"/>
  <c r="O747" i="2"/>
  <c r="P747" i="2"/>
  <c r="O1062" i="2"/>
  <c r="P1062" i="2"/>
  <c r="O1078" i="2"/>
  <c r="P1078" i="2"/>
  <c r="O6095" i="2"/>
  <c r="P6095" i="2"/>
  <c r="O4636" i="2"/>
  <c r="P4636" i="2"/>
  <c r="O1110" i="2"/>
  <c r="P1110" i="2"/>
  <c r="O2796" i="2"/>
  <c r="P2796" i="2"/>
  <c r="O1142" i="2"/>
  <c r="P1142" i="2"/>
  <c r="O1158" i="2"/>
  <c r="P1158" i="2"/>
  <c r="O1198" i="2"/>
  <c r="P1198" i="2"/>
  <c r="O1206" i="2"/>
  <c r="P1206" i="2"/>
  <c r="O5932" i="2"/>
  <c r="P5932" i="2"/>
  <c r="O1230" i="2"/>
  <c r="P1230" i="2"/>
  <c r="O1238" i="2"/>
  <c r="P1238" i="2"/>
  <c r="O6155" i="2"/>
  <c r="P6155" i="2"/>
  <c r="O4039" i="2"/>
  <c r="P4039" i="2"/>
  <c r="O1262" i="2"/>
  <c r="P1262" i="2"/>
  <c r="O5628" i="2"/>
  <c r="P5628" i="2"/>
  <c r="O1927" i="2"/>
  <c r="P1927" i="2"/>
  <c r="O1294" i="2"/>
  <c r="P1294" i="2"/>
  <c r="O1302" i="2"/>
  <c r="P1302" i="2"/>
  <c r="O1318" i="2"/>
  <c r="P1318" i="2"/>
  <c r="O5712" i="2"/>
  <c r="P5712" i="2"/>
  <c r="O1358" i="2"/>
  <c r="P1358" i="2"/>
  <c r="O446" i="2"/>
  <c r="P446" i="2"/>
  <c r="O6763" i="2"/>
  <c r="P6763" i="2"/>
  <c r="O1398" i="2"/>
  <c r="P1398" i="2"/>
  <c r="O6873" i="2"/>
  <c r="P6873" i="2"/>
  <c r="O1449" i="2"/>
  <c r="P1449" i="2"/>
  <c r="O1397" i="2"/>
  <c r="P1397" i="2"/>
  <c r="O5140" i="2"/>
  <c r="P5140" i="2"/>
  <c r="O199" i="2"/>
  <c r="P199" i="2"/>
  <c r="O1914" i="2"/>
  <c r="P1914" i="2"/>
  <c r="O1938" i="2"/>
  <c r="P1938" i="2"/>
  <c r="O3870" i="2"/>
  <c r="P3870" i="2"/>
  <c r="O4283" i="2"/>
  <c r="P4283" i="2"/>
  <c r="O1912" i="2"/>
  <c r="P1912" i="2"/>
  <c r="O3539" i="2"/>
  <c r="P3539" i="2"/>
  <c r="O1550" i="2"/>
  <c r="P1550" i="2"/>
  <c r="O385" i="2"/>
  <c r="P385" i="2"/>
  <c r="O2701" i="2"/>
  <c r="P2701" i="2"/>
  <c r="O1638" i="2"/>
  <c r="P1638" i="2"/>
  <c r="O1654" i="2"/>
  <c r="P1654" i="2"/>
  <c r="O1662" i="2"/>
  <c r="P1662" i="2"/>
  <c r="O5808" i="2"/>
  <c r="P5808" i="2"/>
  <c r="O46" i="2"/>
  <c r="P46" i="2"/>
  <c r="O1710" i="2"/>
  <c r="P1710" i="2"/>
  <c r="O6055" i="2"/>
  <c r="P6055" i="2"/>
  <c r="O1742" i="2"/>
  <c r="P1742" i="2"/>
  <c r="O1806" i="2"/>
  <c r="P1806" i="2"/>
  <c r="O1822" i="2"/>
  <c r="P1822" i="2"/>
  <c r="O1854" i="2"/>
  <c r="P1854" i="2"/>
  <c r="O1862" i="2"/>
  <c r="P1862" i="2"/>
  <c r="O2972" i="2"/>
  <c r="P2972" i="2"/>
  <c r="O1886" i="2"/>
  <c r="P1886" i="2"/>
  <c r="O1894" i="2"/>
  <c r="P1894" i="2"/>
  <c r="O1044" i="2"/>
  <c r="P1044" i="2"/>
  <c r="O4767" i="2"/>
  <c r="P4767" i="2"/>
  <c r="O1918" i="2"/>
  <c r="P1918" i="2"/>
  <c r="O1421" i="2"/>
  <c r="P1421" i="2"/>
  <c r="O3726" i="2"/>
  <c r="P3726" i="2"/>
  <c r="O4109" i="2"/>
  <c r="P4109" i="2"/>
  <c r="O1966" i="2"/>
  <c r="P1966" i="2"/>
  <c r="O1974" i="2"/>
  <c r="P1974" i="2"/>
  <c r="O5516" i="2"/>
  <c r="P5516" i="2"/>
  <c r="O2014" i="2"/>
  <c r="P2014" i="2"/>
  <c r="O2046" i="2"/>
  <c r="P2046" i="2"/>
  <c r="O4650" i="2"/>
  <c r="P4650" i="2"/>
  <c r="O2078" i="2"/>
  <c r="P2078" i="2"/>
  <c r="O5951" i="2"/>
  <c r="P5951" i="2"/>
  <c r="O2094" i="2"/>
  <c r="P2094" i="2"/>
  <c r="O4929" i="2"/>
  <c r="P4929" i="2"/>
  <c r="O1537" i="2"/>
  <c r="P1537" i="2"/>
  <c r="O6711" i="2"/>
  <c r="P6711" i="2"/>
  <c r="O2134" i="2"/>
  <c r="P2134" i="2"/>
  <c r="O2142" i="2"/>
  <c r="P2142" i="2"/>
  <c r="O2150" i="2"/>
  <c r="P2150" i="2"/>
  <c r="O6663" i="2"/>
  <c r="P6663" i="2"/>
  <c r="O2198" i="2"/>
  <c r="P2198" i="2"/>
  <c r="O2222" i="2"/>
  <c r="P2222" i="2"/>
  <c r="O5117" i="2"/>
  <c r="P5117" i="2"/>
  <c r="O2254" i="2"/>
  <c r="P2254" i="2"/>
  <c r="O1045" i="2"/>
  <c r="P1045" i="2"/>
  <c r="O4570" i="2"/>
  <c r="P4570" i="2"/>
  <c r="O6241" i="2"/>
  <c r="P6241" i="2"/>
  <c r="O5650" i="2"/>
  <c r="P5650" i="2"/>
  <c r="O3603" i="2"/>
  <c r="P3603" i="2"/>
  <c r="O2310" i="2"/>
  <c r="P2310" i="2"/>
  <c r="O663" i="2"/>
  <c r="P663" i="2"/>
  <c r="O2334" i="2"/>
  <c r="P2334" i="2"/>
  <c r="O2350" i="2"/>
  <c r="P2350" i="2"/>
  <c r="O2358" i="2"/>
  <c r="P2358" i="2"/>
  <c r="O2366" i="2"/>
  <c r="P2366" i="2"/>
  <c r="O2374" i="2"/>
  <c r="P2374" i="2"/>
  <c r="O2811" i="2"/>
  <c r="P2811" i="2"/>
  <c r="O2390" i="2"/>
  <c r="P2390" i="2"/>
  <c r="O5841" i="2"/>
  <c r="P5841" i="2"/>
  <c r="O75" i="2"/>
  <c r="P75" i="2"/>
  <c r="O2717" i="2"/>
  <c r="P2717" i="2"/>
  <c r="O2454" i="2"/>
  <c r="P2454" i="2"/>
  <c r="O364" i="2"/>
  <c r="P364" i="2"/>
  <c r="O2470" i="2"/>
  <c r="P2470" i="2"/>
  <c r="O2494" i="2"/>
  <c r="P2494" i="2"/>
  <c r="O2518" i="2"/>
  <c r="P2518" i="2"/>
  <c r="O2542" i="2"/>
  <c r="P2542" i="2"/>
  <c r="O2558" i="2"/>
  <c r="P2558" i="2"/>
  <c r="O2566" i="2"/>
  <c r="P2566" i="2"/>
  <c r="O2574" i="2"/>
  <c r="P2574" i="2"/>
  <c r="O2582" i="2"/>
  <c r="P2582" i="2"/>
  <c r="O2606" i="2"/>
  <c r="P2606" i="2"/>
  <c r="O6077" i="2"/>
  <c r="P6077" i="2"/>
  <c r="O2654" i="2"/>
  <c r="P2654" i="2"/>
  <c r="O2662" i="2"/>
  <c r="P2662" i="2"/>
  <c r="O7152" i="2"/>
  <c r="P7152" i="2"/>
  <c r="O766" i="2"/>
  <c r="P766" i="2"/>
  <c r="O2702" i="2"/>
  <c r="P2702" i="2"/>
  <c r="O2710" i="2"/>
  <c r="P2710" i="2"/>
  <c r="O4571" i="2"/>
  <c r="P4571" i="2"/>
  <c r="O2726" i="2"/>
  <c r="P2726" i="2"/>
  <c r="O6694" i="2"/>
  <c r="P6694" i="2"/>
  <c r="O5960" i="2"/>
  <c r="P5960" i="2"/>
  <c r="O2750" i="2"/>
  <c r="P2750" i="2"/>
  <c r="O2774" i="2"/>
  <c r="P2774" i="2"/>
  <c r="O5634" i="2"/>
  <c r="P5634" i="2"/>
  <c r="O2798" i="2"/>
  <c r="P2798" i="2"/>
  <c r="O2806" i="2"/>
  <c r="P2806" i="2"/>
  <c r="O1076" i="2"/>
  <c r="P1076" i="2"/>
  <c r="O2830" i="2"/>
  <c r="P2830" i="2"/>
  <c r="O4661" i="2"/>
  <c r="P4661" i="2"/>
  <c r="O2854" i="2"/>
  <c r="P2854" i="2"/>
  <c r="O2870" i="2"/>
  <c r="P2870" i="2"/>
  <c r="O2886" i="2"/>
  <c r="P2886" i="2"/>
  <c r="O2894" i="2"/>
  <c r="P2894" i="2"/>
  <c r="O5428" i="2"/>
  <c r="P5428" i="2"/>
  <c r="O673" i="2"/>
  <c r="P673" i="2"/>
  <c r="O2926" i="2"/>
  <c r="P2926" i="2"/>
  <c r="O2762" i="2"/>
  <c r="P2762" i="2"/>
  <c r="O2950" i="2"/>
  <c r="P2950" i="2"/>
  <c r="O2958" i="2"/>
  <c r="P2958" i="2"/>
  <c r="O2974" i="2"/>
  <c r="P2974" i="2"/>
  <c r="O5545" i="2"/>
  <c r="P5545" i="2"/>
  <c r="O1064" i="2"/>
  <c r="P1064" i="2"/>
  <c r="O3955" i="2"/>
  <c r="P3955" i="2"/>
  <c r="O3728" i="2"/>
  <c r="P3728" i="2"/>
  <c r="O3022" i="2"/>
  <c r="P3022" i="2"/>
  <c r="O3038" i="2"/>
  <c r="P3038" i="2"/>
  <c r="O4593" i="2"/>
  <c r="P4593" i="2"/>
  <c r="O3054" i="2"/>
  <c r="P3054" i="2"/>
  <c r="O3086" i="2"/>
  <c r="P3086" i="2"/>
  <c r="O3094" i="2"/>
  <c r="P3094" i="2"/>
  <c r="O3110" i="2"/>
  <c r="P3110" i="2"/>
  <c r="O3118" i="2"/>
  <c r="P3118" i="2"/>
  <c r="O3126" i="2"/>
  <c r="P3126" i="2"/>
  <c r="O4296" i="2"/>
  <c r="P4296" i="2"/>
  <c r="O3150" i="2"/>
  <c r="P3150" i="2"/>
  <c r="O3158" i="2"/>
  <c r="P3158" i="2"/>
  <c r="O1430" i="2"/>
  <c r="P1430" i="2"/>
  <c r="O4204" i="2"/>
  <c r="P4204" i="2"/>
  <c r="O3182" i="2"/>
  <c r="P3182" i="2"/>
  <c r="O3222" i="2"/>
  <c r="P3222" i="2"/>
  <c r="O2840" i="2"/>
  <c r="P2840" i="2"/>
  <c r="O3238" i="2"/>
  <c r="P3238" i="2"/>
  <c r="O3246" i="2"/>
  <c r="P3246" i="2"/>
  <c r="O3254" i="2"/>
  <c r="P3254" i="2"/>
  <c r="O6639" i="2"/>
  <c r="P6639" i="2"/>
  <c r="O3270" i="2"/>
  <c r="P3270" i="2"/>
  <c r="O3286" i="2"/>
  <c r="P3286" i="2"/>
  <c r="O3294" i="2"/>
  <c r="P3294" i="2"/>
  <c r="O3715" i="2"/>
  <c r="P3715" i="2"/>
  <c r="O3334" i="2"/>
  <c r="P3334" i="2"/>
  <c r="O3342" i="2"/>
  <c r="P3342" i="2"/>
  <c r="O3350" i="2"/>
  <c r="P3350" i="2"/>
  <c r="O6916" i="2"/>
  <c r="P6916" i="2"/>
  <c r="O3366" i="2"/>
  <c r="P3366" i="2"/>
  <c r="O3406" i="2"/>
  <c r="P3406" i="2"/>
  <c r="O90" i="2"/>
  <c r="P90" i="2"/>
  <c r="O3438" i="2"/>
  <c r="P3438" i="2"/>
  <c r="O6059" i="2"/>
  <c r="P6059" i="2"/>
  <c r="O3470" i="2"/>
  <c r="P3470" i="2"/>
  <c r="O3494" i="2"/>
  <c r="P3494" i="2"/>
  <c r="O3526" i="2"/>
  <c r="P3526" i="2"/>
  <c r="O3566" i="2"/>
  <c r="P3566" i="2"/>
  <c r="O3598" i="2"/>
  <c r="P3598" i="2"/>
  <c r="O1950" i="2"/>
  <c r="P1950" i="2"/>
  <c r="O3622" i="2"/>
  <c r="P3622" i="2"/>
  <c r="O3638" i="2"/>
  <c r="P3638" i="2"/>
  <c r="O3646" i="2"/>
  <c r="P3646" i="2"/>
  <c r="O3871" i="2"/>
  <c r="P3871" i="2"/>
  <c r="O6041" i="2"/>
  <c r="P6041" i="2"/>
  <c r="O3670" i="2"/>
  <c r="P3670" i="2"/>
  <c r="O3678" i="2"/>
  <c r="P3678" i="2"/>
  <c r="O6877" i="2"/>
  <c r="P6877" i="2"/>
  <c r="O3694" i="2"/>
  <c r="P3694" i="2"/>
  <c r="O3702" i="2"/>
  <c r="P3702" i="2"/>
  <c r="O2070" i="2"/>
  <c r="P2070" i="2"/>
  <c r="O4154" i="2"/>
  <c r="P4154" i="2"/>
  <c r="O3135" i="2"/>
  <c r="P3135" i="2"/>
  <c r="O3685" i="2"/>
  <c r="P3685" i="2"/>
  <c r="O3790" i="2"/>
  <c r="P3790" i="2"/>
  <c r="O3798" i="2"/>
  <c r="P3798" i="2"/>
  <c r="O3830" i="2"/>
  <c r="P3830" i="2"/>
  <c r="O3838" i="2"/>
  <c r="P3838" i="2"/>
  <c r="O3846" i="2"/>
  <c r="P3846" i="2"/>
  <c r="O3854" i="2"/>
  <c r="P3854" i="2"/>
  <c r="O3862" i="2"/>
  <c r="P3862" i="2"/>
  <c r="O3686" i="2"/>
  <c r="P3686" i="2"/>
  <c r="O6832" i="2"/>
  <c r="P6832" i="2"/>
  <c r="O3886" i="2"/>
  <c r="P3886" i="2"/>
  <c r="O3894" i="2"/>
  <c r="P3894" i="2"/>
  <c r="O4061" i="2"/>
  <c r="P4061" i="2"/>
  <c r="O1193" i="2"/>
  <c r="P1193" i="2"/>
  <c r="O3742" i="2"/>
  <c r="P3742" i="2"/>
  <c r="O3966" i="2"/>
  <c r="P3966" i="2"/>
  <c r="O3974" i="2"/>
  <c r="P3974" i="2"/>
  <c r="O3990" i="2"/>
  <c r="P3990" i="2"/>
  <c r="O4172" i="2"/>
  <c r="P4172" i="2"/>
  <c r="O4006" i="2"/>
  <c r="P4006" i="2"/>
  <c r="O4014" i="2"/>
  <c r="P4014" i="2"/>
  <c r="O3609" i="2"/>
  <c r="P3609" i="2"/>
  <c r="O4030" i="2"/>
  <c r="P4030" i="2"/>
  <c r="O4038" i="2"/>
  <c r="P4038" i="2"/>
  <c r="O3662" i="2"/>
  <c r="P3662" i="2"/>
  <c r="O6722" i="2"/>
  <c r="P6722" i="2"/>
  <c r="O4070" i="2"/>
  <c r="P4070" i="2"/>
  <c r="O3610" i="2"/>
  <c r="P3610" i="2"/>
  <c r="O5441" i="2"/>
  <c r="P5441" i="2"/>
  <c r="O5675" i="2"/>
  <c r="P5675" i="2"/>
  <c r="O5776" i="2"/>
  <c r="P5776" i="2"/>
  <c r="O4142" i="2"/>
  <c r="P4142" i="2"/>
  <c r="O4150" i="2"/>
  <c r="P4150" i="2"/>
  <c r="O4158" i="2"/>
  <c r="P4158" i="2"/>
  <c r="O4166" i="2"/>
  <c r="P4166" i="2"/>
  <c r="O4174" i="2"/>
  <c r="P4174" i="2"/>
  <c r="O4182" i="2"/>
  <c r="P4182" i="2"/>
  <c r="O2688" i="2"/>
  <c r="P2688" i="2"/>
  <c r="O4367" i="2"/>
  <c r="P4367" i="2"/>
  <c r="O4222" i="2"/>
  <c r="P4222" i="2"/>
  <c r="O4270" i="2"/>
  <c r="P4270" i="2"/>
  <c r="O4278" i="2"/>
  <c r="P4278" i="2"/>
  <c r="O4286" i="2"/>
  <c r="P4286" i="2"/>
  <c r="O4302" i="2"/>
  <c r="P4302" i="2"/>
  <c r="O4358" i="2"/>
  <c r="P4358" i="2"/>
  <c r="O769" i="2"/>
  <c r="P769" i="2"/>
  <c r="O4398" i="2"/>
  <c r="P4398" i="2"/>
  <c r="O2764" i="2"/>
  <c r="P2764" i="2"/>
  <c r="O6482" i="2"/>
  <c r="P6482" i="2"/>
  <c r="O4478" i="2"/>
  <c r="P4478" i="2"/>
  <c r="O5454" i="2"/>
  <c r="P5454" i="2"/>
  <c r="O4681" i="2"/>
  <c r="P4681" i="2"/>
  <c r="O4510" i="2"/>
  <c r="P4510" i="2"/>
  <c r="O4518" i="2"/>
  <c r="P4518" i="2"/>
  <c r="O4526" i="2"/>
  <c r="P4526" i="2"/>
  <c r="O4534" i="2"/>
  <c r="P4534" i="2"/>
  <c r="O4542" i="2"/>
  <c r="P4542" i="2"/>
  <c r="O4558" i="2"/>
  <c r="P4558" i="2"/>
  <c r="O2990" i="2"/>
  <c r="P2990" i="2"/>
  <c r="O4574" i="2"/>
  <c r="P4574" i="2"/>
  <c r="O1414" i="2"/>
  <c r="P1414" i="2"/>
  <c r="O4590" i="2"/>
  <c r="P4590" i="2"/>
  <c r="O4867" i="2"/>
  <c r="P4867" i="2"/>
  <c r="O4614" i="2"/>
  <c r="P4614" i="2"/>
  <c r="O2508" i="2"/>
  <c r="P2508" i="2"/>
  <c r="O6304" i="2"/>
  <c r="P6304" i="2"/>
  <c r="O4662" i="2"/>
  <c r="P4662" i="2"/>
  <c r="O2728" i="2"/>
  <c r="P2728" i="2"/>
  <c r="O4710" i="2"/>
  <c r="P4710" i="2"/>
  <c r="O4718" i="2"/>
  <c r="P4718" i="2"/>
  <c r="O4795" i="2"/>
  <c r="P4795" i="2"/>
  <c r="O4734" i="2"/>
  <c r="P4734" i="2"/>
  <c r="O2783" i="2"/>
  <c r="P2783" i="2"/>
  <c r="O4750" i="2"/>
  <c r="P4750" i="2"/>
  <c r="O4774" i="2"/>
  <c r="P4774" i="2"/>
  <c r="O4782" i="2"/>
  <c r="P4782" i="2"/>
  <c r="O7018" i="2"/>
  <c r="P7018" i="2"/>
  <c r="O5054" i="2"/>
  <c r="P5054" i="2"/>
  <c r="O4806" i="2"/>
  <c r="P4806" i="2"/>
  <c r="O6768" i="2"/>
  <c r="P6768" i="2"/>
  <c r="O5927" i="2"/>
  <c r="P5927" i="2"/>
  <c r="O4830" i="2"/>
  <c r="P4830" i="2"/>
  <c r="O3618" i="2"/>
  <c r="P3618" i="2"/>
  <c r="O2120" i="2"/>
  <c r="P2120" i="2"/>
  <c r="O5521" i="2"/>
  <c r="P5521" i="2"/>
  <c r="O5708" i="2"/>
  <c r="P5708" i="2"/>
  <c r="O4878" i="2"/>
  <c r="P4878" i="2"/>
  <c r="O4886" i="2"/>
  <c r="P4886" i="2"/>
  <c r="O1237" i="2"/>
  <c r="P1237" i="2"/>
  <c r="O4942" i="2"/>
  <c r="P4942" i="2"/>
  <c r="O4232" i="2"/>
  <c r="P4232" i="2"/>
  <c r="O4958" i="2"/>
  <c r="P4958" i="2"/>
  <c r="O4966" i="2"/>
  <c r="P4966" i="2"/>
  <c r="O4974" i="2"/>
  <c r="P4974" i="2"/>
  <c r="O4982" i="2"/>
  <c r="P4982" i="2"/>
  <c r="O5899" i="2"/>
  <c r="P5899" i="2"/>
  <c r="O3756" i="2"/>
  <c r="P3756" i="2"/>
  <c r="O3627" i="2"/>
  <c r="P3627" i="2"/>
  <c r="O4175" i="2"/>
  <c r="P4175" i="2"/>
  <c r="O5046" i="2"/>
  <c r="P5046" i="2"/>
  <c r="O6589" i="2"/>
  <c r="P6589" i="2"/>
  <c r="O5086" i="2"/>
  <c r="P5086" i="2"/>
  <c r="O5094" i="2"/>
  <c r="P5094" i="2"/>
  <c r="O469" i="2"/>
  <c r="P469" i="2"/>
  <c r="O5110" i="2"/>
  <c r="P5110" i="2"/>
  <c r="O5072" i="2"/>
  <c r="P5072" i="2"/>
  <c r="O5126" i="2"/>
  <c r="P5126" i="2"/>
  <c r="O5150" i="2"/>
  <c r="P5150" i="2"/>
  <c r="O5158" i="2"/>
  <c r="P5158" i="2"/>
  <c r="O3208" i="2"/>
  <c r="P3208" i="2"/>
  <c r="O1246" i="2"/>
  <c r="P1246" i="2"/>
  <c r="O5198" i="2"/>
  <c r="P5198" i="2"/>
  <c r="O5222" i="2"/>
  <c r="P5222" i="2"/>
  <c r="O5230" i="2"/>
  <c r="P5230" i="2"/>
  <c r="O1491" i="2"/>
  <c r="P1491" i="2"/>
  <c r="O5246" i="2"/>
  <c r="P5246" i="2"/>
  <c r="O5480" i="2"/>
  <c r="P5480" i="2"/>
  <c r="O5294" i="2"/>
  <c r="P5294" i="2"/>
  <c r="O3918" i="2"/>
  <c r="P3918" i="2"/>
  <c r="O5374" i="2"/>
  <c r="P5374" i="2"/>
  <c r="O5422" i="2"/>
  <c r="P5422" i="2"/>
  <c r="O5466" i="2"/>
  <c r="P5466" i="2"/>
  <c r="O7048" i="2"/>
  <c r="P7048" i="2"/>
  <c r="O4582" i="2"/>
  <c r="P4582" i="2"/>
  <c r="O5462" i="2"/>
  <c r="P5462" i="2"/>
  <c r="O5250" i="2"/>
  <c r="P5250" i="2"/>
  <c r="O5478" i="2"/>
  <c r="P5478" i="2"/>
  <c r="O1046" i="2"/>
  <c r="P1046" i="2"/>
  <c r="O5494" i="2"/>
  <c r="P5494" i="2"/>
  <c r="O5502" i="2"/>
  <c r="P5502" i="2"/>
  <c r="O5510" i="2"/>
  <c r="P5510" i="2"/>
  <c r="O2422" i="2"/>
  <c r="P2422" i="2"/>
  <c r="O1547" i="2"/>
  <c r="P1547" i="2"/>
  <c r="O5534" i="2"/>
  <c r="P5534" i="2"/>
  <c r="O1016" i="2"/>
  <c r="P1016" i="2"/>
  <c r="O6483" i="2"/>
  <c r="P6483" i="2"/>
  <c r="O5558" i="2"/>
  <c r="P5558" i="2"/>
  <c r="O5574" i="2"/>
  <c r="P5574" i="2"/>
  <c r="O5582" i="2"/>
  <c r="P5582" i="2"/>
  <c r="O5590" i="2"/>
  <c r="P5590" i="2"/>
  <c r="O5598" i="2"/>
  <c r="P5598" i="2"/>
  <c r="O5606" i="2"/>
  <c r="P5606" i="2"/>
  <c r="O5830" i="2"/>
  <c r="P5830" i="2"/>
  <c r="O5622" i="2"/>
  <c r="P5622" i="2"/>
  <c r="O4577" i="2"/>
  <c r="P4577" i="2"/>
  <c r="O6080" i="2"/>
  <c r="P6080" i="2"/>
  <c r="O5678" i="2"/>
  <c r="P5678" i="2"/>
  <c r="O5694" i="2"/>
  <c r="P5694" i="2"/>
  <c r="O5726" i="2"/>
  <c r="P5726" i="2"/>
  <c r="O5742" i="2"/>
  <c r="P5742" i="2"/>
  <c r="O6092" i="2"/>
  <c r="P6092" i="2"/>
  <c r="O1496" i="2"/>
  <c r="P1496" i="2"/>
  <c r="O5766" i="2"/>
  <c r="P5766" i="2"/>
  <c r="O5774" i="2"/>
  <c r="P5774" i="2"/>
  <c r="O5790" i="2"/>
  <c r="P5790" i="2"/>
  <c r="O6493" i="2"/>
  <c r="P6493" i="2"/>
  <c r="O6599" i="2"/>
  <c r="P6599" i="2"/>
  <c r="O2267" i="2"/>
  <c r="P2267" i="2"/>
  <c r="O5838" i="2"/>
  <c r="P5838" i="2"/>
  <c r="O5695" i="2"/>
  <c r="P5695" i="2"/>
  <c r="O6997" i="2"/>
  <c r="P6997" i="2"/>
  <c r="O3024" i="2"/>
  <c r="P3024" i="2"/>
  <c r="O5902" i="2"/>
  <c r="P5902" i="2"/>
  <c r="O5910" i="2"/>
  <c r="P5910" i="2"/>
  <c r="O5918" i="2"/>
  <c r="P5918" i="2"/>
  <c r="O6335" i="2"/>
  <c r="P6335" i="2"/>
  <c r="O5944" i="2"/>
  <c r="P5944" i="2"/>
  <c r="O2383" i="2"/>
  <c r="P2383" i="2"/>
  <c r="O5950" i="2"/>
  <c r="P5950" i="2"/>
  <c r="O5958" i="2"/>
  <c r="P5958" i="2"/>
  <c r="O408" i="2"/>
  <c r="P408" i="2"/>
  <c r="O5155" i="2"/>
  <c r="P5155" i="2"/>
  <c r="O1521" i="2"/>
  <c r="P1521" i="2"/>
  <c r="O5990" i="2"/>
  <c r="P5990" i="2"/>
  <c r="O2780" i="2"/>
  <c r="P2780" i="2"/>
  <c r="O4797" i="2"/>
  <c r="P4797" i="2"/>
  <c r="O7145" i="2"/>
  <c r="P7145" i="2"/>
  <c r="O6684" i="2"/>
  <c r="P6684" i="2"/>
  <c r="O6054" i="2"/>
  <c r="P6054" i="2"/>
  <c r="O5077" i="2"/>
  <c r="P5077" i="2"/>
  <c r="O6740" i="2"/>
  <c r="P6740" i="2"/>
  <c r="O4741" i="2"/>
  <c r="P4741" i="2"/>
  <c r="O6749" i="2"/>
  <c r="P6749" i="2"/>
  <c r="O6126" i="2"/>
  <c r="P6126" i="2"/>
  <c r="O6134" i="2"/>
  <c r="P6134" i="2"/>
  <c r="O6150" i="2"/>
  <c r="P6150" i="2"/>
  <c r="O6158" i="2"/>
  <c r="P6158" i="2"/>
  <c r="O1552" i="2"/>
  <c r="P1552" i="2"/>
  <c r="O5802" i="2"/>
  <c r="P5802" i="2"/>
  <c r="O2270" i="2"/>
  <c r="P2270" i="2"/>
  <c r="O6198" i="2"/>
  <c r="P6198" i="2"/>
  <c r="O6214" i="2"/>
  <c r="P6214" i="2"/>
  <c r="O6230" i="2"/>
  <c r="P6230" i="2"/>
  <c r="O6246" i="2"/>
  <c r="P6246" i="2"/>
  <c r="O6262" i="2"/>
  <c r="P6262" i="2"/>
  <c r="O6278" i="2"/>
  <c r="P6278" i="2"/>
  <c r="O6294" i="2"/>
  <c r="P6294" i="2"/>
  <c r="O6302" i="2"/>
  <c r="P6302" i="2"/>
  <c r="O6310" i="2"/>
  <c r="P6310" i="2"/>
  <c r="O6326" i="2"/>
  <c r="P6326" i="2"/>
  <c r="O6334" i="2"/>
  <c r="P6334" i="2"/>
  <c r="O189" i="2"/>
  <c r="P189" i="2"/>
  <c r="O6374" i="2"/>
  <c r="P6374" i="2"/>
  <c r="O2802" i="2"/>
  <c r="P2802" i="2"/>
  <c r="O6398" i="2"/>
  <c r="P6398" i="2"/>
  <c r="O4188" i="2"/>
  <c r="P4188" i="2"/>
  <c r="O6438" i="2"/>
  <c r="P6438" i="2"/>
  <c r="O6446" i="2"/>
  <c r="P6446" i="2"/>
  <c r="O6470" i="2"/>
  <c r="P6470" i="2"/>
  <c r="O6705" i="2"/>
  <c r="P6705" i="2"/>
  <c r="O6494" i="2"/>
  <c r="P6494" i="2"/>
  <c r="O1065" i="2"/>
  <c r="P1065" i="2"/>
  <c r="O3048" i="2"/>
  <c r="P3048" i="2"/>
  <c r="O6527" i="2"/>
  <c r="P6527" i="2"/>
  <c r="O3942" i="2"/>
  <c r="P3942" i="2"/>
  <c r="O6534" i="2"/>
  <c r="P6534" i="2"/>
  <c r="O6783" i="2"/>
  <c r="P6783" i="2"/>
  <c r="O4380" i="2"/>
  <c r="P4380" i="2"/>
  <c r="O6566" i="2"/>
  <c r="P6566" i="2"/>
  <c r="O6574" i="2"/>
  <c r="P6574" i="2"/>
  <c r="O2772" i="2"/>
  <c r="P2772" i="2"/>
  <c r="O3654" i="2"/>
  <c r="P3654" i="2"/>
  <c r="O5533" i="2"/>
  <c r="P5533" i="2"/>
  <c r="O6606" i="2"/>
  <c r="P6606" i="2"/>
  <c r="O6638" i="2"/>
  <c r="P6638" i="2"/>
  <c r="O5473" i="2"/>
  <c r="P5473" i="2"/>
  <c r="O6654" i="2"/>
  <c r="P6654" i="2"/>
  <c r="O6670" i="2"/>
  <c r="P6670" i="2"/>
  <c r="O6686" i="2"/>
  <c r="P6686" i="2"/>
  <c r="O1502" i="2"/>
  <c r="P1502" i="2"/>
  <c r="O5084" i="2"/>
  <c r="P5084" i="2"/>
  <c r="O6718" i="2"/>
  <c r="P6718" i="2"/>
  <c r="O3380" i="2"/>
  <c r="P3380" i="2"/>
  <c r="O6734" i="2"/>
  <c r="P6734" i="2"/>
  <c r="O401" i="2"/>
  <c r="P401" i="2"/>
  <c r="O1637" i="2"/>
  <c r="P1637" i="2"/>
  <c r="O4841" i="2"/>
  <c r="P4841" i="2"/>
  <c r="O4408" i="2"/>
  <c r="P4408" i="2"/>
  <c r="O6782" i="2"/>
  <c r="P6782" i="2"/>
  <c r="O6790" i="2"/>
  <c r="P6790" i="2"/>
  <c r="O3032" i="2"/>
  <c r="P3032" i="2"/>
  <c r="O6854" i="2"/>
  <c r="P6854" i="2"/>
  <c r="O6862" i="2"/>
  <c r="P6862" i="2"/>
  <c r="O6870" i="2"/>
  <c r="P6870" i="2"/>
  <c r="O6878" i="2"/>
  <c r="P6878" i="2"/>
  <c r="O3927" i="2"/>
  <c r="P3927" i="2"/>
  <c r="O6612" i="2"/>
  <c r="P6612" i="2"/>
  <c r="O6902" i="2"/>
  <c r="P6902" i="2"/>
  <c r="O6910" i="2"/>
  <c r="P6910" i="2"/>
  <c r="O6918" i="2"/>
  <c r="P6918" i="2"/>
  <c r="O6926" i="2"/>
  <c r="P6926" i="2"/>
  <c r="O6934" i="2"/>
  <c r="P6934" i="2"/>
  <c r="O6974" i="2"/>
  <c r="P6974" i="2"/>
  <c r="O7006" i="2"/>
  <c r="P7006" i="2"/>
  <c r="O7014" i="2"/>
  <c r="P7014" i="2"/>
  <c r="O7022" i="2"/>
  <c r="P7022" i="2"/>
  <c r="O6770" i="2"/>
  <c r="P6770" i="2"/>
  <c r="O4870" i="2"/>
  <c r="P4870" i="2"/>
  <c r="O7062" i="2"/>
  <c r="P7062" i="2"/>
  <c r="O5799" i="2"/>
  <c r="P5799" i="2"/>
  <c r="O7094" i="2"/>
  <c r="P7094" i="2"/>
  <c r="O7118" i="2"/>
  <c r="P7118" i="2"/>
  <c r="O7126" i="2"/>
  <c r="P7126" i="2"/>
  <c r="O7134" i="2"/>
  <c r="P7134" i="2"/>
  <c r="O7142" i="2"/>
  <c r="P7142" i="2"/>
  <c r="O7150" i="2"/>
  <c r="P7150" i="2"/>
  <c r="O7182" i="2"/>
  <c r="P7182" i="2"/>
  <c r="O7190" i="2"/>
  <c r="P7190" i="2"/>
  <c r="O7198" i="2"/>
  <c r="P7198" i="2"/>
  <c r="O7206" i="2"/>
  <c r="P7206" i="2"/>
  <c r="O5836" i="2"/>
  <c r="P5836" i="2"/>
  <c r="O196" i="2"/>
  <c r="P196" i="2"/>
  <c r="O7246" i="2"/>
  <c r="P7246" i="2"/>
  <c r="O7254" i="2"/>
  <c r="P7254" i="2"/>
  <c r="O7286" i="2"/>
  <c r="P7286" i="2"/>
  <c r="O7293" i="2"/>
  <c r="P7293" i="2"/>
  <c r="O7301" i="2"/>
  <c r="P7301" i="2"/>
  <c r="O7309" i="2"/>
  <c r="P7309" i="2"/>
  <c r="O7317" i="2"/>
  <c r="P7317" i="2"/>
  <c r="O7325" i="2"/>
  <c r="P7325" i="2"/>
  <c r="O7333" i="2"/>
  <c r="P7333" i="2"/>
  <c r="O7341" i="2"/>
  <c r="P7341" i="2"/>
  <c r="O7349" i="2"/>
  <c r="P7349" i="2"/>
  <c r="O7357" i="2"/>
  <c r="P7357" i="2"/>
  <c r="O7365" i="2"/>
  <c r="P7365" i="2"/>
  <c r="O7373" i="2"/>
  <c r="P7373" i="2"/>
  <c r="O7381" i="2"/>
  <c r="P7381" i="2"/>
  <c r="O7389" i="2"/>
  <c r="P7389" i="2"/>
  <c r="O7397" i="2"/>
  <c r="P7397" i="2"/>
  <c r="O7405" i="2"/>
  <c r="P7405" i="2"/>
  <c r="O7413" i="2"/>
  <c r="P7413" i="2"/>
  <c r="O7421" i="2"/>
  <c r="P7421" i="2"/>
  <c r="O7429" i="2"/>
  <c r="P7429" i="2"/>
  <c r="O7437" i="2"/>
  <c r="P7437" i="2"/>
  <c r="O7445" i="2"/>
  <c r="P7445" i="2"/>
  <c r="O7453" i="2"/>
  <c r="P7453" i="2"/>
  <c r="O7461" i="2"/>
  <c r="P7461" i="2"/>
  <c r="O7469" i="2"/>
  <c r="P7469" i="2"/>
  <c r="O7477" i="2"/>
  <c r="P7477" i="2"/>
  <c r="O7485" i="2"/>
  <c r="P7485" i="2"/>
  <c r="O7493" i="2"/>
  <c r="P7493" i="2"/>
  <c r="O7501" i="2"/>
  <c r="P7501" i="2"/>
  <c r="O7509" i="2"/>
  <c r="P7509" i="2"/>
  <c r="O7517" i="2"/>
  <c r="P7517" i="2"/>
  <c r="O7525" i="2"/>
  <c r="P7525" i="2"/>
  <c r="O7533" i="2"/>
  <c r="P7533" i="2"/>
  <c r="O7541" i="2"/>
  <c r="P7541" i="2"/>
  <c r="O7549" i="2"/>
  <c r="P7549" i="2"/>
  <c r="O7557" i="2"/>
  <c r="P7557" i="2"/>
  <c r="O7565" i="2"/>
  <c r="P7565" i="2"/>
  <c r="O7573" i="2"/>
  <c r="P7573" i="2"/>
  <c r="O7581" i="2"/>
  <c r="P7581" i="2"/>
  <c r="O7589" i="2"/>
  <c r="P7589" i="2"/>
  <c r="O7597" i="2"/>
  <c r="P7597" i="2"/>
  <c r="O7605" i="2"/>
  <c r="P7605" i="2"/>
  <c r="O7613" i="2"/>
  <c r="P7613" i="2"/>
  <c r="O7621" i="2"/>
  <c r="P7621" i="2"/>
  <c r="O7629" i="2"/>
  <c r="P7629" i="2"/>
  <c r="O7637" i="2"/>
  <c r="P7637" i="2"/>
  <c r="O7645" i="2"/>
  <c r="P7645" i="2"/>
  <c r="O7653" i="2"/>
  <c r="P7653" i="2"/>
  <c r="O7661" i="2"/>
  <c r="P7661" i="2"/>
  <c r="O7669" i="2"/>
  <c r="P7669" i="2"/>
  <c r="O7677" i="2"/>
  <c r="P7677" i="2"/>
  <c r="O7685" i="2"/>
  <c r="P7685" i="2"/>
  <c r="O7693" i="2"/>
  <c r="P7693" i="2"/>
  <c r="O7701" i="2"/>
  <c r="P7701" i="2"/>
  <c r="O7709" i="2"/>
  <c r="P7709" i="2"/>
  <c r="O7717" i="2"/>
  <c r="P7717" i="2"/>
  <c r="O7725" i="2"/>
  <c r="P7725" i="2"/>
  <c r="O7733" i="2"/>
  <c r="P7733" i="2"/>
  <c r="O7741" i="2"/>
  <c r="P7741" i="2"/>
  <c r="O7749" i="2"/>
  <c r="P7749" i="2"/>
  <c r="O7757" i="2"/>
  <c r="P7757" i="2"/>
  <c r="O7765" i="2"/>
  <c r="P7765" i="2"/>
  <c r="O7773" i="2"/>
  <c r="P7773" i="2"/>
  <c r="O7781" i="2"/>
  <c r="P7781" i="2"/>
  <c r="O7789" i="2"/>
  <c r="P7789" i="2"/>
  <c r="O7797" i="2"/>
  <c r="P7797" i="2"/>
  <c r="O7805" i="2"/>
  <c r="P7805" i="2"/>
  <c r="O7813" i="2"/>
  <c r="P7813" i="2"/>
  <c r="O7821" i="2"/>
  <c r="P7821" i="2"/>
  <c r="O7829" i="2"/>
  <c r="P7829" i="2"/>
  <c r="O7837" i="2"/>
  <c r="P7837" i="2"/>
  <c r="O7845" i="2"/>
  <c r="P7845" i="2"/>
  <c r="O7853" i="2"/>
  <c r="P7853" i="2"/>
  <c r="O7861" i="2"/>
  <c r="P7861" i="2"/>
  <c r="O7869" i="2"/>
  <c r="P7869" i="2"/>
  <c r="O7877" i="2"/>
  <c r="P7877" i="2"/>
  <c r="O7885" i="2"/>
  <c r="P7885" i="2"/>
  <c r="O7893" i="2"/>
  <c r="P7893" i="2"/>
  <c r="O7901" i="2"/>
  <c r="P7901" i="2"/>
  <c r="O7909" i="2"/>
  <c r="P7909" i="2"/>
  <c r="O7917" i="2"/>
  <c r="P7917" i="2"/>
  <c r="O7925" i="2"/>
  <c r="P7925" i="2"/>
  <c r="O7933" i="2"/>
  <c r="P7933" i="2"/>
  <c r="O7941" i="2"/>
  <c r="P7941" i="2"/>
  <c r="O7949" i="2"/>
  <c r="P7949" i="2"/>
  <c r="O7957" i="2"/>
  <c r="P7957" i="2"/>
  <c r="O7965" i="2"/>
  <c r="P7965" i="2"/>
  <c r="O7973" i="2"/>
  <c r="P7973" i="2"/>
  <c r="O7981" i="2"/>
  <c r="P7981" i="2"/>
  <c r="O7989" i="2"/>
  <c r="P7989" i="2"/>
  <c r="O7997" i="2"/>
  <c r="P7997" i="2"/>
  <c r="O8005" i="2"/>
  <c r="P8005" i="2"/>
  <c r="O8013" i="2"/>
  <c r="P8013" i="2"/>
  <c r="O8021" i="2"/>
  <c r="P8021" i="2"/>
  <c r="O8029" i="2"/>
  <c r="P8029" i="2"/>
  <c r="O8037" i="2"/>
  <c r="P8037" i="2"/>
  <c r="O8045" i="2"/>
  <c r="P8045" i="2"/>
  <c r="O8053" i="2"/>
  <c r="P8053" i="2"/>
  <c r="O8061" i="2"/>
  <c r="P8061" i="2"/>
  <c r="O8069" i="2"/>
  <c r="P8069" i="2"/>
  <c r="O8077" i="2"/>
  <c r="P8077" i="2"/>
  <c r="O8085" i="2"/>
  <c r="P8085" i="2"/>
  <c r="O8093" i="2"/>
  <c r="P8093" i="2"/>
  <c r="O8101" i="2"/>
  <c r="P8101" i="2"/>
  <c r="O8109" i="2"/>
  <c r="P8109" i="2"/>
  <c r="O8117" i="2"/>
  <c r="P8117" i="2"/>
  <c r="O8125" i="2"/>
  <c r="P8125" i="2"/>
  <c r="O8133" i="2"/>
  <c r="P8133" i="2"/>
  <c r="O8141" i="2"/>
  <c r="P8141" i="2"/>
  <c r="O8149" i="2"/>
  <c r="P8149" i="2"/>
  <c r="O802" i="2"/>
  <c r="P802" i="2"/>
  <c r="O7" i="2"/>
  <c r="P7" i="2"/>
  <c r="O63" i="2"/>
  <c r="P63" i="2"/>
  <c r="O6531" i="2"/>
  <c r="P6531" i="2"/>
  <c r="O535" i="2"/>
  <c r="P535" i="2"/>
  <c r="O1970" i="2"/>
  <c r="P1970" i="2"/>
  <c r="O119" i="2"/>
  <c r="P119" i="2"/>
  <c r="O5978" i="2"/>
  <c r="P5978" i="2"/>
  <c r="O7101" i="2"/>
  <c r="P7101" i="2"/>
  <c r="O159" i="2"/>
  <c r="P159" i="2"/>
  <c r="O4579" i="2"/>
  <c r="P4579" i="2"/>
  <c r="O2320" i="2"/>
  <c r="P2320" i="2"/>
  <c r="O1585" i="2"/>
  <c r="P1585" i="2"/>
  <c r="O6177" i="2"/>
  <c r="P6177" i="2"/>
  <c r="O215" i="2"/>
  <c r="P215" i="2"/>
  <c r="O1113" i="2"/>
  <c r="P1113" i="2"/>
  <c r="O3418" i="2"/>
  <c r="P3418" i="2"/>
  <c r="O5965" i="2"/>
  <c r="P5965" i="2"/>
  <c r="O287" i="2"/>
  <c r="P287" i="2"/>
  <c r="O311" i="2"/>
  <c r="P311" i="2"/>
  <c r="O319" i="2"/>
  <c r="P319" i="2"/>
  <c r="O343" i="2"/>
  <c r="P343" i="2"/>
  <c r="O375" i="2"/>
  <c r="P375" i="2"/>
  <c r="O3174" i="2"/>
  <c r="P3174" i="2"/>
  <c r="O399" i="2"/>
  <c r="P399" i="2"/>
  <c r="O4053" i="2"/>
  <c r="P4053" i="2"/>
  <c r="O1622" i="2"/>
  <c r="P1622" i="2"/>
  <c r="O431" i="2"/>
  <c r="P431" i="2"/>
  <c r="O4845" i="2"/>
  <c r="P4845" i="2"/>
  <c r="O1026" i="2"/>
  <c r="P1026" i="2"/>
  <c r="O479" i="2"/>
  <c r="P479" i="2"/>
  <c r="O519" i="2"/>
  <c r="P519" i="2"/>
  <c r="O6578" i="2"/>
  <c r="P6578" i="2"/>
  <c r="O6442" i="2"/>
  <c r="P6442" i="2"/>
  <c r="O543" i="2"/>
  <c r="P543" i="2"/>
  <c r="O551" i="2"/>
  <c r="P551" i="2"/>
  <c r="O567" i="2"/>
  <c r="P567" i="2"/>
  <c r="O575" i="2"/>
  <c r="P575" i="2"/>
  <c r="O362" i="2"/>
  <c r="P362" i="2"/>
  <c r="O591" i="2"/>
  <c r="P591" i="2"/>
  <c r="O607" i="2"/>
  <c r="P607" i="2"/>
  <c r="O647" i="2"/>
  <c r="P647" i="2"/>
  <c r="O4085" i="2"/>
  <c r="P4085" i="2"/>
  <c r="O671" i="2"/>
  <c r="P671" i="2"/>
  <c r="O5584" i="2"/>
  <c r="P5584" i="2"/>
  <c r="O687" i="2"/>
  <c r="P687" i="2"/>
  <c r="O719" i="2"/>
  <c r="P719" i="2"/>
  <c r="O1979" i="2"/>
  <c r="P1979" i="2"/>
  <c r="O1931" i="2"/>
  <c r="P1931" i="2"/>
  <c r="O799" i="2"/>
  <c r="P799" i="2"/>
  <c r="O807" i="2"/>
  <c r="P807" i="2"/>
  <c r="O3475" i="2"/>
  <c r="P3475" i="2"/>
  <c r="O839" i="2"/>
  <c r="P839" i="2"/>
  <c r="O879" i="2"/>
  <c r="P879" i="2"/>
  <c r="O4471" i="2"/>
  <c r="P4471" i="2"/>
  <c r="O951" i="2"/>
  <c r="P951" i="2"/>
  <c r="O5929" i="2"/>
  <c r="P5929" i="2"/>
  <c r="O975" i="2"/>
  <c r="P975" i="2"/>
  <c r="O991" i="2"/>
  <c r="P991" i="2"/>
  <c r="O1007" i="2"/>
  <c r="P1007" i="2"/>
  <c r="O3666" i="2"/>
  <c r="P3666" i="2"/>
  <c r="O2300" i="2"/>
  <c r="P2300" i="2"/>
  <c r="O5879" i="2"/>
  <c r="P5879" i="2"/>
  <c r="O1115" i="2"/>
  <c r="P1115" i="2"/>
  <c r="O1119" i="2"/>
  <c r="P1119" i="2"/>
  <c r="O6885" i="2"/>
  <c r="P6885" i="2"/>
  <c r="O4874" i="2"/>
  <c r="P4874" i="2"/>
  <c r="O2535" i="2"/>
  <c r="P2535" i="2"/>
  <c r="O1167" i="2"/>
  <c r="P1167" i="2"/>
  <c r="O1175" i="2"/>
  <c r="P1175" i="2"/>
  <c r="O1183" i="2"/>
  <c r="P1183" i="2"/>
  <c r="O2061" i="2"/>
  <c r="P2061" i="2"/>
  <c r="O1207" i="2"/>
  <c r="P1207" i="2"/>
  <c r="O1215" i="2"/>
  <c r="P1215" i="2"/>
  <c r="O2906" i="2"/>
  <c r="P2906" i="2"/>
  <c r="O1255" i="2"/>
  <c r="P1255" i="2"/>
  <c r="O1263" i="2"/>
  <c r="P1263" i="2"/>
  <c r="O1271" i="2"/>
  <c r="P1271" i="2"/>
  <c r="O5024" i="2"/>
  <c r="P5024" i="2"/>
  <c r="O6001" i="2"/>
  <c r="P6001" i="2"/>
  <c r="O1295" i="2"/>
  <c r="P1295" i="2"/>
  <c r="O7084" i="2"/>
  <c r="P7084" i="2"/>
  <c r="O1327" i="2"/>
  <c r="P1327" i="2"/>
  <c r="O1335" i="2"/>
  <c r="P1335" i="2"/>
  <c r="O1359" i="2"/>
  <c r="P1359" i="2"/>
  <c r="O44" i="2"/>
  <c r="P44" i="2"/>
  <c r="O1383" i="2"/>
  <c r="P1383" i="2"/>
  <c r="O2395" i="2"/>
  <c r="P2395" i="2"/>
  <c r="O1452" i="2"/>
  <c r="P1452" i="2"/>
  <c r="O1423" i="2"/>
  <c r="P1423" i="2"/>
  <c r="O1447" i="2"/>
  <c r="P1447" i="2"/>
  <c r="O1495" i="2"/>
  <c r="P1495" i="2"/>
  <c r="O1511" i="2"/>
  <c r="P1511" i="2"/>
  <c r="O1527" i="2"/>
  <c r="P1527" i="2"/>
  <c r="O2130" i="2"/>
  <c r="P2130" i="2"/>
  <c r="O1551" i="2"/>
  <c r="P1551" i="2"/>
  <c r="O5644" i="2"/>
  <c r="P5644" i="2"/>
  <c r="O2220" i="2"/>
  <c r="P2220" i="2"/>
  <c r="O1655" i="2"/>
  <c r="P1655" i="2"/>
  <c r="O1663" i="2"/>
  <c r="P1663" i="2"/>
  <c r="O1679" i="2"/>
  <c r="P1679" i="2"/>
  <c r="O1703" i="2"/>
  <c r="P1703" i="2"/>
  <c r="O1727" i="2"/>
  <c r="P1727" i="2"/>
  <c r="O5563" i="2"/>
  <c r="P5563" i="2"/>
  <c r="O1815" i="2"/>
  <c r="P1815" i="2"/>
  <c r="O1823" i="2"/>
  <c r="P1823" i="2"/>
  <c r="O1855" i="2"/>
  <c r="P1855" i="2"/>
  <c r="O1871" i="2"/>
  <c r="P1871" i="2"/>
  <c r="O2975" i="2"/>
  <c r="P2975" i="2"/>
  <c r="O3818" i="2"/>
  <c r="P3818" i="2"/>
  <c r="O1919" i="2"/>
  <c r="P1919" i="2"/>
  <c r="O2116" i="2"/>
  <c r="P2116" i="2"/>
  <c r="O1943" i="2"/>
  <c r="P1943" i="2"/>
  <c r="O1112" i="2"/>
  <c r="P1112" i="2"/>
  <c r="O1975" i="2"/>
  <c r="P1975" i="2"/>
  <c r="O410" i="2"/>
  <c r="P410" i="2"/>
  <c r="O2015" i="2"/>
  <c r="P2015" i="2"/>
  <c r="O4865" i="2"/>
  <c r="P4865" i="2"/>
  <c r="O2047" i="2"/>
  <c r="P2047" i="2"/>
  <c r="O2071" i="2"/>
  <c r="P2071" i="2"/>
  <c r="O2175" i="2"/>
  <c r="P2175" i="2"/>
  <c r="O2103" i="2"/>
  <c r="P2103" i="2"/>
  <c r="O791" i="2"/>
  <c r="P791" i="2"/>
  <c r="O2135" i="2"/>
  <c r="P2135" i="2"/>
  <c r="O2143" i="2"/>
  <c r="P2143" i="2"/>
  <c r="O3808" i="2"/>
  <c r="P3808" i="2"/>
  <c r="O1920" i="2"/>
  <c r="P1920" i="2"/>
  <c r="O2199" i="2"/>
  <c r="P2199" i="2"/>
  <c r="O2207" i="2"/>
  <c r="P2207" i="2"/>
  <c r="O2239" i="2"/>
  <c r="P2239" i="2"/>
  <c r="O2255" i="2"/>
  <c r="P2255" i="2"/>
  <c r="O2271" i="2"/>
  <c r="P2271" i="2"/>
  <c r="O6937" i="2"/>
  <c r="P6937" i="2"/>
  <c r="O7002" i="2"/>
  <c r="P7002" i="2"/>
  <c r="O2413" i="2"/>
  <c r="P2413" i="2"/>
  <c r="O2335" i="2"/>
  <c r="P2335" i="2"/>
  <c r="O2351" i="2"/>
  <c r="P2351" i="2"/>
  <c r="O2375" i="2"/>
  <c r="P2375" i="2"/>
  <c r="O4559" i="2"/>
  <c r="P4559" i="2"/>
  <c r="O2287" i="2"/>
  <c r="P2287" i="2"/>
  <c r="O2407" i="2"/>
  <c r="P2407" i="2"/>
  <c r="O2718" i="2"/>
  <c r="P2718" i="2"/>
  <c r="O2463" i="2"/>
  <c r="P2463" i="2"/>
  <c r="O1453" i="2"/>
  <c r="P1453" i="2"/>
  <c r="O2495" i="2"/>
  <c r="P2495" i="2"/>
  <c r="O2503" i="2"/>
  <c r="P2503" i="2"/>
  <c r="O2519" i="2"/>
  <c r="P2519" i="2"/>
  <c r="O5004" i="2"/>
  <c r="P5004" i="2"/>
  <c r="O928" i="2"/>
  <c r="P928" i="2"/>
  <c r="O2567" i="2"/>
  <c r="P2567" i="2"/>
  <c r="O2583" i="2"/>
  <c r="P2583" i="2"/>
  <c r="O2599" i="2"/>
  <c r="P2599" i="2"/>
  <c r="O2607" i="2"/>
  <c r="P2607" i="2"/>
  <c r="O3175" i="2"/>
  <c r="P3175" i="2"/>
  <c r="O2671" i="2"/>
  <c r="P2671" i="2"/>
  <c r="O4116" i="2"/>
  <c r="P4116" i="2"/>
  <c r="O5981" i="2"/>
  <c r="P5981" i="2"/>
  <c r="O4008" i="2"/>
  <c r="P4008" i="2"/>
  <c r="O2751" i="2"/>
  <c r="P2751" i="2"/>
  <c r="O2759" i="2"/>
  <c r="P2759" i="2"/>
  <c r="O6712" i="2"/>
  <c r="P6712" i="2"/>
  <c r="O733" i="2"/>
  <c r="P733" i="2"/>
  <c r="O2807" i="2"/>
  <c r="P2807" i="2"/>
  <c r="O2815" i="2"/>
  <c r="P2815" i="2"/>
  <c r="O2823" i="2"/>
  <c r="P2823" i="2"/>
  <c r="O3606" i="2"/>
  <c r="P3606" i="2"/>
  <c r="O2238" i="2"/>
  <c r="P2238" i="2"/>
  <c r="O2855" i="2"/>
  <c r="P2855" i="2"/>
  <c r="O2887" i="2"/>
  <c r="P2887" i="2"/>
  <c r="O2895" i="2"/>
  <c r="P2895" i="2"/>
  <c r="O2903" i="2"/>
  <c r="P2903" i="2"/>
  <c r="O7153" i="2"/>
  <c r="P7153" i="2"/>
  <c r="O5207" i="2"/>
  <c r="P5207" i="2"/>
  <c r="O2959" i="2"/>
  <c r="P2959" i="2"/>
  <c r="O79" i="2"/>
  <c r="P79" i="2"/>
  <c r="O2983" i="2"/>
  <c r="P2983" i="2"/>
  <c r="O2991" i="2"/>
  <c r="P2991" i="2"/>
  <c r="O2999" i="2"/>
  <c r="P2999" i="2"/>
  <c r="O1507" i="2"/>
  <c r="P1507" i="2"/>
  <c r="O939" i="2"/>
  <c r="P939" i="2"/>
  <c r="O2145" i="2"/>
  <c r="P2145" i="2"/>
  <c r="O1303" i="2"/>
  <c r="P1303" i="2"/>
  <c r="O2719" i="2"/>
  <c r="P2719" i="2"/>
  <c r="O3055" i="2"/>
  <c r="P3055" i="2"/>
  <c r="O3087" i="2"/>
  <c r="P3087" i="2"/>
  <c r="O5430" i="2"/>
  <c r="P5430" i="2"/>
  <c r="O1522" i="2"/>
  <c r="P1522" i="2"/>
  <c r="O3127" i="2"/>
  <c r="P3127" i="2"/>
  <c r="O3151" i="2"/>
  <c r="P3151" i="2"/>
  <c r="O650" i="2"/>
  <c r="P650" i="2"/>
  <c r="O2247" i="2"/>
  <c r="P2247" i="2"/>
  <c r="O3191" i="2"/>
  <c r="P3191" i="2"/>
  <c r="O3223" i="2"/>
  <c r="P3223" i="2"/>
  <c r="O2417" i="2"/>
  <c r="P2417" i="2"/>
  <c r="O4580" i="2"/>
  <c r="P4580" i="2"/>
  <c r="O2077" i="2"/>
  <c r="P2077" i="2"/>
  <c r="O3255" i="2"/>
  <c r="P3255" i="2"/>
  <c r="O6030" i="2"/>
  <c r="P6030" i="2"/>
  <c r="O3271" i="2"/>
  <c r="P3271" i="2"/>
  <c r="O3287" i="2"/>
  <c r="P3287" i="2"/>
  <c r="O3319" i="2"/>
  <c r="P3319" i="2"/>
  <c r="O3335" i="2"/>
  <c r="P3335" i="2"/>
  <c r="O3351" i="2"/>
  <c r="P3351" i="2"/>
  <c r="O3375" i="2"/>
  <c r="P3375" i="2"/>
  <c r="O3383" i="2"/>
  <c r="P3383" i="2"/>
  <c r="O3391" i="2"/>
  <c r="P3391" i="2"/>
  <c r="O3415" i="2"/>
  <c r="P3415" i="2"/>
  <c r="O3423" i="2"/>
  <c r="P3423" i="2"/>
  <c r="O3439" i="2"/>
  <c r="P3439" i="2"/>
  <c r="O3917" i="2"/>
  <c r="P3917" i="2"/>
  <c r="O3471" i="2"/>
  <c r="P3471" i="2"/>
  <c r="O3495" i="2"/>
  <c r="P3495" i="2"/>
  <c r="O3503" i="2"/>
  <c r="P3503" i="2"/>
  <c r="O3559" i="2"/>
  <c r="P3559" i="2"/>
  <c r="O3567" i="2"/>
  <c r="P3567" i="2"/>
  <c r="O1024" i="2"/>
  <c r="P1024" i="2"/>
  <c r="O4447" i="2"/>
  <c r="P4447" i="2"/>
  <c r="O3663" i="2"/>
  <c r="P3663" i="2"/>
  <c r="O3671" i="2"/>
  <c r="P3671" i="2"/>
  <c r="O225" i="2"/>
  <c r="P225" i="2"/>
  <c r="O3687" i="2"/>
  <c r="P3687" i="2"/>
  <c r="O5758" i="2"/>
  <c r="P5758" i="2"/>
  <c r="O3719" i="2"/>
  <c r="P3719" i="2"/>
  <c r="O1370" i="2"/>
  <c r="P1370" i="2"/>
  <c r="O3759" i="2"/>
  <c r="P3759" i="2"/>
  <c r="O3791" i="2"/>
  <c r="P3791" i="2"/>
  <c r="O3831" i="2"/>
  <c r="P3831" i="2"/>
  <c r="O3839" i="2"/>
  <c r="P3839" i="2"/>
  <c r="O3847" i="2"/>
  <c r="P3847" i="2"/>
  <c r="O3855" i="2"/>
  <c r="P3855" i="2"/>
  <c r="O240" i="2"/>
  <c r="P240" i="2"/>
  <c r="O300" i="2"/>
  <c r="P300" i="2"/>
  <c r="O2084" i="2"/>
  <c r="P2084" i="2"/>
  <c r="O6545" i="2"/>
  <c r="P6545" i="2"/>
  <c r="O1083" i="2"/>
  <c r="P1083" i="2"/>
  <c r="O216" i="2"/>
  <c r="P216" i="2"/>
  <c r="O3943" i="2"/>
  <c r="P3943" i="2"/>
  <c r="O3975" i="2"/>
  <c r="P3975" i="2"/>
  <c r="O3983" i="2"/>
  <c r="P3983" i="2"/>
  <c r="O3991" i="2"/>
  <c r="P3991" i="2"/>
  <c r="O1111" i="2"/>
  <c r="P1111" i="2"/>
  <c r="O4015" i="2"/>
  <c r="P4015" i="2"/>
  <c r="O2839" i="2"/>
  <c r="P2839" i="2"/>
  <c r="O4031" i="2"/>
  <c r="P4031" i="2"/>
  <c r="O6810" i="2"/>
  <c r="P6810" i="2"/>
  <c r="O2763" i="2"/>
  <c r="P2763" i="2"/>
  <c r="O4299" i="2"/>
  <c r="P4299" i="2"/>
  <c r="O2250" i="2"/>
  <c r="P2250" i="2"/>
  <c r="O4095" i="2"/>
  <c r="P4095" i="2"/>
  <c r="O5017" i="2"/>
  <c r="P5017" i="2"/>
  <c r="O6871" i="2"/>
  <c r="P6871" i="2"/>
  <c r="O6575" i="2"/>
  <c r="P6575" i="2"/>
  <c r="O4167" i="2"/>
  <c r="P4167" i="2"/>
  <c r="O5008" i="2"/>
  <c r="P5008" i="2"/>
  <c r="O4183" i="2"/>
  <c r="P4183" i="2"/>
  <c r="O4191" i="2"/>
  <c r="P4191" i="2"/>
  <c r="O4199" i="2"/>
  <c r="P4199" i="2"/>
  <c r="O2251" i="2"/>
  <c r="P2251" i="2"/>
  <c r="O4215" i="2"/>
  <c r="P4215" i="2"/>
  <c r="O4279" i="2"/>
  <c r="P4279" i="2"/>
  <c r="O2067" i="2"/>
  <c r="P2067" i="2"/>
  <c r="O730" i="2"/>
  <c r="P730" i="2"/>
  <c r="O4311" i="2"/>
  <c r="P4311" i="2"/>
  <c r="O4335" i="2"/>
  <c r="P4335" i="2"/>
  <c r="O6537" i="2"/>
  <c r="P6537" i="2"/>
  <c r="O2256" i="2"/>
  <c r="P2256" i="2"/>
  <c r="O4399" i="2"/>
  <c r="P4399" i="2"/>
  <c r="O6174" i="2"/>
  <c r="P6174" i="2"/>
  <c r="O4431" i="2"/>
  <c r="P4431" i="2"/>
  <c r="O4439" i="2"/>
  <c r="P4439" i="2"/>
  <c r="O5015" i="2"/>
  <c r="P5015" i="2"/>
  <c r="O5964" i="2"/>
  <c r="P5964" i="2"/>
  <c r="O4479" i="2"/>
  <c r="P4479" i="2"/>
  <c r="O5455" i="2"/>
  <c r="P5455" i="2"/>
  <c r="O4511" i="2"/>
  <c r="P4511" i="2"/>
  <c r="O4527" i="2"/>
  <c r="P4527" i="2"/>
  <c r="O4535" i="2"/>
  <c r="P4535" i="2"/>
  <c r="O4543" i="2"/>
  <c r="P4543" i="2"/>
  <c r="O4551" i="2"/>
  <c r="P4551" i="2"/>
  <c r="O5986" i="2"/>
  <c r="P5986" i="2"/>
  <c r="O4575" i="2"/>
  <c r="P4575" i="2"/>
  <c r="O3247" i="2"/>
  <c r="P3247" i="2"/>
  <c r="O4591" i="2"/>
  <c r="P4591" i="2"/>
  <c r="O4615" i="2"/>
  <c r="P4615" i="2"/>
  <c r="O5676" i="2"/>
  <c r="P5676" i="2"/>
  <c r="O4639" i="2"/>
  <c r="P4639" i="2"/>
  <c r="O4647" i="2"/>
  <c r="P4647" i="2"/>
  <c r="O4655" i="2"/>
  <c r="P4655" i="2"/>
  <c r="O676" i="2"/>
  <c r="P676" i="2"/>
  <c r="O1012" i="2"/>
  <c r="P1012" i="2"/>
  <c r="O1393" i="2"/>
  <c r="P1393" i="2"/>
  <c r="O5463" i="2"/>
  <c r="P5463" i="2"/>
  <c r="O2910" i="2"/>
  <c r="P2910" i="2"/>
  <c r="O4743" i="2"/>
  <c r="P4743" i="2"/>
  <c r="O4751" i="2"/>
  <c r="P4751" i="2"/>
  <c r="O463" i="2"/>
  <c r="P463" i="2"/>
  <c r="O4775" i="2"/>
  <c r="P4775" i="2"/>
  <c r="O4783" i="2"/>
  <c r="P4783" i="2"/>
  <c r="O4791" i="2"/>
  <c r="P4791" i="2"/>
  <c r="O5822" i="2"/>
  <c r="P5822" i="2"/>
  <c r="O4823" i="2"/>
  <c r="P4823" i="2"/>
  <c r="O4839" i="2"/>
  <c r="P4839" i="2"/>
  <c r="O5520" i="2"/>
  <c r="P5520" i="2"/>
  <c r="O6889" i="2"/>
  <c r="P6889" i="2"/>
  <c r="O4879" i="2"/>
  <c r="P4879" i="2"/>
  <c r="O4919" i="2"/>
  <c r="P4919" i="2"/>
  <c r="O4927" i="2"/>
  <c r="P4927" i="2"/>
  <c r="O4406" i="2"/>
  <c r="P4406" i="2"/>
  <c r="O4959" i="2"/>
  <c r="P4959" i="2"/>
  <c r="O4257" i="2"/>
  <c r="P4257" i="2"/>
  <c r="O4983" i="2"/>
  <c r="P4983" i="2"/>
  <c r="O4999" i="2"/>
  <c r="P4999" i="2"/>
  <c r="O5023" i="2"/>
  <c r="P5023" i="2"/>
  <c r="O5047" i="2"/>
  <c r="P5047" i="2"/>
  <c r="O5087" i="2"/>
  <c r="P5087" i="2"/>
  <c r="O5103" i="2"/>
  <c r="P5103" i="2"/>
  <c r="O5119" i="2"/>
  <c r="P5119" i="2"/>
  <c r="O5135" i="2"/>
  <c r="P5135" i="2"/>
  <c r="O6731" i="2"/>
  <c r="P6731" i="2"/>
  <c r="O3757" i="2"/>
  <c r="P3757" i="2"/>
  <c r="O5191" i="2"/>
  <c r="P5191" i="2"/>
  <c r="O3852" i="2"/>
  <c r="P3852" i="2"/>
  <c r="O5231" i="2"/>
  <c r="P5231" i="2"/>
  <c r="O1053" i="2"/>
  <c r="P1053" i="2"/>
  <c r="O5279" i="2"/>
  <c r="P5279" i="2"/>
  <c r="O5287" i="2"/>
  <c r="P5287" i="2"/>
  <c r="O1161" i="2"/>
  <c r="P1161" i="2"/>
  <c r="O422" i="2"/>
  <c r="P422" i="2"/>
  <c r="O5343" i="2"/>
  <c r="P5343" i="2"/>
  <c r="O5375" i="2"/>
  <c r="P5375" i="2"/>
  <c r="O5407" i="2"/>
  <c r="P5407" i="2"/>
  <c r="O5415" i="2"/>
  <c r="P5415" i="2"/>
  <c r="O5423" i="2"/>
  <c r="P5423" i="2"/>
  <c r="O5431" i="2"/>
  <c r="P5431" i="2"/>
  <c r="O3797" i="2"/>
  <c r="P3797" i="2"/>
  <c r="O138" i="2"/>
  <c r="P138" i="2"/>
  <c r="O7051" i="2"/>
  <c r="P7051" i="2"/>
  <c r="O4769" i="2"/>
  <c r="P4769" i="2"/>
  <c r="O5495" i="2"/>
  <c r="P5495" i="2"/>
  <c r="O5511" i="2"/>
  <c r="P5511" i="2"/>
  <c r="O6548" i="2"/>
  <c r="P6548" i="2"/>
  <c r="O6417" i="2"/>
  <c r="P6417" i="2"/>
  <c r="O1907" i="2"/>
  <c r="P1907" i="2"/>
  <c r="O5551" i="2"/>
  <c r="P5551" i="2"/>
  <c r="O5559" i="2"/>
  <c r="P5559" i="2"/>
  <c r="O2669" i="2"/>
  <c r="P2669" i="2"/>
  <c r="O3641" i="2"/>
  <c r="P3641" i="2"/>
  <c r="O3188" i="2"/>
  <c r="P3188" i="2"/>
  <c r="O5615" i="2"/>
  <c r="P5615" i="2"/>
  <c r="O5679" i="2"/>
  <c r="P5679" i="2"/>
  <c r="O3134" i="2"/>
  <c r="P3134" i="2"/>
  <c r="O5727" i="2"/>
  <c r="P5727" i="2"/>
  <c r="O5735" i="2"/>
  <c r="P5735" i="2"/>
  <c r="O5743" i="2"/>
  <c r="P5743" i="2"/>
  <c r="O2297" i="2"/>
  <c r="P2297" i="2"/>
  <c r="O5759" i="2"/>
  <c r="P5759" i="2"/>
  <c r="O694" i="2"/>
  <c r="P694" i="2"/>
  <c r="O512" i="2"/>
  <c r="P512" i="2"/>
  <c r="O7070" i="2"/>
  <c r="P7070" i="2"/>
  <c r="O5152" i="2"/>
  <c r="P5152" i="2"/>
  <c r="O6146" i="2"/>
  <c r="P6146" i="2"/>
  <c r="O1092" i="2"/>
  <c r="P1092" i="2"/>
  <c r="O5847" i="2"/>
  <c r="P5847" i="2"/>
  <c r="O5919" i="2"/>
  <c r="P5919" i="2"/>
  <c r="O3737" i="2"/>
  <c r="P3737" i="2"/>
  <c r="O5943" i="2"/>
  <c r="P5943" i="2"/>
  <c r="O3372" i="2"/>
  <c r="P3372" i="2"/>
  <c r="O771" i="2"/>
  <c r="P771" i="2"/>
  <c r="O5991" i="2"/>
  <c r="P5991" i="2"/>
  <c r="O6023" i="2"/>
  <c r="P6023" i="2"/>
  <c r="O4187" i="2"/>
  <c r="P4187" i="2"/>
  <c r="O4207" i="2"/>
  <c r="P4207" i="2"/>
  <c r="O1500" i="2"/>
  <c r="P1500" i="2"/>
  <c r="O2934" i="2"/>
  <c r="P2934" i="2"/>
  <c r="O6742" i="2"/>
  <c r="P6742" i="2"/>
  <c r="O3241" i="2"/>
  <c r="P3241" i="2"/>
  <c r="O5481" i="2"/>
  <c r="P5481" i="2"/>
  <c r="O6103" i="2"/>
  <c r="P6103" i="2"/>
  <c r="O6111" i="2"/>
  <c r="P6111" i="2"/>
  <c r="O6143" i="2"/>
  <c r="P6143" i="2"/>
  <c r="O5318" i="2"/>
  <c r="P5318" i="2"/>
  <c r="O6175" i="2"/>
  <c r="P6175" i="2"/>
  <c r="O6809" i="2"/>
  <c r="P6809" i="2"/>
  <c r="O6215" i="2"/>
  <c r="P6215" i="2"/>
  <c r="O6263" i="2"/>
  <c r="P6263" i="2"/>
  <c r="O6295" i="2"/>
  <c r="P6295" i="2"/>
  <c r="O6303" i="2"/>
  <c r="P6303" i="2"/>
  <c r="O6319" i="2"/>
  <c r="P6319" i="2"/>
  <c r="O177" i="2"/>
  <c r="P177" i="2"/>
  <c r="O6343" i="2"/>
  <c r="P6343" i="2"/>
  <c r="O6375" i="2"/>
  <c r="P6375" i="2"/>
  <c r="O4997" i="2"/>
  <c r="P4997" i="2"/>
  <c r="O6431" i="2"/>
  <c r="P6431" i="2"/>
  <c r="O440" i="2"/>
  <c r="P440" i="2"/>
  <c r="O6447" i="2"/>
  <c r="P6447" i="2"/>
  <c r="O6455" i="2"/>
  <c r="P6455" i="2"/>
  <c r="O6503" i="2"/>
  <c r="P6503" i="2"/>
  <c r="O6511" i="2"/>
  <c r="P6511" i="2"/>
  <c r="O3655" i="2"/>
  <c r="P3655" i="2"/>
  <c r="O6615" i="2"/>
  <c r="P6615" i="2"/>
  <c r="O2678" i="2"/>
  <c r="P2678" i="2"/>
  <c r="O5093" i="2"/>
  <c r="P5093" i="2"/>
  <c r="O6719" i="2"/>
  <c r="P6719" i="2"/>
  <c r="O6751" i="2"/>
  <c r="P6751" i="2"/>
  <c r="O4668" i="2"/>
  <c r="P4668" i="2"/>
  <c r="O3987" i="2"/>
  <c r="P3987" i="2"/>
  <c r="O6815" i="2"/>
  <c r="P6815" i="2"/>
  <c r="O5626" i="2"/>
  <c r="P5626" i="2"/>
  <c r="O6847" i="2"/>
  <c r="P6847" i="2"/>
  <c r="O6895" i="2"/>
  <c r="P6895" i="2"/>
  <c r="O6927" i="2"/>
  <c r="P6927" i="2"/>
  <c r="O6967" i="2"/>
  <c r="P6967" i="2"/>
  <c r="O5996" i="2"/>
  <c r="P5996" i="2"/>
  <c r="O6252" i="2"/>
  <c r="P6252" i="2"/>
  <c r="O7127" i="2"/>
  <c r="P7127" i="2"/>
  <c r="O7183" i="2"/>
  <c r="P7183" i="2"/>
  <c r="O7223" i="2"/>
  <c r="P7223" i="2"/>
  <c r="O7239" i="2"/>
  <c r="P7239" i="2"/>
  <c r="O7263" i="2"/>
  <c r="P7263" i="2"/>
  <c r="O7302" i="2"/>
  <c r="P7302" i="2"/>
  <c r="O7334" i="2"/>
  <c r="P7334" i="2"/>
  <c r="O7366" i="2"/>
  <c r="P7366" i="2"/>
  <c r="O7398" i="2"/>
  <c r="P7398" i="2"/>
  <c r="O7430" i="2"/>
  <c r="P7430" i="2"/>
  <c r="O7462" i="2"/>
  <c r="P7462" i="2"/>
  <c r="O7494" i="2"/>
  <c r="P7494" i="2"/>
  <c r="O7526" i="2"/>
  <c r="P7526" i="2"/>
  <c r="O7558" i="2"/>
  <c r="P7558" i="2"/>
  <c r="O7590" i="2"/>
  <c r="P7590" i="2"/>
  <c r="O7622" i="2"/>
  <c r="P7622" i="2"/>
  <c r="O7654" i="2"/>
  <c r="P7654" i="2"/>
  <c r="O7686" i="2"/>
  <c r="P7686" i="2"/>
  <c r="O7718" i="2"/>
  <c r="P7718" i="2"/>
  <c r="O7750" i="2"/>
  <c r="P7750" i="2"/>
  <c r="O7782" i="2"/>
  <c r="P7782" i="2"/>
  <c r="O7814" i="2"/>
  <c r="P7814" i="2"/>
  <c r="O7846" i="2"/>
  <c r="P7846" i="2"/>
  <c r="O7878" i="2"/>
  <c r="P7878" i="2"/>
  <c r="O7910" i="2"/>
  <c r="P7910" i="2"/>
  <c r="O7942" i="2"/>
  <c r="P7942" i="2"/>
  <c r="O7974" i="2"/>
  <c r="P7974" i="2"/>
  <c r="O8006" i="2"/>
  <c r="P8006" i="2"/>
  <c r="O8038" i="2"/>
  <c r="P8038" i="2"/>
  <c r="O8070" i="2"/>
  <c r="P8070" i="2"/>
  <c r="O8102" i="2"/>
  <c r="P8102" i="2"/>
  <c r="O8134" i="2"/>
  <c r="P8134" i="2"/>
  <c r="O64" i="2"/>
  <c r="P64" i="2"/>
  <c r="O96" i="2"/>
  <c r="P96" i="2"/>
  <c r="O120" i="2"/>
  <c r="P120" i="2"/>
  <c r="O6671" i="2"/>
  <c r="P6671" i="2"/>
  <c r="O7053" i="2"/>
  <c r="P7053" i="2"/>
  <c r="O6859" i="2"/>
  <c r="P6859" i="2"/>
  <c r="O184" i="2"/>
  <c r="P184" i="2"/>
  <c r="O200" i="2"/>
  <c r="P200" i="2"/>
  <c r="O4004" i="2"/>
  <c r="P4004" i="2"/>
  <c r="O614" i="2"/>
  <c r="P614" i="2"/>
  <c r="O3017" i="2"/>
  <c r="P3017" i="2"/>
  <c r="O3173" i="2"/>
  <c r="P3173" i="2"/>
  <c r="O280" i="2"/>
  <c r="P280" i="2"/>
  <c r="O2299" i="2"/>
  <c r="P2299" i="2"/>
  <c r="O5794" i="2"/>
  <c r="P5794" i="2"/>
  <c r="O376" i="2"/>
  <c r="P376" i="2"/>
  <c r="O1884" i="2"/>
  <c r="P1884" i="2"/>
  <c r="O209" i="2"/>
  <c r="P209" i="2"/>
  <c r="O5816" i="2"/>
  <c r="P5816" i="2"/>
  <c r="O416" i="2"/>
  <c r="P416" i="2"/>
  <c r="O3447" i="2"/>
  <c r="P3447" i="2"/>
  <c r="O480" i="2"/>
  <c r="P480" i="2"/>
  <c r="O496" i="2"/>
  <c r="P496" i="2"/>
  <c r="O504" i="2"/>
  <c r="P504" i="2"/>
  <c r="O552" i="2"/>
  <c r="P552" i="2"/>
  <c r="O568" i="2"/>
  <c r="P568" i="2"/>
  <c r="O648" i="2"/>
  <c r="P648" i="2"/>
  <c r="O5032" i="2"/>
  <c r="P5032" i="2"/>
  <c r="O664" i="2"/>
  <c r="P664" i="2"/>
  <c r="O743" i="2"/>
  <c r="P743" i="2"/>
  <c r="O207" i="2"/>
  <c r="P207" i="2"/>
  <c r="O736" i="2"/>
  <c r="P736" i="2"/>
  <c r="O744" i="2"/>
  <c r="P744" i="2"/>
  <c r="O752" i="2"/>
  <c r="P752" i="2"/>
  <c r="O760" i="2"/>
  <c r="P760" i="2"/>
  <c r="O768" i="2"/>
  <c r="P768" i="2"/>
  <c r="O800" i="2"/>
  <c r="P800" i="2"/>
  <c r="O3490" i="2"/>
  <c r="P3490" i="2"/>
  <c r="O840" i="2"/>
  <c r="P840" i="2"/>
  <c r="O824" i="2"/>
  <c r="P824" i="2"/>
  <c r="O872" i="2"/>
  <c r="P872" i="2"/>
  <c r="O7214" i="2"/>
  <c r="P7214" i="2"/>
  <c r="O936" i="2"/>
  <c r="P936" i="2"/>
  <c r="O976" i="2"/>
  <c r="P976" i="2"/>
  <c r="O984" i="2"/>
  <c r="P984" i="2"/>
  <c r="O2698" i="2"/>
  <c r="P2698" i="2"/>
  <c r="O1032" i="2"/>
  <c r="P1032" i="2"/>
  <c r="O1040" i="2"/>
  <c r="P1040" i="2"/>
  <c r="O1048" i="2"/>
  <c r="P1048" i="2"/>
  <c r="O3881" i="2"/>
  <c r="P3881" i="2"/>
  <c r="O6592" i="2"/>
  <c r="P6592" i="2"/>
  <c r="O1096" i="2"/>
  <c r="P1096" i="2"/>
  <c r="O3538" i="2"/>
  <c r="P3538" i="2"/>
  <c r="O5513" i="2"/>
  <c r="P5513" i="2"/>
  <c r="O1144" i="2"/>
  <c r="P1144" i="2"/>
  <c r="O2086" i="2"/>
  <c r="P2086" i="2"/>
  <c r="O1160" i="2"/>
  <c r="P1160" i="2"/>
  <c r="O1168" i="2"/>
  <c r="P1168" i="2"/>
  <c r="O2172" i="2"/>
  <c r="P2172" i="2"/>
  <c r="O1199" i="2"/>
  <c r="P1199" i="2"/>
  <c r="O1256" i="2"/>
  <c r="P1256" i="2"/>
  <c r="O2477" i="2"/>
  <c r="P2477" i="2"/>
  <c r="O1272" i="2"/>
  <c r="P1272" i="2"/>
  <c r="O1231" i="2"/>
  <c r="P1231" i="2"/>
  <c r="O6908" i="2"/>
  <c r="P6908" i="2"/>
  <c r="O1416" i="2"/>
  <c r="P1416" i="2"/>
  <c r="O1424" i="2"/>
  <c r="P1424" i="2"/>
  <c r="O3263" i="2"/>
  <c r="P3263" i="2"/>
  <c r="O1488" i="2"/>
  <c r="P1488" i="2"/>
  <c r="O5175" i="2"/>
  <c r="P5175" i="2"/>
  <c r="O1504" i="2"/>
  <c r="P1504" i="2"/>
  <c r="O1512" i="2"/>
  <c r="P1512" i="2"/>
  <c r="O3740" i="2"/>
  <c r="P3740" i="2"/>
  <c r="O251" i="2"/>
  <c r="P251" i="2"/>
  <c r="O1720" i="2"/>
  <c r="P1720" i="2"/>
  <c r="O1816" i="2"/>
  <c r="P1816" i="2"/>
  <c r="O1824" i="2"/>
  <c r="P1824" i="2"/>
  <c r="O1856" i="2"/>
  <c r="P1856" i="2"/>
  <c r="O1872" i="2"/>
  <c r="P1872" i="2"/>
  <c r="O1880" i="2"/>
  <c r="P1880" i="2"/>
  <c r="O1888" i="2"/>
  <c r="P1888" i="2"/>
  <c r="O4807" i="2"/>
  <c r="P4807" i="2"/>
  <c r="O1928" i="2"/>
  <c r="P1928" i="2"/>
  <c r="O2117" i="2"/>
  <c r="P2117" i="2"/>
  <c r="O1976" i="2"/>
  <c r="P1976" i="2"/>
  <c r="O2024" i="2"/>
  <c r="P2024" i="2"/>
  <c r="O1947" i="2"/>
  <c r="P1947" i="2"/>
  <c r="O2064" i="2"/>
  <c r="P2064" i="2"/>
  <c r="O2096" i="2"/>
  <c r="P2096" i="2"/>
  <c r="O202" i="2"/>
  <c r="P202" i="2"/>
  <c r="O6489" i="2"/>
  <c r="P6489" i="2"/>
  <c r="O2144" i="2"/>
  <c r="P2144" i="2"/>
  <c r="O2200" i="2"/>
  <c r="P2200" i="2"/>
  <c r="O4264" i="2"/>
  <c r="P4264" i="2"/>
  <c r="O2232" i="2"/>
  <c r="P2232" i="2"/>
  <c r="O2240" i="2"/>
  <c r="P2240" i="2"/>
  <c r="O4007" i="2"/>
  <c r="P4007" i="2"/>
  <c r="O3824" i="2"/>
  <c r="P3824" i="2"/>
  <c r="O2264" i="2"/>
  <c r="P2264" i="2"/>
  <c r="O2272" i="2"/>
  <c r="P2272" i="2"/>
  <c r="O2777" i="2"/>
  <c r="P2777" i="2"/>
  <c r="O2288" i="2"/>
  <c r="P2288" i="2"/>
  <c r="O2296" i="2"/>
  <c r="P2296" i="2"/>
  <c r="O2312" i="2"/>
  <c r="P2312" i="2"/>
  <c r="O2336" i="2"/>
  <c r="P2336" i="2"/>
  <c r="O6831" i="2"/>
  <c r="P6831" i="2"/>
  <c r="O2400" i="2"/>
  <c r="P2400" i="2"/>
  <c r="O2416" i="2"/>
  <c r="P2416" i="2"/>
  <c r="O2440" i="2"/>
  <c r="P2440" i="2"/>
  <c r="O2472" i="2"/>
  <c r="P2472" i="2"/>
  <c r="O5924" i="2"/>
  <c r="P5924" i="2"/>
  <c r="O2488" i="2"/>
  <c r="P2488" i="2"/>
  <c r="O78" i="2"/>
  <c r="P78" i="2"/>
  <c r="O2544" i="2"/>
  <c r="P2544" i="2"/>
  <c r="O2568" i="2"/>
  <c r="P2568" i="2"/>
  <c r="O2600" i="2"/>
  <c r="P2600" i="2"/>
  <c r="O2608" i="2"/>
  <c r="P2608" i="2"/>
  <c r="O2632" i="2"/>
  <c r="P2632" i="2"/>
  <c r="O447" i="2"/>
  <c r="P447" i="2"/>
  <c r="O4786" i="2"/>
  <c r="P4786" i="2"/>
  <c r="O2720" i="2"/>
  <c r="P2720" i="2"/>
  <c r="O5982" i="2"/>
  <c r="P5982" i="2"/>
  <c r="O2736" i="2"/>
  <c r="P2736" i="2"/>
  <c r="O1427" i="2"/>
  <c r="P1427" i="2"/>
  <c r="O2816" i="2"/>
  <c r="P2816" i="2"/>
  <c r="O1077" i="2"/>
  <c r="P1077" i="2"/>
  <c r="O7221" i="2"/>
  <c r="P7221" i="2"/>
  <c r="O2904" i="2"/>
  <c r="P2904" i="2"/>
  <c r="O6365" i="2"/>
  <c r="P6365" i="2"/>
  <c r="O4123" i="2"/>
  <c r="P4123" i="2"/>
  <c r="O3120" i="2"/>
  <c r="P3120" i="2"/>
  <c r="O3128" i="2"/>
  <c r="P3128" i="2"/>
  <c r="O3168" i="2"/>
  <c r="P3168" i="2"/>
  <c r="O1082" i="2"/>
  <c r="P1082" i="2"/>
  <c r="O4866" i="2"/>
  <c r="P4866" i="2"/>
  <c r="O3248" i="2"/>
  <c r="P3248" i="2"/>
  <c r="O3256" i="2"/>
  <c r="P3256" i="2"/>
  <c r="O3264" i="2"/>
  <c r="P3264" i="2"/>
  <c r="O3272" i="2"/>
  <c r="P3272" i="2"/>
  <c r="O3280" i="2"/>
  <c r="P3280" i="2"/>
  <c r="O4793" i="2"/>
  <c r="P4793" i="2"/>
  <c r="O2202" i="2"/>
  <c r="P2202" i="2"/>
  <c r="O3304" i="2"/>
  <c r="P3304" i="2"/>
  <c r="O3283" i="2"/>
  <c r="P3283" i="2"/>
  <c r="O449" i="2"/>
  <c r="P449" i="2"/>
  <c r="O3360" i="2"/>
  <c r="P3360" i="2"/>
  <c r="O3827" i="2"/>
  <c r="P3827" i="2"/>
  <c r="O3376" i="2"/>
  <c r="P3376" i="2"/>
  <c r="O3384" i="2"/>
  <c r="P3384" i="2"/>
  <c r="O3408" i="2"/>
  <c r="P3408" i="2"/>
  <c r="O3416" i="2"/>
  <c r="P3416" i="2"/>
  <c r="O3424" i="2"/>
  <c r="P3424" i="2"/>
  <c r="O6570" i="2"/>
  <c r="P6570" i="2"/>
  <c r="O3480" i="2"/>
  <c r="P3480" i="2"/>
  <c r="O3504" i="2"/>
  <c r="P3504" i="2"/>
  <c r="O3520" i="2"/>
  <c r="P3520" i="2"/>
  <c r="O4680" i="2"/>
  <c r="P4680" i="2"/>
  <c r="O3560" i="2"/>
  <c r="P3560" i="2"/>
  <c r="O3904" i="2"/>
  <c r="P3904" i="2"/>
  <c r="O3616" i="2"/>
  <c r="P3616" i="2"/>
  <c r="O3624" i="2"/>
  <c r="P3624" i="2"/>
  <c r="O3632" i="2"/>
  <c r="P3632" i="2"/>
  <c r="O1978" i="2"/>
  <c r="P1978" i="2"/>
  <c r="O3648" i="2"/>
  <c r="P3648" i="2"/>
  <c r="O4642" i="2"/>
  <c r="P4642" i="2"/>
  <c r="O2949" i="2"/>
  <c r="P2949" i="2"/>
  <c r="O1902" i="2"/>
  <c r="P1902" i="2"/>
  <c r="O3696" i="2"/>
  <c r="P3696" i="2"/>
  <c r="O3344" i="2"/>
  <c r="P3344" i="2"/>
  <c r="O5837" i="2"/>
  <c r="P5837" i="2"/>
  <c r="O3889" i="2"/>
  <c r="P3889" i="2"/>
  <c r="O3816" i="2"/>
  <c r="P3816" i="2"/>
  <c r="O236" i="2"/>
  <c r="P236" i="2"/>
  <c r="O3832" i="2"/>
  <c r="P3832" i="2"/>
  <c r="O3848" i="2"/>
  <c r="P3848" i="2"/>
  <c r="O336" i="2"/>
  <c r="P336" i="2"/>
  <c r="O892" i="2"/>
  <c r="P892" i="2"/>
  <c r="O3936" i="2"/>
  <c r="P3936" i="2"/>
  <c r="O3968" i="2"/>
  <c r="P3968" i="2"/>
  <c r="O2847" i="2"/>
  <c r="P2847" i="2"/>
  <c r="O5238" i="2"/>
  <c r="P5238" i="2"/>
  <c r="O4032" i="2"/>
  <c r="P4032" i="2"/>
  <c r="O4048" i="2"/>
  <c r="P4048" i="2"/>
  <c r="O3116" i="2"/>
  <c r="P3116" i="2"/>
  <c r="O4080" i="2"/>
  <c r="P4080" i="2"/>
  <c r="O2081" i="2"/>
  <c r="P2081" i="2"/>
  <c r="O4160" i="2"/>
  <c r="P4160" i="2"/>
  <c r="O4168" i="2"/>
  <c r="P4168" i="2"/>
  <c r="O1071" i="2"/>
  <c r="P1071" i="2"/>
  <c r="O4192" i="2"/>
  <c r="P4192" i="2"/>
  <c r="O2294" i="2"/>
  <c r="P2294" i="2"/>
  <c r="O1375" i="2"/>
  <c r="P1375" i="2"/>
  <c r="O110" i="2"/>
  <c r="P110" i="2"/>
  <c r="O4272" i="2"/>
  <c r="P4272" i="2"/>
  <c r="O4280" i="2"/>
  <c r="P4280" i="2"/>
  <c r="O4288" i="2"/>
  <c r="P4288" i="2"/>
  <c r="O4336" i="2"/>
  <c r="P4336" i="2"/>
  <c r="O4498" i="2"/>
  <c r="P4498" i="2"/>
  <c r="O5242" i="2"/>
  <c r="P5242" i="2"/>
  <c r="O4416" i="2"/>
  <c r="P4416" i="2"/>
  <c r="O4432" i="2"/>
  <c r="P4432" i="2"/>
  <c r="O4440" i="2"/>
  <c r="P4440" i="2"/>
  <c r="O4448" i="2"/>
  <c r="P4448" i="2"/>
  <c r="O4480" i="2"/>
  <c r="P4480" i="2"/>
  <c r="O4504" i="2"/>
  <c r="P4504" i="2"/>
  <c r="O4512" i="2"/>
  <c r="P4512" i="2"/>
  <c r="O4528" i="2"/>
  <c r="P4528" i="2"/>
  <c r="O4536" i="2"/>
  <c r="P4536" i="2"/>
  <c r="O4544" i="2"/>
  <c r="P4544" i="2"/>
  <c r="O4552" i="2"/>
  <c r="P4552" i="2"/>
  <c r="O6765" i="2"/>
  <c r="P6765" i="2"/>
  <c r="O4576" i="2"/>
  <c r="P4576" i="2"/>
  <c r="O4592" i="2"/>
  <c r="P4592" i="2"/>
  <c r="O3153" i="2"/>
  <c r="P3153" i="2"/>
  <c r="O748" i="2"/>
  <c r="P748" i="2"/>
  <c r="O4624" i="2"/>
  <c r="P4624" i="2"/>
  <c r="O5512" i="2"/>
  <c r="P5512" i="2"/>
  <c r="O4664" i="2"/>
  <c r="P4664" i="2"/>
  <c r="O4672" i="2"/>
  <c r="P4672" i="2"/>
  <c r="O792" i="2"/>
  <c r="P792" i="2"/>
  <c r="O4688" i="2"/>
  <c r="P4688" i="2"/>
  <c r="O4704" i="2"/>
  <c r="P4704" i="2"/>
  <c r="O4720" i="2"/>
  <c r="P4720" i="2"/>
  <c r="O4728" i="2"/>
  <c r="P4728" i="2"/>
  <c r="O4744" i="2"/>
  <c r="P4744" i="2"/>
  <c r="O6068" i="2"/>
  <c r="P6068" i="2"/>
  <c r="O4776" i="2"/>
  <c r="P4776" i="2"/>
  <c r="O4784" i="2"/>
  <c r="P4784" i="2"/>
  <c r="O2362" i="2"/>
  <c r="P2362" i="2"/>
  <c r="O4888" i="2"/>
  <c r="P4888" i="2"/>
  <c r="O4928" i="2"/>
  <c r="P4928" i="2"/>
  <c r="O3302" i="2"/>
  <c r="P3302" i="2"/>
  <c r="O4976" i="2"/>
  <c r="P4976" i="2"/>
  <c r="O4984" i="2"/>
  <c r="P4984" i="2"/>
  <c r="O4992" i="2"/>
  <c r="P4992" i="2"/>
  <c r="O5959" i="2"/>
  <c r="P5959" i="2"/>
  <c r="O6728" i="2"/>
  <c r="P6728" i="2"/>
  <c r="O6584" i="2"/>
  <c r="P6584" i="2"/>
  <c r="O3731" i="2"/>
  <c r="P3731" i="2"/>
  <c r="O5080" i="2"/>
  <c r="P5080" i="2"/>
  <c r="O5088" i="2"/>
  <c r="P5088" i="2"/>
  <c r="O5104" i="2"/>
  <c r="P5104" i="2"/>
  <c r="O5128" i="2"/>
  <c r="P5128" i="2"/>
  <c r="O5136" i="2"/>
  <c r="P5136" i="2"/>
  <c r="O5232" i="2"/>
  <c r="P5232" i="2"/>
  <c r="O5240" i="2"/>
  <c r="P5240" i="2"/>
  <c r="O1657" i="2"/>
  <c r="P1657" i="2"/>
  <c r="O5256" i="2"/>
  <c r="P5256" i="2"/>
  <c r="O5304" i="2"/>
  <c r="P5304" i="2"/>
  <c r="O2689" i="2"/>
  <c r="P2689" i="2"/>
  <c r="O5352" i="2"/>
  <c r="P5352" i="2"/>
  <c r="O2136" i="2"/>
  <c r="P2136" i="2"/>
  <c r="O5416" i="2"/>
  <c r="P5416" i="2"/>
  <c r="O5456" i="2"/>
  <c r="P5456" i="2"/>
  <c r="O7122" i="2"/>
  <c r="P7122" i="2"/>
  <c r="O2998" i="2"/>
  <c r="P2998" i="2"/>
  <c r="O5528" i="2"/>
  <c r="P5528" i="2"/>
  <c r="O5552" i="2"/>
  <c r="P5552" i="2"/>
  <c r="O5560" i="2"/>
  <c r="P5560" i="2"/>
  <c r="O5568" i="2"/>
  <c r="P5568" i="2"/>
  <c r="O5616" i="2"/>
  <c r="P5616" i="2"/>
  <c r="O5624" i="2"/>
  <c r="P5624" i="2"/>
  <c r="O582" i="2"/>
  <c r="P582" i="2"/>
  <c r="O5680" i="2"/>
  <c r="P5680" i="2"/>
  <c r="O5696" i="2"/>
  <c r="P5696" i="2"/>
  <c r="O4178" i="2"/>
  <c r="P4178" i="2"/>
  <c r="O5900" i="2"/>
  <c r="P5900" i="2"/>
  <c r="O139" i="2"/>
  <c r="P139" i="2"/>
  <c r="O5728" i="2"/>
  <c r="P5728" i="2"/>
  <c r="O5736" i="2"/>
  <c r="P5736" i="2"/>
  <c r="O2742" i="2"/>
  <c r="P2742" i="2"/>
  <c r="O4313" i="2"/>
  <c r="P4313" i="2"/>
  <c r="O5821" i="2"/>
  <c r="P5821" i="2"/>
  <c r="O1440" i="2"/>
  <c r="P1440" i="2"/>
  <c r="O2520" i="2"/>
  <c r="P2520" i="2"/>
  <c r="O1517" i="2"/>
  <c r="P1517" i="2"/>
  <c r="O5977" i="2"/>
  <c r="P5977" i="2"/>
  <c r="O5872" i="2"/>
  <c r="P5872" i="2"/>
  <c r="O5912" i="2"/>
  <c r="P5912" i="2"/>
  <c r="O4051" i="2"/>
  <c r="P4051" i="2"/>
  <c r="O4071" i="2"/>
  <c r="P4071" i="2"/>
  <c r="O5603" i="2"/>
  <c r="P5603" i="2"/>
  <c r="O5976" i="2"/>
  <c r="P5976" i="2"/>
  <c r="O1394" i="2"/>
  <c r="P1394" i="2"/>
  <c r="O6032" i="2"/>
  <c r="P6032" i="2"/>
  <c r="O166" i="2"/>
  <c r="P166" i="2"/>
  <c r="O5526" i="2"/>
  <c r="P5526" i="2"/>
  <c r="O3016" i="2"/>
  <c r="P3016" i="2"/>
  <c r="O2734" i="2"/>
  <c r="P2734" i="2"/>
  <c r="O6112" i="2"/>
  <c r="P6112" i="2"/>
  <c r="O6144" i="2"/>
  <c r="P6144" i="2"/>
  <c r="O6773" i="2"/>
  <c r="P6773" i="2"/>
  <c r="O6689" i="2"/>
  <c r="P6689" i="2"/>
  <c r="O6248" i="2"/>
  <c r="P6248" i="2"/>
  <c r="O6264" i="2"/>
  <c r="P6264" i="2"/>
  <c r="O179" i="2"/>
  <c r="P179" i="2"/>
  <c r="O6376" i="2"/>
  <c r="P6376" i="2"/>
  <c r="O4838" i="2"/>
  <c r="P4838" i="2"/>
  <c r="O4667" i="2"/>
  <c r="P4667" i="2"/>
  <c r="O6456" i="2"/>
  <c r="P6456" i="2"/>
  <c r="O1224" i="2"/>
  <c r="P1224" i="2"/>
  <c r="O4817" i="2"/>
  <c r="P4817" i="2"/>
  <c r="O2138" i="2"/>
  <c r="P2138" i="2"/>
  <c r="O6568" i="2"/>
  <c r="P6568" i="2"/>
  <c r="O6664" i="2"/>
  <c r="P6664" i="2"/>
  <c r="O1967" i="2"/>
  <c r="P1967" i="2"/>
  <c r="O2424" i="2"/>
  <c r="P2424" i="2"/>
  <c r="O6688" i="2"/>
  <c r="P6688" i="2"/>
  <c r="O3660" i="2"/>
  <c r="P3660" i="2"/>
  <c r="O6736" i="2"/>
  <c r="P6736" i="2"/>
  <c r="O6824" i="2"/>
  <c r="P6824" i="2"/>
  <c r="O4189" i="2"/>
  <c r="P4189" i="2"/>
  <c r="O3184" i="2"/>
  <c r="P3184" i="2"/>
  <c r="O6872" i="2"/>
  <c r="P6872" i="2"/>
  <c r="O6880" i="2"/>
  <c r="P6880" i="2"/>
  <c r="O5789" i="2"/>
  <c r="P5789" i="2"/>
  <c r="O4872" i="2"/>
  <c r="P4872" i="2"/>
  <c r="O2462" i="2"/>
  <c r="P2462" i="2"/>
  <c r="O6960" i="2"/>
  <c r="P6960" i="2"/>
  <c r="O6976" i="2"/>
  <c r="P6976" i="2"/>
  <c r="O7008" i="2"/>
  <c r="P7008" i="2"/>
  <c r="O6423" i="2"/>
  <c r="P6423" i="2"/>
  <c r="O7056" i="2"/>
  <c r="P7056" i="2"/>
  <c r="O7072" i="2"/>
  <c r="P7072" i="2"/>
  <c r="O7104" i="2"/>
  <c r="P7104" i="2"/>
  <c r="O7144" i="2"/>
  <c r="P7144" i="2"/>
  <c r="O6082" i="2"/>
  <c r="P6082" i="2"/>
  <c r="O7176" i="2"/>
  <c r="P7176" i="2"/>
  <c r="O7240" i="2"/>
  <c r="P7240" i="2"/>
  <c r="O7248" i="2"/>
  <c r="P7248" i="2"/>
  <c r="O7256" i="2"/>
  <c r="P7256" i="2"/>
  <c r="O7288" i="2"/>
  <c r="P7288" i="2"/>
  <c r="O7299" i="2"/>
  <c r="P7299" i="2"/>
  <c r="O7307" i="2"/>
  <c r="P7307" i="2"/>
  <c r="O7315" i="2"/>
  <c r="P7315" i="2"/>
  <c r="O7323" i="2"/>
  <c r="P7323" i="2"/>
  <c r="O7331" i="2"/>
  <c r="P7331" i="2"/>
  <c r="O7339" i="2"/>
  <c r="P7339" i="2"/>
  <c r="O7347" i="2"/>
  <c r="P7347" i="2"/>
  <c r="O7355" i="2"/>
  <c r="P7355" i="2"/>
  <c r="O7363" i="2"/>
  <c r="P7363" i="2"/>
  <c r="O7371" i="2"/>
  <c r="P7371" i="2"/>
  <c r="O7379" i="2"/>
  <c r="P7379" i="2"/>
  <c r="O7387" i="2"/>
  <c r="P7387" i="2"/>
  <c r="O7395" i="2"/>
  <c r="P7395" i="2"/>
  <c r="O7403" i="2"/>
  <c r="P7403" i="2"/>
  <c r="O7411" i="2"/>
  <c r="P7411" i="2"/>
  <c r="O7419" i="2"/>
  <c r="P7419" i="2"/>
  <c r="O7427" i="2"/>
  <c r="P7427" i="2"/>
  <c r="O7435" i="2"/>
  <c r="P7435" i="2"/>
  <c r="O7443" i="2"/>
  <c r="P7443" i="2"/>
  <c r="O7451" i="2"/>
  <c r="P7451" i="2"/>
  <c r="O7459" i="2"/>
  <c r="P7459" i="2"/>
  <c r="O7467" i="2"/>
  <c r="P7467" i="2"/>
  <c r="O7475" i="2"/>
  <c r="P7475" i="2"/>
  <c r="O7483" i="2"/>
  <c r="P7483" i="2"/>
  <c r="O7491" i="2"/>
  <c r="P7491" i="2"/>
  <c r="O7499" i="2"/>
  <c r="P7499" i="2"/>
  <c r="O7507" i="2"/>
  <c r="P7507" i="2"/>
  <c r="O7515" i="2"/>
  <c r="P7515" i="2"/>
  <c r="O7523" i="2"/>
  <c r="P7523" i="2"/>
  <c r="O7531" i="2"/>
  <c r="P7531" i="2"/>
  <c r="O7539" i="2"/>
  <c r="P7539" i="2"/>
  <c r="O7547" i="2"/>
  <c r="P7547" i="2"/>
  <c r="O7555" i="2"/>
  <c r="P7555" i="2"/>
  <c r="O7563" i="2"/>
  <c r="P7563" i="2"/>
  <c r="O7571" i="2"/>
  <c r="P7571" i="2"/>
  <c r="O7579" i="2"/>
  <c r="P7579" i="2"/>
  <c r="O7587" i="2"/>
  <c r="P7587" i="2"/>
  <c r="O7595" i="2"/>
  <c r="P7595" i="2"/>
  <c r="O7603" i="2"/>
  <c r="P7603" i="2"/>
  <c r="O7611" i="2"/>
  <c r="P7611" i="2"/>
  <c r="O7619" i="2"/>
  <c r="P7619" i="2"/>
  <c r="O7627" i="2"/>
  <c r="P7627" i="2"/>
  <c r="O7635" i="2"/>
  <c r="P7635" i="2"/>
  <c r="O7643" i="2"/>
  <c r="P7643" i="2"/>
  <c r="O7651" i="2"/>
  <c r="P7651" i="2"/>
  <c r="O7659" i="2"/>
  <c r="P7659" i="2"/>
  <c r="O7667" i="2"/>
  <c r="P7667" i="2"/>
  <c r="O7675" i="2"/>
  <c r="P7675" i="2"/>
  <c r="O7683" i="2"/>
  <c r="P7683" i="2"/>
  <c r="O7691" i="2"/>
  <c r="P7691" i="2"/>
  <c r="O7699" i="2"/>
  <c r="P7699" i="2"/>
  <c r="O7707" i="2"/>
  <c r="P7707" i="2"/>
  <c r="O7715" i="2"/>
  <c r="P7715" i="2"/>
  <c r="O7723" i="2"/>
  <c r="P7723" i="2"/>
  <c r="O7731" i="2"/>
  <c r="P7731" i="2"/>
  <c r="O7739" i="2"/>
  <c r="P7739" i="2"/>
  <c r="O7747" i="2"/>
  <c r="P7747" i="2"/>
  <c r="O7755" i="2"/>
  <c r="P7755" i="2"/>
  <c r="O7763" i="2"/>
  <c r="P7763" i="2"/>
  <c r="O7771" i="2"/>
  <c r="P7771" i="2"/>
  <c r="O7779" i="2"/>
  <c r="P7779" i="2"/>
  <c r="O7787" i="2"/>
  <c r="P7787" i="2"/>
  <c r="O7795" i="2"/>
  <c r="P7795" i="2"/>
  <c r="O7803" i="2"/>
  <c r="P7803" i="2"/>
  <c r="O7811" i="2"/>
  <c r="P7811" i="2"/>
  <c r="O7819" i="2"/>
  <c r="P7819" i="2"/>
  <c r="O7827" i="2"/>
  <c r="P7827" i="2"/>
  <c r="O7835" i="2"/>
  <c r="P7835" i="2"/>
  <c r="O7843" i="2"/>
  <c r="P7843" i="2"/>
  <c r="O7851" i="2"/>
  <c r="P7851" i="2"/>
  <c r="O7859" i="2"/>
  <c r="P7859" i="2"/>
  <c r="O7867" i="2"/>
  <c r="P7867" i="2"/>
  <c r="O7875" i="2"/>
  <c r="P7875" i="2"/>
  <c r="O7883" i="2"/>
  <c r="P7883" i="2"/>
  <c r="O7891" i="2"/>
  <c r="P7891" i="2"/>
  <c r="O7899" i="2"/>
  <c r="P7899" i="2"/>
  <c r="O7907" i="2"/>
  <c r="P7907" i="2"/>
  <c r="O7915" i="2"/>
  <c r="P7915" i="2"/>
  <c r="O7923" i="2"/>
  <c r="P7923" i="2"/>
  <c r="O7931" i="2"/>
  <c r="P7931" i="2"/>
  <c r="O7939" i="2"/>
  <c r="P7939" i="2"/>
  <c r="O7947" i="2"/>
  <c r="P7947" i="2"/>
  <c r="O7955" i="2"/>
  <c r="P7955" i="2"/>
  <c r="O7963" i="2"/>
  <c r="P7963" i="2"/>
  <c r="O7971" i="2"/>
  <c r="P7971" i="2"/>
  <c r="O7979" i="2"/>
  <c r="P7979" i="2"/>
  <c r="O7987" i="2"/>
  <c r="P7987" i="2"/>
  <c r="O7995" i="2"/>
  <c r="P7995" i="2"/>
  <c r="O8003" i="2"/>
  <c r="P8003" i="2"/>
  <c r="O8011" i="2"/>
  <c r="P8011" i="2"/>
  <c r="O8019" i="2"/>
  <c r="P8019" i="2"/>
  <c r="O8027" i="2"/>
  <c r="P8027" i="2"/>
  <c r="O8035" i="2"/>
  <c r="P8035" i="2"/>
  <c r="O8043" i="2"/>
  <c r="P8043" i="2"/>
  <c r="O8051" i="2"/>
  <c r="P8051" i="2"/>
  <c r="O8059" i="2"/>
  <c r="P8059" i="2"/>
  <c r="O8067" i="2"/>
  <c r="P8067" i="2"/>
  <c r="O8075" i="2"/>
  <c r="P8075" i="2"/>
  <c r="O8083" i="2"/>
  <c r="P8083" i="2"/>
  <c r="O8091" i="2"/>
  <c r="P8091" i="2"/>
  <c r="O8099" i="2"/>
  <c r="P8099" i="2"/>
  <c r="O8107" i="2"/>
  <c r="P8107" i="2"/>
  <c r="O8115" i="2"/>
  <c r="P8115" i="2"/>
  <c r="O8123" i="2"/>
  <c r="P8123" i="2"/>
  <c r="O8131" i="2"/>
  <c r="P8131" i="2"/>
  <c r="O8139" i="2"/>
  <c r="P8139" i="2"/>
  <c r="O8147" i="2"/>
  <c r="P8147" i="2"/>
  <c r="O6996" i="2"/>
  <c r="P6996" i="2"/>
  <c r="O655" i="2"/>
  <c r="P655" i="2"/>
  <c r="O77" i="2"/>
  <c r="P77" i="2"/>
  <c r="O350" i="2"/>
  <c r="P350" i="2"/>
  <c r="O101" i="2"/>
  <c r="P101" i="2"/>
  <c r="O557" i="2"/>
  <c r="P557" i="2"/>
  <c r="O117" i="2"/>
  <c r="P117" i="2"/>
  <c r="O1807" i="2"/>
  <c r="P1807" i="2"/>
  <c r="O2756" i="2"/>
  <c r="P2756" i="2"/>
  <c r="O149" i="2"/>
  <c r="P149" i="2"/>
  <c r="O157" i="2"/>
  <c r="P157" i="2"/>
  <c r="O173" i="2"/>
  <c r="P173" i="2"/>
  <c r="O181" i="2"/>
  <c r="P181" i="2"/>
  <c r="O373" i="2"/>
  <c r="P373" i="2"/>
  <c r="O1848" i="2"/>
  <c r="P1848" i="2"/>
  <c r="O3946" i="2"/>
  <c r="P3946" i="2"/>
  <c r="O245" i="2"/>
  <c r="P245" i="2"/>
  <c r="O6590" i="2"/>
  <c r="P6590" i="2"/>
  <c r="O349" i="2"/>
  <c r="P349" i="2"/>
  <c r="O5845" i="2"/>
  <c r="P5845" i="2"/>
  <c r="O2768" i="2"/>
  <c r="P2768" i="2"/>
  <c r="O1683" i="2"/>
  <c r="P1683" i="2"/>
  <c r="O5579" i="2"/>
  <c r="P5579" i="2"/>
  <c r="O413" i="2"/>
  <c r="P413" i="2"/>
  <c r="O1835" i="2"/>
  <c r="P1835" i="2"/>
  <c r="O6772" i="2"/>
  <c r="P6772" i="2"/>
  <c r="O4565" i="2"/>
  <c r="P4565" i="2"/>
  <c r="O477" i="2"/>
  <c r="P477" i="2"/>
  <c r="O525" i="2"/>
  <c r="P525" i="2"/>
  <c r="O565" i="2"/>
  <c r="P565" i="2"/>
  <c r="O4566" i="2"/>
  <c r="P4566" i="2"/>
  <c r="O645" i="2"/>
  <c r="P645" i="2"/>
  <c r="O669" i="2"/>
  <c r="P669" i="2"/>
  <c r="O1878" i="2"/>
  <c r="P1878" i="2"/>
  <c r="O685" i="2"/>
  <c r="P685" i="2"/>
  <c r="O701" i="2"/>
  <c r="P701" i="2"/>
  <c r="O5009" i="2"/>
  <c r="P5009" i="2"/>
  <c r="O741" i="2"/>
  <c r="P741" i="2"/>
  <c r="O2306" i="2"/>
  <c r="P2306" i="2"/>
  <c r="O757" i="2"/>
  <c r="P757" i="2"/>
  <c r="O789" i="2"/>
  <c r="P789" i="2"/>
  <c r="O805" i="2"/>
  <c r="P805" i="2"/>
  <c r="O853" i="2"/>
  <c r="P853" i="2"/>
  <c r="O861" i="2"/>
  <c r="P861" i="2"/>
  <c r="O949" i="2"/>
  <c r="P949" i="2"/>
  <c r="O5707" i="2"/>
  <c r="P5707" i="2"/>
  <c r="O981" i="2"/>
  <c r="P981" i="2"/>
  <c r="O989" i="2"/>
  <c r="P989" i="2"/>
  <c r="O1981" i="2"/>
  <c r="P1981" i="2"/>
  <c r="O1005" i="2"/>
  <c r="P1005" i="2"/>
  <c r="O1037" i="2"/>
  <c r="P1037" i="2"/>
  <c r="O2471" i="2"/>
  <c r="P2471" i="2"/>
  <c r="O938" i="2"/>
  <c r="P938" i="2"/>
  <c r="O1313" i="2"/>
  <c r="P1313" i="2"/>
  <c r="O1101" i="2"/>
  <c r="P1101" i="2"/>
  <c r="O1157" i="2"/>
  <c r="P1157" i="2"/>
  <c r="O1181" i="2"/>
  <c r="P1181" i="2"/>
  <c r="O1205" i="2"/>
  <c r="P1205" i="2"/>
  <c r="O1221" i="2"/>
  <c r="P1221" i="2"/>
  <c r="O6518" i="2"/>
  <c r="P6518" i="2"/>
  <c r="O1390" i="2"/>
  <c r="P1390" i="2"/>
  <c r="O1245" i="2"/>
  <c r="P1245" i="2"/>
  <c r="O4854" i="2"/>
  <c r="P4854" i="2"/>
  <c r="O1341" i="2"/>
  <c r="P1341" i="2"/>
  <c r="O6071" i="2"/>
  <c r="P6071" i="2"/>
  <c r="O7019" i="2"/>
  <c r="P7019" i="2"/>
  <c r="O1445" i="2"/>
  <c r="P1445" i="2"/>
  <c r="O4868" i="2"/>
  <c r="P4868" i="2"/>
  <c r="O489" i="2"/>
  <c r="P489" i="2"/>
  <c r="O1509" i="2"/>
  <c r="P1509" i="2"/>
  <c r="O1589" i="2"/>
  <c r="P1589" i="2"/>
  <c r="O2776" i="2"/>
  <c r="P2776" i="2"/>
  <c r="O1605" i="2"/>
  <c r="P1605" i="2"/>
  <c r="O1656" i="2"/>
  <c r="P1656" i="2"/>
  <c r="O1629" i="2"/>
  <c r="P1629" i="2"/>
  <c r="O1653" i="2"/>
  <c r="P1653" i="2"/>
  <c r="O1677" i="2"/>
  <c r="P1677" i="2"/>
  <c r="O1717" i="2"/>
  <c r="P1717" i="2"/>
  <c r="O4103" i="2"/>
  <c r="P4103" i="2"/>
  <c r="O1845" i="2"/>
  <c r="P1845" i="2"/>
  <c r="O1853" i="2"/>
  <c r="P1853" i="2"/>
  <c r="O1861" i="2"/>
  <c r="P1861" i="2"/>
  <c r="O1869" i="2"/>
  <c r="P1869" i="2"/>
  <c r="O1867" i="2"/>
  <c r="P1867" i="2"/>
  <c r="O1885" i="2"/>
  <c r="P1885" i="2"/>
  <c r="O1893" i="2"/>
  <c r="P1893" i="2"/>
  <c r="O6747" i="2"/>
  <c r="P6747" i="2"/>
  <c r="O1909" i="2"/>
  <c r="P1909" i="2"/>
  <c r="O1925" i="2"/>
  <c r="P1925" i="2"/>
  <c r="O1941" i="2"/>
  <c r="P1941" i="2"/>
  <c r="O3307" i="2"/>
  <c r="P3307" i="2"/>
  <c r="O5649" i="2"/>
  <c r="P5649" i="2"/>
  <c r="O1965" i="2"/>
  <c r="P1965" i="2"/>
  <c r="O6940" i="2"/>
  <c r="P6940" i="2"/>
  <c r="O2100" i="2"/>
  <c r="P2100" i="2"/>
  <c r="O6656" i="2"/>
  <c r="P6656" i="2"/>
  <c r="O1971" i="2"/>
  <c r="P1971" i="2"/>
  <c r="O2093" i="2"/>
  <c r="P2093" i="2"/>
  <c r="O2101" i="2"/>
  <c r="P2101" i="2"/>
  <c r="O2109" i="2"/>
  <c r="P2109" i="2"/>
  <c r="O6298" i="2"/>
  <c r="P6298" i="2"/>
  <c r="O2141" i="2"/>
  <c r="P2141" i="2"/>
  <c r="O4986" i="2"/>
  <c r="P4986" i="2"/>
  <c r="O6848" i="2"/>
  <c r="P6848" i="2"/>
  <c r="O1505" i="2"/>
  <c r="P1505" i="2"/>
  <c r="O2197" i="2"/>
  <c r="P2197" i="2"/>
  <c r="O2253" i="2"/>
  <c r="P2253" i="2"/>
  <c r="O6876" i="2"/>
  <c r="P6876" i="2"/>
  <c r="O2285" i="2"/>
  <c r="P2285" i="2"/>
  <c r="O5569" i="2"/>
  <c r="P5569" i="2"/>
  <c r="O1296" i="2"/>
  <c r="P1296" i="2"/>
  <c r="O2333" i="2"/>
  <c r="P2333" i="2"/>
  <c r="O2349" i="2"/>
  <c r="P2349" i="2"/>
  <c r="O6554" i="2"/>
  <c r="P6554" i="2"/>
  <c r="O4857" i="2"/>
  <c r="P4857" i="2"/>
  <c r="O3745" i="2"/>
  <c r="P3745" i="2"/>
  <c r="O2712" i="2"/>
  <c r="P2712" i="2"/>
  <c r="O2445" i="2"/>
  <c r="P2445" i="2"/>
  <c r="O2453" i="2"/>
  <c r="P2453" i="2"/>
  <c r="O2461" i="2"/>
  <c r="P2461" i="2"/>
  <c r="O2469" i="2"/>
  <c r="P2469" i="2"/>
  <c r="O2694" i="2"/>
  <c r="P2694" i="2"/>
  <c r="O2493" i="2"/>
  <c r="P2493" i="2"/>
  <c r="O2501" i="2"/>
  <c r="P2501" i="2"/>
  <c r="O4295" i="2"/>
  <c r="P4295" i="2"/>
  <c r="O3727" i="2"/>
  <c r="P3727" i="2"/>
  <c r="O2565" i="2"/>
  <c r="P2565" i="2"/>
  <c r="O2597" i="2"/>
  <c r="P2597" i="2"/>
  <c r="O2480" i="2"/>
  <c r="P2480" i="2"/>
  <c r="O7151" i="2"/>
  <c r="P7151" i="2"/>
  <c r="O2685" i="2"/>
  <c r="P2685" i="2"/>
  <c r="O6104" i="2"/>
  <c r="P6104" i="2"/>
  <c r="O6833" i="2"/>
  <c r="P6833" i="2"/>
  <c r="O2414" i="2"/>
  <c r="P2414" i="2"/>
  <c r="O2741" i="2"/>
  <c r="P2741" i="2"/>
  <c r="O2749" i="2"/>
  <c r="P2749" i="2"/>
  <c r="O2805" i="2"/>
  <c r="P2805" i="2"/>
  <c r="O4059" i="2"/>
  <c r="P4059" i="2"/>
  <c r="O2845" i="2"/>
  <c r="P2845" i="2"/>
  <c r="O2885" i="2"/>
  <c r="P2885" i="2"/>
  <c r="O4816" i="2"/>
  <c r="P4816" i="2"/>
  <c r="O2836" i="2"/>
  <c r="P2836" i="2"/>
  <c r="O1229" i="2"/>
  <c r="P1229" i="2"/>
  <c r="O5933" i="2"/>
  <c r="P5933" i="2"/>
  <c r="O2973" i="2"/>
  <c r="P2973" i="2"/>
  <c r="O2989" i="2"/>
  <c r="P2989" i="2"/>
  <c r="O2149" i="2"/>
  <c r="P2149" i="2"/>
  <c r="O3013" i="2"/>
  <c r="P3013" i="2"/>
  <c r="O3021" i="2"/>
  <c r="P3021" i="2"/>
  <c r="O3029" i="2"/>
  <c r="P3029" i="2"/>
  <c r="O4352" i="2"/>
  <c r="P4352" i="2"/>
  <c r="O3085" i="2"/>
  <c r="P3085" i="2"/>
  <c r="O2411" i="2"/>
  <c r="P2411" i="2"/>
  <c r="O3117" i="2"/>
  <c r="P3117" i="2"/>
  <c r="O3133" i="2"/>
  <c r="P3133" i="2"/>
  <c r="O3149" i="2"/>
  <c r="P3149" i="2"/>
  <c r="O3157" i="2"/>
  <c r="P3157" i="2"/>
  <c r="O2663" i="2"/>
  <c r="P2663" i="2"/>
  <c r="O3181" i="2"/>
  <c r="P3181" i="2"/>
  <c r="O3189" i="2"/>
  <c r="P3189" i="2"/>
  <c r="O3221" i="2"/>
  <c r="P3221" i="2"/>
  <c r="O3229" i="2"/>
  <c r="P3229" i="2"/>
  <c r="O3253" i="2"/>
  <c r="P3253" i="2"/>
  <c r="O3269" i="2"/>
  <c r="P3269" i="2"/>
  <c r="O3277" i="2"/>
  <c r="P3277" i="2"/>
  <c r="O85" i="2"/>
  <c r="P85" i="2"/>
  <c r="O3293" i="2"/>
  <c r="P3293" i="2"/>
  <c r="O3325" i="2"/>
  <c r="P3325" i="2"/>
  <c r="O3341" i="2"/>
  <c r="P3341" i="2"/>
  <c r="O3349" i="2"/>
  <c r="P3349" i="2"/>
  <c r="O3365" i="2"/>
  <c r="P3365" i="2"/>
  <c r="O3381" i="2"/>
  <c r="P3381" i="2"/>
  <c r="O3437" i="2"/>
  <c r="P3437" i="2"/>
  <c r="O3445" i="2"/>
  <c r="P3445" i="2"/>
  <c r="O3477" i="2"/>
  <c r="P3477" i="2"/>
  <c r="O3509" i="2"/>
  <c r="P3509" i="2"/>
  <c r="O3517" i="2"/>
  <c r="P3517" i="2"/>
  <c r="O3525" i="2"/>
  <c r="P3525" i="2"/>
  <c r="O3557" i="2"/>
  <c r="P3557" i="2"/>
  <c r="O3573" i="2"/>
  <c r="P3573" i="2"/>
  <c r="O4143" i="2"/>
  <c r="P4143" i="2"/>
  <c r="O1508" i="2"/>
  <c r="P1508" i="2"/>
  <c r="O3629" i="2"/>
  <c r="P3629" i="2"/>
  <c r="O3637" i="2"/>
  <c r="P3637" i="2"/>
  <c r="O3645" i="2"/>
  <c r="P3645" i="2"/>
  <c r="O5934" i="2"/>
  <c r="P5934" i="2"/>
  <c r="O3669" i="2"/>
  <c r="P3669" i="2"/>
  <c r="O1708" i="2"/>
  <c r="P1708" i="2"/>
  <c r="O7071" i="2"/>
  <c r="P7071" i="2"/>
  <c r="O1228" i="2"/>
  <c r="P1228" i="2"/>
  <c r="O2727" i="2"/>
  <c r="P2727" i="2"/>
  <c r="O3093" i="2"/>
  <c r="P3093" i="2"/>
  <c r="O3781" i="2"/>
  <c r="P3781" i="2"/>
  <c r="O3789" i="2"/>
  <c r="P3789" i="2"/>
  <c r="O3608" i="2"/>
  <c r="P3608" i="2"/>
  <c r="O3805" i="2"/>
  <c r="P3805" i="2"/>
  <c r="O3829" i="2"/>
  <c r="P3829" i="2"/>
  <c r="O3837" i="2"/>
  <c r="P3837" i="2"/>
  <c r="O3845" i="2"/>
  <c r="P3845" i="2"/>
  <c r="O3853" i="2"/>
  <c r="P3853" i="2"/>
  <c r="O3861" i="2"/>
  <c r="P3861" i="2"/>
  <c r="O3869" i="2"/>
  <c r="P3869" i="2"/>
  <c r="O3877" i="2"/>
  <c r="P3877" i="2"/>
  <c r="O3885" i="2"/>
  <c r="P3885" i="2"/>
  <c r="O3893" i="2"/>
  <c r="P3893" i="2"/>
  <c r="O3909" i="2"/>
  <c r="P3909" i="2"/>
  <c r="O1232" i="2"/>
  <c r="P1232" i="2"/>
  <c r="O3933" i="2"/>
  <c r="P3933" i="2"/>
  <c r="O3965" i="2"/>
  <c r="P3965" i="2"/>
  <c r="O3973" i="2"/>
  <c r="P3973" i="2"/>
  <c r="O3989" i="2"/>
  <c r="P3989" i="2"/>
  <c r="O4013" i="2"/>
  <c r="P4013" i="2"/>
  <c r="O4029" i="2"/>
  <c r="P4029" i="2"/>
  <c r="O4037" i="2"/>
  <c r="P4037" i="2"/>
  <c r="O4045" i="2"/>
  <c r="P4045" i="2"/>
  <c r="O5672" i="2"/>
  <c r="P5672" i="2"/>
  <c r="O4069" i="2"/>
  <c r="P4069" i="2"/>
  <c r="O5973" i="2"/>
  <c r="P5973" i="2"/>
  <c r="O6929" i="2"/>
  <c r="P6929" i="2"/>
  <c r="O4117" i="2"/>
  <c r="P4117" i="2"/>
  <c r="O4141" i="2"/>
  <c r="P4141" i="2"/>
  <c r="O4157" i="2"/>
  <c r="P4157" i="2"/>
  <c r="O4181" i="2"/>
  <c r="P4181" i="2"/>
  <c r="O109" i="2"/>
  <c r="P109" i="2"/>
  <c r="O4221" i="2"/>
  <c r="P4221" i="2"/>
  <c r="O4253" i="2"/>
  <c r="P4253" i="2"/>
  <c r="O4261" i="2"/>
  <c r="P4261" i="2"/>
  <c r="O4277" i="2"/>
  <c r="P4277" i="2"/>
  <c r="O4285" i="2"/>
  <c r="P4285" i="2"/>
  <c r="O4293" i="2"/>
  <c r="P4293" i="2"/>
  <c r="O4301" i="2"/>
  <c r="P4301" i="2"/>
  <c r="O4309" i="2"/>
  <c r="P4309" i="2"/>
  <c r="O4373" i="2"/>
  <c r="P4373" i="2"/>
  <c r="O4397" i="2"/>
  <c r="P4397" i="2"/>
  <c r="O4405" i="2"/>
  <c r="P4405" i="2"/>
  <c r="O4429" i="2"/>
  <c r="P4429" i="2"/>
  <c r="O4485" i="2"/>
  <c r="P4485" i="2"/>
  <c r="O4493" i="2"/>
  <c r="P4493" i="2"/>
  <c r="O4509" i="2"/>
  <c r="P4509" i="2"/>
  <c r="O4533" i="2"/>
  <c r="P4533" i="2"/>
  <c r="O4549" i="2"/>
  <c r="P4549" i="2"/>
  <c r="O7120" i="2"/>
  <c r="P7120" i="2"/>
  <c r="O4573" i="2"/>
  <c r="P4573" i="2"/>
  <c r="O4581" i="2"/>
  <c r="P4581" i="2"/>
  <c r="O4589" i="2"/>
  <c r="P4589" i="2"/>
  <c r="O4613" i="2"/>
  <c r="P4613" i="2"/>
  <c r="O4645" i="2"/>
  <c r="P4645" i="2"/>
  <c r="O6924" i="2"/>
  <c r="P6924" i="2"/>
  <c r="O3146" i="2"/>
  <c r="P3146" i="2"/>
  <c r="O4717" i="2"/>
  <c r="P4717" i="2"/>
  <c r="O4173" i="2"/>
  <c r="P4173" i="2"/>
  <c r="O4749" i="2"/>
  <c r="P4749" i="2"/>
  <c r="O4765" i="2"/>
  <c r="P4765" i="2"/>
  <c r="O4773" i="2"/>
  <c r="P4773" i="2"/>
  <c r="O4781" i="2"/>
  <c r="P4781" i="2"/>
  <c r="O4789" i="2"/>
  <c r="P4789" i="2"/>
  <c r="O6520" i="2"/>
  <c r="P6520" i="2"/>
  <c r="O4805" i="2"/>
  <c r="P4805" i="2"/>
  <c r="O4821" i="2"/>
  <c r="P4821" i="2"/>
  <c r="O4829" i="2"/>
  <c r="P4829" i="2"/>
  <c r="O4837" i="2"/>
  <c r="P4837" i="2"/>
  <c r="O6758" i="2"/>
  <c r="P6758" i="2"/>
  <c r="O4853" i="2"/>
  <c r="P4853" i="2"/>
  <c r="O5114" i="2"/>
  <c r="P5114" i="2"/>
  <c r="O5729" i="2"/>
  <c r="P5729" i="2"/>
  <c r="O4981" i="2"/>
  <c r="P4981" i="2"/>
  <c r="O4989" i="2"/>
  <c r="P4989" i="2"/>
  <c r="O6555" i="2"/>
  <c r="P6555" i="2"/>
  <c r="O5005" i="2"/>
  <c r="P5005" i="2"/>
  <c r="O5013" i="2"/>
  <c r="P5013" i="2"/>
  <c r="O5021" i="2"/>
  <c r="P5021" i="2"/>
  <c r="O3626" i="2"/>
  <c r="P3626" i="2"/>
  <c r="O5037" i="2"/>
  <c r="P5037" i="2"/>
  <c r="O5045" i="2"/>
  <c r="P5045" i="2"/>
  <c r="O5069" i="2"/>
  <c r="P5069" i="2"/>
  <c r="O2947" i="2"/>
  <c r="P2947" i="2"/>
  <c r="O4487" i="2"/>
  <c r="P4487" i="2"/>
  <c r="O5881" i="2"/>
  <c r="P5881" i="2"/>
  <c r="O5109" i="2"/>
  <c r="P5109" i="2"/>
  <c r="O6189" i="2"/>
  <c r="P6189" i="2"/>
  <c r="O5125" i="2"/>
  <c r="P5125" i="2"/>
  <c r="O134" i="2"/>
  <c r="P134" i="2"/>
  <c r="O1631" i="2"/>
  <c r="P1631" i="2"/>
  <c r="O5149" i="2"/>
  <c r="P5149" i="2"/>
  <c r="O5115" i="2"/>
  <c r="P5115" i="2"/>
  <c r="O4258" i="2"/>
  <c r="P4258" i="2"/>
  <c r="O5213" i="2"/>
  <c r="P5213" i="2"/>
  <c r="O5221" i="2"/>
  <c r="P5221" i="2"/>
  <c r="O5237" i="2"/>
  <c r="P5237" i="2"/>
  <c r="O2754" i="2"/>
  <c r="P2754" i="2"/>
  <c r="O5253" i="2"/>
  <c r="P5253" i="2"/>
  <c r="O2731" i="2"/>
  <c r="P2731" i="2"/>
  <c r="O5285" i="2"/>
  <c r="P5285" i="2"/>
  <c r="O5293" i="2"/>
  <c r="P5293" i="2"/>
  <c r="O5309" i="2"/>
  <c r="P5309" i="2"/>
  <c r="O5349" i="2"/>
  <c r="P5349" i="2"/>
  <c r="O5373" i="2"/>
  <c r="P5373" i="2"/>
  <c r="O5421" i="2"/>
  <c r="P5421" i="2"/>
  <c r="O5429" i="2"/>
  <c r="P5429" i="2"/>
  <c r="O5453" i="2"/>
  <c r="P5453" i="2"/>
  <c r="O5477" i="2"/>
  <c r="P5477" i="2"/>
  <c r="O5493" i="2"/>
  <c r="P5493" i="2"/>
  <c r="O5509" i="2"/>
  <c r="P5509" i="2"/>
  <c r="O5525" i="2"/>
  <c r="P5525" i="2"/>
  <c r="O5541" i="2"/>
  <c r="P5541" i="2"/>
  <c r="O5557" i="2"/>
  <c r="P5557" i="2"/>
  <c r="O5589" i="2"/>
  <c r="P5589" i="2"/>
  <c r="O5597" i="2"/>
  <c r="P5597" i="2"/>
  <c r="O6683" i="2"/>
  <c r="P6683" i="2"/>
  <c r="O5627" i="2"/>
  <c r="P5627" i="2"/>
  <c r="O5629" i="2"/>
  <c r="P5629" i="2"/>
  <c r="O1599" i="2"/>
  <c r="P1599" i="2"/>
  <c r="O5685" i="2"/>
  <c r="P5685" i="2"/>
  <c r="O5258" i="2"/>
  <c r="P5258" i="2"/>
  <c r="O5717" i="2"/>
  <c r="P5717" i="2"/>
  <c r="O1047" i="2"/>
  <c r="P1047" i="2"/>
  <c r="O5733" i="2"/>
  <c r="P5733" i="2"/>
  <c r="O5741" i="2"/>
  <c r="P5741" i="2"/>
  <c r="O5749" i="2"/>
  <c r="P5749" i="2"/>
  <c r="O1606" i="2"/>
  <c r="P1606" i="2"/>
  <c r="O5765" i="2"/>
  <c r="P5765" i="2"/>
  <c r="O5692" i="2"/>
  <c r="P5692" i="2"/>
  <c r="O5800" i="2"/>
  <c r="P5800" i="2"/>
  <c r="O2262" i="2"/>
  <c r="P2262" i="2"/>
  <c r="O5926" i="2"/>
  <c r="P5926" i="2"/>
  <c r="O4578" i="2"/>
  <c r="P4578" i="2"/>
  <c r="O1378" i="2"/>
  <c r="P1378" i="2"/>
  <c r="O5893" i="2"/>
  <c r="P5893" i="2"/>
  <c r="O5909" i="2"/>
  <c r="P5909" i="2"/>
  <c r="O4988" i="2"/>
  <c r="P4988" i="2"/>
  <c r="O5941" i="2"/>
  <c r="P5941" i="2"/>
  <c r="O5949" i="2"/>
  <c r="P5949" i="2"/>
  <c r="O6389" i="2"/>
  <c r="P6389" i="2"/>
  <c r="O1392" i="2"/>
  <c r="P1392" i="2"/>
  <c r="O4827" i="2"/>
  <c r="P4827" i="2"/>
  <c r="O6037" i="2"/>
  <c r="P6037" i="2"/>
  <c r="O1098" i="2"/>
  <c r="P1098" i="2"/>
  <c r="O3230" i="2"/>
  <c r="P3230" i="2"/>
  <c r="O6125" i="2"/>
  <c r="P6125" i="2"/>
  <c r="O6133" i="2"/>
  <c r="P6133" i="2"/>
  <c r="O6141" i="2"/>
  <c r="P6141" i="2"/>
  <c r="O6157" i="2"/>
  <c r="P6157" i="2"/>
  <c r="O167" i="2"/>
  <c r="P167" i="2"/>
  <c r="O6173" i="2"/>
  <c r="P6173" i="2"/>
  <c r="O6181" i="2"/>
  <c r="P6181" i="2"/>
  <c r="O2269" i="2"/>
  <c r="P2269" i="2"/>
  <c r="O6221" i="2"/>
  <c r="P6221" i="2"/>
  <c r="O6229" i="2"/>
  <c r="P6229" i="2"/>
  <c r="O366" i="2"/>
  <c r="P366" i="2"/>
  <c r="O6245" i="2"/>
  <c r="P6245" i="2"/>
  <c r="O6293" i="2"/>
  <c r="P6293" i="2"/>
  <c r="O6325" i="2"/>
  <c r="P6325" i="2"/>
  <c r="O176" i="2"/>
  <c r="P176" i="2"/>
  <c r="O2162" i="2"/>
  <c r="P2162" i="2"/>
  <c r="O2911" i="2"/>
  <c r="P2911" i="2"/>
  <c r="O5312" i="2"/>
  <c r="P5312" i="2"/>
  <c r="O6445" i="2"/>
  <c r="P6445" i="2"/>
  <c r="O3183" i="2"/>
  <c r="P3183" i="2"/>
  <c r="O3155" i="2"/>
  <c r="P3155" i="2"/>
  <c r="O6501" i="2"/>
  <c r="P6501" i="2"/>
  <c r="O6509" i="2"/>
  <c r="P6509" i="2"/>
  <c r="O3379" i="2"/>
  <c r="P3379" i="2"/>
  <c r="O3673" i="2"/>
  <c r="P3673" i="2"/>
  <c r="O3664" i="2"/>
  <c r="P3664" i="2"/>
  <c r="O4077" i="2"/>
  <c r="P4077" i="2"/>
  <c r="O2476" i="2"/>
  <c r="P2476" i="2"/>
  <c r="O2105" i="2"/>
  <c r="P2105" i="2"/>
  <c r="O6081" i="2"/>
  <c r="P6081" i="2"/>
  <c r="O6637" i="2"/>
  <c r="P6637" i="2"/>
  <c r="O6645" i="2"/>
  <c r="P6645" i="2"/>
  <c r="O6661" i="2"/>
  <c r="P6661" i="2"/>
  <c r="O3879" i="2"/>
  <c r="P3879" i="2"/>
  <c r="O6693" i="2"/>
  <c r="P6693" i="2"/>
  <c r="O6075" i="2"/>
  <c r="P6075" i="2"/>
  <c r="O6717" i="2"/>
  <c r="P6717" i="2"/>
  <c r="O6733" i="2"/>
  <c r="P6733" i="2"/>
  <c r="O6741" i="2"/>
  <c r="P6741" i="2"/>
  <c r="O3231" i="2"/>
  <c r="P3231" i="2"/>
  <c r="O6528" i="2"/>
  <c r="P6528" i="2"/>
  <c r="O6559" i="2"/>
  <c r="P6559" i="2"/>
  <c r="O6781" i="2"/>
  <c r="P6781" i="2"/>
  <c r="O4852" i="2"/>
  <c r="P4852" i="2"/>
  <c r="O6797" i="2"/>
  <c r="P6797" i="2"/>
  <c r="O4931" i="2"/>
  <c r="P4931" i="2"/>
  <c r="O6853" i="2"/>
  <c r="P6853" i="2"/>
  <c r="O6869" i="2"/>
  <c r="P6869" i="2"/>
  <c r="O1275" i="2"/>
  <c r="P1275" i="2"/>
  <c r="O1284" i="2"/>
  <c r="P1284" i="2"/>
  <c r="O1413" i="2"/>
  <c r="P1413" i="2"/>
  <c r="O241" i="2"/>
  <c r="P241" i="2"/>
  <c r="O6925" i="2"/>
  <c r="P6925" i="2"/>
  <c r="O3242" i="2"/>
  <c r="P3242" i="2"/>
  <c r="O2687" i="2"/>
  <c r="P2687" i="2"/>
  <c r="O7013" i="2"/>
  <c r="P7013" i="2"/>
  <c r="O1575" i="2"/>
  <c r="P1575" i="2"/>
  <c r="O7029" i="2"/>
  <c r="P7029" i="2"/>
  <c r="O1834" i="2"/>
  <c r="P1834" i="2"/>
  <c r="O5757" i="2"/>
  <c r="P5757" i="2"/>
  <c r="O7061" i="2"/>
  <c r="P7061" i="2"/>
  <c r="O7069" i="2"/>
  <c r="P7069" i="2"/>
  <c r="O7093" i="2"/>
  <c r="P7093" i="2"/>
  <c r="O696" i="2"/>
  <c r="P696" i="2"/>
  <c r="O7117" i="2"/>
  <c r="P7117" i="2"/>
  <c r="O7125" i="2"/>
  <c r="P7125" i="2"/>
  <c r="O6502" i="2"/>
  <c r="P6502" i="2"/>
  <c r="O7149" i="2"/>
  <c r="P7149" i="2"/>
  <c r="O7181" i="2"/>
  <c r="P7181" i="2"/>
  <c r="O7197" i="2"/>
  <c r="P7197" i="2"/>
  <c r="O7205" i="2"/>
  <c r="P7205" i="2"/>
  <c r="O6766" i="2"/>
  <c r="P6766" i="2"/>
  <c r="O3659" i="2"/>
  <c r="P3659" i="2"/>
  <c r="O7253" i="2"/>
  <c r="P7253" i="2"/>
  <c r="O613" i="2"/>
  <c r="P613" i="2"/>
  <c r="O7296" i="2"/>
  <c r="P7296" i="2"/>
  <c r="O7304" i="2"/>
  <c r="P7304" i="2"/>
  <c r="O7312" i="2"/>
  <c r="P7312" i="2"/>
  <c r="O7320" i="2"/>
  <c r="P7320" i="2"/>
  <c r="O7328" i="2"/>
  <c r="P7328" i="2"/>
  <c r="O7336" i="2"/>
  <c r="P7336" i="2"/>
  <c r="O7344" i="2"/>
  <c r="P7344" i="2"/>
  <c r="O7352" i="2"/>
  <c r="P7352" i="2"/>
  <c r="O7360" i="2"/>
  <c r="P7360" i="2"/>
  <c r="O7368" i="2"/>
  <c r="P7368" i="2"/>
  <c r="O7376" i="2"/>
  <c r="P7376" i="2"/>
  <c r="O7384" i="2"/>
  <c r="P7384" i="2"/>
  <c r="O7392" i="2"/>
  <c r="P7392" i="2"/>
  <c r="O7400" i="2"/>
  <c r="P7400" i="2"/>
  <c r="O7408" i="2"/>
  <c r="P7408" i="2"/>
  <c r="O7416" i="2"/>
  <c r="P7416" i="2"/>
  <c r="O7424" i="2"/>
  <c r="P7424" i="2"/>
  <c r="O7432" i="2"/>
  <c r="P7432" i="2"/>
  <c r="O7440" i="2"/>
  <c r="P7440" i="2"/>
  <c r="O7448" i="2"/>
  <c r="P7448" i="2"/>
  <c r="O7456" i="2"/>
  <c r="P7456" i="2"/>
  <c r="O7464" i="2"/>
  <c r="P7464" i="2"/>
  <c r="O7472" i="2"/>
  <c r="P7472" i="2"/>
  <c r="O7480" i="2"/>
  <c r="P7480" i="2"/>
  <c r="O7488" i="2"/>
  <c r="P7488" i="2"/>
  <c r="O7496" i="2"/>
  <c r="P7496" i="2"/>
  <c r="O7504" i="2"/>
  <c r="P7504" i="2"/>
  <c r="O7512" i="2"/>
  <c r="P7512" i="2"/>
  <c r="O7520" i="2"/>
  <c r="P7520" i="2"/>
  <c r="O7528" i="2"/>
  <c r="P7528" i="2"/>
  <c r="O7536" i="2"/>
  <c r="P7536" i="2"/>
  <c r="O7544" i="2"/>
  <c r="P7544" i="2"/>
  <c r="O7552" i="2"/>
  <c r="P7552" i="2"/>
  <c r="O7560" i="2"/>
  <c r="P7560" i="2"/>
  <c r="O7568" i="2"/>
  <c r="P7568" i="2"/>
  <c r="O7576" i="2"/>
  <c r="P7576" i="2"/>
  <c r="O7584" i="2"/>
  <c r="P7584" i="2"/>
  <c r="O7592" i="2"/>
  <c r="P7592" i="2"/>
  <c r="O7600" i="2"/>
  <c r="P7600" i="2"/>
  <c r="O7608" i="2"/>
  <c r="P7608" i="2"/>
  <c r="O7616" i="2"/>
  <c r="P7616" i="2"/>
  <c r="O7624" i="2"/>
  <c r="P7624" i="2"/>
  <c r="O7640" i="2"/>
  <c r="P7640" i="2"/>
  <c r="O7648" i="2"/>
  <c r="P7648" i="2"/>
  <c r="O7656" i="2"/>
  <c r="P7656" i="2"/>
  <c r="O7664" i="2"/>
  <c r="P7664" i="2"/>
  <c r="O7672" i="2"/>
  <c r="P7672" i="2"/>
  <c r="O7680" i="2"/>
  <c r="P7680" i="2"/>
  <c r="O7688" i="2"/>
  <c r="P7688" i="2"/>
  <c r="O7696" i="2"/>
  <c r="P7696" i="2"/>
  <c r="O7704" i="2"/>
  <c r="P7704" i="2"/>
  <c r="O7712" i="2"/>
  <c r="P7712" i="2"/>
  <c r="O7720" i="2"/>
  <c r="P7720" i="2"/>
  <c r="O7728" i="2"/>
  <c r="P7728" i="2"/>
  <c r="O7736" i="2"/>
  <c r="P7736" i="2"/>
  <c r="O7744" i="2"/>
  <c r="P7744" i="2"/>
  <c r="O7752" i="2"/>
  <c r="P7752" i="2"/>
  <c r="O7760" i="2"/>
  <c r="P7760" i="2"/>
  <c r="O7768" i="2"/>
  <c r="P7768" i="2"/>
  <c r="O7776" i="2"/>
  <c r="P7776" i="2"/>
  <c r="O7784" i="2"/>
  <c r="P7784" i="2"/>
  <c r="O7792" i="2"/>
  <c r="P7792" i="2"/>
  <c r="O7800" i="2"/>
  <c r="P7800" i="2"/>
  <c r="O7808" i="2"/>
  <c r="P7808" i="2"/>
  <c r="O7816" i="2"/>
  <c r="P7816" i="2"/>
  <c r="O7824" i="2"/>
  <c r="P7824" i="2"/>
  <c r="O7832" i="2"/>
  <c r="P7832" i="2"/>
  <c r="O7840" i="2"/>
  <c r="P7840" i="2"/>
  <c r="O7848" i="2"/>
  <c r="P7848" i="2"/>
  <c r="O7856" i="2"/>
  <c r="P7856" i="2"/>
  <c r="O7864" i="2"/>
  <c r="P7864" i="2"/>
  <c r="O7872" i="2"/>
  <c r="P7872" i="2"/>
  <c r="O7880" i="2"/>
  <c r="P7880" i="2"/>
  <c r="O7888" i="2"/>
  <c r="P7888" i="2"/>
  <c r="O7896" i="2"/>
  <c r="P7896" i="2"/>
  <c r="O7904" i="2"/>
  <c r="P7904" i="2"/>
  <c r="O7912" i="2"/>
  <c r="P7912" i="2"/>
  <c r="O7920" i="2"/>
  <c r="P7920" i="2"/>
  <c r="O7928" i="2"/>
  <c r="P7928" i="2"/>
  <c r="O7936" i="2"/>
  <c r="P7936" i="2"/>
  <c r="O7944" i="2"/>
  <c r="P7944" i="2"/>
  <c r="O7952" i="2"/>
  <c r="P7952" i="2"/>
  <c r="O7960" i="2"/>
  <c r="P7960" i="2"/>
  <c r="O7968" i="2"/>
  <c r="P7968" i="2"/>
  <c r="O7976" i="2"/>
  <c r="P7976" i="2"/>
  <c r="O7984" i="2"/>
  <c r="P7984" i="2"/>
  <c r="O7992" i="2"/>
  <c r="P7992" i="2"/>
  <c r="O8000" i="2"/>
  <c r="P8000" i="2"/>
  <c r="O8008" i="2"/>
  <c r="P8008" i="2"/>
  <c r="O8016" i="2"/>
  <c r="P8016" i="2"/>
  <c r="O8024" i="2"/>
  <c r="P8024" i="2"/>
  <c r="O8032" i="2"/>
  <c r="P8032" i="2"/>
  <c r="O8040" i="2"/>
  <c r="P8040" i="2"/>
  <c r="O8048" i="2"/>
  <c r="P8048" i="2"/>
  <c r="O8056" i="2"/>
  <c r="P8056" i="2"/>
  <c r="O8064" i="2"/>
  <c r="P8064" i="2"/>
  <c r="O8072" i="2"/>
  <c r="P8072" i="2"/>
  <c r="O8080" i="2"/>
  <c r="P8080" i="2"/>
  <c r="O8088" i="2"/>
  <c r="P8088" i="2"/>
  <c r="O8096" i="2"/>
  <c r="P8096" i="2"/>
  <c r="O8104" i="2"/>
  <c r="P8104" i="2"/>
  <c r="O8112" i="2"/>
  <c r="P8112" i="2"/>
  <c r="O8120" i="2"/>
  <c r="P8120" i="2"/>
  <c r="O8128" i="2"/>
  <c r="P8128" i="2"/>
  <c r="O8136" i="2"/>
  <c r="P8136" i="2"/>
  <c r="O8144" i="2"/>
  <c r="P8144" i="2"/>
  <c r="O1374" i="2"/>
  <c r="P1374" i="2"/>
  <c r="O42" i="2"/>
  <c r="P42" i="2"/>
  <c r="O7038" i="2"/>
  <c r="P7038" i="2"/>
  <c r="O5605" i="2"/>
  <c r="P5605" i="2"/>
  <c r="O4210" i="2"/>
  <c r="P4210" i="2"/>
  <c r="O6561" i="2"/>
  <c r="P6561" i="2"/>
  <c r="O98" i="2"/>
  <c r="P98" i="2"/>
  <c r="O106" i="2"/>
  <c r="P106" i="2"/>
  <c r="O122" i="2"/>
  <c r="P122" i="2"/>
  <c r="O3036" i="2"/>
  <c r="P3036" i="2"/>
  <c r="O146" i="2"/>
  <c r="P146" i="2"/>
  <c r="O162" i="2"/>
  <c r="P162" i="2"/>
  <c r="O3920" i="2"/>
  <c r="P3920" i="2"/>
  <c r="O3328" i="2"/>
  <c r="P3328" i="2"/>
  <c r="O226" i="2"/>
  <c r="P226" i="2"/>
  <c r="O523" i="2"/>
  <c r="P523" i="2"/>
  <c r="O258" i="2"/>
  <c r="P258" i="2"/>
  <c r="O4902" i="2"/>
  <c r="P4902" i="2"/>
  <c r="O1930" i="2"/>
  <c r="P1930" i="2"/>
  <c r="O338" i="2"/>
  <c r="P338" i="2"/>
  <c r="O346" i="2"/>
  <c r="P346" i="2"/>
  <c r="O354" i="2"/>
  <c r="P354" i="2"/>
  <c r="O2838" i="2"/>
  <c r="P2838" i="2"/>
  <c r="O370" i="2"/>
  <c r="P370" i="2"/>
  <c r="O378" i="2"/>
  <c r="P378" i="2"/>
  <c r="O386" i="2"/>
  <c r="P386" i="2"/>
  <c r="O2970" i="2"/>
  <c r="P2970" i="2"/>
  <c r="O6706" i="2"/>
  <c r="P6706" i="2"/>
  <c r="O1804" i="2"/>
  <c r="P1804" i="2"/>
  <c r="O434" i="2"/>
  <c r="P434" i="2"/>
  <c r="O450" i="2"/>
  <c r="P450" i="2"/>
  <c r="O4496" i="2"/>
  <c r="P4496" i="2"/>
  <c r="O522" i="2"/>
  <c r="P522" i="2"/>
  <c r="O530" i="2"/>
  <c r="P530" i="2"/>
  <c r="O538" i="2"/>
  <c r="P538" i="2"/>
  <c r="O554" i="2"/>
  <c r="P554" i="2"/>
  <c r="O562" i="2"/>
  <c r="P562" i="2"/>
  <c r="O3749" i="2"/>
  <c r="P3749" i="2"/>
  <c r="O5562" i="2"/>
  <c r="P5562" i="2"/>
  <c r="O586" i="2"/>
  <c r="P586" i="2"/>
  <c r="O618" i="2"/>
  <c r="P618" i="2"/>
  <c r="O626" i="2"/>
  <c r="P626" i="2"/>
  <c r="O3919" i="2"/>
  <c r="P3919" i="2"/>
  <c r="O658" i="2"/>
  <c r="P658" i="2"/>
  <c r="O666" i="2"/>
  <c r="P666" i="2"/>
  <c r="O3691" i="2"/>
  <c r="P3691" i="2"/>
  <c r="O6668" i="2"/>
  <c r="P6668" i="2"/>
  <c r="O722" i="2"/>
  <c r="P722" i="2"/>
  <c r="O4086" i="2"/>
  <c r="P4086" i="2"/>
  <c r="O2286" i="2"/>
  <c r="P2286" i="2"/>
  <c r="O746" i="2"/>
  <c r="P746" i="2"/>
  <c r="O754" i="2"/>
  <c r="P754" i="2"/>
  <c r="O6835" i="2"/>
  <c r="P6835" i="2"/>
  <c r="O850" i="2"/>
  <c r="P850" i="2"/>
  <c r="O914" i="2"/>
  <c r="P914" i="2"/>
  <c r="O922" i="2"/>
  <c r="P922" i="2"/>
  <c r="O930" i="2"/>
  <c r="P930" i="2"/>
  <c r="O5620" i="2"/>
  <c r="P5620" i="2"/>
  <c r="O954" i="2"/>
  <c r="P954" i="2"/>
  <c r="O978" i="2"/>
  <c r="P978" i="2"/>
  <c r="O986" i="2"/>
  <c r="P986" i="2"/>
  <c r="O994" i="2"/>
  <c r="P994" i="2"/>
  <c r="O1002" i="2"/>
  <c r="P1002" i="2"/>
  <c r="O4091" i="2"/>
  <c r="P4091" i="2"/>
  <c r="O963" i="2"/>
  <c r="P963" i="2"/>
  <c r="O1034" i="2"/>
  <c r="P1034" i="2"/>
  <c r="O1042" i="2"/>
  <c r="P1042" i="2"/>
  <c r="O6078" i="2"/>
  <c r="P6078" i="2"/>
  <c r="O5831" i="2"/>
  <c r="P5831" i="2"/>
  <c r="O1066" i="2"/>
  <c r="P1066" i="2"/>
  <c r="O4980" i="2"/>
  <c r="P4980" i="2"/>
  <c r="O5901" i="2"/>
  <c r="P5901" i="2"/>
  <c r="O1090" i="2"/>
  <c r="P1090" i="2"/>
  <c r="O415" i="2"/>
  <c r="P415" i="2"/>
  <c r="O1114" i="2"/>
  <c r="P1114" i="2"/>
  <c r="O1146" i="2"/>
  <c r="P1146" i="2"/>
  <c r="O1162" i="2"/>
  <c r="P1162" i="2"/>
  <c r="O1170" i="2"/>
  <c r="P1170" i="2"/>
  <c r="O4410" i="2"/>
  <c r="P4410" i="2"/>
  <c r="O1202" i="2"/>
  <c r="P1202" i="2"/>
  <c r="O1210" i="2"/>
  <c r="P1210" i="2"/>
  <c r="O1218" i="2"/>
  <c r="P1218" i="2"/>
  <c r="O677" i="2"/>
  <c r="P677" i="2"/>
  <c r="O1234" i="2"/>
  <c r="P1234" i="2"/>
  <c r="O1242" i="2"/>
  <c r="P1242" i="2"/>
  <c r="O1250" i="2"/>
  <c r="P1250" i="2"/>
  <c r="O2148" i="2"/>
  <c r="P2148" i="2"/>
  <c r="O1073" i="2"/>
  <c r="P1073" i="2"/>
  <c r="O3888" i="2"/>
  <c r="P3888" i="2"/>
  <c r="O1338" i="2"/>
  <c r="P1338" i="2"/>
  <c r="O1354" i="2"/>
  <c r="P1354" i="2"/>
  <c r="O4094" i="2"/>
  <c r="P4094" i="2"/>
  <c r="O2852" i="2"/>
  <c r="P2852" i="2"/>
  <c r="O1534" i="2"/>
  <c r="P1534" i="2"/>
  <c r="O1386" i="2"/>
  <c r="P1386" i="2"/>
  <c r="O2391" i="2"/>
  <c r="P2391" i="2"/>
  <c r="O1402" i="2"/>
  <c r="P1402" i="2"/>
  <c r="O1410" i="2"/>
  <c r="P1410" i="2"/>
  <c r="O4281" i="2"/>
  <c r="P4281" i="2"/>
  <c r="O1426" i="2"/>
  <c r="P1426" i="2"/>
  <c r="O1434" i="2"/>
  <c r="P1434" i="2"/>
  <c r="O2102" i="2"/>
  <c r="P2102" i="2"/>
  <c r="O679" i="2"/>
  <c r="P679" i="2"/>
  <c r="O1506" i="2"/>
  <c r="P1506" i="2"/>
  <c r="O1514" i="2"/>
  <c r="P1514" i="2"/>
  <c r="O864" i="2"/>
  <c r="P864" i="2"/>
  <c r="O5614" i="2"/>
  <c r="P5614" i="2"/>
  <c r="O1538" i="2"/>
  <c r="P1538" i="2"/>
  <c r="O1546" i="2"/>
  <c r="P1546" i="2"/>
  <c r="O1570" i="2"/>
  <c r="P1570" i="2"/>
  <c r="O1586" i="2"/>
  <c r="P1586" i="2"/>
  <c r="O1594" i="2"/>
  <c r="P1594" i="2"/>
  <c r="O1602" i="2"/>
  <c r="P1602" i="2"/>
  <c r="O1610" i="2"/>
  <c r="P1610" i="2"/>
  <c r="O1626" i="2"/>
  <c r="P1626" i="2"/>
  <c r="O5141" i="2"/>
  <c r="P5141" i="2"/>
  <c r="O3171" i="2"/>
  <c r="P3171" i="2"/>
  <c r="O1682" i="2"/>
  <c r="P1682" i="2"/>
  <c r="O1706" i="2"/>
  <c r="P1706" i="2"/>
  <c r="O1714" i="2"/>
  <c r="P1714" i="2"/>
  <c r="O1722" i="2"/>
  <c r="P1722" i="2"/>
  <c r="O1738" i="2"/>
  <c r="P1738" i="2"/>
  <c r="O1746" i="2"/>
  <c r="P1746" i="2"/>
  <c r="O1754" i="2"/>
  <c r="P1754" i="2"/>
  <c r="O1786" i="2"/>
  <c r="P1786" i="2"/>
  <c r="O1794" i="2"/>
  <c r="P1794" i="2"/>
  <c r="O1810" i="2"/>
  <c r="P1810" i="2"/>
  <c r="O1818" i="2"/>
  <c r="P1818" i="2"/>
  <c r="O1939" i="2"/>
  <c r="P1939" i="2"/>
  <c r="O1842" i="2"/>
  <c r="P1842" i="2"/>
  <c r="O47" i="2"/>
  <c r="P47" i="2"/>
  <c r="O1858" i="2"/>
  <c r="P1858" i="2"/>
  <c r="O1866" i="2"/>
  <c r="P1866" i="2"/>
  <c r="O1882" i="2"/>
  <c r="P1882" i="2"/>
  <c r="O1890" i="2"/>
  <c r="P1890" i="2"/>
  <c r="O1898" i="2"/>
  <c r="P1898" i="2"/>
  <c r="O1906" i="2"/>
  <c r="P1906" i="2"/>
  <c r="O2785" i="2"/>
  <c r="P2785" i="2"/>
  <c r="O5703" i="2"/>
  <c r="P5703" i="2"/>
  <c r="O2127" i="2"/>
  <c r="P2127" i="2"/>
  <c r="O3570" i="2"/>
  <c r="P3570" i="2"/>
  <c r="O3858" i="2"/>
  <c r="P3858" i="2"/>
  <c r="O1986" i="2"/>
  <c r="P1986" i="2"/>
  <c r="O2018" i="2"/>
  <c r="P2018" i="2"/>
  <c r="O2026" i="2"/>
  <c r="P2026" i="2"/>
  <c r="O4947" i="2"/>
  <c r="P4947" i="2"/>
  <c r="O2042" i="2"/>
  <c r="P2042" i="2"/>
  <c r="O2066" i="2"/>
  <c r="P2066" i="2"/>
  <c r="O2074" i="2"/>
  <c r="P2074" i="2"/>
  <c r="O2090" i="2"/>
  <c r="P2090" i="2"/>
  <c r="O2098" i="2"/>
  <c r="P2098" i="2"/>
  <c r="O4682" i="2"/>
  <c r="P4682" i="2"/>
  <c r="O2114" i="2"/>
  <c r="P2114" i="2"/>
  <c r="O819" i="2"/>
  <c r="P819" i="2"/>
  <c r="O1948" i="2"/>
  <c r="P1948" i="2"/>
  <c r="O1283" i="2"/>
  <c r="P1283" i="2"/>
  <c r="O3329" i="2"/>
  <c r="P3329" i="2"/>
  <c r="O6063" i="2"/>
  <c r="P6063" i="2"/>
  <c r="O2186" i="2"/>
  <c r="P2186" i="2"/>
  <c r="O2194" i="2"/>
  <c r="P2194" i="2"/>
  <c r="O2405" i="2"/>
  <c r="P2405" i="2"/>
  <c r="O2218" i="2"/>
  <c r="P2218" i="2"/>
  <c r="O2234" i="2"/>
  <c r="P2234" i="2"/>
  <c r="O4752" i="2"/>
  <c r="P4752" i="2"/>
  <c r="O2258" i="2"/>
  <c r="P2258" i="2"/>
  <c r="O2266" i="2"/>
  <c r="P2266" i="2"/>
  <c r="O4400" i="2"/>
  <c r="P4400" i="2"/>
  <c r="O6391" i="2"/>
  <c r="P6391" i="2"/>
  <c r="O1177" i="2"/>
  <c r="P1177" i="2"/>
  <c r="O4847" i="2"/>
  <c r="P4847" i="2"/>
  <c r="O2330" i="2"/>
  <c r="P2330" i="2"/>
  <c r="O74" i="2"/>
  <c r="P74" i="2"/>
  <c r="O2378" i="2"/>
  <c r="P2378" i="2"/>
  <c r="O6579" i="2"/>
  <c r="P6579" i="2"/>
  <c r="O2402" i="2"/>
  <c r="P2402" i="2"/>
  <c r="O3605" i="2"/>
  <c r="P3605" i="2"/>
  <c r="O2442" i="2"/>
  <c r="P2442" i="2"/>
  <c r="O2450" i="2"/>
  <c r="P2450" i="2"/>
  <c r="O2458" i="2"/>
  <c r="P2458" i="2"/>
  <c r="O820" i="2"/>
  <c r="P820" i="2"/>
  <c r="O4616" i="2"/>
  <c r="P4616" i="2"/>
  <c r="O4284" i="2"/>
  <c r="P4284" i="2"/>
  <c r="O2498" i="2"/>
  <c r="P2498" i="2"/>
  <c r="O2514" i="2"/>
  <c r="P2514" i="2"/>
  <c r="O5861" i="2"/>
  <c r="P5861" i="2"/>
  <c r="O2570" i="2"/>
  <c r="P2570" i="2"/>
  <c r="O2578" i="2"/>
  <c r="P2578" i="2"/>
  <c r="O2586" i="2"/>
  <c r="P2586" i="2"/>
  <c r="O6912" i="2"/>
  <c r="P6912" i="2"/>
  <c r="O2618" i="2"/>
  <c r="P2618" i="2"/>
  <c r="O2658" i="2"/>
  <c r="P2658" i="2"/>
  <c r="O2666" i="2"/>
  <c r="P2666" i="2"/>
  <c r="O5621" i="2"/>
  <c r="P5621" i="2"/>
  <c r="O5997" i="2"/>
  <c r="P5997" i="2"/>
  <c r="O4118" i="2"/>
  <c r="P4118" i="2"/>
  <c r="O2706" i="2"/>
  <c r="P2706" i="2"/>
  <c r="O2714" i="2"/>
  <c r="P2714" i="2"/>
  <c r="O2722" i="2"/>
  <c r="P2722" i="2"/>
  <c r="O5585" i="2"/>
  <c r="P5585" i="2"/>
  <c r="O2746" i="2"/>
  <c r="P2746" i="2"/>
  <c r="O5795" i="2"/>
  <c r="P5795" i="2"/>
  <c r="O2619" i="2"/>
  <c r="P2619" i="2"/>
  <c r="O1454" i="2"/>
  <c r="P1454" i="2"/>
  <c r="O2778" i="2"/>
  <c r="P2778" i="2"/>
  <c r="O2794" i="2"/>
  <c r="P2794" i="2"/>
  <c r="O4372" i="2"/>
  <c r="P4372" i="2"/>
  <c r="O3043" i="2"/>
  <c r="P3043" i="2"/>
  <c r="O2818" i="2"/>
  <c r="P2818" i="2"/>
  <c r="O3754" i="2"/>
  <c r="P3754" i="2"/>
  <c r="O4049" i="2"/>
  <c r="P4049" i="2"/>
  <c r="O3682" i="2"/>
  <c r="P3682" i="2"/>
  <c r="O2858" i="2"/>
  <c r="P2858" i="2"/>
  <c r="O4826" i="2"/>
  <c r="P4826" i="2"/>
  <c r="O2890" i="2"/>
  <c r="P2890" i="2"/>
  <c r="O2898" i="2"/>
  <c r="P2898" i="2"/>
  <c r="O1233" i="2"/>
  <c r="P1233" i="2"/>
  <c r="O2938" i="2"/>
  <c r="P2938" i="2"/>
  <c r="O2954" i="2"/>
  <c r="P2954" i="2"/>
  <c r="O2962" i="2"/>
  <c r="P2962" i="2"/>
  <c r="O2909" i="2"/>
  <c r="P2909" i="2"/>
  <c r="O2978" i="2"/>
  <c r="P2978" i="2"/>
  <c r="O2986" i="2"/>
  <c r="P2986" i="2"/>
  <c r="O1901" i="2"/>
  <c r="P1901" i="2"/>
  <c r="O3002" i="2"/>
  <c r="P3002" i="2"/>
  <c r="O3010" i="2"/>
  <c r="P3010" i="2"/>
  <c r="O3026" i="2"/>
  <c r="P3026" i="2"/>
  <c r="O5570" i="2"/>
  <c r="P5570" i="2"/>
  <c r="O3050" i="2"/>
  <c r="P3050" i="2"/>
  <c r="O3098" i="2"/>
  <c r="P3098" i="2"/>
  <c r="O5786" i="2"/>
  <c r="P5786" i="2"/>
  <c r="O3122" i="2"/>
  <c r="P3122" i="2"/>
  <c r="O3130" i="2"/>
  <c r="P3130" i="2"/>
  <c r="O3138" i="2"/>
  <c r="P3138" i="2"/>
  <c r="O5546" i="2"/>
  <c r="P5546" i="2"/>
  <c r="O299" i="2"/>
  <c r="P299" i="2"/>
  <c r="O3162" i="2"/>
  <c r="P3162" i="2"/>
  <c r="O6490" i="2"/>
  <c r="P6490" i="2"/>
  <c r="O3178" i="2"/>
  <c r="P3178" i="2"/>
  <c r="O3194" i="2"/>
  <c r="P3194" i="2"/>
  <c r="O1104" i="2"/>
  <c r="P1104" i="2"/>
  <c r="O3226" i="2"/>
  <c r="P3226" i="2"/>
  <c r="O397" i="2"/>
  <c r="P397" i="2"/>
  <c r="O6915" i="2"/>
  <c r="P6915" i="2"/>
  <c r="O4940" i="2"/>
  <c r="P4940" i="2"/>
  <c r="O3266" i="2"/>
  <c r="P3266" i="2"/>
  <c r="O1674" i="2"/>
  <c r="P1674" i="2"/>
  <c r="O3282" i="2"/>
  <c r="P3282" i="2"/>
  <c r="O3290" i="2"/>
  <c r="P3290" i="2"/>
  <c r="O2248" i="2"/>
  <c r="P2248" i="2"/>
  <c r="O3306" i="2"/>
  <c r="P3306" i="2"/>
  <c r="O3322" i="2"/>
  <c r="P3322" i="2"/>
  <c r="O3354" i="2"/>
  <c r="P3354" i="2"/>
  <c r="O5038" i="2"/>
  <c r="P5038" i="2"/>
  <c r="O3370" i="2"/>
  <c r="P3370" i="2"/>
  <c r="O3394" i="2"/>
  <c r="P3394" i="2"/>
  <c r="O5662" i="2"/>
  <c r="P5662" i="2"/>
  <c r="O3426" i="2"/>
  <c r="P3426" i="2"/>
  <c r="O3434" i="2"/>
  <c r="P3434" i="2"/>
  <c r="O3482" i="2"/>
  <c r="P3482" i="2"/>
  <c r="O1438" i="2"/>
  <c r="P1438" i="2"/>
  <c r="O3514" i="2"/>
  <c r="P3514" i="2"/>
  <c r="O3522" i="2"/>
  <c r="P3522" i="2"/>
  <c r="O3996" i="2"/>
  <c r="P3996" i="2"/>
  <c r="O3554" i="2"/>
  <c r="P3554" i="2"/>
  <c r="O5439" i="2"/>
  <c r="P5439" i="2"/>
  <c r="O3586" i="2"/>
  <c r="P3586" i="2"/>
  <c r="O3594" i="2"/>
  <c r="P3594" i="2"/>
  <c r="O5220" i="2"/>
  <c r="P5220" i="2"/>
  <c r="O5806" i="2"/>
  <c r="P5806" i="2"/>
  <c r="O1542" i="2"/>
  <c r="P1542" i="2"/>
  <c r="O3642" i="2"/>
  <c r="P3642" i="2"/>
  <c r="O3650" i="2"/>
  <c r="P3650" i="2"/>
  <c r="O5040" i="2"/>
  <c r="P5040" i="2"/>
  <c r="O3668" i="2"/>
  <c r="P3668" i="2"/>
  <c r="O5931" i="2"/>
  <c r="P5931" i="2"/>
  <c r="O3698" i="2"/>
  <c r="P3698" i="2"/>
  <c r="O1022" i="2"/>
  <c r="P1022" i="2"/>
  <c r="O3714" i="2"/>
  <c r="P3714" i="2"/>
  <c r="O3730" i="2"/>
  <c r="P3730" i="2"/>
  <c r="O3738" i="2"/>
  <c r="P3738" i="2"/>
  <c r="O411" i="2"/>
  <c r="P411" i="2"/>
  <c r="O5604" i="2"/>
  <c r="P5604" i="2"/>
  <c r="O578" i="2"/>
  <c r="P578" i="2"/>
  <c r="O5720" i="2"/>
  <c r="P5720" i="2"/>
  <c r="O3288" i="2"/>
  <c r="P3288" i="2"/>
  <c r="O3810" i="2"/>
  <c r="P3810" i="2"/>
  <c r="O92" i="2"/>
  <c r="P92" i="2"/>
  <c r="O3826" i="2"/>
  <c r="P3826" i="2"/>
  <c r="O3834" i="2"/>
  <c r="P3834" i="2"/>
  <c r="O3842" i="2"/>
  <c r="P3842" i="2"/>
  <c r="O3850" i="2"/>
  <c r="P3850" i="2"/>
  <c r="O5907" i="2"/>
  <c r="P5907" i="2"/>
  <c r="O3866" i="2"/>
  <c r="P3866" i="2"/>
  <c r="O3874" i="2"/>
  <c r="P3874" i="2"/>
  <c r="O3882" i="2"/>
  <c r="P3882" i="2"/>
  <c r="O2377" i="2"/>
  <c r="P2377" i="2"/>
  <c r="O3906" i="2"/>
  <c r="P3906" i="2"/>
  <c r="O4046" i="2"/>
  <c r="P4046" i="2"/>
  <c r="O3716" i="2"/>
  <c r="P3716" i="2"/>
  <c r="O4200" i="2"/>
  <c r="P4200" i="2"/>
  <c r="O5016" i="2"/>
  <c r="P5016" i="2"/>
  <c r="O4010" i="2"/>
  <c r="P4010" i="2"/>
  <c r="O6546" i="2"/>
  <c r="P6546" i="2"/>
  <c r="O6237" i="2"/>
  <c r="P6237" i="2"/>
  <c r="O6392" i="2"/>
  <c r="P6392" i="2"/>
  <c r="O1363" i="2"/>
  <c r="P1363" i="2"/>
  <c r="O4074" i="2"/>
  <c r="P4074" i="2"/>
  <c r="O4082" i="2"/>
  <c r="P4082" i="2"/>
  <c r="O4090" i="2"/>
  <c r="P4090" i="2"/>
  <c r="O4098" i="2"/>
  <c r="P4098" i="2"/>
  <c r="O4114" i="2"/>
  <c r="P4114" i="2"/>
  <c r="O4138" i="2"/>
  <c r="P4138" i="2"/>
  <c r="O3136" i="2"/>
  <c r="P3136" i="2"/>
  <c r="O4162" i="2"/>
  <c r="P4162" i="2"/>
  <c r="O6864" i="2"/>
  <c r="P6864" i="2"/>
  <c r="O4226" i="2"/>
  <c r="P4226" i="2"/>
  <c r="O4186" i="2"/>
  <c r="P4186" i="2"/>
  <c r="O4727" i="2"/>
  <c r="P4727" i="2"/>
  <c r="O4975" i="2"/>
  <c r="P4975" i="2"/>
  <c r="O5446" i="2"/>
  <c r="P5446" i="2"/>
  <c r="O1709" i="2"/>
  <c r="P1709" i="2"/>
  <c r="O4282" i="2"/>
  <c r="P4282" i="2"/>
  <c r="O4290" i="2"/>
  <c r="P4290" i="2"/>
  <c r="O4298" i="2"/>
  <c r="P4298" i="2"/>
  <c r="O4306" i="2"/>
  <c r="P4306" i="2"/>
  <c r="O4338" i="2"/>
  <c r="P4338" i="2"/>
  <c r="O4354" i="2"/>
  <c r="P4354" i="2"/>
  <c r="O111" i="2"/>
  <c r="P111" i="2"/>
  <c r="O4064" i="2"/>
  <c r="P4064" i="2"/>
  <c r="O4386" i="2"/>
  <c r="P4386" i="2"/>
  <c r="O4394" i="2"/>
  <c r="P4394" i="2"/>
  <c r="O4402" i="2"/>
  <c r="P4402" i="2"/>
  <c r="O3612" i="2"/>
  <c r="P3612" i="2"/>
  <c r="O4426" i="2"/>
  <c r="P4426" i="2"/>
  <c r="O4434" i="2"/>
  <c r="P4434" i="2"/>
  <c r="O4442" i="2"/>
  <c r="P4442" i="2"/>
  <c r="O1021" i="2"/>
  <c r="P1021" i="2"/>
  <c r="O4474" i="2"/>
  <c r="P4474" i="2"/>
  <c r="O7201" i="2"/>
  <c r="P7201" i="2"/>
  <c r="O4522" i="2"/>
  <c r="P4522" i="2"/>
  <c r="O4530" i="2"/>
  <c r="P4530" i="2"/>
  <c r="O581" i="2"/>
  <c r="P581" i="2"/>
  <c r="O4554" i="2"/>
  <c r="P4554" i="2"/>
  <c r="O6517" i="2"/>
  <c r="P6517" i="2"/>
  <c r="O3997" i="2"/>
  <c r="P3997" i="2"/>
  <c r="O4586" i="2"/>
  <c r="P4586" i="2"/>
  <c r="O4594" i="2"/>
  <c r="P4594" i="2"/>
  <c r="O4602" i="2"/>
  <c r="P4602" i="2"/>
  <c r="O1968" i="2"/>
  <c r="P1968" i="2"/>
  <c r="O4634" i="2"/>
  <c r="P4634" i="2"/>
  <c r="O4861" i="2"/>
  <c r="P4861" i="2"/>
  <c r="O6541" i="2"/>
  <c r="P6541" i="2"/>
  <c r="O2260" i="2"/>
  <c r="P2260" i="2"/>
  <c r="O1117" i="2"/>
  <c r="P1117" i="2"/>
  <c r="O4851" i="2"/>
  <c r="P4851" i="2"/>
  <c r="O4714" i="2"/>
  <c r="P4714" i="2"/>
  <c r="O4722" i="2"/>
  <c r="P4722" i="2"/>
  <c r="O4730" i="2"/>
  <c r="P4730" i="2"/>
  <c r="O4746" i="2"/>
  <c r="P4746" i="2"/>
  <c r="O4754" i="2"/>
  <c r="P4754" i="2"/>
  <c r="O4762" i="2"/>
  <c r="P4762" i="2"/>
  <c r="O4770" i="2"/>
  <c r="P4770" i="2"/>
  <c r="O5992" i="2"/>
  <c r="P5992" i="2"/>
  <c r="O4794" i="2"/>
  <c r="P4794" i="2"/>
  <c r="O4802" i="2"/>
  <c r="P4802" i="2"/>
  <c r="O4810" i="2"/>
  <c r="P4810" i="2"/>
  <c r="O128" i="2"/>
  <c r="P128" i="2"/>
  <c r="O1286" i="2"/>
  <c r="P1286" i="2"/>
  <c r="O4834" i="2"/>
  <c r="P4834" i="2"/>
  <c r="O4850" i="2"/>
  <c r="P4850" i="2"/>
  <c r="O5146" i="2"/>
  <c r="P5146" i="2"/>
  <c r="O1085" i="2"/>
  <c r="P1085" i="2"/>
  <c r="O3619" i="2"/>
  <c r="P3619" i="2"/>
  <c r="O365" i="2"/>
  <c r="P365" i="2"/>
  <c r="O4890" i="2"/>
  <c r="P4890" i="2"/>
  <c r="O4922" i="2"/>
  <c r="P4922" i="2"/>
  <c r="O4938" i="2"/>
  <c r="P4938" i="2"/>
  <c r="O1014" i="2"/>
  <c r="P1014" i="2"/>
  <c r="O4962" i="2"/>
  <c r="P4962" i="2"/>
  <c r="O4978" i="2"/>
  <c r="P4978" i="2"/>
  <c r="O3359" i="2"/>
  <c r="P3359" i="2"/>
  <c r="O5002" i="2"/>
  <c r="P5002" i="2"/>
  <c r="O6526" i="2"/>
  <c r="P6526" i="2"/>
  <c r="O5503" i="2"/>
  <c r="P5503" i="2"/>
  <c r="O5034" i="2"/>
  <c r="P5034" i="2"/>
  <c r="O5066" i="2"/>
  <c r="P5066" i="2"/>
  <c r="O5074" i="2"/>
  <c r="P5074" i="2"/>
  <c r="O5090" i="2"/>
  <c r="P5090" i="2"/>
  <c r="O5098" i="2"/>
  <c r="P5098" i="2"/>
  <c r="O5106" i="2"/>
  <c r="P5106" i="2"/>
  <c r="O705" i="2"/>
  <c r="P705" i="2"/>
  <c r="O5122" i="2"/>
  <c r="P5122" i="2"/>
  <c r="O5130" i="2"/>
  <c r="P5130" i="2"/>
  <c r="O5523" i="2"/>
  <c r="P5523" i="2"/>
  <c r="O5151" i="2"/>
  <c r="P5151" i="2"/>
  <c r="O5186" i="2"/>
  <c r="P5186" i="2"/>
  <c r="O5194" i="2"/>
  <c r="P5194" i="2"/>
  <c r="O1545" i="2"/>
  <c r="P1545" i="2"/>
  <c r="O5226" i="2"/>
  <c r="P5226" i="2"/>
  <c r="O5234" i="2"/>
  <c r="P5234" i="2"/>
  <c r="O6732" i="2"/>
  <c r="P6732" i="2"/>
  <c r="O7031" i="2"/>
  <c r="P7031" i="2"/>
  <c r="O5829" i="2"/>
  <c r="P5829" i="2"/>
  <c r="O5282" i="2"/>
  <c r="P5282" i="2"/>
  <c r="O5290" i="2"/>
  <c r="P5290" i="2"/>
  <c r="O5298" i="2"/>
  <c r="P5298" i="2"/>
  <c r="O5306" i="2"/>
  <c r="P5306" i="2"/>
  <c r="O5338" i="2"/>
  <c r="P5338" i="2"/>
  <c r="O5346" i="2"/>
  <c r="P5346" i="2"/>
  <c r="O5354" i="2"/>
  <c r="P5354" i="2"/>
  <c r="O5370" i="2"/>
  <c r="P5370" i="2"/>
  <c r="O5378" i="2"/>
  <c r="P5378" i="2"/>
  <c r="O5402" i="2"/>
  <c r="P5402" i="2"/>
  <c r="O5418" i="2"/>
  <c r="P5418" i="2"/>
  <c r="O5434" i="2"/>
  <c r="P5434" i="2"/>
  <c r="O5450" i="2"/>
  <c r="P5450" i="2"/>
  <c r="O4177" i="2"/>
  <c r="P4177" i="2"/>
  <c r="O758" i="2"/>
  <c r="P758" i="2"/>
  <c r="O6591" i="2"/>
  <c r="P6591" i="2"/>
  <c r="O5490" i="2"/>
  <c r="P5490" i="2"/>
  <c r="O5498" i="2"/>
  <c r="P5498" i="2"/>
  <c r="O5506" i="2"/>
  <c r="P5506" i="2"/>
  <c r="O6307" i="2"/>
  <c r="P6307" i="2"/>
  <c r="O4415" i="2"/>
  <c r="P4415" i="2"/>
  <c r="O6857" i="2"/>
  <c r="P6857" i="2"/>
  <c r="O5554" i="2"/>
  <c r="P5554" i="2"/>
  <c r="O4663" i="2"/>
  <c r="P4663" i="2"/>
  <c r="O6866" i="2"/>
  <c r="P6866" i="2"/>
  <c r="O5578" i="2"/>
  <c r="P5578" i="2"/>
  <c r="O4259" i="2"/>
  <c r="P4259" i="2"/>
  <c r="O3681" i="2"/>
  <c r="P3681" i="2"/>
  <c r="O652" i="2"/>
  <c r="P652" i="2"/>
  <c r="O6484" i="2"/>
  <c r="P6484" i="2"/>
  <c r="O5783" i="2"/>
  <c r="P5783" i="2"/>
  <c r="O1027" i="2"/>
  <c r="P1027" i="2"/>
  <c r="O2801" i="2"/>
  <c r="P2801" i="2"/>
  <c r="O5698" i="2"/>
  <c r="P5698" i="2"/>
  <c r="O400" i="2"/>
  <c r="P400" i="2"/>
  <c r="O5722" i="2"/>
  <c r="P5722" i="2"/>
  <c r="O3665" i="2"/>
  <c r="P3665" i="2"/>
  <c r="O5738" i="2"/>
  <c r="P5738" i="2"/>
  <c r="O5746" i="2"/>
  <c r="P5746" i="2"/>
  <c r="O5754" i="2"/>
  <c r="P5754" i="2"/>
  <c r="O5770" i="2"/>
  <c r="P5770" i="2"/>
  <c r="O5778" i="2"/>
  <c r="P5778" i="2"/>
  <c r="O5259" i="2"/>
  <c r="P5259" i="2"/>
  <c r="O389" i="2"/>
  <c r="P389" i="2"/>
  <c r="O1619" i="2"/>
  <c r="P1619" i="2"/>
  <c r="O5813" i="2"/>
  <c r="P5813" i="2"/>
  <c r="O5834" i="2"/>
  <c r="P5834" i="2"/>
  <c r="O3984" i="2"/>
  <c r="P3984" i="2"/>
  <c r="O956" i="2"/>
  <c r="P956" i="2"/>
  <c r="O5898" i="2"/>
  <c r="P5898" i="2"/>
  <c r="O4489" i="2"/>
  <c r="P4489" i="2"/>
  <c r="O5914" i="2"/>
  <c r="P5914" i="2"/>
  <c r="O5922" i="2"/>
  <c r="P5922" i="2"/>
  <c r="O2789" i="2"/>
  <c r="P2789" i="2"/>
  <c r="O1751" i="2"/>
  <c r="P1751" i="2"/>
  <c r="O5946" i="2"/>
  <c r="P5946" i="2"/>
  <c r="O5962" i="2"/>
  <c r="P5962" i="2"/>
  <c r="O5970" i="2"/>
  <c r="P5970" i="2"/>
  <c r="O2268" i="2"/>
  <c r="P2268" i="2"/>
  <c r="O4695" i="2"/>
  <c r="P4695" i="2"/>
  <c r="O5994" i="2"/>
  <c r="P5994" i="2"/>
  <c r="O6034" i="2"/>
  <c r="P6034" i="2"/>
  <c r="O1049" i="2"/>
  <c r="P1049" i="2"/>
  <c r="O6058" i="2"/>
  <c r="P6058" i="2"/>
  <c r="O6066" i="2"/>
  <c r="P6066" i="2"/>
  <c r="O2155" i="2"/>
  <c r="P2155" i="2"/>
  <c r="O5471" i="2"/>
  <c r="P5471" i="2"/>
  <c r="O6090" i="2"/>
  <c r="P6090" i="2"/>
  <c r="O2738" i="2"/>
  <c r="P2738" i="2"/>
  <c r="O6138" i="2"/>
  <c r="P6138" i="2"/>
  <c r="O4524" i="2"/>
  <c r="P4524" i="2"/>
  <c r="O6190" i="2"/>
  <c r="P6190" i="2"/>
  <c r="O6170" i="2"/>
  <c r="P6170" i="2"/>
  <c r="O2850" i="2"/>
  <c r="P2850" i="2"/>
  <c r="O6218" i="2"/>
  <c r="P6218" i="2"/>
  <c r="O4611" i="2"/>
  <c r="P4611" i="2"/>
  <c r="O2755" i="2"/>
  <c r="P2755" i="2"/>
  <c r="O6250" i="2"/>
  <c r="P6250" i="2"/>
  <c r="O6258" i="2"/>
  <c r="P6258" i="2"/>
  <c r="O6266" i="2"/>
  <c r="P6266" i="2"/>
  <c r="O1797" i="2"/>
  <c r="P1797" i="2"/>
  <c r="O175" i="2"/>
  <c r="P175" i="2"/>
  <c r="O6338" i="2"/>
  <c r="P6338" i="2"/>
  <c r="O5472" i="2"/>
  <c r="P5472" i="2"/>
  <c r="O4819" i="2"/>
  <c r="P4819" i="2"/>
  <c r="O6426" i="2"/>
  <c r="P6426" i="2"/>
  <c r="O6434" i="2"/>
  <c r="P6434" i="2"/>
  <c r="O4658" i="2"/>
  <c r="P4658" i="2"/>
  <c r="O6450" i="2"/>
  <c r="P6450" i="2"/>
  <c r="O6458" i="2"/>
  <c r="P6458" i="2"/>
  <c r="O6466" i="2"/>
  <c r="P6466" i="2"/>
  <c r="O6474" i="2"/>
  <c r="P6474" i="2"/>
  <c r="O6096" i="2"/>
  <c r="P6096" i="2"/>
  <c r="O6788" i="2"/>
  <c r="P6788" i="2"/>
  <c r="O6498" i="2"/>
  <c r="P6498" i="2"/>
  <c r="O6506" i="2"/>
  <c r="P6506" i="2"/>
  <c r="O6439" i="2"/>
  <c r="P6439" i="2"/>
  <c r="O2293" i="2"/>
  <c r="P2293" i="2"/>
  <c r="O6538" i="2"/>
  <c r="P6538" i="2"/>
  <c r="O5699" i="2"/>
  <c r="P5699" i="2"/>
  <c r="O740" i="2"/>
  <c r="P740" i="2"/>
  <c r="O6562" i="2"/>
  <c r="P6562" i="2"/>
  <c r="O341" i="2"/>
  <c r="P341" i="2"/>
  <c r="O3763" i="2"/>
  <c r="P3763" i="2"/>
  <c r="O6586" i="2"/>
  <c r="P6586" i="2"/>
  <c r="O6602" i="2"/>
  <c r="P6602" i="2"/>
  <c r="O6610" i="2"/>
  <c r="P6610" i="2"/>
  <c r="O6634" i="2"/>
  <c r="P6634" i="2"/>
  <c r="O2280" i="2"/>
  <c r="P2280" i="2"/>
  <c r="O6650" i="2"/>
  <c r="P6650" i="2"/>
  <c r="O6666" i="2"/>
  <c r="P6666" i="2"/>
  <c r="O6690" i="2"/>
  <c r="P6690" i="2"/>
  <c r="O2008" i="2"/>
  <c r="P2008" i="2"/>
  <c r="O1270" i="2"/>
  <c r="P1270" i="2"/>
  <c r="O6738" i="2"/>
  <c r="P6738" i="2"/>
  <c r="O4205" i="2"/>
  <c r="P4205" i="2"/>
  <c r="O6110" i="2"/>
  <c r="P6110" i="2"/>
  <c r="O5137" i="2"/>
  <c r="P5137" i="2"/>
  <c r="O1103" i="2"/>
  <c r="P1103" i="2"/>
  <c r="O6794" i="2"/>
  <c r="P6794" i="2"/>
  <c r="O7215" i="2"/>
  <c r="P7215" i="2"/>
  <c r="O6826" i="2"/>
  <c r="P6826" i="2"/>
  <c r="O6842" i="2"/>
  <c r="P6842" i="2"/>
  <c r="O6858" i="2"/>
  <c r="P6858" i="2"/>
  <c r="O7138" i="2"/>
  <c r="P7138" i="2"/>
  <c r="O6874" i="2"/>
  <c r="P6874" i="2"/>
  <c r="O6882" i="2"/>
  <c r="P6882" i="2"/>
  <c r="O6890" i="2"/>
  <c r="P6890" i="2"/>
  <c r="O6898" i="2"/>
  <c r="P6898" i="2"/>
  <c r="O1620" i="2"/>
  <c r="P1620" i="2"/>
  <c r="O1406" i="2"/>
  <c r="P1406" i="2"/>
  <c r="O6922" i="2"/>
  <c r="P6922" i="2"/>
  <c r="O6480" i="2"/>
  <c r="P6480" i="2"/>
  <c r="O3938" i="2"/>
  <c r="P3938" i="2"/>
  <c r="O6986" i="2"/>
  <c r="P6986" i="2"/>
  <c r="O7001" i="2"/>
  <c r="P7001" i="2"/>
  <c r="O195" i="2"/>
  <c r="P195" i="2"/>
  <c r="O7010" i="2"/>
  <c r="P7010" i="2"/>
  <c r="O6928" i="2"/>
  <c r="P6928" i="2"/>
  <c r="O7026" i="2"/>
  <c r="P7026" i="2"/>
  <c r="O7034" i="2"/>
  <c r="P7034" i="2"/>
  <c r="O5995" i="2"/>
  <c r="P5995" i="2"/>
  <c r="O7058" i="2"/>
  <c r="P7058" i="2"/>
  <c r="O7082" i="2"/>
  <c r="P7082" i="2"/>
  <c r="O7090" i="2"/>
  <c r="P7090" i="2"/>
  <c r="O7098" i="2"/>
  <c r="P7098" i="2"/>
  <c r="O7106" i="2"/>
  <c r="P7106" i="2"/>
  <c r="O7114" i="2"/>
  <c r="P7114" i="2"/>
  <c r="O6050" i="2"/>
  <c r="P6050" i="2"/>
  <c r="O7130" i="2"/>
  <c r="P7130" i="2"/>
  <c r="O315" i="2"/>
  <c r="P315" i="2"/>
  <c r="O6789" i="2"/>
  <c r="P6789" i="2"/>
  <c r="O7154" i="2"/>
  <c r="P7154" i="2"/>
  <c r="O7178" i="2"/>
  <c r="P7178" i="2"/>
  <c r="O7186" i="2"/>
  <c r="P7186" i="2"/>
  <c r="O7202" i="2"/>
  <c r="P7202" i="2"/>
  <c r="O5014" i="2"/>
  <c r="P5014" i="2"/>
  <c r="O7234" i="2"/>
  <c r="P7234" i="2"/>
  <c r="O7242" i="2"/>
  <c r="P7242" i="2"/>
  <c r="O7250" i="2"/>
  <c r="P7250" i="2"/>
  <c r="O7258" i="2"/>
  <c r="P7258" i="2"/>
  <c r="O7290" i="2"/>
  <c r="P7290" i="2"/>
  <c r="O7297" i="2"/>
  <c r="P7297" i="2"/>
  <c r="O7305" i="2"/>
  <c r="P7305" i="2"/>
  <c r="O7313" i="2"/>
  <c r="P7313" i="2"/>
  <c r="O7321" i="2"/>
  <c r="P7321" i="2"/>
  <c r="O7329" i="2"/>
  <c r="P7329" i="2"/>
  <c r="O7337" i="2"/>
  <c r="P7337" i="2"/>
  <c r="O7345" i="2"/>
  <c r="P7345" i="2"/>
  <c r="O7353" i="2"/>
  <c r="P7353" i="2"/>
  <c r="O7361" i="2"/>
  <c r="P7361" i="2"/>
  <c r="O7369" i="2"/>
  <c r="P7369" i="2"/>
  <c r="O7377" i="2"/>
  <c r="P7377" i="2"/>
  <c r="O7385" i="2"/>
  <c r="P7385" i="2"/>
  <c r="O7393" i="2"/>
  <c r="P7393" i="2"/>
  <c r="O7401" i="2"/>
  <c r="P7401" i="2"/>
  <c r="O7409" i="2"/>
  <c r="P7409" i="2"/>
  <c r="O7417" i="2"/>
  <c r="P7417" i="2"/>
  <c r="O7425" i="2"/>
  <c r="P7425" i="2"/>
  <c r="O7433" i="2"/>
  <c r="P7433" i="2"/>
  <c r="O7441" i="2"/>
  <c r="P7441" i="2"/>
  <c r="O7449" i="2"/>
  <c r="P7449" i="2"/>
  <c r="O7457" i="2"/>
  <c r="P7457" i="2"/>
  <c r="O7465" i="2"/>
  <c r="P7465" i="2"/>
  <c r="O7473" i="2"/>
  <c r="P7473" i="2"/>
  <c r="O7481" i="2"/>
  <c r="P7481" i="2"/>
  <c r="O7489" i="2"/>
  <c r="P7489" i="2"/>
  <c r="O7497" i="2"/>
  <c r="P7497" i="2"/>
  <c r="O7505" i="2"/>
  <c r="P7505" i="2"/>
  <c r="O7513" i="2"/>
  <c r="P7513" i="2"/>
  <c r="O7521" i="2"/>
  <c r="P7521" i="2"/>
  <c r="O7529" i="2"/>
  <c r="P7529" i="2"/>
  <c r="O7537" i="2"/>
  <c r="P7537" i="2"/>
  <c r="O7545" i="2"/>
  <c r="P7545" i="2"/>
  <c r="O7553" i="2"/>
  <c r="P7553" i="2"/>
  <c r="O7561" i="2"/>
  <c r="P7561" i="2"/>
  <c r="O7569" i="2"/>
  <c r="P7569" i="2"/>
  <c r="O7577" i="2"/>
  <c r="P7577" i="2"/>
  <c r="O7585" i="2"/>
  <c r="P7585" i="2"/>
  <c r="O7593" i="2"/>
  <c r="P7593" i="2"/>
  <c r="O7601" i="2"/>
  <c r="P7601" i="2"/>
  <c r="O7609" i="2"/>
  <c r="P7609" i="2"/>
  <c r="O7617" i="2"/>
  <c r="P7617" i="2"/>
  <c r="O7625" i="2"/>
  <c r="P7625" i="2"/>
  <c r="O7633" i="2"/>
  <c r="P7633" i="2"/>
  <c r="O7641" i="2"/>
  <c r="P7641" i="2"/>
  <c r="O7649" i="2"/>
  <c r="P7649" i="2"/>
  <c r="O7657" i="2"/>
  <c r="P7657" i="2"/>
  <c r="O7665" i="2"/>
  <c r="P7665" i="2"/>
  <c r="O7673" i="2"/>
  <c r="P7673" i="2"/>
  <c r="O7681" i="2"/>
  <c r="P7681" i="2"/>
  <c r="O7689" i="2"/>
  <c r="P7689" i="2"/>
  <c r="O7697" i="2"/>
  <c r="P7697" i="2"/>
  <c r="O7705" i="2"/>
  <c r="P7705" i="2"/>
  <c r="O7713" i="2"/>
  <c r="P7713" i="2"/>
  <c r="O7721" i="2"/>
  <c r="P7721" i="2"/>
  <c r="O7729" i="2"/>
  <c r="P7729" i="2"/>
  <c r="O7737" i="2"/>
  <c r="P7737" i="2"/>
  <c r="O7745" i="2"/>
  <c r="P7745" i="2"/>
  <c r="O7753" i="2"/>
  <c r="P7753" i="2"/>
  <c r="O7761" i="2"/>
  <c r="P7761" i="2"/>
  <c r="O7769" i="2"/>
  <c r="P7769" i="2"/>
  <c r="O7777" i="2"/>
  <c r="P7777" i="2"/>
  <c r="O7785" i="2"/>
  <c r="P7785" i="2"/>
  <c r="O7793" i="2"/>
  <c r="P7793" i="2"/>
  <c r="O7801" i="2"/>
  <c r="P7801" i="2"/>
  <c r="O7809" i="2"/>
  <c r="P7809" i="2"/>
  <c r="O7817" i="2"/>
  <c r="P7817" i="2"/>
  <c r="O7825" i="2"/>
  <c r="P7825" i="2"/>
  <c r="O7833" i="2"/>
  <c r="P7833" i="2"/>
  <c r="O7841" i="2"/>
  <c r="P7841" i="2"/>
  <c r="O7849" i="2"/>
  <c r="P7849" i="2"/>
  <c r="O7857" i="2"/>
  <c r="P7857" i="2"/>
  <c r="O7865" i="2"/>
  <c r="P7865" i="2"/>
  <c r="O7873" i="2"/>
  <c r="P7873" i="2"/>
  <c r="O7881" i="2"/>
  <c r="P7881" i="2"/>
  <c r="O7889" i="2"/>
  <c r="P7889" i="2"/>
  <c r="O7897" i="2"/>
  <c r="P7897" i="2"/>
  <c r="O7905" i="2"/>
  <c r="P7905" i="2"/>
  <c r="O7913" i="2"/>
  <c r="P7913" i="2"/>
  <c r="O7921" i="2"/>
  <c r="P7921" i="2"/>
  <c r="O7929" i="2"/>
  <c r="P7929" i="2"/>
  <c r="O7937" i="2"/>
  <c r="P7937" i="2"/>
  <c r="O7945" i="2"/>
  <c r="P7945" i="2"/>
  <c r="O7953" i="2"/>
  <c r="P7953" i="2"/>
  <c r="O7961" i="2"/>
  <c r="P7961" i="2"/>
  <c r="O7969" i="2"/>
  <c r="P7969" i="2"/>
  <c r="O7977" i="2"/>
  <c r="P7977" i="2"/>
  <c r="O7985" i="2"/>
  <c r="P7985" i="2"/>
  <c r="O7993" i="2"/>
  <c r="P7993" i="2"/>
  <c r="O8001" i="2"/>
  <c r="P8001" i="2"/>
  <c r="O8009" i="2"/>
  <c r="P8009" i="2"/>
  <c r="O8017" i="2"/>
  <c r="P8017" i="2"/>
  <c r="O8025" i="2"/>
  <c r="P8025" i="2"/>
  <c r="O8033" i="2"/>
  <c r="P8033" i="2"/>
  <c r="O8041" i="2"/>
  <c r="P8041" i="2"/>
  <c r="O8049" i="2"/>
  <c r="P8049" i="2"/>
  <c r="O8057" i="2"/>
  <c r="P8057" i="2"/>
  <c r="O8065" i="2"/>
  <c r="P8065" i="2"/>
  <c r="O8073" i="2"/>
  <c r="P8073" i="2"/>
  <c r="O8081" i="2"/>
  <c r="P8081" i="2"/>
  <c r="O8089" i="2"/>
  <c r="P8089" i="2"/>
  <c r="O8097" i="2"/>
  <c r="P8097" i="2"/>
  <c r="O8105" i="2"/>
  <c r="P8105" i="2"/>
  <c r="O8113" i="2"/>
  <c r="P8113" i="2"/>
  <c r="O8121" i="2"/>
  <c r="P8121" i="2"/>
  <c r="O8129" i="2"/>
  <c r="P8129" i="2"/>
  <c r="O8137" i="2"/>
  <c r="P8137" i="2"/>
  <c r="O8145" i="2"/>
  <c r="P8145" i="2"/>
  <c r="O3" i="2"/>
  <c r="P3" i="2"/>
  <c r="O35" i="2"/>
  <c r="P35" i="2"/>
  <c r="O2403" i="2"/>
  <c r="P2403" i="2"/>
  <c r="O4084" i="2"/>
  <c r="P4084" i="2"/>
  <c r="O83" i="2"/>
  <c r="P83" i="2"/>
  <c r="O324" i="2"/>
  <c r="P324" i="2"/>
  <c r="O99" i="2"/>
  <c r="P99" i="2"/>
  <c r="O107" i="2"/>
  <c r="P107" i="2"/>
  <c r="O3037" i="2"/>
  <c r="P3037" i="2"/>
  <c r="O147" i="2"/>
  <c r="P147" i="2"/>
  <c r="O163" i="2"/>
  <c r="P163" i="2"/>
  <c r="O171" i="2"/>
  <c r="P171" i="2"/>
  <c r="O3705" i="2"/>
  <c r="P3705" i="2"/>
  <c r="O4640" i="2"/>
  <c r="P4640" i="2"/>
  <c r="O6769" i="2"/>
  <c r="P6769" i="2"/>
  <c r="O1364" i="2"/>
  <c r="P1364" i="2"/>
  <c r="O243" i="2"/>
  <c r="P243" i="2"/>
  <c r="O6771" i="2"/>
  <c r="P6771" i="2"/>
  <c r="O5337" i="2"/>
  <c r="P5337" i="2"/>
  <c r="O6750" i="2"/>
  <c r="P6750" i="2"/>
  <c r="O339" i="2"/>
  <c r="P339" i="2"/>
  <c r="O347" i="2"/>
  <c r="P347" i="2"/>
  <c r="O363" i="2"/>
  <c r="P363" i="2"/>
  <c r="O4043" i="2"/>
  <c r="P4043" i="2"/>
  <c r="O379" i="2"/>
  <c r="P379" i="2"/>
  <c r="O395" i="2"/>
  <c r="P395" i="2"/>
  <c r="O6707" i="2"/>
  <c r="P6707" i="2"/>
  <c r="O427" i="2"/>
  <c r="P427" i="2"/>
  <c r="O435" i="2"/>
  <c r="P435" i="2"/>
  <c r="O451" i="2"/>
  <c r="P451" i="2"/>
  <c r="O2056" i="2"/>
  <c r="P2056" i="2"/>
  <c r="O499" i="2"/>
  <c r="P499" i="2"/>
  <c r="O394" i="2"/>
  <c r="P394" i="2"/>
  <c r="O3680" i="2"/>
  <c r="P3680" i="2"/>
  <c r="O539" i="2"/>
  <c r="P539" i="2"/>
  <c r="O6708" i="2"/>
  <c r="P6708" i="2"/>
  <c r="O563" i="2"/>
  <c r="P563" i="2"/>
  <c r="O3449" i="2"/>
  <c r="P3449" i="2"/>
  <c r="O619" i="2"/>
  <c r="P619" i="2"/>
  <c r="O643" i="2"/>
  <c r="P643" i="2"/>
  <c r="O3041" i="2"/>
  <c r="P3041" i="2"/>
  <c r="O659" i="2"/>
  <c r="P659" i="2"/>
  <c r="O37" i="2"/>
  <c r="P37" i="2"/>
  <c r="O691" i="2"/>
  <c r="P691" i="2"/>
  <c r="O3202" i="2"/>
  <c r="P3202" i="2"/>
  <c r="O739" i="2"/>
  <c r="P739" i="2"/>
  <c r="O5928" i="2"/>
  <c r="P5928" i="2"/>
  <c r="O763" i="2"/>
  <c r="P763" i="2"/>
  <c r="O536" i="2"/>
  <c r="P536" i="2"/>
  <c r="O787" i="2"/>
  <c r="P787" i="2"/>
  <c r="O1054" i="2"/>
  <c r="P1054" i="2"/>
  <c r="O803" i="2"/>
  <c r="P803" i="2"/>
  <c r="O1910" i="2"/>
  <c r="P1910" i="2"/>
  <c r="O827" i="2"/>
  <c r="P827" i="2"/>
  <c r="O843" i="2"/>
  <c r="P843" i="2"/>
  <c r="O851" i="2"/>
  <c r="P851" i="2"/>
  <c r="O883" i="2"/>
  <c r="P883" i="2"/>
  <c r="O656" i="2"/>
  <c r="P656" i="2"/>
  <c r="O4812" i="2"/>
  <c r="P4812" i="2"/>
  <c r="O923" i="2"/>
  <c r="P923" i="2"/>
  <c r="O5625" i="2"/>
  <c r="P5625" i="2"/>
  <c r="O4678" i="2"/>
  <c r="P4678" i="2"/>
  <c r="O955" i="2"/>
  <c r="P955" i="2"/>
  <c r="O5618" i="2"/>
  <c r="P5618" i="2"/>
  <c r="O987" i="2"/>
  <c r="P987" i="2"/>
  <c r="O995" i="2"/>
  <c r="P995" i="2"/>
  <c r="O1019" i="2"/>
  <c r="P1019" i="2"/>
  <c r="O985" i="2"/>
  <c r="P985" i="2"/>
  <c r="O1035" i="2"/>
  <c r="P1035" i="2"/>
  <c r="O1043" i="2"/>
  <c r="P1043" i="2"/>
  <c r="O1051" i="2"/>
  <c r="P1051" i="2"/>
  <c r="O1059" i="2"/>
  <c r="P1059" i="2"/>
  <c r="O5911" i="2"/>
  <c r="P5911" i="2"/>
  <c r="O2645" i="2"/>
  <c r="P2645" i="2"/>
  <c r="O5966" i="2"/>
  <c r="P5966" i="2"/>
  <c r="O1091" i="2"/>
  <c r="P1091" i="2"/>
  <c r="O1099" i="2"/>
  <c r="P1099" i="2"/>
  <c r="O1107" i="2"/>
  <c r="P1107" i="2"/>
  <c r="O3165" i="2"/>
  <c r="P3165" i="2"/>
  <c r="O1147" i="2"/>
  <c r="P1147" i="2"/>
  <c r="O3661" i="2"/>
  <c r="P3661" i="2"/>
  <c r="O6836" i="2"/>
  <c r="P6836" i="2"/>
  <c r="O1195" i="2"/>
  <c r="P1195" i="2"/>
  <c r="O1211" i="2"/>
  <c r="P1211" i="2"/>
  <c r="O1227" i="2"/>
  <c r="P1227" i="2"/>
  <c r="O1235" i="2"/>
  <c r="P1235" i="2"/>
  <c r="O1243" i="2"/>
  <c r="P1243" i="2"/>
  <c r="O1267" i="2"/>
  <c r="P1267" i="2"/>
  <c r="O7017" i="2"/>
  <c r="P7017" i="2"/>
  <c r="O1291" i="2"/>
  <c r="P1291" i="2"/>
  <c r="O4096" i="2"/>
  <c r="P4096" i="2"/>
  <c r="O5133" i="2"/>
  <c r="P5133" i="2"/>
  <c r="O1379" i="2"/>
  <c r="P1379" i="2"/>
  <c r="O1387" i="2"/>
  <c r="P1387" i="2"/>
  <c r="O1395" i="2"/>
  <c r="P1395" i="2"/>
  <c r="O1403" i="2"/>
  <c r="P1403" i="2"/>
  <c r="O1420" i="2"/>
  <c r="P1420" i="2"/>
  <c r="O1443" i="2"/>
  <c r="P1443" i="2"/>
  <c r="O3014" i="2"/>
  <c r="P3014" i="2"/>
  <c r="O1499" i="2"/>
  <c r="P1499" i="2"/>
  <c r="O2920" i="2"/>
  <c r="P2920" i="2"/>
  <c r="O1531" i="2"/>
  <c r="P1531" i="2"/>
  <c r="O5968" i="2"/>
  <c r="P5968" i="2"/>
  <c r="O1571" i="2"/>
  <c r="P1571" i="2"/>
  <c r="O1587" i="2"/>
  <c r="P1587" i="2"/>
  <c r="O1595" i="2"/>
  <c r="P1595" i="2"/>
  <c r="O1603" i="2"/>
  <c r="P1603" i="2"/>
  <c r="O3544" i="2"/>
  <c r="P3544" i="2"/>
  <c r="O1627" i="2"/>
  <c r="P1627" i="2"/>
  <c r="O1659" i="2"/>
  <c r="P1659" i="2"/>
  <c r="O1675" i="2"/>
  <c r="P1675" i="2"/>
  <c r="O1118" i="2"/>
  <c r="P1118" i="2"/>
  <c r="O1699" i="2"/>
  <c r="P1699" i="2"/>
  <c r="O1747" i="2"/>
  <c r="P1747" i="2"/>
  <c r="O1779" i="2"/>
  <c r="P1779" i="2"/>
  <c r="O1787" i="2"/>
  <c r="P1787" i="2"/>
  <c r="O1819" i="2"/>
  <c r="P1819" i="2"/>
  <c r="O1097" i="2"/>
  <c r="P1097" i="2"/>
  <c r="O1859" i="2"/>
  <c r="P1859" i="2"/>
  <c r="O1883" i="2"/>
  <c r="P1883" i="2"/>
  <c r="O1891" i="2"/>
  <c r="P1891" i="2"/>
  <c r="O1899" i="2"/>
  <c r="P1899" i="2"/>
  <c r="O2345" i="2"/>
  <c r="P2345" i="2"/>
  <c r="O1915" i="2"/>
  <c r="P1915" i="2"/>
  <c r="O759" i="2"/>
  <c r="P759" i="2"/>
  <c r="O5818" i="2"/>
  <c r="P5818" i="2"/>
  <c r="O1955" i="2"/>
  <c r="P1955" i="2"/>
  <c r="O1963" i="2"/>
  <c r="P1963" i="2"/>
  <c r="O3164" i="2"/>
  <c r="P3164" i="2"/>
  <c r="O3856" i="2"/>
  <c r="P3856" i="2"/>
  <c r="O7222" i="2"/>
  <c r="P7222" i="2"/>
  <c r="O2075" i="2"/>
  <c r="P2075" i="2"/>
  <c r="O5544" i="2"/>
  <c r="P5544" i="2"/>
  <c r="O2091" i="2"/>
  <c r="P2091" i="2"/>
  <c r="O3857" i="2"/>
  <c r="P3857" i="2"/>
  <c r="O2123" i="2"/>
  <c r="P2123" i="2"/>
  <c r="O2131" i="2"/>
  <c r="P2131" i="2"/>
  <c r="O2224" i="2"/>
  <c r="P2224" i="2"/>
  <c r="O2163" i="2"/>
  <c r="P2163" i="2"/>
  <c r="O329" i="2"/>
  <c r="P329" i="2"/>
  <c r="O2831" i="2"/>
  <c r="P2831" i="2"/>
  <c r="O2219" i="2"/>
  <c r="P2219" i="2"/>
  <c r="O2227" i="2"/>
  <c r="P2227" i="2"/>
  <c r="O2235" i="2"/>
  <c r="P2235" i="2"/>
  <c r="O2243" i="2"/>
  <c r="P2243" i="2"/>
  <c r="O5102" i="2"/>
  <c r="P5102" i="2"/>
  <c r="O2259" i="2"/>
  <c r="P2259" i="2"/>
  <c r="O764" i="2"/>
  <c r="P764" i="2"/>
  <c r="O570" i="2"/>
  <c r="P570" i="2"/>
  <c r="O2104" i="2"/>
  <c r="P2104" i="2"/>
  <c r="O2339" i="2"/>
  <c r="P2339" i="2"/>
  <c r="O2298" i="2"/>
  <c r="P2298" i="2"/>
  <c r="O5033" i="2"/>
  <c r="P5033" i="2"/>
  <c r="O2387" i="2"/>
  <c r="P2387" i="2"/>
  <c r="O1225" i="2"/>
  <c r="P1225" i="2"/>
  <c r="O1151" i="2"/>
  <c r="P1151" i="2"/>
  <c r="O6943" i="2"/>
  <c r="P6943" i="2"/>
  <c r="O2443" i="2"/>
  <c r="P2443" i="2"/>
  <c r="O2451" i="2"/>
  <c r="P2451" i="2"/>
  <c r="O2467" i="2"/>
  <c r="P2467" i="2"/>
  <c r="O2499" i="2"/>
  <c r="P2499" i="2"/>
  <c r="O2507" i="2"/>
  <c r="P2507" i="2"/>
  <c r="O2515" i="2"/>
  <c r="P2515" i="2"/>
  <c r="O2523" i="2"/>
  <c r="P2523" i="2"/>
  <c r="O2539" i="2"/>
  <c r="P2539" i="2"/>
  <c r="O2587" i="2"/>
  <c r="P2587" i="2"/>
  <c r="O2603" i="2"/>
  <c r="P2603" i="2"/>
  <c r="O2611" i="2"/>
  <c r="P2611" i="2"/>
  <c r="O1135" i="2"/>
  <c r="P1135" i="2"/>
  <c r="O2659" i="2"/>
  <c r="P2659" i="2"/>
  <c r="O2691" i="2"/>
  <c r="P2691" i="2"/>
  <c r="O2699" i="2"/>
  <c r="P2699" i="2"/>
  <c r="O2707" i="2"/>
  <c r="P2707" i="2"/>
  <c r="O2715" i="2"/>
  <c r="P2715" i="2"/>
  <c r="O2723" i="2"/>
  <c r="P2723" i="2"/>
  <c r="O2614" i="2"/>
  <c r="P2614" i="2"/>
  <c r="O6519" i="2"/>
  <c r="P6519" i="2"/>
  <c r="O2747" i="2"/>
  <c r="P2747" i="2"/>
  <c r="O5482" i="2"/>
  <c r="P5482" i="2"/>
  <c r="O734" i="2"/>
  <c r="P734" i="2"/>
  <c r="O6022" i="2"/>
  <c r="P6022" i="2"/>
  <c r="O2803" i="2"/>
  <c r="P2803" i="2"/>
  <c r="O4871" i="2"/>
  <c r="P4871" i="2"/>
  <c r="O2819" i="2"/>
  <c r="P2819" i="2"/>
  <c r="O878" i="2"/>
  <c r="P878" i="2"/>
  <c r="O2835" i="2"/>
  <c r="P2835" i="2"/>
  <c r="O2859" i="2"/>
  <c r="P2859" i="2"/>
  <c r="O2899" i="2"/>
  <c r="P2899" i="2"/>
  <c r="O2939" i="2"/>
  <c r="P2939" i="2"/>
  <c r="O1597" i="2"/>
  <c r="P1597" i="2"/>
  <c r="O2955" i="2"/>
  <c r="P2955" i="2"/>
  <c r="O2963" i="2"/>
  <c r="P2963" i="2"/>
  <c r="O2979" i="2"/>
  <c r="P2979" i="2"/>
  <c r="O2995" i="2"/>
  <c r="P2995" i="2"/>
  <c r="O3011" i="2"/>
  <c r="P3011" i="2"/>
  <c r="O3019" i="2"/>
  <c r="P3019" i="2"/>
  <c r="O3027" i="2"/>
  <c r="P3027" i="2"/>
  <c r="O360" i="2"/>
  <c r="P360" i="2"/>
  <c r="O3107" i="2"/>
  <c r="P3107" i="2"/>
  <c r="O3123" i="2"/>
  <c r="P3123" i="2"/>
  <c r="O3139" i="2"/>
  <c r="P3139" i="2"/>
  <c r="O3147" i="2"/>
  <c r="P3147" i="2"/>
  <c r="O3163" i="2"/>
  <c r="P3163" i="2"/>
  <c r="O6565" i="2"/>
  <c r="P6565" i="2"/>
  <c r="O3195" i="2"/>
  <c r="P3195" i="2"/>
  <c r="O3227" i="2"/>
  <c r="P3227" i="2"/>
  <c r="O3251" i="2"/>
  <c r="P3251" i="2"/>
  <c r="O3267" i="2"/>
  <c r="P3267" i="2"/>
  <c r="O1384" i="2"/>
  <c r="P1384" i="2"/>
  <c r="O3299" i="2"/>
  <c r="P3299" i="2"/>
  <c r="O3323" i="2"/>
  <c r="P3323" i="2"/>
  <c r="O3347" i="2"/>
  <c r="P3347" i="2"/>
  <c r="O5985" i="2"/>
  <c r="P5985" i="2"/>
  <c r="O3363" i="2"/>
  <c r="P3363" i="2"/>
  <c r="O3371" i="2"/>
  <c r="P3371" i="2"/>
  <c r="O3403" i="2"/>
  <c r="P3403" i="2"/>
  <c r="O4843" i="2"/>
  <c r="P4843" i="2"/>
  <c r="O3435" i="2"/>
  <c r="P3435" i="2"/>
  <c r="O3451" i="2"/>
  <c r="P3451" i="2"/>
  <c r="O4125" i="2"/>
  <c r="P4125" i="2"/>
  <c r="O3483" i="2"/>
  <c r="P3483" i="2"/>
  <c r="O3491" i="2"/>
  <c r="P3491" i="2"/>
  <c r="O6160" i="2"/>
  <c r="P6160" i="2"/>
  <c r="O3579" i="2"/>
  <c r="P3579" i="2"/>
  <c r="O1949" i="2"/>
  <c r="P1949" i="2"/>
  <c r="O5233" i="2"/>
  <c r="P5233" i="2"/>
  <c r="O3813" i="2"/>
  <c r="P3813" i="2"/>
  <c r="O3688" i="2"/>
  <c r="P3688" i="2"/>
  <c r="O2106" i="2"/>
  <c r="P2106" i="2"/>
  <c r="O3675" i="2"/>
  <c r="P3675" i="2"/>
  <c r="O3683" i="2"/>
  <c r="P3683" i="2"/>
  <c r="O3887" i="2"/>
  <c r="P3887" i="2"/>
  <c r="O2376" i="2"/>
  <c r="P2376" i="2"/>
  <c r="O3723" i="2"/>
  <c r="P3723" i="2"/>
  <c r="O2537" i="2"/>
  <c r="P2537" i="2"/>
  <c r="O3739" i="2"/>
  <c r="P3739" i="2"/>
  <c r="O4169" i="2"/>
  <c r="P4169" i="2"/>
  <c r="O674" i="2"/>
  <c r="P674" i="2"/>
  <c r="O5721" i="2"/>
  <c r="P5721" i="2"/>
  <c r="O4844" i="2"/>
  <c r="P4844" i="2"/>
  <c r="O3835" i="2"/>
  <c r="P3835" i="2"/>
  <c r="O891" i="2"/>
  <c r="P891" i="2"/>
  <c r="O3867" i="2"/>
  <c r="P3867" i="2"/>
  <c r="O3883" i="2"/>
  <c r="P3883" i="2"/>
  <c r="O3899" i="2"/>
  <c r="P3899" i="2"/>
  <c r="O2372" i="2"/>
  <c r="P2372" i="2"/>
  <c r="O3939" i="2"/>
  <c r="P3939" i="2"/>
  <c r="O3947" i="2"/>
  <c r="P3947" i="2"/>
  <c r="O3971" i="2"/>
  <c r="P3971" i="2"/>
  <c r="O6642" i="2"/>
  <c r="P6642" i="2"/>
  <c r="O4011" i="2"/>
  <c r="P4011" i="2"/>
  <c r="O4863" i="2"/>
  <c r="P4863" i="2"/>
  <c r="O692" i="2"/>
  <c r="P692" i="2"/>
  <c r="O4067" i="2"/>
  <c r="P4067" i="2"/>
  <c r="O237" i="2"/>
  <c r="P237" i="2"/>
  <c r="O4083" i="2"/>
  <c r="P4083" i="2"/>
  <c r="O3743" i="2"/>
  <c r="P3743" i="2"/>
  <c r="O4115" i="2"/>
  <c r="P4115" i="2"/>
  <c r="O2800" i="2"/>
  <c r="P2800" i="2"/>
  <c r="O4147" i="2"/>
  <c r="P4147" i="2"/>
  <c r="O4155" i="2"/>
  <c r="P4155" i="2"/>
  <c r="O3170" i="2"/>
  <c r="P3170" i="2"/>
  <c r="O4623" i="2"/>
  <c r="P4623" i="2"/>
  <c r="O4203" i="2"/>
  <c r="P4203" i="2"/>
  <c r="O5452" i="2"/>
  <c r="P5452" i="2"/>
  <c r="O4275" i="2"/>
  <c r="P4275" i="2"/>
  <c r="O2982" i="2"/>
  <c r="P2982" i="2"/>
  <c r="O330" i="2"/>
  <c r="P330" i="2"/>
  <c r="O4307" i="2"/>
  <c r="P4307" i="2"/>
  <c r="O4339" i="2"/>
  <c r="P4339" i="2"/>
  <c r="O1159" i="2"/>
  <c r="P1159" i="2"/>
  <c r="O4363" i="2"/>
  <c r="P4363" i="2"/>
  <c r="O4387" i="2"/>
  <c r="P4387" i="2"/>
  <c r="O4403" i="2"/>
  <c r="P4403" i="2"/>
  <c r="O4427" i="2"/>
  <c r="P4427" i="2"/>
  <c r="O4491" i="2"/>
  <c r="P4491" i="2"/>
  <c r="O203" i="2"/>
  <c r="P203" i="2"/>
  <c r="O4547" i="2"/>
  <c r="P4547" i="2"/>
  <c r="O7065" i="2"/>
  <c r="P7065" i="2"/>
  <c r="O1264" i="2"/>
  <c r="P1264" i="2"/>
  <c r="O4603" i="2"/>
  <c r="P4603" i="2"/>
  <c r="O6411" i="2"/>
  <c r="P6411" i="2"/>
  <c r="O4635" i="2"/>
  <c r="P4635" i="2"/>
  <c r="O7011" i="2"/>
  <c r="P7011" i="2"/>
  <c r="O3613" i="2"/>
  <c r="P3613" i="2"/>
  <c r="O4675" i="2"/>
  <c r="P4675" i="2"/>
  <c r="O233" i="2"/>
  <c r="P233" i="2"/>
  <c r="O6072" i="2"/>
  <c r="P6072" i="2"/>
  <c r="O4731" i="2"/>
  <c r="P4731" i="2"/>
  <c r="O2540" i="2"/>
  <c r="P2540" i="2"/>
  <c r="O4771" i="2"/>
  <c r="P4771" i="2"/>
  <c r="O1290" i="2"/>
  <c r="P1290" i="2"/>
  <c r="O4803" i="2"/>
  <c r="P4803" i="2"/>
  <c r="O4811" i="2"/>
  <c r="P4811" i="2"/>
  <c r="O2363" i="2"/>
  <c r="P2363" i="2"/>
  <c r="O6416" i="2"/>
  <c r="P6416" i="2"/>
  <c r="O6726" i="2"/>
  <c r="P6726" i="2"/>
  <c r="O3802" i="2"/>
  <c r="P3802" i="2"/>
  <c r="O4859" i="2"/>
  <c r="P4859" i="2"/>
  <c r="O5682" i="2"/>
  <c r="P5682" i="2"/>
  <c r="O3620" i="2"/>
  <c r="P3620" i="2"/>
  <c r="O4883" i="2"/>
  <c r="P4883" i="2"/>
  <c r="O7209" i="2"/>
  <c r="P7209" i="2"/>
  <c r="O4963" i="2"/>
  <c r="P4963" i="2"/>
  <c r="O6441" i="2"/>
  <c r="P6441" i="2"/>
  <c r="O5003" i="2"/>
  <c r="P5003" i="2"/>
  <c r="O4379" i="2"/>
  <c r="P4379" i="2"/>
  <c r="O5043" i="2"/>
  <c r="P5043" i="2"/>
  <c r="O5067" i="2"/>
  <c r="P5067" i="2"/>
  <c r="O6290" i="2"/>
  <c r="P6290" i="2"/>
  <c r="O5123" i="2"/>
  <c r="P5123" i="2"/>
  <c r="O2997" i="2"/>
  <c r="P2997" i="2"/>
  <c r="O239" i="2"/>
  <c r="P239" i="2"/>
  <c r="O5163" i="2"/>
  <c r="P5163" i="2"/>
  <c r="O5203" i="2"/>
  <c r="P5203" i="2"/>
  <c r="O5219" i="2"/>
  <c r="P5219" i="2"/>
  <c r="O5235" i="2"/>
  <c r="P5235" i="2"/>
  <c r="O761" i="2"/>
  <c r="P761" i="2"/>
  <c r="O5251" i="2"/>
  <c r="P5251" i="2"/>
  <c r="O4860" i="2"/>
  <c r="P4860" i="2"/>
  <c r="O136" i="2"/>
  <c r="P136" i="2"/>
  <c r="O5339" i="2"/>
  <c r="P5339" i="2"/>
  <c r="O4176" i="2"/>
  <c r="P4176" i="2"/>
  <c r="O5355" i="2"/>
  <c r="P5355" i="2"/>
  <c r="O5379" i="2"/>
  <c r="P5379" i="2"/>
  <c r="O5411" i="2"/>
  <c r="P5411" i="2"/>
  <c r="O5435" i="2"/>
  <c r="P5435" i="2"/>
  <c r="O5451" i="2"/>
  <c r="P5451" i="2"/>
  <c r="O5308" i="2"/>
  <c r="P5308" i="2"/>
  <c r="O3047" i="2"/>
  <c r="P3047" i="2"/>
  <c r="O5491" i="2"/>
  <c r="P5491" i="2"/>
  <c r="O5499" i="2"/>
  <c r="P5499" i="2"/>
  <c r="O3001" i="2"/>
  <c r="P3001" i="2"/>
  <c r="O5531" i="2"/>
  <c r="P5531" i="2"/>
  <c r="O6418" i="2"/>
  <c r="P6418" i="2"/>
  <c r="O3258" i="2"/>
  <c r="P3258" i="2"/>
  <c r="O4735" i="2"/>
  <c r="P4735" i="2"/>
  <c r="O5619" i="2"/>
  <c r="P5619" i="2"/>
  <c r="O4531" i="2"/>
  <c r="P4531" i="2"/>
  <c r="O5643" i="2"/>
  <c r="P5643" i="2"/>
  <c r="O7260" i="2"/>
  <c r="P7260" i="2"/>
  <c r="O5254" i="2"/>
  <c r="P5254" i="2"/>
  <c r="O5723" i="2"/>
  <c r="P5723" i="2"/>
  <c r="O5739" i="2"/>
  <c r="P5739" i="2"/>
  <c r="O5755" i="2"/>
  <c r="P5755" i="2"/>
  <c r="O5771" i="2"/>
  <c r="P5771" i="2"/>
  <c r="O5779" i="2"/>
  <c r="P5779" i="2"/>
  <c r="O5787" i="2"/>
  <c r="P5787" i="2"/>
  <c r="O141" i="2"/>
  <c r="P141" i="2"/>
  <c r="O5803" i="2"/>
  <c r="P5803" i="2"/>
  <c r="O5827" i="2"/>
  <c r="P5827" i="2"/>
  <c r="O4608" i="2"/>
  <c r="P4608" i="2"/>
  <c r="O3653" i="2"/>
  <c r="P3653" i="2"/>
  <c r="O2790" i="2"/>
  <c r="P2790" i="2"/>
  <c r="O5891" i="2"/>
  <c r="P5891" i="2"/>
  <c r="O4836" i="2"/>
  <c r="P4836" i="2"/>
  <c r="O142" i="2"/>
  <c r="P142" i="2"/>
  <c r="O5915" i="2"/>
  <c r="P5915" i="2"/>
  <c r="O5923" i="2"/>
  <c r="P5923" i="2"/>
  <c r="O3095" i="2"/>
  <c r="P3095" i="2"/>
  <c r="O5955" i="2"/>
  <c r="P5955" i="2"/>
  <c r="O5979" i="2"/>
  <c r="P5979" i="2"/>
  <c r="O5026" i="2"/>
  <c r="P5026" i="2"/>
  <c r="O6043" i="2"/>
  <c r="P6043" i="2"/>
  <c r="O6047" i="2"/>
  <c r="P6047" i="2"/>
  <c r="O1501" i="2"/>
  <c r="P1501" i="2"/>
  <c r="O6091" i="2"/>
  <c r="P6091" i="2"/>
  <c r="O6107" i="2"/>
  <c r="P6107" i="2"/>
  <c r="O2610" i="2"/>
  <c r="P2610" i="2"/>
  <c r="O6147" i="2"/>
  <c r="P6147" i="2"/>
  <c r="O5793" i="2"/>
  <c r="P5793" i="2"/>
  <c r="O6163" i="2"/>
  <c r="P6163" i="2"/>
  <c r="O6171" i="2"/>
  <c r="P6171" i="2"/>
  <c r="O6179" i="2"/>
  <c r="P6179" i="2"/>
  <c r="O6211" i="2"/>
  <c r="P6211" i="2"/>
  <c r="O6227" i="2"/>
  <c r="P6227" i="2"/>
  <c r="O6235" i="2"/>
  <c r="P6235" i="2"/>
  <c r="O6243" i="2"/>
  <c r="P6243" i="2"/>
  <c r="O4583" i="2"/>
  <c r="P4583" i="2"/>
  <c r="O6419" i="2"/>
  <c r="P6419" i="2"/>
  <c r="O583" i="2"/>
  <c r="P583" i="2"/>
  <c r="O6467" i="2"/>
  <c r="P6467" i="2"/>
  <c r="O6475" i="2"/>
  <c r="P6475" i="2"/>
  <c r="O2423" i="2"/>
  <c r="P2423" i="2"/>
  <c r="O6191" i="2"/>
  <c r="P6191" i="2"/>
  <c r="O6523" i="2"/>
  <c r="P6523" i="2"/>
  <c r="O1850" i="2"/>
  <c r="P1850" i="2"/>
  <c r="O6524" i="2"/>
  <c r="P6524" i="2"/>
  <c r="O6569" i="2"/>
  <c r="P6569" i="2"/>
  <c r="O1093" i="2"/>
  <c r="P1093" i="2"/>
  <c r="O6563" i="2"/>
  <c r="P6563" i="2"/>
  <c r="O3031" i="2"/>
  <c r="P3031" i="2"/>
  <c r="O3764" i="2"/>
  <c r="P3764" i="2"/>
  <c r="O6587" i="2"/>
  <c r="P6587" i="2"/>
  <c r="O6595" i="2"/>
  <c r="P6595" i="2"/>
  <c r="O6603" i="2"/>
  <c r="P6603" i="2"/>
  <c r="O6635" i="2"/>
  <c r="P6635" i="2"/>
  <c r="O4950" i="2"/>
  <c r="P4950" i="2"/>
  <c r="O6577" i="2"/>
  <c r="P6577" i="2"/>
  <c r="O6691" i="2"/>
  <c r="P6691" i="2"/>
  <c r="O6699" i="2"/>
  <c r="P6699" i="2"/>
  <c r="O4023" i="2"/>
  <c r="P4023" i="2"/>
  <c r="O6739" i="2"/>
  <c r="P6739" i="2"/>
  <c r="O3239" i="2"/>
  <c r="P3239" i="2"/>
  <c r="O5268" i="2"/>
  <c r="P5268" i="2"/>
  <c r="O6795" i="2"/>
  <c r="P6795" i="2"/>
  <c r="O5011" i="2"/>
  <c r="P5011" i="2"/>
  <c r="O7141" i="2"/>
  <c r="P7141" i="2"/>
  <c r="O6875" i="2"/>
  <c r="P6875" i="2"/>
  <c r="O6883" i="2"/>
  <c r="P6883" i="2"/>
  <c r="O5635" i="2"/>
  <c r="P5635" i="2"/>
  <c r="O224" i="2"/>
  <c r="P224" i="2"/>
  <c r="O1355" i="2"/>
  <c r="P1355" i="2"/>
  <c r="O6987" i="2"/>
  <c r="P6987" i="2"/>
  <c r="O5612" i="2"/>
  <c r="P5612" i="2"/>
  <c r="O1171" i="2"/>
  <c r="P1171" i="2"/>
  <c r="O7027" i="2"/>
  <c r="P7027" i="2"/>
  <c r="O7035" i="2"/>
  <c r="P7035" i="2"/>
  <c r="O5156" i="2"/>
  <c r="P5156" i="2"/>
  <c r="O7059" i="2"/>
  <c r="P7059" i="2"/>
  <c r="O3033" i="2"/>
  <c r="P3033" i="2"/>
  <c r="O7107" i="2"/>
  <c r="P7107" i="2"/>
  <c r="O2386" i="2"/>
  <c r="P2386" i="2"/>
  <c r="O7147" i="2"/>
  <c r="P7147" i="2"/>
  <c r="O7163" i="2"/>
  <c r="P7163" i="2"/>
  <c r="O7195" i="2"/>
  <c r="P7195" i="2"/>
  <c r="O7203" i="2"/>
  <c r="P7203" i="2"/>
  <c r="O7251" i="2"/>
  <c r="P7251" i="2"/>
  <c r="O7283" i="2"/>
  <c r="P7283" i="2"/>
  <c r="O7298" i="2"/>
  <c r="P7298" i="2"/>
  <c r="O7306" i="2"/>
  <c r="P7306" i="2"/>
  <c r="O7314" i="2"/>
  <c r="P7314" i="2"/>
  <c r="O7322" i="2"/>
  <c r="P7322" i="2"/>
  <c r="O7330" i="2"/>
  <c r="P7330" i="2"/>
  <c r="O7338" i="2"/>
  <c r="P7338" i="2"/>
  <c r="O7346" i="2"/>
  <c r="P7346" i="2"/>
  <c r="O7354" i="2"/>
  <c r="P7354" i="2"/>
  <c r="O7362" i="2"/>
  <c r="P7362" i="2"/>
  <c r="O7370" i="2"/>
  <c r="P7370" i="2"/>
  <c r="O7378" i="2"/>
  <c r="P7378" i="2"/>
  <c r="O7386" i="2"/>
  <c r="P7386" i="2"/>
  <c r="O7394" i="2"/>
  <c r="P7394" i="2"/>
  <c r="O7402" i="2"/>
  <c r="P7402" i="2"/>
  <c r="O7410" i="2"/>
  <c r="P7410" i="2"/>
  <c r="O7418" i="2"/>
  <c r="P7418" i="2"/>
  <c r="O7426" i="2"/>
  <c r="P7426" i="2"/>
  <c r="O7434" i="2"/>
  <c r="P7434" i="2"/>
  <c r="O7442" i="2"/>
  <c r="P7442" i="2"/>
  <c r="O7450" i="2"/>
  <c r="P7450" i="2"/>
  <c r="O7458" i="2"/>
  <c r="P7458" i="2"/>
  <c r="O7466" i="2"/>
  <c r="P7466" i="2"/>
  <c r="O7474" i="2"/>
  <c r="P7474" i="2"/>
  <c r="O7482" i="2"/>
  <c r="P7482" i="2"/>
  <c r="O7490" i="2"/>
  <c r="P7490" i="2"/>
  <c r="O7498" i="2"/>
  <c r="P7498" i="2"/>
  <c r="O7506" i="2"/>
  <c r="P7506" i="2"/>
  <c r="O7514" i="2"/>
  <c r="P7514" i="2"/>
  <c r="O7522" i="2"/>
  <c r="P7522" i="2"/>
  <c r="O7530" i="2"/>
  <c r="P7530" i="2"/>
  <c r="O7538" i="2"/>
  <c r="P7538" i="2"/>
  <c r="O7546" i="2"/>
  <c r="P7546" i="2"/>
  <c r="O7554" i="2"/>
  <c r="P7554" i="2"/>
  <c r="O7562" i="2"/>
  <c r="P7562" i="2"/>
  <c r="O7570" i="2"/>
  <c r="P7570" i="2"/>
  <c r="O7578" i="2"/>
  <c r="P7578" i="2"/>
  <c r="O7586" i="2"/>
  <c r="P7586" i="2"/>
  <c r="O7594" i="2"/>
  <c r="P7594" i="2"/>
  <c r="O7602" i="2"/>
  <c r="P7602" i="2"/>
  <c r="O7610" i="2"/>
  <c r="P7610" i="2"/>
  <c r="O7618" i="2"/>
  <c r="P7618" i="2"/>
  <c r="O7626" i="2"/>
  <c r="P7626" i="2"/>
  <c r="O7634" i="2"/>
  <c r="P7634" i="2"/>
  <c r="O7642" i="2"/>
  <c r="P7642" i="2"/>
  <c r="O7650" i="2"/>
  <c r="P7650" i="2"/>
  <c r="O7658" i="2"/>
  <c r="P7658" i="2"/>
  <c r="O7666" i="2"/>
  <c r="P7666" i="2"/>
  <c r="O7674" i="2"/>
  <c r="P7674" i="2"/>
  <c r="O7682" i="2"/>
  <c r="P7682" i="2"/>
  <c r="O7690" i="2"/>
  <c r="P7690" i="2"/>
  <c r="O7698" i="2"/>
  <c r="P7698" i="2"/>
  <c r="O7706" i="2"/>
  <c r="P7706" i="2"/>
  <c r="O7714" i="2"/>
  <c r="P7714" i="2"/>
  <c r="O7722" i="2"/>
  <c r="P7722" i="2"/>
  <c r="O7730" i="2"/>
  <c r="P7730" i="2"/>
  <c r="O7738" i="2"/>
  <c r="P7738" i="2"/>
  <c r="O7746" i="2"/>
  <c r="P7746" i="2"/>
  <c r="O7754" i="2"/>
  <c r="P7754" i="2"/>
  <c r="O7762" i="2"/>
  <c r="P7762" i="2"/>
  <c r="O7770" i="2"/>
  <c r="P7770" i="2"/>
  <c r="O7778" i="2"/>
  <c r="P7778" i="2"/>
  <c r="O7786" i="2"/>
  <c r="P7786" i="2"/>
  <c r="O7794" i="2"/>
  <c r="P7794" i="2"/>
  <c r="O7802" i="2"/>
  <c r="P7802" i="2"/>
  <c r="O7810" i="2"/>
  <c r="P7810" i="2"/>
  <c r="O7818" i="2"/>
  <c r="P7818" i="2"/>
  <c r="O7826" i="2"/>
  <c r="P7826" i="2"/>
  <c r="O7834" i="2"/>
  <c r="P7834" i="2"/>
  <c r="O7842" i="2"/>
  <c r="P7842" i="2"/>
  <c r="O7850" i="2"/>
  <c r="P7850" i="2"/>
  <c r="O7858" i="2"/>
  <c r="P7858" i="2"/>
  <c r="O7866" i="2"/>
  <c r="P7866" i="2"/>
  <c r="O7874" i="2"/>
  <c r="P7874" i="2"/>
  <c r="O7882" i="2"/>
  <c r="P7882" i="2"/>
  <c r="O7890" i="2"/>
  <c r="P7890" i="2"/>
  <c r="O7898" i="2"/>
  <c r="P7898" i="2"/>
  <c r="O7906" i="2"/>
  <c r="P7906" i="2"/>
  <c r="O7914" i="2"/>
  <c r="P7914" i="2"/>
  <c r="O7922" i="2"/>
  <c r="P7922" i="2"/>
  <c r="O7930" i="2"/>
  <c r="P7930" i="2"/>
  <c r="O7938" i="2"/>
  <c r="P7938" i="2"/>
  <c r="O7946" i="2"/>
  <c r="P7946" i="2"/>
  <c r="O7954" i="2"/>
  <c r="P7954" i="2"/>
  <c r="O7962" i="2"/>
  <c r="P7962" i="2"/>
  <c r="O7970" i="2"/>
  <c r="P7970" i="2"/>
  <c r="O7978" i="2"/>
  <c r="P7978" i="2"/>
  <c r="O7986" i="2"/>
  <c r="P7986" i="2"/>
  <c r="O7994" i="2"/>
  <c r="P7994" i="2"/>
  <c r="O8002" i="2"/>
  <c r="P8002" i="2"/>
  <c r="O8010" i="2"/>
  <c r="P8010" i="2"/>
  <c r="O8018" i="2"/>
  <c r="P8018" i="2"/>
  <c r="O8026" i="2"/>
  <c r="P8026" i="2"/>
  <c r="O8034" i="2"/>
  <c r="P8034" i="2"/>
  <c r="O8042" i="2"/>
  <c r="P8042" i="2"/>
  <c r="O8050" i="2"/>
  <c r="P8050" i="2"/>
  <c r="O8058" i="2"/>
  <c r="P8058" i="2"/>
  <c r="O8066" i="2"/>
  <c r="P8066" i="2"/>
  <c r="O8074" i="2"/>
  <c r="P8074" i="2"/>
  <c r="O8082" i="2"/>
  <c r="P8082" i="2"/>
  <c r="O8090" i="2"/>
  <c r="P8090" i="2"/>
  <c r="O8098" i="2"/>
  <c r="P8098" i="2"/>
  <c r="O8106" i="2"/>
  <c r="P8106" i="2"/>
  <c r="O8114" i="2"/>
  <c r="P8114" i="2"/>
  <c r="O8122" i="2"/>
  <c r="P8122" i="2"/>
  <c r="O8130" i="2"/>
  <c r="P8130" i="2"/>
  <c r="O8138" i="2"/>
  <c r="P8138" i="2"/>
  <c r="O8146" i="2"/>
  <c r="P8146" i="2"/>
  <c r="O20" i="2"/>
  <c r="P20" i="2"/>
  <c r="O28" i="2"/>
  <c r="P28" i="2"/>
  <c r="O36" i="2"/>
  <c r="P36" i="2"/>
  <c r="O246" i="2"/>
  <c r="P246" i="2"/>
  <c r="O76" i="2"/>
  <c r="P76" i="2"/>
  <c r="O445" i="2"/>
  <c r="P445" i="2"/>
  <c r="O100" i="2"/>
  <c r="P100" i="2"/>
  <c r="O108" i="2"/>
  <c r="P108" i="2"/>
  <c r="O140" i="2"/>
  <c r="P140" i="2"/>
  <c r="O148" i="2"/>
  <c r="P148" i="2"/>
  <c r="O164" i="2"/>
  <c r="P164" i="2"/>
  <c r="O180" i="2"/>
  <c r="P180" i="2"/>
  <c r="O220" i="2"/>
  <c r="P220" i="2"/>
  <c r="O2902" i="2"/>
  <c r="P2902" i="2"/>
  <c r="O244" i="2"/>
  <c r="P244" i="2"/>
  <c r="O252" i="2"/>
  <c r="P252" i="2"/>
  <c r="O5340" i="2"/>
  <c r="P5340" i="2"/>
  <c r="O316" i="2"/>
  <c r="P316" i="2"/>
  <c r="O5313" i="2"/>
  <c r="P5313" i="2"/>
  <c r="O5165" i="2"/>
  <c r="P5165" i="2"/>
  <c r="O340" i="2"/>
  <c r="P340" i="2"/>
  <c r="O348" i="2"/>
  <c r="P348" i="2"/>
  <c r="O356" i="2"/>
  <c r="P356" i="2"/>
  <c r="O2965" i="2"/>
  <c r="P2965" i="2"/>
  <c r="O4211" i="2"/>
  <c r="P4211" i="2"/>
  <c r="O5815" i="2"/>
  <c r="P5815" i="2"/>
  <c r="O813" i="2"/>
  <c r="P813" i="2"/>
  <c r="O444" i="2"/>
  <c r="P444" i="2"/>
  <c r="O452" i="2"/>
  <c r="P452" i="2"/>
  <c r="O500" i="2"/>
  <c r="P500" i="2"/>
  <c r="O516" i="2"/>
  <c r="P516" i="2"/>
  <c r="O540" i="2"/>
  <c r="P540" i="2"/>
  <c r="O5542" i="2"/>
  <c r="P5542" i="2"/>
  <c r="O556" i="2"/>
  <c r="P556" i="2"/>
  <c r="O604" i="2"/>
  <c r="P604" i="2"/>
  <c r="O1613" i="2"/>
  <c r="P1613" i="2"/>
  <c r="O5851" i="2"/>
  <c r="P5851" i="2"/>
  <c r="O965" i="2"/>
  <c r="P965" i="2"/>
  <c r="O756" i="2"/>
  <c r="P756" i="2"/>
  <c r="O788" i="2"/>
  <c r="P788" i="2"/>
  <c r="O796" i="2"/>
  <c r="P796" i="2"/>
  <c r="O3863" i="2"/>
  <c r="P3863" i="2"/>
  <c r="O6486" i="2"/>
  <c r="P6486" i="2"/>
  <c r="O852" i="2"/>
  <c r="P852" i="2"/>
  <c r="O908" i="2"/>
  <c r="P908" i="2"/>
  <c r="O932" i="2"/>
  <c r="P932" i="2"/>
  <c r="O6601" i="2"/>
  <c r="P6601" i="2"/>
  <c r="O967" i="2"/>
  <c r="P967" i="2"/>
  <c r="O988" i="2"/>
  <c r="P988" i="2"/>
  <c r="O1004" i="2"/>
  <c r="P1004" i="2"/>
  <c r="O2827" i="2"/>
  <c r="P2827" i="2"/>
  <c r="O1020" i="2"/>
  <c r="P1020" i="2"/>
  <c r="O1577" i="2"/>
  <c r="P1577" i="2"/>
  <c r="O812" i="2"/>
  <c r="P812" i="2"/>
  <c r="O4828" i="2"/>
  <c r="P4828" i="2"/>
  <c r="O1100" i="2"/>
  <c r="P1100" i="2"/>
  <c r="O1156" i="2"/>
  <c r="P1156" i="2"/>
  <c r="O3929" i="2"/>
  <c r="P3929" i="2"/>
  <c r="O1196" i="2"/>
  <c r="P1196" i="2"/>
  <c r="O1204" i="2"/>
  <c r="P1204" i="2"/>
  <c r="O1212" i="2"/>
  <c r="P1212" i="2"/>
  <c r="O1220" i="2"/>
  <c r="P1220" i="2"/>
  <c r="O7111" i="2"/>
  <c r="P7111" i="2"/>
  <c r="O1236" i="2"/>
  <c r="P1236" i="2"/>
  <c r="O1244" i="2"/>
  <c r="P1244" i="2"/>
  <c r="O1911" i="2"/>
  <c r="P1911" i="2"/>
  <c r="O5850" i="2"/>
  <c r="P5850" i="2"/>
  <c r="O1332" i="2"/>
  <c r="P1332" i="2"/>
  <c r="O1340" i="2"/>
  <c r="P1340" i="2"/>
  <c r="O6485" i="2"/>
  <c r="P6485" i="2"/>
  <c r="O1372" i="2"/>
  <c r="P1372" i="2"/>
  <c r="O1380" i="2"/>
  <c r="P1380" i="2"/>
  <c r="O1388" i="2"/>
  <c r="P1388" i="2"/>
  <c r="O6062" i="2"/>
  <c r="P6062" i="2"/>
  <c r="O1404" i="2"/>
  <c r="P1404" i="2"/>
  <c r="O1428" i="2"/>
  <c r="P1428" i="2"/>
  <c r="O6775" i="2"/>
  <c r="P6775" i="2"/>
  <c r="O6894" i="2"/>
  <c r="P6894" i="2"/>
  <c r="O1484" i="2"/>
  <c r="P1484" i="2"/>
  <c r="O1396" i="2"/>
  <c r="P1396" i="2"/>
  <c r="O1532" i="2"/>
  <c r="P1532" i="2"/>
  <c r="O1540" i="2"/>
  <c r="P1540" i="2"/>
  <c r="O1588" i="2"/>
  <c r="P1588" i="2"/>
  <c r="O1596" i="2"/>
  <c r="P1596" i="2"/>
  <c r="O1612" i="2"/>
  <c r="P1612" i="2"/>
  <c r="O1636" i="2"/>
  <c r="P1636" i="2"/>
  <c r="O1652" i="2"/>
  <c r="P1652" i="2"/>
  <c r="O1660" i="2"/>
  <c r="P1660" i="2"/>
  <c r="O1668" i="2"/>
  <c r="P1668" i="2"/>
  <c r="O1676" i="2"/>
  <c r="P1676" i="2"/>
  <c r="O1700" i="2"/>
  <c r="P1700" i="2"/>
  <c r="O1831" i="2"/>
  <c r="P1831" i="2"/>
  <c r="O1716" i="2"/>
  <c r="P1716" i="2"/>
  <c r="O1732" i="2"/>
  <c r="P1732" i="2"/>
  <c r="O549" i="2"/>
  <c r="P549" i="2"/>
  <c r="O1788" i="2"/>
  <c r="P1788" i="2"/>
  <c r="O2853" i="2"/>
  <c r="P2853" i="2"/>
  <c r="O5957" i="2"/>
  <c r="P5957" i="2"/>
  <c r="O1844" i="2"/>
  <c r="P1844" i="2"/>
  <c r="O1852" i="2"/>
  <c r="P1852" i="2"/>
  <c r="O1860" i="2"/>
  <c r="P1860" i="2"/>
  <c r="O1900" i="2"/>
  <c r="P1900" i="2"/>
  <c r="O6544" i="2"/>
  <c r="P6544" i="2"/>
  <c r="O1916" i="2"/>
  <c r="P1916" i="2"/>
  <c r="O6710" i="2"/>
  <c r="P6710" i="2"/>
  <c r="O1285" i="2"/>
  <c r="P1285" i="2"/>
  <c r="O6005" i="2"/>
  <c r="P6005" i="2"/>
  <c r="O1074" i="2"/>
  <c r="P1074" i="2"/>
  <c r="O2704" i="2"/>
  <c r="P2704" i="2"/>
  <c r="O6560" i="2"/>
  <c r="P6560" i="2"/>
  <c r="O2810" i="2"/>
  <c r="P2810" i="2"/>
  <c r="O2076" i="2"/>
  <c r="P2076" i="2"/>
  <c r="O6079" i="2"/>
  <c r="P6079" i="2"/>
  <c r="O2092" i="2"/>
  <c r="P2092" i="2"/>
  <c r="O1686" i="2"/>
  <c r="P1686" i="2"/>
  <c r="O2108" i="2"/>
  <c r="P2108" i="2"/>
  <c r="O2140" i="2"/>
  <c r="P2140" i="2"/>
  <c r="O3752" i="2"/>
  <c r="P3752" i="2"/>
  <c r="O7099" i="2"/>
  <c r="P7099" i="2"/>
  <c r="O4026" i="2"/>
  <c r="P4026" i="2"/>
  <c r="O2196" i="2"/>
  <c r="P2196" i="2"/>
  <c r="O2244" i="2"/>
  <c r="P2244" i="2"/>
  <c r="O2332" i="2"/>
  <c r="P2332" i="2"/>
  <c r="O2348" i="2"/>
  <c r="P2348" i="2"/>
  <c r="O2356" i="2"/>
  <c r="P2356" i="2"/>
  <c r="O2364" i="2"/>
  <c r="P2364" i="2"/>
  <c r="O5750" i="2"/>
  <c r="P5750" i="2"/>
  <c r="O6865" i="2"/>
  <c r="P6865" i="2"/>
  <c r="O2388" i="2"/>
  <c r="P2388" i="2"/>
  <c r="O2412" i="2"/>
  <c r="P2412" i="2"/>
  <c r="O2420" i="2"/>
  <c r="P2420" i="2"/>
  <c r="O2492" i="2"/>
  <c r="P2492" i="2"/>
  <c r="O1666" i="2"/>
  <c r="P1666" i="2"/>
  <c r="O6868" i="2"/>
  <c r="P6868" i="2"/>
  <c r="O2524" i="2"/>
  <c r="P2524" i="2"/>
  <c r="O2532" i="2"/>
  <c r="P2532" i="2"/>
  <c r="O2556" i="2"/>
  <c r="P2556" i="2"/>
  <c r="O2564" i="2"/>
  <c r="P2564" i="2"/>
  <c r="O2572" i="2"/>
  <c r="P2572" i="2"/>
  <c r="O2660" i="2"/>
  <c r="P2660" i="2"/>
  <c r="O2668" i="2"/>
  <c r="P2668" i="2"/>
  <c r="O7148" i="2"/>
  <c r="P7148" i="2"/>
  <c r="O2692" i="2"/>
  <c r="P2692" i="2"/>
  <c r="O2716" i="2"/>
  <c r="P2716" i="2"/>
  <c r="O2748" i="2"/>
  <c r="P2748" i="2"/>
  <c r="O3794" i="2"/>
  <c r="P3794" i="2"/>
  <c r="O1254" i="2"/>
  <c r="P1254" i="2"/>
  <c r="O1983" i="2"/>
  <c r="P1983" i="2"/>
  <c r="O6675" i="2"/>
  <c r="P6675" i="2"/>
  <c r="O2788" i="2"/>
  <c r="P2788" i="2"/>
  <c r="O3257" i="2"/>
  <c r="P3257" i="2"/>
  <c r="O2301" i="2"/>
  <c r="P2301" i="2"/>
  <c r="O680" i="2"/>
  <c r="P680" i="2"/>
  <c r="O2868" i="2"/>
  <c r="P2868" i="2"/>
  <c r="O2892" i="2"/>
  <c r="P2892" i="2"/>
  <c r="O2924" i="2"/>
  <c r="P2924" i="2"/>
  <c r="O2948" i="2"/>
  <c r="P2948" i="2"/>
  <c r="O2956" i="2"/>
  <c r="P2956" i="2"/>
  <c r="O6905" i="2"/>
  <c r="P6905" i="2"/>
  <c r="O2980" i="2"/>
  <c r="P2980" i="2"/>
  <c r="O2988" i="2"/>
  <c r="P2988" i="2"/>
  <c r="O2996" i="2"/>
  <c r="P2996" i="2"/>
  <c r="O3746" i="2"/>
  <c r="P3746" i="2"/>
  <c r="O3012" i="2"/>
  <c r="P3012" i="2"/>
  <c r="O3020" i="2"/>
  <c r="P3020" i="2"/>
  <c r="O3044" i="2"/>
  <c r="P3044" i="2"/>
  <c r="O3084" i="2"/>
  <c r="P3084" i="2"/>
  <c r="O3274" i="2"/>
  <c r="P3274" i="2"/>
  <c r="O3124" i="2"/>
  <c r="P3124" i="2"/>
  <c r="O1764" i="2"/>
  <c r="P1764" i="2"/>
  <c r="O3148" i="2"/>
  <c r="P3148" i="2"/>
  <c r="O6721" i="2"/>
  <c r="P6721" i="2"/>
  <c r="O3265" i="2"/>
  <c r="P3265" i="2"/>
  <c r="O3220" i="2"/>
  <c r="P3220" i="2"/>
  <c r="O3228" i="2"/>
  <c r="P3228" i="2"/>
  <c r="O3276" i="2"/>
  <c r="P3276" i="2"/>
  <c r="O3308" i="2"/>
  <c r="P3308" i="2"/>
  <c r="O3316" i="2"/>
  <c r="P3316" i="2"/>
  <c r="O3364" i="2"/>
  <c r="P3364" i="2"/>
  <c r="O3412" i="2"/>
  <c r="P3412" i="2"/>
  <c r="O3436" i="2"/>
  <c r="P3436" i="2"/>
  <c r="O5938" i="2"/>
  <c r="P5938" i="2"/>
  <c r="O3468" i="2"/>
  <c r="P3468" i="2"/>
  <c r="O3492" i="2"/>
  <c r="P3492" i="2"/>
  <c r="O3516" i="2"/>
  <c r="P3516" i="2"/>
  <c r="O5236" i="2"/>
  <c r="P5236" i="2"/>
  <c r="O3676" i="2"/>
  <c r="P3676" i="2"/>
  <c r="O3692" i="2"/>
  <c r="P3692" i="2"/>
  <c r="O3708" i="2"/>
  <c r="P3708" i="2"/>
  <c r="O2822" i="2"/>
  <c r="P2822" i="2"/>
  <c r="O3724" i="2"/>
  <c r="P3724" i="2"/>
  <c r="O3732" i="2"/>
  <c r="P3732" i="2"/>
  <c r="O4163" i="2"/>
  <c r="P4163" i="2"/>
  <c r="O1180" i="2"/>
  <c r="P1180" i="2"/>
  <c r="O3844" i="2"/>
  <c r="P3844" i="2"/>
  <c r="O3795" i="2"/>
  <c r="P3795" i="2"/>
  <c r="O3860" i="2"/>
  <c r="P3860" i="2"/>
  <c r="O3868" i="2"/>
  <c r="P3868" i="2"/>
  <c r="O3884" i="2"/>
  <c r="P3884" i="2"/>
  <c r="O3916" i="2"/>
  <c r="P3916" i="2"/>
  <c r="O3924" i="2"/>
  <c r="P3924" i="2"/>
  <c r="O3932" i="2"/>
  <c r="P3932" i="2"/>
  <c r="O3940" i="2"/>
  <c r="P3940" i="2"/>
  <c r="O4683" i="2"/>
  <c r="P4683" i="2"/>
  <c r="O4948" i="2"/>
  <c r="P4948" i="2"/>
  <c r="O4012" i="2"/>
  <c r="P4012" i="2"/>
  <c r="O3817" i="2"/>
  <c r="P3817" i="2"/>
  <c r="O4028" i="2"/>
  <c r="P4028" i="2"/>
  <c r="O4036" i="2"/>
  <c r="P4036" i="2"/>
  <c r="O693" i="2"/>
  <c r="P693" i="2"/>
  <c r="O5518" i="2"/>
  <c r="P5518" i="2"/>
  <c r="O4124" i="2"/>
  <c r="P4124" i="2"/>
  <c r="O4140" i="2"/>
  <c r="P4140" i="2"/>
  <c r="O4156" i="2"/>
  <c r="P4156" i="2"/>
  <c r="O3355" i="2"/>
  <c r="P3355" i="2"/>
  <c r="O313" i="2"/>
  <c r="P313" i="2"/>
  <c r="O104" i="2"/>
  <c r="P104" i="2"/>
  <c r="O4212" i="2"/>
  <c r="P4212" i="2"/>
  <c r="O4252" i="2"/>
  <c r="P4252" i="2"/>
  <c r="O6583" i="2"/>
  <c r="P6583" i="2"/>
  <c r="O4300" i="2"/>
  <c r="P4300" i="2"/>
  <c r="O4308" i="2"/>
  <c r="P4308" i="2"/>
  <c r="O4316" i="2"/>
  <c r="P4316" i="2"/>
  <c r="O4340" i="2"/>
  <c r="P4340" i="2"/>
  <c r="O4364" i="2"/>
  <c r="P4364" i="2"/>
  <c r="O1407" i="2"/>
  <c r="P1407" i="2"/>
  <c r="O548" i="2"/>
  <c r="P548" i="2"/>
  <c r="O127" i="2"/>
  <c r="P127" i="2"/>
  <c r="O4436" i="2"/>
  <c r="P4436" i="2"/>
  <c r="O4508" i="2"/>
  <c r="P4508" i="2"/>
  <c r="O1287" i="2"/>
  <c r="P1287" i="2"/>
  <c r="O4588" i="2"/>
  <c r="P4588" i="2"/>
  <c r="O2371" i="2"/>
  <c r="P2371" i="2"/>
  <c r="O4666" i="2"/>
  <c r="P4666" i="2"/>
  <c r="O699" i="2"/>
  <c r="P699" i="2"/>
  <c r="O4676" i="2"/>
  <c r="P4676" i="2"/>
  <c r="O4732" i="2"/>
  <c r="P4732" i="2"/>
  <c r="O4772" i="2"/>
  <c r="P4772" i="2"/>
  <c r="O4796" i="2"/>
  <c r="P4796" i="2"/>
  <c r="O4804" i="2"/>
  <c r="P4804" i="2"/>
  <c r="O1924" i="2"/>
  <c r="P1924" i="2"/>
  <c r="O3703" i="2"/>
  <c r="P3703" i="2"/>
  <c r="O5937" i="2"/>
  <c r="P5937" i="2"/>
  <c r="O4274" i="2"/>
  <c r="P4274" i="2"/>
  <c r="O6727" i="2"/>
  <c r="P6727" i="2"/>
  <c r="O5464" i="2"/>
  <c r="P5464" i="2"/>
  <c r="O5148" i="2"/>
  <c r="P5148" i="2"/>
  <c r="O2516" i="2"/>
  <c r="P2516" i="2"/>
  <c r="O3625" i="2"/>
  <c r="P3625" i="2"/>
  <c r="O4884" i="2"/>
  <c r="P4884" i="2"/>
  <c r="O4916" i="2"/>
  <c r="P4916" i="2"/>
  <c r="O5725" i="2"/>
  <c r="P5725" i="2"/>
  <c r="O7046" i="2"/>
  <c r="P7046" i="2"/>
  <c r="O4964" i="2"/>
  <c r="P4964" i="2"/>
  <c r="O4996" i="2"/>
  <c r="P4996" i="2"/>
  <c r="O5020" i="2"/>
  <c r="P5020" i="2"/>
  <c r="O3972" i="2"/>
  <c r="P3972" i="2"/>
  <c r="O5036" i="2"/>
  <c r="P5036" i="2"/>
  <c r="O5044" i="2"/>
  <c r="P5044" i="2"/>
  <c r="O5247" i="2"/>
  <c r="P5247" i="2"/>
  <c r="O5116" i="2"/>
  <c r="P5116" i="2"/>
  <c r="O3109" i="2"/>
  <c r="P3109" i="2"/>
  <c r="O6597" i="2"/>
  <c r="P6597" i="2"/>
  <c r="O6479" i="2"/>
  <c r="P6479" i="2"/>
  <c r="O5623" i="2"/>
  <c r="P5623" i="2"/>
  <c r="O5212" i="2"/>
  <c r="P5212" i="2"/>
  <c r="O6060" i="2"/>
  <c r="P6060" i="2"/>
  <c r="O5284" i="2"/>
  <c r="P5284" i="2"/>
  <c r="O3289" i="2"/>
  <c r="P3289" i="2"/>
  <c r="O5348" i="2"/>
  <c r="P5348" i="2"/>
  <c r="O5404" i="2"/>
  <c r="P5404" i="2"/>
  <c r="O2309" i="2"/>
  <c r="P2309" i="2"/>
  <c r="O5436" i="2"/>
  <c r="P5436" i="2"/>
  <c r="O1953" i="2"/>
  <c r="P1953" i="2"/>
  <c r="O5476" i="2"/>
  <c r="P5476" i="2"/>
  <c r="O5484" i="2"/>
  <c r="P5484" i="2"/>
  <c r="O5492" i="2"/>
  <c r="P5492" i="2"/>
  <c r="O5500" i="2"/>
  <c r="P5500" i="2"/>
  <c r="O5540" i="2"/>
  <c r="P5540" i="2"/>
  <c r="O5556" i="2"/>
  <c r="P5556" i="2"/>
  <c r="O5580" i="2"/>
  <c r="P5580" i="2"/>
  <c r="O5588" i="2"/>
  <c r="P5588" i="2"/>
  <c r="O2261" i="2"/>
  <c r="P2261" i="2"/>
  <c r="O2295" i="2"/>
  <c r="P2295" i="2"/>
  <c r="O6646" i="2"/>
  <c r="P6646" i="2"/>
  <c r="O5732" i="2"/>
  <c r="P5732" i="2"/>
  <c r="O6672" i="2"/>
  <c r="P6672" i="2"/>
  <c r="O1600" i="2"/>
  <c r="P1600" i="2"/>
  <c r="O5764" i="2"/>
  <c r="P5764" i="2"/>
  <c r="O5772" i="2"/>
  <c r="P5772" i="2"/>
  <c r="O5780" i="2"/>
  <c r="P5780" i="2"/>
  <c r="O4644" i="2"/>
  <c r="P4644" i="2"/>
  <c r="O5884" i="2"/>
  <c r="P5884" i="2"/>
  <c r="O5892" i="2"/>
  <c r="P5892" i="2"/>
  <c r="O1956" i="2"/>
  <c r="P1956" i="2"/>
  <c r="O6540" i="2"/>
  <c r="P6540" i="2"/>
  <c r="O4657" i="2"/>
  <c r="P4657" i="2"/>
  <c r="O2674" i="2"/>
  <c r="P2674" i="2"/>
  <c r="O7123" i="2"/>
  <c r="P7123" i="2"/>
  <c r="O3004" i="2"/>
  <c r="P3004" i="2"/>
  <c r="O6076" i="2"/>
  <c r="P6076" i="2"/>
  <c r="O4303" i="2"/>
  <c r="P4303" i="2"/>
  <c r="O6132" i="2"/>
  <c r="P6132" i="2"/>
  <c r="O1524" i="2"/>
  <c r="P1524" i="2"/>
  <c r="O6212" i="2"/>
  <c r="P6212" i="2"/>
  <c r="O1680" i="2"/>
  <c r="P1680" i="2"/>
  <c r="O6236" i="2"/>
  <c r="P6236" i="2"/>
  <c r="O6308" i="2"/>
  <c r="P6308" i="2"/>
  <c r="O6404" i="2"/>
  <c r="P6404" i="2"/>
  <c r="O6436" i="2"/>
  <c r="P6436" i="2"/>
  <c r="O6444" i="2"/>
  <c r="P6444" i="2"/>
  <c r="O6468" i="2"/>
  <c r="P6468" i="2"/>
  <c r="O6500" i="2"/>
  <c r="P6500" i="2"/>
  <c r="O6508" i="2"/>
  <c r="P6508" i="2"/>
  <c r="O5550" i="2"/>
  <c r="P5550" i="2"/>
  <c r="O1023" i="2"/>
  <c r="P1023" i="2"/>
  <c r="O6532" i="2"/>
  <c r="P6532" i="2"/>
  <c r="O6048" i="2"/>
  <c r="P6048" i="2"/>
  <c r="O6481" i="2"/>
  <c r="P6481" i="2"/>
  <c r="O6556" i="2"/>
  <c r="P6556" i="2"/>
  <c r="O6580" i="2"/>
  <c r="P6580" i="2"/>
  <c r="O7032" i="2"/>
  <c r="P7032" i="2"/>
  <c r="O3937" i="2"/>
  <c r="P3937" i="2"/>
  <c r="O3156" i="2"/>
  <c r="P3156" i="2"/>
  <c r="O6636" i="2"/>
  <c r="P6636" i="2"/>
  <c r="O6652" i="2"/>
  <c r="P6652" i="2"/>
  <c r="O6995" i="2"/>
  <c r="P6995" i="2"/>
  <c r="O6716" i="2"/>
  <c r="P6716" i="2"/>
  <c r="O6724" i="2"/>
  <c r="P6724" i="2"/>
  <c r="O1793" i="2"/>
  <c r="P1793" i="2"/>
  <c r="O4000" i="2"/>
  <c r="P4000" i="2"/>
  <c r="O6748" i="2"/>
  <c r="P6748" i="2"/>
  <c r="O1665" i="2"/>
  <c r="P1665" i="2"/>
  <c r="O6764" i="2"/>
  <c r="P6764" i="2"/>
  <c r="O2282" i="2"/>
  <c r="P2282" i="2"/>
  <c r="O6226" i="2"/>
  <c r="P6226" i="2"/>
  <c r="O6796" i="2"/>
  <c r="P6796" i="2"/>
  <c r="O4679" i="2"/>
  <c r="P4679" i="2"/>
  <c r="O782" i="2"/>
  <c r="P782" i="2"/>
  <c r="O4742" i="2"/>
  <c r="P4742" i="2"/>
  <c r="O5791" i="2"/>
  <c r="P5791" i="2"/>
  <c r="O6932" i="2"/>
  <c r="P6932" i="2"/>
  <c r="O423" i="2"/>
  <c r="P423" i="2"/>
  <c r="O4193" i="2"/>
  <c r="P4193" i="2"/>
  <c r="O7020" i="2"/>
  <c r="P7020" i="2"/>
  <c r="O1276" i="2"/>
  <c r="P1276" i="2"/>
  <c r="O7036" i="2"/>
  <c r="P7036" i="2"/>
  <c r="O4622" i="2"/>
  <c r="P4622" i="2"/>
  <c r="O7100" i="2"/>
  <c r="P7100" i="2"/>
  <c r="O7108" i="2"/>
  <c r="P7108" i="2"/>
  <c r="O7116" i="2"/>
  <c r="P7116" i="2"/>
  <c r="O7124" i="2"/>
  <c r="P7124" i="2"/>
  <c r="O7132" i="2"/>
  <c r="P7132" i="2"/>
  <c r="O7196" i="2"/>
  <c r="P7196" i="2"/>
  <c r="O7220" i="2"/>
  <c r="P7220" i="2"/>
  <c r="O7276" i="2"/>
  <c r="P7276" i="2"/>
  <c r="O7303" i="2"/>
  <c r="P7303" i="2"/>
  <c r="O7335" i="2"/>
  <c r="P7335" i="2"/>
  <c r="O7367" i="2"/>
  <c r="P7367" i="2"/>
  <c r="O7399" i="2"/>
  <c r="P7399" i="2"/>
  <c r="O7431" i="2"/>
  <c r="P7431" i="2"/>
  <c r="O7463" i="2"/>
  <c r="P7463" i="2"/>
  <c r="O7495" i="2"/>
  <c r="P7495" i="2"/>
  <c r="O7527" i="2"/>
  <c r="P7527" i="2"/>
  <c r="O7559" i="2"/>
  <c r="P7559" i="2"/>
  <c r="O7591" i="2"/>
  <c r="P7591" i="2"/>
  <c r="O7623" i="2"/>
  <c r="P7623" i="2"/>
  <c r="O7655" i="2"/>
  <c r="P7655" i="2"/>
  <c r="O7687" i="2"/>
  <c r="P7687" i="2"/>
  <c r="O7719" i="2"/>
  <c r="P7719" i="2"/>
  <c r="O7751" i="2"/>
  <c r="P7751" i="2"/>
  <c r="O7783" i="2"/>
  <c r="P7783" i="2"/>
  <c r="O7815" i="2"/>
  <c r="P7815" i="2"/>
  <c r="O7847" i="2"/>
  <c r="P7847" i="2"/>
  <c r="O7879" i="2"/>
  <c r="P7879" i="2"/>
  <c r="O7911" i="2"/>
  <c r="P7911" i="2"/>
  <c r="O7943" i="2"/>
  <c r="P7943" i="2"/>
  <c r="O7975" i="2"/>
  <c r="P7975" i="2"/>
  <c r="O8007" i="2"/>
  <c r="P8007" i="2"/>
  <c r="O8039" i="2"/>
  <c r="P8039" i="2"/>
  <c r="O8071" i="2"/>
  <c r="P8071" i="2"/>
  <c r="O8103" i="2"/>
  <c r="P8103" i="2"/>
  <c r="O8135" i="2"/>
  <c r="P8135" i="2"/>
  <c r="O65" i="2"/>
  <c r="P65" i="2"/>
  <c r="O121" i="2"/>
  <c r="P121" i="2"/>
  <c r="O161" i="2"/>
  <c r="P161" i="2"/>
  <c r="O201" i="2"/>
  <c r="P201" i="2"/>
  <c r="O2180" i="2"/>
  <c r="P2180" i="2"/>
  <c r="O5138" i="2"/>
  <c r="P5138" i="2"/>
  <c r="O2203" i="2"/>
  <c r="P2203" i="2"/>
  <c r="O3718" i="2"/>
  <c r="P3718" i="2"/>
  <c r="O257" i="2"/>
  <c r="P257" i="2"/>
  <c r="O273" i="2"/>
  <c r="P273" i="2"/>
  <c r="O281" i="2"/>
  <c r="P281" i="2"/>
  <c r="O289" i="2"/>
  <c r="P289" i="2"/>
  <c r="O4941" i="2"/>
  <c r="P4941" i="2"/>
  <c r="O321" i="2"/>
  <c r="P321" i="2"/>
  <c r="O5610" i="2"/>
  <c r="P5610" i="2"/>
  <c r="O337" i="2"/>
  <c r="P337" i="2"/>
  <c r="O6813" i="2"/>
  <c r="P6813" i="2"/>
  <c r="O377" i="2"/>
  <c r="P377" i="2"/>
  <c r="O417" i="2"/>
  <c r="P417" i="2"/>
  <c r="O6680" i="2"/>
  <c r="P6680" i="2"/>
  <c r="O481" i="2"/>
  <c r="P481" i="2"/>
  <c r="O5775" i="2"/>
  <c r="P5775" i="2"/>
  <c r="O513" i="2"/>
  <c r="P513" i="2"/>
  <c r="O521" i="2"/>
  <c r="P521" i="2"/>
  <c r="O529" i="2"/>
  <c r="P529" i="2"/>
  <c r="O545" i="2"/>
  <c r="P545" i="2"/>
  <c r="O6512" i="2"/>
  <c r="P6512" i="2"/>
  <c r="O561" i="2"/>
  <c r="P561" i="2"/>
  <c r="O569" i="2"/>
  <c r="P569" i="2"/>
  <c r="O577" i="2"/>
  <c r="P577" i="2"/>
  <c r="O585" i="2"/>
  <c r="P585" i="2"/>
  <c r="O609" i="2"/>
  <c r="P609" i="2"/>
  <c r="O617" i="2"/>
  <c r="P617" i="2"/>
  <c r="O5611" i="2"/>
  <c r="P5611" i="2"/>
  <c r="O657" i="2"/>
  <c r="P657" i="2"/>
  <c r="O665" i="2"/>
  <c r="P665" i="2"/>
  <c r="O697" i="2"/>
  <c r="P697" i="2"/>
  <c r="O3922" i="2"/>
  <c r="P3922" i="2"/>
  <c r="O753" i="2"/>
  <c r="P753" i="2"/>
  <c r="O3454" i="2"/>
  <c r="P3454" i="2"/>
  <c r="O801" i="2"/>
  <c r="P801" i="2"/>
  <c r="O809" i="2"/>
  <c r="P809" i="2"/>
  <c r="O825" i="2"/>
  <c r="P825" i="2"/>
  <c r="O865" i="2"/>
  <c r="P865" i="2"/>
  <c r="O873" i="2"/>
  <c r="P873" i="2"/>
  <c r="O929" i="2"/>
  <c r="P929" i="2"/>
  <c r="O5709" i="2"/>
  <c r="P5709" i="2"/>
  <c r="O953" i="2"/>
  <c r="P953" i="2"/>
  <c r="O1009" i="2"/>
  <c r="P1009" i="2"/>
  <c r="O6074" i="2"/>
  <c r="P6074" i="2"/>
  <c r="O4196" i="2"/>
  <c r="P4196" i="2"/>
  <c r="O3112" i="2"/>
  <c r="P3112" i="2"/>
  <c r="O6709" i="2"/>
  <c r="P6709" i="2"/>
  <c r="O5637" i="2"/>
  <c r="P5637" i="2"/>
  <c r="O4846" i="2"/>
  <c r="P4846" i="2"/>
  <c r="O1145" i="2"/>
  <c r="P1145" i="2"/>
  <c r="O5360" i="2"/>
  <c r="P5360" i="2"/>
  <c r="O1169" i="2"/>
  <c r="P1169" i="2"/>
  <c r="O7055" i="2"/>
  <c r="P7055" i="2"/>
  <c r="O1201" i="2"/>
  <c r="P1201" i="2"/>
  <c r="O1209" i="2"/>
  <c r="P1209" i="2"/>
  <c r="O1241" i="2"/>
  <c r="P1241" i="2"/>
  <c r="O1257" i="2"/>
  <c r="P1257" i="2"/>
  <c r="O381" i="2"/>
  <c r="P381" i="2"/>
  <c r="O1281" i="2"/>
  <c r="P1281" i="2"/>
  <c r="O2095" i="2"/>
  <c r="P2095" i="2"/>
  <c r="O5514" i="2"/>
  <c r="P5514" i="2"/>
  <c r="O1321" i="2"/>
  <c r="P1321" i="2"/>
  <c r="O3923" i="2"/>
  <c r="P3923" i="2"/>
  <c r="O1353" i="2"/>
  <c r="P1353" i="2"/>
  <c r="O1530" i="2"/>
  <c r="P1530" i="2"/>
  <c r="O1385" i="2"/>
  <c r="P1385" i="2"/>
  <c r="O1401" i="2"/>
  <c r="P1401" i="2"/>
  <c r="O1409" i="2"/>
  <c r="P1409" i="2"/>
  <c r="O6938" i="2"/>
  <c r="P6938" i="2"/>
  <c r="O5638" i="2"/>
  <c r="P5638" i="2"/>
  <c r="O1441" i="2"/>
  <c r="P1441" i="2"/>
  <c r="O1932" i="2"/>
  <c r="P1932" i="2"/>
  <c r="O1489" i="2"/>
  <c r="P1489" i="2"/>
  <c r="O1497" i="2"/>
  <c r="P1497" i="2"/>
  <c r="O4055" i="2"/>
  <c r="P4055" i="2"/>
  <c r="O1342" i="2"/>
  <c r="P1342" i="2"/>
  <c r="O4747" i="2"/>
  <c r="P4747" i="2"/>
  <c r="O1553" i="2"/>
  <c r="P1553" i="2"/>
  <c r="O4486" i="2"/>
  <c r="P4486" i="2"/>
  <c r="O1601" i="2"/>
  <c r="P1601" i="2"/>
  <c r="O1649" i="2"/>
  <c r="P1649" i="2"/>
  <c r="O5832" i="2"/>
  <c r="P5832" i="2"/>
  <c r="O1697" i="2"/>
  <c r="P1697" i="2"/>
  <c r="O1705" i="2"/>
  <c r="P1705" i="2"/>
  <c r="O1713" i="2"/>
  <c r="P1713" i="2"/>
  <c r="O1721" i="2"/>
  <c r="P1721" i="2"/>
  <c r="O1745" i="2"/>
  <c r="P1745" i="2"/>
  <c r="O1785" i="2"/>
  <c r="P1785" i="2"/>
  <c r="O4568" i="2"/>
  <c r="P4568" i="2"/>
  <c r="O1817" i="2"/>
  <c r="P1817" i="2"/>
  <c r="O1825" i="2"/>
  <c r="P1825" i="2"/>
  <c r="O6787" i="2"/>
  <c r="P6787" i="2"/>
  <c r="O1865" i="2"/>
  <c r="P1865" i="2"/>
  <c r="O1881" i="2"/>
  <c r="P1881" i="2"/>
  <c r="O1897" i="2"/>
  <c r="P1897" i="2"/>
  <c r="O1921" i="2"/>
  <c r="P1921" i="2"/>
  <c r="O1937" i="2"/>
  <c r="P1937" i="2"/>
  <c r="O1969" i="2"/>
  <c r="P1969" i="2"/>
  <c r="O1985" i="2"/>
  <c r="P1985" i="2"/>
  <c r="O2017" i="2"/>
  <c r="P2017" i="2"/>
  <c r="O2041" i="2"/>
  <c r="P2041" i="2"/>
  <c r="O2073" i="2"/>
  <c r="P2073" i="2"/>
  <c r="O6424" i="2"/>
  <c r="P6424" i="2"/>
  <c r="O1926" i="2"/>
  <c r="P1926" i="2"/>
  <c r="O2113" i="2"/>
  <c r="P2113" i="2"/>
  <c r="O2129" i="2"/>
  <c r="P2129" i="2"/>
  <c r="O5143" i="2"/>
  <c r="P5143" i="2"/>
  <c r="O2153" i="2"/>
  <c r="P2153" i="2"/>
  <c r="O2708" i="2"/>
  <c r="P2708" i="2"/>
  <c r="O2177" i="2"/>
  <c r="P2177" i="2"/>
  <c r="O2821" i="2"/>
  <c r="P2821" i="2"/>
  <c r="O2233" i="2"/>
  <c r="P2233" i="2"/>
  <c r="O6909" i="2"/>
  <c r="P6909" i="2"/>
  <c r="O2257" i="2"/>
  <c r="P2257" i="2"/>
  <c r="O2265" i="2"/>
  <c r="P2265" i="2"/>
  <c r="O2273" i="2"/>
  <c r="P2273" i="2"/>
  <c r="O2281" i="2"/>
  <c r="P2281" i="2"/>
  <c r="O2289" i="2"/>
  <c r="P2289" i="2"/>
  <c r="O3166" i="2"/>
  <c r="P3166" i="2"/>
  <c r="O2329" i="2"/>
  <c r="P2329" i="2"/>
  <c r="O2337" i="2"/>
  <c r="P2337" i="2"/>
  <c r="O5303" i="2"/>
  <c r="P5303" i="2"/>
  <c r="O2361" i="2"/>
  <c r="P2361" i="2"/>
  <c r="O2369" i="2"/>
  <c r="P2369" i="2"/>
  <c r="O6289" i="2"/>
  <c r="P6289" i="2"/>
  <c r="O4003" i="2"/>
  <c r="P4003" i="2"/>
  <c r="O2441" i="2"/>
  <c r="P2441" i="2"/>
  <c r="O2457" i="2"/>
  <c r="P2457" i="2"/>
  <c r="O6939" i="2"/>
  <c r="P6939" i="2"/>
  <c r="O2497" i="2"/>
  <c r="P2497" i="2"/>
  <c r="O2521" i="2"/>
  <c r="P2521" i="2"/>
  <c r="O2529" i="2"/>
  <c r="P2529" i="2"/>
  <c r="O1362" i="2"/>
  <c r="P1362" i="2"/>
  <c r="O2545" i="2"/>
  <c r="P2545" i="2"/>
  <c r="O2561" i="2"/>
  <c r="P2561" i="2"/>
  <c r="O2569" i="2"/>
  <c r="P2569" i="2"/>
  <c r="O5935" i="2"/>
  <c r="P5935" i="2"/>
  <c r="O2585" i="2"/>
  <c r="P2585" i="2"/>
  <c r="O2609" i="2"/>
  <c r="P2609" i="2"/>
  <c r="O2625" i="2"/>
  <c r="P2625" i="2"/>
  <c r="O4882" i="2"/>
  <c r="P4882" i="2"/>
  <c r="O5010" i="2"/>
  <c r="P5010" i="2"/>
  <c r="O2705" i="2"/>
  <c r="P2705" i="2"/>
  <c r="O2713" i="2"/>
  <c r="P2713" i="2"/>
  <c r="O2721" i="2"/>
  <c r="P2721" i="2"/>
  <c r="O2737" i="2"/>
  <c r="P2737" i="2"/>
  <c r="O4414" i="2"/>
  <c r="P4414" i="2"/>
  <c r="O2761" i="2"/>
  <c r="P2761" i="2"/>
  <c r="O4726" i="2"/>
  <c r="P4726" i="2"/>
  <c r="O6513" i="2"/>
  <c r="P6513" i="2"/>
  <c r="O6552" i="2"/>
  <c r="P6552" i="2"/>
  <c r="O2793" i="2"/>
  <c r="P2793" i="2"/>
  <c r="O6582" i="2"/>
  <c r="P6582" i="2"/>
  <c r="O2817" i="2"/>
  <c r="P2817" i="2"/>
  <c r="O2231" i="2"/>
  <c r="P2231" i="2"/>
  <c r="O2841" i="2"/>
  <c r="P2841" i="2"/>
  <c r="O5517" i="2"/>
  <c r="P5517" i="2"/>
  <c r="O2857" i="2"/>
  <c r="P2857" i="2"/>
  <c r="O2889" i="2"/>
  <c r="P2889" i="2"/>
  <c r="O2905" i="2"/>
  <c r="P2905" i="2"/>
  <c r="O6576" i="2"/>
  <c r="P6576" i="2"/>
  <c r="O2953" i="2"/>
  <c r="P2953" i="2"/>
  <c r="O2961" i="2"/>
  <c r="P2961" i="2"/>
  <c r="O2985" i="2"/>
  <c r="P2985" i="2"/>
  <c r="O3268" i="2"/>
  <c r="P3268" i="2"/>
  <c r="O507" i="2"/>
  <c r="P507" i="2"/>
  <c r="O3089" i="2"/>
  <c r="P3089" i="2"/>
  <c r="O396" i="2"/>
  <c r="P396" i="2"/>
  <c r="O3121" i="2"/>
  <c r="P3121" i="2"/>
  <c r="O3129" i="2"/>
  <c r="P3129" i="2"/>
  <c r="O3137" i="2"/>
  <c r="P3137" i="2"/>
  <c r="O3895" i="2"/>
  <c r="P3895" i="2"/>
  <c r="O3177" i="2"/>
  <c r="P3177" i="2"/>
  <c r="O3249" i="2"/>
  <c r="P3249" i="2"/>
  <c r="O2382" i="2"/>
  <c r="P2382" i="2"/>
  <c r="O3273" i="2"/>
  <c r="P3273" i="2"/>
  <c r="O5807" i="2"/>
  <c r="P5807" i="2"/>
  <c r="O3321" i="2"/>
  <c r="P3321" i="2"/>
  <c r="O3285" i="2"/>
  <c r="P3285" i="2"/>
  <c r="O3337" i="2"/>
  <c r="P3337" i="2"/>
  <c r="O3345" i="2"/>
  <c r="P3345" i="2"/>
  <c r="O3353" i="2"/>
  <c r="P3353" i="2"/>
  <c r="O3361" i="2"/>
  <c r="P3361" i="2"/>
  <c r="O3377" i="2"/>
  <c r="P3377" i="2"/>
  <c r="O3385" i="2"/>
  <c r="P3385" i="2"/>
  <c r="O3393" i="2"/>
  <c r="P3393" i="2"/>
  <c r="O3409" i="2"/>
  <c r="P3409" i="2"/>
  <c r="O3417" i="2"/>
  <c r="P3417" i="2"/>
  <c r="O3425" i="2"/>
  <c r="P3425" i="2"/>
  <c r="O3441" i="2"/>
  <c r="P3441" i="2"/>
  <c r="O3473" i="2"/>
  <c r="P3473" i="2"/>
  <c r="O3489" i="2"/>
  <c r="P3489" i="2"/>
  <c r="O3513" i="2"/>
  <c r="P3513" i="2"/>
  <c r="O3545" i="2"/>
  <c r="P3545" i="2"/>
  <c r="O5437" i="2"/>
  <c r="P5437" i="2"/>
  <c r="O3585" i="2"/>
  <c r="P3585" i="2"/>
  <c r="O5218" i="2"/>
  <c r="P5218" i="2"/>
  <c r="O3633" i="2"/>
  <c r="P3633" i="2"/>
  <c r="O3649" i="2"/>
  <c r="P3649" i="2"/>
  <c r="O5593" i="2"/>
  <c r="P5593" i="2"/>
  <c r="O91" i="2"/>
  <c r="P91" i="2"/>
  <c r="O6459" i="2"/>
  <c r="P6459" i="2"/>
  <c r="O3689" i="2"/>
  <c r="P3689" i="2"/>
  <c r="O3343" i="2"/>
  <c r="P3343" i="2"/>
  <c r="O3921" i="2"/>
  <c r="P3921" i="2"/>
  <c r="O4832" i="2"/>
  <c r="P4832" i="2"/>
  <c r="O1288" i="2"/>
  <c r="P1288" i="2"/>
  <c r="O3607" i="2"/>
  <c r="P3607" i="2"/>
  <c r="O3753" i="2"/>
  <c r="P3753" i="2"/>
  <c r="O3809" i="2"/>
  <c r="P3809" i="2"/>
  <c r="O4224" i="2"/>
  <c r="P4224" i="2"/>
  <c r="O3825" i="2"/>
  <c r="P3825" i="2"/>
  <c r="O3841" i="2"/>
  <c r="P3841" i="2"/>
  <c r="O1473" i="2"/>
  <c r="P1473" i="2"/>
  <c r="O3873" i="2"/>
  <c r="P3873" i="2"/>
  <c r="O4641" i="2"/>
  <c r="P4641" i="2"/>
  <c r="O3913" i="2"/>
  <c r="P3913" i="2"/>
  <c r="O4610" i="2"/>
  <c r="P4610" i="2"/>
  <c r="O5824" i="2"/>
  <c r="P5824" i="2"/>
  <c r="O3977" i="2"/>
  <c r="P3977" i="2"/>
  <c r="O3985" i="2"/>
  <c r="P3985" i="2"/>
  <c r="O3993" i="2"/>
  <c r="P3993" i="2"/>
  <c r="O4009" i="2"/>
  <c r="P4009" i="2"/>
  <c r="O4017" i="2"/>
  <c r="P4017" i="2"/>
  <c r="O4025" i="2"/>
  <c r="P4025" i="2"/>
  <c r="O2107" i="2"/>
  <c r="P2107" i="2"/>
  <c r="O4065" i="2"/>
  <c r="P4065" i="2"/>
  <c r="O4606" i="2"/>
  <c r="P4606" i="2"/>
  <c r="O4081" i="2"/>
  <c r="P4081" i="2"/>
  <c r="O94" i="2"/>
  <c r="P94" i="2"/>
  <c r="O4113" i="2"/>
  <c r="P4113" i="2"/>
  <c r="O4137" i="2"/>
  <c r="P4137" i="2"/>
  <c r="O4145" i="2"/>
  <c r="P4145" i="2"/>
  <c r="O4153" i="2"/>
  <c r="P4153" i="2"/>
  <c r="O4021" i="2"/>
  <c r="P4021" i="2"/>
  <c r="O5705" i="2"/>
  <c r="P5705" i="2"/>
  <c r="O4185" i="2"/>
  <c r="P4185" i="2"/>
  <c r="O2060" i="2"/>
  <c r="P2060" i="2"/>
  <c r="O4201" i="2"/>
  <c r="P4201" i="2"/>
  <c r="O2401" i="2"/>
  <c r="P2401" i="2"/>
  <c r="O4225" i="2"/>
  <c r="P4225" i="2"/>
  <c r="O6425" i="2"/>
  <c r="P6425" i="2"/>
  <c r="O579" i="2"/>
  <c r="P579" i="2"/>
  <c r="O4297" i="2"/>
  <c r="P4297" i="2"/>
  <c r="O3611" i="2"/>
  <c r="P3611" i="2"/>
  <c r="O3119" i="2"/>
  <c r="P3119" i="2"/>
  <c r="O4369" i="2"/>
  <c r="P4369" i="2"/>
  <c r="O4377" i="2"/>
  <c r="P4377" i="2"/>
  <c r="O4401" i="2"/>
  <c r="P4401" i="2"/>
  <c r="O4417" i="2"/>
  <c r="P4417" i="2"/>
  <c r="O4425" i="2"/>
  <c r="P4425" i="2"/>
  <c r="O4441" i="2"/>
  <c r="P4441" i="2"/>
  <c r="O4481" i="2"/>
  <c r="P4481" i="2"/>
  <c r="O2825" i="2"/>
  <c r="P2825" i="2"/>
  <c r="O4521" i="2"/>
  <c r="P4521" i="2"/>
  <c r="O4529" i="2"/>
  <c r="P4529" i="2"/>
  <c r="O4545" i="2"/>
  <c r="P4545" i="2"/>
  <c r="O4553" i="2"/>
  <c r="P4553" i="2"/>
  <c r="O437" i="2"/>
  <c r="P437" i="2"/>
  <c r="O4585" i="2"/>
  <c r="P4585" i="2"/>
  <c r="O4601" i="2"/>
  <c r="P4601" i="2"/>
  <c r="O4617" i="2"/>
  <c r="P4617" i="2"/>
  <c r="O4633" i="2"/>
  <c r="P4633" i="2"/>
  <c r="O4375" i="2"/>
  <c r="P4375" i="2"/>
  <c r="O1084" i="2"/>
  <c r="P1084" i="2"/>
  <c r="O5519" i="2"/>
  <c r="P5519" i="2"/>
  <c r="O4689" i="2"/>
  <c r="P4689" i="2"/>
  <c r="O4729" i="2"/>
  <c r="P4729" i="2"/>
  <c r="O4652" i="2"/>
  <c r="P4652" i="2"/>
  <c r="O4785" i="2"/>
  <c r="P4785" i="2"/>
  <c r="O4801" i="2"/>
  <c r="P4801" i="2"/>
  <c r="O3358" i="2"/>
  <c r="P3358" i="2"/>
  <c r="O4073" i="2"/>
  <c r="P4073" i="2"/>
  <c r="O5144" i="2"/>
  <c r="P5144" i="2"/>
  <c r="O4881" i="2"/>
  <c r="P4881" i="2"/>
  <c r="O4889" i="2"/>
  <c r="P4889" i="2"/>
  <c r="O4921" i="2"/>
  <c r="P4921" i="2"/>
  <c r="O4945" i="2"/>
  <c r="P4945" i="2"/>
  <c r="O4953" i="2"/>
  <c r="P4953" i="2"/>
  <c r="O4969" i="2"/>
  <c r="P4969" i="2"/>
  <c r="O133" i="2"/>
  <c r="P133" i="2"/>
  <c r="O4993" i="2"/>
  <c r="P4993" i="2"/>
  <c r="O1060" i="2"/>
  <c r="P1060" i="2"/>
  <c r="O2770" i="2"/>
  <c r="P2770" i="2"/>
  <c r="O5522" i="2"/>
  <c r="P5522" i="2"/>
  <c r="O6669" i="2"/>
  <c r="P6669" i="2"/>
  <c r="O5057" i="2"/>
  <c r="P5057" i="2"/>
  <c r="O5089" i="2"/>
  <c r="P5089" i="2"/>
  <c r="O2517" i="2"/>
  <c r="P2517" i="2"/>
  <c r="O5105" i="2"/>
  <c r="P5105" i="2"/>
  <c r="O5121" i="2"/>
  <c r="P5121" i="2"/>
  <c r="O5129" i="2"/>
  <c r="P5129" i="2"/>
  <c r="O6162" i="2"/>
  <c r="P6162" i="2"/>
  <c r="O3981" i="2"/>
  <c r="P3981" i="2"/>
  <c r="O5169" i="2"/>
  <c r="P5169" i="2"/>
  <c r="O553" i="2"/>
  <c r="P553" i="2"/>
  <c r="O795" i="2"/>
  <c r="P795" i="2"/>
  <c r="O5297" i="2"/>
  <c r="P5297" i="2"/>
  <c r="O5305" i="2"/>
  <c r="P5305" i="2"/>
  <c r="O3362" i="2"/>
  <c r="P3362" i="2"/>
  <c r="O137" i="2"/>
  <c r="P137" i="2"/>
  <c r="O5353" i="2"/>
  <c r="P5353" i="2"/>
  <c r="O5361" i="2"/>
  <c r="P5361" i="2"/>
  <c r="O5369" i="2"/>
  <c r="P5369" i="2"/>
  <c r="O5433" i="2"/>
  <c r="P5433" i="2"/>
  <c r="O3114" i="2"/>
  <c r="P3114" i="2"/>
  <c r="O5457" i="2"/>
  <c r="P5457" i="2"/>
  <c r="O6106" i="2"/>
  <c r="P6106" i="2"/>
  <c r="O6182" i="2"/>
  <c r="P6182" i="2"/>
  <c r="O5489" i="2"/>
  <c r="P5489" i="2"/>
  <c r="O6605" i="2"/>
  <c r="P6605" i="2"/>
  <c r="O5505" i="2"/>
  <c r="P5505" i="2"/>
  <c r="O5547" i="2"/>
  <c r="P5547" i="2"/>
  <c r="O6696" i="2"/>
  <c r="P6696" i="2"/>
  <c r="O5529" i="2"/>
  <c r="P5529" i="2"/>
  <c r="O5537" i="2"/>
  <c r="P5537" i="2"/>
  <c r="O6516" i="2"/>
  <c r="P6516" i="2"/>
  <c r="O5553" i="2"/>
  <c r="P5553" i="2"/>
  <c r="O6899" i="2"/>
  <c r="P6899" i="2"/>
  <c r="O5577" i="2"/>
  <c r="P5577" i="2"/>
  <c r="O3697" i="2"/>
  <c r="P3697" i="2"/>
  <c r="O5609" i="2"/>
  <c r="P5609" i="2"/>
  <c r="O6440" i="2"/>
  <c r="P6440" i="2"/>
  <c r="O5641" i="2"/>
  <c r="P5641" i="2"/>
  <c r="O2771" i="2"/>
  <c r="P2771" i="2"/>
  <c r="O5681" i="2"/>
  <c r="P5681" i="2"/>
  <c r="O5697" i="2"/>
  <c r="P5697" i="2"/>
  <c r="O4179" i="2"/>
  <c r="P4179" i="2"/>
  <c r="O2174" i="2"/>
  <c r="P2174" i="2"/>
  <c r="O5745" i="2"/>
  <c r="P5745" i="2"/>
  <c r="O5769" i="2"/>
  <c r="P5769" i="2"/>
  <c r="O4951" i="2"/>
  <c r="P4951" i="2"/>
  <c r="O407" i="2"/>
  <c r="P407" i="2"/>
  <c r="O5809" i="2"/>
  <c r="P5809" i="2"/>
  <c r="O5817" i="2"/>
  <c r="P5817" i="2"/>
  <c r="O2125" i="2"/>
  <c r="P2125" i="2"/>
  <c r="O5873" i="2"/>
  <c r="P5873" i="2"/>
  <c r="O5470" i="2"/>
  <c r="P5470" i="2"/>
  <c r="O5889" i="2"/>
  <c r="P5889" i="2"/>
  <c r="O5905" i="2"/>
  <c r="P5905" i="2"/>
  <c r="O5913" i="2"/>
  <c r="P5913" i="2"/>
  <c r="O5921" i="2"/>
  <c r="P5921" i="2"/>
  <c r="O653" i="2"/>
  <c r="P653" i="2"/>
  <c r="O5945" i="2"/>
  <c r="P5945" i="2"/>
  <c r="O5961" i="2"/>
  <c r="P5961" i="2"/>
  <c r="O5930" i="2"/>
  <c r="P5930" i="2"/>
  <c r="O2097" i="2"/>
  <c r="P2097" i="2"/>
  <c r="O4814" i="2"/>
  <c r="P4814" i="2"/>
  <c r="O4977" i="2"/>
  <c r="P4977" i="2"/>
  <c r="O6017" i="2"/>
  <c r="P6017" i="2"/>
  <c r="O5261" i="2"/>
  <c r="P5261" i="2"/>
  <c r="O6057" i="2"/>
  <c r="P6057" i="2"/>
  <c r="O6065" i="2"/>
  <c r="P6065" i="2"/>
  <c r="O6073" i="2"/>
  <c r="P6073" i="2"/>
  <c r="O4822" i="2"/>
  <c r="P4822" i="2"/>
  <c r="O6089" i="2"/>
  <c r="P6089" i="2"/>
  <c r="O2620" i="2"/>
  <c r="P2620" i="2"/>
  <c r="O6153" i="2"/>
  <c r="P6153" i="2"/>
  <c r="O6169" i="2"/>
  <c r="P6169" i="2"/>
  <c r="O6193" i="2"/>
  <c r="P6193" i="2"/>
  <c r="O6225" i="2"/>
  <c r="P6225" i="2"/>
  <c r="O3775" i="2"/>
  <c r="P3775" i="2"/>
  <c r="O174" i="2"/>
  <c r="P174" i="2"/>
  <c r="O6297" i="2"/>
  <c r="P6297" i="2"/>
  <c r="O6377" i="2"/>
  <c r="P6377" i="2"/>
  <c r="O6409" i="2"/>
  <c r="P6409" i="2"/>
  <c r="O7037" i="2"/>
  <c r="P7037" i="2"/>
  <c r="O5853" i="2"/>
  <c r="P5853" i="2"/>
  <c r="O6449" i="2"/>
  <c r="P6449" i="2"/>
  <c r="O6457" i="2"/>
  <c r="P6457" i="2"/>
  <c r="O6473" i="2"/>
  <c r="P6473" i="2"/>
  <c r="O3298" i="2"/>
  <c r="P3298" i="2"/>
  <c r="O6497" i="2"/>
  <c r="P6497" i="2"/>
  <c r="O6756" i="2"/>
  <c r="P6756" i="2"/>
  <c r="O3721" i="2"/>
  <c r="P3721" i="2"/>
  <c r="O1849" i="2"/>
  <c r="P1849" i="2"/>
  <c r="O3250" i="2"/>
  <c r="P3250" i="2"/>
  <c r="O4631" i="2"/>
  <c r="P4631" i="2"/>
  <c r="O2279" i="2"/>
  <c r="P2279" i="2"/>
  <c r="O1725" i="2"/>
  <c r="P1725" i="2"/>
  <c r="O6649" i="2"/>
  <c r="P6649" i="2"/>
  <c r="O6665" i="2"/>
  <c r="P6665" i="2"/>
  <c r="O6681" i="2"/>
  <c r="P6681" i="2"/>
  <c r="O6551" i="2"/>
  <c r="P6551" i="2"/>
  <c r="O190" i="2"/>
  <c r="P190" i="2"/>
  <c r="O6737" i="2"/>
  <c r="P6737" i="2"/>
  <c r="O5756" i="2"/>
  <c r="P5756" i="2"/>
  <c r="O6761" i="2"/>
  <c r="P6761" i="2"/>
  <c r="O6785" i="2"/>
  <c r="P6785" i="2"/>
  <c r="O5022" i="2"/>
  <c r="P5022" i="2"/>
  <c r="O6825" i="2"/>
  <c r="P6825" i="2"/>
  <c r="O5479" i="2"/>
  <c r="P5479" i="2"/>
  <c r="O6841" i="2"/>
  <c r="P6841" i="2"/>
  <c r="O6849" i="2"/>
  <c r="P6849" i="2"/>
  <c r="O6904" i="2"/>
  <c r="P6904" i="2"/>
  <c r="O4660" i="2"/>
  <c r="P4660" i="2"/>
  <c r="O3851" i="2"/>
  <c r="P3851" i="2"/>
  <c r="O6881" i="2"/>
  <c r="P6881" i="2"/>
  <c r="O1609" i="2"/>
  <c r="P1609" i="2"/>
  <c r="O2528" i="2"/>
  <c r="P2528" i="2"/>
  <c r="O695" i="2"/>
  <c r="P695" i="2"/>
  <c r="O6921" i="2"/>
  <c r="P6921" i="2"/>
  <c r="O6945" i="2"/>
  <c r="P6945" i="2"/>
  <c r="O6993" i="2"/>
  <c r="P6993" i="2"/>
  <c r="O7009" i="2"/>
  <c r="P7009" i="2"/>
  <c r="O1833" i="2"/>
  <c r="P1833" i="2"/>
  <c r="O7025" i="2"/>
  <c r="P7025" i="2"/>
  <c r="O7033" i="2"/>
  <c r="P7033" i="2"/>
  <c r="O7041" i="2"/>
  <c r="P7041" i="2"/>
  <c r="O2543" i="2"/>
  <c r="P2543" i="2"/>
  <c r="O3793" i="2"/>
  <c r="P3793" i="2"/>
  <c r="O7097" i="2"/>
  <c r="P7097" i="2"/>
  <c r="O7129" i="2"/>
  <c r="P7129" i="2"/>
  <c r="O3773" i="2"/>
  <c r="P3773" i="2"/>
  <c r="O5001" i="2"/>
  <c r="P5001" i="2"/>
  <c r="O7177" i="2"/>
  <c r="P7177" i="2"/>
  <c r="O7185" i="2"/>
  <c r="P7185" i="2"/>
  <c r="O6336" i="2"/>
  <c r="P6336" i="2"/>
  <c r="O6510" i="2"/>
  <c r="P6510" i="2"/>
  <c r="O7233" i="2"/>
  <c r="P7233" i="2"/>
  <c r="O7249" i="2"/>
  <c r="P7249" i="2"/>
  <c r="O7257" i="2"/>
  <c r="P7257" i="2"/>
  <c r="O7273" i="2"/>
  <c r="P7273" i="2"/>
  <c r="O7289" i="2"/>
  <c r="P7289" i="2"/>
  <c r="O23" i="2"/>
  <c r="O7146" i="2"/>
  <c r="O103" i="2"/>
  <c r="O6914" i="2"/>
  <c r="O231" i="2"/>
  <c r="O2851" i="2"/>
  <c r="O2341" i="2"/>
  <c r="O3432" i="2"/>
  <c r="O639" i="2"/>
  <c r="O5583" i="2"/>
  <c r="O3452" i="2"/>
  <c r="O2157" i="2"/>
  <c r="O767" i="2"/>
  <c r="O863" i="2"/>
  <c r="O935" i="2"/>
  <c r="O959" i="2"/>
  <c r="O983" i="2"/>
  <c r="O1031" i="2"/>
  <c r="O247" i="2"/>
  <c r="O964" i="2"/>
  <c r="O633" i="2"/>
  <c r="O1143" i="2"/>
  <c r="O1239" i="2"/>
  <c r="O1391" i="2"/>
  <c r="O1439" i="2"/>
  <c r="O3786" i="2"/>
  <c r="O931" i="2"/>
  <c r="O1671" i="2"/>
  <c r="O1695" i="2"/>
  <c r="O4944" i="2"/>
  <c r="O5030" i="2"/>
  <c r="O256" i="2"/>
  <c r="O58" i="2"/>
  <c r="O2079" i="2"/>
  <c r="O1425" i="2"/>
  <c r="O2399" i="2"/>
  <c r="O4651" i="2"/>
  <c r="O2976" i="2"/>
  <c r="O2263" i="2"/>
  <c r="O2311" i="2"/>
  <c r="O1187" i="2"/>
  <c r="O294" i="2"/>
  <c r="O2415" i="2"/>
  <c r="O2455" i="2"/>
  <c r="O2479" i="2"/>
  <c r="O2559" i="2"/>
  <c r="O2695" i="2"/>
  <c r="O3167" i="2"/>
  <c r="O2775" i="2"/>
  <c r="O2799" i="2"/>
  <c r="O2171" i="2"/>
  <c r="O2951" i="2"/>
  <c r="O4755" i="2"/>
  <c r="O392" i="2"/>
  <c r="O3215" i="2"/>
  <c r="O3279" i="2"/>
  <c r="O5880" i="2"/>
  <c r="O7115" i="2"/>
  <c r="O3407" i="2"/>
  <c r="O3487" i="2"/>
  <c r="O3511" i="2"/>
  <c r="O3575" i="2"/>
  <c r="O1951" i="2"/>
  <c r="O3631" i="2"/>
  <c r="O2249" i="2"/>
  <c r="O3751" i="2"/>
  <c r="O1298" i="2"/>
  <c r="O3828" i="2"/>
  <c r="O997" i="2"/>
  <c r="O4087" i="2"/>
  <c r="O4111" i="2"/>
  <c r="O4135" i="2"/>
  <c r="O4159" i="2"/>
  <c r="O4319" i="2"/>
  <c r="O4359" i="2"/>
  <c r="O3046" i="2"/>
  <c r="O4719" i="2"/>
  <c r="O4799" i="2"/>
  <c r="O4815" i="2"/>
  <c r="O4831" i="2"/>
  <c r="O7028" i="2"/>
  <c r="O4967" i="2"/>
  <c r="O738" i="2"/>
  <c r="O5079" i="2"/>
  <c r="O5127" i="2"/>
  <c r="O1377" i="2"/>
  <c r="O5215" i="2"/>
  <c r="O5239" i="2"/>
  <c r="O123" i="2"/>
  <c r="O5161" i="2"/>
  <c r="O211" i="2"/>
  <c r="O331" i="2"/>
  <c r="O355" i="2"/>
  <c r="O403" i="2"/>
  <c r="O515" i="2"/>
  <c r="O6539" i="2"/>
  <c r="O547" i="2"/>
  <c r="O587" i="2"/>
  <c r="O811" i="2"/>
  <c r="O835" i="2"/>
  <c r="O1163" i="2"/>
  <c r="O1203" i="2"/>
  <c r="O1219" i="2"/>
  <c r="O4630" i="2"/>
  <c r="O1299" i="2"/>
  <c r="O3811" i="2"/>
  <c r="O1411" i="2"/>
  <c r="O1515" i="2"/>
  <c r="O6778" i="2"/>
  <c r="O2159" i="2"/>
  <c r="O2856" i="2"/>
  <c r="O5998" i="2"/>
  <c r="O5878" i="2"/>
  <c r="O2034" i="2"/>
  <c r="O2531" i="2"/>
  <c r="O2595" i="2"/>
  <c r="O2667" i="2"/>
  <c r="O4206" i="2"/>
  <c r="O1461" i="2"/>
  <c r="O2891" i="2"/>
  <c r="O5751" i="2"/>
  <c r="O684" i="2"/>
  <c r="O3003" i="2"/>
  <c r="O82" i="2"/>
  <c r="O3059" i="2"/>
  <c r="O234" i="2"/>
  <c r="O1995" i="2"/>
  <c r="O3259" i="2"/>
  <c r="O1678" i="2"/>
  <c r="O439" i="2"/>
  <c r="O3459" i="2"/>
  <c r="O3667" i="2"/>
  <c r="O2474" i="2"/>
  <c r="O2352" i="2"/>
  <c r="O3843" i="2"/>
  <c r="O3915" i="2"/>
  <c r="O4715" i="2"/>
  <c r="O675" i="2"/>
  <c r="O7043" i="2"/>
  <c r="O4027" i="2"/>
  <c r="O5671" i="2"/>
  <c r="O1490" i="2"/>
  <c r="O4195" i="2"/>
  <c r="O2380" i="2"/>
  <c r="O2154" i="2"/>
  <c r="O3960" i="2"/>
  <c r="O4411" i="2"/>
  <c r="O4435" i="2"/>
  <c r="O4475" i="2"/>
  <c r="O1345" i="2"/>
  <c r="O4555" i="2"/>
  <c r="O6187" i="2"/>
  <c r="O4595" i="2"/>
  <c r="O4643" i="2"/>
  <c r="O4659" i="2"/>
  <c r="O4739" i="2"/>
  <c r="O1013" i="2"/>
  <c r="O2161" i="2"/>
  <c r="O4915" i="2"/>
  <c r="O5245" i="2"/>
  <c r="O4995" i="2"/>
  <c r="O5027" i="2"/>
  <c r="O5099" i="2"/>
  <c r="O5147" i="2"/>
  <c r="O3640" i="2"/>
  <c r="O5295" i="2"/>
  <c r="O5335" i="2"/>
  <c r="O5351" i="2"/>
  <c r="O4042" i="2"/>
  <c r="O7218" i="2"/>
  <c r="O5487" i="2"/>
  <c r="O6088" i="2"/>
  <c r="O5527" i="2"/>
  <c r="O1879" i="2"/>
  <c r="O5767" i="2"/>
  <c r="O2541" i="2"/>
  <c r="O5942" i="2"/>
  <c r="O5468" i="2"/>
  <c r="O4653" i="2"/>
  <c r="O6521" i="2"/>
  <c r="O6015" i="2"/>
  <c r="O6135" i="2"/>
  <c r="O6151" i="2"/>
  <c r="O6167" i="2"/>
  <c r="O6199" i="2"/>
  <c r="O6231" i="2"/>
  <c r="O6239" i="2"/>
  <c r="O6279" i="2"/>
  <c r="O6415" i="2"/>
  <c r="O2677" i="2"/>
  <c r="O6463" i="2"/>
  <c r="O6471" i="2"/>
  <c r="O5549" i="2"/>
  <c r="O6487" i="2"/>
  <c r="O1094" i="2"/>
  <c r="O6558" i="2"/>
  <c r="O6535" i="2"/>
  <c r="O6867" i="2"/>
  <c r="O7064" i="2"/>
  <c r="O903" i="2"/>
  <c r="O6567" i="2"/>
  <c r="O2274" i="2"/>
  <c r="O4304" i="2"/>
  <c r="O5535" i="2"/>
  <c r="O6607" i="2"/>
  <c r="O6631" i="2"/>
  <c r="O436" i="2"/>
  <c r="O3934" i="2"/>
  <c r="O6687" i="2"/>
  <c r="O6695" i="2"/>
  <c r="O3392" i="2"/>
  <c r="O6735" i="2"/>
  <c r="O6767" i="2"/>
  <c r="O6799" i="2"/>
  <c r="O6855" i="2"/>
  <c r="O6863" i="2"/>
  <c r="O5000" i="2"/>
  <c r="O6879" i="2"/>
  <c r="O6911" i="2"/>
  <c r="O1417" i="2"/>
  <c r="O6975" i="2"/>
  <c r="O6991" i="2"/>
  <c r="O7007" i="2"/>
  <c r="O1102" i="2"/>
  <c r="O7063" i="2"/>
  <c r="O3297" i="2"/>
  <c r="O5886" i="2"/>
  <c r="O2173" i="2"/>
  <c r="O7175" i="2"/>
  <c r="O7191" i="2"/>
  <c r="O7199" i="2"/>
  <c r="O907" i="2"/>
  <c r="O7247" i="2"/>
  <c r="O7255" i="2"/>
  <c r="O7294" i="2"/>
  <c r="O7310" i="2"/>
  <c r="O7318" i="2"/>
  <c r="O7326" i="2"/>
  <c r="O7342" i="2"/>
  <c r="O7350" i="2"/>
  <c r="O7358" i="2"/>
  <c r="O7374" i="2"/>
  <c r="O7382" i="2"/>
  <c r="O7390" i="2"/>
  <c r="O7406" i="2"/>
  <c r="O7414" i="2"/>
  <c r="O7422" i="2"/>
  <c r="O7438" i="2"/>
  <c r="O7446" i="2"/>
  <c r="O7454" i="2"/>
  <c r="O7470" i="2"/>
  <c r="O7478" i="2"/>
  <c r="O7486" i="2"/>
  <c r="O7502" i="2"/>
  <c r="O7510" i="2"/>
  <c r="O7518" i="2"/>
  <c r="O7534" i="2"/>
  <c r="O7542" i="2"/>
  <c r="O7550" i="2"/>
  <c r="O7566" i="2"/>
  <c r="O7574" i="2"/>
  <c r="O7582" i="2"/>
  <c r="O7598" i="2"/>
  <c r="O7606" i="2"/>
  <c r="O7614" i="2"/>
  <c r="O7630" i="2"/>
  <c r="O7638" i="2"/>
  <c r="O7646" i="2"/>
  <c r="O7662" i="2"/>
  <c r="O7670" i="2"/>
  <c r="O7678" i="2"/>
  <c r="O7694" i="2"/>
  <c r="O7702" i="2"/>
  <c r="O7710" i="2"/>
  <c r="O7726" i="2"/>
  <c r="O7734" i="2"/>
  <c r="O7742" i="2"/>
  <c r="O7758" i="2"/>
  <c r="O7766" i="2"/>
  <c r="O7774" i="2"/>
  <c r="O7790" i="2"/>
  <c r="O7798" i="2"/>
  <c r="O7806" i="2"/>
  <c r="O7822" i="2"/>
  <c r="O7830" i="2"/>
  <c r="O7838" i="2"/>
  <c r="O7854" i="2"/>
  <c r="O7862" i="2"/>
  <c r="O7870" i="2"/>
  <c r="O7886" i="2"/>
  <c r="O7894" i="2"/>
  <c r="O7902" i="2"/>
  <c r="O7918" i="2"/>
  <c r="O7926" i="2"/>
  <c r="O7934" i="2"/>
  <c r="O7950" i="2"/>
  <c r="O7958" i="2"/>
  <c r="O7966" i="2"/>
  <c r="O7982" i="2"/>
  <c r="O7990" i="2"/>
  <c r="O7998" i="2"/>
  <c r="O8014" i="2"/>
  <c r="O8022" i="2"/>
  <c r="O8030" i="2"/>
  <c r="O8046" i="2"/>
  <c r="O8054" i="2"/>
  <c r="O8062" i="2"/>
  <c r="O8078" i="2"/>
  <c r="O8086" i="2"/>
  <c r="O8094" i="2"/>
  <c r="O8110" i="2"/>
  <c r="O8118" i="2"/>
  <c r="O8126" i="2"/>
  <c r="O8142" i="2"/>
  <c r="O8150" i="2"/>
  <c r="O24" i="2"/>
  <c r="O72" i="2"/>
  <c r="O2023" i="2"/>
  <c r="O144" i="2"/>
  <c r="O160" i="2"/>
  <c r="O3419" i="2"/>
  <c r="O1442" i="2"/>
  <c r="O288" i="2"/>
  <c r="O304" i="2"/>
  <c r="O320" i="2"/>
  <c r="O6571" i="2"/>
  <c r="O344" i="2"/>
  <c r="O352" i="2"/>
  <c r="O424" i="2"/>
  <c r="O432" i="2"/>
  <c r="O448" i="2"/>
  <c r="O6097" i="2"/>
  <c r="O7103" i="2"/>
  <c r="O544" i="2"/>
  <c r="O6917" i="2"/>
  <c r="O608" i="2"/>
  <c r="O720" i="2"/>
  <c r="O5166" i="2"/>
  <c r="O808" i="2"/>
  <c r="O3521" i="2"/>
  <c r="O960" i="2"/>
  <c r="O1008" i="2"/>
  <c r="O2690" i="2"/>
  <c r="O1072" i="2"/>
  <c r="O1080" i="2"/>
  <c r="O1120" i="2"/>
  <c r="O1176" i="2"/>
  <c r="O1192" i="2"/>
  <c r="O1208" i="2"/>
  <c r="O1216" i="2"/>
  <c r="O5131" i="2"/>
  <c r="O1240" i="2"/>
  <c r="O1280" i="2"/>
  <c r="O5483" i="2"/>
  <c r="O1304" i="2"/>
  <c r="O1368" i="2"/>
  <c r="O1376" i="2"/>
  <c r="O433" i="2"/>
  <c r="O1400" i="2"/>
  <c r="O248" i="2"/>
  <c r="O846" i="2"/>
  <c r="O1448" i="2"/>
  <c r="O1576" i="2"/>
  <c r="O1592" i="2"/>
  <c r="O1648" i="2"/>
  <c r="O45" i="2"/>
  <c r="O6588" i="2"/>
  <c r="O1704" i="2"/>
  <c r="O2373" i="2"/>
  <c r="O1752" i="2"/>
  <c r="O1784" i="2"/>
  <c r="O1792" i="2"/>
  <c r="O4798" i="2"/>
  <c r="O1864" i="2"/>
  <c r="O1904" i="2"/>
  <c r="O265" i="2"/>
  <c r="O5730" i="2"/>
  <c r="O1936" i="2"/>
  <c r="O1186" i="2"/>
  <c r="O1984" i="2"/>
  <c r="O2740" i="2"/>
  <c r="O3599" i="2"/>
  <c r="O2072" i="2"/>
  <c r="O2080" i="2"/>
  <c r="O2088" i="2"/>
  <c r="O286" i="2"/>
  <c r="O1279" i="2"/>
  <c r="O7021" i="2"/>
  <c r="O2176" i="2"/>
  <c r="O6159" i="2"/>
  <c r="O5180" i="2"/>
  <c r="O2360" i="2"/>
  <c r="O2368" i="2"/>
  <c r="O2384" i="2"/>
  <c r="O3185" i="2"/>
  <c r="O2496" i="2"/>
  <c r="O2512" i="2"/>
  <c r="O6228" i="2"/>
  <c r="O2560" i="2"/>
  <c r="O2584" i="2"/>
  <c r="O2672" i="2"/>
  <c r="O4876" i="2"/>
  <c r="O2146" i="2"/>
  <c r="O2760" i="2"/>
  <c r="O2977" i="2"/>
  <c r="O6342" i="2"/>
  <c r="O2792" i="2"/>
  <c r="O3172" i="2"/>
  <c r="O6172" i="2"/>
  <c r="O5842" i="2"/>
  <c r="O7040" i="2"/>
  <c r="O2952" i="2"/>
  <c r="O5835" i="2"/>
  <c r="O2984" i="2"/>
  <c r="O2992" i="2"/>
  <c r="O940" i="2"/>
  <c r="O690" i="2"/>
  <c r="O3707" i="2"/>
  <c r="O3088" i="2"/>
  <c r="O5419" i="2"/>
  <c r="O4066" i="2"/>
  <c r="O6192" i="2"/>
  <c r="O2753" i="2"/>
  <c r="O1712" i="2"/>
  <c r="O6762" i="2"/>
  <c r="O5731" i="2"/>
  <c r="O5747" i="2"/>
  <c r="O5819" i="2"/>
  <c r="O5947" i="2"/>
  <c r="O5963" i="2"/>
  <c r="O6051" i="2"/>
  <c r="O6067" i="2"/>
  <c r="O6083" i="2"/>
  <c r="O6099" i="2"/>
  <c r="O5486" i="2"/>
  <c r="O6259" i="2"/>
  <c r="O6299" i="2"/>
  <c r="O2473" i="2"/>
  <c r="O6331" i="2"/>
  <c r="O6339" i="2"/>
  <c r="O6355" i="2"/>
  <c r="O6387" i="2"/>
  <c r="O7213" i="2"/>
  <c r="O6435" i="2"/>
  <c r="O6443" i="2"/>
  <c r="O6499" i="2"/>
  <c r="O6507" i="2"/>
  <c r="O6784" i="2"/>
  <c r="O3100" i="2"/>
  <c r="O6715" i="2"/>
  <c r="O5701" i="2"/>
  <c r="O2791" i="2"/>
  <c r="O2739" i="2"/>
  <c r="O6827" i="2"/>
  <c r="O2804" i="2"/>
  <c r="O6891" i="2"/>
  <c r="O391" i="2"/>
  <c r="O6923" i="2"/>
  <c r="O6931" i="2"/>
  <c r="O5097" i="2"/>
  <c r="O3015" i="2"/>
  <c r="O7091" i="2"/>
  <c r="O4020" i="2"/>
  <c r="O7139" i="2"/>
  <c r="O7235" i="2"/>
  <c r="O7275" i="2"/>
  <c r="O7291" i="2"/>
  <c r="O60" i="2"/>
  <c r="O4404" i="2"/>
  <c r="O116" i="2"/>
  <c r="O124" i="2"/>
  <c r="O172" i="2"/>
  <c r="O5101" i="2"/>
  <c r="O204" i="2"/>
  <c r="O212" i="2"/>
  <c r="O228" i="2"/>
  <c r="O5843" i="2"/>
  <c r="O380" i="2"/>
  <c r="O3890" i="2"/>
  <c r="O1057" i="2"/>
  <c r="O476" i="2"/>
  <c r="O484" i="2"/>
  <c r="O572" i="2"/>
  <c r="O6542" i="2"/>
  <c r="O506" i="2"/>
  <c r="O2181" i="2"/>
  <c r="O2849" i="2"/>
  <c r="O3999" i="2"/>
  <c r="O3750" i="2"/>
  <c r="O772" i="2"/>
  <c r="O4058" i="2"/>
  <c r="O828" i="2"/>
  <c r="O660" i="2"/>
  <c r="O924" i="2"/>
  <c r="O804" i="2"/>
  <c r="O972" i="2"/>
  <c r="O1446" i="2"/>
  <c r="O1036" i="2"/>
  <c r="O1526" i="2"/>
  <c r="O1052" i="2"/>
  <c r="O3725" i="2"/>
  <c r="O1108" i="2"/>
  <c r="O1148" i="2"/>
  <c r="O1164" i="2"/>
  <c r="O1252" i="2"/>
  <c r="O1260" i="2"/>
  <c r="O4054" i="2"/>
  <c r="O1476" i="2"/>
  <c r="O560" i="2"/>
  <c r="O2935" i="2"/>
  <c r="O1516" i="2"/>
  <c r="O1548" i="2"/>
  <c r="O3569" i="2"/>
  <c r="O1820" i="2"/>
  <c r="O1836" i="2"/>
  <c r="O1876" i="2"/>
  <c r="O5906" i="2"/>
  <c r="O1964" i="2"/>
  <c r="O4790" i="2"/>
  <c r="O3007" i="2"/>
  <c r="O6087" i="2"/>
  <c r="O2228" i="2"/>
  <c r="O2236" i="2"/>
  <c r="O2252" i="2"/>
  <c r="O7057" i="2"/>
  <c r="O1895" i="2"/>
  <c r="O2292" i="2"/>
  <c r="O2118" i="2"/>
  <c r="O2396" i="2"/>
  <c r="O2404" i="2"/>
  <c r="O2460" i="2"/>
  <c r="O2826" i="2"/>
  <c r="O5785" i="2"/>
  <c r="O2548" i="2"/>
  <c r="O2604" i="2"/>
  <c r="O5124" i="2"/>
  <c r="O5205" i="2"/>
  <c r="O1258" i="2"/>
  <c r="O2724" i="2"/>
  <c r="O4875" i="2"/>
  <c r="O2752" i="2"/>
  <c r="O223" i="2"/>
  <c r="O2820" i="2"/>
  <c r="O1152" i="2"/>
  <c r="O2932" i="2"/>
  <c r="O5984" i="2"/>
  <c r="O4269" i="2"/>
  <c r="O6109" i="2"/>
  <c r="O3144" i="2"/>
  <c r="O996" i="2"/>
  <c r="O3320" i="2"/>
  <c r="O3336" i="2"/>
  <c r="O1297" i="2"/>
  <c r="O2482" i="2"/>
  <c r="O3440" i="2"/>
  <c r="O3472" i="2"/>
  <c r="O3496" i="2"/>
  <c r="O3552" i="2"/>
  <c r="O3568" i="2"/>
  <c r="O5704" i="2"/>
  <c r="O3704" i="2"/>
  <c r="O3712" i="2"/>
  <c r="O3115" i="2"/>
  <c r="O3736" i="2"/>
  <c r="O1615" i="2"/>
  <c r="O3840" i="2"/>
  <c r="O4858" i="2"/>
  <c r="O3864" i="2"/>
  <c r="O303" i="2"/>
  <c r="O2490" i="2"/>
  <c r="O428" i="2"/>
  <c r="O412" i="2"/>
  <c r="O3992" i="2"/>
  <c r="O1067" i="2"/>
  <c r="O4016" i="2"/>
  <c r="O4024" i="2"/>
  <c r="O4040" i="2"/>
  <c r="O4136" i="2"/>
  <c r="O4184" i="2"/>
  <c r="O4063" i="2"/>
  <c r="O4824" i="2"/>
  <c r="O5028" i="2"/>
  <c r="O527" i="2"/>
  <c r="O6046" i="2"/>
  <c r="O4312" i="2"/>
  <c r="O4344" i="2"/>
  <c r="O4360" i="2"/>
  <c r="O1980" i="2"/>
  <c r="O2987" i="2"/>
  <c r="O856" i="2"/>
  <c r="O4424" i="2"/>
  <c r="O2964" i="2"/>
  <c r="O2083" i="2"/>
  <c r="O4648" i="2"/>
  <c r="O4736" i="2"/>
  <c r="O3042" i="2"/>
  <c r="O4800" i="2"/>
  <c r="O4808" i="2"/>
  <c r="O6176" i="2"/>
  <c r="O749" i="2"/>
  <c r="O4840" i="2"/>
  <c r="O4864" i="2"/>
  <c r="O3154" i="2"/>
  <c r="O4880" i="2"/>
  <c r="O4920" i="2"/>
  <c r="O1952" i="2"/>
  <c r="O4968" i="2"/>
  <c r="O6798" i="2"/>
  <c r="O6069" i="2"/>
  <c r="O1415" i="2"/>
  <c r="O4355" i="2"/>
  <c r="O135" i="2"/>
  <c r="O5168" i="2"/>
  <c r="O5192" i="2"/>
  <c r="O5264" i="2"/>
  <c r="O5280" i="2"/>
  <c r="O5344" i="2"/>
  <c r="O5376" i="2"/>
  <c r="O5432" i="2"/>
  <c r="O3878" i="2"/>
  <c r="O2676" i="2"/>
  <c r="O4513" i="2"/>
  <c r="O5488" i="2"/>
  <c r="O5496" i="2"/>
  <c r="O5504" i="2"/>
  <c r="O3368" i="2"/>
  <c r="O238" i="2"/>
  <c r="O5600" i="2"/>
  <c r="O5640" i="2"/>
  <c r="O2398" i="2"/>
  <c r="O5760" i="2"/>
  <c r="O5768" i="2"/>
  <c r="O2059" i="2"/>
  <c r="O2921" i="2"/>
  <c r="O5792" i="2"/>
  <c r="O5856" i="2"/>
  <c r="O5469" i="2"/>
  <c r="O5904" i="2"/>
  <c r="O5920" i="2"/>
  <c r="O143" i="2"/>
  <c r="O5936" i="2"/>
  <c r="O145" i="2"/>
  <c r="O6016" i="2"/>
  <c r="O6064" i="2"/>
  <c r="O6421" i="2"/>
  <c r="O1437" i="2"/>
  <c r="O6128" i="2"/>
  <c r="O6136" i="2"/>
  <c r="O6152" i="2"/>
  <c r="O6168" i="2"/>
  <c r="O2005" i="2"/>
  <c r="O6200" i="2"/>
  <c r="O6224" i="2"/>
  <c r="O6232" i="2"/>
  <c r="O328" i="2"/>
  <c r="O6344" i="2"/>
  <c r="O4494" i="2"/>
  <c r="O6432" i="2"/>
  <c r="O6913" i="2"/>
  <c r="O6448" i="2"/>
  <c r="O6464" i="2"/>
  <c r="O6472" i="2"/>
  <c r="O6504" i="2"/>
  <c r="O5788" i="2"/>
  <c r="O1408" i="2"/>
  <c r="O6094" i="2"/>
  <c r="O6536" i="2"/>
  <c r="O3720" i="2"/>
  <c r="O5846" i="2"/>
  <c r="O2277" i="2"/>
  <c r="O555" i="2"/>
  <c r="O430" i="2"/>
  <c r="O6600" i="2"/>
  <c r="O6632" i="2"/>
  <c r="O3296" i="2"/>
  <c r="O1726" i="2"/>
  <c r="O823" i="2"/>
  <c r="O1095" i="2"/>
  <c r="O7052" i="2"/>
  <c r="O6744" i="2"/>
  <c r="O6752" i="2"/>
  <c r="O6760" i="2"/>
  <c r="O3744" i="2"/>
  <c r="O5572" i="2"/>
  <c r="O6792" i="2"/>
  <c r="O6800" i="2"/>
  <c r="O5474" i="2"/>
  <c r="O6525" i="2"/>
  <c r="O6920" i="2"/>
  <c r="O2283" i="2"/>
  <c r="O6936" i="2"/>
  <c r="O6952" i="2"/>
  <c r="O6968" i="2"/>
  <c r="O6992" i="2"/>
  <c r="O7016" i="2"/>
  <c r="O7024" i="2"/>
  <c r="O2530" i="2"/>
  <c r="O6745" i="2"/>
  <c r="O371" i="2"/>
  <c r="O7080" i="2"/>
  <c r="O5275" i="2"/>
  <c r="O6941" i="2"/>
  <c r="O7128" i="2"/>
  <c r="O7184" i="2"/>
  <c r="O29" i="2"/>
  <c r="O125" i="2"/>
  <c r="O165" i="2"/>
  <c r="O205" i="2"/>
  <c r="O213" i="2"/>
  <c r="O221" i="2"/>
  <c r="O253" i="2"/>
  <c r="O317" i="2"/>
  <c r="O325" i="2"/>
  <c r="O357" i="2"/>
  <c r="O2147" i="2"/>
  <c r="O5636" i="2"/>
  <c r="O485" i="2"/>
  <c r="O501" i="2"/>
  <c r="O517" i="2"/>
  <c r="O4022" i="2"/>
  <c r="O3690" i="2"/>
  <c r="O573" i="2"/>
  <c r="O2700" i="2"/>
  <c r="O605" i="2"/>
  <c r="O629" i="2"/>
  <c r="O6553" i="2"/>
  <c r="O3180" i="2"/>
  <c r="O725" i="2"/>
  <c r="O797" i="2"/>
  <c r="O372" i="2"/>
  <c r="O845" i="2"/>
  <c r="O925" i="2"/>
  <c r="O933" i="2"/>
  <c r="O973" i="2"/>
  <c r="O6907" i="2"/>
  <c r="O4214" i="2"/>
  <c r="O2971" i="2"/>
  <c r="O5748" i="2"/>
  <c r="O6596" i="2"/>
  <c r="O1109" i="2"/>
  <c r="O3706" i="2"/>
  <c r="O1149" i="2"/>
  <c r="O1197" i="2"/>
  <c r="O3701" i="2"/>
  <c r="O1261" i="2"/>
  <c r="O1277" i="2"/>
  <c r="O1293" i="2"/>
  <c r="O1333" i="2"/>
  <c r="O1357" i="2"/>
  <c r="O1381" i="2"/>
  <c r="O3954" i="2"/>
  <c r="O4216" i="2"/>
  <c r="O393" i="2"/>
  <c r="O1477" i="2"/>
  <c r="O382" i="2"/>
  <c r="O5848" i="2"/>
  <c r="O1573" i="2"/>
  <c r="O5399" i="2"/>
  <c r="O3108" i="2"/>
  <c r="O937" i="2"/>
  <c r="O2004" i="2"/>
  <c r="O6242" i="2"/>
  <c r="O418" i="2"/>
  <c r="O3252" i="2"/>
  <c r="O3260" i="2"/>
  <c r="O84" i="2"/>
  <c r="O3284" i="2"/>
  <c r="O3292" i="2"/>
  <c r="O3300" i="2"/>
  <c r="O3348" i="2"/>
  <c r="O2812" i="2"/>
  <c r="O1432" i="2"/>
  <c r="O3420" i="2"/>
  <c r="O3484" i="2"/>
  <c r="O3524" i="2"/>
  <c r="O6659" i="2"/>
  <c r="O3628" i="2"/>
  <c r="O3636" i="2"/>
  <c r="O2837" i="2"/>
  <c r="O4548" i="2"/>
  <c r="O4632" i="2"/>
  <c r="O3820" i="2"/>
  <c r="O2359" i="2"/>
  <c r="O3908" i="2"/>
  <c r="O4572" i="2"/>
  <c r="O4060" i="2"/>
  <c r="O4068" i="2"/>
  <c r="O4092" i="2"/>
  <c r="O4078" i="2"/>
  <c r="O4164" i="2"/>
  <c r="O5974" i="2"/>
  <c r="O4260" i="2"/>
  <c r="O4268" i="2"/>
  <c r="O4276" i="2"/>
  <c r="O4444" i="2"/>
  <c r="O4476" i="2"/>
  <c r="O454" i="2"/>
  <c r="O4532" i="2"/>
  <c r="O4540" i="2"/>
  <c r="O4556" i="2"/>
  <c r="O2994" i="2"/>
  <c r="O5049" i="2"/>
  <c r="O4612" i="2"/>
  <c r="O4620" i="2"/>
  <c r="O1200" i="2"/>
  <c r="O2779" i="2"/>
  <c r="O4684" i="2"/>
  <c r="O4692" i="2"/>
  <c r="O4716" i="2"/>
  <c r="O4748" i="2"/>
  <c r="O5244" i="2"/>
  <c r="O4932" i="2"/>
  <c r="O1265" i="2"/>
  <c r="O6547" i="2"/>
  <c r="O5594" i="2"/>
  <c r="O5068" i="2"/>
  <c r="O5076" i="2"/>
  <c r="O5100" i="2"/>
  <c r="O5108" i="2"/>
  <c r="O6433" i="2"/>
  <c r="O4539" i="2"/>
  <c r="O4546" i="2"/>
  <c r="O6757" i="2"/>
  <c r="O5252" i="2"/>
  <c r="O5300" i="2"/>
  <c r="O966" i="2"/>
  <c r="O5332" i="2"/>
  <c r="O5412" i="2"/>
  <c r="O5420" i="2"/>
  <c r="O857" i="2"/>
  <c r="O4756" i="2"/>
  <c r="O5524" i="2"/>
  <c r="O5532" i="2"/>
  <c r="O5564" i="2"/>
  <c r="O651" i="2"/>
  <c r="O1494" i="2"/>
  <c r="O2732" i="2"/>
  <c r="O2167" i="2"/>
  <c r="O5668" i="2"/>
  <c r="O5467" i="2"/>
  <c r="O2784" i="2"/>
  <c r="O3928" i="2"/>
  <c r="O5257" i="2"/>
  <c r="O5716" i="2"/>
  <c r="O5724" i="2"/>
  <c r="O5740" i="2"/>
  <c r="O5804" i="2"/>
  <c r="O5812" i="2"/>
  <c r="O5820" i="2"/>
  <c r="O5828" i="2"/>
  <c r="O1877" i="2"/>
  <c r="O5844" i="2"/>
  <c r="O5948" i="2"/>
  <c r="O2381" i="2"/>
  <c r="O5972" i="2"/>
  <c r="O5980" i="2"/>
  <c r="O6036" i="2"/>
  <c r="O6052" i="2"/>
  <c r="O6100" i="2"/>
  <c r="O6108" i="2"/>
  <c r="O6244" i="2"/>
  <c r="O3113" i="2"/>
  <c r="O6324" i="2"/>
  <c r="O2848" i="2"/>
  <c r="O6492" i="2"/>
  <c r="O6644" i="2"/>
  <c r="O5700" i="2"/>
  <c r="O6676" i="2"/>
  <c r="O483" i="2"/>
  <c r="O6692" i="2"/>
  <c r="O6844" i="2"/>
  <c r="O6860" i="2"/>
  <c r="O5029" i="2"/>
  <c r="O6994" i="2"/>
  <c r="O6884" i="2"/>
  <c r="O6892" i="2"/>
  <c r="O7004" i="2"/>
  <c r="O5497" i="2"/>
  <c r="O7092" i="2"/>
  <c r="O7140" i="2"/>
  <c r="O1061" i="2"/>
  <c r="O7164" i="2"/>
  <c r="O7204" i="2"/>
  <c r="O7236" i="2"/>
  <c r="O7244" i="2"/>
  <c r="O7252" i="2"/>
  <c r="O197" i="2"/>
  <c r="O7295" i="2"/>
  <c r="O7311" i="2"/>
  <c r="O7319" i="2"/>
  <c r="O7327" i="2"/>
  <c r="O7343" i="2"/>
  <c r="O7351" i="2"/>
  <c r="O7359" i="2"/>
  <c r="O7375" i="2"/>
  <c r="O7383" i="2"/>
  <c r="O7391" i="2"/>
  <c r="O7407" i="2"/>
  <c r="O7415" i="2"/>
  <c r="O7423" i="2"/>
  <c r="O7439" i="2"/>
  <c r="O7447" i="2"/>
  <c r="O7455" i="2"/>
  <c r="O7471" i="2"/>
  <c r="O7479" i="2"/>
  <c r="O7487" i="2"/>
  <c r="O7503" i="2"/>
  <c r="O7511" i="2"/>
  <c r="O7519" i="2"/>
  <c r="O7535" i="2"/>
  <c r="O7543" i="2"/>
  <c r="O7551" i="2"/>
  <c r="O7567" i="2"/>
  <c r="O7575" i="2"/>
  <c r="O7583" i="2"/>
  <c r="O7599" i="2"/>
  <c r="O7607" i="2"/>
  <c r="O7615" i="2"/>
  <c r="O7631" i="2"/>
  <c r="O7639" i="2"/>
  <c r="O7647" i="2"/>
  <c r="O7663" i="2"/>
  <c r="O7671" i="2"/>
  <c r="O7679" i="2"/>
  <c r="O7695" i="2"/>
  <c r="O7703" i="2"/>
  <c r="O7711" i="2"/>
  <c r="O7727" i="2"/>
  <c r="O7735" i="2"/>
  <c r="O7743" i="2"/>
  <c r="O7759" i="2"/>
  <c r="O7767" i="2"/>
  <c r="O7775" i="2"/>
  <c r="O7791" i="2"/>
  <c r="O7799" i="2"/>
  <c r="O7807" i="2"/>
  <c r="O7823" i="2"/>
  <c r="O7831" i="2"/>
  <c r="O7839" i="2"/>
  <c r="O7855" i="2"/>
  <c r="O7863" i="2"/>
  <c r="O7871" i="2"/>
  <c r="O7887" i="2"/>
  <c r="O7895" i="2"/>
  <c r="O7903" i="2"/>
  <c r="O7919" i="2"/>
  <c r="O7927" i="2"/>
  <c r="O7935" i="2"/>
  <c r="O7951" i="2"/>
  <c r="O7959" i="2"/>
  <c r="O7967" i="2"/>
  <c r="O7983" i="2"/>
  <c r="O7991" i="2"/>
  <c r="O7999" i="2"/>
  <c r="O8015" i="2"/>
  <c r="O8023" i="2"/>
  <c r="O8031" i="2"/>
  <c r="O8047" i="2"/>
  <c r="O8055" i="2"/>
  <c r="O8063" i="2"/>
  <c r="O8079" i="2"/>
  <c r="O8087" i="2"/>
  <c r="O8095" i="2"/>
  <c r="O8111" i="2"/>
  <c r="O8119" i="2"/>
  <c r="O8127" i="2"/>
  <c r="O8143" i="2"/>
  <c r="O41" i="2"/>
  <c r="O4075" i="2"/>
  <c r="O97" i="2"/>
  <c r="O105" i="2"/>
  <c r="O6390" i="2"/>
  <c r="O5573" i="2"/>
  <c r="O2048" i="2"/>
  <c r="O185" i="2"/>
  <c r="O3422" i="2"/>
  <c r="O1017" i="2"/>
  <c r="O3023" i="2"/>
  <c r="O345" i="2"/>
  <c r="O10" i="2"/>
  <c r="O1525" i="2"/>
  <c r="O3880" i="2"/>
  <c r="O425" i="2"/>
  <c r="O4208" i="2"/>
  <c r="O537" i="2"/>
  <c r="O641" i="2"/>
  <c r="O6896" i="2"/>
  <c r="O681" i="2"/>
  <c r="O737" i="2"/>
  <c r="O745" i="2"/>
  <c r="O5840" i="2"/>
  <c r="O785" i="2"/>
  <c r="O2765" i="2"/>
  <c r="O945" i="2"/>
  <c r="O1039" i="2"/>
  <c r="O993" i="2"/>
  <c r="O2053" i="2"/>
  <c r="O4362" i="2"/>
  <c r="O5299" i="2"/>
  <c r="O1418" i="2"/>
  <c r="O227" i="2"/>
  <c r="O1249" i="2"/>
  <c r="O1018" i="2"/>
  <c r="O5118" i="2"/>
  <c r="O1433" i="2"/>
  <c r="O6530" i="2"/>
  <c r="O6543" i="2"/>
  <c r="O3998" i="2"/>
  <c r="O1593" i="2"/>
  <c r="O4569" i="2"/>
  <c r="O1625" i="2"/>
  <c r="O6886" i="2"/>
  <c r="O7112" i="2"/>
  <c r="O438" i="2"/>
  <c r="O2577" i="2"/>
  <c r="O2824" i="2"/>
  <c r="O1535" i="2"/>
  <c r="O6488" i="2"/>
  <c r="O71" i="2"/>
  <c r="O2165" i="2"/>
  <c r="O2237" i="2"/>
  <c r="O5319" i="2"/>
  <c r="O4370" i="2"/>
  <c r="O1075" i="2"/>
  <c r="O2834" i="2"/>
  <c r="O2365" i="2"/>
  <c r="O1896" i="2"/>
  <c r="O2509" i="2"/>
  <c r="O2533" i="2"/>
  <c r="O2557" i="2"/>
  <c r="O2573" i="2"/>
  <c r="O4392" i="2"/>
  <c r="O2693" i="2"/>
  <c r="O2709" i="2"/>
  <c r="O2725" i="2"/>
  <c r="O298" i="2"/>
  <c r="O6720" i="2"/>
  <c r="O2813" i="2"/>
  <c r="O2119" i="2"/>
  <c r="O332" i="2"/>
  <c r="O2893" i="2"/>
  <c r="O2957" i="2"/>
  <c r="O4119" i="2"/>
  <c r="O3125" i="2"/>
  <c r="O6139" i="2"/>
  <c r="O4497" i="2"/>
  <c r="O1857" i="2"/>
  <c r="O1873" i="2"/>
  <c r="O1889" i="2"/>
  <c r="O1905" i="2"/>
  <c r="O1929" i="2"/>
  <c r="O4946" i="2"/>
  <c r="O2025" i="2"/>
  <c r="O2089" i="2"/>
  <c r="O3679" i="2"/>
  <c r="O2193" i="2"/>
  <c r="O2313" i="2"/>
  <c r="O5706" i="2"/>
  <c r="O2449" i="2"/>
  <c r="O2465" i="2"/>
  <c r="O2481" i="2"/>
  <c r="O2601" i="2"/>
  <c r="O2745" i="2"/>
  <c r="O5969" i="2"/>
  <c r="O217" i="2"/>
  <c r="O1056" i="2"/>
  <c r="O3025" i="2"/>
  <c r="O81" i="2"/>
  <c r="O3145" i="2"/>
  <c r="O6755" i="2"/>
  <c r="O6522" i="2"/>
  <c r="O4217" i="2"/>
  <c r="O3281" i="2"/>
  <c r="O6845" i="2"/>
  <c r="O3429" i="2"/>
  <c r="O3493" i="2"/>
  <c r="O3589" i="2"/>
  <c r="O2418" i="2"/>
  <c r="O3677" i="2"/>
  <c r="O3693" i="2"/>
  <c r="O4374" i="2"/>
  <c r="O3741" i="2"/>
  <c r="O4792" i="2"/>
  <c r="O7042" i="2"/>
  <c r="O3717" i="2"/>
  <c r="O4170" i="2"/>
  <c r="O2126" i="2"/>
  <c r="O1805" i="2"/>
  <c r="O2128" i="2"/>
  <c r="O4093" i="2"/>
  <c r="O1371" i="2"/>
  <c r="O4149" i="2"/>
  <c r="O1289" i="2"/>
  <c r="O6395" i="2"/>
  <c r="O4213" i="2"/>
  <c r="O3931" i="2"/>
  <c r="O4365" i="2"/>
  <c r="O4413" i="2"/>
  <c r="O4541" i="2"/>
  <c r="O4557" i="2"/>
  <c r="O4621" i="2"/>
  <c r="O4965" i="2"/>
  <c r="O1058" i="2"/>
  <c r="O6888" i="2"/>
  <c r="O3561" i="2"/>
  <c r="O1539" i="2"/>
  <c r="O2160" i="2"/>
  <c r="O2874" i="2"/>
  <c r="O3833" i="2"/>
  <c r="O3849" i="2"/>
  <c r="O3865" i="2"/>
  <c r="O305" i="2"/>
  <c r="O1050" i="2"/>
  <c r="O3755" i="2"/>
  <c r="O3945" i="2"/>
  <c r="O4041" i="2"/>
  <c r="O4249" i="2"/>
  <c r="O4289" i="2"/>
  <c r="O4305" i="2"/>
  <c r="O6105" i="2"/>
  <c r="O4433" i="2"/>
  <c r="O4393" i="2"/>
  <c r="O5243" i="2"/>
  <c r="O2769" i="2"/>
  <c r="O4458" i="2"/>
  <c r="O4649" i="2"/>
  <c r="O3140" i="2"/>
  <c r="O4721" i="2"/>
  <c r="O4753" i="2"/>
  <c r="O4777" i="2"/>
  <c r="O2421" i="2"/>
  <c r="O4809" i="2"/>
  <c r="O4833" i="2"/>
  <c r="O4849" i="2"/>
  <c r="O4987" i="2"/>
  <c r="O2901" i="2"/>
  <c r="O4985" i="2"/>
  <c r="O6386" i="2"/>
  <c r="O5157" i="2"/>
  <c r="O5229" i="2"/>
  <c r="O5301" i="2"/>
  <c r="O5357" i="2"/>
  <c r="O2937" i="2"/>
  <c r="O5248" i="2"/>
  <c r="O5485" i="2"/>
  <c r="O5501" i="2"/>
  <c r="O3905" i="2"/>
  <c r="O6333" i="2"/>
  <c r="O4952" i="2"/>
  <c r="O210" i="2"/>
  <c r="O5613" i="2"/>
  <c r="O5669" i="2"/>
  <c r="O4818" i="2"/>
  <c r="O5773" i="2"/>
  <c r="O6491" i="2"/>
  <c r="O6598" i="2"/>
  <c r="O2733" i="2"/>
  <c r="O5877" i="2"/>
  <c r="O1957" i="2"/>
  <c r="O5917" i="2"/>
  <c r="O2069" i="2"/>
  <c r="O1796" i="2"/>
  <c r="O4368" i="2"/>
  <c r="O6061" i="2"/>
  <c r="O6893" i="2"/>
  <c r="O6213" i="2"/>
  <c r="O6301" i="2"/>
  <c r="O6373" i="2"/>
  <c r="O6533" i="2"/>
  <c r="O6677" i="2"/>
  <c r="O361" i="2"/>
  <c r="O4820" i="2"/>
  <c r="O6821" i="2"/>
  <c r="O6861" i="2"/>
  <c r="O421" i="2"/>
  <c r="O5193" i="2"/>
  <c r="O5249" i="2"/>
  <c r="O5281" i="2"/>
  <c r="O5321" i="2"/>
  <c r="O5417" i="2"/>
  <c r="O6165" i="2"/>
  <c r="O5633" i="2"/>
  <c r="O3262" i="2"/>
  <c r="O5737" i="2"/>
  <c r="O5753" i="2"/>
  <c r="O404" i="2"/>
  <c r="O6033" i="2"/>
  <c r="O2735" i="2"/>
  <c r="O6137" i="2"/>
  <c r="O6161" i="2"/>
  <c r="O1213" i="2"/>
  <c r="O6233" i="2"/>
  <c r="O6249" i="2"/>
  <c r="O1958" i="2"/>
  <c r="O2302" i="2"/>
  <c r="O6465" i="2"/>
  <c r="O6422" i="2"/>
  <c r="O6505" i="2"/>
  <c r="O4587" i="2"/>
  <c r="O5752" i="2"/>
  <c r="O6930" i="2"/>
  <c r="O235" i="2"/>
  <c r="O6897" i="2"/>
  <c r="O4361" i="2"/>
  <c r="O3656" i="2"/>
  <c r="O4076" i="2"/>
  <c r="O7089" i="2"/>
  <c r="I7596" i="2"/>
  <c r="I7604" i="2"/>
  <c r="I7612" i="2"/>
  <c r="I7620" i="2"/>
  <c r="I7628" i="2"/>
  <c r="I7636" i="2"/>
  <c r="I7652" i="2"/>
  <c r="I7668" i="2"/>
  <c r="I7684" i="2"/>
  <c r="I7700" i="2"/>
  <c r="I7708" i="2"/>
  <c r="I7980" i="2"/>
  <c r="I7988" i="2"/>
  <c r="I7996" i="2"/>
  <c r="I8004" i="2"/>
  <c r="I8012" i="2"/>
  <c r="I8020" i="2"/>
  <c r="I8028" i="2"/>
  <c r="I8036" i="2"/>
  <c r="I8044" i="2"/>
  <c r="I8052" i="2"/>
  <c r="I8060" i="2"/>
  <c r="I8068" i="2"/>
  <c r="I8084" i="2"/>
  <c r="I8100" i="2"/>
  <c r="I8116" i="2"/>
  <c r="I8132" i="2"/>
  <c r="I8148" i="2"/>
  <c r="I278" i="2"/>
  <c r="I654" i="2"/>
  <c r="I718" i="2"/>
  <c r="I726" i="2"/>
  <c r="I814" i="2"/>
  <c r="I830" i="2"/>
  <c r="I862" i="2"/>
  <c r="I43" i="2"/>
  <c r="I894" i="2"/>
  <c r="I910" i="2"/>
  <c r="I990" i="2"/>
  <c r="I1006" i="2"/>
  <c r="I6186" i="2"/>
  <c r="I1038" i="2"/>
  <c r="I747" i="2"/>
  <c r="I1070" i="2"/>
  <c r="I1086" i="2"/>
  <c r="I1582" i="2"/>
  <c r="I1590" i="2"/>
  <c r="I1598" i="2"/>
  <c r="I385" i="2"/>
  <c r="I1614" i="2"/>
  <c r="I2701" i="2"/>
  <c r="I1630" i="2"/>
  <c r="I1638" i="2"/>
  <c r="I1646" i="2"/>
  <c r="I1654" i="2"/>
  <c r="I1662" i="2"/>
  <c r="I1670" i="2"/>
  <c r="I5808" i="2"/>
  <c r="I46" i="2"/>
  <c r="I1694" i="2"/>
  <c r="I1702" i="2"/>
  <c r="I1710" i="2"/>
  <c r="I1718" i="2"/>
  <c r="I6055" i="2"/>
  <c r="I1734" i="2"/>
  <c r="I1742" i="2"/>
  <c r="I1750" i="2"/>
  <c r="I1758" i="2"/>
  <c r="I1766" i="2"/>
  <c r="I1774" i="2"/>
  <c r="I1782" i="2"/>
  <c r="I1790" i="2"/>
  <c r="I2972" i="2"/>
  <c r="I1894" i="2"/>
  <c r="I4767" i="2"/>
  <c r="I1421" i="2"/>
  <c r="I1942" i="2"/>
  <c r="I4109" i="2"/>
  <c r="I1974" i="2"/>
  <c r="I1990" i="2"/>
  <c r="I2006" i="2"/>
  <c r="I2030" i="2"/>
  <c r="I2046" i="2"/>
  <c r="I2062" i="2"/>
  <c r="I2094" i="2"/>
  <c r="I6711" i="2"/>
  <c r="I2158" i="2"/>
  <c r="I2182" i="2"/>
  <c r="I2206" i="2"/>
  <c r="I2230" i="2"/>
  <c r="I1045" i="2"/>
  <c r="I5650" i="2"/>
  <c r="I2326" i="2"/>
  <c r="I2358" i="2"/>
  <c r="I2390" i="2"/>
  <c r="I2717" i="2"/>
  <c r="I2454" i="2"/>
  <c r="I2518" i="2"/>
  <c r="I2534" i="2"/>
  <c r="I2566" i="2"/>
  <c r="I2590" i="2"/>
  <c r="I2638" i="2"/>
  <c r="I2654" i="2"/>
  <c r="I2750" i="2"/>
  <c r="I2758" i="2"/>
  <c r="I2766" i="2"/>
  <c r="I2774" i="2"/>
  <c r="I2814" i="2"/>
  <c r="I1076" i="2"/>
  <c r="I2846" i="2"/>
  <c r="I2854" i="2"/>
  <c r="I2878" i="2"/>
  <c r="I673" i="2"/>
  <c r="I2942" i="2"/>
  <c r="I2950" i="2"/>
  <c r="I2974" i="2"/>
  <c r="I5545" i="2"/>
  <c r="I3006" i="2"/>
  <c r="I3728" i="2"/>
  <c r="I3038" i="2"/>
  <c r="I4593" i="2"/>
  <c r="I3078" i="2"/>
  <c r="I3110" i="2"/>
  <c r="I3142" i="2"/>
  <c r="I4204" i="2"/>
  <c r="I3206" i="2"/>
  <c r="I3238" i="2"/>
  <c r="I3294" i="2"/>
  <c r="I3326" i="2"/>
  <c r="I6916" i="2"/>
  <c r="I3390" i="2"/>
  <c r="I90" i="2"/>
  <c r="I6059" i="2"/>
  <c r="I3486" i="2"/>
  <c r="I3518" i="2"/>
  <c r="I3582" i="2"/>
  <c r="I3614" i="2"/>
  <c r="I3646" i="2"/>
  <c r="I3678" i="2"/>
  <c r="I3710" i="2"/>
  <c r="I3135" i="2"/>
  <c r="I3685" i="2"/>
  <c r="I3758" i="2"/>
  <c r="I3814" i="2"/>
  <c r="I3846" i="2"/>
  <c r="I6832" i="2"/>
  <c r="I3950" i="2"/>
  <c r="I4172" i="2"/>
  <c r="I4030" i="2"/>
  <c r="I4038" i="2"/>
  <c r="I4062" i="2"/>
  <c r="I4070" i="2"/>
  <c r="I4102" i="2"/>
  <c r="I4134" i="2"/>
  <c r="I4166" i="2"/>
  <c r="I4198" i="2"/>
  <c r="I4230" i="2"/>
  <c r="I4262" i="2"/>
  <c r="I4294" i="2"/>
  <c r="I4326" i="2"/>
  <c r="I4358" i="2"/>
  <c r="I4390" i="2"/>
  <c r="I4422" i="2"/>
  <c r="I4454" i="2"/>
  <c r="I5454" i="2"/>
  <c r="I4518" i="2"/>
  <c r="I4550" i="2"/>
  <c r="I1414" i="2"/>
  <c r="I4614" i="2"/>
  <c r="I4646" i="2"/>
  <c r="I2728" i="2"/>
  <c r="I4710" i="2"/>
  <c r="I2783" i="2"/>
  <c r="I4774" i="2"/>
  <c r="I4806" i="2"/>
  <c r="I4830" i="2"/>
  <c r="I3618" i="2"/>
  <c r="I4886" i="2"/>
  <c r="I4894" i="2"/>
  <c r="I1237" i="2"/>
  <c r="I4910" i="2"/>
  <c r="I4918" i="2"/>
  <c r="I4926" i="2"/>
  <c r="I4934" i="2"/>
  <c r="I4942" i="2"/>
  <c r="I4232" i="2"/>
  <c r="I4958" i="2"/>
  <c r="I4966" i="2"/>
  <c r="I4974" i="2"/>
  <c r="I4982" i="2"/>
  <c r="I4990" i="2"/>
  <c r="I5006" i="2"/>
  <c r="I5899" i="2"/>
  <c r="I3756" i="2"/>
  <c r="I3627" i="2"/>
  <c r="I4175" i="2"/>
  <c r="I5046" i="2"/>
  <c r="I6589" i="2"/>
  <c r="I5062" i="2"/>
  <c r="I5070" i="2"/>
  <c r="I5078" i="2"/>
  <c r="I5086" i="2"/>
  <c r="I5094" i="2"/>
  <c r="I469" i="2"/>
  <c r="I5110" i="2"/>
  <c r="I5072" i="2"/>
  <c r="I5126" i="2"/>
  <c r="I5134" i="2"/>
  <c r="I5142" i="2"/>
  <c r="I5150" i="2"/>
  <c r="I5158" i="2"/>
  <c r="I3208" i="2"/>
  <c r="I1246" i="2"/>
  <c r="I5398" i="2"/>
  <c r="I5438" i="2"/>
  <c r="I7048" i="2"/>
  <c r="I5502" i="2"/>
  <c r="I5510" i="2"/>
  <c r="I1547" i="2"/>
  <c r="I6631" i="2"/>
  <c r="I6647" i="2"/>
  <c r="I3934" i="2"/>
  <c r="I6687" i="2"/>
  <c r="I6703" i="2"/>
  <c r="I5097" i="2"/>
  <c r="I7243" i="2"/>
  <c r="I7301" i="2"/>
  <c r="I7381" i="2"/>
  <c r="I7445" i="2"/>
  <c r="I7453" i="2"/>
  <c r="I7461" i="2"/>
  <c r="I7469" i="2"/>
  <c r="I7477" i="2"/>
  <c r="I7501" i="2"/>
  <c r="I7533" i="2"/>
  <c r="I7549" i="2"/>
  <c r="I7557" i="2"/>
  <c r="I7589" i="2"/>
  <c r="I7741" i="2"/>
  <c r="I7757" i="2"/>
  <c r="I7773" i="2"/>
  <c r="I7789" i="2"/>
  <c r="I7805" i="2"/>
  <c r="I7813" i="2"/>
  <c r="I7821" i="2"/>
  <c r="I7829" i="2"/>
  <c r="I7837" i="2"/>
  <c r="I7845" i="2"/>
  <c r="I7861" i="2"/>
  <c r="I7869" i="2"/>
  <c r="I7877" i="2"/>
  <c r="I7885" i="2"/>
  <c r="I7901" i="2"/>
  <c r="I7909" i="2"/>
  <c r="I7933" i="2"/>
  <c r="I7941" i="2"/>
  <c r="I7965" i="2"/>
  <c r="I383" i="2"/>
  <c r="I431" i="2"/>
  <c r="I1026" i="2"/>
  <c r="I519" i="2"/>
  <c r="I815" i="2"/>
  <c r="I831" i="2"/>
  <c r="I847" i="2"/>
  <c r="I5879" i="2"/>
  <c r="I1255" i="2"/>
  <c r="I1271" i="2"/>
  <c r="I7084" i="2"/>
  <c r="I1335" i="2"/>
  <c r="I1452" i="2"/>
  <c r="I1423" i="2"/>
  <c r="I1487" i="2"/>
  <c r="I1519" i="2"/>
  <c r="I4879" i="2"/>
  <c r="I5895" i="2"/>
  <c r="I5967" i="2"/>
  <c r="I5975" i="2"/>
  <c r="I6127" i="2"/>
  <c r="I6135" i="2"/>
  <c r="I6143" i="2"/>
  <c r="I6167" i="2"/>
  <c r="I6175" i="2"/>
  <c r="I6809" i="2"/>
  <c r="I6199" i="2"/>
  <c r="I6207" i="2"/>
  <c r="I6215" i="2"/>
  <c r="I6223" i="2"/>
  <c r="I6255" i="2"/>
  <c r="I6319" i="2"/>
  <c r="I6327" i="2"/>
  <c r="I6343" i="2"/>
  <c r="I6407" i="2"/>
  <c r="I5093" i="2"/>
  <c r="I3392" i="2"/>
  <c r="I6883" i="2"/>
  <c r="I7047" i="2"/>
  <c r="I2173" i="2"/>
  <c r="I7183" i="2"/>
  <c r="I907" i="2"/>
  <c r="I7279" i="2"/>
  <c r="I7590" i="2"/>
  <c r="I7638" i="2"/>
  <c r="I7654" i="2"/>
  <c r="I7670" i="2"/>
  <c r="I7686" i="2"/>
  <c r="I7710" i="2"/>
  <c r="I8078" i="2"/>
  <c r="I8094" i="2"/>
  <c r="I8110" i="2"/>
  <c r="I8126" i="2"/>
  <c r="I144" i="2"/>
  <c r="I304" i="2"/>
  <c r="I2299" i="2"/>
  <c r="I376" i="2"/>
  <c r="I456" i="2"/>
  <c r="I488" i="2"/>
  <c r="I6097" i="2"/>
  <c r="I728" i="2"/>
  <c r="I808" i="2"/>
  <c r="I1544" i="2"/>
  <c r="I1880" i="2"/>
  <c r="I4807" i="2"/>
  <c r="I265" i="2"/>
  <c r="I1928" i="2"/>
  <c r="I1944" i="2"/>
  <c r="I1960" i="2"/>
  <c r="I1976" i="2"/>
  <c r="I1992" i="2"/>
  <c r="I2740" i="2"/>
  <c r="I2032" i="2"/>
  <c r="I3599" i="2"/>
  <c r="I1947" i="2"/>
  <c r="I2088" i="2"/>
  <c r="I202" i="2"/>
  <c r="I2152" i="2"/>
  <c r="I2176" i="2"/>
  <c r="I4007" i="2"/>
  <c r="I2777" i="2"/>
  <c r="I2312" i="2"/>
  <c r="I2344" i="2"/>
  <c r="I6831" i="2"/>
  <c r="I2408" i="2"/>
  <c r="I2440" i="2"/>
  <c r="I2504" i="2"/>
  <c r="I78" i="2"/>
  <c r="I2560" i="2"/>
  <c r="I2608" i="2"/>
  <c r="I2616" i="2"/>
  <c r="I2640" i="2"/>
  <c r="I2656" i="2"/>
  <c r="I4876" i="2"/>
  <c r="I4786" i="2"/>
  <c r="I2720" i="2"/>
  <c r="I5982" i="2"/>
  <c r="I2736" i="2"/>
  <c r="I2744" i="2"/>
  <c r="I2146" i="2"/>
  <c r="I2760" i="2"/>
  <c r="I2977" i="2"/>
  <c r="I6342" i="2"/>
  <c r="I2808" i="2"/>
  <c r="I2816" i="2"/>
  <c r="I7221" i="2"/>
  <c r="I6172" i="2"/>
  <c r="I2872" i="2"/>
  <c r="I2880" i="2"/>
  <c r="I2904" i="2"/>
  <c r="I2912" i="2"/>
  <c r="I2936" i="2"/>
  <c r="I2944" i="2"/>
  <c r="I2968" i="2"/>
  <c r="I5835" i="2"/>
  <c r="I3000" i="2"/>
  <c r="I3008" i="2"/>
  <c r="I6365" i="2"/>
  <c r="I3040" i="2"/>
  <c r="I3064" i="2"/>
  <c r="I3072" i="2"/>
  <c r="I3104" i="2"/>
  <c r="I6109" i="2"/>
  <c r="I3168" i="2"/>
  <c r="I4866" i="2"/>
  <c r="I3232" i="2"/>
  <c r="I4793" i="2"/>
  <c r="I3320" i="2"/>
  <c r="I3352" i="2"/>
  <c r="I3384" i="2"/>
  <c r="I3416" i="2"/>
  <c r="I6570" i="2"/>
  <c r="I3456" i="2"/>
  <c r="I3480" i="2"/>
  <c r="I3488" i="2"/>
  <c r="I3512" i="2"/>
  <c r="I3520" i="2"/>
  <c r="I3560" i="2"/>
  <c r="I3568" i="2"/>
  <c r="I3600" i="2"/>
  <c r="I3632" i="2"/>
  <c r="I2949" i="2"/>
  <c r="I3696" i="2"/>
  <c r="I3344" i="2"/>
  <c r="I3792" i="2"/>
  <c r="I3800" i="2"/>
  <c r="I3832" i="2"/>
  <c r="I3864" i="2"/>
  <c r="I3896" i="2"/>
  <c r="I892" i="2"/>
  <c r="I3968" i="2"/>
  <c r="I4016" i="2"/>
  <c r="I4048" i="2"/>
  <c r="I4056" i="2"/>
  <c r="I4088" i="2"/>
  <c r="I4120" i="2"/>
  <c r="I4152" i="2"/>
  <c r="I4184" i="2"/>
  <c r="I5028" i="2"/>
  <c r="I4248" i="2"/>
  <c r="I4280" i="2"/>
  <c r="I4312" i="2"/>
  <c r="I4344" i="2"/>
  <c r="I4376" i="2"/>
  <c r="I856" i="2"/>
  <c r="I4440" i="2"/>
  <c r="I4472" i="2"/>
  <c r="I4504" i="2"/>
  <c r="I4536" i="2"/>
  <c r="I6765" i="2"/>
  <c r="I4600" i="2"/>
  <c r="I2083" i="2"/>
  <c r="I4664" i="2"/>
  <c r="I4696" i="2"/>
  <c r="I4728" i="2"/>
  <c r="I4760" i="2"/>
  <c r="I3042" i="2"/>
  <c r="I6176" i="2"/>
  <c r="I7133" i="2"/>
  <c r="I7149" i="2"/>
  <c r="I7165" i="2"/>
  <c r="I7181" i="2"/>
  <c r="I7197" i="2"/>
  <c r="I6766" i="2"/>
  <c r="I7241" i="2"/>
  <c r="I7289" i="2"/>
  <c r="I2791" i="2"/>
  <c r="I7127" i="2"/>
  <c r="I7223" i="2"/>
  <c r="I7295" i="2"/>
  <c r="I7375" i="2"/>
  <c r="I7431" i="2"/>
  <c r="I7519" i="2"/>
  <c r="I7527" i="2"/>
  <c r="I7543" i="2"/>
  <c r="I7567" i="2"/>
  <c r="I7583" i="2"/>
  <c r="I7639" i="2"/>
  <c r="I7655" i="2"/>
  <c r="I7671" i="2"/>
  <c r="I7687" i="2"/>
  <c r="I7711" i="2"/>
  <c r="I7743" i="2"/>
  <c r="I7759" i="2"/>
  <c r="I7775" i="2"/>
  <c r="I7791" i="2"/>
  <c r="I7807" i="2"/>
  <c r="I7815" i="2"/>
  <c r="I7823" i="2"/>
  <c r="I7831" i="2"/>
  <c r="I7839" i="2"/>
  <c r="I7911" i="2"/>
  <c r="I7919" i="2"/>
  <c r="I7951" i="2"/>
  <c r="I7959" i="2"/>
  <c r="I9" i="2"/>
  <c r="I17" i="2"/>
  <c r="I25" i="2"/>
  <c r="I33" i="2"/>
  <c r="I41" i="2"/>
  <c r="I49" i="2"/>
  <c r="I57" i="2"/>
  <c r="I1525" i="2"/>
  <c r="I729" i="2"/>
  <c r="I793" i="2"/>
  <c r="I801" i="2"/>
  <c r="I809" i="2"/>
  <c r="I1249" i="2"/>
  <c r="I2095" i="2"/>
  <c r="I1321" i="2"/>
  <c r="I1401" i="2"/>
  <c r="I1932" i="2"/>
  <c r="I6543" i="2"/>
  <c r="I1529" i="2"/>
  <c r="I1561" i="2"/>
  <c r="I1881" i="2"/>
  <c r="I1897" i="2"/>
  <c r="I1913" i="2"/>
  <c r="I1929" i="2"/>
  <c r="I1945" i="2"/>
  <c r="I1961" i="2"/>
  <c r="I1977" i="2"/>
  <c r="I1993" i="2"/>
  <c r="I2009" i="2"/>
  <c r="I2033" i="2"/>
  <c r="I2049" i="2"/>
  <c r="I2713" i="2"/>
  <c r="I2721" i="2"/>
  <c r="I2729" i="2"/>
  <c r="I2737" i="2"/>
  <c r="I2745" i="2"/>
  <c r="I4414" i="2"/>
  <c r="I2761" i="2"/>
  <c r="I4726" i="2"/>
  <c r="I6888" i="2"/>
  <c r="I3561" i="2"/>
  <c r="I5437" i="2"/>
  <c r="I5865" i="2"/>
  <c r="I5873" i="2"/>
  <c r="I5470" i="2"/>
  <c r="I5889" i="2"/>
  <c r="I5897" i="2"/>
  <c r="I6129" i="2"/>
  <c r="I6137" i="2"/>
  <c r="I6145" i="2"/>
  <c r="I6185" i="2"/>
  <c r="I6193" i="2"/>
  <c r="I6201" i="2"/>
  <c r="I6209" i="2"/>
  <c r="I6217" i="2"/>
  <c r="I6233" i="2"/>
  <c r="I3775" i="2"/>
  <c r="I6249" i="2"/>
  <c r="I6265" i="2"/>
  <c r="I6273" i="2"/>
  <c r="I6281" i="2"/>
  <c r="I174" i="2"/>
  <c r="I6297" i="2"/>
  <c r="I6305" i="2"/>
  <c r="I6313" i="2"/>
  <c r="I6337" i="2"/>
  <c r="I6353" i="2"/>
  <c r="I6361" i="2"/>
  <c r="I6369" i="2"/>
  <c r="I6377" i="2"/>
  <c r="I6385" i="2"/>
  <c r="I6393" i="2"/>
  <c r="I6401" i="2"/>
  <c r="I1958" i="2"/>
  <c r="I7037" i="2"/>
  <c r="I5853" i="2"/>
  <c r="I2302" i="2"/>
  <c r="I3298" i="2"/>
  <c r="I6422" i="2"/>
  <c r="I6497" i="2"/>
  <c r="I6505" i="2"/>
  <c r="I6609" i="2"/>
  <c r="I6793" i="2"/>
  <c r="I5022" i="2"/>
  <c r="I6817" i="2"/>
  <c r="I6825" i="2"/>
  <c r="I1609" i="2"/>
  <c r="I7073" i="2"/>
  <c r="I7081" i="2"/>
  <c r="I7089" i="2"/>
  <c r="I7097" i="2"/>
  <c r="I7105" i="2"/>
  <c r="I7269" i="2"/>
  <c r="I6799" i="2"/>
  <c r="I1102" i="2"/>
  <c r="I7119" i="2"/>
  <c r="I7143" i="2"/>
  <c r="I7175" i="2"/>
  <c r="I7235" i="2"/>
  <c r="I7292" i="2"/>
  <c r="I7300" i="2"/>
  <c r="I7308" i="2"/>
  <c r="I7316" i="2"/>
  <c r="I7324" i="2"/>
  <c r="I7332" i="2"/>
  <c r="I7340" i="2"/>
  <c r="I7348" i="2"/>
  <c r="I7356" i="2"/>
  <c r="I7364" i="2"/>
  <c r="I7372" i="2"/>
  <c r="I7380" i="2"/>
  <c r="I7388" i="2"/>
  <c r="I7396" i="2"/>
  <c r="I7404" i="2"/>
  <c r="I7412" i="2"/>
  <c r="I7420" i="2"/>
  <c r="I7428" i="2"/>
  <c r="I7436" i="2"/>
  <c r="I7444" i="2"/>
  <c r="I7452" i="2"/>
  <c r="I7460" i="2"/>
  <c r="I7468" i="2"/>
  <c r="I7476" i="2"/>
  <c r="I7484" i="2"/>
  <c r="I7492" i="2"/>
  <c r="I7500" i="2"/>
  <c r="I7508" i="2"/>
  <c r="I7516" i="2"/>
  <c r="I7524" i="2"/>
  <c r="I7532" i="2"/>
  <c r="I7540" i="2"/>
  <c r="I7548" i="2"/>
  <c r="I7556" i="2"/>
  <c r="I7564" i="2"/>
  <c r="I7572" i="2"/>
  <c r="I7580" i="2"/>
  <c r="I7588" i="2"/>
  <c r="I7644" i="2"/>
  <c r="I7660" i="2"/>
  <c r="I7676" i="2"/>
  <c r="I7692" i="2"/>
  <c r="I7716" i="2"/>
  <c r="I7724" i="2"/>
  <c r="I7732" i="2"/>
  <c r="I7740" i="2"/>
  <c r="I7748" i="2"/>
  <c r="I7756" i="2"/>
  <c r="I7764" i="2"/>
  <c r="I7772" i="2"/>
  <c r="I7780" i="2"/>
  <c r="I7788" i="2"/>
  <c r="I7796" i="2"/>
  <c r="I7804" i="2"/>
  <c r="I7812" i="2"/>
  <c r="I7820" i="2"/>
  <c r="I7828" i="2"/>
  <c r="I7836" i="2"/>
  <c r="I7844" i="2"/>
  <c r="I7852" i="2"/>
  <c r="I7860" i="2"/>
  <c r="I7868" i="2"/>
  <c r="I7876" i="2"/>
  <c r="I7884" i="2"/>
  <c r="I7892" i="2"/>
  <c r="I7900" i="2"/>
  <c r="I7908" i="2"/>
  <c r="I7916" i="2"/>
  <c r="I7924" i="2"/>
  <c r="I7932" i="2"/>
  <c r="I7940" i="2"/>
  <c r="I7948" i="2"/>
  <c r="I7956" i="2"/>
  <c r="I7964" i="2"/>
  <c r="I7972" i="2"/>
  <c r="I8076" i="2"/>
  <c r="I8092" i="2"/>
  <c r="I8108" i="2"/>
  <c r="I8124" i="2"/>
  <c r="I8140" i="2"/>
  <c r="I6" i="2"/>
  <c r="I14" i="2"/>
  <c r="I22" i="2"/>
  <c r="I30" i="2"/>
  <c r="I38" i="2"/>
  <c r="I4291" i="2"/>
  <c r="I54" i="2"/>
  <c r="I62" i="2"/>
  <c r="I70" i="2"/>
  <c r="I4665" i="2"/>
  <c r="I86" i="2"/>
  <c r="I208" i="2"/>
  <c r="I102" i="2"/>
  <c r="I2156" i="2"/>
  <c r="I118" i="2"/>
  <c r="I126" i="2"/>
  <c r="I1226" i="2"/>
  <c r="I6906" i="2"/>
  <c r="I150" i="2"/>
  <c r="I158" i="2"/>
  <c r="I531" i="2"/>
  <c r="I2318" i="2"/>
  <c r="I182" i="2"/>
  <c r="I5805" i="2"/>
  <c r="I198" i="2"/>
  <c r="I206" i="2"/>
  <c r="I214" i="2"/>
  <c r="I222" i="2"/>
  <c r="I230" i="2"/>
  <c r="I5823" i="2"/>
  <c r="I3051" i="2"/>
  <c r="I254" i="2"/>
  <c r="I262" i="2"/>
  <c r="I270" i="2"/>
  <c r="I7285" i="2"/>
  <c r="I558" i="2"/>
  <c r="I302" i="2"/>
  <c r="I310" i="2"/>
  <c r="I318" i="2"/>
  <c r="I326" i="2"/>
  <c r="I334" i="2"/>
  <c r="I342" i="2"/>
  <c r="I2697" i="2"/>
  <c r="I358" i="2"/>
  <c r="I1444" i="2"/>
  <c r="I374" i="2"/>
  <c r="I5784" i="2"/>
  <c r="I390" i="2"/>
  <c r="I398" i="2"/>
  <c r="I406" i="2"/>
  <c r="I414" i="2"/>
  <c r="I1222" i="2"/>
  <c r="I2217" i="2"/>
  <c r="I5555" i="2"/>
  <c r="I6704" i="2"/>
  <c r="I4779" i="2"/>
  <c r="I462" i="2"/>
  <c r="I470" i="2"/>
  <c r="I478" i="2"/>
  <c r="I486" i="2"/>
  <c r="I494" i="2"/>
  <c r="I502" i="2"/>
  <c r="I510" i="2"/>
  <c r="I518" i="2"/>
  <c r="I526" i="2"/>
  <c r="I534" i="2"/>
  <c r="I542" i="2"/>
  <c r="I550" i="2"/>
  <c r="I3448" i="2"/>
  <c r="I566" i="2"/>
  <c r="I574" i="2"/>
  <c r="I1908" i="2"/>
  <c r="I590" i="2"/>
  <c r="I598" i="2"/>
  <c r="I606" i="2"/>
  <c r="I5347" i="2"/>
  <c r="I622" i="2"/>
  <c r="I630" i="2"/>
  <c r="I638" i="2"/>
  <c r="I646" i="2"/>
  <c r="I662" i="2"/>
  <c r="I670" i="2"/>
  <c r="I678" i="2"/>
  <c r="I686" i="2"/>
  <c r="I1982" i="2"/>
  <c r="I702" i="2"/>
  <c r="I710" i="2"/>
  <c r="I4089" i="2"/>
  <c r="I742" i="2"/>
  <c r="I750" i="2"/>
  <c r="I700" i="2"/>
  <c r="I3200" i="2"/>
  <c r="I774" i="2"/>
  <c r="I6746" i="2"/>
  <c r="I790" i="2"/>
  <c r="I798" i="2"/>
  <c r="I806" i="2"/>
  <c r="I822" i="2"/>
  <c r="I838" i="2"/>
  <c r="I39" i="2"/>
  <c r="I854" i="2"/>
  <c r="I870" i="2"/>
  <c r="I886" i="2"/>
  <c r="I902" i="2"/>
  <c r="I918" i="2"/>
  <c r="I926" i="2"/>
  <c r="I934" i="2"/>
  <c r="I942" i="2"/>
  <c r="I950" i="2"/>
  <c r="I958" i="2"/>
  <c r="I5174" i="2"/>
  <c r="I974" i="2"/>
  <c r="I982" i="2"/>
  <c r="I998" i="2"/>
  <c r="I5543" i="2"/>
  <c r="I1030" i="2"/>
  <c r="I1185" i="2"/>
  <c r="I1062" i="2"/>
  <c r="I1078" i="2"/>
  <c r="I6095" i="2"/>
  <c r="I4636" i="2"/>
  <c r="I1110" i="2"/>
  <c r="I2796" i="2"/>
  <c r="I1126" i="2"/>
  <c r="I1134" i="2"/>
  <c r="I1142" i="2"/>
  <c r="I1150" i="2"/>
  <c r="I1158" i="2"/>
  <c r="I1166" i="2"/>
  <c r="I1174" i="2"/>
  <c r="I1182" i="2"/>
  <c r="I1190" i="2"/>
  <c r="I1198" i="2"/>
  <c r="I1206" i="2"/>
  <c r="I1214" i="2"/>
  <c r="I5932" i="2"/>
  <c r="I1230" i="2"/>
  <c r="I1238" i="2"/>
  <c r="I6155" i="2"/>
  <c r="I4039" i="2"/>
  <c r="I1262" i="2"/>
  <c r="I5628" i="2"/>
  <c r="I1278" i="2"/>
  <c r="I1927" i="2"/>
  <c r="I1294" i="2"/>
  <c r="I1302" i="2"/>
  <c r="I1310" i="2"/>
  <c r="I1318" i="2"/>
  <c r="I1326" i="2"/>
  <c r="I1334" i="2"/>
  <c r="I5712" i="2"/>
  <c r="I1350" i="2"/>
  <c r="I1358" i="2"/>
  <c r="I1366" i="2"/>
  <c r="I446" i="2"/>
  <c r="I1382" i="2"/>
  <c r="I6763" i="2"/>
  <c r="I1398" i="2"/>
  <c r="I6873" i="2"/>
  <c r="I1449" i="2"/>
  <c r="I1422" i="2"/>
  <c r="I1397" i="2"/>
  <c r="I5140" i="2"/>
  <c r="I199" i="2"/>
  <c r="I1914" i="2"/>
  <c r="I1462" i="2"/>
  <c r="I1470" i="2"/>
  <c r="I1478" i="2"/>
  <c r="I1486" i="2"/>
  <c r="I1938" i="2"/>
  <c r="I3870" i="2"/>
  <c r="I1510" i="2"/>
  <c r="I1518" i="2"/>
  <c r="I4283" i="2"/>
  <c r="I1912" i="2"/>
  <c r="I3539" i="2"/>
  <c r="I1550" i="2"/>
  <c r="I1558" i="2"/>
  <c r="I1566" i="2"/>
  <c r="I1574" i="2"/>
  <c r="I1798" i="2"/>
  <c r="I1806" i="2"/>
  <c r="I1814" i="2"/>
  <c r="I1822" i="2"/>
  <c r="I1830" i="2"/>
  <c r="I1838" i="2"/>
  <c r="I1846" i="2"/>
  <c r="I1854" i="2"/>
  <c r="I1862" i="2"/>
  <c r="I1870" i="2"/>
  <c r="I1886" i="2"/>
  <c r="I1044" i="2"/>
  <c r="I1918" i="2"/>
  <c r="I1934" i="2"/>
  <c r="I3726" i="2"/>
  <c r="I1966" i="2"/>
  <c r="I5516" i="2"/>
  <c r="I1998" i="2"/>
  <c r="I2014" i="2"/>
  <c r="I2022" i="2"/>
  <c r="I2038" i="2"/>
  <c r="I2054" i="2"/>
  <c r="I4650" i="2"/>
  <c r="I2078" i="2"/>
  <c r="I5951" i="2"/>
  <c r="I4929" i="2"/>
  <c r="I2110" i="2"/>
  <c r="I1537" i="2"/>
  <c r="I2134" i="2"/>
  <c r="I2142" i="2"/>
  <c r="I2150" i="2"/>
  <c r="I2166" i="2"/>
  <c r="I6663" i="2"/>
  <c r="I2190" i="2"/>
  <c r="I2198" i="2"/>
  <c r="I2214" i="2"/>
  <c r="I2222" i="2"/>
  <c r="I5117" i="2"/>
  <c r="I2246" i="2"/>
  <c r="I2254" i="2"/>
  <c r="I4570" i="2"/>
  <c r="I2278" i="2"/>
  <c r="I6241" i="2"/>
  <c r="I3603" i="2"/>
  <c r="I2310" i="2"/>
  <c r="I663" i="2"/>
  <c r="I2334" i="2"/>
  <c r="I2342" i="2"/>
  <c r="I2350" i="2"/>
  <c r="I2366" i="2"/>
  <c r="I2374" i="2"/>
  <c r="I2811" i="2"/>
  <c r="I5841" i="2"/>
  <c r="I2406" i="2"/>
  <c r="I75" i="2"/>
  <c r="I2430" i="2"/>
  <c r="I2438" i="2"/>
  <c r="I2446" i="2"/>
  <c r="I364" i="2"/>
  <c r="I2470" i="2"/>
  <c r="I2478" i="2"/>
  <c r="I2486" i="2"/>
  <c r="I2494" i="2"/>
  <c r="I2502" i="2"/>
  <c r="I2510" i="2"/>
  <c r="I2526" i="2"/>
  <c r="I2542" i="2"/>
  <c r="I2550" i="2"/>
  <c r="I2558" i="2"/>
  <c r="I2574" i="2"/>
  <c r="I2582" i="2"/>
  <c r="I2598" i="2"/>
  <c r="I2606" i="2"/>
  <c r="I6077" i="2"/>
  <c r="I2622" i="2"/>
  <c r="I2630" i="2"/>
  <c r="I2646" i="2"/>
  <c r="I2662" i="2"/>
  <c r="I2670" i="2"/>
  <c r="I7152" i="2"/>
  <c r="I2686" i="2"/>
  <c r="I766" i="2"/>
  <c r="I2702" i="2"/>
  <c r="I2710" i="2"/>
  <c r="I4571" i="2"/>
  <c r="I2726" i="2"/>
  <c r="I6694" i="2"/>
  <c r="I5960" i="2"/>
  <c r="I2782" i="2"/>
  <c r="I5634" i="2"/>
  <c r="I2798" i="2"/>
  <c r="I2806" i="2"/>
  <c r="I2830" i="2"/>
  <c r="I4661" i="2"/>
  <c r="I2862" i="2"/>
  <c r="I2870" i="2"/>
  <c r="I2886" i="2"/>
  <c r="I2894" i="2"/>
  <c r="I5428" i="2"/>
  <c r="I2918" i="2"/>
  <c r="I2926" i="2"/>
  <c r="I2762" i="2"/>
  <c r="I2958" i="2"/>
  <c r="I2966" i="2"/>
  <c r="I1064" i="2"/>
  <c r="I3955" i="2"/>
  <c r="I3022" i="2"/>
  <c r="I3030" i="2"/>
  <c r="I3054" i="2"/>
  <c r="I3062" i="2"/>
  <c r="I3070" i="2"/>
  <c r="I3086" i="2"/>
  <c r="I3094" i="2"/>
  <c r="I3102" i="2"/>
  <c r="I3118" i="2"/>
  <c r="I3126" i="2"/>
  <c r="I4296" i="2"/>
  <c r="I3150" i="2"/>
  <c r="I3158" i="2"/>
  <c r="I1430" i="2"/>
  <c r="I3182" i="2"/>
  <c r="I3190" i="2"/>
  <c r="I3198" i="2"/>
  <c r="I3214" i="2"/>
  <c r="I3222" i="2"/>
  <c r="I2840" i="2"/>
  <c r="I3246" i="2"/>
  <c r="I3254" i="2"/>
  <c r="I6639" i="2"/>
  <c r="I3270" i="2"/>
  <c r="I3278" i="2"/>
  <c r="I3286" i="2"/>
  <c r="I3715" i="2"/>
  <c r="I3310" i="2"/>
  <c r="I3318" i="2"/>
  <c r="I3334" i="2"/>
  <c r="I3342" i="2"/>
  <c r="I3350" i="2"/>
  <c r="I3366" i="2"/>
  <c r="I3374" i="2"/>
  <c r="I3382" i="2"/>
  <c r="I3398" i="2"/>
  <c r="I3406" i="2"/>
  <c r="I3414" i="2"/>
  <c r="I3430" i="2"/>
  <c r="I3438" i="2"/>
  <c r="I3446" i="2"/>
  <c r="I3462" i="2"/>
  <c r="I3470" i="2"/>
  <c r="I3478" i="2"/>
  <c r="I3494" i="2"/>
  <c r="I3502" i="2"/>
  <c r="I3510" i="2"/>
  <c r="I3526" i="2"/>
  <c r="I3534" i="2"/>
  <c r="I3542" i="2"/>
  <c r="I3550" i="2"/>
  <c r="I3558" i="2"/>
  <c r="I3566" i="2"/>
  <c r="I3574" i="2"/>
  <c r="I3590" i="2"/>
  <c r="I3598" i="2"/>
  <c r="I1950" i="2"/>
  <c r="I3622" i="2"/>
  <c r="I3630" i="2"/>
  <c r="I3638" i="2"/>
  <c r="I3871" i="2"/>
  <c r="I6041" i="2"/>
  <c r="I3670" i="2"/>
  <c r="I6877" i="2"/>
  <c r="I3694" i="2"/>
  <c r="I3702" i="2"/>
  <c r="I2070" i="2"/>
  <c r="I4154" i="2"/>
  <c r="I3734" i="2"/>
  <c r="I3766" i="2"/>
  <c r="I3774" i="2"/>
  <c r="I3782" i="2"/>
  <c r="I3790" i="2"/>
  <c r="I3798" i="2"/>
  <c r="I3806" i="2"/>
  <c r="I3822" i="2"/>
  <c r="I3830" i="2"/>
  <c r="I3838" i="2"/>
  <c r="I3854" i="2"/>
  <c r="I3862" i="2"/>
  <c r="I3686" i="2"/>
  <c r="I3886" i="2"/>
  <c r="I3894" i="2"/>
  <c r="I3902" i="2"/>
  <c r="I3910" i="2"/>
  <c r="I4061" i="2"/>
  <c r="I3926" i="2"/>
  <c r="I1193" i="2"/>
  <c r="I3742" i="2"/>
  <c r="I3958" i="2"/>
  <c r="I3966" i="2"/>
  <c r="I3974" i="2"/>
  <c r="I3982" i="2"/>
  <c r="I3990" i="2"/>
  <c r="I4006" i="2"/>
  <c r="I4014" i="2"/>
  <c r="I3609" i="2"/>
  <c r="I3662" i="2"/>
  <c r="I6722" i="2"/>
  <c r="I3610" i="2"/>
  <c r="I5441" i="2"/>
  <c r="I5675" i="2"/>
  <c r="I4110" i="2"/>
  <c r="I5776" i="2"/>
  <c r="I4126" i="2"/>
  <c r="I4142" i="2"/>
  <c r="I4150" i="2"/>
  <c r="I4158" i="2"/>
  <c r="I4174" i="2"/>
  <c r="I4182" i="2"/>
  <c r="I4190" i="2"/>
  <c r="I2688" i="2"/>
  <c r="I4367" i="2"/>
  <c r="I4222" i="2"/>
  <c r="I4238" i="2"/>
  <c r="I4246" i="2"/>
  <c r="I4254" i="2"/>
  <c r="I4270" i="2"/>
  <c r="I4278" i="2"/>
  <c r="I4286" i="2"/>
  <c r="I4302" i="2"/>
  <c r="I4310" i="2"/>
  <c r="I4318" i="2"/>
  <c r="I4334" i="2"/>
  <c r="I4342" i="2"/>
  <c r="I4350" i="2"/>
  <c r="I4366" i="2"/>
  <c r="I769" i="2"/>
  <c r="I4382" i="2"/>
  <c r="I4398" i="2"/>
  <c r="I2764" i="2"/>
  <c r="I6482" i="2"/>
  <c r="I4430" i="2"/>
  <c r="I4438" i="2"/>
  <c r="I4446" i="2"/>
  <c r="I4462" i="2"/>
  <c r="I4470" i="2"/>
  <c r="I4478" i="2"/>
  <c r="I4681" i="2"/>
  <c r="I4502" i="2"/>
  <c r="I4510" i="2"/>
  <c r="I4526" i="2"/>
  <c r="I4534" i="2"/>
  <c r="I4542" i="2"/>
  <c r="I4558" i="2"/>
  <c r="I2990" i="2"/>
  <c r="I4574" i="2"/>
  <c r="I4590" i="2"/>
  <c r="I4598" i="2"/>
  <c r="I4867" i="2"/>
  <c r="I2508" i="2"/>
  <c r="I6304" i="2"/>
  <c r="I4638" i="2"/>
  <c r="I4654" i="2"/>
  <c r="I4662" i="2"/>
  <c r="I4670" i="2"/>
  <c r="I4686" i="2"/>
  <c r="I4694" i="2"/>
  <c r="I4702" i="2"/>
  <c r="I4718" i="2"/>
  <c r="I4795" i="2"/>
  <c r="I4734" i="2"/>
  <c r="I4750" i="2"/>
  <c r="I4758" i="2"/>
  <c r="I4766" i="2"/>
  <c r="I4782" i="2"/>
  <c r="I7018" i="2"/>
  <c r="I5054" i="2"/>
  <c r="I6768" i="2"/>
  <c r="I5927" i="2"/>
  <c r="I2120" i="2"/>
  <c r="I5521" i="2"/>
  <c r="I4862" i="2"/>
  <c r="I5708" i="2"/>
  <c r="I4878" i="2"/>
  <c r="I4998" i="2"/>
  <c r="I5182" i="2"/>
  <c r="I5190" i="2"/>
  <c r="I5198" i="2"/>
  <c r="I5206" i="2"/>
  <c r="I5214" i="2"/>
  <c r="I5222" i="2"/>
  <c r="I5230" i="2"/>
  <c r="I1491" i="2"/>
  <c r="I5246" i="2"/>
  <c r="I5480" i="2"/>
  <c r="I5262" i="2"/>
  <c r="I5270" i="2"/>
  <c r="I5278" i="2"/>
  <c r="I5286" i="2"/>
  <c r="I5294" i="2"/>
  <c r="I5302" i="2"/>
  <c r="I5310" i="2"/>
  <c r="I3918" i="2"/>
  <c r="I5326" i="2"/>
  <c r="I5334" i="2"/>
  <c r="I5342" i="2"/>
  <c r="I5350" i="2"/>
  <c r="I5358" i="2"/>
  <c r="I5366" i="2"/>
  <c r="I5374" i="2"/>
  <c r="I5382" i="2"/>
  <c r="I5390" i="2"/>
  <c r="I5406" i="2"/>
  <c r="I5414" i="2"/>
  <c r="I5422" i="2"/>
  <c r="I5466" i="2"/>
  <c r="I4582" i="2"/>
  <c r="I5462" i="2"/>
  <c r="I5250" i="2"/>
  <c r="I5478" i="2"/>
  <c r="I1046" i="2"/>
  <c r="I5494" i="2"/>
  <c r="I2422" i="2"/>
  <c r="I5534" i="2"/>
  <c r="I1016" i="2"/>
  <c r="I6483" i="2"/>
  <c r="I5558" i="2"/>
  <c r="I5566" i="2"/>
  <c r="I5574" i="2"/>
  <c r="I5582" i="2"/>
  <c r="I5590" i="2"/>
  <c r="I5598" i="2"/>
  <c r="I5606" i="2"/>
  <c r="I5830" i="2"/>
  <c r="I5622" i="2"/>
  <c r="I5630" i="2"/>
  <c r="I4577" i="2"/>
  <c r="I5646" i="2"/>
  <c r="I5654" i="2"/>
  <c r="I6080" i="2"/>
  <c r="I5670" i="2"/>
  <c r="I5678" i="2"/>
  <c r="I5686" i="2"/>
  <c r="I5694" i="2"/>
  <c r="I5702" i="2"/>
  <c r="I5710" i="2"/>
  <c r="I5718" i="2"/>
  <c r="I5726" i="2"/>
  <c r="I5734" i="2"/>
  <c r="I5742" i="2"/>
  <c r="I6092" i="2"/>
  <c r="I1496" i="2"/>
  <c r="I5766" i="2"/>
  <c r="I5774" i="2"/>
  <c r="I5782" i="2"/>
  <c r="I5790" i="2"/>
  <c r="I5798" i="2"/>
  <c r="I6493" i="2"/>
  <c r="I5814" i="2"/>
  <c r="I6599" i="2"/>
  <c r="I2267" i="2"/>
  <c r="I5838" i="2"/>
  <c r="I5695" i="2"/>
  <c r="I5854" i="2"/>
  <c r="I5862" i="2"/>
  <c r="I5870" i="2"/>
  <c r="I6997" i="2"/>
  <c r="I3024" i="2"/>
  <c r="I5894" i="2"/>
  <c r="I5902" i="2"/>
  <c r="I5910" i="2"/>
  <c r="I5918" i="2"/>
  <c r="I6335" i="2"/>
  <c r="I5944" i="2"/>
  <c r="I2383" i="2"/>
  <c r="I5950" i="2"/>
  <c r="I5958" i="2"/>
  <c r="I408" i="2"/>
  <c r="I5155" i="2"/>
  <c r="I1521" i="2"/>
  <c r="I5990" i="2"/>
  <c r="I2780" i="2"/>
  <c r="I6006" i="2"/>
  <c r="I6014" i="2"/>
  <c r="I4797" i="2"/>
  <c r="I7145" i="2"/>
  <c r="I6038" i="2"/>
  <c r="I6684" i="2"/>
  <c r="I6054" i="2"/>
  <c r="I5077" i="2"/>
  <c r="I6070" i="2"/>
  <c r="I6740" i="2"/>
  <c r="I6086" i="2"/>
  <c r="I4741" i="2"/>
  <c r="I6102" i="2"/>
  <c r="I6749" i="2"/>
  <c r="I6118" i="2"/>
  <c r="I6126" i="2"/>
  <c r="I6134" i="2"/>
  <c r="I6142" i="2"/>
  <c r="I6150" i="2"/>
  <c r="I6158" i="2"/>
  <c r="I6166" i="2"/>
  <c r="I1552" i="2"/>
  <c r="I5802" i="2"/>
  <c r="I2270" i="2"/>
  <c r="I6198" i="2"/>
  <c r="I6206" i="2"/>
  <c r="I6214" i="2"/>
  <c r="I6222" i="2"/>
  <c r="I6230" i="2"/>
  <c r="I6238" i="2"/>
  <c r="I6246" i="2"/>
  <c r="I6254" i="2"/>
  <c r="I6262" i="2"/>
  <c r="I6270" i="2"/>
  <c r="I6278" i="2"/>
  <c r="I6286" i="2"/>
  <c r="I6294" i="2"/>
  <c r="I6302" i="2"/>
  <c r="I6310" i="2"/>
  <c r="I6318" i="2"/>
  <c r="I6326" i="2"/>
  <c r="I6334" i="2"/>
  <c r="I189" i="2"/>
  <c r="I6350" i="2"/>
  <c r="I6358" i="2"/>
  <c r="I6366" i="2"/>
  <c r="I6374" i="2"/>
  <c r="I6382" i="2"/>
  <c r="I2802" i="2"/>
  <c r="I6398" i="2"/>
  <c r="I6406" i="2"/>
  <c r="I6414" i="2"/>
  <c r="I4188" i="2"/>
  <c r="I6430" i="2"/>
  <c r="I6438" i="2"/>
  <c r="I6446" i="2"/>
  <c r="I6454" i="2"/>
  <c r="I6462" i="2"/>
  <c r="I6470" i="2"/>
  <c r="I6478" i="2"/>
  <c r="I6705" i="2"/>
  <c r="I6494" i="2"/>
  <c r="I1065" i="2"/>
  <c r="I3048" i="2"/>
  <c r="I6527" i="2"/>
  <c r="I3942" i="2"/>
  <c r="I6534" i="2"/>
  <c r="I6783" i="2"/>
  <c r="I6550" i="2"/>
  <c r="I4380" i="2"/>
  <c r="I6566" i="2"/>
  <c r="I6574" i="2"/>
  <c r="I2772" i="2"/>
  <c r="I3654" i="2"/>
  <c r="I5533" i="2"/>
  <c r="I6606" i="2"/>
  <c r="I6614" i="2"/>
  <c r="I6622" i="2"/>
  <c r="I6630" i="2"/>
  <c r="I6638" i="2"/>
  <c r="I5473" i="2"/>
  <c r="I6654" i="2"/>
  <c r="I6662" i="2"/>
  <c r="I6670" i="2"/>
  <c r="I6678" i="2"/>
  <c r="I6686" i="2"/>
  <c r="I1502" i="2"/>
  <c r="I6702" i="2"/>
  <c r="I5084" i="2"/>
  <c r="I6718" i="2"/>
  <c r="I3380" i="2"/>
  <c r="I6734" i="2"/>
  <c r="I401" i="2"/>
  <c r="I1637" i="2"/>
  <c r="I4841" i="2"/>
  <c r="I4408" i="2"/>
  <c r="I6774" i="2"/>
  <c r="I6782" i="2"/>
  <c r="I6790" i="2"/>
  <c r="I3032" i="2"/>
  <c r="I6806" i="2"/>
  <c r="I6814" i="2"/>
  <c r="I6822" i="2"/>
  <c r="I6830" i="2"/>
  <c r="I6838" i="2"/>
  <c r="I6846" i="2"/>
  <c r="I6854" i="2"/>
  <c r="I6862" i="2"/>
  <c r="I6870" i="2"/>
  <c r="I6878" i="2"/>
  <c r="I3927" i="2"/>
  <c r="I6612" i="2"/>
  <c r="I6902" i="2"/>
  <c r="I6910" i="2"/>
  <c r="I6918" i="2"/>
  <c r="I6926" i="2"/>
  <c r="I6934" i="2"/>
  <c r="I6942" i="2"/>
  <c r="I6950" i="2"/>
  <c r="I6958" i="2"/>
  <c r="I6966" i="2"/>
  <c r="I6974" i="2"/>
  <c r="I6982" i="2"/>
  <c r="I6990" i="2"/>
  <c r="I6998" i="2"/>
  <c r="I7006" i="2"/>
  <c r="I7014" i="2"/>
  <c r="I7022" i="2"/>
  <c r="I7030" i="2"/>
  <c r="I6770" i="2"/>
  <c r="I4870" i="2"/>
  <c r="I7054" i="2"/>
  <c r="I7062" i="2"/>
  <c r="I5799" i="2"/>
  <c r="I7078" i="2"/>
  <c r="I7086" i="2"/>
  <c r="I7094" i="2"/>
  <c r="I7102" i="2"/>
  <c r="I7110" i="2"/>
  <c r="I7118" i="2"/>
  <c r="I7126" i="2"/>
  <c r="I7134" i="2"/>
  <c r="I7142" i="2"/>
  <c r="I7150" i="2"/>
  <c r="I7158" i="2"/>
  <c r="I7166" i="2"/>
  <c r="I7174" i="2"/>
  <c r="I7182" i="2"/>
  <c r="I7190" i="2"/>
  <c r="I7198" i="2"/>
  <c r="I7206" i="2"/>
  <c r="I5836" i="2"/>
  <c r="I196" i="2"/>
  <c r="I7230" i="2"/>
  <c r="I7238" i="2"/>
  <c r="I7246" i="2"/>
  <c r="I7254" i="2"/>
  <c r="I7262" i="2"/>
  <c r="I7270" i="2"/>
  <c r="I7278" i="2"/>
  <c r="I7286" i="2"/>
  <c r="I6535" i="2"/>
  <c r="I6611" i="2"/>
  <c r="I6715" i="2"/>
  <c r="I6743" i="2"/>
  <c r="I4668" i="2"/>
  <c r="I6803" i="2"/>
  <c r="I6839" i="2"/>
  <c r="I5000" i="2"/>
  <c r="I6903" i="2"/>
  <c r="I6931" i="2"/>
  <c r="I6959" i="2"/>
  <c r="I6987" i="2"/>
  <c r="I5156" i="2"/>
  <c r="I7079" i="2"/>
  <c r="I5886" i="2"/>
  <c r="I7147" i="2"/>
  <c r="I7179" i="2"/>
  <c r="I7211" i="2"/>
  <c r="I7271" i="2"/>
  <c r="I7293" i="2"/>
  <c r="I7309" i="2"/>
  <c r="I7317" i="2"/>
  <c r="I7325" i="2"/>
  <c r="I7333" i="2"/>
  <c r="I7341" i="2"/>
  <c r="I7349" i="2"/>
  <c r="I7357" i="2"/>
  <c r="I7365" i="2"/>
  <c r="I7373" i="2"/>
  <c r="I7389" i="2"/>
  <c r="I7397" i="2"/>
  <c r="I7405" i="2"/>
  <c r="I7413" i="2"/>
  <c r="I7421" i="2"/>
  <c r="I7429" i="2"/>
  <c r="I7437" i="2"/>
  <c r="I7485" i="2"/>
  <c r="I7493" i="2"/>
  <c r="I7509" i="2"/>
  <c r="I7517" i="2"/>
  <c r="I7525" i="2"/>
  <c r="I7541" i="2"/>
  <c r="I7565" i="2"/>
  <c r="I7573" i="2"/>
  <c r="I7581" i="2"/>
  <c r="I7597" i="2"/>
  <c r="I7605" i="2"/>
  <c r="I7613" i="2"/>
  <c r="I7621" i="2"/>
  <c r="I7629" i="2"/>
  <c r="I7637" i="2"/>
  <c r="I7645" i="2"/>
  <c r="I7653" i="2"/>
  <c r="I7661" i="2"/>
  <c r="I7669" i="2"/>
  <c r="I7677" i="2"/>
  <c r="I7685" i="2"/>
  <c r="I7693" i="2"/>
  <c r="I7701" i="2"/>
  <c r="I7709" i="2"/>
  <c r="I7717" i="2"/>
  <c r="I7725" i="2"/>
  <c r="I7733" i="2"/>
  <c r="I7749" i="2"/>
  <c r="I7765" i="2"/>
  <c r="I7781" i="2"/>
  <c r="I7797" i="2"/>
  <c r="I7853" i="2"/>
  <c r="I7893" i="2"/>
  <c r="I7917" i="2"/>
  <c r="I7925" i="2"/>
  <c r="I7949" i="2"/>
  <c r="I7957" i="2"/>
  <c r="I7973" i="2"/>
  <c r="I7981" i="2"/>
  <c r="I7989" i="2"/>
  <c r="I7997" i="2"/>
  <c r="I8005" i="2"/>
  <c r="I8013" i="2"/>
  <c r="I8021" i="2"/>
  <c r="I8029" i="2"/>
  <c r="I8037" i="2"/>
  <c r="I8045" i="2"/>
  <c r="I8053" i="2"/>
  <c r="I8061" i="2"/>
  <c r="I8069" i="2"/>
  <c r="I8077" i="2"/>
  <c r="I8085" i="2"/>
  <c r="I8093" i="2"/>
  <c r="I8101" i="2"/>
  <c r="I8109" i="2"/>
  <c r="I8117" i="2"/>
  <c r="I8125" i="2"/>
  <c r="I8133" i="2"/>
  <c r="I8141" i="2"/>
  <c r="I8149" i="2"/>
  <c r="I802" i="2"/>
  <c r="I15" i="2"/>
  <c r="I23" i="2"/>
  <c r="I31" i="2"/>
  <c r="I7" i="2"/>
  <c r="I7146" i="2"/>
  <c r="I55" i="2"/>
  <c r="I63" i="2"/>
  <c r="I6531" i="2"/>
  <c r="I535" i="2"/>
  <c r="I87" i="2"/>
  <c r="I95" i="2"/>
  <c r="I103" i="2"/>
  <c r="I1970" i="2"/>
  <c r="I119" i="2"/>
  <c r="I5978" i="2"/>
  <c r="I7101" i="2"/>
  <c r="I6914" i="2"/>
  <c r="I151" i="2"/>
  <c r="I159" i="2"/>
  <c r="I4579" i="2"/>
  <c r="I2320" i="2"/>
  <c r="I183" i="2"/>
  <c r="I191" i="2"/>
  <c r="I1585" i="2"/>
  <c r="I6177" i="2"/>
  <c r="I215" i="2"/>
  <c r="I1113" i="2"/>
  <c r="I231" i="2"/>
  <c r="I3418" i="2"/>
  <c r="I5965" i="2"/>
  <c r="I255" i="2"/>
  <c r="I263" i="2"/>
  <c r="I271" i="2"/>
  <c r="I279" i="2"/>
  <c r="I287" i="2"/>
  <c r="I295" i="2"/>
  <c r="I2851" i="2"/>
  <c r="I311" i="2"/>
  <c r="I319" i="2"/>
  <c r="I327" i="2"/>
  <c r="I335" i="2"/>
  <c r="I343" i="2"/>
  <c r="I351" i="2"/>
  <c r="I359" i="2"/>
  <c r="I367" i="2"/>
  <c r="I375" i="2"/>
  <c r="I3174" i="2"/>
  <c r="I399" i="2"/>
  <c r="I4053" i="2"/>
  <c r="I1622" i="2"/>
  <c r="I2341" i="2"/>
  <c r="I3432" i="2"/>
  <c r="I4845" i="2"/>
  <c r="I455" i="2"/>
  <c r="I471" i="2"/>
  <c r="I479" i="2"/>
  <c r="I487" i="2"/>
  <c r="I495" i="2"/>
  <c r="I503" i="2"/>
  <c r="I511" i="2"/>
  <c r="I6578" i="2"/>
  <c r="I6442" i="2"/>
  <c r="I543" i="2"/>
  <c r="I551" i="2"/>
  <c r="I559" i="2"/>
  <c r="I567" i="2"/>
  <c r="I575" i="2"/>
  <c r="I362" i="2"/>
  <c r="I591" i="2"/>
  <c r="I599" i="2"/>
  <c r="I607" i="2"/>
  <c r="I615" i="2"/>
  <c r="I623" i="2"/>
  <c r="I631" i="2"/>
  <c r="I639" i="2"/>
  <c r="I647" i="2"/>
  <c r="I5583" i="2"/>
  <c r="I4085" i="2"/>
  <c r="I671" i="2"/>
  <c r="I5584" i="2"/>
  <c r="I687" i="2"/>
  <c r="I3452" i="2"/>
  <c r="I703" i="2"/>
  <c r="I711" i="2"/>
  <c r="I719" i="2"/>
  <c r="I727" i="2"/>
  <c r="I735" i="2"/>
  <c r="I2157" i="2"/>
  <c r="I751" i="2"/>
  <c r="I1979" i="2"/>
  <c r="I767" i="2"/>
  <c r="I775" i="2"/>
  <c r="I783" i="2"/>
  <c r="I1931" i="2"/>
  <c r="I799" i="2"/>
  <c r="I807" i="2"/>
  <c r="I3475" i="2"/>
  <c r="I839" i="2"/>
  <c r="I855" i="2"/>
  <c r="I863" i="2"/>
  <c r="I871" i="2"/>
  <c r="I879" i="2"/>
  <c r="I887" i="2"/>
  <c r="I895" i="2"/>
  <c r="I4471" i="2"/>
  <c r="I911" i="2"/>
  <c r="I919" i="2"/>
  <c r="I927" i="2"/>
  <c r="I935" i="2"/>
  <c r="I943" i="2"/>
  <c r="I951" i="2"/>
  <c r="I959" i="2"/>
  <c r="I5929" i="2"/>
  <c r="I975" i="2"/>
  <c r="I983" i="2"/>
  <c r="I991" i="2"/>
  <c r="I999" i="2"/>
  <c r="I1007" i="2"/>
  <c r="I1015" i="2"/>
  <c r="I3666" i="2"/>
  <c r="I1031" i="2"/>
  <c r="I2300" i="2"/>
  <c r="I247" i="2"/>
  <c r="I1055" i="2"/>
  <c r="I1063" i="2"/>
  <c r="I964" i="2"/>
  <c r="I1079" i="2"/>
  <c r="I1087" i="2"/>
  <c r="I1115" i="2"/>
  <c r="I633" i="2"/>
  <c r="I1119" i="2"/>
  <c r="I1127" i="2"/>
  <c r="I6885" i="2"/>
  <c r="I1143" i="2"/>
  <c r="I4874" i="2"/>
  <c r="I2535" i="2"/>
  <c r="I1167" i="2"/>
  <c r="I1175" i="2"/>
  <c r="I1183" i="2"/>
  <c r="I1191" i="2"/>
  <c r="I2061" i="2"/>
  <c r="I1207" i="2"/>
  <c r="I1215" i="2"/>
  <c r="I1223" i="2"/>
  <c r="I2906" i="2"/>
  <c r="I1239" i="2"/>
  <c r="I1247" i="2"/>
  <c r="I1263" i="2"/>
  <c r="I5024" i="2"/>
  <c r="I6001" i="2"/>
  <c r="I1295" i="2"/>
  <c r="I1311" i="2"/>
  <c r="I1319" i="2"/>
  <c r="I1327" i="2"/>
  <c r="I1343" i="2"/>
  <c r="I1351" i="2"/>
  <c r="I1359" i="2"/>
  <c r="I1367" i="2"/>
  <c r="I44" i="2"/>
  <c r="I1383" i="2"/>
  <c r="I1391" i="2"/>
  <c r="I1399" i="2"/>
  <c r="I2395" i="2"/>
  <c r="I1431" i="2"/>
  <c r="I1439" i="2"/>
  <c r="I1447" i="2"/>
  <c r="I1455" i="2"/>
  <c r="I1463" i="2"/>
  <c r="I1471" i="2"/>
  <c r="I1479" i="2"/>
  <c r="I1495" i="2"/>
  <c r="I1503" i="2"/>
  <c r="I1511" i="2"/>
  <c r="I1527" i="2"/>
  <c r="I2130" i="2"/>
  <c r="I1543" i="2"/>
  <c r="I1551" i="2"/>
  <c r="I1559" i="2"/>
  <c r="I1567" i="2"/>
  <c r="I3786" i="2"/>
  <c r="I1583" i="2"/>
  <c r="I1591" i="2"/>
  <c r="I5644" i="2"/>
  <c r="I1607" i="2"/>
  <c r="I2220" i="2"/>
  <c r="I1623" i="2"/>
  <c r="I931" i="2"/>
  <c r="I1639" i="2"/>
  <c r="I1647" i="2"/>
  <c r="I1655" i="2"/>
  <c r="I1663" i="2"/>
  <c r="I1671" i="2"/>
  <c r="I1679" i="2"/>
  <c r="I1687" i="2"/>
  <c r="I1695" i="2"/>
  <c r="I1703" i="2"/>
  <c r="I1711" i="2"/>
  <c r="I1719" i="2"/>
  <c r="I1727" i="2"/>
  <c r="I1735" i="2"/>
  <c r="I1743" i="2"/>
  <c r="I5563" i="2"/>
  <c r="I1759" i="2"/>
  <c r="I1767" i="2"/>
  <c r="I1775" i="2"/>
  <c r="I1783" i="2"/>
  <c r="I1791" i="2"/>
  <c r="I1799" i="2"/>
  <c r="I4944" i="2"/>
  <c r="I1815" i="2"/>
  <c r="I1823" i="2"/>
  <c r="I5030" i="2"/>
  <c r="I1839" i="2"/>
  <c r="I1847" i="2"/>
  <c r="I1855" i="2"/>
  <c r="I1863" i="2"/>
  <c r="I1871" i="2"/>
  <c r="I2975" i="2"/>
  <c r="I1887" i="2"/>
  <c r="I3818" i="2"/>
  <c r="I1903" i="2"/>
  <c r="I256" i="2"/>
  <c r="I1919" i="2"/>
  <c r="I2116" i="2"/>
  <c r="I1935" i="2"/>
  <c r="I1943" i="2"/>
  <c r="I58" i="2"/>
  <c r="I1959" i="2"/>
  <c r="I1112" i="2"/>
  <c r="I1975" i="2"/>
  <c r="I410" i="2"/>
  <c r="I1991" i="2"/>
  <c r="I1999" i="2"/>
  <c r="I2007" i="2"/>
  <c r="I2015" i="2"/>
  <c r="I4865" i="2"/>
  <c r="I2031" i="2"/>
  <c r="I2039" i="2"/>
  <c r="I2047" i="2"/>
  <c r="I2055" i="2"/>
  <c r="I2063" i="2"/>
  <c r="I2071" i="2"/>
  <c r="I2079" i="2"/>
  <c r="I2087" i="2"/>
  <c r="I2175" i="2"/>
  <c r="I2103" i="2"/>
  <c r="I2111" i="2"/>
  <c r="I791" i="2"/>
  <c r="I1425" i="2"/>
  <c r="I2135" i="2"/>
  <c r="I2143" i="2"/>
  <c r="I2151" i="2"/>
  <c r="I3808" i="2"/>
  <c r="I2399" i="2"/>
  <c r="I1920" i="2"/>
  <c r="I2183" i="2"/>
  <c r="I2191" i="2"/>
  <c r="I2199" i="2"/>
  <c r="I2207" i="2"/>
  <c r="I2215" i="2"/>
  <c r="I2223" i="2"/>
  <c r="I4651" i="2"/>
  <c r="I2239" i="2"/>
  <c r="I2976" i="2"/>
  <c r="I2255" i="2"/>
  <c r="I2263" i="2"/>
  <c r="I2271" i="2"/>
  <c r="I6937" i="2"/>
  <c r="I7002" i="2"/>
  <c r="I2413" i="2"/>
  <c r="I2303" i="2"/>
  <c r="I2311" i="2"/>
  <c r="I2319" i="2"/>
  <c r="I2327" i="2"/>
  <c r="I2335" i="2"/>
  <c r="I2343" i="2"/>
  <c r="I2351" i="2"/>
  <c r="I1187" i="2"/>
  <c r="I2367" i="2"/>
  <c r="I2375" i="2"/>
  <c r="I294" i="2"/>
  <c r="I4559" i="2"/>
  <c r="I2287" i="2"/>
  <c r="I2407" i="2"/>
  <c r="I2415" i="2"/>
  <c r="I2718" i="2"/>
  <c r="I2431" i="2"/>
  <c r="I2439" i="2"/>
  <c r="I2447" i="2"/>
  <c r="I2455" i="2"/>
  <c r="I2463" i="2"/>
  <c r="I1453" i="2"/>
  <c r="I2479" i="2"/>
  <c r="I2487" i="2"/>
  <c r="I2495" i="2"/>
  <c r="I2503" i="2"/>
  <c r="I2511" i="2"/>
  <c r="I2519" i="2"/>
  <c r="I2527" i="2"/>
  <c r="I5004" i="2"/>
  <c r="I928" i="2"/>
  <c r="I2551" i="2"/>
  <c r="I2559" i="2"/>
  <c r="I2567" i="2"/>
  <c r="I2575" i="2"/>
  <c r="I2583" i="2"/>
  <c r="I2591" i="2"/>
  <c r="I2599" i="2"/>
  <c r="I2607" i="2"/>
  <c r="I2615" i="2"/>
  <c r="I2623" i="2"/>
  <c r="I2631" i="2"/>
  <c r="I2639" i="2"/>
  <c r="I2647" i="2"/>
  <c r="I2655" i="2"/>
  <c r="I3175" i="2"/>
  <c r="I2671" i="2"/>
  <c r="I2679" i="2"/>
  <c r="I4116" i="2"/>
  <c r="I2695" i="2"/>
  <c r="I2703" i="2"/>
  <c r="I2711" i="2"/>
  <c r="I3167" i="2"/>
  <c r="I5981" i="2"/>
  <c r="I4008" i="2"/>
  <c r="I2743" i="2"/>
  <c r="I2751" i="2"/>
  <c r="I2759" i="2"/>
  <c r="I2767" i="2"/>
  <c r="I2775" i="2"/>
  <c r="I6712" i="2"/>
  <c r="I733" i="2"/>
  <c r="I2799" i="2"/>
  <c r="I2807" i="2"/>
  <c r="I2815" i="2"/>
  <c r="I2823" i="2"/>
  <c r="I2171" i="2"/>
  <c r="I3606" i="2"/>
  <c r="I2238" i="2"/>
  <c r="I2855" i="2"/>
  <c r="I2863" i="2"/>
  <c r="I2871" i="2"/>
  <c r="I2879" i="2"/>
  <c r="I2887" i="2"/>
  <c r="I2895" i="2"/>
  <c r="I2903" i="2"/>
  <c r="I7153" i="2"/>
  <c r="I2919" i="2"/>
  <c r="I2927" i="2"/>
  <c r="I5207" i="2"/>
  <c r="I2943" i="2"/>
  <c r="I2951" i="2"/>
  <c r="I2959" i="2"/>
  <c r="I2967" i="2"/>
  <c r="I79" i="2"/>
  <c r="I2983" i="2"/>
  <c r="I2991" i="2"/>
  <c r="I2999" i="2"/>
  <c r="I1507" i="2"/>
  <c r="I939" i="2"/>
  <c r="I2145" i="2"/>
  <c r="I1303" i="2"/>
  <c r="I3039" i="2"/>
  <c r="I2719" i="2"/>
  <c r="I3055" i="2"/>
  <c r="I3063" i="2"/>
  <c r="I3071" i="2"/>
  <c r="I3079" i="2"/>
  <c r="I3087" i="2"/>
  <c r="I5430" i="2"/>
  <c r="I3103" i="2"/>
  <c r="I3111" i="2"/>
  <c r="I1522" i="2"/>
  <c r="I3127" i="2"/>
  <c r="I4755" i="2"/>
  <c r="I3143" i="2"/>
  <c r="I3151" i="2"/>
  <c r="I3159" i="2"/>
  <c r="I650" i="2"/>
  <c r="I392" i="2"/>
  <c r="I2247" i="2"/>
  <c r="I3191" i="2"/>
  <c r="I3199" i="2"/>
  <c r="I3207" i="2"/>
  <c r="I3215" i="2"/>
  <c r="I3223" i="2"/>
  <c r="I2417" i="2"/>
  <c r="I4580" i="2"/>
  <c r="I2077" i="2"/>
  <c r="I3255" i="2"/>
  <c r="I6030" i="2"/>
  <c r="I3271" i="2"/>
  <c r="I3279" i="2"/>
  <c r="I3287" i="2"/>
  <c r="I3295" i="2"/>
  <c r="I3303" i="2"/>
  <c r="I3311" i="2"/>
  <c r="I3319" i="2"/>
  <c r="I3327" i="2"/>
  <c r="I3335" i="2"/>
  <c r="I5880" i="2"/>
  <c r="I3351" i="2"/>
  <c r="I7115" i="2"/>
  <c r="I3367" i="2"/>
  <c r="I3375" i="2"/>
  <c r="I3383" i="2"/>
  <c r="I3391" i="2"/>
  <c r="I3399" i="2"/>
  <c r="I3407" i="2"/>
  <c r="I3415" i="2"/>
  <c r="I3423" i="2"/>
  <c r="I3431" i="2"/>
  <c r="I3439" i="2"/>
  <c r="I3917" i="2"/>
  <c r="I3455" i="2"/>
  <c r="I3463" i="2"/>
  <c r="I3471" i="2"/>
  <c r="I3479" i="2"/>
  <c r="I3487" i="2"/>
  <c r="I3495" i="2"/>
  <c r="I3503" i="2"/>
  <c r="I3511" i="2"/>
  <c r="I3519" i="2"/>
  <c r="I3527" i="2"/>
  <c r="I3535" i="2"/>
  <c r="I3543" i="2"/>
  <c r="I3551" i="2"/>
  <c r="I3559" i="2"/>
  <c r="I3567" i="2"/>
  <c r="I3575" i="2"/>
  <c r="I3583" i="2"/>
  <c r="I3591" i="2"/>
  <c r="I1024" i="2"/>
  <c r="I1951" i="2"/>
  <c r="I3615" i="2"/>
  <c r="I3623" i="2"/>
  <c r="I3631" i="2"/>
  <c r="I3639" i="2"/>
  <c r="I3647" i="2"/>
  <c r="I4447" i="2"/>
  <c r="I3663" i="2"/>
  <c r="I3671" i="2"/>
  <c r="I225" i="2"/>
  <c r="I3687" i="2"/>
  <c r="I3695" i="2"/>
  <c r="I5758" i="2"/>
  <c r="I3711" i="2"/>
  <c r="I3719" i="2"/>
  <c r="I2249" i="2"/>
  <c r="I3735" i="2"/>
  <c r="I1370" i="2"/>
  <c r="I3751" i="2"/>
  <c r="I3759" i="2"/>
  <c r="I3767" i="2"/>
  <c r="I1298" i="2"/>
  <c r="I3783" i="2"/>
  <c r="I3791" i="2"/>
  <c r="I3799" i="2"/>
  <c r="I3807" i="2"/>
  <c r="I3815" i="2"/>
  <c r="I3823" i="2"/>
  <c r="I3831" i="2"/>
  <c r="I3839" i="2"/>
  <c r="I3847" i="2"/>
  <c r="I3855" i="2"/>
  <c r="I3828" i="2"/>
  <c r="I240" i="2"/>
  <c r="I300" i="2"/>
  <c r="I2084" i="2"/>
  <c r="I6545" i="2"/>
  <c r="I3903" i="2"/>
  <c r="I3911" i="2"/>
  <c r="I1083" i="2"/>
  <c r="I216" i="2"/>
  <c r="I3935" i="2"/>
  <c r="I3943" i="2"/>
  <c r="I3951" i="2"/>
  <c r="I3959" i="2"/>
  <c r="I3967" i="2"/>
  <c r="I3975" i="2"/>
  <c r="I3983" i="2"/>
  <c r="I3991" i="2"/>
  <c r="I1111" i="2"/>
  <c r="I997" i="2"/>
  <c r="I4015" i="2"/>
  <c r="I2839" i="2"/>
  <c r="I4031" i="2"/>
  <c r="I6810" i="2"/>
  <c r="I4047" i="2"/>
  <c r="I2763" i="2"/>
  <c r="I4299" i="2"/>
  <c r="I2250" i="2"/>
  <c r="I4079" i="2"/>
  <c r="I4087" i="2"/>
  <c r="I4095" i="2"/>
  <c r="I5017" i="2"/>
  <c r="I4111" i="2"/>
  <c r="I6871" i="2"/>
  <c r="I4127" i="2"/>
  <c r="I4135" i="2"/>
  <c r="I6575" i="2"/>
  <c r="I4151" i="2"/>
  <c r="I4159" i="2"/>
  <c r="I4167" i="2"/>
  <c r="I5008" i="2"/>
  <c r="I4183" i="2"/>
  <c r="I4191" i="2"/>
  <c r="I4199" i="2"/>
  <c r="I2251" i="2"/>
  <c r="I4215" i="2"/>
  <c r="I4223" i="2"/>
  <c r="I4231" i="2"/>
  <c r="I4239" i="2"/>
  <c r="I4247" i="2"/>
  <c r="I4255" i="2"/>
  <c r="I4263" i="2"/>
  <c r="I4271" i="2"/>
  <c r="I4279" i="2"/>
  <c r="I4287" i="2"/>
  <c r="I2067" i="2"/>
  <c r="I730" i="2"/>
  <c r="I4311" i="2"/>
  <c r="I4319" i="2"/>
  <c r="I4327" i="2"/>
  <c r="I4335" i="2"/>
  <c r="I4343" i="2"/>
  <c r="I4351" i="2"/>
  <c r="I4359" i="2"/>
  <c r="I6537" i="2"/>
  <c r="I2256" i="2"/>
  <c r="I4383" i="2"/>
  <c r="I4391" i="2"/>
  <c r="I4399" i="2"/>
  <c r="I4407" i="2"/>
  <c r="I6174" i="2"/>
  <c r="I4423" i="2"/>
  <c r="I4431" i="2"/>
  <c r="I4439" i="2"/>
  <c r="I5015" i="2"/>
  <c r="I4455" i="2"/>
  <c r="I4463" i="2"/>
  <c r="I5964" i="2"/>
  <c r="I4479" i="2"/>
  <c r="I5455" i="2"/>
  <c r="I4495" i="2"/>
  <c r="I4503" i="2"/>
  <c r="I4511" i="2"/>
  <c r="I4519" i="2"/>
  <c r="I4527" i="2"/>
  <c r="I4535" i="2"/>
  <c r="I4543" i="2"/>
  <c r="I4551" i="2"/>
  <c r="I5986" i="2"/>
  <c r="I4567" i="2"/>
  <c r="I4575" i="2"/>
  <c r="I3247" i="2"/>
  <c r="I4591" i="2"/>
  <c r="I4599" i="2"/>
  <c r="I4607" i="2"/>
  <c r="I4615" i="2"/>
  <c r="I3046" i="2"/>
  <c r="I5676" i="2"/>
  <c r="I4639" i="2"/>
  <c r="I4647" i="2"/>
  <c r="I4655" i="2"/>
  <c r="I676" i="2"/>
  <c r="I4671" i="2"/>
  <c r="I1012" i="2"/>
  <c r="I4687" i="2"/>
  <c r="I1393" i="2"/>
  <c r="I4703" i="2"/>
  <c r="I4711" i="2"/>
  <c r="I4719" i="2"/>
  <c r="I5463" i="2"/>
  <c r="I2910" i="2"/>
  <c r="I4743" i="2"/>
  <c r="I4751" i="2"/>
  <c r="I4759" i="2"/>
  <c r="I463" i="2"/>
  <c r="I4775" i="2"/>
  <c r="I4783" i="2"/>
  <c r="I4791" i="2"/>
  <c r="I4799" i="2"/>
  <c r="I5822" i="2"/>
  <c r="I4815" i="2"/>
  <c r="I4823" i="2"/>
  <c r="I4831" i="2"/>
  <c r="I4839" i="2"/>
  <c r="I5520" i="2"/>
  <c r="I4855" i="2"/>
  <c r="I6889" i="2"/>
  <c r="I7028" i="2"/>
  <c r="I4887" i="2"/>
  <c r="I4895" i="2"/>
  <c r="I4903" i="2"/>
  <c r="I4911" i="2"/>
  <c r="I4919" i="2"/>
  <c r="I4927" i="2"/>
  <c r="I4935" i="2"/>
  <c r="I4943" i="2"/>
  <c r="I4406" i="2"/>
  <c r="I4959" i="2"/>
  <c r="I4967" i="2"/>
  <c r="I4257" i="2"/>
  <c r="I4983" i="2"/>
  <c r="I4991" i="2"/>
  <c r="I4999" i="2"/>
  <c r="I5007" i="2"/>
  <c r="I738" i="2"/>
  <c r="I5023" i="2"/>
  <c r="I5031" i="2"/>
  <c r="I5039" i="2"/>
  <c r="I5047" i="2"/>
  <c r="I5055" i="2"/>
  <c r="I5063" i="2"/>
  <c r="I5071" i="2"/>
  <c r="I5079" i="2"/>
  <c r="I5087" i="2"/>
  <c r="I5095" i="2"/>
  <c r="I5103" i="2"/>
  <c r="I5111" i="2"/>
  <c r="I5119" i="2"/>
  <c r="I5127" i="2"/>
  <c r="I5135" i="2"/>
  <c r="I6731" i="2"/>
  <c r="I3757" i="2"/>
  <c r="I5159" i="2"/>
  <c r="I5167" i="2"/>
  <c r="I1377" i="2"/>
  <c r="I5183" i="2"/>
  <c r="I5191" i="2"/>
  <c r="I5199" i="2"/>
  <c r="I3852" i="2"/>
  <c r="I5215" i="2"/>
  <c r="I5223" i="2"/>
  <c r="I5231" i="2"/>
  <c r="I5239" i="2"/>
  <c r="I1053" i="2"/>
  <c r="I5255" i="2"/>
  <c r="I5263" i="2"/>
  <c r="I5271" i="2"/>
  <c r="I5279" i="2"/>
  <c r="I5287" i="2"/>
  <c r="I5295" i="2"/>
  <c r="I1161" i="2"/>
  <c r="I5311" i="2"/>
  <c r="I422" i="2"/>
  <c r="I5327" i="2"/>
  <c r="I5335" i="2"/>
  <c r="I5343" i="2"/>
  <c r="I5351" i="2"/>
  <c r="I5359" i="2"/>
  <c r="I5367" i="2"/>
  <c r="I5375" i="2"/>
  <c r="I5383" i="2"/>
  <c r="I5391" i="2"/>
  <c r="I4042" i="2"/>
  <c r="I5407" i="2"/>
  <c r="I5415" i="2"/>
  <c r="I5423" i="2"/>
  <c r="I5431" i="2"/>
  <c r="I7218" i="2"/>
  <c r="I5447" i="2"/>
  <c r="I3797" i="2"/>
  <c r="I138" i="2"/>
  <c r="I7051" i="2"/>
  <c r="I4769" i="2"/>
  <c r="I5487" i="2"/>
  <c r="I5495" i="2"/>
  <c r="I6088" i="2"/>
  <c r="I5511" i="2"/>
  <c r="I6548" i="2"/>
  <c r="I5527" i="2"/>
  <c r="I6417" i="2"/>
  <c r="I1907" i="2"/>
  <c r="I5551" i="2"/>
  <c r="I5559" i="2"/>
  <c r="I5567" i="2"/>
  <c r="I5575" i="2"/>
  <c r="I2669" i="2"/>
  <c r="I5591" i="2"/>
  <c r="I5599" i="2"/>
  <c r="I5607" i="2"/>
  <c r="I3641" i="2"/>
  <c r="I3188" i="2"/>
  <c r="I5631" i="2"/>
  <c r="I5639" i="2"/>
  <c r="I5647" i="2"/>
  <c r="I5655" i="2"/>
  <c r="I5663" i="2"/>
  <c r="I5615" i="2"/>
  <c r="I5679" i="2"/>
  <c r="I5687" i="2"/>
  <c r="I3134" i="2"/>
  <c r="I1879" i="2"/>
  <c r="I5711" i="2"/>
  <c r="I5719" i="2"/>
  <c r="I5727" i="2"/>
  <c r="I5735" i="2"/>
  <c r="I5743" i="2"/>
  <c r="I2297" i="2"/>
  <c r="I5759" i="2"/>
  <c r="I5767" i="2"/>
  <c r="I694" i="2"/>
  <c r="I2541" i="2"/>
  <c r="I512" i="2"/>
  <c r="I5942" i="2"/>
  <c r="I7070" i="2"/>
  <c r="I5152" i="2"/>
  <c r="I6146" i="2"/>
  <c r="I1092" i="2"/>
  <c r="I5839" i="2"/>
  <c r="I5847" i="2"/>
  <c r="I5855" i="2"/>
  <c r="I5863" i="2"/>
  <c r="I5871" i="2"/>
  <c r="I5468" i="2"/>
  <c r="I5887" i="2"/>
  <c r="I5903" i="2"/>
  <c r="I4653" i="2"/>
  <c r="I5919" i="2"/>
  <c r="I6521" i="2"/>
  <c r="I3737" i="2"/>
  <c r="I5943" i="2"/>
  <c r="I3372" i="2"/>
  <c r="I771" i="2"/>
  <c r="I5983" i="2"/>
  <c r="I5991" i="2"/>
  <c r="I5999" i="2"/>
  <c r="I6007" i="2"/>
  <c r="I6015" i="2"/>
  <c r="I6023" i="2"/>
  <c r="I6031" i="2"/>
  <c r="I6039" i="2"/>
  <c r="I4187" i="2"/>
  <c r="I4207" i="2"/>
  <c r="I1500" i="2"/>
  <c r="I2934" i="2"/>
  <c r="I6742" i="2"/>
  <c r="I3241" i="2"/>
  <c r="I5481" i="2"/>
  <c r="I6103" i="2"/>
  <c r="I6111" i="2"/>
  <c r="I6119" i="2"/>
  <c r="I6151" i="2"/>
  <c r="I5318" i="2"/>
  <c r="I6183" i="2"/>
  <c r="I6231" i="2"/>
  <c r="I6239" i="2"/>
  <c r="I6247" i="2"/>
  <c r="I6263" i="2"/>
  <c r="I6271" i="2"/>
  <c r="I6279" i="2"/>
  <c r="I6287" i="2"/>
  <c r="I6295" i="2"/>
  <c r="I6303" i="2"/>
  <c r="I6311" i="2"/>
  <c r="I177" i="2"/>
  <c r="I6351" i="2"/>
  <c r="I6359" i="2"/>
  <c r="I6367" i="2"/>
  <c r="I6375" i="2"/>
  <c r="I6383" i="2"/>
  <c r="I4997" i="2"/>
  <c r="I6399" i="2"/>
  <c r="I6415" i="2"/>
  <c r="I2677" i="2"/>
  <c r="I6431" i="2"/>
  <c r="I440" i="2"/>
  <c r="I6447" i="2"/>
  <c r="I6455" i="2"/>
  <c r="I6463" i="2"/>
  <c r="I6471" i="2"/>
  <c r="I5549" i="2"/>
  <c r="I6487" i="2"/>
  <c r="I6495" i="2"/>
  <c r="I6503" i="2"/>
  <c r="I6511" i="2"/>
  <c r="I1094" i="2"/>
  <c r="I6558" i="2"/>
  <c r="I6524" i="2"/>
  <c r="I6569" i="2"/>
  <c r="I1093" i="2"/>
  <c r="I6563" i="2"/>
  <c r="I3031" i="2"/>
  <c r="I3764" i="2"/>
  <c r="I6587" i="2"/>
  <c r="I6595" i="2"/>
  <c r="I6607" i="2"/>
  <c r="I6619" i="2"/>
  <c r="I6635" i="2"/>
  <c r="I6651" i="2"/>
  <c r="I6784" i="2"/>
  <c r="I6691" i="2"/>
  <c r="I3239" i="2"/>
  <c r="I6795" i="2"/>
  <c r="I6819" i="2"/>
  <c r="I6851" i="2"/>
  <c r="I6911" i="2"/>
  <c r="I6951" i="2"/>
  <c r="I6983" i="2"/>
  <c r="I7015" i="2"/>
  <c r="I7083" i="2"/>
  <c r="I2386" i="2"/>
  <c r="I7247" i="2"/>
  <c r="I7294" i="2"/>
  <c r="I7302" i="2"/>
  <c r="I7310" i="2"/>
  <c r="I7318" i="2"/>
  <c r="I7326" i="2"/>
  <c r="I7334" i="2"/>
  <c r="I7342" i="2"/>
  <c r="I7350" i="2"/>
  <c r="I7358" i="2"/>
  <c r="I7366" i="2"/>
  <c r="I7374" i="2"/>
  <c r="I7382" i="2"/>
  <c r="I7390" i="2"/>
  <c r="I7398" i="2"/>
  <c r="I7406" i="2"/>
  <c r="I7414" i="2"/>
  <c r="I7422" i="2"/>
  <c r="I7430" i="2"/>
  <c r="I7438" i="2"/>
  <c r="I7446" i="2"/>
  <c r="I7454" i="2"/>
  <c r="I7462" i="2"/>
  <c r="I7470" i="2"/>
  <c r="I7478" i="2"/>
  <c r="I7486" i="2"/>
  <c r="I7494" i="2"/>
  <c r="I7502" i="2"/>
  <c r="I7510" i="2"/>
  <c r="I7518" i="2"/>
  <c r="I7526" i="2"/>
  <c r="I7534" i="2"/>
  <c r="I7542" i="2"/>
  <c r="I7550" i="2"/>
  <c r="I7558" i="2"/>
  <c r="I7566" i="2"/>
  <c r="I7574" i="2"/>
  <c r="I7582" i="2"/>
  <c r="I7598" i="2"/>
  <c r="I7606" i="2"/>
  <c r="I7614" i="2"/>
  <c r="I7622" i="2"/>
  <c r="I7630" i="2"/>
  <c r="I7646" i="2"/>
  <c r="I7662" i="2"/>
  <c r="I7678" i="2"/>
  <c r="I7694" i="2"/>
  <c r="I7702" i="2"/>
  <c r="I7718" i="2"/>
  <c r="I7726" i="2"/>
  <c r="I7734" i="2"/>
  <c r="I7742" i="2"/>
  <c r="I7750" i="2"/>
  <c r="I7758" i="2"/>
  <c r="I7766" i="2"/>
  <c r="I7774" i="2"/>
  <c r="I7782" i="2"/>
  <c r="I7790" i="2"/>
  <c r="I7798" i="2"/>
  <c r="I7806" i="2"/>
  <c r="I7814" i="2"/>
  <c r="I7822" i="2"/>
  <c r="I7830" i="2"/>
  <c r="I7838" i="2"/>
  <c r="I7846" i="2"/>
  <c r="I7854" i="2"/>
  <c r="I7862" i="2"/>
  <c r="I7870" i="2"/>
  <c r="I7878" i="2"/>
  <c r="I7886" i="2"/>
  <c r="I7894" i="2"/>
  <c r="I7902" i="2"/>
  <c r="I7910" i="2"/>
  <c r="I7918" i="2"/>
  <c r="I7926" i="2"/>
  <c r="I7934" i="2"/>
  <c r="I7942" i="2"/>
  <c r="I7950" i="2"/>
  <c r="I7958" i="2"/>
  <c r="I7966" i="2"/>
  <c r="I7974" i="2"/>
  <c r="I7982" i="2"/>
  <c r="I7990" i="2"/>
  <c r="I7998" i="2"/>
  <c r="I8006" i="2"/>
  <c r="I8014" i="2"/>
  <c r="I8022" i="2"/>
  <c r="I8030" i="2"/>
  <c r="I8038" i="2"/>
  <c r="I8046" i="2"/>
  <c r="I8054" i="2"/>
  <c r="I8062" i="2"/>
  <c r="I8070" i="2"/>
  <c r="I8086" i="2"/>
  <c r="I8102" i="2"/>
  <c r="I8118" i="2"/>
  <c r="I8134" i="2"/>
  <c r="I8142" i="2"/>
  <c r="I8150" i="2"/>
  <c r="I8" i="2"/>
  <c r="I16" i="2"/>
  <c r="I24" i="2"/>
  <c r="I32" i="2"/>
  <c r="I40" i="2"/>
  <c r="I48" i="2"/>
  <c r="I56" i="2"/>
  <c r="I64" i="2"/>
  <c r="I72" i="2"/>
  <c r="I80" i="2"/>
  <c r="I88" i="2"/>
  <c r="I96" i="2"/>
  <c r="I2023" i="2"/>
  <c r="I112" i="2"/>
  <c r="I120" i="2"/>
  <c r="I6671" i="2"/>
  <c r="I7053" i="2"/>
  <c r="I152" i="2"/>
  <c r="I160" i="2"/>
  <c r="I168" i="2"/>
  <c r="I6859" i="2"/>
  <c r="I184" i="2"/>
  <c r="I192" i="2"/>
  <c r="I200" i="2"/>
  <c r="I4004" i="2"/>
  <c r="I614" i="2"/>
  <c r="I3017" i="2"/>
  <c r="I232" i="2"/>
  <c r="I3419" i="2"/>
  <c r="I1442" i="2"/>
  <c r="I3173" i="2"/>
  <c r="I264" i="2"/>
  <c r="I272" i="2"/>
  <c r="I280" i="2"/>
  <c r="I288" i="2"/>
  <c r="I296" i="2"/>
  <c r="I312" i="2"/>
  <c r="I320" i="2"/>
  <c r="I6571" i="2"/>
  <c r="I344" i="2"/>
  <c r="I352" i="2"/>
  <c r="I5794" i="2"/>
  <c r="I368" i="2"/>
  <c r="I384" i="2"/>
  <c r="I1884" i="2"/>
  <c r="I209" i="2"/>
  <c r="I5816" i="2"/>
  <c r="I416" i="2"/>
  <c r="I424" i="2"/>
  <c r="I432" i="2"/>
  <c r="I3447" i="2"/>
  <c r="I448" i="2"/>
  <c r="I464" i="2"/>
  <c r="I472" i="2"/>
  <c r="I480" i="2"/>
  <c r="I496" i="2"/>
  <c r="I504" i="2"/>
  <c r="I520" i="2"/>
  <c r="I528" i="2"/>
  <c r="I7103" i="2"/>
  <c r="I544" i="2"/>
  <c r="I552" i="2"/>
  <c r="I6917" i="2"/>
  <c r="I568" i="2"/>
  <c r="I576" i="2"/>
  <c r="I584" i="2"/>
  <c r="I592" i="2"/>
  <c r="I600" i="2"/>
  <c r="I608" i="2"/>
  <c r="I616" i="2"/>
  <c r="I624" i="2"/>
  <c r="I632" i="2"/>
  <c r="I640" i="2"/>
  <c r="I648" i="2"/>
  <c r="I5032" i="2"/>
  <c r="I664" i="2"/>
  <c r="I672" i="2"/>
  <c r="I743" i="2"/>
  <c r="I688" i="2"/>
  <c r="I207" i="2"/>
  <c r="I704" i="2"/>
  <c r="I712" i="2"/>
  <c r="I720" i="2"/>
  <c r="I736" i="2"/>
  <c r="I744" i="2"/>
  <c r="I752" i="2"/>
  <c r="I760" i="2"/>
  <c r="I768" i="2"/>
  <c r="I776" i="2"/>
  <c r="I784" i="2"/>
  <c r="I5166" i="2"/>
  <c r="I800" i="2"/>
  <c r="I816" i="2"/>
  <c r="I3490" i="2"/>
  <c r="I832" i="2"/>
  <c r="I840" i="2"/>
  <c r="I848" i="2"/>
  <c r="I824" i="2"/>
  <c r="I3521" i="2"/>
  <c r="I872" i="2"/>
  <c r="I880" i="2"/>
  <c r="I888" i="2"/>
  <c r="I896" i="2"/>
  <c r="I904" i="2"/>
  <c r="I912" i="2"/>
  <c r="I920" i="2"/>
  <c r="I7214" i="2"/>
  <c r="I936" i="2"/>
  <c r="I944" i="2"/>
  <c r="I952" i="2"/>
  <c r="I960" i="2"/>
  <c r="I968" i="2"/>
  <c r="I976" i="2"/>
  <c r="I984" i="2"/>
  <c r="I992" i="2"/>
  <c r="I1000" i="2"/>
  <c r="I1008" i="2"/>
  <c r="I2690" i="2"/>
  <c r="I2698" i="2"/>
  <c r="I1032" i="2"/>
  <c r="I1040" i="2"/>
  <c r="I1048" i="2"/>
  <c r="I3881" i="2"/>
  <c r="I6592" i="2"/>
  <c r="I1072" i="2"/>
  <c r="I1080" i="2"/>
  <c r="I1088" i="2"/>
  <c r="I1096" i="2"/>
  <c r="I3538" i="2"/>
  <c r="I5513" i="2"/>
  <c r="I1120" i="2"/>
  <c r="I1128" i="2"/>
  <c r="I1136" i="2"/>
  <c r="I1144" i="2"/>
  <c r="I2086" i="2"/>
  <c r="I1160" i="2"/>
  <c r="I1168" i="2"/>
  <c r="I1176" i="2"/>
  <c r="I1184" i="2"/>
  <c r="I1192" i="2"/>
  <c r="I2172" i="2"/>
  <c r="I1208" i="2"/>
  <c r="I1216" i="2"/>
  <c r="I5131" i="2"/>
  <c r="I1199" i="2"/>
  <c r="I1240" i="2"/>
  <c r="I1248" i="2"/>
  <c r="I1256" i="2"/>
  <c r="I2477" i="2"/>
  <c r="I1272" i="2"/>
  <c r="I1280" i="2"/>
  <c r="I5483" i="2"/>
  <c r="I1231" i="2"/>
  <c r="I1304" i="2"/>
  <c r="I1312" i="2"/>
  <c r="I1320" i="2"/>
  <c r="I1328" i="2"/>
  <c r="I1336" i="2"/>
  <c r="I1344" i="2"/>
  <c r="I1352" i="2"/>
  <c r="I1360" i="2"/>
  <c r="I1368" i="2"/>
  <c r="I1376" i="2"/>
  <c r="I433" i="2"/>
  <c r="I6908" i="2"/>
  <c r="I1400" i="2"/>
  <c r="I248" i="2"/>
  <c r="I1416" i="2"/>
  <c r="I1424" i="2"/>
  <c r="I3263" i="2"/>
  <c r="I846" i="2"/>
  <c r="I1448" i="2"/>
  <c r="I1456" i="2"/>
  <c r="I1464" i="2"/>
  <c r="I1472" i="2"/>
  <c r="I1480" i="2"/>
  <c r="I1488" i="2"/>
  <c r="I5175" i="2"/>
  <c r="I1504" i="2"/>
  <c r="I1512" i="2"/>
  <c r="I1520" i="2"/>
  <c r="I1528" i="2"/>
  <c r="I1536" i="2"/>
  <c r="I3740" i="2"/>
  <c r="I1560" i="2"/>
  <c r="I1568" i="2"/>
  <c r="I1576" i="2"/>
  <c r="I1584" i="2"/>
  <c r="I1592" i="2"/>
  <c r="I251" i="2"/>
  <c r="I1608" i="2"/>
  <c r="I1616" i="2"/>
  <c r="I1624" i="2"/>
  <c r="I1632" i="2"/>
  <c r="I1640" i="2"/>
  <c r="I1648" i="2"/>
  <c r="I45" i="2"/>
  <c r="I1664" i="2"/>
  <c r="I1672" i="2"/>
  <c r="I6588" i="2"/>
  <c r="I1688" i="2"/>
  <c r="I1696" i="2"/>
  <c r="I1704" i="2"/>
  <c r="I2373" i="2"/>
  <c r="I1720" i="2"/>
  <c r="I1728" i="2"/>
  <c r="I1736" i="2"/>
  <c r="I1744" i="2"/>
  <c r="I1752" i="2"/>
  <c r="I1760" i="2"/>
  <c r="I1768" i="2"/>
  <c r="I1776" i="2"/>
  <c r="I1784" i="2"/>
  <c r="I1792" i="2"/>
  <c r="I1800" i="2"/>
  <c r="I1808" i="2"/>
  <c r="I1816" i="2"/>
  <c r="I1824" i="2"/>
  <c r="I1832" i="2"/>
  <c r="I1840" i="2"/>
  <c r="I4798" i="2"/>
  <c r="I1856" i="2"/>
  <c r="I1864" i="2"/>
  <c r="I1872" i="2"/>
  <c r="I1888" i="2"/>
  <c r="I1904" i="2"/>
  <c r="I5730" i="2"/>
  <c r="I1936" i="2"/>
  <c r="I1186" i="2"/>
  <c r="I2117" i="2"/>
  <c r="I1984" i="2"/>
  <c r="I2000" i="2"/>
  <c r="I2016" i="2"/>
  <c r="I2024" i="2"/>
  <c r="I2040" i="2"/>
  <c r="I2064" i="2"/>
  <c r="I2072" i="2"/>
  <c r="I2080" i="2"/>
  <c r="I2096" i="2"/>
  <c r="I286" i="2"/>
  <c r="I2112" i="2"/>
  <c r="I1279" i="2"/>
  <c r="I6489" i="2"/>
  <c r="I2144" i="2"/>
  <c r="I7021" i="2"/>
  <c r="I2168" i="2"/>
  <c r="I2184" i="2"/>
  <c r="I2192" i="2"/>
  <c r="I2200" i="2"/>
  <c r="I2208" i="2"/>
  <c r="I2216" i="2"/>
  <c r="I4264" i="2"/>
  <c r="I2232" i="2"/>
  <c r="I2240" i="2"/>
  <c r="I3824" i="2"/>
  <c r="I2264" i="2"/>
  <c r="I2272" i="2"/>
  <c r="I2288" i="2"/>
  <c r="I2296" i="2"/>
  <c r="I2304" i="2"/>
  <c r="I6159" i="2"/>
  <c r="I2328" i="2"/>
  <c r="I2336" i="2"/>
  <c r="I5180" i="2"/>
  <c r="I2360" i="2"/>
  <c r="I2368" i="2"/>
  <c r="I2384" i="2"/>
  <c r="I2392" i="2"/>
  <c r="I2400" i="2"/>
  <c r="I2416" i="2"/>
  <c r="I3185" i="2"/>
  <c r="I2432" i="2"/>
  <c r="I2448" i="2"/>
  <c r="I2456" i="2"/>
  <c r="I2464" i="2"/>
  <c r="I2472" i="2"/>
  <c r="I5924" i="2"/>
  <c r="I2488" i="2"/>
  <c r="I2496" i="2"/>
  <c r="I2512" i="2"/>
  <c r="I6228" i="2"/>
  <c r="I2536" i="2"/>
  <c r="I2544" i="2"/>
  <c r="I2552" i="2"/>
  <c r="I2568" i="2"/>
  <c r="I2576" i="2"/>
  <c r="I2584" i="2"/>
  <c r="I2592" i="2"/>
  <c r="I2600" i="2"/>
  <c r="I2624" i="2"/>
  <c r="I2632" i="2"/>
  <c r="I2648" i="2"/>
  <c r="I2664" i="2"/>
  <c r="I2672" i="2"/>
  <c r="I2680" i="2"/>
  <c r="I2696" i="2"/>
  <c r="I447" i="2"/>
  <c r="I1427" i="2"/>
  <c r="I2792" i="2"/>
  <c r="I3172" i="2"/>
  <c r="I1077" i="2"/>
  <c r="I2832" i="2"/>
  <c r="I5842" i="2"/>
  <c r="I2864" i="2"/>
  <c r="I2888" i="2"/>
  <c r="I2896" i="2"/>
  <c r="I7040" i="2"/>
  <c r="I2928" i="2"/>
  <c r="I2952" i="2"/>
  <c r="I2960" i="2"/>
  <c r="I2984" i="2"/>
  <c r="I2992" i="2"/>
  <c r="I940" i="2"/>
  <c r="I690" i="2"/>
  <c r="I3707" i="2"/>
  <c r="I3056" i="2"/>
  <c r="I3080" i="2"/>
  <c r="I3088" i="2"/>
  <c r="I3096" i="2"/>
  <c r="I4123" i="2"/>
  <c r="I3120" i="2"/>
  <c r="I3128" i="2"/>
  <c r="I3144" i="2"/>
  <c r="I3152" i="2"/>
  <c r="I3160" i="2"/>
  <c r="I3176" i="2"/>
  <c r="I1082" i="2"/>
  <c r="I3192" i="2"/>
  <c r="I996" i="2"/>
  <c r="I3216" i="2"/>
  <c r="I3224" i="2"/>
  <c r="I3240" i="2"/>
  <c r="I3248" i="2"/>
  <c r="I3256" i="2"/>
  <c r="I3264" i="2"/>
  <c r="I3272" i="2"/>
  <c r="I3280" i="2"/>
  <c r="I2202" i="2"/>
  <c r="I3304" i="2"/>
  <c r="I3312" i="2"/>
  <c r="I3283" i="2"/>
  <c r="I3336" i="2"/>
  <c r="I449" i="2"/>
  <c r="I3360" i="2"/>
  <c r="I3827" i="2"/>
  <c r="I3376" i="2"/>
  <c r="I1297" i="2"/>
  <c r="I3400" i="2"/>
  <c r="I3408" i="2"/>
  <c r="I3424" i="2"/>
  <c r="I2482" i="2"/>
  <c r="I3440" i="2"/>
  <c r="I3464" i="2"/>
  <c r="I3472" i="2"/>
  <c r="I3496" i="2"/>
  <c r="I3504" i="2"/>
  <c r="I3528" i="2"/>
  <c r="I3536" i="2"/>
  <c r="I4680" i="2"/>
  <c r="I3552" i="2"/>
  <c r="I3576" i="2"/>
  <c r="I3584" i="2"/>
  <c r="I3592" i="2"/>
  <c r="I3904" i="2"/>
  <c r="I3616" i="2"/>
  <c r="I3624" i="2"/>
  <c r="I1978" i="2"/>
  <c r="I3648" i="2"/>
  <c r="I4642" i="2"/>
  <c r="I3672" i="2"/>
  <c r="I5704" i="2"/>
  <c r="I1902" i="2"/>
  <c r="I3704" i="2"/>
  <c r="I3712" i="2"/>
  <c r="I3115" i="2"/>
  <c r="I3736" i="2"/>
  <c r="I1615" i="2"/>
  <c r="I5837" i="2"/>
  <c r="I3760" i="2"/>
  <c r="I3768" i="2"/>
  <c r="I3776" i="2"/>
  <c r="I3784" i="2"/>
  <c r="I3889" i="2"/>
  <c r="I3816" i="2"/>
  <c r="I236" i="2"/>
  <c r="I3840" i="2"/>
  <c r="I3848" i="2"/>
  <c r="I4858" i="2"/>
  <c r="I3872" i="2"/>
  <c r="I303" i="2"/>
  <c r="I336" i="2"/>
  <c r="I3912" i="2"/>
  <c r="I2490" i="2"/>
  <c r="I428" i="2"/>
  <c r="I3936" i="2"/>
  <c r="I3944" i="2"/>
  <c r="I3952" i="2"/>
  <c r="I412" i="2"/>
  <c r="I3976" i="2"/>
  <c r="I2847" i="2"/>
  <c r="I3992" i="2"/>
  <c r="I5238" i="2"/>
  <c r="I1067" i="2"/>
  <c r="I4024" i="2"/>
  <c r="I4032" i="2"/>
  <c r="I4040" i="2"/>
  <c r="I3116" i="2"/>
  <c r="I4072" i="2"/>
  <c r="I4080" i="2"/>
  <c r="I2081" i="2"/>
  <c r="I4104" i="2"/>
  <c r="I4112" i="2"/>
  <c r="I4128" i="2"/>
  <c r="I4136" i="2"/>
  <c r="I4144" i="2"/>
  <c r="I4160" i="2"/>
  <c r="I4168" i="2"/>
  <c r="I1071" i="2"/>
  <c r="I4192" i="2"/>
  <c r="I4063" i="2"/>
  <c r="I4824" i="2"/>
  <c r="I2294" i="2"/>
  <c r="I1375" i="2"/>
  <c r="I4240" i="2"/>
  <c r="I4256" i="2"/>
  <c r="I110" i="2"/>
  <c r="I4272" i="2"/>
  <c r="I4288" i="2"/>
  <c r="I527" i="2"/>
  <c r="I6046" i="2"/>
  <c r="I4320" i="2"/>
  <c r="I4328" i="2"/>
  <c r="I4336" i="2"/>
  <c r="I4498" i="2"/>
  <c r="I4360" i="2"/>
  <c r="I1980" i="2"/>
  <c r="I4384" i="2"/>
  <c r="I5242" i="2"/>
  <c r="I2987" i="2"/>
  <c r="I4416" i="2"/>
  <c r="I4424" i="2"/>
  <c r="I4432" i="2"/>
  <c r="I4448" i="2"/>
  <c r="I4456" i="2"/>
  <c r="I4464" i="2"/>
  <c r="I4480" i="2"/>
  <c r="I4488" i="2"/>
  <c r="I2964" i="2"/>
  <c r="I4512" i="2"/>
  <c r="I4520" i="2"/>
  <c r="I4528" i="2"/>
  <c r="I4544" i="2"/>
  <c r="I4552" i="2"/>
  <c r="I4560" i="2"/>
  <c r="I4576" i="2"/>
  <c r="I4584" i="2"/>
  <c r="I4592" i="2"/>
  <c r="I3153" i="2"/>
  <c r="I748" i="2"/>
  <c r="I4624" i="2"/>
  <c r="I5512" i="2"/>
  <c r="I4648" i="2"/>
  <c r="I4656" i="2"/>
  <c r="I4672" i="2"/>
  <c r="I792" i="2"/>
  <c r="I4688" i="2"/>
  <c r="I4704" i="2"/>
  <c r="I4712" i="2"/>
  <c r="I4720" i="2"/>
  <c r="I4736" i="2"/>
  <c r="I4744" i="2"/>
  <c r="I6068" i="2"/>
  <c r="I4768" i="2"/>
  <c r="I4776" i="2"/>
  <c r="I4784" i="2"/>
  <c r="I4800" i="2"/>
  <c r="I4808" i="2"/>
  <c r="I2362" i="2"/>
  <c r="I749" i="2"/>
  <c r="I4840" i="2"/>
  <c r="I4848" i="2"/>
  <c r="I4856" i="2"/>
  <c r="I4864" i="2"/>
  <c r="I3154" i="2"/>
  <c r="I4880" i="2"/>
  <c r="I4888" i="2"/>
  <c r="I4896" i="2"/>
  <c r="I4904" i="2"/>
  <c r="I4912" i="2"/>
  <c r="I4920" i="2"/>
  <c r="I4928" i="2"/>
  <c r="I4936" i="2"/>
  <c r="I1952" i="2"/>
  <c r="I3302" i="2"/>
  <c r="I4960" i="2"/>
  <c r="I4968" i="2"/>
  <c r="I4976" i="2"/>
  <c r="I4984" i="2"/>
  <c r="I4992" i="2"/>
  <c r="I5959" i="2"/>
  <c r="I6728" i="2"/>
  <c r="I6798" i="2"/>
  <c r="I6069" i="2"/>
  <c r="I6584" i="2"/>
  <c r="I1415" i="2"/>
  <c r="I5048" i="2"/>
  <c r="I5056" i="2"/>
  <c r="I5064" i="2"/>
  <c r="I3731" i="2"/>
  <c r="I5080" i="2"/>
  <c r="I5088" i="2"/>
  <c r="I5096" i="2"/>
  <c r="I5104" i="2"/>
  <c r="I5112" i="2"/>
  <c r="I5120" i="2"/>
  <c r="I5128" i="2"/>
  <c r="I5136" i="2"/>
  <c r="I4355" i="2"/>
  <c r="I135" i="2"/>
  <c r="I5160" i="2"/>
  <c r="I5168" i="2"/>
  <c r="I5176" i="2"/>
  <c r="I5184" i="2"/>
  <c r="I5192" i="2"/>
  <c r="I5200" i="2"/>
  <c r="I5208" i="2"/>
  <c r="I5216" i="2"/>
  <c r="I5224" i="2"/>
  <c r="I5232" i="2"/>
  <c r="I5240" i="2"/>
  <c r="I1657" i="2"/>
  <c r="I5256" i="2"/>
  <c r="I5264" i="2"/>
  <c r="I5272" i="2"/>
  <c r="I5280" i="2"/>
  <c r="I5288" i="2"/>
  <c r="I5296" i="2"/>
  <c r="I5304" i="2"/>
  <c r="I2689" i="2"/>
  <c r="I5320" i="2"/>
  <c r="I5328" i="2"/>
  <c r="I5336" i="2"/>
  <c r="I5344" i="2"/>
  <c r="I5352" i="2"/>
  <c r="I2136" i="2"/>
  <c r="I5368" i="2"/>
  <c r="I5376" i="2"/>
  <c r="I5384" i="2"/>
  <c r="I5392" i="2"/>
  <c r="I5400" i="2"/>
  <c r="I5408" i="2"/>
  <c r="I5416" i="2"/>
  <c r="I5424" i="2"/>
  <c r="I5432" i="2"/>
  <c r="I5440" i="2"/>
  <c r="I5448" i="2"/>
  <c r="I5456" i="2"/>
  <c r="I3878" i="2"/>
  <c r="I2676" i="2"/>
  <c r="I4513" i="2"/>
  <c r="I5488" i="2"/>
  <c r="I5496" i="2"/>
  <c r="I5504" i="2"/>
  <c r="I7122" i="2"/>
  <c r="I2998" i="2"/>
  <c r="I5528" i="2"/>
  <c r="I5536" i="2"/>
  <c r="I3368" i="2"/>
  <c r="I5552" i="2"/>
  <c r="I5560" i="2"/>
  <c r="I5568" i="2"/>
  <c r="I5576" i="2"/>
  <c r="I238" i="2"/>
  <c r="I5592" i="2"/>
  <c r="I5600" i="2"/>
  <c r="I5608" i="2"/>
  <c r="I5616" i="2"/>
  <c r="I5624" i="2"/>
  <c r="I5632" i="2"/>
  <c r="I5640" i="2"/>
  <c r="I5648" i="2"/>
  <c r="I5656" i="2"/>
  <c r="I5664" i="2"/>
  <c r="I582" i="2"/>
  <c r="I5680" i="2"/>
  <c r="I5688" i="2"/>
  <c r="I5696" i="2"/>
  <c r="I4178" i="2"/>
  <c r="I5900" i="2"/>
  <c r="I139" i="2"/>
  <c r="I5728" i="2"/>
  <c r="I5736" i="2"/>
  <c r="I5744" i="2"/>
  <c r="I2398" i="2"/>
  <c r="I5760" i="2"/>
  <c r="I5768" i="2"/>
  <c r="I2059" i="2"/>
  <c r="I2921" i="2"/>
  <c r="I5792" i="2"/>
  <c r="I2742" i="2"/>
  <c r="I4313" i="2"/>
  <c r="I5821" i="2"/>
  <c r="I1440" i="2"/>
  <c r="I2520" i="2"/>
  <c r="I1517" i="2"/>
  <c r="I5977" i="2"/>
  <c r="I5856" i="2"/>
  <c r="I5864" i="2"/>
  <c r="I5872" i="2"/>
  <c r="I5469" i="2"/>
  <c r="I5888" i="2"/>
  <c r="I5896" i="2"/>
  <c r="I5904" i="2"/>
  <c r="I5912" i="2"/>
  <c r="I5920" i="2"/>
  <c r="I143" i="2"/>
  <c r="I5936" i="2"/>
  <c r="I4051" i="2"/>
  <c r="I5952" i="2"/>
  <c r="I4071" i="2"/>
  <c r="I5603" i="2"/>
  <c r="I5976" i="2"/>
  <c r="I1394" i="2"/>
  <c r="I145" i="2"/>
  <c r="I6000" i="2"/>
  <c r="I6008" i="2"/>
  <c r="I6016" i="2"/>
  <c r="I6024" i="2"/>
  <c r="I6032" i="2"/>
  <c r="I6040" i="2"/>
  <c r="I166" i="2"/>
  <c r="I6056" i="2"/>
  <c r="I6064" i="2"/>
  <c r="I6421" i="2"/>
  <c r="I1437" i="2"/>
  <c r="I5526" i="2"/>
  <c r="I3016" i="2"/>
  <c r="I2734" i="2"/>
  <c r="I6112" i="2"/>
  <c r="I6120" i="2"/>
  <c r="I6128" i="2"/>
  <c r="I6136" i="2"/>
  <c r="I6144" i="2"/>
  <c r="I6152" i="2"/>
  <c r="I6773" i="2"/>
  <c r="I6168" i="2"/>
  <c r="I2005" i="2"/>
  <c r="I6184" i="2"/>
  <c r="I6689" i="2"/>
  <c r="I6200" i="2"/>
  <c r="I6208" i="2"/>
  <c r="I6216" i="2"/>
  <c r="I6224" i="2"/>
  <c r="I6232" i="2"/>
  <c r="I6240" i="2"/>
  <c r="I6248" i="2"/>
  <c r="I6256" i="2"/>
  <c r="I6264" i="2"/>
  <c r="I6272" i="2"/>
  <c r="I6280" i="2"/>
  <c r="I6288" i="2"/>
  <c r="I6296" i="2"/>
  <c r="I328" i="2"/>
  <c r="I6312" i="2"/>
  <c r="I6320" i="2"/>
  <c r="I6328" i="2"/>
  <c r="I179" i="2"/>
  <c r="I6344" i="2"/>
  <c r="I6352" i="2"/>
  <c r="I6360" i="2"/>
  <c r="I6368" i="2"/>
  <c r="I6376" i="2"/>
  <c r="I6384" i="2"/>
  <c r="I4838" i="2"/>
  <c r="I6400" i="2"/>
  <c r="I6408" i="2"/>
  <c r="I4494" i="2"/>
  <c r="I4667" i="2"/>
  <c r="I6432" i="2"/>
  <c r="I6913" i="2"/>
  <c r="I6448" i="2"/>
  <c r="I6456" i="2"/>
  <c r="I6464" i="2"/>
  <c r="I6472" i="2"/>
  <c r="I1224" i="2"/>
  <c r="I4817" i="2"/>
  <c r="I6496" i="2"/>
  <c r="I6504" i="2"/>
  <c r="I5788" i="2"/>
  <c r="I1408" i="2"/>
  <c r="I6094" i="2"/>
  <c r="I6536" i="2"/>
  <c r="I3720" i="2"/>
  <c r="I5846" i="2"/>
  <c r="I2138" i="2"/>
  <c r="I6568" i="2"/>
  <c r="I2277" i="2"/>
  <c r="I555" i="2"/>
  <c r="I430" i="2"/>
  <c r="I6600" i="2"/>
  <c r="I6608" i="2"/>
  <c r="I6616" i="2"/>
  <c r="I6624" i="2"/>
  <c r="I6632" i="2"/>
  <c r="I6640" i="2"/>
  <c r="I6648" i="2"/>
  <c r="I3296" i="2"/>
  <c r="I6664" i="2"/>
  <c r="I1967" i="2"/>
  <c r="I2424" i="2"/>
  <c r="I6688" i="2"/>
  <c r="I3660" i="2"/>
  <c r="I1726" i="2"/>
  <c r="I823" i="2"/>
  <c r="I1095" i="2"/>
  <c r="I7052" i="2"/>
  <c r="I6736" i="2"/>
  <c r="I6744" i="2"/>
  <c r="I6752" i="2"/>
  <c r="I6760" i="2"/>
  <c r="I3744" i="2"/>
  <c r="I6776" i="2"/>
  <c r="I5572" i="2"/>
  <c r="I6792" i="2"/>
  <c r="I6800" i="2"/>
  <c r="I6808" i="2"/>
  <c r="I6816" i="2"/>
  <c r="I6824" i="2"/>
  <c r="I5474" i="2"/>
  <c r="I6840" i="2"/>
  <c r="I4189" i="2"/>
  <c r="I6856" i="2"/>
  <c r="I3184" i="2"/>
  <c r="I6872" i="2"/>
  <c r="I6880" i="2"/>
  <c r="I5789" i="2"/>
  <c r="I4872" i="2"/>
  <c r="I6525" i="2"/>
  <c r="I2462" i="2"/>
  <c r="I6920" i="2"/>
  <c r="I2283" i="2"/>
  <c r="I6936" i="2"/>
  <c r="I6944" i="2"/>
  <c r="I6952" i="2"/>
  <c r="I6960" i="2"/>
  <c r="I6968" i="2"/>
  <c r="I6976" i="2"/>
  <c r="I6984" i="2"/>
  <c r="I6992" i="2"/>
  <c r="I7000" i="2"/>
  <c r="I7008" i="2"/>
  <c r="I7016" i="2"/>
  <c r="I7024" i="2"/>
  <c r="I2530" i="2"/>
  <c r="I6745" i="2"/>
  <c r="I6423" i="2"/>
  <c r="I7056" i="2"/>
  <c r="I371" i="2"/>
  <c r="I7072" i="2"/>
  <c r="I7080" i="2"/>
  <c r="I7088" i="2"/>
  <c r="I7096" i="2"/>
  <c r="I7104" i="2"/>
  <c r="I5275" i="2"/>
  <c r="I6941" i="2"/>
  <c r="I7128" i="2"/>
  <c r="I7136" i="2"/>
  <c r="I7144" i="2"/>
  <c r="I6082" i="2"/>
  <c r="I7160" i="2"/>
  <c r="I7168" i="2"/>
  <c r="I7176" i="2"/>
  <c r="I7184" i="2"/>
  <c r="I7192" i="2"/>
  <c r="I7200" i="2"/>
  <c r="I7208" i="2"/>
  <c r="I7216" i="2"/>
  <c r="I7224" i="2"/>
  <c r="I7232" i="2"/>
  <c r="I7240" i="2"/>
  <c r="I7248" i="2"/>
  <c r="I7256" i="2"/>
  <c r="I7264" i="2"/>
  <c r="I7272" i="2"/>
  <c r="I7280" i="2"/>
  <c r="I7288" i="2"/>
  <c r="I7225" i="2"/>
  <c r="I7257" i="2"/>
  <c r="I7273" i="2"/>
  <c r="I6723" i="2"/>
  <c r="I2739" i="2"/>
  <c r="I5626" i="2"/>
  <c r="I6863" i="2"/>
  <c r="I391" i="2"/>
  <c r="I6927" i="2"/>
  <c r="I6963" i="2"/>
  <c r="I5612" i="2"/>
  <c r="I5996" i="2"/>
  <c r="I7059" i="2"/>
  <c r="I7095" i="2"/>
  <c r="I7155" i="2"/>
  <c r="I7187" i="2"/>
  <c r="I7259" i="2"/>
  <c r="I7303" i="2"/>
  <c r="I7311" i="2"/>
  <c r="I7319" i="2"/>
  <c r="I7327" i="2"/>
  <c r="I7335" i="2"/>
  <c r="I7343" i="2"/>
  <c r="I7351" i="2"/>
  <c r="I7359" i="2"/>
  <c r="I7367" i="2"/>
  <c r="I7383" i="2"/>
  <c r="I7391" i="2"/>
  <c r="I7399" i="2"/>
  <c r="I7407" i="2"/>
  <c r="I7415" i="2"/>
  <c r="I7423" i="2"/>
  <c r="I7439" i="2"/>
  <c r="I7447" i="2"/>
  <c r="I7455" i="2"/>
  <c r="I7463" i="2"/>
  <c r="I7471" i="2"/>
  <c r="I7479" i="2"/>
  <c r="I7487" i="2"/>
  <c r="I7495" i="2"/>
  <c r="I7503" i="2"/>
  <c r="I7511" i="2"/>
  <c r="I7535" i="2"/>
  <c r="I7551" i="2"/>
  <c r="I7559" i="2"/>
  <c r="I7575" i="2"/>
  <c r="I7591" i="2"/>
  <c r="I7599" i="2"/>
  <c r="I7607" i="2"/>
  <c r="I7615" i="2"/>
  <c r="I7623" i="2"/>
  <c r="I7631" i="2"/>
  <c r="I7647" i="2"/>
  <c r="I7663" i="2"/>
  <c r="I7679" i="2"/>
  <c r="I7695" i="2"/>
  <c r="I7703" i="2"/>
  <c r="I7719" i="2"/>
  <c r="I7727" i="2"/>
  <c r="I7735" i="2"/>
  <c r="I7751" i="2"/>
  <c r="I7767" i="2"/>
  <c r="I7783" i="2"/>
  <c r="I7799" i="2"/>
  <c r="I7847" i="2"/>
  <c r="I7855" i="2"/>
  <c r="I7863" i="2"/>
  <c r="I7871" i="2"/>
  <c r="I7879" i="2"/>
  <c r="I7887" i="2"/>
  <c r="I7895" i="2"/>
  <c r="I7903" i="2"/>
  <c r="I7927" i="2"/>
  <c r="I7935" i="2"/>
  <c r="I7943" i="2"/>
  <c r="I7967" i="2"/>
  <c r="I7975" i="2"/>
  <c r="I7983" i="2"/>
  <c r="I7991" i="2"/>
  <c r="I7999" i="2"/>
  <c r="I8007" i="2"/>
  <c r="I8015" i="2"/>
  <c r="I8023" i="2"/>
  <c r="I8031" i="2"/>
  <c r="I8039" i="2"/>
  <c r="I8047" i="2"/>
  <c r="I8055" i="2"/>
  <c r="I8063" i="2"/>
  <c r="I8071" i="2"/>
  <c r="I8079" i="2"/>
  <c r="I8087" i="2"/>
  <c r="I8095" i="2"/>
  <c r="I8103" i="2"/>
  <c r="I8111" i="2"/>
  <c r="I8119" i="2"/>
  <c r="I8127" i="2"/>
  <c r="I8135" i="2"/>
  <c r="I8143" i="2"/>
  <c r="I65" i="2"/>
  <c r="I73" i="2"/>
  <c r="I4075" i="2"/>
  <c r="I89" i="2"/>
  <c r="I97" i="2"/>
  <c r="I105" i="2"/>
  <c r="I113" i="2"/>
  <c r="I121" i="2"/>
  <c r="I129" i="2"/>
  <c r="I6390" i="2"/>
  <c r="I5573" i="2"/>
  <c r="I153" i="2"/>
  <c r="I161" i="2"/>
  <c r="I169" i="2"/>
  <c r="I2048" i="2"/>
  <c r="I185" i="2"/>
  <c r="I193" i="2"/>
  <c r="I201" i="2"/>
  <c r="I2180" i="2"/>
  <c r="I5138" i="2"/>
  <c r="I2203" i="2"/>
  <c r="I3718" i="2"/>
  <c r="I3422" i="2"/>
  <c r="I249" i="2"/>
  <c r="I257" i="2"/>
  <c r="I1017" i="2"/>
  <c r="I273" i="2"/>
  <c r="I281" i="2"/>
  <c r="I289" i="2"/>
  <c r="I297" i="2"/>
  <c r="I3023" i="2"/>
  <c r="I4941" i="2"/>
  <c r="I321" i="2"/>
  <c r="I5610" i="2"/>
  <c r="I337" i="2"/>
  <c r="I345" i="2"/>
  <c r="I353" i="2"/>
  <c r="I6813" i="2"/>
  <c r="I369" i="2"/>
  <c r="I377" i="2"/>
  <c r="I10" i="2"/>
  <c r="I3880" i="2"/>
  <c r="I409" i="2"/>
  <c r="I417" i="2"/>
  <c r="I425" i="2"/>
  <c r="I6680" i="2"/>
  <c r="I441" i="2"/>
  <c r="I4208" i="2"/>
  <c r="I457" i="2"/>
  <c r="I465" i="2"/>
  <c r="I473" i="2"/>
  <c r="I481" i="2"/>
  <c r="I5775" i="2"/>
  <c r="I497" i="2"/>
  <c r="I505" i="2"/>
  <c r="I513" i="2"/>
  <c r="I521" i="2"/>
  <c r="I529" i="2"/>
  <c r="I537" i="2"/>
  <c r="I545" i="2"/>
  <c r="I6512" i="2"/>
  <c r="I561" i="2"/>
  <c r="I569" i="2"/>
  <c r="I577" i="2"/>
  <c r="I585" i="2"/>
  <c r="I593" i="2"/>
  <c r="I601" i="2"/>
  <c r="I609" i="2"/>
  <c r="I617" i="2"/>
  <c r="I625" i="2"/>
  <c r="I5611" i="2"/>
  <c r="I641" i="2"/>
  <c r="I649" i="2"/>
  <c r="I657" i="2"/>
  <c r="I665" i="2"/>
  <c r="I6896" i="2"/>
  <c r="I681" i="2"/>
  <c r="I689" i="2"/>
  <c r="I697" i="2"/>
  <c r="I3922" i="2"/>
  <c r="I713" i="2"/>
  <c r="I721" i="2"/>
  <c r="I737" i="2"/>
  <c r="I745" i="2"/>
  <c r="I753" i="2"/>
  <c r="I5840" i="2"/>
  <c r="I3454" i="2"/>
  <c r="I777" i="2"/>
  <c r="I785" i="2"/>
  <c r="I817" i="2"/>
  <c r="I825" i="2"/>
  <c r="I833" i="2"/>
  <c r="I841" i="2"/>
  <c r="I849" i="2"/>
  <c r="I2765" i="2"/>
  <c r="I865" i="2"/>
  <c r="I873" i="2"/>
  <c r="I881" i="2"/>
  <c r="I889" i="2"/>
  <c r="I897" i="2"/>
  <c r="I905" i="2"/>
  <c r="I913" i="2"/>
  <c r="I921" i="2"/>
  <c r="I929" i="2"/>
  <c r="I5709" i="2"/>
  <c r="I945" i="2"/>
  <c r="I953" i="2"/>
  <c r="I961" i="2"/>
  <c r="I969" i="2"/>
  <c r="I977" i="2"/>
  <c r="I1039" i="2"/>
  <c r="I993" i="2"/>
  <c r="I1001" i="2"/>
  <c r="I1009" i="2"/>
  <c r="I6074" i="2"/>
  <c r="I1025" i="2"/>
  <c r="I1033" i="2"/>
  <c r="I1041" i="2"/>
  <c r="I3112" i="2"/>
  <c r="I6709" i="2"/>
  <c r="I2053" i="2"/>
  <c r="I1081" i="2"/>
  <c r="I1089" i="2"/>
  <c r="I5637" i="2"/>
  <c r="I1105" i="2"/>
  <c r="I4846" i="2"/>
  <c r="I1121" i="2"/>
  <c r="I1129" i="2"/>
  <c r="I1137" i="2"/>
  <c r="I1145" i="2"/>
  <c r="I1153" i="2"/>
  <c r="I5360" i="2"/>
  <c r="I1169" i="2"/>
  <c r="I4362" i="2"/>
  <c r="I5299" i="2"/>
  <c r="I7055" i="2"/>
  <c r="I1201" i="2"/>
  <c r="I1209" i="2"/>
  <c r="I1217" i="2"/>
  <c r="I1418" i="2"/>
  <c r="I227" i="2"/>
  <c r="I1241" i="2"/>
  <c r="I1257" i="2"/>
  <c r="I381" i="2"/>
  <c r="I1273" i="2"/>
  <c r="I1281" i="2"/>
  <c r="I5514" i="2"/>
  <c r="I1305" i="2"/>
  <c r="I1018" i="2"/>
  <c r="I1329" i="2"/>
  <c r="I1337" i="2"/>
  <c r="I3923" i="2"/>
  <c r="I1353" i="2"/>
  <c r="I1361" i="2"/>
  <c r="I1369" i="2"/>
  <c r="I1530" i="2"/>
  <c r="I1385" i="2"/>
  <c r="I5118" i="2"/>
  <c r="I1409" i="2"/>
  <c r="I6938" i="2"/>
  <c r="I5638" i="2"/>
  <c r="I1433" i="2"/>
  <c r="I1441" i="2"/>
  <c r="I6530" i="2"/>
  <c r="I1457" i="2"/>
  <c r="I1465" i="2"/>
  <c r="I1481" i="2"/>
  <c r="I1489" i="2"/>
  <c r="I1497" i="2"/>
  <c r="I1513" i="2"/>
  <c r="I4055" i="2"/>
  <c r="I1342" i="2"/>
  <c r="I4747" i="2"/>
  <c r="I1553" i="2"/>
  <c r="I1569" i="2"/>
  <c r="I4486" i="2"/>
  <c r="I3998" i="2"/>
  <c r="I1593" i="2"/>
  <c r="I1601" i="2"/>
  <c r="I4569" i="2"/>
  <c r="I1617" i="2"/>
  <c r="I1625" i="2"/>
  <c r="I1633" i="2"/>
  <c r="I1641" i="2"/>
  <c r="I1649" i="2"/>
  <c r="I5832" i="2"/>
  <c r="I6886" i="2"/>
  <c r="I1673" i="2"/>
  <c r="I1681" i="2"/>
  <c r="I1689" i="2"/>
  <c r="I1697" i="2"/>
  <c r="I1705" i="2"/>
  <c r="I1713" i="2"/>
  <c r="I1721" i="2"/>
  <c r="I1729" i="2"/>
  <c r="I1737" i="2"/>
  <c r="I1745" i="2"/>
  <c r="I1753" i="2"/>
  <c r="I1761" i="2"/>
  <c r="I1769" i="2"/>
  <c r="I1777" i="2"/>
  <c r="I1785" i="2"/>
  <c r="I4568" i="2"/>
  <c r="I1801" i="2"/>
  <c r="I1809" i="2"/>
  <c r="I1817" i="2"/>
  <c r="I1825" i="2"/>
  <c r="I4497" i="2"/>
  <c r="I1841" i="2"/>
  <c r="I6787" i="2"/>
  <c r="I1857" i="2"/>
  <c r="I1865" i="2"/>
  <c r="I1873" i="2"/>
  <c r="I1889" i="2"/>
  <c r="I1905" i="2"/>
  <c r="I1921" i="2"/>
  <c r="I1937" i="2"/>
  <c r="I4946" i="2"/>
  <c r="I1969" i="2"/>
  <c r="I1985" i="2"/>
  <c r="I2001" i="2"/>
  <c r="I2017" i="2"/>
  <c r="I2025" i="2"/>
  <c r="I2041" i="2"/>
  <c r="I2057" i="2"/>
  <c r="I2065" i="2"/>
  <c r="I2073" i="2"/>
  <c r="I6424" i="2"/>
  <c r="I2089" i="2"/>
  <c r="I1926" i="2"/>
  <c r="I3679" i="2"/>
  <c r="I2113" i="2"/>
  <c r="I2121" i="2"/>
  <c r="I2129" i="2"/>
  <c r="I2137" i="2"/>
  <c r="I5143" i="2"/>
  <c r="I2153" i="2"/>
  <c r="I2708" i="2"/>
  <c r="I2169" i="2"/>
  <c r="I2177" i="2"/>
  <c r="I2185" i="2"/>
  <c r="I2193" i="2"/>
  <c r="I2201" i="2"/>
  <c r="I2209" i="2"/>
  <c r="I2821" i="2"/>
  <c r="I2225" i="2"/>
  <c r="I2233" i="2"/>
  <c r="I2241" i="2"/>
  <c r="I6909" i="2"/>
  <c r="I2257" i="2"/>
  <c r="I2265" i="2"/>
  <c r="I2273" i="2"/>
  <c r="I2281" i="2"/>
  <c r="I2289" i="2"/>
  <c r="I3166" i="2"/>
  <c r="I2305" i="2"/>
  <c r="I2313" i="2"/>
  <c r="I2321" i="2"/>
  <c r="I2329" i="2"/>
  <c r="I2337" i="2"/>
  <c r="I5303" i="2"/>
  <c r="I2353" i="2"/>
  <c r="I2361" i="2"/>
  <c r="I2369" i="2"/>
  <c r="I6289" i="2"/>
  <c r="I2385" i="2"/>
  <c r="I2393" i="2"/>
  <c r="I4003" i="2"/>
  <c r="I2409" i="2"/>
  <c r="I5706" i="2"/>
  <c r="I2425" i="2"/>
  <c r="I2433" i="2"/>
  <c r="I2441" i="2"/>
  <c r="I2449" i="2"/>
  <c r="I2457" i="2"/>
  <c r="I2465" i="2"/>
  <c r="I6939" i="2"/>
  <c r="I2481" i="2"/>
  <c r="I2489" i="2"/>
  <c r="I2497" i="2"/>
  <c r="I2505" i="2"/>
  <c r="I2513" i="2"/>
  <c r="I2521" i="2"/>
  <c r="I2529" i="2"/>
  <c r="I1362" i="2"/>
  <c r="I2545" i="2"/>
  <c r="I2553" i="2"/>
  <c r="I2561" i="2"/>
  <c r="I2569" i="2"/>
  <c r="I5935" i="2"/>
  <c r="I2585" i="2"/>
  <c r="I2593" i="2"/>
  <c r="I2601" i="2"/>
  <c r="I2609" i="2"/>
  <c r="I2617" i="2"/>
  <c r="I2625" i="2"/>
  <c r="I2633" i="2"/>
  <c r="I2641" i="2"/>
  <c r="I2649" i="2"/>
  <c r="I2657" i="2"/>
  <c r="I2665" i="2"/>
  <c r="I2673" i="2"/>
  <c r="I2681" i="2"/>
  <c r="I4882" i="2"/>
  <c r="I5010" i="2"/>
  <c r="I2705" i="2"/>
  <c r="I6513" i="2"/>
  <c r="I6552" i="2"/>
  <c r="I2793" i="2"/>
  <c r="I6582" i="2"/>
  <c r="I2809" i="2"/>
  <c r="I2817" i="2"/>
  <c r="I2231" i="2"/>
  <c r="I2833" i="2"/>
  <c r="I2841" i="2"/>
  <c r="I5517" i="2"/>
  <c r="I2857" i="2"/>
  <c r="I2865" i="2"/>
  <c r="I2873" i="2"/>
  <c r="I2881" i="2"/>
  <c r="I2889" i="2"/>
  <c r="I2897" i="2"/>
  <c r="I2905" i="2"/>
  <c r="I2913" i="2"/>
  <c r="I5969" i="2"/>
  <c r="I2929" i="2"/>
  <c r="I6576" i="2"/>
  <c r="I2945" i="2"/>
  <c r="I2953" i="2"/>
  <c r="I2961" i="2"/>
  <c r="I2969" i="2"/>
  <c r="I217" i="2"/>
  <c r="I2985" i="2"/>
  <c r="I2993" i="2"/>
  <c r="I1056" i="2"/>
  <c r="I3009" i="2"/>
  <c r="I3268" i="2"/>
  <c r="I3025" i="2"/>
  <c r="I507" i="2"/>
  <c r="I81" i="2"/>
  <c r="I3049" i="2"/>
  <c r="I3057" i="2"/>
  <c r="I3065" i="2"/>
  <c r="I3073" i="2"/>
  <c r="I3081" i="2"/>
  <c r="I3089" i="2"/>
  <c r="I3097" i="2"/>
  <c r="I3105" i="2"/>
  <c r="I396" i="2"/>
  <c r="I3121" i="2"/>
  <c r="I3129" i="2"/>
  <c r="I3137" i="2"/>
  <c r="I3145" i="2"/>
  <c r="I3895" i="2"/>
  <c r="I3161" i="2"/>
  <c r="I3169" i="2"/>
  <c r="I3177" i="2"/>
  <c r="I6755" i="2"/>
  <c r="I3193" i="2"/>
  <c r="I3201" i="2"/>
  <c r="I3209" i="2"/>
  <c r="I3217" i="2"/>
  <c r="I3225" i="2"/>
  <c r="I3233" i="2"/>
  <c r="I6522" i="2"/>
  <c r="I3249" i="2"/>
  <c r="I2382" i="2"/>
  <c r="I4217" i="2"/>
  <c r="I3273" i="2"/>
  <c r="I3281" i="2"/>
  <c r="I5807" i="2"/>
  <c r="I6845" i="2"/>
  <c r="I3305" i="2"/>
  <c r="I3313" i="2"/>
  <c r="I3321" i="2"/>
  <c r="I3285" i="2"/>
  <c r="I3337" i="2"/>
  <c r="I3345" i="2"/>
  <c r="I3353" i="2"/>
  <c r="I3361" i="2"/>
  <c r="I3369" i="2"/>
  <c r="I3377" i="2"/>
  <c r="I3385" i="2"/>
  <c r="I3393" i="2"/>
  <c r="I3401" i="2"/>
  <c r="I3409" i="2"/>
  <c r="I3417" i="2"/>
  <c r="I3425" i="2"/>
  <c r="I3433" i="2"/>
  <c r="I3441" i="2"/>
  <c r="I1058" i="2"/>
  <c r="I3457" i="2"/>
  <c r="I3465" i="2"/>
  <c r="I3473" i="2"/>
  <c r="I3481" i="2"/>
  <c r="I3489" i="2"/>
  <c r="I3497" i="2"/>
  <c r="I3505" i="2"/>
  <c r="I3513" i="2"/>
  <c r="I3529" i="2"/>
  <c r="I3537" i="2"/>
  <c r="I3545" i="2"/>
  <c r="I3553" i="2"/>
  <c r="I3577" i="2"/>
  <c r="I3585" i="2"/>
  <c r="I3593" i="2"/>
  <c r="I3601" i="2"/>
  <c r="I5218" i="2"/>
  <c r="I3617" i="2"/>
  <c r="I1539" i="2"/>
  <c r="I3633" i="2"/>
  <c r="I2160" i="2"/>
  <c r="I3649" i="2"/>
  <c r="I3657" i="2"/>
  <c r="I5593" i="2"/>
  <c r="I91" i="2"/>
  <c r="I6459" i="2"/>
  <c r="I3689" i="2"/>
  <c r="I3343" i="2"/>
  <c r="I3921" i="2"/>
  <c r="I3713" i="2"/>
  <c r="I4832" i="2"/>
  <c r="I3729" i="2"/>
  <c r="I1288" i="2"/>
  <c r="I3607" i="2"/>
  <c r="I3753" i="2"/>
  <c r="I3761" i="2"/>
  <c r="I3769" i="2"/>
  <c r="I3777" i="2"/>
  <c r="I3785" i="2"/>
  <c r="I2874" i="2"/>
  <c r="I3801" i="2"/>
  <c r="I3809" i="2"/>
  <c r="I4224" i="2"/>
  <c r="I3825" i="2"/>
  <c r="I3833" i="2"/>
  <c r="I3841" i="2"/>
  <c r="I3849" i="2"/>
  <c r="I1473" i="2"/>
  <c r="I3865" i="2"/>
  <c r="I3873" i="2"/>
  <c r="I305" i="2"/>
  <c r="I4641" i="2"/>
  <c r="I3897" i="2"/>
  <c r="I1050" i="2"/>
  <c r="I3913" i="2"/>
  <c r="I3755" i="2"/>
  <c r="I4610" i="2"/>
  <c r="I5824" i="2"/>
  <c r="I3945" i="2"/>
  <c r="I3953" i="2"/>
  <c r="I3961" i="2"/>
  <c r="I3969" i="2"/>
  <c r="I3977" i="2"/>
  <c r="I3985" i="2"/>
  <c r="I3993" i="2"/>
  <c r="I4001" i="2"/>
  <c r="I4009" i="2"/>
  <c r="I4017" i="2"/>
  <c r="I4025" i="2"/>
  <c r="I4033" i="2"/>
  <c r="I4041" i="2"/>
  <c r="I2107" i="2"/>
  <c r="I4057" i="2"/>
  <c r="I4065" i="2"/>
  <c r="I4606" i="2"/>
  <c r="I4081" i="2"/>
  <c r="I94" i="2"/>
  <c r="I4097" i="2"/>
  <c r="I4105" i="2"/>
  <c r="I4113" i="2"/>
  <c r="I4121" i="2"/>
  <c r="I4129" i="2"/>
  <c r="I4137" i="2"/>
  <c r="I4145" i="2"/>
  <c r="I4153" i="2"/>
  <c r="I4161" i="2"/>
  <c r="I4021" i="2"/>
  <c r="I5705" i="2"/>
  <c r="I4185" i="2"/>
  <c r="I2060" i="2"/>
  <c r="I4201" i="2"/>
  <c r="I4209" i="2"/>
  <c r="I2401" i="2"/>
  <c r="I4225" i="2"/>
  <c r="I4233" i="2"/>
  <c r="I4241" i="2"/>
  <c r="I4249" i="2"/>
  <c r="I6425" i="2"/>
  <c r="I4265" i="2"/>
  <c r="I4273" i="2"/>
  <c r="I579" i="2"/>
  <c r="I4289" i="2"/>
  <c r="I4297" i="2"/>
  <c r="I4305" i="2"/>
  <c r="I3611" i="2"/>
  <c r="I4321" i="2"/>
  <c r="I4329" i="2"/>
  <c r="I4337" i="2"/>
  <c r="I4345" i="2"/>
  <c r="I4353" i="2"/>
  <c r="I3119" i="2"/>
  <c r="I4369" i="2"/>
  <c r="I4377" i="2"/>
  <c r="I4385" i="2"/>
  <c r="I6105" i="2"/>
  <c r="I4401" i="2"/>
  <c r="I4409" i="2"/>
  <c r="I4417" i="2"/>
  <c r="I4425" i="2"/>
  <c r="I4433" i="2"/>
  <c r="I4441" i="2"/>
  <c r="I4449" i="2"/>
  <c r="I4457" i="2"/>
  <c r="I4465" i="2"/>
  <c r="I4473" i="2"/>
  <c r="I4481" i="2"/>
  <c r="I4393" i="2"/>
  <c r="I2825" i="2"/>
  <c r="I4505" i="2"/>
  <c r="I5243" i="2"/>
  <c r="I4521" i="2"/>
  <c r="I4529" i="2"/>
  <c r="I4537" i="2"/>
  <c r="I4545" i="2"/>
  <c r="I4553" i="2"/>
  <c r="I4561" i="2"/>
  <c r="I437" i="2"/>
  <c r="I2769" i="2"/>
  <c r="I4585" i="2"/>
  <c r="I4458" i="2"/>
  <c r="I4601" i="2"/>
  <c r="I4609" i="2"/>
  <c r="I4617" i="2"/>
  <c r="I4625" i="2"/>
  <c r="I4633" i="2"/>
  <c r="I4375" i="2"/>
  <c r="I4649" i="2"/>
  <c r="I1084" i="2"/>
  <c r="I3140" i="2"/>
  <c r="I4673" i="2"/>
  <c r="I5519" i="2"/>
  <c r="I4689" i="2"/>
  <c r="I4697" i="2"/>
  <c r="I4705" i="2"/>
  <c r="I4713" i="2"/>
  <c r="I4721" i="2"/>
  <c r="I4729" i="2"/>
  <c r="I4737" i="2"/>
  <c r="I4745" i="2"/>
  <c r="I4753" i="2"/>
  <c r="I4761" i="2"/>
  <c r="I4652" i="2"/>
  <c r="I4777" i="2"/>
  <c r="I4785" i="2"/>
  <c r="I2421" i="2"/>
  <c r="I4801" i="2"/>
  <c r="I4809" i="2"/>
  <c r="I3358" i="2"/>
  <c r="I4825" i="2"/>
  <c r="I4833" i="2"/>
  <c r="I4073" i="2"/>
  <c r="I4849" i="2"/>
  <c r="I5144" i="2"/>
  <c r="I4987" i="2"/>
  <c r="I4873" i="2"/>
  <c r="I4881" i="2"/>
  <c r="I4889" i="2"/>
  <c r="I4897" i="2"/>
  <c r="I4905" i="2"/>
  <c r="I4913" i="2"/>
  <c r="I4921" i="2"/>
  <c r="I2901" i="2"/>
  <c r="I4937" i="2"/>
  <c r="I4945" i="2"/>
  <c r="I4953" i="2"/>
  <c r="I4961" i="2"/>
  <c r="I4969" i="2"/>
  <c r="I133" i="2"/>
  <c r="I4985" i="2"/>
  <c r="I4993" i="2"/>
  <c r="I6386" i="2"/>
  <c r="I1060" i="2"/>
  <c r="I2770" i="2"/>
  <c r="I5025" i="2"/>
  <c r="I5522" i="2"/>
  <c r="I5041" i="2"/>
  <c r="I6669" i="2"/>
  <c r="I5057" i="2"/>
  <c r="I5065" i="2"/>
  <c r="I5073" i="2"/>
  <c r="I5081" i="2"/>
  <c r="I5089" i="2"/>
  <c r="I2517" i="2"/>
  <c r="I5105" i="2"/>
  <c r="I5113" i="2"/>
  <c r="I5121" i="2"/>
  <c r="I5129" i="2"/>
  <c r="I6162" i="2"/>
  <c r="I5145" i="2"/>
  <c r="I5153" i="2"/>
  <c r="I3981" i="2"/>
  <c r="I5169" i="2"/>
  <c r="I5177" i="2"/>
  <c r="I5185" i="2"/>
  <c r="I5193" i="2"/>
  <c r="I5201" i="2"/>
  <c r="I5209" i="2"/>
  <c r="I5217" i="2"/>
  <c r="I5225" i="2"/>
  <c r="I553" i="2"/>
  <c r="I5241" i="2"/>
  <c r="I5249" i="2"/>
  <c r="I795" i="2"/>
  <c r="I5265" i="2"/>
  <c r="I5273" i="2"/>
  <c r="I5281" i="2"/>
  <c r="I5289" i="2"/>
  <c r="I5297" i="2"/>
  <c r="I5305" i="2"/>
  <c r="I3362" i="2"/>
  <c r="I5321" i="2"/>
  <c r="I5329" i="2"/>
  <c r="I137" i="2"/>
  <c r="I5345" i="2"/>
  <c r="I5353" i="2"/>
  <c r="I5361" i="2"/>
  <c r="I5369" i="2"/>
  <c r="I5377" i="2"/>
  <c r="I5385" i="2"/>
  <c r="I5393" i="2"/>
  <c r="I5401" i="2"/>
  <c r="I5409" i="2"/>
  <c r="I5417" i="2"/>
  <c r="I5425" i="2"/>
  <c r="I5433" i="2"/>
  <c r="I3114" i="2"/>
  <c r="I5449" i="2"/>
  <c r="I5457" i="2"/>
  <c r="I5465" i="2"/>
  <c r="I6106" i="2"/>
  <c r="I6182" i="2"/>
  <c r="I5489" i="2"/>
  <c r="I6605" i="2"/>
  <c r="I5505" i="2"/>
  <c r="I5547" i="2"/>
  <c r="I6696" i="2"/>
  <c r="I5529" i="2"/>
  <c r="I5537" i="2"/>
  <c r="I6516" i="2"/>
  <c r="I5553" i="2"/>
  <c r="I5561" i="2"/>
  <c r="I6899" i="2"/>
  <c r="I5577" i="2"/>
  <c r="I3697" i="2"/>
  <c r="I6165" i="2"/>
  <c r="I5601" i="2"/>
  <c r="I5609" i="2"/>
  <c r="I5617" i="2"/>
  <c r="I6440" i="2"/>
  <c r="I5633" i="2"/>
  <c r="I5641" i="2"/>
  <c r="I2771" i="2"/>
  <c r="I5657" i="2"/>
  <c r="I5665" i="2"/>
  <c r="I5673" i="2"/>
  <c r="I5681" i="2"/>
  <c r="I5689" i="2"/>
  <c r="I5697" i="2"/>
  <c r="I4179" i="2"/>
  <c r="I5713" i="2"/>
  <c r="I3262" i="2"/>
  <c r="I2174" i="2"/>
  <c r="I5737" i="2"/>
  <c r="I5745" i="2"/>
  <c r="I5753" i="2"/>
  <c r="I5761" i="2"/>
  <c r="I5769" i="2"/>
  <c r="I5777" i="2"/>
  <c r="I4951" i="2"/>
  <c r="I407" i="2"/>
  <c r="I5801" i="2"/>
  <c r="I5809" i="2"/>
  <c r="I5817" i="2"/>
  <c r="I5825" i="2"/>
  <c r="I5833" i="2"/>
  <c r="I2125" i="2"/>
  <c r="I5849" i="2"/>
  <c r="I5857" i="2"/>
  <c r="I5905" i="2"/>
  <c r="I5913" i="2"/>
  <c r="I5921" i="2"/>
  <c r="I653" i="2"/>
  <c r="I404" i="2"/>
  <c r="I5945" i="2"/>
  <c r="I5953" i="2"/>
  <c r="I5961" i="2"/>
  <c r="I5930" i="2"/>
  <c r="I2097" i="2"/>
  <c r="I4814" i="2"/>
  <c r="I5993" i="2"/>
  <c r="I4977" i="2"/>
  <c r="I6009" i="2"/>
  <c r="I6017" i="2"/>
  <c r="I6025" i="2"/>
  <c r="I6033" i="2"/>
  <c r="I5261" i="2"/>
  <c r="I6049" i="2"/>
  <c r="I6057" i="2"/>
  <c r="I6065" i="2"/>
  <c r="I6073" i="2"/>
  <c r="I4822" i="2"/>
  <c r="I6089" i="2"/>
  <c r="I2620" i="2"/>
  <c r="I2735" i="2"/>
  <c r="I6113" i="2"/>
  <c r="I6121" i="2"/>
  <c r="I6153" i="2"/>
  <c r="I6161" i="2"/>
  <c r="I6169" i="2"/>
  <c r="I1213" i="2"/>
  <c r="I6225" i="2"/>
  <c r="I6257" i="2"/>
  <c r="I6321" i="2"/>
  <c r="I6329" i="2"/>
  <c r="I6345" i="2"/>
  <c r="I6409" i="2"/>
  <c r="I6449" i="2"/>
  <c r="I6457" i="2"/>
  <c r="I6465" i="2"/>
  <c r="I6473" i="2"/>
  <c r="I6756" i="2"/>
  <c r="I4587" i="2"/>
  <c r="I6529" i="2"/>
  <c r="I5752" i="2"/>
  <c r="I3721" i="2"/>
  <c r="I1849" i="2"/>
  <c r="I3250" i="2"/>
  <c r="I4631" i="2"/>
  <c r="I2279" i="2"/>
  <c r="I6585" i="2"/>
  <c r="I6593" i="2"/>
  <c r="I1725" i="2"/>
  <c r="I6617" i="2"/>
  <c r="I6625" i="2"/>
  <c r="I6633" i="2"/>
  <c r="I6641" i="2"/>
  <c r="I6649" i="2"/>
  <c r="I6657" i="2"/>
  <c r="I6665" i="2"/>
  <c r="I6673" i="2"/>
  <c r="I6681" i="2"/>
  <c r="I6930" i="2"/>
  <c r="I6697" i="2"/>
  <c r="I6551" i="2"/>
  <c r="I6713" i="2"/>
  <c r="I190" i="2"/>
  <c r="I6729" i="2"/>
  <c r="I6737" i="2"/>
  <c r="I5756" i="2"/>
  <c r="I6753" i="2"/>
  <c r="I6761" i="2"/>
  <c r="I235" i="2"/>
  <c r="I6777" i="2"/>
  <c r="I6785" i="2"/>
  <c r="I6801" i="2"/>
  <c r="I5479" i="2"/>
  <c r="I6841" i="2"/>
  <c r="I6849" i="2"/>
  <c r="I6904" i="2"/>
  <c r="I4660" i="2"/>
  <c r="I3851" i="2"/>
  <c r="I6881" i="2"/>
  <c r="I6897" i="2"/>
  <c r="I2528" i="2"/>
  <c r="I695" i="2"/>
  <c r="I6921" i="2"/>
  <c r="I4361" i="2"/>
  <c r="I3656" i="2"/>
  <c r="I6945" i="2"/>
  <c r="I6953" i="2"/>
  <c r="I6961" i="2"/>
  <c r="I6969" i="2"/>
  <c r="I6977" i="2"/>
  <c r="I6985" i="2"/>
  <c r="I6993" i="2"/>
  <c r="I4076" i="2"/>
  <c r="I7009" i="2"/>
  <c r="I1833" i="2"/>
  <c r="I7025" i="2"/>
  <c r="I7033" i="2"/>
  <c r="I7041" i="2"/>
  <c r="I7049" i="2"/>
  <c r="I2543" i="2"/>
  <c r="I3793" i="2"/>
  <c r="I7113" i="2"/>
  <c r="I7125" i="2"/>
  <c r="I7137" i="2"/>
  <c r="I5001" i="2"/>
  <c r="I7169" i="2"/>
  <c r="I7185" i="2"/>
  <c r="I6336" i="2"/>
  <c r="I7217" i="2"/>
  <c r="I7237" i="2"/>
  <c r="I7253" i="2"/>
  <c r="I613" i="2"/>
  <c r="I6735" i="2"/>
  <c r="I6767" i="2"/>
  <c r="I6827" i="2"/>
  <c r="I5011" i="2"/>
  <c r="I6891" i="2"/>
  <c r="I6923" i="2"/>
  <c r="I6955" i="2"/>
  <c r="I6991" i="2"/>
  <c r="I7023" i="2"/>
  <c r="I7087" i="2"/>
  <c r="I7203" i="2"/>
  <c r="I7267" i="2"/>
  <c r="I7648" i="2"/>
  <c r="I7664" i="2"/>
  <c r="I7680" i="2"/>
  <c r="I7696" i="2"/>
  <c r="I7704" i="2"/>
  <c r="I7712" i="2"/>
  <c r="I7720" i="2"/>
  <c r="I7728" i="2"/>
  <c r="I7976" i="2"/>
  <c r="I7984" i="2"/>
  <c r="I7992" i="2"/>
  <c r="I8000" i="2"/>
  <c r="I8008" i="2"/>
  <c r="I8016" i="2"/>
  <c r="I8024" i="2"/>
  <c r="I8032" i="2"/>
  <c r="I8040" i="2"/>
  <c r="I8048" i="2"/>
  <c r="I8056" i="2"/>
  <c r="I8064" i="2"/>
  <c r="I8072" i="2"/>
  <c r="I8088" i="2"/>
  <c r="I8104" i="2"/>
  <c r="I8120" i="2"/>
  <c r="I8136" i="2"/>
  <c r="I154" i="2"/>
  <c r="I4902" i="2"/>
  <c r="I322" i="2"/>
  <c r="I490" i="2"/>
  <c r="I538" i="2"/>
  <c r="I642" i="2"/>
  <c r="I826" i="2"/>
  <c r="I1866" i="2"/>
  <c r="I2074" i="2"/>
  <c r="I4682" i="2"/>
  <c r="I1948" i="2"/>
  <c r="I2194" i="2"/>
  <c r="I4752" i="2"/>
  <c r="I6391" i="2"/>
  <c r="I2314" i="2"/>
  <c r="I2346" i="2"/>
  <c r="I2378" i="2"/>
  <c r="I2410" i="2"/>
  <c r="I2442" i="2"/>
  <c r="I4284" i="2"/>
  <c r="I2554" i="2"/>
  <c r="I2586" i="2"/>
  <c r="I2602" i="2"/>
  <c r="I2626" i="2"/>
  <c r="I2746" i="2"/>
  <c r="I5795" i="2"/>
  <c r="I2619" i="2"/>
  <c r="I2786" i="2"/>
  <c r="I2794" i="2"/>
  <c r="I4372" i="2"/>
  <c r="I3754" i="2"/>
  <c r="I4049" i="2"/>
  <c r="I2858" i="2"/>
  <c r="I2866" i="2"/>
  <c r="I2890" i="2"/>
  <c r="I2898" i="2"/>
  <c r="I2922" i="2"/>
  <c r="I2930" i="2"/>
  <c r="I2954" i="2"/>
  <c r="I2962" i="2"/>
  <c r="I2986" i="2"/>
  <c r="I1901" i="2"/>
  <c r="I3018" i="2"/>
  <c r="I3026" i="2"/>
  <c r="I3050" i="2"/>
  <c r="I3058" i="2"/>
  <c r="I3090" i="2"/>
  <c r="I3122" i="2"/>
  <c r="I299" i="2"/>
  <c r="I3186" i="2"/>
  <c r="I3218" i="2"/>
  <c r="I6915" i="2"/>
  <c r="I1674" i="2"/>
  <c r="I3306" i="2"/>
  <c r="I3338" i="2"/>
  <c r="I3370" i="2"/>
  <c r="I3402" i="2"/>
  <c r="I3434" i="2"/>
  <c r="I3466" i="2"/>
  <c r="I3474" i="2"/>
  <c r="I3498" i="2"/>
  <c r="I3506" i="2"/>
  <c r="I3522" i="2"/>
  <c r="I3562" i="2"/>
  <c r="I5439" i="2"/>
  <c r="I3602" i="2"/>
  <c r="I3634" i="2"/>
  <c r="I5040" i="2"/>
  <c r="I3698" i="2"/>
  <c r="I3730" i="2"/>
  <c r="I578" i="2"/>
  <c r="I5720" i="2"/>
  <c r="I3834" i="2"/>
  <c r="I3866" i="2"/>
  <c r="I3898" i="2"/>
  <c r="I3906" i="2"/>
  <c r="I3962" i="2"/>
  <c r="I3970" i="2"/>
  <c r="I4018" i="2"/>
  <c r="I4050" i="2"/>
  <c r="I6392" i="2"/>
  <c r="I4082" i="2"/>
  <c r="I4090" i="2"/>
  <c r="I4122" i="2"/>
  <c r="I3136" i="2"/>
  <c r="I4186" i="2"/>
  <c r="I4218" i="2"/>
  <c r="I4250" i="2"/>
  <c r="I4282" i="2"/>
  <c r="I4314" i="2"/>
  <c r="I4346" i="2"/>
  <c r="I4378" i="2"/>
  <c r="I3612" i="2"/>
  <c r="I4442" i="2"/>
  <c r="I4474" i="2"/>
  <c r="I4506" i="2"/>
  <c r="I4538" i="2"/>
  <c r="I6517" i="2"/>
  <c r="I4602" i="2"/>
  <c r="I4634" i="2"/>
  <c r="I1117" i="2"/>
  <c r="I4698" i="2"/>
  <c r="I4730" i="2"/>
  <c r="I4762" i="2"/>
  <c r="I4794" i="2"/>
  <c r="I1085" i="2"/>
  <c r="I3619" i="2"/>
  <c r="I5330" i="2"/>
  <c r="I5338" i="2"/>
  <c r="I5346" i="2"/>
  <c r="I5354" i="2"/>
  <c r="I5362" i="2"/>
  <c r="I5434" i="2"/>
  <c r="I5442" i="2"/>
  <c r="I5498" i="2"/>
  <c r="I5506" i="2"/>
  <c r="I6623" i="2"/>
  <c r="I436" i="2"/>
  <c r="I6655" i="2"/>
  <c r="I6679" i="2"/>
  <c r="I6695" i="2"/>
  <c r="I7035" i="2"/>
  <c r="I7255" i="2"/>
  <c r="I7313" i="2"/>
  <c r="I7321" i="2"/>
  <c r="I7329" i="2"/>
  <c r="I7337" i="2"/>
  <c r="I7345" i="2"/>
  <c r="I7353" i="2"/>
  <c r="I7361" i="2"/>
  <c r="I7369" i="2"/>
  <c r="I7425" i="2"/>
  <c r="I7529" i="2"/>
  <c r="I7553" i="2"/>
  <c r="I7569" i="2"/>
  <c r="I7577" i="2"/>
  <c r="I7737" i="2"/>
  <c r="I7753" i="2"/>
  <c r="I7769" i="2"/>
  <c r="I7785" i="2"/>
  <c r="I7801" i="2"/>
  <c r="I7897" i="2"/>
  <c r="I7905" i="2"/>
  <c r="I7929" i="2"/>
  <c r="I7937" i="2"/>
  <c r="I7945" i="2"/>
  <c r="I7969" i="2"/>
  <c r="I67" i="2"/>
  <c r="I427" i="2"/>
  <c r="I451" i="2"/>
  <c r="I2056" i="2"/>
  <c r="I491" i="2"/>
  <c r="I499" i="2"/>
  <c r="I6539" i="2"/>
  <c r="I571" i="2"/>
  <c r="I1910" i="2"/>
  <c r="I835" i="2"/>
  <c r="I851" i="2"/>
  <c r="I867" i="2"/>
  <c r="I883" i="2"/>
  <c r="I899" i="2"/>
  <c r="I915" i="2"/>
  <c r="I5625" i="2"/>
  <c r="I947" i="2"/>
  <c r="I979" i="2"/>
  <c r="I995" i="2"/>
  <c r="I1011" i="2"/>
  <c r="I985" i="2"/>
  <c r="I1043" i="2"/>
  <c r="I1059" i="2"/>
  <c r="I2645" i="2"/>
  <c r="I1091" i="2"/>
  <c r="I1251" i="2"/>
  <c r="I1259" i="2"/>
  <c r="I1291" i="2"/>
  <c r="I1323" i="2"/>
  <c r="I1395" i="2"/>
  <c r="I1475" i="2"/>
  <c r="I2920" i="2"/>
  <c r="I1531" i="2"/>
  <c r="I6778" i="2"/>
  <c r="I4995" i="2"/>
  <c r="I5171" i="2"/>
  <c r="I5179" i="2"/>
  <c r="I5187" i="2"/>
  <c r="I5195" i="2"/>
  <c r="I5203" i="2"/>
  <c r="I5211" i="2"/>
  <c r="I5219" i="2"/>
  <c r="I5227" i="2"/>
  <c r="I5235" i="2"/>
  <c r="I761" i="2"/>
  <c r="I5251" i="2"/>
  <c r="I3640" i="2"/>
  <c r="I5267" i="2"/>
  <c r="I4860" i="2"/>
  <c r="I5283" i="2"/>
  <c r="I5291" i="2"/>
  <c r="I136" i="2"/>
  <c r="I5307" i="2"/>
  <c r="I5315" i="2"/>
  <c r="I5323" i="2"/>
  <c r="I5371" i="2"/>
  <c r="I5379" i="2"/>
  <c r="I5387" i="2"/>
  <c r="I5403" i="2"/>
  <c r="I5435" i="2"/>
  <c r="I5443" i="2"/>
  <c r="I5499" i="2"/>
  <c r="I5507" i="2"/>
  <c r="I5859" i="2"/>
  <c r="I142" i="2"/>
  <c r="I6131" i="2"/>
  <c r="I2610" i="2"/>
  <c r="I6147" i="2"/>
  <c r="I5793" i="2"/>
  <c r="I6163" i="2"/>
  <c r="I6179" i="2"/>
  <c r="I6235" i="2"/>
  <c r="I6243" i="2"/>
  <c r="I6259" i="2"/>
  <c r="I6267" i="2"/>
  <c r="I6275" i="2"/>
  <c r="I6283" i="2"/>
  <c r="I6291" i="2"/>
  <c r="I6299" i="2"/>
  <c r="I2473" i="2"/>
  <c r="I6315" i="2"/>
  <c r="I6339" i="2"/>
  <c r="I6355" i="2"/>
  <c r="I6363" i="2"/>
  <c r="I6371" i="2"/>
  <c r="I6379" i="2"/>
  <c r="I6387" i="2"/>
  <c r="I7213" i="2"/>
  <c r="I6403" i="2"/>
  <c r="I6419" i="2"/>
  <c r="I6427" i="2"/>
  <c r="I6435" i="2"/>
  <c r="I6443" i="2"/>
  <c r="I6475" i="2"/>
  <c r="I2423" i="2"/>
  <c r="I6191" i="2"/>
  <c r="I6499" i="2"/>
  <c r="I6507" i="2"/>
  <c r="I7064" i="2"/>
  <c r="I6615" i="2"/>
  <c r="I6719" i="2"/>
  <c r="I5701" i="2"/>
  <c r="I7141" i="2"/>
  <c r="I7063" i="2"/>
  <c r="I7135" i="2"/>
  <c r="I7167" i="2"/>
  <c r="I7199" i="2"/>
  <c r="I7263" i="2"/>
  <c r="I7650" i="2"/>
  <c r="I7666" i="2"/>
  <c r="I7682" i="2"/>
  <c r="I7714" i="2"/>
  <c r="I7722" i="2"/>
  <c r="I7730" i="2"/>
  <c r="I8074" i="2"/>
  <c r="I8090" i="2"/>
  <c r="I8106" i="2"/>
  <c r="I8122" i="2"/>
  <c r="I8138" i="2"/>
  <c r="I4" i="2"/>
  <c r="I68" i="2"/>
  <c r="I76" i="2"/>
  <c r="I4404" i="2"/>
  <c r="I445" i="2"/>
  <c r="I148" i="2"/>
  <c r="I292" i="2"/>
  <c r="I388" i="2"/>
  <c r="I476" i="2"/>
  <c r="I524" i="2"/>
  <c r="I588" i="2"/>
  <c r="I1556" i="2"/>
  <c r="I2020" i="2"/>
  <c r="I2076" i="2"/>
  <c r="I2108" i="2"/>
  <c r="I2140" i="2"/>
  <c r="I2196" i="2"/>
  <c r="I2212" i="2"/>
  <c r="I2236" i="2"/>
  <c r="I1895" i="2"/>
  <c r="I2118" i="2"/>
  <c r="I2332" i="2"/>
  <c r="I2364" i="2"/>
  <c r="I2396" i="2"/>
  <c r="I2428" i="2"/>
  <c r="I2460" i="2"/>
  <c r="I2548" i="2"/>
  <c r="I2572" i="2"/>
  <c r="I2580" i="2"/>
  <c r="I2596" i="2"/>
  <c r="I2604" i="2"/>
  <c r="I2684" i="2"/>
  <c r="I1258" i="2"/>
  <c r="I2716" i="2"/>
  <c r="I2724" i="2"/>
  <c r="I4875" i="2"/>
  <c r="I2752" i="2"/>
  <c r="I2748" i="2"/>
  <c r="I3794" i="2"/>
  <c r="I1254" i="2"/>
  <c r="I2788" i="2"/>
  <c r="I3257" i="2"/>
  <c r="I2301" i="2"/>
  <c r="I2828" i="2"/>
  <c r="I1152" i="2"/>
  <c r="I2860" i="2"/>
  <c r="I2868" i="2"/>
  <c r="I2892" i="2"/>
  <c r="I2900" i="2"/>
  <c r="I2924" i="2"/>
  <c r="I2932" i="2"/>
  <c r="I2956" i="2"/>
  <c r="I5984" i="2"/>
  <c r="I2988" i="2"/>
  <c r="I2996" i="2"/>
  <c r="I3020" i="2"/>
  <c r="I3028" i="2"/>
  <c r="I3052" i="2"/>
  <c r="I3060" i="2"/>
  <c r="I3092" i="2"/>
  <c r="I3124" i="2"/>
  <c r="I2004" i="2"/>
  <c r="I418" i="2"/>
  <c r="I3220" i="2"/>
  <c r="I3252" i="2"/>
  <c r="I3276" i="2"/>
  <c r="I3308" i="2"/>
  <c r="I3340" i="2"/>
  <c r="I2812" i="2"/>
  <c r="I3404" i="2"/>
  <c r="I3436" i="2"/>
  <c r="I3524" i="2"/>
  <c r="I3564" i="2"/>
  <c r="I3588" i="2"/>
  <c r="I6659" i="2"/>
  <c r="I3652" i="2"/>
  <c r="I3684" i="2"/>
  <c r="I2822" i="2"/>
  <c r="I3748" i="2"/>
  <c r="I4632" i="2"/>
  <c r="I1180" i="2"/>
  <c r="I3812" i="2"/>
  <c r="I3820" i="2"/>
  <c r="I3795" i="2"/>
  <c r="I3884" i="2"/>
  <c r="I4948" i="2"/>
  <c r="I5974" i="2"/>
  <c r="I104" i="2"/>
  <c r="I4236" i="2"/>
  <c r="I4268" i="2"/>
  <c r="I4300" i="2"/>
  <c r="I4332" i="2"/>
  <c r="I4364" i="2"/>
  <c r="I4396" i="2"/>
  <c r="I4428" i="2"/>
  <c r="I4460" i="2"/>
  <c r="I4492" i="2"/>
  <c r="I454" i="2"/>
  <c r="I4556" i="2"/>
  <c r="I4588" i="2"/>
  <c r="I4620" i="2"/>
  <c r="I699" i="2"/>
  <c r="I4684" i="2"/>
  <c r="I4716" i="2"/>
  <c r="I4748" i="2"/>
  <c r="I4780" i="2"/>
  <c r="I1924" i="2"/>
  <c r="I5148" i="2"/>
  <c r="I5436" i="2"/>
  <c r="I5444" i="2"/>
  <c r="I5500" i="2"/>
  <c r="I5508" i="2"/>
  <c r="I5524" i="2"/>
  <c r="I6502" i="2"/>
  <c r="I7157" i="2"/>
  <c r="I7173" i="2"/>
  <c r="I7189" i="2"/>
  <c r="I7205" i="2"/>
  <c r="I3659" i="2"/>
  <c r="I7281" i="2"/>
  <c r="I6739" i="2"/>
  <c r="I7207" i="2"/>
  <c r="I7275" i="2"/>
  <c r="I7315" i="2"/>
  <c r="I7387" i="2"/>
  <c r="I7395" i="2"/>
  <c r="I7403" i="2"/>
  <c r="I7411" i="2"/>
  <c r="I7419" i="2"/>
  <c r="I7427" i="2"/>
  <c r="I7443" i="2"/>
  <c r="I7451" i="2"/>
  <c r="I7459" i="2"/>
  <c r="I7483" i="2"/>
  <c r="I7515" i="2"/>
  <c r="I7547" i="2"/>
  <c r="I7555" i="2"/>
  <c r="I7563" i="2"/>
  <c r="I7595" i="2"/>
  <c r="I7603" i="2"/>
  <c r="I7611" i="2"/>
  <c r="I7619" i="2"/>
  <c r="I7627" i="2"/>
  <c r="I7635" i="2"/>
  <c r="I7651" i="2"/>
  <c r="I7667" i="2"/>
  <c r="I7683" i="2"/>
  <c r="I7715" i="2"/>
  <c r="I7723" i="2"/>
  <c r="I7731" i="2"/>
  <c r="I7747" i="2"/>
  <c r="I7763" i="2"/>
  <c r="I7779" i="2"/>
  <c r="I7795" i="2"/>
  <c r="I7859" i="2"/>
  <c r="I7867" i="2"/>
  <c r="I7875" i="2"/>
  <c r="I7883" i="2"/>
  <c r="I7891" i="2"/>
  <c r="I7915" i="2"/>
  <c r="I7923" i="2"/>
  <c r="I7947" i="2"/>
  <c r="I7955" i="2"/>
  <c r="I629" i="2"/>
  <c r="I637" i="2"/>
  <c r="I661" i="2"/>
  <c r="I1277" i="2"/>
  <c r="I3954" i="2"/>
  <c r="I4216" i="2"/>
  <c r="I1493" i="2"/>
  <c r="I1565" i="2"/>
  <c r="I1869" i="2"/>
  <c r="I2021" i="2"/>
  <c r="I2709" i="2"/>
  <c r="I6833" i="2"/>
  <c r="I2725" i="2"/>
  <c r="I2414" i="2"/>
  <c r="I2741" i="2"/>
  <c r="I2749" i="2"/>
  <c r="I2757" i="2"/>
  <c r="I298" i="2"/>
  <c r="I1378" i="2"/>
  <c r="I5869" i="2"/>
  <c r="I5877" i="2"/>
  <c r="I5885" i="2"/>
  <c r="I6389" i="2"/>
  <c r="I1796" i="2"/>
  <c r="I6133" i="2"/>
  <c r="I6141" i="2"/>
  <c r="I6149" i="2"/>
  <c r="I6157" i="2"/>
  <c r="I6173" i="2"/>
  <c r="I6229" i="2"/>
  <c r="I6253" i="2"/>
  <c r="I6325" i="2"/>
  <c r="I176" i="2"/>
  <c r="I6349" i="2"/>
  <c r="I6413" i="2"/>
  <c r="I6469" i="2"/>
  <c r="I6557" i="2"/>
  <c r="I4077" i="2"/>
  <c r="I6573" i="2"/>
  <c r="I6581" i="2"/>
  <c r="I2476" i="2"/>
  <c r="I2105" i="2"/>
  <c r="I6621" i="2"/>
  <c r="I6629" i="2"/>
  <c r="I6637" i="2"/>
  <c r="I6645" i="2"/>
  <c r="I6653" i="2"/>
  <c r="I6661" i="2"/>
  <c r="I3879" i="2"/>
  <c r="I6677" i="2"/>
  <c r="I6685" i="2"/>
  <c r="I6693" i="2"/>
  <c r="I6701" i="2"/>
  <c r="I6075" i="2"/>
  <c r="I6717" i="2"/>
  <c r="I6725" i="2"/>
  <c r="I6733" i="2"/>
  <c r="I6837" i="2"/>
  <c r="I4931" i="2"/>
  <c r="I6853" i="2"/>
  <c r="I7029" i="2"/>
  <c r="I7229" i="2"/>
  <c r="I7261" i="2"/>
  <c r="I2678" i="2"/>
  <c r="I3987" i="2"/>
  <c r="I6875" i="2"/>
  <c r="I6252" i="2"/>
  <c r="I7159" i="2"/>
  <c r="I7191" i="2"/>
  <c r="I7287" i="2"/>
  <c r="I7296" i="2"/>
  <c r="I7304" i="2"/>
  <c r="I7312" i="2"/>
  <c r="I7320" i="2"/>
  <c r="I7328" i="2"/>
  <c r="I7336" i="2"/>
  <c r="I7344" i="2"/>
  <c r="I7352" i="2"/>
  <c r="I7360" i="2"/>
  <c r="I7368" i="2"/>
  <c r="I7376" i="2"/>
  <c r="I7384" i="2"/>
  <c r="I7392" i="2"/>
  <c r="I7400" i="2"/>
  <c r="I7408" i="2"/>
  <c r="I7416" i="2"/>
  <c r="I7424" i="2"/>
  <c r="I7432" i="2"/>
  <c r="I7440" i="2"/>
  <c r="I7448" i="2"/>
  <c r="I7456" i="2"/>
  <c r="I7464" i="2"/>
  <c r="I7472" i="2"/>
  <c r="I7480" i="2"/>
  <c r="I7488" i="2"/>
  <c r="I7496" i="2"/>
  <c r="I7504" i="2"/>
  <c r="I7512" i="2"/>
  <c r="I7520" i="2"/>
  <c r="I7528" i="2"/>
  <c r="I7536" i="2"/>
  <c r="I7544" i="2"/>
  <c r="I7552" i="2"/>
  <c r="I7560" i="2"/>
  <c r="I7568" i="2"/>
  <c r="I7576" i="2"/>
  <c r="I7584" i="2"/>
  <c r="I7592" i="2"/>
  <c r="I7600" i="2"/>
  <c r="I7608" i="2"/>
  <c r="I7616" i="2"/>
  <c r="I7624" i="2"/>
  <c r="I7632" i="2"/>
  <c r="I7640" i="2"/>
  <c r="I7656" i="2"/>
  <c r="I7672" i="2"/>
  <c r="I7688" i="2"/>
  <c r="I7736" i="2"/>
  <c r="I7744" i="2"/>
  <c r="I7752" i="2"/>
  <c r="I7760" i="2"/>
  <c r="I7768" i="2"/>
  <c r="I7776" i="2"/>
  <c r="I7784" i="2"/>
  <c r="I7792" i="2"/>
  <c r="I7800" i="2"/>
  <c r="I7808" i="2"/>
  <c r="I7816" i="2"/>
  <c r="I7824" i="2"/>
  <c r="I7832" i="2"/>
  <c r="I7840" i="2"/>
  <c r="I7848" i="2"/>
  <c r="I7856" i="2"/>
  <c r="I7864" i="2"/>
  <c r="I7872" i="2"/>
  <c r="I7880" i="2"/>
  <c r="I7888" i="2"/>
  <c r="I7896" i="2"/>
  <c r="I7904" i="2"/>
  <c r="I7912" i="2"/>
  <c r="I7920" i="2"/>
  <c r="I7928" i="2"/>
  <c r="I7936" i="2"/>
  <c r="I7944" i="2"/>
  <c r="I7952" i="2"/>
  <c r="I7960" i="2"/>
  <c r="I7968" i="2"/>
  <c r="I8080" i="2"/>
  <c r="I8096" i="2"/>
  <c r="I8112" i="2"/>
  <c r="I8128" i="2"/>
  <c r="I8144" i="2"/>
  <c r="I1374" i="2"/>
  <c r="I18" i="2"/>
  <c r="I26" i="2"/>
  <c r="I34" i="2"/>
  <c r="I42" i="2"/>
  <c r="I50" i="2"/>
  <c r="I7038" i="2"/>
  <c r="I66" i="2"/>
  <c r="I5605" i="2"/>
  <c r="I4210" i="2"/>
  <c r="I6561" i="2"/>
  <c r="I98" i="2"/>
  <c r="I106" i="2"/>
  <c r="I114" i="2"/>
  <c r="I122" i="2"/>
  <c r="I130" i="2"/>
  <c r="I3036" i="2"/>
  <c r="I146" i="2"/>
  <c r="I162" i="2"/>
  <c r="I170" i="2"/>
  <c r="I178" i="2"/>
  <c r="I186" i="2"/>
  <c r="I194" i="2"/>
  <c r="I3920" i="2"/>
  <c r="I3328" i="2"/>
  <c r="I218" i="2"/>
  <c r="I226" i="2"/>
  <c r="I523" i="2"/>
  <c r="I242" i="2"/>
  <c r="I250" i="2"/>
  <c r="I258" i="2"/>
  <c r="I266" i="2"/>
  <c r="I274" i="2"/>
  <c r="I282" i="2"/>
  <c r="I290" i="2"/>
  <c r="I306" i="2"/>
  <c r="I314" i="2"/>
  <c r="I1930" i="2"/>
  <c r="I338" i="2"/>
  <c r="I346" i="2"/>
  <c r="I354" i="2"/>
  <c r="I2838" i="2"/>
  <c r="I370" i="2"/>
  <c r="I378" i="2"/>
  <c r="I386" i="2"/>
  <c r="I2970" i="2"/>
  <c r="I402" i="2"/>
  <c r="I6706" i="2"/>
  <c r="I1804" i="2"/>
  <c r="I426" i="2"/>
  <c r="I434" i="2"/>
  <c r="I442" i="2"/>
  <c r="I450" i="2"/>
  <c r="I458" i="2"/>
  <c r="I466" i="2"/>
  <c r="I474" i="2"/>
  <c r="I482" i="2"/>
  <c r="I498" i="2"/>
  <c r="I4496" i="2"/>
  <c r="I514" i="2"/>
  <c r="I522" i="2"/>
  <c r="I530" i="2"/>
  <c r="I546" i="2"/>
  <c r="I554" i="2"/>
  <c r="I562" i="2"/>
  <c r="I3749" i="2"/>
  <c r="I5562" i="2"/>
  <c r="I586" i="2"/>
  <c r="I594" i="2"/>
  <c r="I602" i="2"/>
  <c r="I610" i="2"/>
  <c r="I618" i="2"/>
  <c r="I626" i="2"/>
  <c r="I634" i="2"/>
  <c r="I3919" i="2"/>
  <c r="I658" i="2"/>
  <c r="I666" i="2"/>
  <c r="I3691" i="2"/>
  <c r="I682" i="2"/>
  <c r="I6668" i="2"/>
  <c r="I698" i="2"/>
  <c r="I706" i="2"/>
  <c r="I714" i="2"/>
  <c r="I722" i="2"/>
  <c r="I4086" i="2"/>
  <c r="I2286" i="2"/>
  <c r="I746" i="2"/>
  <c r="I754" i="2"/>
  <c r="I762" i="2"/>
  <c r="I770" i="2"/>
  <c r="I778" i="2"/>
  <c r="I786" i="2"/>
  <c r="I794" i="2"/>
  <c r="I6835" i="2"/>
  <c r="I810" i="2"/>
  <c r="I818" i="2"/>
  <c r="I834" i="2"/>
  <c r="I842" i="2"/>
  <c r="I850" i="2"/>
  <c r="I858" i="2"/>
  <c r="I866" i="2"/>
  <c r="I874" i="2"/>
  <c r="I882" i="2"/>
  <c r="I890" i="2"/>
  <c r="I898" i="2"/>
  <c r="I906" i="2"/>
  <c r="I914" i="2"/>
  <c r="I922" i="2"/>
  <c r="I930" i="2"/>
  <c r="I5620" i="2"/>
  <c r="I946" i="2"/>
  <c r="I954" i="2"/>
  <c r="I962" i="2"/>
  <c r="I970" i="2"/>
  <c r="I978" i="2"/>
  <c r="I986" i="2"/>
  <c r="I994" i="2"/>
  <c r="I1002" i="2"/>
  <c r="I1010" i="2"/>
  <c r="I4091" i="2"/>
  <c r="I963" i="2"/>
  <c r="I1034" i="2"/>
  <c r="I1042" i="2"/>
  <c r="I6078" i="2"/>
  <c r="I5831" i="2"/>
  <c r="I1066" i="2"/>
  <c r="I4980" i="2"/>
  <c r="I5901" i="2"/>
  <c r="I1090" i="2"/>
  <c r="I415" i="2"/>
  <c r="I1106" i="2"/>
  <c r="I1114" i="2"/>
  <c r="I1122" i="2"/>
  <c r="I1130" i="2"/>
  <c r="I1138" i="2"/>
  <c r="I1146" i="2"/>
  <c r="I1154" i="2"/>
  <c r="I1162" i="2"/>
  <c r="I1170" i="2"/>
  <c r="I1178" i="2"/>
  <c r="I4410" i="2"/>
  <c r="I1194" i="2"/>
  <c r="I1202" i="2"/>
  <c r="I1210" i="2"/>
  <c r="I1218" i="2"/>
  <c r="I677" i="2"/>
  <c r="I1234" i="2"/>
  <c r="I1242" i="2"/>
  <c r="I1250" i="2"/>
  <c r="I2148" i="2"/>
  <c r="I1266" i="2"/>
  <c r="I1274" i="2"/>
  <c r="I1282" i="2"/>
  <c r="I1073" i="2"/>
  <c r="I3888" i="2"/>
  <c r="I1306" i="2"/>
  <c r="I1314" i="2"/>
  <c r="I1322" i="2"/>
  <c r="I1330" i="2"/>
  <c r="I1338" i="2"/>
  <c r="I1346" i="2"/>
  <c r="I1354" i="2"/>
  <c r="I4094" i="2"/>
  <c r="I2852" i="2"/>
  <c r="I1534" i="2"/>
  <c r="I1386" i="2"/>
  <c r="I2391" i="2"/>
  <c r="I1402" i="2"/>
  <c r="I1410" i="2"/>
  <c r="I4281" i="2"/>
  <c r="I1426" i="2"/>
  <c r="I1434" i="2"/>
  <c r="I2102" i="2"/>
  <c r="I1450" i="2"/>
  <c r="I1458" i="2"/>
  <c r="I1466" i="2"/>
  <c r="I1474" i="2"/>
  <c r="I1482" i="2"/>
  <c r="I679" i="2"/>
  <c r="I1498" i="2"/>
  <c r="I1506" i="2"/>
  <c r="I1514" i="2"/>
  <c r="I864" i="2"/>
  <c r="I5614" i="2"/>
  <c r="I1538" i="2"/>
  <c r="I1546" i="2"/>
  <c r="I1554" i="2"/>
  <c r="I1562" i="2"/>
  <c r="I1570" i="2"/>
  <c r="I1578" i="2"/>
  <c r="I1586" i="2"/>
  <c r="I1594" i="2"/>
  <c r="I1602" i="2"/>
  <c r="I1610" i="2"/>
  <c r="I1618" i="2"/>
  <c r="I1626" i="2"/>
  <c r="I1634" i="2"/>
  <c r="I1642" i="2"/>
  <c r="I1650" i="2"/>
  <c r="I1658" i="2"/>
  <c r="I5141" i="2"/>
  <c r="I3171" i="2"/>
  <c r="I1682" i="2"/>
  <c r="I1690" i="2"/>
  <c r="I1698" i="2"/>
  <c r="I1706" i="2"/>
  <c r="I1714" i="2"/>
  <c r="I1722" i="2"/>
  <c r="I1730" i="2"/>
  <c r="I1738" i="2"/>
  <c r="I1746" i="2"/>
  <c r="I1754" i="2"/>
  <c r="I1762" i="2"/>
  <c r="I1770" i="2"/>
  <c r="I1778" i="2"/>
  <c r="I1786" i="2"/>
  <c r="I1794" i="2"/>
  <c r="I1802" i="2"/>
  <c r="I1810" i="2"/>
  <c r="I1818" i="2"/>
  <c r="I1826" i="2"/>
  <c r="I1939" i="2"/>
  <c r="I1842" i="2"/>
  <c r="I47" i="2"/>
  <c r="I1858" i="2"/>
  <c r="I1874" i="2"/>
  <c r="I1882" i="2"/>
  <c r="I1890" i="2"/>
  <c r="I1898" i="2"/>
  <c r="I1906" i="2"/>
  <c r="I2785" i="2"/>
  <c r="I1922" i="2"/>
  <c r="I5703" i="2"/>
  <c r="I2127" i="2"/>
  <c r="I1946" i="2"/>
  <c r="I1954" i="2"/>
  <c r="I1962" i="2"/>
  <c r="I3570" i="2"/>
  <c r="I3858" i="2"/>
  <c r="I1986" i="2"/>
  <c r="I1994" i="2"/>
  <c r="I2002" i="2"/>
  <c r="I2010" i="2"/>
  <c r="I2018" i="2"/>
  <c r="I2026" i="2"/>
  <c r="I4947" i="2"/>
  <c r="I2042" i="2"/>
  <c r="I2050" i="2"/>
  <c r="I2058" i="2"/>
  <c r="I2066" i="2"/>
  <c r="I2082" i="2"/>
  <c r="I2090" i="2"/>
  <c r="I2098" i="2"/>
  <c r="I2114" i="2"/>
  <c r="I2122" i="2"/>
  <c r="I819" i="2"/>
  <c r="I1283" i="2"/>
  <c r="I3329" i="2"/>
  <c r="I6063" i="2"/>
  <c r="I2170" i="2"/>
  <c r="I2178" i="2"/>
  <c r="I2186" i="2"/>
  <c r="I2405" i="2"/>
  <c r="I2210" i="2"/>
  <c r="I2218" i="2"/>
  <c r="I2226" i="2"/>
  <c r="I2234" i="2"/>
  <c r="I2242" i="2"/>
  <c r="I2258" i="2"/>
  <c r="I2266" i="2"/>
  <c r="I4400" i="2"/>
  <c r="I2290" i="2"/>
  <c r="I1177" i="2"/>
  <c r="I4847" i="2"/>
  <c r="I2322" i="2"/>
  <c r="I2330" i="2"/>
  <c r="I2338" i="2"/>
  <c r="I2354" i="2"/>
  <c r="I74" i="2"/>
  <c r="I2370" i="2"/>
  <c r="I6579" i="2"/>
  <c r="I2394" i="2"/>
  <c r="I2402" i="2"/>
  <c r="I3605" i="2"/>
  <c r="I2426" i="2"/>
  <c r="I2434" i="2"/>
  <c r="I2450" i="2"/>
  <c r="I2458" i="2"/>
  <c r="I2466" i="2"/>
  <c r="I820" i="2"/>
  <c r="I4616" i="2"/>
  <c r="I2498" i="2"/>
  <c r="I2506" i="2"/>
  <c r="I2514" i="2"/>
  <c r="I2522" i="2"/>
  <c r="I5861" i="2"/>
  <c r="I2538" i="2"/>
  <c r="I2546" i="2"/>
  <c r="I2562" i="2"/>
  <c r="I2570" i="2"/>
  <c r="I2578" i="2"/>
  <c r="I2594" i="2"/>
  <c r="I6912" i="2"/>
  <c r="I2618" i="2"/>
  <c r="I2634" i="2"/>
  <c r="I2642" i="2"/>
  <c r="I2650" i="2"/>
  <c r="I2658" i="2"/>
  <c r="I2666" i="2"/>
  <c r="I5621" i="2"/>
  <c r="I2682" i="2"/>
  <c r="I5997" i="2"/>
  <c r="I4118" i="2"/>
  <c r="I2706" i="2"/>
  <c r="I2714" i="2"/>
  <c r="I2722" i="2"/>
  <c r="I2730" i="2"/>
  <c r="I5585" i="2"/>
  <c r="I1454" i="2"/>
  <c r="I2778" i="2"/>
  <c r="I3043" i="2"/>
  <c r="I2818" i="2"/>
  <c r="I2842" i="2"/>
  <c r="I3682" i="2"/>
  <c r="I4826" i="2"/>
  <c r="I2882" i="2"/>
  <c r="I1233" i="2"/>
  <c r="I2914" i="2"/>
  <c r="I2938" i="2"/>
  <c r="I2946" i="2"/>
  <c r="I2909" i="2"/>
  <c r="I2978" i="2"/>
  <c r="I3002" i="2"/>
  <c r="I3010" i="2"/>
  <c r="I3034" i="2"/>
  <c r="I5570" i="2"/>
  <c r="I3066" i="2"/>
  <c r="I3074" i="2"/>
  <c r="I3082" i="2"/>
  <c r="I3098" i="2"/>
  <c r="I3106" i="2"/>
  <c r="I5786" i="2"/>
  <c r="I3130" i="2"/>
  <c r="I3138" i="2"/>
  <c r="I5546" i="2"/>
  <c r="I3162" i="2"/>
  <c r="I6490" i="2"/>
  <c r="I3178" i="2"/>
  <c r="I3194" i="2"/>
  <c r="I1104" i="2"/>
  <c r="I3210" i="2"/>
  <c r="I3226" i="2"/>
  <c r="I3234" i="2"/>
  <c r="I397" i="2"/>
  <c r="I4940" i="2"/>
  <c r="I3266" i="2"/>
  <c r="I3282" i="2"/>
  <c r="I3290" i="2"/>
  <c r="I2248" i="2"/>
  <c r="I3314" i="2"/>
  <c r="I3322" i="2"/>
  <c r="I3330" i="2"/>
  <c r="I3346" i="2"/>
  <c r="I3354" i="2"/>
  <c r="I5038" i="2"/>
  <c r="I3378" i="2"/>
  <c r="I3386" i="2"/>
  <c r="I3394" i="2"/>
  <c r="I3410" i="2"/>
  <c r="I5662" i="2"/>
  <c r="I3426" i="2"/>
  <c r="I3442" i="2"/>
  <c r="I3450" i="2"/>
  <c r="I3458" i="2"/>
  <c r="I3482" i="2"/>
  <c r="I1438" i="2"/>
  <c r="I3514" i="2"/>
  <c r="I3530" i="2"/>
  <c r="I3996" i="2"/>
  <c r="I3546" i="2"/>
  <c r="I3554" i="2"/>
  <c r="I3578" i="2"/>
  <c r="I3586" i="2"/>
  <c r="I3594" i="2"/>
  <c r="I5220" i="2"/>
  <c r="I5806" i="2"/>
  <c r="I1542" i="2"/>
  <c r="I3642" i="2"/>
  <c r="I3650" i="2"/>
  <c r="I3658" i="2"/>
  <c r="I3674" i="2"/>
  <c r="I3668" i="2"/>
  <c r="I5931" i="2"/>
  <c r="I1022" i="2"/>
  <c r="I3714" i="2"/>
  <c r="I3722" i="2"/>
  <c r="I3738" i="2"/>
  <c r="I411" i="2"/>
  <c r="I5604" i="2"/>
  <c r="I3762" i="2"/>
  <c r="I3770" i="2"/>
  <c r="I3778" i="2"/>
  <c r="I3288" i="2"/>
  <c r="I3810" i="2"/>
  <c r="I92" i="2"/>
  <c r="I3826" i="2"/>
  <c r="I3842" i="2"/>
  <c r="I3850" i="2"/>
  <c r="I5907" i="2"/>
  <c r="I3874" i="2"/>
  <c r="I3882" i="2"/>
  <c r="I2377" i="2"/>
  <c r="I3914" i="2"/>
  <c r="I4046" i="2"/>
  <c r="I3930" i="2"/>
  <c r="I3716" i="2"/>
  <c r="I4200" i="2"/>
  <c r="I5016" i="2"/>
  <c r="I3978" i="2"/>
  <c r="I3986" i="2"/>
  <c r="I3994" i="2"/>
  <c r="I4002" i="2"/>
  <c r="I4010" i="2"/>
  <c r="I6546" i="2"/>
  <c r="I4034" i="2"/>
  <c r="I6237" i="2"/>
  <c r="I1363" i="2"/>
  <c r="I4074" i="2"/>
  <c r="I4098" i="2"/>
  <c r="I4106" i="2"/>
  <c r="I4114" i="2"/>
  <c r="I4130" i="2"/>
  <c r="I4138" i="2"/>
  <c r="I4146" i="2"/>
  <c r="I4162" i="2"/>
  <c r="I6864" i="2"/>
  <c r="I4226" i="2"/>
  <c r="I4194" i="2"/>
  <c r="I4202" i="2"/>
  <c r="I4727" i="2"/>
  <c r="I4975" i="2"/>
  <c r="I4234" i="2"/>
  <c r="I4242" i="2"/>
  <c r="I5446" i="2"/>
  <c r="I4266" i="2"/>
  <c r="I1709" i="2"/>
  <c r="I4290" i="2"/>
  <c r="I4298" i="2"/>
  <c r="I4306" i="2"/>
  <c r="I4322" i="2"/>
  <c r="I4330" i="2"/>
  <c r="I4338" i="2"/>
  <c r="I4354" i="2"/>
  <c r="I111" i="2"/>
  <c r="I4064" i="2"/>
  <c r="I4386" i="2"/>
  <c r="I4394" i="2"/>
  <c r="I4402" i="2"/>
  <c r="I4418" i="2"/>
  <c r="I4426" i="2"/>
  <c r="I4434" i="2"/>
  <c r="I4450" i="2"/>
  <c r="I1021" i="2"/>
  <c r="I4466" i="2"/>
  <c r="I4482" i="2"/>
  <c r="I4490" i="2"/>
  <c r="I7201" i="2"/>
  <c r="I4514" i="2"/>
  <c r="I4522" i="2"/>
  <c r="I4530" i="2"/>
  <c r="I581" i="2"/>
  <c r="I4554" i="2"/>
  <c r="I4562" i="2"/>
  <c r="I3997" i="2"/>
  <c r="I4586" i="2"/>
  <c r="I4594" i="2"/>
  <c r="I1968" i="2"/>
  <c r="I4618" i="2"/>
  <c r="I4626" i="2"/>
  <c r="I4861" i="2"/>
  <c r="I6541" i="2"/>
  <c r="I2260" i="2"/>
  <c r="I4674" i="2"/>
  <c r="I4851" i="2"/>
  <c r="I4690" i="2"/>
  <c r="I4706" i="2"/>
  <c r="I4714" i="2"/>
  <c r="I4722" i="2"/>
  <c r="I4738" i="2"/>
  <c r="I4746" i="2"/>
  <c r="I4754" i="2"/>
  <c r="I4770" i="2"/>
  <c r="I4778" i="2"/>
  <c r="I5992" i="2"/>
  <c r="I4802" i="2"/>
  <c r="I4810" i="2"/>
  <c r="I128" i="2"/>
  <c r="I1286" i="2"/>
  <c r="I4834" i="2"/>
  <c r="I4842" i="2"/>
  <c r="I4850" i="2"/>
  <c r="I5146" i="2"/>
  <c r="I365" i="2"/>
  <c r="I4890" i="2"/>
  <c r="I4898" i="2"/>
  <c r="I4906" i="2"/>
  <c r="I4914" i="2"/>
  <c r="I4922" i="2"/>
  <c r="I4930" i="2"/>
  <c r="I4938" i="2"/>
  <c r="I1014" i="2"/>
  <c r="I4954" i="2"/>
  <c r="I4962" i="2"/>
  <c r="I4970" i="2"/>
  <c r="I4978" i="2"/>
  <c r="I3359" i="2"/>
  <c r="I4994" i="2"/>
  <c r="I5002" i="2"/>
  <c r="I6526" i="2"/>
  <c r="I5018" i="2"/>
  <c r="I5503" i="2"/>
  <c r="I5034" i="2"/>
  <c r="I5042" i="2"/>
  <c r="I5050" i="2"/>
  <c r="I5058" i="2"/>
  <c r="I5066" i="2"/>
  <c r="I5074" i="2"/>
  <c r="I5082" i="2"/>
  <c r="I5090" i="2"/>
  <c r="I5098" i="2"/>
  <c r="I5106" i="2"/>
  <c r="I705" i="2"/>
  <c r="I5122" i="2"/>
  <c r="I5130" i="2"/>
  <c r="I5523" i="2"/>
  <c r="I5151" i="2"/>
  <c r="I5154" i="2"/>
  <c r="I5162" i="2"/>
  <c r="I5170" i="2"/>
  <c r="I5178" i="2"/>
  <c r="I5186" i="2"/>
  <c r="I5194" i="2"/>
  <c r="I5202" i="2"/>
  <c r="I5210" i="2"/>
  <c r="I1545" i="2"/>
  <c r="I5226" i="2"/>
  <c r="I5234" i="2"/>
  <c r="I6732" i="2"/>
  <c r="I7031" i="2"/>
  <c r="I5829" i="2"/>
  <c r="I5266" i="2"/>
  <c r="I5274" i="2"/>
  <c r="I5282" i="2"/>
  <c r="I5290" i="2"/>
  <c r="I5298" i="2"/>
  <c r="I5306" i="2"/>
  <c r="I5314" i="2"/>
  <c r="I5322" i="2"/>
  <c r="I5370" i="2"/>
  <c r="I5378" i="2"/>
  <c r="I5386" i="2"/>
  <c r="I5394" i="2"/>
  <c r="I5402" i="2"/>
  <c r="I5410" i="2"/>
  <c r="I5418" i="2"/>
  <c r="I5426" i="2"/>
  <c r="I5450" i="2"/>
  <c r="I5458" i="2"/>
  <c r="I4177" i="2"/>
  <c r="I758" i="2"/>
  <c r="I6591" i="2"/>
  <c r="I5490" i="2"/>
  <c r="I6307" i="2"/>
  <c r="I4415" i="2"/>
  <c r="I5530" i="2"/>
  <c r="I5538" i="2"/>
  <c r="I6857" i="2"/>
  <c r="I5554" i="2"/>
  <c r="I4663" i="2"/>
  <c r="I6866" i="2"/>
  <c r="I5578" i="2"/>
  <c r="I5586" i="2"/>
  <c r="I4259" i="2"/>
  <c r="I5602" i="2"/>
  <c r="I3681" i="2"/>
  <c r="I652" i="2"/>
  <c r="I6484" i="2"/>
  <c r="I5783" i="2"/>
  <c r="I5642" i="2"/>
  <c r="I1027" i="2"/>
  <c r="I5658" i="2"/>
  <c r="I5666" i="2"/>
  <c r="I5674" i="2"/>
  <c r="I2801" i="2"/>
  <c r="I5690" i="2"/>
  <c r="I5698" i="2"/>
  <c r="I400" i="2"/>
  <c r="I5714" i="2"/>
  <c r="I5722" i="2"/>
  <c r="I3665" i="2"/>
  <c r="I5738" i="2"/>
  <c r="I5746" i="2"/>
  <c r="I5754" i="2"/>
  <c r="I5762" i="2"/>
  <c r="I5770" i="2"/>
  <c r="I5778" i="2"/>
  <c r="I5259" i="2"/>
  <c r="I389" i="2"/>
  <c r="I1619" i="2"/>
  <c r="I5810" i="2"/>
  <c r="I5813" i="2"/>
  <c r="I5826" i="2"/>
  <c r="I5834" i="2"/>
  <c r="I3984" i="2"/>
  <c r="I956" i="2"/>
  <c r="I5858" i="2"/>
  <c r="I5866" i="2"/>
  <c r="I5874" i="2"/>
  <c r="I5882" i="2"/>
  <c r="I5890" i="2"/>
  <c r="I5898" i="2"/>
  <c r="I4489" i="2"/>
  <c r="I5914" i="2"/>
  <c r="I5922" i="2"/>
  <c r="I2789" i="2"/>
  <c r="I1751" i="2"/>
  <c r="I5946" i="2"/>
  <c r="I5954" i="2"/>
  <c r="I5962" i="2"/>
  <c r="I5970" i="2"/>
  <c r="I2268" i="2"/>
  <c r="I4695" i="2"/>
  <c r="I5994" i="2"/>
  <c r="I6002" i="2"/>
  <c r="I6010" i="2"/>
  <c r="I6018" i="2"/>
  <c r="I6026" i="2"/>
  <c r="I6034" i="2"/>
  <c r="I6042" i="2"/>
  <c r="I1049" i="2"/>
  <c r="I6058" i="2"/>
  <c r="I6066" i="2"/>
  <c r="I2155" i="2"/>
  <c r="I5471" i="2"/>
  <c r="I6090" i="2"/>
  <c r="I6098" i="2"/>
  <c r="I2738" i="2"/>
  <c r="I6114" i="2"/>
  <c r="I6122" i="2"/>
  <c r="I6130" i="2"/>
  <c r="I6138" i="2"/>
  <c r="I4524" i="2"/>
  <c r="I6154" i="2"/>
  <c r="I6190" i="2"/>
  <c r="I6170" i="2"/>
  <c r="I6178" i="2"/>
  <c r="I2850" i="2"/>
  <c r="I6194" i="2"/>
  <c r="I6202" i="2"/>
  <c r="I6210" i="2"/>
  <c r="I6218" i="2"/>
  <c r="I4611" i="2"/>
  <c r="I6234" i="2"/>
  <c r="I2755" i="2"/>
  <c r="I6250" i="2"/>
  <c r="I6258" i="2"/>
  <c r="I6266" i="2"/>
  <c r="I6274" i="2"/>
  <c r="I6282" i="2"/>
  <c r="I1797" i="2"/>
  <c r="I175" i="2"/>
  <c r="I6306" i="2"/>
  <c r="I6314" i="2"/>
  <c r="I6322" i="2"/>
  <c r="I6330" i="2"/>
  <c r="I6338" i="2"/>
  <c r="I6346" i="2"/>
  <c r="I6354" i="2"/>
  <c r="I6362" i="2"/>
  <c r="I6370" i="2"/>
  <c r="I6378" i="2"/>
  <c r="I5472" i="2"/>
  <c r="I6394" i="2"/>
  <c r="I6402" i="2"/>
  <c r="I6410" i="2"/>
  <c r="I4819" i="2"/>
  <c r="I6426" i="2"/>
  <c r="I6434" i="2"/>
  <c r="I4658" i="2"/>
  <c r="I6450" i="2"/>
  <c r="I6458" i="2"/>
  <c r="I6466" i="2"/>
  <c r="I6474" i="2"/>
  <c r="I6096" i="2"/>
  <c r="I6788" i="2"/>
  <c r="I6498" i="2"/>
  <c r="I6506" i="2"/>
  <c r="I6514" i="2"/>
  <c r="I6439" i="2"/>
  <c r="I2293" i="2"/>
  <c r="I6538" i="2"/>
  <c r="I5699" i="2"/>
  <c r="I740" i="2"/>
  <c r="I6562" i="2"/>
  <c r="I341" i="2"/>
  <c r="I3763" i="2"/>
  <c r="I6586" i="2"/>
  <c r="I6594" i="2"/>
  <c r="I6602" i="2"/>
  <c r="I6610" i="2"/>
  <c r="I6618" i="2"/>
  <c r="I6626" i="2"/>
  <c r="I6634" i="2"/>
  <c r="I2280" i="2"/>
  <c r="I6650" i="2"/>
  <c r="I6658" i="2"/>
  <c r="I6666" i="2"/>
  <c r="I6674" i="2"/>
  <c r="I6682" i="2"/>
  <c r="I6690" i="2"/>
  <c r="I6698" i="2"/>
  <c r="I2008" i="2"/>
  <c r="I6714" i="2"/>
  <c r="I1270" i="2"/>
  <c r="I6730" i="2"/>
  <c r="I6738" i="2"/>
  <c r="I4205" i="2"/>
  <c r="I6754" i="2"/>
  <c r="I6110" i="2"/>
  <c r="I5137" i="2"/>
  <c r="I1103" i="2"/>
  <c r="I6786" i="2"/>
  <c r="I6794" i="2"/>
  <c r="I6802" i="2"/>
  <c r="I7215" i="2"/>
  <c r="I6818" i="2"/>
  <c r="I6826" i="2"/>
  <c r="I6834" i="2"/>
  <c r="I6842" i="2"/>
  <c r="I6850" i="2"/>
  <c r="I6858" i="2"/>
  <c r="I7138" i="2"/>
  <c r="I6874" i="2"/>
  <c r="I6882" i="2"/>
  <c r="I6890" i="2"/>
  <c r="I6898" i="2"/>
  <c r="I1620" i="2"/>
  <c r="I1406" i="2"/>
  <c r="I6922" i="2"/>
  <c r="I6480" i="2"/>
  <c r="I3938" i="2"/>
  <c r="I6946" i="2"/>
  <c r="I6954" i="2"/>
  <c r="I6962" i="2"/>
  <c r="I6970" i="2"/>
  <c r="I6978" i="2"/>
  <c r="I6986" i="2"/>
  <c r="I7001" i="2"/>
  <c r="I195" i="2"/>
  <c r="I7010" i="2"/>
  <c r="I6928" i="2"/>
  <c r="I7026" i="2"/>
  <c r="I7034" i="2"/>
  <c r="I5995" i="2"/>
  <c r="I7050" i="2"/>
  <c r="I7058" i="2"/>
  <c r="I7066" i="2"/>
  <c r="I7074" i="2"/>
  <c r="I7082" i="2"/>
  <c r="I7090" i="2"/>
  <c r="I7098" i="2"/>
  <c r="I7106" i="2"/>
  <c r="I7114" i="2"/>
  <c r="I6050" i="2"/>
  <c r="I7130" i="2"/>
  <c r="I315" i="2"/>
  <c r="I6789" i="2"/>
  <c r="I7154" i="2"/>
  <c r="I7162" i="2"/>
  <c r="I7170" i="2"/>
  <c r="I7178" i="2"/>
  <c r="I7186" i="2"/>
  <c r="I7194" i="2"/>
  <c r="I7202" i="2"/>
  <c r="I7210" i="2"/>
  <c r="I5014" i="2"/>
  <c r="I7226" i="2"/>
  <c r="I7234" i="2"/>
  <c r="I7242" i="2"/>
  <c r="I7250" i="2"/>
  <c r="I7258" i="2"/>
  <c r="I7266" i="2"/>
  <c r="I7274" i="2"/>
  <c r="I7282" i="2"/>
  <c r="I7290" i="2"/>
  <c r="I6603" i="2"/>
  <c r="I3100" i="2"/>
  <c r="I4023" i="2"/>
  <c r="I6759" i="2"/>
  <c r="I6791" i="2"/>
  <c r="I6823" i="2"/>
  <c r="I6855" i="2"/>
  <c r="I6887" i="2"/>
  <c r="I6919" i="2"/>
  <c r="I1417" i="2"/>
  <c r="I6971" i="2"/>
  <c r="I7003" i="2"/>
  <c r="I7067" i="2"/>
  <c r="I7091" i="2"/>
  <c r="I4020" i="2"/>
  <c r="I7163" i="2"/>
  <c r="I7195" i="2"/>
  <c r="I7231" i="2"/>
  <c r="I7283" i="2"/>
  <c r="I7297" i="2"/>
  <c r="I7305" i="2"/>
  <c r="I7377" i="2"/>
  <c r="I7385" i="2"/>
  <c r="I7393" i="2"/>
  <c r="I7401" i="2"/>
  <c r="I7409" i="2"/>
  <c r="I7417" i="2"/>
  <c r="I7433" i="2"/>
  <c r="I7441" i="2"/>
  <c r="I7449" i="2"/>
  <c r="I7457" i="2"/>
  <c r="I7465" i="2"/>
  <c r="I7473" i="2"/>
  <c r="I7481" i="2"/>
  <c r="I7489" i="2"/>
  <c r="I7497" i="2"/>
  <c r="I7505" i="2"/>
  <c r="I7513" i="2"/>
  <c r="I7521" i="2"/>
  <c r="I7537" i="2"/>
  <c r="I7545" i="2"/>
  <c r="I7561" i="2"/>
  <c r="I7585" i="2"/>
  <c r="I7593" i="2"/>
  <c r="I7601" i="2"/>
  <c r="I7609" i="2"/>
  <c r="I7617" i="2"/>
  <c r="I7625" i="2"/>
  <c r="I7633" i="2"/>
  <c r="I7641" i="2"/>
  <c r="I7649" i="2"/>
  <c r="I7657" i="2"/>
  <c r="I7665" i="2"/>
  <c r="I7673" i="2"/>
  <c r="I7681" i="2"/>
  <c r="I7689" i="2"/>
  <c r="I7697" i="2"/>
  <c r="I7705" i="2"/>
  <c r="I7713" i="2"/>
  <c r="I7721" i="2"/>
  <c r="I7729" i="2"/>
  <c r="I7745" i="2"/>
  <c r="I7761" i="2"/>
  <c r="I7777" i="2"/>
  <c r="I7793" i="2"/>
  <c r="I7809" i="2"/>
  <c r="I7817" i="2"/>
  <c r="I7825" i="2"/>
  <c r="I7833" i="2"/>
  <c r="I7841" i="2"/>
  <c r="I7849" i="2"/>
  <c r="I7857" i="2"/>
  <c r="I7865" i="2"/>
  <c r="I7873" i="2"/>
  <c r="I7881" i="2"/>
  <c r="I7889" i="2"/>
  <c r="I7913" i="2"/>
  <c r="I7921" i="2"/>
  <c r="I7953" i="2"/>
  <c r="I7961" i="2"/>
  <c r="I7977" i="2"/>
  <c r="I7985" i="2"/>
  <c r="I7993" i="2"/>
  <c r="I8001" i="2"/>
  <c r="I8009" i="2"/>
  <c r="I8017" i="2"/>
  <c r="I8025" i="2"/>
  <c r="I8033" i="2"/>
  <c r="I8041" i="2"/>
  <c r="I8049" i="2"/>
  <c r="I8057" i="2"/>
  <c r="I8065" i="2"/>
  <c r="I8073" i="2"/>
  <c r="I8081" i="2"/>
  <c r="I8089" i="2"/>
  <c r="I8097" i="2"/>
  <c r="I8105" i="2"/>
  <c r="I8113" i="2"/>
  <c r="I8121" i="2"/>
  <c r="I8129" i="2"/>
  <c r="I8137" i="2"/>
  <c r="I8145" i="2"/>
  <c r="I3" i="2"/>
  <c r="I11" i="2"/>
  <c r="I19" i="2"/>
  <c r="I27" i="2"/>
  <c r="I35" i="2"/>
  <c r="I2403" i="2"/>
  <c r="I51" i="2"/>
  <c r="I59" i="2"/>
  <c r="I4084" i="2"/>
  <c r="I83" i="2"/>
  <c r="I324" i="2"/>
  <c r="I99" i="2"/>
  <c r="I107" i="2"/>
  <c r="I115" i="2"/>
  <c r="I123" i="2"/>
  <c r="I131" i="2"/>
  <c r="I3037" i="2"/>
  <c r="I147" i="2"/>
  <c r="I155" i="2"/>
  <c r="I163" i="2"/>
  <c r="I171" i="2"/>
  <c r="I3705" i="2"/>
  <c r="I187" i="2"/>
  <c r="I5161" i="2"/>
  <c r="I4640" i="2"/>
  <c r="I211" i="2"/>
  <c r="I219" i="2"/>
  <c r="I6769" i="2"/>
  <c r="I1364" i="2"/>
  <c r="I243" i="2"/>
  <c r="I6771" i="2"/>
  <c r="I259" i="2"/>
  <c r="I267" i="2"/>
  <c r="I275" i="2"/>
  <c r="I283" i="2"/>
  <c r="I291" i="2"/>
  <c r="I5337" i="2"/>
  <c r="I307" i="2"/>
  <c r="I6750" i="2"/>
  <c r="I323" i="2"/>
  <c r="I331" i="2"/>
  <c r="I339" i="2"/>
  <c r="I347" i="2"/>
  <c r="I355" i="2"/>
  <c r="I363" i="2"/>
  <c r="I4043" i="2"/>
  <c r="I379" i="2"/>
  <c r="I387" i="2"/>
  <c r="I395" i="2"/>
  <c r="I403" i="2"/>
  <c r="I6707" i="2"/>
  <c r="I419" i="2"/>
  <c r="I435" i="2"/>
  <c r="I443" i="2"/>
  <c r="I459" i="2"/>
  <c r="I467" i="2"/>
  <c r="I475" i="2"/>
  <c r="I394" i="2"/>
  <c r="I515" i="2"/>
  <c r="I3680" i="2"/>
  <c r="I539" i="2"/>
  <c r="I547" i="2"/>
  <c r="I6708" i="2"/>
  <c r="I563" i="2"/>
  <c r="I3449" i="2"/>
  <c r="I587" i="2"/>
  <c r="I595" i="2"/>
  <c r="I603" i="2"/>
  <c r="I611" i="2"/>
  <c r="I619" i="2"/>
  <c r="I627" i="2"/>
  <c r="I635" i="2"/>
  <c r="I643" i="2"/>
  <c r="I3041" i="2"/>
  <c r="I659" i="2"/>
  <c r="I667" i="2"/>
  <c r="I37" i="2"/>
  <c r="I683" i="2"/>
  <c r="I691" i="2"/>
  <c r="I3202" i="2"/>
  <c r="I707" i="2"/>
  <c r="I715" i="2"/>
  <c r="I723" i="2"/>
  <c r="I731" i="2"/>
  <c r="I739" i="2"/>
  <c r="I5928" i="2"/>
  <c r="I755" i="2"/>
  <c r="I763" i="2"/>
  <c r="I536" i="2"/>
  <c r="I779" i="2"/>
  <c r="I787" i="2"/>
  <c r="I1054" i="2"/>
  <c r="I803" i="2"/>
  <c r="I811" i="2"/>
  <c r="I827" i="2"/>
  <c r="I843" i="2"/>
  <c r="I859" i="2"/>
  <c r="I875" i="2"/>
  <c r="I656" i="2"/>
  <c r="I4812" i="2"/>
  <c r="I923" i="2"/>
  <c r="I4678" i="2"/>
  <c r="I955" i="2"/>
  <c r="I5618" i="2"/>
  <c r="I971" i="2"/>
  <c r="I987" i="2"/>
  <c r="I1003" i="2"/>
  <c r="I1019" i="2"/>
  <c r="I1035" i="2"/>
  <c r="I1051" i="2"/>
  <c r="I5911" i="2"/>
  <c r="I5966" i="2"/>
  <c r="I1099" i="2"/>
  <c r="I1107" i="2"/>
  <c r="I3165" i="2"/>
  <c r="I1123" i="2"/>
  <c r="I1131" i="2"/>
  <c r="I1139" i="2"/>
  <c r="I1147" i="2"/>
  <c r="I1155" i="2"/>
  <c r="I1163" i="2"/>
  <c r="I3661" i="2"/>
  <c r="I1179" i="2"/>
  <c r="I6836" i="2"/>
  <c r="I1195" i="2"/>
  <c r="I1203" i="2"/>
  <c r="I1211" i="2"/>
  <c r="I1219" i="2"/>
  <c r="I1227" i="2"/>
  <c r="I1235" i="2"/>
  <c r="I1243" i="2"/>
  <c r="I1267" i="2"/>
  <c r="I7017" i="2"/>
  <c r="I4630" i="2"/>
  <c r="I1299" i="2"/>
  <c r="I1307" i="2"/>
  <c r="I1315" i="2"/>
  <c r="I1331" i="2"/>
  <c r="I1339" i="2"/>
  <c r="I1347" i="2"/>
  <c r="I3811" i="2"/>
  <c r="I4096" i="2"/>
  <c r="I5133" i="2"/>
  <c r="I1379" i="2"/>
  <c r="I1387" i="2"/>
  <c r="I1403" i="2"/>
  <c r="I1411" i="2"/>
  <c r="I1419" i="2"/>
  <c r="I1420" i="2"/>
  <c r="I1435" i="2"/>
  <c r="I1443" i="2"/>
  <c r="I1451" i="2"/>
  <c r="I1459" i="2"/>
  <c r="I1467" i="2"/>
  <c r="I1483" i="2"/>
  <c r="I3014" i="2"/>
  <c r="I1499" i="2"/>
  <c r="I1515" i="2"/>
  <c r="I1523" i="2"/>
  <c r="I5968" i="2"/>
  <c r="I1555" i="2"/>
  <c r="I1563" i="2"/>
  <c r="I1571" i="2"/>
  <c r="I1579" i="2"/>
  <c r="I1587" i="2"/>
  <c r="I1595" i="2"/>
  <c r="I1603" i="2"/>
  <c r="I1611" i="2"/>
  <c r="I3544" i="2"/>
  <c r="I1627" i="2"/>
  <c r="I1635" i="2"/>
  <c r="I1643" i="2"/>
  <c r="I1651" i="2"/>
  <c r="I1659" i="2"/>
  <c r="I1667" i="2"/>
  <c r="I1675" i="2"/>
  <c r="I1118" i="2"/>
  <c r="I1691" i="2"/>
  <c r="I1699" i="2"/>
  <c r="I1707" i="2"/>
  <c r="I1715" i="2"/>
  <c r="I1723" i="2"/>
  <c r="I1731" i="2"/>
  <c r="I1739" i="2"/>
  <c r="I1747" i="2"/>
  <c r="I1755" i="2"/>
  <c r="I1763" i="2"/>
  <c r="I1771" i="2"/>
  <c r="I1779" i="2"/>
  <c r="I1787" i="2"/>
  <c r="I1795" i="2"/>
  <c r="I1803" i="2"/>
  <c r="I1811" i="2"/>
  <c r="I1819" i="2"/>
  <c r="I1827" i="2"/>
  <c r="I1097" i="2"/>
  <c r="I1843" i="2"/>
  <c r="I1851" i="2"/>
  <c r="I1859" i="2"/>
  <c r="I2159" i="2"/>
  <c r="I1875" i="2"/>
  <c r="I1883" i="2"/>
  <c r="I1891" i="2"/>
  <c r="I1899" i="2"/>
  <c r="I2345" i="2"/>
  <c r="I1915" i="2"/>
  <c r="I1923" i="2"/>
  <c r="I2856" i="2"/>
  <c r="I759" i="2"/>
  <c r="I5818" i="2"/>
  <c r="I1955" i="2"/>
  <c r="I1963" i="2"/>
  <c r="I3164" i="2"/>
  <c r="I3856" i="2"/>
  <c r="I1987" i="2"/>
  <c r="I5998" i="2"/>
  <c r="I2003" i="2"/>
  <c r="I2011" i="2"/>
  <c r="I2019" i="2"/>
  <c r="I2027" i="2"/>
  <c r="I2035" i="2"/>
  <c r="I2043" i="2"/>
  <c r="I2051" i="2"/>
  <c r="I5878" i="2"/>
  <c r="I7222" i="2"/>
  <c r="I2075" i="2"/>
  <c r="I5544" i="2"/>
  <c r="I2091" i="2"/>
  <c r="I2099" i="2"/>
  <c r="I3857" i="2"/>
  <c r="I2115" i="2"/>
  <c r="I2123" i="2"/>
  <c r="I2131" i="2"/>
  <c r="I2139" i="2"/>
  <c r="I2034" i="2"/>
  <c r="I2224" i="2"/>
  <c r="I2163" i="2"/>
  <c r="I329" i="2"/>
  <c r="I2179" i="2"/>
  <c r="I2187" i="2"/>
  <c r="I2195" i="2"/>
  <c r="I2831" i="2"/>
  <c r="I2211" i="2"/>
  <c r="I2219" i="2"/>
  <c r="I2227" i="2"/>
  <c r="I2235" i="2"/>
  <c r="I2243" i="2"/>
  <c r="I5102" i="2"/>
  <c r="I2259" i="2"/>
  <c r="I764" i="2"/>
  <c r="I2275" i="2"/>
  <c r="I570" i="2"/>
  <c r="I2291" i="2"/>
  <c r="I2104" i="2"/>
  <c r="I2307" i="2"/>
  <c r="I2315" i="2"/>
  <c r="I2323" i="2"/>
  <c r="I2331" i="2"/>
  <c r="I2339" i="2"/>
  <c r="I2347" i="2"/>
  <c r="I2355" i="2"/>
  <c r="I2298" i="2"/>
  <c r="I5033" i="2"/>
  <c r="I2379" i="2"/>
  <c r="I2387" i="2"/>
  <c r="I1225" i="2"/>
  <c r="I1151" i="2"/>
  <c r="I6943" i="2"/>
  <c r="I2419" i="2"/>
  <c r="I2427" i="2"/>
  <c r="I2435" i="2"/>
  <c r="I2443" i="2"/>
  <c r="I2451" i="2"/>
  <c r="I2459" i="2"/>
  <c r="I2467" i="2"/>
  <c r="I2475" i="2"/>
  <c r="I2483" i="2"/>
  <c r="I2491" i="2"/>
  <c r="I2499" i="2"/>
  <c r="I2507" i="2"/>
  <c r="I2515" i="2"/>
  <c r="I2523" i="2"/>
  <c r="I2531" i="2"/>
  <c r="I2539" i="2"/>
  <c r="I2547" i="2"/>
  <c r="I2555" i="2"/>
  <c r="I2563" i="2"/>
  <c r="I2571" i="2"/>
  <c r="I2579" i="2"/>
  <c r="I2587" i="2"/>
  <c r="I2595" i="2"/>
  <c r="I2603" i="2"/>
  <c r="I2611" i="2"/>
  <c r="I1135" i="2"/>
  <c r="I2627" i="2"/>
  <c r="I2635" i="2"/>
  <c r="I2643" i="2"/>
  <c r="I2651" i="2"/>
  <c r="I2659" i="2"/>
  <c r="I2667" i="2"/>
  <c r="I2675" i="2"/>
  <c r="I2683" i="2"/>
  <c r="I2691" i="2"/>
  <c r="I2699" i="2"/>
  <c r="I2707" i="2"/>
  <c r="I2715" i="2"/>
  <c r="I2723" i="2"/>
  <c r="I2614" i="2"/>
  <c r="I6519" i="2"/>
  <c r="I2747" i="2"/>
  <c r="I4206" i="2"/>
  <c r="I5482" i="2"/>
  <c r="I734" i="2"/>
  <c r="I6022" i="2"/>
  <c r="I2787" i="2"/>
  <c r="I2795" i="2"/>
  <c r="I2803" i="2"/>
  <c r="I4871" i="2"/>
  <c r="I2819" i="2"/>
  <c r="I878" i="2"/>
  <c r="I2835" i="2"/>
  <c r="I2843" i="2"/>
  <c r="I1461" i="2"/>
  <c r="I2859" i="2"/>
  <c r="I2867" i="2"/>
  <c r="I2875" i="2"/>
  <c r="I2883" i="2"/>
  <c r="I2891" i="2"/>
  <c r="I2899" i="2"/>
  <c r="I2907" i="2"/>
  <c r="I2915" i="2"/>
  <c r="I2923" i="2"/>
  <c r="I2931" i="2"/>
  <c r="I2939" i="2"/>
  <c r="I1597" i="2"/>
  <c r="I2955" i="2"/>
  <c r="I2963" i="2"/>
  <c r="I5751" i="2"/>
  <c r="I2979" i="2"/>
  <c r="I684" i="2"/>
  <c r="I2995" i="2"/>
  <c r="I3003" i="2"/>
  <c r="I3011" i="2"/>
  <c r="I3019" i="2"/>
  <c r="I3027" i="2"/>
  <c r="I3035" i="2"/>
  <c r="I82" i="2"/>
  <c r="I360" i="2"/>
  <c r="I3059" i="2"/>
  <c r="I3067" i="2"/>
  <c r="I3075" i="2"/>
  <c r="I3083" i="2"/>
  <c r="I3091" i="2"/>
  <c r="I3099" i="2"/>
  <c r="I3107" i="2"/>
  <c r="I234" i="2"/>
  <c r="I3123" i="2"/>
  <c r="I3131" i="2"/>
  <c r="I3139" i="2"/>
  <c r="I3147" i="2"/>
  <c r="I1995" i="2"/>
  <c r="I3163" i="2"/>
  <c r="I6565" i="2"/>
  <c r="I3179" i="2"/>
  <c r="I3187" i="2"/>
  <c r="I3195" i="2"/>
  <c r="I3203" i="2"/>
  <c r="I3211" i="2"/>
  <c r="I3219" i="2"/>
  <c r="I3227" i="2"/>
  <c r="I3235" i="2"/>
  <c r="I3243" i="2"/>
  <c r="I3251" i="2"/>
  <c r="I3259" i="2"/>
  <c r="I3267" i="2"/>
  <c r="I3275" i="2"/>
  <c r="I1384" i="2"/>
  <c r="I3291" i="2"/>
  <c r="I3299" i="2"/>
  <c r="I1678" i="2"/>
  <c r="I3315" i="2"/>
  <c r="I3323" i="2"/>
  <c r="I3331" i="2"/>
  <c r="I3339" i="2"/>
  <c r="I3347" i="2"/>
  <c r="I5985" i="2"/>
  <c r="I3363" i="2"/>
  <c r="I3371" i="2"/>
  <c r="I439" i="2"/>
  <c r="I3387" i="2"/>
  <c r="I3395" i="2"/>
  <c r="I3403" i="2"/>
  <c r="I3411" i="2"/>
  <c r="I4843" i="2"/>
  <c r="I3427" i="2"/>
  <c r="I3435" i="2"/>
  <c r="I3443" i="2"/>
  <c r="I3451" i="2"/>
  <c r="I3459" i="2"/>
  <c r="I3467" i="2"/>
  <c r="I4125" i="2"/>
  <c r="I3483" i="2"/>
  <c r="I3491" i="2"/>
  <c r="I3499" i="2"/>
  <c r="I3507" i="2"/>
  <c r="I3515" i="2"/>
  <c r="I3523" i="2"/>
  <c r="I3531" i="2"/>
  <c r="I6160" i="2"/>
  <c r="I3547" i="2"/>
  <c r="I3555" i="2"/>
  <c r="I3563" i="2"/>
  <c r="I3571" i="2"/>
  <c r="I3579" i="2"/>
  <c r="I3587" i="2"/>
  <c r="I3595" i="2"/>
  <c r="I1949" i="2"/>
  <c r="I5233" i="2"/>
  <c r="I3813" i="2"/>
  <c r="I3688" i="2"/>
  <c r="I3635" i="2"/>
  <c r="I3643" i="2"/>
  <c r="I3651" i="2"/>
  <c r="I2106" i="2"/>
  <c r="I3667" i="2"/>
  <c r="I3675" i="2"/>
  <c r="I3683" i="2"/>
  <c r="I3887" i="2"/>
  <c r="I3699" i="2"/>
  <c r="I2474" i="2"/>
  <c r="I2376" i="2"/>
  <c r="I3723" i="2"/>
  <c r="I2537" i="2"/>
  <c r="I3739" i="2"/>
  <c r="I3747" i="2"/>
  <c r="I4169" i="2"/>
  <c r="I674" i="2"/>
  <c r="I3771" i="2"/>
  <c r="I3779" i="2"/>
  <c r="I3787" i="2"/>
  <c r="I5721" i="2"/>
  <c r="I3803" i="2"/>
  <c r="I4844" i="2"/>
  <c r="I3819" i="2"/>
  <c r="I2352" i="2"/>
  <c r="I3835" i="2"/>
  <c r="I3843" i="2"/>
  <c r="I891" i="2"/>
  <c r="I3859" i="2"/>
  <c r="I3867" i="2"/>
  <c r="I3875" i="2"/>
  <c r="I3883" i="2"/>
  <c r="I3891" i="2"/>
  <c r="I3899" i="2"/>
  <c r="I3907" i="2"/>
  <c r="I3915" i="2"/>
  <c r="I2372" i="2"/>
  <c r="I4715" i="2"/>
  <c r="I3939" i="2"/>
  <c r="I3947" i="2"/>
  <c r="I675" i="2"/>
  <c r="I3963" i="2"/>
  <c r="I3971" i="2"/>
  <c r="I3979" i="2"/>
  <c r="I7043" i="2"/>
  <c r="I3995" i="2"/>
  <c r="I6642" i="2"/>
  <c r="I4011" i="2"/>
  <c r="I4019" i="2"/>
  <c r="I4027" i="2"/>
  <c r="I4035" i="2"/>
  <c r="I4863" i="2"/>
  <c r="I5671" i="2"/>
  <c r="I692" i="2"/>
  <c r="I4067" i="2"/>
  <c r="I237" i="2"/>
  <c r="I4083" i="2"/>
  <c r="I3743" i="2"/>
  <c r="I4099" i="2"/>
  <c r="I4107" i="2"/>
  <c r="I4115" i="2"/>
  <c r="I2800" i="2"/>
  <c r="I4131" i="2"/>
  <c r="I4139" i="2"/>
  <c r="I4147" i="2"/>
  <c r="I4155" i="2"/>
  <c r="I3170" i="2"/>
  <c r="I4171" i="2"/>
  <c r="I1490" i="2"/>
  <c r="I4623" i="2"/>
  <c r="I4195" i="2"/>
  <c r="I4203" i="2"/>
  <c r="I2380" i="2"/>
  <c r="I4219" i="2"/>
  <c r="I4227" i="2"/>
  <c r="I4235" i="2"/>
  <c r="I4243" i="2"/>
  <c r="I4251" i="2"/>
  <c r="I5452" i="2"/>
  <c r="I4267" i="2"/>
  <c r="I4275" i="2"/>
  <c r="I2982" i="2"/>
  <c r="I330" i="2"/>
  <c r="I2154" i="2"/>
  <c r="I4307" i="2"/>
  <c r="I4315" i="2"/>
  <c r="I4323" i="2"/>
  <c r="I4331" i="2"/>
  <c r="I4339" i="2"/>
  <c r="I4347" i="2"/>
  <c r="I1159" i="2"/>
  <c r="I4363" i="2"/>
  <c r="I4371" i="2"/>
  <c r="I3960" i="2"/>
  <c r="I4387" i="2"/>
  <c r="I4395" i="2"/>
  <c r="I4403" i="2"/>
  <c r="I4411" i="2"/>
  <c r="I4419" i="2"/>
  <c r="I4427" i="2"/>
  <c r="I4435" i="2"/>
  <c r="I4443" i="2"/>
  <c r="I4451" i="2"/>
  <c r="I4459" i="2"/>
  <c r="I4467" i="2"/>
  <c r="I4475" i="2"/>
  <c r="I4483" i="2"/>
  <c r="I4491" i="2"/>
  <c r="I4499" i="2"/>
  <c r="I4507" i="2"/>
  <c r="I4515" i="2"/>
  <c r="I4523" i="2"/>
  <c r="I203" i="2"/>
  <c r="I1345" i="2"/>
  <c r="I4547" i="2"/>
  <c r="I4555" i="2"/>
  <c r="I4563" i="2"/>
  <c r="I7065" i="2"/>
  <c r="I6187" i="2"/>
  <c r="I1264" i="2"/>
  <c r="I4595" i="2"/>
  <c r="I4603" i="2"/>
  <c r="I6411" i="2"/>
  <c r="I4619" i="2"/>
  <c r="I4627" i="2"/>
  <c r="I4635" i="2"/>
  <c r="I4643" i="2"/>
  <c r="I7011" i="2"/>
  <c r="I4659" i="2"/>
  <c r="I3613" i="2"/>
  <c r="I4675" i="2"/>
  <c r="I233" i="2"/>
  <c r="I4691" i="2"/>
  <c r="I4699" i="2"/>
  <c r="I4707" i="2"/>
  <c r="I6072" i="2"/>
  <c r="I4723" i="2"/>
  <c r="I4731" i="2"/>
  <c r="I4739" i="2"/>
  <c r="I2540" i="2"/>
  <c r="I1013" i="2"/>
  <c r="I4763" i="2"/>
  <c r="I4771" i="2"/>
  <c r="I2161" i="2"/>
  <c r="I4787" i="2"/>
  <c r="I1290" i="2"/>
  <c r="I4803" i="2"/>
  <c r="I4811" i="2"/>
  <c r="I2363" i="2"/>
  <c r="I6416" i="2"/>
  <c r="I4835" i="2"/>
  <c r="I6726" i="2"/>
  <c r="I3802" i="2"/>
  <c r="I4859" i="2"/>
  <c r="I5682" i="2"/>
  <c r="I3620" i="2"/>
  <c r="I4883" i="2"/>
  <c r="I4891" i="2"/>
  <c r="I4899" i="2"/>
  <c r="I4907" i="2"/>
  <c r="I4915" i="2"/>
  <c r="I4923" i="2"/>
  <c r="I7209" i="2"/>
  <c r="I4939" i="2"/>
  <c r="I5245" i="2"/>
  <c r="I4955" i="2"/>
  <c r="I4963" i="2"/>
  <c r="I4971" i="2"/>
  <c r="I4979" i="2"/>
  <c r="I6441" i="2"/>
  <c r="I5003" i="2"/>
  <c r="I4379" i="2"/>
  <c r="I5019" i="2"/>
  <c r="I5027" i="2"/>
  <c r="I5035" i="2"/>
  <c r="I5043" i="2"/>
  <c r="I5051" i="2"/>
  <c r="I5059" i="2"/>
  <c r="I5067" i="2"/>
  <c r="I5075" i="2"/>
  <c r="I5083" i="2"/>
  <c r="I5091" i="2"/>
  <c r="I5099" i="2"/>
  <c r="I5107" i="2"/>
  <c r="I6290" i="2"/>
  <c r="I5123" i="2"/>
  <c r="I2997" i="2"/>
  <c r="I5139" i="2"/>
  <c r="I5147" i="2"/>
  <c r="I239" i="2"/>
  <c r="I5163" i="2"/>
  <c r="I5331" i="2"/>
  <c r="I5339" i="2"/>
  <c r="I4176" i="2"/>
  <c r="I5355" i="2"/>
  <c r="I5363" i="2"/>
  <c r="I5395" i="2"/>
  <c r="I5411" i="2"/>
  <c r="I5419" i="2"/>
  <c r="I5427" i="2"/>
  <c r="I5451" i="2"/>
  <c r="I5459" i="2"/>
  <c r="I5308" i="2"/>
  <c r="I5475" i="2"/>
  <c r="I3047" i="2"/>
  <c r="I5491" i="2"/>
  <c r="I5515" i="2"/>
  <c r="I3001" i="2"/>
  <c r="I5531" i="2"/>
  <c r="I5539" i="2"/>
  <c r="I4066" i="2"/>
  <c r="I6418" i="2"/>
  <c r="I6192" i="2"/>
  <c r="I5571" i="2"/>
  <c r="I3258" i="2"/>
  <c r="I5587" i="2"/>
  <c r="I5595" i="2"/>
  <c r="I4735" i="2"/>
  <c r="I2753" i="2"/>
  <c r="I5619" i="2"/>
  <c r="I1712" i="2"/>
  <c r="I4531" i="2"/>
  <c r="I5643" i="2"/>
  <c r="I5651" i="2"/>
  <c r="I5659" i="2"/>
  <c r="I5667" i="2"/>
  <c r="I6762" i="2"/>
  <c r="I5683" i="2"/>
  <c r="I5691" i="2"/>
  <c r="I7260" i="2"/>
  <c r="I5254" i="2"/>
  <c r="I5715" i="2"/>
  <c r="I5723" i="2"/>
  <c r="I5731" i="2"/>
  <c r="I5739" i="2"/>
  <c r="I5747" i="2"/>
  <c r="I5755" i="2"/>
  <c r="I5763" i="2"/>
  <c r="I5771" i="2"/>
  <c r="I5779" i="2"/>
  <c r="I5787" i="2"/>
  <c r="I141" i="2"/>
  <c r="I5803" i="2"/>
  <c r="I5811" i="2"/>
  <c r="I5819" i="2"/>
  <c r="I5827" i="2"/>
  <c r="I4608" i="2"/>
  <c r="I3653" i="2"/>
  <c r="I2790" i="2"/>
  <c r="I5867" i="2"/>
  <c r="I5875" i="2"/>
  <c r="I5883" i="2"/>
  <c r="I5891" i="2"/>
  <c r="I4836" i="2"/>
  <c r="I5915" i="2"/>
  <c r="I5923" i="2"/>
  <c r="I3095" i="2"/>
  <c r="I5939" i="2"/>
  <c r="I5947" i="2"/>
  <c r="I5955" i="2"/>
  <c r="I5963" i="2"/>
  <c r="I5971" i="2"/>
  <c r="I5979" i="2"/>
  <c r="I5987" i="2"/>
  <c r="I5026" i="2"/>
  <c r="I6003" i="2"/>
  <c r="I6011" i="2"/>
  <c r="I6019" i="2"/>
  <c r="I6027" i="2"/>
  <c r="I6035" i="2"/>
  <c r="I6043" i="2"/>
  <c r="I6051" i="2"/>
  <c r="I6047" i="2"/>
  <c r="I6067" i="2"/>
  <c r="I1501" i="2"/>
  <c r="I6083" i="2"/>
  <c r="I6091" i="2"/>
  <c r="I6099" i="2"/>
  <c r="I6107" i="2"/>
  <c r="I6115" i="2"/>
  <c r="I6123" i="2"/>
  <c r="I6171" i="2"/>
  <c r="I5486" i="2"/>
  <c r="I6195" i="2"/>
  <c r="I6203" i="2"/>
  <c r="I6211" i="2"/>
  <c r="I6219" i="2"/>
  <c r="I6227" i="2"/>
  <c r="I6251" i="2"/>
  <c r="I6323" i="2"/>
  <c r="I6331" i="2"/>
  <c r="I6347" i="2"/>
  <c r="I4583" i="2"/>
  <c r="I6451" i="2"/>
  <c r="I583" i="2"/>
  <c r="I6467" i="2"/>
  <c r="I6515" i="2"/>
  <c r="I6523" i="2"/>
  <c r="I1850" i="2"/>
  <c r="I6867" i="2"/>
  <c r="I903" i="2"/>
  <c r="I6567" i="2"/>
  <c r="I2274" i="2"/>
  <c r="I4304" i="2"/>
  <c r="I3655" i="2"/>
  <c r="I5535" i="2"/>
  <c r="I6627" i="2"/>
  <c r="I6643" i="2"/>
  <c r="I4950" i="2"/>
  <c r="I6577" i="2"/>
  <c r="I6699" i="2"/>
  <c r="I6779" i="2"/>
  <c r="I6807" i="2"/>
  <c r="I2804" i="2"/>
  <c r="I6895" i="2"/>
  <c r="I6935" i="2"/>
  <c r="I6967" i="2"/>
  <c r="I6999" i="2"/>
  <c r="I7027" i="2"/>
  <c r="I3033" i="2"/>
  <c r="I7227" i="2"/>
  <c r="I7291" i="2"/>
  <c r="I7298" i="2"/>
  <c r="I7306" i="2"/>
  <c r="I7314" i="2"/>
  <c r="I7322" i="2"/>
  <c r="I7330" i="2"/>
  <c r="I7338" i="2"/>
  <c r="I7346" i="2"/>
  <c r="I7354" i="2"/>
  <c r="I7362" i="2"/>
  <c r="I7370" i="2"/>
  <c r="I7378" i="2"/>
  <c r="I7386" i="2"/>
  <c r="I7394" i="2"/>
  <c r="I7402" i="2"/>
  <c r="I7410" i="2"/>
  <c r="I7418" i="2"/>
  <c r="I7426" i="2"/>
  <c r="I7434" i="2"/>
  <c r="I7442" i="2"/>
  <c r="I7450" i="2"/>
  <c r="I7458" i="2"/>
  <c r="I7466" i="2"/>
  <c r="I7474" i="2"/>
  <c r="I7482" i="2"/>
  <c r="I7490" i="2"/>
  <c r="I7498" i="2"/>
  <c r="I7506" i="2"/>
  <c r="I7514" i="2"/>
  <c r="I7522" i="2"/>
  <c r="I7530" i="2"/>
  <c r="I7538" i="2"/>
  <c r="I7546" i="2"/>
  <c r="I7554" i="2"/>
  <c r="I7562" i="2"/>
  <c r="I7570" i="2"/>
  <c r="I7578" i="2"/>
  <c r="I7586" i="2"/>
  <c r="I7594" i="2"/>
  <c r="I7602" i="2"/>
  <c r="I7610" i="2"/>
  <c r="I7618" i="2"/>
  <c r="I7626" i="2"/>
  <c r="I7634" i="2"/>
  <c r="I7642" i="2"/>
  <c r="I7658" i="2"/>
  <c r="I7674" i="2"/>
  <c r="I7690" i="2"/>
  <c r="I7698" i="2"/>
  <c r="I7706" i="2"/>
  <c r="I7738" i="2"/>
  <c r="I7746" i="2"/>
  <c r="I7754" i="2"/>
  <c r="I7762" i="2"/>
  <c r="I7770" i="2"/>
  <c r="I7778" i="2"/>
  <c r="I7786" i="2"/>
  <c r="I7794" i="2"/>
  <c r="I7802" i="2"/>
  <c r="I7810" i="2"/>
  <c r="I7818" i="2"/>
  <c r="I7826" i="2"/>
  <c r="I7834" i="2"/>
  <c r="I7842" i="2"/>
  <c r="I7850" i="2"/>
  <c r="I7858" i="2"/>
  <c r="I7866" i="2"/>
  <c r="I7874" i="2"/>
  <c r="I7882" i="2"/>
  <c r="I7890" i="2"/>
  <c r="I7898" i="2"/>
  <c r="I7906" i="2"/>
  <c r="I7914" i="2"/>
  <c r="I7922" i="2"/>
  <c r="I7930" i="2"/>
  <c r="I7938" i="2"/>
  <c r="I7946" i="2"/>
  <c r="I7954" i="2"/>
  <c r="I7962" i="2"/>
  <c r="I7970" i="2"/>
  <c r="I7978" i="2"/>
  <c r="I7986" i="2"/>
  <c r="I7994" i="2"/>
  <c r="I8002" i="2"/>
  <c r="I8010" i="2"/>
  <c r="I8018" i="2"/>
  <c r="I8026" i="2"/>
  <c r="I8034" i="2"/>
  <c r="I8042" i="2"/>
  <c r="I8050" i="2"/>
  <c r="I8058" i="2"/>
  <c r="I8066" i="2"/>
  <c r="I8082" i="2"/>
  <c r="I8098" i="2"/>
  <c r="I8114" i="2"/>
  <c r="I8130" i="2"/>
  <c r="I8146" i="2"/>
  <c r="I12" i="2"/>
  <c r="I20" i="2"/>
  <c r="I28" i="2"/>
  <c r="I36" i="2"/>
  <c r="I246" i="2"/>
  <c r="I52" i="2"/>
  <c r="I60" i="2"/>
  <c r="I100" i="2"/>
  <c r="I108" i="2"/>
  <c r="I116" i="2"/>
  <c r="I124" i="2"/>
  <c r="I132" i="2"/>
  <c r="I140" i="2"/>
  <c r="I156" i="2"/>
  <c r="I164" i="2"/>
  <c r="I172" i="2"/>
  <c r="I180" i="2"/>
  <c r="I188" i="2"/>
  <c r="I5101" i="2"/>
  <c r="I204" i="2"/>
  <c r="I212" i="2"/>
  <c r="I220" i="2"/>
  <c r="I228" i="2"/>
  <c r="I2902" i="2"/>
  <c r="I244" i="2"/>
  <c r="I252" i="2"/>
  <c r="I260" i="2"/>
  <c r="I268" i="2"/>
  <c r="I276" i="2"/>
  <c r="I284" i="2"/>
  <c r="I5340" i="2"/>
  <c r="I308" i="2"/>
  <c r="I316" i="2"/>
  <c r="I5313" i="2"/>
  <c r="I5165" i="2"/>
  <c r="I340" i="2"/>
  <c r="I348" i="2"/>
  <c r="I356" i="2"/>
  <c r="I2965" i="2"/>
  <c r="I5843" i="2"/>
  <c r="I380" i="2"/>
  <c r="I3890" i="2"/>
  <c r="I4211" i="2"/>
  <c r="I1057" i="2"/>
  <c r="I420" i="2"/>
  <c r="I5815" i="2"/>
  <c r="I813" i="2"/>
  <c r="I444" i="2"/>
  <c r="I452" i="2"/>
  <c r="I460" i="2"/>
  <c r="I468" i="2"/>
  <c r="I484" i="2"/>
  <c r="I492" i="2"/>
  <c r="I500" i="2"/>
  <c r="I508" i="2"/>
  <c r="I516" i="2"/>
  <c r="I532" i="2"/>
  <c r="I540" i="2"/>
  <c r="I5542" i="2"/>
  <c r="I556" i="2"/>
  <c r="I564" i="2"/>
  <c r="I572" i="2"/>
  <c r="I580" i="2"/>
  <c r="I596" i="2"/>
  <c r="I604" i="2"/>
  <c r="I612" i="2"/>
  <c r="I620" i="2"/>
  <c r="I628" i="2"/>
  <c r="I636" i="2"/>
  <c r="I644" i="2"/>
  <c r="I1613" i="2"/>
  <c r="I6542" i="2"/>
  <c r="I668" i="2"/>
  <c r="I506" i="2"/>
  <c r="I2181" i="2"/>
  <c r="I5851" i="2"/>
  <c r="I965" i="2"/>
  <c r="I708" i="2"/>
  <c r="I716" i="2"/>
  <c r="I724" i="2"/>
  <c r="I732" i="2"/>
  <c r="I2849" i="2"/>
  <c r="I3999" i="2"/>
  <c r="I756" i="2"/>
  <c r="I3750" i="2"/>
  <c r="I772" i="2"/>
  <c r="I780" i="2"/>
  <c r="I788" i="2"/>
  <c r="I796" i="2"/>
  <c r="I3863" i="2"/>
  <c r="I6486" i="2"/>
  <c r="I4058" i="2"/>
  <c r="I828" i="2"/>
  <c r="I836" i="2"/>
  <c r="I844" i="2"/>
  <c r="I852" i="2"/>
  <c r="I860" i="2"/>
  <c r="I868" i="2"/>
  <c r="I876" i="2"/>
  <c r="I884" i="2"/>
  <c r="I660" i="2"/>
  <c r="I900" i="2"/>
  <c r="I908" i="2"/>
  <c r="I916" i="2"/>
  <c r="I924" i="2"/>
  <c r="I932" i="2"/>
  <c r="I804" i="2"/>
  <c r="I948" i="2"/>
  <c r="I6601" i="2"/>
  <c r="I967" i="2"/>
  <c r="I972" i="2"/>
  <c r="I980" i="2"/>
  <c r="I988" i="2"/>
  <c r="I1446" i="2"/>
  <c r="I1004" i="2"/>
  <c r="I2827" i="2"/>
  <c r="I1020" i="2"/>
  <c r="I1028" i="2"/>
  <c r="I1036" i="2"/>
  <c r="I1526" i="2"/>
  <c r="I1052" i="2"/>
  <c r="I1577" i="2"/>
  <c r="I1068" i="2"/>
  <c r="I812" i="2"/>
  <c r="I4828" i="2"/>
  <c r="I3725" i="2"/>
  <c r="I1100" i="2"/>
  <c r="I1108" i="2"/>
  <c r="I1116" i="2"/>
  <c r="I1124" i="2"/>
  <c r="I1132" i="2"/>
  <c r="I1140" i="2"/>
  <c r="I1148" i="2"/>
  <c r="I1156" i="2"/>
  <c r="I1164" i="2"/>
  <c r="I1172" i="2"/>
  <c r="I3929" i="2"/>
  <c r="I1188" i="2"/>
  <c r="I1196" i="2"/>
  <c r="I1204" i="2"/>
  <c r="I1212" i="2"/>
  <c r="I1220" i="2"/>
  <c r="I7111" i="2"/>
  <c r="I1236" i="2"/>
  <c r="I1244" i="2"/>
  <c r="I1252" i="2"/>
  <c r="I1260" i="2"/>
  <c r="I1268" i="2"/>
  <c r="I1911" i="2"/>
  <c r="I5850" i="2"/>
  <c r="I1292" i="2"/>
  <c r="I1300" i="2"/>
  <c r="I1308" i="2"/>
  <c r="I1316" i="2"/>
  <c r="I1324" i="2"/>
  <c r="I1332" i="2"/>
  <c r="I1340" i="2"/>
  <c r="I1348" i="2"/>
  <c r="I1356" i="2"/>
  <c r="I6485" i="2"/>
  <c r="I1372" i="2"/>
  <c r="I1380" i="2"/>
  <c r="I1388" i="2"/>
  <c r="I6062" i="2"/>
  <c r="I1404" i="2"/>
  <c r="I1412" i="2"/>
  <c r="I4054" i="2"/>
  <c r="I1428" i="2"/>
  <c r="I1436" i="2"/>
  <c r="I6775" i="2"/>
  <c r="I6894" i="2"/>
  <c r="I1460" i="2"/>
  <c r="I1468" i="2"/>
  <c r="I1476" i="2"/>
  <c r="I1484" i="2"/>
  <c r="I1492" i="2"/>
  <c r="I560" i="2"/>
  <c r="I2935" i="2"/>
  <c r="I1516" i="2"/>
  <c r="I1396" i="2"/>
  <c r="I1532" i="2"/>
  <c r="I1540" i="2"/>
  <c r="I1548" i="2"/>
  <c r="I1564" i="2"/>
  <c r="I1572" i="2"/>
  <c r="I1580" i="2"/>
  <c r="I1588" i="2"/>
  <c r="I1596" i="2"/>
  <c r="I1604" i="2"/>
  <c r="I1612" i="2"/>
  <c r="I3569" i="2"/>
  <c r="I1628" i="2"/>
  <c r="I1636" i="2"/>
  <c r="I1644" i="2"/>
  <c r="I1652" i="2"/>
  <c r="I1660" i="2"/>
  <c r="I1668" i="2"/>
  <c r="I1676" i="2"/>
  <c r="I1684" i="2"/>
  <c r="I1692" i="2"/>
  <c r="I1700" i="2"/>
  <c r="I1831" i="2"/>
  <c r="I1716" i="2"/>
  <c r="I1724" i="2"/>
  <c r="I1732" i="2"/>
  <c r="I1740" i="2"/>
  <c r="I1748" i="2"/>
  <c r="I1756" i="2"/>
  <c r="I549" i="2"/>
  <c r="I1772" i="2"/>
  <c r="I1780" i="2"/>
  <c r="I1788" i="2"/>
  <c r="I2853" i="2"/>
  <c r="I5957" i="2"/>
  <c r="I1812" i="2"/>
  <c r="I1820" i="2"/>
  <c r="I1828" i="2"/>
  <c r="I1836" i="2"/>
  <c r="I1844" i="2"/>
  <c r="I1852" i="2"/>
  <c r="I1860" i="2"/>
  <c r="I1868" i="2"/>
  <c r="I1876" i="2"/>
  <c r="I5906" i="2"/>
  <c r="I1892" i="2"/>
  <c r="I1900" i="2"/>
  <c r="I6544" i="2"/>
  <c r="I1916" i="2"/>
  <c r="I6710" i="2"/>
  <c r="I1285" i="2"/>
  <c r="I1940" i="2"/>
  <c r="I6005" i="2"/>
  <c r="I1074" i="2"/>
  <c r="I1964" i="2"/>
  <c r="I1972" i="2"/>
  <c r="I2704" i="2"/>
  <c r="I1988" i="2"/>
  <c r="I1996" i="2"/>
  <c r="I6560" i="2"/>
  <c r="I2012" i="2"/>
  <c r="I2028" i="2"/>
  <c r="I2036" i="2"/>
  <c r="I2044" i="2"/>
  <c r="I2052" i="2"/>
  <c r="I2810" i="2"/>
  <c r="I2068" i="2"/>
  <c r="I6079" i="2"/>
  <c r="I2092" i="2"/>
  <c r="I1686" i="2"/>
  <c r="I4790" i="2"/>
  <c r="I2124" i="2"/>
  <c r="I2132" i="2"/>
  <c r="I3007" i="2"/>
  <c r="I3752" i="2"/>
  <c r="I2164" i="2"/>
  <c r="I7099" i="2"/>
  <c r="I4026" i="2"/>
  <c r="I2188" i="2"/>
  <c r="I2204" i="2"/>
  <c r="I6087" i="2"/>
  <c r="I2228" i="2"/>
  <c r="I2244" i="2"/>
  <c r="I2252" i="2"/>
  <c r="I7057" i="2"/>
  <c r="I2276" i="2"/>
  <c r="I2284" i="2"/>
  <c r="I2292" i="2"/>
  <c r="I2308" i="2"/>
  <c r="I2316" i="2"/>
  <c r="I2324" i="2"/>
  <c r="I2340" i="2"/>
  <c r="I2348" i="2"/>
  <c r="I2356" i="2"/>
  <c r="I5750" i="2"/>
  <c r="I6865" i="2"/>
  <c r="I2388" i="2"/>
  <c r="I2404" i="2"/>
  <c r="I2412" i="2"/>
  <c r="I2420" i="2"/>
  <c r="I2436" i="2"/>
  <c r="I2444" i="2"/>
  <c r="I2452" i="2"/>
  <c r="I2468" i="2"/>
  <c r="I2826" i="2"/>
  <c r="I2484" i="2"/>
  <c r="I2492" i="2"/>
  <c r="I2500" i="2"/>
  <c r="I1666" i="2"/>
  <c r="I6868" i="2"/>
  <c r="I2524" i="2"/>
  <c r="I2532" i="2"/>
  <c r="I5785" i="2"/>
  <c r="I2556" i="2"/>
  <c r="I2564" i="2"/>
  <c r="I2588" i="2"/>
  <c r="I2612" i="2"/>
  <c r="I5124" i="2"/>
  <c r="I2628" i="2"/>
  <c r="I2636" i="2"/>
  <c r="I2644" i="2"/>
  <c r="I2652" i="2"/>
  <c r="I2660" i="2"/>
  <c r="I2668" i="2"/>
  <c r="I7148" i="2"/>
  <c r="I2692" i="2"/>
  <c r="I5205" i="2"/>
  <c r="I1983" i="2"/>
  <c r="I6675" i="2"/>
  <c r="I223" i="2"/>
  <c r="I2820" i="2"/>
  <c r="I2844" i="2"/>
  <c r="I680" i="2"/>
  <c r="I2876" i="2"/>
  <c r="I2884" i="2"/>
  <c r="I2908" i="2"/>
  <c r="I2916" i="2"/>
  <c r="I2940" i="2"/>
  <c r="I2948" i="2"/>
  <c r="I6905" i="2"/>
  <c r="I2980" i="2"/>
  <c r="I3746" i="2"/>
  <c r="I3012" i="2"/>
  <c r="I4269" i="2"/>
  <c r="I3044" i="2"/>
  <c r="I3068" i="2"/>
  <c r="I3076" i="2"/>
  <c r="I3084" i="2"/>
  <c r="I3274" i="2"/>
  <c r="I3108" i="2"/>
  <c r="I937" i="2"/>
  <c r="I3132" i="2"/>
  <c r="I1764" i="2"/>
  <c r="I3148" i="2"/>
  <c r="I6721" i="2"/>
  <c r="I3265" i="2"/>
  <c r="I6242" i="2"/>
  <c r="I3196" i="2"/>
  <c r="I3204" i="2"/>
  <c r="I3212" i="2"/>
  <c r="I3228" i="2"/>
  <c r="I3236" i="2"/>
  <c r="I3244" i="2"/>
  <c r="I3260" i="2"/>
  <c r="I84" i="2"/>
  <c r="I3284" i="2"/>
  <c r="I3292" i="2"/>
  <c r="I3300" i="2"/>
  <c r="I3316" i="2"/>
  <c r="I3324" i="2"/>
  <c r="I3332" i="2"/>
  <c r="I3348" i="2"/>
  <c r="I3356" i="2"/>
  <c r="I3364" i="2"/>
  <c r="I1432" i="2"/>
  <c r="I3388" i="2"/>
  <c r="I3396" i="2"/>
  <c r="I3412" i="2"/>
  <c r="I3420" i="2"/>
  <c r="I3428" i="2"/>
  <c r="I3444" i="2"/>
  <c r="I5938" i="2"/>
  <c r="I3460" i="2"/>
  <c r="I3468" i="2"/>
  <c r="I3476" i="2"/>
  <c r="I3484" i="2"/>
  <c r="I3492" i="2"/>
  <c r="I3500" i="2"/>
  <c r="I3508" i="2"/>
  <c r="I3516" i="2"/>
  <c r="I3532" i="2"/>
  <c r="I3540" i="2"/>
  <c r="I3548" i="2"/>
  <c r="I3556" i="2"/>
  <c r="I3572" i="2"/>
  <c r="I3580" i="2"/>
  <c r="I3596" i="2"/>
  <c r="I3604" i="2"/>
  <c r="I5236" i="2"/>
  <c r="I3628" i="2"/>
  <c r="I3636" i="2"/>
  <c r="I3644" i="2"/>
  <c r="I2837" i="2"/>
  <c r="I4548" i="2"/>
  <c r="I3676" i="2"/>
  <c r="I3692" i="2"/>
  <c r="I3700" i="2"/>
  <c r="I3708" i="2"/>
  <c r="I3724" i="2"/>
  <c r="I3732" i="2"/>
  <c r="I4163" i="2"/>
  <c r="I3772" i="2"/>
  <c r="I3780" i="2"/>
  <c r="I3788" i="2"/>
  <c r="I3796" i="2"/>
  <c r="I3804" i="2"/>
  <c r="I2359" i="2"/>
  <c r="I3836" i="2"/>
  <c r="I3844" i="2"/>
  <c r="I3860" i="2"/>
  <c r="I3868" i="2"/>
  <c r="I3876" i="2"/>
  <c r="I3892" i="2"/>
  <c r="I3900" i="2"/>
  <c r="I3908" i="2"/>
  <c r="I3916" i="2"/>
  <c r="I3924" i="2"/>
  <c r="I3932" i="2"/>
  <c r="I3940" i="2"/>
  <c r="I3948" i="2"/>
  <c r="I3956" i="2"/>
  <c r="I3964" i="2"/>
  <c r="I4572" i="2"/>
  <c r="I3980" i="2"/>
  <c r="I3988" i="2"/>
  <c r="I4683" i="2"/>
  <c r="I4012" i="2"/>
  <c r="I3817" i="2"/>
  <c r="I4028" i="2"/>
  <c r="I4036" i="2"/>
  <c r="I4044" i="2"/>
  <c r="I4052" i="2"/>
  <c r="I4060" i="2"/>
  <c r="I4068" i="2"/>
  <c r="I693" i="2"/>
  <c r="I5518" i="2"/>
  <c r="I4092" i="2"/>
  <c r="I4100" i="2"/>
  <c r="I4108" i="2"/>
  <c r="I4078" i="2"/>
  <c r="I4124" i="2"/>
  <c r="I4132" i="2"/>
  <c r="I4140" i="2"/>
  <c r="I4148" i="2"/>
  <c r="I4156" i="2"/>
  <c r="I4164" i="2"/>
  <c r="I4180" i="2"/>
  <c r="I3355" i="2"/>
  <c r="I313" i="2"/>
  <c r="I4212" i="2"/>
  <c r="I4220" i="2"/>
  <c r="I4228" i="2"/>
  <c r="I4244" i="2"/>
  <c r="I4252" i="2"/>
  <c r="I4260" i="2"/>
  <c r="I4276" i="2"/>
  <c r="I6583" i="2"/>
  <c r="I4292" i="2"/>
  <c r="I4308" i="2"/>
  <c r="I4316" i="2"/>
  <c r="I4324" i="2"/>
  <c r="I4340" i="2"/>
  <c r="I4348" i="2"/>
  <c r="I4356" i="2"/>
  <c r="I1407" i="2"/>
  <c r="I548" i="2"/>
  <c r="I4388" i="2"/>
  <c r="I127" i="2"/>
  <c r="I4412" i="2"/>
  <c r="I4420" i="2"/>
  <c r="I4436" i="2"/>
  <c r="I4444" i="2"/>
  <c r="I4452" i="2"/>
  <c r="I4468" i="2"/>
  <c r="I4476" i="2"/>
  <c r="I4484" i="2"/>
  <c r="I4500" i="2"/>
  <c r="I4508" i="2"/>
  <c r="I4516" i="2"/>
  <c r="I4532" i="2"/>
  <c r="I4540" i="2"/>
  <c r="I1287" i="2"/>
  <c r="I4564" i="2"/>
  <c r="I2994" i="2"/>
  <c r="I5049" i="2"/>
  <c r="I4596" i="2"/>
  <c r="I4604" i="2"/>
  <c r="I4612" i="2"/>
  <c r="I4628" i="2"/>
  <c r="I2371" i="2"/>
  <c r="I4666" i="2"/>
  <c r="I1200" i="2"/>
  <c r="I2779" i="2"/>
  <c r="I4676" i="2"/>
  <c r="I4692" i="2"/>
  <c r="I4700" i="2"/>
  <c r="I4708" i="2"/>
  <c r="I4724" i="2"/>
  <c r="I4732" i="2"/>
  <c r="I4740" i="2"/>
  <c r="I5244" i="2"/>
  <c r="I4764" i="2"/>
  <c r="I4772" i="2"/>
  <c r="I4788" i="2"/>
  <c r="I4796" i="2"/>
  <c r="I4804" i="2"/>
  <c r="I3703" i="2"/>
  <c r="I5937" i="2"/>
  <c r="I4274" i="2"/>
  <c r="I6727" i="2"/>
  <c r="I5464" i="2"/>
  <c r="I2516" i="2"/>
  <c r="I3625" i="2"/>
  <c r="I4884" i="2"/>
  <c r="I4892" i="2"/>
  <c r="I4900" i="2"/>
  <c r="I4908" i="2"/>
  <c r="I4916" i="2"/>
  <c r="I4924" i="2"/>
  <c r="I4932" i="2"/>
  <c r="I5725" i="2"/>
  <c r="I7046" i="2"/>
  <c r="I4956" i="2"/>
  <c r="I4964" i="2"/>
  <c r="I4972" i="2"/>
  <c r="I1265" i="2"/>
  <c r="I6547" i="2"/>
  <c r="I4996" i="2"/>
  <c r="I5594" i="2"/>
  <c r="I5012" i="2"/>
  <c r="I5020" i="2"/>
  <c r="I3972" i="2"/>
  <c r="I5036" i="2"/>
  <c r="I5044" i="2"/>
  <c r="I5052" i="2"/>
  <c r="I5060" i="2"/>
  <c r="I5068" i="2"/>
  <c r="I5076" i="2"/>
  <c r="I5247" i="2"/>
  <c r="I5092" i="2"/>
  <c r="I5100" i="2"/>
  <c r="I5108" i="2"/>
  <c r="I5116" i="2"/>
  <c r="I6433" i="2"/>
  <c r="I5132" i="2"/>
  <c r="I3109" i="2"/>
  <c r="I6597" i="2"/>
  <c r="I6479" i="2"/>
  <c r="I5164" i="2"/>
  <c r="I5172" i="2"/>
  <c r="I5623" i="2"/>
  <c r="I5188" i="2"/>
  <c r="I5196" i="2"/>
  <c r="I5204" i="2"/>
  <c r="I5212" i="2"/>
  <c r="I4539" i="2"/>
  <c r="I5228" i="2"/>
  <c r="I4546" i="2"/>
  <c r="I6757" i="2"/>
  <c r="I5252" i="2"/>
  <c r="I5260" i="2"/>
  <c r="I6060" i="2"/>
  <c r="I5276" i="2"/>
  <c r="I5284" i="2"/>
  <c r="I5292" i="2"/>
  <c r="I5300" i="2"/>
  <c r="I966" i="2"/>
  <c r="I5316" i="2"/>
  <c r="I5324" i="2"/>
  <c r="I5332" i="2"/>
  <c r="I3289" i="2"/>
  <c r="I5348" i="2"/>
  <c r="I5356" i="2"/>
  <c r="I5364" i="2"/>
  <c r="I5372" i="2"/>
  <c r="I5380" i="2"/>
  <c r="I5388" i="2"/>
  <c r="I5396" i="2"/>
  <c r="I5404" i="2"/>
  <c r="I5412" i="2"/>
  <c r="I5420" i="2"/>
  <c r="I2309" i="2"/>
  <c r="I857" i="2"/>
  <c r="I5460" i="2"/>
  <c r="I1953" i="2"/>
  <c r="I5476" i="2"/>
  <c r="I5484" i="2"/>
  <c r="I5492" i="2"/>
  <c r="I4756" i="2"/>
  <c r="I5532" i="2"/>
  <c r="I5540" i="2"/>
  <c r="I5548" i="2"/>
  <c r="I5556" i="2"/>
  <c r="I5564" i="2"/>
  <c r="I651" i="2"/>
  <c r="I5580" i="2"/>
  <c r="I5588" i="2"/>
  <c r="I5596" i="2"/>
  <c r="I2261" i="2"/>
  <c r="I1494" i="2"/>
  <c r="I2732" i="2"/>
  <c r="I2167" i="2"/>
  <c r="I2295" i="2"/>
  <c r="I6646" i="2"/>
  <c r="I5652" i="2"/>
  <c r="I5660" i="2"/>
  <c r="I5668" i="2"/>
  <c r="I5467" i="2"/>
  <c r="I5684" i="2"/>
  <c r="I2784" i="2"/>
  <c r="I3928" i="2"/>
  <c r="I5257" i="2"/>
  <c r="I5716" i="2"/>
  <c r="I5724" i="2"/>
  <c r="I5732" i="2"/>
  <c r="I5740" i="2"/>
  <c r="I6672" i="2"/>
  <c r="I1600" i="2"/>
  <c r="I5764" i="2"/>
  <c r="I5772" i="2"/>
  <c r="I5780" i="2"/>
  <c r="I4644" i="2"/>
  <c r="I5796" i="2"/>
  <c r="I5804" i="2"/>
  <c r="I5812" i="2"/>
  <c r="I5820" i="2"/>
  <c r="I5828" i="2"/>
  <c r="I1877" i="2"/>
  <c r="I5844" i="2"/>
  <c r="I5852" i="2"/>
  <c r="I5860" i="2"/>
  <c r="I5868" i="2"/>
  <c r="I5876" i="2"/>
  <c r="I5884" i="2"/>
  <c r="I5892" i="2"/>
  <c r="I1956" i="2"/>
  <c r="I5908" i="2"/>
  <c r="I5916" i="2"/>
  <c r="I6540" i="2"/>
  <c r="I4657" i="2"/>
  <c r="I5940" i="2"/>
  <c r="I5948" i="2"/>
  <c r="I5956" i="2"/>
  <c r="I2381" i="2"/>
  <c r="I5972" i="2"/>
  <c r="I5980" i="2"/>
  <c r="I5988" i="2"/>
  <c r="I2674" i="2"/>
  <c r="I6004" i="2"/>
  <c r="I6012" i="2"/>
  <c r="I6020" i="2"/>
  <c r="I6028" i="2"/>
  <c r="I6036" i="2"/>
  <c r="I6044" i="2"/>
  <c r="I6052" i="2"/>
  <c r="I7123" i="2"/>
  <c r="I3004" i="2"/>
  <c r="I6076" i="2"/>
  <c r="I6084" i="2"/>
  <c r="I4303" i="2"/>
  <c r="I6100" i="2"/>
  <c r="I6108" i="2"/>
  <c r="I6116" i="2"/>
  <c r="I6124" i="2"/>
  <c r="I6132" i="2"/>
  <c r="I6140" i="2"/>
  <c r="I6148" i="2"/>
  <c r="I6156" i="2"/>
  <c r="I6164" i="2"/>
  <c r="I1524" i="2"/>
  <c r="I6180" i="2"/>
  <c r="I6188" i="2"/>
  <c r="I6196" i="2"/>
  <c r="I6204" i="2"/>
  <c r="I6212" i="2"/>
  <c r="I6220" i="2"/>
  <c r="I1680" i="2"/>
  <c r="I6236" i="2"/>
  <c r="I6244" i="2"/>
  <c r="I3113" i="2"/>
  <c r="I6260" i="2"/>
  <c r="I6268" i="2"/>
  <c r="I6276" i="2"/>
  <c r="I6284" i="2"/>
  <c r="I6292" i="2"/>
  <c r="I6300" i="2"/>
  <c r="I6308" i="2"/>
  <c r="I6316" i="2"/>
  <c r="I6324" i="2"/>
  <c r="I6332" i="2"/>
  <c r="I6340" i="2"/>
  <c r="I6348" i="2"/>
  <c r="I6356" i="2"/>
  <c r="I6364" i="2"/>
  <c r="I6372" i="2"/>
  <c r="I6380" i="2"/>
  <c r="I6388" i="2"/>
  <c r="I6396" i="2"/>
  <c r="I6404" i="2"/>
  <c r="I6412" i="2"/>
  <c r="I6420" i="2"/>
  <c r="I6428" i="2"/>
  <c r="I6436" i="2"/>
  <c r="I6444" i="2"/>
  <c r="I6452" i="2"/>
  <c r="I6460" i="2"/>
  <c r="I6468" i="2"/>
  <c r="I6476" i="2"/>
  <c r="I2848" i="2"/>
  <c r="I6492" i="2"/>
  <c r="I6500" i="2"/>
  <c r="I6508" i="2"/>
  <c r="I5550" i="2"/>
  <c r="I1023" i="2"/>
  <c r="I6532" i="2"/>
  <c r="I6048" i="2"/>
  <c r="I6481" i="2"/>
  <c r="I6556" i="2"/>
  <c r="I6564" i="2"/>
  <c r="I6572" i="2"/>
  <c r="I6580" i="2"/>
  <c r="I7032" i="2"/>
  <c r="I3937" i="2"/>
  <c r="I6604" i="2"/>
  <c r="I3156" i="2"/>
  <c r="I6620" i="2"/>
  <c r="I6628" i="2"/>
  <c r="I6636" i="2"/>
  <c r="I6644" i="2"/>
  <c r="I6652" i="2"/>
  <c r="I6660" i="2"/>
  <c r="I5700" i="2"/>
  <c r="I6676" i="2"/>
  <c r="I483" i="2"/>
  <c r="I6692" i="2"/>
  <c r="I6700" i="2"/>
  <c r="I6995" i="2"/>
  <c r="I6716" i="2"/>
  <c r="I6724" i="2"/>
  <c r="I1793" i="2"/>
  <c r="I4000" i="2"/>
  <c r="I6748" i="2"/>
  <c r="I1665" i="2"/>
  <c r="I6764" i="2"/>
  <c r="I2282" i="2"/>
  <c r="I6780" i="2"/>
  <c r="I6226" i="2"/>
  <c r="I6796" i="2"/>
  <c r="I6804" i="2"/>
  <c r="I6812" i="2"/>
  <c r="I6820" i="2"/>
  <c r="I6828" i="2"/>
  <c r="I4679" i="2"/>
  <c r="I6844" i="2"/>
  <c r="I6852" i="2"/>
  <c r="I6860" i="2"/>
  <c r="I5029" i="2"/>
  <c r="I6994" i="2"/>
  <c r="I6884" i="2"/>
  <c r="I6892" i="2"/>
  <c r="I6900" i="2"/>
  <c r="I782" i="2"/>
  <c r="I4742" i="2"/>
  <c r="I5791" i="2"/>
  <c r="I6932" i="2"/>
  <c r="I423" i="2"/>
  <c r="I6948" i="2"/>
  <c r="I6956" i="2"/>
  <c r="I6964" i="2"/>
  <c r="I6972" i="2"/>
  <c r="I6980" i="2"/>
  <c r="I6988" i="2"/>
  <c r="I4193" i="2"/>
  <c r="I7004" i="2"/>
  <c r="I7012" i="2"/>
  <c r="I7020" i="2"/>
  <c r="I1276" i="2"/>
  <c r="I7036" i="2"/>
  <c r="I7044" i="2"/>
  <c r="I5497" i="2"/>
  <c r="I7060" i="2"/>
  <c r="I7068" i="2"/>
  <c r="I7076" i="2"/>
  <c r="I4622" i="2"/>
  <c r="I7092" i="2"/>
  <c r="I7100" i="2"/>
  <c r="I7108" i="2"/>
  <c r="I7116" i="2"/>
  <c r="I7124" i="2"/>
  <c r="I7132" i="2"/>
  <c r="I7140" i="2"/>
  <c r="I1061" i="2"/>
  <c r="I7156" i="2"/>
  <c r="I7164" i="2"/>
  <c r="I7172" i="2"/>
  <c r="I7180" i="2"/>
  <c r="I7188" i="2"/>
  <c r="I7196" i="2"/>
  <c r="I7204" i="2"/>
  <c r="I7212" i="2"/>
  <c r="I7220" i="2"/>
  <c r="I7228" i="2"/>
  <c r="I7236" i="2"/>
  <c r="I7244" i="2"/>
  <c r="I7252" i="2"/>
  <c r="I197" i="2"/>
  <c r="I7268" i="2"/>
  <c r="I7276" i="2"/>
  <c r="I7284" i="2"/>
  <c r="I7117" i="2"/>
  <c r="I7233" i="2"/>
  <c r="I7249" i="2"/>
  <c r="I7265" i="2"/>
  <c r="I6667" i="2"/>
  <c r="I5268" i="2"/>
  <c r="I6811" i="2"/>
  <c r="I6843" i="2"/>
  <c r="I6879" i="2"/>
  <c r="I224" i="2"/>
  <c r="I6947" i="2"/>
  <c r="I6979" i="2"/>
  <c r="I1171" i="2"/>
  <c r="I3015" i="2"/>
  <c r="I7075" i="2"/>
  <c r="I7107" i="2"/>
  <c r="I7139" i="2"/>
  <c r="I7171" i="2"/>
  <c r="I7239" i="2"/>
  <c r="I7299" i="2"/>
  <c r="I7307" i="2"/>
  <c r="I7323" i="2"/>
  <c r="I7331" i="2"/>
  <c r="I7339" i="2"/>
  <c r="I7347" i="2"/>
  <c r="I7355" i="2"/>
  <c r="I7363" i="2"/>
  <c r="I7371" i="2"/>
  <c r="I7379" i="2"/>
  <c r="I7435" i="2"/>
  <c r="I7467" i="2"/>
  <c r="I7475" i="2"/>
  <c r="I7491" i="2"/>
  <c r="I7499" i="2"/>
  <c r="I7507" i="2"/>
  <c r="I7523" i="2"/>
  <c r="I7531" i="2"/>
  <c r="I7539" i="2"/>
  <c r="I7571" i="2"/>
  <c r="I7579" i="2"/>
  <c r="I7587" i="2"/>
  <c r="I7643" i="2"/>
  <c r="I7659" i="2"/>
  <c r="I7675" i="2"/>
  <c r="I7691" i="2"/>
  <c r="I7699" i="2"/>
  <c r="I7707" i="2"/>
  <c r="I7739" i="2"/>
  <c r="I7755" i="2"/>
  <c r="I7771" i="2"/>
  <c r="I7787" i="2"/>
  <c r="I7803" i="2"/>
  <c r="I7811" i="2"/>
  <c r="I7819" i="2"/>
  <c r="I7827" i="2"/>
  <c r="I7835" i="2"/>
  <c r="I7843" i="2"/>
  <c r="I7851" i="2"/>
  <c r="I7899" i="2"/>
  <c r="I7907" i="2"/>
  <c r="I7931" i="2"/>
  <c r="I7939" i="2"/>
  <c r="I7963" i="2"/>
  <c r="I7971" i="2"/>
  <c r="I7979" i="2"/>
  <c r="I7987" i="2"/>
  <c r="I7995" i="2"/>
  <c r="I8003" i="2"/>
  <c r="I8011" i="2"/>
  <c r="I8019" i="2"/>
  <c r="I8027" i="2"/>
  <c r="I8035" i="2"/>
  <c r="I8043" i="2"/>
  <c r="I8051" i="2"/>
  <c r="I8059" i="2"/>
  <c r="I8067" i="2"/>
  <c r="I8075" i="2"/>
  <c r="I8083" i="2"/>
  <c r="I8091" i="2"/>
  <c r="I8099" i="2"/>
  <c r="I8107" i="2"/>
  <c r="I8115" i="2"/>
  <c r="I8123" i="2"/>
  <c r="I8131" i="2"/>
  <c r="I8139" i="2"/>
  <c r="I8147" i="2"/>
  <c r="I5" i="2"/>
  <c r="I13" i="2"/>
  <c r="I21" i="2"/>
  <c r="I29" i="2"/>
  <c r="I6996" i="2"/>
  <c r="I655" i="2"/>
  <c r="I53" i="2"/>
  <c r="I61" i="2"/>
  <c r="I69" i="2"/>
  <c r="I77" i="2"/>
  <c r="I350" i="2"/>
  <c r="I93" i="2"/>
  <c r="I101" i="2"/>
  <c r="I557" i="2"/>
  <c r="I117" i="2"/>
  <c r="I125" i="2"/>
  <c r="I1807" i="2"/>
  <c r="I2756" i="2"/>
  <c r="I149" i="2"/>
  <c r="I157" i="2"/>
  <c r="I165" i="2"/>
  <c r="I173" i="2"/>
  <c r="I181" i="2"/>
  <c r="I373" i="2"/>
  <c r="I1848" i="2"/>
  <c r="I205" i="2"/>
  <c r="I213" i="2"/>
  <c r="I221" i="2"/>
  <c r="I229" i="2"/>
  <c r="I3946" i="2"/>
  <c r="I245" i="2"/>
  <c r="I253" i="2"/>
  <c r="I261" i="2"/>
  <c r="I269" i="2"/>
  <c r="I277" i="2"/>
  <c r="I285" i="2"/>
  <c r="I293" i="2"/>
  <c r="I301" i="2"/>
  <c r="I309" i="2"/>
  <c r="I317" i="2"/>
  <c r="I325" i="2"/>
  <c r="I333" i="2"/>
  <c r="I6590" i="2"/>
  <c r="I349" i="2"/>
  <c r="I357" i="2"/>
  <c r="I2147" i="2"/>
  <c r="I5845" i="2"/>
  <c r="I2768" i="2"/>
  <c r="I1683" i="2"/>
  <c r="I5579" i="2"/>
  <c r="I405" i="2"/>
  <c r="I413" i="2"/>
  <c r="I1835" i="2"/>
  <c r="I429" i="2"/>
  <c r="I5636" i="2"/>
  <c r="I6772" i="2"/>
  <c r="I453" i="2"/>
  <c r="I461" i="2"/>
  <c r="I4565" i="2"/>
  <c r="I477" i="2"/>
  <c r="I485" i="2"/>
  <c r="I493" i="2"/>
  <c r="I501" i="2"/>
  <c r="I509" i="2"/>
  <c r="I517" i="2"/>
  <c r="I525" i="2"/>
  <c r="I533" i="2"/>
  <c r="I541" i="2"/>
  <c r="I4022" i="2"/>
  <c r="I3690" i="2"/>
  <c r="I565" i="2"/>
  <c r="I573" i="2"/>
  <c r="I2700" i="2"/>
  <c r="I589" i="2"/>
  <c r="I597" i="2"/>
  <c r="I605" i="2"/>
  <c r="I4566" i="2"/>
  <c r="I621" i="2"/>
  <c r="I645" i="2"/>
  <c r="I6553" i="2"/>
  <c r="I669" i="2"/>
  <c r="I1878" i="2"/>
  <c r="I685" i="2"/>
  <c r="I3180" i="2"/>
  <c r="I701" i="2"/>
  <c r="I709" i="2"/>
  <c r="I717" i="2"/>
  <c r="I725" i="2"/>
  <c r="I5009" i="2"/>
  <c r="I741" i="2"/>
  <c r="I2306" i="2"/>
  <c r="I757" i="2"/>
  <c r="I765" i="2"/>
  <c r="I773" i="2"/>
  <c r="I781" i="2"/>
  <c r="I789" i="2"/>
  <c r="I797" i="2"/>
  <c r="I805" i="2"/>
  <c r="I372" i="2"/>
  <c r="I821" i="2"/>
  <c r="I829" i="2"/>
  <c r="I837" i="2"/>
  <c r="I845" i="2"/>
  <c r="I853" i="2"/>
  <c r="I861" i="2"/>
  <c r="I869" i="2"/>
  <c r="I877" i="2"/>
  <c r="I885" i="2"/>
  <c r="I893" i="2"/>
  <c r="I901" i="2"/>
  <c r="I909" i="2"/>
  <c r="I917" i="2"/>
  <c r="I925" i="2"/>
  <c r="I933" i="2"/>
  <c r="I941" i="2"/>
  <c r="I949" i="2"/>
  <c r="I957" i="2"/>
  <c r="I5707" i="2"/>
  <c r="I973" i="2"/>
  <c r="I981" i="2"/>
  <c r="I989" i="2"/>
  <c r="I1981" i="2"/>
  <c r="I1005" i="2"/>
  <c r="I6907" i="2"/>
  <c r="I4214" i="2"/>
  <c r="I1029" i="2"/>
  <c r="I1037" i="2"/>
  <c r="I2971" i="2"/>
  <c r="I2471" i="2"/>
  <c r="I5748" i="2"/>
  <c r="I1069" i="2"/>
  <c r="I938" i="2"/>
  <c r="I6596" i="2"/>
  <c r="I1313" i="2"/>
  <c r="I1101" i="2"/>
  <c r="I1109" i="2"/>
  <c r="I3706" i="2"/>
  <c r="I1125" i="2"/>
  <c r="I1133" i="2"/>
  <c r="I1141" i="2"/>
  <c r="I1149" i="2"/>
  <c r="I1157" i="2"/>
  <c r="I1165" i="2"/>
  <c r="I1173" i="2"/>
  <c r="I1181" i="2"/>
  <c r="I1189" i="2"/>
  <c r="I1197" i="2"/>
  <c r="I1205" i="2"/>
  <c r="I3701" i="2"/>
  <c r="I1221" i="2"/>
  <c r="I6518" i="2"/>
  <c r="I1390" i="2"/>
  <c r="I1245" i="2"/>
  <c r="I1253" i="2"/>
  <c r="I1261" i="2"/>
  <c r="I1269" i="2"/>
  <c r="I4854" i="2"/>
  <c r="I1293" i="2"/>
  <c r="I1301" i="2"/>
  <c r="I1309" i="2"/>
  <c r="I1317" i="2"/>
  <c r="I1325" i="2"/>
  <c r="I1333" i="2"/>
  <c r="I1341" i="2"/>
  <c r="I1349" i="2"/>
  <c r="I1357" i="2"/>
  <c r="I1365" i="2"/>
  <c r="I1373" i="2"/>
  <c r="I1381" i="2"/>
  <c r="I1389" i="2"/>
  <c r="I6071" i="2"/>
  <c r="I1405" i="2"/>
  <c r="I1429" i="2"/>
  <c r="I7019" i="2"/>
  <c r="I1445" i="2"/>
  <c r="I4868" i="2"/>
  <c r="I393" i="2"/>
  <c r="I1469" i="2"/>
  <c r="I1477" i="2"/>
  <c r="I1485" i="2"/>
  <c r="I489" i="2"/>
  <c r="I1509" i="2"/>
  <c r="I382" i="2"/>
  <c r="I5848" i="2"/>
  <c r="I1533" i="2"/>
  <c r="I1541" i="2"/>
  <c r="I1549" i="2"/>
  <c r="I1557" i="2"/>
  <c r="I1573" i="2"/>
  <c r="I1581" i="2"/>
  <c r="I1589" i="2"/>
  <c r="I2776" i="2"/>
  <c r="I1605" i="2"/>
  <c r="I1656" i="2"/>
  <c r="I1621" i="2"/>
  <c r="I1629" i="2"/>
  <c r="I5399" i="2"/>
  <c r="I1645" i="2"/>
  <c r="I1653" i="2"/>
  <c r="I1661" i="2"/>
  <c r="I1669" i="2"/>
  <c r="I1677" i="2"/>
  <c r="I1685" i="2"/>
  <c r="I1693" i="2"/>
  <c r="I1701" i="2"/>
  <c r="I7112" i="2"/>
  <c r="I1717" i="2"/>
  <c r="I438" i="2"/>
  <c r="I1733" i="2"/>
  <c r="I1741" i="2"/>
  <c r="I1749" i="2"/>
  <c r="I1757" i="2"/>
  <c r="I1765" i="2"/>
  <c r="I1773" i="2"/>
  <c r="I1781" i="2"/>
  <c r="I1789" i="2"/>
  <c r="I2577" i="2"/>
  <c r="I4103" i="2"/>
  <c r="I1813" i="2"/>
  <c r="I1821" i="2"/>
  <c r="I1829" i="2"/>
  <c r="I1837" i="2"/>
  <c r="I1845" i="2"/>
  <c r="I1853" i="2"/>
  <c r="I1861" i="2"/>
  <c r="I1867" i="2"/>
  <c r="I1885" i="2"/>
  <c r="I1893" i="2"/>
  <c r="I6747" i="2"/>
  <c r="I1909" i="2"/>
  <c r="I1917" i="2"/>
  <c r="I1925" i="2"/>
  <c r="I1933" i="2"/>
  <c r="I1941" i="2"/>
  <c r="I3307" i="2"/>
  <c r="I5649" i="2"/>
  <c r="I1965" i="2"/>
  <c r="I1973" i="2"/>
  <c r="I2824" i="2"/>
  <c r="I1989" i="2"/>
  <c r="I1997" i="2"/>
  <c r="I6940" i="2"/>
  <c r="I2013" i="2"/>
  <c r="I2029" i="2"/>
  <c r="I2037" i="2"/>
  <c r="I2045" i="2"/>
  <c r="I2100" i="2"/>
  <c r="I6656" i="2"/>
  <c r="I1535" i="2"/>
  <c r="I1971" i="2"/>
  <c r="I2085" i="2"/>
  <c r="I2093" i="2"/>
  <c r="I2101" i="2"/>
  <c r="I2109" i="2"/>
  <c r="I6298" i="2"/>
  <c r="I6488" i="2"/>
  <c r="I2133" i="2"/>
  <c r="I2141" i="2"/>
  <c r="I71" i="2"/>
  <c r="I4986" i="2"/>
  <c r="I2165" i="2"/>
  <c r="I6848" i="2"/>
  <c r="I1505" i="2"/>
  <c r="I2189" i="2"/>
  <c r="I2197" i="2"/>
  <c r="I2205" i="2"/>
  <c r="I2213" i="2"/>
  <c r="I2221" i="2"/>
  <c r="I2229" i="2"/>
  <c r="I2237" i="2"/>
  <c r="I2245" i="2"/>
  <c r="I2253" i="2"/>
  <c r="I5319" i="2"/>
  <c r="I6876" i="2"/>
  <c r="I4370" i="2"/>
  <c r="I2285" i="2"/>
  <c r="I1075" i="2"/>
  <c r="I5569" i="2"/>
  <c r="I1296" i="2"/>
  <c r="I2317" i="2"/>
  <c r="I2325" i="2"/>
  <c r="I2333" i="2"/>
  <c r="I2834" i="2"/>
  <c r="I2349" i="2"/>
  <c r="I2357" i="2"/>
  <c r="I2365" i="2"/>
  <c r="I6554" i="2"/>
  <c r="I1896" i="2"/>
  <c r="I2389" i="2"/>
  <c r="I2397" i="2"/>
  <c r="I4857" i="2"/>
  <c r="I3745" i="2"/>
  <c r="I2712" i="2"/>
  <c r="I2429" i="2"/>
  <c r="I2437" i="2"/>
  <c r="I2445" i="2"/>
  <c r="I2453" i="2"/>
  <c r="I2461" i="2"/>
  <c r="I2469" i="2"/>
  <c r="I2694" i="2"/>
  <c r="I2485" i="2"/>
  <c r="I2493" i="2"/>
  <c r="I2501" i="2"/>
  <c r="I2509" i="2"/>
  <c r="I4295" i="2"/>
  <c r="I2525" i="2"/>
  <c r="I2533" i="2"/>
  <c r="I3727" i="2"/>
  <c r="I2549" i="2"/>
  <c r="I2557" i="2"/>
  <c r="I2565" i="2"/>
  <c r="I2573" i="2"/>
  <c r="I2581" i="2"/>
  <c r="I2589" i="2"/>
  <c r="I2597" i="2"/>
  <c r="I2605" i="2"/>
  <c r="I2613" i="2"/>
  <c r="I2621" i="2"/>
  <c r="I2629" i="2"/>
  <c r="I2637" i="2"/>
  <c r="I2480" i="2"/>
  <c r="I2653" i="2"/>
  <c r="I2661" i="2"/>
  <c r="I4392" i="2"/>
  <c r="I7151" i="2"/>
  <c r="I2685" i="2"/>
  <c r="I2693" i="2"/>
  <c r="I6104" i="2"/>
  <c r="I2773" i="2"/>
  <c r="I2781" i="2"/>
  <c r="I6720" i="2"/>
  <c r="I2797" i="2"/>
  <c r="I2805" i="2"/>
  <c r="I2813" i="2"/>
  <c r="I4059" i="2"/>
  <c r="I2829" i="2"/>
  <c r="I2119" i="2"/>
  <c r="I2845" i="2"/>
  <c r="I332" i="2"/>
  <c r="I2861" i="2"/>
  <c r="I2869" i="2"/>
  <c r="I2877" i="2"/>
  <c r="I2885" i="2"/>
  <c r="I2893" i="2"/>
  <c r="I4816" i="2"/>
  <c r="I2836" i="2"/>
  <c r="I2917" i="2"/>
  <c r="I2925" i="2"/>
  <c r="I2933" i="2"/>
  <c r="I2941" i="2"/>
  <c r="I1229" i="2"/>
  <c r="I2957" i="2"/>
  <c r="I5933" i="2"/>
  <c r="I2973" i="2"/>
  <c r="I2981" i="2"/>
  <c r="I2989" i="2"/>
  <c r="I2149" i="2"/>
  <c r="I3005" i="2"/>
  <c r="I3013" i="2"/>
  <c r="I3021" i="2"/>
  <c r="I3029" i="2"/>
  <c r="I4352" i="2"/>
  <c r="I3045" i="2"/>
  <c r="I3053" i="2"/>
  <c r="I3061" i="2"/>
  <c r="I3069" i="2"/>
  <c r="I3077" i="2"/>
  <c r="I3085" i="2"/>
  <c r="I2411" i="2"/>
  <c r="I3101" i="2"/>
  <c r="I4119" i="2"/>
  <c r="I3117" i="2"/>
  <c r="I3125" i="2"/>
  <c r="I3133" i="2"/>
  <c r="I3141" i="2"/>
  <c r="I3149" i="2"/>
  <c r="I3157" i="2"/>
  <c r="I6139" i="2"/>
  <c r="I2663" i="2"/>
  <c r="I3181" i="2"/>
  <c r="I3189" i="2"/>
  <c r="I3197" i="2"/>
  <c r="I3205" i="2"/>
  <c r="I3213" i="2"/>
  <c r="I3221" i="2"/>
  <c r="I3229" i="2"/>
  <c r="I3237" i="2"/>
  <c r="I3245" i="2"/>
  <c r="I3253" i="2"/>
  <c r="I3261" i="2"/>
  <c r="I3269" i="2"/>
  <c r="I3277" i="2"/>
  <c r="I85" i="2"/>
  <c r="I3293" i="2"/>
  <c r="I3301" i="2"/>
  <c r="I3309" i="2"/>
  <c r="I3317" i="2"/>
  <c r="I3325" i="2"/>
  <c r="I3333" i="2"/>
  <c r="I3341" i="2"/>
  <c r="I3349" i="2"/>
  <c r="I3357" i="2"/>
  <c r="I3365" i="2"/>
  <c r="I3373" i="2"/>
  <c r="I3381" i="2"/>
  <c r="I3389" i="2"/>
  <c r="I3397" i="2"/>
  <c r="I3405" i="2"/>
  <c r="I3413" i="2"/>
  <c r="I3421" i="2"/>
  <c r="I3429" i="2"/>
  <c r="I3437" i="2"/>
  <c r="I3445" i="2"/>
  <c r="I3453" i="2"/>
  <c r="I3461" i="2"/>
  <c r="I3469" i="2"/>
  <c r="I3477" i="2"/>
  <c r="I3485" i="2"/>
  <c r="I3493" i="2"/>
  <c r="I3501" i="2"/>
  <c r="I3509" i="2"/>
  <c r="I3517" i="2"/>
  <c r="I3525" i="2"/>
  <c r="I3533" i="2"/>
  <c r="I3541" i="2"/>
  <c r="I3549" i="2"/>
  <c r="I3557" i="2"/>
  <c r="I3565" i="2"/>
  <c r="I3573" i="2"/>
  <c r="I3581" i="2"/>
  <c r="I3589" i="2"/>
  <c r="I3597" i="2"/>
  <c r="I4143" i="2"/>
  <c r="I1508" i="2"/>
  <c r="I3621" i="2"/>
  <c r="I3629" i="2"/>
  <c r="I3637" i="2"/>
  <c r="I3645" i="2"/>
  <c r="I5934" i="2"/>
  <c r="I2418" i="2"/>
  <c r="I3669" i="2"/>
  <c r="I3677" i="2"/>
  <c r="I1708" i="2"/>
  <c r="I3693" i="2"/>
  <c r="I7071" i="2"/>
  <c r="I3709" i="2"/>
  <c r="I4374" i="2"/>
  <c r="I1228" i="2"/>
  <c r="I3733" i="2"/>
  <c r="I3741" i="2"/>
  <c r="I2727" i="2"/>
  <c r="I4792" i="2"/>
  <c r="I3765" i="2"/>
  <c r="I3093" i="2"/>
  <c r="I3781" i="2"/>
  <c r="I3789" i="2"/>
  <c r="I3608" i="2"/>
  <c r="I3805" i="2"/>
  <c r="I7042" i="2"/>
  <c r="I3821" i="2"/>
  <c r="I3829" i="2"/>
  <c r="I3837" i="2"/>
  <c r="I3845" i="2"/>
  <c r="I3853" i="2"/>
  <c r="I3861" i="2"/>
  <c r="I3869" i="2"/>
  <c r="I3877" i="2"/>
  <c r="I3885" i="2"/>
  <c r="I3893" i="2"/>
  <c r="I3901" i="2"/>
  <c r="I3909" i="2"/>
  <c r="I1232" i="2"/>
  <c r="I3925" i="2"/>
  <c r="I3933" i="2"/>
  <c r="I3941" i="2"/>
  <c r="I3949" i="2"/>
  <c r="I3957" i="2"/>
  <c r="I3965" i="2"/>
  <c r="I3973" i="2"/>
  <c r="I3717" i="2"/>
  <c r="I3989" i="2"/>
  <c r="I4170" i="2"/>
  <c r="I4005" i="2"/>
  <c r="I4013" i="2"/>
  <c r="I2126" i="2"/>
  <c r="I4029" i="2"/>
  <c r="I4037" i="2"/>
  <c r="I4045" i="2"/>
  <c r="I5672" i="2"/>
  <c r="I1805" i="2"/>
  <c r="I4069" i="2"/>
  <c r="I2128" i="2"/>
  <c r="I5973" i="2"/>
  <c r="I4093" i="2"/>
  <c r="I4101" i="2"/>
  <c r="I6929" i="2"/>
  <c r="I4117" i="2"/>
  <c r="I1371" i="2"/>
  <c r="I4133" i="2"/>
  <c r="I4141" i="2"/>
  <c r="I4149" i="2"/>
  <c r="I4157" i="2"/>
  <c r="I4165" i="2"/>
  <c r="I1289" i="2"/>
  <c r="I4181" i="2"/>
  <c r="I6395" i="2"/>
  <c r="I4197" i="2"/>
  <c r="I109" i="2"/>
  <c r="I4213" i="2"/>
  <c r="I4221" i="2"/>
  <c r="I4229" i="2"/>
  <c r="I4237" i="2"/>
  <c r="I4245" i="2"/>
  <c r="I4253" i="2"/>
  <c r="I4261" i="2"/>
  <c r="I3931" i="2"/>
  <c r="I4277" i="2"/>
  <c r="I4285" i="2"/>
  <c r="I4293" i="2"/>
  <c r="I4301" i="2"/>
  <c r="I4309" i="2"/>
  <c r="I4317" i="2"/>
  <c r="I4325" i="2"/>
  <c r="I4333" i="2"/>
  <c r="I4341" i="2"/>
  <c r="I4349" i="2"/>
  <c r="I4357" i="2"/>
  <c r="I4365" i="2"/>
  <c r="I4373" i="2"/>
  <c r="I4381" i="2"/>
  <c r="I4389" i="2"/>
  <c r="I4397" i="2"/>
  <c r="I4405" i="2"/>
  <c r="I4413" i="2"/>
  <c r="I4421" i="2"/>
  <c r="I4429" i="2"/>
  <c r="I4437" i="2"/>
  <c r="I4445" i="2"/>
  <c r="I4453" i="2"/>
  <c r="I4461" i="2"/>
  <c r="I4469" i="2"/>
  <c r="I4477" i="2"/>
  <c r="I4485" i="2"/>
  <c r="I4493" i="2"/>
  <c r="I4501" i="2"/>
  <c r="I4509" i="2"/>
  <c r="I4517" i="2"/>
  <c r="I4525" i="2"/>
  <c r="I4533" i="2"/>
  <c r="I4541" i="2"/>
  <c r="I4549" i="2"/>
  <c r="I4557" i="2"/>
  <c r="I7120" i="2"/>
  <c r="I4573" i="2"/>
  <c r="I4581" i="2"/>
  <c r="I4589" i="2"/>
  <c r="I4597" i="2"/>
  <c r="I4605" i="2"/>
  <c r="I4613" i="2"/>
  <c r="I4621" i="2"/>
  <c r="I4629" i="2"/>
  <c r="I4637" i="2"/>
  <c r="I4645" i="2"/>
  <c r="I6924" i="2"/>
  <c r="I3146" i="2"/>
  <c r="I4669" i="2"/>
  <c r="I4677" i="2"/>
  <c r="I4685" i="2"/>
  <c r="I4693" i="2"/>
  <c r="I4701" i="2"/>
  <c r="I4709" i="2"/>
  <c r="I4717" i="2"/>
  <c r="I4725" i="2"/>
  <c r="I4733" i="2"/>
  <c r="I4173" i="2"/>
  <c r="I4749" i="2"/>
  <c r="I4757" i="2"/>
  <c r="I4765" i="2"/>
  <c r="I4773" i="2"/>
  <c r="I4781" i="2"/>
  <c r="I4789" i="2"/>
  <c r="I6520" i="2"/>
  <c r="I4805" i="2"/>
  <c r="I4813" i="2"/>
  <c r="I4821" i="2"/>
  <c r="I4829" i="2"/>
  <c r="I4837" i="2"/>
  <c r="I6758" i="2"/>
  <c r="I4853" i="2"/>
  <c r="I5114" i="2"/>
  <c r="I4869" i="2"/>
  <c r="I4877" i="2"/>
  <c r="I4885" i="2"/>
  <c r="I4893" i="2"/>
  <c r="I4901" i="2"/>
  <c r="I4909" i="2"/>
  <c r="I4917" i="2"/>
  <c r="I4925" i="2"/>
  <c r="I4933" i="2"/>
  <c r="I5729" i="2"/>
  <c r="I4949" i="2"/>
  <c r="I4957" i="2"/>
  <c r="I4965" i="2"/>
  <c r="I4973" i="2"/>
  <c r="I4981" i="2"/>
  <c r="I4989" i="2"/>
  <c r="I6555" i="2"/>
  <c r="I5005" i="2"/>
  <c r="I5013" i="2"/>
  <c r="I5021" i="2"/>
  <c r="I3626" i="2"/>
  <c r="I5037" i="2"/>
  <c r="I5045" i="2"/>
  <c r="I5053" i="2"/>
  <c r="I5061" i="2"/>
  <c r="I5069" i="2"/>
  <c r="I2947" i="2"/>
  <c r="I5085" i="2"/>
  <c r="I4487" i="2"/>
  <c r="I5881" i="2"/>
  <c r="I5109" i="2"/>
  <c r="I6189" i="2"/>
  <c r="I5125" i="2"/>
  <c r="I134" i="2"/>
  <c r="I1631" i="2"/>
  <c r="I5149" i="2"/>
  <c r="I5157" i="2"/>
  <c r="I5115" i="2"/>
  <c r="I5173" i="2"/>
  <c r="I5181" i="2"/>
  <c r="I5189" i="2"/>
  <c r="I5197" i="2"/>
  <c r="I4258" i="2"/>
  <c r="I5213" i="2"/>
  <c r="I5221" i="2"/>
  <c r="I5229" i="2"/>
  <c r="I5237" i="2"/>
  <c r="I2754" i="2"/>
  <c r="I5253" i="2"/>
  <c r="I2731" i="2"/>
  <c r="I5269" i="2"/>
  <c r="I5277" i="2"/>
  <c r="I5285" i="2"/>
  <c r="I5293" i="2"/>
  <c r="I5301" i="2"/>
  <c r="I5309" i="2"/>
  <c r="I5317" i="2"/>
  <c r="I5325" i="2"/>
  <c r="I5333" i="2"/>
  <c r="I5341" i="2"/>
  <c r="I5349" i="2"/>
  <c r="I5357" i="2"/>
  <c r="I5365" i="2"/>
  <c r="I5373" i="2"/>
  <c r="I5381" i="2"/>
  <c r="I5389" i="2"/>
  <c r="I5397" i="2"/>
  <c r="I5405" i="2"/>
  <c r="I5413" i="2"/>
  <c r="I5421" i="2"/>
  <c r="I5429" i="2"/>
  <c r="I2937" i="2"/>
  <c r="I5445" i="2"/>
  <c r="I5453" i="2"/>
  <c r="I5461" i="2"/>
  <c r="I5248" i="2"/>
  <c r="I5477" i="2"/>
  <c r="I5485" i="2"/>
  <c r="I5493" i="2"/>
  <c r="I5501" i="2"/>
  <c r="I5509" i="2"/>
  <c r="I3905" i="2"/>
  <c r="I5525" i="2"/>
  <c r="I6333" i="2"/>
  <c r="I5541" i="2"/>
  <c r="I4952" i="2"/>
  <c r="I5557" i="2"/>
  <c r="I5565" i="2"/>
  <c r="I210" i="2"/>
  <c r="I5581" i="2"/>
  <c r="I5589" i="2"/>
  <c r="I5597" i="2"/>
  <c r="I6683" i="2"/>
  <c r="I5613" i="2"/>
  <c r="I5627" i="2"/>
  <c r="I5629" i="2"/>
  <c r="I1599" i="2"/>
  <c r="I5645" i="2"/>
  <c r="I5653" i="2"/>
  <c r="I5661" i="2"/>
  <c r="I5669" i="2"/>
  <c r="I5677" i="2"/>
  <c r="I5685" i="2"/>
  <c r="I5693" i="2"/>
  <c r="I4818" i="2"/>
  <c r="I5258" i="2"/>
  <c r="I5717" i="2"/>
  <c r="I1047" i="2"/>
  <c r="I5733" i="2"/>
  <c r="I5741" i="2"/>
  <c r="I5749" i="2"/>
  <c r="I1606" i="2"/>
  <c r="I5765" i="2"/>
  <c r="I5773" i="2"/>
  <c r="I5781" i="2"/>
  <c r="I5692" i="2"/>
  <c r="I5797" i="2"/>
  <c r="I6491" i="2"/>
  <c r="I5800" i="2"/>
  <c r="I6598" i="2"/>
  <c r="I2262" i="2"/>
  <c r="I5926" i="2"/>
  <c r="I2733" i="2"/>
  <c r="I4578" i="2"/>
  <c r="I5893" i="2"/>
  <c r="I1957" i="2"/>
  <c r="I5909" i="2"/>
  <c r="I5917" i="2"/>
  <c r="I5925" i="2"/>
  <c r="I4988" i="2"/>
  <c r="I5941" i="2"/>
  <c r="I5949" i="2"/>
  <c r="I2069" i="2"/>
  <c r="I1392" i="2"/>
  <c r="I5989" i="2"/>
  <c r="I4368" i="2"/>
  <c r="I4827" i="2"/>
  <c r="I6013" i="2"/>
  <c r="I6021" i="2"/>
  <c r="I6029" i="2"/>
  <c r="I6037" i="2"/>
  <c r="I6045" i="2"/>
  <c r="I6053" i="2"/>
  <c r="I6061" i="2"/>
  <c r="I1098" i="2"/>
  <c r="I6893" i="2"/>
  <c r="I6085" i="2"/>
  <c r="I6093" i="2"/>
  <c r="I6101" i="2"/>
  <c r="I3230" i="2"/>
  <c r="I6117" i="2"/>
  <c r="I6125" i="2"/>
  <c r="I167" i="2"/>
  <c r="I6181" i="2"/>
  <c r="I2269" i="2"/>
  <c r="I6197" i="2"/>
  <c r="I6205" i="2"/>
  <c r="I6213" i="2"/>
  <c r="I6221" i="2"/>
  <c r="I366" i="2"/>
  <c r="I6245" i="2"/>
  <c r="I6261" i="2"/>
  <c r="I6269" i="2"/>
  <c r="I6277" i="2"/>
  <c r="I6285" i="2"/>
  <c r="I6293" i="2"/>
  <c r="I6301" i="2"/>
  <c r="I6309" i="2"/>
  <c r="I6317" i="2"/>
  <c r="I6341" i="2"/>
  <c r="I6357" i="2"/>
  <c r="I2162" i="2"/>
  <c r="I6373" i="2"/>
  <c r="I6381" i="2"/>
  <c r="I2911" i="2"/>
  <c r="I6397" i="2"/>
  <c r="I6405" i="2"/>
  <c r="I5312" i="2"/>
  <c r="I6429" i="2"/>
  <c r="I6437" i="2"/>
  <c r="I6445" i="2"/>
  <c r="I6453" i="2"/>
  <c r="I6461" i="2"/>
  <c r="I6477" i="2"/>
  <c r="I3183" i="2"/>
  <c r="I3155" i="2"/>
  <c r="I6501" i="2"/>
  <c r="I6509" i="2"/>
  <c r="I3379" i="2"/>
  <c r="I3673" i="2"/>
  <c r="I6533" i="2"/>
  <c r="I3664" i="2"/>
  <c r="I6549" i="2"/>
  <c r="I6081" i="2"/>
  <c r="I6613" i="2"/>
  <c r="I6741" i="2"/>
  <c r="I3231" i="2"/>
  <c r="I6528" i="2"/>
  <c r="I361" i="2"/>
  <c r="I6559" i="2"/>
  <c r="I6781" i="2"/>
  <c r="I4852" i="2"/>
  <c r="I6797" i="2"/>
  <c r="I6805" i="2"/>
  <c r="I4820" i="2"/>
  <c r="I6821" i="2"/>
  <c r="I6829" i="2"/>
  <c r="I6861" i="2"/>
  <c r="I6869" i="2"/>
  <c r="I1275" i="2"/>
  <c r="I1284" i="2"/>
  <c r="I421" i="2"/>
  <c r="I6901" i="2"/>
  <c r="I1413" i="2"/>
  <c r="I241" i="2"/>
  <c r="I6925" i="2"/>
  <c r="I6933" i="2"/>
  <c r="I3242" i="2"/>
  <c r="I6949" i="2"/>
  <c r="I6957" i="2"/>
  <c r="I6965" i="2"/>
  <c r="I6973" i="2"/>
  <c r="I6981" i="2"/>
  <c r="I6989" i="2"/>
  <c r="I2687" i="2"/>
  <c r="I7005" i="2"/>
  <c r="I7013" i="2"/>
  <c r="I1575" i="2"/>
  <c r="I1834" i="2"/>
  <c r="I7045" i="2"/>
  <c r="I5757" i="2"/>
  <c r="I7061" i="2"/>
  <c r="I7069" i="2"/>
  <c r="I7077" i="2"/>
  <c r="I7085" i="2"/>
  <c r="I7093" i="2"/>
  <c r="I696" i="2"/>
  <c r="I7109" i="2"/>
  <c r="I7121" i="2"/>
  <c r="I7129" i="2"/>
  <c r="I3773" i="2"/>
  <c r="I7161" i="2"/>
  <c r="I7177" i="2"/>
  <c r="I7193" i="2"/>
  <c r="I6510" i="2"/>
  <c r="I7245" i="2"/>
  <c r="I7277" i="2"/>
  <c r="I6751" i="2"/>
  <c r="I6815" i="2"/>
  <c r="I6847" i="2"/>
  <c r="I5635" i="2"/>
  <c r="I1355" i="2"/>
  <c r="I6975" i="2"/>
  <c r="I7007" i="2"/>
  <c r="I7039" i="2"/>
  <c r="I3297" i="2"/>
  <c r="I7131" i="2"/>
  <c r="I7219" i="2"/>
  <c r="I7251" i="2"/>
  <c r="O15" i="2"/>
  <c r="O31" i="2"/>
  <c r="O55" i="2"/>
  <c r="O87" i="2"/>
  <c r="O95" i="2"/>
  <c r="O151" i="2"/>
  <c r="O183" i="2"/>
  <c r="O191" i="2"/>
  <c r="O255" i="2"/>
  <c r="O263" i="2"/>
  <c r="O271" i="2"/>
  <c r="O279" i="2"/>
  <c r="O295" i="2"/>
  <c r="O327" i="2"/>
  <c r="O335" i="2"/>
  <c r="O351" i="2"/>
  <c r="O359" i="2"/>
  <c r="O367" i="2"/>
  <c r="O383" i="2"/>
  <c r="O455" i="2"/>
  <c r="O471" i="2"/>
  <c r="O487" i="2"/>
  <c r="O495" i="2"/>
  <c r="O503" i="2"/>
  <c r="O511" i="2"/>
  <c r="O559" i="2"/>
  <c r="O599" i="2"/>
  <c r="O615" i="2"/>
  <c r="O623" i="2"/>
  <c r="O631" i="2"/>
  <c r="O703" i="2"/>
  <c r="O711" i="2"/>
  <c r="O727" i="2"/>
  <c r="O735" i="2"/>
  <c r="O751" i="2"/>
  <c r="O775" i="2"/>
  <c r="O783" i="2"/>
  <c r="O815" i="2"/>
  <c r="O831" i="2"/>
  <c r="O847" i="2"/>
  <c r="O855" i="2"/>
  <c r="O871" i="2"/>
  <c r="O887" i="2"/>
  <c r="O895" i="2"/>
  <c r="O911" i="2"/>
  <c r="O919" i="2"/>
  <c r="O927" i="2"/>
  <c r="O943" i="2"/>
  <c r="O999" i="2"/>
  <c r="O1015" i="2"/>
  <c r="O1055" i="2"/>
  <c r="O1063" i="2"/>
  <c r="O1079" i="2"/>
  <c r="O1087" i="2"/>
  <c r="O1127" i="2"/>
  <c r="O1191" i="2"/>
  <c r="O1223" i="2"/>
  <c r="O1247" i="2"/>
  <c r="O1311" i="2"/>
  <c r="O1319" i="2"/>
  <c r="O1343" i="2"/>
  <c r="O1351" i="2"/>
  <c r="O1367" i="2"/>
  <c r="O1399" i="2"/>
  <c r="O1431" i="2"/>
  <c r="O1455" i="2"/>
  <c r="O1463" i="2"/>
  <c r="O1471" i="2"/>
  <c r="O1479" i="2"/>
  <c r="O1487" i="2"/>
  <c r="O1503" i="2"/>
  <c r="O1519" i="2"/>
  <c r="O1543" i="2"/>
  <c r="O1559" i="2"/>
  <c r="O1567" i="2"/>
  <c r="O1583" i="2"/>
  <c r="O1591" i="2"/>
  <c r="O1607" i="2"/>
  <c r="O1623" i="2"/>
  <c r="O1639" i="2"/>
  <c r="O1647" i="2"/>
  <c r="O1687" i="2"/>
  <c r="O1711" i="2"/>
  <c r="O1719" i="2"/>
  <c r="O1735" i="2"/>
  <c r="O1743" i="2"/>
  <c r="O1759" i="2"/>
  <c r="O1767" i="2"/>
  <c r="O1775" i="2"/>
  <c r="O1783" i="2"/>
  <c r="O1791" i="2"/>
  <c r="O1799" i="2"/>
  <c r="O1839" i="2"/>
  <c r="O1847" i="2"/>
  <c r="O1863" i="2"/>
  <c r="O1887" i="2"/>
  <c r="O1903" i="2"/>
  <c r="O1935" i="2"/>
  <c r="O1959" i="2"/>
  <c r="O1991" i="2"/>
  <c r="O1999" i="2"/>
  <c r="O2007" i="2"/>
  <c r="O2031" i="2"/>
  <c r="O2039" i="2"/>
  <c r="O2055" i="2"/>
  <c r="O2063" i="2"/>
  <c r="O2087" i="2"/>
  <c r="O2111" i="2"/>
  <c r="O2151" i="2"/>
  <c r="O2183" i="2"/>
  <c r="O2191" i="2"/>
  <c r="O2215" i="2"/>
  <c r="O2223" i="2"/>
  <c r="O2303" i="2"/>
  <c r="O2319" i="2"/>
  <c r="O2327" i="2"/>
  <c r="O2343" i="2"/>
  <c r="O2367" i="2"/>
  <c r="O2431" i="2"/>
  <c r="O2439" i="2"/>
  <c r="O2447" i="2"/>
  <c r="O2487" i="2"/>
  <c r="O2511" i="2"/>
  <c r="O2527" i="2"/>
  <c r="O2551" i="2"/>
  <c r="O2575" i="2"/>
  <c r="O2591" i="2"/>
  <c r="O2615" i="2"/>
  <c r="O2623" i="2"/>
  <c r="O2631" i="2"/>
  <c r="O2639" i="2"/>
  <c r="O2647" i="2"/>
  <c r="O2655" i="2"/>
  <c r="O2679" i="2"/>
  <c r="O2703" i="2"/>
  <c r="O2711" i="2"/>
  <c r="O2743" i="2"/>
  <c r="O2767" i="2"/>
  <c r="O2863" i="2"/>
  <c r="O2871" i="2"/>
  <c r="O2879" i="2"/>
  <c r="O2919" i="2"/>
  <c r="O2927" i="2"/>
  <c r="O2943" i="2"/>
  <c r="O2967" i="2"/>
  <c r="O3039" i="2"/>
  <c r="O3063" i="2"/>
  <c r="O3071" i="2"/>
  <c r="O3079" i="2"/>
  <c r="O3103" i="2"/>
  <c r="O3111" i="2"/>
  <c r="O3143" i="2"/>
  <c r="O3159" i="2"/>
  <c r="O3199" i="2"/>
  <c r="O3207" i="2"/>
  <c r="O3295" i="2"/>
  <c r="O3303" i="2"/>
  <c r="O3311" i="2"/>
  <c r="O3327" i="2"/>
  <c r="O3367" i="2"/>
  <c r="O3399" i="2"/>
  <c r="O3431" i="2"/>
  <c r="O3455" i="2"/>
  <c r="O3463" i="2"/>
  <c r="O3479" i="2"/>
  <c r="O3519" i="2"/>
  <c r="O3527" i="2"/>
  <c r="O3535" i="2"/>
  <c r="O3543" i="2"/>
  <c r="O3551" i="2"/>
  <c r="O3583" i="2"/>
  <c r="O3591" i="2"/>
  <c r="O3615" i="2"/>
  <c r="O3623" i="2"/>
  <c r="O3639" i="2"/>
  <c r="O3647" i="2"/>
  <c r="O3695" i="2"/>
  <c r="O3711" i="2"/>
  <c r="O3735" i="2"/>
  <c r="O3767" i="2"/>
  <c r="O3783" i="2"/>
  <c r="O3799" i="2"/>
  <c r="O3807" i="2"/>
  <c r="O3815" i="2"/>
  <c r="O3823" i="2"/>
  <c r="O3903" i="2"/>
  <c r="O3911" i="2"/>
  <c r="O3935" i="2"/>
  <c r="O3951" i="2"/>
  <c r="O3959" i="2"/>
  <c r="O3967" i="2"/>
  <c r="O4047" i="2"/>
  <c r="O4079" i="2"/>
  <c r="O4127" i="2"/>
  <c r="O4151" i="2"/>
  <c r="O4223" i="2"/>
  <c r="O4231" i="2"/>
  <c r="O4239" i="2"/>
  <c r="O4247" i="2"/>
  <c r="O4255" i="2"/>
  <c r="O4263" i="2"/>
  <c r="O4271" i="2"/>
  <c r="O4287" i="2"/>
  <c r="O4327" i="2"/>
  <c r="O4343" i="2"/>
  <c r="O4351" i="2"/>
  <c r="O4383" i="2"/>
  <c r="O4391" i="2"/>
  <c r="O4407" i="2"/>
  <c r="O4423" i="2"/>
  <c r="O4455" i="2"/>
  <c r="O4463" i="2"/>
  <c r="O4495" i="2"/>
  <c r="O4503" i="2"/>
  <c r="O4519" i="2"/>
  <c r="O4567" i="2"/>
  <c r="O4599" i="2"/>
  <c r="O4607" i="2"/>
  <c r="O4671" i="2"/>
  <c r="O4687" i="2"/>
  <c r="O4703" i="2"/>
  <c r="O4711" i="2"/>
  <c r="O4759" i="2"/>
  <c r="O4855" i="2"/>
  <c r="O4887" i="2"/>
  <c r="O4895" i="2"/>
  <c r="O4903" i="2"/>
  <c r="O4911" i="2"/>
  <c r="O4935" i="2"/>
  <c r="O4943" i="2"/>
  <c r="O4991" i="2"/>
  <c r="O5007" i="2"/>
  <c r="O5031" i="2"/>
  <c r="O5039" i="2"/>
  <c r="O5055" i="2"/>
  <c r="O5063" i="2"/>
  <c r="O5071" i="2"/>
  <c r="O5095" i="2"/>
  <c r="O5111" i="2"/>
  <c r="O5159" i="2"/>
  <c r="O5167" i="2"/>
  <c r="O5183" i="2"/>
  <c r="O5199" i="2"/>
  <c r="O5223" i="2"/>
  <c r="O5255" i="2"/>
  <c r="O5263" i="2"/>
  <c r="O5271" i="2"/>
  <c r="O5311" i="2"/>
  <c r="O5327" i="2"/>
  <c r="O5359" i="2"/>
  <c r="O5367" i="2"/>
  <c r="O5383" i="2"/>
  <c r="O5391" i="2"/>
  <c r="O5447" i="2"/>
  <c r="O5567" i="2"/>
  <c r="O5575" i="2"/>
  <c r="O5591" i="2"/>
  <c r="O5599" i="2"/>
  <c r="O5607" i="2"/>
  <c r="O5631" i="2"/>
  <c r="O5639" i="2"/>
  <c r="O5647" i="2"/>
  <c r="O5655" i="2"/>
  <c r="O5663" i="2"/>
  <c r="O5687" i="2"/>
  <c r="O5711" i="2"/>
  <c r="O5719" i="2"/>
  <c r="O5839" i="2"/>
  <c r="O5855" i="2"/>
  <c r="O5863" i="2"/>
  <c r="O5871" i="2"/>
  <c r="O5887" i="2"/>
  <c r="O5895" i="2"/>
  <c r="O5903" i="2"/>
  <c r="O5967" i="2"/>
  <c r="O5975" i="2"/>
  <c r="O5983" i="2"/>
  <c r="O5999" i="2"/>
  <c r="O6007" i="2"/>
  <c r="O6031" i="2"/>
  <c r="O6039" i="2"/>
  <c r="O6119" i="2"/>
  <c r="O6127" i="2"/>
  <c r="O6183" i="2"/>
  <c r="O6207" i="2"/>
  <c r="O6223" i="2"/>
  <c r="O6247" i="2"/>
  <c r="O6255" i="2"/>
  <c r="O6271" i="2"/>
  <c r="O6287" i="2"/>
  <c r="O6311" i="2"/>
  <c r="O6327" i="2"/>
  <c r="O6351" i="2"/>
  <c r="O6359" i="2"/>
  <c r="O6367" i="2"/>
  <c r="O6383" i="2"/>
  <c r="O6399" i="2"/>
  <c r="O6407" i="2"/>
  <c r="O6495" i="2"/>
  <c r="O6623" i="2"/>
  <c r="O6647" i="2"/>
  <c r="O6655" i="2"/>
  <c r="O6679" i="2"/>
  <c r="O6703" i="2"/>
  <c r="O6743" i="2"/>
  <c r="O6759" i="2"/>
  <c r="O6791" i="2"/>
  <c r="O6807" i="2"/>
  <c r="O6823" i="2"/>
  <c r="O6839" i="2"/>
  <c r="O6887" i="2"/>
  <c r="O6903" i="2"/>
  <c r="O6919" i="2"/>
  <c r="O6935" i="2"/>
  <c r="O6951" i="2"/>
  <c r="O6959" i="2"/>
  <c r="O6983" i="2"/>
  <c r="O6999" i="2"/>
  <c r="O7015" i="2"/>
  <c r="O7023" i="2"/>
  <c r="O7039" i="2"/>
  <c r="O7047" i="2"/>
  <c r="O7079" i="2"/>
  <c r="O7087" i="2"/>
  <c r="O7095" i="2"/>
  <c r="O7119" i="2"/>
  <c r="O7135" i="2"/>
  <c r="O7143" i="2"/>
  <c r="O7159" i="2"/>
  <c r="O7167" i="2"/>
  <c r="O7207" i="2"/>
  <c r="O7231" i="2"/>
  <c r="O7271" i="2"/>
  <c r="O7279" i="2"/>
  <c r="O7287" i="2"/>
  <c r="O4" i="2"/>
  <c r="O12" i="2"/>
  <c r="O52" i="2"/>
  <c r="O68" i="2"/>
  <c r="O132" i="2"/>
  <c r="O156" i="2"/>
  <c r="O188" i="2"/>
  <c r="O260" i="2"/>
  <c r="O268" i="2"/>
  <c r="O276" i="2"/>
  <c r="O284" i="2"/>
  <c r="O292" i="2"/>
  <c r="O308" i="2"/>
  <c r="O388" i="2"/>
  <c r="O420" i="2"/>
  <c r="O460" i="2"/>
  <c r="O468" i="2"/>
  <c r="O492" i="2"/>
  <c r="O508" i="2"/>
  <c r="O524" i="2"/>
  <c r="O532" i="2"/>
  <c r="O564" i="2"/>
  <c r="O580" i="2"/>
  <c r="O588" i="2"/>
  <c r="O596" i="2"/>
  <c r="O612" i="2"/>
  <c r="O620" i="2"/>
  <c r="O628" i="2"/>
  <c r="O636" i="2"/>
  <c r="O644" i="2"/>
  <c r="O668" i="2"/>
  <c r="O708" i="2"/>
  <c r="O716" i="2"/>
  <c r="O724" i="2"/>
  <c r="O732" i="2"/>
  <c r="O780" i="2"/>
  <c r="O836" i="2"/>
  <c r="O844" i="2"/>
  <c r="O860" i="2"/>
  <c r="O868" i="2"/>
  <c r="O876" i="2"/>
  <c r="O884" i="2"/>
  <c r="O900" i="2"/>
  <c r="O916" i="2"/>
  <c r="O948" i="2"/>
  <c r="O980" i="2"/>
  <c r="O1028" i="2"/>
  <c r="O1068" i="2"/>
  <c r="O1116" i="2"/>
  <c r="O1124" i="2"/>
  <c r="O1132" i="2"/>
  <c r="O1140" i="2"/>
  <c r="O1172" i="2"/>
  <c r="O1188" i="2"/>
  <c r="O1268" i="2"/>
  <c r="O1292" i="2"/>
  <c r="O1300" i="2"/>
  <c r="O1308" i="2"/>
  <c r="O1316" i="2"/>
  <c r="O1324" i="2"/>
  <c r="O1348" i="2"/>
  <c r="O1356" i="2"/>
  <c r="O1412" i="2"/>
  <c r="O1436" i="2"/>
  <c r="O1460" i="2"/>
  <c r="O1468" i="2"/>
  <c r="O1492" i="2"/>
  <c r="O1556" i="2"/>
  <c r="O1564" i="2"/>
  <c r="O1572" i="2"/>
  <c r="O1580" i="2"/>
  <c r="O1604" i="2"/>
  <c r="O1628" i="2"/>
  <c r="O1644" i="2"/>
  <c r="O1684" i="2"/>
  <c r="O1692" i="2"/>
  <c r="O1724" i="2"/>
  <c r="O1740" i="2"/>
  <c r="O1748" i="2"/>
  <c r="O1756" i="2"/>
  <c r="O1772" i="2"/>
  <c r="O1780" i="2"/>
  <c r="O1812" i="2"/>
  <c r="O1828" i="2"/>
  <c r="O1868" i="2"/>
  <c r="O1892" i="2"/>
  <c r="O1940" i="2"/>
  <c r="O1972" i="2"/>
  <c r="O1988" i="2"/>
  <c r="O1996" i="2"/>
  <c r="O2012" i="2"/>
  <c r="O2020" i="2"/>
  <c r="O2028" i="2"/>
  <c r="O2036" i="2"/>
  <c r="O2044" i="2"/>
  <c r="O2052" i="2"/>
  <c r="O2068" i="2"/>
  <c r="O2124" i="2"/>
  <c r="O2132" i="2"/>
  <c r="O2164" i="2"/>
  <c r="O2188" i="2"/>
  <c r="O2204" i="2"/>
  <c r="O2212" i="2"/>
  <c r="O2276" i="2"/>
  <c r="O2284" i="2"/>
  <c r="O2308" i="2"/>
  <c r="O2316" i="2"/>
  <c r="O2324" i="2"/>
  <c r="O2340" i="2"/>
  <c r="O2428" i="2"/>
  <c r="O2436" i="2"/>
  <c r="O2444" i="2"/>
  <c r="O2452" i="2"/>
  <c r="O2468" i="2"/>
  <c r="O2484" i="2"/>
  <c r="O2500" i="2"/>
  <c r="O2580" i="2"/>
  <c r="O2588" i="2"/>
  <c r="O2596" i="2"/>
  <c r="O2612" i="2"/>
  <c r="O2628" i="2"/>
  <c r="O2636" i="2"/>
  <c r="O2644" i="2"/>
  <c r="O2652" i="2"/>
  <c r="O2684" i="2"/>
  <c r="O2828" i="2"/>
  <c r="O2844" i="2"/>
  <c r="O2860" i="2"/>
  <c r="O2876" i="2"/>
  <c r="O2884" i="2"/>
  <c r="O2900" i="2"/>
  <c r="O2908" i="2"/>
  <c r="O2916" i="2"/>
  <c r="O2940" i="2"/>
  <c r="O3028" i="2"/>
  <c r="O3052" i="2"/>
  <c r="O3060" i="2"/>
  <c r="O3068" i="2"/>
  <c r="O3076" i="2"/>
  <c r="O3092" i="2"/>
  <c r="O3132" i="2"/>
  <c r="O3196" i="2"/>
  <c r="O3204" i="2"/>
  <c r="O3212" i="2"/>
  <c r="O3236" i="2"/>
  <c r="O3244" i="2"/>
  <c r="O3324" i="2"/>
  <c r="O3332" i="2"/>
  <c r="O3340" i="2"/>
  <c r="O3356" i="2"/>
  <c r="O3388" i="2"/>
  <c r="O3396" i="2"/>
  <c r="O3404" i="2"/>
  <c r="O3428" i="2"/>
  <c r="O3444" i="2"/>
  <c r="O3460" i="2"/>
  <c r="O3476" i="2"/>
  <c r="O3500" i="2"/>
  <c r="O3508" i="2"/>
  <c r="O3532" i="2"/>
  <c r="O3540" i="2"/>
  <c r="O3548" i="2"/>
  <c r="O3556" i="2"/>
  <c r="O3564" i="2"/>
  <c r="O3572" i="2"/>
  <c r="O3580" i="2"/>
  <c r="O3588" i="2"/>
  <c r="O3596" i="2"/>
  <c r="O3604" i="2"/>
  <c r="O3644" i="2"/>
  <c r="O3652" i="2"/>
  <c r="O3684" i="2"/>
  <c r="O3700" i="2"/>
  <c r="O3748" i="2"/>
  <c r="O3772" i="2"/>
  <c r="O3780" i="2"/>
  <c r="O3788" i="2"/>
  <c r="O3796" i="2"/>
  <c r="O3804" i="2"/>
  <c r="O3812" i="2"/>
  <c r="O3836" i="2"/>
  <c r="O3876" i="2"/>
  <c r="O3892" i="2"/>
  <c r="O3900" i="2"/>
  <c r="O3948" i="2"/>
  <c r="O3956" i="2"/>
  <c r="O3964" i="2"/>
  <c r="O3980" i="2"/>
  <c r="O3988" i="2"/>
  <c r="O4044" i="2"/>
  <c r="O4052" i="2"/>
  <c r="O4100" i="2"/>
  <c r="O4108" i="2"/>
  <c r="O4132" i="2"/>
  <c r="O4148" i="2"/>
  <c r="O4180" i="2"/>
  <c r="O4220" i="2"/>
  <c r="O4228" i="2"/>
  <c r="O4236" i="2"/>
  <c r="O4244" i="2"/>
  <c r="O4292" i="2"/>
  <c r="O4324" i="2"/>
  <c r="O4332" i="2"/>
  <c r="O4348" i="2"/>
  <c r="O4356" i="2"/>
  <c r="O4388" i="2"/>
  <c r="O4396" i="2"/>
  <c r="O4412" i="2"/>
  <c r="O4420" i="2"/>
  <c r="O4428" i="2"/>
  <c r="O4452" i="2"/>
  <c r="O4460" i="2"/>
  <c r="O4468" i="2"/>
  <c r="O4484" i="2"/>
  <c r="O4492" i="2"/>
  <c r="O4500" i="2"/>
  <c r="O4516" i="2"/>
  <c r="O4564" i="2"/>
  <c r="O4596" i="2"/>
  <c r="O4604" i="2"/>
  <c r="O4628" i="2"/>
  <c r="O4700" i="2"/>
  <c r="O4708" i="2"/>
  <c r="O4724" i="2"/>
  <c r="O4740" i="2"/>
  <c r="O4764" i="2"/>
  <c r="O4780" i="2"/>
  <c r="O4788" i="2"/>
  <c r="O4892" i="2"/>
  <c r="O4900" i="2"/>
  <c r="O4908" i="2"/>
  <c r="O4924" i="2"/>
  <c r="O4956" i="2"/>
  <c r="O4972" i="2"/>
  <c r="O5012" i="2"/>
  <c r="O5052" i="2"/>
  <c r="O5060" i="2"/>
  <c r="O5092" i="2"/>
  <c r="O5132" i="2"/>
  <c r="O5164" i="2"/>
  <c r="O5172" i="2"/>
  <c r="O5188" i="2"/>
  <c r="O5196" i="2"/>
  <c r="O5204" i="2"/>
  <c r="O5228" i="2"/>
  <c r="O5260" i="2"/>
  <c r="O5276" i="2"/>
  <c r="O5292" i="2"/>
  <c r="O5316" i="2"/>
  <c r="O5324" i="2"/>
  <c r="O5356" i="2"/>
  <c r="O5364" i="2"/>
  <c r="O5372" i="2"/>
  <c r="O5380" i="2"/>
  <c r="O5388" i="2"/>
  <c r="O5396" i="2"/>
  <c r="O5444" i="2"/>
  <c r="O5460" i="2"/>
  <c r="O5508" i="2"/>
  <c r="O5548" i="2"/>
  <c r="O5596" i="2"/>
  <c r="O5652" i="2"/>
  <c r="O5660" i="2"/>
  <c r="O5684" i="2"/>
  <c r="O5796" i="2"/>
  <c r="O5852" i="2"/>
  <c r="O5860" i="2"/>
  <c r="O5868" i="2"/>
  <c r="O5876" i="2"/>
  <c r="O5908" i="2"/>
  <c r="O5916" i="2"/>
  <c r="O5940" i="2"/>
  <c r="O5956" i="2"/>
  <c r="O5988" i="2"/>
  <c r="O6004" i="2"/>
  <c r="O6012" i="2"/>
  <c r="O6020" i="2"/>
  <c r="O6028" i="2"/>
  <c r="O6044" i="2"/>
  <c r="O6084" i="2"/>
  <c r="O6116" i="2"/>
  <c r="O6124" i="2"/>
  <c r="O6140" i="2"/>
  <c r="O6148" i="2"/>
  <c r="O6156" i="2"/>
  <c r="O6164" i="2"/>
  <c r="O6180" i="2"/>
  <c r="O6188" i="2"/>
  <c r="O6196" i="2"/>
  <c r="O6204" i="2"/>
  <c r="O6220" i="2"/>
  <c r="O6260" i="2"/>
  <c r="O6268" i="2"/>
  <c r="O6276" i="2"/>
  <c r="O6284" i="2"/>
  <c r="O6292" i="2"/>
  <c r="O6300" i="2"/>
  <c r="O6316" i="2"/>
  <c r="O6332" i="2"/>
  <c r="O6340" i="2"/>
  <c r="O6348" i="2"/>
  <c r="O6356" i="2"/>
  <c r="O6364" i="2"/>
  <c r="O6372" i="2"/>
  <c r="O6380" i="2"/>
  <c r="O6388" i="2"/>
  <c r="O6396" i="2"/>
  <c r="O6412" i="2"/>
  <c r="O6420" i="2"/>
  <c r="O6428" i="2"/>
  <c r="O6452" i="2"/>
  <c r="O6460" i="2"/>
  <c r="O6476" i="2"/>
  <c r="O6564" i="2"/>
  <c r="O6572" i="2"/>
  <c r="O6604" i="2"/>
  <c r="O6620" i="2"/>
  <c r="O6628" i="2"/>
  <c r="O6660" i="2"/>
  <c r="O6700" i="2"/>
  <c r="O6780" i="2"/>
  <c r="O6804" i="2"/>
  <c r="O6812" i="2"/>
  <c r="O6820" i="2"/>
  <c r="O6828" i="2"/>
  <c r="O6852" i="2"/>
  <c r="O6900" i="2"/>
  <c r="O6948" i="2"/>
  <c r="O6956" i="2"/>
  <c r="O6964" i="2"/>
  <c r="O6972" i="2"/>
  <c r="O6980" i="2"/>
  <c r="O6988" i="2"/>
  <c r="O7012" i="2"/>
  <c r="O7044" i="2"/>
  <c r="O7060" i="2"/>
  <c r="O7068" i="2"/>
  <c r="O7076" i="2"/>
  <c r="O7156" i="2"/>
  <c r="O7172" i="2"/>
  <c r="O7180" i="2"/>
  <c r="O7188" i="2"/>
  <c r="O7212" i="2"/>
  <c r="O7228" i="2"/>
  <c r="O7268" i="2"/>
  <c r="O7284" i="2"/>
  <c r="O6" i="2"/>
  <c r="O14" i="2"/>
  <c r="O22" i="2"/>
  <c r="O54" i="2"/>
  <c r="O70" i="2"/>
  <c r="O86" i="2"/>
  <c r="O198" i="2"/>
  <c r="O206" i="2"/>
  <c r="O222" i="2"/>
  <c r="O262" i="2"/>
  <c r="O270" i="2"/>
  <c r="O278" i="2"/>
  <c r="O318" i="2"/>
  <c r="O326" i="2"/>
  <c r="O334" i="2"/>
  <c r="O358" i="2"/>
  <c r="O470" i="2"/>
  <c r="O494" i="2"/>
  <c r="O518" i="2"/>
  <c r="O526" i="2"/>
  <c r="O534" i="2"/>
  <c r="O550" i="2"/>
  <c r="O574" i="2"/>
  <c r="O590" i="2"/>
  <c r="O598" i="2"/>
  <c r="O622" i="2"/>
  <c r="O670" i="2"/>
  <c r="O678" i="2"/>
  <c r="O702" i="2"/>
  <c r="O710" i="2"/>
  <c r="O726" i="2"/>
  <c r="O774" i="2"/>
  <c r="O814" i="2"/>
  <c r="O822" i="2"/>
  <c r="O830" i="2"/>
  <c r="O838" i="2"/>
  <c r="O854" i="2"/>
  <c r="O870" i="2"/>
  <c r="O886" i="2"/>
  <c r="O894" i="2"/>
  <c r="O902" i="2"/>
  <c r="O918" i="2"/>
  <c r="O926" i="2"/>
  <c r="O934" i="2"/>
  <c r="O942" i="2"/>
  <c r="O958" i="2"/>
  <c r="O998" i="2"/>
  <c r="O1030" i="2"/>
  <c r="O1070" i="2"/>
  <c r="O1086" i="2"/>
  <c r="O1126" i="2"/>
  <c r="O1134" i="2"/>
  <c r="O1150" i="2"/>
  <c r="O1166" i="2"/>
  <c r="O1174" i="2"/>
  <c r="O1182" i="2"/>
  <c r="O1190" i="2"/>
  <c r="O1214" i="2"/>
  <c r="O1278" i="2"/>
  <c r="O1310" i="2"/>
  <c r="O1326" i="2"/>
  <c r="O1334" i="2"/>
  <c r="O1350" i="2"/>
  <c r="O1366" i="2"/>
  <c r="O1382" i="2"/>
  <c r="O1422" i="2"/>
  <c r="O1462" i="2"/>
  <c r="O1470" i="2"/>
  <c r="O1478" i="2"/>
  <c r="O1486" i="2"/>
  <c r="O1510" i="2"/>
  <c r="O1518" i="2"/>
  <c r="O1558" i="2"/>
  <c r="O1566" i="2"/>
  <c r="O1574" i="2"/>
  <c r="O1582" i="2"/>
  <c r="O1590" i="2"/>
  <c r="O1598" i="2"/>
  <c r="O1614" i="2"/>
  <c r="O1630" i="2"/>
  <c r="O1646" i="2"/>
  <c r="O1670" i="2"/>
  <c r="O1694" i="2"/>
  <c r="O1702" i="2"/>
  <c r="O1718" i="2"/>
  <c r="O1734" i="2"/>
  <c r="O1750" i="2"/>
  <c r="O1758" i="2"/>
  <c r="O1766" i="2"/>
  <c r="O1774" i="2"/>
  <c r="O1782" i="2"/>
  <c r="O1790" i="2"/>
  <c r="O1798" i="2"/>
  <c r="O1814" i="2"/>
  <c r="O1830" i="2"/>
  <c r="O1838" i="2"/>
  <c r="O1846" i="2"/>
  <c r="O1870" i="2"/>
  <c r="O1934" i="2"/>
  <c r="O1942" i="2"/>
  <c r="O1990" i="2"/>
  <c r="O1998" i="2"/>
  <c r="O2006" i="2"/>
  <c r="O2022" i="2"/>
  <c r="O2030" i="2"/>
  <c r="O2038" i="2"/>
  <c r="O2054" i="2"/>
  <c r="O2062" i="2"/>
  <c r="O2110" i="2"/>
  <c r="O2158" i="2"/>
  <c r="O2166" i="2"/>
  <c r="O2182" i="2"/>
  <c r="O2190" i="2"/>
  <c r="O2206" i="2"/>
  <c r="O2214" i="2"/>
  <c r="O2230" i="2"/>
  <c r="O2246" i="2"/>
  <c r="O2278" i="2"/>
  <c r="O2326" i="2"/>
  <c r="O2342" i="2"/>
  <c r="O2406" i="2"/>
  <c r="O2430" i="2"/>
  <c r="O2438" i="2"/>
  <c r="O2446" i="2"/>
  <c r="O2478" i="2"/>
  <c r="O2486" i="2"/>
  <c r="O2502" i="2"/>
  <c r="O2510" i="2"/>
  <c r="O2526" i="2"/>
  <c r="O2534" i="2"/>
  <c r="O2550" i="2"/>
  <c r="O2590" i="2"/>
  <c r="O2598" i="2"/>
  <c r="O2622" i="2"/>
  <c r="O2630" i="2"/>
  <c r="O2638" i="2"/>
  <c r="O2646" i="2"/>
  <c r="O2670" i="2"/>
  <c r="O2686" i="2"/>
  <c r="O2758" i="2"/>
  <c r="O2766" i="2"/>
  <c r="O2782" i="2"/>
  <c r="O2814" i="2"/>
  <c r="O2846" i="2"/>
  <c r="O2862" i="2"/>
  <c r="O2878" i="2"/>
  <c r="O2918" i="2"/>
  <c r="O2942" i="2"/>
  <c r="O2966" i="2"/>
  <c r="O3006" i="2"/>
  <c r="O3030" i="2"/>
  <c r="O3062" i="2"/>
  <c r="O3070" i="2"/>
  <c r="O3078" i="2"/>
  <c r="O3102" i="2"/>
  <c r="O3142" i="2"/>
  <c r="O3190" i="2"/>
  <c r="O3198" i="2"/>
  <c r="O3206" i="2"/>
  <c r="O3214" i="2"/>
  <c r="O3278" i="2"/>
  <c r="O3310" i="2"/>
  <c r="O3318" i="2"/>
  <c r="O3326" i="2"/>
  <c r="O3374" i="2"/>
  <c r="O3382" i="2"/>
  <c r="O3390" i="2"/>
  <c r="O3398" i="2"/>
  <c r="O3414" i="2"/>
  <c r="O3430" i="2"/>
  <c r="O3446" i="2"/>
  <c r="O3462" i="2"/>
  <c r="O3478" i="2"/>
  <c r="O3486" i="2"/>
  <c r="O3502" i="2"/>
  <c r="O3510" i="2"/>
  <c r="O3518" i="2"/>
  <c r="O3534" i="2"/>
  <c r="O3542" i="2"/>
  <c r="O3550" i="2"/>
  <c r="O3558" i="2"/>
  <c r="O3574" i="2"/>
  <c r="O3582" i="2"/>
  <c r="O3590" i="2"/>
  <c r="O3614" i="2"/>
  <c r="O3630" i="2"/>
  <c r="O3710" i="2"/>
  <c r="O3734" i="2"/>
  <c r="O3758" i="2"/>
  <c r="O3766" i="2"/>
  <c r="O3774" i="2"/>
  <c r="O3782" i="2"/>
  <c r="O3806" i="2"/>
  <c r="O3814" i="2"/>
  <c r="O3822" i="2"/>
  <c r="O3902" i="2"/>
  <c r="O3910" i="2"/>
  <c r="O3926" i="2"/>
  <c r="O3950" i="2"/>
  <c r="O3958" i="2"/>
  <c r="O3982" i="2"/>
  <c r="O4062" i="2"/>
  <c r="O4102" i="2"/>
  <c r="O4110" i="2"/>
  <c r="O4126" i="2"/>
  <c r="O4134" i="2"/>
  <c r="O4190" i="2"/>
  <c r="O4198" i="2"/>
  <c r="O4230" i="2"/>
  <c r="O4238" i="2"/>
  <c r="O4246" i="2"/>
  <c r="O4254" i="2"/>
  <c r="O4262" i="2"/>
  <c r="O4294" i="2"/>
  <c r="O4310" i="2"/>
  <c r="O4318" i="2"/>
  <c r="O4326" i="2"/>
  <c r="O4334" i="2"/>
  <c r="O4342" i="2"/>
  <c r="O4350" i="2"/>
  <c r="O4366" i="2"/>
  <c r="O4382" i="2"/>
  <c r="O4390" i="2"/>
  <c r="O4422" i="2"/>
  <c r="O4430" i="2"/>
  <c r="O4438" i="2"/>
  <c r="O4446" i="2"/>
  <c r="O4454" i="2"/>
  <c r="O4462" i="2"/>
  <c r="O4470" i="2"/>
  <c r="O4502" i="2"/>
  <c r="O4550" i="2"/>
  <c r="O4598" i="2"/>
  <c r="O4638" i="2"/>
  <c r="O4646" i="2"/>
  <c r="O4654" i="2"/>
  <c r="O4670" i="2"/>
  <c r="O4686" i="2"/>
  <c r="O4694" i="2"/>
  <c r="O4702" i="2"/>
  <c r="O4758" i="2"/>
  <c r="O4766" i="2"/>
  <c r="O4862" i="2"/>
  <c r="O4894" i="2"/>
  <c r="O4910" i="2"/>
  <c r="O4918" i="2"/>
  <c r="O4926" i="2"/>
  <c r="O4934" i="2"/>
  <c r="O4990" i="2"/>
  <c r="O4998" i="2"/>
  <c r="O5006" i="2"/>
  <c r="O5062" i="2"/>
  <c r="O5070" i="2"/>
  <c r="O5078" i="2"/>
  <c r="O5134" i="2"/>
  <c r="O5142" i="2"/>
  <c r="O5182" i="2"/>
  <c r="O5190" i="2"/>
  <c r="O5206" i="2"/>
  <c r="O5214" i="2"/>
  <c r="O5262" i="2"/>
  <c r="O5270" i="2"/>
  <c r="O5278" i="2"/>
  <c r="O5286" i="2"/>
  <c r="O5302" i="2"/>
  <c r="O5310" i="2"/>
  <c r="O5326" i="2"/>
  <c r="O5334" i="2"/>
  <c r="O5342" i="2"/>
  <c r="O5350" i="2"/>
  <c r="O5358" i="2"/>
  <c r="O5366" i="2"/>
  <c r="O5382" i="2"/>
  <c r="O5390" i="2"/>
  <c r="O5398" i="2"/>
  <c r="O5406" i="2"/>
  <c r="O5414" i="2"/>
  <c r="O5438" i="2"/>
  <c r="O5566" i="2"/>
  <c r="O5630" i="2"/>
  <c r="O5646" i="2"/>
  <c r="O5654" i="2"/>
  <c r="O5670" i="2"/>
  <c r="O5686" i="2"/>
  <c r="O5702" i="2"/>
  <c r="O5710" i="2"/>
  <c r="O5718" i="2"/>
  <c r="O5734" i="2"/>
  <c r="O5782" i="2"/>
  <c r="O5798" i="2"/>
  <c r="O5814" i="2"/>
  <c r="O5854" i="2"/>
  <c r="O5862" i="2"/>
  <c r="O5870" i="2"/>
  <c r="O5894" i="2"/>
  <c r="O6006" i="2"/>
  <c r="O6014" i="2"/>
  <c r="O6038" i="2"/>
  <c r="O6070" i="2"/>
  <c r="O6086" i="2"/>
  <c r="O6102" i="2"/>
  <c r="O6118" i="2"/>
  <c r="O6142" i="2"/>
  <c r="O6166" i="2"/>
  <c r="O6206" i="2"/>
  <c r="O6222" i="2"/>
  <c r="O6238" i="2"/>
  <c r="O6254" i="2"/>
  <c r="O6270" i="2"/>
  <c r="O6286" i="2"/>
  <c r="O6318" i="2"/>
  <c r="O6350" i="2"/>
  <c r="O6358" i="2"/>
  <c r="O6366" i="2"/>
  <c r="O6382" i="2"/>
  <c r="O6406" i="2"/>
  <c r="O6414" i="2"/>
  <c r="O6430" i="2"/>
  <c r="O6454" i="2"/>
  <c r="O6462" i="2"/>
  <c r="O6478" i="2"/>
  <c r="O6550" i="2"/>
  <c r="O6614" i="2"/>
  <c r="O6622" i="2"/>
  <c r="O6630" i="2"/>
  <c r="O6662" i="2"/>
  <c r="O6678" i="2"/>
  <c r="O6702" i="2"/>
  <c r="O6774" i="2"/>
  <c r="O6806" i="2"/>
  <c r="O6814" i="2"/>
  <c r="O6822" i="2"/>
  <c r="O6830" i="2"/>
  <c r="O6838" i="2"/>
  <c r="O6846" i="2"/>
  <c r="O6942" i="2"/>
  <c r="O6950" i="2"/>
  <c r="O6958" i="2"/>
  <c r="O6966" i="2"/>
  <c r="O6982" i="2"/>
  <c r="O6990" i="2"/>
  <c r="O6998" i="2"/>
  <c r="O7030" i="2"/>
  <c r="O7054" i="2"/>
  <c r="O7078" i="2"/>
  <c r="O7086" i="2"/>
  <c r="O7102" i="2"/>
  <c r="O7110" i="2"/>
  <c r="O7158" i="2"/>
  <c r="O7166" i="2"/>
  <c r="O7174" i="2"/>
  <c r="O7230" i="2"/>
  <c r="O7238" i="2"/>
  <c r="O7262" i="2"/>
  <c r="O7270" i="2"/>
  <c r="O7278" i="2"/>
  <c r="O5" i="2"/>
  <c r="O13" i="2"/>
  <c r="O21" i="2"/>
  <c r="O53" i="2"/>
  <c r="O61" i="2"/>
  <c r="O69" i="2"/>
  <c r="O93" i="2"/>
  <c r="O229" i="2"/>
  <c r="O261" i="2"/>
  <c r="O269" i="2"/>
  <c r="O277" i="2"/>
  <c r="O285" i="2"/>
  <c r="O293" i="2"/>
  <c r="O301" i="2"/>
  <c r="O309" i="2"/>
  <c r="O333" i="2"/>
  <c r="O405" i="2"/>
  <c r="O429" i="2"/>
  <c r="O453" i="2"/>
  <c r="O461" i="2"/>
  <c r="O493" i="2"/>
  <c r="O509" i="2"/>
  <c r="O533" i="2"/>
  <c r="O541" i="2"/>
  <c r="O589" i="2"/>
  <c r="O597" i="2"/>
  <c r="O621" i="2"/>
  <c r="O637" i="2"/>
  <c r="O661" i="2"/>
  <c r="O709" i="2"/>
  <c r="O717" i="2"/>
  <c r="O765" i="2"/>
  <c r="O773" i="2"/>
  <c r="O781" i="2"/>
  <c r="O821" i="2"/>
  <c r="O829" i="2"/>
  <c r="O837" i="2"/>
  <c r="O869" i="2"/>
  <c r="O877" i="2"/>
  <c r="O885" i="2"/>
  <c r="O893" i="2"/>
  <c r="O901" i="2"/>
  <c r="O909" i="2"/>
  <c r="O917" i="2"/>
  <c r="O941" i="2"/>
  <c r="O957" i="2"/>
  <c r="O1029" i="2"/>
  <c r="O1069" i="2"/>
  <c r="O1125" i="2"/>
  <c r="O1133" i="2"/>
  <c r="O1141" i="2"/>
  <c r="O1165" i="2"/>
  <c r="O1173" i="2"/>
  <c r="O1189" i="2"/>
  <c r="O1253" i="2"/>
  <c r="O1269" i="2"/>
  <c r="O1301" i="2"/>
  <c r="O1309" i="2"/>
  <c r="O1317" i="2"/>
  <c r="O1325" i="2"/>
  <c r="O1349" i="2"/>
  <c r="O1365" i="2"/>
  <c r="O1373" i="2"/>
  <c r="O1389" i="2"/>
  <c r="O1405" i="2"/>
  <c r="O1429" i="2"/>
  <c r="O1469" i="2"/>
  <c r="O1485" i="2"/>
  <c r="O1493" i="2"/>
  <c r="O1533" i="2"/>
  <c r="O1541" i="2"/>
  <c r="O1549" i="2"/>
  <c r="O1557" i="2"/>
  <c r="O1565" i="2"/>
  <c r="O1581" i="2"/>
  <c r="O1621" i="2"/>
  <c r="O1645" i="2"/>
  <c r="O1661" i="2"/>
  <c r="O1669" i="2"/>
  <c r="O1685" i="2"/>
  <c r="O1693" i="2"/>
  <c r="O1701" i="2"/>
  <c r="O1733" i="2"/>
  <c r="O1741" i="2"/>
  <c r="O1749" i="2"/>
  <c r="O1757" i="2"/>
  <c r="O1765" i="2"/>
  <c r="O1773" i="2"/>
  <c r="O1781" i="2"/>
  <c r="O1789" i="2"/>
  <c r="O1813" i="2"/>
  <c r="O1821" i="2"/>
  <c r="O1829" i="2"/>
  <c r="O1837" i="2"/>
  <c r="O1917" i="2"/>
  <c r="O1933" i="2"/>
  <c r="O1973" i="2"/>
  <c r="O1989" i="2"/>
  <c r="O1997" i="2"/>
  <c r="O2013" i="2"/>
  <c r="O2021" i="2"/>
  <c r="O2029" i="2"/>
  <c r="O2037" i="2"/>
  <c r="O2045" i="2"/>
  <c r="O2085" i="2"/>
  <c r="O2133" i="2"/>
  <c r="O2189" i="2"/>
  <c r="O2205" i="2"/>
  <c r="O2213" i="2"/>
  <c r="O2221" i="2"/>
  <c r="O2229" i="2"/>
  <c r="O2245" i="2"/>
  <c r="O2317" i="2"/>
  <c r="O2325" i="2"/>
  <c r="O2357" i="2"/>
  <c r="O2389" i="2"/>
  <c r="O2397" i="2"/>
  <c r="O2429" i="2"/>
  <c r="O2437" i="2"/>
  <c r="O2485" i="2"/>
  <c r="O2525" i="2"/>
  <c r="O2549" i="2"/>
  <c r="O2581" i="2"/>
  <c r="O2589" i="2"/>
  <c r="O2605" i="2"/>
  <c r="O2613" i="2"/>
  <c r="O2621" i="2"/>
  <c r="O2629" i="2"/>
  <c r="O2637" i="2"/>
  <c r="O2653" i="2"/>
  <c r="O2661" i="2"/>
  <c r="O2757" i="2"/>
  <c r="O2773" i="2"/>
  <c r="O2781" i="2"/>
  <c r="O2797" i="2"/>
  <c r="O2829" i="2"/>
  <c r="O2861" i="2"/>
  <c r="O2869" i="2"/>
  <c r="O2877" i="2"/>
  <c r="O2917" i="2"/>
  <c r="O2925" i="2"/>
  <c r="O2933" i="2"/>
  <c r="O2941" i="2"/>
  <c r="O2981" i="2"/>
  <c r="O3005" i="2"/>
  <c r="O3045" i="2"/>
  <c r="O3053" i="2"/>
  <c r="O3061" i="2"/>
  <c r="O3069" i="2"/>
  <c r="O3077" i="2"/>
  <c r="O3101" i="2"/>
  <c r="O3141" i="2"/>
  <c r="O3197" i="2"/>
  <c r="O3205" i="2"/>
  <c r="O3213" i="2"/>
  <c r="O3237" i="2"/>
  <c r="O3245" i="2"/>
  <c r="O3261" i="2"/>
  <c r="O3301" i="2"/>
  <c r="O3309" i="2"/>
  <c r="O3317" i="2"/>
  <c r="O3333" i="2"/>
  <c r="O3357" i="2"/>
  <c r="O3373" i="2"/>
  <c r="O3389" i="2"/>
  <c r="O3397" i="2"/>
  <c r="O3405" i="2"/>
  <c r="O3413" i="2"/>
  <c r="O3421" i="2"/>
  <c r="O3453" i="2"/>
  <c r="O3461" i="2"/>
  <c r="O3469" i="2"/>
  <c r="O3485" i="2"/>
  <c r="O3501" i="2"/>
  <c r="O3533" i="2"/>
  <c r="O3541" i="2"/>
  <c r="O3549" i="2"/>
  <c r="O3565" i="2"/>
  <c r="O3581" i="2"/>
  <c r="O3597" i="2"/>
  <c r="O3621" i="2"/>
  <c r="O3709" i="2"/>
  <c r="O3733" i="2"/>
  <c r="O3765" i="2"/>
  <c r="O3821" i="2"/>
  <c r="O3901" i="2"/>
  <c r="O3925" i="2"/>
  <c r="O3941" i="2"/>
  <c r="O3949" i="2"/>
  <c r="O3957" i="2"/>
  <c r="O4005" i="2"/>
  <c r="O4101" i="2"/>
  <c r="O4133" i="2"/>
  <c r="O4165" i="2"/>
  <c r="O4197" i="2"/>
  <c r="O4229" i="2"/>
  <c r="O4237" i="2"/>
  <c r="O4245" i="2"/>
  <c r="O4317" i="2"/>
  <c r="O4325" i="2"/>
  <c r="O4333" i="2"/>
  <c r="O4341" i="2"/>
  <c r="O4349" i="2"/>
  <c r="O4357" i="2"/>
  <c r="O4381" i="2"/>
  <c r="O4389" i="2"/>
  <c r="O4421" i="2"/>
  <c r="O4437" i="2"/>
  <c r="O4445" i="2"/>
  <c r="O4453" i="2"/>
  <c r="O4461" i="2"/>
  <c r="O4469" i="2"/>
  <c r="O4477" i="2"/>
  <c r="O4501" i="2"/>
  <c r="O4517" i="2"/>
  <c r="O4525" i="2"/>
  <c r="O4597" i="2"/>
  <c r="O4605" i="2"/>
  <c r="O4629" i="2"/>
  <c r="O4637" i="2"/>
  <c r="O4669" i="2"/>
  <c r="O4677" i="2"/>
  <c r="O4685" i="2"/>
  <c r="O4693" i="2"/>
  <c r="O4701" i="2"/>
  <c r="O4709" i="2"/>
  <c r="O4725" i="2"/>
  <c r="O4733" i="2"/>
  <c r="O4757" i="2"/>
  <c r="O4813" i="2"/>
  <c r="O4869" i="2"/>
  <c r="O4877" i="2"/>
  <c r="O4885" i="2"/>
  <c r="O4893" i="2"/>
  <c r="O4901" i="2"/>
  <c r="O4909" i="2"/>
  <c r="O4917" i="2"/>
  <c r="O4925" i="2"/>
  <c r="O4933" i="2"/>
  <c r="O4949" i="2"/>
  <c r="O4957" i="2"/>
  <c r="O4973" i="2"/>
  <c r="O5053" i="2"/>
  <c r="O5061" i="2"/>
  <c r="O5085" i="2"/>
  <c r="O5173" i="2"/>
  <c r="O5181" i="2"/>
  <c r="O5189" i="2"/>
  <c r="O5197" i="2"/>
  <c r="O5269" i="2"/>
  <c r="O5277" i="2"/>
  <c r="O5317" i="2"/>
  <c r="O5325" i="2"/>
  <c r="O5333" i="2"/>
  <c r="O5341" i="2"/>
  <c r="O5365" i="2"/>
  <c r="O5381" i="2"/>
  <c r="O5389" i="2"/>
  <c r="O5397" i="2"/>
  <c r="O5405" i="2"/>
  <c r="O5413" i="2"/>
  <c r="O5445" i="2"/>
  <c r="O5461" i="2"/>
  <c r="O5565" i="2"/>
  <c r="O5581" i="2"/>
  <c r="O5645" i="2"/>
  <c r="O5653" i="2"/>
  <c r="O5661" i="2"/>
  <c r="O5677" i="2"/>
  <c r="O5693" i="2"/>
  <c r="O5781" i="2"/>
  <c r="O5797" i="2"/>
  <c r="O5869" i="2"/>
  <c r="O5885" i="2"/>
  <c r="O5925" i="2"/>
  <c r="O5989" i="2"/>
  <c r="O6013" i="2"/>
  <c r="O6021" i="2"/>
  <c r="O6029" i="2"/>
  <c r="O6045" i="2"/>
  <c r="O6053" i="2"/>
  <c r="O6085" i="2"/>
  <c r="O6093" i="2"/>
  <c r="O6101" i="2"/>
  <c r="O6117" i="2"/>
  <c r="O6149" i="2"/>
  <c r="O6197" i="2"/>
  <c r="O6205" i="2"/>
  <c r="O6253" i="2"/>
  <c r="O6261" i="2"/>
  <c r="O6269" i="2"/>
  <c r="O6277" i="2"/>
  <c r="O6285" i="2"/>
  <c r="O6309" i="2"/>
  <c r="O6317" i="2"/>
  <c r="O6341" i="2"/>
  <c r="O6349" i="2"/>
  <c r="O6357" i="2"/>
  <c r="O6381" i="2"/>
  <c r="O6397" i="2"/>
  <c r="O6405" i="2"/>
  <c r="O6413" i="2"/>
  <c r="O6429" i="2"/>
  <c r="O6437" i="2"/>
  <c r="O6453" i="2"/>
  <c r="O6461" i="2"/>
  <c r="O6469" i="2"/>
  <c r="O6477" i="2"/>
  <c r="O6549" i="2"/>
  <c r="O6557" i="2"/>
  <c r="O6573" i="2"/>
  <c r="O6581" i="2"/>
  <c r="O6613" i="2"/>
  <c r="O6621" i="2"/>
  <c r="O6629" i="2"/>
  <c r="O6653" i="2"/>
  <c r="O6685" i="2"/>
  <c r="O6701" i="2"/>
  <c r="O6725" i="2"/>
  <c r="O6805" i="2"/>
  <c r="O6829" i="2"/>
  <c r="O6837" i="2"/>
  <c r="O6901" i="2"/>
  <c r="O6933" i="2"/>
  <c r="O6949" i="2"/>
  <c r="O6957" i="2"/>
  <c r="O6965" i="2"/>
  <c r="O6973" i="2"/>
  <c r="O6981" i="2"/>
  <c r="O6989" i="2"/>
  <c r="O7005" i="2"/>
  <c r="O7045" i="2"/>
  <c r="O7077" i="2"/>
  <c r="O7085" i="2"/>
  <c r="O7109" i="2"/>
  <c r="O7133" i="2"/>
  <c r="O7157" i="2"/>
  <c r="O7165" i="2"/>
  <c r="O7173" i="2"/>
  <c r="O7189" i="2"/>
  <c r="O7229" i="2"/>
  <c r="O7237" i="2"/>
  <c r="O7245" i="2"/>
  <c r="O7261" i="2"/>
  <c r="O7269" i="2"/>
  <c r="O7277" i="2"/>
  <c r="O11" i="2"/>
  <c r="O19" i="2"/>
  <c r="O27" i="2"/>
  <c r="O51" i="2"/>
  <c r="O59" i="2"/>
  <c r="O67" i="2"/>
  <c r="O115" i="2"/>
  <c r="O131" i="2"/>
  <c r="O155" i="2"/>
  <c r="O187" i="2"/>
  <c r="O219" i="2"/>
  <c r="O259" i="2"/>
  <c r="O267" i="2"/>
  <c r="O275" i="2"/>
  <c r="O283" i="2"/>
  <c r="O291" i="2"/>
  <c r="O307" i="2"/>
  <c r="O323" i="2"/>
  <c r="O387" i="2"/>
  <c r="O419" i="2"/>
  <c r="O443" i="2"/>
  <c r="O459" i="2"/>
  <c r="O467" i="2"/>
  <c r="O475" i="2"/>
  <c r="O491" i="2"/>
  <c r="O571" i="2"/>
  <c r="O595" i="2"/>
  <c r="O603" i="2"/>
  <c r="O611" i="2"/>
  <c r="O627" i="2"/>
  <c r="O635" i="2"/>
  <c r="O667" i="2"/>
  <c r="O683" i="2"/>
  <c r="O707" i="2"/>
  <c r="O715" i="2"/>
  <c r="O723" i="2"/>
  <c r="O731" i="2"/>
  <c r="O755" i="2"/>
  <c r="O779" i="2"/>
  <c r="O859" i="2"/>
  <c r="O867" i="2"/>
  <c r="O875" i="2"/>
  <c r="O899" i="2"/>
  <c r="O915" i="2"/>
  <c r="O947" i="2"/>
  <c r="O971" i="2"/>
  <c r="O979" i="2"/>
  <c r="O1003" i="2"/>
  <c r="O1011" i="2"/>
  <c r="O1123" i="2"/>
  <c r="O1131" i="2"/>
  <c r="O1139" i="2"/>
  <c r="O1155" i="2"/>
  <c r="O1179" i="2"/>
  <c r="O1251" i="2"/>
  <c r="O1259" i="2"/>
  <c r="O1307" i="2"/>
  <c r="O1315" i="2"/>
  <c r="O1323" i="2"/>
  <c r="O1331" i="2"/>
  <c r="O1339" i="2"/>
  <c r="O1347" i="2"/>
  <c r="O1419" i="2"/>
  <c r="O1435" i="2"/>
  <c r="O1451" i="2"/>
  <c r="O1459" i="2"/>
  <c r="O1467" i="2"/>
  <c r="O1475" i="2"/>
  <c r="O1483" i="2"/>
  <c r="O1523" i="2"/>
  <c r="O1555" i="2"/>
  <c r="O1563" i="2"/>
  <c r="O1579" i="2"/>
  <c r="O1611" i="2"/>
  <c r="O1635" i="2"/>
  <c r="O1643" i="2"/>
  <c r="O1651" i="2"/>
  <c r="O1667" i="2"/>
  <c r="O1691" i="2"/>
  <c r="O1707" i="2"/>
  <c r="O1715" i="2"/>
  <c r="O1723" i="2"/>
  <c r="O1731" i="2"/>
  <c r="O1739" i="2"/>
  <c r="O1755" i="2"/>
  <c r="O1763" i="2"/>
  <c r="O1771" i="2"/>
  <c r="O1795" i="2"/>
  <c r="O1803" i="2"/>
  <c r="O1811" i="2"/>
  <c r="O1827" i="2"/>
  <c r="O1843" i="2"/>
  <c r="O1851" i="2"/>
  <c r="O1875" i="2"/>
  <c r="O1923" i="2"/>
  <c r="O1987" i="2"/>
  <c r="O2003" i="2"/>
  <c r="O2011" i="2"/>
  <c r="O2019" i="2"/>
  <c r="O2027" i="2"/>
  <c r="O2035" i="2"/>
  <c r="O2043" i="2"/>
  <c r="O2051" i="2"/>
  <c r="O2099" i="2"/>
  <c r="O2115" i="2"/>
  <c r="O2139" i="2"/>
  <c r="O2179" i="2"/>
  <c r="O2187" i="2"/>
  <c r="O2195" i="2"/>
  <c r="O2211" i="2"/>
  <c r="O2275" i="2"/>
  <c r="O2291" i="2"/>
  <c r="O2307" i="2"/>
  <c r="O2315" i="2"/>
  <c r="O2323" i="2"/>
  <c r="O2331" i="2"/>
  <c r="O2347" i="2"/>
  <c r="O2355" i="2"/>
  <c r="O2379" i="2"/>
  <c r="O2419" i="2"/>
  <c r="O2427" i="2"/>
  <c r="O2435" i="2"/>
  <c r="O2459" i="2"/>
  <c r="O2475" i="2"/>
  <c r="O2483" i="2"/>
  <c r="O2491" i="2"/>
  <c r="O2547" i="2"/>
  <c r="O2555" i="2"/>
  <c r="O2563" i="2"/>
  <c r="O2571" i="2"/>
  <c r="O2579" i="2"/>
  <c r="O2627" i="2"/>
  <c r="O2635" i="2"/>
  <c r="O2643" i="2"/>
  <c r="O2651" i="2"/>
  <c r="O2675" i="2"/>
  <c r="O2683" i="2"/>
  <c r="O2787" i="2"/>
  <c r="O2795" i="2"/>
  <c r="O2843" i="2"/>
  <c r="O2867" i="2"/>
  <c r="O2875" i="2"/>
  <c r="O2883" i="2"/>
  <c r="O2907" i="2"/>
  <c r="O2915" i="2"/>
  <c r="O2923" i="2"/>
  <c r="O2931" i="2"/>
  <c r="O3035" i="2"/>
  <c r="O3067" i="2"/>
  <c r="O3075" i="2"/>
  <c r="O3083" i="2"/>
  <c r="O3091" i="2"/>
  <c r="O3099" i="2"/>
  <c r="O3131" i="2"/>
  <c r="O3179" i="2"/>
  <c r="O3187" i="2"/>
  <c r="O3203" i="2"/>
  <c r="O3211" i="2"/>
  <c r="O3219" i="2"/>
  <c r="O3235" i="2"/>
  <c r="O3243" i="2"/>
  <c r="O3275" i="2"/>
  <c r="O3291" i="2"/>
  <c r="O3315" i="2"/>
  <c r="O3331" i="2"/>
  <c r="O3339" i="2"/>
  <c r="O3387" i="2"/>
  <c r="O3395" i="2"/>
  <c r="O3411" i="2"/>
  <c r="O3427" i="2"/>
  <c r="O3443" i="2"/>
  <c r="O3467" i="2"/>
  <c r="O3499" i="2"/>
  <c r="O3507" i="2"/>
  <c r="O3515" i="2"/>
  <c r="O3523" i="2"/>
  <c r="O3531" i="2"/>
  <c r="O3547" i="2"/>
  <c r="O3555" i="2"/>
  <c r="O3563" i="2"/>
  <c r="O3571" i="2"/>
  <c r="O3587" i="2"/>
  <c r="O3595" i="2"/>
  <c r="O3635" i="2"/>
  <c r="O3643" i="2"/>
  <c r="O3651" i="2"/>
  <c r="O3699" i="2"/>
  <c r="O3747" i="2"/>
  <c r="O3771" i="2"/>
  <c r="O3779" i="2"/>
  <c r="O3787" i="2"/>
  <c r="O3803" i="2"/>
  <c r="O3819" i="2"/>
  <c r="O3859" i="2"/>
  <c r="O3875" i="2"/>
  <c r="O3891" i="2"/>
  <c r="O3907" i="2"/>
  <c r="O3963" i="2"/>
  <c r="O3979" i="2"/>
  <c r="O3995" i="2"/>
  <c r="O4019" i="2"/>
  <c r="O4035" i="2"/>
  <c r="O4099" i="2"/>
  <c r="O4107" i="2"/>
  <c r="O4131" i="2"/>
  <c r="O4139" i="2"/>
  <c r="O4171" i="2"/>
  <c r="O4219" i="2"/>
  <c r="O4227" i="2"/>
  <c r="O4235" i="2"/>
  <c r="O4243" i="2"/>
  <c r="O4251" i="2"/>
  <c r="O4267" i="2"/>
  <c r="O4315" i="2"/>
  <c r="O4323" i="2"/>
  <c r="O4331" i="2"/>
  <c r="O4347" i="2"/>
  <c r="O4371" i="2"/>
  <c r="O4395" i="2"/>
  <c r="O4419" i="2"/>
  <c r="O4443" i="2"/>
  <c r="O4451" i="2"/>
  <c r="O4459" i="2"/>
  <c r="O4467" i="2"/>
  <c r="O4483" i="2"/>
  <c r="O4499" i="2"/>
  <c r="O4507" i="2"/>
  <c r="O4515" i="2"/>
  <c r="O4523" i="2"/>
  <c r="O4563" i="2"/>
  <c r="O4619" i="2"/>
  <c r="O4627" i="2"/>
  <c r="O4691" i="2"/>
  <c r="O4699" i="2"/>
  <c r="O4707" i="2"/>
  <c r="O4723" i="2"/>
  <c r="O4763" i="2"/>
  <c r="O4787" i="2"/>
  <c r="O4835" i="2"/>
  <c r="O4891" i="2"/>
  <c r="O4899" i="2"/>
  <c r="O4907" i="2"/>
  <c r="O4923" i="2"/>
  <c r="O4939" i="2"/>
  <c r="O4955" i="2"/>
  <c r="O4971" i="2"/>
  <c r="O4979" i="2"/>
  <c r="O5019" i="2"/>
  <c r="O5035" i="2"/>
  <c r="O5051" i="2"/>
  <c r="O5059" i="2"/>
  <c r="O5075" i="2"/>
  <c r="O5083" i="2"/>
  <c r="O5091" i="2"/>
  <c r="O5107" i="2"/>
  <c r="O5139" i="2"/>
  <c r="O5171" i="2"/>
  <c r="O5179" i="2"/>
  <c r="O5187" i="2"/>
  <c r="O5195" i="2"/>
  <c r="O5211" i="2"/>
  <c r="O5227" i="2"/>
  <c r="O5267" i="2"/>
  <c r="O5283" i="2"/>
  <c r="O5291" i="2"/>
  <c r="O5307" i="2"/>
  <c r="O5315" i="2"/>
  <c r="O5323" i="2"/>
  <c r="O5331" i="2"/>
  <c r="O5363" i="2"/>
  <c r="O5371" i="2"/>
  <c r="O5387" i="2"/>
  <c r="O5395" i="2"/>
  <c r="O5403" i="2"/>
  <c r="O5427" i="2"/>
  <c r="O5443" i="2"/>
  <c r="O5459" i="2"/>
  <c r="O5475" i="2"/>
  <c r="O5507" i="2"/>
  <c r="O5515" i="2"/>
  <c r="O5539" i="2"/>
  <c r="O5571" i="2"/>
  <c r="O5587" i="2"/>
  <c r="O5595" i="2"/>
  <c r="O5651" i="2"/>
  <c r="O5659" i="2"/>
  <c r="O5667" i="2"/>
  <c r="O5683" i="2"/>
  <c r="O5691" i="2"/>
  <c r="O5715" i="2"/>
  <c r="O5763" i="2"/>
  <c r="O5811" i="2"/>
  <c r="O5859" i="2"/>
  <c r="O5867" i="2"/>
  <c r="O5875" i="2"/>
  <c r="O5883" i="2"/>
  <c r="O5939" i="2"/>
  <c r="O5971" i="2"/>
  <c r="O5987" i="2"/>
  <c r="O6003" i="2"/>
  <c r="O6011" i="2"/>
  <c r="O6019" i="2"/>
  <c r="O6027" i="2"/>
  <c r="O6035" i="2"/>
  <c r="O6115" i="2"/>
  <c r="O6123" i="2"/>
  <c r="O6131" i="2"/>
  <c r="O6195" i="2"/>
  <c r="O6203" i="2"/>
  <c r="O6219" i="2"/>
  <c r="O6251" i="2"/>
  <c r="O6267" i="2"/>
  <c r="O6275" i="2"/>
  <c r="O6283" i="2"/>
  <c r="O6291" i="2"/>
  <c r="O6315" i="2"/>
  <c r="O6323" i="2"/>
  <c r="O6347" i="2"/>
  <c r="O6363" i="2"/>
  <c r="O6371" i="2"/>
  <c r="O6379" i="2"/>
  <c r="O6403" i="2"/>
  <c r="O6427" i="2"/>
  <c r="O6451" i="2"/>
  <c r="O6515" i="2"/>
  <c r="O6611" i="2"/>
  <c r="O6619" i="2"/>
  <c r="O6627" i="2"/>
  <c r="O6643" i="2"/>
  <c r="O6651" i="2"/>
  <c r="O6667" i="2"/>
  <c r="O6723" i="2"/>
  <c r="O6779" i="2"/>
  <c r="O6803" i="2"/>
  <c r="O6811" i="2"/>
  <c r="O6819" i="2"/>
  <c r="O6843" i="2"/>
  <c r="O6851" i="2"/>
  <c r="O6947" i="2"/>
  <c r="O6955" i="2"/>
  <c r="O6963" i="2"/>
  <c r="O6971" i="2"/>
  <c r="O6979" i="2"/>
  <c r="O7003" i="2"/>
  <c r="O7067" i="2"/>
  <c r="O7075" i="2"/>
  <c r="O7083" i="2"/>
  <c r="O7131" i="2"/>
  <c r="O7155" i="2"/>
  <c r="O7171" i="2"/>
  <c r="O7179" i="2"/>
  <c r="O7187" i="2"/>
  <c r="O7211" i="2"/>
  <c r="O7219" i="2"/>
  <c r="O7227" i="2"/>
  <c r="O7243" i="2"/>
  <c r="O7259" i="2"/>
  <c r="O7267" i="2"/>
  <c r="O8" i="2"/>
  <c r="O16" i="2"/>
  <c r="O32" i="2"/>
  <c r="O40" i="2"/>
  <c r="O48" i="2"/>
  <c r="O56" i="2"/>
  <c r="O80" i="2"/>
  <c r="O88" i="2"/>
  <c r="O112" i="2"/>
  <c r="O152" i="2"/>
  <c r="O168" i="2"/>
  <c r="O192" i="2"/>
  <c r="O232" i="2"/>
  <c r="O264" i="2"/>
  <c r="O272" i="2"/>
  <c r="O296" i="2"/>
  <c r="O312" i="2"/>
  <c r="O368" i="2"/>
  <c r="O384" i="2"/>
  <c r="O456" i="2"/>
  <c r="O464" i="2"/>
  <c r="O472" i="2"/>
  <c r="O488" i="2"/>
  <c r="O520" i="2"/>
  <c r="O528" i="2"/>
  <c r="O576" i="2"/>
  <c r="O584" i="2"/>
  <c r="O592" i="2"/>
  <c r="O600" i="2"/>
  <c r="O616" i="2"/>
  <c r="O624" i="2"/>
  <c r="O632" i="2"/>
  <c r="O640" i="2"/>
  <c r="O672" i="2"/>
  <c r="O688" i="2"/>
  <c r="O704" i="2"/>
  <c r="O712" i="2"/>
  <c r="O728" i="2"/>
  <c r="O776" i="2"/>
  <c r="O784" i="2"/>
  <c r="O816" i="2"/>
  <c r="O832" i="2"/>
  <c r="O848" i="2"/>
  <c r="O880" i="2"/>
  <c r="O888" i="2"/>
  <c r="O896" i="2"/>
  <c r="O904" i="2"/>
  <c r="O912" i="2"/>
  <c r="O920" i="2"/>
  <c r="O944" i="2"/>
  <c r="O952" i="2"/>
  <c r="O968" i="2"/>
  <c r="O992" i="2"/>
  <c r="O1000" i="2"/>
  <c r="O1088" i="2"/>
  <c r="O1128" i="2"/>
  <c r="O1136" i="2"/>
  <c r="O1184" i="2"/>
  <c r="O1248" i="2"/>
  <c r="O1312" i="2"/>
  <c r="O1320" i="2"/>
  <c r="O1328" i="2"/>
  <c r="O1336" i="2"/>
  <c r="O1344" i="2"/>
  <c r="O1352" i="2"/>
  <c r="O1360" i="2"/>
  <c r="O1456" i="2"/>
  <c r="O1464" i="2"/>
  <c r="O1472" i="2"/>
  <c r="O1480" i="2"/>
  <c r="O1520" i="2"/>
  <c r="O1528" i="2"/>
  <c r="O1536" i="2"/>
  <c r="O1544" i="2"/>
  <c r="O1560" i="2"/>
  <c r="O1568" i="2"/>
  <c r="O1584" i="2"/>
  <c r="O1608" i="2"/>
  <c r="O1616" i="2"/>
  <c r="O1624" i="2"/>
  <c r="O1632" i="2"/>
  <c r="O1640" i="2"/>
  <c r="O1664" i="2"/>
  <c r="O1672" i="2"/>
  <c r="O1688" i="2"/>
  <c r="O1696" i="2"/>
  <c r="O1728" i="2"/>
  <c r="O1736" i="2"/>
  <c r="O1744" i="2"/>
  <c r="O1760" i="2"/>
  <c r="O1768" i="2"/>
  <c r="O1776" i="2"/>
  <c r="O1800" i="2"/>
  <c r="O1808" i="2"/>
  <c r="O1832" i="2"/>
  <c r="O1840" i="2"/>
  <c r="O1944" i="2"/>
  <c r="O1960" i="2"/>
  <c r="O1992" i="2"/>
  <c r="O2000" i="2"/>
  <c r="O2016" i="2"/>
  <c r="O2032" i="2"/>
  <c r="O2040" i="2"/>
  <c r="O2112" i="2"/>
  <c r="O2152" i="2"/>
  <c r="O2168" i="2"/>
  <c r="O2184" i="2"/>
  <c r="O2192" i="2"/>
  <c r="O2208" i="2"/>
  <c r="O2216" i="2"/>
  <c r="O2304" i="2"/>
  <c r="O2328" i="2"/>
  <c r="O2344" i="2"/>
  <c r="O2392" i="2"/>
  <c r="O2408" i="2"/>
  <c r="O2432" i="2"/>
  <c r="O2448" i="2"/>
  <c r="O2456" i="2"/>
  <c r="O2464" i="2"/>
  <c r="O2504" i="2"/>
  <c r="O2536" i="2"/>
  <c r="O2552" i="2"/>
  <c r="O2576" i="2"/>
  <c r="O2592" i="2"/>
  <c r="O2616" i="2"/>
  <c r="O2624" i="2"/>
  <c r="O2640" i="2"/>
  <c r="O2648" i="2"/>
  <c r="O2656" i="2"/>
  <c r="O2664" i="2"/>
  <c r="O2680" i="2"/>
  <c r="O2696" i="2"/>
  <c r="O2744" i="2"/>
  <c r="O2808" i="2"/>
  <c r="O2832" i="2"/>
  <c r="O2864" i="2"/>
  <c r="O2872" i="2"/>
  <c r="O2880" i="2"/>
  <c r="O2888" i="2"/>
  <c r="O2896" i="2"/>
  <c r="O2912" i="2"/>
  <c r="O2928" i="2"/>
  <c r="O2936" i="2"/>
  <c r="O2944" i="2"/>
  <c r="O2960" i="2"/>
  <c r="O2968" i="2"/>
  <c r="O3000" i="2"/>
  <c r="O3008" i="2"/>
  <c r="O3040" i="2"/>
  <c r="O3056" i="2"/>
  <c r="O3064" i="2"/>
  <c r="O3072" i="2"/>
  <c r="O3080" i="2"/>
  <c r="O3096" i="2"/>
  <c r="O3104" i="2"/>
  <c r="O3152" i="2"/>
  <c r="O3160" i="2"/>
  <c r="O3176" i="2"/>
  <c r="O3192" i="2"/>
  <c r="O3216" i="2"/>
  <c r="O3224" i="2"/>
  <c r="O3232" i="2"/>
  <c r="O3240" i="2"/>
  <c r="O3312" i="2"/>
  <c r="O3352" i="2"/>
  <c r="O3400" i="2"/>
  <c r="O3456" i="2"/>
  <c r="O3464" i="2"/>
  <c r="O3488" i="2"/>
  <c r="O3512" i="2"/>
  <c r="O3528" i="2"/>
  <c r="O3536" i="2"/>
  <c r="O3576" i="2"/>
  <c r="O3584" i="2"/>
  <c r="O3592" i="2"/>
  <c r="O3600" i="2"/>
  <c r="O3672" i="2"/>
  <c r="O3760" i="2"/>
  <c r="O3768" i="2"/>
  <c r="O3776" i="2"/>
  <c r="O3784" i="2"/>
  <c r="O3792" i="2"/>
  <c r="O3800" i="2"/>
  <c r="O3872" i="2"/>
  <c r="O3896" i="2"/>
  <c r="O3912" i="2"/>
  <c r="O3944" i="2"/>
  <c r="O3952" i="2"/>
  <c r="O3976" i="2"/>
  <c r="O4056" i="2"/>
  <c r="O4072" i="2"/>
  <c r="O4088" i="2"/>
  <c r="O4104" i="2"/>
  <c r="O4112" i="2"/>
  <c r="O4120" i="2"/>
  <c r="O4128" i="2"/>
  <c r="O4144" i="2"/>
  <c r="O4152" i="2"/>
  <c r="O4240" i="2"/>
  <c r="O4248" i="2"/>
  <c r="O4256" i="2"/>
  <c r="O4320" i="2"/>
  <c r="O4328" i="2"/>
  <c r="O4376" i="2"/>
  <c r="O4384" i="2"/>
  <c r="O4456" i="2"/>
  <c r="O4464" i="2"/>
  <c r="O4472" i="2"/>
  <c r="O4488" i="2"/>
  <c r="O4520" i="2"/>
  <c r="O4560" i="2"/>
  <c r="O4584" i="2"/>
  <c r="O4600" i="2"/>
  <c r="O4656" i="2"/>
  <c r="O4696" i="2"/>
  <c r="O4712" i="2"/>
  <c r="O4760" i="2"/>
  <c r="O4768" i="2"/>
  <c r="O4848" i="2"/>
  <c r="O4856" i="2"/>
  <c r="O4896" i="2"/>
  <c r="O4904" i="2"/>
  <c r="O4912" i="2"/>
  <c r="O4936" i="2"/>
  <c r="O4960" i="2"/>
  <c r="O5048" i="2"/>
  <c r="O5056" i="2"/>
  <c r="O5064" i="2"/>
  <c r="O5096" i="2"/>
  <c r="O5112" i="2"/>
  <c r="O5120" i="2"/>
  <c r="O5160" i="2"/>
  <c r="O5176" i="2"/>
  <c r="O5184" i="2"/>
  <c r="O5200" i="2"/>
  <c r="O5208" i="2"/>
  <c r="O5216" i="2"/>
  <c r="O5224" i="2"/>
  <c r="O5272" i="2"/>
  <c r="O5288" i="2"/>
  <c r="O5296" i="2"/>
  <c r="O5320" i="2"/>
  <c r="O5328" i="2"/>
  <c r="O5336" i="2"/>
  <c r="O5368" i="2"/>
  <c r="O5384" i="2"/>
  <c r="O5392" i="2"/>
  <c r="O5400" i="2"/>
  <c r="O5408" i="2"/>
  <c r="O5424" i="2"/>
  <c r="O5440" i="2"/>
  <c r="O5448" i="2"/>
  <c r="O5536" i="2"/>
  <c r="O5576" i="2"/>
  <c r="O5592" i="2"/>
  <c r="O5608" i="2"/>
  <c r="O5632" i="2"/>
  <c r="O5648" i="2"/>
  <c r="O5656" i="2"/>
  <c r="O5664" i="2"/>
  <c r="O5688" i="2"/>
  <c r="O5744" i="2"/>
  <c r="O5864" i="2"/>
  <c r="O5888" i="2"/>
  <c r="O5896" i="2"/>
  <c r="O5952" i="2"/>
  <c r="O6000" i="2"/>
  <c r="O6008" i="2"/>
  <c r="O6024" i="2"/>
  <c r="O6040" i="2"/>
  <c r="O6056" i="2"/>
  <c r="O6120" i="2"/>
  <c r="O6184" i="2"/>
  <c r="O6208" i="2"/>
  <c r="O6216" i="2"/>
  <c r="O6240" i="2"/>
  <c r="O6256" i="2"/>
  <c r="O6272" i="2"/>
  <c r="O6280" i="2"/>
  <c r="O6288" i="2"/>
  <c r="O6296" i="2"/>
  <c r="O6312" i="2"/>
  <c r="O6320" i="2"/>
  <c r="O6328" i="2"/>
  <c r="O6352" i="2"/>
  <c r="O6360" i="2"/>
  <c r="O6368" i="2"/>
  <c r="O6384" i="2"/>
  <c r="O6400" i="2"/>
  <c r="O6408" i="2"/>
  <c r="O6496" i="2"/>
  <c r="O6608" i="2"/>
  <c r="O6616" i="2"/>
  <c r="O6624" i="2"/>
  <c r="O6640" i="2"/>
  <c r="O6648" i="2"/>
  <c r="O6776" i="2"/>
  <c r="O6808" i="2"/>
  <c r="O6816" i="2"/>
  <c r="O6840" i="2"/>
  <c r="O6856" i="2"/>
  <c r="O6944" i="2"/>
  <c r="O6984" i="2"/>
  <c r="O7000" i="2"/>
  <c r="O7088" i="2"/>
  <c r="O7096" i="2"/>
  <c r="O7136" i="2"/>
  <c r="O7160" i="2"/>
  <c r="O7168" i="2"/>
  <c r="O7192" i="2"/>
  <c r="O7200" i="2"/>
  <c r="O7208" i="2"/>
  <c r="O7216" i="2"/>
  <c r="O7224" i="2"/>
  <c r="O7232" i="2"/>
  <c r="O7264" i="2"/>
  <c r="O7272" i="2"/>
  <c r="O7280" i="2"/>
  <c r="O18" i="2"/>
  <c r="O26" i="2"/>
  <c r="O34" i="2"/>
  <c r="O50" i="2"/>
  <c r="O66" i="2"/>
  <c r="O114" i="2"/>
  <c r="O130" i="2"/>
  <c r="O154" i="2"/>
  <c r="O170" i="2"/>
  <c r="O178" i="2"/>
  <c r="O186" i="2"/>
  <c r="O194" i="2"/>
  <c r="O218" i="2"/>
  <c r="O242" i="2"/>
  <c r="O250" i="2"/>
  <c r="O266" i="2"/>
  <c r="O274" i="2"/>
  <c r="O282" i="2"/>
  <c r="O290" i="2"/>
  <c r="O306" i="2"/>
  <c r="O314" i="2"/>
  <c r="O322" i="2"/>
  <c r="O402" i="2"/>
  <c r="O426" i="2"/>
  <c r="O442" i="2"/>
  <c r="O458" i="2"/>
  <c r="O466" i="2"/>
  <c r="O474" i="2"/>
  <c r="O482" i="2"/>
  <c r="O490" i="2"/>
  <c r="O498" i="2"/>
  <c r="O514" i="2"/>
  <c r="O546" i="2"/>
  <c r="O594" i="2"/>
  <c r="O602" i="2"/>
  <c r="O610" i="2"/>
  <c r="O634" i="2"/>
  <c r="O642" i="2"/>
  <c r="O682" i="2"/>
  <c r="O698" i="2"/>
  <c r="O706" i="2"/>
  <c r="O714" i="2"/>
  <c r="O762" i="2"/>
  <c r="O770" i="2"/>
  <c r="O778" i="2"/>
  <c r="O786" i="2"/>
  <c r="O794" i="2"/>
  <c r="O810" i="2"/>
  <c r="O818" i="2"/>
  <c r="O826" i="2"/>
  <c r="O834" i="2"/>
  <c r="O842" i="2"/>
  <c r="O858" i="2"/>
  <c r="O866" i="2"/>
  <c r="O874" i="2"/>
  <c r="O882" i="2"/>
  <c r="O890" i="2"/>
  <c r="O898" i="2"/>
  <c r="O906" i="2"/>
  <c r="O946" i="2"/>
  <c r="O962" i="2"/>
  <c r="O970" i="2"/>
  <c r="O1010" i="2"/>
  <c r="O1106" i="2"/>
  <c r="O1122" i="2"/>
  <c r="O1130" i="2"/>
  <c r="O1138" i="2"/>
  <c r="O1154" i="2"/>
  <c r="O1178" i="2"/>
  <c r="O1194" i="2"/>
  <c r="O1266" i="2"/>
  <c r="O1274" i="2"/>
  <c r="O1282" i="2"/>
  <c r="O1306" i="2"/>
  <c r="O1314" i="2"/>
  <c r="O1322" i="2"/>
  <c r="O1330" i="2"/>
  <c r="O1346" i="2"/>
  <c r="O1450" i="2"/>
  <c r="O1458" i="2"/>
  <c r="O1466" i="2"/>
  <c r="O1474" i="2"/>
  <c r="O1482" i="2"/>
  <c r="O1498" i="2"/>
  <c r="O1554" i="2"/>
  <c r="O1562" i="2"/>
  <c r="O1578" i="2"/>
  <c r="O1618" i="2"/>
  <c r="O1634" i="2"/>
  <c r="O1642" i="2"/>
  <c r="O1650" i="2"/>
  <c r="O1658" i="2"/>
  <c r="O1690" i="2"/>
  <c r="O1698" i="2"/>
  <c r="O1730" i="2"/>
  <c r="O1762" i="2"/>
  <c r="O1770" i="2"/>
  <c r="O1778" i="2"/>
  <c r="O1802" i="2"/>
  <c r="O1826" i="2"/>
  <c r="O1874" i="2"/>
  <c r="O1922" i="2"/>
  <c r="O1946" i="2"/>
  <c r="O1954" i="2"/>
  <c r="O1962" i="2"/>
  <c r="O1994" i="2"/>
  <c r="O2002" i="2"/>
  <c r="O2010" i="2"/>
  <c r="O2050" i="2"/>
  <c r="O2058" i="2"/>
  <c r="O2082" i="2"/>
  <c r="O2122" i="2"/>
  <c r="O2170" i="2"/>
  <c r="O2178" i="2"/>
  <c r="O2210" i="2"/>
  <c r="O2226" i="2"/>
  <c r="O2242" i="2"/>
  <c r="O2290" i="2"/>
  <c r="O2314" i="2"/>
  <c r="O2322" i="2"/>
  <c r="O2338" i="2"/>
  <c r="O2346" i="2"/>
  <c r="O2354" i="2"/>
  <c r="O2370" i="2"/>
  <c r="O2394" i="2"/>
  <c r="O2410" i="2"/>
  <c r="O2426" i="2"/>
  <c r="O2434" i="2"/>
  <c r="O2466" i="2"/>
  <c r="O2506" i="2"/>
  <c r="O2522" i="2"/>
  <c r="O2538" i="2"/>
  <c r="O2546" i="2"/>
  <c r="O2554" i="2"/>
  <c r="O2562" i="2"/>
  <c r="O2594" i="2"/>
  <c r="O2602" i="2"/>
  <c r="O2626" i="2"/>
  <c r="O2634" i="2"/>
  <c r="O2642" i="2"/>
  <c r="O2650" i="2"/>
  <c r="O2682" i="2"/>
  <c r="O2730" i="2"/>
  <c r="O2786" i="2"/>
  <c r="O2842" i="2"/>
  <c r="O2866" i="2"/>
  <c r="O2882" i="2"/>
  <c r="O2914" i="2"/>
  <c r="O2922" i="2"/>
  <c r="O2930" i="2"/>
  <c r="O2946" i="2"/>
  <c r="O3018" i="2"/>
  <c r="O3034" i="2"/>
  <c r="O3058" i="2"/>
  <c r="O3066" i="2"/>
  <c r="O3074" i="2"/>
  <c r="O3082" i="2"/>
  <c r="O3090" i="2"/>
  <c r="O3106" i="2"/>
  <c r="O3186" i="2"/>
  <c r="O3210" i="2"/>
  <c r="O3218" i="2"/>
  <c r="O3234" i="2"/>
  <c r="O3314" i="2"/>
  <c r="O3330" i="2"/>
  <c r="O3338" i="2"/>
  <c r="O3346" i="2"/>
  <c r="O3378" i="2"/>
  <c r="O3386" i="2"/>
  <c r="O3402" i="2"/>
  <c r="O3410" i="2"/>
  <c r="O3442" i="2"/>
  <c r="O3450" i="2"/>
  <c r="O3458" i="2"/>
  <c r="O3466" i="2"/>
  <c r="O3474" i="2"/>
  <c r="O3498" i="2"/>
  <c r="O3506" i="2"/>
  <c r="O3530" i="2"/>
  <c r="O3546" i="2"/>
  <c r="O3562" i="2"/>
  <c r="O3578" i="2"/>
  <c r="O3602" i="2"/>
  <c r="O3634" i="2"/>
  <c r="O3658" i="2"/>
  <c r="O3674" i="2"/>
  <c r="O3722" i="2"/>
  <c r="O3762" i="2"/>
  <c r="O3770" i="2"/>
  <c r="O3778" i="2"/>
  <c r="O3898" i="2"/>
  <c r="O3914" i="2"/>
  <c r="O3930" i="2"/>
  <c r="O3962" i="2"/>
  <c r="O3970" i="2"/>
  <c r="O3978" i="2"/>
  <c r="O3986" i="2"/>
  <c r="O3994" i="2"/>
  <c r="O4002" i="2"/>
  <c r="O4018" i="2"/>
  <c r="O4034" i="2"/>
  <c r="O4050" i="2"/>
  <c r="O4106" i="2"/>
  <c r="O4122" i="2"/>
  <c r="O4130" i="2"/>
  <c r="O4146" i="2"/>
  <c r="O4194" i="2"/>
  <c r="O4202" i="2"/>
  <c r="O4218" i="2"/>
  <c r="O4234" i="2"/>
  <c r="O4242" i="2"/>
  <c r="O4250" i="2"/>
  <c r="O4266" i="2"/>
  <c r="O4314" i="2"/>
  <c r="O4322" i="2"/>
  <c r="O4330" i="2"/>
  <c r="O4346" i="2"/>
  <c r="O4378" i="2"/>
  <c r="O4418" i="2"/>
  <c r="O4450" i="2"/>
  <c r="O4466" i="2"/>
  <c r="O4482" i="2"/>
  <c r="O4490" i="2"/>
  <c r="O4506" i="2"/>
  <c r="O4514" i="2"/>
  <c r="O4538" i="2"/>
  <c r="O4562" i="2"/>
  <c r="O4618" i="2"/>
  <c r="O4626" i="2"/>
  <c r="O4674" i="2"/>
  <c r="O4690" i="2"/>
  <c r="O4698" i="2"/>
  <c r="O4706" i="2"/>
  <c r="O4738" i="2"/>
  <c r="O4778" i="2"/>
  <c r="O4842" i="2"/>
  <c r="O4898" i="2"/>
  <c r="O4906" i="2"/>
  <c r="O4914" i="2"/>
  <c r="O4930" i="2"/>
  <c r="O4954" i="2"/>
  <c r="O4970" i="2"/>
  <c r="O4994" i="2"/>
  <c r="O5018" i="2"/>
  <c r="O5042" i="2"/>
  <c r="O5050" i="2"/>
  <c r="O5058" i="2"/>
  <c r="O5082" i="2"/>
  <c r="O5154" i="2"/>
  <c r="O5162" i="2"/>
  <c r="O5170" i="2"/>
  <c r="O5178" i="2"/>
  <c r="O5202" i="2"/>
  <c r="O5210" i="2"/>
  <c r="O5266" i="2"/>
  <c r="O5274" i="2"/>
  <c r="O5314" i="2"/>
  <c r="O5322" i="2"/>
  <c r="O5330" i="2"/>
  <c r="O5362" i="2"/>
  <c r="O5386" i="2"/>
  <c r="O5394" i="2"/>
  <c r="O5410" i="2"/>
  <c r="O5426" i="2"/>
  <c r="O5442" i="2"/>
  <c r="O5458" i="2"/>
  <c r="O5530" i="2"/>
  <c r="O5538" i="2"/>
  <c r="O5586" i="2"/>
  <c r="O5602" i="2"/>
  <c r="O5642" i="2"/>
  <c r="O5658" i="2"/>
  <c r="O5666" i="2"/>
  <c r="O5674" i="2"/>
  <c r="O5690" i="2"/>
  <c r="O5714" i="2"/>
  <c r="O5762" i="2"/>
  <c r="O5810" i="2"/>
  <c r="O5826" i="2"/>
  <c r="O5858" i="2"/>
  <c r="O5866" i="2"/>
  <c r="O5874" i="2"/>
  <c r="O5882" i="2"/>
  <c r="O5890" i="2"/>
  <c r="O5954" i="2"/>
  <c r="O6002" i="2"/>
  <c r="O6010" i="2"/>
  <c r="O6018" i="2"/>
  <c r="O6026" i="2"/>
  <c r="O6042" i="2"/>
  <c r="O6098" i="2"/>
  <c r="O6114" i="2"/>
  <c r="O6122" i="2"/>
  <c r="O6130" i="2"/>
  <c r="O6154" i="2"/>
  <c r="O6178" i="2"/>
  <c r="O6194" i="2"/>
  <c r="O6202" i="2"/>
  <c r="O6210" i="2"/>
  <c r="O6234" i="2"/>
  <c r="O6274" i="2"/>
  <c r="O6282" i="2"/>
  <c r="O6306" i="2"/>
  <c r="O6314" i="2"/>
  <c r="O6322" i="2"/>
  <c r="O6330" i="2"/>
  <c r="O6346" i="2"/>
  <c r="O6354" i="2"/>
  <c r="O6362" i="2"/>
  <c r="O6370" i="2"/>
  <c r="O6378" i="2"/>
  <c r="O6394" i="2"/>
  <c r="O6402" i="2"/>
  <c r="O6410" i="2"/>
  <c r="O6514" i="2"/>
  <c r="O6594" i="2"/>
  <c r="O6618" i="2"/>
  <c r="O6626" i="2"/>
  <c r="O6658" i="2"/>
  <c r="O6674" i="2"/>
  <c r="O6682" i="2"/>
  <c r="O6698" i="2"/>
  <c r="O6714" i="2"/>
  <c r="O6730" i="2"/>
  <c r="O6754" i="2"/>
  <c r="O6786" i="2"/>
  <c r="O6802" i="2"/>
  <c r="O6818" i="2"/>
  <c r="O6834" i="2"/>
  <c r="O6850" i="2"/>
  <c r="O6946" i="2"/>
  <c r="O6954" i="2"/>
  <c r="O6962" i="2"/>
  <c r="O6970" i="2"/>
  <c r="O6978" i="2"/>
  <c r="O7050" i="2"/>
  <c r="O7066" i="2"/>
  <c r="O7074" i="2"/>
  <c r="O7162" i="2"/>
  <c r="O7170" i="2"/>
  <c r="O7194" i="2"/>
  <c r="O7210" i="2"/>
  <c r="O7226" i="2"/>
  <c r="O7266" i="2"/>
  <c r="O7274" i="2"/>
  <c r="O7282" i="2"/>
  <c r="O9" i="2"/>
  <c r="O17" i="2"/>
  <c r="O25" i="2"/>
  <c r="O33" i="2"/>
  <c r="O49" i="2"/>
  <c r="O57" i="2"/>
  <c r="O73" i="2"/>
  <c r="O89" i="2"/>
  <c r="O113" i="2"/>
  <c r="O129" i="2"/>
  <c r="O153" i="2"/>
  <c r="O169" i="2"/>
  <c r="O193" i="2"/>
  <c r="O249" i="2"/>
  <c r="O297" i="2"/>
  <c r="O353" i="2"/>
  <c r="O369" i="2"/>
  <c r="O409" i="2"/>
  <c r="O441" i="2"/>
  <c r="O457" i="2"/>
  <c r="O465" i="2"/>
  <c r="O473" i="2"/>
  <c r="O497" i="2"/>
  <c r="O505" i="2"/>
  <c r="O593" i="2"/>
  <c r="O601" i="2"/>
  <c r="O625" i="2"/>
  <c r="O649" i="2"/>
  <c r="O689" i="2"/>
  <c r="O713" i="2"/>
  <c r="O721" i="2"/>
  <c r="O729" i="2"/>
  <c r="O777" i="2"/>
  <c r="O793" i="2"/>
  <c r="O817" i="2"/>
  <c r="O833" i="2"/>
  <c r="O841" i="2"/>
  <c r="O849" i="2"/>
  <c r="O881" i="2"/>
  <c r="O889" i="2"/>
  <c r="O897" i="2"/>
  <c r="O905" i="2"/>
  <c r="O913" i="2"/>
  <c r="O921" i="2"/>
  <c r="O961" i="2"/>
  <c r="O969" i="2"/>
  <c r="O977" i="2"/>
  <c r="O1001" i="2"/>
  <c r="O1025" i="2"/>
  <c r="O1033" i="2"/>
  <c r="O1041" i="2"/>
  <c r="O1081" i="2"/>
  <c r="O1089" i="2"/>
  <c r="O1105" i="2"/>
  <c r="O1121" i="2"/>
  <c r="O1129" i="2"/>
  <c r="O1137" i="2"/>
  <c r="O1153" i="2"/>
  <c r="O1217" i="2"/>
  <c r="O1273" i="2"/>
  <c r="O1305" i="2"/>
  <c r="O1329" i="2"/>
  <c r="O1337" i="2"/>
  <c r="O1361" i="2"/>
  <c r="O1369" i="2"/>
  <c r="O1457" i="2"/>
  <c r="O1465" i="2"/>
  <c r="O1481" i="2"/>
  <c r="O1513" i="2"/>
  <c r="O1529" i="2"/>
  <c r="O1561" i="2"/>
  <c r="O1569" i="2"/>
  <c r="O1617" i="2"/>
  <c r="O1633" i="2"/>
  <c r="O1641" i="2"/>
  <c r="O1673" i="2"/>
  <c r="O1681" i="2"/>
  <c r="O1689" i="2"/>
  <c r="O1729" i="2"/>
  <c r="O1737" i="2"/>
  <c r="O1753" i="2"/>
  <c r="O1761" i="2"/>
  <c r="O1769" i="2"/>
  <c r="O1777" i="2"/>
  <c r="O1801" i="2"/>
  <c r="O1809" i="2"/>
  <c r="O1841" i="2"/>
  <c r="O1913" i="2"/>
  <c r="O1945" i="2"/>
  <c r="O1961" i="2"/>
  <c r="O1977" i="2"/>
  <c r="O1993" i="2"/>
  <c r="O2001" i="2"/>
  <c r="O2009" i="2"/>
  <c r="O2033" i="2"/>
  <c r="O2049" i="2"/>
  <c r="O2057" i="2"/>
  <c r="O2065" i="2"/>
  <c r="O2121" i="2"/>
  <c r="O2137" i="2"/>
  <c r="O2169" i="2"/>
  <c r="O2185" i="2"/>
  <c r="O2201" i="2"/>
  <c r="O2209" i="2"/>
  <c r="O2225" i="2"/>
  <c r="O2241" i="2"/>
  <c r="O2305" i="2"/>
  <c r="O2321" i="2"/>
  <c r="O2353" i="2"/>
  <c r="O2385" i="2"/>
  <c r="O2393" i="2"/>
  <c r="O2409" i="2"/>
  <c r="O2425" i="2"/>
  <c r="O2433" i="2"/>
  <c r="O2489" i="2"/>
  <c r="O2505" i="2"/>
  <c r="O2513" i="2"/>
  <c r="O2553" i="2"/>
  <c r="O2593" i="2"/>
  <c r="O2617" i="2"/>
  <c r="O2633" i="2"/>
  <c r="O2641" i="2"/>
  <c r="O2649" i="2"/>
  <c r="O2657" i="2"/>
  <c r="O2665" i="2"/>
  <c r="O2673" i="2"/>
  <c r="O2681" i="2"/>
  <c r="O2729" i="2"/>
  <c r="O2809" i="2"/>
  <c r="O2833" i="2"/>
  <c r="O2865" i="2"/>
  <c r="O2873" i="2"/>
  <c r="O2881" i="2"/>
  <c r="O2897" i="2"/>
  <c r="O2913" i="2"/>
  <c r="O2929" i="2"/>
  <c r="O2945" i="2"/>
  <c r="O2969" i="2"/>
  <c r="O2993" i="2"/>
  <c r="O3009" i="2"/>
  <c r="O3049" i="2"/>
  <c r="O3057" i="2"/>
  <c r="O3065" i="2"/>
  <c r="O3073" i="2"/>
  <c r="O3081" i="2"/>
  <c r="O3097" i="2"/>
  <c r="O3105" i="2"/>
  <c r="O3161" i="2"/>
  <c r="O3169" i="2"/>
  <c r="O3193" i="2"/>
  <c r="O3201" i="2"/>
  <c r="O3209" i="2"/>
  <c r="O3217" i="2"/>
  <c r="O3225" i="2"/>
  <c r="O3233" i="2"/>
  <c r="O3305" i="2"/>
  <c r="O3313" i="2"/>
  <c r="O3369" i="2"/>
  <c r="O3401" i="2"/>
  <c r="O3433" i="2"/>
  <c r="O3457" i="2"/>
  <c r="O3465" i="2"/>
  <c r="O3481" i="2"/>
  <c r="O3497" i="2"/>
  <c r="O3505" i="2"/>
  <c r="O3529" i="2"/>
  <c r="O3537" i="2"/>
  <c r="O3553" i="2"/>
  <c r="O3577" i="2"/>
  <c r="O3593" i="2"/>
  <c r="O3601" i="2"/>
  <c r="O3617" i="2"/>
  <c r="O3657" i="2"/>
  <c r="O3713" i="2"/>
  <c r="O3729" i="2"/>
  <c r="O3761" i="2"/>
  <c r="O3769" i="2"/>
  <c r="O3777" i="2"/>
  <c r="O3785" i="2"/>
  <c r="O3801" i="2"/>
  <c r="O3897" i="2"/>
  <c r="O3953" i="2"/>
  <c r="O3961" i="2"/>
  <c r="O3969" i="2"/>
  <c r="O4001" i="2"/>
  <c r="O4033" i="2"/>
  <c r="O4057" i="2"/>
  <c r="O4097" i="2"/>
  <c r="O4105" i="2"/>
  <c r="O4121" i="2"/>
  <c r="O4129" i="2"/>
  <c r="O4161" i="2"/>
  <c r="O4209" i="2"/>
  <c r="O4233" i="2"/>
  <c r="O4241" i="2"/>
  <c r="O4265" i="2"/>
  <c r="O4273" i="2"/>
  <c r="O4321" i="2"/>
  <c r="O4329" i="2"/>
  <c r="O4337" i="2"/>
  <c r="O4345" i="2"/>
  <c r="O4353" i="2"/>
  <c r="O4385" i="2"/>
  <c r="O4409" i="2"/>
  <c r="O4449" i="2"/>
  <c r="O4457" i="2"/>
  <c r="O4465" i="2"/>
  <c r="O4473" i="2"/>
  <c r="O4505" i="2"/>
  <c r="O4537" i="2"/>
  <c r="O4561" i="2"/>
  <c r="O4609" i="2"/>
  <c r="O4625" i="2"/>
  <c r="O4673" i="2"/>
  <c r="O4697" i="2"/>
  <c r="O4705" i="2"/>
  <c r="O4713" i="2"/>
  <c r="O4737" i="2"/>
  <c r="O4745" i="2"/>
  <c r="O4761" i="2"/>
  <c r="O4825" i="2"/>
  <c r="O4873" i="2"/>
  <c r="O4897" i="2"/>
  <c r="O4905" i="2"/>
  <c r="O4913" i="2"/>
  <c r="O4937" i="2"/>
  <c r="O4961" i="2"/>
  <c r="O5025" i="2"/>
  <c r="O5041" i="2"/>
  <c r="O5065" i="2"/>
  <c r="O5073" i="2"/>
  <c r="O5081" i="2"/>
  <c r="O5113" i="2"/>
  <c r="O5145" i="2"/>
  <c r="O5153" i="2"/>
  <c r="O5177" i="2"/>
  <c r="O5185" i="2"/>
  <c r="O5201" i="2"/>
  <c r="O5209" i="2"/>
  <c r="O5217" i="2"/>
  <c r="O5225" i="2"/>
  <c r="O5241" i="2"/>
  <c r="O5265" i="2"/>
  <c r="O5273" i="2"/>
  <c r="O5289" i="2"/>
  <c r="O5329" i="2"/>
  <c r="O5345" i="2"/>
  <c r="O5377" i="2"/>
  <c r="O5385" i="2"/>
  <c r="O5393" i="2"/>
  <c r="O5401" i="2"/>
  <c r="O5409" i="2"/>
  <c r="O5425" i="2"/>
  <c r="O5449" i="2"/>
  <c r="O5465" i="2"/>
  <c r="O5561" i="2"/>
  <c r="O5601" i="2"/>
  <c r="O5617" i="2"/>
  <c r="O5657" i="2"/>
  <c r="O5665" i="2"/>
  <c r="O5673" i="2"/>
  <c r="O5689" i="2"/>
  <c r="O5713" i="2"/>
  <c r="O5761" i="2"/>
  <c r="O5777" i="2"/>
  <c r="O5801" i="2"/>
  <c r="O5825" i="2"/>
  <c r="O5833" i="2"/>
  <c r="O5849" i="2"/>
  <c r="O5857" i="2"/>
  <c r="O5865" i="2"/>
  <c r="O5897" i="2"/>
  <c r="O5953" i="2"/>
  <c r="O5993" i="2"/>
  <c r="O6009" i="2"/>
  <c r="O6025" i="2"/>
  <c r="O6049" i="2"/>
  <c r="O6113" i="2"/>
  <c r="O6121" i="2"/>
  <c r="O6129" i="2"/>
  <c r="O6145" i="2"/>
  <c r="O6185" i="2"/>
  <c r="O6201" i="2"/>
  <c r="O6209" i="2"/>
  <c r="O6217" i="2"/>
  <c r="O6257" i="2"/>
  <c r="O6265" i="2"/>
  <c r="O6273" i="2"/>
  <c r="O6281" i="2"/>
  <c r="O6305" i="2"/>
  <c r="O6313" i="2"/>
  <c r="O6321" i="2"/>
  <c r="O6329" i="2"/>
  <c r="O6337" i="2"/>
  <c r="O6345" i="2"/>
  <c r="O6353" i="2"/>
  <c r="O6361" i="2"/>
  <c r="O6369" i="2"/>
  <c r="O6385" i="2"/>
  <c r="O6393" i="2"/>
  <c r="O6401" i="2"/>
  <c r="O6529" i="2"/>
  <c r="O6585" i="2"/>
  <c r="O6593" i="2"/>
  <c r="O6609" i="2"/>
  <c r="O6617" i="2"/>
  <c r="O6625" i="2"/>
  <c r="O6633" i="2"/>
  <c r="O6641" i="2"/>
  <c r="O6657" i="2"/>
  <c r="O6673" i="2"/>
  <c r="O6697" i="2"/>
  <c r="O6713" i="2"/>
  <c r="O6729" i="2"/>
  <c r="O6753" i="2"/>
  <c r="O6777" i="2"/>
  <c r="O6793" i="2"/>
  <c r="O6801" i="2"/>
  <c r="O6817" i="2"/>
  <c r="O6953" i="2"/>
  <c r="O6961" i="2"/>
  <c r="O6969" i="2"/>
  <c r="O6977" i="2"/>
  <c r="O6985" i="2"/>
  <c r="O7049" i="2"/>
  <c r="O7073" i="2"/>
  <c r="O7081" i="2"/>
  <c r="O7105" i="2"/>
  <c r="O7113" i="2"/>
  <c r="O7121" i="2"/>
  <c r="O7137" i="2"/>
  <c r="O7161" i="2"/>
  <c r="O7169" i="2"/>
  <c r="O7193" i="2"/>
  <c r="O7217" i="2"/>
  <c r="O7225" i="2"/>
  <c r="O7241" i="2"/>
  <c r="O7265" i="2"/>
  <c r="O7281" i="2"/>
</calcChain>
</file>

<file path=xl/sharedStrings.xml><?xml version="1.0" encoding="utf-8"?>
<sst xmlns="http://schemas.openxmlformats.org/spreadsheetml/2006/main" count="9098" uniqueCount="49">
  <si>
    <t>Date Facture</t>
  </si>
  <si>
    <t>Branche</t>
  </si>
  <si>
    <t>Poids</t>
  </si>
  <si>
    <t>N° BL</t>
  </si>
  <si>
    <t>Type prestation</t>
  </si>
  <si>
    <t>Type facturation</t>
  </si>
  <si>
    <t>CP&amp;Livraison</t>
  </si>
  <si>
    <t>Montant Traction Retour</t>
  </si>
  <si>
    <t>Stockage</t>
  </si>
  <si>
    <t>gauche code postale</t>
  </si>
  <si>
    <t>Tranche de poids</t>
  </si>
  <si>
    <t/>
  </si>
  <si>
    <t>DEPT Depart</t>
  </si>
  <si>
    <t>Groupes</t>
  </si>
  <si>
    <t>Mode de livraison</t>
  </si>
  <si>
    <t>DLM</t>
  </si>
  <si>
    <t>DLS</t>
  </si>
  <si>
    <t>DRM</t>
  </si>
  <si>
    <t>DRS</t>
  </si>
  <si>
    <t>LM</t>
  </si>
  <si>
    <t>LS</t>
  </si>
  <si>
    <t>Metre Aller</t>
  </si>
  <si>
    <t>RM</t>
  </si>
  <si>
    <t>RS</t>
  </si>
  <si>
    <t>Total général</t>
  </si>
  <si>
    <t>Contrôle des écart de coût traction ALLER</t>
  </si>
  <si>
    <t>Montant traction aller</t>
  </si>
  <si>
    <t>reprise ligne RETOUR</t>
  </si>
  <si>
    <t>Coût réel</t>
  </si>
  <si>
    <r>
      <t xml:space="preserve">Contrôle des écart de coût traction </t>
    </r>
    <r>
      <rPr>
        <b/>
        <sz val="8"/>
        <rFont val="Calibri"/>
        <family val="2"/>
        <scheme val="minor"/>
      </rPr>
      <t>RETOUR</t>
    </r>
  </si>
  <si>
    <t>Coût traction au kilo facturé</t>
  </si>
  <si>
    <t>Coût traction au kilo réel</t>
  </si>
  <si>
    <t>reprise ligne aller</t>
  </si>
  <si>
    <t>(Tous)</t>
  </si>
  <si>
    <t>(Plusieurs éléments)</t>
  </si>
  <si>
    <t>Ecart positif ou négatif</t>
  </si>
  <si>
    <t>Somme des écart coût traction ALLER</t>
  </si>
  <si>
    <t>Nbre de ligne contrôlées</t>
  </si>
  <si>
    <t>Taux</t>
  </si>
  <si>
    <t>Pas d'écart</t>
  </si>
  <si>
    <t>Ecart négatif</t>
  </si>
  <si>
    <t>Ecart positif</t>
  </si>
  <si>
    <t>Statut</t>
  </si>
  <si>
    <t>Somme des écart coût traction RETOUR</t>
  </si>
  <si>
    <t>CP</t>
  </si>
  <si>
    <t>PF R</t>
  </si>
  <si>
    <t>PF L/D</t>
  </si>
  <si>
    <t>Nouvelle formule</t>
  </si>
  <si>
    <t>lieu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</si>
</sst>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#,##0\ &quot;€&quot;;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[$€-40C]_-;\-* #,##0.00\ [$€-40C]_-;_-* &quot;-&quot;??\ [$€-40C]_-;_-@_-"/>
    <numFmt numFmtId="165" formatCode="_-* #,##0\ _€_-;\-* #,##0\ _€_-;_-* &quot;-&quot;??\ _€_-;_-@_-"/>
    <numFmt numFmtId="166" formatCode="#,##0_ ;\-#,##0\ "/>
    <numFmt numFmtId="167" formatCode="#,##0.00\ &quot;€&quot;"/>
    <numFmt numFmtId="170" formatCode="0#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b/>
      <sz val="8"/>
      <color rgb="FF00000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8"/>
      <color theme="1"/>
      <name val="Calibri"/>
      <family val="2"/>
      <scheme val="minor"/>
    </font>
    <font>
      <sz val="8"/>
      <color rgb="FF000000"/>
      <name val="Arial"/>
      <family val="2"/>
    </font>
    <font>
      <sz val="8"/>
      <color rgb="FF2F2F2F"/>
      <name val="Segoe UI"/>
      <family val="2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14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0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</cellStyleXfs>
  <cellXfs count="48">
    <xf numFmtId="0" fontId="0" fillId="0" borderId="0" xfId="0"/>
    <xf numFmtId="22" fontId="0" fillId="0" borderId="0" xfId="0" applyNumberFormat="1"/>
    <xf numFmtId="0" fontId="7" fillId="2" borderId="2" xfId="0" applyFont="1" applyFill="1" applyBorder="1" applyAlignment="1">
      <alignment horizontal="center" vertical="center"/>
    </xf>
    <xf numFmtId="0" fontId="4" fillId="2" borderId="2" xfId="0" applyNumberFormat="1" applyFont="1" applyFill="1" applyBorder="1" applyAlignment="1" applyProtection="1">
      <alignment horizontal="center" vertical="center"/>
    </xf>
    <xf numFmtId="0" fontId="8" fillId="3" borderId="2" xfId="0" applyNumberFormat="1" applyFont="1" applyFill="1" applyBorder="1" applyAlignment="1" applyProtection="1">
      <alignment horizontal="center" vertical="center"/>
      <protection locked="0"/>
    </xf>
    <xf numFmtId="0" fontId="8" fillId="3" borderId="2" xfId="0" applyFont="1" applyFill="1" applyBorder="1" applyAlignment="1" applyProtection="1">
      <alignment horizontal="center" vertical="center"/>
      <protection locked="0"/>
    </xf>
    <xf numFmtId="0" fontId="4" fillId="2" borderId="1" xfId="3" applyNumberFormat="1" applyFont="1" applyFill="1" applyBorder="1" applyAlignment="1" applyProtection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0" fillId="0" borderId="0" xfId="0" pivotButton="1" applyAlignment="1">
      <alignment wrapText="1"/>
    </xf>
    <xf numFmtId="167" fontId="10" fillId="0" borderId="0" xfId="1" applyNumberFormat="1" applyFont="1" applyFill="1" applyBorder="1" applyAlignment="1"/>
    <xf numFmtId="8" fontId="5" fillId="0" borderId="0" xfId="2" applyNumberFormat="1" applyFont="1" applyBorder="1"/>
    <xf numFmtId="164" fontId="10" fillId="4" borderId="4" xfId="2" applyNumberFormat="1" applyFont="1" applyFill="1" applyBorder="1" applyAlignment="1">
      <alignment horizontal="center" vertical="center" wrapText="1"/>
    </xf>
    <xf numFmtId="164" fontId="10" fillId="4" borderId="5" xfId="2" applyNumberFormat="1" applyFont="1" applyFill="1" applyBorder="1" applyAlignment="1">
      <alignment horizontal="center" vertical="center" wrapText="1"/>
    </xf>
    <xf numFmtId="164" fontId="10" fillId="4" borderId="6" xfId="2" applyNumberFormat="1" applyFont="1" applyFill="1" applyBorder="1" applyAlignment="1">
      <alignment horizontal="center" vertical="center" wrapText="1"/>
    </xf>
    <xf numFmtId="167" fontId="10" fillId="0" borderId="7" xfId="1" applyNumberFormat="1" applyFont="1" applyFill="1" applyBorder="1" applyAlignment="1"/>
    <xf numFmtId="167" fontId="10" fillId="0" borderId="8" xfId="1" applyNumberFormat="1" applyFont="1" applyFill="1" applyBorder="1" applyAlignment="1"/>
    <xf numFmtId="167" fontId="10" fillId="0" borderId="3" xfId="1" applyNumberFormat="1" applyFont="1" applyFill="1" applyBorder="1" applyAlignment="1"/>
    <xf numFmtId="8" fontId="5" fillId="0" borderId="3" xfId="2" applyNumberFormat="1" applyFont="1" applyBorder="1"/>
    <xf numFmtId="167" fontId="10" fillId="0" borderId="9" xfId="1" applyNumberFormat="1" applyFont="1" applyFill="1" applyBorder="1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5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166" fontId="0" fillId="0" borderId="0" xfId="0" applyNumberFormat="1" applyAlignment="1">
      <alignment horizontal="center" vertical="center"/>
    </xf>
    <xf numFmtId="0" fontId="0" fillId="0" borderId="0" xfId="0" pivotButton="1" applyAlignment="1">
      <alignment vertical="center"/>
    </xf>
    <xf numFmtId="166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pivotButton="1" applyAlignment="1">
      <alignment horizontal="left" vertical="center" wrapText="1"/>
    </xf>
    <xf numFmtId="164" fontId="2" fillId="4" borderId="0" xfId="2" applyNumberFormat="1" applyFont="1" applyFill="1" applyBorder="1" applyAlignment="1">
      <alignment horizontal="center" vertical="center" wrapText="1"/>
    </xf>
    <xf numFmtId="0" fontId="2" fillId="0" borderId="0" xfId="0" applyFont="1" applyBorder="1"/>
    <xf numFmtId="0" fontId="9" fillId="0" borderId="0" xfId="0" applyFont="1" applyBorder="1"/>
    <xf numFmtId="166" fontId="2" fillId="0" borderId="0" xfId="2" applyNumberFormat="1" applyFont="1" applyFill="1" applyBorder="1" applyAlignment="1"/>
    <xf numFmtId="165" fontId="2" fillId="0" borderId="0" xfId="1" applyNumberFormat="1" applyFont="1" applyFill="1" applyBorder="1" applyAlignment="1"/>
    <xf numFmtId="0" fontId="2" fillId="0" borderId="0" xfId="2" applyNumberFormat="1" applyFont="1" applyFill="1" applyBorder="1" applyAlignment="1"/>
    <xf numFmtId="0" fontId="0" fillId="0" borderId="0" xfId="0" applyBorder="1" applyAlignment="1">
      <alignment horizontal="left"/>
    </xf>
    <xf numFmtId="2" fontId="0" fillId="0" borderId="0" xfId="0" applyNumberFormat="1" applyBorder="1" applyAlignment="1">
      <alignment horizontal="left"/>
    </xf>
    <xf numFmtId="164" fontId="2" fillId="0" borderId="0" xfId="2" applyNumberFormat="1" applyFont="1" applyFill="1" applyBorder="1" applyAlignment="1"/>
    <xf numFmtId="0" fontId="10" fillId="0" borderId="0" xfId="0" applyFont="1" applyBorder="1"/>
    <xf numFmtId="44" fontId="5" fillId="0" borderId="1" xfId="2" applyFont="1" applyFill="1" applyBorder="1" applyAlignment="1" applyProtection="1">
      <alignment vertical="center"/>
      <protection locked="0"/>
    </xf>
    <xf numFmtId="164" fontId="12" fillId="4" borderId="0" xfId="2" applyNumberFormat="1" applyFont="1" applyFill="1" applyBorder="1" applyAlignment="1">
      <alignment horizontal="center" vertical="center" wrapText="1"/>
    </xf>
    <xf numFmtId="165" fontId="12" fillId="0" borderId="0" xfId="1" applyNumberFormat="1" applyFont="1" applyFill="1" applyBorder="1" applyAlignment="1"/>
    <xf numFmtId="0" fontId="12" fillId="0" borderId="0" xfId="0" applyFont="1" applyBorder="1"/>
    <xf numFmtId="170" fontId="4" fillId="0" borderId="1" xfId="3" applyNumberFormat="1" applyFont="1" applyFill="1" applyBorder="1" applyAlignment="1" applyProtection="1">
      <alignment vertical="center"/>
    </xf>
    <xf numFmtId="170" fontId="6" fillId="0" borderId="1" xfId="3" applyNumberFormat="1" applyFont="1" applyFill="1" applyBorder="1" applyAlignment="1" applyProtection="1">
      <alignment vertical="center"/>
    </xf>
  </cellXfs>
  <cellStyles count="4">
    <cellStyle name="Milliers" xfId="1" builtinId="3"/>
    <cellStyle name="Monétaire" xfId="2" builtinId="4"/>
    <cellStyle name="Normal" xfId="0" builtinId="0"/>
    <cellStyle name="Normal 2" xfId="3"/>
  </cellStyles>
  <dxfs count="31">
    <dxf>
      <alignment horizontal="left" readingOrder="0"/>
    </dxf>
    <dxf>
      <alignment horizontal="left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wrapText="1" readingOrder="0"/>
    </dxf>
    <dxf>
      <numFmt numFmtId="9" formatCode="#,##0\ &quot;€&quot;;\-#,##0\ &quot;€&quot;"/>
    </dxf>
    <dxf>
      <numFmt numFmtId="14" formatCode="0.00%"/>
    </dxf>
    <dxf>
      <numFmt numFmtId="166" formatCode="#,##0_ ;\-#,##0\ "/>
    </dxf>
    <dxf>
      <alignment horizontal="center" readingOrder="0"/>
    </dxf>
    <dxf>
      <alignment vertical="center" readingOrder="0"/>
    </dxf>
    <dxf>
      <alignment wrapText="1" readingOrder="0"/>
    </dxf>
    <dxf>
      <numFmt numFmtId="168" formatCode="_-* #,##0\ &quot;€&quot;_-;\-* #,##0\ &quot;€&quot;_-;_-* &quot;-&quot;??\ &quot;€&quot;_-;_-@_-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horizontal="general" readingOrder="0"/>
    </dxf>
    <dxf>
      <alignment horizontal="general" readingOrder="0"/>
    </dxf>
    <dxf>
      <alignment wrapText="1" readingOrder="0"/>
    </dxf>
    <dxf>
      <numFmt numFmtId="166" formatCode="#,##0_ ;\-#,##0\ "/>
    </dxf>
    <dxf>
      <alignment horizontal="center" readingOrder="0"/>
    </dxf>
    <dxf>
      <alignment vertical="center" readingOrder="0"/>
    </dxf>
    <dxf>
      <alignment wrapText="1" readingOrder="0"/>
    </dxf>
    <dxf>
      <numFmt numFmtId="14" formatCode="0.00%"/>
    </dxf>
    <dxf>
      <numFmt numFmtId="9" formatCode="#,##0\ &quot;€&quot;;\-#,##0\ &quot;€&quot;"/>
    </dxf>
    <dxf>
      <alignment wrapText="1" readingOrder="0"/>
    </dxf>
    <dxf>
      <alignment wrapText="1" readingOrder="0"/>
    </dxf>
    <dxf>
      <numFmt numFmtId="168" formatCode="_-* #,##0\ &quot;€&quot;_-;\-* #,##0\ &quot;€&quot;_-;_-* &quot;-&quot;??\ &quot;€&quot;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238125</xdr:colOff>
      <xdr:row>7</xdr:row>
      <xdr:rowOff>85725</xdr:rowOff>
    </xdr:from>
    <xdr:to>
      <xdr:col>12</xdr:col>
      <xdr:colOff>533400</xdr:colOff>
      <xdr:row>15</xdr:row>
      <xdr:rowOff>123825</xdr:rowOff>
    </xdr:to>
    <xdr:sp macro="" textlink="">
      <xdr:nvSpPr>
        <xdr:cNvPr id="2" name="Rectangle 1"/>
        <xdr:cNvSpPr/>
      </xdr:nvSpPr>
      <xdr:spPr>
        <a:xfrm>
          <a:off x="1000125" y="2228850"/>
          <a:ext cx="8658225" cy="1943100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Je dois comparer</a:t>
          </a:r>
          <a:r>
            <a:rPr lang="fr-FR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les montants facturés de la colonne W et X de l'onglet "base" libellé  "</a:t>
          </a:r>
          <a:r>
            <a:rPr lang="fr-FR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Montant traction aller"</a:t>
          </a:r>
          <a:r>
            <a:rPr lang="fr-FR" sz="1100" b="0" i="0" u="none" strike="noStrike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"</a:t>
          </a:r>
          <a:r>
            <a:rPr lang="fr-FR" sz="1100" b="0" i="0" u="none" strike="noStrike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Montant Traction Retour</a:t>
          </a:r>
          <a:r>
            <a:rPr lang="fr-FR"/>
            <a:t> "</a:t>
          </a:r>
        </a:p>
        <a:p>
          <a:pPr algn="l"/>
          <a:endParaRPr lang="fr-FR"/>
        </a:p>
        <a:p>
          <a:pPr algn="l"/>
          <a:r>
            <a:rPr lang="fr-FR">
              <a:solidFill>
                <a:schemeClr val="bg1"/>
              </a:solidFill>
            </a:rPr>
            <a:t>Je reporte</a:t>
          </a:r>
          <a:r>
            <a:rPr lang="fr-FR" baseline="0">
              <a:solidFill>
                <a:schemeClr val="bg1"/>
              </a:solidFill>
            </a:rPr>
            <a:t> ce montant dans l'onglet "base contôle" je suis obligé de tout disséqué j'arrive pas à simplifier sur une seule colonne</a:t>
          </a:r>
        </a:p>
        <a:p>
          <a:pPr algn="l"/>
          <a:endParaRPr lang="fr-FR" baseline="0">
            <a:solidFill>
              <a:schemeClr val="bg1"/>
            </a:solidFill>
          </a:endParaRPr>
        </a:p>
        <a:p>
          <a:pPr algn="l"/>
          <a:r>
            <a:rPr lang="fr-FR" baseline="0">
              <a:solidFill>
                <a:schemeClr val="bg1"/>
              </a:solidFill>
            </a:rPr>
            <a:t>J'aimerai</a:t>
          </a:r>
        </a:p>
        <a:p>
          <a:pPr algn="l"/>
          <a:r>
            <a:rPr lang="fr-FR" baseline="0">
              <a:solidFill>
                <a:schemeClr val="bg1"/>
              </a:solidFill>
            </a:rPr>
            <a:t>=SI($baseX2=0;"";SI(DROITE($A2;1)="R";on apllique le cout de la colonne C de l'onglet "tables" et on multiplie par le poids brut de la colonne D de l'onglet "base controle" selon le derpatement "colonne B" de l'onglet "base contrôle" retrouvé dans l'onglet " tables"  colonne A OU </a:t>
          </a:r>
          <a:r>
            <a:rPr lang="fr-FR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SI($baseW2=0;"";SI(DROITE($A2;1)="L" OU "D" ;on apllique le cout de la colonne B de l'onglet "tables" et on multiplie par le poids brut de la colonne D de l'onglet "base controle" selon le derpatement "colonne B" de l'onglet "base contrôle" retrouvé dans l'onglet " tables"  colonne A </a:t>
          </a:r>
          <a:endParaRPr lang="fr-FR">
            <a:effectLst/>
          </a:endParaRPr>
        </a:p>
        <a:p>
          <a:pPr algn="l"/>
          <a:endParaRPr lang="fr-FR">
            <a:solidFill>
              <a:schemeClr val="bg1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acturation%20transport\4%20-%20Reverse\Analyse%20co&#251;t%20traction%20reprises%20&#224;%20fin%20septembre%202017%20volume%20pour%20sim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Nouvelle table"/>
      <sheetName val="BASE FY17"/>
      <sheetName val="TABLE PF"/>
    </sheetNames>
    <sheetDataSet>
      <sheetData sheetId="0"/>
      <sheetData sheetId="1"/>
      <sheetData sheetId="2"/>
      <sheetData sheetId="3">
        <row r="1">
          <cell r="A1" t="str">
            <v>Département</v>
          </cell>
          <cell r="B1" t="str">
            <v>Plate-forme DT</v>
          </cell>
          <cell r="C1" t="str">
            <v>Cout de traction ( €/kg)</v>
          </cell>
          <cell r="D1" t="str">
            <v>couts today (€/kg)</v>
          </cell>
        </row>
        <row r="2">
          <cell r="A2">
            <v>1</v>
          </cell>
          <cell r="B2" t="str">
            <v>Distritec-Lyon</v>
          </cell>
          <cell r="C2">
            <v>0.27</v>
          </cell>
          <cell r="D2">
            <v>0.3024</v>
          </cell>
        </row>
        <row r="3">
          <cell r="A3">
            <v>2</v>
          </cell>
          <cell r="B3" t="str">
            <v>Distritec-Lille</v>
          </cell>
          <cell r="C3">
            <v>0.19</v>
          </cell>
          <cell r="D3">
            <v>0.19950000000000001</v>
          </cell>
        </row>
        <row r="4">
          <cell r="A4">
            <v>3</v>
          </cell>
          <cell r="B4" t="str">
            <v>Distritec-Clermont-Ferrand</v>
          </cell>
          <cell r="C4">
            <v>0.28999999999999998</v>
          </cell>
          <cell r="D4">
            <v>0.33349999999999996</v>
          </cell>
        </row>
        <row r="5">
          <cell r="A5">
            <v>4</v>
          </cell>
          <cell r="B5" t="str">
            <v>Distritec-Marseille</v>
          </cell>
          <cell r="C5">
            <v>0.28999999999999998</v>
          </cell>
          <cell r="D5">
            <v>0.377</v>
          </cell>
        </row>
        <row r="6">
          <cell r="A6">
            <v>5</v>
          </cell>
          <cell r="B6" t="str">
            <v>Distritec-Marseille</v>
          </cell>
          <cell r="C6">
            <v>0.28999999999999998</v>
          </cell>
          <cell r="D6">
            <v>0.377</v>
          </cell>
        </row>
        <row r="7">
          <cell r="A7">
            <v>6</v>
          </cell>
          <cell r="B7" t="str">
            <v>Distritec-Nice</v>
          </cell>
          <cell r="C7">
            <v>0.3</v>
          </cell>
          <cell r="D7">
            <v>0.36599999999999999</v>
          </cell>
        </row>
        <row r="8">
          <cell r="A8">
            <v>7</v>
          </cell>
          <cell r="B8" t="str">
            <v>Distritec-Lyon</v>
          </cell>
          <cell r="C8">
            <v>0.27</v>
          </cell>
          <cell r="D8">
            <v>0.3024</v>
          </cell>
        </row>
        <row r="9">
          <cell r="A9">
            <v>8</v>
          </cell>
          <cell r="B9" t="str">
            <v>Distritec-Lille</v>
          </cell>
          <cell r="C9">
            <v>0.19</v>
          </cell>
          <cell r="D9">
            <v>0.19950000000000001</v>
          </cell>
        </row>
        <row r="10">
          <cell r="A10">
            <v>9</v>
          </cell>
          <cell r="B10" t="str">
            <v>Distritec-Toulouse</v>
          </cell>
          <cell r="C10">
            <v>0.22</v>
          </cell>
          <cell r="D10">
            <v>0.253</v>
          </cell>
        </row>
        <row r="11">
          <cell r="A11">
            <v>10</v>
          </cell>
          <cell r="B11" t="str">
            <v>Distritec-Dijon</v>
          </cell>
          <cell r="C11">
            <v>0.24</v>
          </cell>
          <cell r="D11">
            <v>0.33349999999999996</v>
          </cell>
        </row>
        <row r="12">
          <cell r="A12">
            <v>11</v>
          </cell>
          <cell r="B12" t="str">
            <v>Distritec-Montpellier</v>
          </cell>
          <cell r="C12">
            <v>0.39</v>
          </cell>
          <cell r="D12">
            <v>0.50700000000000001</v>
          </cell>
        </row>
        <row r="13">
          <cell r="A13">
            <v>12</v>
          </cell>
          <cell r="B13" t="str">
            <v>Distritec-Toulouse</v>
          </cell>
          <cell r="C13">
            <v>0.22</v>
          </cell>
          <cell r="D13">
            <v>0.253</v>
          </cell>
        </row>
        <row r="14">
          <cell r="A14">
            <v>13</v>
          </cell>
          <cell r="B14" t="str">
            <v>Distritec-Marseille</v>
          </cell>
          <cell r="C14">
            <v>0.28999999999999998</v>
          </cell>
          <cell r="D14">
            <v>0.377</v>
          </cell>
        </row>
        <row r="15">
          <cell r="A15">
            <v>14</v>
          </cell>
          <cell r="B15" t="str">
            <v>Distritec-Rouen</v>
          </cell>
          <cell r="C15">
            <v>0.17</v>
          </cell>
          <cell r="D15">
            <v>0.17</v>
          </cell>
        </row>
        <row r="16">
          <cell r="A16">
            <v>15</v>
          </cell>
          <cell r="B16" t="str">
            <v>Distritec-Clermont-Ferrand</v>
          </cell>
          <cell r="C16">
            <v>0.28999999999999998</v>
          </cell>
          <cell r="D16">
            <v>0.33349999999999996</v>
          </cell>
        </row>
        <row r="17">
          <cell r="A17">
            <v>16</v>
          </cell>
          <cell r="B17" t="str">
            <v>Distritec-Bordeaux</v>
          </cell>
          <cell r="C17">
            <v>0.21</v>
          </cell>
          <cell r="D17">
            <v>0.24149999999999999</v>
          </cell>
        </row>
        <row r="18">
          <cell r="A18">
            <v>17</v>
          </cell>
          <cell r="B18" t="str">
            <v>Distritec-Bordeaux</v>
          </cell>
          <cell r="C18">
            <v>0.21</v>
          </cell>
          <cell r="D18">
            <v>0.24149999999999999</v>
          </cell>
        </row>
        <row r="19">
          <cell r="A19">
            <v>18</v>
          </cell>
          <cell r="B19" t="str">
            <v>Distritec-Tours</v>
          </cell>
          <cell r="C19">
            <v>0.21</v>
          </cell>
          <cell r="D19">
            <v>0.24149999999999999</v>
          </cell>
        </row>
        <row r="20">
          <cell r="A20">
            <v>19</v>
          </cell>
          <cell r="B20" t="str">
            <v>Distritec-Clermont-Ferrand</v>
          </cell>
          <cell r="C20">
            <v>0.28999999999999998</v>
          </cell>
          <cell r="D20">
            <v>0.33349999999999996</v>
          </cell>
        </row>
        <row r="21">
          <cell r="A21">
            <v>20</v>
          </cell>
          <cell r="B21" t="str">
            <v>Distritec-Marseille</v>
          </cell>
          <cell r="C21">
            <v>0.28999999999999998</v>
          </cell>
          <cell r="D21">
            <v>0.33349999999999996</v>
          </cell>
        </row>
        <row r="22">
          <cell r="A22">
            <v>21</v>
          </cell>
          <cell r="B22" t="str">
            <v>Distritec-Dijon</v>
          </cell>
          <cell r="C22">
            <v>0.24</v>
          </cell>
          <cell r="D22">
            <v>0.33349999999999996</v>
          </cell>
        </row>
        <row r="23">
          <cell r="A23">
            <v>22</v>
          </cell>
          <cell r="B23" t="str">
            <v>Distritec-Morlaix</v>
          </cell>
          <cell r="C23">
            <v>0.41</v>
          </cell>
          <cell r="D23">
            <v>0.44070000000000004</v>
          </cell>
        </row>
        <row r="24">
          <cell r="A24">
            <v>23</v>
          </cell>
          <cell r="B24" t="str">
            <v>Distritec-Clermont-Ferrand</v>
          </cell>
          <cell r="C24">
            <v>0.28999999999999998</v>
          </cell>
          <cell r="D24">
            <v>0.33349999999999996</v>
          </cell>
        </row>
        <row r="25">
          <cell r="A25">
            <v>24</v>
          </cell>
          <cell r="B25" t="str">
            <v>Distritec-Bordeaux</v>
          </cell>
          <cell r="C25">
            <v>0.21</v>
          </cell>
          <cell r="D25">
            <v>0.24149999999999999</v>
          </cell>
        </row>
        <row r="26">
          <cell r="A26">
            <v>25</v>
          </cell>
          <cell r="B26" t="str">
            <v>Distritec-Dijon</v>
          </cell>
          <cell r="C26">
            <v>0.24</v>
          </cell>
          <cell r="D26">
            <v>0.33349999999999996</v>
          </cell>
        </row>
        <row r="27">
          <cell r="A27">
            <v>26</v>
          </cell>
          <cell r="B27" t="str">
            <v>Distritec-Lyon</v>
          </cell>
          <cell r="C27">
            <v>0.27</v>
          </cell>
          <cell r="D27">
            <v>0.3024</v>
          </cell>
        </row>
        <row r="28">
          <cell r="A28">
            <v>27</v>
          </cell>
          <cell r="B28" t="str">
            <v>Distritec-Rouen</v>
          </cell>
          <cell r="C28">
            <v>0.17</v>
          </cell>
          <cell r="D28">
            <v>0.17</v>
          </cell>
        </row>
        <row r="29">
          <cell r="A29">
            <v>28</v>
          </cell>
          <cell r="B29" t="str">
            <v>Distritec-Tours</v>
          </cell>
          <cell r="C29">
            <v>0.21</v>
          </cell>
          <cell r="D29">
            <v>0.24149999999999999</v>
          </cell>
        </row>
        <row r="30">
          <cell r="A30">
            <v>29</v>
          </cell>
          <cell r="B30" t="str">
            <v>Distritec-Morlaix</v>
          </cell>
          <cell r="C30">
            <v>0.41</v>
          </cell>
          <cell r="D30">
            <v>0.44070000000000004</v>
          </cell>
        </row>
        <row r="31">
          <cell r="A31">
            <v>30</v>
          </cell>
          <cell r="B31" t="str">
            <v>Distritec-Montpellier</v>
          </cell>
          <cell r="C31">
            <v>0.39</v>
          </cell>
          <cell r="D31">
            <v>0.50700000000000001</v>
          </cell>
        </row>
        <row r="32">
          <cell r="A32">
            <v>31</v>
          </cell>
          <cell r="B32" t="str">
            <v>Distritec-Toulouse</v>
          </cell>
          <cell r="C32">
            <v>0.22</v>
          </cell>
          <cell r="D32">
            <v>0.253</v>
          </cell>
        </row>
        <row r="33">
          <cell r="A33">
            <v>32</v>
          </cell>
          <cell r="B33" t="str">
            <v>Distritec-Toulouse</v>
          </cell>
          <cell r="C33">
            <v>0.22</v>
          </cell>
          <cell r="D33">
            <v>0.253</v>
          </cell>
        </row>
        <row r="34">
          <cell r="A34">
            <v>33</v>
          </cell>
          <cell r="B34" t="str">
            <v>Distritec-Bordeaux</v>
          </cell>
          <cell r="C34">
            <v>0.21</v>
          </cell>
          <cell r="D34">
            <v>0.24149999999999999</v>
          </cell>
        </row>
        <row r="35">
          <cell r="A35">
            <v>34</v>
          </cell>
          <cell r="B35" t="str">
            <v>Distritec-Montpellier</v>
          </cell>
          <cell r="C35">
            <v>0.39</v>
          </cell>
          <cell r="D35">
            <v>0.50700000000000001</v>
          </cell>
        </row>
        <row r="36">
          <cell r="A36">
            <v>35</v>
          </cell>
          <cell r="B36" t="str">
            <v>Distritec-Nantes</v>
          </cell>
          <cell r="C36">
            <v>0.27</v>
          </cell>
          <cell r="D36">
            <v>0.27</v>
          </cell>
        </row>
        <row r="37">
          <cell r="A37">
            <v>36</v>
          </cell>
          <cell r="B37" t="str">
            <v>Distritec-Tours</v>
          </cell>
          <cell r="C37">
            <v>0.21</v>
          </cell>
          <cell r="D37">
            <v>0.24149999999999999</v>
          </cell>
        </row>
        <row r="38">
          <cell r="A38">
            <v>37</v>
          </cell>
          <cell r="B38" t="str">
            <v>Distritec-Tours</v>
          </cell>
          <cell r="C38">
            <v>0.21</v>
          </cell>
          <cell r="D38">
            <v>0.24149999999999999</v>
          </cell>
        </row>
        <row r="39">
          <cell r="A39">
            <v>38</v>
          </cell>
          <cell r="B39" t="str">
            <v>Distritec-Lyon</v>
          </cell>
          <cell r="C39">
            <v>0.27</v>
          </cell>
          <cell r="D39">
            <v>0.3024</v>
          </cell>
        </row>
        <row r="40">
          <cell r="A40">
            <v>39</v>
          </cell>
          <cell r="B40" t="str">
            <v>Distritec-Lyon</v>
          </cell>
          <cell r="C40">
            <v>0.27</v>
          </cell>
          <cell r="D40">
            <v>0.3024</v>
          </cell>
        </row>
        <row r="41">
          <cell r="A41">
            <v>40</v>
          </cell>
          <cell r="B41" t="str">
            <v>Distritec-Bordeaux</v>
          </cell>
          <cell r="C41">
            <v>0.21</v>
          </cell>
          <cell r="D41">
            <v>0.24149999999999999</v>
          </cell>
        </row>
        <row r="42">
          <cell r="A42">
            <v>41</v>
          </cell>
          <cell r="B42" t="str">
            <v>Distritec-Tours</v>
          </cell>
          <cell r="C42">
            <v>0.21</v>
          </cell>
          <cell r="D42">
            <v>0.24149999999999999</v>
          </cell>
        </row>
        <row r="43">
          <cell r="A43">
            <v>42</v>
          </cell>
          <cell r="B43" t="str">
            <v>Distritec-Lyon</v>
          </cell>
          <cell r="C43">
            <v>0.27</v>
          </cell>
          <cell r="D43">
            <v>0.3024</v>
          </cell>
        </row>
        <row r="44">
          <cell r="A44">
            <v>43</v>
          </cell>
          <cell r="B44" t="str">
            <v>Distritec-Clermont-Ferrand</v>
          </cell>
          <cell r="C44">
            <v>0.28999999999999998</v>
          </cell>
          <cell r="D44">
            <v>0.33349999999999996</v>
          </cell>
        </row>
        <row r="45">
          <cell r="A45">
            <v>44</v>
          </cell>
          <cell r="B45" t="str">
            <v>Distritec-Nantes</v>
          </cell>
          <cell r="C45">
            <v>0.27</v>
          </cell>
          <cell r="D45">
            <v>0.27</v>
          </cell>
        </row>
        <row r="46">
          <cell r="A46">
            <v>45</v>
          </cell>
          <cell r="B46" t="str">
            <v>Distritec-Tours</v>
          </cell>
          <cell r="C46">
            <v>0.21</v>
          </cell>
          <cell r="D46">
            <v>0.24149999999999999</v>
          </cell>
        </row>
        <row r="47">
          <cell r="A47">
            <v>46</v>
          </cell>
          <cell r="B47" t="str">
            <v>Distritec-Toulouse</v>
          </cell>
          <cell r="C47">
            <v>0.22</v>
          </cell>
          <cell r="D47">
            <v>0.253</v>
          </cell>
        </row>
        <row r="48">
          <cell r="A48">
            <v>47</v>
          </cell>
          <cell r="B48" t="str">
            <v>Distritec-Bordeaux</v>
          </cell>
          <cell r="C48">
            <v>0.21</v>
          </cell>
          <cell r="D48">
            <v>0.24149999999999999</v>
          </cell>
        </row>
        <row r="49">
          <cell r="A49">
            <v>48</v>
          </cell>
          <cell r="B49" t="str">
            <v>Distritec-Montpellier</v>
          </cell>
          <cell r="C49">
            <v>0.39</v>
          </cell>
          <cell r="D49">
            <v>0.50700000000000001</v>
          </cell>
        </row>
        <row r="50">
          <cell r="A50">
            <v>49</v>
          </cell>
          <cell r="B50" t="str">
            <v>Distritec-Nantes</v>
          </cell>
          <cell r="C50">
            <v>0.27</v>
          </cell>
          <cell r="D50">
            <v>0.27</v>
          </cell>
        </row>
        <row r="51">
          <cell r="A51">
            <v>50</v>
          </cell>
          <cell r="B51" t="str">
            <v>Distritec-Rouen</v>
          </cell>
          <cell r="C51">
            <v>0.17</v>
          </cell>
          <cell r="D51">
            <v>0.17</v>
          </cell>
        </row>
        <row r="52">
          <cell r="A52">
            <v>51</v>
          </cell>
          <cell r="B52" t="str">
            <v>Distritec-Nancy</v>
          </cell>
          <cell r="C52">
            <v>0.25</v>
          </cell>
          <cell r="D52">
            <v>0.26250000000000001</v>
          </cell>
        </row>
        <row r="53">
          <cell r="A53">
            <v>52</v>
          </cell>
          <cell r="B53" t="str">
            <v>Distritec-Dijon</v>
          </cell>
          <cell r="C53">
            <v>0.24</v>
          </cell>
          <cell r="D53">
            <v>0.33349999999999996</v>
          </cell>
        </row>
        <row r="54">
          <cell r="A54">
            <v>53</v>
          </cell>
          <cell r="B54" t="str">
            <v>Distritec-Nantes</v>
          </cell>
          <cell r="C54">
            <v>0.27</v>
          </cell>
          <cell r="D54">
            <v>0.27</v>
          </cell>
        </row>
        <row r="55">
          <cell r="A55">
            <v>54</v>
          </cell>
          <cell r="B55" t="str">
            <v>Distritec-Nancy</v>
          </cell>
          <cell r="C55">
            <v>0.25</v>
          </cell>
          <cell r="D55">
            <v>0.26250000000000001</v>
          </cell>
        </row>
        <row r="56">
          <cell r="A56">
            <v>55</v>
          </cell>
          <cell r="B56" t="str">
            <v>Distritec-Nancy</v>
          </cell>
          <cell r="C56">
            <v>0.25</v>
          </cell>
          <cell r="D56">
            <v>0.26250000000000001</v>
          </cell>
        </row>
        <row r="57">
          <cell r="A57">
            <v>56</v>
          </cell>
          <cell r="B57" t="str">
            <v>Distritec-Nantes</v>
          </cell>
          <cell r="C57">
            <v>0.27</v>
          </cell>
          <cell r="D57">
            <v>0.27</v>
          </cell>
        </row>
        <row r="58">
          <cell r="A58">
            <v>57</v>
          </cell>
          <cell r="B58" t="str">
            <v>Distritec-Nancy</v>
          </cell>
          <cell r="C58">
            <v>0.25</v>
          </cell>
          <cell r="D58">
            <v>0.26250000000000001</v>
          </cell>
        </row>
        <row r="59">
          <cell r="A59">
            <v>58</v>
          </cell>
          <cell r="B59" t="str">
            <v>Distritec-Dijon</v>
          </cell>
          <cell r="C59">
            <v>0.24</v>
          </cell>
          <cell r="D59">
            <v>0.33349999999999996</v>
          </cell>
        </row>
        <row r="60">
          <cell r="A60">
            <v>59</v>
          </cell>
          <cell r="B60" t="str">
            <v>Distritec-Lille</v>
          </cell>
          <cell r="C60">
            <v>0.19</v>
          </cell>
          <cell r="D60">
            <v>0.19950000000000001</v>
          </cell>
        </row>
        <row r="61">
          <cell r="A61">
            <v>60</v>
          </cell>
          <cell r="B61" t="str">
            <v>Distritec-Lille</v>
          </cell>
          <cell r="C61">
            <v>0.19</v>
          </cell>
          <cell r="D61">
            <v>0.19950000000000001</v>
          </cell>
        </row>
        <row r="62">
          <cell r="A62">
            <v>61</v>
          </cell>
          <cell r="B62" t="str">
            <v>Distritec-Rouen</v>
          </cell>
          <cell r="C62">
            <v>0.17</v>
          </cell>
          <cell r="D62">
            <v>0.17</v>
          </cell>
        </row>
        <row r="63">
          <cell r="A63">
            <v>62</v>
          </cell>
          <cell r="B63" t="str">
            <v>Distritec-Lille</v>
          </cell>
          <cell r="C63">
            <v>0.19</v>
          </cell>
          <cell r="D63">
            <v>0.19950000000000001</v>
          </cell>
        </row>
        <row r="64">
          <cell r="A64">
            <v>63</v>
          </cell>
          <cell r="B64" t="str">
            <v>Distritec-Clermont-Ferrand</v>
          </cell>
          <cell r="C64">
            <v>0.28999999999999998</v>
          </cell>
          <cell r="D64">
            <v>0.33349999999999996</v>
          </cell>
        </row>
        <row r="65">
          <cell r="A65">
            <v>64</v>
          </cell>
          <cell r="B65" t="str">
            <v>Distritec-Bordeaux</v>
          </cell>
          <cell r="C65">
            <v>0.21</v>
          </cell>
          <cell r="D65">
            <v>0.24149999999999999</v>
          </cell>
        </row>
        <row r="66">
          <cell r="A66">
            <v>65</v>
          </cell>
          <cell r="B66" t="str">
            <v>Distritec-Toulouse</v>
          </cell>
          <cell r="C66">
            <v>0.22</v>
          </cell>
          <cell r="D66">
            <v>0.253</v>
          </cell>
        </row>
        <row r="67">
          <cell r="A67">
            <v>66</v>
          </cell>
          <cell r="B67" t="str">
            <v>Distritec-Montpellier</v>
          </cell>
          <cell r="C67">
            <v>0.39</v>
          </cell>
          <cell r="D67">
            <v>0.50700000000000001</v>
          </cell>
        </row>
        <row r="68">
          <cell r="A68">
            <v>67</v>
          </cell>
          <cell r="B68" t="str">
            <v>Distritec-Strasbourg</v>
          </cell>
          <cell r="C68">
            <v>0.28999999999999998</v>
          </cell>
          <cell r="D68">
            <v>0.34219999999999995</v>
          </cell>
        </row>
        <row r="69">
          <cell r="A69">
            <v>68</v>
          </cell>
          <cell r="B69" t="str">
            <v>Distritec-Strasbourg</v>
          </cell>
          <cell r="C69">
            <v>0.28999999999999998</v>
          </cell>
          <cell r="D69">
            <v>0.34219999999999995</v>
          </cell>
        </row>
        <row r="70">
          <cell r="A70">
            <v>69</v>
          </cell>
          <cell r="B70" t="str">
            <v>Distritec-Lyon</v>
          </cell>
          <cell r="C70">
            <v>0.27</v>
          </cell>
          <cell r="D70">
            <v>0.3024</v>
          </cell>
        </row>
        <row r="71">
          <cell r="A71">
            <v>70</v>
          </cell>
          <cell r="B71" t="str">
            <v>Distritec-Dijon</v>
          </cell>
          <cell r="C71">
            <v>0.24</v>
          </cell>
          <cell r="D71">
            <v>0.33349999999999996</v>
          </cell>
        </row>
        <row r="72">
          <cell r="A72">
            <v>71</v>
          </cell>
          <cell r="B72" t="str">
            <v>Distritec-Lyon</v>
          </cell>
          <cell r="C72">
            <v>0.27</v>
          </cell>
          <cell r="D72">
            <v>0.3024</v>
          </cell>
        </row>
        <row r="73">
          <cell r="A73">
            <v>72</v>
          </cell>
          <cell r="B73" t="str">
            <v>Distritec-Tours</v>
          </cell>
          <cell r="C73">
            <v>0.21</v>
          </cell>
          <cell r="D73">
            <v>0.24149999999999999</v>
          </cell>
        </row>
        <row r="74">
          <cell r="A74">
            <v>73</v>
          </cell>
          <cell r="B74" t="str">
            <v>Distritec-Lyon</v>
          </cell>
          <cell r="C74">
            <v>0.27</v>
          </cell>
          <cell r="D74">
            <v>0.3024</v>
          </cell>
        </row>
        <row r="75">
          <cell r="A75">
            <v>74</v>
          </cell>
          <cell r="B75" t="str">
            <v>Distritec-Lyon</v>
          </cell>
          <cell r="C75">
            <v>0.27</v>
          </cell>
          <cell r="D75">
            <v>0.3024</v>
          </cell>
        </row>
        <row r="76">
          <cell r="A76">
            <v>75</v>
          </cell>
          <cell r="B76" t="str">
            <v>Distritec-Morangis</v>
          </cell>
          <cell r="C76">
            <v>0</v>
          </cell>
          <cell r="D76">
            <v>0</v>
          </cell>
        </row>
        <row r="77">
          <cell r="A77">
            <v>76</v>
          </cell>
          <cell r="B77" t="str">
            <v>Distritec-Rouen</v>
          </cell>
          <cell r="C77">
            <v>0.17</v>
          </cell>
          <cell r="D77">
            <v>0.17</v>
          </cell>
        </row>
        <row r="78">
          <cell r="A78">
            <v>77</v>
          </cell>
          <cell r="B78" t="str">
            <v>Distritec-Morangis</v>
          </cell>
          <cell r="C78">
            <v>0</v>
          </cell>
          <cell r="D78">
            <v>0</v>
          </cell>
        </row>
        <row r="79">
          <cell r="A79">
            <v>78</v>
          </cell>
          <cell r="B79" t="str">
            <v>Distritec-Morangis</v>
          </cell>
          <cell r="C79">
            <v>0</v>
          </cell>
          <cell r="D79">
            <v>0</v>
          </cell>
        </row>
        <row r="80">
          <cell r="A80">
            <v>79</v>
          </cell>
          <cell r="B80" t="str">
            <v>Distritec-Tours</v>
          </cell>
          <cell r="C80">
            <v>0.21</v>
          </cell>
          <cell r="D80">
            <v>0.24149999999999999</v>
          </cell>
        </row>
        <row r="81">
          <cell r="A81">
            <v>80</v>
          </cell>
          <cell r="B81" t="str">
            <v>Distritec-Lille</v>
          </cell>
          <cell r="C81">
            <v>0.19</v>
          </cell>
          <cell r="D81">
            <v>0.19950000000000001</v>
          </cell>
        </row>
        <row r="82">
          <cell r="A82">
            <v>81</v>
          </cell>
          <cell r="B82" t="str">
            <v>Distritec-Toulouse</v>
          </cell>
          <cell r="C82">
            <v>0.22</v>
          </cell>
          <cell r="D82">
            <v>0.253</v>
          </cell>
        </row>
        <row r="83">
          <cell r="A83">
            <v>82</v>
          </cell>
          <cell r="B83" t="str">
            <v>Distritec-Toulouse</v>
          </cell>
          <cell r="C83">
            <v>0.22</v>
          </cell>
          <cell r="D83">
            <v>0.253</v>
          </cell>
        </row>
        <row r="84">
          <cell r="A84">
            <v>83</v>
          </cell>
          <cell r="B84" t="str">
            <v>Distritec-Nice</v>
          </cell>
          <cell r="C84">
            <v>0.3</v>
          </cell>
          <cell r="D84">
            <v>0.36599999999999999</v>
          </cell>
        </row>
        <row r="85">
          <cell r="A85">
            <v>84</v>
          </cell>
          <cell r="B85" t="str">
            <v>Distritec-Marseille</v>
          </cell>
          <cell r="C85">
            <v>0.28999999999999998</v>
          </cell>
          <cell r="D85">
            <v>0.377</v>
          </cell>
        </row>
        <row r="86">
          <cell r="A86">
            <v>85</v>
          </cell>
          <cell r="B86" t="str">
            <v>Distritec-Nantes</v>
          </cell>
          <cell r="C86">
            <v>0.27</v>
          </cell>
          <cell r="D86">
            <v>0.27</v>
          </cell>
        </row>
        <row r="87">
          <cell r="A87">
            <v>86</v>
          </cell>
          <cell r="B87" t="str">
            <v>Distritec-Tours</v>
          </cell>
          <cell r="C87">
            <v>0.21</v>
          </cell>
          <cell r="D87">
            <v>0.24149999999999999</v>
          </cell>
        </row>
        <row r="88">
          <cell r="A88">
            <v>87</v>
          </cell>
          <cell r="B88" t="str">
            <v>Distritec-Clermont-Ferrand</v>
          </cell>
          <cell r="C88">
            <v>0.28999999999999998</v>
          </cell>
          <cell r="D88">
            <v>0.33349999999999996</v>
          </cell>
        </row>
        <row r="89">
          <cell r="A89">
            <v>88</v>
          </cell>
          <cell r="B89" t="str">
            <v>Distritec-Strasbourg</v>
          </cell>
          <cell r="C89">
            <v>0.28999999999999998</v>
          </cell>
          <cell r="D89">
            <v>0.34219999999999995</v>
          </cell>
        </row>
        <row r="90">
          <cell r="A90">
            <v>89</v>
          </cell>
          <cell r="B90" t="str">
            <v>Distritec-Dijon</v>
          </cell>
          <cell r="C90">
            <v>0.24</v>
          </cell>
          <cell r="D90">
            <v>0.33349999999999996</v>
          </cell>
        </row>
        <row r="91">
          <cell r="A91">
            <v>90</v>
          </cell>
          <cell r="B91" t="str">
            <v>Distritec-Strasbourg</v>
          </cell>
          <cell r="C91">
            <v>0.28999999999999998</v>
          </cell>
          <cell r="D91">
            <v>0.34219999999999995</v>
          </cell>
        </row>
        <row r="92">
          <cell r="A92">
            <v>91</v>
          </cell>
          <cell r="B92" t="str">
            <v>Distritec-Morangis</v>
          </cell>
          <cell r="C92">
            <v>0</v>
          </cell>
          <cell r="D92">
            <v>0</v>
          </cell>
        </row>
        <row r="93">
          <cell r="A93">
            <v>92</v>
          </cell>
          <cell r="B93" t="str">
            <v>Distritec-Morangis</v>
          </cell>
          <cell r="C93">
            <v>0</v>
          </cell>
          <cell r="D93">
            <v>0</v>
          </cell>
        </row>
        <row r="94">
          <cell r="A94">
            <v>93</v>
          </cell>
          <cell r="B94" t="str">
            <v>Distritec-Morangis</v>
          </cell>
          <cell r="C94">
            <v>0</v>
          </cell>
          <cell r="D94">
            <v>0</v>
          </cell>
        </row>
        <row r="95">
          <cell r="A95">
            <v>94</v>
          </cell>
          <cell r="B95" t="str">
            <v>Distritec-Morangis</v>
          </cell>
          <cell r="C95">
            <v>0</v>
          </cell>
          <cell r="D95">
            <v>0</v>
          </cell>
        </row>
        <row r="96">
          <cell r="A96">
            <v>95</v>
          </cell>
          <cell r="B96" t="str">
            <v>Distritec-Morangis</v>
          </cell>
          <cell r="C96">
            <v>0</v>
          </cell>
          <cell r="D96">
            <v>0</v>
          </cell>
        </row>
        <row r="97">
          <cell r="A97">
            <v>98</v>
          </cell>
          <cell r="B97" t="str">
            <v>Distritec-Nice</v>
          </cell>
          <cell r="C97">
            <v>0.3</v>
          </cell>
          <cell r="D97">
            <v>0.36599999999999999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nuel Bogalheiro" refreshedDate="43319.669589930556" createdVersion="5" refreshedVersion="5" minRefreshableVersion="3" recordCount="9999">
  <cacheSource type="worksheet">
    <worksheetSource ref="A1:Q10000" sheet="base contrôle"/>
  </cacheSource>
  <cacheFields count="16">
    <cacheField name="Mode de livraison" numFmtId="0">
      <sharedItems count="12">
        <s v="RM"/>
        <s v="Reverse"/>
        <s v="RS"/>
        <s v="LM"/>
        <s v="LS"/>
        <s v="DLM"/>
        <s v="DLS"/>
        <s v="DRM"/>
        <s v="DRS"/>
        <s v="Metre Aller"/>
        <s v="Stockage"/>
        <s v="" u="1"/>
      </sharedItems>
    </cacheField>
    <cacheField name="gauche code postale" numFmtId="0">
      <sharedItems containsMixedTypes="1" containsNumber="1" containsInteger="1" minValue="1" maxValue="98"/>
    </cacheField>
    <cacheField name="Tranche de poids" numFmtId="165">
      <sharedItems containsSemiMixedTypes="0" containsString="0" containsNumber="1" containsInteger="1" minValue="0" maxValue="2150" count="96">
        <n v="180"/>
        <n v="120"/>
        <n v="140"/>
        <n v="210"/>
        <n v="110"/>
        <n v="10"/>
        <n v="160"/>
        <n v="30"/>
        <n v="70"/>
        <n v="80"/>
        <n v="150"/>
        <n v="60"/>
        <n v="40"/>
        <n v="170"/>
        <n v="130"/>
        <n v="20"/>
        <n v="200"/>
        <n v="430"/>
        <n v="90"/>
        <n v="190"/>
        <n v="250"/>
        <n v="0"/>
        <n v="100"/>
        <n v="1270"/>
        <n v="410"/>
        <n v="220"/>
        <n v="360"/>
        <n v="50"/>
        <n v="240"/>
        <n v="400"/>
        <n v="1250"/>
        <n v="890"/>
        <n v="960"/>
        <n v="280"/>
        <n v="230"/>
        <n v="1620"/>
        <n v="300"/>
        <n v="1360"/>
        <n v="350"/>
        <n v="290"/>
        <n v="1150"/>
        <n v="440"/>
        <n v="340"/>
        <n v="320"/>
        <n v="310"/>
        <n v="500"/>
        <n v="380"/>
        <n v="840"/>
        <n v="390"/>
        <n v="2150"/>
        <n v="670"/>
        <n v="1280"/>
        <n v="900"/>
        <n v="1390"/>
        <n v="270"/>
        <n v="260"/>
        <n v="790"/>
        <n v="450"/>
        <n v="330"/>
        <n v="1260"/>
        <n v="1040"/>
        <n v="520"/>
        <n v="1200"/>
        <n v="1000"/>
        <n v="420"/>
        <n v="610"/>
        <n v="2070"/>
        <n v="810"/>
        <n v="1680"/>
        <n v="1510"/>
        <n v="690"/>
        <n v="800"/>
        <n v="510"/>
        <n v="530"/>
        <n v="680"/>
        <n v="480"/>
        <n v="540"/>
        <n v="1380"/>
        <n v="1900"/>
        <n v="1050"/>
        <n v="860"/>
        <n v="570"/>
        <n v="370"/>
        <n v="1170"/>
        <n v="550"/>
        <n v="750"/>
        <n v="1240"/>
        <n v="1010"/>
        <n v="740"/>
        <n v="600"/>
        <n v="1330"/>
        <n v="1140"/>
        <n v="950"/>
        <n v="1400"/>
        <n v="1090"/>
        <n v="870"/>
      </sharedItems>
    </cacheField>
    <cacheField name="reprise ligne aller" numFmtId="167">
      <sharedItems containsSemiMixedTypes="0" containsString="0" containsNumber="1" minValue="0" maxValue="635.1" count="963">
        <n v="0"/>
        <n v="11.6"/>
        <n v="0.01"/>
        <n v="0.02"/>
        <n v="0.04"/>
        <n v="0.06"/>
        <n v="7.6"/>
        <n v="7.0000000000000007E-2"/>
        <n v="0.09"/>
        <n v="0.1"/>
        <n v="0.13"/>
        <n v="0.14000000000000001"/>
        <n v="21.6"/>
        <n v="45"/>
        <n v="0.15"/>
        <n v="0.17"/>
        <n v="0.18"/>
        <n v="0.19"/>
        <n v="0.23"/>
        <n v="0.26"/>
        <n v="0.28000000000000003"/>
        <n v="8.1"/>
        <n v="0.33"/>
        <n v="0.36"/>
        <n v="0.37"/>
        <n v="12"/>
        <n v="0.39"/>
        <n v="0.42"/>
        <n v="0.48"/>
        <n v="0.56999999999999995"/>
        <n v="0.57999999999999996"/>
        <n v="0.59"/>
        <n v="0.6"/>
        <n v="0.65"/>
        <n v="0.92"/>
        <n v="0.94"/>
        <n v="0.95"/>
        <n v="0.97"/>
        <n v="1.01"/>
        <n v="2.27"/>
        <n v="3.44"/>
        <n v="35.26"/>
        <n v="1.1499999999999999"/>
        <n v="1.23"/>
        <n v="3.8"/>
        <n v="3.84"/>
        <n v="2.7"/>
        <n v="6.81"/>
        <n v="5.52"/>
        <n v="1.38"/>
        <n v="2.77"/>
        <n v="5.58"/>
        <n v="4.28"/>
        <n v="8.67"/>
        <n v="1.46"/>
        <n v="4.3899999999999997"/>
        <n v="7.38"/>
        <n v="4.47"/>
        <n v="5.97"/>
        <n v="3"/>
        <n v="37.799999999999997"/>
        <n v="14.18"/>
        <n v="4.51"/>
        <n v="9.34"/>
        <n v="3.02"/>
        <n v="1.51"/>
        <n v="10.61"/>
        <n v="7.61"/>
        <n v="26.4"/>
        <n v="7.65"/>
        <n v="4.5999999999999996"/>
        <n v="6.15"/>
        <n v="9.24"/>
        <n v="48.6"/>
        <n v="6.17"/>
        <n v="4.63"/>
        <n v="3.12"/>
        <n v="6.24"/>
        <n v="21"/>
        <n v="32.4"/>
        <n v="26.6"/>
        <n v="9.36"/>
        <n v="9.3699999999999992"/>
        <n v="21.08"/>
        <n v="22"/>
        <n v="9.3800000000000008"/>
        <n v="6.8"/>
        <n v="6.26"/>
        <n v="9.41"/>
        <n v="6.28"/>
        <n v="20.45"/>
        <n v="20.48"/>
        <n v="17.350000000000001"/>
        <n v="6.32"/>
        <n v="20.54"/>
        <n v="10.8"/>
        <n v="22.13"/>
        <n v="15"/>
        <n v="4.75"/>
        <n v="7.92"/>
        <n v="15.84"/>
        <n v="6.34"/>
        <n v="30"/>
        <n v="17.52"/>
        <n v="6.38"/>
        <n v="4.79"/>
        <n v="12.78"/>
        <n v="40.770000000000003"/>
        <n v="23.99"/>
        <n v="22.41"/>
        <n v="12.81"/>
        <n v="25.67"/>
        <n v="22.8"/>
        <n v="24.08"/>
        <n v="116.96"/>
        <n v="22.48"/>
        <n v="12.86"/>
        <n v="22.52"/>
        <n v="12.92"/>
        <n v="24.25"/>
        <n v="4.8499999999999996"/>
        <n v="29.12"/>
        <n v="24.27"/>
        <n v="4.8600000000000003"/>
        <n v="35.1"/>
        <n v="23.8"/>
        <n v="3.24"/>
        <n v="1.62"/>
        <n v="29.16"/>
        <n v="27"/>
        <n v="34.049999999999997"/>
        <n v="24.34"/>
        <n v="24.35"/>
        <n v="29.25"/>
        <n v="24.4"/>
        <n v="31.2"/>
        <n v="24.41"/>
        <n v="34.200000000000003"/>
        <n v="22.81"/>
        <n v="29.36"/>
        <n v="26.1"/>
        <n v="19.59"/>
        <n v="26.13"/>
        <n v="14.7"/>
        <n v="4.9000000000000004"/>
        <n v="9.8000000000000007"/>
        <n v="26.14"/>
        <n v="21.24"/>
        <n v="24.51"/>
        <n v="14.71"/>
        <n v="24.52"/>
        <n v="14.72"/>
        <n v="11.45"/>
        <n v="31.15"/>
        <n v="8.1999999999999993"/>
        <n v="32.81"/>
        <n v="26.25"/>
        <n v="24.66"/>
        <n v="32.909999999999997"/>
        <n v="8.23"/>
        <n v="26.39"/>
        <n v="8.25"/>
        <n v="33"/>
        <n v="26.41"/>
        <n v="33.020000000000003"/>
        <n v="9.92"/>
        <n v="8.27"/>
        <n v="6.62"/>
        <n v="33.11"/>
        <n v="21.53"/>
        <n v="21.54"/>
        <n v="16.57"/>
        <n v="18.899999999999999"/>
        <n v="33.15"/>
        <n v="23.23"/>
        <n v="63.19"/>
        <n v="26.61"/>
        <n v="68.2"/>
        <n v="26.62"/>
        <n v="24.96"/>
        <n v="16.64"/>
        <n v="26.68"/>
        <n v="1.67"/>
        <n v="23.4"/>
        <n v="6.7"/>
        <n v="31.83"/>
        <n v="23.48"/>
        <n v="1.68"/>
        <n v="40.6"/>
        <n v="33.630000000000003"/>
        <n v="8.6999999999999993"/>
        <n v="141.31"/>
        <n v="33.659999999999997"/>
        <n v="11.79"/>
        <n v="21.92"/>
        <n v="25.32"/>
        <n v="11.82"/>
        <n v="16.89"/>
        <n v="27.03"/>
        <n v="11.83"/>
        <n v="32.119999999999997"/>
        <n v="20.309999999999999"/>
        <n v="11.85"/>
        <n v="22.02"/>
        <n v="25.43"/>
        <n v="30.52"/>
        <n v="25.44"/>
        <n v="33.96"/>
        <n v="33.97"/>
        <n v="22.09"/>
        <n v="13.76"/>
        <n v="6.91"/>
        <n v="1.73"/>
        <n v="15.64"/>
        <n v="8.7100000000000009"/>
        <n v="10.46"/>
        <n v="3.49"/>
        <n v="20.3"/>
        <n v="10.48"/>
        <n v="7"/>
        <n v="10.5"/>
        <n v="10.51"/>
        <n v="24.56"/>
        <n v="10.52"/>
        <n v="15.82"/>
        <n v="22.86"/>
        <n v="22.88"/>
        <n v="1.76"/>
        <n v="22.92"/>
        <n v="22.96"/>
        <n v="23.71"/>
        <n v="24.74"/>
        <n v="24.75"/>
        <n v="1.77"/>
        <n v="54.78"/>
        <n v="5.32"/>
        <n v="19.55"/>
        <n v="26.7"/>
        <n v="12.82"/>
        <n v="24.98"/>
        <n v="25.01"/>
        <n v="37.75"/>
        <n v="14.3"/>
        <n v="14.31"/>
        <n v="25.08"/>
        <n v="19.71"/>
        <n v="28.69"/>
        <n v="26.91"/>
        <n v="26.95"/>
        <n v="30.59"/>
        <n v="34.24"/>
        <n v="16.22"/>
        <n v="32.47"/>
        <n v="25.27"/>
        <n v="10.84"/>
        <n v="32.54"/>
        <n v="5.43"/>
        <n v="19.920000000000002"/>
        <n v="19.95"/>
        <n v="32.68"/>
        <n v="38.14"/>
        <n v="5.45"/>
        <n v="16.36"/>
        <n v="27.27"/>
        <n v="18.190000000000001"/>
        <n v="5.46"/>
        <n v="30.6"/>
        <n v="9.1"/>
        <n v="41.87"/>
        <n v="9.11"/>
        <n v="29.17"/>
        <n v="9.1199999999999992"/>
        <n v="18.260000000000002"/>
        <n v="32.869999999999997"/>
        <n v="16.440000000000001"/>
        <n v="23.75"/>
        <n v="27.41"/>
        <n v="16.45"/>
        <n v="36.590000000000003"/>
        <n v="40.270000000000003"/>
        <n v="23.87"/>
        <n v="34.96"/>
        <n v="7.36"/>
        <n v="1.84"/>
        <n v="36.83"/>
        <n v="27.68"/>
        <n v="5.4"/>
        <n v="33.22"/>
        <n v="5.54"/>
        <n v="11.09"/>
        <n v="35.130000000000003"/>
        <n v="35.14"/>
        <n v="33.32"/>
        <n v="35.18"/>
        <n v="25.96"/>
        <n v="12.99"/>
        <n v="25.99"/>
        <n v="26"/>
        <n v="46.4"/>
        <n v="54.6"/>
        <n v="40.869999999999997"/>
        <n v="26.03"/>
        <n v="26.04"/>
        <n v="26.05"/>
        <n v="20.49"/>
        <n v="7.46"/>
        <n v="20.52"/>
        <n v="37.32"/>
        <n v="14.93"/>
        <n v="35.51"/>
        <n v="35.549999999999997"/>
        <n v="7.49"/>
        <n v="35.590000000000003"/>
        <n v="26.24"/>
        <n v="37.53"/>
        <n v="28.16"/>
        <n v="11.55"/>
        <n v="20.67"/>
        <n v="3.76"/>
        <n v="29"/>
        <n v="37.619999999999997"/>
        <n v="13.18"/>
        <n v="37.659999999999997"/>
        <n v="28.27"/>
        <n v="84.88"/>
        <n v="35.869999999999997"/>
        <n v="54.76"/>
        <n v="24.55"/>
        <n v="13.22"/>
        <n v="26.45"/>
        <n v="62.35"/>
        <n v="1.89"/>
        <n v="11.35"/>
        <n v="24.62"/>
        <n v="26.52"/>
        <n v="28.42"/>
        <n v="239.3"/>
        <n v="9.5"/>
        <n v="7.64"/>
        <n v="21.01"/>
        <n v="3.83"/>
        <n v="7.67"/>
        <n v="13.44"/>
        <n v="14.5"/>
        <n v="3.85"/>
        <n v="9.6"/>
        <n v="5.78"/>
        <n v="11.58"/>
        <n v="19.32"/>
        <n v="11.62"/>
        <n v="5.81"/>
        <n v="15.23"/>
        <n v="11.03"/>
        <n v="16.8"/>
        <n v="25.26"/>
        <n v="11.66"/>
        <n v="9.98"/>
        <n v="25.34"/>
        <n v="27.33"/>
        <n v="25.38"/>
        <n v="27.34"/>
        <n v="35.880000000000003"/>
        <n v="5.86"/>
        <n v="5.87"/>
        <n v="21.56"/>
        <n v="15.68"/>
        <n v="27.57"/>
        <n v="7.88"/>
        <n v="9.8699999999999992"/>
        <n v="15.81"/>
        <n v="27.72"/>
        <n v="31.71"/>
        <n v="25.84"/>
        <n v="15.91"/>
        <n v="7.96"/>
        <n v="31.91"/>
        <n v="7.98"/>
        <n v="8"/>
        <n v="4"/>
        <n v="2"/>
        <n v="6.01"/>
        <n v="18.12"/>
        <n v="30.2"/>
        <n v="32.22"/>
        <n v="30.24"/>
        <n v="32.26"/>
        <n v="6.05"/>
        <n v="14.12"/>
        <n v="28.26"/>
        <n v="38.450000000000003"/>
        <n v="18.22"/>
        <n v="38.479999999999997"/>
        <n v="38.56"/>
        <n v="26.46"/>
        <n v="38.68"/>
        <n v="6.11"/>
        <n v="12.22"/>
        <n v="38.729999999999997"/>
        <n v="22.44"/>
        <n v="36.74"/>
        <n v="38.81"/>
        <n v="28.64"/>
        <n v="20.47"/>
        <n v="77.790000000000006"/>
        <n v="28.7"/>
        <n v="10.25"/>
        <n v="28.71"/>
        <n v="28.74"/>
        <n v="39.03"/>
        <n v="28.77"/>
        <n v="22.61"/>
        <n v="28.86"/>
        <n v="22.78"/>
        <n v="29.01"/>
        <n v="35.29"/>
        <n v="31.17"/>
        <n v="89.41"/>
        <n v="37.43"/>
        <n v="4.16"/>
        <n v="12.5"/>
        <n v="35.42"/>
        <n v="8.34"/>
        <n v="29.23"/>
        <n v="12.54"/>
        <n v="31.41"/>
        <n v="39.79"/>
        <n v="433.65"/>
        <n v="39.81"/>
        <n v="27.26"/>
        <n v="6"/>
        <n v="83.9"/>
        <n v="39.86"/>
        <n v="169.95"/>
        <n v="29.39"/>
        <n v="29.4"/>
        <n v="8.4"/>
        <n v="2.1"/>
        <n v="8.42"/>
        <n v="4.2699999999999996"/>
        <n v="12.84"/>
        <n v="6.45"/>
        <n v="2.16"/>
        <n v="8.65"/>
        <n v="10.85"/>
        <n v="30.39"/>
        <n v="10.86"/>
        <n v="13.06"/>
        <n v="2.1800000000000002"/>
        <n v="58.97"/>
        <n v="34.950000000000003"/>
        <n v="367.68"/>
        <n v="8.76"/>
        <n v="13.2"/>
        <n v="4.4000000000000004"/>
        <n v="13.23"/>
        <n v="13.24"/>
        <n v="28.87"/>
        <n v="6.67"/>
        <n v="20.04"/>
        <n v="31.25"/>
        <n v="15.73"/>
        <n v="24.73"/>
        <n v="14.85"/>
        <n v="9"/>
        <n v="58.1"/>
        <n v="36.24"/>
        <n v="4.54"/>
        <n v="4.58"/>
        <n v="41.23"/>
        <n v="32.07"/>
        <n v="34.369999999999997"/>
        <n v="48.17"/>
        <n v="4.59"/>
        <n v="52.85"/>
        <n v="13.79"/>
        <n v="20.7"/>
        <n v="20.75"/>
        <n v="36.9"/>
        <n v="13.84"/>
        <n v="34.61"/>
        <n v="30.07"/>
        <n v="6.94"/>
        <n v="50.96"/>
        <n v="35"/>
        <n v="2.3199999999999998"/>
        <n v="30.16"/>
        <n v="44.11"/>
        <n v="13.93"/>
        <n v="6.97"/>
        <n v="14.36"/>
        <n v="30.21"/>
        <n v="44.21"/>
        <n v="48.87"/>
        <n v="7.02"/>
        <n v="37.44"/>
        <n v="32.799999999999997"/>
        <n v="30.48"/>
        <n v="11.73"/>
        <n v="10"/>
        <n v="17.399999999999999"/>
        <n v="52.2"/>
        <n v="18.84"/>
        <n v="32.979999999999997"/>
        <n v="35.409999999999997"/>
        <n v="33.090000000000003"/>
        <n v="30.74"/>
        <n v="120.77"/>
        <n v="37.979999999999997"/>
        <n v="28.5"/>
        <n v="125.99"/>
        <n v="38.11"/>
        <n v="9.5299999999999994"/>
        <n v="47.74"/>
        <n v="50.25"/>
        <n v="21.57"/>
        <n v="19.18"/>
        <n v="163.05000000000001"/>
        <n v="45.58"/>
        <n v="16.809999999999999"/>
        <n v="55.25"/>
        <n v="14.45"/>
        <n v="9.64"/>
        <n v="45.81"/>
        <n v="9.67"/>
        <n v="45.97"/>
        <n v="53.3"/>
        <n v="46.05"/>
        <n v="9.6999999999999993"/>
        <n v="36.5"/>
        <n v="29.21"/>
        <n v="46.25"/>
        <n v="9.74"/>
        <n v="31.66"/>
        <n v="34.159999999999997"/>
        <n v="31.79"/>
        <n v="34.25"/>
        <n v="39.159999999999997"/>
        <n v="14.74"/>
        <n v="9.84"/>
        <n v="46.86"/>
        <n v="34.53"/>
        <n v="9.89"/>
        <n v="4.95"/>
        <n v="76.75"/>
        <n v="17.34"/>
        <n v="22.31"/>
        <n v="62"/>
        <n v="14.89"/>
        <n v="14.9"/>
        <n v="32.299999999999997"/>
        <n v="14.91"/>
        <n v="29.82"/>
        <n v="34.799999999999997"/>
        <n v="14.92"/>
        <n v="134.38999999999999"/>
        <n v="14.94"/>
        <n v="14.95"/>
        <n v="34.89"/>
        <n v="9.9700000000000006"/>
        <n v="14.98"/>
        <n v="32.479999999999997"/>
        <n v="38.01"/>
        <n v="34.979999999999997"/>
        <n v="7.5"/>
        <n v="22.5"/>
        <n v="11.78"/>
        <n v="32.58"/>
        <n v="17.55"/>
        <n v="32.630000000000003"/>
        <n v="35.15"/>
        <n v="35.17"/>
        <n v="35.19"/>
        <n v="54"/>
        <n v="12.6"/>
        <n v="30.26"/>
        <n v="7.57"/>
        <n v="43.79"/>
        <n v="37.880000000000003"/>
        <n v="27.83"/>
        <n v="20.29"/>
        <n v="38.049999999999997"/>
        <n v="12.69"/>
        <n v="20.32"/>
        <n v="20.329999999999998"/>
        <n v="20.34"/>
        <n v="27.98"/>
        <n v="38.25"/>
        <n v="43.36"/>
        <n v="38.26"/>
        <n v="33.17"/>
        <n v="4.2"/>
        <n v="10.220000000000001"/>
        <n v="12.8"/>
        <n v="46.14"/>
        <n v="41.03"/>
        <n v="7.7"/>
        <n v="33.369999999999997"/>
        <n v="51.36"/>
        <n v="38.549999999999997"/>
        <n v="23.15"/>
        <n v="15.44"/>
        <n v="46.32"/>
        <n v="38.61"/>
        <n v="7.73"/>
        <n v="56.72"/>
        <n v="46.41"/>
        <n v="30.96"/>
        <n v="7.74"/>
        <n v="54.27"/>
        <n v="41.35"/>
        <n v="33.6"/>
        <n v="56.92"/>
        <n v="23.29"/>
        <n v="38.83"/>
        <n v="59.54"/>
        <n v="36.25"/>
        <n v="41.43"/>
        <n v="23.31"/>
        <n v="41.45"/>
        <n v="46.64"/>
        <n v="12.96"/>
        <n v="18.16"/>
        <n v="23.35"/>
        <n v="15.57"/>
        <n v="23.37"/>
        <n v="41.55"/>
        <n v="94.5"/>
        <n v="36.36"/>
        <n v="54.55"/>
        <n v="41.58"/>
        <n v="46.78"/>
        <n v="41.59"/>
        <n v="33.82"/>
        <n v="23.42"/>
        <n v="49.48"/>
        <n v="46.88"/>
        <n v="49.5"/>
        <n v="41.69"/>
        <n v="18.239999999999998"/>
        <n v="13.03"/>
        <n v="41.7"/>
        <n v="49.55"/>
        <n v="33.92"/>
        <n v="13.3"/>
        <n v="15.66"/>
        <n v="10.45"/>
        <n v="49.65"/>
        <n v="31.36"/>
        <n v="49.66"/>
        <n v="49.67"/>
        <n v="41.83"/>
        <n v="49.69"/>
        <n v="34.01"/>
        <n v="41.86"/>
        <n v="49.79"/>
        <n v="41.95"/>
        <n v="49.82"/>
        <n v="10.49"/>
        <n v="47.21"/>
        <n v="15.75"/>
        <n v="57.75"/>
        <n v="52.52"/>
        <n v="31.55"/>
        <n v="36.81"/>
        <n v="34.21"/>
        <n v="89.48"/>
        <n v="100.03"/>
        <n v="42.17"/>
        <n v="36.909999999999997"/>
        <n v="36.950000000000003"/>
        <n v="39.61"/>
        <n v="36.97"/>
        <n v="39.619999999999997"/>
        <n v="36.979999999999997"/>
        <n v="48.5"/>
        <n v="36.99"/>
        <n v="11.4"/>
        <n v="50.22"/>
        <n v="50.24"/>
        <n v="37.03"/>
        <n v="82.01"/>
        <n v="37.049999999999997"/>
        <n v="17.5"/>
        <n v="29.13"/>
        <n v="13.25"/>
        <n v="22.4"/>
        <n v="50.35"/>
        <n v="34.450000000000003"/>
        <n v="37.11"/>
        <n v="37.15"/>
        <n v="34.51"/>
        <n v="5.31"/>
        <n v="52.05"/>
        <n v="77.010000000000005"/>
        <n v="10.62"/>
        <n v="50.47"/>
        <n v="50.48"/>
        <n v="50.5"/>
        <n v="51"/>
        <n v="50.53"/>
        <n v="37.29"/>
        <n v="37.299999999999997"/>
        <n v="15.99"/>
        <n v="16"/>
        <n v="82.67"/>
        <n v="152.07"/>
        <n v="104.12"/>
        <n v="10.68"/>
        <n v="48.07"/>
        <n v="37.409999999999997"/>
        <n v="18.72"/>
        <n v="24.07"/>
        <n v="5.35"/>
        <n v="16.05"/>
        <n v="77.59"/>
        <n v="42.82"/>
        <n v="50.85"/>
        <n v="16.059999999999999"/>
        <n v="40.17"/>
        <n v="5.08"/>
        <n v="16.07"/>
        <n v="99.14"/>
        <n v="42.88"/>
        <n v="313.85000000000002"/>
        <n v="18.78"/>
        <n v="34.880000000000003"/>
        <n v="37.58"/>
        <n v="34.9"/>
        <n v="37.590000000000003"/>
        <n v="53.72"/>
        <n v="29.55"/>
        <n v="201.49"/>
        <n v="34.94"/>
        <n v="24.19"/>
        <n v="34.99"/>
        <n v="333.8"/>
        <n v="53.84"/>
        <n v="35.020000000000003"/>
        <n v="56.58"/>
        <n v="37.72"/>
        <n v="51.22"/>
        <n v="35.049999999999997"/>
        <n v="27.3"/>
        <n v="37.78"/>
        <n v="8.1199999999999992"/>
        <n v="29.78"/>
        <n v="8.1300000000000008"/>
        <n v="29.89"/>
        <n v="10.88"/>
        <n v="21.77"/>
        <n v="29.95"/>
        <n v="21.79"/>
        <n v="21.8"/>
        <n v="35.43"/>
        <n v="19.079999999999998"/>
        <n v="38.18"/>
        <n v="35.47"/>
        <n v="21.83"/>
        <n v="16.38"/>
        <n v="21.85"/>
        <n v="38.31"/>
        <n v="41.08"/>
        <n v="38.35"/>
        <n v="19.2"/>
        <n v="41.18"/>
        <n v="32.950000000000003"/>
        <n v="11"/>
        <n v="28.9"/>
        <n v="38.54"/>
        <n v="49.56"/>
        <n v="44.06"/>
        <n v="49.57"/>
        <n v="49.61"/>
        <n v="16.54"/>
        <n v="27.6"/>
        <n v="52.48"/>
        <n v="52.49"/>
        <n v="41.44"/>
        <n v="41.46"/>
        <n v="55.33"/>
        <n v="16.600000000000001"/>
        <n v="8.3000000000000007"/>
        <n v="24.9"/>
        <n v="41.57"/>
        <n v="58.27"/>
        <n v="36.090000000000003"/>
        <n v="55.53"/>
        <n v="22.22"/>
        <n v="25.02"/>
        <n v="38.92"/>
        <n v="44.5"/>
        <n v="25.04"/>
        <n v="13.92"/>
        <n v="50.13"/>
        <n v="19.5"/>
        <n v="39.01"/>
        <n v="27.87"/>
        <n v="44.6"/>
        <n v="41.82"/>
        <n v="30.67"/>
        <n v="22.36"/>
        <n v="39.130000000000003"/>
        <n v="53.14"/>
        <n v="47.55"/>
        <n v="44.77"/>
        <n v="30.8"/>
        <n v="53.2"/>
        <n v="58.84"/>
        <n v="53.25"/>
        <n v="53.27"/>
        <n v="36.479999999999997"/>
        <n v="30.92"/>
        <n v="56.22"/>
        <n v="44.99"/>
        <n v="42.24"/>
        <n v="36.61"/>
        <n v="15.6"/>
        <n v="22.54"/>
        <n v="14.1"/>
        <n v="16.920000000000002"/>
        <n v="28.21"/>
        <n v="56.49"/>
        <n v="22.6"/>
        <n v="36.729999999999997"/>
        <n v="101.74"/>
        <n v="56.54"/>
        <n v="39.630000000000003"/>
        <n v="28.31"/>
        <n v="45.3"/>
        <n v="42.48"/>
        <n v="42.5"/>
        <n v="53.88"/>
        <n v="39.729999999999997"/>
        <n v="42.59"/>
        <n v="31.24"/>
        <n v="45.44"/>
        <n v="42.6"/>
        <n v="39.799999999999997"/>
        <n v="54.05"/>
        <n v="39.85"/>
        <n v="56.96"/>
        <n v="5.7"/>
        <n v="54.2"/>
        <n v="39.94"/>
        <n v="54.24"/>
        <n v="42.83"/>
        <n v="171.39"/>
        <n v="54.3"/>
        <n v="34.31"/>
        <n v="40.049999999999997"/>
        <n v="8.59"/>
        <n v="57.29"/>
        <n v="163.32"/>
        <n v="5.74"/>
        <n v="57.43"/>
        <n v="20.11"/>
        <n v="31.63"/>
        <n v="40.26"/>
        <n v="106.42"/>
        <n v="77.709999999999994"/>
        <n v="11.52"/>
        <n v="40.369999999999997"/>
        <n v="383.77"/>
        <n v="46.18"/>
        <n v="20.21"/>
        <n v="366.9"/>
        <n v="43.39"/>
        <n v="57.88"/>
        <n v="63.73"/>
        <n v="55.04"/>
        <n v="40.57"/>
        <n v="17.46"/>
        <n v="87.48"/>
        <n v="38"/>
        <n v="41.27"/>
        <n v="97.5"/>
        <n v="23.7"/>
        <n v="5.94"/>
        <n v="56.48"/>
        <n v="20.82"/>
        <n v="38.76"/>
        <n v="20.88"/>
        <n v="47.77"/>
        <n v="11.96"/>
        <n v="40.9"/>
        <n v="13.01"/>
        <n v="3.26"/>
        <n v="13.05"/>
        <n v="31.37"/>
        <n v="7.16"/>
        <n v="21.5"/>
        <n v="21.51"/>
        <n v="21.58"/>
        <n v="21.59"/>
        <n v="46.91"/>
        <n v="32.53"/>
        <n v="47.05"/>
        <n v="21.74"/>
        <n v="47.13"/>
        <n v="32.76"/>
        <n v="43.71"/>
        <n v="29.3"/>
        <n v="51.34"/>
        <n v="66"/>
        <n v="51.37"/>
        <n v="29.38"/>
        <n v="40.409999999999997"/>
        <n v="51.47"/>
        <n v="51.48"/>
        <n v="58.89"/>
        <n v="55.24"/>
        <n v="55.38"/>
        <n v="55.39"/>
        <n v="48.22"/>
        <n v="74.53"/>
        <n v="55.9"/>
        <n v="55.95"/>
        <n v="55.97"/>
        <n v="82.09"/>
        <n v="78.39"/>
        <n v="33.65"/>
        <n v="67.47"/>
        <n v="78.77"/>
        <n v="31.5"/>
        <n v="33.76"/>
        <n v="67.569999999999993"/>
        <n v="71.47"/>
        <n v="52.73"/>
        <n v="56.55"/>
        <n v="49.03"/>
        <n v="71.75"/>
        <n v="117.08"/>
        <n v="60.59"/>
        <n v="49.39"/>
        <n v="76.05"/>
        <n v="11.02"/>
        <n v="76.06"/>
        <n v="53.29"/>
        <n v="49.53"/>
        <n v="53.43"/>
        <n v="19.14"/>
        <n v="38.380000000000003"/>
        <n v="53.87"/>
        <n v="23.22"/>
        <n v="54.29"/>
        <n v="422.92"/>
        <n v="73.94"/>
        <n v="70.05"/>
        <n v="13.75"/>
        <n v="58.42"/>
        <n v="13.6"/>
        <n v="13.45"/>
        <n v="37.229999999999997"/>
        <n v="104.4"/>
        <n v="95.04"/>
        <n v="67.13"/>
        <n v="70.08"/>
        <n v="32.659999999999997"/>
        <n v="58"/>
        <n v="27.74"/>
        <n v="635.1"/>
        <n v="15.59"/>
        <n v="19.43"/>
      </sharedItems>
    </cacheField>
    <cacheField name="Coût traction au kilo facturé" numFmtId="167">
      <sharedItems containsMixedTypes="1" containsNumber="1" minValue="0" maxValue="0.7536666666666666"/>
    </cacheField>
    <cacheField name="Coût réel" numFmtId="167">
      <sharedItems containsMixedTypes="1" containsNumber="1" minValue="0" maxValue="434.7"/>
    </cacheField>
    <cacheField name="Coût traction au kilo réel" numFmtId="167">
      <sharedItems containsMixedTypes="1" containsNumber="1" minValue="0" maxValue="0.39000000000000007"/>
    </cacheField>
    <cacheField name="Contrôle des écart de coût traction ALLER" numFmtId="8">
      <sharedItems containsMixedTypes="1" containsNumber="1" minValue="-365.5" maxValue="382.80000000000007"/>
    </cacheField>
    <cacheField name="Ecart positif ou négatif" numFmtId="167">
      <sharedItems containsBlank="1" count="9">
        <s v="Ecart négatif"/>
        <s v="Pas d'écart"/>
        <s v="Ecart positif"/>
        <e v="#N/A"/>
        <b v="0" u="1"/>
        <m u="1"/>
        <s v="écart" u="1"/>
        <s v="écart négatif" u="1"/>
        <s v="écart positif" u="1"/>
      </sharedItems>
    </cacheField>
    <cacheField name="reprise ligne RETOUR" numFmtId="167">
      <sharedItems containsSemiMixedTypes="0" containsString="0" containsNumber="1" minValue="0" maxValue="374.63" count="363">
        <n v="30.6"/>
        <n v="0"/>
        <n v="38.19"/>
        <n v="26.18"/>
        <n v="8.4"/>
        <n v="12.64"/>
        <n v="21.6"/>
        <n v="25.67"/>
        <n v="25.37"/>
        <n v="38.04"/>
        <n v="4.8"/>
        <n v="27.55"/>
        <n v="28.69"/>
        <n v="8.7200000000000006"/>
        <n v="16.16"/>
        <n v="22.44"/>
        <n v="26.04"/>
        <n v="11.9"/>
        <n v="19.8"/>
        <n v="39.200000000000003"/>
        <n v="30"/>
        <n v="3.6"/>
        <n v="16.8"/>
        <n v="34.799999999999997"/>
        <n v="28.52"/>
        <n v="34.5"/>
        <n v="341.99"/>
        <n v="6.8"/>
        <n v="14.42"/>
        <n v="50.4"/>
        <n v="1.6"/>
        <n v="10"/>
        <n v="31.28"/>
        <n v="23.29"/>
        <n v="46"/>
        <n v="16.57"/>
        <n v="54.6"/>
        <n v="3.95"/>
        <n v="8.36"/>
        <n v="5.08"/>
        <n v="23.8"/>
        <n v="4.78"/>
        <n v="28.9"/>
        <n v="42.28"/>
        <n v="62.5"/>
        <n v="9.3000000000000007"/>
        <n v="8.25"/>
        <n v="18.12"/>
        <n v="92.4"/>
        <n v="27.26"/>
        <n v="16.559999999999999"/>
        <n v="40.39"/>
        <n v="10.8"/>
        <n v="47.5"/>
        <n v="27.2"/>
        <n v="39.090000000000003"/>
        <n v="17.95"/>
        <n v="4.25"/>
        <n v="19.2"/>
        <n v="15"/>
        <n v="27"/>
        <n v="3.2"/>
        <n v="60.75"/>
        <n v="18.920000000000002"/>
        <n v="48.6"/>
        <n v="70.2"/>
        <n v="48.67"/>
        <n v="13.88"/>
        <n v="26.6"/>
        <n v="21.81"/>
        <n v="0.8"/>
        <n v="35"/>
        <n v="45"/>
        <n v="8.6999999999999993"/>
        <n v="12.32"/>
        <n v="5.46"/>
        <n v="11.2"/>
        <n v="27.03"/>
        <n v="54.27"/>
        <n v="22.08"/>
        <n v="11.39"/>
        <n v="2.35"/>
        <n v="14.83"/>
        <n v="70.59"/>
        <n v="12.51"/>
        <n v="3"/>
        <n v="29.93"/>
        <n v="50.22"/>
        <n v="29.18"/>
        <n v="51"/>
        <n v="16.89"/>
        <n v="54"/>
        <n v="6.14"/>
        <n v="98.82"/>
        <n v="50.83"/>
        <n v="23.2"/>
        <n v="22.16"/>
        <n v="4.93"/>
        <n v="29.4"/>
        <n v="5.13"/>
        <n v="10.79"/>
        <n v="19.38"/>
        <n v="14.4"/>
        <n v="67.5"/>
        <n v="19.53"/>
        <n v="13.5"/>
        <n v="12.08"/>
        <n v="61.01"/>
        <n v="26.1"/>
        <n v="20.239999999999998"/>
        <n v="76.040000000000006"/>
        <n v="5.53"/>
        <n v="12.17"/>
        <n v="12.84"/>
        <n v="47.38"/>
        <n v="26.73"/>
        <n v="6.7"/>
        <n v="15.57"/>
        <n v="21.65"/>
        <n v="18.829999999999998"/>
        <n v="33.21"/>
        <n v="48.2"/>
        <n v="11.6"/>
        <n v="13.3"/>
        <n v="3.27"/>
        <n v="14.7"/>
        <n v="49.75"/>
        <n v="31.71"/>
        <n v="364.76"/>
        <n v="9.5"/>
        <n v="14.5"/>
        <n v="39.729999999999997"/>
        <n v="7.6"/>
        <n v="1.06"/>
        <n v="13.36"/>
        <n v="2.74"/>
        <n v="5.6"/>
        <n v="18.239999999999998"/>
        <n v="8.64"/>
        <n v="10.64"/>
        <n v="28.1"/>
        <n v="6.6"/>
        <n v="42"/>
        <n v="19.75"/>
        <n v="37.799999999999997"/>
        <n v="48.08"/>
        <n v="46.48"/>
        <n v="9.8000000000000007"/>
        <n v="68"/>
        <n v="9.31"/>
        <n v="13.12"/>
        <n v="6.76"/>
        <n v="15.52"/>
        <n v="374.63"/>
        <n v="26.74"/>
        <n v="33.83"/>
        <n v="37.75"/>
        <n v="28.38"/>
        <n v="53.47"/>
        <n v="36.24"/>
        <n v="16.02"/>
        <n v="34.68"/>
        <n v="22.67"/>
        <n v="15.64"/>
        <n v="28.98"/>
        <n v="8.6300000000000008"/>
        <n v="28.5"/>
        <n v="8.6199999999999992"/>
        <n v="49.25"/>
        <n v="5.59"/>
        <n v="8.1"/>
        <n v="7.47"/>
        <n v="30.63"/>
        <n v="21"/>
        <n v="5.75"/>
        <n v="10.42"/>
        <n v="20"/>
        <n v="13.35"/>
        <n v="15.84"/>
        <n v="10.45"/>
        <n v="50.24"/>
        <n v="278.39"/>
        <n v="2"/>
        <n v="37.57"/>
        <n v="17.5"/>
        <n v="168.94"/>
        <n v="5.25"/>
        <n v="27.6"/>
        <n v="47.69"/>
        <n v="79.92"/>
        <n v="26.01"/>
        <n v="19.68"/>
        <n v="1.75"/>
        <n v="23.92"/>
        <n v="2.38"/>
        <n v="12.75"/>
        <n v="40.4"/>
        <n v="50.63"/>
        <n v="17.96"/>
        <n v="34.96"/>
        <n v="11.74"/>
        <n v="53.5"/>
        <n v="8.15"/>
        <n v="4.8499999999999996"/>
        <n v="45.07"/>
        <n v="37.68"/>
        <n v="59.54"/>
        <n v="52.5"/>
        <n v="35.049999999999997"/>
        <n v="40.770000000000003"/>
        <n v="28.78"/>
        <n v="4.43"/>
        <n v="14.43"/>
        <n v="14.72"/>
        <n v="13.7"/>
        <n v="5.96"/>
        <n v="37.43"/>
        <n v="2.9"/>
        <n v="29.26"/>
        <n v="7.32"/>
        <n v="54.3"/>
        <n v="53.82"/>
        <n v="21.44"/>
        <n v="29.41"/>
        <n v="2.37"/>
        <n v="5.8"/>
        <n v="34.14"/>
        <n v="2.3199999999999998"/>
        <n v="24.9"/>
        <n v="21.49"/>
        <n v="34.200000000000003"/>
        <n v="47.65"/>
        <n v="56.41"/>
        <n v="39"/>
        <n v="1.1299999999999999"/>
        <n v="42.5"/>
        <n v="31.79"/>
        <n v="97.5"/>
        <n v="255.56"/>
        <n v="33.15"/>
        <n v="10.08"/>
        <n v="6.13"/>
        <n v="5.16"/>
        <n v="32.200000000000003"/>
        <n v="33.67"/>
        <n v="40.25"/>
        <n v="61.3"/>
        <n v="44.62"/>
        <n v="19.600000000000001"/>
        <n v="9.35"/>
        <n v="49.03"/>
        <n v="29.37"/>
        <n v="49.67"/>
        <n v="33.49"/>
        <n v="17.25"/>
        <n v="39.53"/>
        <n v="1.36"/>
        <n v="36.590000000000003"/>
        <n v="14.13"/>
        <n v="3.24"/>
        <n v="20.03"/>
        <n v="21.66"/>
        <n v="14.07"/>
        <n v="84.87"/>
        <n v="10.5"/>
        <n v="27.14"/>
        <n v="43.2"/>
        <n v="7.18"/>
        <n v="9.01"/>
        <n v="37.25"/>
        <n v="28.56"/>
        <n v="10.199999999999999"/>
        <n v="63.04"/>
        <n v="2.33"/>
        <n v="38.4"/>
        <n v="66"/>
        <n v="15.17"/>
        <n v="70"/>
        <n v="16.39"/>
        <n v="2.4"/>
        <n v="27.71"/>
        <n v="0.68"/>
        <n v="43.46"/>
        <n v="50.5"/>
        <n v="16.37"/>
        <n v="32.22"/>
        <n v="6"/>
        <n v="4.32"/>
        <n v="42.84"/>
        <n v="18.899999999999999"/>
        <n v="34.79"/>
        <n v="1.8"/>
        <n v="21.42"/>
        <n v="12.29"/>
        <n v="5.52"/>
        <n v="23.7"/>
        <n v="9.06"/>
        <n v="1.57"/>
        <n v="13.09"/>
        <n v="1.61"/>
        <n v="67.64"/>
        <n v="11.61"/>
        <n v="17.559999999999999"/>
        <n v="22.74"/>
        <n v="14.67"/>
        <n v="5.95"/>
        <n v="48.42"/>
        <n v="80.92"/>
        <n v="32.119999999999997"/>
        <n v="33.86"/>
        <n v="12.6"/>
        <n v="52.32"/>
        <n v="36.78"/>
        <n v="69.459999999999994"/>
        <n v="20.98"/>
        <n v="14.63"/>
        <n v="22.38"/>
        <n v="9.2200000000000006"/>
        <n v="4.2"/>
        <n v="46.24"/>
        <n v="6.21"/>
        <n v="18.649999999999999"/>
        <n v="82.8"/>
        <n v="56.83"/>
        <n v="29.14"/>
        <n v="11.26"/>
        <n v="5.63"/>
        <n v="2.56"/>
        <n v="3.57"/>
        <n v="62.01"/>
        <n v="26.23"/>
        <n v="43.36"/>
        <n v="46.2"/>
        <n v="18.88"/>
        <n v="16.920000000000002"/>
        <n v="46.26"/>
        <n v="27.88"/>
        <n v="30.97"/>
        <n v="45.52"/>
        <n v="1.76"/>
        <n v="31.06"/>
        <n v="13.6"/>
        <n v="25.09"/>
        <n v="20.75"/>
        <n v="17.850000000000001"/>
        <n v="36.67"/>
        <n v="12"/>
        <n v="25.82"/>
        <n v="40"/>
        <n v="52.49"/>
        <n v="4.09"/>
        <n v="26.67"/>
        <n v="46.04"/>
        <n v="40.6"/>
        <n v="14.55"/>
        <n v="2.61"/>
        <n v="48.03"/>
        <n v="33.6"/>
        <n v="100"/>
        <n v="2.7"/>
        <n v="19"/>
        <n v="33.39"/>
        <n v="18.93"/>
      </sharedItems>
    </cacheField>
    <cacheField name="Coût traction au kilo facturé2" numFmtId="167">
      <sharedItems containsMixedTypes="1" containsNumber="1" minValue="0" maxValue="0.66"/>
    </cacheField>
    <cacheField name="Coût réel2" numFmtId="167">
      <sharedItems containsBlank="1" containsMixedTypes="1" containsNumber="1" minValue="0" maxValue="434.7"/>
    </cacheField>
    <cacheField name="Coût traction au kilo réel2" numFmtId="167">
      <sharedItems containsMixedTypes="1" containsNumber="1" minValue="0" maxValue="0.39000000000000007"/>
    </cacheField>
    <cacheField name="Contrôle des écart de coût traction RETOUR" numFmtId="8">
      <sharedItems containsMixedTypes="1" containsNumber="1" minValue="-434.7" maxValue="374.63"/>
    </cacheField>
    <cacheField name="Ecart positif ou négatif2" numFmtId="167">
      <sharedItems/>
    </cacheField>
    <cacheField name="Contrôle des écart de coût  VA1" numFmtId="167">
      <sharedItems containsMixedTypes="1" containsNumber="1" minValue="-1054.32" maxValue="6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99">
  <r>
    <x v="0"/>
    <n v="14"/>
    <x v="0"/>
    <x v="0"/>
    <n v="0"/>
    <n v="30.6"/>
    <n v="0.17"/>
    <n v="-30.6"/>
    <x v="0"/>
    <x v="0"/>
    <n v="0.17"/>
    <n v="30.6"/>
    <n v="0.17"/>
    <n v="0"/>
    <s v="Pas d'écart"/>
    <e v="#REF!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2"/>
    <n v="59"/>
    <x v="3"/>
    <x v="0"/>
    <n v="0"/>
    <n v="0"/>
    <n v="0"/>
    <n v="0"/>
    <x v="1"/>
    <x v="2"/>
    <n v="0.18185714285714286"/>
    <n v="0"/>
    <n v="0"/>
    <n v="38.19"/>
    <s v="Ecart positif"/>
    <n v="0"/>
  </r>
  <r>
    <x v="0"/>
    <n v="67"/>
    <x v="4"/>
    <x v="0"/>
    <n v="0"/>
    <n v="8.8000000000000007"/>
    <n v="0.08"/>
    <n v="-8.8000000000000007"/>
    <x v="0"/>
    <x v="1"/>
    <n v="0"/>
    <n v="8.8000000000000007"/>
    <n v="0.08"/>
    <n v="-8.8000000000000007"/>
    <s v="Ecart négatif"/>
    <n v="56.37"/>
  </r>
  <r>
    <x v="3"/>
    <n v="56"/>
    <x v="5"/>
    <x v="0"/>
    <n v="0"/>
    <n v="2.7"/>
    <n v="0.27"/>
    <n v="-2.7"/>
    <x v="0"/>
    <x v="1"/>
    <n v="0"/>
    <n v="2.7"/>
    <n v="0.27"/>
    <n v="-2.7"/>
    <s v="Ecart négatif"/>
    <n v="3.740000000000002"/>
  </r>
  <r>
    <x v="0"/>
    <n v="14"/>
    <x v="6"/>
    <x v="0"/>
    <n v="0"/>
    <n v="27.200000000000003"/>
    <n v="0.17"/>
    <n v="-27.200000000000003"/>
    <x v="0"/>
    <x v="3"/>
    <n v="0.16362499999999999"/>
    <n v="27.200000000000003"/>
    <n v="0.17"/>
    <n v="-1.0200000000000031"/>
    <s v="Ecart négatif"/>
    <n v="85.09"/>
  </r>
  <r>
    <x v="0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3"/>
    <n v="17"/>
    <x v="7"/>
    <x v="0"/>
    <n v="0"/>
    <n v="6.3"/>
    <n v="0.21"/>
    <n v="-6.3"/>
    <x v="0"/>
    <x v="1"/>
    <n v="0"/>
    <n v="6.3"/>
    <n v="0.21"/>
    <n v="-6.3"/>
    <s v="Ecart négatif"/>
    <n v="21.15"/>
  </r>
  <r>
    <x v="0"/>
    <n v="21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44.77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0"/>
    <n v="77"/>
    <x v="8"/>
    <x v="0"/>
    <n v="0"/>
    <n v="0"/>
    <n v="0"/>
    <n v="0"/>
    <x v="1"/>
    <x v="1"/>
    <n v="0"/>
    <n v="0"/>
    <n v="0"/>
    <n v="0"/>
    <s v="Pas d'écart"/>
    <n v="7.1999999999999957"/>
  </r>
  <r>
    <x v="2"/>
    <n v="33"/>
    <x v="9"/>
    <x v="0"/>
    <n v="0"/>
    <n v="13.600000000000001"/>
    <n v="0.17"/>
    <n v="-13.600000000000001"/>
    <x v="0"/>
    <x v="5"/>
    <n v="0.158"/>
    <n v="13.600000000000001"/>
    <n v="0.17"/>
    <n v="-0.96000000000000085"/>
    <s v="Ecart négatif"/>
    <n v="0"/>
  </r>
  <r>
    <x v="2"/>
    <n v="49"/>
    <x v="9"/>
    <x v="0"/>
    <n v="0"/>
    <n v="0"/>
    <n v="0"/>
    <n v="0"/>
    <x v="1"/>
    <x v="6"/>
    <n v="0.27"/>
    <n v="0"/>
    <n v="0"/>
    <n v="21.6"/>
    <s v="Ecart positif"/>
    <n v="0"/>
  </r>
  <r>
    <x v="2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2"/>
    <n v="27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0"/>
    <n v="48"/>
    <x v="2"/>
    <x v="0"/>
    <n v="0"/>
    <n v="39.200000000000003"/>
    <n v="0.28000000000000003"/>
    <n v="-39.200000000000003"/>
    <x v="0"/>
    <x v="1"/>
    <n v="0"/>
    <n v="39.200000000000003"/>
    <n v="0.28000000000000003"/>
    <n v="-39.200000000000003"/>
    <s v="Ecart négatif"/>
    <n v="78.8"/>
  </r>
  <r>
    <x v="2"/>
    <n v="50"/>
    <x v="10"/>
    <x v="0"/>
    <n v="0"/>
    <n v="25.500000000000004"/>
    <n v="0.17"/>
    <n v="-25.500000000000004"/>
    <x v="0"/>
    <x v="8"/>
    <n v="0.16913333333333333"/>
    <n v="25.500000000000004"/>
    <n v="0.17"/>
    <n v="-0.13000000000000256"/>
    <s v="Ecart négatif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34"/>
    <x v="2"/>
    <x v="0"/>
    <n v="0"/>
    <n v="39.200000000000003"/>
    <n v="0.28000000000000003"/>
    <n v="-39.200000000000003"/>
    <x v="0"/>
    <x v="9"/>
    <n v="0.27171428571428569"/>
    <n v="39.200000000000003"/>
    <n v="0.28000000000000003"/>
    <n v="-1.1600000000000037"/>
    <s v="Ecart négatif"/>
    <n v="15.759999999999998"/>
  </r>
  <r>
    <x v="2"/>
    <n v="69"/>
    <x v="7"/>
    <x v="0"/>
    <n v="0"/>
    <n v="0"/>
    <n v="0"/>
    <n v="0"/>
    <x v="1"/>
    <x v="1"/>
    <n v="0"/>
    <n v="0"/>
    <n v="0"/>
    <n v="0"/>
    <s v="Pas d'écart"/>
    <n v="0"/>
  </r>
  <r>
    <x v="2"/>
    <n v="36"/>
    <x v="12"/>
    <x v="0"/>
    <n v="0"/>
    <n v="4.8"/>
    <n v="0.12"/>
    <n v="-4.8"/>
    <x v="0"/>
    <x v="10"/>
    <n v="0.12"/>
    <n v="4.8"/>
    <n v="0.12"/>
    <n v="0"/>
    <s v="Pas d'écart"/>
    <n v="47.76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10"/>
    <x v="11"/>
    <x v="0"/>
    <n v="0"/>
    <n v="13.8"/>
    <n v="0.23"/>
    <n v="-13.8"/>
    <x v="0"/>
    <x v="1"/>
    <n v="0"/>
    <n v="13.8"/>
    <n v="0.23"/>
    <n v="-13.8"/>
    <s v="Ecart négatif"/>
    <n v="30.849999999999998"/>
  </r>
  <r>
    <x v="5"/>
    <n v="2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30.849999999999998"/>
  </r>
  <r>
    <x v="0"/>
    <n v="77"/>
    <x v="13"/>
    <x v="0"/>
    <n v="0"/>
    <n v="0"/>
    <n v="0"/>
    <n v="0"/>
    <x v="1"/>
    <x v="1"/>
    <n v="0"/>
    <n v="0"/>
    <n v="0"/>
    <n v="0"/>
    <s v="Pas d'écart"/>
    <n v="11.71"/>
  </r>
  <r>
    <x v="2"/>
    <n v="95"/>
    <x v="12"/>
    <x v="0"/>
    <n v="0"/>
    <n v="0"/>
    <n v="0"/>
    <n v="0"/>
    <x v="1"/>
    <x v="1"/>
    <n v="0"/>
    <n v="0"/>
    <n v="0"/>
    <n v="0"/>
    <s v="Pas d'écart"/>
    <n v="0"/>
  </r>
  <r>
    <x v="0"/>
    <n v="75"/>
    <x v="12"/>
    <x v="0"/>
    <n v="0"/>
    <n v="0"/>
    <n v="0"/>
    <n v="0"/>
    <x v="1"/>
    <x v="1"/>
    <n v="0"/>
    <n v="0"/>
    <n v="0"/>
    <n v="0"/>
    <s v="Pas d'écart"/>
    <n v="26.16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11"/>
    <x v="14"/>
    <x v="0"/>
    <n v="0"/>
    <n v="46.8"/>
    <n v="0.36"/>
    <n v="-46.8"/>
    <x v="0"/>
    <x v="1"/>
    <n v="0"/>
    <n v="46.8"/>
    <n v="0.36"/>
    <n v="-46.8"/>
    <s v="Ecart négatif"/>
    <n v="72.88"/>
  </r>
  <r>
    <x v="3"/>
    <n v="77"/>
    <x v="0"/>
    <x v="0"/>
    <n v="0"/>
    <n v="0"/>
    <n v="0"/>
    <n v="0"/>
    <x v="1"/>
    <x v="1"/>
    <n v="0"/>
    <n v="0"/>
    <n v="0"/>
    <n v="0"/>
    <s v="Pas d'écart"/>
    <n v="12.050000000000004"/>
  </r>
  <r>
    <x v="3"/>
    <n v="25"/>
    <x v="7"/>
    <x v="0"/>
    <n v="0"/>
    <n v="7.1999999999999993"/>
    <n v="0.23999999999999996"/>
    <n v="-7.1999999999999993"/>
    <x v="0"/>
    <x v="1"/>
    <n v="0"/>
    <n v="7.1999999999999993"/>
    <n v="0.23999999999999996"/>
    <n v="-7.1999999999999993"/>
    <s v="Ecart négatif"/>
    <n v="3.9299999999999997"/>
  </r>
  <r>
    <x v="2"/>
    <n v="13"/>
    <x v="10"/>
    <x v="0"/>
    <n v="0"/>
    <n v="28.5"/>
    <n v="0.19"/>
    <n v="-28.5"/>
    <x v="0"/>
    <x v="11"/>
    <n v="0.18366666666666667"/>
    <n v="28.5"/>
    <n v="0.19"/>
    <n v="-0.94999999999999929"/>
    <s v="Ecart négatif"/>
    <n v="68.78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30"/>
    <x v="16"/>
    <x v="0"/>
    <n v="0"/>
    <n v="78"/>
    <n v="0.39"/>
    <n v="-78"/>
    <x v="0"/>
    <x v="1"/>
    <n v="0"/>
    <n v="78"/>
    <n v="0.39"/>
    <n v="-78"/>
    <s v="Ecart négatif"/>
    <n v="0"/>
  </r>
  <r>
    <x v="4"/>
    <n v="89"/>
    <x v="12"/>
    <x v="0"/>
    <n v="0"/>
    <n v="9.2000000000000011"/>
    <n v="0.23000000000000004"/>
    <n v="-9.2000000000000011"/>
    <x v="0"/>
    <x v="1"/>
    <n v="0"/>
    <n v="9.2000000000000011"/>
    <n v="0.23000000000000004"/>
    <n v="-9.2000000000000011"/>
    <s v="Ecart négatif"/>
    <n v="0"/>
  </r>
  <r>
    <x v="4"/>
    <n v="57"/>
    <x v="15"/>
    <x v="0"/>
    <n v="0"/>
    <n v="4.8"/>
    <n v="0.24"/>
    <n v="-4.8"/>
    <x v="0"/>
    <x v="1"/>
    <n v="0"/>
    <n v="4.8"/>
    <n v="0.24"/>
    <n v="-4.8"/>
    <s v="Ecart négatif"/>
    <n v="17.32"/>
  </r>
  <r>
    <x v="4"/>
    <n v="34"/>
    <x v="10"/>
    <x v="0"/>
    <n v="0"/>
    <n v="58.5"/>
    <n v="0.39"/>
    <n v="-58.5"/>
    <x v="0"/>
    <x v="1"/>
    <n v="0"/>
    <n v="58.5"/>
    <n v="0.39"/>
    <n v="-58.5"/>
    <s v="Ecart négatif"/>
    <n v="0"/>
  </r>
  <r>
    <x v="4"/>
    <n v="59"/>
    <x v="7"/>
    <x v="0"/>
    <n v="0"/>
    <n v="5.7"/>
    <n v="0.19"/>
    <n v="-5.7"/>
    <x v="0"/>
    <x v="1"/>
    <n v="0"/>
    <n v="5.7"/>
    <n v="0.19"/>
    <n v="-5.7"/>
    <s v="Ecart négatif"/>
    <n v="17.16"/>
  </r>
  <r>
    <x v="3"/>
    <n v="88"/>
    <x v="15"/>
    <x v="0"/>
    <n v="0"/>
    <n v="5.6000000000000005"/>
    <n v="0.28000000000000003"/>
    <n v="-5.6000000000000005"/>
    <x v="0"/>
    <x v="1"/>
    <n v="0"/>
    <n v="5.6000000000000005"/>
    <n v="0.28000000000000003"/>
    <n v="-5.6000000000000005"/>
    <s v="Ecart négatif"/>
    <n v="16.39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5.310000000000002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74"/>
    <x v="17"/>
    <x v="0"/>
    <n v="0"/>
    <n v="0"/>
    <n v="0"/>
    <n v="0"/>
    <x v="1"/>
    <x v="1"/>
    <n v="0"/>
    <n v="0"/>
    <n v="0"/>
    <n v="0"/>
    <s v="Pas d'écart"/>
    <n v="207.06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38"/>
    <x v="2"/>
    <x v="0"/>
    <n v="0"/>
    <n v="0"/>
    <n v="0"/>
    <n v="0"/>
    <x v="1"/>
    <x v="1"/>
    <n v="0"/>
    <n v="0"/>
    <n v="0"/>
    <n v="0"/>
    <s v="Pas d'écart"/>
    <n v="73.41"/>
  </r>
  <r>
    <x v="2"/>
    <n v="4"/>
    <x v="6"/>
    <x v="0"/>
    <n v="0"/>
    <n v="30.4"/>
    <n v="0.19"/>
    <n v="-30.4"/>
    <x v="0"/>
    <x v="12"/>
    <n v="0.17931250000000001"/>
    <n v="30.4"/>
    <n v="0.19"/>
    <n v="-1.7099999999999973"/>
    <s v="Ecart négatif"/>
    <n v="91.69"/>
  </r>
  <r>
    <x v="4"/>
    <n v="60"/>
    <x v="9"/>
    <x v="0"/>
    <n v="0"/>
    <n v="15.2"/>
    <n v="0.19"/>
    <n v="-15.2"/>
    <x v="0"/>
    <x v="1"/>
    <n v="0"/>
    <n v="15.2"/>
    <n v="0.19"/>
    <n v="-15.2"/>
    <s v="Ecart négatif"/>
    <n v="74.47"/>
  </r>
  <r>
    <x v="2"/>
    <n v="88"/>
    <x v="4"/>
    <x v="0"/>
    <n v="0"/>
    <n v="8.8000000000000007"/>
    <n v="0.08"/>
    <n v="-8.8000000000000007"/>
    <x v="0"/>
    <x v="13"/>
    <n v="7.9272727272727272E-2"/>
    <n v="8.8000000000000007"/>
    <n v="0.08"/>
    <n v="-8.0000000000000071E-2"/>
    <s v="Ecart négatif"/>
    <n v="71.81"/>
  </r>
  <r>
    <x v="6"/>
    <n v="11"/>
    <x v="14"/>
    <x v="0"/>
    <n v="0"/>
    <n v="46.8"/>
    <n v="0.36"/>
    <n v="-46.8"/>
    <x v="0"/>
    <x v="1"/>
    <n v="0"/>
    <n v="46.8"/>
    <n v="0.36"/>
    <n v="-46.8"/>
    <s v="Ecart négatif"/>
    <n v="0"/>
  </r>
  <r>
    <x v="0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4"/>
    <n v="92"/>
    <x v="15"/>
    <x v="0"/>
    <n v="0"/>
    <n v="0"/>
    <n v="0"/>
    <n v="0"/>
    <x v="1"/>
    <x v="1"/>
    <n v="0"/>
    <n v="0"/>
    <n v="0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68"/>
    <x v="3"/>
    <x v="0"/>
    <n v="0"/>
    <n v="16.8"/>
    <n v="0.08"/>
    <n v="-16.8"/>
    <x v="0"/>
    <x v="14"/>
    <n v="7.6952380952380953E-2"/>
    <n v="16.8"/>
    <n v="0.08"/>
    <n v="-0.64000000000000057"/>
    <s v="Ecart négatif"/>
    <n v="0"/>
  </r>
  <r>
    <x v="0"/>
    <n v="50"/>
    <x v="2"/>
    <x v="0"/>
    <n v="0"/>
    <n v="23.8"/>
    <n v="0.17"/>
    <n v="-23.8"/>
    <x v="0"/>
    <x v="15"/>
    <n v="0.16028571428571428"/>
    <n v="23.8"/>
    <n v="0.17"/>
    <n v="-1.3599999999999994"/>
    <s v="Ecart négatif"/>
    <n v="78.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4"/>
    <n v="13"/>
    <x v="19"/>
    <x v="0"/>
    <n v="0"/>
    <n v="55.099999999999994"/>
    <n v="0.28999999999999998"/>
    <n v="-55.099999999999994"/>
    <x v="0"/>
    <x v="1"/>
    <n v="0"/>
    <n v="55.099999999999994"/>
    <n v="0.28999999999999998"/>
    <n v="-55.099999999999994"/>
    <s v="Ecart négatif"/>
    <n v="99.88"/>
  </r>
  <r>
    <x v="4"/>
    <n v="78"/>
    <x v="11"/>
    <x v="0"/>
    <n v="0"/>
    <n v="0"/>
    <n v="0"/>
    <n v="0"/>
    <x v="1"/>
    <x v="1"/>
    <n v="0"/>
    <n v="0"/>
    <n v="0"/>
    <n v="0"/>
    <s v="Pas d'écart"/>
    <n v="0"/>
  </r>
  <r>
    <x v="0"/>
    <n v="56"/>
    <x v="2"/>
    <x v="0"/>
    <n v="0"/>
    <n v="0"/>
    <n v="0"/>
    <n v="0"/>
    <x v="1"/>
    <x v="1"/>
    <n v="0"/>
    <n v="0"/>
    <n v="0"/>
    <n v="0"/>
    <s v="Pas d'écart"/>
    <n v="14.68"/>
  </r>
  <r>
    <x v="4"/>
    <n v="35"/>
    <x v="5"/>
    <x v="0"/>
    <n v="0"/>
    <n v="2.7"/>
    <n v="0.27"/>
    <n v="-2.7"/>
    <x v="0"/>
    <x v="1"/>
    <n v="0"/>
    <n v="2.7"/>
    <n v="0.27"/>
    <n v="-2.7"/>
    <s v="Ecart négatif"/>
    <n v="0"/>
  </r>
  <r>
    <x v="4"/>
    <n v="34"/>
    <x v="10"/>
    <x v="0"/>
    <n v="0"/>
    <n v="58.5"/>
    <n v="0.39"/>
    <n v="-58.5"/>
    <x v="0"/>
    <x v="1"/>
    <n v="0"/>
    <n v="58.5"/>
    <n v="0.39"/>
    <n v="-58.5"/>
    <s v="Ecart négatif"/>
    <n v="79.510000000000005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4"/>
    <n v="84"/>
    <x v="2"/>
    <x v="0"/>
    <n v="0"/>
    <n v="40.599999999999994"/>
    <n v="0.28999999999999998"/>
    <n v="-40.599999999999994"/>
    <x v="0"/>
    <x v="1"/>
    <n v="0"/>
    <n v="40.599999999999994"/>
    <n v="0.28999999999999998"/>
    <n v="-40.599999999999994"/>
    <s v="Ecart négatif"/>
    <n v="73.41"/>
  </r>
  <r>
    <x v="3"/>
    <n v="49"/>
    <x v="12"/>
    <x v="0"/>
    <n v="0"/>
    <n v="10.8"/>
    <n v="0.27"/>
    <n v="-10.8"/>
    <x v="0"/>
    <x v="1"/>
    <n v="0"/>
    <n v="10.8"/>
    <n v="0.27"/>
    <n v="-10.8"/>
    <s v="Ecart négatif"/>
    <n v="41.47"/>
  </r>
  <r>
    <x v="2"/>
    <n v="73"/>
    <x v="13"/>
    <x v="0"/>
    <n v="0"/>
    <n v="0"/>
    <n v="0"/>
    <n v="0"/>
    <x v="1"/>
    <x v="1"/>
    <n v="0"/>
    <n v="0"/>
    <n v="0"/>
    <n v="0"/>
    <s v="Pas d'écart"/>
    <n v="103.87"/>
  </r>
  <r>
    <x v="4"/>
    <n v="6"/>
    <x v="16"/>
    <x v="0"/>
    <n v="0"/>
    <n v="60"/>
    <n v="0.3"/>
    <n v="-60"/>
    <x v="0"/>
    <x v="1"/>
    <n v="0"/>
    <n v="60"/>
    <n v="0.3"/>
    <n v="-60"/>
    <s v="Ecart négatif"/>
    <n v="140.4"/>
  </r>
  <r>
    <x v="3"/>
    <n v="63"/>
    <x v="5"/>
    <x v="0"/>
    <n v="0"/>
    <n v="2.9"/>
    <n v="0.28999999999999998"/>
    <n v="-2.9"/>
    <x v="0"/>
    <x v="1"/>
    <n v="0"/>
    <n v="2.9"/>
    <n v="0.28999999999999998"/>
    <n v="-2.9"/>
    <s v="Ecart négatif"/>
    <n v="3.620000000000001"/>
  </r>
  <r>
    <x v="3"/>
    <n v="92"/>
    <x v="3"/>
    <x v="0"/>
    <n v="0"/>
    <n v="0"/>
    <n v="0"/>
    <n v="0"/>
    <x v="1"/>
    <x v="1"/>
    <n v="0"/>
    <n v="0"/>
    <n v="0"/>
    <n v="0"/>
    <s v="Pas d'écart"/>
    <n v="13.129999999999995"/>
  </r>
  <r>
    <x v="4"/>
    <n v="83"/>
    <x v="15"/>
    <x v="0"/>
    <n v="0"/>
    <n v="6"/>
    <n v="0.3"/>
    <n v="-6"/>
    <x v="0"/>
    <x v="1"/>
    <n v="0"/>
    <n v="6"/>
    <n v="0.3"/>
    <n v="-6"/>
    <s v="Ecart négatif"/>
    <n v="0"/>
  </r>
  <r>
    <x v="4"/>
    <n v="62"/>
    <x v="2"/>
    <x v="0"/>
    <n v="0"/>
    <n v="26.6"/>
    <n v="0.19"/>
    <n v="-26.6"/>
    <x v="0"/>
    <x v="1"/>
    <n v="0"/>
    <n v="26.6"/>
    <n v="0.19"/>
    <n v="-26.6"/>
    <s v="Ecart négatif"/>
    <n v="73.41"/>
  </r>
  <r>
    <x v="0"/>
    <n v="77"/>
    <x v="0"/>
    <x v="0"/>
    <n v="0"/>
    <n v="0"/>
    <n v="0"/>
    <n v="0"/>
    <x v="1"/>
    <x v="1"/>
    <n v="0"/>
    <n v="0"/>
    <n v="0"/>
    <n v="0"/>
    <s v="Pas d'écart"/>
    <n v="60.27"/>
  </r>
  <r>
    <x v="2"/>
    <n v="14"/>
    <x v="8"/>
    <x v="0"/>
    <n v="0"/>
    <n v="11.9"/>
    <n v="0.17"/>
    <n v="-11.9"/>
    <x v="0"/>
    <x v="17"/>
    <n v="0.17"/>
    <n v="11.9"/>
    <n v="0.17"/>
    <n v="0"/>
    <s v="Pas d'écart"/>
    <n v="0"/>
  </r>
  <r>
    <x v="2"/>
    <n v="31"/>
    <x v="18"/>
    <x v="0"/>
    <n v="0"/>
    <n v="23.400000000000002"/>
    <n v="0.26"/>
    <n v="-23.400000000000002"/>
    <x v="0"/>
    <x v="18"/>
    <n v="0.22"/>
    <n v="23.400000000000002"/>
    <n v="0.26"/>
    <n v="-3.6000000000000014"/>
    <s v="Ecart négatif"/>
    <n v="0"/>
  </r>
  <r>
    <x v="0"/>
    <n v="34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78.8"/>
  </r>
  <r>
    <x v="3"/>
    <n v="25"/>
    <x v="7"/>
    <x v="0"/>
    <n v="0"/>
    <n v="7.1999999999999993"/>
    <n v="0.23999999999999996"/>
    <n v="-7.1999999999999993"/>
    <x v="0"/>
    <x v="1"/>
    <n v="0"/>
    <n v="7.1999999999999993"/>
    <n v="0.23999999999999996"/>
    <n v="-7.1999999999999993"/>
    <s v="Ecart négatif"/>
    <n v="3.9299999999999997"/>
  </r>
  <r>
    <x v="4"/>
    <n v="83"/>
    <x v="15"/>
    <x v="0"/>
    <n v="0"/>
    <n v="6"/>
    <n v="0.3"/>
    <n v="-6"/>
    <x v="0"/>
    <x v="1"/>
    <n v="0"/>
    <n v="6"/>
    <n v="0.3"/>
    <n v="-6"/>
    <s v="Ecart négatif"/>
    <n v="0"/>
  </r>
  <r>
    <x v="3"/>
    <n v="25"/>
    <x v="7"/>
    <x v="0"/>
    <n v="0"/>
    <n v="7.1999999999999993"/>
    <n v="0.23999999999999996"/>
    <n v="-7.1999999999999993"/>
    <x v="0"/>
    <x v="1"/>
    <n v="0"/>
    <n v="7.1999999999999993"/>
    <n v="0.23999999999999996"/>
    <n v="-7.1999999999999993"/>
    <s v="Ecart négatif"/>
    <n v="3.9299999999999997"/>
  </r>
  <r>
    <x v="0"/>
    <n v="37"/>
    <x v="20"/>
    <x v="0"/>
    <n v="0"/>
    <n v="30"/>
    <n v="0.12"/>
    <n v="-30"/>
    <x v="0"/>
    <x v="20"/>
    <n v="0.12"/>
    <n v="30"/>
    <n v="0.12"/>
    <n v="0"/>
    <s v="Pas d'écart"/>
    <n v="26.22"/>
  </r>
  <r>
    <x v="3"/>
    <n v="27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2"/>
    <n v="72"/>
    <x v="7"/>
    <x v="0"/>
    <n v="0"/>
    <n v="3.5999999999999996"/>
    <n v="0.11999999999999998"/>
    <n v="-3.5999999999999996"/>
    <x v="0"/>
    <x v="21"/>
    <n v="0.12000000000000001"/>
    <n v="3.5999999999999996"/>
    <n v="0.11999999999999998"/>
    <n v="0"/>
    <s v="Pas d'écart"/>
    <n v="15.78"/>
  </r>
  <r>
    <x v="4"/>
    <n v="75"/>
    <x v="19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4"/>
    <n v="19"/>
    <x v="13"/>
    <x v="0"/>
    <n v="0"/>
    <n v="49.3"/>
    <n v="0.28999999999999998"/>
    <n v="-49.3"/>
    <x v="0"/>
    <x v="1"/>
    <n v="0"/>
    <n v="49.3"/>
    <n v="0.28999999999999998"/>
    <n v="-49.3"/>
    <s v="Ecart négatif"/>
    <n v="103.8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19"/>
    <x v="14"/>
    <x v="0"/>
    <n v="0"/>
    <n v="37.699999999999996"/>
    <n v="0.28999999999999998"/>
    <n v="-37.699999999999996"/>
    <x v="0"/>
    <x v="1"/>
    <n v="0"/>
    <n v="37.699999999999996"/>
    <n v="0.28999999999999998"/>
    <n v="-37.699999999999996"/>
    <s v="Ecart négatif"/>
    <n v="78.069999999999993"/>
  </r>
  <r>
    <x v="4"/>
    <n v="83"/>
    <x v="15"/>
    <x v="0"/>
    <n v="0"/>
    <n v="6"/>
    <n v="0.3"/>
    <n v="-6"/>
    <x v="0"/>
    <x v="1"/>
    <n v="0"/>
    <n v="6"/>
    <n v="0.3"/>
    <n v="-6"/>
    <s v="Ecart négatif"/>
    <n v="29.05"/>
  </r>
  <r>
    <x v="4"/>
    <n v="57"/>
    <x v="14"/>
    <x v="0"/>
    <n v="0"/>
    <n v="31.2"/>
    <n v="0.24"/>
    <n v="-31.2"/>
    <x v="0"/>
    <x v="1"/>
    <n v="0"/>
    <n v="31.2"/>
    <n v="0.24"/>
    <n v="-31.2"/>
    <s v="Ecart négatif"/>
    <n v="72.88"/>
  </r>
  <r>
    <x v="2"/>
    <n v="27"/>
    <x v="8"/>
    <x v="0"/>
    <n v="0"/>
    <n v="11.9"/>
    <n v="0.17"/>
    <n v="-11.9"/>
    <x v="0"/>
    <x v="17"/>
    <n v="0.17"/>
    <n v="11.9"/>
    <n v="0.17"/>
    <n v="0"/>
    <s v="Pas d'écart"/>
    <n v="0"/>
  </r>
  <r>
    <x v="2"/>
    <n v="94"/>
    <x v="6"/>
    <x v="0"/>
    <n v="0"/>
    <n v="0"/>
    <n v="0"/>
    <n v="0"/>
    <x v="1"/>
    <x v="1"/>
    <n v="0"/>
    <n v="0"/>
    <n v="0"/>
    <n v="0"/>
    <s v="Pas d'écart"/>
    <n v="56.79"/>
  </r>
  <r>
    <x v="2"/>
    <n v="72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2"/>
    <n v="38"/>
    <x v="6"/>
    <x v="0"/>
    <n v="0"/>
    <n v="0"/>
    <n v="0"/>
    <n v="0"/>
    <x v="1"/>
    <x v="1"/>
    <n v="0"/>
    <n v="0"/>
    <n v="0"/>
    <n v="0"/>
    <s v="Pas d'écart"/>
    <n v="85.09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5"/>
    <n v="82"/>
    <x v="1"/>
    <x v="0"/>
    <n v="0"/>
    <n v="26.4"/>
    <n v="0.22"/>
    <n v="-26.4"/>
    <x v="0"/>
    <x v="23"/>
    <n v="0.28999999999999998"/>
    <n v="26.4"/>
    <n v="0.22"/>
    <n v="8.3999999999999986"/>
    <s v="Ecart positif"/>
    <n v="14.470000000000006"/>
  </r>
  <r>
    <x v="3"/>
    <n v="49"/>
    <x v="14"/>
    <x v="0"/>
    <n v="0"/>
    <n v="35.1"/>
    <n v="0.27"/>
    <n v="-35.1"/>
    <x v="0"/>
    <x v="1"/>
    <n v="0"/>
    <n v="35.1"/>
    <n v="0.27"/>
    <n v="-35.1"/>
    <s v="Ecart négatif"/>
    <n v="72.88"/>
  </r>
  <r>
    <x v="4"/>
    <n v="13"/>
    <x v="14"/>
    <x v="0"/>
    <n v="0"/>
    <n v="37.699999999999996"/>
    <n v="0.28999999999999998"/>
    <n v="-37.699999999999996"/>
    <x v="0"/>
    <x v="1"/>
    <n v="0"/>
    <n v="37.699999999999996"/>
    <n v="0.28999999999999998"/>
    <n v="-37.699999999999996"/>
    <s v="Ecart négatif"/>
    <n v="62.58"/>
  </r>
  <r>
    <x v="2"/>
    <n v="6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6"/>
    <x v="2"/>
    <x v="0"/>
    <n v="0"/>
    <n v="29.4"/>
    <n v="0.21"/>
    <n v="-29.4"/>
    <x v="0"/>
    <x v="24"/>
    <n v="0.20371428571428571"/>
    <n v="29.4"/>
    <n v="0.21"/>
    <n v="-0.87999999999999901"/>
    <s v="Ecart négatif"/>
    <n v="0"/>
  </r>
  <r>
    <x v="2"/>
    <n v="8"/>
    <x v="14"/>
    <x v="0"/>
    <n v="0"/>
    <n v="0"/>
    <n v="0"/>
    <n v="0"/>
    <x v="1"/>
    <x v="1"/>
    <n v="0"/>
    <n v="0"/>
    <n v="0"/>
    <n v="0"/>
    <s v="Pas d'écart"/>
    <n v="0"/>
  </r>
  <r>
    <x v="0"/>
    <n v="6"/>
    <x v="13"/>
    <x v="0"/>
    <n v="0"/>
    <n v="35.699999999999996"/>
    <n v="0.20999999999999996"/>
    <n v="-35.699999999999996"/>
    <x v="0"/>
    <x v="25"/>
    <n v="0.20294117647058824"/>
    <n v="35.699999999999996"/>
    <n v="0.20999999999999996"/>
    <n v="-1.1999999999999957"/>
    <s v="Ecart négatif"/>
    <n v="20.77000000000001"/>
  </r>
  <r>
    <x v="3"/>
    <n v="69"/>
    <x v="15"/>
    <x v="0"/>
    <n v="0"/>
    <n v="5.4"/>
    <n v="0.27"/>
    <n v="-5.4"/>
    <x v="0"/>
    <x v="1"/>
    <n v="0"/>
    <n v="5.4"/>
    <n v="0.27"/>
    <n v="-5.4"/>
    <s v="Ecart négatif"/>
    <n v="3.4700000000000006"/>
  </r>
  <r>
    <x v="3"/>
    <n v="17"/>
    <x v="7"/>
    <x v="0"/>
    <n v="0"/>
    <n v="6.3"/>
    <n v="0.21"/>
    <n v="-6.3"/>
    <x v="0"/>
    <x v="1"/>
    <n v="0"/>
    <n v="6.3"/>
    <n v="0.21"/>
    <n v="-6.3"/>
    <s v="Ecart négatif"/>
    <n v="21.15"/>
  </r>
  <r>
    <x v="4"/>
    <n v="59"/>
    <x v="15"/>
    <x v="0"/>
    <n v="0"/>
    <n v="3.8"/>
    <n v="0.19"/>
    <n v="-3.8"/>
    <x v="0"/>
    <x v="1"/>
    <n v="0"/>
    <n v="3.8"/>
    <n v="0.19"/>
    <n v="-3.8"/>
    <s v="Ecart négatif"/>
    <n v="-44.07"/>
  </r>
  <r>
    <x v="3"/>
    <n v="88"/>
    <x v="15"/>
    <x v="0"/>
    <n v="0"/>
    <n v="5.6000000000000005"/>
    <n v="0.28000000000000003"/>
    <n v="-5.6000000000000005"/>
    <x v="0"/>
    <x v="1"/>
    <n v="0"/>
    <n v="5.6000000000000005"/>
    <n v="0.28000000000000003"/>
    <n v="-5.6000000000000005"/>
    <s v="Ecart négatif"/>
    <n v="16.39"/>
  </r>
  <r>
    <x v="3"/>
    <n v="16"/>
    <x v="19"/>
    <x v="0"/>
    <n v="0"/>
    <n v="39.9"/>
    <n v="0.21"/>
    <n v="-39.9"/>
    <x v="0"/>
    <x v="1"/>
    <n v="0"/>
    <n v="39.9"/>
    <n v="0.21"/>
    <n v="-39.9"/>
    <s v="Ecart négatif"/>
    <n v="128.22"/>
  </r>
  <r>
    <x v="4"/>
    <n v="59"/>
    <x v="6"/>
    <x v="0"/>
    <n v="0"/>
    <n v="30.4"/>
    <n v="0.19"/>
    <n v="-30.4"/>
    <x v="0"/>
    <x v="1"/>
    <n v="0"/>
    <n v="30.4"/>
    <n v="0.19"/>
    <n v="-30.4"/>
    <s v="Ecart négatif"/>
    <n v="76.56"/>
  </r>
  <r>
    <x v="3"/>
    <n v="88"/>
    <x v="15"/>
    <x v="0"/>
    <n v="0"/>
    <n v="5.6000000000000005"/>
    <n v="0.28000000000000003"/>
    <n v="-5.6000000000000005"/>
    <x v="0"/>
    <x v="1"/>
    <n v="0"/>
    <n v="5.6000000000000005"/>
    <n v="0.28000000000000003"/>
    <n v="-5.6000000000000005"/>
    <s v="Ecart négatif"/>
    <n v="16.39"/>
  </r>
  <r>
    <x v="3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6.8599999999999994"/>
  </r>
  <r>
    <x v="4"/>
    <n v="60"/>
    <x v="5"/>
    <x v="0"/>
    <n v="0"/>
    <n v="1.9"/>
    <n v="0.19"/>
    <n v="-1.9"/>
    <x v="0"/>
    <x v="1"/>
    <n v="0"/>
    <n v="1.9"/>
    <n v="0.19"/>
    <n v="-1.9"/>
    <s v="Ecart négatif"/>
    <n v="0"/>
  </r>
  <r>
    <x v="3"/>
    <n v="88"/>
    <x v="15"/>
    <x v="0"/>
    <n v="0"/>
    <n v="5.6000000000000005"/>
    <n v="0.28000000000000003"/>
    <n v="-5.6000000000000005"/>
    <x v="0"/>
    <x v="1"/>
    <n v="0"/>
    <n v="5.6000000000000005"/>
    <n v="0.28000000000000003"/>
    <n v="-5.6000000000000005"/>
    <s v="Ecart négatif"/>
    <n v="16.39"/>
  </r>
  <r>
    <x v="3"/>
    <n v="49"/>
    <x v="18"/>
    <x v="0"/>
    <n v="0"/>
    <n v="24.3"/>
    <n v="0.27"/>
    <n v="-24.3"/>
    <x v="0"/>
    <x v="1"/>
    <n v="0"/>
    <n v="24.3"/>
    <n v="0.27"/>
    <n v="-24.3"/>
    <s v="Ecart négatif"/>
    <n v="70.73"/>
  </r>
  <r>
    <x v="4"/>
    <n v="75"/>
    <x v="4"/>
    <x v="0"/>
    <n v="0"/>
    <n v="0"/>
    <n v="0"/>
    <n v="0"/>
    <x v="1"/>
    <x v="1"/>
    <n v="0"/>
    <n v="0"/>
    <n v="0"/>
    <n v="0"/>
    <s v="Pas d'écart"/>
    <n v="0"/>
  </r>
  <r>
    <x v="3"/>
    <n v="84"/>
    <x v="9"/>
    <x v="0"/>
    <n v="0"/>
    <n v="23.2"/>
    <n v="0.28999999999999998"/>
    <n v="-23.2"/>
    <x v="0"/>
    <x v="1"/>
    <n v="0"/>
    <n v="23.2"/>
    <n v="0.28999999999999998"/>
    <n v="-23.2"/>
    <s v="Ecart négatif"/>
    <n v="70.19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1"/>
    <n v="44"/>
    <x v="1"/>
    <x v="0"/>
    <n v="0"/>
    <n v="32.400000000000006"/>
    <n v="0.27000000000000007"/>
    <n v="-32.400000000000006"/>
    <x v="0"/>
    <x v="1"/>
    <n v="0"/>
    <n v="32.400000000000006"/>
    <n v="0.27000000000000007"/>
    <n v="-32.400000000000006"/>
    <s v="Ecart négatif"/>
    <n v="59.47"/>
  </r>
  <r>
    <x v="1"/>
    <n v="44"/>
    <x v="22"/>
    <x v="0"/>
    <n v="0"/>
    <n v="27"/>
    <n v="0.27"/>
    <n v="-27"/>
    <x v="0"/>
    <x v="1"/>
    <n v="0"/>
    <n v="27"/>
    <n v="0.27"/>
    <n v="-27"/>
    <s v="Ecart négatif"/>
    <n v="53.27"/>
  </r>
  <r>
    <x v="2"/>
    <n v="62"/>
    <x v="20"/>
    <x v="0"/>
    <n v="0"/>
    <n v="0"/>
    <n v="0"/>
    <n v="0"/>
    <x v="1"/>
    <x v="1"/>
    <n v="0"/>
    <n v="0"/>
    <n v="0"/>
    <n v="0"/>
    <s v="Pas d'écart"/>
    <n v="0"/>
  </r>
  <r>
    <x v="2"/>
    <n v="69"/>
    <x v="23"/>
    <x v="0"/>
    <n v="0"/>
    <n v="0"/>
    <n v="0"/>
    <n v="0"/>
    <x v="1"/>
    <x v="26"/>
    <n v="0.26928346456692914"/>
    <n v="0"/>
    <n v="0"/>
    <n v="341.99"/>
    <s v="Ecart positif"/>
    <e v="#N/A"/>
  </r>
  <r>
    <x v="0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7.02000000000001"/>
  </r>
  <r>
    <x v="2"/>
    <n v="1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2"/>
    <n v="1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0"/>
    <n v="37"/>
    <x v="10"/>
    <x v="0"/>
    <n v="0"/>
    <n v="18"/>
    <n v="0.12"/>
    <n v="-18"/>
    <x v="0"/>
    <x v="1"/>
    <n v="0"/>
    <n v="18"/>
    <n v="0.12"/>
    <n v="-18"/>
    <s v="Ecart négatif"/>
    <n v="68.78"/>
  </r>
  <r>
    <x v="5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19.9799999999999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3"/>
    <n v="57"/>
    <x v="15"/>
    <x v="0"/>
    <n v="0"/>
    <n v="4.8"/>
    <n v="0.24"/>
    <n v="-4.8"/>
    <x v="0"/>
    <x v="1"/>
    <n v="0"/>
    <n v="4.8"/>
    <n v="0.24"/>
    <n v="-4.8"/>
    <s v="Ecart négatif"/>
    <n v="17.32"/>
  </r>
  <r>
    <x v="4"/>
    <n v="83"/>
    <x v="15"/>
    <x v="0"/>
    <n v="0"/>
    <n v="6"/>
    <n v="0.3"/>
    <n v="-6"/>
    <x v="0"/>
    <x v="1"/>
    <n v="0"/>
    <n v="6"/>
    <n v="0.3"/>
    <n v="-6"/>
    <s v="Ecart négatif"/>
    <n v="0"/>
  </r>
  <r>
    <x v="0"/>
    <n v="62"/>
    <x v="10"/>
    <x v="0"/>
    <n v="0"/>
    <n v="0"/>
    <n v="0"/>
    <n v="0"/>
    <x v="1"/>
    <x v="1"/>
    <n v="0"/>
    <n v="0"/>
    <n v="0"/>
    <n v="0"/>
    <s v="Pas d'écart"/>
    <n v="14.789999999999992"/>
  </r>
  <r>
    <x v="0"/>
    <n v="62"/>
    <x v="7"/>
    <x v="0"/>
    <n v="0"/>
    <n v="0"/>
    <n v="0"/>
    <n v="0"/>
    <x v="1"/>
    <x v="1"/>
    <n v="0"/>
    <n v="0"/>
    <n v="0"/>
    <n v="0"/>
    <s v="Pas d'écart"/>
    <n v="18.170000000000002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13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3"/>
    <n v="25"/>
    <x v="7"/>
    <x v="0"/>
    <n v="0"/>
    <n v="7.1999999999999993"/>
    <n v="0.23999999999999996"/>
    <n v="-7.1999999999999993"/>
    <x v="0"/>
    <x v="1"/>
    <n v="0"/>
    <n v="7.1999999999999993"/>
    <n v="0.23999999999999996"/>
    <n v="-7.1999999999999993"/>
    <s v="Ecart négatif"/>
    <n v="3.9299999999999997"/>
  </r>
  <r>
    <x v="4"/>
    <n v="83"/>
    <x v="15"/>
    <x v="0"/>
    <n v="0"/>
    <n v="6"/>
    <n v="0.3"/>
    <n v="-6"/>
    <x v="0"/>
    <x v="1"/>
    <n v="0"/>
    <n v="6"/>
    <n v="0.3"/>
    <n v="-6"/>
    <s v="Ecart négatif"/>
    <n v="0"/>
  </r>
  <r>
    <x v="4"/>
    <n v="89"/>
    <x v="2"/>
    <x v="0"/>
    <n v="0"/>
    <n v="32.200000000000003"/>
    <n v="0.23"/>
    <n v="-32.200000000000003"/>
    <x v="0"/>
    <x v="1"/>
    <n v="0"/>
    <n v="32.200000000000003"/>
    <n v="0.23"/>
    <n v="-32.200000000000003"/>
    <s v="Ecart négatif"/>
    <n v="78.8"/>
  </r>
  <r>
    <x v="4"/>
    <n v="82"/>
    <x v="15"/>
    <x v="0"/>
    <n v="0"/>
    <n v="4.4000000000000004"/>
    <n v="0.22000000000000003"/>
    <n v="-4.4000000000000004"/>
    <x v="0"/>
    <x v="1"/>
    <n v="0"/>
    <n v="4.4000000000000004"/>
    <n v="0.22000000000000003"/>
    <n v="-4.4000000000000004"/>
    <s v="Ecart négatif"/>
    <n v="-42.120000000000005"/>
  </r>
  <r>
    <x v="2"/>
    <n v="59"/>
    <x v="6"/>
    <x v="0"/>
    <n v="0"/>
    <n v="0"/>
    <n v="0"/>
    <n v="0"/>
    <x v="1"/>
    <x v="1"/>
    <n v="0"/>
    <n v="0"/>
    <n v="0"/>
    <n v="0"/>
    <s v="Pas d'écart"/>
    <n v="0"/>
  </r>
  <r>
    <x v="3"/>
    <n v="67"/>
    <x v="24"/>
    <x v="0"/>
    <n v="0"/>
    <n v="118.89999999999999"/>
    <n v="0.28999999999999998"/>
    <n v="-118.89999999999999"/>
    <x v="0"/>
    <x v="1"/>
    <n v="0"/>
    <n v="118.89999999999999"/>
    <n v="0.28999999999999998"/>
    <n v="-118.89999999999999"/>
    <s v="Ecart négatif"/>
    <n v="180.23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67"/>
    <x v="7"/>
    <x v="0"/>
    <n v="0"/>
    <n v="2.4"/>
    <n v="0.08"/>
    <n v="-2.4"/>
    <x v="0"/>
    <x v="1"/>
    <n v="0"/>
    <n v="2.4"/>
    <n v="0.08"/>
    <n v="-2.4"/>
    <s v="Ecart négatif"/>
    <n v="3.6799999999999997"/>
  </r>
  <r>
    <x v="3"/>
    <n v="78"/>
    <x v="2"/>
    <x v="0"/>
    <n v="0"/>
    <n v="0"/>
    <n v="0"/>
    <n v="0"/>
    <x v="1"/>
    <x v="1"/>
    <n v="0"/>
    <n v="0"/>
    <n v="0"/>
    <n v="0"/>
    <s v="Pas d'écart"/>
    <n v="10.50999999999999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92"/>
    <x v="25"/>
    <x v="0"/>
    <n v="0"/>
    <n v="0"/>
    <n v="0"/>
    <n v="0"/>
    <x v="1"/>
    <x v="1"/>
    <n v="0"/>
    <n v="0"/>
    <n v="0"/>
    <n v="0"/>
    <s v="Pas d'écart"/>
    <n v="67.569999999999993"/>
  </r>
  <r>
    <x v="0"/>
    <n v="62"/>
    <x v="0"/>
    <x v="0"/>
    <n v="0"/>
    <n v="0"/>
    <n v="0"/>
    <n v="0"/>
    <x v="1"/>
    <x v="1"/>
    <n v="0"/>
    <n v="0"/>
    <n v="0"/>
    <n v="0"/>
    <s v="Pas d'écart"/>
    <n v="21.47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4"/>
    <n v="34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58.26"/>
  </r>
  <r>
    <x v="3"/>
    <n v="49"/>
    <x v="18"/>
    <x v="0"/>
    <n v="0"/>
    <n v="24.3"/>
    <n v="0.27"/>
    <n v="-24.3"/>
    <x v="0"/>
    <x v="1"/>
    <n v="0"/>
    <n v="24.3"/>
    <n v="0.27"/>
    <n v="-24.3"/>
    <s v="Ecart négatif"/>
    <n v="70.73"/>
  </r>
  <r>
    <x v="2"/>
    <n v="49"/>
    <x v="11"/>
    <x v="0"/>
    <n v="0"/>
    <n v="0"/>
    <n v="0"/>
    <n v="0"/>
    <x v="1"/>
    <x v="28"/>
    <n v="0.24033333333333334"/>
    <n v="0"/>
    <n v="0"/>
    <n v="14.42"/>
    <s v="Ecart positif"/>
    <n v="0"/>
  </r>
  <r>
    <x v="0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0"/>
    <n v="69"/>
    <x v="16"/>
    <x v="0"/>
    <n v="0"/>
    <n v="0"/>
    <n v="0"/>
    <n v="0"/>
    <x v="1"/>
    <x v="1"/>
    <n v="0"/>
    <n v="0"/>
    <n v="0"/>
    <n v="0"/>
    <s v="Pas d'écart"/>
    <n v="21.53"/>
  </r>
  <r>
    <x v="3"/>
    <n v="25"/>
    <x v="7"/>
    <x v="0"/>
    <n v="0"/>
    <n v="7.1999999999999993"/>
    <n v="0.23999999999999996"/>
    <n v="-7.1999999999999993"/>
    <x v="0"/>
    <x v="1"/>
    <n v="0"/>
    <n v="7.1999999999999993"/>
    <n v="0.23999999999999996"/>
    <n v="-7.1999999999999993"/>
    <s v="Ecart négatif"/>
    <n v="3.9299999999999997"/>
  </r>
  <r>
    <x v="4"/>
    <n v="76"/>
    <x v="7"/>
    <x v="0"/>
    <n v="0"/>
    <n v="5.1000000000000005"/>
    <n v="0.17"/>
    <n v="-5.1000000000000005"/>
    <x v="0"/>
    <x v="1"/>
    <n v="0"/>
    <n v="5.1000000000000005"/>
    <n v="0.17"/>
    <n v="-5.1000000000000005"/>
    <s v="Ecart négatif"/>
    <n v="17.260000000000002"/>
  </r>
  <r>
    <x v="3"/>
    <n v="84"/>
    <x v="9"/>
    <x v="0"/>
    <n v="0"/>
    <n v="23.2"/>
    <n v="0.28999999999999998"/>
    <n v="-23.2"/>
    <x v="0"/>
    <x v="1"/>
    <n v="0"/>
    <n v="23.2"/>
    <n v="0.28999999999999998"/>
    <n v="-23.2"/>
    <s v="Ecart négatif"/>
    <n v="70.19"/>
  </r>
  <r>
    <x v="0"/>
    <n v="37"/>
    <x v="6"/>
    <x v="0"/>
    <n v="0"/>
    <n v="19.2"/>
    <n v="0.12"/>
    <n v="-19.2"/>
    <x v="0"/>
    <x v="1"/>
    <n v="0"/>
    <n v="19.2"/>
    <n v="0.12"/>
    <n v="-19.2"/>
    <s v="Ecart négatif"/>
    <n v="15.310000000000002"/>
  </r>
  <r>
    <x v="3"/>
    <n v="59"/>
    <x v="5"/>
    <x v="2"/>
    <n v="1E-3"/>
    <n v="1.9"/>
    <n v="0.19"/>
    <n v="-1.89"/>
    <x v="0"/>
    <x v="1"/>
    <n v="0"/>
    <n v="1.9"/>
    <n v="0.19"/>
    <n v="-1.9"/>
    <s v="Ecart négatif"/>
    <n v="3.1899999999999995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78"/>
    <x v="5"/>
    <x v="0"/>
    <n v="0"/>
    <n v="0"/>
    <n v="0"/>
    <n v="0"/>
    <x v="1"/>
    <x v="1"/>
    <n v="0"/>
    <n v="0"/>
    <n v="0"/>
    <n v="0"/>
    <s v="Pas d'écart"/>
    <n v="0"/>
  </r>
  <r>
    <x v="4"/>
    <n v="59"/>
    <x v="5"/>
    <x v="2"/>
    <n v="1E-3"/>
    <n v="1.9"/>
    <n v="0.19"/>
    <n v="-1.89"/>
    <x v="0"/>
    <x v="1"/>
    <n v="0"/>
    <n v="1.9"/>
    <n v="0.19"/>
    <n v="-1.9"/>
    <s v="Ecart négatif"/>
    <n v="0"/>
  </r>
  <r>
    <x v="4"/>
    <n v="59"/>
    <x v="5"/>
    <x v="2"/>
    <n v="1E-3"/>
    <n v="1.9"/>
    <n v="0.19"/>
    <n v="-1.89"/>
    <x v="0"/>
    <x v="1"/>
    <n v="0"/>
    <n v="1.9"/>
    <n v="0.19"/>
    <n v="-1.9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63"/>
    <x v="5"/>
    <x v="3"/>
    <n v="2E-3"/>
    <n v="2.9"/>
    <n v="0.28999999999999998"/>
    <n v="-2.88"/>
    <x v="0"/>
    <x v="1"/>
    <n v="0"/>
    <n v="2.9"/>
    <n v="0.28999999999999998"/>
    <n v="-2.9"/>
    <s v="Ecart négatif"/>
    <n v="3.620000000000001"/>
  </r>
  <r>
    <x v="4"/>
    <n v="29"/>
    <x v="5"/>
    <x v="4"/>
    <n v="4.0000000000000001E-3"/>
    <n v="3.9000000000000004"/>
    <n v="0.39"/>
    <n v="-3.8600000000000003"/>
    <x v="0"/>
    <x v="1"/>
    <n v="0"/>
    <n v="3.9000000000000004"/>
    <n v="0.39"/>
    <n v="-3.9000000000000004"/>
    <s v="Ecart négatif"/>
    <n v="0"/>
  </r>
  <r>
    <x v="4"/>
    <n v="79"/>
    <x v="5"/>
    <x v="5"/>
    <n v="6.0000000000000001E-3"/>
    <n v="2.1"/>
    <n v="0.21000000000000002"/>
    <n v="-2.04"/>
    <x v="0"/>
    <x v="1"/>
    <n v="0"/>
    <n v="2.1"/>
    <n v="0.21000000000000002"/>
    <n v="-2.1"/>
    <s v="Ecart négatif"/>
    <n v="0"/>
  </r>
  <r>
    <x v="4"/>
    <n v="76"/>
    <x v="5"/>
    <x v="5"/>
    <n v="6.0000000000000001E-3"/>
    <n v="1.7000000000000002"/>
    <n v="0.17"/>
    <n v="-1.6400000000000001"/>
    <x v="0"/>
    <x v="1"/>
    <n v="0"/>
    <n v="1.7000000000000002"/>
    <n v="0.17"/>
    <n v="-1.7000000000000002"/>
    <s v="Ecart négatif"/>
    <n v="0"/>
  </r>
  <r>
    <x v="1"/>
    <n v="77"/>
    <x v="26"/>
    <x v="0"/>
    <n v="0"/>
    <n v="0"/>
    <n v="0"/>
    <n v="0"/>
    <x v="1"/>
    <x v="1"/>
    <n v="0"/>
    <n v="0"/>
    <n v="0"/>
    <n v="0"/>
    <s v="Pas d'écart"/>
    <n v="114.75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4"/>
    <n v="68"/>
    <x v="21"/>
    <x v="0"/>
    <e v="#DIV/0!"/>
    <n v="0"/>
    <e v="#DIV/0!"/>
    <n v="0"/>
    <x v="1"/>
    <x v="1"/>
    <e v="#DIV/0!"/>
    <n v="0"/>
    <e v="#DIV/0!"/>
    <n v="0"/>
    <s v="Pas d'écart"/>
    <e v="#N/A"/>
  </r>
  <r>
    <x v="6"/>
    <n v="56"/>
    <x v="21"/>
    <x v="0"/>
    <e v="#DIV/0!"/>
    <n v="0"/>
    <e v="#DIV/0!"/>
    <n v="0"/>
    <x v="1"/>
    <x v="1"/>
    <e v="#DIV/0!"/>
    <n v="0"/>
    <e v="#DIV/0!"/>
    <n v="0"/>
    <s v="Pas d'écart"/>
    <e v="#N/A"/>
  </r>
  <r>
    <x v="3"/>
    <n v="62"/>
    <x v="12"/>
    <x v="6"/>
    <n v="0.19"/>
    <n v="7.6"/>
    <n v="0.19"/>
    <n v="0"/>
    <x v="1"/>
    <x v="1"/>
    <n v="0"/>
    <n v="7.6"/>
    <n v="0.19"/>
    <n v="-7.6"/>
    <s v="Ecart négatif"/>
    <n v="8.2899999999999991"/>
  </r>
  <r>
    <x v="4"/>
    <n v="8"/>
    <x v="5"/>
    <x v="7"/>
    <n v="7.000000000000001E-3"/>
    <n v="1.7999999999999998"/>
    <n v="0.18"/>
    <n v="-1.7299999999999998"/>
    <x v="0"/>
    <x v="1"/>
    <n v="0"/>
    <n v="1.7999999999999998"/>
    <n v="0.18"/>
    <n v="-1.7999999999999998"/>
    <s v="Ecart négatif"/>
    <n v="0"/>
  </r>
  <r>
    <x v="4"/>
    <n v="50"/>
    <x v="5"/>
    <x v="8"/>
    <n v="8.9999999999999993E-3"/>
    <n v="1.7000000000000002"/>
    <n v="0.17"/>
    <n v="-1.61"/>
    <x v="0"/>
    <x v="1"/>
    <n v="0"/>
    <n v="1.7000000000000002"/>
    <n v="0.17"/>
    <n v="-1.7000000000000002"/>
    <s v="Ecart négatif"/>
    <n v="0"/>
  </r>
  <r>
    <x v="2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2"/>
    <n v="22"/>
    <x v="8"/>
    <x v="0"/>
    <n v="0"/>
    <n v="8.4"/>
    <n v="0.12000000000000001"/>
    <n v="-8.4"/>
    <x v="0"/>
    <x v="1"/>
    <n v="0"/>
    <n v="8.4"/>
    <n v="0.12000000000000001"/>
    <n v="-8.4"/>
    <s v="Ecart négatif"/>
    <n v="0"/>
  </r>
  <r>
    <x v="4"/>
    <n v="57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13"/>
    <x v="25"/>
    <x v="0"/>
    <n v="0"/>
    <n v="41.8"/>
    <n v="0.18999999999999997"/>
    <n v="-41.8"/>
    <x v="0"/>
    <x v="1"/>
    <n v="0"/>
    <n v="41.8"/>
    <n v="0.18999999999999997"/>
    <n v="-41.8"/>
    <s v="Ecart négatif"/>
    <n v="23.409999999999997"/>
  </r>
  <r>
    <x v="4"/>
    <n v="90"/>
    <x v="5"/>
    <x v="9"/>
    <n v="0.01"/>
    <n v="2.9"/>
    <n v="0.28999999999999998"/>
    <n v="-2.8"/>
    <x v="0"/>
    <x v="1"/>
    <n v="0"/>
    <n v="2.9"/>
    <n v="0.28999999999999998"/>
    <n v="-2.9"/>
    <s v="Ecart négatif"/>
    <n v="0"/>
  </r>
  <r>
    <x v="4"/>
    <n v="25"/>
    <x v="5"/>
    <x v="9"/>
    <n v="0.01"/>
    <n v="2.4"/>
    <n v="0.24"/>
    <n v="-2.2999999999999998"/>
    <x v="0"/>
    <x v="1"/>
    <n v="0"/>
    <n v="2.4"/>
    <n v="0.24"/>
    <n v="-2.4"/>
    <s v="Ecart négatif"/>
    <n v="0"/>
  </r>
  <r>
    <x v="4"/>
    <n v="21"/>
    <x v="5"/>
    <x v="10"/>
    <n v="1.3000000000000001E-2"/>
    <n v="2.4"/>
    <n v="0.24"/>
    <n v="-2.27"/>
    <x v="0"/>
    <x v="1"/>
    <n v="0"/>
    <n v="2.4"/>
    <n v="0.24"/>
    <n v="-2.4"/>
    <s v="Ecart négatif"/>
    <n v="0"/>
  </r>
  <r>
    <x v="4"/>
    <n v="94"/>
    <x v="6"/>
    <x v="0"/>
    <n v="0"/>
    <n v="0"/>
    <n v="0"/>
    <n v="0"/>
    <x v="1"/>
    <x v="1"/>
    <n v="0"/>
    <n v="0"/>
    <n v="0"/>
    <n v="0"/>
    <s v="Pas d'écart"/>
    <n v="0"/>
  </r>
  <r>
    <x v="4"/>
    <n v="53"/>
    <x v="5"/>
    <x v="11"/>
    <n v="1.4000000000000002E-2"/>
    <n v="2.7"/>
    <n v="0.27"/>
    <n v="-2.56"/>
    <x v="0"/>
    <x v="1"/>
    <n v="0"/>
    <n v="2.7"/>
    <n v="0.27"/>
    <n v="-2.7"/>
    <s v="Ecart négatif"/>
    <n v="0"/>
  </r>
  <r>
    <x v="3"/>
    <n v="69"/>
    <x v="9"/>
    <x v="12"/>
    <n v="0.27"/>
    <n v="21.6"/>
    <n v="0.27"/>
    <n v="0"/>
    <x v="1"/>
    <x v="1"/>
    <n v="0"/>
    <n v="21.6"/>
    <n v="0.27"/>
    <n v="-21.6"/>
    <s v="Ecart négatif"/>
    <n v="9.4100000000000037"/>
  </r>
  <r>
    <x v="2"/>
    <n v="77"/>
    <x v="2"/>
    <x v="0"/>
    <n v="0"/>
    <n v="0"/>
    <n v="0"/>
    <n v="0"/>
    <x v="1"/>
    <x v="1"/>
    <n v="0"/>
    <n v="0"/>
    <n v="0"/>
    <n v="0"/>
    <s v="Pas d'écart"/>
    <n v="0"/>
  </r>
  <r>
    <x v="4"/>
    <n v="51"/>
    <x v="0"/>
    <x v="13"/>
    <n v="0.25"/>
    <n v="45"/>
    <n v="0.25"/>
    <n v="0"/>
    <x v="1"/>
    <x v="1"/>
    <n v="0"/>
    <n v="45"/>
    <n v="0.25"/>
    <n v="-45"/>
    <s v="Ecart négatif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0"/>
    <n v="68"/>
    <x v="15"/>
    <x v="0"/>
    <n v="0"/>
    <n v="1.6"/>
    <n v="0.08"/>
    <n v="-1.6"/>
    <x v="0"/>
    <x v="30"/>
    <n v="0.08"/>
    <n v="1.6"/>
    <n v="0.08"/>
    <n v="0"/>
    <s v="Pas d'écart"/>
    <n v="3.67"/>
  </r>
  <r>
    <x v="4"/>
    <n v="1"/>
    <x v="5"/>
    <x v="11"/>
    <n v="1.4000000000000002E-2"/>
    <n v="2.6"/>
    <n v="0.26"/>
    <n v="-2.46"/>
    <x v="0"/>
    <x v="1"/>
    <n v="0"/>
    <n v="2.6"/>
    <n v="0.26"/>
    <n v="-2.6"/>
    <s v="Ecart négatif"/>
    <n v="0"/>
  </r>
  <r>
    <x v="4"/>
    <n v="63"/>
    <x v="5"/>
    <x v="14"/>
    <n v="1.4999999999999999E-2"/>
    <n v="2.9"/>
    <n v="0.28999999999999998"/>
    <n v="-2.75"/>
    <x v="0"/>
    <x v="1"/>
    <n v="0"/>
    <n v="2.9"/>
    <n v="0.28999999999999998"/>
    <n v="-2.9"/>
    <s v="Ecart négatif"/>
    <n v="0"/>
  </r>
  <r>
    <x v="4"/>
    <n v="35"/>
    <x v="5"/>
    <x v="14"/>
    <n v="1.4999999999999999E-2"/>
    <n v="2.7"/>
    <n v="0.27"/>
    <n v="-2.5500000000000003"/>
    <x v="0"/>
    <x v="1"/>
    <n v="0"/>
    <n v="2.7"/>
    <n v="0.27"/>
    <n v="-2.7"/>
    <s v="Ecart négatif"/>
    <n v="0"/>
  </r>
  <r>
    <x v="3"/>
    <n v="89"/>
    <x v="5"/>
    <x v="15"/>
    <n v="1.7000000000000001E-2"/>
    <n v="2.3000000000000003"/>
    <n v="0.23000000000000004"/>
    <n v="-2.1300000000000003"/>
    <x v="0"/>
    <x v="1"/>
    <n v="0"/>
    <n v="2.3000000000000003"/>
    <n v="0.23000000000000004"/>
    <n v="-2.3000000000000003"/>
    <s v="Ecart négatif"/>
    <n v="3.9799999999999986"/>
  </r>
  <r>
    <x v="4"/>
    <n v="59"/>
    <x v="5"/>
    <x v="15"/>
    <n v="1.7000000000000001E-2"/>
    <n v="1.9"/>
    <n v="0.19"/>
    <n v="-1.73"/>
    <x v="0"/>
    <x v="1"/>
    <n v="0"/>
    <n v="1.9"/>
    <n v="0.19"/>
    <n v="-1.9"/>
    <s v="Ecart négatif"/>
    <n v="0"/>
  </r>
  <r>
    <x v="4"/>
    <n v="49"/>
    <x v="5"/>
    <x v="16"/>
    <n v="1.7999999999999999E-2"/>
    <n v="2.7"/>
    <n v="0.27"/>
    <n v="-2.52"/>
    <x v="0"/>
    <x v="1"/>
    <n v="0"/>
    <n v="2.7"/>
    <n v="0.27"/>
    <n v="-2.7"/>
    <s v="Ecart négatif"/>
    <n v="0"/>
  </r>
  <r>
    <x v="4"/>
    <n v="69"/>
    <x v="5"/>
    <x v="17"/>
    <n v="1.9E-2"/>
    <n v="2.7"/>
    <n v="0.27"/>
    <n v="-2.5100000000000002"/>
    <x v="0"/>
    <x v="1"/>
    <n v="0"/>
    <n v="2.7"/>
    <n v="0.27"/>
    <n v="-2.7"/>
    <s v="Ecart négatif"/>
    <n v="0"/>
  </r>
  <r>
    <x v="4"/>
    <n v="63"/>
    <x v="5"/>
    <x v="18"/>
    <n v="2.3E-2"/>
    <n v="2.9"/>
    <n v="0.28999999999999998"/>
    <n v="-2.67"/>
    <x v="0"/>
    <x v="1"/>
    <n v="0"/>
    <n v="2.9"/>
    <n v="0.28999999999999998"/>
    <n v="-2.9"/>
    <s v="Ecart négatif"/>
    <n v="0"/>
  </r>
  <r>
    <x v="3"/>
    <n v="2"/>
    <x v="5"/>
    <x v="18"/>
    <n v="2.3E-2"/>
    <n v="1.7999999999999998"/>
    <n v="0.18"/>
    <n v="-1.5699999999999998"/>
    <x v="0"/>
    <x v="1"/>
    <n v="0"/>
    <n v="1.7999999999999998"/>
    <n v="0.18"/>
    <n v="-1.7999999999999998"/>
    <s v="Ecart négatif"/>
    <n v="2.92"/>
  </r>
  <r>
    <x v="2"/>
    <n v="7"/>
    <x v="22"/>
    <x v="0"/>
    <n v="0"/>
    <n v="0"/>
    <n v="0"/>
    <n v="0"/>
    <x v="1"/>
    <x v="1"/>
    <n v="0"/>
    <n v="0"/>
    <n v="0"/>
    <n v="0"/>
    <s v="Pas d'écart"/>
    <n v="0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3"/>
    <n v="16"/>
    <x v="5"/>
    <x v="19"/>
    <n v="2.6000000000000002E-2"/>
    <n v="2.1"/>
    <n v="0.21000000000000002"/>
    <n v="-1.84"/>
    <x v="0"/>
    <x v="1"/>
    <n v="0"/>
    <n v="2.1"/>
    <n v="0.21000000000000002"/>
    <n v="-2.1"/>
    <s v="Ecart négatif"/>
    <n v="3.1799999999999997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4"/>
    <n v="69"/>
    <x v="7"/>
    <x v="21"/>
    <n v="0.26999999999999996"/>
    <n v="8.1000000000000014"/>
    <n v="0.27000000000000007"/>
    <n v="0"/>
    <x v="1"/>
    <x v="1"/>
    <n v="0"/>
    <n v="8.1000000000000014"/>
    <n v="0.27000000000000007"/>
    <n v="-8.1000000000000014"/>
    <s v="Ecart négatif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91"/>
    <x v="4"/>
    <x v="0"/>
    <n v="0"/>
    <n v="0"/>
    <n v="0"/>
    <n v="0"/>
    <x v="1"/>
    <x v="1"/>
    <n v="0"/>
    <n v="0"/>
    <n v="0"/>
    <n v="0"/>
    <s v="Pas d'écart"/>
    <n v="0"/>
  </r>
  <r>
    <x v="0"/>
    <n v="57"/>
    <x v="12"/>
    <x v="0"/>
    <n v="0"/>
    <n v="10"/>
    <n v="0.25"/>
    <n v="-10"/>
    <x v="0"/>
    <x v="31"/>
    <n v="0.25"/>
    <n v="10"/>
    <n v="0.25"/>
    <n v="0"/>
    <s v="Pas d'écart"/>
    <n v="8.2899999999999991"/>
  </r>
  <r>
    <x v="2"/>
    <n v="75"/>
    <x v="5"/>
    <x v="0"/>
    <n v="0"/>
    <n v="0"/>
    <n v="0"/>
    <n v="0"/>
    <x v="1"/>
    <x v="1"/>
    <n v="0"/>
    <n v="0"/>
    <n v="0"/>
    <n v="0"/>
    <s v="Pas d'écart"/>
    <n v="0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2"/>
    <n v="15"/>
    <x v="2"/>
    <x v="0"/>
    <n v="0"/>
    <n v="16.8"/>
    <n v="0.12000000000000001"/>
    <n v="-16.8"/>
    <x v="0"/>
    <x v="1"/>
    <n v="0"/>
    <n v="16.8"/>
    <n v="0.12000000000000001"/>
    <n v="-16.8"/>
    <s v="Ecart négatif"/>
    <n v="73.41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0"/>
    <n v="91"/>
    <x v="13"/>
    <x v="0"/>
    <n v="0"/>
    <n v="0"/>
    <n v="0"/>
    <n v="0"/>
    <x v="1"/>
    <x v="1"/>
    <n v="0"/>
    <n v="0"/>
    <n v="0"/>
    <n v="0"/>
    <s v="Pas d'écart"/>
    <n v="11.71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44"/>
    <x v="2"/>
    <x v="0"/>
    <n v="0"/>
    <n v="0"/>
    <n v="0"/>
    <n v="0"/>
    <x v="1"/>
    <x v="1"/>
    <n v="0"/>
    <n v="0"/>
    <n v="0"/>
    <n v="0"/>
    <s v="Pas d'écart"/>
    <n v="0"/>
  </r>
  <r>
    <x v="2"/>
    <n v="6"/>
    <x v="1"/>
    <x v="0"/>
    <n v="0"/>
    <n v="25.2"/>
    <n v="0.21"/>
    <n v="-25.2"/>
    <x v="0"/>
    <x v="33"/>
    <n v="0.19408333333333333"/>
    <n v="25.2"/>
    <n v="0.21"/>
    <n v="-1.9100000000000001"/>
    <s v="Ecart négatif"/>
    <n v="0"/>
  </r>
  <r>
    <x v="0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2"/>
    <n v="83"/>
    <x v="8"/>
    <x v="0"/>
    <n v="0"/>
    <n v="14.7"/>
    <n v="0.21"/>
    <n v="-14.7"/>
    <x v="0"/>
    <x v="1"/>
    <n v="0"/>
    <n v="14.7"/>
    <n v="0.21"/>
    <n v="-14.7"/>
    <s v="Ecart négatif"/>
    <n v="61.48"/>
  </r>
  <r>
    <x v="0"/>
    <n v="63"/>
    <x v="18"/>
    <x v="0"/>
    <n v="0"/>
    <n v="10.799999999999999"/>
    <n v="0.11999999999999998"/>
    <n v="-10.799999999999999"/>
    <x v="0"/>
    <x v="1"/>
    <n v="0"/>
    <n v="10.799999999999999"/>
    <n v="0.11999999999999998"/>
    <n v="-10.799999999999999"/>
    <s v="Ecart négatif"/>
    <n v="50.16"/>
  </r>
  <r>
    <x v="7"/>
    <n v="69"/>
    <x v="6"/>
    <x v="0"/>
    <n v="0"/>
    <n v="43.2"/>
    <n v="0.27"/>
    <n v="-43.2"/>
    <x v="0"/>
    <x v="1"/>
    <n v="0"/>
    <n v="43.2"/>
    <n v="0.27"/>
    <n v="-43.2"/>
    <s v="Ecart négatif"/>
    <n v="8.4900000000000091"/>
  </r>
  <r>
    <x v="0"/>
    <n v="75"/>
    <x v="27"/>
    <x v="0"/>
    <n v="0"/>
    <n v="0"/>
    <n v="0"/>
    <n v="0"/>
    <x v="1"/>
    <x v="1"/>
    <n v="0"/>
    <n v="0"/>
    <n v="0"/>
    <n v="0"/>
    <s v="Pas d'écart"/>
    <n v="6.5100000000000016"/>
  </r>
  <r>
    <x v="0"/>
    <n v="56"/>
    <x v="4"/>
    <x v="0"/>
    <n v="0"/>
    <n v="0"/>
    <n v="0"/>
    <n v="0"/>
    <x v="1"/>
    <x v="1"/>
    <n v="0"/>
    <n v="0"/>
    <n v="0"/>
    <n v="0"/>
    <s v="Pas d'écart"/>
    <n v="14.36"/>
  </r>
  <r>
    <x v="0"/>
    <n v="57"/>
    <x v="19"/>
    <x v="0"/>
    <n v="0"/>
    <n v="47.5"/>
    <n v="0.25"/>
    <n v="-47.5"/>
    <x v="0"/>
    <x v="34"/>
    <n v="0.24210526315789474"/>
    <n v="47.5"/>
    <n v="0.25"/>
    <n v="-1.5"/>
    <s v="Ecart négatif"/>
    <n v="118.48"/>
  </r>
  <r>
    <x v="0"/>
    <n v="4"/>
    <x v="12"/>
    <x v="0"/>
    <n v="0"/>
    <n v="7.6"/>
    <n v="0.19"/>
    <n v="-7.6"/>
    <x v="0"/>
    <x v="1"/>
    <n v="0"/>
    <n v="7.6"/>
    <n v="0.19"/>
    <n v="-7.6"/>
    <s v="Ecart négatif"/>
    <n v="47.76"/>
  </r>
  <r>
    <x v="2"/>
    <n v="4"/>
    <x v="13"/>
    <x v="0"/>
    <n v="0"/>
    <n v="32.299999999999997"/>
    <n v="0.18999999999999997"/>
    <n v="-32.299999999999997"/>
    <x v="0"/>
    <x v="1"/>
    <n v="0"/>
    <n v="32.299999999999997"/>
    <n v="0.18999999999999997"/>
    <n v="-32.299999999999997"/>
    <s v="Ecart négatif"/>
    <n v="103.87"/>
  </r>
  <r>
    <x v="2"/>
    <n v="54"/>
    <x v="8"/>
    <x v="0"/>
    <n v="0"/>
    <n v="17.5"/>
    <n v="0.25"/>
    <n v="-17.5"/>
    <x v="0"/>
    <x v="35"/>
    <n v="0.23671428571428571"/>
    <n v="17.5"/>
    <n v="0.25"/>
    <n v="-0.92999999999999972"/>
    <s v="Ecart négatif"/>
    <n v="0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45"/>
    <x v="2"/>
    <x v="0"/>
    <n v="0"/>
    <n v="16.8"/>
    <n v="0.12000000000000001"/>
    <n v="-16.8"/>
    <x v="0"/>
    <x v="36"/>
    <n v="0.39"/>
    <n v="16.8"/>
    <n v="0.12000000000000001"/>
    <n v="37.799999999999997"/>
    <s v="Ecart positif"/>
    <n v="0"/>
  </r>
  <r>
    <x v="2"/>
    <n v="51"/>
    <x v="15"/>
    <x v="0"/>
    <n v="0"/>
    <n v="5"/>
    <n v="0.25"/>
    <n v="-5"/>
    <x v="0"/>
    <x v="37"/>
    <n v="0.19750000000000001"/>
    <n v="5"/>
    <n v="0.25"/>
    <n v="-1.0499999999999998"/>
    <s v="Ecart négatif"/>
    <n v="0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2"/>
    <n v="75"/>
    <x v="28"/>
    <x v="0"/>
    <n v="0"/>
    <n v="0"/>
    <n v="0"/>
    <n v="0"/>
    <x v="1"/>
    <x v="1"/>
    <n v="0"/>
    <n v="0"/>
    <n v="0"/>
    <n v="0"/>
    <s v="Pas d'écart"/>
    <n v="0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5"/>
    <n v="38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5"/>
    <n v="33"/>
    <x v="11"/>
    <x v="0"/>
    <n v="0"/>
    <n v="12.6"/>
    <n v="0.21"/>
    <n v="-12.6"/>
    <x v="0"/>
    <x v="1"/>
    <n v="0"/>
    <n v="12.6"/>
    <n v="0.21"/>
    <n v="-12.6"/>
    <s v="Ecart négatif"/>
    <n v="15.069999999999997"/>
  </r>
  <r>
    <x v="5"/>
    <n v="1"/>
    <x v="11"/>
    <x v="0"/>
    <n v="0"/>
    <n v="15.600000000000001"/>
    <n v="0.26"/>
    <n v="-15.600000000000001"/>
    <x v="0"/>
    <x v="1"/>
    <n v="0"/>
    <n v="15.600000000000001"/>
    <n v="0.26"/>
    <n v="-15.600000000000001"/>
    <s v="Ecart négatif"/>
    <n v="25.37"/>
  </r>
  <r>
    <x v="0"/>
    <n v="62"/>
    <x v="27"/>
    <x v="0"/>
    <n v="0"/>
    <n v="0"/>
    <n v="0"/>
    <n v="0"/>
    <x v="1"/>
    <x v="38"/>
    <n v="0.16719999999999999"/>
    <n v="0"/>
    <n v="0"/>
    <n v="8.36"/>
    <s v="Ecart positif"/>
    <n v="8.8100000000000023"/>
  </r>
  <r>
    <x v="2"/>
    <n v="27"/>
    <x v="29"/>
    <x v="0"/>
    <n v="0"/>
    <n v="68"/>
    <n v="0.17"/>
    <n v="-68"/>
    <x v="0"/>
    <x v="1"/>
    <n v="0"/>
    <n v="68"/>
    <n v="0.17"/>
    <n v="-68"/>
    <s v="Ecart négatif"/>
    <n v="190.53"/>
  </r>
  <r>
    <x v="0"/>
    <n v="75"/>
    <x v="2"/>
    <x v="0"/>
    <n v="0"/>
    <n v="0"/>
    <n v="0"/>
    <n v="0"/>
    <x v="1"/>
    <x v="1"/>
    <n v="0"/>
    <n v="0"/>
    <n v="0"/>
    <n v="0"/>
    <s v="Pas d'écart"/>
    <n v="52.57"/>
  </r>
  <r>
    <x v="2"/>
    <n v="38"/>
    <x v="14"/>
    <x v="0"/>
    <n v="0"/>
    <n v="0"/>
    <n v="0"/>
    <n v="0"/>
    <x v="1"/>
    <x v="1"/>
    <n v="0"/>
    <n v="0"/>
    <n v="0"/>
    <n v="0"/>
    <s v="Pas d'écart"/>
    <n v="0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0"/>
    <n v="93"/>
    <x v="30"/>
    <x v="0"/>
    <n v="0"/>
    <n v="0"/>
    <n v="0"/>
    <n v="0"/>
    <x v="1"/>
    <x v="1"/>
    <n v="0"/>
    <n v="0"/>
    <n v="0"/>
    <n v="0"/>
    <s v="Pas d'écart"/>
    <e v="#N/A"/>
  </r>
  <r>
    <x v="2"/>
    <n v="22"/>
    <x v="6"/>
    <x v="0"/>
    <n v="0"/>
    <n v="19.2"/>
    <n v="0.12"/>
    <n v="-19.2"/>
    <x v="0"/>
    <x v="1"/>
    <n v="0"/>
    <n v="19.2"/>
    <n v="0.12"/>
    <n v="-19.2"/>
    <s v="Ecart négatif"/>
    <n v="0"/>
  </r>
  <r>
    <x v="0"/>
    <n v="45"/>
    <x v="15"/>
    <x v="0"/>
    <n v="0"/>
    <n v="2.4"/>
    <n v="0.12"/>
    <n v="-2.4"/>
    <x v="0"/>
    <x v="39"/>
    <n v="0.254"/>
    <n v="2.4"/>
    <n v="0.12"/>
    <n v="2.68"/>
    <s v="Ecart positif"/>
    <n v="16.27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0"/>
    <n v="63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92.1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5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13.140000000000008"/>
  </r>
  <r>
    <x v="3"/>
    <n v="59"/>
    <x v="5"/>
    <x v="20"/>
    <n v="2.8000000000000004E-2"/>
    <n v="1.9"/>
    <n v="0.19"/>
    <n v="-1.6199999999999999"/>
    <x v="0"/>
    <x v="1"/>
    <n v="0"/>
    <n v="1.9"/>
    <n v="0.19"/>
    <n v="-1.9"/>
    <s v="Ecart négatif"/>
    <n v="3.1899999999999995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2"/>
    <n v="94"/>
    <x v="0"/>
    <x v="0"/>
    <n v="0"/>
    <n v="0"/>
    <n v="0"/>
    <n v="0"/>
    <x v="1"/>
    <x v="1"/>
    <n v="0"/>
    <n v="0"/>
    <n v="0"/>
    <n v="0"/>
    <s v="Pas d'écart"/>
    <n v="0"/>
  </r>
  <r>
    <x v="4"/>
    <n v="13"/>
    <x v="5"/>
    <x v="22"/>
    <n v="3.3000000000000002E-2"/>
    <n v="2.9"/>
    <n v="0.28999999999999998"/>
    <n v="-2.57"/>
    <x v="0"/>
    <x v="1"/>
    <n v="0"/>
    <n v="2.9"/>
    <n v="0.28999999999999998"/>
    <n v="-2.9"/>
    <s v="Ecart négatif"/>
    <n v="0"/>
  </r>
  <r>
    <x v="2"/>
    <n v="75"/>
    <x v="16"/>
    <x v="0"/>
    <n v="0"/>
    <n v="0"/>
    <n v="0"/>
    <n v="0"/>
    <x v="1"/>
    <x v="1"/>
    <n v="0"/>
    <n v="0"/>
    <n v="0"/>
    <n v="0"/>
    <s v="Pas d'écart"/>
    <n v="0"/>
  </r>
  <r>
    <x v="4"/>
    <n v="67"/>
    <x v="5"/>
    <x v="23"/>
    <n v="3.5999999999999997E-2"/>
    <n v="2.9"/>
    <n v="0.28999999999999998"/>
    <n v="-2.54"/>
    <x v="0"/>
    <x v="1"/>
    <n v="0"/>
    <n v="2.9"/>
    <n v="0.28999999999999998"/>
    <n v="-2.9"/>
    <s v="Ecart négatif"/>
    <n v="0"/>
  </r>
  <r>
    <x v="3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9"/>
    <x v="3"/>
    <x v="0"/>
    <n v="0"/>
    <n v="0"/>
    <n v="0"/>
    <n v="0"/>
    <x v="1"/>
    <x v="1"/>
    <n v="0"/>
    <n v="0"/>
    <n v="0"/>
    <n v="0"/>
    <s v="Pas d'écart"/>
    <n v="22.47"/>
  </r>
  <r>
    <x v="5"/>
    <n v="63"/>
    <x v="4"/>
    <x v="0"/>
    <n v="0"/>
    <n v="31.9"/>
    <n v="0.28999999999999998"/>
    <n v="-31.9"/>
    <x v="0"/>
    <x v="1"/>
    <n v="0"/>
    <n v="31.9"/>
    <n v="0.28999999999999998"/>
    <n v="-31.9"/>
    <s v="Ecart négatif"/>
    <n v="11.269999999999996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8"/>
    <n v="34"/>
    <x v="16"/>
    <x v="0"/>
    <n v="0"/>
    <n v="78"/>
    <n v="0.39"/>
    <n v="-78"/>
    <x v="0"/>
    <x v="1"/>
    <n v="0"/>
    <n v="78"/>
    <n v="0.39"/>
    <n v="-78"/>
    <s v="Ecart négatif"/>
    <n v="0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2"/>
    <n v="13"/>
    <x v="2"/>
    <x v="0"/>
    <n v="0"/>
    <n v="26.6"/>
    <n v="0.19"/>
    <n v="-26.6"/>
    <x v="0"/>
    <x v="16"/>
    <n v="0.186"/>
    <n v="26.6"/>
    <n v="0.19"/>
    <n v="-0.56000000000000227"/>
    <s v="Ecart négatif"/>
    <n v="0"/>
  </r>
  <r>
    <x v="4"/>
    <n v="14"/>
    <x v="5"/>
    <x v="24"/>
    <n v="3.6999999999999998E-2"/>
    <n v="1.7000000000000002"/>
    <n v="0.17"/>
    <n v="-1.33"/>
    <x v="0"/>
    <x v="1"/>
    <n v="0"/>
    <n v="1.7000000000000002"/>
    <n v="0.17"/>
    <n v="-1.7000000000000002"/>
    <s v="Ecart négatif"/>
    <n v="0"/>
  </r>
  <r>
    <x v="4"/>
    <n v="6"/>
    <x v="12"/>
    <x v="25"/>
    <n v="0.3"/>
    <n v="12"/>
    <n v="0.3"/>
    <n v="0"/>
    <x v="1"/>
    <x v="1"/>
    <n v="0"/>
    <n v="12"/>
    <n v="0.3"/>
    <n v="-12"/>
    <s v="Ecart négatif"/>
    <n v="0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2"/>
    <n v="76"/>
    <x v="8"/>
    <x v="0"/>
    <n v="0"/>
    <n v="11.9"/>
    <n v="0.17"/>
    <n v="-11.9"/>
    <x v="0"/>
    <x v="1"/>
    <n v="0"/>
    <n v="11.9"/>
    <n v="0.17"/>
    <n v="-11.9"/>
    <s v="Ecart négatif"/>
    <n v="44.77"/>
  </r>
  <r>
    <x v="4"/>
    <n v="69"/>
    <x v="5"/>
    <x v="26"/>
    <n v="3.9E-2"/>
    <n v="2.7"/>
    <n v="0.27"/>
    <n v="-2.31"/>
    <x v="0"/>
    <x v="1"/>
    <n v="0"/>
    <n v="2.7"/>
    <n v="0.27"/>
    <n v="-2.7"/>
    <s v="Ecart négatif"/>
    <n v="0"/>
  </r>
  <r>
    <x v="4"/>
    <n v="13"/>
    <x v="5"/>
    <x v="27"/>
    <n v="4.1999999999999996E-2"/>
    <n v="2.9"/>
    <n v="0.28999999999999998"/>
    <n v="-2.48"/>
    <x v="0"/>
    <x v="1"/>
    <n v="0"/>
    <n v="2.9"/>
    <n v="0.28999999999999998"/>
    <n v="-2.9"/>
    <s v="Ecart négatif"/>
    <n v="0"/>
  </r>
  <r>
    <x v="4"/>
    <n v="67"/>
    <x v="5"/>
    <x v="27"/>
    <n v="4.1999999999999996E-2"/>
    <n v="2.9"/>
    <n v="0.28999999999999998"/>
    <n v="-2.48"/>
    <x v="0"/>
    <x v="1"/>
    <n v="0"/>
    <n v="2.9"/>
    <n v="0.28999999999999998"/>
    <n v="-2.9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4"/>
    <n v="59"/>
    <x v="5"/>
    <x v="28"/>
    <n v="4.8000000000000001E-2"/>
    <n v="1.9"/>
    <n v="0.19"/>
    <n v="-1.42"/>
    <x v="0"/>
    <x v="1"/>
    <n v="0"/>
    <n v="1.9"/>
    <n v="0.19"/>
    <n v="-1.9"/>
    <s v="Ecart négatif"/>
    <n v="0"/>
  </r>
  <r>
    <x v="2"/>
    <n v="84"/>
    <x v="4"/>
    <x v="0"/>
    <n v="0"/>
    <n v="20.9"/>
    <n v="0.18999999999999997"/>
    <n v="-20.9"/>
    <x v="0"/>
    <x v="18"/>
    <n v="0.18"/>
    <n v="20.9"/>
    <n v="0.18999999999999997"/>
    <n v="-1.0999999999999979"/>
    <s v="Ecart négatif"/>
    <n v="0"/>
  </r>
  <r>
    <x v="0"/>
    <n v="14"/>
    <x v="2"/>
    <x v="0"/>
    <n v="0"/>
    <n v="23.8"/>
    <n v="0.17"/>
    <n v="-23.8"/>
    <x v="0"/>
    <x v="40"/>
    <n v="0.17"/>
    <n v="23.8"/>
    <n v="0.17"/>
    <n v="0"/>
    <s v="Pas d'écart"/>
    <n v="14.68"/>
  </r>
  <r>
    <x v="0"/>
    <n v="27"/>
    <x v="7"/>
    <x v="0"/>
    <n v="0"/>
    <n v="5.1000000000000005"/>
    <n v="0.17"/>
    <n v="-5.1000000000000005"/>
    <x v="0"/>
    <x v="41"/>
    <n v="0.15933333333333335"/>
    <n v="5.1000000000000005"/>
    <n v="0.17"/>
    <n v="-0.32000000000000028"/>
    <s v="Ecart négatif"/>
    <n v="17.260000000000002"/>
  </r>
  <r>
    <x v="4"/>
    <n v="11"/>
    <x v="5"/>
    <x v="29"/>
    <n v="5.6999999999999995E-2"/>
    <n v="3.5999999999999996"/>
    <n v="0.36"/>
    <n v="-3.03"/>
    <x v="0"/>
    <x v="1"/>
    <n v="0"/>
    <n v="3.5999999999999996"/>
    <n v="0.36"/>
    <n v="-3.5999999999999996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3"/>
    <n v="50"/>
    <x v="5"/>
    <x v="30"/>
    <n v="5.7999999999999996E-2"/>
    <n v="1.7000000000000002"/>
    <n v="0.17"/>
    <n v="-1.1200000000000001"/>
    <x v="0"/>
    <x v="1"/>
    <n v="0"/>
    <n v="1.7000000000000002"/>
    <n v="0.17"/>
    <n v="-1.7000000000000002"/>
    <s v="Ecart négatif"/>
    <n v="3.0199999999999996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75"/>
    <x v="11"/>
    <x v="0"/>
    <n v="0"/>
    <n v="0"/>
    <n v="0"/>
    <n v="0"/>
    <x v="1"/>
    <x v="1"/>
    <n v="0"/>
    <n v="0"/>
    <n v="0"/>
    <n v="0"/>
    <s v="Pas d'écart"/>
    <n v="-2.740000000000002"/>
  </r>
  <r>
    <x v="4"/>
    <n v="44"/>
    <x v="5"/>
    <x v="31"/>
    <n v="5.8999999999999997E-2"/>
    <n v="2.7"/>
    <n v="0.27"/>
    <n v="-2.1100000000000003"/>
    <x v="0"/>
    <x v="1"/>
    <n v="0"/>
    <n v="2.7"/>
    <n v="0.27"/>
    <n v="-2.7"/>
    <s v="Ecart négatif"/>
    <n v="0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60"/>
    <x v="12"/>
    <x v="0"/>
    <n v="0"/>
    <n v="0"/>
    <n v="0"/>
    <n v="0"/>
    <x v="1"/>
    <x v="1"/>
    <n v="0"/>
    <n v="0"/>
    <n v="0"/>
    <n v="0"/>
    <s v="Pas d'écart"/>
    <n v="9.5499999999999972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62"/>
    <x v="20"/>
    <x v="0"/>
    <n v="0"/>
    <n v="0"/>
    <n v="0"/>
    <n v="0"/>
    <x v="1"/>
    <x v="1"/>
    <n v="0"/>
    <n v="0"/>
    <n v="0"/>
    <n v="0"/>
    <s v="Pas d'écart"/>
    <n v="0"/>
  </r>
  <r>
    <x v="0"/>
    <n v="8"/>
    <x v="8"/>
    <x v="0"/>
    <n v="0"/>
    <n v="0"/>
    <n v="0"/>
    <n v="0"/>
    <x v="1"/>
    <x v="1"/>
    <n v="0"/>
    <n v="0"/>
    <n v="0"/>
    <n v="0"/>
    <s v="Pas d'écart"/>
    <n v="13.269999999999996"/>
  </r>
  <r>
    <x v="4"/>
    <n v="89"/>
    <x v="5"/>
    <x v="32"/>
    <n v="0.06"/>
    <n v="2.3000000000000003"/>
    <n v="0.23000000000000004"/>
    <n v="-1.7000000000000002"/>
    <x v="0"/>
    <x v="1"/>
    <n v="0"/>
    <n v="2.3000000000000003"/>
    <n v="0.23000000000000004"/>
    <n v="-2.3000000000000003"/>
    <s v="Ecart négatif"/>
    <n v="0"/>
  </r>
  <r>
    <x v="4"/>
    <n v="35"/>
    <x v="5"/>
    <x v="33"/>
    <n v="6.5000000000000002E-2"/>
    <n v="2.7"/>
    <n v="0.27"/>
    <n v="-2.0500000000000003"/>
    <x v="0"/>
    <x v="1"/>
    <n v="0"/>
    <n v="2.7"/>
    <n v="0.27"/>
    <n v="-2.7"/>
    <s v="Ecart négatif"/>
    <n v="0"/>
  </r>
  <r>
    <x v="4"/>
    <n v="26"/>
    <x v="5"/>
    <x v="34"/>
    <n v="9.1999999999999998E-2"/>
    <n v="2.7"/>
    <n v="0.27"/>
    <n v="-1.7800000000000002"/>
    <x v="0"/>
    <x v="1"/>
    <n v="0"/>
    <n v="2.7"/>
    <n v="0.27"/>
    <n v="-2.7"/>
    <s v="Ecart négatif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6"/>
    <x v="5"/>
    <x v="35"/>
    <n v="9.4E-2"/>
    <n v="1.7000000000000002"/>
    <n v="0.17"/>
    <n v="-0.76000000000000023"/>
    <x v="0"/>
    <x v="1"/>
    <n v="0"/>
    <n v="1.7000000000000002"/>
    <n v="0.17"/>
    <n v="-1.7000000000000002"/>
    <s v="Ecart négatif"/>
    <n v="3.2000000000000011"/>
  </r>
  <r>
    <x v="3"/>
    <n v="13"/>
    <x v="5"/>
    <x v="35"/>
    <n v="9.4E-2"/>
    <n v="2.9"/>
    <n v="0.28999999999999998"/>
    <n v="-1.96"/>
    <x v="0"/>
    <x v="1"/>
    <n v="0"/>
    <n v="2.9"/>
    <n v="0.28999999999999998"/>
    <n v="-2.9"/>
    <s v="Ecart négatif"/>
    <n v="3.7800000000000011"/>
  </r>
  <r>
    <x v="3"/>
    <n v="76"/>
    <x v="5"/>
    <x v="35"/>
    <n v="9.4E-2"/>
    <n v="1.7000000000000002"/>
    <n v="0.17"/>
    <n v="-0.76000000000000023"/>
    <x v="0"/>
    <x v="1"/>
    <n v="0"/>
    <n v="1.7000000000000002"/>
    <n v="0.17"/>
    <n v="-1.7000000000000002"/>
    <s v="Ecart négatif"/>
    <n v="3.2000000000000011"/>
  </r>
  <r>
    <x v="2"/>
    <n v="61"/>
    <x v="13"/>
    <x v="0"/>
    <n v="0"/>
    <n v="28.900000000000002"/>
    <n v="0.17"/>
    <n v="-28.900000000000002"/>
    <x v="0"/>
    <x v="42"/>
    <n v="0.16999999999999998"/>
    <n v="28.900000000000002"/>
    <n v="0.17"/>
    <n v="0"/>
    <s v="Pas d'écart"/>
    <n v="0"/>
  </r>
  <r>
    <x v="2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13"/>
    <x v="5"/>
    <x v="35"/>
    <n v="9.4E-2"/>
    <n v="2.9"/>
    <n v="0.28999999999999998"/>
    <n v="-1.96"/>
    <x v="0"/>
    <x v="1"/>
    <n v="0"/>
    <n v="2.9"/>
    <n v="0.28999999999999998"/>
    <n v="-2.9"/>
    <s v="Ecart négatif"/>
    <n v="3.7800000000000011"/>
  </r>
  <r>
    <x v="4"/>
    <n v="76"/>
    <x v="5"/>
    <x v="36"/>
    <n v="9.5000000000000001E-2"/>
    <n v="1.7000000000000002"/>
    <n v="0.17"/>
    <n v="-0.75000000000000022"/>
    <x v="0"/>
    <x v="1"/>
    <n v="0"/>
    <n v="1.7000000000000002"/>
    <n v="0.17"/>
    <n v="-1.7000000000000002"/>
    <s v="Ecart négatif"/>
    <n v="0"/>
  </r>
  <r>
    <x v="3"/>
    <n v="59"/>
    <x v="5"/>
    <x v="37"/>
    <n v="9.7000000000000003E-2"/>
    <n v="1.9"/>
    <n v="0.19"/>
    <n v="-0.92999999999999994"/>
    <x v="0"/>
    <x v="1"/>
    <n v="0"/>
    <n v="1.9"/>
    <n v="0.19"/>
    <n v="-1.9"/>
    <s v="Ecart négatif"/>
    <n v="3.1899999999999995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59"/>
    <x v="5"/>
    <x v="37"/>
    <n v="9.7000000000000003E-2"/>
    <n v="1.9"/>
    <n v="0.19"/>
    <n v="-0.92999999999999994"/>
    <x v="0"/>
    <x v="1"/>
    <n v="0"/>
    <n v="1.9"/>
    <n v="0.19"/>
    <n v="-1.9"/>
    <s v="Ecart négatif"/>
    <n v="3.1899999999999995"/>
  </r>
  <r>
    <x v="3"/>
    <n v="59"/>
    <x v="5"/>
    <x v="37"/>
    <n v="9.7000000000000003E-2"/>
    <n v="1.9"/>
    <n v="0.19"/>
    <n v="-0.92999999999999994"/>
    <x v="0"/>
    <x v="1"/>
    <n v="0"/>
    <n v="1.9"/>
    <n v="0.19"/>
    <n v="-1.9"/>
    <s v="Ecart négatif"/>
    <n v="3.1899999999999995"/>
  </r>
  <r>
    <x v="0"/>
    <n v="62"/>
    <x v="7"/>
    <x v="0"/>
    <n v="0"/>
    <n v="0"/>
    <n v="0"/>
    <n v="0"/>
    <x v="1"/>
    <x v="1"/>
    <n v="0"/>
    <n v="0"/>
    <n v="0"/>
    <n v="0"/>
    <s v="Pas d'écart"/>
    <n v="3.6300000000000026"/>
  </r>
  <r>
    <x v="0"/>
    <n v="94"/>
    <x v="31"/>
    <x v="0"/>
    <n v="0"/>
    <n v="0"/>
    <n v="0"/>
    <n v="0"/>
    <x v="1"/>
    <x v="1"/>
    <n v="0"/>
    <n v="0"/>
    <n v="0"/>
    <n v="0"/>
    <s v="Pas d'écart"/>
    <e v="#N/A"/>
  </r>
  <r>
    <x v="3"/>
    <n v="59"/>
    <x v="5"/>
    <x v="37"/>
    <n v="9.7000000000000003E-2"/>
    <n v="1.9"/>
    <n v="0.19"/>
    <n v="-0.92999999999999994"/>
    <x v="0"/>
    <x v="1"/>
    <n v="0"/>
    <n v="1.9"/>
    <n v="0.19"/>
    <n v="-1.9"/>
    <s v="Ecart négatif"/>
    <n v="3.189999999999999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59"/>
    <x v="12"/>
    <x v="0"/>
    <n v="0"/>
    <n v="0"/>
    <n v="0"/>
    <n v="0"/>
    <x v="1"/>
    <x v="1"/>
    <n v="0"/>
    <n v="0"/>
    <n v="0"/>
    <n v="0"/>
    <s v="Pas d'écart"/>
    <n v="0"/>
  </r>
  <r>
    <x v="0"/>
    <n v="34"/>
    <x v="6"/>
    <x v="0"/>
    <n v="0"/>
    <n v="44.800000000000004"/>
    <n v="0.28000000000000003"/>
    <n v="-44.800000000000004"/>
    <x v="0"/>
    <x v="43"/>
    <n v="0.26424999999999998"/>
    <n v="44.800000000000004"/>
    <n v="0.28000000000000003"/>
    <n v="-2.5200000000000031"/>
    <s v="Ecart négatif"/>
    <n v="18.340000000000003"/>
  </r>
  <r>
    <x v="3"/>
    <n v="59"/>
    <x v="5"/>
    <x v="37"/>
    <n v="9.7000000000000003E-2"/>
    <n v="1.9"/>
    <n v="0.19"/>
    <n v="-0.92999999999999994"/>
    <x v="0"/>
    <x v="1"/>
    <n v="0"/>
    <n v="1.9"/>
    <n v="0.19"/>
    <n v="-1.9"/>
    <s v="Ecart négatif"/>
    <n v="3.1899999999999995"/>
  </r>
  <r>
    <x v="4"/>
    <n v="75"/>
    <x v="14"/>
    <x v="0"/>
    <n v="0"/>
    <n v="0"/>
    <n v="0"/>
    <n v="0"/>
    <x v="1"/>
    <x v="1"/>
    <n v="0"/>
    <n v="0"/>
    <n v="0"/>
    <n v="0"/>
    <s v="Pas d'écart"/>
    <n v="0"/>
  </r>
  <r>
    <x v="3"/>
    <n v="59"/>
    <x v="5"/>
    <x v="37"/>
    <n v="9.7000000000000003E-2"/>
    <n v="1.9"/>
    <n v="0.19"/>
    <n v="-0.92999999999999994"/>
    <x v="0"/>
    <x v="1"/>
    <n v="0"/>
    <n v="1.9"/>
    <n v="0.19"/>
    <n v="-1.9"/>
    <s v="Ecart négatif"/>
    <n v="3.1899999999999995"/>
  </r>
  <r>
    <x v="4"/>
    <n v="67"/>
    <x v="5"/>
    <x v="38"/>
    <n v="0.10100000000000001"/>
    <n v="2.9"/>
    <n v="0.28999999999999998"/>
    <n v="-1.89"/>
    <x v="0"/>
    <x v="1"/>
    <n v="0"/>
    <n v="2.9"/>
    <n v="0.28999999999999998"/>
    <n v="-2.9"/>
    <s v="Ecart négatif"/>
    <n v="-1.0000000000001563E-2"/>
  </r>
  <r>
    <x v="4"/>
    <n v="59"/>
    <x v="15"/>
    <x v="39"/>
    <n v="0.1135"/>
    <n v="3.8"/>
    <n v="0.19"/>
    <n v="-1.5299999999999998"/>
    <x v="0"/>
    <x v="1"/>
    <n v="0"/>
    <n v="3.8"/>
    <n v="0.19"/>
    <n v="-3.8"/>
    <s v="Ecart négatif"/>
    <n v="15.93"/>
  </r>
  <r>
    <x v="3"/>
    <n v="14"/>
    <x v="7"/>
    <x v="40"/>
    <n v="0.11466666666666667"/>
    <n v="5.1000000000000005"/>
    <n v="0.17"/>
    <n v="-1.6600000000000006"/>
    <x v="0"/>
    <x v="1"/>
    <n v="0"/>
    <n v="5.1000000000000005"/>
    <n v="0.17"/>
    <n v="-5.1000000000000005"/>
    <s v="Ecart négatif"/>
    <n v="3.4700000000000006"/>
  </r>
  <r>
    <x v="6"/>
    <n v="59"/>
    <x v="19"/>
    <x v="41"/>
    <n v="0.18557894736842104"/>
    <n v="36.1"/>
    <n v="0.19"/>
    <n v="-0.84000000000000341"/>
    <x v="0"/>
    <x v="1"/>
    <n v="0"/>
    <n v="36.1"/>
    <n v="0.19"/>
    <n v="-36.1"/>
    <s v="Ecart négatif"/>
    <n v="99.88"/>
  </r>
  <r>
    <x v="3"/>
    <n v="14"/>
    <x v="7"/>
    <x v="40"/>
    <n v="0.11466666666666667"/>
    <n v="5.1000000000000005"/>
    <n v="0.17"/>
    <n v="-1.6600000000000006"/>
    <x v="0"/>
    <x v="1"/>
    <n v="0"/>
    <n v="5.1000000000000005"/>
    <n v="0.17"/>
    <n v="-5.1000000000000005"/>
    <s v="Ecart négatif"/>
    <n v="3.4700000000000006"/>
  </r>
  <r>
    <x v="3"/>
    <n v="14"/>
    <x v="7"/>
    <x v="40"/>
    <n v="0.11466666666666667"/>
    <n v="5.1000000000000005"/>
    <n v="0.17"/>
    <n v="-1.6600000000000006"/>
    <x v="0"/>
    <x v="1"/>
    <n v="0"/>
    <n v="5.1000000000000005"/>
    <n v="0.17"/>
    <n v="-5.1000000000000005"/>
    <s v="Ecart négatif"/>
    <n v="3.470000000000000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3"/>
    <n v="14"/>
    <x v="7"/>
    <x v="40"/>
    <n v="0.11466666666666667"/>
    <n v="5.1000000000000005"/>
    <n v="0.17"/>
    <n v="-1.6600000000000006"/>
    <x v="0"/>
    <x v="1"/>
    <n v="0"/>
    <n v="5.1000000000000005"/>
    <n v="0.17"/>
    <n v="-5.1000000000000005"/>
    <s v="Ecart négatif"/>
    <n v="3.4700000000000006"/>
  </r>
  <r>
    <x v="4"/>
    <n v="57"/>
    <x v="5"/>
    <x v="42"/>
    <n v="0.11499999999999999"/>
    <n v="2.4"/>
    <n v="0.24"/>
    <n v="-1.25"/>
    <x v="0"/>
    <x v="1"/>
    <n v="0"/>
    <n v="2.4"/>
    <n v="0.24"/>
    <n v="-2.4"/>
    <s v="Ecart négatif"/>
    <n v="0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3"/>
    <n v="94"/>
    <x v="5"/>
    <x v="0"/>
    <n v="0"/>
    <n v="0"/>
    <n v="0"/>
    <n v="0"/>
    <x v="1"/>
    <x v="1"/>
    <n v="0"/>
    <n v="0"/>
    <n v="0"/>
    <n v="0"/>
    <s v="Pas d'écart"/>
    <n v="3.7100000000000009"/>
  </r>
  <r>
    <x v="3"/>
    <n v="56"/>
    <x v="5"/>
    <x v="43"/>
    <n v="0.123"/>
    <n v="2.7"/>
    <n v="0.27"/>
    <n v="-1.4700000000000002"/>
    <x v="0"/>
    <x v="1"/>
    <n v="0"/>
    <n v="2.7"/>
    <n v="0.27"/>
    <n v="-2.7"/>
    <s v="Ecart négatif"/>
    <n v="3.740000000000002"/>
  </r>
  <r>
    <x v="0"/>
    <n v="34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15.759999999999998"/>
  </r>
  <r>
    <x v="8"/>
    <n v="34"/>
    <x v="4"/>
    <x v="0"/>
    <n v="0"/>
    <n v="42.9"/>
    <n v="0.39"/>
    <n v="-42.9"/>
    <x v="0"/>
    <x v="1"/>
    <n v="0"/>
    <n v="42.9"/>
    <n v="0.39"/>
    <n v="-42.9"/>
    <s v="Ecart négatif"/>
    <n v="0"/>
  </r>
  <r>
    <x v="4"/>
    <n v="14"/>
    <x v="7"/>
    <x v="44"/>
    <n v="0.12666666666666665"/>
    <n v="5.1000000000000005"/>
    <n v="0.17"/>
    <n v="-1.3000000000000007"/>
    <x v="0"/>
    <x v="1"/>
    <n v="0"/>
    <n v="5.1000000000000005"/>
    <n v="0.17"/>
    <n v="-5.1000000000000005"/>
    <s v="Ecart négatif"/>
    <n v="17.34"/>
  </r>
  <r>
    <x v="4"/>
    <n v="14"/>
    <x v="7"/>
    <x v="44"/>
    <n v="0.12666666666666665"/>
    <n v="5.1000000000000005"/>
    <n v="0.17"/>
    <n v="-1.3000000000000007"/>
    <x v="0"/>
    <x v="1"/>
    <n v="0"/>
    <n v="5.1000000000000005"/>
    <n v="0.17"/>
    <n v="-5.1000000000000005"/>
    <s v="Ecart négatif"/>
    <n v="0"/>
  </r>
  <r>
    <x v="0"/>
    <n v="54"/>
    <x v="20"/>
    <x v="0"/>
    <n v="0"/>
    <n v="62.5"/>
    <n v="0.25"/>
    <n v="-62.5"/>
    <x v="0"/>
    <x v="44"/>
    <n v="0.25"/>
    <n v="62.5"/>
    <n v="0.25"/>
    <n v="0"/>
    <s v="Pas d'écart"/>
    <n v="26.22"/>
  </r>
  <r>
    <x v="4"/>
    <n v="2"/>
    <x v="7"/>
    <x v="45"/>
    <n v="0.128"/>
    <n v="5.3999999999999995"/>
    <n v="0.18"/>
    <n v="-1.5599999999999996"/>
    <x v="0"/>
    <x v="1"/>
    <n v="0"/>
    <n v="5.3999999999999995"/>
    <n v="0.18"/>
    <n v="-5.3999999999999995"/>
    <s v="Ecart négatif"/>
    <n v="0"/>
  </r>
  <r>
    <x v="4"/>
    <n v="59"/>
    <x v="15"/>
    <x v="46"/>
    <n v="0.13500000000000001"/>
    <n v="3.8"/>
    <n v="0.19"/>
    <n v="-1.0999999999999996"/>
    <x v="0"/>
    <x v="1"/>
    <n v="0"/>
    <n v="3.8"/>
    <n v="0.19"/>
    <n v="-3.8"/>
    <s v="Ecart négatif"/>
    <n v="0"/>
  </r>
  <r>
    <x v="3"/>
    <n v="61"/>
    <x v="27"/>
    <x v="47"/>
    <n v="0.13619999999999999"/>
    <n v="8.5"/>
    <n v="0.17"/>
    <n v="-1.6900000000000004"/>
    <x v="0"/>
    <x v="1"/>
    <n v="0"/>
    <n v="8.5"/>
    <n v="0.17"/>
    <n v="-8.5"/>
    <s v="Ecart négatif"/>
    <n v="10.030000000000001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14"/>
    <x v="12"/>
    <x v="48"/>
    <n v="0.13799999999999998"/>
    <n v="6.8000000000000007"/>
    <n v="0.17"/>
    <n v="-1.2800000000000011"/>
    <x v="0"/>
    <x v="1"/>
    <n v="0"/>
    <n v="6.8000000000000007"/>
    <n v="0.17"/>
    <n v="-6.8000000000000007"/>
    <s v="Ecart négatif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8"/>
    <n v="59"/>
    <x v="6"/>
    <x v="0"/>
    <n v="0"/>
    <n v="30.4"/>
    <n v="0.19"/>
    <n v="-30.4"/>
    <x v="0"/>
    <x v="1"/>
    <n v="0"/>
    <n v="30.4"/>
    <n v="0.19"/>
    <n v="-30.4"/>
    <s v="Ecart négatif"/>
    <n v="19.770000000000003"/>
  </r>
  <r>
    <x v="4"/>
    <n v="14"/>
    <x v="12"/>
    <x v="48"/>
    <n v="0.13799999999999998"/>
    <n v="6.8000000000000007"/>
    <n v="0.17"/>
    <n v="-1.2800000000000011"/>
    <x v="0"/>
    <x v="1"/>
    <n v="0"/>
    <n v="6.8000000000000007"/>
    <n v="0.17"/>
    <n v="-6.8000000000000007"/>
    <s v="Ecart négatif"/>
    <n v="0"/>
  </r>
  <r>
    <x v="0"/>
    <n v="44"/>
    <x v="20"/>
    <x v="0"/>
    <n v="0"/>
    <n v="0"/>
    <n v="0"/>
    <n v="0"/>
    <x v="1"/>
    <x v="1"/>
    <n v="0"/>
    <n v="0"/>
    <n v="0"/>
    <n v="0"/>
    <s v="Pas d'écart"/>
    <n v="131.1"/>
  </r>
  <r>
    <x v="2"/>
    <n v="77"/>
    <x v="32"/>
    <x v="0"/>
    <n v="0"/>
    <n v="0"/>
    <n v="0"/>
    <n v="0"/>
    <x v="1"/>
    <x v="1"/>
    <n v="0"/>
    <n v="0"/>
    <n v="0"/>
    <n v="0"/>
    <s v="Pas d'écart"/>
    <e v="#N/A"/>
  </r>
  <r>
    <x v="3"/>
    <n v="69"/>
    <x v="5"/>
    <x v="49"/>
    <n v="0.13799999999999998"/>
    <n v="2.7"/>
    <n v="0.27"/>
    <n v="-1.3200000000000003"/>
    <x v="0"/>
    <x v="1"/>
    <n v="0"/>
    <n v="2.7"/>
    <n v="0.27"/>
    <n v="-2.7"/>
    <s v="Ecart négatif"/>
    <n v="3.4700000000000006"/>
  </r>
  <r>
    <x v="4"/>
    <n v="62"/>
    <x v="15"/>
    <x v="50"/>
    <n v="0.13850000000000001"/>
    <n v="3.8"/>
    <n v="0.19"/>
    <n v="-1.0299999999999998"/>
    <x v="0"/>
    <x v="1"/>
    <n v="0"/>
    <n v="3.8"/>
    <n v="0.19"/>
    <n v="-3.8"/>
    <s v="Ecart négatif"/>
    <n v="0"/>
  </r>
  <r>
    <x v="4"/>
    <n v="62"/>
    <x v="15"/>
    <x v="50"/>
    <n v="0.13850000000000001"/>
    <n v="3.8"/>
    <n v="0.19"/>
    <n v="-1.0299999999999998"/>
    <x v="0"/>
    <x v="1"/>
    <n v="0"/>
    <n v="3.8"/>
    <n v="0.19"/>
    <n v="-3.8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2"/>
    <n v="44"/>
    <x v="8"/>
    <x v="0"/>
    <n v="0"/>
    <n v="0"/>
    <n v="0"/>
    <n v="0"/>
    <x v="1"/>
    <x v="1"/>
    <n v="0"/>
    <n v="0"/>
    <n v="0"/>
    <n v="0"/>
    <s v="Pas d'écart"/>
    <n v="0"/>
  </r>
  <r>
    <x v="6"/>
    <n v="76"/>
    <x v="0"/>
    <x v="0"/>
    <n v="0"/>
    <n v="30.6"/>
    <n v="0.17"/>
    <n v="-30.6"/>
    <x v="0"/>
    <x v="1"/>
    <n v="0"/>
    <n v="30.6"/>
    <n v="0.17"/>
    <n v="-30.6"/>
    <s v="Ecart négatif"/>
    <n v="92.1"/>
  </r>
  <r>
    <x v="4"/>
    <n v="50"/>
    <x v="12"/>
    <x v="51"/>
    <n v="0.13950000000000001"/>
    <n v="6.8000000000000007"/>
    <n v="0.17"/>
    <n v="-1.2200000000000006"/>
    <x v="0"/>
    <x v="1"/>
    <n v="0"/>
    <n v="6.8000000000000007"/>
    <n v="0.17"/>
    <n v="-6.8000000000000007"/>
    <s v="Ecart négatif"/>
    <n v="0"/>
  </r>
  <r>
    <x v="2"/>
    <n v="67"/>
    <x v="6"/>
    <x v="0"/>
    <n v="0"/>
    <n v="12.8"/>
    <n v="0.08"/>
    <n v="-12.8"/>
    <x v="0"/>
    <x v="1"/>
    <n v="0"/>
    <n v="12.8"/>
    <n v="0.08"/>
    <n v="-12.8"/>
    <s v="Ecart négatif"/>
    <n v="0"/>
  </r>
  <r>
    <x v="4"/>
    <n v="62"/>
    <x v="7"/>
    <x v="52"/>
    <n v="0.14266666666666666"/>
    <n v="5.7"/>
    <n v="0.19"/>
    <n v="-1.42"/>
    <x v="0"/>
    <x v="1"/>
    <n v="0"/>
    <n v="5.7"/>
    <n v="0.19"/>
    <n v="-5.7"/>
    <s v="Ecart négatif"/>
    <n v="0"/>
  </r>
  <r>
    <x v="4"/>
    <n v="94"/>
    <x v="10"/>
    <x v="0"/>
    <n v="0"/>
    <n v="0"/>
    <n v="0"/>
    <n v="0"/>
    <x v="1"/>
    <x v="1"/>
    <n v="0"/>
    <n v="0"/>
    <n v="0"/>
    <n v="0"/>
    <s v="Pas d'écart"/>
    <n v="0"/>
  </r>
  <r>
    <x v="4"/>
    <n v="94"/>
    <x v="15"/>
    <x v="0"/>
    <n v="0"/>
    <n v="0"/>
    <n v="0"/>
    <n v="0"/>
    <x v="1"/>
    <x v="1"/>
    <n v="0"/>
    <n v="0"/>
    <n v="0"/>
    <n v="0"/>
    <s v="Pas d'écart"/>
    <n v="0"/>
  </r>
  <r>
    <x v="4"/>
    <n v="61"/>
    <x v="11"/>
    <x v="53"/>
    <n v="0.14449999999999999"/>
    <n v="10.200000000000001"/>
    <n v="0.17"/>
    <n v="-1.5300000000000011"/>
    <x v="0"/>
    <x v="1"/>
    <n v="0"/>
    <n v="10.200000000000001"/>
    <n v="0.17"/>
    <n v="-10.200000000000001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77"/>
    <x v="19"/>
    <x v="0"/>
    <n v="0"/>
    <n v="0"/>
    <n v="0"/>
    <n v="0"/>
    <x v="1"/>
    <x v="1"/>
    <n v="0"/>
    <n v="0"/>
    <n v="0"/>
    <n v="0"/>
    <s v="Pas d'écart"/>
    <n v="0"/>
  </r>
  <r>
    <x v="4"/>
    <n v="1"/>
    <x v="5"/>
    <x v="54"/>
    <n v="0.14599999999999999"/>
    <n v="2.6"/>
    <n v="0.26"/>
    <n v="-1.1400000000000001"/>
    <x v="0"/>
    <x v="1"/>
    <n v="0"/>
    <n v="2.6"/>
    <n v="0.26"/>
    <n v="-2.6"/>
    <s v="Ecart négatif"/>
    <n v="0"/>
  </r>
  <r>
    <x v="4"/>
    <n v="60"/>
    <x v="7"/>
    <x v="55"/>
    <n v="0.14633333333333332"/>
    <n v="5.7"/>
    <n v="0.19"/>
    <n v="-1.3100000000000005"/>
    <x v="0"/>
    <x v="1"/>
    <n v="0"/>
    <n v="5.7"/>
    <n v="0.19"/>
    <n v="-5.7"/>
    <s v="Ecart négatif"/>
    <n v="0"/>
  </r>
  <r>
    <x v="4"/>
    <n v="14"/>
    <x v="27"/>
    <x v="56"/>
    <n v="0.14760000000000001"/>
    <n v="8.5"/>
    <n v="0.17"/>
    <n v="-1.1200000000000001"/>
    <x v="0"/>
    <x v="1"/>
    <n v="0"/>
    <n v="8.5"/>
    <n v="0.17"/>
    <n v="-8.5"/>
    <s v="Ecart négatif"/>
    <n v="0"/>
  </r>
  <r>
    <x v="4"/>
    <n v="79"/>
    <x v="7"/>
    <x v="57"/>
    <n v="0.14899999999999999"/>
    <n v="6.3"/>
    <n v="0.21"/>
    <n v="-1.83"/>
    <x v="0"/>
    <x v="1"/>
    <n v="0"/>
    <n v="6.3"/>
    <n v="0.21"/>
    <n v="-6.3"/>
    <s v="Ecart négatif"/>
    <n v="0"/>
  </r>
  <r>
    <x v="4"/>
    <n v="59"/>
    <x v="12"/>
    <x v="58"/>
    <n v="0.14924999999999999"/>
    <n v="7.6"/>
    <n v="0.19"/>
    <n v="-1.63"/>
    <x v="0"/>
    <x v="1"/>
    <n v="0"/>
    <n v="7.6"/>
    <n v="0.19"/>
    <n v="-7.6"/>
    <s v="Ecart négatif"/>
    <n v="0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2"/>
    <n v="26"/>
    <x v="8"/>
    <x v="0"/>
    <n v="0"/>
    <n v="0"/>
    <n v="0"/>
    <n v="0"/>
    <x v="1"/>
    <x v="1"/>
    <n v="0"/>
    <n v="0"/>
    <n v="0"/>
    <n v="0"/>
    <s v="Pas d'écart"/>
    <n v="0"/>
  </r>
  <r>
    <x v="0"/>
    <n v="44"/>
    <x v="9"/>
    <x v="0"/>
    <n v="0"/>
    <n v="0"/>
    <n v="0"/>
    <n v="0"/>
    <x v="1"/>
    <x v="1"/>
    <n v="0"/>
    <n v="0"/>
    <n v="0"/>
    <n v="0"/>
    <s v="Pas d'écart"/>
    <n v="47.06"/>
  </r>
  <r>
    <x v="8"/>
    <n v="77"/>
    <x v="10"/>
    <x v="0"/>
    <n v="0"/>
    <n v="0"/>
    <n v="0"/>
    <n v="0"/>
    <x v="1"/>
    <x v="1"/>
    <n v="0"/>
    <n v="0"/>
    <n v="0"/>
    <n v="0"/>
    <s v="Pas d'écart"/>
    <n v="-18.909999999999997"/>
  </r>
  <r>
    <x v="3"/>
    <n v="57"/>
    <x v="15"/>
    <x v="59"/>
    <n v="0.15"/>
    <n v="4.8"/>
    <n v="0.24"/>
    <n v="-1.7999999999999998"/>
    <x v="0"/>
    <x v="1"/>
    <n v="0"/>
    <n v="4.8"/>
    <n v="0.24"/>
    <n v="-4.8"/>
    <s v="Ecart négatif"/>
    <n v="3.4600000000000009"/>
  </r>
  <r>
    <x v="3"/>
    <n v="54"/>
    <x v="15"/>
    <x v="59"/>
    <n v="0.15"/>
    <n v="5"/>
    <n v="0.25"/>
    <n v="-2"/>
    <x v="0"/>
    <x v="1"/>
    <n v="0"/>
    <n v="5"/>
    <n v="0.25"/>
    <n v="-5"/>
    <s v="Ecart négatif"/>
    <n v="3.2800000000000011"/>
  </r>
  <r>
    <x v="4"/>
    <n v="57"/>
    <x v="15"/>
    <x v="59"/>
    <n v="0.15"/>
    <n v="4.8"/>
    <n v="0.24"/>
    <n v="-1.7999999999999998"/>
    <x v="0"/>
    <x v="1"/>
    <n v="0"/>
    <n v="4.8"/>
    <n v="0.24"/>
    <n v="-4.8"/>
    <s v="Ecart négatif"/>
    <n v="0"/>
  </r>
  <r>
    <x v="4"/>
    <n v="73"/>
    <x v="2"/>
    <x v="60"/>
    <n v="0.26999999999999996"/>
    <n v="37.800000000000004"/>
    <n v="0.27"/>
    <n v="0"/>
    <x v="1"/>
    <x v="1"/>
    <n v="0"/>
    <n v="37.800000000000004"/>
    <n v="0.27"/>
    <n v="-37.800000000000004"/>
    <s v="Ecart négatif"/>
    <n v="0"/>
  </r>
  <r>
    <x v="4"/>
    <n v="55"/>
    <x v="15"/>
    <x v="59"/>
    <n v="0.15"/>
    <n v="5"/>
    <n v="0.25"/>
    <n v="-2"/>
    <x v="0"/>
    <x v="1"/>
    <n v="0"/>
    <n v="5"/>
    <n v="0.25"/>
    <n v="-5"/>
    <s v="Ecart négatif"/>
    <n v="0"/>
  </r>
  <r>
    <x v="4"/>
    <n v="94"/>
    <x v="12"/>
    <x v="0"/>
    <n v="0"/>
    <n v="0"/>
    <n v="0"/>
    <n v="0"/>
    <x v="1"/>
    <x v="1"/>
    <n v="0"/>
    <n v="0"/>
    <n v="0"/>
    <n v="0"/>
    <s v="Pas d'écart"/>
    <n v="0"/>
  </r>
  <r>
    <x v="8"/>
    <n v="44"/>
    <x v="3"/>
    <x v="0"/>
    <n v="0"/>
    <n v="56.7"/>
    <n v="0.27"/>
    <n v="-56.7"/>
    <x v="0"/>
    <x v="1"/>
    <n v="0"/>
    <n v="56.7"/>
    <n v="0.27"/>
    <n v="-56.7"/>
    <s v="Ecart négatif"/>
    <n v="46.680000000000007"/>
  </r>
  <r>
    <x v="4"/>
    <n v="92"/>
    <x v="7"/>
    <x v="0"/>
    <n v="0"/>
    <n v="0"/>
    <n v="0"/>
    <n v="0"/>
    <x v="1"/>
    <x v="1"/>
    <n v="0"/>
    <n v="0"/>
    <n v="0"/>
    <n v="0"/>
    <s v="Pas d'écart"/>
    <n v="0"/>
  </r>
  <r>
    <x v="2"/>
    <n v="50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3"/>
    <n v="54"/>
    <x v="15"/>
    <x v="59"/>
    <n v="0.15"/>
    <n v="5"/>
    <n v="0.25"/>
    <n v="-2"/>
    <x v="0"/>
    <x v="1"/>
    <n v="0"/>
    <n v="5"/>
    <n v="0.25"/>
    <n v="-5"/>
    <s v="Ecart négatif"/>
    <n v="3.2800000000000011"/>
  </r>
  <r>
    <x v="2"/>
    <n v="26"/>
    <x v="17"/>
    <x v="0"/>
    <n v="0"/>
    <n v="0"/>
    <n v="0"/>
    <n v="0"/>
    <x v="1"/>
    <x v="1"/>
    <n v="0"/>
    <n v="0"/>
    <n v="0"/>
    <n v="0"/>
    <s v="Pas d'écart"/>
    <n v="0"/>
  </r>
  <r>
    <x v="2"/>
    <n v="69"/>
    <x v="4"/>
    <x v="0"/>
    <n v="0"/>
    <n v="0"/>
    <n v="0"/>
    <n v="0"/>
    <x v="1"/>
    <x v="1"/>
    <n v="0"/>
    <n v="0"/>
    <n v="0"/>
    <n v="0"/>
    <s v="Pas d'écart"/>
    <n v="0"/>
  </r>
  <r>
    <x v="0"/>
    <n v="57"/>
    <x v="12"/>
    <x v="0"/>
    <n v="0"/>
    <n v="10"/>
    <n v="0.25"/>
    <n v="-10"/>
    <x v="0"/>
    <x v="45"/>
    <n v="0.23250000000000001"/>
    <n v="10"/>
    <n v="0.25"/>
    <n v="-0.69999999999999929"/>
    <s v="Ecart négatif"/>
    <n v="8.2899999999999991"/>
  </r>
  <r>
    <x v="0"/>
    <n v="51"/>
    <x v="12"/>
    <x v="0"/>
    <n v="0"/>
    <n v="10"/>
    <n v="0.25"/>
    <n v="-10"/>
    <x v="0"/>
    <x v="46"/>
    <n v="0.20624999999999999"/>
    <n v="10"/>
    <n v="0.25"/>
    <n v="-1.75"/>
    <s v="Ecart négatif"/>
    <n v="47.76"/>
  </r>
  <r>
    <x v="0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2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75"/>
    <x v="7"/>
    <x v="0"/>
    <n v="0"/>
    <n v="0"/>
    <n v="0"/>
    <n v="0"/>
    <x v="1"/>
    <x v="1"/>
    <n v="0"/>
    <n v="0"/>
    <n v="0"/>
    <n v="0"/>
    <s v="Pas d'écart"/>
    <n v="20.87"/>
  </r>
  <r>
    <x v="4"/>
    <n v="14"/>
    <x v="21"/>
    <x v="0"/>
    <e v="#DIV/0!"/>
    <n v="0"/>
    <e v="#DIV/0!"/>
    <n v="0"/>
    <x v="1"/>
    <x v="1"/>
    <e v="#DIV/0!"/>
    <n v="0"/>
    <e v="#DIV/0!"/>
    <n v="0"/>
    <s v="Pas d'écart"/>
    <e v="#N/A"/>
  </r>
  <r>
    <x v="3"/>
    <n v="57"/>
    <x v="15"/>
    <x v="59"/>
    <n v="0.15"/>
    <n v="4.8"/>
    <n v="0.24"/>
    <n v="-1.7999999999999998"/>
    <x v="0"/>
    <x v="1"/>
    <n v="0"/>
    <n v="4.8"/>
    <n v="0.24"/>
    <n v="-4.8"/>
    <s v="Ecart négatif"/>
    <n v="3.4600000000000009"/>
  </r>
  <r>
    <x v="2"/>
    <n v="79"/>
    <x v="6"/>
    <x v="0"/>
    <n v="0"/>
    <n v="19.2"/>
    <n v="0.12"/>
    <n v="-19.2"/>
    <x v="0"/>
    <x v="47"/>
    <n v="0.11325"/>
    <n v="19.2"/>
    <n v="0.12"/>
    <n v="-1.0799999999999983"/>
    <s v="Ecart négatif"/>
    <n v="0"/>
  </r>
  <r>
    <x v="0"/>
    <n v="17"/>
    <x v="13"/>
    <x v="0"/>
    <n v="0"/>
    <n v="28.900000000000002"/>
    <n v="0.17"/>
    <n v="-28.900000000000002"/>
    <x v="0"/>
    <x v="1"/>
    <n v="0"/>
    <n v="28.900000000000002"/>
    <n v="0.17"/>
    <n v="-28.900000000000002"/>
    <s v="Ecart négatif"/>
    <n v="103.87"/>
  </r>
  <r>
    <x v="2"/>
    <n v="6"/>
    <x v="16"/>
    <x v="0"/>
    <n v="0"/>
    <n v="42"/>
    <n v="0.21"/>
    <n v="-42"/>
    <x v="0"/>
    <x v="1"/>
    <n v="0"/>
    <n v="42"/>
    <n v="0.21"/>
    <n v="-42"/>
    <s v="Ecart négatif"/>
    <n v="140.4"/>
  </r>
  <r>
    <x v="2"/>
    <n v="11"/>
    <x v="2"/>
    <x v="0"/>
    <n v="0"/>
    <n v="39.200000000000003"/>
    <n v="0.28000000000000003"/>
    <n v="-39.200000000000003"/>
    <x v="0"/>
    <x v="48"/>
    <n v="0.66"/>
    <n v="39.200000000000003"/>
    <n v="0.28000000000000003"/>
    <n v="53.2"/>
    <s v="Ecart positif"/>
    <n v="73.41"/>
  </r>
  <r>
    <x v="0"/>
    <n v="55"/>
    <x v="4"/>
    <x v="0"/>
    <n v="0"/>
    <n v="27.5"/>
    <n v="0.25"/>
    <n v="-27.5"/>
    <x v="0"/>
    <x v="49"/>
    <n v="0.24781818181818183"/>
    <n v="27.5"/>
    <n v="0.25"/>
    <n v="-0.23999999999999844"/>
    <s v="Ecart négatif"/>
    <n v="71.81"/>
  </r>
  <r>
    <x v="3"/>
    <n v="57"/>
    <x v="15"/>
    <x v="59"/>
    <n v="0.15"/>
    <n v="4.8"/>
    <n v="0.24"/>
    <n v="-1.7999999999999998"/>
    <x v="0"/>
    <x v="1"/>
    <n v="0"/>
    <n v="4.8"/>
    <n v="0.24"/>
    <n v="-4.8"/>
    <s v="Ecart négatif"/>
    <n v="3.4600000000000009"/>
  </r>
  <r>
    <x v="0"/>
    <n v="98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0"/>
    <n v="70"/>
    <x v="2"/>
    <x v="0"/>
    <n v="0"/>
    <n v="16.8"/>
    <n v="0.12000000000000001"/>
    <n v="-16.8"/>
    <x v="0"/>
    <x v="50"/>
    <n v="0.11828571428571427"/>
    <n v="16.8"/>
    <n v="0.12000000000000001"/>
    <n v="-0.24000000000000199"/>
    <s v="Ecart négatif"/>
    <n v="78.8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13.140000000000008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69"/>
    <x v="11"/>
    <x v="61"/>
    <n v="0.23633333333333334"/>
    <n v="16.200000000000003"/>
    <n v="0.27000000000000007"/>
    <n v="-2.0200000000000031"/>
    <x v="0"/>
    <x v="1"/>
    <n v="0"/>
    <n v="16.200000000000003"/>
    <n v="0.27000000000000007"/>
    <n v="-16.200000000000003"/>
    <s v="Ecart négatif"/>
    <n v="42.48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74"/>
    <x v="11"/>
    <x v="0"/>
    <n v="0"/>
    <n v="15.600000000000001"/>
    <n v="0.26"/>
    <n v="-15.600000000000001"/>
    <x v="0"/>
    <x v="1"/>
    <n v="0"/>
    <n v="15.600000000000001"/>
    <n v="0.26"/>
    <n v="-15.600000000000001"/>
    <s v="Ecart négatif"/>
    <n v="30.849999999999998"/>
  </r>
  <r>
    <x v="5"/>
    <n v="54"/>
    <x v="11"/>
    <x v="0"/>
    <n v="0"/>
    <n v="15"/>
    <n v="0.25"/>
    <n v="-15"/>
    <x v="0"/>
    <x v="1"/>
    <n v="0"/>
    <n v="15"/>
    <n v="0.25"/>
    <n v="-15"/>
    <s v="Ecart négatif"/>
    <n v="15.069999999999997"/>
  </r>
  <r>
    <x v="5"/>
    <n v="90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30.849999999999998"/>
  </r>
  <r>
    <x v="2"/>
    <n v="45"/>
    <x v="10"/>
    <x v="0"/>
    <n v="0"/>
    <n v="18"/>
    <n v="0.12"/>
    <n v="-18"/>
    <x v="0"/>
    <x v="51"/>
    <n v="0.26926666666666665"/>
    <n v="18"/>
    <n v="0.12"/>
    <n v="22.39"/>
    <s v="Ecart positif"/>
    <n v="73.959999999999994"/>
  </r>
  <r>
    <x v="4"/>
    <n v="54"/>
    <x v="15"/>
    <x v="59"/>
    <n v="0.15"/>
    <n v="5"/>
    <n v="0.25"/>
    <n v="-2"/>
    <x v="0"/>
    <x v="1"/>
    <n v="0"/>
    <n v="5"/>
    <n v="0.25"/>
    <n v="-5"/>
    <s v="Ecart négatif"/>
    <n v="0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18"/>
    <x v="12"/>
    <x v="0"/>
    <n v="0"/>
    <n v="4.8"/>
    <n v="0.12"/>
    <n v="-4.8"/>
    <x v="0"/>
    <x v="52"/>
    <n v="0.27"/>
    <n v="4.8"/>
    <n v="0.12"/>
    <n v="6.0000000000000009"/>
    <s v="Ecart positif"/>
    <n v="47.76"/>
  </r>
  <r>
    <x v="2"/>
    <n v="37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7.93"/>
  </r>
  <r>
    <x v="3"/>
    <n v="62"/>
    <x v="7"/>
    <x v="62"/>
    <n v="0.15033333333333332"/>
    <n v="5.7"/>
    <n v="0.19"/>
    <n v="-1.1900000000000004"/>
    <x v="0"/>
    <x v="1"/>
    <n v="0"/>
    <n v="5.7"/>
    <n v="0.19"/>
    <n v="-5.7"/>
    <s v="Ecart négatif"/>
    <n v="3.6300000000000026"/>
  </r>
  <r>
    <x v="2"/>
    <n v="42"/>
    <x v="2"/>
    <x v="0"/>
    <n v="0"/>
    <n v="0"/>
    <n v="0"/>
    <n v="0"/>
    <x v="1"/>
    <x v="1"/>
    <n v="0"/>
    <n v="0"/>
    <n v="0"/>
    <n v="0"/>
    <s v="Pas d'écart"/>
    <n v="73.41"/>
  </r>
  <r>
    <x v="2"/>
    <n v="30"/>
    <x v="8"/>
    <x v="0"/>
    <n v="0"/>
    <n v="19.600000000000001"/>
    <n v="0.28000000000000003"/>
    <n v="-19.600000000000001"/>
    <x v="0"/>
    <x v="1"/>
    <n v="0"/>
    <n v="19.600000000000001"/>
    <n v="0.28000000000000003"/>
    <n v="-19.600000000000001"/>
    <s v="Ecart négatif"/>
    <n v="61.48"/>
  </r>
  <r>
    <x v="2"/>
    <n v="50"/>
    <x v="20"/>
    <x v="0"/>
    <n v="0"/>
    <n v="42.5"/>
    <n v="0.17"/>
    <n v="-42.5"/>
    <x v="0"/>
    <x v="1"/>
    <n v="0"/>
    <n v="42.5"/>
    <n v="0.17"/>
    <n v="-42.5"/>
    <s v="Ecart négatif"/>
    <n v="171.22"/>
  </r>
  <r>
    <x v="0"/>
    <n v="39"/>
    <x v="7"/>
    <x v="0"/>
    <n v="0"/>
    <n v="0"/>
    <n v="0"/>
    <n v="0"/>
    <x v="1"/>
    <x v="1"/>
    <n v="0"/>
    <n v="0"/>
    <n v="0"/>
    <n v="0"/>
    <s v="Pas d'écart"/>
    <n v="18.78"/>
  </r>
  <r>
    <x v="0"/>
    <n v="39"/>
    <x v="7"/>
    <x v="0"/>
    <n v="0"/>
    <n v="0"/>
    <n v="0"/>
    <n v="0"/>
    <x v="1"/>
    <x v="1"/>
    <n v="0"/>
    <n v="0"/>
    <n v="0"/>
    <n v="0"/>
    <s v="Pas d'écart"/>
    <n v="18.78"/>
  </r>
  <r>
    <x v="2"/>
    <n v="13"/>
    <x v="20"/>
    <x v="0"/>
    <n v="0"/>
    <n v="47.5"/>
    <n v="0.19"/>
    <n v="-47.5"/>
    <x v="0"/>
    <x v="53"/>
    <n v="0.19"/>
    <n v="47.5"/>
    <n v="0.19"/>
    <n v="0"/>
    <s v="Pas d'écart"/>
    <n v="0"/>
  </r>
  <r>
    <x v="5"/>
    <n v="57"/>
    <x v="4"/>
    <x v="0"/>
    <n v="0"/>
    <n v="26.4"/>
    <n v="0.24"/>
    <n v="-26.4"/>
    <x v="0"/>
    <x v="1"/>
    <n v="0"/>
    <n v="26.4"/>
    <n v="0.24"/>
    <n v="-26.4"/>
    <s v="Ecart négatif"/>
    <n v="14.36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50"/>
    <x v="6"/>
    <x v="0"/>
    <n v="0"/>
    <n v="27.200000000000003"/>
    <n v="0.17"/>
    <n v="-27.200000000000003"/>
    <x v="0"/>
    <x v="54"/>
    <n v="0.16999999999999998"/>
    <n v="27.200000000000003"/>
    <n v="0.17"/>
    <n v="0"/>
    <s v="Pas d'écart"/>
    <n v="91.6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6"/>
    <n v="77"/>
    <x v="12"/>
    <x v="63"/>
    <n v="0.23349999999999999"/>
    <n v="0"/>
    <n v="0"/>
    <n v="9.34"/>
    <x v="2"/>
    <x v="1"/>
    <n v="0"/>
    <n v="0"/>
    <n v="0"/>
    <n v="0"/>
    <s v="Pas d'écart"/>
    <n v="26.16"/>
  </r>
  <r>
    <x v="0"/>
    <n v="34"/>
    <x v="2"/>
    <x v="0"/>
    <n v="0"/>
    <n v="39.200000000000003"/>
    <n v="0.28000000000000003"/>
    <n v="-39.200000000000003"/>
    <x v="0"/>
    <x v="55"/>
    <n v="0.27921428571428575"/>
    <n v="39.200000000000003"/>
    <n v="0.28000000000000003"/>
    <n v="-0.10999999999999943"/>
    <s v="Ecart négatif"/>
    <n v="15.759999999999998"/>
  </r>
  <r>
    <x v="4"/>
    <n v="75"/>
    <x v="11"/>
    <x v="0"/>
    <n v="0"/>
    <n v="0"/>
    <n v="0"/>
    <n v="0"/>
    <x v="1"/>
    <x v="1"/>
    <n v="0"/>
    <n v="0"/>
    <n v="0"/>
    <n v="0"/>
    <s v="Pas d'écart"/>
    <n v="-2.740000000000002"/>
  </r>
  <r>
    <x v="0"/>
    <n v="38"/>
    <x v="14"/>
    <x v="0"/>
    <n v="0"/>
    <n v="0"/>
    <n v="0"/>
    <n v="0"/>
    <x v="1"/>
    <x v="1"/>
    <n v="0"/>
    <n v="0"/>
    <n v="0"/>
    <n v="0"/>
    <s v="Pas d'écart"/>
    <n v="72.88"/>
  </r>
  <r>
    <x v="4"/>
    <n v="56"/>
    <x v="15"/>
    <x v="64"/>
    <n v="0.151"/>
    <n v="5.4"/>
    <n v="0.27"/>
    <n v="-2.3800000000000003"/>
    <x v="0"/>
    <x v="1"/>
    <n v="0"/>
    <n v="5.4"/>
    <n v="0.27"/>
    <n v="-5.4"/>
    <s v="Ecart négatif"/>
    <n v="0"/>
  </r>
  <r>
    <x v="4"/>
    <n v="26"/>
    <x v="5"/>
    <x v="65"/>
    <n v="0.151"/>
    <n v="2.7"/>
    <n v="0.27"/>
    <n v="-1.1900000000000002"/>
    <x v="0"/>
    <x v="1"/>
    <n v="0"/>
    <n v="2.7"/>
    <n v="0.27"/>
    <n v="-2.7"/>
    <s v="Ecart négatif"/>
    <n v="0"/>
  </r>
  <r>
    <x v="2"/>
    <n v="33"/>
    <x v="0"/>
    <x v="0"/>
    <n v="0"/>
    <n v="30.6"/>
    <n v="0.17"/>
    <n v="-30.6"/>
    <x v="0"/>
    <x v="0"/>
    <n v="0.17"/>
    <n v="30.6"/>
    <n v="0.17"/>
    <n v="0"/>
    <s v="Pas d'écart"/>
    <n v="92.1"/>
  </r>
  <r>
    <x v="0"/>
    <n v="14"/>
    <x v="4"/>
    <x v="0"/>
    <n v="0"/>
    <n v="18.700000000000003"/>
    <n v="0.17"/>
    <n v="-18.700000000000003"/>
    <x v="0"/>
    <x v="56"/>
    <n v="0.16318181818181818"/>
    <n v="18.700000000000003"/>
    <n v="0.17"/>
    <n v="-0.75000000000000355"/>
    <s v="Ecart négatif"/>
    <n v="14.36"/>
  </r>
  <r>
    <x v="8"/>
    <n v="25"/>
    <x v="19"/>
    <x v="0"/>
    <n v="0"/>
    <n v="45.6"/>
    <n v="0.24000000000000002"/>
    <n v="-45.6"/>
    <x v="0"/>
    <x v="1"/>
    <n v="0"/>
    <n v="45.6"/>
    <n v="0.24000000000000002"/>
    <n v="-45.6"/>
    <s v="Ecart négatif"/>
    <n v="0"/>
  </r>
  <r>
    <x v="2"/>
    <n v="45"/>
    <x v="2"/>
    <x v="0"/>
    <n v="0"/>
    <n v="16.8"/>
    <n v="0.12000000000000001"/>
    <n v="-16.8"/>
    <x v="0"/>
    <x v="1"/>
    <n v="0"/>
    <n v="16.8"/>
    <n v="0.12000000000000001"/>
    <n v="-16.8"/>
    <s v="Ecart négatif"/>
    <n v="0"/>
  </r>
  <r>
    <x v="4"/>
    <n v="26"/>
    <x v="5"/>
    <x v="65"/>
    <n v="0.151"/>
    <n v="2.7"/>
    <n v="0.27"/>
    <n v="-1.1900000000000002"/>
    <x v="0"/>
    <x v="1"/>
    <n v="0"/>
    <n v="2.7"/>
    <n v="0.27"/>
    <n v="-2.7"/>
    <s v="Ecart négatif"/>
    <n v="0"/>
  </r>
  <r>
    <x v="3"/>
    <n v="75"/>
    <x v="12"/>
    <x v="0"/>
    <n v="0"/>
    <n v="0"/>
    <n v="0"/>
    <n v="0"/>
    <x v="1"/>
    <x v="1"/>
    <n v="0"/>
    <n v="0"/>
    <n v="0"/>
    <n v="0"/>
    <s v="Pas d'écart"/>
    <n v="5.23"/>
  </r>
  <r>
    <x v="0"/>
    <n v="77"/>
    <x v="33"/>
    <x v="0"/>
    <n v="0"/>
    <n v="0"/>
    <n v="0"/>
    <n v="0"/>
    <x v="1"/>
    <x v="1"/>
    <n v="0"/>
    <n v="0"/>
    <n v="0"/>
    <n v="0"/>
    <s v="Pas d'écart"/>
    <n v="7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54"/>
    <x v="15"/>
    <x v="0"/>
    <n v="0"/>
    <n v="5"/>
    <n v="0.25"/>
    <n v="-5"/>
    <x v="0"/>
    <x v="57"/>
    <n v="0.21249999999999999"/>
    <n v="5"/>
    <n v="0.25"/>
    <n v="-0.75"/>
    <s v="Ecart négatif"/>
    <n v="0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2"/>
    <n v="68"/>
    <x v="6"/>
    <x v="0"/>
    <n v="0"/>
    <n v="12.8"/>
    <n v="0.08"/>
    <n v="-12.8"/>
    <x v="0"/>
    <x v="1"/>
    <n v="0"/>
    <n v="12.8"/>
    <n v="0.08"/>
    <n v="-12.8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9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76"/>
    <x v="8"/>
    <x v="66"/>
    <n v="0.15157142857142855"/>
    <n v="11.9"/>
    <n v="0.17"/>
    <n v="-1.2900000000000009"/>
    <x v="0"/>
    <x v="1"/>
    <n v="0"/>
    <n v="11.9"/>
    <n v="0.17"/>
    <n v="-11.9"/>
    <s v="Ecart négatif"/>
    <n v="0"/>
  </r>
  <r>
    <x v="2"/>
    <n v="89"/>
    <x v="13"/>
    <x v="0"/>
    <n v="0"/>
    <n v="20.399999999999999"/>
    <n v="0.12"/>
    <n v="-20.399999999999999"/>
    <x v="0"/>
    <x v="58"/>
    <n v="0.11294117647058823"/>
    <n v="20.399999999999999"/>
    <n v="0.12"/>
    <n v="-1.1999999999999993"/>
    <s v="Ecart négatif"/>
    <n v="0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2"/>
    <n v="80"/>
    <x v="14"/>
    <x v="0"/>
    <n v="0"/>
    <n v="0"/>
    <n v="0"/>
    <n v="0"/>
    <x v="1"/>
    <x v="1"/>
    <n v="0"/>
    <n v="0"/>
    <n v="0"/>
    <n v="0"/>
    <s v="Pas d'écart"/>
    <n v="0"/>
  </r>
  <r>
    <x v="3"/>
    <n v="59"/>
    <x v="27"/>
    <x v="67"/>
    <n v="0.1522"/>
    <n v="9.5"/>
    <n v="0.19"/>
    <n v="-1.8899999999999997"/>
    <x v="0"/>
    <x v="1"/>
    <n v="0"/>
    <n v="9.5"/>
    <n v="0.19"/>
    <n v="-9.5"/>
    <s v="Ecart négatif"/>
    <n v="8.0399999999999991"/>
  </r>
  <r>
    <x v="2"/>
    <n v="62"/>
    <x v="6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5"/>
    <n v="82"/>
    <x v="1"/>
    <x v="68"/>
    <n v="0.22"/>
    <n v="26.4"/>
    <n v="0.22"/>
    <n v="0"/>
    <x v="1"/>
    <x v="1"/>
    <n v="0"/>
    <n v="26.4"/>
    <n v="0.22"/>
    <n v="-26.4"/>
    <s v="Ecart négatif"/>
    <n v="72.34"/>
  </r>
  <r>
    <x v="4"/>
    <n v="14"/>
    <x v="27"/>
    <x v="69"/>
    <n v="0.153"/>
    <n v="8.5"/>
    <n v="0.17"/>
    <n v="-0.84999999999999964"/>
    <x v="0"/>
    <x v="1"/>
    <n v="0"/>
    <n v="8.5"/>
    <n v="0.17"/>
    <n v="-8.5"/>
    <s v="Ecart négatif"/>
    <n v="0"/>
  </r>
  <r>
    <x v="0"/>
    <n v="6"/>
    <x v="27"/>
    <x v="0"/>
    <n v="0"/>
    <n v="10.5"/>
    <n v="0.21"/>
    <n v="-10.5"/>
    <x v="0"/>
    <x v="59"/>
    <n v="0.3"/>
    <n v="10.5"/>
    <n v="0.21"/>
    <n v="4.5"/>
    <s v="Ecart positif"/>
    <n v="10.030000000000001"/>
  </r>
  <r>
    <x v="0"/>
    <n v="6"/>
    <x v="18"/>
    <x v="0"/>
    <n v="0"/>
    <n v="18.899999999999999"/>
    <n v="0.21"/>
    <n v="-18.899999999999999"/>
    <x v="0"/>
    <x v="60"/>
    <n v="0.3"/>
    <n v="18.899999999999999"/>
    <n v="0.21"/>
    <n v="8.1000000000000014"/>
    <s v="Ecart positif"/>
    <n v="15.04"/>
  </r>
  <r>
    <x v="2"/>
    <n v="68"/>
    <x v="1"/>
    <x v="0"/>
    <n v="0"/>
    <n v="9.6"/>
    <n v="0.08"/>
    <n v="-9.6"/>
    <x v="0"/>
    <x v="1"/>
    <n v="0"/>
    <n v="9.6"/>
    <n v="0.08"/>
    <n v="-9.6"/>
    <s v="Ecart négatif"/>
    <n v="72.34"/>
  </r>
  <r>
    <x v="4"/>
    <n v="62"/>
    <x v="7"/>
    <x v="70"/>
    <n v="0.15333333333333332"/>
    <n v="5.7"/>
    <n v="0.19"/>
    <n v="-1.1000000000000005"/>
    <x v="0"/>
    <x v="1"/>
    <n v="0"/>
    <n v="5.7"/>
    <n v="0.19"/>
    <n v="-5.7"/>
    <s v="Ecart négatif"/>
    <n v="0"/>
  </r>
  <r>
    <x v="4"/>
    <n v="50"/>
    <x v="12"/>
    <x v="71"/>
    <n v="0.15375"/>
    <n v="6.8000000000000007"/>
    <n v="0.17"/>
    <n v="-0.65000000000000036"/>
    <x v="0"/>
    <x v="1"/>
    <n v="0"/>
    <n v="6.8000000000000007"/>
    <n v="0.17"/>
    <n v="-6.8000000000000007"/>
    <s v="Ecart négatif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8"/>
    <n v="35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0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0"/>
    <n v="62"/>
    <x v="7"/>
    <x v="0"/>
    <n v="0"/>
    <n v="0"/>
    <n v="0"/>
    <n v="0"/>
    <x v="1"/>
    <x v="1"/>
    <n v="0"/>
    <n v="0"/>
    <n v="0"/>
    <n v="0"/>
    <s v="Pas d'écart"/>
    <n v="3.6300000000000026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3"/>
    <n v="14"/>
    <x v="12"/>
    <x v="71"/>
    <n v="0.15375"/>
    <n v="6.8000000000000007"/>
    <n v="0.17"/>
    <n v="-0.65000000000000036"/>
    <x v="0"/>
    <x v="1"/>
    <n v="0"/>
    <n v="6.8000000000000007"/>
    <n v="0.17"/>
    <n v="-6.8000000000000007"/>
    <s v="Ecart négatif"/>
    <n v="8.2899999999999991"/>
  </r>
  <r>
    <x v="3"/>
    <n v="61"/>
    <x v="11"/>
    <x v="72"/>
    <n v="0.154"/>
    <n v="10.200000000000001"/>
    <n v="0.17"/>
    <n v="-0.96000000000000085"/>
    <x v="0"/>
    <x v="1"/>
    <n v="0"/>
    <n v="10.200000000000001"/>
    <n v="0.17"/>
    <n v="-10.200000000000001"/>
    <s v="Ecart négatif"/>
    <n v="11.649999999999999"/>
  </r>
  <r>
    <x v="2"/>
    <n v="50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49"/>
    <x v="0"/>
    <x v="73"/>
    <n v="0.27"/>
    <n v="48.6"/>
    <n v="0.27"/>
    <n v="0"/>
    <x v="1"/>
    <x v="1"/>
    <n v="0"/>
    <n v="48.6"/>
    <n v="0.27"/>
    <n v="-48.6"/>
    <s v="Ecart négatif"/>
    <n v="0"/>
  </r>
  <r>
    <x v="4"/>
    <n v="8"/>
    <x v="12"/>
    <x v="74"/>
    <n v="0.15425"/>
    <n v="7.1999999999999993"/>
    <n v="0.18"/>
    <n v="-1.0299999999999994"/>
    <x v="0"/>
    <x v="1"/>
    <n v="0"/>
    <n v="7.1999999999999993"/>
    <n v="0.18"/>
    <n v="-7.1999999999999993"/>
    <s v="Ecart négatif"/>
    <n v="0"/>
  </r>
  <r>
    <x v="6"/>
    <n v="51"/>
    <x v="4"/>
    <x v="0"/>
    <n v="0"/>
    <n v="27.5"/>
    <n v="0.25"/>
    <n v="-27.5"/>
    <x v="0"/>
    <x v="1"/>
    <n v="0"/>
    <n v="27.5"/>
    <n v="0.25"/>
    <n v="-27.5"/>
    <s v="Ecart négatif"/>
    <n v="0"/>
  </r>
  <r>
    <x v="4"/>
    <n v="59"/>
    <x v="7"/>
    <x v="75"/>
    <n v="0.15433333333333332"/>
    <n v="5.7"/>
    <n v="0.19"/>
    <n v="-1.0700000000000003"/>
    <x v="0"/>
    <x v="1"/>
    <n v="0"/>
    <n v="5.7"/>
    <n v="0.19"/>
    <n v="-5.7"/>
    <s v="Ecart négatif"/>
    <n v="0"/>
  </r>
  <r>
    <x v="4"/>
    <n v="92"/>
    <x v="5"/>
    <x v="0"/>
    <n v="0"/>
    <n v="0"/>
    <n v="0"/>
    <n v="0"/>
    <x v="1"/>
    <x v="1"/>
    <n v="0"/>
    <n v="0"/>
    <n v="0"/>
    <n v="0"/>
    <s v="Pas d'écart"/>
    <n v="0"/>
  </r>
  <r>
    <x v="3"/>
    <n v="14"/>
    <x v="15"/>
    <x v="76"/>
    <n v="0.156"/>
    <n v="3.4000000000000004"/>
    <n v="0.17"/>
    <n v="-0.28000000000000025"/>
    <x v="0"/>
    <x v="1"/>
    <n v="0"/>
    <n v="3.4000000000000004"/>
    <n v="0.17"/>
    <n v="-3.4000000000000004"/>
    <s v="Ecart négatif"/>
    <n v="3.09"/>
  </r>
  <r>
    <x v="3"/>
    <n v="62"/>
    <x v="12"/>
    <x v="77"/>
    <n v="0.156"/>
    <n v="7.6"/>
    <n v="0.19"/>
    <n v="-1.3599999999999994"/>
    <x v="0"/>
    <x v="1"/>
    <n v="0"/>
    <n v="7.6"/>
    <n v="0.19"/>
    <n v="-7.6"/>
    <s v="Ecart négatif"/>
    <n v="8.2899999999999991"/>
  </r>
  <r>
    <x v="0"/>
    <n v="68"/>
    <x v="12"/>
    <x v="0"/>
    <n v="0"/>
    <n v="3.2"/>
    <n v="0.08"/>
    <n v="-3.2"/>
    <x v="0"/>
    <x v="61"/>
    <n v="0.08"/>
    <n v="3.2"/>
    <n v="0.08"/>
    <n v="0"/>
    <s v="Pas d'écart"/>
    <n v="8.2899999999999991"/>
  </r>
  <r>
    <x v="3"/>
    <n v="14"/>
    <x v="15"/>
    <x v="76"/>
    <n v="0.156"/>
    <n v="3.4000000000000004"/>
    <n v="0.17"/>
    <n v="-0.28000000000000025"/>
    <x v="0"/>
    <x v="1"/>
    <n v="0"/>
    <n v="3.4000000000000004"/>
    <n v="0.17"/>
    <n v="-3.4000000000000004"/>
    <s v="Ecart négatif"/>
    <n v="3.09"/>
  </r>
  <r>
    <x v="4"/>
    <n v="64"/>
    <x v="22"/>
    <x v="78"/>
    <n v="0.21"/>
    <n v="21"/>
    <n v="0.21"/>
    <n v="0"/>
    <x v="1"/>
    <x v="1"/>
    <n v="0"/>
    <n v="21"/>
    <n v="0.21"/>
    <n v="-21"/>
    <s v="Ecart négatif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91"/>
    <x v="2"/>
    <x v="0"/>
    <n v="0"/>
    <n v="0"/>
    <n v="0"/>
    <n v="0"/>
    <x v="1"/>
    <x v="1"/>
    <n v="0"/>
    <n v="0"/>
    <n v="0"/>
    <n v="0"/>
    <s v="Pas d'écart"/>
    <n v="0"/>
  </r>
  <r>
    <x v="0"/>
    <n v="69"/>
    <x v="34"/>
    <x v="0"/>
    <n v="0"/>
    <n v="0"/>
    <n v="0"/>
    <n v="0"/>
    <x v="1"/>
    <x v="62"/>
    <n v="0.26413043478260867"/>
    <n v="0"/>
    <n v="0"/>
    <n v="60.75"/>
    <s v="Ecart positif"/>
    <n v="24.340000000000003"/>
  </r>
  <r>
    <x v="6"/>
    <n v="77"/>
    <x v="1"/>
    <x v="79"/>
    <n v="0.26999999999999996"/>
    <n v="0"/>
    <n v="0"/>
    <n v="32.4"/>
    <x v="2"/>
    <x v="1"/>
    <n v="0"/>
    <n v="0"/>
    <n v="0"/>
    <n v="0"/>
    <s v="Pas d'écart"/>
    <n v="47.61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3"/>
    <n v="75"/>
    <x v="25"/>
    <x v="0"/>
    <n v="0"/>
    <n v="0"/>
    <n v="0"/>
    <n v="0"/>
    <x v="1"/>
    <x v="1"/>
    <n v="0"/>
    <n v="0"/>
    <n v="0"/>
    <n v="0"/>
    <s v="Pas d'écart"/>
    <n v="13.509999999999991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14"/>
    <x v="15"/>
    <x v="76"/>
    <n v="0.156"/>
    <n v="3.4000000000000004"/>
    <n v="0.17"/>
    <n v="-0.28000000000000025"/>
    <x v="0"/>
    <x v="1"/>
    <n v="0"/>
    <n v="3.4000000000000004"/>
    <n v="0.17"/>
    <n v="-3.4000000000000004"/>
    <s v="Ecart négatif"/>
    <n v="0"/>
  </r>
  <r>
    <x v="0"/>
    <n v="44"/>
    <x v="35"/>
    <x v="0"/>
    <n v="0"/>
    <n v="0"/>
    <n v="0"/>
    <n v="0"/>
    <x v="1"/>
    <x v="1"/>
    <n v="0"/>
    <n v="0"/>
    <n v="0"/>
    <n v="0"/>
    <s v="Pas d'écart"/>
    <e v="#N/A"/>
  </r>
  <r>
    <x v="3"/>
    <n v="91"/>
    <x v="6"/>
    <x v="0"/>
    <n v="0"/>
    <n v="0"/>
    <n v="0"/>
    <n v="0"/>
    <x v="1"/>
    <x v="1"/>
    <n v="0"/>
    <n v="0"/>
    <n v="0"/>
    <n v="0"/>
    <s v="Pas d'écart"/>
    <n v="11.36"/>
  </r>
  <r>
    <x v="6"/>
    <n v="75"/>
    <x v="16"/>
    <x v="0"/>
    <n v="0"/>
    <n v="0"/>
    <n v="0"/>
    <n v="0"/>
    <x v="1"/>
    <x v="1"/>
    <n v="0"/>
    <n v="0"/>
    <n v="0"/>
    <n v="0"/>
    <s v="Pas d'écart"/>
    <n v="0"/>
  </r>
  <r>
    <x v="0"/>
    <n v="35"/>
    <x v="8"/>
    <x v="0"/>
    <n v="0"/>
    <n v="0"/>
    <n v="0"/>
    <n v="0"/>
    <x v="1"/>
    <x v="1"/>
    <n v="0"/>
    <n v="0"/>
    <n v="0"/>
    <n v="0"/>
    <s v="Pas d'écart"/>
    <n v="12.299999999999997"/>
  </r>
  <r>
    <x v="3"/>
    <n v="75"/>
    <x v="5"/>
    <x v="0"/>
    <n v="0"/>
    <n v="0"/>
    <n v="0"/>
    <n v="0"/>
    <x v="1"/>
    <x v="1"/>
    <n v="0"/>
    <n v="0"/>
    <n v="0"/>
    <n v="0"/>
    <s v="Pas d'écart"/>
    <n v="3.9399999999999995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5.310000000000002"/>
  </r>
  <r>
    <x v="3"/>
    <n v="80"/>
    <x v="2"/>
    <x v="80"/>
    <n v="0.19"/>
    <n v="26.6"/>
    <n v="0.19"/>
    <n v="0"/>
    <x v="1"/>
    <x v="1"/>
    <n v="0"/>
    <n v="26.6"/>
    <n v="0.19"/>
    <n v="-26.6"/>
    <s v="Ecart négatif"/>
    <n v="14.68"/>
  </r>
  <r>
    <x v="3"/>
    <n v="62"/>
    <x v="12"/>
    <x v="77"/>
    <n v="0.156"/>
    <n v="7.6"/>
    <n v="0.19"/>
    <n v="-1.3599999999999994"/>
    <x v="0"/>
    <x v="1"/>
    <n v="0"/>
    <n v="7.6"/>
    <n v="0.19"/>
    <n v="-7.6"/>
    <s v="Ecart négatif"/>
    <n v="8.2899999999999991"/>
  </r>
  <r>
    <x v="3"/>
    <n v="14"/>
    <x v="15"/>
    <x v="76"/>
    <n v="0.156"/>
    <n v="3.4000000000000004"/>
    <n v="0.17"/>
    <n v="-0.28000000000000025"/>
    <x v="0"/>
    <x v="1"/>
    <n v="0"/>
    <n v="3.4000000000000004"/>
    <n v="0.17"/>
    <n v="-3.4000000000000004"/>
    <s v="Ecart négatif"/>
    <n v="3.09"/>
  </r>
  <r>
    <x v="2"/>
    <n v="61"/>
    <x v="20"/>
    <x v="0"/>
    <n v="0"/>
    <n v="42.5"/>
    <n v="0.17"/>
    <n v="-42.5"/>
    <x v="0"/>
    <x v="1"/>
    <n v="0"/>
    <n v="42.5"/>
    <n v="0.17"/>
    <n v="-42.5"/>
    <s v="Ecart négatif"/>
    <n v="0"/>
  </r>
  <r>
    <x v="3"/>
    <n v="14"/>
    <x v="15"/>
    <x v="76"/>
    <n v="0.156"/>
    <n v="3.4000000000000004"/>
    <n v="0.17"/>
    <n v="-0.28000000000000025"/>
    <x v="0"/>
    <x v="1"/>
    <n v="0"/>
    <n v="3.4000000000000004"/>
    <n v="0.17"/>
    <n v="-3.4000000000000004"/>
    <s v="Ecart négatif"/>
    <n v="3.09"/>
  </r>
  <r>
    <x v="3"/>
    <n v="62"/>
    <x v="12"/>
    <x v="77"/>
    <n v="0.156"/>
    <n v="7.6"/>
    <n v="0.19"/>
    <n v="-1.3599999999999994"/>
    <x v="0"/>
    <x v="1"/>
    <n v="0"/>
    <n v="7.6"/>
    <n v="0.19"/>
    <n v="-7.6"/>
    <s v="Ecart négatif"/>
    <n v="8.2899999999999991"/>
  </r>
  <r>
    <x v="3"/>
    <n v="14"/>
    <x v="15"/>
    <x v="76"/>
    <n v="0.156"/>
    <n v="3.4000000000000004"/>
    <n v="0.17"/>
    <n v="-0.28000000000000025"/>
    <x v="0"/>
    <x v="1"/>
    <n v="0"/>
    <n v="3.4000000000000004"/>
    <n v="0.17"/>
    <n v="-3.4000000000000004"/>
    <s v="Ecart négatif"/>
    <n v="3.09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1"/>
    <n v="77"/>
    <x v="26"/>
    <x v="0"/>
    <n v="0"/>
    <n v="0"/>
    <n v="0"/>
    <n v="0"/>
    <x v="1"/>
    <x v="1"/>
    <n v="0"/>
    <n v="0"/>
    <n v="0"/>
    <n v="0"/>
    <s v="Pas d'écart"/>
    <n v="114.75"/>
  </r>
  <r>
    <x v="2"/>
    <n v="71"/>
    <x v="34"/>
    <x v="0"/>
    <n v="0"/>
    <n v="0"/>
    <n v="0"/>
    <n v="0"/>
    <x v="1"/>
    <x v="1"/>
    <n v="0"/>
    <n v="0"/>
    <n v="0"/>
    <n v="0"/>
    <s v="Pas d'écart"/>
    <n v="146.36000000000001"/>
  </r>
  <r>
    <x v="2"/>
    <n v="57"/>
    <x v="20"/>
    <x v="0"/>
    <n v="0"/>
    <n v="62.5"/>
    <n v="0.25"/>
    <n v="-62.5"/>
    <x v="0"/>
    <x v="44"/>
    <n v="0.25"/>
    <n v="62.5"/>
    <n v="0.25"/>
    <n v="0"/>
    <s v="Pas d'écart"/>
    <n v="0"/>
  </r>
  <r>
    <x v="2"/>
    <n v="62"/>
    <x v="20"/>
    <x v="0"/>
    <n v="0"/>
    <n v="0"/>
    <n v="0"/>
    <n v="0"/>
    <x v="1"/>
    <x v="1"/>
    <n v="0"/>
    <n v="0"/>
    <n v="0"/>
    <n v="0"/>
    <s v="Pas d'écart"/>
    <n v="0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0"/>
    <n v="13"/>
    <x v="3"/>
    <x v="0"/>
    <n v="0"/>
    <n v="39.9"/>
    <n v="0.19"/>
    <n v="-39.9"/>
    <x v="0"/>
    <x v="1"/>
    <n v="0"/>
    <n v="39.9"/>
    <n v="0.19"/>
    <n v="-39.9"/>
    <s v="Ecart négatif"/>
    <n v="112.34"/>
  </r>
  <r>
    <x v="0"/>
    <n v="14"/>
    <x v="6"/>
    <x v="0"/>
    <n v="0"/>
    <n v="27.200000000000003"/>
    <n v="0.17"/>
    <n v="-27.200000000000003"/>
    <x v="0"/>
    <x v="3"/>
    <n v="0.16362499999999999"/>
    <n v="27.200000000000003"/>
    <n v="0.17"/>
    <n v="-1.0200000000000031"/>
    <s v="Ecart négatif"/>
    <n v="85.09"/>
  </r>
  <r>
    <x v="2"/>
    <n v="98"/>
    <x v="15"/>
    <x v="0"/>
    <n v="0"/>
    <n v="4.2"/>
    <n v="0.21000000000000002"/>
    <n v="-4.2"/>
    <x v="0"/>
    <x v="1"/>
    <n v="0"/>
    <n v="4.2"/>
    <n v="0.21000000000000002"/>
    <n v="-4.2"/>
    <s v="Ecart négatif"/>
    <n v="22.47"/>
  </r>
  <r>
    <x v="2"/>
    <n v="57"/>
    <x v="8"/>
    <x v="0"/>
    <n v="0"/>
    <n v="17.5"/>
    <n v="0.25"/>
    <n v="-17.5"/>
    <x v="0"/>
    <x v="1"/>
    <n v="0"/>
    <n v="17.5"/>
    <n v="0.25"/>
    <n v="-17.5"/>
    <s v="Ecart négatif"/>
    <n v="61.48"/>
  </r>
  <r>
    <x v="0"/>
    <n v="21"/>
    <x v="8"/>
    <x v="0"/>
    <n v="0"/>
    <n v="8.4"/>
    <n v="0.12000000000000001"/>
    <n v="-8.4"/>
    <x v="0"/>
    <x v="1"/>
    <n v="0"/>
    <n v="8.4"/>
    <n v="0.12000000000000001"/>
    <n v="-8.4"/>
    <s v="Ecart négatif"/>
    <n v="44.77"/>
  </r>
  <r>
    <x v="0"/>
    <n v="27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7.02000000000001"/>
  </r>
  <r>
    <x v="2"/>
    <n v="61"/>
    <x v="2"/>
    <x v="0"/>
    <n v="0"/>
    <n v="23.8"/>
    <n v="0.17"/>
    <n v="-23.8"/>
    <x v="0"/>
    <x v="1"/>
    <n v="0"/>
    <n v="23.8"/>
    <n v="0.17"/>
    <n v="-23.8"/>
    <s v="Ecart négatif"/>
    <n v="78.8"/>
  </r>
  <r>
    <x v="0"/>
    <n v="85"/>
    <x v="12"/>
    <x v="0"/>
    <n v="0"/>
    <n v="0"/>
    <n v="0"/>
    <n v="0"/>
    <x v="1"/>
    <x v="1"/>
    <n v="0"/>
    <n v="0"/>
    <n v="0"/>
    <n v="0"/>
    <s v="Pas d'écart"/>
    <n v="41.47"/>
  </r>
  <r>
    <x v="2"/>
    <n v="59"/>
    <x v="16"/>
    <x v="0"/>
    <n v="0"/>
    <n v="0"/>
    <n v="0"/>
    <n v="0"/>
    <x v="1"/>
    <x v="1"/>
    <n v="0"/>
    <n v="0"/>
    <n v="0"/>
    <n v="0"/>
    <s v="Pas d'écart"/>
    <n v="107.65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6"/>
    <x v="22"/>
    <x v="0"/>
    <n v="0"/>
    <n v="21"/>
    <n v="0.21"/>
    <n v="-21"/>
    <x v="0"/>
    <x v="63"/>
    <n v="0.18920000000000001"/>
    <n v="21"/>
    <n v="0.21"/>
    <n v="-2.0799999999999983"/>
    <s v="Ecart négatif"/>
    <n v="0"/>
  </r>
  <r>
    <x v="0"/>
    <n v="38"/>
    <x v="9"/>
    <x v="0"/>
    <n v="0"/>
    <n v="0"/>
    <n v="0"/>
    <n v="0"/>
    <x v="1"/>
    <x v="6"/>
    <n v="0.27"/>
    <n v="0"/>
    <n v="0"/>
    <n v="21.6"/>
    <s v="Ecart positif"/>
    <n v="70.1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8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5"/>
    <n v="24"/>
    <x v="11"/>
    <x v="0"/>
    <n v="0"/>
    <n v="12.6"/>
    <n v="0.21"/>
    <n v="-12.6"/>
    <x v="0"/>
    <x v="1"/>
    <n v="0"/>
    <n v="12.6"/>
    <n v="0.21"/>
    <n v="-12.6"/>
    <s v="Ecart négatif"/>
    <n v="25.37"/>
  </r>
  <r>
    <x v="5"/>
    <n v="38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5"/>
    <n v="83"/>
    <x v="11"/>
    <x v="0"/>
    <n v="0"/>
    <n v="18"/>
    <n v="0.3"/>
    <n v="-18"/>
    <x v="0"/>
    <x v="1"/>
    <n v="0"/>
    <n v="18"/>
    <n v="0.3"/>
    <n v="-18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0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61"/>
    <x v="2"/>
    <x v="0"/>
    <n v="0"/>
    <n v="23.8"/>
    <n v="0.17"/>
    <n v="-23.8"/>
    <x v="0"/>
    <x v="1"/>
    <n v="0"/>
    <n v="23.8"/>
    <n v="0.17"/>
    <n v="-23.8"/>
    <s v="Ecart négatif"/>
    <n v="78.8"/>
  </r>
  <r>
    <x v="2"/>
    <n v="35"/>
    <x v="8"/>
    <x v="0"/>
    <n v="0"/>
    <n v="0"/>
    <n v="0"/>
    <n v="0"/>
    <x v="1"/>
    <x v="1"/>
    <n v="0"/>
    <n v="0"/>
    <n v="0"/>
    <n v="0"/>
    <s v="Pas d'écart"/>
    <n v="0"/>
  </r>
  <r>
    <x v="4"/>
    <n v="76"/>
    <x v="11"/>
    <x v="81"/>
    <n v="0.156"/>
    <n v="10.200000000000001"/>
    <n v="0.17"/>
    <n v="-0.84000000000000163"/>
    <x v="0"/>
    <x v="1"/>
    <n v="0"/>
    <n v="10.200000000000001"/>
    <n v="0.17"/>
    <n v="-10.200000000000001"/>
    <s v="Ecart négatif"/>
    <n v="0"/>
  </r>
  <r>
    <x v="4"/>
    <n v="61"/>
    <x v="11"/>
    <x v="82"/>
    <n v="0.15616666666666665"/>
    <n v="10.200000000000001"/>
    <n v="0.17"/>
    <n v="-0.83000000000000185"/>
    <x v="0"/>
    <x v="1"/>
    <n v="0"/>
    <n v="10.200000000000001"/>
    <n v="0.17"/>
    <n v="-10.200000000000001"/>
    <s v="Ecart négatif"/>
    <n v="0"/>
  </r>
  <r>
    <x v="2"/>
    <n v="59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27"/>
    <x v="7"/>
    <x v="0"/>
    <n v="0"/>
    <n v="5.1000000000000005"/>
    <n v="0.17"/>
    <n v="-5.1000000000000005"/>
    <x v="0"/>
    <x v="1"/>
    <n v="0"/>
    <n v="5.1000000000000005"/>
    <n v="0.17"/>
    <n v="-5.1000000000000005"/>
    <s v="Ecart négatif"/>
    <n v="17.260000000000002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5"/>
    <n v="45"/>
    <x v="2"/>
    <x v="0"/>
    <n v="0"/>
    <n v="29.4"/>
    <n v="0.21"/>
    <n v="-29.4"/>
    <x v="0"/>
    <x v="1"/>
    <n v="0"/>
    <n v="29.4"/>
    <n v="0.21"/>
    <n v="-29.4"/>
    <s v="Ecart négatif"/>
    <n v="14.68"/>
  </r>
  <r>
    <x v="2"/>
    <n v="44"/>
    <x v="0"/>
    <x v="0"/>
    <n v="0"/>
    <n v="0"/>
    <n v="0"/>
    <n v="0"/>
    <x v="1"/>
    <x v="64"/>
    <n v="0.27"/>
    <n v="0"/>
    <n v="0"/>
    <n v="48.6"/>
    <s v="Ecart positif"/>
    <n v="92.1"/>
  </r>
  <r>
    <x v="2"/>
    <n v="72"/>
    <x v="0"/>
    <x v="0"/>
    <n v="0"/>
    <n v="21.599999999999998"/>
    <n v="0.11999999999999998"/>
    <n v="-21.599999999999998"/>
    <x v="0"/>
    <x v="65"/>
    <n v="0.39"/>
    <n v="21.599999999999998"/>
    <n v="0.11999999999999998"/>
    <n v="48.600000000000009"/>
    <s v="Ecart positif"/>
    <n v="0"/>
  </r>
  <r>
    <x v="6"/>
    <n v="77"/>
    <x v="14"/>
    <x v="83"/>
    <n v="0.16215384615384615"/>
    <n v="0"/>
    <n v="0"/>
    <n v="21.08"/>
    <x v="2"/>
    <x v="1"/>
    <n v="0"/>
    <n v="0"/>
    <n v="0"/>
    <n v="0"/>
    <s v="Pas d'écart"/>
    <n v="50.09"/>
  </r>
  <r>
    <x v="4"/>
    <n v="75"/>
    <x v="10"/>
    <x v="0"/>
    <n v="0"/>
    <n v="0"/>
    <n v="0"/>
    <n v="0"/>
    <x v="1"/>
    <x v="1"/>
    <n v="0"/>
    <n v="0"/>
    <n v="0"/>
    <n v="0"/>
    <s v="Pas d'écart"/>
    <n v="0"/>
  </r>
  <r>
    <x v="0"/>
    <n v="56"/>
    <x v="0"/>
    <x v="0"/>
    <n v="0"/>
    <n v="0"/>
    <n v="0"/>
    <n v="0"/>
    <x v="1"/>
    <x v="1"/>
    <n v="0"/>
    <n v="0"/>
    <n v="0"/>
    <n v="0"/>
    <s v="Pas d'écart"/>
    <n v="21.47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4"/>
    <n v="76"/>
    <x v="11"/>
    <x v="82"/>
    <n v="0.15616666666666665"/>
    <n v="10.200000000000001"/>
    <n v="0.17"/>
    <n v="-0.83000000000000185"/>
    <x v="0"/>
    <x v="1"/>
    <n v="0"/>
    <n v="10.200000000000001"/>
    <n v="0.17"/>
    <n v="-10.200000000000001"/>
    <s v="Ecart négatif"/>
    <n v="0"/>
  </r>
  <r>
    <x v="2"/>
    <n v="76"/>
    <x v="0"/>
    <x v="0"/>
    <n v="0"/>
    <n v="30.6"/>
    <n v="0.17"/>
    <n v="-30.6"/>
    <x v="0"/>
    <x v="0"/>
    <n v="0.17"/>
    <n v="30.6"/>
    <n v="0.17"/>
    <n v="0"/>
    <s v="Pas d'écart"/>
    <n v="0"/>
  </r>
  <r>
    <x v="0"/>
    <n v="14"/>
    <x v="4"/>
    <x v="0"/>
    <n v="0"/>
    <n v="18.700000000000003"/>
    <n v="0.17"/>
    <n v="-18.700000000000003"/>
    <x v="0"/>
    <x v="56"/>
    <n v="0.16318181818181818"/>
    <n v="18.700000000000003"/>
    <n v="0.17"/>
    <n v="-0.75000000000000355"/>
    <s v="Ecart négatif"/>
    <n v="14.36"/>
  </r>
  <r>
    <x v="2"/>
    <n v="76"/>
    <x v="0"/>
    <x v="0"/>
    <n v="0"/>
    <n v="30.6"/>
    <n v="0.17"/>
    <n v="-30.6"/>
    <x v="0"/>
    <x v="0"/>
    <n v="0.17"/>
    <n v="30.6"/>
    <n v="0.17"/>
    <n v="0"/>
    <s v="Pas d'écart"/>
    <n v="0"/>
  </r>
  <r>
    <x v="0"/>
    <n v="68"/>
    <x v="12"/>
    <x v="0"/>
    <n v="0"/>
    <n v="3.2"/>
    <n v="0.08"/>
    <n v="-3.2"/>
    <x v="0"/>
    <x v="61"/>
    <n v="0.08"/>
    <n v="3.2"/>
    <n v="0.08"/>
    <n v="0"/>
    <s v="Pas d'écart"/>
    <n v="8.2899999999999991"/>
  </r>
  <r>
    <x v="6"/>
    <n v="59"/>
    <x v="14"/>
    <x v="0"/>
    <n v="0"/>
    <n v="24.7"/>
    <n v="0.19"/>
    <n v="-24.7"/>
    <x v="0"/>
    <x v="66"/>
    <n v="0.37438461538461537"/>
    <n v="24.7"/>
    <n v="0.19"/>
    <n v="23.970000000000002"/>
    <s v="Ecart positif"/>
    <n v="-15.48999999999999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55"/>
    <x v="15"/>
    <x v="0"/>
    <n v="0"/>
    <n v="5"/>
    <n v="0.25"/>
    <n v="-5"/>
    <x v="0"/>
    <x v="57"/>
    <n v="0.21249999999999999"/>
    <n v="5"/>
    <n v="0.25"/>
    <n v="-0.75"/>
    <s v="Ecart négatif"/>
    <n v="0"/>
  </r>
  <r>
    <x v="6"/>
    <n v="83"/>
    <x v="9"/>
    <x v="84"/>
    <n v="0.27500000000000002"/>
    <n v="24"/>
    <n v="0.3"/>
    <n v="-2"/>
    <x v="0"/>
    <x v="1"/>
    <n v="0"/>
    <n v="24"/>
    <n v="0.3"/>
    <n v="-24"/>
    <s v="Ecart négatif"/>
    <n v="70.19"/>
  </r>
  <r>
    <x v="0"/>
    <n v="37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8.9500000000000028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2"/>
    <n v="60"/>
    <x v="7"/>
    <x v="0"/>
    <n v="0"/>
    <n v="0"/>
    <n v="0"/>
    <n v="0"/>
    <x v="1"/>
    <x v="1"/>
    <n v="0"/>
    <n v="0"/>
    <n v="0"/>
    <n v="0"/>
    <s v="Pas d'écart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7"/>
    <n v="88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21.47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6"/>
    <x v="27"/>
    <x v="0"/>
    <n v="0"/>
    <n v="10.5"/>
    <n v="0.21"/>
    <n v="-10.5"/>
    <x v="0"/>
    <x v="59"/>
    <n v="0.3"/>
    <n v="10.5"/>
    <n v="0.21"/>
    <n v="4.5"/>
    <s v="Ecart positif"/>
    <n v="10.030000000000001"/>
  </r>
  <r>
    <x v="3"/>
    <n v="14"/>
    <x v="11"/>
    <x v="82"/>
    <n v="0.15616666666666665"/>
    <n v="10.200000000000001"/>
    <n v="0.17"/>
    <n v="-0.83000000000000185"/>
    <x v="0"/>
    <x v="1"/>
    <n v="0"/>
    <n v="10.200000000000001"/>
    <n v="0.17"/>
    <n v="-10.200000000000001"/>
    <s v="Ecart négatif"/>
    <n v="10.560000000000002"/>
  </r>
  <r>
    <x v="3"/>
    <n v="14"/>
    <x v="11"/>
    <x v="82"/>
    <n v="0.15616666666666665"/>
    <n v="10.200000000000001"/>
    <n v="0.17"/>
    <n v="-0.83000000000000185"/>
    <x v="0"/>
    <x v="1"/>
    <n v="0"/>
    <n v="10.200000000000001"/>
    <n v="0.17"/>
    <n v="-10.200000000000001"/>
    <s v="Ecart négatif"/>
    <n v="10.560000000000002"/>
  </r>
  <r>
    <x v="3"/>
    <n v="14"/>
    <x v="11"/>
    <x v="82"/>
    <n v="0.15616666666666665"/>
    <n v="10.200000000000001"/>
    <n v="0.17"/>
    <n v="-0.83000000000000185"/>
    <x v="0"/>
    <x v="1"/>
    <n v="0"/>
    <n v="10.200000000000001"/>
    <n v="0.17"/>
    <n v="-10.200000000000001"/>
    <s v="Ecart négatif"/>
    <n v="10.560000000000002"/>
  </r>
  <r>
    <x v="3"/>
    <n v="76"/>
    <x v="11"/>
    <x v="82"/>
    <n v="0.15616666666666665"/>
    <n v="10.200000000000001"/>
    <n v="0.17"/>
    <n v="-0.83000000000000185"/>
    <x v="0"/>
    <x v="1"/>
    <n v="0"/>
    <n v="10.200000000000001"/>
    <n v="0.17"/>
    <n v="-10.200000000000001"/>
    <s v="Ecart négatif"/>
    <n v="8.5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1"/>
    <n v="44"/>
    <x v="6"/>
    <x v="0"/>
    <n v="0"/>
    <n v="43.2"/>
    <n v="0.27"/>
    <n v="-43.2"/>
    <x v="0"/>
    <x v="1"/>
    <n v="0"/>
    <n v="43.2"/>
    <n v="0.27"/>
    <n v="-43.2"/>
    <s v="Ecart négatif"/>
    <n v="76.5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0"/>
    <n v="62"/>
    <x v="7"/>
    <x v="0"/>
    <n v="0"/>
    <n v="0"/>
    <n v="0"/>
    <n v="0"/>
    <x v="1"/>
    <x v="1"/>
    <n v="0"/>
    <n v="0"/>
    <n v="0"/>
    <n v="0"/>
    <s v="Pas d'écart"/>
    <n v="3.6300000000000026"/>
  </r>
  <r>
    <x v="4"/>
    <n v="93"/>
    <x v="2"/>
    <x v="0"/>
    <n v="0"/>
    <n v="0"/>
    <n v="0"/>
    <n v="0"/>
    <x v="1"/>
    <x v="1"/>
    <n v="0"/>
    <n v="0"/>
    <n v="0"/>
    <n v="0"/>
    <s v="Pas d'écart"/>
    <n v="0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3"/>
    <n v="78"/>
    <x v="18"/>
    <x v="0"/>
    <n v="0"/>
    <n v="0"/>
    <n v="0"/>
    <n v="0"/>
    <x v="1"/>
    <x v="1"/>
    <n v="0"/>
    <n v="0"/>
    <n v="0"/>
    <n v="0"/>
    <s v="Pas d'écart"/>
    <n v="8.0399999999999991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0"/>
    <n v="77"/>
    <x v="36"/>
    <x v="0"/>
    <n v="0"/>
    <n v="0"/>
    <n v="0"/>
    <n v="0"/>
    <x v="1"/>
    <x v="1"/>
    <n v="0"/>
    <n v="0"/>
    <n v="0"/>
    <n v="0"/>
    <s v="Pas d'écart"/>
    <n v="16.560000000000002"/>
  </r>
  <r>
    <x v="3"/>
    <n v="76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6.8599999999999994"/>
  </r>
  <r>
    <x v="0"/>
    <n v="35"/>
    <x v="12"/>
    <x v="0"/>
    <n v="0"/>
    <n v="0"/>
    <n v="0"/>
    <n v="0"/>
    <x v="1"/>
    <x v="1"/>
    <n v="0"/>
    <n v="0"/>
    <n v="0"/>
    <n v="0"/>
    <s v="Pas d'écart"/>
    <n v="41.47"/>
  </r>
  <r>
    <x v="3"/>
    <n v="95"/>
    <x v="12"/>
    <x v="0"/>
    <n v="0"/>
    <n v="0"/>
    <n v="0"/>
    <n v="0"/>
    <x v="1"/>
    <x v="1"/>
    <n v="0"/>
    <n v="0"/>
    <n v="0"/>
    <n v="0"/>
    <s v="Pas d'écart"/>
    <n v="5.23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3"/>
    <n v="14"/>
    <x v="11"/>
    <x v="85"/>
    <n v="0.15633333333333335"/>
    <n v="10.200000000000001"/>
    <n v="0.17"/>
    <n v="-0.82000000000000028"/>
    <x v="0"/>
    <x v="1"/>
    <n v="0"/>
    <n v="10.200000000000001"/>
    <n v="0.17"/>
    <n v="-10.200000000000001"/>
    <s v="Ecart négatif"/>
    <n v="10.560000000000002"/>
  </r>
  <r>
    <x v="4"/>
    <n v="76"/>
    <x v="12"/>
    <x v="87"/>
    <n v="0.1565"/>
    <n v="6.8000000000000007"/>
    <n v="0.17"/>
    <n v="-0.54000000000000092"/>
    <x v="0"/>
    <x v="1"/>
    <n v="0"/>
    <n v="6.8000000000000007"/>
    <n v="0.17"/>
    <n v="-6.8000000000000007"/>
    <s v="Ecart négatif"/>
    <n v="0"/>
  </r>
  <r>
    <x v="3"/>
    <n v="76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8.5"/>
  </r>
  <r>
    <x v="0"/>
    <n v="14"/>
    <x v="3"/>
    <x v="0"/>
    <n v="0"/>
    <n v="35.700000000000003"/>
    <n v="0.17"/>
    <n v="-35.700000000000003"/>
    <x v="0"/>
    <x v="1"/>
    <n v="0"/>
    <n v="35.700000000000003"/>
    <n v="0.17"/>
    <n v="-35.700000000000003"/>
    <s v="Ecart négatif"/>
    <n v="27.039999999999992"/>
  </r>
  <r>
    <x v="4"/>
    <n v="27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0"/>
  </r>
  <r>
    <x v="4"/>
    <n v="76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0"/>
  </r>
  <r>
    <x v="4"/>
    <n v="76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44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68"/>
    <x v="0"/>
    <x v="0"/>
    <n v="0"/>
    <n v="14.4"/>
    <n v="0.08"/>
    <n v="-14.4"/>
    <x v="0"/>
    <x v="67"/>
    <n v="7.7111111111111116E-2"/>
    <n v="14.4"/>
    <n v="0.08"/>
    <n v="-0.51999999999999957"/>
    <s v="Ecart négatif"/>
    <n v="21.47"/>
  </r>
  <r>
    <x v="4"/>
    <n v="27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0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60"/>
    <x v="7"/>
    <x v="0"/>
    <n v="0"/>
    <n v="0"/>
    <n v="0"/>
    <n v="0"/>
    <x v="1"/>
    <x v="1"/>
    <n v="0"/>
    <n v="0"/>
    <n v="0"/>
    <n v="0"/>
    <s v="Pas d'écart"/>
    <n v="3.4200000000000017"/>
  </r>
  <r>
    <x v="0"/>
    <n v="69"/>
    <x v="0"/>
    <x v="0"/>
    <n v="0"/>
    <n v="0"/>
    <n v="0"/>
    <n v="0"/>
    <x v="1"/>
    <x v="1"/>
    <n v="0"/>
    <n v="0"/>
    <n v="0"/>
    <n v="0"/>
    <s v="Pas d'écart"/>
    <n v="18.419999999999987"/>
  </r>
  <r>
    <x v="3"/>
    <n v="61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11.649999999999999"/>
  </r>
  <r>
    <x v="4"/>
    <n v="77"/>
    <x v="14"/>
    <x v="0"/>
    <n v="0"/>
    <n v="0"/>
    <n v="0"/>
    <n v="0"/>
    <x v="1"/>
    <x v="1"/>
    <n v="0"/>
    <n v="0"/>
    <n v="0"/>
    <n v="0"/>
    <s v="Pas d'écart"/>
    <n v="0"/>
  </r>
  <r>
    <x v="4"/>
    <n v="14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0"/>
  </r>
  <r>
    <x v="3"/>
    <n v="50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11.649999999999999"/>
  </r>
  <r>
    <x v="4"/>
    <n v="27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0"/>
  </r>
  <r>
    <x v="3"/>
    <n v="14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10.560000000000002"/>
  </r>
  <r>
    <x v="4"/>
    <n v="50"/>
    <x v="11"/>
    <x v="88"/>
    <n v="0.15683333333333332"/>
    <n v="10.200000000000001"/>
    <n v="0.17"/>
    <n v="-0.79000000000000092"/>
    <x v="0"/>
    <x v="1"/>
    <n v="0"/>
    <n v="10.200000000000001"/>
    <n v="0.17"/>
    <n v="-10.200000000000001"/>
    <s v="Ecart négatif"/>
    <n v="0"/>
  </r>
  <r>
    <x v="4"/>
    <n v="77"/>
    <x v="3"/>
    <x v="0"/>
    <n v="0"/>
    <n v="0"/>
    <n v="0"/>
    <n v="0"/>
    <x v="1"/>
    <x v="1"/>
    <n v="0"/>
    <n v="0"/>
    <n v="0"/>
    <n v="0"/>
    <s v="Pas d'écart"/>
    <n v="0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0"/>
  </r>
  <r>
    <x v="4"/>
    <n v="59"/>
    <x v="12"/>
    <x v="89"/>
    <n v="0.157"/>
    <n v="7.6"/>
    <n v="0.19"/>
    <n v="-1.3199999999999994"/>
    <x v="0"/>
    <x v="1"/>
    <n v="0"/>
    <n v="7.6"/>
    <n v="0.19"/>
    <n v="-7.6"/>
    <s v="Ecart négatif"/>
    <n v="0"/>
  </r>
  <r>
    <x v="4"/>
    <n v="27"/>
    <x v="14"/>
    <x v="90"/>
    <n v="0.15730769230769232"/>
    <n v="22.1"/>
    <n v="0.17"/>
    <n v="-1.6500000000000021"/>
    <x v="0"/>
    <x v="1"/>
    <n v="0"/>
    <n v="22.1"/>
    <n v="0.17"/>
    <n v="-22.1"/>
    <s v="Ecart négatif"/>
    <n v="0"/>
  </r>
  <r>
    <x v="4"/>
    <n v="59"/>
    <x v="12"/>
    <x v="6"/>
    <n v="0.19"/>
    <n v="7.6"/>
    <n v="0.19"/>
    <n v="0"/>
    <x v="1"/>
    <x v="1"/>
    <n v="0"/>
    <n v="7.6"/>
    <n v="0.19"/>
    <n v="-7.6"/>
    <s v="Ecart négatif"/>
    <n v="0"/>
  </r>
  <r>
    <x v="0"/>
    <n v="93"/>
    <x v="37"/>
    <x v="0"/>
    <n v="0"/>
    <n v="0"/>
    <n v="0"/>
    <n v="0"/>
    <x v="1"/>
    <x v="1"/>
    <n v="0"/>
    <n v="0"/>
    <n v="0"/>
    <n v="0"/>
    <s v="Pas d'écart"/>
    <e v="#N/A"/>
  </r>
  <r>
    <x v="0"/>
    <n v="80"/>
    <x v="2"/>
    <x v="0"/>
    <n v="0"/>
    <n v="0"/>
    <n v="0"/>
    <n v="0"/>
    <x v="1"/>
    <x v="68"/>
    <n v="0.19"/>
    <n v="0"/>
    <n v="0"/>
    <n v="26.6"/>
    <s v="Ecart positif"/>
    <n v="14.68"/>
  </r>
  <r>
    <x v="2"/>
    <n v="44"/>
    <x v="0"/>
    <x v="0"/>
    <n v="0"/>
    <n v="0"/>
    <n v="0"/>
    <n v="0"/>
    <x v="1"/>
    <x v="64"/>
    <n v="0.27"/>
    <n v="0"/>
    <n v="0"/>
    <n v="48.6"/>
    <s v="Ecart positif"/>
    <n v="92.1"/>
  </r>
  <r>
    <x v="4"/>
    <n v="14"/>
    <x v="14"/>
    <x v="90"/>
    <n v="0.15730769230769232"/>
    <n v="22.1"/>
    <n v="0.17"/>
    <n v="-1.6500000000000021"/>
    <x v="0"/>
    <x v="1"/>
    <n v="0"/>
    <n v="22.1"/>
    <n v="0.17"/>
    <n v="-22.1"/>
    <s v="Ecart négatif"/>
    <n v="0"/>
  </r>
  <r>
    <x v="0"/>
    <n v="94"/>
    <x v="12"/>
    <x v="0"/>
    <n v="0"/>
    <n v="0"/>
    <n v="0"/>
    <n v="0"/>
    <x v="1"/>
    <x v="1"/>
    <n v="0"/>
    <n v="0"/>
    <n v="0"/>
    <n v="0"/>
    <s v="Pas d'écart"/>
    <n v="26.16"/>
  </r>
  <r>
    <x v="2"/>
    <n v="41"/>
    <x v="2"/>
    <x v="0"/>
    <n v="0"/>
    <n v="16.8"/>
    <n v="0.12000000000000001"/>
    <n v="-16.8"/>
    <x v="0"/>
    <x v="1"/>
    <n v="0"/>
    <n v="16.8"/>
    <n v="0.12000000000000001"/>
    <n v="-16.8"/>
    <s v="Ecart négatif"/>
    <n v="73.41"/>
  </r>
  <r>
    <x v="2"/>
    <n v="83"/>
    <x v="4"/>
    <x v="0"/>
    <n v="0"/>
    <n v="23.099999999999998"/>
    <n v="0.21"/>
    <n v="-23.099999999999998"/>
    <x v="0"/>
    <x v="69"/>
    <n v="0.19827272727272727"/>
    <n v="23.099999999999998"/>
    <n v="0.21"/>
    <n v="-1.2899999999999991"/>
    <s v="Ecart négatif"/>
    <n v="71.81"/>
  </r>
  <r>
    <x v="2"/>
    <n v="62"/>
    <x v="2"/>
    <x v="0"/>
    <n v="0"/>
    <n v="0"/>
    <n v="0"/>
    <n v="0"/>
    <x v="1"/>
    <x v="1"/>
    <n v="0"/>
    <n v="0"/>
    <n v="0"/>
    <n v="0"/>
    <s v="Pas d'écart"/>
    <n v="73.41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73"/>
    <x v="3"/>
    <x v="0"/>
    <n v="0"/>
    <n v="0"/>
    <n v="0"/>
    <n v="0"/>
    <x v="1"/>
    <x v="1"/>
    <n v="0"/>
    <n v="0"/>
    <n v="0"/>
    <n v="0"/>
    <s v="Pas d'écart"/>
    <n v="146.57"/>
  </r>
  <r>
    <x v="0"/>
    <n v="26"/>
    <x v="7"/>
    <x v="0"/>
    <n v="0"/>
    <n v="0"/>
    <n v="0"/>
    <n v="0"/>
    <x v="1"/>
    <x v="1"/>
    <n v="0"/>
    <n v="0"/>
    <n v="0"/>
    <n v="0"/>
    <s v="Pas d'écart"/>
    <n v="22.78"/>
  </r>
  <r>
    <x v="2"/>
    <n v="63"/>
    <x v="12"/>
    <x v="0"/>
    <n v="0"/>
    <n v="4.8"/>
    <n v="0.12"/>
    <n v="-4.8"/>
    <x v="0"/>
    <x v="1"/>
    <n v="0"/>
    <n v="4.8"/>
    <n v="0.12"/>
    <n v="-4.8"/>
    <s v="Ecart négatif"/>
    <n v="34.29"/>
  </r>
  <r>
    <x v="0"/>
    <n v="74"/>
    <x v="7"/>
    <x v="0"/>
    <n v="0"/>
    <n v="0"/>
    <n v="0"/>
    <n v="0"/>
    <x v="1"/>
    <x v="1"/>
    <n v="0"/>
    <n v="0"/>
    <n v="0"/>
    <n v="0"/>
    <s v="Pas d'écart"/>
    <n v="20.260000000000002"/>
  </r>
  <r>
    <x v="0"/>
    <n v="92"/>
    <x v="5"/>
    <x v="0"/>
    <n v="0"/>
    <n v="0"/>
    <n v="0"/>
    <n v="0"/>
    <x v="1"/>
    <x v="70"/>
    <n v="0.08"/>
    <n v="0"/>
    <n v="0"/>
    <n v="0.8"/>
    <s v="Ecart positif"/>
    <n v="19.28"/>
  </r>
  <r>
    <x v="0"/>
    <n v="30"/>
    <x v="16"/>
    <x v="0"/>
    <n v="0"/>
    <n v="56.000000000000007"/>
    <n v="0.28000000000000003"/>
    <n v="-56.000000000000007"/>
    <x v="0"/>
    <x v="1"/>
    <n v="0"/>
    <n v="56.000000000000007"/>
    <n v="0.28000000000000003"/>
    <n v="-56.000000000000007"/>
    <s v="Ecart négatif"/>
    <n v="129.61000000000001"/>
  </r>
  <r>
    <x v="0"/>
    <n v="13"/>
    <x v="29"/>
    <x v="0"/>
    <n v="0"/>
    <n v="76"/>
    <n v="0.19"/>
    <n v="-76"/>
    <x v="0"/>
    <x v="1"/>
    <n v="0"/>
    <n v="76"/>
    <n v="0.19"/>
    <n v="-76"/>
    <s v="Ecart négatif"/>
    <n v="177.89"/>
  </r>
  <r>
    <x v="5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1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4"/>
    <n v="94"/>
    <x v="38"/>
    <x v="0"/>
    <n v="0"/>
    <n v="0"/>
    <n v="0"/>
    <n v="0"/>
    <x v="1"/>
    <x v="1"/>
    <n v="0"/>
    <n v="0"/>
    <n v="0"/>
    <n v="0"/>
    <s v="Pas d'écart"/>
    <n v="0"/>
  </r>
  <r>
    <x v="2"/>
    <n v="62"/>
    <x v="8"/>
    <x v="0"/>
    <n v="0"/>
    <n v="0"/>
    <n v="0"/>
    <n v="0"/>
    <x v="1"/>
    <x v="1"/>
    <n v="0"/>
    <n v="0"/>
    <n v="0"/>
    <n v="0"/>
    <s v="Pas d'écart"/>
    <n v="61.48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2"/>
    <n v="33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76.56"/>
  </r>
  <r>
    <x v="0"/>
    <n v="59"/>
    <x v="8"/>
    <x v="0"/>
    <n v="0"/>
    <n v="0"/>
    <n v="0"/>
    <n v="0"/>
    <x v="1"/>
    <x v="1"/>
    <n v="0"/>
    <n v="0"/>
    <n v="0"/>
    <n v="0"/>
    <s v="Pas d'écart"/>
    <n v="44.7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18.340000000000003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4"/>
    <n v="76"/>
    <x v="14"/>
    <x v="91"/>
    <n v="0.15753846153846154"/>
    <n v="22.1"/>
    <n v="0.17"/>
    <n v="-1.620000000000001"/>
    <x v="0"/>
    <x v="1"/>
    <n v="0"/>
    <n v="22.1"/>
    <n v="0.17"/>
    <n v="-22.1"/>
    <s v="Ecart négatif"/>
    <n v="0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1"/>
    <x v="8"/>
    <x v="0"/>
    <n v="0"/>
    <n v="0"/>
    <n v="0"/>
    <n v="0"/>
    <x v="1"/>
    <x v="1"/>
    <n v="0"/>
    <n v="0"/>
    <n v="0"/>
    <n v="0"/>
    <s v="Pas d'écart"/>
    <n v="61.48"/>
  </r>
  <r>
    <x v="4"/>
    <n v="27"/>
    <x v="4"/>
    <x v="92"/>
    <n v="0.15772727272727274"/>
    <n v="18.700000000000003"/>
    <n v="0.17"/>
    <n v="-1.3500000000000014"/>
    <x v="0"/>
    <x v="1"/>
    <n v="0"/>
    <n v="18.700000000000003"/>
    <n v="0.17"/>
    <n v="-18.700000000000003"/>
    <s v="Ecart négatif"/>
    <n v="0"/>
  </r>
  <r>
    <x v="3"/>
    <n v="62"/>
    <x v="12"/>
    <x v="93"/>
    <n v="0.158"/>
    <n v="7.6"/>
    <n v="0.19"/>
    <n v="-1.2799999999999994"/>
    <x v="0"/>
    <x v="1"/>
    <n v="0"/>
    <n v="7.6"/>
    <n v="0.19"/>
    <n v="-7.6"/>
    <s v="Ecart négatif"/>
    <n v="8.2899999999999991"/>
  </r>
  <r>
    <x v="2"/>
    <n v="84"/>
    <x v="2"/>
    <x v="0"/>
    <n v="0"/>
    <n v="26.6"/>
    <n v="0.19"/>
    <n v="-26.6"/>
    <x v="0"/>
    <x v="68"/>
    <n v="0.19"/>
    <n v="26.6"/>
    <n v="0.19"/>
    <n v="0"/>
    <s v="Pas d'écart"/>
    <n v="0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8"/>
    <n v="21"/>
    <x v="22"/>
    <x v="0"/>
    <n v="0"/>
    <n v="24"/>
    <n v="0.24"/>
    <n v="-24"/>
    <x v="0"/>
    <x v="1"/>
    <n v="0"/>
    <n v="24"/>
    <n v="0.24"/>
    <n v="-24"/>
    <s v="Ecart négatif"/>
    <n v="-22.65"/>
  </r>
  <r>
    <x v="4"/>
    <n v="27"/>
    <x v="14"/>
    <x v="94"/>
    <n v="0.158"/>
    <n v="22.1"/>
    <n v="0.17"/>
    <n v="-1.5600000000000023"/>
    <x v="0"/>
    <x v="1"/>
    <n v="0"/>
    <n v="22.1"/>
    <n v="0.17"/>
    <n v="-22.1"/>
    <s v="Ecart négatif"/>
    <n v="0"/>
  </r>
  <r>
    <x v="8"/>
    <n v="6"/>
    <x v="8"/>
    <x v="0"/>
    <n v="0"/>
    <n v="21"/>
    <n v="0.3"/>
    <n v="-21"/>
    <x v="0"/>
    <x v="1"/>
    <n v="0"/>
    <n v="21"/>
    <n v="0.3"/>
    <n v="-21"/>
    <s v="Ecart négatif"/>
    <n v="0"/>
  </r>
  <r>
    <x v="4"/>
    <n v="61"/>
    <x v="14"/>
    <x v="94"/>
    <n v="0.158"/>
    <n v="22.1"/>
    <n v="0.17"/>
    <n v="-1.5600000000000023"/>
    <x v="0"/>
    <x v="1"/>
    <n v="0"/>
    <n v="22.1"/>
    <n v="0.17"/>
    <n v="-22.1"/>
    <s v="Ecart négatif"/>
    <n v="0"/>
  </r>
  <r>
    <x v="6"/>
    <n v="77"/>
    <x v="12"/>
    <x v="95"/>
    <n v="0.27"/>
    <n v="0"/>
    <n v="0"/>
    <n v="10.8"/>
    <x v="2"/>
    <x v="1"/>
    <n v="0"/>
    <n v="0"/>
    <n v="0"/>
    <n v="0"/>
    <s v="Pas d'écart"/>
    <n v="26.16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50"/>
    <x v="2"/>
    <x v="96"/>
    <n v="0.15807142857142856"/>
    <n v="23.8"/>
    <n v="0.17"/>
    <n v="-1.6700000000000017"/>
    <x v="0"/>
    <x v="1"/>
    <n v="0"/>
    <n v="23.8"/>
    <n v="0.17"/>
    <n v="-23.8"/>
    <s v="Ecart négatif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3"/>
    <n v="6"/>
    <x v="27"/>
    <x v="97"/>
    <n v="0.3"/>
    <n v="15"/>
    <n v="0.3"/>
    <n v="0"/>
    <x v="1"/>
    <x v="1"/>
    <n v="0"/>
    <n v="15"/>
    <n v="0.3"/>
    <n v="-15"/>
    <s v="Ecart négatif"/>
    <n v="10.030000000000001"/>
  </r>
  <r>
    <x v="3"/>
    <n v="45"/>
    <x v="7"/>
    <x v="98"/>
    <n v="0.15833333333333333"/>
    <n v="6.3"/>
    <n v="0.21"/>
    <n v="-1.5499999999999998"/>
    <x v="0"/>
    <x v="1"/>
    <n v="0"/>
    <n v="6.3"/>
    <n v="0.21"/>
    <n v="-6.3"/>
    <s v="Ecart négatif"/>
    <n v="3.5199999999999978"/>
  </r>
  <r>
    <x v="3"/>
    <n v="45"/>
    <x v="7"/>
    <x v="98"/>
    <n v="0.15833333333333333"/>
    <n v="6.3"/>
    <n v="0.21"/>
    <n v="-1.5499999999999998"/>
    <x v="0"/>
    <x v="1"/>
    <n v="0"/>
    <n v="6.3"/>
    <n v="0.21"/>
    <n v="-6.3"/>
    <s v="Ecart négatif"/>
    <n v="3.5199999999999978"/>
  </r>
  <r>
    <x v="3"/>
    <n v="45"/>
    <x v="7"/>
    <x v="98"/>
    <n v="0.15833333333333333"/>
    <n v="6.3"/>
    <n v="0.21"/>
    <n v="-1.5499999999999998"/>
    <x v="0"/>
    <x v="1"/>
    <n v="0"/>
    <n v="6.3"/>
    <n v="0.21"/>
    <n v="-6.3"/>
    <s v="Ecart négatif"/>
    <n v="3.5199999999999978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2"/>
    <n v="93"/>
    <x v="38"/>
    <x v="0"/>
    <n v="0"/>
    <n v="0"/>
    <n v="0"/>
    <n v="0"/>
    <x v="1"/>
    <x v="1"/>
    <n v="0"/>
    <n v="0"/>
    <n v="0"/>
    <n v="0"/>
    <s v="Pas d'écart"/>
    <n v="0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45"/>
    <x v="7"/>
    <x v="98"/>
    <n v="0.15833333333333333"/>
    <n v="6.3"/>
    <n v="0.21"/>
    <n v="-1.5499999999999998"/>
    <x v="0"/>
    <x v="1"/>
    <n v="0"/>
    <n v="6.3"/>
    <n v="0.21"/>
    <n v="-6.3"/>
    <s v="Ecart négatif"/>
    <n v="0"/>
  </r>
  <r>
    <x v="4"/>
    <n v="50"/>
    <x v="27"/>
    <x v="99"/>
    <n v="0.15839999999999999"/>
    <n v="8.5"/>
    <n v="0.17"/>
    <n v="-0.58000000000000007"/>
    <x v="0"/>
    <x v="1"/>
    <n v="0"/>
    <n v="8.5"/>
    <n v="0.17"/>
    <n v="-8.5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4"/>
    <n v="76"/>
    <x v="22"/>
    <x v="100"/>
    <n v="0.15839999999999999"/>
    <n v="17"/>
    <n v="0.17"/>
    <n v="-1.1600000000000001"/>
    <x v="0"/>
    <x v="1"/>
    <n v="0"/>
    <n v="17"/>
    <n v="0.17"/>
    <n v="-17"/>
    <s v="Ecart négatif"/>
    <n v="0"/>
  </r>
  <r>
    <x v="2"/>
    <n v="49"/>
    <x v="12"/>
    <x v="0"/>
    <n v="0"/>
    <n v="0"/>
    <n v="0"/>
    <n v="0"/>
    <x v="1"/>
    <x v="1"/>
    <n v="0"/>
    <n v="0"/>
    <n v="0"/>
    <n v="0"/>
    <s v="Pas d'écart"/>
    <n v="0"/>
  </r>
  <r>
    <x v="7"/>
    <n v="76"/>
    <x v="2"/>
    <x v="0"/>
    <n v="0"/>
    <n v="23.8"/>
    <n v="0.17"/>
    <n v="-23.8"/>
    <x v="0"/>
    <x v="1"/>
    <n v="0"/>
    <n v="23.8"/>
    <n v="0.17"/>
    <n v="-23.8"/>
    <s v="Ecart négatif"/>
    <n v="13.140000000000008"/>
  </r>
  <r>
    <x v="3"/>
    <n v="60"/>
    <x v="12"/>
    <x v="101"/>
    <n v="0.1585"/>
    <n v="7.6"/>
    <n v="0.19"/>
    <n v="-1.2599999999999998"/>
    <x v="0"/>
    <x v="1"/>
    <n v="0"/>
    <n v="7.6"/>
    <n v="0.19"/>
    <n v="-7.6"/>
    <s v="Ecart négatif"/>
    <n v="9.5499999999999972"/>
  </r>
  <r>
    <x v="0"/>
    <n v="13"/>
    <x v="8"/>
    <x v="0"/>
    <n v="0"/>
    <n v="13.3"/>
    <n v="0.19"/>
    <n v="-13.3"/>
    <x v="0"/>
    <x v="1"/>
    <n v="0"/>
    <n v="13.3"/>
    <n v="0.19"/>
    <n v="-13.3"/>
    <s v="Ecart négatif"/>
    <n v="44.77"/>
  </r>
  <r>
    <x v="4"/>
    <n v="80"/>
    <x v="12"/>
    <x v="101"/>
    <n v="0.1585"/>
    <n v="7.6"/>
    <n v="0.19"/>
    <n v="-1.2599999999999998"/>
    <x v="0"/>
    <x v="1"/>
    <n v="0"/>
    <n v="7.6"/>
    <n v="0.19"/>
    <n v="-7.6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5"/>
    <n v="73"/>
    <x v="0"/>
    <x v="0"/>
    <n v="0"/>
    <n v="48.6"/>
    <n v="0.27"/>
    <n v="-48.6"/>
    <x v="0"/>
    <x v="1"/>
    <n v="0"/>
    <n v="48.6"/>
    <n v="0.27"/>
    <n v="-48.6"/>
    <s v="Ecart négatif"/>
    <n v="23.210000000000008"/>
  </r>
  <r>
    <x v="3"/>
    <n v="62"/>
    <x v="12"/>
    <x v="101"/>
    <n v="0.1585"/>
    <n v="7.6"/>
    <n v="0.19"/>
    <n v="-1.2599999999999998"/>
    <x v="0"/>
    <x v="1"/>
    <n v="0"/>
    <n v="7.6"/>
    <n v="0.19"/>
    <n v="-7.6"/>
    <s v="Ecart négatif"/>
    <n v="8.2899999999999991"/>
  </r>
  <r>
    <x v="2"/>
    <n v="94"/>
    <x v="18"/>
    <x v="0"/>
    <n v="0"/>
    <n v="0"/>
    <n v="0"/>
    <n v="0"/>
    <x v="1"/>
    <x v="1"/>
    <n v="0"/>
    <n v="0"/>
    <n v="0"/>
    <n v="0"/>
    <s v="Pas d'écart"/>
    <n v="40.19"/>
  </r>
  <r>
    <x v="3"/>
    <n v="60"/>
    <x v="12"/>
    <x v="101"/>
    <n v="0.1585"/>
    <n v="7.6"/>
    <n v="0.19"/>
    <n v="-1.2599999999999998"/>
    <x v="0"/>
    <x v="1"/>
    <n v="0"/>
    <n v="7.6"/>
    <n v="0.19"/>
    <n v="-7.6"/>
    <s v="Ecart négatif"/>
    <n v="9.5499999999999972"/>
  </r>
  <r>
    <x v="7"/>
    <n v="92"/>
    <x v="14"/>
    <x v="0"/>
    <n v="0"/>
    <n v="0"/>
    <n v="0"/>
    <n v="0"/>
    <x v="1"/>
    <x v="1"/>
    <n v="0"/>
    <n v="0"/>
    <n v="0"/>
    <n v="0"/>
    <s v="Pas d'écart"/>
    <n v="10.020000000000003"/>
  </r>
  <r>
    <x v="0"/>
    <n v="69"/>
    <x v="34"/>
    <x v="0"/>
    <n v="0"/>
    <n v="0"/>
    <n v="0"/>
    <n v="0"/>
    <x v="1"/>
    <x v="1"/>
    <n v="0"/>
    <n v="0"/>
    <n v="0"/>
    <n v="0"/>
    <s v="Pas d'écart"/>
    <n v="24.340000000000003"/>
  </r>
  <r>
    <x v="0"/>
    <n v="5"/>
    <x v="2"/>
    <x v="102"/>
    <n v="0.21428571428571427"/>
    <n v="26.6"/>
    <n v="0.19"/>
    <n v="3.3999999999999986"/>
    <x v="2"/>
    <x v="1"/>
    <n v="0"/>
    <n v="26.6"/>
    <n v="0.19"/>
    <n v="-26.6"/>
    <s v="Ecart négatif"/>
    <n v="15.759999999999998"/>
  </r>
  <r>
    <x v="2"/>
    <n v="73"/>
    <x v="25"/>
    <x v="0"/>
    <n v="0"/>
    <n v="0"/>
    <n v="0"/>
    <n v="0"/>
    <x v="1"/>
    <x v="1"/>
    <n v="0"/>
    <n v="0"/>
    <n v="0"/>
    <n v="0"/>
    <s v="Pas d'écart"/>
    <n v="152.72999999999999"/>
  </r>
  <r>
    <x v="0"/>
    <n v="89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39"/>
    <x v="8"/>
    <x v="0"/>
    <n v="0"/>
    <n v="0"/>
    <n v="0"/>
    <n v="0"/>
    <x v="1"/>
    <x v="1"/>
    <n v="0"/>
    <n v="0"/>
    <n v="0"/>
    <n v="0"/>
    <s v="Pas d'écart"/>
    <n v="66.36"/>
  </r>
  <r>
    <x v="2"/>
    <n v="84"/>
    <x v="11"/>
    <x v="0"/>
    <n v="0"/>
    <n v="11.4"/>
    <n v="0.19"/>
    <n v="-11.4"/>
    <x v="0"/>
    <x v="1"/>
    <n v="0"/>
    <n v="11.4"/>
    <n v="0.19"/>
    <n v="-11.4"/>
    <s v="Ecart négatif"/>
    <n v="52.78"/>
  </r>
  <r>
    <x v="0"/>
    <n v="63"/>
    <x v="12"/>
    <x v="0"/>
    <n v="0"/>
    <n v="4.8"/>
    <n v="0.12"/>
    <n v="-4.8"/>
    <x v="0"/>
    <x v="1"/>
    <n v="0"/>
    <n v="4.8"/>
    <n v="0.12"/>
    <n v="-4.8"/>
    <s v="Ecart négatif"/>
    <n v="34.29"/>
  </r>
  <r>
    <x v="0"/>
    <n v="51"/>
    <x v="2"/>
    <x v="0"/>
    <n v="0"/>
    <n v="35"/>
    <n v="0.25"/>
    <n v="-35"/>
    <x v="0"/>
    <x v="71"/>
    <n v="0.25"/>
    <n v="35"/>
    <n v="0.25"/>
    <n v="0"/>
    <s v="Pas d'écart"/>
    <n v="78.8"/>
  </r>
  <r>
    <x v="0"/>
    <n v="55"/>
    <x v="0"/>
    <x v="0"/>
    <n v="0"/>
    <n v="45"/>
    <n v="0.25"/>
    <n v="-45"/>
    <x v="0"/>
    <x v="72"/>
    <n v="0.25"/>
    <n v="45"/>
    <n v="0.25"/>
    <n v="0"/>
    <s v="Pas d'écart"/>
    <n v="107.35"/>
  </r>
  <r>
    <x v="4"/>
    <n v="60"/>
    <x v="12"/>
    <x v="101"/>
    <n v="0.1585"/>
    <n v="7.6"/>
    <n v="0.19"/>
    <n v="-1.2599999999999998"/>
    <x v="0"/>
    <x v="1"/>
    <n v="0"/>
    <n v="7.6"/>
    <n v="0.19"/>
    <n v="-7.6"/>
    <s v="Ecart négatif"/>
    <n v="0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0"/>
    <n v="69"/>
    <x v="18"/>
    <x v="0"/>
    <n v="0"/>
    <n v="0"/>
    <n v="0"/>
    <n v="0"/>
    <x v="1"/>
    <x v="1"/>
    <n v="0"/>
    <n v="0"/>
    <n v="0"/>
    <n v="0"/>
    <s v="Pas d'écart"/>
    <n v="50.16"/>
  </r>
  <r>
    <x v="6"/>
    <n v="68"/>
    <x v="4"/>
    <x v="0"/>
    <n v="0"/>
    <n v="31.9"/>
    <n v="0.28999999999999998"/>
    <n v="-31.9"/>
    <x v="0"/>
    <x v="1"/>
    <n v="0"/>
    <n v="31.9"/>
    <n v="0.28999999999999998"/>
    <n v="-31.9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7"/>
    <n v="63"/>
    <x v="4"/>
    <x v="0"/>
    <n v="0"/>
    <n v="31.9"/>
    <n v="0.28999999999999998"/>
    <n v="-31.9"/>
    <x v="0"/>
    <x v="1"/>
    <n v="0"/>
    <n v="31.9"/>
    <n v="0.28999999999999998"/>
    <n v="-31.9"/>
    <s v="Ecart négatif"/>
    <n v="11.269999999999996"/>
  </r>
  <r>
    <x v="5"/>
    <n v="63"/>
    <x v="7"/>
    <x v="0"/>
    <n v="0"/>
    <n v="8.6999999999999993"/>
    <n v="0.28999999999999998"/>
    <n v="-8.6999999999999993"/>
    <x v="0"/>
    <x v="73"/>
    <n v="0.28999999999999998"/>
    <n v="8.6999999999999993"/>
    <n v="0.28999999999999998"/>
    <n v="0"/>
    <s v="Pas d'écart"/>
    <n v="3.7799999999999976"/>
  </r>
  <r>
    <x v="4"/>
    <n v="14"/>
    <x v="4"/>
    <x v="103"/>
    <n v="0.15927272727272726"/>
    <n v="18.700000000000003"/>
    <n v="0.17"/>
    <n v="-1.1800000000000033"/>
    <x v="0"/>
    <x v="1"/>
    <n v="0"/>
    <n v="18.700000000000003"/>
    <n v="0.17"/>
    <n v="-18.700000000000003"/>
    <s v="Ecart négatif"/>
    <n v="0"/>
  </r>
  <r>
    <x v="4"/>
    <n v="59"/>
    <x v="12"/>
    <x v="104"/>
    <n v="0.1595"/>
    <n v="7.6"/>
    <n v="0.19"/>
    <n v="-1.2199999999999998"/>
    <x v="0"/>
    <x v="1"/>
    <n v="0"/>
    <n v="7.6"/>
    <n v="0.19"/>
    <n v="-7.6"/>
    <s v="Ecart négatif"/>
    <n v="-30.71"/>
  </r>
  <r>
    <x v="2"/>
    <n v="62"/>
    <x v="2"/>
    <x v="0"/>
    <n v="0"/>
    <n v="0"/>
    <n v="0"/>
    <n v="0"/>
    <x v="1"/>
    <x v="1"/>
    <n v="0"/>
    <n v="0"/>
    <n v="0"/>
    <n v="0"/>
    <s v="Pas d'écart"/>
    <n v="73.41"/>
  </r>
  <r>
    <x v="2"/>
    <n v="57"/>
    <x v="15"/>
    <x v="0"/>
    <n v="0"/>
    <n v="5"/>
    <n v="0.25"/>
    <n v="-5"/>
    <x v="0"/>
    <x v="57"/>
    <n v="0.21249999999999999"/>
    <n v="5"/>
    <n v="0.25"/>
    <n v="-0.75"/>
    <s v="Ecart négatif"/>
    <n v="0"/>
  </r>
  <r>
    <x v="3"/>
    <n v="62"/>
    <x v="7"/>
    <x v="105"/>
    <n v="0.15966666666666668"/>
    <n v="5.7"/>
    <n v="0.19"/>
    <n v="-0.91000000000000014"/>
    <x v="0"/>
    <x v="1"/>
    <n v="0"/>
    <n v="5.7"/>
    <n v="0.19"/>
    <n v="-5.7"/>
    <s v="Ecart négatif"/>
    <n v="3.630000000000002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6"/>
    <n v="51"/>
    <x v="12"/>
    <x v="0"/>
    <n v="0"/>
    <n v="10"/>
    <n v="0.25"/>
    <n v="-10"/>
    <x v="0"/>
    <x v="1"/>
    <n v="0"/>
    <n v="10"/>
    <n v="0.25"/>
    <n v="-10"/>
    <s v="Ecart négatif"/>
    <n v="47.76"/>
  </r>
  <r>
    <x v="5"/>
    <n v="44"/>
    <x v="0"/>
    <x v="0"/>
    <n v="0"/>
    <n v="48.6"/>
    <n v="0.27"/>
    <n v="-48.6"/>
    <x v="0"/>
    <x v="1"/>
    <n v="0"/>
    <n v="48.6"/>
    <n v="0.27"/>
    <n v="-48.6"/>
    <s v="Ecart négatif"/>
    <n v="18.41999999999998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76"/>
    <x v="9"/>
    <x v="106"/>
    <n v="0.15975"/>
    <n v="13.600000000000001"/>
    <n v="0.17"/>
    <n v="-0.82000000000000206"/>
    <x v="0"/>
    <x v="1"/>
    <n v="0"/>
    <n v="13.600000000000001"/>
    <n v="0.17"/>
    <n v="-13.600000000000001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14"/>
    <x v="9"/>
    <x v="106"/>
    <n v="0.15975"/>
    <n v="13.600000000000001"/>
    <n v="0.17"/>
    <n v="-0.82000000000000206"/>
    <x v="0"/>
    <x v="1"/>
    <n v="0"/>
    <n v="13.600000000000001"/>
    <n v="0.17"/>
    <n v="-13.600000000000001"/>
    <s v="Ecart négatif"/>
    <n v="14.04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6"/>
    <n v="44"/>
    <x v="6"/>
    <x v="107"/>
    <n v="0.2548125"/>
    <n v="43.2"/>
    <n v="0.27"/>
    <n v="-2.4299999999999997"/>
    <x v="0"/>
    <x v="1"/>
    <n v="0"/>
    <n v="43.2"/>
    <n v="0.27"/>
    <n v="-43.2"/>
    <s v="Ecart négatif"/>
    <n v="76.56"/>
  </r>
  <r>
    <x v="2"/>
    <n v="62"/>
    <x v="20"/>
    <x v="0"/>
    <n v="0"/>
    <n v="0"/>
    <n v="0"/>
    <n v="0"/>
    <x v="1"/>
    <x v="1"/>
    <n v="0"/>
    <n v="0"/>
    <n v="0"/>
    <n v="0"/>
    <s v="Pas d'écart"/>
    <n v="0"/>
  </r>
  <r>
    <x v="8"/>
    <n v="31"/>
    <x v="2"/>
    <x v="0"/>
    <n v="0"/>
    <n v="26.6"/>
    <n v="0.19"/>
    <n v="-26.6"/>
    <x v="0"/>
    <x v="1"/>
    <n v="0"/>
    <n v="26.6"/>
    <n v="0.19"/>
    <n v="-26.6"/>
    <s v="Ecart négatif"/>
    <n v="13.110000000000007"/>
  </r>
  <r>
    <x v="3"/>
    <n v="76"/>
    <x v="10"/>
    <x v="108"/>
    <n v="0.15993333333333332"/>
    <n v="25.500000000000004"/>
    <n v="0.17"/>
    <n v="-1.5100000000000051"/>
    <x v="0"/>
    <x v="1"/>
    <n v="0"/>
    <n v="25.500000000000004"/>
    <n v="0.17"/>
    <n v="-25.500000000000004"/>
    <s v="Ecart négatif"/>
    <n v="13.759999999999998"/>
  </r>
  <r>
    <x v="4"/>
    <n v="27"/>
    <x v="2"/>
    <x v="109"/>
    <n v="0.16007142857142856"/>
    <n v="23.8"/>
    <n v="0.17"/>
    <n v="-1.3900000000000006"/>
    <x v="0"/>
    <x v="1"/>
    <n v="0"/>
    <n v="23.8"/>
    <n v="0.17"/>
    <n v="-23.8"/>
    <s v="Ecart négatif"/>
    <n v="0"/>
  </r>
  <r>
    <x v="0"/>
    <n v="62"/>
    <x v="2"/>
    <x v="0"/>
    <n v="0"/>
    <n v="0"/>
    <n v="0"/>
    <n v="0"/>
    <x v="1"/>
    <x v="1"/>
    <n v="0"/>
    <n v="0"/>
    <n v="0"/>
    <n v="0"/>
    <s v="Pas d'écart"/>
    <n v="73.41"/>
  </r>
  <r>
    <x v="2"/>
    <n v="67"/>
    <x v="6"/>
    <x v="0"/>
    <n v="0"/>
    <n v="12.8"/>
    <n v="0.08"/>
    <n v="-12.8"/>
    <x v="0"/>
    <x v="74"/>
    <n v="7.6999999999999999E-2"/>
    <n v="12.8"/>
    <n v="0.08"/>
    <n v="-0.48000000000000043"/>
    <s v="Ecart négatif"/>
    <n v="0"/>
  </r>
  <r>
    <x v="2"/>
    <n v="62"/>
    <x v="0"/>
    <x v="0"/>
    <n v="0"/>
    <n v="0"/>
    <n v="0"/>
    <n v="0"/>
    <x v="1"/>
    <x v="1"/>
    <n v="0"/>
    <n v="0"/>
    <n v="0"/>
    <n v="0"/>
    <s v="Pas d'écart"/>
    <n v="0"/>
  </r>
  <r>
    <x v="2"/>
    <n v="75"/>
    <x v="1"/>
    <x v="0"/>
    <n v="0"/>
    <n v="0"/>
    <n v="0"/>
    <n v="0"/>
    <x v="1"/>
    <x v="1"/>
    <n v="0"/>
    <n v="0"/>
    <n v="0"/>
    <n v="0"/>
    <s v="Pas d'écart"/>
    <n v="0"/>
  </r>
  <r>
    <x v="0"/>
    <n v="35"/>
    <x v="3"/>
    <x v="0"/>
    <n v="0"/>
    <n v="0"/>
    <n v="0"/>
    <n v="0"/>
    <x v="1"/>
    <x v="1"/>
    <n v="0"/>
    <n v="0"/>
    <n v="0"/>
    <n v="0"/>
    <s v="Pas d'écart"/>
    <n v="135.19999999999999"/>
  </r>
  <r>
    <x v="3"/>
    <n v="76"/>
    <x v="9"/>
    <x v="110"/>
    <n v="0.16012500000000002"/>
    <n v="13.600000000000001"/>
    <n v="0.17"/>
    <n v="-0.79000000000000092"/>
    <x v="0"/>
    <x v="1"/>
    <n v="0"/>
    <n v="13.600000000000001"/>
    <n v="0.17"/>
    <n v="-13.600000000000001"/>
    <s v="Ecart négatif"/>
    <n v="9.4100000000000037"/>
  </r>
  <r>
    <x v="3"/>
    <n v="76"/>
    <x v="9"/>
    <x v="110"/>
    <n v="0.16012500000000002"/>
    <n v="13.600000000000001"/>
    <n v="0.17"/>
    <n v="-0.79000000000000092"/>
    <x v="0"/>
    <x v="1"/>
    <n v="0"/>
    <n v="13.600000000000001"/>
    <n v="0.17"/>
    <n v="-13.600000000000001"/>
    <s v="Ecart négatif"/>
    <n v="9.4100000000000037"/>
  </r>
  <r>
    <x v="2"/>
    <n v="68"/>
    <x v="8"/>
    <x v="0"/>
    <n v="0"/>
    <n v="5.6000000000000005"/>
    <n v="0.08"/>
    <n v="-5.6000000000000005"/>
    <x v="0"/>
    <x v="75"/>
    <n v="7.8E-2"/>
    <n v="5.6000000000000005"/>
    <n v="0.08"/>
    <n v="-0.14000000000000057"/>
    <s v="Ecart négatif"/>
    <n v="10.479999999999997"/>
  </r>
  <r>
    <x v="0"/>
    <n v="50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18.340000000000003"/>
  </r>
  <r>
    <x v="4"/>
    <n v="76"/>
    <x v="9"/>
    <x v="110"/>
    <n v="0.16012500000000002"/>
    <n v="13.600000000000001"/>
    <n v="0.17"/>
    <n v="-0.79000000000000092"/>
    <x v="0"/>
    <x v="1"/>
    <n v="0"/>
    <n v="13.600000000000001"/>
    <n v="0.17"/>
    <n v="-13.600000000000001"/>
    <s v="Ecart négatif"/>
    <n v="0"/>
  </r>
  <r>
    <x v="3"/>
    <n v="76"/>
    <x v="6"/>
    <x v="111"/>
    <n v="0.16043750000000001"/>
    <n v="27.200000000000003"/>
    <n v="0.17"/>
    <n v="-1.5300000000000011"/>
    <x v="0"/>
    <x v="1"/>
    <n v="0"/>
    <n v="27.200000000000003"/>
    <n v="0.17"/>
    <n v="-27.200000000000003"/>
    <s v="Ecart négatif"/>
    <n v="15.310000000000002"/>
  </r>
  <r>
    <x v="5"/>
    <n v="94"/>
    <x v="39"/>
    <x v="0"/>
    <n v="0"/>
    <n v="0"/>
    <n v="0"/>
    <n v="0"/>
    <x v="1"/>
    <x v="1"/>
    <n v="0"/>
    <n v="0"/>
    <n v="0"/>
    <n v="0"/>
    <s v="Pas d'écart"/>
    <n v="16.179999999999993"/>
  </r>
  <r>
    <x v="2"/>
    <n v="75"/>
    <x v="3"/>
    <x v="0"/>
    <n v="0"/>
    <n v="0"/>
    <n v="0"/>
    <n v="0"/>
    <x v="1"/>
    <x v="1"/>
    <n v="0"/>
    <n v="0"/>
    <n v="0"/>
    <n v="0"/>
    <s v="Pas d'écart"/>
    <n v="0"/>
  </r>
  <r>
    <x v="8"/>
    <n v="37"/>
    <x v="8"/>
    <x v="0"/>
    <n v="0"/>
    <n v="13.3"/>
    <n v="0.19"/>
    <n v="-13.3"/>
    <x v="0"/>
    <x v="1"/>
    <n v="0"/>
    <n v="13.3"/>
    <n v="0.19"/>
    <n v="-13.3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39"/>
    <x v="7"/>
    <x v="0"/>
    <n v="0"/>
    <n v="0"/>
    <n v="0"/>
    <n v="0"/>
    <x v="1"/>
    <x v="1"/>
    <n v="0"/>
    <n v="0"/>
    <n v="0"/>
    <n v="0"/>
    <s v="Pas d'écart"/>
    <n v="18.78"/>
  </r>
  <r>
    <x v="2"/>
    <n v="70"/>
    <x v="6"/>
    <x v="0"/>
    <n v="0"/>
    <n v="19.2"/>
    <n v="0.12"/>
    <n v="-19.2"/>
    <x v="0"/>
    <x v="1"/>
    <n v="0"/>
    <n v="19.2"/>
    <n v="0.12"/>
    <n v="-19.2"/>
    <s v="Ecart négatif"/>
    <n v="91.69"/>
  </r>
  <r>
    <x v="2"/>
    <n v="8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73.41"/>
  </r>
  <r>
    <x v="2"/>
    <n v="13"/>
    <x v="40"/>
    <x v="0"/>
    <n v="0"/>
    <n v="218.5"/>
    <n v="0.19"/>
    <n v="-218.5"/>
    <x v="0"/>
    <x v="1"/>
    <n v="0"/>
    <n v="218.5"/>
    <n v="0.19"/>
    <n v="-218.5"/>
    <s v="Ecart négatif"/>
    <e v="#N/A"/>
  </r>
  <r>
    <x v="0"/>
    <n v="54"/>
    <x v="4"/>
    <x v="0"/>
    <n v="0"/>
    <n v="27.5"/>
    <n v="0.25"/>
    <n v="-27.5"/>
    <x v="0"/>
    <x v="77"/>
    <n v="0.24572727272727274"/>
    <n v="27.5"/>
    <n v="0.25"/>
    <n v="-0.46999999999999886"/>
    <s v="Ecart négatif"/>
    <n v="56.37"/>
  </r>
  <r>
    <x v="0"/>
    <n v="38"/>
    <x v="3"/>
    <x v="0"/>
    <n v="0"/>
    <n v="0"/>
    <n v="0"/>
    <n v="0"/>
    <x v="1"/>
    <x v="78"/>
    <n v="0.25842857142857145"/>
    <n v="0"/>
    <n v="0"/>
    <n v="54.27"/>
    <s v="Ecart positif"/>
    <n v="135.1999999999999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2"/>
    <n v="59"/>
    <x v="6"/>
    <x v="0"/>
    <n v="0"/>
    <n v="0"/>
    <n v="0"/>
    <n v="0"/>
    <x v="1"/>
    <x v="1"/>
    <n v="0"/>
    <n v="0"/>
    <n v="0"/>
    <n v="0"/>
    <s v="Pas d'écart"/>
    <n v="76.56"/>
  </r>
  <r>
    <x v="0"/>
    <n v="10"/>
    <x v="19"/>
    <x v="0"/>
    <n v="0"/>
    <n v="22.8"/>
    <n v="0.12000000000000001"/>
    <n v="-22.8"/>
    <x v="0"/>
    <x v="79"/>
    <n v="0.11621052631578946"/>
    <n v="22.8"/>
    <n v="0.12000000000000001"/>
    <n v="-0.72000000000000242"/>
    <s v="Ecart négatif"/>
    <n v="128.22"/>
  </r>
  <r>
    <x v="0"/>
    <n v="59"/>
    <x v="0"/>
    <x v="0"/>
    <n v="0"/>
    <n v="0"/>
    <n v="0"/>
    <n v="0"/>
    <x v="1"/>
    <x v="1"/>
    <n v="0"/>
    <n v="0"/>
    <n v="0"/>
    <n v="0"/>
    <s v="Pas d'écart"/>
    <n v="92.1"/>
  </r>
  <r>
    <x v="6"/>
    <n v="49"/>
    <x v="16"/>
    <x v="0"/>
    <n v="0"/>
    <n v="54"/>
    <n v="0.27"/>
    <n v="-54"/>
    <x v="0"/>
    <x v="1"/>
    <n v="0"/>
    <n v="54"/>
    <n v="0.27"/>
    <n v="-54"/>
    <s v="Ecart négatif"/>
    <n v="0"/>
  </r>
  <r>
    <x v="6"/>
    <n v="35"/>
    <x v="8"/>
    <x v="0"/>
    <n v="0"/>
    <n v="18.900000000000002"/>
    <n v="0.27"/>
    <n v="-18.900000000000002"/>
    <x v="0"/>
    <x v="80"/>
    <n v="0.16271428571428573"/>
    <n v="18.900000000000002"/>
    <n v="0.27"/>
    <n v="-7.5100000000000016"/>
    <s v="Ecart négatif"/>
    <n v="0"/>
  </r>
  <r>
    <x v="2"/>
    <n v="62"/>
    <x v="27"/>
    <x v="0"/>
    <n v="0"/>
    <n v="0"/>
    <n v="0"/>
    <n v="0"/>
    <x v="1"/>
    <x v="1"/>
    <n v="0"/>
    <n v="0"/>
    <n v="0"/>
    <n v="0"/>
    <s v="Pas d'écart"/>
    <n v="44.07"/>
  </r>
  <r>
    <x v="0"/>
    <n v="63"/>
    <x v="20"/>
    <x v="0"/>
    <n v="0"/>
    <n v="30"/>
    <n v="0.12"/>
    <n v="-30"/>
    <x v="0"/>
    <x v="1"/>
    <n v="0"/>
    <n v="30"/>
    <n v="0.12"/>
    <n v="-30"/>
    <s v="Ecart négatif"/>
    <n v="131.1"/>
  </r>
  <r>
    <x v="8"/>
    <n v="92"/>
    <x v="0"/>
    <x v="0"/>
    <n v="0"/>
    <n v="0"/>
    <n v="0"/>
    <n v="0"/>
    <x v="1"/>
    <x v="1"/>
    <n v="0"/>
    <n v="0"/>
    <n v="0"/>
    <n v="0"/>
    <s v="Pas d'écart"/>
    <n v="60.27"/>
  </r>
  <r>
    <x v="0"/>
    <n v="27"/>
    <x v="0"/>
    <x v="0"/>
    <n v="0"/>
    <n v="30.6"/>
    <n v="0.17"/>
    <n v="-30.6"/>
    <x v="0"/>
    <x v="1"/>
    <n v="0"/>
    <n v="30.6"/>
    <n v="0.17"/>
    <n v="-30.6"/>
    <s v="Ecart négatif"/>
    <n v="107.35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4"/>
    <n v="76"/>
    <x v="6"/>
    <x v="111"/>
    <n v="0.16043750000000001"/>
    <n v="27.200000000000003"/>
    <n v="0.17"/>
    <n v="-1.5300000000000011"/>
    <x v="0"/>
    <x v="1"/>
    <n v="0"/>
    <n v="27.200000000000003"/>
    <n v="0.17"/>
    <n v="-27.200000000000003"/>
    <s v="Ecart négatif"/>
    <n v="0"/>
  </r>
  <r>
    <x v="0"/>
    <n v="88"/>
    <x v="15"/>
    <x v="0"/>
    <n v="0"/>
    <n v="1.6"/>
    <n v="0.08"/>
    <n v="-1.6"/>
    <x v="0"/>
    <x v="1"/>
    <n v="0"/>
    <n v="1.6"/>
    <n v="0.08"/>
    <n v="-1.6"/>
    <s v="Ecart négatif"/>
    <n v="16.39"/>
  </r>
  <r>
    <x v="0"/>
    <n v="67"/>
    <x v="7"/>
    <x v="0"/>
    <n v="0"/>
    <n v="2.4"/>
    <n v="0.08"/>
    <n v="-2.4"/>
    <x v="0"/>
    <x v="81"/>
    <n v="7.8333333333333338E-2"/>
    <n v="2.4"/>
    <n v="0.08"/>
    <n v="-4.9999999999999822E-2"/>
    <s v="Ecart négatif"/>
    <n v="3.6799999999999997"/>
  </r>
  <r>
    <x v="2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7"/>
    <n v="44"/>
    <x v="0"/>
    <x v="0"/>
    <n v="0"/>
    <n v="48.6"/>
    <n v="0.27"/>
    <n v="-48.6"/>
    <x v="0"/>
    <x v="1"/>
    <n v="0"/>
    <n v="48.6"/>
    <n v="0.27"/>
    <n v="-48.6"/>
    <s v="Ecart négatif"/>
    <n v="18.419999999999987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8"/>
    <n v="26"/>
    <x v="0"/>
    <x v="0"/>
    <n v="0"/>
    <n v="48.6"/>
    <n v="0.27"/>
    <n v="-48.6"/>
    <x v="0"/>
    <x v="1"/>
    <n v="0"/>
    <n v="48.6"/>
    <n v="0.27"/>
    <n v="-48.6"/>
    <s v="Ecart négatif"/>
    <n v="55.77"/>
  </r>
  <r>
    <x v="2"/>
    <n v="91"/>
    <x v="6"/>
    <x v="0"/>
    <n v="0"/>
    <n v="0"/>
    <n v="0"/>
    <n v="0"/>
    <x v="1"/>
    <x v="1"/>
    <n v="0"/>
    <n v="0"/>
    <n v="0"/>
    <n v="0"/>
    <s v="Pas d'écart"/>
    <n v="0"/>
  </r>
  <r>
    <x v="0"/>
    <n v="54"/>
    <x v="12"/>
    <x v="0"/>
    <n v="0"/>
    <n v="10"/>
    <n v="0.25"/>
    <n v="-10"/>
    <x v="0"/>
    <x v="1"/>
    <n v="0"/>
    <n v="10"/>
    <n v="0.25"/>
    <n v="-10"/>
    <s v="Ecart négatif"/>
    <n v="6.8599999999999994"/>
  </r>
  <r>
    <x v="3"/>
    <n v="27"/>
    <x v="6"/>
    <x v="111"/>
    <n v="0.16043750000000001"/>
    <n v="27.200000000000003"/>
    <n v="0.17"/>
    <n v="-1.5300000000000011"/>
    <x v="0"/>
    <x v="1"/>
    <n v="0"/>
    <n v="27.200000000000003"/>
    <n v="0.17"/>
    <n v="-27.200000000000003"/>
    <s v="Ecart négatif"/>
    <n v="17.02000000000001"/>
  </r>
  <r>
    <x v="4"/>
    <n v="76"/>
    <x v="6"/>
    <x v="111"/>
    <n v="0.16043750000000001"/>
    <n v="27.200000000000003"/>
    <n v="0.17"/>
    <n v="-1.5300000000000011"/>
    <x v="0"/>
    <x v="1"/>
    <n v="0"/>
    <n v="27.200000000000003"/>
    <n v="0.17"/>
    <n v="-27.200000000000003"/>
    <s v="Ecart négatif"/>
    <n v="0"/>
  </r>
  <r>
    <x v="2"/>
    <n v="75"/>
    <x v="6"/>
    <x v="0"/>
    <n v="0"/>
    <n v="0"/>
    <n v="0"/>
    <n v="0"/>
    <x v="1"/>
    <x v="1"/>
    <n v="0"/>
    <n v="0"/>
    <n v="0"/>
    <n v="0"/>
    <s v="Pas d'écart"/>
    <n v="56.79"/>
  </r>
  <r>
    <x v="0"/>
    <n v="34"/>
    <x v="20"/>
    <x v="0"/>
    <n v="0"/>
    <n v="70"/>
    <n v="0.28000000000000003"/>
    <n v="-70"/>
    <x v="0"/>
    <x v="1"/>
    <n v="0"/>
    <n v="70"/>
    <n v="0.28000000000000003"/>
    <n v="-70"/>
    <s v="Ecart négatif"/>
    <n v="171.22"/>
  </r>
  <r>
    <x v="0"/>
    <n v="13"/>
    <x v="12"/>
    <x v="0"/>
    <n v="0"/>
    <n v="7.6"/>
    <n v="0.19"/>
    <n v="-7.6"/>
    <x v="0"/>
    <x v="1"/>
    <n v="0"/>
    <n v="7.6"/>
    <n v="0.19"/>
    <n v="-7.6"/>
    <s v="Ecart négatif"/>
    <n v="6.8599999999999994"/>
  </r>
  <r>
    <x v="5"/>
    <n v="59"/>
    <x v="1"/>
    <x v="112"/>
    <n v="0.19"/>
    <n v="22.8"/>
    <n v="0.19"/>
    <n v="0"/>
    <x v="1"/>
    <x v="1"/>
    <n v="0"/>
    <n v="22.8"/>
    <n v="0.19"/>
    <n v="-22.8"/>
    <s v="Ecart négatif"/>
    <n v="59.47"/>
  </r>
  <r>
    <x v="3"/>
    <n v="94"/>
    <x v="2"/>
    <x v="0"/>
    <n v="0"/>
    <n v="0"/>
    <n v="0"/>
    <n v="0"/>
    <x v="1"/>
    <x v="1"/>
    <n v="0"/>
    <n v="0"/>
    <n v="0"/>
    <n v="0"/>
    <s v="Pas d'écart"/>
    <n v="10.509999999999998"/>
  </r>
  <r>
    <x v="8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76"/>
    <x v="10"/>
    <x v="113"/>
    <n v="0.16053333333333333"/>
    <n v="25.500000000000004"/>
    <n v="0.17"/>
    <n v="-1.4200000000000053"/>
    <x v="0"/>
    <x v="1"/>
    <n v="0"/>
    <n v="25.500000000000004"/>
    <n v="0.17"/>
    <n v="-25.500000000000004"/>
    <s v="Ecart négatif"/>
    <n v="0"/>
  </r>
  <r>
    <x v="6"/>
    <n v="69"/>
    <x v="41"/>
    <x v="114"/>
    <n v="0.26581818181818179"/>
    <n v="118.80000000000001"/>
    <n v="0.27"/>
    <n v="-1.8400000000000176"/>
    <x v="0"/>
    <x v="1"/>
    <n v="0"/>
    <n v="118.80000000000001"/>
    <n v="0.27"/>
    <n v="-118.80000000000001"/>
    <s v="Ecart négatif"/>
    <n v="187.23"/>
  </r>
  <r>
    <x v="2"/>
    <n v="29"/>
    <x v="6"/>
    <x v="0"/>
    <n v="0"/>
    <n v="19.2"/>
    <n v="0.12"/>
    <n v="-19.2"/>
    <x v="0"/>
    <x v="1"/>
    <n v="0"/>
    <n v="19.2"/>
    <n v="0.12"/>
    <n v="-19.2"/>
    <s v="Ecart négatif"/>
    <n v="0"/>
  </r>
  <r>
    <x v="0"/>
    <n v="16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91.69"/>
  </r>
  <r>
    <x v="2"/>
    <n v="1"/>
    <x v="1"/>
    <x v="0"/>
    <n v="0"/>
    <n v="0"/>
    <n v="0"/>
    <n v="0"/>
    <x v="1"/>
    <x v="1"/>
    <n v="0"/>
    <n v="0"/>
    <n v="0"/>
    <n v="0"/>
    <s v="Pas d'écart"/>
    <n v="0"/>
  </r>
  <r>
    <x v="2"/>
    <n v="89"/>
    <x v="9"/>
    <x v="0"/>
    <n v="0"/>
    <n v="9.6"/>
    <n v="0.12"/>
    <n v="-9.6"/>
    <x v="0"/>
    <x v="1"/>
    <n v="0"/>
    <n v="9.6"/>
    <n v="0.12"/>
    <n v="-9.6"/>
    <s v="Ecart négatif"/>
    <n v="0"/>
  </r>
  <r>
    <x v="2"/>
    <n v="62"/>
    <x v="13"/>
    <x v="0"/>
    <n v="0"/>
    <n v="0"/>
    <n v="0"/>
    <n v="0"/>
    <x v="1"/>
    <x v="1"/>
    <n v="0"/>
    <n v="0"/>
    <n v="0"/>
    <n v="0"/>
    <s v="Pas d'écart"/>
    <n v="96.22"/>
  </r>
  <r>
    <x v="0"/>
    <n v="34"/>
    <x v="12"/>
    <x v="0"/>
    <n v="0"/>
    <n v="11.200000000000001"/>
    <n v="0.28000000000000003"/>
    <n v="-11.200000000000001"/>
    <x v="0"/>
    <x v="1"/>
    <n v="0"/>
    <n v="11.200000000000001"/>
    <n v="0.28000000000000003"/>
    <n v="-11.200000000000001"/>
    <s v="Ecart négatif"/>
    <n v="47.76"/>
  </r>
  <r>
    <x v="6"/>
    <n v="31"/>
    <x v="11"/>
    <x v="0"/>
    <n v="0"/>
    <n v="11.4"/>
    <n v="0.19"/>
    <n v="-11.4"/>
    <x v="0"/>
    <x v="1"/>
    <n v="0"/>
    <n v="11.4"/>
    <n v="0.19"/>
    <n v="-11.4"/>
    <s v="Ecart négatif"/>
    <n v="0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67"/>
    <x v="19"/>
    <x v="0"/>
    <n v="0"/>
    <n v="15.200000000000001"/>
    <n v="0.08"/>
    <n v="-15.200000000000001"/>
    <x v="0"/>
    <x v="82"/>
    <n v="7.8052631578947373E-2"/>
    <n v="15.200000000000001"/>
    <n v="0.08"/>
    <n v="-0.37000000000000099"/>
    <s v="Ecart négatif"/>
    <n v="99.88"/>
  </r>
  <r>
    <x v="0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44"/>
    <x v="27"/>
    <x v="0"/>
    <n v="0"/>
    <n v="0"/>
    <n v="0"/>
    <n v="0"/>
    <x v="1"/>
    <x v="1"/>
    <n v="0"/>
    <n v="0"/>
    <n v="0"/>
    <n v="0"/>
    <s v="Pas d'écart"/>
    <n v="8.0399999999999991"/>
  </r>
  <r>
    <x v="2"/>
    <n v="27"/>
    <x v="36"/>
    <x v="0"/>
    <n v="0"/>
    <n v="51.000000000000007"/>
    <n v="0.17"/>
    <n v="-51.000000000000007"/>
    <x v="0"/>
    <x v="1"/>
    <n v="0"/>
    <n v="51.000000000000007"/>
    <n v="0.17"/>
    <n v="-51.000000000000007"/>
    <s v="Ecart négatif"/>
    <n v="185.43"/>
  </r>
  <r>
    <x v="3"/>
    <n v="14"/>
    <x v="10"/>
    <x v="113"/>
    <n v="0.16053333333333333"/>
    <n v="25.500000000000004"/>
    <n v="0.17"/>
    <n v="-1.4200000000000053"/>
    <x v="0"/>
    <x v="1"/>
    <n v="0"/>
    <n v="25.500000000000004"/>
    <n v="0.17"/>
    <n v="-25.500000000000004"/>
    <s v="Ecart négatif"/>
    <n v="14.789999999999992"/>
  </r>
  <r>
    <x v="6"/>
    <n v="73"/>
    <x v="14"/>
    <x v="0"/>
    <n v="0"/>
    <n v="35.1"/>
    <n v="0.27"/>
    <n v="-35.1"/>
    <x v="0"/>
    <x v="1"/>
    <n v="0"/>
    <n v="35.1"/>
    <n v="0.27"/>
    <n v="-35.1"/>
    <s v="Ecart négatif"/>
    <n v="0"/>
  </r>
  <r>
    <x v="0"/>
    <n v="68"/>
    <x v="0"/>
    <x v="0"/>
    <n v="0"/>
    <n v="14.4"/>
    <n v="0.08"/>
    <n v="-14.4"/>
    <x v="0"/>
    <x v="1"/>
    <n v="0"/>
    <n v="14.4"/>
    <n v="0.08"/>
    <n v="-14.4"/>
    <s v="Ecart négatif"/>
    <n v="107.35"/>
  </r>
  <r>
    <x v="2"/>
    <n v="75"/>
    <x v="6"/>
    <x v="0"/>
    <n v="0"/>
    <n v="0"/>
    <n v="0"/>
    <n v="0"/>
    <x v="1"/>
    <x v="1"/>
    <n v="0"/>
    <n v="0"/>
    <n v="0"/>
    <n v="0"/>
    <s v="Pas d'écart"/>
    <n v="56.79"/>
  </r>
  <r>
    <x v="2"/>
    <n v="79"/>
    <x v="2"/>
    <x v="0"/>
    <n v="0"/>
    <n v="16.8"/>
    <n v="0.12000000000000001"/>
    <n v="-16.8"/>
    <x v="0"/>
    <x v="1"/>
    <n v="0"/>
    <n v="16.8"/>
    <n v="0.12000000000000001"/>
    <n v="-16.8"/>
    <s v="Ecart négatif"/>
    <n v="27.799999999999997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63"/>
    <x v="19"/>
    <x v="0"/>
    <n v="0"/>
    <n v="22.8"/>
    <n v="0.12000000000000001"/>
    <n v="-22.8"/>
    <x v="0"/>
    <x v="83"/>
    <n v="0.3715263157894737"/>
    <n v="22.8"/>
    <n v="0.12000000000000001"/>
    <n v="47.790000000000006"/>
    <s v="Ecart positif"/>
    <n v="0"/>
  </r>
  <r>
    <x v="0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39"/>
    <x v="19"/>
    <x v="0"/>
    <n v="0"/>
    <n v="0"/>
    <n v="0"/>
    <n v="0"/>
    <x v="1"/>
    <x v="1"/>
    <n v="0"/>
    <n v="0"/>
    <n v="0"/>
    <n v="0"/>
    <s v="Pas d'écart"/>
    <n v="25.64"/>
  </r>
  <r>
    <x v="2"/>
    <n v="57"/>
    <x v="12"/>
    <x v="0"/>
    <n v="0"/>
    <n v="10"/>
    <n v="0.25"/>
    <n v="-10"/>
    <x v="0"/>
    <x v="31"/>
    <n v="0.25"/>
    <n v="10"/>
    <n v="0.25"/>
    <n v="0"/>
    <s v="Pas d'écart"/>
    <n v="0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4"/>
    <n v="76"/>
    <x v="10"/>
    <x v="113"/>
    <n v="0.16053333333333333"/>
    <n v="25.500000000000004"/>
    <n v="0.17"/>
    <n v="-1.4200000000000053"/>
    <x v="0"/>
    <x v="1"/>
    <n v="0"/>
    <n v="25.500000000000004"/>
    <n v="0.17"/>
    <n v="-25.500000000000004"/>
    <s v="Ecart négatif"/>
    <n v="0"/>
  </r>
  <r>
    <x v="4"/>
    <n v="14"/>
    <x v="2"/>
    <x v="115"/>
    <n v="0.16057142857142859"/>
    <n v="23.8"/>
    <n v="0.17"/>
    <n v="-1.3200000000000003"/>
    <x v="0"/>
    <x v="1"/>
    <n v="0"/>
    <n v="23.8"/>
    <n v="0.17"/>
    <n v="-23.8"/>
    <s v="Ecart négatif"/>
    <n v="0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44"/>
    <x v="12"/>
    <x v="0"/>
    <n v="0"/>
    <n v="0"/>
    <n v="0"/>
    <n v="0"/>
    <x v="1"/>
    <x v="52"/>
    <n v="0.27"/>
    <n v="0"/>
    <n v="0"/>
    <n v="10.8"/>
    <s v="Ecart positif"/>
    <n v="34.29"/>
  </r>
  <r>
    <x v="0"/>
    <n v="1"/>
    <x v="13"/>
    <x v="0"/>
    <n v="0"/>
    <n v="0"/>
    <n v="0"/>
    <n v="0"/>
    <x v="1"/>
    <x v="1"/>
    <n v="0"/>
    <n v="0"/>
    <n v="0"/>
    <n v="0"/>
    <s v="Pas d'écart"/>
    <n v="96.22"/>
  </r>
  <r>
    <x v="0"/>
    <n v="91"/>
    <x v="2"/>
    <x v="0"/>
    <n v="0"/>
    <n v="0"/>
    <n v="0"/>
    <n v="0"/>
    <x v="1"/>
    <x v="1"/>
    <n v="0"/>
    <n v="0"/>
    <n v="0"/>
    <n v="0"/>
    <s v="Pas d'écart"/>
    <n v="10.509999999999998"/>
  </r>
  <r>
    <x v="2"/>
    <n v="94"/>
    <x v="16"/>
    <x v="0"/>
    <n v="0"/>
    <n v="0"/>
    <n v="0"/>
    <n v="0"/>
    <x v="1"/>
    <x v="1"/>
    <n v="0"/>
    <n v="0"/>
    <n v="0"/>
    <n v="0"/>
    <s v="Pas d'écart"/>
    <n v="63.75"/>
  </r>
  <r>
    <x v="0"/>
    <n v="25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25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77"/>
    <x v="8"/>
    <x v="0"/>
    <n v="0"/>
    <n v="0"/>
    <n v="0"/>
    <n v="0"/>
    <x v="1"/>
    <x v="1"/>
    <n v="0"/>
    <n v="0"/>
    <n v="0"/>
    <n v="0"/>
    <s v="Pas d'écart"/>
    <n v="7.1999999999999957"/>
  </r>
  <r>
    <x v="2"/>
    <n v="62"/>
    <x v="2"/>
    <x v="0"/>
    <n v="0"/>
    <n v="0"/>
    <n v="0"/>
    <n v="0"/>
    <x v="1"/>
    <x v="1"/>
    <n v="0"/>
    <n v="0"/>
    <n v="0"/>
    <n v="0"/>
    <s v="Pas d'écart"/>
    <n v="0"/>
  </r>
  <r>
    <x v="4"/>
    <n v="14"/>
    <x v="2"/>
    <x v="115"/>
    <n v="0.16057142857142859"/>
    <n v="23.8"/>
    <n v="0.17"/>
    <n v="-1.3200000000000003"/>
    <x v="0"/>
    <x v="1"/>
    <n v="0"/>
    <n v="23.8"/>
    <n v="0.17"/>
    <n v="-23.8"/>
    <s v="Ecart négatif"/>
    <n v="0"/>
  </r>
  <r>
    <x v="0"/>
    <n v="63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0"/>
    <n v="55"/>
    <x v="12"/>
    <x v="0"/>
    <n v="0"/>
    <n v="10"/>
    <n v="0.25"/>
    <n v="-10"/>
    <x v="0"/>
    <x v="31"/>
    <n v="0.25"/>
    <n v="10"/>
    <n v="0.25"/>
    <n v="0"/>
    <s v="Pas d'écart"/>
    <n v="41.47"/>
  </r>
  <r>
    <x v="0"/>
    <n v="16"/>
    <x v="9"/>
    <x v="0"/>
    <n v="0"/>
    <n v="13.600000000000001"/>
    <n v="0.17"/>
    <n v="-13.600000000000001"/>
    <x v="0"/>
    <x v="84"/>
    <n v="0.15637499999999999"/>
    <n v="13.600000000000001"/>
    <n v="0.17"/>
    <n v="-1.0900000000000016"/>
    <s v="Ecart négatif"/>
    <n v="23.47"/>
  </r>
  <r>
    <x v="3"/>
    <n v="50"/>
    <x v="2"/>
    <x v="115"/>
    <n v="0.16057142857142859"/>
    <n v="23.8"/>
    <n v="0.17"/>
    <n v="-1.3200000000000003"/>
    <x v="0"/>
    <x v="1"/>
    <n v="0"/>
    <n v="23.8"/>
    <n v="0.17"/>
    <n v="-23.8"/>
    <s v="Ecart négatif"/>
    <n v="15.759999999999998"/>
  </r>
  <r>
    <x v="8"/>
    <n v="76"/>
    <x v="24"/>
    <x v="0"/>
    <n v="0"/>
    <n v="69.7"/>
    <n v="0.17"/>
    <n v="-69.7"/>
    <x v="0"/>
    <x v="1"/>
    <n v="0"/>
    <n v="69.7"/>
    <n v="0.17"/>
    <n v="-69.7"/>
    <s v="Ecart négatif"/>
    <n v="0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8"/>
    <n v="13"/>
    <x v="2"/>
    <x v="0"/>
    <n v="0"/>
    <n v="40.599999999999994"/>
    <n v="0.28999999999999998"/>
    <n v="-40.599999999999994"/>
    <x v="0"/>
    <x v="1"/>
    <n v="0"/>
    <n v="40.599999999999994"/>
    <n v="0.28999999999999998"/>
    <n v="-40.599999999999994"/>
    <s v="Ecart négatif"/>
    <n v="-13.11999999999999"/>
  </r>
  <r>
    <x v="2"/>
    <n v="63"/>
    <x v="7"/>
    <x v="0"/>
    <n v="0"/>
    <n v="3.5999999999999996"/>
    <n v="0.11999999999999998"/>
    <n v="-3.5999999999999996"/>
    <x v="0"/>
    <x v="85"/>
    <n v="0.1"/>
    <n v="3.5999999999999996"/>
    <n v="0.11999999999999998"/>
    <n v="-0.59999999999999964"/>
    <s v="Ecart négatif"/>
    <n v="0"/>
  </r>
  <r>
    <x v="2"/>
    <n v="83"/>
    <x v="14"/>
    <x v="0"/>
    <n v="0"/>
    <n v="27.3"/>
    <n v="0.21"/>
    <n v="-27.3"/>
    <x v="0"/>
    <x v="16"/>
    <n v="0.2003076923076923"/>
    <n v="27.3"/>
    <n v="0.21"/>
    <n v="-1.2600000000000016"/>
    <s v="Ecart négatif"/>
    <n v="0"/>
  </r>
  <r>
    <x v="0"/>
    <n v="13"/>
    <x v="6"/>
    <x v="0"/>
    <n v="0"/>
    <n v="30.4"/>
    <n v="0.19"/>
    <n v="-30.4"/>
    <x v="0"/>
    <x v="86"/>
    <n v="0.18706249999999999"/>
    <n v="30.4"/>
    <n v="0.19"/>
    <n v="-0.46999999999999886"/>
    <s v="Ecart négatif"/>
    <n v="76.56"/>
  </r>
  <r>
    <x v="5"/>
    <n v="37"/>
    <x v="29"/>
    <x v="0"/>
    <n v="0"/>
    <n v="76"/>
    <n v="0.19"/>
    <n v="-76"/>
    <x v="0"/>
    <x v="1"/>
    <n v="0"/>
    <n v="76"/>
    <n v="0.19"/>
    <n v="-76"/>
    <s v="Ecart négatif"/>
    <n v="35.579999999999984"/>
  </r>
  <r>
    <x v="2"/>
    <n v="57"/>
    <x v="4"/>
    <x v="0"/>
    <n v="0"/>
    <n v="27.5"/>
    <n v="0.25"/>
    <n v="-27.5"/>
    <x v="0"/>
    <x v="49"/>
    <n v="0.24781818181818183"/>
    <n v="27.5"/>
    <n v="0.25"/>
    <n v="-0.23999999999999844"/>
    <s v="Ecart négatif"/>
    <n v="0"/>
  </r>
  <r>
    <x v="2"/>
    <n v="53"/>
    <x v="19"/>
    <x v="0"/>
    <n v="0"/>
    <n v="0"/>
    <n v="0"/>
    <n v="0"/>
    <x v="1"/>
    <x v="87"/>
    <n v="0.26431578947368423"/>
    <n v="0"/>
    <n v="0"/>
    <n v="50.22"/>
    <s v="Ecart positif"/>
    <n v="128.22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87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0"/>
    <n v="41"/>
    <x v="12"/>
    <x v="0"/>
    <n v="0"/>
    <n v="4.8"/>
    <n v="0.12"/>
    <n v="-4.8"/>
    <x v="0"/>
    <x v="52"/>
    <n v="0.27"/>
    <n v="4.8"/>
    <n v="0.12"/>
    <n v="6.0000000000000009"/>
    <s v="Ecart positif"/>
    <n v="41.47"/>
  </r>
  <r>
    <x v="2"/>
    <n v="84"/>
    <x v="27"/>
    <x v="0"/>
    <n v="0"/>
    <n v="9.5"/>
    <n v="0.19"/>
    <n v="-9.5"/>
    <x v="0"/>
    <x v="1"/>
    <n v="0"/>
    <n v="9.5"/>
    <n v="0.19"/>
    <n v="-9.5"/>
    <s v="Ecart négatif"/>
    <n v="0"/>
  </r>
  <r>
    <x v="4"/>
    <n v="92"/>
    <x v="11"/>
    <x v="0"/>
    <n v="0"/>
    <n v="0"/>
    <n v="0"/>
    <n v="0"/>
    <x v="1"/>
    <x v="1"/>
    <n v="0"/>
    <n v="0"/>
    <n v="0"/>
    <n v="0"/>
    <s v="Pas d'écart"/>
    <n v="0"/>
  </r>
  <r>
    <x v="5"/>
    <n v="76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15.069999999999997"/>
  </r>
  <r>
    <x v="5"/>
    <n v="69"/>
    <x v="11"/>
    <x v="61"/>
    <n v="0.23633333333333334"/>
    <n v="16.200000000000003"/>
    <n v="0.27000000000000007"/>
    <n v="-2.0200000000000031"/>
    <x v="0"/>
    <x v="1"/>
    <n v="0"/>
    <n v="16.200000000000003"/>
    <n v="0.27000000000000007"/>
    <n v="-16.200000000000003"/>
    <s v="Ecart négatif"/>
    <n v="42.48"/>
  </r>
  <r>
    <x v="6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8.2199999999999989"/>
  </r>
  <r>
    <x v="0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13.140000000000008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34.29"/>
  </r>
  <r>
    <x v="3"/>
    <n v="27"/>
    <x v="9"/>
    <x v="116"/>
    <n v="0.16075"/>
    <n v="13.600000000000001"/>
    <n v="0.17"/>
    <n v="-0.74000000000000199"/>
    <x v="0"/>
    <x v="1"/>
    <n v="0"/>
    <n v="13.600000000000001"/>
    <n v="0.17"/>
    <n v="-13.600000000000001"/>
    <s v="Ecart négatif"/>
    <n v="14.04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50"/>
    <x v="2"/>
    <x v="117"/>
    <n v="0.16085714285714287"/>
    <n v="23.8"/>
    <n v="0.17"/>
    <n v="-1.2800000000000011"/>
    <x v="0"/>
    <x v="1"/>
    <n v="0"/>
    <n v="23.8"/>
    <n v="0.17"/>
    <n v="-23.8"/>
    <s v="Ecart négatif"/>
    <n v="0"/>
  </r>
  <r>
    <x v="8"/>
    <n v="94"/>
    <x v="2"/>
    <x v="0"/>
    <n v="0"/>
    <n v="0"/>
    <n v="0"/>
    <n v="0"/>
    <x v="1"/>
    <x v="1"/>
    <n v="0"/>
    <n v="0"/>
    <n v="0"/>
    <n v="0"/>
    <s v="Pas d'écart"/>
    <n v="0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75"/>
  </r>
  <r>
    <x v="2"/>
    <n v="63"/>
    <x v="12"/>
    <x v="0"/>
    <n v="0"/>
    <n v="4.8"/>
    <n v="0.12"/>
    <n v="-4.8"/>
    <x v="0"/>
    <x v="10"/>
    <n v="0.12"/>
    <n v="4.8"/>
    <n v="0.12"/>
    <n v="0"/>
    <s v="Pas d'écart"/>
    <n v="34.2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4"/>
    <n v="14"/>
    <x v="9"/>
    <x v="118"/>
    <n v="0.1615"/>
    <n v="13.600000000000001"/>
    <n v="0.17"/>
    <n v="-0.68000000000000149"/>
    <x v="0"/>
    <x v="1"/>
    <n v="0"/>
    <n v="13.600000000000001"/>
    <n v="0.17"/>
    <n v="-13.600000000000001"/>
    <s v="Ecart négatif"/>
    <n v="0"/>
  </r>
  <r>
    <x v="4"/>
    <n v="14"/>
    <x v="10"/>
    <x v="119"/>
    <n v="0.16166666666666665"/>
    <n v="25.500000000000004"/>
    <n v="0.17"/>
    <n v="-1.2500000000000036"/>
    <x v="0"/>
    <x v="1"/>
    <n v="0"/>
    <n v="25.500000000000004"/>
    <n v="0.17"/>
    <n v="-25.500000000000004"/>
    <s v="Ecart négatif"/>
    <n v="0"/>
  </r>
  <r>
    <x v="4"/>
    <n v="14"/>
    <x v="10"/>
    <x v="119"/>
    <n v="0.16166666666666665"/>
    <n v="25.500000000000004"/>
    <n v="0.17"/>
    <n v="-1.2500000000000036"/>
    <x v="0"/>
    <x v="1"/>
    <n v="0"/>
    <n v="25.500000000000004"/>
    <n v="0.17"/>
    <n v="-25.500000000000004"/>
    <s v="Ecart négatif"/>
    <n v="0"/>
  </r>
  <r>
    <x v="4"/>
    <n v="14"/>
    <x v="10"/>
    <x v="119"/>
    <n v="0.16166666666666665"/>
    <n v="25.500000000000004"/>
    <n v="0.17"/>
    <n v="-1.2500000000000036"/>
    <x v="0"/>
    <x v="1"/>
    <n v="0"/>
    <n v="25.500000000000004"/>
    <n v="0.17"/>
    <n v="-25.500000000000004"/>
    <s v="Ecart négatif"/>
    <n v="0"/>
  </r>
  <r>
    <x v="2"/>
    <n v="44"/>
    <x v="16"/>
    <x v="0"/>
    <n v="0"/>
    <n v="0"/>
    <n v="0"/>
    <n v="0"/>
    <x v="1"/>
    <x v="1"/>
    <n v="0"/>
    <n v="0"/>
    <n v="0"/>
    <n v="0"/>
    <s v="Pas d'écart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69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69"/>
    <x v="8"/>
    <x v="0"/>
    <n v="0"/>
    <n v="0"/>
    <n v="0"/>
    <n v="0"/>
    <x v="1"/>
    <x v="1"/>
    <n v="0"/>
    <n v="0"/>
    <n v="0"/>
    <n v="0"/>
    <s v="Pas d'écart"/>
    <n v="8.9500000000000028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23.210000000000008"/>
  </r>
  <r>
    <x v="4"/>
    <n v="77"/>
    <x v="11"/>
    <x v="0"/>
    <n v="0"/>
    <n v="0"/>
    <n v="0"/>
    <n v="0"/>
    <x v="1"/>
    <x v="1"/>
    <n v="0"/>
    <n v="0"/>
    <n v="0"/>
    <n v="0"/>
    <s v="Pas d'écart"/>
    <n v="0"/>
  </r>
  <r>
    <x v="7"/>
    <n v="63"/>
    <x v="13"/>
    <x v="0"/>
    <n v="0"/>
    <n v="49.3"/>
    <n v="0.28999999999999998"/>
    <n v="-49.3"/>
    <x v="0"/>
    <x v="1"/>
    <n v="0"/>
    <n v="49.3"/>
    <n v="0.28999999999999998"/>
    <n v="-49.3"/>
    <s v="Ecart négatif"/>
    <n v="16.870000000000005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4"/>
    <n v="89"/>
    <x v="7"/>
    <x v="120"/>
    <n v="0.16166666666666665"/>
    <n v="6.9"/>
    <n v="0.23"/>
    <n v="-2.0500000000000007"/>
    <x v="0"/>
    <x v="1"/>
    <n v="0"/>
    <n v="6.9"/>
    <n v="0.23"/>
    <n v="-6.9"/>
    <s v="Ecart négatif"/>
    <n v="0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2"/>
    <n v="75"/>
    <x v="2"/>
    <x v="0"/>
    <n v="0"/>
    <n v="0"/>
    <n v="0"/>
    <n v="0"/>
    <x v="1"/>
    <x v="1"/>
    <n v="0"/>
    <n v="0"/>
    <n v="0"/>
    <n v="0"/>
    <s v="Pas d'écart"/>
    <n v="0"/>
  </r>
  <r>
    <x v="3"/>
    <n v="69"/>
    <x v="12"/>
    <x v="95"/>
    <n v="0.27"/>
    <n v="10.8"/>
    <n v="0.27"/>
    <n v="0"/>
    <x v="1"/>
    <x v="1"/>
    <n v="0"/>
    <n v="10.8"/>
    <n v="0.27"/>
    <n v="-10.8"/>
    <s v="Ecart négatif"/>
    <n v="6.8599999999999994"/>
  </r>
  <r>
    <x v="3"/>
    <n v="6"/>
    <x v="12"/>
    <x v="25"/>
    <n v="0.3"/>
    <n v="12"/>
    <n v="0.3"/>
    <n v="0"/>
    <x v="1"/>
    <x v="1"/>
    <n v="0"/>
    <n v="12"/>
    <n v="0.3"/>
    <n v="-12"/>
    <s v="Ecart négatif"/>
    <n v="9.5499999999999972"/>
  </r>
  <r>
    <x v="0"/>
    <n v="56"/>
    <x v="2"/>
    <x v="0"/>
    <n v="0"/>
    <n v="0"/>
    <n v="0"/>
    <n v="0"/>
    <x v="1"/>
    <x v="1"/>
    <n v="0"/>
    <n v="0"/>
    <n v="0"/>
    <n v="0"/>
    <s v="Pas d'écart"/>
    <n v="14.68"/>
  </r>
  <r>
    <x v="0"/>
    <n v="56"/>
    <x v="0"/>
    <x v="0"/>
    <n v="0"/>
    <n v="0"/>
    <n v="0"/>
    <n v="0"/>
    <x v="1"/>
    <x v="1"/>
    <n v="0"/>
    <n v="0"/>
    <n v="0"/>
    <n v="0"/>
    <s v="Pas d'écart"/>
    <n v="21.47"/>
  </r>
  <r>
    <x v="4"/>
    <n v="76"/>
    <x v="0"/>
    <x v="121"/>
    <n v="0.16177777777777777"/>
    <n v="30.6"/>
    <n v="0.17"/>
    <n v="-1.4800000000000004"/>
    <x v="0"/>
    <x v="1"/>
    <n v="0"/>
    <n v="30.6"/>
    <n v="0.17"/>
    <n v="-30.6"/>
    <s v="Ecart négatif"/>
    <n v="0"/>
  </r>
  <r>
    <x v="4"/>
    <n v="50"/>
    <x v="0"/>
    <x v="121"/>
    <n v="0.16177777777777777"/>
    <n v="30.6"/>
    <n v="0.17"/>
    <n v="-1.4800000000000004"/>
    <x v="0"/>
    <x v="1"/>
    <n v="0"/>
    <n v="30.6"/>
    <n v="0.17"/>
    <n v="-30.6"/>
    <s v="Ecart négatif"/>
    <n v="0"/>
  </r>
  <r>
    <x v="4"/>
    <n v="76"/>
    <x v="10"/>
    <x v="122"/>
    <n v="0.1618"/>
    <n v="25.500000000000004"/>
    <n v="0.17"/>
    <n v="-1.230000000000004"/>
    <x v="0"/>
    <x v="1"/>
    <n v="0"/>
    <n v="25.500000000000004"/>
    <n v="0.17"/>
    <n v="-25.500000000000004"/>
    <s v="Ecart négatif"/>
    <n v="0"/>
  </r>
  <r>
    <x v="3"/>
    <n v="50"/>
    <x v="10"/>
    <x v="122"/>
    <n v="0.1618"/>
    <n v="25.500000000000004"/>
    <n v="0.17"/>
    <n v="-1.230000000000004"/>
    <x v="0"/>
    <x v="1"/>
    <n v="0"/>
    <n v="25.500000000000004"/>
    <n v="0.17"/>
    <n v="-25.500000000000004"/>
    <s v="Ecart négatif"/>
    <n v="15.900000000000006"/>
  </r>
  <r>
    <x v="3"/>
    <n v="21"/>
    <x v="7"/>
    <x v="123"/>
    <n v="0.16200000000000001"/>
    <n v="7.1999999999999993"/>
    <n v="0.23999999999999996"/>
    <n v="-2.339999999999999"/>
    <x v="0"/>
    <x v="1"/>
    <n v="0"/>
    <n v="7.1999999999999993"/>
    <n v="0.23999999999999996"/>
    <n v="-7.1999999999999993"/>
    <s v="Ecart négatif"/>
    <n v="3.6999999999999993"/>
  </r>
  <r>
    <x v="2"/>
    <n v="30"/>
    <x v="4"/>
    <x v="0"/>
    <n v="0"/>
    <n v="30.800000000000004"/>
    <n v="0.28000000000000003"/>
    <n v="-30.800000000000004"/>
    <x v="0"/>
    <x v="88"/>
    <n v="0.26527272727272727"/>
    <n v="30.800000000000004"/>
    <n v="0.28000000000000003"/>
    <n v="-1.6200000000000045"/>
    <s v="Ecart négatif"/>
    <n v="0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0"/>
  </r>
  <r>
    <x v="0"/>
    <n v="68"/>
    <x v="3"/>
    <x v="0"/>
    <n v="0"/>
    <n v="16.8"/>
    <n v="0.08"/>
    <n v="-16.8"/>
    <x v="0"/>
    <x v="14"/>
    <n v="7.6952380952380953E-2"/>
    <n v="16.8"/>
    <n v="0.08"/>
    <n v="-0.64000000000000057"/>
    <s v="Ecart négatif"/>
    <n v="27.039999999999992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68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8.2899999999999991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54"/>
    <x v="15"/>
    <x v="0"/>
    <n v="0"/>
    <n v="5"/>
    <n v="0.25"/>
    <n v="-5"/>
    <x v="0"/>
    <x v="57"/>
    <n v="0.21249999999999999"/>
    <n v="5"/>
    <n v="0.25"/>
    <n v="-0.75"/>
    <s v="Ecart négatif"/>
    <n v="3.2800000000000011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2"/>
    <n v="94"/>
    <x v="6"/>
    <x v="0"/>
    <n v="0"/>
    <n v="0"/>
    <n v="0"/>
    <n v="0"/>
    <x v="1"/>
    <x v="1"/>
    <n v="0"/>
    <n v="0"/>
    <n v="0"/>
    <n v="0"/>
    <s v="Pas d'écart"/>
    <n v="56.79"/>
  </r>
  <r>
    <x v="0"/>
    <n v="73"/>
    <x v="10"/>
    <x v="0"/>
    <n v="0"/>
    <n v="0"/>
    <n v="0"/>
    <n v="0"/>
    <x v="1"/>
    <x v="1"/>
    <n v="0"/>
    <n v="0"/>
    <n v="0"/>
    <n v="0"/>
    <s v="Pas d'écart"/>
    <n v="15.900000000000006"/>
  </r>
  <r>
    <x v="7"/>
    <n v="68"/>
    <x v="13"/>
    <x v="0"/>
    <n v="0"/>
    <n v="49.3"/>
    <n v="0.28999999999999998"/>
    <n v="-49.3"/>
    <x v="0"/>
    <x v="1"/>
    <n v="0"/>
    <n v="49.3"/>
    <n v="0.28999999999999998"/>
    <n v="-49.3"/>
    <s v="Ecart négatif"/>
    <n v="19.239999999999995"/>
  </r>
  <r>
    <x v="4"/>
    <n v="44"/>
    <x v="14"/>
    <x v="124"/>
    <n v="0.27"/>
    <n v="35.1"/>
    <n v="0.27"/>
    <n v="0"/>
    <x v="1"/>
    <x v="1"/>
    <n v="0"/>
    <n v="35.1"/>
    <n v="0.27"/>
    <n v="-35.1"/>
    <s v="Ecart négatif"/>
    <n v="0"/>
  </r>
  <r>
    <x v="4"/>
    <n v="59"/>
    <x v="2"/>
    <x v="80"/>
    <n v="0.19"/>
    <n v="26.6"/>
    <n v="0.19"/>
    <n v="0"/>
    <x v="1"/>
    <x v="1"/>
    <n v="0"/>
    <n v="26.6"/>
    <n v="0.19"/>
    <n v="-26.6"/>
    <s v="Ecart négatif"/>
    <n v="0"/>
  </r>
  <r>
    <x v="3"/>
    <n v="76"/>
    <x v="2"/>
    <x v="125"/>
    <n v="0.17"/>
    <n v="23.8"/>
    <n v="0.17"/>
    <n v="0"/>
    <x v="1"/>
    <x v="1"/>
    <n v="0"/>
    <n v="23.8"/>
    <n v="0.17"/>
    <n v="-23.8"/>
    <s v="Ecart négatif"/>
    <n v="13.140000000000008"/>
  </r>
  <r>
    <x v="4"/>
    <n v="69"/>
    <x v="15"/>
    <x v="126"/>
    <n v="0.16200000000000001"/>
    <n v="5.4"/>
    <n v="0.27"/>
    <n v="-2.16"/>
    <x v="0"/>
    <x v="1"/>
    <n v="0"/>
    <n v="5.4"/>
    <n v="0.27"/>
    <n v="-5.4"/>
    <s v="Ecart négatif"/>
    <n v="17.350000000000001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13"/>
    <x v="0"/>
    <n v="0"/>
    <n v="45.900000000000006"/>
    <n v="0.27"/>
    <n v="-45.900000000000006"/>
    <x v="0"/>
    <x v="1"/>
    <n v="0"/>
    <n v="45.900000000000006"/>
    <n v="0.27"/>
    <n v="-45.900000000000006"/>
    <s v="Ecart négatif"/>
    <n v="84.3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7"/>
    <x v="7"/>
    <x v="0"/>
    <n v="0"/>
    <n v="2.4"/>
    <n v="0.08"/>
    <n v="-2.4"/>
    <x v="0"/>
    <x v="81"/>
    <n v="7.8333333333333338E-2"/>
    <n v="2.4"/>
    <n v="0.08"/>
    <n v="-4.9999999999999822E-2"/>
    <s v="Ecart négatif"/>
    <n v="3.679999999999999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56"/>
    <x v="5"/>
    <x v="127"/>
    <n v="0.16200000000000001"/>
    <n v="2.7"/>
    <n v="0.27"/>
    <n v="-1.08"/>
    <x v="0"/>
    <x v="1"/>
    <n v="0"/>
    <n v="2.7"/>
    <n v="0.27"/>
    <n v="-2.7"/>
    <s v="Ecart négatif"/>
    <n v="-300"/>
  </r>
  <r>
    <x v="3"/>
    <n v="76"/>
    <x v="0"/>
    <x v="128"/>
    <n v="0.16200000000000001"/>
    <n v="30.6"/>
    <n v="0.17"/>
    <n v="-1.4400000000000013"/>
    <x v="0"/>
    <x v="1"/>
    <n v="0"/>
    <n v="30.6"/>
    <n v="0.17"/>
    <n v="-30.6"/>
    <s v="Ecart négatif"/>
    <n v="18.419999999999987"/>
  </r>
  <r>
    <x v="2"/>
    <n v="69"/>
    <x v="0"/>
    <x v="0"/>
    <n v="0"/>
    <n v="0"/>
    <n v="0"/>
    <n v="0"/>
    <x v="1"/>
    <x v="1"/>
    <n v="0"/>
    <n v="0"/>
    <n v="0"/>
    <n v="0"/>
    <s v="Pas d'écart"/>
    <n v="0"/>
  </r>
  <r>
    <x v="0"/>
    <n v="59"/>
    <x v="42"/>
    <x v="0"/>
    <n v="0"/>
    <n v="0"/>
    <n v="0"/>
    <n v="0"/>
    <x v="1"/>
    <x v="1"/>
    <n v="0"/>
    <n v="0"/>
    <n v="0"/>
    <n v="0"/>
    <s v="Pas d'écart"/>
    <n v="32.779999999999973"/>
  </r>
  <r>
    <x v="0"/>
    <n v="59"/>
    <x v="16"/>
    <x v="0"/>
    <n v="0"/>
    <n v="0"/>
    <n v="0"/>
    <n v="0"/>
    <x v="1"/>
    <x v="1"/>
    <n v="0"/>
    <n v="0"/>
    <n v="0"/>
    <n v="0"/>
    <s v="Pas d'écart"/>
    <n v="21.53"/>
  </r>
  <r>
    <x v="2"/>
    <n v="27"/>
    <x v="0"/>
    <x v="0"/>
    <n v="0"/>
    <n v="30.6"/>
    <n v="0.17"/>
    <n v="-30.6"/>
    <x v="0"/>
    <x v="0"/>
    <n v="0.17"/>
    <n v="30.6"/>
    <n v="0.17"/>
    <n v="0"/>
    <s v="Pas d'écart"/>
    <n v="0"/>
  </r>
  <r>
    <x v="1"/>
    <n v="77"/>
    <x v="34"/>
    <x v="0"/>
    <n v="0"/>
    <n v="0"/>
    <n v="0"/>
    <n v="0"/>
    <x v="1"/>
    <x v="1"/>
    <n v="0"/>
    <n v="0"/>
    <n v="0"/>
    <n v="0"/>
    <s v="Pas d'écart"/>
    <n v="69.47"/>
  </r>
  <r>
    <x v="2"/>
    <n v="35"/>
    <x v="2"/>
    <x v="0"/>
    <n v="0"/>
    <n v="0"/>
    <n v="0"/>
    <n v="0"/>
    <x v="1"/>
    <x v="1"/>
    <n v="0"/>
    <n v="0"/>
    <n v="0"/>
    <n v="0"/>
    <s v="Pas d'écart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6"/>
    <x v="18"/>
    <x v="129"/>
    <n v="0.3"/>
    <n v="27"/>
    <n v="0.3"/>
    <n v="0"/>
    <x v="1"/>
    <x v="1"/>
    <n v="0"/>
    <n v="27"/>
    <n v="0.3"/>
    <n v="-27"/>
    <s v="Ecart négatif"/>
    <n v="15.04"/>
  </r>
  <r>
    <x v="3"/>
    <n v="6"/>
    <x v="18"/>
    <x v="129"/>
    <n v="0.3"/>
    <n v="27"/>
    <n v="0.3"/>
    <n v="0"/>
    <x v="1"/>
    <x v="1"/>
    <n v="0"/>
    <n v="27"/>
    <n v="0.3"/>
    <n v="-27"/>
    <s v="Ecart négatif"/>
    <n v="15.04"/>
  </r>
  <r>
    <x v="0"/>
    <n v="6"/>
    <x v="13"/>
    <x v="0"/>
    <n v="0"/>
    <n v="35.699999999999996"/>
    <n v="0.20999999999999996"/>
    <n v="-35.699999999999996"/>
    <x v="0"/>
    <x v="89"/>
    <n v="0.3"/>
    <n v="35.699999999999996"/>
    <n v="0.20999999999999996"/>
    <n v="15.300000000000004"/>
    <s v="Ecart positif"/>
    <n v="20.77000000000001"/>
  </r>
  <r>
    <x v="0"/>
    <n v="6"/>
    <x v="8"/>
    <x v="0"/>
    <n v="0"/>
    <n v="14.7"/>
    <n v="0.21"/>
    <n v="-14.7"/>
    <x v="0"/>
    <x v="58"/>
    <n v="0.2742857142857143"/>
    <n v="14.7"/>
    <n v="0.21"/>
    <n v="4.5"/>
    <s v="Ecart positif"/>
    <n v="13.269999999999996"/>
  </r>
  <r>
    <x v="3"/>
    <n v="56"/>
    <x v="5"/>
    <x v="127"/>
    <n v="0.16200000000000001"/>
    <n v="2.7"/>
    <n v="0.27"/>
    <n v="-1.08"/>
    <x v="0"/>
    <x v="1"/>
    <n v="0"/>
    <n v="2.7"/>
    <n v="0.27"/>
    <n v="-2.7"/>
    <s v="Ecart négatif"/>
    <n v="3.740000000000002"/>
  </r>
  <r>
    <x v="3"/>
    <n v="21"/>
    <x v="7"/>
    <x v="123"/>
    <n v="0.16200000000000001"/>
    <n v="7.1999999999999993"/>
    <n v="0.23999999999999996"/>
    <n v="-2.339999999999999"/>
    <x v="0"/>
    <x v="1"/>
    <n v="0"/>
    <n v="7.1999999999999993"/>
    <n v="0.23999999999999996"/>
    <n v="-7.1999999999999993"/>
    <s v="Ecart négatif"/>
    <n v="3.6999999999999993"/>
  </r>
  <r>
    <x v="3"/>
    <n v="21"/>
    <x v="7"/>
    <x v="123"/>
    <n v="0.16200000000000001"/>
    <n v="7.1999999999999993"/>
    <n v="0.23999999999999996"/>
    <n v="-2.339999999999999"/>
    <x v="0"/>
    <x v="1"/>
    <n v="0"/>
    <n v="7.1999999999999993"/>
    <n v="0.23999999999999996"/>
    <n v="-7.1999999999999993"/>
    <s v="Ecart négatif"/>
    <n v="3.6999999999999993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18.340000000000003"/>
  </r>
  <r>
    <x v="3"/>
    <n v="37"/>
    <x v="7"/>
    <x v="123"/>
    <n v="0.16200000000000001"/>
    <n v="5.7"/>
    <n v="0.19"/>
    <n v="-0.83999999999999986"/>
    <x v="0"/>
    <x v="1"/>
    <n v="0"/>
    <n v="5.7"/>
    <n v="0.19"/>
    <n v="-5.7"/>
    <s v="Ecart négatif"/>
    <n v="3.59"/>
  </r>
  <r>
    <x v="3"/>
    <n v="61"/>
    <x v="3"/>
    <x v="130"/>
    <n v="0.16214285714285712"/>
    <n v="35.700000000000003"/>
    <n v="0.17"/>
    <n v="-1.6500000000000057"/>
    <x v="0"/>
    <x v="1"/>
    <n v="0"/>
    <n v="35.700000000000003"/>
    <n v="0.17"/>
    <n v="-35.700000000000003"/>
    <s v="Ecart négatif"/>
    <n v="29.309999999999988"/>
  </r>
  <r>
    <x v="3"/>
    <n v="61"/>
    <x v="3"/>
    <x v="130"/>
    <n v="0.16214285714285712"/>
    <n v="35.700000000000003"/>
    <n v="0.17"/>
    <n v="-1.6500000000000057"/>
    <x v="0"/>
    <x v="1"/>
    <n v="0"/>
    <n v="35.700000000000003"/>
    <n v="0.17"/>
    <n v="-35.700000000000003"/>
    <s v="Ecart négatif"/>
    <n v="29.309999999999988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3"/>
    <n v="61"/>
    <x v="3"/>
    <x v="130"/>
    <n v="0.16214285714285712"/>
    <n v="35.700000000000003"/>
    <n v="0.17"/>
    <n v="-1.6500000000000057"/>
    <x v="0"/>
    <x v="1"/>
    <n v="0"/>
    <n v="35.700000000000003"/>
    <n v="0.17"/>
    <n v="-35.700000000000003"/>
    <s v="Ecart négatif"/>
    <n v="29.309999999999988"/>
  </r>
  <r>
    <x v="3"/>
    <n v="76"/>
    <x v="10"/>
    <x v="131"/>
    <n v="0.16226666666666667"/>
    <n v="25.500000000000004"/>
    <n v="0.17"/>
    <n v="-1.1600000000000037"/>
    <x v="0"/>
    <x v="1"/>
    <n v="0"/>
    <n v="25.500000000000004"/>
    <n v="0.17"/>
    <n v="-25.500000000000004"/>
    <s v="Ecart négatif"/>
    <n v="13.759999999999998"/>
  </r>
  <r>
    <x v="4"/>
    <n v="27"/>
    <x v="10"/>
    <x v="132"/>
    <n v="0.16233333333333333"/>
    <n v="25.500000000000004"/>
    <n v="0.17"/>
    <n v="-1.1500000000000021"/>
    <x v="0"/>
    <x v="1"/>
    <n v="0"/>
    <n v="25.500000000000004"/>
    <n v="0.17"/>
    <n v="-25.500000000000004"/>
    <s v="Ecart négatif"/>
    <n v="0"/>
  </r>
  <r>
    <x v="3"/>
    <n v="61"/>
    <x v="0"/>
    <x v="133"/>
    <n v="0.16250000000000001"/>
    <n v="30.6"/>
    <n v="0.17"/>
    <n v="-1.3500000000000014"/>
    <x v="0"/>
    <x v="1"/>
    <n v="0"/>
    <n v="30.6"/>
    <n v="0.17"/>
    <n v="-30.6"/>
    <s v="Ecart négatif"/>
    <n v="23.210000000000008"/>
  </r>
  <r>
    <x v="2"/>
    <n v="52"/>
    <x v="10"/>
    <x v="0"/>
    <n v="0"/>
    <n v="18"/>
    <n v="0.12"/>
    <n v="-18"/>
    <x v="0"/>
    <x v="90"/>
    <n v="0.11260000000000001"/>
    <n v="18"/>
    <n v="0.12"/>
    <n v="-1.1099999999999994"/>
    <s v="Ecart négatif"/>
    <n v="0"/>
  </r>
  <r>
    <x v="3"/>
    <n v="61"/>
    <x v="10"/>
    <x v="134"/>
    <n v="0.16266666666666665"/>
    <n v="25.500000000000004"/>
    <n v="0.17"/>
    <n v="-1.100000000000005"/>
    <x v="0"/>
    <x v="1"/>
    <n v="0"/>
    <n v="25.500000000000004"/>
    <n v="0.17"/>
    <n v="-25.500000000000004"/>
    <s v="Ecart négatif"/>
    <n v="15.900000000000006"/>
  </r>
  <r>
    <x v="3"/>
    <n v="61"/>
    <x v="10"/>
    <x v="134"/>
    <n v="0.16266666666666665"/>
    <n v="25.500000000000004"/>
    <n v="0.17"/>
    <n v="-1.100000000000005"/>
    <x v="0"/>
    <x v="1"/>
    <n v="0"/>
    <n v="25.500000000000004"/>
    <n v="0.17"/>
    <n v="-25.500000000000004"/>
    <s v="Ecart négatif"/>
    <n v="15.900000000000006"/>
  </r>
  <r>
    <x v="0"/>
    <n v="69"/>
    <x v="16"/>
    <x v="0"/>
    <n v="0"/>
    <n v="0"/>
    <n v="0"/>
    <n v="0"/>
    <x v="1"/>
    <x v="91"/>
    <n v="0.27"/>
    <n v="0"/>
    <n v="0"/>
    <n v="54"/>
    <s v="Ecart positif"/>
    <n v="21.53"/>
  </r>
  <r>
    <x v="0"/>
    <n v="44"/>
    <x v="7"/>
    <x v="0"/>
    <n v="0"/>
    <n v="0"/>
    <n v="0"/>
    <n v="0"/>
    <x v="1"/>
    <x v="1"/>
    <n v="0"/>
    <n v="0"/>
    <n v="0"/>
    <n v="0"/>
    <s v="Pas d'écart"/>
    <n v="3.7699999999999996"/>
  </r>
  <r>
    <x v="2"/>
    <n v="1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3"/>
    <n v="30"/>
    <x v="9"/>
    <x v="135"/>
    <n v="0.39"/>
    <n v="31.200000000000003"/>
    <n v="0.39"/>
    <n v="0"/>
    <x v="1"/>
    <x v="1"/>
    <n v="0"/>
    <n v="31.200000000000003"/>
    <n v="0.39"/>
    <n v="-31.200000000000003"/>
    <s v="Ecart négatif"/>
    <n v="14.04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27"/>
    <x v="12"/>
    <x v="0"/>
    <n v="0"/>
    <n v="6.8000000000000007"/>
    <n v="0.17"/>
    <n v="-6.8000000000000007"/>
    <x v="0"/>
    <x v="92"/>
    <n v="0.1535"/>
    <n v="6.8000000000000007"/>
    <n v="0.17"/>
    <n v="-0.66000000000000103"/>
    <s v="Ecart négatif"/>
    <n v="0"/>
  </r>
  <r>
    <x v="3"/>
    <n v="77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75"/>
    <x v="43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14"/>
    <x v="10"/>
    <x v="136"/>
    <n v="0.16273333333333334"/>
    <n v="25.500000000000004"/>
    <n v="0.17"/>
    <n v="-1.0900000000000034"/>
    <x v="0"/>
    <x v="1"/>
    <n v="0"/>
    <n v="25.500000000000004"/>
    <n v="0.17"/>
    <n v="-25.500000000000004"/>
    <s v="Ecart négatif"/>
    <n v="14.789999999999992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0"/>
    <n v="94"/>
    <x v="22"/>
    <x v="0"/>
    <n v="0"/>
    <n v="0"/>
    <n v="0"/>
    <n v="0"/>
    <x v="1"/>
    <x v="1"/>
    <n v="0"/>
    <n v="0"/>
    <n v="0"/>
    <n v="0"/>
    <s v="Pas d'écart"/>
    <n v="8.529999999999994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3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14"/>
    <x v="10"/>
    <x v="136"/>
    <n v="0.16273333333333334"/>
    <n v="25.500000000000004"/>
    <n v="0.17"/>
    <n v="-1.0900000000000034"/>
    <x v="0"/>
    <x v="1"/>
    <n v="0"/>
    <n v="25.500000000000004"/>
    <n v="0.17"/>
    <n v="-25.500000000000004"/>
    <s v="Ecart négatif"/>
    <n v="14.789999999999992"/>
  </r>
  <r>
    <x v="3"/>
    <n v="14"/>
    <x v="10"/>
    <x v="136"/>
    <n v="0.16273333333333334"/>
    <n v="25.500000000000004"/>
    <n v="0.17"/>
    <n v="-1.0900000000000034"/>
    <x v="0"/>
    <x v="1"/>
    <n v="0"/>
    <n v="25.500000000000004"/>
    <n v="0.17"/>
    <n v="-25.500000000000004"/>
    <s v="Ecart négatif"/>
    <n v="14.789999999999992"/>
  </r>
  <r>
    <x v="4"/>
    <n v="14"/>
    <x v="10"/>
    <x v="136"/>
    <n v="0.16273333333333334"/>
    <n v="25.500000000000004"/>
    <n v="0.17"/>
    <n v="-1.0900000000000034"/>
    <x v="0"/>
    <x v="1"/>
    <n v="0"/>
    <n v="25.500000000000004"/>
    <n v="0.17"/>
    <n v="-25.500000000000004"/>
    <s v="Ecart négatif"/>
    <n v="0"/>
  </r>
  <r>
    <x v="4"/>
    <n v="14"/>
    <x v="10"/>
    <x v="136"/>
    <n v="0.16273333333333334"/>
    <n v="25.500000000000004"/>
    <n v="0.17"/>
    <n v="-1.0900000000000034"/>
    <x v="0"/>
    <x v="1"/>
    <n v="0"/>
    <n v="25.500000000000004"/>
    <n v="0.17"/>
    <n v="-25.500000000000004"/>
    <s v="Ecart négatif"/>
    <n v="0"/>
  </r>
  <r>
    <x v="6"/>
    <n v="69"/>
    <x v="6"/>
    <x v="0"/>
    <n v="0"/>
    <n v="43.2"/>
    <n v="0.27"/>
    <n v="-43.2"/>
    <x v="0"/>
    <x v="1"/>
    <n v="0"/>
    <n v="43.2"/>
    <n v="0.27"/>
    <n v="-43.2"/>
    <s v="Ecart négatif"/>
    <n v="0"/>
  </r>
  <r>
    <x v="3"/>
    <n v="14"/>
    <x v="10"/>
    <x v="136"/>
    <n v="0.16273333333333334"/>
    <n v="25.500000000000004"/>
    <n v="0.17"/>
    <n v="-1.0900000000000034"/>
    <x v="0"/>
    <x v="1"/>
    <n v="0"/>
    <n v="25.500000000000004"/>
    <n v="0.17"/>
    <n v="-25.500000000000004"/>
    <s v="Ecart négatif"/>
    <n v="14.789999999999992"/>
  </r>
  <r>
    <x v="3"/>
    <n v="14"/>
    <x v="3"/>
    <x v="137"/>
    <n v="0.16285714285714287"/>
    <n v="35.700000000000003"/>
    <n v="0.17"/>
    <n v="-1.5"/>
    <x v="0"/>
    <x v="1"/>
    <n v="0"/>
    <n v="35.700000000000003"/>
    <n v="0.17"/>
    <n v="-35.700000000000003"/>
    <s v="Ecart négatif"/>
    <n v="27.039999999999992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3"/>
    <n v="14"/>
    <x v="3"/>
    <x v="137"/>
    <n v="0.16285714285714287"/>
    <n v="35.700000000000003"/>
    <n v="0.17"/>
    <n v="-1.5"/>
    <x v="0"/>
    <x v="1"/>
    <n v="0"/>
    <n v="35.700000000000003"/>
    <n v="0.17"/>
    <n v="-35.700000000000003"/>
    <s v="Ecart négatif"/>
    <n v="27.039999999999992"/>
  </r>
  <r>
    <x v="4"/>
    <n v="76"/>
    <x v="2"/>
    <x v="138"/>
    <n v="0.16292857142857142"/>
    <n v="23.8"/>
    <n v="0.17"/>
    <n v="-0.99000000000000199"/>
    <x v="0"/>
    <x v="1"/>
    <n v="0"/>
    <n v="23.8"/>
    <n v="0.17"/>
    <n v="-23.8"/>
    <s v="Ecart négatif"/>
    <n v="0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3"/>
    <n v="76"/>
    <x v="0"/>
    <x v="139"/>
    <n v="0.1631111111111111"/>
    <n v="30.6"/>
    <n v="0.17"/>
    <n v="-1.240000000000002"/>
    <x v="0"/>
    <x v="1"/>
    <n v="0"/>
    <n v="30.6"/>
    <n v="0.17"/>
    <n v="-30.6"/>
    <s v="Ecart négatif"/>
    <n v="18.419999999999987"/>
  </r>
  <r>
    <x v="3"/>
    <n v="76"/>
    <x v="6"/>
    <x v="140"/>
    <n v="0.16312500000000002"/>
    <n v="27.200000000000003"/>
    <n v="0.17"/>
    <n v="-1.1000000000000014"/>
    <x v="0"/>
    <x v="1"/>
    <n v="0"/>
    <n v="27.200000000000003"/>
    <n v="0.17"/>
    <n v="-27.200000000000003"/>
    <s v="Ecart négatif"/>
    <n v="15.310000000000002"/>
  </r>
  <r>
    <x v="3"/>
    <n v="76"/>
    <x v="6"/>
    <x v="140"/>
    <n v="0.16312500000000002"/>
    <n v="27.200000000000003"/>
    <n v="0.17"/>
    <n v="-1.1000000000000014"/>
    <x v="0"/>
    <x v="1"/>
    <n v="0"/>
    <n v="27.200000000000003"/>
    <n v="0.17"/>
    <n v="-27.200000000000003"/>
    <s v="Ecart négatif"/>
    <n v="15.310000000000002"/>
  </r>
  <r>
    <x v="4"/>
    <n v="50"/>
    <x v="2"/>
    <x v="125"/>
    <n v="0.17"/>
    <n v="23.8"/>
    <n v="0.17"/>
    <n v="0"/>
    <x v="1"/>
    <x v="1"/>
    <n v="0"/>
    <n v="23.8"/>
    <n v="0.17"/>
    <n v="-23.8"/>
    <s v="Ecart négatif"/>
    <n v="0"/>
  </r>
  <r>
    <x v="3"/>
    <n v="76"/>
    <x v="6"/>
    <x v="140"/>
    <n v="0.16312500000000002"/>
    <n v="27.200000000000003"/>
    <n v="0.17"/>
    <n v="-1.1000000000000014"/>
    <x v="0"/>
    <x v="1"/>
    <n v="0"/>
    <n v="27.200000000000003"/>
    <n v="0.17"/>
    <n v="-27.200000000000003"/>
    <s v="Ecart négatif"/>
    <n v="15.310000000000002"/>
  </r>
  <r>
    <x v="3"/>
    <n v="76"/>
    <x v="6"/>
    <x v="140"/>
    <n v="0.16312500000000002"/>
    <n v="27.200000000000003"/>
    <n v="0.17"/>
    <n v="-1.1000000000000014"/>
    <x v="0"/>
    <x v="1"/>
    <n v="0"/>
    <n v="27.200000000000003"/>
    <n v="0.17"/>
    <n v="-27.200000000000003"/>
    <s v="Ecart négatif"/>
    <n v="15.310000000000002"/>
  </r>
  <r>
    <x v="3"/>
    <n v="95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3"/>
    <n v="14"/>
    <x v="1"/>
    <x v="141"/>
    <n v="0.16325000000000001"/>
    <n v="20.400000000000002"/>
    <n v="0.17"/>
    <n v="-0.81000000000000227"/>
    <x v="0"/>
    <x v="1"/>
    <n v="0"/>
    <n v="20.400000000000002"/>
    <n v="0.17"/>
    <n v="-20.400000000000002"/>
    <s v="Ecart négatif"/>
    <n v="14.470000000000006"/>
  </r>
  <r>
    <x v="3"/>
    <n v="14"/>
    <x v="1"/>
    <x v="141"/>
    <n v="0.16325000000000001"/>
    <n v="20.400000000000002"/>
    <n v="0.17"/>
    <n v="-0.81000000000000227"/>
    <x v="0"/>
    <x v="1"/>
    <n v="0"/>
    <n v="20.400000000000002"/>
    <n v="0.17"/>
    <n v="-20.400000000000002"/>
    <s v="Ecart négatif"/>
    <n v="14.470000000000006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76"/>
    <x v="6"/>
    <x v="142"/>
    <n v="0.1633125"/>
    <n v="27.200000000000003"/>
    <n v="0.17"/>
    <n v="-1.0700000000000038"/>
    <x v="0"/>
    <x v="1"/>
    <n v="0"/>
    <n v="27.200000000000003"/>
    <n v="0.17"/>
    <n v="-27.200000000000003"/>
    <s v="Ecart négatif"/>
    <n v="15.310000000000002"/>
  </r>
  <r>
    <x v="2"/>
    <n v="69"/>
    <x v="19"/>
    <x v="0"/>
    <n v="0"/>
    <n v="0"/>
    <n v="0"/>
    <n v="0"/>
    <x v="1"/>
    <x v="93"/>
    <n v="0.52010526315789474"/>
    <n v="0"/>
    <n v="0"/>
    <n v="98.82"/>
    <s v="Ecart positif"/>
    <n v="0"/>
  </r>
  <r>
    <x v="0"/>
    <n v="80"/>
    <x v="20"/>
    <x v="0"/>
    <n v="0"/>
    <n v="0"/>
    <n v="0"/>
    <n v="0"/>
    <x v="1"/>
    <x v="1"/>
    <n v="0"/>
    <n v="0"/>
    <n v="0"/>
    <n v="0"/>
    <s v="Pas d'écart"/>
    <n v="31.500000000000014"/>
  </r>
  <r>
    <x v="0"/>
    <n v="44"/>
    <x v="6"/>
    <x v="0"/>
    <n v="0"/>
    <n v="0"/>
    <n v="0"/>
    <n v="0"/>
    <x v="1"/>
    <x v="1"/>
    <n v="0"/>
    <n v="0"/>
    <n v="0"/>
    <n v="0"/>
    <s v="Pas d'écart"/>
    <n v="76.56"/>
  </r>
  <r>
    <x v="4"/>
    <n v="14"/>
    <x v="18"/>
    <x v="143"/>
    <n v="0.16333333333333333"/>
    <n v="15.3"/>
    <n v="0.17"/>
    <n v="-0.60000000000000142"/>
    <x v="0"/>
    <x v="1"/>
    <n v="0"/>
    <n v="15.3"/>
    <n v="0.17"/>
    <n v="-15.3"/>
    <s v="Ecart négatif"/>
    <n v="0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4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0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3"/>
    <n v="75"/>
    <x v="12"/>
    <x v="0"/>
    <n v="0"/>
    <n v="0"/>
    <n v="0"/>
    <n v="0"/>
    <x v="1"/>
    <x v="1"/>
    <n v="0"/>
    <n v="0"/>
    <n v="0"/>
    <n v="0"/>
    <s v="Pas d'écart"/>
    <n v="5.23"/>
  </r>
  <r>
    <x v="0"/>
    <n v="27"/>
    <x v="36"/>
    <x v="0"/>
    <n v="0"/>
    <n v="51.000000000000007"/>
    <n v="0.17"/>
    <n v="-51.000000000000007"/>
    <x v="0"/>
    <x v="94"/>
    <n v="0.16943333333333332"/>
    <n v="51.000000000000007"/>
    <n v="0.17"/>
    <n v="-0.17000000000000881"/>
    <s v="Ecart négatif"/>
    <n v="37.090000000000003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0"/>
    <n v="13"/>
    <x v="9"/>
    <x v="0"/>
    <n v="0"/>
    <n v="15.2"/>
    <n v="0.19"/>
    <n v="-15.2"/>
    <x v="0"/>
    <x v="95"/>
    <n v="0.28999999999999998"/>
    <n v="15.2"/>
    <n v="0.19"/>
    <n v="8"/>
    <s v="Ecart positif"/>
    <n v="47.06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3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3.4200000000000017"/>
  </r>
  <r>
    <x v="4"/>
    <n v="60"/>
    <x v="7"/>
    <x v="144"/>
    <n v="0.16333333333333336"/>
    <n v="5.7"/>
    <n v="0.19"/>
    <n v="-0.79999999999999982"/>
    <x v="0"/>
    <x v="1"/>
    <n v="0"/>
    <n v="5.7"/>
    <n v="0.19"/>
    <n v="-5.7"/>
    <s v="Ecart négatif"/>
    <n v="0"/>
  </r>
  <r>
    <x v="2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0"/>
    <n v="59"/>
    <x v="13"/>
    <x v="0"/>
    <n v="0"/>
    <n v="0"/>
    <n v="0"/>
    <n v="0"/>
    <x v="1"/>
    <x v="1"/>
    <n v="0"/>
    <n v="0"/>
    <n v="0"/>
    <n v="0"/>
    <s v="Pas d'écart"/>
    <n v="16.870000000000005"/>
  </r>
  <r>
    <x v="3"/>
    <n v="75"/>
    <x v="44"/>
    <x v="0"/>
    <n v="0"/>
    <n v="0"/>
    <n v="0"/>
    <n v="0"/>
    <x v="1"/>
    <x v="1"/>
    <n v="0"/>
    <n v="0"/>
    <n v="0"/>
    <n v="0"/>
    <s v="Pas d'écart"/>
    <n v="17.629999999999995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4"/>
    <n v="59"/>
    <x v="7"/>
    <x v="144"/>
    <n v="0.16333333333333336"/>
    <n v="5.7"/>
    <n v="0.19"/>
    <n v="-0.79999999999999982"/>
    <x v="0"/>
    <x v="1"/>
    <n v="0"/>
    <n v="5.7"/>
    <n v="0.19"/>
    <n v="-5.7"/>
    <s v="Ecart négatif"/>
    <n v="0"/>
  </r>
  <r>
    <x v="4"/>
    <n v="2"/>
    <x v="11"/>
    <x v="145"/>
    <n v="0.16333333333333336"/>
    <n v="10.799999999999999"/>
    <n v="0.18"/>
    <n v="-0.99999999999999822"/>
    <x v="0"/>
    <x v="1"/>
    <n v="0"/>
    <n v="10.799999999999999"/>
    <n v="0.18"/>
    <n v="-10.799999999999999"/>
    <s v="Ecart négatif"/>
    <n v="0"/>
  </r>
  <r>
    <x v="3"/>
    <n v="14"/>
    <x v="6"/>
    <x v="146"/>
    <n v="0.16337499999999999"/>
    <n v="27.200000000000003"/>
    <n v="0.17"/>
    <n v="-1.0600000000000023"/>
    <x v="0"/>
    <x v="1"/>
    <n v="0"/>
    <n v="27.200000000000003"/>
    <n v="0.17"/>
    <n v="-27.200000000000003"/>
    <s v="Ecart négatif"/>
    <n v="17.02000000000001"/>
  </r>
  <r>
    <x v="4"/>
    <n v="76"/>
    <x v="14"/>
    <x v="147"/>
    <n v="0.16338461538461538"/>
    <n v="22.1"/>
    <n v="0.17"/>
    <n v="-0.86000000000000298"/>
    <x v="0"/>
    <x v="1"/>
    <n v="0"/>
    <n v="22.1"/>
    <n v="0.17"/>
    <n v="-22.1"/>
    <s v="Ecart négatif"/>
    <n v="0"/>
  </r>
  <r>
    <x v="4"/>
    <n v="92"/>
    <x v="6"/>
    <x v="0"/>
    <n v="0"/>
    <n v="0"/>
    <n v="0"/>
    <n v="0"/>
    <x v="1"/>
    <x v="1"/>
    <n v="0"/>
    <n v="0"/>
    <n v="0"/>
    <n v="0"/>
    <s v="Pas d'écart"/>
    <n v="0"/>
  </r>
  <r>
    <x v="4"/>
    <n v="27"/>
    <x v="10"/>
    <x v="148"/>
    <n v="0.16340000000000002"/>
    <n v="25.500000000000004"/>
    <n v="0.17"/>
    <n v="-0.99000000000000199"/>
    <x v="0"/>
    <x v="1"/>
    <n v="0"/>
    <n v="25.500000000000004"/>
    <n v="0.17"/>
    <n v="-25.500000000000004"/>
    <s v="Ecart négatif"/>
    <n v="0"/>
  </r>
  <r>
    <x v="3"/>
    <n v="14"/>
    <x v="18"/>
    <x v="149"/>
    <n v="0.16344444444444445"/>
    <n v="15.3"/>
    <n v="0.17"/>
    <n v="-0.58999999999999986"/>
    <x v="0"/>
    <x v="1"/>
    <n v="0"/>
    <n v="15.3"/>
    <n v="0.17"/>
    <n v="-15.3"/>
    <s v="Ecart négatif"/>
    <n v="14.150000000000006"/>
  </r>
  <r>
    <x v="4"/>
    <n v="44"/>
    <x v="12"/>
    <x v="95"/>
    <n v="0.27"/>
    <n v="10.8"/>
    <n v="0.27"/>
    <n v="0"/>
    <x v="1"/>
    <x v="1"/>
    <n v="0"/>
    <n v="10.8"/>
    <n v="0.27"/>
    <n v="-10.8"/>
    <s v="Ecart négatif"/>
    <n v="0"/>
  </r>
  <r>
    <x v="1"/>
    <n v="77"/>
    <x v="45"/>
    <x v="0"/>
    <n v="0"/>
    <n v="0"/>
    <n v="0"/>
    <n v="0"/>
    <x v="1"/>
    <x v="1"/>
    <n v="0"/>
    <n v="0"/>
    <n v="0"/>
    <n v="0"/>
    <s v="Pas d'écart"/>
    <n v="242.35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14"/>
    <x v="18"/>
    <x v="149"/>
    <n v="0.16344444444444445"/>
    <n v="15.3"/>
    <n v="0.17"/>
    <n v="-0.58999999999999986"/>
    <x v="0"/>
    <x v="1"/>
    <n v="0"/>
    <n v="15.3"/>
    <n v="0.17"/>
    <n v="-15.3"/>
    <s v="Ecart négatif"/>
    <n v="0"/>
  </r>
  <r>
    <x v="4"/>
    <n v="50"/>
    <x v="10"/>
    <x v="150"/>
    <n v="0.16346666666666668"/>
    <n v="25.500000000000004"/>
    <n v="0.17"/>
    <n v="-0.98000000000000398"/>
    <x v="0"/>
    <x v="1"/>
    <n v="0"/>
    <n v="25.500000000000004"/>
    <n v="0.17"/>
    <n v="-25.500000000000004"/>
    <s v="Ecart négatif"/>
    <n v="0"/>
  </r>
  <r>
    <x v="3"/>
    <n v="61"/>
    <x v="18"/>
    <x v="151"/>
    <n v="0.16355555555555557"/>
    <n v="15.3"/>
    <n v="0.17"/>
    <n v="-0.58000000000000007"/>
    <x v="0"/>
    <x v="1"/>
    <n v="0"/>
    <n v="15.3"/>
    <n v="0.17"/>
    <n v="-15.3"/>
    <s v="Ecart négatif"/>
    <n v="15.04"/>
  </r>
  <r>
    <x v="2"/>
    <n v="25"/>
    <x v="6"/>
    <x v="0"/>
    <n v="0"/>
    <n v="19.2"/>
    <n v="0.12"/>
    <n v="-19.2"/>
    <x v="0"/>
    <x v="47"/>
    <n v="0.11325"/>
    <n v="19.2"/>
    <n v="0.12"/>
    <n v="-1.0799999999999983"/>
    <s v="Ecart négatif"/>
    <n v="0"/>
  </r>
  <r>
    <x v="0"/>
    <n v="59"/>
    <x v="19"/>
    <x v="0"/>
    <n v="0"/>
    <n v="0"/>
    <n v="0"/>
    <n v="0"/>
    <x v="1"/>
    <x v="1"/>
    <n v="0"/>
    <n v="0"/>
    <n v="0"/>
    <n v="0"/>
    <s v="Pas d'écart"/>
    <n v="19.97999999999999"/>
  </r>
  <r>
    <x v="6"/>
    <n v="73"/>
    <x v="6"/>
    <x v="0"/>
    <n v="0"/>
    <n v="43.2"/>
    <n v="0.27"/>
    <n v="-43.2"/>
    <x v="0"/>
    <x v="1"/>
    <n v="0"/>
    <n v="43.2"/>
    <n v="0.27"/>
    <n v="-43.2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4"/>
    <n v="61"/>
    <x v="18"/>
    <x v="151"/>
    <n v="0.16355555555555557"/>
    <n v="15.3"/>
    <n v="0.17"/>
    <n v="-0.58000000000000007"/>
    <x v="0"/>
    <x v="1"/>
    <n v="0"/>
    <n v="15.3"/>
    <n v="0.17"/>
    <n v="-15.3"/>
    <s v="Ecart négatif"/>
    <n v="0"/>
  </r>
  <r>
    <x v="4"/>
    <n v="27"/>
    <x v="8"/>
    <x v="152"/>
    <n v="0.16357142857142856"/>
    <n v="11.9"/>
    <n v="0.17"/>
    <n v="-0.45000000000000107"/>
    <x v="0"/>
    <x v="1"/>
    <n v="0"/>
    <n v="11.9"/>
    <n v="0.17"/>
    <n v="-11.9"/>
    <s v="Ecart négatif"/>
    <n v="0"/>
  </r>
  <r>
    <x v="3"/>
    <n v="76"/>
    <x v="19"/>
    <x v="153"/>
    <n v="0.16394736842105262"/>
    <n v="32.300000000000004"/>
    <n v="0.17"/>
    <n v="-1.1500000000000057"/>
    <x v="0"/>
    <x v="1"/>
    <n v="0"/>
    <n v="32.300000000000004"/>
    <n v="0.17"/>
    <n v="-32.300000000000004"/>
    <s v="Ecart négatif"/>
    <n v="19.97999999999999"/>
  </r>
  <r>
    <x v="4"/>
    <n v="94"/>
    <x v="19"/>
    <x v="0"/>
    <n v="0"/>
    <n v="0"/>
    <n v="0"/>
    <n v="0"/>
    <x v="1"/>
    <x v="1"/>
    <n v="0"/>
    <n v="0"/>
    <n v="0"/>
    <n v="0"/>
    <s v="Pas d'écart"/>
    <n v="0"/>
  </r>
  <r>
    <x v="3"/>
    <n v="76"/>
    <x v="27"/>
    <x v="154"/>
    <n v="0.16399999999999998"/>
    <n v="8.5"/>
    <n v="0.17"/>
    <n v="-0.30000000000000071"/>
    <x v="0"/>
    <x v="1"/>
    <n v="0"/>
    <n v="8.5"/>
    <n v="0.17"/>
    <n v="-8.5"/>
    <s v="Ecart négatif"/>
    <n v="8.0399999999999991"/>
  </r>
  <r>
    <x v="0"/>
    <n v="69"/>
    <x v="34"/>
    <x v="0"/>
    <n v="0"/>
    <n v="0"/>
    <n v="0"/>
    <n v="0"/>
    <x v="1"/>
    <x v="1"/>
    <n v="0"/>
    <n v="0"/>
    <n v="0"/>
    <n v="0"/>
    <s v="Pas d'écart"/>
    <n v="24.340000000000003"/>
  </r>
  <r>
    <x v="4"/>
    <n v="76"/>
    <x v="27"/>
    <x v="154"/>
    <n v="0.16399999999999998"/>
    <n v="8.5"/>
    <n v="0.17"/>
    <n v="-0.30000000000000071"/>
    <x v="0"/>
    <x v="1"/>
    <n v="0"/>
    <n v="8.5"/>
    <n v="0.17"/>
    <n v="-8.5"/>
    <s v="Ecart négatif"/>
    <n v="0"/>
  </r>
  <r>
    <x v="4"/>
    <n v="76"/>
    <x v="16"/>
    <x v="155"/>
    <n v="0.16405"/>
    <n v="34"/>
    <n v="0.17"/>
    <n v="-1.1899999999999977"/>
    <x v="0"/>
    <x v="1"/>
    <n v="0"/>
    <n v="34"/>
    <n v="0.17"/>
    <n v="-34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0"/>
    <n v="39"/>
    <x v="7"/>
    <x v="0"/>
    <n v="0"/>
    <n v="0"/>
    <n v="0"/>
    <n v="0"/>
    <x v="1"/>
    <x v="1"/>
    <n v="0"/>
    <n v="0"/>
    <n v="0"/>
    <n v="0"/>
    <s v="Pas d'écart"/>
    <n v="3.7600000000000016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92"/>
    <x v="20"/>
    <x v="0"/>
    <n v="0"/>
    <n v="0"/>
    <n v="0"/>
    <n v="0"/>
    <x v="1"/>
    <x v="1"/>
    <n v="0"/>
    <n v="0"/>
    <n v="0"/>
    <n v="0"/>
    <s v="Pas d'écart"/>
    <n v="73.28"/>
  </r>
  <r>
    <x v="2"/>
    <n v="94"/>
    <x v="2"/>
    <x v="0"/>
    <n v="0"/>
    <n v="0"/>
    <n v="0"/>
    <n v="0"/>
    <x v="1"/>
    <x v="1"/>
    <n v="0"/>
    <n v="0"/>
    <n v="0"/>
    <n v="0"/>
    <s v="Pas d'écart"/>
    <n v="52.57"/>
  </r>
  <r>
    <x v="2"/>
    <n v="94"/>
    <x v="6"/>
    <x v="0"/>
    <n v="0"/>
    <n v="0"/>
    <n v="0"/>
    <n v="0"/>
    <x v="1"/>
    <x v="1"/>
    <n v="0"/>
    <n v="0"/>
    <n v="0"/>
    <n v="0"/>
    <s v="Pas d'écart"/>
    <n v="56.79"/>
  </r>
  <r>
    <x v="2"/>
    <n v="13"/>
    <x v="13"/>
    <x v="0"/>
    <n v="0"/>
    <n v="32.299999999999997"/>
    <n v="0.18999999999999997"/>
    <n v="-32.299999999999997"/>
    <x v="0"/>
    <x v="1"/>
    <n v="0"/>
    <n v="32.299999999999997"/>
    <n v="0.18999999999999997"/>
    <n v="-32.299999999999997"/>
    <s v="Ecart négatif"/>
    <n v="84.33"/>
  </r>
  <r>
    <x v="0"/>
    <n v="25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30"/>
    <x v="2"/>
    <x v="0"/>
    <n v="0"/>
    <n v="39.200000000000003"/>
    <n v="0.28000000000000003"/>
    <n v="-39.200000000000003"/>
    <x v="0"/>
    <x v="1"/>
    <n v="0"/>
    <n v="39.200000000000003"/>
    <n v="0.28000000000000003"/>
    <n v="-39.200000000000003"/>
    <s v="Ecart négatif"/>
    <n v="73.41"/>
  </r>
  <r>
    <x v="2"/>
    <n v="2"/>
    <x v="2"/>
    <x v="0"/>
    <n v="0"/>
    <n v="0"/>
    <n v="0"/>
    <n v="0"/>
    <x v="1"/>
    <x v="1"/>
    <n v="0"/>
    <n v="0"/>
    <n v="0"/>
    <n v="0"/>
    <s v="Pas d'écart"/>
    <n v="0"/>
  </r>
  <r>
    <x v="0"/>
    <n v="95"/>
    <x v="6"/>
    <x v="0"/>
    <n v="0"/>
    <n v="0"/>
    <n v="0"/>
    <n v="0"/>
    <x v="1"/>
    <x v="1"/>
    <n v="0"/>
    <n v="0"/>
    <n v="0"/>
    <n v="0"/>
    <s v="Pas d'écart"/>
    <n v="56.79"/>
  </r>
  <r>
    <x v="0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0"/>
    <n v="50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9.5499999999999972"/>
  </r>
  <r>
    <x v="4"/>
    <n v="27"/>
    <x v="16"/>
    <x v="155"/>
    <n v="0.16405"/>
    <n v="34"/>
    <n v="0.17"/>
    <n v="-1.1899999999999977"/>
    <x v="0"/>
    <x v="1"/>
    <n v="0"/>
    <n v="34"/>
    <n v="0.17"/>
    <n v="-34"/>
    <s v="Ecart négatif"/>
    <n v="129.61000000000001"/>
  </r>
  <r>
    <x v="0"/>
    <n v="85"/>
    <x v="7"/>
    <x v="0"/>
    <n v="0"/>
    <n v="0"/>
    <n v="0"/>
    <n v="0"/>
    <x v="1"/>
    <x v="1"/>
    <n v="0"/>
    <n v="0"/>
    <n v="0"/>
    <n v="0"/>
    <s v="Pas d'écart"/>
    <n v="19.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57"/>
    <x v="4"/>
    <x v="0"/>
    <n v="0"/>
    <n v="27.5"/>
    <n v="0.25"/>
    <n v="-27.5"/>
    <x v="0"/>
    <x v="49"/>
    <n v="0.24781818181818183"/>
    <n v="27.5"/>
    <n v="0.25"/>
    <n v="-0.23999999999999844"/>
    <s v="Ecart négatif"/>
    <n v="71.81"/>
  </r>
  <r>
    <x v="2"/>
    <n v="69"/>
    <x v="20"/>
    <x v="0"/>
    <n v="0"/>
    <n v="0"/>
    <n v="0"/>
    <n v="0"/>
    <x v="1"/>
    <x v="1"/>
    <n v="0"/>
    <n v="0"/>
    <n v="0"/>
    <n v="0"/>
    <s v="Pas d'écart"/>
    <n v="0"/>
  </r>
  <r>
    <x v="2"/>
    <n v="66"/>
    <x v="2"/>
    <x v="0"/>
    <n v="0"/>
    <n v="39.200000000000003"/>
    <n v="0.28000000000000003"/>
    <n v="-39.200000000000003"/>
    <x v="0"/>
    <x v="1"/>
    <n v="0"/>
    <n v="39.200000000000003"/>
    <n v="0.28000000000000003"/>
    <n v="-39.200000000000003"/>
    <s v="Ecart négatif"/>
    <n v="78.8"/>
  </r>
  <r>
    <x v="2"/>
    <n v="63"/>
    <x v="0"/>
    <x v="0"/>
    <n v="0"/>
    <n v="21.599999999999998"/>
    <n v="0.11999999999999998"/>
    <n v="-21.599999999999998"/>
    <x v="0"/>
    <x v="6"/>
    <n v="0.12000000000000001"/>
    <n v="21.599999999999998"/>
    <n v="0.11999999999999998"/>
    <n v="0"/>
    <s v="Pas d'écart"/>
    <n v="0"/>
  </r>
  <r>
    <x v="5"/>
    <n v="62"/>
    <x v="11"/>
    <x v="0"/>
    <n v="0"/>
    <n v="11.4"/>
    <n v="0.19"/>
    <n v="-11.4"/>
    <x v="0"/>
    <x v="1"/>
    <n v="0"/>
    <n v="11.4"/>
    <n v="0.19"/>
    <n v="-11.4"/>
    <s v="Ecart négatif"/>
    <n v="25.37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34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30.849999999999998"/>
  </r>
  <r>
    <x v="5"/>
    <n v="6"/>
    <x v="11"/>
    <x v="0"/>
    <n v="0"/>
    <n v="18"/>
    <n v="0.3"/>
    <n v="-18"/>
    <x v="0"/>
    <x v="1"/>
    <n v="0"/>
    <n v="18"/>
    <n v="0.3"/>
    <n v="-18"/>
    <s v="Ecart négatif"/>
    <n v="30.849999999999998"/>
  </r>
  <r>
    <x v="5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3"/>
    <x v="11"/>
    <x v="0"/>
    <n v="0"/>
    <n v="12.6"/>
    <n v="0.21"/>
    <n v="-12.6"/>
    <x v="0"/>
    <x v="1"/>
    <n v="0"/>
    <n v="12.6"/>
    <n v="0.21"/>
    <n v="-12.6"/>
    <s v="Ecart négatif"/>
    <n v="15.069999999999997"/>
  </r>
  <r>
    <x v="5"/>
    <n v="80"/>
    <x v="11"/>
    <x v="0"/>
    <n v="0"/>
    <n v="11.4"/>
    <n v="0.19"/>
    <n v="-11.4"/>
    <x v="0"/>
    <x v="1"/>
    <n v="0"/>
    <n v="11.4"/>
    <n v="0.19"/>
    <n v="-11.4"/>
    <s v="Ecart négatif"/>
    <n v="25.37"/>
  </r>
  <r>
    <x v="0"/>
    <n v="77"/>
    <x v="12"/>
    <x v="0"/>
    <n v="0"/>
    <n v="0"/>
    <n v="0"/>
    <n v="0"/>
    <x v="1"/>
    <x v="1"/>
    <n v="0"/>
    <n v="0"/>
    <n v="0"/>
    <n v="0"/>
    <s v="Pas d'écart"/>
    <n v="5.23"/>
  </r>
  <r>
    <x v="3"/>
    <n v="27"/>
    <x v="6"/>
    <x v="156"/>
    <n v="0.1640625"/>
    <n v="27.200000000000003"/>
    <n v="0.17"/>
    <n v="-0.95000000000000284"/>
    <x v="0"/>
    <x v="1"/>
    <n v="0"/>
    <n v="27.200000000000003"/>
    <n v="0.17"/>
    <n v="-27.200000000000003"/>
    <s v="Ecart négatif"/>
    <n v="17.02000000000001"/>
  </r>
  <r>
    <x v="4"/>
    <n v="61"/>
    <x v="10"/>
    <x v="157"/>
    <n v="0.16439999999999999"/>
    <n v="25.500000000000004"/>
    <n v="0.17"/>
    <n v="-0.84000000000000341"/>
    <x v="0"/>
    <x v="1"/>
    <n v="0"/>
    <n v="25.500000000000004"/>
    <n v="0.17"/>
    <n v="-25.500000000000004"/>
    <s v="Ecart négatif"/>
    <n v="0"/>
  </r>
  <r>
    <x v="2"/>
    <n v="78"/>
    <x v="2"/>
    <x v="0"/>
    <n v="0"/>
    <n v="0"/>
    <n v="0"/>
    <n v="0"/>
    <x v="1"/>
    <x v="1"/>
    <n v="0"/>
    <n v="0"/>
    <n v="0"/>
    <n v="0"/>
    <s v="Pas d'écart"/>
    <n v="52.57"/>
  </r>
  <r>
    <x v="0"/>
    <n v="61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7.76"/>
  </r>
  <r>
    <x v="0"/>
    <n v="75"/>
    <x v="12"/>
    <x v="0"/>
    <n v="0"/>
    <n v="0"/>
    <n v="0"/>
    <n v="0"/>
    <x v="1"/>
    <x v="1"/>
    <n v="0"/>
    <n v="0"/>
    <n v="0"/>
    <n v="0"/>
    <s v="Pas d'écart"/>
    <n v="26.16"/>
  </r>
  <r>
    <x v="6"/>
    <n v="35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20.839999999999996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8"/>
    <n v="49"/>
    <x v="16"/>
    <x v="0"/>
    <n v="0"/>
    <n v="54"/>
    <n v="0.27"/>
    <n v="-54"/>
    <x v="0"/>
    <x v="1"/>
    <n v="0"/>
    <n v="54"/>
    <n v="0.27"/>
    <n v="-54"/>
    <s v="Ecart négatif"/>
    <n v="0"/>
  </r>
  <r>
    <x v="4"/>
    <n v="14"/>
    <x v="16"/>
    <x v="158"/>
    <n v="0.16454999999999997"/>
    <n v="34"/>
    <n v="0.17"/>
    <n v="-1.0900000000000034"/>
    <x v="0"/>
    <x v="1"/>
    <n v="0"/>
    <n v="34"/>
    <n v="0.17"/>
    <n v="-34"/>
    <s v="Ecart négatif"/>
    <n v="0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60"/>
    <x v="27"/>
    <x v="159"/>
    <n v="0.1646"/>
    <n v="9.5"/>
    <n v="0.19"/>
    <n v="-1.2699999999999996"/>
    <x v="0"/>
    <x v="1"/>
    <n v="0"/>
    <n v="9.5"/>
    <n v="0.19"/>
    <n v="-9.5"/>
    <s v="Ecart négatif"/>
    <n v="10.030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33"/>
    <x v="2"/>
    <x v="0"/>
    <n v="0"/>
    <n v="23.8"/>
    <n v="0.17"/>
    <n v="-23.8"/>
    <x v="0"/>
    <x v="96"/>
    <n v="0.15828571428571428"/>
    <n v="23.8"/>
    <n v="0.17"/>
    <n v="-1.6400000000000006"/>
    <s v="Ecart négatif"/>
    <n v="65.680000000000007"/>
  </r>
  <r>
    <x v="0"/>
    <n v="63"/>
    <x v="27"/>
    <x v="0"/>
    <n v="0"/>
    <n v="6"/>
    <n v="0.12"/>
    <n v="-6"/>
    <x v="0"/>
    <x v="97"/>
    <n v="9.8599999999999993E-2"/>
    <n v="6"/>
    <n v="0.12"/>
    <n v="-1.0700000000000003"/>
    <s v="Ecart négatif"/>
    <n v="40.1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69"/>
    <x v="6"/>
    <x v="0"/>
    <n v="0"/>
    <n v="43.2"/>
    <n v="0.27"/>
    <n v="-43.2"/>
    <x v="0"/>
    <x v="1"/>
    <n v="0"/>
    <n v="43.2"/>
    <n v="0.27"/>
    <n v="-43.2"/>
    <s v="Ecart négatif"/>
    <n v="0"/>
  </r>
  <r>
    <x v="4"/>
    <n v="14"/>
    <x v="6"/>
    <x v="160"/>
    <n v="0.16493750000000001"/>
    <n v="27.200000000000003"/>
    <n v="0.17"/>
    <n v="-0.81000000000000227"/>
    <x v="0"/>
    <x v="1"/>
    <n v="0"/>
    <n v="27.200000000000003"/>
    <n v="0.17"/>
    <n v="-27.200000000000003"/>
    <s v="Ecart négatif"/>
    <n v="0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2"/>
    <n v="92"/>
    <x v="12"/>
    <x v="0"/>
    <n v="0"/>
    <n v="0"/>
    <n v="0"/>
    <n v="0"/>
    <x v="1"/>
    <x v="1"/>
    <n v="0"/>
    <n v="0"/>
    <n v="0"/>
    <n v="0"/>
    <s v="Pas d'écart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59"/>
    <x v="27"/>
    <x v="161"/>
    <n v="0.16500000000000001"/>
    <n v="9.5"/>
    <n v="0.19"/>
    <n v="-1.25"/>
    <x v="0"/>
    <x v="1"/>
    <n v="0"/>
    <n v="9.5"/>
    <n v="0.19"/>
    <n v="-9.5"/>
    <s v="Ecart négatif"/>
    <n v="0"/>
  </r>
  <r>
    <x v="0"/>
    <n v="75"/>
    <x v="16"/>
    <x v="0"/>
    <n v="0"/>
    <n v="0"/>
    <n v="0"/>
    <n v="0"/>
    <x v="1"/>
    <x v="1"/>
    <n v="0"/>
    <n v="0"/>
    <n v="0"/>
    <n v="0"/>
    <s v="Pas d'écart"/>
    <n v="12.75"/>
  </r>
  <r>
    <x v="2"/>
    <n v="6"/>
    <x v="2"/>
    <x v="0"/>
    <n v="0"/>
    <n v="29.4"/>
    <n v="0.21"/>
    <n v="-29.4"/>
    <x v="0"/>
    <x v="98"/>
    <n v="0.21"/>
    <n v="29.4"/>
    <n v="0.21"/>
    <n v="0"/>
    <s v="Pas d'écart"/>
    <n v="0"/>
  </r>
  <r>
    <x v="3"/>
    <n v="61"/>
    <x v="16"/>
    <x v="162"/>
    <n v="0.16500000000000001"/>
    <n v="34"/>
    <n v="0.17"/>
    <n v="-1"/>
    <x v="0"/>
    <x v="1"/>
    <n v="0"/>
    <n v="34"/>
    <n v="0.17"/>
    <n v="-34"/>
    <s v="Ecart négatif"/>
    <n v="28.080000000000013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4"/>
    <n v="6"/>
    <x v="12"/>
    <x v="25"/>
    <n v="0.3"/>
    <n v="12"/>
    <n v="0.3"/>
    <n v="0"/>
    <x v="1"/>
    <x v="1"/>
    <n v="0"/>
    <n v="12"/>
    <n v="0.3"/>
    <n v="-12"/>
    <s v="Ecart négatif"/>
    <n v="0"/>
  </r>
  <r>
    <x v="2"/>
    <n v="13"/>
    <x v="7"/>
    <x v="0"/>
    <n v="0"/>
    <n v="5.7"/>
    <n v="0.19"/>
    <n v="-5.7"/>
    <x v="0"/>
    <x v="99"/>
    <n v="0.17099999999999999"/>
    <n v="5.7"/>
    <n v="0.19"/>
    <n v="-0.57000000000000028"/>
    <s v="Ecart négatif"/>
    <n v="0"/>
  </r>
  <r>
    <x v="4"/>
    <n v="27"/>
    <x v="6"/>
    <x v="163"/>
    <n v="0.1650625"/>
    <n v="27.200000000000003"/>
    <n v="0.17"/>
    <n v="-0.7900000000000027"/>
    <x v="0"/>
    <x v="1"/>
    <n v="0"/>
    <n v="27.200000000000003"/>
    <n v="0.17"/>
    <n v="-27.200000000000003"/>
    <s v="Ecart négatif"/>
    <n v="0"/>
  </r>
  <r>
    <x v="3"/>
    <n v="27"/>
    <x v="6"/>
    <x v="163"/>
    <n v="0.1650625"/>
    <n v="27.200000000000003"/>
    <n v="0.17"/>
    <n v="-0.7900000000000027"/>
    <x v="0"/>
    <x v="1"/>
    <n v="0"/>
    <n v="27.200000000000003"/>
    <n v="0.17"/>
    <n v="-27.200000000000003"/>
    <s v="Ecart négatif"/>
    <n v="17.02000000000001"/>
  </r>
  <r>
    <x v="4"/>
    <n v="14"/>
    <x v="16"/>
    <x v="164"/>
    <n v="0.16510000000000002"/>
    <n v="34"/>
    <n v="0.17"/>
    <n v="-0.97999999999999687"/>
    <x v="0"/>
    <x v="1"/>
    <n v="0"/>
    <n v="34"/>
    <n v="0.17"/>
    <n v="-34"/>
    <s v="Ecart négatif"/>
    <n v="0"/>
  </r>
  <r>
    <x v="0"/>
    <n v="30"/>
    <x v="12"/>
    <x v="0"/>
    <n v="0"/>
    <n v="11.200000000000001"/>
    <n v="0.28000000000000003"/>
    <n v="-11.200000000000001"/>
    <x v="0"/>
    <x v="100"/>
    <n v="0.26974999999999999"/>
    <n v="11.200000000000001"/>
    <n v="0.28000000000000003"/>
    <n v="-0.41000000000000192"/>
    <s v="Ecart négatif"/>
    <n v="41.47"/>
  </r>
  <r>
    <x v="0"/>
    <n v="14"/>
    <x v="1"/>
    <x v="0"/>
    <n v="0"/>
    <n v="20.400000000000002"/>
    <n v="0.17"/>
    <n v="-20.400000000000002"/>
    <x v="0"/>
    <x v="101"/>
    <n v="0.1615"/>
    <n v="20.400000000000002"/>
    <n v="0.17"/>
    <n v="-1.0200000000000031"/>
    <s v="Ecart négatif"/>
    <n v="14.470000000000006"/>
  </r>
  <r>
    <x v="2"/>
    <n v="66"/>
    <x v="12"/>
    <x v="0"/>
    <n v="0"/>
    <n v="11.200000000000001"/>
    <n v="0.28000000000000003"/>
    <n v="-11.200000000000001"/>
    <x v="0"/>
    <x v="76"/>
    <n v="0.27999999999999997"/>
    <n v="11.200000000000001"/>
    <n v="0.28000000000000003"/>
    <n v="0"/>
    <s v="Pas d'écart"/>
    <n v="0"/>
  </r>
  <r>
    <x v="2"/>
    <n v="93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14"/>
    <x v="11"/>
    <x v="165"/>
    <n v="0.16533333333333333"/>
    <n v="10.200000000000001"/>
    <n v="0.17"/>
    <n v="-0.28000000000000114"/>
    <x v="0"/>
    <x v="1"/>
    <n v="0"/>
    <n v="10.200000000000001"/>
    <n v="0.17"/>
    <n v="-10.200000000000001"/>
    <s v="Ecart négatif"/>
    <n v="0"/>
  </r>
  <r>
    <x v="0"/>
    <n v="44"/>
    <x v="0"/>
    <x v="0"/>
    <n v="0"/>
    <n v="0"/>
    <n v="0"/>
    <n v="0"/>
    <x v="1"/>
    <x v="1"/>
    <n v="0"/>
    <n v="0"/>
    <n v="0"/>
    <n v="0"/>
    <s v="Pas d'écart"/>
    <n v="18.419999999999987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44"/>
    <x v="22"/>
    <x v="0"/>
    <n v="0"/>
    <n v="27"/>
    <n v="0.27"/>
    <n v="-27"/>
    <x v="0"/>
    <x v="1"/>
    <n v="0"/>
    <n v="27"/>
    <n v="0.27"/>
    <n v="-27"/>
    <s v="Ecart négatif"/>
    <n v="53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59"/>
    <x v="27"/>
    <x v="166"/>
    <n v="0.16539999999999999"/>
    <n v="9.5"/>
    <n v="0.19"/>
    <n v="-1.2300000000000004"/>
    <x v="0"/>
    <x v="1"/>
    <n v="0"/>
    <n v="9.5"/>
    <n v="0.19"/>
    <n v="-9.5"/>
    <s v="Ecart négatif"/>
    <n v="8.0399999999999991"/>
  </r>
  <r>
    <x v="3"/>
    <n v="62"/>
    <x v="12"/>
    <x v="167"/>
    <n v="0.16550000000000001"/>
    <n v="7.6"/>
    <n v="0.19"/>
    <n v="-0.97999999999999954"/>
    <x v="0"/>
    <x v="1"/>
    <n v="0"/>
    <n v="7.6"/>
    <n v="0.19"/>
    <n v="-7.6"/>
    <s v="Ecart négatif"/>
    <n v="8.2899999999999991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76"/>
    <x v="16"/>
    <x v="168"/>
    <n v="0.16555"/>
    <n v="34"/>
    <n v="0.17"/>
    <n v="-0.89000000000000057"/>
    <x v="0"/>
    <x v="1"/>
    <n v="0"/>
    <n v="34"/>
    <n v="0.17"/>
    <n v="-34"/>
    <s v="Ecart négatif"/>
    <n v="0"/>
  </r>
  <r>
    <x v="2"/>
    <n v="76"/>
    <x v="2"/>
    <x v="0"/>
    <n v="0"/>
    <n v="23.8"/>
    <n v="0.17"/>
    <n v="-23.8"/>
    <x v="0"/>
    <x v="40"/>
    <n v="0.17"/>
    <n v="23.8"/>
    <n v="0.17"/>
    <n v="0"/>
    <s v="Pas d'écart"/>
    <n v="0"/>
  </r>
  <r>
    <x v="7"/>
    <n v="50"/>
    <x v="18"/>
    <x v="0"/>
    <n v="0"/>
    <n v="15.3"/>
    <n v="0.17"/>
    <n v="-15.3"/>
    <x v="0"/>
    <x v="1"/>
    <n v="0"/>
    <n v="15.3"/>
    <n v="0.17"/>
    <n v="-15.3"/>
    <s v="Ecart négatif"/>
    <n v="15.04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94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6"/>
    <x v="27"/>
    <x v="97"/>
    <n v="0.3"/>
    <n v="15"/>
    <n v="0.3"/>
    <n v="0"/>
    <x v="1"/>
    <x v="1"/>
    <n v="0"/>
    <n v="15"/>
    <n v="0.3"/>
    <n v="-15"/>
    <s v="Ecart négatif"/>
    <n v="10.030000000000001"/>
  </r>
  <r>
    <x v="4"/>
    <n v="50"/>
    <x v="14"/>
    <x v="169"/>
    <n v="0.16561538461538464"/>
    <n v="22.1"/>
    <n v="0.17"/>
    <n v="-0.57000000000000028"/>
    <x v="0"/>
    <x v="1"/>
    <n v="0"/>
    <n v="22.1"/>
    <n v="0.17"/>
    <n v="-22.1"/>
    <s v="Ecart négatif"/>
    <n v="0"/>
  </r>
  <r>
    <x v="2"/>
    <n v="68"/>
    <x v="0"/>
    <x v="0"/>
    <n v="0"/>
    <n v="14.4"/>
    <n v="0.08"/>
    <n v="-14.4"/>
    <x v="0"/>
    <x v="102"/>
    <n v="0.08"/>
    <n v="14.4"/>
    <n v="0.08"/>
    <n v="0"/>
    <s v="Pas d'écart"/>
    <n v="0"/>
  </r>
  <r>
    <x v="4"/>
    <n v="76"/>
    <x v="14"/>
    <x v="169"/>
    <n v="0.16561538461538464"/>
    <n v="22.1"/>
    <n v="0.17"/>
    <n v="-0.57000000000000028"/>
    <x v="0"/>
    <x v="1"/>
    <n v="0"/>
    <n v="22.1"/>
    <n v="0.17"/>
    <n v="-22.1"/>
    <s v="Ecart négatif"/>
    <n v="0"/>
  </r>
  <r>
    <x v="4"/>
    <n v="14"/>
    <x v="14"/>
    <x v="170"/>
    <n v="0.16569230769230769"/>
    <n v="22.1"/>
    <n v="0.17"/>
    <n v="-0.56000000000000227"/>
    <x v="0"/>
    <x v="1"/>
    <n v="0"/>
    <n v="22.1"/>
    <n v="0.17"/>
    <n v="-22.1"/>
    <s v="Ecart négatif"/>
    <n v="0"/>
  </r>
  <r>
    <x v="4"/>
    <n v="76"/>
    <x v="22"/>
    <x v="171"/>
    <n v="0.16570000000000001"/>
    <n v="17"/>
    <n v="0.17"/>
    <n v="-0.42999999999999972"/>
    <x v="0"/>
    <x v="1"/>
    <n v="0"/>
    <n v="17"/>
    <n v="0.17"/>
    <n v="-17"/>
    <s v="Ecart négatif"/>
    <n v="0"/>
  </r>
  <r>
    <x v="4"/>
    <n v="73"/>
    <x v="8"/>
    <x v="172"/>
    <n v="0.26999999999999996"/>
    <n v="18.900000000000002"/>
    <n v="0.27"/>
    <n v="0"/>
    <x v="1"/>
    <x v="1"/>
    <n v="0"/>
    <n v="18.900000000000002"/>
    <n v="0.27"/>
    <n v="-18.900000000000002"/>
    <s v="Ecart négatif"/>
    <n v="0"/>
  </r>
  <r>
    <x v="3"/>
    <n v="76"/>
    <x v="22"/>
    <x v="171"/>
    <n v="0.16570000000000001"/>
    <n v="17"/>
    <n v="0.17"/>
    <n v="-0.42999999999999972"/>
    <x v="0"/>
    <x v="1"/>
    <n v="0"/>
    <n v="17"/>
    <n v="0.17"/>
    <n v="-17"/>
    <s v="Ecart négatif"/>
    <n v="10.650000000000006"/>
  </r>
  <r>
    <x v="4"/>
    <n v="14"/>
    <x v="16"/>
    <x v="173"/>
    <n v="0.16574999999999998"/>
    <n v="34"/>
    <n v="0.17"/>
    <n v="-0.85000000000000142"/>
    <x v="0"/>
    <x v="1"/>
    <n v="0"/>
    <n v="34"/>
    <n v="0.17"/>
    <n v="-34"/>
    <s v="Ecart négatif"/>
    <n v="0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76"/>
    <x v="2"/>
    <x v="174"/>
    <n v="0.16592857142857143"/>
    <n v="23.8"/>
    <n v="0.17"/>
    <n v="-0.57000000000000028"/>
    <x v="0"/>
    <x v="1"/>
    <n v="0"/>
    <n v="23.8"/>
    <n v="0.17"/>
    <n v="-23.8"/>
    <s v="Ecart négatif"/>
    <n v="0"/>
  </r>
  <r>
    <x v="4"/>
    <n v="76"/>
    <x v="2"/>
    <x v="174"/>
    <n v="0.16592857142857143"/>
    <n v="23.8"/>
    <n v="0.17"/>
    <n v="-0.57000000000000028"/>
    <x v="0"/>
    <x v="1"/>
    <n v="0"/>
    <n v="23.8"/>
    <n v="0.17"/>
    <n v="-23.8"/>
    <s v="Ecart négatif"/>
    <n v="0"/>
  </r>
  <r>
    <x v="4"/>
    <n v="50"/>
    <x v="46"/>
    <x v="175"/>
    <n v="0.16628947368421051"/>
    <n v="64.600000000000009"/>
    <n v="0.17"/>
    <n v="-1.4100000000000108"/>
    <x v="0"/>
    <x v="1"/>
    <n v="0"/>
    <n v="64.600000000000009"/>
    <n v="0.17"/>
    <n v="-64.600000000000009"/>
    <s v="Ecart négatif"/>
    <n v="-984.87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61"/>
    <x v="6"/>
    <x v="176"/>
    <n v="0.1663125"/>
    <n v="27.200000000000003"/>
    <n v="0.17"/>
    <n v="-0.59000000000000341"/>
    <x v="0"/>
    <x v="1"/>
    <n v="0"/>
    <n v="27.200000000000003"/>
    <n v="0.17"/>
    <n v="-27.200000000000003"/>
    <s v="Ecart négatif"/>
    <n v="18.340000000000003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61"/>
    <x v="6"/>
    <x v="176"/>
    <n v="0.1663125"/>
    <n v="27.200000000000003"/>
    <n v="0.17"/>
    <n v="-0.59000000000000341"/>
    <x v="0"/>
    <x v="1"/>
    <n v="0"/>
    <n v="27.200000000000003"/>
    <n v="0.17"/>
    <n v="-27.200000000000003"/>
    <s v="Ecart négatif"/>
    <n v="18.340000000000003"/>
  </r>
  <r>
    <x v="0"/>
    <n v="62"/>
    <x v="7"/>
    <x v="0"/>
    <n v="0"/>
    <n v="0"/>
    <n v="0"/>
    <n v="0"/>
    <x v="1"/>
    <x v="99"/>
    <n v="0.17099999999999999"/>
    <n v="0"/>
    <n v="0"/>
    <n v="5.13"/>
    <s v="Ecart positif"/>
    <n v="3.6300000000000026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2"/>
    <n v="92"/>
    <x v="9"/>
    <x v="0"/>
    <n v="0"/>
    <n v="0"/>
    <n v="0"/>
    <n v="0"/>
    <x v="1"/>
    <x v="1"/>
    <n v="0"/>
    <n v="0"/>
    <n v="0"/>
    <n v="0"/>
    <s v="Pas d'écart"/>
    <n v="0"/>
  </r>
  <r>
    <x v="4"/>
    <n v="14"/>
    <x v="24"/>
    <x v="177"/>
    <n v="0.16634146341463416"/>
    <n v="69.7"/>
    <n v="0.17"/>
    <n v="-1.5"/>
    <x v="0"/>
    <x v="1"/>
    <n v="0"/>
    <n v="69.7"/>
    <n v="0.17"/>
    <n v="-69.7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14"/>
    <x v="6"/>
    <x v="178"/>
    <n v="0.166375"/>
    <n v="27.200000000000003"/>
    <n v="0.17"/>
    <n v="-0.58000000000000185"/>
    <x v="0"/>
    <x v="1"/>
    <n v="0"/>
    <n v="27.200000000000003"/>
    <n v="0.17"/>
    <n v="-27.200000000000003"/>
    <s v="Ecart négatif"/>
    <n v="17.02000000000001"/>
  </r>
  <r>
    <x v="2"/>
    <n v="17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3"/>
    <n v="69"/>
    <x v="2"/>
    <x v="60"/>
    <n v="0.26999999999999996"/>
    <n v="37.800000000000004"/>
    <n v="0.27"/>
    <n v="0"/>
    <x v="1"/>
    <x v="1"/>
    <n v="0"/>
    <n v="37.800000000000004"/>
    <n v="0.27"/>
    <n v="-37.800000000000004"/>
    <s v="Ecart négatif"/>
    <n v="13.140000000000008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60"/>
    <x v="2"/>
    <x v="80"/>
    <n v="0.19"/>
    <n v="26.6"/>
    <n v="0.19"/>
    <n v="0"/>
    <x v="1"/>
    <x v="1"/>
    <n v="0"/>
    <n v="26.6"/>
    <n v="0.19"/>
    <n v="-26.6"/>
    <s v="Ecart négatif"/>
    <n v="0"/>
  </r>
  <r>
    <x v="3"/>
    <n v="14"/>
    <x v="6"/>
    <x v="178"/>
    <n v="0.166375"/>
    <n v="27.200000000000003"/>
    <n v="0.17"/>
    <n v="-0.58000000000000185"/>
    <x v="0"/>
    <x v="1"/>
    <n v="0"/>
    <n v="27.200000000000003"/>
    <n v="0.17"/>
    <n v="-27.200000000000003"/>
    <s v="Ecart négatif"/>
    <n v="17.02000000000001"/>
  </r>
  <r>
    <x v="4"/>
    <n v="14"/>
    <x v="6"/>
    <x v="178"/>
    <n v="0.166375"/>
    <n v="27.200000000000003"/>
    <n v="0.17"/>
    <n v="-0.58000000000000185"/>
    <x v="0"/>
    <x v="1"/>
    <n v="0"/>
    <n v="27.200000000000003"/>
    <n v="0.17"/>
    <n v="-27.200000000000003"/>
    <s v="Ecart négatif"/>
    <n v="0"/>
  </r>
  <r>
    <x v="2"/>
    <n v="35"/>
    <x v="20"/>
    <x v="0"/>
    <n v="0"/>
    <n v="0"/>
    <n v="0"/>
    <n v="0"/>
    <x v="1"/>
    <x v="103"/>
    <n v="0.27"/>
    <n v="0"/>
    <n v="0"/>
    <n v="67.5"/>
    <s v="Ecart posi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2"/>
    <n v="54"/>
    <x v="2"/>
    <x v="0"/>
    <n v="0"/>
    <n v="35"/>
    <n v="0.25"/>
    <n v="-35"/>
    <x v="0"/>
    <x v="71"/>
    <n v="0.25"/>
    <n v="35"/>
    <n v="0.25"/>
    <n v="0"/>
    <s v="Pas d'écart"/>
    <n v="0"/>
  </r>
  <r>
    <x v="3"/>
    <n v="14"/>
    <x v="6"/>
    <x v="178"/>
    <n v="0.166375"/>
    <n v="27.200000000000003"/>
    <n v="0.17"/>
    <n v="-0.58000000000000185"/>
    <x v="0"/>
    <x v="1"/>
    <n v="0"/>
    <n v="27.200000000000003"/>
    <n v="0.17"/>
    <n v="-27.200000000000003"/>
    <s v="Ecart négatif"/>
    <n v="17.02000000000001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1"/>
    <n v="77"/>
    <x v="43"/>
    <x v="0"/>
    <n v="0"/>
    <n v="0"/>
    <n v="0"/>
    <n v="0"/>
    <x v="1"/>
    <x v="1"/>
    <n v="0"/>
    <n v="0"/>
    <n v="0"/>
    <n v="0"/>
    <s v="Pas d'écart"/>
    <n v="93.46"/>
  </r>
  <r>
    <x v="2"/>
    <n v="34"/>
    <x v="8"/>
    <x v="0"/>
    <n v="0"/>
    <n v="19.600000000000001"/>
    <n v="0.28000000000000003"/>
    <n v="-19.600000000000001"/>
    <x v="0"/>
    <x v="104"/>
    <n v="0.27900000000000003"/>
    <n v="19.600000000000001"/>
    <n v="0.28000000000000003"/>
    <n v="-7.0000000000000284E-2"/>
    <s v="Ecart négatif"/>
    <n v="0"/>
  </r>
  <r>
    <x v="2"/>
    <n v="75"/>
    <x v="0"/>
    <x v="0"/>
    <n v="0"/>
    <n v="0"/>
    <n v="0"/>
    <n v="0"/>
    <x v="1"/>
    <x v="1"/>
    <n v="0"/>
    <n v="0"/>
    <n v="0"/>
    <n v="0"/>
    <s v="Pas d'écart"/>
    <n v="0"/>
  </r>
  <r>
    <x v="3"/>
    <n v="14"/>
    <x v="6"/>
    <x v="178"/>
    <n v="0.166375"/>
    <n v="27.200000000000003"/>
    <n v="0.17"/>
    <n v="-0.58000000000000185"/>
    <x v="0"/>
    <x v="1"/>
    <n v="0"/>
    <n v="27.200000000000003"/>
    <n v="0.17"/>
    <n v="-27.200000000000003"/>
    <s v="Ecart négatif"/>
    <n v="17.02000000000001"/>
  </r>
  <r>
    <x v="3"/>
    <n v="14"/>
    <x v="6"/>
    <x v="178"/>
    <n v="0.166375"/>
    <n v="27.200000000000003"/>
    <n v="0.17"/>
    <n v="-0.58000000000000185"/>
    <x v="0"/>
    <x v="1"/>
    <n v="0"/>
    <n v="27.200000000000003"/>
    <n v="0.17"/>
    <n v="-27.200000000000003"/>
    <s v="Ecart négatif"/>
    <n v="17.02000000000001"/>
  </r>
  <r>
    <x v="4"/>
    <n v="92"/>
    <x v="22"/>
    <x v="0"/>
    <n v="0"/>
    <n v="0"/>
    <n v="0"/>
    <n v="0"/>
    <x v="1"/>
    <x v="1"/>
    <n v="0"/>
    <n v="0"/>
    <n v="0"/>
    <n v="0"/>
    <s v="Pas d'écart"/>
    <n v="0"/>
  </r>
  <r>
    <x v="0"/>
    <n v="59"/>
    <x v="7"/>
    <x v="0"/>
    <n v="0"/>
    <n v="0"/>
    <n v="0"/>
    <n v="0"/>
    <x v="1"/>
    <x v="1"/>
    <n v="0"/>
    <n v="0"/>
    <n v="0"/>
    <n v="0"/>
    <s v="Pas d'écart"/>
    <n v="3.4299999999999997"/>
  </r>
  <r>
    <x v="4"/>
    <n v="50"/>
    <x v="10"/>
    <x v="179"/>
    <n v="0.16639999999999999"/>
    <n v="25.500000000000004"/>
    <n v="0.17"/>
    <n v="-0.5400000000000027"/>
    <x v="0"/>
    <x v="1"/>
    <n v="0"/>
    <n v="25.500000000000004"/>
    <n v="0.17"/>
    <n v="-25.500000000000004"/>
    <s v="Ecart négatif"/>
    <n v="0"/>
  </r>
  <r>
    <x v="1"/>
    <n v="44"/>
    <x v="27"/>
    <x v="0"/>
    <n v="0"/>
    <n v="13.5"/>
    <n v="0.27"/>
    <n v="-13.5"/>
    <x v="0"/>
    <x v="1"/>
    <n v="0"/>
    <n v="13.5"/>
    <n v="0.27"/>
    <n v="-13.5"/>
    <s v="Ecart négatif"/>
    <n v="40.19"/>
  </r>
  <r>
    <x v="6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0"/>
  </r>
  <r>
    <x v="2"/>
    <n v="62"/>
    <x v="7"/>
    <x v="0"/>
    <n v="0"/>
    <n v="0"/>
    <n v="0"/>
    <n v="0"/>
    <x v="1"/>
    <x v="1"/>
    <n v="0"/>
    <n v="0"/>
    <n v="0"/>
    <n v="0"/>
    <s v="Pas d'écart"/>
    <n v="0"/>
  </r>
  <r>
    <x v="3"/>
    <n v="50"/>
    <x v="22"/>
    <x v="180"/>
    <n v="0.16639999999999999"/>
    <n v="17"/>
    <n v="0.17"/>
    <n v="-0.35999999999999943"/>
    <x v="0"/>
    <x v="1"/>
    <n v="0"/>
    <n v="17"/>
    <n v="0.17"/>
    <n v="-17"/>
    <s v="Ecart négatif"/>
    <n v="15.18"/>
  </r>
  <r>
    <x v="3"/>
    <n v="14"/>
    <x v="6"/>
    <x v="181"/>
    <n v="0.16675000000000001"/>
    <n v="27.200000000000003"/>
    <n v="0.17"/>
    <n v="-0.52000000000000313"/>
    <x v="0"/>
    <x v="1"/>
    <n v="0"/>
    <n v="27.200000000000003"/>
    <n v="0.17"/>
    <n v="-27.200000000000003"/>
    <s v="Ecart négatif"/>
    <n v="17.02000000000001"/>
  </r>
  <r>
    <x v="4"/>
    <n v="38"/>
    <x v="5"/>
    <x v="182"/>
    <n v="0.16699999999999998"/>
    <n v="2.7"/>
    <n v="0.27"/>
    <n v="-1.0300000000000002"/>
    <x v="0"/>
    <x v="1"/>
    <n v="0"/>
    <n v="2.7"/>
    <n v="0.27"/>
    <n v="-2.7"/>
    <s v="Ecart négatif"/>
    <n v="0"/>
  </r>
  <r>
    <x v="4"/>
    <n v="27"/>
    <x v="2"/>
    <x v="183"/>
    <n v="0.16714285714285712"/>
    <n v="23.8"/>
    <n v="0.17"/>
    <n v="-0.40000000000000213"/>
    <x v="0"/>
    <x v="1"/>
    <n v="0"/>
    <n v="23.8"/>
    <n v="0.17"/>
    <n v="-23.8"/>
    <s v="Ecart négatif"/>
    <n v="0"/>
  </r>
  <r>
    <x v="4"/>
    <n v="14"/>
    <x v="12"/>
    <x v="184"/>
    <n v="0.16750000000000001"/>
    <n v="6.8000000000000007"/>
    <n v="0.17"/>
    <n v="-0.10000000000000053"/>
    <x v="0"/>
    <x v="1"/>
    <n v="0"/>
    <n v="6.8000000000000007"/>
    <n v="0.17"/>
    <n v="-6.8000000000000007"/>
    <s v="Ecart négatif"/>
    <n v="0"/>
  </r>
  <r>
    <x v="4"/>
    <n v="76"/>
    <x v="19"/>
    <x v="185"/>
    <n v="0.16752631578947366"/>
    <n v="32.300000000000004"/>
    <n v="0.17"/>
    <n v="-0.47000000000000597"/>
    <x v="0"/>
    <x v="1"/>
    <n v="0"/>
    <n v="32.300000000000004"/>
    <n v="0.17"/>
    <n v="-32.300000000000004"/>
    <s v="Ecart négatif"/>
    <n v="0"/>
  </r>
  <r>
    <x v="4"/>
    <n v="27"/>
    <x v="2"/>
    <x v="186"/>
    <n v="0.1677142857142857"/>
    <n v="23.8"/>
    <n v="0.17"/>
    <n v="-0.32000000000000028"/>
    <x v="0"/>
    <x v="1"/>
    <n v="0"/>
    <n v="23.8"/>
    <n v="0.17"/>
    <n v="-23.8"/>
    <s v="Ecart négatif"/>
    <n v="0"/>
  </r>
  <r>
    <x v="4"/>
    <n v="14"/>
    <x v="2"/>
    <x v="186"/>
    <n v="0.1677142857142857"/>
    <n v="23.8"/>
    <n v="0.17"/>
    <n v="-0.32000000000000028"/>
    <x v="0"/>
    <x v="1"/>
    <n v="0"/>
    <n v="23.8"/>
    <n v="0.17"/>
    <n v="-23.8"/>
    <s v="Ecart négatif"/>
    <n v="0"/>
  </r>
  <r>
    <x v="3"/>
    <n v="93"/>
    <x v="7"/>
    <x v="0"/>
    <n v="0"/>
    <n v="0"/>
    <n v="0"/>
    <n v="0"/>
    <x v="1"/>
    <x v="1"/>
    <n v="0"/>
    <n v="0"/>
    <n v="0"/>
    <n v="0"/>
    <s v="Pas d'écart"/>
    <n v="4.1700000000000017"/>
  </r>
  <r>
    <x v="0"/>
    <n v="59"/>
    <x v="3"/>
    <x v="0"/>
    <n v="0"/>
    <n v="0"/>
    <n v="0"/>
    <n v="0"/>
    <x v="1"/>
    <x v="1"/>
    <n v="0"/>
    <n v="0"/>
    <n v="0"/>
    <n v="0"/>
    <s v="Pas d'écart"/>
    <n v="22.47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5"/>
    <n v="94"/>
    <x v="39"/>
    <x v="0"/>
    <n v="0"/>
    <n v="0"/>
    <n v="0"/>
    <n v="0"/>
    <x v="1"/>
    <x v="1"/>
    <n v="0"/>
    <n v="0"/>
    <n v="0"/>
    <n v="0"/>
    <s v="Pas d'écart"/>
    <n v="16.179999999999993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3"/>
    <n v="33"/>
    <x v="5"/>
    <x v="187"/>
    <n v="0.16799999999999998"/>
    <n v="2.1"/>
    <n v="0.21000000000000002"/>
    <n v="-0.42000000000000015"/>
    <x v="0"/>
    <x v="1"/>
    <n v="0"/>
    <n v="2.1"/>
    <n v="0.21000000000000002"/>
    <n v="-2.1"/>
    <s v="Ecart négatif"/>
    <n v="3.6499999999999986"/>
  </r>
  <r>
    <x v="3"/>
    <n v="33"/>
    <x v="5"/>
    <x v="187"/>
    <n v="0.16799999999999998"/>
    <n v="2.1"/>
    <n v="0.21000000000000002"/>
    <n v="-0.42000000000000015"/>
    <x v="0"/>
    <x v="1"/>
    <n v="0"/>
    <n v="2.1"/>
    <n v="0.21000000000000002"/>
    <n v="-2.1"/>
    <s v="Ecart négatif"/>
    <n v="3.6499999999999986"/>
  </r>
  <r>
    <x v="4"/>
    <n v="6"/>
    <x v="5"/>
    <x v="187"/>
    <n v="0.16799999999999998"/>
    <n v="3"/>
    <n v="0.3"/>
    <n v="-1.32"/>
    <x v="0"/>
    <x v="1"/>
    <n v="0"/>
    <n v="3"/>
    <n v="0.3"/>
    <n v="-3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69"/>
    <x v="7"/>
    <x v="0"/>
    <n v="0"/>
    <n v="0"/>
    <n v="0"/>
    <n v="0"/>
    <x v="1"/>
    <x v="1"/>
    <n v="0"/>
    <n v="0"/>
    <n v="0"/>
    <n v="0"/>
    <s v="Pas d'écart"/>
    <n v="0"/>
  </r>
  <r>
    <x v="2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0"/>
  </r>
  <r>
    <x v="4"/>
    <n v="68"/>
    <x v="2"/>
    <x v="188"/>
    <n v="0.29000000000000004"/>
    <n v="40.599999999999994"/>
    <n v="0.28999999999999998"/>
    <n v="0"/>
    <x v="1"/>
    <x v="1"/>
    <n v="0"/>
    <n v="40.599999999999994"/>
    <n v="0.28999999999999998"/>
    <n v="-40.599999999999994"/>
    <s v="Ecart négatif"/>
    <n v="0"/>
  </r>
  <r>
    <x v="3"/>
    <n v="27"/>
    <x v="16"/>
    <x v="189"/>
    <n v="0.16815000000000002"/>
    <n v="34"/>
    <n v="0.17"/>
    <n v="-0.36999999999999744"/>
    <x v="0"/>
    <x v="1"/>
    <n v="0"/>
    <n v="34"/>
    <n v="0.17"/>
    <n v="-34"/>
    <s v="Ecart négatif"/>
    <n v="25.920000000000016"/>
  </r>
  <r>
    <x v="4"/>
    <n v="67"/>
    <x v="7"/>
    <x v="190"/>
    <n v="0.28999999999999998"/>
    <n v="8.6999999999999993"/>
    <n v="0.28999999999999998"/>
    <n v="0"/>
    <x v="1"/>
    <x v="1"/>
    <n v="0"/>
    <n v="8.6999999999999993"/>
    <n v="0.28999999999999998"/>
    <n v="-8.6999999999999993"/>
    <s v="Ecart négatif"/>
    <n v="0"/>
  </r>
  <r>
    <x v="2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2"/>
    <n v="73"/>
    <x v="13"/>
    <x v="0"/>
    <n v="0"/>
    <n v="0"/>
    <n v="0"/>
    <n v="0"/>
    <x v="1"/>
    <x v="1"/>
    <n v="0"/>
    <n v="0"/>
    <n v="0"/>
    <n v="0"/>
    <s v="Pas d'écart"/>
    <n v="103.87"/>
  </r>
  <r>
    <x v="2"/>
    <n v="75"/>
    <x v="8"/>
    <x v="0"/>
    <n v="0"/>
    <n v="0"/>
    <n v="0"/>
    <n v="0"/>
    <x v="1"/>
    <x v="1"/>
    <n v="0"/>
    <n v="0"/>
    <n v="0"/>
    <n v="0"/>
    <s v="Pas d'écart"/>
    <n v="0"/>
  </r>
  <r>
    <x v="0"/>
    <n v="71"/>
    <x v="2"/>
    <x v="0"/>
    <n v="0"/>
    <n v="0"/>
    <n v="0"/>
    <n v="0"/>
    <x v="1"/>
    <x v="1"/>
    <n v="0"/>
    <n v="0"/>
    <n v="0"/>
    <n v="0"/>
    <s v="Pas d'écart"/>
    <n v="73.41"/>
  </r>
  <r>
    <x v="0"/>
    <n v="39"/>
    <x v="7"/>
    <x v="0"/>
    <n v="0"/>
    <n v="0"/>
    <n v="0"/>
    <n v="0"/>
    <x v="1"/>
    <x v="1"/>
    <n v="0"/>
    <n v="0"/>
    <n v="0"/>
    <n v="0"/>
    <s v="Pas d'écart"/>
    <n v="3.7600000000000016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51"/>
    <x v="12"/>
    <x v="0"/>
    <n v="0"/>
    <n v="10"/>
    <n v="0.25"/>
    <n v="-10"/>
    <x v="0"/>
    <x v="46"/>
    <n v="0.20624999999999999"/>
    <n v="10"/>
    <n v="0.25"/>
    <n v="-1.75"/>
    <s v="Ecart négatif"/>
    <n v="47.76"/>
  </r>
  <r>
    <x v="2"/>
    <n v="41"/>
    <x v="10"/>
    <x v="0"/>
    <n v="0"/>
    <n v="18"/>
    <n v="0.12"/>
    <n v="-18"/>
    <x v="0"/>
    <x v="1"/>
    <n v="0"/>
    <n v="18"/>
    <n v="0.12"/>
    <n v="-18"/>
    <s v="Ecart négatif"/>
    <n v="73.959999999999994"/>
  </r>
  <r>
    <x v="4"/>
    <n v="76"/>
    <x v="47"/>
    <x v="191"/>
    <n v="0.16822619047619047"/>
    <n v="142.80000000000001"/>
    <n v="0.17"/>
    <n v="-1.4900000000000091"/>
    <x v="0"/>
    <x v="1"/>
    <n v="0"/>
    <n v="142.80000000000001"/>
    <n v="0.17"/>
    <n v="-142.80000000000001"/>
    <s v="Ecart négatif"/>
    <e v="#N/A"/>
  </r>
  <r>
    <x v="0"/>
    <n v="44"/>
    <x v="27"/>
    <x v="0"/>
    <n v="0"/>
    <n v="0"/>
    <n v="0"/>
    <n v="0"/>
    <x v="1"/>
    <x v="105"/>
    <n v="0.27"/>
    <n v="0"/>
    <n v="0"/>
    <n v="13.5"/>
    <s v="Ecart positif"/>
    <n v="8.0399999999999991"/>
  </r>
  <r>
    <x v="2"/>
    <n v="8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73.41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2"/>
    <n v="6"/>
    <x v="20"/>
    <x v="0"/>
    <n v="0"/>
    <n v="52.5"/>
    <n v="0.21"/>
    <n v="-52.5"/>
    <x v="0"/>
    <x v="1"/>
    <n v="0"/>
    <n v="52.5"/>
    <n v="0.21"/>
    <n v="-52.5"/>
    <s v="Ecart négatif"/>
    <n v="171.22"/>
  </r>
  <r>
    <x v="4"/>
    <n v="94"/>
    <x v="36"/>
    <x v="0"/>
    <n v="0"/>
    <n v="0"/>
    <n v="0"/>
    <n v="0"/>
    <x v="1"/>
    <x v="1"/>
    <n v="0"/>
    <n v="0"/>
    <n v="0"/>
    <n v="0"/>
    <s v="Pas d'écart"/>
    <n v="0"/>
  </r>
  <r>
    <x v="2"/>
    <n v="24"/>
    <x v="9"/>
    <x v="0"/>
    <n v="0"/>
    <n v="13.600000000000001"/>
    <n v="0.17"/>
    <n v="-13.600000000000001"/>
    <x v="0"/>
    <x v="84"/>
    <n v="0.15637499999999999"/>
    <n v="13.600000000000001"/>
    <n v="0.17"/>
    <n v="-1.0900000000000016"/>
    <s v="Ecart négatif"/>
    <n v="70.19"/>
  </r>
  <r>
    <x v="2"/>
    <n v="24"/>
    <x v="9"/>
    <x v="0"/>
    <n v="0"/>
    <n v="13.600000000000001"/>
    <n v="0.17"/>
    <n v="-13.600000000000001"/>
    <x v="0"/>
    <x v="84"/>
    <n v="0.15637499999999999"/>
    <n v="13.600000000000001"/>
    <n v="0.17"/>
    <n v="-1.0900000000000016"/>
    <s v="Ecart négatif"/>
    <n v="70.19"/>
  </r>
  <r>
    <x v="6"/>
    <n v="76"/>
    <x v="24"/>
    <x v="0"/>
    <n v="0"/>
    <n v="69.7"/>
    <n v="0.17"/>
    <n v="-69.7"/>
    <x v="0"/>
    <x v="1"/>
    <n v="0"/>
    <n v="69.7"/>
    <n v="0.17"/>
    <n v="-69.7"/>
    <s v="Ecart négatif"/>
    <n v="0"/>
  </r>
  <r>
    <x v="2"/>
    <n v="88"/>
    <x v="4"/>
    <x v="0"/>
    <n v="0"/>
    <n v="8.8000000000000007"/>
    <n v="0.08"/>
    <n v="-8.8000000000000007"/>
    <x v="0"/>
    <x v="13"/>
    <n v="7.9272727272727272E-2"/>
    <n v="8.8000000000000007"/>
    <n v="0.08"/>
    <n v="-8.0000000000000071E-2"/>
    <s v="Ecart négatif"/>
    <n v="71.81"/>
  </r>
  <r>
    <x v="0"/>
    <n v="98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0"/>
    <n v="4"/>
    <x v="12"/>
    <x v="0"/>
    <n v="0"/>
    <n v="7.6"/>
    <n v="0.19"/>
    <n v="-7.6"/>
    <x v="0"/>
    <x v="1"/>
    <n v="0"/>
    <n v="7.6"/>
    <n v="0.19"/>
    <n v="-7.6"/>
    <s v="Ecart négatif"/>
    <n v="47.76"/>
  </r>
  <r>
    <x v="2"/>
    <n v="57"/>
    <x v="2"/>
    <x v="0"/>
    <n v="0"/>
    <n v="35"/>
    <n v="0.25"/>
    <n v="-35"/>
    <x v="0"/>
    <x v="71"/>
    <n v="0.25"/>
    <n v="35"/>
    <n v="0.25"/>
    <n v="0"/>
    <s v="Pas d'écart"/>
    <n v="0"/>
  </r>
  <r>
    <x v="2"/>
    <n v="88"/>
    <x v="6"/>
    <x v="0"/>
    <n v="0"/>
    <n v="12.8"/>
    <n v="0.08"/>
    <n v="-12.8"/>
    <x v="0"/>
    <x v="106"/>
    <n v="7.5499999999999998E-2"/>
    <n v="12.8"/>
    <n v="0.08"/>
    <n v="-0.72000000000000064"/>
    <s v="Ecart négatif"/>
    <n v="0"/>
  </r>
  <r>
    <x v="4"/>
    <n v="77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85"/>
    <x v="34"/>
    <x v="0"/>
    <n v="0"/>
    <n v="0"/>
    <n v="0"/>
    <n v="0"/>
    <x v="1"/>
    <x v="107"/>
    <n v="0.26526086956521738"/>
    <n v="0"/>
    <n v="0"/>
    <n v="61.01"/>
    <s v="Ecart positif"/>
    <n v="146.36000000000001"/>
  </r>
  <r>
    <x v="0"/>
    <n v="70"/>
    <x v="18"/>
    <x v="0"/>
    <n v="0"/>
    <n v="10.799999999999999"/>
    <n v="0.11999999999999998"/>
    <n v="-10.799999999999999"/>
    <x v="0"/>
    <x v="1"/>
    <n v="0"/>
    <n v="10.799999999999999"/>
    <n v="0.11999999999999998"/>
    <n v="-10.799999999999999"/>
    <s v="Ecart négatif"/>
    <n v="75.19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1"/>
    <x v="12"/>
    <x v="0"/>
    <n v="0"/>
    <n v="0"/>
    <n v="0"/>
    <n v="0"/>
    <x v="1"/>
    <x v="1"/>
    <n v="0"/>
    <n v="0"/>
    <n v="0"/>
    <n v="0"/>
    <s v="Pas d'écart"/>
    <n v="41.47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5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0"/>
    <n v="77"/>
    <x v="13"/>
    <x v="0"/>
    <n v="0"/>
    <n v="0"/>
    <n v="0"/>
    <n v="0"/>
    <x v="1"/>
    <x v="1"/>
    <n v="0"/>
    <n v="0"/>
    <n v="0"/>
    <n v="0"/>
    <s v="Pas d'écart"/>
    <n v="11.71"/>
  </r>
  <r>
    <x v="6"/>
    <n v="54"/>
    <x v="9"/>
    <x v="0"/>
    <n v="0"/>
    <n v="20"/>
    <n v="0.25"/>
    <n v="-20"/>
    <x v="0"/>
    <x v="1"/>
    <n v="0"/>
    <n v="20"/>
    <n v="0.25"/>
    <n v="-20"/>
    <s v="Ecart négatif"/>
    <n v="0"/>
  </r>
  <r>
    <x v="2"/>
    <n v="13"/>
    <x v="4"/>
    <x v="0"/>
    <n v="0"/>
    <n v="20.9"/>
    <n v="0.18999999999999997"/>
    <n v="-20.9"/>
    <x v="0"/>
    <x v="1"/>
    <n v="0"/>
    <n v="20.9"/>
    <n v="0.18999999999999997"/>
    <n v="-20.9"/>
    <s v="Ecart négatif"/>
    <n v="56.37"/>
  </r>
  <r>
    <x v="2"/>
    <n v="94"/>
    <x v="0"/>
    <x v="0"/>
    <n v="0"/>
    <n v="0"/>
    <n v="0"/>
    <n v="0"/>
    <x v="1"/>
    <x v="1"/>
    <n v="0"/>
    <n v="0"/>
    <n v="0"/>
    <n v="0"/>
    <s v="Pas d'écart"/>
    <n v="60.27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90"/>
    <x v="18"/>
    <x v="0"/>
    <n v="0"/>
    <n v="7.2"/>
    <n v="0.08"/>
    <n v="-7.2"/>
    <x v="0"/>
    <x v="108"/>
    <n v="0.29000000000000004"/>
    <n v="7.2"/>
    <n v="0.08"/>
    <n v="18.900000000000002"/>
    <s v="Ecart positif"/>
    <n v="75.19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66"/>
    <x v="22"/>
    <x v="0"/>
    <n v="0"/>
    <n v="34"/>
    <n v="0.34"/>
    <n v="-34"/>
    <x v="0"/>
    <x v="109"/>
    <n v="0.2024"/>
    <n v="34"/>
    <n v="0.34"/>
    <n v="-13.760000000000002"/>
    <s v="Ecart négatif"/>
    <n v="22.65"/>
  </r>
  <r>
    <x v="4"/>
    <n v="76"/>
    <x v="47"/>
    <x v="191"/>
    <n v="0.16822619047619047"/>
    <n v="142.80000000000001"/>
    <n v="0.17"/>
    <n v="-1.4900000000000091"/>
    <x v="0"/>
    <x v="1"/>
    <n v="0"/>
    <n v="142.80000000000001"/>
    <n v="0.17"/>
    <n v="-142.80000000000001"/>
    <s v="Ecart négatif"/>
    <e v="#N/A"/>
  </r>
  <r>
    <x v="2"/>
    <n v="59"/>
    <x v="0"/>
    <x v="0"/>
    <n v="0"/>
    <n v="0"/>
    <n v="0"/>
    <n v="0"/>
    <x v="1"/>
    <x v="1"/>
    <n v="0"/>
    <n v="0"/>
    <n v="0"/>
    <n v="0"/>
    <s v="Pas d'écart"/>
    <n v="92.1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4"/>
    <n v="61"/>
    <x v="16"/>
    <x v="192"/>
    <n v="0.16829999999999998"/>
    <n v="34"/>
    <n v="0.17"/>
    <n v="-0.34000000000000341"/>
    <x v="0"/>
    <x v="1"/>
    <n v="0"/>
    <n v="34"/>
    <n v="0.17"/>
    <n v="-34"/>
    <s v="Ecart négatif"/>
    <n v="0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6"/>
    <n v="59"/>
    <x v="14"/>
    <x v="0"/>
    <n v="0"/>
    <n v="24.7"/>
    <n v="0.19"/>
    <n v="-24.7"/>
    <x v="0"/>
    <x v="1"/>
    <n v="0"/>
    <n v="24.7"/>
    <n v="0.19"/>
    <n v="-24.7"/>
    <s v="Ecart négatif"/>
    <n v="0"/>
  </r>
  <r>
    <x v="4"/>
    <n v="14"/>
    <x v="8"/>
    <x v="193"/>
    <n v="0.16842857142857143"/>
    <n v="11.9"/>
    <n v="0.17"/>
    <n v="-0.11000000000000121"/>
    <x v="0"/>
    <x v="1"/>
    <n v="0"/>
    <n v="11.9"/>
    <n v="0.17"/>
    <n v="-11.9"/>
    <s v="Ecart négatif"/>
    <n v="0"/>
  </r>
  <r>
    <x v="0"/>
    <n v="75"/>
    <x v="8"/>
    <x v="0"/>
    <n v="0"/>
    <n v="0"/>
    <n v="0"/>
    <n v="0"/>
    <x v="1"/>
    <x v="1"/>
    <n v="0"/>
    <n v="0"/>
    <n v="0"/>
    <n v="0"/>
    <s v="Pas d'écart"/>
    <n v="7.199999999999995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5"/>
    <n v="63"/>
    <x v="12"/>
    <x v="0"/>
    <n v="0"/>
    <n v="11.6"/>
    <n v="0.28999999999999998"/>
    <n v="-11.6"/>
    <x v="0"/>
    <x v="1"/>
    <n v="0"/>
    <n v="11.6"/>
    <n v="0.28999999999999998"/>
    <n v="-11.6"/>
    <s v="Ecart négatif"/>
    <n v="1.1099999999999994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"/>
    <x v="0"/>
    <x v="0"/>
    <n v="0"/>
    <n v="0"/>
    <n v="0"/>
    <n v="0"/>
    <x v="1"/>
    <x v="1"/>
    <n v="0"/>
    <n v="0"/>
    <n v="0"/>
    <n v="0"/>
    <s v="Pas d'écart"/>
    <n v="21.47"/>
  </r>
  <r>
    <x v="3"/>
    <n v="76"/>
    <x v="14"/>
    <x v="194"/>
    <n v="0.16861538461538464"/>
    <n v="22.1"/>
    <n v="0.17"/>
    <n v="-0.17999999999999972"/>
    <x v="0"/>
    <x v="1"/>
    <n v="0"/>
    <n v="22.1"/>
    <n v="0.17"/>
    <n v="-22.1"/>
    <s v="Ecart négatif"/>
    <n v="12.519999999999996"/>
  </r>
  <r>
    <x v="4"/>
    <n v="14"/>
    <x v="10"/>
    <x v="195"/>
    <n v="0.16880000000000001"/>
    <n v="25.500000000000004"/>
    <n v="0.17"/>
    <n v="-0.18000000000000327"/>
    <x v="0"/>
    <x v="1"/>
    <n v="0"/>
    <n v="25.500000000000004"/>
    <n v="0.17"/>
    <n v="-25.500000000000004"/>
    <s v="Ecart négatif"/>
    <n v="8.9599999999999937"/>
  </r>
  <r>
    <x v="4"/>
    <n v="14"/>
    <x v="8"/>
    <x v="196"/>
    <n v="0.16885714285714287"/>
    <n v="11.9"/>
    <n v="0.17"/>
    <n v="-8.0000000000000071E-2"/>
    <x v="0"/>
    <x v="1"/>
    <n v="0"/>
    <n v="11.9"/>
    <n v="0.17"/>
    <n v="-11.9"/>
    <s v="Ecart négatif"/>
    <n v="0"/>
  </r>
  <r>
    <x v="2"/>
    <n v="30"/>
    <x v="4"/>
    <x v="0"/>
    <n v="0"/>
    <n v="30.800000000000004"/>
    <n v="0.28000000000000003"/>
    <n v="-30.800000000000004"/>
    <x v="0"/>
    <x v="88"/>
    <n v="0.26527272727272727"/>
    <n v="30.800000000000004"/>
    <n v="0.28000000000000003"/>
    <n v="-1.6200000000000045"/>
    <s v="Ecart négatif"/>
    <n v="0"/>
  </r>
  <r>
    <x v="2"/>
    <n v="45"/>
    <x v="16"/>
    <x v="0"/>
    <n v="0"/>
    <n v="24"/>
    <n v="0.12"/>
    <n v="-24"/>
    <x v="0"/>
    <x v="110"/>
    <n v="0.38020000000000004"/>
    <n v="24"/>
    <n v="0.12"/>
    <n v="52.040000000000006"/>
    <s v="Ecart positif"/>
    <n v="0"/>
  </r>
  <r>
    <x v="2"/>
    <n v="45"/>
    <x v="27"/>
    <x v="0"/>
    <n v="0"/>
    <n v="6"/>
    <n v="0.12"/>
    <n v="-6"/>
    <x v="0"/>
    <x v="111"/>
    <n v="0.1106"/>
    <n v="6"/>
    <n v="0.12"/>
    <n v="-0.46999999999999975"/>
    <s v="Ecart négatif"/>
    <n v="44.07"/>
  </r>
  <r>
    <x v="8"/>
    <n v="73"/>
    <x v="14"/>
    <x v="0"/>
    <n v="0"/>
    <n v="35.1"/>
    <n v="0.27"/>
    <n v="-35.1"/>
    <x v="0"/>
    <x v="1"/>
    <n v="0"/>
    <n v="35.1"/>
    <n v="0.27"/>
    <n v="-35.1"/>
    <s v="Ecart négatif"/>
    <n v="0"/>
  </r>
  <r>
    <x v="2"/>
    <n v="50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47.76"/>
  </r>
  <r>
    <x v="4"/>
    <n v="27"/>
    <x v="22"/>
    <x v="197"/>
    <n v="0.16889999999999999"/>
    <n v="17"/>
    <n v="0.17"/>
    <n v="-0.10999999999999943"/>
    <x v="0"/>
    <x v="1"/>
    <n v="0"/>
    <n v="17"/>
    <n v="0.17"/>
    <n v="-17"/>
    <s v="Ecart négatif"/>
    <n v="0"/>
  </r>
  <r>
    <x v="4"/>
    <n v="27"/>
    <x v="6"/>
    <x v="198"/>
    <n v="0.16893750000000002"/>
    <n v="27.200000000000003"/>
    <n v="0.17"/>
    <n v="-0.17000000000000171"/>
    <x v="0"/>
    <x v="1"/>
    <n v="0"/>
    <n v="27.200000000000003"/>
    <n v="0.17"/>
    <n v="-27.200000000000003"/>
    <s v="Ecart négatif"/>
    <n v="0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0"/>
    <n v="68"/>
    <x v="6"/>
    <x v="0"/>
    <n v="0"/>
    <n v="12.8"/>
    <n v="0.08"/>
    <n v="-12.8"/>
    <x v="0"/>
    <x v="1"/>
    <n v="0"/>
    <n v="12.8"/>
    <n v="0.08"/>
    <n v="-12.8"/>
    <s v="Ecart négatif"/>
    <n v="17.02000000000001"/>
  </r>
  <r>
    <x v="3"/>
    <n v="61"/>
    <x v="8"/>
    <x v="199"/>
    <n v="0.16900000000000001"/>
    <n v="11.9"/>
    <n v="0.17"/>
    <n v="-7.0000000000000284E-2"/>
    <x v="0"/>
    <x v="1"/>
    <n v="0"/>
    <n v="11.9"/>
    <n v="0.17"/>
    <n v="-11.9"/>
    <s v="Ecart négatif"/>
    <n v="13.269999999999996"/>
  </r>
  <r>
    <x v="3"/>
    <n v="61"/>
    <x v="8"/>
    <x v="199"/>
    <n v="0.16900000000000001"/>
    <n v="11.9"/>
    <n v="0.17"/>
    <n v="-7.0000000000000284E-2"/>
    <x v="0"/>
    <x v="1"/>
    <n v="0"/>
    <n v="11.9"/>
    <n v="0.17"/>
    <n v="-11.9"/>
    <s v="Ecart négatif"/>
    <n v="13.269999999999996"/>
  </r>
  <r>
    <x v="8"/>
    <n v="68"/>
    <x v="13"/>
    <x v="0"/>
    <n v="0"/>
    <n v="49.3"/>
    <n v="0.28999999999999998"/>
    <n v="-49.3"/>
    <x v="0"/>
    <x v="1"/>
    <n v="0"/>
    <n v="49.3"/>
    <n v="0.28999999999999998"/>
    <n v="-49.3"/>
    <s v="Ecart négatif"/>
    <n v="96.22"/>
  </r>
  <r>
    <x v="3"/>
    <n v="61"/>
    <x v="8"/>
    <x v="199"/>
    <n v="0.16900000000000001"/>
    <n v="11.9"/>
    <n v="0.17"/>
    <n v="-7.0000000000000284E-2"/>
    <x v="0"/>
    <x v="1"/>
    <n v="0"/>
    <n v="11.9"/>
    <n v="0.17"/>
    <n v="-11.9"/>
    <s v="Ecart négatif"/>
    <n v="13.269999999999996"/>
  </r>
  <r>
    <x v="3"/>
    <n v="61"/>
    <x v="8"/>
    <x v="199"/>
    <n v="0.16900000000000001"/>
    <n v="11.9"/>
    <n v="0.17"/>
    <n v="-7.0000000000000284E-2"/>
    <x v="0"/>
    <x v="1"/>
    <n v="0"/>
    <n v="11.9"/>
    <n v="0.17"/>
    <n v="-11.9"/>
    <s v="Ecart négatif"/>
    <n v="13.269999999999996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2"/>
    <n v="76"/>
    <x v="2"/>
    <x v="0"/>
    <n v="0"/>
    <n v="23.8"/>
    <n v="0.17"/>
    <n v="-23.8"/>
    <x v="0"/>
    <x v="40"/>
    <n v="0.17"/>
    <n v="23.8"/>
    <n v="0.17"/>
    <n v="0"/>
    <s v="Pas d'écart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14"/>
    <x v="19"/>
    <x v="200"/>
    <n v="0.16905263157894734"/>
    <n v="32.300000000000004"/>
    <n v="0.17"/>
    <n v="-0.18000000000000682"/>
    <x v="0"/>
    <x v="1"/>
    <n v="0"/>
    <n v="32.300000000000004"/>
    <n v="0.17"/>
    <n v="-32.300000000000004"/>
    <s v="Ecart négatif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59"/>
    <x v="29"/>
    <x v="0"/>
    <n v="0"/>
    <n v="0"/>
    <n v="0"/>
    <n v="0"/>
    <x v="1"/>
    <x v="1"/>
    <n v="0"/>
    <n v="0"/>
    <n v="0"/>
    <n v="0"/>
    <s v="Pas d'écart"/>
    <n v="0"/>
  </r>
  <r>
    <x v="3"/>
    <n v="14"/>
    <x v="1"/>
    <x v="201"/>
    <n v="0.16924999999999998"/>
    <n v="20.400000000000002"/>
    <n v="0.17"/>
    <n v="-9.0000000000003411E-2"/>
    <x v="0"/>
    <x v="1"/>
    <n v="0"/>
    <n v="20.400000000000002"/>
    <n v="0.17"/>
    <n v="-20.400000000000002"/>
    <s v="Ecart négatif"/>
    <n v="14.470000000000006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4"/>
    <n v="14"/>
    <x v="8"/>
    <x v="202"/>
    <n v="0.16928571428571429"/>
    <n v="11.9"/>
    <n v="0.17"/>
    <n v="-5.0000000000000711E-2"/>
    <x v="0"/>
    <x v="1"/>
    <n v="0"/>
    <n v="11.9"/>
    <n v="0.17"/>
    <n v="-11.9"/>
    <s v="Ecart négatif"/>
    <n v="0"/>
  </r>
  <r>
    <x v="4"/>
    <n v="61"/>
    <x v="14"/>
    <x v="203"/>
    <n v="0.16938461538461538"/>
    <n v="22.1"/>
    <n v="0.17"/>
    <n v="-8.0000000000001847E-2"/>
    <x v="0"/>
    <x v="1"/>
    <n v="0"/>
    <n v="22.1"/>
    <n v="0.17"/>
    <n v="-22.1"/>
    <s v="Ecart négatif"/>
    <n v="0"/>
  </r>
  <r>
    <x v="4"/>
    <n v="76"/>
    <x v="10"/>
    <x v="204"/>
    <n v="0.16953333333333334"/>
    <n v="25.500000000000004"/>
    <n v="0.17"/>
    <n v="-7.0000000000003837E-2"/>
    <x v="0"/>
    <x v="1"/>
    <n v="0"/>
    <n v="25.500000000000004"/>
    <n v="0.17"/>
    <n v="-25.500000000000004"/>
    <s v="Ecart négatif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14"/>
    <x v="0"/>
    <x v="205"/>
    <n v="0.16955555555555554"/>
    <n v="30.6"/>
    <n v="0.17"/>
    <n v="-8.0000000000001847E-2"/>
    <x v="0"/>
    <x v="1"/>
    <n v="0"/>
    <n v="30.6"/>
    <n v="0.17"/>
    <n v="-30.6"/>
    <s v="Ecart négatif"/>
    <n v="21.47"/>
  </r>
  <r>
    <x v="3"/>
    <n v="27"/>
    <x v="10"/>
    <x v="206"/>
    <n v="0.1696"/>
    <n v="25.500000000000004"/>
    <n v="0.17"/>
    <n v="-6.0000000000002274E-2"/>
    <x v="0"/>
    <x v="1"/>
    <n v="0"/>
    <n v="25.500000000000004"/>
    <n v="0.17"/>
    <n v="-25.500000000000004"/>
    <s v="Ecart négatif"/>
    <n v="14.789999999999992"/>
  </r>
  <r>
    <x v="1"/>
    <n v="44"/>
    <x v="9"/>
    <x v="0"/>
    <n v="0"/>
    <n v="21.6"/>
    <n v="0.27"/>
    <n v="-21.6"/>
    <x v="0"/>
    <x v="1"/>
    <n v="0"/>
    <n v="21.6"/>
    <n v="0.27"/>
    <n v="-21.6"/>
    <s v="Ecart négatif"/>
    <n v="47.06"/>
  </r>
  <r>
    <x v="2"/>
    <n v="59"/>
    <x v="13"/>
    <x v="0"/>
    <n v="0"/>
    <n v="0"/>
    <n v="0"/>
    <n v="0"/>
    <x v="1"/>
    <x v="1"/>
    <n v="0"/>
    <n v="0"/>
    <n v="0"/>
    <n v="0"/>
    <s v="Pas d'écart"/>
    <n v="0"/>
  </r>
  <r>
    <x v="1"/>
    <n v="77"/>
    <x v="36"/>
    <x v="0"/>
    <n v="0"/>
    <n v="0"/>
    <n v="0"/>
    <n v="0"/>
    <x v="1"/>
    <x v="1"/>
    <n v="0"/>
    <n v="0"/>
    <n v="0"/>
    <n v="0"/>
    <s v="Pas d'écart"/>
    <n v="82.81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0"/>
    <n v="62"/>
    <x v="7"/>
    <x v="0"/>
    <n v="0"/>
    <n v="0"/>
    <n v="0"/>
    <n v="0"/>
    <x v="1"/>
    <x v="1"/>
    <n v="0"/>
    <n v="0"/>
    <n v="0"/>
    <n v="0"/>
    <s v="Pas d'écart"/>
    <n v="3.6300000000000026"/>
  </r>
  <r>
    <x v="3"/>
    <n v="14"/>
    <x v="16"/>
    <x v="207"/>
    <n v="0.16980000000000001"/>
    <n v="34"/>
    <n v="0.17"/>
    <n v="-3.9999999999999147E-2"/>
    <x v="0"/>
    <x v="1"/>
    <n v="0"/>
    <n v="34"/>
    <n v="0.17"/>
    <n v="-34"/>
    <s v="Ecart négatif"/>
    <n v="25.920000000000016"/>
  </r>
  <r>
    <x v="4"/>
    <n v="50"/>
    <x v="16"/>
    <x v="208"/>
    <n v="0.16985"/>
    <n v="34"/>
    <n v="0.17"/>
    <n v="-3.0000000000001137E-2"/>
    <x v="0"/>
    <x v="1"/>
    <n v="0"/>
    <n v="34"/>
    <n v="0.17"/>
    <n v="-34"/>
    <s v="Ecart négatif"/>
    <n v="0"/>
  </r>
  <r>
    <x v="4"/>
    <n v="76"/>
    <x v="14"/>
    <x v="209"/>
    <n v="0.16992307692307693"/>
    <n v="22.1"/>
    <n v="0.17"/>
    <n v="-1.0000000000001563E-2"/>
    <x v="0"/>
    <x v="1"/>
    <n v="0"/>
    <n v="22.1"/>
    <n v="0.17"/>
    <n v="-22.1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67"/>
    <x v="7"/>
    <x v="0"/>
    <n v="0"/>
    <n v="2.4"/>
    <n v="0.08"/>
    <n v="-2.4"/>
    <x v="0"/>
    <x v="1"/>
    <n v="0"/>
    <n v="2.4"/>
    <n v="0.08"/>
    <n v="-2.4"/>
    <s v="Ecart négatif"/>
    <n v="3.6799999999999997"/>
  </r>
  <r>
    <x v="4"/>
    <n v="59"/>
    <x v="9"/>
    <x v="210"/>
    <n v="0.17199999999999999"/>
    <n v="15.2"/>
    <n v="0.19"/>
    <n v="-1.4399999999999995"/>
    <x v="0"/>
    <x v="1"/>
    <n v="0"/>
    <n v="15.2"/>
    <n v="0.19"/>
    <n v="-15.2"/>
    <s v="Ecart négatif"/>
    <n v="0"/>
  </r>
  <r>
    <x v="3"/>
    <n v="59"/>
    <x v="12"/>
    <x v="211"/>
    <n v="0.17275000000000001"/>
    <n v="7.6"/>
    <n v="0.19"/>
    <n v="-0.6899999999999995"/>
    <x v="0"/>
    <x v="1"/>
    <n v="0"/>
    <n v="7.6"/>
    <n v="0.19"/>
    <n v="-7.6"/>
    <s v="Ecart négatif"/>
    <n v="6.8599999999999994"/>
  </r>
  <r>
    <x v="4"/>
    <n v="60"/>
    <x v="12"/>
    <x v="211"/>
    <n v="0.17275000000000001"/>
    <n v="7.6"/>
    <n v="0.19"/>
    <n v="-0.6899999999999995"/>
    <x v="0"/>
    <x v="1"/>
    <n v="0"/>
    <n v="7.6"/>
    <n v="0.19"/>
    <n v="-7.6"/>
    <s v="Ecart négatif"/>
    <n v="0"/>
  </r>
  <r>
    <x v="4"/>
    <n v="94"/>
    <x v="19"/>
    <x v="0"/>
    <n v="0"/>
    <n v="0"/>
    <n v="0"/>
    <n v="0"/>
    <x v="1"/>
    <x v="1"/>
    <n v="0"/>
    <n v="0"/>
    <n v="0"/>
    <n v="0"/>
    <s v="Pas d'écart"/>
    <n v="0"/>
  </r>
  <r>
    <x v="4"/>
    <n v="60"/>
    <x v="12"/>
    <x v="211"/>
    <n v="0.17275000000000001"/>
    <n v="7.6"/>
    <n v="0.19"/>
    <n v="-0.6899999999999995"/>
    <x v="0"/>
    <x v="1"/>
    <n v="0"/>
    <n v="7.6"/>
    <n v="0.19"/>
    <n v="-7.6"/>
    <s v="Ecart négatif"/>
    <n v="0"/>
  </r>
  <r>
    <x v="4"/>
    <n v="59"/>
    <x v="5"/>
    <x v="212"/>
    <n v="0.17299999999999999"/>
    <n v="1.9"/>
    <n v="0.19"/>
    <n v="-0.16999999999999993"/>
    <x v="0"/>
    <x v="1"/>
    <n v="0"/>
    <n v="1.9"/>
    <n v="0.19"/>
    <n v="-1.9"/>
    <s v="Ecart négatif"/>
    <n v="0"/>
  </r>
  <r>
    <x v="0"/>
    <n v="61"/>
    <x v="9"/>
    <x v="0"/>
    <n v="0"/>
    <n v="13.600000000000001"/>
    <n v="0.17"/>
    <n v="-13.600000000000001"/>
    <x v="0"/>
    <x v="112"/>
    <n v="0.15212500000000001"/>
    <n v="13.600000000000001"/>
    <n v="0.17"/>
    <n v="-1.4300000000000015"/>
    <s v="Ecart négatif"/>
    <n v="14.89"/>
  </r>
  <r>
    <x v="4"/>
    <n v="80"/>
    <x v="18"/>
    <x v="213"/>
    <n v="0.17377777777777778"/>
    <n v="17.100000000000001"/>
    <n v="0.19"/>
    <n v="-1.4600000000000009"/>
    <x v="0"/>
    <x v="1"/>
    <n v="0"/>
    <n v="17.100000000000001"/>
    <n v="0.19"/>
    <n v="-17.100000000000001"/>
    <s v="Ecart négatif"/>
    <n v="0"/>
  </r>
  <r>
    <x v="4"/>
    <n v="80"/>
    <x v="18"/>
    <x v="213"/>
    <n v="0.17377777777777778"/>
    <n v="17.100000000000001"/>
    <n v="0.19"/>
    <n v="-1.4600000000000009"/>
    <x v="0"/>
    <x v="1"/>
    <n v="0"/>
    <n v="17.100000000000001"/>
    <n v="0.19"/>
    <n v="-17.100000000000001"/>
    <s v="Ecart négatif"/>
    <n v="0"/>
  </r>
  <r>
    <x v="2"/>
    <n v="35"/>
    <x v="12"/>
    <x v="0"/>
    <n v="0"/>
    <n v="0"/>
    <n v="0"/>
    <n v="0"/>
    <x v="1"/>
    <x v="52"/>
    <n v="0.27"/>
    <n v="0"/>
    <n v="0"/>
    <n v="10.8"/>
    <s v="Ecart positif"/>
    <n v="0"/>
  </r>
  <r>
    <x v="6"/>
    <n v="75"/>
    <x v="2"/>
    <x v="0"/>
    <n v="0"/>
    <n v="0"/>
    <n v="0"/>
    <n v="0"/>
    <x v="1"/>
    <x v="1"/>
    <n v="0"/>
    <n v="0"/>
    <n v="0"/>
    <n v="0"/>
    <s v="Pas d'écart"/>
    <n v="52.57"/>
  </r>
  <r>
    <x v="6"/>
    <n v="34"/>
    <x v="4"/>
    <x v="0"/>
    <n v="0"/>
    <n v="42.9"/>
    <n v="0.39"/>
    <n v="-42.9"/>
    <x v="0"/>
    <x v="1"/>
    <n v="0"/>
    <n v="42.9"/>
    <n v="0.39"/>
    <n v="-42.9"/>
    <s v="Ecart négatif"/>
    <n v="0"/>
  </r>
  <r>
    <x v="4"/>
    <n v="80"/>
    <x v="18"/>
    <x v="213"/>
    <n v="0.17377777777777778"/>
    <n v="17.100000000000001"/>
    <n v="0.19"/>
    <n v="-1.4600000000000009"/>
    <x v="0"/>
    <x v="1"/>
    <n v="0"/>
    <n v="17.100000000000001"/>
    <n v="0.19"/>
    <n v="-17.100000000000001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60"/>
    <x v="18"/>
    <x v="213"/>
    <n v="0.17377777777777778"/>
    <n v="17.100000000000001"/>
    <n v="0.19"/>
    <n v="-1.4600000000000009"/>
    <x v="0"/>
    <x v="1"/>
    <n v="0"/>
    <n v="17.100000000000001"/>
    <n v="0.19"/>
    <n v="-17.100000000000001"/>
    <s v="Ecart négatif"/>
    <n v="15.04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68"/>
    <x v="0"/>
    <x v="0"/>
    <n v="0"/>
    <n v="14.4"/>
    <n v="0.08"/>
    <n v="-14.4"/>
    <x v="0"/>
    <x v="1"/>
    <n v="0"/>
    <n v="14.4"/>
    <n v="0.08"/>
    <n v="-14.4"/>
    <s v="Ecart négatif"/>
    <n v="0"/>
  </r>
  <r>
    <x v="4"/>
    <n v="2"/>
    <x v="18"/>
    <x v="213"/>
    <n v="0.17377777777777778"/>
    <n v="16.2"/>
    <n v="0.18"/>
    <n v="-0.55999999999999872"/>
    <x v="0"/>
    <x v="1"/>
    <n v="0"/>
    <n v="16.2"/>
    <n v="0.18"/>
    <n v="-16.2"/>
    <s v="Ecart négatif"/>
    <n v="0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4"/>
    <n v="80"/>
    <x v="18"/>
    <x v="213"/>
    <n v="0.17377777777777778"/>
    <n v="17.100000000000001"/>
    <n v="0.19"/>
    <n v="-1.4600000000000009"/>
    <x v="0"/>
    <x v="1"/>
    <n v="0"/>
    <n v="17.100000000000001"/>
    <n v="0.19"/>
    <n v="-17.100000000000001"/>
    <s v="Ecart négatif"/>
    <n v="0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8"/>
    <n v="56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50"/>
    <x v="9"/>
    <x v="0"/>
    <n v="0"/>
    <n v="13.600000000000001"/>
    <n v="0.17"/>
    <n v="-13.600000000000001"/>
    <x v="0"/>
    <x v="113"/>
    <n v="0.1605"/>
    <n v="13.600000000000001"/>
    <n v="0.17"/>
    <n v="-0.76000000000000156"/>
    <s v="Ecart négatif"/>
    <n v="14.89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4"/>
    <n v="60"/>
    <x v="18"/>
    <x v="213"/>
    <n v="0.17377777777777778"/>
    <n v="17.100000000000001"/>
    <n v="0.19"/>
    <n v="-1.4600000000000009"/>
    <x v="0"/>
    <x v="1"/>
    <n v="0"/>
    <n v="17.100000000000001"/>
    <n v="0.19"/>
    <n v="-17.100000000000001"/>
    <s v="Ecart négatif"/>
    <n v="0"/>
  </r>
  <r>
    <x v="4"/>
    <n v="62"/>
    <x v="27"/>
    <x v="214"/>
    <n v="0.17420000000000002"/>
    <n v="9.5"/>
    <n v="0.19"/>
    <n v="-0.78999999999999915"/>
    <x v="0"/>
    <x v="1"/>
    <n v="0"/>
    <n v="9.5"/>
    <n v="0.19"/>
    <n v="-9.5"/>
    <s v="Ecart négatif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4"/>
    <n v="62"/>
    <x v="11"/>
    <x v="215"/>
    <n v="0.17433333333333334"/>
    <n v="11.4"/>
    <n v="0.19"/>
    <n v="-0.9399999999999995"/>
    <x v="0"/>
    <x v="1"/>
    <n v="0"/>
    <n v="11.4"/>
    <n v="0.19"/>
    <n v="-11.4"/>
    <s v="Ecart négatif"/>
    <n v="0"/>
  </r>
  <r>
    <x v="4"/>
    <n v="94"/>
    <x v="8"/>
    <x v="0"/>
    <n v="0"/>
    <n v="0"/>
    <n v="0"/>
    <n v="0"/>
    <x v="1"/>
    <x v="1"/>
    <n v="0"/>
    <n v="0"/>
    <n v="0"/>
    <n v="0"/>
    <s v="Pas d'écart"/>
    <n v="35.979999999999997"/>
  </r>
  <r>
    <x v="3"/>
    <n v="80"/>
    <x v="15"/>
    <x v="216"/>
    <n v="0.17450000000000002"/>
    <n v="3.8"/>
    <n v="0.19"/>
    <n v="-0.30999999999999961"/>
    <x v="0"/>
    <x v="1"/>
    <n v="0"/>
    <n v="3.8"/>
    <n v="0.19"/>
    <n v="-3.8"/>
    <s v="Ecart négatif"/>
    <n v="3.1800000000000015"/>
  </r>
  <r>
    <x v="3"/>
    <n v="14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8.2899999999999991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4"/>
    <n v="14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3"/>
    <n v="62"/>
    <x v="15"/>
    <x v="216"/>
    <n v="0.17450000000000002"/>
    <n v="3.8"/>
    <n v="0.19"/>
    <n v="-0.30999999999999961"/>
    <x v="0"/>
    <x v="1"/>
    <n v="0"/>
    <n v="3.8"/>
    <n v="0.19"/>
    <n v="-3.8"/>
    <s v="Ecart négatif"/>
    <n v="3.3900000000000006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3"/>
    <n v="13"/>
    <x v="8"/>
    <x v="217"/>
    <n v="0.29000000000000004"/>
    <n v="20.299999999999997"/>
    <n v="0.28999999999999998"/>
    <n v="0"/>
    <x v="1"/>
    <x v="1"/>
    <n v="0"/>
    <n v="20.299999999999997"/>
    <n v="0.28999999999999998"/>
    <n v="-20.299999999999997"/>
    <s v="Ecart négatif"/>
    <n v="8.9500000000000028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2"/>
    <n v="71"/>
    <x v="9"/>
    <x v="0"/>
    <n v="0"/>
    <n v="0"/>
    <n v="0"/>
    <n v="0"/>
    <x v="1"/>
    <x v="1"/>
    <n v="0"/>
    <n v="0"/>
    <n v="0"/>
    <n v="0"/>
    <s v="Pas d'écart"/>
    <n v="0"/>
  </r>
  <r>
    <x v="0"/>
    <n v="6"/>
    <x v="18"/>
    <x v="0"/>
    <n v="0"/>
    <n v="18.899999999999999"/>
    <n v="0.21"/>
    <n v="-18.899999999999999"/>
    <x v="0"/>
    <x v="1"/>
    <n v="0"/>
    <n v="18.899999999999999"/>
    <n v="0.21"/>
    <n v="-18.899999999999999"/>
    <s v="Ecart négatif"/>
    <n v="75.19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3"/>
    <n v="62"/>
    <x v="15"/>
    <x v="216"/>
    <n v="0.17450000000000002"/>
    <n v="3.8"/>
    <n v="0.19"/>
    <n v="-0.30999999999999961"/>
    <x v="0"/>
    <x v="1"/>
    <n v="0"/>
    <n v="3.8"/>
    <n v="0.19"/>
    <n v="-3.8"/>
    <s v="Ecart négatif"/>
    <n v="3.3900000000000006"/>
  </r>
  <r>
    <x v="4"/>
    <n v="62"/>
    <x v="15"/>
    <x v="216"/>
    <n v="0.17450000000000002"/>
    <n v="3.8"/>
    <n v="0.19"/>
    <n v="-0.30999999999999961"/>
    <x v="0"/>
    <x v="1"/>
    <n v="0"/>
    <n v="3.8"/>
    <n v="0.19"/>
    <n v="-3.8"/>
    <s v="Ecart négatif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0"/>
    <n v="80"/>
    <x v="2"/>
    <x v="0"/>
    <n v="0"/>
    <n v="0"/>
    <n v="0"/>
    <n v="0"/>
    <x v="1"/>
    <x v="68"/>
    <n v="0.19"/>
    <n v="0"/>
    <n v="0"/>
    <n v="26.6"/>
    <s v="Ecart positif"/>
    <n v="14.68"/>
  </r>
  <r>
    <x v="0"/>
    <n v="71"/>
    <x v="2"/>
    <x v="0"/>
    <n v="0"/>
    <n v="0"/>
    <n v="0"/>
    <n v="0"/>
    <x v="1"/>
    <x v="1"/>
    <n v="0"/>
    <n v="0"/>
    <n v="0"/>
    <n v="0"/>
    <s v="Pas d'écart"/>
    <n v="73.41"/>
  </r>
  <r>
    <x v="0"/>
    <n v="57"/>
    <x v="12"/>
    <x v="0"/>
    <n v="0"/>
    <n v="10"/>
    <n v="0.25"/>
    <n v="-10"/>
    <x v="0"/>
    <x v="46"/>
    <n v="0.20624999999999999"/>
    <n v="10"/>
    <n v="0.25"/>
    <n v="-1.75"/>
    <s v="Ecart négatif"/>
    <n v="8.2899999999999991"/>
  </r>
  <r>
    <x v="0"/>
    <n v="56"/>
    <x v="2"/>
    <x v="0"/>
    <n v="0"/>
    <n v="0"/>
    <n v="0"/>
    <n v="0"/>
    <x v="1"/>
    <x v="1"/>
    <n v="0"/>
    <n v="0"/>
    <n v="0"/>
    <n v="0"/>
    <s v="Pas d'écart"/>
    <n v="14.68"/>
  </r>
  <r>
    <x v="3"/>
    <n v="80"/>
    <x v="15"/>
    <x v="216"/>
    <n v="0.17450000000000002"/>
    <n v="3.8"/>
    <n v="0.19"/>
    <n v="-0.30999999999999961"/>
    <x v="0"/>
    <x v="1"/>
    <n v="0"/>
    <n v="3.8"/>
    <n v="0.19"/>
    <n v="-3.8"/>
    <s v="Ecart négatif"/>
    <n v="3.1800000000000015"/>
  </r>
  <r>
    <x v="0"/>
    <n v="54"/>
    <x v="19"/>
    <x v="0"/>
    <n v="0"/>
    <n v="47.5"/>
    <n v="0.25"/>
    <n v="-47.5"/>
    <x v="0"/>
    <x v="114"/>
    <n v="0.2493684210526316"/>
    <n v="47.5"/>
    <n v="0.25"/>
    <n v="-0.11999999999999744"/>
    <s v="Ecart négatif"/>
    <n v="99.88"/>
  </r>
  <r>
    <x v="2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0"/>
    <n v="94"/>
    <x v="12"/>
    <x v="0"/>
    <n v="0"/>
    <n v="0"/>
    <n v="0"/>
    <n v="0"/>
    <x v="1"/>
    <x v="1"/>
    <n v="0"/>
    <n v="0"/>
    <n v="0"/>
    <n v="0"/>
    <s v="Pas d'écart"/>
    <n v="26.16"/>
  </r>
  <r>
    <x v="2"/>
    <n v="45"/>
    <x v="12"/>
    <x v="0"/>
    <n v="0"/>
    <n v="4.8"/>
    <n v="0.12"/>
    <n v="-4.8"/>
    <x v="0"/>
    <x v="1"/>
    <n v="0"/>
    <n v="4.8"/>
    <n v="0.12"/>
    <n v="-4.8"/>
    <s v="Ecart négatif"/>
    <n v="41.47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92.1"/>
  </r>
  <r>
    <x v="0"/>
    <n v="17"/>
    <x v="13"/>
    <x v="0"/>
    <n v="0"/>
    <n v="28.900000000000002"/>
    <n v="0.17"/>
    <n v="-28.900000000000002"/>
    <x v="0"/>
    <x v="1"/>
    <n v="0"/>
    <n v="28.900000000000002"/>
    <n v="0.17"/>
    <n v="-28.900000000000002"/>
    <s v="Ecart négatif"/>
    <n v="103.87"/>
  </r>
  <r>
    <x v="0"/>
    <n v="75"/>
    <x v="25"/>
    <x v="0"/>
    <n v="0"/>
    <n v="0"/>
    <n v="0"/>
    <n v="0"/>
    <x v="1"/>
    <x v="1"/>
    <n v="0"/>
    <n v="0"/>
    <n v="0"/>
    <n v="0"/>
    <s v="Pas d'écart"/>
    <n v="13.509999999999991"/>
  </r>
  <r>
    <x v="2"/>
    <n v="35"/>
    <x v="22"/>
    <x v="0"/>
    <n v="0"/>
    <n v="0"/>
    <n v="0"/>
    <n v="0"/>
    <x v="1"/>
    <x v="115"/>
    <n v="0.26729999999999998"/>
    <n v="0"/>
    <n v="0"/>
    <n v="26.73"/>
    <s v="Ecart positif"/>
    <n v="71.27"/>
  </r>
  <r>
    <x v="0"/>
    <n v="74"/>
    <x v="7"/>
    <x v="0"/>
    <n v="0"/>
    <n v="0"/>
    <n v="0"/>
    <n v="0"/>
    <x v="1"/>
    <x v="1"/>
    <n v="0"/>
    <n v="0"/>
    <n v="0"/>
    <n v="0"/>
    <s v="Pas d'écart"/>
    <n v="20.260000000000002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0"/>
    <n v="85"/>
    <x v="7"/>
    <x v="0"/>
    <n v="0"/>
    <n v="0"/>
    <n v="0"/>
    <n v="0"/>
    <x v="1"/>
    <x v="116"/>
    <n v="0.22333333333333333"/>
    <n v="0"/>
    <n v="0"/>
    <n v="6.7"/>
    <s v="Ecart positif"/>
    <n v="19.3"/>
  </r>
  <r>
    <x v="2"/>
    <n v="54"/>
    <x v="8"/>
    <x v="0"/>
    <n v="0"/>
    <n v="17.5"/>
    <n v="0.25"/>
    <n v="-17.5"/>
    <x v="0"/>
    <x v="117"/>
    <n v="0.22242857142857142"/>
    <n v="17.5"/>
    <n v="0.25"/>
    <n v="-1.9299999999999997"/>
    <s v="Ecart négatif"/>
    <n v="0"/>
  </r>
  <r>
    <x v="5"/>
    <n v="76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15.069999999999997"/>
  </r>
  <r>
    <x v="5"/>
    <n v="67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0"/>
    <n v="75"/>
    <x v="12"/>
    <x v="0"/>
    <n v="0"/>
    <n v="0"/>
    <n v="0"/>
    <n v="0"/>
    <x v="1"/>
    <x v="1"/>
    <n v="0"/>
    <n v="0"/>
    <n v="0"/>
    <n v="0"/>
    <s v="Pas d'écart"/>
    <n v="26.16"/>
  </r>
  <r>
    <x v="0"/>
    <n v="63"/>
    <x v="19"/>
    <x v="0"/>
    <n v="0"/>
    <n v="22.8"/>
    <n v="0.12000000000000001"/>
    <n v="-22.8"/>
    <x v="0"/>
    <x v="1"/>
    <n v="0"/>
    <n v="22.8"/>
    <n v="0.12000000000000001"/>
    <n v="-22.8"/>
    <s v="Ecart négatif"/>
    <n v="99.88"/>
  </r>
  <r>
    <x v="2"/>
    <n v="75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63"/>
    <x v="18"/>
    <x v="0"/>
    <n v="0"/>
    <n v="10.799999999999999"/>
    <n v="0.11999999999999998"/>
    <n v="-10.799999999999999"/>
    <x v="0"/>
    <x v="52"/>
    <n v="0.12000000000000001"/>
    <n v="10.799999999999999"/>
    <n v="0.11999999999999998"/>
    <n v="0"/>
    <s v="Pas d'écart"/>
    <n v="50.16"/>
  </r>
  <r>
    <x v="0"/>
    <n v="63"/>
    <x v="19"/>
    <x v="0"/>
    <n v="0"/>
    <n v="22.8"/>
    <n v="0.12000000000000001"/>
    <n v="-22.8"/>
    <x v="0"/>
    <x v="118"/>
    <n v="0.11394736842105263"/>
    <n v="22.8"/>
    <n v="0.12000000000000001"/>
    <n v="-1.1500000000000021"/>
    <s v="Ecart négatif"/>
    <n v="99.88"/>
  </r>
  <r>
    <x v="2"/>
    <n v="44"/>
    <x v="16"/>
    <x v="0"/>
    <n v="0"/>
    <n v="0"/>
    <n v="0"/>
    <n v="0"/>
    <x v="1"/>
    <x v="1"/>
    <n v="0"/>
    <n v="0"/>
    <n v="0"/>
    <n v="0"/>
    <s v="Pas d'écart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75"/>
    <x v="10"/>
    <x v="0"/>
    <n v="0"/>
    <n v="0"/>
    <n v="0"/>
    <n v="0"/>
    <x v="1"/>
    <x v="1"/>
    <n v="0"/>
    <n v="0"/>
    <n v="0"/>
    <n v="0"/>
    <s v="Pas d'écart"/>
    <n v="55.05"/>
  </r>
  <r>
    <x v="0"/>
    <n v="67"/>
    <x v="2"/>
    <x v="0"/>
    <n v="0"/>
    <n v="11.200000000000001"/>
    <n v="0.08"/>
    <n v="-11.200000000000001"/>
    <x v="0"/>
    <x v="1"/>
    <n v="0"/>
    <n v="11.200000000000001"/>
    <n v="0.08"/>
    <n v="-11.200000000000001"/>
    <s v="Ecart négatif"/>
    <n v="65.680000000000007"/>
  </r>
  <r>
    <x v="2"/>
    <n v="72"/>
    <x v="8"/>
    <x v="0"/>
    <n v="0"/>
    <n v="8.4"/>
    <n v="0.12000000000000001"/>
    <n v="-8.4"/>
    <x v="0"/>
    <x v="1"/>
    <n v="0"/>
    <n v="8.4"/>
    <n v="0.12000000000000001"/>
    <n v="-8.4"/>
    <s v="Ecart négatif"/>
    <n v="66.36"/>
  </r>
  <r>
    <x v="5"/>
    <n v="63"/>
    <x v="10"/>
    <x v="0"/>
    <n v="0"/>
    <n v="43.5"/>
    <n v="0.28999999999999998"/>
    <n v="-43.5"/>
    <x v="0"/>
    <x v="1"/>
    <n v="0"/>
    <n v="43.5"/>
    <n v="0.28999999999999998"/>
    <n v="-43.5"/>
    <s v="Ecart négatif"/>
    <n v="13.759999999999998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3"/>
    <n v="62"/>
    <x v="15"/>
    <x v="216"/>
    <n v="0.17450000000000002"/>
    <n v="3.8"/>
    <n v="0.19"/>
    <n v="-0.30999999999999961"/>
    <x v="0"/>
    <x v="1"/>
    <n v="0"/>
    <n v="3.8"/>
    <n v="0.19"/>
    <n v="-3.8"/>
    <s v="Ecart négatif"/>
    <n v="3.3900000000000006"/>
  </r>
  <r>
    <x v="0"/>
    <n v="56"/>
    <x v="2"/>
    <x v="0"/>
    <n v="0"/>
    <n v="0"/>
    <n v="0"/>
    <n v="0"/>
    <x v="1"/>
    <x v="1"/>
    <n v="0"/>
    <n v="0"/>
    <n v="0"/>
    <n v="0"/>
    <s v="Pas d'écart"/>
    <n v="14.68"/>
  </r>
  <r>
    <x v="2"/>
    <n v="34"/>
    <x v="12"/>
    <x v="0"/>
    <n v="0"/>
    <n v="11.200000000000001"/>
    <n v="0.28000000000000003"/>
    <n v="-11.200000000000001"/>
    <x v="0"/>
    <x v="119"/>
    <n v="0.47074999999999995"/>
    <n v="11.200000000000001"/>
    <n v="0.28000000000000003"/>
    <n v="7.6299999999999972"/>
    <s v="Ecart positif"/>
    <n v="47.76"/>
  </r>
  <r>
    <x v="4"/>
    <n v="80"/>
    <x v="15"/>
    <x v="216"/>
    <n v="0.17450000000000002"/>
    <n v="3.8"/>
    <n v="0.19"/>
    <n v="-0.30999999999999961"/>
    <x v="0"/>
    <x v="1"/>
    <n v="0"/>
    <n v="3.8"/>
    <n v="0.19"/>
    <n v="-3.8"/>
    <s v="Ecart négatif"/>
    <n v="0"/>
  </r>
  <r>
    <x v="3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3"/>
    <n v="68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8.2899999999999991"/>
  </r>
  <r>
    <x v="0"/>
    <n v="93"/>
    <x v="8"/>
    <x v="0"/>
    <n v="0"/>
    <n v="0"/>
    <n v="0"/>
    <n v="0"/>
    <x v="1"/>
    <x v="1"/>
    <n v="0"/>
    <n v="0"/>
    <n v="0"/>
    <n v="0"/>
    <s v="Pas d'écart"/>
    <n v="7.199999999999995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3"/>
    <n v="59"/>
    <x v="15"/>
    <x v="216"/>
    <n v="0.17450000000000002"/>
    <n v="3.8"/>
    <n v="0.19"/>
    <n v="-0.30999999999999961"/>
    <x v="0"/>
    <x v="1"/>
    <n v="0"/>
    <n v="3.8"/>
    <n v="0.19"/>
    <n v="-3.8"/>
    <s v="Ecart négatif"/>
    <n v="3.1899999999999995"/>
  </r>
  <r>
    <x v="3"/>
    <n v="62"/>
    <x v="15"/>
    <x v="216"/>
    <n v="0.17450000000000002"/>
    <n v="3.8"/>
    <n v="0.19"/>
    <n v="-0.30999999999999961"/>
    <x v="0"/>
    <x v="1"/>
    <n v="0"/>
    <n v="3.8"/>
    <n v="0.19"/>
    <n v="-3.8"/>
    <s v="Ecart négatif"/>
    <n v="3.3900000000000006"/>
  </r>
  <r>
    <x v="2"/>
    <n v="29"/>
    <x v="6"/>
    <x v="0"/>
    <n v="0"/>
    <n v="19.2"/>
    <n v="0.12"/>
    <n v="-19.2"/>
    <x v="0"/>
    <x v="1"/>
    <n v="0"/>
    <n v="19.2"/>
    <n v="0.12"/>
    <n v="-19.2"/>
    <s v="Ecart négatif"/>
    <n v="0"/>
  </r>
  <r>
    <x v="8"/>
    <n v="86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0"/>
  </r>
  <r>
    <x v="4"/>
    <n v="62"/>
    <x v="11"/>
    <x v="218"/>
    <n v="0.17466666666666666"/>
    <n v="11.4"/>
    <n v="0.19"/>
    <n v="-0.91999999999999993"/>
    <x v="0"/>
    <x v="1"/>
    <n v="0"/>
    <n v="11.4"/>
    <n v="0.19"/>
    <n v="-11.4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62"/>
    <x v="11"/>
    <x v="218"/>
    <n v="0.17466666666666666"/>
    <n v="11.4"/>
    <n v="0.19"/>
    <n v="-0.91999999999999993"/>
    <x v="0"/>
    <x v="1"/>
    <n v="0"/>
    <n v="11.4"/>
    <n v="0.19"/>
    <n v="-11.4"/>
    <s v="Ecart négatif"/>
    <n v="0"/>
  </r>
  <r>
    <x v="4"/>
    <n v="60"/>
    <x v="11"/>
    <x v="218"/>
    <n v="0.17466666666666666"/>
    <n v="11.4"/>
    <n v="0.19"/>
    <n v="-0.91999999999999993"/>
    <x v="0"/>
    <x v="1"/>
    <n v="0"/>
    <n v="11.4"/>
    <n v="0.19"/>
    <n v="-11.4"/>
    <s v="Ecart négatif"/>
    <n v="0"/>
  </r>
  <r>
    <x v="1"/>
    <n v="77"/>
    <x v="33"/>
    <x v="0"/>
    <n v="0"/>
    <n v="0"/>
    <n v="0"/>
    <n v="0"/>
    <x v="1"/>
    <x v="1"/>
    <n v="0"/>
    <n v="0"/>
    <n v="0"/>
    <n v="0"/>
    <s v="Pas d'écart"/>
    <n v="79"/>
  </r>
  <r>
    <x v="2"/>
    <n v="80"/>
    <x v="16"/>
    <x v="0"/>
    <n v="0"/>
    <n v="0"/>
    <n v="0"/>
    <n v="0"/>
    <x v="1"/>
    <x v="1"/>
    <n v="0"/>
    <n v="0"/>
    <n v="0"/>
    <n v="0"/>
    <s v="Pas d'écart"/>
    <n v="0"/>
  </r>
  <r>
    <x v="6"/>
    <n v="59"/>
    <x v="19"/>
    <x v="0"/>
    <n v="0"/>
    <n v="36.1"/>
    <n v="0.19"/>
    <n v="-36.1"/>
    <x v="0"/>
    <x v="1"/>
    <n v="0"/>
    <n v="36.1"/>
    <n v="0.19"/>
    <n v="-36.1"/>
    <s v="Ecart négatif"/>
    <n v="37.869999999999997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2"/>
    <n v="14"/>
    <x v="16"/>
    <x v="0"/>
    <n v="0"/>
    <n v="34"/>
    <n v="0.17"/>
    <n v="-34"/>
    <x v="0"/>
    <x v="120"/>
    <n v="0.16605"/>
    <n v="34"/>
    <n v="0.17"/>
    <n v="-0.78999999999999915"/>
    <s v="Ecart négatif"/>
    <n v="0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4"/>
    <n v="59"/>
    <x v="11"/>
    <x v="218"/>
    <n v="0.17466666666666666"/>
    <n v="11.4"/>
    <n v="0.19"/>
    <n v="-0.91999999999999993"/>
    <x v="0"/>
    <x v="1"/>
    <n v="0"/>
    <n v="11.4"/>
    <n v="0.19"/>
    <n v="-11.4"/>
    <s v="Ecart négatif"/>
    <n v="0"/>
  </r>
  <r>
    <x v="0"/>
    <n v="78"/>
    <x v="19"/>
    <x v="0"/>
    <n v="0"/>
    <n v="0"/>
    <n v="0"/>
    <n v="0"/>
    <x v="1"/>
    <x v="1"/>
    <n v="0"/>
    <n v="0"/>
    <n v="0"/>
    <n v="0"/>
    <s v="Pas d'écart"/>
    <n v="12.399999999999999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0"/>
    <n v="34"/>
    <x v="0"/>
    <x v="0"/>
    <n v="0"/>
    <n v="50.400000000000006"/>
    <n v="0.28000000000000003"/>
    <n v="-50.400000000000006"/>
    <x v="0"/>
    <x v="121"/>
    <n v="0.26777777777777778"/>
    <n v="50.400000000000006"/>
    <n v="0.28000000000000003"/>
    <n v="-2.2000000000000028"/>
    <s v="Ecart négatif"/>
    <n v="23.210000000000008"/>
  </r>
  <r>
    <x v="4"/>
    <n v="60"/>
    <x v="11"/>
    <x v="218"/>
    <n v="0.17466666666666666"/>
    <n v="11.4"/>
    <n v="0.19"/>
    <n v="-0.91999999999999993"/>
    <x v="0"/>
    <x v="1"/>
    <n v="0"/>
    <n v="11.4"/>
    <n v="0.19"/>
    <n v="-11.4"/>
    <s v="Ecart négatif"/>
    <n v="0"/>
  </r>
  <r>
    <x v="4"/>
    <n v="41"/>
    <x v="12"/>
    <x v="219"/>
    <n v="0.17499999999999999"/>
    <n v="8.4"/>
    <n v="0.21000000000000002"/>
    <n v="-1.4000000000000004"/>
    <x v="0"/>
    <x v="1"/>
    <n v="0"/>
    <n v="8.4"/>
    <n v="0.21000000000000002"/>
    <n v="-8.4"/>
    <s v="Ecart négatif"/>
    <n v="0"/>
  </r>
  <r>
    <x v="2"/>
    <n v="54"/>
    <x v="20"/>
    <x v="0"/>
    <n v="0"/>
    <n v="62.5"/>
    <n v="0.25"/>
    <n v="-62.5"/>
    <x v="0"/>
    <x v="1"/>
    <n v="0"/>
    <n v="62.5"/>
    <n v="0.25"/>
    <n v="-62.5"/>
    <s v="Ecart négatif"/>
    <n v="131.1"/>
  </r>
  <r>
    <x v="4"/>
    <n v="62"/>
    <x v="11"/>
    <x v="220"/>
    <n v="0.17499999999999999"/>
    <n v="11.4"/>
    <n v="0.19"/>
    <n v="-0.90000000000000036"/>
    <x v="0"/>
    <x v="1"/>
    <n v="0"/>
    <n v="11.4"/>
    <n v="0.19"/>
    <n v="-11.4"/>
    <s v="Ecart négatif"/>
    <n v="0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4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0"/>
  </r>
  <r>
    <x v="4"/>
    <n v="77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6"/>
    <n v="38"/>
    <x v="14"/>
    <x v="0"/>
    <n v="0"/>
    <n v="35.1"/>
    <n v="0.27"/>
    <n v="-35.1"/>
    <x v="0"/>
    <x v="1"/>
    <n v="0"/>
    <n v="35.1"/>
    <n v="0.27"/>
    <n v="-35.1"/>
    <s v="Ecart négatif"/>
    <n v="0"/>
  </r>
  <r>
    <x v="0"/>
    <n v="13"/>
    <x v="12"/>
    <x v="0"/>
    <n v="0"/>
    <n v="7.6"/>
    <n v="0.19"/>
    <n v="-7.6"/>
    <x v="0"/>
    <x v="122"/>
    <n v="0.28999999999999998"/>
    <n v="7.6"/>
    <n v="0.19"/>
    <n v="4"/>
    <s v="Ecart positif"/>
    <n v="34.29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3"/>
    <n v="59"/>
    <x v="11"/>
    <x v="221"/>
    <n v="0.17516666666666666"/>
    <n v="11.4"/>
    <n v="0.19"/>
    <n v="-0.89000000000000057"/>
    <x v="0"/>
    <x v="1"/>
    <n v="0"/>
    <n v="11.4"/>
    <n v="0.19"/>
    <n v="-11.4"/>
    <s v="Ecart négatif"/>
    <n v="8.5"/>
  </r>
  <r>
    <x v="4"/>
    <n v="94"/>
    <x v="6"/>
    <x v="0"/>
    <n v="0"/>
    <n v="0"/>
    <n v="0"/>
    <n v="0"/>
    <x v="1"/>
    <x v="1"/>
    <n v="0"/>
    <n v="0"/>
    <n v="0"/>
    <n v="0"/>
    <s v="Pas d'écart"/>
    <n v="0"/>
  </r>
  <r>
    <x v="4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0"/>
  </r>
  <r>
    <x v="3"/>
    <n v="69"/>
    <x v="9"/>
    <x v="12"/>
    <n v="0.27"/>
    <n v="21.6"/>
    <n v="0.27"/>
    <n v="0"/>
    <x v="1"/>
    <x v="1"/>
    <n v="0"/>
    <n v="21.6"/>
    <n v="0.27"/>
    <n v="-21.6"/>
    <s v="Ecart négatif"/>
    <n v="9.4100000000000037"/>
  </r>
  <r>
    <x v="0"/>
    <n v="67"/>
    <x v="6"/>
    <x v="0"/>
    <n v="0"/>
    <n v="12.8"/>
    <n v="0.08"/>
    <n v="-12.8"/>
    <x v="0"/>
    <x v="106"/>
    <n v="7.5499999999999998E-2"/>
    <n v="12.8"/>
    <n v="0.08"/>
    <n v="-0.72000000000000064"/>
    <s v="Ecart négatif"/>
    <n v="15.310000000000002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0"/>
    <n v="59"/>
    <x v="27"/>
    <x v="0"/>
    <n v="0"/>
    <n v="0"/>
    <n v="0"/>
    <n v="0"/>
    <x v="1"/>
    <x v="1"/>
    <n v="0"/>
    <n v="0"/>
    <n v="0"/>
    <n v="0"/>
    <s v="Pas d'écart"/>
    <n v="8.0399999999999991"/>
  </r>
  <r>
    <x v="2"/>
    <n v="69"/>
    <x v="9"/>
    <x v="0"/>
    <n v="0"/>
    <n v="0"/>
    <n v="0"/>
    <n v="0"/>
    <x v="1"/>
    <x v="1"/>
    <n v="0"/>
    <n v="0"/>
    <n v="0"/>
    <n v="0"/>
    <s v="Pas d'écart"/>
    <n v="0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3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4"/>
    <n v="60"/>
    <x v="11"/>
    <x v="221"/>
    <n v="0.17516666666666666"/>
    <n v="11.4"/>
    <n v="0.19"/>
    <n v="-0.89000000000000057"/>
    <x v="0"/>
    <x v="1"/>
    <n v="0"/>
    <n v="11.4"/>
    <n v="0.19"/>
    <n v="-11.4"/>
    <s v="Ecart négatif"/>
    <n v="0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2"/>
    <n v="75"/>
    <x v="21"/>
    <x v="0"/>
    <e v="#DIV/0!"/>
    <n v="0"/>
    <e v="#DIV/0!"/>
    <n v="0"/>
    <x v="1"/>
    <x v="1"/>
    <e v="#DIV/0!"/>
    <n v="0"/>
    <e v="#DIV/0!"/>
    <n v="0"/>
    <s v="Pas d'écart"/>
    <e v="#N/A"/>
  </r>
  <r>
    <x v="6"/>
    <n v="59"/>
    <x v="0"/>
    <x v="137"/>
    <n v="0.19"/>
    <n v="34.200000000000003"/>
    <n v="0.19"/>
    <n v="0"/>
    <x v="1"/>
    <x v="1"/>
    <n v="0"/>
    <n v="34.200000000000003"/>
    <n v="0.19"/>
    <n v="-34.200000000000003"/>
    <s v="Ecart négatif"/>
    <n v="92.1"/>
  </r>
  <r>
    <x v="4"/>
    <n v="95"/>
    <x v="3"/>
    <x v="0"/>
    <n v="0"/>
    <n v="0"/>
    <n v="0"/>
    <n v="0"/>
    <x v="1"/>
    <x v="1"/>
    <n v="0"/>
    <n v="0"/>
    <n v="0"/>
    <n v="0"/>
    <s v="Pas d'écart"/>
    <n v="0"/>
  </r>
  <r>
    <x v="3"/>
    <n v="62"/>
    <x v="11"/>
    <x v="221"/>
    <n v="0.17516666666666666"/>
    <n v="11.4"/>
    <n v="0.19"/>
    <n v="-0.89000000000000057"/>
    <x v="0"/>
    <x v="1"/>
    <n v="0"/>
    <n v="11.4"/>
    <n v="0.19"/>
    <n v="-11.4"/>
    <s v="Ecart négatif"/>
    <n v="10.560000000000002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0"/>
    <n v="13"/>
    <x v="8"/>
    <x v="0"/>
    <n v="0"/>
    <n v="13.3"/>
    <n v="0.19"/>
    <n v="-13.3"/>
    <x v="0"/>
    <x v="123"/>
    <n v="0.19"/>
    <n v="13.3"/>
    <n v="0.19"/>
    <n v="0"/>
    <s v="Pas d'écart"/>
    <n v="8.9500000000000028"/>
  </r>
  <r>
    <x v="0"/>
    <n v="48"/>
    <x v="2"/>
    <x v="0"/>
    <n v="0"/>
    <n v="39.200000000000003"/>
    <n v="0.28000000000000003"/>
    <n v="-39.200000000000003"/>
    <x v="0"/>
    <x v="36"/>
    <n v="0.39"/>
    <n v="39.200000000000003"/>
    <n v="0.28000000000000003"/>
    <n v="15.399999999999999"/>
    <s v="Ecart positif"/>
    <n v="78.8"/>
  </r>
  <r>
    <x v="2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14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0"/>
    <n v="14"/>
    <x v="2"/>
    <x v="0"/>
    <n v="0"/>
    <n v="23.8"/>
    <n v="0.17"/>
    <n v="-23.8"/>
    <x v="0"/>
    <x v="1"/>
    <n v="0"/>
    <n v="23.8"/>
    <n v="0.17"/>
    <n v="-23.8"/>
    <s v="Ecart négatif"/>
    <n v="73.41"/>
  </r>
  <r>
    <x v="0"/>
    <n v="14"/>
    <x v="16"/>
    <x v="0"/>
    <n v="0"/>
    <n v="34"/>
    <n v="0.17"/>
    <n v="-34"/>
    <x v="0"/>
    <x v="1"/>
    <n v="0"/>
    <n v="34"/>
    <n v="0.17"/>
    <n v="-34"/>
    <s v="Ecart négatif"/>
    <n v="129.61000000000001"/>
  </r>
  <r>
    <x v="0"/>
    <n v="67"/>
    <x v="27"/>
    <x v="0"/>
    <n v="0"/>
    <n v="4"/>
    <n v="0.08"/>
    <n v="-4"/>
    <x v="0"/>
    <x v="124"/>
    <n v="6.54E-2"/>
    <n v="4"/>
    <n v="0.08"/>
    <n v="-0.73"/>
    <s v="Ecart négatif"/>
    <n v="40.19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83"/>
    <x v="8"/>
    <x v="0"/>
    <n v="0"/>
    <n v="14.7"/>
    <n v="0.21"/>
    <n v="-14.7"/>
    <x v="0"/>
    <x v="125"/>
    <n v="0.21"/>
    <n v="14.7"/>
    <n v="0.21"/>
    <n v="0"/>
    <s v="Pas d'écart"/>
    <n v="61.48"/>
  </r>
  <r>
    <x v="2"/>
    <n v="29"/>
    <x v="22"/>
    <x v="0"/>
    <n v="0"/>
    <n v="12"/>
    <n v="0.12"/>
    <n v="-12"/>
    <x v="0"/>
    <x v="1"/>
    <n v="0"/>
    <n v="12"/>
    <n v="0.12"/>
    <n v="-12"/>
    <s v="Ecart négatif"/>
    <n v="0"/>
  </r>
  <r>
    <x v="0"/>
    <n v="54"/>
    <x v="16"/>
    <x v="0"/>
    <n v="0"/>
    <n v="50"/>
    <n v="0.25"/>
    <n v="-50"/>
    <x v="0"/>
    <x v="126"/>
    <n v="0.24875"/>
    <n v="50"/>
    <n v="0.25"/>
    <n v="-0.25"/>
    <s v="Ecart négatif"/>
    <n v="107.65"/>
  </r>
  <r>
    <x v="0"/>
    <n v="69"/>
    <x v="20"/>
    <x v="0"/>
    <n v="0"/>
    <n v="0"/>
    <n v="0"/>
    <n v="0"/>
    <x v="1"/>
    <x v="1"/>
    <n v="0"/>
    <n v="0"/>
    <n v="0"/>
    <n v="0"/>
    <s v="Pas d'écart"/>
    <n v="26.22"/>
  </r>
  <r>
    <x v="0"/>
    <n v="13"/>
    <x v="48"/>
    <x v="0"/>
    <n v="0"/>
    <n v="74.099999999999994"/>
    <n v="0.18999999999999997"/>
    <n v="-74.099999999999994"/>
    <x v="0"/>
    <x v="1"/>
    <n v="0"/>
    <n v="74.099999999999994"/>
    <n v="0.18999999999999997"/>
    <n v="-74.099999999999994"/>
    <s v="Ecart négatif"/>
    <n v="175.56"/>
  </r>
  <r>
    <x v="2"/>
    <n v="66"/>
    <x v="1"/>
    <x v="0"/>
    <n v="0"/>
    <n v="33.6"/>
    <n v="0.28000000000000003"/>
    <n v="-33.6"/>
    <x v="0"/>
    <x v="1"/>
    <n v="0"/>
    <n v="33.6"/>
    <n v="0.28000000000000003"/>
    <n v="-33.6"/>
    <s v="Ecart négatif"/>
    <n v="77.349999999999994"/>
  </r>
  <r>
    <x v="2"/>
    <n v="75"/>
    <x v="12"/>
    <x v="0"/>
    <n v="0"/>
    <n v="0"/>
    <n v="0"/>
    <n v="0"/>
    <x v="1"/>
    <x v="1"/>
    <n v="0"/>
    <n v="0"/>
    <n v="0"/>
    <n v="0"/>
    <s v="Pas d'écart"/>
    <n v="26.16"/>
  </r>
  <r>
    <x v="5"/>
    <n v="35"/>
    <x v="22"/>
    <x v="0"/>
    <n v="0"/>
    <n v="27"/>
    <n v="0.27"/>
    <n v="-27"/>
    <x v="0"/>
    <x v="1"/>
    <n v="0"/>
    <n v="27"/>
    <n v="0.27"/>
    <n v="-27"/>
    <s v="Ecart négatif"/>
    <n v="71.27"/>
  </r>
  <r>
    <x v="6"/>
    <n v="45"/>
    <x v="1"/>
    <x v="222"/>
    <n v="0.20466666666666666"/>
    <n v="25.2"/>
    <n v="0.21"/>
    <n v="-0.64000000000000057"/>
    <x v="0"/>
    <x v="1"/>
    <n v="0"/>
    <n v="25.2"/>
    <n v="0.21"/>
    <n v="-25.2"/>
    <s v="Ecart négatif"/>
    <n v="72.34"/>
  </r>
  <r>
    <x v="2"/>
    <n v="59"/>
    <x v="18"/>
    <x v="0"/>
    <n v="0"/>
    <n v="0"/>
    <n v="0"/>
    <n v="0"/>
    <x v="1"/>
    <x v="1"/>
    <n v="0"/>
    <n v="0"/>
    <n v="0"/>
    <n v="0"/>
    <s v="Pas d'écart"/>
    <n v="50.16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2"/>
    <n v="37"/>
    <x v="22"/>
    <x v="0"/>
    <n v="0"/>
    <n v="12"/>
    <n v="0.12"/>
    <n v="-12"/>
    <x v="0"/>
    <x v="1"/>
    <n v="0"/>
    <n v="12"/>
    <n v="0.12"/>
    <n v="-12"/>
    <s v="Ecart négatif"/>
    <n v="53.27"/>
  </r>
  <r>
    <x v="3"/>
    <n v="8"/>
    <x v="11"/>
    <x v="221"/>
    <n v="0.17516666666666666"/>
    <n v="10.799999999999999"/>
    <n v="0.18"/>
    <n v="-0.28999999999999915"/>
    <x v="0"/>
    <x v="1"/>
    <n v="0"/>
    <n v="10.799999999999999"/>
    <n v="0.18"/>
    <n v="-10.799999999999999"/>
    <s v="Ecart négatif"/>
    <n v="11.649999999999999"/>
  </r>
  <r>
    <x v="5"/>
    <n v="98"/>
    <x v="0"/>
    <x v="0"/>
    <n v="0"/>
    <n v="48.6"/>
    <n v="0.27"/>
    <n v="-48.6"/>
    <x v="0"/>
    <x v="1"/>
    <n v="0"/>
    <n v="48.6"/>
    <n v="0.27"/>
    <n v="-48.6"/>
    <s v="Ecart négatif"/>
    <n v="67.820000000000007"/>
  </r>
  <r>
    <x v="3"/>
    <n v="59"/>
    <x v="11"/>
    <x v="223"/>
    <n v="0.17533333333333331"/>
    <n v="11.4"/>
    <n v="0.19"/>
    <n v="-0.88000000000000078"/>
    <x v="0"/>
    <x v="1"/>
    <n v="0"/>
    <n v="11.4"/>
    <n v="0.19"/>
    <n v="-11.4"/>
    <s v="Ecart négatif"/>
    <n v="8.5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40"/>
    <x v="49"/>
    <x v="0"/>
    <n v="0"/>
    <n v="365.5"/>
    <n v="0.17"/>
    <n v="-365.5"/>
    <x v="0"/>
    <x v="128"/>
    <n v="0.16965581395348836"/>
    <n v="365.5"/>
    <n v="0.17"/>
    <n v="-0.74000000000000909"/>
    <s v="Ecart négatif"/>
    <e v="#N/A"/>
  </r>
  <r>
    <x v="2"/>
    <n v="56"/>
    <x v="2"/>
    <x v="0"/>
    <n v="0"/>
    <n v="0"/>
    <n v="0"/>
    <n v="0"/>
    <x v="1"/>
    <x v="1"/>
    <n v="0"/>
    <n v="0"/>
    <n v="0"/>
    <n v="0"/>
    <s v="Pas d'écart"/>
    <n v="73.41"/>
  </r>
  <r>
    <x v="2"/>
    <n v="35"/>
    <x v="20"/>
    <x v="0"/>
    <n v="0"/>
    <n v="0"/>
    <n v="0"/>
    <n v="0"/>
    <x v="1"/>
    <x v="1"/>
    <n v="0"/>
    <n v="0"/>
    <n v="0"/>
    <n v="0"/>
    <s v="Pas d'écart"/>
    <n v="0"/>
  </r>
  <r>
    <x v="4"/>
    <n v="59"/>
    <x v="18"/>
    <x v="224"/>
    <n v="0.17577777777777778"/>
    <n v="17.100000000000001"/>
    <n v="0.19"/>
    <n v="-1.2800000000000011"/>
    <x v="0"/>
    <x v="1"/>
    <n v="0"/>
    <n v="17.100000000000001"/>
    <n v="0.19"/>
    <n v="-17.100000000000001"/>
    <s v="Ecart négatif"/>
    <n v="0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4"/>
    <n v="31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44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0"/>
    <n v="6"/>
    <x v="8"/>
    <x v="0"/>
    <n v="0"/>
    <n v="14.7"/>
    <n v="0.21"/>
    <n v="-14.7"/>
    <x v="0"/>
    <x v="58"/>
    <n v="0.2742857142857143"/>
    <n v="14.7"/>
    <n v="0.21"/>
    <n v="4.5"/>
    <s v="Ecart positif"/>
    <n v="13.269999999999996"/>
  </r>
  <r>
    <x v="2"/>
    <n v="59"/>
    <x v="29"/>
    <x v="0"/>
    <n v="0"/>
    <n v="0"/>
    <n v="0"/>
    <n v="0"/>
    <x v="1"/>
    <x v="1"/>
    <n v="0"/>
    <n v="0"/>
    <n v="0"/>
    <n v="0"/>
    <s v="Pas d'écart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1"/>
    <n v="44"/>
    <x v="13"/>
    <x v="0"/>
    <n v="0"/>
    <n v="45.900000000000006"/>
    <n v="0.27"/>
    <n v="-45.900000000000006"/>
    <x v="0"/>
    <x v="1"/>
    <n v="0"/>
    <n v="45.900000000000006"/>
    <n v="0.27"/>
    <n v="-45.900000000000006"/>
    <s v="Ecart négatif"/>
    <n v="84.33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6"/>
    <n v="92"/>
    <x v="0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59"/>
    <x v="14"/>
    <x v="225"/>
    <n v="0.17584615384615385"/>
    <n v="24.7"/>
    <n v="0.19"/>
    <n v="-1.8399999999999999"/>
    <x v="0"/>
    <x v="1"/>
    <n v="0"/>
    <n v="24.7"/>
    <n v="0.19"/>
    <n v="-24.7"/>
    <s v="Ecart négatif"/>
    <n v="0"/>
  </r>
  <r>
    <x v="0"/>
    <n v="68"/>
    <x v="16"/>
    <x v="0"/>
    <n v="0"/>
    <n v="16"/>
    <n v="0.08"/>
    <n v="-16"/>
    <x v="0"/>
    <x v="1"/>
    <n v="0"/>
    <n v="16"/>
    <n v="0.08"/>
    <n v="-16"/>
    <s v="Ecart négatif"/>
    <n v="129.61000000000001"/>
  </r>
  <r>
    <x v="4"/>
    <n v="2"/>
    <x v="14"/>
    <x v="225"/>
    <n v="0.17584615384615385"/>
    <n v="23.4"/>
    <n v="0.18"/>
    <n v="-0.53999999999999915"/>
    <x v="0"/>
    <x v="1"/>
    <n v="0"/>
    <n v="23.4"/>
    <n v="0.18"/>
    <n v="-23.4"/>
    <s v="Ecart négatif"/>
    <n v="0"/>
  </r>
  <r>
    <x v="4"/>
    <n v="62"/>
    <x v="14"/>
    <x v="225"/>
    <n v="0.17584615384615385"/>
    <n v="24.7"/>
    <n v="0.19"/>
    <n v="-1.8399999999999999"/>
    <x v="0"/>
    <x v="1"/>
    <n v="0"/>
    <n v="24.7"/>
    <n v="0.19"/>
    <n v="-24.7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5"/>
    <n v="13"/>
    <x v="8"/>
    <x v="0"/>
    <n v="0"/>
    <n v="20.299999999999997"/>
    <n v="0.28999999999999998"/>
    <n v="-20.299999999999997"/>
    <x v="0"/>
    <x v="1"/>
    <n v="0"/>
    <n v="20.299999999999997"/>
    <n v="0.28999999999999998"/>
    <n v="-20.299999999999997"/>
    <s v="Ecart négatif"/>
    <n v="8.9500000000000028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4"/>
    <n v="59"/>
    <x v="2"/>
    <x v="80"/>
    <n v="0.19"/>
    <n v="26.6"/>
    <n v="0.19"/>
    <n v="0"/>
    <x v="1"/>
    <x v="1"/>
    <n v="0"/>
    <n v="26.6"/>
    <n v="0.19"/>
    <n v="-26.6"/>
    <s v="Ecart négatif"/>
    <n v="0"/>
  </r>
  <r>
    <x v="3"/>
    <n v="62"/>
    <x v="14"/>
    <x v="225"/>
    <n v="0.17584615384615385"/>
    <n v="24.7"/>
    <n v="0.19"/>
    <n v="-1.8399999999999999"/>
    <x v="0"/>
    <x v="1"/>
    <n v="0"/>
    <n v="24.7"/>
    <n v="0.19"/>
    <n v="-24.7"/>
    <s v="Ecart négatif"/>
    <n v="14.579999999999998"/>
  </r>
  <r>
    <x v="2"/>
    <n v="94"/>
    <x v="18"/>
    <x v="0"/>
    <n v="0"/>
    <n v="0"/>
    <n v="0"/>
    <n v="0"/>
    <x v="1"/>
    <x v="1"/>
    <n v="0"/>
    <n v="0"/>
    <n v="0"/>
    <n v="0"/>
    <s v="Pas d'écart"/>
    <n v="0"/>
  </r>
  <r>
    <x v="2"/>
    <n v="94"/>
    <x v="0"/>
    <x v="0"/>
    <n v="0"/>
    <n v="0"/>
    <n v="0"/>
    <n v="0"/>
    <x v="1"/>
    <x v="1"/>
    <n v="0"/>
    <n v="0"/>
    <n v="0"/>
    <n v="0"/>
    <s v="Pas d'écart"/>
    <n v="60.27"/>
  </r>
  <r>
    <x v="4"/>
    <n v="60"/>
    <x v="14"/>
    <x v="225"/>
    <n v="0.17584615384615385"/>
    <n v="24.7"/>
    <n v="0.19"/>
    <n v="-1.8399999999999999"/>
    <x v="0"/>
    <x v="1"/>
    <n v="0"/>
    <n v="24.7"/>
    <n v="0.19"/>
    <n v="-24.7"/>
    <s v="Ecart négatif"/>
    <n v="0"/>
  </r>
  <r>
    <x v="8"/>
    <n v="2"/>
    <x v="6"/>
    <x v="0"/>
    <n v="0"/>
    <n v="28.799999999999997"/>
    <n v="0.18"/>
    <n v="-28.799999999999997"/>
    <x v="0"/>
    <x v="1"/>
    <n v="0"/>
    <n v="28.799999999999997"/>
    <n v="0.18"/>
    <n v="-28.799999999999997"/>
    <s v="Ecart négatif"/>
    <n v="8.5300000000000011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6"/>
    <n v="56"/>
    <x v="12"/>
    <x v="0"/>
    <n v="0"/>
    <n v="10.8"/>
    <n v="0.27"/>
    <n v="-10.8"/>
    <x v="0"/>
    <x v="1"/>
    <n v="0"/>
    <n v="10.8"/>
    <n v="0.27"/>
    <n v="-10.8"/>
    <s v="Ecart négatif"/>
    <n v="0"/>
  </r>
  <r>
    <x v="4"/>
    <n v="62"/>
    <x v="14"/>
    <x v="226"/>
    <n v="0.17599999999999999"/>
    <n v="24.7"/>
    <n v="0.19"/>
    <n v="-1.8200000000000003"/>
    <x v="0"/>
    <x v="1"/>
    <n v="0"/>
    <n v="24.7"/>
    <n v="0.19"/>
    <n v="-24.7"/>
    <s v="Ecart négatif"/>
    <n v="0"/>
  </r>
  <r>
    <x v="0"/>
    <n v="76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15.310000000000002"/>
  </r>
  <r>
    <x v="3"/>
    <n v="69"/>
    <x v="5"/>
    <x v="227"/>
    <n v="0.17599999999999999"/>
    <n v="2.7"/>
    <n v="0.27"/>
    <n v="-0.94000000000000017"/>
    <x v="0"/>
    <x v="1"/>
    <n v="0"/>
    <n v="2.7"/>
    <n v="0.27"/>
    <n v="-2.7"/>
    <s v="Ecart négatif"/>
    <n v="3.4700000000000006"/>
  </r>
  <r>
    <x v="0"/>
    <n v="59"/>
    <x v="27"/>
    <x v="0"/>
    <n v="0"/>
    <n v="0"/>
    <n v="0"/>
    <n v="0"/>
    <x v="1"/>
    <x v="129"/>
    <n v="0.19"/>
    <n v="0"/>
    <n v="0"/>
    <n v="9.5"/>
    <s v="Ecart positif"/>
    <n v="8.0399999999999991"/>
  </r>
  <r>
    <x v="0"/>
    <n v="13"/>
    <x v="27"/>
    <x v="0"/>
    <n v="0"/>
    <n v="9.5"/>
    <n v="0.19"/>
    <n v="-9.5"/>
    <x v="0"/>
    <x v="130"/>
    <n v="0.28999999999999998"/>
    <n v="9.5"/>
    <n v="0.19"/>
    <n v="5"/>
    <s v="Ecart positif"/>
    <n v="8.0399999999999991"/>
  </r>
  <r>
    <x v="0"/>
    <n v="59"/>
    <x v="0"/>
    <x v="0"/>
    <n v="0"/>
    <n v="0"/>
    <n v="0"/>
    <n v="0"/>
    <x v="1"/>
    <x v="1"/>
    <n v="0"/>
    <n v="0"/>
    <n v="0"/>
    <n v="0"/>
    <s v="Pas d'écart"/>
    <n v="18.419999999999987"/>
  </r>
  <r>
    <x v="4"/>
    <n v="16"/>
    <x v="5"/>
    <x v="227"/>
    <n v="0.17599999999999999"/>
    <n v="2.1"/>
    <n v="0.21000000000000002"/>
    <n v="-0.34000000000000008"/>
    <x v="0"/>
    <x v="1"/>
    <n v="0"/>
    <n v="2.1"/>
    <n v="0.21000000000000002"/>
    <n v="-2.1"/>
    <s v="Ecart négatif"/>
    <n v="0"/>
  </r>
  <r>
    <x v="4"/>
    <n v="79"/>
    <x v="5"/>
    <x v="227"/>
    <n v="0.17599999999999999"/>
    <n v="2.1"/>
    <n v="0.21000000000000002"/>
    <n v="-0.34000000000000008"/>
    <x v="0"/>
    <x v="1"/>
    <n v="0"/>
    <n v="2.1"/>
    <n v="0.21000000000000002"/>
    <n v="-2.1"/>
    <s v="Ecart négatif"/>
    <n v="0"/>
  </r>
  <r>
    <x v="2"/>
    <n v="39"/>
    <x v="8"/>
    <x v="0"/>
    <n v="0"/>
    <n v="0"/>
    <n v="0"/>
    <n v="0"/>
    <x v="1"/>
    <x v="1"/>
    <n v="0"/>
    <n v="0"/>
    <n v="0"/>
    <n v="0"/>
    <s v="Pas d'écart"/>
    <n v="0"/>
  </r>
  <r>
    <x v="4"/>
    <n v="59"/>
    <x v="14"/>
    <x v="228"/>
    <n v="0.17630769230769233"/>
    <n v="24.7"/>
    <n v="0.19"/>
    <n v="-1.7799999999999976"/>
    <x v="0"/>
    <x v="1"/>
    <n v="0"/>
    <n v="24.7"/>
    <n v="0.19"/>
    <n v="-24.7"/>
    <s v="Ecart négatif"/>
    <n v="0"/>
  </r>
  <r>
    <x v="0"/>
    <n v="75"/>
    <x v="25"/>
    <x v="0"/>
    <n v="0"/>
    <n v="0"/>
    <n v="0"/>
    <n v="0"/>
    <x v="1"/>
    <x v="1"/>
    <n v="0"/>
    <n v="0"/>
    <n v="0"/>
    <n v="0"/>
    <s v="Pas d'écart"/>
    <n v="13.509999999999991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7"/>
    <n v="14"/>
    <x v="8"/>
    <x v="0"/>
    <n v="0"/>
    <n v="11.9"/>
    <n v="0.17"/>
    <n v="-11.9"/>
    <x v="0"/>
    <x v="1"/>
    <n v="0"/>
    <n v="11.9"/>
    <n v="0.17"/>
    <n v="-11.9"/>
    <s v="Ecart négatif"/>
    <n v="12.299999999999997"/>
  </r>
  <r>
    <x v="7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6"/>
    <n v="37"/>
    <x v="8"/>
    <x v="0"/>
    <n v="0"/>
    <n v="13.3"/>
    <n v="0.19"/>
    <n v="-13.3"/>
    <x v="0"/>
    <x v="1"/>
    <n v="0"/>
    <n v="13.3"/>
    <n v="0.19"/>
    <n v="-13.3"/>
    <s v="Ecart négatif"/>
    <n v="0"/>
  </r>
  <r>
    <x v="2"/>
    <n v="8"/>
    <x v="2"/>
    <x v="0"/>
    <n v="0"/>
    <n v="0"/>
    <n v="0"/>
    <n v="0"/>
    <x v="1"/>
    <x v="1"/>
    <n v="0"/>
    <n v="0"/>
    <n v="0"/>
    <n v="0"/>
    <s v="Pas d'écart"/>
    <n v="78.8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83"/>
    <x v="8"/>
    <x v="0"/>
    <n v="0"/>
    <n v="14.7"/>
    <n v="0.21"/>
    <n v="-14.7"/>
    <x v="0"/>
    <x v="1"/>
    <n v="0"/>
    <n v="14.7"/>
    <n v="0.21"/>
    <n v="-14.7"/>
    <s v="Ecart négatif"/>
    <n v="61.48"/>
  </r>
  <r>
    <x v="4"/>
    <n v="59"/>
    <x v="14"/>
    <x v="229"/>
    <n v="0.17661538461538462"/>
    <n v="24.7"/>
    <n v="0.19"/>
    <n v="-1.7399999999999984"/>
    <x v="0"/>
    <x v="1"/>
    <n v="0"/>
    <n v="24.7"/>
    <n v="0.19"/>
    <n v="-24.7"/>
    <s v="Ecart négatif"/>
    <n v="0"/>
  </r>
  <r>
    <x v="2"/>
    <n v="45"/>
    <x v="2"/>
    <x v="0"/>
    <n v="0"/>
    <n v="16.8"/>
    <n v="0.12000000000000001"/>
    <n v="-16.8"/>
    <x v="0"/>
    <x v="1"/>
    <n v="0"/>
    <n v="16.8"/>
    <n v="0.12000000000000001"/>
    <n v="-16.8"/>
    <s v="Ecart négatif"/>
    <n v="0"/>
  </r>
  <r>
    <x v="2"/>
    <n v="91"/>
    <x v="9"/>
    <x v="0"/>
    <n v="0"/>
    <n v="0"/>
    <n v="0"/>
    <n v="0"/>
    <x v="1"/>
    <x v="1"/>
    <n v="0"/>
    <n v="0"/>
    <n v="0"/>
    <n v="0"/>
    <s v="Pas d'écart"/>
    <n v="37.71"/>
  </r>
  <r>
    <x v="0"/>
    <n v="70"/>
    <x v="9"/>
    <x v="0"/>
    <n v="0"/>
    <n v="9.6"/>
    <n v="0.12"/>
    <n v="-9.6"/>
    <x v="0"/>
    <x v="1"/>
    <n v="0"/>
    <n v="9.6"/>
    <n v="0.12"/>
    <n v="-9.6"/>
    <s v="Ecart négatif"/>
    <n v="74.47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18.340000000000003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4"/>
    <n v="59"/>
    <x v="14"/>
    <x v="229"/>
    <n v="0.17661538461538462"/>
    <n v="24.7"/>
    <n v="0.19"/>
    <n v="-1.7399999999999984"/>
    <x v="0"/>
    <x v="1"/>
    <n v="0"/>
    <n v="24.7"/>
    <n v="0.19"/>
    <n v="-24.7"/>
    <s v="Ecart négatif"/>
    <n v="0"/>
  </r>
  <r>
    <x v="6"/>
    <n v="37"/>
    <x v="8"/>
    <x v="143"/>
    <n v="0.21"/>
    <n v="13.3"/>
    <n v="0.19"/>
    <n v="1.3999999999999986"/>
    <x v="2"/>
    <x v="1"/>
    <n v="0"/>
    <n v="13.3"/>
    <n v="0.19"/>
    <n v="-13.3"/>
    <s v="Ecart négatif"/>
    <n v="44.77"/>
  </r>
  <r>
    <x v="2"/>
    <n v="44"/>
    <x v="10"/>
    <x v="0"/>
    <n v="0"/>
    <n v="0"/>
    <n v="0"/>
    <n v="0"/>
    <x v="1"/>
    <x v="131"/>
    <n v="0.26486666666666664"/>
    <n v="0"/>
    <n v="0"/>
    <n v="39.729999999999997"/>
    <s v="Ecart positif"/>
    <n v="68.78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2"/>
    <x v="20"/>
    <x v="0"/>
    <n v="0"/>
    <n v="0"/>
    <n v="0"/>
    <n v="0"/>
    <x v="1"/>
    <x v="1"/>
    <n v="0"/>
    <n v="0"/>
    <n v="0"/>
    <n v="0"/>
    <s v="Pas d'écart"/>
    <n v="157.52000000000001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50"/>
    <x v="0"/>
    <x v="0"/>
    <n v="0"/>
    <n v="30.6"/>
    <n v="0.17"/>
    <n v="-30.6"/>
    <x v="0"/>
    <x v="0"/>
    <n v="0.17"/>
    <n v="30.6"/>
    <n v="0.17"/>
    <n v="0"/>
    <s v="Pas d'écart"/>
    <n v="116.04"/>
  </r>
  <r>
    <x v="2"/>
    <n v="53"/>
    <x v="0"/>
    <x v="0"/>
    <n v="0"/>
    <n v="0"/>
    <n v="0"/>
    <n v="0"/>
    <x v="1"/>
    <x v="1"/>
    <n v="0"/>
    <n v="0"/>
    <n v="0"/>
    <n v="0"/>
    <s v="Pas d'écart"/>
    <n v="116.04"/>
  </r>
  <r>
    <x v="0"/>
    <n v="53"/>
    <x v="6"/>
    <x v="0"/>
    <n v="0"/>
    <n v="0"/>
    <n v="0"/>
    <n v="0"/>
    <x v="1"/>
    <x v="1"/>
    <n v="0"/>
    <n v="0"/>
    <n v="0"/>
    <n v="0"/>
    <s v="Pas d'écart"/>
    <n v="91.69"/>
  </r>
  <r>
    <x v="2"/>
    <n v="13"/>
    <x v="12"/>
    <x v="0"/>
    <n v="0"/>
    <n v="7.6"/>
    <n v="0.19"/>
    <n v="-7.6"/>
    <x v="0"/>
    <x v="132"/>
    <n v="0.19"/>
    <n v="7.6"/>
    <n v="0.19"/>
    <n v="0"/>
    <s v="Pas d'écart"/>
    <n v="0"/>
  </r>
  <r>
    <x v="6"/>
    <n v="59"/>
    <x v="14"/>
    <x v="230"/>
    <n v="0.1823846153846154"/>
    <n v="24.7"/>
    <n v="0.19"/>
    <n v="-0.98999999999999844"/>
    <x v="0"/>
    <x v="1"/>
    <n v="0"/>
    <n v="24.7"/>
    <n v="0.19"/>
    <n v="-24.7"/>
    <s v="Ecart négatif"/>
    <n v="62.58"/>
  </r>
  <r>
    <x v="4"/>
    <n v="78"/>
    <x v="6"/>
    <x v="0"/>
    <n v="0"/>
    <n v="0"/>
    <n v="0"/>
    <n v="0"/>
    <x v="1"/>
    <x v="1"/>
    <n v="0"/>
    <n v="0"/>
    <n v="0"/>
    <n v="0"/>
    <s v="Pas d'écart"/>
    <n v="0"/>
  </r>
  <r>
    <x v="0"/>
    <n v="62"/>
    <x v="2"/>
    <x v="0"/>
    <n v="0"/>
    <n v="0"/>
    <n v="0"/>
    <n v="0"/>
    <x v="1"/>
    <x v="1"/>
    <n v="0"/>
    <n v="0"/>
    <n v="0"/>
    <n v="0"/>
    <s v="Pas d'écart"/>
    <n v="73.41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6"/>
    <n v="91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8"/>
    <n v="94"/>
    <x v="10"/>
    <x v="0"/>
    <n v="0"/>
    <n v="0"/>
    <n v="0"/>
    <n v="0"/>
    <x v="1"/>
    <x v="1"/>
    <n v="0"/>
    <n v="0"/>
    <n v="0"/>
    <n v="0"/>
    <s v="Pas d'écart"/>
    <n v="-24.460000000000008"/>
  </r>
  <r>
    <x v="4"/>
    <n v="62"/>
    <x v="2"/>
    <x v="231"/>
    <n v="0.17671428571428571"/>
    <n v="26.6"/>
    <n v="0.19"/>
    <n v="-1.860000000000003"/>
    <x v="0"/>
    <x v="1"/>
    <n v="0"/>
    <n v="26.6"/>
    <n v="0.19"/>
    <n v="-26.6"/>
    <s v="Ecart négatif"/>
    <n v="0"/>
  </r>
  <r>
    <x v="4"/>
    <n v="59"/>
    <x v="2"/>
    <x v="231"/>
    <n v="0.17671428571428571"/>
    <n v="26.6"/>
    <n v="0.19"/>
    <n v="-1.860000000000003"/>
    <x v="0"/>
    <x v="1"/>
    <n v="0"/>
    <n v="26.6"/>
    <n v="0.19"/>
    <n v="-26.6"/>
    <s v="Ecart négatif"/>
    <n v="0"/>
  </r>
  <r>
    <x v="2"/>
    <n v="91"/>
    <x v="18"/>
    <x v="0"/>
    <n v="0"/>
    <n v="0"/>
    <n v="0"/>
    <n v="0"/>
    <x v="1"/>
    <x v="1"/>
    <n v="0"/>
    <n v="0"/>
    <n v="0"/>
    <n v="0"/>
    <s v="Pas d'écart"/>
    <n v="40.19"/>
  </r>
  <r>
    <x v="3"/>
    <n v="67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6.8599999999999994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0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7"/>
    <x v="7"/>
    <x v="0"/>
    <n v="0"/>
    <n v="0"/>
    <n v="0"/>
    <n v="0"/>
    <x v="1"/>
    <x v="1"/>
    <n v="0"/>
    <n v="0"/>
    <n v="0"/>
    <n v="0"/>
    <s v="Pas d'écart"/>
    <n v="3.0999999999999996"/>
  </r>
  <r>
    <x v="3"/>
    <n v="95"/>
    <x v="12"/>
    <x v="0"/>
    <n v="0"/>
    <n v="0"/>
    <n v="0"/>
    <n v="0"/>
    <x v="1"/>
    <x v="1"/>
    <n v="0"/>
    <n v="0"/>
    <n v="0"/>
    <n v="0"/>
    <s v="Pas d'écart"/>
    <n v="5.23"/>
  </r>
  <r>
    <x v="0"/>
    <n v="54"/>
    <x v="12"/>
    <x v="0"/>
    <n v="0"/>
    <n v="10"/>
    <n v="0.25"/>
    <n v="-10"/>
    <x v="0"/>
    <x v="1"/>
    <n v="0"/>
    <n v="10"/>
    <n v="0.25"/>
    <n v="-10"/>
    <s v="Ecart négatif"/>
    <n v="6.8599999999999994"/>
  </r>
  <r>
    <x v="4"/>
    <n v="59"/>
    <x v="2"/>
    <x v="231"/>
    <n v="0.17671428571428571"/>
    <n v="26.6"/>
    <n v="0.19"/>
    <n v="-1.860000000000003"/>
    <x v="0"/>
    <x v="1"/>
    <n v="0"/>
    <n v="26.6"/>
    <n v="0.19"/>
    <n v="-26.6"/>
    <s v="Ecart négatif"/>
    <n v="0"/>
  </r>
  <r>
    <x v="4"/>
    <n v="60"/>
    <x v="2"/>
    <x v="232"/>
    <n v="0.1767857142857143"/>
    <n v="26.6"/>
    <n v="0.19"/>
    <n v="-1.8500000000000014"/>
    <x v="0"/>
    <x v="1"/>
    <n v="0"/>
    <n v="26.6"/>
    <n v="0.19"/>
    <n v="-26.6"/>
    <s v="Ecart négatif"/>
    <n v="0"/>
  </r>
  <r>
    <x v="0"/>
    <n v="59"/>
    <x v="13"/>
    <x v="0"/>
    <n v="0"/>
    <n v="0"/>
    <n v="0"/>
    <n v="0"/>
    <x v="1"/>
    <x v="1"/>
    <n v="0"/>
    <n v="0"/>
    <n v="0"/>
    <n v="0"/>
    <s v="Pas d'écart"/>
    <n v="16.870000000000005"/>
  </r>
  <r>
    <x v="1"/>
    <n v="77"/>
    <x v="46"/>
    <x v="0"/>
    <n v="0"/>
    <n v="0"/>
    <n v="0"/>
    <n v="0"/>
    <x v="1"/>
    <x v="1"/>
    <n v="0"/>
    <n v="0"/>
    <n v="0"/>
    <n v="0"/>
    <s v="Pas d'écart"/>
    <n v="125.4"/>
  </r>
  <r>
    <x v="2"/>
    <n v="59"/>
    <x v="50"/>
    <x v="0"/>
    <n v="0"/>
    <n v="0"/>
    <n v="0"/>
    <n v="0"/>
    <x v="1"/>
    <x v="1"/>
    <n v="0"/>
    <n v="0"/>
    <n v="0"/>
    <n v="0"/>
    <s v="Pas d'écart"/>
    <e v="#N/A"/>
  </r>
  <r>
    <x v="2"/>
    <n v="69"/>
    <x v="25"/>
    <x v="0"/>
    <n v="0"/>
    <n v="0"/>
    <n v="0"/>
    <n v="0"/>
    <x v="1"/>
    <x v="1"/>
    <n v="0"/>
    <n v="0"/>
    <n v="0"/>
    <n v="0"/>
    <s v="Pas d'écart"/>
    <n v="0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0"/>
    <n v="67"/>
    <x v="6"/>
    <x v="0"/>
    <n v="0"/>
    <n v="12.8"/>
    <n v="0.08"/>
    <n v="-12.8"/>
    <x v="0"/>
    <x v="106"/>
    <n v="7.5499999999999998E-2"/>
    <n v="12.8"/>
    <n v="0.08"/>
    <n v="-0.72000000000000064"/>
    <s v="Ecart négatif"/>
    <n v="15.310000000000002"/>
  </r>
  <r>
    <x v="2"/>
    <n v="67"/>
    <x v="6"/>
    <x v="0"/>
    <n v="0"/>
    <n v="12.8"/>
    <n v="0.08"/>
    <n v="-12.8"/>
    <x v="0"/>
    <x v="106"/>
    <n v="7.5499999999999998E-2"/>
    <n v="12.8"/>
    <n v="0.08"/>
    <n v="-0.72000000000000064"/>
    <s v="Ecart négatif"/>
    <n v="0"/>
  </r>
  <r>
    <x v="4"/>
    <n v="34"/>
    <x v="5"/>
    <x v="233"/>
    <n v="0.17699999999999999"/>
    <n v="3.9000000000000004"/>
    <n v="0.39"/>
    <n v="-2.1300000000000003"/>
    <x v="0"/>
    <x v="1"/>
    <n v="0"/>
    <n v="3.9000000000000004"/>
    <n v="0.39"/>
    <n v="-3.9000000000000004"/>
    <s v="Ecart négatif"/>
    <n v="0"/>
  </r>
  <r>
    <x v="3"/>
    <n v="78"/>
    <x v="11"/>
    <x v="0"/>
    <n v="0"/>
    <n v="0"/>
    <n v="0"/>
    <n v="0"/>
    <x v="1"/>
    <x v="1"/>
    <n v="0"/>
    <n v="0"/>
    <n v="0"/>
    <n v="0"/>
    <s v="Pas d'écart"/>
    <n v="6.8499999999999979"/>
  </r>
  <r>
    <x v="8"/>
    <n v="34"/>
    <x v="41"/>
    <x v="0"/>
    <n v="0"/>
    <n v="171.6"/>
    <n v="0.39"/>
    <n v="-171.6"/>
    <x v="0"/>
    <x v="1"/>
    <n v="0"/>
    <n v="171.6"/>
    <n v="0.39"/>
    <n v="-171.6"/>
    <s v="Ecart négatif"/>
    <n v="20.22"/>
  </r>
  <r>
    <x v="6"/>
    <n v="30"/>
    <x v="10"/>
    <x v="234"/>
    <n v="0.36520000000000002"/>
    <n v="58.5"/>
    <n v="0.39"/>
    <n v="-3.7199999999999989"/>
    <x v="0"/>
    <x v="1"/>
    <n v="0"/>
    <n v="58.5"/>
    <n v="0.39"/>
    <n v="-58.5"/>
    <s v="Ecart négatif"/>
    <n v="73.959999999999994"/>
  </r>
  <r>
    <x v="4"/>
    <n v="62"/>
    <x v="7"/>
    <x v="235"/>
    <n v="0.17733333333333334"/>
    <n v="5.7"/>
    <n v="0.19"/>
    <n v="-0.37999999999999989"/>
    <x v="0"/>
    <x v="1"/>
    <n v="0"/>
    <n v="5.7"/>
    <n v="0.19"/>
    <n v="-5.7"/>
    <s v="Ecart négatif"/>
    <n v="0"/>
  </r>
  <r>
    <x v="3"/>
    <n v="75"/>
    <x v="25"/>
    <x v="0"/>
    <n v="0"/>
    <n v="0"/>
    <n v="0"/>
    <n v="0"/>
    <x v="1"/>
    <x v="1"/>
    <n v="0"/>
    <n v="0"/>
    <n v="0"/>
    <n v="0"/>
    <s v="Pas d'écart"/>
    <n v="13.509999999999991"/>
  </r>
  <r>
    <x v="4"/>
    <n v="80"/>
    <x v="4"/>
    <x v="236"/>
    <n v="0.17772727272727273"/>
    <n v="20.9"/>
    <n v="0.18999999999999997"/>
    <n v="-1.3499999999999979"/>
    <x v="0"/>
    <x v="1"/>
    <n v="0"/>
    <n v="20.9"/>
    <n v="0.18999999999999997"/>
    <n v="-20.9"/>
    <s v="Ecart négatif"/>
    <n v="0"/>
  </r>
  <r>
    <x v="2"/>
    <n v="75"/>
    <x v="9"/>
    <x v="0"/>
    <n v="0"/>
    <n v="0"/>
    <n v="0"/>
    <n v="0"/>
    <x v="1"/>
    <x v="1"/>
    <n v="0"/>
    <n v="0"/>
    <n v="0"/>
    <n v="0"/>
    <s v="Pas d'écart"/>
    <n v="0"/>
  </r>
  <r>
    <x v="8"/>
    <n v="89"/>
    <x v="2"/>
    <x v="0"/>
    <n v="0"/>
    <n v="32.200000000000003"/>
    <n v="0.23"/>
    <n v="-32.200000000000003"/>
    <x v="0"/>
    <x v="1"/>
    <n v="0"/>
    <n v="32.200000000000003"/>
    <n v="0.23"/>
    <n v="-32.200000000000003"/>
    <s v="Ecart négatif"/>
    <n v="13.11999999999999"/>
  </r>
  <r>
    <x v="4"/>
    <n v="62"/>
    <x v="10"/>
    <x v="237"/>
    <n v="0.17799999999999999"/>
    <n v="28.5"/>
    <n v="0.19"/>
    <n v="-1.8000000000000007"/>
    <x v="0"/>
    <x v="1"/>
    <n v="0"/>
    <n v="28.5"/>
    <n v="0.19"/>
    <n v="-28.5"/>
    <s v="Ecart négatif"/>
    <n v="0"/>
  </r>
  <r>
    <x v="2"/>
    <n v="75"/>
    <x v="12"/>
    <x v="0"/>
    <n v="0"/>
    <n v="0"/>
    <n v="0"/>
    <n v="0"/>
    <x v="1"/>
    <x v="1"/>
    <n v="0"/>
    <n v="0"/>
    <n v="0"/>
    <n v="0"/>
    <s v="Pas d'écart"/>
    <n v="26.16"/>
  </r>
  <r>
    <x v="0"/>
    <n v="38"/>
    <x v="18"/>
    <x v="0"/>
    <n v="0"/>
    <n v="0"/>
    <n v="0"/>
    <n v="0"/>
    <x v="1"/>
    <x v="1"/>
    <n v="0"/>
    <n v="0"/>
    <n v="0"/>
    <n v="0"/>
    <s v="Pas d'écart"/>
    <n v="70.73"/>
  </r>
  <r>
    <x v="4"/>
    <n v="62"/>
    <x v="10"/>
    <x v="237"/>
    <n v="0.17799999999999999"/>
    <n v="28.5"/>
    <n v="0.19"/>
    <n v="-1.8000000000000007"/>
    <x v="0"/>
    <x v="1"/>
    <n v="0"/>
    <n v="28.5"/>
    <n v="0.19"/>
    <n v="-28.5"/>
    <s v="Ecart négatif"/>
    <n v="0"/>
  </r>
  <r>
    <x v="2"/>
    <n v="13"/>
    <x v="22"/>
    <x v="0"/>
    <n v="0"/>
    <n v="19"/>
    <n v="0.19"/>
    <n v="-19"/>
    <x v="0"/>
    <x v="1"/>
    <n v="0"/>
    <n v="19"/>
    <n v="0.19"/>
    <n v="-19"/>
    <s v="Ecart négatif"/>
    <n v="53.27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84"/>
    <x v="6"/>
    <x v="0"/>
    <n v="0"/>
    <n v="30.4"/>
    <n v="0.19"/>
    <n v="-30.4"/>
    <x v="0"/>
    <x v="1"/>
    <n v="0"/>
    <n v="30.4"/>
    <n v="0.19"/>
    <n v="-30.4"/>
    <s v="Ecart négatif"/>
    <n v="85.09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0"/>
    <n v="14"/>
    <x v="7"/>
    <x v="0"/>
    <n v="0"/>
    <n v="5.1000000000000005"/>
    <n v="0.17"/>
    <n v="-5.1000000000000005"/>
    <x v="0"/>
    <x v="1"/>
    <n v="0"/>
    <n v="5.1000000000000005"/>
    <n v="0.17"/>
    <n v="-5.1000000000000005"/>
    <s v="Ecart négatif"/>
    <n v="17.34"/>
  </r>
  <r>
    <x v="2"/>
    <n v="31"/>
    <x v="27"/>
    <x v="0"/>
    <n v="0"/>
    <n v="13"/>
    <n v="0.26"/>
    <n v="-13"/>
    <x v="0"/>
    <x v="1"/>
    <n v="0"/>
    <n v="13"/>
    <n v="0.26"/>
    <n v="-13"/>
    <s v="Ecart négatif"/>
    <n v="0"/>
  </r>
  <r>
    <x v="0"/>
    <n v="85"/>
    <x v="11"/>
    <x v="0"/>
    <n v="0"/>
    <n v="0"/>
    <n v="0"/>
    <n v="0"/>
    <x v="1"/>
    <x v="1"/>
    <n v="0"/>
    <n v="0"/>
    <n v="0"/>
    <n v="0"/>
    <s v="Pas d'écart"/>
    <n v="52.78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6"/>
    <n v="33"/>
    <x v="9"/>
    <x v="0"/>
    <n v="0"/>
    <n v="16.8"/>
    <n v="0.21000000000000002"/>
    <n v="-16.8"/>
    <x v="0"/>
    <x v="1"/>
    <n v="0"/>
    <n v="16.8"/>
    <n v="0.21000000000000002"/>
    <n v="-16.8"/>
    <s v="Ecart négatif"/>
    <n v="0"/>
  </r>
  <r>
    <x v="0"/>
    <n v="45"/>
    <x v="8"/>
    <x v="0"/>
    <n v="0"/>
    <n v="8.4"/>
    <n v="0.12000000000000001"/>
    <n v="-8.4"/>
    <x v="0"/>
    <x v="1"/>
    <n v="0"/>
    <n v="8.4"/>
    <n v="0.12000000000000001"/>
    <n v="-8.4"/>
    <s v="Ecart négatif"/>
    <n v="61.48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6"/>
    <n v="21"/>
    <x v="11"/>
    <x v="238"/>
    <n v="0.21366666666666667"/>
    <n v="14.399999999999999"/>
    <n v="0.23999999999999996"/>
    <n v="-1.5799999999999983"/>
    <x v="0"/>
    <x v="1"/>
    <n v="0"/>
    <n v="14.399999999999999"/>
    <n v="0.23999999999999996"/>
    <n v="-14.399999999999999"/>
    <s v="Ecart négatif"/>
    <n v="42.48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13.140000000000008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7"/>
    <n v="50"/>
    <x v="18"/>
    <x v="0"/>
    <n v="0"/>
    <n v="15.3"/>
    <n v="0.17"/>
    <n v="-15.3"/>
    <x v="0"/>
    <x v="1"/>
    <n v="0"/>
    <n v="15.3"/>
    <n v="0.17"/>
    <n v="-15.3"/>
    <s v="Ecart négatif"/>
    <n v="15.04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2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0"/>
  </r>
  <r>
    <x v="3"/>
    <n v="62"/>
    <x v="10"/>
    <x v="237"/>
    <n v="0.17799999999999999"/>
    <n v="28.5"/>
    <n v="0.19"/>
    <n v="-1.8000000000000007"/>
    <x v="0"/>
    <x v="1"/>
    <n v="0"/>
    <n v="28.5"/>
    <n v="0.19"/>
    <n v="-28.5"/>
    <s v="Ecart négatif"/>
    <n v="14.789999999999992"/>
  </r>
  <r>
    <x v="3"/>
    <n v="62"/>
    <x v="10"/>
    <x v="237"/>
    <n v="0.17799999999999999"/>
    <n v="28.5"/>
    <n v="0.19"/>
    <n v="-1.8000000000000007"/>
    <x v="0"/>
    <x v="1"/>
    <n v="0"/>
    <n v="28.5"/>
    <n v="0.19"/>
    <n v="-28.5"/>
    <s v="Ecart négatif"/>
    <n v="14.789999999999992"/>
  </r>
  <r>
    <x v="6"/>
    <n v="34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0"/>
  </r>
  <r>
    <x v="2"/>
    <n v="2"/>
    <x v="5"/>
    <x v="0"/>
    <n v="0"/>
    <n v="0"/>
    <n v="0"/>
    <n v="0"/>
    <x v="1"/>
    <x v="133"/>
    <n v="0.10600000000000001"/>
    <n v="0"/>
    <n v="0"/>
    <n v="1.06"/>
    <s v="Ecart positif"/>
    <n v="0"/>
  </r>
  <r>
    <x v="4"/>
    <n v="8"/>
    <x v="2"/>
    <x v="239"/>
    <n v="0.17842857142857144"/>
    <n v="25.2"/>
    <n v="0.18"/>
    <n v="-0.21999999999999886"/>
    <x v="0"/>
    <x v="1"/>
    <n v="0"/>
    <n v="25.2"/>
    <n v="0.18"/>
    <n v="-25.2"/>
    <s v="Ecart négatif"/>
    <n v="0"/>
  </r>
  <r>
    <x v="3"/>
    <n v="62"/>
    <x v="12"/>
    <x v="6"/>
    <n v="0.19"/>
    <n v="7.6"/>
    <n v="0.19"/>
    <n v="0"/>
    <x v="1"/>
    <x v="1"/>
    <n v="0"/>
    <n v="7.6"/>
    <n v="0.19"/>
    <n v="-7.6"/>
    <s v="Ecart négatif"/>
    <n v="8.289999999999999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59"/>
    <x v="42"/>
    <x v="0"/>
    <n v="0"/>
    <n v="0"/>
    <n v="0"/>
    <n v="0"/>
    <x v="1"/>
    <x v="1"/>
    <n v="0"/>
    <n v="0"/>
    <n v="0"/>
    <n v="0"/>
    <s v="Pas d'écart"/>
    <n v="163.89"/>
  </r>
  <r>
    <x v="4"/>
    <n v="30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95"/>
    <x v="12"/>
    <x v="0"/>
    <n v="0"/>
    <n v="0"/>
    <n v="0"/>
    <n v="0"/>
    <x v="1"/>
    <x v="1"/>
    <n v="0"/>
    <n v="0"/>
    <n v="0"/>
    <n v="0"/>
    <s v="Pas d'écart"/>
    <n v="0"/>
  </r>
  <r>
    <x v="0"/>
    <n v="78"/>
    <x v="43"/>
    <x v="0"/>
    <n v="0"/>
    <n v="0"/>
    <n v="0"/>
    <n v="0"/>
    <x v="1"/>
    <x v="1"/>
    <n v="0"/>
    <n v="0"/>
    <n v="0"/>
    <n v="0"/>
    <s v="Pas d'écart"/>
    <n v="18.689999999999998"/>
  </r>
  <r>
    <x v="0"/>
    <n v="78"/>
    <x v="19"/>
    <x v="0"/>
    <n v="0"/>
    <n v="0"/>
    <n v="0"/>
    <n v="0"/>
    <x v="1"/>
    <x v="1"/>
    <n v="0"/>
    <n v="0"/>
    <n v="0"/>
    <n v="0"/>
    <s v="Pas d'écart"/>
    <n v="12.399999999999999"/>
  </r>
  <r>
    <x v="8"/>
    <n v="91"/>
    <x v="0"/>
    <x v="0"/>
    <n v="0"/>
    <n v="0"/>
    <n v="0"/>
    <n v="0"/>
    <x v="1"/>
    <x v="1"/>
    <n v="0"/>
    <n v="0"/>
    <n v="0"/>
    <n v="0"/>
    <s v="Pas d'écart"/>
    <n v="0"/>
  </r>
  <r>
    <x v="8"/>
    <n v="75"/>
    <x v="2"/>
    <x v="0"/>
    <n v="0"/>
    <n v="0"/>
    <n v="0"/>
    <n v="0"/>
    <x v="1"/>
    <x v="1"/>
    <n v="0"/>
    <n v="0"/>
    <n v="0"/>
    <n v="0"/>
    <s v="Pas d'écart"/>
    <n v="0"/>
  </r>
  <r>
    <x v="7"/>
    <n v="75"/>
    <x v="12"/>
    <x v="0"/>
    <n v="0"/>
    <n v="0"/>
    <n v="0"/>
    <n v="0"/>
    <x v="1"/>
    <x v="1"/>
    <n v="0"/>
    <n v="0"/>
    <n v="0"/>
    <n v="0"/>
    <s v="Pas d'écart"/>
    <n v="5.23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-16.71"/>
  </r>
  <r>
    <x v="2"/>
    <n v="69"/>
    <x v="6"/>
    <x v="0"/>
    <n v="0"/>
    <n v="0"/>
    <n v="0"/>
    <n v="0"/>
    <x v="1"/>
    <x v="1"/>
    <n v="0"/>
    <n v="0"/>
    <n v="0"/>
    <n v="0"/>
    <s v="Pas d'écart"/>
    <n v="0"/>
  </r>
  <r>
    <x v="4"/>
    <n v="8"/>
    <x v="2"/>
    <x v="239"/>
    <n v="0.17842857142857144"/>
    <n v="25.2"/>
    <n v="0.18"/>
    <n v="-0.21999999999999886"/>
    <x v="0"/>
    <x v="1"/>
    <n v="0"/>
    <n v="25.2"/>
    <n v="0.18"/>
    <n v="-25.2"/>
    <s v="Ecart négatif"/>
    <n v="0"/>
  </r>
  <r>
    <x v="3"/>
    <n v="59"/>
    <x v="2"/>
    <x v="240"/>
    <n v="0.17864285714285716"/>
    <n v="26.6"/>
    <n v="0.19"/>
    <n v="-1.5899999999999999"/>
    <x v="0"/>
    <x v="1"/>
    <n v="0"/>
    <n v="26.6"/>
    <n v="0.19"/>
    <n v="-26.6"/>
    <s v="Ecart négatif"/>
    <n v="13.140000000000008"/>
  </r>
  <r>
    <x v="8"/>
    <n v="85"/>
    <x v="8"/>
    <x v="0"/>
    <n v="0"/>
    <n v="18.900000000000002"/>
    <n v="0.27"/>
    <n v="-18.900000000000002"/>
    <x v="0"/>
    <x v="1"/>
    <n v="0"/>
    <n v="18.900000000000002"/>
    <n v="0.27"/>
    <n v="-18.900000000000002"/>
    <s v="Ecart négatif"/>
    <n v="61.48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0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2"/>
    <n v="73"/>
    <x v="2"/>
    <x v="0"/>
    <n v="0"/>
    <n v="0"/>
    <n v="0"/>
    <n v="0"/>
    <x v="1"/>
    <x v="1"/>
    <n v="0"/>
    <n v="0"/>
    <n v="0"/>
    <n v="0"/>
    <s v="Pas d'écart"/>
    <n v="78.8"/>
  </r>
  <r>
    <x v="0"/>
    <n v="75"/>
    <x v="12"/>
    <x v="0"/>
    <n v="0"/>
    <n v="0"/>
    <n v="0"/>
    <n v="0"/>
    <x v="1"/>
    <x v="1"/>
    <n v="0"/>
    <n v="0"/>
    <n v="0"/>
    <n v="0"/>
    <s v="Pas d'écart"/>
    <n v="26.16"/>
  </r>
  <r>
    <x v="5"/>
    <n v="57"/>
    <x v="6"/>
    <x v="241"/>
    <n v="0.23593749999999999"/>
    <n v="38.4"/>
    <n v="0.24"/>
    <n v="-0.64999999999999858"/>
    <x v="0"/>
    <x v="1"/>
    <n v="0"/>
    <n v="38.4"/>
    <n v="0.24"/>
    <n v="-38.4"/>
    <s v="Ecart négatif"/>
    <n v="85.09"/>
  </r>
  <r>
    <x v="2"/>
    <n v="11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07.35"/>
  </r>
  <r>
    <x v="0"/>
    <n v="88"/>
    <x v="13"/>
    <x v="0"/>
    <n v="0"/>
    <n v="13.6"/>
    <n v="0.08"/>
    <n v="-13.6"/>
    <x v="0"/>
    <x v="134"/>
    <n v="7.8588235294117639E-2"/>
    <n v="13.6"/>
    <n v="0.08"/>
    <n v="-0.24000000000000021"/>
    <s v="Ecart négatif"/>
    <n v="96.22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41"/>
    <x v="12"/>
    <x v="0"/>
    <n v="0"/>
    <n v="4.8"/>
    <n v="0.12"/>
    <n v="-4.8"/>
    <x v="0"/>
    <x v="52"/>
    <n v="0.27"/>
    <n v="4.8"/>
    <n v="0.12"/>
    <n v="6.0000000000000009"/>
    <s v="Ecart positif"/>
    <n v="41.47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7"/>
    <x v="12"/>
    <x v="0"/>
    <n v="0"/>
    <n v="3.2"/>
    <n v="0.08"/>
    <n v="-3.2"/>
    <x v="0"/>
    <x v="135"/>
    <n v="6.8500000000000005E-2"/>
    <n v="3.2"/>
    <n v="0.08"/>
    <n v="-0.45999999999999996"/>
    <s v="Ecart négatif"/>
    <n v="34.29"/>
  </r>
  <r>
    <x v="4"/>
    <n v="79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37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92.1"/>
  </r>
  <r>
    <x v="2"/>
    <n v="29"/>
    <x v="12"/>
    <x v="0"/>
    <n v="0"/>
    <n v="4.8"/>
    <n v="0.12"/>
    <n v="-4.8"/>
    <x v="0"/>
    <x v="1"/>
    <n v="0"/>
    <n v="4.8"/>
    <n v="0.12"/>
    <n v="-4.8"/>
    <s v="Ecart négatif"/>
    <n v="0"/>
  </r>
  <r>
    <x v="7"/>
    <n v="69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19.97999999999999"/>
  </r>
  <r>
    <x v="8"/>
    <n v="83"/>
    <x v="14"/>
    <x v="0"/>
    <n v="0"/>
    <n v="39"/>
    <n v="0.3"/>
    <n v="-39"/>
    <x v="0"/>
    <x v="1"/>
    <n v="0"/>
    <n v="39"/>
    <n v="0.3"/>
    <n v="-39"/>
    <s v="Ecart négatif"/>
    <n v="72.88"/>
  </r>
  <r>
    <x v="8"/>
    <n v="69"/>
    <x v="6"/>
    <x v="0"/>
    <n v="0"/>
    <n v="43.2"/>
    <n v="0.27"/>
    <n v="-43.2"/>
    <x v="0"/>
    <x v="1"/>
    <n v="0"/>
    <n v="43.2"/>
    <n v="0.27"/>
    <n v="-43.2"/>
    <s v="Ecart négatif"/>
    <n v="0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0"/>
    <n v="44"/>
    <x v="20"/>
    <x v="0"/>
    <n v="0"/>
    <n v="0"/>
    <n v="0"/>
    <n v="0"/>
    <x v="1"/>
    <x v="1"/>
    <n v="0"/>
    <n v="0"/>
    <n v="0"/>
    <n v="0"/>
    <s v="Pas d'écart"/>
    <n v="131.1"/>
  </r>
  <r>
    <x v="2"/>
    <n v="62"/>
    <x v="2"/>
    <x v="0"/>
    <n v="0"/>
    <n v="0"/>
    <n v="0"/>
    <n v="0"/>
    <x v="1"/>
    <x v="1"/>
    <n v="0"/>
    <n v="0"/>
    <n v="0"/>
    <n v="0"/>
    <s v="Pas d'écart"/>
    <n v="73.41"/>
  </r>
  <r>
    <x v="4"/>
    <n v="59"/>
    <x v="9"/>
    <x v="242"/>
    <n v="0.17875000000000002"/>
    <n v="15.2"/>
    <n v="0.19"/>
    <n v="-0.89999999999999858"/>
    <x v="0"/>
    <x v="1"/>
    <n v="0"/>
    <n v="15.2"/>
    <n v="0.19"/>
    <n v="-15.2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8"/>
    <n v="59"/>
    <x v="4"/>
    <x v="0"/>
    <n v="0"/>
    <n v="20.9"/>
    <n v="0.18999999999999997"/>
    <n v="-20.9"/>
    <x v="0"/>
    <x v="1"/>
    <n v="0"/>
    <n v="20.9"/>
    <n v="0.18999999999999997"/>
    <n v="-20.9"/>
    <s v="Ecart négatif"/>
    <n v="0"/>
  </r>
  <r>
    <x v="0"/>
    <n v="67"/>
    <x v="8"/>
    <x v="0"/>
    <n v="0"/>
    <n v="5.6000000000000005"/>
    <n v="0.08"/>
    <n v="-5.6000000000000005"/>
    <x v="0"/>
    <x v="136"/>
    <n v="0.08"/>
    <n v="5.6000000000000005"/>
    <n v="0.08"/>
    <n v="0"/>
    <s v="Pas d'écart"/>
    <n v="44.77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23.700000000000003"/>
  </r>
  <r>
    <x v="0"/>
    <n v="13"/>
    <x v="2"/>
    <x v="0"/>
    <n v="0"/>
    <n v="26.6"/>
    <n v="0.19"/>
    <n v="-26.6"/>
    <x v="0"/>
    <x v="68"/>
    <n v="0.19"/>
    <n v="26.6"/>
    <n v="0.19"/>
    <n v="0"/>
    <s v="Pas d'écart"/>
    <n v="13.140000000000008"/>
  </r>
  <r>
    <x v="2"/>
    <n v="6"/>
    <x v="2"/>
    <x v="0"/>
    <n v="0"/>
    <n v="29.4"/>
    <n v="0.21"/>
    <n v="-29.4"/>
    <x v="0"/>
    <x v="98"/>
    <n v="0.21"/>
    <n v="29.4"/>
    <n v="0.21"/>
    <n v="0"/>
    <s v="Pas d'écart"/>
    <n v="0"/>
  </r>
  <r>
    <x v="2"/>
    <n v="93"/>
    <x v="12"/>
    <x v="0"/>
    <n v="0"/>
    <n v="0"/>
    <n v="0"/>
    <n v="0"/>
    <x v="1"/>
    <x v="1"/>
    <n v="0"/>
    <n v="0"/>
    <n v="0"/>
    <n v="0"/>
    <s v="Pas d'écart"/>
    <n v="0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2"/>
    <n v="69"/>
    <x v="12"/>
    <x v="0"/>
    <n v="0"/>
    <n v="0"/>
    <n v="0"/>
    <n v="0"/>
    <x v="1"/>
    <x v="1"/>
    <n v="0"/>
    <n v="0"/>
    <n v="0"/>
    <n v="0"/>
    <s v="Pas d'écart"/>
    <n v="0"/>
  </r>
  <r>
    <x v="2"/>
    <n v="80"/>
    <x v="2"/>
    <x v="0"/>
    <n v="0"/>
    <n v="0"/>
    <n v="0"/>
    <n v="0"/>
    <x v="1"/>
    <x v="1"/>
    <n v="0"/>
    <n v="0"/>
    <n v="0"/>
    <n v="0"/>
    <s v="Pas d'écart"/>
    <n v="73.41"/>
  </r>
  <r>
    <x v="3"/>
    <n v="62"/>
    <x v="9"/>
    <x v="243"/>
    <n v="0.17887500000000001"/>
    <n v="15.2"/>
    <n v="0.19"/>
    <n v="-0.88999999999999879"/>
    <x v="0"/>
    <x v="1"/>
    <n v="0"/>
    <n v="15.2"/>
    <n v="0.19"/>
    <n v="-15.2"/>
    <s v="Ecart négatif"/>
    <n v="14.04"/>
  </r>
  <r>
    <x v="0"/>
    <n v="21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44.77"/>
  </r>
  <r>
    <x v="0"/>
    <n v="70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2"/>
    <n v="25"/>
    <x v="6"/>
    <x v="0"/>
    <n v="0"/>
    <n v="19.2"/>
    <n v="0.12"/>
    <n v="-19.2"/>
    <x v="0"/>
    <x v="137"/>
    <n v="0.11399999999999999"/>
    <n v="19.2"/>
    <n v="0.12"/>
    <n v="-0.96000000000000085"/>
    <s v="Ecart négatif"/>
    <n v="0"/>
  </r>
  <r>
    <x v="0"/>
    <n v="6"/>
    <x v="12"/>
    <x v="0"/>
    <n v="0"/>
    <n v="8.4"/>
    <n v="0.21000000000000002"/>
    <n v="-8.4"/>
    <x v="0"/>
    <x v="4"/>
    <n v="0.21000000000000002"/>
    <n v="8.4"/>
    <n v="0.21000000000000002"/>
    <n v="0"/>
    <s v="Pas d'écart"/>
    <n v="47.76"/>
  </r>
  <r>
    <x v="2"/>
    <n v="35"/>
    <x v="0"/>
    <x v="0"/>
    <n v="0"/>
    <n v="0"/>
    <n v="0"/>
    <n v="0"/>
    <x v="1"/>
    <x v="1"/>
    <n v="0"/>
    <n v="0"/>
    <n v="0"/>
    <n v="0"/>
    <s v="Pas d'écart"/>
    <n v="107.35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2"/>
    <n v="13"/>
    <x v="12"/>
    <x v="0"/>
    <n v="0"/>
    <n v="7.6"/>
    <n v="0.19"/>
    <n v="-7.6"/>
    <x v="0"/>
    <x v="138"/>
    <n v="0.21600000000000003"/>
    <n v="7.6"/>
    <n v="0.19"/>
    <n v="1.0400000000000009"/>
    <s v="Ecart positif"/>
    <n v="34.29"/>
  </r>
  <r>
    <x v="2"/>
    <n v="16"/>
    <x v="8"/>
    <x v="0"/>
    <n v="0"/>
    <n v="11.9"/>
    <n v="0.17"/>
    <n v="-11.9"/>
    <x v="0"/>
    <x v="139"/>
    <n v="0.152"/>
    <n v="11.9"/>
    <n v="0.17"/>
    <n v="-1.2599999999999998"/>
    <s v="Ecart négatif"/>
    <n v="66.36"/>
  </r>
  <r>
    <x v="0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2"/>
    <n v="76"/>
    <x v="13"/>
    <x v="0"/>
    <n v="0"/>
    <n v="28.900000000000002"/>
    <n v="0.17"/>
    <n v="-28.900000000000002"/>
    <x v="0"/>
    <x v="140"/>
    <n v="0.16529411764705884"/>
    <n v="28.900000000000002"/>
    <n v="0.17"/>
    <n v="-0.80000000000000071"/>
    <s v="Ecart négatif"/>
    <n v="0"/>
  </r>
  <r>
    <x v="0"/>
    <n v="76"/>
    <x v="9"/>
    <x v="0"/>
    <n v="0"/>
    <n v="13.600000000000001"/>
    <n v="0.17"/>
    <n v="-13.600000000000001"/>
    <x v="0"/>
    <x v="1"/>
    <n v="0"/>
    <n v="13.600000000000001"/>
    <n v="0.17"/>
    <n v="-13.600000000000001"/>
    <s v="Ecart négatif"/>
    <n v="47.06"/>
  </r>
  <r>
    <x v="2"/>
    <n v="45"/>
    <x v="2"/>
    <x v="0"/>
    <n v="0"/>
    <n v="16.8"/>
    <n v="0.12000000000000001"/>
    <n v="-16.8"/>
    <x v="0"/>
    <x v="1"/>
    <n v="0"/>
    <n v="16.8"/>
    <n v="0.12000000000000001"/>
    <n v="-16.8"/>
    <s v="Ecart négatif"/>
    <n v="73.41"/>
  </r>
  <r>
    <x v="0"/>
    <n v="55"/>
    <x v="12"/>
    <x v="0"/>
    <n v="0"/>
    <n v="10"/>
    <n v="0.25"/>
    <n v="-10"/>
    <x v="0"/>
    <x v="31"/>
    <n v="0.25"/>
    <n v="10"/>
    <n v="0.25"/>
    <n v="0"/>
    <s v="Pas d'écart"/>
    <n v="41.47"/>
  </r>
  <r>
    <x v="2"/>
    <n v="83"/>
    <x v="27"/>
    <x v="0"/>
    <n v="0"/>
    <n v="10.5"/>
    <n v="0.21"/>
    <n v="-10.5"/>
    <x v="0"/>
    <x v="1"/>
    <n v="0"/>
    <n v="10.5"/>
    <n v="0.21"/>
    <n v="-10.5"/>
    <s v="Ecart négatif"/>
    <n v="44.07"/>
  </r>
  <r>
    <x v="6"/>
    <n v="91"/>
    <x v="6"/>
    <x v="0"/>
    <n v="0"/>
    <n v="0"/>
    <n v="0"/>
    <n v="0"/>
    <x v="1"/>
    <x v="1"/>
    <n v="0"/>
    <n v="0"/>
    <n v="0"/>
    <n v="0"/>
    <s v="Pas d'écart"/>
    <n v="0"/>
  </r>
  <r>
    <x v="0"/>
    <n v="70"/>
    <x v="11"/>
    <x v="0"/>
    <n v="0"/>
    <n v="7.1999999999999993"/>
    <n v="0.11999999999999998"/>
    <n v="-7.1999999999999993"/>
    <x v="0"/>
    <x v="141"/>
    <n v="0.11"/>
    <n v="7.1999999999999993"/>
    <n v="0.11999999999999998"/>
    <n v="-0.59999999999999964"/>
    <s v="Ecart négatif"/>
    <n v="58.26"/>
  </r>
  <r>
    <x v="0"/>
    <n v="70"/>
    <x v="38"/>
    <x v="0"/>
    <n v="0"/>
    <n v="42"/>
    <n v="0.12"/>
    <n v="-42"/>
    <x v="0"/>
    <x v="142"/>
    <n v="0.12"/>
    <n v="42"/>
    <n v="0.12"/>
    <n v="0"/>
    <s v="Pas d'écart"/>
    <n v="203.97"/>
  </r>
  <r>
    <x v="0"/>
    <n v="72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5.78"/>
  </r>
  <r>
    <x v="2"/>
    <n v="13"/>
    <x v="20"/>
    <x v="0"/>
    <n v="0"/>
    <n v="47.5"/>
    <n v="0.19"/>
    <n v="-47.5"/>
    <x v="0"/>
    <x v="1"/>
    <n v="0"/>
    <n v="47.5"/>
    <n v="0.19"/>
    <n v="-47.5"/>
    <s v="Ecart négatif"/>
    <n v="131.1"/>
  </r>
  <r>
    <x v="4"/>
    <n v="92"/>
    <x v="11"/>
    <x v="0"/>
    <n v="0"/>
    <n v="0"/>
    <n v="0"/>
    <n v="0"/>
    <x v="1"/>
    <x v="1"/>
    <n v="0"/>
    <n v="0"/>
    <n v="0"/>
    <n v="0"/>
    <s v="Pas d'écart"/>
    <n v="0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5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5"/>
    <n v="34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30.849999999999998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0"/>
    <n v="83"/>
    <x v="10"/>
    <x v="0"/>
    <n v="0"/>
    <n v="31.5"/>
    <n v="0.21"/>
    <n v="-31.5"/>
    <x v="0"/>
    <x v="1"/>
    <n v="0"/>
    <n v="31.5"/>
    <n v="0.21"/>
    <n v="-31.5"/>
    <s v="Ecart négatif"/>
    <n v="14.789999999999992"/>
  </r>
  <r>
    <x v="2"/>
    <n v="94"/>
    <x v="7"/>
    <x v="0"/>
    <n v="0"/>
    <n v="0"/>
    <n v="0"/>
    <n v="0"/>
    <x v="1"/>
    <x v="1"/>
    <n v="0"/>
    <n v="0"/>
    <n v="0"/>
    <n v="0"/>
    <s v="Pas d'écart"/>
    <n v="0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59"/>
    <x v="9"/>
    <x v="243"/>
    <n v="0.17887500000000001"/>
    <n v="15.2"/>
    <n v="0.19"/>
    <n v="-0.88999999999999879"/>
    <x v="0"/>
    <x v="1"/>
    <n v="0"/>
    <n v="15.2"/>
    <n v="0.19"/>
    <n v="-15.2"/>
    <s v="Ecart négatif"/>
    <n v="0"/>
  </r>
  <r>
    <x v="5"/>
    <n v="51"/>
    <x v="9"/>
    <x v="0"/>
    <n v="0"/>
    <n v="20"/>
    <n v="0.25"/>
    <n v="-20"/>
    <x v="0"/>
    <x v="1"/>
    <n v="0"/>
    <n v="20"/>
    <n v="0.25"/>
    <n v="-20"/>
    <s v="Ecart négatif"/>
    <n v="74.47"/>
  </r>
  <r>
    <x v="0"/>
    <n v="26"/>
    <x v="13"/>
    <x v="0"/>
    <n v="0"/>
    <n v="0"/>
    <n v="0"/>
    <n v="0"/>
    <x v="1"/>
    <x v="1"/>
    <n v="0"/>
    <n v="0"/>
    <n v="0"/>
    <n v="0"/>
    <s v="Pas d'écart"/>
    <n v="20.77000000000001"/>
  </r>
  <r>
    <x v="4"/>
    <n v="59"/>
    <x v="2"/>
    <x v="244"/>
    <n v="0.17914285714285713"/>
    <n v="26.6"/>
    <n v="0.19"/>
    <n v="-1.5200000000000031"/>
    <x v="0"/>
    <x v="1"/>
    <n v="0"/>
    <n v="26.6"/>
    <n v="0.19"/>
    <n v="-26.6"/>
    <s v="Ecart négatif"/>
    <n v="0"/>
  </r>
  <r>
    <x v="4"/>
    <n v="60"/>
    <x v="4"/>
    <x v="245"/>
    <n v="0.17918181818181819"/>
    <n v="20.9"/>
    <n v="0.18999999999999997"/>
    <n v="-1.1899999999999977"/>
    <x v="0"/>
    <x v="1"/>
    <n v="0"/>
    <n v="20.9"/>
    <n v="0.18999999999999997"/>
    <n v="-20.9"/>
    <s v="Ecart négatif"/>
    <n v="0"/>
  </r>
  <r>
    <x v="0"/>
    <n v="28"/>
    <x v="8"/>
    <x v="0"/>
    <n v="0"/>
    <n v="8.4"/>
    <n v="0.12000000000000001"/>
    <n v="-8.4"/>
    <x v="0"/>
    <x v="1"/>
    <n v="0"/>
    <n v="8.4"/>
    <n v="0.12000000000000001"/>
    <n v="-8.4"/>
    <s v="Ecart négatif"/>
    <n v="66.36"/>
  </r>
  <r>
    <x v="2"/>
    <n v="92"/>
    <x v="18"/>
    <x v="0"/>
    <n v="0"/>
    <n v="0"/>
    <n v="0"/>
    <n v="0"/>
    <x v="1"/>
    <x v="1"/>
    <n v="0"/>
    <n v="0"/>
    <n v="0"/>
    <n v="0"/>
    <s v="Pas d'écart"/>
    <n v="0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13"/>
    <x v="4"/>
    <x v="0"/>
    <n v="0"/>
    <n v="20.9"/>
    <n v="0.18999999999999997"/>
    <n v="-20.9"/>
    <x v="0"/>
    <x v="143"/>
    <n v="0.17954545454545454"/>
    <n v="20.9"/>
    <n v="0.18999999999999997"/>
    <n v="-1.1499999999999986"/>
    <s v="Ecart négatif"/>
    <n v="0"/>
  </r>
  <r>
    <x v="4"/>
    <n v="80"/>
    <x v="6"/>
    <x v="246"/>
    <n v="0.17931250000000001"/>
    <n v="30.4"/>
    <n v="0.19"/>
    <n v="-1.7099999999999973"/>
    <x v="0"/>
    <x v="1"/>
    <n v="0"/>
    <n v="30.4"/>
    <n v="0.19"/>
    <n v="-30.4"/>
    <s v="Ecart négatif"/>
    <n v="0"/>
  </r>
  <r>
    <x v="3"/>
    <n v="59"/>
    <x v="6"/>
    <x v="246"/>
    <n v="0.17931250000000001"/>
    <n v="30.4"/>
    <n v="0.19"/>
    <n v="-1.7099999999999973"/>
    <x v="0"/>
    <x v="1"/>
    <n v="0"/>
    <n v="30.4"/>
    <n v="0.19"/>
    <n v="-30.4"/>
    <s v="Ecart négatif"/>
    <n v="15.310000000000002"/>
  </r>
  <r>
    <x v="4"/>
    <n v="35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0"/>
    <x v="10"/>
    <x v="247"/>
    <n v="0.1794"/>
    <n v="28.5"/>
    <n v="0.19"/>
    <n v="-1.5899999999999999"/>
    <x v="0"/>
    <x v="1"/>
    <n v="0"/>
    <n v="28.5"/>
    <n v="0.19"/>
    <n v="-28.5"/>
    <s v="Ecart négatif"/>
    <n v="0"/>
  </r>
  <r>
    <x v="2"/>
    <n v="35"/>
    <x v="2"/>
    <x v="0"/>
    <n v="0"/>
    <n v="0"/>
    <n v="0"/>
    <n v="0"/>
    <x v="1"/>
    <x v="144"/>
    <n v="0.26999999999999996"/>
    <n v="0"/>
    <n v="0"/>
    <n v="37.799999999999997"/>
    <s v="Ecart positif"/>
    <n v="73.41"/>
  </r>
  <r>
    <x v="2"/>
    <n v="94"/>
    <x v="0"/>
    <x v="0"/>
    <n v="0"/>
    <n v="0"/>
    <n v="0"/>
    <n v="0"/>
    <x v="1"/>
    <x v="1"/>
    <n v="0"/>
    <n v="0"/>
    <n v="0"/>
    <n v="0"/>
    <s v="Pas d'écart"/>
    <n v="0"/>
  </r>
  <r>
    <x v="7"/>
    <n v="45"/>
    <x v="2"/>
    <x v="0"/>
    <n v="0"/>
    <n v="29.4"/>
    <n v="0.21"/>
    <n v="-29.4"/>
    <x v="0"/>
    <x v="1"/>
    <n v="0"/>
    <n v="29.4"/>
    <n v="0.21"/>
    <n v="-29.4"/>
    <s v="Ecart négatif"/>
    <n v="14.68"/>
  </r>
  <r>
    <x v="0"/>
    <n v="75"/>
    <x v="8"/>
    <x v="0"/>
    <n v="0"/>
    <n v="0"/>
    <n v="0"/>
    <n v="0"/>
    <x v="1"/>
    <x v="1"/>
    <n v="0"/>
    <n v="0"/>
    <n v="0"/>
    <n v="0"/>
    <s v="Pas d'écart"/>
    <n v="7.1999999999999957"/>
  </r>
  <r>
    <x v="0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2"/>
    <n v="6"/>
    <x v="9"/>
    <x v="0"/>
    <n v="0"/>
    <n v="16.8"/>
    <n v="0.21000000000000002"/>
    <n v="-16.8"/>
    <x v="0"/>
    <x v="1"/>
    <n v="0"/>
    <n v="16.8"/>
    <n v="0.21000000000000002"/>
    <n v="-16.8"/>
    <s v="Ecart négatif"/>
    <n v="74.47"/>
  </r>
  <r>
    <x v="8"/>
    <n v="75"/>
    <x v="2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2"/>
    <n v="83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85.09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3"/>
    <n v="61"/>
    <x v="2"/>
    <x v="125"/>
    <n v="0.17"/>
    <n v="23.8"/>
    <n v="0.17"/>
    <n v="0"/>
    <x v="1"/>
    <x v="1"/>
    <n v="0"/>
    <n v="23.8"/>
    <n v="0.17"/>
    <n v="-23.8"/>
    <s v="Ecart négatif"/>
    <n v="15.75999999999999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12"/>
    <x v="0"/>
    <n v="0"/>
    <n v="7.6"/>
    <n v="0.19"/>
    <n v="-7.6"/>
    <x v="0"/>
    <x v="132"/>
    <n v="0.19"/>
    <n v="7.6"/>
    <n v="0.19"/>
    <n v="0"/>
    <s v="Pas d'écart"/>
    <n v="6.8599999999999994"/>
  </r>
  <r>
    <x v="2"/>
    <n v="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0"/>
    <n v="1"/>
    <x v="25"/>
    <x v="0"/>
    <n v="0"/>
    <n v="0"/>
    <n v="0"/>
    <n v="0"/>
    <x v="1"/>
    <x v="1"/>
    <n v="0"/>
    <n v="0"/>
    <n v="0"/>
    <n v="0"/>
    <s v="Pas d'écart"/>
    <n v="28.159999999999997"/>
  </r>
  <r>
    <x v="4"/>
    <n v="62"/>
    <x v="10"/>
    <x v="247"/>
    <n v="0.1794"/>
    <n v="28.5"/>
    <n v="0.19"/>
    <n v="-1.5899999999999999"/>
    <x v="0"/>
    <x v="1"/>
    <n v="0"/>
    <n v="28.5"/>
    <n v="0.19"/>
    <n v="-28.5"/>
    <s v="Ecart négatif"/>
    <n v="0"/>
  </r>
  <r>
    <x v="0"/>
    <n v="14"/>
    <x v="7"/>
    <x v="0"/>
    <n v="0"/>
    <n v="5.1000000000000005"/>
    <n v="0.17"/>
    <n v="-5.1000000000000005"/>
    <x v="0"/>
    <x v="57"/>
    <n v="0.14166666666666666"/>
    <n v="5.1000000000000005"/>
    <n v="0.17"/>
    <n v="-0.85000000000000053"/>
    <s v="Ecart négatif"/>
    <n v="17.34"/>
  </r>
  <r>
    <x v="3"/>
    <n v="59"/>
    <x v="10"/>
    <x v="248"/>
    <n v="0.17966666666666667"/>
    <n v="28.5"/>
    <n v="0.19"/>
    <n v="-1.5500000000000007"/>
    <x v="0"/>
    <x v="1"/>
    <n v="0"/>
    <n v="28.5"/>
    <n v="0.19"/>
    <n v="-28.5"/>
    <s v="Ecart négatif"/>
    <n v="13.759999999999998"/>
  </r>
  <r>
    <x v="4"/>
    <n v="59"/>
    <x v="13"/>
    <x v="249"/>
    <n v="0.17994117647058824"/>
    <n v="32.299999999999997"/>
    <n v="0.18999999999999997"/>
    <n v="-1.7099999999999973"/>
    <x v="0"/>
    <x v="1"/>
    <n v="0"/>
    <n v="32.299999999999997"/>
    <n v="0.18999999999999997"/>
    <n v="-32.299999999999997"/>
    <s v="Ecart négatif"/>
    <n v="0"/>
  </r>
  <r>
    <x v="3"/>
    <n v="62"/>
    <x v="19"/>
    <x v="250"/>
    <n v="0.18021052631578949"/>
    <n v="36.1"/>
    <n v="0.19"/>
    <n v="-1.8599999999999994"/>
    <x v="0"/>
    <x v="1"/>
    <n v="0"/>
    <n v="36.1"/>
    <n v="0.19"/>
    <n v="-36.1"/>
    <s v="Ecart négatif"/>
    <n v="23.700000000000003"/>
  </r>
  <r>
    <x v="6"/>
    <n v="67"/>
    <x v="3"/>
    <x v="0"/>
    <n v="0"/>
    <n v="60.9"/>
    <n v="0.28999999999999998"/>
    <n v="-60.9"/>
    <x v="0"/>
    <x v="145"/>
    <n v="0.22895238095238094"/>
    <n v="60.9"/>
    <n v="0.28999999999999998"/>
    <n v="-12.82"/>
    <s v="Ecart négatif"/>
    <n v="-34.22999999999999"/>
  </r>
  <r>
    <x v="2"/>
    <n v="45"/>
    <x v="20"/>
    <x v="0"/>
    <n v="0"/>
    <n v="30"/>
    <n v="0.12"/>
    <n v="-30"/>
    <x v="0"/>
    <x v="20"/>
    <n v="0.12"/>
    <n v="30"/>
    <n v="0.12"/>
    <n v="0"/>
    <s v="Pas d'écart"/>
    <n v="157.52000000000001"/>
  </r>
  <r>
    <x v="2"/>
    <n v="94"/>
    <x v="2"/>
    <x v="0"/>
    <n v="0"/>
    <n v="0"/>
    <n v="0"/>
    <n v="0"/>
    <x v="1"/>
    <x v="1"/>
    <n v="0"/>
    <n v="0"/>
    <n v="0"/>
    <n v="0"/>
    <s v="Pas d'écart"/>
    <n v="0"/>
  </r>
  <r>
    <x v="2"/>
    <n v="49"/>
    <x v="0"/>
    <x v="0"/>
    <n v="0"/>
    <n v="0"/>
    <n v="0"/>
    <n v="0"/>
    <x v="1"/>
    <x v="146"/>
    <n v="0.25822222222222219"/>
    <n v="0"/>
    <n v="0"/>
    <n v="46.48"/>
    <s v="Ecart positif"/>
    <n v="0"/>
  </r>
  <r>
    <x v="0"/>
    <n v="77"/>
    <x v="19"/>
    <x v="0"/>
    <n v="0"/>
    <n v="0"/>
    <n v="0"/>
    <n v="0"/>
    <x v="1"/>
    <x v="1"/>
    <n v="0"/>
    <n v="0"/>
    <n v="0"/>
    <n v="0"/>
    <s v="Pas d'écart"/>
    <n v="62.01"/>
  </r>
  <r>
    <x v="2"/>
    <n v="14"/>
    <x v="8"/>
    <x v="0"/>
    <n v="0"/>
    <n v="11.9"/>
    <n v="0.17"/>
    <n v="-11.9"/>
    <x v="0"/>
    <x v="17"/>
    <n v="0.17"/>
    <n v="11.9"/>
    <n v="0.17"/>
    <n v="0"/>
    <s v="Pas d'écart"/>
    <n v="0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2"/>
    <n v="62"/>
    <x v="19"/>
    <x v="0"/>
    <n v="0"/>
    <n v="0"/>
    <n v="0"/>
    <n v="0"/>
    <x v="1"/>
    <x v="1"/>
    <n v="0"/>
    <n v="0"/>
    <n v="0"/>
    <n v="0"/>
    <s v="Pas d'écart"/>
    <n v="0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0"/>
    <n v="59"/>
    <x v="9"/>
    <x v="0"/>
    <n v="0"/>
    <n v="0"/>
    <n v="0"/>
    <n v="0"/>
    <x v="1"/>
    <x v="1"/>
    <n v="0"/>
    <n v="0"/>
    <n v="0"/>
    <n v="0"/>
    <s v="Pas d'écart"/>
    <n v="9.4100000000000037"/>
  </r>
  <r>
    <x v="0"/>
    <n v="11"/>
    <x v="12"/>
    <x v="0"/>
    <n v="0"/>
    <n v="11.200000000000001"/>
    <n v="0.28000000000000003"/>
    <n v="-11.200000000000001"/>
    <x v="0"/>
    <x v="147"/>
    <n v="0.24500000000000002"/>
    <n v="11.200000000000001"/>
    <n v="0.28000000000000003"/>
    <n v="-1.4000000000000004"/>
    <s v="Ecart négatif"/>
    <n v="8.2899999999999991"/>
  </r>
  <r>
    <x v="4"/>
    <n v="80"/>
    <x v="18"/>
    <x v="251"/>
    <n v="0.1802222222222222"/>
    <n v="17.100000000000001"/>
    <n v="0.19"/>
    <n v="-0.88000000000000256"/>
    <x v="0"/>
    <x v="1"/>
    <n v="0"/>
    <n v="17.100000000000001"/>
    <n v="0.19"/>
    <n v="-17.100000000000001"/>
    <s v="Ecart négatif"/>
    <n v="0"/>
  </r>
  <r>
    <x v="4"/>
    <n v="80"/>
    <x v="18"/>
    <x v="251"/>
    <n v="0.1802222222222222"/>
    <n v="17.100000000000001"/>
    <n v="0.19"/>
    <n v="-0.88000000000000256"/>
    <x v="0"/>
    <x v="1"/>
    <n v="0"/>
    <n v="17.100000000000001"/>
    <n v="0.19"/>
    <n v="-17.100000000000001"/>
    <s v="Ecart négatif"/>
    <n v="0"/>
  </r>
  <r>
    <x v="3"/>
    <n v="59"/>
    <x v="0"/>
    <x v="252"/>
    <n v="0.18038888888888888"/>
    <n v="34.200000000000003"/>
    <n v="0.19"/>
    <n v="-1.730000000000004"/>
    <x v="0"/>
    <x v="1"/>
    <n v="0"/>
    <n v="34.200000000000003"/>
    <n v="0.19"/>
    <n v="-34.200000000000003"/>
    <s v="Ecart négatif"/>
    <n v="18.419999999999987"/>
  </r>
  <r>
    <x v="2"/>
    <n v="29"/>
    <x v="51"/>
    <x v="0"/>
    <n v="0"/>
    <n v="153.6"/>
    <n v="0.12"/>
    <n v="-153.6"/>
    <x v="0"/>
    <x v="1"/>
    <n v="0"/>
    <n v="153.6"/>
    <n v="0.12"/>
    <n v="-153.6"/>
    <s v="Ecart négatif"/>
    <e v="#N/A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9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44"/>
    <x v="13"/>
    <x v="0"/>
    <n v="0"/>
    <n v="45.900000000000006"/>
    <n v="0.27"/>
    <n v="-45.900000000000006"/>
    <x v="0"/>
    <x v="1"/>
    <n v="0"/>
    <n v="45.900000000000006"/>
    <n v="0.27"/>
    <n v="-45.900000000000006"/>
    <s v="Ecart négatif"/>
    <n v="84.3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0"/>
    <n v="37"/>
    <x v="6"/>
    <x v="0"/>
    <n v="0"/>
    <n v="19.2"/>
    <n v="0.12"/>
    <n v="-19.2"/>
    <x v="0"/>
    <x v="47"/>
    <n v="0.11325"/>
    <n v="19.2"/>
    <n v="0.12"/>
    <n v="-1.0799999999999983"/>
    <s v="Ecart négatif"/>
    <n v="15.310000000000002"/>
  </r>
  <r>
    <x v="7"/>
    <n v="50"/>
    <x v="20"/>
    <x v="0"/>
    <n v="0"/>
    <n v="42.5"/>
    <n v="0.17"/>
    <n v="-42.5"/>
    <x v="0"/>
    <x v="1"/>
    <n v="0"/>
    <n v="42.5"/>
    <n v="0.17"/>
    <n v="-42.5"/>
    <s v="Ecart négatif"/>
    <n v="34.240000000000009"/>
  </r>
  <r>
    <x v="4"/>
    <n v="94"/>
    <x v="0"/>
    <x v="0"/>
    <n v="0"/>
    <n v="0"/>
    <n v="0"/>
    <n v="0"/>
    <x v="1"/>
    <x v="1"/>
    <n v="0"/>
    <n v="0"/>
    <n v="0"/>
    <n v="0"/>
    <s v="Pas d'écart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4"/>
    <n v="59"/>
    <x v="2"/>
    <x v="253"/>
    <n v="0.18049999999999999"/>
    <n v="26.6"/>
    <n v="0.19"/>
    <n v="-1.3300000000000018"/>
    <x v="0"/>
    <x v="1"/>
    <n v="0"/>
    <n v="26.6"/>
    <n v="0.19"/>
    <n v="-26.6"/>
    <s v="Ecart négatif"/>
    <n v="0"/>
  </r>
  <r>
    <x v="2"/>
    <n v="75"/>
    <x v="0"/>
    <x v="0"/>
    <n v="0"/>
    <n v="0"/>
    <n v="0"/>
    <n v="0"/>
    <x v="1"/>
    <x v="1"/>
    <n v="0"/>
    <n v="0"/>
    <n v="0"/>
    <n v="0"/>
    <s v="Pas d'écart"/>
    <n v="0"/>
  </r>
  <r>
    <x v="4"/>
    <n v="94"/>
    <x v="11"/>
    <x v="0"/>
    <n v="0"/>
    <n v="0"/>
    <n v="0"/>
    <n v="0"/>
    <x v="1"/>
    <x v="1"/>
    <n v="0"/>
    <n v="0"/>
    <n v="0"/>
    <n v="0"/>
    <s v="Pas d'écart"/>
    <n v="0"/>
  </r>
  <r>
    <x v="0"/>
    <n v="60"/>
    <x v="12"/>
    <x v="0"/>
    <n v="0"/>
    <n v="0"/>
    <n v="0"/>
    <n v="0"/>
    <x v="1"/>
    <x v="1"/>
    <n v="0"/>
    <n v="0"/>
    <n v="0"/>
    <n v="0"/>
    <s v="Pas d'écart"/>
    <n v="9.5499999999999972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67"/>
    <x v="20"/>
    <x v="0"/>
    <n v="0"/>
    <n v="20"/>
    <n v="0.08"/>
    <n v="-20"/>
    <x v="0"/>
    <x v="1"/>
    <n v="0"/>
    <n v="20"/>
    <n v="0.08"/>
    <n v="-20"/>
    <s v="Ecart négatif"/>
    <n v="0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8"/>
    <n v="94"/>
    <x v="27"/>
    <x v="0"/>
    <n v="0"/>
    <n v="0"/>
    <n v="0"/>
    <n v="0"/>
    <x v="1"/>
    <x v="1"/>
    <n v="0"/>
    <n v="0"/>
    <n v="0"/>
    <n v="0"/>
    <s v="Pas d'écart"/>
    <n v="-7.6599999999999966"/>
  </r>
  <r>
    <x v="4"/>
    <n v="45"/>
    <x v="11"/>
    <x v="254"/>
    <n v="0.18066666666666667"/>
    <n v="12.6"/>
    <n v="0.21"/>
    <n v="-1.7599999999999998"/>
    <x v="0"/>
    <x v="1"/>
    <n v="0"/>
    <n v="12.6"/>
    <n v="0.21"/>
    <n v="-12.6"/>
    <s v="Ecart négatif"/>
    <n v="0"/>
  </r>
  <r>
    <x v="3"/>
    <n v="80"/>
    <x v="0"/>
    <x v="255"/>
    <n v="0.18077777777777776"/>
    <n v="34.200000000000003"/>
    <n v="0.19"/>
    <n v="-1.6600000000000037"/>
    <x v="0"/>
    <x v="1"/>
    <n v="0"/>
    <n v="34.200000000000003"/>
    <n v="0.19"/>
    <n v="-34.200000000000003"/>
    <s v="Ecart négatif"/>
    <n v="21.47"/>
  </r>
  <r>
    <x v="3"/>
    <n v="60"/>
    <x v="0"/>
    <x v="255"/>
    <n v="0.18077777777777776"/>
    <n v="34.200000000000003"/>
    <n v="0.19"/>
    <n v="-1.6600000000000037"/>
    <x v="0"/>
    <x v="1"/>
    <n v="0"/>
    <n v="34.200000000000003"/>
    <n v="0.19"/>
    <n v="-34.200000000000003"/>
    <s v="Ecart négatif"/>
    <n v="23.21000000000000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52"/>
    <x v="7"/>
    <x v="256"/>
    <n v="0.18099999999999999"/>
    <n v="5.3999999999999995"/>
    <n v="0.18"/>
    <n v="3.0000000000000249E-2"/>
    <x v="2"/>
    <x v="1"/>
    <n v="0"/>
    <n v="5.3999999999999995"/>
    <n v="0.18"/>
    <n v="-5.3999999999999995"/>
    <s v="Ecart négatif"/>
    <n v="3.3900000000000006"/>
  </r>
  <r>
    <x v="4"/>
    <n v="95"/>
    <x v="12"/>
    <x v="0"/>
    <n v="0"/>
    <n v="0"/>
    <n v="0"/>
    <n v="0"/>
    <x v="1"/>
    <x v="1"/>
    <n v="0"/>
    <n v="0"/>
    <n v="0"/>
    <n v="0"/>
    <s v="Pas d'écart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0"/>
    <n v="38"/>
    <x v="6"/>
    <x v="0"/>
    <n v="0"/>
    <n v="0"/>
    <n v="0"/>
    <n v="0"/>
    <x v="1"/>
    <x v="1"/>
    <n v="0"/>
    <n v="0"/>
    <n v="0"/>
    <n v="0"/>
    <s v="Pas d'écart"/>
    <n v="85.09"/>
  </r>
  <r>
    <x v="1"/>
    <n v="44"/>
    <x v="1"/>
    <x v="0"/>
    <n v="0"/>
    <n v="32.400000000000006"/>
    <n v="0.27000000000000007"/>
    <n v="-32.400000000000006"/>
    <x v="0"/>
    <x v="1"/>
    <n v="0"/>
    <n v="32.400000000000006"/>
    <n v="0.27000000000000007"/>
    <n v="-32.400000000000006"/>
    <s v="Ecart négatif"/>
    <n v="59.47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1"/>
    <n v="44"/>
    <x v="10"/>
    <x v="0"/>
    <n v="0"/>
    <n v="40.5"/>
    <n v="0.27"/>
    <n v="-40.5"/>
    <x v="0"/>
    <x v="1"/>
    <n v="0"/>
    <n v="40.5"/>
    <n v="0.27"/>
    <n v="-40.5"/>
    <s v="Ecart négatif"/>
    <n v="68.78"/>
  </r>
  <r>
    <x v="1"/>
    <n v="77"/>
    <x v="52"/>
    <x v="0"/>
    <n v="0"/>
    <n v="0"/>
    <n v="0"/>
    <n v="0"/>
    <x v="1"/>
    <x v="1"/>
    <n v="0"/>
    <n v="0"/>
    <n v="0"/>
    <n v="0"/>
    <s v="Pas d'écart"/>
    <e v="#N/A"/>
  </r>
  <r>
    <x v="0"/>
    <n v="57"/>
    <x v="10"/>
    <x v="0"/>
    <n v="0"/>
    <n v="37.5"/>
    <n v="0.25"/>
    <n v="-37.5"/>
    <x v="0"/>
    <x v="1"/>
    <n v="0"/>
    <n v="37.5"/>
    <n v="0.25"/>
    <n v="-37.5"/>
    <s v="Ecart négatif"/>
    <n v="73.959999999999994"/>
  </r>
  <r>
    <x v="7"/>
    <n v="44"/>
    <x v="16"/>
    <x v="0"/>
    <n v="0"/>
    <n v="54"/>
    <n v="0.27"/>
    <n v="-54"/>
    <x v="0"/>
    <x v="1"/>
    <n v="0"/>
    <n v="54"/>
    <n v="0.27"/>
    <n v="-54"/>
    <s v="Ecart négatif"/>
    <n v="21.53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52"/>
    <x v="7"/>
    <x v="256"/>
    <n v="0.18099999999999999"/>
    <n v="5.3999999999999995"/>
    <n v="0.18"/>
    <n v="3.0000000000000249E-2"/>
    <x v="2"/>
    <x v="1"/>
    <n v="0"/>
    <n v="5.3999999999999995"/>
    <n v="0.18"/>
    <n v="-5.3999999999999995"/>
    <s v="Ecart négatif"/>
    <n v="3.3900000000000006"/>
  </r>
  <r>
    <x v="3"/>
    <n v="52"/>
    <x v="7"/>
    <x v="256"/>
    <n v="0.18099999999999999"/>
    <n v="5.3999999999999995"/>
    <n v="0.18"/>
    <n v="3.0000000000000249E-2"/>
    <x v="2"/>
    <x v="1"/>
    <n v="0"/>
    <n v="5.3999999999999995"/>
    <n v="0.18"/>
    <n v="-5.3999999999999995"/>
    <s v="Ecart négatif"/>
    <n v="3.390000000000000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52"/>
    <x v="7"/>
    <x v="256"/>
    <n v="0.18099999999999999"/>
    <n v="5.3999999999999995"/>
    <n v="0.18"/>
    <n v="3.0000000000000249E-2"/>
    <x v="2"/>
    <x v="1"/>
    <n v="0"/>
    <n v="5.3999999999999995"/>
    <n v="0.18"/>
    <n v="-5.3999999999999995"/>
    <s v="Ecart négatif"/>
    <n v="3.3900000000000006"/>
  </r>
  <r>
    <x v="3"/>
    <n v="52"/>
    <x v="7"/>
    <x v="256"/>
    <n v="0.18099999999999999"/>
    <n v="5.3999999999999995"/>
    <n v="0.18"/>
    <n v="3.0000000000000249E-2"/>
    <x v="2"/>
    <x v="1"/>
    <n v="0"/>
    <n v="5.3999999999999995"/>
    <n v="0.18"/>
    <n v="-5.3999999999999995"/>
    <s v="Ecart négatif"/>
    <n v="3.3900000000000006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52"/>
    <x v="7"/>
    <x v="256"/>
    <n v="0.18099999999999999"/>
    <n v="5.3999999999999995"/>
    <n v="0.18"/>
    <n v="3.0000000000000249E-2"/>
    <x v="2"/>
    <x v="1"/>
    <n v="0"/>
    <n v="5.3999999999999995"/>
    <n v="0.18"/>
    <n v="-5.3999999999999995"/>
    <s v="Ecart négatif"/>
    <n v="3.3900000000000006"/>
  </r>
  <r>
    <x v="3"/>
    <n v="59"/>
    <x v="4"/>
    <x v="257"/>
    <n v="0.18109090909090911"/>
    <n v="20.9"/>
    <n v="0.18999999999999997"/>
    <n v="-0.97999999999999687"/>
    <x v="0"/>
    <x v="1"/>
    <n v="0"/>
    <n v="20.9"/>
    <n v="0.18999999999999997"/>
    <n v="-20.9"/>
    <s v="Ecart négatif"/>
    <n v="11.269999999999996"/>
  </r>
  <r>
    <x v="4"/>
    <n v="94"/>
    <x v="2"/>
    <x v="0"/>
    <n v="0"/>
    <n v="0"/>
    <n v="0"/>
    <n v="0"/>
    <x v="1"/>
    <x v="1"/>
    <n v="0"/>
    <n v="0"/>
    <n v="0"/>
    <n v="0"/>
    <s v="Pas d'écart"/>
    <n v="0"/>
  </r>
  <r>
    <x v="3"/>
    <n v="59"/>
    <x v="4"/>
    <x v="258"/>
    <n v="0.18136363636363637"/>
    <n v="20.9"/>
    <n v="0.18999999999999997"/>
    <n v="-0.94999999999999929"/>
    <x v="0"/>
    <x v="1"/>
    <n v="0"/>
    <n v="20.9"/>
    <n v="0.18999999999999997"/>
    <n v="-20.9"/>
    <s v="Ecart négatif"/>
    <n v="11.269999999999996"/>
  </r>
  <r>
    <x v="4"/>
    <n v="62"/>
    <x v="0"/>
    <x v="259"/>
    <n v="0.18155555555555555"/>
    <n v="34.200000000000003"/>
    <n v="0.19"/>
    <n v="-1.5200000000000031"/>
    <x v="0"/>
    <x v="1"/>
    <n v="0"/>
    <n v="34.200000000000003"/>
    <n v="0.19"/>
    <n v="-34.200000000000003"/>
    <s v="Ecart négatif"/>
    <n v="0"/>
  </r>
  <r>
    <x v="3"/>
    <n v="2"/>
    <x v="3"/>
    <x v="260"/>
    <n v="0.18161904761904762"/>
    <n v="37.799999999999997"/>
    <n v="0.18"/>
    <n v="0.34000000000000341"/>
    <x v="2"/>
    <x v="1"/>
    <n v="0"/>
    <n v="37.799999999999997"/>
    <n v="0.18"/>
    <n v="-37.799999999999997"/>
    <s v="Ecart négatif"/>
    <n v="27.039999999999992"/>
  </r>
  <r>
    <x v="0"/>
    <n v="76"/>
    <x v="29"/>
    <x v="0"/>
    <n v="0"/>
    <n v="68"/>
    <n v="0.17"/>
    <n v="-68"/>
    <x v="0"/>
    <x v="148"/>
    <n v="0.17"/>
    <n v="68"/>
    <n v="0.17"/>
    <n v="0"/>
    <s v="Pas d'écart"/>
    <n v="35.579999999999984"/>
  </r>
  <r>
    <x v="4"/>
    <n v="56"/>
    <x v="7"/>
    <x v="261"/>
    <n v="0.18166666666666667"/>
    <n v="8.1000000000000014"/>
    <n v="0.27000000000000007"/>
    <n v="-2.6500000000000012"/>
    <x v="0"/>
    <x v="1"/>
    <n v="0"/>
    <n v="8.1000000000000014"/>
    <n v="0.27000000000000007"/>
    <n v="-8.1000000000000014"/>
    <s v="Ecart négatif"/>
    <n v="0"/>
  </r>
  <r>
    <x v="4"/>
    <n v="94"/>
    <x v="8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7"/>
    <n v="2"/>
    <x v="16"/>
    <x v="0"/>
    <n v="0"/>
    <n v="36"/>
    <n v="0.18"/>
    <n v="-36"/>
    <x v="0"/>
    <x v="1"/>
    <n v="0"/>
    <n v="36"/>
    <n v="0.18"/>
    <n v="-36"/>
    <s v="Ecart négatif"/>
    <n v="25.920000000000016"/>
  </r>
  <r>
    <x v="3"/>
    <n v="94"/>
    <x v="5"/>
    <x v="0"/>
    <n v="0"/>
    <n v="0"/>
    <n v="0"/>
    <n v="0"/>
    <x v="1"/>
    <x v="1"/>
    <n v="0"/>
    <n v="0"/>
    <n v="0"/>
    <n v="0"/>
    <s v="Pas d'écart"/>
    <n v="3.7100000000000009"/>
  </r>
  <r>
    <x v="4"/>
    <n v="49"/>
    <x v="7"/>
    <x v="261"/>
    <n v="0.18166666666666667"/>
    <n v="8.1000000000000014"/>
    <n v="0.27000000000000007"/>
    <n v="-2.6500000000000012"/>
    <x v="0"/>
    <x v="1"/>
    <n v="0"/>
    <n v="8.1000000000000014"/>
    <n v="0.27000000000000007"/>
    <n v="-8.1000000000000014"/>
    <s v="Ecart négatif"/>
    <n v="0"/>
  </r>
  <r>
    <x v="3"/>
    <n v="95"/>
    <x v="12"/>
    <x v="0"/>
    <n v="0"/>
    <n v="0"/>
    <n v="0"/>
    <n v="0"/>
    <x v="1"/>
    <x v="1"/>
    <n v="0"/>
    <n v="0"/>
    <n v="0"/>
    <n v="0"/>
    <s v="Pas d'écart"/>
    <n v="5.23"/>
  </r>
  <r>
    <x v="2"/>
    <n v="88"/>
    <x v="18"/>
    <x v="0"/>
    <n v="0"/>
    <n v="7.2"/>
    <n v="0.08"/>
    <n v="-7.2"/>
    <x v="0"/>
    <x v="1"/>
    <n v="0"/>
    <n v="7.2"/>
    <n v="0.08"/>
    <n v="-7.2"/>
    <s v="Ecart négatif"/>
    <n v="0"/>
  </r>
  <r>
    <x v="0"/>
    <n v="54"/>
    <x v="12"/>
    <x v="0"/>
    <n v="0"/>
    <n v="10"/>
    <n v="0.25"/>
    <n v="-10"/>
    <x v="0"/>
    <x v="149"/>
    <n v="0.23275000000000001"/>
    <n v="10"/>
    <n v="0.25"/>
    <n v="-0.6899999999999995"/>
    <s v="Ecart négatif"/>
    <n v="6.8599999999999994"/>
  </r>
  <r>
    <x v="3"/>
    <n v="60"/>
    <x v="18"/>
    <x v="262"/>
    <n v="0.18177777777777776"/>
    <n v="17.100000000000001"/>
    <n v="0.19"/>
    <n v="-0.74000000000000199"/>
    <x v="0"/>
    <x v="1"/>
    <n v="0"/>
    <n v="17.100000000000001"/>
    <n v="0.19"/>
    <n v="-17.100000000000001"/>
    <s v="Ecart négatif"/>
    <n v="15.04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8"/>
    <x v="10"/>
    <x v="263"/>
    <n v="0.18179999999999999"/>
    <n v="27"/>
    <n v="0.18"/>
    <n v="0.26999999999999957"/>
    <x v="2"/>
    <x v="1"/>
    <n v="0"/>
    <n v="27"/>
    <n v="0.18"/>
    <n v="-27"/>
    <s v="Ecart négatif"/>
    <n v="15.900000000000006"/>
  </r>
  <r>
    <x v="4"/>
    <n v="62"/>
    <x v="22"/>
    <x v="264"/>
    <n v="0.18190000000000001"/>
    <n v="19"/>
    <n v="0.19"/>
    <n v="-0.80999999999999872"/>
    <x v="0"/>
    <x v="1"/>
    <n v="0"/>
    <n v="19"/>
    <n v="0.19"/>
    <n v="-19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71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4.2699999999999996"/>
  </r>
  <r>
    <x v="3"/>
    <n v="73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5.18"/>
  </r>
  <r>
    <x v="3"/>
    <n v="69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3.7899999999999991"/>
  </r>
  <r>
    <x v="2"/>
    <n v="68"/>
    <x v="13"/>
    <x v="0"/>
    <n v="0"/>
    <n v="13.6"/>
    <n v="0.08"/>
    <n v="-13.6"/>
    <x v="0"/>
    <x v="150"/>
    <n v="7.7176470588235291E-2"/>
    <n v="13.6"/>
    <n v="0.08"/>
    <n v="-0.48000000000000043"/>
    <s v="Ecart négatif"/>
    <n v="0"/>
  </r>
  <r>
    <x v="0"/>
    <n v="68"/>
    <x v="12"/>
    <x v="0"/>
    <n v="0"/>
    <n v="3.2"/>
    <n v="0.08"/>
    <n v="-3.2"/>
    <x v="0"/>
    <x v="61"/>
    <n v="0.08"/>
    <n v="3.2"/>
    <n v="0.08"/>
    <n v="0"/>
    <s v="Pas d'écart"/>
    <n v="8.2899999999999991"/>
  </r>
  <r>
    <x v="2"/>
    <n v="94"/>
    <x v="22"/>
    <x v="0"/>
    <n v="0"/>
    <n v="0"/>
    <n v="0"/>
    <n v="0"/>
    <x v="1"/>
    <x v="1"/>
    <n v="0"/>
    <n v="0"/>
    <n v="0"/>
    <n v="0"/>
    <s v="Pas d'écart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71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4.2699999999999996"/>
  </r>
  <r>
    <x v="3"/>
    <n v="35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3.7100000000000009"/>
  </r>
  <r>
    <x v="0"/>
    <n v="37"/>
    <x v="14"/>
    <x v="0"/>
    <n v="0"/>
    <n v="15.6"/>
    <n v="0.12"/>
    <n v="-15.6"/>
    <x v="0"/>
    <x v="1"/>
    <n v="0"/>
    <n v="15.6"/>
    <n v="0.12"/>
    <n v="-15.6"/>
    <s v="Ecart négatif"/>
    <n v="12.519999999999996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2"/>
    <n v="44"/>
    <x v="20"/>
    <x v="0"/>
    <n v="0"/>
    <n v="0"/>
    <n v="0"/>
    <n v="0"/>
    <x v="1"/>
    <x v="1"/>
    <n v="0"/>
    <n v="0"/>
    <n v="0"/>
    <n v="0"/>
    <s v="Pas d'écart"/>
    <n v="131.1"/>
  </r>
  <r>
    <x v="4"/>
    <n v="76"/>
    <x v="0"/>
    <x v="266"/>
    <n v="0.17"/>
    <n v="30.6"/>
    <n v="0.17"/>
    <n v="0"/>
    <x v="1"/>
    <x v="1"/>
    <n v="0"/>
    <n v="30.6"/>
    <n v="0.17"/>
    <n v="-30.6"/>
    <s v="Ecart négatif"/>
    <n v="0"/>
  </r>
  <r>
    <x v="0"/>
    <n v="69"/>
    <x v="12"/>
    <x v="0"/>
    <n v="0"/>
    <n v="0"/>
    <n v="0"/>
    <n v="0"/>
    <x v="1"/>
    <x v="1"/>
    <n v="0"/>
    <n v="0"/>
    <n v="0"/>
    <n v="0"/>
    <s v="Pas d'écart"/>
    <n v="6.8599999999999994"/>
  </r>
  <r>
    <x v="0"/>
    <n v="68"/>
    <x v="18"/>
    <x v="0"/>
    <n v="0"/>
    <n v="7.2"/>
    <n v="0.08"/>
    <n v="-7.2"/>
    <x v="0"/>
    <x v="151"/>
    <n v="7.5111111111111115E-2"/>
    <n v="7.2"/>
    <n v="0.08"/>
    <n v="-0.44000000000000039"/>
    <s v="Ecart négatif"/>
    <n v="14.150000000000006"/>
  </r>
  <r>
    <x v="0"/>
    <n v="50"/>
    <x v="22"/>
    <x v="0"/>
    <n v="0"/>
    <n v="17"/>
    <n v="0.17"/>
    <n v="-17"/>
    <x v="0"/>
    <x v="152"/>
    <n v="0.1552"/>
    <n v="17"/>
    <n v="0.17"/>
    <n v="-1.4800000000000004"/>
    <s v="Ecart négatif"/>
    <n v="15.18"/>
  </r>
  <r>
    <x v="3"/>
    <n v="35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3.7100000000000009"/>
  </r>
  <r>
    <x v="4"/>
    <n v="79"/>
    <x v="27"/>
    <x v="267"/>
    <n v="0.182"/>
    <n v="10.5"/>
    <n v="0.21"/>
    <n v="-1.4000000000000004"/>
    <x v="0"/>
    <x v="1"/>
    <n v="0"/>
    <n v="10.5"/>
    <n v="0.21"/>
    <n v="-10.5"/>
    <s v="Ecart négatif"/>
    <n v="0"/>
  </r>
  <r>
    <x v="3"/>
    <n v="42"/>
    <x v="7"/>
    <x v="265"/>
    <n v="0.182"/>
    <n v="7.8000000000000007"/>
    <n v="0.26"/>
    <n v="-2.3400000000000007"/>
    <x v="0"/>
    <x v="1"/>
    <n v="0"/>
    <n v="7.8000000000000007"/>
    <n v="0.26"/>
    <n v="-7.8000000000000007"/>
    <s v="Ecart négatif"/>
    <n v="4.0500000000000007"/>
  </r>
  <r>
    <x v="3"/>
    <n v="26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4.5600000000000023"/>
  </r>
  <r>
    <x v="3"/>
    <n v="26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4.5600000000000023"/>
  </r>
  <r>
    <x v="3"/>
    <n v="71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4.2699999999999996"/>
  </r>
  <r>
    <x v="3"/>
    <n v="73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5.18"/>
  </r>
  <r>
    <x v="2"/>
    <n v="92"/>
    <x v="0"/>
    <x v="0"/>
    <n v="0"/>
    <n v="0"/>
    <n v="0"/>
    <n v="0"/>
    <x v="1"/>
    <x v="1"/>
    <n v="0"/>
    <n v="0"/>
    <n v="0"/>
    <n v="0"/>
    <s v="Pas d'écart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26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4.5600000000000023"/>
  </r>
  <r>
    <x v="4"/>
    <n v="35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0"/>
  </r>
  <r>
    <x v="3"/>
    <n v="42"/>
    <x v="7"/>
    <x v="265"/>
    <n v="0.182"/>
    <n v="7.8000000000000007"/>
    <n v="0.26"/>
    <n v="-2.3400000000000007"/>
    <x v="0"/>
    <x v="1"/>
    <n v="0"/>
    <n v="7.8000000000000007"/>
    <n v="0.26"/>
    <n v="-7.8000000000000007"/>
    <s v="Ecart négatif"/>
    <n v="4.0500000000000007"/>
  </r>
  <r>
    <x v="0"/>
    <n v="44"/>
    <x v="53"/>
    <x v="0"/>
    <n v="0"/>
    <n v="0"/>
    <n v="0"/>
    <n v="0"/>
    <x v="1"/>
    <x v="153"/>
    <n v="0.2695179856115108"/>
    <n v="0"/>
    <n v="0"/>
    <n v="374.63"/>
    <s v="Ecart positif"/>
    <e v="#N/A"/>
  </r>
  <r>
    <x v="2"/>
    <n v="94"/>
    <x v="18"/>
    <x v="0"/>
    <n v="0"/>
    <n v="0"/>
    <n v="0"/>
    <n v="0"/>
    <x v="1"/>
    <x v="1"/>
    <n v="0"/>
    <n v="0"/>
    <n v="0"/>
    <n v="0"/>
    <s v="Pas d'écart"/>
    <n v="0"/>
  </r>
  <r>
    <x v="2"/>
    <n v="75"/>
    <x v="54"/>
    <x v="0"/>
    <n v="0"/>
    <n v="0"/>
    <n v="0"/>
    <n v="0"/>
    <x v="1"/>
    <x v="1"/>
    <n v="0"/>
    <n v="0"/>
    <n v="0"/>
    <n v="0"/>
    <s v="Pas d'écart"/>
    <n v="0"/>
  </r>
  <r>
    <x v="0"/>
    <n v="49"/>
    <x v="12"/>
    <x v="0"/>
    <n v="0"/>
    <n v="0"/>
    <n v="0"/>
    <n v="0"/>
    <x v="1"/>
    <x v="1"/>
    <n v="0"/>
    <n v="0"/>
    <n v="0"/>
    <n v="0"/>
    <s v="Pas d'écart"/>
    <n v="8.2899999999999991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44"/>
    <x v="12"/>
    <x v="95"/>
    <n v="0.27"/>
    <n v="10.8"/>
    <n v="0.27"/>
    <n v="0"/>
    <x v="1"/>
    <x v="1"/>
    <n v="0"/>
    <n v="10.8"/>
    <n v="0.27"/>
    <n v="-10.8"/>
    <s v="Ecart négatif"/>
    <n v="6.8599999999999994"/>
  </r>
  <r>
    <x v="3"/>
    <n v="69"/>
    <x v="9"/>
    <x v="12"/>
    <n v="0.27"/>
    <n v="21.6"/>
    <n v="0.27"/>
    <n v="0"/>
    <x v="1"/>
    <x v="1"/>
    <n v="0"/>
    <n v="21.6"/>
    <n v="0.27"/>
    <n v="-21.6"/>
    <s v="Ecart négatif"/>
    <n v="9.4100000000000037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3"/>
    <x v="7"/>
    <x v="265"/>
    <n v="0.182"/>
    <n v="8.1000000000000014"/>
    <n v="0.27000000000000007"/>
    <n v="-2.6400000000000015"/>
    <x v="0"/>
    <x v="1"/>
    <n v="0"/>
    <n v="8.1000000000000014"/>
    <n v="0.27000000000000007"/>
    <n v="-8.1000000000000014"/>
    <s v="Ecart négatif"/>
    <n v="5.18"/>
  </r>
  <r>
    <x v="3"/>
    <n v="59"/>
    <x v="34"/>
    <x v="268"/>
    <n v="0.18204347826086956"/>
    <n v="43.7"/>
    <n v="0.19"/>
    <n v="-1.8300000000000054"/>
    <x v="0"/>
    <x v="1"/>
    <n v="0"/>
    <n v="43.7"/>
    <n v="0.19"/>
    <n v="-43.7"/>
    <s v="Ecart négatif"/>
    <n v="24.340000000000003"/>
  </r>
  <r>
    <x v="4"/>
    <n v="44"/>
    <x v="12"/>
    <x v="95"/>
    <n v="0.27"/>
    <n v="10.8"/>
    <n v="0.27"/>
    <n v="0"/>
    <x v="1"/>
    <x v="1"/>
    <n v="0"/>
    <n v="10.8"/>
    <n v="0.27"/>
    <n v="-10.8"/>
    <s v="Ecart négatif"/>
    <n v="0"/>
  </r>
  <r>
    <x v="4"/>
    <n v="62"/>
    <x v="27"/>
    <x v="269"/>
    <n v="0.1822"/>
    <n v="9.5"/>
    <n v="0.19"/>
    <n v="-0.39000000000000057"/>
    <x v="0"/>
    <x v="1"/>
    <n v="0"/>
    <n v="9.5"/>
    <n v="0.19"/>
    <n v="-9.5"/>
    <s v="Ecart négatif"/>
    <n v="0"/>
  </r>
  <r>
    <x v="3"/>
    <n v="62"/>
    <x v="27"/>
    <x v="269"/>
    <n v="0.1822"/>
    <n v="9.5"/>
    <n v="0.19"/>
    <n v="-0.39000000000000057"/>
    <x v="0"/>
    <x v="1"/>
    <n v="0"/>
    <n v="9.5"/>
    <n v="0.19"/>
    <n v="-9.5"/>
    <s v="Ecart négatif"/>
    <n v="8.8100000000000023"/>
  </r>
  <r>
    <x v="2"/>
    <n v="29"/>
    <x v="6"/>
    <x v="0"/>
    <n v="0"/>
    <n v="19.2"/>
    <n v="0.12"/>
    <n v="-19.2"/>
    <x v="0"/>
    <x v="1"/>
    <n v="0"/>
    <n v="19.2"/>
    <n v="0.12"/>
    <n v="-19.2"/>
    <s v="Ecart négatif"/>
    <n v="91.69"/>
  </r>
  <r>
    <x v="2"/>
    <n v="38"/>
    <x v="8"/>
    <x v="0"/>
    <n v="0"/>
    <n v="0"/>
    <n v="0"/>
    <n v="0"/>
    <x v="1"/>
    <x v="1"/>
    <n v="0"/>
    <n v="0"/>
    <n v="0"/>
    <n v="0"/>
    <s v="Pas d'écart"/>
    <n v="0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9.5499999999999972"/>
  </r>
  <r>
    <x v="4"/>
    <n v="62"/>
    <x v="27"/>
    <x v="269"/>
    <n v="0.1822"/>
    <n v="9.5"/>
    <n v="0.19"/>
    <n v="-0.39000000000000057"/>
    <x v="0"/>
    <x v="1"/>
    <n v="0"/>
    <n v="9.5"/>
    <n v="0.19"/>
    <n v="-9.5"/>
    <s v="Ecart négatif"/>
    <n v="0"/>
  </r>
  <r>
    <x v="4"/>
    <n v="80"/>
    <x v="6"/>
    <x v="270"/>
    <n v="0.18231250000000002"/>
    <n v="30.4"/>
    <n v="0.19"/>
    <n v="-1.2299999999999969"/>
    <x v="0"/>
    <x v="1"/>
    <n v="0"/>
    <n v="30.4"/>
    <n v="0.19"/>
    <n v="-30.4"/>
    <s v="Ecart négatif"/>
    <n v="0"/>
  </r>
  <r>
    <x v="4"/>
    <n v="59"/>
    <x v="6"/>
    <x v="270"/>
    <n v="0.18231250000000002"/>
    <n v="30.4"/>
    <n v="0.19"/>
    <n v="-1.2299999999999969"/>
    <x v="0"/>
    <x v="1"/>
    <n v="0"/>
    <n v="30.4"/>
    <n v="0.19"/>
    <n v="-30.4"/>
    <s v="Ecart négatif"/>
    <n v="0"/>
  </r>
  <r>
    <x v="3"/>
    <n v="62"/>
    <x v="14"/>
    <x v="230"/>
    <n v="0.1823846153846154"/>
    <n v="24.7"/>
    <n v="0.19"/>
    <n v="-0.98999999999999844"/>
    <x v="0"/>
    <x v="1"/>
    <n v="0"/>
    <n v="24.7"/>
    <n v="0.19"/>
    <n v="-24.7"/>
    <s v="Ecart négatif"/>
    <n v="14.579999999999998"/>
  </r>
  <r>
    <x v="4"/>
    <n v="45"/>
    <x v="27"/>
    <x v="271"/>
    <n v="0.18239999999999998"/>
    <n v="10.5"/>
    <n v="0.21"/>
    <n v="-1.3800000000000008"/>
    <x v="0"/>
    <x v="1"/>
    <n v="0"/>
    <n v="10.5"/>
    <n v="0.21"/>
    <n v="-10.5"/>
    <s v="Ecart négatif"/>
    <n v="0"/>
  </r>
  <r>
    <x v="3"/>
    <n v="2"/>
    <x v="8"/>
    <x v="106"/>
    <n v="0.18257142857142855"/>
    <n v="12.6"/>
    <n v="0.18"/>
    <n v="0.17999999999999972"/>
    <x v="2"/>
    <x v="1"/>
    <n v="0"/>
    <n v="12.6"/>
    <n v="0.18"/>
    <n v="-12.6"/>
    <s v="Ecart négatif"/>
    <n v="12.299999999999997"/>
  </r>
  <r>
    <x v="4"/>
    <n v="75"/>
    <x v="4"/>
    <x v="0"/>
    <n v="0"/>
    <n v="0"/>
    <n v="0"/>
    <n v="0"/>
    <x v="1"/>
    <x v="1"/>
    <n v="0"/>
    <n v="0"/>
    <n v="0"/>
    <n v="0"/>
    <s v="Pas d'écart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73"/>
    <x v="12"/>
    <x v="0"/>
    <n v="0"/>
    <n v="0"/>
    <n v="0"/>
    <n v="0"/>
    <x v="1"/>
    <x v="1"/>
    <n v="0"/>
    <n v="0"/>
    <n v="0"/>
    <n v="0"/>
    <s v="Pas d'écart"/>
    <n v="47.76"/>
  </r>
  <r>
    <x v="2"/>
    <n v="76"/>
    <x v="8"/>
    <x v="0"/>
    <n v="0"/>
    <n v="11.9"/>
    <n v="0.17"/>
    <n v="-11.9"/>
    <x v="0"/>
    <x v="17"/>
    <n v="0.17"/>
    <n v="11.9"/>
    <n v="0.17"/>
    <n v="0"/>
    <s v="Pas d'écart"/>
    <n v="0"/>
  </r>
  <r>
    <x v="0"/>
    <n v="77"/>
    <x v="7"/>
    <x v="0"/>
    <n v="0"/>
    <n v="0"/>
    <n v="0"/>
    <n v="0"/>
    <x v="1"/>
    <x v="1"/>
    <n v="0"/>
    <n v="0"/>
    <n v="0"/>
    <n v="0"/>
    <s v="Pas d'écart"/>
    <n v="3.0999999999999996"/>
  </r>
  <r>
    <x v="2"/>
    <n v="50"/>
    <x v="0"/>
    <x v="0"/>
    <n v="0"/>
    <n v="30.6"/>
    <n v="0.17"/>
    <n v="-30.6"/>
    <x v="0"/>
    <x v="0"/>
    <n v="0.17"/>
    <n v="30.6"/>
    <n v="0.17"/>
    <n v="0"/>
    <s v="Pas d'écart"/>
    <n v="116.04"/>
  </r>
  <r>
    <x v="0"/>
    <n v="50"/>
    <x v="0"/>
    <x v="0"/>
    <n v="0"/>
    <n v="30.6"/>
    <n v="0.17"/>
    <n v="-30.6"/>
    <x v="0"/>
    <x v="1"/>
    <n v="0"/>
    <n v="30.6"/>
    <n v="0.17"/>
    <n v="-30.6"/>
    <s v="Ecart négatif"/>
    <n v="116.04"/>
  </r>
  <r>
    <x v="2"/>
    <n v="14"/>
    <x v="19"/>
    <x v="0"/>
    <n v="0"/>
    <n v="32.300000000000004"/>
    <n v="0.17"/>
    <n v="-32.300000000000004"/>
    <x v="0"/>
    <x v="1"/>
    <n v="0"/>
    <n v="32.300000000000004"/>
    <n v="0.17"/>
    <n v="-32.300000000000004"/>
    <s v="Ecart négatif"/>
    <n v="118.48"/>
  </r>
  <r>
    <x v="2"/>
    <n v="27"/>
    <x v="6"/>
    <x v="0"/>
    <n v="0"/>
    <n v="27.200000000000003"/>
    <n v="0.17"/>
    <n v="-27.200000000000003"/>
    <x v="0"/>
    <x v="154"/>
    <n v="0.167125"/>
    <n v="27.200000000000003"/>
    <n v="0.17"/>
    <n v="-0.46000000000000441"/>
    <s v="Ecart négatif"/>
    <n v="85.09"/>
  </r>
  <r>
    <x v="0"/>
    <n v="38"/>
    <x v="4"/>
    <x v="0"/>
    <n v="0"/>
    <n v="0"/>
    <n v="0"/>
    <n v="0"/>
    <x v="1"/>
    <x v="1"/>
    <n v="0"/>
    <n v="0"/>
    <n v="0"/>
    <n v="0"/>
    <s v="Pas d'écart"/>
    <n v="71.81"/>
  </r>
  <r>
    <x v="3"/>
    <n v="2"/>
    <x v="8"/>
    <x v="106"/>
    <n v="0.18257142857142855"/>
    <n v="12.6"/>
    <n v="0.18"/>
    <n v="0.17999999999999972"/>
    <x v="2"/>
    <x v="1"/>
    <n v="0"/>
    <n v="12.6"/>
    <n v="0.18"/>
    <n v="-12.6"/>
    <s v="Ecart négatif"/>
    <n v="12.299999999999997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35"/>
    <x v="12"/>
    <x v="0"/>
    <n v="0"/>
    <n v="0"/>
    <n v="0"/>
    <n v="0"/>
    <x v="1"/>
    <x v="52"/>
    <n v="0.27"/>
    <n v="0"/>
    <n v="0"/>
    <n v="10.8"/>
    <s v="Ecart positif"/>
    <n v="8.2899999999999991"/>
  </r>
  <r>
    <x v="2"/>
    <n v="2"/>
    <x v="9"/>
    <x v="0"/>
    <n v="0"/>
    <n v="0"/>
    <n v="0"/>
    <n v="0"/>
    <x v="1"/>
    <x v="1"/>
    <n v="0"/>
    <n v="0"/>
    <n v="0"/>
    <n v="0"/>
    <s v="Pas d'écart"/>
    <n v="70.19"/>
  </r>
  <r>
    <x v="0"/>
    <n v="94"/>
    <x v="19"/>
    <x v="0"/>
    <n v="0"/>
    <n v="0"/>
    <n v="0"/>
    <n v="0"/>
    <x v="1"/>
    <x v="1"/>
    <n v="0"/>
    <n v="0"/>
    <n v="0"/>
    <n v="0"/>
    <s v="Pas d'écart"/>
    <n v="62.01"/>
  </r>
  <r>
    <x v="2"/>
    <n v="69"/>
    <x v="7"/>
    <x v="0"/>
    <n v="0"/>
    <n v="0"/>
    <n v="0"/>
    <n v="0"/>
    <x v="1"/>
    <x v="1"/>
    <n v="0"/>
    <n v="0"/>
    <n v="0"/>
    <n v="0"/>
    <s v="Pas d'écart"/>
    <n v="18.93"/>
  </r>
  <r>
    <x v="0"/>
    <n v="76"/>
    <x v="16"/>
    <x v="0"/>
    <n v="0"/>
    <n v="34"/>
    <n v="0.17"/>
    <n v="-34"/>
    <x v="0"/>
    <x v="155"/>
    <n v="0.16914999999999999"/>
    <n v="34"/>
    <n v="0.17"/>
    <n v="-0.17000000000000171"/>
    <s v="Ecart négatif"/>
    <n v="21.53"/>
  </r>
  <r>
    <x v="2"/>
    <n v="69"/>
    <x v="2"/>
    <x v="0"/>
    <n v="0"/>
    <n v="0"/>
    <n v="0"/>
    <n v="0"/>
    <x v="1"/>
    <x v="1"/>
    <n v="0"/>
    <n v="0"/>
    <n v="0"/>
    <n v="0"/>
    <s v="Pas d'écart"/>
    <n v="0"/>
  </r>
  <r>
    <x v="0"/>
    <n v="38"/>
    <x v="3"/>
    <x v="0"/>
    <n v="0"/>
    <n v="0"/>
    <n v="0"/>
    <n v="0"/>
    <x v="1"/>
    <x v="1"/>
    <n v="0"/>
    <n v="0"/>
    <n v="0"/>
    <n v="0"/>
    <s v="Pas d'écart"/>
    <n v="135.19999999999999"/>
  </r>
  <r>
    <x v="3"/>
    <n v="2"/>
    <x v="8"/>
    <x v="106"/>
    <n v="0.18257142857142855"/>
    <n v="12.6"/>
    <n v="0.18"/>
    <n v="0.17999999999999972"/>
    <x v="2"/>
    <x v="1"/>
    <n v="0"/>
    <n v="12.6"/>
    <n v="0.18"/>
    <n v="-12.6"/>
    <s v="Ecart négatif"/>
    <n v="12.299999999999997"/>
  </r>
  <r>
    <x v="3"/>
    <n v="2"/>
    <x v="8"/>
    <x v="106"/>
    <n v="0.18257142857142855"/>
    <n v="12.6"/>
    <n v="0.18"/>
    <n v="0.17999999999999972"/>
    <x v="2"/>
    <x v="1"/>
    <n v="0"/>
    <n v="12.6"/>
    <n v="0.18"/>
    <n v="-12.6"/>
    <s v="Ecart négatif"/>
    <n v="12.299999999999997"/>
  </r>
  <r>
    <x v="0"/>
    <n v="84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07.35"/>
  </r>
  <r>
    <x v="2"/>
    <n v="6"/>
    <x v="2"/>
    <x v="0"/>
    <n v="0"/>
    <n v="29.4"/>
    <n v="0.21"/>
    <n v="-29.4"/>
    <x v="0"/>
    <x v="1"/>
    <n v="0"/>
    <n v="29.4"/>
    <n v="0.21"/>
    <n v="-29.4"/>
    <s v="Ecart négatif"/>
    <n v="0"/>
  </r>
  <r>
    <x v="4"/>
    <n v="62"/>
    <x v="22"/>
    <x v="272"/>
    <n v="0.18260000000000001"/>
    <n v="19"/>
    <n v="0.19"/>
    <n v="-0.73999999999999844"/>
    <x v="0"/>
    <x v="1"/>
    <n v="0"/>
    <n v="19"/>
    <n v="0.19"/>
    <n v="-19"/>
    <s v="Ecart négatif"/>
    <n v="0"/>
  </r>
  <r>
    <x v="2"/>
    <n v="59"/>
    <x v="27"/>
    <x v="0"/>
    <n v="0"/>
    <n v="0"/>
    <n v="0"/>
    <n v="0"/>
    <x v="1"/>
    <x v="1"/>
    <n v="0"/>
    <n v="0"/>
    <n v="0"/>
    <n v="0"/>
    <s v="Pas d'écart"/>
    <n v="40.19"/>
  </r>
  <r>
    <x v="2"/>
    <n v="83"/>
    <x v="2"/>
    <x v="0"/>
    <n v="0"/>
    <n v="29.4"/>
    <n v="0.21"/>
    <n v="-29.4"/>
    <x v="0"/>
    <x v="98"/>
    <n v="0.21"/>
    <n v="29.4"/>
    <n v="0.21"/>
    <n v="0"/>
    <s v="Pas d'écart"/>
    <n v="73.41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69"/>
    <x v="12"/>
    <x v="0"/>
    <n v="0"/>
    <n v="0"/>
    <n v="0"/>
    <n v="0"/>
    <x v="1"/>
    <x v="1"/>
    <n v="0"/>
    <n v="0"/>
    <n v="0"/>
    <n v="0"/>
    <s v="Pas d'écart"/>
    <n v="6.8599999999999994"/>
  </r>
  <r>
    <x v="0"/>
    <n v="54"/>
    <x v="6"/>
    <x v="0"/>
    <n v="0"/>
    <n v="40"/>
    <n v="0.25"/>
    <n v="-40"/>
    <x v="0"/>
    <x v="156"/>
    <n v="0.23593749999999999"/>
    <n v="40"/>
    <n v="0.25"/>
    <n v="-2.25"/>
    <s v="Ecart négatif"/>
    <n v="15.310000000000002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85"/>
    <x v="4"/>
    <x v="0"/>
    <n v="0"/>
    <n v="0"/>
    <n v="0"/>
    <n v="0"/>
    <x v="1"/>
    <x v="1"/>
    <n v="0"/>
    <n v="0"/>
    <n v="0"/>
    <n v="0"/>
    <s v="Pas d'écart"/>
    <n v="0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0"/>
    <n v="77"/>
    <x v="27"/>
    <x v="0"/>
    <n v="0"/>
    <n v="0"/>
    <n v="0"/>
    <n v="0"/>
    <x v="1"/>
    <x v="1"/>
    <n v="0"/>
    <n v="0"/>
    <n v="0"/>
    <n v="0"/>
    <s v="Pas d'écart"/>
    <n v="6.5100000000000016"/>
  </r>
  <r>
    <x v="0"/>
    <n v="60"/>
    <x v="55"/>
    <x v="0"/>
    <n v="0"/>
    <n v="0"/>
    <n v="0"/>
    <n v="0"/>
    <x v="1"/>
    <x v="1"/>
    <n v="0"/>
    <n v="0"/>
    <n v="0"/>
    <n v="0"/>
    <s v="Pas d'écart"/>
    <n v="177.39"/>
  </r>
  <r>
    <x v="2"/>
    <n v="27"/>
    <x v="13"/>
    <x v="0"/>
    <n v="0"/>
    <n v="28.900000000000002"/>
    <n v="0.17"/>
    <n v="-28.900000000000002"/>
    <x v="0"/>
    <x v="157"/>
    <n v="0.16694117647058823"/>
    <n v="28.900000000000002"/>
    <n v="0.17"/>
    <n v="-0.52000000000000313"/>
    <s v="Ecart négatif"/>
    <n v="0"/>
  </r>
  <r>
    <x v="0"/>
    <n v="93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59"/>
    <x v="0"/>
    <x v="273"/>
    <n v="0.18261111111111109"/>
    <n v="34.200000000000003"/>
    <n v="0.19"/>
    <n v="-1.3300000000000054"/>
    <x v="0"/>
    <x v="1"/>
    <n v="0"/>
    <n v="34.200000000000003"/>
    <n v="0.19"/>
    <n v="-34.200000000000003"/>
    <s v="Ecart négatif"/>
    <n v="0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6"/>
    <n v="34"/>
    <x v="16"/>
    <x v="0"/>
    <n v="0"/>
    <n v="78"/>
    <n v="0.39"/>
    <n v="-78"/>
    <x v="0"/>
    <x v="158"/>
    <n v="0.26734999999999998"/>
    <n v="78"/>
    <n v="0.39"/>
    <n v="-24.53"/>
    <s v="Ecart négatif"/>
    <n v="140.4"/>
  </r>
  <r>
    <x v="5"/>
    <n v="54"/>
    <x v="6"/>
    <x v="0"/>
    <n v="0"/>
    <n v="40"/>
    <n v="0.25"/>
    <n v="-40"/>
    <x v="0"/>
    <x v="159"/>
    <n v="0.22650000000000001"/>
    <n v="40"/>
    <n v="0.25"/>
    <n v="-3.759999999999998"/>
    <s v="Ecart négatif"/>
    <n v="15.310000000000002"/>
  </r>
  <r>
    <x v="0"/>
    <n v="1"/>
    <x v="12"/>
    <x v="0"/>
    <n v="0"/>
    <n v="0"/>
    <n v="0"/>
    <n v="0"/>
    <x v="1"/>
    <x v="1"/>
    <n v="0"/>
    <n v="0"/>
    <n v="0"/>
    <n v="0"/>
    <s v="Pas d'écart"/>
    <n v="41.47"/>
  </r>
  <r>
    <x v="2"/>
    <n v="92"/>
    <x v="7"/>
    <x v="0"/>
    <n v="0"/>
    <n v="0"/>
    <n v="0"/>
    <n v="0"/>
    <x v="1"/>
    <x v="1"/>
    <n v="0"/>
    <n v="0"/>
    <n v="0"/>
    <n v="0"/>
    <s v="Pas d'écart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4"/>
    <n v="59"/>
    <x v="18"/>
    <x v="274"/>
    <n v="0.18266666666666667"/>
    <n v="17.100000000000001"/>
    <n v="0.19"/>
    <n v="-0.66000000000000014"/>
    <x v="0"/>
    <x v="1"/>
    <n v="0"/>
    <n v="17.100000000000001"/>
    <n v="0.19"/>
    <n v="-17.100000000000001"/>
    <s v="Ecart négatif"/>
    <n v="0"/>
  </r>
  <r>
    <x v="2"/>
    <n v="25"/>
    <x v="2"/>
    <x v="0"/>
    <n v="0"/>
    <n v="16.8"/>
    <n v="0.12000000000000001"/>
    <n v="-16.8"/>
    <x v="0"/>
    <x v="160"/>
    <n v="0.11442857142857142"/>
    <n v="16.8"/>
    <n v="0.12000000000000001"/>
    <n v="-0.78000000000000114"/>
    <s v="Ecart négatif"/>
    <n v="0"/>
  </r>
  <r>
    <x v="0"/>
    <n v="25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116.04"/>
  </r>
  <r>
    <x v="2"/>
    <n v="49"/>
    <x v="6"/>
    <x v="0"/>
    <n v="0"/>
    <n v="0"/>
    <n v="0"/>
    <n v="0"/>
    <x v="1"/>
    <x v="1"/>
    <n v="0"/>
    <n v="0"/>
    <n v="0"/>
    <n v="0"/>
    <s v="Pas d'écart"/>
    <n v="0"/>
  </r>
  <r>
    <x v="2"/>
    <n v="74"/>
    <x v="24"/>
    <x v="0"/>
    <n v="0"/>
    <n v="0"/>
    <n v="0"/>
    <n v="0"/>
    <x v="1"/>
    <x v="1"/>
    <n v="0"/>
    <n v="0"/>
    <n v="0"/>
    <n v="0"/>
    <s v="Pas d'écart"/>
    <n v="206.29"/>
  </r>
  <r>
    <x v="0"/>
    <n v="75"/>
    <x v="16"/>
    <x v="0"/>
    <n v="0"/>
    <n v="0"/>
    <n v="0"/>
    <n v="0"/>
    <x v="1"/>
    <x v="1"/>
    <n v="0"/>
    <n v="0"/>
    <n v="0"/>
    <n v="0"/>
    <s v="Pas d'écart"/>
    <n v="12.75"/>
  </r>
  <r>
    <x v="2"/>
    <n v="94"/>
    <x v="34"/>
    <x v="0"/>
    <n v="0"/>
    <n v="0"/>
    <n v="0"/>
    <n v="0"/>
    <x v="1"/>
    <x v="1"/>
    <n v="0"/>
    <n v="0"/>
    <n v="0"/>
    <n v="0"/>
    <s v="Pas d'écart"/>
    <n v="69.47"/>
  </r>
  <r>
    <x v="4"/>
    <n v="95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42"/>
    <x v="7"/>
    <x v="0"/>
    <n v="0"/>
    <n v="0"/>
    <n v="0"/>
    <n v="0"/>
    <x v="1"/>
    <x v="1"/>
    <n v="0"/>
    <n v="0"/>
    <n v="0"/>
    <n v="0"/>
    <s v="Pas d'écart"/>
    <n v="20.23"/>
  </r>
  <r>
    <x v="0"/>
    <n v="42"/>
    <x v="34"/>
    <x v="0"/>
    <n v="0"/>
    <n v="0"/>
    <n v="0"/>
    <n v="0"/>
    <x v="1"/>
    <x v="1"/>
    <n v="0"/>
    <n v="0"/>
    <n v="0"/>
    <n v="0"/>
    <s v="Pas d'écart"/>
    <n v="29.27000000000001"/>
  </r>
  <r>
    <x v="2"/>
    <n v="59"/>
    <x v="12"/>
    <x v="0"/>
    <n v="0"/>
    <n v="0"/>
    <n v="0"/>
    <n v="0"/>
    <x v="1"/>
    <x v="1"/>
    <n v="0"/>
    <n v="0"/>
    <n v="0"/>
    <n v="0"/>
    <s v="Pas d'écart"/>
    <n v="34.2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4"/>
    <n v="80"/>
    <x v="14"/>
    <x v="275"/>
    <n v="0.18269230769230768"/>
    <n v="24.7"/>
    <n v="0.19"/>
    <n v="-0.94999999999999929"/>
    <x v="0"/>
    <x v="1"/>
    <n v="0"/>
    <n v="24.7"/>
    <n v="0.19"/>
    <n v="-24.7"/>
    <s v="Ecart négatif"/>
    <n v="0"/>
  </r>
  <r>
    <x v="0"/>
    <n v="1"/>
    <x v="25"/>
    <x v="0"/>
    <n v="0"/>
    <n v="0"/>
    <n v="0"/>
    <n v="0"/>
    <x v="1"/>
    <x v="1"/>
    <n v="0"/>
    <n v="0"/>
    <n v="0"/>
    <n v="0"/>
    <s v="Pas d'écart"/>
    <n v="28.159999999999997"/>
  </r>
  <r>
    <x v="0"/>
    <n v="76"/>
    <x v="3"/>
    <x v="0"/>
    <n v="0"/>
    <n v="35.700000000000003"/>
    <n v="0.17"/>
    <n v="-35.700000000000003"/>
    <x v="0"/>
    <x v="161"/>
    <n v="0.16514285714285715"/>
    <n v="35.700000000000003"/>
    <n v="0.17"/>
    <n v="-1.0200000000000031"/>
    <s v="Ecart négatif"/>
    <n v="112.34"/>
  </r>
  <r>
    <x v="0"/>
    <n v="76"/>
    <x v="3"/>
    <x v="0"/>
    <n v="0"/>
    <n v="35.700000000000003"/>
    <n v="0.17"/>
    <n v="-35.700000000000003"/>
    <x v="0"/>
    <x v="161"/>
    <n v="0.16514285714285715"/>
    <n v="35.700000000000003"/>
    <n v="0.17"/>
    <n v="-1.0200000000000031"/>
    <s v="Ecart négatif"/>
    <n v="112.34"/>
  </r>
  <r>
    <x v="0"/>
    <n v="14"/>
    <x v="2"/>
    <x v="0"/>
    <n v="0"/>
    <n v="23.8"/>
    <n v="0.17"/>
    <n v="-23.8"/>
    <x v="0"/>
    <x v="40"/>
    <n v="0.17"/>
    <n v="23.8"/>
    <n v="0.17"/>
    <n v="0"/>
    <s v="Pas d'écart"/>
    <n v="73.41"/>
  </r>
  <r>
    <x v="4"/>
    <n v="8"/>
    <x v="10"/>
    <x v="276"/>
    <n v="0.18273333333333333"/>
    <n v="27"/>
    <n v="0.18"/>
    <n v="0.41000000000000014"/>
    <x v="2"/>
    <x v="1"/>
    <n v="0"/>
    <n v="27"/>
    <n v="0.18"/>
    <n v="-27"/>
    <s v="Ecart négatif"/>
    <n v="0"/>
  </r>
  <r>
    <x v="2"/>
    <n v="62"/>
    <x v="11"/>
    <x v="0"/>
    <n v="0"/>
    <n v="0"/>
    <n v="0"/>
    <n v="0"/>
    <x v="1"/>
    <x v="1"/>
    <n v="0"/>
    <n v="0"/>
    <n v="0"/>
    <n v="0"/>
    <s v="Pas d'écart"/>
    <n v="0"/>
  </r>
  <r>
    <x v="0"/>
    <n v="62"/>
    <x v="15"/>
    <x v="0"/>
    <n v="0"/>
    <n v="0"/>
    <n v="0"/>
    <n v="0"/>
    <x v="1"/>
    <x v="1"/>
    <n v="0"/>
    <n v="0"/>
    <n v="0"/>
    <n v="0"/>
    <s v="Pas d'écart"/>
    <n v="3.3900000000000006"/>
  </r>
  <r>
    <x v="3"/>
    <n v="62"/>
    <x v="18"/>
    <x v="277"/>
    <n v="0.18277777777777776"/>
    <n v="17.100000000000001"/>
    <n v="0.19"/>
    <n v="-0.65000000000000213"/>
    <x v="0"/>
    <x v="1"/>
    <n v="0"/>
    <n v="17.100000000000001"/>
    <n v="0.19"/>
    <n v="-17.100000000000001"/>
    <s v="Ecart négatif"/>
    <n v="14.150000000000006"/>
  </r>
  <r>
    <x v="0"/>
    <n v="30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73.41"/>
  </r>
  <r>
    <x v="2"/>
    <n v="45"/>
    <x v="19"/>
    <x v="0"/>
    <n v="0"/>
    <n v="22.8"/>
    <n v="0.12000000000000001"/>
    <n v="-22.8"/>
    <x v="0"/>
    <x v="162"/>
    <n v="0.11931578947368422"/>
    <n v="22.8"/>
    <n v="0.12000000000000001"/>
    <n v="-0.12999999999999901"/>
    <s v="Ecart négatif"/>
    <n v="0"/>
  </r>
  <r>
    <x v="3"/>
    <n v="8"/>
    <x v="0"/>
    <x v="158"/>
    <n v="0.18283333333333332"/>
    <n v="32.4"/>
    <n v="0.18"/>
    <n v="0.50999999999999801"/>
    <x v="2"/>
    <x v="1"/>
    <n v="0"/>
    <n v="32.4"/>
    <n v="0.18"/>
    <n v="-32.4"/>
    <s v="Ecart négatif"/>
    <n v="23.210000000000008"/>
  </r>
  <r>
    <x v="3"/>
    <n v="59"/>
    <x v="16"/>
    <x v="278"/>
    <n v="0.18295000000000003"/>
    <n v="38"/>
    <n v="0.19"/>
    <n v="-1.4099999999999966"/>
    <x v="0"/>
    <x v="1"/>
    <n v="0"/>
    <n v="38"/>
    <n v="0.19"/>
    <n v="-38"/>
    <s v="Ecart négatif"/>
    <n v="21.53"/>
  </r>
  <r>
    <x v="3"/>
    <n v="62"/>
    <x v="25"/>
    <x v="279"/>
    <n v="0.18304545454545457"/>
    <n v="41.8"/>
    <n v="0.18999999999999997"/>
    <n v="-1.529999999999994"/>
    <x v="0"/>
    <x v="1"/>
    <n v="0"/>
    <n v="41.8"/>
    <n v="0.18999999999999997"/>
    <n v="-41.8"/>
    <s v="Ecart négatif"/>
    <n v="28.159999999999997"/>
  </r>
  <r>
    <x v="0"/>
    <n v="14"/>
    <x v="22"/>
    <x v="0"/>
    <n v="0"/>
    <n v="17"/>
    <n v="0.17"/>
    <n v="-17"/>
    <x v="0"/>
    <x v="163"/>
    <n v="0.15640000000000001"/>
    <n v="17"/>
    <n v="0.17"/>
    <n v="-1.3599999999999994"/>
    <s v="Ecart négatif"/>
    <n v="14.249999999999993"/>
  </r>
  <r>
    <x v="2"/>
    <n v="74"/>
    <x v="20"/>
    <x v="0"/>
    <n v="0"/>
    <n v="0"/>
    <n v="0"/>
    <n v="0"/>
    <x v="1"/>
    <x v="1"/>
    <n v="0"/>
    <n v="0"/>
    <n v="0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69"/>
    <x v="34"/>
    <x v="0"/>
    <n v="0"/>
    <n v="0"/>
    <n v="0"/>
    <n v="0"/>
    <x v="1"/>
    <x v="1"/>
    <n v="0"/>
    <n v="0"/>
    <n v="0"/>
    <n v="0"/>
    <s v="Pas d'écart"/>
    <n v="121.72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3"/>
    <n v="59"/>
    <x v="25"/>
    <x v="279"/>
    <n v="0.18304545454545457"/>
    <n v="41.8"/>
    <n v="0.18999999999999997"/>
    <n v="-1.529999999999994"/>
    <x v="0"/>
    <x v="1"/>
    <n v="0"/>
    <n v="41.8"/>
    <n v="0.18999999999999997"/>
    <n v="-41.8"/>
    <s v="Ecart négatif"/>
    <n v="23.409999999999997"/>
  </r>
  <r>
    <x v="0"/>
    <n v="75"/>
    <x v="20"/>
    <x v="0"/>
    <n v="0"/>
    <n v="0"/>
    <n v="0"/>
    <n v="0"/>
    <x v="1"/>
    <x v="1"/>
    <n v="0"/>
    <n v="0"/>
    <n v="0"/>
    <n v="0"/>
    <s v="Pas d'écart"/>
    <n v="14.660000000000004"/>
  </r>
  <r>
    <x v="3"/>
    <n v="62"/>
    <x v="25"/>
    <x v="279"/>
    <n v="0.18304545454545457"/>
    <n v="41.8"/>
    <n v="0.18999999999999997"/>
    <n v="-1.529999999999994"/>
    <x v="0"/>
    <x v="1"/>
    <n v="0"/>
    <n v="41.8"/>
    <n v="0.18999999999999997"/>
    <n v="-41.8"/>
    <s v="Ecart négatif"/>
    <n v="28.159999999999997"/>
  </r>
  <r>
    <x v="4"/>
    <n v="62"/>
    <x v="14"/>
    <x v="280"/>
    <n v="0.18361538461538462"/>
    <n v="24.7"/>
    <n v="0.19"/>
    <n v="-0.82999999999999829"/>
    <x v="0"/>
    <x v="1"/>
    <n v="0"/>
    <n v="24.7"/>
    <n v="0.19"/>
    <n v="-24.7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52"/>
    <x v="0"/>
    <n v="0"/>
    <n v="0"/>
    <n v="0"/>
    <n v="0"/>
    <x v="1"/>
    <x v="1"/>
    <n v="0"/>
    <n v="0"/>
    <n v="0"/>
    <n v="0"/>
    <s v="Pas d'écart"/>
    <e v="#N/A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4"/>
    <n v="59"/>
    <x v="19"/>
    <x v="281"/>
    <n v="0.184"/>
    <n v="36.1"/>
    <n v="0.19"/>
    <n v="-1.1400000000000006"/>
    <x v="0"/>
    <x v="1"/>
    <n v="0"/>
    <n v="36.1"/>
    <n v="0.19"/>
    <n v="-36.1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34"/>
    <x v="0"/>
    <n v="0"/>
    <n v="0"/>
    <n v="0"/>
    <n v="0"/>
    <x v="1"/>
    <x v="1"/>
    <n v="0"/>
    <n v="0"/>
    <n v="0"/>
    <n v="0"/>
    <s v="Pas d'écart"/>
    <n v="69.4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60"/>
    <x v="12"/>
    <x v="282"/>
    <n v="0.184"/>
    <n v="7.6"/>
    <n v="0.19"/>
    <n v="-0.23999999999999932"/>
    <x v="0"/>
    <x v="1"/>
    <n v="0"/>
    <n v="7.6"/>
    <n v="0.19"/>
    <n v="-7.6"/>
    <s v="Ecart négatif"/>
    <n v="0"/>
  </r>
  <r>
    <x v="0"/>
    <n v="11"/>
    <x v="12"/>
    <x v="0"/>
    <n v="0"/>
    <n v="11.200000000000001"/>
    <n v="0.28000000000000003"/>
    <n v="-11.200000000000001"/>
    <x v="0"/>
    <x v="147"/>
    <n v="0.24500000000000002"/>
    <n v="11.200000000000001"/>
    <n v="0.28000000000000003"/>
    <n v="-1.4000000000000004"/>
    <s v="Ecart négatif"/>
    <n v="8.2899999999999991"/>
  </r>
  <r>
    <x v="4"/>
    <n v="81"/>
    <x v="5"/>
    <x v="283"/>
    <n v="0.184"/>
    <n v="2.2000000000000002"/>
    <n v="0.22000000000000003"/>
    <n v="-0.3600000000000001"/>
    <x v="0"/>
    <x v="1"/>
    <n v="0"/>
    <n v="2.2000000000000002"/>
    <n v="0.22000000000000003"/>
    <n v="-2.2000000000000002"/>
    <s v="Ecart négatif"/>
    <n v="0"/>
  </r>
  <r>
    <x v="3"/>
    <n v="59"/>
    <x v="16"/>
    <x v="284"/>
    <n v="0.18414999999999998"/>
    <n v="38"/>
    <n v="0.19"/>
    <n v="-1.1700000000000017"/>
    <x v="0"/>
    <x v="1"/>
    <n v="0"/>
    <n v="38"/>
    <n v="0.19"/>
    <n v="-38"/>
    <s v="Ecart négatif"/>
    <n v="21.53"/>
  </r>
  <r>
    <x v="2"/>
    <n v="59"/>
    <x v="20"/>
    <x v="0"/>
    <n v="0"/>
    <n v="0"/>
    <n v="0"/>
    <n v="0"/>
    <x v="1"/>
    <x v="1"/>
    <n v="0"/>
    <n v="0"/>
    <n v="0"/>
    <n v="0"/>
    <s v="Pas d'écart"/>
    <n v="0"/>
  </r>
  <r>
    <x v="3"/>
    <n v="62"/>
    <x v="12"/>
    <x v="56"/>
    <n v="0.1845"/>
    <n v="7.6"/>
    <n v="0.19"/>
    <n v="-0.21999999999999975"/>
    <x v="0"/>
    <x v="1"/>
    <n v="0"/>
    <n v="7.6"/>
    <n v="0.19"/>
    <n v="-7.6"/>
    <s v="Ecart négatif"/>
    <n v="8.2899999999999991"/>
  </r>
  <r>
    <x v="0"/>
    <n v="44"/>
    <x v="7"/>
    <x v="0"/>
    <n v="0"/>
    <n v="0"/>
    <n v="0"/>
    <n v="0"/>
    <x v="1"/>
    <x v="1"/>
    <n v="0"/>
    <n v="0"/>
    <n v="0"/>
    <n v="0"/>
    <s v="Pas d'écart"/>
    <n v="3.7699999999999996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60"/>
    <x v="10"/>
    <x v="285"/>
    <n v="0.18453333333333333"/>
    <n v="28.5"/>
    <n v="0.19"/>
    <n v="-0.82000000000000028"/>
    <x v="0"/>
    <x v="1"/>
    <n v="0"/>
    <n v="28.5"/>
    <n v="0.19"/>
    <n v="-28.5"/>
    <s v="Ecart négatif"/>
    <n v="15.900000000000006"/>
  </r>
  <r>
    <x v="4"/>
    <n v="60"/>
    <x v="12"/>
    <x v="6"/>
    <n v="0.19"/>
    <n v="7.6"/>
    <n v="0.19"/>
    <n v="0"/>
    <x v="1"/>
    <x v="1"/>
    <n v="0"/>
    <n v="7.6"/>
    <n v="0.19"/>
    <n v="-7.6"/>
    <s v="Ecart négatif"/>
    <n v="0"/>
  </r>
  <r>
    <x v="3"/>
    <n v="60"/>
    <x v="10"/>
    <x v="285"/>
    <n v="0.18453333333333333"/>
    <n v="28.5"/>
    <n v="0.19"/>
    <n v="-0.82000000000000028"/>
    <x v="0"/>
    <x v="1"/>
    <n v="0"/>
    <n v="28.5"/>
    <n v="0.19"/>
    <n v="-28.5"/>
    <s v="Ecart négatif"/>
    <n v="15.900000000000006"/>
  </r>
  <r>
    <x v="4"/>
    <n v="49"/>
    <x v="15"/>
    <x v="286"/>
    <n v="0.27"/>
    <n v="5.4"/>
    <n v="0.27"/>
    <n v="0"/>
    <x v="1"/>
    <x v="1"/>
    <n v="0"/>
    <n v="5.4"/>
    <n v="0.27"/>
    <n v="-5.4"/>
    <s v="Ecart négatif"/>
    <n v="0"/>
  </r>
  <r>
    <x v="0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60"/>
    <x v="0"/>
    <x v="287"/>
    <n v="0.18455555555555556"/>
    <n v="34.200000000000003"/>
    <n v="0.19"/>
    <n v="-0.98000000000000398"/>
    <x v="0"/>
    <x v="1"/>
    <n v="0"/>
    <n v="34.200000000000003"/>
    <n v="0.19"/>
    <n v="-34.200000000000003"/>
    <s v="Ecart négatif"/>
    <n v="23.210000000000008"/>
  </r>
  <r>
    <x v="4"/>
    <n v="94"/>
    <x v="2"/>
    <x v="0"/>
    <n v="0"/>
    <n v="0"/>
    <n v="0"/>
    <n v="0"/>
    <x v="1"/>
    <x v="1"/>
    <n v="0"/>
    <n v="0"/>
    <n v="0"/>
    <n v="0"/>
    <s v="Pas d'écart"/>
    <n v="0"/>
  </r>
  <r>
    <x v="4"/>
    <n v="69"/>
    <x v="7"/>
    <x v="288"/>
    <n v="0.18466666666666667"/>
    <n v="8.1000000000000014"/>
    <n v="0.27000000000000007"/>
    <n v="-2.5600000000000014"/>
    <x v="0"/>
    <x v="1"/>
    <n v="0"/>
    <n v="8.1000000000000014"/>
    <n v="0.27000000000000007"/>
    <n v="-8.1000000000000014"/>
    <s v="Ecart négatif"/>
    <n v="0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3"/>
    <n v="60"/>
    <x v="11"/>
    <x v="289"/>
    <n v="0.18483333333333332"/>
    <n v="11.4"/>
    <n v="0.19"/>
    <n v="-0.3100000000000005"/>
    <x v="0"/>
    <x v="1"/>
    <n v="0"/>
    <n v="11.4"/>
    <n v="0.19"/>
    <n v="-11.4"/>
    <s v="Ecart négatif"/>
    <n v="11.649999999999999"/>
  </r>
  <r>
    <x v="4"/>
    <n v="80"/>
    <x v="19"/>
    <x v="290"/>
    <n v="0.18489473684210528"/>
    <n v="36.1"/>
    <n v="0.19"/>
    <n v="-0.96999999999999886"/>
    <x v="0"/>
    <x v="1"/>
    <n v="0"/>
    <n v="36.1"/>
    <n v="0.19"/>
    <n v="-36.1"/>
    <s v="Ecart négatif"/>
    <n v="0"/>
  </r>
  <r>
    <x v="4"/>
    <n v="62"/>
    <x v="19"/>
    <x v="291"/>
    <n v="0.18494736842105264"/>
    <n v="36.1"/>
    <n v="0.19"/>
    <n v="-0.96000000000000085"/>
    <x v="0"/>
    <x v="1"/>
    <n v="0"/>
    <n v="36.1"/>
    <n v="0.19"/>
    <n v="-36.1"/>
    <s v="Ecart négatif"/>
    <n v="0"/>
  </r>
  <r>
    <x v="3"/>
    <n v="59"/>
    <x v="0"/>
    <x v="292"/>
    <n v="0.18511111111111112"/>
    <n v="34.200000000000003"/>
    <n v="0.19"/>
    <n v="-0.88000000000000256"/>
    <x v="0"/>
    <x v="1"/>
    <n v="0"/>
    <n v="34.200000000000003"/>
    <n v="0.19"/>
    <n v="-34.200000000000003"/>
    <s v="Ecart négatif"/>
    <n v="18.41999999999998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50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44"/>
    <x v="20"/>
    <x v="0"/>
    <n v="0"/>
    <n v="0"/>
    <n v="0"/>
    <n v="0"/>
    <x v="1"/>
    <x v="1"/>
    <n v="0"/>
    <n v="0"/>
    <n v="0"/>
    <n v="0"/>
    <s v="Pas d'écart"/>
    <n v="26.22"/>
  </r>
  <r>
    <x v="0"/>
    <n v="59"/>
    <x v="20"/>
    <x v="0"/>
    <n v="0"/>
    <n v="0"/>
    <n v="0"/>
    <n v="0"/>
    <x v="1"/>
    <x v="1"/>
    <n v="0"/>
    <n v="0"/>
    <n v="0"/>
    <n v="0"/>
    <s v="Pas d'écart"/>
    <n v="26.22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3"/>
    <n v="76"/>
    <x v="2"/>
    <x v="125"/>
    <n v="0.17"/>
    <n v="23.8"/>
    <n v="0.17"/>
    <n v="0"/>
    <x v="1"/>
    <x v="1"/>
    <n v="0"/>
    <n v="23.8"/>
    <n v="0.17"/>
    <n v="-23.8"/>
    <s v="Ecart négatif"/>
    <n v="13.140000000000008"/>
  </r>
  <r>
    <x v="2"/>
    <n v="77"/>
    <x v="12"/>
    <x v="0"/>
    <n v="0"/>
    <n v="0"/>
    <n v="0"/>
    <n v="0"/>
    <x v="1"/>
    <x v="1"/>
    <n v="0"/>
    <n v="0"/>
    <n v="0"/>
    <n v="0"/>
    <s v="Pas d'écart"/>
    <n v="0"/>
  </r>
  <r>
    <x v="3"/>
    <n v="80"/>
    <x v="19"/>
    <x v="293"/>
    <n v="0.1851578947368421"/>
    <n v="36.1"/>
    <n v="0.19"/>
    <n v="-0.92000000000000171"/>
    <x v="0"/>
    <x v="1"/>
    <n v="0"/>
    <n v="36.1"/>
    <n v="0.19"/>
    <n v="-36.1"/>
    <s v="Ecart négatif"/>
    <n v="23.700000000000003"/>
  </r>
  <r>
    <x v="3"/>
    <n v="59"/>
    <x v="19"/>
    <x v="293"/>
    <n v="0.1851578947368421"/>
    <n v="36.1"/>
    <n v="0.19"/>
    <n v="-0.92000000000000171"/>
    <x v="0"/>
    <x v="1"/>
    <n v="0"/>
    <n v="36.1"/>
    <n v="0.19"/>
    <n v="-36.1"/>
    <s v="Ecart négatif"/>
    <n v="19.97999999999999"/>
  </r>
  <r>
    <x v="4"/>
    <n v="59"/>
    <x v="19"/>
    <x v="293"/>
    <n v="0.1851578947368421"/>
    <n v="36.1"/>
    <n v="0.19"/>
    <n v="-0.92000000000000171"/>
    <x v="0"/>
    <x v="1"/>
    <n v="0"/>
    <n v="36.1"/>
    <n v="0.19"/>
    <n v="-36.1"/>
    <s v="Ecart négatif"/>
    <n v="0"/>
  </r>
  <r>
    <x v="4"/>
    <n v="59"/>
    <x v="19"/>
    <x v="293"/>
    <n v="0.1851578947368421"/>
    <n v="36.1"/>
    <n v="0.19"/>
    <n v="-0.92000000000000171"/>
    <x v="0"/>
    <x v="1"/>
    <n v="0"/>
    <n v="36.1"/>
    <n v="0.19"/>
    <n v="-36.1"/>
    <s v="Ecart négatif"/>
    <n v="0"/>
  </r>
  <r>
    <x v="3"/>
    <n v="80"/>
    <x v="19"/>
    <x v="293"/>
    <n v="0.1851578947368421"/>
    <n v="36.1"/>
    <n v="0.19"/>
    <n v="-0.92000000000000171"/>
    <x v="0"/>
    <x v="1"/>
    <n v="0"/>
    <n v="36.1"/>
    <n v="0.19"/>
    <n v="-36.1"/>
    <s v="Ecart négatif"/>
    <n v="23.700000000000003"/>
  </r>
  <r>
    <x v="2"/>
    <n v="13"/>
    <x v="8"/>
    <x v="0"/>
    <n v="0"/>
    <n v="13.3"/>
    <n v="0.19"/>
    <n v="-13.3"/>
    <x v="0"/>
    <x v="123"/>
    <n v="0.19"/>
    <n v="13.3"/>
    <n v="0.19"/>
    <n v="0"/>
    <s v="Pas d'écart"/>
    <n v="0"/>
  </r>
  <r>
    <x v="2"/>
    <n v="69"/>
    <x v="34"/>
    <x v="0"/>
    <n v="0"/>
    <n v="0"/>
    <n v="0"/>
    <n v="0"/>
    <x v="1"/>
    <x v="1"/>
    <n v="0"/>
    <n v="0"/>
    <n v="0"/>
    <n v="0"/>
    <s v="Pas d'écart"/>
    <n v="0"/>
  </r>
  <r>
    <x v="6"/>
    <n v="75"/>
    <x v="2"/>
    <x v="0"/>
    <n v="0"/>
    <n v="0"/>
    <n v="0"/>
    <n v="0"/>
    <x v="1"/>
    <x v="164"/>
    <n v="0.20699999999999999"/>
    <n v="0"/>
    <n v="0"/>
    <n v="28.98"/>
    <s v="Ecart positif"/>
    <n v="-13.110000000000007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0"/>
  </r>
  <r>
    <x v="3"/>
    <n v="59"/>
    <x v="19"/>
    <x v="293"/>
    <n v="0.1851578947368421"/>
    <n v="36.1"/>
    <n v="0.19"/>
    <n v="-0.92000000000000171"/>
    <x v="0"/>
    <x v="1"/>
    <n v="0"/>
    <n v="36.1"/>
    <n v="0.19"/>
    <n v="-36.1"/>
    <s v="Ecart négatif"/>
    <n v="19.97999999999999"/>
  </r>
  <r>
    <x v="4"/>
    <n v="59"/>
    <x v="2"/>
    <x v="294"/>
    <n v="0.18542857142857144"/>
    <n v="26.6"/>
    <n v="0.19"/>
    <n v="-0.64000000000000057"/>
    <x v="0"/>
    <x v="1"/>
    <n v="0"/>
    <n v="26.6"/>
    <n v="0.19"/>
    <n v="-26.6"/>
    <s v="Ecart négatif"/>
    <n v="0"/>
  </r>
  <r>
    <x v="4"/>
    <n v="80"/>
    <x v="8"/>
    <x v="295"/>
    <n v="0.18557142857142858"/>
    <n v="13.3"/>
    <n v="0.19"/>
    <n v="-0.3100000000000005"/>
    <x v="0"/>
    <x v="1"/>
    <n v="0"/>
    <n v="13.3"/>
    <n v="0.19"/>
    <n v="-13.3"/>
    <s v="Ecart négatif"/>
    <n v="0"/>
  </r>
  <r>
    <x v="4"/>
    <n v="62"/>
    <x v="2"/>
    <x v="296"/>
    <n v="0.18564285714285714"/>
    <n v="26.6"/>
    <n v="0.19"/>
    <n v="-0.61000000000000298"/>
    <x v="0"/>
    <x v="1"/>
    <n v="0"/>
    <n v="26.6"/>
    <n v="0.19"/>
    <n v="-26.6"/>
    <s v="Ecart négatif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60"/>
    <x v="2"/>
    <x v="297"/>
    <n v="0.18571428571428572"/>
    <n v="26.6"/>
    <n v="0.19"/>
    <n v="-0.60000000000000142"/>
    <x v="0"/>
    <x v="1"/>
    <n v="0"/>
    <n v="26.6"/>
    <n v="0.19"/>
    <n v="-26.6"/>
    <s v="Ecart négatif"/>
    <n v="0"/>
  </r>
  <r>
    <x v="4"/>
    <n v="67"/>
    <x v="6"/>
    <x v="298"/>
    <n v="0.28999999999999998"/>
    <n v="46.4"/>
    <n v="0.28999999999999998"/>
    <n v="0"/>
    <x v="1"/>
    <x v="1"/>
    <n v="0"/>
    <n v="46.4"/>
    <n v="0.28999999999999998"/>
    <n v="-46.4"/>
    <s v="Ecart négatif"/>
    <n v="0"/>
  </r>
  <r>
    <x v="2"/>
    <n v="54"/>
    <x v="12"/>
    <x v="0"/>
    <n v="0"/>
    <n v="10"/>
    <n v="0.25"/>
    <n v="-10"/>
    <x v="0"/>
    <x v="31"/>
    <n v="0.25"/>
    <n v="10"/>
    <n v="0.25"/>
    <n v="0"/>
    <s v="Pas d'écart"/>
    <n v="0"/>
  </r>
  <r>
    <x v="2"/>
    <n v="69"/>
    <x v="4"/>
    <x v="0"/>
    <n v="0"/>
    <n v="0"/>
    <n v="0"/>
    <n v="0"/>
    <x v="1"/>
    <x v="1"/>
    <n v="0"/>
    <n v="0"/>
    <n v="0"/>
    <n v="0"/>
    <s v="Pas d'écart"/>
    <n v="0"/>
  </r>
  <r>
    <x v="8"/>
    <n v="45"/>
    <x v="2"/>
    <x v="0"/>
    <n v="0"/>
    <n v="29.4"/>
    <n v="0.21"/>
    <n v="-29.4"/>
    <x v="0"/>
    <x v="1"/>
    <n v="0"/>
    <n v="29.4"/>
    <n v="0.21"/>
    <n v="-29.4"/>
    <s v="Ecart négatif"/>
    <n v="0"/>
  </r>
  <r>
    <x v="4"/>
    <n v="34"/>
    <x v="2"/>
    <x v="299"/>
    <n v="0.39"/>
    <n v="54.6"/>
    <n v="0.39"/>
    <n v="0"/>
    <x v="1"/>
    <x v="1"/>
    <n v="0"/>
    <n v="54.6"/>
    <n v="0.39"/>
    <n v="-54.6"/>
    <s v="Ecart négatif"/>
    <n v="0"/>
  </r>
  <r>
    <x v="4"/>
    <n v="59"/>
    <x v="25"/>
    <x v="300"/>
    <n v="0.18577272727272726"/>
    <n v="41.8"/>
    <n v="0.18999999999999997"/>
    <n v="-0.92999999999999972"/>
    <x v="0"/>
    <x v="1"/>
    <n v="0"/>
    <n v="41.8"/>
    <n v="0.18999999999999997"/>
    <n v="-41.8"/>
    <s v="Ecart négatif"/>
    <n v="0"/>
  </r>
  <r>
    <x v="0"/>
    <n v="59"/>
    <x v="43"/>
    <x v="0"/>
    <n v="0"/>
    <n v="0"/>
    <n v="0"/>
    <n v="0"/>
    <x v="1"/>
    <x v="1"/>
    <n v="0"/>
    <n v="0"/>
    <n v="0"/>
    <n v="0"/>
    <s v="Pas d'écart"/>
    <n v="31.840000000000003"/>
  </r>
  <r>
    <x v="4"/>
    <n v="59"/>
    <x v="2"/>
    <x v="301"/>
    <n v="0.18592857142857144"/>
    <n v="26.6"/>
    <n v="0.19"/>
    <n v="-0.57000000000000028"/>
    <x v="0"/>
    <x v="1"/>
    <n v="0"/>
    <n v="26.6"/>
    <n v="0.19"/>
    <n v="-26.6"/>
    <s v="Ecart négatif"/>
    <n v="0"/>
  </r>
  <r>
    <x v="0"/>
    <n v="75"/>
    <x v="1"/>
    <x v="0"/>
    <n v="0"/>
    <n v="0"/>
    <n v="0"/>
    <n v="0"/>
    <x v="1"/>
    <x v="1"/>
    <n v="0"/>
    <n v="0"/>
    <n v="0"/>
    <n v="0"/>
    <s v="Pas d'écart"/>
    <n v="9.519999999999996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6"/>
    <n v="92"/>
    <x v="25"/>
    <x v="0"/>
    <n v="0"/>
    <n v="0"/>
    <n v="0"/>
    <n v="0"/>
    <x v="1"/>
    <x v="1"/>
    <n v="0"/>
    <n v="0"/>
    <n v="0"/>
    <n v="0"/>
    <s v="Pas d'écart"/>
    <n v="0"/>
  </r>
  <r>
    <x v="1"/>
    <n v="77"/>
    <x v="38"/>
    <x v="0"/>
    <n v="0"/>
    <n v="0"/>
    <n v="0"/>
    <n v="0"/>
    <x v="1"/>
    <x v="1"/>
    <n v="0"/>
    <n v="0"/>
    <n v="0"/>
    <n v="0"/>
    <s v="Pas d'écart"/>
    <n v="109.43"/>
  </r>
  <r>
    <x v="4"/>
    <n v="86"/>
    <x v="8"/>
    <x v="143"/>
    <n v="0.21"/>
    <n v="14.7"/>
    <n v="0.21"/>
    <n v="0"/>
    <x v="1"/>
    <x v="1"/>
    <n v="0"/>
    <n v="14.7"/>
    <n v="0.21"/>
    <n v="-14.7"/>
    <s v="Ecart négatif"/>
    <n v="0"/>
  </r>
  <r>
    <x v="4"/>
    <n v="75"/>
    <x v="16"/>
    <x v="0"/>
    <n v="0"/>
    <n v="0"/>
    <n v="0"/>
    <n v="0"/>
    <x v="1"/>
    <x v="1"/>
    <n v="0"/>
    <n v="0"/>
    <n v="0"/>
    <n v="0"/>
    <s v="Pas d'écart"/>
    <n v="0"/>
  </r>
  <r>
    <x v="4"/>
    <n v="62"/>
    <x v="2"/>
    <x v="302"/>
    <n v="0.186"/>
    <n v="26.6"/>
    <n v="0.19"/>
    <n v="-0.56000000000000227"/>
    <x v="0"/>
    <x v="1"/>
    <n v="0"/>
    <n v="26.6"/>
    <n v="0.19"/>
    <n v="-26.6"/>
    <s v="Ecart négatif"/>
    <n v="0"/>
  </r>
  <r>
    <x v="4"/>
    <n v="80"/>
    <x v="2"/>
    <x v="303"/>
    <n v="0.18607142857142858"/>
    <n v="26.6"/>
    <n v="0.19"/>
    <n v="-0.55000000000000071"/>
    <x v="0"/>
    <x v="1"/>
    <n v="0"/>
    <n v="26.6"/>
    <n v="0.19"/>
    <n v="-26.6"/>
    <s v="Ecart négatif"/>
    <n v="0"/>
  </r>
  <r>
    <x v="4"/>
    <n v="59"/>
    <x v="4"/>
    <x v="304"/>
    <n v="0.18627272727272726"/>
    <n v="20.9"/>
    <n v="0.18999999999999997"/>
    <n v="-0.41000000000000014"/>
    <x v="0"/>
    <x v="1"/>
    <n v="0"/>
    <n v="20.9"/>
    <n v="0.18999999999999997"/>
    <n v="-20.9"/>
    <s v="Ecart négatif"/>
    <n v="0"/>
  </r>
  <r>
    <x v="3"/>
    <n v="62"/>
    <x v="12"/>
    <x v="305"/>
    <n v="0.1865"/>
    <n v="7.6"/>
    <n v="0.19"/>
    <n v="-0.13999999999999968"/>
    <x v="0"/>
    <x v="1"/>
    <n v="0"/>
    <n v="7.6"/>
    <n v="0.19"/>
    <n v="-7.6"/>
    <s v="Ecart négatif"/>
    <n v="8.2899999999999991"/>
  </r>
  <r>
    <x v="3"/>
    <n v="59"/>
    <x v="12"/>
    <x v="305"/>
    <n v="0.1865"/>
    <n v="7.6"/>
    <n v="0.19"/>
    <n v="-0.13999999999999968"/>
    <x v="0"/>
    <x v="1"/>
    <n v="0"/>
    <n v="7.6"/>
    <n v="0.19"/>
    <n v="-7.6"/>
    <s v="Ecart négatif"/>
    <n v="6.8599999999999994"/>
  </r>
  <r>
    <x v="4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0"/>
    <n v="59"/>
    <x v="6"/>
    <x v="0"/>
    <n v="0"/>
    <n v="0"/>
    <n v="0"/>
    <n v="0"/>
    <x v="1"/>
    <x v="1"/>
    <n v="0"/>
    <n v="0"/>
    <n v="0"/>
    <n v="0"/>
    <s v="Pas d'écart"/>
    <n v="15.310000000000002"/>
  </r>
  <r>
    <x v="2"/>
    <n v="92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3"/>
    <n v="62"/>
    <x v="12"/>
    <x v="305"/>
    <n v="0.1865"/>
    <n v="7.6"/>
    <n v="0.19"/>
    <n v="-0.13999999999999968"/>
    <x v="0"/>
    <x v="1"/>
    <n v="0"/>
    <n v="7.6"/>
    <n v="0.19"/>
    <n v="-7.6"/>
    <s v="Ecart négatif"/>
    <n v="8.2899999999999991"/>
  </r>
  <r>
    <x v="4"/>
    <n v="62"/>
    <x v="12"/>
    <x v="305"/>
    <n v="0.1865"/>
    <n v="7.6"/>
    <n v="0.19"/>
    <n v="-0.13999999999999968"/>
    <x v="0"/>
    <x v="1"/>
    <n v="0"/>
    <n v="7.6"/>
    <n v="0.19"/>
    <n v="-7.6"/>
    <s v="Ecart négatif"/>
    <n v="0"/>
  </r>
  <r>
    <x v="4"/>
    <n v="62"/>
    <x v="4"/>
    <x v="306"/>
    <n v="0.18654545454545454"/>
    <n v="20.9"/>
    <n v="0.18999999999999997"/>
    <n v="-0.37999999999999901"/>
    <x v="0"/>
    <x v="1"/>
    <n v="0"/>
    <n v="20.9"/>
    <n v="0.18999999999999997"/>
    <n v="-20.9"/>
    <s v="Ecart négatif"/>
    <n v="0"/>
  </r>
  <r>
    <x v="3"/>
    <n v="62"/>
    <x v="4"/>
    <x v="306"/>
    <n v="0.18654545454545454"/>
    <n v="20.9"/>
    <n v="0.18999999999999997"/>
    <n v="-0.37999999999999901"/>
    <x v="0"/>
    <x v="1"/>
    <n v="0"/>
    <n v="20.9"/>
    <n v="0.18999999999999997"/>
    <n v="-20.9"/>
    <s v="Ecart négatif"/>
    <n v="14.36"/>
  </r>
  <r>
    <x v="2"/>
    <n v="44"/>
    <x v="56"/>
    <x v="0"/>
    <n v="0"/>
    <n v="0"/>
    <n v="0"/>
    <n v="0"/>
    <x v="1"/>
    <x v="1"/>
    <n v="0"/>
    <n v="0"/>
    <n v="0"/>
    <n v="0"/>
    <s v="Pas d'écart"/>
    <e v="#N/A"/>
  </r>
  <r>
    <x v="3"/>
    <n v="62"/>
    <x v="4"/>
    <x v="306"/>
    <n v="0.18654545454545454"/>
    <n v="20.9"/>
    <n v="0.18999999999999997"/>
    <n v="-0.37999999999999901"/>
    <x v="0"/>
    <x v="1"/>
    <n v="0"/>
    <n v="20.9"/>
    <n v="0.18999999999999997"/>
    <n v="-20.9"/>
    <s v="Ecart négatif"/>
    <n v="14.36"/>
  </r>
  <r>
    <x v="4"/>
    <n v="62"/>
    <x v="4"/>
    <x v="306"/>
    <n v="0.18654545454545454"/>
    <n v="20.9"/>
    <n v="0.18999999999999997"/>
    <n v="-0.37999999999999901"/>
    <x v="0"/>
    <x v="1"/>
    <n v="0"/>
    <n v="20.9"/>
    <n v="0.18999999999999997"/>
    <n v="-20.9"/>
    <s v="Ecart négatif"/>
    <n v="0"/>
  </r>
  <r>
    <x v="4"/>
    <n v="62"/>
    <x v="4"/>
    <x v="306"/>
    <n v="0.18654545454545454"/>
    <n v="20.9"/>
    <n v="0.18999999999999997"/>
    <n v="-0.37999999999999901"/>
    <x v="0"/>
    <x v="1"/>
    <n v="0"/>
    <n v="20.9"/>
    <n v="0.18999999999999997"/>
    <n v="-20.9"/>
    <s v="Ecart négatif"/>
    <n v="0"/>
  </r>
  <r>
    <x v="4"/>
    <n v="62"/>
    <x v="16"/>
    <x v="307"/>
    <n v="0.18659999999999999"/>
    <n v="38"/>
    <n v="0.19"/>
    <n v="-0.67999999999999972"/>
    <x v="0"/>
    <x v="1"/>
    <n v="0"/>
    <n v="38"/>
    <n v="0.19"/>
    <n v="-38"/>
    <s v="Ecart négatif"/>
    <n v="0"/>
  </r>
  <r>
    <x v="4"/>
    <n v="69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35"/>
    <x v="15"/>
    <x v="0"/>
    <n v="0"/>
    <n v="0"/>
    <n v="0"/>
    <n v="0"/>
    <x v="1"/>
    <x v="1"/>
    <n v="0"/>
    <n v="0"/>
    <n v="0"/>
    <n v="0"/>
    <s v="Pas d'écart"/>
    <n v="17.0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8"/>
    <x v="15"/>
    <x v="0"/>
    <n v="0"/>
    <n v="1.6"/>
    <n v="0.08"/>
    <n v="-1.6"/>
    <x v="0"/>
    <x v="30"/>
    <n v="0.08"/>
    <n v="1.6"/>
    <n v="0.08"/>
    <n v="0"/>
    <s v="Pas d'écart"/>
    <n v="3.67"/>
  </r>
  <r>
    <x v="4"/>
    <n v="45"/>
    <x v="9"/>
    <x v="308"/>
    <n v="0.18662499999999999"/>
    <n v="16.8"/>
    <n v="0.21000000000000002"/>
    <n v="-1.870000000000001"/>
    <x v="0"/>
    <x v="1"/>
    <n v="0"/>
    <n v="16.8"/>
    <n v="0.21000000000000002"/>
    <n v="-16.8"/>
    <s v="Ecart négatif"/>
    <n v="0"/>
  </r>
  <r>
    <x v="2"/>
    <n v="70"/>
    <x v="9"/>
    <x v="0"/>
    <n v="0"/>
    <n v="9.6"/>
    <n v="0.12"/>
    <n v="-9.6"/>
    <x v="0"/>
    <x v="165"/>
    <n v="0.10787500000000001"/>
    <n v="9.6"/>
    <n v="0.12"/>
    <n v="-0.96999999999999886"/>
    <s v="Ecart négatif"/>
    <n v="0"/>
  </r>
  <r>
    <x v="2"/>
    <n v="73"/>
    <x v="8"/>
    <x v="0"/>
    <n v="0"/>
    <n v="0"/>
    <n v="0"/>
    <n v="0"/>
    <x v="1"/>
    <x v="1"/>
    <n v="0"/>
    <n v="0"/>
    <n v="0"/>
    <n v="0"/>
    <s v="Pas d'écart"/>
    <n v="0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3"/>
    <n v="62"/>
    <x v="19"/>
    <x v="309"/>
    <n v="0.18689473684210525"/>
    <n v="36.1"/>
    <n v="0.19"/>
    <n v="-0.59000000000000341"/>
    <x v="0"/>
    <x v="1"/>
    <n v="0"/>
    <n v="36.1"/>
    <n v="0.19"/>
    <n v="-36.1"/>
    <s v="Ecart négatif"/>
    <n v="23.700000000000003"/>
  </r>
  <r>
    <x v="3"/>
    <n v="62"/>
    <x v="19"/>
    <x v="310"/>
    <n v="0.18710526315789472"/>
    <n v="36.1"/>
    <n v="0.19"/>
    <n v="-0.55000000000000426"/>
    <x v="0"/>
    <x v="1"/>
    <n v="0"/>
    <n v="36.1"/>
    <n v="0.19"/>
    <n v="-36.1"/>
    <s v="Ecart négatif"/>
    <n v="23.700000000000003"/>
  </r>
  <r>
    <x v="4"/>
    <n v="59"/>
    <x v="12"/>
    <x v="311"/>
    <n v="0.18725"/>
    <n v="7.6"/>
    <n v="0.19"/>
    <n v="-0.10999999999999943"/>
    <x v="0"/>
    <x v="1"/>
    <n v="0"/>
    <n v="7.6"/>
    <n v="0.19"/>
    <n v="-7.6"/>
    <s v="Ecart négatif"/>
    <n v="0"/>
  </r>
  <r>
    <x v="3"/>
    <n v="62"/>
    <x v="19"/>
    <x v="312"/>
    <n v="0.18731578947368424"/>
    <n v="36.1"/>
    <n v="0.19"/>
    <n v="-0.50999999999999801"/>
    <x v="0"/>
    <x v="1"/>
    <n v="0"/>
    <n v="36.1"/>
    <n v="0.19"/>
    <n v="-36.1"/>
    <s v="Ecart négatif"/>
    <n v="23.700000000000003"/>
  </r>
  <r>
    <x v="4"/>
    <n v="59"/>
    <x v="2"/>
    <x v="313"/>
    <n v="0.18742857142857142"/>
    <n v="26.6"/>
    <n v="0.19"/>
    <n v="-0.36000000000000298"/>
    <x v="0"/>
    <x v="1"/>
    <n v="0"/>
    <n v="26.6"/>
    <n v="0.19"/>
    <n v="-26.6"/>
    <s v="Ecart négatif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4"/>
    <n v="67"/>
    <x v="7"/>
    <x v="190"/>
    <n v="0.28999999999999998"/>
    <n v="8.6999999999999993"/>
    <n v="0.28999999999999998"/>
    <n v="0"/>
    <x v="1"/>
    <x v="1"/>
    <n v="0"/>
    <n v="8.6999999999999993"/>
    <n v="0.28999999999999998"/>
    <n v="-8.6999999999999993"/>
    <s v="Ecart négatif"/>
    <n v="0"/>
  </r>
  <r>
    <x v="0"/>
    <n v="80"/>
    <x v="2"/>
    <x v="0"/>
    <n v="0"/>
    <n v="0"/>
    <n v="0"/>
    <n v="0"/>
    <x v="1"/>
    <x v="68"/>
    <n v="0.19"/>
    <n v="0"/>
    <n v="0"/>
    <n v="26.6"/>
    <s v="Ecart positif"/>
    <n v="14.68"/>
  </r>
  <r>
    <x v="2"/>
    <n v="13"/>
    <x v="11"/>
    <x v="0"/>
    <n v="0"/>
    <n v="11.4"/>
    <n v="0.19"/>
    <n v="-11.4"/>
    <x v="0"/>
    <x v="1"/>
    <n v="0"/>
    <n v="11.4"/>
    <n v="0.19"/>
    <n v="-11.4"/>
    <s v="Ecart négatif"/>
    <n v="0"/>
  </r>
  <r>
    <x v="4"/>
    <n v="2"/>
    <x v="16"/>
    <x v="314"/>
    <n v="0.18765000000000001"/>
    <n v="36"/>
    <n v="0.18"/>
    <n v="1.5300000000000011"/>
    <x v="2"/>
    <x v="1"/>
    <n v="0"/>
    <n v="36"/>
    <n v="0.18"/>
    <n v="-36"/>
    <s v="Ecart négatif"/>
    <n v="0"/>
  </r>
  <r>
    <x v="3"/>
    <n v="59"/>
    <x v="10"/>
    <x v="315"/>
    <n v="0.18773333333333334"/>
    <n v="28.5"/>
    <n v="0.19"/>
    <n v="-0.33999999999999986"/>
    <x v="0"/>
    <x v="1"/>
    <n v="0"/>
    <n v="28.5"/>
    <n v="0.19"/>
    <n v="-28.5"/>
    <s v="Ecart négatif"/>
    <n v="13.759999999999998"/>
  </r>
  <r>
    <x v="2"/>
    <n v="78"/>
    <x v="2"/>
    <x v="0"/>
    <n v="0"/>
    <n v="0"/>
    <n v="0"/>
    <n v="0"/>
    <x v="1"/>
    <x v="1"/>
    <n v="0"/>
    <n v="0"/>
    <n v="0"/>
    <n v="0"/>
    <s v="Pas d'écart"/>
    <n v="52.57"/>
  </r>
  <r>
    <x v="0"/>
    <n v="92"/>
    <x v="12"/>
    <x v="0"/>
    <n v="0"/>
    <n v="0"/>
    <n v="0"/>
    <n v="0"/>
    <x v="1"/>
    <x v="1"/>
    <n v="0"/>
    <n v="0"/>
    <n v="0"/>
    <n v="0"/>
    <s v="Pas d'écart"/>
    <n v="5.23"/>
  </r>
  <r>
    <x v="2"/>
    <n v="83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107.35"/>
  </r>
  <r>
    <x v="2"/>
    <n v="69"/>
    <x v="6"/>
    <x v="0"/>
    <n v="0"/>
    <n v="0"/>
    <n v="0"/>
    <n v="0"/>
    <x v="1"/>
    <x v="1"/>
    <n v="0"/>
    <n v="0"/>
    <n v="0"/>
    <n v="0"/>
    <s v="Pas d'écart"/>
    <n v="0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0"/>
  </r>
  <r>
    <x v="0"/>
    <n v="89"/>
    <x v="11"/>
    <x v="0"/>
    <n v="0"/>
    <n v="7.1999999999999993"/>
    <n v="0.11999999999999998"/>
    <n v="-7.1999999999999993"/>
    <x v="0"/>
    <x v="141"/>
    <n v="0.11"/>
    <n v="7.1999999999999993"/>
    <n v="0.11999999999999998"/>
    <n v="-0.59999999999999964"/>
    <s v="Ecart négatif"/>
    <n v="58.26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84"/>
    <x v="2"/>
    <x v="0"/>
    <n v="0"/>
    <n v="26.6"/>
    <n v="0.19"/>
    <n v="-26.6"/>
    <x v="0"/>
    <x v="1"/>
    <n v="0"/>
    <n v="26.6"/>
    <n v="0.19"/>
    <n v="-26.6"/>
    <s v="Ecart négatif"/>
    <n v="73.41"/>
  </r>
  <r>
    <x v="2"/>
    <n v="51"/>
    <x v="2"/>
    <x v="0"/>
    <n v="0"/>
    <n v="35"/>
    <n v="0.25"/>
    <n v="-35"/>
    <x v="0"/>
    <x v="71"/>
    <n v="0.25"/>
    <n v="35"/>
    <n v="0.25"/>
    <n v="0"/>
    <s v="Pas d'écart"/>
    <n v="78.8"/>
  </r>
  <r>
    <x v="0"/>
    <n v="84"/>
    <x v="10"/>
    <x v="0"/>
    <n v="0"/>
    <n v="28.5"/>
    <n v="0.19"/>
    <n v="-28.5"/>
    <x v="0"/>
    <x v="166"/>
    <n v="0.19"/>
    <n v="28.5"/>
    <n v="0.19"/>
    <n v="0"/>
    <s v="Pas d'écart"/>
    <n v="73.959999999999994"/>
  </r>
  <r>
    <x v="5"/>
    <n v="2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30.849999999999998"/>
  </r>
  <r>
    <x v="5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42.48"/>
  </r>
  <r>
    <x v="0"/>
    <n v="77"/>
    <x v="13"/>
    <x v="0"/>
    <n v="0"/>
    <n v="0"/>
    <n v="0"/>
    <n v="0"/>
    <x v="1"/>
    <x v="1"/>
    <n v="0"/>
    <n v="0"/>
    <n v="0"/>
    <n v="0"/>
    <s v="Pas d'écart"/>
    <n v="11.71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2"/>
    <n v="83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0"/>
  </r>
  <r>
    <x v="4"/>
    <n v="59"/>
    <x v="4"/>
    <x v="317"/>
    <n v="0.18790909090909091"/>
    <n v="20.9"/>
    <n v="0.18999999999999997"/>
    <n v="-0.22999999999999687"/>
    <x v="0"/>
    <x v="1"/>
    <n v="0"/>
    <n v="20.9"/>
    <n v="0.18999999999999997"/>
    <n v="-20.9"/>
    <s v="Ecart négatif"/>
    <n v="0"/>
  </r>
  <r>
    <x v="3"/>
    <n v="60"/>
    <x v="15"/>
    <x v="318"/>
    <n v="0.188"/>
    <n v="3.8"/>
    <n v="0.19"/>
    <n v="-4.0000000000000036E-2"/>
    <x v="0"/>
    <x v="1"/>
    <n v="0"/>
    <n v="3.8"/>
    <n v="0.19"/>
    <n v="-3.8"/>
    <s v="Ecart négatif"/>
    <n v="3.1800000000000015"/>
  </r>
  <r>
    <x v="0"/>
    <n v="28"/>
    <x v="22"/>
    <x v="0"/>
    <n v="0"/>
    <n v="12"/>
    <n v="0.12"/>
    <n v="-12"/>
    <x v="0"/>
    <x v="1"/>
    <n v="0"/>
    <n v="12"/>
    <n v="0.12"/>
    <n v="-12"/>
    <s v="Ecart négatif"/>
    <n v="75.92"/>
  </r>
  <r>
    <x v="0"/>
    <n v="92"/>
    <x v="29"/>
    <x v="0"/>
    <n v="0"/>
    <n v="0"/>
    <n v="0"/>
    <n v="0"/>
    <x v="1"/>
    <x v="1"/>
    <n v="0"/>
    <n v="0"/>
    <n v="0"/>
    <n v="0"/>
    <s v="Pas d'écart"/>
    <n v="136.04"/>
  </r>
  <r>
    <x v="0"/>
    <n v="92"/>
    <x v="12"/>
    <x v="0"/>
    <n v="0"/>
    <n v="0"/>
    <n v="0"/>
    <n v="0"/>
    <x v="1"/>
    <x v="1"/>
    <n v="0"/>
    <n v="0"/>
    <n v="0"/>
    <n v="0"/>
    <s v="Pas d'écart"/>
    <n v="5.23"/>
  </r>
  <r>
    <x v="5"/>
    <n v="6"/>
    <x v="0"/>
    <x v="0"/>
    <n v="0"/>
    <n v="54"/>
    <n v="0.3"/>
    <n v="-54"/>
    <x v="0"/>
    <x v="1"/>
    <n v="0"/>
    <n v="54"/>
    <n v="0.3"/>
    <n v="-54"/>
    <s v="Ecart négatif"/>
    <n v="67.820000000000007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4"/>
    <n v="94"/>
    <x v="11"/>
    <x v="0"/>
    <n v="0"/>
    <n v="0"/>
    <n v="0"/>
    <n v="0"/>
    <x v="1"/>
    <x v="1"/>
    <n v="0"/>
    <n v="0"/>
    <n v="0"/>
    <n v="0"/>
    <s v="Pas d'écart"/>
    <n v="0"/>
  </r>
  <r>
    <x v="0"/>
    <n v="68"/>
    <x v="3"/>
    <x v="0"/>
    <n v="0"/>
    <n v="16.8"/>
    <n v="0.08"/>
    <n v="-16.8"/>
    <x v="0"/>
    <x v="14"/>
    <n v="7.6952380952380953E-2"/>
    <n v="16.8"/>
    <n v="0.08"/>
    <n v="-0.64000000000000057"/>
    <s v="Ecart négatif"/>
    <n v="27.039999999999992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2"/>
    <n v="33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0"/>
    <n v="26"/>
    <x v="10"/>
    <x v="0"/>
    <n v="0"/>
    <n v="0"/>
    <n v="0"/>
    <n v="0"/>
    <x v="1"/>
    <x v="1"/>
    <n v="0"/>
    <n v="0"/>
    <n v="0"/>
    <n v="0"/>
    <s v="Pas d'écart"/>
    <n v="15.90000000000000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8"/>
    <n v="91"/>
    <x v="9"/>
    <x v="0"/>
    <n v="0"/>
    <n v="0"/>
    <n v="0"/>
    <n v="0"/>
    <x v="1"/>
    <x v="1"/>
    <n v="0"/>
    <n v="0"/>
    <n v="0"/>
    <n v="0"/>
    <s v="Pas d'écart"/>
    <n v="-36.76"/>
  </r>
  <r>
    <x v="2"/>
    <n v="69"/>
    <x v="2"/>
    <x v="0"/>
    <n v="0"/>
    <n v="0"/>
    <n v="0"/>
    <n v="0"/>
    <x v="1"/>
    <x v="1"/>
    <n v="0"/>
    <n v="0"/>
    <n v="0"/>
    <n v="0"/>
    <s v="Pas d'écart"/>
    <n v="0"/>
  </r>
  <r>
    <x v="2"/>
    <n v="80"/>
    <x v="6"/>
    <x v="0"/>
    <n v="0"/>
    <n v="0"/>
    <n v="0"/>
    <n v="0"/>
    <x v="1"/>
    <x v="1"/>
    <n v="0"/>
    <n v="0"/>
    <n v="0"/>
    <n v="0"/>
    <s v="Pas d'écart"/>
    <n v="0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4"/>
    <n v="62"/>
    <x v="15"/>
    <x v="318"/>
    <n v="0.188"/>
    <n v="3.8"/>
    <n v="0.19"/>
    <n v="-4.0000000000000036E-2"/>
    <x v="0"/>
    <x v="1"/>
    <n v="0"/>
    <n v="3.8"/>
    <n v="0.19"/>
    <n v="-3.8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29"/>
    <x v="2"/>
    <x v="0"/>
    <n v="0"/>
    <n v="16.8"/>
    <n v="0.12000000000000001"/>
    <n v="-16.8"/>
    <x v="0"/>
    <x v="1"/>
    <n v="0"/>
    <n v="16.8"/>
    <n v="0.12000000000000001"/>
    <n v="-16.8"/>
    <s v="Ecart négatif"/>
    <n v="0"/>
  </r>
  <r>
    <x v="2"/>
    <n v="13"/>
    <x v="2"/>
    <x v="0"/>
    <n v="0"/>
    <n v="26.6"/>
    <n v="0.19"/>
    <n v="-26.6"/>
    <x v="0"/>
    <x v="68"/>
    <n v="0.19"/>
    <n v="26.6"/>
    <n v="0.19"/>
    <n v="0"/>
    <s v="Pas d'écart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69"/>
    <x v="18"/>
    <x v="0"/>
    <n v="0"/>
    <n v="0"/>
    <n v="0"/>
    <n v="0"/>
    <x v="1"/>
    <x v="1"/>
    <n v="0"/>
    <n v="0"/>
    <n v="0"/>
    <n v="0"/>
    <s v="Pas d'écart"/>
    <n v="0"/>
  </r>
  <r>
    <x v="2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0"/>
    <x v="15"/>
    <x v="318"/>
    <n v="0.188"/>
    <n v="3.8"/>
    <n v="0.19"/>
    <n v="-4.0000000000000036E-2"/>
    <x v="0"/>
    <x v="1"/>
    <n v="0"/>
    <n v="3.8"/>
    <n v="0.19"/>
    <n v="-3.8"/>
    <s v="Ecart négatif"/>
    <n v="3.1800000000000015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8"/>
    <n v="51"/>
    <x v="12"/>
    <x v="0"/>
    <n v="0"/>
    <n v="10"/>
    <n v="0.25"/>
    <n v="-10"/>
    <x v="0"/>
    <x v="1"/>
    <n v="0"/>
    <n v="10"/>
    <n v="0.25"/>
    <n v="-10"/>
    <s v="Ecart négatif"/>
    <n v="47.76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0"/>
    <x v="15"/>
    <x v="318"/>
    <n v="0.188"/>
    <n v="3.8"/>
    <n v="0.19"/>
    <n v="-4.0000000000000036E-2"/>
    <x v="0"/>
    <x v="1"/>
    <n v="0"/>
    <n v="3.8"/>
    <n v="0.19"/>
    <n v="-3.8"/>
    <s v="Ecart négatif"/>
    <n v="3.1800000000000015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4"/>
    <n v="94"/>
    <x v="2"/>
    <x v="0"/>
    <n v="0"/>
    <n v="0"/>
    <n v="0"/>
    <n v="0"/>
    <x v="1"/>
    <x v="1"/>
    <n v="0"/>
    <n v="0"/>
    <n v="0"/>
    <n v="0"/>
    <s v="Pas d'écart"/>
    <n v="0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4"/>
    <n v="59"/>
    <x v="15"/>
    <x v="318"/>
    <n v="0.188"/>
    <n v="3.8"/>
    <n v="0.19"/>
    <n v="-4.0000000000000036E-2"/>
    <x v="0"/>
    <x v="1"/>
    <n v="0"/>
    <n v="3.8"/>
    <n v="0.19"/>
    <n v="-3.8"/>
    <s v="Ecart négatif"/>
    <n v="0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2"/>
    <n v="13"/>
    <x v="14"/>
    <x v="0"/>
    <n v="0"/>
    <n v="24.7"/>
    <n v="0.19"/>
    <n v="-24.7"/>
    <x v="0"/>
    <x v="1"/>
    <n v="0"/>
    <n v="24.7"/>
    <n v="0.19"/>
    <n v="-24.7"/>
    <s v="Ecart négatif"/>
    <n v="0"/>
  </r>
  <r>
    <x v="4"/>
    <n v="60"/>
    <x v="15"/>
    <x v="318"/>
    <n v="0.188"/>
    <n v="3.8"/>
    <n v="0.19"/>
    <n v="-4.0000000000000036E-2"/>
    <x v="0"/>
    <x v="1"/>
    <n v="0"/>
    <n v="3.8"/>
    <n v="0.19"/>
    <n v="-3.8"/>
    <s v="Ecart négatif"/>
    <n v="0"/>
  </r>
  <r>
    <x v="0"/>
    <n v="54"/>
    <x v="12"/>
    <x v="0"/>
    <n v="0"/>
    <n v="10"/>
    <n v="0.25"/>
    <n v="-10"/>
    <x v="0"/>
    <x v="45"/>
    <n v="0.23250000000000001"/>
    <n v="10"/>
    <n v="0.25"/>
    <n v="-0.69999999999999929"/>
    <s v="Ecart négatif"/>
    <n v="6.8599999999999994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4"/>
    <n v="13"/>
    <x v="22"/>
    <x v="319"/>
    <n v="0.28999999999999998"/>
    <n v="28.999999999999996"/>
    <n v="0.28999999999999998"/>
    <n v="0"/>
    <x v="1"/>
    <x v="1"/>
    <n v="0"/>
    <n v="28.999999999999996"/>
    <n v="0.28999999999999998"/>
    <n v="-28.999999999999996"/>
    <s v="Ecart négatif"/>
    <n v="0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3"/>
    <n v="62"/>
    <x v="15"/>
    <x v="318"/>
    <n v="0.188"/>
    <n v="3.8"/>
    <n v="0.19"/>
    <n v="-4.0000000000000036E-2"/>
    <x v="0"/>
    <x v="1"/>
    <n v="0"/>
    <n v="3.8"/>
    <n v="0.19"/>
    <n v="-3.8"/>
    <s v="Ecart négatif"/>
    <n v="3.3900000000000006"/>
  </r>
  <r>
    <x v="0"/>
    <n v="75"/>
    <x v="1"/>
    <x v="0"/>
    <n v="0"/>
    <n v="0"/>
    <n v="0"/>
    <n v="0"/>
    <x v="1"/>
    <x v="1"/>
    <n v="0"/>
    <n v="0"/>
    <n v="0"/>
    <n v="0"/>
    <s v="Pas d'écart"/>
    <n v="9.519999999999996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4"/>
    <n v="80"/>
    <x v="16"/>
    <x v="320"/>
    <n v="0.18809999999999999"/>
    <n v="38"/>
    <n v="0.19"/>
    <n v="-0.38000000000000256"/>
    <x v="0"/>
    <x v="1"/>
    <n v="0"/>
    <n v="38"/>
    <n v="0.19"/>
    <n v="-38"/>
    <s v="Ecart négatif"/>
    <n v="0"/>
  </r>
  <r>
    <x v="3"/>
    <n v="59"/>
    <x v="16"/>
    <x v="320"/>
    <n v="0.18809999999999999"/>
    <n v="38"/>
    <n v="0.19"/>
    <n v="-0.38000000000000256"/>
    <x v="0"/>
    <x v="1"/>
    <n v="0"/>
    <n v="38"/>
    <n v="0.19"/>
    <n v="-38"/>
    <s v="Ecart négatif"/>
    <n v="21.53"/>
  </r>
  <r>
    <x v="4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4"/>
    <n v="77"/>
    <x v="6"/>
    <x v="0"/>
    <n v="0"/>
    <n v="0"/>
    <n v="0"/>
    <n v="0"/>
    <x v="1"/>
    <x v="1"/>
    <n v="0"/>
    <n v="0"/>
    <n v="0"/>
    <n v="0"/>
    <s v="Pas d'écart"/>
    <n v="0"/>
  </r>
  <r>
    <x v="2"/>
    <n v="38"/>
    <x v="2"/>
    <x v="0"/>
    <n v="0"/>
    <n v="0"/>
    <n v="0"/>
    <n v="0"/>
    <x v="1"/>
    <x v="1"/>
    <n v="0"/>
    <n v="0"/>
    <n v="0"/>
    <n v="0"/>
    <s v="Pas d'écart"/>
    <n v="0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59"/>
    <x v="16"/>
    <x v="320"/>
    <n v="0.18809999999999999"/>
    <n v="38"/>
    <n v="0.19"/>
    <n v="-0.38000000000000256"/>
    <x v="0"/>
    <x v="1"/>
    <n v="0"/>
    <n v="38"/>
    <n v="0.19"/>
    <n v="-38"/>
    <s v="Ecart négatif"/>
    <n v="0"/>
  </r>
  <r>
    <x v="4"/>
    <n v="60"/>
    <x v="8"/>
    <x v="321"/>
    <n v="0.18828571428571428"/>
    <n v="13.3"/>
    <n v="0.19"/>
    <n v="-0.12000000000000099"/>
    <x v="0"/>
    <x v="1"/>
    <n v="0"/>
    <n v="13.3"/>
    <n v="0.19"/>
    <n v="-13.3"/>
    <s v="Ecart négatif"/>
    <n v="0"/>
  </r>
  <r>
    <x v="3"/>
    <n v="59"/>
    <x v="8"/>
    <x v="321"/>
    <n v="0.18828571428571428"/>
    <n v="13.3"/>
    <n v="0.19"/>
    <n v="-0.12000000000000099"/>
    <x v="0"/>
    <x v="1"/>
    <n v="0"/>
    <n v="13.3"/>
    <n v="0.19"/>
    <n v="-13.3"/>
    <s v="Ecart négatif"/>
    <n v="8.9500000000000028"/>
  </r>
  <r>
    <x v="7"/>
    <n v="80"/>
    <x v="16"/>
    <x v="0"/>
    <n v="0"/>
    <n v="38"/>
    <n v="0.19"/>
    <n v="-38"/>
    <x v="0"/>
    <x v="1"/>
    <n v="0"/>
    <n v="38"/>
    <n v="0.19"/>
    <n v="-38"/>
    <s v="Ecart négatif"/>
    <n v="25.920000000000016"/>
  </r>
  <r>
    <x v="4"/>
    <n v="62"/>
    <x v="16"/>
    <x v="322"/>
    <n v="0.1883"/>
    <n v="38"/>
    <n v="0.19"/>
    <n v="-0.34000000000000341"/>
    <x v="0"/>
    <x v="1"/>
    <n v="0"/>
    <n v="38"/>
    <n v="0.19"/>
    <n v="-38"/>
    <s v="Ecart négatif"/>
    <n v="0"/>
  </r>
  <r>
    <x v="3"/>
    <n v="62"/>
    <x v="10"/>
    <x v="323"/>
    <n v="0.18846666666666667"/>
    <n v="28.5"/>
    <n v="0.19"/>
    <n v="-0.23000000000000043"/>
    <x v="0"/>
    <x v="1"/>
    <n v="0"/>
    <n v="28.5"/>
    <n v="0.19"/>
    <n v="-28.5"/>
    <s v="Ecart négatif"/>
    <n v="14.789999999999992"/>
  </r>
  <r>
    <x v="4"/>
    <n v="59"/>
    <x v="57"/>
    <x v="324"/>
    <n v="0.18862222222222222"/>
    <n v="85.5"/>
    <n v="0.19"/>
    <n v="-0.62000000000000455"/>
    <x v="0"/>
    <x v="1"/>
    <n v="0"/>
    <n v="85.5"/>
    <n v="0.19"/>
    <n v="-85.5"/>
    <s v="Ecart négatif"/>
    <n v="0"/>
  </r>
  <r>
    <x v="4"/>
    <n v="59"/>
    <x v="19"/>
    <x v="325"/>
    <n v="0.18878947368421051"/>
    <n v="36.1"/>
    <n v="0.19"/>
    <n v="-0.23000000000000398"/>
    <x v="0"/>
    <x v="1"/>
    <n v="0"/>
    <n v="36.1"/>
    <n v="0.19"/>
    <n v="-36.1"/>
    <s v="Ecart négatif"/>
    <n v="0"/>
  </r>
  <r>
    <x v="3"/>
    <n v="59"/>
    <x v="39"/>
    <x v="326"/>
    <n v="0.18882758620689655"/>
    <n v="55.1"/>
    <n v="0.19"/>
    <n v="-0.34000000000000341"/>
    <x v="0"/>
    <x v="1"/>
    <n v="0"/>
    <n v="55.1"/>
    <n v="0.19"/>
    <n v="-55.1"/>
    <s v="Ecart négatif"/>
    <n v="29.970000000000013"/>
  </r>
  <r>
    <x v="3"/>
    <n v="62"/>
    <x v="14"/>
    <x v="327"/>
    <n v="0.18884615384615386"/>
    <n v="24.7"/>
    <n v="0.19"/>
    <n v="-0.14999999999999858"/>
    <x v="0"/>
    <x v="1"/>
    <n v="0"/>
    <n v="24.7"/>
    <n v="0.19"/>
    <n v="-24.7"/>
    <s v="Ecart négatif"/>
    <n v="14.579999999999998"/>
  </r>
  <r>
    <x v="2"/>
    <n v="25"/>
    <x v="9"/>
    <x v="0"/>
    <n v="0"/>
    <n v="9.6"/>
    <n v="0.12"/>
    <n v="-9.6"/>
    <x v="0"/>
    <x v="167"/>
    <n v="0.10774999999999998"/>
    <n v="9.6"/>
    <n v="0.12"/>
    <n v="-0.98000000000000043"/>
    <s v="Ecart négatif"/>
    <n v="0"/>
  </r>
  <r>
    <x v="2"/>
    <n v="21"/>
    <x v="9"/>
    <x v="0"/>
    <n v="0"/>
    <n v="9.6"/>
    <n v="0.12"/>
    <n v="-9.6"/>
    <x v="0"/>
    <x v="167"/>
    <n v="0.10774999999999998"/>
    <n v="9.6"/>
    <n v="0.12"/>
    <n v="-0.98000000000000043"/>
    <s v="Ecart négatif"/>
    <n v="0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3"/>
    <n v="60"/>
    <x v="8"/>
    <x v="328"/>
    <n v="0.18885714285714286"/>
    <n v="13.3"/>
    <n v="0.19"/>
    <n v="-8.0000000000000071E-2"/>
    <x v="0"/>
    <x v="1"/>
    <n v="0"/>
    <n v="13.3"/>
    <n v="0.19"/>
    <n v="-13.3"/>
    <s v="Ecart négatif"/>
    <n v="13.269999999999996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59"/>
    <x v="8"/>
    <x v="0"/>
    <n v="0"/>
    <n v="0"/>
    <n v="0"/>
    <n v="0"/>
    <x v="1"/>
    <x v="1"/>
    <n v="0"/>
    <n v="0"/>
    <n v="0"/>
    <n v="0"/>
    <s v="Pas d'écart"/>
    <n v="8.9500000000000028"/>
  </r>
  <r>
    <x v="3"/>
    <n v="62"/>
    <x v="14"/>
    <x v="222"/>
    <n v="0.18892307692307692"/>
    <n v="24.7"/>
    <n v="0.19"/>
    <n v="-0.14000000000000057"/>
    <x v="0"/>
    <x v="1"/>
    <n v="0"/>
    <n v="24.7"/>
    <n v="0.19"/>
    <n v="-24.7"/>
    <s v="Ecart négatif"/>
    <n v="14.579999999999998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91"/>
    <x v="16"/>
    <x v="0"/>
    <n v="0"/>
    <n v="0"/>
    <n v="0"/>
    <n v="0"/>
    <x v="1"/>
    <x v="1"/>
    <n v="0"/>
    <n v="0"/>
    <n v="0"/>
    <n v="0"/>
    <s v="Pas d'écart"/>
    <n v="12.75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2"/>
    <n v="92"/>
    <x v="7"/>
    <x v="0"/>
    <n v="0"/>
    <n v="0"/>
    <n v="0"/>
    <n v="0"/>
    <x v="1"/>
    <x v="1"/>
    <n v="0"/>
    <n v="0"/>
    <n v="0"/>
    <n v="0"/>
    <s v="Pas d'écart"/>
    <n v="0"/>
  </r>
  <r>
    <x v="2"/>
    <n v="13"/>
    <x v="12"/>
    <x v="0"/>
    <n v="0"/>
    <n v="7.6"/>
    <n v="0.19"/>
    <n v="-7.6"/>
    <x v="0"/>
    <x v="132"/>
    <n v="0.19"/>
    <n v="7.6"/>
    <n v="0.19"/>
    <n v="0"/>
    <s v="Pas d'écart"/>
    <n v="0"/>
  </r>
  <r>
    <x v="2"/>
    <n v="74"/>
    <x v="2"/>
    <x v="0"/>
    <n v="0"/>
    <n v="0"/>
    <n v="0"/>
    <n v="0"/>
    <x v="1"/>
    <x v="1"/>
    <n v="0"/>
    <n v="0"/>
    <n v="0"/>
    <n v="0"/>
    <s v="Pas d'écart"/>
    <n v="0"/>
  </r>
  <r>
    <x v="2"/>
    <n v="39"/>
    <x v="7"/>
    <x v="0"/>
    <n v="0"/>
    <n v="0"/>
    <n v="0"/>
    <n v="0"/>
    <x v="1"/>
    <x v="1"/>
    <n v="0"/>
    <n v="0"/>
    <n v="0"/>
    <n v="0"/>
    <s v="Pas d'écart"/>
    <n v="18.78"/>
  </r>
  <r>
    <x v="3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14.68"/>
  </r>
  <r>
    <x v="0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3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14.68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5"/>
    <x v="1"/>
    <x v="0"/>
    <n v="0"/>
    <n v="22.8"/>
    <n v="0.19"/>
    <n v="-22.8"/>
    <x v="0"/>
    <x v="1"/>
    <n v="0"/>
    <n v="22.8"/>
    <n v="0.19"/>
    <n v="-22.8"/>
    <s v="Ecart négatif"/>
    <n v="77.349999999999994"/>
  </r>
  <r>
    <x v="0"/>
    <n v="17"/>
    <x v="13"/>
    <x v="0"/>
    <n v="0"/>
    <n v="28.900000000000002"/>
    <n v="0.17"/>
    <n v="-28.900000000000002"/>
    <x v="0"/>
    <x v="1"/>
    <n v="0"/>
    <n v="28.900000000000002"/>
    <n v="0.17"/>
    <n v="-28.900000000000002"/>
    <s v="Ecart négatif"/>
    <n v="103.87"/>
  </r>
  <r>
    <x v="0"/>
    <n v="13"/>
    <x v="7"/>
    <x v="0"/>
    <n v="0"/>
    <n v="5.7"/>
    <n v="0.19"/>
    <n v="-5.7"/>
    <x v="0"/>
    <x v="1"/>
    <n v="0"/>
    <n v="5.7"/>
    <n v="0.19"/>
    <n v="-5.7"/>
    <s v="Ecart négatif"/>
    <n v="20.93"/>
  </r>
  <r>
    <x v="0"/>
    <n v="55"/>
    <x v="16"/>
    <x v="0"/>
    <n v="0"/>
    <n v="50"/>
    <n v="0.25"/>
    <n v="-50"/>
    <x v="0"/>
    <x v="168"/>
    <n v="0.24625"/>
    <n v="50"/>
    <n v="0.25"/>
    <n v="-0.75"/>
    <s v="Ecart négatif"/>
    <n v="129.61000000000001"/>
  </r>
  <r>
    <x v="0"/>
    <n v="68"/>
    <x v="7"/>
    <x v="0"/>
    <n v="0"/>
    <n v="2.4"/>
    <n v="0.08"/>
    <n v="-2.4"/>
    <x v="0"/>
    <x v="1"/>
    <n v="0"/>
    <n v="2.4"/>
    <n v="0.08"/>
    <n v="-2.4"/>
    <s v="Ecart négatif"/>
    <n v="4.07"/>
  </r>
  <r>
    <x v="0"/>
    <n v="6"/>
    <x v="7"/>
    <x v="0"/>
    <n v="0"/>
    <n v="6.3"/>
    <n v="0.21"/>
    <n v="-6.3"/>
    <x v="0"/>
    <x v="169"/>
    <n v="0.18633333333333332"/>
    <n v="6.3"/>
    <n v="0.21"/>
    <n v="-0.71"/>
    <s v="Ecart négatif"/>
    <n v="24.07"/>
  </r>
  <r>
    <x v="2"/>
    <n v="57"/>
    <x v="4"/>
    <x v="0"/>
    <n v="0"/>
    <n v="27.5"/>
    <n v="0.25"/>
    <n v="-27.5"/>
    <x v="0"/>
    <x v="49"/>
    <n v="0.24781818181818183"/>
    <n v="27.5"/>
    <n v="0.25"/>
    <n v="-0.23999999999999844"/>
    <s v="Ecart négatif"/>
    <n v="71.81"/>
  </r>
  <r>
    <x v="5"/>
    <n v="35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3.5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6"/>
    <x v="7"/>
    <x v="0"/>
    <n v="0"/>
    <n v="6.3"/>
    <n v="0.21"/>
    <n v="-6.3"/>
    <x v="0"/>
    <x v="170"/>
    <n v="0.26999999999999996"/>
    <n v="6.3"/>
    <n v="0.21"/>
    <n v="1.7999999999999998"/>
    <s v="Ecart positif"/>
    <n v="4.809999999999998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76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15.069999999999997"/>
  </r>
  <r>
    <x v="5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21"/>
    <x v="11"/>
    <x v="0"/>
    <n v="0"/>
    <n v="14.399999999999999"/>
    <n v="0.23999999999999996"/>
    <n v="-14.399999999999999"/>
    <x v="0"/>
    <x v="1"/>
    <n v="0"/>
    <n v="14.399999999999999"/>
    <n v="0.23999999999999996"/>
    <n v="-14.399999999999999"/>
    <s v="Ecart négatif"/>
    <n v="15.069999999999997"/>
  </r>
  <r>
    <x v="0"/>
    <n v="62"/>
    <x v="27"/>
    <x v="0"/>
    <n v="0"/>
    <n v="0"/>
    <n v="0"/>
    <n v="0"/>
    <x v="1"/>
    <x v="38"/>
    <n v="0.16719999999999999"/>
    <n v="0"/>
    <n v="0"/>
    <n v="8.36"/>
    <s v="Ecart positif"/>
    <n v="8.8100000000000023"/>
  </r>
  <r>
    <x v="6"/>
    <n v="77"/>
    <x v="22"/>
    <x v="0"/>
    <n v="0"/>
    <n v="0"/>
    <n v="0"/>
    <n v="0"/>
    <x v="1"/>
    <x v="1"/>
    <n v="0"/>
    <n v="0"/>
    <n v="0"/>
    <n v="0"/>
    <s v="Pas d'écart"/>
    <n v="-28.61"/>
  </r>
  <r>
    <x v="2"/>
    <n v="57"/>
    <x v="7"/>
    <x v="0"/>
    <n v="0"/>
    <n v="7.5"/>
    <n v="0.25"/>
    <n v="-7.5"/>
    <x v="0"/>
    <x v="171"/>
    <n v="0.249"/>
    <n v="7.5"/>
    <n v="0.25"/>
    <n v="-3.0000000000000249E-2"/>
    <s v="Ecart négatif"/>
    <n v="19.09"/>
  </r>
  <r>
    <x v="4"/>
    <n v="59"/>
    <x v="2"/>
    <x v="329"/>
    <n v="0.18892857142857142"/>
    <n v="26.6"/>
    <n v="0.19"/>
    <n v="-0.15000000000000213"/>
    <x v="0"/>
    <x v="1"/>
    <n v="0"/>
    <n v="26.6"/>
    <n v="0.19"/>
    <n v="-26.6"/>
    <s v="Ecart négatif"/>
    <n v="0"/>
  </r>
  <r>
    <x v="2"/>
    <n v="30"/>
    <x v="10"/>
    <x v="0"/>
    <n v="0"/>
    <n v="42.000000000000007"/>
    <n v="0.28000000000000003"/>
    <n v="-42.000000000000007"/>
    <x v="0"/>
    <x v="1"/>
    <n v="0"/>
    <n v="42.000000000000007"/>
    <n v="0.28000000000000003"/>
    <n v="-42.000000000000007"/>
    <s v="Ecart négatif"/>
    <n v="73.959999999999994"/>
  </r>
  <r>
    <x v="0"/>
    <n v="62"/>
    <x v="16"/>
    <x v="0"/>
    <n v="0"/>
    <n v="0"/>
    <n v="0"/>
    <n v="0"/>
    <x v="1"/>
    <x v="1"/>
    <n v="0"/>
    <n v="0"/>
    <n v="0"/>
    <n v="0"/>
    <s v="Pas d'écart"/>
    <n v="129.61000000000001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4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0"/>
  </r>
  <r>
    <x v="0"/>
    <n v="30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73.41"/>
  </r>
  <r>
    <x v="2"/>
    <n v="26"/>
    <x v="19"/>
    <x v="0"/>
    <n v="0"/>
    <n v="0"/>
    <n v="0"/>
    <n v="0"/>
    <x v="1"/>
    <x v="1"/>
    <n v="0"/>
    <n v="0"/>
    <n v="0"/>
    <n v="0"/>
    <s v="Pas d'écart"/>
    <n v="128.22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8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3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14.68"/>
  </r>
  <r>
    <x v="2"/>
    <n v="2"/>
    <x v="12"/>
    <x v="0"/>
    <n v="0"/>
    <n v="0"/>
    <n v="0"/>
    <n v="0"/>
    <x v="1"/>
    <x v="1"/>
    <n v="0"/>
    <n v="0"/>
    <n v="0"/>
    <n v="0"/>
    <s v="Pas d'écart"/>
    <n v="0"/>
  </r>
  <r>
    <x v="0"/>
    <n v="71"/>
    <x v="8"/>
    <x v="0"/>
    <n v="0"/>
    <n v="0"/>
    <n v="0"/>
    <n v="0"/>
    <x v="1"/>
    <x v="1"/>
    <n v="0"/>
    <n v="0"/>
    <n v="0"/>
    <n v="0"/>
    <s v="Pas d'écart"/>
    <n v="12.299999999999997"/>
  </r>
  <r>
    <x v="0"/>
    <n v="34"/>
    <x v="4"/>
    <x v="0"/>
    <n v="0"/>
    <n v="30.800000000000004"/>
    <n v="0.28000000000000003"/>
    <n v="-30.800000000000004"/>
    <x v="0"/>
    <x v="172"/>
    <n v="0.27845454545454545"/>
    <n v="30.800000000000004"/>
    <n v="0.28000000000000003"/>
    <n v="-0.17000000000000526"/>
    <s v="Ecart négatif"/>
    <n v="76.63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59"/>
    <x v="16"/>
    <x v="0"/>
    <n v="0"/>
    <n v="0"/>
    <n v="0"/>
    <n v="0"/>
    <x v="1"/>
    <x v="1"/>
    <n v="0"/>
    <n v="0"/>
    <n v="0"/>
    <n v="0"/>
    <s v="Pas d'écart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3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14.68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6"/>
    <n v="4"/>
    <x v="8"/>
    <x v="0"/>
    <n v="0"/>
    <n v="20.299999999999997"/>
    <n v="0.28999999999999998"/>
    <n v="-20.299999999999997"/>
    <x v="0"/>
    <x v="173"/>
    <n v="0.3"/>
    <n v="20.299999999999997"/>
    <n v="0.28999999999999998"/>
    <n v="0.70000000000000284"/>
    <s v="Ecart positif"/>
    <n v="0"/>
  </r>
  <r>
    <x v="4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0"/>
  </r>
  <r>
    <x v="3"/>
    <n v="62"/>
    <x v="2"/>
    <x v="329"/>
    <n v="0.18892857142857142"/>
    <n v="26.6"/>
    <n v="0.19"/>
    <n v="-0.15000000000000213"/>
    <x v="0"/>
    <x v="1"/>
    <n v="0"/>
    <n v="26.6"/>
    <n v="0.19"/>
    <n v="-26.6"/>
    <s v="Ecart négatif"/>
    <n v="14.68"/>
  </r>
  <r>
    <x v="8"/>
    <n v="74"/>
    <x v="9"/>
    <x v="0"/>
    <n v="0"/>
    <n v="20.8"/>
    <n v="0.26"/>
    <n v="-20.8"/>
    <x v="0"/>
    <x v="1"/>
    <n v="0"/>
    <n v="20.8"/>
    <n v="0.26"/>
    <n v="-20.8"/>
    <s v="Ecart négatif"/>
    <n v="0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3.140000000000008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3"/>
    <n v="59"/>
    <x v="58"/>
    <x v="330"/>
    <n v="0.18893939393939393"/>
    <n v="62.7"/>
    <n v="0.19"/>
    <n v="-0.35000000000000142"/>
    <x v="0"/>
    <x v="1"/>
    <n v="0"/>
    <n v="62.7"/>
    <n v="0.19"/>
    <n v="-62.7"/>
    <s v="Ecart négatif"/>
    <n v="32.31"/>
  </r>
  <r>
    <x v="4"/>
    <n v="84"/>
    <x v="5"/>
    <x v="331"/>
    <n v="0.189"/>
    <n v="2.9"/>
    <n v="0.28999999999999998"/>
    <n v="-1.01"/>
    <x v="0"/>
    <x v="1"/>
    <n v="0"/>
    <n v="2.9"/>
    <n v="0.28999999999999998"/>
    <n v="-2.9"/>
    <s v="Ecart négatif"/>
    <n v="0"/>
  </r>
  <r>
    <x v="4"/>
    <n v="2"/>
    <x v="11"/>
    <x v="332"/>
    <n v="0.18916666666666665"/>
    <n v="10.799999999999999"/>
    <n v="0.18"/>
    <n v="0.55000000000000071"/>
    <x v="2"/>
    <x v="1"/>
    <n v="0"/>
    <n v="10.799999999999999"/>
    <n v="0.18"/>
    <n v="-10.799999999999999"/>
    <s v="Ecart négatif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94"/>
    <x v="12"/>
    <x v="0"/>
    <n v="0"/>
    <n v="0"/>
    <n v="0"/>
    <n v="0"/>
    <x v="1"/>
    <x v="1"/>
    <n v="0"/>
    <n v="0"/>
    <n v="0"/>
    <n v="0"/>
    <s v="Pas d'écart"/>
    <n v="0"/>
  </r>
  <r>
    <x v="4"/>
    <n v="62"/>
    <x v="14"/>
    <x v="333"/>
    <n v="0.1893846153846154"/>
    <n v="24.7"/>
    <n v="0.19"/>
    <n v="-7.9999999999998295E-2"/>
    <x v="0"/>
    <x v="1"/>
    <n v="0"/>
    <n v="24.7"/>
    <n v="0.19"/>
    <n v="-24.7"/>
    <s v="Ecart négatif"/>
    <n v="0"/>
  </r>
  <r>
    <x v="4"/>
    <n v="59"/>
    <x v="2"/>
    <x v="334"/>
    <n v="0.18942857142857142"/>
    <n v="26.6"/>
    <n v="0.19"/>
    <n v="-8.0000000000001847E-2"/>
    <x v="0"/>
    <x v="1"/>
    <n v="0"/>
    <n v="26.6"/>
    <n v="0.19"/>
    <n v="-26.6"/>
    <s v="Ecart négatif"/>
    <n v="0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4"/>
    <n v="60"/>
    <x v="10"/>
    <x v="335"/>
    <n v="0.18946666666666667"/>
    <n v="28.5"/>
    <n v="0.19"/>
    <n v="-7.9999999999998295E-2"/>
    <x v="0"/>
    <x v="1"/>
    <n v="0"/>
    <n v="28.5"/>
    <n v="0.19"/>
    <n v="-28.5"/>
    <s v="Ecart négatif"/>
    <n v="0"/>
  </r>
  <r>
    <x v="4"/>
    <n v="2"/>
    <x v="59"/>
    <x v="336"/>
    <n v="0.18992063492063493"/>
    <n v="226.79999999999998"/>
    <n v="0.18"/>
    <n v="12.500000000000028"/>
    <x v="2"/>
    <x v="1"/>
    <n v="0"/>
    <n v="226.79999999999998"/>
    <n v="0.18"/>
    <n v="-226.79999999999998"/>
    <s v="Ecart négatif"/>
    <e v="#N/A"/>
  </r>
  <r>
    <x v="4"/>
    <n v="8"/>
    <x v="2"/>
    <x v="80"/>
    <n v="0.19"/>
    <n v="25.2"/>
    <n v="0.18"/>
    <n v="1.4000000000000021"/>
    <x v="2"/>
    <x v="1"/>
    <n v="0"/>
    <n v="25.2"/>
    <n v="0.18"/>
    <n v="-25.2"/>
    <s v="Ecart négatif"/>
    <n v="0"/>
  </r>
  <r>
    <x v="4"/>
    <n v="2"/>
    <x v="27"/>
    <x v="337"/>
    <n v="0.19"/>
    <n v="9"/>
    <n v="0.18"/>
    <n v="0.5"/>
    <x v="2"/>
    <x v="1"/>
    <n v="0"/>
    <n v="9"/>
    <n v="0.18"/>
    <n v="-9"/>
    <s v="Ecart négatif"/>
    <n v="0"/>
  </r>
  <r>
    <x v="8"/>
    <n v="34"/>
    <x v="10"/>
    <x v="0"/>
    <n v="0"/>
    <n v="58.5"/>
    <n v="0.39"/>
    <n v="-58.5"/>
    <x v="0"/>
    <x v="1"/>
    <n v="0"/>
    <n v="58.5"/>
    <n v="0.39"/>
    <n v="-58.5"/>
    <s v="Ecart négatif"/>
    <n v="79.510000000000005"/>
  </r>
  <r>
    <x v="2"/>
    <n v="76"/>
    <x v="0"/>
    <x v="0"/>
    <n v="0"/>
    <n v="30.6"/>
    <n v="0.17"/>
    <n v="-30.6"/>
    <x v="0"/>
    <x v="0"/>
    <n v="0.17"/>
    <n v="30.6"/>
    <n v="0.17"/>
    <n v="0"/>
    <s v="Pas d'écart"/>
    <n v="0"/>
  </r>
  <r>
    <x v="4"/>
    <n v="2"/>
    <x v="12"/>
    <x v="6"/>
    <n v="0.19"/>
    <n v="7.1999999999999993"/>
    <n v="0.18"/>
    <n v="0.40000000000000036"/>
    <x v="2"/>
    <x v="1"/>
    <n v="0"/>
    <n v="7.1999999999999993"/>
    <n v="0.18"/>
    <n v="-7.1999999999999993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74"/>
    <x v="0"/>
    <x v="0"/>
    <n v="0"/>
    <n v="0"/>
    <n v="0"/>
    <n v="0"/>
    <x v="1"/>
    <x v="1"/>
    <n v="0"/>
    <n v="0"/>
    <n v="0"/>
    <n v="0"/>
    <s v="Pas d'écart"/>
    <n v="116.04"/>
  </r>
  <r>
    <x v="3"/>
    <n v="9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18"/>
    <x v="12"/>
    <x v="338"/>
    <n v="0.191"/>
    <n v="8.4"/>
    <n v="0.21000000000000002"/>
    <n v="-0.76000000000000068"/>
    <x v="0"/>
    <x v="1"/>
    <n v="0"/>
    <n v="8.4"/>
    <n v="0.21000000000000002"/>
    <n v="-8.4"/>
    <s v="Ecart négatif"/>
    <n v="9.5499999999999972"/>
  </r>
  <r>
    <x v="0"/>
    <n v="78"/>
    <x v="19"/>
    <x v="0"/>
    <n v="0"/>
    <n v="0"/>
    <n v="0"/>
    <n v="0"/>
    <x v="1"/>
    <x v="1"/>
    <n v="0"/>
    <n v="0"/>
    <n v="0"/>
    <n v="0"/>
    <s v="Pas d'écart"/>
    <n v="12.399999999999999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13.140000000000008"/>
  </r>
  <r>
    <x v="4"/>
    <n v="45"/>
    <x v="4"/>
    <x v="339"/>
    <n v="0.191"/>
    <n v="23.099999999999998"/>
    <n v="0.21"/>
    <n v="-2.0899999999999963"/>
    <x v="0"/>
    <x v="1"/>
    <n v="0"/>
    <n v="23.099999999999998"/>
    <n v="0.21"/>
    <n v="-23.099999999999998"/>
    <s v="Ecart négatif"/>
    <n v="0"/>
  </r>
  <r>
    <x v="3"/>
    <n v="77"/>
    <x v="15"/>
    <x v="0"/>
    <n v="0"/>
    <n v="0"/>
    <n v="0"/>
    <n v="0"/>
    <x v="1"/>
    <x v="1"/>
    <n v="0"/>
    <n v="0"/>
    <n v="0"/>
    <n v="0"/>
    <s v="Pas d'écart"/>
    <n v="2.91"/>
  </r>
  <r>
    <x v="0"/>
    <n v="68"/>
    <x v="12"/>
    <x v="0"/>
    <n v="0"/>
    <n v="3.2"/>
    <n v="0.08"/>
    <n v="-3.2"/>
    <x v="0"/>
    <x v="61"/>
    <n v="0.08"/>
    <n v="3.2"/>
    <n v="0.08"/>
    <n v="0"/>
    <s v="Pas d'écart"/>
    <n v="8.2899999999999991"/>
  </r>
  <r>
    <x v="3"/>
    <n v="18"/>
    <x v="12"/>
    <x v="338"/>
    <n v="0.191"/>
    <n v="8.4"/>
    <n v="0.21000000000000002"/>
    <n v="-0.76000000000000068"/>
    <x v="0"/>
    <x v="1"/>
    <n v="0"/>
    <n v="8.4"/>
    <n v="0.21000000000000002"/>
    <n v="-8.4"/>
    <s v="Ecart négatif"/>
    <n v="9.5499999999999972"/>
  </r>
  <r>
    <x v="4"/>
    <n v="44"/>
    <x v="15"/>
    <x v="340"/>
    <n v="0.1915"/>
    <n v="5.4"/>
    <n v="0.27"/>
    <n v="-1.5700000000000003"/>
    <x v="0"/>
    <x v="1"/>
    <n v="0"/>
    <n v="5.4"/>
    <n v="0.27"/>
    <n v="-5.4"/>
    <s v="Ecart négatif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3"/>
    <n v="56"/>
    <x v="15"/>
    <x v="340"/>
    <n v="0.1915"/>
    <n v="5.4"/>
    <n v="0.27"/>
    <n v="-1.5700000000000003"/>
    <x v="0"/>
    <x v="1"/>
    <n v="0"/>
    <n v="5.4"/>
    <n v="0.27"/>
    <n v="-5.4"/>
    <s v="Ecart négatif"/>
    <n v="3.740000000000002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3"/>
    <n v="16"/>
    <x v="12"/>
    <x v="341"/>
    <n v="0.19175"/>
    <n v="8.4"/>
    <n v="0.21000000000000002"/>
    <n v="-0.73000000000000043"/>
    <x v="0"/>
    <x v="1"/>
    <n v="0"/>
    <n v="8.4"/>
    <n v="0.21000000000000002"/>
    <n v="-8.4"/>
    <s v="Ecart négatif"/>
    <n v="9.5499999999999972"/>
  </r>
  <r>
    <x v="4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3"/>
    <n v="16"/>
    <x v="12"/>
    <x v="341"/>
    <n v="0.19175"/>
    <n v="8.4"/>
    <n v="0.21000000000000002"/>
    <n v="-0.73000000000000043"/>
    <x v="0"/>
    <x v="1"/>
    <n v="0"/>
    <n v="8.4"/>
    <n v="0.21000000000000002"/>
    <n v="-8.4"/>
    <s v="Ecart négatif"/>
    <n v="9.5499999999999972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5.310000000000002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0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0"/>
    <n v="56"/>
    <x v="2"/>
    <x v="0"/>
    <n v="0"/>
    <n v="0"/>
    <n v="0"/>
    <n v="0"/>
    <x v="1"/>
    <x v="1"/>
    <n v="0"/>
    <n v="0"/>
    <n v="0"/>
    <n v="0"/>
    <s v="Pas d'écart"/>
    <n v="73.41"/>
  </r>
  <r>
    <x v="4"/>
    <n v="86"/>
    <x v="8"/>
    <x v="342"/>
    <n v="0.192"/>
    <n v="14.7"/>
    <n v="0.21"/>
    <n v="-1.2599999999999998"/>
    <x v="0"/>
    <x v="1"/>
    <n v="0"/>
    <n v="14.7"/>
    <n v="0.21"/>
    <n v="-14.7"/>
    <s v="Ecart négatif"/>
    <n v="0"/>
  </r>
  <r>
    <x v="3"/>
    <n v="13"/>
    <x v="27"/>
    <x v="343"/>
    <n v="0.28999999999999998"/>
    <n v="14.499999999999998"/>
    <n v="0.28999999999999998"/>
    <n v="0"/>
    <x v="1"/>
    <x v="1"/>
    <n v="0"/>
    <n v="14.499999999999998"/>
    <n v="0.28999999999999998"/>
    <n v="-14.499999999999998"/>
    <s v="Ecart négatif"/>
    <n v="8.0399999999999991"/>
  </r>
  <r>
    <x v="3"/>
    <n v="86"/>
    <x v="15"/>
    <x v="344"/>
    <n v="0.1925"/>
    <n v="4.2"/>
    <n v="0.21000000000000002"/>
    <n v="-0.35000000000000009"/>
    <x v="0"/>
    <x v="1"/>
    <n v="0"/>
    <n v="4.2"/>
    <n v="0.21000000000000002"/>
    <n v="-4.2"/>
    <s v="Ecart négatif"/>
    <n v="2.83"/>
  </r>
  <r>
    <x v="4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-22.520000000000003"/>
  </r>
  <r>
    <x v="4"/>
    <n v="75"/>
    <x v="1"/>
    <x v="0"/>
    <n v="0"/>
    <n v="0"/>
    <n v="0"/>
    <n v="0"/>
    <x v="1"/>
    <x v="1"/>
    <n v="0"/>
    <n v="0"/>
    <n v="0"/>
    <n v="0"/>
    <s v="Pas d'écart"/>
    <n v="0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3"/>
    <n v="72"/>
    <x v="15"/>
    <x v="344"/>
    <n v="0.1925"/>
    <n v="4.2"/>
    <n v="0.21000000000000002"/>
    <n v="-0.35000000000000009"/>
    <x v="0"/>
    <x v="1"/>
    <n v="0"/>
    <n v="4.2"/>
    <n v="0.21000000000000002"/>
    <n v="-4.2"/>
    <s v="Ecart négatif"/>
    <n v="2.8600000000000012"/>
  </r>
  <r>
    <x v="4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-22.520000000000003"/>
  </r>
  <r>
    <x v="2"/>
    <n v="90"/>
    <x v="9"/>
    <x v="0"/>
    <n v="0"/>
    <n v="6.4"/>
    <n v="0.08"/>
    <n v="-6.4"/>
    <x v="0"/>
    <x v="174"/>
    <n v="7.1874999999999994E-2"/>
    <n v="6.4"/>
    <n v="0.08"/>
    <n v="-0.65000000000000036"/>
    <s v="Ecart négatif"/>
    <n v="0"/>
  </r>
  <r>
    <x v="4"/>
    <n v="44"/>
    <x v="12"/>
    <x v="95"/>
    <n v="0.27"/>
    <n v="10.8"/>
    <n v="0.27"/>
    <n v="0"/>
    <x v="1"/>
    <x v="1"/>
    <n v="0"/>
    <n v="10.8"/>
    <n v="0.27"/>
    <n v="-10.8"/>
    <s v="Ecart négatif"/>
    <n v="0"/>
  </r>
  <r>
    <x v="4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-22.520000000000003"/>
  </r>
  <r>
    <x v="4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-22.520000000000003"/>
  </r>
  <r>
    <x v="4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-22.520000000000003"/>
  </r>
  <r>
    <x v="4"/>
    <n v="47"/>
    <x v="11"/>
    <x v="316"/>
    <n v="0.1925"/>
    <n v="12.6"/>
    <n v="0.21"/>
    <n v="-1.0499999999999989"/>
    <x v="0"/>
    <x v="1"/>
    <n v="0"/>
    <n v="12.6"/>
    <n v="0.21"/>
    <n v="-12.6"/>
    <s v="Ecart négatif"/>
    <n v="0"/>
  </r>
  <r>
    <x v="2"/>
    <n v="60"/>
    <x v="10"/>
    <x v="0"/>
    <n v="0"/>
    <n v="0"/>
    <n v="0"/>
    <n v="0"/>
    <x v="1"/>
    <x v="1"/>
    <n v="0"/>
    <n v="0"/>
    <n v="0"/>
    <n v="0"/>
    <s v="Pas d'écart"/>
    <n v="0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2"/>
    <n v="14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1.47"/>
  </r>
  <r>
    <x v="0"/>
    <n v="38"/>
    <x v="3"/>
    <x v="0"/>
    <n v="0"/>
    <n v="0"/>
    <n v="0"/>
    <n v="0"/>
    <x v="1"/>
    <x v="1"/>
    <n v="0"/>
    <n v="0"/>
    <n v="0"/>
    <n v="0"/>
    <s v="Pas d'écart"/>
    <n v="135.19999999999999"/>
  </r>
  <r>
    <x v="2"/>
    <n v="1"/>
    <x v="0"/>
    <x v="0"/>
    <n v="0"/>
    <n v="0"/>
    <n v="0"/>
    <n v="0"/>
    <x v="1"/>
    <x v="1"/>
    <n v="0"/>
    <n v="0"/>
    <n v="0"/>
    <n v="0"/>
    <s v="Pas d'écart"/>
    <n v="107.35"/>
  </r>
  <r>
    <x v="2"/>
    <n v="42"/>
    <x v="0"/>
    <x v="0"/>
    <n v="0"/>
    <n v="0"/>
    <n v="0"/>
    <n v="0"/>
    <x v="1"/>
    <x v="1"/>
    <n v="0"/>
    <n v="0"/>
    <n v="0"/>
    <n v="0"/>
    <s v="Pas d'écart"/>
    <n v="107.35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0"/>
  </r>
  <r>
    <x v="0"/>
    <n v="58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2"/>
    <n v="63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20.079999999999998"/>
  </r>
  <r>
    <x v="2"/>
    <n v="13"/>
    <x v="12"/>
    <x v="0"/>
    <n v="0"/>
    <n v="7.6"/>
    <n v="0.19"/>
    <n v="-7.6"/>
    <x v="0"/>
    <x v="175"/>
    <n v="0.26050000000000001"/>
    <n v="7.6"/>
    <n v="0.19"/>
    <n v="2.8200000000000003"/>
    <s v="Ecart positif"/>
    <n v="34.29"/>
  </r>
  <r>
    <x v="0"/>
    <n v="34"/>
    <x v="25"/>
    <x v="0"/>
    <n v="0"/>
    <n v="61.600000000000009"/>
    <n v="0.28000000000000003"/>
    <n v="-61.600000000000009"/>
    <x v="0"/>
    <x v="1"/>
    <n v="0"/>
    <n v="61.600000000000009"/>
    <n v="0.28000000000000003"/>
    <n v="-61.600000000000009"/>
    <s v="Ecart négatif"/>
    <n v="152.72999999999999"/>
  </r>
  <r>
    <x v="2"/>
    <n v="66"/>
    <x v="7"/>
    <x v="0"/>
    <n v="0"/>
    <n v="8.4"/>
    <n v="0.28000000000000003"/>
    <n v="-8.4"/>
    <x v="0"/>
    <x v="1"/>
    <n v="0"/>
    <n v="8.4"/>
    <n v="0.28000000000000003"/>
    <n v="-8.4"/>
    <s v="Ecart négatif"/>
    <n v="22.98"/>
  </r>
  <r>
    <x v="0"/>
    <n v="70"/>
    <x v="9"/>
    <x v="0"/>
    <n v="0"/>
    <n v="9.6"/>
    <n v="0.12"/>
    <n v="-9.6"/>
    <x v="0"/>
    <x v="1"/>
    <n v="0"/>
    <n v="9.6"/>
    <n v="0.12"/>
    <n v="-9.6"/>
    <s v="Ecart négatif"/>
    <n v="74.47"/>
  </r>
  <r>
    <x v="4"/>
    <n v="92"/>
    <x v="11"/>
    <x v="0"/>
    <n v="0"/>
    <n v="0"/>
    <n v="0"/>
    <n v="0"/>
    <x v="1"/>
    <x v="1"/>
    <n v="0"/>
    <n v="0"/>
    <n v="0"/>
    <n v="0"/>
    <s v="Pas d'écart"/>
    <n v="0"/>
  </r>
  <r>
    <x v="5"/>
    <n v="57"/>
    <x v="11"/>
    <x v="0"/>
    <n v="0"/>
    <n v="14.399999999999999"/>
    <n v="0.23999999999999996"/>
    <n v="-14.399999999999999"/>
    <x v="0"/>
    <x v="1"/>
    <n v="0"/>
    <n v="14.399999999999999"/>
    <n v="0.23999999999999996"/>
    <n v="-14.399999999999999"/>
    <s v="Ecart négatif"/>
    <n v="25.37"/>
  </r>
  <r>
    <x v="5"/>
    <n v="83"/>
    <x v="11"/>
    <x v="0"/>
    <n v="0"/>
    <n v="18"/>
    <n v="0.3"/>
    <n v="-18"/>
    <x v="0"/>
    <x v="1"/>
    <n v="0"/>
    <n v="18"/>
    <n v="0.3"/>
    <n v="-18"/>
    <s v="Ecart négatif"/>
    <n v="25.37"/>
  </r>
  <r>
    <x v="5"/>
    <n v="2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30.849999999999998"/>
  </r>
  <r>
    <x v="2"/>
    <n v="85"/>
    <x v="8"/>
    <x v="0"/>
    <n v="0"/>
    <n v="0"/>
    <n v="0"/>
    <n v="0"/>
    <x v="1"/>
    <x v="1"/>
    <n v="0"/>
    <n v="0"/>
    <n v="0"/>
    <n v="0"/>
    <s v="Pas d'écart"/>
    <n v="10.479999999999997"/>
  </r>
  <r>
    <x v="4"/>
    <n v="93"/>
    <x v="9"/>
    <x v="0"/>
    <n v="0"/>
    <n v="0"/>
    <n v="0"/>
    <n v="0"/>
    <x v="1"/>
    <x v="1"/>
    <n v="0"/>
    <n v="0"/>
    <n v="0"/>
    <n v="0"/>
    <s v="Pas d'écart"/>
    <n v="0"/>
  </r>
  <r>
    <x v="2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67"/>
    <x v="20"/>
    <x v="0"/>
    <n v="0"/>
    <n v="20"/>
    <n v="0.08"/>
    <n v="-20"/>
    <x v="0"/>
    <x v="176"/>
    <n v="0.08"/>
    <n v="20"/>
    <n v="0.08"/>
    <n v="0"/>
    <s v="Pas d'écart"/>
    <n v="131.1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18.340000000000003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6"/>
    <n v="21"/>
    <x v="11"/>
    <x v="0"/>
    <n v="0"/>
    <n v="14.399999999999999"/>
    <n v="0.23999999999999996"/>
    <n v="-14.399999999999999"/>
    <x v="0"/>
    <x v="177"/>
    <n v="0.2225"/>
    <n v="14.399999999999999"/>
    <n v="0.23999999999999996"/>
    <n v="-1.0499999999999989"/>
    <s v="Ecart négatif"/>
    <n v="-10.300000000000004"/>
  </r>
  <r>
    <x v="4"/>
    <n v="59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5"/>
    <n v="50"/>
    <x v="2"/>
    <x v="0"/>
    <n v="0"/>
    <n v="23.8"/>
    <n v="0.17"/>
    <n v="-23.8"/>
    <x v="0"/>
    <x v="1"/>
    <n v="0"/>
    <n v="23.8"/>
    <n v="0.17"/>
    <n v="-23.8"/>
    <s v="Ecart négatif"/>
    <n v="15.75999999999999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68"/>
    <x v="9"/>
    <x v="0"/>
    <n v="0"/>
    <n v="6.4"/>
    <n v="0.08"/>
    <n v="-6.4"/>
    <x v="0"/>
    <x v="1"/>
    <n v="0"/>
    <n v="6.4"/>
    <n v="0.08"/>
    <n v="-6.4"/>
    <s v="Ecart négatif"/>
    <n v="19.18999999999999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67"/>
    <x v="2"/>
    <x v="188"/>
    <n v="0.29000000000000004"/>
    <n v="40.599999999999994"/>
    <n v="0.28999999999999998"/>
    <n v="0"/>
    <x v="1"/>
    <x v="1"/>
    <n v="0"/>
    <n v="40.599999999999994"/>
    <n v="0.28999999999999998"/>
    <n v="-40.599999999999994"/>
    <s v="Ecart négatif"/>
    <n v="13.140000000000008"/>
  </r>
  <r>
    <x v="2"/>
    <n v="14"/>
    <x v="2"/>
    <x v="0"/>
    <n v="0"/>
    <n v="23.8"/>
    <n v="0.17"/>
    <n v="-23.8"/>
    <x v="0"/>
    <x v="40"/>
    <n v="0.17"/>
    <n v="23.8"/>
    <n v="0.17"/>
    <n v="0"/>
    <s v="Pas d'écart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37"/>
    <x v="15"/>
    <x v="344"/>
    <n v="0.1925"/>
    <n v="3.8"/>
    <n v="0.19"/>
    <n v="5.0000000000000266E-2"/>
    <x v="2"/>
    <x v="1"/>
    <n v="0"/>
    <n v="3.8"/>
    <n v="0.19"/>
    <n v="-3.8"/>
    <s v="Ecart négatif"/>
    <n v="0"/>
  </r>
  <r>
    <x v="4"/>
    <n v="75"/>
    <x v="14"/>
    <x v="0"/>
    <n v="0"/>
    <n v="0"/>
    <n v="0"/>
    <n v="0"/>
    <x v="1"/>
    <x v="1"/>
    <n v="0"/>
    <n v="0"/>
    <n v="0"/>
    <n v="0"/>
    <s v="Pas d'écart"/>
    <n v="0"/>
  </r>
  <r>
    <x v="2"/>
    <n v="75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0"/>
    <n v="6"/>
    <x v="8"/>
    <x v="0"/>
    <n v="0"/>
    <n v="14.7"/>
    <n v="0.21"/>
    <n v="-14.7"/>
    <x v="0"/>
    <x v="1"/>
    <n v="0"/>
    <n v="14.7"/>
    <n v="0.21"/>
    <n v="-14.7"/>
    <s v="Ecart négatif"/>
    <n v="13.269999999999996"/>
  </r>
  <r>
    <x v="8"/>
    <n v="75"/>
    <x v="19"/>
    <x v="0"/>
    <n v="0"/>
    <n v="0"/>
    <n v="0"/>
    <n v="0"/>
    <x v="1"/>
    <x v="1"/>
    <n v="0"/>
    <n v="0"/>
    <n v="0"/>
    <n v="0"/>
    <s v="Pas d'écart"/>
    <n v="-37.869999999999997"/>
  </r>
  <r>
    <x v="0"/>
    <n v="67"/>
    <x v="16"/>
    <x v="0"/>
    <n v="0"/>
    <n v="16"/>
    <n v="0.08"/>
    <n v="-16"/>
    <x v="0"/>
    <x v="178"/>
    <n v="7.9199999999999993E-2"/>
    <n v="16"/>
    <n v="0.08"/>
    <n v="-0.16000000000000014"/>
    <s v="Ecart négatif"/>
    <n v="21.53"/>
  </r>
  <r>
    <x v="3"/>
    <n v="25"/>
    <x v="12"/>
    <x v="345"/>
    <n v="0.24"/>
    <n v="9.6"/>
    <n v="0.24"/>
    <n v="0"/>
    <x v="1"/>
    <x v="1"/>
    <n v="0"/>
    <n v="9.6"/>
    <n v="0.24"/>
    <n v="-9.6"/>
    <s v="Ecart négatif"/>
    <n v="9.5499999999999972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51"/>
    <x v="7"/>
    <x v="346"/>
    <n v="0.19266666666666668"/>
    <n v="7.5"/>
    <n v="0.25"/>
    <n v="-1.7199999999999998"/>
    <x v="0"/>
    <x v="1"/>
    <n v="0"/>
    <n v="7.5"/>
    <n v="0.25"/>
    <n v="-7.5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72"/>
    <x v="11"/>
    <x v="347"/>
    <n v="0.193"/>
    <n v="12.6"/>
    <n v="0.21"/>
    <n v="-1.0199999999999996"/>
    <x v="0"/>
    <x v="1"/>
    <n v="0"/>
    <n v="12.6"/>
    <n v="0.21"/>
    <n v="-12.6"/>
    <s v="Ecart négatif"/>
    <n v="0"/>
  </r>
  <r>
    <x v="4"/>
    <n v="45"/>
    <x v="22"/>
    <x v="348"/>
    <n v="0.19320000000000001"/>
    <n v="21"/>
    <n v="0.21"/>
    <n v="-1.6799999999999997"/>
    <x v="0"/>
    <x v="1"/>
    <n v="0"/>
    <n v="21"/>
    <n v="0.21"/>
    <n v="-21"/>
    <s v="Ecart négatif"/>
    <n v="0"/>
  </r>
  <r>
    <x v="2"/>
    <n v="5"/>
    <x v="2"/>
    <x v="0"/>
    <n v="0"/>
    <n v="26.6"/>
    <n v="0.19"/>
    <n v="-26.6"/>
    <x v="0"/>
    <x v="1"/>
    <n v="0"/>
    <n v="26.6"/>
    <n v="0.19"/>
    <n v="-26.6"/>
    <s v="Ecart négatif"/>
    <n v="0"/>
  </r>
  <r>
    <x v="4"/>
    <n v="86"/>
    <x v="11"/>
    <x v="1"/>
    <n v="0.19333333333333333"/>
    <n v="12.6"/>
    <n v="0.21"/>
    <n v="-1"/>
    <x v="0"/>
    <x v="1"/>
    <n v="0"/>
    <n v="12.6"/>
    <n v="0.21"/>
    <n v="-12.6"/>
    <s v="Ecart négatif"/>
    <n v="0"/>
  </r>
  <r>
    <x v="3"/>
    <n v="45"/>
    <x v="11"/>
    <x v="349"/>
    <n v="0.19366666666666665"/>
    <n v="12.6"/>
    <n v="0.21"/>
    <n v="-0.98000000000000043"/>
    <x v="0"/>
    <x v="1"/>
    <n v="0"/>
    <n v="12.6"/>
    <n v="0.21"/>
    <n v="-12.6"/>
    <s v="Ecart négatif"/>
    <n v="10.560000000000002"/>
  </r>
  <r>
    <x v="0"/>
    <n v="13"/>
    <x v="28"/>
    <x v="0"/>
    <n v="0"/>
    <n v="45.6"/>
    <n v="0.19"/>
    <n v="-45.6"/>
    <x v="0"/>
    <x v="1"/>
    <n v="0"/>
    <n v="45.6"/>
    <n v="0.19"/>
    <n v="-45.6"/>
    <s v="Ecart négatif"/>
    <n v="25.28"/>
  </r>
  <r>
    <x v="6"/>
    <n v="73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0"/>
  </r>
  <r>
    <x v="4"/>
    <n v="41"/>
    <x v="11"/>
    <x v="349"/>
    <n v="0.19366666666666665"/>
    <n v="12.6"/>
    <n v="0.21"/>
    <n v="-0.98000000000000043"/>
    <x v="0"/>
    <x v="1"/>
    <n v="0"/>
    <n v="12.6"/>
    <n v="0.21"/>
    <n v="-12.6"/>
    <s v="Ecart négatif"/>
    <n v="0"/>
  </r>
  <r>
    <x v="7"/>
    <n v="14"/>
    <x v="10"/>
    <x v="0"/>
    <n v="0"/>
    <n v="25.500000000000004"/>
    <n v="0.17"/>
    <n v="-25.500000000000004"/>
    <x v="0"/>
    <x v="1"/>
    <n v="0"/>
    <n v="25.500000000000004"/>
    <n v="0.17"/>
    <n v="-25.500000000000004"/>
    <s v="Ecart négatif"/>
    <n v="14.789999999999992"/>
  </r>
  <r>
    <x v="4"/>
    <n v="28"/>
    <x v="11"/>
    <x v="349"/>
    <n v="0.19366666666666665"/>
    <n v="12"/>
    <n v="0.2"/>
    <n v="-0.38000000000000078"/>
    <x v="0"/>
    <x v="1"/>
    <n v="0"/>
    <n v="12"/>
    <n v="0.2"/>
    <n v="-12"/>
    <s v="Ecart négatif"/>
    <n v="0"/>
  </r>
  <r>
    <x v="0"/>
    <n v="59"/>
    <x v="0"/>
    <x v="0"/>
    <n v="0"/>
    <n v="0"/>
    <n v="0"/>
    <n v="0"/>
    <x v="1"/>
    <x v="1"/>
    <n v="0"/>
    <n v="0"/>
    <n v="0"/>
    <n v="0"/>
    <s v="Pas d'écart"/>
    <n v="92.1"/>
  </r>
  <r>
    <x v="2"/>
    <n v="73"/>
    <x v="16"/>
    <x v="0"/>
    <n v="0"/>
    <n v="0"/>
    <n v="0"/>
    <n v="0"/>
    <x v="1"/>
    <x v="1"/>
    <n v="0"/>
    <n v="0"/>
    <n v="0"/>
    <n v="0"/>
    <s v="Pas d'écart"/>
    <n v="140.4"/>
  </r>
  <r>
    <x v="2"/>
    <n v="37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7.93"/>
  </r>
  <r>
    <x v="2"/>
    <n v="83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107.35"/>
  </r>
  <r>
    <x v="0"/>
    <n v="74"/>
    <x v="7"/>
    <x v="0"/>
    <n v="0"/>
    <n v="0"/>
    <n v="0"/>
    <n v="0"/>
    <x v="1"/>
    <x v="1"/>
    <n v="0"/>
    <n v="0"/>
    <n v="0"/>
    <n v="0"/>
    <s v="Pas d'écart"/>
    <n v="20.260000000000002"/>
  </r>
  <r>
    <x v="8"/>
    <n v="76"/>
    <x v="0"/>
    <x v="0"/>
    <n v="0"/>
    <n v="30.6"/>
    <n v="0.17"/>
    <n v="-30.6"/>
    <x v="0"/>
    <x v="1"/>
    <n v="0"/>
    <n v="30.6"/>
    <n v="0.17"/>
    <n v="-30.6"/>
    <s v="Ecart négatif"/>
    <n v="0"/>
  </r>
  <r>
    <x v="2"/>
    <n v="60"/>
    <x v="11"/>
    <x v="0"/>
    <n v="0"/>
    <n v="0"/>
    <n v="0"/>
    <n v="0"/>
    <x v="1"/>
    <x v="179"/>
    <n v="0.17416666666666666"/>
    <n v="0"/>
    <n v="0"/>
    <n v="10.45"/>
    <s v="Ecart positif"/>
    <n v="0"/>
  </r>
  <r>
    <x v="4"/>
    <n v="67"/>
    <x v="7"/>
    <x v="350"/>
    <n v="0.19366666666666665"/>
    <n v="8.6999999999999993"/>
    <n v="0.28999999999999998"/>
    <n v="-2.8899999999999997"/>
    <x v="0"/>
    <x v="1"/>
    <n v="0"/>
    <n v="8.6999999999999993"/>
    <n v="0.28999999999999998"/>
    <n v="-8.6999999999999993"/>
    <s v="Ecart négatif"/>
    <n v="0"/>
  </r>
  <r>
    <x v="0"/>
    <n v="85"/>
    <x v="7"/>
    <x v="0"/>
    <n v="0"/>
    <n v="0"/>
    <n v="0"/>
    <n v="0"/>
    <x v="1"/>
    <x v="1"/>
    <n v="0"/>
    <n v="0"/>
    <n v="0"/>
    <n v="0"/>
    <s v="Pas d'écart"/>
    <n v="19.3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77"/>
    <x v="21"/>
    <x v="0"/>
    <e v="#DIV/0!"/>
    <n v="0"/>
    <e v="#DIV/0!"/>
    <n v="0"/>
    <x v="1"/>
    <x v="1"/>
    <e v="#DIV/0!"/>
    <n v="0"/>
    <e v="#DIV/0!"/>
    <n v="0"/>
    <s v="Pas d'écart"/>
    <e v="#N/A"/>
  </r>
  <r>
    <x v="5"/>
    <n v="62"/>
    <x v="11"/>
    <x v="0"/>
    <n v="0"/>
    <n v="11.4"/>
    <n v="0.19"/>
    <n v="-11.4"/>
    <x v="0"/>
    <x v="1"/>
    <n v="0"/>
    <n v="11.4"/>
    <n v="0.19"/>
    <n v="-11.4"/>
    <s v="Ecart négatif"/>
    <n v="25.37"/>
  </r>
  <r>
    <x v="5"/>
    <n v="13"/>
    <x v="11"/>
    <x v="351"/>
    <n v="0.25383333333333336"/>
    <n v="17.399999999999999"/>
    <n v="0.28999999999999998"/>
    <n v="-2.1699999999999982"/>
    <x v="0"/>
    <x v="1"/>
    <n v="0"/>
    <n v="17.399999999999999"/>
    <n v="0.28999999999999998"/>
    <n v="-17.399999999999999"/>
    <s v="Ecart négatif"/>
    <n v="42.48"/>
  </r>
  <r>
    <x v="5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33"/>
    <x v="11"/>
    <x v="352"/>
    <n v="0.18383333333333332"/>
    <n v="12.6"/>
    <n v="0.21"/>
    <n v="-1.5700000000000003"/>
    <x v="0"/>
    <x v="1"/>
    <n v="0"/>
    <n v="12.6"/>
    <n v="0.21"/>
    <n v="-12.6"/>
    <s v="Ecart négatif"/>
    <n v="42.48"/>
  </r>
  <r>
    <x v="4"/>
    <n v="57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85"/>
    <x v="19"/>
    <x v="0"/>
    <n v="0"/>
    <n v="0"/>
    <n v="0"/>
    <n v="0"/>
    <x v="1"/>
    <x v="180"/>
    <n v="0.26442105263157895"/>
    <n v="0"/>
    <n v="0"/>
    <n v="50.24"/>
    <s v="Ecart positif"/>
    <n v="118.48"/>
  </r>
  <r>
    <x v="6"/>
    <n v="76"/>
    <x v="8"/>
    <x v="0"/>
    <n v="0"/>
    <n v="11.9"/>
    <n v="0.17"/>
    <n v="-11.9"/>
    <x v="0"/>
    <x v="1"/>
    <n v="0"/>
    <n v="11.9"/>
    <n v="0.17"/>
    <n v="-11.9"/>
    <s v="Ecart négatif"/>
    <n v="-16.709999999999994"/>
  </r>
  <r>
    <x v="0"/>
    <n v="38"/>
    <x v="60"/>
    <x v="0"/>
    <n v="0"/>
    <n v="0"/>
    <n v="0"/>
    <n v="0"/>
    <x v="1"/>
    <x v="181"/>
    <n v="0.26768269230769232"/>
    <n v="0"/>
    <n v="0"/>
    <n v="278.39"/>
    <s v="Ecart positif"/>
    <e v="#N/A"/>
  </r>
  <r>
    <x v="6"/>
    <n v="57"/>
    <x v="1"/>
    <x v="0"/>
    <n v="0"/>
    <n v="28.799999999999997"/>
    <n v="0.23999999999999996"/>
    <n v="-28.799999999999997"/>
    <x v="0"/>
    <x v="1"/>
    <n v="0"/>
    <n v="28.799999999999997"/>
    <n v="0.23999999999999996"/>
    <n v="-28.799999999999997"/>
    <s v="Ecart négatif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77"/>
    <x v="61"/>
    <x v="0"/>
    <n v="0"/>
    <n v="0"/>
    <n v="0"/>
    <n v="0"/>
    <x v="1"/>
    <x v="1"/>
    <n v="0"/>
    <n v="0"/>
    <n v="0"/>
    <n v="0"/>
    <s v="Pas d'écart"/>
    <e v="#N/A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4"/>
    <n v="45"/>
    <x v="11"/>
    <x v="349"/>
    <n v="0.19366666666666665"/>
    <n v="12.6"/>
    <n v="0.21"/>
    <n v="-0.98000000000000043"/>
    <x v="0"/>
    <x v="1"/>
    <n v="0"/>
    <n v="12.6"/>
    <n v="0.21"/>
    <n v="-12.6"/>
    <s v="Ecart négatif"/>
    <n v="0"/>
  </r>
  <r>
    <x v="3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0"/>
    <n v="84"/>
    <x v="2"/>
    <x v="0"/>
    <n v="0"/>
    <n v="26.6"/>
    <n v="0.19"/>
    <n v="-26.6"/>
    <x v="0"/>
    <x v="68"/>
    <n v="0.19"/>
    <n v="26.6"/>
    <n v="0.19"/>
    <n v="0"/>
    <s v="Pas d'écart"/>
    <n v="73.41"/>
  </r>
  <r>
    <x v="0"/>
    <n v="67"/>
    <x v="7"/>
    <x v="0"/>
    <n v="0"/>
    <n v="2.4"/>
    <n v="0.08"/>
    <n v="-2.4"/>
    <x v="0"/>
    <x v="182"/>
    <n v="6.6666666666666666E-2"/>
    <n v="2.4"/>
    <n v="0.08"/>
    <n v="-0.39999999999999991"/>
    <s v="Ecart négatif"/>
    <n v="3.6799999999999997"/>
  </r>
  <r>
    <x v="4"/>
    <n v="75"/>
    <x v="6"/>
    <x v="0"/>
    <n v="0"/>
    <n v="0"/>
    <n v="0"/>
    <n v="0"/>
    <x v="1"/>
    <x v="1"/>
    <n v="0"/>
    <n v="0"/>
    <n v="0"/>
    <n v="0"/>
    <s v="Pas d'écart"/>
    <n v="0"/>
  </r>
  <r>
    <x v="2"/>
    <n v="61"/>
    <x v="34"/>
    <x v="0"/>
    <n v="0"/>
    <n v="39.1"/>
    <n v="0.17"/>
    <n v="-39.1"/>
    <x v="0"/>
    <x v="183"/>
    <n v="0.16334782608695653"/>
    <n v="39.1"/>
    <n v="0.17"/>
    <n v="-1.5300000000000011"/>
    <s v="Ecart négatif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4"/>
    <n v="6"/>
    <x v="12"/>
    <x v="25"/>
    <n v="0.3"/>
    <n v="12"/>
    <n v="0.3"/>
    <n v="0"/>
    <x v="1"/>
    <x v="1"/>
    <n v="0"/>
    <n v="12"/>
    <n v="0.3"/>
    <n v="-12"/>
    <s v="Ecart négatif"/>
    <n v="0"/>
  </r>
  <r>
    <x v="4"/>
    <n v="67"/>
    <x v="7"/>
    <x v="350"/>
    <n v="0.19366666666666665"/>
    <n v="8.6999999999999993"/>
    <n v="0.28999999999999998"/>
    <n v="-2.8899999999999997"/>
    <x v="0"/>
    <x v="1"/>
    <n v="0"/>
    <n v="8.6999999999999993"/>
    <n v="0.28999999999999998"/>
    <n v="-8.6999999999999993"/>
    <s v="Ecart négatif"/>
    <n v="0"/>
  </r>
  <r>
    <x v="4"/>
    <n v="37"/>
    <x v="11"/>
    <x v="349"/>
    <n v="0.19366666666666665"/>
    <n v="11.4"/>
    <n v="0.19"/>
    <n v="0.21999999999999886"/>
    <x v="2"/>
    <x v="1"/>
    <n v="0"/>
    <n v="11.4"/>
    <n v="0.19"/>
    <n v="-11.4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3"/>
    <n v="67"/>
    <x v="7"/>
    <x v="350"/>
    <n v="0.19366666666666665"/>
    <n v="8.6999999999999993"/>
    <n v="0.28999999999999998"/>
    <n v="-2.8899999999999997"/>
    <x v="0"/>
    <x v="1"/>
    <n v="0"/>
    <n v="8.6999999999999993"/>
    <n v="0.28999999999999998"/>
    <n v="-8.6999999999999993"/>
    <s v="Ecart négatif"/>
    <n v="3.679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33"/>
    <x v="9"/>
    <x v="0"/>
    <n v="0"/>
    <n v="13.600000000000001"/>
    <n v="0.17"/>
    <n v="-13.600000000000001"/>
    <x v="0"/>
    <x v="22"/>
    <n v="0.21000000000000002"/>
    <n v="13.600000000000001"/>
    <n v="0.17"/>
    <n v="3.1999999999999993"/>
    <s v="Ecart positif"/>
    <n v="47.06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8"/>
    <n v="59"/>
    <x v="14"/>
    <x v="0"/>
    <n v="0"/>
    <n v="24.7"/>
    <n v="0.19"/>
    <n v="-24.7"/>
    <x v="0"/>
    <x v="1"/>
    <n v="0"/>
    <n v="24.7"/>
    <n v="0.19"/>
    <n v="-24.7"/>
    <s v="Ecart négatif"/>
    <n v="0"/>
  </r>
  <r>
    <x v="2"/>
    <n v="76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54"/>
    <x v="8"/>
    <x v="0"/>
    <n v="0"/>
    <n v="17.5"/>
    <n v="0.25"/>
    <n v="-17.5"/>
    <x v="0"/>
    <x v="184"/>
    <n v="0.25"/>
    <n v="17.5"/>
    <n v="0.25"/>
    <n v="0"/>
    <s v="Pas d'écart"/>
    <n v="0"/>
  </r>
  <r>
    <x v="2"/>
    <n v="44"/>
    <x v="16"/>
    <x v="0"/>
    <n v="0"/>
    <n v="0"/>
    <n v="0"/>
    <n v="0"/>
    <x v="1"/>
    <x v="1"/>
    <n v="0"/>
    <n v="0"/>
    <n v="0"/>
    <n v="0"/>
    <s v="Pas d'écart"/>
    <n v="107.65"/>
  </r>
  <r>
    <x v="4"/>
    <n v="37"/>
    <x v="11"/>
    <x v="349"/>
    <n v="0.19366666666666665"/>
    <n v="11.4"/>
    <n v="0.19"/>
    <n v="0.21999999999999886"/>
    <x v="2"/>
    <x v="1"/>
    <n v="0"/>
    <n v="11.4"/>
    <n v="0.19"/>
    <n v="-11.4"/>
    <s v="Ecart négatif"/>
    <n v="0"/>
  </r>
  <r>
    <x v="3"/>
    <n v="45"/>
    <x v="9"/>
    <x v="353"/>
    <n v="0.21000000000000002"/>
    <n v="16.8"/>
    <n v="0.21000000000000002"/>
    <n v="0"/>
    <x v="1"/>
    <x v="1"/>
    <n v="0"/>
    <n v="16.8"/>
    <n v="0.21000000000000002"/>
    <n v="-16.8"/>
    <s v="Ecart négatif"/>
    <n v="14.04"/>
  </r>
  <r>
    <x v="4"/>
    <n v="45"/>
    <x v="11"/>
    <x v="349"/>
    <n v="0.19366666666666665"/>
    <n v="12.6"/>
    <n v="0.21"/>
    <n v="-0.98000000000000043"/>
    <x v="0"/>
    <x v="1"/>
    <n v="0"/>
    <n v="12.6"/>
    <n v="0.21"/>
    <n v="-12.6"/>
    <s v="Ecart négatif"/>
    <n v="0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4"/>
    <n v="94"/>
    <x v="5"/>
    <x v="0"/>
    <n v="0"/>
    <n v="0"/>
    <n v="0"/>
    <n v="0"/>
    <x v="1"/>
    <x v="1"/>
    <n v="0"/>
    <n v="0"/>
    <n v="0"/>
    <n v="0"/>
    <s v="Pas d'écart"/>
    <n v="0"/>
  </r>
  <r>
    <x v="3"/>
    <n v="77"/>
    <x v="14"/>
    <x v="0"/>
    <n v="0"/>
    <n v="0"/>
    <n v="0"/>
    <n v="0"/>
    <x v="1"/>
    <x v="1"/>
    <n v="0"/>
    <n v="0"/>
    <n v="0"/>
    <n v="0"/>
    <s v="Pas d'écart"/>
    <n v="10.020000000000003"/>
  </r>
  <r>
    <x v="2"/>
    <n v="66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37"/>
    <x v="14"/>
    <x v="354"/>
    <n v="0.19430769230769232"/>
    <n v="24.7"/>
    <n v="0.19"/>
    <n v="0.56000000000000227"/>
    <x v="2"/>
    <x v="1"/>
    <n v="0"/>
    <n v="24.7"/>
    <n v="0.19"/>
    <n v="-24.7"/>
    <s v="Ecart négatif"/>
    <n v="0"/>
  </r>
  <r>
    <x v="0"/>
    <n v="69"/>
    <x v="6"/>
    <x v="0"/>
    <n v="0"/>
    <n v="0"/>
    <n v="0"/>
    <n v="0"/>
    <x v="1"/>
    <x v="1"/>
    <n v="0"/>
    <n v="0"/>
    <n v="0"/>
    <n v="0"/>
    <s v="Pas d'écart"/>
    <n v="15.310000000000002"/>
  </r>
  <r>
    <x v="4"/>
    <n v="45"/>
    <x v="14"/>
    <x v="354"/>
    <n v="0.19430769230769232"/>
    <n v="27.3"/>
    <n v="0.21"/>
    <n v="-2.0399999999999991"/>
    <x v="0"/>
    <x v="1"/>
    <n v="0"/>
    <n v="27.3"/>
    <n v="0.21"/>
    <n v="-27.3"/>
    <s v="Ecart négatif"/>
    <n v="0"/>
  </r>
  <r>
    <x v="2"/>
    <n v="59"/>
    <x v="12"/>
    <x v="0"/>
    <n v="0"/>
    <n v="0"/>
    <n v="0"/>
    <n v="0"/>
    <x v="1"/>
    <x v="1"/>
    <n v="0"/>
    <n v="0"/>
    <n v="0"/>
    <n v="0"/>
    <s v="Pas d'écart"/>
    <n v="0"/>
  </r>
  <r>
    <x v="6"/>
    <n v="69"/>
    <x v="41"/>
    <x v="0"/>
    <n v="0"/>
    <n v="118.80000000000001"/>
    <n v="0.27"/>
    <n v="-118.80000000000001"/>
    <x v="0"/>
    <x v="185"/>
    <n v="0.38395454545454544"/>
    <n v="118.80000000000001"/>
    <n v="0.27"/>
    <n v="50.139999999999986"/>
    <s v="Ecart positif"/>
    <n v="187.23"/>
  </r>
  <r>
    <x v="4"/>
    <n v="45"/>
    <x v="14"/>
    <x v="354"/>
    <n v="0.19430769230769232"/>
    <n v="27.3"/>
    <n v="0.21"/>
    <n v="-2.0399999999999991"/>
    <x v="0"/>
    <x v="1"/>
    <n v="0"/>
    <n v="27.3"/>
    <n v="0.21"/>
    <n v="-27.3"/>
    <s v="Ecart négatif"/>
    <n v="0"/>
  </r>
  <r>
    <x v="3"/>
    <n v="37"/>
    <x v="14"/>
    <x v="354"/>
    <n v="0.19430769230769232"/>
    <n v="24.7"/>
    <n v="0.19"/>
    <n v="0.56000000000000227"/>
    <x v="2"/>
    <x v="1"/>
    <n v="0"/>
    <n v="24.7"/>
    <n v="0.19"/>
    <n v="-24.7"/>
    <s v="Ecart négatif"/>
    <n v="12.519999999999996"/>
  </r>
  <r>
    <x v="6"/>
    <n v="94"/>
    <x v="2"/>
    <x v="0"/>
    <n v="0"/>
    <n v="0"/>
    <n v="0"/>
    <n v="0"/>
    <x v="1"/>
    <x v="1"/>
    <n v="0"/>
    <n v="0"/>
    <n v="0"/>
    <n v="0"/>
    <s v="Pas d'écart"/>
    <n v="0"/>
  </r>
  <r>
    <x v="4"/>
    <n v="86"/>
    <x v="14"/>
    <x v="354"/>
    <n v="0.19430769230769232"/>
    <n v="27.3"/>
    <n v="0.21"/>
    <n v="-2.0399999999999991"/>
    <x v="0"/>
    <x v="1"/>
    <n v="0"/>
    <n v="27.3"/>
    <n v="0.21"/>
    <n v="-27.3"/>
    <s v="Ecart négatif"/>
    <n v="0"/>
  </r>
  <r>
    <x v="6"/>
    <n v="75"/>
    <x v="21"/>
    <x v="0"/>
    <e v="#DIV/0!"/>
    <n v="0"/>
    <e v="#DIV/0!"/>
    <n v="0"/>
    <x v="1"/>
    <x v="1"/>
    <e v="#DIV/0!"/>
    <n v="0"/>
    <e v="#DIV/0!"/>
    <n v="0"/>
    <s v="Pas d'écart"/>
    <e v="#N/A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0"/>
    <n v="14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2"/>
    <n v="69"/>
    <x v="19"/>
    <x v="0"/>
    <n v="0"/>
    <n v="0"/>
    <n v="0"/>
    <n v="0"/>
    <x v="1"/>
    <x v="1"/>
    <n v="0"/>
    <n v="0"/>
    <n v="0"/>
    <n v="0"/>
    <s v="Pas d'écart"/>
    <n v="99.88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26"/>
    <x v="15"/>
    <x v="0"/>
    <n v="0"/>
    <n v="0"/>
    <n v="0"/>
    <n v="0"/>
    <x v="1"/>
    <x v="186"/>
    <n v="0.26250000000000001"/>
    <n v="0"/>
    <n v="0"/>
    <n v="5.25"/>
    <s v="Ecart positif"/>
    <n v="0"/>
  </r>
  <r>
    <x v="0"/>
    <n v="83"/>
    <x v="14"/>
    <x v="0"/>
    <n v="0"/>
    <n v="27.3"/>
    <n v="0.21"/>
    <n v="-27.3"/>
    <x v="0"/>
    <x v="1"/>
    <n v="0"/>
    <n v="27.3"/>
    <n v="0.21"/>
    <n v="-27.3"/>
    <s v="Ecart négatif"/>
    <n v="72.88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2"/>
    <n v="13"/>
    <x v="12"/>
    <x v="0"/>
    <n v="0"/>
    <n v="7.6"/>
    <n v="0.19"/>
    <n v="-7.6"/>
    <x v="0"/>
    <x v="1"/>
    <n v="0"/>
    <n v="7.6"/>
    <n v="0.19"/>
    <n v="-7.6"/>
    <s v="Ecart négatif"/>
    <n v="34.29"/>
  </r>
  <r>
    <x v="0"/>
    <n v="75"/>
    <x v="12"/>
    <x v="0"/>
    <n v="0"/>
    <n v="0"/>
    <n v="0"/>
    <n v="0"/>
    <x v="1"/>
    <x v="1"/>
    <n v="0"/>
    <n v="0"/>
    <n v="0"/>
    <n v="0"/>
    <s v="Pas d'écart"/>
    <n v="26.16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5"/>
    <n v="57"/>
    <x v="11"/>
    <x v="0"/>
    <n v="0"/>
    <n v="14.399999999999999"/>
    <n v="0.23999999999999996"/>
    <n v="-14.399999999999999"/>
    <x v="0"/>
    <x v="1"/>
    <n v="0"/>
    <n v="14.399999999999999"/>
    <n v="0.23999999999999996"/>
    <n v="-14.399999999999999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7"/>
    <n v="21"/>
    <x v="6"/>
    <x v="0"/>
    <n v="0"/>
    <n v="38.4"/>
    <n v="0.24"/>
    <n v="-38.4"/>
    <x v="0"/>
    <x v="1"/>
    <n v="0"/>
    <n v="38.4"/>
    <n v="0.24"/>
    <n v="-38.4"/>
    <s v="Ecart négatif"/>
    <n v="15.310000000000002"/>
  </r>
  <r>
    <x v="5"/>
    <n v="8"/>
    <x v="2"/>
    <x v="0"/>
    <n v="0"/>
    <n v="25.2"/>
    <n v="0.18"/>
    <n v="-25.2"/>
    <x v="0"/>
    <x v="1"/>
    <n v="0"/>
    <n v="25.2"/>
    <n v="0.18"/>
    <n v="-25.2"/>
    <s v="Ecart négatif"/>
    <n v="15.759999999999998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2"/>
    <x v="25"/>
    <x v="0"/>
    <n v="0"/>
    <n v="0"/>
    <n v="0"/>
    <n v="0"/>
    <x v="1"/>
    <x v="1"/>
    <n v="0"/>
    <n v="0"/>
    <n v="0"/>
    <n v="0"/>
    <s v="Pas d'écart"/>
    <n v="140.7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6"/>
    <n v="4"/>
    <x v="8"/>
    <x v="217"/>
    <n v="0.29000000000000004"/>
    <n v="20.299999999999997"/>
    <n v="0.28999999999999998"/>
    <n v="0"/>
    <x v="1"/>
    <x v="1"/>
    <n v="0"/>
    <n v="20.299999999999997"/>
    <n v="0.28999999999999998"/>
    <n v="-20.299999999999997"/>
    <s v="Ecart négatif"/>
    <n v="66.36"/>
  </r>
  <r>
    <x v="4"/>
    <n v="75"/>
    <x v="11"/>
    <x v="0"/>
    <n v="0"/>
    <n v="0"/>
    <n v="0"/>
    <n v="0"/>
    <x v="1"/>
    <x v="1"/>
    <n v="0"/>
    <n v="0"/>
    <n v="0"/>
    <n v="0"/>
    <s v="Pas d'écart"/>
    <n v="-2.740000000000002"/>
  </r>
  <r>
    <x v="4"/>
    <n v="75"/>
    <x v="11"/>
    <x v="0"/>
    <n v="0"/>
    <n v="0"/>
    <n v="0"/>
    <n v="0"/>
    <x v="1"/>
    <x v="1"/>
    <n v="0"/>
    <n v="0"/>
    <n v="0"/>
    <n v="0"/>
    <s v="Pas d'écart"/>
    <n v="-2.740000000000002"/>
  </r>
  <r>
    <x v="2"/>
    <n v="22"/>
    <x v="1"/>
    <x v="0"/>
    <n v="0"/>
    <n v="14.399999999999999"/>
    <n v="0.11999999999999998"/>
    <n v="-14.399999999999999"/>
    <x v="0"/>
    <x v="1"/>
    <n v="0"/>
    <n v="14.399999999999999"/>
    <n v="0.11999999999999998"/>
    <n v="-14.399999999999999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6"/>
    <n v="75"/>
    <x v="0"/>
    <x v="0"/>
    <n v="0"/>
    <n v="0"/>
    <n v="0"/>
    <n v="0"/>
    <x v="1"/>
    <x v="1"/>
    <n v="0"/>
    <n v="0"/>
    <n v="0"/>
    <n v="0"/>
    <s v="Pas d'écart"/>
    <n v="0"/>
  </r>
  <r>
    <x v="8"/>
    <n v="73"/>
    <x v="16"/>
    <x v="0"/>
    <n v="0"/>
    <n v="54"/>
    <n v="0.27"/>
    <n v="-54"/>
    <x v="0"/>
    <x v="1"/>
    <n v="0"/>
    <n v="54"/>
    <n v="0.27"/>
    <n v="-54"/>
    <s v="Ecart négatif"/>
    <n v="0"/>
  </r>
  <r>
    <x v="2"/>
    <n v="84"/>
    <x v="15"/>
    <x v="0"/>
    <n v="0"/>
    <n v="3.8"/>
    <n v="0.19"/>
    <n v="-3.8"/>
    <x v="0"/>
    <x v="1"/>
    <n v="0"/>
    <n v="3.8"/>
    <n v="0.19"/>
    <n v="-3.8"/>
    <s v="Ecart négatif"/>
    <n v="0"/>
  </r>
  <r>
    <x v="0"/>
    <n v="50"/>
    <x v="2"/>
    <x v="0"/>
    <n v="0"/>
    <n v="23.8"/>
    <n v="0.17"/>
    <n v="-23.8"/>
    <x v="0"/>
    <x v="1"/>
    <n v="0"/>
    <n v="23.8"/>
    <n v="0.17"/>
    <n v="-23.8"/>
    <s v="Ecart négatif"/>
    <n v="78.8"/>
  </r>
  <r>
    <x v="3"/>
    <n v="16"/>
    <x v="11"/>
    <x v="355"/>
    <n v="0.19433333333333333"/>
    <n v="12.6"/>
    <n v="0.21"/>
    <n v="-0.9399999999999995"/>
    <x v="0"/>
    <x v="1"/>
    <n v="0"/>
    <n v="12.6"/>
    <n v="0.21"/>
    <n v="-12.6"/>
    <s v="Ecart négatif"/>
    <n v="11.649999999999999"/>
  </r>
  <r>
    <x v="4"/>
    <n v="91"/>
    <x v="9"/>
    <x v="0"/>
    <n v="0"/>
    <n v="0"/>
    <n v="0"/>
    <n v="0"/>
    <x v="1"/>
    <x v="1"/>
    <n v="0"/>
    <n v="0"/>
    <n v="0"/>
    <n v="0"/>
    <s v="Pas d'écart"/>
    <n v="0"/>
  </r>
  <r>
    <x v="0"/>
    <n v="13"/>
    <x v="62"/>
    <x v="0"/>
    <n v="0"/>
    <n v="228"/>
    <n v="0.19"/>
    <n v="-228"/>
    <x v="0"/>
    <x v="1"/>
    <n v="0"/>
    <n v="228"/>
    <n v="0.19"/>
    <n v="-228"/>
    <s v="Ecart négatif"/>
    <e v="#N/A"/>
  </r>
  <r>
    <x v="0"/>
    <n v="68"/>
    <x v="12"/>
    <x v="0"/>
    <n v="0"/>
    <n v="3.2"/>
    <n v="0.08"/>
    <n v="-3.2"/>
    <x v="0"/>
    <x v="1"/>
    <n v="0"/>
    <n v="3.2"/>
    <n v="0.08"/>
    <n v="-3.2"/>
    <s v="Ecart négatif"/>
    <n v="8.2899999999999991"/>
  </r>
  <r>
    <x v="0"/>
    <n v="30"/>
    <x v="0"/>
    <x v="0"/>
    <n v="0"/>
    <n v="50.400000000000006"/>
    <n v="0.28000000000000003"/>
    <n v="-50.400000000000006"/>
    <x v="0"/>
    <x v="188"/>
    <n v="0.26494444444444443"/>
    <n v="50.400000000000006"/>
    <n v="0.28000000000000003"/>
    <n v="-2.710000000000008"/>
    <s v="Ecart négatif"/>
    <n v="21.47"/>
  </r>
  <r>
    <x v="4"/>
    <n v="94"/>
    <x v="2"/>
    <x v="0"/>
    <n v="0"/>
    <n v="0"/>
    <n v="0"/>
    <n v="0"/>
    <x v="1"/>
    <x v="1"/>
    <n v="0"/>
    <n v="0"/>
    <n v="0"/>
    <n v="0"/>
    <s v="Pas d'écart"/>
    <n v="0"/>
  </r>
  <r>
    <x v="4"/>
    <n v="91"/>
    <x v="7"/>
    <x v="0"/>
    <n v="0"/>
    <n v="0"/>
    <n v="0"/>
    <n v="0"/>
    <x v="1"/>
    <x v="1"/>
    <n v="0"/>
    <n v="0"/>
    <n v="0"/>
    <n v="0"/>
    <s v="Pas d'écart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3"/>
    <n v="75"/>
    <x v="6"/>
    <x v="0"/>
    <n v="0"/>
    <n v="0"/>
    <n v="0"/>
    <n v="0"/>
    <x v="1"/>
    <x v="1"/>
    <n v="0"/>
    <n v="0"/>
    <n v="0"/>
    <n v="0"/>
    <s v="Pas d'écart"/>
    <n v="11.36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79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116.04"/>
  </r>
  <r>
    <x v="2"/>
    <n v="60"/>
    <x v="2"/>
    <x v="0"/>
    <n v="0"/>
    <n v="0"/>
    <n v="0"/>
    <n v="0"/>
    <x v="1"/>
    <x v="1"/>
    <n v="0"/>
    <n v="0"/>
    <n v="0"/>
    <n v="0"/>
    <s v="Pas d'écart"/>
    <n v="78.8"/>
  </r>
  <r>
    <x v="2"/>
    <n v="59"/>
    <x v="20"/>
    <x v="0"/>
    <n v="0"/>
    <n v="0"/>
    <n v="0"/>
    <n v="0"/>
    <x v="1"/>
    <x v="1"/>
    <n v="0"/>
    <n v="0"/>
    <n v="0"/>
    <n v="0"/>
    <s v="Pas d'écart"/>
    <n v="131.1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2"/>
    <n v="31"/>
    <x v="0"/>
    <x v="0"/>
    <n v="0"/>
    <n v="46.800000000000004"/>
    <n v="0.26"/>
    <n v="-46.800000000000004"/>
    <x v="0"/>
    <x v="1"/>
    <n v="0"/>
    <n v="46.800000000000004"/>
    <n v="0.26"/>
    <n v="-46.800000000000004"/>
    <s v="Ecart négatif"/>
    <n v="92.1"/>
  </r>
  <r>
    <x v="2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67"/>
    <x v="6"/>
    <x v="0"/>
    <n v="0"/>
    <n v="12.8"/>
    <n v="0.08"/>
    <n v="-12.8"/>
    <x v="0"/>
    <x v="1"/>
    <n v="0"/>
    <n v="12.8"/>
    <n v="0.08"/>
    <n v="-12.8"/>
    <s v="Ecart négatif"/>
    <n v="76.56"/>
  </r>
  <r>
    <x v="7"/>
    <n v="69"/>
    <x v="6"/>
    <x v="0"/>
    <n v="0"/>
    <n v="43.2"/>
    <n v="0.27"/>
    <n v="-43.2"/>
    <x v="0"/>
    <x v="1"/>
    <n v="0"/>
    <n v="43.2"/>
    <n v="0.27"/>
    <n v="-43.2"/>
    <s v="Ecart négatif"/>
    <n v="76.56"/>
  </r>
  <r>
    <x v="2"/>
    <n v="80"/>
    <x v="20"/>
    <x v="0"/>
    <n v="0"/>
    <n v="0"/>
    <n v="0"/>
    <n v="0"/>
    <x v="1"/>
    <x v="1"/>
    <n v="0"/>
    <n v="0"/>
    <n v="0"/>
    <n v="0"/>
    <s v="Pas d'écart"/>
    <n v="157.52000000000001"/>
  </r>
  <r>
    <x v="7"/>
    <n v="37"/>
    <x v="29"/>
    <x v="0"/>
    <n v="0"/>
    <n v="76"/>
    <n v="0.19"/>
    <n v="-76"/>
    <x v="0"/>
    <x v="1"/>
    <n v="0"/>
    <n v="76"/>
    <n v="0.19"/>
    <n v="-76"/>
    <s v="Ecart négatif"/>
    <n v="35.579999999999984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5"/>
    <n v="35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8"/>
    <n v="78"/>
    <x v="11"/>
    <x v="0"/>
    <n v="0"/>
    <n v="0"/>
    <n v="0"/>
    <n v="0"/>
    <x v="1"/>
    <x v="1"/>
    <n v="0"/>
    <n v="0"/>
    <n v="0"/>
    <n v="0"/>
    <s v="Pas d'écart"/>
    <n v="-18.520000000000003"/>
  </r>
  <r>
    <x v="6"/>
    <n v="2"/>
    <x v="11"/>
    <x v="356"/>
    <n v="0.16633333333333333"/>
    <n v="10.799999999999999"/>
    <n v="0.18"/>
    <n v="-0.81999999999999851"/>
    <x v="0"/>
    <x v="1"/>
    <n v="0"/>
    <n v="10.799999999999999"/>
    <n v="0.18"/>
    <n v="-10.799999999999999"/>
    <s v="Ecart négatif"/>
    <n v="52.78"/>
  </r>
  <r>
    <x v="0"/>
    <n v="27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1.47"/>
  </r>
  <r>
    <x v="5"/>
    <n v="13"/>
    <x v="7"/>
    <x v="0"/>
    <n v="0"/>
    <n v="8.6999999999999993"/>
    <n v="0.28999999999999998"/>
    <n v="-8.6999999999999993"/>
    <x v="0"/>
    <x v="1"/>
    <n v="0"/>
    <n v="8.6999999999999993"/>
    <n v="0.28999999999999998"/>
    <n v="-8.6999999999999993"/>
    <s v="Ecart négatif"/>
    <n v="7.33"/>
  </r>
  <r>
    <x v="6"/>
    <n v="6"/>
    <x v="6"/>
    <x v="0"/>
    <n v="0"/>
    <n v="48"/>
    <n v="0.3"/>
    <n v="-48"/>
    <x v="0"/>
    <x v="1"/>
    <n v="0"/>
    <n v="48"/>
    <n v="0.3"/>
    <n v="-48"/>
    <s v="Ecart négatif"/>
    <n v="6.5999999999999943"/>
  </r>
  <r>
    <x v="0"/>
    <n v="67"/>
    <x v="63"/>
    <x v="0"/>
    <n v="0"/>
    <n v="80"/>
    <n v="0.08"/>
    <n v="-80"/>
    <x v="0"/>
    <x v="189"/>
    <n v="7.9920000000000005E-2"/>
    <n v="80"/>
    <n v="0.08"/>
    <n v="-7.9999999999998295E-2"/>
    <s v="Ecart négatif"/>
    <e v="#N/A"/>
  </r>
  <r>
    <x v="6"/>
    <n v="25"/>
    <x v="19"/>
    <x v="0"/>
    <n v="0"/>
    <n v="45.6"/>
    <n v="0.24000000000000002"/>
    <n v="-45.6"/>
    <x v="0"/>
    <x v="1"/>
    <n v="0"/>
    <n v="45.6"/>
    <n v="0.24000000000000002"/>
    <n v="-45.6"/>
    <s v="Ecart négatif"/>
    <n v="0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4"/>
    <n v="69"/>
    <x v="21"/>
    <x v="0"/>
    <e v="#DIV/0!"/>
    <n v="0"/>
    <e v="#DIV/0!"/>
    <n v="0"/>
    <x v="1"/>
    <x v="1"/>
    <e v="#DIV/0!"/>
    <n v="0"/>
    <e v="#DIV/0!"/>
    <n v="0"/>
    <s v="Pas d'écart"/>
    <e v="#N/A"/>
  </r>
  <r>
    <x v="8"/>
    <n v="59"/>
    <x v="15"/>
    <x v="0"/>
    <n v="0"/>
    <n v="3.8"/>
    <n v="0.19"/>
    <n v="-3.8"/>
    <x v="0"/>
    <x v="1"/>
    <n v="0"/>
    <n v="3.8"/>
    <n v="0.19"/>
    <n v="-3.8"/>
    <s v="Ecart négatif"/>
    <n v="-2.7600000000000016"/>
  </r>
  <r>
    <x v="3"/>
    <n v="16"/>
    <x v="11"/>
    <x v="355"/>
    <n v="0.19433333333333333"/>
    <n v="12.6"/>
    <n v="0.21"/>
    <n v="-0.9399999999999995"/>
    <x v="0"/>
    <x v="1"/>
    <n v="0"/>
    <n v="12.6"/>
    <n v="0.21"/>
    <n v="-12.6"/>
    <s v="Ecart négatif"/>
    <n v="11.649999999999999"/>
  </r>
  <r>
    <x v="6"/>
    <n v="95"/>
    <x v="0"/>
    <x v="0"/>
    <n v="0"/>
    <n v="0"/>
    <n v="0"/>
    <n v="0"/>
    <x v="1"/>
    <x v="1"/>
    <n v="0"/>
    <n v="0"/>
    <n v="0"/>
    <n v="0"/>
    <s v="Pas d'écart"/>
    <n v="0"/>
  </r>
  <r>
    <x v="2"/>
    <n v="8"/>
    <x v="2"/>
    <x v="0"/>
    <n v="0"/>
    <n v="0"/>
    <n v="0"/>
    <n v="0"/>
    <x v="1"/>
    <x v="1"/>
    <n v="0"/>
    <n v="0"/>
    <n v="0"/>
    <n v="0"/>
    <s v="Pas d'écart"/>
    <n v="0"/>
  </r>
  <r>
    <x v="2"/>
    <n v="67"/>
    <x v="8"/>
    <x v="0"/>
    <n v="0"/>
    <n v="5.6000000000000005"/>
    <n v="0.08"/>
    <n v="-5.6000000000000005"/>
    <x v="0"/>
    <x v="1"/>
    <n v="0"/>
    <n v="5.6000000000000005"/>
    <n v="0.08"/>
    <n v="-5.6000000000000005"/>
    <s v="Ecart négatif"/>
    <n v="0"/>
  </r>
  <r>
    <x v="3"/>
    <n v="37"/>
    <x v="14"/>
    <x v="357"/>
    <n v="0.19492307692307692"/>
    <n v="24.7"/>
    <n v="0.19"/>
    <n v="0.64000000000000057"/>
    <x v="2"/>
    <x v="1"/>
    <n v="0"/>
    <n v="24.7"/>
    <n v="0.19"/>
    <n v="-24.7"/>
    <s v="Ecart négatif"/>
    <n v="12.519999999999996"/>
  </r>
  <r>
    <x v="2"/>
    <n v="35"/>
    <x v="12"/>
    <x v="0"/>
    <n v="0"/>
    <n v="0"/>
    <n v="0"/>
    <n v="0"/>
    <x v="1"/>
    <x v="1"/>
    <n v="0"/>
    <n v="0"/>
    <n v="0"/>
    <n v="0"/>
    <s v="Pas d'écart"/>
    <n v="0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9.5499999999999972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4"/>
    <n v="33"/>
    <x v="2"/>
    <x v="358"/>
    <n v="0.1952142857142857"/>
    <n v="29.4"/>
    <n v="0.21"/>
    <n v="-2.0700000000000003"/>
    <x v="0"/>
    <x v="1"/>
    <n v="0"/>
    <n v="29.4"/>
    <n v="0.21"/>
    <n v="-29.4"/>
    <s v="Ecart négatif"/>
    <n v="0"/>
  </r>
  <r>
    <x v="4"/>
    <n v="41"/>
    <x v="14"/>
    <x v="359"/>
    <n v="0.19523076923076924"/>
    <n v="27.3"/>
    <n v="0.21"/>
    <n v="-1.9200000000000017"/>
    <x v="0"/>
    <x v="1"/>
    <n v="0"/>
    <n v="27.3"/>
    <n v="0.21"/>
    <n v="-27.3"/>
    <s v="Ecart négatif"/>
    <n v="0"/>
  </r>
  <r>
    <x v="0"/>
    <n v="14"/>
    <x v="6"/>
    <x v="0"/>
    <n v="0"/>
    <n v="27.200000000000003"/>
    <n v="0.17"/>
    <n v="-27.200000000000003"/>
    <x v="0"/>
    <x v="190"/>
    <n v="0.1625625"/>
    <n v="27.200000000000003"/>
    <n v="0.17"/>
    <n v="-1.1900000000000013"/>
    <s v="Ecart négatif"/>
    <n v="85.09"/>
  </r>
  <r>
    <x v="2"/>
    <n v="42"/>
    <x v="3"/>
    <x v="0"/>
    <n v="0"/>
    <n v="0"/>
    <n v="0"/>
    <n v="0"/>
    <x v="1"/>
    <x v="1"/>
    <n v="0"/>
    <n v="0"/>
    <n v="0"/>
    <n v="0"/>
    <s v="Pas d'écart"/>
    <n v="135.19999999999999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0"/>
    <n v="67"/>
    <x v="8"/>
    <x v="0"/>
    <n v="0"/>
    <n v="5.6000000000000005"/>
    <n v="0.08"/>
    <n v="-5.6000000000000005"/>
    <x v="0"/>
    <x v="136"/>
    <n v="0.08"/>
    <n v="5.6000000000000005"/>
    <n v="0.08"/>
    <n v="0"/>
    <s v="Pas d'écart"/>
    <n v="8.9500000000000028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2"/>
    <n v="14"/>
    <x v="6"/>
    <x v="0"/>
    <n v="0"/>
    <n v="27.200000000000003"/>
    <n v="0.17"/>
    <n v="-27.200000000000003"/>
    <x v="0"/>
    <x v="3"/>
    <n v="0.16362499999999999"/>
    <n v="27.200000000000003"/>
    <n v="0.17"/>
    <n v="-1.0200000000000031"/>
    <s v="Ecart négatif"/>
    <n v="85.09"/>
  </r>
  <r>
    <x v="2"/>
    <n v="14"/>
    <x v="6"/>
    <x v="0"/>
    <n v="0"/>
    <n v="27.200000000000003"/>
    <n v="0.17"/>
    <n v="-27.200000000000003"/>
    <x v="0"/>
    <x v="3"/>
    <n v="0.16362499999999999"/>
    <n v="27.200000000000003"/>
    <n v="0.17"/>
    <n v="-1.0200000000000031"/>
    <s v="Ecart négatif"/>
    <n v="85.09"/>
  </r>
  <r>
    <x v="2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3"/>
    <n v="61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9.5499999999999972"/>
  </r>
  <r>
    <x v="0"/>
    <n v="1"/>
    <x v="13"/>
    <x v="0"/>
    <n v="0"/>
    <n v="0"/>
    <n v="0"/>
    <n v="0"/>
    <x v="1"/>
    <x v="1"/>
    <n v="0"/>
    <n v="0"/>
    <n v="0"/>
    <n v="0"/>
    <s v="Pas d'écart"/>
    <n v="96.22"/>
  </r>
  <r>
    <x v="0"/>
    <n v="89"/>
    <x v="13"/>
    <x v="0"/>
    <n v="0"/>
    <n v="20.399999999999999"/>
    <n v="0.12"/>
    <n v="-20.399999999999999"/>
    <x v="0"/>
    <x v="191"/>
    <n v="0.11576470588235294"/>
    <n v="20.399999999999999"/>
    <n v="0.12"/>
    <n v="-0.71999999999999886"/>
    <s v="Ecart négatif"/>
    <n v="20.77000000000001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2"/>
    <n v="89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58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2"/>
    <n v="45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107.35"/>
  </r>
  <r>
    <x v="2"/>
    <n v="83"/>
    <x v="8"/>
    <x v="0"/>
    <n v="0"/>
    <n v="14.7"/>
    <n v="0.21"/>
    <n v="-14.7"/>
    <x v="0"/>
    <x v="125"/>
    <n v="0.21"/>
    <n v="14.7"/>
    <n v="0.21"/>
    <n v="0"/>
    <s v="Pas d'écart"/>
    <n v="61.48"/>
  </r>
  <r>
    <x v="0"/>
    <n v="75"/>
    <x v="20"/>
    <x v="0"/>
    <n v="0"/>
    <n v="0"/>
    <n v="0"/>
    <n v="0"/>
    <x v="1"/>
    <x v="1"/>
    <n v="0"/>
    <n v="0"/>
    <n v="0"/>
    <n v="0"/>
    <s v="Pas d'écart"/>
    <n v="14.660000000000004"/>
  </r>
  <r>
    <x v="2"/>
    <n v="63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20.079999999999998"/>
  </r>
  <r>
    <x v="0"/>
    <n v="21"/>
    <x v="6"/>
    <x v="0"/>
    <n v="0"/>
    <n v="19.2"/>
    <n v="0.12"/>
    <n v="-19.2"/>
    <x v="0"/>
    <x v="58"/>
    <n v="0.12"/>
    <n v="19.2"/>
    <n v="0.12"/>
    <n v="0"/>
    <s v="Pas d'écart"/>
    <n v="15.310000000000002"/>
  </r>
  <r>
    <x v="2"/>
    <n v="75"/>
    <x v="15"/>
    <x v="0"/>
    <n v="0"/>
    <n v="0"/>
    <n v="0"/>
    <n v="0"/>
    <x v="1"/>
    <x v="1"/>
    <n v="0"/>
    <n v="0"/>
    <n v="0"/>
    <n v="0"/>
    <s v="Pas d'écart"/>
    <n v="0"/>
  </r>
  <r>
    <x v="2"/>
    <n v="38"/>
    <x v="1"/>
    <x v="0"/>
    <n v="0"/>
    <n v="0"/>
    <n v="0"/>
    <n v="0"/>
    <x v="1"/>
    <x v="1"/>
    <n v="0"/>
    <n v="0"/>
    <n v="0"/>
    <n v="0"/>
    <s v="Pas d'écart"/>
    <n v="72.34"/>
  </r>
  <r>
    <x v="4"/>
    <n v="72"/>
    <x v="2"/>
    <x v="360"/>
    <n v="0.19528571428571428"/>
    <n v="29.4"/>
    <n v="0.21"/>
    <n v="-2.0599999999999987"/>
    <x v="0"/>
    <x v="1"/>
    <n v="0"/>
    <n v="29.4"/>
    <n v="0.21"/>
    <n v="-29.4"/>
    <s v="Ecart négatif"/>
    <n v="0"/>
  </r>
  <r>
    <x v="0"/>
    <n v="63"/>
    <x v="15"/>
    <x v="0"/>
    <n v="0"/>
    <n v="2.4"/>
    <n v="0.12"/>
    <n v="-2.4"/>
    <x v="0"/>
    <x v="192"/>
    <n v="8.7499999999999994E-2"/>
    <n v="2.4"/>
    <n v="0.12"/>
    <n v="-0.64999999999999991"/>
    <s v="Ecart négatif"/>
    <n v="3.620000000000001"/>
  </r>
  <r>
    <x v="0"/>
    <n v="56"/>
    <x v="0"/>
    <x v="0"/>
    <n v="0"/>
    <n v="0"/>
    <n v="0"/>
    <n v="0"/>
    <x v="1"/>
    <x v="1"/>
    <n v="0"/>
    <n v="0"/>
    <n v="0"/>
    <n v="0"/>
    <s v="Pas d'écart"/>
    <n v="21.47"/>
  </r>
  <r>
    <x v="0"/>
    <n v="54"/>
    <x v="19"/>
    <x v="0"/>
    <n v="0"/>
    <n v="47.5"/>
    <n v="0.25"/>
    <n v="-47.5"/>
    <x v="0"/>
    <x v="34"/>
    <n v="0.24210526315789474"/>
    <n v="47.5"/>
    <n v="0.25"/>
    <n v="-1.5"/>
    <s v="Ecart négatif"/>
    <n v="99.88"/>
  </r>
  <r>
    <x v="0"/>
    <n v="85"/>
    <x v="22"/>
    <x v="0"/>
    <n v="0"/>
    <n v="0"/>
    <n v="0"/>
    <n v="0"/>
    <x v="1"/>
    <x v="1"/>
    <n v="0"/>
    <n v="0"/>
    <n v="0"/>
    <n v="0"/>
    <s v="Pas d'écart"/>
    <n v="71.27"/>
  </r>
  <r>
    <x v="0"/>
    <n v="85"/>
    <x v="7"/>
    <x v="0"/>
    <n v="0"/>
    <n v="0"/>
    <n v="0"/>
    <n v="0"/>
    <x v="1"/>
    <x v="1"/>
    <n v="0"/>
    <n v="0"/>
    <n v="0"/>
    <n v="0"/>
    <s v="Pas d'écart"/>
    <n v="19.3"/>
  </r>
  <r>
    <x v="0"/>
    <n v="70"/>
    <x v="6"/>
    <x v="0"/>
    <n v="0"/>
    <n v="19.2"/>
    <n v="0.12"/>
    <n v="-19.2"/>
    <x v="0"/>
    <x v="47"/>
    <n v="0.11325"/>
    <n v="19.2"/>
    <n v="0.12"/>
    <n v="-1.0799999999999983"/>
    <s v="Ecart négatif"/>
    <n v="91.69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81"/>
    <x v="12"/>
    <x v="0"/>
    <n v="0"/>
    <n v="10.4"/>
    <n v="0.26"/>
    <n v="-10.4"/>
    <x v="0"/>
    <x v="52"/>
    <n v="0.27"/>
    <n v="10.4"/>
    <n v="0.26"/>
    <n v="0.40000000000000036"/>
    <s v="Ecart positif"/>
    <n v="41.47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34"/>
    <x v="6"/>
    <x v="0"/>
    <n v="0"/>
    <n v="44.800000000000004"/>
    <n v="0.28000000000000003"/>
    <n v="-44.800000000000004"/>
    <x v="0"/>
    <x v="1"/>
    <n v="0"/>
    <n v="44.800000000000004"/>
    <n v="0.28000000000000003"/>
    <n v="-44.800000000000004"/>
    <s v="Ecart négatif"/>
    <n v="91.69"/>
  </r>
  <r>
    <x v="0"/>
    <n v="45"/>
    <x v="0"/>
    <x v="0"/>
    <n v="0"/>
    <n v="21.599999999999998"/>
    <n v="0.11999999999999998"/>
    <n v="-21.599999999999998"/>
    <x v="0"/>
    <x v="65"/>
    <n v="0.39"/>
    <n v="21.599999999999998"/>
    <n v="0.11999999999999998"/>
    <n v="48.600000000000009"/>
    <s v="Ecart positif"/>
    <n v="21.47"/>
  </r>
  <r>
    <x v="0"/>
    <n v="28"/>
    <x v="12"/>
    <x v="0"/>
    <n v="0"/>
    <n v="4.8"/>
    <n v="0.12"/>
    <n v="-4.8"/>
    <x v="0"/>
    <x v="52"/>
    <n v="0.27"/>
    <n v="4.8"/>
    <n v="0.12"/>
    <n v="6.0000000000000009"/>
    <s v="Ecart positif"/>
    <n v="47.76"/>
  </r>
  <r>
    <x v="4"/>
    <n v="92"/>
    <x v="11"/>
    <x v="0"/>
    <n v="0"/>
    <n v="0"/>
    <n v="0"/>
    <n v="0"/>
    <x v="1"/>
    <x v="1"/>
    <n v="0"/>
    <n v="0"/>
    <n v="0"/>
    <n v="0"/>
    <s v="Pas d'écart"/>
    <n v="0"/>
  </r>
  <r>
    <x v="5"/>
    <n v="16"/>
    <x v="11"/>
    <x v="0"/>
    <n v="0"/>
    <n v="12.6"/>
    <n v="0.21"/>
    <n v="-12.6"/>
    <x v="0"/>
    <x v="1"/>
    <n v="0"/>
    <n v="12.6"/>
    <n v="0.21"/>
    <n v="-12.6"/>
    <s v="Ecart négatif"/>
    <n v="30.849999999999998"/>
  </r>
  <r>
    <x v="5"/>
    <n v="31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2"/>
    <n v="51"/>
    <x v="20"/>
    <x v="0"/>
    <n v="0"/>
    <n v="62.5"/>
    <n v="0.25"/>
    <n v="-62.5"/>
    <x v="0"/>
    <x v="44"/>
    <n v="0.25"/>
    <n v="62.5"/>
    <n v="0.25"/>
    <n v="0"/>
    <s v="Pas d'écart"/>
    <n v="0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16"/>
    <x v="2"/>
    <x v="360"/>
    <n v="0.19528571428571428"/>
    <n v="29.4"/>
    <n v="0.21"/>
    <n v="-2.0599999999999987"/>
    <x v="0"/>
    <x v="1"/>
    <n v="0"/>
    <n v="29.4"/>
    <n v="0.21"/>
    <n v="-29.4"/>
    <s v="Ecart négatif"/>
    <n v="15.759999999999998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4"/>
    <n v="72"/>
    <x v="2"/>
    <x v="360"/>
    <n v="0.19528571428571428"/>
    <n v="29.4"/>
    <n v="0.21"/>
    <n v="-2.0599999999999987"/>
    <x v="0"/>
    <x v="1"/>
    <n v="0"/>
    <n v="29.4"/>
    <n v="0.21"/>
    <n v="-29.4"/>
    <s v="Ecart négatif"/>
    <n v="0"/>
  </r>
  <r>
    <x v="2"/>
    <n v="27"/>
    <x v="7"/>
    <x v="0"/>
    <n v="0"/>
    <n v="5.1000000000000005"/>
    <n v="0.17"/>
    <n v="-5.1000000000000005"/>
    <x v="0"/>
    <x v="1"/>
    <n v="0"/>
    <n v="5.1000000000000005"/>
    <n v="0.17"/>
    <n v="-5.1000000000000005"/>
    <s v="Ecart négatif"/>
    <n v="17.260000000000002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66"/>
    <x v="22"/>
    <x v="361"/>
    <n v="0.35880000000000001"/>
    <n v="34"/>
    <n v="0.34"/>
    <n v="1.8800000000000026"/>
    <x v="2"/>
    <x v="1"/>
    <n v="0"/>
    <n v="34"/>
    <n v="0.34"/>
    <n v="-34"/>
    <s v="Ecart négatif"/>
    <n v="75.92"/>
  </r>
  <r>
    <x v="2"/>
    <n v="57"/>
    <x v="6"/>
    <x v="0"/>
    <n v="0"/>
    <n v="40"/>
    <n v="0.25"/>
    <n v="-40"/>
    <x v="0"/>
    <x v="1"/>
    <n v="0"/>
    <n v="40"/>
    <n v="0.25"/>
    <n v="-40"/>
    <s v="Ecart négatif"/>
    <n v="0"/>
  </r>
  <r>
    <x v="4"/>
    <n v="88"/>
    <x v="7"/>
    <x v="362"/>
    <n v="0.19533333333333333"/>
    <n v="8.4"/>
    <n v="0.28000000000000003"/>
    <n v="-2.54"/>
    <x v="0"/>
    <x v="1"/>
    <n v="0"/>
    <n v="8.4"/>
    <n v="0.28000000000000003"/>
    <n v="-8.4"/>
    <s v="Ecart négatif"/>
    <n v="0"/>
  </r>
  <r>
    <x v="0"/>
    <n v="28"/>
    <x v="11"/>
    <x v="0"/>
    <n v="0"/>
    <n v="7.1999999999999993"/>
    <n v="0.11999999999999998"/>
    <n v="-7.1999999999999993"/>
    <x v="0"/>
    <x v="1"/>
    <n v="0"/>
    <n v="7.1999999999999993"/>
    <n v="0.11999999999999998"/>
    <n v="-7.1999999999999993"/>
    <s v="Ecart négatif"/>
    <n v="58.26"/>
  </r>
  <r>
    <x v="4"/>
    <n v="95"/>
    <x v="7"/>
    <x v="363"/>
    <n v="0.19566666666666668"/>
    <n v="0"/>
    <n v="0"/>
    <n v="5.87"/>
    <x v="2"/>
    <x v="1"/>
    <n v="0"/>
    <n v="0"/>
    <n v="0"/>
    <n v="0"/>
    <s v="Pas d'écart"/>
    <n v="0"/>
  </r>
  <r>
    <x v="3"/>
    <n v="87"/>
    <x v="7"/>
    <x v="363"/>
    <n v="0.19566666666666668"/>
    <n v="8.4"/>
    <n v="0.28000000000000003"/>
    <n v="-2.5300000000000002"/>
    <x v="0"/>
    <x v="1"/>
    <n v="0"/>
    <n v="8.4"/>
    <n v="0.28000000000000003"/>
    <n v="-8.4"/>
    <s v="Ecart négatif"/>
    <n v="3.5999999999999979"/>
  </r>
  <r>
    <x v="3"/>
    <n v="87"/>
    <x v="7"/>
    <x v="363"/>
    <n v="0.19566666666666668"/>
    <n v="8.4"/>
    <n v="0.28000000000000003"/>
    <n v="-2.5300000000000002"/>
    <x v="0"/>
    <x v="1"/>
    <n v="0"/>
    <n v="8.4"/>
    <n v="0.28000000000000003"/>
    <n v="-8.4"/>
    <s v="Ecart négatif"/>
    <n v="3.5999999999999979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5.310000000000002"/>
  </r>
  <r>
    <x v="2"/>
    <n v="16"/>
    <x v="9"/>
    <x v="0"/>
    <n v="0"/>
    <n v="13.600000000000001"/>
    <n v="0.17"/>
    <n v="-13.600000000000001"/>
    <x v="0"/>
    <x v="22"/>
    <n v="0.21000000000000002"/>
    <n v="13.600000000000001"/>
    <n v="0.17"/>
    <n v="3.1999999999999993"/>
    <s v="Ecart positif"/>
    <n v="0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27"/>
    <x v="10"/>
    <x v="0"/>
    <n v="0"/>
    <n v="25.500000000000004"/>
    <n v="0.17"/>
    <n v="-25.500000000000004"/>
    <x v="0"/>
    <x v="193"/>
    <n v="0.15946666666666667"/>
    <n v="25.500000000000004"/>
    <n v="0.17"/>
    <n v="-1.5800000000000018"/>
    <s v="Ecart négatif"/>
    <n v="14.789999999999992"/>
  </r>
  <r>
    <x v="3"/>
    <n v="87"/>
    <x v="7"/>
    <x v="363"/>
    <n v="0.19566666666666668"/>
    <n v="8.4"/>
    <n v="0.28000000000000003"/>
    <n v="-2.5300000000000002"/>
    <x v="0"/>
    <x v="1"/>
    <n v="0"/>
    <n v="8.4"/>
    <n v="0.28000000000000003"/>
    <n v="-8.4"/>
    <s v="Ecart négatif"/>
    <n v="3.5999999999999979"/>
  </r>
  <r>
    <x v="3"/>
    <n v="28"/>
    <x v="4"/>
    <x v="364"/>
    <n v="0.19599999999999998"/>
    <n v="22"/>
    <n v="0.2"/>
    <n v="-0.44000000000000128"/>
    <x v="0"/>
    <x v="1"/>
    <n v="0"/>
    <n v="22"/>
    <n v="0.2"/>
    <n v="-22"/>
    <s v="Ecart négatif"/>
    <n v="15.329999999999998"/>
  </r>
  <r>
    <x v="4"/>
    <n v="41"/>
    <x v="9"/>
    <x v="365"/>
    <n v="0.19600000000000001"/>
    <n v="16.8"/>
    <n v="0.21000000000000002"/>
    <n v="-1.120000000000001"/>
    <x v="0"/>
    <x v="1"/>
    <n v="0"/>
    <n v="16.8"/>
    <n v="0.21000000000000002"/>
    <n v="-16.8"/>
    <s v="Ecart négatif"/>
    <n v="0"/>
  </r>
  <r>
    <x v="4"/>
    <n v="45"/>
    <x v="2"/>
    <x v="366"/>
    <n v="0.19692857142857143"/>
    <n v="29.4"/>
    <n v="0.21"/>
    <n v="-1.8299999999999983"/>
    <x v="0"/>
    <x v="1"/>
    <n v="0"/>
    <n v="29.4"/>
    <n v="0.21"/>
    <n v="-29.4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10"/>
    <x v="12"/>
    <x v="367"/>
    <n v="0.19700000000000001"/>
    <n v="9.2000000000000011"/>
    <n v="0.23000000000000004"/>
    <n v="-1.3200000000000012"/>
    <x v="0"/>
    <x v="1"/>
    <n v="0"/>
    <n v="9.2000000000000011"/>
    <n v="0.23000000000000004"/>
    <n v="-9.2000000000000011"/>
    <s v="Ecart négatif"/>
    <n v="0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0"/>
    <n v="42"/>
    <x v="22"/>
    <x v="0"/>
    <n v="0"/>
    <n v="0"/>
    <n v="0"/>
    <n v="0"/>
    <x v="1"/>
    <x v="1"/>
    <n v="0"/>
    <n v="0"/>
    <n v="0"/>
    <n v="0"/>
    <s v="Pas d'écart"/>
    <n v="14.249999999999993"/>
  </r>
  <r>
    <x v="4"/>
    <n v="33"/>
    <x v="27"/>
    <x v="368"/>
    <n v="0.19739999999999999"/>
    <n v="10.5"/>
    <n v="0.21"/>
    <n v="-0.63000000000000078"/>
    <x v="0"/>
    <x v="1"/>
    <n v="0"/>
    <n v="10.5"/>
    <n v="0.21"/>
    <n v="-10.5"/>
    <s v="Ecart négatif"/>
    <n v="0"/>
  </r>
  <r>
    <x v="4"/>
    <n v="45"/>
    <x v="9"/>
    <x v="369"/>
    <n v="0.197625"/>
    <n v="16.8"/>
    <n v="0.21000000000000002"/>
    <n v="-0.99000000000000021"/>
    <x v="0"/>
    <x v="1"/>
    <n v="0"/>
    <n v="16.8"/>
    <n v="0.21000000000000002"/>
    <n v="-16.8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4"/>
    <n v="79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57"/>
    <x v="15"/>
    <x v="0"/>
    <n v="0"/>
    <n v="5"/>
    <n v="0.25"/>
    <n v="-5"/>
    <x v="0"/>
    <x v="57"/>
    <n v="0.21249999999999999"/>
    <n v="5"/>
    <n v="0.25"/>
    <n v="-0.75"/>
    <s v="Ecart négatif"/>
    <n v="3.4600000000000009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3"/>
    <n v="75"/>
    <x v="13"/>
    <x v="0"/>
    <n v="0"/>
    <n v="0"/>
    <n v="0"/>
    <n v="0"/>
    <x v="1"/>
    <x v="1"/>
    <n v="0"/>
    <n v="0"/>
    <n v="0"/>
    <n v="0"/>
    <s v="Pas d'écart"/>
    <n v="11.71"/>
  </r>
  <r>
    <x v="3"/>
    <n v="14"/>
    <x v="2"/>
    <x v="125"/>
    <n v="0.17"/>
    <n v="23.8"/>
    <n v="0.17"/>
    <n v="0"/>
    <x v="1"/>
    <x v="1"/>
    <n v="0"/>
    <n v="23.8"/>
    <n v="0.17"/>
    <n v="-23.8"/>
    <s v="Ecart négatif"/>
    <n v="14.68"/>
  </r>
  <r>
    <x v="4"/>
    <n v="92"/>
    <x v="57"/>
    <x v="0"/>
    <n v="0"/>
    <n v="0"/>
    <n v="0"/>
    <n v="0"/>
    <x v="1"/>
    <x v="1"/>
    <n v="0"/>
    <n v="0"/>
    <n v="0"/>
    <n v="0"/>
    <s v="Pas d'écart"/>
    <n v="0"/>
  </r>
  <r>
    <x v="4"/>
    <n v="45"/>
    <x v="2"/>
    <x v="370"/>
    <n v="0.19799999999999998"/>
    <n v="29.4"/>
    <n v="0.21"/>
    <n v="-1.6799999999999997"/>
    <x v="0"/>
    <x v="1"/>
    <n v="0"/>
    <n v="29.4"/>
    <n v="0.21"/>
    <n v="-29.4"/>
    <s v="Ecart négatif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7"/>
    <x v="7"/>
    <x v="0"/>
    <n v="0"/>
    <n v="2.4"/>
    <n v="0.08"/>
    <n v="-2.4"/>
    <x v="0"/>
    <x v="194"/>
    <n v="7.9333333333333325E-2"/>
    <n v="2.4"/>
    <n v="0.08"/>
    <n v="-2.0000000000000018E-2"/>
    <s v="Ecart négatif"/>
    <n v="3.6799999999999997"/>
  </r>
  <r>
    <x v="4"/>
    <n v="79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79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2"/>
    <n v="13"/>
    <x v="7"/>
    <x v="0"/>
    <n v="0"/>
    <n v="5.7"/>
    <n v="0.19"/>
    <n v="-5.7"/>
    <x v="0"/>
    <x v="195"/>
    <n v="0.42499999999999999"/>
    <n v="5.7"/>
    <n v="0.19"/>
    <n v="7.05"/>
    <s v="Ecart positif"/>
    <n v="0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79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17"/>
    <x v="2"/>
    <x v="370"/>
    <n v="0.19799999999999998"/>
    <n v="29.4"/>
    <n v="0.21"/>
    <n v="-1.6799999999999997"/>
    <x v="0"/>
    <x v="1"/>
    <n v="0"/>
    <n v="29.4"/>
    <n v="0.21"/>
    <n v="-29.4"/>
    <s v="Ecart négatif"/>
    <n v="13.799999999999997"/>
  </r>
  <r>
    <x v="4"/>
    <n v="28"/>
    <x v="6"/>
    <x v="371"/>
    <n v="0.19818750000000002"/>
    <n v="32"/>
    <n v="0.2"/>
    <n v="-0.28999999999999915"/>
    <x v="0"/>
    <x v="1"/>
    <n v="0"/>
    <n v="32"/>
    <n v="0.2"/>
    <n v="-32"/>
    <s v="Ecart négatif"/>
    <n v="0"/>
  </r>
  <r>
    <x v="9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18"/>
    <x v="14"/>
    <x v="372"/>
    <n v="0.19876923076923078"/>
    <n v="27.3"/>
    <n v="0.21"/>
    <n v="-1.4600000000000009"/>
    <x v="0"/>
    <x v="1"/>
    <n v="0"/>
    <n v="27.3"/>
    <n v="0.21"/>
    <n v="-27.3"/>
    <s v="Ecart négatif"/>
    <n v="0"/>
  </r>
  <r>
    <x v="2"/>
    <n v="94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44"/>
    <x v="20"/>
    <x v="0"/>
    <n v="0"/>
    <n v="0"/>
    <n v="0"/>
    <n v="0"/>
    <x v="1"/>
    <x v="1"/>
    <n v="0"/>
    <n v="0"/>
    <n v="0"/>
    <n v="0"/>
    <s v="Pas d'écart"/>
    <n v="26.22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30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8"/>
    <n v="92"/>
    <x v="0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9"/>
    <x v="9"/>
    <x v="373"/>
    <n v="0.198875"/>
    <n v="16.8"/>
    <n v="0.21000000000000002"/>
    <n v="-0.89000000000000057"/>
    <x v="0"/>
    <x v="1"/>
    <n v="0"/>
    <n v="16.8"/>
    <n v="0.21000000000000002"/>
    <n v="-16.8"/>
    <s v="Ecart négatif"/>
    <n v="0"/>
  </r>
  <r>
    <x v="4"/>
    <n v="64"/>
    <x v="12"/>
    <x v="374"/>
    <n v="0.19900000000000001"/>
    <n v="8.4"/>
    <n v="0.21000000000000002"/>
    <n v="-0.44000000000000039"/>
    <x v="0"/>
    <x v="1"/>
    <n v="0"/>
    <n v="8.4"/>
    <n v="0.21000000000000002"/>
    <n v="-8.4"/>
    <s v="Ecart négatif"/>
    <n v="0"/>
  </r>
  <r>
    <x v="4"/>
    <n v="28"/>
    <x v="6"/>
    <x v="375"/>
    <n v="0.19943749999999999"/>
    <n v="32"/>
    <n v="0.2"/>
    <n v="-8.9999999999999858E-2"/>
    <x v="0"/>
    <x v="1"/>
    <n v="0"/>
    <n v="32"/>
    <n v="0.2"/>
    <n v="-32"/>
    <s v="Ecart négatif"/>
    <n v="0"/>
  </r>
  <r>
    <x v="4"/>
    <n v="45"/>
    <x v="12"/>
    <x v="376"/>
    <n v="0.19950000000000001"/>
    <n v="8.4"/>
    <n v="0.21000000000000002"/>
    <n v="-0.41999999999999993"/>
    <x v="0"/>
    <x v="1"/>
    <n v="0"/>
    <n v="8.4"/>
    <n v="0.21000000000000002"/>
    <n v="-8.4"/>
    <s v="Ecart négatif"/>
    <n v="0"/>
  </r>
  <r>
    <x v="4"/>
    <n v="89"/>
    <x v="12"/>
    <x v="377"/>
    <n v="0.2"/>
    <n v="9.2000000000000011"/>
    <n v="0.23000000000000004"/>
    <n v="-1.2000000000000011"/>
    <x v="0"/>
    <x v="1"/>
    <n v="0"/>
    <n v="9.2000000000000011"/>
    <n v="0.23000000000000004"/>
    <n v="-9.2000000000000011"/>
    <s v="Ecart négatif"/>
    <n v="0"/>
  </r>
  <r>
    <x v="0"/>
    <n v="62"/>
    <x v="7"/>
    <x v="0"/>
    <n v="0"/>
    <n v="0"/>
    <n v="0"/>
    <n v="0"/>
    <x v="1"/>
    <x v="1"/>
    <n v="0"/>
    <n v="0"/>
    <n v="0"/>
    <n v="0"/>
    <s v="Pas d'écart"/>
    <n v="3.6300000000000026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57"/>
    <x v="15"/>
    <x v="378"/>
    <n v="0.2"/>
    <n v="4.8"/>
    <n v="0.24"/>
    <n v="-0.79999999999999982"/>
    <x v="0"/>
    <x v="1"/>
    <n v="0"/>
    <n v="4.8"/>
    <n v="0.24"/>
    <n v="-4.8"/>
    <s v="Ecart négatif"/>
    <n v="0"/>
  </r>
  <r>
    <x v="4"/>
    <n v="54"/>
    <x v="5"/>
    <x v="379"/>
    <n v="0.2"/>
    <n v="2.5"/>
    <n v="0.25"/>
    <n v="-0.5"/>
    <x v="0"/>
    <x v="1"/>
    <n v="0"/>
    <n v="2.5"/>
    <n v="0.25"/>
    <n v="-2.5"/>
    <s v="Ecart négatif"/>
    <n v="0"/>
  </r>
  <r>
    <x v="4"/>
    <n v="54"/>
    <x v="5"/>
    <x v="379"/>
    <n v="0.2"/>
    <n v="2.5"/>
    <n v="0.25"/>
    <n v="-0.5"/>
    <x v="0"/>
    <x v="1"/>
    <n v="0"/>
    <n v="2.5"/>
    <n v="0.25"/>
    <n v="-2.5"/>
    <s v="Ecart négatif"/>
    <n v="0"/>
  </r>
  <r>
    <x v="4"/>
    <n v="72"/>
    <x v="7"/>
    <x v="380"/>
    <n v="0.20033333333333334"/>
    <n v="6.3"/>
    <n v="0.21"/>
    <n v="-0.29000000000000004"/>
    <x v="0"/>
    <x v="1"/>
    <n v="0"/>
    <n v="6.3"/>
    <n v="0.21"/>
    <n v="-6.3"/>
    <s v="Ecart négatif"/>
    <n v="0"/>
  </r>
  <r>
    <x v="2"/>
    <n v="83"/>
    <x v="6"/>
    <x v="0"/>
    <n v="0"/>
    <n v="33.6"/>
    <n v="0.21000000000000002"/>
    <n v="-33.6"/>
    <x v="0"/>
    <x v="1"/>
    <n v="0"/>
    <n v="33.6"/>
    <n v="0.21000000000000002"/>
    <n v="-33.6"/>
    <s v="Ecart négatif"/>
    <n v="0"/>
  </r>
  <r>
    <x v="2"/>
    <n v="56"/>
    <x v="10"/>
    <x v="0"/>
    <n v="0"/>
    <n v="0"/>
    <n v="0"/>
    <n v="0"/>
    <x v="1"/>
    <x v="196"/>
    <n v="0.26933333333333331"/>
    <n v="0"/>
    <n v="0"/>
    <n v="40.4"/>
    <s v="Ecart positif"/>
    <n v="0"/>
  </r>
  <r>
    <x v="3"/>
    <n v="64"/>
    <x v="18"/>
    <x v="381"/>
    <n v="0.20133333333333334"/>
    <n v="18.899999999999999"/>
    <n v="0.21"/>
    <n v="-0.77999999999999758"/>
    <x v="0"/>
    <x v="1"/>
    <n v="0"/>
    <n v="18.899999999999999"/>
    <n v="0.21"/>
    <n v="-18.899999999999999"/>
    <s v="Ecart négatif"/>
    <n v="15.04"/>
  </r>
  <r>
    <x v="3"/>
    <n v="47"/>
    <x v="18"/>
    <x v="381"/>
    <n v="0.20133333333333334"/>
    <n v="18.899999999999999"/>
    <n v="0.21"/>
    <n v="-0.77999999999999758"/>
    <x v="0"/>
    <x v="1"/>
    <n v="0"/>
    <n v="18.899999999999999"/>
    <n v="0.21"/>
    <n v="-18.899999999999999"/>
    <s v="Ecart négatif"/>
    <n v="14.150000000000006"/>
  </r>
  <r>
    <x v="4"/>
    <n v="45"/>
    <x v="10"/>
    <x v="382"/>
    <n v="0.20133333333333334"/>
    <n v="31.5"/>
    <n v="0.21"/>
    <n v="-1.3000000000000007"/>
    <x v="0"/>
    <x v="1"/>
    <n v="0"/>
    <n v="31.5"/>
    <n v="0.21"/>
    <n v="-31.5"/>
    <s v="Ecart négatif"/>
    <n v="0"/>
  </r>
  <r>
    <x v="4"/>
    <n v="86"/>
    <x v="6"/>
    <x v="383"/>
    <n v="0.201375"/>
    <n v="33.6"/>
    <n v="0.21000000000000002"/>
    <n v="-1.3800000000000026"/>
    <x v="0"/>
    <x v="1"/>
    <n v="0"/>
    <n v="33.6"/>
    <n v="0.21000000000000002"/>
    <n v="-33.6"/>
    <s v="Ecart négatif"/>
    <n v="0"/>
  </r>
  <r>
    <x v="4"/>
    <n v="45"/>
    <x v="10"/>
    <x v="384"/>
    <n v="0.2016"/>
    <n v="31.5"/>
    <n v="0.21"/>
    <n v="-1.2600000000000016"/>
    <x v="0"/>
    <x v="1"/>
    <n v="0"/>
    <n v="31.5"/>
    <n v="0.21"/>
    <n v="-31.5"/>
    <s v="Ecart négatif"/>
    <n v="0"/>
  </r>
  <r>
    <x v="0"/>
    <n v="45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3.5199999999999978"/>
  </r>
  <r>
    <x v="4"/>
    <n v="94"/>
    <x v="5"/>
    <x v="0"/>
    <n v="0"/>
    <n v="0"/>
    <n v="0"/>
    <n v="0"/>
    <x v="1"/>
    <x v="1"/>
    <n v="0"/>
    <n v="0"/>
    <n v="0"/>
    <n v="0"/>
    <s v="Pas d'écart"/>
    <n v="0"/>
  </r>
  <r>
    <x v="4"/>
    <n v="77"/>
    <x v="2"/>
    <x v="0"/>
    <n v="0"/>
    <n v="0"/>
    <n v="0"/>
    <n v="0"/>
    <x v="1"/>
    <x v="1"/>
    <n v="0"/>
    <n v="0"/>
    <n v="0"/>
    <n v="0"/>
    <s v="Pas d'écart"/>
    <n v="0"/>
  </r>
  <r>
    <x v="4"/>
    <n v="79"/>
    <x v="6"/>
    <x v="385"/>
    <n v="0.201625"/>
    <n v="33.6"/>
    <n v="0.21000000000000002"/>
    <n v="-1.3400000000000034"/>
    <x v="0"/>
    <x v="1"/>
    <n v="0"/>
    <n v="33.6"/>
    <n v="0.21000000000000002"/>
    <n v="-33.6"/>
    <s v="Ecart négatif"/>
    <n v="0"/>
  </r>
  <r>
    <x v="4"/>
    <n v="57"/>
    <x v="7"/>
    <x v="386"/>
    <n v="0.20166666666666666"/>
    <n v="7.1999999999999993"/>
    <n v="0.23999999999999996"/>
    <n v="-1.1499999999999995"/>
    <x v="0"/>
    <x v="1"/>
    <n v="0"/>
    <n v="7.1999999999999993"/>
    <n v="0.23999999999999996"/>
    <n v="-7.1999999999999993"/>
    <s v="Ecart négatif"/>
    <n v="0"/>
  </r>
  <r>
    <x v="3"/>
    <n v="9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38"/>
    <x v="7"/>
    <x v="386"/>
    <n v="0.20166666666666666"/>
    <n v="8.1000000000000014"/>
    <n v="0.27000000000000007"/>
    <n v="-2.0500000000000016"/>
    <x v="0"/>
    <x v="1"/>
    <n v="0"/>
    <n v="8.1000000000000014"/>
    <n v="0.27000000000000007"/>
    <n v="-8.1000000000000014"/>
    <s v="Ecart négatif"/>
    <n v="0"/>
  </r>
  <r>
    <x v="4"/>
    <n v="64"/>
    <x v="8"/>
    <x v="387"/>
    <n v="0.20171428571428571"/>
    <n v="14.7"/>
    <n v="0.21"/>
    <n v="-0.58000000000000007"/>
    <x v="0"/>
    <x v="1"/>
    <n v="0"/>
    <n v="14.7"/>
    <n v="0.21"/>
    <n v="-14.7"/>
    <s v="Ecart négatif"/>
    <n v="0"/>
  </r>
  <r>
    <x v="0"/>
    <n v="78"/>
    <x v="19"/>
    <x v="0"/>
    <n v="0"/>
    <n v="0"/>
    <n v="0"/>
    <n v="0"/>
    <x v="1"/>
    <x v="1"/>
    <n v="0"/>
    <n v="0"/>
    <n v="0"/>
    <n v="0"/>
    <s v="Pas d'écart"/>
    <n v="12.399999999999999"/>
  </r>
  <r>
    <x v="0"/>
    <n v="34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15.759999999999998"/>
  </r>
  <r>
    <x v="3"/>
    <n v="72"/>
    <x v="2"/>
    <x v="388"/>
    <n v="0.20185714285714287"/>
    <n v="29.4"/>
    <n v="0.21"/>
    <n v="-1.139999999999997"/>
    <x v="0"/>
    <x v="1"/>
    <n v="0"/>
    <n v="29.4"/>
    <n v="0.21"/>
    <n v="-29.4"/>
    <s v="Ecart négatif"/>
    <n v="15.759999999999998"/>
  </r>
  <r>
    <x v="3"/>
    <n v="72"/>
    <x v="2"/>
    <x v="388"/>
    <n v="0.20185714285714287"/>
    <n v="29.4"/>
    <n v="0.21"/>
    <n v="-1.139999999999997"/>
    <x v="0"/>
    <x v="1"/>
    <n v="0"/>
    <n v="29.4"/>
    <n v="0.21"/>
    <n v="-29.4"/>
    <s v="Ecart négatif"/>
    <n v="15.759999999999998"/>
  </r>
  <r>
    <x v="3"/>
    <n v="45"/>
    <x v="19"/>
    <x v="389"/>
    <n v="0.20236842105263159"/>
    <n v="39.9"/>
    <n v="0.21"/>
    <n v="-1.4499999999999957"/>
    <x v="0"/>
    <x v="1"/>
    <n v="0"/>
    <n v="39.9"/>
    <n v="0.21"/>
    <n v="-39.9"/>
    <s v="Ecart négatif"/>
    <n v="23.700000000000003"/>
  </r>
  <r>
    <x v="0"/>
    <n v="37"/>
    <x v="6"/>
    <x v="0"/>
    <n v="0"/>
    <n v="19.2"/>
    <n v="0.12"/>
    <n v="-19.2"/>
    <x v="0"/>
    <x v="1"/>
    <n v="0"/>
    <n v="19.2"/>
    <n v="0.12"/>
    <n v="-19.2"/>
    <s v="Ecart négatif"/>
    <n v="15.310000000000002"/>
  </r>
  <r>
    <x v="2"/>
    <n v="29"/>
    <x v="14"/>
    <x v="0"/>
    <n v="0"/>
    <n v="15.6"/>
    <n v="0.12"/>
    <n v="-15.6"/>
    <x v="0"/>
    <x v="197"/>
    <n v="0.38946153846153847"/>
    <n v="15.6"/>
    <n v="0.12"/>
    <n v="35.03"/>
    <s v="Ecart positif"/>
    <n v="0"/>
  </r>
  <r>
    <x v="3"/>
    <n v="91"/>
    <x v="19"/>
    <x v="0"/>
    <n v="0"/>
    <n v="0"/>
    <n v="0"/>
    <n v="0"/>
    <x v="1"/>
    <x v="1"/>
    <n v="0"/>
    <n v="0"/>
    <n v="0"/>
    <n v="0"/>
    <s v="Pas d'écart"/>
    <n v="12.399999999999999"/>
  </r>
  <r>
    <x v="3"/>
    <n v="79"/>
    <x v="18"/>
    <x v="390"/>
    <n v="0.20244444444444443"/>
    <n v="18.899999999999999"/>
    <n v="0.21"/>
    <n v="-0.67999999999999972"/>
    <x v="0"/>
    <x v="1"/>
    <n v="0"/>
    <n v="18.899999999999999"/>
    <n v="0.21"/>
    <n v="-18.899999999999999"/>
    <s v="Ecart négatif"/>
    <n v="15.04"/>
  </r>
  <r>
    <x v="4"/>
    <n v="64"/>
    <x v="19"/>
    <x v="391"/>
    <n v="0.20252631578947367"/>
    <n v="39.9"/>
    <n v="0.21"/>
    <n v="-1.4200000000000017"/>
    <x v="0"/>
    <x v="1"/>
    <n v="0"/>
    <n v="39.9"/>
    <n v="0.21"/>
    <n v="-39.9"/>
    <s v="Ecart négatif"/>
    <n v="0"/>
  </r>
  <r>
    <x v="4"/>
    <n v="72"/>
    <x v="19"/>
    <x v="392"/>
    <n v="0.20294736842105265"/>
    <n v="39.9"/>
    <n v="0.21"/>
    <n v="-1.3399999999999963"/>
    <x v="0"/>
    <x v="1"/>
    <n v="0"/>
    <n v="39.9"/>
    <n v="0.21"/>
    <n v="-39.9"/>
    <s v="Ecart négatif"/>
    <n v="0"/>
  </r>
  <r>
    <x v="4"/>
    <n v="75"/>
    <x v="9"/>
    <x v="0"/>
    <n v="0"/>
    <n v="0"/>
    <n v="0"/>
    <n v="0"/>
    <x v="1"/>
    <x v="1"/>
    <n v="0"/>
    <n v="0"/>
    <n v="0"/>
    <n v="0"/>
    <s v="Pas d'écart"/>
    <n v="0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4"/>
    <n v="92"/>
    <x v="9"/>
    <x v="0"/>
    <n v="0"/>
    <n v="0"/>
    <n v="0"/>
    <n v="0"/>
    <x v="1"/>
    <x v="1"/>
    <n v="0"/>
    <n v="0"/>
    <n v="0"/>
    <n v="0"/>
    <s v="Pas d'écart"/>
    <n v="0"/>
  </r>
  <r>
    <x v="2"/>
    <n v="94"/>
    <x v="2"/>
    <x v="0"/>
    <n v="0"/>
    <n v="0"/>
    <n v="0"/>
    <n v="0"/>
    <x v="1"/>
    <x v="1"/>
    <n v="0"/>
    <n v="0"/>
    <n v="0"/>
    <n v="0"/>
    <s v="Pas d'écart"/>
    <n v="0"/>
  </r>
  <r>
    <x v="4"/>
    <n v="41"/>
    <x v="14"/>
    <x v="393"/>
    <n v="0.20353846153846156"/>
    <n v="27.3"/>
    <n v="0.21"/>
    <n v="-0.83999999999999986"/>
    <x v="0"/>
    <x v="1"/>
    <n v="0"/>
    <n v="27.3"/>
    <n v="0.21"/>
    <n v="-27.3"/>
    <s v="Ecart négatif"/>
    <n v="0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4"/>
    <n v="75"/>
    <x v="10"/>
    <x v="0"/>
    <n v="0"/>
    <n v="0"/>
    <n v="0"/>
    <n v="0"/>
    <x v="1"/>
    <x v="1"/>
    <n v="0"/>
    <n v="0"/>
    <n v="0"/>
    <n v="0"/>
    <s v="Pas d'écart"/>
    <n v="0"/>
  </r>
  <r>
    <x v="4"/>
    <n v="75"/>
    <x v="10"/>
    <x v="0"/>
    <n v="0"/>
    <n v="0"/>
    <n v="0"/>
    <n v="0"/>
    <x v="1"/>
    <x v="1"/>
    <n v="0"/>
    <n v="0"/>
    <n v="0"/>
    <n v="0"/>
    <s v="Pas d'écart"/>
    <n v="0"/>
  </r>
  <r>
    <x v="3"/>
    <n v="16"/>
    <x v="19"/>
    <x v="394"/>
    <n v="0.20357894736842105"/>
    <n v="39.9"/>
    <n v="0.21"/>
    <n v="-1.2199999999999989"/>
    <x v="0"/>
    <x v="1"/>
    <n v="0"/>
    <n v="39.9"/>
    <n v="0.21"/>
    <n v="-39.9"/>
    <s v="Ecart négatif"/>
    <n v="25.64"/>
  </r>
  <r>
    <x v="3"/>
    <n v="16"/>
    <x v="19"/>
    <x v="394"/>
    <n v="0.20357894736842105"/>
    <n v="39.9"/>
    <n v="0.21"/>
    <n v="-1.2199999999999989"/>
    <x v="0"/>
    <x v="1"/>
    <n v="0"/>
    <n v="39.9"/>
    <n v="0.21"/>
    <n v="-39.9"/>
    <s v="Ecart négatif"/>
    <n v="25.64"/>
  </r>
  <r>
    <x v="3"/>
    <n v="16"/>
    <x v="19"/>
    <x v="394"/>
    <n v="0.20357894736842105"/>
    <n v="39.9"/>
    <n v="0.21"/>
    <n v="-1.2199999999999989"/>
    <x v="0"/>
    <x v="1"/>
    <n v="0"/>
    <n v="39.9"/>
    <n v="0.21"/>
    <n v="-39.9"/>
    <s v="Ecart négatif"/>
    <n v="25.64"/>
  </r>
  <r>
    <x v="4"/>
    <n v="77"/>
    <x v="2"/>
    <x v="0"/>
    <n v="0"/>
    <n v="0"/>
    <n v="0"/>
    <n v="0"/>
    <x v="1"/>
    <x v="1"/>
    <n v="0"/>
    <n v="0"/>
    <n v="0"/>
    <n v="0"/>
    <s v="Pas d'écart"/>
    <n v="0"/>
  </r>
  <r>
    <x v="3"/>
    <n v="16"/>
    <x v="19"/>
    <x v="394"/>
    <n v="0.20357894736842105"/>
    <n v="39.9"/>
    <n v="0.21"/>
    <n v="-1.2199999999999989"/>
    <x v="0"/>
    <x v="1"/>
    <n v="0"/>
    <n v="39.9"/>
    <n v="0.21"/>
    <n v="-39.9"/>
    <s v="Ecart négatif"/>
    <n v="25.64"/>
  </r>
  <r>
    <x v="3"/>
    <n v="75"/>
    <x v="12"/>
    <x v="0"/>
    <n v="0"/>
    <n v="0"/>
    <n v="0"/>
    <n v="0"/>
    <x v="1"/>
    <x v="1"/>
    <n v="0"/>
    <n v="0"/>
    <n v="0"/>
    <n v="0"/>
    <s v="Pas d'écart"/>
    <n v="5.23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3"/>
    <n v="45"/>
    <x v="9"/>
    <x v="353"/>
    <n v="0.21000000000000002"/>
    <n v="16.8"/>
    <n v="0.21000000000000002"/>
    <n v="0"/>
    <x v="1"/>
    <x v="1"/>
    <n v="0"/>
    <n v="16.8"/>
    <n v="0.21000000000000002"/>
    <n v="-16.8"/>
    <s v="Ecart négatif"/>
    <n v="14.04"/>
  </r>
  <r>
    <x v="0"/>
    <n v="50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8.340000000000003"/>
  </r>
  <r>
    <x v="0"/>
    <n v="61"/>
    <x v="8"/>
    <x v="0"/>
    <n v="0"/>
    <n v="11.9"/>
    <n v="0.17"/>
    <n v="-11.9"/>
    <x v="0"/>
    <x v="1"/>
    <n v="0"/>
    <n v="11.9"/>
    <n v="0.17"/>
    <n v="-11.9"/>
    <s v="Ecart négatif"/>
    <n v="66.36"/>
  </r>
  <r>
    <x v="4"/>
    <n v="74"/>
    <x v="7"/>
    <x v="395"/>
    <n v="0.20366666666666669"/>
    <n v="7.8000000000000007"/>
    <n v="0.26"/>
    <n v="-1.6900000000000004"/>
    <x v="0"/>
    <x v="1"/>
    <n v="0"/>
    <n v="7.8000000000000007"/>
    <n v="0.26"/>
    <n v="-7.8000000000000007"/>
    <s v="Ecart négatif"/>
    <n v="0"/>
  </r>
  <r>
    <x v="3"/>
    <n v="21"/>
    <x v="11"/>
    <x v="396"/>
    <n v="0.20366666666666669"/>
    <n v="14.399999999999999"/>
    <n v="0.23999999999999996"/>
    <n v="-2.1799999999999979"/>
    <x v="0"/>
    <x v="1"/>
    <n v="0"/>
    <n v="14.399999999999999"/>
    <n v="0.23999999999999996"/>
    <n v="-14.399999999999999"/>
    <s v="Ecart négatif"/>
    <n v="8.5"/>
  </r>
  <r>
    <x v="4"/>
    <n v="73"/>
    <x v="7"/>
    <x v="395"/>
    <n v="0.20366666666666669"/>
    <n v="8.1000000000000014"/>
    <n v="0.27000000000000007"/>
    <n v="-1.9900000000000011"/>
    <x v="0"/>
    <x v="1"/>
    <n v="0"/>
    <n v="8.1000000000000014"/>
    <n v="0.27000000000000007"/>
    <n v="-8.1000000000000014"/>
    <s v="Ecart négatif"/>
    <n v="0"/>
  </r>
  <r>
    <x v="1"/>
    <n v="44"/>
    <x v="6"/>
    <x v="0"/>
    <n v="0"/>
    <n v="43.2"/>
    <n v="0.27"/>
    <n v="-43.2"/>
    <x v="0"/>
    <x v="1"/>
    <n v="0"/>
    <n v="43.2"/>
    <n v="0.27"/>
    <n v="-43.2"/>
    <s v="Ecart négatif"/>
    <n v="76.56"/>
  </r>
  <r>
    <x v="0"/>
    <n v="54"/>
    <x v="7"/>
    <x v="0"/>
    <n v="0"/>
    <n v="7.5"/>
    <n v="0.25"/>
    <n v="-7.5"/>
    <x v="0"/>
    <x v="1"/>
    <n v="0"/>
    <n v="7.5"/>
    <n v="0.25"/>
    <n v="-7.5"/>
    <s v="Ecart négatif"/>
    <n v="3.5500000000000007"/>
  </r>
  <r>
    <x v="3"/>
    <n v="75"/>
    <x v="44"/>
    <x v="0"/>
    <n v="0"/>
    <n v="0"/>
    <n v="0"/>
    <n v="0"/>
    <x v="1"/>
    <x v="1"/>
    <n v="0"/>
    <n v="0"/>
    <n v="0"/>
    <n v="0"/>
    <s v="Pas d'écart"/>
    <n v="17.629999999999995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72"/>
    <x v="19"/>
    <x v="397"/>
    <n v="0.20384210526315788"/>
    <n v="39.9"/>
    <n v="0.21"/>
    <n v="-1.1700000000000017"/>
    <x v="0"/>
    <x v="1"/>
    <n v="0"/>
    <n v="39.9"/>
    <n v="0.21"/>
    <n v="-39.9"/>
    <s v="Ecart négatif"/>
    <n v="25.64"/>
  </r>
  <r>
    <x v="4"/>
    <n v="86"/>
    <x v="4"/>
    <x v="398"/>
    <n v="0.20400000000000001"/>
    <n v="23.099999999999998"/>
    <n v="0.21"/>
    <n v="-0.65999999999999659"/>
    <x v="0"/>
    <x v="1"/>
    <n v="0"/>
    <n v="23.099999999999998"/>
    <n v="0.21"/>
    <n v="-23.099999999999998"/>
    <s v="Ecart négatif"/>
    <n v="0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4"/>
    <n v="28"/>
    <x v="0"/>
    <x v="399"/>
    <n v="0.20411111111111113"/>
    <n v="36"/>
    <n v="0.2"/>
    <n v="0.74000000000000199"/>
    <x v="2"/>
    <x v="1"/>
    <n v="0"/>
    <n v="36"/>
    <n v="0.2"/>
    <n v="-36"/>
    <s v="Ecart négatif"/>
    <n v="0"/>
  </r>
  <r>
    <x v="3"/>
    <n v="16"/>
    <x v="19"/>
    <x v="400"/>
    <n v="0.20426315789473684"/>
    <n v="39.9"/>
    <n v="0.21"/>
    <n v="-1.0899999999999963"/>
    <x v="0"/>
    <x v="1"/>
    <n v="0"/>
    <n v="39.9"/>
    <n v="0.21"/>
    <n v="-39.9"/>
    <s v="Ecart négatif"/>
    <n v="25.64"/>
  </r>
  <r>
    <x v="4"/>
    <n v="31"/>
    <x v="2"/>
    <x v="401"/>
    <n v="0.20457142857142857"/>
    <n v="26.6"/>
    <n v="0.19"/>
    <n v="2.0399999999999991"/>
    <x v="2"/>
    <x v="1"/>
    <n v="0"/>
    <n v="26.6"/>
    <n v="0.19"/>
    <n v="-26.6"/>
    <s v="Ecart négatif"/>
    <n v="0"/>
  </r>
  <r>
    <x v="4"/>
    <n v="64"/>
    <x v="14"/>
    <x v="80"/>
    <n v="0.20461538461538462"/>
    <n v="27.3"/>
    <n v="0.21"/>
    <n v="-0.69999999999999929"/>
    <x v="0"/>
    <x v="1"/>
    <n v="0"/>
    <n v="27.3"/>
    <n v="0.21"/>
    <n v="-27.3"/>
    <s v="Ecart négatif"/>
    <n v="13.069999999999993"/>
  </r>
  <r>
    <x v="2"/>
    <n v="56"/>
    <x v="15"/>
    <x v="0"/>
    <n v="0"/>
    <n v="0"/>
    <n v="0"/>
    <n v="0"/>
    <x v="1"/>
    <x v="1"/>
    <n v="0"/>
    <n v="0"/>
    <n v="0"/>
    <n v="0"/>
    <s v="Pas d'écart"/>
    <n v="0"/>
  </r>
  <r>
    <x v="2"/>
    <n v="26"/>
    <x v="0"/>
    <x v="0"/>
    <n v="0"/>
    <n v="0"/>
    <n v="0"/>
    <n v="0"/>
    <x v="1"/>
    <x v="1"/>
    <n v="0"/>
    <n v="0"/>
    <n v="0"/>
    <n v="0"/>
    <s v="Pas d'écart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3"/>
    <n v="16"/>
    <x v="14"/>
    <x v="80"/>
    <n v="0.20461538461538462"/>
    <n v="27.3"/>
    <n v="0.21"/>
    <n v="-0.69999999999999929"/>
    <x v="0"/>
    <x v="1"/>
    <n v="0"/>
    <n v="27.3"/>
    <n v="0.21"/>
    <n v="-27.3"/>
    <s v="Ecart négatif"/>
    <n v="15.609999999999992"/>
  </r>
  <r>
    <x v="0"/>
    <n v="59"/>
    <x v="0"/>
    <x v="0"/>
    <n v="0"/>
    <n v="0"/>
    <n v="0"/>
    <n v="0"/>
    <x v="1"/>
    <x v="1"/>
    <n v="0"/>
    <n v="0"/>
    <n v="0"/>
    <n v="0"/>
    <s v="Pas d'écart"/>
    <n v="18.419999999999987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3"/>
    <n v="16"/>
    <x v="14"/>
    <x v="80"/>
    <n v="0.20461538461538462"/>
    <n v="27.3"/>
    <n v="0.21"/>
    <n v="-0.69999999999999929"/>
    <x v="0"/>
    <x v="1"/>
    <n v="0"/>
    <n v="27.3"/>
    <n v="0.21"/>
    <n v="-27.3"/>
    <s v="Ecart négatif"/>
    <n v="15.609999999999992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16"/>
    <x v="14"/>
    <x v="80"/>
    <n v="0.20461538461538462"/>
    <n v="27.3"/>
    <n v="0.21"/>
    <n v="-0.69999999999999929"/>
    <x v="0"/>
    <x v="1"/>
    <n v="0"/>
    <n v="27.3"/>
    <n v="0.21"/>
    <n v="-27.3"/>
    <s v="Ecart négatif"/>
    <n v="15.609999999999992"/>
  </r>
  <r>
    <x v="4"/>
    <n v="64"/>
    <x v="14"/>
    <x v="80"/>
    <n v="0.20461538461538462"/>
    <n v="27.3"/>
    <n v="0.21"/>
    <n v="-0.69999999999999929"/>
    <x v="0"/>
    <x v="1"/>
    <n v="0"/>
    <n v="27.3"/>
    <n v="0.21"/>
    <n v="-27.3"/>
    <s v="Ecart négatif"/>
    <n v="13.069999999999993"/>
  </r>
  <r>
    <x v="3"/>
    <n v="86"/>
    <x v="14"/>
    <x v="176"/>
    <n v="0.2046923076923077"/>
    <n v="27.3"/>
    <n v="0.21"/>
    <n v="-0.69000000000000128"/>
    <x v="0"/>
    <x v="1"/>
    <n v="0"/>
    <n v="27.3"/>
    <n v="0.21"/>
    <n v="-27.3"/>
    <s v="Ecart négatif"/>
    <n v="14.579999999999998"/>
  </r>
  <r>
    <x v="3"/>
    <n v="86"/>
    <x v="14"/>
    <x v="176"/>
    <n v="0.2046923076923077"/>
    <n v="27.3"/>
    <n v="0.21"/>
    <n v="-0.69000000000000128"/>
    <x v="0"/>
    <x v="1"/>
    <n v="0"/>
    <n v="27.3"/>
    <n v="0.21"/>
    <n v="-27.3"/>
    <s v="Ecart négatif"/>
    <n v="14.579999999999998"/>
  </r>
  <r>
    <x v="3"/>
    <n v="16"/>
    <x v="22"/>
    <x v="402"/>
    <n v="0.20469999999999999"/>
    <n v="21"/>
    <n v="0.21"/>
    <n v="-0.53000000000000114"/>
    <x v="0"/>
    <x v="1"/>
    <n v="0"/>
    <n v="21"/>
    <n v="0.21"/>
    <n v="-21"/>
    <s v="Ecart négatif"/>
    <n v="15.18"/>
  </r>
  <r>
    <x v="7"/>
    <n v="94"/>
    <x v="39"/>
    <x v="0"/>
    <n v="0"/>
    <n v="0"/>
    <n v="0"/>
    <n v="0"/>
    <x v="1"/>
    <x v="1"/>
    <n v="0"/>
    <n v="0"/>
    <n v="0"/>
    <n v="0"/>
    <s v="Pas d'écart"/>
    <n v="16.179999999999993"/>
  </r>
  <r>
    <x v="2"/>
    <n v="54"/>
    <x v="9"/>
    <x v="0"/>
    <n v="0"/>
    <n v="20"/>
    <n v="0.25"/>
    <n v="-20"/>
    <x v="0"/>
    <x v="198"/>
    <n v="0.22450000000000001"/>
    <n v="20"/>
    <n v="0.25"/>
    <n v="-2.0399999999999991"/>
    <s v="Ecart négatif"/>
    <n v="0"/>
  </r>
  <r>
    <x v="2"/>
    <n v="70"/>
    <x v="9"/>
    <x v="0"/>
    <n v="0"/>
    <n v="9.6"/>
    <n v="0.12"/>
    <n v="-9.6"/>
    <x v="0"/>
    <x v="167"/>
    <n v="0.10774999999999998"/>
    <n v="9.6"/>
    <n v="0.12"/>
    <n v="-0.98000000000000043"/>
    <s v="Ecart négatif"/>
    <n v="0"/>
  </r>
  <r>
    <x v="0"/>
    <n v="80"/>
    <x v="19"/>
    <x v="0"/>
    <n v="0"/>
    <n v="0"/>
    <n v="0"/>
    <n v="0"/>
    <x v="1"/>
    <x v="199"/>
    <n v="0.184"/>
    <n v="0"/>
    <n v="0"/>
    <n v="34.96"/>
    <s v="Ecart positif"/>
    <n v="23.700000000000003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16"/>
    <x v="22"/>
    <x v="402"/>
    <n v="0.20469999999999999"/>
    <n v="21"/>
    <n v="0.21"/>
    <n v="-0.53000000000000114"/>
    <x v="0"/>
    <x v="1"/>
    <n v="0"/>
    <n v="21"/>
    <n v="0.21"/>
    <n v="-21"/>
    <s v="Ecart négatif"/>
    <n v="15.18"/>
  </r>
  <r>
    <x v="4"/>
    <n v="45"/>
    <x v="22"/>
    <x v="402"/>
    <n v="0.20469999999999999"/>
    <n v="21"/>
    <n v="0.21"/>
    <n v="-0.53000000000000114"/>
    <x v="0"/>
    <x v="1"/>
    <n v="0"/>
    <n v="21"/>
    <n v="0.21"/>
    <n v="-21"/>
    <s v="Ecart négatif"/>
    <n v="0"/>
  </r>
  <r>
    <x v="4"/>
    <n v="18"/>
    <x v="46"/>
    <x v="403"/>
    <n v="0.20471052631578948"/>
    <n v="79.8"/>
    <n v="0.21"/>
    <n v="-2.0099999999999909"/>
    <x v="0"/>
    <x v="1"/>
    <n v="0"/>
    <n v="79.8"/>
    <n v="0.21"/>
    <n v="-79.8"/>
    <s v="Ecart négatif"/>
    <n v="0"/>
  </r>
  <r>
    <x v="4"/>
    <n v="28"/>
    <x v="14"/>
    <x v="178"/>
    <n v="0.20476923076923079"/>
    <n v="26"/>
    <n v="0.2"/>
    <n v="0.62000000000000099"/>
    <x v="2"/>
    <x v="1"/>
    <n v="0"/>
    <n v="26"/>
    <n v="0.2"/>
    <n v="-26"/>
    <s v="Ecart négatif"/>
    <n v="0"/>
  </r>
  <r>
    <x v="3"/>
    <n v="45"/>
    <x v="2"/>
    <x v="404"/>
    <n v="0.20499999999999999"/>
    <n v="29.4"/>
    <n v="0.21"/>
    <n v="-0.69999999999999929"/>
    <x v="0"/>
    <x v="1"/>
    <n v="0"/>
    <n v="29.4"/>
    <n v="0.21"/>
    <n v="-29.4"/>
    <s v="Ecart négatif"/>
    <n v="14.68"/>
  </r>
  <r>
    <x v="4"/>
    <n v="45"/>
    <x v="2"/>
    <x v="404"/>
    <n v="0.20499999999999999"/>
    <n v="29.4"/>
    <n v="0.21"/>
    <n v="-0.69999999999999929"/>
    <x v="0"/>
    <x v="1"/>
    <n v="0"/>
    <n v="29.4"/>
    <n v="0.21"/>
    <n v="-29.4"/>
    <s v="Ecart négatif"/>
    <n v="0"/>
  </r>
  <r>
    <x v="3"/>
    <n v="45"/>
    <x v="2"/>
    <x v="404"/>
    <n v="0.20499999999999999"/>
    <n v="29.4"/>
    <n v="0.21"/>
    <n v="-0.69999999999999929"/>
    <x v="0"/>
    <x v="1"/>
    <n v="0"/>
    <n v="29.4"/>
    <n v="0.21"/>
    <n v="-29.4"/>
    <s v="Ecart négatif"/>
    <n v="14.68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80"/>
    <x v="0"/>
    <x v="137"/>
    <n v="0.19"/>
    <n v="34.200000000000003"/>
    <n v="0.19"/>
    <n v="0"/>
    <x v="1"/>
    <x v="1"/>
    <n v="0"/>
    <n v="34.200000000000003"/>
    <n v="0.19"/>
    <n v="-34.200000000000003"/>
    <s v="Ecart négatif"/>
    <n v="21.47"/>
  </r>
  <r>
    <x v="4"/>
    <n v="54"/>
    <x v="27"/>
    <x v="405"/>
    <n v="0.20499999999999999"/>
    <n v="12.5"/>
    <n v="0.25"/>
    <n v="-2.25"/>
    <x v="0"/>
    <x v="1"/>
    <n v="0"/>
    <n v="12.5"/>
    <n v="0.25"/>
    <n v="-12.5"/>
    <s v="Ecart négatif"/>
    <n v="0"/>
  </r>
  <r>
    <x v="6"/>
    <n v="75"/>
    <x v="2"/>
    <x v="0"/>
    <n v="0"/>
    <n v="0"/>
    <n v="0"/>
    <n v="0"/>
    <x v="1"/>
    <x v="1"/>
    <n v="0"/>
    <n v="0"/>
    <n v="0"/>
    <n v="0"/>
    <s v="Pas d'écart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83"/>
    <x v="7"/>
    <x v="0"/>
    <n v="0"/>
    <n v="6.3"/>
    <n v="0.21"/>
    <n v="-6.3"/>
    <x v="0"/>
    <x v="1"/>
    <n v="0"/>
    <n v="6.3"/>
    <n v="0.21"/>
    <n v="-6.3"/>
    <s v="Ecart négatif"/>
    <n v="0"/>
  </r>
  <r>
    <x v="2"/>
    <n v="69"/>
    <x v="12"/>
    <x v="0"/>
    <n v="0"/>
    <n v="0"/>
    <n v="0"/>
    <n v="0"/>
    <x v="1"/>
    <x v="1"/>
    <n v="0"/>
    <n v="0"/>
    <n v="0"/>
    <n v="0"/>
    <s v="Pas d'écart"/>
    <n v="0"/>
  </r>
  <r>
    <x v="0"/>
    <n v="39"/>
    <x v="7"/>
    <x v="0"/>
    <n v="0"/>
    <n v="0"/>
    <n v="0"/>
    <n v="0"/>
    <x v="1"/>
    <x v="1"/>
    <n v="0"/>
    <n v="0"/>
    <n v="0"/>
    <n v="0"/>
    <s v="Pas d'écart"/>
    <n v="3.7600000000000016"/>
  </r>
  <r>
    <x v="2"/>
    <n v="39"/>
    <x v="7"/>
    <x v="0"/>
    <n v="0"/>
    <n v="0"/>
    <n v="0"/>
    <n v="0"/>
    <x v="1"/>
    <x v="1"/>
    <n v="0"/>
    <n v="0"/>
    <n v="0"/>
    <n v="0"/>
    <s v="Pas d'écart"/>
    <n v="18.78"/>
  </r>
  <r>
    <x v="2"/>
    <n v="13"/>
    <x v="8"/>
    <x v="0"/>
    <n v="0"/>
    <n v="13.3"/>
    <n v="0.19"/>
    <n v="-13.3"/>
    <x v="0"/>
    <x v="1"/>
    <n v="0"/>
    <n v="13.3"/>
    <n v="0.19"/>
    <n v="-13.3"/>
    <s v="Ecart négatif"/>
    <n v="44.77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9"/>
    <n v="77"/>
    <x v="27"/>
    <x v="21"/>
    <n v="0.16200000000000001"/>
    <n v="0"/>
    <n v="0"/>
    <n v="8.1"/>
    <x v="2"/>
    <x v="1"/>
    <n v="0"/>
    <n v="0"/>
    <n v="0"/>
    <n v="0"/>
    <s v="Pas d'écart"/>
    <n v="32.53"/>
  </r>
  <r>
    <x v="0"/>
    <n v="38"/>
    <x v="2"/>
    <x v="0"/>
    <n v="0"/>
    <n v="0"/>
    <n v="0"/>
    <n v="0"/>
    <x v="1"/>
    <x v="1"/>
    <n v="0"/>
    <n v="0"/>
    <n v="0"/>
    <n v="0"/>
    <s v="Pas d'écart"/>
    <n v="73.41"/>
  </r>
  <r>
    <x v="4"/>
    <n v="61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3"/>
    <n v="45"/>
    <x v="2"/>
    <x v="404"/>
    <n v="0.20499999999999999"/>
    <n v="29.4"/>
    <n v="0.21"/>
    <n v="-0.69999999999999929"/>
    <x v="0"/>
    <x v="1"/>
    <n v="0"/>
    <n v="29.4"/>
    <n v="0.21"/>
    <n v="-29.4"/>
    <s v="Ecart négatif"/>
    <n v="14.68"/>
  </r>
  <r>
    <x v="0"/>
    <n v="63"/>
    <x v="22"/>
    <x v="0"/>
    <n v="0"/>
    <n v="12"/>
    <n v="0.12"/>
    <n v="-12"/>
    <x v="0"/>
    <x v="200"/>
    <n v="0.1174"/>
    <n v="12"/>
    <n v="0.12"/>
    <n v="-0.25999999999999979"/>
    <s v="Ecart négatif"/>
    <n v="10.650000000000006"/>
  </r>
  <r>
    <x v="2"/>
    <n v="6"/>
    <x v="12"/>
    <x v="0"/>
    <n v="0"/>
    <n v="8.4"/>
    <n v="0.21000000000000002"/>
    <n v="-8.4"/>
    <x v="0"/>
    <x v="4"/>
    <n v="0.21000000000000002"/>
    <n v="8.4"/>
    <n v="0.21000000000000002"/>
    <n v="0"/>
    <s v="Pas d'écart"/>
    <n v="47.76"/>
  </r>
  <r>
    <x v="2"/>
    <n v="16"/>
    <x v="8"/>
    <x v="0"/>
    <n v="0"/>
    <n v="11.9"/>
    <n v="0.17"/>
    <n v="-11.9"/>
    <x v="0"/>
    <x v="139"/>
    <n v="0.152"/>
    <n v="11.9"/>
    <n v="0.17"/>
    <n v="-1.2599999999999998"/>
    <s v="Ecart négatif"/>
    <n v="66.36"/>
  </r>
  <r>
    <x v="0"/>
    <n v="63"/>
    <x v="6"/>
    <x v="0"/>
    <n v="0"/>
    <n v="19.2"/>
    <n v="0.12"/>
    <n v="-19.2"/>
    <x v="0"/>
    <x v="1"/>
    <n v="0"/>
    <n v="19.2"/>
    <n v="0.12"/>
    <n v="-19.2"/>
    <s v="Ecart négatif"/>
    <n v="76.56"/>
  </r>
  <r>
    <x v="0"/>
    <n v="13"/>
    <x v="6"/>
    <x v="0"/>
    <n v="0"/>
    <n v="30.4"/>
    <n v="0.19"/>
    <n v="-30.4"/>
    <x v="0"/>
    <x v="86"/>
    <n v="0.18706249999999999"/>
    <n v="30.4"/>
    <n v="0.19"/>
    <n v="-0.46999999999999886"/>
    <s v="Ecart négatif"/>
    <n v="76.56"/>
  </r>
  <r>
    <x v="0"/>
    <n v="80"/>
    <x v="9"/>
    <x v="0"/>
    <n v="0"/>
    <n v="0"/>
    <n v="0"/>
    <n v="0"/>
    <x v="1"/>
    <x v="1"/>
    <n v="0"/>
    <n v="0"/>
    <n v="0"/>
    <n v="0"/>
    <s v="Pas d'écart"/>
    <n v="14.04"/>
  </r>
  <r>
    <x v="0"/>
    <n v="54"/>
    <x v="25"/>
    <x v="0"/>
    <n v="0"/>
    <n v="55"/>
    <n v="0.25"/>
    <n v="-55"/>
    <x v="0"/>
    <x v="201"/>
    <n v="0.24318181818181819"/>
    <n v="55"/>
    <n v="0.25"/>
    <n v="-1.5"/>
    <s v="Ecart négatif"/>
    <n v="117.03"/>
  </r>
  <r>
    <x v="0"/>
    <n v="98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0"/>
    <n v="54"/>
    <x v="12"/>
    <x v="0"/>
    <n v="0"/>
    <n v="10"/>
    <n v="0.25"/>
    <n v="-10"/>
    <x v="0"/>
    <x v="202"/>
    <n v="0.20375000000000001"/>
    <n v="10"/>
    <n v="0.25"/>
    <n v="-1.8499999999999996"/>
    <s v="Ecart négatif"/>
    <n v="34.29"/>
  </r>
  <r>
    <x v="0"/>
    <n v="70"/>
    <x v="27"/>
    <x v="0"/>
    <n v="0"/>
    <n v="6"/>
    <n v="0.12"/>
    <n v="-6"/>
    <x v="0"/>
    <x v="203"/>
    <n v="9.6999999999999989E-2"/>
    <n v="6"/>
    <n v="0.12"/>
    <n v="-1.1500000000000004"/>
    <s v="Ecart négatif"/>
    <n v="50.15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37"/>
    <x v="12"/>
    <x v="0"/>
    <n v="0"/>
    <n v="4.8"/>
    <n v="0.12"/>
    <n v="-4.8"/>
    <x v="0"/>
    <x v="1"/>
    <n v="0"/>
    <n v="4.8"/>
    <n v="0.12"/>
    <n v="-4.8"/>
    <s v="Ecart négatif"/>
    <n v="34.2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38"/>
    <x v="11"/>
    <x v="61"/>
    <n v="0.23633333333333334"/>
    <n v="16.200000000000003"/>
    <n v="0.27000000000000007"/>
    <n v="-2.0200000000000031"/>
    <x v="0"/>
    <x v="1"/>
    <n v="0"/>
    <n v="16.200000000000003"/>
    <n v="0.27000000000000007"/>
    <n v="-16.200000000000003"/>
    <s v="Ecart négatif"/>
    <n v="52.78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54"/>
    <x v="2"/>
    <x v="0"/>
    <n v="0"/>
    <n v="35"/>
    <n v="0.25"/>
    <n v="-35"/>
    <x v="0"/>
    <x v="71"/>
    <n v="0.25"/>
    <n v="35"/>
    <n v="0.25"/>
    <n v="0"/>
    <s v="Pas d'écart"/>
    <n v="0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93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45"/>
    <x v="2"/>
    <x v="404"/>
    <n v="0.20499999999999999"/>
    <n v="29.4"/>
    <n v="0.21"/>
    <n v="-0.69999999999999929"/>
    <x v="0"/>
    <x v="1"/>
    <n v="0"/>
    <n v="29.4"/>
    <n v="0.21"/>
    <n v="-29.4"/>
    <s v="Ecart négatif"/>
    <n v="14.68"/>
  </r>
  <r>
    <x v="4"/>
    <n v="79"/>
    <x v="2"/>
    <x v="406"/>
    <n v="0.20507142857142857"/>
    <n v="29.4"/>
    <n v="0.21"/>
    <n v="-0.68999999999999773"/>
    <x v="0"/>
    <x v="1"/>
    <n v="0"/>
    <n v="29.4"/>
    <n v="0.21"/>
    <n v="-29.4"/>
    <s v="Ecart négatif"/>
    <n v="0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7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3.3300000000000018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4"/>
    <n v="86"/>
    <x v="2"/>
    <x v="406"/>
    <n v="0.20507142857142857"/>
    <n v="29.4"/>
    <n v="0.21"/>
    <n v="-0.68999999999999773"/>
    <x v="0"/>
    <x v="1"/>
    <n v="0"/>
    <n v="29.4"/>
    <n v="0.21"/>
    <n v="-29.4"/>
    <s v="Ecart négatif"/>
    <n v="0"/>
  </r>
  <r>
    <x v="0"/>
    <n v="1"/>
    <x v="16"/>
    <x v="0"/>
    <n v="0"/>
    <n v="0"/>
    <n v="0"/>
    <n v="0"/>
    <x v="1"/>
    <x v="1"/>
    <n v="0"/>
    <n v="0"/>
    <n v="0"/>
    <n v="0"/>
    <s v="Pas d'écart"/>
    <n v="129.61000000000001"/>
  </r>
  <r>
    <x v="0"/>
    <n v="26"/>
    <x v="0"/>
    <x v="0"/>
    <n v="0"/>
    <n v="0"/>
    <n v="0"/>
    <n v="0"/>
    <x v="1"/>
    <x v="1"/>
    <n v="0"/>
    <n v="0"/>
    <n v="0"/>
    <n v="0"/>
    <s v="Pas d'écart"/>
    <n v="23.210000000000008"/>
  </r>
  <r>
    <x v="4"/>
    <n v="79"/>
    <x v="2"/>
    <x v="406"/>
    <n v="0.20507142857142857"/>
    <n v="29.4"/>
    <n v="0.21"/>
    <n v="-0.68999999999999773"/>
    <x v="0"/>
    <x v="1"/>
    <n v="0"/>
    <n v="29.4"/>
    <n v="0.21"/>
    <n v="-29.4"/>
    <s v="Ecart négatif"/>
    <n v="0"/>
  </r>
  <r>
    <x v="3"/>
    <n v="16"/>
    <x v="2"/>
    <x v="406"/>
    <n v="0.20507142857142857"/>
    <n v="29.4"/>
    <n v="0.21"/>
    <n v="-0.68999999999999773"/>
    <x v="0"/>
    <x v="1"/>
    <n v="0"/>
    <n v="29.4"/>
    <n v="0.21"/>
    <n v="-29.4"/>
    <s v="Ecart négatif"/>
    <n v="15.759999999999998"/>
  </r>
  <r>
    <x v="3"/>
    <n v="16"/>
    <x v="2"/>
    <x v="406"/>
    <n v="0.20507142857142857"/>
    <n v="29.4"/>
    <n v="0.21"/>
    <n v="-0.68999999999999773"/>
    <x v="0"/>
    <x v="1"/>
    <n v="0"/>
    <n v="29.4"/>
    <n v="0.21"/>
    <n v="-29.4"/>
    <s v="Ecart négatif"/>
    <n v="15.759999999999998"/>
  </r>
  <r>
    <x v="2"/>
    <n v="90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0"/>
  </r>
  <r>
    <x v="0"/>
    <n v="39"/>
    <x v="7"/>
    <x v="0"/>
    <n v="0"/>
    <n v="0"/>
    <n v="0"/>
    <n v="0"/>
    <x v="1"/>
    <x v="1"/>
    <n v="0"/>
    <n v="0"/>
    <n v="0"/>
    <n v="0"/>
    <s v="Pas d'écart"/>
    <n v="18.78"/>
  </r>
  <r>
    <x v="2"/>
    <n v="76"/>
    <x v="36"/>
    <x v="0"/>
    <n v="0"/>
    <n v="51.000000000000007"/>
    <n v="0.17"/>
    <n v="-51.000000000000007"/>
    <x v="0"/>
    <x v="1"/>
    <n v="0"/>
    <n v="51.000000000000007"/>
    <n v="0.17"/>
    <n v="-51.000000000000007"/>
    <s v="Ecart négatif"/>
    <n v="154.55000000000001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22"/>
    <x v="0"/>
    <n v="0"/>
    <n v="21"/>
    <n v="0.21"/>
    <n v="-21"/>
    <x v="0"/>
    <x v="63"/>
    <n v="0.18920000000000001"/>
    <n v="21"/>
    <n v="0.21"/>
    <n v="-2.0799999999999983"/>
    <s v="Ecart négatif"/>
    <n v="75.92"/>
  </r>
  <r>
    <x v="4"/>
    <n v="79"/>
    <x v="2"/>
    <x v="407"/>
    <n v="0.20528571428571427"/>
    <n v="29.4"/>
    <n v="0.21"/>
    <n v="-0.66000000000000014"/>
    <x v="0"/>
    <x v="1"/>
    <n v="0"/>
    <n v="29.4"/>
    <n v="0.21"/>
    <n v="-29.4"/>
    <s v="Ecart négatif"/>
    <n v="0"/>
  </r>
  <r>
    <x v="3"/>
    <n v="86"/>
    <x v="19"/>
    <x v="408"/>
    <n v="0.20542105263157895"/>
    <n v="39.9"/>
    <n v="0.21"/>
    <n v="-0.86999999999999744"/>
    <x v="0"/>
    <x v="1"/>
    <n v="0"/>
    <n v="39.9"/>
    <n v="0.21"/>
    <n v="-39.9"/>
    <s v="Ecart négatif"/>
    <n v="23.700000000000003"/>
  </r>
  <r>
    <x v="0"/>
    <n v="30"/>
    <x v="13"/>
    <x v="0"/>
    <n v="0"/>
    <n v="47.6"/>
    <n v="0.28000000000000003"/>
    <n v="-47.6"/>
    <x v="0"/>
    <x v="204"/>
    <n v="0.26511764705882351"/>
    <n v="47.6"/>
    <n v="0.28000000000000003"/>
    <n v="-2.5300000000000011"/>
    <s v="Ecart négatif"/>
    <n v="96.22"/>
  </r>
  <r>
    <x v="2"/>
    <n v="94"/>
    <x v="7"/>
    <x v="0"/>
    <n v="0"/>
    <n v="0"/>
    <n v="0"/>
    <n v="0"/>
    <x v="1"/>
    <x v="1"/>
    <n v="0"/>
    <n v="0"/>
    <n v="0"/>
    <n v="0"/>
    <s v="Pas d'écart"/>
    <n v="19.510000000000002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2"/>
    <n v="75"/>
    <x v="3"/>
    <x v="0"/>
    <n v="0"/>
    <n v="0"/>
    <n v="0"/>
    <n v="0"/>
    <x v="1"/>
    <x v="1"/>
    <n v="0"/>
    <n v="0"/>
    <n v="0"/>
    <n v="0"/>
    <s v="Pas d'écart"/>
    <n v="0"/>
  </r>
  <r>
    <x v="5"/>
    <n v="63"/>
    <x v="1"/>
    <x v="0"/>
    <n v="0"/>
    <n v="34.799999999999997"/>
    <n v="0.28999999999999998"/>
    <n v="-34.799999999999997"/>
    <x v="0"/>
    <x v="1"/>
    <n v="0"/>
    <n v="34.799999999999997"/>
    <n v="0.28999999999999998"/>
    <n v="-34.799999999999997"/>
    <s v="Ecart négatif"/>
    <n v="11.89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42"/>
    <x v="22"/>
    <x v="0"/>
    <n v="0"/>
    <n v="0"/>
    <n v="0"/>
    <n v="0"/>
    <x v="1"/>
    <x v="1"/>
    <n v="0"/>
    <n v="0"/>
    <n v="0"/>
    <n v="0"/>
    <s v="Pas d'écart"/>
    <n v="14.249999999999993"/>
  </r>
  <r>
    <x v="0"/>
    <n v="38"/>
    <x v="12"/>
    <x v="0"/>
    <n v="0"/>
    <n v="0"/>
    <n v="0"/>
    <n v="0"/>
    <x v="1"/>
    <x v="1"/>
    <n v="0"/>
    <n v="0"/>
    <n v="0"/>
    <n v="0"/>
    <s v="Pas d'écart"/>
    <n v="41.47"/>
  </r>
  <r>
    <x v="4"/>
    <n v="75"/>
    <x v="11"/>
    <x v="0"/>
    <n v="0"/>
    <n v="0"/>
    <n v="0"/>
    <n v="0"/>
    <x v="1"/>
    <x v="1"/>
    <n v="0"/>
    <n v="0"/>
    <n v="0"/>
    <n v="0"/>
    <s v="Pas d'écart"/>
    <n v="-2.740000000000002"/>
  </r>
  <r>
    <x v="2"/>
    <n v="77"/>
    <x v="12"/>
    <x v="0"/>
    <n v="0"/>
    <n v="0"/>
    <n v="0"/>
    <n v="0"/>
    <x v="1"/>
    <x v="1"/>
    <n v="0"/>
    <n v="0"/>
    <n v="0"/>
    <n v="0"/>
    <s v="Pas d'écart"/>
    <n v="0"/>
  </r>
  <r>
    <x v="3"/>
    <n v="86"/>
    <x v="19"/>
    <x v="408"/>
    <n v="0.20542105263157895"/>
    <n v="39.9"/>
    <n v="0.21"/>
    <n v="-0.86999999999999744"/>
    <x v="0"/>
    <x v="1"/>
    <n v="0"/>
    <n v="39.9"/>
    <n v="0.21"/>
    <n v="-39.9"/>
    <s v="Ecart négatif"/>
    <n v="23.700000000000003"/>
  </r>
  <r>
    <x v="4"/>
    <n v="72"/>
    <x v="2"/>
    <x v="409"/>
    <n v="0.20549999999999999"/>
    <n v="29.4"/>
    <n v="0.21"/>
    <n v="-0.62999999999999901"/>
    <x v="0"/>
    <x v="1"/>
    <n v="0"/>
    <n v="29.4"/>
    <n v="0.21"/>
    <n v="-29.4"/>
    <s v="Ecart négatif"/>
    <n v="0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72"/>
    <x v="2"/>
    <x v="409"/>
    <n v="0.20549999999999999"/>
    <n v="29.4"/>
    <n v="0.21"/>
    <n v="-0.62999999999999901"/>
    <x v="0"/>
    <x v="1"/>
    <n v="0"/>
    <n v="29.4"/>
    <n v="0.21"/>
    <n v="-29.4"/>
    <s v="Ecart négatif"/>
    <n v="15.759999999999998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0"/>
    <n v="62"/>
    <x v="2"/>
    <x v="0"/>
    <n v="0"/>
    <n v="0"/>
    <n v="0"/>
    <n v="0"/>
    <x v="1"/>
    <x v="1"/>
    <n v="0"/>
    <n v="0"/>
    <n v="0"/>
    <n v="0"/>
    <s v="Pas d'écart"/>
    <n v="73.41"/>
  </r>
  <r>
    <x v="2"/>
    <n v="35"/>
    <x v="2"/>
    <x v="0"/>
    <n v="0"/>
    <n v="0"/>
    <n v="0"/>
    <n v="0"/>
    <x v="1"/>
    <x v="205"/>
    <n v="0.26914285714285713"/>
    <n v="0"/>
    <n v="0"/>
    <n v="37.68"/>
    <s v="Ecart positif"/>
    <n v="0"/>
  </r>
  <r>
    <x v="0"/>
    <n v="94"/>
    <x v="34"/>
    <x v="0"/>
    <n v="0"/>
    <n v="0"/>
    <n v="0"/>
    <n v="0"/>
    <x v="1"/>
    <x v="206"/>
    <n v="0.2588695652173913"/>
    <n v="0"/>
    <n v="0"/>
    <n v="59.54"/>
    <s v="Ecart positif"/>
    <n v="69.47"/>
  </r>
  <r>
    <x v="0"/>
    <n v="88"/>
    <x v="15"/>
    <x v="0"/>
    <n v="0"/>
    <n v="1.6"/>
    <n v="0.08"/>
    <n v="-1.6"/>
    <x v="0"/>
    <x v="1"/>
    <n v="0"/>
    <n v="1.6"/>
    <n v="0.08"/>
    <n v="-1.6"/>
    <s v="Ecart négatif"/>
    <n v="16.39"/>
  </r>
  <r>
    <x v="2"/>
    <n v="94"/>
    <x v="6"/>
    <x v="0"/>
    <n v="0"/>
    <n v="0"/>
    <n v="0"/>
    <n v="0"/>
    <x v="1"/>
    <x v="1"/>
    <n v="0"/>
    <n v="0"/>
    <n v="0"/>
    <n v="0"/>
    <s v="Pas d'écart"/>
    <n v="56.79"/>
  </r>
  <r>
    <x v="0"/>
    <n v="94"/>
    <x v="6"/>
    <x v="0"/>
    <n v="0"/>
    <n v="0"/>
    <n v="0"/>
    <n v="0"/>
    <x v="1"/>
    <x v="1"/>
    <n v="0"/>
    <n v="0"/>
    <n v="0"/>
    <n v="0"/>
    <s v="Pas d'écart"/>
    <n v="56.79"/>
  </r>
  <r>
    <x v="3"/>
    <n v="16"/>
    <x v="4"/>
    <x v="410"/>
    <n v="0.20554545454545453"/>
    <n v="23.099999999999998"/>
    <n v="0.21"/>
    <n v="-0.48999999999999844"/>
    <x v="0"/>
    <x v="1"/>
    <n v="0"/>
    <n v="23.099999999999998"/>
    <n v="0.21"/>
    <n v="-23.099999999999998"/>
    <s v="Ecart négatif"/>
    <n v="15.329999999999998"/>
  </r>
  <r>
    <x v="5"/>
    <n v="69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19.97999999999999"/>
  </r>
  <r>
    <x v="4"/>
    <n v="79"/>
    <x v="2"/>
    <x v="411"/>
    <n v="0.20614285714285713"/>
    <n v="29.4"/>
    <n v="0.21"/>
    <n v="-0.53999999999999915"/>
    <x v="0"/>
    <x v="1"/>
    <n v="0"/>
    <n v="29.4"/>
    <n v="0.21"/>
    <n v="-29.4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9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16"/>
    <x v="4"/>
    <x v="412"/>
    <n v="0.2070909090909091"/>
    <n v="23.099999999999998"/>
    <n v="0.21"/>
    <n v="-0.31999999999999673"/>
    <x v="0"/>
    <x v="1"/>
    <n v="0"/>
    <n v="23.099999999999998"/>
    <n v="0.21"/>
    <n v="-23.099999999999998"/>
    <s v="Ecart négatif"/>
    <n v="15.329999999999998"/>
  </r>
  <r>
    <x v="4"/>
    <n v="40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2"/>
    <n v="2"/>
    <x v="2"/>
    <x v="0"/>
    <n v="0"/>
    <n v="0"/>
    <n v="0"/>
    <n v="0"/>
    <x v="1"/>
    <x v="1"/>
    <n v="0"/>
    <n v="0"/>
    <n v="0"/>
    <n v="0"/>
    <s v="Pas d'écart"/>
    <n v="0"/>
  </r>
  <r>
    <x v="2"/>
    <n v="8"/>
    <x v="2"/>
    <x v="0"/>
    <n v="0"/>
    <n v="0"/>
    <n v="0"/>
    <n v="0"/>
    <x v="1"/>
    <x v="1"/>
    <n v="0"/>
    <n v="0"/>
    <n v="0"/>
    <n v="0"/>
    <s v="Pas d'écart"/>
    <n v="0"/>
  </r>
  <r>
    <x v="2"/>
    <n v="2"/>
    <x v="7"/>
    <x v="0"/>
    <n v="0"/>
    <n v="0"/>
    <n v="0"/>
    <n v="0"/>
    <x v="1"/>
    <x v="1"/>
    <n v="0"/>
    <n v="0"/>
    <n v="0"/>
    <n v="0"/>
    <s v="Pas d'écart"/>
    <n v="0"/>
  </r>
  <r>
    <x v="4"/>
    <n v="79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86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18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75"/>
    <x v="4"/>
    <x v="0"/>
    <n v="0"/>
    <n v="0"/>
    <n v="0"/>
    <n v="0"/>
    <x v="1"/>
    <x v="1"/>
    <n v="0"/>
    <n v="0"/>
    <n v="0"/>
    <n v="0"/>
    <s v="Pas d'écart"/>
    <n v="0"/>
  </r>
  <r>
    <x v="4"/>
    <n v="33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45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72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75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0"/>
    <n v="69"/>
    <x v="16"/>
    <x v="0"/>
    <n v="0"/>
    <n v="0"/>
    <n v="0"/>
    <n v="0"/>
    <x v="1"/>
    <x v="91"/>
    <n v="0.27"/>
    <n v="0"/>
    <n v="0"/>
    <n v="54"/>
    <s v="Ecart positif"/>
    <n v="21.53"/>
  </r>
  <r>
    <x v="4"/>
    <n v="41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94"/>
    <x v="3"/>
    <x v="0"/>
    <n v="0"/>
    <n v="0"/>
    <n v="0"/>
    <n v="0"/>
    <x v="1"/>
    <x v="1"/>
    <n v="0"/>
    <n v="0"/>
    <n v="0"/>
    <n v="0"/>
    <s v="Pas d'écart"/>
    <n v="0"/>
  </r>
  <r>
    <x v="4"/>
    <n v="75"/>
    <x v="10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28"/>
    <x v="2"/>
    <x v="413"/>
    <n v="0.20721428571428571"/>
    <n v="28"/>
    <n v="0.2"/>
    <n v="1.0100000000000016"/>
    <x v="2"/>
    <x v="1"/>
    <n v="0"/>
    <n v="28"/>
    <n v="0.2"/>
    <n v="-28"/>
    <s v="Ecart négatif"/>
    <n v="0"/>
  </r>
  <r>
    <x v="3"/>
    <n v="77"/>
    <x v="14"/>
    <x v="0"/>
    <n v="0"/>
    <n v="0"/>
    <n v="0"/>
    <n v="0"/>
    <x v="1"/>
    <x v="1"/>
    <n v="0"/>
    <n v="0"/>
    <n v="0"/>
    <n v="0"/>
    <s v="Pas d'écart"/>
    <n v="10.020000000000003"/>
  </r>
  <r>
    <x v="3"/>
    <n v="77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47"/>
    <x v="2"/>
    <x v="413"/>
    <n v="0.20721428571428571"/>
    <n v="29.4"/>
    <n v="0.21"/>
    <n v="-0.38999999999999702"/>
    <x v="0"/>
    <x v="1"/>
    <n v="0"/>
    <n v="29.4"/>
    <n v="0.21"/>
    <n v="-29.4"/>
    <s v="Ecart négatif"/>
    <n v="14.68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0"/>
    <n v="75"/>
    <x v="36"/>
    <x v="0"/>
    <n v="0"/>
    <n v="0"/>
    <n v="0"/>
    <n v="0"/>
    <x v="1"/>
    <x v="1"/>
    <n v="0"/>
    <n v="0"/>
    <n v="0"/>
    <n v="0"/>
    <s v="Pas d'écart"/>
    <n v="16.560000000000002"/>
  </r>
  <r>
    <x v="4"/>
    <n v="45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7"/>
    <n v="63"/>
    <x v="10"/>
    <x v="0"/>
    <n v="0"/>
    <n v="43.5"/>
    <n v="0.28999999999999998"/>
    <n v="-43.5"/>
    <x v="0"/>
    <x v="1"/>
    <n v="0"/>
    <n v="43.5"/>
    <n v="0.28999999999999998"/>
    <n v="-43.5"/>
    <s v="Ecart négatif"/>
    <n v="13.759999999999998"/>
  </r>
  <r>
    <x v="4"/>
    <n v="75"/>
    <x v="64"/>
    <x v="0"/>
    <n v="0"/>
    <n v="0"/>
    <n v="0"/>
    <n v="0"/>
    <x v="1"/>
    <x v="1"/>
    <n v="0"/>
    <n v="0"/>
    <n v="0"/>
    <n v="0"/>
    <s v="Pas d'écart"/>
    <n v="0"/>
  </r>
  <r>
    <x v="4"/>
    <n v="64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4"/>
    <n v="33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45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3.5199999999999978"/>
  </r>
  <r>
    <x v="4"/>
    <n v="45"/>
    <x v="2"/>
    <x v="413"/>
    <n v="0.20721428571428571"/>
    <n v="29.4"/>
    <n v="0.21"/>
    <n v="-0.38999999999999702"/>
    <x v="0"/>
    <x v="1"/>
    <n v="0"/>
    <n v="29.4"/>
    <n v="0.21"/>
    <n v="-29.4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3"/>
    <n v="78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64"/>
    <x v="2"/>
    <x v="413"/>
    <n v="0.20721428571428571"/>
    <n v="29.4"/>
    <n v="0.21"/>
    <n v="-0.38999999999999702"/>
    <x v="0"/>
    <x v="1"/>
    <n v="0"/>
    <n v="29.4"/>
    <n v="0.21"/>
    <n v="-29.4"/>
    <s v="Ecart négatif"/>
    <n v="15.759999999999998"/>
  </r>
  <r>
    <x v="2"/>
    <n v="6"/>
    <x v="20"/>
    <x v="0"/>
    <n v="0"/>
    <n v="52.5"/>
    <n v="0.21"/>
    <n v="-52.5"/>
    <x v="0"/>
    <x v="207"/>
    <n v="0.21"/>
    <n v="52.5"/>
    <n v="0.21"/>
    <n v="0"/>
    <s v="Pas d'écart"/>
    <n v="0"/>
  </r>
  <r>
    <x v="0"/>
    <n v="54"/>
    <x v="12"/>
    <x v="0"/>
    <n v="0"/>
    <n v="10"/>
    <n v="0.25"/>
    <n v="-10"/>
    <x v="0"/>
    <x v="149"/>
    <n v="0.23275000000000001"/>
    <n v="10"/>
    <n v="0.25"/>
    <n v="-0.6899999999999995"/>
    <s v="Ecart négatif"/>
    <n v="6.8599999999999994"/>
  </r>
  <r>
    <x v="3"/>
    <n v="65"/>
    <x v="13"/>
    <x v="414"/>
    <n v="0.20758823529411763"/>
    <n v="37.4"/>
    <n v="0.22"/>
    <n v="-2.1099999999999994"/>
    <x v="0"/>
    <x v="1"/>
    <n v="0"/>
    <n v="37.4"/>
    <n v="0.22"/>
    <n v="-37.4"/>
    <s v="Ecart négatif"/>
    <n v="19.239999999999995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2"/>
    <n v="94"/>
    <x v="22"/>
    <x v="0"/>
    <n v="0"/>
    <n v="0"/>
    <n v="0"/>
    <n v="0"/>
    <x v="1"/>
    <x v="1"/>
    <n v="0"/>
    <n v="0"/>
    <n v="0"/>
    <n v="0"/>
    <s v="Pas d'écart"/>
    <n v="0"/>
  </r>
  <r>
    <x v="6"/>
    <n v="56"/>
    <x v="2"/>
    <x v="0"/>
    <n v="0"/>
    <n v="37.800000000000004"/>
    <n v="0.27"/>
    <n v="-37.800000000000004"/>
    <x v="0"/>
    <x v="98"/>
    <n v="0.21"/>
    <n v="37.800000000000004"/>
    <n v="0.27"/>
    <n v="-8.4000000000000057"/>
    <s v="Ecart négatif"/>
    <n v="73.41"/>
  </r>
  <r>
    <x v="4"/>
    <n v="44"/>
    <x v="9"/>
    <x v="12"/>
    <n v="0.27"/>
    <n v="21.6"/>
    <n v="0.27"/>
    <n v="0"/>
    <x v="1"/>
    <x v="1"/>
    <n v="0"/>
    <n v="21.6"/>
    <n v="0.27"/>
    <n v="-21.6"/>
    <s v="Ecart négatif"/>
    <n v="0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86"/>
    <x v="10"/>
    <x v="415"/>
    <n v="0.20780000000000001"/>
    <n v="31.5"/>
    <n v="0.21"/>
    <n v="-0.32999999999999829"/>
    <x v="0"/>
    <x v="1"/>
    <n v="0"/>
    <n v="31.5"/>
    <n v="0.21"/>
    <n v="-31.5"/>
    <s v="Ecart négatif"/>
    <n v="0"/>
  </r>
  <r>
    <x v="4"/>
    <n v="16"/>
    <x v="17"/>
    <x v="416"/>
    <n v="0.20793023255813953"/>
    <n v="90.3"/>
    <n v="0.21"/>
    <n v="-0.89000000000000057"/>
    <x v="0"/>
    <x v="1"/>
    <n v="0"/>
    <n v="90.3"/>
    <n v="0.21"/>
    <n v="-90.3"/>
    <s v="Ecart négatif"/>
    <n v="0"/>
  </r>
  <r>
    <x v="4"/>
    <n v="41"/>
    <x v="0"/>
    <x v="417"/>
    <n v="0.20794444444444443"/>
    <n v="37.799999999999997"/>
    <n v="0.21"/>
    <n v="-0.36999999999999744"/>
    <x v="0"/>
    <x v="1"/>
    <n v="0"/>
    <n v="37.799999999999997"/>
    <n v="0.21"/>
    <n v="-37.799999999999997"/>
    <s v="Ecart négatif"/>
    <n v="0"/>
  </r>
  <r>
    <x v="4"/>
    <n v="72"/>
    <x v="15"/>
    <x v="418"/>
    <n v="0.20800000000000002"/>
    <n v="4.2"/>
    <n v="0.21000000000000002"/>
    <n v="-4.0000000000000036E-2"/>
    <x v="0"/>
    <x v="1"/>
    <n v="0"/>
    <n v="4.2"/>
    <n v="0.21000000000000002"/>
    <n v="-4.2"/>
    <s v="Ecart négatif"/>
    <n v="0"/>
  </r>
  <r>
    <x v="0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4"/>
    <n v="34"/>
    <x v="9"/>
    <x v="135"/>
    <n v="0.39"/>
    <n v="31.200000000000003"/>
    <n v="0.39"/>
    <n v="0"/>
    <x v="1"/>
    <x v="1"/>
    <n v="0"/>
    <n v="31.200000000000003"/>
    <n v="0.39"/>
    <n v="-31.200000000000003"/>
    <s v="Ecart négatif"/>
    <n v="0"/>
  </r>
  <r>
    <x v="3"/>
    <n v="16"/>
    <x v="15"/>
    <x v="418"/>
    <n v="0.20800000000000002"/>
    <n v="4.2"/>
    <n v="0.21000000000000002"/>
    <n v="-4.0000000000000036E-2"/>
    <x v="0"/>
    <x v="1"/>
    <n v="0"/>
    <n v="4.2"/>
    <n v="0.21000000000000002"/>
    <n v="-4.2"/>
    <s v="Ecart négatif"/>
    <n v="3.1799999999999997"/>
  </r>
  <r>
    <x v="3"/>
    <n v="16"/>
    <x v="15"/>
    <x v="418"/>
    <n v="0.20800000000000002"/>
    <n v="4.2"/>
    <n v="0.21000000000000002"/>
    <n v="-4.0000000000000036E-2"/>
    <x v="0"/>
    <x v="1"/>
    <n v="0"/>
    <n v="4.2"/>
    <n v="0.21000000000000002"/>
    <n v="-4.2"/>
    <s v="Ecart négatif"/>
    <n v="3.1799999999999997"/>
  </r>
  <r>
    <x v="4"/>
    <n v="44"/>
    <x v="12"/>
    <x v="95"/>
    <n v="0.27"/>
    <n v="10.8"/>
    <n v="0.27"/>
    <n v="0"/>
    <x v="1"/>
    <x v="1"/>
    <n v="0"/>
    <n v="10.8"/>
    <n v="0.27"/>
    <n v="-10.8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34"/>
    <x v="0"/>
    <n v="0"/>
    <n v="0"/>
    <n v="0"/>
    <n v="0"/>
    <x v="1"/>
    <x v="1"/>
    <n v="0"/>
    <n v="0"/>
    <n v="0"/>
    <n v="0"/>
    <s v="Pas d'écart"/>
    <n v="69.47"/>
  </r>
  <r>
    <x v="2"/>
    <n v="57"/>
    <x v="0"/>
    <x v="0"/>
    <n v="0"/>
    <n v="45"/>
    <n v="0.25"/>
    <n v="-45"/>
    <x v="0"/>
    <x v="72"/>
    <n v="0.25"/>
    <n v="45"/>
    <n v="0.25"/>
    <n v="0"/>
    <s v="Pas d'écart"/>
    <n v="0"/>
  </r>
  <r>
    <x v="5"/>
    <n v="76"/>
    <x v="0"/>
    <x v="0"/>
    <n v="0"/>
    <n v="30.6"/>
    <n v="0.17"/>
    <n v="-30.6"/>
    <x v="0"/>
    <x v="1"/>
    <n v="0"/>
    <n v="30.6"/>
    <n v="0.17"/>
    <n v="-30.6"/>
    <s v="Ecart négatif"/>
    <n v="18.419999999999987"/>
  </r>
  <r>
    <x v="0"/>
    <n v="60"/>
    <x v="6"/>
    <x v="0"/>
    <n v="0"/>
    <n v="0"/>
    <n v="0"/>
    <n v="0"/>
    <x v="1"/>
    <x v="1"/>
    <n v="0"/>
    <n v="0"/>
    <n v="0"/>
    <n v="0"/>
    <s v="Pas d'écart"/>
    <n v="91.69"/>
  </r>
  <r>
    <x v="4"/>
    <n v="86"/>
    <x v="15"/>
    <x v="418"/>
    <n v="0.20800000000000002"/>
    <n v="4.2"/>
    <n v="0.21000000000000002"/>
    <n v="-4.0000000000000036E-2"/>
    <x v="0"/>
    <x v="1"/>
    <n v="0"/>
    <n v="4.2"/>
    <n v="0.21000000000000002"/>
    <n v="-4.2"/>
    <s v="Ecart négatif"/>
    <n v="0"/>
  </r>
  <r>
    <x v="4"/>
    <n v="69"/>
    <x v="7"/>
    <x v="77"/>
    <n v="0.20800000000000002"/>
    <n v="8.1000000000000014"/>
    <n v="0.27000000000000007"/>
    <n v="-1.8600000000000012"/>
    <x v="0"/>
    <x v="1"/>
    <n v="0"/>
    <n v="8.1000000000000014"/>
    <n v="0.27000000000000007"/>
    <n v="-8.1000000000000014"/>
    <s v="Ecart négatif"/>
    <n v="0"/>
  </r>
  <r>
    <x v="3"/>
    <n v="16"/>
    <x v="15"/>
    <x v="418"/>
    <n v="0.20800000000000002"/>
    <n v="4.2"/>
    <n v="0.21000000000000002"/>
    <n v="-4.0000000000000036E-2"/>
    <x v="0"/>
    <x v="1"/>
    <n v="0"/>
    <n v="4.2"/>
    <n v="0.21000000000000002"/>
    <n v="-4.2"/>
    <s v="Ecart négatif"/>
    <n v="3.1799999999999997"/>
  </r>
  <r>
    <x v="2"/>
    <n v="50"/>
    <x v="0"/>
    <x v="0"/>
    <n v="0"/>
    <n v="30.6"/>
    <n v="0.17"/>
    <n v="-30.6"/>
    <x v="0"/>
    <x v="1"/>
    <n v="0"/>
    <n v="30.6"/>
    <n v="0.17"/>
    <n v="-30.6"/>
    <s v="Ecart négatif"/>
    <n v="0"/>
  </r>
  <r>
    <x v="0"/>
    <n v="69"/>
    <x v="0"/>
    <x v="0"/>
    <n v="0"/>
    <n v="0"/>
    <n v="0"/>
    <n v="0"/>
    <x v="1"/>
    <x v="1"/>
    <n v="0"/>
    <n v="0"/>
    <n v="0"/>
    <n v="0"/>
    <s v="Pas d'écart"/>
    <n v="18.419999999999987"/>
  </r>
  <r>
    <x v="4"/>
    <n v="64"/>
    <x v="11"/>
    <x v="419"/>
    <n v="0.20833333333333334"/>
    <n v="12.6"/>
    <n v="0.21"/>
    <n v="-9.9999999999999645E-2"/>
    <x v="0"/>
    <x v="1"/>
    <n v="0"/>
    <n v="12.6"/>
    <n v="0.21"/>
    <n v="-12.6"/>
    <s v="Ecart négatif"/>
    <n v="-6.740000000000002"/>
  </r>
  <r>
    <x v="4"/>
    <n v="64"/>
    <x v="11"/>
    <x v="419"/>
    <n v="0.20833333333333334"/>
    <n v="12.6"/>
    <n v="0.21"/>
    <n v="-9.9999999999999645E-2"/>
    <x v="0"/>
    <x v="1"/>
    <n v="0"/>
    <n v="12.6"/>
    <n v="0.21"/>
    <n v="-12.6"/>
    <s v="Ecart négatif"/>
    <n v="-6.740000000000002"/>
  </r>
  <r>
    <x v="3"/>
    <n v="62"/>
    <x v="2"/>
    <x v="80"/>
    <n v="0.19"/>
    <n v="26.6"/>
    <n v="0.19"/>
    <n v="0"/>
    <x v="1"/>
    <x v="1"/>
    <n v="0"/>
    <n v="26.6"/>
    <n v="0.19"/>
    <n v="-26.6"/>
    <s v="Ecart négatif"/>
    <n v="14.68"/>
  </r>
  <r>
    <x v="0"/>
    <n v="68"/>
    <x v="15"/>
    <x v="0"/>
    <n v="0"/>
    <n v="1.6"/>
    <n v="0.08"/>
    <n v="-1.6"/>
    <x v="0"/>
    <x v="30"/>
    <n v="0.08"/>
    <n v="1.6"/>
    <n v="0.08"/>
    <n v="0"/>
    <s v="Pas d'écart"/>
    <n v="3.67"/>
  </r>
  <r>
    <x v="0"/>
    <n v="73"/>
    <x v="2"/>
    <x v="0"/>
    <n v="0"/>
    <n v="0"/>
    <n v="0"/>
    <n v="0"/>
    <x v="1"/>
    <x v="1"/>
    <n v="0"/>
    <n v="0"/>
    <n v="0"/>
    <n v="0"/>
    <s v="Pas d'écart"/>
    <n v="15.759999999999998"/>
  </r>
  <r>
    <x v="4"/>
    <n v="64"/>
    <x v="11"/>
    <x v="419"/>
    <n v="0.20833333333333334"/>
    <n v="12.6"/>
    <n v="0.21"/>
    <n v="-9.9999999999999645E-2"/>
    <x v="0"/>
    <x v="1"/>
    <n v="0"/>
    <n v="12.6"/>
    <n v="0.21"/>
    <n v="-12.6"/>
    <s v="Ecart négatif"/>
    <n v="-6.740000000000002"/>
  </r>
  <r>
    <x v="4"/>
    <n v="64"/>
    <x v="11"/>
    <x v="419"/>
    <n v="0.20833333333333334"/>
    <n v="12.6"/>
    <n v="0.21"/>
    <n v="-9.9999999999999645E-2"/>
    <x v="0"/>
    <x v="1"/>
    <n v="0"/>
    <n v="12.6"/>
    <n v="0.21"/>
    <n v="-12.6"/>
    <s v="Ecart négatif"/>
    <n v="-6.740000000000002"/>
  </r>
  <r>
    <x v="3"/>
    <n v="65"/>
    <x v="13"/>
    <x v="420"/>
    <n v="0.2083529411764706"/>
    <n v="37.4"/>
    <n v="0.22"/>
    <n v="-1.9799999999999969"/>
    <x v="0"/>
    <x v="1"/>
    <n v="0"/>
    <n v="37.4"/>
    <n v="0.22"/>
    <n v="-37.4"/>
    <s v="Ecart négatif"/>
    <n v="19.239999999999995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4"/>
    <n v="51"/>
    <x v="12"/>
    <x v="421"/>
    <n v="0.20849999999999999"/>
    <n v="10"/>
    <n v="0.25"/>
    <n v="-1.6600000000000001"/>
    <x v="0"/>
    <x v="1"/>
    <n v="0"/>
    <n v="10"/>
    <n v="0.25"/>
    <n v="-10"/>
    <s v="Ecart négatif"/>
    <n v="0"/>
  </r>
  <r>
    <x v="4"/>
    <n v="51"/>
    <x v="12"/>
    <x v="421"/>
    <n v="0.20849999999999999"/>
    <n v="10"/>
    <n v="0.25"/>
    <n v="-1.6600000000000001"/>
    <x v="0"/>
    <x v="1"/>
    <n v="0"/>
    <n v="10"/>
    <n v="0.25"/>
    <n v="-10"/>
    <s v="Ecart négatif"/>
    <n v="0"/>
  </r>
  <r>
    <x v="4"/>
    <n v="51"/>
    <x v="12"/>
    <x v="421"/>
    <n v="0.20849999999999999"/>
    <n v="10"/>
    <n v="0.25"/>
    <n v="-1.6600000000000001"/>
    <x v="0"/>
    <x v="1"/>
    <n v="0"/>
    <n v="10"/>
    <n v="0.25"/>
    <n v="-10"/>
    <s v="Ecart négatif"/>
    <n v="0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8"/>
    <n v="94"/>
    <x v="2"/>
    <x v="0"/>
    <n v="0"/>
    <n v="0"/>
    <n v="0"/>
    <n v="0"/>
    <x v="1"/>
    <x v="1"/>
    <n v="0"/>
    <n v="0"/>
    <n v="0"/>
    <n v="0"/>
    <s v="Pas d'écart"/>
    <n v="0"/>
  </r>
  <r>
    <x v="4"/>
    <n v="79"/>
    <x v="2"/>
    <x v="422"/>
    <n v="0.2087857142857143"/>
    <n v="29.4"/>
    <n v="0.21"/>
    <n v="-0.16999999999999815"/>
    <x v="0"/>
    <x v="1"/>
    <n v="0"/>
    <n v="29.4"/>
    <n v="0.21"/>
    <n v="-29.4"/>
    <s v="Ecart négatif"/>
    <n v="0"/>
  </r>
  <r>
    <x v="0"/>
    <n v="13"/>
    <x v="6"/>
    <x v="0"/>
    <n v="0"/>
    <n v="30.4"/>
    <n v="0.19"/>
    <n v="-30.4"/>
    <x v="0"/>
    <x v="1"/>
    <n v="0"/>
    <n v="30.4"/>
    <n v="0.19"/>
    <n v="-30.4"/>
    <s v="Ecart négatif"/>
    <n v="15.310000000000002"/>
  </r>
  <r>
    <x v="0"/>
    <n v="69"/>
    <x v="34"/>
    <x v="0"/>
    <n v="0"/>
    <n v="0"/>
    <n v="0"/>
    <n v="0"/>
    <x v="1"/>
    <x v="1"/>
    <n v="0"/>
    <n v="0"/>
    <n v="0"/>
    <n v="0"/>
    <s v="Pas d'écart"/>
    <n v="24.340000000000003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0"/>
    <n v="76"/>
    <x v="0"/>
    <x v="0"/>
    <n v="0"/>
    <n v="30.6"/>
    <n v="0.17"/>
    <n v="-30.6"/>
    <x v="0"/>
    <x v="0"/>
    <n v="0.17"/>
    <n v="30.6"/>
    <n v="0.17"/>
    <n v="0"/>
    <s v="Pas d'écart"/>
    <n v="18.419999999999987"/>
  </r>
  <r>
    <x v="0"/>
    <n v="59"/>
    <x v="16"/>
    <x v="0"/>
    <n v="0"/>
    <n v="0"/>
    <n v="0"/>
    <n v="0"/>
    <x v="1"/>
    <x v="1"/>
    <n v="0"/>
    <n v="0"/>
    <n v="0"/>
    <n v="0"/>
    <s v="Pas d'écart"/>
    <n v="21.53"/>
  </r>
  <r>
    <x v="2"/>
    <n v="29"/>
    <x v="2"/>
    <x v="0"/>
    <n v="0"/>
    <n v="16.8"/>
    <n v="0.12000000000000001"/>
    <n v="-16.8"/>
    <x v="0"/>
    <x v="1"/>
    <n v="0"/>
    <n v="16.8"/>
    <n v="0.12000000000000001"/>
    <n v="-16.8"/>
    <s v="Ecart négatif"/>
    <n v="78.8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2"/>
    <n v="38"/>
    <x v="3"/>
    <x v="0"/>
    <n v="0"/>
    <n v="0"/>
    <n v="0"/>
    <n v="0"/>
    <x v="1"/>
    <x v="1"/>
    <n v="0"/>
    <n v="0"/>
    <n v="0"/>
    <n v="0"/>
    <s v="Pas d'écart"/>
    <n v="0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0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31"/>
    <x v="14"/>
    <x v="0"/>
    <n v="0"/>
    <n v="33.800000000000004"/>
    <n v="0.26"/>
    <n v="-33.800000000000004"/>
    <x v="0"/>
    <x v="208"/>
    <n v="0.26961538461538459"/>
    <n v="33.800000000000004"/>
    <n v="0.26"/>
    <n v="1.2499999999999929"/>
    <s v="Ecart positif"/>
    <n v="62.58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0"/>
    <n v="59"/>
    <x v="13"/>
    <x v="0"/>
    <n v="0"/>
    <n v="0"/>
    <n v="0"/>
    <n v="0"/>
    <x v="1"/>
    <x v="1"/>
    <n v="0"/>
    <n v="0"/>
    <n v="0"/>
    <n v="0"/>
    <s v="Pas d'écart"/>
    <n v="16.870000000000005"/>
  </r>
  <r>
    <x v="0"/>
    <n v="78"/>
    <x v="12"/>
    <x v="0"/>
    <n v="0"/>
    <n v="0"/>
    <n v="0"/>
    <n v="0"/>
    <x v="1"/>
    <x v="1"/>
    <n v="0"/>
    <n v="0"/>
    <n v="0"/>
    <n v="0"/>
    <s v="Pas d'écart"/>
    <n v="5.23"/>
  </r>
  <r>
    <x v="2"/>
    <n v="35"/>
    <x v="6"/>
    <x v="0"/>
    <n v="0"/>
    <n v="0"/>
    <n v="0"/>
    <n v="0"/>
    <x v="1"/>
    <x v="209"/>
    <n v="0.2548125"/>
    <n v="0"/>
    <n v="0"/>
    <n v="40.770000000000003"/>
    <s v="Ecart positif"/>
    <n v="0"/>
  </r>
  <r>
    <x v="0"/>
    <n v="75"/>
    <x v="8"/>
    <x v="0"/>
    <n v="0"/>
    <n v="0"/>
    <n v="0"/>
    <n v="0"/>
    <x v="1"/>
    <x v="1"/>
    <n v="0"/>
    <n v="0"/>
    <n v="0"/>
    <n v="0"/>
    <s v="Pas d'écart"/>
    <n v="7.1999999999999957"/>
  </r>
  <r>
    <x v="0"/>
    <n v="83"/>
    <x v="8"/>
    <x v="0"/>
    <n v="0"/>
    <n v="14.7"/>
    <n v="0.21"/>
    <n v="-14.7"/>
    <x v="0"/>
    <x v="125"/>
    <n v="0.21"/>
    <n v="14.7"/>
    <n v="0.21"/>
    <n v="0"/>
    <s v="Pas d'écart"/>
    <n v="61.48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25"/>
    <x v="2"/>
    <x v="0"/>
    <n v="0"/>
    <n v="16.8"/>
    <n v="0.12000000000000001"/>
    <n v="-16.8"/>
    <x v="0"/>
    <x v="1"/>
    <n v="0"/>
    <n v="16.8"/>
    <n v="0.12000000000000001"/>
    <n v="-16.8"/>
    <s v="Ecart négatif"/>
    <n v="78.8"/>
  </r>
  <r>
    <x v="2"/>
    <n v="63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2"/>
    <n v="77"/>
    <x v="42"/>
    <x v="0"/>
    <n v="0"/>
    <n v="0"/>
    <n v="0"/>
    <n v="0"/>
    <x v="1"/>
    <x v="1"/>
    <n v="0"/>
    <n v="0"/>
    <n v="0"/>
    <n v="0"/>
    <s v="Pas d'écart"/>
    <n v="104.11"/>
  </r>
  <r>
    <x v="2"/>
    <n v="83"/>
    <x v="8"/>
    <x v="0"/>
    <n v="0"/>
    <n v="14.7"/>
    <n v="0.21"/>
    <n v="-14.7"/>
    <x v="0"/>
    <x v="125"/>
    <n v="0.21"/>
    <n v="14.7"/>
    <n v="0.21"/>
    <n v="0"/>
    <s v="Pas d'écart"/>
    <n v="61.48"/>
  </r>
  <r>
    <x v="2"/>
    <n v="41"/>
    <x v="65"/>
    <x v="0"/>
    <n v="0"/>
    <n v="73.2"/>
    <n v="0.12000000000000001"/>
    <n v="-73.2"/>
    <x v="0"/>
    <x v="1"/>
    <n v="0"/>
    <n v="73.2"/>
    <n v="0.12000000000000001"/>
    <n v="-73.2"/>
    <s v="Ecart négatif"/>
    <e v="#N/A"/>
  </r>
  <r>
    <x v="2"/>
    <n v="83"/>
    <x v="0"/>
    <x v="0"/>
    <n v="0"/>
    <n v="37.799999999999997"/>
    <n v="0.21"/>
    <n v="-37.799999999999997"/>
    <x v="0"/>
    <x v="144"/>
    <n v="0.21"/>
    <n v="37.799999999999997"/>
    <n v="0.21"/>
    <n v="0"/>
    <s v="Pas d'écart"/>
    <n v="107.35"/>
  </r>
  <r>
    <x v="2"/>
    <n v="78"/>
    <x v="0"/>
    <x v="0"/>
    <n v="0"/>
    <n v="0"/>
    <n v="0"/>
    <n v="0"/>
    <x v="1"/>
    <x v="1"/>
    <n v="0"/>
    <n v="0"/>
    <n v="0"/>
    <n v="0"/>
    <s v="Pas d'écart"/>
    <n v="60.27"/>
  </r>
  <r>
    <x v="2"/>
    <n v="83"/>
    <x v="2"/>
    <x v="0"/>
    <n v="0"/>
    <n v="29.4"/>
    <n v="0.21"/>
    <n v="-29.4"/>
    <x v="0"/>
    <x v="210"/>
    <n v="0.20557142857142857"/>
    <n v="29.4"/>
    <n v="0.21"/>
    <n v="-0.61999999999999744"/>
    <s v="Ecart négatif"/>
    <n v="73.41"/>
  </r>
  <r>
    <x v="0"/>
    <n v="70"/>
    <x v="11"/>
    <x v="0"/>
    <n v="0"/>
    <n v="7.1999999999999993"/>
    <n v="0.11999999999999998"/>
    <n v="-7.1999999999999993"/>
    <x v="0"/>
    <x v="141"/>
    <n v="0.11"/>
    <n v="7.1999999999999993"/>
    <n v="0.11999999999999998"/>
    <n v="-0.59999999999999964"/>
    <s v="Ecart négatif"/>
    <n v="58.26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34"/>
    <x v="4"/>
    <x v="0"/>
    <n v="0"/>
    <n v="30.800000000000004"/>
    <n v="0.28000000000000003"/>
    <n v="-30.800000000000004"/>
    <x v="0"/>
    <x v="1"/>
    <n v="0"/>
    <n v="30.800000000000004"/>
    <n v="0.28000000000000003"/>
    <n v="-30.800000000000004"/>
    <s v="Ecart négatif"/>
    <n v="76.63"/>
  </r>
  <r>
    <x v="2"/>
    <n v="34"/>
    <x v="20"/>
    <x v="0"/>
    <n v="0"/>
    <n v="70"/>
    <n v="0.28000000000000003"/>
    <n v="-70"/>
    <x v="0"/>
    <x v="1"/>
    <n v="0"/>
    <n v="70"/>
    <n v="0.28000000000000003"/>
    <n v="-70"/>
    <s v="Ecart négatif"/>
    <n v="171.22"/>
  </r>
  <r>
    <x v="5"/>
    <n v="76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1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62"/>
    <x v="11"/>
    <x v="0"/>
    <n v="0"/>
    <n v="11.4"/>
    <n v="0.19"/>
    <n v="-11.4"/>
    <x v="0"/>
    <x v="1"/>
    <n v="0"/>
    <n v="11.4"/>
    <n v="0.19"/>
    <n v="-11.4"/>
    <s v="Ecart négatif"/>
    <n v="25.37"/>
  </r>
  <r>
    <x v="5"/>
    <n v="1"/>
    <x v="11"/>
    <x v="0"/>
    <n v="0"/>
    <n v="15.600000000000001"/>
    <n v="0.26"/>
    <n v="-15.600000000000001"/>
    <x v="0"/>
    <x v="1"/>
    <n v="0"/>
    <n v="15.600000000000001"/>
    <n v="0.26"/>
    <n v="-15.600000000000001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2"/>
    <n v="77"/>
    <x v="12"/>
    <x v="0"/>
    <n v="0"/>
    <n v="0"/>
    <n v="0"/>
    <n v="0"/>
    <x v="1"/>
    <x v="1"/>
    <n v="0"/>
    <n v="0"/>
    <n v="0"/>
    <n v="0"/>
    <s v="Pas d'écart"/>
    <n v="0"/>
  </r>
  <r>
    <x v="2"/>
    <n v="75"/>
    <x v="0"/>
    <x v="0"/>
    <n v="0"/>
    <n v="0"/>
    <n v="0"/>
    <n v="0"/>
    <x v="1"/>
    <x v="1"/>
    <n v="0"/>
    <n v="0"/>
    <n v="0"/>
    <n v="0"/>
    <s v="Pas d'écart"/>
    <n v="0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4"/>
    <n v="33"/>
    <x v="11"/>
    <x v="423"/>
    <n v="0.20899999999999999"/>
    <n v="12.6"/>
    <n v="0.21"/>
    <n v="-6.0000000000000497E-2"/>
    <x v="0"/>
    <x v="1"/>
    <n v="0"/>
    <n v="12.6"/>
    <n v="0.21"/>
    <n v="-12.6"/>
    <s v="Ecart négatif"/>
    <n v="-22.520000000000003"/>
  </r>
  <r>
    <x v="3"/>
    <n v="93"/>
    <x v="9"/>
    <x v="0"/>
    <n v="0"/>
    <n v="0"/>
    <n v="0"/>
    <n v="0"/>
    <x v="1"/>
    <x v="1"/>
    <n v="0"/>
    <n v="0"/>
    <n v="0"/>
    <n v="0"/>
    <s v="Pas d'écart"/>
    <n v="7.5399999999999991"/>
  </r>
  <r>
    <x v="3"/>
    <n v="79"/>
    <x v="11"/>
    <x v="423"/>
    <n v="0.20899999999999999"/>
    <n v="12.6"/>
    <n v="0.21"/>
    <n v="-6.0000000000000497E-2"/>
    <x v="0"/>
    <x v="1"/>
    <n v="0"/>
    <n v="12.6"/>
    <n v="0.21"/>
    <n v="-12.6"/>
    <s v="Ecart négatif"/>
    <n v="11.649999999999999"/>
  </r>
  <r>
    <x v="2"/>
    <n v="67"/>
    <x v="20"/>
    <x v="0"/>
    <n v="0"/>
    <n v="20"/>
    <n v="0.08"/>
    <n v="-20"/>
    <x v="0"/>
    <x v="176"/>
    <n v="0.08"/>
    <n v="20"/>
    <n v="0.08"/>
    <n v="0"/>
    <s v="Pas d'écart"/>
    <n v="131.1"/>
  </r>
  <r>
    <x v="0"/>
    <n v="63"/>
    <x v="12"/>
    <x v="0"/>
    <n v="0"/>
    <n v="4.8"/>
    <n v="0.12"/>
    <n v="-4.8"/>
    <x v="0"/>
    <x v="211"/>
    <n v="0.11074999999999999"/>
    <n v="4.8"/>
    <n v="0.12"/>
    <n v="-0.37000000000000011"/>
    <s v="Ecart négatif"/>
    <n v="34.29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0"/>
    <n v="92"/>
    <x v="12"/>
    <x v="0"/>
    <n v="0"/>
    <n v="0"/>
    <n v="0"/>
    <n v="0"/>
    <x v="1"/>
    <x v="1"/>
    <n v="0"/>
    <n v="0"/>
    <n v="0"/>
    <n v="0"/>
    <s v="Pas d'écart"/>
    <n v="5.23"/>
  </r>
  <r>
    <x v="3"/>
    <n v="79"/>
    <x v="11"/>
    <x v="423"/>
    <n v="0.20899999999999999"/>
    <n v="12.6"/>
    <n v="0.21"/>
    <n v="-6.0000000000000497E-2"/>
    <x v="0"/>
    <x v="1"/>
    <n v="0"/>
    <n v="12.6"/>
    <n v="0.21"/>
    <n v="-12.6"/>
    <s v="Ecart négatif"/>
    <n v="11.649999999999999"/>
  </r>
  <r>
    <x v="0"/>
    <n v="6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47.76"/>
  </r>
  <r>
    <x v="0"/>
    <n v="25"/>
    <x v="12"/>
    <x v="0"/>
    <n v="0"/>
    <n v="4.8"/>
    <n v="0.12"/>
    <n v="-4.8"/>
    <x v="0"/>
    <x v="10"/>
    <n v="0.12"/>
    <n v="4.8"/>
    <n v="0.12"/>
    <n v="0"/>
    <s v="Pas d'écart"/>
    <n v="47.76"/>
  </r>
  <r>
    <x v="0"/>
    <n v="27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0"/>
    <n v="73"/>
    <x v="18"/>
    <x v="0"/>
    <n v="0"/>
    <n v="0"/>
    <n v="0"/>
    <n v="0"/>
    <x v="1"/>
    <x v="1"/>
    <n v="0"/>
    <n v="0"/>
    <n v="0"/>
    <n v="0"/>
    <s v="Pas d'écart"/>
    <n v="15.04"/>
  </r>
  <r>
    <x v="5"/>
    <n v="6"/>
    <x v="16"/>
    <x v="0"/>
    <n v="0"/>
    <n v="60"/>
    <n v="0.3"/>
    <n v="-60"/>
    <x v="0"/>
    <x v="1"/>
    <n v="0"/>
    <n v="60"/>
    <n v="0.3"/>
    <n v="-60"/>
    <s v="Ecart négatif"/>
    <n v="28.08000000000001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69"/>
    <x v="7"/>
    <x v="89"/>
    <n v="0.20933333333333334"/>
    <n v="8.1000000000000014"/>
    <n v="0.27000000000000007"/>
    <n v="-1.8200000000000012"/>
    <x v="0"/>
    <x v="1"/>
    <n v="0"/>
    <n v="8.1000000000000014"/>
    <n v="0.27000000000000007"/>
    <n v="-8.1000000000000014"/>
    <s v="Ecart négatif"/>
    <n v="0"/>
  </r>
  <r>
    <x v="4"/>
    <n v="75"/>
    <x v="0"/>
    <x v="0"/>
    <n v="0"/>
    <n v="0"/>
    <n v="0"/>
    <n v="0"/>
    <x v="1"/>
    <x v="1"/>
    <n v="0"/>
    <n v="0"/>
    <n v="0"/>
    <n v="0"/>
    <s v="Pas d'écart"/>
    <n v="0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3"/>
    <n v="45"/>
    <x v="10"/>
    <x v="424"/>
    <n v="0.2094"/>
    <n v="31.5"/>
    <n v="0.21"/>
    <n v="-8.9999999999999858E-2"/>
    <x v="0"/>
    <x v="1"/>
    <n v="0"/>
    <n v="31.5"/>
    <n v="0.21"/>
    <n v="-31.5"/>
    <s v="Ecart négatif"/>
    <n v="14.789999999999992"/>
  </r>
  <r>
    <x v="4"/>
    <n v="72"/>
    <x v="19"/>
    <x v="425"/>
    <n v="0.20942105263157895"/>
    <n v="39.9"/>
    <n v="0.21"/>
    <n v="-0.10999999999999943"/>
    <x v="0"/>
    <x v="1"/>
    <n v="0"/>
    <n v="39.9"/>
    <n v="0.21"/>
    <n v="-39.9"/>
    <s v="Ecart négatif"/>
    <n v="0"/>
  </r>
  <r>
    <x v="4"/>
    <n v="40"/>
    <x v="66"/>
    <x v="426"/>
    <n v="0.20949275362318839"/>
    <n v="434.7"/>
    <n v="0.21"/>
    <n v="-1.0500000000000114"/>
    <x v="0"/>
    <x v="1"/>
    <n v="0"/>
    <n v="434.7"/>
    <n v="0.21"/>
    <n v="-434.7"/>
    <s v="Ecart négatif"/>
    <e v="#N/A"/>
  </r>
  <r>
    <x v="4"/>
    <n v="28"/>
    <x v="19"/>
    <x v="427"/>
    <n v="0.2095263157894737"/>
    <n v="38"/>
    <n v="0.2"/>
    <n v="1.8100000000000023"/>
    <x v="2"/>
    <x v="1"/>
    <n v="0"/>
    <n v="38"/>
    <n v="0.2"/>
    <n v="-38"/>
    <s v="Ecart négatif"/>
    <n v="0"/>
  </r>
  <r>
    <x v="4"/>
    <n v="45"/>
    <x v="19"/>
    <x v="427"/>
    <n v="0.2095263157894737"/>
    <n v="39.9"/>
    <n v="0.21"/>
    <n v="-8.9999999999996305E-2"/>
    <x v="0"/>
    <x v="1"/>
    <n v="0"/>
    <n v="39.9"/>
    <n v="0.21"/>
    <n v="-39.9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77"/>
    <x v="12"/>
    <x v="0"/>
    <n v="0"/>
    <n v="0"/>
    <n v="0"/>
    <n v="0"/>
    <x v="1"/>
    <x v="1"/>
    <n v="0"/>
    <n v="0"/>
    <n v="0"/>
    <n v="0"/>
    <s v="Pas d'écart"/>
    <n v="5.23"/>
  </r>
  <r>
    <x v="4"/>
    <n v="33"/>
    <x v="14"/>
    <x v="428"/>
    <n v="0.20969230769230771"/>
    <n v="27.3"/>
    <n v="0.21"/>
    <n v="-3.9999999999999147E-2"/>
    <x v="0"/>
    <x v="1"/>
    <n v="0"/>
    <n v="27.3"/>
    <n v="0.21"/>
    <n v="-27.3"/>
    <s v="Ecart négatif"/>
    <n v="0"/>
  </r>
  <r>
    <x v="4"/>
    <n v="6"/>
    <x v="15"/>
    <x v="429"/>
    <n v="0.3"/>
    <n v="6"/>
    <n v="0.3"/>
    <n v="0"/>
    <x v="1"/>
    <x v="1"/>
    <n v="0"/>
    <n v="6"/>
    <n v="0.3"/>
    <n v="-6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9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59"/>
    <x v="11"/>
    <x v="0"/>
    <n v="0"/>
    <n v="0"/>
    <n v="0"/>
    <n v="0"/>
    <x v="1"/>
    <x v="1"/>
    <n v="0"/>
    <n v="0"/>
    <n v="0"/>
    <n v="0"/>
    <s v="Pas d'écart"/>
    <n v="0"/>
  </r>
  <r>
    <x v="0"/>
    <n v="67"/>
    <x v="19"/>
    <x v="0"/>
    <n v="0"/>
    <n v="15.200000000000001"/>
    <n v="0.08"/>
    <n v="-15.200000000000001"/>
    <x v="0"/>
    <x v="212"/>
    <n v="7.5947368421052625E-2"/>
    <n v="15.200000000000001"/>
    <n v="0.08"/>
    <n v="-0.77000000000000135"/>
    <s v="Ecart négatif"/>
    <n v="19.9799999999999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79"/>
    <x v="29"/>
    <x v="430"/>
    <n v="0.20975000000000002"/>
    <n v="84"/>
    <n v="0.21"/>
    <n v="-9.9999999999994316E-2"/>
    <x v="0"/>
    <x v="1"/>
    <n v="0"/>
    <n v="84"/>
    <n v="0.21"/>
    <n v="-84"/>
    <s v="Ecart négatif"/>
    <n v="0"/>
  </r>
  <r>
    <x v="4"/>
    <n v="41"/>
    <x v="19"/>
    <x v="431"/>
    <n v="0.20978947368421053"/>
    <n v="39.9"/>
    <n v="0.21"/>
    <n v="-3.9999999999999147E-2"/>
    <x v="0"/>
    <x v="1"/>
    <n v="0"/>
    <n v="39.9"/>
    <n v="0.21"/>
    <n v="-39.9"/>
    <s v="Ecart négatif"/>
    <n v="0"/>
  </r>
  <r>
    <x v="4"/>
    <n v="45"/>
    <x v="67"/>
    <x v="432"/>
    <n v="0.20981481481481479"/>
    <n v="170.1"/>
    <n v="0.21"/>
    <n v="-0.15000000000000568"/>
    <x v="0"/>
    <x v="1"/>
    <n v="0"/>
    <n v="170.1"/>
    <n v="0.21"/>
    <n v="-170.1"/>
    <s v="Ecart négatif"/>
    <e v="#N/A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67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6.8599999999999994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45"/>
    <x v="2"/>
    <x v="433"/>
    <n v="0.20992857142857144"/>
    <n v="29.4"/>
    <n v="0.21"/>
    <n v="-9.9999999999980105E-3"/>
    <x v="0"/>
    <x v="1"/>
    <n v="0"/>
    <n v="29.4"/>
    <n v="0.21"/>
    <n v="-29.4"/>
    <s v="Ecart négatif"/>
    <n v="0"/>
  </r>
  <r>
    <x v="0"/>
    <n v="59"/>
    <x v="20"/>
    <x v="0"/>
    <n v="0"/>
    <n v="0"/>
    <n v="0"/>
    <n v="0"/>
    <x v="1"/>
    <x v="1"/>
    <n v="0"/>
    <n v="0"/>
    <n v="0"/>
    <n v="0"/>
    <s v="Pas d'écart"/>
    <n v="26.22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2"/>
    <n v="67"/>
    <x v="6"/>
    <x v="0"/>
    <n v="0"/>
    <n v="12.8"/>
    <n v="0.08"/>
    <n v="-12.8"/>
    <x v="0"/>
    <x v="106"/>
    <n v="7.5499999999999998E-2"/>
    <n v="12.8"/>
    <n v="0.08"/>
    <n v="-0.72000000000000064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4"/>
    <n v="37"/>
    <x v="2"/>
    <x v="434"/>
    <n v="0.21"/>
    <n v="26.6"/>
    <n v="0.19"/>
    <n v="2.7999999999999972"/>
    <x v="2"/>
    <x v="1"/>
    <n v="0"/>
    <n v="26.6"/>
    <n v="0.19"/>
    <n v="-26.6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94"/>
    <x v="8"/>
    <x v="0"/>
    <n v="0"/>
    <n v="0"/>
    <n v="0"/>
    <n v="0"/>
    <x v="1"/>
    <x v="1"/>
    <n v="0"/>
    <n v="0"/>
    <n v="0"/>
    <n v="0"/>
    <s v="Pas d'écart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1"/>
    <x v="0"/>
    <x v="0"/>
    <n v="0"/>
    <n v="0"/>
    <n v="0"/>
    <n v="0"/>
    <x v="1"/>
    <x v="1"/>
    <n v="0"/>
    <n v="0"/>
    <n v="0"/>
    <n v="0"/>
    <s v="Pas d'écart"/>
    <n v="21.47"/>
  </r>
  <r>
    <x v="4"/>
    <n v="10"/>
    <x v="12"/>
    <x v="435"/>
    <n v="0.21000000000000002"/>
    <n v="9.2000000000000011"/>
    <n v="0.23000000000000004"/>
    <n v="-0.80000000000000071"/>
    <x v="0"/>
    <x v="1"/>
    <n v="0"/>
    <n v="9.2000000000000011"/>
    <n v="0.23000000000000004"/>
    <n v="-9.2000000000000011"/>
    <s v="Ecart négatif"/>
    <n v="0"/>
  </r>
  <r>
    <x v="4"/>
    <n v="28"/>
    <x v="12"/>
    <x v="435"/>
    <n v="0.21000000000000002"/>
    <n v="8"/>
    <n v="0.2"/>
    <n v="0.40000000000000036"/>
    <x v="2"/>
    <x v="1"/>
    <n v="0"/>
    <n v="8"/>
    <n v="0.2"/>
    <n v="-8"/>
    <s v="Ecart négatif"/>
    <n v="0"/>
  </r>
  <r>
    <x v="4"/>
    <n v="28"/>
    <x v="12"/>
    <x v="435"/>
    <n v="0.21000000000000002"/>
    <n v="8"/>
    <n v="0.2"/>
    <n v="0.40000000000000036"/>
    <x v="2"/>
    <x v="1"/>
    <n v="0"/>
    <n v="8"/>
    <n v="0.2"/>
    <n v="-8"/>
    <s v="Ecart négatif"/>
    <n v="0"/>
  </r>
  <r>
    <x v="4"/>
    <n v="77"/>
    <x v="5"/>
    <x v="436"/>
    <n v="0.21000000000000002"/>
    <n v="0"/>
    <n v="0"/>
    <n v="2.1"/>
    <x v="2"/>
    <x v="1"/>
    <n v="0"/>
    <n v="0"/>
    <n v="0"/>
    <n v="0"/>
    <s v="Pas d'écart"/>
    <n v="14.57"/>
  </r>
  <r>
    <x v="4"/>
    <n v="92"/>
    <x v="6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77"/>
    <x v="9"/>
    <x v="0"/>
    <n v="0"/>
    <n v="0"/>
    <n v="0"/>
    <n v="0"/>
    <x v="1"/>
    <x v="1"/>
    <n v="0"/>
    <n v="0"/>
    <n v="0"/>
    <n v="0"/>
    <s v="Pas d'écart"/>
    <n v="7.5399999999999991"/>
  </r>
  <r>
    <x v="2"/>
    <n v="69"/>
    <x v="0"/>
    <x v="0"/>
    <n v="0"/>
    <n v="0"/>
    <n v="0"/>
    <n v="0"/>
    <x v="1"/>
    <x v="1"/>
    <n v="0"/>
    <n v="0"/>
    <n v="0"/>
    <n v="0"/>
    <s v="Pas d'écart"/>
    <n v="92.1"/>
  </r>
  <r>
    <x v="2"/>
    <n v="67"/>
    <x v="19"/>
    <x v="0"/>
    <n v="0"/>
    <n v="15.200000000000001"/>
    <n v="0.08"/>
    <n v="-15.200000000000001"/>
    <x v="0"/>
    <x v="213"/>
    <n v="7.747368421052632E-2"/>
    <n v="15.200000000000001"/>
    <n v="0.08"/>
    <n v="-0.48000000000000043"/>
    <s v="Ecart négatif"/>
    <n v="0"/>
  </r>
  <r>
    <x v="3"/>
    <n v="95"/>
    <x v="10"/>
    <x v="0"/>
    <n v="0"/>
    <n v="0"/>
    <n v="0"/>
    <n v="0"/>
    <x v="1"/>
    <x v="1"/>
    <n v="0"/>
    <n v="0"/>
    <n v="0"/>
    <n v="0"/>
    <s v="Pas d'écart"/>
    <n v="11.009999999999998"/>
  </r>
  <r>
    <x v="4"/>
    <n v="75"/>
    <x v="0"/>
    <x v="0"/>
    <n v="0"/>
    <n v="0"/>
    <n v="0"/>
    <n v="0"/>
    <x v="1"/>
    <x v="1"/>
    <n v="0"/>
    <n v="0"/>
    <n v="0"/>
    <n v="0"/>
    <s v="Pas d'écart"/>
    <n v="0"/>
  </r>
  <r>
    <x v="4"/>
    <n v="35"/>
    <x v="12"/>
    <x v="437"/>
    <n v="0.21049999999999999"/>
    <n v="10.8"/>
    <n v="0.27"/>
    <n v="-2.3800000000000008"/>
    <x v="0"/>
    <x v="1"/>
    <n v="0"/>
    <n v="10.8"/>
    <n v="0.27"/>
    <n v="-10.8"/>
    <s v="Ecart négatif"/>
    <n v="0"/>
  </r>
  <r>
    <x v="3"/>
    <n v="69"/>
    <x v="15"/>
    <x v="438"/>
    <n v="0.21349999999999997"/>
    <n v="5.4"/>
    <n v="0.27"/>
    <n v="-1.1300000000000008"/>
    <x v="0"/>
    <x v="1"/>
    <n v="0"/>
    <n v="5.4"/>
    <n v="0.27"/>
    <n v="-5.4"/>
    <s v="Ecart négatif"/>
    <n v="3.4700000000000006"/>
  </r>
  <r>
    <x v="4"/>
    <n v="56"/>
    <x v="15"/>
    <x v="438"/>
    <n v="0.21349999999999997"/>
    <n v="5.4"/>
    <n v="0.27"/>
    <n v="-1.1300000000000008"/>
    <x v="0"/>
    <x v="1"/>
    <n v="0"/>
    <n v="5.4"/>
    <n v="0.27"/>
    <n v="-5.4"/>
    <s v="Ecart négatif"/>
    <n v="0"/>
  </r>
  <r>
    <x v="4"/>
    <n v="69"/>
    <x v="15"/>
    <x v="438"/>
    <n v="0.21349999999999997"/>
    <n v="5.4"/>
    <n v="0.27"/>
    <n v="-1.1300000000000008"/>
    <x v="0"/>
    <x v="1"/>
    <n v="0"/>
    <n v="5.4"/>
    <n v="0.27"/>
    <n v="-5.4"/>
    <s v="Ecart négatif"/>
    <n v="0"/>
  </r>
  <r>
    <x v="3"/>
    <n v="77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68"/>
    <x v="0"/>
    <x v="0"/>
    <n v="0"/>
    <n v="14.4"/>
    <n v="0.08"/>
    <n v="-14.4"/>
    <x v="0"/>
    <x v="214"/>
    <n v="7.6111111111111102E-2"/>
    <n v="14.4"/>
    <n v="0.08"/>
    <n v="-0.70000000000000107"/>
    <s v="Ecart négatif"/>
    <n v="21.47"/>
  </r>
  <r>
    <x v="4"/>
    <n v="1"/>
    <x v="15"/>
    <x v="438"/>
    <n v="0.21349999999999997"/>
    <n v="5.2"/>
    <n v="0.26"/>
    <n v="-0.9300000000000006"/>
    <x v="0"/>
    <x v="1"/>
    <n v="0"/>
    <n v="5.2"/>
    <n v="0.26"/>
    <n v="-5.2"/>
    <s v="Ecart négatif"/>
    <n v="0"/>
  </r>
  <r>
    <x v="4"/>
    <n v="12"/>
    <x v="11"/>
    <x v="439"/>
    <n v="0.214"/>
    <n v="13.2"/>
    <n v="0.22"/>
    <n v="-0.35999999999999943"/>
    <x v="0"/>
    <x v="1"/>
    <n v="0"/>
    <n v="13.2"/>
    <n v="0.22"/>
    <n v="-13.2"/>
    <s v="Ecart négatif"/>
    <n v="0"/>
  </r>
  <r>
    <x v="3"/>
    <n v="55"/>
    <x v="7"/>
    <x v="440"/>
    <n v="0.215"/>
    <n v="7.5"/>
    <n v="0.25"/>
    <n v="-1.0499999999999998"/>
    <x v="0"/>
    <x v="1"/>
    <n v="0"/>
    <n v="7.5"/>
    <n v="0.25"/>
    <n v="-7.5"/>
    <s v="Ecart négatif"/>
    <n v="3.6199999999999992"/>
  </r>
  <r>
    <x v="4"/>
    <n v="69"/>
    <x v="5"/>
    <x v="441"/>
    <n v="0.21600000000000003"/>
    <n v="2.7"/>
    <n v="0.27"/>
    <n v="-0.54"/>
    <x v="0"/>
    <x v="1"/>
    <n v="0"/>
    <n v="2.7"/>
    <n v="0.27"/>
    <n v="-2.7"/>
    <s v="Ecart négatif"/>
    <n v="0"/>
  </r>
  <r>
    <x v="4"/>
    <n v="57"/>
    <x v="12"/>
    <x v="442"/>
    <n v="0.21625"/>
    <n v="9.6"/>
    <n v="0.24"/>
    <n v="-0.94999999999999929"/>
    <x v="0"/>
    <x v="1"/>
    <n v="0"/>
    <n v="9.6"/>
    <n v="0.24"/>
    <n v="-9.6"/>
    <s v="Ecart négatif"/>
    <n v="0"/>
  </r>
  <r>
    <x v="3"/>
    <n v="57"/>
    <x v="12"/>
    <x v="442"/>
    <n v="0.21625"/>
    <n v="9.6"/>
    <n v="0.24"/>
    <n v="-0.94999999999999929"/>
    <x v="0"/>
    <x v="1"/>
    <n v="0"/>
    <n v="9.6"/>
    <n v="0.24"/>
    <n v="-9.6"/>
    <s v="Ecart négatif"/>
    <n v="8.2899999999999991"/>
  </r>
  <r>
    <x v="2"/>
    <n v="75"/>
    <x v="7"/>
    <x v="0"/>
    <n v="0"/>
    <n v="0"/>
    <n v="0"/>
    <n v="0"/>
    <x v="1"/>
    <x v="1"/>
    <n v="0"/>
    <n v="0"/>
    <n v="0"/>
    <n v="0"/>
    <s v="Pas d'écart"/>
    <n v="0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2"/>
    <n v="59"/>
    <x v="29"/>
    <x v="0"/>
    <n v="0"/>
    <n v="0"/>
    <n v="0"/>
    <n v="0"/>
    <x v="1"/>
    <x v="1"/>
    <n v="0"/>
    <n v="0"/>
    <n v="0"/>
    <n v="0"/>
    <s v="Pas d'écart"/>
    <n v="0"/>
  </r>
  <r>
    <x v="4"/>
    <n v="57"/>
    <x v="27"/>
    <x v="443"/>
    <n v="0.217"/>
    <n v="12"/>
    <n v="0.24"/>
    <n v="-1.1500000000000004"/>
    <x v="0"/>
    <x v="1"/>
    <n v="0"/>
    <n v="12"/>
    <n v="0.24"/>
    <n v="-12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4"/>
    <n v="31"/>
    <x v="2"/>
    <x v="444"/>
    <n v="0.21707142857142858"/>
    <n v="26.6"/>
    <n v="0.19"/>
    <n v="3.7899999999999991"/>
    <x v="2"/>
    <x v="1"/>
    <n v="0"/>
    <n v="26.6"/>
    <n v="0.19"/>
    <n v="-26.6"/>
    <s v="Ecart négatif"/>
    <n v="0"/>
  </r>
  <r>
    <x v="4"/>
    <n v="12"/>
    <x v="2"/>
    <x v="444"/>
    <n v="0.21707142857142858"/>
    <n v="30.8"/>
    <n v="0.22"/>
    <n v="-0.41000000000000014"/>
    <x v="0"/>
    <x v="1"/>
    <n v="0"/>
    <n v="30.8"/>
    <n v="0.22"/>
    <n v="-30.8"/>
    <s v="Ecart négatif"/>
    <n v="0"/>
  </r>
  <r>
    <x v="4"/>
    <n v="54"/>
    <x v="27"/>
    <x v="445"/>
    <n v="0.21719999999999998"/>
    <n v="12.5"/>
    <n v="0.25"/>
    <n v="-1.6400000000000006"/>
    <x v="0"/>
    <x v="1"/>
    <n v="0"/>
    <n v="12.5"/>
    <n v="0.25"/>
    <n v="-12.5"/>
    <s v="Ecart négatif"/>
    <n v="0"/>
  </r>
  <r>
    <x v="2"/>
    <n v="94"/>
    <x v="18"/>
    <x v="0"/>
    <n v="0"/>
    <n v="0"/>
    <n v="0"/>
    <n v="0"/>
    <x v="1"/>
    <x v="1"/>
    <n v="0"/>
    <n v="0"/>
    <n v="0"/>
    <n v="0"/>
    <s v="Pas d'écart"/>
    <n v="0"/>
  </r>
  <r>
    <x v="2"/>
    <n v="67"/>
    <x v="9"/>
    <x v="0"/>
    <n v="0"/>
    <n v="6.4"/>
    <n v="0.08"/>
    <n v="-6.4"/>
    <x v="0"/>
    <x v="215"/>
    <n v="7.4499999999999997E-2"/>
    <n v="6.4"/>
    <n v="0.08"/>
    <n v="-0.44000000000000039"/>
    <s v="Ecart négatif"/>
    <n v="-3.9399999999999977"/>
  </r>
  <r>
    <x v="3"/>
    <n v="54"/>
    <x v="27"/>
    <x v="445"/>
    <n v="0.21719999999999998"/>
    <n v="12.5"/>
    <n v="0.25"/>
    <n v="-1.6400000000000006"/>
    <x v="0"/>
    <x v="1"/>
    <n v="0"/>
    <n v="12.5"/>
    <n v="0.25"/>
    <n v="-12.5"/>
    <s v="Ecart négatif"/>
    <n v="8.0399999999999991"/>
  </r>
  <r>
    <x v="4"/>
    <n v="91"/>
    <x v="1"/>
    <x v="0"/>
    <n v="0"/>
    <n v="0"/>
    <n v="0"/>
    <n v="0"/>
    <x v="1"/>
    <x v="1"/>
    <n v="0"/>
    <n v="0"/>
    <n v="0"/>
    <n v="0"/>
    <s v="Pas d'écart"/>
    <n v="47.61"/>
  </r>
  <r>
    <x v="2"/>
    <n v="75"/>
    <x v="8"/>
    <x v="0"/>
    <n v="0"/>
    <n v="0"/>
    <n v="0"/>
    <n v="0"/>
    <x v="1"/>
    <x v="1"/>
    <n v="0"/>
    <n v="0"/>
    <n v="0"/>
    <n v="0"/>
    <s v="Pas d'écart"/>
    <n v="0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0"/>
    <n v="80"/>
    <x v="16"/>
    <x v="0"/>
    <n v="0"/>
    <n v="0"/>
    <n v="0"/>
    <n v="0"/>
    <x v="1"/>
    <x v="216"/>
    <n v="0.18715000000000001"/>
    <n v="0"/>
    <n v="0"/>
    <n v="37.43"/>
    <s v="Ecart positif"/>
    <n v="25.920000000000016"/>
  </r>
  <r>
    <x v="0"/>
    <n v="69"/>
    <x v="3"/>
    <x v="0"/>
    <n v="0"/>
    <n v="0"/>
    <n v="0"/>
    <n v="0"/>
    <x v="1"/>
    <x v="1"/>
    <n v="0"/>
    <n v="0"/>
    <n v="0"/>
    <n v="0"/>
    <s v="Pas d'écart"/>
    <n v="22.47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93"/>
    <x v="6"/>
    <x v="0"/>
    <n v="0"/>
    <n v="0"/>
    <n v="0"/>
    <n v="0"/>
    <x v="1"/>
    <x v="1"/>
    <n v="0"/>
    <n v="0"/>
    <n v="0"/>
    <n v="0"/>
    <s v="Pas d'écart"/>
    <n v="0"/>
  </r>
  <r>
    <x v="2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75"/>
    <x v="27"/>
    <x v="0"/>
    <n v="0"/>
    <n v="0"/>
    <n v="0"/>
    <n v="0"/>
    <x v="1"/>
    <x v="1"/>
    <n v="0"/>
    <n v="0"/>
    <n v="0"/>
    <n v="0"/>
    <s v="Pas d'écart"/>
    <n v="0"/>
  </r>
  <r>
    <x v="0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4"/>
    <n v="25"/>
    <x v="11"/>
    <x v="446"/>
    <n v="0.21766666666666667"/>
    <n v="14.399999999999999"/>
    <n v="0.23999999999999996"/>
    <n v="-1.3399999999999981"/>
    <x v="0"/>
    <x v="1"/>
    <n v="0"/>
    <n v="14.399999999999999"/>
    <n v="0.23999999999999996"/>
    <n v="-14.399999999999999"/>
    <s v="Ecart négatif"/>
    <n v="0"/>
  </r>
  <r>
    <x v="2"/>
    <n v="75"/>
    <x v="20"/>
    <x v="0"/>
    <n v="0"/>
    <n v="0"/>
    <n v="0"/>
    <n v="0"/>
    <x v="1"/>
    <x v="1"/>
    <n v="0"/>
    <n v="0"/>
    <n v="0"/>
    <n v="0"/>
    <s v="Pas d'écart"/>
    <n v="0"/>
  </r>
  <r>
    <x v="3"/>
    <n v="69"/>
    <x v="5"/>
    <x v="447"/>
    <n v="0.21800000000000003"/>
    <n v="2.7"/>
    <n v="0.27"/>
    <n v="-0.52"/>
    <x v="0"/>
    <x v="1"/>
    <n v="0"/>
    <n v="2.7"/>
    <n v="0.27"/>
    <n v="-2.7"/>
    <s v="Ecart négatif"/>
    <n v="3.4700000000000006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44"/>
    <x v="12"/>
    <x v="0"/>
    <n v="0"/>
    <n v="0"/>
    <n v="0"/>
    <n v="0"/>
    <x v="1"/>
    <x v="1"/>
    <n v="0"/>
    <n v="0"/>
    <n v="0"/>
    <n v="0"/>
    <s v="Pas d'écart"/>
    <n v="6.8599999999999994"/>
  </r>
  <r>
    <x v="0"/>
    <n v="69"/>
    <x v="1"/>
    <x v="0"/>
    <n v="0"/>
    <n v="0"/>
    <n v="0"/>
    <n v="0"/>
    <x v="1"/>
    <x v="1"/>
    <n v="0"/>
    <n v="0"/>
    <n v="0"/>
    <n v="0"/>
    <s v="Pas d'écart"/>
    <n v="11.89"/>
  </r>
  <r>
    <x v="0"/>
    <n v="26"/>
    <x v="2"/>
    <x v="0"/>
    <n v="0"/>
    <n v="0"/>
    <n v="0"/>
    <n v="0"/>
    <x v="1"/>
    <x v="1"/>
    <n v="0"/>
    <n v="0"/>
    <n v="0"/>
    <n v="0"/>
    <s v="Pas d'écart"/>
    <n v="78.8"/>
  </r>
  <r>
    <x v="2"/>
    <n v="44"/>
    <x v="0"/>
    <x v="0"/>
    <n v="0"/>
    <n v="0"/>
    <n v="0"/>
    <n v="0"/>
    <x v="1"/>
    <x v="64"/>
    <n v="0.27"/>
    <n v="0"/>
    <n v="0"/>
    <n v="48.6"/>
    <s v="Ecart positif"/>
    <n v="92.1"/>
  </r>
  <r>
    <x v="3"/>
    <n v="69"/>
    <x v="5"/>
    <x v="447"/>
    <n v="0.21800000000000003"/>
    <n v="2.7"/>
    <n v="0.27"/>
    <n v="-0.52"/>
    <x v="0"/>
    <x v="1"/>
    <n v="0"/>
    <n v="2.7"/>
    <n v="0.27"/>
    <n v="-2.7"/>
    <s v="Ecart négatif"/>
    <n v="3.4700000000000006"/>
  </r>
  <r>
    <x v="2"/>
    <n v="67"/>
    <x v="5"/>
    <x v="0"/>
    <n v="0"/>
    <n v="0.8"/>
    <n v="0.08"/>
    <n v="-0.8"/>
    <x v="0"/>
    <x v="217"/>
    <n v="0.28999999999999998"/>
    <n v="0.8"/>
    <n v="0.08"/>
    <n v="2.0999999999999996"/>
    <s v="Ecart positif"/>
    <n v="16.93"/>
  </r>
  <r>
    <x v="0"/>
    <n v="13"/>
    <x v="7"/>
    <x v="0"/>
    <n v="0"/>
    <n v="5.7"/>
    <n v="0.19"/>
    <n v="-5.7"/>
    <x v="0"/>
    <x v="1"/>
    <n v="0"/>
    <n v="5.7"/>
    <n v="0.19"/>
    <n v="-5.7"/>
    <s v="Ecart négatif"/>
    <n v="20.93"/>
  </r>
  <r>
    <x v="2"/>
    <n v="57"/>
    <x v="6"/>
    <x v="0"/>
    <n v="0"/>
    <n v="40"/>
    <n v="0.25"/>
    <n v="-40"/>
    <x v="0"/>
    <x v="1"/>
    <n v="0"/>
    <n v="40"/>
    <n v="0.25"/>
    <n v="-40"/>
    <s v="Ecart négatif"/>
    <n v="0"/>
  </r>
  <r>
    <x v="0"/>
    <n v="69"/>
    <x v="9"/>
    <x v="0"/>
    <n v="0"/>
    <n v="0"/>
    <n v="0"/>
    <n v="0"/>
    <x v="1"/>
    <x v="1"/>
    <n v="0"/>
    <n v="0"/>
    <n v="0"/>
    <n v="0"/>
    <s v="Pas d'écart"/>
    <n v="47.06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2"/>
    <n v="44"/>
    <x v="10"/>
    <x v="0"/>
    <n v="0"/>
    <n v="0"/>
    <n v="0"/>
    <n v="0"/>
    <x v="1"/>
    <x v="1"/>
    <n v="0"/>
    <n v="0"/>
    <n v="0"/>
    <n v="0"/>
    <s v="Pas d'écart"/>
    <n v="68.78"/>
  </r>
  <r>
    <x v="7"/>
    <n v="37"/>
    <x v="16"/>
    <x v="0"/>
    <n v="0"/>
    <n v="38"/>
    <n v="0.19"/>
    <n v="-38"/>
    <x v="0"/>
    <x v="1"/>
    <n v="0"/>
    <n v="38"/>
    <n v="0.19"/>
    <n v="-38"/>
    <s v="Ecart négatif"/>
    <n v="21.53"/>
  </r>
  <r>
    <x v="0"/>
    <n v="4"/>
    <x v="2"/>
    <x v="0"/>
    <n v="0"/>
    <n v="26.6"/>
    <n v="0.19"/>
    <n v="-26.6"/>
    <x v="0"/>
    <x v="1"/>
    <n v="0"/>
    <n v="26.6"/>
    <n v="0.19"/>
    <n v="-26.6"/>
    <s v="Ecart négatif"/>
    <n v="78.8"/>
  </r>
  <r>
    <x v="2"/>
    <n v="47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41.47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"/>
    <x v="7"/>
    <x v="0"/>
    <n v="0"/>
    <n v="6.3"/>
    <n v="0.21"/>
    <n v="-6.3"/>
    <x v="0"/>
    <x v="170"/>
    <n v="0.26999999999999996"/>
    <n v="6.3"/>
    <n v="0.21"/>
    <n v="1.7999999999999998"/>
    <s v="Ecart positif"/>
    <n v="4.8099999999999987"/>
  </r>
  <r>
    <x v="5"/>
    <n v="54"/>
    <x v="11"/>
    <x v="0"/>
    <n v="0"/>
    <n v="15"/>
    <n v="0.25"/>
    <n v="-15"/>
    <x v="0"/>
    <x v="1"/>
    <n v="0"/>
    <n v="15"/>
    <n v="0.25"/>
    <n v="-15"/>
    <s v="Ecart négatif"/>
    <n v="15.069999999999997"/>
  </r>
  <r>
    <x v="5"/>
    <n v="31"/>
    <x v="11"/>
    <x v="316"/>
    <n v="0.1925"/>
    <n v="11.4"/>
    <n v="0.19"/>
    <n v="0.15000000000000036"/>
    <x v="2"/>
    <x v="1"/>
    <n v="0"/>
    <n v="11.4"/>
    <n v="0.19"/>
    <n v="-11.4"/>
    <s v="Ecart négatif"/>
    <n v="42.48"/>
  </r>
  <r>
    <x v="5"/>
    <n v="73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30.849999999999998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2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2"/>
    <n v="94"/>
    <x v="18"/>
    <x v="0"/>
    <n v="0"/>
    <n v="0"/>
    <n v="0"/>
    <n v="0"/>
    <x v="1"/>
    <x v="1"/>
    <n v="0"/>
    <n v="0"/>
    <n v="0"/>
    <n v="0"/>
    <s v="Pas d'écart"/>
    <n v="40.1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4"/>
    <n v="69"/>
    <x v="5"/>
    <x v="447"/>
    <n v="0.21800000000000003"/>
    <n v="2.7"/>
    <n v="0.27"/>
    <n v="-0.52"/>
    <x v="0"/>
    <x v="1"/>
    <n v="0"/>
    <n v="2.7"/>
    <n v="0.27"/>
    <n v="-2.7"/>
    <s v="Ecart négatif"/>
    <n v="0"/>
  </r>
  <r>
    <x v="4"/>
    <n v="44"/>
    <x v="5"/>
    <x v="447"/>
    <n v="0.21800000000000003"/>
    <n v="2.7"/>
    <n v="0.27"/>
    <n v="-0.52"/>
    <x v="0"/>
    <x v="1"/>
    <n v="0"/>
    <n v="2.7"/>
    <n v="0.27"/>
    <n v="-2.7"/>
    <s v="Ecart négatif"/>
    <n v="0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65.680000000000007"/>
  </r>
  <r>
    <x v="0"/>
    <n v="84"/>
    <x v="6"/>
    <x v="0"/>
    <n v="0"/>
    <n v="30.4"/>
    <n v="0.19"/>
    <n v="-30.4"/>
    <x v="0"/>
    <x v="218"/>
    <n v="0.18287500000000001"/>
    <n v="30.4"/>
    <n v="0.19"/>
    <n v="-1.139999999999997"/>
    <s v="Ecart négatif"/>
    <n v="85.09"/>
  </r>
  <r>
    <x v="0"/>
    <n v="1"/>
    <x v="25"/>
    <x v="0"/>
    <n v="0"/>
    <n v="0"/>
    <n v="0"/>
    <n v="0"/>
    <x v="1"/>
    <x v="1"/>
    <n v="0"/>
    <n v="0"/>
    <n v="0"/>
    <n v="0"/>
    <s v="Pas d'écart"/>
    <n v="28.159999999999997"/>
  </r>
  <r>
    <x v="4"/>
    <n v="75"/>
    <x v="11"/>
    <x v="0"/>
    <n v="0"/>
    <n v="0"/>
    <n v="0"/>
    <n v="0"/>
    <x v="1"/>
    <x v="1"/>
    <n v="0"/>
    <n v="0"/>
    <n v="0"/>
    <n v="0"/>
    <s v="Pas d'écart"/>
    <n v="-2.740000000000002"/>
  </r>
  <r>
    <x v="3"/>
    <n v="65"/>
    <x v="54"/>
    <x v="448"/>
    <n v="0.21840740740740741"/>
    <n v="59.4"/>
    <n v="0.22"/>
    <n v="-0.42999999999999972"/>
    <x v="0"/>
    <x v="1"/>
    <n v="0"/>
    <n v="59.4"/>
    <n v="0.22"/>
    <n v="-59.4"/>
    <s v="Ecart négatif"/>
    <n v="33.740000000000009"/>
  </r>
  <r>
    <x v="2"/>
    <n v="53"/>
    <x v="8"/>
    <x v="0"/>
    <n v="0"/>
    <n v="0"/>
    <n v="0"/>
    <n v="0"/>
    <x v="1"/>
    <x v="1"/>
    <n v="0"/>
    <n v="0"/>
    <n v="0"/>
    <n v="0"/>
    <s v="Pas d'écart"/>
    <n v="66.36"/>
  </r>
  <r>
    <x v="3"/>
    <n v="65"/>
    <x v="6"/>
    <x v="449"/>
    <n v="0.21843750000000001"/>
    <n v="35.200000000000003"/>
    <n v="0.22000000000000003"/>
    <n v="-0.25"/>
    <x v="0"/>
    <x v="1"/>
    <n v="0"/>
    <n v="35.200000000000003"/>
    <n v="0.22000000000000003"/>
    <n v="-35.200000000000003"/>
    <s v="Ecart négatif"/>
    <n v="17.02000000000001"/>
  </r>
  <r>
    <x v="4"/>
    <n v="31"/>
    <x v="68"/>
    <x v="450"/>
    <n v="0.21885714285714286"/>
    <n v="319.2"/>
    <n v="0.19"/>
    <n v="48.480000000000018"/>
    <x v="2"/>
    <x v="1"/>
    <n v="0"/>
    <n v="319.2"/>
    <n v="0.19"/>
    <n v="-319.2"/>
    <s v="Ecart négatif"/>
    <e v="#N/A"/>
  </r>
  <r>
    <x v="0"/>
    <n v="84"/>
    <x v="12"/>
    <x v="0"/>
    <n v="0"/>
    <n v="7.6"/>
    <n v="0.19"/>
    <n v="-7.6"/>
    <x v="0"/>
    <x v="219"/>
    <n v="0.183"/>
    <n v="7.6"/>
    <n v="0.19"/>
    <n v="-0.27999999999999936"/>
    <s v="Ecart négatif"/>
    <n v="41.47"/>
  </r>
  <r>
    <x v="2"/>
    <n v="26"/>
    <x v="12"/>
    <x v="0"/>
    <n v="0"/>
    <n v="0"/>
    <n v="0"/>
    <n v="0"/>
    <x v="1"/>
    <x v="1"/>
    <n v="0"/>
    <n v="0"/>
    <n v="0"/>
    <n v="0"/>
    <s v="Pas d'écart"/>
    <n v="47.76"/>
  </r>
  <r>
    <x v="0"/>
    <n v="88"/>
    <x v="15"/>
    <x v="0"/>
    <n v="0"/>
    <n v="1.6"/>
    <n v="0.08"/>
    <n v="-1.6"/>
    <x v="0"/>
    <x v="1"/>
    <n v="0"/>
    <n v="1.6"/>
    <n v="0.08"/>
    <n v="-1.6"/>
    <s v="Ecart négatif"/>
    <n v="16.39"/>
  </r>
  <r>
    <x v="9"/>
    <n v="77"/>
    <x v="4"/>
    <x v="0"/>
    <n v="0"/>
    <n v="0"/>
    <n v="0"/>
    <n v="0"/>
    <x v="1"/>
    <x v="1"/>
    <n v="0"/>
    <n v="0"/>
    <n v="0"/>
    <n v="0"/>
    <s v="Pas d'écart"/>
    <n v="45.14"/>
  </r>
  <r>
    <x v="4"/>
    <n v="1"/>
    <x v="12"/>
    <x v="451"/>
    <n v="0.219"/>
    <n v="10.4"/>
    <n v="0.26"/>
    <n v="-1.6400000000000006"/>
    <x v="0"/>
    <x v="1"/>
    <n v="0"/>
    <n v="10.4"/>
    <n v="0.26"/>
    <n v="-10.4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4"/>
    <n v="49"/>
    <x v="12"/>
    <x v="451"/>
    <n v="0.219"/>
    <n v="10.8"/>
    <n v="0.27"/>
    <n v="-2.0400000000000009"/>
    <x v="0"/>
    <x v="1"/>
    <n v="0"/>
    <n v="10.8"/>
    <n v="0.27"/>
    <n v="-10.8"/>
    <s v="Ecart négatif"/>
    <n v="0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25"/>
    <x v="11"/>
    <x v="452"/>
    <n v="0.22"/>
    <n v="14.399999999999999"/>
    <n v="0.23999999999999996"/>
    <n v="-1.1999999999999993"/>
    <x v="0"/>
    <x v="1"/>
    <n v="0"/>
    <n v="14.399999999999999"/>
    <n v="0.23999999999999996"/>
    <n v="-14.399999999999999"/>
    <s v="Ecart négatif"/>
    <n v="0"/>
  </r>
  <r>
    <x v="4"/>
    <n v="31"/>
    <x v="22"/>
    <x v="84"/>
    <n v="0.22"/>
    <n v="19"/>
    <n v="0.19"/>
    <n v="3"/>
    <x v="2"/>
    <x v="1"/>
    <n v="0"/>
    <n v="19"/>
    <n v="0.19"/>
    <n v="-19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6"/>
    <x v="19"/>
    <x v="0"/>
    <n v="0"/>
    <n v="39.9"/>
    <n v="0.21"/>
    <n v="-39.9"/>
    <x v="0"/>
    <x v="220"/>
    <n v="0.28578947368421054"/>
    <n v="39.9"/>
    <n v="0.21"/>
    <n v="14.399999999999999"/>
    <s v="Ecart positif"/>
    <n v="25.64"/>
  </r>
  <r>
    <x v="4"/>
    <n v="31"/>
    <x v="11"/>
    <x v="452"/>
    <n v="0.22"/>
    <n v="11.4"/>
    <n v="0.19"/>
    <n v="1.7999999999999989"/>
    <x v="2"/>
    <x v="1"/>
    <n v="0"/>
    <n v="11.4"/>
    <n v="0.19"/>
    <n v="-11.4"/>
    <s v="Ecart négatif"/>
    <n v="0"/>
  </r>
  <r>
    <x v="3"/>
    <n v="89"/>
    <x v="15"/>
    <x v="453"/>
    <n v="0.22000000000000003"/>
    <n v="4.6000000000000005"/>
    <n v="0.23000000000000004"/>
    <n v="-0.20000000000000018"/>
    <x v="0"/>
    <x v="1"/>
    <n v="0"/>
    <n v="4.6000000000000005"/>
    <n v="0.23000000000000004"/>
    <n v="-4.6000000000000005"/>
    <s v="Ecart négatif"/>
    <n v="3.9799999999999986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89"/>
    <x v="15"/>
    <x v="453"/>
    <n v="0.22000000000000003"/>
    <n v="4.6000000000000005"/>
    <n v="0.23000000000000004"/>
    <n v="-0.20000000000000018"/>
    <x v="0"/>
    <x v="1"/>
    <n v="0"/>
    <n v="4.6000000000000005"/>
    <n v="0.23000000000000004"/>
    <n v="-4.6000000000000005"/>
    <s v="Ecart négatif"/>
    <n v="3.9799999999999986"/>
  </r>
  <r>
    <x v="4"/>
    <n v="94"/>
    <x v="12"/>
    <x v="0"/>
    <n v="0"/>
    <n v="0"/>
    <n v="0"/>
    <n v="0"/>
    <x v="1"/>
    <x v="1"/>
    <n v="0"/>
    <n v="0"/>
    <n v="0"/>
    <n v="0"/>
    <s v="Pas d'écart"/>
    <n v="0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4"/>
    <n v="25"/>
    <x v="11"/>
    <x v="454"/>
    <n v="0.2205"/>
    <n v="14.399999999999999"/>
    <n v="0.23999999999999996"/>
    <n v="-1.1699999999999982"/>
    <x v="0"/>
    <x v="1"/>
    <n v="0"/>
    <n v="14.399999999999999"/>
    <n v="0.23999999999999996"/>
    <n v="-14.399999999999999"/>
    <s v="Ecart négatif"/>
    <n v="0"/>
  </r>
  <r>
    <x v="4"/>
    <n v="69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38"/>
    <x v="12"/>
    <x v="95"/>
    <n v="0.27"/>
    <n v="10.8"/>
    <n v="0.27"/>
    <n v="0"/>
    <x v="1"/>
    <x v="1"/>
    <n v="0"/>
    <n v="10.8"/>
    <n v="0.27"/>
    <n v="-10.8"/>
    <s v="Ecart négatif"/>
    <n v="0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5"/>
    <n v="63"/>
    <x v="10"/>
    <x v="0"/>
    <n v="0"/>
    <n v="43.5"/>
    <n v="0.28999999999999998"/>
    <n v="-43.5"/>
    <x v="0"/>
    <x v="1"/>
    <n v="0"/>
    <n v="43.5"/>
    <n v="0.28999999999999998"/>
    <n v="-43.5"/>
    <s v="Ecart négatif"/>
    <n v="13.759999999999998"/>
  </r>
  <r>
    <x v="7"/>
    <n v="63"/>
    <x v="13"/>
    <x v="0"/>
    <n v="0"/>
    <n v="49.3"/>
    <n v="0.28999999999999998"/>
    <n v="-49.3"/>
    <x v="0"/>
    <x v="1"/>
    <n v="0"/>
    <n v="49.3"/>
    <n v="0.28999999999999998"/>
    <n v="-49.3"/>
    <s v="Ecart négatif"/>
    <n v="16.870000000000005"/>
  </r>
  <r>
    <x v="2"/>
    <n v="69"/>
    <x v="22"/>
    <x v="0"/>
    <n v="0"/>
    <n v="0"/>
    <n v="0"/>
    <n v="0"/>
    <x v="1"/>
    <x v="115"/>
    <n v="0.26729999999999998"/>
    <n v="0"/>
    <n v="0"/>
    <n v="26.73"/>
    <s v="Ecart posi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3"/>
    <n v="9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5"/>
    <x v="12"/>
    <x v="0"/>
    <n v="0"/>
    <n v="0"/>
    <n v="0"/>
    <n v="0"/>
    <x v="1"/>
    <x v="1"/>
    <n v="0"/>
    <n v="0"/>
    <n v="0"/>
    <n v="0"/>
    <s v="Pas d'écart"/>
    <n v="5.23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0"/>
    <n v="59"/>
    <x v="16"/>
    <x v="0"/>
    <n v="0"/>
    <n v="0"/>
    <n v="0"/>
    <n v="0"/>
    <x v="1"/>
    <x v="1"/>
    <n v="0"/>
    <n v="0"/>
    <n v="0"/>
    <n v="0"/>
    <s v="Pas d'écart"/>
    <n v="21.53"/>
  </r>
  <r>
    <x v="4"/>
    <n v="73"/>
    <x v="0"/>
    <x v="73"/>
    <n v="0.27"/>
    <n v="48.6"/>
    <n v="0.27"/>
    <n v="0"/>
    <x v="1"/>
    <x v="1"/>
    <n v="0"/>
    <n v="48.6"/>
    <n v="0.27"/>
    <n v="-48.6"/>
    <s v="Ecart négatif"/>
    <n v="0"/>
  </r>
  <r>
    <x v="6"/>
    <n v="94"/>
    <x v="69"/>
    <x v="0"/>
    <n v="0"/>
    <n v="0"/>
    <n v="0"/>
    <n v="0"/>
    <x v="1"/>
    <x v="1"/>
    <n v="0"/>
    <n v="0"/>
    <n v="0"/>
    <n v="0"/>
    <s v="Pas d'écart"/>
    <e v="#N/A"/>
  </r>
  <r>
    <x v="4"/>
    <n v="49"/>
    <x v="9"/>
    <x v="12"/>
    <n v="0.27"/>
    <n v="21.6"/>
    <n v="0.27"/>
    <n v="0"/>
    <x v="1"/>
    <x v="1"/>
    <n v="0"/>
    <n v="21.6"/>
    <n v="0.27"/>
    <n v="-21.6"/>
    <s v="Ecart négatif"/>
    <n v="0"/>
  </r>
  <r>
    <x v="0"/>
    <n v="59"/>
    <x v="27"/>
    <x v="0"/>
    <n v="0"/>
    <n v="0"/>
    <n v="0"/>
    <n v="0"/>
    <x v="1"/>
    <x v="1"/>
    <n v="0"/>
    <n v="0"/>
    <n v="0"/>
    <n v="0"/>
    <s v="Pas d'écart"/>
    <n v="8.0399999999999991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3"/>
    <n v="21"/>
    <x v="11"/>
    <x v="455"/>
    <n v="0.22066666666666668"/>
    <n v="14.399999999999999"/>
    <n v="0.23999999999999996"/>
    <n v="-1.1599999999999984"/>
    <x v="0"/>
    <x v="1"/>
    <n v="0"/>
    <n v="14.399999999999999"/>
    <n v="0.23999999999999996"/>
    <n v="-14.399999999999999"/>
    <s v="Ecart négatif"/>
    <n v="8.5"/>
  </r>
  <r>
    <x v="4"/>
    <n v="10"/>
    <x v="14"/>
    <x v="456"/>
    <n v="0.22207692307692309"/>
    <n v="29.900000000000002"/>
    <n v="0.23"/>
    <n v="-1.0300000000000011"/>
    <x v="0"/>
    <x v="1"/>
    <n v="0"/>
    <n v="29.900000000000002"/>
    <n v="0.23"/>
    <n v="-29.900000000000002"/>
    <s v="Ecart négatif"/>
    <n v="0"/>
  </r>
  <r>
    <x v="4"/>
    <n v="47"/>
    <x v="9"/>
    <x v="353"/>
    <n v="0.21000000000000002"/>
    <n v="16.8"/>
    <n v="0.21000000000000002"/>
    <n v="0"/>
    <x v="1"/>
    <x v="1"/>
    <n v="0"/>
    <n v="16.8"/>
    <n v="0.21000000000000002"/>
    <n v="-16.8"/>
    <s v="Ecart négatif"/>
    <n v="0"/>
  </r>
  <r>
    <x v="4"/>
    <n v="92"/>
    <x v="16"/>
    <x v="0"/>
    <n v="0"/>
    <n v="0"/>
    <n v="0"/>
    <n v="0"/>
    <x v="1"/>
    <x v="1"/>
    <n v="0"/>
    <n v="0"/>
    <n v="0"/>
    <n v="0"/>
    <s v="Pas d'écart"/>
    <n v="0"/>
  </r>
  <r>
    <x v="2"/>
    <n v="59"/>
    <x v="27"/>
    <x v="0"/>
    <n v="0"/>
    <n v="0"/>
    <n v="0"/>
    <n v="0"/>
    <x v="1"/>
    <x v="1"/>
    <n v="0"/>
    <n v="0"/>
    <n v="0"/>
    <n v="0"/>
    <s v="Pas d'écart"/>
    <n v="0"/>
  </r>
  <r>
    <x v="4"/>
    <n v="38"/>
    <x v="7"/>
    <x v="457"/>
    <n v="0.22233333333333333"/>
    <n v="8.1000000000000014"/>
    <n v="0.27000000000000007"/>
    <n v="-1.4300000000000015"/>
    <x v="0"/>
    <x v="1"/>
    <n v="0"/>
    <n v="8.1000000000000014"/>
    <n v="0.27000000000000007"/>
    <n v="-8.1000000000000014"/>
    <s v="Ecart négatif"/>
    <n v="0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8"/>
    <n v="69"/>
    <x v="0"/>
    <x v="0"/>
    <n v="0"/>
    <n v="48.6"/>
    <n v="0.27"/>
    <n v="-48.6"/>
    <x v="0"/>
    <x v="1"/>
    <n v="0"/>
    <n v="48.6"/>
    <n v="0.27"/>
    <n v="-48.6"/>
    <s v="Ecart négatif"/>
    <n v="0"/>
  </r>
  <r>
    <x v="2"/>
    <n v="79"/>
    <x v="2"/>
    <x v="0"/>
    <n v="0"/>
    <n v="16.8"/>
    <n v="0.12000000000000001"/>
    <n v="-16.8"/>
    <x v="0"/>
    <x v="1"/>
    <n v="0"/>
    <n v="16.8"/>
    <n v="0.12000000000000001"/>
    <n v="-16.8"/>
    <s v="Ecart négatif"/>
    <n v="27.799999999999997"/>
  </r>
  <r>
    <x v="6"/>
    <n v="76"/>
    <x v="0"/>
    <x v="0"/>
    <n v="0"/>
    <n v="30.6"/>
    <n v="0.17"/>
    <n v="-30.6"/>
    <x v="0"/>
    <x v="1"/>
    <n v="0"/>
    <n v="30.6"/>
    <n v="0.17"/>
    <n v="-30.6"/>
    <s v="Ecart négatif"/>
    <n v="0"/>
  </r>
  <r>
    <x v="4"/>
    <n v="57"/>
    <x v="18"/>
    <x v="458"/>
    <n v="0.22266666666666665"/>
    <n v="21.599999999999998"/>
    <n v="0.23999999999999996"/>
    <n v="-1.5599999999999987"/>
    <x v="0"/>
    <x v="1"/>
    <n v="0"/>
    <n v="21.599999999999998"/>
    <n v="0.23999999999999996"/>
    <n v="-21.599999999999998"/>
    <s v="Ecart négatif"/>
    <n v="0"/>
  </r>
  <r>
    <x v="8"/>
    <n v="73"/>
    <x v="18"/>
    <x v="0"/>
    <n v="0"/>
    <n v="24.3"/>
    <n v="0.27"/>
    <n v="-24.3"/>
    <x v="0"/>
    <x v="1"/>
    <n v="0"/>
    <n v="24.3"/>
    <n v="0.27"/>
    <n v="-24.3"/>
    <s v="Ecart négatif"/>
    <n v="0"/>
  </r>
  <r>
    <x v="0"/>
    <n v="71"/>
    <x v="2"/>
    <x v="0"/>
    <n v="0"/>
    <n v="0"/>
    <n v="0"/>
    <n v="0"/>
    <x v="1"/>
    <x v="1"/>
    <n v="0"/>
    <n v="0"/>
    <n v="0"/>
    <n v="0"/>
    <s v="Pas d'écart"/>
    <n v="73.41"/>
  </r>
  <r>
    <x v="0"/>
    <n v="31"/>
    <x v="16"/>
    <x v="0"/>
    <n v="0"/>
    <n v="52"/>
    <n v="0.26"/>
    <n v="-52"/>
    <x v="0"/>
    <x v="221"/>
    <n v="0.26910000000000001"/>
    <n v="52"/>
    <n v="0.26"/>
    <n v="1.8200000000000003"/>
    <s v="Ecart positif"/>
    <n v="107.65"/>
  </r>
  <r>
    <x v="2"/>
    <n v="98"/>
    <x v="15"/>
    <x v="0"/>
    <n v="0"/>
    <n v="4.2"/>
    <n v="0.21000000000000002"/>
    <n v="-4.2"/>
    <x v="0"/>
    <x v="1"/>
    <n v="0"/>
    <n v="4.2"/>
    <n v="0.21000000000000002"/>
    <n v="-4.2"/>
    <s v="Ecart négatif"/>
    <n v="22.47"/>
  </r>
  <r>
    <x v="2"/>
    <n v="35"/>
    <x v="6"/>
    <x v="0"/>
    <n v="0"/>
    <n v="0"/>
    <n v="0"/>
    <n v="0"/>
    <x v="1"/>
    <x v="209"/>
    <n v="0.2548125"/>
    <n v="0"/>
    <n v="0"/>
    <n v="40.770000000000003"/>
    <s v="Ecart positif"/>
    <n v="0"/>
  </r>
  <r>
    <x v="0"/>
    <n v="30"/>
    <x v="2"/>
    <x v="0"/>
    <n v="0"/>
    <n v="39.200000000000003"/>
    <n v="0.28000000000000003"/>
    <n v="-39.200000000000003"/>
    <x v="0"/>
    <x v="1"/>
    <n v="0"/>
    <n v="39.200000000000003"/>
    <n v="0.28000000000000003"/>
    <n v="-39.200000000000003"/>
    <s v="Ecart négatif"/>
    <n v="73.41"/>
  </r>
  <r>
    <x v="0"/>
    <n v="63"/>
    <x v="6"/>
    <x v="0"/>
    <n v="0"/>
    <n v="19.2"/>
    <n v="0.12"/>
    <n v="-19.2"/>
    <x v="0"/>
    <x v="1"/>
    <n v="0"/>
    <n v="19.2"/>
    <n v="0.12"/>
    <n v="-19.2"/>
    <s v="Ecart négatif"/>
    <n v="76.5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63"/>
    <x v="0"/>
    <x v="0"/>
    <n v="0"/>
    <n v="21.599999999999998"/>
    <n v="0.11999999999999998"/>
    <n v="-21.599999999999998"/>
    <x v="0"/>
    <x v="222"/>
    <n v="0.11911111111111111"/>
    <n v="21.599999999999998"/>
    <n v="0.11999999999999998"/>
    <n v="-0.15999999999999659"/>
    <s v="Ecart négatif"/>
    <n v="0"/>
  </r>
  <r>
    <x v="2"/>
    <n v="69"/>
    <x v="15"/>
    <x v="0"/>
    <n v="0"/>
    <n v="0"/>
    <n v="0"/>
    <n v="0"/>
    <x v="1"/>
    <x v="1"/>
    <n v="0"/>
    <n v="0"/>
    <n v="0"/>
    <n v="0"/>
    <s v="Pas d'écart"/>
    <n v="17.350000000000001"/>
  </r>
  <r>
    <x v="5"/>
    <n v="17"/>
    <x v="11"/>
    <x v="0"/>
    <n v="0"/>
    <n v="12.6"/>
    <n v="0.21"/>
    <n v="-12.6"/>
    <x v="0"/>
    <x v="1"/>
    <n v="0"/>
    <n v="12.6"/>
    <n v="0.21"/>
    <n v="-12.6"/>
    <s v="Ecart négatif"/>
    <n v="30.849999999999998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4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30.849999999999998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3"/>
    <x v="11"/>
    <x v="0"/>
    <n v="0"/>
    <n v="17.399999999999999"/>
    <n v="0.28999999999999998"/>
    <n v="-17.399999999999999"/>
    <x v="0"/>
    <x v="223"/>
    <n v="0.49016666666666669"/>
    <n v="17.399999999999999"/>
    <n v="0.28999999999999998"/>
    <n v="12.010000000000002"/>
    <s v="Ecart positif"/>
    <n v="15.069999999999997"/>
  </r>
  <r>
    <x v="2"/>
    <n v="56"/>
    <x v="8"/>
    <x v="0"/>
    <n v="0"/>
    <n v="0"/>
    <n v="0"/>
    <n v="0"/>
    <x v="1"/>
    <x v="1"/>
    <n v="0"/>
    <n v="0"/>
    <n v="0"/>
    <n v="0"/>
    <s v="Pas d'écart"/>
    <n v="61.48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75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39"/>
    <x v="7"/>
    <x v="0"/>
    <n v="0"/>
    <n v="0"/>
    <n v="0"/>
    <n v="0"/>
    <x v="1"/>
    <x v="1"/>
    <n v="0"/>
    <n v="0"/>
    <n v="0"/>
    <n v="0"/>
    <s v="Pas d'écart"/>
    <n v="18.78"/>
  </r>
  <r>
    <x v="4"/>
    <n v="25"/>
    <x v="2"/>
    <x v="459"/>
    <n v="0.22321428571428573"/>
    <n v="33.6"/>
    <n v="0.24000000000000002"/>
    <n v="-2.3500000000000014"/>
    <x v="0"/>
    <x v="1"/>
    <n v="0"/>
    <n v="33.6"/>
    <n v="0.24000000000000002"/>
    <n v="-33.6"/>
    <s v="Ecart négatif"/>
    <n v="0"/>
  </r>
  <r>
    <x v="4"/>
    <n v="58"/>
    <x v="8"/>
    <x v="460"/>
    <n v="0.22471428571428573"/>
    <n v="16.100000000000001"/>
    <n v="0.23"/>
    <n v="-0.37000000000000099"/>
    <x v="0"/>
    <x v="1"/>
    <n v="0"/>
    <n v="16.100000000000001"/>
    <n v="0.23"/>
    <n v="-16.100000000000001"/>
    <s v="Ecart négatif"/>
    <n v="0"/>
  </r>
  <r>
    <x v="0"/>
    <n v="67"/>
    <x v="20"/>
    <x v="0"/>
    <n v="0"/>
    <n v="20"/>
    <n v="0.08"/>
    <n v="-20"/>
    <x v="0"/>
    <x v="176"/>
    <n v="0.08"/>
    <n v="20"/>
    <n v="0.08"/>
    <n v="0"/>
    <s v="Pas d'écart"/>
    <n v="131.1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62"/>
    <x v="12"/>
    <x v="6"/>
    <n v="0.19"/>
    <n v="7.6"/>
    <n v="0.19"/>
    <n v="0"/>
    <x v="1"/>
    <x v="1"/>
    <n v="0"/>
    <n v="7.6"/>
    <n v="0.19"/>
    <n v="-7.6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13"/>
    <x v="6"/>
    <x v="0"/>
    <n v="0"/>
    <n v="30.4"/>
    <n v="0.19"/>
    <n v="-30.4"/>
    <x v="0"/>
    <x v="1"/>
    <n v="0"/>
    <n v="30.4"/>
    <n v="0.19"/>
    <n v="-30.4"/>
    <s v="Ecart négatif"/>
    <n v="15.310000000000002"/>
  </r>
  <r>
    <x v="0"/>
    <n v="68"/>
    <x v="7"/>
    <x v="0"/>
    <n v="0"/>
    <n v="2.4"/>
    <n v="0.08"/>
    <n v="-2.4"/>
    <x v="0"/>
    <x v="224"/>
    <n v="7.9000000000000001E-2"/>
    <n v="2.4"/>
    <n v="0.08"/>
    <n v="-2.9999999999999805E-2"/>
    <s v="Ecart négatif"/>
    <n v="4.0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4"/>
    <n v="34"/>
    <x v="11"/>
    <x v="183"/>
    <n v="0.38999999999999996"/>
    <n v="23.400000000000002"/>
    <n v="0.39"/>
    <n v="0"/>
    <x v="1"/>
    <x v="1"/>
    <n v="0"/>
    <n v="23.400000000000002"/>
    <n v="0.39"/>
    <n v="-23.400000000000002"/>
    <s v="Ecart négatif"/>
    <n v="0"/>
  </r>
  <r>
    <x v="0"/>
    <n v="75"/>
    <x v="14"/>
    <x v="0"/>
    <n v="0"/>
    <n v="0"/>
    <n v="0"/>
    <n v="0"/>
    <x v="1"/>
    <x v="1"/>
    <n v="0"/>
    <n v="0"/>
    <n v="0"/>
    <n v="0"/>
    <s v="Pas d'écart"/>
    <n v="10.020000000000003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4"/>
    <n v="75"/>
    <x v="0"/>
    <x v="0"/>
    <n v="0"/>
    <n v="0"/>
    <n v="0"/>
    <n v="0"/>
    <x v="1"/>
    <x v="1"/>
    <n v="0"/>
    <n v="0"/>
    <n v="0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5"/>
    <x v="0"/>
    <n v="0"/>
    <n v="0"/>
    <n v="0"/>
    <n v="0"/>
    <x v="1"/>
    <x v="1"/>
    <n v="0"/>
    <n v="0"/>
    <n v="0"/>
    <n v="0"/>
    <s v="Pas d'écart"/>
    <n v="67.569999999999993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85"/>
    <x v="2"/>
    <x v="0"/>
    <n v="0"/>
    <n v="0"/>
    <n v="0"/>
    <n v="0"/>
    <x v="1"/>
    <x v="1"/>
    <n v="0"/>
    <n v="0"/>
    <n v="0"/>
    <n v="0"/>
    <s v="Pas d'écart"/>
    <n v="73.41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15.329999999999998"/>
  </r>
  <r>
    <x v="2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0"/>
  </r>
  <r>
    <x v="0"/>
    <n v="62"/>
    <x v="2"/>
    <x v="0"/>
    <n v="0"/>
    <n v="0"/>
    <n v="0"/>
    <n v="0"/>
    <x v="1"/>
    <x v="1"/>
    <n v="0"/>
    <n v="0"/>
    <n v="0"/>
    <n v="0"/>
    <s v="Pas d'écart"/>
    <n v="73.41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6"/>
    <n v="35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0"/>
  </r>
  <r>
    <x v="4"/>
    <n v="94"/>
    <x v="21"/>
    <x v="0"/>
    <e v="#DIV/0!"/>
    <n v="0"/>
    <e v="#DIV/0!"/>
    <n v="0"/>
    <x v="1"/>
    <x v="1"/>
    <e v="#DIV/0!"/>
    <n v="0"/>
    <e v="#DIV/0!"/>
    <n v="0"/>
    <s v="Pas d'écart"/>
    <e v="#N/A"/>
  </r>
  <r>
    <x v="5"/>
    <n v="44"/>
    <x v="1"/>
    <x v="0"/>
    <n v="0"/>
    <n v="32.400000000000006"/>
    <n v="0.27000000000000007"/>
    <n v="-32.400000000000006"/>
    <x v="0"/>
    <x v="1"/>
    <n v="0"/>
    <n v="32.400000000000006"/>
    <n v="0.27000000000000007"/>
    <n v="-32.400000000000006"/>
    <s v="Ecart négatif"/>
    <n v="11.89"/>
  </r>
  <r>
    <x v="7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19.97999999999999"/>
  </r>
  <r>
    <x v="2"/>
    <n v="75"/>
    <x v="29"/>
    <x v="0"/>
    <n v="0"/>
    <n v="0"/>
    <n v="0"/>
    <n v="0"/>
    <x v="1"/>
    <x v="1"/>
    <n v="0"/>
    <n v="0"/>
    <n v="0"/>
    <n v="0"/>
    <s v="Pas d'écart"/>
    <n v="0"/>
  </r>
  <r>
    <x v="3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15.329999999999998"/>
  </r>
  <r>
    <x v="2"/>
    <n v="13"/>
    <x v="15"/>
    <x v="0"/>
    <n v="0"/>
    <n v="3.8"/>
    <n v="0.19"/>
    <n v="-3.8"/>
    <x v="0"/>
    <x v="225"/>
    <n v="0.28999999999999998"/>
    <n v="3.8"/>
    <n v="0.19"/>
    <n v="2"/>
    <s v="Ecart positif"/>
    <n v="0"/>
  </r>
  <r>
    <x v="1"/>
    <n v="77"/>
    <x v="3"/>
    <x v="0"/>
    <n v="0"/>
    <n v="0"/>
    <n v="0"/>
    <n v="0"/>
    <x v="1"/>
    <x v="1"/>
    <n v="0"/>
    <n v="0"/>
    <n v="0"/>
    <n v="0"/>
    <s v="Pas d'écart"/>
    <n v="65.6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0"/>
    <n v="45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3.5199999999999978"/>
  </r>
  <r>
    <x v="2"/>
    <n v="76"/>
    <x v="3"/>
    <x v="0"/>
    <n v="0"/>
    <n v="35.700000000000003"/>
    <n v="0.17"/>
    <n v="-35.700000000000003"/>
    <x v="0"/>
    <x v="226"/>
    <n v="0.16257142857142856"/>
    <n v="35.700000000000003"/>
    <n v="0.17"/>
    <n v="-1.5600000000000023"/>
    <s v="Ecart négatif"/>
    <n v="0"/>
  </r>
  <r>
    <x v="6"/>
    <n v="35"/>
    <x v="11"/>
    <x v="462"/>
    <n v="0.2475"/>
    <n v="16.200000000000003"/>
    <n v="0.27000000000000007"/>
    <n v="-1.3500000000000032"/>
    <x v="0"/>
    <x v="1"/>
    <n v="0"/>
    <n v="16.200000000000003"/>
    <n v="0.27000000000000007"/>
    <n v="-16.200000000000003"/>
    <s v="Ecart négatif"/>
    <n v="52.78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6"/>
    <n v="22"/>
    <x v="10"/>
    <x v="0"/>
    <n v="0"/>
    <n v="57"/>
    <n v="0.38"/>
    <n v="-57"/>
    <x v="0"/>
    <x v="1"/>
    <n v="0"/>
    <n v="57"/>
    <n v="0.38"/>
    <n v="-57"/>
    <s v="Ecart négatif"/>
    <n v="0"/>
  </r>
  <r>
    <x v="2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3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15.329999999999998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8"/>
    <n v="35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0"/>
  </r>
  <r>
    <x v="0"/>
    <n v="62"/>
    <x v="2"/>
    <x v="0"/>
    <n v="0"/>
    <n v="0"/>
    <n v="0"/>
    <n v="0"/>
    <x v="1"/>
    <x v="1"/>
    <n v="0"/>
    <n v="0"/>
    <n v="0"/>
    <n v="0"/>
    <s v="Pas d'écart"/>
    <n v="73.41"/>
  </r>
  <r>
    <x v="4"/>
    <n v="21"/>
    <x v="12"/>
    <x v="345"/>
    <n v="0.24"/>
    <n v="9.6"/>
    <n v="0.24"/>
    <n v="0"/>
    <x v="1"/>
    <x v="1"/>
    <n v="0"/>
    <n v="9.6"/>
    <n v="0.24"/>
    <n v="-9.6"/>
    <s v="Ecart négatif"/>
    <n v="0"/>
  </r>
  <r>
    <x v="1"/>
    <n v="77"/>
    <x v="34"/>
    <x v="0"/>
    <n v="0"/>
    <n v="0"/>
    <n v="0"/>
    <n v="0"/>
    <x v="1"/>
    <x v="1"/>
    <n v="0"/>
    <n v="0"/>
    <n v="0"/>
    <n v="0"/>
    <s v="Pas d'écart"/>
    <n v="69.47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5.310000000000002"/>
  </r>
  <r>
    <x v="0"/>
    <n v="50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9.5499999999999972"/>
  </r>
  <r>
    <x v="2"/>
    <n v="38"/>
    <x v="19"/>
    <x v="0"/>
    <n v="0"/>
    <n v="0"/>
    <n v="0"/>
    <n v="0"/>
    <x v="1"/>
    <x v="1"/>
    <n v="0"/>
    <n v="0"/>
    <n v="0"/>
    <n v="0"/>
    <s v="Pas d'écart"/>
    <n v="0"/>
  </r>
  <r>
    <x v="0"/>
    <n v="6"/>
    <x v="29"/>
    <x v="0"/>
    <n v="0"/>
    <n v="84"/>
    <n v="0.21"/>
    <n v="-84"/>
    <x v="0"/>
    <x v="1"/>
    <n v="0"/>
    <n v="84"/>
    <n v="0.21"/>
    <n v="-84"/>
    <s v="Ecart négatif"/>
    <n v="41.180000000000007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8"/>
    <n v="75"/>
    <x v="2"/>
    <x v="0"/>
    <n v="0"/>
    <n v="0"/>
    <n v="0"/>
    <n v="0"/>
    <x v="1"/>
    <x v="1"/>
    <n v="0"/>
    <n v="0"/>
    <n v="0"/>
    <n v="0"/>
    <s v="Pas d'écart"/>
    <n v="0"/>
  </r>
  <r>
    <x v="4"/>
    <n v="25"/>
    <x v="4"/>
    <x v="461"/>
    <n v="0.22481818181818183"/>
    <n v="26.4"/>
    <n v="0.24"/>
    <n v="-1.6699999999999982"/>
    <x v="0"/>
    <x v="1"/>
    <n v="0"/>
    <n v="26.4"/>
    <n v="0.24"/>
    <n v="-26.4"/>
    <s v="Ecart négatif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8"/>
    <n v="59"/>
    <x v="2"/>
    <x v="0"/>
    <n v="0"/>
    <n v="26.6"/>
    <n v="0.19"/>
    <n v="-26.6"/>
    <x v="0"/>
    <x v="1"/>
    <n v="0"/>
    <n v="26.6"/>
    <n v="0.19"/>
    <n v="-26.6"/>
    <s v="Ecart négatif"/>
    <n v="0"/>
  </r>
  <r>
    <x v="2"/>
    <n v="33"/>
    <x v="2"/>
    <x v="0"/>
    <n v="0"/>
    <n v="23.8"/>
    <n v="0.17"/>
    <n v="-23.8"/>
    <x v="0"/>
    <x v="1"/>
    <n v="0"/>
    <n v="23.8"/>
    <n v="0.17"/>
    <n v="-23.8"/>
    <s v="Ecart négatif"/>
    <n v="65.680000000000007"/>
  </r>
  <r>
    <x v="0"/>
    <n v="39"/>
    <x v="7"/>
    <x v="0"/>
    <n v="0"/>
    <n v="0"/>
    <n v="0"/>
    <n v="0"/>
    <x v="1"/>
    <x v="1"/>
    <n v="0"/>
    <n v="0"/>
    <n v="0"/>
    <n v="0"/>
    <s v="Pas d'écart"/>
    <n v="3.7600000000000016"/>
  </r>
  <r>
    <x v="0"/>
    <n v="54"/>
    <x v="0"/>
    <x v="0"/>
    <n v="0"/>
    <n v="45"/>
    <n v="0.25"/>
    <n v="-45"/>
    <x v="0"/>
    <x v="72"/>
    <n v="0.25"/>
    <n v="45"/>
    <n v="0.25"/>
    <n v="0"/>
    <s v="Pas d'écart"/>
    <n v="92.1"/>
  </r>
  <r>
    <x v="0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8.419999999999987"/>
  </r>
  <r>
    <x v="0"/>
    <n v="69"/>
    <x v="3"/>
    <x v="0"/>
    <n v="0"/>
    <n v="0"/>
    <n v="0"/>
    <n v="0"/>
    <x v="1"/>
    <x v="1"/>
    <n v="0"/>
    <n v="0"/>
    <n v="0"/>
    <n v="0"/>
    <s v="Pas d'écart"/>
    <n v="112.34"/>
  </r>
  <r>
    <x v="0"/>
    <n v="75"/>
    <x v="6"/>
    <x v="0"/>
    <n v="0"/>
    <n v="0"/>
    <n v="0"/>
    <n v="0"/>
    <x v="1"/>
    <x v="1"/>
    <n v="0"/>
    <n v="0"/>
    <n v="0"/>
    <n v="0"/>
    <s v="Pas d'écart"/>
    <n v="56.79"/>
  </r>
  <r>
    <x v="2"/>
    <n v="30"/>
    <x v="6"/>
    <x v="0"/>
    <n v="0"/>
    <n v="44.800000000000004"/>
    <n v="0.28000000000000003"/>
    <n v="-44.800000000000004"/>
    <x v="0"/>
    <x v="1"/>
    <n v="0"/>
    <n v="44.800000000000004"/>
    <n v="0.28000000000000003"/>
    <n v="-44.800000000000004"/>
    <s v="Ecart négatif"/>
    <n v="85.09"/>
  </r>
  <r>
    <x v="0"/>
    <n v="68"/>
    <x v="12"/>
    <x v="0"/>
    <n v="0"/>
    <n v="3.2"/>
    <n v="0.08"/>
    <n v="-3.2"/>
    <x v="0"/>
    <x v="1"/>
    <n v="0"/>
    <n v="3.2"/>
    <n v="0.08"/>
    <n v="-3.2"/>
    <s v="Ecart négatif"/>
    <n v="8.2899999999999991"/>
  </r>
  <r>
    <x v="5"/>
    <n v="51"/>
    <x v="15"/>
    <x v="0"/>
    <n v="0"/>
    <n v="5"/>
    <n v="0.25"/>
    <n v="-5"/>
    <x v="0"/>
    <x v="1"/>
    <n v="0"/>
    <n v="5"/>
    <n v="0.25"/>
    <n v="-5"/>
    <s v="Ecart négatif"/>
    <n v="15.8"/>
  </r>
  <r>
    <x v="2"/>
    <n v="57"/>
    <x v="4"/>
    <x v="0"/>
    <n v="0"/>
    <n v="27.5"/>
    <n v="0.25"/>
    <n v="-27.5"/>
    <x v="0"/>
    <x v="49"/>
    <n v="0.24781818181818183"/>
    <n v="27.5"/>
    <n v="0.25"/>
    <n v="-0.23999999999999844"/>
    <s v="Ecart négatif"/>
    <n v="71.81"/>
  </r>
  <r>
    <x v="2"/>
    <n v="71"/>
    <x v="18"/>
    <x v="0"/>
    <n v="0"/>
    <n v="0"/>
    <n v="0"/>
    <n v="0"/>
    <x v="1"/>
    <x v="1"/>
    <n v="0"/>
    <n v="0"/>
    <n v="0"/>
    <n v="0"/>
    <s v="Pas d'écart"/>
    <n v="70.73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2"/>
    <n v="45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7.579999999999998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8"/>
    <n v="91"/>
    <x v="11"/>
    <x v="0"/>
    <n v="0"/>
    <n v="0"/>
    <n v="0"/>
    <n v="0"/>
    <x v="1"/>
    <x v="1"/>
    <n v="0"/>
    <n v="0"/>
    <n v="0"/>
    <n v="0"/>
    <s v="Pas d'écart"/>
    <n v="-24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5"/>
    <n v="38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14.68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67"/>
    <x v="7"/>
    <x v="0"/>
    <n v="0"/>
    <n v="2.4"/>
    <n v="0.08"/>
    <n v="-2.4"/>
    <x v="0"/>
    <x v="227"/>
    <n v="7.7333333333333323E-2"/>
    <n v="2.4"/>
    <n v="0.08"/>
    <n v="-8.0000000000000071E-2"/>
    <s v="Ecart négatif"/>
    <n v="3.6799999999999997"/>
  </r>
  <r>
    <x v="0"/>
    <n v="60"/>
    <x v="0"/>
    <x v="0"/>
    <n v="0"/>
    <n v="0"/>
    <n v="0"/>
    <n v="0"/>
    <x v="1"/>
    <x v="1"/>
    <n v="0"/>
    <n v="0"/>
    <n v="0"/>
    <n v="0"/>
    <s v="Pas d'écart"/>
    <n v="23.21000000000000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6"/>
    <x v="18"/>
    <x v="0"/>
    <n v="0"/>
    <n v="18.899999999999999"/>
    <n v="0.21"/>
    <n v="-18.899999999999999"/>
    <x v="0"/>
    <x v="228"/>
    <n v="0.27666666666666667"/>
    <n v="18.899999999999999"/>
    <n v="0.21"/>
    <n v="6"/>
    <s v="Ecart positif"/>
    <n v="15.04"/>
  </r>
  <r>
    <x v="2"/>
    <n v="80"/>
    <x v="0"/>
    <x v="0"/>
    <n v="0"/>
    <n v="0"/>
    <n v="0"/>
    <n v="0"/>
    <x v="1"/>
    <x v="1"/>
    <n v="0"/>
    <n v="0"/>
    <n v="0"/>
    <n v="0"/>
    <s v="Pas d'écart"/>
    <n v="0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2"/>
    <n v="69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3"/>
    <x v="0"/>
    <n v="0"/>
    <n v="0"/>
    <n v="0"/>
    <n v="0"/>
    <x v="1"/>
    <x v="1"/>
    <n v="0"/>
    <n v="0"/>
    <n v="0"/>
    <n v="0"/>
    <s v="Pas d'écart"/>
    <n v="65.66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95"/>
    <x v="10"/>
    <x v="0"/>
    <n v="0"/>
    <n v="0"/>
    <n v="0"/>
    <n v="0"/>
    <x v="1"/>
    <x v="1"/>
    <n v="0"/>
    <n v="0"/>
    <n v="0"/>
    <n v="0"/>
    <s v="Pas d'écart"/>
    <n v="11.009999999999998"/>
  </r>
  <r>
    <x v="0"/>
    <n v="91"/>
    <x v="9"/>
    <x v="0"/>
    <n v="0"/>
    <n v="0"/>
    <n v="0"/>
    <n v="0"/>
    <x v="1"/>
    <x v="1"/>
    <n v="0"/>
    <n v="0"/>
    <n v="0"/>
    <n v="0"/>
    <s v="Pas d'écart"/>
    <n v="7.5399999999999991"/>
  </r>
  <r>
    <x v="2"/>
    <n v="59"/>
    <x v="6"/>
    <x v="0"/>
    <n v="0"/>
    <n v="0"/>
    <n v="0"/>
    <n v="0"/>
    <x v="1"/>
    <x v="1"/>
    <n v="0"/>
    <n v="0"/>
    <n v="0"/>
    <n v="0"/>
    <s v="Pas d'écart"/>
    <n v="0"/>
  </r>
  <r>
    <x v="0"/>
    <n v="75"/>
    <x v="7"/>
    <x v="0"/>
    <n v="0"/>
    <n v="0"/>
    <n v="0"/>
    <n v="0"/>
    <x v="1"/>
    <x v="1"/>
    <n v="0"/>
    <n v="0"/>
    <n v="0"/>
    <n v="0"/>
    <s v="Pas d'écart"/>
    <n v="20.87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2"/>
    <n v="59"/>
    <x v="2"/>
    <x v="0"/>
    <n v="0"/>
    <n v="0"/>
    <n v="0"/>
    <n v="0"/>
    <x v="1"/>
    <x v="1"/>
    <n v="0"/>
    <n v="0"/>
    <n v="0"/>
    <n v="0"/>
    <s v="Pas d'écart"/>
    <n v="65.680000000000007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49"/>
    <x v="12"/>
    <x v="463"/>
    <n v="0.22500000000000001"/>
    <n v="10.8"/>
    <n v="0.27"/>
    <n v="-1.8000000000000007"/>
    <x v="0"/>
    <x v="1"/>
    <n v="0"/>
    <n v="10.8"/>
    <n v="0.27"/>
    <n v="-10.8"/>
    <s v="Ecart négatif"/>
    <n v="8.2899999999999991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0"/>
    <n v="73"/>
    <x v="14"/>
    <x v="0"/>
    <n v="0"/>
    <n v="0"/>
    <n v="0"/>
    <n v="0"/>
    <x v="1"/>
    <x v="1"/>
    <n v="0"/>
    <n v="0"/>
    <n v="0"/>
    <n v="0"/>
    <s v="Pas d'écart"/>
    <n v="15.609999999999992"/>
  </r>
  <r>
    <x v="6"/>
    <n v="23"/>
    <x v="14"/>
    <x v="0"/>
    <n v="0"/>
    <n v="37.699999999999996"/>
    <n v="0.28999999999999998"/>
    <n v="-37.699999999999996"/>
    <x v="0"/>
    <x v="1"/>
    <n v="0"/>
    <n v="37.699999999999996"/>
    <n v="0.28999999999999998"/>
    <n v="-37.699999999999996"/>
    <s v="Ecart négatif"/>
    <n v="0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2"/>
    <n v="44"/>
    <x v="6"/>
    <x v="0"/>
    <n v="0"/>
    <n v="0"/>
    <n v="0"/>
    <n v="0"/>
    <x v="1"/>
    <x v="1"/>
    <n v="0"/>
    <n v="0"/>
    <n v="0"/>
    <n v="0"/>
    <s v="Pas d'écart"/>
    <n v="76.56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2"/>
    <n v="27"/>
    <x v="14"/>
    <x v="0"/>
    <n v="0"/>
    <n v="22.1"/>
    <n v="0.17"/>
    <n v="-22.1"/>
    <x v="0"/>
    <x v="229"/>
    <n v="0.16530769230769229"/>
    <n v="22.1"/>
    <n v="0.17"/>
    <n v="-0.61000000000000298"/>
    <s v="Ecart négatif"/>
    <n v="0"/>
  </r>
  <r>
    <x v="0"/>
    <n v="59"/>
    <x v="10"/>
    <x v="0"/>
    <n v="0"/>
    <n v="0"/>
    <n v="0"/>
    <n v="0"/>
    <x v="1"/>
    <x v="1"/>
    <n v="0"/>
    <n v="0"/>
    <n v="0"/>
    <n v="0"/>
    <s v="Pas d'écart"/>
    <n v="68.78"/>
  </r>
  <r>
    <x v="2"/>
    <n v="75"/>
    <x v="4"/>
    <x v="0"/>
    <n v="0"/>
    <n v="0"/>
    <n v="0"/>
    <n v="0"/>
    <x v="1"/>
    <x v="1"/>
    <n v="0"/>
    <n v="0"/>
    <n v="0"/>
    <n v="0"/>
    <s v="Pas d'écart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14"/>
    <x v="19"/>
    <x v="0"/>
    <n v="0"/>
    <n v="32.300000000000004"/>
    <n v="0.17"/>
    <n v="-32.300000000000004"/>
    <x v="0"/>
    <x v="1"/>
    <n v="0"/>
    <n v="32.300000000000004"/>
    <n v="0.17"/>
    <n v="-32.300000000000004"/>
    <s v="Ecart négatif"/>
    <n v="118.48"/>
  </r>
  <r>
    <x v="0"/>
    <n v="49"/>
    <x v="6"/>
    <x v="0"/>
    <n v="0"/>
    <n v="0"/>
    <n v="0"/>
    <n v="0"/>
    <x v="1"/>
    <x v="1"/>
    <n v="0"/>
    <n v="0"/>
    <n v="0"/>
    <n v="0"/>
    <s v="Pas d'écart"/>
    <n v="85.09"/>
  </r>
  <r>
    <x v="0"/>
    <n v="13"/>
    <x v="25"/>
    <x v="0"/>
    <n v="0"/>
    <n v="41.8"/>
    <n v="0.18999999999999997"/>
    <n v="-41.8"/>
    <x v="0"/>
    <x v="1"/>
    <n v="0"/>
    <n v="41.8"/>
    <n v="0.18999999999999997"/>
    <n v="-41.8"/>
    <s v="Ecart négatif"/>
    <n v="117.03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65.680000000000007"/>
  </r>
  <r>
    <x v="2"/>
    <n v="69"/>
    <x v="9"/>
    <x v="0"/>
    <n v="0"/>
    <n v="0"/>
    <n v="0"/>
    <n v="0"/>
    <x v="1"/>
    <x v="6"/>
    <n v="0.27"/>
    <n v="0"/>
    <n v="0"/>
    <n v="21.6"/>
    <s v="Ecart positif"/>
    <n v="0"/>
  </r>
  <r>
    <x v="0"/>
    <n v="26"/>
    <x v="14"/>
    <x v="0"/>
    <n v="0"/>
    <n v="0"/>
    <n v="0"/>
    <n v="0"/>
    <x v="1"/>
    <x v="1"/>
    <n v="0"/>
    <n v="0"/>
    <n v="0"/>
    <n v="0"/>
    <s v="Pas d'écart"/>
    <n v="78.069999999999993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2"/>
    <n v="1"/>
    <x v="18"/>
    <x v="0"/>
    <n v="0"/>
    <n v="0"/>
    <n v="0"/>
    <n v="0"/>
    <x v="1"/>
    <x v="1"/>
    <n v="0"/>
    <n v="0"/>
    <n v="0"/>
    <n v="0"/>
    <s v="Pas d'écart"/>
    <n v="70.73"/>
  </r>
  <r>
    <x v="6"/>
    <n v="59"/>
    <x v="14"/>
    <x v="0"/>
    <n v="0"/>
    <n v="24.7"/>
    <n v="0.19"/>
    <n v="-24.7"/>
    <x v="0"/>
    <x v="1"/>
    <n v="0"/>
    <n v="24.7"/>
    <n v="0.19"/>
    <n v="-24.7"/>
    <s v="Ecart négatif"/>
    <n v="0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4"/>
    <n v="92"/>
    <x v="11"/>
    <x v="0"/>
    <n v="0"/>
    <n v="0"/>
    <n v="0"/>
    <n v="0"/>
    <x v="1"/>
    <x v="1"/>
    <n v="0"/>
    <n v="0"/>
    <n v="0"/>
    <n v="0"/>
    <s v="Pas d'écart"/>
    <n v="0"/>
  </r>
  <r>
    <x v="5"/>
    <n v="90"/>
    <x v="11"/>
    <x v="351"/>
    <n v="0.25383333333333336"/>
    <n v="17.399999999999999"/>
    <n v="0.28999999999999998"/>
    <n v="-2.1699999999999982"/>
    <x v="0"/>
    <x v="1"/>
    <n v="0"/>
    <n v="17.399999999999999"/>
    <n v="0.28999999999999998"/>
    <n v="-17.399999999999999"/>
    <s v="Ecart négatif"/>
    <n v="58.26"/>
  </r>
  <r>
    <x v="8"/>
    <n v="21"/>
    <x v="6"/>
    <x v="0"/>
    <n v="0"/>
    <n v="38.4"/>
    <n v="0.24"/>
    <n v="-38.4"/>
    <x v="0"/>
    <x v="1"/>
    <n v="0"/>
    <n v="38.4"/>
    <n v="0.24"/>
    <n v="-38.4"/>
    <s v="Ecart négatif"/>
    <n v="0"/>
  </r>
  <r>
    <x v="8"/>
    <n v="30"/>
    <x v="16"/>
    <x v="0"/>
    <n v="0"/>
    <n v="78"/>
    <n v="0.39"/>
    <n v="-78"/>
    <x v="0"/>
    <x v="1"/>
    <n v="0"/>
    <n v="78"/>
    <n v="0.39"/>
    <n v="-78"/>
    <s v="Ecart négatif"/>
    <n v="0"/>
  </r>
  <r>
    <x v="2"/>
    <n v="8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73.41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0"/>
    <n v="67"/>
    <x v="7"/>
    <x v="0"/>
    <n v="0"/>
    <n v="2.4"/>
    <n v="0.08"/>
    <n v="-2.4"/>
    <x v="0"/>
    <x v="182"/>
    <n v="6.6666666666666666E-2"/>
    <n v="2.4"/>
    <n v="0.08"/>
    <n v="-0.39999999999999991"/>
    <s v="Ecart négatif"/>
    <n v="3.679999999999999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0"/>
    <n v="30"/>
    <x v="27"/>
    <x v="0"/>
    <n v="0"/>
    <n v="14.000000000000002"/>
    <n v="0.28000000000000003"/>
    <n v="-14.000000000000002"/>
    <x v="0"/>
    <x v="1"/>
    <n v="0"/>
    <n v="14.000000000000002"/>
    <n v="0.28000000000000003"/>
    <n v="-14.000000000000002"/>
    <s v="Ecart négatif"/>
    <n v="44.07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37"/>
    <x v="15"/>
    <x v="0"/>
    <n v="0"/>
    <n v="2.4"/>
    <n v="0.12"/>
    <n v="-2.4"/>
    <x v="0"/>
    <x v="1"/>
    <n v="0"/>
    <n v="2.4"/>
    <n v="0.12"/>
    <n v="-2.4"/>
    <s v="Ecart négatif"/>
    <n v="3.3100000000000005"/>
  </r>
  <r>
    <x v="4"/>
    <n v="94"/>
    <x v="9"/>
    <x v="0"/>
    <n v="0"/>
    <n v="0"/>
    <n v="0"/>
    <n v="0"/>
    <x v="1"/>
    <x v="1"/>
    <n v="0"/>
    <n v="0"/>
    <n v="0"/>
    <n v="0"/>
    <s v="Pas d'écart"/>
    <n v="0"/>
  </r>
  <r>
    <x v="6"/>
    <n v="35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0"/>
  </r>
  <r>
    <x v="4"/>
    <n v="27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21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0"/>
    <n v="28"/>
    <x v="2"/>
    <x v="0"/>
    <n v="0"/>
    <n v="16.8"/>
    <n v="0.12000000000000001"/>
    <n v="-16.8"/>
    <x v="0"/>
    <x v="1"/>
    <n v="0"/>
    <n v="16.8"/>
    <n v="0.12000000000000001"/>
    <n v="-16.8"/>
    <s v="Ecart négatif"/>
    <n v="15.759999999999998"/>
  </r>
  <r>
    <x v="4"/>
    <n v="76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2"/>
    <n v="6"/>
    <x v="2"/>
    <x v="0"/>
    <n v="0"/>
    <n v="29.4"/>
    <n v="0.21"/>
    <n v="-29.4"/>
    <x v="0"/>
    <x v="1"/>
    <n v="0"/>
    <n v="29.4"/>
    <n v="0.21"/>
    <n v="-29.4"/>
    <s v="Ecart négatif"/>
    <n v="78.8"/>
  </r>
  <r>
    <x v="8"/>
    <n v="76"/>
    <x v="0"/>
    <x v="0"/>
    <n v="0"/>
    <n v="30.6"/>
    <n v="0.17"/>
    <n v="-30.6"/>
    <x v="0"/>
    <x v="1"/>
    <n v="0"/>
    <n v="30.6"/>
    <n v="0.17"/>
    <n v="-30.6"/>
    <s v="Ecart négatif"/>
    <n v="92.1"/>
  </r>
  <r>
    <x v="4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0"/>
  </r>
  <r>
    <x v="6"/>
    <n v="69"/>
    <x v="0"/>
    <x v="0"/>
    <n v="0"/>
    <n v="48.6"/>
    <n v="0.27"/>
    <n v="-48.6"/>
    <x v="0"/>
    <x v="1"/>
    <n v="0"/>
    <n v="48.6"/>
    <n v="0.27"/>
    <n v="-48.6"/>
    <s v="Ecart négatif"/>
    <n v="0"/>
  </r>
  <r>
    <x v="8"/>
    <n v="34"/>
    <x v="21"/>
    <x v="0"/>
    <e v="#DIV/0!"/>
    <n v="0"/>
    <e v="#DIV/0!"/>
    <n v="0"/>
    <x v="1"/>
    <x v="1"/>
    <e v="#DIV/0!"/>
    <n v="0"/>
    <e v="#DIV/0!"/>
    <n v="0"/>
    <s v="Pas d'écart"/>
    <e v="#N/A"/>
  </r>
  <r>
    <x v="8"/>
    <n v="69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-20.259999999999998"/>
  </r>
  <r>
    <x v="5"/>
    <n v="14"/>
    <x v="10"/>
    <x v="0"/>
    <n v="0"/>
    <n v="25.500000000000004"/>
    <n v="0.17"/>
    <n v="-25.500000000000004"/>
    <x v="0"/>
    <x v="1"/>
    <n v="0"/>
    <n v="25.500000000000004"/>
    <n v="0.17"/>
    <n v="-25.500000000000004"/>
    <s v="Ecart négatif"/>
    <n v="14.789999999999992"/>
  </r>
  <r>
    <x v="3"/>
    <n v="75"/>
    <x v="18"/>
    <x v="0"/>
    <n v="0"/>
    <n v="0"/>
    <n v="0"/>
    <n v="0"/>
    <x v="1"/>
    <x v="1"/>
    <n v="0"/>
    <n v="0"/>
    <n v="0"/>
    <n v="0"/>
    <s v="Pas d'écart"/>
    <n v="8.0399999999999991"/>
  </r>
  <r>
    <x v="6"/>
    <n v="73"/>
    <x v="18"/>
    <x v="0"/>
    <n v="0"/>
    <n v="24.3"/>
    <n v="0.27"/>
    <n v="-24.3"/>
    <x v="0"/>
    <x v="1"/>
    <n v="0"/>
    <n v="24.3"/>
    <n v="0.27"/>
    <n v="-24.3"/>
    <s v="Ecart négatif"/>
    <n v="0"/>
  </r>
  <r>
    <x v="0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42"/>
    <x v="0"/>
    <x v="0"/>
    <n v="0"/>
    <n v="0"/>
    <n v="0"/>
    <n v="0"/>
    <x v="1"/>
    <x v="1"/>
    <n v="0"/>
    <n v="0"/>
    <n v="0"/>
    <n v="0"/>
    <s v="Pas d'écart"/>
    <n v="107.35"/>
  </r>
  <r>
    <x v="2"/>
    <n v="1"/>
    <x v="27"/>
    <x v="0"/>
    <n v="0"/>
    <n v="0"/>
    <n v="0"/>
    <n v="0"/>
    <x v="1"/>
    <x v="1"/>
    <n v="0"/>
    <n v="0"/>
    <n v="0"/>
    <n v="0"/>
    <s v="Pas d'écart"/>
    <n v="44.07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4"/>
    <n v="91"/>
    <x v="21"/>
    <x v="0"/>
    <e v="#DIV/0!"/>
    <n v="0"/>
    <e v="#DIV/0!"/>
    <n v="0"/>
    <x v="1"/>
    <x v="1"/>
    <e v="#DIV/0!"/>
    <n v="0"/>
    <e v="#DIV/0!"/>
    <n v="0"/>
    <s v="Pas d'écart"/>
    <e v="#N/A"/>
  </r>
  <r>
    <x v="8"/>
    <n v="74"/>
    <x v="14"/>
    <x v="0"/>
    <n v="0"/>
    <n v="33.800000000000004"/>
    <n v="0.26"/>
    <n v="-33.800000000000004"/>
    <x v="0"/>
    <x v="1"/>
    <n v="0"/>
    <n v="33.800000000000004"/>
    <n v="0.26"/>
    <n v="-33.800000000000004"/>
    <s v="Ecart négatif"/>
    <n v="0"/>
  </r>
  <r>
    <x v="2"/>
    <n v="47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41.47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18.340000000000003"/>
  </r>
  <r>
    <x v="2"/>
    <n v="69"/>
    <x v="15"/>
    <x v="0"/>
    <n v="0"/>
    <n v="0"/>
    <n v="0"/>
    <n v="0"/>
    <x v="1"/>
    <x v="1"/>
    <n v="0"/>
    <n v="0"/>
    <n v="0"/>
    <n v="0"/>
    <s v="Pas d'écart"/>
    <n v="17.350000000000001"/>
  </r>
  <r>
    <x v="0"/>
    <n v="75"/>
    <x v="8"/>
    <x v="0"/>
    <n v="0"/>
    <n v="0"/>
    <n v="0"/>
    <n v="0"/>
    <x v="1"/>
    <x v="1"/>
    <n v="0"/>
    <n v="0"/>
    <n v="0"/>
    <n v="0"/>
    <s v="Pas d'écart"/>
    <n v="35.979999999999997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27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1.47"/>
  </r>
  <r>
    <x v="7"/>
    <n v="57"/>
    <x v="4"/>
    <x v="0"/>
    <n v="0"/>
    <n v="26.4"/>
    <n v="0.24"/>
    <n v="-26.4"/>
    <x v="0"/>
    <x v="1"/>
    <n v="0"/>
    <n v="26.4"/>
    <n v="0.24"/>
    <n v="-26.4"/>
    <s v="Ecart négatif"/>
    <n v="14.36"/>
  </r>
  <r>
    <x v="0"/>
    <n v="76"/>
    <x v="4"/>
    <x v="0"/>
    <n v="0"/>
    <n v="18.700000000000003"/>
    <n v="0.17"/>
    <n v="-18.700000000000003"/>
    <x v="0"/>
    <x v="1"/>
    <n v="0"/>
    <n v="18.700000000000003"/>
    <n v="0.17"/>
    <n v="-18.700000000000003"/>
    <s v="Ecart négatif"/>
    <n v="56.37"/>
  </r>
  <r>
    <x v="6"/>
    <n v="34"/>
    <x v="16"/>
    <x v="0"/>
    <n v="0"/>
    <n v="78"/>
    <n v="0.39"/>
    <n v="-78"/>
    <x v="0"/>
    <x v="1"/>
    <n v="0"/>
    <n v="78"/>
    <n v="0.39"/>
    <n v="-78"/>
    <s v="Ecart négatif"/>
    <n v="0"/>
  </r>
  <r>
    <x v="6"/>
    <n v="67"/>
    <x v="3"/>
    <x v="464"/>
    <n v="0.27666666666666667"/>
    <n v="60.9"/>
    <n v="0.28999999999999998"/>
    <n v="-2.7999999999999972"/>
    <x v="0"/>
    <x v="1"/>
    <n v="0"/>
    <n v="60.9"/>
    <n v="0.28999999999999998"/>
    <n v="-60.9"/>
    <s v="Ecart négatif"/>
    <n v="112.34"/>
  </r>
  <r>
    <x v="0"/>
    <n v="35"/>
    <x v="6"/>
    <x v="0"/>
    <n v="0"/>
    <n v="0"/>
    <n v="0"/>
    <n v="0"/>
    <x v="1"/>
    <x v="1"/>
    <n v="0"/>
    <n v="0"/>
    <n v="0"/>
    <n v="0"/>
    <s v="Pas d'écart"/>
    <n v="85.09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6"/>
    <n v="54"/>
    <x v="19"/>
    <x v="0"/>
    <n v="0"/>
    <n v="47.5"/>
    <n v="0.25"/>
    <n v="-47.5"/>
    <x v="0"/>
    <x v="1"/>
    <n v="0"/>
    <n v="47.5"/>
    <n v="0.25"/>
    <n v="-47.5"/>
    <s v="Ecart négatif"/>
    <n v="-18.600000000000009"/>
  </r>
  <r>
    <x v="2"/>
    <n v="1"/>
    <x v="14"/>
    <x v="0"/>
    <n v="0"/>
    <n v="0"/>
    <n v="0"/>
    <n v="0"/>
    <x v="1"/>
    <x v="1"/>
    <n v="0"/>
    <n v="0"/>
    <n v="0"/>
    <n v="0"/>
    <s v="Pas d'écart"/>
    <n v="0"/>
  </r>
  <r>
    <x v="2"/>
    <n v="56"/>
    <x v="2"/>
    <x v="0"/>
    <n v="0"/>
    <n v="0"/>
    <n v="0"/>
    <n v="0"/>
    <x v="1"/>
    <x v="1"/>
    <n v="0"/>
    <n v="0"/>
    <n v="0"/>
    <n v="0"/>
    <s v="Pas d'écart"/>
    <n v="73.41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7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2"/>
    <n v="50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7.76"/>
  </r>
  <r>
    <x v="8"/>
    <n v="93"/>
    <x v="25"/>
    <x v="0"/>
    <n v="0"/>
    <n v="0"/>
    <n v="0"/>
    <n v="0"/>
    <x v="1"/>
    <x v="1"/>
    <n v="0"/>
    <n v="0"/>
    <n v="0"/>
    <n v="0"/>
    <s v="Pas d'écart"/>
    <n v="0"/>
  </r>
  <r>
    <x v="8"/>
    <n v="59"/>
    <x v="10"/>
    <x v="0"/>
    <n v="0"/>
    <n v="28.5"/>
    <n v="0.19"/>
    <n v="-28.5"/>
    <x v="0"/>
    <x v="1"/>
    <n v="0"/>
    <n v="28.5"/>
    <n v="0.19"/>
    <n v="-28.5"/>
    <s v="Ecart négatif"/>
    <n v="0"/>
  </r>
  <r>
    <x v="4"/>
    <n v="27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59"/>
    <x v="8"/>
    <x v="0"/>
    <n v="0"/>
    <n v="0"/>
    <n v="0"/>
    <n v="0"/>
    <x v="1"/>
    <x v="123"/>
    <n v="0.19"/>
    <n v="0"/>
    <n v="0"/>
    <n v="13.3"/>
    <s v="Ecart positif"/>
    <n v="8.9500000000000028"/>
  </r>
  <r>
    <x v="2"/>
    <n v="59"/>
    <x v="0"/>
    <x v="0"/>
    <n v="0"/>
    <n v="0"/>
    <n v="0"/>
    <n v="0"/>
    <x v="1"/>
    <x v="230"/>
    <n v="0.19"/>
    <n v="0"/>
    <n v="0"/>
    <n v="34.200000000000003"/>
    <s v="Ecart positif"/>
    <n v="92.1"/>
  </r>
  <r>
    <x v="0"/>
    <n v="71"/>
    <x v="2"/>
    <x v="0"/>
    <n v="0"/>
    <n v="0"/>
    <n v="0"/>
    <n v="0"/>
    <x v="1"/>
    <x v="144"/>
    <n v="0.26999999999999996"/>
    <n v="0"/>
    <n v="0"/>
    <n v="37.799999999999997"/>
    <s v="Ecart positif"/>
    <n v="73.41"/>
  </r>
  <r>
    <x v="2"/>
    <n v="94"/>
    <x v="2"/>
    <x v="0"/>
    <n v="0"/>
    <n v="0"/>
    <n v="0"/>
    <n v="0"/>
    <x v="1"/>
    <x v="1"/>
    <n v="0"/>
    <n v="0"/>
    <n v="0"/>
    <n v="0"/>
    <s v="Pas d'écart"/>
    <n v="0"/>
  </r>
  <r>
    <x v="2"/>
    <n v="76"/>
    <x v="2"/>
    <x v="0"/>
    <n v="0"/>
    <n v="23.8"/>
    <n v="0.17"/>
    <n v="-23.8"/>
    <x v="0"/>
    <x v="1"/>
    <n v="0"/>
    <n v="23.8"/>
    <n v="0.17"/>
    <n v="-23.8"/>
    <s v="Ecart négatif"/>
    <n v="-1054.32"/>
  </r>
  <r>
    <x v="2"/>
    <n v="27"/>
    <x v="2"/>
    <x v="0"/>
    <n v="0"/>
    <n v="23.8"/>
    <n v="0.17"/>
    <n v="-23.8"/>
    <x v="0"/>
    <x v="40"/>
    <n v="0.17"/>
    <n v="23.8"/>
    <n v="0.17"/>
    <n v="0"/>
    <s v="Pas d'écart"/>
    <n v="0"/>
  </r>
  <r>
    <x v="0"/>
    <n v="56"/>
    <x v="22"/>
    <x v="0"/>
    <n v="0"/>
    <n v="0"/>
    <n v="0"/>
    <n v="0"/>
    <x v="1"/>
    <x v="1"/>
    <n v="0"/>
    <n v="0"/>
    <n v="0"/>
    <n v="0"/>
    <s v="Pas d'écart"/>
    <n v="14.249999999999993"/>
  </r>
  <r>
    <x v="2"/>
    <n v="15"/>
    <x v="2"/>
    <x v="0"/>
    <n v="0"/>
    <n v="16.8"/>
    <n v="0.12000000000000001"/>
    <n v="-16.8"/>
    <x v="0"/>
    <x v="1"/>
    <n v="0"/>
    <n v="16.8"/>
    <n v="0.12000000000000001"/>
    <n v="-16.8"/>
    <s v="Ecart négatif"/>
    <n v="73.41"/>
  </r>
  <r>
    <x v="2"/>
    <n v="73"/>
    <x v="12"/>
    <x v="0"/>
    <n v="0"/>
    <n v="0"/>
    <n v="0"/>
    <n v="0"/>
    <x v="1"/>
    <x v="1"/>
    <n v="0"/>
    <n v="0"/>
    <n v="0"/>
    <n v="0"/>
    <s v="Pas d'écart"/>
    <n v="47.76"/>
  </r>
  <r>
    <x v="0"/>
    <n v="54"/>
    <x v="16"/>
    <x v="0"/>
    <n v="0"/>
    <n v="50"/>
    <n v="0.25"/>
    <n v="-50"/>
    <x v="0"/>
    <x v="231"/>
    <n v="0.23824999999999999"/>
    <n v="50"/>
    <n v="0.25"/>
    <n v="-2.3500000000000014"/>
    <s v="Ecart négatif"/>
    <n v="107.65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0"/>
    <n v="39"/>
    <x v="8"/>
    <x v="0"/>
    <n v="0"/>
    <n v="0"/>
    <n v="0"/>
    <n v="0"/>
    <x v="1"/>
    <x v="1"/>
    <n v="0"/>
    <n v="0"/>
    <n v="0"/>
    <n v="0"/>
    <s v="Pas d'écart"/>
    <n v="66.36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2"/>
    <n v="77"/>
    <x v="8"/>
    <x v="0"/>
    <n v="0"/>
    <n v="0"/>
    <n v="0"/>
    <n v="0"/>
    <x v="1"/>
    <x v="1"/>
    <n v="0"/>
    <n v="0"/>
    <n v="0"/>
    <n v="0"/>
    <s v="Pas d'écart"/>
    <n v="0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6"/>
    <n v="44"/>
    <x v="2"/>
    <x v="0"/>
    <n v="0"/>
    <n v="37.800000000000004"/>
    <n v="0.27"/>
    <n v="-37.800000000000004"/>
    <x v="0"/>
    <x v="144"/>
    <n v="0.26999999999999996"/>
    <n v="37.800000000000004"/>
    <n v="0.27"/>
    <n v="0"/>
    <s v="Pas d'écart"/>
    <n v="0"/>
  </r>
  <r>
    <x v="2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85.09"/>
  </r>
  <r>
    <x v="2"/>
    <n v="54"/>
    <x v="19"/>
    <x v="0"/>
    <n v="0"/>
    <n v="47.5"/>
    <n v="0.25"/>
    <n v="-47.5"/>
    <x v="0"/>
    <x v="53"/>
    <n v="0.25"/>
    <n v="47.5"/>
    <n v="0.25"/>
    <n v="0"/>
    <s v="Pas d'écart"/>
    <n v="99.88"/>
  </r>
  <r>
    <x v="0"/>
    <n v="13"/>
    <x v="6"/>
    <x v="0"/>
    <n v="0"/>
    <n v="30.4"/>
    <n v="0.19"/>
    <n v="-30.4"/>
    <x v="0"/>
    <x v="1"/>
    <n v="0"/>
    <n v="30.4"/>
    <n v="0.19"/>
    <n v="-30.4"/>
    <s v="Ecart négatif"/>
    <n v="76.56"/>
  </r>
  <r>
    <x v="2"/>
    <n v="1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2"/>
    <n v="69"/>
    <x v="2"/>
    <x v="0"/>
    <n v="0"/>
    <n v="0"/>
    <n v="0"/>
    <n v="0"/>
    <x v="1"/>
    <x v="1"/>
    <n v="0"/>
    <n v="0"/>
    <n v="0"/>
    <n v="0"/>
    <s v="Pas d'écart"/>
    <n v="0"/>
  </r>
  <r>
    <x v="2"/>
    <n v="16"/>
    <x v="8"/>
    <x v="0"/>
    <n v="0"/>
    <n v="11.9"/>
    <n v="0.17"/>
    <n v="-11.9"/>
    <x v="0"/>
    <x v="139"/>
    <n v="0.152"/>
    <n v="11.9"/>
    <n v="0.17"/>
    <n v="-1.2599999999999998"/>
    <s v="Ecart négatif"/>
    <n v="66.36"/>
  </r>
  <r>
    <x v="6"/>
    <n v="76"/>
    <x v="0"/>
    <x v="0"/>
    <n v="0"/>
    <n v="30.6"/>
    <n v="0.17"/>
    <n v="-30.6"/>
    <x v="0"/>
    <x v="1"/>
    <n v="0"/>
    <n v="30.6"/>
    <n v="0.17"/>
    <n v="-30.6"/>
    <s v="Ecart négatif"/>
    <n v="0"/>
  </r>
  <r>
    <x v="0"/>
    <n v="63"/>
    <x v="15"/>
    <x v="0"/>
    <n v="0"/>
    <n v="2.4"/>
    <n v="0.12"/>
    <n v="-2.4"/>
    <x v="0"/>
    <x v="192"/>
    <n v="8.7499999999999994E-2"/>
    <n v="2.4"/>
    <n v="0.12"/>
    <n v="-0.64999999999999991"/>
    <s v="Ecart négatif"/>
    <n v="3.620000000000001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13.140000000000008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2"/>
    <n v="75"/>
    <x v="12"/>
    <x v="0"/>
    <n v="0"/>
    <n v="0"/>
    <n v="0"/>
    <n v="0"/>
    <x v="1"/>
    <x v="1"/>
    <n v="0"/>
    <n v="0"/>
    <n v="0"/>
    <n v="0"/>
    <s v="Pas d'écart"/>
    <n v="26.16"/>
  </r>
  <r>
    <x v="2"/>
    <n v="75"/>
    <x v="2"/>
    <x v="0"/>
    <n v="0"/>
    <n v="0"/>
    <n v="0"/>
    <n v="0"/>
    <x v="1"/>
    <x v="1"/>
    <n v="0"/>
    <n v="0"/>
    <n v="0"/>
    <n v="0"/>
    <s v="Pas d'écart"/>
    <n v="0"/>
  </r>
  <r>
    <x v="0"/>
    <n v="13"/>
    <x v="20"/>
    <x v="0"/>
    <n v="0"/>
    <n v="47.5"/>
    <n v="0.19"/>
    <n v="-47.5"/>
    <x v="0"/>
    <x v="1"/>
    <n v="0"/>
    <n v="47.5"/>
    <n v="0.19"/>
    <n v="-47.5"/>
    <s v="Ecart négatif"/>
    <n v="131.1"/>
  </r>
  <r>
    <x v="0"/>
    <n v="45"/>
    <x v="15"/>
    <x v="0"/>
    <n v="0"/>
    <n v="2.4"/>
    <n v="0.12"/>
    <n v="-2.4"/>
    <x v="0"/>
    <x v="39"/>
    <n v="0.254"/>
    <n v="2.4"/>
    <n v="0.12"/>
    <n v="2.68"/>
    <s v="Ecart positif"/>
    <n v="16.27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3"/>
    <x v="9"/>
    <x v="0"/>
    <n v="0"/>
    <n v="0"/>
    <n v="0"/>
    <n v="0"/>
    <x v="1"/>
    <x v="1"/>
    <n v="0"/>
    <n v="0"/>
    <n v="0"/>
    <n v="0"/>
    <s v="Pas d'écart"/>
    <n v="7.5399999999999991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0"/>
    <n v="13"/>
    <x v="8"/>
    <x v="0"/>
    <n v="0"/>
    <n v="13.3"/>
    <n v="0.19"/>
    <n v="-13.3"/>
    <x v="0"/>
    <x v="1"/>
    <n v="0"/>
    <n v="13.3"/>
    <n v="0.19"/>
    <n v="-13.3"/>
    <s v="Ecart négatif"/>
    <n v="44.77"/>
  </r>
  <r>
    <x v="2"/>
    <n v="63"/>
    <x v="12"/>
    <x v="0"/>
    <n v="0"/>
    <n v="4.8"/>
    <n v="0.12"/>
    <n v="-4.8"/>
    <x v="0"/>
    <x v="10"/>
    <n v="0.12"/>
    <n v="4.8"/>
    <n v="0.12"/>
    <n v="0"/>
    <s v="Pas d'écart"/>
    <n v="34.29"/>
  </r>
  <r>
    <x v="8"/>
    <n v="49"/>
    <x v="8"/>
    <x v="0"/>
    <n v="0"/>
    <n v="18.900000000000002"/>
    <n v="0.27"/>
    <n v="-18.900000000000002"/>
    <x v="0"/>
    <x v="1"/>
    <n v="0"/>
    <n v="18.900000000000002"/>
    <n v="0.27"/>
    <n v="-18.900000000000002"/>
    <s v="Ecart négatif"/>
    <n v="16.709999999999994"/>
  </r>
  <r>
    <x v="0"/>
    <n v="44"/>
    <x v="2"/>
    <x v="0"/>
    <n v="0"/>
    <n v="0"/>
    <n v="0"/>
    <n v="0"/>
    <x v="1"/>
    <x v="1"/>
    <n v="0"/>
    <n v="0"/>
    <n v="0"/>
    <n v="0"/>
    <s v="Pas d'écart"/>
    <n v="13.140000000000008"/>
  </r>
  <r>
    <x v="6"/>
    <n v="51"/>
    <x v="11"/>
    <x v="0"/>
    <n v="0"/>
    <n v="15"/>
    <n v="0.25"/>
    <n v="-15"/>
    <x v="0"/>
    <x v="1"/>
    <n v="0"/>
    <n v="15"/>
    <n v="0.25"/>
    <n v="-15"/>
    <s v="Ecart négatif"/>
    <n v="24"/>
  </r>
  <r>
    <x v="2"/>
    <n v="34"/>
    <x v="3"/>
    <x v="0"/>
    <n v="0"/>
    <n v="58.800000000000004"/>
    <n v="0.28000000000000003"/>
    <n v="-58.800000000000004"/>
    <x v="0"/>
    <x v="232"/>
    <n v="0.26861904761904759"/>
    <n v="58.800000000000004"/>
    <n v="0.28000000000000003"/>
    <n v="-2.3900000000000077"/>
    <s v="Ecart négatif"/>
    <n v="146.57"/>
  </r>
  <r>
    <x v="2"/>
    <n v="89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78.8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5"/>
    <n v="57"/>
    <x v="12"/>
    <x v="0"/>
    <n v="0"/>
    <n v="9.6"/>
    <n v="0.24"/>
    <n v="-9.6"/>
    <x v="0"/>
    <x v="1"/>
    <n v="0"/>
    <n v="9.6"/>
    <n v="0.24"/>
    <n v="-9.6"/>
    <s v="Ecart négatif"/>
    <n v="41.47"/>
  </r>
  <r>
    <x v="2"/>
    <n v="67"/>
    <x v="19"/>
    <x v="0"/>
    <n v="0"/>
    <n v="15.200000000000001"/>
    <n v="0.08"/>
    <n v="-15.200000000000001"/>
    <x v="0"/>
    <x v="82"/>
    <n v="7.8052631578947373E-2"/>
    <n v="15.200000000000001"/>
    <n v="0.08"/>
    <n v="-0.37000000000000099"/>
    <s v="Ecart négatif"/>
    <n v="99.88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5"/>
    <n v="45"/>
    <x v="2"/>
    <x v="0"/>
    <n v="0"/>
    <n v="29.4"/>
    <n v="0.21"/>
    <n v="-29.4"/>
    <x v="0"/>
    <x v="1"/>
    <n v="0"/>
    <n v="29.4"/>
    <n v="0.21"/>
    <n v="-29.4"/>
    <s v="Ecart négatif"/>
    <n v="14.68"/>
  </r>
  <r>
    <x v="2"/>
    <n v="37"/>
    <x v="58"/>
    <x v="0"/>
    <n v="0"/>
    <n v="39.6"/>
    <n v="0.12000000000000001"/>
    <n v="-39.6"/>
    <x v="0"/>
    <x v="233"/>
    <n v="0.11818181818181818"/>
    <n v="39.6"/>
    <n v="0.12000000000000001"/>
    <n v="-0.60000000000000142"/>
    <s v="Ecart négatif"/>
    <n v="161.55000000000001"/>
  </r>
  <r>
    <x v="2"/>
    <n v="54"/>
    <x v="5"/>
    <x v="0"/>
    <n v="0"/>
    <n v="2.5"/>
    <n v="0.25"/>
    <n v="-2.5"/>
    <x v="0"/>
    <x v="234"/>
    <n v="0.11299999999999999"/>
    <n v="2.5"/>
    <n v="0.25"/>
    <n v="-1.37"/>
    <s v="Ecart négatif"/>
    <n v="16.3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50"/>
    <x v="20"/>
    <x v="0"/>
    <n v="0"/>
    <n v="42.5"/>
    <n v="0.17"/>
    <n v="-42.5"/>
    <x v="0"/>
    <x v="235"/>
    <n v="0.17"/>
    <n v="42.5"/>
    <n v="0.17"/>
    <n v="0"/>
    <s v="Pas d'écart"/>
    <n v="171.22"/>
  </r>
  <r>
    <x v="0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2"/>
    <n v="76"/>
    <x v="2"/>
    <x v="0"/>
    <n v="0"/>
    <n v="23.8"/>
    <n v="0.17"/>
    <n v="-23.8"/>
    <x v="0"/>
    <x v="40"/>
    <n v="0.17"/>
    <n v="23.8"/>
    <n v="0.17"/>
    <n v="0"/>
    <s v="Pas d'écart"/>
    <n v="65.680000000000007"/>
  </r>
  <r>
    <x v="2"/>
    <n v="75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68"/>
    <x v="3"/>
    <x v="0"/>
    <n v="0"/>
    <n v="16.8"/>
    <n v="0.08"/>
    <n v="-16.8"/>
    <x v="0"/>
    <x v="14"/>
    <n v="7.6952380952380953E-2"/>
    <n v="16.8"/>
    <n v="0.08"/>
    <n v="-0.64000000000000057"/>
    <s v="Ecart négatif"/>
    <n v="0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3"/>
    <x v="0"/>
    <n v="0"/>
    <n v="0"/>
    <n v="0"/>
    <n v="0"/>
    <x v="1"/>
    <x v="1"/>
    <n v="0"/>
    <n v="0"/>
    <n v="0"/>
    <n v="0"/>
    <s v="Pas d'écart"/>
    <n v="22.47"/>
  </r>
  <r>
    <x v="7"/>
    <n v="63"/>
    <x v="10"/>
    <x v="0"/>
    <n v="0"/>
    <n v="43.5"/>
    <n v="0.28999999999999998"/>
    <n v="-43.5"/>
    <x v="0"/>
    <x v="1"/>
    <n v="0"/>
    <n v="43.5"/>
    <n v="0.28999999999999998"/>
    <n v="-43.5"/>
    <s v="Ecart négatif"/>
    <n v="13.759999999999998"/>
  </r>
  <r>
    <x v="4"/>
    <n v="38"/>
    <x v="12"/>
    <x v="463"/>
    <n v="0.22500000000000001"/>
    <n v="10.8"/>
    <n v="0.27"/>
    <n v="-1.8000000000000007"/>
    <x v="0"/>
    <x v="1"/>
    <n v="0"/>
    <n v="10.8"/>
    <n v="0.27"/>
    <n v="-10.8"/>
    <s v="Ecart négatif"/>
    <n v="0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2"/>
    <n v="42"/>
    <x v="2"/>
    <x v="0"/>
    <n v="0"/>
    <n v="0"/>
    <n v="0"/>
    <n v="0"/>
    <x v="1"/>
    <x v="1"/>
    <n v="0"/>
    <n v="0"/>
    <n v="0"/>
    <n v="0"/>
    <s v="Pas d'écart"/>
    <n v="0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2"/>
    <n v="91"/>
    <x v="2"/>
    <x v="0"/>
    <n v="0"/>
    <n v="0"/>
    <n v="0"/>
    <n v="0"/>
    <x v="1"/>
    <x v="1"/>
    <n v="0"/>
    <n v="0"/>
    <n v="0"/>
    <n v="0"/>
    <s v="Pas d'écart"/>
    <n v="52.57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44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38"/>
    <x v="12"/>
    <x v="463"/>
    <n v="0.22500000000000001"/>
    <n v="10.8"/>
    <n v="0.27"/>
    <n v="-1.8000000000000007"/>
    <x v="0"/>
    <x v="1"/>
    <n v="0"/>
    <n v="10.8"/>
    <n v="0.27"/>
    <n v="-10.8"/>
    <s v="Ecart négatif"/>
    <n v="8.2899999999999991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4"/>
    <n v="38"/>
    <x v="12"/>
    <x v="463"/>
    <n v="0.22500000000000001"/>
    <n v="10.8"/>
    <n v="0.27"/>
    <n v="-1.8000000000000007"/>
    <x v="0"/>
    <x v="1"/>
    <n v="0"/>
    <n v="10.8"/>
    <n v="0.27"/>
    <n v="-10.8"/>
    <s v="Ecart négatif"/>
    <n v="0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2"/>
    <n v="76"/>
    <x v="8"/>
    <x v="0"/>
    <n v="0"/>
    <n v="11.9"/>
    <n v="0.17"/>
    <n v="-11.9"/>
    <x v="0"/>
    <x v="17"/>
    <n v="0.17"/>
    <n v="11.9"/>
    <n v="0.17"/>
    <n v="0"/>
    <s v="Pas d'écart"/>
    <n v="44.77"/>
  </r>
  <r>
    <x v="2"/>
    <n v="62"/>
    <x v="7"/>
    <x v="0"/>
    <n v="0"/>
    <n v="0"/>
    <n v="0"/>
    <n v="0"/>
    <x v="1"/>
    <x v="1"/>
    <n v="0"/>
    <n v="0"/>
    <n v="0"/>
    <n v="0"/>
    <s v="Pas d'écart"/>
    <n v="0"/>
  </r>
  <r>
    <x v="6"/>
    <n v="31"/>
    <x v="11"/>
    <x v="0"/>
    <n v="0"/>
    <n v="11.4"/>
    <n v="0.19"/>
    <n v="-11.4"/>
    <x v="0"/>
    <x v="1"/>
    <n v="0"/>
    <n v="11.4"/>
    <n v="0.19"/>
    <n v="-11.4"/>
    <s v="Ecart négatif"/>
    <n v="8.2199999999999989"/>
  </r>
  <r>
    <x v="0"/>
    <n v="68"/>
    <x v="11"/>
    <x v="0"/>
    <n v="0"/>
    <n v="4.8"/>
    <n v="0.08"/>
    <n v="-4.8"/>
    <x v="0"/>
    <x v="1"/>
    <n v="0"/>
    <n v="4.8"/>
    <n v="0.08"/>
    <n v="-4.8"/>
    <s v="Ecart négatif"/>
    <n v="52.78"/>
  </r>
  <r>
    <x v="3"/>
    <n v="49"/>
    <x v="12"/>
    <x v="463"/>
    <n v="0.22500000000000001"/>
    <n v="10.8"/>
    <n v="0.27"/>
    <n v="-1.8000000000000007"/>
    <x v="0"/>
    <x v="1"/>
    <n v="0"/>
    <n v="10.8"/>
    <n v="0.27"/>
    <n v="-10.8"/>
    <s v="Ecart négatif"/>
    <n v="8.2899999999999991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18.340000000000003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2"/>
    <n v="38"/>
    <x v="12"/>
    <x v="0"/>
    <n v="0"/>
    <n v="0"/>
    <n v="0"/>
    <n v="0"/>
    <x v="1"/>
    <x v="1"/>
    <n v="0"/>
    <n v="0"/>
    <n v="0"/>
    <n v="0"/>
    <s v="Pas d'écart"/>
    <n v="0"/>
  </r>
  <r>
    <x v="5"/>
    <n v="68"/>
    <x v="13"/>
    <x v="0"/>
    <n v="0"/>
    <n v="49.3"/>
    <n v="0.28999999999999998"/>
    <n v="-49.3"/>
    <x v="0"/>
    <x v="1"/>
    <n v="0"/>
    <n v="49.3"/>
    <n v="0.28999999999999998"/>
    <n v="-49.3"/>
    <s v="Ecart négatif"/>
    <n v="19.239999999999995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95"/>
    <x v="70"/>
    <x v="0"/>
    <n v="0"/>
    <n v="0"/>
    <n v="0"/>
    <n v="0"/>
    <x v="1"/>
    <x v="1"/>
    <n v="0"/>
    <n v="0"/>
    <n v="0"/>
    <n v="0"/>
    <s v="Pas d'écart"/>
    <e v="#N/A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2"/>
    <n v="35"/>
    <x v="2"/>
    <x v="0"/>
    <n v="0"/>
    <n v="0"/>
    <n v="0"/>
    <n v="0"/>
    <x v="1"/>
    <x v="1"/>
    <n v="0"/>
    <n v="0"/>
    <n v="0"/>
    <n v="0"/>
    <s v="Pas d'écart"/>
    <n v="0"/>
  </r>
  <r>
    <x v="2"/>
    <n v="14"/>
    <x v="19"/>
    <x v="0"/>
    <n v="0"/>
    <n v="32.300000000000004"/>
    <n v="0.17"/>
    <n v="-32.300000000000004"/>
    <x v="0"/>
    <x v="236"/>
    <n v="0.1673157894736842"/>
    <n v="32.300000000000004"/>
    <n v="0.17"/>
    <n v="-0.51000000000000512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34"/>
    <x v="12"/>
    <x v="0"/>
    <n v="0"/>
    <n v="11.200000000000001"/>
    <n v="0.28000000000000003"/>
    <n v="-11.200000000000001"/>
    <x v="0"/>
    <x v="76"/>
    <n v="0.27999999999999997"/>
    <n v="11.200000000000001"/>
    <n v="0.28000000000000003"/>
    <n v="0"/>
    <s v="Pas d'écart"/>
    <n v="0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4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0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2"/>
    <n v="50"/>
    <x v="2"/>
    <x v="0"/>
    <n v="0"/>
    <n v="23.8"/>
    <n v="0.17"/>
    <n v="-23.8"/>
    <x v="0"/>
    <x v="40"/>
    <n v="0.17"/>
    <n v="23.8"/>
    <n v="0.17"/>
    <n v="0"/>
    <s v="Pas d'écart"/>
    <n v="0"/>
  </r>
  <r>
    <x v="2"/>
    <n v="69"/>
    <x v="20"/>
    <x v="0"/>
    <n v="0"/>
    <n v="0"/>
    <n v="0"/>
    <n v="0"/>
    <x v="1"/>
    <x v="1"/>
    <n v="0"/>
    <n v="0"/>
    <n v="0"/>
    <n v="0"/>
    <s v="Pas d'écart"/>
    <n v="131.1"/>
  </r>
  <r>
    <x v="4"/>
    <n v="75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44"/>
    <x v="16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0"/>
    <n v="6"/>
    <x v="58"/>
    <x v="0"/>
    <n v="0"/>
    <n v="69.3"/>
    <n v="0.21"/>
    <n v="-69.3"/>
    <x v="0"/>
    <x v="237"/>
    <n v="0.29545454545454547"/>
    <n v="69.3"/>
    <n v="0.21"/>
    <n v="28.200000000000003"/>
    <s v="Ecart positif"/>
    <n v="40.639999999999986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0"/>
    <n v="6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4.68"/>
  </r>
  <r>
    <x v="0"/>
    <n v="57"/>
    <x v="9"/>
    <x v="0"/>
    <n v="0"/>
    <n v="20"/>
    <n v="0.25"/>
    <n v="-20"/>
    <x v="0"/>
    <x v="143"/>
    <n v="0.24687500000000001"/>
    <n v="20"/>
    <n v="0.25"/>
    <n v="-0.25"/>
    <s v="Ecart négatif"/>
    <n v="14.04"/>
  </r>
  <r>
    <x v="3"/>
    <n v="69"/>
    <x v="12"/>
    <x v="463"/>
    <n v="0.22500000000000001"/>
    <n v="10.8"/>
    <n v="0.27"/>
    <n v="-1.8000000000000007"/>
    <x v="0"/>
    <x v="1"/>
    <n v="0"/>
    <n v="10.8"/>
    <n v="0.27"/>
    <n v="-10.8"/>
    <s v="Ecart négatif"/>
    <n v="6.8599999999999994"/>
  </r>
  <r>
    <x v="4"/>
    <n v="70"/>
    <x v="6"/>
    <x v="465"/>
    <n v="0.22650000000000001"/>
    <n v="38.4"/>
    <n v="0.24"/>
    <n v="-2.1599999999999966"/>
    <x v="0"/>
    <x v="1"/>
    <n v="0"/>
    <n v="38.4"/>
    <n v="0.24"/>
    <n v="-38.4"/>
    <s v="Ecart négatif"/>
    <n v="0"/>
  </r>
  <r>
    <x v="4"/>
    <n v="44"/>
    <x v="15"/>
    <x v="466"/>
    <n v="0.22700000000000001"/>
    <n v="5.4"/>
    <n v="0.27"/>
    <n v="-0.86000000000000032"/>
    <x v="0"/>
    <x v="1"/>
    <n v="0"/>
    <n v="5.4"/>
    <n v="0.27"/>
    <n v="-5.4"/>
    <s v="Ecart négatif"/>
    <n v="0"/>
  </r>
  <r>
    <x v="4"/>
    <n v="69"/>
    <x v="15"/>
    <x v="466"/>
    <n v="0.22700000000000001"/>
    <n v="5.4"/>
    <n v="0.27"/>
    <n v="-0.86000000000000032"/>
    <x v="0"/>
    <x v="1"/>
    <n v="0"/>
    <n v="5.4"/>
    <n v="0.27"/>
    <n v="-5.4"/>
    <s v="Ecart négatif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74"/>
    <x v="15"/>
    <x v="466"/>
    <n v="0.22700000000000001"/>
    <n v="5.2"/>
    <n v="0.26"/>
    <n v="-0.66000000000000014"/>
    <x v="0"/>
    <x v="1"/>
    <n v="0"/>
    <n v="5.2"/>
    <n v="0.26"/>
    <n v="-5.2"/>
    <s v="Ecart négatif"/>
    <n v="0"/>
  </r>
  <r>
    <x v="3"/>
    <n v="88"/>
    <x v="15"/>
    <x v="467"/>
    <n v="0.22900000000000001"/>
    <n v="5.6000000000000005"/>
    <n v="0.28000000000000003"/>
    <n v="-1.0200000000000005"/>
    <x v="0"/>
    <x v="1"/>
    <n v="0"/>
    <n v="5.6000000000000005"/>
    <n v="0.28000000000000003"/>
    <n v="-5.6000000000000005"/>
    <s v="Ecart négatif"/>
    <n v="3.2800000000000011"/>
  </r>
  <r>
    <x v="4"/>
    <n v="25"/>
    <x v="0"/>
    <x v="468"/>
    <n v="0.22905555555555554"/>
    <n v="43.199999999999996"/>
    <n v="0.23999999999999996"/>
    <n v="-1.9699999999999989"/>
    <x v="0"/>
    <x v="1"/>
    <n v="0"/>
    <n v="43.199999999999996"/>
    <n v="0.23999999999999996"/>
    <n v="-43.199999999999996"/>
    <s v="Ecart négatif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25"/>
    <x v="0"/>
    <x v="468"/>
    <n v="0.22905555555555554"/>
    <n v="43.199999999999996"/>
    <n v="0.23999999999999996"/>
    <n v="-1.9699999999999989"/>
    <x v="0"/>
    <x v="1"/>
    <n v="0"/>
    <n v="43.199999999999996"/>
    <n v="0.23999999999999996"/>
    <n v="-43.199999999999996"/>
    <s v="Ecart négatif"/>
    <n v="0"/>
  </r>
  <r>
    <x v="1"/>
    <n v="44"/>
    <x v="1"/>
    <x v="0"/>
    <n v="0"/>
    <n v="32.400000000000006"/>
    <n v="0.27000000000000007"/>
    <n v="-32.400000000000006"/>
    <x v="0"/>
    <x v="1"/>
    <n v="0"/>
    <n v="32.400000000000006"/>
    <n v="0.27000000000000007"/>
    <n v="-32.400000000000006"/>
    <s v="Ecart négatif"/>
    <n v="59.47"/>
  </r>
  <r>
    <x v="1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99.88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2"/>
    <n v="26"/>
    <x v="0"/>
    <x v="0"/>
    <n v="0"/>
    <n v="0"/>
    <n v="0"/>
    <n v="0"/>
    <x v="1"/>
    <x v="1"/>
    <n v="0"/>
    <n v="0"/>
    <n v="0"/>
    <n v="0"/>
    <s v="Pas d'écart"/>
    <n v="0"/>
  </r>
  <r>
    <x v="3"/>
    <n v="25"/>
    <x v="0"/>
    <x v="468"/>
    <n v="0.22905555555555554"/>
    <n v="43.199999999999996"/>
    <n v="0.23999999999999996"/>
    <n v="-1.9699999999999989"/>
    <x v="0"/>
    <x v="1"/>
    <n v="0"/>
    <n v="43.199999999999996"/>
    <n v="0.23999999999999996"/>
    <n v="-43.199999999999996"/>
    <s v="Ecart négatif"/>
    <n v="23.210000000000008"/>
  </r>
  <r>
    <x v="0"/>
    <n v="37"/>
    <x v="0"/>
    <x v="0"/>
    <n v="0"/>
    <n v="21.599999999999998"/>
    <n v="0.11999999999999998"/>
    <n v="-21.599999999999998"/>
    <x v="0"/>
    <x v="6"/>
    <n v="0.12000000000000001"/>
    <n v="21.599999999999998"/>
    <n v="0.11999999999999998"/>
    <n v="0"/>
    <s v="Pas d'écart"/>
    <n v="18.41999999999998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25"/>
    <x v="2"/>
    <x v="469"/>
    <n v="0.22907142857142856"/>
    <n v="33.6"/>
    <n v="0.24000000000000002"/>
    <n v="-1.5300000000000011"/>
    <x v="0"/>
    <x v="1"/>
    <n v="0"/>
    <n v="33.6"/>
    <n v="0.24000000000000002"/>
    <n v="-33.6"/>
    <s v="Ecart négatif"/>
    <n v="15.759999999999998"/>
  </r>
  <r>
    <x v="3"/>
    <n v="58"/>
    <x v="10"/>
    <x v="470"/>
    <n v="0.22913333333333333"/>
    <n v="34.5"/>
    <n v="0.23"/>
    <n v="-0.13000000000000256"/>
    <x v="0"/>
    <x v="1"/>
    <n v="0"/>
    <n v="34.5"/>
    <n v="0.23"/>
    <n v="-34.5"/>
    <s v="Ecart négatif"/>
    <n v="15.900000000000006"/>
  </r>
  <r>
    <x v="3"/>
    <n v="25"/>
    <x v="3"/>
    <x v="471"/>
    <n v="0.22938095238095238"/>
    <n v="50.4"/>
    <n v="0.24"/>
    <n v="-2.2299999999999969"/>
    <x v="0"/>
    <x v="1"/>
    <n v="0"/>
    <n v="50.4"/>
    <n v="0.24"/>
    <n v="-50.4"/>
    <s v="Ecart négatif"/>
    <n v="29.309999999999988"/>
  </r>
  <r>
    <x v="3"/>
    <n v="54"/>
    <x v="15"/>
    <x v="472"/>
    <n v="0.22949999999999998"/>
    <n v="5"/>
    <n v="0.25"/>
    <n v="-0.41000000000000014"/>
    <x v="0"/>
    <x v="1"/>
    <n v="0"/>
    <n v="5"/>
    <n v="0.25"/>
    <n v="-5"/>
    <s v="Ecart négatif"/>
    <n v="3.2800000000000011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0"/>
    <n v="17"/>
    <x v="7"/>
    <x v="0"/>
    <n v="0"/>
    <n v="5.1000000000000005"/>
    <n v="0.17"/>
    <n v="-5.1000000000000005"/>
    <x v="0"/>
    <x v="1"/>
    <n v="0"/>
    <n v="5.1000000000000005"/>
    <n v="0.17"/>
    <n v="-5.1000000000000005"/>
    <s v="Ecart négatif"/>
    <n v="21.15"/>
  </r>
  <r>
    <x v="3"/>
    <n v="54"/>
    <x v="15"/>
    <x v="472"/>
    <n v="0.22949999999999998"/>
    <n v="5"/>
    <n v="0.25"/>
    <n v="-0.41000000000000014"/>
    <x v="0"/>
    <x v="1"/>
    <n v="0"/>
    <n v="5"/>
    <n v="0.25"/>
    <n v="-5"/>
    <s v="Ecart négatif"/>
    <n v="3.2800000000000011"/>
  </r>
  <r>
    <x v="4"/>
    <n v="57"/>
    <x v="15"/>
    <x v="472"/>
    <n v="0.22949999999999998"/>
    <n v="4.8"/>
    <n v="0.24"/>
    <n v="-0.20999999999999996"/>
    <x v="0"/>
    <x v="1"/>
    <n v="0"/>
    <n v="4.8"/>
    <n v="0.24"/>
    <n v="-4.8"/>
    <s v="Ecart négatif"/>
    <n v="0"/>
  </r>
  <r>
    <x v="4"/>
    <n v="94"/>
    <x v="10"/>
    <x v="0"/>
    <n v="0"/>
    <n v="0"/>
    <n v="0"/>
    <n v="0"/>
    <x v="1"/>
    <x v="1"/>
    <n v="0"/>
    <n v="0"/>
    <n v="0"/>
    <n v="0"/>
    <s v="Pas d'écart"/>
    <n v="0"/>
  </r>
  <r>
    <x v="3"/>
    <n v="58"/>
    <x v="34"/>
    <x v="473"/>
    <n v="0.22978260869565217"/>
    <n v="52.900000000000006"/>
    <n v="0.23000000000000004"/>
    <n v="-5.0000000000004263E-2"/>
    <x v="0"/>
    <x v="1"/>
    <n v="0"/>
    <n v="52.900000000000006"/>
    <n v="0.23000000000000004"/>
    <n v="-52.900000000000006"/>
    <s v="Ecart négatif"/>
    <n v="31.779999999999987"/>
  </r>
  <r>
    <x v="4"/>
    <n v="75"/>
    <x v="12"/>
    <x v="0"/>
    <n v="0"/>
    <n v="0"/>
    <n v="0"/>
    <n v="0"/>
    <x v="1"/>
    <x v="1"/>
    <n v="0"/>
    <n v="0"/>
    <n v="0"/>
    <n v="0"/>
    <s v="Pas d'écart"/>
    <n v="0"/>
  </r>
  <r>
    <x v="4"/>
    <n v="51"/>
    <x v="11"/>
    <x v="474"/>
    <n v="0.22983333333333331"/>
    <n v="15"/>
    <n v="0.25"/>
    <n v="-1.2100000000000009"/>
    <x v="0"/>
    <x v="1"/>
    <n v="0"/>
    <n v="15"/>
    <n v="0.25"/>
    <n v="-15"/>
    <s v="Ecart négatif"/>
    <n v="0"/>
  </r>
  <r>
    <x v="4"/>
    <n v="21"/>
    <x v="18"/>
    <x v="475"/>
    <n v="0.22999999999999998"/>
    <n v="21.599999999999998"/>
    <n v="0.23999999999999996"/>
    <n v="-0.89999999999999858"/>
    <x v="0"/>
    <x v="1"/>
    <n v="0"/>
    <n v="21.599999999999998"/>
    <n v="0.23999999999999996"/>
    <n v="-21.599999999999998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3.140000000000008"/>
  </r>
  <r>
    <x v="3"/>
    <n v="94"/>
    <x v="5"/>
    <x v="0"/>
    <n v="0"/>
    <n v="0"/>
    <n v="0"/>
    <n v="0"/>
    <x v="1"/>
    <x v="1"/>
    <n v="0"/>
    <n v="0"/>
    <n v="0"/>
    <n v="0"/>
    <s v="Pas d'écart"/>
    <n v="3.7100000000000009"/>
  </r>
  <r>
    <x v="4"/>
    <n v="57"/>
    <x v="7"/>
    <x v="211"/>
    <n v="0.23033333333333333"/>
    <n v="7.1999999999999993"/>
    <n v="0.23999999999999996"/>
    <n v="-0.28999999999999915"/>
    <x v="0"/>
    <x v="1"/>
    <n v="0"/>
    <n v="7.1999999999999993"/>
    <n v="0.23999999999999996"/>
    <n v="-7.1999999999999993"/>
    <s v="Ecart négatif"/>
    <n v="0"/>
  </r>
  <r>
    <x v="4"/>
    <n v="31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62"/>
    <x v="0"/>
    <x v="0"/>
    <n v="0"/>
    <n v="0"/>
    <n v="0"/>
    <n v="0"/>
    <x v="1"/>
    <x v="1"/>
    <n v="0"/>
    <n v="0"/>
    <n v="0"/>
    <n v="0"/>
    <s v="Pas d'écart"/>
    <n v="0"/>
  </r>
  <r>
    <x v="2"/>
    <n v="55"/>
    <x v="2"/>
    <x v="0"/>
    <n v="0"/>
    <n v="35"/>
    <n v="0.25"/>
    <n v="-35"/>
    <x v="0"/>
    <x v="71"/>
    <n v="0.25"/>
    <n v="35"/>
    <n v="0.25"/>
    <n v="0"/>
    <s v="Pas d'écart"/>
    <n v="0"/>
  </r>
  <r>
    <x v="3"/>
    <n v="89"/>
    <x v="18"/>
    <x v="476"/>
    <n v="0.23055555555555557"/>
    <n v="20.7"/>
    <n v="0.22999999999999998"/>
    <n v="5.0000000000000711E-2"/>
    <x v="2"/>
    <x v="1"/>
    <n v="0"/>
    <n v="20.7"/>
    <n v="0.22999999999999998"/>
    <n v="-20.7"/>
    <s v="Ecart négatif"/>
    <n v="15.04"/>
  </r>
  <r>
    <x v="3"/>
    <n v="78"/>
    <x v="27"/>
    <x v="0"/>
    <n v="0"/>
    <n v="0"/>
    <n v="0"/>
    <n v="0"/>
    <x v="1"/>
    <x v="1"/>
    <n v="0"/>
    <n v="0"/>
    <n v="0"/>
    <n v="0"/>
    <s v="Pas d'écart"/>
    <n v="6.5100000000000016"/>
  </r>
  <r>
    <x v="3"/>
    <n v="21"/>
    <x v="6"/>
    <x v="477"/>
    <n v="0.230625"/>
    <n v="38.4"/>
    <n v="0.24"/>
    <n v="-1.5"/>
    <x v="0"/>
    <x v="1"/>
    <n v="0"/>
    <n v="38.4"/>
    <n v="0.24"/>
    <n v="-38.4"/>
    <s v="Ecart négatif"/>
    <n v="15.310000000000002"/>
  </r>
  <r>
    <x v="4"/>
    <n v="78"/>
    <x v="5"/>
    <x v="0"/>
    <n v="0"/>
    <n v="0"/>
    <n v="0"/>
    <n v="0"/>
    <x v="1"/>
    <x v="1"/>
    <n v="0"/>
    <n v="0"/>
    <n v="0"/>
    <n v="0"/>
    <s v="Pas d'écart"/>
    <n v="0"/>
  </r>
  <r>
    <x v="4"/>
    <n v="57"/>
    <x v="11"/>
    <x v="478"/>
    <n v="0.23066666666666666"/>
    <n v="14.399999999999999"/>
    <n v="0.23999999999999996"/>
    <n v="-0.55999999999999872"/>
    <x v="0"/>
    <x v="1"/>
    <n v="0"/>
    <n v="14.399999999999999"/>
    <n v="0.23999999999999996"/>
    <n v="-14.399999999999999"/>
    <s v="Ecart négatif"/>
    <n v="0"/>
  </r>
  <r>
    <x v="4"/>
    <n v="57"/>
    <x v="1"/>
    <x v="285"/>
    <n v="0.23066666666666666"/>
    <n v="28.799999999999997"/>
    <n v="0.23999999999999996"/>
    <n v="-1.1199999999999974"/>
    <x v="0"/>
    <x v="1"/>
    <n v="0"/>
    <n v="28.799999999999997"/>
    <n v="0.23999999999999996"/>
    <n v="-28.799999999999997"/>
    <s v="Ecart négatif"/>
    <n v="0"/>
  </r>
  <r>
    <x v="3"/>
    <n v="54"/>
    <x v="11"/>
    <x v="478"/>
    <n v="0.23066666666666666"/>
    <n v="15"/>
    <n v="0.25"/>
    <n v="-1.1600000000000001"/>
    <x v="0"/>
    <x v="1"/>
    <n v="0"/>
    <n v="15"/>
    <n v="0.25"/>
    <n v="-15"/>
    <s v="Ecart négatif"/>
    <n v="8.5"/>
  </r>
  <r>
    <x v="1"/>
    <n v="77"/>
    <x v="46"/>
    <x v="0"/>
    <n v="0"/>
    <n v="0"/>
    <n v="0"/>
    <n v="0"/>
    <x v="1"/>
    <x v="1"/>
    <n v="0"/>
    <n v="0"/>
    <n v="0"/>
    <n v="0"/>
    <s v="Pas d'écart"/>
    <n v="125.4"/>
  </r>
  <r>
    <x v="2"/>
    <n v="42"/>
    <x v="0"/>
    <x v="0"/>
    <n v="0"/>
    <n v="0"/>
    <n v="0"/>
    <n v="0"/>
    <x v="1"/>
    <x v="1"/>
    <n v="0"/>
    <n v="0"/>
    <n v="0"/>
    <n v="0"/>
    <s v="Pas d'écart"/>
    <n v="0"/>
  </r>
  <r>
    <x v="0"/>
    <n v="68"/>
    <x v="0"/>
    <x v="0"/>
    <n v="0"/>
    <n v="14.4"/>
    <n v="0.08"/>
    <n v="-14.4"/>
    <x v="0"/>
    <x v="214"/>
    <n v="7.6111111111111102E-2"/>
    <n v="14.4"/>
    <n v="0.08"/>
    <n v="-0.70000000000000107"/>
    <s v="Ecart négatif"/>
    <n v="21.47"/>
  </r>
  <r>
    <x v="2"/>
    <n v="75"/>
    <x v="9"/>
    <x v="0"/>
    <n v="0"/>
    <n v="0"/>
    <n v="0"/>
    <n v="0"/>
    <x v="1"/>
    <x v="1"/>
    <n v="0"/>
    <n v="0"/>
    <n v="0"/>
    <n v="0"/>
    <s v="Pas d'écart"/>
    <n v="0"/>
  </r>
  <r>
    <x v="6"/>
    <n v="94"/>
    <x v="69"/>
    <x v="0"/>
    <n v="0"/>
    <n v="0"/>
    <n v="0"/>
    <n v="0"/>
    <x v="1"/>
    <x v="238"/>
    <n v="0.16924503311258279"/>
    <n v="0"/>
    <n v="0"/>
    <n v="255.56"/>
    <s v="Ecart positif"/>
    <e v="#N/A"/>
  </r>
  <r>
    <x v="0"/>
    <n v="59"/>
    <x v="0"/>
    <x v="0"/>
    <n v="0"/>
    <n v="0"/>
    <n v="0"/>
    <n v="0"/>
    <x v="1"/>
    <x v="1"/>
    <n v="0"/>
    <n v="0"/>
    <n v="0"/>
    <n v="0"/>
    <s v="Pas d'écart"/>
    <n v="18.419999999999987"/>
  </r>
  <r>
    <x v="4"/>
    <n v="75"/>
    <x v="10"/>
    <x v="0"/>
    <n v="0"/>
    <n v="0"/>
    <n v="0"/>
    <n v="0"/>
    <x v="1"/>
    <x v="1"/>
    <n v="0"/>
    <n v="0"/>
    <n v="0"/>
    <n v="0"/>
    <s v="Pas d'écart"/>
    <n v="0"/>
  </r>
  <r>
    <x v="3"/>
    <n v="54"/>
    <x v="11"/>
    <x v="478"/>
    <n v="0.23066666666666666"/>
    <n v="15"/>
    <n v="0.25"/>
    <n v="-1.1600000000000001"/>
    <x v="0"/>
    <x v="1"/>
    <n v="0"/>
    <n v="15"/>
    <n v="0.25"/>
    <n v="-15"/>
    <s v="Ecart négatif"/>
    <n v="8.5"/>
  </r>
  <r>
    <x v="3"/>
    <n v="54"/>
    <x v="11"/>
    <x v="478"/>
    <n v="0.23066666666666666"/>
    <n v="15"/>
    <n v="0.25"/>
    <n v="-1.1600000000000001"/>
    <x v="0"/>
    <x v="1"/>
    <n v="0"/>
    <n v="15"/>
    <n v="0.25"/>
    <n v="-15"/>
    <s v="Ecart négatif"/>
    <n v="8.5"/>
  </r>
  <r>
    <x v="3"/>
    <n v="57"/>
    <x v="11"/>
    <x v="478"/>
    <n v="0.23066666666666666"/>
    <n v="14.399999999999999"/>
    <n v="0.23999999999999996"/>
    <n v="-0.55999999999999872"/>
    <x v="0"/>
    <x v="1"/>
    <n v="0"/>
    <n v="14.399999999999999"/>
    <n v="0.23999999999999996"/>
    <n v="-14.399999999999999"/>
    <s v="Ecart négatif"/>
    <n v="10.560000000000002"/>
  </r>
  <r>
    <x v="3"/>
    <n v="25"/>
    <x v="10"/>
    <x v="479"/>
    <n v="0.23073333333333332"/>
    <n v="36"/>
    <n v="0.24"/>
    <n v="-1.3900000000000006"/>
    <x v="0"/>
    <x v="1"/>
    <n v="0"/>
    <n v="36"/>
    <n v="0.24"/>
    <n v="-36"/>
    <s v="Ecart négatif"/>
    <n v="15.900000000000006"/>
  </r>
  <r>
    <x v="4"/>
    <n v="62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25"/>
    <x v="10"/>
    <x v="479"/>
    <n v="0.23073333333333332"/>
    <n v="36"/>
    <n v="0.24"/>
    <n v="-1.3900000000000006"/>
    <x v="0"/>
    <x v="1"/>
    <n v="0"/>
    <n v="36"/>
    <n v="0.24"/>
    <n v="-36"/>
    <s v="Ecart négatif"/>
    <n v="0"/>
  </r>
  <r>
    <x v="4"/>
    <n v="25"/>
    <x v="10"/>
    <x v="479"/>
    <n v="0.23073333333333332"/>
    <n v="36"/>
    <n v="0.24"/>
    <n v="-1.3900000000000006"/>
    <x v="0"/>
    <x v="1"/>
    <n v="0"/>
    <n v="36"/>
    <n v="0.24"/>
    <n v="-36"/>
    <s v="Ecart négatif"/>
    <n v="0"/>
  </r>
  <r>
    <x v="2"/>
    <n v="59"/>
    <x v="2"/>
    <x v="0"/>
    <n v="0"/>
    <n v="0"/>
    <n v="0"/>
    <n v="0"/>
    <x v="1"/>
    <x v="68"/>
    <n v="0.19"/>
    <n v="0"/>
    <n v="0"/>
    <n v="26.6"/>
    <s v="Ecart posi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4"/>
    <n v="51"/>
    <x v="14"/>
    <x v="480"/>
    <n v="0.2313076923076923"/>
    <n v="32.5"/>
    <n v="0.25"/>
    <n v="-2.4299999999999997"/>
    <x v="0"/>
    <x v="1"/>
    <n v="0"/>
    <n v="32.5"/>
    <n v="0.25"/>
    <n v="-32.5"/>
    <s v="Ecart négatif"/>
    <n v="0"/>
  </r>
  <r>
    <x v="4"/>
    <n v="51"/>
    <x v="14"/>
    <x v="480"/>
    <n v="0.2313076923076923"/>
    <n v="32.5"/>
    <n v="0.25"/>
    <n v="-2.4299999999999997"/>
    <x v="0"/>
    <x v="1"/>
    <n v="0"/>
    <n v="32.5"/>
    <n v="0.25"/>
    <n v="-32.5"/>
    <s v="Ecart négatif"/>
    <n v="0"/>
  </r>
  <r>
    <x v="3"/>
    <n v="54"/>
    <x v="14"/>
    <x v="480"/>
    <n v="0.2313076923076923"/>
    <n v="32.5"/>
    <n v="0.25"/>
    <n v="-2.4299999999999997"/>
    <x v="0"/>
    <x v="1"/>
    <n v="0"/>
    <n v="32.5"/>
    <n v="0.25"/>
    <n v="-32.5"/>
    <s v="Ecart négatif"/>
    <n v="12.519999999999996"/>
  </r>
  <r>
    <x v="4"/>
    <n v="54"/>
    <x v="14"/>
    <x v="480"/>
    <n v="0.2313076923076923"/>
    <n v="32.5"/>
    <n v="0.25"/>
    <n v="-2.4299999999999997"/>
    <x v="0"/>
    <x v="1"/>
    <n v="0"/>
    <n v="32.5"/>
    <n v="0.25"/>
    <n v="-32.5"/>
    <s v="Ecart négatif"/>
    <n v="0"/>
  </r>
  <r>
    <x v="2"/>
    <n v="94"/>
    <x v="18"/>
    <x v="0"/>
    <n v="0"/>
    <n v="0"/>
    <n v="0"/>
    <n v="0"/>
    <x v="1"/>
    <x v="1"/>
    <n v="0"/>
    <n v="0"/>
    <n v="0"/>
    <n v="0"/>
    <s v="Pas d'écart"/>
    <n v="0"/>
  </r>
  <r>
    <x v="4"/>
    <n v="94"/>
    <x v="14"/>
    <x v="0"/>
    <n v="0"/>
    <n v="0"/>
    <n v="0"/>
    <n v="0"/>
    <x v="1"/>
    <x v="1"/>
    <n v="0"/>
    <n v="0"/>
    <n v="0"/>
    <n v="0"/>
    <s v="Pas d'écart"/>
    <n v="0"/>
  </r>
  <r>
    <x v="4"/>
    <n v="56"/>
    <x v="7"/>
    <x v="481"/>
    <n v="0.23133333333333334"/>
    <n v="8.1000000000000014"/>
    <n v="0.27000000000000007"/>
    <n v="-1.160000000000001"/>
    <x v="0"/>
    <x v="1"/>
    <n v="0"/>
    <n v="8.1000000000000014"/>
    <n v="0.27000000000000007"/>
    <n v="-8.1000000000000014"/>
    <s v="Ecart négatif"/>
    <n v="0"/>
  </r>
  <r>
    <x v="3"/>
    <n v="93"/>
    <x v="7"/>
    <x v="0"/>
    <n v="0"/>
    <n v="0"/>
    <n v="0"/>
    <n v="0"/>
    <x v="1"/>
    <x v="1"/>
    <n v="0"/>
    <n v="0"/>
    <n v="0"/>
    <n v="0"/>
    <s v="Pas d'écart"/>
    <n v="4.1700000000000017"/>
  </r>
  <r>
    <x v="0"/>
    <n v="62"/>
    <x v="16"/>
    <x v="0"/>
    <n v="0"/>
    <n v="0"/>
    <n v="0"/>
    <n v="0"/>
    <x v="1"/>
    <x v="1"/>
    <n v="0"/>
    <n v="0"/>
    <n v="0"/>
    <n v="0"/>
    <s v="Pas d'écart"/>
    <n v="129.61000000000001"/>
  </r>
  <r>
    <x v="0"/>
    <n v="51"/>
    <x v="6"/>
    <x v="0"/>
    <n v="0"/>
    <n v="40"/>
    <n v="0.25"/>
    <n v="-40"/>
    <x v="0"/>
    <x v="1"/>
    <n v="0"/>
    <n v="40"/>
    <n v="0.25"/>
    <n v="-40"/>
    <s v="Ecart négatif"/>
    <n v="18.340000000000003"/>
  </r>
  <r>
    <x v="0"/>
    <n v="59"/>
    <x v="19"/>
    <x v="0"/>
    <n v="0"/>
    <n v="0"/>
    <n v="0"/>
    <n v="0"/>
    <x v="1"/>
    <x v="1"/>
    <n v="0"/>
    <n v="0"/>
    <n v="0"/>
    <n v="0"/>
    <s v="Pas d'écart"/>
    <n v="19.97999999999999"/>
  </r>
  <r>
    <x v="4"/>
    <n v="69"/>
    <x v="2"/>
    <x v="60"/>
    <n v="0.26999999999999996"/>
    <n v="37.800000000000004"/>
    <n v="0.27"/>
    <n v="0"/>
    <x v="1"/>
    <x v="1"/>
    <n v="0"/>
    <n v="37.800000000000004"/>
    <n v="0.27"/>
    <n v="-37.800000000000004"/>
    <s v="Ecart négatif"/>
    <n v="0"/>
  </r>
  <r>
    <x v="3"/>
    <n v="25"/>
    <x v="25"/>
    <x v="482"/>
    <n v="0.23163636363636364"/>
    <n v="52.8"/>
    <n v="0.24"/>
    <n v="-1.8399999999999963"/>
    <x v="0"/>
    <x v="1"/>
    <n v="0"/>
    <n v="52.8"/>
    <n v="0.24"/>
    <n v="-52.8"/>
    <s v="Ecart négatif"/>
    <n v="30.549999999999983"/>
  </r>
  <r>
    <x v="3"/>
    <n v="51"/>
    <x v="2"/>
    <x v="483"/>
    <n v="0.25"/>
    <n v="35"/>
    <n v="0.25"/>
    <n v="0"/>
    <x v="1"/>
    <x v="1"/>
    <n v="0"/>
    <n v="35"/>
    <n v="0.25"/>
    <n v="-35"/>
    <s v="Ecart négatif"/>
    <n v="15.759999999999998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3"/>
    <n v="63"/>
    <x v="5"/>
    <x v="484"/>
    <n v="0.23199999999999998"/>
    <n v="2.9"/>
    <n v="0.28999999999999998"/>
    <n v="-0.58000000000000007"/>
    <x v="0"/>
    <x v="1"/>
    <n v="0"/>
    <n v="2.9"/>
    <n v="0.28999999999999998"/>
    <n v="-2.9"/>
    <s v="Ecart négatif"/>
    <n v="3.620000000000001"/>
  </r>
  <r>
    <x v="3"/>
    <n v="35"/>
    <x v="12"/>
    <x v="95"/>
    <n v="0.27"/>
    <n v="10.8"/>
    <n v="0.27"/>
    <n v="0"/>
    <x v="1"/>
    <x v="1"/>
    <n v="0"/>
    <n v="10.8"/>
    <n v="0.27"/>
    <n v="-10.8"/>
    <s v="Ecart négatif"/>
    <n v="8.2899999999999991"/>
  </r>
  <r>
    <x v="3"/>
    <n v="63"/>
    <x v="5"/>
    <x v="484"/>
    <n v="0.23199999999999998"/>
    <n v="2.9"/>
    <n v="0.28999999999999998"/>
    <n v="-0.58000000000000007"/>
    <x v="0"/>
    <x v="1"/>
    <n v="0"/>
    <n v="2.9"/>
    <n v="0.28999999999999998"/>
    <n v="-2.9"/>
    <s v="Ecart négatif"/>
    <n v="3.620000000000001"/>
  </r>
  <r>
    <x v="3"/>
    <n v="63"/>
    <x v="5"/>
    <x v="484"/>
    <n v="0.23199999999999998"/>
    <n v="2.9"/>
    <n v="0.28999999999999998"/>
    <n v="-0.58000000000000007"/>
    <x v="0"/>
    <x v="1"/>
    <n v="0"/>
    <n v="2.9"/>
    <n v="0.28999999999999998"/>
    <n v="-2.9"/>
    <s v="Ecart négatif"/>
    <n v="3.620000000000001"/>
  </r>
  <r>
    <x v="4"/>
    <n v="54"/>
    <x v="14"/>
    <x v="485"/>
    <n v="0.23200000000000001"/>
    <n v="32.5"/>
    <n v="0.25"/>
    <n v="-2.34"/>
    <x v="0"/>
    <x v="1"/>
    <n v="0"/>
    <n v="32.5"/>
    <n v="0.25"/>
    <n v="-32.5"/>
    <s v="Ecart négatif"/>
    <n v="0"/>
  </r>
  <r>
    <x v="4"/>
    <n v="21"/>
    <x v="19"/>
    <x v="486"/>
    <n v="0.23215789473684209"/>
    <n v="45.6"/>
    <n v="0.24000000000000002"/>
    <n v="-1.490000000000002"/>
    <x v="0"/>
    <x v="1"/>
    <n v="0"/>
    <n v="45.6"/>
    <n v="0.24000000000000002"/>
    <n v="-45.6"/>
    <s v="Ecart négatif"/>
    <n v="0"/>
  </r>
  <r>
    <x v="4"/>
    <n v="35"/>
    <x v="11"/>
    <x v="487"/>
    <n v="0.23216666666666666"/>
    <n v="16.200000000000003"/>
    <n v="0.27000000000000007"/>
    <n v="-2.2700000000000031"/>
    <x v="0"/>
    <x v="1"/>
    <n v="0"/>
    <n v="16.200000000000003"/>
    <n v="0.27000000000000007"/>
    <n v="-16.200000000000003"/>
    <s v="Ecart négatif"/>
    <n v="0"/>
  </r>
  <r>
    <x v="2"/>
    <n v="68"/>
    <x v="9"/>
    <x v="0"/>
    <n v="0"/>
    <n v="6.4"/>
    <n v="0.08"/>
    <n v="-6.4"/>
    <x v="0"/>
    <x v="174"/>
    <n v="7.1874999999999994E-2"/>
    <n v="6.4"/>
    <n v="0.08"/>
    <n v="-0.65000000000000036"/>
    <s v="Ecart négatif"/>
    <n v="0"/>
  </r>
  <r>
    <x v="2"/>
    <n v="94"/>
    <x v="0"/>
    <x v="0"/>
    <n v="0"/>
    <n v="0"/>
    <n v="0"/>
    <n v="0"/>
    <x v="1"/>
    <x v="1"/>
    <n v="0"/>
    <n v="0"/>
    <n v="0"/>
    <n v="0"/>
    <s v="Pas d'écart"/>
    <n v="0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6"/>
    <n v="69"/>
    <x v="11"/>
    <x v="489"/>
    <n v="0.23933333333333331"/>
    <n v="16.200000000000003"/>
    <n v="0.27000000000000007"/>
    <n v="-1.8400000000000034"/>
    <x v="0"/>
    <x v="1"/>
    <n v="0"/>
    <n v="16.200000000000003"/>
    <n v="0.27000000000000007"/>
    <n v="-16.200000000000003"/>
    <s v="Ecart négatif"/>
    <n v="42.48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3"/>
    <n v="92"/>
    <x v="18"/>
    <x v="0"/>
    <n v="0"/>
    <n v="0"/>
    <n v="0"/>
    <n v="0"/>
    <x v="1"/>
    <x v="1"/>
    <n v="0"/>
    <n v="0"/>
    <n v="0"/>
    <n v="0"/>
    <s v="Pas d'écart"/>
    <n v="8.0399999999999991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0"/>
    <n v="67"/>
    <x v="12"/>
    <x v="0"/>
    <n v="0"/>
    <n v="3.2"/>
    <n v="0.08"/>
    <n v="-3.2"/>
    <x v="0"/>
    <x v="1"/>
    <n v="0"/>
    <n v="3.2"/>
    <n v="0.08"/>
    <n v="-3.2"/>
    <s v="Ecart négatif"/>
    <n v="6.8599999999999994"/>
  </r>
  <r>
    <x v="4"/>
    <n v="38"/>
    <x v="12"/>
    <x v="95"/>
    <n v="0.27"/>
    <n v="10.8"/>
    <n v="0.27"/>
    <n v="0"/>
    <x v="1"/>
    <x v="1"/>
    <n v="0"/>
    <n v="10.8"/>
    <n v="0.27"/>
    <n v="-10.8"/>
    <s v="Ecart négatif"/>
    <n v="41.47"/>
  </r>
  <r>
    <x v="0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69"/>
    <x v="22"/>
    <x v="0"/>
    <n v="0"/>
    <n v="0"/>
    <n v="0"/>
    <n v="0"/>
    <x v="1"/>
    <x v="1"/>
    <n v="0"/>
    <n v="0"/>
    <n v="0"/>
    <n v="0"/>
    <s v="Pas d'écart"/>
    <n v="53.27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4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0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4"/>
    <x v="12"/>
    <x v="0"/>
    <n v="0"/>
    <n v="7.6"/>
    <n v="0.19"/>
    <n v="-7.6"/>
    <x v="0"/>
    <x v="138"/>
    <n v="0.21600000000000003"/>
    <n v="7.6"/>
    <n v="0.19"/>
    <n v="1.0400000000000009"/>
    <s v="Ecart positif"/>
    <n v="47.76"/>
  </r>
  <r>
    <x v="2"/>
    <n v="21"/>
    <x v="16"/>
    <x v="0"/>
    <n v="0"/>
    <n v="24"/>
    <n v="0.12"/>
    <n v="-24"/>
    <x v="0"/>
    <x v="1"/>
    <n v="0"/>
    <n v="24"/>
    <n v="0.12"/>
    <n v="-24"/>
    <s v="Ecart négatif"/>
    <n v="107.65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76"/>
    <x v="16"/>
    <x v="0"/>
    <n v="0"/>
    <n v="34"/>
    <n v="0.17"/>
    <n v="-34"/>
    <x v="0"/>
    <x v="239"/>
    <n v="0.16574999999999998"/>
    <n v="34"/>
    <n v="0.17"/>
    <n v="-0.85000000000000142"/>
    <s v="Ecart négatif"/>
    <n v="21.53"/>
  </r>
  <r>
    <x v="2"/>
    <n v="38"/>
    <x v="7"/>
    <x v="0"/>
    <n v="0"/>
    <n v="0"/>
    <n v="0"/>
    <n v="0"/>
    <x v="1"/>
    <x v="1"/>
    <n v="0"/>
    <n v="0"/>
    <n v="0"/>
    <n v="0"/>
    <s v="Pas d'écart"/>
    <n v="20.59"/>
  </r>
  <r>
    <x v="2"/>
    <n v="69"/>
    <x v="3"/>
    <x v="0"/>
    <n v="0"/>
    <n v="0"/>
    <n v="0"/>
    <n v="0"/>
    <x v="1"/>
    <x v="1"/>
    <n v="0"/>
    <n v="0"/>
    <n v="0"/>
    <n v="0"/>
    <s v="Pas d'écart"/>
    <n v="112.34"/>
  </r>
  <r>
    <x v="0"/>
    <n v="50"/>
    <x v="0"/>
    <x v="0"/>
    <n v="0"/>
    <n v="30.6"/>
    <n v="0.17"/>
    <n v="-30.6"/>
    <x v="0"/>
    <x v="0"/>
    <n v="0.17"/>
    <n v="30.6"/>
    <n v="0.17"/>
    <n v="0"/>
    <s v="Pas d'écart"/>
    <n v="23.210000000000008"/>
  </r>
  <r>
    <x v="3"/>
    <n v="38"/>
    <x v="7"/>
    <x v="488"/>
    <n v="0.23233333333333334"/>
    <n v="8.1000000000000014"/>
    <n v="0.27000000000000007"/>
    <n v="-1.1300000000000017"/>
    <x v="0"/>
    <x v="1"/>
    <n v="0"/>
    <n v="8.1000000000000014"/>
    <n v="0.27000000000000007"/>
    <n v="-8.1000000000000014"/>
    <s v="Ecart négatif"/>
    <n v="4.120000000000001"/>
  </r>
  <r>
    <x v="0"/>
    <n v="68"/>
    <x v="14"/>
    <x v="0"/>
    <n v="0"/>
    <n v="10.4"/>
    <n v="0.08"/>
    <n v="-10.4"/>
    <x v="0"/>
    <x v="240"/>
    <n v="7.7538461538461542E-2"/>
    <n v="10.4"/>
    <n v="0.08"/>
    <n v="-0.32000000000000028"/>
    <s v="Ecart négatif"/>
    <n v="14.579999999999998"/>
  </r>
  <r>
    <x v="4"/>
    <n v="57"/>
    <x v="14"/>
    <x v="490"/>
    <n v="0.23238461538461538"/>
    <n v="31.2"/>
    <n v="0.24"/>
    <n v="-0.98999999999999844"/>
    <x v="0"/>
    <x v="1"/>
    <n v="0"/>
    <n v="31.2"/>
    <n v="0.24"/>
    <n v="-31.2"/>
    <s v="Ecart négatif"/>
    <n v="0"/>
  </r>
  <r>
    <x v="2"/>
    <n v="86"/>
    <x v="16"/>
    <x v="0"/>
    <n v="0"/>
    <n v="24"/>
    <n v="0.12"/>
    <n v="-24"/>
    <x v="0"/>
    <x v="1"/>
    <n v="0"/>
    <n v="24"/>
    <n v="0.12"/>
    <n v="-24"/>
    <s v="Ecart négatif"/>
    <n v="129.61000000000001"/>
  </r>
  <r>
    <x v="2"/>
    <n v="31"/>
    <x v="27"/>
    <x v="0"/>
    <n v="0"/>
    <n v="13"/>
    <n v="0.26"/>
    <n v="-13"/>
    <x v="0"/>
    <x v="1"/>
    <n v="0"/>
    <n v="13"/>
    <n v="0.26"/>
    <n v="-13"/>
    <s v="Ecart négatif"/>
    <n v="0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24"/>
    <x v="2"/>
    <x v="0"/>
    <n v="0"/>
    <n v="23.8"/>
    <n v="0.17"/>
    <n v="-23.8"/>
    <x v="0"/>
    <x v="40"/>
    <n v="0.17"/>
    <n v="23.8"/>
    <n v="0.17"/>
    <n v="0"/>
    <s v="Pas d'écart"/>
    <n v="73.41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34"/>
    <x v="2"/>
    <x v="0"/>
    <n v="0"/>
    <n v="39.200000000000003"/>
    <n v="0.28000000000000003"/>
    <n v="-39.200000000000003"/>
    <x v="0"/>
    <x v="9"/>
    <n v="0.27171428571428569"/>
    <n v="39.200000000000003"/>
    <n v="0.28000000000000003"/>
    <n v="-1.1600000000000037"/>
    <s v="Ecart négatif"/>
    <n v="15.759999999999998"/>
  </r>
  <r>
    <x v="2"/>
    <n v="59"/>
    <x v="12"/>
    <x v="0"/>
    <n v="0"/>
    <n v="0"/>
    <n v="0"/>
    <n v="0"/>
    <x v="1"/>
    <x v="1"/>
    <n v="0"/>
    <n v="0"/>
    <n v="0"/>
    <n v="0"/>
    <s v="Pas d'écart"/>
    <n v="34.29"/>
  </r>
  <r>
    <x v="2"/>
    <n v="77"/>
    <x v="12"/>
    <x v="0"/>
    <n v="0"/>
    <n v="0"/>
    <n v="0"/>
    <n v="0"/>
    <x v="1"/>
    <x v="1"/>
    <n v="0"/>
    <n v="0"/>
    <n v="0"/>
    <n v="0"/>
    <s v="Pas d'écart"/>
    <n v="0"/>
  </r>
  <r>
    <x v="2"/>
    <n v="77"/>
    <x v="12"/>
    <x v="0"/>
    <n v="0"/>
    <n v="0"/>
    <n v="0"/>
    <n v="0"/>
    <x v="1"/>
    <x v="1"/>
    <n v="0"/>
    <n v="0"/>
    <n v="0"/>
    <n v="0"/>
    <s v="Pas d'écart"/>
    <n v="0"/>
  </r>
  <r>
    <x v="3"/>
    <n v="21"/>
    <x v="19"/>
    <x v="491"/>
    <n v="0.2326842105263158"/>
    <n v="45.6"/>
    <n v="0.24000000000000002"/>
    <n v="-1.3900000000000006"/>
    <x v="0"/>
    <x v="1"/>
    <n v="0"/>
    <n v="45.6"/>
    <n v="0.24000000000000002"/>
    <n v="-45.6"/>
    <s v="Ecart négatif"/>
    <n v="19.97999999999999"/>
  </r>
  <r>
    <x v="2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61"/>
    <x v="12"/>
    <x v="0"/>
    <n v="0"/>
    <n v="6.8000000000000007"/>
    <n v="0.17"/>
    <n v="-6.8000000000000007"/>
    <x v="0"/>
    <x v="241"/>
    <n v="0.15325"/>
    <n v="6.8000000000000007"/>
    <n v="0.17"/>
    <n v="-0.67000000000000082"/>
    <s v="Ecart négatif"/>
    <n v="47.76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2"/>
    <n v="71"/>
    <x v="12"/>
    <x v="0"/>
    <n v="0"/>
    <n v="0"/>
    <n v="0"/>
    <n v="0"/>
    <x v="1"/>
    <x v="1"/>
    <n v="0"/>
    <n v="0"/>
    <n v="0"/>
    <n v="0"/>
    <s v="Pas d'écart"/>
    <n v="41.47"/>
  </r>
  <r>
    <x v="4"/>
    <n v="25"/>
    <x v="3"/>
    <x v="492"/>
    <n v="0.23271428571428571"/>
    <n v="50.4"/>
    <n v="0.24"/>
    <n v="-1.5300000000000011"/>
    <x v="0"/>
    <x v="1"/>
    <n v="0"/>
    <n v="50.4"/>
    <n v="0.24"/>
    <n v="-50.4"/>
    <s v="Ecart négatif"/>
    <n v="0"/>
  </r>
  <r>
    <x v="3"/>
    <n v="26"/>
    <x v="7"/>
    <x v="493"/>
    <n v="0.23399999999999999"/>
    <n v="8.1000000000000014"/>
    <n v="0.27000000000000007"/>
    <n v="-1.0800000000000018"/>
    <x v="0"/>
    <x v="1"/>
    <n v="0"/>
    <n v="8.1000000000000014"/>
    <n v="0.27000000000000007"/>
    <n v="-8.1000000000000014"/>
    <s v="Ecart négatif"/>
    <n v="4.5600000000000023"/>
  </r>
  <r>
    <x v="4"/>
    <n v="70"/>
    <x v="6"/>
    <x v="494"/>
    <n v="0.23399999999999999"/>
    <n v="38.4"/>
    <n v="0.24"/>
    <n v="-0.96000000000000085"/>
    <x v="0"/>
    <x v="1"/>
    <n v="0"/>
    <n v="38.4"/>
    <n v="0.24"/>
    <n v="-38.4"/>
    <s v="Ecart négatif"/>
    <n v="0"/>
  </r>
  <r>
    <x v="2"/>
    <n v="13"/>
    <x v="16"/>
    <x v="0"/>
    <n v="0"/>
    <n v="38"/>
    <n v="0.19"/>
    <n v="-38"/>
    <x v="0"/>
    <x v="1"/>
    <n v="0"/>
    <n v="38"/>
    <n v="0.19"/>
    <n v="-38"/>
    <s v="Ecart négatif"/>
    <n v="107.65"/>
  </r>
  <r>
    <x v="4"/>
    <n v="84"/>
    <x v="7"/>
    <x v="493"/>
    <n v="0.23399999999999999"/>
    <n v="8.6999999999999993"/>
    <n v="0.28999999999999998"/>
    <n v="-1.6799999999999997"/>
    <x v="0"/>
    <x v="1"/>
    <n v="0"/>
    <n v="8.6999999999999993"/>
    <n v="0.28999999999999998"/>
    <n v="-8.6999999999999993"/>
    <s v="Ecart négatif"/>
    <n v="0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2"/>
    <n v="14"/>
    <x v="2"/>
    <x v="0"/>
    <n v="0"/>
    <n v="23.8"/>
    <n v="0.17"/>
    <n v="-23.8"/>
    <x v="0"/>
    <x v="40"/>
    <n v="0.17"/>
    <n v="23.8"/>
    <n v="0.17"/>
    <n v="0"/>
    <s v="Pas d'écart"/>
    <n v="0"/>
  </r>
  <r>
    <x v="2"/>
    <n v="94"/>
    <x v="28"/>
    <x v="0"/>
    <n v="0"/>
    <n v="0"/>
    <n v="0"/>
    <n v="0"/>
    <x v="1"/>
    <x v="1"/>
    <n v="0"/>
    <n v="0"/>
    <n v="0"/>
    <n v="0"/>
    <s v="Pas d'écart"/>
    <n v="0"/>
  </r>
  <r>
    <x v="0"/>
    <n v="14"/>
    <x v="19"/>
    <x v="0"/>
    <n v="0"/>
    <n v="32.300000000000004"/>
    <n v="0.17"/>
    <n v="-32.300000000000004"/>
    <x v="0"/>
    <x v="236"/>
    <n v="0.1673157894736842"/>
    <n v="32.300000000000004"/>
    <n v="0.17"/>
    <n v="-0.51000000000000512"/>
    <s v="Ecart négatif"/>
    <n v="23.700000000000003"/>
  </r>
  <r>
    <x v="4"/>
    <n v="57"/>
    <x v="2"/>
    <x v="495"/>
    <n v="0.23428571428571426"/>
    <n v="33.6"/>
    <n v="0.24000000000000002"/>
    <n v="-0.80000000000000426"/>
    <x v="0"/>
    <x v="1"/>
    <n v="0"/>
    <n v="33.6"/>
    <n v="0.24000000000000002"/>
    <n v="-33.6"/>
    <s v="Ecart négatif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91.69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0"/>
    <n v="21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5"/>
  </r>
  <r>
    <x v="2"/>
    <n v="45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3"/>
    <n v="10"/>
    <x v="14"/>
    <x v="496"/>
    <n v="0.23446153846153847"/>
    <n v="29.900000000000002"/>
    <n v="0.23"/>
    <n v="0.57999999999999829"/>
    <x v="2"/>
    <x v="1"/>
    <n v="0"/>
    <n v="29.900000000000002"/>
    <n v="0.23"/>
    <n v="-29.900000000000002"/>
    <s v="Ecart négatif"/>
    <n v="15.609999999999992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3"/>
    <n v="56"/>
    <x v="27"/>
    <x v="497"/>
    <n v="0.2346"/>
    <n v="13.5"/>
    <n v="0.27"/>
    <n v="-1.7699999999999996"/>
    <x v="0"/>
    <x v="1"/>
    <n v="0"/>
    <n v="13.5"/>
    <n v="0.27"/>
    <n v="-13.5"/>
    <s v="Ecart négatif"/>
    <n v="8.8100000000000023"/>
  </r>
  <r>
    <x v="0"/>
    <n v="14"/>
    <x v="7"/>
    <x v="0"/>
    <n v="0"/>
    <n v="5.1000000000000005"/>
    <n v="0.17"/>
    <n v="-5.1000000000000005"/>
    <x v="0"/>
    <x v="57"/>
    <n v="0.14166666666666666"/>
    <n v="5.1000000000000005"/>
    <n v="0.17"/>
    <n v="-0.85000000000000053"/>
    <s v="Ecart négatif"/>
    <n v="17.34"/>
  </r>
  <r>
    <x v="4"/>
    <n v="69"/>
    <x v="27"/>
    <x v="497"/>
    <n v="0.2346"/>
    <n v="13.5"/>
    <n v="0.27"/>
    <n v="-1.7699999999999996"/>
    <x v="0"/>
    <x v="1"/>
    <n v="0"/>
    <n v="13.5"/>
    <n v="0.27"/>
    <n v="-13.5"/>
    <s v="Ecart négatif"/>
    <n v="0"/>
  </r>
  <r>
    <x v="2"/>
    <n v="59"/>
    <x v="11"/>
    <x v="0"/>
    <n v="0"/>
    <n v="0"/>
    <n v="0"/>
    <n v="0"/>
    <x v="1"/>
    <x v="1"/>
    <n v="0"/>
    <n v="0"/>
    <n v="0"/>
    <n v="0"/>
    <s v="Pas d'écart"/>
    <n v="42.48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51"/>
    <x v="12"/>
    <x v="498"/>
    <n v="0.25"/>
    <n v="10"/>
    <n v="0.25"/>
    <n v="0"/>
    <x v="1"/>
    <x v="1"/>
    <n v="0"/>
    <n v="10"/>
    <n v="0.25"/>
    <n v="-10"/>
    <s v="Ecart négatif"/>
    <n v="9.5499999999999972"/>
  </r>
  <r>
    <x v="4"/>
    <n v="51"/>
    <x v="2"/>
    <x v="273"/>
    <n v="0.23478571428571426"/>
    <n v="35"/>
    <n v="0.25"/>
    <n v="-2.1300000000000026"/>
    <x v="0"/>
    <x v="1"/>
    <n v="0"/>
    <n v="35"/>
    <n v="0.25"/>
    <n v="-35"/>
    <s v="Ecart négatif"/>
    <n v="0"/>
  </r>
  <r>
    <x v="4"/>
    <n v="67"/>
    <x v="12"/>
    <x v="88"/>
    <n v="0.23525000000000001"/>
    <n v="11.6"/>
    <n v="0.28999999999999998"/>
    <n v="-2.1899999999999995"/>
    <x v="0"/>
    <x v="1"/>
    <n v="0"/>
    <n v="11.6"/>
    <n v="0.28999999999999998"/>
    <n v="-11.6"/>
    <s v="Ecart négatif"/>
    <n v="0"/>
  </r>
  <r>
    <x v="0"/>
    <n v="14"/>
    <x v="0"/>
    <x v="0"/>
    <n v="0"/>
    <n v="30.6"/>
    <n v="0.17"/>
    <n v="-30.6"/>
    <x v="0"/>
    <x v="0"/>
    <n v="0.17"/>
    <n v="30.6"/>
    <n v="0.17"/>
    <n v="0"/>
    <s v="Pas d'écart"/>
    <n v="21.47"/>
  </r>
  <r>
    <x v="4"/>
    <n v="93"/>
    <x v="29"/>
    <x v="0"/>
    <n v="0"/>
    <n v="0"/>
    <n v="0"/>
    <n v="0"/>
    <x v="1"/>
    <x v="1"/>
    <n v="0"/>
    <n v="0"/>
    <n v="0"/>
    <n v="0"/>
    <s v="Pas d'écart"/>
    <n v="0"/>
  </r>
  <r>
    <x v="2"/>
    <n v="94"/>
    <x v="7"/>
    <x v="0"/>
    <n v="0"/>
    <n v="0"/>
    <n v="0"/>
    <n v="0"/>
    <x v="1"/>
    <x v="1"/>
    <n v="0"/>
    <n v="0"/>
    <n v="0"/>
    <n v="0"/>
    <s v="Pas d'écart"/>
    <n v="19.510000000000002"/>
  </r>
  <r>
    <x v="0"/>
    <n v="11"/>
    <x v="6"/>
    <x v="0"/>
    <n v="0"/>
    <n v="44.800000000000004"/>
    <n v="0.28000000000000003"/>
    <n v="-44.800000000000004"/>
    <x v="0"/>
    <x v="43"/>
    <n v="0.26424999999999998"/>
    <n v="44.800000000000004"/>
    <n v="0.28000000000000003"/>
    <n v="-2.5200000000000031"/>
    <s v="Ecart négatif"/>
    <n v="17.02000000000001"/>
  </r>
  <r>
    <x v="2"/>
    <n v="76"/>
    <x v="14"/>
    <x v="0"/>
    <n v="0"/>
    <n v="22.1"/>
    <n v="0.17"/>
    <n v="-22.1"/>
    <x v="0"/>
    <x v="229"/>
    <n v="0.16530769230769229"/>
    <n v="22.1"/>
    <n v="0.17"/>
    <n v="-0.61000000000000298"/>
    <s v="Ecart négatif"/>
    <n v="0"/>
  </r>
  <r>
    <x v="3"/>
    <n v="67"/>
    <x v="12"/>
    <x v="88"/>
    <n v="0.23525000000000001"/>
    <n v="11.6"/>
    <n v="0.28999999999999998"/>
    <n v="-2.1899999999999995"/>
    <x v="0"/>
    <x v="1"/>
    <n v="0"/>
    <n v="11.6"/>
    <n v="0.28999999999999998"/>
    <n v="-11.6"/>
    <s v="Ecart négatif"/>
    <n v="6.8599999999999994"/>
  </r>
  <r>
    <x v="4"/>
    <n v="63"/>
    <x v="11"/>
    <x v="499"/>
    <n v="0.28999999999999998"/>
    <n v="17.399999999999999"/>
    <n v="0.28999999999999998"/>
    <n v="0"/>
    <x v="1"/>
    <x v="1"/>
    <n v="0"/>
    <n v="17.399999999999999"/>
    <n v="0.28999999999999998"/>
    <n v="-17.399999999999999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67"/>
    <x v="12"/>
    <x v="88"/>
    <n v="0.23525000000000001"/>
    <n v="11.6"/>
    <n v="0.28999999999999998"/>
    <n v="-2.1899999999999995"/>
    <x v="0"/>
    <x v="1"/>
    <n v="0"/>
    <n v="11.6"/>
    <n v="0.28999999999999998"/>
    <n v="-11.6"/>
    <s v="Ecart négatif"/>
    <n v="6.8599999999999994"/>
  </r>
  <r>
    <x v="3"/>
    <n v="67"/>
    <x v="12"/>
    <x v="88"/>
    <n v="0.23525000000000001"/>
    <n v="11.6"/>
    <n v="0.28999999999999998"/>
    <n v="-2.1899999999999995"/>
    <x v="0"/>
    <x v="1"/>
    <n v="0"/>
    <n v="11.6"/>
    <n v="0.28999999999999998"/>
    <n v="-11.6"/>
    <s v="Ecart négatif"/>
    <n v="6.8599999999999994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8"/>
    <x v="0"/>
    <n v="0"/>
    <n v="18.900000000000002"/>
    <n v="0.27"/>
    <n v="-18.900000000000002"/>
    <x v="0"/>
    <x v="1"/>
    <n v="0"/>
    <n v="18.900000000000002"/>
    <n v="0.27"/>
    <n v="-18.900000000000002"/>
    <s v="Ecart négatif"/>
    <n v="44.77"/>
  </r>
  <r>
    <x v="3"/>
    <n v="62"/>
    <x v="12"/>
    <x v="6"/>
    <n v="0.19"/>
    <n v="7.6"/>
    <n v="0.19"/>
    <n v="0"/>
    <x v="1"/>
    <x v="1"/>
    <n v="0"/>
    <n v="7.6"/>
    <n v="0.19"/>
    <n v="-7.6"/>
    <s v="Ecart négatif"/>
    <n v="8.2899999999999991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2"/>
    <n v="67"/>
    <x v="7"/>
    <x v="0"/>
    <n v="0"/>
    <n v="2.4"/>
    <n v="0.08"/>
    <n v="-2.4"/>
    <x v="0"/>
    <x v="182"/>
    <n v="6.6666666666666666E-2"/>
    <n v="2.4"/>
    <n v="0.08"/>
    <n v="-0.39999999999999991"/>
    <s v="Ecart négatif"/>
    <n v="0"/>
  </r>
  <r>
    <x v="5"/>
    <n v="75"/>
    <x v="0"/>
    <x v="0"/>
    <n v="0"/>
    <n v="0"/>
    <n v="0"/>
    <n v="0"/>
    <x v="1"/>
    <x v="1"/>
    <n v="0"/>
    <n v="0"/>
    <n v="0"/>
    <n v="0"/>
    <s v="Pas d'écart"/>
    <n v="60.27"/>
  </r>
  <r>
    <x v="6"/>
    <n v="35"/>
    <x v="0"/>
    <x v="0"/>
    <n v="0"/>
    <n v="48.6"/>
    <n v="0.27"/>
    <n v="-48.6"/>
    <x v="0"/>
    <x v="1"/>
    <n v="0"/>
    <n v="48.6"/>
    <n v="0.27"/>
    <n v="-48.6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67"/>
    <x v="0"/>
    <x v="500"/>
    <n v="0.29000000000000004"/>
    <n v="52.199999999999996"/>
    <n v="0.28999999999999998"/>
    <n v="0"/>
    <x v="1"/>
    <x v="1"/>
    <n v="0"/>
    <n v="52.199999999999996"/>
    <n v="0.28999999999999998"/>
    <n v="-52.199999999999996"/>
    <s v="Ecart négatif"/>
    <n v="0"/>
  </r>
  <r>
    <x v="1"/>
    <n v="77"/>
    <x v="71"/>
    <x v="0"/>
    <n v="0"/>
    <n v="0"/>
    <n v="0"/>
    <n v="0"/>
    <x v="1"/>
    <x v="1"/>
    <n v="0"/>
    <n v="0"/>
    <n v="0"/>
    <n v="0"/>
    <s v="Pas d'écart"/>
    <e v="#N/A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83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4"/>
    <n v="92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54"/>
    <x v="9"/>
    <x v="501"/>
    <n v="0.23549999999999999"/>
    <n v="20"/>
    <n v="0.25"/>
    <n v="-1.1600000000000001"/>
    <x v="0"/>
    <x v="1"/>
    <n v="0"/>
    <n v="20"/>
    <n v="0.25"/>
    <n v="-20"/>
    <s v="Ecart négatif"/>
    <n v="0"/>
  </r>
  <r>
    <x v="3"/>
    <n v="21"/>
    <x v="2"/>
    <x v="502"/>
    <n v="0.23557142857142854"/>
    <n v="33.6"/>
    <n v="0.24000000000000002"/>
    <n v="-0.62000000000000455"/>
    <x v="0"/>
    <x v="1"/>
    <n v="0"/>
    <n v="33.6"/>
    <n v="0.24000000000000002"/>
    <n v="-33.6"/>
    <s v="Ecart négatif"/>
    <n v="13.140000000000008"/>
  </r>
  <r>
    <x v="6"/>
    <n v="86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0"/>
  </r>
  <r>
    <x v="4"/>
    <n v="75"/>
    <x v="4"/>
    <x v="0"/>
    <n v="0"/>
    <n v="0"/>
    <n v="0"/>
    <n v="0"/>
    <x v="1"/>
    <x v="1"/>
    <n v="0"/>
    <n v="0"/>
    <n v="0"/>
    <n v="0"/>
    <s v="Pas d'écart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51"/>
    <x v="2"/>
    <x v="162"/>
    <n v="0.23571428571428571"/>
    <n v="35"/>
    <n v="0.25"/>
    <n v="-2"/>
    <x v="0"/>
    <x v="1"/>
    <n v="0"/>
    <n v="35"/>
    <n v="0.25"/>
    <n v="-35"/>
    <s v="Ecart négatif"/>
    <n v="13.799999999999997"/>
  </r>
  <r>
    <x v="4"/>
    <n v="57"/>
    <x v="10"/>
    <x v="503"/>
    <n v="0.23606666666666665"/>
    <n v="36"/>
    <n v="0.24"/>
    <n v="-0.59000000000000341"/>
    <x v="0"/>
    <x v="1"/>
    <n v="0"/>
    <n v="36"/>
    <n v="0.24"/>
    <n v="-36"/>
    <s v="Ecart négatif"/>
    <n v="0"/>
  </r>
  <r>
    <x v="4"/>
    <n v="51"/>
    <x v="2"/>
    <x v="504"/>
    <n v="0.23635714285714288"/>
    <n v="35"/>
    <n v="0.25"/>
    <n v="-1.9099999999999966"/>
    <x v="0"/>
    <x v="1"/>
    <n v="0"/>
    <n v="35"/>
    <n v="0.25"/>
    <n v="-35"/>
    <s v="Ecart négatif"/>
    <n v="13.799999999999997"/>
  </r>
  <r>
    <x v="2"/>
    <n v="37"/>
    <x v="12"/>
    <x v="0"/>
    <n v="0"/>
    <n v="4.8"/>
    <n v="0.12"/>
    <n v="-4.8"/>
    <x v="0"/>
    <x v="10"/>
    <n v="0.12"/>
    <n v="4.8"/>
    <n v="0.12"/>
    <n v="0"/>
    <s v="Pas d'écart"/>
    <n v="0"/>
  </r>
  <r>
    <x v="7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19.9799999999999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57"/>
    <x v="14"/>
    <x v="505"/>
    <n v="0.23646153846153845"/>
    <n v="31.2"/>
    <n v="0.24"/>
    <n v="-0.46000000000000085"/>
    <x v="0"/>
    <x v="1"/>
    <n v="0"/>
    <n v="31.2"/>
    <n v="0.24"/>
    <n v="-31.2"/>
    <s v="Ecart négatif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8"/>
    <x v="0"/>
    <n v="0"/>
    <n v="0"/>
    <n v="0"/>
    <n v="0"/>
    <x v="1"/>
    <x v="1"/>
    <n v="0"/>
    <n v="0"/>
    <n v="0"/>
    <n v="0"/>
    <s v="Pas d'écart"/>
    <n v="0"/>
  </r>
  <r>
    <x v="4"/>
    <n v="10"/>
    <x v="2"/>
    <x v="173"/>
    <n v="0.23678571428571427"/>
    <n v="32.200000000000003"/>
    <n v="0.23"/>
    <n v="0.94999999999999574"/>
    <x v="2"/>
    <x v="1"/>
    <n v="0"/>
    <n v="32.200000000000003"/>
    <n v="0.23"/>
    <n v="-32.200000000000003"/>
    <s v="Ecart négatif"/>
    <n v="0"/>
  </r>
  <r>
    <x v="4"/>
    <n v="25"/>
    <x v="72"/>
    <x v="506"/>
    <n v="0.23680392156862745"/>
    <n v="122.39999999999999"/>
    <n v="0.24"/>
    <n v="-1.6299999999999955"/>
    <x v="0"/>
    <x v="1"/>
    <n v="0"/>
    <n v="122.39999999999999"/>
    <n v="0.24"/>
    <n v="-122.39999999999999"/>
    <s v="Ecart négatif"/>
    <e v="#N/A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1"/>
    <n v="77"/>
    <x v="36"/>
    <x v="0"/>
    <n v="0"/>
    <n v="0"/>
    <n v="0"/>
    <n v="0"/>
    <x v="1"/>
    <x v="1"/>
    <n v="0"/>
    <n v="0"/>
    <n v="0"/>
    <n v="0"/>
    <s v="Pas d'écart"/>
    <n v="82.8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0"/>
    <n v="21"/>
    <x v="27"/>
    <x v="0"/>
    <n v="0"/>
    <n v="6"/>
    <n v="0.12"/>
    <n v="-6"/>
    <x v="0"/>
    <x v="242"/>
    <n v="0.1032"/>
    <n v="6"/>
    <n v="0.12"/>
    <n v="-0.83999999999999986"/>
    <s v="Ecart négatif"/>
    <n v="8.0399999999999991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3"/>
    <n v="54"/>
    <x v="6"/>
    <x v="507"/>
    <n v="0.23737499999999997"/>
    <n v="40"/>
    <n v="0.25"/>
    <n v="-2.0200000000000031"/>
    <x v="0"/>
    <x v="1"/>
    <n v="0"/>
    <n v="40"/>
    <n v="0.25"/>
    <n v="-40"/>
    <s v="Ecart négatif"/>
    <n v="15.310000000000002"/>
  </r>
  <r>
    <x v="3"/>
    <n v="54"/>
    <x v="6"/>
    <x v="507"/>
    <n v="0.23737499999999997"/>
    <n v="40"/>
    <n v="0.25"/>
    <n v="-2.0200000000000031"/>
    <x v="0"/>
    <x v="1"/>
    <n v="0"/>
    <n v="40"/>
    <n v="0.25"/>
    <n v="-40"/>
    <s v="Ecart négatif"/>
    <n v="15.310000000000002"/>
  </r>
  <r>
    <x v="4"/>
    <n v="51"/>
    <x v="1"/>
    <x v="508"/>
    <n v="0.23749999999999999"/>
    <n v="30"/>
    <n v="0.25"/>
    <n v="-1.5"/>
    <x v="0"/>
    <x v="1"/>
    <n v="0"/>
    <n v="30"/>
    <n v="0.25"/>
    <n v="-30"/>
    <s v="Ecart négatif"/>
    <n v="0"/>
  </r>
  <r>
    <x v="4"/>
    <n v="54"/>
    <x v="1"/>
    <x v="508"/>
    <n v="0.23749999999999999"/>
    <n v="30"/>
    <n v="0.25"/>
    <n v="-1.5"/>
    <x v="0"/>
    <x v="1"/>
    <n v="0"/>
    <n v="30"/>
    <n v="0.25"/>
    <n v="-30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4"/>
    <n v="89"/>
    <x v="15"/>
    <x v="98"/>
    <n v="0.23749999999999999"/>
    <n v="4.6000000000000005"/>
    <n v="0.23000000000000004"/>
    <n v="0.14999999999999947"/>
    <x v="2"/>
    <x v="1"/>
    <n v="0"/>
    <n v="4.6000000000000005"/>
    <n v="0.23000000000000004"/>
    <n v="-4.6000000000000005"/>
    <s v="Ecart négatif"/>
    <n v="0"/>
  </r>
  <r>
    <x v="4"/>
    <n v="10"/>
    <x v="8"/>
    <x v="180"/>
    <n v="0.23771428571428571"/>
    <n v="16.100000000000001"/>
    <n v="0.23"/>
    <n v="0.53999999999999915"/>
    <x v="2"/>
    <x v="1"/>
    <n v="0"/>
    <n v="16.100000000000001"/>
    <n v="0.23"/>
    <n v="-16.100000000000001"/>
    <s v="Ecart négatif"/>
    <n v="0"/>
  </r>
  <r>
    <x v="4"/>
    <n v="89"/>
    <x v="73"/>
    <x v="509"/>
    <n v="0.23771698113207546"/>
    <n v="121.9"/>
    <n v="0.23"/>
    <n v="4.0899999999999892"/>
    <x v="2"/>
    <x v="1"/>
    <n v="0"/>
    <n v="121.9"/>
    <n v="0.23"/>
    <n v="-121.9"/>
    <s v="Ecart négatif"/>
    <e v="#N/A"/>
  </r>
  <r>
    <x v="4"/>
    <n v="25"/>
    <x v="6"/>
    <x v="510"/>
    <n v="0.2381875"/>
    <n v="38.4"/>
    <n v="0.24"/>
    <n v="-0.28999999999999915"/>
    <x v="0"/>
    <x v="1"/>
    <n v="0"/>
    <n v="38.4"/>
    <n v="0.24"/>
    <n v="-38.4"/>
    <s v="Ecart négatif"/>
    <n v="0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2"/>
    <n v="94"/>
    <x v="0"/>
    <x v="0"/>
    <n v="0"/>
    <n v="0"/>
    <n v="0"/>
    <n v="0"/>
    <x v="1"/>
    <x v="1"/>
    <n v="0"/>
    <n v="0"/>
    <n v="0"/>
    <n v="0"/>
    <s v="Pas d'écart"/>
    <n v="0"/>
  </r>
  <r>
    <x v="4"/>
    <n v="59"/>
    <x v="0"/>
    <x v="137"/>
    <n v="0.19"/>
    <n v="34.200000000000003"/>
    <n v="0.19"/>
    <n v="0"/>
    <x v="1"/>
    <x v="1"/>
    <n v="0"/>
    <n v="34.200000000000003"/>
    <n v="0.19"/>
    <n v="-34.200000000000003"/>
    <s v="Ecart négatif"/>
    <n v="0"/>
  </r>
  <r>
    <x v="3"/>
    <n v="78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25"/>
    <x v="6"/>
    <x v="510"/>
    <n v="0.2381875"/>
    <n v="38.4"/>
    <n v="0.24"/>
    <n v="-0.28999999999999915"/>
    <x v="0"/>
    <x v="1"/>
    <n v="0"/>
    <n v="38.4"/>
    <n v="0.24"/>
    <n v="-38.4"/>
    <s v="Ecart négatif"/>
    <n v="18.340000000000003"/>
  </r>
  <r>
    <x v="2"/>
    <n v="37"/>
    <x v="12"/>
    <x v="0"/>
    <n v="0"/>
    <n v="4.8"/>
    <n v="0.12"/>
    <n v="-4.8"/>
    <x v="0"/>
    <x v="10"/>
    <n v="0.12"/>
    <n v="4.8"/>
    <n v="0.12"/>
    <n v="0"/>
    <s v="Pas d'écart"/>
    <n v="0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0"/>
    <n v="54"/>
    <x v="12"/>
    <x v="0"/>
    <n v="0"/>
    <n v="10"/>
    <n v="0.25"/>
    <n v="-10"/>
    <x v="0"/>
    <x v="149"/>
    <n v="0.23275000000000001"/>
    <n v="10"/>
    <n v="0.25"/>
    <n v="-0.6899999999999995"/>
    <s v="Ecart négatif"/>
    <n v="6.8599999999999994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2"/>
    <n v="54"/>
    <x v="0"/>
    <x v="0"/>
    <n v="0"/>
    <n v="45"/>
    <n v="0.25"/>
    <n v="-45"/>
    <x v="0"/>
    <x v="72"/>
    <n v="0.25"/>
    <n v="45"/>
    <n v="0.25"/>
    <n v="0"/>
    <s v="Pas d'écart"/>
    <n v="0"/>
  </r>
  <r>
    <x v="2"/>
    <n v="38"/>
    <x v="12"/>
    <x v="0"/>
    <n v="0"/>
    <n v="0"/>
    <n v="0"/>
    <n v="0"/>
    <x v="1"/>
    <x v="1"/>
    <n v="0"/>
    <n v="0"/>
    <n v="0"/>
    <n v="0"/>
    <s v="Pas d'écart"/>
    <n v="0"/>
  </r>
  <r>
    <x v="0"/>
    <n v="59"/>
    <x v="25"/>
    <x v="0"/>
    <n v="0"/>
    <n v="0"/>
    <n v="0"/>
    <n v="0"/>
    <x v="1"/>
    <x v="1"/>
    <n v="0"/>
    <n v="0"/>
    <n v="0"/>
    <n v="0"/>
    <s v="Pas d'écart"/>
    <n v="23.409999999999997"/>
  </r>
  <r>
    <x v="0"/>
    <n v="75"/>
    <x v="18"/>
    <x v="0"/>
    <n v="0"/>
    <n v="0"/>
    <n v="0"/>
    <n v="0"/>
    <x v="1"/>
    <x v="1"/>
    <n v="0"/>
    <n v="0"/>
    <n v="0"/>
    <n v="0"/>
    <s v="Pas d'écart"/>
    <n v="8.0399999999999991"/>
  </r>
  <r>
    <x v="4"/>
    <n v="3"/>
    <x v="12"/>
    <x v="511"/>
    <n v="0.23824999999999999"/>
    <n v="11.6"/>
    <n v="0.28999999999999998"/>
    <n v="-2.0700000000000003"/>
    <x v="0"/>
    <x v="1"/>
    <n v="0"/>
    <n v="11.6"/>
    <n v="0.28999999999999998"/>
    <n v="-11.6"/>
    <s v="Ecart négatif"/>
    <n v="0"/>
  </r>
  <r>
    <x v="3"/>
    <n v="13"/>
    <x v="12"/>
    <x v="511"/>
    <n v="0.23824999999999999"/>
    <n v="11.6"/>
    <n v="0.28999999999999998"/>
    <n v="-2.0700000000000003"/>
    <x v="0"/>
    <x v="1"/>
    <n v="0"/>
    <n v="11.6"/>
    <n v="0.28999999999999998"/>
    <n v="-11.6"/>
    <s v="Ecart négatif"/>
    <n v="6.8599999999999994"/>
  </r>
  <r>
    <x v="6"/>
    <n v="77"/>
    <x v="1"/>
    <x v="0"/>
    <n v="0"/>
    <n v="0"/>
    <n v="0"/>
    <n v="0"/>
    <x v="1"/>
    <x v="1"/>
    <n v="0"/>
    <n v="0"/>
    <n v="0"/>
    <n v="0"/>
    <s v="Pas d'écart"/>
    <n v="-11.86"/>
  </r>
  <r>
    <x v="0"/>
    <n v="75"/>
    <x v="7"/>
    <x v="0"/>
    <n v="0"/>
    <n v="0"/>
    <n v="0"/>
    <n v="0"/>
    <x v="1"/>
    <x v="1"/>
    <n v="0"/>
    <n v="0"/>
    <n v="0"/>
    <n v="0"/>
    <s v="Pas d'écart"/>
    <n v="20.87"/>
  </r>
  <r>
    <x v="1"/>
    <n v="44"/>
    <x v="14"/>
    <x v="0"/>
    <n v="0"/>
    <n v="35.1"/>
    <n v="0.27"/>
    <n v="-35.1"/>
    <x v="0"/>
    <x v="1"/>
    <n v="0"/>
    <n v="35.1"/>
    <n v="0.27"/>
    <n v="-35.1"/>
    <s v="Ecart négatif"/>
    <n v="62.58"/>
  </r>
  <r>
    <x v="1"/>
    <n v="44"/>
    <x v="3"/>
    <x v="0"/>
    <n v="0"/>
    <n v="56.7"/>
    <n v="0.27"/>
    <n v="-56.7"/>
    <x v="0"/>
    <x v="1"/>
    <n v="0"/>
    <n v="56.7"/>
    <n v="0.27"/>
    <n v="-56.7"/>
    <s v="Ecart négatif"/>
    <n v="112.34"/>
  </r>
  <r>
    <x v="0"/>
    <n v="59"/>
    <x v="6"/>
    <x v="0"/>
    <n v="0"/>
    <n v="0"/>
    <n v="0"/>
    <n v="0"/>
    <x v="1"/>
    <x v="1"/>
    <n v="0"/>
    <n v="0"/>
    <n v="0"/>
    <n v="0"/>
    <s v="Pas d'écart"/>
    <n v="76.56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0"/>
    <n v="87"/>
    <x v="18"/>
    <x v="0"/>
    <n v="0"/>
    <n v="10.799999999999999"/>
    <n v="0.11999999999999998"/>
    <n v="-10.799999999999999"/>
    <x v="0"/>
    <x v="240"/>
    <n v="0.112"/>
    <n v="10.799999999999999"/>
    <n v="0.11999999999999998"/>
    <n v="-0.71999999999999886"/>
    <s v="Ecart négatif"/>
    <n v="15.04"/>
  </r>
  <r>
    <x v="4"/>
    <n v="77"/>
    <x v="12"/>
    <x v="0"/>
    <n v="0"/>
    <n v="0"/>
    <n v="0"/>
    <n v="0"/>
    <x v="1"/>
    <x v="1"/>
    <n v="0"/>
    <n v="0"/>
    <n v="0"/>
    <n v="0"/>
    <s v="Pas d'écart"/>
    <n v="0"/>
  </r>
  <r>
    <x v="0"/>
    <n v="76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15.310000000000002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70"/>
    <x v="16"/>
    <x v="512"/>
    <n v="0.23870000000000002"/>
    <n v="48"/>
    <n v="0.24"/>
    <n v="-0.25999999999999801"/>
    <x v="0"/>
    <x v="1"/>
    <n v="0"/>
    <n v="48"/>
    <n v="0.24"/>
    <n v="-48"/>
    <s v="Ecart négatif"/>
    <n v="0"/>
  </r>
  <r>
    <x v="4"/>
    <n v="57"/>
    <x v="3"/>
    <x v="513"/>
    <n v="0.2392857142857143"/>
    <n v="50.4"/>
    <n v="0.24"/>
    <n v="-0.14999999999999858"/>
    <x v="0"/>
    <x v="1"/>
    <n v="0"/>
    <n v="50.4"/>
    <n v="0.24"/>
    <n v="-50.4"/>
    <s v="Ecart négatif"/>
    <n v="0"/>
  </r>
  <r>
    <x v="3"/>
    <n v="51"/>
    <x v="18"/>
    <x v="514"/>
    <n v="0.23966666666666667"/>
    <n v="22.5"/>
    <n v="0.25"/>
    <n v="-0.92999999999999972"/>
    <x v="0"/>
    <x v="1"/>
    <n v="0"/>
    <n v="22.5"/>
    <n v="0.25"/>
    <n v="-22.5"/>
    <s v="Ecart négatif"/>
    <n v="15.04"/>
  </r>
  <r>
    <x v="4"/>
    <n v="57"/>
    <x v="9"/>
    <x v="515"/>
    <n v="0.23974999999999999"/>
    <n v="19.2"/>
    <n v="0.24"/>
    <n v="-1.9999999999999574E-2"/>
    <x v="0"/>
    <x v="1"/>
    <n v="0"/>
    <n v="19.2"/>
    <n v="0.24"/>
    <n v="-19.2"/>
    <s v="Ecart négatif"/>
    <n v="0"/>
  </r>
  <r>
    <x v="4"/>
    <n v="57"/>
    <x v="9"/>
    <x v="515"/>
    <n v="0.23974999999999999"/>
    <n v="19.2"/>
    <n v="0.24"/>
    <n v="-1.9999999999999574E-2"/>
    <x v="0"/>
    <x v="1"/>
    <n v="0"/>
    <n v="19.2"/>
    <n v="0.24"/>
    <n v="-19.2"/>
    <s v="Ecart négatif"/>
    <n v="0"/>
  </r>
  <r>
    <x v="4"/>
    <n v="25"/>
    <x v="74"/>
    <x v="516"/>
    <n v="0.23977941176470591"/>
    <n v="163.19999999999999"/>
    <n v="0.24"/>
    <n v="-0.14999999999997726"/>
    <x v="0"/>
    <x v="1"/>
    <n v="0"/>
    <n v="163.19999999999999"/>
    <n v="0.24"/>
    <n v="-163.19999999999999"/>
    <s v="Ecart négatif"/>
    <e v="#N/A"/>
  </r>
  <r>
    <x v="3"/>
    <n v="21"/>
    <x v="19"/>
    <x v="517"/>
    <n v="0.23989473684210524"/>
    <n v="45.6"/>
    <n v="0.24000000000000002"/>
    <n v="-2.0000000000003126E-2"/>
    <x v="0"/>
    <x v="1"/>
    <n v="0"/>
    <n v="45.6"/>
    <n v="0.24000000000000002"/>
    <n v="-45.6"/>
    <s v="Ecart négatif"/>
    <n v="19.97999999999999"/>
  </r>
  <r>
    <x v="7"/>
    <n v="68"/>
    <x v="1"/>
    <x v="0"/>
    <n v="0"/>
    <n v="34.799999999999997"/>
    <n v="0.28999999999999998"/>
    <n v="-34.799999999999997"/>
    <x v="0"/>
    <x v="1"/>
    <n v="0"/>
    <n v="34.799999999999997"/>
    <n v="0.28999999999999998"/>
    <n v="-34.799999999999997"/>
    <s v="Ecart négatif"/>
    <n v="-105.66"/>
  </r>
  <r>
    <x v="0"/>
    <n v="73"/>
    <x v="3"/>
    <x v="0"/>
    <n v="0"/>
    <n v="0"/>
    <n v="0"/>
    <n v="0"/>
    <x v="1"/>
    <x v="1"/>
    <n v="0"/>
    <n v="0"/>
    <n v="0"/>
    <n v="0"/>
    <s v="Pas d'écart"/>
    <n v="29.309999999999988"/>
  </r>
  <r>
    <x v="0"/>
    <n v="73"/>
    <x v="25"/>
    <x v="0"/>
    <n v="0"/>
    <n v="0"/>
    <n v="0"/>
    <n v="0"/>
    <x v="1"/>
    <x v="1"/>
    <n v="0"/>
    <n v="0"/>
    <n v="0"/>
    <n v="0"/>
    <s v="Pas d'écart"/>
    <n v="30.549999999999983"/>
  </r>
  <r>
    <x v="4"/>
    <n v="57"/>
    <x v="8"/>
    <x v="518"/>
    <n v="0.24014285714285713"/>
    <n v="16.8"/>
    <n v="0.24000000000000002"/>
    <n v="9.9999999999980105E-3"/>
    <x v="2"/>
    <x v="1"/>
    <n v="0"/>
    <n v="16.8"/>
    <n v="0.24000000000000002"/>
    <n v="-16.8"/>
    <s v="Ecart négatif"/>
    <n v="0"/>
  </r>
  <r>
    <x v="4"/>
    <n v="54"/>
    <x v="34"/>
    <x v="519"/>
    <n v="0.24021739130434783"/>
    <n v="57.5"/>
    <n v="0.25"/>
    <n v="-2.25"/>
    <x v="0"/>
    <x v="1"/>
    <n v="0"/>
    <n v="57.5"/>
    <n v="0.25"/>
    <n v="-57.5"/>
    <s v="Ecart négatif"/>
    <n v="0"/>
  </r>
  <r>
    <x v="3"/>
    <n v="69"/>
    <x v="11"/>
    <x v="520"/>
    <n v="0.24083333333333332"/>
    <n v="16.200000000000003"/>
    <n v="0.27000000000000007"/>
    <n v="-1.7500000000000036"/>
    <x v="0"/>
    <x v="1"/>
    <n v="0"/>
    <n v="16.200000000000003"/>
    <n v="0.27000000000000007"/>
    <n v="-16.200000000000003"/>
    <s v="Ecart négatif"/>
    <n v="8.5"/>
  </r>
  <r>
    <x v="0"/>
    <n v="62"/>
    <x v="42"/>
    <x v="0"/>
    <n v="0"/>
    <n v="0"/>
    <n v="0"/>
    <n v="0"/>
    <x v="1"/>
    <x v="1"/>
    <n v="0"/>
    <n v="0"/>
    <n v="0"/>
    <n v="0"/>
    <s v="Pas d'écart"/>
    <n v="187.47"/>
  </r>
  <r>
    <x v="3"/>
    <n v="69"/>
    <x v="11"/>
    <x v="520"/>
    <n v="0.24083333333333332"/>
    <n v="16.200000000000003"/>
    <n v="0.27000000000000007"/>
    <n v="-1.7500000000000036"/>
    <x v="0"/>
    <x v="1"/>
    <n v="0"/>
    <n v="16.200000000000003"/>
    <n v="0.27000000000000007"/>
    <n v="-16.200000000000003"/>
    <s v="Ecart négatif"/>
    <n v="8.5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3"/>
    <n v="69"/>
    <x v="11"/>
    <x v="520"/>
    <n v="0.24083333333333332"/>
    <n v="16.200000000000003"/>
    <n v="0.27000000000000007"/>
    <n v="-1.7500000000000036"/>
    <x v="0"/>
    <x v="1"/>
    <n v="0"/>
    <n v="16.200000000000003"/>
    <n v="0.27000000000000007"/>
    <n v="-16.200000000000003"/>
    <s v="Ecart négatif"/>
    <n v="8.5"/>
  </r>
  <r>
    <x v="2"/>
    <n v="59"/>
    <x v="0"/>
    <x v="0"/>
    <n v="0"/>
    <n v="0"/>
    <n v="0"/>
    <n v="0"/>
    <x v="1"/>
    <x v="1"/>
    <n v="0"/>
    <n v="0"/>
    <n v="0"/>
    <n v="0"/>
    <s v="Pas d'écart"/>
    <n v="0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3"/>
    <n v="84"/>
    <x v="12"/>
    <x v="521"/>
    <n v="0.24100000000000002"/>
    <n v="11.6"/>
    <n v="0.28999999999999998"/>
    <n v="-1.9599999999999991"/>
    <x v="0"/>
    <x v="1"/>
    <n v="0"/>
    <n v="11.6"/>
    <n v="0.28999999999999998"/>
    <n v="-11.6"/>
    <s v="Ecart négatif"/>
    <n v="8.2899999999999991"/>
  </r>
  <r>
    <x v="3"/>
    <n v="84"/>
    <x v="12"/>
    <x v="521"/>
    <n v="0.24100000000000002"/>
    <n v="11.6"/>
    <n v="0.28999999999999998"/>
    <n v="-1.9599999999999991"/>
    <x v="0"/>
    <x v="1"/>
    <n v="0"/>
    <n v="11.6"/>
    <n v="0.28999999999999998"/>
    <n v="-11.6"/>
    <s v="Ecart négatif"/>
    <n v="8.2899999999999991"/>
  </r>
  <r>
    <x v="3"/>
    <n v="75"/>
    <x v="18"/>
    <x v="0"/>
    <n v="0"/>
    <n v="0"/>
    <n v="0"/>
    <n v="0"/>
    <x v="1"/>
    <x v="1"/>
    <n v="0"/>
    <n v="0"/>
    <n v="0"/>
    <n v="0"/>
    <s v="Pas d'écart"/>
    <n v="8.0399999999999991"/>
  </r>
  <r>
    <x v="6"/>
    <n v="34"/>
    <x v="1"/>
    <x v="0"/>
    <n v="0"/>
    <n v="46.800000000000004"/>
    <n v="0.39"/>
    <n v="-46.800000000000004"/>
    <x v="0"/>
    <x v="1"/>
    <n v="0"/>
    <n v="46.800000000000004"/>
    <n v="0.39"/>
    <n v="-46.800000000000004"/>
    <s v="Ecart négatif"/>
    <n v="0"/>
  </r>
  <r>
    <x v="0"/>
    <n v="59"/>
    <x v="16"/>
    <x v="0"/>
    <n v="0"/>
    <n v="0"/>
    <n v="0"/>
    <n v="0"/>
    <x v="1"/>
    <x v="1"/>
    <n v="0"/>
    <n v="0"/>
    <n v="0"/>
    <n v="0"/>
    <s v="Pas d'écart"/>
    <n v="21.53"/>
  </r>
  <r>
    <x v="3"/>
    <n v="51"/>
    <x v="19"/>
    <x v="522"/>
    <n v="0.24110526315789474"/>
    <n v="47.5"/>
    <n v="0.25"/>
    <n v="-1.6899999999999977"/>
    <x v="0"/>
    <x v="1"/>
    <n v="0"/>
    <n v="47.5"/>
    <n v="0.25"/>
    <n v="-47.5"/>
    <s v="Ecart négatif"/>
    <n v="25.64"/>
  </r>
  <r>
    <x v="4"/>
    <n v="38"/>
    <x v="7"/>
    <x v="21"/>
    <n v="0.26999999999999996"/>
    <n v="8.1000000000000014"/>
    <n v="0.27000000000000007"/>
    <n v="0"/>
    <x v="1"/>
    <x v="1"/>
    <n v="0"/>
    <n v="8.1000000000000014"/>
    <n v="0.27000000000000007"/>
    <n v="-8.1000000000000014"/>
    <s v="Ecart négatif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4"/>
    <n v="75"/>
    <x v="16"/>
    <x v="0"/>
    <n v="0"/>
    <n v="0"/>
    <n v="0"/>
    <n v="0"/>
    <x v="1"/>
    <x v="1"/>
    <n v="0"/>
    <n v="0"/>
    <n v="0"/>
    <n v="0"/>
    <s v="Pas d'écart"/>
    <n v="0"/>
  </r>
  <r>
    <x v="3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6.8599999999999994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0"/>
    <n v="94"/>
    <x v="7"/>
    <x v="0"/>
    <n v="0"/>
    <n v="0"/>
    <n v="0"/>
    <n v="0"/>
    <x v="1"/>
    <x v="1"/>
    <n v="0"/>
    <n v="0"/>
    <n v="0"/>
    <n v="0"/>
    <s v="Pas d'écart"/>
    <n v="19.510000000000002"/>
  </r>
  <r>
    <x v="0"/>
    <n v="57"/>
    <x v="12"/>
    <x v="0"/>
    <n v="0"/>
    <n v="10"/>
    <n v="0.25"/>
    <n v="-10"/>
    <x v="0"/>
    <x v="31"/>
    <n v="0.25"/>
    <n v="10"/>
    <n v="0.25"/>
    <n v="0"/>
    <s v="Pas d'écart"/>
    <n v="8.2899999999999991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69"/>
    <x v="16"/>
    <x v="0"/>
    <n v="0"/>
    <n v="0"/>
    <n v="0"/>
    <n v="0"/>
    <x v="1"/>
    <x v="1"/>
    <n v="0"/>
    <n v="0"/>
    <n v="0"/>
    <n v="0"/>
    <s v="Pas d'écart"/>
    <n v="107.65"/>
  </r>
  <r>
    <x v="0"/>
    <n v="38"/>
    <x v="3"/>
    <x v="0"/>
    <n v="0"/>
    <n v="0"/>
    <n v="0"/>
    <n v="0"/>
    <x v="1"/>
    <x v="1"/>
    <n v="0"/>
    <n v="0"/>
    <n v="0"/>
    <n v="0"/>
    <s v="Pas d'écart"/>
    <n v="135.19999999999999"/>
  </r>
  <r>
    <x v="2"/>
    <n v="84"/>
    <x v="8"/>
    <x v="0"/>
    <n v="0"/>
    <n v="13.3"/>
    <n v="0.19"/>
    <n v="-13.3"/>
    <x v="0"/>
    <x v="243"/>
    <n v="0.46"/>
    <n v="13.3"/>
    <n v="0.19"/>
    <n v="18.900000000000002"/>
    <s v="Ecart positif"/>
    <n v="61.48"/>
  </r>
  <r>
    <x v="4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0"/>
  </r>
  <r>
    <x v="4"/>
    <n v="88"/>
    <x v="12"/>
    <x v="523"/>
    <n v="0.24174999999999999"/>
    <n v="11.200000000000001"/>
    <n v="0.28000000000000003"/>
    <n v="-1.5300000000000011"/>
    <x v="0"/>
    <x v="1"/>
    <n v="0"/>
    <n v="11.200000000000001"/>
    <n v="0.28000000000000003"/>
    <n v="-11.200000000000001"/>
    <s v="Ecart négatif"/>
    <n v="0"/>
  </r>
  <r>
    <x v="0"/>
    <n v="50"/>
    <x v="16"/>
    <x v="0"/>
    <n v="0"/>
    <n v="34"/>
    <n v="0.17"/>
    <n v="-34"/>
    <x v="0"/>
    <x v="244"/>
    <n v="0.16835"/>
    <n v="34"/>
    <n v="0.17"/>
    <n v="-0.32999999999999829"/>
    <s v="Ecart négatif"/>
    <n v="140.4"/>
  </r>
  <r>
    <x v="2"/>
    <n v="41"/>
    <x v="10"/>
    <x v="0"/>
    <n v="0"/>
    <n v="18"/>
    <n v="0.12"/>
    <n v="-18"/>
    <x v="0"/>
    <x v="1"/>
    <n v="0"/>
    <n v="18"/>
    <n v="0.12"/>
    <n v="-18"/>
    <s v="Ecart négatif"/>
    <n v="73.959999999999994"/>
  </r>
  <r>
    <x v="2"/>
    <n v="29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116.04"/>
  </r>
  <r>
    <x v="2"/>
    <n v="75"/>
    <x v="2"/>
    <x v="0"/>
    <n v="0"/>
    <n v="0"/>
    <n v="0"/>
    <n v="0"/>
    <x v="1"/>
    <x v="1"/>
    <n v="0"/>
    <n v="0"/>
    <n v="0"/>
    <n v="0"/>
    <s v="Pas d'écart"/>
    <n v="0"/>
  </r>
  <r>
    <x v="3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6.8599999999999994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69"/>
    <x v="15"/>
    <x v="0"/>
    <n v="0"/>
    <n v="0"/>
    <n v="0"/>
    <n v="0"/>
    <x v="1"/>
    <x v="1"/>
    <n v="0"/>
    <n v="0"/>
    <n v="0"/>
    <n v="0"/>
    <s v="Pas d'écart"/>
    <n v="17.350000000000001"/>
  </r>
  <r>
    <x v="2"/>
    <n v="2"/>
    <x v="10"/>
    <x v="0"/>
    <n v="0"/>
    <n v="0"/>
    <n v="0"/>
    <n v="0"/>
    <x v="1"/>
    <x v="1"/>
    <n v="0"/>
    <n v="0"/>
    <n v="0"/>
    <n v="0"/>
    <s v="Pas d'écart"/>
    <n v="0"/>
  </r>
  <r>
    <x v="2"/>
    <n v="57"/>
    <x v="13"/>
    <x v="0"/>
    <n v="0"/>
    <n v="42.5"/>
    <n v="0.25"/>
    <n v="-42.5"/>
    <x v="0"/>
    <x v="245"/>
    <n v="0.23676470588235293"/>
    <n v="42.5"/>
    <n v="0.25"/>
    <n v="-2.25"/>
    <s v="Ecart négatif"/>
    <n v="96.22"/>
  </r>
  <r>
    <x v="5"/>
    <n v="57"/>
    <x v="6"/>
    <x v="0"/>
    <n v="0"/>
    <n v="38.4"/>
    <n v="0.24"/>
    <n v="-38.4"/>
    <x v="0"/>
    <x v="209"/>
    <n v="0.2548125"/>
    <n v="38.4"/>
    <n v="0.24"/>
    <n v="2.3700000000000045"/>
    <s v="Ecart positif"/>
    <n v="85.09"/>
  </r>
  <r>
    <x v="5"/>
    <n v="37"/>
    <x v="16"/>
    <x v="0"/>
    <n v="0"/>
    <n v="38"/>
    <n v="0.19"/>
    <n v="-38"/>
    <x v="0"/>
    <x v="1"/>
    <n v="0"/>
    <n v="38"/>
    <n v="0.19"/>
    <n v="-38"/>
    <s v="Ecart négatif"/>
    <n v="21.53"/>
  </r>
  <r>
    <x v="2"/>
    <n v="54"/>
    <x v="2"/>
    <x v="0"/>
    <n v="0"/>
    <n v="35"/>
    <n v="0.25"/>
    <n v="-35"/>
    <x v="0"/>
    <x v="71"/>
    <n v="0.25"/>
    <n v="35"/>
    <n v="0.25"/>
    <n v="0"/>
    <s v="Pas d'écart"/>
    <n v="65.680000000000007"/>
  </r>
  <r>
    <x v="6"/>
    <n v="18"/>
    <x v="6"/>
    <x v="0"/>
    <n v="0"/>
    <n v="33.6"/>
    <n v="0.21000000000000002"/>
    <n v="-33.6"/>
    <x v="0"/>
    <x v="1"/>
    <n v="0"/>
    <n v="33.6"/>
    <n v="0.21000000000000002"/>
    <n v="-33.6"/>
    <s v="Ecart négatif"/>
    <n v="0"/>
  </r>
  <r>
    <x v="0"/>
    <n v="69"/>
    <x v="12"/>
    <x v="0"/>
    <n v="0"/>
    <n v="0"/>
    <n v="0"/>
    <n v="0"/>
    <x v="1"/>
    <x v="1"/>
    <n v="0"/>
    <n v="0"/>
    <n v="0"/>
    <n v="0"/>
    <s v="Pas d'écart"/>
    <n v="6.8599999999999994"/>
  </r>
  <r>
    <x v="2"/>
    <n v="54"/>
    <x v="6"/>
    <x v="0"/>
    <n v="0"/>
    <n v="40"/>
    <n v="0.25"/>
    <n v="-40"/>
    <x v="0"/>
    <x v="156"/>
    <n v="0.23593749999999999"/>
    <n v="40"/>
    <n v="0.25"/>
    <n v="-2.25"/>
    <s v="Ecart négatif"/>
    <n v="0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6.8599999999999994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6"/>
    <n v="67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8.2199999999999989"/>
  </r>
  <r>
    <x v="5"/>
    <n v="95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13"/>
    <x v="19"/>
    <x v="0"/>
    <n v="0"/>
    <n v="36.1"/>
    <n v="0.19"/>
    <n v="-36.1"/>
    <x v="0"/>
    <x v="1"/>
    <n v="0"/>
    <n v="36.1"/>
    <n v="0.19"/>
    <n v="-36.1"/>
    <s v="Ecart négatif"/>
    <n v="99.88"/>
  </r>
  <r>
    <x v="5"/>
    <n v="74"/>
    <x v="11"/>
    <x v="0"/>
    <n v="0"/>
    <n v="15.600000000000001"/>
    <n v="0.26"/>
    <n v="-15.600000000000001"/>
    <x v="0"/>
    <x v="1"/>
    <n v="0"/>
    <n v="15.600000000000001"/>
    <n v="0.26"/>
    <n v="-15.600000000000001"/>
    <s v="Ecart négatif"/>
    <n v="30.849999999999998"/>
  </r>
  <r>
    <x v="0"/>
    <n v="62"/>
    <x v="27"/>
    <x v="0"/>
    <n v="0"/>
    <n v="0"/>
    <n v="0"/>
    <n v="0"/>
    <x v="1"/>
    <x v="129"/>
    <n v="0.19"/>
    <n v="0"/>
    <n v="0"/>
    <n v="9.5"/>
    <s v="Ecart positif"/>
    <n v="8.8100000000000023"/>
  </r>
  <r>
    <x v="0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13.140000000000008"/>
  </r>
  <r>
    <x v="2"/>
    <n v="77"/>
    <x v="2"/>
    <x v="0"/>
    <n v="0"/>
    <n v="0"/>
    <n v="0"/>
    <n v="0"/>
    <x v="1"/>
    <x v="1"/>
    <n v="0"/>
    <n v="0"/>
    <n v="0"/>
    <n v="0"/>
    <s v="Pas d'écart"/>
    <n v="0"/>
  </r>
  <r>
    <x v="3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6.8599999999999994"/>
  </r>
  <r>
    <x v="2"/>
    <n v="59"/>
    <x v="8"/>
    <x v="0"/>
    <n v="0"/>
    <n v="0"/>
    <n v="0"/>
    <n v="0"/>
    <x v="1"/>
    <x v="1"/>
    <n v="0"/>
    <n v="0"/>
    <n v="0"/>
    <n v="0"/>
    <s v="Pas d'écart"/>
    <n v="44.77"/>
  </r>
  <r>
    <x v="7"/>
    <n v="73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25.64"/>
  </r>
  <r>
    <x v="3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6.8599999999999994"/>
  </r>
  <r>
    <x v="5"/>
    <n v="83"/>
    <x v="1"/>
    <x v="0"/>
    <n v="0"/>
    <n v="36"/>
    <n v="0.3"/>
    <n v="-36"/>
    <x v="0"/>
    <x v="1"/>
    <n v="0"/>
    <n v="36"/>
    <n v="0.3"/>
    <n v="-36"/>
    <s v="Ecart négatif"/>
    <n v="14.470000000000006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3"/>
    <n v="13"/>
    <x v="12"/>
    <x v="523"/>
    <n v="0.24174999999999999"/>
    <n v="11.6"/>
    <n v="0.28999999999999998"/>
    <n v="-1.9299999999999997"/>
    <x v="0"/>
    <x v="1"/>
    <n v="0"/>
    <n v="11.6"/>
    <n v="0.28999999999999998"/>
    <n v="-11.6"/>
    <s v="Ecart négatif"/>
    <n v="6.8599999999999994"/>
  </r>
  <r>
    <x v="2"/>
    <n v="76"/>
    <x v="0"/>
    <x v="0"/>
    <n v="0"/>
    <n v="30.6"/>
    <n v="0.17"/>
    <n v="-30.6"/>
    <x v="0"/>
    <x v="0"/>
    <n v="0.17"/>
    <n v="30.6"/>
    <n v="0.17"/>
    <n v="0"/>
    <s v="Pas d'écart"/>
    <n v="92.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0"/>
    <n v="13"/>
    <x v="2"/>
    <x v="0"/>
    <n v="0"/>
    <n v="26.6"/>
    <n v="0.19"/>
    <n v="-26.6"/>
    <x v="0"/>
    <x v="246"/>
    <n v="0.43785714285714283"/>
    <n v="26.6"/>
    <n v="0.19"/>
    <n v="34.699999999999996"/>
    <s v="Ecart positif"/>
    <n v="65.680000000000007"/>
  </r>
  <r>
    <x v="0"/>
    <n v="42"/>
    <x v="33"/>
    <x v="0"/>
    <n v="0"/>
    <n v="0"/>
    <n v="0"/>
    <n v="0"/>
    <x v="1"/>
    <x v="1"/>
    <n v="0"/>
    <n v="0"/>
    <n v="0"/>
    <n v="0"/>
    <s v="Pas d'écart"/>
    <n v="34.850000000000023"/>
  </r>
  <r>
    <x v="4"/>
    <n v="55"/>
    <x v="19"/>
    <x v="524"/>
    <n v="0.24194736842105263"/>
    <n v="47.5"/>
    <n v="0.25"/>
    <n v="-1.5300000000000011"/>
    <x v="0"/>
    <x v="1"/>
    <n v="0"/>
    <n v="47.5"/>
    <n v="0.25"/>
    <n v="-47.5"/>
    <s v="Ecart négatif"/>
    <n v="0"/>
  </r>
  <r>
    <x v="3"/>
    <n v="57"/>
    <x v="25"/>
    <x v="525"/>
    <n v="0.24227272727272725"/>
    <n v="52.8"/>
    <n v="0.24"/>
    <n v="0.5"/>
    <x v="2"/>
    <x v="1"/>
    <n v="0"/>
    <n v="52.8"/>
    <n v="0.24"/>
    <n v="-52.8"/>
    <s v="Ecart négatif"/>
    <n v="28.159999999999997"/>
  </r>
  <r>
    <x v="4"/>
    <n v="51"/>
    <x v="19"/>
    <x v="526"/>
    <n v="0.24236842105263157"/>
    <n v="47.5"/>
    <n v="0.25"/>
    <n v="-1.4500000000000028"/>
    <x v="0"/>
    <x v="1"/>
    <n v="0"/>
    <n v="47.5"/>
    <n v="0.25"/>
    <n v="-47.5"/>
    <s v="Ecart négatif"/>
    <n v="0"/>
  </r>
  <r>
    <x v="4"/>
    <n v="13"/>
    <x v="12"/>
    <x v="527"/>
    <n v="0.24249999999999999"/>
    <n v="11.6"/>
    <n v="0.28999999999999998"/>
    <n v="-1.9000000000000004"/>
    <x v="0"/>
    <x v="1"/>
    <n v="0"/>
    <n v="11.6"/>
    <n v="0.28999999999999998"/>
    <n v="-11.6"/>
    <s v="Ecart négatif"/>
    <n v="0"/>
  </r>
  <r>
    <x v="4"/>
    <n v="51"/>
    <x v="10"/>
    <x v="528"/>
    <n v="0.24333333333333335"/>
    <n v="37.5"/>
    <n v="0.25"/>
    <n v="-1"/>
    <x v="0"/>
    <x v="1"/>
    <n v="0"/>
    <n v="37.5"/>
    <n v="0.25"/>
    <n v="-37.5"/>
    <s v="Ecart négatif"/>
    <n v="0"/>
  </r>
  <r>
    <x v="2"/>
    <n v="72"/>
    <x v="46"/>
    <x v="0"/>
    <n v="0"/>
    <n v="45.6"/>
    <n v="0.12000000000000001"/>
    <n v="-45.6"/>
    <x v="0"/>
    <x v="247"/>
    <n v="0.11742105263157894"/>
    <n v="45.6"/>
    <n v="0.12000000000000001"/>
    <n v="-0.98000000000000398"/>
    <s v="Ecart négatif"/>
    <n v="0"/>
  </r>
  <r>
    <x v="0"/>
    <n v="75"/>
    <x v="12"/>
    <x v="0"/>
    <n v="0"/>
    <n v="0"/>
    <n v="0"/>
    <n v="0"/>
    <x v="1"/>
    <x v="1"/>
    <n v="0"/>
    <n v="0"/>
    <n v="0"/>
    <n v="0"/>
    <s v="Pas d'écart"/>
    <n v="5.23"/>
  </r>
  <r>
    <x v="4"/>
    <n v="51"/>
    <x v="1"/>
    <x v="529"/>
    <n v="0.24341666666666667"/>
    <n v="30"/>
    <n v="0.25"/>
    <n v="-0.78999999999999915"/>
    <x v="0"/>
    <x v="1"/>
    <n v="0"/>
    <n v="30"/>
    <n v="0.25"/>
    <n v="-30"/>
    <s v="Ecart négatif"/>
    <n v="0"/>
  </r>
  <r>
    <x v="3"/>
    <n v="55"/>
    <x v="19"/>
    <x v="530"/>
    <n v="0.24342105263157895"/>
    <n v="47.5"/>
    <n v="0.25"/>
    <n v="-1.25"/>
    <x v="0"/>
    <x v="1"/>
    <n v="0"/>
    <n v="47.5"/>
    <n v="0.25"/>
    <n v="-47.5"/>
    <s v="Ecart négatif"/>
    <n v="23.700000000000003"/>
  </r>
  <r>
    <x v="0"/>
    <n v="21"/>
    <x v="14"/>
    <x v="0"/>
    <n v="0"/>
    <n v="15.6"/>
    <n v="0.12"/>
    <n v="-15.6"/>
    <x v="0"/>
    <x v="1"/>
    <n v="0"/>
    <n v="15.6"/>
    <n v="0.12"/>
    <n v="-15.6"/>
    <s v="Ecart négatif"/>
    <n v="62.58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6"/>
    <x v="12"/>
    <x v="531"/>
    <n v="0.24349999999999999"/>
    <n v="12"/>
    <n v="0.3"/>
    <n v="-2.2599999999999998"/>
    <x v="0"/>
    <x v="1"/>
    <n v="0"/>
    <n v="12"/>
    <n v="0.3"/>
    <n v="-12"/>
    <s v="Ecart négatif"/>
    <n v="9.5499999999999972"/>
  </r>
  <r>
    <x v="3"/>
    <n v="6"/>
    <x v="12"/>
    <x v="531"/>
    <n v="0.24349999999999999"/>
    <n v="12"/>
    <n v="0.3"/>
    <n v="-2.2599999999999998"/>
    <x v="0"/>
    <x v="1"/>
    <n v="0"/>
    <n v="12"/>
    <n v="0.3"/>
    <n v="-12"/>
    <s v="Ecart négatif"/>
    <n v="9.5499999999999972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6"/>
    <x v="8"/>
    <x v="0"/>
    <n v="0"/>
    <n v="14.7"/>
    <n v="0.21"/>
    <n v="-14.7"/>
    <x v="0"/>
    <x v="58"/>
    <n v="0.2742857142857143"/>
    <n v="14.7"/>
    <n v="0.21"/>
    <n v="4.5"/>
    <s v="Ecart positif"/>
    <n v="13.269999999999996"/>
  </r>
  <r>
    <x v="2"/>
    <n v="66"/>
    <x v="8"/>
    <x v="0"/>
    <n v="0"/>
    <n v="19.600000000000001"/>
    <n v="0.28000000000000003"/>
    <n v="-19.600000000000001"/>
    <x v="0"/>
    <x v="248"/>
    <n v="0.28000000000000003"/>
    <n v="19.600000000000001"/>
    <n v="0.28000000000000003"/>
    <n v="0"/>
    <s v="Pas d'écart"/>
    <n v="0"/>
  </r>
  <r>
    <x v="4"/>
    <n v="13"/>
    <x v="12"/>
    <x v="531"/>
    <n v="0.24349999999999999"/>
    <n v="11.6"/>
    <n v="0.28999999999999998"/>
    <n v="-1.8599999999999994"/>
    <x v="0"/>
    <x v="1"/>
    <n v="0"/>
    <n v="11.6"/>
    <n v="0.28999999999999998"/>
    <n v="-11.6"/>
    <s v="Ecart négatif"/>
    <n v="0"/>
  </r>
  <r>
    <x v="4"/>
    <n v="54"/>
    <x v="14"/>
    <x v="532"/>
    <n v="0.24353846153846154"/>
    <n v="32.5"/>
    <n v="0.25"/>
    <n v="-0.83999999999999986"/>
    <x v="0"/>
    <x v="1"/>
    <n v="0"/>
    <n v="32.5"/>
    <n v="0.25"/>
    <n v="-32.5"/>
    <s v="Ecart négatif"/>
    <n v="0"/>
  </r>
  <r>
    <x v="3"/>
    <n v="51"/>
    <x v="2"/>
    <x v="533"/>
    <n v="0.24399999999999997"/>
    <n v="35"/>
    <n v="0.25"/>
    <n v="-0.84000000000000341"/>
    <x v="0"/>
    <x v="1"/>
    <n v="0"/>
    <n v="35"/>
    <n v="0.25"/>
    <n v="-35"/>
    <s v="Ecart négatif"/>
    <n v="15.759999999999998"/>
  </r>
  <r>
    <x v="3"/>
    <n v="51"/>
    <x v="2"/>
    <x v="533"/>
    <n v="0.24399999999999997"/>
    <n v="35"/>
    <n v="0.25"/>
    <n v="-0.84000000000000341"/>
    <x v="0"/>
    <x v="1"/>
    <n v="0"/>
    <n v="35"/>
    <n v="0.25"/>
    <n v="-35"/>
    <s v="Ecart négatif"/>
    <n v="15.75999999999999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54"/>
    <x v="14"/>
    <x v="534"/>
    <n v="0.24453846153846154"/>
    <n v="32.5"/>
    <n v="0.25"/>
    <n v="-0.71000000000000085"/>
    <x v="0"/>
    <x v="1"/>
    <n v="0"/>
    <n v="32.5"/>
    <n v="0.25"/>
    <n v="-32.5"/>
    <s v="Ecart négatif"/>
    <n v="12.519999999999996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1"/>
    <n v="44"/>
    <x v="14"/>
    <x v="0"/>
    <n v="0"/>
    <n v="35.1"/>
    <n v="0.27"/>
    <n v="-35.1"/>
    <x v="0"/>
    <x v="1"/>
    <n v="0"/>
    <n v="35.1"/>
    <n v="0.27"/>
    <n v="-35.1"/>
    <s v="Ecart négatif"/>
    <n v="62.58"/>
  </r>
  <r>
    <x v="9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3"/>
    <n v="67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6.8599999999999994"/>
  </r>
  <r>
    <x v="4"/>
    <n v="61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94"/>
    <x v="16"/>
    <x v="0"/>
    <n v="0"/>
    <n v="0"/>
    <n v="0"/>
    <n v="0"/>
    <x v="1"/>
    <x v="1"/>
    <n v="0"/>
    <n v="0"/>
    <n v="0"/>
    <n v="0"/>
    <s v="Pas d'écart"/>
    <n v="0"/>
  </r>
  <r>
    <x v="2"/>
    <n v="45"/>
    <x v="6"/>
    <x v="0"/>
    <n v="0"/>
    <n v="19.2"/>
    <n v="0.12"/>
    <n v="-19.2"/>
    <x v="0"/>
    <x v="1"/>
    <n v="0"/>
    <n v="19.2"/>
    <n v="0.12"/>
    <n v="-19.2"/>
    <s v="Ecart négatif"/>
    <n v="85.09"/>
  </r>
  <r>
    <x v="2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51"/>
    <x v="2"/>
    <x v="535"/>
    <n v="0.24464285714285713"/>
    <n v="35"/>
    <n v="0.25"/>
    <n v="-0.75"/>
    <x v="0"/>
    <x v="1"/>
    <n v="0"/>
    <n v="35"/>
    <n v="0.25"/>
    <n v="-35"/>
    <s v="Ecart négatif"/>
    <n v="15.759999999999998"/>
  </r>
  <r>
    <x v="4"/>
    <n v="14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57"/>
    <x v="6"/>
    <x v="536"/>
    <n v="0.24474999999999997"/>
    <n v="38.4"/>
    <n v="0.24"/>
    <n v="0.75999999999999801"/>
    <x v="2"/>
    <x v="1"/>
    <n v="0"/>
    <n v="38.4"/>
    <n v="0.24"/>
    <n v="-38.4"/>
    <s v="Ecart négatif"/>
    <n v="0"/>
  </r>
  <r>
    <x v="4"/>
    <n v="7"/>
    <x v="11"/>
    <x v="537"/>
    <n v="0.24566666666666667"/>
    <n v="16.200000000000003"/>
    <n v="0.27000000000000007"/>
    <n v="-1.4600000000000026"/>
    <x v="0"/>
    <x v="1"/>
    <n v="0"/>
    <n v="16.200000000000003"/>
    <n v="0.27000000000000007"/>
    <n v="-16.200000000000003"/>
    <s v="Ecart négatif"/>
    <n v="0"/>
  </r>
  <r>
    <x v="2"/>
    <n v="57"/>
    <x v="0"/>
    <x v="0"/>
    <n v="0"/>
    <n v="45"/>
    <n v="0.25"/>
    <n v="-45"/>
    <x v="0"/>
    <x v="102"/>
    <n v="0.08"/>
    <n v="45"/>
    <n v="0.25"/>
    <n v="-30.6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51"/>
    <x v="12"/>
    <x v="538"/>
    <n v="0.246"/>
    <n v="10"/>
    <n v="0.25"/>
    <n v="-0.16000000000000014"/>
    <x v="0"/>
    <x v="1"/>
    <n v="0"/>
    <n v="10"/>
    <n v="0.25"/>
    <n v="-10"/>
    <s v="Ecart négatif"/>
    <n v="0"/>
  </r>
  <r>
    <x v="2"/>
    <n v="37"/>
    <x v="8"/>
    <x v="0"/>
    <n v="0"/>
    <n v="8.4"/>
    <n v="0.12000000000000001"/>
    <n v="-8.4"/>
    <x v="0"/>
    <x v="1"/>
    <n v="0"/>
    <n v="8.4"/>
    <n v="0.12000000000000001"/>
    <n v="-8.4"/>
    <s v="Ecart négatif"/>
    <n v="0"/>
  </r>
  <r>
    <x v="6"/>
    <n v="35"/>
    <x v="11"/>
    <x v="0"/>
    <n v="0"/>
    <n v="16.200000000000003"/>
    <n v="0.27000000000000007"/>
    <n v="-16.200000000000003"/>
    <x v="0"/>
    <x v="249"/>
    <n v="0.15583333333333332"/>
    <n v="16.200000000000003"/>
    <n v="0.27000000000000007"/>
    <n v="-6.8500000000000032"/>
    <s v="Ecart négatif"/>
    <n v="52.78"/>
  </r>
  <r>
    <x v="3"/>
    <n v="51"/>
    <x v="19"/>
    <x v="539"/>
    <n v="0.24663157894736842"/>
    <n v="47.5"/>
    <n v="0.25"/>
    <n v="-0.64000000000000057"/>
    <x v="0"/>
    <x v="1"/>
    <n v="0"/>
    <n v="47.5"/>
    <n v="0.25"/>
    <n v="-47.5"/>
    <s v="Ecart négatif"/>
    <n v="25.64"/>
  </r>
  <r>
    <x v="2"/>
    <n v="49"/>
    <x v="6"/>
    <x v="0"/>
    <n v="0"/>
    <n v="0"/>
    <n v="0"/>
    <n v="0"/>
    <x v="1"/>
    <x v="209"/>
    <n v="0.2548125"/>
    <n v="0"/>
    <n v="0"/>
    <n v="40.770000000000003"/>
    <s v="Ecart positif"/>
    <n v="85.09"/>
  </r>
  <r>
    <x v="3"/>
    <n v="51"/>
    <x v="2"/>
    <x v="540"/>
    <n v="0.24664285714285716"/>
    <n v="35"/>
    <n v="0.25"/>
    <n v="-0.46999999999999886"/>
    <x v="0"/>
    <x v="1"/>
    <n v="0"/>
    <n v="35"/>
    <n v="0.25"/>
    <n v="-35"/>
    <s v="Ecart négatif"/>
    <n v="15.759999999999998"/>
  </r>
  <r>
    <x v="0"/>
    <n v="54"/>
    <x v="2"/>
    <x v="0"/>
    <n v="0"/>
    <n v="35"/>
    <n v="0.25"/>
    <n v="-35"/>
    <x v="0"/>
    <x v="71"/>
    <n v="0.25"/>
    <n v="35"/>
    <n v="0.25"/>
    <n v="0"/>
    <s v="Pas d'écart"/>
    <n v="13.140000000000008"/>
  </r>
  <r>
    <x v="4"/>
    <n v="13"/>
    <x v="12"/>
    <x v="541"/>
    <n v="0.24725000000000003"/>
    <n v="11.6"/>
    <n v="0.28999999999999998"/>
    <n v="-1.7099999999999991"/>
    <x v="0"/>
    <x v="1"/>
    <n v="0"/>
    <n v="11.6"/>
    <n v="0.28999999999999998"/>
    <n v="-11.6"/>
    <s v="Ecart négatif"/>
    <n v="0"/>
  </r>
  <r>
    <x v="4"/>
    <n v="13"/>
    <x v="12"/>
    <x v="541"/>
    <n v="0.24725000000000003"/>
    <n v="11.6"/>
    <n v="0.28999999999999998"/>
    <n v="-1.7099999999999991"/>
    <x v="0"/>
    <x v="1"/>
    <n v="0"/>
    <n v="11.6"/>
    <n v="0.28999999999999998"/>
    <n v="-11.6"/>
    <s v="Ecart négatif"/>
    <n v="0"/>
  </r>
  <r>
    <x v="4"/>
    <n v="13"/>
    <x v="12"/>
    <x v="541"/>
    <n v="0.24725000000000003"/>
    <n v="11.6"/>
    <n v="0.28999999999999998"/>
    <n v="-1.7099999999999991"/>
    <x v="0"/>
    <x v="1"/>
    <n v="0"/>
    <n v="11.6"/>
    <n v="0.28999999999999998"/>
    <n v="-11.6"/>
    <s v="Ecart négatif"/>
    <n v="0"/>
  </r>
  <r>
    <x v="0"/>
    <n v="68"/>
    <x v="0"/>
    <x v="0"/>
    <n v="0"/>
    <n v="14.4"/>
    <n v="0.08"/>
    <n v="-14.4"/>
    <x v="0"/>
    <x v="214"/>
    <n v="7.6111111111111102E-2"/>
    <n v="14.4"/>
    <n v="0.08"/>
    <n v="-0.70000000000000107"/>
    <s v="Ecart négatif"/>
    <n v="21.47"/>
  </r>
  <r>
    <x v="2"/>
    <n v="63"/>
    <x v="12"/>
    <x v="0"/>
    <n v="0"/>
    <n v="4.8"/>
    <n v="0.12"/>
    <n v="-4.8"/>
    <x v="0"/>
    <x v="10"/>
    <n v="0.12"/>
    <n v="4.8"/>
    <n v="0.12"/>
    <n v="0"/>
    <s v="Pas d'écart"/>
    <n v="0"/>
  </r>
  <r>
    <x v="3"/>
    <n v="55"/>
    <x v="15"/>
    <x v="542"/>
    <n v="0.2475"/>
    <n v="5"/>
    <n v="0.25"/>
    <n v="-4.9999999999999822E-2"/>
    <x v="0"/>
    <x v="1"/>
    <n v="0"/>
    <n v="5"/>
    <n v="0.25"/>
    <n v="-5"/>
    <s v="Ecart négatif"/>
    <n v="3.1099999999999994"/>
  </r>
  <r>
    <x v="4"/>
    <n v="57"/>
    <x v="15"/>
    <x v="542"/>
    <n v="0.2475"/>
    <n v="4.8"/>
    <n v="0.24"/>
    <n v="0.15000000000000036"/>
    <x v="2"/>
    <x v="1"/>
    <n v="0"/>
    <n v="4.8"/>
    <n v="0.24"/>
    <n v="-4.8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4"/>
    <n v="54"/>
    <x v="15"/>
    <x v="542"/>
    <n v="0.2475"/>
    <n v="5"/>
    <n v="0.25"/>
    <n v="-4.9999999999999822E-2"/>
    <x v="0"/>
    <x v="1"/>
    <n v="0"/>
    <n v="5"/>
    <n v="0.25"/>
    <n v="-5"/>
    <s v="Ecart négatif"/>
    <n v="0"/>
  </r>
  <r>
    <x v="0"/>
    <n v="44"/>
    <x v="12"/>
    <x v="0"/>
    <n v="0"/>
    <n v="0"/>
    <n v="0"/>
    <n v="0"/>
    <x v="1"/>
    <x v="1"/>
    <n v="0"/>
    <n v="0"/>
    <n v="0"/>
    <n v="0"/>
    <s v="Pas d'écart"/>
    <n v="34.29"/>
  </r>
  <r>
    <x v="4"/>
    <n v="1"/>
    <x v="15"/>
    <x v="542"/>
    <n v="0.2475"/>
    <n v="5.2"/>
    <n v="0.26"/>
    <n v="-0.25"/>
    <x v="0"/>
    <x v="1"/>
    <n v="0"/>
    <n v="5.2"/>
    <n v="0.26"/>
    <n v="-5.2"/>
    <s v="Ecart négatif"/>
    <n v="0"/>
  </r>
  <r>
    <x v="4"/>
    <n v="38"/>
    <x v="15"/>
    <x v="542"/>
    <n v="0.2475"/>
    <n v="5.4"/>
    <n v="0.27"/>
    <n v="-0.45000000000000018"/>
    <x v="0"/>
    <x v="1"/>
    <n v="0"/>
    <n v="5.4"/>
    <n v="0.27"/>
    <n v="-5.4"/>
    <s v="Ecart négatif"/>
    <n v="0"/>
  </r>
  <r>
    <x v="4"/>
    <n v="75"/>
    <x v="25"/>
    <x v="0"/>
    <n v="0"/>
    <n v="0"/>
    <n v="0"/>
    <n v="0"/>
    <x v="1"/>
    <x v="1"/>
    <n v="0"/>
    <n v="0"/>
    <n v="0"/>
    <n v="0"/>
    <s v="Pas d'écart"/>
    <n v="0"/>
  </r>
  <r>
    <x v="3"/>
    <n v="54"/>
    <x v="15"/>
    <x v="542"/>
    <n v="0.2475"/>
    <n v="5"/>
    <n v="0.25"/>
    <n v="-4.9999999999999822E-2"/>
    <x v="0"/>
    <x v="1"/>
    <n v="0"/>
    <n v="5"/>
    <n v="0.25"/>
    <n v="-5"/>
    <s v="Ecart négatif"/>
    <n v="3.2800000000000011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7"/>
    <n v="76"/>
    <x v="0"/>
    <x v="0"/>
    <n v="0"/>
    <n v="30.6"/>
    <n v="0.17"/>
    <n v="-30.6"/>
    <x v="0"/>
    <x v="1"/>
    <n v="0"/>
    <n v="30.6"/>
    <n v="0.17"/>
    <n v="-30.6"/>
    <s v="Ecart négatif"/>
    <n v="18.419999999999987"/>
  </r>
  <r>
    <x v="3"/>
    <n v="54"/>
    <x v="15"/>
    <x v="542"/>
    <n v="0.2475"/>
    <n v="5"/>
    <n v="0.25"/>
    <n v="-4.9999999999999822E-2"/>
    <x v="0"/>
    <x v="1"/>
    <n v="0"/>
    <n v="5"/>
    <n v="0.25"/>
    <n v="-5"/>
    <s v="Ecart négatif"/>
    <n v="3.2800000000000011"/>
  </r>
  <r>
    <x v="2"/>
    <n v="79"/>
    <x v="14"/>
    <x v="0"/>
    <n v="0"/>
    <n v="15.6"/>
    <n v="0.12"/>
    <n v="-15.6"/>
    <x v="0"/>
    <x v="1"/>
    <n v="0"/>
    <n v="15.6"/>
    <n v="0.12"/>
    <n v="-15.6"/>
    <s v="Ecart négatif"/>
    <n v="0"/>
  </r>
  <r>
    <x v="4"/>
    <n v="51"/>
    <x v="44"/>
    <x v="543"/>
    <n v="0.24758064516129033"/>
    <n v="77.5"/>
    <n v="0.25"/>
    <n v="-0.75"/>
    <x v="0"/>
    <x v="1"/>
    <n v="0"/>
    <n v="77.5"/>
    <n v="0.25"/>
    <n v="-77.5"/>
    <s v="Ecart négatif"/>
    <n v="0"/>
  </r>
  <r>
    <x v="3"/>
    <n v="44"/>
    <x v="12"/>
    <x v="95"/>
    <n v="0.27"/>
    <n v="10.8"/>
    <n v="0.27"/>
    <n v="0"/>
    <x v="1"/>
    <x v="1"/>
    <n v="0"/>
    <n v="10.8"/>
    <n v="0.27"/>
    <n v="-10.8"/>
    <s v="Ecart négatif"/>
    <n v="6.8599999999999994"/>
  </r>
  <r>
    <x v="3"/>
    <n v="51"/>
    <x v="8"/>
    <x v="544"/>
    <n v="0.24771428571428572"/>
    <n v="17.5"/>
    <n v="0.25"/>
    <n v="-0.16000000000000014"/>
    <x v="0"/>
    <x v="1"/>
    <n v="0"/>
    <n v="17.5"/>
    <n v="0.25"/>
    <n v="-17.5"/>
    <s v="Ecart négatif"/>
    <n v="13.269999999999996"/>
  </r>
  <r>
    <x v="3"/>
    <n v="51"/>
    <x v="8"/>
    <x v="544"/>
    <n v="0.24771428571428572"/>
    <n v="17.5"/>
    <n v="0.25"/>
    <n v="-0.16000000000000014"/>
    <x v="0"/>
    <x v="1"/>
    <n v="0"/>
    <n v="17.5"/>
    <n v="0.25"/>
    <n v="-17.5"/>
    <s v="Ecart négatif"/>
    <n v="13.269999999999996"/>
  </r>
  <r>
    <x v="4"/>
    <n v="69"/>
    <x v="18"/>
    <x v="545"/>
    <n v="0.24788888888888888"/>
    <n v="24.3"/>
    <n v="0.27"/>
    <n v="-1.990000000000002"/>
    <x v="0"/>
    <x v="1"/>
    <n v="0"/>
    <n v="24.3"/>
    <n v="0.27"/>
    <n v="-24.3"/>
    <s v="Ecart négatif"/>
    <n v="0"/>
  </r>
  <r>
    <x v="4"/>
    <n v="51"/>
    <x v="20"/>
    <x v="546"/>
    <n v="0.248"/>
    <n v="62.5"/>
    <n v="0.25"/>
    <n v="-0.5"/>
    <x v="0"/>
    <x v="1"/>
    <n v="0"/>
    <n v="62.5"/>
    <n v="0.25"/>
    <n v="-62.5"/>
    <s v="Ecart négatif"/>
    <n v="0"/>
  </r>
  <r>
    <x v="2"/>
    <n v="75"/>
    <x v="62"/>
    <x v="0"/>
    <n v="0"/>
    <n v="0"/>
    <n v="0"/>
    <n v="0"/>
    <x v="1"/>
    <x v="1"/>
    <n v="0"/>
    <n v="0"/>
    <n v="0"/>
    <n v="0"/>
    <s v="Pas d'écart"/>
    <e v="#N/A"/>
  </r>
  <r>
    <x v="3"/>
    <n v="93"/>
    <x v="75"/>
    <x v="0"/>
    <n v="0"/>
    <n v="0"/>
    <n v="0"/>
    <n v="0"/>
    <x v="1"/>
    <x v="1"/>
    <n v="0"/>
    <n v="0"/>
    <n v="0"/>
    <n v="0"/>
    <s v="Pas d'écart"/>
    <n v="42.09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3"/>
    <n v="73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4"/>
    <n v="71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3"/>
    <n v="71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4"/>
    <n v="79"/>
    <x v="12"/>
    <x v="435"/>
    <n v="0.21000000000000002"/>
    <n v="8.4"/>
    <n v="0.21000000000000002"/>
    <n v="0"/>
    <x v="1"/>
    <x v="1"/>
    <n v="0"/>
    <n v="8.4"/>
    <n v="0.21000000000000002"/>
    <n v="-8.4"/>
    <s v="Ecart négatif"/>
    <n v="0"/>
  </r>
  <r>
    <x v="2"/>
    <n v="62"/>
    <x v="16"/>
    <x v="0"/>
    <n v="0"/>
    <n v="0"/>
    <n v="0"/>
    <n v="0"/>
    <x v="1"/>
    <x v="1"/>
    <n v="0"/>
    <n v="0"/>
    <n v="0"/>
    <n v="0"/>
    <s v="Pas d'écart"/>
    <n v="0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4"/>
    <n v="27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9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3"/>
    <n v="91"/>
    <x v="36"/>
    <x v="0"/>
    <n v="0"/>
    <n v="0"/>
    <n v="0"/>
    <n v="0"/>
    <x v="1"/>
    <x v="1"/>
    <n v="0"/>
    <n v="0"/>
    <n v="0"/>
    <n v="0"/>
    <s v="Pas d'écart"/>
    <n v="16.560000000000002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2"/>
    <n v="49"/>
    <x v="14"/>
    <x v="0"/>
    <n v="0"/>
    <n v="0"/>
    <n v="0"/>
    <n v="0"/>
    <x v="1"/>
    <x v="1"/>
    <n v="0"/>
    <n v="0"/>
    <n v="0"/>
    <n v="0"/>
    <s v="Pas d'écart"/>
    <n v="0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13"/>
    <x v="55"/>
    <x v="0"/>
    <n v="0"/>
    <n v="49.4"/>
    <n v="0.19"/>
    <n v="-49.4"/>
    <x v="0"/>
    <x v="250"/>
    <n v="0.18857692307692309"/>
    <n v="49.4"/>
    <n v="0.19"/>
    <n v="-0.36999999999999744"/>
    <s v="Ecart négatif"/>
    <n v="0"/>
  </r>
  <r>
    <x v="2"/>
    <n v="38"/>
    <x v="6"/>
    <x v="0"/>
    <n v="0"/>
    <n v="0"/>
    <n v="0"/>
    <n v="0"/>
    <x v="1"/>
    <x v="209"/>
    <n v="0.2548125"/>
    <n v="0"/>
    <n v="0"/>
    <n v="40.770000000000003"/>
    <s v="Ecart positif"/>
    <n v="0"/>
  </r>
  <r>
    <x v="2"/>
    <n v="5"/>
    <x v="2"/>
    <x v="0"/>
    <n v="0"/>
    <n v="26.6"/>
    <n v="0.19"/>
    <n v="-26.6"/>
    <x v="0"/>
    <x v="1"/>
    <n v="0"/>
    <n v="26.6"/>
    <n v="0.19"/>
    <n v="-26.6"/>
    <s v="Ecart négatif"/>
    <n v="78.8"/>
  </r>
  <r>
    <x v="2"/>
    <n v="25"/>
    <x v="20"/>
    <x v="0"/>
    <n v="0"/>
    <n v="30"/>
    <n v="0.12"/>
    <n v="-30"/>
    <x v="0"/>
    <x v="251"/>
    <n v="0.11748"/>
    <n v="30"/>
    <n v="0.12"/>
    <n v="-0.62999999999999901"/>
    <s v="Ecart négatif"/>
    <n v="171.22"/>
  </r>
  <r>
    <x v="3"/>
    <n v="71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2"/>
    <n v="29"/>
    <x v="19"/>
    <x v="0"/>
    <n v="0"/>
    <n v="22.8"/>
    <n v="0.12000000000000001"/>
    <n v="-22.8"/>
    <x v="0"/>
    <x v="252"/>
    <n v="0.26142105263157894"/>
    <n v="22.8"/>
    <n v="0.12000000000000001"/>
    <n v="26.87"/>
    <s v="Ecart positif"/>
    <n v="128.22"/>
  </r>
  <r>
    <x v="2"/>
    <n v="83"/>
    <x v="8"/>
    <x v="0"/>
    <n v="0"/>
    <n v="14.7"/>
    <n v="0.21"/>
    <n v="-14.7"/>
    <x v="0"/>
    <x v="1"/>
    <n v="0"/>
    <n v="14.7"/>
    <n v="0.21"/>
    <n v="-14.7"/>
    <s v="Ecart négatif"/>
    <n v="61.48"/>
  </r>
  <r>
    <x v="2"/>
    <n v="76"/>
    <x v="16"/>
    <x v="0"/>
    <n v="0"/>
    <n v="34"/>
    <n v="0.17"/>
    <n v="-34"/>
    <x v="0"/>
    <x v="253"/>
    <n v="0.16745000000000002"/>
    <n v="34"/>
    <n v="0.17"/>
    <n v="-0.50999999999999801"/>
    <s v="Ecart négatif"/>
    <n v="0"/>
  </r>
  <r>
    <x v="0"/>
    <n v="83"/>
    <x v="12"/>
    <x v="0"/>
    <n v="0"/>
    <n v="8.4"/>
    <n v="0.21000000000000002"/>
    <n v="-8.4"/>
    <x v="0"/>
    <x v="4"/>
    <n v="0.21000000000000002"/>
    <n v="8.4"/>
    <n v="0.21000000000000002"/>
    <n v="0"/>
    <s v="Pas d'écart"/>
    <n v="41.47"/>
  </r>
  <r>
    <x v="0"/>
    <n v="38"/>
    <x v="3"/>
    <x v="0"/>
    <n v="0"/>
    <n v="0"/>
    <n v="0"/>
    <n v="0"/>
    <x v="1"/>
    <x v="1"/>
    <n v="0"/>
    <n v="0"/>
    <n v="0"/>
    <n v="0"/>
    <s v="Pas d'écart"/>
    <n v="135.19999999999999"/>
  </r>
  <r>
    <x v="4"/>
    <n v="74"/>
    <x v="11"/>
    <x v="547"/>
    <n v="0.24816666666666667"/>
    <n v="15.600000000000001"/>
    <n v="0.26"/>
    <n v="-0.71000000000000085"/>
    <x v="0"/>
    <x v="1"/>
    <n v="0"/>
    <n v="15.600000000000001"/>
    <n v="0.26"/>
    <n v="-15.600000000000001"/>
    <s v="Ecart négatif"/>
    <n v="0"/>
  </r>
  <r>
    <x v="0"/>
    <n v="54"/>
    <x v="8"/>
    <x v="0"/>
    <n v="0"/>
    <n v="17.5"/>
    <n v="0.25"/>
    <n v="-17.5"/>
    <x v="0"/>
    <x v="254"/>
    <n v="0.24642857142857144"/>
    <n v="17.5"/>
    <n v="0.25"/>
    <n v="-0.25"/>
    <s v="Ecart négatif"/>
    <n v="8.9500000000000028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69"/>
    <x v="15"/>
    <x v="0"/>
    <n v="0"/>
    <n v="0"/>
    <n v="0"/>
    <n v="0"/>
    <x v="1"/>
    <x v="1"/>
    <n v="0"/>
    <n v="0"/>
    <n v="0"/>
    <n v="0"/>
    <s v="Pas d'écart"/>
    <n v="3.4700000000000006"/>
  </r>
  <r>
    <x v="5"/>
    <n v="27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8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3"/>
    <n v="71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0"/>
    <n v="69"/>
    <x v="16"/>
    <x v="0"/>
    <n v="0"/>
    <n v="0"/>
    <n v="0"/>
    <n v="0"/>
    <x v="1"/>
    <x v="1"/>
    <n v="0"/>
    <n v="0"/>
    <n v="0"/>
    <n v="0"/>
    <s v="Pas d'écart"/>
    <n v="107.65"/>
  </r>
  <r>
    <x v="0"/>
    <n v="83"/>
    <x v="19"/>
    <x v="0"/>
    <n v="0"/>
    <n v="39.9"/>
    <n v="0.21"/>
    <n v="-39.9"/>
    <x v="0"/>
    <x v="255"/>
    <n v="0.20805263157894738"/>
    <n v="39.9"/>
    <n v="0.21"/>
    <n v="-0.36999999999999744"/>
    <s v="Ecart négatif"/>
    <n v="118.48"/>
  </r>
  <r>
    <x v="0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92.1"/>
  </r>
  <r>
    <x v="4"/>
    <n v="26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7"/>
    <n v="51"/>
    <x v="12"/>
    <x v="0"/>
    <n v="0"/>
    <n v="10"/>
    <n v="0.25"/>
    <n v="-10"/>
    <x v="0"/>
    <x v="1"/>
    <n v="0"/>
    <n v="10"/>
    <n v="0.25"/>
    <n v="-10"/>
    <s v="Ecart négatif"/>
    <n v="9.5499999999999972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0"/>
    <n v="67"/>
    <x v="15"/>
    <x v="0"/>
    <n v="0"/>
    <n v="1.6"/>
    <n v="0.08"/>
    <n v="-1.6"/>
    <x v="0"/>
    <x v="256"/>
    <n v="6.8000000000000005E-2"/>
    <n v="1.6"/>
    <n v="0.08"/>
    <n v="-0.24"/>
    <s v="Ecart négatif"/>
    <n v="16.93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2"/>
    <n v="6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38"/>
    <x v="8"/>
    <x v="0"/>
    <n v="0"/>
    <n v="0"/>
    <n v="0"/>
    <n v="0"/>
    <x v="1"/>
    <x v="1"/>
    <n v="0"/>
    <n v="0"/>
    <n v="0"/>
    <n v="0"/>
    <s v="Pas d'écart"/>
    <n v="61.48"/>
  </r>
  <r>
    <x v="0"/>
    <n v="27"/>
    <x v="0"/>
    <x v="0"/>
    <n v="0"/>
    <n v="30.6"/>
    <n v="0.17"/>
    <n v="-30.6"/>
    <x v="0"/>
    <x v="1"/>
    <n v="0"/>
    <n v="30.6"/>
    <n v="0.17"/>
    <n v="-30.6"/>
    <s v="Ecart négatif"/>
    <n v="107.3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42"/>
    <x v="22"/>
    <x v="0"/>
    <n v="0"/>
    <n v="0"/>
    <n v="0"/>
    <n v="0"/>
    <x v="1"/>
    <x v="1"/>
    <n v="0"/>
    <n v="0"/>
    <n v="0"/>
    <n v="0"/>
    <s v="Pas d'écart"/>
    <n v="14.249999999999993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7"/>
    <n v="68"/>
    <x v="7"/>
    <x v="0"/>
    <n v="0"/>
    <n v="8.6999999999999993"/>
    <n v="0.28999999999999998"/>
    <n v="-8.6999999999999993"/>
    <x v="0"/>
    <x v="1"/>
    <n v="0"/>
    <n v="8.6999999999999993"/>
    <n v="0.28999999999999998"/>
    <n v="-8.6999999999999993"/>
    <s v="Ecart négatif"/>
    <n v="4.3100000000000023"/>
  </r>
  <r>
    <x v="3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0"/>
    <n v="84"/>
    <x v="16"/>
    <x v="0"/>
    <n v="0"/>
    <n v="38"/>
    <n v="0.19"/>
    <n v="-38"/>
    <x v="0"/>
    <x v="257"/>
    <n v="0.18295000000000003"/>
    <n v="38"/>
    <n v="0.19"/>
    <n v="-1.4099999999999966"/>
    <s v="Ecart négatif"/>
    <n v="129.61000000000001"/>
  </r>
  <r>
    <x v="7"/>
    <n v="38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23.700000000000003"/>
  </r>
  <r>
    <x v="0"/>
    <n v="75"/>
    <x v="12"/>
    <x v="0"/>
    <n v="0"/>
    <n v="0"/>
    <n v="0"/>
    <n v="0"/>
    <x v="1"/>
    <x v="1"/>
    <n v="0"/>
    <n v="0"/>
    <n v="0"/>
    <n v="0"/>
    <s v="Pas d'écart"/>
    <n v="5.23"/>
  </r>
  <r>
    <x v="3"/>
    <n v="51"/>
    <x v="12"/>
    <x v="498"/>
    <n v="0.25"/>
    <n v="10"/>
    <n v="0.25"/>
    <n v="0"/>
    <x v="1"/>
    <x v="1"/>
    <n v="0"/>
    <n v="10"/>
    <n v="0.25"/>
    <n v="-10"/>
    <s v="Ecart négatif"/>
    <n v="9.5499999999999972"/>
  </r>
  <r>
    <x v="2"/>
    <n v="79"/>
    <x v="1"/>
    <x v="0"/>
    <n v="0"/>
    <n v="14.399999999999999"/>
    <n v="0.11999999999999998"/>
    <n v="-14.399999999999999"/>
    <x v="0"/>
    <x v="258"/>
    <n v="0.11775000000000001"/>
    <n v="14.399999999999999"/>
    <n v="0.11999999999999998"/>
    <n v="-0.2699999999999978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2"/>
    <n v="44"/>
    <x v="12"/>
    <x v="0"/>
    <n v="0"/>
    <n v="0"/>
    <n v="0"/>
    <n v="0"/>
    <x v="1"/>
    <x v="1"/>
    <n v="0"/>
    <n v="0"/>
    <n v="0"/>
    <n v="0"/>
    <s v="Pas d'écart"/>
    <n v="0"/>
  </r>
  <r>
    <x v="0"/>
    <n v="44"/>
    <x v="25"/>
    <x v="0"/>
    <n v="0"/>
    <n v="0"/>
    <n v="0"/>
    <n v="0"/>
    <x v="1"/>
    <x v="1"/>
    <n v="0"/>
    <n v="0"/>
    <n v="0"/>
    <n v="0"/>
    <s v="Pas d'écart"/>
    <n v="23.409999999999997"/>
  </r>
  <r>
    <x v="4"/>
    <n v="59"/>
    <x v="10"/>
    <x v="508"/>
    <n v="0.19"/>
    <n v="28.5"/>
    <n v="0.19"/>
    <n v="0"/>
    <x v="1"/>
    <x v="1"/>
    <n v="0"/>
    <n v="28.5"/>
    <n v="0.19"/>
    <n v="-28.5"/>
    <s v="Ecart négatif"/>
    <n v="0"/>
  </r>
  <r>
    <x v="4"/>
    <n v="44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9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76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2"/>
    <n v="76"/>
    <x v="0"/>
    <x v="0"/>
    <n v="0"/>
    <n v="30.6"/>
    <n v="0.17"/>
    <n v="-30.6"/>
    <x v="0"/>
    <x v="0"/>
    <n v="0.17"/>
    <n v="30.6"/>
    <n v="0.17"/>
    <n v="0"/>
    <s v="Pas d'écart"/>
    <n v="0"/>
  </r>
  <r>
    <x v="8"/>
    <n v="34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56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2"/>
    <n v="75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69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3"/>
    <n v="73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0"/>
    <n v="68"/>
    <x v="0"/>
    <x v="0"/>
    <n v="0"/>
    <n v="14.4"/>
    <n v="0.08"/>
    <n v="-14.4"/>
    <x v="0"/>
    <x v="102"/>
    <n v="0.08"/>
    <n v="14.4"/>
    <n v="0.08"/>
    <n v="0"/>
    <s v="Pas d'écart"/>
    <n v="21.47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3"/>
    <n v="71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44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3"/>
    <n v="35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0.560000000000002"/>
  </r>
  <r>
    <x v="3"/>
    <n v="26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3"/>
    <n v="26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3"/>
    <n v="73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0"/>
    <n v="69"/>
    <x v="15"/>
    <x v="0"/>
    <n v="0"/>
    <n v="0"/>
    <n v="0"/>
    <n v="0"/>
    <x v="1"/>
    <x v="259"/>
    <n v="0.16200000000000001"/>
    <n v="0"/>
    <n v="0"/>
    <n v="3.24"/>
    <s v="Ecart positif"/>
    <n v="3.4700000000000006"/>
  </r>
  <r>
    <x v="5"/>
    <n v="44"/>
    <x v="16"/>
    <x v="0"/>
    <n v="0"/>
    <n v="54"/>
    <n v="0.27"/>
    <n v="-54"/>
    <x v="0"/>
    <x v="1"/>
    <n v="0"/>
    <n v="54"/>
    <n v="0.27"/>
    <n v="-54"/>
    <s v="Ecart négatif"/>
    <n v="21.53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44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0"/>
  </r>
  <r>
    <x v="3"/>
    <n v="26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3"/>
    <n v="73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2"/>
    <n v="3"/>
    <x v="13"/>
    <x v="0"/>
    <n v="0"/>
    <n v="20.399999999999999"/>
    <n v="0.12"/>
    <n v="-20.399999999999999"/>
    <x v="0"/>
    <x v="260"/>
    <n v="0.11782352941176472"/>
    <n v="20.399999999999999"/>
    <n v="0.12"/>
    <n v="-0.36999999999999744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3"/>
    <n v="26"/>
    <x v="11"/>
    <x v="547"/>
    <n v="0.24816666666666667"/>
    <n v="16.200000000000003"/>
    <n v="0.27000000000000007"/>
    <n v="-1.3100000000000023"/>
    <x v="0"/>
    <x v="1"/>
    <n v="0"/>
    <n v="16.200000000000003"/>
    <n v="0.27000000000000007"/>
    <n v="-16.200000000000003"/>
    <s v="Ecart négatif"/>
    <n v="11.649999999999999"/>
  </r>
  <r>
    <x v="2"/>
    <n v="10"/>
    <x v="6"/>
    <x v="0"/>
    <n v="0"/>
    <n v="19.2"/>
    <n v="0.12"/>
    <n v="-19.2"/>
    <x v="0"/>
    <x v="1"/>
    <n v="0"/>
    <n v="19.2"/>
    <n v="0.12"/>
    <n v="-19.2"/>
    <s v="Ecart négatif"/>
    <n v="0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4"/>
    <n v="1"/>
    <x v="11"/>
    <x v="548"/>
    <n v="0.24833333333333335"/>
    <n v="15.600000000000001"/>
    <n v="0.26"/>
    <n v="-0.70000000000000107"/>
    <x v="0"/>
    <x v="1"/>
    <n v="0"/>
    <n v="15.600000000000001"/>
    <n v="0.26"/>
    <n v="-15.600000000000001"/>
    <s v="Ecart négatif"/>
    <n v="0"/>
  </r>
  <r>
    <x v="0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23.210000000000008"/>
  </r>
  <r>
    <x v="0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23.210000000000008"/>
  </r>
  <r>
    <x v="8"/>
    <n v="64"/>
    <x v="8"/>
    <x v="0"/>
    <n v="0"/>
    <n v="14.7"/>
    <n v="0.21"/>
    <n v="-14.7"/>
    <x v="0"/>
    <x v="1"/>
    <n v="0"/>
    <n v="14.7"/>
    <n v="0.21"/>
    <n v="-14.7"/>
    <s v="Ecart négatif"/>
    <n v="21.589999999999996"/>
  </r>
  <r>
    <x v="3"/>
    <n v="54"/>
    <x v="14"/>
    <x v="549"/>
    <n v="0.24846153846153843"/>
    <n v="32.5"/>
    <n v="0.25"/>
    <n v="-0.20000000000000284"/>
    <x v="0"/>
    <x v="1"/>
    <n v="0"/>
    <n v="32.5"/>
    <n v="0.25"/>
    <n v="-32.5"/>
    <s v="Ecart négatif"/>
    <n v="12.519999999999996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2"/>
    <n v="59"/>
    <x v="16"/>
    <x v="0"/>
    <n v="0"/>
    <n v="0"/>
    <n v="0"/>
    <n v="0"/>
    <x v="1"/>
    <x v="1"/>
    <n v="0"/>
    <n v="0"/>
    <n v="0"/>
    <n v="0"/>
    <s v="Pas d'écart"/>
    <n v="0"/>
  </r>
  <r>
    <x v="8"/>
    <n v="6"/>
    <x v="12"/>
    <x v="0"/>
    <n v="0"/>
    <n v="12"/>
    <n v="0.3"/>
    <n v="-12"/>
    <x v="0"/>
    <x v="1"/>
    <n v="0"/>
    <n v="12"/>
    <n v="0.3"/>
    <n v="-12"/>
    <s v="Ecart négatif"/>
    <n v="0"/>
  </r>
  <r>
    <x v="4"/>
    <n v="38"/>
    <x v="11"/>
    <x v="550"/>
    <n v="0.2485"/>
    <n v="16.200000000000003"/>
    <n v="0.27000000000000007"/>
    <n v="-1.2900000000000027"/>
    <x v="0"/>
    <x v="1"/>
    <n v="0"/>
    <n v="16.200000000000003"/>
    <n v="0.27000000000000007"/>
    <n v="-16.200000000000003"/>
    <s v="Ecart négatif"/>
    <n v="0"/>
  </r>
  <r>
    <x v="3"/>
    <n v="44"/>
    <x v="1"/>
    <x v="551"/>
    <n v="0.2485"/>
    <n v="32.400000000000006"/>
    <n v="0.27000000000000007"/>
    <n v="-2.5800000000000054"/>
    <x v="0"/>
    <x v="1"/>
    <n v="0"/>
    <n v="32.400000000000006"/>
    <n v="0.27000000000000007"/>
    <n v="-32.400000000000006"/>
    <s v="Ecart négatif"/>
    <n v="11.89"/>
  </r>
  <r>
    <x v="4"/>
    <n v="57"/>
    <x v="2"/>
    <x v="552"/>
    <n v="0.24857142857142855"/>
    <n v="33.6"/>
    <n v="0.24000000000000002"/>
    <n v="1.1999999999999957"/>
    <x v="2"/>
    <x v="1"/>
    <n v="0"/>
    <n v="33.6"/>
    <n v="0.24000000000000002"/>
    <n v="-33.6"/>
    <s v="Ecart négatif"/>
    <n v="0"/>
  </r>
  <r>
    <x v="4"/>
    <n v="53"/>
    <x v="11"/>
    <x v="553"/>
    <n v="0.24866666666666667"/>
    <n v="16.200000000000003"/>
    <n v="0.27000000000000007"/>
    <n v="-1.2800000000000029"/>
    <x v="0"/>
    <x v="1"/>
    <n v="0"/>
    <n v="16.200000000000003"/>
    <n v="0.27000000000000007"/>
    <n v="-16.200000000000003"/>
    <s v="Ecart négatif"/>
    <n v="0"/>
  </r>
  <r>
    <x v="4"/>
    <n v="57"/>
    <x v="76"/>
    <x v="554"/>
    <n v="0.24887037037037035"/>
    <n v="129.6"/>
    <n v="0.24"/>
    <n v="4.789999999999992"/>
    <x v="2"/>
    <x v="1"/>
    <n v="0"/>
    <n v="129.6"/>
    <n v="0.24"/>
    <n v="-129.6"/>
    <s v="Ecart négatif"/>
    <e v="#N/A"/>
  </r>
  <r>
    <x v="0"/>
    <n v="69"/>
    <x v="6"/>
    <x v="0"/>
    <n v="0"/>
    <n v="0"/>
    <n v="0"/>
    <n v="0"/>
    <x v="1"/>
    <x v="1"/>
    <n v="0"/>
    <n v="0"/>
    <n v="0"/>
    <n v="0"/>
    <s v="Pas d'écart"/>
    <n v="15.310000000000002"/>
  </r>
  <r>
    <x v="4"/>
    <n v="56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4"/>
    <n v="56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5"/>
    <n v="75"/>
    <x v="1"/>
    <x v="0"/>
    <n v="0"/>
    <n v="0"/>
    <n v="0"/>
    <n v="0"/>
    <x v="1"/>
    <x v="1"/>
    <n v="0"/>
    <n v="0"/>
    <n v="0"/>
    <n v="0"/>
    <s v="Pas d'écart"/>
    <n v="9.519999999999996"/>
  </r>
  <r>
    <x v="4"/>
    <n v="35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44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4"/>
    <n v="85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0"/>
    <n v="59"/>
    <x v="8"/>
    <x v="0"/>
    <n v="0"/>
    <n v="0"/>
    <n v="0"/>
    <n v="0"/>
    <x v="1"/>
    <x v="1"/>
    <n v="0"/>
    <n v="0"/>
    <n v="0"/>
    <n v="0"/>
    <s v="Pas d'écart"/>
    <n v="8.9500000000000028"/>
  </r>
  <r>
    <x v="2"/>
    <n v="79"/>
    <x v="2"/>
    <x v="0"/>
    <n v="0"/>
    <n v="16.8"/>
    <n v="0.12000000000000001"/>
    <n v="-16.8"/>
    <x v="0"/>
    <x v="1"/>
    <n v="0"/>
    <n v="16.8"/>
    <n v="0.12000000000000001"/>
    <n v="-16.8"/>
    <s v="Ecart négatif"/>
    <n v="27.799999999999997"/>
  </r>
  <r>
    <x v="0"/>
    <n v="80"/>
    <x v="2"/>
    <x v="0"/>
    <n v="0"/>
    <n v="0"/>
    <n v="0"/>
    <n v="0"/>
    <x v="1"/>
    <x v="68"/>
    <n v="0.19"/>
    <n v="0"/>
    <n v="0"/>
    <n v="26.6"/>
    <s v="Ecart positif"/>
    <n v="14.68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83"/>
    <x v="9"/>
    <x v="0"/>
    <n v="0"/>
    <n v="16.8"/>
    <n v="0.21000000000000002"/>
    <n v="-16.8"/>
    <x v="0"/>
    <x v="1"/>
    <n v="0"/>
    <n v="16.8"/>
    <n v="0.21000000000000002"/>
    <n v="-16.8"/>
    <s v="Ecart négatif"/>
    <n v="0"/>
  </r>
  <r>
    <x v="4"/>
    <n v="74"/>
    <x v="11"/>
    <x v="555"/>
    <n v="0.249"/>
    <n v="15.600000000000001"/>
    <n v="0.26"/>
    <n v="-0.66000000000000192"/>
    <x v="0"/>
    <x v="1"/>
    <n v="0"/>
    <n v="15.600000000000001"/>
    <n v="0.26"/>
    <n v="-15.600000000000001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69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2"/>
    <n v="5"/>
    <x v="2"/>
    <x v="0"/>
    <n v="0"/>
    <n v="26.6"/>
    <n v="0.19"/>
    <n v="-26.6"/>
    <x v="0"/>
    <x v="1"/>
    <n v="0"/>
    <n v="26.6"/>
    <n v="0.19"/>
    <n v="-26.6"/>
    <s v="Ecart négatif"/>
    <n v="78.8"/>
  </r>
  <r>
    <x v="2"/>
    <n v="14"/>
    <x v="19"/>
    <x v="0"/>
    <n v="0"/>
    <n v="32.300000000000004"/>
    <n v="0.17"/>
    <n v="-32.300000000000004"/>
    <x v="0"/>
    <x v="1"/>
    <n v="0"/>
    <n v="32.300000000000004"/>
    <n v="0.17"/>
    <n v="-32.300000000000004"/>
    <s v="Ecart négatif"/>
    <n v="118.48"/>
  </r>
  <r>
    <x v="0"/>
    <n v="13"/>
    <x v="12"/>
    <x v="0"/>
    <n v="0"/>
    <n v="7.6"/>
    <n v="0.19"/>
    <n v="-7.6"/>
    <x v="0"/>
    <x v="1"/>
    <n v="0"/>
    <n v="7.6"/>
    <n v="0.19"/>
    <n v="-7.6"/>
    <s v="Ecart négatif"/>
    <n v="34.29"/>
  </r>
  <r>
    <x v="2"/>
    <n v="20"/>
    <x v="12"/>
    <x v="0"/>
    <n v="0"/>
    <n v="8.4"/>
    <n v="0.21000000000000002"/>
    <n v="-8.4"/>
    <x v="0"/>
    <x v="1"/>
    <n v="0"/>
    <n v="8.4"/>
    <n v="0.21000000000000002"/>
    <n v="-8.4"/>
    <s v="Ecart négatif"/>
    <n v="694"/>
  </r>
  <r>
    <x v="4"/>
    <n v="85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0"/>
    <n v="89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89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92"/>
    <x v="20"/>
    <x v="0"/>
    <n v="0"/>
    <n v="0"/>
    <n v="0"/>
    <n v="0"/>
    <x v="1"/>
    <x v="1"/>
    <n v="0"/>
    <n v="0"/>
    <n v="0"/>
    <n v="0"/>
    <s v="Pas d'écart"/>
    <n v="73.28"/>
  </r>
  <r>
    <x v="2"/>
    <n v="13"/>
    <x v="16"/>
    <x v="0"/>
    <n v="0"/>
    <n v="38"/>
    <n v="0.19"/>
    <n v="-38"/>
    <x v="0"/>
    <x v="1"/>
    <n v="0"/>
    <n v="38"/>
    <n v="0.19"/>
    <n v="-38"/>
    <s v="Ecart négatif"/>
    <n v="107.65"/>
  </r>
  <r>
    <x v="2"/>
    <n v="6"/>
    <x v="3"/>
    <x v="0"/>
    <n v="0"/>
    <n v="44.1"/>
    <n v="0.21000000000000002"/>
    <n v="-44.1"/>
    <x v="0"/>
    <x v="1"/>
    <n v="0"/>
    <n v="44.1"/>
    <n v="0.21000000000000002"/>
    <n v="-44.1"/>
    <s v="Ecart négatif"/>
    <n v="146.57"/>
  </r>
  <r>
    <x v="2"/>
    <n v="83"/>
    <x v="8"/>
    <x v="0"/>
    <n v="0"/>
    <n v="14.7"/>
    <n v="0.21"/>
    <n v="-14.7"/>
    <x v="0"/>
    <x v="1"/>
    <n v="0"/>
    <n v="14.7"/>
    <n v="0.21"/>
    <n v="-14.7"/>
    <s v="Ecart négatif"/>
    <n v="61.48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69"/>
    <x v="1"/>
    <x v="0"/>
    <n v="0"/>
    <n v="0"/>
    <n v="0"/>
    <n v="0"/>
    <x v="1"/>
    <x v="1"/>
    <n v="0"/>
    <n v="0"/>
    <n v="0"/>
    <n v="0"/>
    <s v="Pas d'écart"/>
    <n v="0"/>
  </r>
  <r>
    <x v="0"/>
    <n v="55"/>
    <x v="12"/>
    <x v="0"/>
    <n v="0"/>
    <n v="10"/>
    <n v="0.25"/>
    <n v="-10"/>
    <x v="0"/>
    <x v="31"/>
    <n v="0.25"/>
    <n v="10"/>
    <n v="0.25"/>
    <n v="0"/>
    <s v="Pas d'écart"/>
    <n v="41.47"/>
  </r>
  <r>
    <x v="0"/>
    <n v="69"/>
    <x v="19"/>
    <x v="0"/>
    <n v="0"/>
    <n v="0"/>
    <n v="0"/>
    <n v="0"/>
    <x v="1"/>
    <x v="1"/>
    <n v="0"/>
    <n v="0"/>
    <n v="0"/>
    <n v="0"/>
    <s v="Pas d'écart"/>
    <n v="99.88"/>
  </r>
  <r>
    <x v="2"/>
    <n v="16"/>
    <x v="8"/>
    <x v="0"/>
    <n v="0"/>
    <n v="11.9"/>
    <n v="0.17"/>
    <n v="-11.9"/>
    <x v="0"/>
    <x v="139"/>
    <n v="0.152"/>
    <n v="11.9"/>
    <n v="0.17"/>
    <n v="-1.2599999999999998"/>
    <s v="Ecart négatif"/>
    <n v="66.36"/>
  </r>
  <r>
    <x v="2"/>
    <n v="34"/>
    <x v="12"/>
    <x v="0"/>
    <n v="0"/>
    <n v="11.200000000000001"/>
    <n v="0.28000000000000003"/>
    <n v="-11.200000000000001"/>
    <x v="0"/>
    <x v="1"/>
    <n v="0"/>
    <n v="11.200000000000001"/>
    <n v="0.28000000000000003"/>
    <n v="-11.200000000000001"/>
    <s v="Ecart négatif"/>
    <n v="47.76"/>
  </r>
  <r>
    <x v="0"/>
    <n v="88"/>
    <x v="4"/>
    <x v="0"/>
    <n v="0"/>
    <n v="8.8000000000000007"/>
    <n v="0.08"/>
    <n v="-8.8000000000000007"/>
    <x v="0"/>
    <x v="13"/>
    <n v="7.9272727272727272E-2"/>
    <n v="8.8000000000000007"/>
    <n v="0.08"/>
    <n v="-8.0000000000000071E-2"/>
    <s v="Ecart négatif"/>
    <n v="71.81"/>
  </r>
  <r>
    <x v="0"/>
    <n v="85"/>
    <x v="15"/>
    <x v="0"/>
    <n v="0"/>
    <n v="0"/>
    <n v="0"/>
    <n v="0"/>
    <x v="1"/>
    <x v="39"/>
    <n v="0.254"/>
    <n v="0"/>
    <n v="0"/>
    <n v="5.08"/>
    <s v="Ecart positif"/>
    <n v="17.22"/>
  </r>
  <r>
    <x v="0"/>
    <n v="30"/>
    <x v="16"/>
    <x v="0"/>
    <n v="0"/>
    <n v="56.000000000000007"/>
    <n v="0.28000000000000003"/>
    <n v="-56.000000000000007"/>
    <x v="0"/>
    <x v="1"/>
    <n v="0"/>
    <n v="56.000000000000007"/>
    <n v="0.28000000000000003"/>
    <n v="-56.000000000000007"/>
    <s v="Ecart négatif"/>
    <n v="129.61000000000001"/>
  </r>
  <r>
    <x v="5"/>
    <n v="6"/>
    <x v="20"/>
    <x v="0"/>
    <n v="0"/>
    <n v="75"/>
    <n v="0.3"/>
    <n v="-75"/>
    <x v="0"/>
    <x v="1"/>
    <n v="0"/>
    <n v="75"/>
    <n v="0.3"/>
    <n v="-75"/>
    <s v="Ecart négatif"/>
    <n v="34.240000000000009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2"/>
    <n v="69"/>
    <x v="8"/>
    <x v="0"/>
    <n v="0"/>
    <n v="0"/>
    <n v="0"/>
    <n v="0"/>
    <x v="1"/>
    <x v="1"/>
    <n v="0"/>
    <n v="0"/>
    <n v="0"/>
    <n v="0"/>
    <s v="Pas d'écart"/>
    <n v="44.7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0"/>
    <n v="10"/>
    <x v="19"/>
    <x v="0"/>
    <n v="0"/>
    <n v="22.8"/>
    <n v="0.12000000000000001"/>
    <n v="-22.8"/>
    <x v="0"/>
    <x v="79"/>
    <n v="0.11621052631578946"/>
    <n v="22.8"/>
    <n v="0.12000000000000001"/>
    <n v="-0.72000000000000242"/>
    <s v="Ecart négatif"/>
    <n v="128.22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2"/>
    <n v="57"/>
    <x v="2"/>
    <x v="0"/>
    <n v="0"/>
    <n v="35"/>
    <n v="0.25"/>
    <n v="-35"/>
    <x v="0"/>
    <x v="71"/>
    <n v="0.25"/>
    <n v="35"/>
    <n v="0.25"/>
    <n v="0"/>
    <s v="Pas d'écart"/>
    <n v="0"/>
  </r>
  <r>
    <x v="4"/>
    <n v="69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3"/>
    <n v="49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10.560000000000002"/>
  </r>
  <r>
    <x v="4"/>
    <n v="49"/>
    <x v="11"/>
    <x v="555"/>
    <n v="0.249"/>
    <n v="16.200000000000003"/>
    <n v="0.27000000000000007"/>
    <n v="-1.2600000000000033"/>
    <x v="0"/>
    <x v="1"/>
    <n v="0"/>
    <n v="16.200000000000003"/>
    <n v="0.27000000000000007"/>
    <n v="-16.200000000000003"/>
    <s v="Ecart négatif"/>
    <n v="0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71"/>
    <x v="12"/>
    <x v="0"/>
    <n v="0"/>
    <n v="0"/>
    <n v="0"/>
    <n v="0"/>
    <x v="1"/>
    <x v="1"/>
    <n v="0"/>
    <n v="0"/>
    <n v="0"/>
    <n v="0"/>
    <s v="Pas d'écart"/>
    <n v="41.47"/>
  </r>
  <r>
    <x v="2"/>
    <n v="94"/>
    <x v="44"/>
    <x v="0"/>
    <n v="0"/>
    <n v="0"/>
    <n v="0"/>
    <n v="0"/>
    <x v="1"/>
    <x v="1"/>
    <n v="0"/>
    <n v="0"/>
    <n v="0"/>
    <n v="0"/>
    <s v="Pas d'écart"/>
    <n v="0"/>
  </r>
  <r>
    <x v="4"/>
    <n v="38"/>
    <x v="11"/>
    <x v="556"/>
    <n v="0.24916666666666665"/>
    <n v="16.200000000000003"/>
    <n v="0.27000000000000007"/>
    <n v="-1.2500000000000036"/>
    <x v="0"/>
    <x v="1"/>
    <n v="0"/>
    <n v="16.200000000000003"/>
    <n v="0.27000000000000007"/>
    <n v="-16.200000000000003"/>
    <s v="Ecart négatif"/>
    <n v="0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67"/>
    <x v="15"/>
    <x v="0"/>
    <n v="0"/>
    <n v="1.6"/>
    <n v="0.08"/>
    <n v="-1.6"/>
    <x v="0"/>
    <x v="256"/>
    <n v="6.8000000000000005E-2"/>
    <n v="1.6"/>
    <n v="0.08"/>
    <n v="-0.24"/>
    <s v="Ecart négatif"/>
    <n v="16.93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6"/>
    <n v="75"/>
    <x v="0"/>
    <x v="0"/>
    <n v="0"/>
    <n v="0"/>
    <n v="0"/>
    <n v="0"/>
    <x v="1"/>
    <x v="1"/>
    <n v="0"/>
    <n v="0"/>
    <n v="0"/>
    <n v="0"/>
    <s v="Pas d'écart"/>
    <n v="0"/>
  </r>
  <r>
    <x v="4"/>
    <n v="85"/>
    <x v="11"/>
    <x v="556"/>
    <n v="0.24916666666666665"/>
    <n v="16.200000000000003"/>
    <n v="0.27000000000000007"/>
    <n v="-1.2500000000000036"/>
    <x v="0"/>
    <x v="1"/>
    <n v="0"/>
    <n v="16.200000000000003"/>
    <n v="0.27000000000000007"/>
    <n v="-16.200000000000003"/>
    <s v="Ecart négatif"/>
    <n v="0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2"/>
    <n v="76"/>
    <x v="14"/>
    <x v="0"/>
    <n v="0"/>
    <n v="22.1"/>
    <n v="0.17"/>
    <n v="-22.1"/>
    <x v="0"/>
    <x v="261"/>
    <n v="0.16661538461538461"/>
    <n v="22.1"/>
    <n v="0.17"/>
    <n v="-0.44000000000000128"/>
    <s v="Ecart négatif"/>
    <n v="0"/>
  </r>
  <r>
    <x v="4"/>
    <n v="94"/>
    <x v="25"/>
    <x v="0"/>
    <n v="0"/>
    <n v="0"/>
    <n v="0"/>
    <n v="0"/>
    <x v="1"/>
    <x v="1"/>
    <n v="0"/>
    <n v="0"/>
    <n v="0"/>
    <n v="0"/>
    <s v="Pas d'écart"/>
    <n v="0"/>
  </r>
  <r>
    <x v="2"/>
    <n v="49"/>
    <x v="20"/>
    <x v="0"/>
    <n v="0"/>
    <n v="0"/>
    <n v="0"/>
    <n v="0"/>
    <x v="1"/>
    <x v="1"/>
    <n v="0"/>
    <n v="0"/>
    <n v="0"/>
    <n v="0"/>
    <s v="Pas d'écart"/>
    <n v="0"/>
  </r>
  <r>
    <x v="3"/>
    <n v="35"/>
    <x v="11"/>
    <x v="556"/>
    <n v="0.24916666666666665"/>
    <n v="16.200000000000003"/>
    <n v="0.27000000000000007"/>
    <n v="-1.2500000000000036"/>
    <x v="0"/>
    <x v="1"/>
    <n v="0"/>
    <n v="16.200000000000003"/>
    <n v="0.27000000000000007"/>
    <n v="-16.200000000000003"/>
    <s v="Ecart négatif"/>
    <n v="10.560000000000002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36"/>
    <x v="0"/>
    <n v="0"/>
    <n v="81"/>
    <n v="0.27"/>
    <n v="-81"/>
    <x v="0"/>
    <x v="1"/>
    <n v="0"/>
    <n v="81"/>
    <n v="0.27"/>
    <n v="-81"/>
    <s v="Ecart négatif"/>
    <n v="154.5500000000000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5"/>
    <n v="50"/>
    <x v="20"/>
    <x v="0"/>
    <n v="0"/>
    <n v="42.5"/>
    <n v="0.17"/>
    <n v="-42.5"/>
    <x v="0"/>
    <x v="1"/>
    <n v="0"/>
    <n v="42.5"/>
    <n v="0.17"/>
    <n v="-42.5"/>
    <s v="Ecart négatif"/>
    <n v="34.24000000000000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51"/>
    <x v="2"/>
    <x v="557"/>
    <n v="0.24921428571428572"/>
    <n v="35"/>
    <n v="0.25"/>
    <n v="-0.10999999999999943"/>
    <x v="0"/>
    <x v="1"/>
    <n v="0"/>
    <n v="35"/>
    <n v="0.25"/>
    <n v="-35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57"/>
    <x v="12"/>
    <x v="558"/>
    <n v="0.24925000000000003"/>
    <n v="9.6"/>
    <n v="0.24"/>
    <n v="0.37000000000000099"/>
    <x v="2"/>
    <x v="1"/>
    <n v="0"/>
    <n v="9.6"/>
    <n v="0.24"/>
    <n v="-9.6"/>
    <s v="Ecart négatif"/>
    <n v="0"/>
  </r>
  <r>
    <x v="3"/>
    <n v="69"/>
    <x v="11"/>
    <x v="559"/>
    <n v="0.24966666666666668"/>
    <n v="16.200000000000003"/>
    <n v="0.27000000000000007"/>
    <n v="-1.2200000000000024"/>
    <x v="0"/>
    <x v="1"/>
    <n v="0"/>
    <n v="16.200000000000003"/>
    <n v="0.27000000000000007"/>
    <n v="-16.200000000000003"/>
    <s v="Ecart négatif"/>
    <n v="8.5"/>
  </r>
  <r>
    <x v="1"/>
    <n v="44"/>
    <x v="14"/>
    <x v="0"/>
    <n v="0"/>
    <n v="35.1"/>
    <n v="0.27"/>
    <n v="-35.1"/>
    <x v="0"/>
    <x v="1"/>
    <n v="0"/>
    <n v="35.1"/>
    <n v="0.27"/>
    <n v="-35.1"/>
    <s v="Ecart négatif"/>
    <n v="62.58"/>
  </r>
  <r>
    <x v="6"/>
    <n v="35"/>
    <x v="0"/>
    <x v="0"/>
    <n v="0"/>
    <n v="48.6"/>
    <n v="0.27"/>
    <n v="-48.6"/>
    <x v="0"/>
    <x v="1"/>
    <n v="0"/>
    <n v="48.6"/>
    <n v="0.27"/>
    <n v="-48.6"/>
    <s v="Ecart négatif"/>
    <n v="0"/>
  </r>
  <r>
    <x v="2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69"/>
    <x v="14"/>
    <x v="560"/>
    <n v="0.24984615384615383"/>
    <n v="35.1"/>
    <n v="0.27"/>
    <n v="-2.6200000000000045"/>
    <x v="0"/>
    <x v="1"/>
    <n v="0"/>
    <n v="35.1"/>
    <n v="0.27"/>
    <n v="-35.1"/>
    <s v="Ecart négatif"/>
    <n v="12.519999999999996"/>
  </r>
  <r>
    <x v="2"/>
    <n v="75"/>
    <x v="18"/>
    <x v="0"/>
    <n v="0"/>
    <n v="0"/>
    <n v="0"/>
    <n v="0"/>
    <x v="1"/>
    <x v="1"/>
    <n v="0"/>
    <n v="0"/>
    <n v="0"/>
    <n v="0"/>
    <s v="Pas d'écart"/>
    <n v="40.19"/>
  </r>
  <r>
    <x v="4"/>
    <n v="13"/>
    <x v="27"/>
    <x v="343"/>
    <n v="0.28999999999999998"/>
    <n v="14.499999999999998"/>
    <n v="0.28999999999999998"/>
    <n v="0"/>
    <x v="1"/>
    <x v="1"/>
    <n v="0"/>
    <n v="14.499999999999998"/>
    <n v="0.28999999999999998"/>
    <n v="-14.499999999999998"/>
    <s v="Ecart négatif"/>
    <n v="0"/>
  </r>
  <r>
    <x v="2"/>
    <n v="67"/>
    <x v="0"/>
    <x v="0"/>
    <n v="0"/>
    <n v="14.4"/>
    <n v="0.08"/>
    <n v="-14.4"/>
    <x v="0"/>
    <x v="102"/>
    <n v="0.08"/>
    <n v="14.4"/>
    <n v="0.08"/>
    <n v="0"/>
    <s v="Pas d'écart"/>
    <n v="0"/>
  </r>
  <r>
    <x v="4"/>
    <n v="1"/>
    <x v="14"/>
    <x v="560"/>
    <n v="0.24984615384615383"/>
    <n v="33.800000000000004"/>
    <n v="0.26"/>
    <n v="-1.3200000000000074"/>
    <x v="0"/>
    <x v="1"/>
    <n v="0"/>
    <n v="33.800000000000004"/>
    <n v="0.26"/>
    <n v="-33.800000000000004"/>
    <s v="Ecart négatif"/>
    <n v="0"/>
  </r>
  <r>
    <x v="3"/>
    <n v="69"/>
    <x v="14"/>
    <x v="560"/>
    <n v="0.24984615384615383"/>
    <n v="35.1"/>
    <n v="0.27"/>
    <n v="-2.6200000000000045"/>
    <x v="0"/>
    <x v="1"/>
    <n v="0"/>
    <n v="35.1"/>
    <n v="0.27"/>
    <n v="-35.1"/>
    <s v="Ecart négatif"/>
    <n v="12.51999999999999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69"/>
    <x v="14"/>
    <x v="560"/>
    <n v="0.24984615384615383"/>
    <n v="35.1"/>
    <n v="0.27"/>
    <n v="-2.6200000000000045"/>
    <x v="0"/>
    <x v="1"/>
    <n v="0"/>
    <n v="35.1"/>
    <n v="0.27"/>
    <n v="-35.1"/>
    <s v="Ecart négatif"/>
    <n v="0"/>
  </r>
  <r>
    <x v="4"/>
    <n v="35"/>
    <x v="12"/>
    <x v="95"/>
    <n v="0.27"/>
    <n v="10.8"/>
    <n v="0.27"/>
    <n v="0"/>
    <x v="1"/>
    <x v="1"/>
    <n v="0"/>
    <n v="10.8"/>
    <n v="0.27"/>
    <n v="-10.8"/>
    <s v="Ecart négatif"/>
    <n v="0"/>
  </r>
  <r>
    <x v="8"/>
    <n v="50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5.4799999999999969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53"/>
    <x v="14"/>
    <x v="560"/>
    <n v="0.24984615384615383"/>
    <n v="35.1"/>
    <n v="0.27"/>
    <n v="-2.6200000000000045"/>
    <x v="0"/>
    <x v="1"/>
    <n v="0"/>
    <n v="35.1"/>
    <n v="0.27"/>
    <n v="-35.1"/>
    <s v="Ecart négatif"/>
    <n v="0"/>
  </r>
  <r>
    <x v="3"/>
    <n v="1"/>
    <x v="14"/>
    <x v="560"/>
    <n v="0.24984615384615383"/>
    <n v="33.800000000000004"/>
    <n v="0.26"/>
    <n v="-1.3200000000000074"/>
    <x v="0"/>
    <x v="1"/>
    <n v="0"/>
    <n v="33.800000000000004"/>
    <n v="0.26"/>
    <n v="-33.800000000000004"/>
    <s v="Ecart négatif"/>
    <n v="14.579999999999998"/>
  </r>
  <r>
    <x v="8"/>
    <n v="85"/>
    <x v="12"/>
    <x v="0"/>
    <n v="0"/>
    <n v="10.8"/>
    <n v="0.27"/>
    <n v="-10.8"/>
    <x v="0"/>
    <x v="1"/>
    <n v="0"/>
    <n v="10.8"/>
    <n v="0.27"/>
    <n v="-10.8"/>
    <s v="Ecart négatif"/>
    <n v="0"/>
  </r>
  <r>
    <x v="6"/>
    <n v="67"/>
    <x v="8"/>
    <x v="0"/>
    <n v="0"/>
    <n v="20.299999999999997"/>
    <n v="0.28999999999999998"/>
    <n v="-20.299999999999997"/>
    <x v="0"/>
    <x v="262"/>
    <n v="0.20100000000000001"/>
    <n v="20.299999999999997"/>
    <n v="0.28999999999999998"/>
    <n v="-6.2299999999999969"/>
    <s v="Ecart négatif"/>
    <n v="-21.589999999999996"/>
  </r>
  <r>
    <x v="7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6"/>
    <n v="94"/>
    <x v="6"/>
    <x v="0"/>
    <n v="0"/>
    <n v="0"/>
    <n v="0"/>
    <n v="0"/>
    <x v="1"/>
    <x v="12"/>
    <n v="0.17931250000000001"/>
    <n v="0"/>
    <n v="0"/>
    <n v="28.69"/>
    <s v="Ecart positif"/>
    <n v="56.79"/>
  </r>
  <r>
    <x v="2"/>
    <n v="83"/>
    <x v="12"/>
    <x v="0"/>
    <n v="0"/>
    <n v="8.4"/>
    <n v="0.21000000000000002"/>
    <n v="-8.4"/>
    <x v="0"/>
    <x v="1"/>
    <n v="0"/>
    <n v="8.4"/>
    <n v="0.21000000000000002"/>
    <n v="-8.4"/>
    <s v="Ecart négatif"/>
    <n v="41.4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6"/>
    <n v="72"/>
    <x v="19"/>
    <x v="561"/>
    <n v="0.20005263157894737"/>
    <n v="39.9"/>
    <n v="0.21"/>
    <n v="-1.8900000000000006"/>
    <x v="0"/>
    <x v="1"/>
    <n v="0"/>
    <n v="39.9"/>
    <n v="0.21"/>
    <n v="-39.9"/>
    <s v="Ecart négatif"/>
    <n v="128.22"/>
  </r>
  <r>
    <x v="4"/>
    <n v="54"/>
    <x v="2"/>
    <x v="562"/>
    <n v="0.24985714285714283"/>
    <n v="35"/>
    <n v="0.25"/>
    <n v="-2.0000000000003126E-2"/>
    <x v="0"/>
    <x v="1"/>
    <n v="0"/>
    <n v="35"/>
    <n v="0.25"/>
    <n v="-35"/>
    <s v="Ecart négatif"/>
    <n v="0"/>
  </r>
  <r>
    <x v="2"/>
    <n v="69"/>
    <x v="9"/>
    <x v="0"/>
    <n v="0"/>
    <n v="0"/>
    <n v="0"/>
    <n v="0"/>
    <x v="1"/>
    <x v="1"/>
    <n v="0"/>
    <n v="0"/>
    <n v="0"/>
    <n v="0"/>
    <s v="Pas d'écart"/>
    <n v="0"/>
  </r>
  <r>
    <x v="2"/>
    <n v="38"/>
    <x v="8"/>
    <x v="0"/>
    <n v="0"/>
    <n v="0"/>
    <n v="0"/>
    <n v="0"/>
    <x v="1"/>
    <x v="1"/>
    <n v="0"/>
    <n v="0"/>
    <n v="0"/>
    <n v="0"/>
    <s v="Pas d'écart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0"/>
    <n v="6"/>
    <x v="8"/>
    <x v="0"/>
    <n v="0"/>
    <n v="14.7"/>
    <n v="0.21"/>
    <n v="-14.7"/>
    <x v="0"/>
    <x v="1"/>
    <n v="0"/>
    <n v="14.7"/>
    <n v="0.21"/>
    <n v="-14.7"/>
    <s v="Ecart négatif"/>
    <n v="13.269999999999996"/>
  </r>
  <r>
    <x v="0"/>
    <n v="6"/>
    <x v="11"/>
    <x v="0"/>
    <n v="0"/>
    <n v="12.6"/>
    <n v="0.21"/>
    <n v="-12.6"/>
    <x v="0"/>
    <x v="1"/>
    <n v="0"/>
    <n v="12.6"/>
    <n v="0.21"/>
    <n v="-12.6"/>
    <s v="Ecart négatif"/>
    <n v="11.649999999999999"/>
  </r>
  <r>
    <x v="4"/>
    <n v="33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59"/>
    <x v="6"/>
    <x v="0"/>
    <n v="0"/>
    <n v="0"/>
    <n v="0"/>
    <n v="0"/>
    <x v="1"/>
    <x v="1"/>
    <n v="0"/>
    <n v="0"/>
    <n v="0"/>
    <n v="0"/>
    <s v="Pas d'écart"/>
    <n v="15.310000000000002"/>
  </r>
  <r>
    <x v="2"/>
    <n v="38"/>
    <x v="15"/>
    <x v="0"/>
    <n v="0"/>
    <n v="0"/>
    <n v="0"/>
    <n v="0"/>
    <x v="1"/>
    <x v="1"/>
    <n v="0"/>
    <n v="0"/>
    <n v="0"/>
    <n v="0"/>
    <s v="Pas d'écart"/>
    <n v="0"/>
  </r>
  <r>
    <x v="2"/>
    <n v="13"/>
    <x v="7"/>
    <x v="0"/>
    <n v="0"/>
    <n v="5.7"/>
    <n v="0.19"/>
    <n v="-5.7"/>
    <x v="0"/>
    <x v="1"/>
    <n v="0"/>
    <n v="5.7"/>
    <n v="0.19"/>
    <n v="-5.7"/>
    <s v="Ecart négatif"/>
    <n v="20.93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0"/>
  </r>
  <r>
    <x v="2"/>
    <n v="13"/>
    <x v="12"/>
    <x v="0"/>
    <n v="0"/>
    <n v="7.6"/>
    <n v="0.19"/>
    <n v="-7.6"/>
    <x v="0"/>
    <x v="1"/>
    <n v="0"/>
    <n v="7.6"/>
    <n v="0.19"/>
    <n v="-7.6"/>
    <s v="Ecart négatif"/>
    <n v="34.29"/>
  </r>
  <r>
    <x v="0"/>
    <n v="75"/>
    <x v="16"/>
    <x v="0"/>
    <n v="0"/>
    <n v="0"/>
    <n v="0"/>
    <n v="0"/>
    <x v="1"/>
    <x v="1"/>
    <n v="0"/>
    <n v="0"/>
    <n v="0"/>
    <n v="0"/>
    <s v="Pas d'écart"/>
    <n v="63.75"/>
  </r>
  <r>
    <x v="2"/>
    <n v="41"/>
    <x v="10"/>
    <x v="0"/>
    <n v="0"/>
    <n v="18"/>
    <n v="0.12"/>
    <n v="-18"/>
    <x v="0"/>
    <x v="1"/>
    <n v="0"/>
    <n v="18"/>
    <n v="0.12"/>
    <n v="-18"/>
    <s v="Ecart négatif"/>
    <n v="73.959999999999994"/>
  </r>
  <r>
    <x v="2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2"/>
    <n v="73"/>
    <x v="3"/>
    <x v="0"/>
    <n v="0"/>
    <n v="0"/>
    <n v="0"/>
    <n v="0"/>
    <x v="1"/>
    <x v="1"/>
    <n v="0"/>
    <n v="0"/>
    <n v="0"/>
    <n v="0"/>
    <s v="Pas d'écart"/>
    <n v="146.57"/>
  </r>
  <r>
    <x v="0"/>
    <n v="74"/>
    <x v="22"/>
    <x v="0"/>
    <n v="0"/>
    <n v="0"/>
    <n v="0"/>
    <n v="0"/>
    <x v="1"/>
    <x v="1"/>
    <n v="0"/>
    <n v="0"/>
    <n v="0"/>
    <n v="0"/>
    <s v="Pas d'écart"/>
    <n v="75.92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7"/>
    <n v="51"/>
    <x v="15"/>
    <x v="0"/>
    <n v="0"/>
    <n v="5"/>
    <n v="0.25"/>
    <n v="-5"/>
    <x v="0"/>
    <x v="1"/>
    <n v="0"/>
    <n v="5"/>
    <n v="0.25"/>
    <n v="-5"/>
    <s v="Ecart négatif"/>
    <n v="15.8"/>
  </r>
  <r>
    <x v="6"/>
    <n v="74"/>
    <x v="14"/>
    <x v="0"/>
    <n v="0"/>
    <n v="33.800000000000004"/>
    <n v="0.26"/>
    <n v="-33.800000000000004"/>
    <x v="0"/>
    <x v="1"/>
    <n v="0"/>
    <n v="33.800000000000004"/>
    <n v="0.26"/>
    <n v="-33.800000000000004"/>
    <s v="Ecart négatif"/>
    <n v="0"/>
  </r>
  <r>
    <x v="0"/>
    <n v="69"/>
    <x v="33"/>
    <x v="0"/>
    <n v="0"/>
    <n v="0"/>
    <n v="0"/>
    <n v="0"/>
    <x v="1"/>
    <x v="1"/>
    <n v="0"/>
    <n v="0"/>
    <n v="0"/>
    <n v="0"/>
    <s v="Pas d'écart"/>
    <n v="29.029999999999987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42"/>
    <x v="11"/>
    <x v="0"/>
    <n v="0"/>
    <n v="15.600000000000001"/>
    <n v="0.26"/>
    <n v="-15.600000000000001"/>
    <x v="0"/>
    <x v="1"/>
    <n v="0"/>
    <n v="15.600000000000001"/>
    <n v="0.26"/>
    <n v="-15.600000000000001"/>
    <s v="Ecart négatif"/>
    <n v="25.37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2"/>
    <n v="24"/>
    <x v="45"/>
    <x v="0"/>
    <n v="0"/>
    <n v="85"/>
    <n v="0.17"/>
    <n v="-85"/>
    <x v="0"/>
    <x v="263"/>
    <n v="0.16974"/>
    <n v="85"/>
    <n v="0.17"/>
    <n v="-0.12999999999999545"/>
    <s v="Ecart négatif"/>
    <n v="442.44"/>
  </r>
  <r>
    <x v="2"/>
    <n v="76"/>
    <x v="0"/>
    <x v="0"/>
    <n v="0"/>
    <n v="30.6"/>
    <n v="0.17"/>
    <n v="-30.6"/>
    <x v="0"/>
    <x v="1"/>
    <n v="0"/>
    <n v="30.6"/>
    <n v="0.17"/>
    <n v="-30.6"/>
    <s v="Ecart négatif"/>
    <n v="92.1"/>
  </r>
  <r>
    <x v="2"/>
    <n v="81"/>
    <x v="63"/>
    <x v="0"/>
    <n v="0"/>
    <n v="260"/>
    <n v="0.26"/>
    <n v="-260"/>
    <x v="0"/>
    <x v="1"/>
    <n v="0"/>
    <n v="260"/>
    <n v="0.26"/>
    <n v="-260"/>
    <s v="Ecart négatif"/>
    <e v="#N/A"/>
  </r>
  <r>
    <x v="8"/>
    <n v="54"/>
    <x v="9"/>
    <x v="0"/>
    <n v="0"/>
    <n v="20"/>
    <n v="0.25"/>
    <n v="-20"/>
    <x v="0"/>
    <x v="1"/>
    <n v="0"/>
    <n v="20"/>
    <n v="0.25"/>
    <n v="-20"/>
    <s v="Ecart négatif"/>
    <n v="0"/>
  </r>
  <r>
    <x v="0"/>
    <n v="93"/>
    <x v="77"/>
    <x v="0"/>
    <n v="0"/>
    <n v="0"/>
    <n v="0"/>
    <n v="0"/>
    <x v="1"/>
    <x v="1"/>
    <n v="0"/>
    <n v="0"/>
    <n v="0"/>
    <n v="0"/>
    <s v="Pas d'écart"/>
    <e v="#N/A"/>
  </r>
  <r>
    <x v="0"/>
    <n v="61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7.76"/>
  </r>
  <r>
    <x v="0"/>
    <n v="26"/>
    <x v="11"/>
    <x v="0"/>
    <n v="0"/>
    <n v="0"/>
    <n v="0"/>
    <n v="0"/>
    <x v="1"/>
    <x v="1"/>
    <n v="0"/>
    <n v="0"/>
    <n v="0"/>
    <n v="0"/>
    <s v="Pas d'écart"/>
    <n v="11.649999999999999"/>
  </r>
  <r>
    <x v="2"/>
    <n v="44"/>
    <x v="0"/>
    <x v="0"/>
    <n v="0"/>
    <n v="0"/>
    <n v="0"/>
    <n v="0"/>
    <x v="1"/>
    <x v="1"/>
    <n v="0"/>
    <n v="0"/>
    <n v="0"/>
    <n v="0"/>
    <s v="Pas d'écart"/>
    <n v="0"/>
  </r>
  <r>
    <x v="0"/>
    <n v="67"/>
    <x v="2"/>
    <x v="0"/>
    <n v="0"/>
    <n v="11.200000000000001"/>
    <n v="0.08"/>
    <n v="-11.200000000000001"/>
    <x v="0"/>
    <x v="264"/>
    <n v="7.4999999999999997E-2"/>
    <n v="11.200000000000001"/>
    <n v="0.08"/>
    <n v="-0.70000000000000107"/>
    <s v="Ecart négatif"/>
    <n v="65.680000000000007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4"/>
    <n v="6"/>
    <x v="7"/>
    <x v="563"/>
    <n v="0.25"/>
    <n v="9"/>
    <n v="0.3"/>
    <n v="-1.5"/>
    <x v="0"/>
    <x v="1"/>
    <n v="0"/>
    <n v="9"/>
    <n v="0.3"/>
    <n v="-9"/>
    <s v="Ecart négatif"/>
    <n v="0"/>
  </r>
  <r>
    <x v="2"/>
    <n v="76"/>
    <x v="27"/>
    <x v="0"/>
    <n v="0"/>
    <n v="8.5"/>
    <n v="0.17"/>
    <n v="-8.5"/>
    <x v="0"/>
    <x v="1"/>
    <n v="0"/>
    <n v="8.5"/>
    <n v="0.17"/>
    <n v="-8.5"/>
    <s v="Ecart négatif"/>
    <n v="40.19"/>
  </r>
  <r>
    <x v="6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0"/>
  </r>
  <r>
    <x v="3"/>
    <n v="44"/>
    <x v="18"/>
    <x v="564"/>
    <n v="0.25"/>
    <n v="24.3"/>
    <n v="0.27"/>
    <n v="-1.8000000000000007"/>
    <x v="0"/>
    <x v="1"/>
    <n v="0"/>
    <n v="24.3"/>
    <n v="0.27"/>
    <n v="-24.3"/>
    <s v="Ecart négatif"/>
    <n v="10.029999999999994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2"/>
    <n v="13"/>
    <x v="10"/>
    <x v="0"/>
    <n v="0"/>
    <n v="28.5"/>
    <n v="0.19"/>
    <n v="-28.5"/>
    <x v="0"/>
    <x v="265"/>
    <n v="0.18093333333333333"/>
    <n v="28.5"/>
    <n v="0.19"/>
    <n v="-1.3599999999999994"/>
    <s v="Ecart négatif"/>
    <n v="68.78"/>
  </r>
  <r>
    <x v="6"/>
    <n v="31"/>
    <x v="11"/>
    <x v="565"/>
    <n v="0.19633333333333333"/>
    <n v="11.4"/>
    <n v="0.19"/>
    <n v="0.37999999999999901"/>
    <x v="2"/>
    <x v="1"/>
    <n v="0"/>
    <n v="11.4"/>
    <n v="0.19"/>
    <n v="-11.4"/>
    <s v="Ecart négatif"/>
    <n v="42.4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4"/>
    <n v="57"/>
    <x v="12"/>
    <x v="498"/>
    <n v="0.25"/>
    <n v="9.6"/>
    <n v="0.24"/>
    <n v="0.40000000000000036"/>
    <x v="2"/>
    <x v="1"/>
    <n v="0"/>
    <n v="9.6"/>
    <n v="0.24"/>
    <n v="-9.6"/>
    <s v="Ecart négatif"/>
    <n v="0"/>
  </r>
  <r>
    <x v="4"/>
    <n v="35"/>
    <x v="14"/>
    <x v="566"/>
    <n v="0.25061538461538463"/>
    <n v="35.1"/>
    <n v="0.27"/>
    <n v="-2.5200000000000031"/>
    <x v="0"/>
    <x v="1"/>
    <n v="0"/>
    <n v="35.1"/>
    <n v="0.27"/>
    <n v="-35.1"/>
    <s v="Ecart négatif"/>
    <n v="0"/>
  </r>
  <r>
    <x v="4"/>
    <n v="93"/>
    <x v="21"/>
    <x v="0"/>
    <e v="#DIV/0!"/>
    <n v="0"/>
    <e v="#DIV/0!"/>
    <n v="0"/>
    <x v="1"/>
    <x v="1"/>
    <e v="#DIV/0!"/>
    <n v="0"/>
    <e v="#DIV/0!"/>
    <n v="0"/>
    <s v="Pas d'écart"/>
    <e v="#N/A"/>
  </r>
  <r>
    <x v="7"/>
    <n v="79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23.21000000000000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0"/>
    <n v="67"/>
    <x v="43"/>
    <x v="0"/>
    <n v="0"/>
    <n v="25.6"/>
    <n v="0.08"/>
    <n v="-25.6"/>
    <x v="0"/>
    <x v="1"/>
    <n v="0"/>
    <n v="25.6"/>
    <n v="0.08"/>
    <n v="-25.6"/>
    <s v="Ecart négatif"/>
    <n v="159.22"/>
  </r>
  <r>
    <x v="4"/>
    <n v="69"/>
    <x v="14"/>
    <x v="566"/>
    <n v="0.25061538461538463"/>
    <n v="35.1"/>
    <n v="0.27"/>
    <n v="-2.5200000000000031"/>
    <x v="0"/>
    <x v="1"/>
    <n v="0"/>
    <n v="35.1"/>
    <n v="0.27"/>
    <n v="-35.1"/>
    <s v="Ecart négatif"/>
    <n v="0"/>
  </r>
  <r>
    <x v="4"/>
    <n v="49"/>
    <x v="8"/>
    <x v="567"/>
    <n v="0.25071428571428572"/>
    <n v="18.900000000000002"/>
    <n v="0.27"/>
    <n v="-1.3500000000000014"/>
    <x v="0"/>
    <x v="1"/>
    <n v="0"/>
    <n v="18.900000000000002"/>
    <n v="0.27"/>
    <n v="-18.900000000000002"/>
    <s v="Ecart négatif"/>
    <n v="0"/>
  </r>
  <r>
    <x v="6"/>
    <n v="56"/>
    <x v="2"/>
    <x v="60"/>
    <n v="0.26999999999999996"/>
    <n v="37.800000000000004"/>
    <n v="0.27"/>
    <n v="0"/>
    <x v="1"/>
    <x v="1"/>
    <n v="0"/>
    <n v="37.800000000000004"/>
    <n v="0.27"/>
    <n v="-37.800000000000004"/>
    <s v="Ecart négatif"/>
    <n v="73.41"/>
  </r>
  <r>
    <x v="4"/>
    <n v="44"/>
    <x v="14"/>
    <x v="568"/>
    <n v="0.251"/>
    <n v="35.1"/>
    <n v="0.27"/>
    <n v="-2.4699999999999989"/>
    <x v="0"/>
    <x v="1"/>
    <n v="0"/>
    <n v="35.1"/>
    <n v="0.27"/>
    <n v="-35.1"/>
    <s v="Ecart négatif"/>
    <n v="0"/>
  </r>
  <r>
    <x v="0"/>
    <n v="75"/>
    <x v="6"/>
    <x v="0"/>
    <n v="0"/>
    <n v="0"/>
    <n v="0"/>
    <n v="0"/>
    <x v="1"/>
    <x v="1"/>
    <n v="0"/>
    <n v="0"/>
    <n v="0"/>
    <n v="0"/>
    <s v="Pas d'écart"/>
    <n v="56.79"/>
  </r>
  <r>
    <x v="4"/>
    <n v="38"/>
    <x v="2"/>
    <x v="569"/>
    <n v="0.25107142857142856"/>
    <n v="37.800000000000004"/>
    <n v="0.27"/>
    <n v="-2.6500000000000057"/>
    <x v="0"/>
    <x v="1"/>
    <n v="0"/>
    <n v="37.800000000000004"/>
    <n v="0.27"/>
    <n v="-37.800000000000004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85"/>
    <x v="2"/>
    <x v="569"/>
    <n v="0.25107142857142856"/>
    <n v="37.800000000000004"/>
    <n v="0.27"/>
    <n v="-2.6500000000000057"/>
    <x v="0"/>
    <x v="1"/>
    <n v="0"/>
    <n v="37.800000000000004"/>
    <n v="0.27"/>
    <n v="-37.800000000000004"/>
    <s v="Ecart négatif"/>
    <n v="0"/>
  </r>
  <r>
    <x v="4"/>
    <n v="49"/>
    <x v="2"/>
    <x v="569"/>
    <n v="0.25107142857142856"/>
    <n v="37.800000000000004"/>
    <n v="0.27"/>
    <n v="-2.6500000000000057"/>
    <x v="0"/>
    <x v="1"/>
    <n v="0"/>
    <n v="37.800000000000004"/>
    <n v="0.27"/>
    <n v="-37.800000000000004"/>
    <s v="Ecart négatif"/>
    <n v="0"/>
  </r>
  <r>
    <x v="0"/>
    <n v="75"/>
    <x v="13"/>
    <x v="0"/>
    <n v="0"/>
    <n v="0"/>
    <n v="0"/>
    <n v="0"/>
    <x v="1"/>
    <x v="1"/>
    <n v="0"/>
    <n v="0"/>
    <n v="0"/>
    <n v="0"/>
    <s v="Pas d'écart"/>
    <n v="11.71"/>
  </r>
  <r>
    <x v="7"/>
    <n v="73"/>
    <x v="0"/>
    <x v="0"/>
    <n v="0"/>
    <n v="48.6"/>
    <n v="0.27"/>
    <n v="-48.6"/>
    <x v="0"/>
    <x v="1"/>
    <n v="0"/>
    <n v="48.6"/>
    <n v="0.27"/>
    <n v="-48.6"/>
    <s v="Ecart négatif"/>
    <n v="23.210000000000008"/>
  </r>
  <r>
    <x v="0"/>
    <n v="50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18.340000000000003"/>
  </r>
  <r>
    <x v="4"/>
    <n v="38"/>
    <x v="2"/>
    <x v="569"/>
    <n v="0.25107142857142856"/>
    <n v="37.800000000000004"/>
    <n v="0.27"/>
    <n v="-2.6500000000000057"/>
    <x v="0"/>
    <x v="1"/>
    <n v="0"/>
    <n v="37.800000000000004"/>
    <n v="0.27"/>
    <n v="-37.800000000000004"/>
    <s v="Ecart négatif"/>
    <n v="0"/>
  </r>
  <r>
    <x v="4"/>
    <n v="26"/>
    <x v="2"/>
    <x v="569"/>
    <n v="0.25107142857142856"/>
    <n v="37.800000000000004"/>
    <n v="0.27"/>
    <n v="-2.6500000000000057"/>
    <x v="0"/>
    <x v="1"/>
    <n v="0"/>
    <n v="37.800000000000004"/>
    <n v="0.27"/>
    <n v="-37.800000000000004"/>
    <s v="Ecart négatif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2"/>
    <n v="5"/>
    <x v="2"/>
    <x v="0"/>
    <n v="0"/>
    <n v="26.6"/>
    <n v="0.19"/>
    <n v="-26.6"/>
    <x v="0"/>
    <x v="1"/>
    <n v="0"/>
    <n v="26.6"/>
    <n v="0.19"/>
    <n v="-26.6"/>
    <s v="Ecart négatif"/>
    <n v="78.8"/>
  </r>
  <r>
    <x v="0"/>
    <n v="39"/>
    <x v="8"/>
    <x v="0"/>
    <n v="0"/>
    <n v="0"/>
    <n v="0"/>
    <n v="0"/>
    <x v="1"/>
    <x v="1"/>
    <n v="0"/>
    <n v="0"/>
    <n v="0"/>
    <n v="0"/>
    <s v="Pas d'écart"/>
    <n v="66.36"/>
  </r>
  <r>
    <x v="2"/>
    <n v="17"/>
    <x v="13"/>
    <x v="0"/>
    <n v="0"/>
    <n v="28.900000000000002"/>
    <n v="0.17"/>
    <n v="-28.900000000000002"/>
    <x v="0"/>
    <x v="1"/>
    <n v="0"/>
    <n v="28.900000000000002"/>
    <n v="0.17"/>
    <n v="-28.900000000000002"/>
    <s v="Ecart négatif"/>
    <n v="103.87"/>
  </r>
  <r>
    <x v="2"/>
    <n v="69"/>
    <x v="8"/>
    <x v="0"/>
    <n v="0"/>
    <n v="0"/>
    <n v="0"/>
    <n v="0"/>
    <x v="1"/>
    <x v="1"/>
    <n v="0"/>
    <n v="0"/>
    <n v="0"/>
    <n v="0"/>
    <s v="Pas d'écart"/>
    <n v="44.77"/>
  </r>
  <r>
    <x v="5"/>
    <n v="33"/>
    <x v="11"/>
    <x v="0"/>
    <n v="0"/>
    <n v="12.6"/>
    <n v="0.21"/>
    <n v="-12.6"/>
    <x v="0"/>
    <x v="1"/>
    <n v="0"/>
    <n v="12.6"/>
    <n v="0.21"/>
    <n v="-12.6"/>
    <s v="Ecart négatif"/>
    <n v="15.069999999999997"/>
  </r>
  <r>
    <x v="5"/>
    <n v="73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25.64"/>
  </r>
  <r>
    <x v="0"/>
    <n v="67"/>
    <x v="2"/>
    <x v="0"/>
    <n v="0"/>
    <n v="11.200000000000001"/>
    <n v="0.08"/>
    <n v="-11.200000000000001"/>
    <x v="0"/>
    <x v="264"/>
    <n v="7.4999999999999997E-2"/>
    <n v="11.200000000000001"/>
    <n v="0.08"/>
    <n v="-0.70000000000000107"/>
    <s v="Ecart négatif"/>
    <n v="65.680000000000007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21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5"/>
  </r>
  <r>
    <x v="2"/>
    <n v="56"/>
    <x v="6"/>
    <x v="0"/>
    <n v="0"/>
    <n v="0"/>
    <n v="0"/>
    <n v="0"/>
    <x v="1"/>
    <x v="266"/>
    <n v="0.27"/>
    <n v="0"/>
    <n v="0"/>
    <n v="43.2"/>
    <s v="Ecart positif"/>
    <n v="0"/>
  </r>
  <r>
    <x v="4"/>
    <n v="53"/>
    <x v="2"/>
    <x v="570"/>
    <n v="0.25121428571428572"/>
    <n v="37.800000000000004"/>
    <n v="0.27"/>
    <n v="-2.6300000000000026"/>
    <x v="0"/>
    <x v="1"/>
    <n v="0"/>
    <n v="37.800000000000004"/>
    <n v="0.27"/>
    <n v="-37.800000000000004"/>
    <s v="Ecart négatif"/>
    <n v="0"/>
  </r>
  <r>
    <x v="4"/>
    <n v="53"/>
    <x v="2"/>
    <x v="570"/>
    <n v="0.25121428571428572"/>
    <n v="37.800000000000004"/>
    <n v="0.27"/>
    <n v="-2.6300000000000026"/>
    <x v="0"/>
    <x v="1"/>
    <n v="0"/>
    <n v="37.800000000000004"/>
    <n v="0.27"/>
    <n v="-37.800000000000004"/>
    <s v="Ecart négatif"/>
    <n v="0"/>
  </r>
  <r>
    <x v="3"/>
    <n v="92"/>
    <x v="3"/>
    <x v="0"/>
    <n v="0"/>
    <n v="0"/>
    <n v="0"/>
    <n v="0"/>
    <x v="1"/>
    <x v="1"/>
    <n v="0"/>
    <n v="0"/>
    <n v="0"/>
    <n v="0"/>
    <s v="Pas d'écart"/>
    <n v="13.129999999999995"/>
  </r>
  <r>
    <x v="0"/>
    <n v="62"/>
    <x v="7"/>
    <x v="0"/>
    <n v="0"/>
    <n v="0"/>
    <n v="0"/>
    <n v="0"/>
    <x v="1"/>
    <x v="1"/>
    <n v="0"/>
    <n v="0"/>
    <n v="0"/>
    <n v="0"/>
    <s v="Pas d'écart"/>
    <n v="18.170000000000002"/>
  </r>
  <r>
    <x v="0"/>
    <n v="68"/>
    <x v="6"/>
    <x v="0"/>
    <n v="0"/>
    <n v="12.8"/>
    <n v="0.08"/>
    <n v="-12.8"/>
    <x v="0"/>
    <x v="1"/>
    <n v="0"/>
    <n v="12.8"/>
    <n v="0.08"/>
    <n v="-12.8"/>
    <s v="Ecart négatif"/>
    <n v="17.02000000000001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4"/>
    <n v="75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38"/>
    <x v="2"/>
    <x v="571"/>
    <n v="0.25135714285714283"/>
    <n v="37.800000000000004"/>
    <n v="0.27"/>
    <n v="-2.6100000000000065"/>
    <x v="0"/>
    <x v="1"/>
    <n v="0"/>
    <n v="37.800000000000004"/>
    <n v="0.27"/>
    <n v="-37.800000000000004"/>
    <s v="Ecart négatif"/>
    <n v="0"/>
  </r>
  <r>
    <x v="8"/>
    <n v="34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0"/>
  </r>
  <r>
    <x v="3"/>
    <n v="69"/>
    <x v="16"/>
    <x v="572"/>
    <n v="0.27"/>
    <n v="54"/>
    <n v="0.27"/>
    <n v="0"/>
    <x v="1"/>
    <x v="1"/>
    <n v="0"/>
    <n v="54"/>
    <n v="0.27"/>
    <n v="-54"/>
    <s v="Ecart négatif"/>
    <n v="21.53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68"/>
    <x v="27"/>
    <x v="573"/>
    <n v="0.252"/>
    <n v="14.499999999999998"/>
    <n v="0.28999999999999998"/>
    <n v="-1.8999999999999986"/>
    <x v="0"/>
    <x v="1"/>
    <n v="0"/>
    <n v="14.499999999999998"/>
    <n v="0.28999999999999998"/>
    <n v="-14.499999999999998"/>
    <s v="Ecart négatif"/>
    <n v="0"/>
  </r>
  <r>
    <x v="3"/>
    <n v="59"/>
    <x v="2"/>
    <x v="80"/>
    <n v="0.19"/>
    <n v="26.6"/>
    <n v="0.19"/>
    <n v="0"/>
    <x v="1"/>
    <x v="1"/>
    <n v="0"/>
    <n v="26.6"/>
    <n v="0.19"/>
    <n v="-26.6"/>
    <s v="Ecart négatif"/>
    <n v="13.140000000000008"/>
  </r>
  <r>
    <x v="4"/>
    <n v="68"/>
    <x v="27"/>
    <x v="573"/>
    <n v="0.252"/>
    <n v="14.499999999999998"/>
    <n v="0.28999999999999998"/>
    <n v="-1.8999999999999986"/>
    <x v="0"/>
    <x v="1"/>
    <n v="0"/>
    <n v="14.499999999999998"/>
    <n v="0.28999999999999998"/>
    <n v="-14.499999999999998"/>
    <s v="Ecart négatif"/>
    <n v="0"/>
  </r>
  <r>
    <x v="0"/>
    <n v="75"/>
    <x v="7"/>
    <x v="0"/>
    <n v="0"/>
    <n v="0"/>
    <n v="0"/>
    <n v="0"/>
    <x v="1"/>
    <x v="1"/>
    <n v="0"/>
    <n v="0"/>
    <n v="0"/>
    <n v="0"/>
    <s v="Pas d'écart"/>
    <n v="20.87"/>
  </r>
  <r>
    <x v="4"/>
    <n v="44"/>
    <x v="4"/>
    <x v="370"/>
    <n v="0.252"/>
    <n v="29.700000000000003"/>
    <n v="0.27"/>
    <n v="-1.980000000000004"/>
    <x v="0"/>
    <x v="1"/>
    <n v="0"/>
    <n v="29.700000000000003"/>
    <n v="0.27"/>
    <n v="-29.700000000000003"/>
    <s v="Ecart négatif"/>
    <n v="0"/>
  </r>
  <r>
    <x v="0"/>
    <n v="13"/>
    <x v="7"/>
    <x v="0"/>
    <n v="0"/>
    <n v="5.7"/>
    <n v="0.19"/>
    <n v="-5.7"/>
    <x v="0"/>
    <x v="1"/>
    <n v="0"/>
    <n v="5.7"/>
    <n v="0.19"/>
    <n v="-5.7"/>
    <s v="Ecart négatif"/>
    <n v="4.1900000000000013"/>
  </r>
  <r>
    <x v="3"/>
    <n v="42"/>
    <x v="1"/>
    <x v="574"/>
    <n v="0.25216666666666671"/>
    <n v="31.200000000000003"/>
    <n v="0.26"/>
    <n v="-0.94000000000000128"/>
    <x v="0"/>
    <x v="1"/>
    <n v="0"/>
    <n v="31.200000000000003"/>
    <n v="0.26"/>
    <n v="-31.200000000000003"/>
    <s v="Ecart négatif"/>
    <n v="14.470000000000006"/>
  </r>
  <r>
    <x v="8"/>
    <n v="73"/>
    <x v="6"/>
    <x v="0"/>
    <n v="0"/>
    <n v="43.2"/>
    <n v="0.27"/>
    <n v="-43.2"/>
    <x v="0"/>
    <x v="1"/>
    <n v="0"/>
    <n v="43.2"/>
    <n v="0.27"/>
    <n v="-43.2"/>
    <s v="Ecart négatif"/>
    <n v="0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8"/>
    <n v="34"/>
    <x v="1"/>
    <x v="0"/>
    <n v="0"/>
    <n v="46.800000000000004"/>
    <n v="0.39"/>
    <n v="-46.800000000000004"/>
    <x v="0"/>
    <x v="1"/>
    <n v="0"/>
    <n v="46.800000000000004"/>
    <n v="0.39"/>
    <n v="-46.800000000000004"/>
    <s v="Ecart négatif"/>
    <n v="0"/>
  </r>
  <r>
    <x v="4"/>
    <n v="44"/>
    <x v="1"/>
    <x v="574"/>
    <n v="0.25216666666666671"/>
    <n v="32.400000000000006"/>
    <n v="0.27000000000000007"/>
    <n v="-2.1400000000000041"/>
    <x v="0"/>
    <x v="1"/>
    <n v="0"/>
    <n v="32.400000000000006"/>
    <n v="0.27000000000000007"/>
    <n v="-32.400000000000006"/>
    <s v="Ecart négatif"/>
    <n v="0"/>
  </r>
  <r>
    <x v="4"/>
    <n v="74"/>
    <x v="7"/>
    <x v="575"/>
    <n v="0.25233333333333335"/>
    <n v="7.8000000000000007"/>
    <n v="0.26"/>
    <n v="-0.23000000000000043"/>
    <x v="0"/>
    <x v="1"/>
    <n v="0"/>
    <n v="7.8000000000000007"/>
    <n v="0.26"/>
    <n v="-7.8000000000000007"/>
    <s v="Ecart négatif"/>
    <n v="0"/>
  </r>
  <r>
    <x v="8"/>
    <n v="75"/>
    <x v="11"/>
    <x v="0"/>
    <n v="0"/>
    <n v="0"/>
    <n v="0"/>
    <n v="0"/>
    <x v="1"/>
    <x v="1"/>
    <n v="0"/>
    <n v="0"/>
    <n v="0"/>
    <n v="0"/>
    <s v="Pas d'écart"/>
    <n v="-8.2199999999999989"/>
  </r>
  <r>
    <x v="8"/>
    <n v="94"/>
    <x v="6"/>
    <x v="0"/>
    <n v="0"/>
    <n v="0"/>
    <n v="0"/>
    <n v="0"/>
    <x v="1"/>
    <x v="1"/>
    <n v="0"/>
    <n v="0"/>
    <n v="0"/>
    <n v="0"/>
    <s v="Pas d'écart"/>
    <n v="-19.770000000000003"/>
  </r>
  <r>
    <x v="2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17"/>
    <x v="13"/>
    <x v="0"/>
    <n v="0"/>
    <n v="28.900000000000002"/>
    <n v="0.17"/>
    <n v="-28.900000000000002"/>
    <x v="0"/>
    <x v="1"/>
    <n v="0"/>
    <n v="28.900000000000002"/>
    <n v="0.17"/>
    <n v="-28.900000000000002"/>
    <s v="Ecart négatif"/>
    <n v="103.87"/>
  </r>
  <r>
    <x v="2"/>
    <n v="30"/>
    <x v="7"/>
    <x v="0"/>
    <n v="0"/>
    <n v="8.4"/>
    <n v="0.28000000000000003"/>
    <n v="-8.4"/>
    <x v="0"/>
    <x v="267"/>
    <n v="0.23933333333333331"/>
    <n v="8.4"/>
    <n v="0.28000000000000003"/>
    <n v="-1.2200000000000006"/>
    <s v="Ecart négatif"/>
    <n v="23.07"/>
  </r>
  <r>
    <x v="2"/>
    <n v="44"/>
    <x v="19"/>
    <x v="0"/>
    <n v="0"/>
    <n v="0"/>
    <n v="0"/>
    <n v="0"/>
    <x v="1"/>
    <x v="252"/>
    <n v="0.26142105263157894"/>
    <n v="0"/>
    <n v="0"/>
    <n v="49.67"/>
    <s v="Ecart positif"/>
    <n v="99.88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5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76"/>
    <x v="0"/>
    <x v="266"/>
    <n v="0.17"/>
    <n v="30.6"/>
    <n v="0.17"/>
    <n v="0"/>
    <x v="1"/>
    <x v="1"/>
    <n v="0"/>
    <n v="30.6"/>
    <n v="0.17"/>
    <n v="-30.6"/>
    <s v="Ecart négatif"/>
    <n v="0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67"/>
    <x v="6"/>
    <x v="576"/>
    <n v="0.27368749999999997"/>
    <n v="46.4"/>
    <n v="0.28999999999999998"/>
    <n v="-2.6099999999999994"/>
    <x v="0"/>
    <x v="1"/>
    <n v="0"/>
    <n v="46.4"/>
    <n v="0.28999999999999998"/>
    <n v="-46.4"/>
    <s v="Ecart négatif"/>
    <n v="76.56"/>
  </r>
  <r>
    <x v="2"/>
    <n v="42"/>
    <x v="2"/>
    <x v="0"/>
    <n v="0"/>
    <n v="0"/>
    <n v="0"/>
    <n v="0"/>
    <x v="1"/>
    <x v="1"/>
    <n v="0"/>
    <n v="0"/>
    <n v="0"/>
    <n v="0"/>
    <s v="Pas d'écart"/>
    <n v="73.41"/>
  </r>
  <r>
    <x v="7"/>
    <n v="78"/>
    <x v="0"/>
    <x v="0"/>
    <n v="0"/>
    <n v="0"/>
    <n v="0"/>
    <n v="0"/>
    <x v="1"/>
    <x v="1"/>
    <n v="0"/>
    <n v="0"/>
    <n v="0"/>
    <n v="0"/>
    <s v="Pas d'écart"/>
    <n v="-32.559999999999995"/>
  </r>
  <r>
    <x v="0"/>
    <n v="95"/>
    <x v="70"/>
    <x v="0"/>
    <n v="0"/>
    <n v="0"/>
    <n v="0"/>
    <n v="0"/>
    <x v="1"/>
    <x v="1"/>
    <n v="0"/>
    <n v="0"/>
    <n v="0"/>
    <n v="0"/>
    <s v="Pas d'écart"/>
    <e v="#N/A"/>
  </r>
  <r>
    <x v="5"/>
    <n v="45"/>
    <x v="2"/>
    <x v="0"/>
    <n v="0"/>
    <n v="29.4"/>
    <n v="0.21"/>
    <n v="-29.4"/>
    <x v="0"/>
    <x v="1"/>
    <n v="0"/>
    <n v="29.4"/>
    <n v="0.21"/>
    <n v="-29.4"/>
    <s v="Ecart négatif"/>
    <n v="14.68"/>
  </r>
  <r>
    <x v="8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0"/>
  </r>
  <r>
    <x v="6"/>
    <n v="75"/>
    <x v="2"/>
    <x v="0"/>
    <n v="0"/>
    <n v="0"/>
    <n v="0"/>
    <n v="0"/>
    <x v="1"/>
    <x v="1"/>
    <n v="0"/>
    <n v="0"/>
    <n v="0"/>
    <n v="0"/>
    <s v="Pas d'écart"/>
    <n v="0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1"/>
    <n v="44"/>
    <x v="13"/>
    <x v="0"/>
    <n v="0"/>
    <n v="45.900000000000006"/>
    <n v="0.27"/>
    <n v="-45.900000000000006"/>
    <x v="0"/>
    <x v="1"/>
    <n v="0"/>
    <n v="45.900000000000006"/>
    <n v="0.27"/>
    <n v="-45.900000000000006"/>
    <s v="Ecart négatif"/>
    <n v="84.33"/>
  </r>
  <r>
    <x v="6"/>
    <n v="34"/>
    <x v="10"/>
    <x v="0"/>
    <n v="0"/>
    <n v="58.5"/>
    <n v="0.39"/>
    <n v="-58.5"/>
    <x v="0"/>
    <x v="1"/>
    <n v="0"/>
    <n v="58.5"/>
    <n v="0.39"/>
    <n v="-58.5"/>
    <s v="Ecart négatif"/>
    <n v="0"/>
  </r>
  <r>
    <x v="2"/>
    <n v="29"/>
    <x v="9"/>
    <x v="0"/>
    <n v="0"/>
    <n v="9.6"/>
    <n v="0.12"/>
    <n v="-9.6"/>
    <x v="0"/>
    <x v="1"/>
    <n v="0"/>
    <n v="9.6"/>
    <n v="0.12"/>
    <n v="-9.6"/>
    <s v="Ecart négatif"/>
    <n v="0"/>
  </r>
  <r>
    <x v="2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6"/>
    <n v="73"/>
    <x v="16"/>
    <x v="0"/>
    <n v="0"/>
    <n v="54"/>
    <n v="0.27"/>
    <n v="-54"/>
    <x v="0"/>
    <x v="1"/>
    <n v="0"/>
    <n v="54"/>
    <n v="0.27"/>
    <n v="-54"/>
    <s v="Ecart négatif"/>
    <n v="0"/>
  </r>
  <r>
    <x v="5"/>
    <n v="63"/>
    <x v="13"/>
    <x v="0"/>
    <n v="0"/>
    <n v="49.3"/>
    <n v="0.28999999999999998"/>
    <n v="-49.3"/>
    <x v="0"/>
    <x v="1"/>
    <n v="0"/>
    <n v="49.3"/>
    <n v="0.28999999999999998"/>
    <n v="-49.3"/>
    <s v="Ecart négatif"/>
    <n v="16.870000000000005"/>
  </r>
  <r>
    <x v="8"/>
    <n v="75"/>
    <x v="0"/>
    <x v="0"/>
    <n v="0"/>
    <n v="0"/>
    <n v="0"/>
    <n v="0"/>
    <x v="1"/>
    <x v="1"/>
    <n v="0"/>
    <n v="0"/>
    <n v="0"/>
    <n v="0"/>
    <s v="Pas d'écart"/>
    <n v="0"/>
  </r>
  <r>
    <x v="8"/>
    <n v="51"/>
    <x v="4"/>
    <x v="0"/>
    <n v="0"/>
    <n v="27.5"/>
    <n v="0.25"/>
    <n v="-27.5"/>
    <x v="0"/>
    <x v="1"/>
    <n v="0"/>
    <n v="27.5"/>
    <n v="0.25"/>
    <n v="-27.5"/>
    <s v="Ecart négatif"/>
    <n v="0"/>
  </r>
  <r>
    <x v="0"/>
    <n v="37"/>
    <x v="6"/>
    <x v="0"/>
    <n v="0"/>
    <n v="19.2"/>
    <n v="0.12"/>
    <n v="-19.2"/>
    <x v="0"/>
    <x v="1"/>
    <n v="0"/>
    <n v="19.2"/>
    <n v="0.12"/>
    <n v="-19.2"/>
    <s v="Ecart négatif"/>
    <n v="15.310000000000002"/>
  </r>
  <r>
    <x v="6"/>
    <n v="38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68"/>
    <x v="9"/>
    <x v="0"/>
    <n v="0"/>
    <n v="6.4"/>
    <n v="0.08"/>
    <n v="-6.4"/>
    <x v="0"/>
    <x v="1"/>
    <n v="0"/>
    <n v="6.4"/>
    <n v="0.08"/>
    <n v="-6.4"/>
    <s v="Ecart négatif"/>
    <n v="0"/>
  </r>
  <r>
    <x v="0"/>
    <n v="68"/>
    <x v="15"/>
    <x v="0"/>
    <n v="0"/>
    <n v="1.6"/>
    <n v="0.08"/>
    <n v="-1.6"/>
    <x v="0"/>
    <x v="30"/>
    <n v="0.08"/>
    <n v="1.6"/>
    <n v="0.08"/>
    <n v="0"/>
    <s v="Pas d'écart"/>
    <n v="3.67"/>
  </r>
  <r>
    <x v="3"/>
    <n v="49"/>
    <x v="10"/>
    <x v="577"/>
    <n v="0.25253333333333333"/>
    <n v="40.5"/>
    <n v="0.27"/>
    <n v="-2.6199999999999974"/>
    <x v="0"/>
    <x v="1"/>
    <n v="0"/>
    <n v="40.5"/>
    <n v="0.27"/>
    <n v="-40.5"/>
    <s v="Ecart négatif"/>
    <n v="14.789999999999992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2"/>
    <n v="74"/>
    <x v="22"/>
    <x v="0"/>
    <n v="0"/>
    <n v="0"/>
    <n v="0"/>
    <n v="0"/>
    <x v="1"/>
    <x v="1"/>
    <n v="0"/>
    <n v="0"/>
    <n v="0"/>
    <n v="0"/>
    <s v="Pas d'écart"/>
    <n v="75.92"/>
  </r>
  <r>
    <x v="0"/>
    <n v="59"/>
    <x v="0"/>
    <x v="0"/>
    <n v="0"/>
    <n v="0"/>
    <n v="0"/>
    <n v="0"/>
    <x v="1"/>
    <x v="230"/>
    <n v="0.19"/>
    <n v="0"/>
    <n v="0"/>
    <n v="34.200000000000003"/>
    <s v="Ecart positif"/>
    <n v="18.419999999999987"/>
  </r>
  <r>
    <x v="2"/>
    <n v="72"/>
    <x v="9"/>
    <x v="0"/>
    <n v="0"/>
    <n v="9.6"/>
    <n v="0.12"/>
    <n v="-9.6"/>
    <x v="0"/>
    <x v="268"/>
    <n v="0.112625"/>
    <n v="9.6"/>
    <n v="0.12"/>
    <n v="-0.58999999999999986"/>
    <s v="Ecart négatif"/>
    <n v="0"/>
  </r>
  <r>
    <x v="2"/>
    <n v="38"/>
    <x v="2"/>
    <x v="0"/>
    <n v="0"/>
    <n v="0"/>
    <n v="0"/>
    <n v="0"/>
    <x v="1"/>
    <x v="1"/>
    <n v="0"/>
    <n v="0"/>
    <n v="0"/>
    <n v="0"/>
    <s v="Pas d'écart"/>
    <n v="73.41"/>
  </r>
  <r>
    <x v="2"/>
    <n v="69"/>
    <x v="18"/>
    <x v="0"/>
    <n v="0"/>
    <n v="0"/>
    <n v="0"/>
    <n v="0"/>
    <x v="1"/>
    <x v="1"/>
    <n v="0"/>
    <n v="0"/>
    <n v="0"/>
    <n v="0"/>
    <s v="Pas d'écart"/>
    <n v="50.16"/>
  </r>
  <r>
    <x v="2"/>
    <n v="75"/>
    <x v="44"/>
    <x v="0"/>
    <n v="0"/>
    <n v="0"/>
    <n v="0"/>
    <n v="0"/>
    <x v="1"/>
    <x v="1"/>
    <n v="0"/>
    <n v="0"/>
    <n v="0"/>
    <n v="0"/>
    <s v="Pas d'écart"/>
    <n v="88.14"/>
  </r>
  <r>
    <x v="2"/>
    <n v="69"/>
    <x v="0"/>
    <x v="0"/>
    <n v="0"/>
    <n v="0"/>
    <n v="0"/>
    <n v="0"/>
    <x v="1"/>
    <x v="1"/>
    <n v="0"/>
    <n v="0"/>
    <n v="0"/>
    <n v="0"/>
    <s v="Pas d'écart"/>
    <n v="0"/>
  </r>
  <r>
    <x v="0"/>
    <n v="14"/>
    <x v="6"/>
    <x v="0"/>
    <n v="0"/>
    <n v="27.200000000000003"/>
    <n v="0.17"/>
    <n v="-27.200000000000003"/>
    <x v="0"/>
    <x v="3"/>
    <n v="0.16362499999999999"/>
    <n v="27.200000000000003"/>
    <n v="0.17"/>
    <n v="-1.0200000000000031"/>
    <s v="Ecart négatif"/>
    <n v="85.09"/>
  </r>
  <r>
    <x v="2"/>
    <n v="11"/>
    <x v="2"/>
    <x v="0"/>
    <n v="0"/>
    <n v="39.200000000000003"/>
    <n v="0.28000000000000003"/>
    <n v="-39.200000000000003"/>
    <x v="0"/>
    <x v="269"/>
    <n v="0.26607142857142857"/>
    <n v="39.200000000000003"/>
    <n v="0.28000000000000003"/>
    <n v="-1.9500000000000028"/>
    <s v="Ecart négatif"/>
    <n v="0"/>
  </r>
  <r>
    <x v="4"/>
    <n v="69"/>
    <x v="10"/>
    <x v="577"/>
    <n v="0.25253333333333333"/>
    <n v="40.5"/>
    <n v="0.27"/>
    <n v="-2.6199999999999974"/>
    <x v="0"/>
    <x v="1"/>
    <n v="0"/>
    <n v="40.5"/>
    <n v="0.27"/>
    <n v="-40.5"/>
    <s v="Ecart négatif"/>
    <n v="0"/>
  </r>
  <r>
    <x v="0"/>
    <n v="21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44.77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2"/>
    <n v="83"/>
    <x v="2"/>
    <x v="0"/>
    <n v="0"/>
    <n v="29.4"/>
    <n v="0.21"/>
    <n v="-29.4"/>
    <x v="0"/>
    <x v="98"/>
    <n v="0.21"/>
    <n v="29.4"/>
    <n v="0.21"/>
    <n v="0"/>
    <s v="Pas d'écart"/>
    <n v="73.41"/>
  </r>
  <r>
    <x v="2"/>
    <n v="13"/>
    <x v="16"/>
    <x v="0"/>
    <n v="0"/>
    <n v="38"/>
    <n v="0.19"/>
    <n v="-38"/>
    <x v="0"/>
    <x v="1"/>
    <n v="0"/>
    <n v="38"/>
    <n v="0.19"/>
    <n v="-38"/>
    <s v="Ecart négatif"/>
    <n v="107.65"/>
  </r>
  <r>
    <x v="2"/>
    <n v="5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16.04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27"/>
    <x v="13"/>
    <x v="0"/>
    <n v="0"/>
    <n v="28.900000000000002"/>
    <n v="0.17"/>
    <n v="-28.900000000000002"/>
    <x v="0"/>
    <x v="270"/>
    <n v="0.16799999999999998"/>
    <n v="28.900000000000002"/>
    <n v="0.17"/>
    <n v="-0.34000000000000341"/>
    <s v="Ecart négatif"/>
    <n v="0"/>
  </r>
  <r>
    <x v="2"/>
    <n v="63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20.079999999999998"/>
  </r>
  <r>
    <x v="0"/>
    <n v="76"/>
    <x v="0"/>
    <x v="0"/>
    <n v="0"/>
    <n v="30.6"/>
    <n v="0.17"/>
    <n v="-30.6"/>
    <x v="0"/>
    <x v="0"/>
    <n v="0.17"/>
    <n v="30.6"/>
    <n v="0.17"/>
    <n v="0"/>
    <s v="Pas d'écart"/>
    <n v="18.419999999999987"/>
  </r>
  <r>
    <x v="0"/>
    <n v="37"/>
    <x v="2"/>
    <x v="0"/>
    <n v="0"/>
    <n v="16.8"/>
    <n v="0.12000000000000001"/>
    <n v="-16.8"/>
    <x v="0"/>
    <x v="1"/>
    <n v="0"/>
    <n v="16.8"/>
    <n v="0.12000000000000001"/>
    <n v="-16.8"/>
    <s v="Ecart négatif"/>
    <n v="65.680000000000007"/>
  </r>
  <r>
    <x v="2"/>
    <n v="84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07.35"/>
  </r>
  <r>
    <x v="0"/>
    <n v="80"/>
    <x v="0"/>
    <x v="0"/>
    <n v="0"/>
    <n v="0"/>
    <n v="0"/>
    <n v="0"/>
    <x v="1"/>
    <x v="1"/>
    <n v="0"/>
    <n v="0"/>
    <n v="0"/>
    <n v="0"/>
    <s v="Pas d'écart"/>
    <n v="21.47"/>
  </r>
  <r>
    <x v="3"/>
    <n v="38"/>
    <x v="4"/>
    <x v="578"/>
    <n v="0.253"/>
    <n v="29.700000000000003"/>
    <n v="0.27"/>
    <n v="-1.8700000000000045"/>
    <x v="0"/>
    <x v="1"/>
    <n v="0"/>
    <n v="29.700000000000003"/>
    <n v="0.27"/>
    <n v="-29.700000000000003"/>
    <s v="Ecart négatif"/>
    <n v="14.36"/>
  </r>
  <r>
    <x v="0"/>
    <n v="70"/>
    <x v="18"/>
    <x v="0"/>
    <n v="0"/>
    <n v="10.799999999999999"/>
    <n v="0.11999999999999998"/>
    <n v="-10.799999999999999"/>
    <x v="0"/>
    <x v="271"/>
    <n v="0.11333333333333333"/>
    <n v="10.799999999999999"/>
    <n v="0.11999999999999998"/>
    <n v="-0.59999999999999964"/>
    <s v="Ecart négatif"/>
    <n v="75.19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5"/>
    <n v="47"/>
    <x v="11"/>
    <x v="0"/>
    <n v="0"/>
    <n v="12.6"/>
    <n v="0.21"/>
    <n v="-12.6"/>
    <x v="0"/>
    <x v="1"/>
    <n v="0"/>
    <n v="12.6"/>
    <n v="0.21"/>
    <n v="-12.6"/>
    <s v="Ecart négatif"/>
    <n v="25.37"/>
  </r>
  <r>
    <x v="5"/>
    <n v="91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88"/>
    <x v="11"/>
    <x v="0"/>
    <n v="0"/>
    <n v="16.8"/>
    <n v="0.28000000000000003"/>
    <n v="-16.8"/>
    <x v="0"/>
    <x v="1"/>
    <n v="0"/>
    <n v="16.8"/>
    <n v="0.28000000000000003"/>
    <n v="-16.8"/>
    <s v="Ecart négatif"/>
    <n v="25.37"/>
  </r>
  <r>
    <x v="0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77"/>
    <x v="12"/>
    <x v="0"/>
    <n v="0"/>
    <n v="0"/>
    <n v="0"/>
    <n v="0"/>
    <x v="1"/>
    <x v="1"/>
    <n v="0"/>
    <n v="0"/>
    <n v="0"/>
    <n v="0"/>
    <s v="Pas d'écart"/>
    <n v="5.23"/>
  </r>
  <r>
    <x v="0"/>
    <n v="13"/>
    <x v="7"/>
    <x v="0"/>
    <n v="0"/>
    <n v="5.7"/>
    <n v="0.19"/>
    <n v="-5.7"/>
    <x v="0"/>
    <x v="1"/>
    <n v="0"/>
    <n v="5.7"/>
    <n v="0.19"/>
    <n v="-5.7"/>
    <s v="Ecart négatif"/>
    <n v="20.93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49"/>
    <x v="14"/>
    <x v="158"/>
    <n v="0.25315384615384612"/>
    <n v="35.1"/>
    <n v="0.27"/>
    <n v="-2.1900000000000048"/>
    <x v="0"/>
    <x v="1"/>
    <n v="0"/>
    <n v="35.1"/>
    <n v="0.27"/>
    <n v="-35.1"/>
    <s v="Ecart négatif"/>
    <n v="14.579999999999998"/>
  </r>
  <r>
    <x v="3"/>
    <n v="1"/>
    <x v="14"/>
    <x v="158"/>
    <n v="0.25315384615384612"/>
    <n v="33.800000000000004"/>
    <n v="0.26"/>
    <n v="-0.89000000000000767"/>
    <x v="0"/>
    <x v="1"/>
    <n v="0"/>
    <n v="33.800000000000004"/>
    <n v="0.26"/>
    <n v="-33.800000000000004"/>
    <s v="Ecart négatif"/>
    <n v="14.579999999999998"/>
  </r>
  <r>
    <x v="0"/>
    <n v="59"/>
    <x v="16"/>
    <x v="0"/>
    <n v="0"/>
    <n v="0"/>
    <n v="0"/>
    <n v="0"/>
    <x v="1"/>
    <x v="1"/>
    <n v="0"/>
    <n v="0"/>
    <n v="0"/>
    <n v="0"/>
    <s v="Pas d'écart"/>
    <n v="107.65"/>
  </r>
  <r>
    <x v="4"/>
    <n v="44"/>
    <x v="14"/>
    <x v="158"/>
    <n v="0.25315384615384612"/>
    <n v="35.1"/>
    <n v="0.27"/>
    <n v="-2.1900000000000048"/>
    <x v="0"/>
    <x v="1"/>
    <n v="0"/>
    <n v="35.1"/>
    <n v="0.27"/>
    <n v="-35.1"/>
    <s v="Ecart négatif"/>
    <n v="0"/>
  </r>
  <r>
    <x v="0"/>
    <n v="63"/>
    <x v="12"/>
    <x v="0"/>
    <n v="0"/>
    <n v="4.8"/>
    <n v="0.12"/>
    <n v="-4.8"/>
    <x v="0"/>
    <x v="10"/>
    <n v="0.12"/>
    <n v="4.8"/>
    <n v="0.12"/>
    <n v="0"/>
    <s v="Pas d'écart"/>
    <n v="34.29"/>
  </r>
  <r>
    <x v="6"/>
    <n v="57"/>
    <x v="0"/>
    <x v="0"/>
    <n v="0"/>
    <n v="43.199999999999996"/>
    <n v="0.23999999999999996"/>
    <n v="-43.199999999999996"/>
    <x v="0"/>
    <x v="1"/>
    <n v="0"/>
    <n v="43.199999999999996"/>
    <n v="0.23999999999999996"/>
    <n v="-43.199999999999996"/>
    <s v="Ecart négatif"/>
    <n v="15.25"/>
  </r>
  <r>
    <x v="2"/>
    <n v="1"/>
    <x v="12"/>
    <x v="0"/>
    <n v="0"/>
    <n v="0"/>
    <n v="0"/>
    <n v="0"/>
    <x v="1"/>
    <x v="1"/>
    <n v="0"/>
    <n v="0"/>
    <n v="0"/>
    <n v="0"/>
    <s v="Pas d'écart"/>
    <n v="41.4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4"/>
    <n v="49"/>
    <x v="14"/>
    <x v="158"/>
    <n v="0.25315384615384612"/>
    <n v="35.1"/>
    <n v="0.27"/>
    <n v="-2.1900000000000048"/>
    <x v="0"/>
    <x v="1"/>
    <n v="0"/>
    <n v="35.1"/>
    <n v="0.27"/>
    <n v="-35.1"/>
    <s v="Ecart négatif"/>
    <n v="0"/>
  </r>
  <r>
    <x v="2"/>
    <n v="75"/>
    <x v="20"/>
    <x v="0"/>
    <n v="0"/>
    <n v="0"/>
    <n v="0"/>
    <n v="0"/>
    <x v="1"/>
    <x v="1"/>
    <n v="0"/>
    <n v="0"/>
    <n v="0"/>
    <n v="0"/>
    <s v="Pas d'écart"/>
    <n v="0"/>
  </r>
  <r>
    <x v="3"/>
    <n v="35"/>
    <x v="9"/>
    <x v="579"/>
    <n v="0.25362499999999999"/>
    <n v="21.6"/>
    <n v="0.27"/>
    <n v="-1.3100000000000023"/>
    <x v="0"/>
    <x v="1"/>
    <n v="0"/>
    <n v="21.6"/>
    <n v="0.27"/>
    <n v="-21.6"/>
    <s v="Ecart négatif"/>
    <n v="14.04"/>
  </r>
  <r>
    <x v="3"/>
    <n v="73"/>
    <x v="9"/>
    <x v="579"/>
    <n v="0.25362499999999999"/>
    <n v="21.6"/>
    <n v="0.27"/>
    <n v="-1.3100000000000023"/>
    <x v="0"/>
    <x v="1"/>
    <n v="0"/>
    <n v="21.6"/>
    <n v="0.27"/>
    <n v="-21.6"/>
    <s v="Ecart négatif"/>
    <n v="14.89"/>
  </r>
  <r>
    <x v="3"/>
    <n v="71"/>
    <x v="9"/>
    <x v="579"/>
    <n v="0.25362499999999999"/>
    <n v="21.6"/>
    <n v="0.27"/>
    <n v="-1.3100000000000023"/>
    <x v="0"/>
    <x v="1"/>
    <n v="0"/>
    <n v="21.6"/>
    <n v="0.27"/>
    <n v="-21.6"/>
    <s v="Ecart négatif"/>
    <n v="14.04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8"/>
    <n v="59"/>
    <x v="2"/>
    <x v="0"/>
    <n v="0"/>
    <n v="26.6"/>
    <n v="0.19"/>
    <n v="-26.6"/>
    <x v="0"/>
    <x v="1"/>
    <n v="0"/>
    <n v="26.6"/>
    <n v="0.19"/>
    <n v="-26.6"/>
    <s v="Ecart négatif"/>
    <n v="0"/>
  </r>
  <r>
    <x v="2"/>
    <n v="24"/>
    <x v="0"/>
    <x v="0"/>
    <n v="0"/>
    <n v="30.6"/>
    <n v="0.17"/>
    <n v="-30.6"/>
    <x v="0"/>
    <x v="0"/>
    <n v="0.17"/>
    <n v="30.6"/>
    <n v="0.17"/>
    <n v="0"/>
    <s v="Pas d'écart"/>
    <n v="0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4"/>
    <n v="59"/>
    <x v="12"/>
    <x v="6"/>
    <n v="0.19"/>
    <n v="7.6"/>
    <n v="0.19"/>
    <n v="0"/>
    <x v="1"/>
    <x v="1"/>
    <n v="0"/>
    <n v="7.6"/>
    <n v="0.19"/>
    <n v="-7.6"/>
    <s v="Ecart négatif"/>
    <n v="0"/>
  </r>
  <r>
    <x v="3"/>
    <n v="44"/>
    <x v="9"/>
    <x v="579"/>
    <n v="0.25362499999999999"/>
    <n v="21.6"/>
    <n v="0.27"/>
    <n v="-1.3100000000000023"/>
    <x v="0"/>
    <x v="1"/>
    <n v="0"/>
    <n v="21.6"/>
    <n v="0.27"/>
    <n v="-21.6"/>
    <s v="Ecart négatif"/>
    <n v="9.4100000000000037"/>
  </r>
  <r>
    <x v="0"/>
    <n v="13"/>
    <x v="2"/>
    <x v="0"/>
    <n v="0"/>
    <n v="26.6"/>
    <n v="0.19"/>
    <n v="-26.6"/>
    <x v="0"/>
    <x v="272"/>
    <n v="0.45028571428571429"/>
    <n v="26.6"/>
    <n v="0.19"/>
    <n v="36.44"/>
    <s v="Ecart positif"/>
    <n v="13.140000000000008"/>
  </r>
  <r>
    <x v="2"/>
    <n v="57"/>
    <x v="20"/>
    <x v="0"/>
    <n v="0"/>
    <n v="62.5"/>
    <n v="0.25"/>
    <n v="-62.5"/>
    <x v="0"/>
    <x v="44"/>
    <n v="0.25"/>
    <n v="62.5"/>
    <n v="0.25"/>
    <n v="0"/>
    <s v="Pas d'écart"/>
    <n v="0"/>
  </r>
  <r>
    <x v="2"/>
    <n v="72"/>
    <x v="15"/>
    <x v="0"/>
    <n v="0"/>
    <n v="2.4"/>
    <n v="0.12"/>
    <n v="-2.4"/>
    <x v="0"/>
    <x v="273"/>
    <n v="0.11650000000000001"/>
    <n v="2.4"/>
    <n v="0.12"/>
    <n v="-6.999999999999984E-2"/>
    <s v="Ecart négatif"/>
    <n v="0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68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8.2899999999999991"/>
  </r>
  <r>
    <x v="0"/>
    <n v="21"/>
    <x v="6"/>
    <x v="0"/>
    <n v="0"/>
    <n v="19.2"/>
    <n v="0.12"/>
    <n v="-19.2"/>
    <x v="0"/>
    <x v="47"/>
    <n v="0.11325"/>
    <n v="19.2"/>
    <n v="0.12"/>
    <n v="-1.0799999999999983"/>
    <s v="Ecart négatif"/>
    <n v="15.310000000000002"/>
  </r>
  <r>
    <x v="2"/>
    <n v="94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62"/>
    <x v="16"/>
    <x v="0"/>
    <n v="0"/>
    <n v="0"/>
    <n v="0"/>
    <n v="0"/>
    <x v="1"/>
    <x v="1"/>
    <n v="0"/>
    <n v="0"/>
    <n v="0"/>
    <n v="0"/>
    <s v="Pas d'écart"/>
    <n v="25.920000000000016"/>
  </r>
  <r>
    <x v="3"/>
    <n v="26"/>
    <x v="9"/>
    <x v="579"/>
    <n v="0.25362499999999999"/>
    <n v="21.6"/>
    <n v="0.27"/>
    <n v="-1.3100000000000023"/>
    <x v="0"/>
    <x v="1"/>
    <n v="0"/>
    <n v="21.6"/>
    <n v="0.27"/>
    <n v="-21.6"/>
    <s v="Ecart négatif"/>
    <n v="14.89"/>
  </r>
  <r>
    <x v="2"/>
    <n v="14"/>
    <x v="34"/>
    <x v="0"/>
    <n v="0"/>
    <n v="39.1"/>
    <n v="0.17"/>
    <n v="-39.1"/>
    <x v="0"/>
    <x v="274"/>
    <n v="0.16695652173913042"/>
    <n v="39.1"/>
    <n v="0.17"/>
    <n v="-0.70000000000000284"/>
    <s v="Ecart négatif"/>
    <n v="0"/>
  </r>
  <r>
    <x v="4"/>
    <n v="17"/>
    <x v="11"/>
    <x v="573"/>
    <n v="0.21"/>
    <n v="12.6"/>
    <n v="0.21"/>
    <n v="0"/>
    <x v="1"/>
    <x v="1"/>
    <n v="0"/>
    <n v="12.6"/>
    <n v="0.21"/>
    <n v="-12.6"/>
    <s v="Ecart négatif"/>
    <n v="0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14"/>
    <x v="0"/>
    <n v="0"/>
    <n v="35.1"/>
    <n v="0.27"/>
    <n v="-35.1"/>
    <x v="0"/>
    <x v="1"/>
    <n v="0"/>
    <n v="35.1"/>
    <n v="0.27"/>
    <n v="-35.1"/>
    <s v="Ecart négatif"/>
    <n v="62.58"/>
  </r>
  <r>
    <x v="4"/>
    <n v="49"/>
    <x v="10"/>
    <x v="580"/>
    <n v="0.25366666666666665"/>
    <n v="40.5"/>
    <n v="0.27"/>
    <n v="-2.4500000000000028"/>
    <x v="0"/>
    <x v="1"/>
    <n v="0"/>
    <n v="40.5"/>
    <n v="0.27"/>
    <n v="-40.5"/>
    <s v="Ecart négatif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0"/>
    <n v="67"/>
    <x v="7"/>
    <x v="0"/>
    <n v="0"/>
    <n v="2.4"/>
    <n v="0.08"/>
    <n v="-2.4"/>
    <x v="0"/>
    <x v="81"/>
    <n v="7.8333333333333338E-2"/>
    <n v="2.4"/>
    <n v="0.08"/>
    <n v="-4.9999999999999822E-2"/>
    <s v="Ecart négatif"/>
    <n v="3.6799999999999997"/>
  </r>
  <r>
    <x v="4"/>
    <n v="44"/>
    <x v="27"/>
    <x v="581"/>
    <n v="0.25379999999999997"/>
    <n v="13.5"/>
    <n v="0.27"/>
    <n v="-0.8100000000000005"/>
    <x v="0"/>
    <x v="1"/>
    <n v="0"/>
    <n v="13.5"/>
    <n v="0.27"/>
    <n v="-13.5"/>
    <s v="Ecart négatif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42"/>
    <x v="27"/>
    <x v="581"/>
    <n v="0.25379999999999997"/>
    <n v="13"/>
    <n v="0.26"/>
    <n v="-0.3100000000000005"/>
    <x v="0"/>
    <x v="1"/>
    <n v="0"/>
    <n v="13"/>
    <n v="0.26"/>
    <n v="-13"/>
    <s v="Ecart négatif"/>
    <n v="0"/>
  </r>
  <r>
    <x v="6"/>
    <n v="34"/>
    <x v="19"/>
    <x v="0"/>
    <n v="0"/>
    <n v="74.100000000000009"/>
    <n v="0.39000000000000007"/>
    <n v="-74.100000000000009"/>
    <x v="0"/>
    <x v="1"/>
    <n v="0"/>
    <n v="74.100000000000009"/>
    <n v="0.39000000000000007"/>
    <n v="-74.100000000000009"/>
    <s v="Ecart négatif"/>
    <n v="0"/>
  </r>
  <r>
    <x v="4"/>
    <n v="69"/>
    <x v="9"/>
    <x v="582"/>
    <n v="0.254"/>
    <n v="21.6"/>
    <n v="0.27"/>
    <n v="-1.2800000000000011"/>
    <x v="0"/>
    <x v="1"/>
    <n v="0"/>
    <n v="21.6"/>
    <n v="0.27"/>
    <n v="-21.6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76"/>
    <x v="2"/>
    <x v="0"/>
    <n v="0"/>
    <n v="23.8"/>
    <n v="0.17"/>
    <n v="-23.8"/>
    <x v="0"/>
    <x v="40"/>
    <n v="0.17"/>
    <n v="23.8"/>
    <n v="0.17"/>
    <n v="0"/>
    <s v="Pas d'écart"/>
    <n v="13.14000000000000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4"/>
    <n v="44"/>
    <x v="9"/>
    <x v="583"/>
    <n v="0.25412499999999999"/>
    <n v="21.6"/>
    <n v="0.27"/>
    <n v="-1.2700000000000031"/>
    <x v="0"/>
    <x v="1"/>
    <n v="0"/>
    <n v="21.6"/>
    <n v="0.27"/>
    <n v="-21.6"/>
    <s v="Ecart négatif"/>
    <n v="0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0"/>
    <n v="6"/>
    <x v="25"/>
    <x v="0"/>
    <n v="0"/>
    <n v="46.199999999999996"/>
    <n v="0.21"/>
    <n v="-46.199999999999996"/>
    <x v="0"/>
    <x v="275"/>
    <n v="0.3"/>
    <n v="46.199999999999996"/>
    <n v="0.21"/>
    <n v="19.800000000000004"/>
    <s v="Ecart positif"/>
    <n v="30.549999999999983"/>
  </r>
  <r>
    <x v="2"/>
    <n v="98"/>
    <x v="0"/>
    <x v="0"/>
    <n v="0"/>
    <n v="37.799999999999997"/>
    <n v="0.21"/>
    <n v="-37.799999999999997"/>
    <x v="0"/>
    <x v="144"/>
    <n v="0.21"/>
    <n v="37.799999999999997"/>
    <n v="0.21"/>
    <n v="0"/>
    <s v="Pas d'écart"/>
    <n v="0"/>
  </r>
  <r>
    <x v="2"/>
    <n v="76"/>
    <x v="0"/>
    <x v="0"/>
    <n v="0"/>
    <n v="30.6"/>
    <n v="0.17"/>
    <n v="-30.6"/>
    <x v="0"/>
    <x v="0"/>
    <n v="0.17"/>
    <n v="30.6"/>
    <n v="0.17"/>
    <n v="0"/>
    <s v="Pas d'écart"/>
    <n v="0"/>
  </r>
  <r>
    <x v="4"/>
    <n v="69"/>
    <x v="9"/>
    <x v="584"/>
    <n v="0.25424999999999998"/>
    <n v="21.6"/>
    <n v="0.27"/>
    <n v="-1.2600000000000016"/>
    <x v="0"/>
    <x v="1"/>
    <n v="0"/>
    <n v="21.6"/>
    <n v="0.27"/>
    <n v="-21.6"/>
    <s v="Ecart négatif"/>
    <n v="0"/>
  </r>
  <r>
    <x v="3"/>
    <n v="56"/>
    <x v="4"/>
    <x v="585"/>
    <n v="0.25436363636363635"/>
    <n v="29.700000000000003"/>
    <n v="0.27"/>
    <n v="-1.7200000000000024"/>
    <x v="0"/>
    <x v="1"/>
    <n v="0"/>
    <n v="29.700000000000003"/>
    <n v="0.27"/>
    <n v="-29.700000000000003"/>
    <s v="Ecart négatif"/>
    <n v="14.36"/>
  </r>
  <r>
    <x v="0"/>
    <n v="11"/>
    <x v="6"/>
    <x v="0"/>
    <n v="0"/>
    <n v="44.800000000000004"/>
    <n v="0.28000000000000003"/>
    <n v="-44.800000000000004"/>
    <x v="0"/>
    <x v="43"/>
    <n v="0.26424999999999998"/>
    <n v="44.800000000000004"/>
    <n v="0.28000000000000003"/>
    <n v="-2.5200000000000031"/>
    <s v="Ecart négatif"/>
    <n v="17.02000000000001"/>
  </r>
  <r>
    <x v="3"/>
    <n v="56"/>
    <x v="4"/>
    <x v="585"/>
    <n v="0.25436363636363635"/>
    <n v="29.700000000000003"/>
    <n v="0.27"/>
    <n v="-1.7200000000000024"/>
    <x v="0"/>
    <x v="1"/>
    <n v="0"/>
    <n v="29.700000000000003"/>
    <n v="0.27"/>
    <n v="-29.700000000000003"/>
    <s v="Ecart négatif"/>
    <n v="14.36"/>
  </r>
  <r>
    <x v="4"/>
    <n v="44"/>
    <x v="6"/>
    <x v="107"/>
    <n v="0.2548125"/>
    <n v="43.2"/>
    <n v="0.27"/>
    <n v="-2.4299999999999997"/>
    <x v="0"/>
    <x v="1"/>
    <n v="0"/>
    <n v="43.2"/>
    <n v="0.27"/>
    <n v="-43.2"/>
    <s v="Ecart négatif"/>
    <n v="0"/>
  </r>
  <r>
    <x v="4"/>
    <n v="44"/>
    <x v="6"/>
    <x v="107"/>
    <n v="0.2548125"/>
    <n v="43.2"/>
    <n v="0.27"/>
    <n v="-2.4299999999999997"/>
    <x v="0"/>
    <x v="1"/>
    <n v="0"/>
    <n v="43.2"/>
    <n v="0.27"/>
    <n v="-43.2"/>
    <s v="Ecart négatif"/>
    <n v="0"/>
  </r>
  <r>
    <x v="4"/>
    <n v="69"/>
    <x v="6"/>
    <x v="107"/>
    <n v="0.2548125"/>
    <n v="43.2"/>
    <n v="0.27"/>
    <n v="-2.4299999999999997"/>
    <x v="0"/>
    <x v="1"/>
    <n v="0"/>
    <n v="43.2"/>
    <n v="0.27"/>
    <n v="-43.2"/>
    <s v="Ecart négatif"/>
    <n v="0"/>
  </r>
  <r>
    <x v="4"/>
    <n v="69"/>
    <x v="6"/>
    <x v="107"/>
    <n v="0.2548125"/>
    <n v="43.2"/>
    <n v="0.27"/>
    <n v="-2.4299999999999997"/>
    <x v="0"/>
    <x v="1"/>
    <n v="0"/>
    <n v="43.2"/>
    <n v="0.27"/>
    <n v="-43.2"/>
    <s v="Ecart négatif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38"/>
    <x v="6"/>
    <x v="107"/>
    <n v="0.2548125"/>
    <n v="43.2"/>
    <n v="0.27"/>
    <n v="-2.4299999999999997"/>
    <x v="0"/>
    <x v="1"/>
    <n v="0"/>
    <n v="43.2"/>
    <n v="0.27"/>
    <n v="-43.2"/>
    <s v="Ecart négatif"/>
    <n v="0"/>
  </r>
  <r>
    <x v="4"/>
    <n v="69"/>
    <x v="6"/>
    <x v="107"/>
    <n v="0.2548125"/>
    <n v="43.2"/>
    <n v="0.27"/>
    <n v="-2.4299999999999997"/>
    <x v="0"/>
    <x v="1"/>
    <n v="0"/>
    <n v="43.2"/>
    <n v="0.27"/>
    <n v="-43.2"/>
    <s v="Ecart négatif"/>
    <n v="0"/>
  </r>
  <r>
    <x v="4"/>
    <n v="42"/>
    <x v="10"/>
    <x v="586"/>
    <n v="0.255"/>
    <n v="39"/>
    <n v="0.26"/>
    <n v="-0.75"/>
    <x v="0"/>
    <x v="1"/>
    <n v="0"/>
    <n v="39"/>
    <n v="0.26"/>
    <n v="-39"/>
    <s v="Ecart négatif"/>
    <n v="0"/>
  </r>
  <r>
    <x v="3"/>
    <n v="1"/>
    <x v="13"/>
    <x v="587"/>
    <n v="0.25505882352941178"/>
    <n v="44.2"/>
    <n v="0.26"/>
    <n v="-0.84000000000000341"/>
    <x v="0"/>
    <x v="1"/>
    <n v="0"/>
    <n v="44.2"/>
    <n v="0.26"/>
    <n v="-44.2"/>
    <s v="Ecart négatif"/>
    <n v="19.239999999999995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69"/>
    <x v="13"/>
    <x v="587"/>
    <n v="0.25505882352941178"/>
    <n v="45.900000000000006"/>
    <n v="0.27"/>
    <n v="-2.5400000000000063"/>
    <x v="0"/>
    <x v="1"/>
    <n v="0"/>
    <n v="45.900000000000006"/>
    <n v="0.27"/>
    <n v="-45.900000000000006"/>
    <s v="Ecart négatif"/>
    <n v="16.870000000000005"/>
  </r>
  <r>
    <x v="3"/>
    <n v="69"/>
    <x v="13"/>
    <x v="587"/>
    <n v="0.25505882352941178"/>
    <n v="45.900000000000006"/>
    <n v="0.27"/>
    <n v="-2.5400000000000063"/>
    <x v="0"/>
    <x v="1"/>
    <n v="0"/>
    <n v="45.900000000000006"/>
    <n v="0.27"/>
    <n v="-45.900000000000006"/>
    <s v="Ecart négatif"/>
    <n v="16.870000000000005"/>
  </r>
  <r>
    <x v="0"/>
    <n v="37"/>
    <x v="14"/>
    <x v="0"/>
    <n v="0"/>
    <n v="15.6"/>
    <n v="0.12"/>
    <n v="-15.6"/>
    <x v="0"/>
    <x v="276"/>
    <n v="0.11669230769230769"/>
    <n v="15.6"/>
    <n v="0.12"/>
    <n v="-0.42999999999999972"/>
    <s v="Ecart négatif"/>
    <n v="12.51999999999999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44"/>
    <x v="10"/>
    <x v="588"/>
    <n v="0.25506666666666666"/>
    <n v="40.5"/>
    <n v="0.27"/>
    <n v="-2.240000000000002"/>
    <x v="0"/>
    <x v="1"/>
    <n v="0"/>
    <n v="40.5"/>
    <n v="0.27"/>
    <n v="-40.5"/>
    <s v="Ecart négatif"/>
    <n v="13.75999999999999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38"/>
    <x v="14"/>
    <x v="589"/>
    <n v="0.25515384615384618"/>
    <n v="35.1"/>
    <n v="0.27"/>
    <n v="-1.9299999999999997"/>
    <x v="0"/>
    <x v="1"/>
    <n v="0"/>
    <n v="35.1"/>
    <n v="0.27"/>
    <n v="-35.1"/>
    <s v="Ecart négatif"/>
    <n v="0"/>
  </r>
  <r>
    <x v="3"/>
    <n v="77"/>
    <x v="10"/>
    <x v="0"/>
    <n v="0"/>
    <n v="0"/>
    <n v="0"/>
    <n v="0"/>
    <x v="1"/>
    <x v="1"/>
    <n v="0"/>
    <n v="0"/>
    <n v="0"/>
    <n v="0"/>
    <s v="Pas d'écart"/>
    <n v="11.009999999999998"/>
  </r>
  <r>
    <x v="4"/>
    <n v="72"/>
    <x v="15"/>
    <x v="590"/>
    <n v="0.21000000000000002"/>
    <n v="4.2"/>
    <n v="0.21000000000000002"/>
    <n v="0"/>
    <x v="1"/>
    <x v="1"/>
    <n v="0"/>
    <n v="4.2"/>
    <n v="0.21000000000000002"/>
    <n v="-4.2"/>
    <s v="Ecart négatif"/>
    <n v="0"/>
  </r>
  <r>
    <x v="0"/>
    <n v="62"/>
    <x v="11"/>
    <x v="0"/>
    <n v="0"/>
    <n v="0"/>
    <n v="0"/>
    <n v="0"/>
    <x v="1"/>
    <x v="1"/>
    <n v="0"/>
    <n v="0"/>
    <n v="0"/>
    <n v="0"/>
    <s v="Pas d'écart"/>
    <n v="10.560000000000002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0"/>
    <n v="62"/>
    <x v="10"/>
    <x v="0"/>
    <n v="0"/>
    <n v="0"/>
    <n v="0"/>
    <n v="0"/>
    <x v="1"/>
    <x v="1"/>
    <n v="0"/>
    <n v="0"/>
    <n v="0"/>
    <n v="0"/>
    <s v="Pas d'écart"/>
    <n v="14.789999999999992"/>
  </r>
  <r>
    <x v="0"/>
    <n v="62"/>
    <x v="44"/>
    <x v="0"/>
    <n v="0"/>
    <n v="0"/>
    <n v="0"/>
    <n v="0"/>
    <x v="1"/>
    <x v="1"/>
    <n v="0"/>
    <n v="0"/>
    <n v="0"/>
    <n v="0"/>
    <s v="Pas d'écart"/>
    <n v="37.19"/>
  </r>
  <r>
    <x v="0"/>
    <n v="62"/>
    <x v="22"/>
    <x v="0"/>
    <n v="0"/>
    <n v="0"/>
    <n v="0"/>
    <n v="0"/>
    <x v="1"/>
    <x v="1"/>
    <n v="0"/>
    <n v="0"/>
    <n v="0"/>
    <n v="0"/>
    <s v="Pas d'écart"/>
    <n v="14.249999999999993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79"/>
    <x v="2"/>
    <x v="0"/>
    <n v="0"/>
    <n v="16.8"/>
    <n v="0.12000000000000001"/>
    <n v="-16.8"/>
    <x v="0"/>
    <x v="36"/>
    <n v="0.39"/>
    <n v="16.8"/>
    <n v="0.12000000000000001"/>
    <n v="37.799999999999997"/>
    <s v="Ecart positif"/>
    <n v="15.759999999999998"/>
  </r>
  <r>
    <x v="0"/>
    <n v="34"/>
    <x v="20"/>
    <x v="0"/>
    <n v="0"/>
    <n v="70"/>
    <n v="0.28000000000000003"/>
    <n v="-70"/>
    <x v="0"/>
    <x v="277"/>
    <n v="0.28000000000000003"/>
    <n v="70"/>
    <n v="0.28000000000000003"/>
    <n v="0"/>
    <s v="Pas d'écart"/>
    <n v="34.240000000000009"/>
  </r>
  <r>
    <x v="3"/>
    <n v="1"/>
    <x v="12"/>
    <x v="591"/>
    <n v="0.2555"/>
    <n v="10.4"/>
    <n v="0.26"/>
    <n v="-0.17999999999999972"/>
    <x v="0"/>
    <x v="1"/>
    <n v="0"/>
    <n v="10.4"/>
    <n v="0.26"/>
    <n v="-10.4"/>
    <s v="Ecart négatif"/>
    <n v="8.2899999999999991"/>
  </r>
  <r>
    <x v="2"/>
    <n v="92"/>
    <x v="18"/>
    <x v="0"/>
    <n v="0"/>
    <n v="0"/>
    <n v="0"/>
    <n v="0"/>
    <x v="1"/>
    <x v="1"/>
    <n v="0"/>
    <n v="0"/>
    <n v="0"/>
    <n v="0"/>
    <s v="Pas d'écart"/>
    <n v="0"/>
  </r>
  <r>
    <x v="3"/>
    <n v="1"/>
    <x v="12"/>
    <x v="591"/>
    <n v="0.2555"/>
    <n v="10.4"/>
    <n v="0.26"/>
    <n v="-0.17999999999999972"/>
    <x v="0"/>
    <x v="1"/>
    <n v="0"/>
    <n v="10.4"/>
    <n v="0.26"/>
    <n v="-10.4"/>
    <s v="Ecart négatif"/>
    <n v="8.2899999999999991"/>
  </r>
  <r>
    <x v="2"/>
    <n v="75"/>
    <x v="25"/>
    <x v="0"/>
    <n v="0"/>
    <n v="0"/>
    <n v="0"/>
    <n v="0"/>
    <x v="1"/>
    <x v="1"/>
    <n v="0"/>
    <n v="0"/>
    <n v="0"/>
    <n v="0"/>
    <s v="Pas d'écart"/>
    <n v="0"/>
  </r>
  <r>
    <x v="3"/>
    <n v="35"/>
    <x v="27"/>
    <x v="592"/>
    <n v="0.25600000000000001"/>
    <n v="13.5"/>
    <n v="0.27"/>
    <n v="-0.69999999999999929"/>
    <x v="0"/>
    <x v="1"/>
    <n v="0"/>
    <n v="13.5"/>
    <n v="0.27"/>
    <n v="-13.5"/>
    <s v="Ecart négatif"/>
    <n v="8.8100000000000023"/>
  </r>
  <r>
    <x v="4"/>
    <n v="42"/>
    <x v="0"/>
    <x v="593"/>
    <n v="0.25633333333333336"/>
    <n v="46.800000000000004"/>
    <n v="0.26"/>
    <n v="-0.66000000000000369"/>
    <x v="0"/>
    <x v="1"/>
    <n v="0"/>
    <n v="46.800000000000004"/>
    <n v="0.26"/>
    <n v="-46.800000000000004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4"/>
    <n v="69"/>
    <x v="6"/>
    <x v="594"/>
    <n v="0.25643749999999998"/>
    <n v="43.2"/>
    <n v="0.27"/>
    <n v="-2.1700000000000017"/>
    <x v="0"/>
    <x v="1"/>
    <n v="0"/>
    <n v="43.2"/>
    <n v="0.27"/>
    <n v="-43.2"/>
    <s v="Ecart négatif"/>
    <n v="0"/>
  </r>
  <r>
    <x v="1"/>
    <n v="77"/>
    <x v="39"/>
    <x v="0"/>
    <n v="0"/>
    <n v="0"/>
    <n v="0"/>
    <n v="0"/>
    <x v="1"/>
    <x v="1"/>
    <n v="0"/>
    <n v="0"/>
    <n v="0"/>
    <n v="0"/>
    <s v="Pas d'écart"/>
    <n v="80.91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0"/>
    <n v="59"/>
    <x v="7"/>
    <x v="0"/>
    <n v="0"/>
    <n v="0"/>
    <n v="0"/>
    <n v="0"/>
    <x v="1"/>
    <x v="1"/>
    <n v="0"/>
    <n v="0"/>
    <n v="0"/>
    <n v="0"/>
    <s v="Pas d'écart"/>
    <n v="3.4299999999999997"/>
  </r>
  <r>
    <x v="3"/>
    <n v="94"/>
    <x v="78"/>
    <x v="0"/>
    <n v="0"/>
    <n v="0"/>
    <n v="0"/>
    <n v="0"/>
    <x v="1"/>
    <x v="1"/>
    <n v="0"/>
    <n v="0"/>
    <n v="0"/>
    <n v="0"/>
    <s v="Pas d'écart"/>
    <e v="#N/A"/>
  </r>
  <r>
    <x v="3"/>
    <n v="78"/>
    <x v="19"/>
    <x v="0"/>
    <n v="0"/>
    <n v="0"/>
    <n v="0"/>
    <n v="0"/>
    <x v="1"/>
    <x v="1"/>
    <n v="0"/>
    <n v="0"/>
    <n v="0"/>
    <n v="0"/>
    <s v="Pas d'écart"/>
    <n v="12.399999999999999"/>
  </r>
  <r>
    <x v="3"/>
    <n v="69"/>
    <x v="7"/>
    <x v="595"/>
    <n v="0.25666666666666665"/>
    <n v="8.1000000000000014"/>
    <n v="0.27000000000000007"/>
    <n v="-0.40000000000000124"/>
    <x v="0"/>
    <x v="1"/>
    <n v="0"/>
    <n v="8.1000000000000014"/>
    <n v="0.27000000000000007"/>
    <n v="-8.1000000000000014"/>
    <s v="Ecart négatif"/>
    <n v="3.7899999999999991"/>
  </r>
  <r>
    <x v="4"/>
    <n v="26"/>
    <x v="14"/>
    <x v="596"/>
    <n v="0.25669230769230766"/>
    <n v="35.1"/>
    <n v="0.27"/>
    <n v="-1.730000000000004"/>
    <x v="0"/>
    <x v="1"/>
    <n v="0"/>
    <n v="35.1"/>
    <n v="0.27"/>
    <n v="-35.1"/>
    <s v="Ecart négatif"/>
    <n v="0"/>
  </r>
  <r>
    <x v="4"/>
    <n v="69"/>
    <x v="12"/>
    <x v="95"/>
    <n v="0.27"/>
    <n v="10.8"/>
    <n v="0.27"/>
    <n v="0"/>
    <x v="1"/>
    <x v="1"/>
    <n v="0"/>
    <n v="10.8"/>
    <n v="0.27"/>
    <n v="-10.8"/>
    <s v="Ecart négatif"/>
    <n v="0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0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23.210000000000008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0"/>
    <n v="69"/>
    <x v="25"/>
    <x v="0"/>
    <n v="0"/>
    <n v="0"/>
    <n v="0"/>
    <n v="0"/>
    <x v="1"/>
    <x v="1"/>
    <n v="0"/>
    <n v="0"/>
    <n v="0"/>
    <n v="0"/>
    <s v="Pas d'écart"/>
    <n v="23.409999999999997"/>
  </r>
  <r>
    <x v="2"/>
    <n v="69"/>
    <x v="12"/>
    <x v="0"/>
    <n v="0"/>
    <n v="0"/>
    <n v="0"/>
    <n v="0"/>
    <x v="1"/>
    <x v="1"/>
    <n v="0"/>
    <n v="0"/>
    <n v="0"/>
    <n v="0"/>
    <s v="Pas d'écart"/>
    <n v="0"/>
  </r>
  <r>
    <x v="3"/>
    <n v="35"/>
    <x v="16"/>
    <x v="597"/>
    <n v="0.25679999999999997"/>
    <n v="54"/>
    <n v="0.27"/>
    <n v="-2.6400000000000006"/>
    <x v="0"/>
    <x v="1"/>
    <n v="0"/>
    <n v="54"/>
    <n v="0.27"/>
    <n v="-54"/>
    <s v="Ecart négatif"/>
    <n v="25.920000000000016"/>
  </r>
  <r>
    <x v="4"/>
    <n v="69"/>
    <x v="16"/>
    <x v="597"/>
    <n v="0.25679999999999997"/>
    <n v="54"/>
    <n v="0.27"/>
    <n v="-2.6400000000000006"/>
    <x v="0"/>
    <x v="1"/>
    <n v="0"/>
    <n v="54"/>
    <n v="0.27"/>
    <n v="-54"/>
    <s v="Ecart négatif"/>
    <n v="0"/>
  </r>
  <r>
    <x v="4"/>
    <n v="71"/>
    <x v="10"/>
    <x v="598"/>
    <n v="0.25700000000000001"/>
    <n v="40.5"/>
    <n v="0.27"/>
    <n v="-1.9500000000000028"/>
    <x v="0"/>
    <x v="1"/>
    <n v="0"/>
    <n v="40.5"/>
    <n v="0.27"/>
    <n v="-40.5"/>
    <s v="Ecart négatif"/>
    <n v="0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73"/>
    <x v="12"/>
    <x v="95"/>
    <n v="0.27"/>
    <n v="10.8"/>
    <n v="0.27"/>
    <n v="0"/>
    <x v="1"/>
    <x v="1"/>
    <n v="0"/>
    <n v="10.8"/>
    <n v="0.27"/>
    <n v="-10.8"/>
    <s v="Ecart négatif"/>
    <n v="0"/>
  </r>
  <r>
    <x v="3"/>
    <n v="56"/>
    <x v="18"/>
    <x v="599"/>
    <n v="0.25722222222222219"/>
    <n v="24.3"/>
    <n v="0.27"/>
    <n v="-1.1500000000000021"/>
    <x v="0"/>
    <x v="1"/>
    <n v="0"/>
    <n v="24.3"/>
    <n v="0.27"/>
    <n v="-24.3"/>
    <s v="Ecart négatif"/>
    <n v="14.150000000000006"/>
  </r>
  <r>
    <x v="2"/>
    <n v="8"/>
    <x v="13"/>
    <x v="0"/>
    <n v="0"/>
    <n v="0"/>
    <n v="0"/>
    <n v="0"/>
    <x v="1"/>
    <x v="1"/>
    <n v="0"/>
    <n v="0"/>
    <n v="0"/>
    <n v="0"/>
    <s v="Pas d'écart"/>
    <n v="0"/>
  </r>
  <r>
    <x v="2"/>
    <n v="75"/>
    <x v="13"/>
    <x v="0"/>
    <n v="0"/>
    <n v="0"/>
    <n v="0"/>
    <n v="0"/>
    <x v="1"/>
    <x v="1"/>
    <n v="0"/>
    <n v="0"/>
    <n v="0"/>
    <n v="0"/>
    <s v="Pas d'écart"/>
    <n v="0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4"/>
    <n v="74"/>
    <x v="11"/>
    <x v="600"/>
    <n v="0.2573333333333333"/>
    <n v="15.600000000000001"/>
    <n v="0.26"/>
    <n v="-0.16000000000000192"/>
    <x v="0"/>
    <x v="1"/>
    <n v="0"/>
    <n v="15.600000000000001"/>
    <n v="0.26"/>
    <n v="-15.600000000000001"/>
    <s v="Ecart négatif"/>
    <n v="0"/>
  </r>
  <r>
    <x v="3"/>
    <n v="44"/>
    <x v="0"/>
    <x v="601"/>
    <n v="0.25733333333333336"/>
    <n v="48.6"/>
    <n v="0.27"/>
    <n v="-2.2800000000000011"/>
    <x v="0"/>
    <x v="1"/>
    <n v="0"/>
    <n v="48.6"/>
    <n v="0.27"/>
    <n v="-48.6"/>
    <s v="Ecart négatif"/>
    <n v="18.419999999999987"/>
  </r>
  <r>
    <x v="4"/>
    <n v="73"/>
    <x v="10"/>
    <x v="602"/>
    <n v="0.25740000000000002"/>
    <n v="40.5"/>
    <n v="0.27"/>
    <n v="-1.8900000000000006"/>
    <x v="0"/>
    <x v="1"/>
    <n v="0"/>
    <n v="40.5"/>
    <n v="0.27"/>
    <n v="-40.5"/>
    <s v="Ecart négatif"/>
    <n v="0"/>
  </r>
  <r>
    <x v="4"/>
    <n v="59"/>
    <x v="12"/>
    <x v="6"/>
    <n v="0.19"/>
    <n v="7.6"/>
    <n v="0.19"/>
    <n v="0"/>
    <x v="1"/>
    <x v="1"/>
    <n v="0"/>
    <n v="7.6"/>
    <n v="0.19"/>
    <n v="-7.6"/>
    <s v="Ecart négatif"/>
    <n v="0"/>
  </r>
  <r>
    <x v="4"/>
    <n v="73"/>
    <x v="10"/>
    <x v="602"/>
    <n v="0.25740000000000002"/>
    <n v="40.5"/>
    <n v="0.27"/>
    <n v="-1.8900000000000006"/>
    <x v="0"/>
    <x v="1"/>
    <n v="0"/>
    <n v="40.5"/>
    <n v="0.27"/>
    <n v="-40.5"/>
    <s v="Ecart négatif"/>
    <n v="0"/>
  </r>
  <r>
    <x v="3"/>
    <n v="75"/>
    <x v="12"/>
    <x v="0"/>
    <n v="0"/>
    <n v="0"/>
    <n v="0"/>
    <n v="0"/>
    <x v="1"/>
    <x v="1"/>
    <n v="0"/>
    <n v="0"/>
    <n v="0"/>
    <n v="0"/>
    <s v="Pas d'écart"/>
    <n v="5.23"/>
  </r>
  <r>
    <x v="0"/>
    <n v="75"/>
    <x v="1"/>
    <x v="0"/>
    <n v="0"/>
    <n v="0"/>
    <n v="0"/>
    <n v="0"/>
    <x v="1"/>
    <x v="1"/>
    <n v="0"/>
    <n v="0"/>
    <n v="0"/>
    <n v="0"/>
    <s v="Pas d'écart"/>
    <n v="9.519999999999996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8"/>
    <n v="56"/>
    <x v="12"/>
    <x v="0"/>
    <n v="0"/>
    <n v="10.8"/>
    <n v="0.27"/>
    <n v="-10.8"/>
    <x v="0"/>
    <x v="1"/>
    <n v="0"/>
    <n v="10.8"/>
    <n v="0.27"/>
    <n v="-10.8"/>
    <s v="Ecart négatif"/>
    <n v="0"/>
  </r>
  <r>
    <x v="3"/>
    <n v="69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3.7899999999999991"/>
  </r>
  <r>
    <x v="4"/>
    <n v="69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0"/>
  </r>
  <r>
    <x v="3"/>
    <n v="69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3.7899999999999991"/>
  </r>
  <r>
    <x v="3"/>
    <n v="69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3.7899999999999991"/>
  </r>
  <r>
    <x v="2"/>
    <n v="59"/>
    <x v="13"/>
    <x v="0"/>
    <n v="0"/>
    <n v="0"/>
    <n v="0"/>
    <n v="0"/>
    <x v="1"/>
    <x v="1"/>
    <n v="0"/>
    <n v="0"/>
    <n v="0"/>
    <n v="0"/>
    <s v="Pas d'écart"/>
    <n v="0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2"/>
    <n v="54"/>
    <x v="6"/>
    <x v="0"/>
    <n v="0"/>
    <n v="40"/>
    <n v="0.25"/>
    <n v="-40"/>
    <x v="0"/>
    <x v="1"/>
    <n v="0"/>
    <n v="40"/>
    <n v="0.25"/>
    <n v="-40"/>
    <s v="Ecart négatif"/>
    <n v="76.56"/>
  </r>
  <r>
    <x v="4"/>
    <n v="7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0"/>
  </r>
  <r>
    <x v="3"/>
    <n v="69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3.7899999999999991"/>
  </r>
  <r>
    <x v="3"/>
    <n v="86"/>
    <x v="12"/>
    <x v="435"/>
    <n v="0.21000000000000002"/>
    <n v="8.4"/>
    <n v="0.21000000000000002"/>
    <n v="0"/>
    <x v="1"/>
    <x v="1"/>
    <n v="0"/>
    <n v="8.4"/>
    <n v="0.21000000000000002"/>
    <n v="-8.4"/>
    <s v="Ecart négatif"/>
    <n v="8.2899999999999991"/>
  </r>
  <r>
    <x v="4"/>
    <n v="69"/>
    <x v="7"/>
    <x v="603"/>
    <n v="0.25766666666666665"/>
    <n v="8.1000000000000014"/>
    <n v="0.27000000000000007"/>
    <n v="-0.37000000000000099"/>
    <x v="0"/>
    <x v="1"/>
    <n v="0"/>
    <n v="8.1000000000000014"/>
    <n v="0.27000000000000007"/>
    <n v="-8.1000000000000014"/>
    <s v="Ecart négatif"/>
    <n v="0"/>
  </r>
  <r>
    <x v="3"/>
    <n v="69"/>
    <x v="25"/>
    <x v="604"/>
    <n v="0.25781818181818184"/>
    <n v="59.400000000000006"/>
    <n v="0.27"/>
    <n v="-2.6800000000000068"/>
    <x v="0"/>
    <x v="1"/>
    <n v="0"/>
    <n v="59.400000000000006"/>
    <n v="0.27"/>
    <n v="-59.400000000000006"/>
    <s v="Ecart négatif"/>
    <n v="23.409999999999997"/>
  </r>
  <r>
    <x v="3"/>
    <n v="75"/>
    <x v="22"/>
    <x v="0"/>
    <n v="0"/>
    <n v="0"/>
    <n v="0"/>
    <n v="0"/>
    <x v="1"/>
    <x v="1"/>
    <n v="0"/>
    <n v="0"/>
    <n v="0"/>
    <n v="0"/>
    <s v="Pas d'écart"/>
    <n v="8.529999999999994"/>
  </r>
  <r>
    <x v="4"/>
    <n v="74"/>
    <x v="0"/>
    <x v="605"/>
    <n v="0.2578333333333333"/>
    <n v="46.800000000000004"/>
    <n v="0.26"/>
    <n v="-0.39000000000000767"/>
    <x v="0"/>
    <x v="1"/>
    <n v="0"/>
    <n v="46.800000000000004"/>
    <n v="0.26"/>
    <n v="-46.800000000000004"/>
    <s v="Ecart négatif"/>
    <n v="0"/>
  </r>
  <r>
    <x v="3"/>
    <n v="44"/>
    <x v="12"/>
    <x v="95"/>
    <n v="0.27"/>
    <n v="10.8"/>
    <n v="0.27"/>
    <n v="0"/>
    <x v="1"/>
    <x v="1"/>
    <n v="0"/>
    <n v="10.8"/>
    <n v="0.27"/>
    <n v="-10.8"/>
    <s v="Ecart négatif"/>
    <n v="6.8599999999999994"/>
  </r>
  <r>
    <x v="3"/>
    <n v="42"/>
    <x v="1"/>
    <x v="606"/>
    <n v="0.25800000000000001"/>
    <n v="31.200000000000003"/>
    <n v="0.26"/>
    <n v="-0.24000000000000199"/>
    <x v="0"/>
    <x v="1"/>
    <n v="0"/>
    <n v="31.200000000000003"/>
    <n v="0.26"/>
    <n v="-31.200000000000003"/>
    <s v="Ecart négatif"/>
    <n v="14.470000000000006"/>
  </r>
  <r>
    <x v="4"/>
    <n v="83"/>
    <x v="7"/>
    <x v="607"/>
    <n v="0.25800000000000001"/>
    <n v="9"/>
    <n v="0.3"/>
    <n v="-1.2599999999999998"/>
    <x v="0"/>
    <x v="1"/>
    <n v="0"/>
    <n v="9"/>
    <n v="0.3"/>
    <n v="-9"/>
    <s v="Ecart négatif"/>
    <n v="0"/>
  </r>
  <r>
    <x v="4"/>
    <n v="42"/>
    <x v="1"/>
    <x v="606"/>
    <n v="0.25800000000000001"/>
    <n v="31.200000000000003"/>
    <n v="0.26"/>
    <n v="-0.24000000000000199"/>
    <x v="0"/>
    <x v="1"/>
    <n v="0"/>
    <n v="31.200000000000003"/>
    <n v="0.26"/>
    <n v="-31.200000000000003"/>
    <s v="Ecart négatif"/>
    <n v="0"/>
  </r>
  <r>
    <x v="4"/>
    <n v="38"/>
    <x v="3"/>
    <x v="608"/>
    <n v="0.25842857142857145"/>
    <n v="56.7"/>
    <n v="0.27"/>
    <n v="-2.4299999999999997"/>
    <x v="0"/>
    <x v="1"/>
    <n v="0"/>
    <n v="56.7"/>
    <n v="0.27"/>
    <n v="-56.7"/>
    <s v="Ecart négatif"/>
    <n v="0"/>
  </r>
  <r>
    <x v="2"/>
    <n v="59"/>
    <x v="1"/>
    <x v="0"/>
    <n v="0"/>
    <n v="0"/>
    <n v="0"/>
    <n v="0"/>
    <x v="1"/>
    <x v="1"/>
    <n v="0"/>
    <n v="0"/>
    <n v="0"/>
    <n v="0"/>
    <s v="Pas d'écart"/>
    <n v="0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7"/>
    <n v="92"/>
    <x v="1"/>
    <x v="0"/>
    <n v="0"/>
    <n v="0"/>
    <n v="0"/>
    <n v="0"/>
    <x v="1"/>
    <x v="1"/>
    <n v="0"/>
    <n v="0"/>
    <n v="0"/>
    <n v="0"/>
    <s v="Pas d'écart"/>
    <n v="9.519999999999996"/>
  </r>
  <r>
    <x v="2"/>
    <n v="43"/>
    <x v="9"/>
    <x v="0"/>
    <n v="0"/>
    <n v="9.6"/>
    <n v="0.12"/>
    <n v="-9.6"/>
    <x v="0"/>
    <x v="165"/>
    <n v="0.10787500000000001"/>
    <n v="9.6"/>
    <n v="0.12"/>
    <n v="-0.96999999999999886"/>
    <s v="Ecart négatif"/>
    <n v="0"/>
  </r>
  <r>
    <x v="2"/>
    <n v="92"/>
    <x v="25"/>
    <x v="0"/>
    <n v="0"/>
    <n v="0"/>
    <n v="0"/>
    <n v="0"/>
    <x v="1"/>
    <x v="1"/>
    <n v="0"/>
    <n v="0"/>
    <n v="0"/>
    <n v="0"/>
    <s v="Pas d'écart"/>
    <n v="0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77"/>
    <x v="3"/>
    <x v="0"/>
    <n v="0"/>
    <n v="0"/>
    <n v="0"/>
    <n v="0"/>
    <x v="1"/>
    <x v="1"/>
    <n v="0"/>
    <n v="0"/>
    <n v="0"/>
    <n v="0"/>
    <s v="Pas d'écart"/>
    <n v="65.66"/>
  </r>
  <r>
    <x v="0"/>
    <n v="6"/>
    <x v="8"/>
    <x v="0"/>
    <n v="0"/>
    <n v="14.7"/>
    <n v="0.21"/>
    <n v="-14.7"/>
    <x v="0"/>
    <x v="1"/>
    <n v="0"/>
    <n v="14.7"/>
    <n v="0.21"/>
    <n v="-14.7"/>
    <s v="Ecart négatif"/>
    <n v="13.269999999999996"/>
  </r>
  <r>
    <x v="4"/>
    <n v="44"/>
    <x v="6"/>
    <x v="609"/>
    <n v="0.25843749999999999"/>
    <n v="43.2"/>
    <n v="0.27"/>
    <n v="-1.8500000000000014"/>
    <x v="0"/>
    <x v="1"/>
    <n v="0"/>
    <n v="43.2"/>
    <n v="0.27"/>
    <n v="-43.2"/>
    <s v="Ecart négatif"/>
    <n v="0"/>
  </r>
  <r>
    <x v="3"/>
    <n v="44"/>
    <x v="6"/>
    <x v="609"/>
    <n v="0.25843749999999999"/>
    <n v="43.2"/>
    <n v="0.27"/>
    <n v="-1.8500000000000014"/>
    <x v="0"/>
    <x v="1"/>
    <n v="0"/>
    <n v="43.2"/>
    <n v="0.27"/>
    <n v="-43.2"/>
    <s v="Ecart négatif"/>
    <n v="15.310000000000002"/>
  </r>
  <r>
    <x v="3"/>
    <n v="38"/>
    <x v="14"/>
    <x v="610"/>
    <n v="0.25846153846153846"/>
    <n v="35.1"/>
    <n v="0.27"/>
    <n v="-1.5"/>
    <x v="0"/>
    <x v="1"/>
    <n v="0"/>
    <n v="35.1"/>
    <n v="0.27"/>
    <n v="-35.1"/>
    <s v="Ecart négatif"/>
    <n v="14.579999999999998"/>
  </r>
  <r>
    <x v="4"/>
    <n v="44"/>
    <x v="25"/>
    <x v="611"/>
    <n v="0.25872727272727275"/>
    <n v="59.400000000000006"/>
    <n v="0.27"/>
    <n v="-2.480000000000004"/>
    <x v="0"/>
    <x v="1"/>
    <n v="0"/>
    <n v="59.400000000000006"/>
    <n v="0.27"/>
    <n v="-59.400000000000006"/>
    <s v="Ecart négatif"/>
    <n v="0"/>
  </r>
  <r>
    <x v="4"/>
    <n v="7"/>
    <x v="18"/>
    <x v="612"/>
    <n v="0.25877777777777777"/>
    <n v="24.3"/>
    <n v="0.27"/>
    <n v="-1.0100000000000016"/>
    <x v="0"/>
    <x v="1"/>
    <n v="0"/>
    <n v="24.3"/>
    <n v="0.27"/>
    <n v="-24.3"/>
    <s v="Ecart négatif"/>
    <n v="0"/>
  </r>
  <r>
    <x v="3"/>
    <n v="1"/>
    <x v="10"/>
    <x v="613"/>
    <n v="0.25886666666666663"/>
    <n v="39"/>
    <n v="0.26"/>
    <n v="-0.17000000000000171"/>
    <x v="0"/>
    <x v="1"/>
    <n v="0"/>
    <n v="39"/>
    <n v="0.26"/>
    <n v="-39"/>
    <s v="Ecart négatif"/>
    <n v="14.789999999999992"/>
  </r>
  <r>
    <x v="6"/>
    <n v="30"/>
    <x v="7"/>
    <x v="0"/>
    <n v="0"/>
    <n v="11.700000000000001"/>
    <n v="0.39"/>
    <n v="-11.700000000000001"/>
    <x v="0"/>
    <x v="1"/>
    <n v="0"/>
    <n v="11.700000000000001"/>
    <n v="0.39"/>
    <n v="-11.700000000000001"/>
    <s v="Ecart négatif"/>
    <n v="23.07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4"/>
    <n v="27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48"/>
    <x v="27"/>
    <x v="0"/>
    <n v="0"/>
    <n v="14.000000000000002"/>
    <n v="0.28000000000000003"/>
    <n v="-14.000000000000002"/>
    <x v="0"/>
    <x v="278"/>
    <n v="0.32780000000000004"/>
    <n v="14.000000000000002"/>
    <n v="0.28000000000000003"/>
    <n v="2.3899999999999988"/>
    <s v="Ecart positif"/>
    <n v="50.15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2"/>
    <n v="25"/>
    <x v="6"/>
    <x v="0"/>
    <n v="0"/>
    <n v="19.2"/>
    <n v="0.12"/>
    <n v="-19.2"/>
    <x v="0"/>
    <x v="47"/>
    <n v="0.11325"/>
    <n v="19.2"/>
    <n v="0.12"/>
    <n v="-1.0799999999999983"/>
    <s v="Ecart négatif"/>
    <n v="0"/>
  </r>
  <r>
    <x v="2"/>
    <n v="75"/>
    <x v="6"/>
    <x v="0"/>
    <n v="0"/>
    <n v="0"/>
    <n v="0"/>
    <n v="0"/>
    <x v="1"/>
    <x v="1"/>
    <n v="0"/>
    <n v="0"/>
    <n v="0"/>
    <n v="0"/>
    <s v="Pas d'écart"/>
    <n v="0"/>
  </r>
  <r>
    <x v="3"/>
    <n v="69"/>
    <x v="34"/>
    <x v="614"/>
    <n v="0.2588695652173913"/>
    <n v="62.1"/>
    <n v="0.27"/>
    <n v="-2.5600000000000023"/>
    <x v="0"/>
    <x v="1"/>
    <n v="0"/>
    <n v="62.1"/>
    <n v="0.27"/>
    <n v="-62.1"/>
    <s v="Ecart négatif"/>
    <n v="24.340000000000003"/>
  </r>
  <r>
    <x v="0"/>
    <n v="49"/>
    <x v="2"/>
    <x v="0"/>
    <n v="0"/>
    <n v="0"/>
    <n v="0"/>
    <n v="0"/>
    <x v="1"/>
    <x v="1"/>
    <n v="0"/>
    <n v="0"/>
    <n v="0"/>
    <n v="0"/>
    <s v="Pas d'écart"/>
    <n v="73.41"/>
  </r>
  <r>
    <x v="2"/>
    <n v="83"/>
    <x v="2"/>
    <x v="0"/>
    <n v="0"/>
    <n v="29.4"/>
    <n v="0.21"/>
    <n v="-29.4"/>
    <x v="0"/>
    <x v="98"/>
    <n v="0.21"/>
    <n v="29.4"/>
    <n v="0.21"/>
    <n v="0"/>
    <s v="Pas d'écart"/>
    <n v="73.41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67"/>
    <x v="7"/>
    <x v="0"/>
    <n v="0"/>
    <n v="2.4"/>
    <n v="0.08"/>
    <n v="-2.4"/>
    <x v="0"/>
    <x v="279"/>
    <n v="0.08"/>
    <n v="2.4"/>
    <n v="0.08"/>
    <n v="0"/>
    <s v="Pas d'écart"/>
    <n v="0"/>
  </r>
  <r>
    <x v="2"/>
    <n v="44"/>
    <x v="12"/>
    <x v="0"/>
    <n v="0"/>
    <n v="0"/>
    <n v="0"/>
    <n v="0"/>
    <x v="1"/>
    <x v="1"/>
    <n v="0"/>
    <n v="0"/>
    <n v="0"/>
    <n v="0"/>
    <s v="Pas d'écart"/>
    <n v="34.29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76"/>
    <x v="0"/>
    <x v="0"/>
    <n v="0"/>
    <n v="30.6"/>
    <n v="0.17"/>
    <n v="-30.6"/>
    <x v="0"/>
    <x v="0"/>
    <n v="0.17"/>
    <n v="30.6"/>
    <n v="0.17"/>
    <n v="0"/>
    <s v="Pas d'écart"/>
    <n v="18.419999999999987"/>
  </r>
  <r>
    <x v="2"/>
    <n v="8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73.41"/>
  </r>
  <r>
    <x v="6"/>
    <n v="14"/>
    <x v="10"/>
    <x v="0"/>
    <n v="0"/>
    <n v="25.500000000000004"/>
    <n v="0.17"/>
    <n v="-25.500000000000004"/>
    <x v="0"/>
    <x v="280"/>
    <n v="0.18473333333333333"/>
    <n v="25.500000000000004"/>
    <n v="0.17"/>
    <n v="2.2099999999999973"/>
    <s v="Ecart positif"/>
    <n v="5.1799999999999926"/>
  </r>
  <r>
    <x v="0"/>
    <n v="83"/>
    <x v="14"/>
    <x v="0"/>
    <n v="0"/>
    <n v="27.3"/>
    <n v="0.21"/>
    <n v="-27.3"/>
    <x v="0"/>
    <x v="1"/>
    <n v="0"/>
    <n v="27.3"/>
    <n v="0.21"/>
    <n v="-27.3"/>
    <s v="Ecart négatif"/>
    <n v="72.88"/>
  </r>
  <r>
    <x v="2"/>
    <n v="33"/>
    <x v="0"/>
    <x v="0"/>
    <n v="0"/>
    <n v="30.6"/>
    <n v="0.17"/>
    <n v="-30.6"/>
    <x v="0"/>
    <x v="0"/>
    <n v="0.17"/>
    <n v="30.6"/>
    <n v="0.17"/>
    <n v="0"/>
    <s v="Pas d'écart"/>
    <n v="92.1"/>
  </r>
  <r>
    <x v="0"/>
    <n v="36"/>
    <x v="6"/>
    <x v="0"/>
    <n v="0"/>
    <n v="19.2"/>
    <n v="0.12"/>
    <n v="-19.2"/>
    <x v="0"/>
    <x v="47"/>
    <n v="0.11325"/>
    <n v="19.2"/>
    <n v="0.12"/>
    <n v="-1.0799999999999983"/>
    <s v="Ecart négatif"/>
    <n v="18.340000000000003"/>
  </r>
  <r>
    <x v="2"/>
    <n v="37"/>
    <x v="5"/>
    <x v="0"/>
    <n v="0"/>
    <n v="1.2"/>
    <n v="0.12"/>
    <n v="-1.2"/>
    <x v="0"/>
    <x v="281"/>
    <n v="6.8000000000000005E-2"/>
    <n v="1.2"/>
    <n v="0.12"/>
    <n v="-0.51999999999999991"/>
    <s v="Ecart négatif"/>
    <n v="0"/>
  </r>
  <r>
    <x v="2"/>
    <n v="54"/>
    <x v="8"/>
    <x v="0"/>
    <n v="0"/>
    <n v="17.5"/>
    <n v="0.25"/>
    <n v="-17.5"/>
    <x v="0"/>
    <x v="35"/>
    <n v="0.23671428571428571"/>
    <n v="17.5"/>
    <n v="0.25"/>
    <n v="-0.92999999999999972"/>
    <s v="Ecart négatif"/>
    <n v="0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6"/>
    <x v="18"/>
    <x v="0"/>
    <n v="0"/>
    <n v="18.899999999999999"/>
    <n v="0.21"/>
    <n v="-18.899999999999999"/>
    <x v="0"/>
    <x v="60"/>
    <n v="0.3"/>
    <n v="18.899999999999999"/>
    <n v="0.21"/>
    <n v="8.1000000000000014"/>
    <s v="Ecart positif"/>
    <n v="15.04"/>
  </r>
  <r>
    <x v="2"/>
    <n v="30"/>
    <x v="22"/>
    <x v="0"/>
    <n v="0"/>
    <n v="28.000000000000004"/>
    <n v="0.28000000000000003"/>
    <n v="-28.000000000000004"/>
    <x v="0"/>
    <x v="1"/>
    <n v="0"/>
    <n v="28.000000000000004"/>
    <n v="0.28000000000000003"/>
    <n v="-28.000000000000004"/>
    <s v="Ecart négatif"/>
    <n v="71.27"/>
  </r>
  <r>
    <x v="2"/>
    <n v="37"/>
    <x v="13"/>
    <x v="0"/>
    <n v="0"/>
    <n v="20.399999999999999"/>
    <n v="0.12"/>
    <n v="-20.399999999999999"/>
    <x v="0"/>
    <x v="282"/>
    <n v="0.25564705882352939"/>
    <n v="20.399999999999999"/>
    <n v="0.12"/>
    <n v="23.060000000000002"/>
    <s v="Ecart positif"/>
    <n v="84.33"/>
  </r>
  <r>
    <x v="4"/>
    <n v="77"/>
    <x v="36"/>
    <x v="0"/>
    <n v="0"/>
    <n v="0"/>
    <n v="0"/>
    <n v="0"/>
    <x v="1"/>
    <x v="1"/>
    <n v="0"/>
    <n v="0"/>
    <n v="0"/>
    <n v="0"/>
    <s v="Pas d'écart"/>
    <n v="82.81"/>
  </r>
  <r>
    <x v="4"/>
    <n v="69"/>
    <x v="2"/>
    <x v="615"/>
    <n v="0.25892857142857145"/>
    <n v="37.800000000000004"/>
    <n v="0.27"/>
    <n v="-1.5500000000000043"/>
    <x v="0"/>
    <x v="1"/>
    <n v="0"/>
    <n v="37.800000000000004"/>
    <n v="0.27"/>
    <n v="-37.800000000000004"/>
    <s v="Ecart négatif"/>
    <n v="0"/>
  </r>
  <r>
    <x v="5"/>
    <n v="4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5"/>
    <n v="72"/>
    <x v="11"/>
    <x v="0"/>
    <n v="0"/>
    <n v="12.6"/>
    <n v="0.21"/>
    <n v="-12.6"/>
    <x v="0"/>
    <x v="1"/>
    <n v="0"/>
    <n v="12.6"/>
    <n v="0.21"/>
    <n v="-12.6"/>
    <s v="Ecart négatif"/>
    <n v="30.849999999999998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8"/>
    <x v="11"/>
    <x v="351"/>
    <n v="0.25383333333333336"/>
    <n v="17.399999999999999"/>
    <n v="0.28999999999999998"/>
    <n v="-2.1699999999999982"/>
    <x v="0"/>
    <x v="1"/>
    <n v="0"/>
    <n v="17.399999999999999"/>
    <n v="0.28999999999999998"/>
    <n v="-17.399999999999999"/>
    <s v="Ecart négatif"/>
    <n v="52.78"/>
  </r>
  <r>
    <x v="5"/>
    <n v="6"/>
    <x v="11"/>
    <x v="0"/>
    <n v="0"/>
    <n v="18"/>
    <n v="0.3"/>
    <n v="-18"/>
    <x v="0"/>
    <x v="1"/>
    <n v="0"/>
    <n v="18"/>
    <n v="0.3"/>
    <n v="-18"/>
    <s v="Ecart négatif"/>
    <n v="30.849999999999998"/>
  </r>
  <r>
    <x v="5"/>
    <n v="35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5"/>
    <n v="6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2"/>
    <n v="31"/>
    <x v="2"/>
    <x v="0"/>
    <n v="0"/>
    <n v="36.4"/>
    <n v="0.26"/>
    <n v="-36.4"/>
    <x v="0"/>
    <x v="1"/>
    <n v="0"/>
    <n v="36.4"/>
    <n v="0.26"/>
    <n v="-36.4"/>
    <s v="Ecart négatif"/>
    <n v="65.680000000000007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4"/>
    <n v="69"/>
    <x v="6"/>
    <x v="616"/>
    <n v="0.25893749999999999"/>
    <n v="43.2"/>
    <n v="0.27"/>
    <n v="-1.7700000000000031"/>
    <x v="0"/>
    <x v="1"/>
    <n v="0"/>
    <n v="43.2"/>
    <n v="0.27"/>
    <n v="-43.2"/>
    <s v="Ecart négatif"/>
    <n v="0"/>
  </r>
  <r>
    <x v="3"/>
    <n v="73"/>
    <x v="6"/>
    <x v="616"/>
    <n v="0.25893749999999999"/>
    <n v="43.2"/>
    <n v="0.27"/>
    <n v="-1.7700000000000031"/>
    <x v="0"/>
    <x v="1"/>
    <n v="0"/>
    <n v="43.2"/>
    <n v="0.27"/>
    <n v="-43.2"/>
    <s v="Ecart négatif"/>
    <n v="18.340000000000003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51"/>
    <x v="19"/>
    <x v="0"/>
    <n v="0"/>
    <n v="47.5"/>
    <n v="0.25"/>
    <n v="-47.5"/>
    <x v="0"/>
    <x v="1"/>
    <n v="0"/>
    <n v="47.5"/>
    <n v="0.25"/>
    <n v="-47.5"/>
    <s v="Ecart négatif"/>
    <n v="128.22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2"/>
    <n v="45"/>
    <x v="0"/>
    <x v="0"/>
    <n v="0"/>
    <n v="21.599999999999998"/>
    <n v="0.11999999999999998"/>
    <n v="-21.599999999999998"/>
    <x v="0"/>
    <x v="65"/>
    <n v="0.39"/>
    <n v="21.599999999999998"/>
    <n v="0.11999999999999998"/>
    <n v="48.600000000000009"/>
    <s v="Ecart positif"/>
    <n v="0"/>
  </r>
  <r>
    <x v="7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13.140000000000008"/>
  </r>
  <r>
    <x v="3"/>
    <n v="73"/>
    <x v="6"/>
    <x v="616"/>
    <n v="0.25893749999999999"/>
    <n v="43.2"/>
    <n v="0.27"/>
    <n v="-1.7700000000000031"/>
    <x v="0"/>
    <x v="1"/>
    <n v="0"/>
    <n v="43.2"/>
    <n v="0.27"/>
    <n v="-43.2"/>
    <s v="Ecart négatif"/>
    <n v="18.340000000000003"/>
  </r>
  <r>
    <x v="7"/>
    <n v="51"/>
    <x v="2"/>
    <x v="0"/>
    <n v="0"/>
    <n v="35"/>
    <n v="0.25"/>
    <n v="-35"/>
    <x v="0"/>
    <x v="1"/>
    <n v="0"/>
    <n v="35"/>
    <n v="0.25"/>
    <n v="-35"/>
    <s v="Ecart négatif"/>
    <n v="15.759999999999998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6"/>
    <n v="33"/>
    <x v="11"/>
    <x v="0"/>
    <n v="0"/>
    <n v="12.6"/>
    <n v="0.21"/>
    <n v="-12.6"/>
    <x v="0"/>
    <x v="1"/>
    <n v="0"/>
    <n v="12.6"/>
    <n v="0.21"/>
    <n v="-12.6"/>
    <s v="Ecart négatif"/>
    <n v="8.2199999999999989"/>
  </r>
  <r>
    <x v="2"/>
    <n v="75"/>
    <x v="2"/>
    <x v="0"/>
    <n v="0"/>
    <n v="0"/>
    <n v="0"/>
    <n v="0"/>
    <x v="1"/>
    <x v="1"/>
    <n v="0"/>
    <n v="0"/>
    <n v="0"/>
    <n v="0"/>
    <s v="Pas d'écart"/>
    <n v="0"/>
  </r>
  <r>
    <x v="3"/>
    <n v="73"/>
    <x v="6"/>
    <x v="616"/>
    <n v="0.25893749999999999"/>
    <n v="43.2"/>
    <n v="0.27"/>
    <n v="-1.7700000000000031"/>
    <x v="0"/>
    <x v="1"/>
    <n v="0"/>
    <n v="43.2"/>
    <n v="0.27"/>
    <n v="-43.2"/>
    <s v="Ecart négatif"/>
    <n v="18.340000000000003"/>
  </r>
  <r>
    <x v="4"/>
    <n v="74"/>
    <x v="6"/>
    <x v="616"/>
    <n v="0.25893749999999999"/>
    <n v="41.6"/>
    <n v="0.26"/>
    <n v="-0.17000000000000171"/>
    <x v="0"/>
    <x v="1"/>
    <n v="0"/>
    <n v="41.6"/>
    <n v="0.26"/>
    <n v="-41.6"/>
    <s v="Ecart négatif"/>
    <n v="0"/>
  </r>
  <r>
    <x v="7"/>
    <n v="6"/>
    <x v="16"/>
    <x v="0"/>
    <n v="0"/>
    <n v="60"/>
    <n v="0.3"/>
    <n v="-60"/>
    <x v="0"/>
    <x v="1"/>
    <n v="0"/>
    <n v="60"/>
    <n v="0.3"/>
    <n v="-60"/>
    <s v="Ecart négatif"/>
    <n v="28.08000000000001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57"/>
    <x v="3"/>
    <x v="0"/>
    <n v="0"/>
    <n v="52.5"/>
    <n v="0.25"/>
    <n v="-52.5"/>
    <x v="0"/>
    <x v="283"/>
    <n v="0.24047619047619048"/>
    <n v="52.5"/>
    <n v="0.25"/>
    <n v="-2"/>
    <s v="Ecart négatif"/>
    <n v="0"/>
  </r>
  <r>
    <x v="7"/>
    <n v="71"/>
    <x v="12"/>
    <x v="0"/>
    <n v="0"/>
    <n v="10.8"/>
    <n v="0.27"/>
    <n v="-10.8"/>
    <x v="0"/>
    <x v="1"/>
    <n v="0"/>
    <n v="10.8"/>
    <n v="0.27"/>
    <n v="-10.8"/>
    <s v="Ecart négatif"/>
    <n v="14.04"/>
  </r>
  <r>
    <x v="3"/>
    <n v="44"/>
    <x v="18"/>
    <x v="617"/>
    <n v="0.25900000000000001"/>
    <n v="24.3"/>
    <n v="0.27"/>
    <n v="-0.99000000000000199"/>
    <x v="0"/>
    <x v="1"/>
    <n v="0"/>
    <n v="24.3"/>
    <n v="0.27"/>
    <n v="-24.3"/>
    <s v="Ecart négatif"/>
    <n v="10.029999999999994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4"/>
    <n v="75"/>
    <x v="10"/>
    <x v="0"/>
    <n v="0"/>
    <n v="0"/>
    <n v="0"/>
    <n v="0"/>
    <x v="1"/>
    <x v="1"/>
    <n v="0"/>
    <n v="0"/>
    <n v="0"/>
    <n v="0"/>
    <s v="Pas d'écart"/>
    <n v="18.049999999999997"/>
  </r>
  <r>
    <x v="4"/>
    <n v="75"/>
    <x v="10"/>
    <x v="0"/>
    <n v="0"/>
    <n v="0"/>
    <n v="0"/>
    <n v="0"/>
    <x v="1"/>
    <x v="1"/>
    <n v="0"/>
    <n v="0"/>
    <n v="0"/>
    <n v="0"/>
    <s v="Pas d'écart"/>
    <n v="18.049999999999997"/>
  </r>
  <r>
    <x v="4"/>
    <n v="1"/>
    <x v="18"/>
    <x v="617"/>
    <n v="0.25900000000000001"/>
    <n v="23.400000000000002"/>
    <n v="0.26"/>
    <n v="-9.0000000000003411E-2"/>
    <x v="0"/>
    <x v="1"/>
    <n v="0"/>
    <n v="23.400000000000002"/>
    <n v="0.26"/>
    <n v="-23.400000000000002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9"/>
    <n v="68"/>
    <x v="7"/>
    <x v="97"/>
    <n v="0.5"/>
    <n v="8.6999999999999993"/>
    <n v="0.28999999999999998"/>
    <n v="6.3000000000000007"/>
    <x v="2"/>
    <x v="1"/>
    <n v="0"/>
    <n v="8.6999999999999993"/>
    <n v="0.28999999999999998"/>
    <n v="-8.6999999999999993"/>
    <s v="Ecart négatif"/>
    <n v="20.37"/>
  </r>
  <r>
    <x v="4"/>
    <n v="1"/>
    <x v="18"/>
    <x v="617"/>
    <n v="0.25900000000000001"/>
    <n v="23.400000000000002"/>
    <n v="0.26"/>
    <n v="-9.0000000000003411E-2"/>
    <x v="0"/>
    <x v="1"/>
    <n v="0"/>
    <n v="23.400000000000002"/>
    <n v="0.26"/>
    <n v="-23.400000000000002"/>
    <s v="Ecart négatif"/>
    <n v="0"/>
  </r>
  <r>
    <x v="4"/>
    <n v="74"/>
    <x v="18"/>
    <x v="617"/>
    <n v="0.25900000000000001"/>
    <n v="23.400000000000002"/>
    <n v="0.26"/>
    <n v="-9.0000000000003411E-2"/>
    <x v="0"/>
    <x v="1"/>
    <n v="0"/>
    <n v="23.400000000000002"/>
    <n v="0.26"/>
    <n v="-23.400000000000002"/>
    <s v="Ecart négatif"/>
    <n v="0"/>
  </r>
  <r>
    <x v="2"/>
    <n v="59"/>
    <x v="0"/>
    <x v="0"/>
    <n v="0"/>
    <n v="0"/>
    <n v="0"/>
    <n v="0"/>
    <x v="1"/>
    <x v="1"/>
    <n v="0"/>
    <n v="0"/>
    <n v="0"/>
    <n v="0"/>
    <s v="Pas d'écart"/>
    <n v="92.1"/>
  </r>
  <r>
    <x v="0"/>
    <n v="68"/>
    <x v="7"/>
    <x v="0"/>
    <n v="0"/>
    <n v="2.4"/>
    <n v="0.08"/>
    <n v="-2.4"/>
    <x v="0"/>
    <x v="1"/>
    <n v="0"/>
    <n v="2.4"/>
    <n v="0.08"/>
    <n v="-2.4"/>
    <s v="Ecart négatif"/>
    <n v="20.37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0"/>
    <n v="77"/>
    <x v="19"/>
    <x v="0"/>
    <n v="0"/>
    <n v="0"/>
    <n v="0"/>
    <n v="0"/>
    <x v="1"/>
    <x v="1"/>
    <n v="0"/>
    <n v="0"/>
    <n v="0"/>
    <n v="0"/>
    <s v="Pas d'écart"/>
    <n v="62.01"/>
  </r>
  <r>
    <x v="0"/>
    <n v="25"/>
    <x v="2"/>
    <x v="0"/>
    <n v="0"/>
    <n v="16.8"/>
    <n v="0.12000000000000001"/>
    <n v="-16.8"/>
    <x v="0"/>
    <x v="284"/>
    <n v="0.11692857142857144"/>
    <n v="16.8"/>
    <n v="0.12000000000000001"/>
    <n v="-0.42999999999999972"/>
    <s v="Ecart négatif"/>
    <n v="15.75999999999999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36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78.8"/>
  </r>
  <r>
    <x v="0"/>
    <n v="57"/>
    <x v="15"/>
    <x v="0"/>
    <n v="0"/>
    <n v="5"/>
    <n v="0.25"/>
    <n v="-5"/>
    <x v="0"/>
    <x v="57"/>
    <n v="0.21249999999999999"/>
    <n v="5"/>
    <n v="0.25"/>
    <n v="-0.75"/>
    <s v="Ecart négatif"/>
    <n v="3.4600000000000009"/>
  </r>
  <r>
    <x v="8"/>
    <n v="57"/>
    <x v="19"/>
    <x v="0"/>
    <n v="0"/>
    <n v="45.6"/>
    <n v="0.24000000000000002"/>
    <n v="-45.6"/>
    <x v="0"/>
    <x v="1"/>
    <n v="0"/>
    <n v="45.6"/>
    <n v="0.24000000000000002"/>
    <n v="-45.6"/>
    <s v="Ecart négatif"/>
    <n v="18.600000000000009"/>
  </r>
  <r>
    <x v="2"/>
    <n v="6"/>
    <x v="10"/>
    <x v="0"/>
    <n v="0"/>
    <n v="31.5"/>
    <n v="0.21"/>
    <n v="-31.5"/>
    <x v="0"/>
    <x v="1"/>
    <n v="0"/>
    <n v="31.5"/>
    <n v="0.21"/>
    <n v="-31.5"/>
    <s v="Ecart négatif"/>
    <n v="0"/>
  </r>
  <r>
    <x v="3"/>
    <n v="49"/>
    <x v="6"/>
    <x v="618"/>
    <n v="0.25906250000000003"/>
    <n v="43.2"/>
    <n v="0.27"/>
    <n v="-1.75"/>
    <x v="0"/>
    <x v="1"/>
    <n v="0"/>
    <n v="43.2"/>
    <n v="0.27"/>
    <n v="-43.2"/>
    <s v="Ecart négatif"/>
    <n v="17.02000000000001"/>
  </r>
  <r>
    <x v="2"/>
    <n v="50"/>
    <x v="19"/>
    <x v="0"/>
    <n v="0"/>
    <n v="32.300000000000004"/>
    <n v="0.17"/>
    <n v="-32.300000000000004"/>
    <x v="0"/>
    <x v="285"/>
    <n v="0.16957894736842105"/>
    <n v="32.300000000000004"/>
    <n v="0.17"/>
    <n v="-8.00000000000054E-2"/>
    <s v="Ecart négatif"/>
    <n v="0"/>
  </r>
  <r>
    <x v="4"/>
    <n v="69"/>
    <x v="6"/>
    <x v="618"/>
    <n v="0.25906250000000003"/>
    <n v="43.2"/>
    <n v="0.27"/>
    <n v="-1.75"/>
    <x v="0"/>
    <x v="1"/>
    <n v="0"/>
    <n v="43.2"/>
    <n v="0.27"/>
    <n v="-43.2"/>
    <s v="Ecart négatif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41"/>
    <x v="0"/>
    <n v="0"/>
    <n v="0"/>
    <n v="0"/>
    <n v="0"/>
    <x v="1"/>
    <x v="1"/>
    <n v="0"/>
    <n v="0"/>
    <n v="0"/>
    <n v="0"/>
    <s v="Pas d'écart"/>
    <n v="157.33000000000001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79"/>
    <x v="27"/>
    <x v="0"/>
    <n v="0"/>
    <n v="6"/>
    <n v="0.12"/>
    <n v="-6"/>
    <x v="0"/>
    <x v="286"/>
    <n v="0.12"/>
    <n v="6"/>
    <n v="0.12"/>
    <n v="0"/>
    <s v="Pas d'écart"/>
    <n v="0"/>
  </r>
  <r>
    <x v="4"/>
    <n v="69"/>
    <x v="0"/>
    <x v="619"/>
    <n v="0.25911111111111113"/>
    <n v="48.6"/>
    <n v="0.27"/>
    <n v="-1.9600000000000009"/>
    <x v="0"/>
    <x v="1"/>
    <n v="0"/>
    <n v="48.6"/>
    <n v="0.27"/>
    <n v="-48.6"/>
    <s v="Ecart négatif"/>
    <n v="0"/>
  </r>
  <r>
    <x v="0"/>
    <n v="76"/>
    <x v="7"/>
    <x v="0"/>
    <n v="0"/>
    <n v="5.1000000000000005"/>
    <n v="0.17"/>
    <n v="-5.1000000000000005"/>
    <x v="0"/>
    <x v="287"/>
    <n v="0.14400000000000002"/>
    <n v="5.1000000000000005"/>
    <n v="0.17"/>
    <n v="-0.78000000000000025"/>
    <s v="Ecart négatif"/>
    <n v="3.4500000000000011"/>
  </r>
  <r>
    <x v="1"/>
    <n v="77"/>
    <x v="25"/>
    <x v="0"/>
    <n v="0"/>
    <n v="0"/>
    <n v="0"/>
    <n v="0"/>
    <x v="1"/>
    <x v="1"/>
    <n v="0"/>
    <n v="0"/>
    <n v="0"/>
    <n v="0"/>
    <s v="Pas d'écart"/>
    <n v="67.569999999999993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4"/>
    <n v="69"/>
    <x v="27"/>
    <x v="620"/>
    <n v="0.25920000000000004"/>
    <n v="13.5"/>
    <n v="0.27"/>
    <n v="-0.53999999999999915"/>
    <x v="0"/>
    <x v="1"/>
    <n v="0"/>
    <n v="13.5"/>
    <n v="0.27"/>
    <n v="-13.5"/>
    <s v="Ecart négatif"/>
    <n v="0"/>
  </r>
  <r>
    <x v="0"/>
    <n v="6"/>
    <x v="19"/>
    <x v="0"/>
    <n v="0"/>
    <n v="39.9"/>
    <n v="0.21"/>
    <n v="-39.9"/>
    <x v="0"/>
    <x v="220"/>
    <n v="0.28578947368421054"/>
    <n v="39.9"/>
    <n v="0.21"/>
    <n v="14.399999999999999"/>
    <s v="Ecart positif"/>
    <n v="25.64"/>
  </r>
  <r>
    <x v="0"/>
    <n v="49"/>
    <x v="19"/>
    <x v="0"/>
    <n v="0"/>
    <n v="0"/>
    <n v="0"/>
    <n v="0"/>
    <x v="1"/>
    <x v="1"/>
    <n v="0"/>
    <n v="0"/>
    <n v="0"/>
    <n v="0"/>
    <s v="Pas d'écart"/>
    <n v="118.48"/>
  </r>
  <r>
    <x v="6"/>
    <n v="69"/>
    <x v="27"/>
    <x v="0"/>
    <n v="0"/>
    <n v="13.5"/>
    <n v="0.27"/>
    <n v="-13.5"/>
    <x v="0"/>
    <x v="1"/>
    <n v="0"/>
    <n v="13.5"/>
    <n v="0.27"/>
    <n v="-13.5"/>
    <s v="Ecart négatif"/>
    <n v="7.6599999999999966"/>
  </r>
  <r>
    <x v="4"/>
    <n v="73"/>
    <x v="8"/>
    <x v="621"/>
    <n v="0.25942857142857145"/>
    <n v="18.900000000000002"/>
    <n v="0.27"/>
    <n v="-0.74000000000000199"/>
    <x v="0"/>
    <x v="1"/>
    <n v="0"/>
    <n v="18.900000000000002"/>
    <n v="0.27"/>
    <n v="-18.900000000000002"/>
    <s v="Ecart négatif"/>
    <n v="0"/>
  </r>
  <r>
    <x v="4"/>
    <n v="48"/>
    <x v="2"/>
    <x v="299"/>
    <n v="0.39"/>
    <n v="54.6"/>
    <n v="0.39"/>
    <n v="0"/>
    <x v="1"/>
    <x v="1"/>
    <n v="0"/>
    <n v="54.6"/>
    <n v="0.39"/>
    <n v="-54.6"/>
    <s v="Ecart négatif"/>
    <n v="0"/>
  </r>
  <r>
    <x v="4"/>
    <n v="38"/>
    <x v="18"/>
    <x v="622"/>
    <n v="0.25944444444444448"/>
    <n v="24.3"/>
    <n v="0.27"/>
    <n v="-0.94999999999999929"/>
    <x v="0"/>
    <x v="1"/>
    <n v="0"/>
    <n v="24.3"/>
    <n v="0.27"/>
    <n v="-24.3"/>
    <s v="Ecart négatif"/>
    <n v="0"/>
  </r>
  <r>
    <x v="3"/>
    <n v="44"/>
    <x v="11"/>
    <x v="623"/>
    <n v="0.25950000000000001"/>
    <n v="16.200000000000003"/>
    <n v="0.27000000000000007"/>
    <n v="-0.63000000000000256"/>
    <x v="0"/>
    <x v="1"/>
    <n v="0"/>
    <n v="16.200000000000003"/>
    <n v="0.27000000000000007"/>
    <n v="-16.200000000000003"/>
    <s v="Ecart négatif"/>
    <n v="8.5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4"/>
    <n v="56"/>
    <x v="18"/>
    <x v="624"/>
    <n v="0.25966666666666666"/>
    <n v="24.3"/>
    <n v="0.27"/>
    <n v="-0.92999999999999972"/>
    <x v="0"/>
    <x v="1"/>
    <n v="0"/>
    <n v="24.3"/>
    <n v="0.27"/>
    <n v="-24.3"/>
    <s v="Ecart négatif"/>
    <n v="0"/>
  </r>
  <r>
    <x v="4"/>
    <n v="6"/>
    <x v="12"/>
    <x v="25"/>
    <n v="0.3"/>
    <n v="12"/>
    <n v="0.3"/>
    <n v="0"/>
    <x v="1"/>
    <x v="1"/>
    <n v="0"/>
    <n v="12"/>
    <n v="0.3"/>
    <n v="-12"/>
    <s v="Ecart négatif"/>
    <n v="0"/>
  </r>
  <r>
    <x v="3"/>
    <n v="56"/>
    <x v="18"/>
    <x v="624"/>
    <n v="0.25966666666666666"/>
    <n v="24.3"/>
    <n v="0.27"/>
    <n v="-0.92999999999999972"/>
    <x v="0"/>
    <x v="1"/>
    <n v="0"/>
    <n v="24.3"/>
    <n v="0.27"/>
    <n v="-24.3"/>
    <s v="Ecart négatif"/>
    <n v="14.150000000000006"/>
  </r>
  <r>
    <x v="4"/>
    <n v="85"/>
    <x v="6"/>
    <x v="625"/>
    <n v="0.25968749999999996"/>
    <n v="43.2"/>
    <n v="0.27"/>
    <n v="-1.6500000000000057"/>
    <x v="0"/>
    <x v="1"/>
    <n v="0"/>
    <n v="43.2"/>
    <n v="0.27"/>
    <n v="-43.2"/>
    <s v="Ecart négatif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78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79"/>
    <x v="0"/>
    <n v="0"/>
    <n v="0"/>
    <n v="0"/>
    <n v="0"/>
    <x v="1"/>
    <x v="1"/>
    <n v="0"/>
    <n v="0"/>
    <n v="0"/>
    <n v="0"/>
    <s v="Pas d'écart"/>
    <e v="#N/A"/>
  </r>
  <r>
    <x v="4"/>
    <n v="94"/>
    <x v="16"/>
    <x v="0"/>
    <n v="0"/>
    <n v="0"/>
    <n v="0"/>
    <n v="0"/>
    <x v="1"/>
    <x v="1"/>
    <n v="0"/>
    <n v="0"/>
    <n v="0"/>
    <n v="0"/>
    <s v="Pas d'écart"/>
    <n v="0"/>
  </r>
  <r>
    <x v="4"/>
    <n v="69"/>
    <x v="38"/>
    <x v="626"/>
    <n v="0.27"/>
    <n v="94.5"/>
    <n v="0.27"/>
    <n v="0"/>
    <x v="1"/>
    <x v="1"/>
    <n v="0"/>
    <n v="94.5"/>
    <n v="0.27"/>
    <n v="-94.5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56"/>
    <x v="2"/>
    <x v="627"/>
    <n v="0.25971428571428573"/>
    <n v="37.800000000000004"/>
    <n v="0.27"/>
    <n v="-1.4400000000000048"/>
    <x v="0"/>
    <x v="1"/>
    <n v="0"/>
    <n v="37.800000000000004"/>
    <n v="0.27"/>
    <n v="-37.800000000000004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44"/>
    <x v="3"/>
    <x v="628"/>
    <n v="0.25976190476190475"/>
    <n v="56.7"/>
    <n v="0.27"/>
    <n v="-2.1500000000000057"/>
    <x v="0"/>
    <x v="1"/>
    <n v="0"/>
    <n v="56.7"/>
    <n v="0.27"/>
    <n v="-56.7"/>
    <s v="Ecart négatif"/>
    <n v="22.47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4"/>
    <n v="35"/>
    <x v="6"/>
    <x v="629"/>
    <n v="0.25987499999999997"/>
    <n v="43.2"/>
    <n v="0.27"/>
    <n v="-1.6200000000000045"/>
    <x v="0"/>
    <x v="1"/>
    <n v="0"/>
    <n v="43.2"/>
    <n v="0.27"/>
    <n v="-43.2"/>
    <s v="Ecart négatif"/>
    <n v="0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4"/>
    <n v="35"/>
    <x v="0"/>
    <x v="630"/>
    <n v="0.25988888888888889"/>
    <n v="48.6"/>
    <n v="0.27"/>
    <n v="-1.8200000000000003"/>
    <x v="0"/>
    <x v="1"/>
    <n v="0"/>
    <n v="48.6"/>
    <n v="0.27"/>
    <n v="-48.6"/>
    <s v="Ecart négatif"/>
    <n v="0"/>
  </r>
  <r>
    <x v="4"/>
    <n v="44"/>
    <x v="0"/>
    <x v="630"/>
    <n v="0.25988888888888889"/>
    <n v="48.6"/>
    <n v="0.27"/>
    <n v="-1.8200000000000003"/>
    <x v="0"/>
    <x v="1"/>
    <n v="0"/>
    <n v="48.6"/>
    <n v="0.27"/>
    <n v="-48.6"/>
    <s v="Ecart négatif"/>
    <n v="0"/>
  </r>
  <r>
    <x v="3"/>
    <n v="42"/>
    <x v="6"/>
    <x v="631"/>
    <n v="0.25993750000000004"/>
    <n v="41.6"/>
    <n v="0.26"/>
    <n v="-9.9999999999980105E-3"/>
    <x v="0"/>
    <x v="1"/>
    <n v="0"/>
    <n v="41.6"/>
    <n v="0.26"/>
    <n v="-41.6"/>
    <s v="Ecart négatif"/>
    <n v="17.02000000000001"/>
  </r>
  <r>
    <x v="3"/>
    <n v="42"/>
    <x v="6"/>
    <x v="631"/>
    <n v="0.25993750000000004"/>
    <n v="41.6"/>
    <n v="0.26"/>
    <n v="-9.9999999999980105E-3"/>
    <x v="0"/>
    <x v="1"/>
    <n v="0"/>
    <n v="41.6"/>
    <n v="0.26"/>
    <n v="-41.6"/>
    <s v="Ecart négatif"/>
    <n v="17.02000000000001"/>
  </r>
  <r>
    <x v="3"/>
    <n v="38"/>
    <x v="14"/>
    <x v="632"/>
    <n v="0.26015384615384618"/>
    <n v="35.1"/>
    <n v="0.27"/>
    <n v="-1.2800000000000011"/>
    <x v="0"/>
    <x v="1"/>
    <n v="0"/>
    <n v="35.1"/>
    <n v="0.27"/>
    <n v="-35.1"/>
    <s v="Ecart négatif"/>
    <n v="14.579999999999998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4"/>
    <n v="44"/>
    <x v="18"/>
    <x v="633"/>
    <n v="0.26022222222222224"/>
    <n v="24.3"/>
    <n v="0.27"/>
    <n v="-0.87999999999999901"/>
    <x v="0"/>
    <x v="1"/>
    <n v="0"/>
    <n v="24.3"/>
    <n v="0.27"/>
    <n v="-24.3"/>
    <s v="Ecart négatif"/>
    <n v="0"/>
  </r>
  <r>
    <x v="4"/>
    <n v="93"/>
    <x v="2"/>
    <x v="0"/>
    <n v="0"/>
    <n v="0"/>
    <n v="0"/>
    <n v="0"/>
    <x v="1"/>
    <x v="1"/>
    <n v="0"/>
    <n v="0"/>
    <n v="0"/>
    <n v="0"/>
    <s v="Pas d'écart"/>
    <n v="0"/>
  </r>
  <r>
    <x v="4"/>
    <n v="74"/>
    <x v="19"/>
    <x v="634"/>
    <n v="0.26042105263157894"/>
    <n v="49.4"/>
    <n v="0.26"/>
    <n v="7.9999999999998295E-2"/>
    <x v="2"/>
    <x v="1"/>
    <n v="0"/>
    <n v="49.4"/>
    <n v="0.26"/>
    <n v="-49.4"/>
    <s v="Ecart négatif"/>
    <n v="0"/>
  </r>
  <r>
    <x v="2"/>
    <n v="24"/>
    <x v="3"/>
    <x v="0"/>
    <n v="0"/>
    <n v="35.700000000000003"/>
    <n v="0.17"/>
    <n v="-35.700000000000003"/>
    <x v="0"/>
    <x v="288"/>
    <n v="0.20400000000000001"/>
    <n v="35.700000000000003"/>
    <n v="0.17"/>
    <n v="7.1400000000000006"/>
    <s v="Ecart positif"/>
    <n v="0"/>
  </r>
  <r>
    <x v="4"/>
    <n v="38"/>
    <x v="0"/>
    <x v="635"/>
    <n v="0.26044444444444448"/>
    <n v="48.6"/>
    <n v="0.27"/>
    <n v="-1.7199999999999989"/>
    <x v="0"/>
    <x v="1"/>
    <n v="0"/>
    <n v="48.6"/>
    <n v="0.27"/>
    <n v="-48.6"/>
    <s v="Ecart négatif"/>
    <n v="0"/>
  </r>
  <r>
    <x v="3"/>
    <n v="38"/>
    <x v="0"/>
    <x v="635"/>
    <n v="0.26044444444444448"/>
    <n v="48.6"/>
    <n v="0.27"/>
    <n v="-1.7199999999999989"/>
    <x v="0"/>
    <x v="1"/>
    <n v="0"/>
    <n v="48.6"/>
    <n v="0.27"/>
    <n v="-48.6"/>
    <s v="Ecart négatif"/>
    <n v="21.47"/>
  </r>
  <r>
    <x v="3"/>
    <n v="44"/>
    <x v="19"/>
    <x v="636"/>
    <n v="0.26052631578947366"/>
    <n v="51.300000000000004"/>
    <n v="0.27"/>
    <n v="-1.8000000000000043"/>
    <x v="0"/>
    <x v="1"/>
    <n v="0"/>
    <n v="51.300000000000004"/>
    <n v="0.27"/>
    <n v="-51.300000000000004"/>
    <s v="Ecart négatif"/>
    <n v="19.9799999999999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3"/>
    <n v="44"/>
    <x v="19"/>
    <x v="636"/>
    <n v="0.26052631578947366"/>
    <n v="51.300000000000004"/>
    <n v="0.27"/>
    <n v="-1.8000000000000043"/>
    <x v="0"/>
    <x v="1"/>
    <n v="0"/>
    <n v="51.300000000000004"/>
    <n v="0.27"/>
    <n v="-51.300000000000004"/>
    <s v="Ecart négatif"/>
    <n v="19.97999999999999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62"/>
    <x v="22"/>
    <x v="0"/>
    <n v="0"/>
    <n v="0"/>
    <n v="0"/>
    <n v="0"/>
    <x v="1"/>
    <x v="1"/>
    <n v="0"/>
    <n v="0"/>
    <n v="0"/>
    <n v="0"/>
    <s v="Pas d'écart"/>
    <n v="14.249999999999993"/>
  </r>
  <r>
    <x v="3"/>
    <n v="69"/>
    <x v="6"/>
    <x v="637"/>
    <n v="0.26056249999999997"/>
    <n v="43.2"/>
    <n v="0.27"/>
    <n v="-1.5100000000000051"/>
    <x v="0"/>
    <x v="1"/>
    <n v="0"/>
    <n v="43.2"/>
    <n v="0.27"/>
    <n v="-43.2"/>
    <s v="Ecart négatif"/>
    <n v="15.310000000000002"/>
  </r>
  <r>
    <x v="3"/>
    <n v="77"/>
    <x v="7"/>
    <x v="0"/>
    <n v="0"/>
    <n v="0"/>
    <n v="0"/>
    <n v="0"/>
    <x v="1"/>
    <x v="1"/>
    <n v="0"/>
    <n v="0"/>
    <n v="0"/>
    <n v="0"/>
    <s v="Pas d'écart"/>
    <n v="3.0999999999999996"/>
  </r>
  <r>
    <x v="3"/>
    <n v="44"/>
    <x v="6"/>
    <x v="637"/>
    <n v="0.26056249999999997"/>
    <n v="43.2"/>
    <n v="0.27"/>
    <n v="-1.5100000000000051"/>
    <x v="0"/>
    <x v="1"/>
    <n v="0"/>
    <n v="43.2"/>
    <n v="0.27"/>
    <n v="-43.2"/>
    <s v="Ecart négatif"/>
    <n v="15.310000000000002"/>
  </r>
  <r>
    <x v="6"/>
    <n v="85"/>
    <x v="12"/>
    <x v="0"/>
    <n v="0"/>
    <n v="10.8"/>
    <n v="0.27"/>
    <n v="-10.8"/>
    <x v="0"/>
    <x v="1"/>
    <n v="0"/>
    <n v="10.8"/>
    <n v="0.27"/>
    <n v="-10.8"/>
    <s v="Ecart néga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73"/>
    <x v="6"/>
    <x v="637"/>
    <n v="0.26056249999999997"/>
    <n v="43.2"/>
    <n v="0.27"/>
    <n v="-1.5100000000000051"/>
    <x v="0"/>
    <x v="1"/>
    <n v="0"/>
    <n v="43.2"/>
    <n v="0.27"/>
    <n v="-43.2"/>
    <s v="Ecart négatif"/>
    <n v="0"/>
  </r>
  <r>
    <x v="0"/>
    <n v="54"/>
    <x v="12"/>
    <x v="0"/>
    <n v="0"/>
    <n v="10"/>
    <n v="0.25"/>
    <n v="-10"/>
    <x v="0"/>
    <x v="149"/>
    <n v="0.23275000000000001"/>
    <n v="10"/>
    <n v="0.25"/>
    <n v="-0.6899999999999995"/>
    <s v="Ecart négatif"/>
    <n v="6.8599999999999994"/>
  </r>
  <r>
    <x v="3"/>
    <n v="1"/>
    <x v="8"/>
    <x v="638"/>
    <n v="0.26057142857142856"/>
    <n v="18.2"/>
    <n v="0.26"/>
    <n v="3.9999999999999147E-2"/>
    <x v="2"/>
    <x v="1"/>
    <n v="0"/>
    <n v="18.2"/>
    <n v="0.26"/>
    <n v="-18.2"/>
    <s v="Ecart négatif"/>
    <n v="12.299999999999997"/>
  </r>
  <r>
    <x v="3"/>
    <n v="1"/>
    <x v="8"/>
    <x v="638"/>
    <n v="0.26057142857142856"/>
    <n v="18.2"/>
    <n v="0.26"/>
    <n v="3.9999999999999147E-2"/>
    <x v="2"/>
    <x v="1"/>
    <n v="0"/>
    <n v="18.2"/>
    <n v="0.26"/>
    <n v="-18.2"/>
    <s v="Ecart négatif"/>
    <n v="12.299999999999997"/>
  </r>
  <r>
    <x v="3"/>
    <n v="6"/>
    <x v="27"/>
    <x v="639"/>
    <n v="0.2606"/>
    <n v="15"/>
    <n v="0.3"/>
    <n v="-1.9700000000000006"/>
    <x v="0"/>
    <x v="1"/>
    <n v="0"/>
    <n v="15"/>
    <n v="0.3"/>
    <n v="-15"/>
    <s v="Ecart négatif"/>
    <n v="10.030000000000001"/>
  </r>
  <r>
    <x v="3"/>
    <n v="6"/>
    <x v="27"/>
    <x v="639"/>
    <n v="0.2606"/>
    <n v="15"/>
    <n v="0.3"/>
    <n v="-1.9700000000000006"/>
    <x v="0"/>
    <x v="1"/>
    <n v="0"/>
    <n v="15"/>
    <n v="0.3"/>
    <n v="-15"/>
    <s v="Ecart négatif"/>
    <n v="10.030000000000001"/>
  </r>
  <r>
    <x v="3"/>
    <n v="6"/>
    <x v="27"/>
    <x v="639"/>
    <n v="0.2606"/>
    <n v="15"/>
    <n v="0.3"/>
    <n v="-1.9700000000000006"/>
    <x v="0"/>
    <x v="1"/>
    <n v="0"/>
    <n v="15"/>
    <n v="0.3"/>
    <n v="-15"/>
    <s v="Ecart négatif"/>
    <n v="10.030000000000001"/>
  </r>
  <r>
    <x v="0"/>
    <n v="68"/>
    <x v="12"/>
    <x v="0"/>
    <n v="0"/>
    <n v="3.2"/>
    <n v="0.08"/>
    <n v="-3.2"/>
    <x v="0"/>
    <x v="61"/>
    <n v="0.08"/>
    <n v="3.2"/>
    <n v="0.08"/>
    <n v="0"/>
    <s v="Pas d'écart"/>
    <n v="8.2899999999999991"/>
  </r>
  <r>
    <x v="5"/>
    <n v="75"/>
    <x v="12"/>
    <x v="0"/>
    <n v="0"/>
    <n v="0"/>
    <n v="0"/>
    <n v="0"/>
    <x v="1"/>
    <x v="1"/>
    <n v="0"/>
    <n v="0"/>
    <n v="0"/>
    <n v="0"/>
    <s v="Pas d'écart"/>
    <n v="5.23"/>
  </r>
  <r>
    <x v="5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3"/>
    <n v="6"/>
    <x v="27"/>
    <x v="639"/>
    <n v="0.2606"/>
    <n v="15"/>
    <n v="0.3"/>
    <n v="-1.9700000000000006"/>
    <x v="0"/>
    <x v="1"/>
    <n v="0"/>
    <n v="15"/>
    <n v="0.3"/>
    <n v="-15"/>
    <s v="Ecart négatif"/>
    <n v="10.030000000000001"/>
  </r>
  <r>
    <x v="3"/>
    <n v="6"/>
    <x v="27"/>
    <x v="639"/>
    <n v="0.2606"/>
    <n v="15"/>
    <n v="0.3"/>
    <n v="-1.9700000000000006"/>
    <x v="0"/>
    <x v="1"/>
    <n v="0"/>
    <n v="15"/>
    <n v="0.3"/>
    <n v="-15"/>
    <s v="Ecart négatif"/>
    <n v="10.030000000000001"/>
  </r>
  <r>
    <x v="4"/>
    <n v="75"/>
    <x v="10"/>
    <x v="0"/>
    <n v="0"/>
    <n v="0"/>
    <n v="0"/>
    <n v="0"/>
    <x v="1"/>
    <x v="1"/>
    <n v="0"/>
    <n v="0"/>
    <n v="0"/>
    <n v="0"/>
    <s v="Pas d'écart"/>
    <n v="0"/>
  </r>
  <r>
    <x v="4"/>
    <n v="69"/>
    <x v="6"/>
    <x v="640"/>
    <n v="0.260625"/>
    <n v="43.2"/>
    <n v="0.27"/>
    <n v="-1.5"/>
    <x v="0"/>
    <x v="1"/>
    <n v="0"/>
    <n v="43.2"/>
    <n v="0.27"/>
    <n v="-43.2"/>
    <s v="Ecart négatif"/>
    <n v="0"/>
  </r>
  <r>
    <x v="0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0"/>
    <n v="27"/>
    <x v="36"/>
    <x v="0"/>
    <n v="0"/>
    <n v="51.000000000000007"/>
    <n v="0.17"/>
    <n v="-51.000000000000007"/>
    <x v="0"/>
    <x v="94"/>
    <n v="0.16943333333333332"/>
    <n v="51.000000000000007"/>
    <n v="0.17"/>
    <n v="-0.17000000000000881"/>
    <s v="Ecart négatif"/>
    <n v="37.090000000000003"/>
  </r>
  <r>
    <x v="3"/>
    <n v="44"/>
    <x v="19"/>
    <x v="641"/>
    <n v="0.26078947368421052"/>
    <n v="51.300000000000004"/>
    <n v="0.27"/>
    <n v="-1.7500000000000071"/>
    <x v="0"/>
    <x v="1"/>
    <n v="0"/>
    <n v="51.300000000000004"/>
    <n v="0.27"/>
    <n v="-51.300000000000004"/>
    <s v="Ecart négatif"/>
    <n v="19.97999999999999"/>
  </r>
  <r>
    <x v="3"/>
    <n v="69"/>
    <x v="14"/>
    <x v="642"/>
    <n v="0.26092307692307692"/>
    <n v="35.1"/>
    <n v="0.27"/>
    <n v="-1.1799999999999997"/>
    <x v="0"/>
    <x v="1"/>
    <n v="0"/>
    <n v="35.1"/>
    <n v="0.27"/>
    <n v="-35.1"/>
    <s v="Ecart négatif"/>
    <n v="12.519999999999996"/>
  </r>
  <r>
    <x v="4"/>
    <n v="62"/>
    <x v="8"/>
    <x v="643"/>
    <n v="0.19"/>
    <n v="13.3"/>
    <n v="0.19"/>
    <n v="0"/>
    <x v="1"/>
    <x v="1"/>
    <n v="0"/>
    <n v="13.3"/>
    <n v="0.19"/>
    <n v="-13.3"/>
    <s v="Ecart négatif"/>
    <n v="0"/>
  </r>
  <r>
    <x v="4"/>
    <n v="38"/>
    <x v="11"/>
    <x v="644"/>
    <n v="0.26100000000000001"/>
    <n v="16.200000000000003"/>
    <n v="0.27000000000000007"/>
    <n v="-0.5400000000000027"/>
    <x v="0"/>
    <x v="1"/>
    <n v="0"/>
    <n v="16.200000000000003"/>
    <n v="0.27000000000000007"/>
    <n v="-16.200000000000003"/>
    <s v="Ecart négatif"/>
    <n v="0"/>
  </r>
  <r>
    <x v="4"/>
    <n v="69"/>
    <x v="12"/>
    <x v="645"/>
    <n v="0.26124999999999998"/>
    <n v="10.8"/>
    <n v="0.27"/>
    <n v="-0.35000000000000142"/>
    <x v="0"/>
    <x v="1"/>
    <n v="0"/>
    <n v="10.8"/>
    <n v="0.27"/>
    <n v="-10.8"/>
    <s v="Ecart négatif"/>
    <n v="0"/>
  </r>
  <r>
    <x v="0"/>
    <n v="59"/>
    <x v="19"/>
    <x v="0"/>
    <n v="0"/>
    <n v="0"/>
    <n v="0"/>
    <n v="0"/>
    <x v="1"/>
    <x v="1"/>
    <n v="0"/>
    <n v="0"/>
    <n v="0"/>
    <n v="0"/>
    <s v="Pas d'écart"/>
    <n v="19.97999999999999"/>
  </r>
  <r>
    <x v="4"/>
    <n v="69"/>
    <x v="19"/>
    <x v="646"/>
    <n v="0.26131578947368422"/>
    <n v="51.300000000000004"/>
    <n v="0.27"/>
    <n v="-1.6500000000000057"/>
    <x v="0"/>
    <x v="1"/>
    <n v="0"/>
    <n v="51.300000000000004"/>
    <n v="0.27"/>
    <n v="-51.300000000000004"/>
    <s v="Ecart négatif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4"/>
    <n v="38"/>
    <x v="1"/>
    <x v="647"/>
    <n v="0.26133333333333331"/>
    <n v="32.400000000000006"/>
    <n v="0.27000000000000007"/>
    <n v="-1.0400000000000063"/>
    <x v="0"/>
    <x v="1"/>
    <n v="0"/>
    <n v="32.400000000000006"/>
    <n v="0.27000000000000007"/>
    <n v="-32.400000000000006"/>
    <s v="Ecart négatif"/>
    <n v="0"/>
  </r>
  <r>
    <x v="4"/>
    <n v="38"/>
    <x v="1"/>
    <x v="647"/>
    <n v="0.26133333333333331"/>
    <n v="32.400000000000006"/>
    <n v="0.27000000000000007"/>
    <n v="-1.0400000000000063"/>
    <x v="0"/>
    <x v="1"/>
    <n v="0"/>
    <n v="32.400000000000006"/>
    <n v="0.27000000000000007"/>
    <n v="-32.400000000000006"/>
    <s v="Ecart négatif"/>
    <n v="0"/>
  </r>
  <r>
    <x v="3"/>
    <n v="1"/>
    <x v="19"/>
    <x v="648"/>
    <n v="0.26136842105263158"/>
    <n v="49.4"/>
    <n v="0.26"/>
    <n v="0.25999999999999801"/>
    <x v="2"/>
    <x v="1"/>
    <n v="0"/>
    <n v="49.4"/>
    <n v="0.26"/>
    <n v="-49.4"/>
    <s v="Ecart négatif"/>
    <n v="23.700000000000003"/>
  </r>
  <r>
    <x v="4"/>
    <n v="69"/>
    <x v="19"/>
    <x v="649"/>
    <n v="0.26142105263157894"/>
    <n v="51.300000000000004"/>
    <n v="0.27"/>
    <n v="-1.6300000000000026"/>
    <x v="0"/>
    <x v="1"/>
    <n v="0"/>
    <n v="51.300000000000004"/>
    <n v="0.27"/>
    <n v="-51.300000000000004"/>
    <s v="Ecart négatif"/>
    <n v="0"/>
  </r>
  <r>
    <x v="2"/>
    <n v="69"/>
    <x v="6"/>
    <x v="0"/>
    <n v="0"/>
    <n v="0"/>
    <n v="0"/>
    <n v="0"/>
    <x v="1"/>
    <x v="1"/>
    <n v="0"/>
    <n v="0"/>
    <n v="0"/>
    <n v="0"/>
    <s v="Pas d'écart"/>
    <n v="0"/>
  </r>
  <r>
    <x v="3"/>
    <n v="44"/>
    <x v="19"/>
    <x v="649"/>
    <n v="0.26142105263157894"/>
    <n v="51.300000000000004"/>
    <n v="0.27"/>
    <n v="-1.6300000000000026"/>
    <x v="0"/>
    <x v="1"/>
    <n v="0"/>
    <n v="51.300000000000004"/>
    <n v="0.27"/>
    <n v="-51.300000000000004"/>
    <s v="Ecart négatif"/>
    <n v="19.97999999999999"/>
  </r>
  <r>
    <x v="4"/>
    <n v="69"/>
    <x v="6"/>
    <x v="650"/>
    <n v="0.26143749999999999"/>
    <n v="43.2"/>
    <n v="0.27"/>
    <n v="-1.3700000000000045"/>
    <x v="0"/>
    <x v="1"/>
    <n v="0"/>
    <n v="43.2"/>
    <n v="0.27"/>
    <n v="-43.2"/>
    <s v="Ecart négatif"/>
    <n v="0"/>
  </r>
  <r>
    <x v="3"/>
    <n v="49"/>
    <x v="19"/>
    <x v="651"/>
    <n v="0.26152631578947366"/>
    <n v="51.300000000000004"/>
    <n v="0.27"/>
    <n v="-1.6100000000000065"/>
    <x v="0"/>
    <x v="1"/>
    <n v="0"/>
    <n v="51.300000000000004"/>
    <n v="0.27"/>
    <n v="-51.300000000000004"/>
    <s v="Ecart négatif"/>
    <n v="23.700000000000003"/>
  </r>
  <r>
    <x v="0"/>
    <n v="68"/>
    <x v="15"/>
    <x v="0"/>
    <n v="0"/>
    <n v="1.6"/>
    <n v="0.08"/>
    <n v="-1.6"/>
    <x v="0"/>
    <x v="30"/>
    <n v="0.08"/>
    <n v="1.6"/>
    <n v="0.08"/>
    <n v="0"/>
    <s v="Pas d'écart"/>
    <n v="3.67"/>
  </r>
  <r>
    <x v="3"/>
    <n v="69"/>
    <x v="14"/>
    <x v="652"/>
    <n v="0.26161538461538458"/>
    <n v="35.1"/>
    <n v="0.27"/>
    <n v="-1.0900000000000034"/>
    <x v="0"/>
    <x v="1"/>
    <n v="0"/>
    <n v="35.1"/>
    <n v="0.27"/>
    <n v="-35.1"/>
    <s v="Ecart négatif"/>
    <n v="12.519999999999996"/>
  </r>
  <r>
    <x v="4"/>
    <n v="44"/>
    <x v="6"/>
    <x v="653"/>
    <n v="0.261625"/>
    <n v="43.2"/>
    <n v="0.27"/>
    <n v="-1.3400000000000034"/>
    <x v="0"/>
    <x v="1"/>
    <n v="0"/>
    <n v="43.2"/>
    <n v="0.27"/>
    <n v="-43.2"/>
    <s v="Ecart négatif"/>
    <n v="0"/>
  </r>
  <r>
    <x v="3"/>
    <n v="44"/>
    <x v="19"/>
    <x v="654"/>
    <n v="0.26205263157894737"/>
    <n v="51.300000000000004"/>
    <n v="0.27"/>
    <n v="-1.5100000000000051"/>
    <x v="0"/>
    <x v="1"/>
    <n v="0"/>
    <n v="51.300000000000004"/>
    <n v="0.27"/>
    <n v="-51.300000000000004"/>
    <s v="Ecart négatif"/>
    <n v="19.97999999999999"/>
  </r>
  <r>
    <x v="0"/>
    <n v="59"/>
    <x v="20"/>
    <x v="0"/>
    <n v="0"/>
    <n v="0"/>
    <n v="0"/>
    <n v="0"/>
    <x v="1"/>
    <x v="1"/>
    <n v="0"/>
    <n v="0"/>
    <n v="0"/>
    <n v="0"/>
    <s v="Pas d'écart"/>
    <n v="26.22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3"/>
    <n v="44"/>
    <x v="19"/>
    <x v="654"/>
    <n v="0.26205263157894737"/>
    <n v="51.300000000000004"/>
    <n v="0.27"/>
    <n v="-1.5100000000000051"/>
    <x v="0"/>
    <x v="1"/>
    <n v="0"/>
    <n v="51.300000000000004"/>
    <n v="0.27"/>
    <n v="-51.300000000000004"/>
    <s v="Ecart négatif"/>
    <n v="19.97999999999999"/>
  </r>
  <r>
    <x v="3"/>
    <n v="94"/>
    <x v="12"/>
    <x v="0"/>
    <n v="0"/>
    <n v="0"/>
    <n v="0"/>
    <n v="0"/>
    <x v="1"/>
    <x v="1"/>
    <n v="0"/>
    <n v="0"/>
    <n v="0"/>
    <n v="0"/>
    <s v="Pas d'écart"/>
    <n v="5.23"/>
  </r>
  <r>
    <x v="4"/>
    <n v="75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13"/>
    <x v="6"/>
    <x v="0"/>
    <n v="0"/>
    <n v="30.4"/>
    <n v="0.19"/>
    <n v="-30.4"/>
    <x v="0"/>
    <x v="1"/>
    <n v="0"/>
    <n v="30.4"/>
    <n v="0.19"/>
    <n v="-30.4"/>
    <s v="Ecart négatif"/>
    <n v="15.310000000000002"/>
  </r>
  <r>
    <x v="6"/>
    <n v="76"/>
    <x v="6"/>
    <x v="111"/>
    <n v="0.16043750000000001"/>
    <n v="27.200000000000003"/>
    <n v="0.17"/>
    <n v="-1.5300000000000011"/>
    <x v="0"/>
    <x v="1"/>
    <n v="0"/>
    <n v="27.200000000000003"/>
    <n v="0.17"/>
    <n v="-27.200000000000003"/>
    <s v="Ecart négatif"/>
    <n v="76.56"/>
  </r>
  <r>
    <x v="0"/>
    <n v="69"/>
    <x v="3"/>
    <x v="0"/>
    <n v="0"/>
    <n v="0"/>
    <n v="0"/>
    <n v="0"/>
    <x v="1"/>
    <x v="1"/>
    <n v="0"/>
    <n v="0"/>
    <n v="0"/>
    <n v="0"/>
    <s v="Pas d'écart"/>
    <n v="22.47"/>
  </r>
  <r>
    <x v="4"/>
    <n v="93"/>
    <x v="7"/>
    <x v="0"/>
    <n v="0"/>
    <n v="0"/>
    <n v="0"/>
    <n v="0"/>
    <x v="1"/>
    <x v="1"/>
    <n v="0"/>
    <n v="0"/>
    <n v="0"/>
    <n v="0"/>
    <s v="Pas d'écart"/>
    <n v="0"/>
  </r>
  <r>
    <x v="3"/>
    <n v="80"/>
    <x v="2"/>
    <x v="80"/>
    <n v="0.19"/>
    <n v="26.6"/>
    <n v="0.19"/>
    <n v="0"/>
    <x v="1"/>
    <x v="1"/>
    <n v="0"/>
    <n v="26.6"/>
    <n v="0.19"/>
    <n v="-26.6"/>
    <s v="Ecart négatif"/>
    <n v="14.68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0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71"/>
    <x v="2"/>
    <x v="0"/>
    <n v="0"/>
    <n v="0"/>
    <n v="0"/>
    <n v="0"/>
    <x v="1"/>
    <x v="1"/>
    <n v="0"/>
    <n v="0"/>
    <n v="0"/>
    <n v="0"/>
    <s v="Pas d'écart"/>
    <n v="73.41"/>
  </r>
  <r>
    <x v="0"/>
    <n v="71"/>
    <x v="3"/>
    <x v="0"/>
    <n v="0"/>
    <n v="0"/>
    <n v="0"/>
    <n v="0"/>
    <x v="1"/>
    <x v="1"/>
    <n v="0"/>
    <n v="0"/>
    <n v="0"/>
    <n v="0"/>
    <s v="Pas d'écart"/>
    <n v="135.19999999999999"/>
  </r>
  <r>
    <x v="2"/>
    <n v="14"/>
    <x v="6"/>
    <x v="0"/>
    <n v="0"/>
    <n v="27.200000000000003"/>
    <n v="0.17"/>
    <n v="-27.200000000000003"/>
    <x v="0"/>
    <x v="3"/>
    <n v="0.16362499999999999"/>
    <n v="27.200000000000003"/>
    <n v="0.17"/>
    <n v="-1.0200000000000031"/>
    <s v="Ecart négatif"/>
    <n v="85.09"/>
  </r>
  <r>
    <x v="0"/>
    <n v="57"/>
    <x v="12"/>
    <x v="0"/>
    <n v="0"/>
    <n v="10"/>
    <n v="0.25"/>
    <n v="-10"/>
    <x v="0"/>
    <x v="45"/>
    <n v="0.23250000000000001"/>
    <n v="10"/>
    <n v="0.25"/>
    <n v="-0.69999999999999929"/>
    <s v="Ecart négatif"/>
    <n v="8.2899999999999991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0"/>
    <n v="13"/>
    <x v="7"/>
    <x v="0"/>
    <n v="0"/>
    <n v="5.7"/>
    <n v="0.19"/>
    <n v="-5.7"/>
    <x v="0"/>
    <x v="1"/>
    <n v="0"/>
    <n v="5.7"/>
    <n v="0.19"/>
    <n v="-5.7"/>
    <s v="Ecart négatif"/>
    <n v="20.93"/>
  </r>
  <r>
    <x v="2"/>
    <n v="77"/>
    <x v="2"/>
    <x v="0"/>
    <n v="0"/>
    <n v="0"/>
    <n v="0"/>
    <n v="0"/>
    <x v="1"/>
    <x v="1"/>
    <n v="0"/>
    <n v="0"/>
    <n v="0"/>
    <n v="0"/>
    <s v="Pas d'écart"/>
    <n v="0"/>
  </r>
  <r>
    <x v="0"/>
    <n v="13"/>
    <x v="19"/>
    <x v="0"/>
    <n v="0"/>
    <n v="36.1"/>
    <n v="0.19"/>
    <n v="-36.1"/>
    <x v="0"/>
    <x v="1"/>
    <n v="0"/>
    <n v="36.1"/>
    <n v="0.19"/>
    <n v="-36.1"/>
    <s v="Ecart négatif"/>
    <n v="99.88"/>
  </r>
  <r>
    <x v="0"/>
    <n v="31"/>
    <x v="0"/>
    <x v="0"/>
    <n v="0"/>
    <n v="46.800000000000004"/>
    <n v="0.26"/>
    <n v="-46.800000000000004"/>
    <x v="0"/>
    <x v="1"/>
    <n v="0"/>
    <n v="46.800000000000004"/>
    <n v="0.26"/>
    <n v="-46.800000000000004"/>
    <s v="Ecart négatif"/>
    <n v="92.1"/>
  </r>
  <r>
    <x v="3"/>
    <n v="56"/>
    <x v="6"/>
    <x v="655"/>
    <n v="0.26218750000000002"/>
    <n v="43.2"/>
    <n v="0.27"/>
    <n v="-1.25"/>
    <x v="0"/>
    <x v="1"/>
    <n v="0"/>
    <n v="43.2"/>
    <n v="0.27"/>
    <n v="-43.2"/>
    <s v="Ecart négatif"/>
    <n v="17.02000000000001"/>
  </r>
  <r>
    <x v="2"/>
    <n v="93"/>
    <x v="19"/>
    <x v="0"/>
    <n v="0"/>
    <n v="0"/>
    <n v="0"/>
    <n v="0"/>
    <x v="1"/>
    <x v="1"/>
    <n v="0"/>
    <n v="0"/>
    <n v="0"/>
    <n v="0"/>
    <s v="Pas d'écart"/>
    <n v="62.01"/>
  </r>
  <r>
    <x v="0"/>
    <n v="25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92.1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94"/>
    <x v="19"/>
    <x v="0"/>
    <n v="0"/>
    <n v="0"/>
    <n v="0"/>
    <n v="0"/>
    <x v="1"/>
    <x v="1"/>
    <n v="0"/>
    <n v="0"/>
    <n v="0"/>
    <n v="0"/>
    <s v="Pas d'écart"/>
    <n v="62.01"/>
  </r>
  <r>
    <x v="0"/>
    <n v="94"/>
    <x v="4"/>
    <x v="0"/>
    <n v="0"/>
    <n v="0"/>
    <n v="0"/>
    <n v="0"/>
    <x v="1"/>
    <x v="1"/>
    <n v="0"/>
    <n v="0"/>
    <n v="0"/>
    <n v="0"/>
    <s v="Pas d'écart"/>
    <n v="45.14"/>
  </r>
  <r>
    <x v="2"/>
    <n v="76"/>
    <x v="16"/>
    <x v="0"/>
    <n v="0"/>
    <n v="34"/>
    <n v="0.17"/>
    <n v="-34"/>
    <x v="0"/>
    <x v="239"/>
    <n v="0.16574999999999998"/>
    <n v="34"/>
    <n v="0.17"/>
    <n v="-0.85000000000000142"/>
    <s v="Ecart négatif"/>
    <n v="0"/>
  </r>
  <r>
    <x v="2"/>
    <n v="76"/>
    <x v="20"/>
    <x v="0"/>
    <n v="0"/>
    <n v="42.5"/>
    <n v="0.17"/>
    <n v="-42.5"/>
    <x v="0"/>
    <x v="235"/>
    <n v="0.17"/>
    <n v="42.5"/>
    <n v="0.17"/>
    <n v="0"/>
    <s v="Pas d'écart"/>
    <n v="0"/>
  </r>
  <r>
    <x v="0"/>
    <n v="55"/>
    <x v="2"/>
    <x v="0"/>
    <n v="0"/>
    <n v="35"/>
    <n v="0.25"/>
    <n v="-35"/>
    <x v="0"/>
    <x v="71"/>
    <n v="0.25"/>
    <n v="35"/>
    <n v="0.25"/>
    <n v="0"/>
    <s v="Pas d'écart"/>
    <n v="73.41"/>
  </r>
  <r>
    <x v="2"/>
    <n v="55"/>
    <x v="12"/>
    <x v="0"/>
    <n v="0"/>
    <n v="10"/>
    <n v="0.25"/>
    <n v="-10"/>
    <x v="0"/>
    <x v="31"/>
    <n v="0.25"/>
    <n v="10"/>
    <n v="0.25"/>
    <n v="0"/>
    <s v="Pas d'écart"/>
    <n v="41.47"/>
  </r>
  <r>
    <x v="2"/>
    <n v="85"/>
    <x v="15"/>
    <x v="0"/>
    <n v="0"/>
    <n v="0"/>
    <n v="0"/>
    <n v="0"/>
    <x v="1"/>
    <x v="39"/>
    <n v="0.254"/>
    <n v="0"/>
    <n v="0"/>
    <n v="5.08"/>
    <s v="Ecart positif"/>
    <n v="17.22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37"/>
    <x v="12"/>
    <x v="0"/>
    <n v="0"/>
    <n v="4.8"/>
    <n v="0.12"/>
    <n v="-4.8"/>
    <x v="0"/>
    <x v="1"/>
    <n v="0"/>
    <n v="4.8"/>
    <n v="0.12"/>
    <n v="-4.8"/>
    <s v="Ecart négatif"/>
    <n v="34.2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4"/>
    <x v="11"/>
    <x v="0"/>
    <n v="0"/>
    <n v="12.6"/>
    <n v="0.21"/>
    <n v="-12.6"/>
    <x v="0"/>
    <x v="1"/>
    <n v="0"/>
    <n v="12.6"/>
    <n v="0.21"/>
    <n v="-12.6"/>
    <s v="Ecart négatif"/>
    <n v="30.849999999999998"/>
  </r>
  <r>
    <x v="5"/>
    <n v="76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15.069999999999997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0"/>
    <n v="45"/>
    <x v="8"/>
    <x v="0"/>
    <n v="0"/>
    <n v="8.4"/>
    <n v="0.12000000000000001"/>
    <n v="-8.4"/>
    <x v="0"/>
    <x v="289"/>
    <n v="0.26999999999999996"/>
    <n v="8.4"/>
    <n v="0.12000000000000001"/>
    <n v="10.499999999999998"/>
    <s v="Ecart positif"/>
    <n v="61.48"/>
  </r>
  <r>
    <x v="0"/>
    <n v="54"/>
    <x v="2"/>
    <x v="0"/>
    <n v="0"/>
    <n v="35"/>
    <n v="0.25"/>
    <n v="-35"/>
    <x v="0"/>
    <x v="290"/>
    <n v="0.2485"/>
    <n v="35"/>
    <n v="0.25"/>
    <n v="-0.21000000000000085"/>
    <s v="Ecart négatif"/>
    <n v="65.680000000000007"/>
  </r>
  <r>
    <x v="0"/>
    <n v="61"/>
    <x v="42"/>
    <x v="0"/>
    <n v="0"/>
    <n v="57.800000000000004"/>
    <n v="0.17"/>
    <n v="-57.800000000000004"/>
    <x v="0"/>
    <x v="1"/>
    <n v="0"/>
    <n v="57.800000000000004"/>
    <n v="0.17"/>
    <n v="-57.800000000000004"/>
    <s v="Ecart négatif"/>
    <n v="203.59"/>
  </r>
  <r>
    <x v="0"/>
    <n v="77"/>
    <x v="2"/>
    <x v="0"/>
    <n v="0"/>
    <n v="0"/>
    <n v="0"/>
    <n v="0"/>
    <x v="1"/>
    <x v="1"/>
    <n v="0"/>
    <n v="0"/>
    <n v="0"/>
    <n v="0"/>
    <s v="Pas d'écart"/>
    <n v="52.57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6"/>
    <n v="45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47.079999999999991"/>
  </r>
  <r>
    <x v="4"/>
    <n v="1"/>
    <x v="19"/>
    <x v="656"/>
    <n v="0.26221052631578945"/>
    <n v="49.4"/>
    <n v="0.26"/>
    <n v="0.42000000000000171"/>
    <x v="2"/>
    <x v="1"/>
    <n v="0"/>
    <n v="49.4"/>
    <n v="0.26"/>
    <n v="-49.4"/>
    <s v="Ecart négatif"/>
    <n v="0"/>
  </r>
  <r>
    <x v="2"/>
    <n v="37"/>
    <x v="12"/>
    <x v="0"/>
    <n v="0"/>
    <n v="4.8"/>
    <n v="0.12"/>
    <n v="-4.8"/>
    <x v="0"/>
    <x v="1"/>
    <n v="0"/>
    <n v="4.8"/>
    <n v="0.12"/>
    <n v="-4.8"/>
    <s v="Ecart négatif"/>
    <n v="34.29"/>
  </r>
  <r>
    <x v="3"/>
    <n v="13"/>
    <x v="12"/>
    <x v="657"/>
    <n v="0.26224999999999998"/>
    <n v="11.6"/>
    <n v="0.28999999999999998"/>
    <n v="-1.1099999999999994"/>
    <x v="0"/>
    <x v="1"/>
    <n v="0"/>
    <n v="11.6"/>
    <n v="0.28999999999999998"/>
    <n v="-11.6"/>
    <s v="Ecart négatif"/>
    <n v="6.8599999999999994"/>
  </r>
  <r>
    <x v="5"/>
    <n v="51"/>
    <x v="2"/>
    <x v="0"/>
    <n v="0"/>
    <n v="35"/>
    <n v="0.25"/>
    <n v="-35"/>
    <x v="0"/>
    <x v="1"/>
    <n v="0"/>
    <n v="35"/>
    <n v="0.25"/>
    <n v="-35"/>
    <s v="Ecart négatif"/>
    <n v="15.759999999999998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8"/>
    <x v="12"/>
    <x v="0"/>
    <n v="0"/>
    <n v="3.2"/>
    <n v="0.08"/>
    <n v="-3.2"/>
    <x v="0"/>
    <x v="61"/>
    <n v="0.08"/>
    <n v="3.2"/>
    <n v="0.08"/>
    <n v="0"/>
    <s v="Pas d'écart"/>
    <n v="8.289999999999999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27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7.02000000000001"/>
  </r>
  <r>
    <x v="4"/>
    <n v="42"/>
    <x v="0"/>
    <x v="658"/>
    <n v="0.26227777777777778"/>
    <n v="46.800000000000004"/>
    <n v="0.26"/>
    <n v="0.40999999999999659"/>
    <x v="2"/>
    <x v="1"/>
    <n v="0"/>
    <n v="46.800000000000004"/>
    <n v="0.26"/>
    <n v="-46.800000000000004"/>
    <s v="Ecart négatif"/>
    <n v="0"/>
  </r>
  <r>
    <x v="3"/>
    <n v="56"/>
    <x v="11"/>
    <x v="659"/>
    <n v="0.26250000000000001"/>
    <n v="16.200000000000003"/>
    <n v="0.27000000000000007"/>
    <n v="-0.45000000000000284"/>
    <x v="0"/>
    <x v="1"/>
    <n v="0"/>
    <n v="16.200000000000003"/>
    <n v="0.27000000000000007"/>
    <n v="-16.200000000000003"/>
    <s v="Ecart négatif"/>
    <n v="10.560000000000002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69"/>
    <x v="12"/>
    <x v="0"/>
    <n v="0"/>
    <n v="0"/>
    <n v="0"/>
    <n v="0"/>
    <x v="1"/>
    <x v="1"/>
    <n v="0"/>
    <n v="0"/>
    <n v="0"/>
    <n v="0"/>
    <s v="Pas d'écart"/>
    <n v="6.8599999999999994"/>
  </r>
  <r>
    <x v="3"/>
    <n v="56"/>
    <x v="11"/>
    <x v="659"/>
    <n v="0.26250000000000001"/>
    <n v="16.200000000000003"/>
    <n v="0.27000000000000007"/>
    <n v="-0.45000000000000284"/>
    <x v="0"/>
    <x v="1"/>
    <n v="0"/>
    <n v="16.200000000000003"/>
    <n v="0.27000000000000007"/>
    <n v="-16.200000000000003"/>
    <s v="Ecart négatif"/>
    <n v="10.560000000000002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35"/>
    <x v="25"/>
    <x v="660"/>
    <n v="0.26250000000000001"/>
    <n v="59.400000000000006"/>
    <n v="0.27"/>
    <n v="-1.6500000000000057"/>
    <x v="0"/>
    <x v="1"/>
    <n v="0"/>
    <n v="59.400000000000006"/>
    <n v="0.27"/>
    <n v="-59.400000000000006"/>
    <s v="Ecart négatif"/>
    <n v="28.159999999999997"/>
  </r>
  <r>
    <x v="3"/>
    <n v="56"/>
    <x v="11"/>
    <x v="659"/>
    <n v="0.26250000000000001"/>
    <n v="16.200000000000003"/>
    <n v="0.27000000000000007"/>
    <n v="-0.45000000000000284"/>
    <x v="0"/>
    <x v="1"/>
    <n v="0"/>
    <n v="16.200000000000003"/>
    <n v="0.27000000000000007"/>
    <n v="-16.200000000000003"/>
    <s v="Ecart négatif"/>
    <n v="10.560000000000002"/>
  </r>
  <r>
    <x v="4"/>
    <n v="38"/>
    <x v="11"/>
    <x v="659"/>
    <n v="0.26250000000000001"/>
    <n v="16.200000000000003"/>
    <n v="0.27000000000000007"/>
    <n v="-0.45000000000000284"/>
    <x v="0"/>
    <x v="1"/>
    <n v="0"/>
    <n v="16.200000000000003"/>
    <n v="0.27000000000000007"/>
    <n v="-16.200000000000003"/>
    <s v="Ecart négatif"/>
    <n v="0"/>
  </r>
  <r>
    <x v="2"/>
    <n v="13"/>
    <x v="0"/>
    <x v="0"/>
    <n v="0"/>
    <n v="34.200000000000003"/>
    <n v="0.19"/>
    <n v="-34.200000000000003"/>
    <x v="0"/>
    <x v="230"/>
    <n v="0.19"/>
    <n v="34.200000000000003"/>
    <n v="0.19"/>
    <n v="0"/>
    <s v="Pas d'écart"/>
    <n v="92.1"/>
  </r>
  <r>
    <x v="3"/>
    <n v="56"/>
    <x v="11"/>
    <x v="659"/>
    <n v="0.26250000000000001"/>
    <n v="16.200000000000003"/>
    <n v="0.27000000000000007"/>
    <n v="-0.45000000000000284"/>
    <x v="0"/>
    <x v="1"/>
    <n v="0"/>
    <n v="16.200000000000003"/>
    <n v="0.27000000000000007"/>
    <n v="-16.200000000000003"/>
    <s v="Ecart négatif"/>
    <n v="10.560000000000002"/>
  </r>
  <r>
    <x v="4"/>
    <n v="1"/>
    <x v="16"/>
    <x v="661"/>
    <n v="0.2626"/>
    <n v="52"/>
    <n v="0.26"/>
    <n v="0.52000000000000313"/>
    <x v="2"/>
    <x v="1"/>
    <n v="0"/>
    <n v="52"/>
    <n v="0.26"/>
    <n v="-52"/>
    <s v="Ecart négatif"/>
    <n v="0"/>
  </r>
  <r>
    <x v="4"/>
    <n v="85"/>
    <x v="1"/>
    <x v="662"/>
    <n v="0.26291666666666669"/>
    <n v="32.400000000000006"/>
    <n v="0.27000000000000007"/>
    <n v="-0.85000000000000497"/>
    <x v="0"/>
    <x v="1"/>
    <n v="0"/>
    <n v="32.400000000000006"/>
    <n v="0.27000000000000007"/>
    <n v="-32.400000000000006"/>
    <s v="Ecart négatif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2"/>
    <n v="62"/>
    <x v="0"/>
    <x v="0"/>
    <n v="0"/>
    <n v="0"/>
    <n v="0"/>
    <n v="0"/>
    <x v="1"/>
    <x v="1"/>
    <n v="0"/>
    <n v="0"/>
    <n v="0"/>
    <n v="0"/>
    <s v="Pas d'écart"/>
    <n v="0"/>
  </r>
  <r>
    <x v="0"/>
    <n v="94"/>
    <x v="16"/>
    <x v="0"/>
    <n v="0"/>
    <n v="0"/>
    <n v="0"/>
    <n v="0"/>
    <x v="1"/>
    <x v="1"/>
    <n v="0"/>
    <n v="0"/>
    <n v="0"/>
    <n v="0"/>
    <s v="Pas d'écart"/>
    <n v="63.75"/>
  </r>
  <r>
    <x v="0"/>
    <n v="57"/>
    <x v="15"/>
    <x v="0"/>
    <n v="0"/>
    <n v="5"/>
    <n v="0.25"/>
    <n v="-5"/>
    <x v="0"/>
    <x v="57"/>
    <n v="0.21249999999999999"/>
    <n v="5"/>
    <n v="0.25"/>
    <n v="-0.75"/>
    <s v="Ecart négatif"/>
    <n v="3.4600000000000009"/>
  </r>
  <r>
    <x v="0"/>
    <n v="57"/>
    <x v="15"/>
    <x v="0"/>
    <n v="0"/>
    <n v="5"/>
    <n v="0.25"/>
    <n v="-5"/>
    <x v="0"/>
    <x v="57"/>
    <n v="0.21249999999999999"/>
    <n v="5"/>
    <n v="0.25"/>
    <n v="-0.75"/>
    <s v="Ecart négatif"/>
    <n v="3.4600000000000009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9"/>
    <n v="77"/>
    <x v="20"/>
    <x v="0"/>
    <n v="0"/>
    <n v="0"/>
    <n v="0"/>
    <n v="0"/>
    <x v="1"/>
    <x v="1"/>
    <n v="0"/>
    <n v="0"/>
    <n v="0"/>
    <n v="0"/>
    <s v="Pas d'écart"/>
    <n v="73.28"/>
  </r>
  <r>
    <x v="0"/>
    <n v="44"/>
    <x v="6"/>
    <x v="0"/>
    <n v="0"/>
    <n v="0"/>
    <n v="0"/>
    <n v="0"/>
    <x v="1"/>
    <x v="1"/>
    <n v="0"/>
    <n v="0"/>
    <n v="0"/>
    <n v="0"/>
    <s v="Pas d'écart"/>
    <n v="76.56"/>
  </r>
  <r>
    <x v="0"/>
    <n v="44"/>
    <x v="19"/>
    <x v="0"/>
    <n v="0"/>
    <n v="0"/>
    <n v="0"/>
    <n v="0"/>
    <x v="1"/>
    <x v="1"/>
    <n v="0"/>
    <n v="0"/>
    <n v="0"/>
    <n v="0"/>
    <s v="Pas d'écart"/>
    <n v="19.97999999999999"/>
  </r>
  <r>
    <x v="1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99.88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6"/>
    <n v="54"/>
    <x v="6"/>
    <x v="0"/>
    <n v="0"/>
    <n v="40"/>
    <n v="0.25"/>
    <n v="-40"/>
    <x v="0"/>
    <x v="209"/>
    <n v="0.2548125"/>
    <n v="40"/>
    <n v="0.25"/>
    <n v="0.77000000000000313"/>
    <s v="Ecart positif"/>
    <n v="76.5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6"/>
    <x v="18"/>
    <x v="0"/>
    <n v="0"/>
    <n v="18.899999999999999"/>
    <n v="0.21"/>
    <n v="-18.899999999999999"/>
    <x v="0"/>
    <x v="60"/>
    <n v="0.3"/>
    <n v="18.899999999999999"/>
    <n v="0.21"/>
    <n v="8.1000000000000014"/>
    <s v="Ecart positif"/>
    <n v="15.04"/>
  </r>
  <r>
    <x v="2"/>
    <n v="68"/>
    <x v="8"/>
    <x v="0"/>
    <n v="0"/>
    <n v="5.6000000000000005"/>
    <n v="0.08"/>
    <n v="-5.6000000000000005"/>
    <x v="0"/>
    <x v="1"/>
    <n v="0"/>
    <n v="5.6000000000000005"/>
    <n v="0.08"/>
    <n v="-5.6000000000000005"/>
    <s v="Ecart négatif"/>
    <n v="0"/>
  </r>
  <r>
    <x v="0"/>
    <n v="13"/>
    <x v="12"/>
    <x v="0"/>
    <n v="0"/>
    <n v="7.6"/>
    <n v="0.19"/>
    <n v="-7.6"/>
    <x v="0"/>
    <x v="132"/>
    <n v="0.19"/>
    <n v="7.6"/>
    <n v="0.19"/>
    <n v="0"/>
    <s v="Pas d'écart"/>
    <n v="6.8599999999999994"/>
  </r>
  <r>
    <x v="2"/>
    <n v="22"/>
    <x v="2"/>
    <x v="0"/>
    <n v="0"/>
    <n v="16.8"/>
    <n v="0.12000000000000001"/>
    <n v="-16.8"/>
    <x v="0"/>
    <x v="1"/>
    <n v="0"/>
    <n v="16.8"/>
    <n v="0.12000000000000001"/>
    <n v="-16.8"/>
    <s v="Ecart négatif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44"/>
    <x v="2"/>
    <x v="663"/>
    <n v="0.26292857142857146"/>
    <n v="37.800000000000004"/>
    <n v="0.27"/>
    <n v="-0.99000000000000199"/>
    <x v="0"/>
    <x v="1"/>
    <n v="0"/>
    <n v="37.800000000000004"/>
    <n v="0.27"/>
    <n v="-37.800000000000004"/>
    <s v="Ecart négatif"/>
    <n v="13.140000000000008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3"/>
    <n v="44"/>
    <x v="2"/>
    <x v="663"/>
    <n v="0.26292857142857146"/>
    <n v="37.800000000000004"/>
    <n v="0.27"/>
    <n v="-0.99000000000000199"/>
    <x v="0"/>
    <x v="1"/>
    <n v="0"/>
    <n v="37.800000000000004"/>
    <n v="0.27"/>
    <n v="-37.800000000000004"/>
    <s v="Ecart négatif"/>
    <n v="13.140000000000008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2"/>
    <n v="8"/>
    <x v="12"/>
    <x v="0"/>
    <n v="0"/>
    <n v="0"/>
    <n v="0"/>
    <n v="0"/>
    <x v="1"/>
    <x v="1"/>
    <n v="0"/>
    <n v="0"/>
    <n v="0"/>
    <n v="0"/>
    <s v="Pas d'écart"/>
    <n v="0"/>
  </r>
  <r>
    <x v="4"/>
    <n v="42"/>
    <x v="14"/>
    <x v="137"/>
    <n v="0.2630769230769231"/>
    <n v="33.800000000000004"/>
    <n v="0.26"/>
    <n v="0.39999999999999858"/>
    <x v="2"/>
    <x v="1"/>
    <n v="0"/>
    <n v="33.800000000000004"/>
    <n v="0.26"/>
    <n v="-33.800000000000004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94"/>
    <x v="12"/>
    <x v="0"/>
    <n v="0"/>
    <n v="0"/>
    <n v="0"/>
    <n v="0"/>
    <x v="1"/>
    <x v="1"/>
    <n v="0"/>
    <n v="0"/>
    <n v="0"/>
    <n v="0"/>
    <s v="Pas d'écart"/>
    <n v="0"/>
  </r>
  <r>
    <x v="4"/>
    <n v="74"/>
    <x v="14"/>
    <x v="137"/>
    <n v="0.2630769230769231"/>
    <n v="33.800000000000004"/>
    <n v="0.26"/>
    <n v="0.39999999999999858"/>
    <x v="2"/>
    <x v="1"/>
    <n v="0"/>
    <n v="33.800000000000004"/>
    <n v="0.26"/>
    <n v="-33.800000000000004"/>
    <s v="Ecart négatif"/>
    <n v="0"/>
  </r>
  <r>
    <x v="3"/>
    <n v="35"/>
    <x v="14"/>
    <x v="137"/>
    <n v="0.2630769230769231"/>
    <n v="35.1"/>
    <n v="0.27"/>
    <n v="-0.89999999999999858"/>
    <x v="0"/>
    <x v="1"/>
    <n v="0"/>
    <n v="35.1"/>
    <n v="0.27"/>
    <n v="-35.1"/>
    <s v="Ecart négatif"/>
    <n v="14.579999999999998"/>
  </r>
  <r>
    <x v="4"/>
    <n v="44"/>
    <x v="14"/>
    <x v="137"/>
    <n v="0.2630769230769231"/>
    <n v="35.1"/>
    <n v="0.27"/>
    <n v="-0.89999999999999858"/>
    <x v="0"/>
    <x v="1"/>
    <n v="0"/>
    <n v="35.1"/>
    <n v="0.27"/>
    <n v="-35.1"/>
    <s v="Ecart négatif"/>
    <n v="0"/>
  </r>
  <r>
    <x v="6"/>
    <n v="34"/>
    <x v="10"/>
    <x v="0"/>
    <n v="0"/>
    <n v="58.5"/>
    <n v="0.39"/>
    <n v="-58.5"/>
    <x v="0"/>
    <x v="1"/>
    <n v="0"/>
    <n v="58.5"/>
    <n v="0.39"/>
    <n v="-58.5"/>
    <s v="Ecart négatif"/>
    <n v="79.510000000000005"/>
  </r>
  <r>
    <x v="2"/>
    <n v="92"/>
    <x v="6"/>
    <x v="0"/>
    <n v="0"/>
    <n v="0"/>
    <n v="0"/>
    <n v="0"/>
    <x v="1"/>
    <x v="1"/>
    <n v="0"/>
    <n v="0"/>
    <n v="0"/>
    <n v="0"/>
    <s v="Pas d'écart"/>
    <n v="56.79"/>
  </r>
  <r>
    <x v="2"/>
    <n v="57"/>
    <x v="6"/>
    <x v="0"/>
    <n v="0"/>
    <n v="40"/>
    <n v="0.25"/>
    <n v="-40"/>
    <x v="0"/>
    <x v="106"/>
    <n v="7.5499999999999998E-2"/>
    <n v="40"/>
    <n v="0.25"/>
    <n v="-27.92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4"/>
    <n v="75"/>
    <x v="9"/>
    <x v="0"/>
    <n v="0"/>
    <n v="0"/>
    <n v="0"/>
    <n v="0"/>
    <x v="1"/>
    <x v="1"/>
    <n v="0"/>
    <n v="0"/>
    <n v="0"/>
    <n v="0"/>
    <s v="Pas d'écart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35"/>
    <x v="14"/>
    <x v="137"/>
    <n v="0.2630769230769231"/>
    <n v="35.1"/>
    <n v="0.27"/>
    <n v="-0.89999999999999858"/>
    <x v="0"/>
    <x v="1"/>
    <n v="0"/>
    <n v="35.1"/>
    <n v="0.27"/>
    <n v="-35.1"/>
    <s v="Ecart négatif"/>
    <n v="0"/>
  </r>
  <r>
    <x v="0"/>
    <n v="44"/>
    <x v="16"/>
    <x v="0"/>
    <n v="0"/>
    <n v="0"/>
    <n v="0"/>
    <n v="0"/>
    <x v="1"/>
    <x v="1"/>
    <n v="0"/>
    <n v="0"/>
    <n v="0"/>
    <n v="0"/>
    <s v="Pas d'écart"/>
    <n v="21.53"/>
  </r>
  <r>
    <x v="5"/>
    <n v="2"/>
    <x v="16"/>
    <x v="0"/>
    <n v="0"/>
    <n v="36"/>
    <n v="0.18"/>
    <n v="-36"/>
    <x v="0"/>
    <x v="1"/>
    <n v="0"/>
    <n v="36"/>
    <n v="0.18"/>
    <n v="-36"/>
    <s v="Ecart négatif"/>
    <n v="25.920000000000016"/>
  </r>
  <r>
    <x v="4"/>
    <n v="56"/>
    <x v="14"/>
    <x v="137"/>
    <n v="0.2630769230769231"/>
    <n v="35.1"/>
    <n v="0.27"/>
    <n v="-0.89999999999999858"/>
    <x v="0"/>
    <x v="1"/>
    <n v="0"/>
    <n v="35.1"/>
    <n v="0.27"/>
    <n v="-35.1"/>
    <s v="Ecart négatif"/>
    <n v="0"/>
  </r>
  <r>
    <x v="4"/>
    <n v="69"/>
    <x v="14"/>
    <x v="137"/>
    <n v="0.2630769230769231"/>
    <n v="35.1"/>
    <n v="0.27"/>
    <n v="-0.89999999999999858"/>
    <x v="0"/>
    <x v="1"/>
    <n v="0"/>
    <n v="35.1"/>
    <n v="0.27"/>
    <n v="-35.1"/>
    <s v="Ecart négatif"/>
    <n v="0"/>
  </r>
  <r>
    <x v="4"/>
    <n v="6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"/>
    <x v="21"/>
    <x v="0"/>
    <e v="#DIV/0!"/>
    <n v="0"/>
    <e v="#DIV/0!"/>
    <n v="0"/>
    <x v="1"/>
    <x v="1"/>
    <e v="#DIV/0!"/>
    <n v="0"/>
    <e v="#DIV/0!"/>
    <n v="0"/>
    <s v="Pas d'écart"/>
    <e v="#N/A"/>
  </r>
  <r>
    <x v="3"/>
    <n v="56"/>
    <x v="14"/>
    <x v="664"/>
    <n v="0.26315384615384618"/>
    <n v="35.1"/>
    <n v="0.27"/>
    <n v="-0.89000000000000057"/>
    <x v="0"/>
    <x v="1"/>
    <n v="0"/>
    <n v="35.1"/>
    <n v="0.27"/>
    <n v="-35.1"/>
    <s v="Ecart négatif"/>
    <n v="14.579999999999998"/>
  </r>
  <r>
    <x v="3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2"/>
    <n v="55"/>
    <x v="2"/>
    <x v="0"/>
    <n v="0"/>
    <n v="35"/>
    <n v="0.25"/>
    <n v="-35"/>
    <x v="0"/>
    <x v="1"/>
    <n v="0"/>
    <n v="35"/>
    <n v="0.25"/>
    <n v="-35"/>
    <s v="Ecart négatif"/>
    <n v="0"/>
  </r>
  <r>
    <x v="4"/>
    <n v="44"/>
    <x v="14"/>
    <x v="664"/>
    <n v="0.26315384615384618"/>
    <n v="35.1"/>
    <n v="0.27"/>
    <n v="-0.89000000000000057"/>
    <x v="0"/>
    <x v="1"/>
    <n v="0"/>
    <n v="35.1"/>
    <n v="0.27"/>
    <n v="-35.1"/>
    <s v="Ecart négatif"/>
    <n v="0"/>
  </r>
  <r>
    <x v="3"/>
    <n v="69"/>
    <x v="42"/>
    <x v="665"/>
    <n v="0.26317647058823529"/>
    <n v="91.800000000000011"/>
    <n v="0.27"/>
    <n v="-2.3200000000000074"/>
    <x v="0"/>
    <x v="1"/>
    <n v="0"/>
    <n v="91.800000000000011"/>
    <n v="0.27"/>
    <n v="-91.800000000000011"/>
    <s v="Ecart négatif"/>
    <n v="32.779999999999973"/>
  </r>
  <r>
    <x v="3"/>
    <n v="69"/>
    <x v="42"/>
    <x v="665"/>
    <n v="0.26317647058823529"/>
    <n v="91.800000000000011"/>
    <n v="0.27"/>
    <n v="-2.3200000000000074"/>
    <x v="0"/>
    <x v="1"/>
    <n v="0"/>
    <n v="91.800000000000011"/>
    <n v="0.27"/>
    <n v="-91.800000000000011"/>
    <s v="Ecart négatif"/>
    <n v="32.779999999999973"/>
  </r>
  <r>
    <x v="4"/>
    <n v="49"/>
    <x v="46"/>
    <x v="666"/>
    <n v="0.26323684210526316"/>
    <n v="102.60000000000001"/>
    <n v="0.27"/>
    <n v="-2.5700000000000074"/>
    <x v="0"/>
    <x v="1"/>
    <n v="0"/>
    <n v="102.60000000000001"/>
    <n v="0.27"/>
    <n v="-102.60000000000001"/>
    <s v="Ecart négatif"/>
    <n v="0"/>
  </r>
  <r>
    <x v="0"/>
    <n v="62"/>
    <x v="8"/>
    <x v="0"/>
    <n v="0"/>
    <n v="0"/>
    <n v="0"/>
    <n v="0"/>
    <x v="1"/>
    <x v="1"/>
    <n v="0"/>
    <n v="0"/>
    <n v="0"/>
    <n v="0"/>
    <s v="Pas d'écart"/>
    <n v="12.299999999999997"/>
  </r>
  <r>
    <x v="1"/>
    <n v="77"/>
    <x v="25"/>
    <x v="0"/>
    <n v="0"/>
    <n v="0"/>
    <n v="0"/>
    <n v="0"/>
    <x v="1"/>
    <x v="1"/>
    <n v="0"/>
    <n v="0"/>
    <n v="0"/>
    <n v="0"/>
    <s v="Pas d'écart"/>
    <n v="67.569999999999993"/>
  </r>
  <r>
    <x v="3"/>
    <n v="44"/>
    <x v="11"/>
    <x v="369"/>
    <n v="0.26350000000000001"/>
    <n v="16.200000000000003"/>
    <n v="0.27000000000000007"/>
    <n v="-0.39000000000000234"/>
    <x v="0"/>
    <x v="1"/>
    <n v="0"/>
    <n v="16.200000000000003"/>
    <n v="0.27000000000000007"/>
    <n v="-16.200000000000003"/>
    <s v="Ecart négatif"/>
    <n v="8.5"/>
  </r>
  <r>
    <x v="4"/>
    <n v="42"/>
    <x v="6"/>
    <x v="667"/>
    <n v="0.26356250000000003"/>
    <n v="41.6"/>
    <n v="0.26"/>
    <n v="0.57000000000000028"/>
    <x v="2"/>
    <x v="1"/>
    <n v="0"/>
    <n v="41.6"/>
    <n v="0.26"/>
    <n v="-41.6"/>
    <s v="Ecart négatif"/>
    <n v="0"/>
  </r>
  <r>
    <x v="4"/>
    <n v="69"/>
    <x v="2"/>
    <x v="477"/>
    <n v="0.26357142857142857"/>
    <n v="37.800000000000004"/>
    <n v="0.27"/>
    <n v="-0.90000000000000568"/>
    <x v="0"/>
    <x v="1"/>
    <n v="0"/>
    <n v="37.800000000000004"/>
    <n v="0.27"/>
    <n v="-37.800000000000004"/>
    <s v="Ecart négatif"/>
    <n v="0"/>
  </r>
  <r>
    <x v="4"/>
    <n v="26"/>
    <x v="2"/>
    <x v="477"/>
    <n v="0.26357142857142857"/>
    <n v="37.800000000000004"/>
    <n v="0.27"/>
    <n v="-0.90000000000000568"/>
    <x v="0"/>
    <x v="1"/>
    <n v="0"/>
    <n v="37.800000000000004"/>
    <n v="0.27"/>
    <n v="-37.800000000000004"/>
    <s v="Ecart négatif"/>
    <n v="0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0"/>
    <n v="59"/>
    <x v="13"/>
    <x v="0"/>
    <n v="0"/>
    <n v="0"/>
    <n v="0"/>
    <n v="0"/>
    <x v="1"/>
    <x v="1"/>
    <n v="0"/>
    <n v="0"/>
    <n v="0"/>
    <n v="0"/>
    <s v="Pas d'écart"/>
    <n v="16.870000000000005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74"/>
    <x v="2"/>
    <x v="477"/>
    <n v="0.26357142857142857"/>
    <n v="36.4"/>
    <n v="0.26"/>
    <n v="0.5"/>
    <x v="2"/>
    <x v="1"/>
    <n v="0"/>
    <n v="36.4"/>
    <n v="0.26"/>
    <n v="-36.4"/>
    <s v="Ecart négatif"/>
    <n v="0"/>
  </r>
  <r>
    <x v="3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44"/>
    <x v="2"/>
    <x v="668"/>
    <n v="0.26364285714285712"/>
    <n v="37.800000000000004"/>
    <n v="0.27"/>
    <n v="-0.89000000000000767"/>
    <x v="0"/>
    <x v="1"/>
    <n v="0"/>
    <n v="37.800000000000004"/>
    <n v="0.27"/>
    <n v="-37.800000000000004"/>
    <s v="Ecart négatif"/>
    <n v="13.140000000000008"/>
  </r>
  <r>
    <x v="2"/>
    <n v="13"/>
    <x v="29"/>
    <x v="0"/>
    <n v="0"/>
    <n v="76"/>
    <n v="0.19"/>
    <n v="-76"/>
    <x v="0"/>
    <x v="1"/>
    <n v="0"/>
    <n v="76"/>
    <n v="0.19"/>
    <n v="-76"/>
    <s v="Ecart négatif"/>
    <n v="0"/>
  </r>
  <r>
    <x v="3"/>
    <n v="49"/>
    <x v="2"/>
    <x v="669"/>
    <n v="0.26392857142857146"/>
    <n v="37.800000000000004"/>
    <n v="0.27"/>
    <n v="-0.85000000000000142"/>
    <x v="0"/>
    <x v="1"/>
    <n v="0"/>
    <n v="37.800000000000004"/>
    <n v="0.27"/>
    <n v="-37.800000000000004"/>
    <s v="Ecart négatif"/>
    <n v="14.68"/>
  </r>
  <r>
    <x v="4"/>
    <n v="75"/>
    <x v="10"/>
    <x v="0"/>
    <n v="0"/>
    <n v="0"/>
    <n v="0"/>
    <n v="0"/>
    <x v="1"/>
    <x v="1"/>
    <n v="0"/>
    <n v="0"/>
    <n v="0"/>
    <n v="0"/>
    <s v="Pas d'écart"/>
    <n v="18.049999999999997"/>
  </r>
  <r>
    <x v="4"/>
    <n v="73"/>
    <x v="10"/>
    <x v="670"/>
    <n v="0.26406666666666667"/>
    <n v="40.5"/>
    <n v="0.27"/>
    <n v="-0.89000000000000057"/>
    <x v="0"/>
    <x v="1"/>
    <n v="0"/>
    <n v="40.5"/>
    <n v="0.27"/>
    <n v="-40.5"/>
    <s v="Ecart négatif"/>
    <n v="0"/>
  </r>
  <r>
    <x v="3"/>
    <n v="74"/>
    <x v="2"/>
    <x v="671"/>
    <n v="0.26407142857142857"/>
    <n v="36.4"/>
    <n v="0.26"/>
    <n v="0.57000000000000028"/>
    <x v="2"/>
    <x v="1"/>
    <n v="0"/>
    <n v="36.4"/>
    <n v="0.26"/>
    <n v="-36.4"/>
    <s v="Ecart négatif"/>
    <n v="15.759999999999998"/>
  </r>
  <r>
    <x v="3"/>
    <n v="1"/>
    <x v="10"/>
    <x v="672"/>
    <n v="0.26413333333333333"/>
    <n v="39"/>
    <n v="0.26"/>
    <n v="0.61999999999999744"/>
    <x v="2"/>
    <x v="1"/>
    <n v="0"/>
    <n v="39"/>
    <n v="0.26"/>
    <n v="-39"/>
    <s v="Ecart négatif"/>
    <n v="14.789999999999992"/>
  </r>
  <r>
    <x v="2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3"/>
    <n v="94"/>
    <x v="12"/>
    <x v="0"/>
    <n v="0"/>
    <n v="0"/>
    <n v="0"/>
    <n v="0"/>
    <x v="1"/>
    <x v="1"/>
    <n v="0"/>
    <n v="0"/>
    <n v="0"/>
    <n v="0"/>
    <s v="Pas d'écart"/>
    <n v="5.23"/>
  </r>
  <r>
    <x v="0"/>
    <n v="75"/>
    <x v="18"/>
    <x v="0"/>
    <n v="0"/>
    <n v="0"/>
    <n v="0"/>
    <n v="0"/>
    <x v="1"/>
    <x v="1"/>
    <n v="0"/>
    <n v="0"/>
    <n v="0"/>
    <n v="0"/>
    <s v="Pas d'écart"/>
    <n v="8.0399999999999991"/>
  </r>
  <r>
    <x v="1"/>
    <n v="69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5"/>
    <n v="92"/>
    <x v="14"/>
    <x v="0"/>
    <n v="0"/>
    <n v="0"/>
    <n v="0"/>
    <n v="0"/>
    <x v="1"/>
    <x v="1"/>
    <n v="0"/>
    <n v="0"/>
    <n v="0"/>
    <n v="0"/>
    <s v="Pas d'écart"/>
    <n v="10.020000000000003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2"/>
    <n v="84"/>
    <x v="2"/>
    <x v="0"/>
    <n v="0"/>
    <n v="26.6"/>
    <n v="0.19"/>
    <n v="-26.6"/>
    <x v="0"/>
    <x v="1"/>
    <n v="0"/>
    <n v="26.6"/>
    <n v="0.19"/>
    <n v="-26.6"/>
    <s v="Ecart négatif"/>
    <n v="0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2"/>
    <n v="79"/>
    <x v="2"/>
    <x v="0"/>
    <n v="0"/>
    <n v="16.8"/>
    <n v="0.12000000000000001"/>
    <n v="-16.8"/>
    <x v="0"/>
    <x v="1"/>
    <n v="0"/>
    <n v="16.8"/>
    <n v="0.12000000000000001"/>
    <n v="-16.8"/>
    <s v="Ecart négatif"/>
    <n v="27.799999999999997"/>
  </r>
  <r>
    <x v="0"/>
    <n v="69"/>
    <x v="8"/>
    <x v="0"/>
    <n v="0"/>
    <n v="0"/>
    <n v="0"/>
    <n v="0"/>
    <x v="1"/>
    <x v="1"/>
    <n v="0"/>
    <n v="0"/>
    <n v="0"/>
    <n v="0"/>
    <s v="Pas d'écart"/>
    <n v="44.77"/>
  </r>
  <r>
    <x v="4"/>
    <n v="59"/>
    <x v="2"/>
    <x v="80"/>
    <n v="0.19"/>
    <n v="26.6"/>
    <n v="0.19"/>
    <n v="0"/>
    <x v="1"/>
    <x v="1"/>
    <n v="0"/>
    <n v="26.6"/>
    <n v="0.19"/>
    <n v="-26.6"/>
    <s v="Ecart négatif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2"/>
    <n v="4"/>
    <x v="19"/>
    <x v="0"/>
    <n v="0"/>
    <n v="36.1"/>
    <n v="0.19"/>
    <n v="-36.1"/>
    <x v="0"/>
    <x v="1"/>
    <n v="0"/>
    <n v="36.1"/>
    <n v="0.19"/>
    <n v="-36.1"/>
    <s v="Ecart négatif"/>
    <n v="0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0"/>
    <n v="71"/>
    <x v="16"/>
    <x v="0"/>
    <n v="0"/>
    <n v="0"/>
    <n v="0"/>
    <n v="0"/>
    <x v="1"/>
    <x v="1"/>
    <n v="0"/>
    <n v="0"/>
    <n v="0"/>
    <n v="0"/>
    <s v="Pas d'écart"/>
    <n v="129.61000000000001"/>
  </r>
  <r>
    <x v="0"/>
    <n v="14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0"/>
    <n v="38"/>
    <x v="16"/>
    <x v="0"/>
    <n v="0"/>
    <n v="0"/>
    <n v="0"/>
    <n v="0"/>
    <x v="1"/>
    <x v="1"/>
    <n v="0"/>
    <n v="0"/>
    <n v="0"/>
    <n v="0"/>
    <s v="Pas d'écart"/>
    <n v="129.61000000000001"/>
  </r>
  <r>
    <x v="2"/>
    <n v="13"/>
    <x v="19"/>
    <x v="0"/>
    <n v="0"/>
    <n v="36.1"/>
    <n v="0.19"/>
    <n v="-36.1"/>
    <x v="0"/>
    <x v="1"/>
    <n v="0"/>
    <n v="36.1"/>
    <n v="0.19"/>
    <n v="-36.1"/>
    <s v="Ecart négatif"/>
    <n v="99.88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2"/>
    <n v="37"/>
    <x v="12"/>
    <x v="0"/>
    <n v="0"/>
    <n v="4.8"/>
    <n v="0.12"/>
    <n v="-4.8"/>
    <x v="0"/>
    <x v="1"/>
    <n v="0"/>
    <n v="4.8"/>
    <n v="0.12"/>
    <n v="-4.8"/>
    <s v="Ecart négatif"/>
    <n v="34.29"/>
  </r>
  <r>
    <x v="0"/>
    <n v="26"/>
    <x v="2"/>
    <x v="0"/>
    <n v="0"/>
    <n v="0"/>
    <n v="0"/>
    <n v="0"/>
    <x v="1"/>
    <x v="1"/>
    <n v="0"/>
    <n v="0"/>
    <n v="0"/>
    <n v="0"/>
    <s v="Pas d'écart"/>
    <n v="78.8"/>
  </r>
  <r>
    <x v="8"/>
    <n v="67"/>
    <x v="22"/>
    <x v="0"/>
    <n v="0"/>
    <n v="28.999999999999996"/>
    <n v="0.28999999999999998"/>
    <n v="-28.999999999999996"/>
    <x v="0"/>
    <x v="1"/>
    <n v="0"/>
    <n v="28.999999999999996"/>
    <n v="0.28999999999999998"/>
    <n v="-28.999999999999996"/>
    <s v="Ecart négatif"/>
    <n v="0"/>
  </r>
  <r>
    <x v="2"/>
    <n v="75"/>
    <x v="6"/>
    <x v="0"/>
    <n v="0"/>
    <n v="0"/>
    <n v="0"/>
    <n v="0"/>
    <x v="1"/>
    <x v="1"/>
    <n v="0"/>
    <n v="0"/>
    <n v="0"/>
    <n v="0"/>
    <s v="Pas d'écart"/>
    <n v="56.79"/>
  </r>
  <r>
    <x v="0"/>
    <n v="94"/>
    <x v="16"/>
    <x v="0"/>
    <n v="0"/>
    <n v="0"/>
    <n v="0"/>
    <n v="0"/>
    <x v="1"/>
    <x v="1"/>
    <n v="0"/>
    <n v="0"/>
    <n v="0"/>
    <n v="0"/>
    <s v="Pas d'écart"/>
    <n v="63.75"/>
  </r>
  <r>
    <x v="0"/>
    <n v="74"/>
    <x v="7"/>
    <x v="0"/>
    <n v="0"/>
    <n v="0"/>
    <n v="0"/>
    <n v="0"/>
    <x v="1"/>
    <x v="1"/>
    <n v="0"/>
    <n v="0"/>
    <n v="0"/>
    <n v="0"/>
    <s v="Pas d'écart"/>
    <n v="20.260000000000002"/>
  </r>
  <r>
    <x v="2"/>
    <n v="53"/>
    <x v="6"/>
    <x v="0"/>
    <n v="0"/>
    <n v="0"/>
    <n v="0"/>
    <n v="0"/>
    <x v="1"/>
    <x v="1"/>
    <n v="0"/>
    <n v="0"/>
    <n v="0"/>
    <n v="0"/>
    <s v="Pas d'écart"/>
    <n v="91.69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0"/>
    <n v="57"/>
    <x v="4"/>
    <x v="0"/>
    <n v="0"/>
    <n v="27.5"/>
    <n v="0.25"/>
    <n v="-27.5"/>
    <x v="0"/>
    <x v="49"/>
    <n v="0.24781818181818183"/>
    <n v="27.5"/>
    <n v="0.25"/>
    <n v="-0.23999999999999844"/>
    <s v="Ecart négatif"/>
    <n v="14.36"/>
  </r>
  <r>
    <x v="2"/>
    <n v="54"/>
    <x v="4"/>
    <x v="0"/>
    <n v="0"/>
    <n v="27.5"/>
    <n v="0.25"/>
    <n v="-27.5"/>
    <x v="0"/>
    <x v="49"/>
    <n v="0.24781818181818183"/>
    <n v="27.5"/>
    <n v="0.25"/>
    <n v="-0.23999999999999844"/>
    <s v="Ecart négatif"/>
    <n v="56.37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65"/>
    <x v="11"/>
    <x v="0"/>
    <n v="0"/>
    <n v="13.2"/>
    <n v="0.22"/>
    <n v="-13.2"/>
    <x v="0"/>
    <x v="1"/>
    <n v="0"/>
    <n v="13.2"/>
    <n v="0.22"/>
    <n v="-13.2"/>
    <s v="Ecart négatif"/>
    <n v="25.37"/>
  </r>
  <r>
    <x v="2"/>
    <n v="77"/>
    <x v="15"/>
    <x v="0"/>
    <n v="0"/>
    <n v="0"/>
    <n v="0"/>
    <n v="0"/>
    <x v="1"/>
    <x v="1"/>
    <n v="0"/>
    <n v="0"/>
    <n v="0"/>
    <n v="0"/>
    <s v="Pas d'écart"/>
    <n v="14.57"/>
  </r>
  <r>
    <x v="0"/>
    <n v="13"/>
    <x v="8"/>
    <x v="0"/>
    <n v="0"/>
    <n v="13.3"/>
    <n v="0.19"/>
    <n v="-13.3"/>
    <x v="0"/>
    <x v="1"/>
    <n v="0"/>
    <n v="13.3"/>
    <n v="0.19"/>
    <n v="-13.3"/>
    <s v="Ecart négatif"/>
    <n v="44.77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3"/>
    <n v="93"/>
    <x v="2"/>
    <x v="0"/>
    <n v="0"/>
    <n v="0"/>
    <n v="0"/>
    <n v="0"/>
    <x v="1"/>
    <x v="1"/>
    <n v="0"/>
    <n v="0"/>
    <n v="0"/>
    <n v="0"/>
    <s v="Pas d'écart"/>
    <n v="10.509999999999998"/>
  </r>
  <r>
    <x v="0"/>
    <n v="27"/>
    <x v="27"/>
    <x v="0"/>
    <n v="0"/>
    <n v="8.5"/>
    <n v="0.17"/>
    <n v="-8.5"/>
    <x v="0"/>
    <x v="1"/>
    <n v="0"/>
    <n v="8.5"/>
    <n v="0.17"/>
    <n v="-8.5"/>
    <s v="Ecart négatif"/>
    <n v="44.07"/>
  </r>
  <r>
    <x v="6"/>
    <n v="77"/>
    <x v="16"/>
    <x v="674"/>
    <n v="0.24249999999999999"/>
    <n v="0"/>
    <n v="0"/>
    <n v="48.5"/>
    <x v="2"/>
    <x v="1"/>
    <n v="0"/>
    <n v="0"/>
    <n v="0"/>
    <n v="0"/>
    <s v="Pas d'écart"/>
    <n v="63.75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2"/>
    <n v="69"/>
    <x v="2"/>
    <x v="0"/>
    <n v="0"/>
    <n v="0"/>
    <n v="0"/>
    <n v="0"/>
    <x v="1"/>
    <x v="1"/>
    <n v="0"/>
    <n v="0"/>
    <n v="0"/>
    <n v="0"/>
    <s v="Pas d'écart"/>
    <n v="65.680000000000007"/>
  </r>
  <r>
    <x v="5"/>
    <n v="51"/>
    <x v="12"/>
    <x v="0"/>
    <n v="0"/>
    <n v="10"/>
    <n v="0.25"/>
    <n v="-10"/>
    <x v="0"/>
    <x v="1"/>
    <n v="0"/>
    <n v="10"/>
    <n v="0.25"/>
    <n v="-10"/>
    <s v="Ecart négatif"/>
    <n v="9.5499999999999972"/>
  </r>
  <r>
    <x v="8"/>
    <n v="57"/>
    <x v="1"/>
    <x v="0"/>
    <n v="0"/>
    <n v="28.799999999999997"/>
    <n v="0.23999999999999996"/>
    <n v="-28.799999999999997"/>
    <x v="0"/>
    <x v="1"/>
    <n v="0"/>
    <n v="28.799999999999997"/>
    <n v="0.23999999999999996"/>
    <n v="-28.799999999999997"/>
    <s v="Ecart négatif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21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5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0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7"/>
    <n v="6"/>
    <x v="16"/>
    <x v="0"/>
    <n v="0"/>
    <n v="60"/>
    <n v="0.3"/>
    <n v="-60"/>
    <x v="0"/>
    <x v="1"/>
    <n v="0"/>
    <n v="60"/>
    <n v="0.3"/>
    <n v="-60"/>
    <s v="Ecart négatif"/>
    <n v="28.080000000000013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7"/>
    <n v="63"/>
    <x v="13"/>
    <x v="0"/>
    <n v="0"/>
    <n v="49.3"/>
    <n v="0.28999999999999998"/>
    <n v="-49.3"/>
    <x v="0"/>
    <x v="1"/>
    <n v="0"/>
    <n v="49.3"/>
    <n v="0.28999999999999998"/>
    <n v="-49.3"/>
    <s v="Ecart négatif"/>
    <n v="16.870000000000005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38"/>
    <x v="27"/>
    <x v="0"/>
    <n v="0"/>
    <n v="0"/>
    <n v="0"/>
    <n v="0"/>
    <x v="1"/>
    <x v="1"/>
    <n v="0"/>
    <n v="0"/>
    <n v="0"/>
    <n v="0"/>
    <s v="Pas d'écart"/>
    <n v="44.07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8"/>
    <n v="83"/>
    <x v="20"/>
    <x v="0"/>
    <n v="0"/>
    <n v="75"/>
    <n v="0.3"/>
    <n v="-75"/>
    <x v="0"/>
    <x v="1"/>
    <n v="0"/>
    <n v="75"/>
    <n v="0.3"/>
    <n v="-75"/>
    <s v="Ecart négatif"/>
    <n v="0"/>
  </r>
  <r>
    <x v="0"/>
    <n v="68"/>
    <x v="11"/>
    <x v="0"/>
    <n v="0"/>
    <n v="4.8"/>
    <n v="0.08"/>
    <n v="-4.8"/>
    <x v="0"/>
    <x v="1"/>
    <n v="0"/>
    <n v="4.8"/>
    <n v="0.08"/>
    <n v="-4.8"/>
    <s v="Ecart négatif"/>
    <n v="52.78"/>
  </r>
  <r>
    <x v="0"/>
    <n v="75"/>
    <x v="12"/>
    <x v="0"/>
    <n v="0"/>
    <n v="0"/>
    <n v="0"/>
    <n v="0"/>
    <x v="1"/>
    <x v="1"/>
    <n v="0"/>
    <n v="0"/>
    <n v="0"/>
    <n v="0"/>
    <s v="Pas d'écart"/>
    <n v="5.23"/>
  </r>
  <r>
    <x v="3"/>
    <n v="69"/>
    <x v="2"/>
    <x v="673"/>
    <n v="0.26414285714285712"/>
    <n v="37.800000000000004"/>
    <n v="0.27"/>
    <n v="-0.82000000000000739"/>
    <x v="0"/>
    <x v="1"/>
    <n v="0"/>
    <n v="37.800000000000004"/>
    <n v="0.27"/>
    <n v="-37.800000000000004"/>
    <s v="Ecart négatif"/>
    <n v="13.14000000000000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3"/>
    <n v="44"/>
    <x v="2"/>
    <x v="675"/>
    <n v="0.26421428571428573"/>
    <n v="37.800000000000004"/>
    <n v="0.27"/>
    <n v="-0.81000000000000227"/>
    <x v="0"/>
    <x v="1"/>
    <n v="0"/>
    <n v="37.800000000000004"/>
    <n v="0.27"/>
    <n v="-37.800000000000004"/>
    <s v="Ecart négatif"/>
    <n v="13.140000000000008"/>
  </r>
  <r>
    <x v="4"/>
    <n v="7"/>
    <x v="2"/>
    <x v="675"/>
    <n v="0.26421428571428573"/>
    <n v="37.800000000000004"/>
    <n v="0.27"/>
    <n v="-0.81000000000000227"/>
    <x v="0"/>
    <x v="1"/>
    <n v="0"/>
    <n v="37.800000000000004"/>
    <n v="0.27"/>
    <n v="-37.800000000000004"/>
    <s v="Ecart négatif"/>
    <n v="0"/>
  </r>
  <r>
    <x v="4"/>
    <n v="80"/>
    <x v="11"/>
    <x v="676"/>
    <n v="0.19"/>
    <n v="11.4"/>
    <n v="0.19"/>
    <n v="0"/>
    <x v="1"/>
    <x v="1"/>
    <n v="0"/>
    <n v="11.4"/>
    <n v="0.19"/>
    <n v="-11.4"/>
    <s v="Ecart négatif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67"/>
    <x v="7"/>
    <x v="0"/>
    <n v="0"/>
    <n v="2.4"/>
    <n v="0.08"/>
    <n v="-2.4"/>
    <x v="0"/>
    <x v="291"/>
    <n v="6.0000000000000005E-2"/>
    <n v="2.4"/>
    <n v="0.08"/>
    <n v="-0.59999999999999987"/>
    <s v="Ecart négatif"/>
    <n v="3.6799999999999997"/>
  </r>
  <r>
    <x v="6"/>
    <n v="74"/>
    <x v="9"/>
    <x v="0"/>
    <n v="0"/>
    <n v="20.8"/>
    <n v="0.26"/>
    <n v="-20.8"/>
    <x v="0"/>
    <x v="1"/>
    <n v="0"/>
    <n v="20.8"/>
    <n v="0.26"/>
    <n v="-20.8"/>
    <s v="Ecart négatif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2"/>
    <n v="4"/>
    <x v="6"/>
    <x v="0"/>
    <n v="0"/>
    <n v="30.4"/>
    <n v="0.19"/>
    <n v="-30.4"/>
    <x v="0"/>
    <x v="1"/>
    <n v="0"/>
    <n v="30.4"/>
    <n v="0.19"/>
    <n v="-30.4"/>
    <s v="Ecart négatif"/>
    <n v="91.69"/>
  </r>
  <r>
    <x v="2"/>
    <n v="68"/>
    <x v="9"/>
    <x v="0"/>
    <n v="0"/>
    <n v="6.4"/>
    <n v="0.08"/>
    <n v="-6.4"/>
    <x v="0"/>
    <x v="1"/>
    <n v="0"/>
    <n v="6.4"/>
    <n v="0.08"/>
    <n v="-6.4"/>
    <s v="Ecart négatif"/>
    <n v="19.189999999999998"/>
  </r>
  <r>
    <x v="4"/>
    <n v="35"/>
    <x v="2"/>
    <x v="675"/>
    <n v="0.26421428571428573"/>
    <n v="37.800000000000004"/>
    <n v="0.27"/>
    <n v="-0.81000000000000227"/>
    <x v="0"/>
    <x v="1"/>
    <n v="0"/>
    <n v="37.800000000000004"/>
    <n v="0.27"/>
    <n v="-37.800000000000004"/>
    <s v="Ecart négatif"/>
    <n v="0"/>
  </r>
  <r>
    <x v="3"/>
    <n v="49"/>
    <x v="2"/>
    <x v="675"/>
    <n v="0.26421428571428573"/>
    <n v="37.800000000000004"/>
    <n v="0.27"/>
    <n v="-0.81000000000000227"/>
    <x v="0"/>
    <x v="1"/>
    <n v="0"/>
    <n v="37.800000000000004"/>
    <n v="0.27"/>
    <n v="-37.800000000000004"/>
    <s v="Ecart négatif"/>
    <n v="14.68"/>
  </r>
  <r>
    <x v="4"/>
    <n v="75"/>
    <x v="4"/>
    <x v="0"/>
    <n v="0"/>
    <n v="0"/>
    <n v="0"/>
    <n v="0"/>
    <x v="1"/>
    <x v="1"/>
    <n v="0"/>
    <n v="0"/>
    <n v="0"/>
    <n v="0"/>
    <s v="Pas d'écart"/>
    <n v="0"/>
  </r>
  <r>
    <x v="4"/>
    <n v="44"/>
    <x v="19"/>
    <x v="677"/>
    <n v="0.26431578947368423"/>
    <n v="51.300000000000004"/>
    <n v="0.27"/>
    <n v="-1.0800000000000054"/>
    <x v="0"/>
    <x v="1"/>
    <n v="0"/>
    <n v="51.300000000000004"/>
    <n v="0.27"/>
    <n v="-51.300000000000004"/>
    <s v="Ecart négatif"/>
    <n v="0"/>
  </r>
  <r>
    <x v="3"/>
    <n v="74"/>
    <x v="19"/>
    <x v="678"/>
    <n v="0.26442105263157895"/>
    <n v="49.4"/>
    <n v="0.26"/>
    <n v="0.84000000000000341"/>
    <x v="2"/>
    <x v="1"/>
    <n v="0"/>
    <n v="49.4"/>
    <n v="0.26"/>
    <n v="-49.4"/>
    <s v="Ecart négatif"/>
    <n v="25.64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6"/>
    <n v="51"/>
    <x v="21"/>
    <x v="0"/>
    <e v="#DIV/0!"/>
    <n v="0"/>
    <e v="#DIV/0!"/>
    <n v="0"/>
    <x v="1"/>
    <x v="1"/>
    <e v="#DIV/0!"/>
    <n v="0"/>
    <e v="#DIV/0!"/>
    <n v="0"/>
    <s v="Pas d'écart"/>
    <e v="#N/A"/>
  </r>
  <r>
    <x v="8"/>
    <n v="35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0"/>
  </r>
  <r>
    <x v="4"/>
    <n v="6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4"/>
    <n v="44"/>
    <x v="19"/>
    <x v="678"/>
    <n v="0.26442105263157895"/>
    <n v="51.300000000000004"/>
    <n v="0.27"/>
    <n v="-1.0600000000000023"/>
    <x v="0"/>
    <x v="1"/>
    <n v="0"/>
    <n v="51.300000000000004"/>
    <n v="0.27"/>
    <n v="-51.300000000000004"/>
    <s v="Ecart négatif"/>
    <n v="0"/>
  </r>
  <r>
    <x v="5"/>
    <n v="44"/>
    <x v="0"/>
    <x v="0"/>
    <n v="0"/>
    <n v="48.6"/>
    <n v="0.27"/>
    <n v="-48.6"/>
    <x v="0"/>
    <x v="1"/>
    <n v="0"/>
    <n v="48.6"/>
    <n v="0.27"/>
    <n v="-48.6"/>
    <s v="Ecart négatif"/>
    <n v="18.419999999999987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38"/>
    <x v="2"/>
    <x v="679"/>
    <n v="0.26450000000000001"/>
    <n v="37.800000000000004"/>
    <n v="0.27"/>
    <n v="-0.77000000000000313"/>
    <x v="0"/>
    <x v="1"/>
    <n v="0"/>
    <n v="37.800000000000004"/>
    <n v="0.27"/>
    <n v="-37.800000000000004"/>
    <s v="Ecart négatif"/>
    <n v="14.68"/>
  </r>
  <r>
    <x v="0"/>
    <n v="62"/>
    <x v="2"/>
    <x v="0"/>
    <n v="0"/>
    <n v="0"/>
    <n v="0"/>
    <n v="0"/>
    <x v="1"/>
    <x v="1"/>
    <n v="0"/>
    <n v="0"/>
    <n v="0"/>
    <n v="0"/>
    <s v="Pas d'écart"/>
    <n v="14.68"/>
  </r>
  <r>
    <x v="4"/>
    <n v="69"/>
    <x v="44"/>
    <x v="680"/>
    <n v="0.2645483870967742"/>
    <n v="83.7"/>
    <n v="0.27"/>
    <n v="-1.6899999999999977"/>
    <x v="0"/>
    <x v="1"/>
    <n v="0"/>
    <n v="83.7"/>
    <n v="0.27"/>
    <n v="-83.7"/>
    <s v="Ecart négatif"/>
    <n v="0"/>
  </r>
  <r>
    <x v="2"/>
    <n v="76"/>
    <x v="14"/>
    <x v="0"/>
    <n v="0"/>
    <n v="22.1"/>
    <n v="0.17"/>
    <n v="-22.1"/>
    <x v="0"/>
    <x v="292"/>
    <n v="0.16476923076923078"/>
    <n v="22.1"/>
    <n v="0.17"/>
    <n v="-0.67999999999999972"/>
    <s v="Ecart négatif"/>
    <n v="0"/>
  </r>
  <r>
    <x v="4"/>
    <n v="75"/>
    <x v="12"/>
    <x v="0"/>
    <n v="0"/>
    <n v="0"/>
    <n v="0"/>
    <n v="0"/>
    <x v="1"/>
    <x v="1"/>
    <n v="0"/>
    <n v="0"/>
    <n v="0"/>
    <n v="0"/>
    <s v="Pas d'écart"/>
    <n v="0"/>
  </r>
  <r>
    <x v="3"/>
    <n v="45"/>
    <x v="2"/>
    <x v="434"/>
    <n v="0.21"/>
    <n v="29.4"/>
    <n v="0.21"/>
    <n v="0"/>
    <x v="1"/>
    <x v="1"/>
    <n v="0"/>
    <n v="29.4"/>
    <n v="0.21"/>
    <n v="-29.4"/>
    <s v="Ecart négatif"/>
    <n v="14.68"/>
  </r>
  <r>
    <x v="4"/>
    <n v="44"/>
    <x v="2"/>
    <x v="681"/>
    <n v="0.26464285714285712"/>
    <n v="37.800000000000004"/>
    <n v="0.27"/>
    <n v="-0.75000000000000711"/>
    <x v="0"/>
    <x v="1"/>
    <n v="0"/>
    <n v="37.800000000000004"/>
    <n v="0.27"/>
    <n v="-37.800000000000004"/>
    <s v="Ecart négatif"/>
    <n v="0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2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0"/>
    <n v="54"/>
    <x v="12"/>
    <x v="0"/>
    <n v="0"/>
    <n v="10"/>
    <n v="0.25"/>
    <n v="-10"/>
    <x v="0"/>
    <x v="149"/>
    <n v="0.23275000000000001"/>
    <n v="10"/>
    <n v="0.25"/>
    <n v="-0.6899999999999995"/>
    <s v="Ecart négatif"/>
    <n v="6.8599999999999994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0"/>
    <n v="59"/>
    <x v="12"/>
    <x v="0"/>
    <n v="0"/>
    <n v="0"/>
    <n v="0"/>
    <n v="0"/>
    <x v="1"/>
    <x v="1"/>
    <n v="0"/>
    <n v="0"/>
    <n v="0"/>
    <n v="0"/>
    <s v="Pas d'écart"/>
    <n v="6.8599999999999994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4"/>
    <n v="77"/>
    <x v="5"/>
    <x v="0"/>
    <n v="0"/>
    <n v="0"/>
    <n v="0"/>
    <n v="0"/>
    <x v="1"/>
    <x v="1"/>
    <n v="0"/>
    <n v="0"/>
    <n v="0"/>
    <n v="0"/>
    <s v="Pas d'écart"/>
    <n v="0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20"/>
    <x v="0"/>
    <n v="0"/>
    <n v="0"/>
    <n v="0"/>
    <n v="0"/>
    <x v="1"/>
    <x v="1"/>
    <n v="0"/>
    <n v="0"/>
    <n v="0"/>
    <n v="0"/>
    <s v="Pas d'écart"/>
    <n v="73.28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2"/>
    <n v="94"/>
    <x v="20"/>
    <x v="0"/>
    <n v="0"/>
    <n v="0"/>
    <n v="0"/>
    <n v="0"/>
    <x v="1"/>
    <x v="1"/>
    <n v="0"/>
    <n v="0"/>
    <n v="0"/>
    <n v="0"/>
    <s v="Pas d'écart"/>
    <n v="0"/>
  </r>
  <r>
    <x v="0"/>
    <n v="69"/>
    <x v="6"/>
    <x v="0"/>
    <n v="0"/>
    <n v="0"/>
    <n v="0"/>
    <n v="0"/>
    <x v="1"/>
    <x v="1"/>
    <n v="0"/>
    <n v="0"/>
    <n v="0"/>
    <n v="0"/>
    <s v="Pas d'écart"/>
    <n v="15.310000000000002"/>
  </r>
  <r>
    <x v="3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15.329999999999998"/>
  </r>
  <r>
    <x v="4"/>
    <n v="19"/>
    <x v="4"/>
    <x v="121"/>
    <n v="0.26472727272727276"/>
    <n v="31.9"/>
    <n v="0.28999999999999998"/>
    <n v="-2.7799999999999976"/>
    <x v="0"/>
    <x v="1"/>
    <n v="0"/>
    <n v="31.9"/>
    <n v="0.28999999999999998"/>
    <n v="-31.9"/>
    <s v="Ecart négatif"/>
    <n v="0"/>
  </r>
  <r>
    <x v="4"/>
    <n v="51"/>
    <x v="8"/>
    <x v="682"/>
    <n v="0.25"/>
    <n v="17.5"/>
    <n v="0.25"/>
    <n v="0"/>
    <x v="1"/>
    <x v="1"/>
    <n v="0"/>
    <n v="17.5"/>
    <n v="0.25"/>
    <n v="-17.5"/>
    <s v="Ecart négatif"/>
    <n v="0"/>
  </r>
  <r>
    <x v="4"/>
    <n v="92"/>
    <x v="12"/>
    <x v="0"/>
    <n v="0"/>
    <n v="0"/>
    <n v="0"/>
    <n v="0"/>
    <x v="1"/>
    <x v="1"/>
    <n v="0"/>
    <n v="0"/>
    <n v="0"/>
    <n v="0"/>
    <s v="Pas d'écart"/>
    <n v="0"/>
  </r>
  <r>
    <x v="2"/>
    <n v="60"/>
    <x v="12"/>
    <x v="0"/>
    <n v="0"/>
    <n v="0"/>
    <n v="0"/>
    <n v="0"/>
    <x v="1"/>
    <x v="1"/>
    <n v="0"/>
    <n v="0"/>
    <n v="0"/>
    <n v="0"/>
    <s v="Pas d'écart"/>
    <n v="0"/>
  </r>
  <r>
    <x v="0"/>
    <n v="6"/>
    <x v="8"/>
    <x v="0"/>
    <n v="0"/>
    <n v="14.7"/>
    <n v="0.21"/>
    <n v="-14.7"/>
    <x v="0"/>
    <x v="1"/>
    <n v="0"/>
    <n v="14.7"/>
    <n v="0.21"/>
    <n v="-14.7"/>
    <s v="Ecart négatif"/>
    <n v="13.269999999999996"/>
  </r>
  <r>
    <x v="3"/>
    <n v="44"/>
    <x v="4"/>
    <x v="683"/>
    <n v="0.26481818181818179"/>
    <n v="29.700000000000003"/>
    <n v="0.27"/>
    <n v="-0.57000000000000384"/>
    <x v="0"/>
    <x v="1"/>
    <n v="0"/>
    <n v="29.700000000000003"/>
    <n v="0.27"/>
    <n v="-29.700000000000003"/>
    <s v="Ecart négatif"/>
    <n v="11.269999999999996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4"/>
    <n v="31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76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34.29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0"/>
    <n v="71"/>
    <x v="3"/>
    <x v="0"/>
    <n v="0"/>
    <n v="0"/>
    <n v="0"/>
    <n v="0"/>
    <x v="1"/>
    <x v="1"/>
    <n v="0"/>
    <n v="0"/>
    <n v="0"/>
    <n v="0"/>
    <s v="Pas d'écart"/>
    <n v="135.19999999999999"/>
  </r>
  <r>
    <x v="2"/>
    <n v="18"/>
    <x v="10"/>
    <x v="0"/>
    <n v="0"/>
    <n v="18"/>
    <n v="0.12"/>
    <n v="-18"/>
    <x v="0"/>
    <x v="1"/>
    <n v="0"/>
    <n v="18"/>
    <n v="0.12"/>
    <n v="-18"/>
    <s v="Ecart négatif"/>
    <n v="79.510000000000005"/>
  </r>
  <r>
    <x v="0"/>
    <n v="42"/>
    <x v="0"/>
    <x v="0"/>
    <n v="0"/>
    <n v="0"/>
    <n v="0"/>
    <n v="0"/>
    <x v="1"/>
    <x v="1"/>
    <n v="0"/>
    <n v="0"/>
    <n v="0"/>
    <n v="0"/>
    <s v="Pas d'écart"/>
    <n v="107.35"/>
  </r>
  <r>
    <x v="2"/>
    <n v="25"/>
    <x v="44"/>
    <x v="0"/>
    <n v="0"/>
    <n v="37.199999999999996"/>
    <n v="0.11999999999999998"/>
    <n v="-37.199999999999996"/>
    <x v="0"/>
    <x v="1"/>
    <n v="0"/>
    <n v="37.199999999999996"/>
    <n v="0.11999999999999998"/>
    <n v="-37.199999999999996"/>
    <s v="Ecart négatif"/>
    <n v="202.4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13"/>
    <x v="3"/>
    <x v="0"/>
    <n v="0"/>
    <n v="39.9"/>
    <n v="0.19"/>
    <n v="-39.9"/>
    <x v="0"/>
    <x v="1"/>
    <n v="0"/>
    <n v="39.9"/>
    <n v="0.19"/>
    <n v="-39.9"/>
    <s v="Ecart négatif"/>
    <n v="112.34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4"/>
    <n v="56"/>
    <x v="27"/>
    <x v="684"/>
    <n v="0.26500000000000001"/>
    <n v="13.5"/>
    <n v="0.27"/>
    <n v="-0.25"/>
    <x v="0"/>
    <x v="1"/>
    <n v="0"/>
    <n v="13.5"/>
    <n v="0.27"/>
    <n v="-13.5"/>
    <s v="Ecart négatif"/>
    <n v="0"/>
  </r>
  <r>
    <x v="2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26"/>
    <x v="12"/>
    <x v="0"/>
    <n v="0"/>
    <n v="0"/>
    <n v="0"/>
    <n v="0"/>
    <x v="1"/>
    <x v="1"/>
    <n v="0"/>
    <n v="0"/>
    <n v="0"/>
    <n v="0"/>
    <s v="Pas d'écart"/>
    <n v="47.76"/>
  </r>
  <r>
    <x v="2"/>
    <n v="24"/>
    <x v="9"/>
    <x v="0"/>
    <n v="0"/>
    <n v="13.600000000000001"/>
    <n v="0.17"/>
    <n v="-13.600000000000001"/>
    <x v="0"/>
    <x v="84"/>
    <n v="0.15637499999999999"/>
    <n v="13.600000000000001"/>
    <n v="0.17"/>
    <n v="-1.0900000000000016"/>
    <s v="Ecart négatif"/>
    <n v="70.19"/>
  </r>
  <r>
    <x v="2"/>
    <n v="16"/>
    <x v="8"/>
    <x v="0"/>
    <n v="0"/>
    <n v="11.9"/>
    <n v="0.17"/>
    <n v="-11.9"/>
    <x v="0"/>
    <x v="139"/>
    <n v="0.152"/>
    <n v="11.9"/>
    <n v="0.17"/>
    <n v="-1.2599999999999998"/>
    <s v="Ecart négatif"/>
    <n v="66.36"/>
  </r>
  <r>
    <x v="0"/>
    <n v="84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07.35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98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0"/>
    <n v="85"/>
    <x v="7"/>
    <x v="0"/>
    <n v="0"/>
    <n v="0"/>
    <n v="0"/>
    <n v="0"/>
    <x v="1"/>
    <x v="1"/>
    <n v="0"/>
    <n v="0"/>
    <n v="0"/>
    <n v="0"/>
    <s v="Pas d'écart"/>
    <n v="19.3"/>
  </r>
  <r>
    <x v="2"/>
    <n v="34"/>
    <x v="2"/>
    <x v="0"/>
    <n v="0"/>
    <n v="39.200000000000003"/>
    <n v="0.28000000000000003"/>
    <n v="-39.200000000000003"/>
    <x v="0"/>
    <x v="1"/>
    <n v="0"/>
    <n v="39.200000000000003"/>
    <n v="0.28000000000000003"/>
    <n v="-39.200000000000003"/>
    <s v="Ecart négatif"/>
    <n v="78.8"/>
  </r>
  <r>
    <x v="0"/>
    <n v="38"/>
    <x v="3"/>
    <x v="0"/>
    <n v="0"/>
    <n v="0"/>
    <n v="0"/>
    <n v="0"/>
    <x v="1"/>
    <x v="78"/>
    <n v="0.25842857142857145"/>
    <n v="0"/>
    <n v="0"/>
    <n v="54.27"/>
    <s v="Ecart positif"/>
    <n v="135.1999999999999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0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25.37"/>
  </r>
  <r>
    <x v="5"/>
    <n v="84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6"/>
    <n v="2"/>
    <x v="11"/>
    <x v="0"/>
    <n v="0"/>
    <n v="10.799999999999999"/>
    <n v="0.18"/>
    <n v="-10.799999999999999"/>
    <x v="0"/>
    <x v="1"/>
    <n v="0"/>
    <n v="10.799999999999999"/>
    <n v="0.18"/>
    <n v="-10.799999999999999"/>
    <s v="Ecart négatif"/>
    <n v="18.520000000000003"/>
  </r>
  <r>
    <x v="2"/>
    <n v="6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73.41"/>
  </r>
  <r>
    <x v="0"/>
    <n v="61"/>
    <x v="18"/>
    <x v="0"/>
    <n v="0"/>
    <n v="15.3"/>
    <n v="0.17"/>
    <n v="-15.3"/>
    <x v="0"/>
    <x v="1"/>
    <n v="0"/>
    <n v="15.3"/>
    <n v="0.17"/>
    <n v="-15.3"/>
    <s v="Ecart négatif"/>
    <n v="75.19"/>
  </r>
  <r>
    <x v="0"/>
    <n v="61"/>
    <x v="27"/>
    <x v="0"/>
    <n v="0"/>
    <n v="8.5"/>
    <n v="0.17"/>
    <n v="-8.5"/>
    <x v="0"/>
    <x v="1"/>
    <n v="0"/>
    <n v="8.5"/>
    <n v="0.17"/>
    <n v="-8.5"/>
    <s v="Ecart négatif"/>
    <n v="50.15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59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33"/>
    <x v="2"/>
    <x v="0"/>
    <n v="0"/>
    <n v="23.8"/>
    <n v="0.17"/>
    <n v="-23.8"/>
    <x v="0"/>
    <x v="96"/>
    <n v="0.15828571428571428"/>
    <n v="23.8"/>
    <n v="0.17"/>
    <n v="-1.6400000000000006"/>
    <s v="Ecart négatif"/>
    <n v="65.680000000000007"/>
  </r>
  <r>
    <x v="0"/>
    <n v="75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8"/>
    <n v="51"/>
    <x v="16"/>
    <x v="0"/>
    <n v="0"/>
    <n v="50"/>
    <n v="0.25"/>
    <n v="-50"/>
    <x v="0"/>
    <x v="1"/>
    <n v="0"/>
    <n v="50"/>
    <n v="0.25"/>
    <n v="-50"/>
    <s v="Ecart négatif"/>
    <n v="76.650000000000006"/>
  </r>
  <r>
    <x v="2"/>
    <n v="88"/>
    <x v="6"/>
    <x v="0"/>
    <n v="0"/>
    <n v="12.8"/>
    <n v="0.08"/>
    <n v="-12.8"/>
    <x v="0"/>
    <x v="293"/>
    <n v="7.6812499999999992E-2"/>
    <n v="12.8"/>
    <n v="0.08"/>
    <n v="-0.51000000000000156"/>
    <s v="Ecart négatif"/>
    <n v="85.09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2"/>
    <n v="44"/>
    <x v="6"/>
    <x v="0"/>
    <n v="0"/>
    <n v="0"/>
    <n v="0"/>
    <n v="0"/>
    <x v="1"/>
    <x v="1"/>
    <n v="0"/>
    <n v="0"/>
    <n v="0"/>
    <n v="0"/>
    <s v="Pas d'écart"/>
    <n v="0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2"/>
    <n v="62"/>
    <x v="16"/>
    <x v="0"/>
    <n v="0"/>
    <n v="0"/>
    <n v="0"/>
    <n v="0"/>
    <x v="1"/>
    <x v="1"/>
    <n v="0"/>
    <n v="0"/>
    <n v="0"/>
    <n v="0"/>
    <s v="Pas d'écart"/>
    <n v="129.61000000000001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5"/>
    <n v="63"/>
    <x v="12"/>
    <x v="685"/>
    <n v="0.55999999999999994"/>
    <n v="11.6"/>
    <n v="0.28999999999999998"/>
    <n v="10.799999999999999"/>
    <x v="2"/>
    <x v="1"/>
    <n v="0"/>
    <n v="11.6"/>
    <n v="0.28999999999999998"/>
    <n v="-11.6"/>
    <s v="Ecart négatif"/>
    <n v="34.29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76.56"/>
  </r>
  <r>
    <x v="1"/>
    <n v="68"/>
    <x v="7"/>
    <x v="0"/>
    <n v="0"/>
    <n v="8.6999999999999993"/>
    <n v="0.28999999999999998"/>
    <n v="-8.6999999999999993"/>
    <x v="0"/>
    <x v="1"/>
    <n v="0"/>
    <n v="8.6999999999999993"/>
    <n v="0.28999999999999998"/>
    <n v="-8.6999999999999993"/>
    <s v="Ecart négatif"/>
    <n v="4.07"/>
  </r>
  <r>
    <x v="2"/>
    <n v="59"/>
    <x v="0"/>
    <x v="0"/>
    <n v="0"/>
    <n v="0"/>
    <n v="0"/>
    <n v="0"/>
    <x v="1"/>
    <x v="1"/>
    <n v="0"/>
    <n v="0"/>
    <n v="0"/>
    <n v="0"/>
    <s v="Pas d'écart"/>
    <n v="0"/>
  </r>
  <r>
    <x v="0"/>
    <n v="88"/>
    <x v="15"/>
    <x v="0"/>
    <n v="0"/>
    <n v="1.6"/>
    <n v="0.08"/>
    <n v="-1.6"/>
    <x v="0"/>
    <x v="1"/>
    <n v="0"/>
    <n v="1.6"/>
    <n v="0.08"/>
    <n v="-1.6"/>
    <s v="Ecart négatif"/>
    <n v="3.2800000000000011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6"/>
    <n v="54"/>
    <x v="6"/>
    <x v="241"/>
    <n v="0.23593749999999999"/>
    <n v="40"/>
    <n v="0.25"/>
    <n v="-2.25"/>
    <x v="0"/>
    <x v="1"/>
    <n v="0"/>
    <n v="40"/>
    <n v="0.25"/>
    <n v="-40"/>
    <s v="Ecart négatif"/>
    <n v="76.56"/>
  </r>
  <r>
    <x v="2"/>
    <n v="38"/>
    <x v="8"/>
    <x v="0"/>
    <n v="0"/>
    <n v="0"/>
    <n v="0"/>
    <n v="0"/>
    <x v="1"/>
    <x v="1"/>
    <n v="0"/>
    <n v="0"/>
    <n v="0"/>
    <n v="0"/>
    <s v="Pas d'écart"/>
    <n v="61.48"/>
  </r>
  <r>
    <x v="2"/>
    <n v="68"/>
    <x v="8"/>
    <x v="0"/>
    <n v="0"/>
    <n v="5.6000000000000005"/>
    <n v="0.08"/>
    <n v="-5.6000000000000005"/>
    <x v="0"/>
    <x v="294"/>
    <n v="7.8857142857142848E-2"/>
    <n v="5.6000000000000005"/>
    <n v="0.08"/>
    <n v="-8.0000000000000959E-2"/>
    <s v="Ecart négatif"/>
    <n v="0"/>
  </r>
  <r>
    <x v="2"/>
    <n v="4"/>
    <x v="20"/>
    <x v="0"/>
    <n v="0"/>
    <n v="47.5"/>
    <n v="0.19"/>
    <n v="-47.5"/>
    <x v="0"/>
    <x v="1"/>
    <n v="0"/>
    <n v="47.5"/>
    <n v="0.19"/>
    <n v="-47.5"/>
    <s v="Ecart négatif"/>
    <n v="171.22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2"/>
    <n v="14"/>
    <x v="2"/>
    <x v="0"/>
    <n v="0"/>
    <n v="23.8"/>
    <n v="0.17"/>
    <n v="-23.8"/>
    <x v="0"/>
    <x v="40"/>
    <n v="0.17"/>
    <n v="23.8"/>
    <n v="0.17"/>
    <n v="0"/>
    <s v="Pas d'écart"/>
    <n v="0"/>
  </r>
  <r>
    <x v="2"/>
    <n v="14"/>
    <x v="2"/>
    <x v="0"/>
    <n v="0"/>
    <n v="23.8"/>
    <n v="0.17"/>
    <n v="-23.8"/>
    <x v="0"/>
    <x v="40"/>
    <n v="0.17"/>
    <n v="23.8"/>
    <n v="0.17"/>
    <n v="0"/>
    <s v="Pas d'écart"/>
    <n v="0"/>
  </r>
  <r>
    <x v="1"/>
    <n v="77"/>
    <x v="38"/>
    <x v="0"/>
    <n v="0"/>
    <n v="0"/>
    <n v="0"/>
    <n v="0"/>
    <x v="1"/>
    <x v="1"/>
    <n v="0"/>
    <n v="0"/>
    <n v="0"/>
    <n v="0"/>
    <s v="Pas d'écart"/>
    <n v="109.43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49"/>
    <x v="12"/>
    <x v="95"/>
    <n v="0.27"/>
    <n v="10.8"/>
    <n v="0.27"/>
    <n v="0"/>
    <x v="1"/>
    <x v="1"/>
    <n v="0"/>
    <n v="10.8"/>
    <n v="0.27"/>
    <n v="-10.8"/>
    <s v="Ecart négatif"/>
    <n v="8.2899999999999991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6"/>
    <n v="94"/>
    <x v="0"/>
    <x v="0"/>
    <n v="0"/>
    <n v="0"/>
    <n v="0"/>
    <n v="0"/>
    <x v="1"/>
    <x v="1"/>
    <n v="0"/>
    <n v="0"/>
    <n v="0"/>
    <n v="0"/>
    <s v="Pas d'écart"/>
    <n v="60.27"/>
  </r>
  <r>
    <x v="8"/>
    <n v="35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0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6"/>
    <n v="75"/>
    <x v="0"/>
    <x v="0"/>
    <n v="0"/>
    <n v="0"/>
    <n v="0"/>
    <n v="0"/>
    <x v="1"/>
    <x v="1"/>
    <n v="0"/>
    <n v="0"/>
    <n v="0"/>
    <n v="0"/>
    <s v="Pas d'écart"/>
    <n v="0"/>
  </r>
  <r>
    <x v="3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2"/>
    <n v="69"/>
    <x v="27"/>
    <x v="0"/>
    <n v="0"/>
    <n v="0"/>
    <n v="0"/>
    <n v="0"/>
    <x v="1"/>
    <x v="1"/>
    <n v="0"/>
    <n v="0"/>
    <n v="0"/>
    <n v="0"/>
    <s v="Pas d'écart"/>
    <n v="0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4"/>
    <n v="56"/>
    <x v="27"/>
    <x v="684"/>
    <n v="0.26500000000000001"/>
    <n v="13.5"/>
    <n v="0.27"/>
    <n v="-0.25"/>
    <x v="0"/>
    <x v="1"/>
    <n v="0"/>
    <n v="13.5"/>
    <n v="0.27"/>
    <n v="-13.5"/>
    <s v="Ecart négatif"/>
    <n v="22.0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4"/>
    <n v="56"/>
    <x v="27"/>
    <x v="684"/>
    <n v="0.26500000000000001"/>
    <n v="13.5"/>
    <n v="0.27"/>
    <n v="-0.25"/>
    <x v="0"/>
    <x v="1"/>
    <n v="0"/>
    <n v="13.5"/>
    <n v="0.27"/>
    <n v="-13.5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8"/>
    <n v="71"/>
    <x v="0"/>
    <x v="0"/>
    <n v="0"/>
    <n v="48.6"/>
    <n v="0.27"/>
    <n v="-48.6"/>
    <x v="0"/>
    <x v="1"/>
    <n v="0"/>
    <n v="48.6"/>
    <n v="0.27"/>
    <n v="-48.6"/>
    <s v="Ecart négatif"/>
    <n v="-8.6900000000000119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0"/>
    <n v="59"/>
    <x v="19"/>
    <x v="0"/>
    <n v="0"/>
    <n v="0"/>
    <n v="0"/>
    <n v="0"/>
    <x v="1"/>
    <x v="1"/>
    <n v="0"/>
    <n v="0"/>
    <n v="0"/>
    <n v="0"/>
    <s v="Pas d'écart"/>
    <n v="19.97999999999999"/>
  </r>
  <r>
    <x v="3"/>
    <n v="78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3"/>
    <n v="38"/>
    <x v="19"/>
    <x v="686"/>
    <n v="0.26500000000000001"/>
    <n v="51.300000000000004"/>
    <n v="0.27"/>
    <n v="-0.95000000000000284"/>
    <x v="0"/>
    <x v="1"/>
    <n v="0"/>
    <n v="51.300000000000004"/>
    <n v="0.27"/>
    <n v="-51.300000000000004"/>
    <s v="Ecart négatif"/>
    <n v="23.700000000000003"/>
  </r>
  <r>
    <x v="2"/>
    <n v="77"/>
    <x v="2"/>
    <x v="0"/>
    <n v="0"/>
    <n v="0"/>
    <n v="0"/>
    <n v="0"/>
    <x v="1"/>
    <x v="1"/>
    <n v="0"/>
    <n v="0"/>
    <n v="0"/>
    <n v="0"/>
    <s v="Pas d'écart"/>
    <n v="0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2"/>
    <n v="44"/>
    <x v="13"/>
    <x v="0"/>
    <n v="0"/>
    <n v="0"/>
    <n v="0"/>
    <n v="0"/>
    <x v="1"/>
    <x v="1"/>
    <n v="0"/>
    <n v="0"/>
    <n v="0"/>
    <n v="0"/>
    <s v="Pas d'écart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2"/>
    <n v="42"/>
    <x v="18"/>
    <x v="0"/>
    <n v="0"/>
    <n v="0"/>
    <n v="0"/>
    <n v="0"/>
    <x v="1"/>
    <x v="1"/>
    <n v="0"/>
    <n v="0"/>
    <n v="0"/>
    <n v="0"/>
    <s v="Pas d'écart"/>
    <n v="0"/>
  </r>
  <r>
    <x v="2"/>
    <n v="78"/>
    <x v="15"/>
    <x v="0"/>
    <n v="0"/>
    <n v="0"/>
    <n v="0"/>
    <n v="0"/>
    <x v="1"/>
    <x v="1"/>
    <n v="0"/>
    <n v="0"/>
    <n v="0"/>
    <n v="0"/>
    <s v="Pas d'écart"/>
    <n v="0"/>
  </r>
  <r>
    <x v="2"/>
    <n v="93"/>
    <x v="20"/>
    <x v="0"/>
    <n v="0"/>
    <n v="0"/>
    <n v="0"/>
    <n v="0"/>
    <x v="1"/>
    <x v="1"/>
    <n v="0"/>
    <n v="0"/>
    <n v="0"/>
    <n v="0"/>
    <s v="Pas d'écart"/>
    <n v="73.28"/>
  </r>
  <r>
    <x v="3"/>
    <n v="35"/>
    <x v="14"/>
    <x v="687"/>
    <n v="0.26500000000000001"/>
    <n v="35.1"/>
    <n v="0.27"/>
    <n v="-0.64999999999999858"/>
    <x v="0"/>
    <x v="1"/>
    <n v="0"/>
    <n v="35.1"/>
    <n v="0.27"/>
    <n v="-35.1"/>
    <s v="Ecart négatif"/>
    <n v="14.579999999999998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2"/>
    <n v="21"/>
    <x v="12"/>
    <x v="0"/>
    <n v="0"/>
    <n v="4.8"/>
    <n v="0.12"/>
    <n v="-4.8"/>
    <x v="0"/>
    <x v="1"/>
    <n v="0"/>
    <n v="4.8"/>
    <n v="0.12"/>
    <n v="-4.8"/>
    <s v="Ecart négatif"/>
    <n v="34.29"/>
  </r>
  <r>
    <x v="0"/>
    <n v="63"/>
    <x v="18"/>
    <x v="0"/>
    <n v="0"/>
    <n v="10.799999999999999"/>
    <n v="0.11999999999999998"/>
    <n v="-10.799999999999999"/>
    <x v="0"/>
    <x v="1"/>
    <n v="0"/>
    <n v="10.799999999999999"/>
    <n v="0.11999999999999998"/>
    <n v="-10.799999999999999"/>
    <s v="Ecart négatif"/>
    <n v="50.16"/>
  </r>
  <r>
    <x v="2"/>
    <n v="91"/>
    <x v="14"/>
    <x v="0"/>
    <n v="0"/>
    <n v="0"/>
    <n v="0"/>
    <n v="0"/>
    <x v="1"/>
    <x v="1"/>
    <n v="0"/>
    <n v="0"/>
    <n v="0"/>
    <n v="0"/>
    <s v="Pas d'écart"/>
    <n v="50.09"/>
  </r>
  <r>
    <x v="2"/>
    <n v="84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07.35"/>
  </r>
  <r>
    <x v="3"/>
    <n v="56"/>
    <x v="27"/>
    <x v="684"/>
    <n v="0.26500000000000001"/>
    <n v="13.5"/>
    <n v="0.27"/>
    <n v="-0.25"/>
    <x v="0"/>
    <x v="1"/>
    <n v="0"/>
    <n v="13.5"/>
    <n v="0.27"/>
    <n v="-13.5"/>
    <s v="Ecart négatif"/>
    <n v="8.8100000000000023"/>
  </r>
  <r>
    <x v="0"/>
    <n v="54"/>
    <x v="4"/>
    <x v="0"/>
    <n v="0"/>
    <n v="27.5"/>
    <n v="0.25"/>
    <n v="-27.5"/>
    <x v="0"/>
    <x v="77"/>
    <n v="0.24572727272727274"/>
    <n v="27.5"/>
    <n v="0.25"/>
    <n v="-0.46999999999999886"/>
    <s v="Ecart négatif"/>
    <n v="56.37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0"/>
    <n v="54"/>
    <x v="6"/>
    <x v="0"/>
    <n v="0"/>
    <n v="40"/>
    <n v="0.25"/>
    <n v="-40"/>
    <x v="0"/>
    <x v="1"/>
    <n v="0"/>
    <n v="40"/>
    <n v="0.25"/>
    <n v="-40"/>
    <s v="Ecart négatif"/>
    <n v="76.56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25"/>
    <x v="11"/>
    <x v="0"/>
    <n v="0"/>
    <n v="14.399999999999999"/>
    <n v="0.23999999999999996"/>
    <n v="-14.399999999999999"/>
    <x v="0"/>
    <x v="1"/>
    <n v="0"/>
    <n v="14.399999999999999"/>
    <n v="0.23999999999999996"/>
    <n v="-14.399999999999999"/>
    <s v="Ecart négatif"/>
    <n v="30.849999999999998"/>
  </r>
  <r>
    <x v="0"/>
    <n v="77"/>
    <x v="16"/>
    <x v="0"/>
    <n v="0"/>
    <n v="0"/>
    <n v="0"/>
    <n v="0"/>
    <x v="1"/>
    <x v="1"/>
    <n v="0"/>
    <n v="0"/>
    <n v="0"/>
    <n v="0"/>
    <s v="Pas d'écart"/>
    <n v="12.75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75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2"/>
    <n v="67"/>
    <x v="9"/>
    <x v="0"/>
    <n v="0"/>
    <n v="6.4"/>
    <n v="0.08"/>
    <n v="-6.4"/>
    <x v="0"/>
    <x v="1"/>
    <n v="0"/>
    <n v="6.4"/>
    <n v="0.08"/>
    <n v="-6.4"/>
    <s v="Ecart négatif"/>
    <n v="0"/>
  </r>
  <r>
    <x v="7"/>
    <n v="21"/>
    <x v="6"/>
    <x v="0"/>
    <n v="0"/>
    <n v="38.4"/>
    <n v="0.24"/>
    <n v="-38.4"/>
    <x v="0"/>
    <x v="1"/>
    <n v="0"/>
    <n v="38.4"/>
    <n v="0.24"/>
    <n v="-38.4"/>
    <s v="Ecart négatif"/>
    <n v="15.310000000000002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18.340000000000003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6"/>
    <n v="59"/>
    <x v="2"/>
    <x v="0"/>
    <n v="0"/>
    <n v="26.6"/>
    <n v="0.19"/>
    <n v="-26.6"/>
    <x v="0"/>
    <x v="1"/>
    <n v="0"/>
    <n v="26.6"/>
    <n v="0.19"/>
    <n v="-26.6"/>
    <s v="Ecart négatif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25"/>
    <x v="2"/>
    <x v="0"/>
    <n v="0"/>
    <n v="16.8"/>
    <n v="0.12000000000000001"/>
    <n v="-16.8"/>
    <x v="0"/>
    <x v="1"/>
    <n v="0"/>
    <n v="16.8"/>
    <n v="0.12000000000000001"/>
    <n v="-16.8"/>
    <s v="Ecart négatif"/>
    <n v="78.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5"/>
    <n v="63"/>
    <x v="7"/>
    <x v="353"/>
    <n v="0.56000000000000005"/>
    <n v="8.6999999999999993"/>
    <n v="0.28999999999999998"/>
    <n v="8.1000000000000014"/>
    <x v="2"/>
    <x v="1"/>
    <n v="0"/>
    <n v="8.6999999999999993"/>
    <n v="0.28999999999999998"/>
    <n v="-8.6999999999999993"/>
    <s v="Ecart négatif"/>
    <n v="20.079999999999998"/>
  </r>
  <r>
    <x v="6"/>
    <n v="37"/>
    <x v="11"/>
    <x v="0"/>
    <n v="0"/>
    <n v="11.4"/>
    <n v="0.19"/>
    <n v="-11.4"/>
    <x v="0"/>
    <x v="1"/>
    <n v="0"/>
    <n v="11.4"/>
    <n v="0.19"/>
    <n v="-11.4"/>
    <s v="Ecart négatif"/>
    <n v="-15.780000000000001"/>
  </r>
  <r>
    <x v="0"/>
    <n v="75"/>
    <x v="6"/>
    <x v="0"/>
    <n v="0"/>
    <n v="0"/>
    <n v="0"/>
    <n v="0"/>
    <x v="1"/>
    <x v="1"/>
    <n v="0"/>
    <n v="0"/>
    <n v="0"/>
    <n v="0"/>
    <s v="Pas d'écart"/>
    <n v="56.79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9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35"/>
    <x v="2"/>
    <x v="688"/>
    <n v="0.26507142857142857"/>
    <n v="37.800000000000004"/>
    <n v="0.27"/>
    <n v="-0.69000000000000483"/>
    <x v="0"/>
    <x v="1"/>
    <n v="0"/>
    <n v="37.800000000000004"/>
    <n v="0.27"/>
    <n v="-37.800000000000004"/>
    <s v="Ecart négatif"/>
    <n v="14.6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5"/>
    <n v="50"/>
    <x v="18"/>
    <x v="0"/>
    <n v="0"/>
    <n v="15.3"/>
    <n v="0.17"/>
    <n v="-15.3"/>
    <x v="0"/>
    <x v="1"/>
    <n v="0"/>
    <n v="15.3"/>
    <n v="0.17"/>
    <n v="-15.3"/>
    <s v="Ecart négatif"/>
    <n v="15.04"/>
  </r>
  <r>
    <x v="0"/>
    <n v="6"/>
    <x v="9"/>
    <x v="0"/>
    <n v="0"/>
    <n v="16.8"/>
    <n v="0.21000000000000002"/>
    <n v="-16.8"/>
    <x v="0"/>
    <x v="295"/>
    <n v="0.29625000000000001"/>
    <n v="16.8"/>
    <n v="0.21000000000000002"/>
    <n v="6.8999999999999986"/>
    <s v="Ecart positif"/>
    <n v="14.89"/>
  </r>
  <r>
    <x v="3"/>
    <n v="71"/>
    <x v="2"/>
    <x v="688"/>
    <n v="0.26507142857142857"/>
    <n v="37.800000000000004"/>
    <n v="0.27"/>
    <n v="-0.69000000000000483"/>
    <x v="0"/>
    <x v="1"/>
    <n v="0"/>
    <n v="37.800000000000004"/>
    <n v="0.27"/>
    <n v="-37.800000000000004"/>
    <s v="Ecart négatif"/>
    <n v="14.6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2"/>
    <n v="67"/>
    <x v="20"/>
    <x v="0"/>
    <n v="0"/>
    <n v="20"/>
    <n v="0.08"/>
    <n v="-20"/>
    <x v="0"/>
    <x v="1"/>
    <n v="0"/>
    <n v="20"/>
    <n v="0.08"/>
    <n v="-20"/>
    <s v="Ecart négatif"/>
    <n v="0"/>
  </r>
  <r>
    <x v="3"/>
    <n v="73"/>
    <x v="2"/>
    <x v="688"/>
    <n v="0.26507142857142857"/>
    <n v="37.800000000000004"/>
    <n v="0.27"/>
    <n v="-0.69000000000000483"/>
    <x v="0"/>
    <x v="1"/>
    <n v="0"/>
    <n v="37.800000000000004"/>
    <n v="0.27"/>
    <n v="-37.800000000000004"/>
    <s v="Ecart négatif"/>
    <n v="15.759999999999998"/>
  </r>
  <r>
    <x v="8"/>
    <n v="75"/>
    <x v="16"/>
    <x v="0"/>
    <n v="0"/>
    <n v="0"/>
    <n v="0"/>
    <n v="0"/>
    <x v="1"/>
    <x v="1"/>
    <n v="0"/>
    <n v="0"/>
    <n v="0"/>
    <n v="0"/>
    <s v="Pas d'écart"/>
    <n v="0"/>
  </r>
  <r>
    <x v="2"/>
    <n v="13"/>
    <x v="4"/>
    <x v="0"/>
    <n v="0"/>
    <n v="20.9"/>
    <n v="0.18999999999999997"/>
    <n v="-20.9"/>
    <x v="0"/>
    <x v="1"/>
    <n v="0"/>
    <n v="20.9"/>
    <n v="0.18999999999999997"/>
    <n v="-20.9"/>
    <s v="Ecart négatif"/>
    <n v="0"/>
  </r>
  <r>
    <x v="0"/>
    <n v="37"/>
    <x v="14"/>
    <x v="0"/>
    <n v="0"/>
    <n v="15.6"/>
    <n v="0.12"/>
    <n v="-15.6"/>
    <x v="0"/>
    <x v="1"/>
    <n v="0"/>
    <n v="15.6"/>
    <n v="0.12"/>
    <n v="-15.6"/>
    <s v="Ecart négatif"/>
    <n v="12.519999999999996"/>
  </r>
  <r>
    <x v="3"/>
    <n v="26"/>
    <x v="2"/>
    <x v="688"/>
    <n v="0.26507142857142857"/>
    <n v="37.800000000000004"/>
    <n v="0.27"/>
    <n v="-0.69000000000000483"/>
    <x v="0"/>
    <x v="1"/>
    <n v="0"/>
    <n v="37.800000000000004"/>
    <n v="0.27"/>
    <n v="-37.800000000000004"/>
    <s v="Ecart négatif"/>
    <n v="15.759999999999998"/>
  </r>
  <r>
    <x v="3"/>
    <n v="13"/>
    <x v="12"/>
    <x v="66"/>
    <n v="0.26524999999999999"/>
    <n v="11.6"/>
    <n v="0.28999999999999998"/>
    <n v="-0.99000000000000021"/>
    <x v="0"/>
    <x v="1"/>
    <n v="0"/>
    <n v="11.6"/>
    <n v="0.28999999999999998"/>
    <n v="-11.6"/>
    <s v="Ecart négatif"/>
    <n v="6.8599999999999994"/>
  </r>
  <r>
    <x v="2"/>
    <n v="68"/>
    <x v="0"/>
    <x v="0"/>
    <n v="0"/>
    <n v="14.4"/>
    <n v="0.08"/>
    <n v="-14.4"/>
    <x v="0"/>
    <x v="102"/>
    <n v="0.08"/>
    <n v="14.4"/>
    <n v="0.08"/>
    <n v="0"/>
    <s v="Pas d'écart"/>
    <n v="0"/>
  </r>
  <r>
    <x v="0"/>
    <n v="67"/>
    <x v="27"/>
    <x v="0"/>
    <n v="0"/>
    <n v="4"/>
    <n v="0.08"/>
    <n v="-4"/>
    <x v="0"/>
    <x v="1"/>
    <n v="0"/>
    <n v="4"/>
    <n v="0.08"/>
    <n v="-4"/>
    <s v="Ecart négatif"/>
    <n v="8.0399999999999991"/>
  </r>
  <r>
    <x v="2"/>
    <n v="75"/>
    <x v="2"/>
    <x v="0"/>
    <n v="0"/>
    <n v="0"/>
    <n v="0"/>
    <n v="0"/>
    <x v="1"/>
    <x v="1"/>
    <n v="0"/>
    <n v="0"/>
    <n v="0"/>
    <n v="0"/>
    <s v="Pas d'écart"/>
    <n v="0"/>
  </r>
  <r>
    <x v="0"/>
    <n v="35"/>
    <x v="7"/>
    <x v="0"/>
    <n v="0"/>
    <n v="0"/>
    <n v="0"/>
    <n v="0"/>
    <x v="1"/>
    <x v="1"/>
    <n v="0"/>
    <n v="0"/>
    <n v="0"/>
    <n v="0"/>
    <s v="Pas d'écart"/>
    <n v="18.57"/>
  </r>
  <r>
    <x v="4"/>
    <n v="69"/>
    <x v="2"/>
    <x v="689"/>
    <n v="0.26535714285714285"/>
    <n v="37.800000000000004"/>
    <n v="0.27"/>
    <n v="-0.65000000000000568"/>
    <x v="0"/>
    <x v="1"/>
    <n v="0"/>
    <n v="37.800000000000004"/>
    <n v="0.27"/>
    <n v="-37.800000000000004"/>
    <s v="Ecart négatif"/>
    <n v="0"/>
  </r>
  <r>
    <x v="4"/>
    <n v="69"/>
    <x v="14"/>
    <x v="690"/>
    <n v="0.26546153846153847"/>
    <n v="35.1"/>
    <n v="0.27"/>
    <n v="-0.59000000000000341"/>
    <x v="0"/>
    <x v="1"/>
    <n v="0"/>
    <n v="35.1"/>
    <n v="0.27"/>
    <n v="-35.1"/>
    <s v="Ecart négatif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2"/>
    <n v="25"/>
    <x v="9"/>
    <x v="0"/>
    <n v="0"/>
    <n v="9.6"/>
    <n v="0.12"/>
    <n v="-9.6"/>
    <x v="0"/>
    <x v="296"/>
    <n v="0.11325"/>
    <n v="9.6"/>
    <n v="0.12"/>
    <n v="-0.53999999999999915"/>
    <s v="Ecart négatif"/>
    <n v="0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13"/>
    <x v="12"/>
    <x v="0"/>
    <n v="0"/>
    <n v="7.6"/>
    <n v="0.19"/>
    <n v="-7.6"/>
    <x v="0"/>
    <x v="1"/>
    <n v="0"/>
    <n v="7.6"/>
    <n v="0.19"/>
    <n v="-7.6"/>
    <s v="Ecart négatif"/>
    <n v="34.29"/>
  </r>
  <r>
    <x v="2"/>
    <n v="39"/>
    <x v="6"/>
    <x v="0"/>
    <n v="0"/>
    <n v="0"/>
    <n v="0"/>
    <n v="0"/>
    <x v="1"/>
    <x v="1"/>
    <n v="0"/>
    <n v="0"/>
    <n v="0"/>
    <n v="0"/>
    <s v="Pas d'écart"/>
    <n v="91.69"/>
  </r>
  <r>
    <x v="2"/>
    <n v="26"/>
    <x v="33"/>
    <x v="0"/>
    <n v="0"/>
    <n v="0"/>
    <n v="0"/>
    <n v="0"/>
    <x v="1"/>
    <x v="1"/>
    <n v="0"/>
    <n v="0"/>
    <n v="0"/>
    <n v="0"/>
    <s v="Pas d'écart"/>
    <n v="189.72"/>
  </r>
  <r>
    <x v="2"/>
    <n v="80"/>
    <x v="12"/>
    <x v="0"/>
    <n v="0"/>
    <n v="0"/>
    <n v="0"/>
    <n v="0"/>
    <x v="1"/>
    <x v="1"/>
    <n v="0"/>
    <n v="0"/>
    <n v="0"/>
    <n v="0"/>
    <s v="Pas d'écart"/>
    <n v="41.47"/>
  </r>
  <r>
    <x v="0"/>
    <n v="61"/>
    <x v="2"/>
    <x v="0"/>
    <n v="0"/>
    <n v="23.8"/>
    <n v="0.17"/>
    <n v="-23.8"/>
    <x v="0"/>
    <x v="40"/>
    <n v="0.17"/>
    <n v="23.8"/>
    <n v="0.17"/>
    <n v="0"/>
    <s v="Pas d'écart"/>
    <n v="78.8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27"/>
    <x v="2"/>
    <x v="0"/>
    <n v="0"/>
    <n v="23.8"/>
    <n v="0.17"/>
    <n v="-23.8"/>
    <x v="0"/>
    <x v="1"/>
    <n v="0"/>
    <n v="23.8"/>
    <n v="0.17"/>
    <n v="-23.8"/>
    <s v="Ecart négatif"/>
    <n v="73.41"/>
  </r>
  <r>
    <x v="2"/>
    <n v="32"/>
    <x v="0"/>
    <x v="0"/>
    <n v="0"/>
    <n v="46.800000000000004"/>
    <n v="0.26"/>
    <n v="-46.800000000000004"/>
    <x v="0"/>
    <x v="64"/>
    <n v="0.27"/>
    <n v="46.800000000000004"/>
    <n v="0.26"/>
    <n v="1.7999999999999972"/>
    <s v="Ecart positif"/>
    <n v="107.35"/>
  </r>
  <r>
    <x v="6"/>
    <n v="94"/>
    <x v="2"/>
    <x v="0"/>
    <n v="0"/>
    <n v="0"/>
    <n v="0"/>
    <n v="0"/>
    <x v="1"/>
    <x v="1"/>
    <n v="0"/>
    <n v="0"/>
    <n v="0"/>
    <n v="0"/>
    <s v="Pas d'écart"/>
    <n v="0"/>
  </r>
  <r>
    <x v="0"/>
    <n v="76"/>
    <x v="29"/>
    <x v="0"/>
    <n v="0"/>
    <n v="68"/>
    <n v="0.17"/>
    <n v="-68"/>
    <x v="0"/>
    <x v="1"/>
    <n v="0"/>
    <n v="68"/>
    <n v="0.17"/>
    <n v="-68"/>
    <s v="Ecart négatif"/>
    <n v="177.89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7"/>
    <n v="8"/>
    <x v="2"/>
    <x v="0"/>
    <n v="0"/>
    <n v="25.2"/>
    <n v="0.18"/>
    <n v="-25.2"/>
    <x v="0"/>
    <x v="1"/>
    <n v="0"/>
    <n v="25.2"/>
    <n v="0.18"/>
    <n v="-25.2"/>
    <s v="Ecart négatif"/>
    <n v="15.759999999999998"/>
  </r>
  <r>
    <x v="5"/>
    <n v="98"/>
    <x v="0"/>
    <x v="692"/>
    <n v="0.28916666666666663"/>
    <n v="48.6"/>
    <n v="0.27"/>
    <n v="3.4499999999999957"/>
    <x v="2"/>
    <x v="1"/>
    <n v="0"/>
    <n v="48.6"/>
    <n v="0.27"/>
    <n v="-48.6"/>
    <s v="Ecart négatif"/>
    <n v="116.04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2"/>
    <n v="67"/>
    <x v="15"/>
    <x v="0"/>
    <n v="0"/>
    <n v="1.6"/>
    <n v="0.08"/>
    <n v="-1.6"/>
    <x v="0"/>
    <x v="297"/>
    <n v="7.85E-2"/>
    <n v="1.6"/>
    <n v="0.08"/>
    <n v="-3.0000000000000027E-2"/>
    <s v="Ecart négatif"/>
    <n v="16.93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7"/>
    <n v="45"/>
    <x v="2"/>
    <x v="0"/>
    <n v="0"/>
    <n v="29.4"/>
    <n v="0.21"/>
    <n v="-29.4"/>
    <x v="0"/>
    <x v="1"/>
    <n v="0"/>
    <n v="29.4"/>
    <n v="0.21"/>
    <n v="-29.4"/>
    <s v="Ecart négatif"/>
    <n v="14.68"/>
  </r>
  <r>
    <x v="7"/>
    <n v="45"/>
    <x v="2"/>
    <x v="0"/>
    <n v="0"/>
    <n v="29.4"/>
    <n v="0.21"/>
    <n v="-29.4"/>
    <x v="0"/>
    <x v="1"/>
    <n v="0"/>
    <n v="29.4"/>
    <n v="0.21"/>
    <n v="-29.4"/>
    <s v="Ecart négatif"/>
    <n v="14.68"/>
  </r>
  <r>
    <x v="2"/>
    <n v="69"/>
    <x v="7"/>
    <x v="0"/>
    <n v="0"/>
    <n v="0"/>
    <n v="0"/>
    <n v="0"/>
    <x v="1"/>
    <x v="1"/>
    <n v="0"/>
    <n v="0"/>
    <n v="0"/>
    <n v="0"/>
    <s v="Pas d'écart"/>
    <n v="18.93"/>
  </r>
  <r>
    <x v="5"/>
    <n v="59"/>
    <x v="1"/>
    <x v="0"/>
    <n v="0"/>
    <n v="22.8"/>
    <n v="0.19"/>
    <n v="-22.8"/>
    <x v="0"/>
    <x v="23"/>
    <n v="0.28999999999999998"/>
    <n v="22.8"/>
    <n v="0.19"/>
    <n v="11.999999999999996"/>
    <s v="Ecart positif"/>
    <n v="1.6000000000000014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9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0"/>
    <n v="67"/>
    <x v="13"/>
    <x v="0"/>
    <n v="0"/>
    <n v="13.6"/>
    <n v="0.08"/>
    <n v="-13.6"/>
    <x v="0"/>
    <x v="298"/>
    <n v="7.6999999999999999E-2"/>
    <n v="13.6"/>
    <n v="0.08"/>
    <n v="-0.50999999999999979"/>
    <s v="Ecart négatif"/>
    <n v="16.87000000000000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7"/>
    <n v="44"/>
    <x v="1"/>
    <x v="0"/>
    <n v="0"/>
    <n v="32.400000000000006"/>
    <n v="0.27000000000000007"/>
    <n v="-32.400000000000006"/>
    <x v="0"/>
    <x v="1"/>
    <n v="0"/>
    <n v="32.400000000000006"/>
    <n v="0.27000000000000007"/>
    <n v="-32.400000000000006"/>
    <s v="Ecart négatif"/>
    <n v="11.89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6"/>
    <n v="59"/>
    <x v="14"/>
    <x v="0"/>
    <n v="0"/>
    <n v="24.7"/>
    <n v="0.19"/>
    <n v="-24.7"/>
    <x v="0"/>
    <x v="1"/>
    <n v="0"/>
    <n v="24.7"/>
    <n v="0.19"/>
    <n v="-24.7"/>
    <s v="Ecart négatif"/>
    <n v="0"/>
  </r>
  <r>
    <x v="6"/>
    <n v="75"/>
    <x v="2"/>
    <x v="0"/>
    <n v="0"/>
    <n v="0"/>
    <n v="0"/>
    <n v="0"/>
    <x v="1"/>
    <x v="1"/>
    <n v="0"/>
    <n v="0"/>
    <n v="0"/>
    <n v="0"/>
    <s v="Pas d'écart"/>
    <n v="0"/>
  </r>
  <r>
    <x v="0"/>
    <n v="13"/>
    <x v="7"/>
    <x v="0"/>
    <n v="0"/>
    <n v="5.7"/>
    <n v="0.19"/>
    <n v="-5.7"/>
    <x v="0"/>
    <x v="1"/>
    <n v="0"/>
    <n v="5.7"/>
    <n v="0.19"/>
    <n v="-5.7"/>
    <s v="Ecart négatif"/>
    <n v="4.1900000000000013"/>
  </r>
  <r>
    <x v="6"/>
    <n v="75"/>
    <x v="2"/>
    <x v="0"/>
    <n v="0"/>
    <n v="0"/>
    <n v="0"/>
    <n v="0"/>
    <x v="1"/>
    <x v="1"/>
    <n v="0"/>
    <n v="0"/>
    <n v="0"/>
    <n v="0"/>
    <s v="Pas d'écart"/>
    <n v="0"/>
  </r>
  <r>
    <x v="0"/>
    <n v="59"/>
    <x v="8"/>
    <x v="0"/>
    <n v="0"/>
    <n v="0"/>
    <n v="0"/>
    <n v="0"/>
    <x v="1"/>
    <x v="1"/>
    <n v="0"/>
    <n v="0"/>
    <n v="0"/>
    <n v="0"/>
    <s v="Pas d'écart"/>
    <n v="8.9500000000000028"/>
  </r>
  <r>
    <x v="2"/>
    <n v="98"/>
    <x v="2"/>
    <x v="0"/>
    <n v="0"/>
    <n v="29.4"/>
    <n v="0.21"/>
    <n v="-29.4"/>
    <x v="0"/>
    <x v="1"/>
    <n v="0"/>
    <n v="29.4"/>
    <n v="0.21"/>
    <n v="-29.4"/>
    <s v="Ecart négatif"/>
    <n v="0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8"/>
    <n v="76"/>
    <x v="0"/>
    <x v="0"/>
    <n v="0"/>
    <n v="30.6"/>
    <n v="0.17"/>
    <n v="-30.6"/>
    <x v="0"/>
    <x v="1"/>
    <n v="0"/>
    <n v="30.6"/>
    <n v="0.17"/>
    <n v="-30.6"/>
    <s v="Ecart négatif"/>
    <n v="0"/>
  </r>
  <r>
    <x v="2"/>
    <n v="60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75"/>
    <x v="2"/>
    <x v="0"/>
    <n v="0"/>
    <n v="0"/>
    <n v="0"/>
    <n v="0"/>
    <x v="1"/>
    <x v="1"/>
    <n v="0"/>
    <n v="0"/>
    <n v="0"/>
    <n v="0"/>
    <s v="Pas d'écart"/>
    <n v="52.57"/>
  </r>
  <r>
    <x v="2"/>
    <n v="38"/>
    <x v="0"/>
    <x v="0"/>
    <n v="0"/>
    <n v="0"/>
    <n v="0"/>
    <n v="0"/>
    <x v="1"/>
    <x v="1"/>
    <n v="0"/>
    <n v="0"/>
    <n v="0"/>
    <n v="0"/>
    <s v="Pas d'écart"/>
    <n v="107.35"/>
  </r>
  <r>
    <x v="2"/>
    <n v="45"/>
    <x v="19"/>
    <x v="0"/>
    <n v="0"/>
    <n v="22.8"/>
    <n v="0.12000000000000001"/>
    <n v="-22.8"/>
    <x v="0"/>
    <x v="1"/>
    <n v="0"/>
    <n v="22.8"/>
    <n v="0.12000000000000001"/>
    <n v="-22.8"/>
    <s v="Ecart négatif"/>
    <n v="118.48"/>
  </r>
  <r>
    <x v="2"/>
    <n v="57"/>
    <x v="6"/>
    <x v="0"/>
    <n v="0"/>
    <n v="40"/>
    <n v="0.25"/>
    <n v="-40"/>
    <x v="0"/>
    <x v="1"/>
    <n v="0"/>
    <n v="40"/>
    <n v="0.25"/>
    <n v="-40"/>
    <s v="Ecart négatif"/>
    <n v="85.09"/>
  </r>
  <r>
    <x v="0"/>
    <n v="75"/>
    <x v="3"/>
    <x v="0"/>
    <n v="0"/>
    <n v="0"/>
    <n v="0"/>
    <n v="0"/>
    <x v="1"/>
    <x v="1"/>
    <n v="0"/>
    <n v="0"/>
    <n v="0"/>
    <n v="0"/>
    <s v="Pas d'écart"/>
    <n v="65.6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5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31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0"/>
    <n v="67"/>
    <x v="15"/>
    <x v="0"/>
    <n v="0"/>
    <n v="1.6"/>
    <n v="0.08"/>
    <n v="-1.6"/>
    <x v="0"/>
    <x v="256"/>
    <n v="6.8000000000000005E-2"/>
    <n v="1.6"/>
    <n v="0.08"/>
    <n v="-0.24"/>
    <s v="Ecart négatif"/>
    <n v="16.93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7"/>
    <n v="38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14.68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7"/>
    <n v="75"/>
    <x v="0"/>
    <x v="0"/>
    <n v="0"/>
    <n v="0"/>
    <n v="0"/>
    <n v="0"/>
    <x v="1"/>
    <x v="1"/>
    <n v="0"/>
    <n v="0"/>
    <n v="0"/>
    <n v="0"/>
    <s v="Pas d'écart"/>
    <n v="60.27"/>
  </r>
  <r>
    <x v="6"/>
    <n v="92"/>
    <x v="0"/>
    <x v="0"/>
    <n v="0"/>
    <n v="0"/>
    <n v="0"/>
    <n v="0"/>
    <x v="1"/>
    <x v="1"/>
    <n v="0"/>
    <n v="0"/>
    <n v="0"/>
    <n v="0"/>
    <s v="Pas d'écart"/>
    <n v="0"/>
  </r>
  <r>
    <x v="0"/>
    <n v="44"/>
    <x v="27"/>
    <x v="0"/>
    <n v="0"/>
    <n v="0"/>
    <n v="0"/>
    <n v="0"/>
    <x v="1"/>
    <x v="1"/>
    <n v="0"/>
    <n v="0"/>
    <n v="0"/>
    <n v="0"/>
    <s v="Pas d'écart"/>
    <n v="40.19"/>
  </r>
  <r>
    <x v="7"/>
    <n v="13"/>
    <x v="8"/>
    <x v="0"/>
    <n v="0"/>
    <n v="20.299999999999997"/>
    <n v="0.28999999999999998"/>
    <n v="-20.299999999999997"/>
    <x v="0"/>
    <x v="1"/>
    <n v="0"/>
    <n v="20.299999999999997"/>
    <n v="0.28999999999999998"/>
    <n v="-20.299999999999997"/>
    <s v="Ecart négatif"/>
    <n v="8.9500000000000028"/>
  </r>
  <r>
    <x v="8"/>
    <n v="62"/>
    <x v="6"/>
    <x v="0"/>
    <n v="0"/>
    <n v="30.4"/>
    <n v="0.19"/>
    <n v="-30.4"/>
    <x v="0"/>
    <x v="1"/>
    <n v="0"/>
    <n v="30.4"/>
    <n v="0.19"/>
    <n v="-30.4"/>
    <s v="Ecart négatif"/>
    <n v="-6.5999999999999943"/>
  </r>
  <r>
    <x v="2"/>
    <n v="79"/>
    <x v="2"/>
    <x v="0"/>
    <n v="0"/>
    <n v="16.8"/>
    <n v="0.12000000000000001"/>
    <n v="-16.8"/>
    <x v="0"/>
    <x v="1"/>
    <n v="0"/>
    <n v="16.8"/>
    <n v="0.12000000000000001"/>
    <n v="-16.8"/>
    <s v="Ecart négatif"/>
    <n v="0"/>
  </r>
  <r>
    <x v="2"/>
    <n v="17"/>
    <x v="2"/>
    <x v="0"/>
    <n v="0"/>
    <n v="23.8"/>
    <n v="0.17"/>
    <n v="-23.8"/>
    <x v="0"/>
    <x v="1"/>
    <n v="0"/>
    <n v="23.8"/>
    <n v="0.17"/>
    <n v="-23.8"/>
    <s v="Ecart négatif"/>
    <n v="27.799999999999997"/>
  </r>
  <r>
    <x v="0"/>
    <n v="62"/>
    <x v="2"/>
    <x v="0"/>
    <n v="0"/>
    <n v="0"/>
    <n v="0"/>
    <n v="0"/>
    <x v="1"/>
    <x v="68"/>
    <n v="0.19"/>
    <n v="0"/>
    <n v="0"/>
    <n v="26.6"/>
    <s v="Ecart positif"/>
    <n v="14.68"/>
  </r>
  <r>
    <x v="0"/>
    <n v="92"/>
    <x v="2"/>
    <x v="0"/>
    <n v="0"/>
    <n v="0"/>
    <n v="0"/>
    <n v="0"/>
    <x v="1"/>
    <x v="1"/>
    <n v="0"/>
    <n v="0"/>
    <n v="0"/>
    <n v="0"/>
    <s v="Pas d'écart"/>
    <n v="10.509999999999998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75"/>
    <x v="7"/>
    <x v="0"/>
    <n v="0"/>
    <n v="0"/>
    <n v="0"/>
    <n v="0"/>
    <x v="1"/>
    <x v="1"/>
    <n v="0"/>
    <n v="0"/>
    <n v="0"/>
    <n v="0"/>
    <s v="Pas d'écart"/>
    <n v="20.87"/>
  </r>
  <r>
    <x v="0"/>
    <n v="92"/>
    <x v="20"/>
    <x v="0"/>
    <n v="0"/>
    <n v="0"/>
    <n v="0"/>
    <n v="0"/>
    <x v="1"/>
    <x v="1"/>
    <n v="0"/>
    <n v="0"/>
    <n v="0"/>
    <n v="0"/>
    <s v="Pas d'écart"/>
    <n v="73.28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0"/>
  </r>
  <r>
    <x v="2"/>
    <n v="78"/>
    <x v="2"/>
    <x v="0"/>
    <n v="0"/>
    <n v="0"/>
    <n v="0"/>
    <n v="0"/>
    <x v="1"/>
    <x v="1"/>
    <n v="0"/>
    <n v="0"/>
    <n v="0"/>
    <n v="0"/>
    <s v="Pas d'écart"/>
    <n v="52.57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0"/>
  </r>
  <r>
    <x v="2"/>
    <n v="14"/>
    <x v="18"/>
    <x v="0"/>
    <n v="0"/>
    <n v="15.3"/>
    <n v="0.17"/>
    <n v="-15.3"/>
    <x v="0"/>
    <x v="1"/>
    <n v="0"/>
    <n v="15.3"/>
    <n v="0.17"/>
    <n v="-15.3"/>
    <s v="Ecart négatif"/>
    <n v="70.73"/>
  </r>
  <r>
    <x v="2"/>
    <n v="73"/>
    <x v="27"/>
    <x v="0"/>
    <n v="0"/>
    <n v="0"/>
    <n v="0"/>
    <n v="0"/>
    <x v="1"/>
    <x v="1"/>
    <n v="0"/>
    <n v="0"/>
    <n v="0"/>
    <n v="0"/>
    <s v="Pas d'écart"/>
    <n v="0"/>
  </r>
  <r>
    <x v="2"/>
    <n v="98"/>
    <x v="15"/>
    <x v="0"/>
    <n v="0"/>
    <n v="4.2"/>
    <n v="0.21000000000000002"/>
    <n v="-4.2"/>
    <x v="0"/>
    <x v="1"/>
    <n v="0"/>
    <n v="4.2"/>
    <n v="0.21000000000000002"/>
    <n v="-4.2"/>
    <s v="Ecart négatif"/>
    <n v="22.47"/>
  </r>
  <r>
    <x v="2"/>
    <n v="13"/>
    <x v="12"/>
    <x v="0"/>
    <n v="0"/>
    <n v="7.6"/>
    <n v="0.19"/>
    <n v="-7.6"/>
    <x v="0"/>
    <x v="1"/>
    <n v="0"/>
    <n v="7.6"/>
    <n v="0.19"/>
    <n v="-7.6"/>
    <s v="Ecart négatif"/>
    <n v="34.29"/>
  </r>
  <r>
    <x v="0"/>
    <n v="89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89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66.36"/>
  </r>
  <r>
    <x v="0"/>
    <n v="83"/>
    <x v="29"/>
    <x v="0"/>
    <n v="0"/>
    <n v="84"/>
    <n v="0.21"/>
    <n v="-84"/>
    <x v="0"/>
    <x v="1"/>
    <n v="0"/>
    <n v="84"/>
    <n v="0.21"/>
    <n v="-84"/>
    <s v="Ecart négatif"/>
    <n v="190.53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2"/>
    <n v="51"/>
    <x v="0"/>
    <x v="0"/>
    <n v="0"/>
    <n v="45"/>
    <n v="0.25"/>
    <n v="-45"/>
    <x v="0"/>
    <x v="72"/>
    <n v="0.25"/>
    <n v="45"/>
    <n v="0.25"/>
    <n v="0"/>
    <s v="Pas d'écart"/>
    <n v="0"/>
  </r>
  <r>
    <x v="2"/>
    <n v="83"/>
    <x v="8"/>
    <x v="0"/>
    <n v="0"/>
    <n v="14.7"/>
    <n v="0.21"/>
    <n v="-14.7"/>
    <x v="0"/>
    <x v="1"/>
    <n v="0"/>
    <n v="14.7"/>
    <n v="0.21"/>
    <n v="-14.7"/>
    <s v="Ecart négatif"/>
    <n v="61.48"/>
  </r>
  <r>
    <x v="7"/>
    <n v="69"/>
    <x v="6"/>
    <x v="0"/>
    <n v="0"/>
    <n v="43.2"/>
    <n v="0.27"/>
    <n v="-43.2"/>
    <x v="0"/>
    <x v="1"/>
    <n v="0"/>
    <n v="43.2"/>
    <n v="0.27"/>
    <n v="-43.2"/>
    <s v="Ecart négatif"/>
    <n v="76.56"/>
  </r>
  <r>
    <x v="2"/>
    <n v="37"/>
    <x v="5"/>
    <x v="0"/>
    <n v="0"/>
    <n v="1.2"/>
    <n v="0.12"/>
    <n v="-1.2"/>
    <x v="0"/>
    <x v="299"/>
    <n v="0.161"/>
    <n v="1.2"/>
    <n v="0.12"/>
    <n v="0.41000000000000014"/>
    <s v="Ecart positif"/>
    <n v="0"/>
  </r>
  <r>
    <x v="4"/>
    <n v="91"/>
    <x v="19"/>
    <x v="0"/>
    <n v="0"/>
    <n v="0"/>
    <n v="0"/>
    <n v="0"/>
    <x v="1"/>
    <x v="1"/>
    <n v="0"/>
    <n v="0"/>
    <n v="0"/>
    <n v="0"/>
    <s v="Pas d'écart"/>
    <n v="0"/>
  </r>
  <r>
    <x v="2"/>
    <n v="50"/>
    <x v="15"/>
    <x v="0"/>
    <n v="0"/>
    <n v="3.4000000000000004"/>
    <n v="0.17"/>
    <n v="-3.4000000000000004"/>
    <x v="0"/>
    <x v="61"/>
    <n v="0.16"/>
    <n v="3.4000000000000004"/>
    <n v="0.17"/>
    <n v="-0.20000000000000018"/>
    <s v="Ecart négatif"/>
    <n v="15.08"/>
  </r>
  <r>
    <x v="2"/>
    <n v="69"/>
    <x v="2"/>
    <x v="0"/>
    <n v="0"/>
    <n v="0"/>
    <n v="0"/>
    <n v="0"/>
    <x v="1"/>
    <x v="1"/>
    <n v="0"/>
    <n v="0"/>
    <n v="0"/>
    <n v="0"/>
    <s v="Pas d'écart"/>
    <n v="65.680000000000007"/>
  </r>
  <r>
    <x v="3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88"/>
    <x v="4"/>
    <x v="0"/>
    <n v="0"/>
    <n v="8.8000000000000007"/>
    <n v="0.08"/>
    <n v="-8.8000000000000007"/>
    <x v="0"/>
    <x v="13"/>
    <n v="7.9272727272727272E-2"/>
    <n v="8.8000000000000007"/>
    <n v="0.08"/>
    <n v="-8.0000000000000071E-2"/>
    <s v="Ecart négatif"/>
    <n v="71.81"/>
  </r>
  <r>
    <x v="0"/>
    <n v="45"/>
    <x v="0"/>
    <x v="0"/>
    <n v="0"/>
    <n v="21.599999999999998"/>
    <n v="0.11999999999999998"/>
    <n v="-21.599999999999998"/>
    <x v="0"/>
    <x v="300"/>
    <n v="0.37577777777777777"/>
    <n v="21.599999999999998"/>
    <n v="0.11999999999999998"/>
    <n v="46.040000000000006"/>
    <s v="Ecart positif"/>
    <n v="21.47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83"/>
    <x v="11"/>
    <x v="0"/>
    <n v="0"/>
    <n v="18"/>
    <n v="0.3"/>
    <n v="-18"/>
    <x v="0"/>
    <x v="1"/>
    <n v="0"/>
    <n v="18"/>
    <n v="0.3"/>
    <n v="-18"/>
    <s v="Ecart négatif"/>
    <n v="25.37"/>
  </r>
  <r>
    <x v="5"/>
    <n v="38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6"/>
    <n v="67"/>
    <x v="11"/>
    <x v="351"/>
    <n v="0.25383333333333336"/>
    <n v="17.399999999999999"/>
    <n v="0.28999999999999998"/>
    <n v="-2.1699999999999982"/>
    <x v="0"/>
    <x v="1"/>
    <n v="0"/>
    <n v="17.399999999999999"/>
    <n v="0.28999999999999998"/>
    <n v="-17.399999999999999"/>
    <s v="Ecart négatif"/>
    <n v="42.48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62"/>
    <x v="11"/>
    <x v="0"/>
    <n v="0"/>
    <n v="11.4"/>
    <n v="0.19"/>
    <n v="-11.4"/>
    <x v="0"/>
    <x v="1"/>
    <n v="0"/>
    <n v="11.4"/>
    <n v="0.19"/>
    <n v="-11.4"/>
    <s v="Ecart négatif"/>
    <n v="25.37"/>
  </r>
  <r>
    <x v="5"/>
    <n v="33"/>
    <x v="11"/>
    <x v="0"/>
    <n v="0"/>
    <n v="12.6"/>
    <n v="0.21"/>
    <n v="-12.6"/>
    <x v="0"/>
    <x v="1"/>
    <n v="0"/>
    <n v="12.6"/>
    <n v="0.21"/>
    <n v="-12.6"/>
    <s v="Ecart négatif"/>
    <n v="15.069999999999997"/>
  </r>
  <r>
    <x v="2"/>
    <n v="69"/>
    <x v="7"/>
    <x v="0"/>
    <n v="0"/>
    <n v="0"/>
    <n v="0"/>
    <n v="0"/>
    <x v="1"/>
    <x v="1"/>
    <n v="0"/>
    <n v="0"/>
    <n v="0"/>
    <n v="0"/>
    <s v="Pas d'écart"/>
    <n v="18.93"/>
  </r>
  <r>
    <x v="0"/>
    <n v="59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61"/>
    <x v="8"/>
    <x v="0"/>
    <n v="0"/>
    <n v="11.9"/>
    <n v="0.17"/>
    <n v="-11.9"/>
    <x v="0"/>
    <x v="301"/>
    <n v="0.16585714285714284"/>
    <n v="11.9"/>
    <n v="0.17"/>
    <n v="-0.29000000000000092"/>
    <s v="Ecart négatif"/>
    <n v="66.36"/>
  </r>
  <r>
    <x v="2"/>
    <n v="10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78.8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69"/>
    <x v="6"/>
    <x v="693"/>
    <n v="0.48131250000000003"/>
    <n v="43.2"/>
    <n v="0.27"/>
    <n v="33.81"/>
    <x v="2"/>
    <x v="1"/>
    <n v="0"/>
    <n v="43.2"/>
    <n v="0.27"/>
    <n v="-43.2"/>
    <s v="Ecart négatif"/>
    <n v="76.56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0"/>
    <n v="25"/>
    <x v="10"/>
    <x v="0"/>
    <n v="0"/>
    <n v="18"/>
    <n v="0.12"/>
    <n v="-18"/>
    <x v="0"/>
    <x v="302"/>
    <n v="0.11706666666666665"/>
    <n v="18"/>
    <n v="0.12"/>
    <n v="-0.44000000000000128"/>
    <s v="Ecart négatif"/>
    <n v="79.510000000000005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4"/>
    <n v="38"/>
    <x v="12"/>
    <x v="694"/>
    <n v="0.26549999999999996"/>
    <n v="10.8"/>
    <n v="0.27"/>
    <n v="-0.18000000000000149"/>
    <x v="0"/>
    <x v="1"/>
    <n v="0"/>
    <n v="10.8"/>
    <n v="0.27"/>
    <n v="-10.8"/>
    <s v="Ecart négatif"/>
    <n v="0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21"/>
    <x v="19"/>
    <x v="0"/>
    <n v="0"/>
    <n v="22.8"/>
    <n v="0.12000000000000001"/>
    <n v="-22.8"/>
    <x v="0"/>
    <x v="303"/>
    <n v="0.11968421052631578"/>
    <n v="22.8"/>
    <n v="0.12000000000000001"/>
    <n v="-6.0000000000002274E-2"/>
    <s v="Ecart négatif"/>
    <n v="99.88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2"/>
    <n v="93"/>
    <x v="6"/>
    <x v="0"/>
    <n v="0"/>
    <n v="0"/>
    <n v="0"/>
    <n v="0"/>
    <x v="1"/>
    <x v="1"/>
    <n v="0"/>
    <n v="0"/>
    <n v="0"/>
    <n v="0"/>
    <s v="Pas d'écart"/>
    <n v="56.79"/>
  </r>
  <r>
    <x v="2"/>
    <n v="34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78.8"/>
  </r>
  <r>
    <x v="0"/>
    <n v="75"/>
    <x v="8"/>
    <x v="0"/>
    <n v="0"/>
    <n v="0"/>
    <n v="0"/>
    <n v="0"/>
    <x v="1"/>
    <x v="1"/>
    <n v="0"/>
    <n v="0"/>
    <n v="0"/>
    <n v="0"/>
    <s v="Pas d'écart"/>
    <n v="7.1999999999999957"/>
  </r>
  <r>
    <x v="8"/>
    <n v="11"/>
    <x v="14"/>
    <x v="0"/>
    <n v="0"/>
    <n v="46.8"/>
    <n v="0.36"/>
    <n v="-46.8"/>
    <x v="0"/>
    <x v="1"/>
    <n v="0"/>
    <n v="46.8"/>
    <n v="0.36"/>
    <n v="-46.8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2"/>
    <n v="35"/>
    <x v="2"/>
    <x v="0"/>
    <n v="0"/>
    <n v="0"/>
    <n v="0"/>
    <n v="0"/>
    <x v="1"/>
    <x v="144"/>
    <n v="0.26999999999999996"/>
    <n v="0"/>
    <n v="0"/>
    <n v="37.799999999999997"/>
    <s v="Ecart positif"/>
    <n v="73.41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0"/>
    <n v="13"/>
    <x v="2"/>
    <x v="0"/>
    <n v="0"/>
    <n v="26.6"/>
    <n v="0.19"/>
    <n v="-26.6"/>
    <x v="0"/>
    <x v="16"/>
    <n v="0.186"/>
    <n v="26.6"/>
    <n v="0.19"/>
    <n v="-0.56000000000000227"/>
    <s v="Ecart négatif"/>
    <n v="13.140000000000008"/>
  </r>
  <r>
    <x v="4"/>
    <n v="94"/>
    <x v="11"/>
    <x v="0"/>
    <n v="0"/>
    <n v="0"/>
    <n v="0"/>
    <n v="0"/>
    <x v="1"/>
    <x v="1"/>
    <n v="0"/>
    <n v="0"/>
    <n v="0"/>
    <n v="0"/>
    <s v="Pas d'écart"/>
    <n v="0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4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0"/>
  </r>
  <r>
    <x v="2"/>
    <n v="80"/>
    <x v="2"/>
    <x v="0"/>
    <n v="0"/>
    <n v="0"/>
    <n v="0"/>
    <n v="0"/>
    <x v="1"/>
    <x v="1"/>
    <n v="0"/>
    <n v="0"/>
    <n v="0"/>
    <n v="0"/>
    <s v="Pas d'écart"/>
    <n v="0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7"/>
    <x v="15"/>
    <x v="691"/>
    <n v="0.26549999999999996"/>
    <n v="5.4"/>
    <n v="0.27"/>
    <n v="-9.0000000000000746E-2"/>
    <x v="0"/>
    <x v="1"/>
    <n v="0"/>
    <n v="5.4"/>
    <n v="0.27"/>
    <n v="-5.4"/>
    <s v="Ecart négatif"/>
    <n v="3.59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4"/>
    <n v="26"/>
    <x v="15"/>
    <x v="691"/>
    <n v="0.26549999999999996"/>
    <n v="5.4"/>
    <n v="0.27"/>
    <n v="-9.0000000000000746E-2"/>
    <x v="0"/>
    <x v="1"/>
    <n v="0"/>
    <n v="5.4"/>
    <n v="0.27"/>
    <n v="-5.4"/>
    <s v="Ecart négatif"/>
    <n v="0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38"/>
    <x v="15"/>
    <x v="691"/>
    <n v="0.26549999999999996"/>
    <n v="5.4"/>
    <n v="0.27"/>
    <n v="-9.0000000000000746E-2"/>
    <x v="0"/>
    <x v="1"/>
    <n v="0"/>
    <n v="5.4"/>
    <n v="0.27"/>
    <n v="-5.4"/>
    <s v="Ecart négatif"/>
    <n v="3.6999999999999993"/>
  </r>
  <r>
    <x v="3"/>
    <n v="7"/>
    <x v="15"/>
    <x v="691"/>
    <n v="0.26549999999999996"/>
    <n v="5.4"/>
    <n v="0.27"/>
    <n v="-9.0000000000000746E-2"/>
    <x v="0"/>
    <x v="1"/>
    <n v="0"/>
    <n v="5.4"/>
    <n v="0.27"/>
    <n v="-5.4"/>
    <s v="Ecart négatif"/>
    <n v="3.59"/>
  </r>
  <r>
    <x v="2"/>
    <n v="67"/>
    <x v="19"/>
    <x v="0"/>
    <n v="0"/>
    <n v="15.200000000000001"/>
    <n v="0.08"/>
    <n v="-15.200000000000001"/>
    <x v="0"/>
    <x v="304"/>
    <n v="7.7210526315789479E-2"/>
    <n v="15.200000000000001"/>
    <n v="0.08"/>
    <n v="-0.53000000000000114"/>
    <s v="Ecart négatif"/>
    <n v="0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6"/>
    <n v="83"/>
    <x v="9"/>
    <x v="0"/>
    <n v="0"/>
    <n v="24"/>
    <n v="0.3"/>
    <n v="-24"/>
    <x v="0"/>
    <x v="1"/>
    <n v="0"/>
    <n v="24"/>
    <n v="0.3"/>
    <n v="-24"/>
    <s v="Ecart négatif"/>
    <n v="32.479999999999997"/>
  </r>
  <r>
    <x v="3"/>
    <n v="7"/>
    <x v="15"/>
    <x v="691"/>
    <n v="0.26549999999999996"/>
    <n v="5.4"/>
    <n v="0.27"/>
    <n v="-9.0000000000000746E-2"/>
    <x v="0"/>
    <x v="1"/>
    <n v="0"/>
    <n v="5.4"/>
    <n v="0.27"/>
    <n v="-5.4"/>
    <s v="Ecart négatif"/>
    <n v="3.59"/>
  </r>
  <r>
    <x v="3"/>
    <n v="73"/>
    <x v="19"/>
    <x v="695"/>
    <n v="0.26563157894736844"/>
    <n v="51.300000000000004"/>
    <n v="0.27"/>
    <n v="-0.8300000000000054"/>
    <x v="0"/>
    <x v="1"/>
    <n v="0"/>
    <n v="51.300000000000004"/>
    <n v="0.27"/>
    <n v="-51.300000000000004"/>
    <s v="Ecart négatif"/>
    <n v="25.64"/>
  </r>
  <r>
    <x v="3"/>
    <n v="73"/>
    <x v="19"/>
    <x v="695"/>
    <n v="0.26563157894736844"/>
    <n v="51.300000000000004"/>
    <n v="0.27"/>
    <n v="-0.8300000000000054"/>
    <x v="0"/>
    <x v="1"/>
    <n v="0"/>
    <n v="51.300000000000004"/>
    <n v="0.27"/>
    <n v="-51.300000000000004"/>
    <s v="Ecart négatif"/>
    <n v="25.64"/>
  </r>
  <r>
    <x v="3"/>
    <n v="44"/>
    <x v="19"/>
    <x v="696"/>
    <n v="0.2656842105263158"/>
    <n v="51.300000000000004"/>
    <n v="0.27"/>
    <n v="-0.82000000000000739"/>
    <x v="0"/>
    <x v="1"/>
    <n v="0"/>
    <n v="51.300000000000004"/>
    <n v="0.27"/>
    <n v="-51.300000000000004"/>
    <s v="Ecart négatif"/>
    <n v="19.97999999999999"/>
  </r>
  <r>
    <x v="4"/>
    <n v="19"/>
    <x v="4"/>
    <x v="422"/>
    <n v="0.26572727272727276"/>
    <n v="31.9"/>
    <n v="0.28999999999999998"/>
    <n v="-2.6699999999999982"/>
    <x v="0"/>
    <x v="1"/>
    <n v="0"/>
    <n v="31.9"/>
    <n v="0.28999999999999998"/>
    <n v="-31.9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75"/>
    <x v="13"/>
    <x v="0"/>
    <n v="0"/>
    <n v="0"/>
    <n v="0"/>
    <n v="0"/>
    <x v="1"/>
    <x v="1"/>
    <n v="0"/>
    <n v="0"/>
    <n v="0"/>
    <n v="0"/>
    <s v="Pas d'écart"/>
    <n v="11.71"/>
  </r>
  <r>
    <x v="4"/>
    <n v="19"/>
    <x v="4"/>
    <x v="422"/>
    <n v="0.26572727272727276"/>
    <n v="31.9"/>
    <n v="0.28999999999999998"/>
    <n v="-2.6699999999999982"/>
    <x v="0"/>
    <x v="1"/>
    <n v="0"/>
    <n v="31.9"/>
    <n v="0.28999999999999998"/>
    <n v="-31.9"/>
    <s v="Ecart négatif"/>
    <n v="0"/>
  </r>
  <r>
    <x v="1"/>
    <n v="44"/>
    <x v="27"/>
    <x v="0"/>
    <n v="0"/>
    <n v="13.5"/>
    <n v="0.27"/>
    <n v="-13.5"/>
    <x v="0"/>
    <x v="1"/>
    <n v="0"/>
    <n v="13.5"/>
    <n v="0.27"/>
    <n v="-13.5"/>
    <s v="Ecart négatif"/>
    <n v="40.19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1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99.88"/>
  </r>
  <r>
    <x v="9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95"/>
    <x v="80"/>
    <x v="0"/>
    <n v="0"/>
    <n v="0"/>
    <n v="0"/>
    <n v="0"/>
    <x v="1"/>
    <x v="1"/>
    <n v="0"/>
    <n v="0"/>
    <n v="0"/>
    <n v="0"/>
    <s v="Pas d'écart"/>
    <e v="#N/A"/>
  </r>
  <r>
    <x v="4"/>
    <n v="75"/>
    <x v="21"/>
    <x v="0"/>
    <e v="#DIV/0!"/>
    <n v="0"/>
    <e v="#DIV/0!"/>
    <n v="0"/>
    <x v="1"/>
    <x v="1"/>
    <e v="#DIV/0!"/>
    <n v="0"/>
    <e v="#DIV/0!"/>
    <n v="0"/>
    <s v="Pas d'écart"/>
    <e v="#N/A"/>
  </r>
  <r>
    <x v="8"/>
    <n v="35"/>
    <x v="0"/>
    <x v="0"/>
    <n v="0"/>
    <n v="48.6"/>
    <n v="0.27"/>
    <n v="-48.6"/>
    <x v="0"/>
    <x v="1"/>
    <n v="0"/>
    <n v="48.6"/>
    <n v="0.27"/>
    <n v="-48.6"/>
    <s v="Ecart négatif"/>
    <n v="0"/>
  </r>
  <r>
    <x v="4"/>
    <n v="19"/>
    <x v="4"/>
    <x v="422"/>
    <n v="0.26572727272727276"/>
    <n v="31.9"/>
    <n v="0.28999999999999998"/>
    <n v="-2.6699999999999982"/>
    <x v="0"/>
    <x v="1"/>
    <n v="0"/>
    <n v="31.9"/>
    <n v="0.28999999999999998"/>
    <n v="-31.9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69"/>
    <x v="19"/>
    <x v="697"/>
    <n v="0.26578947368421052"/>
    <n v="51.300000000000004"/>
    <n v="0.27"/>
    <n v="-0.80000000000000426"/>
    <x v="0"/>
    <x v="1"/>
    <n v="0"/>
    <n v="51.300000000000004"/>
    <n v="0.27"/>
    <n v="-51.300000000000004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2"/>
    <n v="95"/>
    <x v="12"/>
    <x v="0"/>
    <n v="0"/>
    <n v="0"/>
    <n v="0"/>
    <n v="0"/>
    <x v="1"/>
    <x v="1"/>
    <n v="0"/>
    <n v="0"/>
    <n v="0"/>
    <n v="0"/>
    <s v="Pas d'écart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3"/>
    <n v="6"/>
    <x v="13"/>
    <x v="698"/>
    <n v="0.3"/>
    <n v="51"/>
    <n v="0.3"/>
    <n v="0"/>
    <x v="1"/>
    <x v="1"/>
    <n v="0"/>
    <n v="51"/>
    <n v="0.3"/>
    <n v="-51"/>
    <s v="Ecart négatif"/>
    <n v="20.77000000000001"/>
  </r>
  <r>
    <x v="4"/>
    <n v="44"/>
    <x v="19"/>
    <x v="699"/>
    <n v="0.26594736842105265"/>
    <n v="51.300000000000004"/>
    <n v="0.27"/>
    <n v="-0.77000000000000313"/>
    <x v="0"/>
    <x v="1"/>
    <n v="0"/>
    <n v="51.300000000000004"/>
    <n v="0.27"/>
    <n v="-51.300000000000004"/>
    <s v="Ecart négatif"/>
    <n v="0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2"/>
    <n v="68"/>
    <x v="16"/>
    <x v="0"/>
    <n v="0"/>
    <n v="16"/>
    <n v="0.08"/>
    <n v="-16"/>
    <x v="0"/>
    <x v="178"/>
    <n v="7.9199999999999993E-2"/>
    <n v="16"/>
    <n v="0.08"/>
    <n v="-0.16000000000000014"/>
    <s v="Ecart négatif"/>
    <n v="0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4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0"/>
  </r>
  <r>
    <x v="4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0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4"/>
    <n v="13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0"/>
  </r>
  <r>
    <x v="4"/>
    <n v="43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0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4"/>
    <n v="88"/>
    <x v="7"/>
    <x v="376"/>
    <n v="0.26600000000000001"/>
    <n v="8.4"/>
    <n v="0.28000000000000003"/>
    <n v="-0.41999999999999993"/>
    <x v="0"/>
    <x v="1"/>
    <n v="0"/>
    <n v="8.4"/>
    <n v="0.28000000000000003"/>
    <n v="-8.4"/>
    <s v="Ecart négatif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68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0"/>
  </r>
  <r>
    <x v="1"/>
    <n v="44"/>
    <x v="6"/>
    <x v="0"/>
    <n v="0"/>
    <n v="43.2"/>
    <n v="0.27"/>
    <n v="-43.2"/>
    <x v="0"/>
    <x v="1"/>
    <n v="0"/>
    <n v="43.2"/>
    <n v="0.27"/>
    <n v="-43.2"/>
    <s v="Ecart négatif"/>
    <n v="76.56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27"/>
    <x v="12"/>
    <x v="0"/>
    <n v="0"/>
    <n v="6.8000000000000007"/>
    <n v="0.17"/>
    <n v="-6.8000000000000007"/>
    <x v="0"/>
    <x v="305"/>
    <n v="0.14874999999999999"/>
    <n v="6.8000000000000007"/>
    <n v="0.17"/>
    <n v="-0.85000000000000053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4"/>
    <n v="94"/>
    <x v="9"/>
    <x v="0"/>
    <n v="0"/>
    <n v="0"/>
    <n v="0"/>
    <n v="0"/>
    <x v="1"/>
    <x v="1"/>
    <n v="0"/>
    <n v="0"/>
    <n v="0"/>
    <n v="0"/>
    <s v="Pas d'écart"/>
    <n v="0"/>
  </r>
  <r>
    <x v="3"/>
    <n v="84"/>
    <x v="15"/>
    <x v="235"/>
    <n v="0.26600000000000001"/>
    <n v="5.8"/>
    <n v="0.28999999999999998"/>
    <n v="-0.47999999999999954"/>
    <x v="0"/>
    <x v="1"/>
    <n v="0"/>
    <n v="5.8"/>
    <n v="0.28999999999999998"/>
    <n v="-5.8"/>
    <s v="Ecart négatif"/>
    <n v="3.75"/>
  </r>
  <r>
    <x v="2"/>
    <n v="75"/>
    <x v="6"/>
    <x v="0"/>
    <n v="0"/>
    <n v="0"/>
    <n v="0"/>
    <n v="0"/>
    <x v="1"/>
    <x v="1"/>
    <n v="0"/>
    <n v="0"/>
    <n v="0"/>
    <n v="0"/>
    <s v="Pas d'écart"/>
    <n v="0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0"/>
    <n v="94"/>
    <x v="2"/>
    <x v="0"/>
    <n v="0"/>
    <n v="0"/>
    <n v="0"/>
    <n v="0"/>
    <x v="1"/>
    <x v="1"/>
    <n v="0"/>
    <n v="0"/>
    <n v="0"/>
    <n v="0"/>
    <s v="Pas d'écart"/>
    <n v="10.509999999999998"/>
  </r>
  <r>
    <x v="0"/>
    <n v="67"/>
    <x v="0"/>
    <x v="0"/>
    <n v="0"/>
    <n v="14.4"/>
    <n v="0.08"/>
    <n v="-14.4"/>
    <x v="0"/>
    <x v="102"/>
    <n v="0.08"/>
    <n v="14.4"/>
    <n v="0.08"/>
    <n v="0"/>
    <s v="Pas d'écart"/>
    <n v="18.419999999999987"/>
  </r>
  <r>
    <x v="3"/>
    <n v="75"/>
    <x v="12"/>
    <x v="0"/>
    <n v="0"/>
    <n v="0"/>
    <n v="0"/>
    <n v="0"/>
    <x v="1"/>
    <x v="1"/>
    <n v="0"/>
    <n v="0"/>
    <n v="0"/>
    <n v="0"/>
    <s v="Pas d'écart"/>
    <n v="5.23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4"/>
    <n v="85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4"/>
    <n v="73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4"/>
    <n v="35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4"/>
    <n v="49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4"/>
    <n v="49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4"/>
    <n v="44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3.140000000000008"/>
  </r>
  <r>
    <x v="4"/>
    <n v="35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4"/>
    <n v="69"/>
    <x v="2"/>
    <x v="700"/>
    <n v="0.26635714285714285"/>
    <n v="37.800000000000004"/>
    <n v="0.27"/>
    <n v="-0.51000000000000512"/>
    <x v="0"/>
    <x v="1"/>
    <n v="0"/>
    <n v="37.800000000000004"/>
    <n v="0.27"/>
    <n v="-37.800000000000004"/>
    <s v="Ecart négatif"/>
    <n v="0"/>
  </r>
  <r>
    <x v="1"/>
    <n v="77"/>
    <x v="24"/>
    <x v="0"/>
    <n v="0"/>
    <n v="0"/>
    <n v="0"/>
    <n v="0"/>
    <x v="1"/>
    <x v="1"/>
    <n v="0"/>
    <n v="0"/>
    <n v="0"/>
    <n v="0"/>
    <s v="Pas d'écart"/>
    <n v="141.3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77"/>
    <x v="14"/>
    <x v="0"/>
    <n v="0"/>
    <n v="0"/>
    <n v="0"/>
    <n v="0"/>
    <x v="1"/>
    <x v="1"/>
    <n v="0"/>
    <n v="0"/>
    <n v="0"/>
    <n v="0"/>
    <s v="Pas d'écart"/>
    <n v="0"/>
  </r>
  <r>
    <x v="3"/>
    <n v="69"/>
    <x v="2"/>
    <x v="701"/>
    <n v="0.2664285714285714"/>
    <n v="37.800000000000004"/>
    <n v="0.27"/>
    <n v="-0.50000000000000711"/>
    <x v="0"/>
    <x v="1"/>
    <n v="0"/>
    <n v="37.800000000000004"/>
    <n v="0.27"/>
    <n v="-37.800000000000004"/>
    <s v="Ecart négatif"/>
    <n v="13.140000000000008"/>
  </r>
  <r>
    <x v="4"/>
    <n v="73"/>
    <x v="14"/>
    <x v="124"/>
    <n v="0.27"/>
    <n v="35.1"/>
    <n v="0.27"/>
    <n v="0"/>
    <x v="1"/>
    <x v="1"/>
    <n v="0"/>
    <n v="35.1"/>
    <n v="0.27"/>
    <n v="-35.1"/>
    <s v="Ecart négatif"/>
    <n v="0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94"/>
    <x v="20"/>
    <x v="0"/>
    <n v="0"/>
    <n v="0"/>
    <n v="0"/>
    <n v="0"/>
    <x v="1"/>
    <x v="1"/>
    <n v="0"/>
    <n v="0"/>
    <n v="0"/>
    <n v="0"/>
    <s v="Pas d'écart"/>
    <n v="0"/>
  </r>
  <r>
    <x v="3"/>
    <n v="69"/>
    <x v="2"/>
    <x v="701"/>
    <n v="0.2664285714285714"/>
    <n v="37.800000000000004"/>
    <n v="0.27"/>
    <n v="-0.50000000000000711"/>
    <x v="0"/>
    <x v="1"/>
    <n v="0"/>
    <n v="37.800000000000004"/>
    <n v="0.27"/>
    <n v="-37.800000000000004"/>
    <s v="Ecart négatif"/>
    <n v="13.140000000000008"/>
  </r>
  <r>
    <x v="3"/>
    <n v="69"/>
    <x v="2"/>
    <x v="701"/>
    <n v="0.2664285714285714"/>
    <n v="37.800000000000004"/>
    <n v="0.27"/>
    <n v="-0.50000000000000711"/>
    <x v="0"/>
    <x v="1"/>
    <n v="0"/>
    <n v="37.800000000000004"/>
    <n v="0.27"/>
    <n v="-37.800000000000004"/>
    <s v="Ecart négatif"/>
    <n v="13.140000000000008"/>
  </r>
  <r>
    <x v="4"/>
    <n v="30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34"/>
    <x v="0"/>
    <x v="0"/>
    <n v="0"/>
    <n v="50.400000000000006"/>
    <n v="0.28000000000000003"/>
    <n v="-50.400000000000006"/>
    <x v="0"/>
    <x v="306"/>
    <n v="0.26900000000000002"/>
    <n v="50.400000000000006"/>
    <n v="0.28000000000000003"/>
    <n v="-1.980000000000004"/>
    <s v="Ecart négatif"/>
    <n v="0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0"/>
  </r>
  <r>
    <x v="2"/>
    <n v="34"/>
    <x v="39"/>
    <x v="0"/>
    <n v="0"/>
    <n v="81.2"/>
    <n v="0.28000000000000003"/>
    <n v="-81.2"/>
    <x v="0"/>
    <x v="307"/>
    <n v="0.27903448275862069"/>
    <n v="81.2"/>
    <n v="0.28000000000000003"/>
    <n v="-0.28000000000000114"/>
    <s v="Ecart négatif"/>
    <n v="0"/>
  </r>
  <r>
    <x v="6"/>
    <n v="94"/>
    <x v="16"/>
    <x v="0"/>
    <n v="0"/>
    <n v="0"/>
    <n v="0"/>
    <n v="0"/>
    <x v="1"/>
    <x v="1"/>
    <n v="0"/>
    <n v="0"/>
    <n v="0"/>
    <n v="0"/>
    <s v="Pas d'écart"/>
    <n v="0"/>
  </r>
  <r>
    <x v="3"/>
    <n v="69"/>
    <x v="2"/>
    <x v="701"/>
    <n v="0.2664285714285714"/>
    <n v="37.800000000000004"/>
    <n v="0.27"/>
    <n v="-0.50000000000000711"/>
    <x v="0"/>
    <x v="1"/>
    <n v="0"/>
    <n v="37.800000000000004"/>
    <n v="0.27"/>
    <n v="-37.800000000000004"/>
    <s v="Ecart négatif"/>
    <n v="13.140000000000008"/>
  </r>
  <r>
    <x v="3"/>
    <n v="69"/>
    <x v="2"/>
    <x v="701"/>
    <n v="0.2664285714285714"/>
    <n v="37.800000000000004"/>
    <n v="0.27"/>
    <n v="-0.50000000000000711"/>
    <x v="0"/>
    <x v="1"/>
    <n v="0"/>
    <n v="37.800000000000004"/>
    <n v="0.27"/>
    <n v="-37.800000000000004"/>
    <s v="Ecart négatif"/>
    <n v="13.140000000000008"/>
  </r>
  <r>
    <x v="2"/>
    <n v="76"/>
    <x v="19"/>
    <x v="0"/>
    <n v="0"/>
    <n v="32.300000000000004"/>
    <n v="0.17"/>
    <n v="-32.300000000000004"/>
    <x v="0"/>
    <x v="308"/>
    <n v="0.16905263157894734"/>
    <n v="32.300000000000004"/>
    <n v="0.17"/>
    <n v="-0.18000000000000682"/>
    <s v="Ecart négatif"/>
    <n v="0"/>
  </r>
  <r>
    <x v="3"/>
    <n v="69"/>
    <x v="2"/>
    <x v="701"/>
    <n v="0.2664285714285714"/>
    <n v="37.800000000000004"/>
    <n v="0.27"/>
    <n v="-0.50000000000000711"/>
    <x v="0"/>
    <x v="1"/>
    <n v="0"/>
    <n v="37.800000000000004"/>
    <n v="0.27"/>
    <n v="-37.800000000000004"/>
    <s v="Ecart négatif"/>
    <n v="13.140000000000008"/>
  </r>
  <r>
    <x v="3"/>
    <n v="67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8.5"/>
  </r>
  <r>
    <x v="4"/>
    <n v="94"/>
    <x v="0"/>
    <x v="0"/>
    <n v="0"/>
    <n v="0"/>
    <n v="0"/>
    <n v="0"/>
    <x v="1"/>
    <x v="1"/>
    <n v="0"/>
    <n v="0"/>
    <n v="0"/>
    <n v="0"/>
    <s v="Pas d'écart"/>
    <n v="0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2"/>
    <n v="1"/>
    <x v="2"/>
    <x v="0"/>
    <n v="0"/>
    <n v="0"/>
    <n v="0"/>
    <n v="0"/>
    <x v="1"/>
    <x v="1"/>
    <n v="0"/>
    <n v="0"/>
    <n v="0"/>
    <n v="0"/>
    <s v="Pas d'écart"/>
    <n v="0"/>
  </r>
  <r>
    <x v="5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69"/>
    <x v="16"/>
    <x v="572"/>
    <n v="0.27"/>
    <n v="54"/>
    <n v="0.27"/>
    <n v="0"/>
    <x v="1"/>
    <x v="1"/>
    <n v="0"/>
    <n v="54"/>
    <n v="0.27"/>
    <n v="-54"/>
    <s v="Ecart négatif"/>
    <n v="21.53"/>
  </r>
  <r>
    <x v="4"/>
    <n v="13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0"/>
    <n v="14"/>
    <x v="55"/>
    <x v="0"/>
    <n v="0"/>
    <n v="44.2"/>
    <n v="0.17"/>
    <n v="-44.2"/>
    <x v="0"/>
    <x v="1"/>
    <n v="0"/>
    <n v="44.2"/>
    <n v="0.17"/>
    <n v="-44.2"/>
    <s v="Ecart négatif"/>
    <n v="32.620000000000005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67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8.5"/>
  </r>
  <r>
    <x v="4"/>
    <n v="67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0"/>
  </r>
  <r>
    <x v="3"/>
    <n v="67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8.5"/>
  </r>
  <r>
    <x v="0"/>
    <n v="62"/>
    <x v="8"/>
    <x v="0"/>
    <n v="0"/>
    <n v="0"/>
    <n v="0"/>
    <n v="0"/>
    <x v="1"/>
    <x v="1"/>
    <n v="0"/>
    <n v="0"/>
    <n v="0"/>
    <n v="0"/>
    <s v="Pas d'écart"/>
    <n v="61.48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3.140000000000008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8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0"/>
  </r>
  <r>
    <x v="0"/>
    <n v="62"/>
    <x v="7"/>
    <x v="0"/>
    <n v="0"/>
    <n v="0"/>
    <n v="0"/>
    <n v="0"/>
    <x v="1"/>
    <x v="1"/>
    <n v="0"/>
    <n v="0"/>
    <n v="0"/>
    <n v="0"/>
    <s v="Pas d'écart"/>
    <n v="18.170000000000002"/>
  </r>
  <r>
    <x v="0"/>
    <n v="44"/>
    <x v="12"/>
    <x v="0"/>
    <n v="0"/>
    <n v="0"/>
    <n v="0"/>
    <n v="0"/>
    <x v="1"/>
    <x v="1"/>
    <n v="0"/>
    <n v="0"/>
    <n v="0"/>
    <n v="0"/>
    <s v="Pas d'écart"/>
    <n v="34.29"/>
  </r>
  <r>
    <x v="3"/>
    <n v="67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8.5"/>
  </r>
  <r>
    <x v="4"/>
    <n v="84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0"/>
  </r>
  <r>
    <x v="0"/>
    <n v="30"/>
    <x v="0"/>
    <x v="0"/>
    <n v="0"/>
    <n v="50.400000000000006"/>
    <n v="0.28000000000000003"/>
    <n v="-50.400000000000006"/>
    <x v="0"/>
    <x v="188"/>
    <n v="0.26494444444444443"/>
    <n v="50.400000000000006"/>
    <n v="0.28000000000000003"/>
    <n v="-2.710000000000008"/>
    <s v="Ecart négatif"/>
    <n v="21.47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4"/>
    <n v="94"/>
    <x v="6"/>
    <x v="0"/>
    <n v="0"/>
    <n v="0"/>
    <n v="0"/>
    <n v="0"/>
    <x v="1"/>
    <x v="1"/>
    <n v="0"/>
    <n v="0"/>
    <n v="0"/>
    <n v="0"/>
    <s v="Pas d'écart"/>
    <n v="0"/>
  </r>
  <r>
    <x v="2"/>
    <n v="94"/>
    <x v="18"/>
    <x v="0"/>
    <n v="0"/>
    <n v="0"/>
    <n v="0"/>
    <n v="0"/>
    <x v="1"/>
    <x v="1"/>
    <n v="0"/>
    <n v="0"/>
    <n v="0"/>
    <n v="0"/>
    <s v="Pas d'écart"/>
    <n v="0"/>
  </r>
  <r>
    <x v="3"/>
    <n v="59"/>
    <x v="27"/>
    <x v="337"/>
    <n v="0.19"/>
    <n v="9.5"/>
    <n v="0.19"/>
    <n v="0"/>
    <x v="1"/>
    <x v="1"/>
    <n v="0"/>
    <n v="9.5"/>
    <n v="0.19"/>
    <n v="-9.5"/>
    <s v="Ecart négatif"/>
    <n v="8.0399999999999991"/>
  </r>
  <r>
    <x v="0"/>
    <n v="75"/>
    <x v="54"/>
    <x v="0"/>
    <n v="0"/>
    <n v="0"/>
    <n v="0"/>
    <n v="0"/>
    <x v="1"/>
    <x v="1"/>
    <n v="0"/>
    <n v="0"/>
    <n v="0"/>
    <n v="0"/>
    <s v="Pas d'écart"/>
    <n v="15.419999999999995"/>
  </r>
  <r>
    <x v="0"/>
    <n v="10"/>
    <x v="2"/>
    <x v="0"/>
    <n v="0"/>
    <n v="16.8"/>
    <n v="0.12000000000000001"/>
    <n v="-16.8"/>
    <x v="0"/>
    <x v="1"/>
    <n v="0"/>
    <n v="16.8"/>
    <n v="0.12000000000000001"/>
    <n v="-16.8"/>
    <s v="Ecart négatif"/>
    <n v="78.8"/>
  </r>
  <r>
    <x v="4"/>
    <n v="13"/>
    <x v="11"/>
    <x v="702"/>
    <n v="0.26650000000000001"/>
    <n v="17.399999999999999"/>
    <n v="0.28999999999999998"/>
    <n v="-1.4099999999999984"/>
    <x v="0"/>
    <x v="1"/>
    <n v="0"/>
    <n v="17.399999999999999"/>
    <n v="0.28999999999999998"/>
    <n v="-17.399999999999999"/>
    <s v="Ecart négatif"/>
    <n v="0"/>
  </r>
  <r>
    <x v="4"/>
    <n v="49"/>
    <x v="2"/>
    <x v="307"/>
    <n v="0.26657142857142857"/>
    <n v="37.800000000000004"/>
    <n v="0.27"/>
    <n v="-0.48000000000000398"/>
    <x v="0"/>
    <x v="1"/>
    <n v="0"/>
    <n v="37.800000000000004"/>
    <n v="0.27"/>
    <n v="-37.800000000000004"/>
    <s v="Ecart négatif"/>
    <n v="0"/>
  </r>
  <r>
    <x v="3"/>
    <n v="87"/>
    <x v="11"/>
    <x v="703"/>
    <n v="0.26666666666666666"/>
    <n v="16.8"/>
    <n v="0.28000000000000003"/>
    <n v="-0.80000000000000071"/>
    <x v="0"/>
    <x v="1"/>
    <n v="0"/>
    <n v="16.8"/>
    <n v="0.28000000000000003"/>
    <n v="-16.8"/>
    <s v="Ecart négatif"/>
    <n v="11.649999999999999"/>
  </r>
  <r>
    <x v="8"/>
    <n v="20"/>
    <x v="19"/>
    <x v="0"/>
    <n v="0"/>
    <n v="55.099999999999994"/>
    <n v="0.28999999999999998"/>
    <n v="-55.099999999999994"/>
    <x v="0"/>
    <x v="1"/>
    <n v="0"/>
    <n v="55.099999999999994"/>
    <n v="0.28999999999999998"/>
    <n v="-55.099999999999994"/>
    <s v="Ecart négatif"/>
    <n v="565.78"/>
  </r>
  <r>
    <x v="0"/>
    <n v="59"/>
    <x v="19"/>
    <x v="0"/>
    <n v="0"/>
    <n v="0"/>
    <n v="0"/>
    <n v="0"/>
    <x v="1"/>
    <x v="1"/>
    <n v="0"/>
    <n v="0"/>
    <n v="0"/>
    <n v="0"/>
    <s v="Pas d'écart"/>
    <n v="19.97999999999999"/>
  </r>
  <r>
    <x v="0"/>
    <n v="13"/>
    <x v="9"/>
    <x v="0"/>
    <n v="0"/>
    <n v="15.2"/>
    <n v="0.19"/>
    <n v="-15.2"/>
    <x v="0"/>
    <x v="1"/>
    <n v="0"/>
    <n v="15.2"/>
    <n v="0.19"/>
    <n v="-15.2"/>
    <s v="Ecart négatif"/>
    <n v="9.4100000000000037"/>
  </r>
  <r>
    <x v="4"/>
    <n v="75"/>
    <x v="12"/>
    <x v="0"/>
    <n v="0"/>
    <n v="0"/>
    <n v="0"/>
    <n v="0"/>
    <x v="1"/>
    <x v="1"/>
    <n v="0"/>
    <n v="0"/>
    <n v="0"/>
    <n v="0"/>
    <s v="Pas d'écart"/>
    <n v="0"/>
  </r>
  <r>
    <x v="3"/>
    <n v="87"/>
    <x v="11"/>
    <x v="703"/>
    <n v="0.26666666666666666"/>
    <n v="16.8"/>
    <n v="0.28000000000000003"/>
    <n v="-0.80000000000000071"/>
    <x v="0"/>
    <x v="1"/>
    <n v="0"/>
    <n v="16.8"/>
    <n v="0.28000000000000003"/>
    <n v="-16.8"/>
    <s v="Ecart négatif"/>
    <n v="11.649999999999999"/>
  </r>
  <r>
    <x v="3"/>
    <n v="87"/>
    <x v="11"/>
    <x v="703"/>
    <n v="0.26666666666666666"/>
    <n v="16.8"/>
    <n v="0.28000000000000003"/>
    <n v="-0.80000000000000071"/>
    <x v="0"/>
    <x v="1"/>
    <n v="0"/>
    <n v="16.8"/>
    <n v="0.28000000000000003"/>
    <n v="-16.8"/>
    <s v="Ecart négatif"/>
    <n v="11.649999999999999"/>
  </r>
  <r>
    <x v="3"/>
    <n v="87"/>
    <x v="11"/>
    <x v="703"/>
    <n v="0.26666666666666666"/>
    <n v="16.8"/>
    <n v="0.28000000000000003"/>
    <n v="-0.80000000000000071"/>
    <x v="0"/>
    <x v="1"/>
    <n v="0"/>
    <n v="16.8"/>
    <n v="0.28000000000000003"/>
    <n v="-16.8"/>
    <s v="Ecart négatif"/>
    <n v="11.649999999999999"/>
  </r>
  <r>
    <x v="4"/>
    <n v="75"/>
    <x v="6"/>
    <x v="0"/>
    <n v="0"/>
    <n v="0"/>
    <n v="0"/>
    <n v="0"/>
    <x v="1"/>
    <x v="1"/>
    <n v="0"/>
    <n v="0"/>
    <n v="0"/>
    <n v="0"/>
    <s v="Pas d'écart"/>
    <n v="0"/>
  </r>
  <r>
    <x v="4"/>
    <n v="69"/>
    <x v="44"/>
    <x v="704"/>
    <n v="0.26667741935483874"/>
    <n v="83.7"/>
    <n v="0.27"/>
    <n v="-1.0300000000000011"/>
    <x v="0"/>
    <x v="1"/>
    <n v="0"/>
    <n v="83.7"/>
    <n v="0.27"/>
    <n v="-83.7"/>
    <s v="Ecart négatif"/>
    <n v="0"/>
  </r>
  <r>
    <x v="4"/>
    <n v="44"/>
    <x v="81"/>
    <x v="705"/>
    <n v="0.26678947368421052"/>
    <n v="153.9"/>
    <n v="0.27"/>
    <n v="-1.8300000000000125"/>
    <x v="0"/>
    <x v="1"/>
    <n v="0"/>
    <n v="153.9"/>
    <n v="0.27"/>
    <n v="-153.9"/>
    <s v="Ecart négatif"/>
    <e v="#N/A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2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4"/>
    <n v="35"/>
    <x v="48"/>
    <x v="706"/>
    <n v="0.26697435897435901"/>
    <n v="105.30000000000001"/>
    <n v="0.27"/>
    <n v="-1.1800000000000068"/>
    <x v="0"/>
    <x v="1"/>
    <n v="0"/>
    <n v="105.30000000000001"/>
    <n v="0.27"/>
    <n v="-105.30000000000001"/>
    <s v="Ecart négatif"/>
    <n v="0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3"/>
    <n v="67"/>
    <x v="12"/>
    <x v="707"/>
    <n v="0.26700000000000002"/>
    <n v="11.6"/>
    <n v="0.28999999999999998"/>
    <n v="-0.91999999999999993"/>
    <x v="0"/>
    <x v="1"/>
    <n v="0"/>
    <n v="11.6"/>
    <n v="0.28999999999999998"/>
    <n v="-11.6"/>
    <s v="Ecart négatif"/>
    <n v="6.8599999999999994"/>
  </r>
  <r>
    <x v="3"/>
    <n v="67"/>
    <x v="12"/>
    <x v="707"/>
    <n v="0.26700000000000002"/>
    <n v="11.6"/>
    <n v="0.28999999999999998"/>
    <n v="-0.91999999999999993"/>
    <x v="0"/>
    <x v="1"/>
    <n v="0"/>
    <n v="11.6"/>
    <n v="0.28999999999999998"/>
    <n v="-11.6"/>
    <s v="Ecart négatif"/>
    <n v="6.8599999999999994"/>
  </r>
  <r>
    <x v="3"/>
    <n v="84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8.2899999999999991"/>
  </r>
  <r>
    <x v="3"/>
    <n v="38"/>
    <x v="0"/>
    <x v="708"/>
    <n v="0.26705555555555555"/>
    <n v="48.6"/>
    <n v="0.27"/>
    <n v="-0.53000000000000114"/>
    <x v="0"/>
    <x v="1"/>
    <n v="0"/>
    <n v="48.6"/>
    <n v="0.27"/>
    <n v="-48.6"/>
    <s v="Ecart négatif"/>
    <n v="21.47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56"/>
    <x v="2"/>
    <x v="709"/>
    <n v="0.26721428571428568"/>
    <n v="37.800000000000004"/>
    <n v="0.27"/>
    <n v="-0.39000000000000767"/>
    <x v="0"/>
    <x v="1"/>
    <n v="0"/>
    <n v="37.800000000000004"/>
    <n v="0.27"/>
    <n v="-37.800000000000004"/>
    <s v="Ecart négatif"/>
    <n v="14.68"/>
  </r>
  <r>
    <x v="3"/>
    <n v="84"/>
    <x v="1"/>
    <x v="469"/>
    <n v="0.26724999999999999"/>
    <n v="34.799999999999997"/>
    <n v="0.28999999999999998"/>
    <n v="-2.7299999999999969"/>
    <x v="0"/>
    <x v="1"/>
    <n v="0"/>
    <n v="34.799999999999997"/>
    <n v="0.28999999999999998"/>
    <n v="-34.799999999999997"/>
    <s v="Ecart négatif"/>
    <n v="14.470000000000006"/>
  </r>
  <r>
    <x v="4"/>
    <n v="53"/>
    <x v="8"/>
    <x v="710"/>
    <n v="0.2674285714285714"/>
    <n v="18.900000000000002"/>
    <n v="0.27"/>
    <n v="-0.18000000000000327"/>
    <x v="0"/>
    <x v="1"/>
    <n v="0"/>
    <n v="18.900000000000002"/>
    <n v="0.27"/>
    <n v="-18.900000000000002"/>
    <s v="Ecart négatif"/>
    <n v="0"/>
  </r>
  <r>
    <x v="4"/>
    <n v="84"/>
    <x v="18"/>
    <x v="711"/>
    <n v="0.26744444444444443"/>
    <n v="26.099999999999998"/>
    <n v="0.28999999999999998"/>
    <n v="-2.0299999999999976"/>
    <x v="0"/>
    <x v="1"/>
    <n v="0"/>
    <n v="26.099999999999998"/>
    <n v="0.28999999999999998"/>
    <n v="-26.099999999999998"/>
    <s v="Ecart négatif"/>
    <n v="0"/>
  </r>
  <r>
    <x v="8"/>
    <n v="30"/>
    <x v="7"/>
    <x v="0"/>
    <n v="0"/>
    <n v="11.700000000000001"/>
    <n v="0.39"/>
    <n v="-11.700000000000001"/>
    <x v="0"/>
    <x v="1"/>
    <n v="0"/>
    <n v="11.700000000000001"/>
    <n v="0.39"/>
    <n v="-11.700000000000001"/>
    <s v="Ecart négatif"/>
    <n v="23.07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2"/>
    <n v="6"/>
    <x v="1"/>
    <x v="0"/>
    <n v="0"/>
    <n v="25.2"/>
    <n v="0.21"/>
    <n v="-25.2"/>
    <x v="0"/>
    <x v="1"/>
    <n v="0"/>
    <n v="25.2"/>
    <n v="0.21"/>
    <n v="-25.2"/>
    <s v="Ecart négatif"/>
    <n v="0"/>
  </r>
  <r>
    <x v="8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0"/>
  </r>
  <r>
    <x v="4"/>
    <n v="13"/>
    <x v="18"/>
    <x v="711"/>
    <n v="0.26744444444444443"/>
    <n v="26.099999999999998"/>
    <n v="0.28999999999999998"/>
    <n v="-2.0299999999999976"/>
    <x v="0"/>
    <x v="1"/>
    <n v="0"/>
    <n v="26.099999999999998"/>
    <n v="0.28999999999999998"/>
    <n v="-26.099999999999998"/>
    <s v="Ecart négatif"/>
    <n v="0"/>
  </r>
  <r>
    <x v="4"/>
    <n v="13"/>
    <x v="18"/>
    <x v="711"/>
    <n v="0.26744444444444443"/>
    <n v="26.099999999999998"/>
    <n v="0.28999999999999998"/>
    <n v="-2.0299999999999976"/>
    <x v="0"/>
    <x v="1"/>
    <n v="0"/>
    <n v="26.099999999999998"/>
    <n v="0.28999999999999998"/>
    <n v="-26.099999999999998"/>
    <s v="Ecart négatif"/>
    <n v="0"/>
  </r>
  <r>
    <x v="3"/>
    <n v="56"/>
    <x v="15"/>
    <x v="712"/>
    <n v="0.26749999999999996"/>
    <n v="5.4"/>
    <n v="0.27"/>
    <n v="-5.0000000000000711E-2"/>
    <x v="0"/>
    <x v="1"/>
    <n v="0"/>
    <n v="5.4"/>
    <n v="0.27"/>
    <n v="-5.4"/>
    <s v="Ecart négatif"/>
    <n v="3.740000000000002"/>
  </r>
  <r>
    <x v="4"/>
    <n v="73"/>
    <x v="15"/>
    <x v="712"/>
    <n v="0.26749999999999996"/>
    <n v="5.4"/>
    <n v="0.27"/>
    <n v="-5.0000000000000711E-2"/>
    <x v="0"/>
    <x v="1"/>
    <n v="0"/>
    <n v="5.4"/>
    <n v="0.27"/>
    <n v="-5.4"/>
    <s v="Ecart négatif"/>
    <n v="0"/>
  </r>
  <r>
    <x v="3"/>
    <n v="44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499999999999993"/>
  </r>
  <r>
    <x v="0"/>
    <n v="59"/>
    <x v="36"/>
    <x v="0"/>
    <n v="0"/>
    <n v="0"/>
    <n v="0"/>
    <n v="0"/>
    <x v="1"/>
    <x v="1"/>
    <n v="0"/>
    <n v="0"/>
    <n v="0"/>
    <n v="0"/>
    <s v="Pas d'écart"/>
    <n v="30.910000000000011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78"/>
    <x v="7"/>
    <x v="0"/>
    <n v="0"/>
    <n v="0"/>
    <n v="0"/>
    <n v="0"/>
    <x v="1"/>
    <x v="1"/>
    <n v="0"/>
    <n v="0"/>
    <n v="0"/>
    <n v="0"/>
    <s v="Pas d'écart"/>
    <n v="0"/>
  </r>
  <r>
    <x v="2"/>
    <n v="69"/>
    <x v="25"/>
    <x v="0"/>
    <n v="0"/>
    <n v="0"/>
    <n v="0"/>
    <n v="0"/>
    <x v="1"/>
    <x v="1"/>
    <n v="0"/>
    <n v="0"/>
    <n v="0"/>
    <n v="0"/>
    <s v="Pas d'écart"/>
    <n v="0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3"/>
    <n v="56"/>
    <x v="15"/>
    <x v="712"/>
    <n v="0.26749999999999996"/>
    <n v="5.4"/>
    <n v="0.27"/>
    <n v="-5.0000000000000711E-2"/>
    <x v="0"/>
    <x v="1"/>
    <n v="0"/>
    <n v="5.4"/>
    <n v="0.27"/>
    <n v="-5.4"/>
    <s v="Ecart négatif"/>
    <n v="3.740000000000002"/>
  </r>
  <r>
    <x v="2"/>
    <n v="75"/>
    <x v="10"/>
    <x v="0"/>
    <n v="0"/>
    <n v="0"/>
    <n v="0"/>
    <n v="0"/>
    <x v="1"/>
    <x v="1"/>
    <n v="0"/>
    <n v="0"/>
    <n v="0"/>
    <n v="0"/>
    <s v="Pas d'écart"/>
    <n v="55.05"/>
  </r>
  <r>
    <x v="2"/>
    <n v="67"/>
    <x v="20"/>
    <x v="0"/>
    <n v="0"/>
    <n v="20"/>
    <n v="0.08"/>
    <n v="-20"/>
    <x v="0"/>
    <x v="176"/>
    <n v="0.08"/>
    <n v="20"/>
    <n v="0.08"/>
    <n v="0"/>
    <s v="Pas d'écart"/>
    <n v="131.1"/>
  </r>
  <r>
    <x v="2"/>
    <n v="83"/>
    <x v="13"/>
    <x v="0"/>
    <n v="0"/>
    <n v="35.699999999999996"/>
    <n v="0.20999999999999996"/>
    <n v="-35.699999999999996"/>
    <x v="0"/>
    <x v="309"/>
    <n v="0.19917647058823529"/>
    <n v="35.699999999999996"/>
    <n v="0.20999999999999996"/>
    <n v="-1.8399999999999963"/>
    <s v="Ecart négatif"/>
    <n v="0"/>
  </r>
  <r>
    <x v="2"/>
    <n v="78"/>
    <x v="2"/>
    <x v="0"/>
    <n v="0"/>
    <n v="0"/>
    <n v="0"/>
    <n v="0"/>
    <x v="1"/>
    <x v="1"/>
    <n v="0"/>
    <n v="0"/>
    <n v="0"/>
    <n v="0"/>
    <s v="Pas d'écart"/>
    <n v="0"/>
  </r>
  <r>
    <x v="4"/>
    <n v="39"/>
    <x v="15"/>
    <x v="712"/>
    <n v="0.26749999999999996"/>
    <n v="5.4"/>
    <n v="0.27"/>
    <n v="-5.0000000000000711E-2"/>
    <x v="0"/>
    <x v="1"/>
    <n v="0"/>
    <n v="5.4"/>
    <n v="0.27"/>
    <n v="-5.4"/>
    <s v="Ecart négatif"/>
    <n v="0"/>
  </r>
  <r>
    <x v="4"/>
    <n v="69"/>
    <x v="15"/>
    <x v="712"/>
    <n v="0.26749999999999996"/>
    <n v="5.4"/>
    <n v="0.27"/>
    <n v="-5.0000000000000711E-2"/>
    <x v="0"/>
    <x v="1"/>
    <n v="0"/>
    <n v="5.4"/>
    <n v="0.27"/>
    <n v="-5.4"/>
    <s v="Ecart négatif"/>
    <n v="0"/>
  </r>
  <r>
    <x v="0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8.419999999999987"/>
  </r>
  <r>
    <x v="0"/>
    <n v="89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15.759999999999998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21"/>
    <x v="6"/>
    <x v="0"/>
    <n v="0"/>
    <n v="19.2"/>
    <n v="0.12"/>
    <n v="-19.2"/>
    <x v="0"/>
    <x v="1"/>
    <n v="0"/>
    <n v="19.2"/>
    <n v="0.12"/>
    <n v="-19.2"/>
    <s v="Ecart négatif"/>
    <n v="76.56"/>
  </r>
  <r>
    <x v="2"/>
    <n v="59"/>
    <x v="25"/>
    <x v="0"/>
    <n v="0"/>
    <n v="0"/>
    <n v="0"/>
    <n v="0"/>
    <x v="1"/>
    <x v="1"/>
    <n v="0"/>
    <n v="0"/>
    <n v="0"/>
    <n v="0"/>
    <s v="Pas d'écart"/>
    <n v="0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24"/>
    <x v="8"/>
    <x v="0"/>
    <n v="0"/>
    <n v="11.9"/>
    <n v="0.17"/>
    <n v="-11.9"/>
    <x v="0"/>
    <x v="139"/>
    <n v="0.152"/>
    <n v="11.9"/>
    <n v="0.17"/>
    <n v="-1.2599999999999998"/>
    <s v="Ecart négatif"/>
    <n v="61.48"/>
  </r>
  <r>
    <x v="2"/>
    <n v="50"/>
    <x v="0"/>
    <x v="0"/>
    <n v="0"/>
    <n v="30.6"/>
    <n v="0.17"/>
    <n v="-30.6"/>
    <x v="0"/>
    <x v="0"/>
    <n v="0.17"/>
    <n v="30.6"/>
    <n v="0.17"/>
    <n v="0"/>
    <s v="Pas d'écart"/>
    <n v="0"/>
  </r>
  <r>
    <x v="0"/>
    <n v="60"/>
    <x v="8"/>
    <x v="0"/>
    <n v="0"/>
    <n v="0"/>
    <n v="0"/>
    <n v="0"/>
    <x v="1"/>
    <x v="310"/>
    <n v="0.18"/>
    <n v="0"/>
    <n v="0"/>
    <n v="12.6"/>
    <s v="Ecart positif"/>
    <n v="13.269999999999996"/>
  </r>
  <r>
    <x v="0"/>
    <n v="55"/>
    <x v="2"/>
    <x v="0"/>
    <n v="0"/>
    <n v="35"/>
    <n v="0.25"/>
    <n v="-35"/>
    <x v="0"/>
    <x v="71"/>
    <n v="0.25"/>
    <n v="35"/>
    <n v="0.25"/>
    <n v="0"/>
    <s v="Pas d'écart"/>
    <n v="73.41"/>
  </r>
  <r>
    <x v="2"/>
    <n v="2"/>
    <x v="8"/>
    <x v="0"/>
    <n v="0"/>
    <n v="0"/>
    <n v="0"/>
    <n v="0"/>
    <x v="1"/>
    <x v="1"/>
    <n v="0"/>
    <n v="0"/>
    <n v="0"/>
    <n v="0"/>
    <s v="Pas d'écart"/>
    <n v="61.48"/>
  </r>
  <r>
    <x v="3"/>
    <n v="69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70000000000000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6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47.76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69"/>
    <x v="33"/>
    <x v="0"/>
    <n v="0"/>
    <n v="0"/>
    <n v="0"/>
    <n v="0"/>
    <x v="1"/>
    <x v="1"/>
    <n v="0"/>
    <n v="0"/>
    <n v="0"/>
    <n v="0"/>
    <s v="Pas d'écart"/>
    <n v="29.029999999999987"/>
  </r>
  <r>
    <x v="0"/>
    <n v="62"/>
    <x v="0"/>
    <x v="0"/>
    <n v="0"/>
    <n v="0"/>
    <n v="0"/>
    <n v="0"/>
    <x v="1"/>
    <x v="1"/>
    <n v="0"/>
    <n v="0"/>
    <n v="0"/>
    <n v="0"/>
    <s v="Pas d'écart"/>
    <n v="21.4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3"/>
    <x v="11"/>
    <x v="0"/>
    <n v="0"/>
    <n v="12.6"/>
    <n v="0.21"/>
    <n v="-12.6"/>
    <x v="0"/>
    <x v="1"/>
    <n v="0"/>
    <n v="12.6"/>
    <n v="0.21"/>
    <n v="-12.6"/>
    <s v="Ecart négatif"/>
    <n v="15.069999999999997"/>
  </r>
  <r>
    <x v="0"/>
    <n v="2"/>
    <x v="2"/>
    <x v="0"/>
    <n v="0"/>
    <n v="0"/>
    <n v="0"/>
    <n v="0"/>
    <x v="1"/>
    <x v="1"/>
    <n v="0"/>
    <n v="0"/>
    <n v="0"/>
    <n v="0"/>
    <s v="Pas d'écart"/>
    <n v="73.41"/>
  </r>
  <r>
    <x v="3"/>
    <n v="35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1"/>
  </r>
  <r>
    <x v="3"/>
    <n v="44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499999999999993"/>
  </r>
  <r>
    <x v="0"/>
    <n v="61"/>
    <x v="0"/>
    <x v="0"/>
    <n v="0"/>
    <n v="30.6"/>
    <n v="0.17"/>
    <n v="-30.6"/>
    <x v="0"/>
    <x v="0"/>
    <n v="0.17"/>
    <n v="30.6"/>
    <n v="0.17"/>
    <n v="0"/>
    <s v="Pas d'écart"/>
    <n v="116.04"/>
  </r>
  <r>
    <x v="0"/>
    <n v="77"/>
    <x v="6"/>
    <x v="0"/>
    <n v="0"/>
    <n v="0"/>
    <n v="0"/>
    <n v="0"/>
    <x v="1"/>
    <x v="1"/>
    <n v="0"/>
    <n v="0"/>
    <n v="0"/>
    <n v="0"/>
    <s v="Pas d'écart"/>
    <n v="11.36"/>
  </r>
  <r>
    <x v="4"/>
    <n v="69"/>
    <x v="15"/>
    <x v="712"/>
    <n v="0.26749999999999996"/>
    <n v="5.4"/>
    <n v="0.27"/>
    <n v="-5.0000000000000711E-2"/>
    <x v="0"/>
    <x v="1"/>
    <n v="0"/>
    <n v="5.4"/>
    <n v="0.27"/>
    <n v="-5.4"/>
    <s v="Ecart négatif"/>
    <n v="0"/>
  </r>
  <r>
    <x v="3"/>
    <n v="35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1"/>
  </r>
  <r>
    <x v="2"/>
    <n v="84"/>
    <x v="16"/>
    <x v="0"/>
    <n v="0"/>
    <n v="38"/>
    <n v="0.19"/>
    <n v="-38"/>
    <x v="0"/>
    <x v="1"/>
    <n v="0"/>
    <n v="38"/>
    <n v="0.19"/>
    <n v="-38"/>
    <s v="Ecart négatif"/>
    <n v="129.61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7"/>
    <n v="51"/>
    <x v="9"/>
    <x v="0"/>
    <n v="0"/>
    <n v="20"/>
    <n v="0.25"/>
    <n v="-20"/>
    <x v="0"/>
    <x v="1"/>
    <n v="0"/>
    <n v="20"/>
    <n v="0.25"/>
    <n v="-20"/>
    <s v="Ecart négatif"/>
    <n v="14.89"/>
  </r>
  <r>
    <x v="5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5"/>
    <n v="54"/>
    <x v="6"/>
    <x v="241"/>
    <n v="0.23593749999999999"/>
    <n v="40"/>
    <n v="0.25"/>
    <n v="-2.25"/>
    <x v="0"/>
    <x v="1"/>
    <n v="0"/>
    <n v="40"/>
    <n v="0.25"/>
    <n v="-40"/>
    <s v="Ecart négatif"/>
    <n v="76.56"/>
  </r>
  <r>
    <x v="4"/>
    <n v="69"/>
    <x v="15"/>
    <x v="712"/>
    <n v="0.26749999999999996"/>
    <n v="5.4"/>
    <n v="0.27"/>
    <n v="-5.0000000000000711E-2"/>
    <x v="0"/>
    <x v="1"/>
    <n v="0"/>
    <n v="5.4"/>
    <n v="0.27"/>
    <n v="-5.4"/>
    <s v="Ecart négatif"/>
    <n v="0"/>
  </r>
  <r>
    <x v="2"/>
    <n v="75"/>
    <x v="2"/>
    <x v="0"/>
    <n v="0"/>
    <n v="0"/>
    <n v="0"/>
    <n v="0"/>
    <x v="1"/>
    <x v="1"/>
    <n v="0"/>
    <n v="0"/>
    <n v="0"/>
    <n v="0"/>
    <s v="Pas d'écart"/>
    <n v="52.57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7"/>
    <n v="57"/>
    <x v="12"/>
    <x v="0"/>
    <n v="0"/>
    <n v="9.6"/>
    <n v="0.24"/>
    <n v="-9.6"/>
    <x v="0"/>
    <x v="1"/>
    <n v="0"/>
    <n v="9.6"/>
    <n v="0.24"/>
    <n v="-9.6"/>
    <s v="Ecart négatif"/>
    <n v="41.47"/>
  </r>
  <r>
    <x v="2"/>
    <n v="94"/>
    <x v="12"/>
    <x v="0"/>
    <n v="0"/>
    <n v="0"/>
    <n v="0"/>
    <n v="0"/>
    <x v="1"/>
    <x v="1"/>
    <n v="0"/>
    <n v="0"/>
    <n v="0"/>
    <n v="0"/>
    <s v="Pas d'écart"/>
    <n v="0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3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0"/>
  </r>
  <r>
    <x v="0"/>
    <n v="75"/>
    <x v="16"/>
    <x v="0"/>
    <n v="0"/>
    <n v="0"/>
    <n v="0"/>
    <n v="0"/>
    <x v="1"/>
    <x v="1"/>
    <n v="0"/>
    <n v="0"/>
    <n v="0"/>
    <n v="0"/>
    <s v="Pas d'écart"/>
    <n v="12.75"/>
  </r>
  <r>
    <x v="0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75"/>
    <x v="1"/>
    <x v="0"/>
    <n v="0"/>
    <n v="0"/>
    <n v="0"/>
    <n v="0"/>
    <x v="1"/>
    <x v="1"/>
    <n v="0"/>
    <n v="0"/>
    <n v="0"/>
    <n v="0"/>
    <s v="Pas d'écart"/>
    <n v="9.519999999999996"/>
  </r>
  <r>
    <x v="3"/>
    <n v="56"/>
    <x v="15"/>
    <x v="712"/>
    <n v="0.26749999999999996"/>
    <n v="5.4"/>
    <n v="0.27"/>
    <n v="-5.0000000000000711E-2"/>
    <x v="0"/>
    <x v="1"/>
    <n v="0"/>
    <n v="5.4"/>
    <n v="0.27"/>
    <n v="-5.4"/>
    <s v="Ecart négatif"/>
    <n v="3.740000000000002"/>
  </r>
  <r>
    <x v="0"/>
    <n v="6"/>
    <x v="7"/>
    <x v="0"/>
    <n v="0"/>
    <n v="6.3"/>
    <n v="0.21"/>
    <n v="-6.3"/>
    <x v="0"/>
    <x v="1"/>
    <n v="0"/>
    <n v="6.3"/>
    <n v="0.21"/>
    <n v="-6.3"/>
    <s v="Ecart négatif"/>
    <n v="4.8099999999999987"/>
  </r>
  <r>
    <x v="8"/>
    <n v="92"/>
    <x v="2"/>
    <x v="0"/>
    <n v="0"/>
    <n v="0"/>
    <n v="0"/>
    <n v="0"/>
    <x v="1"/>
    <x v="1"/>
    <n v="0"/>
    <n v="0"/>
    <n v="0"/>
    <n v="0"/>
    <s v="Pas d'écart"/>
    <n v="0"/>
  </r>
  <r>
    <x v="4"/>
    <n v="35"/>
    <x v="15"/>
    <x v="712"/>
    <n v="0.26749999999999996"/>
    <n v="5.4"/>
    <n v="0.27"/>
    <n v="-5.0000000000000711E-2"/>
    <x v="0"/>
    <x v="1"/>
    <n v="0"/>
    <n v="5.4"/>
    <n v="0.27"/>
    <n v="-5.4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3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3"/>
    <n v="35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1"/>
  </r>
  <r>
    <x v="3"/>
    <n v="69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700000000000006"/>
  </r>
  <r>
    <x v="3"/>
    <n v="44"/>
    <x v="15"/>
    <x v="712"/>
    <n v="0.26749999999999996"/>
    <n v="5.4"/>
    <n v="0.27"/>
    <n v="-5.0000000000000711E-2"/>
    <x v="0"/>
    <x v="1"/>
    <n v="0"/>
    <n v="5.4"/>
    <n v="0.27"/>
    <n v="-5.4"/>
    <s v="Ecart négatif"/>
    <n v="3.4499999999999993"/>
  </r>
  <r>
    <x v="2"/>
    <n v="21"/>
    <x v="41"/>
    <x v="0"/>
    <n v="0"/>
    <n v="52.8"/>
    <n v="0.12"/>
    <n v="-52.8"/>
    <x v="0"/>
    <x v="311"/>
    <n v="0.11890909090909091"/>
    <n v="52.8"/>
    <n v="0.12"/>
    <n v="-0.47999999999999687"/>
    <s v="Ecart négatif"/>
    <n v="187.23"/>
  </r>
  <r>
    <x v="4"/>
    <n v="67"/>
    <x v="11"/>
    <x v="713"/>
    <n v="0.26750000000000002"/>
    <n v="17.399999999999999"/>
    <n v="0.28999999999999998"/>
    <n v="-1.3499999999999979"/>
    <x v="0"/>
    <x v="1"/>
    <n v="0"/>
    <n v="17.399999999999999"/>
    <n v="0.28999999999999998"/>
    <n v="-17.399999999999999"/>
    <s v="Ecart négatif"/>
    <n v="0"/>
  </r>
  <r>
    <x v="4"/>
    <n v="3"/>
    <x v="11"/>
    <x v="713"/>
    <n v="0.26750000000000002"/>
    <n v="17.399999999999999"/>
    <n v="0.28999999999999998"/>
    <n v="-1.3499999999999979"/>
    <x v="0"/>
    <x v="1"/>
    <n v="0"/>
    <n v="17.399999999999999"/>
    <n v="0.28999999999999998"/>
    <n v="-17.399999999999999"/>
    <s v="Ecart négatif"/>
    <n v="0"/>
  </r>
  <r>
    <x v="3"/>
    <n v="67"/>
    <x v="11"/>
    <x v="713"/>
    <n v="0.26750000000000002"/>
    <n v="17.399999999999999"/>
    <n v="0.28999999999999998"/>
    <n v="-1.3499999999999979"/>
    <x v="0"/>
    <x v="1"/>
    <n v="0"/>
    <n v="17.399999999999999"/>
    <n v="0.28999999999999998"/>
    <n v="-17.399999999999999"/>
    <s v="Ecart négatif"/>
    <n v="8.5"/>
  </r>
  <r>
    <x v="3"/>
    <n v="69"/>
    <x v="39"/>
    <x v="714"/>
    <n v="0.26755172413793105"/>
    <n v="78.300000000000011"/>
    <n v="0.27"/>
    <n v="-0.71000000000000796"/>
    <x v="0"/>
    <x v="1"/>
    <n v="0"/>
    <n v="78.300000000000011"/>
    <n v="0.27"/>
    <n v="-78.300000000000011"/>
    <s v="Ecart négatif"/>
    <n v="29.970000000000013"/>
  </r>
  <r>
    <x v="3"/>
    <n v="69"/>
    <x v="6"/>
    <x v="715"/>
    <n v="0.267625"/>
    <n v="43.2"/>
    <n v="0.27"/>
    <n v="-0.38000000000000256"/>
    <x v="0"/>
    <x v="1"/>
    <n v="0"/>
    <n v="43.2"/>
    <n v="0.27"/>
    <n v="-43.2"/>
    <s v="Ecart négatif"/>
    <n v="15.310000000000002"/>
  </r>
  <r>
    <x v="4"/>
    <n v="85"/>
    <x v="6"/>
    <x v="715"/>
    <n v="0.267625"/>
    <n v="43.2"/>
    <n v="0.27"/>
    <n v="-0.38000000000000256"/>
    <x v="0"/>
    <x v="1"/>
    <n v="0"/>
    <n v="43.2"/>
    <n v="0.27"/>
    <n v="-43.2"/>
    <s v="Ecart négatif"/>
    <n v="0"/>
  </r>
  <r>
    <x v="3"/>
    <n v="69"/>
    <x v="19"/>
    <x v="716"/>
    <n v="0.26763157894736844"/>
    <n v="51.300000000000004"/>
    <n v="0.27"/>
    <n v="-0.45000000000000284"/>
    <x v="0"/>
    <x v="1"/>
    <n v="0"/>
    <n v="51.300000000000004"/>
    <n v="0.27"/>
    <n v="-51.300000000000004"/>
    <s v="Ecart négatif"/>
    <n v="19.97999999999999"/>
  </r>
  <r>
    <x v="0"/>
    <n v="84"/>
    <x v="16"/>
    <x v="0"/>
    <n v="0"/>
    <n v="38"/>
    <n v="0.19"/>
    <n v="-38"/>
    <x v="0"/>
    <x v="312"/>
    <n v="0.18390000000000001"/>
    <n v="38"/>
    <n v="0.19"/>
    <n v="-1.2199999999999989"/>
    <s v="Ecart négatif"/>
    <n v="129.61000000000001"/>
  </r>
  <r>
    <x v="0"/>
    <n v="75"/>
    <x v="12"/>
    <x v="0"/>
    <n v="0"/>
    <n v="0"/>
    <n v="0"/>
    <n v="0"/>
    <x v="1"/>
    <x v="1"/>
    <n v="0"/>
    <n v="0"/>
    <n v="0"/>
    <n v="0"/>
    <s v="Pas d'écart"/>
    <n v="5.23"/>
  </r>
  <r>
    <x v="3"/>
    <n v="69"/>
    <x v="19"/>
    <x v="716"/>
    <n v="0.26763157894736844"/>
    <n v="51.300000000000004"/>
    <n v="0.27"/>
    <n v="-0.45000000000000284"/>
    <x v="0"/>
    <x v="1"/>
    <n v="0"/>
    <n v="51.300000000000004"/>
    <n v="0.27"/>
    <n v="-51.300000000000004"/>
    <s v="Ecart négatif"/>
    <n v="19.97999999999999"/>
  </r>
  <r>
    <x v="2"/>
    <n v="13"/>
    <x v="6"/>
    <x v="0"/>
    <n v="0"/>
    <n v="30.4"/>
    <n v="0.19"/>
    <n v="-30.4"/>
    <x v="0"/>
    <x v="313"/>
    <n v="0.43412499999999998"/>
    <n v="30.4"/>
    <n v="0.19"/>
    <n v="39.059999999999995"/>
    <s v="Ecart positif"/>
    <n v="0"/>
  </r>
  <r>
    <x v="0"/>
    <n v="25"/>
    <x v="0"/>
    <x v="0"/>
    <n v="0"/>
    <n v="21.599999999999998"/>
    <n v="0.11999999999999998"/>
    <n v="-21.599999999999998"/>
    <x v="0"/>
    <x v="314"/>
    <n v="0.11655555555555555"/>
    <n v="21.599999999999998"/>
    <n v="0.11999999999999998"/>
    <n v="-0.61999999999999744"/>
    <s v="Ecart négatif"/>
    <n v="23.210000000000008"/>
  </r>
  <r>
    <x v="0"/>
    <n v="27"/>
    <x v="2"/>
    <x v="0"/>
    <n v="0"/>
    <n v="23.8"/>
    <n v="0.17"/>
    <n v="-23.8"/>
    <x v="0"/>
    <x v="40"/>
    <n v="0.17"/>
    <n v="23.8"/>
    <n v="0.17"/>
    <n v="0"/>
    <s v="Pas d'écart"/>
    <n v="73.41"/>
  </r>
  <r>
    <x v="6"/>
    <n v="59"/>
    <x v="21"/>
    <x v="0"/>
    <e v="#DIV/0!"/>
    <n v="0"/>
    <e v="#DIV/0!"/>
    <n v="0"/>
    <x v="1"/>
    <x v="1"/>
    <e v="#DIV/0!"/>
    <n v="0"/>
    <e v="#DIV/0!"/>
    <n v="0"/>
    <s v="Pas d'écart"/>
    <e v="#N/A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34"/>
    <x v="7"/>
    <x v="0"/>
    <n v="0"/>
    <n v="8.4"/>
    <n v="0.28000000000000003"/>
    <n v="-8.4"/>
    <x v="0"/>
    <x v="315"/>
    <n v="0.48766666666666669"/>
    <n v="8.4"/>
    <n v="0.28000000000000003"/>
    <n v="6.23"/>
    <s v="Ecart positif"/>
    <n v="21.94"/>
  </r>
  <r>
    <x v="3"/>
    <n v="69"/>
    <x v="19"/>
    <x v="716"/>
    <n v="0.26763157894736844"/>
    <n v="51.300000000000004"/>
    <n v="0.27"/>
    <n v="-0.45000000000000284"/>
    <x v="0"/>
    <x v="1"/>
    <n v="0"/>
    <n v="51.300000000000004"/>
    <n v="0.27"/>
    <n v="-51.300000000000004"/>
    <s v="Ecart négatif"/>
    <n v="19.97999999999999"/>
  </r>
  <r>
    <x v="3"/>
    <n v="69"/>
    <x v="19"/>
    <x v="716"/>
    <n v="0.26763157894736844"/>
    <n v="51.300000000000004"/>
    <n v="0.27"/>
    <n v="-0.45000000000000284"/>
    <x v="0"/>
    <x v="1"/>
    <n v="0"/>
    <n v="51.300000000000004"/>
    <n v="0.27"/>
    <n v="-51.300000000000004"/>
    <s v="Ecart négatif"/>
    <n v="19.97999999999999"/>
  </r>
  <r>
    <x v="4"/>
    <n v="94"/>
    <x v="6"/>
    <x v="0"/>
    <n v="0"/>
    <n v="0"/>
    <n v="0"/>
    <n v="0"/>
    <x v="1"/>
    <x v="1"/>
    <n v="0"/>
    <n v="0"/>
    <n v="0"/>
    <n v="0"/>
    <s v="Pas d'écart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6"/>
    <x v="11"/>
    <x v="717"/>
    <n v="0.26766666666666666"/>
    <n v="18"/>
    <n v="0.3"/>
    <n v="-1.9400000000000013"/>
    <x v="0"/>
    <x v="1"/>
    <n v="0"/>
    <n v="18"/>
    <n v="0.3"/>
    <n v="-18"/>
    <s v="Ecart négatif"/>
    <n v="11.64999999999999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34"/>
    <x v="0"/>
    <n v="0"/>
    <n v="62.1"/>
    <n v="0.27"/>
    <n v="-62.1"/>
    <x v="0"/>
    <x v="1"/>
    <n v="0"/>
    <n v="62.1"/>
    <n v="0.27"/>
    <n v="-62.1"/>
    <s v="Ecart négatif"/>
    <n v="121.72"/>
  </r>
  <r>
    <x v="3"/>
    <n v="6"/>
    <x v="11"/>
    <x v="717"/>
    <n v="0.26766666666666666"/>
    <n v="18"/>
    <n v="0.3"/>
    <n v="-1.9400000000000013"/>
    <x v="0"/>
    <x v="1"/>
    <n v="0"/>
    <n v="18"/>
    <n v="0.3"/>
    <n v="-18"/>
    <s v="Ecart négatif"/>
    <n v="11.649999999999999"/>
  </r>
  <r>
    <x v="4"/>
    <n v="44"/>
    <x v="10"/>
    <x v="718"/>
    <n v="0.26780000000000004"/>
    <n v="40.5"/>
    <n v="0.27"/>
    <n v="-0.32999999999999829"/>
    <x v="0"/>
    <x v="1"/>
    <n v="0"/>
    <n v="40.5"/>
    <n v="0.27"/>
    <n v="-40.5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67"/>
    <x v="11"/>
    <x v="0"/>
    <n v="0"/>
    <n v="4.8"/>
    <n v="0.08"/>
    <n v="-4.8"/>
    <x v="0"/>
    <x v="10"/>
    <n v="0.08"/>
    <n v="4.8"/>
    <n v="0.08"/>
    <n v="0"/>
    <s v="Pas d'écart"/>
    <n v="0"/>
  </r>
  <r>
    <x v="1"/>
    <n v="77"/>
    <x v="58"/>
    <x v="0"/>
    <n v="0"/>
    <n v="0"/>
    <n v="0"/>
    <n v="0"/>
    <x v="1"/>
    <x v="1"/>
    <n v="0"/>
    <n v="0"/>
    <n v="0"/>
    <n v="0"/>
    <s v="Pas d'écart"/>
    <n v="98.78"/>
  </r>
  <r>
    <x v="6"/>
    <n v="56"/>
    <x v="15"/>
    <x v="719"/>
    <n v="0.254"/>
    <n v="5.4"/>
    <n v="0.27"/>
    <n v="-0.32000000000000028"/>
    <x v="0"/>
    <x v="1"/>
    <n v="0"/>
    <n v="5.4"/>
    <n v="0.27"/>
    <n v="-5.4"/>
    <s v="Ecart négatif"/>
    <n v="18.690000000000001"/>
  </r>
  <r>
    <x v="4"/>
    <n v="69"/>
    <x v="0"/>
    <x v="73"/>
    <n v="0.27"/>
    <n v="48.6"/>
    <n v="0.27"/>
    <n v="0"/>
    <x v="1"/>
    <x v="1"/>
    <n v="0"/>
    <n v="48.6"/>
    <n v="0.27"/>
    <n v="-48.6"/>
    <s v="Ecart négatif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77"/>
    <x v="21"/>
    <x v="0"/>
    <e v="#DIV/0!"/>
    <n v="0"/>
    <e v="#DIV/0!"/>
    <n v="0"/>
    <x v="1"/>
    <x v="1"/>
    <e v="#DIV/0!"/>
    <n v="0"/>
    <e v="#DIV/0!"/>
    <n v="0"/>
    <s v="Pas d'écart"/>
    <e v="#N/A"/>
  </r>
  <r>
    <x v="5"/>
    <n v="50"/>
    <x v="18"/>
    <x v="0"/>
    <n v="0"/>
    <n v="15.3"/>
    <n v="0.17"/>
    <n v="-15.3"/>
    <x v="0"/>
    <x v="1"/>
    <n v="0"/>
    <n v="15.3"/>
    <n v="0.17"/>
    <n v="-15.3"/>
    <s v="Ecart négatif"/>
    <n v="15.04"/>
  </r>
  <r>
    <x v="8"/>
    <n v="34"/>
    <x v="19"/>
    <x v="0"/>
    <n v="0"/>
    <n v="74.100000000000009"/>
    <n v="0.39000000000000007"/>
    <n v="-74.100000000000009"/>
    <x v="0"/>
    <x v="1"/>
    <n v="0"/>
    <n v="74.100000000000009"/>
    <n v="0.39000000000000007"/>
    <n v="-74.100000000000009"/>
    <s v="Ecart négatif"/>
    <n v="0"/>
  </r>
  <r>
    <x v="2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76.56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44"/>
    <x v="11"/>
    <x v="720"/>
    <n v="0.26783333333333331"/>
    <n v="16.200000000000003"/>
    <n v="0.27000000000000007"/>
    <n v="-0.13000000000000256"/>
    <x v="0"/>
    <x v="1"/>
    <n v="0"/>
    <n v="16.200000000000003"/>
    <n v="0.27000000000000007"/>
    <n v="-16.200000000000003"/>
    <s v="Ecart négatif"/>
    <n v="0"/>
  </r>
  <r>
    <x v="4"/>
    <n v="6"/>
    <x v="21"/>
    <x v="0"/>
    <e v="#DIV/0!"/>
    <n v="0"/>
    <e v="#DIV/0!"/>
    <n v="0"/>
    <x v="1"/>
    <x v="1"/>
    <e v="#DIV/0!"/>
    <n v="0"/>
    <e v="#DIV/0!"/>
    <n v="0"/>
    <s v="Pas d'écart"/>
    <e v="#N/A"/>
  </r>
  <r>
    <x v="3"/>
    <n v="38"/>
    <x v="11"/>
    <x v="720"/>
    <n v="0.26783333333333331"/>
    <n v="16.200000000000003"/>
    <n v="0.27000000000000007"/>
    <n v="-0.13000000000000256"/>
    <x v="0"/>
    <x v="1"/>
    <n v="0"/>
    <n v="16.200000000000003"/>
    <n v="0.27000000000000007"/>
    <n v="-16.200000000000003"/>
    <s v="Ecart négatif"/>
    <n v="-12.219999999999999"/>
  </r>
  <r>
    <x v="3"/>
    <n v="38"/>
    <x v="11"/>
    <x v="720"/>
    <n v="0.26783333333333331"/>
    <n v="16.200000000000003"/>
    <n v="0.27000000000000007"/>
    <n v="-0.13000000000000256"/>
    <x v="0"/>
    <x v="1"/>
    <n v="0"/>
    <n v="16.200000000000003"/>
    <n v="0.27000000000000007"/>
    <n v="-16.200000000000003"/>
    <s v="Ecart négatif"/>
    <n v="-12.219999999999999"/>
  </r>
  <r>
    <x v="4"/>
    <n v="38"/>
    <x v="82"/>
    <x v="721"/>
    <n v="0.26794594594594595"/>
    <n v="99.9"/>
    <n v="0.27"/>
    <n v="-0.76000000000000512"/>
    <x v="0"/>
    <x v="1"/>
    <n v="0"/>
    <n v="99.9"/>
    <n v="0.27"/>
    <n v="-99.9"/>
    <s v="Ecart négatif"/>
    <n v="0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38"/>
    <x v="82"/>
    <x v="721"/>
    <n v="0.26794594594594595"/>
    <n v="99.9"/>
    <n v="0.27"/>
    <n v="-0.76000000000000512"/>
    <x v="0"/>
    <x v="1"/>
    <n v="0"/>
    <n v="99.9"/>
    <n v="0.27"/>
    <n v="-99.9"/>
    <s v="Ecart négatif"/>
    <n v="0"/>
  </r>
  <r>
    <x v="4"/>
    <n v="69"/>
    <x v="82"/>
    <x v="721"/>
    <n v="0.26794594594594595"/>
    <n v="99.9"/>
    <n v="0.27"/>
    <n v="-0.76000000000000512"/>
    <x v="0"/>
    <x v="1"/>
    <n v="0"/>
    <n v="99.9"/>
    <n v="0.27"/>
    <n v="-99.9"/>
    <s v="Ecart négatif"/>
    <n v="0"/>
  </r>
  <r>
    <x v="4"/>
    <n v="35"/>
    <x v="6"/>
    <x v="722"/>
    <n v="0.26800000000000002"/>
    <n v="43.2"/>
    <n v="0.27"/>
    <n v="-0.32000000000000028"/>
    <x v="0"/>
    <x v="1"/>
    <n v="0"/>
    <n v="43.2"/>
    <n v="0.27"/>
    <n v="-43.2"/>
    <s v="Ecart négatif"/>
    <n v="0"/>
  </r>
  <r>
    <x v="1"/>
    <n v="44"/>
    <x v="6"/>
    <x v="0"/>
    <n v="0"/>
    <n v="43.2"/>
    <n v="0.27"/>
    <n v="-43.2"/>
    <x v="0"/>
    <x v="1"/>
    <n v="0"/>
    <n v="43.2"/>
    <n v="0.27"/>
    <n v="-43.2"/>
    <s v="Ecart négatif"/>
    <n v="76.56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0"/>
    <n v="44"/>
    <x v="7"/>
    <x v="0"/>
    <n v="0"/>
    <n v="0"/>
    <n v="0"/>
    <n v="0"/>
    <x v="1"/>
    <x v="1"/>
    <n v="0"/>
    <n v="0"/>
    <n v="0"/>
    <n v="0"/>
    <s v="Pas d'écart"/>
    <n v="3.7699999999999996"/>
  </r>
  <r>
    <x v="0"/>
    <n v="44"/>
    <x v="28"/>
    <x v="0"/>
    <n v="0"/>
    <n v="0"/>
    <n v="0"/>
    <n v="0"/>
    <x v="1"/>
    <x v="1"/>
    <n v="0"/>
    <n v="0"/>
    <n v="0"/>
    <n v="0"/>
    <s v="Pas d'écart"/>
    <n v="25.28"/>
  </r>
  <r>
    <x v="2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3"/>
    <n v="77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49"/>
    <x v="83"/>
    <x v="723"/>
    <n v="0.26824786324786326"/>
    <n v="315.90000000000003"/>
    <n v="0.27"/>
    <n v="-2.0500000000000114"/>
    <x v="0"/>
    <x v="1"/>
    <n v="0"/>
    <n v="315.90000000000003"/>
    <n v="0.27"/>
    <n v="-315.90000000000003"/>
    <s v="Ecart négatif"/>
    <e v="#N/A"/>
  </r>
  <r>
    <x v="3"/>
    <n v="56"/>
    <x v="8"/>
    <x v="724"/>
    <n v="0.26828571428571429"/>
    <n v="18.900000000000002"/>
    <n v="0.27"/>
    <n v="-0.12000000000000099"/>
    <x v="0"/>
    <x v="1"/>
    <n v="0"/>
    <n v="18.900000000000002"/>
    <n v="0.27"/>
    <n v="-18.900000000000002"/>
    <s v="Ecart négatif"/>
    <n v="12.299999999999997"/>
  </r>
  <r>
    <x v="0"/>
    <n v="62"/>
    <x v="22"/>
    <x v="0"/>
    <n v="0"/>
    <n v="0"/>
    <n v="0"/>
    <n v="0"/>
    <x v="1"/>
    <x v="1"/>
    <n v="0"/>
    <n v="0"/>
    <n v="0"/>
    <n v="0"/>
    <s v="Pas d'écart"/>
    <n v="14.249999999999993"/>
  </r>
  <r>
    <x v="1"/>
    <n v="77"/>
    <x v="28"/>
    <x v="0"/>
    <n v="0"/>
    <n v="0"/>
    <n v="0"/>
    <n v="0"/>
    <x v="1"/>
    <x v="1"/>
    <n v="0"/>
    <n v="0"/>
    <n v="0"/>
    <n v="0"/>
    <s v="Pas d'écart"/>
    <n v="71.38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0"/>
    <n v="94"/>
    <x v="0"/>
    <x v="0"/>
    <n v="0"/>
    <n v="0"/>
    <n v="0"/>
    <n v="0"/>
    <x v="1"/>
    <x v="1"/>
    <n v="0"/>
    <n v="0"/>
    <n v="0"/>
    <n v="0"/>
    <s v="Pas d'écart"/>
    <n v="12.050000000000004"/>
  </r>
  <r>
    <x v="0"/>
    <n v="21"/>
    <x v="19"/>
    <x v="0"/>
    <n v="0"/>
    <n v="22.8"/>
    <n v="0.12000000000000001"/>
    <n v="-22.8"/>
    <x v="0"/>
    <x v="316"/>
    <n v="0.11778947368421053"/>
    <n v="22.8"/>
    <n v="0.12000000000000001"/>
    <n v="-0.42000000000000171"/>
    <s v="Ecart négatif"/>
    <n v="19.97999999999999"/>
  </r>
  <r>
    <x v="4"/>
    <n v="56"/>
    <x v="8"/>
    <x v="724"/>
    <n v="0.26828571428571429"/>
    <n v="18.900000000000002"/>
    <n v="0.27"/>
    <n v="-0.12000000000000099"/>
    <x v="0"/>
    <x v="1"/>
    <n v="0"/>
    <n v="18.900000000000002"/>
    <n v="0.27"/>
    <n v="-18.900000000000002"/>
    <s v="Ecart négatif"/>
    <n v="0"/>
  </r>
  <r>
    <x v="4"/>
    <n v="88"/>
    <x v="14"/>
    <x v="725"/>
    <n v="0.2683076923076923"/>
    <n v="36.400000000000006"/>
    <n v="0.28000000000000003"/>
    <n v="-1.5200000000000031"/>
    <x v="0"/>
    <x v="1"/>
    <n v="0"/>
    <n v="36.400000000000006"/>
    <n v="0.28000000000000003"/>
    <n v="-36.400000000000006"/>
    <s v="Ecart négatif"/>
    <n v="0"/>
  </r>
  <r>
    <x v="4"/>
    <n v="63"/>
    <x v="14"/>
    <x v="725"/>
    <n v="0.2683076923076923"/>
    <n v="37.699999999999996"/>
    <n v="0.28999999999999998"/>
    <n v="-2.8199999999999932"/>
    <x v="0"/>
    <x v="1"/>
    <n v="0"/>
    <n v="37.699999999999996"/>
    <n v="0.28999999999999998"/>
    <n v="-37.699999999999996"/>
    <s v="Ecart négatif"/>
    <n v="0"/>
  </r>
  <r>
    <x v="4"/>
    <n v="63"/>
    <x v="14"/>
    <x v="725"/>
    <n v="0.2683076923076923"/>
    <n v="37.699999999999996"/>
    <n v="0.28999999999999998"/>
    <n v="-2.8199999999999932"/>
    <x v="0"/>
    <x v="1"/>
    <n v="0"/>
    <n v="37.699999999999996"/>
    <n v="0.28999999999999998"/>
    <n v="-37.699999999999996"/>
    <s v="Ecart négatif"/>
    <n v="0"/>
  </r>
  <r>
    <x v="3"/>
    <n v="75"/>
    <x v="34"/>
    <x v="0"/>
    <n v="0"/>
    <n v="0"/>
    <n v="0"/>
    <n v="0"/>
    <x v="1"/>
    <x v="1"/>
    <n v="0"/>
    <n v="0"/>
    <n v="0"/>
    <n v="0"/>
    <s v="Pas d'écart"/>
    <n v="13.89"/>
  </r>
  <r>
    <x v="3"/>
    <n v="67"/>
    <x v="14"/>
    <x v="725"/>
    <n v="0.2683076923076923"/>
    <n v="37.699999999999996"/>
    <n v="0.28999999999999998"/>
    <n v="-2.8199999999999932"/>
    <x v="0"/>
    <x v="1"/>
    <n v="0"/>
    <n v="37.699999999999996"/>
    <n v="0.28999999999999998"/>
    <n v="-37.699999999999996"/>
    <s v="Ecart négatif"/>
    <n v="12.519999999999996"/>
  </r>
  <r>
    <x v="4"/>
    <n v="63"/>
    <x v="14"/>
    <x v="725"/>
    <n v="0.2683076923076923"/>
    <n v="37.699999999999996"/>
    <n v="0.28999999999999998"/>
    <n v="-2.8199999999999932"/>
    <x v="0"/>
    <x v="1"/>
    <n v="0"/>
    <n v="37.699999999999996"/>
    <n v="0.28999999999999998"/>
    <n v="-37.699999999999996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63"/>
    <x v="14"/>
    <x v="725"/>
    <n v="0.2683076923076923"/>
    <n v="37.699999999999996"/>
    <n v="0.28999999999999998"/>
    <n v="-2.8199999999999932"/>
    <x v="0"/>
    <x v="1"/>
    <n v="0"/>
    <n v="37.699999999999996"/>
    <n v="0.28999999999999998"/>
    <n v="-37.699999999999996"/>
    <s v="Ecart négatif"/>
    <n v="0"/>
  </r>
  <r>
    <x v="3"/>
    <n v="94"/>
    <x v="5"/>
    <x v="0"/>
    <n v="0"/>
    <n v="0"/>
    <n v="0"/>
    <n v="0"/>
    <x v="1"/>
    <x v="1"/>
    <n v="0"/>
    <n v="0"/>
    <n v="0"/>
    <n v="0"/>
    <s v="Pas d'écart"/>
    <n v="3.7100000000000009"/>
  </r>
  <r>
    <x v="4"/>
    <n v="56"/>
    <x v="2"/>
    <x v="726"/>
    <n v="0.26842857142857141"/>
    <n v="37.800000000000004"/>
    <n v="0.27"/>
    <n v="-0.22000000000000597"/>
    <x v="0"/>
    <x v="1"/>
    <n v="0"/>
    <n v="37.800000000000004"/>
    <n v="0.27"/>
    <n v="-37.800000000000004"/>
    <s v="Ecart négatif"/>
    <n v="0"/>
  </r>
  <r>
    <x v="4"/>
    <n v="88"/>
    <x v="14"/>
    <x v="727"/>
    <n v="0.26846153846153847"/>
    <n v="36.400000000000006"/>
    <n v="0.28000000000000003"/>
    <n v="-1.5000000000000071"/>
    <x v="0"/>
    <x v="1"/>
    <n v="0"/>
    <n v="36.400000000000006"/>
    <n v="0.28000000000000003"/>
    <n v="-36.400000000000006"/>
    <s v="Ecart négatif"/>
    <n v="0"/>
  </r>
  <r>
    <x v="4"/>
    <n v="85"/>
    <x v="10"/>
    <x v="279"/>
    <n v="0.26846666666666669"/>
    <n v="40.5"/>
    <n v="0.27"/>
    <n v="-0.22999999999999687"/>
    <x v="0"/>
    <x v="1"/>
    <n v="0"/>
    <n v="40.5"/>
    <n v="0.27"/>
    <n v="-40.5"/>
    <s v="Ecart négatif"/>
    <n v="0"/>
  </r>
  <r>
    <x v="0"/>
    <n v="78"/>
    <x v="19"/>
    <x v="0"/>
    <n v="0"/>
    <n v="0"/>
    <n v="0"/>
    <n v="0"/>
    <x v="1"/>
    <x v="1"/>
    <n v="0"/>
    <n v="0"/>
    <n v="0"/>
    <n v="0"/>
    <s v="Pas d'écart"/>
    <n v="12.399999999999999"/>
  </r>
  <r>
    <x v="2"/>
    <n v="26"/>
    <x v="84"/>
    <x v="0"/>
    <n v="0"/>
    <n v="0"/>
    <n v="0"/>
    <n v="0"/>
    <x v="1"/>
    <x v="1"/>
    <n v="0"/>
    <n v="0"/>
    <n v="0"/>
    <n v="0"/>
    <s v="Pas d'écart"/>
    <e v="#N/A"/>
  </r>
  <r>
    <x v="0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23.210000000000008"/>
  </r>
  <r>
    <x v="3"/>
    <n v="69"/>
    <x v="2"/>
    <x v="728"/>
    <n v="0.26850000000000002"/>
    <n v="37.800000000000004"/>
    <n v="0.27"/>
    <n v="-0.21000000000000085"/>
    <x v="0"/>
    <x v="1"/>
    <n v="0"/>
    <n v="37.800000000000004"/>
    <n v="0.27"/>
    <n v="-37.800000000000004"/>
    <s v="Ecart négatif"/>
    <n v="13.140000000000008"/>
  </r>
  <r>
    <x v="4"/>
    <n v="56"/>
    <x v="16"/>
    <x v="729"/>
    <n v="0.26860000000000001"/>
    <n v="54"/>
    <n v="0.27"/>
    <n v="-0.28000000000000114"/>
    <x v="0"/>
    <x v="1"/>
    <n v="0"/>
    <n v="54"/>
    <n v="0.27"/>
    <n v="-54"/>
    <s v="Ecart négatif"/>
    <n v="0"/>
  </r>
  <r>
    <x v="0"/>
    <n v="54"/>
    <x v="12"/>
    <x v="0"/>
    <n v="0"/>
    <n v="10"/>
    <n v="0.25"/>
    <n v="-10"/>
    <x v="0"/>
    <x v="317"/>
    <n v="0.23050000000000001"/>
    <n v="10"/>
    <n v="0.25"/>
    <n v="-0.77999999999999936"/>
    <s v="Ecart négatif"/>
    <n v="6.8599999999999994"/>
  </r>
  <r>
    <x v="4"/>
    <n v="35"/>
    <x v="4"/>
    <x v="730"/>
    <n v="0.26863636363636362"/>
    <n v="29.700000000000003"/>
    <n v="0.27"/>
    <n v="-0.15000000000000213"/>
    <x v="0"/>
    <x v="1"/>
    <n v="0"/>
    <n v="29.700000000000003"/>
    <n v="0.27"/>
    <n v="-29.700000000000003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44"/>
    <x v="85"/>
    <x v="731"/>
    <n v="0.26865333333333336"/>
    <n v="202.5"/>
    <n v="0.27"/>
    <n v="-1.0099999999999909"/>
    <x v="0"/>
    <x v="1"/>
    <n v="0"/>
    <n v="202.5"/>
    <n v="0.27"/>
    <n v="-202.5"/>
    <s v="Ecart négatif"/>
    <e v="#N/A"/>
  </r>
  <r>
    <x v="3"/>
    <n v="13"/>
    <x v="14"/>
    <x v="732"/>
    <n v="0.26876923076923076"/>
    <n v="37.699999999999996"/>
    <n v="0.28999999999999998"/>
    <n v="-2.759999999999998"/>
    <x v="0"/>
    <x v="1"/>
    <n v="0"/>
    <n v="37.699999999999996"/>
    <n v="0.28999999999999998"/>
    <n v="-37.699999999999996"/>
    <s v="Ecart négatif"/>
    <n v="12.519999999999996"/>
  </r>
  <r>
    <x v="4"/>
    <n v="13"/>
    <x v="18"/>
    <x v="733"/>
    <n v="0.26877777777777778"/>
    <n v="26.099999999999998"/>
    <n v="0.28999999999999998"/>
    <n v="-1.9099999999999966"/>
    <x v="0"/>
    <x v="1"/>
    <n v="0"/>
    <n v="26.099999999999998"/>
    <n v="0.28999999999999998"/>
    <n v="-26.099999999999998"/>
    <s v="Ecart négatif"/>
    <n v="0"/>
  </r>
  <r>
    <x v="4"/>
    <n v="63"/>
    <x v="14"/>
    <x v="734"/>
    <n v="0.26915384615384619"/>
    <n v="37.699999999999996"/>
    <n v="0.28999999999999998"/>
    <n v="-2.7099999999999937"/>
    <x v="0"/>
    <x v="1"/>
    <n v="0"/>
    <n v="37.699999999999996"/>
    <n v="0.28999999999999998"/>
    <n v="-37.699999999999996"/>
    <s v="Ecart négatif"/>
    <n v="0"/>
  </r>
  <r>
    <x v="6"/>
    <n v="60"/>
    <x v="6"/>
    <x v="0"/>
    <n v="0"/>
    <n v="30.4"/>
    <n v="0.19"/>
    <n v="-30.4"/>
    <x v="0"/>
    <x v="1"/>
    <n v="0"/>
    <n v="30.4"/>
    <n v="0.19"/>
    <n v="-30.4"/>
    <s v="Ecart négatif"/>
    <n v="6.5999999999999943"/>
  </r>
  <r>
    <x v="0"/>
    <n v="75"/>
    <x v="1"/>
    <x v="0"/>
    <n v="0"/>
    <n v="0"/>
    <n v="0"/>
    <n v="0"/>
    <x v="1"/>
    <x v="1"/>
    <n v="0"/>
    <n v="0"/>
    <n v="0"/>
    <n v="0"/>
    <s v="Pas d'écart"/>
    <n v="9.519999999999996"/>
  </r>
  <r>
    <x v="0"/>
    <n v="75"/>
    <x v="16"/>
    <x v="0"/>
    <n v="0"/>
    <n v="0"/>
    <n v="0"/>
    <n v="0"/>
    <x v="1"/>
    <x v="1"/>
    <n v="0"/>
    <n v="0"/>
    <n v="0"/>
    <n v="0"/>
    <s v="Pas d'écart"/>
    <n v="63.75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3"/>
    <n v="63"/>
    <x v="14"/>
    <x v="734"/>
    <n v="0.26915384615384619"/>
    <n v="37.699999999999996"/>
    <n v="0.28999999999999998"/>
    <n v="-2.7099999999999937"/>
    <x v="0"/>
    <x v="1"/>
    <n v="0"/>
    <n v="37.699999999999996"/>
    <n v="0.28999999999999998"/>
    <n v="-37.699999999999996"/>
    <s v="Ecart négatif"/>
    <n v="12.519999999999996"/>
  </r>
  <r>
    <x v="2"/>
    <n v="68"/>
    <x v="0"/>
    <x v="0"/>
    <n v="0"/>
    <n v="14.4"/>
    <n v="0.08"/>
    <n v="-14.4"/>
    <x v="0"/>
    <x v="67"/>
    <n v="7.7111111111111116E-2"/>
    <n v="14.4"/>
    <n v="0.08"/>
    <n v="-0.51999999999999957"/>
    <s v="Ecart négatif"/>
    <n v="0"/>
  </r>
  <r>
    <x v="3"/>
    <n v="44"/>
    <x v="86"/>
    <x v="735"/>
    <n v="0.2691935483870968"/>
    <n v="334.8"/>
    <n v="0.27"/>
    <n v="-1"/>
    <x v="0"/>
    <x v="1"/>
    <n v="0"/>
    <n v="334.8"/>
    <n v="0.27"/>
    <n v="-334.8"/>
    <s v="Ecart négatif"/>
    <e v="#N/A"/>
  </r>
  <r>
    <x v="3"/>
    <n v="69"/>
    <x v="16"/>
    <x v="736"/>
    <n v="0.26919999999999999"/>
    <n v="54"/>
    <n v="0.27"/>
    <n v="-0.15999999999999659"/>
    <x v="0"/>
    <x v="1"/>
    <n v="0"/>
    <n v="54"/>
    <n v="0.27"/>
    <n v="-54"/>
    <s v="Ecart négatif"/>
    <n v="21.53"/>
  </r>
  <r>
    <x v="4"/>
    <n v="62"/>
    <x v="12"/>
    <x v="6"/>
    <n v="0.19"/>
    <n v="7.6"/>
    <n v="0.19"/>
    <n v="0"/>
    <x v="1"/>
    <x v="1"/>
    <n v="0"/>
    <n v="7.6"/>
    <n v="0.19"/>
    <n v="-7.6"/>
    <s v="Ecart négatif"/>
    <n v="0"/>
  </r>
  <r>
    <x v="3"/>
    <n v="69"/>
    <x v="16"/>
    <x v="736"/>
    <n v="0.26919999999999999"/>
    <n v="54"/>
    <n v="0.27"/>
    <n v="-0.15999999999999659"/>
    <x v="0"/>
    <x v="1"/>
    <n v="0"/>
    <n v="54"/>
    <n v="0.27"/>
    <n v="-54"/>
    <s v="Ecart négatif"/>
    <n v="21.53"/>
  </r>
  <r>
    <x v="4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4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4"/>
    <n v="69"/>
    <x v="16"/>
    <x v="736"/>
    <n v="0.26919999999999999"/>
    <n v="54"/>
    <n v="0.27"/>
    <n v="-0.15999999999999659"/>
    <x v="0"/>
    <x v="1"/>
    <n v="0"/>
    <n v="54"/>
    <n v="0.27"/>
    <n v="-54"/>
    <s v="Ecart négatif"/>
    <n v="0"/>
  </r>
  <r>
    <x v="4"/>
    <n v="63"/>
    <x v="14"/>
    <x v="737"/>
    <n v="0.26938461538461539"/>
    <n v="37.699999999999996"/>
    <n v="0.28999999999999998"/>
    <n v="-2.6799999999999926"/>
    <x v="0"/>
    <x v="1"/>
    <n v="0"/>
    <n v="37.699999999999996"/>
    <n v="0.28999999999999998"/>
    <n v="-37.699999999999996"/>
    <s v="Ecart négatif"/>
    <n v="0"/>
  </r>
  <r>
    <x v="3"/>
    <n v="69"/>
    <x v="3"/>
    <x v="738"/>
    <n v="0.26942857142857141"/>
    <n v="56.7"/>
    <n v="0.27"/>
    <n v="-0.12000000000000455"/>
    <x v="0"/>
    <x v="1"/>
    <n v="0"/>
    <n v="56.7"/>
    <n v="0.27"/>
    <n v="-56.7"/>
    <s v="Ecart négatif"/>
    <n v="22.47"/>
  </r>
  <r>
    <x v="3"/>
    <n v="63"/>
    <x v="2"/>
    <x v="739"/>
    <n v="0.26942857142857141"/>
    <n v="40.599999999999994"/>
    <n v="0.28999999999999998"/>
    <n v="-2.8799999999999955"/>
    <x v="0"/>
    <x v="1"/>
    <n v="0"/>
    <n v="40.599999999999994"/>
    <n v="0.28999999999999998"/>
    <n v="-40.599999999999994"/>
    <s v="Ecart négatif"/>
    <n v="13.140000000000008"/>
  </r>
  <r>
    <x v="2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6"/>
    <n v="77"/>
    <x v="12"/>
    <x v="86"/>
    <n v="0.16999999999999998"/>
    <n v="0"/>
    <n v="0"/>
    <n v="6.8"/>
    <x v="2"/>
    <x v="1"/>
    <n v="0"/>
    <n v="0"/>
    <n v="0"/>
    <n v="0"/>
    <s v="Pas d'écart"/>
    <n v="26.16"/>
  </r>
  <r>
    <x v="3"/>
    <n v="69"/>
    <x v="3"/>
    <x v="738"/>
    <n v="0.26942857142857141"/>
    <n v="56.7"/>
    <n v="0.27"/>
    <n v="-0.12000000000000455"/>
    <x v="0"/>
    <x v="1"/>
    <n v="0"/>
    <n v="56.7"/>
    <n v="0.27"/>
    <n v="-56.7"/>
    <s v="Ecart négatif"/>
    <n v="22.47"/>
  </r>
  <r>
    <x v="3"/>
    <n v="69"/>
    <x v="3"/>
    <x v="738"/>
    <n v="0.26942857142857141"/>
    <n v="56.7"/>
    <n v="0.27"/>
    <n v="-0.12000000000000455"/>
    <x v="0"/>
    <x v="1"/>
    <n v="0"/>
    <n v="56.7"/>
    <n v="0.27"/>
    <n v="-56.7"/>
    <s v="Ecart négatif"/>
    <n v="22.47"/>
  </r>
  <r>
    <x v="3"/>
    <n v="44"/>
    <x v="19"/>
    <x v="740"/>
    <n v="0.26957894736842103"/>
    <n v="51.300000000000004"/>
    <n v="0.27"/>
    <n v="-8.00000000000054E-2"/>
    <x v="0"/>
    <x v="1"/>
    <n v="0"/>
    <n v="51.300000000000004"/>
    <n v="0.27"/>
    <n v="-51.300000000000004"/>
    <s v="Ecart négatif"/>
    <n v="19.97999999999999"/>
  </r>
  <r>
    <x v="3"/>
    <n v="13"/>
    <x v="14"/>
    <x v="741"/>
    <n v="0.26961538461538459"/>
    <n v="37.699999999999996"/>
    <n v="0.28999999999999998"/>
    <n v="-2.6499999999999986"/>
    <x v="0"/>
    <x v="1"/>
    <n v="0"/>
    <n v="37.699999999999996"/>
    <n v="0.28999999999999998"/>
    <n v="-37.699999999999996"/>
    <s v="Ecart négatif"/>
    <n v="12.519999999999996"/>
  </r>
  <r>
    <x v="0"/>
    <n v="69"/>
    <x v="6"/>
    <x v="0"/>
    <n v="0"/>
    <n v="0"/>
    <n v="0"/>
    <n v="0"/>
    <x v="1"/>
    <x v="1"/>
    <n v="0"/>
    <n v="0"/>
    <n v="0"/>
    <n v="0"/>
    <s v="Pas d'écart"/>
    <n v="15.310000000000002"/>
  </r>
  <r>
    <x v="4"/>
    <n v="34"/>
    <x v="8"/>
    <x v="742"/>
    <n v="0.39"/>
    <n v="27.3"/>
    <n v="0.39"/>
    <n v="0"/>
    <x v="1"/>
    <x v="1"/>
    <n v="0"/>
    <n v="27.3"/>
    <n v="0.39"/>
    <n v="-27.3"/>
    <s v="Ecart négatif"/>
    <n v="0"/>
  </r>
  <r>
    <x v="3"/>
    <n v="13"/>
    <x v="14"/>
    <x v="741"/>
    <n v="0.26961538461538459"/>
    <n v="37.699999999999996"/>
    <n v="0.28999999999999998"/>
    <n v="-2.6499999999999986"/>
    <x v="0"/>
    <x v="1"/>
    <n v="0"/>
    <n v="37.699999999999996"/>
    <n v="0.28999999999999998"/>
    <n v="-37.699999999999996"/>
    <s v="Ecart négatif"/>
    <n v="12.519999999999996"/>
  </r>
  <r>
    <x v="4"/>
    <n v="13"/>
    <x v="14"/>
    <x v="741"/>
    <n v="0.26961538461538459"/>
    <n v="37.699999999999996"/>
    <n v="0.28999999999999998"/>
    <n v="-2.6499999999999986"/>
    <x v="0"/>
    <x v="1"/>
    <n v="0"/>
    <n v="37.699999999999996"/>
    <n v="0.28999999999999998"/>
    <n v="-37.699999999999996"/>
    <s v="Ecart négatif"/>
    <n v="0"/>
  </r>
  <r>
    <x v="4"/>
    <n v="35"/>
    <x v="2"/>
    <x v="743"/>
    <n v="0.26985714285714285"/>
    <n v="37.800000000000004"/>
    <n v="0.27"/>
    <n v="-2.0000000000003126E-2"/>
    <x v="0"/>
    <x v="1"/>
    <n v="0"/>
    <n v="37.800000000000004"/>
    <n v="0.27"/>
    <n v="-37.800000000000004"/>
    <s v="Ecart négatif"/>
    <n v="0"/>
  </r>
  <r>
    <x v="3"/>
    <n v="69"/>
    <x v="9"/>
    <x v="12"/>
    <n v="0.27"/>
    <n v="21.6"/>
    <n v="0.27"/>
    <n v="0"/>
    <x v="1"/>
    <x v="1"/>
    <n v="0"/>
    <n v="21.6"/>
    <n v="0.27"/>
    <n v="-21.6"/>
    <s v="Ecart négatif"/>
    <n v="9.4100000000000037"/>
  </r>
  <r>
    <x v="0"/>
    <n v="13"/>
    <x v="25"/>
    <x v="0"/>
    <n v="0"/>
    <n v="41.8"/>
    <n v="0.18999999999999997"/>
    <n v="-41.8"/>
    <x v="0"/>
    <x v="1"/>
    <n v="0"/>
    <n v="41.8"/>
    <n v="0.18999999999999997"/>
    <n v="-41.8"/>
    <s v="Ecart négatif"/>
    <n v="23.409999999999997"/>
  </r>
  <r>
    <x v="4"/>
    <n v="42"/>
    <x v="12"/>
    <x v="95"/>
    <n v="0.27"/>
    <n v="10.4"/>
    <n v="0.26"/>
    <n v="0.40000000000000036"/>
    <x v="2"/>
    <x v="1"/>
    <n v="0"/>
    <n v="10.4"/>
    <n v="0.26"/>
    <n v="-10.4"/>
    <s v="Ecart négatif"/>
    <n v="0"/>
  </r>
  <r>
    <x v="4"/>
    <n v="1"/>
    <x v="0"/>
    <x v="73"/>
    <n v="0.27"/>
    <n v="46.800000000000004"/>
    <n v="0.26"/>
    <n v="1.7999999999999972"/>
    <x v="2"/>
    <x v="1"/>
    <n v="0"/>
    <n v="46.800000000000004"/>
    <n v="0.26"/>
    <n v="-46.800000000000004"/>
    <s v="Ecart négatif"/>
    <n v="0"/>
  </r>
  <r>
    <x v="4"/>
    <n v="74"/>
    <x v="0"/>
    <x v="73"/>
    <n v="0.27"/>
    <n v="46.800000000000004"/>
    <n v="0.26"/>
    <n v="1.7999999999999972"/>
    <x v="2"/>
    <x v="1"/>
    <n v="0"/>
    <n v="46.800000000000004"/>
    <n v="0.26"/>
    <n v="-46.800000000000004"/>
    <s v="Ecart négatif"/>
    <n v="0"/>
  </r>
  <r>
    <x v="3"/>
    <n v="98"/>
    <x v="7"/>
    <x v="744"/>
    <n v="0.27066666666666667"/>
    <n v="8.1000000000000014"/>
    <n v="0.27000000000000007"/>
    <n v="1.9999999999997797E-2"/>
    <x v="2"/>
    <x v="1"/>
    <n v="0"/>
    <n v="8.1000000000000014"/>
    <n v="0.27000000000000007"/>
    <n v="-8.1000000000000014"/>
    <s v="Ecart négatif"/>
    <n v="5.0199999999999996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98"/>
    <x v="7"/>
    <x v="744"/>
    <n v="0.27066666666666667"/>
    <n v="8.1000000000000014"/>
    <n v="0.27000000000000007"/>
    <n v="1.9999999999997797E-2"/>
    <x v="2"/>
    <x v="1"/>
    <n v="0"/>
    <n v="8.1000000000000014"/>
    <n v="0.27000000000000007"/>
    <n v="-8.1000000000000014"/>
    <s v="Ecart négatif"/>
    <n v="5.0199999999999996"/>
  </r>
  <r>
    <x v="4"/>
    <n v="13"/>
    <x v="4"/>
    <x v="745"/>
    <n v="0.27072727272727276"/>
    <n v="31.9"/>
    <n v="0.28999999999999998"/>
    <n v="-2.1199999999999974"/>
    <x v="0"/>
    <x v="1"/>
    <n v="0"/>
    <n v="31.9"/>
    <n v="0.28999999999999998"/>
    <n v="-31.9"/>
    <s v="Ecart négatif"/>
    <n v="0"/>
  </r>
  <r>
    <x v="4"/>
    <n v="75"/>
    <x v="18"/>
    <x v="0"/>
    <n v="0"/>
    <n v="0"/>
    <n v="0"/>
    <n v="0"/>
    <x v="1"/>
    <x v="1"/>
    <n v="0"/>
    <n v="0"/>
    <n v="0"/>
    <n v="0"/>
    <s v="Pas d'écart"/>
    <n v="0"/>
  </r>
  <r>
    <x v="4"/>
    <n v="67"/>
    <x v="7"/>
    <x v="746"/>
    <n v="0.27100000000000002"/>
    <n v="8.6999999999999993"/>
    <n v="0.28999999999999998"/>
    <n v="-0.56999999999999851"/>
    <x v="0"/>
    <x v="1"/>
    <n v="0"/>
    <n v="8.6999999999999993"/>
    <n v="0.28999999999999998"/>
    <n v="-8.6999999999999993"/>
    <s v="Ecart négatif"/>
    <n v="0"/>
  </r>
  <r>
    <x v="2"/>
    <n v="45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0"/>
  </r>
  <r>
    <x v="4"/>
    <n v="19"/>
    <x v="2"/>
    <x v="561"/>
    <n v="0.27149999999999996"/>
    <n v="40.599999999999994"/>
    <n v="0.28999999999999998"/>
    <n v="-2.5899999999999963"/>
    <x v="0"/>
    <x v="1"/>
    <n v="0"/>
    <n v="40.599999999999994"/>
    <n v="0.28999999999999998"/>
    <n v="-40.599999999999994"/>
    <s v="Ecart négatif"/>
    <n v="0"/>
  </r>
  <r>
    <x v="4"/>
    <n v="13"/>
    <x v="4"/>
    <x v="747"/>
    <n v="0.27172727272727271"/>
    <n v="31.9"/>
    <n v="0.28999999999999998"/>
    <n v="-2.009999999999998"/>
    <x v="0"/>
    <x v="1"/>
    <n v="0"/>
    <n v="31.9"/>
    <n v="0.28999999999999998"/>
    <n v="-31.9"/>
    <s v="Ecart négatif"/>
    <n v="0"/>
  </r>
  <r>
    <x v="0"/>
    <n v="59"/>
    <x v="8"/>
    <x v="0"/>
    <n v="0"/>
    <n v="0"/>
    <n v="0"/>
    <n v="0"/>
    <x v="1"/>
    <x v="1"/>
    <n v="0"/>
    <n v="0"/>
    <n v="0"/>
    <n v="0"/>
    <s v="Pas d'écart"/>
    <n v="8.9500000000000028"/>
  </r>
  <r>
    <x v="4"/>
    <n v="88"/>
    <x v="12"/>
    <x v="748"/>
    <n v="0.27200000000000002"/>
    <n v="11.200000000000001"/>
    <n v="0.28000000000000003"/>
    <n v="-0.32000000000000028"/>
    <x v="0"/>
    <x v="1"/>
    <n v="0"/>
    <n v="11.200000000000001"/>
    <n v="0.28000000000000003"/>
    <n v="-11.200000000000001"/>
    <s v="Ecart négatif"/>
    <n v="0"/>
  </r>
  <r>
    <x v="0"/>
    <n v="69"/>
    <x v="13"/>
    <x v="0"/>
    <n v="0"/>
    <n v="0"/>
    <n v="0"/>
    <n v="0"/>
    <x v="1"/>
    <x v="1"/>
    <n v="0"/>
    <n v="0"/>
    <n v="0"/>
    <n v="0"/>
    <s v="Pas d'écart"/>
    <n v="84.33"/>
  </r>
  <r>
    <x v="0"/>
    <n v="80"/>
    <x v="2"/>
    <x v="0"/>
    <n v="0"/>
    <n v="0"/>
    <n v="0"/>
    <n v="0"/>
    <x v="1"/>
    <x v="68"/>
    <n v="0.19"/>
    <n v="0"/>
    <n v="0"/>
    <n v="26.6"/>
    <s v="Ecart positif"/>
    <n v="14.68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39"/>
    <x v="19"/>
    <x v="0"/>
    <n v="0"/>
    <n v="0"/>
    <n v="0"/>
    <n v="0"/>
    <x v="1"/>
    <x v="1"/>
    <n v="0"/>
    <n v="0"/>
    <n v="0"/>
    <n v="0"/>
    <s v="Pas d'écart"/>
    <n v="128.22"/>
  </r>
  <r>
    <x v="2"/>
    <n v="6"/>
    <x v="2"/>
    <x v="0"/>
    <n v="0"/>
    <n v="29.4"/>
    <n v="0.21"/>
    <n v="-29.4"/>
    <x v="0"/>
    <x v="98"/>
    <n v="0.21"/>
    <n v="29.4"/>
    <n v="0.21"/>
    <n v="0"/>
    <s v="Pas d'écart"/>
    <n v="0"/>
  </r>
  <r>
    <x v="2"/>
    <n v="13"/>
    <x v="2"/>
    <x v="0"/>
    <n v="0"/>
    <n v="26.6"/>
    <n v="0.19"/>
    <n v="-26.6"/>
    <x v="0"/>
    <x v="1"/>
    <n v="0"/>
    <n v="26.6"/>
    <n v="0.19"/>
    <n v="-26.6"/>
    <s v="Ecart négatif"/>
    <n v="65.680000000000007"/>
  </r>
  <r>
    <x v="2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0"/>
  </r>
  <r>
    <x v="3"/>
    <n v="68"/>
    <x v="9"/>
    <x v="749"/>
    <n v="0.27212500000000001"/>
    <n v="23.2"/>
    <n v="0.28999999999999998"/>
    <n v="-1.4299999999999997"/>
    <x v="0"/>
    <x v="1"/>
    <n v="0"/>
    <n v="23.2"/>
    <n v="0.28999999999999998"/>
    <n v="-23.2"/>
    <s v="Ecart négatif"/>
    <n v="14.04"/>
  </r>
  <r>
    <x v="0"/>
    <n v="13"/>
    <x v="1"/>
    <x v="0"/>
    <n v="0"/>
    <n v="22.8"/>
    <n v="0.19"/>
    <n v="-22.8"/>
    <x v="0"/>
    <x v="1"/>
    <n v="0"/>
    <n v="22.8"/>
    <n v="0.19"/>
    <n v="-22.8"/>
    <s v="Ecart négatif"/>
    <n v="59.47"/>
  </r>
  <r>
    <x v="2"/>
    <n v="5"/>
    <x v="8"/>
    <x v="0"/>
    <n v="0"/>
    <n v="13.3"/>
    <n v="0.19"/>
    <n v="-13.3"/>
    <x v="0"/>
    <x v="1"/>
    <n v="0"/>
    <n v="13.3"/>
    <n v="0.19"/>
    <n v="-13.3"/>
    <s v="Ecart négatif"/>
    <n v="66.36"/>
  </r>
  <r>
    <x v="2"/>
    <n v="41"/>
    <x v="0"/>
    <x v="0"/>
    <n v="0"/>
    <n v="21.599999999999998"/>
    <n v="0.11999999999999998"/>
    <n v="-21.599999999999998"/>
    <x v="0"/>
    <x v="144"/>
    <n v="0.21"/>
    <n v="21.599999999999998"/>
    <n v="0.11999999999999998"/>
    <n v="16.2"/>
    <s v="Ecart positif"/>
    <n v="107.35"/>
  </r>
  <r>
    <x v="2"/>
    <n v="13"/>
    <x v="9"/>
    <x v="0"/>
    <n v="0"/>
    <n v="15.2"/>
    <n v="0.19"/>
    <n v="-15.2"/>
    <x v="0"/>
    <x v="1"/>
    <n v="0"/>
    <n v="15.2"/>
    <n v="0.19"/>
    <n v="-15.2"/>
    <s v="Ecart négatif"/>
    <n v="47.06"/>
  </r>
  <r>
    <x v="2"/>
    <n v="63"/>
    <x v="7"/>
    <x v="0"/>
    <n v="0"/>
    <n v="3.5999999999999996"/>
    <n v="0.11999999999999998"/>
    <n v="-3.5999999999999996"/>
    <x v="0"/>
    <x v="85"/>
    <n v="0.1"/>
    <n v="3.5999999999999996"/>
    <n v="0.11999999999999998"/>
    <n v="-0.59999999999999964"/>
    <s v="Ecart négatif"/>
    <n v="0"/>
  </r>
  <r>
    <x v="2"/>
    <n v="35"/>
    <x v="39"/>
    <x v="0"/>
    <n v="0"/>
    <n v="0"/>
    <n v="0"/>
    <n v="0"/>
    <x v="1"/>
    <x v="1"/>
    <n v="0"/>
    <n v="0"/>
    <n v="0"/>
    <n v="0"/>
    <s v="Pas d'écart"/>
    <n v="179.85"/>
  </r>
  <r>
    <x v="0"/>
    <n v="54"/>
    <x v="15"/>
    <x v="0"/>
    <n v="0"/>
    <n v="5"/>
    <n v="0.25"/>
    <n v="-5"/>
    <x v="0"/>
    <x v="318"/>
    <n v="0.21000000000000002"/>
    <n v="5"/>
    <n v="0.25"/>
    <n v="-0.79999999999999982"/>
    <s v="Ecart négatif"/>
    <n v="16.39"/>
  </r>
  <r>
    <x v="0"/>
    <n v="63"/>
    <x v="12"/>
    <x v="0"/>
    <n v="0"/>
    <n v="4.8"/>
    <n v="0.12"/>
    <n v="-4.8"/>
    <x v="0"/>
    <x v="10"/>
    <n v="0.12"/>
    <n v="4.8"/>
    <n v="0.12"/>
    <n v="0"/>
    <s v="Pas d'écart"/>
    <n v="6.8599999999999994"/>
  </r>
  <r>
    <x v="0"/>
    <n v="69"/>
    <x v="15"/>
    <x v="0"/>
    <n v="0"/>
    <n v="0"/>
    <n v="0"/>
    <n v="0"/>
    <x v="1"/>
    <x v="1"/>
    <n v="0"/>
    <n v="0"/>
    <n v="0"/>
    <n v="0"/>
    <s v="Pas d'écart"/>
    <n v="3.4700000000000006"/>
  </r>
  <r>
    <x v="0"/>
    <n v="37"/>
    <x v="0"/>
    <x v="0"/>
    <n v="0"/>
    <n v="21.599999999999998"/>
    <n v="0.11999999999999998"/>
    <n v="-21.599999999999998"/>
    <x v="0"/>
    <x v="319"/>
    <n v="0.25688888888888889"/>
    <n v="21.599999999999998"/>
    <n v="0.11999999999999998"/>
    <n v="24.640000000000004"/>
    <s v="Ecart positif"/>
    <n v="92.1"/>
  </r>
  <r>
    <x v="5"/>
    <n v="84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0"/>
    <n v="61"/>
    <x v="27"/>
    <x v="0"/>
    <n v="0"/>
    <n v="8.5"/>
    <n v="0.17"/>
    <n v="-8.5"/>
    <x v="0"/>
    <x v="1"/>
    <n v="0"/>
    <n v="8.5"/>
    <n v="0.17"/>
    <n v="-8.5"/>
    <s v="Ecart négatif"/>
    <n v="50.15"/>
  </r>
  <r>
    <x v="0"/>
    <n v="83"/>
    <x v="10"/>
    <x v="0"/>
    <n v="0"/>
    <n v="31.5"/>
    <n v="0.21"/>
    <n v="-31.5"/>
    <x v="0"/>
    <x v="1"/>
    <n v="0"/>
    <n v="31.5"/>
    <n v="0.21"/>
    <n v="-31.5"/>
    <s v="Ecart négatif"/>
    <n v="14.789999999999992"/>
  </r>
  <r>
    <x v="0"/>
    <n v="13"/>
    <x v="8"/>
    <x v="0"/>
    <n v="0"/>
    <n v="13.3"/>
    <n v="0.19"/>
    <n v="-13.3"/>
    <x v="0"/>
    <x v="1"/>
    <n v="0"/>
    <n v="13.3"/>
    <n v="0.19"/>
    <n v="-13.3"/>
    <s v="Ecart négatif"/>
    <n v="44.77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13"/>
    <x v="4"/>
    <x v="750"/>
    <n v="0.27227272727272728"/>
    <n v="31.9"/>
    <n v="0.28999999999999998"/>
    <n v="-1.9499999999999993"/>
    <x v="0"/>
    <x v="1"/>
    <n v="0"/>
    <n v="31.9"/>
    <n v="0.28999999999999998"/>
    <n v="-31.9"/>
    <s v="Ecart négatif"/>
    <n v="11.269999999999996"/>
  </r>
  <r>
    <x v="4"/>
    <n v="68"/>
    <x v="9"/>
    <x v="751"/>
    <n v="0.27237499999999998"/>
    <n v="23.2"/>
    <n v="0.28999999999999998"/>
    <n v="-1.4100000000000001"/>
    <x v="0"/>
    <x v="1"/>
    <n v="0"/>
    <n v="23.2"/>
    <n v="0.28999999999999998"/>
    <n v="-23.2"/>
    <s v="Ecart négatif"/>
    <n v="0"/>
  </r>
  <r>
    <x v="4"/>
    <n v="68"/>
    <x v="9"/>
    <x v="752"/>
    <n v="0.27250000000000002"/>
    <n v="23.2"/>
    <n v="0.28999999999999998"/>
    <n v="-1.3999999999999986"/>
    <x v="0"/>
    <x v="1"/>
    <n v="0"/>
    <n v="23.2"/>
    <n v="0.28999999999999998"/>
    <n v="-23.2"/>
    <s v="Ecart négatif"/>
    <n v="0"/>
  </r>
  <r>
    <x v="4"/>
    <n v="68"/>
    <x v="9"/>
    <x v="752"/>
    <n v="0.27250000000000002"/>
    <n v="23.2"/>
    <n v="0.28999999999999998"/>
    <n v="-1.3999999999999986"/>
    <x v="0"/>
    <x v="1"/>
    <n v="0"/>
    <n v="23.2"/>
    <n v="0.28999999999999998"/>
    <n v="-23.2"/>
    <s v="Ecart négatif"/>
    <n v="0"/>
  </r>
  <r>
    <x v="2"/>
    <n v="5"/>
    <x v="2"/>
    <x v="0"/>
    <n v="0"/>
    <n v="26.6"/>
    <n v="0.19"/>
    <n v="-26.6"/>
    <x v="0"/>
    <x v="1"/>
    <n v="0"/>
    <n v="26.6"/>
    <n v="0.19"/>
    <n v="-26.6"/>
    <s v="Ecart négatif"/>
    <n v="78.8"/>
  </r>
  <r>
    <x v="2"/>
    <n v="6"/>
    <x v="7"/>
    <x v="0"/>
    <n v="0"/>
    <n v="6.3"/>
    <n v="0.21"/>
    <n v="-6.3"/>
    <x v="0"/>
    <x v="320"/>
    <n v="0.20699999999999999"/>
    <n v="6.3"/>
    <n v="0.21"/>
    <n v="-8.9999999999999858E-2"/>
    <s v="Ecart négatif"/>
    <n v="0"/>
  </r>
  <r>
    <x v="5"/>
    <n v="21"/>
    <x v="6"/>
    <x v="0"/>
    <n v="0"/>
    <n v="38.4"/>
    <n v="0.24"/>
    <n v="-38.4"/>
    <x v="0"/>
    <x v="1"/>
    <n v="0"/>
    <n v="38.4"/>
    <n v="0.24"/>
    <n v="-38.4"/>
    <s v="Ecart négatif"/>
    <n v="15.310000000000002"/>
  </r>
  <r>
    <x v="0"/>
    <n v="26"/>
    <x v="20"/>
    <x v="0"/>
    <n v="0"/>
    <n v="0"/>
    <n v="0"/>
    <n v="0"/>
    <x v="1"/>
    <x v="1"/>
    <n v="0"/>
    <n v="0"/>
    <n v="0"/>
    <n v="0"/>
    <s v="Pas d'écart"/>
    <n v="34.240000000000009"/>
  </r>
  <r>
    <x v="3"/>
    <n v="87"/>
    <x v="9"/>
    <x v="752"/>
    <n v="0.27250000000000002"/>
    <n v="22.400000000000002"/>
    <n v="0.28000000000000003"/>
    <n v="-0.60000000000000142"/>
    <x v="0"/>
    <x v="1"/>
    <n v="0"/>
    <n v="22.400000000000002"/>
    <n v="0.28000000000000003"/>
    <n v="-22.400000000000002"/>
    <s v="Ecart négatif"/>
    <n v="14.89"/>
  </r>
  <r>
    <x v="2"/>
    <n v="50"/>
    <x v="4"/>
    <x v="0"/>
    <n v="0"/>
    <n v="18.700000000000003"/>
    <n v="0.17"/>
    <n v="-18.700000000000003"/>
    <x v="0"/>
    <x v="321"/>
    <n v="0.16954545454545453"/>
    <n v="18.700000000000003"/>
    <n v="0.17"/>
    <n v="-5.0000000000004263E-2"/>
    <s v="Ecart négatif"/>
    <n v="0"/>
  </r>
  <r>
    <x v="2"/>
    <n v="92"/>
    <x v="12"/>
    <x v="0"/>
    <n v="0"/>
    <n v="0"/>
    <n v="0"/>
    <n v="0"/>
    <x v="1"/>
    <x v="1"/>
    <n v="0"/>
    <n v="0"/>
    <n v="0"/>
    <n v="0"/>
    <s v="Pas d'écart"/>
    <n v="26.16"/>
  </r>
  <r>
    <x v="5"/>
    <n v="6"/>
    <x v="6"/>
    <x v="0"/>
    <n v="0"/>
    <n v="48"/>
    <n v="0.3"/>
    <n v="-48"/>
    <x v="0"/>
    <x v="1"/>
    <n v="0"/>
    <n v="48"/>
    <n v="0.3"/>
    <n v="-48"/>
    <s v="Ecart négatif"/>
    <n v="46.26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0"/>
    <n v="75"/>
    <x v="6"/>
    <x v="0"/>
    <n v="0"/>
    <n v="0"/>
    <n v="0"/>
    <n v="0"/>
    <x v="1"/>
    <x v="1"/>
    <n v="0"/>
    <n v="0"/>
    <n v="0"/>
    <n v="0"/>
    <s v="Pas d'écart"/>
    <n v="56.79"/>
  </r>
  <r>
    <x v="0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75"/>
    <x v="6"/>
    <x v="0"/>
    <n v="0"/>
    <n v="0"/>
    <n v="0"/>
    <n v="0"/>
    <x v="1"/>
    <x v="1"/>
    <n v="0"/>
    <n v="0"/>
    <n v="0"/>
    <n v="0"/>
    <s v="Pas d'écart"/>
    <n v="56.79"/>
  </r>
  <r>
    <x v="2"/>
    <n v="57"/>
    <x v="0"/>
    <x v="0"/>
    <n v="0"/>
    <n v="45"/>
    <n v="0.25"/>
    <n v="-45"/>
    <x v="0"/>
    <x v="322"/>
    <n v="0.45999999999999996"/>
    <n v="45"/>
    <n v="0.25"/>
    <n v="37.799999999999997"/>
    <s v="Ecart positif"/>
    <n v="107.3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19"/>
    <x v="14"/>
    <x v="753"/>
    <n v="0.27253846153846156"/>
    <n v="37.699999999999996"/>
    <n v="0.28999999999999998"/>
    <n v="-2.269999999999996"/>
    <x v="0"/>
    <x v="1"/>
    <n v="0"/>
    <n v="37.699999999999996"/>
    <n v="0.28999999999999998"/>
    <n v="-37.699999999999996"/>
    <s v="Ecart négatif"/>
    <n v="0"/>
  </r>
  <r>
    <x v="4"/>
    <n v="67"/>
    <x v="8"/>
    <x v="754"/>
    <n v="0.27257142857142852"/>
    <n v="20.299999999999997"/>
    <n v="0.28999999999999998"/>
    <n v="-1.2199999999999989"/>
    <x v="0"/>
    <x v="1"/>
    <n v="0"/>
    <n v="20.299999999999997"/>
    <n v="0.28999999999999998"/>
    <n v="-20.299999999999997"/>
    <s v="Ecart négatif"/>
    <n v="0"/>
  </r>
  <r>
    <x v="4"/>
    <n v="67"/>
    <x v="2"/>
    <x v="755"/>
    <n v="0.27271428571428569"/>
    <n v="40.599999999999994"/>
    <n v="0.28999999999999998"/>
    <n v="-2.4199999999999946"/>
    <x v="0"/>
    <x v="1"/>
    <n v="0"/>
    <n v="40.599999999999994"/>
    <n v="0.28999999999999998"/>
    <n v="-40.599999999999994"/>
    <s v="Ecart négatif"/>
    <n v="0"/>
  </r>
  <r>
    <x v="3"/>
    <n v="68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8.2899999999999991"/>
  </r>
  <r>
    <x v="2"/>
    <n v="33"/>
    <x v="0"/>
    <x v="0"/>
    <n v="0"/>
    <n v="30.6"/>
    <n v="0.17"/>
    <n v="-30.6"/>
    <x v="0"/>
    <x v="0"/>
    <n v="0.17"/>
    <n v="30.6"/>
    <n v="0.17"/>
    <n v="0"/>
    <s v="Pas d'écart"/>
    <n v="0"/>
  </r>
  <r>
    <x v="1"/>
    <n v="77"/>
    <x v="22"/>
    <x v="0"/>
    <n v="0"/>
    <n v="0"/>
    <n v="0"/>
    <n v="0"/>
    <x v="1"/>
    <x v="1"/>
    <n v="0"/>
    <n v="0"/>
    <n v="0"/>
    <n v="0"/>
    <s v="Pas d'écart"/>
    <n v="42.66"/>
  </r>
  <r>
    <x v="3"/>
    <n v="77"/>
    <x v="12"/>
    <x v="0"/>
    <n v="0"/>
    <n v="0"/>
    <n v="0"/>
    <n v="0"/>
    <x v="1"/>
    <x v="1"/>
    <n v="0"/>
    <n v="0"/>
    <n v="0"/>
    <n v="0"/>
    <s v="Pas d'écart"/>
    <n v="5.23"/>
  </r>
  <r>
    <x v="4"/>
    <n v="13"/>
    <x v="14"/>
    <x v="756"/>
    <n v="0.27284615384615385"/>
    <n v="37.699999999999996"/>
    <n v="0.28999999999999998"/>
    <n v="-2.2299999999999969"/>
    <x v="0"/>
    <x v="1"/>
    <n v="0"/>
    <n v="37.699999999999996"/>
    <n v="0.28999999999999998"/>
    <n v="-37.699999999999996"/>
    <s v="Ecart négatif"/>
    <n v="0"/>
  </r>
  <r>
    <x v="4"/>
    <n v="13"/>
    <x v="9"/>
    <x v="757"/>
    <n v="0.27287499999999998"/>
    <n v="23.2"/>
    <n v="0.28999999999999998"/>
    <n v="-1.370000000000001"/>
    <x v="0"/>
    <x v="1"/>
    <n v="0"/>
    <n v="23.2"/>
    <n v="0.28999999999999998"/>
    <n v="-23.2"/>
    <s v="Ecart négatif"/>
    <n v="0"/>
  </r>
  <r>
    <x v="0"/>
    <n v="76"/>
    <x v="2"/>
    <x v="0"/>
    <n v="0"/>
    <n v="23.8"/>
    <n v="0.17"/>
    <n v="-23.8"/>
    <x v="0"/>
    <x v="40"/>
    <n v="0.17"/>
    <n v="23.8"/>
    <n v="0.17"/>
    <n v="0"/>
    <s v="Pas d'écart"/>
    <n v="13.140000000000008"/>
  </r>
  <r>
    <x v="4"/>
    <n v="79"/>
    <x v="2"/>
    <x v="434"/>
    <n v="0.21"/>
    <n v="29.4"/>
    <n v="0.21"/>
    <n v="0"/>
    <x v="1"/>
    <x v="1"/>
    <n v="0"/>
    <n v="29.4"/>
    <n v="0.21"/>
    <n v="-29.4"/>
    <s v="Ecart négatif"/>
    <n v="0"/>
  </r>
  <r>
    <x v="4"/>
    <n v="76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4"/>
    <n v="83"/>
    <x v="11"/>
    <x v="758"/>
    <n v="0.27299999999999996"/>
    <n v="18"/>
    <n v="0.3"/>
    <n v="-1.620000000000001"/>
    <x v="0"/>
    <x v="1"/>
    <n v="0"/>
    <n v="18"/>
    <n v="0.3"/>
    <n v="-18"/>
    <s v="Ecart négatif"/>
    <n v="0"/>
  </r>
  <r>
    <x v="1"/>
    <n v="44"/>
    <x v="27"/>
    <x v="0"/>
    <n v="0"/>
    <n v="13.5"/>
    <n v="0.27"/>
    <n v="-13.5"/>
    <x v="0"/>
    <x v="1"/>
    <n v="0"/>
    <n v="13.5"/>
    <n v="0.27"/>
    <n v="-13.5"/>
    <s v="Ecart négatif"/>
    <n v="40.1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0"/>
    <n v="37"/>
    <x v="6"/>
    <x v="0"/>
    <n v="0"/>
    <n v="19.2"/>
    <n v="0.12"/>
    <n v="-19.2"/>
    <x v="0"/>
    <x v="47"/>
    <n v="0.11325"/>
    <n v="19.2"/>
    <n v="0.12"/>
    <n v="-1.0799999999999983"/>
    <s v="Ecart négatif"/>
    <n v="15.310000000000002"/>
  </r>
  <r>
    <x v="1"/>
    <n v="77"/>
    <x v="63"/>
    <x v="0"/>
    <n v="0"/>
    <n v="0"/>
    <n v="0"/>
    <n v="0"/>
    <x v="1"/>
    <x v="1"/>
    <n v="0"/>
    <n v="0"/>
    <n v="0"/>
    <n v="0"/>
    <s v="Pas d'écart"/>
    <e v="#N/A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7"/>
    <n v="68"/>
    <x v="1"/>
    <x v="0"/>
    <n v="0"/>
    <n v="34.799999999999997"/>
    <n v="0.28999999999999998"/>
    <n v="-34.799999999999997"/>
    <x v="0"/>
    <x v="1"/>
    <n v="0"/>
    <n v="34.799999999999997"/>
    <n v="0.28999999999999998"/>
    <n v="-34.799999999999997"/>
    <s v="Ecart négatif"/>
    <n v="-105.66"/>
  </r>
  <r>
    <x v="3"/>
    <n v="84"/>
    <x v="9"/>
    <x v="759"/>
    <n v="0.27312500000000001"/>
    <n v="23.2"/>
    <n v="0.28999999999999998"/>
    <n v="-1.3499999999999979"/>
    <x v="0"/>
    <x v="1"/>
    <n v="0"/>
    <n v="23.2"/>
    <n v="0.28999999999999998"/>
    <n v="-23.2"/>
    <s v="Ecart négatif"/>
    <n v="14.04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4"/>
    <n v="68"/>
    <x v="9"/>
    <x v="759"/>
    <n v="0.27312500000000001"/>
    <n v="23.2"/>
    <n v="0.28999999999999998"/>
    <n v="-1.3499999999999979"/>
    <x v="0"/>
    <x v="1"/>
    <n v="0"/>
    <n v="23.2"/>
    <n v="0.28999999999999998"/>
    <n v="-23.2"/>
    <s v="Ecart négatif"/>
    <n v="0"/>
  </r>
  <r>
    <x v="4"/>
    <n v="13"/>
    <x v="2"/>
    <x v="760"/>
    <n v="0.27364285714285713"/>
    <n v="40.599999999999994"/>
    <n v="0.28999999999999998"/>
    <n v="-2.289999999999992"/>
    <x v="0"/>
    <x v="1"/>
    <n v="0"/>
    <n v="40.599999999999994"/>
    <n v="0.28999999999999998"/>
    <n v="-40.599999999999994"/>
    <s v="Ecart négatif"/>
    <n v="0.68000000000000682"/>
  </r>
  <r>
    <x v="4"/>
    <n v="13"/>
    <x v="10"/>
    <x v="761"/>
    <n v="0.27386666666666665"/>
    <n v="43.5"/>
    <n v="0.28999999999999998"/>
    <n v="-2.4200000000000017"/>
    <x v="0"/>
    <x v="1"/>
    <n v="0"/>
    <n v="43.5"/>
    <n v="0.28999999999999998"/>
    <n v="-43.5"/>
    <s v="Ecart négatif"/>
    <n v="0"/>
  </r>
  <r>
    <x v="4"/>
    <n v="63"/>
    <x v="10"/>
    <x v="761"/>
    <n v="0.27386666666666665"/>
    <n v="43.5"/>
    <n v="0.28999999999999998"/>
    <n v="-2.4200000000000017"/>
    <x v="0"/>
    <x v="1"/>
    <n v="0"/>
    <n v="43.5"/>
    <n v="0.28999999999999998"/>
    <n v="-43.5"/>
    <s v="Ecart négatif"/>
    <n v="0"/>
  </r>
  <r>
    <x v="4"/>
    <n v="67"/>
    <x v="10"/>
    <x v="761"/>
    <n v="0.27386666666666665"/>
    <n v="43.5"/>
    <n v="0.28999999999999998"/>
    <n v="-2.4200000000000017"/>
    <x v="0"/>
    <x v="1"/>
    <n v="0"/>
    <n v="43.5"/>
    <n v="0.28999999999999998"/>
    <n v="-43.5"/>
    <s v="Ecart négatif"/>
    <n v="0"/>
  </r>
  <r>
    <x v="4"/>
    <n v="84"/>
    <x v="2"/>
    <x v="762"/>
    <n v="0.27392857142857147"/>
    <n v="40.599999999999994"/>
    <n v="0.28999999999999998"/>
    <n v="-2.2499999999999929"/>
    <x v="0"/>
    <x v="1"/>
    <n v="0"/>
    <n v="40.599999999999994"/>
    <n v="0.28999999999999998"/>
    <n v="-40.599999999999994"/>
    <s v="Ecart négatif"/>
    <n v="0"/>
  </r>
  <r>
    <x v="3"/>
    <n v="6"/>
    <x v="8"/>
    <x v="763"/>
    <n v="0.2742857142857143"/>
    <n v="21"/>
    <n v="0.3"/>
    <n v="-1.8000000000000007"/>
    <x v="0"/>
    <x v="1"/>
    <n v="0"/>
    <n v="21"/>
    <n v="0.3"/>
    <n v="-21"/>
    <s v="Ecart négatif"/>
    <n v="13.269999999999996"/>
  </r>
  <r>
    <x v="3"/>
    <n v="6"/>
    <x v="8"/>
    <x v="763"/>
    <n v="0.2742857142857143"/>
    <n v="21"/>
    <n v="0.3"/>
    <n v="-1.8000000000000007"/>
    <x v="0"/>
    <x v="1"/>
    <n v="0"/>
    <n v="21"/>
    <n v="0.3"/>
    <n v="-21"/>
    <s v="Ecart négatif"/>
    <n v="13.269999999999996"/>
  </r>
  <r>
    <x v="3"/>
    <n v="6"/>
    <x v="8"/>
    <x v="763"/>
    <n v="0.2742857142857143"/>
    <n v="21"/>
    <n v="0.3"/>
    <n v="-1.8000000000000007"/>
    <x v="0"/>
    <x v="1"/>
    <n v="0"/>
    <n v="21"/>
    <n v="0.3"/>
    <n v="-21"/>
    <s v="Ecart négatif"/>
    <n v="13.269999999999996"/>
  </r>
  <r>
    <x v="4"/>
    <n v="13"/>
    <x v="10"/>
    <x v="764"/>
    <n v="0.27453333333333335"/>
    <n v="43.5"/>
    <n v="0.28999999999999998"/>
    <n v="-2.3200000000000003"/>
    <x v="0"/>
    <x v="1"/>
    <n v="0"/>
    <n v="43.5"/>
    <n v="0.28999999999999998"/>
    <n v="-43.5"/>
    <s v="Ecart négatif"/>
    <n v="0"/>
  </r>
  <r>
    <x v="4"/>
    <n v="35"/>
    <x v="8"/>
    <x v="172"/>
    <n v="0.26999999999999996"/>
    <n v="18.900000000000002"/>
    <n v="0.27"/>
    <n v="0"/>
    <x v="1"/>
    <x v="1"/>
    <n v="0"/>
    <n v="18.900000000000002"/>
    <n v="0.27"/>
    <n v="-18.900000000000002"/>
    <s v="Ecart négatif"/>
    <n v="0"/>
  </r>
  <r>
    <x v="4"/>
    <n v="13"/>
    <x v="1"/>
    <x v="765"/>
    <n v="0.27458333333333335"/>
    <n v="34.799999999999997"/>
    <n v="0.28999999999999998"/>
    <n v="-1.8499999999999943"/>
    <x v="0"/>
    <x v="1"/>
    <n v="0"/>
    <n v="34.799999999999997"/>
    <n v="0.28999999999999998"/>
    <n v="-34.799999999999997"/>
    <s v="Ecart négatif"/>
    <n v="0"/>
  </r>
  <r>
    <x v="4"/>
    <n v="68"/>
    <x v="12"/>
    <x v="766"/>
    <n v="0.27500000000000002"/>
    <n v="11.6"/>
    <n v="0.28999999999999998"/>
    <n v="-0.59999999999999964"/>
    <x v="0"/>
    <x v="1"/>
    <n v="0"/>
    <n v="11.6"/>
    <n v="0.28999999999999998"/>
    <n v="-11.6"/>
    <s v="Ecart négatif"/>
    <n v="0"/>
  </r>
  <r>
    <x v="2"/>
    <n v="59"/>
    <x v="20"/>
    <x v="0"/>
    <n v="0"/>
    <n v="0"/>
    <n v="0"/>
    <n v="0"/>
    <x v="1"/>
    <x v="1"/>
    <n v="0"/>
    <n v="0"/>
    <n v="0"/>
    <n v="0"/>
    <s v="Pas d'écart"/>
    <n v="0"/>
  </r>
  <r>
    <x v="2"/>
    <n v="13"/>
    <x v="36"/>
    <x v="0"/>
    <n v="0"/>
    <n v="57"/>
    <n v="0.19"/>
    <n v="-57"/>
    <x v="0"/>
    <x v="323"/>
    <n v="0.18943333333333331"/>
    <n v="57"/>
    <n v="0.19"/>
    <n v="-0.17000000000000171"/>
    <s v="Ecart négatif"/>
    <n v="0"/>
  </r>
  <r>
    <x v="4"/>
    <n v="61"/>
    <x v="13"/>
    <x v="767"/>
    <n v="0.16999999999999998"/>
    <n v="28.900000000000002"/>
    <n v="0.17"/>
    <n v="0"/>
    <x v="1"/>
    <x v="1"/>
    <n v="0"/>
    <n v="28.900000000000002"/>
    <n v="0.17"/>
    <n v="-28.900000000000002"/>
    <s v="Ecart négatif"/>
    <n v="0"/>
  </r>
  <r>
    <x v="4"/>
    <n v="84"/>
    <x v="7"/>
    <x v="161"/>
    <n v="0.27500000000000002"/>
    <n v="8.6999999999999993"/>
    <n v="0.28999999999999998"/>
    <n v="-0.44999999999999929"/>
    <x v="0"/>
    <x v="1"/>
    <n v="0"/>
    <n v="8.6999999999999993"/>
    <n v="0.28999999999999998"/>
    <n v="-8.6999999999999993"/>
    <s v="Ecart négatif"/>
    <n v="0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3"/>
    <n v="67"/>
    <x v="2"/>
    <x v="768"/>
    <n v="0.2752857142857143"/>
    <n v="40.599999999999994"/>
    <n v="0.28999999999999998"/>
    <n v="-2.0599999999999952"/>
    <x v="0"/>
    <x v="1"/>
    <n v="0"/>
    <n v="40.599999999999994"/>
    <n v="0.28999999999999998"/>
    <n v="-40.599999999999994"/>
    <s v="Ecart négatif"/>
    <n v="13.140000000000008"/>
  </r>
  <r>
    <x v="3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6"/>
    <x v="0"/>
    <n v="0"/>
    <n v="0"/>
    <n v="0"/>
    <n v="0"/>
    <x v="1"/>
    <x v="1"/>
    <n v="0"/>
    <n v="0"/>
    <n v="0"/>
    <n v="0"/>
    <s v="Pas d'écart"/>
    <n v="11.36"/>
  </r>
  <r>
    <x v="3"/>
    <n v="67"/>
    <x v="0"/>
    <x v="769"/>
    <n v="0.27533333333333332"/>
    <n v="52.199999999999996"/>
    <n v="0.28999999999999998"/>
    <n v="-2.6399999999999935"/>
    <x v="0"/>
    <x v="1"/>
    <n v="0"/>
    <n v="52.199999999999996"/>
    <n v="0.28999999999999998"/>
    <n v="-52.199999999999996"/>
    <s v="Ecart négatif"/>
    <n v="18.419999999999987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2"/>
    <n v="62"/>
    <x v="7"/>
    <x v="0"/>
    <n v="0"/>
    <n v="0"/>
    <n v="0"/>
    <n v="0"/>
    <x v="1"/>
    <x v="1"/>
    <n v="0"/>
    <n v="0"/>
    <n v="0"/>
    <n v="0"/>
    <s v="Pas d'écart"/>
    <n v="0"/>
  </r>
  <r>
    <x v="2"/>
    <n v="75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57"/>
    <x v="1"/>
    <x v="0"/>
    <n v="0"/>
    <n v="30"/>
    <n v="0.25"/>
    <n v="-30"/>
    <x v="0"/>
    <x v="324"/>
    <n v="0.24283333333333335"/>
    <n v="30"/>
    <n v="0.25"/>
    <n v="-0.85999999999999943"/>
    <s v="Ecart négatif"/>
    <n v="0"/>
  </r>
  <r>
    <x v="4"/>
    <n v="63"/>
    <x v="6"/>
    <x v="770"/>
    <n v="0.27537500000000004"/>
    <n v="46.4"/>
    <n v="0.28999999999999998"/>
    <n v="-2.3399999999999963"/>
    <x v="0"/>
    <x v="1"/>
    <n v="0"/>
    <n v="46.4"/>
    <n v="0.28999999999999998"/>
    <n v="-46.4"/>
    <s v="Ecart négatif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4"/>
    <n v="13"/>
    <x v="0"/>
    <x v="771"/>
    <n v="0.27538888888888891"/>
    <n v="52.199999999999996"/>
    <n v="0.28999999999999998"/>
    <n v="-2.6299999999999955"/>
    <x v="0"/>
    <x v="1"/>
    <n v="0"/>
    <n v="52.199999999999996"/>
    <n v="0.28999999999999998"/>
    <n v="-52.199999999999996"/>
    <s v="Ecart négatif"/>
    <n v="0"/>
  </r>
  <r>
    <x v="3"/>
    <n v="67"/>
    <x v="0"/>
    <x v="772"/>
    <n v="0.27561111111111108"/>
    <n v="52.199999999999996"/>
    <n v="0.28999999999999998"/>
    <n v="-2.5899999999999963"/>
    <x v="0"/>
    <x v="1"/>
    <n v="0"/>
    <n v="52.199999999999996"/>
    <n v="0.28999999999999998"/>
    <n v="-52.199999999999996"/>
    <s v="Ecart négatif"/>
    <n v="18.41999999999998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13"/>
    <x v="0"/>
    <x v="772"/>
    <n v="0.27561111111111108"/>
    <n v="52.199999999999996"/>
    <n v="0.28999999999999998"/>
    <n v="-2.5899999999999963"/>
    <x v="0"/>
    <x v="1"/>
    <n v="0"/>
    <n v="52.199999999999996"/>
    <n v="0.28999999999999998"/>
    <n v="-52.199999999999996"/>
    <s v="Ecart négatif"/>
    <n v="0"/>
  </r>
  <r>
    <x v="3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11.649999999999999"/>
  </r>
  <r>
    <x v="4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0"/>
  </r>
  <r>
    <x v="2"/>
    <n v="76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0"/>
  </r>
  <r>
    <x v="4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0"/>
  </r>
  <r>
    <x v="4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0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1"/>
    <n v="44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65.680000000000007"/>
  </r>
  <r>
    <x v="3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11.649999999999999"/>
  </r>
  <r>
    <x v="4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0"/>
  </r>
  <r>
    <x v="2"/>
    <n v="59"/>
    <x v="16"/>
    <x v="0"/>
    <n v="0"/>
    <n v="0"/>
    <n v="0"/>
    <n v="0"/>
    <x v="1"/>
    <x v="1"/>
    <n v="0"/>
    <n v="0"/>
    <n v="0"/>
    <n v="0"/>
    <s v="Pas d'écart"/>
    <n v="107.6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6"/>
    <x v="11"/>
    <x v="773"/>
    <n v="0.27566666666666667"/>
    <n v="18"/>
    <n v="0.3"/>
    <n v="-1.4600000000000009"/>
    <x v="0"/>
    <x v="1"/>
    <n v="0"/>
    <n v="18"/>
    <n v="0.3"/>
    <n v="-18"/>
    <s v="Ecart négatif"/>
    <n v="11.649999999999999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4"/>
    <n v="68"/>
    <x v="8"/>
    <x v="217"/>
    <n v="0.29000000000000004"/>
    <n v="20.299999999999997"/>
    <n v="0.28999999999999998"/>
    <n v="0"/>
    <x v="1"/>
    <x v="1"/>
    <n v="0"/>
    <n v="20.299999999999997"/>
    <n v="0.28999999999999998"/>
    <n v="-20.299999999999997"/>
    <s v="Ecart négatif"/>
    <n v="0"/>
  </r>
  <r>
    <x v="3"/>
    <n v="94"/>
    <x v="15"/>
    <x v="0"/>
    <n v="0"/>
    <n v="0"/>
    <n v="0"/>
    <n v="0"/>
    <x v="1"/>
    <x v="1"/>
    <n v="0"/>
    <n v="0"/>
    <n v="0"/>
    <n v="0"/>
    <s v="Pas d'écart"/>
    <n v="3.7100000000000009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0"/>
    <n v="13"/>
    <x v="12"/>
    <x v="0"/>
    <n v="0"/>
    <n v="7.6"/>
    <n v="0.19"/>
    <n v="-7.6"/>
    <x v="0"/>
    <x v="1"/>
    <n v="0"/>
    <n v="7.6"/>
    <n v="0.19"/>
    <n v="-7.6"/>
    <s v="Ecart négatif"/>
    <n v="6.8599999999999994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2"/>
    <n v="88"/>
    <x v="9"/>
    <x v="0"/>
    <n v="0"/>
    <n v="6.4"/>
    <n v="0.08"/>
    <n v="-6.4"/>
    <x v="0"/>
    <x v="1"/>
    <n v="0"/>
    <n v="6.4"/>
    <n v="0.08"/>
    <n v="-6.4"/>
    <s v="Ecart négatif"/>
    <n v="0"/>
  </r>
  <r>
    <x v="2"/>
    <n v="80"/>
    <x v="19"/>
    <x v="0"/>
    <n v="0"/>
    <n v="0"/>
    <n v="0"/>
    <n v="0"/>
    <x v="1"/>
    <x v="199"/>
    <n v="0.184"/>
    <n v="0"/>
    <n v="0"/>
    <n v="34.96"/>
    <s v="Ecart positif"/>
    <n v="0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6"/>
    <x v="22"/>
    <x v="774"/>
    <n v="0.27600000000000002"/>
    <n v="30"/>
    <n v="0.3"/>
    <n v="-2.3999999999999986"/>
    <x v="0"/>
    <x v="1"/>
    <n v="0"/>
    <n v="30"/>
    <n v="0.3"/>
    <n v="-30"/>
    <s v="Ecart négatif"/>
    <n v="15.18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3"/>
    <n v="77"/>
    <x v="46"/>
    <x v="0"/>
    <n v="0"/>
    <n v="0"/>
    <n v="0"/>
    <n v="0"/>
    <x v="1"/>
    <x v="1"/>
    <n v="0"/>
    <n v="0"/>
    <n v="0"/>
    <n v="0"/>
    <s v="Pas d'écart"/>
    <n v="25.080000000000013"/>
  </r>
  <r>
    <x v="4"/>
    <n v="13"/>
    <x v="19"/>
    <x v="775"/>
    <n v="0.27621052631578946"/>
    <n v="55.099999999999994"/>
    <n v="0.28999999999999998"/>
    <n v="-2.6199999999999974"/>
    <x v="0"/>
    <x v="1"/>
    <n v="0"/>
    <n v="55.099999999999994"/>
    <n v="0.28999999999999998"/>
    <n v="-55.099999999999994"/>
    <s v="Ecart négatif"/>
    <n v="0"/>
  </r>
  <r>
    <x v="4"/>
    <n v="13"/>
    <x v="19"/>
    <x v="776"/>
    <n v="0.27626315789473688"/>
    <n v="55.099999999999994"/>
    <n v="0.28999999999999998"/>
    <n v="-2.6099999999999923"/>
    <x v="0"/>
    <x v="1"/>
    <n v="0"/>
    <n v="55.099999999999994"/>
    <n v="0.28999999999999998"/>
    <n v="-55.099999999999994"/>
    <s v="Ecart négatif"/>
    <n v="0"/>
  </r>
  <r>
    <x v="4"/>
    <n v="63"/>
    <x v="10"/>
    <x v="777"/>
    <n v="0.27626666666666666"/>
    <n v="43.5"/>
    <n v="0.28999999999999998"/>
    <n v="-2.0600000000000023"/>
    <x v="0"/>
    <x v="1"/>
    <n v="0"/>
    <n v="43.5"/>
    <n v="0.28999999999999998"/>
    <n v="-43.5"/>
    <s v="Ecart négatif"/>
    <n v="0"/>
  </r>
  <r>
    <x v="3"/>
    <n v="13"/>
    <x v="10"/>
    <x v="778"/>
    <n v="0.27639999999999998"/>
    <n v="43.5"/>
    <n v="0.28999999999999998"/>
    <n v="-2.0399999999999991"/>
    <x v="0"/>
    <x v="1"/>
    <n v="0"/>
    <n v="43.5"/>
    <n v="0.28999999999999998"/>
    <n v="-43.5"/>
    <s v="Ecart négatif"/>
    <n v="13.759999999999998"/>
  </r>
  <r>
    <x v="2"/>
    <n v="67"/>
    <x v="6"/>
    <x v="0"/>
    <n v="0"/>
    <n v="12.8"/>
    <n v="0.08"/>
    <n v="-12.8"/>
    <x v="0"/>
    <x v="1"/>
    <n v="0"/>
    <n v="12.8"/>
    <n v="0.08"/>
    <n v="-12.8"/>
    <s v="Ecart négatif"/>
    <n v="0"/>
  </r>
  <r>
    <x v="2"/>
    <n v="85"/>
    <x v="7"/>
    <x v="0"/>
    <n v="0"/>
    <n v="0"/>
    <n v="0"/>
    <n v="0"/>
    <x v="1"/>
    <x v="1"/>
    <n v="0"/>
    <n v="0"/>
    <n v="0"/>
    <n v="0"/>
    <s v="Pas d'écart"/>
    <n v="0"/>
  </r>
  <r>
    <x v="3"/>
    <n v="68"/>
    <x v="16"/>
    <x v="779"/>
    <n v="0.27665000000000001"/>
    <n v="57.999999999999993"/>
    <n v="0.28999999999999998"/>
    <n v="-2.6699999999999946"/>
    <x v="0"/>
    <x v="1"/>
    <n v="0"/>
    <n v="57.999999999999993"/>
    <n v="0.28999999999999998"/>
    <n v="-57.999999999999993"/>
    <s v="Ecart négatif"/>
    <n v="25.920000000000016"/>
  </r>
  <r>
    <x v="2"/>
    <n v="83"/>
    <x v="13"/>
    <x v="0"/>
    <n v="0"/>
    <n v="35.699999999999996"/>
    <n v="0.20999999999999996"/>
    <n v="-35.699999999999996"/>
    <x v="0"/>
    <x v="309"/>
    <n v="0.19917647058823529"/>
    <n v="35.699999999999996"/>
    <n v="0.20999999999999996"/>
    <n v="-1.8399999999999963"/>
    <s v="Ecart négatif"/>
    <n v="0"/>
  </r>
  <r>
    <x v="0"/>
    <n v="78"/>
    <x v="8"/>
    <x v="0"/>
    <n v="0"/>
    <n v="0"/>
    <n v="0"/>
    <n v="0"/>
    <x v="1"/>
    <x v="1"/>
    <n v="0"/>
    <n v="0"/>
    <n v="0"/>
    <n v="0"/>
    <s v="Pas d'écart"/>
    <n v="7.1999999999999957"/>
  </r>
  <r>
    <x v="0"/>
    <n v="89"/>
    <x v="8"/>
    <x v="0"/>
    <n v="0"/>
    <n v="8.4"/>
    <n v="0.12000000000000001"/>
    <n v="-8.4"/>
    <x v="0"/>
    <x v="1"/>
    <n v="0"/>
    <n v="8.4"/>
    <n v="0.12000000000000001"/>
    <n v="-8.4"/>
    <s v="Ecart négatif"/>
    <n v="66.36"/>
  </r>
  <r>
    <x v="3"/>
    <n v="68"/>
    <x v="16"/>
    <x v="779"/>
    <n v="0.27665000000000001"/>
    <n v="57.999999999999993"/>
    <n v="0.28999999999999998"/>
    <n v="-2.6699999999999946"/>
    <x v="0"/>
    <x v="1"/>
    <n v="0"/>
    <n v="57.999999999999993"/>
    <n v="0.28999999999999998"/>
    <n v="-57.999999999999993"/>
    <s v="Ecart négatif"/>
    <n v="25.920000000000016"/>
  </r>
  <r>
    <x v="2"/>
    <n v="83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107.35"/>
  </r>
  <r>
    <x v="2"/>
    <n v="24"/>
    <x v="9"/>
    <x v="0"/>
    <n v="0"/>
    <n v="13.600000000000001"/>
    <n v="0.17"/>
    <n v="-13.600000000000001"/>
    <x v="0"/>
    <x v="84"/>
    <n v="0.15637499999999999"/>
    <n v="13.600000000000001"/>
    <n v="0.17"/>
    <n v="-1.0900000000000016"/>
    <s v="Ecart négatif"/>
    <n v="70.19"/>
  </r>
  <r>
    <x v="2"/>
    <n v="63"/>
    <x v="7"/>
    <x v="0"/>
    <n v="0"/>
    <n v="3.5999999999999996"/>
    <n v="0.11999999999999998"/>
    <n v="-3.5999999999999996"/>
    <x v="0"/>
    <x v="85"/>
    <n v="0.1"/>
    <n v="3.5999999999999996"/>
    <n v="0.11999999999999998"/>
    <n v="-0.59999999999999964"/>
    <s v="Ecart négatif"/>
    <n v="0"/>
  </r>
  <r>
    <x v="0"/>
    <n v="68"/>
    <x v="10"/>
    <x v="0"/>
    <n v="0"/>
    <n v="12"/>
    <n v="0.08"/>
    <n v="-12"/>
    <x v="0"/>
    <x v="325"/>
    <n v="7.506666666666667E-2"/>
    <n v="12"/>
    <n v="0.08"/>
    <n v="-0.74000000000000021"/>
    <s v="Ecart négatif"/>
    <n v="14.789999999999992"/>
  </r>
  <r>
    <x v="2"/>
    <n v="86"/>
    <x v="8"/>
    <x v="0"/>
    <n v="0"/>
    <n v="8.4"/>
    <n v="0.12000000000000001"/>
    <n v="-8.4"/>
    <x v="0"/>
    <x v="125"/>
    <n v="0.21"/>
    <n v="8.4"/>
    <n v="0.12000000000000001"/>
    <n v="6.2999999999999989"/>
    <s v="Ecart positif"/>
    <n v="61.48"/>
  </r>
  <r>
    <x v="0"/>
    <n v="85"/>
    <x v="15"/>
    <x v="0"/>
    <n v="0"/>
    <n v="0"/>
    <n v="0"/>
    <n v="0"/>
    <x v="1"/>
    <x v="39"/>
    <n v="0.254"/>
    <n v="0"/>
    <n v="0"/>
    <n v="5.08"/>
    <s v="Ecart positif"/>
    <n v="17.22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6"/>
    <x v="22"/>
    <x v="0"/>
    <n v="0"/>
    <n v="21"/>
    <n v="0.21"/>
    <n v="-21"/>
    <x v="0"/>
    <x v="187"/>
    <n v="0.27600000000000002"/>
    <n v="21"/>
    <n v="0.21"/>
    <n v="6.6000000000000014"/>
    <s v="Ecart positif"/>
    <n v="15.18"/>
  </r>
  <r>
    <x v="0"/>
    <n v="10"/>
    <x v="6"/>
    <x v="0"/>
    <n v="0"/>
    <n v="19.2"/>
    <n v="0.12"/>
    <n v="-19.2"/>
    <x v="0"/>
    <x v="1"/>
    <n v="0"/>
    <n v="19.2"/>
    <n v="0.12"/>
    <n v="-19.2"/>
    <s v="Ecart négatif"/>
    <n v="91.6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14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25.37"/>
  </r>
  <r>
    <x v="0"/>
    <n v="69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77"/>
    <x v="14"/>
    <x v="0"/>
    <n v="0"/>
    <n v="0"/>
    <n v="0"/>
    <n v="0"/>
    <x v="1"/>
    <x v="1"/>
    <n v="0"/>
    <n v="0"/>
    <n v="0"/>
    <n v="0"/>
    <s v="Pas d'écart"/>
    <n v="10.020000000000003"/>
  </r>
  <r>
    <x v="2"/>
    <n v="93"/>
    <x v="19"/>
    <x v="0"/>
    <n v="0"/>
    <n v="0"/>
    <n v="0"/>
    <n v="0"/>
    <x v="1"/>
    <x v="1"/>
    <n v="0"/>
    <n v="0"/>
    <n v="0"/>
    <n v="0"/>
    <s v="Pas d'écart"/>
    <n v="62.01"/>
  </r>
  <r>
    <x v="0"/>
    <n v="75"/>
    <x v="8"/>
    <x v="0"/>
    <n v="0"/>
    <n v="0"/>
    <n v="0"/>
    <n v="0"/>
    <x v="1"/>
    <x v="1"/>
    <n v="0"/>
    <n v="0"/>
    <n v="0"/>
    <n v="0"/>
    <s v="Pas d'écart"/>
    <n v="35.979999999999997"/>
  </r>
  <r>
    <x v="4"/>
    <n v="6"/>
    <x v="11"/>
    <x v="780"/>
    <n v="0.27666666666666667"/>
    <n v="18"/>
    <n v="0.3"/>
    <n v="-1.3999999999999986"/>
    <x v="0"/>
    <x v="1"/>
    <n v="0"/>
    <n v="18"/>
    <n v="0.3"/>
    <n v="-18"/>
    <s v="Ecart négatif"/>
    <n v="0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59"/>
    <x v="0"/>
    <x v="0"/>
    <n v="0"/>
    <n v="0"/>
    <n v="0"/>
    <n v="0"/>
    <x v="1"/>
    <x v="1"/>
    <n v="0"/>
    <n v="0"/>
    <n v="0"/>
    <n v="0"/>
    <s v="Pas d'écart"/>
    <n v="92.1"/>
  </r>
  <r>
    <x v="2"/>
    <n v="52"/>
    <x v="2"/>
    <x v="0"/>
    <n v="0"/>
    <n v="16.8"/>
    <n v="0.12000000000000001"/>
    <n v="-16.8"/>
    <x v="0"/>
    <x v="22"/>
    <n v="0.12000000000000001"/>
    <n v="16.8"/>
    <n v="0.12000000000000001"/>
    <n v="0"/>
    <s v="Pas d'écart"/>
    <n v="78.8"/>
  </r>
  <r>
    <x v="0"/>
    <n v="1"/>
    <x v="8"/>
    <x v="0"/>
    <n v="0"/>
    <n v="0"/>
    <n v="0"/>
    <n v="0"/>
    <x v="1"/>
    <x v="289"/>
    <n v="0.26999999999999996"/>
    <n v="0"/>
    <n v="0"/>
    <n v="18.899999999999999"/>
    <s v="Ecart positif"/>
    <n v="61.48"/>
  </r>
  <r>
    <x v="2"/>
    <n v="76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76.56"/>
  </r>
  <r>
    <x v="2"/>
    <n v="25"/>
    <x v="10"/>
    <x v="0"/>
    <n v="0"/>
    <n v="18"/>
    <n v="0.12"/>
    <n v="-18"/>
    <x v="0"/>
    <x v="302"/>
    <n v="0.11706666666666665"/>
    <n v="18"/>
    <n v="0.12"/>
    <n v="-0.44000000000000128"/>
    <s v="Ecart négatif"/>
    <n v="79.510000000000005"/>
  </r>
  <r>
    <x v="2"/>
    <n v="51"/>
    <x v="8"/>
    <x v="0"/>
    <n v="0"/>
    <n v="17.5"/>
    <n v="0.25"/>
    <n v="-17.5"/>
    <x v="0"/>
    <x v="184"/>
    <n v="0.25"/>
    <n v="17.5"/>
    <n v="0.25"/>
    <n v="0"/>
    <s v="Pas d'écart"/>
    <n v="66.36"/>
  </r>
  <r>
    <x v="3"/>
    <n v="13"/>
    <x v="7"/>
    <x v="781"/>
    <n v="0.27666666666666667"/>
    <n v="8.6999999999999993"/>
    <n v="0.28999999999999998"/>
    <n v="-0.39999999999999858"/>
    <x v="0"/>
    <x v="1"/>
    <n v="0"/>
    <n v="8.6999999999999993"/>
    <n v="0.28999999999999998"/>
    <n v="-8.6999999999999993"/>
    <s v="Ecart négatif"/>
    <n v="4.1900000000000013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2"/>
    <n v="36"/>
    <x v="11"/>
    <x v="0"/>
    <n v="0"/>
    <n v="7.1999999999999993"/>
    <n v="0.11999999999999998"/>
    <n v="-7.1999999999999993"/>
    <x v="0"/>
    <x v="1"/>
    <n v="0"/>
    <n v="7.1999999999999993"/>
    <n v="0.11999999999999998"/>
    <n v="-7.1999999999999993"/>
    <s v="Ecart négatif"/>
    <n v="58.26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2"/>
    <n v="6"/>
    <x v="2"/>
    <x v="0"/>
    <n v="0"/>
    <n v="29.4"/>
    <n v="0.21"/>
    <n v="-29.4"/>
    <x v="0"/>
    <x v="98"/>
    <n v="0.21"/>
    <n v="29.4"/>
    <n v="0.21"/>
    <n v="0"/>
    <s v="Pas d'écart"/>
    <n v="78.8"/>
  </r>
  <r>
    <x v="2"/>
    <n v="75"/>
    <x v="7"/>
    <x v="0"/>
    <n v="0"/>
    <n v="0"/>
    <n v="0"/>
    <n v="0"/>
    <x v="1"/>
    <x v="1"/>
    <n v="0"/>
    <n v="0"/>
    <n v="0"/>
    <n v="0"/>
    <s v="Pas d'écart"/>
    <n v="0"/>
  </r>
  <r>
    <x v="2"/>
    <n v="14"/>
    <x v="12"/>
    <x v="0"/>
    <n v="0"/>
    <n v="6.8000000000000007"/>
    <n v="0.17"/>
    <n v="-6.8000000000000007"/>
    <x v="0"/>
    <x v="326"/>
    <n v="0.14074999999999999"/>
    <n v="6.8000000000000007"/>
    <n v="0.17"/>
    <n v="-1.1700000000000008"/>
    <s v="Ecart négatif"/>
    <n v="41.47"/>
  </r>
  <r>
    <x v="3"/>
    <n v="13"/>
    <x v="7"/>
    <x v="781"/>
    <n v="0.27666666666666667"/>
    <n v="8.6999999999999993"/>
    <n v="0.28999999999999998"/>
    <n v="-0.39999999999999858"/>
    <x v="0"/>
    <x v="1"/>
    <n v="0"/>
    <n v="8.6999999999999993"/>
    <n v="0.28999999999999998"/>
    <n v="-8.6999999999999993"/>
    <s v="Ecart négatif"/>
    <n v="4.1900000000000013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54"/>
    <x v="15"/>
    <x v="0"/>
    <n v="0"/>
    <n v="5"/>
    <n v="0.25"/>
    <n v="-5"/>
    <x v="0"/>
    <x v="57"/>
    <n v="0.21249999999999999"/>
    <n v="5"/>
    <n v="0.25"/>
    <n v="-0.75"/>
    <s v="Ecart négatif"/>
    <n v="3.2800000000000011"/>
  </r>
  <r>
    <x v="0"/>
    <n v="94"/>
    <x v="6"/>
    <x v="0"/>
    <n v="0"/>
    <n v="0"/>
    <n v="0"/>
    <n v="0"/>
    <x v="1"/>
    <x v="1"/>
    <n v="0"/>
    <n v="0"/>
    <n v="0"/>
    <n v="0"/>
    <s v="Pas d'écart"/>
    <n v="56.79"/>
  </r>
  <r>
    <x v="3"/>
    <n v="6"/>
    <x v="11"/>
    <x v="780"/>
    <n v="0.27666666666666667"/>
    <n v="18"/>
    <n v="0.3"/>
    <n v="-1.3999999999999986"/>
    <x v="0"/>
    <x v="1"/>
    <n v="0"/>
    <n v="18"/>
    <n v="0.3"/>
    <n v="-18"/>
    <s v="Ecart négatif"/>
    <n v="11.649999999999999"/>
  </r>
  <r>
    <x v="3"/>
    <n v="6"/>
    <x v="18"/>
    <x v="782"/>
    <n v="0.27666666666666667"/>
    <n v="27"/>
    <n v="0.3"/>
    <n v="-2.1000000000000014"/>
    <x v="0"/>
    <x v="1"/>
    <n v="0"/>
    <n v="27"/>
    <n v="0.3"/>
    <n v="-27"/>
    <s v="Ecart négatif"/>
    <n v="15.04"/>
  </r>
  <r>
    <x v="3"/>
    <n v="6"/>
    <x v="11"/>
    <x v="780"/>
    <n v="0.27666666666666667"/>
    <n v="18"/>
    <n v="0.3"/>
    <n v="-1.3999999999999986"/>
    <x v="0"/>
    <x v="1"/>
    <n v="0"/>
    <n v="18"/>
    <n v="0.3"/>
    <n v="-18"/>
    <s v="Ecart négatif"/>
    <n v="11.649999999999999"/>
  </r>
  <r>
    <x v="2"/>
    <n v="74"/>
    <x v="19"/>
    <x v="0"/>
    <n v="0"/>
    <n v="0"/>
    <n v="0"/>
    <n v="0"/>
    <x v="1"/>
    <x v="1"/>
    <n v="0"/>
    <n v="0"/>
    <n v="0"/>
    <n v="0"/>
    <s v="Pas d'écart"/>
    <n v="0"/>
  </r>
  <r>
    <x v="4"/>
    <n v="83"/>
    <x v="11"/>
    <x v="780"/>
    <n v="0.27666666666666667"/>
    <n v="18"/>
    <n v="0.3"/>
    <n v="-1.3999999999999986"/>
    <x v="0"/>
    <x v="1"/>
    <n v="0"/>
    <n v="18"/>
    <n v="0.3"/>
    <n v="-18"/>
    <s v="Ecart négatif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2"/>
    <n v="67"/>
    <x v="12"/>
    <x v="0"/>
    <n v="0"/>
    <n v="3.2"/>
    <n v="0.08"/>
    <n v="-3.2"/>
    <x v="0"/>
    <x v="327"/>
    <n v="6.4000000000000001E-2"/>
    <n v="3.2"/>
    <n v="0.08"/>
    <n v="-0.64000000000000012"/>
    <s v="Ecart négatif"/>
    <n v="0"/>
  </r>
  <r>
    <x v="6"/>
    <n v="56"/>
    <x v="15"/>
    <x v="0"/>
    <n v="0"/>
    <n v="5.4"/>
    <n v="0.27"/>
    <n v="-5.4"/>
    <x v="0"/>
    <x v="328"/>
    <n v="0.17849999999999999"/>
    <n v="5.4"/>
    <n v="0.27"/>
    <n v="-1.8300000000000005"/>
    <s v="Ecart négatif"/>
    <n v="2.7600000000000016"/>
  </r>
  <r>
    <x v="4"/>
    <n v="30"/>
    <x v="15"/>
    <x v="288"/>
    <n v="0.27700000000000002"/>
    <n v="7.8000000000000007"/>
    <n v="0.39"/>
    <n v="-2.2600000000000007"/>
    <x v="0"/>
    <x v="1"/>
    <n v="0"/>
    <n v="7.8000000000000007"/>
    <n v="0.39"/>
    <n v="-7.8000000000000007"/>
    <s v="Ecart négatif"/>
    <n v="0"/>
  </r>
  <r>
    <x v="0"/>
    <n v="13"/>
    <x v="2"/>
    <x v="0"/>
    <n v="0"/>
    <n v="26.6"/>
    <n v="0.19"/>
    <n v="-26.6"/>
    <x v="0"/>
    <x v="68"/>
    <n v="0.19"/>
    <n v="26.6"/>
    <n v="0.19"/>
    <n v="0"/>
    <s v="Pas d'écart"/>
    <n v="13.140000000000008"/>
  </r>
  <r>
    <x v="1"/>
    <n v="77"/>
    <x v="34"/>
    <x v="0"/>
    <n v="0"/>
    <n v="0"/>
    <n v="0"/>
    <n v="0"/>
    <x v="1"/>
    <x v="1"/>
    <n v="0"/>
    <n v="0"/>
    <n v="0"/>
    <n v="0"/>
    <s v="Pas d'écart"/>
    <n v="69.4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34"/>
    <x v="15"/>
    <x v="288"/>
    <n v="0.27700000000000002"/>
    <n v="7.8000000000000007"/>
    <n v="0.39"/>
    <n v="-2.2600000000000007"/>
    <x v="0"/>
    <x v="1"/>
    <n v="0"/>
    <n v="7.8000000000000007"/>
    <n v="0.39"/>
    <n v="-7.8000000000000007"/>
    <s v="Ecart négatif"/>
    <n v="0"/>
  </r>
  <r>
    <x v="3"/>
    <n v="13"/>
    <x v="10"/>
    <x v="783"/>
    <n v="0.27713333333333334"/>
    <n v="43.5"/>
    <n v="0.28999999999999998"/>
    <n v="-1.9299999999999997"/>
    <x v="0"/>
    <x v="1"/>
    <n v="0"/>
    <n v="43.5"/>
    <n v="0.28999999999999998"/>
    <n v="-43.5"/>
    <s v="Ecart négatif"/>
    <n v="13.759999999999998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68"/>
    <x v="3"/>
    <x v="784"/>
    <n v="0.27747619047619049"/>
    <n v="60.9"/>
    <n v="0.28999999999999998"/>
    <n v="-2.6299999999999955"/>
    <x v="0"/>
    <x v="1"/>
    <n v="0"/>
    <n v="60.9"/>
    <n v="0.28999999999999998"/>
    <n v="-60.9"/>
    <s v="Ecart négatif"/>
    <n v="27.039999999999992"/>
  </r>
  <r>
    <x v="3"/>
    <n v="83"/>
    <x v="14"/>
    <x v="785"/>
    <n v="0.27761538461538465"/>
    <n v="39"/>
    <n v="0.3"/>
    <n v="-2.9099999999999966"/>
    <x v="0"/>
    <x v="1"/>
    <n v="0"/>
    <n v="39"/>
    <n v="0.3"/>
    <n v="-39"/>
    <s v="Ecart négatif"/>
    <n v="14.579999999999998"/>
  </r>
  <r>
    <x v="1"/>
    <n v="44"/>
    <x v="13"/>
    <x v="0"/>
    <n v="0"/>
    <n v="45.900000000000006"/>
    <n v="0.27"/>
    <n v="-45.900000000000006"/>
    <x v="0"/>
    <x v="1"/>
    <n v="0"/>
    <n v="45.900000000000006"/>
    <n v="0.27"/>
    <n v="-45.900000000000006"/>
    <s v="Ecart négatif"/>
    <n v="84.33"/>
  </r>
  <r>
    <x v="1"/>
    <n v="44"/>
    <x v="14"/>
    <x v="0"/>
    <n v="0"/>
    <n v="35.1"/>
    <n v="0.27"/>
    <n v="-35.1"/>
    <x v="0"/>
    <x v="1"/>
    <n v="0"/>
    <n v="35.1"/>
    <n v="0.27"/>
    <n v="-35.1"/>
    <s v="Ecart négatif"/>
    <n v="62.5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4"/>
    <n v="83"/>
    <x v="14"/>
    <x v="785"/>
    <n v="0.27761538461538465"/>
    <n v="39"/>
    <n v="0.3"/>
    <n v="-2.9099999999999966"/>
    <x v="0"/>
    <x v="1"/>
    <n v="0"/>
    <n v="39"/>
    <n v="0.3"/>
    <n v="-39"/>
    <s v="Ecart négatif"/>
    <n v="0"/>
  </r>
  <r>
    <x v="3"/>
    <n v="83"/>
    <x v="14"/>
    <x v="785"/>
    <n v="0.27761538461538465"/>
    <n v="39"/>
    <n v="0.3"/>
    <n v="-2.9099999999999966"/>
    <x v="0"/>
    <x v="1"/>
    <n v="0"/>
    <n v="39"/>
    <n v="0.3"/>
    <n v="-39"/>
    <s v="Ecart négatif"/>
    <n v="14.579999999999998"/>
  </r>
  <r>
    <x v="0"/>
    <n v="94"/>
    <x v="87"/>
    <x v="0"/>
    <n v="0"/>
    <n v="0"/>
    <n v="0"/>
    <n v="0"/>
    <x v="1"/>
    <x v="1"/>
    <n v="0"/>
    <n v="0"/>
    <n v="0"/>
    <n v="0"/>
    <s v="Pas d'écart"/>
    <e v="#N/A"/>
  </r>
  <r>
    <x v="4"/>
    <n v="67"/>
    <x v="16"/>
    <x v="786"/>
    <n v="0.27765000000000001"/>
    <n v="57.999999999999993"/>
    <n v="0.28999999999999998"/>
    <n v="-2.4699999999999918"/>
    <x v="0"/>
    <x v="1"/>
    <n v="0"/>
    <n v="57.999999999999993"/>
    <n v="0.28999999999999998"/>
    <n v="-57.999999999999993"/>
    <s v="Ecart négatif"/>
    <n v="0"/>
  </r>
  <r>
    <x v="4"/>
    <n v="68"/>
    <x v="9"/>
    <x v="787"/>
    <n v="0.27775"/>
    <n v="23.2"/>
    <n v="0.28999999999999998"/>
    <n v="-0.98000000000000043"/>
    <x v="0"/>
    <x v="1"/>
    <n v="0"/>
    <n v="23.2"/>
    <n v="0.28999999999999998"/>
    <n v="-23.2"/>
    <s v="Ecart négatif"/>
    <n v="0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3"/>
    <n v="15"/>
    <x v="18"/>
    <x v="788"/>
    <n v="0.27799999999999997"/>
    <n v="26.099999999999998"/>
    <n v="0.28999999999999998"/>
    <n v="-1.0799999999999983"/>
    <x v="0"/>
    <x v="1"/>
    <n v="0"/>
    <n v="26.099999999999998"/>
    <n v="0.28999999999999998"/>
    <n v="-26.099999999999998"/>
    <s v="Ecart négatif"/>
    <n v="14.150000000000006"/>
  </r>
  <r>
    <x v="4"/>
    <n v="67"/>
    <x v="18"/>
    <x v="788"/>
    <n v="0.27799999999999997"/>
    <n v="26.099999999999998"/>
    <n v="0.28999999999999998"/>
    <n v="-1.0799999999999983"/>
    <x v="0"/>
    <x v="1"/>
    <n v="0"/>
    <n v="26.099999999999998"/>
    <n v="0.28999999999999998"/>
    <n v="-26.099999999999998"/>
    <s v="Ecart négatif"/>
    <n v="0"/>
  </r>
  <r>
    <x v="4"/>
    <n v="92"/>
    <x v="13"/>
    <x v="0"/>
    <n v="0"/>
    <n v="0"/>
    <n v="0"/>
    <n v="0"/>
    <x v="1"/>
    <x v="1"/>
    <n v="0"/>
    <n v="0"/>
    <n v="0"/>
    <n v="0"/>
    <s v="Pas d'écart"/>
    <n v="0"/>
  </r>
  <r>
    <x v="3"/>
    <n v="68"/>
    <x v="2"/>
    <x v="789"/>
    <n v="0.27800000000000002"/>
    <n v="40.599999999999994"/>
    <n v="0.28999999999999998"/>
    <n v="-1.6799999999999926"/>
    <x v="0"/>
    <x v="1"/>
    <n v="0"/>
    <n v="40.599999999999994"/>
    <n v="0.28999999999999998"/>
    <n v="-40.599999999999994"/>
    <s v="Ecart négatif"/>
    <n v="14.68"/>
  </r>
  <r>
    <x v="4"/>
    <n v="67"/>
    <x v="6"/>
    <x v="790"/>
    <n v="0.27812500000000001"/>
    <n v="46.4"/>
    <n v="0.28999999999999998"/>
    <n v="-1.8999999999999986"/>
    <x v="0"/>
    <x v="1"/>
    <n v="0"/>
    <n v="46.4"/>
    <n v="0.28999999999999998"/>
    <n v="-46.4"/>
    <s v="Ecart négatif"/>
    <n v="0"/>
  </r>
  <r>
    <x v="3"/>
    <n v="68"/>
    <x v="18"/>
    <x v="791"/>
    <n v="0.2782222222222222"/>
    <n v="26.099999999999998"/>
    <n v="0.28999999999999998"/>
    <n v="-1.0599999999999987"/>
    <x v="0"/>
    <x v="1"/>
    <n v="0"/>
    <n v="26.099999999999998"/>
    <n v="0.28999999999999998"/>
    <n v="-26.099999999999998"/>
    <s v="Ecart négatif"/>
    <n v="14.150000000000006"/>
  </r>
  <r>
    <x v="4"/>
    <n v="67"/>
    <x v="18"/>
    <x v="791"/>
    <n v="0.2782222222222222"/>
    <n v="26.099999999999998"/>
    <n v="0.28999999999999998"/>
    <n v="-1.0599999999999987"/>
    <x v="0"/>
    <x v="1"/>
    <n v="0"/>
    <n v="26.099999999999998"/>
    <n v="0.28999999999999998"/>
    <n v="-26.099999999999998"/>
    <s v="Ecart négatif"/>
    <n v="0"/>
  </r>
  <r>
    <x v="4"/>
    <n v="84"/>
    <x v="18"/>
    <x v="791"/>
    <n v="0.2782222222222222"/>
    <n v="26.099999999999998"/>
    <n v="0.28999999999999998"/>
    <n v="-1.0599999999999987"/>
    <x v="0"/>
    <x v="1"/>
    <n v="0"/>
    <n v="26.099999999999998"/>
    <n v="0.28999999999999998"/>
    <n v="-26.099999999999998"/>
    <s v="Ecart négatif"/>
    <n v="0"/>
  </r>
  <r>
    <x v="4"/>
    <n v="84"/>
    <x v="18"/>
    <x v="791"/>
    <n v="0.2782222222222222"/>
    <n v="26.099999999999998"/>
    <n v="0.28999999999999998"/>
    <n v="-1.0599999999999987"/>
    <x v="0"/>
    <x v="1"/>
    <n v="0"/>
    <n v="26.099999999999998"/>
    <n v="0.28999999999999998"/>
    <n v="-26.099999999999998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59"/>
    <x v="0"/>
    <x v="0"/>
    <n v="0"/>
    <n v="0"/>
    <n v="0"/>
    <n v="0"/>
    <x v="1"/>
    <x v="1"/>
    <n v="0"/>
    <n v="0"/>
    <n v="0"/>
    <n v="0"/>
    <s v="Pas d'écart"/>
    <n v="18.419999999999987"/>
  </r>
  <r>
    <x v="2"/>
    <n v="27"/>
    <x v="2"/>
    <x v="125"/>
    <n v="0.17"/>
    <n v="23.8"/>
    <n v="0.17"/>
    <n v="0"/>
    <x v="1"/>
    <x v="1"/>
    <n v="0"/>
    <n v="23.8"/>
    <n v="0.17"/>
    <n v="-23.8"/>
    <s v="Ecart négatif"/>
    <n v="0"/>
  </r>
  <r>
    <x v="0"/>
    <n v="75"/>
    <x v="0"/>
    <x v="0"/>
    <n v="0"/>
    <n v="0"/>
    <n v="0"/>
    <n v="0"/>
    <x v="1"/>
    <x v="1"/>
    <n v="0"/>
    <n v="0"/>
    <n v="0"/>
    <n v="0"/>
    <s v="Pas d'écart"/>
    <n v="12.050000000000004"/>
  </r>
  <r>
    <x v="4"/>
    <n v="5"/>
    <x v="27"/>
    <x v="792"/>
    <n v="0.27839999999999998"/>
    <n v="14.499999999999998"/>
    <n v="0.28999999999999998"/>
    <n v="-0.57999999999999829"/>
    <x v="0"/>
    <x v="1"/>
    <n v="0"/>
    <n v="14.499999999999998"/>
    <n v="0.28999999999999998"/>
    <n v="-14.499999999999998"/>
    <s v="Ecart négatif"/>
    <n v="0"/>
  </r>
  <r>
    <x v="4"/>
    <n v="20"/>
    <x v="0"/>
    <x v="793"/>
    <n v="0.27850000000000003"/>
    <n v="52.199999999999996"/>
    <n v="0.28999999999999998"/>
    <n v="-2.0699999999999932"/>
    <x v="0"/>
    <x v="1"/>
    <n v="0"/>
    <n v="52.199999999999996"/>
    <n v="0.28999999999999998"/>
    <n v="-52.199999999999996"/>
    <s v="Ecart négatif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5"/>
    <n v="76"/>
    <x v="2"/>
    <x v="0"/>
    <n v="0"/>
    <n v="23.8"/>
    <n v="0.17"/>
    <n v="-23.8"/>
    <x v="0"/>
    <x v="1"/>
    <n v="0"/>
    <n v="23.8"/>
    <n v="0.17"/>
    <n v="-23.8"/>
    <s v="Ecart négatif"/>
    <n v="13.140000000000008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3"/>
    <n v="68"/>
    <x v="8"/>
    <x v="794"/>
    <n v="0.27857142857142858"/>
    <n v="20.299999999999997"/>
    <n v="0.28999999999999998"/>
    <n v="-0.79999999999999716"/>
    <x v="0"/>
    <x v="1"/>
    <n v="0"/>
    <n v="20.299999999999997"/>
    <n v="0.28999999999999998"/>
    <n v="-20.299999999999997"/>
    <s v="Ecart négatif"/>
    <n v="12.299999999999997"/>
  </r>
  <r>
    <x v="2"/>
    <n v="69"/>
    <x v="29"/>
    <x v="0"/>
    <n v="0"/>
    <n v="0"/>
    <n v="0"/>
    <n v="0"/>
    <x v="1"/>
    <x v="1"/>
    <n v="0"/>
    <n v="0"/>
    <n v="0"/>
    <n v="0"/>
    <s v="Pas d'écart"/>
    <n v="0"/>
  </r>
  <r>
    <x v="4"/>
    <n v="13"/>
    <x v="8"/>
    <x v="794"/>
    <n v="0.27857142857142858"/>
    <n v="20.299999999999997"/>
    <n v="0.28999999999999998"/>
    <n v="-0.79999999999999716"/>
    <x v="0"/>
    <x v="1"/>
    <n v="0"/>
    <n v="20.299999999999997"/>
    <n v="0.28999999999999998"/>
    <n v="-20.299999999999997"/>
    <s v="Ecart négatif"/>
    <n v="0"/>
  </r>
  <r>
    <x v="3"/>
    <n v="67"/>
    <x v="2"/>
    <x v="795"/>
    <n v="0.27864285714285714"/>
    <n v="40.599999999999994"/>
    <n v="0.28999999999999998"/>
    <n v="-1.5899999999999963"/>
    <x v="0"/>
    <x v="1"/>
    <n v="0"/>
    <n v="40.599999999999994"/>
    <n v="0.28999999999999998"/>
    <n v="-40.599999999999994"/>
    <s v="Ecart négatif"/>
    <n v="13.140000000000008"/>
  </r>
  <r>
    <x v="4"/>
    <n v="84"/>
    <x v="22"/>
    <x v="796"/>
    <n v="0.2787"/>
    <n v="28.999999999999996"/>
    <n v="0.28999999999999998"/>
    <n v="-1.1299999999999955"/>
    <x v="0"/>
    <x v="1"/>
    <n v="0"/>
    <n v="28.999999999999996"/>
    <n v="0.28999999999999998"/>
    <n v="-28.999999999999996"/>
    <s v="Ecart négatif"/>
    <n v="0"/>
  </r>
  <r>
    <x v="3"/>
    <n v="68"/>
    <x v="6"/>
    <x v="797"/>
    <n v="0.27875"/>
    <n v="46.4"/>
    <n v="0.28999999999999998"/>
    <n v="-1.7999999999999972"/>
    <x v="0"/>
    <x v="1"/>
    <n v="0"/>
    <n v="46.4"/>
    <n v="0.28999999999999998"/>
    <n v="-46.4"/>
    <s v="Ecart négatif"/>
    <n v="17.02000000000001"/>
  </r>
  <r>
    <x v="2"/>
    <n v="38"/>
    <x v="25"/>
    <x v="0"/>
    <n v="0"/>
    <n v="0"/>
    <n v="0"/>
    <n v="0"/>
    <x v="1"/>
    <x v="1"/>
    <n v="0"/>
    <n v="0"/>
    <n v="0"/>
    <n v="0"/>
    <s v="Pas d'écart"/>
    <n v="0"/>
  </r>
  <r>
    <x v="8"/>
    <n v="19"/>
    <x v="14"/>
    <x v="0"/>
    <n v="0"/>
    <n v="37.699999999999996"/>
    <n v="0.28999999999999998"/>
    <n v="-37.699999999999996"/>
    <x v="0"/>
    <x v="1"/>
    <n v="0"/>
    <n v="37.699999999999996"/>
    <n v="0.28999999999999998"/>
    <n v="-37.699999999999996"/>
    <s v="Ecart négatif"/>
    <n v="0"/>
  </r>
  <r>
    <x v="4"/>
    <n v="75"/>
    <x v="10"/>
    <x v="0"/>
    <n v="0"/>
    <n v="0"/>
    <n v="0"/>
    <n v="0"/>
    <x v="1"/>
    <x v="1"/>
    <n v="0"/>
    <n v="0"/>
    <n v="0"/>
    <n v="0"/>
    <s v="Pas d'écart"/>
    <n v="18.049999999999997"/>
  </r>
  <r>
    <x v="2"/>
    <n v="38"/>
    <x v="12"/>
    <x v="0"/>
    <n v="0"/>
    <n v="0"/>
    <n v="0"/>
    <n v="0"/>
    <x v="1"/>
    <x v="1"/>
    <n v="0"/>
    <n v="0"/>
    <n v="0"/>
    <n v="0"/>
    <s v="Pas d'écart"/>
    <n v="0"/>
  </r>
  <r>
    <x v="2"/>
    <n v="49"/>
    <x v="0"/>
    <x v="0"/>
    <n v="0"/>
    <n v="0"/>
    <n v="0"/>
    <n v="0"/>
    <x v="1"/>
    <x v="1"/>
    <n v="0"/>
    <n v="0"/>
    <n v="0"/>
    <n v="0"/>
    <s v="Pas d'écart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3"/>
    <n v="68"/>
    <x v="6"/>
    <x v="797"/>
    <n v="0.27875"/>
    <n v="46.4"/>
    <n v="0.28999999999999998"/>
    <n v="-1.7999999999999972"/>
    <x v="0"/>
    <x v="1"/>
    <n v="0"/>
    <n v="46.4"/>
    <n v="0.28999999999999998"/>
    <n v="-46.4"/>
    <s v="Ecart négatif"/>
    <n v="17.02000000000001"/>
  </r>
  <r>
    <x v="3"/>
    <n v="68"/>
    <x v="6"/>
    <x v="797"/>
    <n v="0.27875"/>
    <n v="46.4"/>
    <n v="0.28999999999999998"/>
    <n v="-1.7999999999999972"/>
    <x v="0"/>
    <x v="1"/>
    <n v="0"/>
    <n v="46.4"/>
    <n v="0.28999999999999998"/>
    <n v="-46.4"/>
    <s v="Ecart négatif"/>
    <n v="17.02000000000001"/>
  </r>
  <r>
    <x v="3"/>
    <n v="68"/>
    <x v="6"/>
    <x v="797"/>
    <n v="0.27875"/>
    <n v="46.4"/>
    <n v="0.28999999999999998"/>
    <n v="-1.7999999999999972"/>
    <x v="0"/>
    <x v="1"/>
    <n v="0"/>
    <n v="46.4"/>
    <n v="0.28999999999999998"/>
    <n v="-46.4"/>
    <s v="Ecart négatif"/>
    <n v="17.02000000000001"/>
  </r>
  <r>
    <x v="6"/>
    <n v="34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9"/>
    <x v="12"/>
    <x v="95"/>
    <n v="0.27"/>
    <n v="10.8"/>
    <n v="0.27"/>
    <n v="0"/>
    <x v="1"/>
    <x v="1"/>
    <n v="0"/>
    <n v="10.8"/>
    <n v="0.27"/>
    <n v="-10.8"/>
    <s v="Ecart négatif"/>
    <n v="0"/>
  </r>
  <r>
    <x v="3"/>
    <n v="68"/>
    <x v="10"/>
    <x v="798"/>
    <n v="0.27879999999999999"/>
    <n v="43.5"/>
    <n v="0.28999999999999998"/>
    <n v="-1.6799999999999997"/>
    <x v="0"/>
    <x v="1"/>
    <n v="0"/>
    <n v="43.5"/>
    <n v="0.28999999999999998"/>
    <n v="-43.5"/>
    <s v="Ecart négatif"/>
    <n v="14.789999999999992"/>
  </r>
  <r>
    <x v="4"/>
    <n v="19"/>
    <x v="4"/>
    <x v="799"/>
    <n v="0.27881818181818185"/>
    <n v="31.9"/>
    <n v="0.28999999999999998"/>
    <n v="-1.2299999999999969"/>
    <x v="0"/>
    <x v="1"/>
    <n v="0"/>
    <n v="31.9"/>
    <n v="0.28999999999999998"/>
    <n v="-31.9"/>
    <s v="Ecart négatif"/>
    <n v="0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0"/>
    <n v="30"/>
    <x v="6"/>
    <x v="0"/>
    <n v="0"/>
    <n v="44.800000000000004"/>
    <n v="0.28000000000000003"/>
    <n v="-44.800000000000004"/>
    <x v="0"/>
    <x v="329"/>
    <n v="0.38756249999999998"/>
    <n v="44.800000000000004"/>
    <n v="0.28000000000000003"/>
    <n v="17.209999999999994"/>
    <s v="Ecart positif"/>
    <n v="17.02000000000001"/>
  </r>
  <r>
    <x v="0"/>
    <n v="14"/>
    <x v="6"/>
    <x v="0"/>
    <n v="0"/>
    <n v="27.200000000000003"/>
    <n v="0.17"/>
    <n v="-27.200000000000003"/>
    <x v="0"/>
    <x v="330"/>
    <n v="0.16393750000000001"/>
    <n v="27.200000000000003"/>
    <n v="0.17"/>
    <n v="-0.97000000000000242"/>
    <s v="Ecart négatif"/>
    <n v="85.09"/>
  </r>
  <r>
    <x v="0"/>
    <n v="38"/>
    <x v="16"/>
    <x v="0"/>
    <n v="0"/>
    <n v="0"/>
    <n v="0"/>
    <n v="0"/>
    <x v="1"/>
    <x v="1"/>
    <n v="0"/>
    <n v="0"/>
    <n v="0"/>
    <n v="0"/>
    <s v="Pas d'écart"/>
    <n v="129.61000000000001"/>
  </r>
  <r>
    <x v="0"/>
    <n v="42"/>
    <x v="0"/>
    <x v="0"/>
    <n v="0"/>
    <n v="0"/>
    <n v="0"/>
    <n v="0"/>
    <x v="1"/>
    <x v="1"/>
    <n v="0"/>
    <n v="0"/>
    <n v="0"/>
    <n v="0"/>
    <s v="Pas d'écart"/>
    <n v="107.35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13"/>
    <x v="1"/>
    <x v="0"/>
    <n v="0"/>
    <n v="22.8"/>
    <n v="0.19"/>
    <n v="-22.8"/>
    <x v="0"/>
    <x v="1"/>
    <n v="0"/>
    <n v="22.8"/>
    <n v="0.19"/>
    <n v="-22.8"/>
    <s v="Ecart négatif"/>
    <n v="59.47"/>
  </r>
  <r>
    <x v="2"/>
    <n v="84"/>
    <x v="12"/>
    <x v="0"/>
    <n v="0"/>
    <n v="7.6"/>
    <n v="0.19"/>
    <n v="-7.6"/>
    <x v="0"/>
    <x v="132"/>
    <n v="0.19"/>
    <n v="7.6"/>
    <n v="0.19"/>
    <n v="0"/>
    <s v="Pas d'écart"/>
    <n v="41.47"/>
  </r>
  <r>
    <x v="2"/>
    <n v="30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07.35"/>
  </r>
  <r>
    <x v="2"/>
    <n v="34"/>
    <x v="12"/>
    <x v="0"/>
    <n v="0"/>
    <n v="11.200000000000001"/>
    <n v="0.28000000000000003"/>
    <n v="-11.200000000000001"/>
    <x v="0"/>
    <x v="1"/>
    <n v="0"/>
    <n v="11.200000000000001"/>
    <n v="0.28000000000000003"/>
    <n v="-11.200000000000001"/>
    <s v="Ecart négatif"/>
    <n v="47.76"/>
  </r>
  <r>
    <x v="0"/>
    <n v="6"/>
    <x v="7"/>
    <x v="0"/>
    <n v="0"/>
    <n v="6.3"/>
    <n v="0.21"/>
    <n v="-6.3"/>
    <x v="0"/>
    <x v="169"/>
    <n v="0.18633333333333332"/>
    <n v="6.3"/>
    <n v="0.21"/>
    <n v="-0.71"/>
    <s v="Ecart négatif"/>
    <n v="24.07"/>
  </r>
  <r>
    <x v="1"/>
    <n v="69"/>
    <x v="6"/>
    <x v="0"/>
    <n v="0"/>
    <n v="43.2"/>
    <n v="0.27"/>
    <n v="-43.2"/>
    <x v="0"/>
    <x v="1"/>
    <n v="0"/>
    <n v="43.2"/>
    <n v="0.27"/>
    <n v="-43.2"/>
    <s v="Ecart négatif"/>
    <n v="76.56"/>
  </r>
  <r>
    <x v="4"/>
    <n v="75"/>
    <x v="2"/>
    <x v="0"/>
    <n v="0"/>
    <n v="0"/>
    <n v="0"/>
    <n v="0"/>
    <x v="1"/>
    <x v="1"/>
    <n v="0"/>
    <n v="0"/>
    <n v="0"/>
    <n v="0"/>
    <s v="Pas d'écart"/>
    <n v="0"/>
  </r>
  <r>
    <x v="0"/>
    <n v="85"/>
    <x v="22"/>
    <x v="0"/>
    <n v="0"/>
    <n v="0"/>
    <n v="0"/>
    <n v="0"/>
    <x v="1"/>
    <x v="1"/>
    <n v="0"/>
    <n v="0"/>
    <n v="0"/>
    <n v="0"/>
    <s v="Pas d'écart"/>
    <n v="71.27"/>
  </r>
  <r>
    <x v="6"/>
    <n v="91"/>
    <x v="6"/>
    <x v="0"/>
    <n v="0"/>
    <n v="0"/>
    <n v="0"/>
    <n v="0"/>
    <x v="1"/>
    <x v="1"/>
    <n v="0"/>
    <n v="0"/>
    <n v="0"/>
    <n v="0"/>
    <s v="Pas d'écart"/>
    <n v="56.79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6"/>
    <x v="7"/>
    <x v="0"/>
    <n v="0"/>
    <n v="6.3"/>
    <n v="0.21"/>
    <n v="-6.3"/>
    <x v="0"/>
    <x v="170"/>
    <n v="0.26999999999999996"/>
    <n v="6.3"/>
    <n v="0.21"/>
    <n v="1.7999999999999998"/>
    <s v="Ecart positif"/>
    <n v="4.8099999999999987"/>
  </r>
  <r>
    <x v="2"/>
    <n v="62"/>
    <x v="8"/>
    <x v="0"/>
    <n v="0"/>
    <n v="0"/>
    <n v="0"/>
    <n v="0"/>
    <x v="1"/>
    <x v="1"/>
    <n v="0"/>
    <n v="0"/>
    <n v="0"/>
    <n v="0"/>
    <s v="Pas d'écart"/>
    <n v="0"/>
  </r>
  <r>
    <x v="5"/>
    <n v="95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6"/>
    <x v="11"/>
    <x v="0"/>
    <n v="0"/>
    <n v="18"/>
    <n v="0.3"/>
    <n v="-18"/>
    <x v="0"/>
    <x v="1"/>
    <n v="0"/>
    <n v="18"/>
    <n v="0.3"/>
    <n v="-18"/>
    <s v="Ecart négatif"/>
    <n v="30.849999999999998"/>
  </r>
  <r>
    <x v="5"/>
    <n v="65"/>
    <x v="11"/>
    <x v="316"/>
    <n v="0.1925"/>
    <n v="13.2"/>
    <n v="0.22"/>
    <n v="-1.6499999999999986"/>
    <x v="0"/>
    <x v="1"/>
    <n v="0"/>
    <n v="13.2"/>
    <n v="0.22"/>
    <n v="-13.2"/>
    <s v="Ecart négatif"/>
    <n v="52.78"/>
  </r>
  <r>
    <x v="7"/>
    <n v="44"/>
    <x v="22"/>
    <x v="0"/>
    <n v="0"/>
    <n v="27"/>
    <n v="0.27"/>
    <n v="-27"/>
    <x v="0"/>
    <x v="1"/>
    <n v="0"/>
    <n v="27"/>
    <n v="0.27"/>
    <n v="-27"/>
    <s v="Ecart négatif"/>
    <n v="53.27"/>
  </r>
  <r>
    <x v="4"/>
    <n v="92"/>
    <x v="12"/>
    <x v="0"/>
    <n v="0"/>
    <n v="0"/>
    <n v="0"/>
    <n v="0"/>
    <x v="1"/>
    <x v="1"/>
    <n v="0"/>
    <n v="0"/>
    <n v="0"/>
    <n v="0"/>
    <s v="Pas d'écart"/>
    <n v="0"/>
  </r>
  <r>
    <x v="5"/>
    <n v="7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3.3300000000000018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4"/>
    <n v="84"/>
    <x v="9"/>
    <x v="800"/>
    <n v="0.27949999999999997"/>
    <n v="23.2"/>
    <n v="0.28999999999999998"/>
    <n v="-0.83999999999999986"/>
    <x v="0"/>
    <x v="1"/>
    <n v="0"/>
    <n v="23.2"/>
    <n v="0.28999999999999998"/>
    <n v="-23.2"/>
    <s v="Ecart négatif"/>
    <n v="0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53"/>
    <x v="8"/>
    <x v="0"/>
    <n v="0"/>
    <n v="0"/>
    <n v="0"/>
    <n v="0"/>
    <x v="1"/>
    <x v="1"/>
    <n v="0"/>
    <n v="0"/>
    <n v="0"/>
    <n v="0"/>
    <s v="Pas d'écart"/>
    <n v="66.36"/>
  </r>
  <r>
    <x v="7"/>
    <n v="63"/>
    <x v="1"/>
    <x v="0"/>
    <n v="0"/>
    <n v="34.799999999999997"/>
    <n v="0.28999999999999998"/>
    <n v="-34.799999999999997"/>
    <x v="0"/>
    <x v="1"/>
    <n v="0"/>
    <n v="34.799999999999997"/>
    <n v="0.28999999999999998"/>
    <n v="-34.799999999999997"/>
    <s v="Ecart négatif"/>
    <n v="11.89"/>
  </r>
  <r>
    <x v="6"/>
    <n v="77"/>
    <x v="12"/>
    <x v="0"/>
    <n v="0"/>
    <n v="0"/>
    <n v="0"/>
    <n v="0"/>
    <x v="1"/>
    <x v="1"/>
    <n v="0"/>
    <n v="0"/>
    <n v="0"/>
    <n v="0"/>
    <s v="Pas d'écart"/>
    <n v="-8.129999999999999"/>
  </r>
  <r>
    <x v="2"/>
    <n v="44"/>
    <x v="0"/>
    <x v="0"/>
    <n v="0"/>
    <n v="0"/>
    <n v="0"/>
    <n v="0"/>
    <x v="1"/>
    <x v="64"/>
    <n v="0.27"/>
    <n v="0"/>
    <n v="0"/>
    <n v="48.6"/>
    <s v="Ecart positif"/>
    <n v="92.1"/>
  </r>
  <r>
    <x v="4"/>
    <n v="19"/>
    <x v="2"/>
    <x v="801"/>
    <n v="0.27950000000000003"/>
    <n v="40.599999999999994"/>
    <n v="0.28999999999999998"/>
    <n v="-1.4699999999999918"/>
    <x v="0"/>
    <x v="1"/>
    <n v="0"/>
    <n v="40.599999999999994"/>
    <n v="0.28999999999999998"/>
    <n v="-40.599999999999994"/>
    <s v="Ecart négatif"/>
    <n v="0"/>
  </r>
  <r>
    <x v="4"/>
    <n v="25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73"/>
    <x v="5"/>
    <x v="0"/>
    <n v="0"/>
    <n v="0"/>
    <n v="0"/>
    <n v="0"/>
    <x v="1"/>
    <x v="1"/>
    <n v="0"/>
    <n v="0"/>
    <n v="0"/>
    <n v="0"/>
    <s v="Pas d'écart"/>
    <n v="22.92"/>
  </r>
  <r>
    <x v="2"/>
    <n v="69"/>
    <x v="13"/>
    <x v="0"/>
    <n v="0"/>
    <n v="0"/>
    <n v="0"/>
    <n v="0"/>
    <x v="1"/>
    <x v="1"/>
    <n v="0"/>
    <n v="0"/>
    <n v="0"/>
    <n v="0"/>
    <s v="Pas d'écart"/>
    <n v="0"/>
  </r>
  <r>
    <x v="8"/>
    <n v="25"/>
    <x v="2"/>
    <x v="0"/>
    <n v="0"/>
    <n v="33.6"/>
    <n v="0.24000000000000002"/>
    <n v="-33.6"/>
    <x v="0"/>
    <x v="1"/>
    <n v="0"/>
    <n v="33.6"/>
    <n v="0.24000000000000002"/>
    <n v="-33.6"/>
    <s v="Ecart négatif"/>
    <n v="26.229999999999997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2"/>
    <n v="45"/>
    <x v="12"/>
    <x v="0"/>
    <n v="0"/>
    <n v="4.8"/>
    <n v="0.12"/>
    <n v="-4.8"/>
    <x v="0"/>
    <x v="1"/>
    <n v="0"/>
    <n v="4.8"/>
    <n v="0.12"/>
    <n v="-4.8"/>
    <s v="Ecart négatif"/>
    <n v="0"/>
  </r>
  <r>
    <x v="4"/>
    <n v="67"/>
    <x v="19"/>
    <x v="802"/>
    <n v="0.27968421052631581"/>
    <n v="55.099999999999994"/>
    <n v="0.28999999999999998"/>
    <n v="-1.9599999999999937"/>
    <x v="0"/>
    <x v="1"/>
    <n v="0"/>
    <n v="55.099999999999994"/>
    <n v="0.28999999999999998"/>
    <n v="-55.099999999999994"/>
    <s v="Ecart négatif"/>
    <n v="0"/>
  </r>
  <r>
    <x v="2"/>
    <n v="38"/>
    <x v="3"/>
    <x v="0"/>
    <n v="0"/>
    <n v="0"/>
    <n v="0"/>
    <n v="0"/>
    <x v="1"/>
    <x v="1"/>
    <n v="0"/>
    <n v="0"/>
    <n v="0"/>
    <n v="0"/>
    <s v="Pas d'écart"/>
    <n v="135.19999999999999"/>
  </r>
  <r>
    <x v="1"/>
    <n v="77"/>
    <x v="25"/>
    <x v="0"/>
    <n v="0"/>
    <n v="0"/>
    <n v="0"/>
    <n v="0"/>
    <x v="1"/>
    <x v="1"/>
    <n v="0"/>
    <n v="0"/>
    <n v="0"/>
    <n v="0"/>
    <s v="Pas d'écart"/>
    <n v="67.569999999999993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3"/>
    <n v="13"/>
    <x v="19"/>
    <x v="802"/>
    <n v="0.27968421052631581"/>
    <n v="55.099999999999994"/>
    <n v="0.28999999999999998"/>
    <n v="-1.9599999999999937"/>
    <x v="0"/>
    <x v="1"/>
    <n v="0"/>
    <n v="55.099999999999994"/>
    <n v="0.28999999999999998"/>
    <n v="-55.099999999999994"/>
    <s v="Ecart négatif"/>
    <n v="19.97999999999999"/>
  </r>
  <r>
    <x v="3"/>
    <n v="13"/>
    <x v="19"/>
    <x v="802"/>
    <n v="0.27968421052631581"/>
    <n v="55.099999999999994"/>
    <n v="0.28999999999999998"/>
    <n v="-1.9599999999999937"/>
    <x v="0"/>
    <x v="1"/>
    <n v="0"/>
    <n v="55.099999999999994"/>
    <n v="0.28999999999999998"/>
    <n v="-55.099999999999994"/>
    <s v="Ecart négatif"/>
    <n v="19.97999999999999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13"/>
    <x v="13"/>
    <x v="803"/>
    <n v="0.27970588235294114"/>
    <n v="49.3"/>
    <n v="0.28999999999999998"/>
    <n v="-1.75"/>
    <x v="0"/>
    <x v="1"/>
    <n v="0"/>
    <n v="49.3"/>
    <n v="0.28999999999999998"/>
    <n v="-49.3"/>
    <s v="Ecart négatif"/>
    <n v="0"/>
  </r>
  <r>
    <x v="1"/>
    <n v="44"/>
    <x v="1"/>
    <x v="0"/>
    <n v="0"/>
    <n v="32.400000000000006"/>
    <n v="0.27000000000000007"/>
    <n v="-32.400000000000006"/>
    <x v="0"/>
    <x v="1"/>
    <n v="0"/>
    <n v="32.400000000000006"/>
    <n v="0.27000000000000007"/>
    <n v="-32.400000000000006"/>
    <s v="Ecart négatif"/>
    <n v="59.47"/>
  </r>
  <r>
    <x v="2"/>
    <n v="59"/>
    <x v="0"/>
    <x v="0"/>
    <n v="0"/>
    <n v="0"/>
    <n v="0"/>
    <n v="0"/>
    <x v="1"/>
    <x v="1"/>
    <n v="0"/>
    <n v="0"/>
    <n v="0"/>
    <n v="0"/>
    <s v="Pas d'écart"/>
    <n v="0"/>
  </r>
  <r>
    <x v="3"/>
    <n v="63"/>
    <x v="6"/>
    <x v="804"/>
    <n v="0.27981250000000002"/>
    <n v="46.4"/>
    <n v="0.28999999999999998"/>
    <n v="-1.6299999999999955"/>
    <x v="0"/>
    <x v="1"/>
    <n v="0"/>
    <n v="46.4"/>
    <n v="0.28999999999999998"/>
    <n v="-46.4"/>
    <s v="Ecart négatif"/>
    <n v="15.310000000000002"/>
  </r>
  <r>
    <x v="2"/>
    <n v="69"/>
    <x v="2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84"/>
    <x v="4"/>
    <x v="805"/>
    <n v="0.28000000000000003"/>
    <n v="31.9"/>
    <n v="0.28999999999999998"/>
    <n v="-1.0999999999999979"/>
    <x v="0"/>
    <x v="1"/>
    <n v="0"/>
    <n v="31.9"/>
    <n v="0.28999999999999998"/>
    <n v="-31.9"/>
    <s v="Ecart négatif"/>
    <n v="14.36"/>
  </r>
  <r>
    <x v="4"/>
    <n v="39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7"/>
    <x v="19"/>
    <x v="806"/>
    <n v="0.28000000000000003"/>
    <n v="55.099999999999994"/>
    <n v="0.28999999999999998"/>
    <n v="-1.8999999999999915"/>
    <x v="0"/>
    <x v="1"/>
    <n v="0"/>
    <n v="55.099999999999994"/>
    <n v="0.28999999999999998"/>
    <n v="-55.099999999999994"/>
    <s v="Ecart négatif"/>
    <n v="0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3"/>
    <n v="67"/>
    <x v="3"/>
    <x v="807"/>
    <n v="0.28019047619047621"/>
    <n v="60.9"/>
    <n v="0.28999999999999998"/>
    <n v="-2.0599999999999952"/>
    <x v="0"/>
    <x v="1"/>
    <n v="0"/>
    <n v="60.9"/>
    <n v="0.28999999999999998"/>
    <n v="-60.9"/>
    <s v="Ecart négatif"/>
    <n v="22.47"/>
  </r>
  <r>
    <x v="4"/>
    <n v="67"/>
    <x v="19"/>
    <x v="808"/>
    <n v="0.28026315789473683"/>
    <n v="55.099999999999994"/>
    <n v="0.28999999999999998"/>
    <n v="-1.8499999999999943"/>
    <x v="0"/>
    <x v="1"/>
    <n v="0"/>
    <n v="55.099999999999994"/>
    <n v="0.28999999999999998"/>
    <n v="-55.099999999999994"/>
    <s v="Ecart négatif"/>
    <n v="0"/>
  </r>
  <r>
    <x v="0"/>
    <n v="54"/>
    <x v="2"/>
    <x v="0"/>
    <n v="0"/>
    <n v="35"/>
    <n v="0.25"/>
    <n v="-35"/>
    <x v="0"/>
    <x v="71"/>
    <n v="0.25"/>
    <n v="35"/>
    <n v="0.25"/>
    <n v="0"/>
    <s v="Pas d'écart"/>
    <n v="13.140000000000008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2"/>
    <n v="25"/>
    <x v="6"/>
    <x v="0"/>
    <n v="0"/>
    <n v="19.2"/>
    <n v="0.12"/>
    <n v="-19.2"/>
    <x v="0"/>
    <x v="1"/>
    <n v="0"/>
    <n v="19.2"/>
    <n v="0.12"/>
    <n v="-19.2"/>
    <s v="Ecart négatif"/>
    <n v="0"/>
  </r>
  <r>
    <x v="1"/>
    <n v="77"/>
    <x v="36"/>
    <x v="0"/>
    <n v="0"/>
    <n v="0"/>
    <n v="0"/>
    <n v="0"/>
    <x v="1"/>
    <x v="1"/>
    <n v="0"/>
    <n v="0"/>
    <n v="0"/>
    <n v="0"/>
    <s v="Pas d'écart"/>
    <n v="82.81"/>
  </r>
  <r>
    <x v="3"/>
    <n v="67"/>
    <x v="19"/>
    <x v="809"/>
    <n v="0.2803684210526316"/>
    <n v="55.099999999999994"/>
    <n v="0.28999999999999998"/>
    <n v="-1.8299999999999912"/>
    <x v="0"/>
    <x v="1"/>
    <n v="0"/>
    <n v="55.099999999999994"/>
    <n v="0.28999999999999998"/>
    <n v="-55.099999999999994"/>
    <s v="Ecart négatif"/>
    <n v="19.97999999999999"/>
  </r>
  <r>
    <x v="2"/>
    <n v="62"/>
    <x v="6"/>
    <x v="0"/>
    <n v="0"/>
    <n v="0"/>
    <n v="0"/>
    <n v="0"/>
    <x v="1"/>
    <x v="1"/>
    <n v="0"/>
    <n v="0"/>
    <n v="0"/>
    <n v="0"/>
    <s v="Pas d'écart"/>
    <n v="0"/>
  </r>
  <r>
    <x v="0"/>
    <n v="68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4.68"/>
  </r>
  <r>
    <x v="0"/>
    <n v="59"/>
    <x v="0"/>
    <x v="0"/>
    <n v="0"/>
    <n v="0"/>
    <n v="0"/>
    <n v="0"/>
    <x v="1"/>
    <x v="1"/>
    <n v="0"/>
    <n v="0"/>
    <n v="0"/>
    <n v="0"/>
    <s v="Pas d'écart"/>
    <n v="92.1"/>
  </r>
  <r>
    <x v="3"/>
    <n v="67"/>
    <x v="0"/>
    <x v="697"/>
    <n v="0.28055555555555556"/>
    <n v="52.199999999999996"/>
    <n v="0.28999999999999998"/>
    <n v="-1.6999999999999957"/>
    <x v="0"/>
    <x v="1"/>
    <n v="0"/>
    <n v="52.199999999999996"/>
    <n v="0.28999999999999998"/>
    <n v="-52.199999999999996"/>
    <s v="Ecart négatif"/>
    <n v="18.419999999999987"/>
  </r>
  <r>
    <x v="3"/>
    <n v="67"/>
    <x v="0"/>
    <x v="697"/>
    <n v="0.28055555555555556"/>
    <n v="52.199999999999996"/>
    <n v="0.28999999999999998"/>
    <n v="-1.6999999999999957"/>
    <x v="0"/>
    <x v="1"/>
    <n v="0"/>
    <n v="52.199999999999996"/>
    <n v="0.28999999999999998"/>
    <n v="-52.199999999999996"/>
    <s v="Ecart négatif"/>
    <n v="18.419999999999987"/>
  </r>
  <r>
    <x v="2"/>
    <n v="59"/>
    <x v="10"/>
    <x v="0"/>
    <n v="0"/>
    <n v="0"/>
    <n v="0"/>
    <n v="0"/>
    <x v="1"/>
    <x v="1"/>
    <n v="0"/>
    <n v="0"/>
    <n v="0"/>
    <n v="0"/>
    <s v="Pas d'écart"/>
    <n v="0"/>
  </r>
  <r>
    <x v="3"/>
    <n v="67"/>
    <x v="0"/>
    <x v="697"/>
    <n v="0.28055555555555556"/>
    <n v="52.199999999999996"/>
    <n v="0.28999999999999998"/>
    <n v="-1.6999999999999957"/>
    <x v="0"/>
    <x v="1"/>
    <n v="0"/>
    <n v="52.199999999999996"/>
    <n v="0.28999999999999998"/>
    <n v="-52.199999999999996"/>
    <s v="Ecart négatif"/>
    <n v="18.419999999999987"/>
  </r>
  <r>
    <x v="3"/>
    <n v="67"/>
    <x v="0"/>
    <x v="697"/>
    <n v="0.28055555555555556"/>
    <n v="52.199999999999996"/>
    <n v="0.28999999999999998"/>
    <n v="-1.6999999999999957"/>
    <x v="0"/>
    <x v="1"/>
    <n v="0"/>
    <n v="52.199999999999996"/>
    <n v="0.28999999999999998"/>
    <n v="-52.199999999999996"/>
    <s v="Ecart négatif"/>
    <n v="18.419999999999987"/>
  </r>
  <r>
    <x v="4"/>
    <n v="67"/>
    <x v="0"/>
    <x v="697"/>
    <n v="0.28055555555555556"/>
    <n v="52.199999999999996"/>
    <n v="0.28999999999999998"/>
    <n v="-1.6999999999999957"/>
    <x v="0"/>
    <x v="1"/>
    <n v="0"/>
    <n v="52.199999999999996"/>
    <n v="0.28999999999999998"/>
    <n v="-52.199999999999996"/>
    <s v="Ecart négatif"/>
    <n v="0"/>
  </r>
  <r>
    <x v="4"/>
    <n v="3"/>
    <x v="14"/>
    <x v="810"/>
    <n v="0.2806153846153846"/>
    <n v="37.699999999999996"/>
    <n v="0.28999999999999998"/>
    <n v="-1.2199999999999989"/>
    <x v="0"/>
    <x v="1"/>
    <n v="0"/>
    <n v="37.699999999999996"/>
    <n v="0.28999999999999998"/>
    <n v="-37.699999999999996"/>
    <s v="Ecart négatif"/>
    <n v="0"/>
  </r>
  <r>
    <x v="1"/>
    <n v="77"/>
    <x v="25"/>
    <x v="0"/>
    <n v="0"/>
    <n v="0"/>
    <n v="0"/>
    <n v="0"/>
    <x v="1"/>
    <x v="1"/>
    <n v="0"/>
    <n v="0"/>
    <n v="0"/>
    <n v="0"/>
    <s v="Pas d'écart"/>
    <n v="67.569999999999993"/>
  </r>
  <r>
    <x v="2"/>
    <n v="74"/>
    <x v="9"/>
    <x v="0"/>
    <n v="0"/>
    <n v="0"/>
    <n v="0"/>
    <n v="0"/>
    <x v="1"/>
    <x v="1"/>
    <n v="0"/>
    <n v="0"/>
    <n v="0"/>
    <n v="0"/>
    <s v="Pas d'écart"/>
    <n v="0"/>
  </r>
  <r>
    <x v="0"/>
    <n v="6"/>
    <x v="18"/>
    <x v="0"/>
    <n v="0"/>
    <n v="18.899999999999999"/>
    <n v="0.21"/>
    <n v="-18.899999999999999"/>
    <x v="0"/>
    <x v="1"/>
    <n v="0"/>
    <n v="18.899999999999999"/>
    <n v="0.21"/>
    <n v="-18.899999999999999"/>
    <s v="Ecart négatif"/>
    <n v="75.19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59"/>
    <x v="8"/>
    <x v="0"/>
    <n v="0"/>
    <n v="0"/>
    <n v="0"/>
    <n v="0"/>
    <x v="1"/>
    <x v="1"/>
    <n v="0"/>
    <n v="0"/>
    <n v="0"/>
    <n v="0"/>
    <s v="Pas d'écart"/>
    <n v="8.9500000000000028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4"/>
    <n v="78"/>
    <x v="59"/>
    <x v="0"/>
    <n v="0"/>
    <n v="0"/>
    <n v="0"/>
    <n v="0"/>
    <x v="1"/>
    <x v="1"/>
    <n v="0"/>
    <n v="0"/>
    <n v="0"/>
    <n v="0"/>
    <s v="Pas d'écart"/>
    <e v="#N/A"/>
  </r>
  <r>
    <x v="2"/>
    <n v="74"/>
    <x v="19"/>
    <x v="0"/>
    <n v="0"/>
    <n v="0"/>
    <n v="0"/>
    <n v="0"/>
    <x v="1"/>
    <x v="1"/>
    <n v="0"/>
    <n v="0"/>
    <n v="0"/>
    <n v="0"/>
    <s v="Pas d'écart"/>
    <n v="128.22"/>
  </r>
  <r>
    <x v="2"/>
    <n v="91"/>
    <x v="6"/>
    <x v="0"/>
    <n v="0"/>
    <n v="0"/>
    <n v="0"/>
    <n v="0"/>
    <x v="1"/>
    <x v="1"/>
    <n v="0"/>
    <n v="0"/>
    <n v="0"/>
    <n v="0"/>
    <s v="Pas d'écart"/>
    <n v="56.79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6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116.04"/>
  </r>
  <r>
    <x v="0"/>
    <n v="21"/>
    <x v="8"/>
    <x v="0"/>
    <n v="0"/>
    <n v="8.4"/>
    <n v="0.12000000000000001"/>
    <n v="-8.4"/>
    <x v="0"/>
    <x v="1"/>
    <n v="0"/>
    <n v="8.4"/>
    <n v="0.12000000000000001"/>
    <n v="-8.4"/>
    <s v="Ecart négatif"/>
    <n v="44.77"/>
  </r>
  <r>
    <x v="0"/>
    <n v="13"/>
    <x v="22"/>
    <x v="0"/>
    <n v="0"/>
    <n v="19"/>
    <n v="0.19"/>
    <n v="-19"/>
    <x v="0"/>
    <x v="1"/>
    <n v="0"/>
    <n v="19"/>
    <n v="0.19"/>
    <n v="-19"/>
    <s v="Ecart négatif"/>
    <n v="53.27"/>
  </r>
  <r>
    <x v="2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92.1"/>
  </r>
  <r>
    <x v="2"/>
    <n v="13"/>
    <x v="12"/>
    <x v="0"/>
    <n v="0"/>
    <n v="7.6"/>
    <n v="0.19"/>
    <n v="-7.6"/>
    <x v="0"/>
    <x v="1"/>
    <n v="0"/>
    <n v="7.6"/>
    <n v="0.19"/>
    <n v="-7.6"/>
    <s v="Ecart négatif"/>
    <n v="34.29"/>
  </r>
  <r>
    <x v="2"/>
    <n v="30"/>
    <x v="2"/>
    <x v="0"/>
    <n v="0"/>
    <n v="39.200000000000003"/>
    <n v="0.28000000000000003"/>
    <n v="-39.200000000000003"/>
    <x v="0"/>
    <x v="1"/>
    <n v="0"/>
    <n v="39.200000000000003"/>
    <n v="0.28000000000000003"/>
    <n v="-39.200000000000003"/>
    <s v="Ecart négatif"/>
    <n v="73.41"/>
  </r>
  <r>
    <x v="2"/>
    <n v="66"/>
    <x v="12"/>
    <x v="0"/>
    <n v="0"/>
    <n v="11.200000000000001"/>
    <n v="0.28000000000000003"/>
    <n v="-11.200000000000001"/>
    <x v="0"/>
    <x v="1"/>
    <n v="0"/>
    <n v="11.200000000000001"/>
    <n v="0.28000000000000003"/>
    <n v="-11.200000000000001"/>
    <s v="Ecart négatif"/>
    <n v="47.76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8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0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45"/>
    <x v="15"/>
    <x v="0"/>
    <n v="0"/>
    <n v="2.4"/>
    <n v="0.12"/>
    <n v="-2.4"/>
    <x v="0"/>
    <x v="39"/>
    <n v="0.254"/>
    <n v="2.4"/>
    <n v="0.12"/>
    <n v="2.68"/>
    <s v="Ecart positif"/>
    <n v="16.27"/>
  </r>
  <r>
    <x v="8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0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5"/>
    <n v="6"/>
    <x v="16"/>
    <x v="0"/>
    <n v="0"/>
    <n v="60"/>
    <n v="0.3"/>
    <n v="-60"/>
    <x v="0"/>
    <x v="1"/>
    <n v="0"/>
    <n v="60"/>
    <n v="0.3"/>
    <n v="-60"/>
    <s v="Ecart négatif"/>
    <n v="28.080000000000013"/>
  </r>
  <r>
    <x v="2"/>
    <n v="50"/>
    <x v="20"/>
    <x v="0"/>
    <n v="0"/>
    <n v="42.5"/>
    <n v="0.17"/>
    <n v="-42.5"/>
    <x v="0"/>
    <x v="235"/>
    <n v="0.17"/>
    <n v="42.5"/>
    <n v="0.17"/>
    <n v="0"/>
    <s v="Pas d'écart"/>
    <n v="0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3"/>
    <n v="6"/>
    <x v="4"/>
    <x v="811"/>
    <n v="0.28109090909090911"/>
    <n v="33"/>
    <n v="0.3"/>
    <n v="-2.0799999999999983"/>
    <x v="0"/>
    <x v="1"/>
    <n v="0"/>
    <n v="33"/>
    <n v="0.3"/>
    <n v="-33"/>
    <s v="Ecart négatif"/>
    <n v="15.329999999999998"/>
  </r>
  <r>
    <x v="9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67"/>
    <x v="16"/>
    <x v="812"/>
    <n v="0.28110000000000002"/>
    <n v="57.999999999999993"/>
    <n v="0.28999999999999998"/>
    <n v="-1.779999999999994"/>
    <x v="0"/>
    <x v="1"/>
    <n v="0"/>
    <n v="57.999999999999993"/>
    <n v="0.28999999999999998"/>
    <n v="-57.999999999999993"/>
    <s v="Ecart négatif"/>
    <n v="0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6"/>
    <n v="77"/>
    <x v="12"/>
    <x v="0"/>
    <n v="0"/>
    <n v="0"/>
    <n v="0"/>
    <n v="0"/>
    <x v="1"/>
    <x v="1"/>
    <n v="0"/>
    <n v="0"/>
    <n v="0"/>
    <n v="0"/>
    <s v="Pas d'écart"/>
    <n v="-15.309999999999999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6"/>
    <n v="80"/>
    <x v="19"/>
    <x v="0"/>
    <n v="0"/>
    <n v="36.1"/>
    <n v="0.19"/>
    <n v="-36.1"/>
    <x v="0"/>
    <x v="1"/>
    <n v="0"/>
    <n v="36.1"/>
    <n v="0.19"/>
    <n v="-36.1"/>
    <s v="Ecart négatif"/>
    <n v="0"/>
  </r>
  <r>
    <x v="3"/>
    <n v="75"/>
    <x v="19"/>
    <x v="0"/>
    <n v="0"/>
    <n v="0"/>
    <n v="0"/>
    <n v="0"/>
    <x v="1"/>
    <x v="1"/>
    <n v="0"/>
    <n v="0"/>
    <n v="0"/>
    <n v="0"/>
    <s v="Pas d'écart"/>
    <n v="12.399999999999999"/>
  </r>
  <r>
    <x v="2"/>
    <n v="13"/>
    <x v="2"/>
    <x v="0"/>
    <n v="0"/>
    <n v="26.6"/>
    <n v="0.19"/>
    <n v="-26.6"/>
    <x v="0"/>
    <x v="68"/>
    <n v="0.19"/>
    <n v="26.6"/>
    <n v="0.19"/>
    <n v="0"/>
    <s v="Pas d'écart"/>
    <n v="0"/>
  </r>
  <r>
    <x v="8"/>
    <n v="92"/>
    <x v="0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84"/>
    <x v="6"/>
    <x v="813"/>
    <n v="0.28118750000000003"/>
    <n v="46.4"/>
    <n v="0.28999999999999998"/>
    <n v="-1.4099999999999966"/>
    <x v="0"/>
    <x v="1"/>
    <n v="0"/>
    <n v="46.4"/>
    <n v="0.28999999999999998"/>
    <n v="-46.4"/>
    <s v="Ecart négatif"/>
    <n v="0"/>
  </r>
  <r>
    <x v="2"/>
    <n v="69"/>
    <x v="15"/>
    <x v="0"/>
    <n v="0"/>
    <n v="0"/>
    <n v="0"/>
    <n v="0"/>
    <x v="1"/>
    <x v="1"/>
    <n v="0"/>
    <n v="0"/>
    <n v="0"/>
    <n v="0"/>
    <s v="Pas d'écart"/>
    <n v="17.350000000000001"/>
  </r>
  <r>
    <x v="6"/>
    <n v="35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0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18.340000000000003"/>
  </r>
  <r>
    <x v="4"/>
    <n v="19"/>
    <x v="10"/>
    <x v="814"/>
    <n v="0.28160000000000002"/>
    <n v="43.5"/>
    <n v="0.28999999999999998"/>
    <n v="-1.259999999999998"/>
    <x v="0"/>
    <x v="1"/>
    <n v="0"/>
    <n v="43.5"/>
    <n v="0.28999999999999998"/>
    <n v="-43.5"/>
    <s v="Ecart négatif"/>
    <n v="0"/>
  </r>
  <r>
    <x v="4"/>
    <n v="19"/>
    <x v="14"/>
    <x v="815"/>
    <n v="0.2816153846153846"/>
    <n v="37.699999999999996"/>
    <n v="0.28999999999999998"/>
    <n v="-1.0899999999999963"/>
    <x v="0"/>
    <x v="1"/>
    <n v="0"/>
    <n v="37.699999999999996"/>
    <n v="0.28999999999999998"/>
    <n v="-37.699999999999996"/>
    <s v="Ecart négatif"/>
    <n v="0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94"/>
    <x v="21"/>
    <x v="0"/>
    <e v="#DIV/0!"/>
    <n v="0"/>
    <e v="#DIV/0!"/>
    <n v="0"/>
    <x v="1"/>
    <x v="1"/>
    <e v="#DIV/0!"/>
    <n v="0"/>
    <e v="#DIV/0!"/>
    <n v="0"/>
    <s v="Pas d'écart"/>
    <e v="#N/A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2"/>
    <n v="5"/>
    <x v="12"/>
    <x v="0"/>
    <n v="0"/>
    <n v="7.6"/>
    <n v="0.19"/>
    <n v="-7.6"/>
    <x v="0"/>
    <x v="1"/>
    <n v="0"/>
    <n v="7.6"/>
    <n v="0.19"/>
    <n v="-7.6"/>
    <s v="Ecart négatif"/>
    <n v="0"/>
  </r>
  <r>
    <x v="8"/>
    <n v="38"/>
    <x v="14"/>
    <x v="0"/>
    <n v="0"/>
    <n v="35.1"/>
    <n v="0.27"/>
    <n v="-35.1"/>
    <x v="0"/>
    <x v="1"/>
    <n v="0"/>
    <n v="35.1"/>
    <n v="0.27"/>
    <n v="-35.1"/>
    <s v="Ecart négatif"/>
    <n v="0"/>
  </r>
  <r>
    <x v="6"/>
    <n v="34"/>
    <x v="12"/>
    <x v="816"/>
    <n v="0.39"/>
    <n v="15.600000000000001"/>
    <n v="0.39"/>
    <n v="0"/>
    <x v="1"/>
    <x v="1"/>
    <n v="0"/>
    <n v="15.600000000000001"/>
    <n v="0.39"/>
    <n v="-15.600000000000001"/>
    <s v="Ecart négatif"/>
    <n v="47.76"/>
  </r>
  <r>
    <x v="6"/>
    <n v="76"/>
    <x v="2"/>
    <x v="0"/>
    <n v="0"/>
    <n v="23.8"/>
    <n v="0.17"/>
    <n v="-23.8"/>
    <x v="0"/>
    <x v="1"/>
    <n v="0"/>
    <n v="23.8"/>
    <n v="0.17"/>
    <n v="-23.8"/>
    <s v="Ecart négatif"/>
    <n v="0"/>
  </r>
  <r>
    <x v="0"/>
    <n v="67"/>
    <x v="20"/>
    <x v="0"/>
    <n v="0"/>
    <n v="20"/>
    <n v="0.08"/>
    <n v="-20"/>
    <x v="0"/>
    <x v="176"/>
    <n v="0.08"/>
    <n v="20"/>
    <n v="0.08"/>
    <n v="0"/>
    <s v="Pas d'écart"/>
    <n v="26.22"/>
  </r>
  <r>
    <x v="4"/>
    <n v="83"/>
    <x v="9"/>
    <x v="817"/>
    <n v="0.28175"/>
    <n v="24"/>
    <n v="0.3"/>
    <n v="-1.4600000000000009"/>
    <x v="0"/>
    <x v="1"/>
    <n v="0"/>
    <n v="24"/>
    <n v="0.3"/>
    <n v="-24"/>
    <s v="Ecart négatif"/>
    <n v="0"/>
  </r>
  <r>
    <x v="0"/>
    <n v="44"/>
    <x v="88"/>
    <x v="0"/>
    <n v="0"/>
    <n v="0"/>
    <n v="0"/>
    <n v="0"/>
    <x v="1"/>
    <x v="1"/>
    <n v="0"/>
    <n v="0"/>
    <n v="0"/>
    <n v="0"/>
    <s v="Pas d'écart"/>
    <e v="#N/A"/>
  </r>
  <r>
    <x v="0"/>
    <n v="68"/>
    <x v="15"/>
    <x v="0"/>
    <n v="0"/>
    <n v="1.6"/>
    <n v="0.08"/>
    <n v="-1.6"/>
    <x v="0"/>
    <x v="30"/>
    <n v="0.08"/>
    <n v="1.6"/>
    <n v="0.08"/>
    <n v="0"/>
    <s v="Pas d'écart"/>
    <n v="3.67"/>
  </r>
  <r>
    <x v="2"/>
    <n v="67"/>
    <x v="6"/>
    <x v="0"/>
    <n v="0"/>
    <n v="12.8"/>
    <n v="0.08"/>
    <n v="-12.8"/>
    <x v="0"/>
    <x v="106"/>
    <n v="7.5499999999999998E-2"/>
    <n v="12.8"/>
    <n v="0.08"/>
    <n v="-0.72000000000000064"/>
    <s v="Ecart négatif"/>
    <n v="0"/>
  </r>
  <r>
    <x v="2"/>
    <n v="26"/>
    <x v="8"/>
    <x v="0"/>
    <n v="0"/>
    <n v="0"/>
    <n v="0"/>
    <n v="0"/>
    <x v="1"/>
    <x v="1"/>
    <n v="0"/>
    <n v="0"/>
    <n v="0"/>
    <n v="0"/>
    <s v="Pas d'écart"/>
    <n v="0"/>
  </r>
  <r>
    <x v="2"/>
    <n v="61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8"/>
    <n v="14"/>
    <x v="0"/>
    <x v="0"/>
    <n v="0"/>
    <n v="30.6"/>
    <n v="0.17"/>
    <n v="-30.6"/>
    <x v="0"/>
    <x v="1"/>
    <n v="0"/>
    <n v="30.6"/>
    <n v="0.17"/>
    <n v="-30.6"/>
    <s v="Ecart négatif"/>
    <n v="15.25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0"/>
    <n v="59"/>
    <x v="0"/>
    <x v="0"/>
    <n v="0"/>
    <n v="0"/>
    <n v="0"/>
    <n v="0"/>
    <x v="1"/>
    <x v="1"/>
    <n v="0"/>
    <n v="0"/>
    <n v="0"/>
    <n v="0"/>
    <s v="Pas d'écart"/>
    <n v="92.1"/>
  </r>
  <r>
    <x v="2"/>
    <n v="30"/>
    <x v="21"/>
    <x v="0"/>
    <e v="#DIV/0!"/>
    <n v="0"/>
    <e v="#DIV/0!"/>
    <n v="0"/>
    <x v="1"/>
    <x v="1"/>
    <e v="#DIV/0!"/>
    <n v="0"/>
    <e v="#DIV/0!"/>
    <n v="0"/>
    <s v="Pas d'écart"/>
    <e v="#N/A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4"/>
    <n v="77"/>
    <x v="27"/>
    <x v="0"/>
    <n v="0"/>
    <n v="0"/>
    <n v="0"/>
    <n v="0"/>
    <x v="1"/>
    <x v="1"/>
    <n v="0"/>
    <n v="0"/>
    <n v="0"/>
    <n v="0"/>
    <s v="Pas d'écart"/>
    <n v="32.53"/>
  </r>
  <r>
    <x v="0"/>
    <n v="51"/>
    <x v="12"/>
    <x v="0"/>
    <n v="0"/>
    <n v="10"/>
    <n v="0.25"/>
    <n v="-10"/>
    <x v="0"/>
    <x v="46"/>
    <n v="0.20624999999999999"/>
    <n v="10"/>
    <n v="0.25"/>
    <n v="-1.75"/>
    <s v="Ecart négatif"/>
    <n v="47.76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0"/>
    <n v="50"/>
    <x v="27"/>
    <x v="0"/>
    <n v="0"/>
    <n v="8.5"/>
    <n v="0.17"/>
    <n v="-8.5"/>
    <x v="0"/>
    <x v="1"/>
    <n v="0"/>
    <n v="8.5"/>
    <n v="0.17"/>
    <n v="-8.5"/>
    <s v="Ecart négatif"/>
    <n v="50.15"/>
  </r>
  <r>
    <x v="0"/>
    <n v="14"/>
    <x v="0"/>
    <x v="0"/>
    <n v="0"/>
    <n v="30.6"/>
    <n v="0.17"/>
    <n v="-30.6"/>
    <x v="0"/>
    <x v="1"/>
    <n v="0"/>
    <n v="30.6"/>
    <n v="0.17"/>
    <n v="-30.6"/>
    <s v="Ecart négatif"/>
    <n v="107.35"/>
  </r>
  <r>
    <x v="2"/>
    <n v="30"/>
    <x v="12"/>
    <x v="0"/>
    <n v="0"/>
    <n v="11.200000000000001"/>
    <n v="0.28000000000000003"/>
    <n v="-11.200000000000001"/>
    <x v="0"/>
    <x v="1"/>
    <n v="0"/>
    <n v="11.200000000000001"/>
    <n v="0.28000000000000003"/>
    <n v="-11.200000000000001"/>
    <s v="Ecart négatif"/>
    <n v="41.47"/>
  </r>
  <r>
    <x v="0"/>
    <n v="13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92.1"/>
  </r>
  <r>
    <x v="0"/>
    <n v="13"/>
    <x v="1"/>
    <x v="0"/>
    <n v="0"/>
    <n v="22.8"/>
    <n v="0.19"/>
    <n v="-22.8"/>
    <x v="0"/>
    <x v="1"/>
    <n v="0"/>
    <n v="22.8"/>
    <n v="0.19"/>
    <n v="-22.8"/>
    <s v="Ecart négatif"/>
    <n v="59.47"/>
  </r>
  <r>
    <x v="0"/>
    <n v="65"/>
    <x v="16"/>
    <x v="0"/>
    <n v="0"/>
    <n v="52"/>
    <n v="0.26"/>
    <n v="-52"/>
    <x v="0"/>
    <x v="1"/>
    <n v="0"/>
    <n v="52"/>
    <n v="0.26"/>
    <n v="-52"/>
    <s v="Ecart négatif"/>
    <n v="129.61000000000001"/>
  </r>
  <r>
    <x v="0"/>
    <n v="51"/>
    <x v="0"/>
    <x v="0"/>
    <n v="0"/>
    <n v="45"/>
    <n v="0.25"/>
    <n v="-45"/>
    <x v="0"/>
    <x v="331"/>
    <n v="0.24088888888888887"/>
    <n v="45"/>
    <n v="0.25"/>
    <n v="-1.6400000000000006"/>
    <s v="Ecart négatif"/>
    <n v="116.04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2"/>
    <n v="86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107.35"/>
  </r>
  <r>
    <x v="2"/>
    <n v="13"/>
    <x v="6"/>
    <x v="0"/>
    <n v="0"/>
    <n v="30.4"/>
    <n v="0.19"/>
    <n v="-30.4"/>
    <x v="0"/>
    <x v="1"/>
    <n v="0"/>
    <n v="30.4"/>
    <n v="0.19"/>
    <n v="-30.4"/>
    <s v="Ecart négatif"/>
    <n v="76.56"/>
  </r>
  <r>
    <x v="2"/>
    <n v="57"/>
    <x v="2"/>
    <x v="0"/>
    <n v="0"/>
    <n v="35"/>
    <n v="0.25"/>
    <n v="-35"/>
    <x v="0"/>
    <x v="1"/>
    <n v="0"/>
    <n v="35"/>
    <n v="0.25"/>
    <n v="-35"/>
    <s v="Ecart négatif"/>
    <n v="0"/>
  </r>
  <r>
    <x v="7"/>
    <n v="51"/>
    <x v="16"/>
    <x v="0"/>
    <n v="0"/>
    <n v="50"/>
    <n v="0.25"/>
    <n v="-50"/>
    <x v="0"/>
    <x v="1"/>
    <n v="0"/>
    <n v="50"/>
    <n v="0.25"/>
    <n v="-50"/>
    <s v="Ecart négatif"/>
    <n v="28.080000000000013"/>
  </r>
  <r>
    <x v="5"/>
    <n v="51"/>
    <x v="16"/>
    <x v="0"/>
    <n v="0"/>
    <n v="50"/>
    <n v="0.25"/>
    <n v="-50"/>
    <x v="0"/>
    <x v="1"/>
    <n v="0"/>
    <n v="50"/>
    <n v="0.25"/>
    <n v="-50"/>
    <s v="Ecart négatif"/>
    <n v="28.080000000000013"/>
  </r>
  <r>
    <x v="0"/>
    <n v="85"/>
    <x v="12"/>
    <x v="0"/>
    <n v="0"/>
    <n v="0"/>
    <n v="0"/>
    <n v="0"/>
    <x v="1"/>
    <x v="1"/>
    <n v="0"/>
    <n v="0"/>
    <n v="0"/>
    <n v="0"/>
    <s v="Pas d'écart"/>
    <n v="41.47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84"/>
    <x v="3"/>
    <x v="0"/>
    <n v="0"/>
    <n v="39.9"/>
    <n v="0.19"/>
    <n v="-39.9"/>
    <x v="0"/>
    <x v="1"/>
    <n v="0"/>
    <n v="39.9"/>
    <n v="0.19"/>
    <n v="-39.9"/>
    <s v="Ecart négatif"/>
    <n v="135.19999999999999"/>
  </r>
  <r>
    <x v="0"/>
    <n v="6"/>
    <x v="8"/>
    <x v="0"/>
    <n v="0"/>
    <n v="14.7"/>
    <n v="0.21"/>
    <n v="-14.7"/>
    <x v="0"/>
    <x v="58"/>
    <n v="0.2742857142857143"/>
    <n v="14.7"/>
    <n v="0.21"/>
    <n v="4.5"/>
    <s v="Ecart positif"/>
    <n v="13.269999999999996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0"/>
    <x v="12"/>
    <x v="0"/>
    <n v="0"/>
    <n v="0"/>
    <n v="0"/>
    <n v="0"/>
    <x v="1"/>
    <x v="1"/>
    <n v="0"/>
    <n v="0"/>
    <n v="0"/>
    <n v="0"/>
    <s v="Pas d'écart"/>
    <n v="47.76"/>
  </r>
  <r>
    <x v="4"/>
    <n v="43"/>
    <x v="27"/>
    <x v="818"/>
    <n v="0.28199999999999997"/>
    <n v="14.499999999999998"/>
    <n v="0.28999999999999998"/>
    <n v="-0.39999999999999858"/>
    <x v="0"/>
    <x v="1"/>
    <n v="0"/>
    <n v="14.499999999999998"/>
    <n v="0.28999999999999998"/>
    <n v="-14.499999999999998"/>
    <s v="Ecart négatif"/>
    <n v="0"/>
  </r>
  <r>
    <x v="4"/>
    <n v="84"/>
    <x v="11"/>
    <x v="819"/>
    <n v="0.28200000000000003"/>
    <n v="17.399999999999999"/>
    <n v="0.28999999999999998"/>
    <n v="-0.47999999999999687"/>
    <x v="0"/>
    <x v="1"/>
    <n v="0"/>
    <n v="17.399999999999999"/>
    <n v="0.28999999999999998"/>
    <n v="-17.399999999999999"/>
    <s v="Ecart négatif"/>
    <n v="0"/>
  </r>
  <r>
    <x v="0"/>
    <n v="93"/>
    <x v="15"/>
    <x v="0"/>
    <n v="0"/>
    <n v="0"/>
    <n v="0"/>
    <n v="0"/>
    <x v="1"/>
    <x v="1"/>
    <n v="0"/>
    <n v="0"/>
    <n v="0"/>
    <n v="0"/>
    <s v="Pas d'écart"/>
    <n v="19.7"/>
  </r>
  <r>
    <x v="2"/>
    <n v="29"/>
    <x v="6"/>
    <x v="0"/>
    <n v="0"/>
    <n v="19.2"/>
    <n v="0.12"/>
    <n v="-19.2"/>
    <x v="0"/>
    <x v="1"/>
    <n v="0"/>
    <n v="19.2"/>
    <n v="0.12"/>
    <n v="-19.2"/>
    <s v="Ecart négatif"/>
    <n v="0"/>
  </r>
  <r>
    <x v="6"/>
    <n v="78"/>
    <x v="8"/>
    <x v="0"/>
    <n v="0"/>
    <n v="0"/>
    <n v="0"/>
    <n v="0"/>
    <x v="1"/>
    <x v="1"/>
    <n v="0"/>
    <n v="0"/>
    <n v="0"/>
    <n v="0"/>
    <s v="Pas d'écart"/>
    <n v="0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2"/>
    <n v="22"/>
    <x v="2"/>
    <x v="0"/>
    <n v="0"/>
    <n v="16.8"/>
    <n v="0.12000000000000001"/>
    <n v="-16.8"/>
    <x v="0"/>
    <x v="1"/>
    <n v="0"/>
    <n v="16.8"/>
    <n v="0.12000000000000001"/>
    <n v="-16.8"/>
    <s v="Ecart négatif"/>
    <n v="0"/>
  </r>
  <r>
    <x v="4"/>
    <n v="77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7"/>
    <x v="22"/>
    <x v="820"/>
    <n v="0.28210000000000002"/>
    <n v="28.999999999999996"/>
    <n v="0.28999999999999998"/>
    <n v="-0.78999999999999559"/>
    <x v="0"/>
    <x v="1"/>
    <n v="0"/>
    <n v="28.999999999999996"/>
    <n v="0.28999999999999998"/>
    <n v="-28.999999999999996"/>
    <s v="Ecart négatif"/>
    <n v="-11.72999999999999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0"/>
    <n v="6"/>
    <x v="19"/>
    <x v="0"/>
    <n v="0"/>
    <n v="39.9"/>
    <n v="0.21"/>
    <n v="-39.9"/>
    <x v="0"/>
    <x v="1"/>
    <n v="0"/>
    <n v="39.9"/>
    <n v="0.21"/>
    <n v="-39.9"/>
    <s v="Ecart négatif"/>
    <n v="25.64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7"/>
    <n v="13"/>
    <x v="10"/>
    <x v="0"/>
    <n v="0"/>
    <n v="43.5"/>
    <n v="0.28999999999999998"/>
    <n v="-43.5"/>
    <x v="0"/>
    <x v="1"/>
    <n v="0"/>
    <n v="43.5"/>
    <n v="0.28999999999999998"/>
    <n v="-43.5"/>
    <s v="Ecart négatif"/>
    <n v="13.759999999999998"/>
  </r>
  <r>
    <x v="3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4"/>
    <n v="67"/>
    <x v="22"/>
    <x v="820"/>
    <n v="0.28210000000000002"/>
    <n v="28.999999999999996"/>
    <n v="0.28999999999999998"/>
    <n v="-0.78999999999999559"/>
    <x v="0"/>
    <x v="1"/>
    <n v="0"/>
    <n v="28.999999999999996"/>
    <n v="0.28999999999999998"/>
    <n v="-28.999999999999996"/>
    <s v="Ecart négatif"/>
    <n v="-11.729999999999997"/>
  </r>
  <r>
    <x v="2"/>
    <n v="45"/>
    <x v="6"/>
    <x v="0"/>
    <n v="0"/>
    <n v="19.2"/>
    <n v="0.12"/>
    <n v="-19.2"/>
    <x v="0"/>
    <x v="1"/>
    <n v="0"/>
    <n v="19.2"/>
    <n v="0.12"/>
    <n v="-19.2"/>
    <s v="Ecart négatif"/>
    <n v="0"/>
  </r>
  <r>
    <x v="2"/>
    <n v="1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4"/>
    <n v="68"/>
    <x v="22"/>
    <x v="820"/>
    <n v="0.28210000000000002"/>
    <n v="28.999999999999996"/>
    <n v="0.28999999999999998"/>
    <n v="-0.78999999999999559"/>
    <x v="0"/>
    <x v="1"/>
    <n v="0"/>
    <n v="28.999999999999996"/>
    <n v="0.28999999999999998"/>
    <n v="-28.999999999999996"/>
    <s v="Ecart négatif"/>
    <n v="6.269999999999996"/>
  </r>
  <r>
    <x v="4"/>
    <n v="4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54"/>
    <x v="7"/>
    <x v="0"/>
    <n v="0"/>
    <n v="7.5"/>
    <n v="0.25"/>
    <n v="-7.5"/>
    <x v="0"/>
    <x v="1"/>
    <n v="0"/>
    <n v="7.5"/>
    <n v="0.25"/>
    <n v="-7.5"/>
    <s v="Ecart négatif"/>
    <n v="3.5500000000000007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2"/>
    <n v="72"/>
    <x v="8"/>
    <x v="0"/>
    <n v="0"/>
    <n v="8.4"/>
    <n v="0.12000000000000001"/>
    <n v="-8.4"/>
    <x v="0"/>
    <x v="1"/>
    <n v="0"/>
    <n v="8.4"/>
    <n v="0.12000000000000001"/>
    <n v="-8.4"/>
    <s v="Ecart négatif"/>
    <n v="0"/>
  </r>
  <r>
    <x v="0"/>
    <n v="6"/>
    <x v="2"/>
    <x v="0"/>
    <n v="0"/>
    <n v="29.4"/>
    <n v="0.21"/>
    <n v="-29.4"/>
    <x v="0"/>
    <x v="1"/>
    <n v="0"/>
    <n v="29.4"/>
    <n v="0.21"/>
    <n v="-29.4"/>
    <s v="Ecart négatif"/>
    <n v="15.759999999999998"/>
  </r>
  <r>
    <x v="2"/>
    <n v="88"/>
    <x v="5"/>
    <x v="0"/>
    <n v="0"/>
    <n v="0.8"/>
    <n v="0.08"/>
    <n v="-0.8"/>
    <x v="0"/>
    <x v="1"/>
    <n v="0"/>
    <n v="0.8"/>
    <n v="0.08"/>
    <n v="-0.8"/>
    <s v="Ecart négatif"/>
    <n v="0"/>
  </r>
  <r>
    <x v="0"/>
    <n v="67"/>
    <x v="6"/>
    <x v="0"/>
    <n v="0"/>
    <n v="12.8"/>
    <n v="0.08"/>
    <n v="-12.8"/>
    <x v="0"/>
    <x v="1"/>
    <n v="0"/>
    <n v="12.8"/>
    <n v="0.08"/>
    <n v="-12.8"/>
    <s v="Ecart négatif"/>
    <n v="15.310000000000002"/>
  </r>
  <r>
    <x v="2"/>
    <n v="59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75"/>
    <x v="7"/>
    <x v="0"/>
    <n v="0"/>
    <n v="0"/>
    <n v="0"/>
    <n v="0"/>
    <x v="1"/>
    <x v="1"/>
    <n v="0"/>
    <n v="0"/>
    <n v="0"/>
    <n v="0"/>
    <s v="Pas d'écart"/>
    <n v="20.87"/>
  </r>
  <r>
    <x v="0"/>
    <n v="94"/>
    <x v="27"/>
    <x v="0"/>
    <n v="0"/>
    <n v="0"/>
    <n v="0"/>
    <n v="0"/>
    <x v="1"/>
    <x v="1"/>
    <n v="0"/>
    <n v="0"/>
    <n v="0"/>
    <n v="0"/>
    <s v="Pas d'écart"/>
    <n v="32.53"/>
  </r>
  <r>
    <x v="0"/>
    <n v="75"/>
    <x v="6"/>
    <x v="0"/>
    <n v="0"/>
    <n v="0"/>
    <n v="0"/>
    <n v="0"/>
    <x v="1"/>
    <x v="1"/>
    <n v="0"/>
    <n v="0"/>
    <n v="0"/>
    <n v="0"/>
    <s v="Pas d'écart"/>
    <n v="56.79"/>
  </r>
  <r>
    <x v="6"/>
    <n v="93"/>
    <x v="34"/>
    <x v="0"/>
    <n v="0"/>
    <n v="0"/>
    <n v="0"/>
    <n v="0"/>
    <x v="1"/>
    <x v="1"/>
    <n v="0"/>
    <n v="0"/>
    <n v="0"/>
    <n v="0"/>
    <s v="Pas d'écart"/>
    <n v="-76.890000000000015"/>
  </r>
  <r>
    <x v="2"/>
    <n v="64"/>
    <x v="25"/>
    <x v="0"/>
    <n v="0"/>
    <n v="37.400000000000006"/>
    <n v="0.17"/>
    <n v="-37.400000000000006"/>
    <x v="0"/>
    <x v="332"/>
    <n v="0.21000000000000002"/>
    <n v="37.400000000000006"/>
    <n v="0.17"/>
    <n v="8.7999999999999972"/>
    <s v="Ecart positif"/>
    <n v="152.72999999999999"/>
  </r>
  <r>
    <x v="0"/>
    <n v="13"/>
    <x v="71"/>
    <x v="0"/>
    <n v="0"/>
    <n v="152"/>
    <n v="0.19"/>
    <n v="-152"/>
    <x v="0"/>
    <x v="1"/>
    <n v="0"/>
    <n v="152"/>
    <n v="0.19"/>
    <n v="-152"/>
    <s v="Ecart négatif"/>
    <e v="#N/A"/>
  </r>
  <r>
    <x v="0"/>
    <n v="66"/>
    <x v="11"/>
    <x v="0"/>
    <n v="0"/>
    <n v="16.8"/>
    <n v="0.28000000000000003"/>
    <n v="-16.8"/>
    <x v="0"/>
    <x v="1"/>
    <n v="0"/>
    <n v="16.8"/>
    <n v="0.28000000000000003"/>
    <n v="-16.8"/>
    <s v="Ecart négatif"/>
    <n v="58.26"/>
  </r>
  <r>
    <x v="0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5"/>
    <n v="45"/>
    <x v="11"/>
    <x v="0"/>
    <n v="0"/>
    <n v="12.6"/>
    <n v="0.21"/>
    <n v="-12.6"/>
    <x v="0"/>
    <x v="1"/>
    <n v="0"/>
    <n v="12.6"/>
    <n v="0.21"/>
    <n v="-12.6"/>
    <s v="Ecart négatif"/>
    <n v="25.37"/>
  </r>
  <r>
    <x v="5"/>
    <n v="59"/>
    <x v="11"/>
    <x v="356"/>
    <n v="0.16633333333333333"/>
    <n v="11.4"/>
    <n v="0.19"/>
    <n v="-1.42"/>
    <x v="0"/>
    <x v="1"/>
    <n v="0"/>
    <n v="11.4"/>
    <n v="0.19"/>
    <n v="-11.4"/>
    <s v="Ecart négatif"/>
    <n v="42.48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13"/>
    <x v="13"/>
    <x v="0"/>
    <n v="0"/>
    <n v="32.299999999999997"/>
    <n v="0.18999999999999997"/>
    <n v="-32.299999999999997"/>
    <x v="0"/>
    <x v="1"/>
    <n v="0"/>
    <n v="32.299999999999997"/>
    <n v="0.18999999999999997"/>
    <n v="-32.299999999999997"/>
    <s v="Ecart négatif"/>
    <n v="84.33"/>
  </r>
  <r>
    <x v="2"/>
    <n v="50"/>
    <x v="20"/>
    <x v="0"/>
    <n v="0"/>
    <n v="42.5"/>
    <n v="0.17"/>
    <n v="-42.5"/>
    <x v="0"/>
    <x v="1"/>
    <n v="0"/>
    <n v="42.5"/>
    <n v="0.17"/>
    <n v="-42.5"/>
    <s v="Ecart négatif"/>
    <n v="171.22"/>
  </r>
  <r>
    <x v="2"/>
    <n v="76"/>
    <x v="0"/>
    <x v="0"/>
    <n v="0"/>
    <n v="30.6"/>
    <n v="0.17"/>
    <n v="-30.6"/>
    <x v="0"/>
    <x v="1"/>
    <n v="0"/>
    <n v="30.6"/>
    <n v="0.17"/>
    <n v="-30.6"/>
    <s v="Ecart négatif"/>
    <n v="92.1"/>
  </r>
  <r>
    <x v="2"/>
    <n v="69"/>
    <x v="0"/>
    <x v="0"/>
    <n v="0"/>
    <n v="0"/>
    <n v="0"/>
    <n v="0"/>
    <x v="1"/>
    <x v="1"/>
    <n v="0"/>
    <n v="0"/>
    <n v="0"/>
    <n v="0"/>
    <s v="Pas d'écart"/>
    <n v="92.1"/>
  </r>
  <r>
    <x v="8"/>
    <n v="94"/>
    <x v="0"/>
    <x v="0"/>
    <n v="0"/>
    <n v="0"/>
    <n v="0"/>
    <n v="0"/>
    <x v="1"/>
    <x v="1"/>
    <n v="0"/>
    <n v="0"/>
    <n v="0"/>
    <n v="0"/>
    <s v="Pas d'écart"/>
    <n v="0"/>
  </r>
  <r>
    <x v="2"/>
    <n v="74"/>
    <x v="7"/>
    <x v="0"/>
    <n v="0"/>
    <n v="0"/>
    <n v="0"/>
    <n v="0"/>
    <x v="1"/>
    <x v="1"/>
    <n v="0"/>
    <n v="0"/>
    <n v="0"/>
    <n v="0"/>
    <s v="Pas d'écart"/>
    <n v="20.260000000000002"/>
  </r>
  <r>
    <x v="4"/>
    <n v="68"/>
    <x v="22"/>
    <x v="820"/>
    <n v="0.28210000000000002"/>
    <n v="28.999999999999996"/>
    <n v="0.28999999999999998"/>
    <n v="-0.78999999999999559"/>
    <x v="0"/>
    <x v="1"/>
    <n v="0"/>
    <n v="28.999999999999996"/>
    <n v="0.28999999999999998"/>
    <n v="-28.999999999999996"/>
    <s v="Ecart négatif"/>
    <n v="6.269999999999996"/>
  </r>
  <r>
    <x v="5"/>
    <n v="88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21.47"/>
  </r>
  <r>
    <x v="4"/>
    <n v="68"/>
    <x v="22"/>
    <x v="820"/>
    <n v="0.28210000000000002"/>
    <n v="28.999999999999996"/>
    <n v="0.28999999999999998"/>
    <n v="-0.78999999999999559"/>
    <x v="0"/>
    <x v="1"/>
    <n v="0"/>
    <n v="28.999999999999996"/>
    <n v="0.28999999999999998"/>
    <n v="-28.999999999999996"/>
    <s v="Ecart négatif"/>
    <n v="6.269999999999996"/>
  </r>
  <r>
    <x v="4"/>
    <n v="67"/>
    <x v="16"/>
    <x v="821"/>
    <n v="0.28245000000000003"/>
    <n v="57.999999999999993"/>
    <n v="0.28999999999999998"/>
    <n v="-1.5099999999999909"/>
    <x v="0"/>
    <x v="1"/>
    <n v="0"/>
    <n v="57.999999999999993"/>
    <n v="0.28999999999999998"/>
    <n v="-57.999999999999993"/>
    <s v="Ecart négatif"/>
    <n v="0"/>
  </r>
  <r>
    <x v="0"/>
    <n v="49"/>
    <x v="12"/>
    <x v="0"/>
    <n v="0"/>
    <n v="0"/>
    <n v="0"/>
    <n v="0"/>
    <x v="1"/>
    <x v="1"/>
    <n v="0"/>
    <n v="0"/>
    <n v="0"/>
    <n v="0"/>
    <s v="Pas d'écart"/>
    <n v="41.47"/>
  </r>
  <r>
    <x v="6"/>
    <n v="75"/>
    <x v="20"/>
    <x v="0"/>
    <n v="0"/>
    <n v="0"/>
    <n v="0"/>
    <n v="0"/>
    <x v="1"/>
    <x v="1"/>
    <n v="0"/>
    <n v="0"/>
    <n v="0"/>
    <n v="0"/>
    <s v="Pas d'écart"/>
    <n v="73.28"/>
  </r>
  <r>
    <x v="4"/>
    <n v="94"/>
    <x v="19"/>
    <x v="0"/>
    <n v="0"/>
    <n v="0"/>
    <n v="0"/>
    <n v="0"/>
    <x v="1"/>
    <x v="1"/>
    <n v="0"/>
    <n v="0"/>
    <n v="0"/>
    <n v="0"/>
    <s v="Pas d'écart"/>
    <n v="0"/>
  </r>
  <r>
    <x v="2"/>
    <n v="62"/>
    <x v="7"/>
    <x v="0"/>
    <n v="0"/>
    <n v="0"/>
    <n v="0"/>
    <n v="0"/>
    <x v="1"/>
    <x v="1"/>
    <n v="0"/>
    <n v="0"/>
    <n v="0"/>
    <n v="0"/>
    <s v="Pas d'écart"/>
    <n v="18.170000000000002"/>
  </r>
  <r>
    <x v="2"/>
    <n v="45"/>
    <x v="9"/>
    <x v="0"/>
    <n v="0"/>
    <n v="9.6"/>
    <n v="0.12"/>
    <n v="-9.6"/>
    <x v="0"/>
    <x v="1"/>
    <n v="0"/>
    <n v="9.6"/>
    <n v="0.12"/>
    <n v="-9.6"/>
    <s v="Ecart négatif"/>
    <n v="0"/>
  </r>
  <r>
    <x v="3"/>
    <n v="6"/>
    <x v="9"/>
    <x v="822"/>
    <n v="0.28250000000000003"/>
    <n v="24"/>
    <n v="0.3"/>
    <n v="-1.3999999999999986"/>
    <x v="0"/>
    <x v="1"/>
    <n v="0"/>
    <n v="24"/>
    <n v="0.3"/>
    <n v="-24"/>
    <s v="Ecart négatif"/>
    <n v="14.89"/>
  </r>
  <r>
    <x v="8"/>
    <n v="83"/>
    <x v="9"/>
    <x v="0"/>
    <n v="0"/>
    <n v="24"/>
    <n v="0.3"/>
    <n v="-24"/>
    <x v="0"/>
    <x v="1"/>
    <n v="0"/>
    <n v="24"/>
    <n v="0.3"/>
    <n v="-24"/>
    <s v="Ecart négatif"/>
    <n v="23.129999999999995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2"/>
    <n v="93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78"/>
    <x v="12"/>
    <x v="0"/>
    <n v="0"/>
    <n v="0"/>
    <n v="0"/>
    <n v="0"/>
    <x v="1"/>
    <x v="1"/>
    <n v="0"/>
    <n v="0"/>
    <n v="0"/>
    <n v="0"/>
    <s v="Pas d'écart"/>
    <n v="0"/>
  </r>
  <r>
    <x v="2"/>
    <n v="59"/>
    <x v="16"/>
    <x v="0"/>
    <n v="0"/>
    <n v="0"/>
    <n v="0"/>
    <n v="0"/>
    <x v="1"/>
    <x v="216"/>
    <n v="0.18715000000000001"/>
    <n v="0"/>
    <n v="0"/>
    <n v="37.43"/>
    <s v="Ecart positif"/>
    <n v="107.65"/>
  </r>
  <r>
    <x v="0"/>
    <n v="39"/>
    <x v="7"/>
    <x v="0"/>
    <n v="0"/>
    <n v="0"/>
    <n v="0"/>
    <n v="0"/>
    <x v="1"/>
    <x v="1"/>
    <n v="0"/>
    <n v="0"/>
    <n v="0"/>
    <n v="0"/>
    <s v="Pas d'écart"/>
    <n v="3.7600000000000016"/>
  </r>
  <r>
    <x v="2"/>
    <n v="95"/>
    <x v="7"/>
    <x v="0"/>
    <n v="0"/>
    <n v="0"/>
    <n v="0"/>
    <n v="0"/>
    <x v="1"/>
    <x v="1"/>
    <n v="0"/>
    <n v="0"/>
    <n v="0"/>
    <n v="0"/>
    <s v="Pas d'écart"/>
    <n v="0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2"/>
    <n v="41"/>
    <x v="10"/>
    <x v="0"/>
    <n v="0"/>
    <n v="18"/>
    <n v="0.12"/>
    <n v="-18"/>
    <x v="0"/>
    <x v="1"/>
    <n v="0"/>
    <n v="18"/>
    <n v="0.12"/>
    <n v="-18"/>
    <s v="Ecart négatif"/>
    <n v="73.959999999999994"/>
  </r>
  <r>
    <x v="0"/>
    <n v="49"/>
    <x v="2"/>
    <x v="0"/>
    <n v="0"/>
    <n v="0"/>
    <n v="0"/>
    <n v="0"/>
    <x v="1"/>
    <x v="1"/>
    <n v="0"/>
    <n v="0"/>
    <n v="0"/>
    <n v="0"/>
    <s v="Pas d'écart"/>
    <n v="14.68"/>
  </r>
  <r>
    <x v="0"/>
    <n v="78"/>
    <x v="18"/>
    <x v="0"/>
    <n v="0"/>
    <n v="0"/>
    <n v="0"/>
    <n v="0"/>
    <x v="1"/>
    <x v="1"/>
    <n v="0"/>
    <n v="0"/>
    <n v="0"/>
    <n v="0"/>
    <s v="Pas d'écart"/>
    <n v="8.0399999999999991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2"/>
    <n v="59"/>
    <x v="25"/>
    <x v="0"/>
    <n v="0"/>
    <n v="0"/>
    <n v="0"/>
    <n v="0"/>
    <x v="1"/>
    <x v="1"/>
    <n v="0"/>
    <n v="0"/>
    <n v="0"/>
    <n v="0"/>
    <s v="Pas d'écart"/>
    <n v="117.03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6"/>
    <x v="6"/>
    <x v="0"/>
    <n v="0"/>
    <n v="33.6"/>
    <n v="0.21000000000000002"/>
    <n v="-33.6"/>
    <x v="0"/>
    <x v="127"/>
    <n v="0.19818750000000002"/>
    <n v="33.6"/>
    <n v="0.21000000000000002"/>
    <n v="-1.8900000000000006"/>
    <s v="Ecart négatif"/>
    <n v="91.69"/>
  </r>
  <r>
    <x v="2"/>
    <n v="83"/>
    <x v="8"/>
    <x v="0"/>
    <n v="0"/>
    <n v="14.7"/>
    <n v="0.21"/>
    <n v="-14.7"/>
    <x v="0"/>
    <x v="125"/>
    <n v="0.21"/>
    <n v="14.7"/>
    <n v="0.21"/>
    <n v="0"/>
    <s v="Pas d'écart"/>
    <n v="61.48"/>
  </r>
  <r>
    <x v="0"/>
    <n v="21"/>
    <x v="0"/>
    <x v="0"/>
    <n v="0"/>
    <n v="21.599999999999998"/>
    <n v="0.11999999999999998"/>
    <n v="-21.599999999999998"/>
    <x v="0"/>
    <x v="6"/>
    <n v="0.12000000000000001"/>
    <n v="21.599999999999998"/>
    <n v="0.11999999999999998"/>
    <n v="0"/>
    <s v="Pas d'écart"/>
    <n v="18.419999999999987"/>
  </r>
  <r>
    <x v="2"/>
    <n v="51"/>
    <x v="2"/>
    <x v="0"/>
    <n v="0"/>
    <n v="35"/>
    <n v="0.25"/>
    <n v="-35"/>
    <x v="0"/>
    <x v="71"/>
    <n v="0.25"/>
    <n v="35"/>
    <n v="0.25"/>
    <n v="0"/>
    <s v="Pas d'écart"/>
    <n v="78.8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2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0"/>
    <n v="74"/>
    <x v="7"/>
    <x v="0"/>
    <n v="0"/>
    <n v="0"/>
    <n v="0"/>
    <n v="0"/>
    <x v="1"/>
    <x v="1"/>
    <n v="0"/>
    <n v="0"/>
    <n v="0"/>
    <n v="0"/>
    <s v="Pas d'écart"/>
    <n v="20.260000000000002"/>
  </r>
  <r>
    <x v="4"/>
    <n v="83"/>
    <x v="9"/>
    <x v="822"/>
    <n v="0.28250000000000003"/>
    <n v="24"/>
    <n v="0.3"/>
    <n v="-1.3999999999999986"/>
    <x v="0"/>
    <x v="1"/>
    <n v="0"/>
    <n v="24"/>
    <n v="0.3"/>
    <n v="-24"/>
    <s v="Ecart négatif"/>
    <n v="0"/>
  </r>
  <r>
    <x v="0"/>
    <n v="98"/>
    <x v="13"/>
    <x v="0"/>
    <n v="0"/>
    <n v="35.699999999999996"/>
    <n v="0.20999999999999996"/>
    <n v="-35.699999999999996"/>
    <x v="0"/>
    <x v="1"/>
    <n v="0"/>
    <n v="35.699999999999996"/>
    <n v="0.20999999999999996"/>
    <n v="-35.699999999999996"/>
    <s v="Ecart négatif"/>
    <n v="103.87"/>
  </r>
  <r>
    <x v="0"/>
    <n v="54"/>
    <x v="9"/>
    <x v="0"/>
    <n v="0"/>
    <n v="20"/>
    <n v="0.25"/>
    <n v="-20"/>
    <x v="0"/>
    <x v="333"/>
    <n v="0.23599999999999999"/>
    <n v="20"/>
    <n v="0.25"/>
    <n v="-1.120000000000001"/>
    <s v="Ecart négatif"/>
    <n v="47.06"/>
  </r>
  <r>
    <x v="0"/>
    <n v="85"/>
    <x v="12"/>
    <x v="0"/>
    <n v="0"/>
    <n v="0"/>
    <n v="0"/>
    <n v="0"/>
    <x v="1"/>
    <x v="1"/>
    <n v="0"/>
    <n v="0"/>
    <n v="0"/>
    <n v="0"/>
    <s v="Pas d'écart"/>
    <n v="41.47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45"/>
    <x v="2"/>
    <x v="0"/>
    <n v="0"/>
    <n v="16.8"/>
    <n v="0.12000000000000001"/>
    <n v="-16.8"/>
    <x v="0"/>
    <x v="36"/>
    <n v="0.39"/>
    <n v="16.8"/>
    <n v="0.12000000000000001"/>
    <n v="37.799999999999997"/>
    <s v="Ecart positif"/>
    <n v="14.68"/>
  </r>
  <r>
    <x v="0"/>
    <n v="72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5.78"/>
  </r>
  <r>
    <x v="0"/>
    <n v="79"/>
    <x v="1"/>
    <x v="0"/>
    <n v="0"/>
    <n v="14.399999999999999"/>
    <n v="0.11999999999999998"/>
    <n v="-14.399999999999999"/>
    <x v="0"/>
    <x v="1"/>
    <n v="0"/>
    <n v="14.399999999999999"/>
    <n v="0.11999999999999998"/>
    <n v="-14.399999999999999"/>
    <s v="Ecart négatif"/>
    <n v="77.349999999999994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8"/>
    <x v="11"/>
    <x v="61"/>
    <n v="0.23633333333333334"/>
    <n v="16.200000000000003"/>
    <n v="0.27000000000000007"/>
    <n v="-2.0200000000000031"/>
    <x v="0"/>
    <x v="1"/>
    <n v="0"/>
    <n v="16.200000000000003"/>
    <n v="0.27000000000000007"/>
    <n v="-16.200000000000003"/>
    <s v="Ecart négatif"/>
    <n v="52.78"/>
  </r>
  <r>
    <x v="5"/>
    <n v="91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2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30.849999999999998"/>
  </r>
  <r>
    <x v="0"/>
    <n v="69"/>
    <x v="12"/>
    <x v="0"/>
    <n v="0"/>
    <n v="0"/>
    <n v="0"/>
    <n v="0"/>
    <x v="1"/>
    <x v="1"/>
    <n v="0"/>
    <n v="0"/>
    <n v="0"/>
    <n v="0"/>
    <s v="Pas d'écart"/>
    <n v="34.29"/>
  </r>
  <r>
    <x v="0"/>
    <n v="77"/>
    <x v="13"/>
    <x v="0"/>
    <n v="0"/>
    <n v="0"/>
    <n v="0"/>
    <n v="0"/>
    <x v="1"/>
    <x v="1"/>
    <n v="0"/>
    <n v="0"/>
    <n v="0"/>
    <n v="0"/>
    <s v="Pas d'écart"/>
    <n v="11.71"/>
  </r>
  <r>
    <x v="0"/>
    <n v="77"/>
    <x v="13"/>
    <x v="0"/>
    <n v="0"/>
    <n v="0"/>
    <n v="0"/>
    <n v="0"/>
    <x v="1"/>
    <x v="1"/>
    <n v="0"/>
    <n v="0"/>
    <n v="0"/>
    <n v="0"/>
    <s v="Pas d'écart"/>
    <n v="11.71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2"/>
    <n v="63"/>
    <x v="10"/>
    <x v="0"/>
    <n v="0"/>
    <n v="18"/>
    <n v="0.12"/>
    <n v="-18"/>
    <x v="0"/>
    <x v="334"/>
    <n v="0.11280000000000001"/>
    <n v="18"/>
    <n v="0.12"/>
    <n v="-1.0799999999999983"/>
    <s v="Ecart négatif"/>
    <n v="0"/>
  </r>
  <r>
    <x v="0"/>
    <n v="77"/>
    <x v="6"/>
    <x v="0"/>
    <n v="0"/>
    <n v="0"/>
    <n v="0"/>
    <n v="0"/>
    <x v="1"/>
    <x v="1"/>
    <n v="0"/>
    <n v="0"/>
    <n v="0"/>
    <n v="0"/>
    <s v="Pas d'écart"/>
    <n v="11.36"/>
  </r>
  <r>
    <x v="0"/>
    <n v="93"/>
    <x v="12"/>
    <x v="0"/>
    <n v="0"/>
    <n v="0"/>
    <n v="0"/>
    <n v="0"/>
    <x v="1"/>
    <x v="1"/>
    <n v="0"/>
    <n v="0"/>
    <n v="0"/>
    <n v="0"/>
    <s v="Pas d'écart"/>
    <n v="5.23"/>
  </r>
  <r>
    <x v="2"/>
    <n v="94"/>
    <x v="6"/>
    <x v="0"/>
    <n v="0"/>
    <n v="0"/>
    <n v="0"/>
    <n v="0"/>
    <x v="1"/>
    <x v="1"/>
    <n v="0"/>
    <n v="0"/>
    <n v="0"/>
    <n v="0"/>
    <s v="Pas d'écart"/>
    <n v="0"/>
  </r>
  <r>
    <x v="3"/>
    <n v="6"/>
    <x v="9"/>
    <x v="822"/>
    <n v="0.28250000000000003"/>
    <n v="24"/>
    <n v="0.3"/>
    <n v="-1.3999999999999986"/>
    <x v="0"/>
    <x v="1"/>
    <n v="0"/>
    <n v="24"/>
    <n v="0.3"/>
    <n v="-24"/>
    <s v="Ecart négatif"/>
    <n v="14.8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2"/>
    <n v="44"/>
    <x v="0"/>
    <x v="0"/>
    <n v="0"/>
    <n v="0"/>
    <n v="0"/>
    <n v="0"/>
    <x v="1"/>
    <x v="335"/>
    <n v="0.25700000000000001"/>
    <n v="0"/>
    <n v="0"/>
    <n v="46.26"/>
    <s v="Ecart positif"/>
    <n v="92.1"/>
  </r>
  <r>
    <x v="3"/>
    <n v="6"/>
    <x v="9"/>
    <x v="822"/>
    <n v="0.28250000000000003"/>
    <n v="24"/>
    <n v="0.3"/>
    <n v="-1.3999999999999986"/>
    <x v="0"/>
    <x v="1"/>
    <n v="0"/>
    <n v="24"/>
    <n v="0.3"/>
    <n v="-24"/>
    <s v="Ecart négatif"/>
    <n v="14.89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2"/>
    <n v="94"/>
    <x v="14"/>
    <x v="0"/>
    <n v="0"/>
    <n v="0"/>
    <n v="0"/>
    <n v="0"/>
    <x v="1"/>
    <x v="1"/>
    <n v="0"/>
    <n v="0"/>
    <n v="0"/>
    <n v="0"/>
    <s v="Pas d'écart"/>
    <n v="0"/>
  </r>
  <r>
    <x v="2"/>
    <n v="28"/>
    <x v="12"/>
    <x v="0"/>
    <n v="0"/>
    <n v="4.8"/>
    <n v="0.12"/>
    <n v="-4.8"/>
    <x v="0"/>
    <x v="1"/>
    <n v="0"/>
    <n v="4.8"/>
    <n v="0.12"/>
    <n v="-4.8"/>
    <s v="Ecart négatif"/>
    <n v="47.76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0"/>
    <n v="92"/>
    <x v="12"/>
    <x v="0"/>
    <n v="0"/>
    <n v="0"/>
    <n v="0"/>
    <n v="0"/>
    <x v="1"/>
    <x v="1"/>
    <n v="0"/>
    <n v="0"/>
    <n v="0"/>
    <n v="0"/>
    <s v="Pas d'écart"/>
    <n v="5.23"/>
  </r>
  <r>
    <x v="0"/>
    <n v="92"/>
    <x v="7"/>
    <x v="0"/>
    <n v="0"/>
    <n v="0"/>
    <n v="0"/>
    <n v="0"/>
    <x v="1"/>
    <x v="1"/>
    <n v="0"/>
    <n v="0"/>
    <n v="0"/>
    <n v="0"/>
    <s v="Pas d'écart"/>
    <n v="20.350000000000001"/>
  </r>
  <r>
    <x v="4"/>
    <n v="94"/>
    <x v="3"/>
    <x v="0"/>
    <n v="0"/>
    <n v="0"/>
    <n v="0"/>
    <n v="0"/>
    <x v="1"/>
    <x v="1"/>
    <n v="0"/>
    <n v="0"/>
    <n v="0"/>
    <n v="0"/>
    <s v="Pas d'écart"/>
    <n v="0"/>
  </r>
  <r>
    <x v="0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0"/>
    <n v="75"/>
    <x v="13"/>
    <x v="0"/>
    <n v="0"/>
    <n v="0"/>
    <n v="0"/>
    <n v="0"/>
    <x v="1"/>
    <x v="1"/>
    <n v="0"/>
    <n v="0"/>
    <n v="0"/>
    <n v="0"/>
    <s v="Pas d'écart"/>
    <n v="58.53"/>
  </r>
  <r>
    <x v="2"/>
    <n v="34"/>
    <x v="2"/>
    <x v="0"/>
    <n v="0"/>
    <n v="39.200000000000003"/>
    <n v="0.28000000000000003"/>
    <n v="-39.200000000000003"/>
    <x v="0"/>
    <x v="55"/>
    <n v="0.27921428571428575"/>
    <n v="39.200000000000003"/>
    <n v="0.28000000000000003"/>
    <n v="-0.10999999999999943"/>
    <s v="Ecart négatif"/>
    <n v="0"/>
  </r>
  <r>
    <x v="2"/>
    <n v="38"/>
    <x v="8"/>
    <x v="0"/>
    <n v="0"/>
    <n v="0"/>
    <n v="0"/>
    <n v="0"/>
    <x v="1"/>
    <x v="1"/>
    <n v="0"/>
    <n v="0"/>
    <n v="0"/>
    <n v="0"/>
    <s v="Pas d'écart"/>
    <n v="61.48"/>
  </r>
  <r>
    <x v="0"/>
    <n v="69"/>
    <x v="0"/>
    <x v="0"/>
    <n v="0"/>
    <n v="0"/>
    <n v="0"/>
    <n v="0"/>
    <x v="1"/>
    <x v="1"/>
    <n v="0"/>
    <n v="0"/>
    <n v="0"/>
    <n v="0"/>
    <s v="Pas d'écart"/>
    <n v="18.41999999999998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0"/>
    <n v="30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73.41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0"/>
    <n v="69"/>
    <x v="3"/>
    <x v="0"/>
    <n v="0"/>
    <n v="0"/>
    <n v="0"/>
    <n v="0"/>
    <x v="1"/>
    <x v="1"/>
    <n v="0"/>
    <n v="0"/>
    <n v="0"/>
    <n v="0"/>
    <s v="Pas d'écart"/>
    <n v="22.47"/>
  </r>
  <r>
    <x v="2"/>
    <n v="67"/>
    <x v="15"/>
    <x v="0"/>
    <n v="0"/>
    <n v="1.6"/>
    <n v="0.08"/>
    <n v="-1.6"/>
    <x v="0"/>
    <x v="256"/>
    <n v="6.8000000000000005E-2"/>
    <n v="1.6"/>
    <n v="0.08"/>
    <n v="-0.24"/>
    <s v="Ecart négatif"/>
    <n v="16.93"/>
  </r>
  <r>
    <x v="2"/>
    <n v="50"/>
    <x v="13"/>
    <x v="0"/>
    <n v="0"/>
    <n v="28.900000000000002"/>
    <n v="0.17"/>
    <n v="-28.900000000000002"/>
    <x v="0"/>
    <x v="336"/>
    <n v="0.16400000000000001"/>
    <n v="28.900000000000002"/>
    <n v="0.17"/>
    <n v="-1.0200000000000031"/>
    <s v="Ecart négatif"/>
    <n v="0"/>
  </r>
  <r>
    <x v="6"/>
    <n v="77"/>
    <x v="14"/>
    <x v="0"/>
    <n v="0"/>
    <n v="0"/>
    <n v="0"/>
    <n v="0"/>
    <x v="1"/>
    <x v="1"/>
    <n v="0"/>
    <n v="0"/>
    <n v="0"/>
    <n v="0"/>
    <s v="Pas d'écart"/>
    <n v="-12.489999999999995"/>
  </r>
  <r>
    <x v="4"/>
    <n v="57"/>
    <x v="14"/>
    <x v="823"/>
    <n v="0.28253846153846152"/>
    <n v="31.2"/>
    <n v="0.24"/>
    <n v="5.5299999999999976"/>
    <x v="2"/>
    <x v="1"/>
    <n v="0"/>
    <n v="31.2"/>
    <n v="0.24"/>
    <n v="-31.2"/>
    <s v="Ecart négatif"/>
    <n v="0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3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12.519999999999996"/>
  </r>
  <r>
    <x v="6"/>
    <n v="83"/>
    <x v="20"/>
    <x v="0"/>
    <n v="0"/>
    <n v="75"/>
    <n v="0.3"/>
    <n v="-75"/>
    <x v="0"/>
    <x v="1"/>
    <n v="0"/>
    <n v="75"/>
    <n v="0.3"/>
    <n v="-75"/>
    <s v="Ecart négatif"/>
    <n v="0"/>
  </r>
  <r>
    <x v="2"/>
    <n v="45"/>
    <x v="9"/>
    <x v="0"/>
    <n v="0"/>
    <n v="9.6"/>
    <n v="0.12"/>
    <n v="-9.6"/>
    <x v="0"/>
    <x v="337"/>
    <n v="0.387125"/>
    <n v="9.6"/>
    <n v="0.12"/>
    <n v="21.369999999999997"/>
    <s v="Ecart positif"/>
    <n v="0"/>
  </r>
  <r>
    <x v="3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12.519999999999996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4"/>
    <n v="67"/>
    <x v="14"/>
    <x v="823"/>
    <n v="0.28253846153846152"/>
    <n v="37.699999999999996"/>
    <n v="0.28999999999999998"/>
    <n v="-0.96999999999999886"/>
    <x v="0"/>
    <x v="1"/>
    <n v="0"/>
    <n v="37.699999999999996"/>
    <n v="0.28999999999999998"/>
    <n v="-37.699999999999996"/>
    <s v="Ecart négatif"/>
    <n v="0"/>
  </r>
  <r>
    <x v="4"/>
    <n v="68"/>
    <x v="26"/>
    <x v="824"/>
    <n v="0.28261111111111109"/>
    <n v="104.39999999999999"/>
    <n v="0.28999999999999998"/>
    <n v="-2.6599999999999966"/>
    <x v="0"/>
    <x v="1"/>
    <n v="0"/>
    <n v="104.39999999999999"/>
    <n v="0.28999999999999998"/>
    <n v="-104.39999999999999"/>
    <s v="Ecart négatif"/>
    <n v="0"/>
  </r>
  <r>
    <x v="4"/>
    <n v="63"/>
    <x v="16"/>
    <x v="825"/>
    <n v="0.28270000000000001"/>
    <n v="57.999999999999993"/>
    <n v="0.28999999999999998"/>
    <n v="-1.4599999999999937"/>
    <x v="0"/>
    <x v="1"/>
    <n v="0"/>
    <n v="57.999999999999993"/>
    <n v="0.28999999999999998"/>
    <n v="-57.999999999999993"/>
    <s v="Ecart négatif"/>
    <n v="0"/>
  </r>
  <r>
    <x v="5"/>
    <n v="38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23.700000000000003"/>
  </r>
  <r>
    <x v="2"/>
    <n v="60"/>
    <x v="12"/>
    <x v="0"/>
    <n v="0"/>
    <n v="0"/>
    <n v="0"/>
    <n v="0"/>
    <x v="1"/>
    <x v="1"/>
    <n v="0"/>
    <n v="0"/>
    <n v="0"/>
    <n v="0"/>
    <s v="Pas d'écart"/>
    <n v="0"/>
  </r>
  <r>
    <x v="2"/>
    <n v="35"/>
    <x v="27"/>
    <x v="0"/>
    <n v="0"/>
    <n v="0"/>
    <n v="0"/>
    <n v="0"/>
    <x v="1"/>
    <x v="1"/>
    <n v="0"/>
    <n v="0"/>
    <n v="0"/>
    <n v="0"/>
    <s v="Pas d'écart"/>
    <n v="0"/>
  </r>
  <r>
    <x v="2"/>
    <n v="13"/>
    <x v="28"/>
    <x v="0"/>
    <n v="0"/>
    <n v="45.6"/>
    <n v="0.19"/>
    <n v="-45.6"/>
    <x v="0"/>
    <x v="338"/>
    <n v="0.18966666666666668"/>
    <n v="45.6"/>
    <n v="0.19"/>
    <n v="-7.9999999999998295E-2"/>
    <s v="Ecart négatif"/>
    <n v="0"/>
  </r>
  <r>
    <x v="2"/>
    <n v="75"/>
    <x v="12"/>
    <x v="0"/>
    <n v="0"/>
    <n v="0"/>
    <n v="0"/>
    <n v="0"/>
    <x v="1"/>
    <x v="1"/>
    <n v="0"/>
    <n v="0"/>
    <n v="0"/>
    <n v="0"/>
    <s v="Pas d'écart"/>
    <n v="0"/>
  </r>
  <r>
    <x v="3"/>
    <n v="68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8.2899999999999991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13"/>
    <x v="16"/>
    <x v="825"/>
    <n v="0.28270000000000001"/>
    <n v="57.999999999999993"/>
    <n v="0.28999999999999998"/>
    <n v="-1.4599999999999937"/>
    <x v="0"/>
    <x v="1"/>
    <n v="0"/>
    <n v="57.999999999999993"/>
    <n v="0.28999999999999998"/>
    <n v="-57.999999999999993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67"/>
    <x v="2"/>
    <x v="826"/>
    <n v="0.28307142857142858"/>
    <n v="40.599999999999994"/>
    <n v="0.28999999999999998"/>
    <n v="-0.96999999999999176"/>
    <x v="0"/>
    <x v="1"/>
    <n v="0"/>
    <n v="40.599999999999994"/>
    <n v="0.28999999999999998"/>
    <n v="-40.599999999999994"/>
    <s v="Ecart négatif"/>
    <n v="13.140000000000008"/>
  </r>
  <r>
    <x v="4"/>
    <n v="13"/>
    <x v="22"/>
    <x v="827"/>
    <n v="0.28309999999999996"/>
    <n v="28.999999999999996"/>
    <n v="0.28999999999999998"/>
    <n v="-0.68999999999999773"/>
    <x v="0"/>
    <x v="1"/>
    <n v="0"/>
    <n v="28.999999999999996"/>
    <n v="0.28999999999999998"/>
    <n v="-28.999999999999996"/>
    <s v="Ecart négatif"/>
    <n v="0"/>
  </r>
  <r>
    <x v="4"/>
    <n v="6"/>
    <x v="6"/>
    <x v="828"/>
    <n v="0.28312499999999996"/>
    <n v="48"/>
    <n v="0.3"/>
    <n v="-2.7000000000000028"/>
    <x v="0"/>
    <x v="1"/>
    <n v="0"/>
    <n v="48"/>
    <n v="0.3"/>
    <n v="-48"/>
    <s v="Ecart négatif"/>
    <n v="0"/>
  </r>
  <r>
    <x v="4"/>
    <n v="68"/>
    <x v="10"/>
    <x v="829"/>
    <n v="0.28319999999999995"/>
    <n v="43.5"/>
    <n v="0.28999999999999998"/>
    <n v="-1.0200000000000031"/>
    <x v="0"/>
    <x v="1"/>
    <n v="0"/>
    <n v="43.5"/>
    <n v="0.28999999999999998"/>
    <n v="-43.5"/>
    <s v="Ecart négatif"/>
    <n v="0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12"/>
    <x v="0"/>
    <n v="0"/>
    <n v="10.8"/>
    <n v="0.27"/>
    <n v="-10.8"/>
    <x v="0"/>
    <x v="1"/>
    <n v="0"/>
    <n v="10.8"/>
    <n v="0.27"/>
    <n v="-10.8"/>
    <s v="Ecart négatif"/>
    <n v="34.29"/>
  </r>
  <r>
    <x v="3"/>
    <n v="62"/>
    <x v="12"/>
    <x v="6"/>
    <n v="0.19"/>
    <n v="7.6"/>
    <n v="0.19"/>
    <n v="0"/>
    <x v="1"/>
    <x v="1"/>
    <n v="0"/>
    <n v="7.6"/>
    <n v="0.19"/>
    <n v="-7.6"/>
    <s v="Ecart négatif"/>
    <n v="8.2899999999999991"/>
  </r>
  <r>
    <x v="3"/>
    <n v="62"/>
    <x v="12"/>
    <x v="6"/>
    <n v="0.19"/>
    <n v="7.6"/>
    <n v="0.19"/>
    <n v="0"/>
    <x v="1"/>
    <x v="1"/>
    <n v="0"/>
    <n v="7.6"/>
    <n v="0.19"/>
    <n v="-7.6"/>
    <s v="Ecart négatif"/>
    <n v="8.2899999999999991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0"/>
    <n v="67"/>
    <x v="7"/>
    <x v="0"/>
    <n v="0"/>
    <n v="2.4"/>
    <n v="0.08"/>
    <n v="-2.4"/>
    <x v="0"/>
    <x v="339"/>
    <n v="5.8666666666666666E-2"/>
    <n v="2.4"/>
    <n v="0.08"/>
    <n v="-0.6399999999999999"/>
    <s v="Ecart négatif"/>
    <n v="3.6799999999999997"/>
  </r>
  <r>
    <x v="0"/>
    <n v="67"/>
    <x v="7"/>
    <x v="0"/>
    <n v="0"/>
    <n v="2.4"/>
    <n v="0.08"/>
    <n v="-2.4"/>
    <x v="0"/>
    <x v="182"/>
    <n v="6.6666666666666666E-2"/>
    <n v="2.4"/>
    <n v="0.08"/>
    <n v="-0.39999999999999991"/>
    <s v="Ecart négatif"/>
    <n v="3.6799999999999997"/>
  </r>
  <r>
    <x v="2"/>
    <n v="48"/>
    <x v="1"/>
    <x v="0"/>
    <n v="0"/>
    <n v="33.6"/>
    <n v="0.28000000000000003"/>
    <n v="-33.6"/>
    <x v="0"/>
    <x v="340"/>
    <n v="0.2588333333333333"/>
    <n v="33.6"/>
    <n v="0.28000000000000003"/>
    <n v="-2.5400000000000027"/>
    <s v="Ecart négatif"/>
    <n v="77.349999999999994"/>
  </r>
  <r>
    <x v="2"/>
    <n v="34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67"/>
    <x v="14"/>
    <x v="284"/>
    <n v="0.28330769230769232"/>
    <n v="37.699999999999996"/>
    <n v="0.28999999999999998"/>
    <n v="-0.86999999999999744"/>
    <x v="0"/>
    <x v="1"/>
    <n v="0"/>
    <n v="37.699999999999996"/>
    <n v="0.28999999999999998"/>
    <n v="-37.699999999999996"/>
    <s v="Ecart négatif"/>
    <n v="0"/>
  </r>
  <r>
    <x v="2"/>
    <n v="76"/>
    <x v="9"/>
    <x v="0"/>
    <n v="0"/>
    <n v="13.600000000000001"/>
    <n v="0.17"/>
    <n v="-13.600000000000001"/>
    <x v="0"/>
    <x v="341"/>
    <n v="0.16999999999999998"/>
    <n v="13.600000000000001"/>
    <n v="0.17"/>
    <n v="0"/>
    <s v="Pas d'écart"/>
    <n v="0"/>
  </r>
  <r>
    <x v="2"/>
    <n v="44"/>
    <x v="0"/>
    <x v="0"/>
    <n v="0"/>
    <n v="0"/>
    <n v="0"/>
    <n v="0"/>
    <x v="1"/>
    <x v="1"/>
    <n v="0"/>
    <n v="0"/>
    <n v="0"/>
    <n v="0"/>
    <s v="Pas d'écart"/>
    <n v="0"/>
  </r>
  <r>
    <x v="0"/>
    <n v="13"/>
    <x v="2"/>
    <x v="0"/>
    <n v="0"/>
    <n v="26.6"/>
    <n v="0.19"/>
    <n v="-26.6"/>
    <x v="0"/>
    <x v="342"/>
    <n v="0.17921428571428571"/>
    <n v="26.6"/>
    <n v="0.19"/>
    <n v="-1.5100000000000016"/>
    <s v="Ecart négatif"/>
    <n v="13.140000000000008"/>
  </r>
  <r>
    <x v="4"/>
    <n v="94"/>
    <x v="19"/>
    <x v="0"/>
    <n v="0"/>
    <n v="0"/>
    <n v="0"/>
    <n v="0"/>
    <x v="1"/>
    <x v="1"/>
    <n v="0"/>
    <n v="0"/>
    <n v="0"/>
    <n v="0"/>
    <s v="Pas d'écart"/>
    <n v="0"/>
  </r>
  <r>
    <x v="8"/>
    <n v="80"/>
    <x v="19"/>
    <x v="0"/>
    <n v="0"/>
    <n v="36.1"/>
    <n v="0.19"/>
    <n v="-36.1"/>
    <x v="0"/>
    <x v="1"/>
    <n v="0"/>
    <n v="36.1"/>
    <n v="0.19"/>
    <n v="-36.1"/>
    <s v="Ecart négatif"/>
    <n v="0"/>
  </r>
  <r>
    <x v="4"/>
    <n v="94"/>
    <x v="2"/>
    <x v="0"/>
    <n v="0"/>
    <n v="0"/>
    <n v="0"/>
    <n v="0"/>
    <x v="1"/>
    <x v="1"/>
    <n v="0"/>
    <n v="0"/>
    <n v="0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2"/>
    <n v="60"/>
    <x v="13"/>
    <x v="0"/>
    <n v="0"/>
    <n v="0"/>
    <n v="0"/>
    <n v="0"/>
    <x v="1"/>
    <x v="1"/>
    <n v="0"/>
    <n v="0"/>
    <n v="0"/>
    <n v="0"/>
    <s v="Pas d'écart"/>
    <n v="0"/>
  </r>
  <r>
    <x v="8"/>
    <n v="34"/>
    <x v="10"/>
    <x v="0"/>
    <n v="0"/>
    <n v="58.5"/>
    <n v="0.39"/>
    <n v="-58.5"/>
    <x v="0"/>
    <x v="1"/>
    <n v="0"/>
    <n v="58.5"/>
    <n v="0.39"/>
    <n v="-58.5"/>
    <s v="Ecart négatif"/>
    <n v="0"/>
  </r>
  <r>
    <x v="1"/>
    <n v="77"/>
    <x v="25"/>
    <x v="0"/>
    <n v="0"/>
    <n v="0"/>
    <n v="0"/>
    <n v="0"/>
    <x v="1"/>
    <x v="1"/>
    <n v="0"/>
    <n v="0"/>
    <n v="0"/>
    <n v="0"/>
    <s v="Pas d'écart"/>
    <n v="67.569999999999993"/>
  </r>
  <r>
    <x v="1"/>
    <n v="77"/>
    <x v="4"/>
    <x v="0"/>
    <n v="0"/>
    <n v="0"/>
    <n v="0"/>
    <n v="0"/>
    <x v="1"/>
    <x v="1"/>
    <n v="0"/>
    <n v="0"/>
    <n v="0"/>
    <n v="0"/>
    <s v="Pas d'écart"/>
    <n v="45.14"/>
  </r>
  <r>
    <x v="1"/>
    <n v="77"/>
    <x v="19"/>
    <x v="0"/>
    <n v="0"/>
    <n v="0"/>
    <n v="0"/>
    <n v="0"/>
    <x v="1"/>
    <x v="1"/>
    <n v="0"/>
    <n v="0"/>
    <n v="0"/>
    <n v="0"/>
    <s v="Pas d'écart"/>
    <n v="62.01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2"/>
    <n v="2"/>
    <x v="3"/>
    <x v="0"/>
    <n v="0"/>
    <n v="0"/>
    <n v="0"/>
    <n v="0"/>
    <x v="1"/>
    <x v="1"/>
    <n v="0"/>
    <n v="0"/>
    <n v="0"/>
    <n v="0"/>
    <s v="Pas d'écart"/>
    <n v="0"/>
  </r>
  <r>
    <x v="2"/>
    <n v="13"/>
    <x v="8"/>
    <x v="0"/>
    <n v="0"/>
    <n v="13.3"/>
    <n v="0.19"/>
    <n v="-13.3"/>
    <x v="0"/>
    <x v="123"/>
    <n v="0.19"/>
    <n v="13.3"/>
    <n v="0.19"/>
    <n v="0"/>
    <s v="Pas d'écart"/>
    <n v="0"/>
  </r>
  <r>
    <x v="2"/>
    <n v="57"/>
    <x v="18"/>
    <x v="0"/>
    <n v="0"/>
    <n v="22.5"/>
    <n v="0.25"/>
    <n v="-22.5"/>
    <x v="0"/>
    <x v="343"/>
    <n v="0.23055555555555557"/>
    <n v="22.5"/>
    <n v="0.25"/>
    <n v="-1.75"/>
    <s v="Ecart négatif"/>
    <n v="0"/>
  </r>
  <r>
    <x v="4"/>
    <n v="83"/>
    <x v="10"/>
    <x v="830"/>
    <n v="0.28333333333333333"/>
    <n v="45"/>
    <n v="0.3"/>
    <n v="-2.5"/>
    <x v="0"/>
    <x v="1"/>
    <n v="0"/>
    <n v="45"/>
    <n v="0.3"/>
    <n v="-45"/>
    <s v="Ecart négatif"/>
    <n v="0"/>
  </r>
  <r>
    <x v="3"/>
    <n v="83"/>
    <x v="10"/>
    <x v="830"/>
    <n v="0.28333333333333333"/>
    <n v="45"/>
    <n v="0.3"/>
    <n v="-2.5"/>
    <x v="0"/>
    <x v="1"/>
    <n v="0"/>
    <n v="45"/>
    <n v="0.3"/>
    <n v="-45"/>
    <s v="Ecart négatif"/>
    <n v="14.789999999999992"/>
  </r>
  <r>
    <x v="4"/>
    <n v="13"/>
    <x v="19"/>
    <x v="831"/>
    <n v="0.28357894736842104"/>
    <n v="55.099999999999994"/>
    <n v="0.28999999999999998"/>
    <n v="-1.2199999999999918"/>
    <x v="0"/>
    <x v="1"/>
    <n v="0"/>
    <n v="55.099999999999994"/>
    <n v="0.28999999999999998"/>
    <n v="-55.099999999999994"/>
    <s v="Ecart négatif"/>
    <n v="0"/>
  </r>
  <r>
    <x v="4"/>
    <n v="67"/>
    <x v="2"/>
    <x v="832"/>
    <n v="0.28378571428571425"/>
    <n v="40.599999999999994"/>
    <n v="0.28999999999999998"/>
    <n v="-0.86999999999999744"/>
    <x v="0"/>
    <x v="1"/>
    <n v="0"/>
    <n v="40.599999999999994"/>
    <n v="0.28999999999999998"/>
    <n v="-40.599999999999994"/>
    <s v="Ecart négatif"/>
    <n v="0"/>
  </r>
  <r>
    <x v="4"/>
    <n v="57"/>
    <x v="2"/>
    <x v="832"/>
    <n v="0.28378571428571425"/>
    <n v="33.6"/>
    <n v="0.24000000000000002"/>
    <n v="6.1299999999999955"/>
    <x v="2"/>
    <x v="1"/>
    <n v="0"/>
    <n v="33.6"/>
    <n v="0.24000000000000002"/>
    <n v="-33.6"/>
    <s v="Ecart négatif"/>
    <n v="0"/>
  </r>
  <r>
    <x v="4"/>
    <n v="68"/>
    <x v="2"/>
    <x v="832"/>
    <n v="0.28378571428571425"/>
    <n v="40.599999999999994"/>
    <n v="0.28999999999999998"/>
    <n v="-0.86999999999999744"/>
    <x v="0"/>
    <x v="1"/>
    <n v="0"/>
    <n v="40.599999999999994"/>
    <n v="0.28999999999999998"/>
    <n v="-40.599999999999994"/>
    <s v="Ecart négatif"/>
    <n v="0"/>
  </r>
  <r>
    <x v="4"/>
    <n v="63"/>
    <x v="10"/>
    <x v="833"/>
    <n v="0.28393333333333337"/>
    <n v="43.5"/>
    <n v="0.28999999999999998"/>
    <n v="-0.90999999999999659"/>
    <x v="0"/>
    <x v="1"/>
    <n v="0"/>
    <n v="43.5"/>
    <n v="0.28999999999999998"/>
    <n v="-43.5"/>
    <s v="Ecart négatif"/>
    <n v="0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4"/>
    <n v="13"/>
    <x v="6"/>
    <x v="835"/>
    <n v="0.28399999999999997"/>
    <n v="46.4"/>
    <n v="0.28999999999999998"/>
    <n v="-0.96000000000000085"/>
    <x v="0"/>
    <x v="1"/>
    <n v="0"/>
    <n v="46.4"/>
    <n v="0.28999999999999998"/>
    <n v="-46.4"/>
    <s v="Ecart négatif"/>
    <n v="0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3"/>
    <n v="69"/>
    <x v="16"/>
    <x v="572"/>
    <n v="0.27"/>
    <n v="54"/>
    <n v="0.27"/>
    <n v="0"/>
    <x v="1"/>
    <x v="1"/>
    <n v="0"/>
    <n v="54"/>
    <n v="0.27"/>
    <n v="-54"/>
    <s v="Ecart négatif"/>
    <n v="21.53"/>
  </r>
  <r>
    <x v="0"/>
    <n v="14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7.02000000000001"/>
  </r>
  <r>
    <x v="0"/>
    <n v="37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8.9500000000000028"/>
  </r>
  <r>
    <x v="7"/>
    <n v="44"/>
    <x v="0"/>
    <x v="0"/>
    <n v="0"/>
    <n v="48.6"/>
    <n v="0.27"/>
    <n v="-48.6"/>
    <x v="0"/>
    <x v="1"/>
    <n v="0"/>
    <n v="48.6"/>
    <n v="0.27"/>
    <n v="-48.6"/>
    <s v="Ecart négatif"/>
    <n v="18.41999999999998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1"/>
    <n v="77"/>
    <x v="64"/>
    <x v="0"/>
    <n v="0"/>
    <n v="0"/>
    <n v="0"/>
    <n v="0"/>
    <x v="1"/>
    <x v="1"/>
    <n v="0"/>
    <n v="0"/>
    <n v="0"/>
    <n v="0"/>
    <s v="Pas d'écart"/>
    <n v="146.69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13"/>
    <x v="4"/>
    <x v="834"/>
    <n v="0.28399999999999997"/>
    <n v="31.9"/>
    <n v="0.28999999999999998"/>
    <n v="-0.66000000000000014"/>
    <x v="0"/>
    <x v="1"/>
    <n v="0"/>
    <n v="31.9"/>
    <n v="0.28999999999999998"/>
    <n v="-31.9"/>
    <s v="Ecart négatif"/>
    <n v="11.269999999999996"/>
  </r>
  <r>
    <x v="4"/>
    <n v="94"/>
    <x v="3"/>
    <x v="0"/>
    <n v="0"/>
    <n v="0"/>
    <n v="0"/>
    <n v="0"/>
    <x v="1"/>
    <x v="1"/>
    <n v="0"/>
    <n v="0"/>
    <n v="0"/>
    <n v="0"/>
    <s v="Pas d'écart"/>
    <n v="0"/>
  </r>
  <r>
    <x v="3"/>
    <n v="6"/>
    <x v="10"/>
    <x v="836"/>
    <n v="0.28400000000000003"/>
    <n v="45"/>
    <n v="0.3"/>
    <n v="-2.3999999999999986"/>
    <x v="0"/>
    <x v="1"/>
    <n v="0"/>
    <n v="45"/>
    <n v="0.3"/>
    <n v="-45"/>
    <s v="Ecart négatif"/>
    <n v="15.900000000000006"/>
  </r>
  <r>
    <x v="3"/>
    <n v="6"/>
    <x v="10"/>
    <x v="836"/>
    <n v="0.28400000000000003"/>
    <n v="45"/>
    <n v="0.3"/>
    <n v="-2.3999999999999986"/>
    <x v="0"/>
    <x v="1"/>
    <n v="0"/>
    <n v="45"/>
    <n v="0.3"/>
    <n v="-45"/>
    <s v="Ecart négatif"/>
    <n v="15.900000000000006"/>
  </r>
  <r>
    <x v="2"/>
    <n v="76"/>
    <x v="4"/>
    <x v="0"/>
    <n v="0"/>
    <n v="18.700000000000003"/>
    <n v="0.17"/>
    <n v="-18.700000000000003"/>
    <x v="0"/>
    <x v="344"/>
    <n v="0.16227272727272729"/>
    <n v="18.700000000000003"/>
    <n v="0.17"/>
    <n v="-0.85000000000000142"/>
    <s v="Ecart négatif"/>
    <n v="0"/>
  </r>
  <r>
    <x v="0"/>
    <n v="38"/>
    <x v="0"/>
    <x v="0"/>
    <n v="0"/>
    <n v="0"/>
    <n v="0"/>
    <n v="0"/>
    <x v="1"/>
    <x v="1"/>
    <n v="0"/>
    <n v="0"/>
    <n v="0"/>
    <n v="0"/>
    <s v="Pas d'écart"/>
    <n v="21.47"/>
  </r>
  <r>
    <x v="3"/>
    <n v="88"/>
    <x v="2"/>
    <x v="837"/>
    <n v="0.28428571428571425"/>
    <n v="39.200000000000003"/>
    <n v="0.28000000000000003"/>
    <n v="0.59999999999999432"/>
    <x v="2"/>
    <x v="1"/>
    <n v="0"/>
    <n v="39.200000000000003"/>
    <n v="0.28000000000000003"/>
    <n v="-39.200000000000003"/>
    <s v="Ecart négatif"/>
    <n v="14.68"/>
  </r>
  <r>
    <x v="4"/>
    <n v="68"/>
    <x v="19"/>
    <x v="838"/>
    <n v="0.28447368421052632"/>
    <n v="55.099999999999994"/>
    <n v="0.28999999999999998"/>
    <n v="-1.0499999999999972"/>
    <x v="0"/>
    <x v="1"/>
    <n v="0"/>
    <n v="55.099999999999994"/>
    <n v="0.28999999999999998"/>
    <n v="-55.099999999999994"/>
    <s v="Ecart négatif"/>
    <n v="0"/>
  </r>
  <r>
    <x v="3"/>
    <n v="67"/>
    <x v="14"/>
    <x v="675"/>
    <n v="0.28453846153846157"/>
    <n v="37.699999999999996"/>
    <n v="0.28999999999999998"/>
    <n v="-0.70999999999999375"/>
    <x v="0"/>
    <x v="1"/>
    <n v="0"/>
    <n v="37.699999999999996"/>
    <n v="0.28999999999999998"/>
    <n v="-37.699999999999996"/>
    <s v="Ecart négatif"/>
    <n v="12.519999999999996"/>
  </r>
  <r>
    <x v="3"/>
    <n v="67"/>
    <x v="14"/>
    <x v="675"/>
    <n v="0.28453846153846157"/>
    <n v="37.699999999999996"/>
    <n v="0.28999999999999998"/>
    <n v="-0.70999999999999375"/>
    <x v="0"/>
    <x v="1"/>
    <n v="0"/>
    <n v="37.699999999999996"/>
    <n v="0.28999999999999998"/>
    <n v="-37.699999999999996"/>
    <s v="Ecart négatif"/>
    <n v="12.519999999999996"/>
  </r>
  <r>
    <x v="3"/>
    <n v="67"/>
    <x v="14"/>
    <x v="675"/>
    <n v="0.28453846153846157"/>
    <n v="37.699999999999996"/>
    <n v="0.28999999999999998"/>
    <n v="-0.70999999999999375"/>
    <x v="0"/>
    <x v="1"/>
    <n v="0"/>
    <n v="37.699999999999996"/>
    <n v="0.28999999999999998"/>
    <n v="-37.699999999999996"/>
    <s v="Ecart négatif"/>
    <n v="12.519999999999996"/>
  </r>
  <r>
    <x v="3"/>
    <n v="67"/>
    <x v="14"/>
    <x v="675"/>
    <n v="0.28453846153846157"/>
    <n v="37.699999999999996"/>
    <n v="0.28999999999999998"/>
    <n v="-0.70999999999999375"/>
    <x v="0"/>
    <x v="1"/>
    <n v="0"/>
    <n v="37.699999999999996"/>
    <n v="0.28999999999999998"/>
    <n v="-37.699999999999996"/>
    <s v="Ecart négatif"/>
    <n v="12.519999999999996"/>
  </r>
  <r>
    <x v="3"/>
    <n v="87"/>
    <x v="2"/>
    <x v="839"/>
    <n v="0.28464285714285714"/>
    <n v="39.200000000000003"/>
    <n v="0.28000000000000003"/>
    <n v="0.64999999999999858"/>
    <x v="2"/>
    <x v="1"/>
    <n v="0"/>
    <n v="39.200000000000003"/>
    <n v="0.28000000000000003"/>
    <n v="-39.200000000000003"/>
    <s v="Ecart négatif"/>
    <n v="15.759999999999998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4"/>
    <n v="67"/>
    <x v="16"/>
    <x v="840"/>
    <n v="0.2848"/>
    <n v="57.999999999999993"/>
    <n v="0.28999999999999998"/>
    <n v="-1.039999999999992"/>
    <x v="0"/>
    <x v="1"/>
    <n v="0"/>
    <n v="57.999999999999993"/>
    <n v="0.28999999999999998"/>
    <n v="-57.999999999999993"/>
    <s v="Ecart négatif"/>
    <n v="0"/>
  </r>
  <r>
    <x v="4"/>
    <n v="84"/>
    <x v="15"/>
    <x v="841"/>
    <n v="0.28500000000000003"/>
    <n v="5.8"/>
    <n v="0.28999999999999998"/>
    <n v="-9.9999999999999645E-2"/>
    <x v="0"/>
    <x v="1"/>
    <n v="0"/>
    <n v="5.8"/>
    <n v="0.28999999999999998"/>
    <n v="-5.8"/>
    <s v="Ecart négatif"/>
    <n v="0"/>
  </r>
  <r>
    <x v="4"/>
    <n v="63"/>
    <x v="19"/>
    <x v="842"/>
    <n v="0.28526315789473683"/>
    <n v="55.099999999999994"/>
    <n v="0.28999999999999998"/>
    <n v="-0.89999999999999147"/>
    <x v="0"/>
    <x v="1"/>
    <n v="0"/>
    <n v="55.099999999999994"/>
    <n v="0.28999999999999998"/>
    <n v="-55.099999999999994"/>
    <s v="Ecart négatif"/>
    <n v="0"/>
  </r>
  <r>
    <x v="4"/>
    <n v="13"/>
    <x v="2"/>
    <x v="843"/>
    <n v="0.28528571428571425"/>
    <n v="40.599999999999994"/>
    <n v="0.28999999999999998"/>
    <n v="-0.65999999999999659"/>
    <x v="0"/>
    <x v="1"/>
    <n v="0"/>
    <n v="40.599999999999994"/>
    <n v="0.28999999999999998"/>
    <n v="-40.599999999999994"/>
    <s v="Ecart négatif"/>
    <n v="0"/>
  </r>
  <r>
    <x v="4"/>
    <n v="67"/>
    <x v="10"/>
    <x v="715"/>
    <n v="0.28546666666666665"/>
    <n v="43.5"/>
    <n v="0.28999999999999998"/>
    <n v="-0.67999999999999972"/>
    <x v="0"/>
    <x v="1"/>
    <n v="0"/>
    <n v="43.5"/>
    <n v="0.28999999999999998"/>
    <n v="-43.5"/>
    <s v="Ecart négatif"/>
    <n v="0"/>
  </r>
  <r>
    <x v="0"/>
    <n v="45"/>
    <x v="2"/>
    <x v="0"/>
    <n v="0"/>
    <n v="16.8"/>
    <n v="0.12000000000000001"/>
    <n v="-16.8"/>
    <x v="0"/>
    <x v="1"/>
    <n v="0"/>
    <n v="16.8"/>
    <n v="0.12000000000000001"/>
    <n v="-16.8"/>
    <s v="Ecart négatif"/>
    <n v="14.68"/>
  </r>
  <r>
    <x v="3"/>
    <n v="13"/>
    <x v="19"/>
    <x v="844"/>
    <n v="0.28547368421052632"/>
    <n v="55.099999999999994"/>
    <n v="0.28999999999999998"/>
    <n v="-0.85999999999999233"/>
    <x v="0"/>
    <x v="1"/>
    <n v="0"/>
    <n v="55.099999999999994"/>
    <n v="0.28999999999999998"/>
    <n v="-55.099999999999994"/>
    <s v="Ecart négatif"/>
    <n v="19.97999999999999"/>
  </r>
  <r>
    <x v="4"/>
    <n v="83"/>
    <x v="10"/>
    <x v="845"/>
    <n v="0.28553333333333331"/>
    <n v="45"/>
    <n v="0.3"/>
    <n v="-2.1700000000000017"/>
    <x v="0"/>
    <x v="1"/>
    <n v="0"/>
    <n v="45"/>
    <n v="0.3"/>
    <n v="-45"/>
    <s v="Ecart négatif"/>
    <n v="0"/>
  </r>
  <r>
    <x v="8"/>
    <n v="63"/>
    <x v="6"/>
    <x v="0"/>
    <n v="0"/>
    <n v="46.4"/>
    <n v="0.28999999999999998"/>
    <n v="-46.4"/>
    <x v="0"/>
    <x v="1"/>
    <n v="0"/>
    <n v="46.4"/>
    <n v="0.28999999999999998"/>
    <n v="-46.4"/>
    <s v="Ecart négatif"/>
    <n v="0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13"/>
    <x v="89"/>
    <x v="846"/>
    <n v="0.28564999999999996"/>
    <n v="174"/>
    <n v="0.28999999999999998"/>
    <n v="-2.6100000000000136"/>
    <x v="0"/>
    <x v="1"/>
    <n v="0"/>
    <n v="174"/>
    <n v="0.28999999999999998"/>
    <n v="-174"/>
    <s v="Ecart négatif"/>
    <e v="#N/A"/>
  </r>
  <r>
    <x v="3"/>
    <n v="61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9.5499999999999972"/>
  </r>
  <r>
    <x v="3"/>
    <n v="6"/>
    <x v="19"/>
    <x v="847"/>
    <n v="0.28578947368421054"/>
    <n v="57"/>
    <n v="0.3"/>
    <n v="-2.7000000000000028"/>
    <x v="0"/>
    <x v="1"/>
    <n v="0"/>
    <n v="57"/>
    <n v="0.3"/>
    <n v="-57"/>
    <s v="Ecart négatif"/>
    <n v="25.64"/>
  </r>
  <r>
    <x v="3"/>
    <n v="6"/>
    <x v="19"/>
    <x v="847"/>
    <n v="0.28578947368421054"/>
    <n v="57"/>
    <n v="0.3"/>
    <n v="-2.7000000000000028"/>
    <x v="0"/>
    <x v="1"/>
    <n v="0"/>
    <n v="57"/>
    <n v="0.3"/>
    <n v="-57"/>
    <s v="Ecart négatif"/>
    <n v="25.64"/>
  </r>
  <r>
    <x v="4"/>
    <n v="98"/>
    <x v="1"/>
    <x v="848"/>
    <n v="0.28591666666666671"/>
    <n v="32.400000000000006"/>
    <n v="0.27000000000000007"/>
    <n v="1.9099999999999966"/>
    <x v="2"/>
    <x v="1"/>
    <n v="0"/>
    <n v="32.400000000000006"/>
    <n v="0.27000000000000007"/>
    <n v="-32.400000000000006"/>
    <s v="Ecart négatif"/>
    <n v="0"/>
  </r>
  <r>
    <x v="4"/>
    <n v="63"/>
    <x v="2"/>
    <x v="849"/>
    <n v="0.28607142857142853"/>
    <n v="40.599999999999994"/>
    <n v="0.28999999999999998"/>
    <n v="-0.54999999999999716"/>
    <x v="0"/>
    <x v="1"/>
    <n v="0"/>
    <n v="40.599999999999994"/>
    <n v="0.28999999999999998"/>
    <n v="-40.599999999999994"/>
    <s v="Ecart négatif"/>
    <n v="0"/>
  </r>
  <r>
    <x v="4"/>
    <n v="63"/>
    <x v="2"/>
    <x v="849"/>
    <n v="0.28607142857142853"/>
    <n v="40.599999999999994"/>
    <n v="0.28999999999999998"/>
    <n v="-0.54999999999999716"/>
    <x v="0"/>
    <x v="1"/>
    <n v="0"/>
    <n v="40.599999999999994"/>
    <n v="0.28999999999999998"/>
    <n v="-40.599999999999994"/>
    <s v="Ecart négatif"/>
    <n v="0"/>
  </r>
  <r>
    <x v="4"/>
    <n v="84"/>
    <x v="2"/>
    <x v="849"/>
    <n v="0.28607142857142853"/>
    <n v="40.599999999999994"/>
    <n v="0.28999999999999998"/>
    <n v="-0.54999999999999716"/>
    <x v="0"/>
    <x v="1"/>
    <n v="0"/>
    <n v="40.599999999999994"/>
    <n v="0.28999999999999998"/>
    <n v="-40.599999999999994"/>
    <s v="Ecart négatif"/>
    <n v="0"/>
  </r>
  <r>
    <x v="4"/>
    <n v="13"/>
    <x v="2"/>
    <x v="849"/>
    <n v="0.28607142857142853"/>
    <n v="40.599999999999994"/>
    <n v="0.28999999999999998"/>
    <n v="-0.54999999999999716"/>
    <x v="0"/>
    <x v="1"/>
    <n v="0"/>
    <n v="40.599999999999994"/>
    <n v="0.28999999999999998"/>
    <n v="-40.599999999999994"/>
    <s v="Ecart négatif"/>
    <n v="0"/>
  </r>
  <r>
    <x v="3"/>
    <n v="15"/>
    <x v="2"/>
    <x v="849"/>
    <n v="0.28607142857142853"/>
    <n v="40.599999999999994"/>
    <n v="0.28999999999999998"/>
    <n v="-0.54999999999999716"/>
    <x v="0"/>
    <x v="1"/>
    <n v="0"/>
    <n v="40.599999999999994"/>
    <n v="0.28999999999999998"/>
    <n v="-40.599999999999994"/>
    <s v="Ecart négatif"/>
    <n v="14.68"/>
  </r>
  <r>
    <x v="4"/>
    <n v="67"/>
    <x v="2"/>
    <x v="849"/>
    <n v="0.28607142857142853"/>
    <n v="40.599999999999994"/>
    <n v="0.28999999999999998"/>
    <n v="-0.54999999999999716"/>
    <x v="0"/>
    <x v="1"/>
    <n v="0"/>
    <n v="40.599999999999994"/>
    <n v="0.28999999999999998"/>
    <n v="-40.599999999999994"/>
    <s v="Ecart négatif"/>
    <n v="0"/>
  </r>
  <r>
    <x v="4"/>
    <n v="83"/>
    <x v="7"/>
    <x v="850"/>
    <n v="0.28633333333333333"/>
    <n v="9"/>
    <n v="0.3"/>
    <n v="-0.41000000000000014"/>
    <x v="0"/>
    <x v="1"/>
    <n v="0"/>
    <n v="9"/>
    <n v="0.3"/>
    <n v="-9"/>
    <s v="Ecart négatif"/>
    <n v="0"/>
  </r>
  <r>
    <x v="2"/>
    <n v="44"/>
    <x v="8"/>
    <x v="0"/>
    <n v="0"/>
    <n v="0"/>
    <n v="0"/>
    <n v="0"/>
    <x v="1"/>
    <x v="1"/>
    <n v="0"/>
    <n v="0"/>
    <n v="0"/>
    <n v="0"/>
    <s v="Pas d'écart"/>
    <n v="0"/>
  </r>
  <r>
    <x v="0"/>
    <n v="37"/>
    <x v="6"/>
    <x v="0"/>
    <n v="0"/>
    <n v="19.2"/>
    <n v="0.12"/>
    <n v="-19.2"/>
    <x v="0"/>
    <x v="1"/>
    <n v="0"/>
    <n v="19.2"/>
    <n v="0.12"/>
    <n v="-19.2"/>
    <s v="Ecart négatif"/>
    <n v="15.310000000000002"/>
  </r>
  <r>
    <x v="3"/>
    <n v="13"/>
    <x v="16"/>
    <x v="851"/>
    <n v="0.28644999999999998"/>
    <n v="57.999999999999993"/>
    <n v="0.28999999999999998"/>
    <n v="-0.70999999999999375"/>
    <x v="0"/>
    <x v="1"/>
    <n v="0"/>
    <n v="57.999999999999993"/>
    <n v="0.28999999999999998"/>
    <n v="-57.999999999999993"/>
    <s v="Ecart négatif"/>
    <n v="21.53"/>
  </r>
  <r>
    <x v="4"/>
    <n v="88"/>
    <x v="81"/>
    <x v="852"/>
    <n v="0.28652631578947368"/>
    <n v="159.60000000000002"/>
    <n v="0.28000000000000003"/>
    <n v="3.7199999999999704"/>
    <x v="2"/>
    <x v="1"/>
    <n v="0"/>
    <n v="159.60000000000002"/>
    <n v="0.28000000000000003"/>
    <n v="-159.60000000000002"/>
    <s v="Ecart négatif"/>
    <e v="#N/A"/>
  </r>
  <r>
    <x v="3"/>
    <n v="13"/>
    <x v="15"/>
    <x v="853"/>
    <n v="0.28700000000000003"/>
    <n v="5.8"/>
    <n v="0.28999999999999998"/>
    <n v="-5.9999999999999609E-2"/>
    <x v="0"/>
    <x v="1"/>
    <n v="0"/>
    <n v="5.8"/>
    <n v="0.28999999999999998"/>
    <n v="-5.8"/>
    <s v="Ecart négatif"/>
    <n v="3.7800000000000011"/>
  </r>
  <r>
    <x v="3"/>
    <n v="13"/>
    <x v="15"/>
    <x v="853"/>
    <n v="0.28700000000000003"/>
    <n v="5.8"/>
    <n v="0.28999999999999998"/>
    <n v="-5.9999999999999609E-2"/>
    <x v="0"/>
    <x v="1"/>
    <n v="0"/>
    <n v="5.8"/>
    <n v="0.28999999999999998"/>
    <n v="-5.8"/>
    <s v="Ecart négatif"/>
    <n v="3.7800000000000011"/>
  </r>
  <r>
    <x v="3"/>
    <n v="67"/>
    <x v="15"/>
    <x v="853"/>
    <n v="0.28700000000000003"/>
    <n v="5.8"/>
    <n v="0.28999999999999998"/>
    <n v="-5.9999999999999609E-2"/>
    <x v="0"/>
    <x v="1"/>
    <n v="0"/>
    <n v="5.8"/>
    <n v="0.28999999999999998"/>
    <n v="-5.8"/>
    <s v="Ecart négatif"/>
    <n v="3.3900000000000006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0"/>
    <n v="14"/>
    <x v="28"/>
    <x v="0"/>
    <n v="0"/>
    <n v="40.800000000000004"/>
    <n v="0.17"/>
    <n v="-40.800000000000004"/>
    <x v="0"/>
    <x v="1"/>
    <n v="0"/>
    <n v="40.800000000000004"/>
    <n v="0.17"/>
    <n v="-40.800000000000004"/>
    <s v="Ecart négatif"/>
    <n v="30.39"/>
  </r>
  <r>
    <x v="3"/>
    <n v="67"/>
    <x v="15"/>
    <x v="853"/>
    <n v="0.28700000000000003"/>
    <n v="5.8"/>
    <n v="0.28999999999999998"/>
    <n v="-5.9999999999999609E-2"/>
    <x v="0"/>
    <x v="1"/>
    <n v="0"/>
    <n v="5.8"/>
    <n v="0.28999999999999998"/>
    <n v="-5.8"/>
    <s v="Ecart négatif"/>
    <n v="3.3900000000000006"/>
  </r>
  <r>
    <x v="4"/>
    <n v="67"/>
    <x v="15"/>
    <x v="853"/>
    <n v="0.28700000000000003"/>
    <n v="5.8"/>
    <n v="0.28999999999999998"/>
    <n v="-5.9999999999999609E-2"/>
    <x v="0"/>
    <x v="1"/>
    <n v="0"/>
    <n v="5.8"/>
    <n v="0.28999999999999998"/>
    <n v="-5.8"/>
    <s v="Ecart négatif"/>
    <n v="0"/>
  </r>
  <r>
    <x v="4"/>
    <n v="67"/>
    <x v="16"/>
    <x v="854"/>
    <n v="0.28715000000000002"/>
    <n v="57.999999999999993"/>
    <n v="0.28999999999999998"/>
    <n v="-0.56999999999999318"/>
    <x v="0"/>
    <x v="1"/>
    <n v="0"/>
    <n v="57.999999999999993"/>
    <n v="0.28999999999999998"/>
    <n v="-57.999999999999993"/>
    <s v="Ecart négatif"/>
    <n v="0"/>
  </r>
  <r>
    <x v="3"/>
    <n v="67"/>
    <x v="8"/>
    <x v="855"/>
    <n v="0.28728571428571426"/>
    <n v="20.299999999999997"/>
    <n v="0.28999999999999998"/>
    <n v="-0.18999999999999773"/>
    <x v="0"/>
    <x v="1"/>
    <n v="0"/>
    <n v="20.299999999999997"/>
    <n v="0.28999999999999998"/>
    <n v="-20.299999999999997"/>
    <s v="Ecart négatif"/>
    <n v="8.9500000000000028"/>
  </r>
  <r>
    <x v="1"/>
    <n v="77"/>
    <x v="43"/>
    <x v="0"/>
    <n v="0"/>
    <n v="0"/>
    <n v="0"/>
    <n v="0"/>
    <x v="1"/>
    <x v="1"/>
    <n v="0"/>
    <n v="0"/>
    <n v="0"/>
    <n v="0"/>
    <s v="Pas d'écart"/>
    <n v="93.46"/>
  </r>
  <r>
    <x v="3"/>
    <n v="45"/>
    <x v="9"/>
    <x v="353"/>
    <n v="0.21000000000000002"/>
    <n v="16.8"/>
    <n v="0.21000000000000002"/>
    <n v="0"/>
    <x v="1"/>
    <x v="1"/>
    <n v="0"/>
    <n v="16.8"/>
    <n v="0.21000000000000002"/>
    <n v="-16.8"/>
    <s v="Ecart négatif"/>
    <n v="14.04"/>
  </r>
  <r>
    <x v="0"/>
    <n v="44"/>
    <x v="20"/>
    <x v="0"/>
    <n v="0"/>
    <n v="0"/>
    <n v="0"/>
    <n v="0"/>
    <x v="1"/>
    <x v="1"/>
    <n v="0"/>
    <n v="0"/>
    <n v="0"/>
    <n v="0"/>
    <s v="Pas d'écart"/>
    <n v="131.1"/>
  </r>
  <r>
    <x v="4"/>
    <n v="67"/>
    <x v="8"/>
    <x v="855"/>
    <n v="0.28728571428571426"/>
    <n v="20.299999999999997"/>
    <n v="0.28999999999999998"/>
    <n v="-0.18999999999999773"/>
    <x v="0"/>
    <x v="1"/>
    <n v="0"/>
    <n v="20.299999999999997"/>
    <n v="0.28999999999999998"/>
    <n v="-20.299999999999997"/>
    <s v="Ecart négatif"/>
    <n v="0"/>
  </r>
  <r>
    <x v="4"/>
    <n v="94"/>
    <x v="11"/>
    <x v="0"/>
    <n v="0"/>
    <n v="0"/>
    <n v="0"/>
    <n v="0"/>
    <x v="1"/>
    <x v="1"/>
    <n v="0"/>
    <n v="0"/>
    <n v="0"/>
    <n v="0"/>
    <s v="Pas d'écart"/>
    <n v="0"/>
  </r>
  <r>
    <x v="4"/>
    <n v="44"/>
    <x v="12"/>
    <x v="95"/>
    <n v="0.27"/>
    <n v="10.8"/>
    <n v="0.27"/>
    <n v="0"/>
    <x v="1"/>
    <x v="1"/>
    <n v="0"/>
    <n v="10.8"/>
    <n v="0.27"/>
    <n v="-10.8"/>
    <s v="Ecart négatif"/>
    <n v="0"/>
  </r>
  <r>
    <x v="4"/>
    <n v="33"/>
    <x v="12"/>
    <x v="435"/>
    <n v="0.21000000000000002"/>
    <n v="8.4"/>
    <n v="0.21000000000000002"/>
    <n v="0"/>
    <x v="1"/>
    <x v="1"/>
    <n v="0"/>
    <n v="8.4"/>
    <n v="0.21000000000000002"/>
    <n v="-8.4"/>
    <s v="Ecart négatif"/>
    <n v="0"/>
  </r>
  <r>
    <x v="4"/>
    <n v="13"/>
    <x v="4"/>
    <x v="856"/>
    <n v="0.28754545454545455"/>
    <n v="31.9"/>
    <n v="0.28999999999999998"/>
    <n v="-0.26999999999999957"/>
    <x v="0"/>
    <x v="1"/>
    <n v="0"/>
    <n v="31.9"/>
    <n v="0.28999999999999998"/>
    <n v="-31.9"/>
    <s v="Ecart négatif"/>
    <n v="0"/>
  </r>
  <r>
    <x v="3"/>
    <n v="19"/>
    <x v="2"/>
    <x v="857"/>
    <n v="0.28757142857142853"/>
    <n v="40.599999999999994"/>
    <n v="0.28999999999999998"/>
    <n v="-0.33999999999999631"/>
    <x v="0"/>
    <x v="1"/>
    <n v="0"/>
    <n v="40.599999999999994"/>
    <n v="0.28999999999999998"/>
    <n v="-40.599999999999994"/>
    <s v="Ecart négatif"/>
    <n v="15.759999999999998"/>
  </r>
  <r>
    <x v="4"/>
    <n v="84"/>
    <x v="82"/>
    <x v="858"/>
    <n v="0.28762162162162164"/>
    <n v="107.3"/>
    <n v="0.28999999999999998"/>
    <n v="-0.87999999999999545"/>
    <x v="0"/>
    <x v="1"/>
    <n v="0"/>
    <n v="107.3"/>
    <n v="0.28999999999999998"/>
    <n v="-107.3"/>
    <s v="Ecart négatif"/>
    <n v="0"/>
  </r>
  <r>
    <x v="2"/>
    <n v="66"/>
    <x v="6"/>
    <x v="0"/>
    <n v="0"/>
    <n v="44.800000000000004"/>
    <n v="0.28000000000000003"/>
    <n v="-44.800000000000004"/>
    <x v="0"/>
    <x v="43"/>
    <n v="0.26424999999999998"/>
    <n v="44.800000000000004"/>
    <n v="0.28000000000000003"/>
    <n v="-2.5200000000000031"/>
    <s v="Ecart négatif"/>
    <n v="0"/>
  </r>
  <r>
    <x v="0"/>
    <n v="59"/>
    <x v="2"/>
    <x v="0"/>
    <n v="0"/>
    <n v="0"/>
    <n v="0"/>
    <n v="0"/>
    <x v="1"/>
    <x v="1"/>
    <n v="0"/>
    <n v="0"/>
    <n v="0"/>
    <n v="0"/>
    <s v="Pas d'écart"/>
    <n v="13.140000000000008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4"/>
    <n v="63"/>
    <x v="2"/>
    <x v="279"/>
    <n v="0.28764285714285714"/>
    <n v="40.599999999999994"/>
    <n v="0.28999999999999998"/>
    <n v="-0.32999999999999119"/>
    <x v="0"/>
    <x v="1"/>
    <n v="0"/>
    <n v="40.599999999999994"/>
    <n v="0.28999999999999998"/>
    <n v="-40.599999999999994"/>
    <s v="Ecart négatif"/>
    <n v="0"/>
  </r>
  <r>
    <x v="3"/>
    <n v="13"/>
    <x v="54"/>
    <x v="859"/>
    <n v="0.2878148148148148"/>
    <n v="78.3"/>
    <n v="0.28999999999999998"/>
    <n v="-0.59000000000000341"/>
    <x v="0"/>
    <x v="1"/>
    <n v="0"/>
    <n v="78.3"/>
    <n v="0.28999999999999998"/>
    <n v="-78.3"/>
    <s v="Ecart négatif"/>
    <n v="28.099999999999994"/>
  </r>
  <r>
    <x v="3"/>
    <n v="13"/>
    <x v="54"/>
    <x v="859"/>
    <n v="0.2878148148148148"/>
    <n v="78.3"/>
    <n v="0.28999999999999998"/>
    <n v="-0.59000000000000341"/>
    <x v="0"/>
    <x v="1"/>
    <n v="0"/>
    <n v="78.3"/>
    <n v="0.28999999999999998"/>
    <n v="-78.3"/>
    <s v="Ecart négatif"/>
    <n v="28.099999999999994"/>
  </r>
  <r>
    <x v="4"/>
    <n v="6"/>
    <x v="12"/>
    <x v="860"/>
    <n v="0.28799999999999998"/>
    <n v="12"/>
    <n v="0.3"/>
    <n v="-0.48000000000000043"/>
    <x v="0"/>
    <x v="1"/>
    <n v="0"/>
    <n v="12"/>
    <n v="0.3"/>
    <n v="-12"/>
    <s v="Ecart négatif"/>
    <n v="0"/>
  </r>
  <r>
    <x v="3"/>
    <n v="67"/>
    <x v="2"/>
    <x v="861"/>
    <n v="0.28835714285714281"/>
    <n v="40.599999999999994"/>
    <n v="0.28999999999999998"/>
    <n v="-0.22999999999999687"/>
    <x v="0"/>
    <x v="1"/>
    <n v="0"/>
    <n v="40.599999999999994"/>
    <n v="0.28999999999999998"/>
    <n v="-40.599999999999994"/>
    <s v="Ecart négatif"/>
    <n v="13.140000000000008"/>
  </r>
  <r>
    <x v="5"/>
    <n v="59"/>
    <x v="1"/>
    <x v="0"/>
    <n v="0"/>
    <n v="22.8"/>
    <n v="0.19"/>
    <n v="-22.8"/>
    <x v="0"/>
    <x v="23"/>
    <n v="0.28999999999999998"/>
    <n v="22.8"/>
    <n v="0.19"/>
    <n v="11.999999999999996"/>
    <s v="Ecart positif"/>
    <n v="1.6000000000000014"/>
  </r>
  <r>
    <x v="0"/>
    <n v="69"/>
    <x v="6"/>
    <x v="0"/>
    <n v="0"/>
    <n v="0"/>
    <n v="0"/>
    <n v="0"/>
    <x v="1"/>
    <x v="1"/>
    <n v="0"/>
    <n v="0"/>
    <n v="0"/>
    <n v="0"/>
    <s v="Pas d'écart"/>
    <n v="15.310000000000002"/>
  </r>
  <r>
    <x v="4"/>
    <n v="68"/>
    <x v="2"/>
    <x v="861"/>
    <n v="0.28835714285714281"/>
    <n v="40.599999999999994"/>
    <n v="0.28999999999999998"/>
    <n v="-0.22999999999999687"/>
    <x v="0"/>
    <x v="1"/>
    <n v="0"/>
    <n v="40.599999999999994"/>
    <n v="0.28999999999999998"/>
    <n v="-40.599999999999994"/>
    <s v="Ecart négatif"/>
    <n v="0"/>
  </r>
  <r>
    <x v="3"/>
    <n v="68"/>
    <x v="2"/>
    <x v="861"/>
    <n v="0.28835714285714281"/>
    <n v="40.599999999999994"/>
    <n v="0.28999999999999998"/>
    <n v="-0.22999999999999687"/>
    <x v="0"/>
    <x v="1"/>
    <n v="0"/>
    <n v="40.599999999999994"/>
    <n v="0.28999999999999998"/>
    <n v="-40.599999999999994"/>
    <s v="Ecart négatif"/>
    <n v="14.68"/>
  </r>
  <r>
    <x v="3"/>
    <n v="84"/>
    <x v="2"/>
    <x v="861"/>
    <n v="0.28835714285714281"/>
    <n v="40.599999999999994"/>
    <n v="0.28999999999999998"/>
    <n v="-0.22999999999999687"/>
    <x v="0"/>
    <x v="1"/>
    <n v="0"/>
    <n v="40.599999999999994"/>
    <n v="0.28999999999999998"/>
    <n v="-40.599999999999994"/>
    <s v="Ecart négatif"/>
    <n v="14.68"/>
  </r>
  <r>
    <x v="0"/>
    <n v="59"/>
    <x v="3"/>
    <x v="0"/>
    <n v="0"/>
    <n v="0"/>
    <n v="0"/>
    <n v="0"/>
    <x v="1"/>
    <x v="1"/>
    <n v="0"/>
    <n v="0"/>
    <n v="0"/>
    <n v="0"/>
    <s v="Pas d'écart"/>
    <n v="22.47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1"/>
    <n v="77"/>
    <x v="2"/>
    <x v="0"/>
    <n v="0"/>
    <n v="0"/>
    <n v="0"/>
    <n v="0"/>
    <x v="1"/>
    <x v="1"/>
    <n v="0"/>
    <n v="0"/>
    <n v="0"/>
    <n v="0"/>
    <s v="Pas d'écart"/>
    <n v="52.57"/>
  </r>
  <r>
    <x v="4"/>
    <n v="87"/>
    <x v="90"/>
    <x v="862"/>
    <n v="0.28854887218045111"/>
    <n v="372.40000000000003"/>
    <n v="0.28000000000000003"/>
    <n v="11.369999999999948"/>
    <x v="2"/>
    <x v="1"/>
    <n v="0"/>
    <n v="372.40000000000003"/>
    <n v="0.28000000000000003"/>
    <n v="-372.40000000000003"/>
    <s v="Ecart négatif"/>
    <e v="#N/A"/>
  </r>
  <r>
    <x v="3"/>
    <n v="13"/>
    <x v="6"/>
    <x v="863"/>
    <n v="0.28862500000000002"/>
    <n v="46.4"/>
    <n v="0.28999999999999998"/>
    <n v="-0.21999999999999886"/>
    <x v="0"/>
    <x v="1"/>
    <n v="0"/>
    <n v="46.4"/>
    <n v="0.28999999999999998"/>
    <n v="-46.4"/>
    <s v="Ecart négatif"/>
    <n v="15.310000000000002"/>
  </r>
  <r>
    <x v="3"/>
    <n v="67"/>
    <x v="8"/>
    <x v="864"/>
    <n v="0.2887142857142857"/>
    <n v="20.299999999999997"/>
    <n v="0.28999999999999998"/>
    <n v="-8.9999999999996305E-2"/>
    <x v="0"/>
    <x v="1"/>
    <n v="0"/>
    <n v="20.299999999999997"/>
    <n v="0.28999999999999998"/>
    <n v="-20.299999999999997"/>
    <s v="Ecart négatif"/>
    <n v="8.9500000000000028"/>
  </r>
  <r>
    <x v="4"/>
    <n v="67"/>
    <x v="8"/>
    <x v="864"/>
    <n v="0.2887142857142857"/>
    <n v="20.299999999999997"/>
    <n v="0.28999999999999998"/>
    <n v="-8.9999999999996305E-2"/>
    <x v="0"/>
    <x v="1"/>
    <n v="0"/>
    <n v="20.299999999999997"/>
    <n v="0.28999999999999998"/>
    <n v="-20.299999999999997"/>
    <s v="Ecart négatif"/>
    <n v="0"/>
  </r>
  <r>
    <x v="3"/>
    <n v="13"/>
    <x v="23"/>
    <x v="865"/>
    <n v="0.28889763779527555"/>
    <n v="368.29999999999995"/>
    <n v="0.28999999999999998"/>
    <n v="-1.3999999999999773"/>
    <x v="0"/>
    <x v="1"/>
    <n v="0"/>
    <n v="368.29999999999995"/>
    <n v="0.28999999999999998"/>
    <n v="-368.29999999999995"/>
    <s v="Ecart négatif"/>
    <e v="#N/A"/>
  </r>
  <r>
    <x v="2"/>
    <n v="74"/>
    <x v="43"/>
    <x v="0"/>
    <n v="0"/>
    <n v="0"/>
    <n v="0"/>
    <n v="0"/>
    <x v="1"/>
    <x v="1"/>
    <n v="0"/>
    <n v="0"/>
    <n v="0"/>
    <n v="0"/>
    <s v="Pas d'écart"/>
    <n v="0"/>
  </r>
  <r>
    <x v="0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4"/>
    <n v="92"/>
    <x v="91"/>
    <x v="0"/>
    <n v="0"/>
    <n v="0"/>
    <n v="0"/>
    <n v="0"/>
    <x v="1"/>
    <x v="1"/>
    <n v="0"/>
    <n v="0"/>
    <n v="0"/>
    <n v="0"/>
    <s v="Pas d'écart"/>
    <e v="#N/A"/>
  </r>
  <r>
    <x v="4"/>
    <n v="19"/>
    <x v="14"/>
    <x v="726"/>
    <n v="0.28907692307692306"/>
    <n v="37.699999999999996"/>
    <n v="0.28999999999999998"/>
    <n v="-0.11999999999999744"/>
    <x v="0"/>
    <x v="1"/>
    <n v="0"/>
    <n v="37.699999999999996"/>
    <n v="0.28999999999999998"/>
    <n v="-37.699999999999996"/>
    <s v="Ecart négatif"/>
    <n v="0"/>
  </r>
  <r>
    <x v="4"/>
    <n v="19"/>
    <x v="14"/>
    <x v="726"/>
    <n v="0.28907692307692306"/>
    <n v="37.699999999999996"/>
    <n v="0.28999999999999998"/>
    <n v="-0.11999999999999744"/>
    <x v="0"/>
    <x v="1"/>
    <n v="0"/>
    <n v="37.699999999999996"/>
    <n v="0.28999999999999998"/>
    <n v="-37.699999999999996"/>
    <s v="Ecart négatif"/>
    <n v="0"/>
  </r>
  <r>
    <x v="4"/>
    <n v="19"/>
    <x v="14"/>
    <x v="726"/>
    <n v="0.28907692307692306"/>
    <n v="37.699999999999996"/>
    <n v="0.28999999999999998"/>
    <n v="-0.11999999999999744"/>
    <x v="0"/>
    <x v="1"/>
    <n v="0"/>
    <n v="37.699999999999996"/>
    <n v="0.28999999999999998"/>
    <n v="-37.699999999999996"/>
    <s v="Ecart négatif"/>
    <n v="0"/>
  </r>
  <r>
    <x v="4"/>
    <n v="19"/>
    <x v="14"/>
    <x v="726"/>
    <n v="0.28907692307692306"/>
    <n v="37.699999999999996"/>
    <n v="0.28999999999999998"/>
    <n v="-0.11999999999999744"/>
    <x v="0"/>
    <x v="1"/>
    <n v="0"/>
    <n v="37.699999999999996"/>
    <n v="0.28999999999999998"/>
    <n v="-37.699999999999996"/>
    <s v="Ecart négatif"/>
    <n v="0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13"/>
    <x v="10"/>
    <x v="866"/>
    <n v="0.28926666666666667"/>
    <n v="43.5"/>
    <n v="0.28999999999999998"/>
    <n v="-0.10999999999999943"/>
    <x v="0"/>
    <x v="1"/>
    <n v="0"/>
    <n v="43.5"/>
    <n v="0.28999999999999998"/>
    <n v="-43.5"/>
    <s v="Ecart négatif"/>
    <n v="0"/>
  </r>
  <r>
    <x v="3"/>
    <n v="92"/>
    <x v="6"/>
    <x v="0"/>
    <n v="0"/>
    <n v="0"/>
    <n v="0"/>
    <n v="0"/>
    <x v="1"/>
    <x v="1"/>
    <n v="0"/>
    <n v="0"/>
    <n v="0"/>
    <n v="0"/>
    <s v="Pas d'écart"/>
    <n v="11.36"/>
  </r>
  <r>
    <x v="4"/>
    <n v="94"/>
    <x v="7"/>
    <x v="0"/>
    <n v="0"/>
    <n v="0"/>
    <n v="0"/>
    <n v="0"/>
    <x v="1"/>
    <x v="1"/>
    <n v="0"/>
    <n v="0"/>
    <n v="0"/>
    <n v="0"/>
    <s v="Pas d'écart"/>
    <n v="0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3"/>
    <n v="67"/>
    <x v="10"/>
    <x v="866"/>
    <n v="0.28926666666666667"/>
    <n v="43.5"/>
    <n v="0.28999999999999998"/>
    <n v="-0.10999999999999943"/>
    <x v="0"/>
    <x v="1"/>
    <n v="0"/>
    <n v="43.5"/>
    <n v="0.28999999999999998"/>
    <n v="-43.5"/>
    <s v="Ecart négatif"/>
    <n v="13.759999999999998"/>
  </r>
  <r>
    <x v="4"/>
    <n v="91"/>
    <x v="2"/>
    <x v="0"/>
    <n v="0"/>
    <n v="0"/>
    <n v="0"/>
    <n v="0"/>
    <x v="1"/>
    <x v="1"/>
    <n v="0"/>
    <n v="0"/>
    <n v="0"/>
    <n v="0"/>
    <s v="Pas d'écart"/>
    <n v="0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0"/>
    <n v="80"/>
    <x v="16"/>
    <x v="0"/>
    <n v="0"/>
    <n v="0"/>
    <n v="0"/>
    <n v="0"/>
    <x v="1"/>
    <x v="345"/>
    <n v="0.18335000000000001"/>
    <n v="0"/>
    <n v="0"/>
    <n v="36.67"/>
    <s v="Ecart positif"/>
    <n v="25.920000000000016"/>
  </r>
  <r>
    <x v="0"/>
    <n v="76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6.8599999999999994"/>
  </r>
  <r>
    <x v="4"/>
    <n v="6"/>
    <x v="12"/>
    <x v="25"/>
    <n v="0.3"/>
    <n v="12"/>
    <n v="0.3"/>
    <n v="0"/>
    <x v="1"/>
    <x v="1"/>
    <n v="0"/>
    <n v="12"/>
    <n v="0.3"/>
    <n v="-12"/>
    <s v="Ecart négatif"/>
    <n v="0"/>
  </r>
  <r>
    <x v="2"/>
    <n v="30"/>
    <x v="9"/>
    <x v="0"/>
    <n v="0"/>
    <n v="22.400000000000002"/>
    <n v="0.28000000000000003"/>
    <n v="-22.400000000000002"/>
    <x v="0"/>
    <x v="1"/>
    <n v="0"/>
    <n v="22.400000000000002"/>
    <n v="0.28000000000000003"/>
    <n v="-22.400000000000002"/>
    <s v="Ecart négatif"/>
    <n v="70.19"/>
  </r>
  <r>
    <x v="4"/>
    <n v="84"/>
    <x v="10"/>
    <x v="866"/>
    <n v="0.28926666666666667"/>
    <n v="43.5"/>
    <n v="0.28999999999999998"/>
    <n v="-0.10999999999999943"/>
    <x v="0"/>
    <x v="1"/>
    <n v="0"/>
    <n v="43.5"/>
    <n v="0.28999999999999998"/>
    <n v="-43.5"/>
    <s v="Ecart négatif"/>
    <n v="0"/>
  </r>
  <r>
    <x v="2"/>
    <n v="1"/>
    <x v="54"/>
    <x v="0"/>
    <n v="0"/>
    <n v="0"/>
    <n v="0"/>
    <n v="0"/>
    <x v="1"/>
    <x v="1"/>
    <n v="0"/>
    <n v="0"/>
    <n v="0"/>
    <n v="0"/>
    <s v="Pas d'écart"/>
    <n v="168.69"/>
  </r>
  <r>
    <x v="0"/>
    <n v="14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1"/>
    <n v="77"/>
    <x v="28"/>
    <x v="0"/>
    <n v="0"/>
    <n v="0"/>
    <n v="0"/>
    <n v="0"/>
    <x v="1"/>
    <x v="1"/>
    <n v="0"/>
    <n v="0"/>
    <n v="0"/>
    <n v="0"/>
    <s v="Pas d'écart"/>
    <n v="71.38"/>
  </r>
  <r>
    <x v="0"/>
    <n v="37"/>
    <x v="16"/>
    <x v="0"/>
    <n v="0"/>
    <n v="24"/>
    <n v="0.12"/>
    <n v="-24"/>
    <x v="0"/>
    <x v="1"/>
    <n v="0"/>
    <n v="24"/>
    <n v="0.12"/>
    <n v="-24"/>
    <s v="Ecart négatif"/>
    <n v="107.65"/>
  </r>
  <r>
    <x v="0"/>
    <n v="6"/>
    <x v="12"/>
    <x v="0"/>
    <n v="0"/>
    <n v="8.4"/>
    <n v="0.21000000000000002"/>
    <n v="-8.4"/>
    <x v="0"/>
    <x v="346"/>
    <n v="0.3"/>
    <n v="8.4"/>
    <n v="0.21000000000000002"/>
    <n v="3.5999999999999996"/>
    <s v="Ecart positif"/>
    <n v="47.76"/>
  </r>
  <r>
    <x v="2"/>
    <n v="56"/>
    <x v="2"/>
    <x v="0"/>
    <n v="0"/>
    <n v="0"/>
    <n v="0"/>
    <n v="0"/>
    <x v="1"/>
    <x v="1"/>
    <n v="0"/>
    <n v="0"/>
    <n v="0"/>
    <n v="0"/>
    <s v="Pas d'écart"/>
    <n v="0"/>
  </r>
  <r>
    <x v="0"/>
    <n v="59"/>
    <x v="8"/>
    <x v="0"/>
    <n v="0"/>
    <n v="0"/>
    <n v="0"/>
    <n v="0"/>
    <x v="1"/>
    <x v="1"/>
    <n v="0"/>
    <n v="0"/>
    <n v="0"/>
    <n v="0"/>
    <s v="Pas d'écart"/>
    <n v="8.9500000000000028"/>
  </r>
  <r>
    <x v="0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2"/>
    <n v="14"/>
    <x v="19"/>
    <x v="0"/>
    <n v="0"/>
    <n v="32.300000000000004"/>
    <n v="0.17"/>
    <n v="-32.300000000000004"/>
    <x v="0"/>
    <x v="32"/>
    <n v="0.16463157894736843"/>
    <n v="32.300000000000004"/>
    <n v="0.17"/>
    <n v="-1.0200000000000031"/>
    <s v="Ecart négatif"/>
    <n v="118.48"/>
  </r>
  <r>
    <x v="0"/>
    <n v="13"/>
    <x v="22"/>
    <x v="0"/>
    <n v="0"/>
    <n v="19"/>
    <n v="0.19"/>
    <n v="-19"/>
    <x v="0"/>
    <x v="1"/>
    <n v="0"/>
    <n v="19"/>
    <n v="0.19"/>
    <n v="-19"/>
    <s v="Ecart négatif"/>
    <n v="53.27"/>
  </r>
  <r>
    <x v="2"/>
    <n v="5"/>
    <x v="20"/>
    <x v="0"/>
    <n v="0"/>
    <n v="47.5"/>
    <n v="0.19"/>
    <n v="-47.5"/>
    <x v="0"/>
    <x v="1"/>
    <n v="0"/>
    <n v="47.5"/>
    <n v="0.19"/>
    <n v="-47.5"/>
    <s v="Ecart négatif"/>
    <n v="171.22"/>
  </r>
  <r>
    <x v="2"/>
    <n v="69"/>
    <x v="6"/>
    <x v="0"/>
    <n v="0"/>
    <n v="0"/>
    <n v="0"/>
    <n v="0"/>
    <x v="1"/>
    <x v="209"/>
    <n v="0.2548125"/>
    <n v="0"/>
    <n v="0"/>
    <n v="40.770000000000003"/>
    <s v="Ecart positif"/>
    <n v="0"/>
  </r>
  <r>
    <x v="0"/>
    <n v="63"/>
    <x v="0"/>
    <x v="0"/>
    <n v="0"/>
    <n v="21.599999999999998"/>
    <n v="0.11999999999999998"/>
    <n v="-21.599999999999998"/>
    <x v="0"/>
    <x v="6"/>
    <n v="0.12000000000000001"/>
    <n v="21.599999999999998"/>
    <n v="0.11999999999999998"/>
    <n v="0"/>
    <s v="Pas d'écart"/>
    <n v="18.419999999999987"/>
  </r>
  <r>
    <x v="0"/>
    <n v="38"/>
    <x v="25"/>
    <x v="0"/>
    <n v="0"/>
    <n v="0"/>
    <n v="0"/>
    <n v="0"/>
    <x v="1"/>
    <x v="1"/>
    <n v="0"/>
    <n v="0"/>
    <n v="0"/>
    <n v="0"/>
    <s v="Pas d'écart"/>
    <n v="140.78"/>
  </r>
  <r>
    <x v="2"/>
    <n v="38"/>
    <x v="92"/>
    <x v="0"/>
    <n v="0"/>
    <n v="0"/>
    <n v="0"/>
    <n v="0"/>
    <x v="1"/>
    <x v="1"/>
    <n v="0"/>
    <n v="0"/>
    <n v="0"/>
    <n v="0"/>
    <s v="Pas d'écart"/>
    <e v="#N/A"/>
  </r>
  <r>
    <x v="2"/>
    <n v="98"/>
    <x v="14"/>
    <x v="0"/>
    <n v="0"/>
    <n v="27.3"/>
    <n v="0.21"/>
    <n v="-27.3"/>
    <x v="0"/>
    <x v="1"/>
    <n v="0"/>
    <n v="27.3"/>
    <n v="0.21"/>
    <n v="-27.3"/>
    <s v="Ecart négatif"/>
    <n v="78.069999999999993"/>
  </r>
  <r>
    <x v="2"/>
    <n v="51"/>
    <x v="4"/>
    <x v="0"/>
    <n v="0"/>
    <n v="27.5"/>
    <n v="0.25"/>
    <n v="-27.5"/>
    <x v="0"/>
    <x v="347"/>
    <n v="0.23472727272727273"/>
    <n v="27.5"/>
    <n v="0.25"/>
    <n v="-1.6799999999999997"/>
    <s v="Ecart négatif"/>
    <n v="0"/>
  </r>
  <r>
    <x v="0"/>
    <n v="57"/>
    <x v="4"/>
    <x v="0"/>
    <n v="0"/>
    <n v="27.5"/>
    <n v="0.25"/>
    <n v="-27.5"/>
    <x v="0"/>
    <x v="49"/>
    <n v="0.24781818181818183"/>
    <n v="27.5"/>
    <n v="0.25"/>
    <n v="-0.23999999999999844"/>
    <s v="Ecart négatif"/>
    <n v="71.81"/>
  </r>
  <r>
    <x v="8"/>
    <n v="18"/>
    <x v="6"/>
    <x v="0"/>
    <n v="0"/>
    <n v="33.6"/>
    <n v="0.21000000000000002"/>
    <n v="-33.6"/>
    <x v="0"/>
    <x v="1"/>
    <n v="0"/>
    <n v="33.6"/>
    <n v="0.21000000000000002"/>
    <n v="-33.6"/>
    <s v="Ecart négatif"/>
    <n v="0"/>
  </r>
  <r>
    <x v="4"/>
    <n v="77"/>
    <x v="6"/>
    <x v="0"/>
    <n v="0"/>
    <n v="0"/>
    <n v="0"/>
    <n v="0"/>
    <x v="1"/>
    <x v="1"/>
    <n v="0"/>
    <n v="0"/>
    <n v="0"/>
    <n v="0"/>
    <s v="Pas d'écart"/>
    <n v="0"/>
  </r>
  <r>
    <x v="2"/>
    <n v="64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47.76"/>
  </r>
  <r>
    <x v="5"/>
    <n v="59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68"/>
    <x v="11"/>
    <x v="351"/>
    <n v="0.25383333333333336"/>
    <n v="17.399999999999999"/>
    <n v="0.28999999999999998"/>
    <n v="-2.1699999999999982"/>
    <x v="0"/>
    <x v="1"/>
    <n v="0"/>
    <n v="17.399999999999999"/>
    <n v="0.28999999999999998"/>
    <n v="-17.399999999999999"/>
    <s v="Ecart négatif"/>
    <n v="52.78"/>
  </r>
  <r>
    <x v="5"/>
    <n v="30"/>
    <x v="11"/>
    <x v="0"/>
    <n v="0"/>
    <n v="23.400000000000002"/>
    <n v="0.39"/>
    <n v="-23.400000000000002"/>
    <x v="0"/>
    <x v="1"/>
    <n v="0"/>
    <n v="23.400000000000002"/>
    <n v="0.39"/>
    <n v="-23.400000000000002"/>
    <s v="Ecart négatif"/>
    <n v="25.37"/>
  </r>
  <r>
    <x v="5"/>
    <n v="33"/>
    <x v="11"/>
    <x v="0"/>
    <n v="0"/>
    <n v="12.6"/>
    <n v="0.21"/>
    <n v="-12.6"/>
    <x v="0"/>
    <x v="1"/>
    <n v="0"/>
    <n v="12.6"/>
    <n v="0.21"/>
    <n v="-12.6"/>
    <s v="Ecart négatif"/>
    <n v="15.069999999999997"/>
  </r>
  <r>
    <x v="4"/>
    <n v="6"/>
    <x v="16"/>
    <x v="867"/>
    <n v="0.28939999999999999"/>
    <n v="60"/>
    <n v="0.3"/>
    <n v="-2.1199999999999974"/>
    <x v="0"/>
    <x v="1"/>
    <n v="0"/>
    <n v="60"/>
    <n v="0.3"/>
    <n v="-60"/>
    <s v="Ecart négatif"/>
    <n v="0"/>
  </r>
  <r>
    <x v="0"/>
    <n v="77"/>
    <x v="6"/>
    <x v="0"/>
    <n v="0"/>
    <n v="0"/>
    <n v="0"/>
    <n v="0"/>
    <x v="1"/>
    <x v="1"/>
    <n v="0"/>
    <n v="0"/>
    <n v="0"/>
    <n v="0"/>
    <s v="Pas d'écart"/>
    <n v="11.36"/>
  </r>
  <r>
    <x v="2"/>
    <n v="54"/>
    <x v="6"/>
    <x v="0"/>
    <n v="0"/>
    <n v="40"/>
    <n v="0.25"/>
    <n v="-40"/>
    <x v="0"/>
    <x v="348"/>
    <n v="0.25"/>
    <n v="40"/>
    <n v="0.25"/>
    <n v="0"/>
    <s v="Pas d'écart"/>
    <n v="76.56"/>
  </r>
  <r>
    <x v="3"/>
    <n v="13"/>
    <x v="25"/>
    <x v="868"/>
    <n v="0.28968181818181815"/>
    <n v="63.8"/>
    <n v="0.28999999999999998"/>
    <n v="-7.0000000000000284E-2"/>
    <x v="0"/>
    <x v="1"/>
    <n v="0"/>
    <n v="63.8"/>
    <n v="0.28999999999999998"/>
    <n v="-63.8"/>
    <s v="Ecart négatif"/>
    <n v="23.409999999999997"/>
  </r>
  <r>
    <x v="0"/>
    <n v="85"/>
    <x v="6"/>
    <x v="0"/>
    <n v="0"/>
    <n v="0"/>
    <n v="0"/>
    <n v="0"/>
    <x v="1"/>
    <x v="1"/>
    <n v="0"/>
    <n v="0"/>
    <n v="0"/>
    <n v="0"/>
    <s v="Pas d'écart"/>
    <n v="17.02000000000001"/>
  </r>
  <r>
    <x v="3"/>
    <n v="63"/>
    <x v="19"/>
    <x v="869"/>
    <n v="0.28968421052631577"/>
    <n v="55.099999999999994"/>
    <n v="0.28999999999999998"/>
    <n v="-5.9999999999995168E-2"/>
    <x v="0"/>
    <x v="1"/>
    <n v="0"/>
    <n v="55.099999999999994"/>
    <n v="0.28999999999999998"/>
    <n v="-55.099999999999994"/>
    <s v="Ecart négatif"/>
    <n v="19.97999999999999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13"/>
    <x v="2"/>
    <x v="870"/>
    <n v="0.28978571428571431"/>
    <n v="40.599999999999994"/>
    <n v="0.28999999999999998"/>
    <n v="-2.9999999999994031E-2"/>
    <x v="0"/>
    <x v="1"/>
    <n v="0"/>
    <n v="40.599999999999994"/>
    <n v="0.28999999999999998"/>
    <n v="-40.599999999999994"/>
    <s v="Ecart négatif"/>
    <n v="0"/>
  </r>
  <r>
    <x v="2"/>
    <n v="45"/>
    <x v="8"/>
    <x v="0"/>
    <n v="0"/>
    <n v="8.4"/>
    <n v="0.12000000000000001"/>
    <n v="-8.4"/>
    <x v="0"/>
    <x v="1"/>
    <n v="0"/>
    <n v="8.4"/>
    <n v="0.12000000000000001"/>
    <n v="-8.4"/>
    <s v="Ecart négatif"/>
    <n v="61.48"/>
  </r>
  <r>
    <x v="2"/>
    <n v="60"/>
    <x v="12"/>
    <x v="0"/>
    <n v="0"/>
    <n v="0"/>
    <n v="0"/>
    <n v="0"/>
    <x v="1"/>
    <x v="1"/>
    <n v="0"/>
    <n v="0"/>
    <n v="0"/>
    <n v="0"/>
    <s v="Pas d'écart"/>
    <n v="0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0"/>
    <n v="90"/>
    <x v="19"/>
    <x v="0"/>
    <n v="0"/>
    <n v="15.200000000000001"/>
    <n v="0.08"/>
    <n v="-15.200000000000001"/>
    <x v="0"/>
    <x v="349"/>
    <n v="0.27626315789473688"/>
    <n v="15.200000000000001"/>
    <n v="0.08"/>
    <n v="37.29"/>
    <s v="Ecart positif"/>
    <n v="128.22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2"/>
    <n v="3"/>
    <x v="14"/>
    <x v="0"/>
    <n v="0"/>
    <n v="15.6"/>
    <n v="0.12"/>
    <n v="-15.6"/>
    <x v="0"/>
    <x v="276"/>
    <n v="0.11669230769230769"/>
    <n v="15.6"/>
    <n v="0.12"/>
    <n v="-0.42999999999999972"/>
    <s v="Ecart négatif"/>
    <n v="0"/>
  </r>
  <r>
    <x v="4"/>
    <n v="75"/>
    <x v="7"/>
    <x v="0"/>
    <n v="0"/>
    <n v="0"/>
    <n v="0"/>
    <n v="0"/>
    <x v="1"/>
    <x v="1"/>
    <n v="0"/>
    <n v="0"/>
    <n v="0"/>
    <n v="0"/>
    <s v="Pas d'écart"/>
    <n v="0"/>
  </r>
  <r>
    <x v="0"/>
    <n v="25"/>
    <x v="10"/>
    <x v="0"/>
    <n v="0"/>
    <n v="18"/>
    <n v="0.12"/>
    <n v="-18"/>
    <x v="0"/>
    <x v="302"/>
    <n v="0.11706666666666665"/>
    <n v="18"/>
    <n v="0.12"/>
    <n v="-0.44000000000000128"/>
    <s v="Ecart négatif"/>
    <n v="79.510000000000005"/>
  </r>
  <r>
    <x v="3"/>
    <n v="83"/>
    <x v="1"/>
    <x v="727"/>
    <n v="0.29083333333333333"/>
    <n v="36"/>
    <n v="0.3"/>
    <n v="-1.1000000000000014"/>
    <x v="0"/>
    <x v="1"/>
    <n v="0"/>
    <n v="36"/>
    <n v="0.3"/>
    <n v="-36"/>
    <s v="Ecart négatif"/>
    <n v="14.470000000000006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84"/>
    <x v="2"/>
    <x v="0"/>
    <n v="0"/>
    <n v="26.6"/>
    <n v="0.19"/>
    <n v="-26.6"/>
    <x v="0"/>
    <x v="68"/>
    <n v="0.19"/>
    <n v="26.6"/>
    <n v="0.19"/>
    <n v="0"/>
    <s v="Pas d'écart"/>
    <n v="14.68"/>
  </r>
  <r>
    <x v="4"/>
    <n v="83"/>
    <x v="11"/>
    <x v="871"/>
    <n v="0.29100000000000004"/>
    <n v="18"/>
    <n v="0.3"/>
    <n v="-0.53999999999999915"/>
    <x v="0"/>
    <x v="1"/>
    <n v="0"/>
    <n v="18"/>
    <n v="0.3"/>
    <n v="-18"/>
    <s v="Ecart négatif"/>
    <n v="0"/>
  </r>
  <r>
    <x v="2"/>
    <n v="14"/>
    <x v="28"/>
    <x v="0"/>
    <n v="0"/>
    <n v="40.800000000000004"/>
    <n v="0.17"/>
    <n v="-40.800000000000004"/>
    <x v="0"/>
    <x v="1"/>
    <n v="0"/>
    <n v="40.800000000000004"/>
    <n v="0.17"/>
    <n v="-40.800000000000004"/>
    <s v="Ecart négatif"/>
    <n v="151.94"/>
  </r>
  <r>
    <x v="8"/>
    <n v="68"/>
    <x v="4"/>
    <x v="0"/>
    <n v="0"/>
    <n v="31.9"/>
    <n v="0.28999999999999998"/>
    <n v="-31.9"/>
    <x v="0"/>
    <x v="1"/>
    <n v="0"/>
    <n v="31.9"/>
    <n v="0.28999999999999998"/>
    <n v="-31.9"/>
    <s v="Ecart négatif"/>
    <n v="0"/>
  </r>
  <r>
    <x v="2"/>
    <n v="92"/>
    <x v="6"/>
    <x v="0"/>
    <n v="0"/>
    <n v="0"/>
    <n v="0"/>
    <n v="0"/>
    <x v="1"/>
    <x v="1"/>
    <n v="0"/>
    <n v="0"/>
    <n v="0"/>
    <n v="0"/>
    <s v="Pas d'écart"/>
    <n v="0"/>
  </r>
  <r>
    <x v="3"/>
    <n v="6"/>
    <x v="36"/>
    <x v="872"/>
    <n v="0.29160000000000003"/>
    <n v="90"/>
    <n v="0.3"/>
    <n v="-2.519999999999996"/>
    <x v="0"/>
    <x v="1"/>
    <n v="0"/>
    <n v="90"/>
    <n v="0.3"/>
    <n v="-90"/>
    <s v="Ecart négatif"/>
    <n v="40.41000000000002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2"/>
    <n v="34"/>
    <x v="15"/>
    <x v="0"/>
    <n v="0"/>
    <n v="5.6000000000000005"/>
    <n v="0.28000000000000003"/>
    <n v="-5.6000000000000005"/>
    <x v="0"/>
    <x v="350"/>
    <n v="0.20449999999999999"/>
    <n v="5.6000000000000005"/>
    <n v="0.28000000000000003"/>
    <n v="-1.5100000000000007"/>
    <s v="Ecart négatif"/>
    <n v="19.61"/>
  </r>
  <r>
    <x v="4"/>
    <n v="6"/>
    <x v="14"/>
    <x v="873"/>
    <n v="0.29230769230769232"/>
    <n v="39"/>
    <n v="0.3"/>
    <n v="-1"/>
    <x v="0"/>
    <x v="1"/>
    <n v="0"/>
    <n v="39"/>
    <n v="0.3"/>
    <n v="-39"/>
    <s v="Ecart négatif"/>
    <n v="0"/>
  </r>
  <r>
    <x v="4"/>
    <n v="6"/>
    <x v="2"/>
    <x v="874"/>
    <n v="0.29478571428571432"/>
    <n v="42"/>
    <n v="0.3"/>
    <n v="-0.72999999999999687"/>
    <x v="0"/>
    <x v="1"/>
    <n v="0"/>
    <n v="42"/>
    <n v="0.3"/>
    <n v="-42"/>
    <s v="Ecart négatif"/>
    <n v="0"/>
  </r>
  <r>
    <x v="3"/>
    <n v="93"/>
    <x v="7"/>
    <x v="0"/>
    <n v="0"/>
    <n v="0"/>
    <n v="0"/>
    <n v="0"/>
    <x v="1"/>
    <x v="1"/>
    <n v="0"/>
    <n v="0"/>
    <n v="0"/>
    <n v="0"/>
    <s v="Pas d'écart"/>
    <n v="4.1700000000000017"/>
  </r>
  <r>
    <x v="3"/>
    <n v="6"/>
    <x v="58"/>
    <x v="875"/>
    <n v="0.29545454545454547"/>
    <n v="99"/>
    <n v="0.3"/>
    <n v="-1.5"/>
    <x v="0"/>
    <x v="1"/>
    <n v="0"/>
    <n v="99"/>
    <n v="0.3"/>
    <n v="-99"/>
    <s v="Ecart négatif"/>
    <n v="40.639999999999986"/>
  </r>
  <r>
    <x v="3"/>
    <n v="6"/>
    <x v="9"/>
    <x v="876"/>
    <n v="0.29625000000000001"/>
    <n v="24"/>
    <n v="0.3"/>
    <n v="-0.30000000000000071"/>
    <x v="0"/>
    <x v="1"/>
    <n v="0"/>
    <n v="24"/>
    <n v="0.3"/>
    <n v="-24"/>
    <s v="Ecart négatif"/>
    <n v="14.89"/>
  </r>
  <r>
    <x v="2"/>
    <n v="57"/>
    <x v="8"/>
    <x v="0"/>
    <n v="0"/>
    <n v="17.5"/>
    <n v="0.25"/>
    <n v="-17.5"/>
    <x v="0"/>
    <x v="184"/>
    <n v="0.25"/>
    <n v="17.5"/>
    <n v="0.25"/>
    <n v="0"/>
    <s v="Pas d'écart"/>
    <n v="61.48"/>
  </r>
  <r>
    <x v="2"/>
    <n v="75"/>
    <x v="0"/>
    <x v="0"/>
    <n v="0"/>
    <n v="0"/>
    <n v="0"/>
    <n v="0"/>
    <x v="1"/>
    <x v="1"/>
    <n v="0"/>
    <n v="0"/>
    <n v="0"/>
    <n v="0"/>
    <s v="Pas d'écart"/>
    <n v="0"/>
  </r>
  <r>
    <x v="4"/>
    <n v="6"/>
    <x v="15"/>
    <x v="877"/>
    <n v="0.29700000000000004"/>
    <n v="6"/>
    <n v="0.3"/>
    <n v="-5.9999999999999609E-2"/>
    <x v="0"/>
    <x v="1"/>
    <n v="0"/>
    <n v="6"/>
    <n v="0.3"/>
    <n v="-6"/>
    <s v="Ecart négatif"/>
    <n v="0"/>
  </r>
  <r>
    <x v="4"/>
    <n v="93"/>
    <x v="11"/>
    <x v="0"/>
    <n v="0"/>
    <n v="0"/>
    <n v="0"/>
    <n v="0"/>
    <x v="1"/>
    <x v="1"/>
    <n v="0"/>
    <n v="0"/>
    <n v="0"/>
    <n v="0"/>
    <s v="Pas d'écart"/>
    <n v="0"/>
  </r>
  <r>
    <x v="3"/>
    <n v="75"/>
    <x v="12"/>
    <x v="0"/>
    <n v="0"/>
    <n v="0"/>
    <n v="0"/>
    <n v="0"/>
    <x v="1"/>
    <x v="1"/>
    <n v="0"/>
    <n v="0"/>
    <n v="0"/>
    <n v="0"/>
    <s v="Pas d'écart"/>
    <n v="5.23"/>
  </r>
  <r>
    <x v="0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93"/>
    <x v="21"/>
    <x v="0"/>
    <e v="#DIV/0!"/>
    <n v="0"/>
    <e v="#DIV/0!"/>
    <n v="0"/>
    <x v="1"/>
    <x v="1"/>
    <e v="#DIV/0!"/>
    <n v="0"/>
    <e v="#DIV/0!"/>
    <n v="0"/>
    <s v="Pas d'écart"/>
    <e v="#N/A"/>
  </r>
  <r>
    <x v="3"/>
    <n v="83"/>
    <x v="19"/>
    <x v="878"/>
    <n v="0.29726315789473684"/>
    <n v="57"/>
    <n v="0.3"/>
    <n v="-0.52000000000000313"/>
    <x v="0"/>
    <x v="1"/>
    <n v="0"/>
    <n v="57"/>
    <n v="0.3"/>
    <n v="-57"/>
    <s v="Ecart négatif"/>
    <n v="23.700000000000003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34"/>
    <x v="27"/>
    <x v="0"/>
    <n v="0"/>
    <n v="14.000000000000002"/>
    <n v="0.28000000000000003"/>
    <n v="-14.000000000000002"/>
    <x v="0"/>
    <x v="74"/>
    <n v="0.24640000000000001"/>
    <n v="14.000000000000002"/>
    <n v="0.28000000000000003"/>
    <n v="-1.6800000000000015"/>
    <s v="Ecart négatif"/>
    <n v="50.15"/>
  </r>
  <r>
    <x v="4"/>
    <n v="83"/>
    <x v="19"/>
    <x v="878"/>
    <n v="0.29726315789473684"/>
    <n v="57"/>
    <n v="0.3"/>
    <n v="-0.52000000000000313"/>
    <x v="0"/>
    <x v="1"/>
    <n v="0"/>
    <n v="57"/>
    <n v="0.3"/>
    <n v="-57"/>
    <s v="Ecart négatif"/>
    <n v="0"/>
  </r>
  <r>
    <x v="3"/>
    <n v="83"/>
    <x v="19"/>
    <x v="878"/>
    <n v="0.29726315789473684"/>
    <n v="57"/>
    <n v="0.3"/>
    <n v="-0.52000000000000313"/>
    <x v="0"/>
    <x v="1"/>
    <n v="0"/>
    <n v="57"/>
    <n v="0.3"/>
    <n v="-57"/>
    <s v="Ecart négatif"/>
    <n v="23.700000000000003"/>
  </r>
  <r>
    <x v="2"/>
    <n v="14"/>
    <x v="20"/>
    <x v="0"/>
    <n v="0"/>
    <n v="42.5"/>
    <n v="0.17"/>
    <n v="-42.5"/>
    <x v="0"/>
    <x v="235"/>
    <n v="0.17"/>
    <n v="42.5"/>
    <n v="0.17"/>
    <n v="0"/>
    <s v="Pas d'écart"/>
    <n v="157.52000000000001"/>
  </r>
  <r>
    <x v="8"/>
    <n v="94"/>
    <x v="8"/>
    <x v="0"/>
    <n v="0"/>
    <n v="0"/>
    <n v="0"/>
    <n v="0"/>
    <x v="1"/>
    <x v="1"/>
    <n v="0"/>
    <n v="0"/>
    <n v="0"/>
    <n v="0"/>
    <s v="Pas d'écart"/>
    <n v="0"/>
  </r>
  <r>
    <x v="4"/>
    <n v="72"/>
    <x v="8"/>
    <x v="143"/>
    <n v="0.21"/>
    <n v="14.7"/>
    <n v="0.21"/>
    <n v="0"/>
    <x v="1"/>
    <x v="1"/>
    <n v="0"/>
    <n v="14.7"/>
    <n v="0.21"/>
    <n v="-14.7"/>
    <s v="Ecart négatif"/>
    <n v="0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4"/>
    <n v="83"/>
    <x v="19"/>
    <x v="878"/>
    <n v="0.29726315789473684"/>
    <n v="57"/>
    <n v="0.3"/>
    <n v="-0.52000000000000313"/>
    <x v="0"/>
    <x v="1"/>
    <n v="0"/>
    <n v="57"/>
    <n v="0.3"/>
    <n v="-57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1"/>
    <n v="77"/>
    <x v="6"/>
    <x v="0"/>
    <n v="0"/>
    <n v="0"/>
    <n v="0"/>
    <n v="0"/>
    <x v="1"/>
    <x v="1"/>
    <n v="0"/>
    <n v="0"/>
    <n v="0"/>
    <n v="0"/>
    <s v="Pas d'écart"/>
    <n v="56.79"/>
  </r>
  <r>
    <x v="3"/>
    <n v="6"/>
    <x v="8"/>
    <x v="879"/>
    <n v="0.29742857142857143"/>
    <n v="21"/>
    <n v="0.3"/>
    <n v="-0.17999999999999972"/>
    <x v="0"/>
    <x v="1"/>
    <n v="0"/>
    <n v="21"/>
    <n v="0.3"/>
    <n v="-21"/>
    <s v="Ecart négatif"/>
    <n v="13.269999999999996"/>
  </r>
  <r>
    <x v="4"/>
    <n v="94"/>
    <x v="19"/>
    <x v="0"/>
    <n v="0"/>
    <n v="0"/>
    <n v="0"/>
    <n v="0"/>
    <x v="1"/>
    <x v="1"/>
    <n v="0"/>
    <n v="0"/>
    <n v="0"/>
    <n v="0"/>
    <s v="Pas d'écart"/>
    <n v="0"/>
  </r>
  <r>
    <x v="3"/>
    <n v="6"/>
    <x v="8"/>
    <x v="879"/>
    <n v="0.29742857142857143"/>
    <n v="21"/>
    <n v="0.3"/>
    <n v="-0.17999999999999972"/>
    <x v="0"/>
    <x v="1"/>
    <n v="0"/>
    <n v="21"/>
    <n v="0.3"/>
    <n v="-21"/>
    <s v="Ecart négatif"/>
    <n v="13.269999999999996"/>
  </r>
  <r>
    <x v="2"/>
    <n v="35"/>
    <x v="8"/>
    <x v="0"/>
    <n v="0"/>
    <n v="0"/>
    <n v="0"/>
    <n v="0"/>
    <x v="1"/>
    <x v="1"/>
    <n v="0"/>
    <n v="0"/>
    <n v="0"/>
    <n v="0"/>
    <s v="Pas d'écart"/>
    <n v="0"/>
  </r>
  <r>
    <x v="2"/>
    <n v="76"/>
    <x v="13"/>
    <x v="0"/>
    <n v="0"/>
    <n v="28.900000000000002"/>
    <n v="0.17"/>
    <n v="-28.900000000000002"/>
    <x v="0"/>
    <x v="280"/>
    <n v="0.16300000000000001"/>
    <n v="28.900000000000002"/>
    <n v="0.17"/>
    <n v="-1.1900000000000013"/>
    <s v="Ecart négatif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0"/>
    <n v="60"/>
    <x v="7"/>
    <x v="0"/>
    <n v="0"/>
    <n v="0"/>
    <n v="0"/>
    <n v="0"/>
    <x v="1"/>
    <x v="1"/>
    <n v="0"/>
    <n v="0"/>
    <n v="0"/>
    <n v="0"/>
    <s v="Pas d'écart"/>
    <n v="3.4200000000000017"/>
  </r>
  <r>
    <x v="0"/>
    <n v="37"/>
    <x v="2"/>
    <x v="0"/>
    <n v="0"/>
    <n v="16.8"/>
    <n v="0.12000000000000001"/>
    <n v="-16.8"/>
    <x v="0"/>
    <x v="36"/>
    <n v="0.39"/>
    <n v="16.8"/>
    <n v="0.12000000000000001"/>
    <n v="37.799999999999997"/>
    <s v="Ecart positif"/>
    <n v="13.140000000000008"/>
  </r>
  <r>
    <x v="0"/>
    <n v="6"/>
    <x v="13"/>
    <x v="0"/>
    <n v="0"/>
    <n v="35.699999999999996"/>
    <n v="0.20999999999999996"/>
    <n v="-35.699999999999996"/>
    <x v="0"/>
    <x v="25"/>
    <n v="0.20294117647058824"/>
    <n v="35.699999999999996"/>
    <n v="0.20999999999999996"/>
    <n v="-1.1999999999999957"/>
    <s v="Ecart négatif"/>
    <n v="20.77000000000001"/>
  </r>
  <r>
    <x v="0"/>
    <n v="6"/>
    <x v="14"/>
    <x v="0"/>
    <n v="0"/>
    <n v="27.3"/>
    <n v="0.21"/>
    <n v="-27.3"/>
    <x v="0"/>
    <x v="351"/>
    <n v="0.20515384615384616"/>
    <n v="27.3"/>
    <n v="0.21"/>
    <n v="-0.62999999999999901"/>
    <s v="Ecart négatif"/>
    <n v="15.609999999999992"/>
  </r>
  <r>
    <x v="3"/>
    <n v="6"/>
    <x v="14"/>
    <x v="880"/>
    <n v="0.29815384615384616"/>
    <n v="39"/>
    <n v="0.3"/>
    <n v="-0.24000000000000199"/>
    <x v="0"/>
    <x v="1"/>
    <n v="0"/>
    <n v="39"/>
    <n v="0.3"/>
    <n v="-39"/>
    <s v="Ecart négatif"/>
    <n v="15.609999999999992"/>
  </r>
  <r>
    <x v="3"/>
    <n v="6"/>
    <x v="8"/>
    <x v="881"/>
    <n v="0.29828571428571427"/>
    <n v="21"/>
    <n v="0.3"/>
    <n v="-0.12000000000000099"/>
    <x v="0"/>
    <x v="1"/>
    <n v="0"/>
    <n v="21"/>
    <n v="0.3"/>
    <n v="-21"/>
    <s v="Ecart négatif"/>
    <n v="13.269999999999996"/>
  </r>
  <r>
    <x v="4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0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2"/>
    <n v="62"/>
    <x v="14"/>
    <x v="0"/>
    <n v="0"/>
    <n v="0"/>
    <n v="0"/>
    <n v="0"/>
    <x v="1"/>
    <x v="1"/>
    <n v="0"/>
    <n v="0"/>
    <n v="0"/>
    <n v="0"/>
    <s v="Pas d'écart"/>
    <n v="0"/>
  </r>
  <r>
    <x v="0"/>
    <n v="37"/>
    <x v="0"/>
    <x v="0"/>
    <n v="0"/>
    <n v="21.599999999999998"/>
    <n v="0.11999999999999998"/>
    <n v="-21.599999999999998"/>
    <x v="0"/>
    <x v="6"/>
    <n v="0.12000000000000001"/>
    <n v="21.599999999999998"/>
    <n v="0.11999999999999998"/>
    <n v="0"/>
    <s v="Pas d'écart"/>
    <n v="18.419999999999987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75"/>
    <x v="15"/>
    <x v="0"/>
    <n v="0"/>
    <n v="0"/>
    <n v="0"/>
    <n v="0"/>
    <x v="1"/>
    <x v="1"/>
    <n v="0"/>
    <n v="0"/>
    <n v="0"/>
    <n v="0"/>
    <s v="Pas d'écart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0"/>
    <n v="62"/>
    <x v="12"/>
    <x v="0"/>
    <n v="0"/>
    <n v="0"/>
    <n v="0"/>
    <n v="0"/>
    <x v="1"/>
    <x v="1"/>
    <n v="0"/>
    <n v="0"/>
    <n v="0"/>
    <n v="0"/>
    <s v="Pas d'écart"/>
    <n v="8.2899999999999991"/>
  </r>
  <r>
    <x v="6"/>
    <n v="94"/>
    <x v="0"/>
    <x v="0"/>
    <n v="0"/>
    <n v="0"/>
    <n v="0"/>
    <n v="0"/>
    <x v="1"/>
    <x v="352"/>
    <n v="0.25577777777777777"/>
    <n v="0"/>
    <n v="0"/>
    <n v="46.04"/>
    <s v="Ecart positif"/>
    <n v="60.27"/>
  </r>
  <r>
    <x v="0"/>
    <n v="79"/>
    <x v="20"/>
    <x v="0"/>
    <n v="0"/>
    <n v="30"/>
    <n v="0.12"/>
    <n v="-30"/>
    <x v="0"/>
    <x v="20"/>
    <n v="0.12"/>
    <n v="30"/>
    <n v="0.12"/>
    <n v="0"/>
    <s v="Pas d'écart"/>
    <n v="34.240000000000009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2"/>
    <n v="60"/>
    <x v="4"/>
    <x v="0"/>
    <n v="0"/>
    <n v="0"/>
    <n v="0"/>
    <n v="0"/>
    <x v="1"/>
    <x v="1"/>
    <n v="0"/>
    <n v="0"/>
    <n v="0"/>
    <n v="0"/>
    <s v="Pas d'écart"/>
    <n v="0"/>
  </r>
  <r>
    <x v="2"/>
    <n v="27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0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5"/>
    <n v="13"/>
    <x v="10"/>
    <x v="0"/>
    <n v="0"/>
    <n v="43.5"/>
    <n v="0.28999999999999998"/>
    <n v="-43.5"/>
    <x v="0"/>
    <x v="1"/>
    <n v="0"/>
    <n v="43.5"/>
    <n v="0.28999999999999998"/>
    <n v="-43.5"/>
    <s v="Ecart négatif"/>
    <n v="13.759999999999998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8"/>
    <n v="22"/>
    <x v="10"/>
    <x v="0"/>
    <n v="0"/>
    <n v="57"/>
    <n v="0.38"/>
    <n v="-57"/>
    <x v="0"/>
    <x v="1"/>
    <n v="0"/>
    <n v="57"/>
    <n v="0.38"/>
    <n v="-57"/>
    <s v="Ecart négatif"/>
    <n v="0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4"/>
    <n v="75"/>
    <x v="46"/>
    <x v="0"/>
    <n v="0"/>
    <n v="0"/>
    <n v="0"/>
    <n v="0"/>
    <x v="1"/>
    <x v="1"/>
    <n v="0"/>
    <n v="0"/>
    <n v="0"/>
    <n v="0"/>
    <s v="Pas d'écart"/>
    <n v="0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2"/>
    <n v="77"/>
    <x v="2"/>
    <x v="0"/>
    <n v="0"/>
    <n v="0"/>
    <n v="0"/>
    <n v="0"/>
    <x v="1"/>
    <x v="1"/>
    <n v="0"/>
    <n v="0"/>
    <n v="0"/>
    <n v="0"/>
    <s v="Pas d'écart"/>
    <n v="0"/>
  </r>
  <r>
    <x v="8"/>
    <n v="14"/>
    <x v="20"/>
    <x v="0"/>
    <n v="0"/>
    <n v="42.5"/>
    <n v="0.17"/>
    <n v="-42.5"/>
    <x v="0"/>
    <x v="1"/>
    <n v="0"/>
    <n v="42.5"/>
    <n v="0.17"/>
    <n v="-42.5"/>
    <s v="Ecart négatif"/>
    <n v="84.240000000000009"/>
  </r>
  <r>
    <x v="3"/>
    <n v="6"/>
    <x v="15"/>
    <x v="58"/>
    <n v="0.29849999999999999"/>
    <n v="6"/>
    <n v="0.3"/>
    <n v="-3.0000000000000249E-2"/>
    <x v="0"/>
    <x v="1"/>
    <n v="0"/>
    <n v="6"/>
    <n v="0.3"/>
    <n v="-6"/>
    <s v="Ecart négatif"/>
    <n v="4.2899999999999991"/>
  </r>
  <r>
    <x v="4"/>
    <n v="6"/>
    <x v="6"/>
    <x v="882"/>
    <n v="0.29856250000000001"/>
    <n v="48"/>
    <n v="0.3"/>
    <n v="-0.22999999999999687"/>
    <x v="0"/>
    <x v="1"/>
    <n v="0"/>
    <n v="48"/>
    <n v="0.3"/>
    <n v="-48"/>
    <s v="Ecart négatif"/>
    <n v="0"/>
  </r>
  <r>
    <x v="4"/>
    <n v="83"/>
    <x v="12"/>
    <x v="883"/>
    <n v="0.29900000000000004"/>
    <n v="12"/>
    <n v="0.3"/>
    <n v="-3.9999999999999147E-2"/>
    <x v="0"/>
    <x v="1"/>
    <n v="0"/>
    <n v="12"/>
    <n v="0.3"/>
    <n v="-12"/>
    <s v="Ecart négatif"/>
    <n v="0"/>
  </r>
  <r>
    <x v="3"/>
    <n v="91"/>
    <x v="19"/>
    <x v="0"/>
    <n v="0"/>
    <n v="0"/>
    <n v="0"/>
    <n v="0"/>
    <x v="1"/>
    <x v="1"/>
    <n v="0"/>
    <n v="0"/>
    <n v="0"/>
    <n v="0"/>
    <s v="Pas d'écart"/>
    <n v="12.399999999999999"/>
  </r>
  <r>
    <x v="4"/>
    <n v="34"/>
    <x v="5"/>
    <x v="76"/>
    <n v="0.312"/>
    <n v="3.9000000000000004"/>
    <n v="0.39"/>
    <n v="-0.78000000000000025"/>
    <x v="0"/>
    <x v="1"/>
    <n v="0"/>
    <n v="3.9000000000000004"/>
    <n v="0.39"/>
    <n v="-3.9000000000000004"/>
    <s v="Ecart négatif"/>
    <n v="0"/>
  </r>
  <r>
    <x v="4"/>
    <n v="91"/>
    <x v="14"/>
    <x v="884"/>
    <n v="0.31461538461538463"/>
    <n v="0"/>
    <n v="0"/>
    <n v="40.9"/>
    <x v="2"/>
    <x v="1"/>
    <n v="0"/>
    <n v="0"/>
    <n v="0"/>
    <n v="0"/>
    <s v="Pas d'écart"/>
    <n v="0"/>
  </r>
  <r>
    <x v="4"/>
    <n v="62"/>
    <x v="0"/>
    <x v="137"/>
    <n v="0.19"/>
    <n v="34.200000000000003"/>
    <n v="0.19"/>
    <n v="0"/>
    <x v="1"/>
    <x v="1"/>
    <n v="0"/>
    <n v="34.200000000000003"/>
    <n v="0.19"/>
    <n v="-34.200000000000003"/>
    <s v="Ecart néga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37"/>
    <x v="20"/>
    <x v="0"/>
    <n v="0"/>
    <n v="30"/>
    <n v="0.12"/>
    <n v="-30"/>
    <x v="0"/>
    <x v="1"/>
    <n v="0"/>
    <n v="30"/>
    <n v="0.12"/>
    <n v="-30"/>
    <s v="Ecart négatif"/>
    <n v="0"/>
  </r>
  <r>
    <x v="2"/>
    <n v="2"/>
    <x v="16"/>
    <x v="0"/>
    <n v="0"/>
    <n v="0"/>
    <n v="0"/>
    <n v="0"/>
    <x v="1"/>
    <x v="1"/>
    <n v="0"/>
    <n v="0"/>
    <n v="0"/>
    <n v="0"/>
    <s v="Pas d'écart"/>
    <n v="0"/>
  </r>
  <r>
    <x v="4"/>
    <n v="66"/>
    <x v="15"/>
    <x v="93"/>
    <n v="0.316"/>
    <n v="6.8000000000000007"/>
    <n v="0.34"/>
    <n v="-0.48000000000000043"/>
    <x v="0"/>
    <x v="1"/>
    <n v="0"/>
    <n v="6.8000000000000007"/>
    <n v="0.34"/>
    <n v="-6.8000000000000007"/>
    <s v="Ecart négatif"/>
    <n v="0"/>
  </r>
  <r>
    <x v="4"/>
    <n v="29"/>
    <x v="12"/>
    <x v="110"/>
    <n v="0.32025000000000003"/>
    <n v="15.600000000000001"/>
    <n v="0.39"/>
    <n v="-2.7900000000000009"/>
    <x v="0"/>
    <x v="1"/>
    <n v="0"/>
    <n v="15.600000000000001"/>
    <n v="0.39"/>
    <n v="-15.600000000000001"/>
    <s v="Ecart négatif"/>
    <n v="0"/>
  </r>
  <r>
    <x v="4"/>
    <n v="34"/>
    <x v="12"/>
    <x v="885"/>
    <n v="0.32524999999999998"/>
    <n v="15.600000000000001"/>
    <n v="0.39"/>
    <n v="-2.5900000000000016"/>
    <x v="0"/>
    <x v="1"/>
    <n v="0"/>
    <n v="15.600000000000001"/>
    <n v="0.39"/>
    <n v="-15.600000000000001"/>
    <s v="Ecart négatif"/>
    <n v="0"/>
  </r>
  <r>
    <x v="4"/>
    <n v="30"/>
    <x v="5"/>
    <x v="886"/>
    <n v="0.32599999999999996"/>
    <n v="3.9000000000000004"/>
    <n v="0.39"/>
    <n v="-0.64000000000000057"/>
    <x v="0"/>
    <x v="1"/>
    <n v="0"/>
    <n v="3.9000000000000004"/>
    <n v="0.39"/>
    <n v="-3.9000000000000004"/>
    <s v="Ecart négatif"/>
    <n v="0"/>
  </r>
  <r>
    <x v="2"/>
    <n v="68"/>
    <x v="0"/>
    <x v="0"/>
    <n v="0"/>
    <n v="14.4"/>
    <n v="0.08"/>
    <n v="-14.4"/>
    <x v="0"/>
    <x v="102"/>
    <n v="0.08"/>
    <n v="14.4"/>
    <n v="0.08"/>
    <n v="0"/>
    <s v="Pas d'écart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44"/>
    <x v="27"/>
    <x v="0"/>
    <n v="0"/>
    <n v="13.5"/>
    <n v="0.27"/>
    <n v="-13.5"/>
    <x v="0"/>
    <x v="1"/>
    <n v="0"/>
    <n v="13.5"/>
    <n v="0.27"/>
    <n v="-13.5"/>
    <s v="Ecart négatif"/>
    <n v="40.19"/>
  </r>
  <r>
    <x v="4"/>
    <n v="29"/>
    <x v="12"/>
    <x v="887"/>
    <n v="0.32625000000000004"/>
    <n v="15.600000000000001"/>
    <n v="0.39"/>
    <n v="-2.5500000000000007"/>
    <x v="0"/>
    <x v="1"/>
    <n v="0"/>
    <n v="15.600000000000001"/>
    <n v="0.39"/>
    <n v="-15.600000000000001"/>
    <s v="Ecart négatif"/>
    <n v="0"/>
  </r>
  <r>
    <x v="3"/>
    <n v="66"/>
    <x v="11"/>
    <x v="91"/>
    <n v="0.34133333333333332"/>
    <n v="20.400000000000002"/>
    <n v="0.34"/>
    <n v="7.9999999999998295E-2"/>
    <x v="2"/>
    <x v="1"/>
    <n v="0"/>
    <n v="20.400000000000002"/>
    <n v="0.34"/>
    <n v="-20.400000000000002"/>
    <s v="Ecart négatif"/>
    <n v="-6.740000000000002"/>
  </r>
  <r>
    <x v="4"/>
    <n v="75"/>
    <x v="12"/>
    <x v="0"/>
    <n v="0"/>
    <n v="0"/>
    <n v="0"/>
    <n v="0"/>
    <x v="1"/>
    <x v="1"/>
    <n v="0"/>
    <n v="0"/>
    <n v="0"/>
    <n v="0"/>
    <s v="Pas d'écart"/>
    <n v="0"/>
  </r>
  <r>
    <x v="3"/>
    <n v="66"/>
    <x v="11"/>
    <x v="91"/>
    <n v="0.34133333333333332"/>
    <n v="20.400000000000002"/>
    <n v="0.34"/>
    <n v="7.9999999999998295E-2"/>
    <x v="2"/>
    <x v="1"/>
    <n v="0"/>
    <n v="20.400000000000002"/>
    <n v="0.34"/>
    <n v="-20.400000000000002"/>
    <s v="Ecart négatif"/>
    <n v="-6.740000000000002"/>
  </r>
  <r>
    <x v="4"/>
    <n v="29"/>
    <x v="18"/>
    <x v="888"/>
    <n v="0.34855555555555556"/>
    <n v="35.1"/>
    <n v="0.39"/>
    <n v="-3.7300000000000004"/>
    <x v="0"/>
    <x v="1"/>
    <n v="0"/>
    <n v="35.1"/>
    <n v="0.39"/>
    <n v="-35.1"/>
    <s v="Ecart négatif"/>
    <n v="0"/>
  </r>
  <r>
    <x v="1"/>
    <n v="77"/>
    <x v="27"/>
    <x v="0"/>
    <n v="0"/>
    <n v="0"/>
    <n v="0"/>
    <n v="0"/>
    <x v="1"/>
    <x v="1"/>
    <n v="0"/>
    <n v="0"/>
    <n v="0"/>
    <n v="0"/>
    <s v="Pas d'écart"/>
    <n v="32.53"/>
  </r>
  <r>
    <x v="4"/>
    <n v="57"/>
    <x v="7"/>
    <x v="223"/>
    <n v="0.35066666666666663"/>
    <n v="7.1999999999999993"/>
    <n v="0.23999999999999996"/>
    <n v="3.3200000000000003"/>
    <x v="2"/>
    <x v="1"/>
    <n v="0"/>
    <n v="7.1999999999999993"/>
    <n v="0.23999999999999996"/>
    <n v="-7.1999999999999993"/>
    <s v="Ecart négatif"/>
    <n v="0"/>
  </r>
  <r>
    <x v="4"/>
    <n v="29"/>
    <x v="15"/>
    <x v="889"/>
    <n v="0.35799999999999998"/>
    <n v="7.8000000000000007"/>
    <n v="0.39"/>
    <n v="-0.64000000000000057"/>
    <x v="0"/>
    <x v="1"/>
    <n v="0"/>
    <n v="7.8000000000000007"/>
    <n v="0.39"/>
    <n v="-7.8000000000000007"/>
    <s v="Ecart négatif"/>
    <n v="0"/>
  </r>
  <r>
    <x v="4"/>
    <n v="22"/>
    <x v="15"/>
    <x v="889"/>
    <n v="0.35799999999999998"/>
    <n v="7.6"/>
    <n v="0.38"/>
    <n v="-0.4399999999999995"/>
    <x v="0"/>
    <x v="1"/>
    <n v="0"/>
    <n v="7.6"/>
    <n v="0.38"/>
    <n v="-7.6"/>
    <s v="Ecart négatif"/>
    <n v="0"/>
  </r>
  <r>
    <x v="4"/>
    <n v="30"/>
    <x v="11"/>
    <x v="890"/>
    <n v="0.35833333333333334"/>
    <n v="23.400000000000002"/>
    <n v="0.39"/>
    <n v="-1.9000000000000021"/>
    <x v="0"/>
    <x v="1"/>
    <n v="0"/>
    <n v="23.400000000000002"/>
    <n v="0.39"/>
    <n v="-23.400000000000002"/>
    <s v="Ecart négatif"/>
    <n v="0"/>
  </r>
  <r>
    <x v="4"/>
    <n v="30"/>
    <x v="11"/>
    <x v="890"/>
    <n v="0.35833333333333334"/>
    <n v="23.400000000000002"/>
    <n v="0.39"/>
    <n v="-1.9000000000000021"/>
    <x v="0"/>
    <x v="1"/>
    <n v="0"/>
    <n v="23.400000000000002"/>
    <n v="0.39"/>
    <n v="-23.400000000000002"/>
    <s v="Ecart négatif"/>
    <n v="0"/>
  </r>
  <r>
    <x v="4"/>
    <n v="29"/>
    <x v="11"/>
    <x v="891"/>
    <n v="0.35850000000000004"/>
    <n v="23.400000000000002"/>
    <n v="0.39"/>
    <n v="-1.8900000000000006"/>
    <x v="0"/>
    <x v="1"/>
    <n v="0"/>
    <n v="23.400000000000002"/>
    <n v="0.39"/>
    <n v="-23.400000000000002"/>
    <s v="Ecart négatif"/>
    <n v="0"/>
  </r>
  <r>
    <x v="0"/>
    <n v="13"/>
    <x v="8"/>
    <x v="0"/>
    <n v="0"/>
    <n v="13.3"/>
    <n v="0.19"/>
    <n v="-13.3"/>
    <x v="0"/>
    <x v="1"/>
    <n v="0"/>
    <n v="13.3"/>
    <n v="0.19"/>
    <n v="-13.3"/>
    <s v="Ecart négatif"/>
    <n v="44.77"/>
  </r>
  <r>
    <x v="4"/>
    <n v="34"/>
    <x v="11"/>
    <x v="892"/>
    <n v="0.35966666666666663"/>
    <n v="23.400000000000002"/>
    <n v="0.39"/>
    <n v="-1.8200000000000038"/>
    <x v="0"/>
    <x v="1"/>
    <n v="0"/>
    <n v="23.400000000000002"/>
    <n v="0.39"/>
    <n v="-23.400000000000002"/>
    <s v="Ecart négatif"/>
    <n v="0"/>
  </r>
  <r>
    <x v="2"/>
    <n v="13"/>
    <x v="8"/>
    <x v="0"/>
    <n v="0"/>
    <n v="13.3"/>
    <n v="0.19"/>
    <n v="-13.3"/>
    <x v="0"/>
    <x v="1"/>
    <n v="0"/>
    <n v="13.3"/>
    <n v="0.19"/>
    <n v="-13.3"/>
    <s v="Ecart négatif"/>
    <n v="0"/>
  </r>
  <r>
    <x v="0"/>
    <n v="73"/>
    <x v="0"/>
    <x v="0"/>
    <n v="0"/>
    <n v="0"/>
    <n v="0"/>
    <n v="0"/>
    <x v="1"/>
    <x v="1"/>
    <n v="0"/>
    <n v="0"/>
    <n v="0"/>
    <n v="0"/>
    <s v="Pas d'écart"/>
    <n v="23.210000000000008"/>
  </r>
  <r>
    <x v="4"/>
    <n v="29"/>
    <x v="11"/>
    <x v="892"/>
    <n v="0.35966666666666663"/>
    <n v="23.400000000000002"/>
    <n v="0.39"/>
    <n v="-1.8200000000000038"/>
    <x v="0"/>
    <x v="1"/>
    <n v="0"/>
    <n v="23.400000000000002"/>
    <n v="0.39"/>
    <n v="-23.400000000000002"/>
    <s v="Ecart négatif"/>
    <n v="0"/>
  </r>
  <r>
    <x v="0"/>
    <n v="76"/>
    <x v="6"/>
    <x v="0"/>
    <n v="0"/>
    <n v="27.200000000000003"/>
    <n v="0.17"/>
    <n v="-27.200000000000003"/>
    <x v="0"/>
    <x v="7"/>
    <n v="0.16043750000000001"/>
    <n v="27.200000000000003"/>
    <n v="0.17"/>
    <n v="-1.5300000000000011"/>
    <s v="Ecart négatif"/>
    <n v="15.310000000000002"/>
  </r>
  <r>
    <x v="0"/>
    <n v="59"/>
    <x v="13"/>
    <x v="0"/>
    <n v="0"/>
    <n v="0"/>
    <n v="0"/>
    <n v="0"/>
    <x v="1"/>
    <x v="1"/>
    <n v="0"/>
    <n v="0"/>
    <n v="0"/>
    <n v="0"/>
    <s v="Pas d'écart"/>
    <n v="16.870000000000005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4"/>
    <n v="80"/>
    <x v="12"/>
    <x v="6"/>
    <n v="0.19"/>
    <n v="7.6"/>
    <n v="0.19"/>
    <n v="0"/>
    <x v="1"/>
    <x v="1"/>
    <n v="0"/>
    <n v="7.6"/>
    <n v="0.19"/>
    <n v="-7.6"/>
    <s v="Ecart négatif"/>
    <n v="0"/>
  </r>
  <r>
    <x v="3"/>
    <n v="30"/>
    <x v="11"/>
    <x v="892"/>
    <n v="0.35966666666666663"/>
    <n v="23.400000000000002"/>
    <n v="0.39"/>
    <n v="-1.8200000000000038"/>
    <x v="0"/>
    <x v="1"/>
    <n v="0"/>
    <n v="23.400000000000002"/>
    <n v="0.39"/>
    <n v="-23.400000000000002"/>
    <s v="Ecart négatif"/>
    <n v="10.560000000000002"/>
  </r>
  <r>
    <x v="4"/>
    <n v="29"/>
    <x v="11"/>
    <x v="892"/>
    <n v="0.35966666666666663"/>
    <n v="23.400000000000002"/>
    <n v="0.39"/>
    <n v="-1.8200000000000038"/>
    <x v="0"/>
    <x v="1"/>
    <n v="0"/>
    <n v="23.400000000000002"/>
    <n v="0.39"/>
    <n v="-23.400000000000002"/>
    <s v="Ecart négatif"/>
    <n v="0"/>
  </r>
  <r>
    <x v="4"/>
    <n v="44"/>
    <x v="12"/>
    <x v="95"/>
    <n v="0.27"/>
    <n v="10.8"/>
    <n v="0.27"/>
    <n v="0"/>
    <x v="1"/>
    <x v="1"/>
    <n v="0"/>
    <n v="10.8"/>
    <n v="0.27"/>
    <n v="-10.8"/>
    <s v="Ecart négatif"/>
    <n v="0"/>
  </r>
  <r>
    <x v="2"/>
    <n v="42"/>
    <x v="22"/>
    <x v="0"/>
    <n v="0"/>
    <n v="0"/>
    <n v="0"/>
    <n v="0"/>
    <x v="1"/>
    <x v="1"/>
    <n v="0"/>
    <n v="0"/>
    <n v="0"/>
    <n v="0"/>
    <s v="Pas d'écart"/>
    <n v="0"/>
  </r>
  <r>
    <x v="3"/>
    <n v="11"/>
    <x v="11"/>
    <x v="893"/>
    <n v="0.35983333333333334"/>
    <n v="21.599999999999998"/>
    <n v="0.36"/>
    <n v="-9.9999999999980105E-3"/>
    <x v="0"/>
    <x v="1"/>
    <n v="0"/>
    <n v="21.599999999999998"/>
    <n v="0.36"/>
    <n v="-21.599999999999998"/>
    <s v="Ecart négatif"/>
    <n v="10.560000000000002"/>
  </r>
  <r>
    <x v="3"/>
    <n v="11"/>
    <x v="11"/>
    <x v="893"/>
    <n v="0.35983333333333334"/>
    <n v="21.599999999999998"/>
    <n v="0.36"/>
    <n v="-9.9999999999980105E-3"/>
    <x v="0"/>
    <x v="1"/>
    <n v="0"/>
    <n v="21.599999999999998"/>
    <n v="0.36"/>
    <n v="-21.599999999999998"/>
    <s v="Ecart négatif"/>
    <n v="10.560000000000002"/>
  </r>
  <r>
    <x v="4"/>
    <n v="29"/>
    <x v="14"/>
    <x v="894"/>
    <n v="0.36084615384615382"/>
    <n v="50.7"/>
    <n v="0.39"/>
    <n v="-3.7900000000000063"/>
    <x v="0"/>
    <x v="1"/>
    <n v="0"/>
    <n v="50.7"/>
    <n v="0.39"/>
    <n v="-50.7"/>
    <s v="Ecart négatif"/>
    <n v="0"/>
  </r>
  <r>
    <x v="4"/>
    <n v="60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14"/>
    <x v="1"/>
    <x v="0"/>
    <n v="0"/>
    <n v="20.400000000000002"/>
    <n v="0.17"/>
    <n v="-20.400000000000002"/>
    <x v="0"/>
    <x v="101"/>
    <n v="0.1615"/>
    <n v="20.400000000000002"/>
    <n v="0.17"/>
    <n v="-1.0200000000000031"/>
    <s v="Ecart négatif"/>
    <n v="0"/>
  </r>
  <r>
    <x v="3"/>
    <n v="77"/>
    <x v="46"/>
    <x v="0"/>
    <n v="0"/>
    <n v="0"/>
    <n v="0"/>
    <n v="0"/>
    <x v="1"/>
    <x v="1"/>
    <n v="0"/>
    <n v="0"/>
    <n v="0"/>
    <n v="0"/>
    <s v="Pas d'écart"/>
    <n v="25.080000000000013"/>
  </r>
  <r>
    <x v="2"/>
    <n v="37"/>
    <x v="9"/>
    <x v="0"/>
    <n v="0"/>
    <n v="9.6"/>
    <n v="0.12"/>
    <n v="-9.6"/>
    <x v="0"/>
    <x v="1"/>
    <n v="0"/>
    <n v="9.6"/>
    <n v="0.12"/>
    <n v="-9.6"/>
    <s v="Ecart négatif"/>
    <n v="0"/>
  </r>
  <r>
    <x v="5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94"/>
    <x v="5"/>
    <x v="0"/>
    <n v="0"/>
    <n v="0"/>
    <n v="0"/>
    <n v="0"/>
    <x v="1"/>
    <x v="1"/>
    <n v="0"/>
    <n v="0"/>
    <n v="0"/>
    <n v="0"/>
    <s v="Pas d'écart"/>
    <n v="0"/>
  </r>
  <r>
    <x v="4"/>
    <n v="77"/>
    <x v="2"/>
    <x v="0"/>
    <n v="0"/>
    <n v="0"/>
    <n v="0"/>
    <n v="0"/>
    <x v="1"/>
    <x v="1"/>
    <n v="0"/>
    <n v="0"/>
    <n v="0"/>
    <n v="0"/>
    <s v="Pas d'écart"/>
    <n v="0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4"/>
    <n v="34"/>
    <x v="18"/>
    <x v="895"/>
    <n v="0.36144444444444446"/>
    <n v="35.1"/>
    <n v="0.39"/>
    <n v="-2.5700000000000003"/>
    <x v="0"/>
    <x v="1"/>
    <n v="0"/>
    <n v="35.1"/>
    <n v="0.39"/>
    <n v="-35.1"/>
    <s v="Ecart négatif"/>
    <n v="0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4"/>
    <n v="77"/>
    <x v="11"/>
    <x v="0"/>
    <n v="0"/>
    <n v="0"/>
    <n v="0"/>
    <n v="0"/>
    <x v="1"/>
    <x v="1"/>
    <n v="0"/>
    <n v="0"/>
    <n v="0"/>
    <n v="0"/>
    <s v="Pas d'écart"/>
    <n v="34.26"/>
  </r>
  <r>
    <x v="2"/>
    <n v="74"/>
    <x v="2"/>
    <x v="0"/>
    <n v="0"/>
    <n v="0"/>
    <n v="0"/>
    <n v="0"/>
    <x v="1"/>
    <x v="144"/>
    <n v="0.26999999999999996"/>
    <n v="0"/>
    <n v="0"/>
    <n v="37.799999999999997"/>
    <s v="Ecart positif"/>
    <n v="0"/>
  </r>
  <r>
    <x v="0"/>
    <n v="71"/>
    <x v="16"/>
    <x v="0"/>
    <n v="0"/>
    <n v="0"/>
    <n v="0"/>
    <n v="0"/>
    <x v="1"/>
    <x v="1"/>
    <n v="0"/>
    <n v="0"/>
    <n v="0"/>
    <n v="0"/>
    <s v="Pas d'écart"/>
    <n v="129.61000000000001"/>
  </r>
  <r>
    <x v="0"/>
    <n v="39"/>
    <x v="7"/>
    <x v="0"/>
    <n v="0"/>
    <n v="0"/>
    <n v="0"/>
    <n v="0"/>
    <x v="1"/>
    <x v="1"/>
    <n v="0"/>
    <n v="0"/>
    <n v="0"/>
    <n v="0"/>
    <s v="Pas d'écart"/>
    <n v="3.7600000000000016"/>
  </r>
  <r>
    <x v="0"/>
    <n v="57"/>
    <x v="12"/>
    <x v="0"/>
    <n v="0"/>
    <n v="10"/>
    <n v="0.25"/>
    <n v="-10"/>
    <x v="0"/>
    <x v="31"/>
    <n v="0.25"/>
    <n v="10"/>
    <n v="0.25"/>
    <n v="0"/>
    <s v="Pas d'écart"/>
    <n v="8.2899999999999991"/>
  </r>
  <r>
    <x v="0"/>
    <n v="69"/>
    <x v="0"/>
    <x v="0"/>
    <n v="0"/>
    <n v="0"/>
    <n v="0"/>
    <n v="0"/>
    <x v="1"/>
    <x v="1"/>
    <n v="0"/>
    <n v="0"/>
    <n v="0"/>
    <n v="0"/>
    <s v="Pas d'écart"/>
    <n v="92.1"/>
  </r>
  <r>
    <x v="2"/>
    <n v="84"/>
    <x v="8"/>
    <x v="0"/>
    <n v="0"/>
    <n v="13.3"/>
    <n v="0.19"/>
    <n v="-13.3"/>
    <x v="0"/>
    <x v="1"/>
    <n v="0"/>
    <n v="13.3"/>
    <n v="0.19"/>
    <n v="-13.3"/>
    <s v="Ecart négatif"/>
    <n v="61.48"/>
  </r>
  <r>
    <x v="2"/>
    <n v="28"/>
    <x v="0"/>
    <x v="0"/>
    <n v="0"/>
    <n v="21.599999999999998"/>
    <n v="0.11999999999999998"/>
    <n v="-21.599999999999998"/>
    <x v="0"/>
    <x v="1"/>
    <n v="0"/>
    <n v="21.599999999999998"/>
    <n v="0.11999999999999998"/>
    <n v="-21.599999999999998"/>
    <s v="Ecart négatif"/>
    <n v="116.04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107.35"/>
  </r>
  <r>
    <x v="4"/>
    <n v="29"/>
    <x v="14"/>
    <x v="896"/>
    <n v="0.3619230769230769"/>
    <n v="50.7"/>
    <n v="0.39"/>
    <n v="-3.6500000000000057"/>
    <x v="0"/>
    <x v="1"/>
    <n v="0"/>
    <n v="50.7"/>
    <n v="0.39"/>
    <n v="-50.7"/>
    <s v="Ecart négatif"/>
    <n v="0"/>
  </r>
  <r>
    <x v="4"/>
    <n v="22"/>
    <x v="11"/>
    <x v="897"/>
    <n v="0.36233333333333329"/>
    <n v="22.8"/>
    <n v="0.38"/>
    <n v="-1.0600000000000023"/>
    <x v="0"/>
    <x v="1"/>
    <n v="0"/>
    <n v="22.8"/>
    <n v="0.38"/>
    <n v="-22.8"/>
    <s v="Ecart négatif"/>
    <n v="0"/>
  </r>
  <r>
    <x v="0"/>
    <n v="21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44.77"/>
  </r>
  <r>
    <x v="0"/>
    <n v="13"/>
    <x v="1"/>
    <x v="0"/>
    <n v="0"/>
    <n v="22.8"/>
    <n v="0.19"/>
    <n v="-22.8"/>
    <x v="0"/>
    <x v="1"/>
    <n v="0"/>
    <n v="22.8"/>
    <n v="0.19"/>
    <n v="-22.8"/>
    <s v="Ecart négatif"/>
    <n v="59.47"/>
  </r>
  <r>
    <x v="4"/>
    <n v="30"/>
    <x v="14"/>
    <x v="898"/>
    <n v="0.36253846153846153"/>
    <n v="50.7"/>
    <n v="0.39"/>
    <n v="-3.5700000000000003"/>
    <x v="0"/>
    <x v="1"/>
    <n v="0"/>
    <n v="50.7"/>
    <n v="0.39"/>
    <n v="-50.7"/>
    <s v="Ecart négatif"/>
    <n v="0"/>
  </r>
  <r>
    <x v="2"/>
    <n v="13"/>
    <x v="20"/>
    <x v="0"/>
    <n v="0"/>
    <n v="47.5"/>
    <n v="0.19"/>
    <n v="-47.5"/>
    <x v="0"/>
    <x v="1"/>
    <n v="0"/>
    <n v="47.5"/>
    <n v="0.19"/>
    <n v="-47.5"/>
    <s v="Ecart négatif"/>
    <n v="131.1"/>
  </r>
  <r>
    <x v="6"/>
    <n v="34"/>
    <x v="2"/>
    <x v="0"/>
    <n v="0"/>
    <n v="54.6"/>
    <n v="0.39"/>
    <n v="-54.6"/>
    <x v="0"/>
    <x v="353"/>
    <n v="0.29000000000000004"/>
    <n v="54.6"/>
    <n v="0.39"/>
    <n v="-14"/>
    <s v="Ecart négatif"/>
    <n v="78.8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2"/>
    <n v="67"/>
    <x v="0"/>
    <x v="0"/>
    <n v="0"/>
    <n v="14.4"/>
    <n v="0.08"/>
    <n v="-14.4"/>
    <x v="0"/>
    <x v="102"/>
    <n v="0.08"/>
    <n v="14.4"/>
    <n v="0.08"/>
    <n v="0"/>
    <s v="Pas d'écart"/>
    <n v="0"/>
  </r>
  <r>
    <x v="0"/>
    <n v="68"/>
    <x v="8"/>
    <x v="0"/>
    <n v="0"/>
    <n v="5.6000000000000005"/>
    <n v="0.08"/>
    <n v="-5.6000000000000005"/>
    <x v="0"/>
    <x v="136"/>
    <n v="0.08"/>
    <n v="5.6000000000000005"/>
    <n v="0.08"/>
    <n v="0"/>
    <s v="Pas d'écart"/>
    <n v="12.299999999999997"/>
  </r>
  <r>
    <x v="2"/>
    <n v="2"/>
    <x v="0"/>
    <x v="0"/>
    <n v="0"/>
    <n v="0"/>
    <n v="0"/>
    <n v="0"/>
    <x v="1"/>
    <x v="1"/>
    <n v="0"/>
    <n v="0"/>
    <n v="0"/>
    <n v="0"/>
    <s v="Pas d'écart"/>
    <n v="107.35"/>
  </r>
  <r>
    <x v="0"/>
    <n v="68"/>
    <x v="8"/>
    <x v="0"/>
    <n v="0"/>
    <n v="5.6000000000000005"/>
    <n v="0.08"/>
    <n v="-5.6000000000000005"/>
    <x v="0"/>
    <x v="136"/>
    <n v="0.08"/>
    <n v="5.6000000000000005"/>
    <n v="0.08"/>
    <n v="0"/>
    <s v="Pas d'écart"/>
    <n v="12.299999999999997"/>
  </r>
  <r>
    <x v="4"/>
    <n v="75"/>
    <x v="18"/>
    <x v="0"/>
    <n v="0"/>
    <n v="0"/>
    <n v="0"/>
    <n v="0"/>
    <x v="1"/>
    <x v="1"/>
    <n v="0"/>
    <n v="0"/>
    <n v="0"/>
    <n v="0"/>
    <s v="Pas d'écart"/>
    <n v="0"/>
  </r>
  <r>
    <x v="0"/>
    <n v="69"/>
    <x v="7"/>
    <x v="0"/>
    <n v="0"/>
    <n v="0"/>
    <n v="0"/>
    <n v="0"/>
    <x v="1"/>
    <x v="1"/>
    <n v="0"/>
    <n v="0"/>
    <n v="0"/>
    <n v="0"/>
    <s v="Pas d'écart"/>
    <n v="3.7899999999999991"/>
  </r>
  <r>
    <x v="0"/>
    <n v="38"/>
    <x v="3"/>
    <x v="0"/>
    <n v="0"/>
    <n v="0"/>
    <n v="0"/>
    <n v="0"/>
    <x v="1"/>
    <x v="78"/>
    <n v="0.25842857142857145"/>
    <n v="0"/>
    <n v="0"/>
    <n v="54.27"/>
    <s v="Ecart positif"/>
    <n v="135.19999999999999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71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25.37"/>
  </r>
  <r>
    <x v="2"/>
    <n v="38"/>
    <x v="20"/>
    <x v="0"/>
    <n v="0"/>
    <n v="0"/>
    <n v="0"/>
    <n v="0"/>
    <x v="1"/>
    <x v="1"/>
    <n v="0"/>
    <n v="0"/>
    <n v="0"/>
    <n v="0"/>
    <s v="Pas d'écart"/>
    <n v="0"/>
  </r>
  <r>
    <x v="0"/>
    <n v="44"/>
    <x v="2"/>
    <x v="0"/>
    <n v="0"/>
    <n v="0"/>
    <n v="0"/>
    <n v="0"/>
    <x v="1"/>
    <x v="144"/>
    <n v="0.26999999999999996"/>
    <n v="0"/>
    <n v="0"/>
    <n v="37.799999999999997"/>
    <s v="Ecart positif"/>
    <n v="65.680000000000007"/>
  </r>
  <r>
    <x v="0"/>
    <n v="77"/>
    <x v="6"/>
    <x v="0"/>
    <n v="0"/>
    <n v="0"/>
    <n v="0"/>
    <n v="0"/>
    <x v="1"/>
    <x v="1"/>
    <n v="0"/>
    <n v="0"/>
    <n v="0"/>
    <n v="0"/>
    <s v="Pas d'écart"/>
    <n v="56.79"/>
  </r>
  <r>
    <x v="4"/>
    <n v="34"/>
    <x v="14"/>
    <x v="898"/>
    <n v="0.36253846153846153"/>
    <n v="50.7"/>
    <n v="0.39"/>
    <n v="-3.5700000000000003"/>
    <x v="0"/>
    <x v="1"/>
    <n v="0"/>
    <n v="50.7"/>
    <n v="0.39"/>
    <n v="-50.7"/>
    <s v="Ecart négatif"/>
    <n v="0"/>
  </r>
  <r>
    <x v="4"/>
    <n v="66"/>
    <x v="14"/>
    <x v="898"/>
    <n v="0.36253846153846153"/>
    <n v="44.2"/>
    <n v="0.34"/>
    <n v="2.9299999999999997"/>
    <x v="2"/>
    <x v="1"/>
    <n v="0"/>
    <n v="44.2"/>
    <n v="0.34"/>
    <n v="-44.2"/>
    <s v="Ecart négatif"/>
    <n v="0"/>
  </r>
  <r>
    <x v="4"/>
    <n v="30"/>
    <x v="18"/>
    <x v="899"/>
    <n v="0.36399999999999999"/>
    <n v="35.1"/>
    <n v="0.39"/>
    <n v="-2.3400000000000034"/>
    <x v="0"/>
    <x v="1"/>
    <n v="0"/>
    <n v="35.1"/>
    <n v="0.39"/>
    <n v="-35.1"/>
    <s v="Ecart négatif"/>
    <n v="5.730000000000004"/>
  </r>
  <r>
    <x v="0"/>
    <n v="27"/>
    <x v="12"/>
    <x v="0"/>
    <n v="0"/>
    <n v="6.8000000000000007"/>
    <n v="0.17"/>
    <n v="-6.8000000000000007"/>
    <x v="0"/>
    <x v="1"/>
    <n v="0"/>
    <n v="6.8000000000000007"/>
    <n v="0.17"/>
    <n v="-6.8000000000000007"/>
    <s v="Ecart négatif"/>
    <n v="41.47"/>
  </r>
  <r>
    <x v="4"/>
    <n v="22"/>
    <x v="4"/>
    <x v="849"/>
    <n v="0.36409090909090908"/>
    <n v="41.8"/>
    <n v="0.37999999999999995"/>
    <n v="-1.75"/>
    <x v="0"/>
    <x v="1"/>
    <n v="0"/>
    <n v="41.8"/>
    <n v="0.37999999999999995"/>
    <n v="-41.8"/>
    <s v="Ecart négatif"/>
    <n v="0"/>
  </r>
  <r>
    <x v="4"/>
    <n v="22"/>
    <x v="4"/>
    <x v="849"/>
    <n v="0.36409090909090908"/>
    <n v="41.8"/>
    <n v="0.37999999999999995"/>
    <n v="-1.75"/>
    <x v="0"/>
    <x v="1"/>
    <n v="0"/>
    <n v="41.8"/>
    <n v="0.37999999999999995"/>
    <n v="-41.8"/>
    <s v="Ecart négatif"/>
    <n v="0"/>
  </r>
  <r>
    <x v="2"/>
    <n v="75"/>
    <x v="6"/>
    <x v="0"/>
    <n v="0"/>
    <n v="0"/>
    <n v="0"/>
    <n v="0"/>
    <x v="1"/>
    <x v="1"/>
    <n v="0"/>
    <n v="0"/>
    <n v="0"/>
    <n v="0"/>
    <s v="Pas d'écart"/>
    <n v="0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76"/>
    <x v="2"/>
    <x v="0"/>
    <n v="0"/>
    <n v="23.8"/>
    <n v="0.17"/>
    <n v="-23.8"/>
    <x v="0"/>
    <x v="40"/>
    <n v="0.17"/>
    <n v="23.8"/>
    <n v="0.17"/>
    <n v="0"/>
    <s v="Pas d'écart"/>
    <n v="65.680000000000007"/>
  </r>
  <r>
    <x v="3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4"/>
    <x v="11"/>
    <x v="0"/>
    <n v="0"/>
    <n v="0"/>
    <n v="0"/>
    <n v="0"/>
    <x v="1"/>
    <x v="1"/>
    <n v="0"/>
    <n v="0"/>
    <n v="0"/>
    <n v="0"/>
    <s v="Pas d'écart"/>
    <n v="6.8499999999999979"/>
  </r>
  <r>
    <x v="0"/>
    <n v="42"/>
    <x v="7"/>
    <x v="0"/>
    <n v="0"/>
    <n v="0"/>
    <n v="0"/>
    <n v="0"/>
    <x v="1"/>
    <x v="1"/>
    <n v="0"/>
    <n v="0"/>
    <n v="0"/>
    <n v="0"/>
    <s v="Pas d'écart"/>
    <n v="20.23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34"/>
    <x v="1"/>
    <x v="900"/>
    <n v="0.36425000000000002"/>
    <n v="46.800000000000004"/>
    <n v="0.39"/>
    <n v="-3.0900000000000034"/>
    <x v="0"/>
    <x v="1"/>
    <n v="0"/>
    <n v="46.800000000000004"/>
    <n v="0.39"/>
    <n v="-46.800000000000004"/>
    <s v="Ecart négatif"/>
    <n v="15.469999999999992"/>
  </r>
  <r>
    <x v="0"/>
    <n v="13"/>
    <x v="12"/>
    <x v="0"/>
    <n v="0"/>
    <n v="7.6"/>
    <n v="0.19"/>
    <n v="-7.6"/>
    <x v="0"/>
    <x v="132"/>
    <n v="0.19"/>
    <n v="7.6"/>
    <n v="0.19"/>
    <n v="0"/>
    <s v="Pas d'écart"/>
    <n v="6.8599999999999994"/>
  </r>
  <r>
    <x v="4"/>
    <n v="38"/>
    <x v="12"/>
    <x v="95"/>
    <n v="0.27"/>
    <n v="10.8"/>
    <n v="0.27"/>
    <n v="0"/>
    <x v="1"/>
    <x v="1"/>
    <n v="0"/>
    <n v="10.8"/>
    <n v="0.27"/>
    <n v="-10.8"/>
    <s v="Ecart négatif"/>
    <n v="0"/>
  </r>
  <r>
    <x v="4"/>
    <n v="34"/>
    <x v="9"/>
    <x v="901"/>
    <n v="0.36625000000000002"/>
    <n v="31.200000000000003"/>
    <n v="0.39"/>
    <n v="-1.9000000000000021"/>
    <x v="0"/>
    <x v="1"/>
    <n v="0"/>
    <n v="31.200000000000003"/>
    <n v="0.39"/>
    <n v="-31.200000000000003"/>
    <s v="Ecart négatif"/>
    <n v="0"/>
  </r>
  <r>
    <x v="3"/>
    <n v="75"/>
    <x v="7"/>
    <x v="0"/>
    <n v="0"/>
    <n v="0"/>
    <n v="0"/>
    <n v="0"/>
    <x v="1"/>
    <x v="1"/>
    <n v="0"/>
    <n v="0"/>
    <n v="0"/>
    <n v="0"/>
    <s v="Pas d'écart"/>
    <n v="4.1700000000000017"/>
  </r>
  <r>
    <x v="2"/>
    <n v="14"/>
    <x v="0"/>
    <x v="0"/>
    <n v="0"/>
    <n v="30.6"/>
    <n v="0.17"/>
    <n v="-30.6"/>
    <x v="0"/>
    <x v="0"/>
    <n v="0.17"/>
    <n v="30.6"/>
    <n v="0.17"/>
    <n v="0"/>
    <s v="Pas d'écart"/>
    <n v="0"/>
  </r>
  <r>
    <x v="2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116.04"/>
  </r>
  <r>
    <x v="2"/>
    <n v="45"/>
    <x v="2"/>
    <x v="0"/>
    <n v="0"/>
    <n v="16.8"/>
    <n v="0.12000000000000001"/>
    <n v="-16.8"/>
    <x v="0"/>
    <x v="36"/>
    <n v="0.39"/>
    <n v="16.8"/>
    <n v="0.12000000000000001"/>
    <n v="37.799999999999997"/>
    <s v="Ecart positif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88"/>
    <x v="15"/>
    <x v="0"/>
    <n v="0"/>
    <n v="1.6"/>
    <n v="0.08"/>
    <n v="-1.6"/>
    <x v="0"/>
    <x v="1"/>
    <n v="0"/>
    <n v="1.6"/>
    <n v="0.08"/>
    <n v="-1.6"/>
    <s v="Ecart négatif"/>
    <n v="16.39"/>
  </r>
  <r>
    <x v="4"/>
    <n v="34"/>
    <x v="9"/>
    <x v="901"/>
    <n v="0.36625000000000002"/>
    <n v="31.200000000000003"/>
    <n v="0.39"/>
    <n v="-1.9000000000000021"/>
    <x v="0"/>
    <x v="1"/>
    <n v="0"/>
    <n v="31.200000000000003"/>
    <n v="0.39"/>
    <n v="-31.200000000000003"/>
    <s v="Ecart négatif"/>
    <n v="0"/>
  </r>
  <r>
    <x v="6"/>
    <n v="25"/>
    <x v="22"/>
    <x v="0"/>
    <n v="0"/>
    <n v="24"/>
    <n v="0.24"/>
    <n v="-24"/>
    <x v="0"/>
    <x v="1"/>
    <n v="0"/>
    <n v="24"/>
    <n v="0.24"/>
    <n v="-24"/>
    <s v="Ecart négatif"/>
    <n v="22.65"/>
  </r>
  <r>
    <x v="4"/>
    <n v="34"/>
    <x v="2"/>
    <x v="902"/>
    <n v="0.36671428571428571"/>
    <n v="54.6"/>
    <n v="0.39"/>
    <n v="-3.259999999999998"/>
    <x v="0"/>
    <x v="1"/>
    <n v="0"/>
    <n v="54.6"/>
    <n v="0.39"/>
    <n v="-54.6"/>
    <s v="Ecart négatif"/>
    <n v="0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4"/>
    <n v="94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75"/>
    <x v="58"/>
    <x v="0"/>
    <n v="0"/>
    <n v="0"/>
    <n v="0"/>
    <n v="0"/>
    <x v="1"/>
    <x v="1"/>
    <n v="0"/>
    <n v="0"/>
    <n v="0"/>
    <n v="0"/>
    <s v="Pas d'écart"/>
    <n v="0"/>
  </r>
  <r>
    <x v="3"/>
    <n v="6"/>
    <x v="25"/>
    <x v="903"/>
    <n v="0.3"/>
    <n v="66"/>
    <n v="0.3"/>
    <n v="0"/>
    <x v="1"/>
    <x v="1"/>
    <n v="0"/>
    <n v="66"/>
    <n v="0.3"/>
    <n v="-66"/>
    <s v="Ecart négatif"/>
    <n v="30.549999999999983"/>
  </r>
  <r>
    <x v="4"/>
    <n v="29"/>
    <x v="2"/>
    <x v="902"/>
    <n v="0.36671428571428571"/>
    <n v="54.6"/>
    <n v="0.39"/>
    <n v="-3.259999999999998"/>
    <x v="0"/>
    <x v="1"/>
    <n v="0"/>
    <n v="54.6"/>
    <n v="0.39"/>
    <n v="-54.6"/>
    <s v="Ecart négatif"/>
    <n v="0"/>
  </r>
  <r>
    <x v="4"/>
    <n v="29"/>
    <x v="2"/>
    <x v="904"/>
    <n v="0.36692857142857144"/>
    <n v="54.6"/>
    <n v="0.39"/>
    <n v="-3.230000000000004"/>
    <x v="0"/>
    <x v="1"/>
    <n v="0"/>
    <n v="54.6"/>
    <n v="0.39"/>
    <n v="-54.6"/>
    <s v="Ecart négatif"/>
    <n v="0"/>
  </r>
  <r>
    <x v="4"/>
    <n v="34"/>
    <x v="2"/>
    <x v="904"/>
    <n v="0.36692857142857144"/>
    <n v="54.6"/>
    <n v="0.39"/>
    <n v="-3.230000000000004"/>
    <x v="0"/>
    <x v="1"/>
    <n v="0"/>
    <n v="54.6"/>
    <n v="0.39"/>
    <n v="-54.6"/>
    <s v="Ecart négatif"/>
    <n v="0"/>
  </r>
  <r>
    <x v="4"/>
    <n v="29"/>
    <x v="9"/>
    <x v="139"/>
    <n v="0.36699999999999999"/>
    <n v="31.200000000000003"/>
    <n v="0.39"/>
    <n v="-1.8400000000000034"/>
    <x v="0"/>
    <x v="1"/>
    <n v="0"/>
    <n v="31.200000000000003"/>
    <n v="0.39"/>
    <n v="-31.200000000000003"/>
    <s v="Ecart négatif"/>
    <n v="0"/>
  </r>
  <r>
    <x v="4"/>
    <n v="66"/>
    <x v="9"/>
    <x v="905"/>
    <n v="0.36724999999999997"/>
    <n v="27.200000000000003"/>
    <n v="0.34"/>
    <n v="2.1799999999999962"/>
    <x v="2"/>
    <x v="1"/>
    <n v="0"/>
    <n v="27.200000000000003"/>
    <n v="0.34"/>
    <n v="-27.200000000000003"/>
    <s v="Ecart négatif"/>
    <n v="0"/>
  </r>
  <r>
    <x v="4"/>
    <n v="75"/>
    <x v="4"/>
    <x v="0"/>
    <n v="0"/>
    <n v="0"/>
    <n v="0"/>
    <n v="0"/>
    <x v="1"/>
    <x v="1"/>
    <n v="0"/>
    <n v="0"/>
    <n v="0"/>
    <n v="0"/>
    <s v="Pas d'écart"/>
    <n v="0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3"/>
    <n v="22"/>
    <x v="4"/>
    <x v="906"/>
    <n v="0.36736363636363634"/>
    <n v="41.8"/>
    <n v="0.37999999999999995"/>
    <n v="-1.3900000000000006"/>
    <x v="0"/>
    <x v="1"/>
    <n v="0"/>
    <n v="41.8"/>
    <n v="0.37999999999999995"/>
    <n v="-41.8"/>
    <s v="Ecart négatif"/>
    <n v="15.329999999999998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29"/>
    <x v="2"/>
    <x v="907"/>
    <n v="0.36764285714285716"/>
    <n v="54.6"/>
    <n v="0.39"/>
    <n v="-3.1300000000000026"/>
    <x v="0"/>
    <x v="1"/>
    <n v="0"/>
    <n v="54.6"/>
    <n v="0.39"/>
    <n v="-54.6"/>
    <s v="Ecart négatif"/>
    <n v="0"/>
  </r>
  <r>
    <x v="1"/>
    <n v="44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42.48"/>
  </r>
  <r>
    <x v="8"/>
    <n v="35"/>
    <x v="0"/>
    <x v="0"/>
    <n v="0"/>
    <n v="48.6"/>
    <n v="0.27"/>
    <n v="-48.6"/>
    <x v="0"/>
    <x v="1"/>
    <n v="0"/>
    <n v="48.6"/>
    <n v="0.27"/>
    <n v="-48.6"/>
    <s v="Ecart négatif"/>
    <n v="0"/>
  </r>
  <r>
    <x v="3"/>
    <n v="34"/>
    <x v="2"/>
    <x v="908"/>
    <n v="0.36771428571428572"/>
    <n v="54.6"/>
    <n v="0.39"/>
    <n v="-3.1200000000000045"/>
    <x v="0"/>
    <x v="1"/>
    <n v="0"/>
    <n v="54.6"/>
    <n v="0.39"/>
    <n v="-54.6"/>
    <s v="Ecart négatif"/>
    <n v="15.759999999999998"/>
  </r>
  <r>
    <x v="4"/>
    <n v="22"/>
    <x v="2"/>
    <x v="908"/>
    <n v="0.36771428571428572"/>
    <n v="53.2"/>
    <n v="0.38"/>
    <n v="-1.720000000000006"/>
    <x v="0"/>
    <x v="1"/>
    <n v="0"/>
    <n v="53.2"/>
    <n v="0.38"/>
    <n v="-53.2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34"/>
    <x v="6"/>
    <x v="909"/>
    <n v="0.36806250000000001"/>
    <n v="62.400000000000006"/>
    <n v="0.39"/>
    <n v="-3.5100000000000051"/>
    <x v="0"/>
    <x v="1"/>
    <n v="0"/>
    <n v="62.400000000000006"/>
    <n v="0.39"/>
    <n v="-62.400000000000006"/>
    <s v="Ecart négatif"/>
    <n v="0"/>
  </r>
  <r>
    <x v="3"/>
    <n v="29"/>
    <x v="6"/>
    <x v="909"/>
    <n v="0.36806250000000001"/>
    <n v="62.400000000000006"/>
    <n v="0.39"/>
    <n v="-3.5100000000000051"/>
    <x v="0"/>
    <x v="1"/>
    <n v="0"/>
    <n v="62.400000000000006"/>
    <n v="0.39"/>
    <n v="-62.400000000000006"/>
    <s v="Ecart négatif"/>
    <n v="18.340000000000003"/>
  </r>
  <r>
    <x v="2"/>
    <n v="75"/>
    <x v="18"/>
    <x v="0"/>
    <n v="0"/>
    <n v="0"/>
    <n v="0"/>
    <n v="0"/>
    <x v="1"/>
    <x v="1"/>
    <n v="0"/>
    <n v="0"/>
    <n v="0"/>
    <n v="0"/>
    <s v="Pas d'écart"/>
    <n v="40.19"/>
  </r>
  <r>
    <x v="3"/>
    <n v="29"/>
    <x v="6"/>
    <x v="909"/>
    <n v="0.36806250000000001"/>
    <n v="62.400000000000006"/>
    <n v="0.39"/>
    <n v="-3.5100000000000051"/>
    <x v="0"/>
    <x v="1"/>
    <n v="0"/>
    <n v="62.400000000000006"/>
    <n v="0.39"/>
    <n v="-62.400000000000006"/>
    <s v="Ecart négatif"/>
    <n v="18.340000000000003"/>
  </r>
  <r>
    <x v="4"/>
    <n v="29"/>
    <x v="10"/>
    <x v="910"/>
    <n v="0.36826666666666669"/>
    <n v="58.5"/>
    <n v="0.39"/>
    <n v="-3.259999999999998"/>
    <x v="0"/>
    <x v="1"/>
    <n v="0"/>
    <n v="58.5"/>
    <n v="0.39"/>
    <n v="-58.5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3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30"/>
    <x v="10"/>
    <x v="911"/>
    <n v="0.36920000000000003"/>
    <n v="58.5"/>
    <n v="0.39"/>
    <n v="-3.1199999999999974"/>
    <x v="0"/>
    <x v="1"/>
    <n v="0"/>
    <n v="58.5"/>
    <n v="0.39"/>
    <n v="-58.5"/>
    <s v="Ecart négatif"/>
    <n v="14.789999999999992"/>
  </r>
  <r>
    <x v="4"/>
    <n v="29"/>
    <x v="10"/>
    <x v="912"/>
    <n v="0.36926666666666669"/>
    <n v="58.5"/>
    <n v="0.39"/>
    <n v="-3.1099999999999994"/>
    <x v="0"/>
    <x v="1"/>
    <n v="0"/>
    <n v="58.5"/>
    <n v="0.39"/>
    <n v="-58.5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30"/>
    <x v="14"/>
    <x v="913"/>
    <n v="0.37092307692307691"/>
    <n v="50.7"/>
    <n v="0.39"/>
    <n v="-2.480000000000004"/>
    <x v="0"/>
    <x v="1"/>
    <n v="0"/>
    <n v="50.7"/>
    <n v="0.39"/>
    <n v="-50.7"/>
    <s v="Ecart négatif"/>
    <n v="7.8799999999999955"/>
  </r>
  <r>
    <x v="4"/>
    <n v="75"/>
    <x v="18"/>
    <x v="0"/>
    <n v="0"/>
    <n v="0"/>
    <n v="0"/>
    <n v="0"/>
    <x v="1"/>
    <x v="1"/>
    <n v="0"/>
    <n v="0"/>
    <n v="0"/>
    <n v="0"/>
    <s v="Pas d'écart"/>
    <n v="0"/>
  </r>
  <r>
    <x v="3"/>
    <n v="77"/>
    <x v="7"/>
    <x v="0"/>
    <n v="0"/>
    <n v="0"/>
    <n v="0"/>
    <n v="0"/>
    <x v="1"/>
    <x v="1"/>
    <n v="0"/>
    <n v="0"/>
    <n v="0"/>
    <n v="0"/>
    <s v="Pas d'écart"/>
    <n v="3.0999999999999996"/>
  </r>
  <r>
    <x v="4"/>
    <n v="30"/>
    <x v="14"/>
    <x v="913"/>
    <n v="0.37092307692307691"/>
    <n v="50.7"/>
    <n v="0.39"/>
    <n v="-2.480000000000004"/>
    <x v="0"/>
    <x v="1"/>
    <n v="0"/>
    <n v="50.7"/>
    <n v="0.39"/>
    <n v="-50.7"/>
    <s v="Ecart négatif"/>
    <n v="7.8799999999999955"/>
  </r>
  <r>
    <x v="0"/>
    <n v="34"/>
    <x v="0"/>
    <x v="0"/>
    <n v="0"/>
    <n v="50.400000000000006"/>
    <n v="0.28000000000000003"/>
    <n v="-50.400000000000006"/>
    <x v="0"/>
    <x v="29"/>
    <n v="0.27999999999999997"/>
    <n v="50.400000000000006"/>
    <n v="0.28000000000000003"/>
    <n v="0"/>
    <s v="Pas d'écart"/>
    <n v="23.210000000000008"/>
  </r>
  <r>
    <x v="0"/>
    <n v="34"/>
    <x v="2"/>
    <x v="0"/>
    <n v="0"/>
    <n v="39.200000000000003"/>
    <n v="0.28000000000000003"/>
    <n v="-39.200000000000003"/>
    <x v="0"/>
    <x v="19"/>
    <n v="0.28000000000000003"/>
    <n v="39.200000000000003"/>
    <n v="0.28000000000000003"/>
    <n v="0"/>
    <s v="Pas d'écart"/>
    <n v="15.759999999999998"/>
  </r>
  <r>
    <x v="6"/>
    <n v="75"/>
    <x v="20"/>
    <x v="0"/>
    <n v="0"/>
    <n v="0"/>
    <n v="0"/>
    <n v="0"/>
    <x v="1"/>
    <x v="235"/>
    <n v="0.17"/>
    <n v="0"/>
    <n v="0"/>
    <n v="42.5"/>
    <s v="Ecart positif"/>
    <n v="73.28"/>
  </r>
  <r>
    <x v="2"/>
    <n v="38"/>
    <x v="18"/>
    <x v="0"/>
    <n v="0"/>
    <n v="0"/>
    <n v="0"/>
    <n v="0"/>
    <x v="1"/>
    <x v="1"/>
    <n v="0"/>
    <n v="0"/>
    <n v="0"/>
    <n v="0"/>
    <s v="Pas d'écart"/>
    <n v="70.73"/>
  </r>
  <r>
    <x v="4"/>
    <n v="34"/>
    <x v="16"/>
    <x v="914"/>
    <n v="0.37264999999999998"/>
    <n v="78"/>
    <n v="0.39"/>
    <n v="-3.4699999999999989"/>
    <x v="0"/>
    <x v="1"/>
    <n v="0"/>
    <n v="78"/>
    <n v="0.39"/>
    <n v="-78"/>
    <s v="Ecart négatif"/>
    <n v="0"/>
  </r>
  <r>
    <x v="4"/>
    <n v="22"/>
    <x v="10"/>
    <x v="915"/>
    <n v="0.37266666666666665"/>
    <n v="57"/>
    <n v="0.38"/>
    <n v="-1.1000000000000014"/>
    <x v="0"/>
    <x v="1"/>
    <n v="0"/>
    <n v="57"/>
    <n v="0.38"/>
    <n v="-57"/>
    <s v="Ecart négatif"/>
    <n v="0"/>
  </r>
  <r>
    <x v="4"/>
    <n v="34"/>
    <x v="10"/>
    <x v="916"/>
    <n v="0.373"/>
    <n v="58.5"/>
    <n v="0.39"/>
    <n v="-2.5499999999999972"/>
    <x v="0"/>
    <x v="1"/>
    <n v="0"/>
    <n v="58.5"/>
    <n v="0.39"/>
    <n v="-58.5"/>
    <s v="Ecart négatif"/>
    <n v="0"/>
  </r>
  <r>
    <x v="4"/>
    <n v="34"/>
    <x v="10"/>
    <x v="916"/>
    <n v="0.373"/>
    <n v="58.5"/>
    <n v="0.39"/>
    <n v="-2.5499999999999972"/>
    <x v="0"/>
    <x v="1"/>
    <n v="0"/>
    <n v="58.5"/>
    <n v="0.39"/>
    <n v="-58.5"/>
    <s v="Ecart négatif"/>
    <n v="0"/>
  </r>
  <r>
    <x v="4"/>
    <n v="34"/>
    <x v="10"/>
    <x v="916"/>
    <n v="0.373"/>
    <n v="58.5"/>
    <n v="0.39"/>
    <n v="-2.5499999999999972"/>
    <x v="0"/>
    <x v="1"/>
    <n v="0"/>
    <n v="58.5"/>
    <n v="0.39"/>
    <n v="-58.5"/>
    <s v="Ecart négatif"/>
    <n v="0"/>
  </r>
  <r>
    <x v="4"/>
    <n v="34"/>
    <x v="10"/>
    <x v="916"/>
    <n v="0.373"/>
    <n v="58.5"/>
    <n v="0.39"/>
    <n v="-2.5499999999999972"/>
    <x v="0"/>
    <x v="1"/>
    <n v="0"/>
    <n v="58.5"/>
    <n v="0.39"/>
    <n v="-58.5"/>
    <s v="Ecart négatif"/>
    <n v="0"/>
  </r>
  <r>
    <x v="3"/>
    <n v="75"/>
    <x v="11"/>
    <x v="0"/>
    <n v="0"/>
    <n v="0"/>
    <n v="0"/>
    <n v="0"/>
    <x v="1"/>
    <x v="1"/>
    <n v="0"/>
    <n v="0"/>
    <n v="0"/>
    <n v="0"/>
    <s v="Pas d'écart"/>
    <n v="6.8499999999999979"/>
  </r>
  <r>
    <x v="4"/>
    <n v="92"/>
    <x v="2"/>
    <x v="0"/>
    <n v="0"/>
    <n v="0"/>
    <n v="0"/>
    <n v="0"/>
    <x v="1"/>
    <x v="1"/>
    <n v="0"/>
    <n v="0"/>
    <n v="0"/>
    <n v="0"/>
    <s v="Pas d'écart"/>
    <n v="0"/>
  </r>
  <r>
    <x v="4"/>
    <n v="34"/>
    <x v="10"/>
    <x v="916"/>
    <n v="0.373"/>
    <n v="58.5"/>
    <n v="0.39"/>
    <n v="-2.5499999999999972"/>
    <x v="0"/>
    <x v="1"/>
    <n v="0"/>
    <n v="58.5"/>
    <n v="0.39"/>
    <n v="-58.5"/>
    <s v="Ecart négatif"/>
    <n v="0"/>
  </r>
  <r>
    <x v="4"/>
    <n v="34"/>
    <x v="10"/>
    <x v="916"/>
    <n v="0.373"/>
    <n v="58.5"/>
    <n v="0.39"/>
    <n v="-2.5499999999999972"/>
    <x v="0"/>
    <x v="1"/>
    <n v="0"/>
    <n v="58.5"/>
    <n v="0.39"/>
    <n v="-58.5"/>
    <s v="Ecart négatif"/>
    <n v="0"/>
  </r>
  <r>
    <x v="3"/>
    <n v="34"/>
    <x v="10"/>
    <x v="917"/>
    <n v="0.37313333333333332"/>
    <n v="58.5"/>
    <n v="0.39"/>
    <n v="-2.5300000000000011"/>
    <x v="0"/>
    <x v="1"/>
    <n v="0"/>
    <n v="58.5"/>
    <n v="0.39"/>
    <n v="-58.5"/>
    <s v="Ecart négatif"/>
    <n v="15.900000000000006"/>
  </r>
  <r>
    <x v="4"/>
    <n v="34"/>
    <x v="10"/>
    <x v="917"/>
    <n v="0.37313333333333332"/>
    <n v="58.5"/>
    <n v="0.39"/>
    <n v="-2.5300000000000011"/>
    <x v="0"/>
    <x v="1"/>
    <n v="0"/>
    <n v="58.5"/>
    <n v="0.39"/>
    <n v="-58.5"/>
    <s v="Ecart négatif"/>
    <n v="0"/>
  </r>
  <r>
    <x v="3"/>
    <n v="34"/>
    <x v="10"/>
    <x v="917"/>
    <n v="0.37313333333333332"/>
    <n v="58.5"/>
    <n v="0.39"/>
    <n v="-2.5300000000000011"/>
    <x v="0"/>
    <x v="1"/>
    <n v="0"/>
    <n v="58.5"/>
    <n v="0.39"/>
    <n v="-58.5"/>
    <s v="Ecart négatif"/>
    <n v="15.900000000000006"/>
  </r>
  <r>
    <x v="4"/>
    <n v="34"/>
    <x v="25"/>
    <x v="918"/>
    <n v="0.37313636363636365"/>
    <n v="85.8"/>
    <n v="0.39"/>
    <n v="-3.7099999999999937"/>
    <x v="0"/>
    <x v="1"/>
    <n v="0"/>
    <n v="85.8"/>
    <n v="0.39"/>
    <n v="-85.8"/>
    <s v="Ecart négatif"/>
    <n v="0"/>
  </r>
  <r>
    <x v="1"/>
    <n v="44"/>
    <x v="22"/>
    <x v="0"/>
    <n v="0"/>
    <n v="27"/>
    <n v="0.27"/>
    <n v="-27"/>
    <x v="0"/>
    <x v="1"/>
    <n v="0"/>
    <n v="27"/>
    <n v="0.27"/>
    <n v="-27"/>
    <s v="Ecart négatif"/>
    <n v="53.27"/>
  </r>
  <r>
    <x v="2"/>
    <n v="49"/>
    <x v="12"/>
    <x v="0"/>
    <n v="0"/>
    <n v="0"/>
    <n v="0"/>
    <n v="0"/>
    <x v="1"/>
    <x v="1"/>
    <n v="0"/>
    <n v="0"/>
    <n v="0"/>
    <n v="0"/>
    <s v="Pas d'écart"/>
    <n v="0"/>
  </r>
  <r>
    <x v="6"/>
    <n v="34"/>
    <x v="12"/>
    <x v="0"/>
    <n v="0"/>
    <n v="15.600000000000001"/>
    <n v="0.39"/>
    <n v="-15.600000000000001"/>
    <x v="0"/>
    <x v="346"/>
    <n v="0.3"/>
    <n v="15.600000000000001"/>
    <n v="0.39"/>
    <n v="-3.6000000000000014"/>
    <s v="Ecart négatif"/>
    <n v="47.76"/>
  </r>
  <r>
    <x v="4"/>
    <n v="92"/>
    <x v="19"/>
    <x v="0"/>
    <n v="0"/>
    <n v="0"/>
    <n v="0"/>
    <n v="0"/>
    <x v="1"/>
    <x v="1"/>
    <n v="0"/>
    <n v="0"/>
    <n v="0"/>
    <n v="0"/>
    <s v="Pas d'écart"/>
    <n v="0"/>
  </r>
  <r>
    <x v="3"/>
    <n v="77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75"/>
    <x v="25"/>
    <x v="0"/>
    <n v="0"/>
    <n v="0"/>
    <n v="0"/>
    <n v="0"/>
    <x v="1"/>
    <x v="1"/>
    <n v="0"/>
    <n v="0"/>
    <n v="0"/>
    <n v="0"/>
    <s v="Pas d'écart"/>
    <n v="13.509999999999991"/>
  </r>
  <r>
    <x v="3"/>
    <n v="30"/>
    <x v="3"/>
    <x v="919"/>
    <n v="0.37328571428571428"/>
    <n v="81.900000000000006"/>
    <n v="0.39"/>
    <n v="-3.5100000000000051"/>
    <x v="0"/>
    <x v="1"/>
    <n v="0"/>
    <n v="81.900000000000006"/>
    <n v="0.39"/>
    <n v="-81.900000000000006"/>
    <s v="Ecart négatif"/>
    <n v="27.039999999999992"/>
  </r>
  <r>
    <x v="4"/>
    <n v="13"/>
    <x v="12"/>
    <x v="1"/>
    <n v="0.28999999999999998"/>
    <n v="11.6"/>
    <n v="0.28999999999999998"/>
    <n v="0"/>
    <x v="1"/>
    <x v="1"/>
    <n v="0"/>
    <n v="11.6"/>
    <n v="0.28999999999999998"/>
    <n v="-11.6"/>
    <s v="Ecart négatif"/>
    <n v="0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6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34"/>
    <x v="18"/>
    <x v="920"/>
    <n v="0.37388888888888888"/>
    <n v="35.1"/>
    <n v="0.39"/>
    <n v="-1.4500000000000028"/>
    <x v="0"/>
    <x v="1"/>
    <n v="0"/>
    <n v="35.1"/>
    <n v="0.39"/>
    <n v="-35.1"/>
    <s v="Ecart négatif"/>
    <n v="0"/>
  </r>
  <r>
    <x v="4"/>
    <n v="30"/>
    <x v="0"/>
    <x v="921"/>
    <n v="0.37483333333333335"/>
    <n v="70.2"/>
    <n v="0.39"/>
    <n v="-2.730000000000004"/>
    <x v="0"/>
    <x v="1"/>
    <n v="0"/>
    <n v="70.2"/>
    <n v="0.39"/>
    <n v="-70.2"/>
    <s v="Ecart négatif"/>
    <n v="0"/>
  </r>
  <r>
    <x v="4"/>
    <n v="29"/>
    <x v="3"/>
    <x v="922"/>
    <n v="0.37509523809523809"/>
    <n v="81.900000000000006"/>
    <n v="0.39"/>
    <n v="-3.1300000000000097"/>
    <x v="0"/>
    <x v="1"/>
    <n v="0"/>
    <n v="81.900000000000006"/>
    <n v="0.39"/>
    <n v="-81.900000000000006"/>
    <s v="Ecart négatif"/>
    <n v="0"/>
  </r>
  <r>
    <x v="4"/>
    <n v="91"/>
    <x v="13"/>
    <x v="0"/>
    <n v="0"/>
    <n v="0"/>
    <n v="0"/>
    <n v="0"/>
    <x v="1"/>
    <x v="1"/>
    <n v="0"/>
    <n v="0"/>
    <n v="0"/>
    <n v="0"/>
    <s v="Pas d'écart"/>
    <n v="0"/>
  </r>
  <r>
    <x v="4"/>
    <n v="45"/>
    <x v="10"/>
    <x v="923"/>
    <n v="0.21"/>
    <n v="31.5"/>
    <n v="0.21"/>
    <n v="0"/>
    <x v="1"/>
    <x v="1"/>
    <n v="0"/>
    <n v="31.5"/>
    <n v="0.21"/>
    <n v="-31.5"/>
    <s v="Ecart négatif"/>
    <n v="0"/>
  </r>
  <r>
    <x v="0"/>
    <n v="59"/>
    <x v="50"/>
    <x v="0"/>
    <n v="0"/>
    <n v="0"/>
    <n v="0"/>
    <n v="0"/>
    <x v="1"/>
    <x v="1"/>
    <n v="0"/>
    <n v="0"/>
    <n v="0"/>
    <n v="0"/>
    <s v="Pas d'écart"/>
    <e v="#N/A"/>
  </r>
  <r>
    <x v="4"/>
    <n v="92"/>
    <x v="6"/>
    <x v="0"/>
    <n v="0"/>
    <n v="0"/>
    <n v="0"/>
    <n v="0"/>
    <x v="1"/>
    <x v="1"/>
    <n v="0"/>
    <n v="0"/>
    <n v="0"/>
    <n v="0"/>
    <s v="Pas d'écart"/>
    <n v="0"/>
  </r>
  <r>
    <x v="0"/>
    <n v="77"/>
    <x v="16"/>
    <x v="0"/>
    <n v="0"/>
    <n v="0"/>
    <n v="0"/>
    <n v="0"/>
    <x v="1"/>
    <x v="1"/>
    <n v="0"/>
    <n v="0"/>
    <n v="0"/>
    <n v="0"/>
    <s v="Pas d'écart"/>
    <n v="63.75"/>
  </r>
  <r>
    <x v="3"/>
    <n v="78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29"/>
    <x v="18"/>
    <x v="924"/>
    <n v="0.37511111111111106"/>
    <n v="35.1"/>
    <n v="0.39"/>
    <n v="-1.3400000000000034"/>
    <x v="0"/>
    <x v="1"/>
    <n v="0"/>
    <n v="35.1"/>
    <n v="0.39"/>
    <n v="-35.1"/>
    <s v="Ecart négatif"/>
    <n v="15.04"/>
  </r>
  <r>
    <x v="4"/>
    <n v="22"/>
    <x v="0"/>
    <x v="925"/>
    <n v="0.37538888888888883"/>
    <n v="68.400000000000006"/>
    <n v="0.38"/>
    <n v="-0.83000000000001251"/>
    <x v="0"/>
    <x v="1"/>
    <n v="0"/>
    <n v="68.400000000000006"/>
    <n v="0.38"/>
    <n v="-68.400000000000006"/>
    <s v="Ecart négatif"/>
    <n v="0"/>
  </r>
  <r>
    <x v="4"/>
    <n v="34"/>
    <x v="19"/>
    <x v="926"/>
    <n v="0.37615789473684208"/>
    <n v="74.100000000000009"/>
    <n v="0.39000000000000007"/>
    <n v="-2.6300000000000097"/>
    <x v="0"/>
    <x v="1"/>
    <n v="0"/>
    <n v="74.100000000000009"/>
    <n v="0.39000000000000007"/>
    <n v="-74.100000000000009"/>
    <s v="Ecart négatif"/>
    <n v="0"/>
  </r>
  <r>
    <x v="4"/>
    <n v="66"/>
    <x v="2"/>
    <x v="927"/>
    <n v="0.37664285714285711"/>
    <n v="47.6"/>
    <n v="0.34"/>
    <n v="5.1299999999999955"/>
    <x v="2"/>
    <x v="1"/>
    <n v="0"/>
    <n v="47.6"/>
    <n v="0.34"/>
    <n v="-47.6"/>
    <s v="Ecart négatif"/>
    <n v="0"/>
  </r>
  <r>
    <x v="4"/>
    <n v="29"/>
    <x v="10"/>
    <x v="928"/>
    <n v="0.377"/>
    <n v="58.5"/>
    <n v="0.39"/>
    <n v="-1.9500000000000028"/>
    <x v="0"/>
    <x v="1"/>
    <n v="0"/>
    <n v="58.5"/>
    <n v="0.39"/>
    <n v="-58.5"/>
    <s v="Ecart négatif"/>
    <n v="0"/>
  </r>
  <r>
    <x v="2"/>
    <n v="27"/>
    <x v="12"/>
    <x v="0"/>
    <n v="0"/>
    <n v="6.8000000000000007"/>
    <n v="0.17"/>
    <n v="-6.8000000000000007"/>
    <x v="0"/>
    <x v="27"/>
    <n v="0.16999999999999998"/>
    <n v="6.8000000000000007"/>
    <n v="0.17"/>
    <n v="0"/>
    <s v="Pas d'écart"/>
    <n v="0"/>
  </r>
  <r>
    <x v="4"/>
    <n v="29"/>
    <x v="14"/>
    <x v="929"/>
    <n v="0.37715384615384617"/>
    <n v="50.7"/>
    <n v="0.39"/>
    <n v="-1.6700000000000017"/>
    <x v="0"/>
    <x v="1"/>
    <n v="0"/>
    <n v="50.7"/>
    <n v="0.39"/>
    <n v="-50.7"/>
    <s v="Ecart négatif"/>
    <n v="0"/>
  </r>
  <r>
    <x v="0"/>
    <n v="59"/>
    <x v="36"/>
    <x v="0"/>
    <n v="0"/>
    <n v="0"/>
    <n v="0"/>
    <n v="0"/>
    <x v="1"/>
    <x v="1"/>
    <n v="0"/>
    <n v="0"/>
    <n v="0"/>
    <n v="0"/>
    <s v="Pas d'écart"/>
    <n v="30.910000000000011"/>
  </r>
  <r>
    <x v="3"/>
    <n v="92"/>
    <x v="7"/>
    <x v="0"/>
    <n v="0"/>
    <n v="0"/>
    <n v="0"/>
    <n v="0"/>
    <x v="1"/>
    <x v="1"/>
    <n v="0"/>
    <n v="0"/>
    <n v="0"/>
    <n v="0"/>
    <s v="Pas d'écart"/>
    <n v="4.07"/>
  </r>
  <r>
    <x v="2"/>
    <n v="76"/>
    <x v="2"/>
    <x v="0"/>
    <n v="0"/>
    <n v="23.8"/>
    <n v="0.17"/>
    <n v="-23.8"/>
    <x v="0"/>
    <x v="1"/>
    <n v="0"/>
    <n v="23.8"/>
    <n v="0.17"/>
    <n v="-23.8"/>
    <s v="Ecart négatif"/>
    <n v="0"/>
  </r>
  <r>
    <x v="0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73"/>
    <x v="2"/>
    <x v="0"/>
    <n v="0"/>
    <n v="0"/>
    <n v="0"/>
    <n v="0"/>
    <x v="1"/>
    <x v="144"/>
    <n v="0.26999999999999996"/>
    <n v="0"/>
    <n v="0"/>
    <n v="37.799999999999997"/>
    <s v="Ecart positif"/>
    <n v="78.8"/>
  </r>
  <r>
    <x v="2"/>
    <n v="83"/>
    <x v="13"/>
    <x v="0"/>
    <n v="0"/>
    <n v="35.699999999999996"/>
    <n v="0.20999999999999996"/>
    <n v="-35.699999999999996"/>
    <x v="0"/>
    <x v="1"/>
    <n v="0"/>
    <n v="35.699999999999996"/>
    <n v="0.20999999999999996"/>
    <n v="-35.699999999999996"/>
    <s v="Ecart négatif"/>
    <n v="96.22"/>
  </r>
  <r>
    <x v="2"/>
    <n v="1"/>
    <x v="34"/>
    <x v="0"/>
    <n v="0"/>
    <n v="0"/>
    <n v="0"/>
    <n v="0"/>
    <x v="1"/>
    <x v="1"/>
    <n v="0"/>
    <n v="0"/>
    <n v="0"/>
    <n v="0"/>
    <s v="Pas d'écart"/>
    <n v="146.36000000000001"/>
  </r>
  <r>
    <x v="2"/>
    <n v="51"/>
    <x v="6"/>
    <x v="0"/>
    <n v="0"/>
    <n v="40"/>
    <n v="0.25"/>
    <n v="-40"/>
    <x v="0"/>
    <x v="1"/>
    <n v="0"/>
    <n v="40"/>
    <n v="0.25"/>
    <n v="-40"/>
    <s v="Ecart négatif"/>
    <n v="0"/>
  </r>
  <r>
    <x v="9"/>
    <n v="77"/>
    <x v="8"/>
    <x v="172"/>
    <n v="0.26999999999999996"/>
    <n v="0"/>
    <n v="0"/>
    <n v="18.899999999999999"/>
    <x v="2"/>
    <x v="1"/>
    <n v="0"/>
    <n v="0"/>
    <n v="0"/>
    <n v="0"/>
    <s v="Pas d'écart"/>
    <n v="35.979999999999997"/>
  </r>
  <r>
    <x v="0"/>
    <n v="75"/>
    <x v="12"/>
    <x v="0"/>
    <n v="0"/>
    <n v="0"/>
    <n v="0"/>
    <n v="0"/>
    <x v="1"/>
    <x v="1"/>
    <n v="0"/>
    <n v="0"/>
    <n v="0"/>
    <n v="0"/>
    <s v="Pas d'écart"/>
    <n v="26.16"/>
  </r>
  <r>
    <x v="2"/>
    <n v="77"/>
    <x v="0"/>
    <x v="0"/>
    <n v="0"/>
    <n v="0"/>
    <n v="0"/>
    <n v="0"/>
    <x v="1"/>
    <x v="1"/>
    <n v="0"/>
    <n v="0"/>
    <n v="0"/>
    <n v="0"/>
    <s v="Pas d'écart"/>
    <n v="7.7000000000000028"/>
  </r>
  <r>
    <x v="2"/>
    <n v="49"/>
    <x v="9"/>
    <x v="0"/>
    <n v="0"/>
    <n v="0"/>
    <n v="0"/>
    <n v="0"/>
    <x v="1"/>
    <x v="6"/>
    <n v="0.27"/>
    <n v="0"/>
    <n v="0"/>
    <n v="21.6"/>
    <s v="Ecart positif"/>
    <n v="0"/>
  </r>
  <r>
    <x v="2"/>
    <n v="21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5"/>
  </r>
  <r>
    <x v="2"/>
    <n v="3"/>
    <x v="12"/>
    <x v="0"/>
    <n v="0"/>
    <n v="4.8"/>
    <n v="0.12"/>
    <n v="-4.8"/>
    <x v="0"/>
    <x v="1"/>
    <n v="0"/>
    <n v="4.8"/>
    <n v="0.12"/>
    <n v="-4.8"/>
    <s v="Ecart négatif"/>
    <n v="41.47"/>
  </r>
  <r>
    <x v="0"/>
    <n v="66"/>
    <x v="8"/>
    <x v="0"/>
    <n v="0"/>
    <n v="19.600000000000001"/>
    <n v="0.28000000000000003"/>
    <n v="-19.600000000000001"/>
    <x v="0"/>
    <x v="1"/>
    <n v="0"/>
    <n v="19.600000000000001"/>
    <n v="0.28000000000000003"/>
    <n v="-19.600000000000001"/>
    <s v="Ecart négatif"/>
    <n v="66.36"/>
  </r>
  <r>
    <x v="2"/>
    <n v="68"/>
    <x v="19"/>
    <x v="0"/>
    <n v="0"/>
    <n v="15.200000000000001"/>
    <n v="0.08"/>
    <n v="-15.200000000000001"/>
    <x v="0"/>
    <x v="354"/>
    <n v="7.6578947368421052E-2"/>
    <n v="15.200000000000001"/>
    <n v="0.08"/>
    <n v="-0.65000000000000036"/>
    <s v="Ecart négatif"/>
    <n v="118.48"/>
  </r>
  <r>
    <x v="3"/>
    <n v="94"/>
    <x v="7"/>
    <x v="0"/>
    <n v="0"/>
    <n v="0"/>
    <n v="0"/>
    <n v="0"/>
    <x v="1"/>
    <x v="1"/>
    <n v="0"/>
    <n v="0"/>
    <n v="0"/>
    <n v="0"/>
    <s v="Pas d'écart"/>
    <n v="3.9000000000000021"/>
  </r>
  <r>
    <x v="0"/>
    <n v="88"/>
    <x v="12"/>
    <x v="0"/>
    <n v="0"/>
    <n v="3.2"/>
    <n v="0.08"/>
    <n v="-3.2"/>
    <x v="0"/>
    <x v="355"/>
    <n v="6.5250000000000002E-2"/>
    <n v="3.2"/>
    <n v="0.08"/>
    <n v="-0.5900000000000003"/>
    <s v="Ecart négatif"/>
    <n v="41.47"/>
  </r>
  <r>
    <x v="2"/>
    <n v="30"/>
    <x v="12"/>
    <x v="0"/>
    <n v="0"/>
    <n v="11.200000000000001"/>
    <n v="0.28000000000000003"/>
    <n v="-11.200000000000001"/>
    <x v="0"/>
    <x v="1"/>
    <n v="0"/>
    <n v="11.200000000000001"/>
    <n v="0.28000000000000003"/>
    <n v="-11.200000000000001"/>
    <s v="Ecart négatif"/>
    <n v="41.47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2"/>
    <n v="33"/>
    <x v="2"/>
    <x v="0"/>
    <n v="0"/>
    <n v="23.8"/>
    <n v="0.17"/>
    <n v="-23.8"/>
    <x v="0"/>
    <x v="40"/>
    <n v="0.17"/>
    <n v="23.8"/>
    <n v="0.17"/>
    <n v="0"/>
    <s v="Pas d'écart"/>
    <n v="65.680000000000007"/>
  </r>
  <r>
    <x v="0"/>
    <n v="45"/>
    <x v="0"/>
    <x v="0"/>
    <n v="0"/>
    <n v="21.599999999999998"/>
    <n v="0.11999999999999998"/>
    <n v="-21.599999999999998"/>
    <x v="0"/>
    <x v="65"/>
    <n v="0.39"/>
    <n v="21.599999999999998"/>
    <n v="0.11999999999999998"/>
    <n v="48.600000000000009"/>
    <s v="Ecart positif"/>
    <n v="21.47"/>
  </r>
  <r>
    <x v="0"/>
    <n v="38"/>
    <x v="3"/>
    <x v="0"/>
    <n v="0"/>
    <n v="0"/>
    <n v="0"/>
    <n v="0"/>
    <x v="1"/>
    <x v="78"/>
    <n v="0.25842857142857145"/>
    <n v="0"/>
    <n v="0"/>
    <n v="54.27"/>
    <s v="Ecart positif"/>
    <n v="135.19999999999999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37"/>
    <x v="11"/>
    <x v="0"/>
    <n v="0"/>
    <n v="11.4"/>
    <n v="0.19"/>
    <n v="-11.4"/>
    <x v="0"/>
    <x v="1"/>
    <n v="0"/>
    <n v="11.4"/>
    <n v="0.19"/>
    <n v="-11.4"/>
    <s v="Ecart négatif"/>
    <n v="15.069999999999997"/>
  </r>
  <r>
    <x v="0"/>
    <n v="45"/>
    <x v="8"/>
    <x v="0"/>
    <n v="0"/>
    <n v="8.4"/>
    <n v="0.12000000000000001"/>
    <n v="-8.4"/>
    <x v="0"/>
    <x v="289"/>
    <n v="0.26999999999999996"/>
    <n v="8.4"/>
    <n v="0.12000000000000001"/>
    <n v="10.499999999999998"/>
    <s v="Ecart positif"/>
    <n v="61.48"/>
  </r>
  <r>
    <x v="0"/>
    <n v="69"/>
    <x v="7"/>
    <x v="0"/>
    <n v="0"/>
    <n v="0"/>
    <n v="0"/>
    <n v="0"/>
    <x v="1"/>
    <x v="1"/>
    <n v="0"/>
    <n v="0"/>
    <n v="0"/>
    <n v="0"/>
    <s v="Pas d'écart"/>
    <n v="18.93"/>
  </r>
  <r>
    <x v="0"/>
    <n v="75"/>
    <x v="8"/>
    <x v="0"/>
    <n v="0"/>
    <n v="0"/>
    <n v="0"/>
    <n v="0"/>
    <x v="1"/>
    <x v="1"/>
    <n v="0"/>
    <n v="0"/>
    <n v="0"/>
    <n v="0"/>
    <s v="Pas d'écart"/>
    <n v="35.979999999999997"/>
  </r>
  <r>
    <x v="0"/>
    <n v="61"/>
    <x v="2"/>
    <x v="0"/>
    <n v="0"/>
    <n v="23.8"/>
    <n v="0.17"/>
    <n v="-23.8"/>
    <x v="0"/>
    <x v="40"/>
    <n v="0.17"/>
    <n v="23.8"/>
    <n v="0.17"/>
    <n v="0"/>
    <s v="Pas d'écart"/>
    <n v="78.8"/>
  </r>
  <r>
    <x v="2"/>
    <n v="44"/>
    <x v="2"/>
    <x v="0"/>
    <n v="0"/>
    <n v="0"/>
    <n v="0"/>
    <n v="0"/>
    <x v="1"/>
    <x v="1"/>
    <n v="0"/>
    <n v="0"/>
    <n v="0"/>
    <n v="0"/>
    <s v="Pas d'écart"/>
    <n v="0"/>
  </r>
  <r>
    <x v="4"/>
    <n v="92"/>
    <x v="11"/>
    <x v="0"/>
    <n v="0"/>
    <n v="0"/>
    <n v="0"/>
    <n v="0"/>
    <x v="1"/>
    <x v="1"/>
    <n v="0"/>
    <n v="0"/>
    <n v="0"/>
    <n v="0"/>
    <s v="Pas d'écart"/>
    <n v="0"/>
  </r>
  <r>
    <x v="3"/>
    <n v="92"/>
    <x v="11"/>
    <x v="0"/>
    <n v="0"/>
    <n v="0"/>
    <n v="0"/>
    <n v="0"/>
    <x v="1"/>
    <x v="1"/>
    <n v="0"/>
    <n v="0"/>
    <n v="0"/>
    <n v="0"/>
    <s v="Pas d'écart"/>
    <n v="6.8499999999999979"/>
  </r>
  <r>
    <x v="3"/>
    <n v="93"/>
    <x v="9"/>
    <x v="0"/>
    <n v="0"/>
    <n v="0"/>
    <n v="0"/>
    <n v="0"/>
    <x v="1"/>
    <x v="1"/>
    <n v="0"/>
    <n v="0"/>
    <n v="0"/>
    <n v="0"/>
    <s v="Pas d'écart"/>
    <n v="7.5399999999999991"/>
  </r>
  <r>
    <x v="0"/>
    <n v="50"/>
    <x v="58"/>
    <x v="0"/>
    <n v="0"/>
    <n v="56.1"/>
    <n v="0.17"/>
    <n v="-56.1"/>
    <x v="0"/>
    <x v="1"/>
    <n v="0"/>
    <n v="56.1"/>
    <n v="0.17"/>
    <n v="-56.1"/>
    <s v="Ecart négatif"/>
    <n v="203.2"/>
  </r>
  <r>
    <x v="0"/>
    <n v="63"/>
    <x v="12"/>
    <x v="0"/>
    <n v="0"/>
    <n v="4.8"/>
    <n v="0.12"/>
    <n v="-4.8"/>
    <x v="0"/>
    <x v="211"/>
    <n v="0.11074999999999999"/>
    <n v="4.8"/>
    <n v="0.12"/>
    <n v="-0.37000000000000011"/>
    <s v="Ecart négatif"/>
    <n v="34.29"/>
  </r>
  <r>
    <x v="2"/>
    <n v="75"/>
    <x v="2"/>
    <x v="0"/>
    <n v="0"/>
    <n v="0"/>
    <n v="0"/>
    <n v="0"/>
    <x v="1"/>
    <x v="1"/>
    <n v="0"/>
    <n v="0"/>
    <n v="0"/>
    <n v="0"/>
    <s v="Pas d'écart"/>
    <n v="52.57"/>
  </r>
  <r>
    <x v="0"/>
    <n v="39"/>
    <x v="12"/>
    <x v="0"/>
    <n v="0"/>
    <n v="0"/>
    <n v="0"/>
    <n v="0"/>
    <x v="1"/>
    <x v="1"/>
    <n v="0"/>
    <n v="0"/>
    <n v="0"/>
    <n v="0"/>
    <s v="Pas d'écart"/>
    <n v="47.76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2"/>
    <n v="38"/>
    <x v="12"/>
    <x v="0"/>
    <n v="0"/>
    <n v="0"/>
    <n v="0"/>
    <n v="0"/>
    <x v="1"/>
    <x v="1"/>
    <n v="0"/>
    <n v="0"/>
    <n v="0"/>
    <n v="0"/>
    <s v="Pas d'écart"/>
    <n v="41.4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1"/>
    <n v="77"/>
    <x v="5"/>
    <x v="0"/>
    <n v="0"/>
    <n v="0"/>
    <n v="0"/>
    <n v="0"/>
    <x v="1"/>
    <x v="1"/>
    <n v="0"/>
    <n v="0"/>
    <n v="0"/>
    <n v="0"/>
    <s v="Pas d'écart"/>
    <n v="14.57"/>
  </r>
  <r>
    <x v="2"/>
    <n v="34"/>
    <x v="0"/>
    <x v="0"/>
    <n v="0"/>
    <n v="50.400000000000006"/>
    <n v="0.28000000000000003"/>
    <n v="-50.400000000000006"/>
    <x v="0"/>
    <x v="356"/>
    <n v="0.26683333333333337"/>
    <n v="50.400000000000006"/>
    <n v="0.28000000000000003"/>
    <n v="-2.3700000000000045"/>
    <s v="Ecart négatif"/>
    <n v="116.04"/>
  </r>
  <r>
    <x v="2"/>
    <n v="94"/>
    <x v="93"/>
    <x v="0"/>
    <n v="0"/>
    <n v="0"/>
    <n v="0"/>
    <n v="0"/>
    <x v="1"/>
    <x v="1"/>
    <n v="0"/>
    <n v="0"/>
    <n v="0"/>
    <n v="0"/>
    <s v="Pas d'écart"/>
    <e v="#N/A"/>
  </r>
  <r>
    <x v="2"/>
    <n v="13"/>
    <x v="6"/>
    <x v="0"/>
    <n v="0"/>
    <n v="30.4"/>
    <n v="0.19"/>
    <n v="-30.4"/>
    <x v="0"/>
    <x v="1"/>
    <n v="0"/>
    <n v="30.4"/>
    <n v="0.19"/>
    <n v="-30.4"/>
    <s v="Ecart négatif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4"/>
    <n v="13"/>
    <x v="2"/>
    <x v="188"/>
    <n v="0.29000000000000004"/>
    <n v="40.599999999999994"/>
    <n v="0.28999999999999998"/>
    <n v="0"/>
    <x v="1"/>
    <x v="1"/>
    <n v="0"/>
    <n v="40.599999999999994"/>
    <n v="0.28999999999999998"/>
    <n v="-40.599999999999994"/>
    <s v="Ecart négatif"/>
    <n v="0"/>
  </r>
  <r>
    <x v="5"/>
    <n v="63"/>
    <x v="13"/>
    <x v="0"/>
    <n v="0"/>
    <n v="49.3"/>
    <n v="0.28999999999999998"/>
    <n v="-49.3"/>
    <x v="0"/>
    <x v="1"/>
    <n v="0"/>
    <n v="49.3"/>
    <n v="0.28999999999999998"/>
    <n v="-49.3"/>
    <s v="Ecart négatif"/>
    <n v="16.870000000000005"/>
  </r>
  <r>
    <x v="4"/>
    <n v="11"/>
    <x v="19"/>
    <x v="930"/>
    <n v="0.37763157894736843"/>
    <n v="68.399999999999991"/>
    <n v="0.35999999999999993"/>
    <n v="3.3500000000000085"/>
    <x v="2"/>
    <x v="1"/>
    <n v="0"/>
    <n v="68.399999999999991"/>
    <n v="0.35999999999999993"/>
    <n v="-68.399999999999991"/>
    <s v="Ecart négatif"/>
    <n v="0"/>
  </r>
  <r>
    <x v="4"/>
    <n v="34"/>
    <x v="44"/>
    <x v="931"/>
    <n v="0.37767741935483873"/>
    <n v="120.9"/>
    <n v="0.39"/>
    <n v="-3.8200000000000074"/>
    <x v="0"/>
    <x v="1"/>
    <n v="0"/>
    <n v="120.9"/>
    <n v="0.39"/>
    <n v="-120.9"/>
    <s v="Ecart négatif"/>
    <n v="0"/>
  </r>
  <r>
    <x v="3"/>
    <n v="22"/>
    <x v="6"/>
    <x v="932"/>
    <n v="0.37868750000000001"/>
    <n v="60.8"/>
    <n v="0.38"/>
    <n v="-0.20999999999999375"/>
    <x v="0"/>
    <x v="1"/>
    <n v="0"/>
    <n v="60.8"/>
    <n v="0.38"/>
    <n v="-60.8"/>
    <s v="Ecart négatif"/>
    <n v="18.340000000000003"/>
  </r>
  <r>
    <x v="3"/>
    <n v="22"/>
    <x v="6"/>
    <x v="932"/>
    <n v="0.37868750000000001"/>
    <n v="60.8"/>
    <n v="0.38"/>
    <n v="-0.20999999999999375"/>
    <x v="0"/>
    <x v="1"/>
    <n v="0"/>
    <n v="60.8"/>
    <n v="0.38"/>
    <n v="-60.8"/>
    <s v="Ecart négatif"/>
    <n v="18.340000000000003"/>
  </r>
  <r>
    <x v="0"/>
    <n v="84"/>
    <x v="4"/>
    <x v="0"/>
    <n v="0"/>
    <n v="20.9"/>
    <n v="0.18999999999999997"/>
    <n v="-20.9"/>
    <x v="0"/>
    <x v="18"/>
    <n v="0.18"/>
    <n v="20.9"/>
    <n v="0.18999999999999997"/>
    <n v="-1.0999999999999979"/>
    <s v="Ecart négatif"/>
    <n v="71.81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0"/>
    <n v="75"/>
    <x v="6"/>
    <x v="0"/>
    <n v="0"/>
    <n v="0"/>
    <n v="0"/>
    <n v="0"/>
    <x v="1"/>
    <x v="1"/>
    <n v="0"/>
    <n v="0"/>
    <n v="0"/>
    <n v="0"/>
    <s v="Pas d'écart"/>
    <n v="11.36"/>
  </r>
  <r>
    <x v="4"/>
    <n v="29"/>
    <x v="14"/>
    <x v="933"/>
    <n v="0.37992307692307692"/>
    <n v="50.7"/>
    <n v="0.39"/>
    <n v="-1.3100000000000023"/>
    <x v="0"/>
    <x v="1"/>
    <n v="0"/>
    <n v="50.7"/>
    <n v="0.39"/>
    <n v="-50.7"/>
    <s v="Ecart négatif"/>
    <n v="0"/>
  </r>
  <r>
    <x v="3"/>
    <n v="34"/>
    <x v="16"/>
    <x v="934"/>
    <n v="0.38024999999999998"/>
    <n v="78"/>
    <n v="0.39"/>
    <n v="-1.9500000000000028"/>
    <x v="0"/>
    <x v="1"/>
    <n v="0"/>
    <n v="78"/>
    <n v="0.39"/>
    <n v="-78"/>
    <s v="Ecart négatif"/>
    <n v="28.080000000000013"/>
  </r>
  <r>
    <x v="2"/>
    <n v="84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07.35"/>
  </r>
  <r>
    <x v="4"/>
    <n v="94"/>
    <x v="82"/>
    <x v="0"/>
    <n v="0"/>
    <n v="0"/>
    <n v="0"/>
    <n v="0"/>
    <x v="1"/>
    <x v="1"/>
    <n v="0"/>
    <n v="0"/>
    <n v="0"/>
    <n v="0"/>
    <s v="Pas d'écart"/>
    <n v="0"/>
  </r>
  <r>
    <x v="0"/>
    <n v="57"/>
    <x v="15"/>
    <x v="0"/>
    <n v="0"/>
    <n v="5"/>
    <n v="0.25"/>
    <n v="-5"/>
    <x v="0"/>
    <x v="57"/>
    <n v="0.21249999999999999"/>
    <n v="5"/>
    <n v="0.25"/>
    <n v="-0.75"/>
    <s v="Ecart négatif"/>
    <n v="3.4600000000000009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9"/>
    <n v="77"/>
    <x v="2"/>
    <x v="0"/>
    <n v="0"/>
    <n v="0"/>
    <n v="0"/>
    <n v="0"/>
    <x v="1"/>
    <x v="1"/>
    <n v="0"/>
    <n v="0"/>
    <n v="0"/>
    <n v="0"/>
    <s v="Pas d'écart"/>
    <n v="52.57"/>
  </r>
  <r>
    <x v="6"/>
    <n v="91"/>
    <x v="2"/>
    <x v="0"/>
    <n v="0"/>
    <n v="0"/>
    <n v="0"/>
    <n v="0"/>
    <x v="1"/>
    <x v="357"/>
    <n v="0.24000000000000002"/>
    <n v="0"/>
    <n v="0"/>
    <n v="33.6"/>
    <s v="Ecart positif"/>
    <n v="-26.229999999999997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3"/>
    <n v="34"/>
    <x v="16"/>
    <x v="934"/>
    <n v="0.38024999999999998"/>
    <n v="78"/>
    <n v="0.39"/>
    <n v="-1.9500000000000028"/>
    <x v="0"/>
    <x v="1"/>
    <n v="0"/>
    <n v="78"/>
    <n v="0.39"/>
    <n v="-78"/>
    <s v="Ecart négatif"/>
    <n v="28.080000000000013"/>
  </r>
  <r>
    <x v="2"/>
    <n v="62"/>
    <x v="34"/>
    <x v="0"/>
    <n v="0"/>
    <n v="0"/>
    <n v="0"/>
    <n v="0"/>
    <x v="1"/>
    <x v="1"/>
    <n v="0"/>
    <n v="0"/>
    <n v="0"/>
    <n v="0"/>
    <s v="Pas d'écart"/>
    <n v="0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2"/>
    <n v="35"/>
    <x v="2"/>
    <x v="0"/>
    <n v="0"/>
    <n v="0"/>
    <n v="0"/>
    <n v="0"/>
    <x v="1"/>
    <x v="1"/>
    <n v="0"/>
    <n v="0"/>
    <n v="0"/>
    <n v="0"/>
    <s v="Pas d'écart"/>
    <n v="0"/>
  </r>
  <r>
    <x v="6"/>
    <n v="69"/>
    <x v="27"/>
    <x v="935"/>
    <n v="0.22039999999999998"/>
    <n v="13.5"/>
    <n v="0.27"/>
    <n v="-2.4800000000000004"/>
    <x v="0"/>
    <x v="1"/>
    <n v="0"/>
    <n v="13.5"/>
    <n v="0.27"/>
    <n v="-13.5"/>
    <s v="Ecart négatif"/>
    <n v="40.19"/>
  </r>
  <r>
    <x v="4"/>
    <n v="11"/>
    <x v="16"/>
    <x v="936"/>
    <n v="0.38030000000000003"/>
    <n v="72"/>
    <n v="0.36"/>
    <n v="4.0600000000000023"/>
    <x v="2"/>
    <x v="1"/>
    <n v="0"/>
    <n v="72"/>
    <n v="0.36"/>
    <n v="-72"/>
    <s v="Ecart négatif"/>
    <n v="0"/>
  </r>
  <r>
    <x v="4"/>
    <n v="48"/>
    <x v="16"/>
    <x v="936"/>
    <n v="0.38030000000000003"/>
    <n v="78"/>
    <n v="0.39"/>
    <n v="-1.9399999999999977"/>
    <x v="0"/>
    <x v="1"/>
    <n v="0"/>
    <n v="78"/>
    <n v="0.39"/>
    <n v="-78"/>
    <s v="Ecart négatif"/>
    <n v="0"/>
  </r>
  <r>
    <x v="4"/>
    <n v="29"/>
    <x v="2"/>
    <x v="937"/>
    <n v="0.38064285714285712"/>
    <n v="54.6"/>
    <n v="0.39"/>
    <n v="-1.3100000000000023"/>
    <x v="0"/>
    <x v="1"/>
    <n v="0"/>
    <n v="54.6"/>
    <n v="0.39"/>
    <n v="-54.6"/>
    <s v="Ecart négatif"/>
    <n v="0"/>
  </r>
  <r>
    <x v="4"/>
    <n v="75"/>
    <x v="11"/>
    <x v="0"/>
    <n v="0"/>
    <n v="0"/>
    <n v="0"/>
    <n v="0"/>
    <x v="1"/>
    <x v="1"/>
    <n v="0"/>
    <n v="0"/>
    <n v="0"/>
    <n v="0"/>
    <s v="Pas d'écart"/>
    <n v="0"/>
  </r>
  <r>
    <x v="4"/>
    <n v="22"/>
    <x v="2"/>
    <x v="937"/>
    <n v="0.38064285714285712"/>
    <n v="53.2"/>
    <n v="0.38"/>
    <n v="8.9999999999996305E-2"/>
    <x v="2"/>
    <x v="1"/>
    <n v="0"/>
    <n v="53.2"/>
    <n v="0.38"/>
    <n v="-53.2"/>
    <s v="Ecart négatif"/>
    <n v="0"/>
  </r>
  <r>
    <x v="3"/>
    <n v="59"/>
    <x v="12"/>
    <x v="6"/>
    <n v="0.19"/>
    <n v="7.6"/>
    <n v="0.19"/>
    <n v="0"/>
    <x v="1"/>
    <x v="1"/>
    <n v="0"/>
    <n v="7.6"/>
    <n v="0.19"/>
    <n v="-7.6"/>
    <s v="Ecart négatif"/>
    <n v="6.8599999999999994"/>
  </r>
  <r>
    <x v="2"/>
    <n v="59"/>
    <x v="0"/>
    <x v="0"/>
    <n v="0"/>
    <n v="0"/>
    <n v="0"/>
    <n v="0"/>
    <x v="1"/>
    <x v="1"/>
    <n v="0"/>
    <n v="0"/>
    <n v="0"/>
    <n v="0"/>
    <s v="Pas d'écart"/>
    <n v="0"/>
  </r>
  <r>
    <x v="8"/>
    <n v="35"/>
    <x v="21"/>
    <x v="0"/>
    <e v="#DIV/0!"/>
    <n v="0"/>
    <e v="#DIV/0!"/>
    <n v="0"/>
    <x v="1"/>
    <x v="1"/>
    <e v="#DIV/0!"/>
    <n v="0"/>
    <e v="#DIV/0!"/>
    <n v="0"/>
    <s v="Pas d'écart"/>
    <e v="#N/A"/>
  </r>
  <r>
    <x v="4"/>
    <n v="61"/>
    <x v="12"/>
    <x v="86"/>
    <n v="0.16999999999999998"/>
    <n v="6.8000000000000007"/>
    <n v="0.17"/>
    <n v="0"/>
    <x v="1"/>
    <x v="1"/>
    <n v="0"/>
    <n v="6.8000000000000007"/>
    <n v="0.17"/>
    <n v="-6.8000000000000007"/>
    <s v="Ecart négatif"/>
    <n v="0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4"/>
    <n v="29"/>
    <x v="2"/>
    <x v="937"/>
    <n v="0.38064285714285712"/>
    <n v="54.6"/>
    <n v="0.39"/>
    <n v="-1.3100000000000023"/>
    <x v="0"/>
    <x v="1"/>
    <n v="0"/>
    <n v="54.6"/>
    <n v="0.39"/>
    <n v="-54.6"/>
    <s v="Ecart négatif"/>
    <n v="0"/>
  </r>
  <r>
    <x v="1"/>
    <n v="77"/>
    <x v="16"/>
    <x v="0"/>
    <n v="0"/>
    <n v="0"/>
    <n v="0"/>
    <n v="0"/>
    <x v="1"/>
    <x v="1"/>
    <n v="0"/>
    <n v="0"/>
    <n v="0"/>
    <n v="0"/>
    <s v="Pas d'écart"/>
    <n v="63.75"/>
  </r>
  <r>
    <x v="2"/>
    <n v="6"/>
    <x v="12"/>
    <x v="0"/>
    <n v="0"/>
    <n v="8.4"/>
    <n v="0.21000000000000002"/>
    <n v="-8.4"/>
    <x v="0"/>
    <x v="4"/>
    <n v="0.21000000000000002"/>
    <n v="8.4"/>
    <n v="0.21000000000000002"/>
    <n v="0"/>
    <s v="Pas d'écart"/>
    <n v="0"/>
  </r>
  <r>
    <x v="3"/>
    <n v="34"/>
    <x v="2"/>
    <x v="937"/>
    <n v="0.38064285714285712"/>
    <n v="54.6"/>
    <n v="0.39"/>
    <n v="-1.3100000000000023"/>
    <x v="0"/>
    <x v="1"/>
    <n v="0"/>
    <n v="54.6"/>
    <n v="0.39"/>
    <n v="-54.6"/>
    <s v="Ecart négatif"/>
    <n v="15.759999999999998"/>
  </r>
  <r>
    <x v="4"/>
    <n v="34"/>
    <x v="14"/>
    <x v="938"/>
    <n v="0.38100000000000001"/>
    <n v="50.7"/>
    <n v="0.39"/>
    <n v="-1.1700000000000017"/>
    <x v="0"/>
    <x v="1"/>
    <n v="0"/>
    <n v="50.7"/>
    <n v="0.39"/>
    <n v="-50.7"/>
    <s v="Ecart négatif"/>
    <n v="0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4"/>
    <n v="66"/>
    <x v="2"/>
    <x v="939"/>
    <n v="0.38164285714285712"/>
    <n v="47.6"/>
    <n v="0.34"/>
    <n v="5.8299999999999983"/>
    <x v="2"/>
    <x v="1"/>
    <n v="0"/>
    <n v="47.6"/>
    <n v="0.34"/>
    <n v="-47.6"/>
    <s v="Ecart négatif"/>
    <n v="0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0"/>
    <n v="54"/>
    <x v="29"/>
    <x v="0"/>
    <n v="0"/>
    <n v="100"/>
    <n v="0.25"/>
    <n v="-100"/>
    <x v="0"/>
    <x v="358"/>
    <n v="0.25"/>
    <n v="100"/>
    <n v="0.25"/>
    <n v="0"/>
    <s v="Pas d'écart"/>
    <n v="35.579999999999984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3"/>
    <n v="75"/>
    <x v="8"/>
    <x v="0"/>
    <n v="0"/>
    <n v="0"/>
    <n v="0"/>
    <n v="0"/>
    <x v="1"/>
    <x v="1"/>
    <n v="0"/>
    <n v="0"/>
    <n v="0"/>
    <n v="0"/>
    <s v="Pas d'écart"/>
    <n v="7.1999999999999957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2"/>
    <n v="91"/>
    <x v="20"/>
    <x v="0"/>
    <n v="0"/>
    <n v="0"/>
    <n v="0"/>
    <n v="0"/>
    <x v="1"/>
    <x v="1"/>
    <n v="0"/>
    <n v="0"/>
    <n v="0"/>
    <n v="0"/>
    <s v="Pas d'écart"/>
    <n v="0"/>
  </r>
  <r>
    <x v="2"/>
    <n v="35"/>
    <x v="8"/>
    <x v="0"/>
    <n v="0"/>
    <n v="0"/>
    <n v="0"/>
    <n v="0"/>
    <x v="1"/>
    <x v="1"/>
    <n v="0"/>
    <n v="0"/>
    <n v="0"/>
    <n v="0"/>
    <s v="Pas d'écart"/>
    <n v="0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2"/>
    <n v="14"/>
    <x v="20"/>
    <x v="0"/>
    <n v="0"/>
    <n v="42.5"/>
    <n v="0.17"/>
    <n v="-42.5"/>
    <x v="0"/>
    <x v="1"/>
    <n v="0"/>
    <n v="42.5"/>
    <n v="0.17"/>
    <n v="-42.5"/>
    <s v="Ecart négatif"/>
    <n v="0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0"/>
    <n v="62"/>
    <x v="8"/>
    <x v="0"/>
    <n v="0"/>
    <n v="0"/>
    <n v="0"/>
    <n v="0"/>
    <x v="1"/>
    <x v="1"/>
    <n v="0"/>
    <n v="0"/>
    <n v="0"/>
    <n v="0"/>
    <s v="Pas d'écart"/>
    <n v="61.48"/>
  </r>
  <r>
    <x v="0"/>
    <n v="67"/>
    <x v="2"/>
    <x v="0"/>
    <n v="0"/>
    <n v="11.200000000000001"/>
    <n v="0.08"/>
    <n v="-11.200000000000001"/>
    <x v="0"/>
    <x v="76"/>
    <n v="0.08"/>
    <n v="11.200000000000001"/>
    <n v="0.08"/>
    <n v="0"/>
    <s v="Pas d'écart"/>
    <n v="13.140000000000008"/>
  </r>
  <r>
    <x v="3"/>
    <n v="22"/>
    <x v="27"/>
    <x v="940"/>
    <n v="0.38280000000000003"/>
    <n v="19"/>
    <n v="0.38"/>
    <n v="0.14000000000000057"/>
    <x v="2"/>
    <x v="1"/>
    <n v="0"/>
    <n v="19"/>
    <n v="0.38"/>
    <n v="-19"/>
    <s v="Ecart négatif"/>
    <n v="10.030000000000001"/>
  </r>
  <r>
    <x v="4"/>
    <n v="34"/>
    <x v="22"/>
    <x v="941"/>
    <n v="0.38380000000000003"/>
    <n v="39"/>
    <n v="0.39"/>
    <n v="-0.61999999999999744"/>
    <x v="0"/>
    <x v="1"/>
    <n v="0"/>
    <n v="39"/>
    <n v="0.39"/>
    <n v="-39"/>
    <s v="Ecart négatif"/>
    <n v="0"/>
  </r>
  <r>
    <x v="4"/>
    <n v="34"/>
    <x v="2"/>
    <x v="942"/>
    <n v="0.38478571428571429"/>
    <n v="54.6"/>
    <n v="0.39"/>
    <n v="-0.73000000000000398"/>
    <x v="0"/>
    <x v="1"/>
    <n v="0"/>
    <n v="54.6"/>
    <n v="0.39"/>
    <n v="-54.6"/>
    <s v="Ecart négatif"/>
    <n v="0"/>
  </r>
  <r>
    <x v="0"/>
    <n v="44"/>
    <x v="12"/>
    <x v="0"/>
    <n v="0"/>
    <n v="0"/>
    <n v="0"/>
    <n v="0"/>
    <x v="1"/>
    <x v="1"/>
    <n v="0"/>
    <n v="0"/>
    <n v="0"/>
    <n v="0"/>
    <s v="Pas d'écart"/>
    <n v="6.8599999999999994"/>
  </r>
  <r>
    <x v="4"/>
    <n v="29"/>
    <x v="2"/>
    <x v="942"/>
    <n v="0.38478571428571429"/>
    <n v="54.6"/>
    <n v="0.39"/>
    <n v="-0.73000000000000398"/>
    <x v="0"/>
    <x v="1"/>
    <n v="0"/>
    <n v="54.6"/>
    <n v="0.39"/>
    <n v="-54.6"/>
    <s v="Ecart négatif"/>
    <n v="0"/>
  </r>
  <r>
    <x v="4"/>
    <n v="92"/>
    <x v="15"/>
    <x v="0"/>
    <n v="0"/>
    <n v="0"/>
    <n v="0"/>
    <n v="0"/>
    <x v="1"/>
    <x v="1"/>
    <n v="0"/>
    <n v="0"/>
    <n v="0"/>
    <n v="0"/>
    <s v="Pas d'écart"/>
    <n v="0"/>
  </r>
  <r>
    <x v="4"/>
    <n v="66"/>
    <x v="2"/>
    <x v="942"/>
    <n v="0.38478571428571429"/>
    <n v="47.6"/>
    <n v="0.34"/>
    <n v="6.269999999999996"/>
    <x v="2"/>
    <x v="1"/>
    <n v="0"/>
    <n v="47.6"/>
    <n v="0.34"/>
    <n v="-47.6"/>
    <s v="Ecart négatif"/>
    <n v="0"/>
  </r>
  <r>
    <x v="4"/>
    <n v="33"/>
    <x v="12"/>
    <x v="435"/>
    <n v="0.21000000000000002"/>
    <n v="8.4"/>
    <n v="0.21000000000000002"/>
    <n v="0"/>
    <x v="1"/>
    <x v="1"/>
    <n v="0"/>
    <n v="8.4"/>
    <n v="0.21000000000000002"/>
    <n v="-8.4"/>
    <s v="Ecart négatif"/>
    <n v="0"/>
  </r>
  <r>
    <x v="3"/>
    <n v="44"/>
    <x v="12"/>
    <x v="95"/>
    <n v="0.27"/>
    <n v="10.8"/>
    <n v="0.27"/>
    <n v="0"/>
    <x v="1"/>
    <x v="1"/>
    <n v="0"/>
    <n v="10.8"/>
    <n v="0.27"/>
    <n v="-10.8"/>
    <s v="Ecart négatif"/>
    <n v="6.8599999999999994"/>
  </r>
  <r>
    <x v="2"/>
    <n v="74"/>
    <x v="6"/>
    <x v="0"/>
    <n v="0"/>
    <n v="0"/>
    <n v="0"/>
    <n v="0"/>
    <x v="1"/>
    <x v="1"/>
    <n v="0"/>
    <n v="0"/>
    <n v="0"/>
    <n v="0"/>
    <s v="Pas d'écart"/>
    <n v="0"/>
  </r>
  <r>
    <x v="4"/>
    <n v="7"/>
    <x v="2"/>
    <x v="60"/>
    <n v="0.26999999999999996"/>
    <n v="37.800000000000004"/>
    <n v="0.27"/>
    <n v="0"/>
    <x v="1"/>
    <x v="1"/>
    <n v="0"/>
    <n v="37.800000000000004"/>
    <n v="0.27"/>
    <n v="-37.800000000000004"/>
    <s v="Ecart négatif"/>
    <n v="0"/>
  </r>
  <r>
    <x v="7"/>
    <n v="94"/>
    <x v="39"/>
    <x v="0"/>
    <n v="0"/>
    <n v="0"/>
    <n v="0"/>
    <n v="0"/>
    <x v="1"/>
    <x v="1"/>
    <n v="0"/>
    <n v="0"/>
    <n v="0"/>
    <n v="0"/>
    <s v="Pas d'écart"/>
    <n v="16.179999999999993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3"/>
    <n v="29"/>
    <x v="11"/>
    <x v="943"/>
    <n v="0.38699999999999996"/>
    <n v="23.400000000000002"/>
    <n v="0.39"/>
    <n v="-0.18000000000000327"/>
    <x v="0"/>
    <x v="1"/>
    <n v="0"/>
    <n v="23.400000000000002"/>
    <n v="0.39"/>
    <n v="-23.400000000000002"/>
    <s v="Ecart négatif"/>
    <n v="11.649999999999999"/>
  </r>
  <r>
    <x v="4"/>
    <n v="29"/>
    <x v="2"/>
    <x v="944"/>
    <n v="0.38778571428571429"/>
    <n v="54.6"/>
    <n v="0.39"/>
    <n v="-0.31000000000000227"/>
    <x v="0"/>
    <x v="1"/>
    <n v="0"/>
    <n v="54.6"/>
    <n v="0.39"/>
    <n v="-54.6"/>
    <s v="Ecart négatif"/>
    <n v="0"/>
  </r>
  <r>
    <x v="2"/>
    <n v="59"/>
    <x v="2"/>
    <x v="0"/>
    <n v="0"/>
    <n v="0"/>
    <n v="0"/>
    <n v="0"/>
    <x v="1"/>
    <x v="1"/>
    <n v="0"/>
    <n v="0"/>
    <n v="0"/>
    <n v="0"/>
    <s v="Pas d'écart"/>
    <n v="0"/>
  </r>
  <r>
    <x v="2"/>
    <n v="2"/>
    <x v="12"/>
    <x v="0"/>
    <n v="0"/>
    <n v="0"/>
    <n v="0"/>
    <n v="0"/>
    <x v="1"/>
    <x v="1"/>
    <n v="0"/>
    <n v="0"/>
    <n v="0"/>
    <n v="0"/>
    <s v="Pas d'écart"/>
    <n v="0"/>
  </r>
  <r>
    <x v="0"/>
    <n v="59"/>
    <x v="9"/>
    <x v="0"/>
    <n v="0"/>
    <n v="0"/>
    <n v="0"/>
    <n v="0"/>
    <x v="1"/>
    <x v="1"/>
    <n v="0"/>
    <n v="0"/>
    <n v="0"/>
    <n v="0"/>
    <s v="Pas d'écart"/>
    <n v="9.4100000000000037"/>
  </r>
  <r>
    <x v="5"/>
    <n v="14"/>
    <x v="8"/>
    <x v="0"/>
    <n v="0"/>
    <n v="11.9"/>
    <n v="0.17"/>
    <n v="-11.9"/>
    <x v="0"/>
    <x v="1"/>
    <n v="0"/>
    <n v="11.9"/>
    <n v="0.17"/>
    <n v="-11.9"/>
    <s v="Ecart négatif"/>
    <n v="12.299999999999997"/>
  </r>
  <r>
    <x v="4"/>
    <n v="66"/>
    <x v="2"/>
    <x v="944"/>
    <n v="0.38778571428571429"/>
    <n v="47.6"/>
    <n v="0.34"/>
    <n v="6.6899999999999977"/>
    <x v="2"/>
    <x v="1"/>
    <n v="0"/>
    <n v="47.6"/>
    <n v="0.34"/>
    <n v="-47.6"/>
    <s v="Ecart négatif"/>
    <n v="0"/>
  </r>
  <r>
    <x v="4"/>
    <n v="29"/>
    <x v="94"/>
    <x v="945"/>
    <n v="0.38800000000000001"/>
    <n v="425.1"/>
    <n v="0.39"/>
    <n v="-2.1800000000000068"/>
    <x v="0"/>
    <x v="1"/>
    <n v="0"/>
    <n v="425.1"/>
    <n v="0.39"/>
    <n v="-425.1"/>
    <s v="Ecart négatif"/>
    <e v="#N/A"/>
  </r>
  <r>
    <x v="3"/>
    <n v="75"/>
    <x v="16"/>
    <x v="0"/>
    <n v="0"/>
    <n v="0"/>
    <n v="0"/>
    <n v="0"/>
    <x v="1"/>
    <x v="1"/>
    <n v="0"/>
    <n v="0"/>
    <n v="0"/>
    <n v="0"/>
    <s v="Pas d'écart"/>
    <n v="12.75"/>
  </r>
  <r>
    <x v="2"/>
    <n v="93"/>
    <x v="25"/>
    <x v="0"/>
    <n v="0"/>
    <n v="0"/>
    <n v="0"/>
    <n v="0"/>
    <x v="1"/>
    <x v="1"/>
    <n v="0"/>
    <n v="0"/>
    <n v="0"/>
    <n v="0"/>
    <s v="Pas d'écart"/>
    <n v="0"/>
  </r>
  <r>
    <x v="0"/>
    <n v="51"/>
    <x v="7"/>
    <x v="0"/>
    <n v="0"/>
    <n v="7.5"/>
    <n v="0.25"/>
    <n v="-7.5"/>
    <x v="0"/>
    <x v="326"/>
    <n v="0.18766666666666668"/>
    <n v="7.5"/>
    <n v="0.25"/>
    <n v="-1.87"/>
    <s v="Ecart négatif"/>
    <n v="17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0"/>
    <n v="92"/>
    <x v="19"/>
    <x v="0"/>
    <n v="0"/>
    <n v="0"/>
    <n v="0"/>
    <n v="0"/>
    <x v="1"/>
    <x v="1"/>
    <n v="0"/>
    <n v="0"/>
    <n v="0"/>
    <n v="0"/>
    <s v="Pas d'écart"/>
    <n v="62.01"/>
  </r>
  <r>
    <x v="0"/>
    <n v="71"/>
    <x v="8"/>
    <x v="0"/>
    <n v="0"/>
    <n v="0"/>
    <n v="0"/>
    <n v="0"/>
    <x v="1"/>
    <x v="1"/>
    <n v="0"/>
    <n v="0"/>
    <n v="0"/>
    <n v="0"/>
    <s v="Pas d'écart"/>
    <n v="61.48"/>
  </r>
  <r>
    <x v="2"/>
    <n v="83"/>
    <x v="8"/>
    <x v="0"/>
    <n v="0"/>
    <n v="14.7"/>
    <n v="0.21"/>
    <n v="-14.7"/>
    <x v="0"/>
    <x v="125"/>
    <n v="0.21"/>
    <n v="14.7"/>
    <n v="0.21"/>
    <n v="0"/>
    <s v="Pas d'écart"/>
    <n v="61.48"/>
  </r>
  <r>
    <x v="2"/>
    <n v="34"/>
    <x v="9"/>
    <x v="0"/>
    <n v="0"/>
    <n v="22.400000000000002"/>
    <n v="0.28000000000000003"/>
    <n v="-22.400000000000002"/>
    <x v="0"/>
    <x v="1"/>
    <n v="0"/>
    <n v="22.400000000000002"/>
    <n v="0.28000000000000003"/>
    <n v="-22.400000000000002"/>
    <s v="Ecart négatif"/>
    <n v="74.47"/>
  </r>
  <r>
    <x v="6"/>
    <n v="34"/>
    <x v="2"/>
    <x v="299"/>
    <n v="0.39"/>
    <n v="54.6"/>
    <n v="0.39"/>
    <n v="0"/>
    <x v="1"/>
    <x v="1"/>
    <n v="0"/>
    <n v="54.6"/>
    <n v="0.39"/>
    <n v="-54.6"/>
    <s v="Ecart négatif"/>
    <n v="78.8"/>
  </r>
  <r>
    <x v="2"/>
    <n v="56"/>
    <x v="7"/>
    <x v="0"/>
    <n v="0"/>
    <n v="0"/>
    <n v="0"/>
    <n v="0"/>
    <x v="1"/>
    <x v="1"/>
    <n v="0"/>
    <n v="0"/>
    <n v="0"/>
    <n v="0"/>
    <s v="Pas d'écart"/>
    <n v="0"/>
  </r>
  <r>
    <x v="8"/>
    <n v="59"/>
    <x v="14"/>
    <x v="0"/>
    <n v="0"/>
    <n v="24.7"/>
    <n v="0.19"/>
    <n v="-24.7"/>
    <x v="0"/>
    <x v="1"/>
    <n v="0"/>
    <n v="24.7"/>
    <n v="0.19"/>
    <n v="-24.7"/>
    <s v="Ecart négatif"/>
    <n v="0"/>
  </r>
  <r>
    <x v="2"/>
    <n v="17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91.69"/>
  </r>
  <r>
    <x v="4"/>
    <n v="34"/>
    <x v="19"/>
    <x v="946"/>
    <n v="0.38915789473684209"/>
    <n v="74.100000000000009"/>
    <n v="0.39000000000000007"/>
    <n v="-0.1600000000000108"/>
    <x v="0"/>
    <x v="1"/>
    <n v="0"/>
    <n v="74.100000000000009"/>
    <n v="0.39000000000000007"/>
    <n v="-74.100000000000009"/>
    <s v="Ecart négatif"/>
    <n v="0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359"/>
    <n v="9.0000000000000011E-2"/>
    <n v="3.5999999999999996"/>
    <n v="0.11999999999999998"/>
    <n v="-0.89999999999999947"/>
    <s v="Ecart négatif"/>
    <n v="18.93"/>
  </r>
  <r>
    <x v="0"/>
    <n v="14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5"/>
    <n v="76"/>
    <x v="11"/>
    <x v="0"/>
    <n v="0"/>
    <n v="10.200000000000001"/>
    <n v="0.17"/>
    <n v="-10.200000000000001"/>
    <x v="0"/>
    <x v="1"/>
    <n v="0"/>
    <n v="10.200000000000001"/>
    <n v="0.17"/>
    <n v="-10.200000000000001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84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5"/>
    <n v="84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2"/>
    <n v="94"/>
    <x v="7"/>
    <x v="0"/>
    <n v="0"/>
    <n v="0"/>
    <n v="0"/>
    <n v="0"/>
    <x v="1"/>
    <x v="1"/>
    <n v="0"/>
    <n v="0"/>
    <n v="0"/>
    <n v="0"/>
    <s v="Pas d'écart"/>
    <n v="0"/>
  </r>
  <r>
    <x v="0"/>
    <n v="93"/>
    <x v="2"/>
    <x v="0"/>
    <n v="0"/>
    <n v="0"/>
    <n v="0"/>
    <n v="0"/>
    <x v="1"/>
    <x v="1"/>
    <n v="0"/>
    <n v="0"/>
    <n v="0"/>
    <n v="0"/>
    <s v="Pas d'écart"/>
    <n v="10.509999999999998"/>
  </r>
  <r>
    <x v="3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75"/>
  </r>
  <r>
    <x v="4"/>
    <n v="29"/>
    <x v="0"/>
    <x v="947"/>
    <n v="0.38916666666666666"/>
    <n v="70.2"/>
    <n v="0.39"/>
    <n v="-0.15000000000000568"/>
    <x v="0"/>
    <x v="1"/>
    <n v="0"/>
    <n v="70.2"/>
    <n v="0.39"/>
    <n v="-70.2"/>
    <s v="Ecart négatif"/>
    <n v="0"/>
  </r>
  <r>
    <x v="6"/>
    <n v="51"/>
    <x v="11"/>
    <x v="948"/>
    <n v="0.22916666666666666"/>
    <n v="15"/>
    <n v="0.25"/>
    <n v="-1.25"/>
    <x v="0"/>
    <x v="1"/>
    <n v="0"/>
    <n v="15"/>
    <n v="0.25"/>
    <n v="-15"/>
    <s v="Ecart négatif"/>
    <n v="58.26"/>
  </r>
  <r>
    <x v="3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15.900000000000006"/>
  </r>
  <r>
    <x v="2"/>
    <n v="39"/>
    <x v="10"/>
    <x v="0"/>
    <n v="0"/>
    <n v="0"/>
    <n v="0"/>
    <n v="0"/>
    <x v="1"/>
    <x v="1"/>
    <n v="0"/>
    <n v="0"/>
    <n v="0"/>
    <n v="0"/>
    <s v="Pas d'écart"/>
    <n v="79.510000000000005"/>
  </r>
  <r>
    <x v="3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15.900000000000006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50"/>
    <x v="14"/>
    <x v="0"/>
    <n v="0"/>
    <n v="22.1"/>
    <n v="0.17"/>
    <n v="-22.1"/>
    <x v="0"/>
    <x v="229"/>
    <n v="0.16530769230769229"/>
    <n v="22.1"/>
    <n v="0.17"/>
    <n v="-0.61000000000000298"/>
    <s v="Ecart négatif"/>
    <n v="78.069999999999993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5"/>
    <n v="63"/>
    <x v="13"/>
    <x v="0"/>
    <n v="0"/>
    <n v="49.3"/>
    <n v="0.28999999999999998"/>
    <n v="-49.3"/>
    <x v="0"/>
    <x v="1"/>
    <n v="0"/>
    <n v="49.3"/>
    <n v="0.28999999999999998"/>
    <n v="-49.3"/>
    <s v="Ecart négatif"/>
    <n v="16.870000000000005"/>
  </r>
  <r>
    <x v="2"/>
    <n v="25"/>
    <x v="0"/>
    <x v="0"/>
    <n v="0"/>
    <n v="21.599999999999998"/>
    <n v="0.11999999999999998"/>
    <n v="-21.599999999999998"/>
    <x v="0"/>
    <x v="6"/>
    <n v="0.12000000000000001"/>
    <n v="21.599999999999998"/>
    <n v="0.11999999999999998"/>
    <n v="0"/>
    <s v="Pas d'écart"/>
    <n v="0"/>
  </r>
  <r>
    <x v="0"/>
    <n v="70"/>
    <x v="22"/>
    <x v="0"/>
    <n v="0"/>
    <n v="12"/>
    <n v="0.12"/>
    <n v="-12"/>
    <x v="0"/>
    <x v="1"/>
    <n v="0"/>
    <n v="12"/>
    <n v="0.12"/>
    <n v="-12"/>
    <s v="Ecart négatif"/>
    <n v="75.92"/>
  </r>
  <r>
    <x v="4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0"/>
  </r>
  <r>
    <x v="4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0"/>
  </r>
  <r>
    <x v="2"/>
    <n v="60"/>
    <x v="0"/>
    <x v="0"/>
    <n v="0"/>
    <n v="0"/>
    <n v="0"/>
    <n v="0"/>
    <x v="1"/>
    <x v="1"/>
    <n v="0"/>
    <n v="0"/>
    <n v="0"/>
    <n v="0"/>
    <s v="Pas d'écart"/>
    <n v="0"/>
  </r>
  <r>
    <x v="7"/>
    <n v="67"/>
    <x v="6"/>
    <x v="0"/>
    <n v="0"/>
    <n v="46.4"/>
    <n v="0.28999999999999998"/>
    <n v="-46.4"/>
    <x v="0"/>
    <x v="1"/>
    <n v="0"/>
    <n v="46.4"/>
    <n v="0.28999999999999998"/>
    <n v="-46.4"/>
    <s v="Ecart négatif"/>
    <n v="15.310000000000002"/>
  </r>
  <r>
    <x v="3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15.900000000000006"/>
  </r>
  <r>
    <x v="1"/>
    <n v="44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18.84"/>
  </r>
  <r>
    <x v="1"/>
    <n v="77"/>
    <x v="0"/>
    <x v="0"/>
    <n v="0"/>
    <n v="0"/>
    <n v="0"/>
    <n v="0"/>
    <x v="1"/>
    <x v="1"/>
    <n v="0"/>
    <n v="0"/>
    <n v="0"/>
    <n v="0"/>
    <s v="Pas d'écart"/>
    <n v="60.27"/>
  </r>
  <r>
    <x v="3"/>
    <n v="75"/>
    <x v="3"/>
    <x v="0"/>
    <n v="0"/>
    <n v="0"/>
    <n v="0"/>
    <n v="0"/>
    <x v="1"/>
    <x v="1"/>
    <n v="0"/>
    <n v="0"/>
    <n v="0"/>
    <n v="0"/>
    <s v="Pas d'écart"/>
    <n v="13.129999999999995"/>
  </r>
  <r>
    <x v="0"/>
    <n v="69"/>
    <x v="12"/>
    <x v="0"/>
    <n v="0"/>
    <n v="0"/>
    <n v="0"/>
    <n v="0"/>
    <x v="1"/>
    <x v="1"/>
    <n v="0"/>
    <n v="0"/>
    <n v="0"/>
    <n v="0"/>
    <s v="Pas d'écart"/>
    <n v="6.8599999999999994"/>
  </r>
  <r>
    <x v="4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0"/>
  </r>
  <r>
    <x v="0"/>
    <n v="68"/>
    <x v="2"/>
    <x v="0"/>
    <n v="0"/>
    <n v="11.200000000000001"/>
    <n v="0.08"/>
    <n v="-11.200000000000001"/>
    <x v="0"/>
    <x v="1"/>
    <n v="0"/>
    <n v="11.200000000000001"/>
    <n v="0.08"/>
    <n v="-11.200000000000001"/>
    <s v="Ecart négatif"/>
    <n v="73.41"/>
  </r>
  <r>
    <x v="4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0"/>
  </r>
  <r>
    <x v="3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15.900000000000006"/>
  </r>
  <r>
    <x v="3"/>
    <n v="75"/>
    <x v="4"/>
    <x v="0"/>
    <n v="0"/>
    <n v="0"/>
    <n v="0"/>
    <n v="0"/>
    <x v="1"/>
    <x v="1"/>
    <n v="0"/>
    <n v="0"/>
    <n v="0"/>
    <n v="0"/>
    <s v="Pas d'écart"/>
    <n v="9.0300000000000011"/>
  </r>
  <r>
    <x v="1"/>
    <n v="44"/>
    <x v="4"/>
    <x v="0"/>
    <n v="0"/>
    <n v="29.700000000000003"/>
    <n v="0.27"/>
    <n v="-29.700000000000003"/>
    <x v="0"/>
    <x v="1"/>
    <n v="0"/>
    <n v="29.700000000000003"/>
    <n v="0.27"/>
    <n v="-29.700000000000003"/>
    <s v="Ecart négatif"/>
    <n v="56.37"/>
  </r>
  <r>
    <x v="4"/>
    <n v="69"/>
    <x v="21"/>
    <x v="0"/>
    <e v="#DIV/0!"/>
    <n v="0"/>
    <e v="#DIV/0!"/>
    <n v="0"/>
    <x v="1"/>
    <x v="1"/>
    <e v="#DIV/0!"/>
    <n v="0"/>
    <e v="#DIV/0!"/>
    <n v="0"/>
    <s v="Pas d'écart"/>
    <e v="#N/A"/>
  </r>
  <r>
    <x v="7"/>
    <n v="79"/>
    <x v="8"/>
    <x v="0"/>
    <n v="0"/>
    <n v="14.7"/>
    <n v="0.21"/>
    <n v="-14.7"/>
    <x v="0"/>
    <x v="1"/>
    <n v="0"/>
    <n v="14.7"/>
    <n v="0.21"/>
    <n v="-14.7"/>
    <s v="Ecart négatif"/>
    <n v="13.269999999999996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3"/>
    <n v="75"/>
    <x v="15"/>
    <x v="0"/>
    <n v="0"/>
    <n v="0"/>
    <n v="0"/>
    <n v="0"/>
    <x v="1"/>
    <x v="1"/>
    <n v="0"/>
    <n v="0"/>
    <n v="0"/>
    <n v="0"/>
    <s v="Pas d'écart"/>
    <n v="3.9399999999999995"/>
  </r>
  <r>
    <x v="0"/>
    <n v="62"/>
    <x v="12"/>
    <x v="0"/>
    <n v="0"/>
    <n v="0"/>
    <n v="0"/>
    <n v="0"/>
    <x v="1"/>
    <x v="1"/>
    <n v="0"/>
    <n v="0"/>
    <n v="0"/>
    <n v="0"/>
    <s v="Pas d'écart"/>
    <n v="41.47"/>
  </r>
  <r>
    <x v="4"/>
    <n v="93"/>
    <x v="14"/>
    <x v="0"/>
    <n v="0"/>
    <n v="0"/>
    <n v="0"/>
    <n v="0"/>
    <x v="1"/>
    <x v="1"/>
    <n v="0"/>
    <n v="0"/>
    <n v="0"/>
    <n v="0"/>
    <s v="Pas d'écart"/>
    <n v="0"/>
  </r>
  <r>
    <x v="2"/>
    <n v="74"/>
    <x v="27"/>
    <x v="0"/>
    <n v="0"/>
    <n v="0"/>
    <n v="0"/>
    <n v="0"/>
    <x v="1"/>
    <x v="1"/>
    <n v="0"/>
    <n v="0"/>
    <n v="0"/>
    <n v="0"/>
    <s v="Pas d'écart"/>
    <n v="50.15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2"/>
    <n v="62"/>
    <x v="12"/>
    <x v="0"/>
    <n v="0"/>
    <n v="0"/>
    <n v="0"/>
    <n v="0"/>
    <x v="1"/>
    <x v="1"/>
    <n v="0"/>
    <n v="0"/>
    <n v="0"/>
    <n v="0"/>
    <s v="Pas d'écart"/>
    <n v="0"/>
  </r>
  <r>
    <x v="0"/>
    <n v="78"/>
    <x v="7"/>
    <x v="0"/>
    <n v="0"/>
    <n v="0"/>
    <n v="0"/>
    <n v="0"/>
    <x v="1"/>
    <x v="1"/>
    <n v="0"/>
    <n v="0"/>
    <n v="0"/>
    <n v="0"/>
    <s v="Pas d'écart"/>
    <n v="3.2700000000000014"/>
  </r>
  <r>
    <x v="0"/>
    <n v="54"/>
    <x v="12"/>
    <x v="0"/>
    <n v="0"/>
    <n v="10"/>
    <n v="0.25"/>
    <n v="-10"/>
    <x v="0"/>
    <x v="149"/>
    <n v="0.23275000000000001"/>
    <n v="10"/>
    <n v="0.25"/>
    <n v="-0.6899999999999995"/>
    <s v="Ecart négatif"/>
    <n v="6.8599999999999994"/>
  </r>
  <r>
    <x v="3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15.900000000000006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8"/>
    <n v="27"/>
    <x v="69"/>
    <x v="0"/>
    <n v="0"/>
    <n v="256.70000000000005"/>
    <n v="0.17000000000000004"/>
    <n v="-256.70000000000005"/>
    <x v="0"/>
    <x v="1"/>
    <n v="0"/>
    <n v="256.70000000000005"/>
    <n v="0.17000000000000004"/>
    <n v="-256.70000000000005"/>
    <s v="Ecart négatif"/>
    <e v="#N/A"/>
  </r>
  <r>
    <x v="3"/>
    <n v="34"/>
    <x v="10"/>
    <x v="949"/>
    <n v="0.38946666666666668"/>
    <n v="58.5"/>
    <n v="0.39"/>
    <n v="-7.9999999999998295E-2"/>
    <x v="0"/>
    <x v="1"/>
    <n v="0"/>
    <n v="58.5"/>
    <n v="0.39"/>
    <n v="-58.5"/>
    <s v="Ecart négatif"/>
    <n v="15.900000000000006"/>
  </r>
  <r>
    <x v="4"/>
    <n v="50"/>
    <x v="9"/>
    <x v="950"/>
    <n v="0.16999999999999998"/>
    <n v="13.600000000000001"/>
    <n v="0.17"/>
    <n v="0"/>
    <x v="1"/>
    <x v="1"/>
    <n v="0"/>
    <n v="13.600000000000001"/>
    <n v="0.17"/>
    <n v="-13.600000000000001"/>
    <s v="Ecart négatif"/>
    <n v="0"/>
  </r>
  <r>
    <x v="2"/>
    <n v="39"/>
    <x v="12"/>
    <x v="0"/>
    <n v="0"/>
    <n v="0"/>
    <n v="0"/>
    <n v="0"/>
    <x v="1"/>
    <x v="1"/>
    <n v="0"/>
    <n v="0"/>
    <n v="0"/>
    <n v="0"/>
    <s v="Pas d'écart"/>
    <n v="47.76"/>
  </r>
  <r>
    <x v="1"/>
    <n v="59"/>
    <x v="27"/>
    <x v="0"/>
    <n v="0"/>
    <n v="9.5"/>
    <n v="0.19"/>
    <n v="-9.5"/>
    <x v="0"/>
    <x v="1"/>
    <n v="0"/>
    <n v="9.5"/>
    <n v="0.19"/>
    <n v="-9.5"/>
    <s v="Ecart négatif"/>
    <n v="40.19"/>
  </r>
  <r>
    <x v="4"/>
    <n v="60"/>
    <x v="7"/>
    <x v="951"/>
    <n v="0.44833333333333331"/>
    <n v="5.7"/>
    <n v="0.19"/>
    <n v="7.7499999999999991"/>
    <x v="2"/>
    <x v="1"/>
    <n v="0"/>
    <n v="5.7"/>
    <n v="0.19"/>
    <n v="-5.7"/>
    <s v="Ecart négatif"/>
    <n v="0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4"/>
    <n v="94"/>
    <x v="40"/>
    <x v="0"/>
    <n v="0"/>
    <n v="0"/>
    <n v="0"/>
    <n v="0"/>
    <x v="1"/>
    <x v="1"/>
    <n v="0"/>
    <n v="0"/>
    <n v="0"/>
    <n v="0"/>
    <s v="Pas d'écart"/>
    <e v="#N/A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8"/>
    <n v="73"/>
    <x v="2"/>
    <x v="0"/>
    <n v="0"/>
    <n v="37.800000000000004"/>
    <n v="0.27"/>
    <n v="-37.800000000000004"/>
    <x v="0"/>
    <x v="1"/>
    <n v="0"/>
    <n v="37.800000000000004"/>
    <n v="0.27"/>
    <n v="-37.800000000000004"/>
    <s v="Ecart négatif"/>
    <n v="0"/>
  </r>
  <r>
    <x v="5"/>
    <n v="75"/>
    <x v="10"/>
    <x v="0"/>
    <n v="0"/>
    <n v="0"/>
    <n v="0"/>
    <n v="0"/>
    <x v="1"/>
    <x v="1"/>
    <n v="0"/>
    <n v="0"/>
    <n v="0"/>
    <n v="0"/>
    <s v="Pas d'écart"/>
    <n v="11.009999999999998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9"/>
    <n v="77"/>
    <x v="0"/>
    <x v="953"/>
    <n v="0.58000000000000007"/>
    <n v="0"/>
    <n v="0"/>
    <n v="104.4"/>
    <x v="2"/>
    <x v="1"/>
    <n v="0"/>
    <n v="0"/>
    <n v="0"/>
    <n v="0"/>
    <s v="Pas d'écart"/>
    <n v="60.27"/>
  </r>
  <r>
    <x v="0"/>
    <n v="89"/>
    <x v="2"/>
    <x v="0"/>
    <n v="0"/>
    <n v="16.8"/>
    <n v="0.12000000000000001"/>
    <n v="-16.8"/>
    <x v="0"/>
    <x v="1"/>
    <n v="0"/>
    <n v="16.8"/>
    <n v="0.12000000000000001"/>
    <n v="-16.8"/>
    <s v="Ecart négatif"/>
    <n v="78.8"/>
  </r>
  <r>
    <x v="2"/>
    <n v="92"/>
    <x v="2"/>
    <x v="0"/>
    <n v="0"/>
    <n v="0"/>
    <n v="0"/>
    <n v="0"/>
    <x v="1"/>
    <x v="1"/>
    <n v="0"/>
    <n v="0"/>
    <n v="0"/>
    <n v="0"/>
    <s v="Pas d'écart"/>
    <n v="52.57"/>
  </r>
  <r>
    <x v="0"/>
    <n v="14"/>
    <x v="6"/>
    <x v="0"/>
    <n v="0"/>
    <n v="27.200000000000003"/>
    <n v="0.17"/>
    <n v="-27.200000000000003"/>
    <x v="0"/>
    <x v="1"/>
    <n v="0"/>
    <n v="27.200000000000003"/>
    <n v="0.17"/>
    <n v="-27.200000000000003"/>
    <s v="Ecart négatif"/>
    <n v="85.09"/>
  </r>
  <r>
    <x v="0"/>
    <n v="37"/>
    <x v="8"/>
    <x v="0"/>
    <n v="0"/>
    <n v="8.4"/>
    <n v="0.12000000000000001"/>
    <n v="-8.4"/>
    <x v="0"/>
    <x v="1"/>
    <n v="0"/>
    <n v="8.4"/>
    <n v="0.12000000000000001"/>
    <n v="-8.4"/>
    <s v="Ecart négatif"/>
    <n v="44.77"/>
  </r>
  <r>
    <x v="2"/>
    <n v="69"/>
    <x v="10"/>
    <x v="0"/>
    <n v="0"/>
    <n v="0"/>
    <n v="0"/>
    <n v="0"/>
    <x v="1"/>
    <x v="1"/>
    <n v="0"/>
    <n v="0"/>
    <n v="0"/>
    <n v="0"/>
    <s v="Pas d'écart"/>
    <n v="68.78"/>
  </r>
  <r>
    <x v="2"/>
    <n v="75"/>
    <x v="7"/>
    <x v="0"/>
    <n v="0"/>
    <n v="0"/>
    <n v="0"/>
    <n v="0"/>
    <x v="1"/>
    <x v="1"/>
    <n v="0"/>
    <n v="0"/>
    <n v="0"/>
    <n v="0"/>
    <s v="Pas d'écart"/>
    <n v="20.87"/>
  </r>
  <r>
    <x v="2"/>
    <n v="80"/>
    <x v="22"/>
    <x v="0"/>
    <n v="0"/>
    <n v="0"/>
    <n v="0"/>
    <n v="0"/>
    <x v="1"/>
    <x v="360"/>
    <n v="0.19"/>
    <n v="0"/>
    <n v="0"/>
    <n v="19"/>
    <s v="Ecart positif"/>
    <n v="0"/>
  </r>
  <r>
    <x v="0"/>
    <n v="31"/>
    <x v="19"/>
    <x v="0"/>
    <n v="0"/>
    <n v="49.4"/>
    <n v="0.26"/>
    <n v="-49.4"/>
    <x v="0"/>
    <x v="1"/>
    <n v="0"/>
    <n v="49.4"/>
    <n v="0.26"/>
    <n v="-49.4"/>
    <s v="Ecart négatif"/>
    <n v="99.88"/>
  </r>
  <r>
    <x v="6"/>
    <n v="67"/>
    <x v="22"/>
    <x v="0"/>
    <n v="0"/>
    <n v="28.999999999999996"/>
    <n v="0.28999999999999998"/>
    <n v="-28.999999999999996"/>
    <x v="0"/>
    <x v="1"/>
    <n v="0"/>
    <n v="28.999999999999996"/>
    <n v="0.28999999999999998"/>
    <n v="-28.999999999999996"/>
    <s v="Ecart négatif"/>
    <n v="0"/>
  </r>
  <r>
    <x v="4"/>
    <n v="94"/>
    <x v="21"/>
    <x v="0"/>
    <e v="#DIV/0!"/>
    <n v="0"/>
    <e v="#DIV/0!"/>
    <n v="0"/>
    <x v="1"/>
    <x v="1"/>
    <e v="#DIV/0!"/>
    <n v="0"/>
    <e v="#DIV/0!"/>
    <n v="0"/>
    <s v="Pas d'écart"/>
    <e v="#N/A"/>
  </r>
  <r>
    <x v="2"/>
    <n v="84"/>
    <x v="0"/>
    <x v="0"/>
    <n v="0"/>
    <n v="34.200000000000003"/>
    <n v="0.19"/>
    <n v="-34.200000000000003"/>
    <x v="0"/>
    <x v="1"/>
    <n v="0"/>
    <n v="34.200000000000003"/>
    <n v="0.19"/>
    <n v="-34.200000000000003"/>
    <s v="Ecart négatif"/>
    <n v="107.35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2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2"/>
    <n v="75"/>
    <x v="5"/>
    <x v="0"/>
    <n v="0"/>
    <n v="0"/>
    <n v="0"/>
    <n v="0"/>
    <x v="1"/>
    <x v="1"/>
    <n v="0"/>
    <n v="0"/>
    <n v="0"/>
    <n v="0"/>
    <s v="Pas d'écart"/>
    <n v="19.7"/>
  </r>
  <r>
    <x v="2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0"/>
    <n v="85"/>
    <x v="15"/>
    <x v="0"/>
    <n v="0"/>
    <n v="0"/>
    <n v="0"/>
    <n v="0"/>
    <x v="1"/>
    <x v="39"/>
    <n v="0.254"/>
    <n v="0"/>
    <n v="0"/>
    <n v="5.08"/>
    <s v="Ecart positif"/>
    <n v="17.22"/>
  </r>
  <r>
    <x v="0"/>
    <n v="70"/>
    <x v="12"/>
    <x v="0"/>
    <n v="0"/>
    <n v="4.8"/>
    <n v="0.12"/>
    <n v="-4.8"/>
    <x v="0"/>
    <x v="1"/>
    <n v="0"/>
    <n v="4.8"/>
    <n v="0.12"/>
    <n v="-4.8"/>
    <s v="Ecart négatif"/>
    <n v="47.76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0"/>
    <n v="70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18.93"/>
  </r>
  <r>
    <x v="2"/>
    <n v="69"/>
    <x v="15"/>
    <x v="0"/>
    <n v="0"/>
    <n v="0"/>
    <n v="0"/>
    <n v="0"/>
    <x v="1"/>
    <x v="1"/>
    <n v="0"/>
    <n v="0"/>
    <n v="0"/>
    <n v="0"/>
    <s v="Pas d'écart"/>
    <n v="0"/>
  </r>
  <r>
    <x v="5"/>
    <n v="77"/>
    <x v="11"/>
    <x v="0"/>
    <n v="0"/>
    <n v="0"/>
    <n v="0"/>
    <n v="0"/>
    <x v="1"/>
    <x v="1"/>
    <n v="0"/>
    <n v="0"/>
    <n v="0"/>
    <n v="0"/>
    <s v="Pas d'écart"/>
    <n v="6.8499999999999979"/>
  </r>
  <r>
    <x v="5"/>
    <n v="84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25.37"/>
  </r>
  <r>
    <x v="5"/>
    <n v="22"/>
    <x v="11"/>
    <x v="0"/>
    <n v="0"/>
    <n v="22.8"/>
    <n v="0.38"/>
    <n v="-22.8"/>
    <x v="0"/>
    <x v="1"/>
    <n v="0"/>
    <n v="22.8"/>
    <n v="0.38"/>
    <n v="-22.8"/>
    <s v="Ecart négatif"/>
    <n v="30.849999999999998"/>
  </r>
  <r>
    <x v="5"/>
    <n v="26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30.849999999999998"/>
  </r>
  <r>
    <x v="2"/>
    <n v="59"/>
    <x v="13"/>
    <x v="0"/>
    <n v="0"/>
    <n v="0"/>
    <n v="0"/>
    <n v="0"/>
    <x v="1"/>
    <x v="1"/>
    <n v="0"/>
    <n v="0"/>
    <n v="0"/>
    <n v="0"/>
    <s v="Pas d'écart"/>
    <n v="84.33"/>
  </r>
  <r>
    <x v="2"/>
    <n v="34"/>
    <x v="0"/>
    <x v="0"/>
    <n v="0"/>
    <n v="50.400000000000006"/>
    <n v="0.28000000000000003"/>
    <n v="-50.400000000000006"/>
    <x v="0"/>
    <x v="1"/>
    <n v="0"/>
    <n v="50.400000000000006"/>
    <n v="0.28000000000000003"/>
    <n v="-50.400000000000006"/>
    <s v="Ecart négatif"/>
    <n v="116.04"/>
  </r>
  <r>
    <x v="5"/>
    <n v="7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3.3300000000000018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7"/>
    <n v="51"/>
    <x v="19"/>
    <x v="0"/>
    <n v="0"/>
    <n v="47.5"/>
    <n v="0.25"/>
    <n v="-47.5"/>
    <x v="0"/>
    <x v="1"/>
    <n v="0"/>
    <n v="47.5"/>
    <n v="0.25"/>
    <n v="-47.5"/>
    <s v="Ecart négatif"/>
    <n v="25.64"/>
  </r>
  <r>
    <x v="7"/>
    <n v="8"/>
    <x v="12"/>
    <x v="0"/>
    <n v="0"/>
    <n v="7.1999999999999993"/>
    <n v="0.18"/>
    <n v="-7.1999999999999993"/>
    <x v="0"/>
    <x v="1"/>
    <n v="0"/>
    <n v="7.1999999999999993"/>
    <n v="0.18"/>
    <n v="-7.1999999999999993"/>
    <s v="Ecart négatif"/>
    <n v="9.5499999999999972"/>
  </r>
  <r>
    <x v="8"/>
    <n v="78"/>
    <x v="21"/>
    <x v="0"/>
    <e v="#DIV/0!"/>
    <n v="0"/>
    <e v="#DIV/0!"/>
    <n v="0"/>
    <x v="1"/>
    <x v="1"/>
    <e v="#DIV/0!"/>
    <n v="0"/>
    <e v="#DIV/0!"/>
    <n v="0"/>
    <s v="Pas d'écart"/>
    <e v="#N/A"/>
  </r>
  <r>
    <x v="8"/>
    <n v="33"/>
    <x v="9"/>
    <x v="0"/>
    <n v="0"/>
    <n v="16.8"/>
    <n v="0.21000000000000002"/>
    <n v="-16.8"/>
    <x v="0"/>
    <x v="1"/>
    <n v="0"/>
    <n v="16.8"/>
    <n v="0.21000000000000002"/>
    <n v="-16.8"/>
    <s v="Ecart négatif"/>
    <n v="0"/>
  </r>
  <r>
    <x v="2"/>
    <n v="17"/>
    <x v="6"/>
    <x v="0"/>
    <n v="0"/>
    <n v="27.200000000000003"/>
    <n v="0.17"/>
    <n v="-27.200000000000003"/>
    <x v="0"/>
    <x v="361"/>
    <n v="0.2086875"/>
    <n v="27.200000000000003"/>
    <n v="0.17"/>
    <n v="6.1899999999999977"/>
    <s v="Ecart positif"/>
    <n v="91.69"/>
  </r>
  <r>
    <x v="0"/>
    <n v="44"/>
    <x v="2"/>
    <x v="0"/>
    <n v="0"/>
    <n v="0"/>
    <n v="0"/>
    <n v="0"/>
    <x v="1"/>
    <x v="1"/>
    <n v="0"/>
    <n v="0"/>
    <n v="0"/>
    <n v="0"/>
    <s v="Pas d'écart"/>
    <n v="65.680000000000007"/>
  </r>
  <r>
    <x v="0"/>
    <n v="27"/>
    <x v="0"/>
    <x v="0"/>
    <n v="0"/>
    <n v="30.6"/>
    <n v="0.17"/>
    <n v="-30.6"/>
    <x v="0"/>
    <x v="1"/>
    <n v="0"/>
    <n v="30.6"/>
    <n v="0.17"/>
    <n v="-30.6"/>
    <s v="Ecart négatif"/>
    <n v="107.35"/>
  </r>
  <r>
    <x v="7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4"/>
    <n v="5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53"/>
    <x v="0"/>
    <x v="0"/>
    <n v="0"/>
    <n v="0"/>
    <n v="0"/>
    <n v="0"/>
    <x v="1"/>
    <x v="1"/>
    <n v="0"/>
    <n v="0"/>
    <n v="0"/>
    <n v="0"/>
    <s v="Pas d'écart"/>
    <n v="116.04"/>
  </r>
  <r>
    <x v="0"/>
    <n v="14"/>
    <x v="2"/>
    <x v="0"/>
    <n v="0"/>
    <n v="23.8"/>
    <n v="0.17"/>
    <n v="-23.8"/>
    <x v="0"/>
    <x v="40"/>
    <n v="0.17"/>
    <n v="23.8"/>
    <n v="0.17"/>
    <n v="0"/>
    <s v="Pas d'écart"/>
    <n v="73.41"/>
  </r>
  <r>
    <x v="0"/>
    <n v="38"/>
    <x v="7"/>
    <x v="0"/>
    <n v="0"/>
    <n v="0"/>
    <n v="0"/>
    <n v="0"/>
    <x v="1"/>
    <x v="1"/>
    <n v="0"/>
    <n v="0"/>
    <n v="0"/>
    <n v="0"/>
    <s v="Pas d'écart"/>
    <n v="20.59"/>
  </r>
  <r>
    <x v="5"/>
    <n v="69"/>
    <x v="6"/>
    <x v="0"/>
    <n v="0"/>
    <n v="43.2"/>
    <n v="0.27"/>
    <n v="-43.2"/>
    <x v="0"/>
    <x v="1"/>
    <n v="0"/>
    <n v="43.2"/>
    <n v="0.27"/>
    <n v="-43.2"/>
    <s v="Ecart négatif"/>
    <n v="15.310000000000002"/>
  </r>
  <r>
    <x v="1"/>
    <n v="77"/>
    <x v="15"/>
    <x v="0"/>
    <n v="0"/>
    <n v="0"/>
    <n v="0"/>
    <n v="0"/>
    <x v="1"/>
    <x v="1"/>
    <n v="0"/>
    <n v="0"/>
    <n v="0"/>
    <n v="0"/>
    <s v="Pas d'écart"/>
    <n v="14.57"/>
  </r>
  <r>
    <x v="7"/>
    <n v="50"/>
    <x v="2"/>
    <x v="0"/>
    <n v="0"/>
    <n v="23.8"/>
    <n v="0.17"/>
    <n v="-23.8"/>
    <x v="0"/>
    <x v="1"/>
    <n v="0"/>
    <n v="23.8"/>
    <n v="0.17"/>
    <n v="-23.8"/>
    <s v="Ecart négatif"/>
    <n v="15.759999999999998"/>
  </r>
  <r>
    <x v="6"/>
    <n v="83"/>
    <x v="14"/>
    <x v="0"/>
    <n v="0"/>
    <n v="39"/>
    <n v="0.3"/>
    <n v="-39"/>
    <x v="0"/>
    <x v="1"/>
    <n v="0"/>
    <n v="39"/>
    <n v="0.3"/>
    <n v="-39"/>
    <s v="Ecart négatif"/>
    <n v="72.88"/>
  </r>
  <r>
    <x v="1"/>
    <n v="77"/>
    <x v="11"/>
    <x v="0"/>
    <n v="0"/>
    <n v="0"/>
    <n v="0"/>
    <n v="0"/>
    <x v="1"/>
    <x v="1"/>
    <n v="0"/>
    <n v="0"/>
    <n v="0"/>
    <n v="0"/>
    <s v="Pas d'écart"/>
    <n v="34.26"/>
  </r>
  <r>
    <x v="2"/>
    <n v="83"/>
    <x v="2"/>
    <x v="0"/>
    <n v="0"/>
    <n v="29.4"/>
    <n v="0.21"/>
    <n v="-29.4"/>
    <x v="0"/>
    <x v="1"/>
    <n v="0"/>
    <n v="29.4"/>
    <n v="0.21"/>
    <n v="-29.4"/>
    <s v="Ecart négatif"/>
    <n v="0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5"/>
    <n v="79"/>
    <x v="0"/>
    <x v="0"/>
    <n v="0"/>
    <n v="37.799999999999997"/>
    <n v="0.21"/>
    <n v="-37.799999999999997"/>
    <x v="0"/>
    <x v="1"/>
    <n v="0"/>
    <n v="37.799999999999997"/>
    <n v="0.21"/>
    <n v="-37.799999999999997"/>
    <s v="Ecart négatif"/>
    <n v="23.210000000000008"/>
  </r>
  <r>
    <x v="5"/>
    <n v="44"/>
    <x v="19"/>
    <x v="0"/>
    <n v="0"/>
    <n v="51.300000000000004"/>
    <n v="0.27"/>
    <n v="-51.300000000000004"/>
    <x v="0"/>
    <x v="1"/>
    <n v="0"/>
    <n v="51.300000000000004"/>
    <n v="0.27"/>
    <n v="-51.300000000000004"/>
    <s v="Ecart négatif"/>
    <n v="19.97999999999999"/>
  </r>
  <r>
    <x v="1"/>
    <n v="77"/>
    <x v="18"/>
    <x v="0"/>
    <n v="0"/>
    <n v="0"/>
    <n v="0"/>
    <n v="0"/>
    <x v="1"/>
    <x v="1"/>
    <n v="0"/>
    <n v="0"/>
    <n v="0"/>
    <n v="0"/>
    <s v="Pas d'écart"/>
    <n v="40.19"/>
  </r>
  <r>
    <x v="1"/>
    <n v="77"/>
    <x v="9"/>
    <x v="0"/>
    <n v="0"/>
    <n v="0"/>
    <n v="0"/>
    <n v="0"/>
    <x v="1"/>
    <x v="1"/>
    <n v="0"/>
    <n v="0"/>
    <n v="0"/>
    <n v="0"/>
    <s v="Pas d'écart"/>
    <n v="37.71"/>
  </r>
  <r>
    <x v="4"/>
    <n v="87"/>
    <x v="21"/>
    <x v="0"/>
    <e v="#DIV/0!"/>
    <n v="0"/>
    <e v="#DIV/0!"/>
    <n v="0"/>
    <x v="1"/>
    <x v="1"/>
    <e v="#DIV/0!"/>
    <n v="0"/>
    <e v="#DIV/0!"/>
    <n v="0"/>
    <s v="Pas d'écart"/>
    <e v="#N/A"/>
  </r>
  <r>
    <x v="0"/>
    <n v="67"/>
    <x v="28"/>
    <x v="0"/>
    <n v="0"/>
    <n v="19.2"/>
    <n v="0.08"/>
    <n v="-19.2"/>
    <x v="0"/>
    <x v="362"/>
    <n v="7.8875000000000001E-2"/>
    <n v="19.2"/>
    <n v="0.08"/>
    <n v="-0.26999999999999957"/>
    <s v="Ecart négatif"/>
    <n v="25.28"/>
  </r>
  <r>
    <x v="0"/>
    <n v="45"/>
    <x v="7"/>
    <x v="0"/>
    <n v="0"/>
    <n v="3.5999999999999996"/>
    <n v="0.11999999999999998"/>
    <n v="-3.5999999999999996"/>
    <x v="0"/>
    <x v="1"/>
    <n v="0"/>
    <n v="3.5999999999999996"/>
    <n v="0.11999999999999998"/>
    <n v="-3.5999999999999996"/>
    <s v="Ecart négatif"/>
    <n v="3.5199999999999978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2"/>
    <n v="75"/>
    <x v="7"/>
    <x v="0"/>
    <n v="0"/>
    <n v="0"/>
    <n v="0"/>
    <n v="0"/>
    <x v="1"/>
    <x v="1"/>
    <n v="0"/>
    <n v="0"/>
    <n v="0"/>
    <n v="0"/>
    <s v="Pas d'écart"/>
    <n v="0"/>
  </r>
  <r>
    <x v="2"/>
    <n v="62"/>
    <x v="8"/>
    <x v="0"/>
    <n v="0"/>
    <n v="0"/>
    <n v="0"/>
    <n v="0"/>
    <x v="1"/>
    <x v="1"/>
    <n v="0"/>
    <n v="0"/>
    <n v="0"/>
    <n v="0"/>
    <s v="Pas d'écart"/>
    <n v="0"/>
  </r>
  <r>
    <x v="0"/>
    <n v="44"/>
    <x v="12"/>
    <x v="0"/>
    <n v="0"/>
    <n v="0"/>
    <n v="0"/>
    <n v="0"/>
    <x v="1"/>
    <x v="1"/>
    <n v="0"/>
    <n v="0"/>
    <n v="0"/>
    <n v="0"/>
    <s v="Pas d'écart"/>
    <n v="34.29"/>
  </r>
  <r>
    <x v="3"/>
    <n v="13"/>
    <x v="9"/>
    <x v="952"/>
    <n v="0.46537499999999998"/>
    <n v="23.2"/>
    <n v="0.28999999999999998"/>
    <n v="14.029999999999998"/>
    <x v="2"/>
    <x v="1"/>
    <n v="0"/>
    <n v="23.2"/>
    <n v="0.28999999999999998"/>
    <n v="-23.2"/>
    <s v="Ecart négatif"/>
    <n v="9.4100000000000037"/>
  </r>
  <r>
    <x v="4"/>
    <n v="94"/>
    <x v="16"/>
    <x v="954"/>
    <n v="0.47520000000000001"/>
    <n v="0"/>
    <n v="0"/>
    <n v="95.04"/>
    <x v="2"/>
    <x v="1"/>
    <n v="0"/>
    <n v="0"/>
    <n v="0"/>
    <n v="0"/>
    <s v="Pas d'écart"/>
    <n v="0"/>
  </r>
  <r>
    <x v="3"/>
    <n v="44"/>
    <x v="2"/>
    <x v="955"/>
    <n v="0.47949999999999998"/>
    <n v="37.800000000000004"/>
    <n v="0.27"/>
    <n v="29.329999999999991"/>
    <x v="2"/>
    <x v="1"/>
    <n v="0"/>
    <n v="37.800000000000004"/>
    <n v="0.27"/>
    <n v="-37.800000000000004"/>
    <s v="Ecart négatif"/>
    <n v="13.140000000000008"/>
  </r>
  <r>
    <x v="0"/>
    <n v="30"/>
    <x v="3"/>
    <x v="0"/>
    <n v="0"/>
    <n v="58.800000000000004"/>
    <n v="0.28000000000000003"/>
    <n v="-58.800000000000004"/>
    <x v="0"/>
    <x v="1"/>
    <n v="0"/>
    <n v="58.800000000000004"/>
    <n v="0.28000000000000003"/>
    <n v="-58.800000000000004"/>
    <s v="Ecart négatif"/>
    <n v="135.19999999999999"/>
  </r>
  <r>
    <x v="2"/>
    <n v="67"/>
    <x v="6"/>
    <x v="0"/>
    <n v="0"/>
    <n v="12.8"/>
    <n v="0.08"/>
    <n v="-12.8"/>
    <x v="0"/>
    <x v="1"/>
    <n v="0"/>
    <n v="12.8"/>
    <n v="0.08"/>
    <n v="-12.8"/>
    <s v="Ecart négatif"/>
    <n v="0"/>
  </r>
  <r>
    <x v="3"/>
    <n v="14"/>
    <x v="2"/>
    <x v="956"/>
    <n v="0.50057142857142856"/>
    <n v="23.8"/>
    <n v="0.17"/>
    <n v="46.28"/>
    <x v="2"/>
    <x v="1"/>
    <n v="0"/>
    <n v="23.8"/>
    <n v="0.17"/>
    <n v="-23.8"/>
    <s v="Ecart négatif"/>
    <n v="14.68"/>
  </r>
  <r>
    <x v="0"/>
    <n v="49"/>
    <x v="19"/>
    <x v="0"/>
    <n v="0"/>
    <n v="0"/>
    <n v="0"/>
    <n v="0"/>
    <x v="1"/>
    <x v="1"/>
    <n v="0"/>
    <n v="0"/>
    <n v="0"/>
    <n v="0"/>
    <s v="Pas d'écart"/>
    <n v="23.700000000000003"/>
  </r>
  <r>
    <x v="8"/>
    <n v="75"/>
    <x v="16"/>
    <x v="0"/>
    <n v="0"/>
    <n v="0"/>
    <n v="0"/>
    <n v="0"/>
    <x v="1"/>
    <x v="1"/>
    <n v="0"/>
    <n v="0"/>
    <n v="0"/>
    <n v="0"/>
    <s v="Pas d'écart"/>
    <n v="0"/>
  </r>
  <r>
    <x v="4"/>
    <n v="83"/>
    <x v="11"/>
    <x v="957"/>
    <n v="0.54433333333333322"/>
    <n v="18"/>
    <n v="0.3"/>
    <n v="14.659999999999997"/>
    <x v="2"/>
    <x v="1"/>
    <n v="0"/>
    <n v="18"/>
    <n v="0.3"/>
    <n v="-18"/>
    <s v="Ecart négatif"/>
    <n v="0"/>
  </r>
  <r>
    <x v="3"/>
    <n v="59"/>
    <x v="22"/>
    <x v="958"/>
    <n v="0.57999999999999996"/>
    <n v="19"/>
    <n v="0.19"/>
    <n v="39"/>
    <x v="2"/>
    <x v="1"/>
    <n v="0"/>
    <n v="19"/>
    <n v="0.19"/>
    <n v="-19"/>
    <s v="Ecart négatif"/>
    <n v="10.650000000000006"/>
  </r>
  <r>
    <x v="8"/>
    <n v="75"/>
    <x v="2"/>
    <x v="0"/>
    <n v="0"/>
    <n v="0"/>
    <n v="0"/>
    <n v="0"/>
    <x v="1"/>
    <x v="1"/>
    <n v="0"/>
    <n v="0"/>
    <n v="0"/>
    <n v="0"/>
    <s v="Pas d'écart"/>
    <n v="0"/>
  </r>
  <r>
    <x v="0"/>
    <n v="39"/>
    <x v="7"/>
    <x v="0"/>
    <n v="0"/>
    <n v="0"/>
    <n v="0"/>
    <n v="0"/>
    <x v="1"/>
    <x v="1"/>
    <n v="0"/>
    <n v="0"/>
    <n v="0"/>
    <n v="0"/>
    <s v="Pas d'écart"/>
    <n v="18.78"/>
  </r>
  <r>
    <x v="0"/>
    <n v="42"/>
    <x v="0"/>
    <x v="0"/>
    <n v="0"/>
    <n v="0"/>
    <n v="0"/>
    <n v="0"/>
    <x v="1"/>
    <x v="1"/>
    <n v="0"/>
    <n v="0"/>
    <n v="0"/>
    <n v="0"/>
    <s v="Pas d'écart"/>
    <n v="107.35"/>
  </r>
  <r>
    <x v="2"/>
    <n v="98"/>
    <x v="8"/>
    <x v="0"/>
    <n v="0"/>
    <n v="14.7"/>
    <n v="0.21"/>
    <n v="-14.7"/>
    <x v="0"/>
    <x v="1"/>
    <n v="0"/>
    <n v="14.7"/>
    <n v="0.21"/>
    <n v="-14.7"/>
    <s v="Ecart négatif"/>
    <n v="66.36"/>
  </r>
  <r>
    <x v="0"/>
    <n v="21"/>
    <x v="8"/>
    <x v="0"/>
    <n v="0"/>
    <n v="8.4"/>
    <n v="0.12000000000000001"/>
    <n v="-8.4"/>
    <x v="0"/>
    <x v="4"/>
    <n v="0.12000000000000001"/>
    <n v="8.4"/>
    <n v="0.12000000000000001"/>
    <n v="0"/>
    <s v="Pas d'écart"/>
    <n v="44.77"/>
  </r>
  <r>
    <x v="2"/>
    <n v="77"/>
    <x v="8"/>
    <x v="0"/>
    <n v="0"/>
    <n v="0"/>
    <n v="0"/>
    <n v="0"/>
    <x v="1"/>
    <x v="1"/>
    <n v="0"/>
    <n v="0"/>
    <n v="0"/>
    <n v="0"/>
    <s v="Pas d'écart"/>
    <n v="35.979999999999997"/>
  </r>
  <r>
    <x v="2"/>
    <n v="64"/>
    <x v="19"/>
    <x v="0"/>
    <n v="0"/>
    <n v="32.300000000000004"/>
    <n v="0.17"/>
    <n v="-32.300000000000004"/>
    <x v="0"/>
    <x v="1"/>
    <n v="0"/>
    <n v="32.300000000000004"/>
    <n v="0.17"/>
    <n v="-32.300000000000004"/>
    <s v="Ecart négatif"/>
    <n v="128.22"/>
  </r>
  <r>
    <x v="0"/>
    <n v="69"/>
    <x v="6"/>
    <x v="0"/>
    <n v="0"/>
    <n v="0"/>
    <n v="0"/>
    <n v="0"/>
    <x v="1"/>
    <x v="1"/>
    <n v="0"/>
    <n v="0"/>
    <n v="0"/>
    <n v="0"/>
    <s v="Pas d'écart"/>
    <n v="76.56"/>
  </r>
  <r>
    <x v="0"/>
    <n v="6"/>
    <x v="7"/>
    <x v="0"/>
    <n v="0"/>
    <n v="6.3"/>
    <n v="0.21"/>
    <n v="-6.3"/>
    <x v="0"/>
    <x v="1"/>
    <n v="0"/>
    <n v="6.3"/>
    <n v="0.21"/>
    <n v="-6.3"/>
    <s v="Ecart négatif"/>
    <n v="24.07"/>
  </r>
  <r>
    <x v="0"/>
    <n v="27"/>
    <x v="15"/>
    <x v="0"/>
    <n v="0"/>
    <n v="3.4000000000000004"/>
    <n v="0.17"/>
    <n v="-3.4000000000000004"/>
    <x v="0"/>
    <x v="1"/>
    <n v="0"/>
    <n v="3.4000000000000004"/>
    <n v="0.17"/>
    <n v="-3.4000000000000004"/>
    <s v="Ecart négatif"/>
    <n v="16.010000000000002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13"/>
    <x v="11"/>
    <x v="0"/>
    <n v="0"/>
    <n v="17.399999999999999"/>
    <n v="0.28999999999999998"/>
    <n v="-17.399999999999999"/>
    <x v="0"/>
    <x v="1"/>
    <n v="0"/>
    <n v="17.399999999999999"/>
    <n v="0.28999999999999998"/>
    <n v="-17.399999999999999"/>
    <s v="Ecart négatif"/>
    <n v="15.069999999999997"/>
  </r>
  <r>
    <x v="5"/>
    <n v="69"/>
    <x v="11"/>
    <x v="0"/>
    <n v="0"/>
    <n v="16.200000000000003"/>
    <n v="0.27000000000000007"/>
    <n v="-16.200000000000003"/>
    <x v="0"/>
    <x v="1"/>
    <n v="0"/>
    <n v="16.200000000000003"/>
    <n v="0.27000000000000007"/>
    <n v="-16.200000000000003"/>
    <s v="Ecart négatif"/>
    <n v="15.069999999999997"/>
  </r>
  <r>
    <x v="6"/>
    <n v="37"/>
    <x v="8"/>
    <x v="0"/>
    <n v="0"/>
    <n v="13.3"/>
    <n v="0.19"/>
    <n v="-13.3"/>
    <x v="0"/>
    <x v="289"/>
    <n v="0.26999999999999996"/>
    <n v="13.3"/>
    <n v="0.19"/>
    <n v="5.5999999999999979"/>
    <s v="Ecart positif"/>
    <n v="-16.709999999999994"/>
  </r>
  <r>
    <x v="0"/>
    <n v="59"/>
    <x v="0"/>
    <x v="0"/>
    <n v="0"/>
    <n v="0"/>
    <n v="0"/>
    <n v="0"/>
    <x v="1"/>
    <x v="1"/>
    <n v="0"/>
    <n v="0"/>
    <n v="0"/>
    <n v="0"/>
    <s v="Pas d'écart"/>
    <n v="92.1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6"/>
    <n v="92"/>
    <x v="2"/>
    <x v="0"/>
    <n v="0"/>
    <n v="0"/>
    <n v="0"/>
    <n v="0"/>
    <x v="1"/>
    <x v="1"/>
    <n v="0"/>
    <n v="0"/>
    <n v="0"/>
    <n v="0"/>
    <s v="Pas d'écart"/>
    <n v="0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34"/>
    <x v="0"/>
    <x v="0"/>
    <n v="0"/>
    <n v="50.400000000000006"/>
    <n v="0.28000000000000003"/>
    <n v="-50.400000000000006"/>
    <x v="0"/>
    <x v="65"/>
    <n v="0.39"/>
    <n v="50.400000000000006"/>
    <n v="0.28000000000000003"/>
    <n v="19.799999999999997"/>
    <s v="Ecart positif"/>
    <n v="116.04"/>
  </r>
  <r>
    <x v="8"/>
    <n v="13"/>
    <x v="0"/>
    <x v="0"/>
    <n v="0"/>
    <n v="52.199999999999996"/>
    <n v="0.28999999999999998"/>
    <n v="-52.199999999999996"/>
    <x v="0"/>
    <x v="1"/>
    <n v="0"/>
    <n v="52.199999999999996"/>
    <n v="0.28999999999999998"/>
    <n v="-52.199999999999996"/>
    <s v="Ecart négatif"/>
    <n v="0"/>
  </r>
  <r>
    <x v="0"/>
    <n v="67"/>
    <x v="6"/>
    <x v="0"/>
    <n v="0"/>
    <n v="12.8"/>
    <n v="0.08"/>
    <n v="-12.8"/>
    <x v="0"/>
    <x v="1"/>
    <n v="0"/>
    <n v="12.8"/>
    <n v="0.08"/>
    <n v="-12.8"/>
    <s v="Ecart négatif"/>
    <n v="76.56"/>
  </r>
  <r>
    <x v="1"/>
    <n v="77"/>
    <x v="7"/>
    <x v="0"/>
    <n v="0"/>
    <n v="0"/>
    <n v="0"/>
    <n v="0"/>
    <x v="1"/>
    <x v="1"/>
    <n v="0"/>
    <n v="0"/>
    <n v="0"/>
    <n v="0"/>
    <s v="Pas d'écart"/>
    <n v="15.51"/>
  </r>
  <r>
    <x v="2"/>
    <n v="67"/>
    <x v="7"/>
    <x v="0"/>
    <n v="0"/>
    <n v="2.4"/>
    <n v="0.08"/>
    <n v="-2.4"/>
    <x v="0"/>
    <x v="227"/>
    <n v="7.7333333333333323E-2"/>
    <n v="2.4"/>
    <n v="0.08"/>
    <n v="-8.0000000000000071E-2"/>
    <s v="Ecart négatif"/>
    <n v="0"/>
  </r>
  <r>
    <x v="1"/>
    <n v="77"/>
    <x v="13"/>
    <x v="0"/>
    <n v="0"/>
    <n v="0"/>
    <n v="0"/>
    <n v="0"/>
    <x v="1"/>
    <x v="1"/>
    <n v="0"/>
    <n v="0"/>
    <n v="0"/>
    <n v="0"/>
    <s v="Pas d'écart"/>
    <n v="58.53"/>
  </r>
  <r>
    <x v="8"/>
    <n v="69"/>
    <x v="6"/>
    <x v="0"/>
    <n v="0"/>
    <n v="43.2"/>
    <n v="0.27"/>
    <n v="-43.2"/>
    <x v="0"/>
    <x v="1"/>
    <n v="0"/>
    <n v="43.2"/>
    <n v="0.27"/>
    <n v="-43.2"/>
    <s v="Ecart négatif"/>
    <n v="0"/>
  </r>
  <r>
    <x v="1"/>
    <n v="77"/>
    <x v="1"/>
    <x v="0"/>
    <n v="0"/>
    <n v="0"/>
    <n v="0"/>
    <n v="0"/>
    <x v="1"/>
    <x v="1"/>
    <n v="0"/>
    <n v="0"/>
    <n v="0"/>
    <n v="0"/>
    <s v="Pas d'écart"/>
    <n v="47.61"/>
  </r>
  <r>
    <x v="1"/>
    <n v="77"/>
    <x v="10"/>
    <x v="0"/>
    <n v="0"/>
    <n v="0"/>
    <n v="0"/>
    <n v="0"/>
    <x v="1"/>
    <x v="1"/>
    <n v="0"/>
    <n v="0"/>
    <n v="0"/>
    <n v="0"/>
    <s v="Pas d'écart"/>
    <n v="55.05"/>
  </r>
  <r>
    <x v="1"/>
    <n v="77"/>
    <x v="14"/>
    <x v="0"/>
    <n v="0"/>
    <n v="0"/>
    <n v="0"/>
    <n v="0"/>
    <x v="1"/>
    <x v="1"/>
    <n v="0"/>
    <n v="0"/>
    <n v="0"/>
    <n v="0"/>
    <s v="Pas d'écart"/>
    <n v="50.09"/>
  </r>
  <r>
    <x v="6"/>
    <n v="60"/>
    <x v="10"/>
    <x v="959"/>
    <n v="0.18493333333333331"/>
    <n v="28.5"/>
    <n v="0.19"/>
    <n v="-0.76000000000000156"/>
    <x v="0"/>
    <x v="1"/>
    <n v="0"/>
    <n v="28.5"/>
    <n v="0.19"/>
    <n v="-28.5"/>
    <s v="Ecart négatif"/>
    <n v="79.510000000000005"/>
  </r>
  <r>
    <x v="5"/>
    <n v="79"/>
    <x v="8"/>
    <x v="0"/>
    <n v="0"/>
    <n v="14.7"/>
    <n v="0.21"/>
    <n v="-14.7"/>
    <x v="0"/>
    <x v="1"/>
    <n v="0"/>
    <n v="14.7"/>
    <n v="0.21"/>
    <n v="-14.7"/>
    <s v="Ecart négatif"/>
    <n v="13.269999999999996"/>
  </r>
  <r>
    <x v="8"/>
    <n v="75"/>
    <x v="0"/>
    <x v="0"/>
    <n v="0"/>
    <n v="0"/>
    <n v="0"/>
    <n v="0"/>
    <x v="1"/>
    <x v="1"/>
    <n v="0"/>
    <n v="0"/>
    <n v="0"/>
    <n v="0"/>
    <s v="Pas d'écart"/>
    <n v="0"/>
  </r>
  <r>
    <x v="1"/>
    <n v="77"/>
    <x v="12"/>
    <x v="0"/>
    <n v="0"/>
    <n v="0"/>
    <n v="0"/>
    <n v="0"/>
    <x v="1"/>
    <x v="1"/>
    <n v="0"/>
    <n v="0"/>
    <n v="0"/>
    <n v="0"/>
    <s v="Pas d'écart"/>
    <n v="26.16"/>
  </r>
  <r>
    <x v="6"/>
    <n v="94"/>
    <x v="6"/>
    <x v="0"/>
    <n v="0"/>
    <n v="0"/>
    <n v="0"/>
    <n v="0"/>
    <x v="1"/>
    <x v="1"/>
    <n v="0"/>
    <n v="0"/>
    <n v="0"/>
    <n v="0"/>
    <s v="Pas d'écart"/>
    <n v="56.79"/>
  </r>
  <r>
    <x v="8"/>
    <n v="93"/>
    <x v="21"/>
    <x v="0"/>
    <e v="#DIV/0!"/>
    <n v="0"/>
    <e v="#DIV/0!"/>
    <n v="0"/>
    <x v="1"/>
    <x v="1"/>
    <e v="#DIV/0!"/>
    <n v="0"/>
    <e v="#DIV/0!"/>
    <n v="0"/>
    <s v="Pas d'écart"/>
    <e v="#N/A"/>
  </r>
  <r>
    <x v="5"/>
    <n v="80"/>
    <x v="16"/>
    <x v="0"/>
    <n v="0"/>
    <n v="38"/>
    <n v="0.19"/>
    <n v="-38"/>
    <x v="0"/>
    <x v="1"/>
    <n v="0"/>
    <n v="38"/>
    <n v="0.19"/>
    <n v="-38"/>
    <s v="Ecart négatif"/>
    <n v="25.920000000000016"/>
  </r>
  <r>
    <x v="7"/>
    <n v="92"/>
    <x v="10"/>
    <x v="0"/>
    <n v="0"/>
    <n v="0"/>
    <n v="0"/>
    <n v="0"/>
    <x v="1"/>
    <x v="1"/>
    <n v="0"/>
    <n v="0"/>
    <n v="0"/>
    <n v="0"/>
    <s v="Pas d'écart"/>
    <n v="11.009999999999998"/>
  </r>
  <r>
    <x v="0"/>
    <n v="6"/>
    <x v="12"/>
    <x v="0"/>
    <n v="0"/>
    <n v="8.4"/>
    <n v="0.21000000000000002"/>
    <n v="-8.4"/>
    <x v="0"/>
    <x v="1"/>
    <n v="0"/>
    <n v="8.4"/>
    <n v="0.21000000000000002"/>
    <n v="-8.4"/>
    <s v="Ecart négatif"/>
    <n v="47.76"/>
  </r>
  <r>
    <x v="3"/>
    <n v="13"/>
    <x v="95"/>
    <x v="960"/>
    <n v="0.73"/>
    <n v="252.29999999999998"/>
    <n v="0.28999999999999998"/>
    <n v="382.80000000000007"/>
    <x v="2"/>
    <x v="1"/>
    <n v="0"/>
    <n v="252.29999999999998"/>
    <n v="0.28999999999999998"/>
    <n v="-252.29999999999998"/>
    <s v="Ecart négatif"/>
    <e v="#N/A"/>
  </r>
  <r>
    <x v="2"/>
    <n v="6"/>
    <x v="15"/>
    <x v="0"/>
    <n v="0"/>
    <n v="4.2"/>
    <n v="0.21000000000000002"/>
    <n v="-4.2"/>
    <x v="0"/>
    <x v="1"/>
    <n v="0"/>
    <n v="4.2"/>
    <n v="0.21000000000000002"/>
    <n v="-4.2"/>
    <s v="Ecart négatif"/>
    <n v="0"/>
  </r>
  <r>
    <x v="2"/>
    <n v="57"/>
    <x v="0"/>
    <x v="0"/>
    <n v="0"/>
    <n v="45"/>
    <n v="0.25"/>
    <n v="-45"/>
    <x v="0"/>
    <x v="1"/>
    <n v="0"/>
    <n v="45"/>
    <n v="0.25"/>
    <n v="-45"/>
    <s v="Ecart négatif"/>
    <n v="0"/>
  </r>
  <r>
    <x v="6"/>
    <n v="37"/>
    <x v="9"/>
    <x v="961"/>
    <n v="0.19487499999999999"/>
    <n v="15.2"/>
    <n v="0.19"/>
    <n v="0.39000000000000057"/>
    <x v="2"/>
    <x v="1"/>
    <n v="0"/>
    <n v="15.2"/>
    <n v="0.19"/>
    <n v="-15.2"/>
    <s v="Ecart négatif"/>
    <n v="47.06"/>
  </r>
  <r>
    <x v="0"/>
    <n v="69"/>
    <x v="22"/>
    <x v="0"/>
    <n v="0"/>
    <n v="0"/>
    <n v="0"/>
    <n v="0"/>
    <x v="1"/>
    <x v="1"/>
    <n v="0"/>
    <n v="0"/>
    <n v="0"/>
    <n v="0"/>
    <s v="Pas d'écart"/>
    <n v="53.27"/>
  </r>
  <r>
    <x v="2"/>
    <n v="98"/>
    <x v="15"/>
    <x v="0"/>
    <n v="0"/>
    <n v="4.2"/>
    <n v="0.21000000000000002"/>
    <n v="-4.2"/>
    <x v="0"/>
    <x v="1"/>
    <n v="0"/>
    <n v="4.2"/>
    <n v="0.21000000000000002"/>
    <n v="-4.2"/>
    <s v="Ecart négatif"/>
    <n v="22.47"/>
  </r>
  <r>
    <x v="2"/>
    <n v="18"/>
    <x v="2"/>
    <x v="0"/>
    <n v="0"/>
    <n v="16.8"/>
    <n v="0.12000000000000001"/>
    <n v="-16.8"/>
    <x v="0"/>
    <x v="144"/>
    <n v="0.26999999999999996"/>
    <n v="16.8"/>
    <n v="0.12000000000000001"/>
    <n v="20.999999999999996"/>
    <s v="Ecart positif"/>
    <n v="78.8"/>
  </r>
  <r>
    <x v="0"/>
    <n v="13"/>
    <x v="16"/>
    <x v="0"/>
    <n v="0"/>
    <n v="38"/>
    <n v="0.19"/>
    <n v="-38"/>
    <x v="0"/>
    <x v="1"/>
    <n v="0"/>
    <n v="38"/>
    <n v="0.19"/>
    <n v="-38"/>
    <s v="Ecart négatif"/>
    <n v="107.65"/>
  </r>
  <r>
    <x v="0"/>
    <n v="13"/>
    <x v="22"/>
    <x v="0"/>
    <n v="0"/>
    <n v="19"/>
    <n v="0.19"/>
    <n v="-19"/>
    <x v="0"/>
    <x v="1"/>
    <n v="0"/>
    <n v="19"/>
    <n v="0.19"/>
    <n v="-19"/>
    <s v="Ecart négatif"/>
    <n v="53.27"/>
  </r>
  <r>
    <x v="2"/>
    <n v="54"/>
    <x v="6"/>
    <x v="0"/>
    <n v="0"/>
    <n v="40"/>
    <n v="0.25"/>
    <n v="-40"/>
    <x v="0"/>
    <x v="1"/>
    <n v="0"/>
    <n v="40"/>
    <n v="0.25"/>
    <n v="-40"/>
    <s v="Ecart négatif"/>
    <n v="76.56"/>
  </r>
  <r>
    <x v="2"/>
    <n v="68"/>
    <x v="0"/>
    <x v="0"/>
    <n v="0"/>
    <n v="14.4"/>
    <n v="0.08"/>
    <n v="-14.4"/>
    <x v="0"/>
    <x v="102"/>
    <n v="0.08"/>
    <n v="14.4"/>
    <n v="0.08"/>
    <n v="0"/>
    <s v="Pas d'écart"/>
    <n v="107.35"/>
  </r>
  <r>
    <x v="0"/>
    <n v="88"/>
    <x v="4"/>
    <x v="0"/>
    <n v="0"/>
    <n v="8.8000000000000007"/>
    <n v="0.08"/>
    <n v="-8.8000000000000007"/>
    <x v="0"/>
    <x v="13"/>
    <n v="7.9272727272727272E-2"/>
    <n v="8.8000000000000007"/>
    <n v="0.08"/>
    <n v="-8.0000000000000071E-2"/>
    <s v="Ecart négatif"/>
    <n v="71.81"/>
  </r>
  <r>
    <x v="2"/>
    <n v="69"/>
    <x v="6"/>
    <x v="0"/>
    <n v="0"/>
    <n v="0"/>
    <n v="0"/>
    <n v="0"/>
    <x v="1"/>
    <x v="1"/>
    <n v="0"/>
    <n v="0"/>
    <n v="0"/>
    <n v="0"/>
    <s v="Pas d'écart"/>
    <n v="76.56"/>
  </r>
  <r>
    <x v="5"/>
    <n v="93"/>
    <x v="11"/>
    <x v="0"/>
    <n v="0"/>
    <n v="0"/>
    <n v="0"/>
    <n v="0"/>
    <x v="1"/>
    <x v="1"/>
    <n v="0"/>
    <n v="0"/>
    <n v="0"/>
    <n v="0"/>
    <s v="Pas d'écart"/>
    <n v="6.8499999999999979"/>
  </r>
  <r>
    <x v="2"/>
    <n v="60"/>
    <x v="2"/>
    <x v="0"/>
    <n v="0"/>
    <n v="0"/>
    <n v="0"/>
    <n v="0"/>
    <x v="1"/>
    <x v="1"/>
    <n v="0"/>
    <n v="0"/>
    <n v="0"/>
    <n v="0"/>
    <s v="Pas d'écart"/>
    <n v="78.8"/>
  </r>
  <r>
    <x v="5"/>
    <n v="38"/>
    <x v="7"/>
    <x v="0"/>
    <n v="0"/>
    <n v="8.1000000000000014"/>
    <n v="0.27000000000000007"/>
    <n v="-8.1000000000000014"/>
    <x v="0"/>
    <x v="1"/>
    <n v="0"/>
    <n v="8.1000000000000014"/>
    <n v="0.27000000000000007"/>
    <n v="-8.1000000000000014"/>
    <s v="Ecart négatif"/>
    <n v="4.120000000000001"/>
  </r>
  <r>
    <x v="5"/>
    <n v="8"/>
    <x v="12"/>
    <x v="0"/>
    <n v="0"/>
    <n v="7.1999999999999993"/>
    <n v="0.18"/>
    <n v="-7.1999999999999993"/>
    <x v="0"/>
    <x v="1"/>
    <n v="0"/>
    <n v="7.1999999999999993"/>
    <n v="0.18"/>
    <n v="-7.1999999999999993"/>
    <s v="Ecart négatif"/>
    <n v="9.5499999999999972"/>
  </r>
  <r>
    <x v="0"/>
    <n v="67"/>
    <x v="12"/>
    <x v="0"/>
    <n v="0"/>
    <n v="3.2"/>
    <n v="0.08"/>
    <n v="-3.2"/>
    <x v="0"/>
    <x v="61"/>
    <n v="0.08"/>
    <n v="3.2"/>
    <n v="0.08"/>
    <n v="0"/>
    <s v="Pas d'écart"/>
    <n v="34.29"/>
  </r>
  <r>
    <x v="2"/>
    <n v="62"/>
    <x v="0"/>
    <x v="0"/>
    <n v="0"/>
    <n v="0"/>
    <n v="0"/>
    <n v="0"/>
    <x v="1"/>
    <x v="1"/>
    <n v="0"/>
    <n v="0"/>
    <n v="0"/>
    <n v="0"/>
    <s v="Pas d'écart"/>
    <n v="107.35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6"/>
    <x v="6"/>
    <x v="0"/>
    <n v="0"/>
    <n v="33.6"/>
    <n v="0.21000000000000002"/>
    <n v="-33.6"/>
    <x v="0"/>
    <x v="1"/>
    <n v="0"/>
    <n v="33.6"/>
    <n v="0.21000000000000002"/>
    <n v="-33.6"/>
    <s v="Ecart négatif"/>
    <n v="91.69"/>
  </r>
  <r>
    <x v="0"/>
    <n v="1"/>
    <x v="8"/>
    <x v="0"/>
    <n v="0"/>
    <n v="0"/>
    <n v="0"/>
    <n v="0"/>
    <x v="1"/>
    <x v="1"/>
    <n v="0"/>
    <n v="0"/>
    <n v="0"/>
    <n v="0"/>
    <s v="Pas d'écart"/>
    <n v="61.48"/>
  </r>
  <r>
    <x v="0"/>
    <n v="56"/>
    <x v="2"/>
    <x v="0"/>
    <n v="0"/>
    <n v="0"/>
    <n v="0"/>
    <n v="0"/>
    <x v="1"/>
    <x v="1"/>
    <n v="0"/>
    <n v="0"/>
    <n v="0"/>
    <n v="0"/>
    <s v="Pas d'écart"/>
    <n v="14.68"/>
  </r>
  <r>
    <x v="6"/>
    <n v="13"/>
    <x v="0"/>
    <x v="0"/>
    <n v="0"/>
    <n v="52.199999999999996"/>
    <n v="0.28999999999999998"/>
    <n v="-52.199999999999996"/>
    <x v="0"/>
    <x v="1"/>
    <n v="0"/>
    <n v="52.199999999999996"/>
    <n v="0.28999999999999998"/>
    <n v="-52.199999999999996"/>
    <s v="Ecart négatif"/>
    <n v="0"/>
  </r>
  <r>
    <x v="2"/>
    <n v="6"/>
    <x v="10"/>
    <x v="0"/>
    <n v="0"/>
    <n v="31.5"/>
    <n v="0.21"/>
    <n v="-31.5"/>
    <x v="0"/>
    <x v="1"/>
    <n v="0"/>
    <n v="31.5"/>
    <n v="0.21"/>
    <n v="-31.5"/>
    <s v="Ecart négatif"/>
    <n v="0"/>
  </r>
  <r>
    <x v="4"/>
    <n v="47"/>
    <x v="7"/>
    <x v="410"/>
    <n v="0.7536666666666666"/>
    <n v="6.3"/>
    <n v="0.21"/>
    <n v="16.309999999999999"/>
    <x v="2"/>
    <x v="1"/>
    <n v="0"/>
    <n v="6.3"/>
    <n v="0.21"/>
    <n v="-6.3"/>
    <s v="Ecart négatif"/>
    <n v="0"/>
  </r>
  <r>
    <x v="4"/>
    <n v="77"/>
    <x v="18"/>
    <x v="0"/>
    <n v="0"/>
    <n v="0"/>
    <n v="0"/>
    <n v="0"/>
    <x v="1"/>
    <x v="1"/>
    <n v="0"/>
    <n v="0"/>
    <n v="0"/>
    <n v="0"/>
    <s v="Pas d'écart"/>
    <n v="40.19"/>
  </r>
  <r>
    <x v="0"/>
    <n v="25"/>
    <x v="6"/>
    <x v="0"/>
    <n v="0"/>
    <n v="19.2"/>
    <n v="0.12"/>
    <n v="-19.2"/>
    <x v="0"/>
    <x v="1"/>
    <n v="0"/>
    <n v="19.2"/>
    <n v="0.12"/>
    <n v="-19.2"/>
    <s v="Ecart négatif"/>
    <n v="91.69"/>
  </r>
  <r>
    <x v="6"/>
    <n v="67"/>
    <x v="8"/>
    <x v="962"/>
    <n v="0.27757142857142858"/>
    <n v="20.299999999999997"/>
    <n v="0.28999999999999998"/>
    <n v="-0.86999999999999744"/>
    <x v="0"/>
    <x v="1"/>
    <n v="0"/>
    <n v="20.299999999999997"/>
    <n v="0.28999999999999998"/>
    <n v="-20.299999999999997"/>
    <s v="Ecart négatif"/>
    <n v="44.77"/>
  </r>
  <r>
    <x v="8"/>
    <n v="76"/>
    <x v="2"/>
    <x v="0"/>
    <n v="0"/>
    <n v="23.8"/>
    <n v="0.17"/>
    <n v="-23.8"/>
    <x v="0"/>
    <x v="1"/>
    <n v="0"/>
    <n v="23.8"/>
    <n v="0.17"/>
    <n v="-23.8"/>
    <s v="Ecart négatif"/>
    <n v="0"/>
  </r>
  <r>
    <x v="8"/>
    <n v="75"/>
    <x v="12"/>
    <x v="0"/>
    <n v="0"/>
    <n v="0"/>
    <n v="0"/>
    <n v="0"/>
    <x v="1"/>
    <x v="1"/>
    <n v="0"/>
    <n v="0"/>
    <n v="0"/>
    <n v="0"/>
    <s v="Pas d'écart"/>
    <n v="-8.129999999999999"/>
  </r>
  <r>
    <x v="10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e v="#N/A"/>
    <e v="#N/A"/>
    <e v="#N/A"/>
    <e v="#N/A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  <r>
    <x v="1"/>
    <s v=""/>
    <x v="21"/>
    <x v="0"/>
    <e v="#DIV/0!"/>
    <e v="#N/A"/>
    <e v="#N/A"/>
    <e v="#N/A"/>
    <x v="3"/>
    <x v="1"/>
    <e v="#DIV/0!"/>
    <m/>
    <e v="#DIV/0!"/>
    <n v="0"/>
    <s v="Pas d'écart"/>
    <e v="#N/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Statut">
  <location ref="A17:D21" firstHeaderRow="0" firstDataRow="1" firstDataCol="1" rowPageCount="3" colPageCount="1"/>
  <pivotFields count="16">
    <pivotField axis="axisPage" multipleItemSelectionAllowed="1" showAll="0">
      <items count="13">
        <item h="1" x="5"/>
        <item h="1" x="6"/>
        <item x="7"/>
        <item x="8"/>
        <item h="1" x="3"/>
        <item h="1" x="4"/>
        <item h="1" x="9"/>
        <item x="0"/>
        <item x="2"/>
        <item h="1" x="10"/>
        <item m="1" x="11"/>
        <item h="1" x="1"/>
        <item t="default"/>
      </items>
    </pivotField>
    <pivotField showAll="0"/>
    <pivotField axis="axisPage" numFmtId="165" multipleItemSelectionAllowed="1" showAll="0">
      <items count="97">
        <item h="1" x="21"/>
        <item x="5"/>
        <item x="15"/>
        <item x="7"/>
        <item x="12"/>
        <item x="27"/>
        <item x="11"/>
        <item x="8"/>
        <item x="9"/>
        <item x="18"/>
        <item x="22"/>
        <item x="4"/>
        <item x="1"/>
        <item x="14"/>
        <item x="2"/>
        <item x="10"/>
        <item x="6"/>
        <item x="13"/>
        <item x="0"/>
        <item x="19"/>
        <item x="16"/>
        <item x="3"/>
        <item x="25"/>
        <item x="34"/>
        <item x="28"/>
        <item x="20"/>
        <item x="55"/>
        <item x="54"/>
        <item x="33"/>
        <item x="39"/>
        <item x="36"/>
        <item x="44"/>
        <item x="43"/>
        <item x="58"/>
        <item x="42"/>
        <item x="38"/>
        <item x="26"/>
        <item x="82"/>
        <item x="46"/>
        <item x="48"/>
        <item x="29"/>
        <item x="24"/>
        <item x="64"/>
        <item x="17"/>
        <item x="41"/>
        <item x="57"/>
        <item x="75"/>
        <item x="45"/>
        <item x="72"/>
        <item x="61"/>
        <item x="73"/>
        <item x="76"/>
        <item x="84"/>
        <item x="81"/>
        <item x="89"/>
        <item x="65"/>
        <item x="50"/>
        <item x="74"/>
        <item x="70"/>
        <item x="88"/>
        <item x="85"/>
        <item x="56"/>
        <item x="71"/>
        <item x="67"/>
        <item x="47"/>
        <item x="80"/>
        <item x="95"/>
        <item x="31"/>
        <item x="52"/>
        <item x="92"/>
        <item x="32"/>
        <item x="63"/>
        <item x="87"/>
        <item x="60"/>
        <item x="79"/>
        <item x="94"/>
        <item x="91"/>
        <item x="40"/>
        <item x="83"/>
        <item x="62"/>
        <item x="86"/>
        <item x="30"/>
        <item x="59"/>
        <item x="23"/>
        <item x="51"/>
        <item x="90"/>
        <item x="37"/>
        <item x="77"/>
        <item x="53"/>
        <item x="93"/>
        <item x="69"/>
        <item x="35"/>
        <item x="68"/>
        <item x="78"/>
        <item x="66"/>
        <item x="49"/>
        <item t="default"/>
      </items>
    </pivotField>
    <pivotField numFmtId="167" multipleItemSelectionAllowed="1" showAll="0"/>
    <pivotField showAll="0"/>
    <pivotField showAll="0"/>
    <pivotField showAll="0"/>
    <pivotField showAll="0"/>
    <pivotField axis="axisRow" showAll="0" defaultSubtotal="0">
      <items count="9">
        <item m="1" x="6"/>
        <item x="1"/>
        <item m="1" x="5"/>
        <item x="3"/>
        <item m="1" x="4"/>
        <item m="1" x="7"/>
        <item m="1" x="8"/>
        <item x="0"/>
        <item x="2"/>
      </items>
    </pivotField>
    <pivotField axis="axisPage" dataField="1" numFmtId="167" showAll="0">
      <items count="364">
        <item x="1"/>
        <item x="281"/>
        <item x="70"/>
        <item x="133"/>
        <item x="234"/>
        <item x="256"/>
        <item x="297"/>
        <item x="30"/>
        <item x="299"/>
        <item x="192"/>
        <item x="339"/>
        <item x="291"/>
        <item x="182"/>
        <item x="227"/>
        <item x="273"/>
        <item x="81"/>
        <item x="224"/>
        <item x="194"/>
        <item x="279"/>
        <item x="327"/>
        <item x="355"/>
        <item x="359"/>
        <item x="135"/>
        <item x="217"/>
        <item x="85"/>
        <item x="61"/>
        <item x="259"/>
        <item x="124"/>
        <item x="328"/>
        <item x="21"/>
        <item x="37"/>
        <item x="350"/>
        <item x="318"/>
        <item x="57"/>
        <item x="287"/>
        <item x="211"/>
        <item x="41"/>
        <item x="10"/>
        <item x="203"/>
        <item x="97"/>
        <item x="39"/>
        <item x="99"/>
        <item x="242"/>
        <item x="186"/>
        <item x="75"/>
        <item x="294"/>
        <item x="111"/>
        <item x="169"/>
        <item x="136"/>
        <item x="326"/>
        <item x="174"/>
        <item x="225"/>
        <item x="305"/>
        <item x="215"/>
        <item x="286"/>
        <item x="241"/>
        <item x="92"/>
        <item x="320"/>
        <item x="141"/>
        <item x="116"/>
        <item x="151"/>
        <item x="27"/>
        <item x="267"/>
        <item x="219"/>
        <item x="171"/>
        <item x="132"/>
        <item x="170"/>
        <item x="202"/>
        <item x="46"/>
        <item x="38"/>
        <item x="4"/>
        <item x="167"/>
        <item x="165"/>
        <item x="138"/>
        <item x="73"/>
        <item x="13"/>
        <item x="268"/>
        <item x="296"/>
        <item x="317"/>
        <item x="45"/>
        <item x="149"/>
        <item x="249"/>
        <item x="129"/>
        <item x="147"/>
        <item x="31"/>
        <item x="240"/>
        <item x="271"/>
        <item x="175"/>
        <item x="179"/>
        <item x="264"/>
        <item x="139"/>
        <item x="100"/>
        <item x="52"/>
        <item x="76"/>
        <item x="325"/>
        <item x="80"/>
        <item x="122"/>
        <item x="301"/>
        <item x="200"/>
        <item x="17"/>
        <item x="346"/>
        <item x="106"/>
        <item x="112"/>
        <item x="293"/>
        <item x="74"/>
        <item x="84"/>
        <item x="310"/>
        <item x="5"/>
        <item x="195"/>
        <item x="113"/>
        <item x="298"/>
        <item x="150"/>
        <item x="123"/>
        <item x="177"/>
        <item x="134"/>
        <item x="105"/>
        <item x="341"/>
        <item x="214"/>
        <item x="67"/>
        <item x="262"/>
        <item x="258"/>
        <item x="102"/>
        <item x="28"/>
        <item x="212"/>
        <item x="130"/>
        <item x="354"/>
        <item x="315"/>
        <item x="304"/>
        <item x="125"/>
        <item x="213"/>
        <item x="82"/>
        <item x="59"/>
        <item x="276"/>
        <item x="152"/>
        <item x="117"/>
        <item x="163"/>
        <item x="178"/>
        <item x="160"/>
        <item x="14"/>
        <item x="284"/>
        <item x="278"/>
        <item x="50"/>
        <item x="35"/>
        <item x="22"/>
        <item x="90"/>
        <item x="334"/>
        <item x="254"/>
        <item x="184"/>
        <item x="302"/>
        <item x="344"/>
        <item x="56"/>
        <item x="198"/>
        <item x="47"/>
        <item x="137"/>
        <item x="321"/>
        <item x="119"/>
        <item x="333"/>
        <item x="289"/>
        <item x="63"/>
        <item x="362"/>
        <item x="360"/>
        <item x="58"/>
        <item x="101"/>
        <item x="104"/>
        <item x="248"/>
        <item x="191"/>
        <item x="143"/>
        <item x="18"/>
        <item x="176"/>
        <item x="260"/>
        <item x="109"/>
        <item x="343"/>
        <item x="314"/>
        <item x="173"/>
        <item x="292"/>
        <item x="222"/>
        <item x="229"/>
        <item x="6"/>
        <item x="118"/>
        <item x="261"/>
        <item x="69"/>
        <item x="79"/>
        <item x="96"/>
        <item x="316"/>
        <item x="15"/>
        <item x="162"/>
        <item x="303"/>
        <item x="95"/>
        <item x="33"/>
        <item x="295"/>
        <item x="40"/>
        <item x="193"/>
        <item x="228"/>
        <item x="342"/>
        <item x="8"/>
        <item x="7"/>
        <item x="347"/>
        <item x="190"/>
        <item x="16"/>
        <item x="108"/>
        <item x="3"/>
        <item x="330"/>
        <item x="68"/>
        <item x="351"/>
        <item x="115"/>
        <item x="154"/>
        <item x="60"/>
        <item x="77"/>
        <item x="265"/>
        <item x="54"/>
        <item x="49"/>
        <item x="11"/>
        <item x="187"/>
        <item x="280"/>
        <item x="336"/>
        <item x="140"/>
        <item x="157"/>
        <item x="166"/>
        <item x="24"/>
        <item x="270"/>
        <item x="12"/>
        <item x="210"/>
        <item x="42"/>
        <item x="164"/>
        <item x="324"/>
        <item x="88"/>
        <item x="218"/>
        <item x="251"/>
        <item x="98"/>
        <item x="223"/>
        <item x="86"/>
        <item x="20"/>
        <item x="0"/>
        <item x="172"/>
        <item x="337"/>
        <item x="340"/>
        <item x="32"/>
        <item x="127"/>
        <item x="236"/>
        <item x="308"/>
        <item x="243"/>
        <item x="285"/>
        <item x="239"/>
        <item x="120"/>
        <item x="361"/>
        <item x="253"/>
        <item x="357"/>
        <item x="244"/>
        <item x="155"/>
        <item x="309"/>
        <item x="226"/>
        <item x="230"/>
        <item x="25"/>
        <item x="161"/>
        <item x="290"/>
        <item x="23"/>
        <item x="199"/>
        <item x="71"/>
        <item x="208"/>
        <item x="159"/>
        <item x="257"/>
        <item x="345"/>
        <item x="312"/>
        <item x="269"/>
        <item x="216"/>
        <item x="183"/>
        <item x="205"/>
        <item x="156"/>
        <item x="144"/>
        <item x="9"/>
        <item x="2"/>
        <item x="274"/>
        <item x="233"/>
        <item x="55"/>
        <item x="19"/>
        <item x="255"/>
        <item x="131"/>
        <item x="348"/>
        <item x="245"/>
        <item x="51"/>
        <item x="196"/>
        <item x="353"/>
        <item x="209"/>
        <item x="142"/>
        <item x="43"/>
        <item x="235"/>
        <item x="288"/>
        <item x="266"/>
        <item x="331"/>
        <item x="282"/>
        <item x="247"/>
        <item x="72"/>
        <item x="204"/>
        <item x="338"/>
        <item x="34"/>
        <item x="352"/>
        <item x="332"/>
        <item x="319"/>
        <item x="335"/>
        <item x="146"/>
        <item x="114"/>
        <item x="53"/>
        <item x="231"/>
        <item x="188"/>
        <item x="356"/>
        <item x="145"/>
        <item x="121"/>
        <item x="306"/>
        <item x="64"/>
        <item x="66"/>
        <item x="250"/>
        <item x="168"/>
        <item x="252"/>
        <item x="126"/>
        <item x="87"/>
        <item x="180"/>
        <item x="29"/>
        <item x="283"/>
        <item x="197"/>
        <item x="94"/>
        <item x="89"/>
        <item x="311"/>
        <item x="349"/>
        <item x="207"/>
        <item x="158"/>
        <item x="201"/>
        <item x="221"/>
        <item x="91"/>
        <item x="78"/>
        <item x="220"/>
        <item x="36"/>
        <item x="232"/>
        <item x="323"/>
        <item x="206"/>
        <item x="62"/>
        <item x="107"/>
        <item x="246"/>
        <item x="329"/>
        <item x="44"/>
        <item x="272"/>
        <item x="275"/>
        <item x="103"/>
        <item x="300"/>
        <item x="148"/>
        <item x="313"/>
        <item x="277"/>
        <item x="65"/>
        <item x="83"/>
        <item x="110"/>
        <item x="189"/>
        <item x="307"/>
        <item x="322"/>
        <item x="263"/>
        <item x="48"/>
        <item x="237"/>
        <item x="93"/>
        <item x="358"/>
        <item x="185"/>
        <item x="238"/>
        <item x="181"/>
        <item x="26"/>
        <item x="128"/>
        <item x="153"/>
        <item t="default"/>
      </items>
    </pivotField>
    <pivotField showAll="0"/>
    <pivotField showAll="0"/>
    <pivotField showAll="0"/>
    <pivotField dataField="1" showAll="0"/>
    <pivotField showAll="0" defaultSubtotal="0"/>
    <pivotField multipleItemSelectionAllowed="1" showAll="0"/>
  </pivotFields>
  <rowFields count="1">
    <field x="8"/>
  </rowFields>
  <rowItems count="4">
    <i>
      <x v="1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9" hier="-1"/>
    <pageField fld="2" hier="-1"/>
    <pageField fld="0" hier="-1"/>
  </pageFields>
  <dataFields count="3">
    <dataField name="Nbre de ligne contrôlées" fld="9" subtotal="count" baseField="8" baseItem="1" numFmtId="166"/>
    <dataField name="Somme des écart coût traction RETOUR" fld="13" baseField="8" baseItem="8" numFmtId="5"/>
    <dataField name="Taux" fld="13" subtotal="count" showDataAs="percentOfTotal" baseField="8" baseItem="8" numFmtId="10"/>
  </dataFields>
  <formats count="15">
    <format dxfId="14">
      <pivotArea outline="0" collapsedLevelsAreSubtotals="1" fieldPosition="0"/>
    </format>
    <format dxfId="13">
      <pivotArea field="0" type="button" dataOnly="0" labelOnly="1" outline="0" axis="axisPage" fieldPosition="2"/>
    </format>
    <format dxfId="12">
      <pivotArea outline="0" collapsedLevelsAreSubtotals="1" fieldPosition="0"/>
    </format>
    <format dxfId="11">
      <pivotArea outline="0" collapsedLevelsAreSubtotals="1" fieldPosition="0"/>
    </format>
    <format dxfId="1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9">
      <pivotArea outline="0" fieldPosition="0">
        <references count="1">
          <reference field="4294967294" count="1">
            <x v="2"/>
          </reference>
        </references>
      </pivotArea>
    </format>
    <format dxfId="8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7">
      <pivotArea dataOnly="0" outline="0" fieldPosition="0">
        <references count="1">
          <reference field="4294967294" count="1">
            <x v="0"/>
          </reference>
        </references>
      </pivotArea>
    </format>
    <format dxfId="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field="8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field="8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field="8" type="button" dataOnly="0" labelOnly="1" outline="0" axis="axisRow" fieldPosition="0"/>
    </format>
  </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5" minRefreshableVersion="3" itemPrintTitles="1" createdVersion="5" indent="0" outline="1" outlineData="1" multipleFieldFilters="0" rowHeaderCaption="Statut">
  <location ref="A5:D9" firstHeaderRow="0" firstDataRow="1" firstDataCol="1" rowPageCount="3" colPageCount="1"/>
  <pivotFields count="16">
    <pivotField axis="axisPage" multipleItemSelectionAllowed="1" showAll="0">
      <items count="13">
        <item x="5"/>
        <item x="6"/>
        <item h="1" x="7"/>
        <item h="1" x="8"/>
        <item x="3"/>
        <item x="4"/>
        <item h="1" x="9"/>
        <item h="1" x="0"/>
        <item h="1" x="2"/>
        <item h="1" x="10"/>
        <item m="1" x="11"/>
        <item h="1" x="1"/>
        <item t="default"/>
      </items>
    </pivotField>
    <pivotField showAll="0"/>
    <pivotField axis="axisPage" numFmtId="165" multipleItemSelectionAllowed="1" showAll="0">
      <items count="97">
        <item h="1" x="21"/>
        <item x="5"/>
        <item x="15"/>
        <item x="7"/>
        <item x="12"/>
        <item x="27"/>
        <item x="11"/>
        <item x="8"/>
        <item x="9"/>
        <item x="18"/>
        <item x="22"/>
        <item x="4"/>
        <item x="1"/>
        <item x="14"/>
        <item x="2"/>
        <item x="10"/>
        <item x="6"/>
        <item x="13"/>
        <item x="0"/>
        <item x="19"/>
        <item x="16"/>
        <item x="3"/>
        <item x="25"/>
        <item x="34"/>
        <item x="28"/>
        <item x="20"/>
        <item x="55"/>
        <item x="54"/>
        <item x="33"/>
        <item x="39"/>
        <item x="36"/>
        <item x="44"/>
        <item x="43"/>
        <item x="58"/>
        <item x="42"/>
        <item x="38"/>
        <item x="26"/>
        <item x="82"/>
        <item x="46"/>
        <item x="48"/>
        <item x="29"/>
        <item x="24"/>
        <item x="64"/>
        <item x="17"/>
        <item x="41"/>
        <item x="57"/>
        <item x="75"/>
        <item x="45"/>
        <item x="72"/>
        <item x="61"/>
        <item x="73"/>
        <item x="76"/>
        <item x="84"/>
        <item x="81"/>
        <item x="89"/>
        <item x="65"/>
        <item x="50"/>
        <item x="74"/>
        <item x="70"/>
        <item x="88"/>
        <item x="85"/>
        <item x="56"/>
        <item x="71"/>
        <item x="67"/>
        <item x="47"/>
        <item x="80"/>
        <item x="95"/>
        <item x="31"/>
        <item x="52"/>
        <item x="92"/>
        <item x="32"/>
        <item x="63"/>
        <item x="87"/>
        <item x="60"/>
        <item x="79"/>
        <item x="94"/>
        <item x="91"/>
        <item x="40"/>
        <item x="83"/>
        <item x="62"/>
        <item x="86"/>
        <item x="30"/>
        <item x="59"/>
        <item x="23"/>
        <item x="51"/>
        <item x="90"/>
        <item x="37"/>
        <item x="77"/>
        <item x="53"/>
        <item x="93"/>
        <item x="69"/>
        <item x="35"/>
        <item x="68"/>
        <item x="78"/>
        <item x="66"/>
        <item x="49"/>
        <item t="default"/>
      </items>
    </pivotField>
    <pivotField axis="axisPage" numFmtId="167" multipleItemSelectionAllowed="1" showAll="0">
      <items count="964">
        <item x="0"/>
        <item x="2"/>
        <item x="3"/>
        <item x="4"/>
        <item x="5"/>
        <item x="7"/>
        <item x="8"/>
        <item x="9"/>
        <item x="10"/>
        <item x="11"/>
        <item x="14"/>
        <item x="15"/>
        <item x="16"/>
        <item x="17"/>
        <item x="18"/>
        <item x="19"/>
        <item x="20"/>
        <item x="22"/>
        <item x="23"/>
        <item x="24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42"/>
        <item x="43"/>
        <item x="49"/>
        <item x="54"/>
        <item x="65"/>
        <item x="127"/>
        <item x="182"/>
        <item x="187"/>
        <item x="212"/>
        <item x="227"/>
        <item x="233"/>
        <item x="283"/>
        <item x="331"/>
        <item x="379"/>
        <item x="436"/>
        <item x="441"/>
        <item x="447"/>
        <item x="39"/>
        <item x="484"/>
        <item x="46"/>
        <item x="50"/>
        <item x="59"/>
        <item x="64"/>
        <item x="76"/>
        <item x="126"/>
        <item x="886"/>
        <item x="40"/>
        <item x="216"/>
        <item x="318"/>
        <item x="44"/>
        <item x="340"/>
        <item x="45"/>
        <item x="344"/>
        <item x="378"/>
        <item x="418"/>
        <item x="590"/>
        <item x="438"/>
        <item x="52"/>
        <item x="55"/>
        <item x="453"/>
        <item x="57"/>
        <item x="62"/>
        <item x="466"/>
        <item x="467"/>
        <item x="472"/>
        <item x="70"/>
        <item x="75"/>
        <item x="98"/>
        <item x="105"/>
        <item x="120"/>
        <item x="123"/>
        <item x="144"/>
        <item x="542"/>
        <item x="719"/>
        <item x="691"/>
        <item x="235"/>
        <item x="712"/>
        <item x="286"/>
        <item x="256"/>
        <item x="261"/>
        <item x="265"/>
        <item x="48"/>
        <item x="288"/>
        <item x="51"/>
        <item x="841"/>
        <item x="853"/>
        <item x="346"/>
        <item x="350"/>
        <item x="362"/>
        <item x="363"/>
        <item x="877"/>
        <item x="58"/>
        <item x="429"/>
        <item x="380"/>
        <item x="386"/>
        <item x="395"/>
        <item x="71"/>
        <item x="74"/>
        <item x="77"/>
        <item x="87"/>
        <item x="89"/>
        <item x="93"/>
        <item x="101"/>
        <item x="104"/>
        <item x="440"/>
        <item x="167"/>
        <item x="457"/>
        <item x="184"/>
        <item x="86"/>
        <item x="47"/>
        <item x="211"/>
        <item x="481"/>
        <item x="488"/>
        <item x="219"/>
        <item x="493"/>
        <item x="889"/>
        <item x="282"/>
        <item x="56"/>
        <item x="305"/>
        <item x="311"/>
        <item x="563"/>
        <item x="575"/>
        <item x="6"/>
        <item x="67"/>
        <item x="338"/>
        <item x="69"/>
        <item x="341"/>
        <item x="595"/>
        <item x="603"/>
        <item x="607"/>
        <item x="367"/>
        <item x="99"/>
        <item x="374"/>
        <item x="376"/>
        <item x="377"/>
        <item x="21"/>
        <item x="744"/>
        <item x="746"/>
        <item x="154"/>
        <item x="159"/>
        <item x="161"/>
        <item x="166"/>
        <item x="781"/>
        <item x="421"/>
        <item x="435"/>
        <item x="437"/>
        <item x="850"/>
        <item x="442"/>
        <item x="53"/>
        <item x="190"/>
        <item x="214"/>
        <item x="451"/>
        <item x="463"/>
        <item x="267"/>
        <item x="269"/>
        <item x="271"/>
        <item x="72"/>
        <item x="63"/>
        <item x="81"/>
        <item x="82"/>
        <item x="85"/>
        <item x="88"/>
        <item x="337"/>
        <item x="511"/>
        <item x="345"/>
        <item x="521"/>
        <item x="523"/>
        <item x="527"/>
        <item x="531"/>
        <item x="145"/>
        <item x="538"/>
        <item x="368"/>
        <item x="541"/>
        <item x="165"/>
        <item x="558"/>
        <item x="356"/>
        <item x="498"/>
        <item x="591"/>
        <item x="405"/>
        <item x="645"/>
        <item x="215"/>
        <item x="218"/>
        <item x="657"/>
        <item x="220"/>
        <item x="221"/>
        <item x="223"/>
        <item x="66"/>
        <item x="694"/>
        <item x="707"/>
        <item x="95"/>
        <item x="254"/>
        <item x="443"/>
        <item x="445"/>
        <item x="748"/>
        <item x="766"/>
        <item x="935"/>
        <item x="352"/>
        <item x="289"/>
        <item x="332"/>
        <item x="676"/>
        <item x="152"/>
        <item x="860"/>
        <item x="316"/>
        <item x="347"/>
        <item x="1"/>
        <item x="349"/>
        <item x="355"/>
        <item x="497"/>
        <item x="565"/>
        <item x="193"/>
        <item x="196"/>
        <item x="199"/>
        <item x="202"/>
        <item x="883"/>
        <item x="25"/>
        <item x="396"/>
        <item x="419"/>
        <item x="423"/>
        <item x="573"/>
        <item x="581"/>
        <item x="106"/>
        <item x="592"/>
        <item x="110"/>
        <item x="238"/>
        <item x="439"/>
        <item x="116"/>
        <item x="118"/>
        <item x="620"/>
        <item x="295"/>
        <item x="885"/>
        <item x="639"/>
        <item x="887"/>
        <item x="446"/>
        <item x="321"/>
        <item x="452"/>
        <item x="328"/>
        <item x="454"/>
        <item x="455"/>
        <item x="684"/>
        <item x="643"/>
        <item x="342"/>
        <item x="951"/>
        <item x="950"/>
        <item x="948"/>
        <item x="210"/>
        <item x="474"/>
        <item x="478"/>
        <item x="792"/>
        <item x="487"/>
        <item x="818"/>
        <item x="387"/>
        <item x="61"/>
        <item x="242"/>
        <item x="243"/>
        <item x="489"/>
        <item x="520"/>
        <item x="343"/>
        <item x="143"/>
        <item x="149"/>
        <item x="151"/>
        <item x="537"/>
        <item x="462"/>
        <item x="547"/>
        <item x="548"/>
        <item x="550"/>
        <item x="553"/>
        <item x="308"/>
        <item x="555"/>
        <item x="556"/>
        <item x="559"/>
        <item x="97"/>
        <item x="351"/>
        <item x="600"/>
        <item x="623"/>
        <item x="961"/>
        <item x="816"/>
        <item x="213"/>
        <item x="644"/>
        <item x="365"/>
        <item x="460"/>
        <item x="659"/>
        <item x="369"/>
        <item x="224"/>
        <item x="100"/>
        <item x="373"/>
        <item x="702"/>
        <item x="703"/>
        <item x="713"/>
        <item x="717"/>
        <item x="720"/>
        <item x="251"/>
        <item x="262"/>
        <item x="758"/>
        <item x="274"/>
        <item x="277"/>
        <item x="773"/>
        <item x="171"/>
        <item x="780"/>
        <item x="180"/>
        <item x="353"/>
        <item x="518"/>
        <item x="197"/>
        <item x="819"/>
        <item x="544"/>
        <item x="92"/>
        <item x="499"/>
        <item x="871"/>
        <item x="682"/>
        <item x="103"/>
        <item x="567"/>
        <item x="381"/>
        <item x="621"/>
        <item x="264"/>
        <item x="390"/>
        <item x="638"/>
        <item x="272"/>
        <item x="710"/>
        <item x="724"/>
        <item x="501"/>
        <item x="172"/>
        <item x="754"/>
        <item x="940"/>
        <item x="515"/>
        <item x="763"/>
        <item x="348"/>
        <item x="962"/>
        <item x="794"/>
        <item x="236"/>
        <item x="141"/>
        <item x="245"/>
        <item x="257"/>
        <item x="258"/>
        <item x="458"/>
        <item x="855"/>
        <item x="864"/>
        <item x="579"/>
        <item x="217"/>
        <item x="201"/>
        <item x="582"/>
        <item x="583"/>
        <item x="584"/>
        <item x="90"/>
        <item x="402"/>
        <item x="91"/>
        <item x="304"/>
        <item x="306"/>
        <item x="94"/>
        <item x="317"/>
        <item x="475"/>
        <item x="476"/>
        <item x="879"/>
        <item x="881"/>
        <item x="78"/>
        <item x="339"/>
        <item x="83"/>
        <item x="147"/>
        <item x="890"/>
        <item x="891"/>
        <item x="169"/>
        <item x="170"/>
        <item x="364"/>
        <item x="514"/>
        <item x="892"/>
        <item x="893"/>
        <item x="12"/>
        <item x="897"/>
        <item x="749"/>
        <item x="751"/>
        <item x="752"/>
        <item x="757"/>
        <item x="759"/>
        <item x="194"/>
        <item x="84"/>
        <item x="203"/>
        <item x="209"/>
        <item x="96"/>
        <item x="787"/>
        <item x="545"/>
        <item x="800"/>
        <item x="685"/>
        <item x="109"/>
        <item x="398"/>
        <item x="115"/>
        <item x="564"/>
        <item x="117"/>
        <item x="817"/>
        <item x="822"/>
        <item x="410"/>
        <item x="412"/>
        <item x="112"/>
        <item x="138"/>
        <item x="225"/>
        <item x="226"/>
        <item x="228"/>
        <item x="229"/>
        <item x="599"/>
        <item x="943"/>
        <item x="174"/>
        <item x="612"/>
        <item x="617"/>
        <item x="622"/>
        <item x="624"/>
        <item x="183"/>
        <item x="633"/>
        <item x="186"/>
        <item x="876"/>
        <item x="230"/>
        <item x="275"/>
        <item x="125"/>
        <item x="280"/>
        <item x="108"/>
        <item x="711"/>
        <item x="113"/>
        <item x="733"/>
        <item x="119"/>
        <item x="122"/>
        <item x="131"/>
        <item x="132"/>
        <item x="134"/>
        <item x="136"/>
        <item x="148"/>
        <item x="150"/>
        <item x="327"/>
        <item x="222"/>
        <item x="333"/>
        <item x="157"/>
        <item x="461"/>
        <item x="231"/>
        <item x="232"/>
        <item x="782"/>
        <item x="179"/>
        <item x="239"/>
        <item x="240"/>
        <item x="788"/>
        <item x="791"/>
        <item x="244"/>
        <item x="354"/>
        <item x="253"/>
        <item x="195"/>
        <item x="357"/>
        <item x="359"/>
        <item x="204"/>
        <item x="206"/>
        <item x="111"/>
        <item x="372"/>
        <item x="294"/>
        <item x="296"/>
        <item x="297"/>
        <item x="301"/>
        <item x="302"/>
        <item x="303"/>
        <item x="140"/>
        <item x="142"/>
        <item x="146"/>
        <item x="313"/>
        <item x="156"/>
        <item x="160"/>
        <item x="68"/>
        <item x="163"/>
        <item x="329"/>
        <item x="393"/>
        <item x="334"/>
        <item x="80"/>
        <item x="176"/>
        <item x="178"/>
        <item x="181"/>
        <item x="237"/>
        <item x="247"/>
        <item x="248"/>
        <item x="129"/>
        <item x="198"/>
        <item x="428"/>
        <item x="263"/>
        <item x="742"/>
        <item x="358"/>
        <item x="360"/>
        <item x="276"/>
        <item x="366"/>
        <item x="774"/>
        <item x="285"/>
        <item x="370"/>
        <item x="959"/>
        <item x="578"/>
        <item x="796"/>
        <item x="585"/>
        <item x="315"/>
        <item x="820"/>
        <item x="388"/>
        <item x="323"/>
        <item x="827"/>
        <item x="335"/>
        <item x="508"/>
        <item x="401"/>
        <item x="246"/>
        <item x="404"/>
        <item x="406"/>
        <item x="407"/>
        <item x="409"/>
        <item x="411"/>
        <item x="456"/>
        <item x="767"/>
        <item x="319"/>
        <item x="413"/>
        <item x="121"/>
        <item x="683"/>
        <item x="128"/>
        <item x="270"/>
        <item x="529"/>
        <item x="422"/>
        <item x="133"/>
        <item x="901"/>
        <item x="139"/>
        <item x="905"/>
        <item x="433"/>
        <item x="434"/>
        <item x="730"/>
        <item x="745"/>
        <item x="551"/>
        <item x="747"/>
        <item x="750"/>
        <item x="102"/>
        <item x="480"/>
        <item x="485"/>
        <item x="382"/>
        <item x="490"/>
        <item x="384"/>
        <item x="574"/>
        <item x="444"/>
        <item x="496"/>
        <item x="205"/>
        <item x="249"/>
        <item x="266"/>
        <item x="799"/>
        <item x="505"/>
        <item x="805"/>
        <item x="811"/>
        <item x="606"/>
        <item x="153"/>
        <item x="415"/>
        <item x="135"/>
        <item x="834"/>
        <item x="459"/>
        <item x="647"/>
        <item x="888"/>
        <item x="424"/>
        <item x="923"/>
        <item x="662"/>
        <item x="856"/>
        <item x="532"/>
        <item x="371"/>
        <item x="534"/>
        <item x="185"/>
        <item x="375"/>
        <item x="469"/>
        <item x="200"/>
        <item x="383"/>
        <item x="385"/>
        <item x="549"/>
        <item x="79"/>
        <item x="252"/>
        <item x="560"/>
        <item x="895"/>
        <item x="255"/>
        <item x="566"/>
        <item x="568"/>
        <item x="957"/>
        <item x="259"/>
        <item x="899"/>
        <item x="495"/>
        <item x="155"/>
        <item x="273"/>
        <item x="158"/>
        <item x="765"/>
        <item x="502"/>
        <item x="162"/>
        <item x="164"/>
        <item x="504"/>
        <item x="168"/>
        <item x="173"/>
        <item x="589"/>
        <item x="287"/>
        <item x="292"/>
        <item x="596"/>
        <item x="610"/>
        <item x="189"/>
        <item x="920"/>
        <item x="192"/>
        <item x="924"/>
        <item x="632"/>
        <item x="642"/>
        <item x="207"/>
        <item x="208"/>
        <item x="652"/>
        <item x="130"/>
        <item x="533"/>
        <item x="137"/>
        <item x="664"/>
        <item x="250"/>
        <item x="535"/>
        <item x="848"/>
        <item x="470"/>
        <item x="687"/>
        <item x="690"/>
        <item x="540"/>
        <item x="479"/>
        <item x="552"/>
        <item x="725"/>
        <item x="557"/>
        <item x="727"/>
        <item x="732"/>
        <item x="449"/>
        <item x="281"/>
        <item x="562"/>
        <item x="734"/>
        <item x="483"/>
        <item x="737"/>
        <item x="741"/>
        <item x="124"/>
        <item x="290"/>
        <item x="291"/>
        <item x="569"/>
        <item x="570"/>
        <item x="293"/>
        <item x="571"/>
        <item x="41"/>
        <item x="414"/>
        <item x="503"/>
        <item x="420"/>
        <item x="753"/>
        <item x="756"/>
        <item x="309"/>
        <item x="310"/>
        <item x="312"/>
        <item x="325"/>
        <item x="361"/>
        <item x="785"/>
        <item x="465"/>
        <item x="615"/>
        <item x="627"/>
        <item x="810"/>
        <item x="528"/>
        <item x="278"/>
        <item x="815"/>
        <item x="823"/>
        <item x="399"/>
        <item x="663"/>
        <item x="284"/>
        <item x="477"/>
        <item x="668"/>
        <item x="669"/>
        <item x="671"/>
        <item x="673"/>
        <item x="675"/>
        <item x="679"/>
        <item x="681"/>
        <item x="688"/>
        <item x="689"/>
        <item x="952"/>
        <item x="700"/>
        <item x="701"/>
        <item x="307"/>
        <item x="709"/>
        <item x="417"/>
        <item x="494"/>
        <item x="314"/>
        <item x="726"/>
        <item x="728"/>
        <item x="320"/>
        <item x="322"/>
        <item x="739"/>
        <item x="241"/>
        <item x="743"/>
        <item x="60"/>
        <item x="577"/>
        <item x="507"/>
        <item x="873"/>
        <item x="561"/>
        <item x="580"/>
        <item x="510"/>
        <item x="260"/>
        <item x="755"/>
        <item x="586"/>
        <item x="588"/>
        <item x="760"/>
        <item x="762"/>
        <item x="941"/>
        <item x="389"/>
        <item x="391"/>
        <item x="768"/>
        <item x="598"/>
        <item x="392"/>
        <item x="602"/>
        <item x="394"/>
        <item x="397"/>
        <item x="880"/>
        <item x="400"/>
        <item x="613"/>
        <item x="789"/>
        <item x="795"/>
        <item x="408"/>
        <item x="801"/>
        <item x="536"/>
        <item x="670"/>
        <item x="672"/>
        <item x="826"/>
        <item x="832"/>
        <item x="425"/>
        <item x="837"/>
        <item x="427"/>
        <item x="839"/>
        <item x="431"/>
        <item x="843"/>
        <item x="849"/>
        <item x="718"/>
        <item x="857"/>
        <item x="279"/>
        <item x="861"/>
        <item x="906"/>
        <item x="870"/>
        <item x="188"/>
        <item x="107"/>
        <item x="300"/>
        <item x="884"/>
        <item x="594"/>
        <item x="761"/>
        <item x="764"/>
        <item x="468"/>
        <item x="874"/>
        <item x="609"/>
        <item x="616"/>
        <item x="777"/>
        <item x="618"/>
        <item x="778"/>
        <item x="625"/>
        <item x="783"/>
        <item x="629"/>
        <item x="631"/>
        <item x="637"/>
        <item x="640"/>
        <item x="798"/>
        <item x="650"/>
        <item x="653"/>
        <item x="268"/>
        <item x="655"/>
        <item x="667"/>
        <item x="814"/>
        <item x="829"/>
        <item x="830"/>
        <item x="833"/>
        <item x="836"/>
        <item x="715"/>
        <item x="845"/>
        <item x="722"/>
        <item x="587"/>
        <item x="866"/>
        <item x="900"/>
        <item x="576"/>
        <item x="770"/>
        <item x="486"/>
        <item x="491"/>
        <item x="790"/>
        <item x="797"/>
        <item x="804"/>
        <item x="813"/>
        <item x="13"/>
        <item x="828"/>
        <item x="835"/>
        <item x="517"/>
        <item x="522"/>
        <item x="524"/>
        <item x="526"/>
        <item x="593"/>
        <item x="863"/>
        <item x="530"/>
        <item x="601"/>
        <item x="298"/>
        <item x="605"/>
        <item x="619"/>
        <item x="630"/>
        <item x="539"/>
        <item x="635"/>
        <item x="894"/>
        <item x="896"/>
        <item x="898"/>
        <item x="658"/>
        <item x="803"/>
        <item x="512"/>
        <item x="882"/>
        <item x="708"/>
        <item x="471"/>
        <item x="913"/>
        <item x="674"/>
        <item x="73"/>
        <item x="492"/>
        <item x="929"/>
        <item x="933"/>
        <item x="634"/>
        <item x="636"/>
        <item x="938"/>
        <item x="641"/>
        <item x="769"/>
        <item x="771"/>
        <item x="772"/>
        <item x="646"/>
        <item x="648"/>
        <item x="649"/>
        <item x="651"/>
        <item x="654"/>
        <item x="656"/>
        <item x="793"/>
        <item x="677"/>
        <item x="678"/>
        <item x="513"/>
        <item x="686"/>
        <item x="695"/>
        <item x="696"/>
        <item x="697"/>
        <item x="699"/>
        <item x="716"/>
        <item x="482"/>
        <item x="698"/>
        <item x="740"/>
        <item x="902"/>
        <item x="597"/>
        <item x="904"/>
        <item x="907"/>
        <item x="908"/>
        <item x="692"/>
        <item x="500"/>
        <item x="775"/>
        <item x="776"/>
        <item x="661"/>
        <item x="927"/>
        <item x="473"/>
        <item x="802"/>
        <item x="806"/>
        <item x="808"/>
        <item x="809"/>
        <item x="937"/>
        <item x="525"/>
        <item x="939"/>
        <item x="729"/>
        <item x="736"/>
        <item x="942"/>
        <item x="831"/>
        <item x="572"/>
        <item x="838"/>
        <item x="842"/>
        <item x="844"/>
        <item x="608"/>
        <item x="944"/>
        <item x="847"/>
        <item x="628"/>
        <item x="299"/>
        <item x="326"/>
        <item x="234"/>
        <item x="869"/>
        <item x="910"/>
        <item x="519"/>
        <item x="779"/>
        <item x="911"/>
        <item x="912"/>
        <item x="786"/>
        <item x="915"/>
        <item x="916"/>
        <item x="917"/>
        <item x="812"/>
        <item x="878"/>
        <item x="821"/>
        <item x="825"/>
        <item x="928"/>
        <item x="738"/>
        <item x="604"/>
        <item x="611"/>
        <item x="840"/>
        <item x="851"/>
        <item x="854"/>
        <item x="660"/>
        <item x="867"/>
        <item x="958"/>
        <item x="464"/>
        <item x="784"/>
        <item x="949"/>
        <item x="807"/>
        <item x="909"/>
        <item x="448"/>
        <item x="614"/>
        <item x="932"/>
        <item x="546"/>
        <item x="330"/>
        <item x="175"/>
        <item x="868"/>
        <item x="903"/>
        <item x="955"/>
        <item x="921"/>
        <item x="925"/>
        <item x="177"/>
        <item x="947"/>
        <item x="956"/>
        <item x="926"/>
        <item x="930"/>
        <item x="946"/>
        <item x="914"/>
        <item x="934"/>
        <item x="936"/>
        <item x="543"/>
        <item x="693"/>
        <item x="714"/>
        <item x="859"/>
        <item x="403"/>
        <item x="919"/>
        <item x="922"/>
        <item x="680"/>
        <item x="918"/>
        <item x="704"/>
        <item x="430"/>
        <item x="324"/>
        <item x="872"/>
        <item x="416"/>
        <item x="665"/>
        <item x="626"/>
        <item x="954"/>
        <item x="875"/>
        <item x="721"/>
        <item x="666"/>
        <item x="824"/>
        <item x="706"/>
        <item x="953"/>
        <item x="858"/>
        <item x="114"/>
        <item x="931"/>
        <item x="506"/>
        <item x="509"/>
        <item x="554"/>
        <item x="191"/>
        <item x="705"/>
        <item x="516"/>
        <item x="852"/>
        <item x="432"/>
        <item x="846"/>
        <item x="731"/>
        <item x="336"/>
        <item x="723"/>
        <item x="735"/>
        <item x="865"/>
        <item x="450"/>
        <item x="862"/>
        <item x="945"/>
        <item x="426"/>
        <item x="960"/>
        <item t="default"/>
      </items>
    </pivotField>
    <pivotField showAll="0"/>
    <pivotField showAll="0"/>
    <pivotField showAll="0"/>
    <pivotField dataField="1" showAll="0"/>
    <pivotField axis="axisRow" dataField="1" showAll="0" defaultSubtotal="0">
      <items count="9">
        <item m="1" x="6"/>
        <item x="1"/>
        <item m="1" x="5"/>
        <item x="3"/>
        <item m="1" x="4"/>
        <item m="1" x="7"/>
        <item m="1" x="8"/>
        <item x="0"/>
        <item x="2"/>
      </items>
    </pivotField>
    <pivotField numFmtId="167" showAll="0"/>
    <pivotField showAll="0"/>
    <pivotField showAll="0"/>
    <pivotField showAll="0"/>
    <pivotField showAll="0"/>
    <pivotField showAll="0" defaultSubtotal="0"/>
    <pivotField multipleItemSelectionAllowed="1" showAll="0"/>
  </pivotFields>
  <rowFields count="1">
    <field x="8"/>
  </rowFields>
  <rowItems count="4">
    <i>
      <x v="1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3">
    <pageField fld="3" hier="-1"/>
    <pageField fld="2" hier="-1"/>
    <pageField fld="0" hier="-1"/>
  </pageFields>
  <dataFields count="3">
    <dataField name="Nbre de ligne contrôlées" fld="8" subtotal="count" baseField="0" baseItem="0" numFmtId="166"/>
    <dataField name="Somme des écart coût traction ALLER" fld="7" baseField="0" baseItem="0" numFmtId="5"/>
    <dataField name="Taux" fld="8" subtotal="count" showDataAs="percentOfTotal" baseField="8" baseItem="6" numFmtId="10"/>
  </dataFields>
  <formats count="16">
    <format dxfId="30">
      <pivotArea outline="0" collapsedLevelsAreSubtotals="1" fieldPosition="0"/>
    </format>
    <format dxfId="29">
      <pivotArea field="0" type="button" dataOnly="0" labelOnly="1" outline="0" axis="axisPage" fieldPosition="2"/>
    </format>
    <format dxfId="2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2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6">
      <pivotArea outline="0" fieldPosition="0">
        <references count="1">
          <reference field="4294967294" count="1">
            <x v="2"/>
          </reference>
        </references>
      </pivotArea>
    </format>
    <format dxfId="25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24">
      <pivotArea outline="0" collapsedLevelsAreSubtotals="1" fieldPosition="0"/>
    </format>
    <format dxfId="23">
      <pivotArea outline="0" collapsedLevelsAreSubtotals="1" fieldPosition="0"/>
    </format>
    <format dxfId="22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2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20">
      <pivotArea field="8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">
      <pivotArea field="8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Medium2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291"/>
  <sheetViews>
    <sheetView topLeftCell="N1" workbookViewId="0">
      <pane ySplit="1" topLeftCell="A2" activePane="bottomLeft" state="frozen"/>
      <selection activeCell="R1" sqref="R1"/>
      <selection pane="bottomLeft" activeCell="X2" sqref="X2"/>
    </sheetView>
  </sheetViews>
  <sheetFormatPr baseColWidth="10" defaultRowHeight="15" x14ac:dyDescent="0.25"/>
  <cols>
    <col min="23" max="23" width="24" customWidth="1"/>
    <col min="24" max="24" width="25.140625" bestFit="1" customWidth="1"/>
  </cols>
  <sheetData>
    <row r="1" spans="1:24" x14ac:dyDescent="0.25">
      <c r="A1" t="s">
        <v>48</v>
      </c>
      <c r="B1" t="s">
        <v>0</v>
      </c>
      <c r="C1" t="s">
        <v>1</v>
      </c>
      <c r="D1" t="s">
        <v>1</v>
      </c>
      <c r="E1" t="s">
        <v>1</v>
      </c>
      <c r="F1" t="s">
        <v>1</v>
      </c>
      <c r="G1" t="s">
        <v>1</v>
      </c>
      <c r="H1" t="s">
        <v>2</v>
      </c>
      <c r="I1" t="s">
        <v>3</v>
      </c>
      <c r="J1" t="s">
        <v>4</v>
      </c>
      <c r="K1" t="s">
        <v>5</v>
      </c>
      <c r="L1" t="s">
        <v>5</v>
      </c>
      <c r="M1" t="s">
        <v>5</v>
      </c>
      <c r="N1" t="s">
        <v>5</v>
      </c>
      <c r="O1" t="s">
        <v>5</v>
      </c>
      <c r="P1" t="s">
        <v>5</v>
      </c>
      <c r="Q1" t="s">
        <v>5</v>
      </c>
      <c r="R1" t="s">
        <v>5</v>
      </c>
      <c r="S1" t="s">
        <v>5</v>
      </c>
      <c r="T1" t="s">
        <v>5</v>
      </c>
      <c r="U1" t="s">
        <v>5</v>
      </c>
      <c r="V1" t="s">
        <v>6</v>
      </c>
      <c r="W1" t="s">
        <v>26</v>
      </c>
      <c r="X1" t="s">
        <v>7</v>
      </c>
    </row>
    <row r="2" spans="1:24" ht="15" customHeight="1" x14ac:dyDescent="0.25">
      <c r="A2" t="str">
        <f>""</f>
        <v/>
      </c>
      <c r="B2" s="1"/>
      <c r="H2">
        <v>180</v>
      </c>
      <c r="J2" t="s">
        <v>22</v>
      </c>
      <c r="L2" s="1"/>
      <c r="N2" s="1"/>
      <c r="V2" t="str">
        <f>"14000"</f>
        <v>14000</v>
      </c>
      <c r="X2">
        <v>30.6</v>
      </c>
    </row>
    <row r="3" spans="1:24" ht="15" customHeight="1" x14ac:dyDescent="0.25">
      <c r="A3" t="str">
        <f>""</f>
        <v/>
      </c>
      <c r="B3" s="1"/>
      <c r="H3">
        <v>120</v>
      </c>
      <c r="L3" s="1"/>
      <c r="V3" t="str">
        <f>"77184"</f>
        <v>77184</v>
      </c>
      <c r="W3">
        <v>0</v>
      </c>
      <c r="X3">
        <v>0</v>
      </c>
    </row>
    <row r="4" spans="1:24" ht="15" customHeight="1" x14ac:dyDescent="0.25">
      <c r="A4" t="str">
        <f>""</f>
        <v/>
      </c>
      <c r="B4" s="1"/>
      <c r="H4">
        <v>140</v>
      </c>
      <c r="J4" t="s">
        <v>22</v>
      </c>
      <c r="L4" s="1"/>
      <c r="N4" s="1"/>
      <c r="V4" t="str">
        <f>"59650"</f>
        <v>59650</v>
      </c>
      <c r="W4">
        <v>0</v>
      </c>
      <c r="X4">
        <v>0</v>
      </c>
    </row>
    <row r="5" spans="1:24" ht="15" customHeight="1" x14ac:dyDescent="0.25">
      <c r="A5" t="str">
        <f>""</f>
        <v/>
      </c>
      <c r="B5" s="1"/>
      <c r="H5">
        <v>201</v>
      </c>
      <c r="J5" t="s">
        <v>23</v>
      </c>
      <c r="L5" s="1"/>
      <c r="N5" s="1"/>
      <c r="V5" t="str">
        <f>"59223"</f>
        <v>59223</v>
      </c>
      <c r="W5">
        <v>0</v>
      </c>
      <c r="X5">
        <v>38.19</v>
      </c>
    </row>
    <row r="6" spans="1:24" ht="15" customHeight="1" x14ac:dyDescent="0.25">
      <c r="A6" t="str">
        <f>""</f>
        <v/>
      </c>
      <c r="B6" s="1"/>
      <c r="H6">
        <v>108.12</v>
      </c>
      <c r="J6" t="s">
        <v>22</v>
      </c>
      <c r="L6" s="1"/>
      <c r="V6" t="str">
        <f>"67118"</f>
        <v>67118</v>
      </c>
      <c r="W6">
        <v>0</v>
      </c>
      <c r="X6">
        <v>0</v>
      </c>
    </row>
    <row r="7" spans="1:24" ht="15" customHeight="1" x14ac:dyDescent="0.25">
      <c r="A7" t="str">
        <f>""</f>
        <v/>
      </c>
      <c r="B7" s="1"/>
      <c r="H7">
        <v>75.16</v>
      </c>
      <c r="J7" t="s">
        <v>20</v>
      </c>
      <c r="L7" s="1"/>
      <c r="N7" s="1"/>
      <c r="V7" t="str">
        <f>"76300"</f>
        <v>76300</v>
      </c>
      <c r="W7">
        <v>12.78</v>
      </c>
      <c r="X7">
        <v>0</v>
      </c>
    </row>
    <row r="8" spans="1:24" ht="15" customHeight="1" x14ac:dyDescent="0.25">
      <c r="A8" t="str">
        <f>""</f>
        <v/>
      </c>
      <c r="B8" s="1"/>
      <c r="H8">
        <v>153.97999999999999</v>
      </c>
      <c r="J8" t="s">
        <v>22</v>
      </c>
      <c r="L8" s="1"/>
      <c r="N8" s="1"/>
      <c r="V8" t="str">
        <f>"14000"</f>
        <v>14000</v>
      </c>
      <c r="W8">
        <v>0</v>
      </c>
      <c r="X8">
        <v>26.18</v>
      </c>
    </row>
    <row r="9" spans="1:24" ht="15" customHeight="1" x14ac:dyDescent="0.25">
      <c r="A9" t="str">
        <f>""</f>
        <v/>
      </c>
      <c r="B9" s="1"/>
      <c r="H9">
        <v>180</v>
      </c>
      <c r="J9" t="s">
        <v>22</v>
      </c>
      <c r="L9" s="1"/>
      <c r="N9" s="1"/>
      <c r="V9" t="str">
        <f>"14000"</f>
        <v>14000</v>
      </c>
      <c r="W9">
        <v>0</v>
      </c>
      <c r="X9">
        <v>0</v>
      </c>
    </row>
    <row r="10" spans="1:24" ht="15" customHeight="1" x14ac:dyDescent="0.25">
      <c r="A10" t="str">
        <f>""</f>
        <v/>
      </c>
      <c r="B10" s="1"/>
      <c r="H10">
        <v>69.56</v>
      </c>
      <c r="J10" t="s">
        <v>19</v>
      </c>
      <c r="L10" s="1"/>
      <c r="N10" s="1"/>
      <c r="V10" t="str">
        <f>"61250"</f>
        <v>61250</v>
      </c>
      <c r="W10">
        <v>11.83</v>
      </c>
      <c r="X10">
        <v>0</v>
      </c>
    </row>
    <row r="11" spans="1:24" ht="15" customHeight="1" x14ac:dyDescent="0.25">
      <c r="A11" t="str">
        <f>""</f>
        <v/>
      </c>
      <c r="B11" s="1"/>
      <c r="H11">
        <v>70</v>
      </c>
      <c r="J11" t="s">
        <v>22</v>
      </c>
      <c r="L11" s="1"/>
      <c r="N11" s="1"/>
      <c r="V11" t="str">
        <f>"21320"</f>
        <v>21320</v>
      </c>
      <c r="W11">
        <v>0</v>
      </c>
      <c r="X11">
        <v>8.4</v>
      </c>
    </row>
    <row r="12" spans="1:24" ht="15" customHeight="1" x14ac:dyDescent="0.25">
      <c r="A12" t="str">
        <f>""</f>
        <v/>
      </c>
      <c r="B12" s="1"/>
      <c r="H12">
        <v>70</v>
      </c>
      <c r="J12" t="s">
        <v>22</v>
      </c>
      <c r="L12" s="1"/>
      <c r="V12" t="str">
        <f>"71000"</f>
        <v>71000</v>
      </c>
      <c r="W12">
        <v>0</v>
      </c>
      <c r="X12">
        <v>0</v>
      </c>
    </row>
    <row r="13" spans="1:24" ht="15" customHeight="1" x14ac:dyDescent="0.25">
      <c r="A13" t="str">
        <f>""</f>
        <v/>
      </c>
      <c r="B13" s="1"/>
      <c r="H13">
        <v>70</v>
      </c>
      <c r="J13" t="s">
        <v>22</v>
      </c>
      <c r="L13" s="1"/>
      <c r="N13" s="1"/>
      <c r="V13" t="str">
        <f>"77380"</f>
        <v>77380</v>
      </c>
      <c r="W13">
        <v>0</v>
      </c>
      <c r="X13">
        <v>0</v>
      </c>
    </row>
    <row r="14" spans="1:24" ht="15" customHeight="1" x14ac:dyDescent="0.25">
      <c r="A14" t="str">
        <f>""</f>
        <v/>
      </c>
      <c r="B14" s="1"/>
      <c r="H14">
        <v>74.33</v>
      </c>
      <c r="J14" t="s">
        <v>23</v>
      </c>
      <c r="L14" s="1"/>
      <c r="N14" s="1"/>
      <c r="V14" t="str">
        <f>"33700"</f>
        <v>33700</v>
      </c>
      <c r="W14">
        <v>0</v>
      </c>
      <c r="X14">
        <v>12.64</v>
      </c>
    </row>
    <row r="15" spans="1:24" ht="15" customHeight="1" x14ac:dyDescent="0.25">
      <c r="A15" t="str">
        <f>""</f>
        <v/>
      </c>
      <c r="B15" s="1"/>
      <c r="H15">
        <v>80</v>
      </c>
      <c r="J15" t="s">
        <v>23</v>
      </c>
      <c r="L15" s="1"/>
      <c r="N15" s="1"/>
      <c r="V15" t="str">
        <f>"49000"</f>
        <v>49000</v>
      </c>
      <c r="W15">
        <v>0</v>
      </c>
      <c r="X15">
        <v>21.6</v>
      </c>
    </row>
    <row r="16" spans="1:24" ht="15" customHeight="1" x14ac:dyDescent="0.25">
      <c r="A16" t="str">
        <f>""</f>
        <v/>
      </c>
      <c r="B16" s="1"/>
      <c r="H16">
        <v>180</v>
      </c>
      <c r="J16" t="s">
        <v>23</v>
      </c>
      <c r="L16" s="1"/>
      <c r="N16" s="1"/>
      <c r="V16" t="str">
        <f>"14123"</f>
        <v>14123</v>
      </c>
      <c r="W16">
        <v>0</v>
      </c>
      <c r="X16">
        <v>0</v>
      </c>
    </row>
    <row r="17" spans="1:24" ht="15" customHeight="1" x14ac:dyDescent="0.25">
      <c r="A17" t="str">
        <f>""</f>
        <v/>
      </c>
      <c r="B17" s="1"/>
      <c r="H17">
        <v>151</v>
      </c>
      <c r="J17" t="s">
        <v>23</v>
      </c>
      <c r="L17" s="1"/>
      <c r="N17" s="1"/>
      <c r="V17" t="str">
        <f>"27000"</f>
        <v>27000</v>
      </c>
      <c r="W17">
        <v>0</v>
      </c>
      <c r="X17">
        <v>25.67</v>
      </c>
    </row>
    <row r="18" spans="1:24" ht="15" customHeight="1" x14ac:dyDescent="0.25">
      <c r="A18" t="str">
        <f>""</f>
        <v/>
      </c>
      <c r="B18" s="1"/>
      <c r="H18">
        <v>140</v>
      </c>
      <c r="J18" t="s">
        <v>22</v>
      </c>
      <c r="L18" s="1"/>
      <c r="N18" s="1"/>
      <c r="V18" t="str">
        <f>"48000"</f>
        <v>48000</v>
      </c>
      <c r="W18">
        <v>0</v>
      </c>
      <c r="X18">
        <v>0</v>
      </c>
    </row>
    <row r="19" spans="1:24" ht="15" customHeight="1" x14ac:dyDescent="0.25">
      <c r="A19" t="str">
        <f>""</f>
        <v/>
      </c>
      <c r="B19" s="1"/>
      <c r="H19">
        <v>149.26</v>
      </c>
      <c r="J19" t="s">
        <v>23</v>
      </c>
      <c r="L19" s="1"/>
      <c r="N19" s="1"/>
      <c r="V19" t="str">
        <f>"50000"</f>
        <v>50000</v>
      </c>
      <c r="W19">
        <v>0</v>
      </c>
      <c r="X19">
        <v>25.37</v>
      </c>
    </row>
    <row r="20" spans="1:24" ht="15" customHeight="1" x14ac:dyDescent="0.25">
      <c r="A20" t="str">
        <f>""</f>
        <v/>
      </c>
      <c r="B20" s="1"/>
      <c r="H20">
        <v>131.69</v>
      </c>
      <c r="J20" t="s">
        <v>20</v>
      </c>
      <c r="L20" s="1"/>
      <c r="N20" s="1"/>
      <c r="V20" t="str">
        <f>"75004"</f>
        <v>75004</v>
      </c>
      <c r="W20">
        <v>0</v>
      </c>
      <c r="X20">
        <v>0</v>
      </c>
    </row>
    <row r="21" spans="1:24" ht="15" customHeight="1" x14ac:dyDescent="0.25">
      <c r="A21" t="str">
        <f>""</f>
        <v/>
      </c>
      <c r="B21" s="1"/>
      <c r="H21">
        <v>25</v>
      </c>
      <c r="J21" t="s">
        <v>22</v>
      </c>
      <c r="L21" s="1"/>
      <c r="V21" t="str">
        <f>"70000"</f>
        <v>70000</v>
      </c>
      <c r="W21">
        <v>0</v>
      </c>
      <c r="X21">
        <v>0</v>
      </c>
    </row>
    <row r="22" spans="1:24" ht="15" customHeight="1" x14ac:dyDescent="0.25">
      <c r="A22" t="str">
        <f>""</f>
        <v/>
      </c>
      <c r="B22" s="1"/>
      <c r="H22">
        <v>25</v>
      </c>
      <c r="J22" t="s">
        <v>22</v>
      </c>
      <c r="L22" s="1"/>
      <c r="N22" s="1"/>
      <c r="V22" t="str">
        <f>"70000"</f>
        <v>70000</v>
      </c>
      <c r="W22">
        <v>0</v>
      </c>
      <c r="X22">
        <v>0</v>
      </c>
    </row>
    <row r="23" spans="1:24" ht="15" customHeight="1" x14ac:dyDescent="0.25">
      <c r="A23" t="str">
        <f>""</f>
        <v/>
      </c>
      <c r="B23" s="1"/>
      <c r="H23">
        <v>50.84</v>
      </c>
      <c r="J23" t="s">
        <v>19</v>
      </c>
      <c r="L23" s="1"/>
      <c r="N23" s="1"/>
      <c r="V23" t="str">
        <f>"92000"</f>
        <v>92000</v>
      </c>
      <c r="W23">
        <v>0</v>
      </c>
      <c r="X23">
        <v>0</v>
      </c>
    </row>
    <row r="24" spans="1:24" ht="15" customHeight="1" x14ac:dyDescent="0.25">
      <c r="A24" t="str">
        <f>""</f>
        <v/>
      </c>
      <c r="B24" s="1"/>
      <c r="H24">
        <v>50.84</v>
      </c>
      <c r="J24" t="s">
        <v>19</v>
      </c>
      <c r="L24" s="1"/>
      <c r="N24" s="1"/>
      <c r="V24" t="str">
        <f>"92000"</f>
        <v>92000</v>
      </c>
      <c r="W24">
        <v>0</v>
      </c>
      <c r="X24">
        <v>0</v>
      </c>
    </row>
    <row r="25" spans="1:24" ht="15" customHeight="1" x14ac:dyDescent="0.25">
      <c r="A25" t="str">
        <f>""</f>
        <v/>
      </c>
      <c r="B25" s="1"/>
      <c r="H25">
        <v>135.85</v>
      </c>
      <c r="J25" t="s">
        <v>22</v>
      </c>
      <c r="L25" s="1"/>
      <c r="N25" s="1"/>
      <c r="V25" t="str">
        <f>"34000"</f>
        <v>34000</v>
      </c>
      <c r="W25">
        <v>0</v>
      </c>
      <c r="X25">
        <v>38.04</v>
      </c>
    </row>
    <row r="26" spans="1:24" ht="15" customHeight="1" x14ac:dyDescent="0.25">
      <c r="A26" t="str">
        <f>""</f>
        <v/>
      </c>
      <c r="B26" s="1"/>
      <c r="H26">
        <v>25</v>
      </c>
      <c r="J26" t="s">
        <v>23</v>
      </c>
      <c r="L26" s="1"/>
      <c r="N26" s="1"/>
      <c r="V26" t="str">
        <f>"69200"</f>
        <v>69200</v>
      </c>
      <c r="W26">
        <v>0</v>
      </c>
      <c r="X26">
        <v>0</v>
      </c>
    </row>
    <row r="27" spans="1:24" ht="15" customHeight="1" x14ac:dyDescent="0.25">
      <c r="A27" t="str">
        <f>""</f>
        <v/>
      </c>
      <c r="B27" s="1"/>
      <c r="H27">
        <v>40</v>
      </c>
      <c r="J27" t="s">
        <v>23</v>
      </c>
      <c r="L27" s="1"/>
      <c r="N27" s="1"/>
      <c r="V27" t="str">
        <f>"36130"</f>
        <v>36130</v>
      </c>
      <c r="W27">
        <v>0</v>
      </c>
      <c r="X27">
        <v>4.8</v>
      </c>
    </row>
    <row r="28" spans="1:24" x14ac:dyDescent="0.25">
      <c r="A28" t="str">
        <f>""</f>
        <v/>
      </c>
      <c r="B28" s="1"/>
      <c r="H28">
        <v>52.5</v>
      </c>
      <c r="J28" t="s">
        <v>15</v>
      </c>
      <c r="L28" s="1"/>
      <c r="N28" s="1"/>
      <c r="V28" t="str">
        <f>"69003"</f>
        <v>69003</v>
      </c>
      <c r="W28">
        <v>0</v>
      </c>
      <c r="X28">
        <v>0</v>
      </c>
    </row>
    <row r="29" spans="1:24" x14ac:dyDescent="0.25">
      <c r="A29" t="str">
        <f>""</f>
        <v/>
      </c>
      <c r="B29" s="1"/>
      <c r="H29">
        <v>52.5</v>
      </c>
      <c r="J29" t="s">
        <v>15</v>
      </c>
      <c r="L29" s="1"/>
      <c r="N29" s="1"/>
      <c r="V29" t="str">
        <f>"10000"</f>
        <v>10000</v>
      </c>
      <c r="W29">
        <v>0</v>
      </c>
      <c r="X29">
        <v>0</v>
      </c>
    </row>
    <row r="30" spans="1:24" x14ac:dyDescent="0.25">
      <c r="A30" t="str">
        <f>""</f>
        <v/>
      </c>
      <c r="B30" s="1"/>
      <c r="H30">
        <v>52.5</v>
      </c>
      <c r="J30" t="s">
        <v>15</v>
      </c>
      <c r="L30" s="1"/>
      <c r="N30" s="1"/>
      <c r="V30" t="str">
        <f>"26000"</f>
        <v>26000</v>
      </c>
      <c r="W30">
        <v>0</v>
      </c>
      <c r="X30">
        <v>0</v>
      </c>
    </row>
    <row r="31" spans="1:24" ht="15" customHeight="1" x14ac:dyDescent="0.25">
      <c r="A31" t="str">
        <f>""</f>
        <v/>
      </c>
      <c r="B31" s="1"/>
      <c r="H31">
        <v>165</v>
      </c>
      <c r="J31" t="s">
        <v>22</v>
      </c>
      <c r="L31" s="1"/>
      <c r="N31" s="1"/>
      <c r="V31" t="str">
        <f>"77184"</f>
        <v>77184</v>
      </c>
      <c r="W31">
        <v>0</v>
      </c>
      <c r="X31">
        <v>0</v>
      </c>
    </row>
    <row r="32" spans="1:24" ht="15" customHeight="1" x14ac:dyDescent="0.25">
      <c r="A32" t="str">
        <f>""</f>
        <v/>
      </c>
      <c r="B32" s="1"/>
      <c r="H32">
        <v>40</v>
      </c>
      <c r="J32" t="s">
        <v>23</v>
      </c>
      <c r="L32" s="1"/>
      <c r="N32" s="1"/>
      <c r="V32" t="str">
        <f>"95870"</f>
        <v>95870</v>
      </c>
      <c r="W32">
        <v>0</v>
      </c>
      <c r="X32">
        <v>0</v>
      </c>
    </row>
    <row r="33" spans="1:24" ht="15" customHeight="1" x14ac:dyDescent="0.25">
      <c r="A33" t="str">
        <f>""</f>
        <v/>
      </c>
      <c r="B33" s="1"/>
      <c r="H33">
        <v>32.6</v>
      </c>
      <c r="J33" t="s">
        <v>22</v>
      </c>
      <c r="L33" s="1"/>
      <c r="V33" t="str">
        <f>"75011"</f>
        <v>75011</v>
      </c>
      <c r="W33">
        <v>0</v>
      </c>
      <c r="X33">
        <v>0</v>
      </c>
    </row>
    <row r="34" spans="1:24" ht="15" customHeight="1" x14ac:dyDescent="0.25">
      <c r="A34" t="str">
        <f>""</f>
        <v/>
      </c>
      <c r="B34" s="1"/>
      <c r="H34">
        <v>35.36</v>
      </c>
      <c r="J34" t="s">
        <v>22</v>
      </c>
      <c r="L34" s="1"/>
      <c r="N34" s="1"/>
      <c r="V34" t="str">
        <f>"93290"</f>
        <v>93290</v>
      </c>
      <c r="W34">
        <v>0</v>
      </c>
      <c r="X34">
        <v>0</v>
      </c>
    </row>
    <row r="35" spans="1:24" ht="15" customHeight="1" x14ac:dyDescent="0.25">
      <c r="A35" t="str">
        <f>""</f>
        <v/>
      </c>
      <c r="B35" s="1"/>
      <c r="H35">
        <v>55.16</v>
      </c>
      <c r="J35" t="s">
        <v>19</v>
      </c>
      <c r="L35" s="1"/>
      <c r="N35" s="1"/>
      <c r="V35" t="str">
        <f>"93013"</f>
        <v>93013</v>
      </c>
      <c r="W35">
        <v>0</v>
      </c>
      <c r="X35">
        <v>0</v>
      </c>
    </row>
    <row r="36" spans="1:24" ht="15" customHeight="1" x14ac:dyDescent="0.25">
      <c r="A36" t="str">
        <f>""</f>
        <v/>
      </c>
      <c r="B36" s="1"/>
      <c r="H36">
        <v>55.16</v>
      </c>
      <c r="J36" t="s">
        <v>19</v>
      </c>
      <c r="L36" s="1"/>
      <c r="N36" s="1"/>
      <c r="V36" t="str">
        <f>"93013"</f>
        <v>93013</v>
      </c>
      <c r="W36">
        <v>0</v>
      </c>
      <c r="X36">
        <v>0</v>
      </c>
    </row>
    <row r="37" spans="1:24" ht="15" customHeight="1" x14ac:dyDescent="0.25">
      <c r="A37" t="str">
        <f>""</f>
        <v/>
      </c>
      <c r="B37" s="1"/>
      <c r="H37">
        <v>155.37</v>
      </c>
      <c r="J37" t="s">
        <v>19</v>
      </c>
      <c r="L37" s="1"/>
      <c r="N37" s="1"/>
      <c r="V37" t="str">
        <f>"22210"</f>
        <v>22210</v>
      </c>
      <c r="W37">
        <v>60.59</v>
      </c>
      <c r="X37">
        <v>0</v>
      </c>
    </row>
    <row r="38" spans="1:24" ht="15" customHeight="1" x14ac:dyDescent="0.25">
      <c r="A38" t="str">
        <f>""</f>
        <v/>
      </c>
      <c r="B38" s="1"/>
      <c r="H38">
        <v>180</v>
      </c>
      <c r="J38" t="s">
        <v>19</v>
      </c>
      <c r="L38" s="1"/>
      <c r="N38" s="1"/>
      <c r="V38" t="str">
        <f>"77183"</f>
        <v>77183</v>
      </c>
      <c r="W38">
        <v>0</v>
      </c>
      <c r="X38">
        <v>0</v>
      </c>
    </row>
    <row r="39" spans="1:24" ht="15" customHeight="1" x14ac:dyDescent="0.25">
      <c r="A39" t="str">
        <f>""</f>
        <v/>
      </c>
      <c r="B39" s="1"/>
      <c r="H39">
        <v>0.01</v>
      </c>
      <c r="J39" t="s">
        <v>19</v>
      </c>
      <c r="L39" s="1"/>
      <c r="N39" s="1"/>
      <c r="V39" t="str">
        <f>"56920"</f>
        <v>56920</v>
      </c>
      <c r="W39">
        <v>0</v>
      </c>
      <c r="X39">
        <v>0</v>
      </c>
    </row>
    <row r="40" spans="1:24" ht="15" customHeight="1" x14ac:dyDescent="0.25">
      <c r="A40" t="str">
        <f>""</f>
        <v/>
      </c>
      <c r="B40" s="1"/>
      <c r="H40">
        <v>145</v>
      </c>
      <c r="J40" t="s">
        <v>23</v>
      </c>
      <c r="L40" s="1"/>
      <c r="N40" s="1"/>
      <c r="V40" t="str">
        <f>"13008"</f>
        <v>13008</v>
      </c>
      <c r="W40">
        <v>0</v>
      </c>
      <c r="X40">
        <v>27.55</v>
      </c>
    </row>
    <row r="41" spans="1:24" ht="15" customHeight="1" x14ac:dyDescent="0.25">
      <c r="A41" t="str">
        <f>""</f>
        <v/>
      </c>
      <c r="B41" s="1"/>
      <c r="H41">
        <v>20</v>
      </c>
      <c r="L41" s="1"/>
      <c r="N41" s="1"/>
      <c r="V41" t="str">
        <f>"77184"</f>
        <v>77184</v>
      </c>
      <c r="W41">
        <v>0</v>
      </c>
      <c r="X41">
        <v>0</v>
      </c>
    </row>
    <row r="42" spans="1:24" x14ac:dyDescent="0.25">
      <c r="A42" t="str">
        <f>""</f>
        <v/>
      </c>
      <c r="B42" s="1"/>
      <c r="H42">
        <v>198</v>
      </c>
      <c r="J42" t="s">
        <v>16</v>
      </c>
      <c r="L42" s="1"/>
      <c r="N42" s="1"/>
      <c r="V42" t="str">
        <f>"30204"</f>
        <v>30204</v>
      </c>
      <c r="W42">
        <v>0</v>
      </c>
      <c r="X42">
        <v>0</v>
      </c>
    </row>
    <row r="43" spans="1:24" ht="15" customHeight="1" x14ac:dyDescent="0.25">
      <c r="A43" t="str">
        <f>""</f>
        <v/>
      </c>
      <c r="B43" s="1"/>
      <c r="H43">
        <v>36.54</v>
      </c>
      <c r="J43" t="s">
        <v>19</v>
      </c>
      <c r="L43" s="1"/>
      <c r="N43" s="1"/>
      <c r="V43" t="str">
        <f>"16380"</f>
        <v>16380</v>
      </c>
      <c r="W43">
        <v>7.67</v>
      </c>
      <c r="X43">
        <v>0</v>
      </c>
    </row>
    <row r="44" spans="1:24" ht="15" customHeight="1" x14ac:dyDescent="0.25">
      <c r="A44" t="str">
        <f>""</f>
        <v/>
      </c>
      <c r="B44" s="1"/>
      <c r="H44">
        <v>1.23</v>
      </c>
      <c r="J44" t="s">
        <v>19</v>
      </c>
      <c r="L44" s="1"/>
      <c r="N44" s="1"/>
      <c r="V44" t="str">
        <f>"16380"</f>
        <v>16380</v>
      </c>
      <c r="W44">
        <v>0.26</v>
      </c>
      <c r="X44">
        <v>0</v>
      </c>
    </row>
    <row r="45" spans="1:24" ht="15" customHeight="1" x14ac:dyDescent="0.25">
      <c r="A45" t="str">
        <f>""</f>
        <v/>
      </c>
      <c r="B45" s="1"/>
      <c r="H45">
        <v>55.16</v>
      </c>
      <c r="J45" t="s">
        <v>19</v>
      </c>
      <c r="L45" s="1"/>
      <c r="N45" s="1"/>
      <c r="V45" t="str">
        <f>"14200"</f>
        <v>14200</v>
      </c>
      <c r="W45">
        <v>9.3800000000000008</v>
      </c>
      <c r="X45">
        <v>0</v>
      </c>
    </row>
    <row r="46" spans="1:24" ht="15" customHeight="1" x14ac:dyDescent="0.25">
      <c r="A46" t="str">
        <f>""</f>
        <v/>
      </c>
      <c r="B46" s="1"/>
      <c r="H46">
        <v>120.29</v>
      </c>
      <c r="J46" t="s">
        <v>19</v>
      </c>
      <c r="L46" s="1"/>
      <c r="N46" s="1"/>
      <c r="V46" t="str">
        <f>"69200"</f>
        <v>69200</v>
      </c>
      <c r="W46">
        <v>32.479999999999997</v>
      </c>
      <c r="X46">
        <v>0</v>
      </c>
    </row>
    <row r="47" spans="1:24" ht="15" customHeight="1" x14ac:dyDescent="0.25">
      <c r="A47" t="str">
        <f>""</f>
        <v/>
      </c>
      <c r="B47" s="1"/>
      <c r="H47">
        <v>73</v>
      </c>
      <c r="J47" t="s">
        <v>19</v>
      </c>
      <c r="L47" s="1"/>
      <c r="N47" s="1"/>
      <c r="V47" t="str">
        <f>"13790"</f>
        <v>13790</v>
      </c>
      <c r="W47">
        <v>37.229999999999997</v>
      </c>
      <c r="X47">
        <v>0</v>
      </c>
    </row>
    <row r="48" spans="1:24" ht="15" customHeight="1" x14ac:dyDescent="0.25">
      <c r="A48" t="str">
        <f>""</f>
        <v/>
      </c>
      <c r="B48" s="1"/>
      <c r="H48">
        <v>151</v>
      </c>
      <c r="J48" t="s">
        <v>22</v>
      </c>
      <c r="L48" s="1"/>
      <c r="N48" s="1"/>
      <c r="V48" t="str">
        <f>"76600"</f>
        <v>76600</v>
      </c>
      <c r="W48">
        <v>0</v>
      </c>
      <c r="X48">
        <v>25.67</v>
      </c>
    </row>
    <row r="49" spans="1:24" ht="15" customHeight="1" x14ac:dyDescent="0.25">
      <c r="A49" t="str">
        <f>""</f>
        <v/>
      </c>
      <c r="B49" s="1"/>
      <c r="H49">
        <v>29.59</v>
      </c>
      <c r="J49" t="s">
        <v>22</v>
      </c>
      <c r="L49" s="1"/>
      <c r="N49" s="1"/>
      <c r="V49" t="str">
        <f>"92400"</f>
        <v>92400</v>
      </c>
      <c r="W49">
        <v>0</v>
      </c>
      <c r="X49">
        <v>0</v>
      </c>
    </row>
    <row r="50" spans="1:24" ht="15" customHeight="1" x14ac:dyDescent="0.25">
      <c r="A50" t="str">
        <f>""</f>
        <v/>
      </c>
      <c r="B50" s="1"/>
      <c r="H50">
        <v>425</v>
      </c>
      <c r="J50" t="s">
        <v>23</v>
      </c>
      <c r="L50" s="1"/>
      <c r="V50" t="str">
        <f>"74190"</f>
        <v>74190</v>
      </c>
      <c r="W50">
        <v>0</v>
      </c>
      <c r="X50">
        <v>0</v>
      </c>
    </row>
    <row r="51" spans="1:24" ht="15" customHeight="1" x14ac:dyDescent="0.25">
      <c r="A51" t="str">
        <f>""</f>
        <v/>
      </c>
      <c r="B51" s="1"/>
      <c r="H51">
        <v>180</v>
      </c>
      <c r="J51" t="s">
        <v>23</v>
      </c>
      <c r="L51" s="1"/>
      <c r="N51" s="1"/>
      <c r="V51" t="str">
        <f>"62320"</f>
        <v>62320</v>
      </c>
      <c r="W51">
        <v>0</v>
      </c>
      <c r="X51">
        <v>0</v>
      </c>
    </row>
    <row r="52" spans="1:24" ht="15" customHeight="1" x14ac:dyDescent="0.25">
      <c r="A52" t="str">
        <f>""</f>
        <v/>
      </c>
      <c r="B52" s="1"/>
      <c r="H52">
        <v>151</v>
      </c>
      <c r="J52" t="s">
        <v>23</v>
      </c>
      <c r="L52" s="1"/>
      <c r="N52" s="1"/>
      <c r="V52" t="str">
        <f>"06560"</f>
        <v>06560</v>
      </c>
      <c r="W52">
        <v>0</v>
      </c>
      <c r="X52">
        <v>0</v>
      </c>
    </row>
    <row r="53" spans="1:24" ht="15" customHeight="1" x14ac:dyDescent="0.25">
      <c r="A53" t="str">
        <f>""</f>
        <v/>
      </c>
      <c r="B53" s="1"/>
      <c r="H53">
        <v>151</v>
      </c>
      <c r="J53" t="s">
        <v>23</v>
      </c>
      <c r="L53" s="1"/>
      <c r="N53" s="1"/>
      <c r="V53" t="str">
        <f>"06560"</f>
        <v>06560</v>
      </c>
      <c r="W53">
        <v>0</v>
      </c>
      <c r="X53">
        <v>0</v>
      </c>
    </row>
    <row r="54" spans="1:24" ht="15" customHeight="1" x14ac:dyDescent="0.25">
      <c r="A54" t="str">
        <f>""</f>
        <v/>
      </c>
      <c r="B54" s="1"/>
      <c r="H54">
        <v>151</v>
      </c>
      <c r="J54" t="s">
        <v>22</v>
      </c>
      <c r="L54" s="1"/>
      <c r="N54" s="1"/>
      <c r="V54" t="str">
        <f>"06560"</f>
        <v>06560</v>
      </c>
      <c r="W54">
        <v>0</v>
      </c>
      <c r="X54">
        <v>0</v>
      </c>
    </row>
    <row r="55" spans="1:24" ht="15" customHeight="1" x14ac:dyDescent="0.25">
      <c r="A55" t="str">
        <f>""</f>
        <v/>
      </c>
      <c r="B55" s="1"/>
      <c r="H55">
        <v>151</v>
      </c>
      <c r="J55" t="s">
        <v>22</v>
      </c>
      <c r="L55" s="1"/>
      <c r="N55" s="1"/>
      <c r="V55" t="str">
        <f>"06560"</f>
        <v>06560</v>
      </c>
      <c r="W55">
        <v>0</v>
      </c>
      <c r="X55">
        <v>0</v>
      </c>
    </row>
    <row r="56" spans="1:24" ht="15" customHeight="1" x14ac:dyDescent="0.25">
      <c r="A56" t="str">
        <f>""</f>
        <v/>
      </c>
      <c r="B56" s="1"/>
      <c r="H56">
        <v>140</v>
      </c>
      <c r="J56" t="s">
        <v>23</v>
      </c>
      <c r="L56" s="1"/>
      <c r="N56" s="1"/>
      <c r="V56" t="str">
        <f>"38540"</f>
        <v>38540</v>
      </c>
      <c r="W56">
        <v>0</v>
      </c>
      <c r="X56">
        <v>0</v>
      </c>
    </row>
    <row r="57" spans="1:24" ht="15" customHeight="1" x14ac:dyDescent="0.25">
      <c r="A57" t="str">
        <f>""</f>
        <v/>
      </c>
      <c r="B57" s="1"/>
      <c r="H57">
        <v>151</v>
      </c>
      <c r="J57" t="s">
        <v>23</v>
      </c>
      <c r="L57" s="1"/>
      <c r="N57" s="1"/>
      <c r="V57" t="str">
        <f>"04200"</f>
        <v>04200</v>
      </c>
      <c r="W57">
        <v>0</v>
      </c>
      <c r="X57">
        <v>28.69</v>
      </c>
    </row>
    <row r="58" spans="1:24" ht="15" customHeight="1" x14ac:dyDescent="0.25">
      <c r="A58" t="str">
        <f>""</f>
        <v/>
      </c>
      <c r="B58" s="1"/>
      <c r="H58">
        <v>49.08</v>
      </c>
      <c r="J58" t="s">
        <v>19</v>
      </c>
      <c r="L58" s="1"/>
      <c r="N58" s="1"/>
      <c r="V58" t="str">
        <f>"22600"</f>
        <v>22600</v>
      </c>
      <c r="W58">
        <v>19.14</v>
      </c>
      <c r="X58">
        <v>0</v>
      </c>
    </row>
    <row r="59" spans="1:24" ht="15" customHeight="1" x14ac:dyDescent="0.25">
      <c r="A59" t="str">
        <f>""</f>
        <v/>
      </c>
      <c r="B59" s="1"/>
      <c r="H59">
        <v>109.06</v>
      </c>
      <c r="J59" t="s">
        <v>23</v>
      </c>
      <c r="L59" s="1"/>
      <c r="N59" s="1"/>
      <c r="V59" t="str">
        <f>"88100"</f>
        <v>88100</v>
      </c>
      <c r="W59">
        <v>0</v>
      </c>
      <c r="X59">
        <v>8.7200000000000006</v>
      </c>
    </row>
    <row r="60" spans="1:24" x14ac:dyDescent="0.25">
      <c r="A60" t="str">
        <f>""</f>
        <v/>
      </c>
      <c r="B60" s="1"/>
      <c r="H60">
        <v>122.09</v>
      </c>
      <c r="J60" t="s">
        <v>16</v>
      </c>
      <c r="L60" s="1"/>
      <c r="N60" s="1"/>
      <c r="V60" t="str">
        <f>"11100"</f>
        <v>11100</v>
      </c>
      <c r="W60">
        <v>0</v>
      </c>
      <c r="X60">
        <v>0</v>
      </c>
    </row>
    <row r="61" spans="1:24" ht="15" customHeight="1" x14ac:dyDescent="0.25">
      <c r="A61" t="str">
        <f>""</f>
        <v/>
      </c>
      <c r="B61" s="1"/>
      <c r="H61">
        <v>180</v>
      </c>
      <c r="J61" t="s">
        <v>22</v>
      </c>
      <c r="L61" s="1"/>
      <c r="V61" t="str">
        <f>"34500"</f>
        <v>34500</v>
      </c>
      <c r="W61">
        <v>0</v>
      </c>
      <c r="X61">
        <v>0</v>
      </c>
    </row>
    <row r="62" spans="1:24" ht="15" customHeight="1" x14ac:dyDescent="0.25">
      <c r="A62" t="str">
        <f>""</f>
        <v/>
      </c>
      <c r="B62" s="1"/>
      <c r="H62">
        <v>12</v>
      </c>
      <c r="J62" t="s">
        <v>20</v>
      </c>
      <c r="L62" s="1"/>
      <c r="N62" s="1"/>
      <c r="V62" t="str">
        <f>"92230"</f>
        <v>92230</v>
      </c>
      <c r="W62">
        <v>0</v>
      </c>
      <c r="X62">
        <v>0</v>
      </c>
    </row>
    <row r="63" spans="1:24" ht="15" customHeight="1" x14ac:dyDescent="0.25">
      <c r="A63" t="str">
        <f>""</f>
        <v/>
      </c>
      <c r="B63" s="1"/>
      <c r="H63">
        <v>84.5</v>
      </c>
      <c r="L63" s="1"/>
      <c r="N63" s="1"/>
      <c r="V63" t="str">
        <f>"77184"</f>
        <v>77184</v>
      </c>
      <c r="W63">
        <v>0</v>
      </c>
      <c r="X63">
        <v>0</v>
      </c>
    </row>
    <row r="64" spans="1:24" ht="15" customHeight="1" x14ac:dyDescent="0.25">
      <c r="A64" t="str">
        <f>""</f>
        <v/>
      </c>
      <c r="B64" s="1"/>
      <c r="H64">
        <v>31</v>
      </c>
      <c r="L64" s="1"/>
      <c r="N64" s="1"/>
      <c r="V64" t="str">
        <f>"77184"</f>
        <v>77184</v>
      </c>
      <c r="W64">
        <v>0</v>
      </c>
      <c r="X64">
        <v>0</v>
      </c>
    </row>
    <row r="65" spans="1:24" ht="15" customHeight="1" x14ac:dyDescent="0.25">
      <c r="A65" t="str">
        <f>""</f>
        <v/>
      </c>
      <c r="B65" s="1"/>
      <c r="H65">
        <v>35.659999999999997</v>
      </c>
      <c r="L65" s="1"/>
      <c r="N65" s="1"/>
      <c r="V65" t="str">
        <f>"77184"</f>
        <v>77184</v>
      </c>
      <c r="W65">
        <v>0</v>
      </c>
      <c r="X65">
        <v>0</v>
      </c>
    </row>
    <row r="66" spans="1:24" ht="15" customHeight="1" x14ac:dyDescent="0.25">
      <c r="A66" t="str">
        <f>""</f>
        <v/>
      </c>
      <c r="B66" s="1"/>
      <c r="H66">
        <v>201.98</v>
      </c>
      <c r="J66" t="s">
        <v>23</v>
      </c>
      <c r="L66" s="1"/>
      <c r="N66" s="1"/>
      <c r="V66" t="str">
        <f>"68000"</f>
        <v>68000</v>
      </c>
      <c r="W66">
        <v>0</v>
      </c>
      <c r="X66">
        <v>16.16</v>
      </c>
    </row>
    <row r="67" spans="1:24" ht="15" customHeight="1" x14ac:dyDescent="0.25">
      <c r="A67" t="str">
        <f>""</f>
        <v/>
      </c>
      <c r="B67" s="1"/>
      <c r="H67">
        <v>132</v>
      </c>
      <c r="J67" t="s">
        <v>22</v>
      </c>
      <c r="L67" s="1"/>
      <c r="N67" s="1"/>
      <c r="V67" t="str">
        <f>"50300"</f>
        <v>50300</v>
      </c>
      <c r="W67">
        <v>0</v>
      </c>
      <c r="X67">
        <v>22.44</v>
      </c>
    </row>
    <row r="68" spans="1:24" ht="15" customHeight="1" x14ac:dyDescent="0.25">
      <c r="A68" t="str">
        <f>""</f>
        <v/>
      </c>
      <c r="B68" s="1"/>
      <c r="H68">
        <v>137.05000000000001</v>
      </c>
      <c r="J68" t="s">
        <v>22</v>
      </c>
      <c r="L68" s="1"/>
      <c r="N68" s="1"/>
      <c r="V68" t="str">
        <f>"13115"</f>
        <v>13115</v>
      </c>
      <c r="W68">
        <v>0</v>
      </c>
      <c r="X68">
        <v>26.04</v>
      </c>
    </row>
    <row r="69" spans="1:24" ht="15" customHeight="1" x14ac:dyDescent="0.25">
      <c r="A69" t="str">
        <f>""</f>
        <v/>
      </c>
      <c r="B69" s="1"/>
      <c r="H69">
        <v>137.05000000000001</v>
      </c>
      <c r="J69" t="s">
        <v>22</v>
      </c>
      <c r="L69" s="1"/>
      <c r="N69" s="1"/>
      <c r="V69" t="str">
        <f>"13115"</f>
        <v>13115</v>
      </c>
      <c r="W69">
        <v>0</v>
      </c>
      <c r="X69">
        <v>26.04</v>
      </c>
    </row>
    <row r="70" spans="1:24" ht="15" customHeight="1" x14ac:dyDescent="0.25">
      <c r="A70" t="str">
        <f>""</f>
        <v/>
      </c>
      <c r="B70" s="1"/>
      <c r="H70">
        <v>137.05000000000001</v>
      </c>
      <c r="J70" t="s">
        <v>22</v>
      </c>
      <c r="L70" s="1"/>
      <c r="N70" s="1"/>
      <c r="V70" t="str">
        <f>"13115"</f>
        <v>13115</v>
      </c>
      <c r="W70">
        <v>0</v>
      </c>
      <c r="X70">
        <v>26.04</v>
      </c>
    </row>
    <row r="71" spans="1:24" ht="15" customHeight="1" x14ac:dyDescent="0.25">
      <c r="A71" t="str">
        <f>""</f>
        <v/>
      </c>
      <c r="B71" s="1"/>
      <c r="H71">
        <v>142.78</v>
      </c>
      <c r="J71" t="s">
        <v>20</v>
      </c>
      <c r="L71" s="1"/>
      <c r="N71" s="1"/>
      <c r="V71" t="str">
        <f>"83260"</f>
        <v>83260</v>
      </c>
      <c r="W71">
        <v>42.83</v>
      </c>
      <c r="X71">
        <v>0</v>
      </c>
    </row>
    <row r="72" spans="1:24" ht="15" customHeight="1" x14ac:dyDescent="0.25">
      <c r="A72" t="str">
        <f>""</f>
        <v/>
      </c>
      <c r="B72" s="1"/>
      <c r="H72">
        <v>55.34</v>
      </c>
      <c r="J72" t="s">
        <v>20</v>
      </c>
      <c r="L72" s="1"/>
      <c r="N72" s="1"/>
      <c r="V72" t="str">
        <f>"78300"</f>
        <v>78300</v>
      </c>
      <c r="W72">
        <v>0</v>
      </c>
      <c r="X72">
        <v>0</v>
      </c>
    </row>
    <row r="73" spans="1:24" ht="15" customHeight="1" x14ac:dyDescent="0.25">
      <c r="A73" t="str">
        <f>""</f>
        <v/>
      </c>
      <c r="B73" s="1"/>
      <c r="H73">
        <v>140</v>
      </c>
      <c r="J73" t="s">
        <v>22</v>
      </c>
      <c r="L73" s="1"/>
      <c r="N73" s="1"/>
      <c r="V73" t="str">
        <f>"56520"</f>
        <v>56520</v>
      </c>
      <c r="W73">
        <v>0</v>
      </c>
      <c r="X73">
        <v>0</v>
      </c>
    </row>
    <row r="74" spans="1:24" ht="15" customHeight="1" x14ac:dyDescent="0.25">
      <c r="A74" t="str">
        <f>""</f>
        <v/>
      </c>
      <c r="B74" s="1"/>
      <c r="H74">
        <v>55.16</v>
      </c>
      <c r="J74" t="s">
        <v>19</v>
      </c>
      <c r="L74" s="1"/>
      <c r="N74" s="1"/>
      <c r="V74" t="str">
        <f>"87000"</f>
        <v>87000</v>
      </c>
      <c r="W74">
        <v>16</v>
      </c>
      <c r="X74">
        <v>0</v>
      </c>
    </row>
    <row r="75" spans="1:24" ht="15" customHeight="1" x14ac:dyDescent="0.25">
      <c r="A75" t="str">
        <f>""</f>
        <v/>
      </c>
      <c r="B75" s="1"/>
      <c r="H75">
        <v>55.16</v>
      </c>
      <c r="J75" t="s">
        <v>19</v>
      </c>
      <c r="L75" s="1"/>
      <c r="N75" s="1"/>
      <c r="V75" t="str">
        <f>"73200"</f>
        <v>73200</v>
      </c>
      <c r="W75">
        <v>14.89</v>
      </c>
      <c r="X75">
        <v>0</v>
      </c>
    </row>
    <row r="76" spans="1:24" ht="15" customHeight="1" x14ac:dyDescent="0.25">
      <c r="A76" t="str">
        <f>""</f>
        <v/>
      </c>
      <c r="B76" s="1"/>
      <c r="H76">
        <v>20.23</v>
      </c>
      <c r="J76" t="s">
        <v>19</v>
      </c>
      <c r="L76" s="1"/>
      <c r="N76" s="1"/>
      <c r="V76" t="str">
        <f>"75018"</f>
        <v>75018</v>
      </c>
      <c r="W76">
        <v>0</v>
      </c>
      <c r="X76">
        <v>0</v>
      </c>
    </row>
    <row r="77" spans="1:24" ht="15" customHeight="1" x14ac:dyDescent="0.25">
      <c r="A77" t="str">
        <f>""</f>
        <v/>
      </c>
      <c r="B77" s="1"/>
      <c r="H77">
        <v>20.23</v>
      </c>
      <c r="J77" t="s">
        <v>19</v>
      </c>
      <c r="L77" s="1"/>
      <c r="N77" s="1"/>
      <c r="V77" t="str">
        <f>"75018"</f>
        <v>75018</v>
      </c>
      <c r="W77">
        <v>0</v>
      </c>
      <c r="X77">
        <v>0</v>
      </c>
    </row>
    <row r="78" spans="1:24" ht="15" customHeight="1" x14ac:dyDescent="0.25">
      <c r="A78" t="str">
        <f>""</f>
        <v/>
      </c>
      <c r="B78" s="1"/>
      <c r="H78">
        <v>114.65</v>
      </c>
      <c r="J78" t="s">
        <v>19</v>
      </c>
      <c r="L78" s="1"/>
      <c r="N78" s="1"/>
      <c r="V78" t="str">
        <f>"42160"</f>
        <v>42160</v>
      </c>
      <c r="W78">
        <v>30.96</v>
      </c>
      <c r="X78">
        <v>0</v>
      </c>
    </row>
    <row r="79" spans="1:24" ht="15" customHeight="1" x14ac:dyDescent="0.25">
      <c r="A79" t="str">
        <f>""</f>
        <v/>
      </c>
      <c r="B79" s="1"/>
      <c r="H79">
        <v>24.2</v>
      </c>
      <c r="J79" t="s">
        <v>20</v>
      </c>
      <c r="L79" s="1"/>
      <c r="N79" s="1"/>
      <c r="V79" t="str">
        <f>"62200"</f>
        <v>62200</v>
      </c>
      <c r="W79">
        <v>4.5999999999999996</v>
      </c>
      <c r="X79">
        <v>0</v>
      </c>
    </row>
    <row r="80" spans="1:24" ht="15" customHeight="1" x14ac:dyDescent="0.25">
      <c r="A80" t="str">
        <f>""</f>
        <v/>
      </c>
      <c r="B80" s="1"/>
      <c r="H80">
        <v>165</v>
      </c>
      <c r="J80" t="s">
        <v>23</v>
      </c>
      <c r="L80" s="1"/>
      <c r="N80" s="1"/>
      <c r="V80" t="str">
        <f>"73200"</f>
        <v>73200</v>
      </c>
      <c r="W80">
        <v>0</v>
      </c>
      <c r="X80">
        <v>0</v>
      </c>
    </row>
    <row r="81" spans="1:24" ht="15" customHeight="1" x14ac:dyDescent="0.25">
      <c r="A81" t="str">
        <f>""</f>
        <v/>
      </c>
      <c r="B81" s="1"/>
      <c r="H81">
        <v>69.34</v>
      </c>
      <c r="J81" t="s">
        <v>19</v>
      </c>
      <c r="L81" s="1"/>
      <c r="N81" s="1"/>
      <c r="V81" t="str">
        <f>"51320"</f>
        <v>51320</v>
      </c>
      <c r="W81">
        <v>17.34</v>
      </c>
      <c r="X81">
        <v>0</v>
      </c>
    </row>
    <row r="82" spans="1:24" ht="15" customHeight="1" x14ac:dyDescent="0.25">
      <c r="A82" t="str">
        <f>""</f>
        <v/>
      </c>
      <c r="B82" s="1"/>
      <c r="H82">
        <v>55.34</v>
      </c>
      <c r="J82" t="s">
        <v>20</v>
      </c>
      <c r="L82" s="1"/>
      <c r="N82" s="1"/>
      <c r="V82" t="str">
        <f>"56650"</f>
        <v>56650</v>
      </c>
      <c r="W82">
        <v>14.94</v>
      </c>
      <c r="X82">
        <v>0</v>
      </c>
    </row>
    <row r="83" spans="1:24" ht="15" customHeight="1" x14ac:dyDescent="0.25">
      <c r="A83" t="str">
        <f>""</f>
        <v/>
      </c>
      <c r="B83" s="1"/>
      <c r="H83">
        <v>208.21</v>
      </c>
      <c r="J83" t="s">
        <v>19</v>
      </c>
      <c r="L83" s="1"/>
      <c r="N83" s="1"/>
      <c r="V83" t="str">
        <f>"92000"</f>
        <v>92000</v>
      </c>
      <c r="W83">
        <v>0</v>
      </c>
      <c r="X83">
        <v>0</v>
      </c>
    </row>
    <row r="84" spans="1:24" ht="15" customHeight="1" x14ac:dyDescent="0.25">
      <c r="A84" t="str">
        <f>""</f>
        <v/>
      </c>
      <c r="B84" s="1"/>
      <c r="H84">
        <v>43.44</v>
      </c>
      <c r="J84" t="s">
        <v>20</v>
      </c>
      <c r="L84" s="1"/>
      <c r="N84" s="1"/>
      <c r="V84" t="str">
        <f>"68390"</f>
        <v>68390</v>
      </c>
      <c r="W84">
        <v>12.6</v>
      </c>
      <c r="X84">
        <v>0</v>
      </c>
    </row>
    <row r="85" spans="1:24" ht="15" customHeight="1" x14ac:dyDescent="0.25">
      <c r="A85" t="str">
        <f>""</f>
        <v/>
      </c>
      <c r="B85" s="1"/>
      <c r="H85">
        <v>2.19</v>
      </c>
      <c r="J85" t="s">
        <v>20</v>
      </c>
      <c r="L85" s="1"/>
      <c r="N85" s="1"/>
      <c r="V85" t="str">
        <f>"44000"</f>
        <v>44000</v>
      </c>
      <c r="W85">
        <v>0.59</v>
      </c>
      <c r="X85">
        <v>0</v>
      </c>
    </row>
    <row r="86" spans="1:24" ht="15" customHeight="1" x14ac:dyDescent="0.25">
      <c r="A86" t="str">
        <f>""</f>
        <v/>
      </c>
      <c r="B86" s="1"/>
      <c r="H86">
        <v>180</v>
      </c>
      <c r="J86" t="s">
        <v>22</v>
      </c>
      <c r="L86" s="1"/>
      <c r="N86" s="1"/>
      <c r="V86" t="str">
        <f>"77183"</f>
        <v>77183</v>
      </c>
      <c r="W86">
        <v>0</v>
      </c>
      <c r="X86">
        <v>0</v>
      </c>
    </row>
    <row r="87" spans="1:24" ht="15" customHeight="1" x14ac:dyDescent="0.25">
      <c r="A87" t="str">
        <f>""</f>
        <v/>
      </c>
      <c r="B87" s="1"/>
      <c r="H87">
        <v>70</v>
      </c>
      <c r="J87" t="s">
        <v>23</v>
      </c>
      <c r="L87" s="1"/>
      <c r="N87" s="1"/>
      <c r="V87" t="str">
        <f>"14100"</f>
        <v>14100</v>
      </c>
      <c r="W87">
        <v>0</v>
      </c>
      <c r="X87">
        <v>11.9</v>
      </c>
    </row>
    <row r="88" spans="1:24" ht="15" customHeight="1" x14ac:dyDescent="0.25">
      <c r="A88" t="str">
        <f>""</f>
        <v/>
      </c>
      <c r="B88" s="1"/>
      <c r="H88">
        <v>90</v>
      </c>
      <c r="J88" t="s">
        <v>23</v>
      </c>
      <c r="L88" s="1"/>
      <c r="N88" s="1"/>
      <c r="V88" t="str">
        <f>"31770"</f>
        <v>31770</v>
      </c>
      <c r="W88">
        <v>0</v>
      </c>
      <c r="X88">
        <v>19.8</v>
      </c>
    </row>
    <row r="89" spans="1:24" ht="15" customHeight="1" x14ac:dyDescent="0.25">
      <c r="A89" t="str">
        <f>""</f>
        <v/>
      </c>
      <c r="B89" s="1"/>
      <c r="H89">
        <v>140</v>
      </c>
      <c r="J89" t="s">
        <v>22</v>
      </c>
      <c r="L89" s="1"/>
      <c r="N89" s="1"/>
      <c r="V89" t="str">
        <f>"34400"</f>
        <v>34400</v>
      </c>
      <c r="W89">
        <v>0</v>
      </c>
      <c r="X89">
        <v>39.200000000000003</v>
      </c>
    </row>
    <row r="90" spans="1:24" ht="15" customHeight="1" x14ac:dyDescent="0.25">
      <c r="A90" t="str">
        <f>""</f>
        <v/>
      </c>
      <c r="B90" s="1"/>
      <c r="H90">
        <v>69.34</v>
      </c>
      <c r="J90" t="s">
        <v>19</v>
      </c>
      <c r="L90" s="1"/>
      <c r="N90" s="1"/>
      <c r="V90" t="str">
        <f>"67300"</f>
        <v>67300</v>
      </c>
      <c r="W90">
        <v>20.11</v>
      </c>
      <c r="X90">
        <v>0</v>
      </c>
    </row>
    <row r="91" spans="1:24" ht="15" customHeight="1" x14ac:dyDescent="0.25">
      <c r="A91" t="str">
        <f>""</f>
        <v/>
      </c>
      <c r="B91" s="1"/>
      <c r="H91">
        <v>2.1800000000000002</v>
      </c>
      <c r="J91" t="s">
        <v>20</v>
      </c>
      <c r="L91" s="1"/>
      <c r="N91" s="1"/>
      <c r="V91" t="str">
        <f>"14150"</f>
        <v>14150</v>
      </c>
      <c r="W91">
        <v>0.37</v>
      </c>
      <c r="X91">
        <v>0</v>
      </c>
    </row>
    <row r="92" spans="1:24" ht="15" customHeight="1" x14ac:dyDescent="0.25">
      <c r="A92" t="str">
        <f>""</f>
        <v/>
      </c>
      <c r="B92" s="1"/>
      <c r="H92">
        <v>12</v>
      </c>
      <c r="J92" t="s">
        <v>19</v>
      </c>
      <c r="L92" s="1"/>
      <c r="N92" s="1"/>
      <c r="V92" t="str">
        <f>"57000"</f>
        <v>57000</v>
      </c>
      <c r="W92">
        <v>3</v>
      </c>
      <c r="X92">
        <v>0</v>
      </c>
    </row>
    <row r="93" spans="1:24" ht="15" customHeight="1" x14ac:dyDescent="0.25">
      <c r="A93" t="str">
        <f>""</f>
        <v/>
      </c>
      <c r="B93" s="1"/>
      <c r="H93">
        <v>250</v>
      </c>
      <c r="J93" t="s">
        <v>22</v>
      </c>
      <c r="L93" s="1"/>
      <c r="N93" s="1"/>
      <c r="V93" t="str">
        <f>"37600"</f>
        <v>37600</v>
      </c>
      <c r="W93">
        <v>0</v>
      </c>
      <c r="X93">
        <v>30</v>
      </c>
    </row>
    <row r="94" spans="1:24" ht="15" customHeight="1" x14ac:dyDescent="0.25">
      <c r="A94" t="str">
        <f>""</f>
        <v/>
      </c>
      <c r="B94" s="1"/>
      <c r="H94">
        <v>0.1</v>
      </c>
      <c r="J94" t="s">
        <v>20</v>
      </c>
      <c r="L94" s="1"/>
      <c r="N94" s="1"/>
      <c r="V94" t="str">
        <f>"29600"</f>
        <v>29600</v>
      </c>
      <c r="W94">
        <v>0.04</v>
      </c>
      <c r="X94">
        <v>0</v>
      </c>
    </row>
    <row r="95" spans="1:24" ht="15" customHeight="1" x14ac:dyDescent="0.25">
      <c r="A95" t="str">
        <f>""</f>
        <v/>
      </c>
      <c r="B95" s="1"/>
      <c r="H95">
        <v>30</v>
      </c>
      <c r="J95" t="s">
        <v>23</v>
      </c>
      <c r="L95" s="1"/>
      <c r="N95" s="1"/>
      <c r="V95" t="str">
        <f>"72470"</f>
        <v>72470</v>
      </c>
      <c r="W95">
        <v>0</v>
      </c>
      <c r="X95">
        <v>3.6</v>
      </c>
    </row>
    <row r="96" spans="1:24" ht="15" customHeight="1" x14ac:dyDescent="0.25">
      <c r="A96" t="str">
        <f>""</f>
        <v/>
      </c>
      <c r="B96" s="1"/>
      <c r="H96">
        <v>186.98</v>
      </c>
      <c r="J96" t="s">
        <v>20</v>
      </c>
      <c r="L96" s="1"/>
      <c r="N96" s="1"/>
      <c r="V96" t="str">
        <f>"75012"</f>
        <v>75012</v>
      </c>
      <c r="W96">
        <v>0</v>
      </c>
      <c r="X96">
        <v>0</v>
      </c>
    </row>
    <row r="97" spans="1:24" ht="15" customHeight="1" x14ac:dyDescent="0.25">
      <c r="A97" t="str">
        <f>""</f>
        <v/>
      </c>
      <c r="B97" s="1"/>
      <c r="H97">
        <v>31.6</v>
      </c>
      <c r="L97" s="1"/>
      <c r="N97" s="1"/>
      <c r="V97" t="str">
        <f t="shared" ref="V97:V103" si="0">"77184"</f>
        <v>77184</v>
      </c>
      <c r="W97">
        <v>0</v>
      </c>
      <c r="X97">
        <v>0</v>
      </c>
    </row>
    <row r="98" spans="1:24" ht="15" customHeight="1" x14ac:dyDescent="0.25">
      <c r="A98" t="str">
        <f>""</f>
        <v/>
      </c>
      <c r="B98" s="1"/>
      <c r="H98">
        <v>25</v>
      </c>
      <c r="L98" s="1"/>
      <c r="N98" s="1"/>
      <c r="V98" t="str">
        <f t="shared" si="0"/>
        <v>77184</v>
      </c>
      <c r="W98">
        <v>0</v>
      </c>
      <c r="X98">
        <v>0</v>
      </c>
    </row>
    <row r="99" spans="1:24" ht="15" customHeight="1" x14ac:dyDescent="0.25">
      <c r="A99" t="str">
        <f>""</f>
        <v/>
      </c>
      <c r="B99" s="1"/>
      <c r="H99">
        <v>37.19</v>
      </c>
      <c r="L99" s="1"/>
      <c r="N99" s="1"/>
      <c r="V99" t="str">
        <f t="shared" si="0"/>
        <v>77184</v>
      </c>
      <c r="W99">
        <v>0</v>
      </c>
      <c r="X99">
        <v>0</v>
      </c>
    </row>
    <row r="100" spans="1:24" ht="15" customHeight="1" x14ac:dyDescent="0.25">
      <c r="A100" t="str">
        <f>""</f>
        <v/>
      </c>
      <c r="B100" s="1"/>
      <c r="H100">
        <v>105</v>
      </c>
      <c r="L100" s="1"/>
      <c r="N100" s="1"/>
      <c r="V100" t="str">
        <f t="shared" si="0"/>
        <v>77184</v>
      </c>
      <c r="W100">
        <v>0</v>
      </c>
      <c r="X100">
        <v>0</v>
      </c>
    </row>
    <row r="101" spans="1:24" ht="15" customHeight="1" x14ac:dyDescent="0.25">
      <c r="A101" t="str">
        <f>""</f>
        <v/>
      </c>
      <c r="B101" s="1"/>
      <c r="H101">
        <v>125</v>
      </c>
      <c r="L101" s="1"/>
      <c r="N101" s="1"/>
      <c r="V101" t="str">
        <f t="shared" si="0"/>
        <v>77184</v>
      </c>
      <c r="W101">
        <v>0</v>
      </c>
      <c r="X101">
        <v>0</v>
      </c>
    </row>
    <row r="102" spans="1:24" ht="15" customHeight="1" x14ac:dyDescent="0.25">
      <c r="A102" t="str">
        <f>""</f>
        <v/>
      </c>
      <c r="B102" s="1"/>
      <c r="H102">
        <v>68</v>
      </c>
      <c r="L102" s="1"/>
      <c r="N102" s="1"/>
      <c r="V102" t="str">
        <f t="shared" si="0"/>
        <v>77184</v>
      </c>
      <c r="W102">
        <v>0</v>
      </c>
      <c r="X102">
        <v>0</v>
      </c>
    </row>
    <row r="103" spans="1:24" ht="15" customHeight="1" x14ac:dyDescent="0.25">
      <c r="A103" t="str">
        <f>""</f>
        <v/>
      </c>
      <c r="B103" s="1"/>
      <c r="H103">
        <v>68</v>
      </c>
      <c r="L103" s="1"/>
      <c r="N103" s="1"/>
      <c r="V103" t="str">
        <f t="shared" si="0"/>
        <v>77184</v>
      </c>
      <c r="W103">
        <v>0</v>
      </c>
      <c r="X103">
        <v>0</v>
      </c>
    </row>
    <row r="104" spans="1:24" ht="15" customHeight="1" x14ac:dyDescent="0.25">
      <c r="A104" t="str">
        <f>""</f>
        <v/>
      </c>
      <c r="B104" s="1"/>
      <c r="H104">
        <v>173.01</v>
      </c>
      <c r="J104" t="s">
        <v>20</v>
      </c>
      <c r="L104" s="1"/>
      <c r="N104" s="1"/>
      <c r="V104" t="str">
        <f>"59272"</f>
        <v>59272</v>
      </c>
      <c r="W104">
        <v>32.869999999999997</v>
      </c>
      <c r="X104">
        <v>0</v>
      </c>
    </row>
    <row r="105" spans="1:24" ht="15" customHeight="1" x14ac:dyDescent="0.25">
      <c r="A105" t="str">
        <f>""</f>
        <v/>
      </c>
      <c r="B105" s="1"/>
      <c r="H105">
        <v>84.5</v>
      </c>
      <c r="L105" s="1"/>
      <c r="N105" s="1"/>
      <c r="V105" t="str">
        <f>"77184"</f>
        <v>77184</v>
      </c>
      <c r="W105">
        <v>0</v>
      </c>
      <c r="X105">
        <v>0</v>
      </c>
    </row>
    <row r="106" spans="1:24" ht="15" customHeight="1" x14ac:dyDescent="0.25">
      <c r="A106" t="str">
        <f>""</f>
        <v/>
      </c>
      <c r="B106" s="1"/>
      <c r="H106">
        <v>70.36</v>
      </c>
      <c r="L106" s="1"/>
      <c r="N106" s="1"/>
      <c r="V106" t="str">
        <f>"77184"</f>
        <v>77184</v>
      </c>
      <c r="W106">
        <v>0</v>
      </c>
      <c r="X106">
        <v>0</v>
      </c>
    </row>
    <row r="107" spans="1:24" ht="15" customHeight="1" x14ac:dyDescent="0.25">
      <c r="A107" t="str">
        <f>""</f>
        <v/>
      </c>
      <c r="B107" s="1"/>
      <c r="H107">
        <v>156</v>
      </c>
      <c r="L107" s="1"/>
      <c r="N107" s="1"/>
      <c r="V107" t="str">
        <f>"77184"</f>
        <v>77184</v>
      </c>
      <c r="W107">
        <v>0</v>
      </c>
      <c r="X107">
        <v>0</v>
      </c>
    </row>
    <row r="108" spans="1:24" ht="15" customHeight="1" x14ac:dyDescent="0.25">
      <c r="A108" t="str">
        <f>""</f>
        <v/>
      </c>
      <c r="B108" s="1"/>
      <c r="H108">
        <v>171</v>
      </c>
      <c r="L108" s="1"/>
      <c r="N108" s="1"/>
      <c r="V108" t="str">
        <f>"77184"</f>
        <v>77184</v>
      </c>
      <c r="W108">
        <v>0</v>
      </c>
      <c r="X108">
        <v>0</v>
      </c>
    </row>
    <row r="109" spans="1:24" ht="15" customHeight="1" x14ac:dyDescent="0.25">
      <c r="A109" t="str">
        <f>""</f>
        <v/>
      </c>
      <c r="B109" s="1"/>
      <c r="H109">
        <v>18.350000000000001</v>
      </c>
      <c r="J109" t="s">
        <v>19</v>
      </c>
      <c r="L109" s="1"/>
      <c r="N109" s="1"/>
      <c r="V109" t="str">
        <f>"14000"</f>
        <v>14000</v>
      </c>
      <c r="W109">
        <v>3.12</v>
      </c>
      <c r="X109">
        <v>0</v>
      </c>
    </row>
    <row r="110" spans="1:24" ht="15" customHeight="1" x14ac:dyDescent="0.25">
      <c r="A110" t="str">
        <f>""</f>
        <v/>
      </c>
      <c r="B110" s="1"/>
      <c r="H110">
        <v>108.01</v>
      </c>
      <c r="J110" t="s">
        <v>20</v>
      </c>
      <c r="L110" s="1"/>
      <c r="N110" s="1"/>
      <c r="V110" t="str">
        <f>"62138"</f>
        <v>62138</v>
      </c>
      <c r="W110">
        <v>20.52</v>
      </c>
      <c r="X110">
        <v>0</v>
      </c>
    </row>
    <row r="111" spans="1:24" ht="15" customHeight="1" x14ac:dyDescent="0.25">
      <c r="A111" t="str">
        <f>""</f>
        <v/>
      </c>
      <c r="B111" s="1"/>
      <c r="H111">
        <v>47.93</v>
      </c>
      <c r="J111" t="s">
        <v>20</v>
      </c>
      <c r="L111" s="1"/>
      <c r="N111" s="1"/>
      <c r="V111" t="str">
        <f>"62138"</f>
        <v>62138</v>
      </c>
      <c r="W111">
        <v>9.11</v>
      </c>
      <c r="X111">
        <v>0</v>
      </c>
    </row>
    <row r="112" spans="1:24" ht="15" customHeight="1" x14ac:dyDescent="0.25">
      <c r="A112" t="str">
        <f>""</f>
        <v/>
      </c>
      <c r="B112" s="1"/>
      <c r="H112">
        <v>70</v>
      </c>
      <c r="J112" t="s">
        <v>23</v>
      </c>
      <c r="L112" s="1"/>
      <c r="N112" s="1"/>
      <c r="V112" t="str">
        <f>"27930"</f>
        <v>27930</v>
      </c>
      <c r="W112">
        <v>0</v>
      </c>
      <c r="X112">
        <v>11.9</v>
      </c>
    </row>
    <row r="113" spans="1:24" ht="15" customHeight="1" x14ac:dyDescent="0.25">
      <c r="A113" t="str">
        <f>""</f>
        <v/>
      </c>
      <c r="B113" s="1"/>
      <c r="H113">
        <v>151</v>
      </c>
      <c r="J113" t="s">
        <v>23</v>
      </c>
      <c r="L113" s="1"/>
      <c r="N113" s="1"/>
      <c r="V113" t="str">
        <f>"94700"</f>
        <v>94700</v>
      </c>
      <c r="W113">
        <v>0</v>
      </c>
      <c r="X113">
        <v>0</v>
      </c>
    </row>
    <row r="114" spans="1:24" ht="15" customHeight="1" x14ac:dyDescent="0.25">
      <c r="A114" t="str">
        <f>""</f>
        <v/>
      </c>
      <c r="B114" s="1"/>
      <c r="H114">
        <v>140</v>
      </c>
      <c r="J114" t="s">
        <v>23</v>
      </c>
      <c r="L114" s="1"/>
      <c r="N114" s="1"/>
      <c r="V114" t="str">
        <f>"72000"</f>
        <v>72000</v>
      </c>
      <c r="W114">
        <v>0</v>
      </c>
      <c r="X114">
        <v>16.8</v>
      </c>
    </row>
    <row r="115" spans="1:24" ht="15" customHeight="1" x14ac:dyDescent="0.25">
      <c r="A115" t="str">
        <f>""</f>
        <v/>
      </c>
      <c r="B115" s="1"/>
      <c r="H115">
        <v>151</v>
      </c>
      <c r="J115" t="s">
        <v>23</v>
      </c>
      <c r="L115" s="1"/>
      <c r="N115" s="1"/>
      <c r="V115" t="str">
        <f>"38100"</f>
        <v>38100</v>
      </c>
      <c r="W115">
        <v>0</v>
      </c>
      <c r="X115">
        <v>0</v>
      </c>
    </row>
    <row r="116" spans="1:24" ht="15" customHeight="1" x14ac:dyDescent="0.25">
      <c r="A116" t="str">
        <f>""</f>
        <v/>
      </c>
      <c r="B116" s="1"/>
      <c r="H116">
        <v>147</v>
      </c>
      <c r="L116" s="1"/>
      <c r="N116" s="1"/>
      <c r="V116" t="str">
        <f t="shared" ref="V116:V125" si="1">"77184"</f>
        <v>77184</v>
      </c>
      <c r="W116">
        <v>0</v>
      </c>
      <c r="X116">
        <v>0</v>
      </c>
    </row>
    <row r="117" spans="1:24" ht="15" customHeight="1" x14ac:dyDescent="0.25">
      <c r="A117" t="str">
        <f>""</f>
        <v/>
      </c>
      <c r="B117" s="1"/>
      <c r="H117">
        <v>84.5</v>
      </c>
      <c r="L117" s="1"/>
      <c r="N117" s="1"/>
      <c r="V117" t="str">
        <f t="shared" si="1"/>
        <v>77184</v>
      </c>
      <c r="W117">
        <v>0</v>
      </c>
      <c r="X117">
        <v>0</v>
      </c>
    </row>
    <row r="118" spans="1:24" ht="15" customHeight="1" x14ac:dyDescent="0.25">
      <c r="A118" t="str">
        <f>""</f>
        <v/>
      </c>
      <c r="B118" s="1"/>
      <c r="H118">
        <v>122.2</v>
      </c>
      <c r="L118" s="1"/>
      <c r="N118" s="1"/>
      <c r="V118" t="str">
        <f t="shared" si="1"/>
        <v>77184</v>
      </c>
      <c r="W118">
        <v>0</v>
      </c>
      <c r="X118">
        <v>0</v>
      </c>
    </row>
    <row r="119" spans="1:24" ht="15" customHeight="1" x14ac:dyDescent="0.25">
      <c r="A119" t="str">
        <f>""</f>
        <v/>
      </c>
      <c r="B119" s="1"/>
      <c r="H119">
        <v>69</v>
      </c>
      <c r="L119" s="1"/>
      <c r="N119" s="1"/>
      <c r="V119" t="str">
        <f t="shared" si="1"/>
        <v>77184</v>
      </c>
      <c r="W119">
        <v>0</v>
      </c>
      <c r="X119">
        <v>0</v>
      </c>
    </row>
    <row r="120" spans="1:24" ht="15" customHeight="1" x14ac:dyDescent="0.25">
      <c r="A120" t="str">
        <f>""</f>
        <v/>
      </c>
      <c r="B120" s="1"/>
      <c r="H120">
        <v>180</v>
      </c>
      <c r="L120" s="1"/>
      <c r="N120" s="1"/>
      <c r="V120" t="str">
        <f t="shared" si="1"/>
        <v>77184</v>
      </c>
      <c r="W120">
        <v>0</v>
      </c>
      <c r="X120">
        <v>0</v>
      </c>
    </row>
    <row r="121" spans="1:24" ht="15" customHeight="1" x14ac:dyDescent="0.25">
      <c r="A121" t="str">
        <f>""</f>
        <v/>
      </c>
      <c r="B121" s="1"/>
      <c r="H121">
        <v>125</v>
      </c>
      <c r="L121" s="1"/>
      <c r="N121" s="1"/>
      <c r="V121" t="str">
        <f t="shared" si="1"/>
        <v>77184</v>
      </c>
      <c r="W121">
        <v>0</v>
      </c>
      <c r="X121">
        <v>0</v>
      </c>
    </row>
    <row r="122" spans="1:24" ht="15" customHeight="1" x14ac:dyDescent="0.25">
      <c r="A122" t="str">
        <f>""</f>
        <v/>
      </c>
      <c r="B122" s="1"/>
      <c r="H122">
        <v>111</v>
      </c>
      <c r="L122" s="1"/>
      <c r="N122" s="1"/>
      <c r="V122" t="str">
        <f t="shared" si="1"/>
        <v>77184</v>
      </c>
      <c r="W122">
        <v>0</v>
      </c>
      <c r="X122">
        <v>0</v>
      </c>
    </row>
    <row r="123" spans="1:24" ht="15" customHeight="1" x14ac:dyDescent="0.25">
      <c r="A123" t="str">
        <f>""</f>
        <v/>
      </c>
      <c r="B123" s="1"/>
      <c r="H123">
        <v>183</v>
      </c>
      <c r="L123" s="1"/>
      <c r="N123" s="1"/>
      <c r="V123" t="str">
        <f t="shared" si="1"/>
        <v>77184</v>
      </c>
      <c r="W123">
        <v>0</v>
      </c>
      <c r="X123">
        <v>0</v>
      </c>
    </row>
    <row r="124" spans="1:24" ht="15" customHeight="1" x14ac:dyDescent="0.25">
      <c r="A124" t="str">
        <f>""</f>
        <v/>
      </c>
      <c r="B124" s="1"/>
      <c r="H124">
        <v>36.119999999999997</v>
      </c>
      <c r="L124" s="1"/>
      <c r="N124" s="1"/>
      <c r="V124" t="str">
        <f t="shared" si="1"/>
        <v>77184</v>
      </c>
      <c r="W124">
        <v>0</v>
      </c>
      <c r="X124">
        <v>0</v>
      </c>
    </row>
    <row r="125" spans="1:24" ht="15" customHeight="1" x14ac:dyDescent="0.25">
      <c r="A125" t="str">
        <f>""</f>
        <v/>
      </c>
      <c r="B125" s="1"/>
      <c r="H125">
        <v>31.6</v>
      </c>
      <c r="L125" s="1"/>
      <c r="N125" s="1"/>
      <c r="V125" t="str">
        <f t="shared" si="1"/>
        <v>77184</v>
      </c>
      <c r="W125">
        <v>0</v>
      </c>
      <c r="X125">
        <v>0</v>
      </c>
    </row>
    <row r="126" spans="1:24" x14ac:dyDescent="0.25">
      <c r="A126" t="str">
        <f>""</f>
        <v/>
      </c>
      <c r="B126" s="1"/>
      <c r="H126">
        <v>120</v>
      </c>
      <c r="J126" t="s">
        <v>15</v>
      </c>
      <c r="L126" s="1"/>
      <c r="N126" s="1"/>
      <c r="V126" t="str">
        <f>"82000"</f>
        <v>82000</v>
      </c>
      <c r="W126">
        <v>0</v>
      </c>
      <c r="X126">
        <v>34.799999999999997</v>
      </c>
    </row>
    <row r="127" spans="1:24" ht="15" customHeight="1" x14ac:dyDescent="0.25">
      <c r="A127" t="str">
        <f>""</f>
        <v/>
      </c>
      <c r="B127" s="1"/>
      <c r="H127">
        <v>92</v>
      </c>
      <c r="J127" t="s">
        <v>19</v>
      </c>
      <c r="L127" s="1"/>
      <c r="N127" s="1"/>
      <c r="V127" t="str">
        <f>"06190"</f>
        <v>06190</v>
      </c>
      <c r="W127">
        <v>27.6</v>
      </c>
      <c r="X127">
        <v>0</v>
      </c>
    </row>
    <row r="128" spans="1:24" ht="15" customHeight="1" x14ac:dyDescent="0.25">
      <c r="A128" t="str">
        <f>""</f>
        <v/>
      </c>
      <c r="B128" s="1"/>
      <c r="H128">
        <v>325</v>
      </c>
      <c r="J128" t="s">
        <v>19</v>
      </c>
      <c r="L128" s="1"/>
      <c r="N128" s="1"/>
      <c r="V128" t="str">
        <f>"06190"</f>
        <v>06190</v>
      </c>
      <c r="W128">
        <v>97.5</v>
      </c>
      <c r="X128">
        <v>0</v>
      </c>
    </row>
    <row r="129" spans="1:24" ht="15" customHeight="1" x14ac:dyDescent="0.25">
      <c r="A129" t="str">
        <f>""</f>
        <v/>
      </c>
      <c r="B129" s="1"/>
      <c r="J129" t="s">
        <v>23</v>
      </c>
      <c r="L129" s="1"/>
      <c r="N129" s="1"/>
      <c r="V129" t="str">
        <f>"06190"</f>
        <v>06190</v>
      </c>
      <c r="W129">
        <v>0</v>
      </c>
      <c r="X129">
        <v>0</v>
      </c>
    </row>
    <row r="130" spans="1:24" ht="15" customHeight="1" x14ac:dyDescent="0.25">
      <c r="A130" t="str">
        <f>""</f>
        <v/>
      </c>
      <c r="B130" s="1"/>
      <c r="H130">
        <v>135.80000000000001</v>
      </c>
      <c r="J130" t="s">
        <v>23</v>
      </c>
      <c r="L130" s="1"/>
      <c r="N130" s="1"/>
      <c r="V130" t="str">
        <f>"06600"</f>
        <v>06600</v>
      </c>
      <c r="W130">
        <v>0</v>
      </c>
      <c r="X130">
        <v>28.52</v>
      </c>
    </row>
    <row r="131" spans="1:24" ht="15" customHeight="1" x14ac:dyDescent="0.25">
      <c r="A131" t="str">
        <f>""</f>
        <v/>
      </c>
      <c r="B131" s="1"/>
      <c r="H131">
        <v>123.2</v>
      </c>
      <c r="J131" t="s">
        <v>23</v>
      </c>
      <c r="L131" s="1"/>
      <c r="N131" s="1"/>
      <c r="V131" t="str">
        <f>"08600"</f>
        <v>08600</v>
      </c>
      <c r="W131">
        <v>0</v>
      </c>
      <c r="X131">
        <v>0</v>
      </c>
    </row>
    <row r="132" spans="1:24" ht="15" customHeight="1" x14ac:dyDescent="0.25">
      <c r="A132" t="str">
        <f>""</f>
        <v/>
      </c>
      <c r="B132" s="1"/>
      <c r="H132">
        <v>164.3</v>
      </c>
      <c r="J132" t="s">
        <v>22</v>
      </c>
      <c r="L132" s="1"/>
      <c r="N132" s="1"/>
      <c r="V132" t="str">
        <f>"06100"</f>
        <v>06100</v>
      </c>
      <c r="W132">
        <v>0</v>
      </c>
      <c r="X132">
        <v>34.5</v>
      </c>
    </row>
    <row r="133" spans="1:24" ht="15" customHeight="1" x14ac:dyDescent="0.25">
      <c r="A133" t="str">
        <f>""</f>
        <v/>
      </c>
      <c r="B133" s="1"/>
      <c r="H133">
        <v>141.65</v>
      </c>
      <c r="J133" t="s">
        <v>20</v>
      </c>
      <c r="L133" s="1"/>
      <c r="N133" s="1"/>
      <c r="V133" t="str">
        <f>"60000"</f>
        <v>60000</v>
      </c>
      <c r="W133">
        <v>26.91</v>
      </c>
      <c r="X133">
        <v>0</v>
      </c>
    </row>
    <row r="134" spans="1:24" ht="15" customHeight="1" x14ac:dyDescent="0.25">
      <c r="A134" t="str">
        <f>""</f>
        <v/>
      </c>
      <c r="B134" s="1"/>
      <c r="H134">
        <v>97.48</v>
      </c>
      <c r="J134" t="s">
        <v>20</v>
      </c>
      <c r="L134" s="1"/>
      <c r="N134" s="1"/>
      <c r="V134" t="str">
        <f>"76290"</f>
        <v>76290</v>
      </c>
      <c r="W134">
        <v>16.57</v>
      </c>
      <c r="X134">
        <v>0</v>
      </c>
    </row>
    <row r="135" spans="1:24" ht="15" customHeight="1" x14ac:dyDescent="0.25">
      <c r="A135" t="str">
        <f>""</f>
        <v/>
      </c>
      <c r="B135" s="1"/>
      <c r="H135">
        <v>149.79</v>
      </c>
      <c r="J135" t="s">
        <v>19</v>
      </c>
      <c r="L135" s="1"/>
      <c r="N135" s="1"/>
      <c r="V135" t="str">
        <f>"34500"</f>
        <v>34500</v>
      </c>
      <c r="W135">
        <v>58.42</v>
      </c>
      <c r="X135">
        <v>0</v>
      </c>
    </row>
    <row r="136" spans="1:24" ht="15" customHeight="1" x14ac:dyDescent="0.25">
      <c r="A136" t="str">
        <f>""</f>
        <v/>
      </c>
      <c r="B136" s="1"/>
      <c r="H136">
        <v>138.12</v>
      </c>
      <c r="J136" t="s">
        <v>20</v>
      </c>
      <c r="L136" s="1"/>
      <c r="N136" s="1"/>
      <c r="V136" t="str">
        <f>"34070"</f>
        <v>34070</v>
      </c>
      <c r="W136">
        <v>53.87</v>
      </c>
      <c r="X136">
        <v>0</v>
      </c>
    </row>
    <row r="137" spans="1:24" ht="15" customHeight="1" x14ac:dyDescent="0.25">
      <c r="A137" t="str">
        <f>""</f>
        <v/>
      </c>
      <c r="B137" s="1"/>
      <c r="H137">
        <v>126.65</v>
      </c>
      <c r="J137" t="s">
        <v>20</v>
      </c>
      <c r="L137" s="1"/>
      <c r="N137" s="1"/>
      <c r="V137" t="str">
        <f>"67270"</f>
        <v>67270</v>
      </c>
      <c r="W137">
        <v>36.729999999999997</v>
      </c>
      <c r="X137">
        <v>0</v>
      </c>
    </row>
    <row r="138" spans="1:24" ht="15" customHeight="1" x14ac:dyDescent="0.25">
      <c r="A138" t="str">
        <f>""</f>
        <v/>
      </c>
      <c r="B138" s="1"/>
      <c r="H138">
        <v>59.53</v>
      </c>
      <c r="J138" t="s">
        <v>20</v>
      </c>
      <c r="L138" s="1"/>
      <c r="N138" s="1"/>
      <c r="V138" t="str">
        <f>"64121"</f>
        <v>64121</v>
      </c>
      <c r="W138">
        <v>12.5</v>
      </c>
      <c r="X138">
        <v>0</v>
      </c>
    </row>
    <row r="139" spans="1:24" ht="15" customHeight="1" x14ac:dyDescent="0.25">
      <c r="A139" t="str">
        <f>""</f>
        <v/>
      </c>
      <c r="B139" s="1"/>
      <c r="H139">
        <v>59.53</v>
      </c>
      <c r="J139" t="s">
        <v>20</v>
      </c>
      <c r="L139" s="1"/>
      <c r="N139" s="1"/>
      <c r="V139" t="str">
        <f>"64121"</f>
        <v>64121</v>
      </c>
      <c r="W139">
        <v>12.5</v>
      </c>
      <c r="X139">
        <v>0</v>
      </c>
    </row>
    <row r="140" spans="1:24" ht="15" customHeight="1" x14ac:dyDescent="0.25">
      <c r="A140" t="str">
        <f>""</f>
        <v/>
      </c>
      <c r="B140" s="1"/>
      <c r="H140">
        <v>40</v>
      </c>
      <c r="J140" t="s">
        <v>19</v>
      </c>
      <c r="L140" s="1"/>
      <c r="N140" s="1"/>
      <c r="V140" t="str">
        <f>"13006"</f>
        <v>13006</v>
      </c>
      <c r="W140">
        <v>11.6</v>
      </c>
      <c r="X140">
        <v>0</v>
      </c>
    </row>
    <row r="141" spans="1:24" ht="15" customHeight="1" x14ac:dyDescent="0.25">
      <c r="A141" t="str">
        <f>""</f>
        <v/>
      </c>
      <c r="B141" s="1"/>
      <c r="H141">
        <v>33.35</v>
      </c>
      <c r="J141" t="s">
        <v>20</v>
      </c>
      <c r="L141" s="1"/>
      <c r="N141" s="1"/>
      <c r="V141" t="str">
        <f>"89100"</f>
        <v>89100</v>
      </c>
      <c r="W141">
        <v>8</v>
      </c>
      <c r="X141">
        <v>0</v>
      </c>
    </row>
    <row r="142" spans="1:24" ht="15" customHeight="1" x14ac:dyDescent="0.25">
      <c r="A142" t="str">
        <f>""</f>
        <v/>
      </c>
      <c r="B142" s="1"/>
      <c r="H142">
        <v>143.44999999999999</v>
      </c>
      <c r="J142" t="s">
        <v>20</v>
      </c>
      <c r="L142" s="1"/>
      <c r="N142" s="1"/>
      <c r="V142" t="str">
        <f>"34500"</f>
        <v>34500</v>
      </c>
      <c r="W142">
        <v>55.95</v>
      </c>
      <c r="X142">
        <v>0</v>
      </c>
    </row>
    <row r="143" spans="1:24" ht="15" customHeight="1" x14ac:dyDescent="0.25">
      <c r="A143" t="str">
        <f>""</f>
        <v/>
      </c>
      <c r="B143" s="1"/>
      <c r="H143">
        <v>143.51</v>
      </c>
      <c r="J143" t="s">
        <v>19</v>
      </c>
      <c r="L143" s="1"/>
      <c r="N143" s="1"/>
      <c r="V143" t="str">
        <f>"34500"</f>
        <v>34500</v>
      </c>
      <c r="W143">
        <v>55.97</v>
      </c>
      <c r="X143">
        <v>0</v>
      </c>
    </row>
    <row r="144" spans="1:24" ht="15" customHeight="1" x14ac:dyDescent="0.25">
      <c r="A144" t="str">
        <f>""</f>
        <v/>
      </c>
      <c r="B144" s="1"/>
      <c r="H144">
        <v>107.6</v>
      </c>
      <c r="J144" t="s">
        <v>20</v>
      </c>
      <c r="L144" s="1"/>
      <c r="N144" s="1"/>
      <c r="V144" t="str">
        <f>"75014"</f>
        <v>75014</v>
      </c>
      <c r="W144">
        <v>0</v>
      </c>
      <c r="X144">
        <v>0</v>
      </c>
    </row>
    <row r="145" spans="1:24" ht="15" customHeight="1" x14ac:dyDescent="0.25">
      <c r="A145" t="str">
        <f>""</f>
        <v/>
      </c>
      <c r="B145" s="1"/>
      <c r="H145">
        <v>55.14</v>
      </c>
      <c r="J145" t="s">
        <v>19</v>
      </c>
      <c r="L145" s="1"/>
      <c r="N145" s="1"/>
      <c r="V145" t="str">
        <f>"67000"</f>
        <v>67000</v>
      </c>
      <c r="W145">
        <v>15.99</v>
      </c>
      <c r="X145">
        <v>0</v>
      </c>
    </row>
    <row r="146" spans="1:24" ht="15" customHeight="1" x14ac:dyDescent="0.25">
      <c r="A146" t="str">
        <f>""</f>
        <v/>
      </c>
      <c r="B146" s="1"/>
      <c r="H146">
        <v>53.38</v>
      </c>
      <c r="J146" t="s">
        <v>20</v>
      </c>
      <c r="L146" s="1"/>
      <c r="N146" s="1"/>
      <c r="V146" t="str">
        <f>"75014"</f>
        <v>75014</v>
      </c>
      <c r="W146">
        <v>0</v>
      </c>
      <c r="X146">
        <v>0</v>
      </c>
    </row>
    <row r="147" spans="1:24" ht="15" customHeight="1" x14ac:dyDescent="0.25">
      <c r="A147" t="str">
        <f>""</f>
        <v/>
      </c>
      <c r="B147" s="1"/>
      <c r="H147">
        <v>53.38</v>
      </c>
      <c r="J147" t="s">
        <v>19</v>
      </c>
      <c r="L147" s="1"/>
      <c r="N147" s="1"/>
      <c r="V147" t="str">
        <f>"75014"</f>
        <v>75014</v>
      </c>
      <c r="W147">
        <v>0</v>
      </c>
      <c r="X147">
        <v>0</v>
      </c>
    </row>
    <row r="148" spans="1:24" ht="15" customHeight="1" x14ac:dyDescent="0.25">
      <c r="A148" t="str">
        <f>""</f>
        <v/>
      </c>
      <c r="B148" s="1"/>
      <c r="H148">
        <v>53.38</v>
      </c>
      <c r="J148" t="s">
        <v>19</v>
      </c>
      <c r="L148" s="1"/>
      <c r="N148" s="1"/>
      <c r="V148" t="str">
        <f>"75014"</f>
        <v>75014</v>
      </c>
      <c r="W148">
        <v>0</v>
      </c>
      <c r="X148">
        <v>0</v>
      </c>
    </row>
    <row r="149" spans="1:24" ht="15" customHeight="1" x14ac:dyDescent="0.25">
      <c r="A149" t="str">
        <f>""</f>
        <v/>
      </c>
      <c r="B149" s="1"/>
      <c r="H149">
        <v>113</v>
      </c>
      <c r="L149" s="1"/>
      <c r="N149" s="1"/>
      <c r="V149" t="str">
        <f>"44240"</f>
        <v>44240</v>
      </c>
      <c r="W149">
        <v>0</v>
      </c>
      <c r="X149">
        <v>0</v>
      </c>
    </row>
    <row r="150" spans="1:24" ht="15" customHeight="1" x14ac:dyDescent="0.25">
      <c r="A150" t="str">
        <f>""</f>
        <v/>
      </c>
      <c r="B150" s="1"/>
      <c r="H150">
        <v>93</v>
      </c>
      <c r="L150" s="1"/>
      <c r="N150" s="1"/>
      <c r="V150" t="str">
        <f>"44240"</f>
        <v>44240</v>
      </c>
      <c r="W150">
        <v>0</v>
      </c>
      <c r="X150">
        <v>0</v>
      </c>
    </row>
    <row r="151" spans="1:24" ht="15" customHeight="1" x14ac:dyDescent="0.25">
      <c r="A151" t="str">
        <f>""</f>
        <v/>
      </c>
      <c r="B151" s="1"/>
      <c r="H151">
        <v>250</v>
      </c>
      <c r="J151" t="s">
        <v>23</v>
      </c>
      <c r="L151" s="1"/>
      <c r="N151" s="1"/>
      <c r="V151" t="str">
        <f>"62400"</f>
        <v>62400</v>
      </c>
      <c r="W151">
        <v>0</v>
      </c>
      <c r="X151">
        <v>0</v>
      </c>
    </row>
    <row r="152" spans="1:24" ht="15" customHeight="1" x14ac:dyDescent="0.25">
      <c r="A152" t="str">
        <f>""</f>
        <v/>
      </c>
      <c r="B152" s="1"/>
      <c r="H152">
        <v>1266.6300000000001</v>
      </c>
      <c r="J152" t="s">
        <v>23</v>
      </c>
      <c r="L152" s="1"/>
      <c r="N152" s="1"/>
      <c r="V152" t="str">
        <f>"69410"</f>
        <v>69410</v>
      </c>
      <c r="W152">
        <v>0</v>
      </c>
      <c r="X152">
        <v>341.99</v>
      </c>
    </row>
    <row r="153" spans="1:24" ht="15" customHeight="1" x14ac:dyDescent="0.25">
      <c r="A153" t="str">
        <f>""</f>
        <v/>
      </c>
      <c r="B153" s="1"/>
      <c r="H153">
        <v>151</v>
      </c>
      <c r="J153" t="s">
        <v>22</v>
      </c>
      <c r="L153" s="1"/>
      <c r="N153" s="1"/>
      <c r="V153" t="str">
        <f>"14000"</f>
        <v>14000</v>
      </c>
      <c r="W153">
        <v>0</v>
      </c>
      <c r="X153">
        <v>25.67</v>
      </c>
    </row>
    <row r="154" spans="1:24" ht="15" customHeight="1" x14ac:dyDescent="0.25">
      <c r="A154" t="str">
        <f>""</f>
        <v/>
      </c>
      <c r="B154" s="1"/>
      <c r="H154">
        <v>40</v>
      </c>
      <c r="J154" t="s">
        <v>23</v>
      </c>
      <c r="L154" s="1"/>
      <c r="N154" s="1"/>
      <c r="V154" t="str">
        <f>"14460"</f>
        <v>14460</v>
      </c>
      <c r="W154">
        <v>0</v>
      </c>
      <c r="X154">
        <v>6.8</v>
      </c>
    </row>
    <row r="155" spans="1:24" ht="15" customHeight="1" x14ac:dyDescent="0.25">
      <c r="A155" t="str">
        <f>""</f>
        <v/>
      </c>
      <c r="B155" s="1"/>
      <c r="H155">
        <v>40</v>
      </c>
      <c r="J155" t="s">
        <v>23</v>
      </c>
      <c r="L155" s="1"/>
      <c r="N155" s="1"/>
      <c r="V155" t="str">
        <f>"14790"</f>
        <v>14790</v>
      </c>
      <c r="W155">
        <v>0</v>
      </c>
      <c r="X155">
        <v>6.8</v>
      </c>
    </row>
    <row r="156" spans="1:24" ht="15" customHeight="1" x14ac:dyDescent="0.25">
      <c r="A156" t="str">
        <f>""</f>
        <v/>
      </c>
      <c r="B156" s="1"/>
      <c r="H156">
        <v>143.4</v>
      </c>
      <c r="J156" t="s">
        <v>22</v>
      </c>
      <c r="L156" s="1"/>
      <c r="V156" t="str">
        <f>"37400"</f>
        <v>37400</v>
      </c>
      <c r="W156">
        <v>0</v>
      </c>
      <c r="X156">
        <v>0</v>
      </c>
    </row>
    <row r="157" spans="1:24" x14ac:dyDescent="0.25">
      <c r="A157" t="str">
        <f>""</f>
        <v/>
      </c>
      <c r="B157" s="1"/>
      <c r="H157">
        <v>181</v>
      </c>
      <c r="J157" t="s">
        <v>15</v>
      </c>
      <c r="L157" s="1"/>
      <c r="N157" s="1"/>
      <c r="V157" t="str">
        <f>"44800"</f>
        <v>44800</v>
      </c>
      <c r="W157">
        <v>0</v>
      </c>
      <c r="X157">
        <v>0</v>
      </c>
    </row>
    <row r="158" spans="1:24" ht="15" customHeight="1" x14ac:dyDescent="0.25">
      <c r="A158" t="str">
        <f>""</f>
        <v/>
      </c>
      <c r="B158" s="1"/>
      <c r="H158">
        <v>19.649999999999999</v>
      </c>
      <c r="J158" t="s">
        <v>19</v>
      </c>
      <c r="L158" s="1"/>
      <c r="N158" s="1"/>
      <c r="V158" t="str">
        <f t="shared" ref="V158:V164" si="2">"75014"</f>
        <v>75014</v>
      </c>
      <c r="W158">
        <v>0</v>
      </c>
      <c r="X158">
        <v>0</v>
      </c>
    </row>
    <row r="159" spans="1:24" ht="15" customHeight="1" x14ac:dyDescent="0.25">
      <c r="A159" t="str">
        <f>""</f>
        <v/>
      </c>
      <c r="B159" s="1"/>
      <c r="H159">
        <v>19.649999999999999</v>
      </c>
      <c r="J159" t="s">
        <v>19</v>
      </c>
      <c r="L159" s="1"/>
      <c r="N159" s="1"/>
      <c r="V159" t="str">
        <f t="shared" si="2"/>
        <v>75014</v>
      </c>
      <c r="W159">
        <v>0</v>
      </c>
      <c r="X159">
        <v>0</v>
      </c>
    </row>
    <row r="160" spans="1:24" ht="15" customHeight="1" x14ac:dyDescent="0.25">
      <c r="A160" t="str">
        <f>""</f>
        <v/>
      </c>
      <c r="B160" s="1"/>
      <c r="H160">
        <v>19.649999999999999</v>
      </c>
      <c r="J160" t="s">
        <v>19</v>
      </c>
      <c r="L160" s="1"/>
      <c r="N160" s="1"/>
      <c r="V160" t="str">
        <f t="shared" si="2"/>
        <v>75014</v>
      </c>
      <c r="W160">
        <v>0</v>
      </c>
      <c r="X160">
        <v>0</v>
      </c>
    </row>
    <row r="161" spans="1:24" ht="15" customHeight="1" x14ac:dyDescent="0.25">
      <c r="A161" t="str">
        <f>""</f>
        <v/>
      </c>
      <c r="B161" s="1"/>
      <c r="H161">
        <v>19.649999999999999</v>
      </c>
      <c r="J161" t="s">
        <v>19</v>
      </c>
      <c r="L161" s="1"/>
      <c r="N161" s="1"/>
      <c r="V161" t="str">
        <f t="shared" si="2"/>
        <v>75014</v>
      </c>
      <c r="W161">
        <v>0</v>
      </c>
      <c r="X161">
        <v>0</v>
      </c>
    </row>
    <row r="162" spans="1:24" ht="15" customHeight="1" x14ac:dyDescent="0.25">
      <c r="A162" t="str">
        <f>""</f>
        <v/>
      </c>
      <c r="B162" s="1"/>
      <c r="H162">
        <v>19.649999999999999</v>
      </c>
      <c r="J162" t="s">
        <v>19</v>
      </c>
      <c r="L162" s="1"/>
      <c r="N162" s="1"/>
      <c r="V162" t="str">
        <f t="shared" si="2"/>
        <v>75014</v>
      </c>
      <c r="W162">
        <v>0</v>
      </c>
      <c r="X162">
        <v>0</v>
      </c>
    </row>
    <row r="163" spans="1:24" ht="15" customHeight="1" x14ac:dyDescent="0.25">
      <c r="A163" t="str">
        <f>""</f>
        <v/>
      </c>
      <c r="B163" s="1"/>
      <c r="H163">
        <v>19.649999999999999</v>
      </c>
      <c r="J163" t="s">
        <v>19</v>
      </c>
      <c r="L163" s="1"/>
      <c r="N163" s="1"/>
      <c r="V163" t="str">
        <f t="shared" si="2"/>
        <v>75014</v>
      </c>
      <c r="W163">
        <v>0</v>
      </c>
      <c r="X163">
        <v>0</v>
      </c>
    </row>
    <row r="164" spans="1:24" ht="15" customHeight="1" x14ac:dyDescent="0.25">
      <c r="A164" t="str">
        <f>""</f>
        <v/>
      </c>
      <c r="B164" s="1"/>
      <c r="H164">
        <v>19.649999999999999</v>
      </c>
      <c r="J164" t="s">
        <v>19</v>
      </c>
      <c r="L164" s="1"/>
      <c r="N164" s="1"/>
      <c r="V164" t="str">
        <f t="shared" si="2"/>
        <v>75014</v>
      </c>
      <c r="W164">
        <v>0</v>
      </c>
      <c r="X164">
        <v>0</v>
      </c>
    </row>
    <row r="165" spans="1:24" ht="15" customHeight="1" x14ac:dyDescent="0.25">
      <c r="A165" t="str">
        <f>""</f>
        <v/>
      </c>
      <c r="B165" s="1"/>
      <c r="H165">
        <v>55.21</v>
      </c>
      <c r="J165" t="s">
        <v>20</v>
      </c>
      <c r="L165" s="1"/>
      <c r="N165" s="1"/>
      <c r="V165" t="str">
        <f>"75017"</f>
        <v>75017</v>
      </c>
      <c r="W165">
        <v>0</v>
      </c>
      <c r="X165">
        <v>0</v>
      </c>
    </row>
    <row r="166" spans="1:24" ht="15" customHeight="1" x14ac:dyDescent="0.25">
      <c r="A166" t="str">
        <f>""</f>
        <v/>
      </c>
      <c r="B166" s="1"/>
      <c r="H166">
        <v>45</v>
      </c>
      <c r="J166" t="s">
        <v>20</v>
      </c>
      <c r="L166" s="1"/>
      <c r="N166" s="1"/>
      <c r="V166" t="str">
        <f>"14000"</f>
        <v>14000</v>
      </c>
      <c r="W166">
        <v>7.65</v>
      </c>
      <c r="X166">
        <v>0</v>
      </c>
    </row>
    <row r="167" spans="1:24" ht="15" customHeight="1" x14ac:dyDescent="0.25">
      <c r="A167" t="str">
        <f>""</f>
        <v/>
      </c>
      <c r="B167" s="1"/>
      <c r="H167">
        <v>141.65</v>
      </c>
      <c r="J167" t="s">
        <v>20</v>
      </c>
      <c r="L167" s="1"/>
      <c r="N167" s="1"/>
      <c r="V167" t="str">
        <f>"42110"</f>
        <v>42110</v>
      </c>
      <c r="W167">
        <v>38.25</v>
      </c>
      <c r="X167">
        <v>0</v>
      </c>
    </row>
    <row r="168" spans="1:24" ht="15" customHeight="1" x14ac:dyDescent="0.25">
      <c r="A168" t="str">
        <f>""</f>
        <v/>
      </c>
      <c r="B168" s="1"/>
      <c r="H168">
        <v>140.72</v>
      </c>
      <c r="J168" t="s">
        <v>22</v>
      </c>
      <c r="L168" s="1"/>
      <c r="N168" s="1"/>
      <c r="V168" t="str">
        <f>"62740"</f>
        <v>62740</v>
      </c>
      <c r="W168">
        <v>0</v>
      </c>
      <c r="X168">
        <v>0</v>
      </c>
    </row>
    <row r="169" spans="1:24" ht="15" customHeight="1" x14ac:dyDescent="0.25">
      <c r="A169" t="str">
        <f>""</f>
        <v/>
      </c>
      <c r="B169" s="1"/>
      <c r="H169">
        <v>25</v>
      </c>
      <c r="J169" t="s">
        <v>22</v>
      </c>
      <c r="L169" s="1"/>
      <c r="V169" t="str">
        <f>"62740"</f>
        <v>62740</v>
      </c>
      <c r="W169">
        <v>0</v>
      </c>
      <c r="X169">
        <v>0</v>
      </c>
    </row>
    <row r="170" spans="1:24" ht="15" customHeight="1" x14ac:dyDescent="0.25">
      <c r="A170" t="str">
        <f>""</f>
        <v/>
      </c>
      <c r="B170" s="1"/>
      <c r="H170">
        <v>32.6</v>
      </c>
      <c r="J170" t="s">
        <v>22</v>
      </c>
      <c r="L170" s="1"/>
      <c r="N170" s="1"/>
      <c r="V170" t="str">
        <f>"62740"</f>
        <v>62740</v>
      </c>
      <c r="W170">
        <v>0</v>
      </c>
      <c r="X170">
        <v>0</v>
      </c>
    </row>
    <row r="171" spans="1:24" ht="15" customHeight="1" x14ac:dyDescent="0.25">
      <c r="A171" t="str">
        <f>""</f>
        <v/>
      </c>
      <c r="B171" s="1"/>
      <c r="H171">
        <v>140</v>
      </c>
      <c r="L171" s="1"/>
      <c r="N171" s="1"/>
      <c r="V171" t="str">
        <f>"77184"</f>
        <v>77184</v>
      </c>
      <c r="W171">
        <v>0</v>
      </c>
      <c r="X171">
        <v>0</v>
      </c>
    </row>
    <row r="172" spans="1:24" ht="15" customHeight="1" x14ac:dyDescent="0.25">
      <c r="A172" t="str">
        <f>""</f>
        <v/>
      </c>
      <c r="B172" s="1"/>
      <c r="J172" t="s">
        <v>20</v>
      </c>
      <c r="L172" s="1"/>
      <c r="N172" s="1"/>
      <c r="V172" t="str">
        <f>"13008"</f>
        <v>13008</v>
      </c>
      <c r="W172">
        <v>0</v>
      </c>
      <c r="X172">
        <v>0</v>
      </c>
    </row>
    <row r="173" spans="1:24" ht="15" customHeight="1" x14ac:dyDescent="0.25">
      <c r="A173" t="str">
        <f>""</f>
        <v/>
      </c>
      <c r="B173" s="1"/>
      <c r="H173">
        <v>190.59</v>
      </c>
      <c r="L173" s="1"/>
      <c r="N173" s="1"/>
      <c r="V173" t="str">
        <f>"77184"</f>
        <v>77184</v>
      </c>
      <c r="W173">
        <v>0</v>
      </c>
      <c r="X173">
        <v>0</v>
      </c>
    </row>
    <row r="174" spans="1:24" ht="15" customHeight="1" x14ac:dyDescent="0.25">
      <c r="A174" t="str">
        <f>""</f>
        <v/>
      </c>
      <c r="B174" s="1"/>
      <c r="H174">
        <v>139.19999999999999</v>
      </c>
      <c r="J174" t="s">
        <v>19</v>
      </c>
      <c r="L174" s="1"/>
      <c r="N174" s="1"/>
      <c r="V174" t="str">
        <f>"62600"</f>
        <v>62600</v>
      </c>
      <c r="W174">
        <v>26.45</v>
      </c>
      <c r="X174">
        <v>0</v>
      </c>
    </row>
    <row r="175" spans="1:24" ht="15" customHeight="1" x14ac:dyDescent="0.25">
      <c r="A175" t="str">
        <f>""</f>
        <v/>
      </c>
      <c r="B175" s="1"/>
      <c r="H175">
        <v>139.19999999999999</v>
      </c>
      <c r="J175" t="s">
        <v>19</v>
      </c>
      <c r="L175" s="1"/>
      <c r="N175" s="1"/>
      <c r="V175" t="str">
        <f>"62600"</f>
        <v>62600</v>
      </c>
      <c r="W175">
        <v>26.45</v>
      </c>
      <c r="X175">
        <v>0</v>
      </c>
    </row>
    <row r="176" spans="1:24" ht="15" customHeight="1" x14ac:dyDescent="0.25">
      <c r="A176" t="str">
        <f>""</f>
        <v/>
      </c>
      <c r="B176" s="1"/>
      <c r="H176">
        <v>131.65</v>
      </c>
      <c r="J176" t="s">
        <v>20</v>
      </c>
      <c r="L176" s="1"/>
      <c r="N176" s="1"/>
      <c r="V176" t="str">
        <f>"34980"</f>
        <v>34980</v>
      </c>
      <c r="W176">
        <v>51.34</v>
      </c>
      <c r="X176">
        <v>0</v>
      </c>
    </row>
    <row r="177" spans="1:24" ht="15" customHeight="1" x14ac:dyDescent="0.25">
      <c r="A177" t="str">
        <f>""</f>
        <v/>
      </c>
      <c r="B177" s="1"/>
      <c r="H177">
        <v>125</v>
      </c>
      <c r="J177" t="s">
        <v>20</v>
      </c>
      <c r="L177" s="1"/>
      <c r="N177" s="1"/>
      <c r="V177" t="str">
        <f>"80000"</f>
        <v>80000</v>
      </c>
      <c r="W177">
        <v>23.75</v>
      </c>
      <c r="X177">
        <v>0</v>
      </c>
    </row>
    <row r="178" spans="1:24" ht="15" customHeight="1" x14ac:dyDescent="0.25">
      <c r="A178" t="str">
        <f>""</f>
        <v/>
      </c>
      <c r="B178" s="1"/>
      <c r="H178">
        <v>151</v>
      </c>
      <c r="J178" t="s">
        <v>23</v>
      </c>
      <c r="L178" s="1"/>
      <c r="N178" s="1"/>
      <c r="V178" t="str">
        <f>"59159"</f>
        <v>59159</v>
      </c>
      <c r="W178">
        <v>0</v>
      </c>
      <c r="X178">
        <v>0</v>
      </c>
    </row>
    <row r="179" spans="1:24" ht="15" customHeight="1" x14ac:dyDescent="0.25">
      <c r="A179" t="str">
        <f>""</f>
        <v/>
      </c>
      <c r="B179" s="1"/>
      <c r="H179">
        <v>55.36</v>
      </c>
      <c r="J179" t="s">
        <v>20</v>
      </c>
      <c r="L179" s="1"/>
      <c r="N179" s="1"/>
      <c r="V179" t="str">
        <f>"57200"</f>
        <v>57200</v>
      </c>
      <c r="W179">
        <v>13.84</v>
      </c>
      <c r="X179">
        <v>0</v>
      </c>
    </row>
    <row r="180" spans="1:24" ht="15" customHeight="1" x14ac:dyDescent="0.25">
      <c r="A180" t="str">
        <f>""</f>
        <v/>
      </c>
      <c r="B180" s="1"/>
      <c r="H180">
        <v>84.5</v>
      </c>
      <c r="L180" s="1"/>
      <c r="N180" s="1"/>
      <c r="V180" t="str">
        <f>"77184"</f>
        <v>77184</v>
      </c>
      <c r="W180">
        <v>0</v>
      </c>
      <c r="X180">
        <v>0</v>
      </c>
    </row>
    <row r="181" spans="1:24" ht="15" customHeight="1" x14ac:dyDescent="0.25">
      <c r="A181" t="str">
        <f>""</f>
        <v/>
      </c>
      <c r="B181" s="1"/>
      <c r="H181">
        <v>172</v>
      </c>
      <c r="L181" s="1"/>
      <c r="N181" s="1"/>
      <c r="V181" t="str">
        <f>"77184"</f>
        <v>77184</v>
      </c>
      <c r="W181">
        <v>0</v>
      </c>
      <c r="X181">
        <v>0</v>
      </c>
    </row>
    <row r="182" spans="1:24" ht="15" customHeight="1" x14ac:dyDescent="0.25">
      <c r="A182" t="str">
        <f>""</f>
        <v/>
      </c>
      <c r="B182" s="1"/>
      <c r="H182">
        <v>172</v>
      </c>
      <c r="L182" s="1"/>
      <c r="N182" s="1"/>
      <c r="V182" t="str">
        <f>"77184"</f>
        <v>77184</v>
      </c>
      <c r="W182">
        <v>0</v>
      </c>
      <c r="X182">
        <v>0</v>
      </c>
    </row>
    <row r="183" spans="1:24" ht="15" customHeight="1" x14ac:dyDescent="0.25">
      <c r="A183" t="str">
        <f>""</f>
        <v/>
      </c>
      <c r="B183" s="1"/>
      <c r="H183">
        <v>25</v>
      </c>
      <c r="J183" t="s">
        <v>22</v>
      </c>
      <c r="L183" s="1"/>
      <c r="N183" s="1"/>
      <c r="V183" t="str">
        <f>"67230"</f>
        <v>67230</v>
      </c>
      <c r="W183">
        <v>0</v>
      </c>
      <c r="X183">
        <v>0</v>
      </c>
    </row>
    <row r="184" spans="1:24" ht="15" customHeight="1" x14ac:dyDescent="0.25">
      <c r="A184" t="str">
        <f>""</f>
        <v/>
      </c>
      <c r="B184" s="1"/>
      <c r="H184">
        <v>138.12</v>
      </c>
      <c r="J184" t="s">
        <v>19</v>
      </c>
      <c r="L184" s="1"/>
      <c r="N184" s="1"/>
      <c r="V184" t="str">
        <f>"78340"</f>
        <v>78340</v>
      </c>
      <c r="W184">
        <v>0</v>
      </c>
      <c r="X184">
        <v>0</v>
      </c>
    </row>
    <row r="185" spans="1:24" ht="15" customHeight="1" x14ac:dyDescent="0.25">
      <c r="A185" t="str">
        <f>""</f>
        <v/>
      </c>
      <c r="B185" s="1"/>
      <c r="H185">
        <v>84.5</v>
      </c>
      <c r="L185" s="1"/>
      <c r="N185" s="1"/>
      <c r="V185" t="str">
        <f>"77184"</f>
        <v>77184</v>
      </c>
      <c r="W185">
        <v>0</v>
      </c>
      <c r="X185">
        <v>0</v>
      </c>
    </row>
    <row r="186" spans="1:24" ht="15" customHeight="1" x14ac:dyDescent="0.25">
      <c r="A186" t="str">
        <f>""</f>
        <v/>
      </c>
      <c r="B186" s="1"/>
      <c r="H186">
        <v>220</v>
      </c>
      <c r="J186" t="s">
        <v>23</v>
      </c>
      <c r="L186" s="1"/>
      <c r="V186" t="str">
        <f>"92200"</f>
        <v>92200</v>
      </c>
      <c r="W186">
        <v>0</v>
      </c>
      <c r="X186">
        <v>0</v>
      </c>
    </row>
    <row r="187" spans="1:24" ht="15" customHeight="1" x14ac:dyDescent="0.25">
      <c r="A187" t="str">
        <f>""</f>
        <v/>
      </c>
      <c r="B187" s="1"/>
      <c r="H187">
        <v>180</v>
      </c>
      <c r="J187" t="s">
        <v>22</v>
      </c>
      <c r="L187" s="1"/>
      <c r="N187" s="1"/>
      <c r="V187" t="str">
        <f>"62000"</f>
        <v>62000</v>
      </c>
      <c r="W187">
        <v>0</v>
      </c>
      <c r="X187">
        <v>0</v>
      </c>
    </row>
    <row r="188" spans="1:24" ht="15" customHeight="1" x14ac:dyDescent="0.25">
      <c r="A188" t="str">
        <f>""</f>
        <v/>
      </c>
      <c r="B188" s="1"/>
      <c r="H188">
        <v>40</v>
      </c>
      <c r="J188" t="s">
        <v>23</v>
      </c>
      <c r="L188" s="1"/>
      <c r="N188" s="1"/>
      <c r="V188" t="str">
        <f>"62740"</f>
        <v>62740</v>
      </c>
      <c r="W188">
        <v>0</v>
      </c>
      <c r="X188">
        <v>0</v>
      </c>
    </row>
    <row r="189" spans="1:24" ht="15" customHeight="1" x14ac:dyDescent="0.25">
      <c r="A189" t="str">
        <f>""</f>
        <v/>
      </c>
      <c r="B189" s="1"/>
      <c r="H189">
        <v>5.12</v>
      </c>
      <c r="J189" t="s">
        <v>19</v>
      </c>
      <c r="L189" s="1"/>
      <c r="N189" s="1"/>
      <c r="V189" t="str">
        <f>"59150"</f>
        <v>59150</v>
      </c>
      <c r="W189">
        <v>0.97</v>
      </c>
      <c r="X189">
        <v>0</v>
      </c>
    </row>
    <row r="190" spans="1:24" ht="15" customHeight="1" x14ac:dyDescent="0.25">
      <c r="A190" t="str">
        <f>""</f>
        <v/>
      </c>
      <c r="B190" s="1"/>
      <c r="H190">
        <v>746.27</v>
      </c>
      <c r="J190" t="s">
        <v>20</v>
      </c>
      <c r="L190" s="1"/>
      <c r="N190" s="1"/>
      <c r="V190" t="str">
        <f>"44980"</f>
        <v>44980</v>
      </c>
      <c r="W190">
        <v>201.49</v>
      </c>
      <c r="X190">
        <v>0</v>
      </c>
    </row>
    <row r="191" spans="1:24" ht="15" customHeight="1" x14ac:dyDescent="0.25">
      <c r="A191" t="str">
        <f>""</f>
        <v/>
      </c>
      <c r="B191" s="1"/>
      <c r="H191">
        <v>53.4</v>
      </c>
      <c r="J191" t="s">
        <v>23</v>
      </c>
      <c r="L191" s="1"/>
      <c r="N191" s="1"/>
      <c r="V191" t="str">
        <f>"49100"</f>
        <v>49100</v>
      </c>
      <c r="W191">
        <v>0</v>
      </c>
      <c r="X191">
        <v>14.42</v>
      </c>
    </row>
    <row r="192" spans="1:24" ht="15" customHeight="1" x14ac:dyDescent="0.25">
      <c r="A192" t="str">
        <f>""</f>
        <v/>
      </c>
      <c r="B192" s="1"/>
      <c r="H192">
        <v>180</v>
      </c>
      <c r="J192" t="s">
        <v>22</v>
      </c>
      <c r="L192" s="1"/>
      <c r="V192" t="str">
        <f>"34500"</f>
        <v>34500</v>
      </c>
      <c r="W192">
        <v>0</v>
      </c>
      <c r="X192">
        <v>0</v>
      </c>
    </row>
    <row r="193" spans="1:24" ht="15" customHeight="1" x14ac:dyDescent="0.25">
      <c r="A193" t="str">
        <f>""</f>
        <v/>
      </c>
      <c r="B193" s="1"/>
      <c r="H193">
        <v>180</v>
      </c>
      <c r="J193" t="s">
        <v>23</v>
      </c>
      <c r="L193" s="1"/>
      <c r="N193" s="1"/>
      <c r="V193" t="str">
        <f>"34500"</f>
        <v>34500</v>
      </c>
      <c r="W193">
        <v>0</v>
      </c>
      <c r="X193">
        <v>50.4</v>
      </c>
    </row>
    <row r="194" spans="1:24" ht="15" customHeight="1" x14ac:dyDescent="0.25">
      <c r="A194" t="str">
        <f>""</f>
        <v/>
      </c>
      <c r="B194" s="1"/>
      <c r="H194">
        <v>195.32</v>
      </c>
      <c r="J194" t="s">
        <v>22</v>
      </c>
      <c r="L194" s="1"/>
      <c r="N194" s="1"/>
      <c r="V194" t="str">
        <f>"69007"</f>
        <v>69007</v>
      </c>
      <c r="W194">
        <v>0</v>
      </c>
      <c r="X194">
        <v>0</v>
      </c>
    </row>
    <row r="195" spans="1:24" ht="15" customHeight="1" x14ac:dyDescent="0.25">
      <c r="A195" t="str">
        <f>""</f>
        <v/>
      </c>
      <c r="B195" s="1"/>
      <c r="H195">
        <v>107.88</v>
      </c>
      <c r="J195" t="s">
        <v>19</v>
      </c>
      <c r="L195" s="1"/>
      <c r="N195" s="1"/>
      <c r="V195" t="str">
        <f>"44327"</f>
        <v>44327</v>
      </c>
      <c r="W195">
        <v>29.13</v>
      </c>
      <c r="X195">
        <v>0</v>
      </c>
    </row>
    <row r="196" spans="1:24" ht="15" customHeight="1" x14ac:dyDescent="0.25">
      <c r="A196" t="str">
        <f>""</f>
        <v/>
      </c>
      <c r="B196" s="1"/>
      <c r="H196">
        <v>137.01</v>
      </c>
      <c r="J196" t="s">
        <v>19</v>
      </c>
      <c r="L196" s="1"/>
      <c r="N196" s="1"/>
      <c r="V196" t="str">
        <f>"44360"</f>
        <v>44360</v>
      </c>
      <c r="W196">
        <v>36.99</v>
      </c>
      <c r="X196">
        <v>0</v>
      </c>
    </row>
    <row r="197" spans="1:24" ht="15" customHeight="1" x14ac:dyDescent="0.25">
      <c r="A197" t="str">
        <f>""</f>
        <v/>
      </c>
      <c r="B197" s="1"/>
      <c r="H197">
        <v>85.35</v>
      </c>
      <c r="J197" t="s">
        <v>20</v>
      </c>
      <c r="L197" s="1"/>
      <c r="N197" s="1"/>
      <c r="V197" t="str">
        <f>"80000"</f>
        <v>80000</v>
      </c>
      <c r="W197">
        <v>16.22</v>
      </c>
      <c r="X197">
        <v>0</v>
      </c>
    </row>
    <row r="198" spans="1:24" ht="15" customHeight="1" x14ac:dyDescent="0.25">
      <c r="A198" t="str">
        <f>""</f>
        <v/>
      </c>
      <c r="B198" s="1"/>
      <c r="H198">
        <v>151</v>
      </c>
      <c r="J198" t="s">
        <v>22</v>
      </c>
      <c r="L198" s="1"/>
      <c r="N198" s="1"/>
      <c r="V198" t="str">
        <f>"37140"</f>
        <v>37140</v>
      </c>
      <c r="W198">
        <v>0</v>
      </c>
      <c r="X198">
        <v>0</v>
      </c>
    </row>
    <row r="199" spans="1:24" ht="15" customHeight="1" x14ac:dyDescent="0.25">
      <c r="A199" t="str">
        <f>""</f>
        <v/>
      </c>
      <c r="B199" s="1"/>
      <c r="H199">
        <v>83.27</v>
      </c>
      <c r="J199" t="s">
        <v>20</v>
      </c>
      <c r="L199" s="1"/>
      <c r="N199" s="1"/>
      <c r="V199" t="str">
        <f>"59000"</f>
        <v>59000</v>
      </c>
      <c r="W199">
        <v>15.82</v>
      </c>
      <c r="X199">
        <v>0</v>
      </c>
    </row>
    <row r="200" spans="1:24" ht="15" customHeight="1" x14ac:dyDescent="0.25">
      <c r="A200" t="str">
        <f>""</f>
        <v/>
      </c>
      <c r="B200" s="1"/>
      <c r="H200">
        <v>53.38</v>
      </c>
      <c r="J200" t="s">
        <v>19</v>
      </c>
      <c r="L200" s="1"/>
      <c r="N200" s="1"/>
      <c r="V200" t="str">
        <f>"75014"</f>
        <v>75014</v>
      </c>
      <c r="W200">
        <v>0</v>
      </c>
      <c r="X200">
        <v>0</v>
      </c>
    </row>
    <row r="201" spans="1:24" ht="15" customHeight="1" x14ac:dyDescent="0.25">
      <c r="A201" t="str">
        <f>""</f>
        <v/>
      </c>
      <c r="B201" s="1"/>
      <c r="H201">
        <v>7.99</v>
      </c>
      <c r="J201" t="s">
        <v>20</v>
      </c>
      <c r="L201" s="1"/>
      <c r="N201" s="1"/>
      <c r="V201" t="str">
        <f>"78420"</f>
        <v>78420</v>
      </c>
      <c r="W201">
        <v>0</v>
      </c>
      <c r="X201">
        <v>0</v>
      </c>
    </row>
    <row r="202" spans="1:24" ht="15" customHeight="1" x14ac:dyDescent="0.25">
      <c r="A202" t="str">
        <f>""</f>
        <v/>
      </c>
      <c r="B202" s="1"/>
      <c r="H202">
        <v>76.73</v>
      </c>
      <c r="J202" t="s">
        <v>20</v>
      </c>
      <c r="L202" s="1"/>
      <c r="N202" s="1"/>
      <c r="V202" t="str">
        <f>"57310"</f>
        <v>57310</v>
      </c>
      <c r="W202">
        <v>19.18</v>
      </c>
      <c r="X202">
        <v>0</v>
      </c>
    </row>
    <row r="203" spans="1:24" ht="15" customHeight="1" x14ac:dyDescent="0.25">
      <c r="A203" t="str">
        <f>""</f>
        <v/>
      </c>
      <c r="B203" s="1"/>
      <c r="H203">
        <v>57.2</v>
      </c>
      <c r="J203" t="s">
        <v>20</v>
      </c>
      <c r="L203" s="1"/>
      <c r="N203" s="1"/>
      <c r="V203" t="str">
        <f>"74000"</f>
        <v>74000</v>
      </c>
      <c r="W203">
        <v>15.44</v>
      </c>
      <c r="X203">
        <v>0</v>
      </c>
    </row>
    <row r="204" spans="1:24" ht="15" customHeight="1" x14ac:dyDescent="0.25">
      <c r="A204" t="str">
        <f>""</f>
        <v/>
      </c>
      <c r="B204" s="1"/>
      <c r="H204">
        <v>31</v>
      </c>
      <c r="L204" s="1"/>
      <c r="N204" s="1"/>
      <c r="V204" t="str">
        <f>"77184"</f>
        <v>77184</v>
      </c>
      <c r="W204">
        <v>0</v>
      </c>
      <c r="X204">
        <v>0</v>
      </c>
    </row>
    <row r="205" spans="1:24" ht="15" customHeight="1" x14ac:dyDescent="0.25">
      <c r="A205" t="str">
        <f>""</f>
        <v/>
      </c>
      <c r="B205" s="1"/>
      <c r="H205">
        <v>35.659999999999997</v>
      </c>
      <c r="L205" s="1"/>
      <c r="N205" s="1"/>
      <c r="V205" t="str">
        <f>"77184"</f>
        <v>77184</v>
      </c>
      <c r="W205">
        <v>0</v>
      </c>
      <c r="X205">
        <v>0</v>
      </c>
    </row>
    <row r="206" spans="1:24" ht="15" customHeight="1" x14ac:dyDescent="0.25">
      <c r="A206" t="str">
        <f>""</f>
        <v/>
      </c>
      <c r="B206" s="1"/>
      <c r="H206">
        <v>19.399999999999999</v>
      </c>
      <c r="J206" t="s">
        <v>22</v>
      </c>
      <c r="L206" s="1"/>
      <c r="N206" s="1"/>
      <c r="V206" t="str">
        <f>"75001"</f>
        <v>75001</v>
      </c>
      <c r="W206">
        <v>0</v>
      </c>
      <c r="X206">
        <v>0</v>
      </c>
    </row>
    <row r="207" spans="1:24" ht="15" customHeight="1" x14ac:dyDescent="0.25">
      <c r="A207" t="str">
        <f>""</f>
        <v/>
      </c>
      <c r="B207" s="1"/>
      <c r="H207">
        <v>183.61</v>
      </c>
      <c r="J207" t="s">
        <v>20</v>
      </c>
      <c r="L207" s="1"/>
      <c r="N207" s="1"/>
      <c r="V207" t="str">
        <f>"67230"</f>
        <v>67230</v>
      </c>
      <c r="W207">
        <v>53.25</v>
      </c>
      <c r="X207">
        <v>0</v>
      </c>
    </row>
    <row r="208" spans="1:24" ht="15" customHeight="1" x14ac:dyDescent="0.25">
      <c r="A208" t="str">
        <f>""</f>
        <v/>
      </c>
      <c r="B208" s="1"/>
      <c r="H208">
        <v>185.01</v>
      </c>
      <c r="J208" t="s">
        <v>19</v>
      </c>
      <c r="L208" s="1"/>
      <c r="N208" s="1"/>
      <c r="V208" t="str">
        <f>"55270"</f>
        <v>55270</v>
      </c>
      <c r="W208">
        <v>46.25</v>
      </c>
      <c r="X208">
        <v>0</v>
      </c>
    </row>
    <row r="209" spans="1:24" ht="15" customHeight="1" x14ac:dyDescent="0.25">
      <c r="A209" t="str">
        <f>""</f>
        <v/>
      </c>
      <c r="B209" s="1"/>
      <c r="H209">
        <v>197.51</v>
      </c>
      <c r="J209" t="s">
        <v>20</v>
      </c>
      <c r="L209" s="1"/>
      <c r="N209" s="1"/>
      <c r="V209" t="str">
        <f>"02200"</f>
        <v>02200</v>
      </c>
      <c r="W209">
        <v>37.53</v>
      </c>
      <c r="X209">
        <v>0</v>
      </c>
    </row>
    <row r="210" spans="1:24" ht="15" customHeight="1" x14ac:dyDescent="0.25">
      <c r="A210" t="str">
        <f>""</f>
        <v/>
      </c>
      <c r="B210" s="1"/>
      <c r="H210">
        <v>130.19999999999999</v>
      </c>
      <c r="J210" t="s">
        <v>20</v>
      </c>
      <c r="L210" s="1"/>
      <c r="N210" s="1"/>
      <c r="V210" t="str">
        <f>"25400"</f>
        <v>25400</v>
      </c>
      <c r="W210">
        <v>31.25</v>
      </c>
      <c r="X210">
        <v>0</v>
      </c>
    </row>
    <row r="211" spans="1:24" ht="15" customHeight="1" x14ac:dyDescent="0.25">
      <c r="A211" t="str">
        <f>""</f>
        <v/>
      </c>
      <c r="B211" s="1"/>
      <c r="H211">
        <v>360</v>
      </c>
      <c r="L211" s="1"/>
      <c r="N211" s="1"/>
      <c r="V211" t="str">
        <f>"77184"</f>
        <v>77184</v>
      </c>
      <c r="W211">
        <v>0</v>
      </c>
      <c r="X211">
        <v>0</v>
      </c>
    </row>
    <row r="212" spans="1:24" ht="15" customHeight="1" x14ac:dyDescent="0.25">
      <c r="A212" t="str">
        <f>""</f>
        <v/>
      </c>
      <c r="B212" s="1"/>
      <c r="H212">
        <v>31.6</v>
      </c>
      <c r="L212" s="1"/>
      <c r="N212" s="1"/>
      <c r="V212" t="str">
        <f>"44240"</f>
        <v>44240</v>
      </c>
      <c r="W212">
        <v>0</v>
      </c>
      <c r="X212">
        <v>0</v>
      </c>
    </row>
    <row r="213" spans="1:24" ht="15" customHeight="1" x14ac:dyDescent="0.25">
      <c r="A213" t="str">
        <f>""</f>
        <v/>
      </c>
      <c r="B213" s="1"/>
      <c r="J213" t="s">
        <v>20</v>
      </c>
      <c r="L213" s="1"/>
      <c r="N213" s="1"/>
      <c r="V213" t="str">
        <f>"68270"</f>
        <v>68270</v>
      </c>
      <c r="W213">
        <v>0</v>
      </c>
      <c r="X213">
        <v>0</v>
      </c>
    </row>
    <row r="214" spans="1:24" x14ac:dyDescent="0.25">
      <c r="A214" t="str">
        <f>""</f>
        <v/>
      </c>
      <c r="B214" s="1"/>
      <c r="J214" t="s">
        <v>16</v>
      </c>
      <c r="L214" s="1"/>
      <c r="N214" s="1"/>
      <c r="V214" t="str">
        <f>"56100"</f>
        <v>56100</v>
      </c>
      <c r="W214">
        <v>0</v>
      </c>
      <c r="X214">
        <v>0</v>
      </c>
    </row>
    <row r="215" spans="1:24" ht="15" customHeight="1" x14ac:dyDescent="0.25">
      <c r="A215" t="str">
        <f>""</f>
        <v/>
      </c>
      <c r="B215" s="1"/>
      <c r="H215">
        <v>40</v>
      </c>
      <c r="J215" t="s">
        <v>19</v>
      </c>
      <c r="L215" s="1"/>
      <c r="N215" s="1"/>
      <c r="V215" t="str">
        <f>"62182"</f>
        <v>62182</v>
      </c>
      <c r="W215">
        <v>7.6</v>
      </c>
      <c r="X215">
        <v>0</v>
      </c>
    </row>
    <row r="216" spans="1:24" ht="15" customHeight="1" x14ac:dyDescent="0.25">
      <c r="A216" t="str">
        <f>""</f>
        <v/>
      </c>
      <c r="B216" s="1"/>
      <c r="H216">
        <v>55.14</v>
      </c>
      <c r="J216" t="s">
        <v>20</v>
      </c>
      <c r="L216" s="1"/>
      <c r="N216" s="1"/>
      <c r="V216" t="str">
        <f>"61200"</f>
        <v>61200</v>
      </c>
      <c r="W216">
        <v>9.3699999999999992</v>
      </c>
      <c r="X216">
        <v>0</v>
      </c>
    </row>
    <row r="217" spans="1:24" ht="15" customHeight="1" x14ac:dyDescent="0.25">
      <c r="A217" t="str">
        <f>""</f>
        <v/>
      </c>
      <c r="B217" s="1"/>
      <c r="H217">
        <v>100.42</v>
      </c>
      <c r="J217" t="s">
        <v>20</v>
      </c>
      <c r="L217" s="1"/>
      <c r="N217" s="1"/>
      <c r="V217" t="str">
        <f>"19100"</f>
        <v>19100</v>
      </c>
      <c r="W217">
        <v>29.12</v>
      </c>
      <c r="X217">
        <v>0</v>
      </c>
    </row>
    <row r="218" spans="1:24" ht="15" customHeight="1" x14ac:dyDescent="0.25">
      <c r="A218" t="str">
        <f>""</f>
        <v/>
      </c>
      <c r="B218" s="1"/>
      <c r="H218">
        <v>33.119999999999997</v>
      </c>
      <c r="J218" t="s">
        <v>23</v>
      </c>
      <c r="L218" s="1"/>
      <c r="V218" t="str">
        <f>"06281"</f>
        <v>06281</v>
      </c>
      <c r="W218">
        <v>0</v>
      </c>
      <c r="X218">
        <v>0</v>
      </c>
    </row>
    <row r="219" spans="1:24" ht="15" customHeight="1" x14ac:dyDescent="0.25">
      <c r="A219" t="str">
        <f>""</f>
        <v/>
      </c>
      <c r="B219" s="1"/>
      <c r="H219">
        <v>70</v>
      </c>
      <c r="J219" t="s">
        <v>23</v>
      </c>
      <c r="L219" s="1"/>
      <c r="N219" s="1"/>
      <c r="V219" t="str">
        <f>"22370"</f>
        <v>22370</v>
      </c>
      <c r="W219">
        <v>0</v>
      </c>
      <c r="X219">
        <v>0</v>
      </c>
    </row>
    <row r="220" spans="1:24" ht="15" customHeight="1" x14ac:dyDescent="0.25">
      <c r="A220" t="str">
        <f>""</f>
        <v/>
      </c>
      <c r="B220" s="1"/>
      <c r="J220" t="s">
        <v>20</v>
      </c>
      <c r="L220" s="1"/>
      <c r="N220" s="1"/>
      <c r="V220" t="str">
        <f>"57600"</f>
        <v>57600</v>
      </c>
      <c r="W220">
        <v>0</v>
      </c>
      <c r="X220">
        <v>0</v>
      </c>
    </row>
    <row r="221" spans="1:24" ht="15" customHeight="1" x14ac:dyDescent="0.25">
      <c r="A221" t="str">
        <f>""</f>
        <v/>
      </c>
      <c r="B221" s="1"/>
      <c r="H221">
        <v>171</v>
      </c>
      <c r="L221" s="1"/>
      <c r="N221" s="1"/>
      <c r="V221" t="str">
        <f>"77184"</f>
        <v>77184</v>
      </c>
      <c r="W221">
        <v>0</v>
      </c>
      <c r="X221">
        <v>0</v>
      </c>
    </row>
    <row r="222" spans="1:24" ht="15" customHeight="1" x14ac:dyDescent="0.25">
      <c r="A222" t="str">
        <f>""</f>
        <v/>
      </c>
      <c r="B222" s="1"/>
      <c r="H222">
        <v>211</v>
      </c>
      <c r="J222" t="s">
        <v>22</v>
      </c>
      <c r="L222" s="1"/>
      <c r="N222" s="1"/>
      <c r="V222" t="str">
        <f>"13006"</f>
        <v>13006</v>
      </c>
      <c r="W222">
        <v>0</v>
      </c>
      <c r="X222">
        <v>0</v>
      </c>
    </row>
    <row r="223" spans="1:24" ht="15" customHeight="1" x14ac:dyDescent="0.25">
      <c r="A223" t="str">
        <f>""</f>
        <v/>
      </c>
      <c r="B223" s="1"/>
      <c r="H223">
        <v>183.25</v>
      </c>
      <c r="J223" t="s">
        <v>19</v>
      </c>
      <c r="L223" s="1"/>
      <c r="N223" s="1"/>
      <c r="V223" t="str">
        <f>"76530"</f>
        <v>76530</v>
      </c>
      <c r="W223">
        <v>31.15</v>
      </c>
      <c r="X223">
        <v>0</v>
      </c>
    </row>
    <row r="224" spans="1:24" ht="15" customHeight="1" x14ac:dyDescent="0.25">
      <c r="A224" t="str">
        <f>""</f>
        <v/>
      </c>
      <c r="B224" s="1"/>
      <c r="H224">
        <v>19.8</v>
      </c>
      <c r="J224" t="s">
        <v>20</v>
      </c>
      <c r="L224" s="1"/>
      <c r="N224" s="1"/>
      <c r="V224" t="str">
        <f>"72240"</f>
        <v>72240</v>
      </c>
      <c r="W224">
        <v>4.16</v>
      </c>
      <c r="X224">
        <v>0</v>
      </c>
    </row>
    <row r="225" spans="1:24" ht="15" customHeight="1" x14ac:dyDescent="0.25">
      <c r="A225" t="str">
        <f>""</f>
        <v/>
      </c>
      <c r="B225" s="1"/>
      <c r="H225">
        <v>19.8</v>
      </c>
      <c r="J225" t="s">
        <v>19</v>
      </c>
      <c r="L225" s="1"/>
      <c r="N225" s="1"/>
      <c r="V225" t="str">
        <f>"60290"</f>
        <v>60290</v>
      </c>
      <c r="W225">
        <v>3.76</v>
      </c>
      <c r="X225">
        <v>0</v>
      </c>
    </row>
    <row r="226" spans="1:24" ht="15" customHeight="1" x14ac:dyDescent="0.25">
      <c r="A226" t="str">
        <f>""</f>
        <v/>
      </c>
      <c r="B226" s="1"/>
      <c r="H226">
        <v>157.84</v>
      </c>
      <c r="J226" t="s">
        <v>20</v>
      </c>
      <c r="L226" s="1"/>
      <c r="N226" s="1"/>
      <c r="V226" t="str">
        <f>"94290"</f>
        <v>94290</v>
      </c>
      <c r="W226">
        <v>0</v>
      </c>
      <c r="X226">
        <v>0</v>
      </c>
    </row>
    <row r="227" spans="1:24" ht="15" customHeight="1" x14ac:dyDescent="0.25">
      <c r="A227" t="str">
        <f>""</f>
        <v/>
      </c>
      <c r="B227" s="1"/>
      <c r="H227">
        <v>18.350000000000001</v>
      </c>
      <c r="J227" t="s">
        <v>20</v>
      </c>
      <c r="L227" s="1"/>
      <c r="N227" s="1"/>
      <c r="V227" t="str">
        <f>"29610"</f>
        <v>29610</v>
      </c>
      <c r="W227">
        <v>7.16</v>
      </c>
      <c r="X227">
        <v>0</v>
      </c>
    </row>
    <row r="228" spans="1:24" ht="15" customHeight="1" x14ac:dyDescent="0.25">
      <c r="A228" t="str">
        <f>""</f>
        <v/>
      </c>
      <c r="B228" s="1"/>
      <c r="H228">
        <v>80</v>
      </c>
      <c r="J228" t="s">
        <v>19</v>
      </c>
      <c r="L228" s="1"/>
      <c r="N228" s="1"/>
      <c r="V228" t="str">
        <f>"69003"</f>
        <v>69003</v>
      </c>
      <c r="W228">
        <v>21.6</v>
      </c>
      <c r="X228">
        <v>0</v>
      </c>
    </row>
    <row r="229" spans="1:24" ht="15" customHeight="1" x14ac:dyDescent="0.25">
      <c r="A229" t="str">
        <f>""</f>
        <v/>
      </c>
      <c r="B229" s="1"/>
      <c r="H229">
        <v>140</v>
      </c>
      <c r="J229" t="s">
        <v>23</v>
      </c>
      <c r="L229" s="1"/>
      <c r="N229" s="1"/>
      <c r="V229" t="str">
        <f>"77000"</f>
        <v>77000</v>
      </c>
      <c r="W229">
        <v>0</v>
      </c>
      <c r="X229">
        <v>0</v>
      </c>
    </row>
    <row r="230" spans="1:24" ht="15" customHeight="1" x14ac:dyDescent="0.25">
      <c r="A230" t="str">
        <f>""</f>
        <v/>
      </c>
      <c r="B230" s="1"/>
      <c r="H230">
        <v>180</v>
      </c>
      <c r="J230" t="s">
        <v>20</v>
      </c>
      <c r="L230" s="1"/>
      <c r="N230" s="1"/>
      <c r="V230" t="str">
        <f>"51130"</f>
        <v>51130</v>
      </c>
      <c r="W230">
        <v>45</v>
      </c>
      <c r="X230">
        <v>0</v>
      </c>
    </row>
    <row r="231" spans="1:24" ht="15" customHeight="1" x14ac:dyDescent="0.25">
      <c r="A231" t="str">
        <f>""</f>
        <v/>
      </c>
      <c r="B231" s="1"/>
      <c r="H231">
        <v>106</v>
      </c>
      <c r="L231" s="1"/>
      <c r="N231" s="1"/>
      <c r="V231" t="str">
        <f>"77184"</f>
        <v>77184</v>
      </c>
      <c r="W231">
        <v>0</v>
      </c>
      <c r="X231">
        <v>0</v>
      </c>
    </row>
    <row r="232" spans="1:24" ht="15" customHeight="1" x14ac:dyDescent="0.25">
      <c r="A232" t="str">
        <f>""</f>
        <v/>
      </c>
      <c r="B232" s="1"/>
      <c r="H232">
        <v>20</v>
      </c>
      <c r="J232" t="s">
        <v>22</v>
      </c>
      <c r="L232" s="1"/>
      <c r="N232" s="1"/>
      <c r="V232" t="str">
        <f>"68270"</f>
        <v>68270</v>
      </c>
      <c r="W232">
        <v>0</v>
      </c>
      <c r="X232">
        <v>1.6</v>
      </c>
    </row>
    <row r="233" spans="1:24" ht="15" customHeight="1" x14ac:dyDescent="0.25">
      <c r="A233" t="str">
        <f>""</f>
        <v/>
      </c>
      <c r="B233" s="1"/>
      <c r="H233">
        <v>144.19999999999999</v>
      </c>
      <c r="J233" t="s">
        <v>19</v>
      </c>
      <c r="L233" s="1"/>
      <c r="N233" s="1"/>
      <c r="V233" t="str">
        <f>"25200"</f>
        <v>25200</v>
      </c>
      <c r="W233">
        <v>34.61</v>
      </c>
      <c r="X233">
        <v>0</v>
      </c>
    </row>
    <row r="234" spans="1:24" ht="15" customHeight="1" x14ac:dyDescent="0.25">
      <c r="A234" t="str">
        <f>""</f>
        <v/>
      </c>
      <c r="B234" s="1"/>
      <c r="H234">
        <v>62.4</v>
      </c>
      <c r="J234" t="s">
        <v>20</v>
      </c>
      <c r="L234" s="1"/>
      <c r="N234" s="1"/>
      <c r="V234" t="str">
        <f>"76300"</f>
        <v>76300</v>
      </c>
      <c r="W234">
        <v>10.61</v>
      </c>
      <c r="X234">
        <v>0</v>
      </c>
    </row>
    <row r="235" spans="1:24" ht="15" customHeight="1" x14ac:dyDescent="0.25">
      <c r="A235" t="str">
        <f>""</f>
        <v/>
      </c>
      <c r="B235" s="1"/>
      <c r="H235">
        <v>69.540000000000006</v>
      </c>
      <c r="J235" t="s">
        <v>20</v>
      </c>
      <c r="L235" s="1"/>
      <c r="N235" s="1"/>
      <c r="V235" t="str">
        <f>"14000"</f>
        <v>14000</v>
      </c>
      <c r="W235">
        <v>11.82</v>
      </c>
      <c r="X235">
        <v>0</v>
      </c>
    </row>
    <row r="236" spans="1:24" ht="15" customHeight="1" x14ac:dyDescent="0.25">
      <c r="A236" t="str">
        <f>""</f>
        <v/>
      </c>
      <c r="B236" s="1"/>
      <c r="H236">
        <v>136.72</v>
      </c>
      <c r="J236" t="s">
        <v>20</v>
      </c>
      <c r="L236" s="1"/>
      <c r="N236" s="1"/>
      <c r="V236" t="str">
        <f>"79402"</f>
        <v>79402</v>
      </c>
      <c r="W236">
        <v>28.71</v>
      </c>
      <c r="X236">
        <v>0</v>
      </c>
    </row>
    <row r="237" spans="1:24" ht="15" customHeight="1" x14ac:dyDescent="0.25">
      <c r="A237" t="str">
        <f>""</f>
        <v/>
      </c>
      <c r="B237" s="1"/>
      <c r="H237">
        <v>33.35</v>
      </c>
      <c r="J237" t="s">
        <v>19</v>
      </c>
      <c r="L237" s="1"/>
      <c r="N237" s="1"/>
      <c r="V237" t="str">
        <f>"13100"</f>
        <v>13100</v>
      </c>
      <c r="W237">
        <v>9.67</v>
      </c>
      <c r="X237">
        <v>0</v>
      </c>
    </row>
    <row r="238" spans="1:24" ht="15" customHeight="1" x14ac:dyDescent="0.25">
      <c r="A238" t="str">
        <f>""</f>
        <v/>
      </c>
      <c r="B238" s="1"/>
      <c r="H238">
        <v>209.56</v>
      </c>
      <c r="J238" t="s">
        <v>19</v>
      </c>
      <c r="L238" s="1"/>
      <c r="N238" s="1"/>
      <c r="V238" t="str">
        <f>"69005"</f>
        <v>69005</v>
      </c>
      <c r="W238">
        <v>56.58</v>
      </c>
      <c r="X238">
        <v>0</v>
      </c>
    </row>
    <row r="239" spans="1:24" ht="15" customHeight="1" x14ac:dyDescent="0.25">
      <c r="A239" t="str">
        <f>""</f>
        <v/>
      </c>
      <c r="B239" s="1"/>
      <c r="H239">
        <v>33.35</v>
      </c>
      <c r="J239" t="s">
        <v>19</v>
      </c>
      <c r="L239" s="1"/>
      <c r="N239" s="1"/>
      <c r="V239" t="str">
        <f>"69005"</f>
        <v>69005</v>
      </c>
      <c r="W239">
        <v>9</v>
      </c>
      <c r="X239">
        <v>0</v>
      </c>
    </row>
    <row r="240" spans="1:24" ht="15" customHeight="1" x14ac:dyDescent="0.25">
      <c r="A240" t="str">
        <f>""</f>
        <v/>
      </c>
      <c r="B240" s="1"/>
      <c r="H240">
        <v>33.35</v>
      </c>
      <c r="J240" t="s">
        <v>19</v>
      </c>
      <c r="L240" s="1"/>
      <c r="N240" s="1"/>
      <c r="V240" t="str">
        <f>"69005"</f>
        <v>69005</v>
      </c>
      <c r="W240">
        <v>9</v>
      </c>
      <c r="X240">
        <v>0</v>
      </c>
    </row>
    <row r="241" spans="1:24" ht="15" customHeight="1" x14ac:dyDescent="0.25">
      <c r="A241" t="str">
        <f>""</f>
        <v/>
      </c>
      <c r="B241" s="1"/>
      <c r="H241">
        <v>33.35</v>
      </c>
      <c r="J241" t="s">
        <v>19</v>
      </c>
      <c r="L241" s="1"/>
      <c r="N241" s="1"/>
      <c r="V241" t="str">
        <f>"69005"</f>
        <v>69005</v>
      </c>
      <c r="W241">
        <v>9</v>
      </c>
      <c r="X241">
        <v>0</v>
      </c>
    </row>
    <row r="242" spans="1:24" ht="15" customHeight="1" x14ac:dyDescent="0.25">
      <c r="A242" t="str">
        <f>""</f>
        <v/>
      </c>
      <c r="B242" s="1"/>
      <c r="H242">
        <v>94.3</v>
      </c>
      <c r="J242" t="s">
        <v>23</v>
      </c>
      <c r="L242" s="1"/>
      <c r="N242" s="1"/>
      <c r="V242" t="str">
        <f>"07000"</f>
        <v>07000</v>
      </c>
      <c r="W242">
        <v>0</v>
      </c>
      <c r="X242">
        <v>0</v>
      </c>
    </row>
    <row r="243" spans="1:24" ht="15" customHeight="1" x14ac:dyDescent="0.25">
      <c r="A243" t="str">
        <f>""</f>
        <v/>
      </c>
      <c r="B243" s="1"/>
      <c r="H243">
        <v>114</v>
      </c>
      <c r="L243" s="1"/>
      <c r="N243" s="1"/>
      <c r="V243" t="str">
        <f>"77184"</f>
        <v>77184</v>
      </c>
      <c r="W243">
        <v>0</v>
      </c>
      <c r="X243">
        <v>0</v>
      </c>
    </row>
    <row r="244" spans="1:24" ht="15" customHeight="1" x14ac:dyDescent="0.25">
      <c r="A244" t="str">
        <f>""</f>
        <v/>
      </c>
      <c r="B244" s="1"/>
      <c r="H244">
        <v>244</v>
      </c>
      <c r="L244" s="1"/>
      <c r="N244" s="1"/>
      <c r="V244" t="str">
        <f>"77184"</f>
        <v>77184</v>
      </c>
      <c r="W244">
        <v>0</v>
      </c>
      <c r="X244">
        <v>0</v>
      </c>
    </row>
    <row r="245" spans="1:24" ht="15" customHeight="1" x14ac:dyDescent="0.25">
      <c r="A245" t="str">
        <f>""</f>
        <v/>
      </c>
      <c r="B245" s="1"/>
      <c r="H245">
        <v>187</v>
      </c>
      <c r="L245" s="1"/>
      <c r="N245" s="1"/>
      <c r="V245" t="str">
        <f>"77184"</f>
        <v>77184</v>
      </c>
      <c r="W245">
        <v>0</v>
      </c>
      <c r="X245">
        <v>0</v>
      </c>
    </row>
    <row r="246" spans="1:24" ht="15" customHeight="1" x14ac:dyDescent="0.25">
      <c r="A246" t="str">
        <f>""</f>
        <v/>
      </c>
      <c r="B246" s="1"/>
      <c r="H246">
        <v>139.19999999999999</v>
      </c>
      <c r="J246" t="s">
        <v>20</v>
      </c>
      <c r="L246" s="1"/>
      <c r="N246" s="1"/>
      <c r="V246" t="str">
        <f>"79700"</f>
        <v>79700</v>
      </c>
      <c r="W246">
        <v>29.23</v>
      </c>
      <c r="X246">
        <v>0</v>
      </c>
    </row>
    <row r="247" spans="1:24" ht="15" customHeight="1" x14ac:dyDescent="0.25">
      <c r="A247" t="str">
        <f>""</f>
        <v/>
      </c>
      <c r="B247" s="1"/>
      <c r="H247">
        <v>55.14</v>
      </c>
      <c r="J247" t="s">
        <v>19</v>
      </c>
      <c r="L247" s="1"/>
      <c r="N247" s="1"/>
      <c r="V247" t="str">
        <f>"06000"</f>
        <v>06000</v>
      </c>
      <c r="W247">
        <v>16.54</v>
      </c>
      <c r="X247">
        <v>0</v>
      </c>
    </row>
    <row r="248" spans="1:24" ht="15" customHeight="1" x14ac:dyDescent="0.25">
      <c r="A248" t="str">
        <f>""</f>
        <v/>
      </c>
      <c r="B248" s="1"/>
      <c r="H248">
        <v>18.36</v>
      </c>
      <c r="J248" t="s">
        <v>19</v>
      </c>
      <c r="L248" s="1"/>
      <c r="N248" s="1"/>
      <c r="V248" t="str">
        <f>"80450"</f>
        <v>80450</v>
      </c>
      <c r="W248">
        <v>3.49</v>
      </c>
      <c r="X248">
        <v>0</v>
      </c>
    </row>
    <row r="249" spans="1:24" ht="15" customHeight="1" x14ac:dyDescent="0.25">
      <c r="A249" t="str">
        <f>""</f>
        <v/>
      </c>
      <c r="B249" s="1"/>
      <c r="H249">
        <v>29.59</v>
      </c>
      <c r="J249" t="s">
        <v>22</v>
      </c>
      <c r="L249" s="1"/>
      <c r="N249" s="1"/>
      <c r="V249" t="str">
        <f>"69006"</f>
        <v>69006</v>
      </c>
      <c r="W249">
        <v>0</v>
      </c>
      <c r="X249">
        <v>0</v>
      </c>
    </row>
    <row r="250" spans="1:24" ht="15" customHeight="1" x14ac:dyDescent="0.25">
      <c r="A250" t="str">
        <f>""</f>
        <v/>
      </c>
      <c r="B250" s="1"/>
      <c r="H250">
        <v>29.59</v>
      </c>
      <c r="J250" t="s">
        <v>22</v>
      </c>
      <c r="L250" s="1"/>
      <c r="V250" t="str">
        <f>"69006"</f>
        <v>69006</v>
      </c>
      <c r="W250">
        <v>0</v>
      </c>
      <c r="X250">
        <v>0</v>
      </c>
    </row>
    <row r="251" spans="1:24" ht="15" customHeight="1" x14ac:dyDescent="0.25">
      <c r="A251" t="str">
        <f>""</f>
        <v/>
      </c>
      <c r="B251" s="1"/>
      <c r="H251">
        <v>55.14</v>
      </c>
      <c r="J251" t="s">
        <v>20</v>
      </c>
      <c r="L251" s="1"/>
      <c r="N251" s="1"/>
      <c r="V251" t="str">
        <f>"30310"</f>
        <v>30310</v>
      </c>
      <c r="W251">
        <v>21.5</v>
      </c>
      <c r="X251">
        <v>0</v>
      </c>
    </row>
    <row r="252" spans="1:24" ht="15" customHeight="1" x14ac:dyDescent="0.25">
      <c r="A252" t="str">
        <f>""</f>
        <v/>
      </c>
      <c r="B252" s="1"/>
      <c r="H252">
        <v>30</v>
      </c>
      <c r="J252" t="s">
        <v>20</v>
      </c>
      <c r="L252" s="1"/>
      <c r="N252" s="1"/>
      <c r="V252" t="str">
        <f>"69002"</f>
        <v>69002</v>
      </c>
      <c r="W252">
        <v>8.1</v>
      </c>
      <c r="X252">
        <v>0</v>
      </c>
    </row>
    <row r="253" spans="1:24" ht="15" customHeight="1" x14ac:dyDescent="0.25">
      <c r="A253" t="str">
        <f>""</f>
        <v/>
      </c>
      <c r="B253" s="1"/>
      <c r="H253">
        <v>30</v>
      </c>
      <c r="J253" t="s">
        <v>19</v>
      </c>
      <c r="L253" s="1"/>
      <c r="N253" s="1"/>
      <c r="V253" t="str">
        <f>"92200"</f>
        <v>92200</v>
      </c>
      <c r="W253">
        <v>0</v>
      </c>
      <c r="X253">
        <v>0</v>
      </c>
    </row>
    <row r="254" spans="1:24" ht="15" customHeight="1" x14ac:dyDescent="0.25">
      <c r="A254" t="str">
        <f>""</f>
        <v/>
      </c>
      <c r="B254" s="1"/>
      <c r="H254">
        <v>30</v>
      </c>
      <c r="J254" t="s">
        <v>19</v>
      </c>
      <c r="L254" s="1"/>
      <c r="N254" s="1"/>
      <c r="V254" t="str">
        <f>"92200"</f>
        <v>92200</v>
      </c>
      <c r="W254">
        <v>0</v>
      </c>
      <c r="X254">
        <v>0</v>
      </c>
    </row>
    <row r="255" spans="1:24" ht="15" customHeight="1" x14ac:dyDescent="0.25">
      <c r="A255" t="str">
        <f>""</f>
        <v/>
      </c>
      <c r="B255" s="1"/>
      <c r="H255">
        <v>140</v>
      </c>
      <c r="J255" t="s">
        <v>23</v>
      </c>
      <c r="L255" s="1"/>
      <c r="N255" s="1"/>
      <c r="V255" t="str">
        <f>"17400"</f>
        <v>17400</v>
      </c>
      <c r="W255">
        <v>0</v>
      </c>
      <c r="X255">
        <v>0</v>
      </c>
    </row>
    <row r="256" spans="1:24" ht="15" customHeight="1" x14ac:dyDescent="0.25">
      <c r="A256" t="str">
        <f>""</f>
        <v/>
      </c>
      <c r="B256" s="1"/>
      <c r="H256">
        <v>7.99</v>
      </c>
      <c r="J256" t="s">
        <v>20</v>
      </c>
      <c r="L256" s="1"/>
      <c r="N256" s="1"/>
      <c r="V256" t="str">
        <f>"69002"</f>
        <v>69002</v>
      </c>
      <c r="W256">
        <v>2.16</v>
      </c>
      <c r="X256">
        <v>0</v>
      </c>
    </row>
    <row r="257" spans="1:24" ht="15" customHeight="1" x14ac:dyDescent="0.25">
      <c r="A257" t="str">
        <f>""</f>
        <v/>
      </c>
      <c r="B257" s="1"/>
      <c r="H257">
        <v>35</v>
      </c>
      <c r="L257" s="1"/>
      <c r="N257" s="1"/>
      <c r="V257" t="str">
        <f>"77184"</f>
        <v>77184</v>
      </c>
      <c r="W257">
        <v>0</v>
      </c>
      <c r="X257">
        <v>0</v>
      </c>
    </row>
    <row r="258" spans="1:24" ht="15" customHeight="1" x14ac:dyDescent="0.25">
      <c r="A258" t="str">
        <f>""</f>
        <v/>
      </c>
      <c r="B258" s="1"/>
      <c r="H258">
        <v>140</v>
      </c>
      <c r="L258" s="1"/>
      <c r="N258" s="1"/>
      <c r="V258" t="str">
        <f>"77184"</f>
        <v>77184</v>
      </c>
      <c r="W258">
        <v>0</v>
      </c>
      <c r="X258">
        <v>0</v>
      </c>
    </row>
    <row r="259" spans="1:24" ht="15" customHeight="1" x14ac:dyDescent="0.25">
      <c r="A259" t="str">
        <f>""</f>
        <v/>
      </c>
      <c r="B259" s="1"/>
      <c r="H259">
        <v>107.5</v>
      </c>
      <c r="J259" t="s">
        <v>23</v>
      </c>
      <c r="L259" s="1"/>
      <c r="N259" s="1"/>
      <c r="V259" t="str">
        <f>"91070"</f>
        <v>91070</v>
      </c>
      <c r="W259">
        <v>0</v>
      </c>
      <c r="X259">
        <v>0</v>
      </c>
    </row>
    <row r="260" spans="1:24" ht="15" customHeight="1" x14ac:dyDescent="0.25">
      <c r="A260" t="str">
        <f>""</f>
        <v/>
      </c>
      <c r="B260" s="1"/>
      <c r="H260">
        <v>40</v>
      </c>
      <c r="J260" t="s">
        <v>22</v>
      </c>
      <c r="L260" s="1"/>
      <c r="N260" s="1"/>
      <c r="V260" t="str">
        <f>"57175"</f>
        <v>57175</v>
      </c>
      <c r="W260">
        <v>0</v>
      </c>
      <c r="X260">
        <v>10</v>
      </c>
    </row>
    <row r="261" spans="1:24" ht="15" customHeight="1" x14ac:dyDescent="0.25">
      <c r="A261" t="str">
        <f>""</f>
        <v/>
      </c>
      <c r="B261" s="1"/>
      <c r="H261">
        <v>6</v>
      </c>
      <c r="J261" t="s">
        <v>23</v>
      </c>
      <c r="L261" s="1"/>
      <c r="N261" s="1"/>
      <c r="V261" t="str">
        <f>"75009"</f>
        <v>75009</v>
      </c>
      <c r="W261">
        <v>0</v>
      </c>
      <c r="X261">
        <v>0</v>
      </c>
    </row>
    <row r="262" spans="1:24" ht="15" customHeight="1" x14ac:dyDescent="0.25">
      <c r="A262" t="str">
        <f>""</f>
        <v/>
      </c>
      <c r="B262" s="1"/>
      <c r="H262">
        <v>40</v>
      </c>
      <c r="J262" t="s">
        <v>23</v>
      </c>
      <c r="L262" s="1"/>
      <c r="N262" s="1"/>
      <c r="V262" t="str">
        <f>"75014"</f>
        <v>75014</v>
      </c>
      <c r="W262">
        <v>0</v>
      </c>
      <c r="X262">
        <v>0</v>
      </c>
    </row>
    <row r="263" spans="1:24" ht="15" customHeight="1" x14ac:dyDescent="0.25">
      <c r="A263" t="str">
        <f>""</f>
        <v/>
      </c>
      <c r="B263" s="1"/>
      <c r="H263">
        <v>140</v>
      </c>
      <c r="J263" t="s">
        <v>23</v>
      </c>
      <c r="L263" s="1"/>
      <c r="N263" s="1"/>
      <c r="V263" t="str">
        <f>"15800"</f>
        <v>15800</v>
      </c>
      <c r="W263">
        <v>0</v>
      </c>
      <c r="X263">
        <v>0</v>
      </c>
    </row>
    <row r="264" spans="1:24" ht="15" customHeight="1" x14ac:dyDescent="0.25">
      <c r="A264" t="str">
        <f>""</f>
        <v/>
      </c>
      <c r="B264" s="1"/>
      <c r="H264">
        <v>184.02</v>
      </c>
      <c r="J264" t="s">
        <v>22</v>
      </c>
      <c r="L264" s="1"/>
      <c r="N264" s="1"/>
      <c r="V264" t="str">
        <f>"14000"</f>
        <v>14000</v>
      </c>
      <c r="W264">
        <v>0</v>
      </c>
      <c r="X264">
        <v>31.28</v>
      </c>
    </row>
    <row r="265" spans="1:24" ht="15" customHeight="1" x14ac:dyDescent="0.25">
      <c r="A265" t="str">
        <f>""</f>
        <v/>
      </c>
      <c r="B265" s="1"/>
      <c r="H265">
        <v>200.31</v>
      </c>
      <c r="J265" t="s">
        <v>19</v>
      </c>
      <c r="L265" s="1"/>
      <c r="N265" s="1"/>
      <c r="V265" t="str">
        <f>"61250"</f>
        <v>61250</v>
      </c>
      <c r="W265">
        <v>34.049999999999997</v>
      </c>
      <c r="X265">
        <v>0</v>
      </c>
    </row>
    <row r="266" spans="1:24" ht="15" customHeight="1" x14ac:dyDescent="0.25">
      <c r="A266" t="str">
        <f>""</f>
        <v/>
      </c>
      <c r="B266" s="1"/>
      <c r="H266">
        <v>163.98</v>
      </c>
      <c r="J266" t="s">
        <v>22</v>
      </c>
      <c r="L266" s="1"/>
      <c r="N266" s="1"/>
      <c r="V266" t="str">
        <f>"91470"</f>
        <v>91470</v>
      </c>
      <c r="W266">
        <v>0</v>
      </c>
      <c r="X266">
        <v>0</v>
      </c>
    </row>
    <row r="267" spans="1:24" ht="15" customHeight="1" x14ac:dyDescent="0.25">
      <c r="A267" t="str">
        <f>""</f>
        <v/>
      </c>
      <c r="B267" s="1"/>
      <c r="H267">
        <v>62.1</v>
      </c>
      <c r="J267" t="s">
        <v>23</v>
      </c>
      <c r="L267" s="1"/>
      <c r="V267" t="str">
        <f>"77380"</f>
        <v>77380</v>
      </c>
      <c r="W267">
        <v>0</v>
      </c>
      <c r="X267">
        <v>0</v>
      </c>
    </row>
    <row r="268" spans="1:24" ht="15" customHeight="1" x14ac:dyDescent="0.25">
      <c r="A268" t="str">
        <f>""</f>
        <v/>
      </c>
      <c r="B268" s="1"/>
      <c r="H268">
        <v>140</v>
      </c>
      <c r="J268" t="s">
        <v>23</v>
      </c>
      <c r="L268" s="1"/>
      <c r="N268" s="1"/>
      <c r="V268" t="str">
        <f>"44120"</f>
        <v>44120</v>
      </c>
      <c r="W268">
        <v>0</v>
      </c>
      <c r="X268">
        <v>0</v>
      </c>
    </row>
    <row r="269" spans="1:24" ht="15" customHeight="1" x14ac:dyDescent="0.25">
      <c r="A269" t="str">
        <f>""</f>
        <v/>
      </c>
      <c r="B269" s="1"/>
      <c r="H269">
        <v>110.91</v>
      </c>
      <c r="J269" t="s">
        <v>23</v>
      </c>
      <c r="L269" s="1"/>
      <c r="N269" s="1"/>
      <c r="V269" t="str">
        <f>"06570"</f>
        <v>06570</v>
      </c>
      <c r="W269">
        <v>0</v>
      </c>
      <c r="X269">
        <v>23.29</v>
      </c>
    </row>
    <row r="270" spans="1:24" ht="15" customHeight="1" x14ac:dyDescent="0.25">
      <c r="A270" t="str">
        <f>""</f>
        <v/>
      </c>
      <c r="B270" s="1"/>
      <c r="H270">
        <v>180</v>
      </c>
      <c r="J270" t="s">
        <v>22</v>
      </c>
      <c r="L270" s="1"/>
      <c r="V270" t="str">
        <f>"34500"</f>
        <v>34500</v>
      </c>
      <c r="W270">
        <v>0</v>
      </c>
      <c r="X270">
        <v>0</v>
      </c>
    </row>
    <row r="271" spans="1:24" ht="15" customHeight="1" x14ac:dyDescent="0.25">
      <c r="A271" t="str">
        <f>""</f>
        <v/>
      </c>
      <c r="B271" s="1"/>
      <c r="H271">
        <v>70</v>
      </c>
      <c r="J271" t="s">
        <v>23</v>
      </c>
      <c r="L271" s="1"/>
      <c r="N271" s="1"/>
      <c r="V271" t="str">
        <f>"83190"</f>
        <v>83190</v>
      </c>
      <c r="W271">
        <v>0</v>
      </c>
      <c r="X271">
        <v>0</v>
      </c>
    </row>
    <row r="272" spans="1:24" ht="15" customHeight="1" x14ac:dyDescent="0.25">
      <c r="A272" t="str">
        <f>""</f>
        <v/>
      </c>
      <c r="B272" s="1"/>
      <c r="H272">
        <v>80.599999999999994</v>
      </c>
      <c r="J272" t="s">
        <v>22</v>
      </c>
      <c r="L272" s="1"/>
      <c r="N272" s="1"/>
      <c r="V272" t="str">
        <f>"63100"</f>
        <v>63100</v>
      </c>
      <c r="W272">
        <v>0</v>
      </c>
      <c r="X272">
        <v>0</v>
      </c>
    </row>
    <row r="273" spans="1:24" x14ac:dyDescent="0.25">
      <c r="A273" t="str">
        <f>""</f>
        <v/>
      </c>
      <c r="B273" s="1"/>
      <c r="H273">
        <v>151</v>
      </c>
      <c r="J273" t="s">
        <v>17</v>
      </c>
      <c r="L273" s="1"/>
      <c r="N273" s="1"/>
      <c r="V273" t="str">
        <f>"69441"</f>
        <v>69441</v>
      </c>
      <c r="W273">
        <v>0</v>
      </c>
      <c r="X273">
        <v>0</v>
      </c>
    </row>
    <row r="274" spans="1:24" ht="15" customHeight="1" x14ac:dyDescent="0.25">
      <c r="A274" t="str">
        <f>""</f>
        <v/>
      </c>
      <c r="B274" s="1"/>
      <c r="H274">
        <v>50</v>
      </c>
      <c r="J274" t="s">
        <v>22</v>
      </c>
      <c r="L274" s="1"/>
      <c r="N274" s="1"/>
      <c r="V274" t="str">
        <f>"75007"</f>
        <v>75007</v>
      </c>
      <c r="W274">
        <v>0</v>
      </c>
      <c r="X274">
        <v>0</v>
      </c>
    </row>
    <row r="275" spans="1:24" ht="15" customHeight="1" x14ac:dyDescent="0.25">
      <c r="A275" t="str">
        <f>""</f>
        <v/>
      </c>
      <c r="B275" s="1"/>
      <c r="H275">
        <v>101</v>
      </c>
      <c r="J275" t="s">
        <v>22</v>
      </c>
      <c r="L275" s="1"/>
      <c r="N275" s="1"/>
      <c r="V275" t="str">
        <f>"56560"</f>
        <v>56560</v>
      </c>
      <c r="W275">
        <v>0</v>
      </c>
      <c r="X275">
        <v>0</v>
      </c>
    </row>
    <row r="276" spans="1:24" ht="15" customHeight="1" x14ac:dyDescent="0.25">
      <c r="A276" t="str">
        <f>""</f>
        <v/>
      </c>
      <c r="B276" s="1"/>
      <c r="H276">
        <v>183.98</v>
      </c>
      <c r="J276" t="s">
        <v>22</v>
      </c>
      <c r="L276" s="1"/>
      <c r="N276" s="1"/>
      <c r="V276" t="str">
        <f>"57000"</f>
        <v>57000</v>
      </c>
      <c r="W276">
        <v>0</v>
      </c>
      <c r="X276">
        <v>46</v>
      </c>
    </row>
    <row r="277" spans="1:24" ht="15" customHeight="1" x14ac:dyDescent="0.25">
      <c r="A277" t="str">
        <f>""</f>
        <v/>
      </c>
      <c r="B277" s="1"/>
      <c r="H277">
        <v>40</v>
      </c>
      <c r="J277" t="s">
        <v>22</v>
      </c>
      <c r="L277" s="1"/>
      <c r="N277" s="1"/>
      <c r="V277" t="str">
        <f>"04800"</f>
        <v>04800</v>
      </c>
      <c r="W277">
        <v>0</v>
      </c>
      <c r="X277">
        <v>0</v>
      </c>
    </row>
    <row r="278" spans="1:24" ht="15" customHeight="1" x14ac:dyDescent="0.25">
      <c r="A278" t="str">
        <f>""</f>
        <v/>
      </c>
      <c r="B278" s="1"/>
      <c r="H278">
        <v>160.04</v>
      </c>
      <c r="J278" t="s">
        <v>23</v>
      </c>
      <c r="L278" s="1"/>
      <c r="N278" s="1"/>
      <c r="V278" t="str">
        <f>"04800"</f>
        <v>04800</v>
      </c>
      <c r="W278">
        <v>0</v>
      </c>
      <c r="X278">
        <v>0</v>
      </c>
    </row>
    <row r="279" spans="1:24" ht="15" customHeight="1" x14ac:dyDescent="0.25">
      <c r="A279" t="str">
        <f>""</f>
        <v/>
      </c>
      <c r="B279" s="1"/>
      <c r="H279">
        <v>66.3</v>
      </c>
      <c r="J279" t="s">
        <v>23</v>
      </c>
      <c r="L279" s="1"/>
      <c r="N279" s="1"/>
      <c r="V279" t="str">
        <f>"54200"</f>
        <v>54200</v>
      </c>
      <c r="W279">
        <v>0</v>
      </c>
      <c r="X279">
        <v>16.57</v>
      </c>
    </row>
    <row r="280" spans="1:24" ht="15" customHeight="1" x14ac:dyDescent="0.25">
      <c r="A280" t="str">
        <f>""</f>
        <v/>
      </c>
      <c r="B280" s="1"/>
      <c r="H280">
        <v>50.84</v>
      </c>
      <c r="J280" t="s">
        <v>19</v>
      </c>
      <c r="L280" s="1"/>
      <c r="N280" s="1"/>
      <c r="V280" t="str">
        <f>"92000"</f>
        <v>92000</v>
      </c>
      <c r="W280">
        <v>0</v>
      </c>
      <c r="X280">
        <v>0</v>
      </c>
    </row>
    <row r="281" spans="1:24" ht="15" customHeight="1" x14ac:dyDescent="0.25">
      <c r="A281" t="str">
        <f>""</f>
        <v/>
      </c>
      <c r="B281" s="1"/>
      <c r="H281">
        <v>50.84</v>
      </c>
      <c r="J281" t="s">
        <v>19</v>
      </c>
      <c r="L281" s="1"/>
      <c r="N281" s="1"/>
      <c r="V281" t="str">
        <f>"92000"</f>
        <v>92000</v>
      </c>
      <c r="W281">
        <v>0</v>
      </c>
      <c r="X281">
        <v>0</v>
      </c>
    </row>
    <row r="282" spans="1:24" ht="15" customHeight="1" x14ac:dyDescent="0.25">
      <c r="A282" t="str">
        <f>""</f>
        <v/>
      </c>
      <c r="B282" s="1"/>
      <c r="H282">
        <v>140</v>
      </c>
      <c r="J282" t="s">
        <v>23</v>
      </c>
      <c r="L282" s="1"/>
      <c r="N282" s="1"/>
      <c r="V282" t="str">
        <f>"45120"</f>
        <v>45120</v>
      </c>
      <c r="W282">
        <v>0</v>
      </c>
      <c r="X282">
        <v>54.6</v>
      </c>
    </row>
    <row r="283" spans="1:24" ht="15" customHeight="1" x14ac:dyDescent="0.25">
      <c r="A283" t="str">
        <f>""</f>
        <v/>
      </c>
      <c r="B283" s="1"/>
      <c r="H283">
        <v>15.8</v>
      </c>
      <c r="J283" t="s">
        <v>23</v>
      </c>
      <c r="L283" s="1"/>
      <c r="N283" s="1"/>
      <c r="V283" t="str">
        <f>"51470"</f>
        <v>51470</v>
      </c>
      <c r="W283">
        <v>0</v>
      </c>
      <c r="X283">
        <v>3.95</v>
      </c>
    </row>
    <row r="284" spans="1:24" ht="15" customHeight="1" x14ac:dyDescent="0.25">
      <c r="A284" t="str">
        <f>""</f>
        <v/>
      </c>
      <c r="B284" s="1"/>
      <c r="H284">
        <v>70</v>
      </c>
      <c r="J284" t="s">
        <v>22</v>
      </c>
      <c r="L284" s="1"/>
      <c r="N284" s="1"/>
      <c r="V284" t="str">
        <f>"62200"</f>
        <v>62200</v>
      </c>
      <c r="W284">
        <v>0</v>
      </c>
      <c r="X284">
        <v>0</v>
      </c>
    </row>
    <row r="285" spans="1:24" ht="15" customHeight="1" x14ac:dyDescent="0.25">
      <c r="A285" t="str">
        <f>""</f>
        <v/>
      </c>
      <c r="B285" s="1"/>
      <c r="H285">
        <v>235.57</v>
      </c>
      <c r="J285" t="s">
        <v>23</v>
      </c>
      <c r="L285" s="1"/>
      <c r="N285" s="1"/>
      <c r="V285" t="str">
        <f>"75010"</f>
        <v>75010</v>
      </c>
      <c r="W285">
        <v>0</v>
      </c>
      <c r="X285">
        <v>0</v>
      </c>
    </row>
    <row r="286" spans="1:24" ht="15" customHeight="1" x14ac:dyDescent="0.25">
      <c r="A286" t="str">
        <f>""</f>
        <v/>
      </c>
      <c r="B286" s="1"/>
      <c r="H286">
        <v>28.62</v>
      </c>
      <c r="J286" t="s">
        <v>20</v>
      </c>
      <c r="L286" s="1"/>
      <c r="N286" s="1"/>
      <c r="V286" t="str">
        <f>"47160"</f>
        <v>47160</v>
      </c>
      <c r="W286">
        <v>22.61</v>
      </c>
      <c r="X286">
        <v>0</v>
      </c>
    </row>
    <row r="287" spans="1:24" x14ac:dyDescent="0.25">
      <c r="A287" t="str">
        <f>""</f>
        <v/>
      </c>
      <c r="B287" s="1"/>
      <c r="H287">
        <v>52.5</v>
      </c>
      <c r="J287" t="s">
        <v>15</v>
      </c>
      <c r="L287" s="1"/>
      <c r="N287" s="1"/>
      <c r="V287" t="str">
        <f>"38000"</f>
        <v>38000</v>
      </c>
      <c r="W287">
        <v>0</v>
      </c>
      <c r="X287">
        <v>0</v>
      </c>
    </row>
    <row r="288" spans="1:24" x14ac:dyDescent="0.25">
      <c r="A288" t="str">
        <f>""</f>
        <v/>
      </c>
      <c r="B288" s="1"/>
      <c r="H288">
        <v>52.5</v>
      </c>
      <c r="J288" t="s">
        <v>15</v>
      </c>
      <c r="L288" s="1"/>
      <c r="N288" s="1"/>
      <c r="V288" t="str">
        <f>"33153"</f>
        <v>33153</v>
      </c>
      <c r="W288">
        <v>0</v>
      </c>
      <c r="X288">
        <v>0</v>
      </c>
    </row>
    <row r="289" spans="1:24" x14ac:dyDescent="0.25">
      <c r="A289" t="str">
        <f>""</f>
        <v/>
      </c>
      <c r="B289" s="1"/>
      <c r="H289">
        <v>52.5</v>
      </c>
      <c r="J289" t="s">
        <v>15</v>
      </c>
      <c r="L289" s="1"/>
      <c r="N289" s="1"/>
      <c r="V289" t="str">
        <f>"01000"</f>
        <v>01000</v>
      </c>
      <c r="W289">
        <v>0</v>
      </c>
      <c r="X289">
        <v>0</v>
      </c>
    </row>
    <row r="290" spans="1:24" ht="15" customHeight="1" x14ac:dyDescent="0.25">
      <c r="A290" t="str">
        <f>""</f>
        <v/>
      </c>
      <c r="B290" s="1"/>
      <c r="H290">
        <v>44</v>
      </c>
      <c r="J290" t="s">
        <v>22</v>
      </c>
      <c r="L290" s="1"/>
      <c r="N290" s="1"/>
      <c r="V290" t="str">
        <f>"62600"</f>
        <v>62600</v>
      </c>
      <c r="W290">
        <v>0</v>
      </c>
      <c r="X290">
        <v>8.36</v>
      </c>
    </row>
    <row r="291" spans="1:24" ht="15" customHeight="1" x14ac:dyDescent="0.25">
      <c r="A291" t="str">
        <f>""</f>
        <v/>
      </c>
      <c r="B291" s="1"/>
      <c r="H291">
        <v>396.2</v>
      </c>
      <c r="J291" t="s">
        <v>23</v>
      </c>
      <c r="L291" s="1"/>
      <c r="N291" s="1"/>
      <c r="V291" t="str">
        <f>"27400"</f>
        <v>27400</v>
      </c>
      <c r="W291">
        <v>0</v>
      </c>
      <c r="X291">
        <v>0</v>
      </c>
    </row>
    <row r="292" spans="1:24" ht="15" customHeight="1" x14ac:dyDescent="0.25">
      <c r="A292" t="str">
        <f>""</f>
        <v/>
      </c>
      <c r="B292" s="1"/>
      <c r="H292">
        <v>140</v>
      </c>
      <c r="J292" t="s">
        <v>22</v>
      </c>
      <c r="L292" s="1"/>
      <c r="V292" t="str">
        <f>"75004"</f>
        <v>75004</v>
      </c>
      <c r="W292">
        <v>0</v>
      </c>
      <c r="X292">
        <v>0</v>
      </c>
    </row>
    <row r="293" spans="1:24" ht="15" customHeight="1" x14ac:dyDescent="0.25">
      <c r="A293" t="str">
        <f>""</f>
        <v/>
      </c>
      <c r="B293" s="1"/>
      <c r="H293">
        <v>126</v>
      </c>
      <c r="J293" t="s">
        <v>23</v>
      </c>
      <c r="L293" s="1"/>
      <c r="N293" s="1"/>
      <c r="V293" t="str">
        <f>"38170"</f>
        <v>38170</v>
      </c>
      <c r="W293">
        <v>0</v>
      </c>
      <c r="X293">
        <v>0</v>
      </c>
    </row>
    <row r="294" spans="1:24" ht="15" customHeight="1" x14ac:dyDescent="0.25">
      <c r="A294" t="str">
        <f>""</f>
        <v/>
      </c>
      <c r="B294" s="1"/>
      <c r="H294">
        <v>32.85</v>
      </c>
      <c r="J294" t="s">
        <v>19</v>
      </c>
      <c r="L294" s="1"/>
      <c r="N294" s="1"/>
      <c r="V294" t="str">
        <f>"62200"</f>
        <v>62200</v>
      </c>
      <c r="W294">
        <v>6.24</v>
      </c>
      <c r="X294">
        <v>0</v>
      </c>
    </row>
    <row r="295" spans="1:24" ht="15" customHeight="1" x14ac:dyDescent="0.25">
      <c r="A295" t="str">
        <f>""</f>
        <v/>
      </c>
      <c r="B295" s="1"/>
      <c r="H295">
        <v>1249.6600000000001</v>
      </c>
      <c r="J295" t="s">
        <v>22</v>
      </c>
      <c r="L295" s="1"/>
      <c r="N295" s="1"/>
      <c r="V295" t="str">
        <f>"93000"</f>
        <v>93000</v>
      </c>
      <c r="W295">
        <v>0</v>
      </c>
      <c r="X295">
        <v>0</v>
      </c>
    </row>
    <row r="296" spans="1:24" ht="15" customHeight="1" x14ac:dyDescent="0.25">
      <c r="A296" t="str">
        <f>""</f>
        <v/>
      </c>
      <c r="B296" s="1"/>
      <c r="H296">
        <v>151</v>
      </c>
      <c r="J296" t="s">
        <v>23</v>
      </c>
      <c r="L296" s="1"/>
      <c r="N296" s="1"/>
      <c r="V296" t="str">
        <f>"22130"</f>
        <v>22130</v>
      </c>
      <c r="W296">
        <v>0</v>
      </c>
      <c r="X296">
        <v>0</v>
      </c>
    </row>
    <row r="297" spans="1:24" ht="15" customHeight="1" x14ac:dyDescent="0.25">
      <c r="A297" t="str">
        <f>""</f>
        <v/>
      </c>
      <c r="B297" s="1"/>
      <c r="H297">
        <v>18.8</v>
      </c>
      <c r="J297" t="s">
        <v>22</v>
      </c>
      <c r="L297" s="1"/>
      <c r="N297" s="1"/>
      <c r="V297" t="str">
        <f>"45400"</f>
        <v>45400</v>
      </c>
      <c r="W297">
        <v>0</v>
      </c>
      <c r="X297">
        <v>5.08</v>
      </c>
    </row>
    <row r="298" spans="1:24" ht="15" customHeight="1" x14ac:dyDescent="0.25">
      <c r="A298" t="str">
        <f>""</f>
        <v/>
      </c>
      <c r="B298" s="1"/>
      <c r="H298">
        <v>155.37</v>
      </c>
      <c r="J298" t="s">
        <v>19</v>
      </c>
      <c r="L298" s="1"/>
      <c r="N298" s="1"/>
      <c r="V298" t="str">
        <f>"56920"</f>
        <v>56920</v>
      </c>
      <c r="W298">
        <v>41.95</v>
      </c>
      <c r="X298">
        <v>0</v>
      </c>
    </row>
    <row r="299" spans="1:24" ht="15" customHeight="1" x14ac:dyDescent="0.25">
      <c r="A299" t="str">
        <f>""</f>
        <v/>
      </c>
      <c r="B299" s="1"/>
      <c r="H299">
        <v>19.649999999999999</v>
      </c>
      <c r="J299" t="s">
        <v>19</v>
      </c>
      <c r="L299" s="1"/>
      <c r="N299" s="1"/>
      <c r="V299" t="str">
        <f>"38300"</f>
        <v>38300</v>
      </c>
      <c r="W299">
        <v>5.31</v>
      </c>
      <c r="X299">
        <v>0</v>
      </c>
    </row>
    <row r="300" spans="1:24" ht="15" customHeight="1" x14ac:dyDescent="0.25">
      <c r="A300" t="str">
        <f>""</f>
        <v/>
      </c>
      <c r="B300" s="1"/>
      <c r="H300">
        <v>19.649999999999999</v>
      </c>
      <c r="J300" t="s">
        <v>19</v>
      </c>
      <c r="L300" s="1"/>
      <c r="N300" s="1"/>
      <c r="V300" t="str">
        <f>"38230"</f>
        <v>38230</v>
      </c>
      <c r="W300">
        <v>5.31</v>
      </c>
      <c r="X300">
        <v>0</v>
      </c>
    </row>
    <row r="301" spans="1:24" ht="15" customHeight="1" x14ac:dyDescent="0.25">
      <c r="A301" t="str">
        <f>""</f>
        <v/>
      </c>
      <c r="B301" s="1"/>
      <c r="H301">
        <v>180</v>
      </c>
      <c r="J301" t="s">
        <v>22</v>
      </c>
      <c r="L301" s="1"/>
      <c r="N301" s="1"/>
      <c r="V301" t="str">
        <f>"63500"</f>
        <v>63500</v>
      </c>
      <c r="W301">
        <v>0</v>
      </c>
      <c r="X301">
        <v>0</v>
      </c>
    </row>
    <row r="302" spans="1:24" ht="15" customHeight="1" x14ac:dyDescent="0.25">
      <c r="A302" t="str">
        <f>""</f>
        <v/>
      </c>
      <c r="B302" s="1"/>
      <c r="H302">
        <v>140</v>
      </c>
      <c r="L302" s="1"/>
      <c r="N302" s="1"/>
      <c r="V302" t="str">
        <f>"77184"</f>
        <v>77184</v>
      </c>
      <c r="W302">
        <v>0</v>
      </c>
      <c r="X302">
        <v>0</v>
      </c>
    </row>
    <row r="303" spans="1:24" ht="15" customHeight="1" x14ac:dyDescent="0.25">
      <c r="A303" t="str">
        <f>""</f>
        <v/>
      </c>
      <c r="B303" s="1"/>
      <c r="H303">
        <v>136.65</v>
      </c>
      <c r="J303" t="s">
        <v>19</v>
      </c>
      <c r="L303" s="1"/>
      <c r="N303" s="1"/>
      <c r="V303" t="str">
        <f>"45330"</f>
        <v>45330</v>
      </c>
      <c r="W303">
        <v>28.7</v>
      </c>
      <c r="X303">
        <v>0</v>
      </c>
    </row>
    <row r="304" spans="1:24" x14ac:dyDescent="0.25">
      <c r="A304" t="str">
        <f>""</f>
        <v/>
      </c>
      <c r="B304" s="1"/>
      <c r="H304">
        <v>140</v>
      </c>
      <c r="J304" t="s">
        <v>15</v>
      </c>
      <c r="L304" s="1"/>
      <c r="N304" s="1"/>
      <c r="V304" t="str">
        <f>"44000"</f>
        <v>44000</v>
      </c>
      <c r="W304">
        <v>0</v>
      </c>
      <c r="X304">
        <v>0</v>
      </c>
    </row>
    <row r="305" spans="1:24" ht="15" customHeight="1" x14ac:dyDescent="0.25">
      <c r="A305" t="str">
        <f>""</f>
        <v/>
      </c>
      <c r="B305" s="1"/>
      <c r="H305">
        <v>19.8</v>
      </c>
      <c r="J305" t="s">
        <v>19</v>
      </c>
      <c r="L305" s="1"/>
      <c r="N305" s="1"/>
      <c r="V305" t="str">
        <f>"16340"</f>
        <v>16340</v>
      </c>
      <c r="W305">
        <v>4.16</v>
      </c>
      <c r="X305">
        <v>0</v>
      </c>
    </row>
    <row r="306" spans="1:24" ht="15" customHeight="1" x14ac:dyDescent="0.25">
      <c r="A306" t="str">
        <f>""</f>
        <v/>
      </c>
      <c r="B306" s="1"/>
      <c r="H306">
        <v>40</v>
      </c>
      <c r="J306" t="s">
        <v>23</v>
      </c>
      <c r="L306" s="1"/>
      <c r="N306" s="1"/>
      <c r="V306" t="str">
        <f>"75002"</f>
        <v>75002</v>
      </c>
      <c r="W306">
        <v>0</v>
      </c>
      <c r="X306">
        <v>0</v>
      </c>
    </row>
    <row r="307" spans="1:24" ht="15" customHeight="1" x14ac:dyDescent="0.25">
      <c r="A307" t="str">
        <f>""</f>
        <v/>
      </c>
      <c r="B307" s="1"/>
      <c r="H307">
        <v>151</v>
      </c>
      <c r="J307" t="s">
        <v>23</v>
      </c>
      <c r="L307" s="1"/>
      <c r="N307" s="1"/>
      <c r="V307" t="str">
        <f>"06560"</f>
        <v>06560</v>
      </c>
      <c r="W307">
        <v>0</v>
      </c>
      <c r="X307">
        <v>0</v>
      </c>
    </row>
    <row r="308" spans="1:24" ht="15" customHeight="1" x14ac:dyDescent="0.25">
      <c r="A308" t="str">
        <f>""</f>
        <v/>
      </c>
      <c r="B308" s="1"/>
      <c r="H308">
        <v>151</v>
      </c>
      <c r="J308" t="s">
        <v>23</v>
      </c>
      <c r="L308" s="1"/>
      <c r="N308" s="1"/>
      <c r="V308" t="str">
        <f>"06560"</f>
        <v>06560</v>
      </c>
      <c r="W308">
        <v>0</v>
      </c>
      <c r="X308">
        <v>0</v>
      </c>
    </row>
    <row r="309" spans="1:24" ht="15" customHeight="1" x14ac:dyDescent="0.25">
      <c r="A309" t="str">
        <f>""</f>
        <v/>
      </c>
      <c r="B309" s="1"/>
      <c r="H309">
        <v>151</v>
      </c>
      <c r="J309" t="s">
        <v>23</v>
      </c>
      <c r="L309" s="1"/>
      <c r="N309" s="1"/>
      <c r="V309" t="str">
        <f>"06560"</f>
        <v>06560</v>
      </c>
      <c r="W309">
        <v>0</v>
      </c>
      <c r="X309">
        <v>0</v>
      </c>
    </row>
    <row r="310" spans="1:24" ht="15" customHeight="1" x14ac:dyDescent="0.25">
      <c r="A310" t="str">
        <f>""</f>
        <v/>
      </c>
      <c r="B310" s="1"/>
      <c r="H310">
        <v>32</v>
      </c>
      <c r="L310" s="1"/>
      <c r="V310" t="str">
        <f>"77184"</f>
        <v>77184</v>
      </c>
      <c r="W310">
        <v>0</v>
      </c>
      <c r="X310">
        <v>0</v>
      </c>
    </row>
    <row r="311" spans="1:24" ht="15" customHeight="1" x14ac:dyDescent="0.25">
      <c r="A311" t="str">
        <f>""</f>
        <v/>
      </c>
      <c r="B311" s="1"/>
      <c r="H311">
        <v>50</v>
      </c>
      <c r="L311" s="1"/>
      <c r="N311" s="1"/>
      <c r="V311" t="str">
        <f>"77184"</f>
        <v>77184</v>
      </c>
      <c r="W311">
        <v>0</v>
      </c>
      <c r="X311">
        <v>0</v>
      </c>
    </row>
    <row r="312" spans="1:24" ht="15" customHeight="1" x14ac:dyDescent="0.25">
      <c r="A312" t="str">
        <f>""</f>
        <v/>
      </c>
      <c r="B312" s="1"/>
      <c r="H312">
        <v>180</v>
      </c>
      <c r="J312" t="s">
        <v>23</v>
      </c>
      <c r="L312" s="1"/>
      <c r="N312" s="1"/>
      <c r="V312" t="str">
        <f>"94220"</f>
        <v>94220</v>
      </c>
      <c r="W312">
        <v>0</v>
      </c>
      <c r="X312">
        <v>0</v>
      </c>
    </row>
    <row r="313" spans="1:24" ht="15" customHeight="1" x14ac:dyDescent="0.25">
      <c r="A313" t="str">
        <f>""</f>
        <v/>
      </c>
      <c r="B313" s="1"/>
      <c r="H313">
        <v>58.35</v>
      </c>
      <c r="J313" t="s">
        <v>19</v>
      </c>
      <c r="L313" s="1"/>
      <c r="N313" s="1"/>
      <c r="V313" t="str">
        <f>"56920"</f>
        <v>56920</v>
      </c>
      <c r="W313">
        <v>15.75</v>
      </c>
      <c r="X313">
        <v>0</v>
      </c>
    </row>
    <row r="314" spans="1:24" ht="15" customHeight="1" x14ac:dyDescent="0.25">
      <c r="A314" t="str">
        <f>""</f>
        <v/>
      </c>
      <c r="B314" s="1"/>
      <c r="H314">
        <v>195.25</v>
      </c>
      <c r="J314" t="s">
        <v>23</v>
      </c>
      <c r="L314" s="1"/>
      <c r="N314" s="1"/>
      <c r="V314" t="str">
        <f>"75014"</f>
        <v>75014</v>
      </c>
      <c r="W314">
        <v>0</v>
      </c>
      <c r="X314">
        <v>0</v>
      </c>
    </row>
    <row r="315" spans="1:24" ht="15" customHeight="1" x14ac:dyDescent="0.25">
      <c r="A315" t="str">
        <f>""</f>
        <v/>
      </c>
      <c r="B315" s="1"/>
      <c r="H315">
        <v>120.29</v>
      </c>
      <c r="J315" t="s">
        <v>20</v>
      </c>
      <c r="L315" s="1"/>
      <c r="N315" s="1"/>
      <c r="V315" t="str">
        <f>"91400"</f>
        <v>91400</v>
      </c>
      <c r="W315">
        <v>40.9</v>
      </c>
      <c r="X315">
        <v>0</v>
      </c>
    </row>
    <row r="316" spans="1:24" ht="15" customHeight="1" x14ac:dyDescent="0.25">
      <c r="A316" t="str">
        <f>""</f>
        <v/>
      </c>
      <c r="B316" s="1"/>
      <c r="H316">
        <v>53.52</v>
      </c>
      <c r="J316" t="s">
        <v>19</v>
      </c>
      <c r="L316" s="1"/>
      <c r="N316" s="1"/>
      <c r="V316" t="str">
        <f>"94547"</f>
        <v>94547</v>
      </c>
      <c r="W316">
        <v>0</v>
      </c>
      <c r="X316">
        <v>0</v>
      </c>
    </row>
    <row r="317" spans="1:24" ht="15" customHeight="1" x14ac:dyDescent="0.25">
      <c r="A317" t="str">
        <f>""</f>
        <v/>
      </c>
      <c r="B317" s="1"/>
      <c r="H317">
        <v>31</v>
      </c>
      <c r="L317" s="1"/>
      <c r="N317" s="1"/>
      <c r="V317" t="str">
        <f>"77184"</f>
        <v>77184</v>
      </c>
      <c r="W317">
        <v>0</v>
      </c>
      <c r="X317">
        <v>0</v>
      </c>
    </row>
    <row r="318" spans="1:24" ht="15" customHeight="1" x14ac:dyDescent="0.25">
      <c r="A318" t="str">
        <f>""</f>
        <v/>
      </c>
      <c r="B318" s="1"/>
      <c r="H318">
        <v>205</v>
      </c>
      <c r="J318" t="s">
        <v>22</v>
      </c>
      <c r="L318" s="1"/>
      <c r="N318" s="1"/>
      <c r="V318" t="str">
        <f>"69002"</f>
        <v>69002</v>
      </c>
      <c r="W318">
        <v>0</v>
      </c>
      <c r="X318">
        <v>0</v>
      </c>
    </row>
    <row r="319" spans="1:24" x14ac:dyDescent="0.25">
      <c r="A319" t="str">
        <f>""</f>
        <v/>
      </c>
      <c r="B319" s="1"/>
      <c r="H319">
        <v>108.52</v>
      </c>
      <c r="J319" t="s">
        <v>15</v>
      </c>
      <c r="L319" s="1"/>
      <c r="N319" s="1"/>
      <c r="V319" t="str">
        <f>"63100"</f>
        <v>63100</v>
      </c>
      <c r="W319">
        <v>0</v>
      </c>
      <c r="X319">
        <v>0</v>
      </c>
    </row>
    <row r="320" spans="1:24" ht="15" customHeight="1" x14ac:dyDescent="0.25">
      <c r="A320" t="str">
        <f>""</f>
        <v/>
      </c>
      <c r="B320" s="1"/>
      <c r="H320">
        <v>10</v>
      </c>
      <c r="L320" s="1"/>
      <c r="N320" s="1"/>
      <c r="V320" t="str">
        <f>"77184"</f>
        <v>77184</v>
      </c>
      <c r="W320">
        <v>0</v>
      </c>
      <c r="X320">
        <v>0</v>
      </c>
    </row>
    <row r="321" spans="1:24" x14ac:dyDescent="0.25">
      <c r="A321" t="str">
        <f>""</f>
        <v/>
      </c>
      <c r="B321" s="1"/>
      <c r="H321">
        <v>190.63</v>
      </c>
      <c r="J321" t="s">
        <v>18</v>
      </c>
      <c r="L321" s="1"/>
      <c r="N321" s="1"/>
      <c r="V321" t="str">
        <f>"34530"</f>
        <v>34530</v>
      </c>
      <c r="W321">
        <v>0</v>
      </c>
      <c r="X321">
        <v>0</v>
      </c>
    </row>
    <row r="322" spans="1:24" ht="15" customHeight="1" x14ac:dyDescent="0.25">
      <c r="A322" t="str">
        <f>""</f>
        <v/>
      </c>
      <c r="B322" s="1"/>
      <c r="H322">
        <v>137.05000000000001</v>
      </c>
      <c r="J322" t="s">
        <v>22</v>
      </c>
      <c r="L322" s="1"/>
      <c r="N322" s="1"/>
      <c r="V322" t="str">
        <f>"13115"</f>
        <v>13115</v>
      </c>
      <c r="W322">
        <v>0</v>
      </c>
      <c r="X322">
        <v>26.04</v>
      </c>
    </row>
    <row r="323" spans="1:24" ht="15" customHeight="1" x14ac:dyDescent="0.25">
      <c r="A323" t="str">
        <f>""</f>
        <v/>
      </c>
      <c r="B323" s="1"/>
      <c r="H323">
        <v>137.05000000000001</v>
      </c>
      <c r="J323" t="s">
        <v>23</v>
      </c>
      <c r="L323" s="1"/>
      <c r="N323" s="1"/>
      <c r="V323" t="str">
        <f>"13115"</f>
        <v>13115</v>
      </c>
      <c r="W323">
        <v>0</v>
      </c>
      <c r="X323">
        <v>26.04</v>
      </c>
    </row>
    <row r="324" spans="1:24" ht="15" customHeight="1" x14ac:dyDescent="0.25">
      <c r="A324" t="str">
        <f>""</f>
        <v/>
      </c>
      <c r="B324" s="1"/>
      <c r="H324">
        <v>36.590000000000003</v>
      </c>
      <c r="J324" t="s">
        <v>19</v>
      </c>
      <c r="L324" s="1"/>
      <c r="N324" s="1"/>
      <c r="V324" t="str">
        <f>"13008"</f>
        <v>13008</v>
      </c>
      <c r="W324">
        <v>10.61</v>
      </c>
      <c r="X324">
        <v>0</v>
      </c>
    </row>
    <row r="325" spans="1:24" ht="15" customHeight="1" x14ac:dyDescent="0.25">
      <c r="A325" t="str">
        <f>""</f>
        <v/>
      </c>
      <c r="B325" s="1"/>
      <c r="H325">
        <v>40</v>
      </c>
      <c r="J325" t="s">
        <v>20</v>
      </c>
      <c r="L325" s="1"/>
      <c r="N325" s="1"/>
      <c r="V325" t="str">
        <f>"06000"</f>
        <v>06000</v>
      </c>
      <c r="W325">
        <v>12</v>
      </c>
      <c r="X325">
        <v>0</v>
      </c>
    </row>
    <row r="326" spans="1:24" ht="15" customHeight="1" x14ac:dyDescent="0.25">
      <c r="A326" t="str">
        <f>""</f>
        <v/>
      </c>
      <c r="B326" s="1"/>
      <c r="H326">
        <v>180</v>
      </c>
      <c r="J326" t="s">
        <v>23</v>
      </c>
      <c r="L326" s="1"/>
      <c r="N326" s="1"/>
      <c r="V326" t="str">
        <f>"14380"</f>
        <v>14380</v>
      </c>
      <c r="W326">
        <v>0</v>
      </c>
      <c r="X326">
        <v>30.6</v>
      </c>
    </row>
    <row r="327" spans="1:24" ht="15" customHeight="1" x14ac:dyDescent="0.25">
      <c r="A327" t="str">
        <f>""</f>
        <v/>
      </c>
      <c r="B327" s="1"/>
      <c r="H327">
        <v>70</v>
      </c>
      <c r="J327" t="s">
        <v>23</v>
      </c>
      <c r="L327" s="1"/>
      <c r="V327" t="str">
        <f>"76600"</f>
        <v>76600</v>
      </c>
      <c r="W327">
        <v>0</v>
      </c>
      <c r="X327">
        <v>0</v>
      </c>
    </row>
    <row r="328" spans="1:24" ht="15" customHeight="1" x14ac:dyDescent="0.25">
      <c r="A328" t="str">
        <f>""</f>
        <v/>
      </c>
      <c r="B328" s="1"/>
      <c r="H328">
        <v>446.76</v>
      </c>
      <c r="J328" t="s">
        <v>20</v>
      </c>
      <c r="L328" s="1"/>
      <c r="N328" s="1"/>
      <c r="V328" t="str">
        <f>"59280"</f>
        <v>59280</v>
      </c>
      <c r="W328">
        <v>84.88</v>
      </c>
      <c r="X328">
        <v>0</v>
      </c>
    </row>
    <row r="329" spans="1:24" ht="15" customHeight="1" x14ac:dyDescent="0.25">
      <c r="A329" t="str">
        <f>""</f>
        <v/>
      </c>
      <c r="B329" s="1"/>
      <c r="H329">
        <v>55.16</v>
      </c>
      <c r="J329" t="s">
        <v>19</v>
      </c>
      <c r="L329" s="1"/>
      <c r="N329" s="1"/>
      <c r="V329" t="str">
        <f>"87000"</f>
        <v>87000</v>
      </c>
      <c r="W329">
        <v>16</v>
      </c>
      <c r="X329">
        <v>0</v>
      </c>
    </row>
    <row r="330" spans="1:24" ht="15" customHeight="1" x14ac:dyDescent="0.25">
      <c r="A330" t="str">
        <f>""</f>
        <v/>
      </c>
      <c r="B330" s="1"/>
      <c r="H330">
        <v>20.23</v>
      </c>
      <c r="J330" t="s">
        <v>19</v>
      </c>
      <c r="L330" s="1"/>
      <c r="N330" s="1"/>
      <c r="V330" t="str">
        <f>"71380"</f>
        <v>71380</v>
      </c>
      <c r="W330">
        <v>5.46</v>
      </c>
      <c r="X330">
        <v>0</v>
      </c>
    </row>
    <row r="331" spans="1:24" ht="15" customHeight="1" x14ac:dyDescent="0.25">
      <c r="A331" t="str">
        <f>""</f>
        <v/>
      </c>
      <c r="B331" s="1"/>
      <c r="H331">
        <v>20.23</v>
      </c>
      <c r="J331" t="s">
        <v>19</v>
      </c>
      <c r="L331" s="1"/>
      <c r="N331" s="1"/>
      <c r="V331" t="str">
        <f>"75018"</f>
        <v>75018</v>
      </c>
      <c r="W331">
        <v>0</v>
      </c>
      <c r="X331">
        <v>0</v>
      </c>
    </row>
    <row r="332" spans="1:24" ht="15" customHeight="1" x14ac:dyDescent="0.25">
      <c r="A332" t="str">
        <f>""</f>
        <v/>
      </c>
      <c r="B332" s="1"/>
      <c r="H332">
        <v>49.08</v>
      </c>
      <c r="J332" t="s">
        <v>19</v>
      </c>
      <c r="L332" s="1"/>
      <c r="N332" s="1"/>
      <c r="V332" t="str">
        <f>"56920"</f>
        <v>56920</v>
      </c>
      <c r="W332">
        <v>13.25</v>
      </c>
      <c r="X332">
        <v>0</v>
      </c>
    </row>
    <row r="333" spans="1:24" ht="15" customHeight="1" x14ac:dyDescent="0.25">
      <c r="A333" t="str">
        <f>""</f>
        <v/>
      </c>
      <c r="B333" s="1"/>
      <c r="H333">
        <v>104.2</v>
      </c>
      <c r="J333" t="s">
        <v>23</v>
      </c>
      <c r="L333" s="1"/>
      <c r="N333" s="1"/>
      <c r="V333" t="str">
        <f>"84380"</f>
        <v>84380</v>
      </c>
      <c r="W333">
        <v>0</v>
      </c>
      <c r="X333">
        <v>19.8</v>
      </c>
    </row>
    <row r="334" spans="1:24" ht="15" customHeight="1" x14ac:dyDescent="0.25">
      <c r="A334" t="str">
        <f>""</f>
        <v/>
      </c>
      <c r="B334" s="1"/>
      <c r="H334">
        <v>140</v>
      </c>
      <c r="J334" t="s">
        <v>22</v>
      </c>
      <c r="L334" s="1"/>
      <c r="N334" s="1"/>
      <c r="V334" t="str">
        <f>"14100"</f>
        <v>14100</v>
      </c>
      <c r="W334">
        <v>0</v>
      </c>
      <c r="X334">
        <v>23.8</v>
      </c>
    </row>
    <row r="335" spans="1:24" ht="15" customHeight="1" x14ac:dyDescent="0.25">
      <c r="A335" t="str">
        <f>""</f>
        <v/>
      </c>
      <c r="B335" s="1"/>
      <c r="H335">
        <v>28.12</v>
      </c>
      <c r="J335" t="s">
        <v>22</v>
      </c>
      <c r="L335" s="1"/>
      <c r="N335" s="1"/>
      <c r="V335" t="str">
        <f>"27290"</f>
        <v>27290</v>
      </c>
      <c r="W335">
        <v>0</v>
      </c>
      <c r="X335">
        <v>4.78</v>
      </c>
    </row>
    <row r="336" spans="1:24" ht="15" customHeight="1" x14ac:dyDescent="0.25">
      <c r="A336" t="str">
        <f>""</f>
        <v/>
      </c>
      <c r="B336" s="1"/>
      <c r="H336">
        <v>366.96</v>
      </c>
      <c r="J336" t="s">
        <v>20</v>
      </c>
      <c r="L336" s="1"/>
      <c r="N336" s="1"/>
      <c r="V336" t="str">
        <f>"84000"</f>
        <v>84000</v>
      </c>
      <c r="W336">
        <v>106.42</v>
      </c>
      <c r="X336">
        <v>0</v>
      </c>
    </row>
    <row r="337" spans="1:24" ht="15" customHeight="1" x14ac:dyDescent="0.25">
      <c r="A337" t="str">
        <f>""</f>
        <v/>
      </c>
      <c r="B337" s="1"/>
      <c r="H337">
        <v>84.5</v>
      </c>
      <c r="L337" s="1"/>
      <c r="N337" s="1"/>
      <c r="V337" t="str">
        <f>"77184"</f>
        <v>77184</v>
      </c>
      <c r="W337">
        <v>0</v>
      </c>
      <c r="X337">
        <v>0</v>
      </c>
    </row>
    <row r="338" spans="1:24" ht="15" customHeight="1" x14ac:dyDescent="0.25">
      <c r="A338" t="str">
        <f>""</f>
        <v/>
      </c>
      <c r="B338" s="1"/>
      <c r="H338">
        <v>144.6</v>
      </c>
      <c r="L338" s="1"/>
      <c r="N338" s="1"/>
      <c r="V338" t="str">
        <f>"77184"</f>
        <v>77184</v>
      </c>
      <c r="W338">
        <v>0</v>
      </c>
      <c r="X338">
        <v>0</v>
      </c>
    </row>
    <row r="339" spans="1:24" ht="15" customHeight="1" x14ac:dyDescent="0.25">
      <c r="A339" t="str">
        <f>""</f>
        <v/>
      </c>
      <c r="B339" s="1"/>
      <c r="H339">
        <v>65</v>
      </c>
      <c r="L339" s="1"/>
      <c r="N339" s="1"/>
      <c r="V339" t="str">
        <f>"77184"</f>
        <v>77184</v>
      </c>
      <c r="W339">
        <v>0</v>
      </c>
      <c r="X339">
        <v>0</v>
      </c>
    </row>
    <row r="340" spans="1:24" ht="15" customHeight="1" x14ac:dyDescent="0.25">
      <c r="A340" t="str">
        <f>""</f>
        <v/>
      </c>
      <c r="B340" s="1"/>
      <c r="H340">
        <v>106.8</v>
      </c>
      <c r="L340" s="1"/>
      <c r="N340" s="1"/>
      <c r="V340" t="str">
        <f>"77184"</f>
        <v>77184</v>
      </c>
      <c r="W340">
        <v>0</v>
      </c>
      <c r="X340">
        <v>0</v>
      </c>
    </row>
    <row r="341" spans="1:24" ht="15" customHeight="1" x14ac:dyDescent="0.25">
      <c r="A341" t="str">
        <f>""</f>
        <v/>
      </c>
      <c r="B341" s="1"/>
      <c r="H341">
        <v>69.7</v>
      </c>
      <c r="J341" t="s">
        <v>19</v>
      </c>
      <c r="L341" s="1"/>
      <c r="N341" s="1"/>
      <c r="V341" t="str">
        <f>"67300"</f>
        <v>67300</v>
      </c>
      <c r="W341">
        <v>20.21</v>
      </c>
      <c r="X341">
        <v>0</v>
      </c>
    </row>
    <row r="342" spans="1:24" ht="15" customHeight="1" x14ac:dyDescent="0.25">
      <c r="A342" t="str">
        <f>""</f>
        <v/>
      </c>
      <c r="B342" s="1"/>
      <c r="H342">
        <v>31</v>
      </c>
      <c r="L342" s="1"/>
      <c r="N342" s="1"/>
      <c r="V342" t="str">
        <f>"44240"</f>
        <v>44240</v>
      </c>
      <c r="W342">
        <v>0</v>
      </c>
      <c r="X342">
        <v>0</v>
      </c>
    </row>
    <row r="343" spans="1:24" ht="15" customHeight="1" x14ac:dyDescent="0.25">
      <c r="A343" t="str">
        <f>""</f>
        <v/>
      </c>
      <c r="B343" s="1"/>
      <c r="H343">
        <v>31</v>
      </c>
      <c r="L343" s="1"/>
      <c r="N343" s="1"/>
      <c r="V343" t="str">
        <f>"44240"</f>
        <v>44240</v>
      </c>
      <c r="W343">
        <v>0</v>
      </c>
      <c r="X343">
        <v>0</v>
      </c>
    </row>
    <row r="344" spans="1:24" ht="15" customHeight="1" x14ac:dyDescent="0.25">
      <c r="A344" t="str">
        <f>""</f>
        <v/>
      </c>
      <c r="B344" s="1"/>
      <c r="H344">
        <v>31.6</v>
      </c>
      <c r="L344" s="1"/>
      <c r="N344" s="1"/>
      <c r="V344" t="str">
        <f>"44240"</f>
        <v>44240</v>
      </c>
      <c r="W344">
        <v>0</v>
      </c>
      <c r="X344">
        <v>0</v>
      </c>
    </row>
    <row r="345" spans="1:24" ht="15" customHeight="1" x14ac:dyDescent="0.25">
      <c r="A345" t="str">
        <f>""</f>
        <v/>
      </c>
      <c r="B345" s="1"/>
      <c r="H345">
        <v>31</v>
      </c>
      <c r="L345" s="1"/>
      <c r="N345" s="1"/>
      <c r="V345" t="str">
        <f>"44240"</f>
        <v>44240</v>
      </c>
      <c r="W345">
        <v>0</v>
      </c>
      <c r="X345">
        <v>0</v>
      </c>
    </row>
    <row r="346" spans="1:24" ht="15" customHeight="1" x14ac:dyDescent="0.25">
      <c r="A346" t="str">
        <f>""</f>
        <v/>
      </c>
      <c r="B346" s="1"/>
      <c r="H346">
        <v>150</v>
      </c>
      <c r="L346" s="1"/>
      <c r="N346" s="1"/>
      <c r="V346" t="str">
        <f>"77184"</f>
        <v>77184</v>
      </c>
      <c r="W346">
        <v>0</v>
      </c>
      <c r="X346">
        <v>0</v>
      </c>
    </row>
    <row r="347" spans="1:24" ht="15" customHeight="1" x14ac:dyDescent="0.25">
      <c r="A347" t="str">
        <f>""</f>
        <v/>
      </c>
      <c r="B347" s="1"/>
      <c r="H347">
        <v>150</v>
      </c>
      <c r="L347" s="1"/>
      <c r="N347" s="1"/>
      <c r="V347" t="str">
        <f>"77184"</f>
        <v>77184</v>
      </c>
      <c r="W347">
        <v>0</v>
      </c>
      <c r="X347">
        <v>0</v>
      </c>
    </row>
    <row r="348" spans="1:24" ht="15" customHeight="1" x14ac:dyDescent="0.25">
      <c r="A348" t="str">
        <f>""</f>
        <v/>
      </c>
      <c r="B348" s="1"/>
      <c r="H348">
        <v>84.5</v>
      </c>
      <c r="L348" s="1"/>
      <c r="N348" s="1"/>
      <c r="V348" t="str">
        <f>"77184"</f>
        <v>77184</v>
      </c>
      <c r="W348">
        <v>0</v>
      </c>
      <c r="X348">
        <v>0</v>
      </c>
    </row>
    <row r="349" spans="1:24" ht="15" customHeight="1" x14ac:dyDescent="0.25">
      <c r="A349" t="str">
        <f>""</f>
        <v/>
      </c>
      <c r="B349" s="1"/>
      <c r="H349">
        <v>59.68</v>
      </c>
      <c r="J349" t="s">
        <v>20</v>
      </c>
      <c r="L349" s="1"/>
      <c r="N349" s="1"/>
      <c r="V349" t="str">
        <f>"75014    "</f>
        <v xml:space="preserve">75014    </v>
      </c>
      <c r="W349">
        <v>0</v>
      </c>
      <c r="X349">
        <v>0</v>
      </c>
    </row>
    <row r="350" spans="1:24" ht="15" customHeight="1" x14ac:dyDescent="0.25">
      <c r="A350" t="str">
        <f>""</f>
        <v/>
      </c>
      <c r="B350" s="1"/>
      <c r="H350">
        <v>47</v>
      </c>
      <c r="J350" t="s">
        <v>20</v>
      </c>
      <c r="L350" s="1"/>
      <c r="N350" s="1"/>
      <c r="V350" t="str">
        <f>"33140"</f>
        <v>33140</v>
      </c>
      <c r="W350">
        <v>9.8699999999999992</v>
      </c>
      <c r="X350">
        <v>0</v>
      </c>
    </row>
    <row r="351" spans="1:24" ht="15" customHeight="1" x14ac:dyDescent="0.25">
      <c r="A351" t="str">
        <f>""</f>
        <v/>
      </c>
      <c r="B351" s="1"/>
      <c r="H351">
        <v>33.65</v>
      </c>
      <c r="J351" t="s">
        <v>23</v>
      </c>
      <c r="L351" s="1"/>
      <c r="N351" s="1"/>
      <c r="V351" t="str">
        <f>"75016"</f>
        <v>75016</v>
      </c>
      <c r="W351">
        <v>0</v>
      </c>
      <c r="X351">
        <v>0</v>
      </c>
    </row>
    <row r="352" spans="1:24" ht="15" customHeight="1" x14ac:dyDescent="0.25">
      <c r="A352" t="str">
        <f>""</f>
        <v/>
      </c>
      <c r="B352" s="1"/>
      <c r="H352">
        <v>151</v>
      </c>
      <c r="L352" s="1"/>
      <c r="N352" s="1"/>
      <c r="V352" t="str">
        <f>"77184"</f>
        <v>77184</v>
      </c>
      <c r="W352">
        <v>0</v>
      </c>
      <c r="X352">
        <v>0</v>
      </c>
    </row>
    <row r="353" spans="1:24" ht="15" customHeight="1" x14ac:dyDescent="0.25">
      <c r="A353" t="str">
        <f>""</f>
        <v/>
      </c>
      <c r="B353" s="1"/>
      <c r="H353">
        <v>40</v>
      </c>
      <c r="J353" t="s">
        <v>22</v>
      </c>
      <c r="L353" s="1"/>
      <c r="N353" s="1"/>
      <c r="V353" t="str">
        <f>"60230"</f>
        <v>60230</v>
      </c>
      <c r="W353">
        <v>0</v>
      </c>
      <c r="X353">
        <v>0</v>
      </c>
    </row>
    <row r="354" spans="1:24" ht="15" customHeight="1" x14ac:dyDescent="0.25">
      <c r="A354" t="str">
        <f>""</f>
        <v/>
      </c>
      <c r="B354" s="1"/>
      <c r="H354">
        <v>179</v>
      </c>
      <c r="L354" s="1"/>
      <c r="N354" s="1"/>
      <c r="V354" t="str">
        <f>"77184"</f>
        <v>77184</v>
      </c>
      <c r="W354">
        <v>0</v>
      </c>
      <c r="X354">
        <v>0</v>
      </c>
    </row>
    <row r="355" spans="1:24" ht="15" customHeight="1" x14ac:dyDescent="0.25">
      <c r="A355" t="str">
        <f>""</f>
        <v/>
      </c>
      <c r="B355" s="1"/>
      <c r="H355">
        <v>194</v>
      </c>
      <c r="L355" s="1"/>
      <c r="N355" s="1"/>
      <c r="V355" t="str">
        <f>"77184"</f>
        <v>77184</v>
      </c>
      <c r="W355">
        <v>0</v>
      </c>
      <c r="X355">
        <v>0</v>
      </c>
    </row>
    <row r="356" spans="1:24" ht="15" customHeight="1" x14ac:dyDescent="0.25">
      <c r="A356" t="str">
        <f>""</f>
        <v/>
      </c>
      <c r="B356" s="1"/>
      <c r="H356">
        <v>22</v>
      </c>
      <c r="L356" s="1"/>
      <c r="N356" s="1"/>
      <c r="V356" t="str">
        <f>"77184"</f>
        <v>77184</v>
      </c>
      <c r="W356">
        <v>0</v>
      </c>
      <c r="X356">
        <v>0</v>
      </c>
    </row>
    <row r="357" spans="1:24" ht="15" customHeight="1" x14ac:dyDescent="0.25">
      <c r="A357" t="str">
        <f>""</f>
        <v/>
      </c>
      <c r="B357" s="1"/>
      <c r="H357">
        <v>31</v>
      </c>
      <c r="L357" s="1"/>
      <c r="N357" s="1"/>
      <c r="V357" t="str">
        <f>"77184"</f>
        <v>77184</v>
      </c>
      <c r="W357">
        <v>0</v>
      </c>
      <c r="X357">
        <v>0</v>
      </c>
    </row>
    <row r="358" spans="1:24" ht="15" customHeight="1" x14ac:dyDescent="0.25">
      <c r="A358" t="str">
        <f>""</f>
        <v/>
      </c>
      <c r="B358" s="1"/>
      <c r="H358">
        <v>250</v>
      </c>
      <c r="J358" t="s">
        <v>23</v>
      </c>
      <c r="L358" s="1"/>
      <c r="N358" s="1"/>
      <c r="V358" t="str">
        <f>"62300"</f>
        <v>62300</v>
      </c>
      <c r="W358">
        <v>0</v>
      </c>
      <c r="X358">
        <v>0</v>
      </c>
    </row>
    <row r="359" spans="1:24" ht="15" customHeight="1" x14ac:dyDescent="0.25">
      <c r="A359" t="str">
        <f>""</f>
        <v/>
      </c>
      <c r="B359" s="1"/>
      <c r="H359">
        <v>70</v>
      </c>
      <c r="J359" t="s">
        <v>22</v>
      </c>
      <c r="L359" s="1"/>
      <c r="N359" s="1"/>
      <c r="V359" t="str">
        <f>"08350"</f>
        <v>08350</v>
      </c>
      <c r="W359">
        <v>0</v>
      </c>
      <c r="X359">
        <v>0</v>
      </c>
    </row>
    <row r="360" spans="1:24" ht="15" customHeight="1" x14ac:dyDescent="0.25">
      <c r="A360" t="str">
        <f>""</f>
        <v/>
      </c>
      <c r="B360" s="1"/>
      <c r="H360">
        <v>120.35</v>
      </c>
      <c r="J360" t="s">
        <v>20</v>
      </c>
      <c r="L360" s="1"/>
      <c r="N360" s="1"/>
      <c r="V360" t="str">
        <f>"88000"</f>
        <v>88000</v>
      </c>
      <c r="W360">
        <v>34.9</v>
      </c>
      <c r="X360">
        <v>0</v>
      </c>
    </row>
    <row r="361" spans="1:24" ht="15" customHeight="1" x14ac:dyDescent="0.25">
      <c r="A361" t="str">
        <f>""</f>
        <v/>
      </c>
      <c r="B361" s="1"/>
      <c r="H361">
        <v>120.85</v>
      </c>
      <c r="J361" t="s">
        <v>20</v>
      </c>
      <c r="L361" s="1"/>
      <c r="N361" s="1"/>
      <c r="V361" t="str">
        <f>"30200"</f>
        <v>30200</v>
      </c>
      <c r="W361">
        <v>47.13</v>
      </c>
      <c r="X361">
        <v>0</v>
      </c>
    </row>
    <row r="362" spans="1:24" ht="15" customHeight="1" x14ac:dyDescent="0.25">
      <c r="A362" t="str">
        <f>""</f>
        <v/>
      </c>
      <c r="B362" s="1"/>
      <c r="H362">
        <v>126.72</v>
      </c>
      <c r="J362" t="s">
        <v>19</v>
      </c>
      <c r="L362" s="1"/>
      <c r="N362" s="1"/>
      <c r="V362" t="str">
        <f>"86510"</f>
        <v>86510</v>
      </c>
      <c r="W362">
        <v>26.61</v>
      </c>
      <c r="X362">
        <v>0</v>
      </c>
    </row>
    <row r="363" spans="1:24" ht="15" customHeight="1" x14ac:dyDescent="0.25">
      <c r="A363" t="str">
        <f>""</f>
        <v/>
      </c>
      <c r="B363" s="1"/>
      <c r="H363">
        <v>137.59</v>
      </c>
      <c r="J363" t="s">
        <v>19</v>
      </c>
      <c r="L363" s="1"/>
      <c r="N363" s="1"/>
      <c r="V363" t="str">
        <f>"75014"</f>
        <v>75014</v>
      </c>
      <c r="W363">
        <v>0</v>
      </c>
      <c r="X363">
        <v>0</v>
      </c>
    </row>
    <row r="364" spans="1:24" ht="15" customHeight="1" x14ac:dyDescent="0.25">
      <c r="A364" t="str">
        <f>""</f>
        <v/>
      </c>
      <c r="B364" s="1"/>
      <c r="H364">
        <v>138.12</v>
      </c>
      <c r="J364" t="s">
        <v>20</v>
      </c>
      <c r="L364" s="1"/>
      <c r="N364" s="1"/>
      <c r="V364" t="str">
        <f>"40990"</f>
        <v>40990</v>
      </c>
      <c r="W364">
        <v>29.01</v>
      </c>
      <c r="X364">
        <v>0</v>
      </c>
    </row>
    <row r="365" spans="1:24" ht="15" customHeight="1" x14ac:dyDescent="0.25">
      <c r="A365" t="str">
        <f>""</f>
        <v/>
      </c>
      <c r="B365" s="1"/>
      <c r="H365">
        <v>107.82</v>
      </c>
      <c r="J365" t="s">
        <v>20</v>
      </c>
      <c r="L365" s="1"/>
      <c r="N365" s="1"/>
      <c r="V365" t="str">
        <f>"59160"</f>
        <v>59160</v>
      </c>
      <c r="W365">
        <v>20.49</v>
      </c>
      <c r="X365">
        <v>0</v>
      </c>
    </row>
    <row r="366" spans="1:24" ht="15" customHeight="1" x14ac:dyDescent="0.25">
      <c r="A366" t="str">
        <f>""</f>
        <v/>
      </c>
      <c r="B366" s="1"/>
      <c r="H366">
        <v>18.350000000000001</v>
      </c>
      <c r="J366" t="s">
        <v>19</v>
      </c>
      <c r="L366" s="1"/>
      <c r="N366" s="1"/>
      <c r="V366" t="str">
        <f>"59380"</f>
        <v>59380</v>
      </c>
      <c r="W366">
        <v>3.49</v>
      </c>
      <c r="X366">
        <v>0</v>
      </c>
    </row>
    <row r="367" spans="1:24" ht="15" customHeight="1" x14ac:dyDescent="0.25">
      <c r="A367" t="str">
        <f>""</f>
        <v/>
      </c>
      <c r="B367" s="1"/>
      <c r="H367">
        <v>170</v>
      </c>
      <c r="J367" t="s">
        <v>23</v>
      </c>
      <c r="L367" s="1"/>
      <c r="N367" s="1"/>
      <c r="V367" t="str">
        <f>"61300"</f>
        <v>61300</v>
      </c>
      <c r="W367">
        <v>0</v>
      </c>
      <c r="X367">
        <v>28.9</v>
      </c>
    </row>
    <row r="368" spans="1:24" ht="15" customHeight="1" x14ac:dyDescent="0.25">
      <c r="A368" t="str">
        <f>""</f>
        <v/>
      </c>
      <c r="B368" s="1"/>
      <c r="H368">
        <v>151</v>
      </c>
      <c r="J368" t="s">
        <v>23</v>
      </c>
      <c r="L368" s="1"/>
      <c r="N368" s="1"/>
      <c r="V368" t="str">
        <f>"14000"</f>
        <v>14000</v>
      </c>
      <c r="W368">
        <v>0</v>
      </c>
      <c r="X368">
        <v>25.67</v>
      </c>
    </row>
    <row r="369" spans="1:24" ht="15" customHeight="1" x14ac:dyDescent="0.25">
      <c r="A369" t="str">
        <f>""</f>
        <v/>
      </c>
      <c r="B369" s="1"/>
      <c r="H369">
        <v>180</v>
      </c>
      <c r="J369" t="s">
        <v>23</v>
      </c>
      <c r="L369" s="1"/>
      <c r="N369" s="1"/>
      <c r="V369" t="str">
        <f>"14000"</f>
        <v>14000</v>
      </c>
      <c r="W369">
        <v>0</v>
      </c>
      <c r="X369">
        <v>30.6</v>
      </c>
    </row>
    <row r="370" spans="1:24" ht="15" customHeight="1" x14ac:dyDescent="0.25">
      <c r="A370" t="str">
        <f>""</f>
        <v/>
      </c>
      <c r="B370" s="1"/>
      <c r="H370">
        <v>19.649999999999999</v>
      </c>
      <c r="J370" t="s">
        <v>19</v>
      </c>
      <c r="L370" s="1"/>
      <c r="N370" s="1"/>
      <c r="V370" t="str">
        <f>"75014"</f>
        <v>75014</v>
      </c>
      <c r="W370">
        <v>0</v>
      </c>
      <c r="X370">
        <v>0</v>
      </c>
    </row>
    <row r="371" spans="1:24" ht="15" customHeight="1" x14ac:dyDescent="0.25">
      <c r="A371" t="str">
        <f>""</f>
        <v/>
      </c>
      <c r="B371" s="1"/>
      <c r="H371">
        <v>54.61</v>
      </c>
      <c r="J371" t="s">
        <v>20</v>
      </c>
      <c r="L371" s="1"/>
      <c r="N371" s="1"/>
      <c r="V371" t="str">
        <f>"07270"</f>
        <v>07270</v>
      </c>
      <c r="W371">
        <v>14.74</v>
      </c>
      <c r="X371">
        <v>0</v>
      </c>
    </row>
    <row r="372" spans="1:24" ht="15" customHeight="1" x14ac:dyDescent="0.25">
      <c r="A372" t="str">
        <f>""</f>
        <v/>
      </c>
      <c r="B372" s="1"/>
      <c r="H372">
        <v>27.05</v>
      </c>
      <c r="J372" t="s">
        <v>19</v>
      </c>
      <c r="L372" s="1"/>
      <c r="N372" s="1"/>
      <c r="V372" t="str">
        <f>"98000"</f>
        <v>98000</v>
      </c>
      <c r="W372">
        <v>8.1199999999999992</v>
      </c>
      <c r="X372">
        <v>0</v>
      </c>
    </row>
    <row r="373" spans="1:24" ht="15" customHeight="1" x14ac:dyDescent="0.25">
      <c r="A373" t="str">
        <f>""</f>
        <v/>
      </c>
      <c r="B373" s="1"/>
      <c r="H373">
        <v>27.05</v>
      </c>
      <c r="J373" t="s">
        <v>19</v>
      </c>
      <c r="L373" s="1"/>
      <c r="N373" s="1"/>
      <c r="V373" t="str">
        <f>"98000"</f>
        <v>98000</v>
      </c>
      <c r="W373">
        <v>8.1199999999999992</v>
      </c>
      <c r="X373">
        <v>0</v>
      </c>
    </row>
    <row r="374" spans="1:24" ht="15" customHeight="1" x14ac:dyDescent="0.25">
      <c r="A374" t="str">
        <f>""</f>
        <v/>
      </c>
      <c r="B374" s="1"/>
      <c r="H374">
        <v>141.65</v>
      </c>
      <c r="J374" t="s">
        <v>19</v>
      </c>
      <c r="L374" s="1"/>
      <c r="N374" s="1"/>
      <c r="V374" t="str">
        <f>"75009"</f>
        <v>75009</v>
      </c>
      <c r="W374">
        <v>0</v>
      </c>
      <c r="X374">
        <v>0</v>
      </c>
    </row>
    <row r="375" spans="1:24" ht="15" customHeight="1" x14ac:dyDescent="0.25">
      <c r="A375" t="str">
        <f>""</f>
        <v/>
      </c>
      <c r="B375" s="1"/>
      <c r="H375">
        <v>19.649999999999999</v>
      </c>
      <c r="J375" t="s">
        <v>19</v>
      </c>
      <c r="L375" s="1"/>
      <c r="N375" s="1"/>
      <c r="V375" t="str">
        <f t="shared" ref="V375:V380" si="3">"75014"</f>
        <v>75014</v>
      </c>
      <c r="W375">
        <v>0</v>
      </c>
      <c r="X375">
        <v>0</v>
      </c>
    </row>
    <row r="376" spans="1:24" ht="15" customHeight="1" x14ac:dyDescent="0.25">
      <c r="A376" t="str">
        <f>""</f>
        <v/>
      </c>
      <c r="B376" s="1"/>
      <c r="H376">
        <v>19.649999999999999</v>
      </c>
      <c r="J376" t="s">
        <v>19</v>
      </c>
      <c r="L376" s="1"/>
      <c r="N376" s="1"/>
      <c r="V376" t="str">
        <f t="shared" si="3"/>
        <v>75014</v>
      </c>
      <c r="W376">
        <v>0</v>
      </c>
      <c r="X376">
        <v>0</v>
      </c>
    </row>
    <row r="377" spans="1:24" ht="15" customHeight="1" x14ac:dyDescent="0.25">
      <c r="A377" t="str">
        <f>""</f>
        <v/>
      </c>
      <c r="B377" s="1"/>
      <c r="H377">
        <v>19.649999999999999</v>
      </c>
      <c r="J377" t="s">
        <v>19</v>
      </c>
      <c r="L377" s="1"/>
      <c r="N377" s="1"/>
      <c r="V377" t="str">
        <f t="shared" si="3"/>
        <v>75014</v>
      </c>
      <c r="W377">
        <v>0</v>
      </c>
      <c r="X377">
        <v>0</v>
      </c>
    </row>
    <row r="378" spans="1:24" ht="15" customHeight="1" x14ac:dyDescent="0.25">
      <c r="A378" t="str">
        <f>""</f>
        <v/>
      </c>
      <c r="B378" s="1"/>
      <c r="H378">
        <v>19.649999999999999</v>
      </c>
      <c r="J378" t="s">
        <v>19</v>
      </c>
      <c r="L378" s="1"/>
      <c r="N378" s="1"/>
      <c r="V378" t="str">
        <f t="shared" si="3"/>
        <v>75014</v>
      </c>
      <c r="W378">
        <v>0</v>
      </c>
      <c r="X378">
        <v>0</v>
      </c>
    </row>
    <row r="379" spans="1:24" ht="15" customHeight="1" x14ac:dyDescent="0.25">
      <c r="A379" t="str">
        <f>""</f>
        <v/>
      </c>
      <c r="B379" s="1"/>
      <c r="H379">
        <v>19.649999999999999</v>
      </c>
      <c r="J379" t="s">
        <v>19</v>
      </c>
      <c r="L379" s="1"/>
      <c r="N379" s="1"/>
      <c r="V379" t="str">
        <f t="shared" si="3"/>
        <v>75014</v>
      </c>
      <c r="W379">
        <v>0</v>
      </c>
      <c r="X379">
        <v>0</v>
      </c>
    </row>
    <row r="380" spans="1:24" ht="15" customHeight="1" x14ac:dyDescent="0.25">
      <c r="A380" t="str">
        <f>""</f>
        <v/>
      </c>
      <c r="B380" s="1"/>
      <c r="H380">
        <v>19.649999999999999</v>
      </c>
      <c r="J380" t="s">
        <v>19</v>
      </c>
      <c r="L380" s="1"/>
      <c r="N380" s="1"/>
      <c r="V380" t="str">
        <f t="shared" si="3"/>
        <v>75014</v>
      </c>
      <c r="W380">
        <v>0</v>
      </c>
      <c r="X380">
        <v>0</v>
      </c>
    </row>
    <row r="381" spans="1:24" ht="15" customHeight="1" x14ac:dyDescent="0.25">
      <c r="A381" t="str">
        <f>""</f>
        <v/>
      </c>
      <c r="B381" s="1"/>
      <c r="H381">
        <v>86.27</v>
      </c>
      <c r="J381" t="s">
        <v>19</v>
      </c>
      <c r="L381" s="1"/>
      <c r="N381" s="1"/>
      <c r="V381" t="str">
        <f>"64600"</f>
        <v>64600</v>
      </c>
      <c r="W381">
        <v>18.12</v>
      </c>
      <c r="X381">
        <v>0</v>
      </c>
    </row>
    <row r="382" spans="1:24" ht="15" customHeight="1" x14ac:dyDescent="0.25">
      <c r="A382" t="str">
        <f>""</f>
        <v/>
      </c>
      <c r="B382" s="1"/>
      <c r="H382">
        <v>120.29</v>
      </c>
      <c r="J382" t="s">
        <v>20</v>
      </c>
      <c r="L382" s="1"/>
      <c r="N382" s="1"/>
      <c r="V382" t="str">
        <f>"88100"</f>
        <v>88100</v>
      </c>
      <c r="W382">
        <v>34.880000000000003</v>
      </c>
      <c r="X382">
        <v>0</v>
      </c>
    </row>
    <row r="383" spans="1:24" ht="15" customHeight="1" x14ac:dyDescent="0.25">
      <c r="A383" t="str">
        <f>""</f>
        <v/>
      </c>
      <c r="B383" s="1"/>
      <c r="H383">
        <v>29.89</v>
      </c>
      <c r="J383" t="s">
        <v>22</v>
      </c>
      <c r="L383" s="1"/>
      <c r="N383" s="1"/>
      <c r="V383" t="str">
        <f>"62740"</f>
        <v>62740</v>
      </c>
      <c r="W383">
        <v>0</v>
      </c>
      <c r="X383">
        <v>0</v>
      </c>
    </row>
    <row r="384" spans="1:24" ht="15" customHeight="1" x14ac:dyDescent="0.25">
      <c r="A384" t="str">
        <f>""</f>
        <v/>
      </c>
      <c r="B384" s="1"/>
      <c r="H384">
        <v>883.29</v>
      </c>
      <c r="J384" t="s">
        <v>22</v>
      </c>
      <c r="L384" s="1"/>
      <c r="N384" s="1"/>
      <c r="V384" t="str">
        <f>"94110"</f>
        <v>94110</v>
      </c>
      <c r="W384">
        <v>0</v>
      </c>
      <c r="X384">
        <v>0</v>
      </c>
    </row>
    <row r="385" spans="1:24" ht="15" customHeight="1" x14ac:dyDescent="0.25">
      <c r="A385" t="str">
        <f>""</f>
        <v/>
      </c>
      <c r="B385" s="1"/>
      <c r="H385">
        <v>30</v>
      </c>
      <c r="J385" t="s">
        <v>19</v>
      </c>
      <c r="L385" s="1"/>
      <c r="V385" t="str">
        <f>"17350"</f>
        <v>17350</v>
      </c>
      <c r="W385">
        <v>0</v>
      </c>
      <c r="X385">
        <v>0</v>
      </c>
    </row>
    <row r="386" spans="1:24" ht="15" customHeight="1" x14ac:dyDescent="0.25">
      <c r="A386" t="str">
        <f>""</f>
        <v/>
      </c>
      <c r="B386" s="1"/>
      <c r="H386">
        <v>38.9</v>
      </c>
      <c r="L386" s="1"/>
      <c r="N386" s="1"/>
      <c r="V386" t="str">
        <f>"77184"</f>
        <v>77184</v>
      </c>
      <c r="W386">
        <v>0</v>
      </c>
      <c r="X386">
        <v>0</v>
      </c>
    </row>
    <row r="387" spans="1:24" ht="15" customHeight="1" x14ac:dyDescent="0.25">
      <c r="A387" t="str">
        <f>""</f>
        <v/>
      </c>
      <c r="B387" s="1"/>
      <c r="H387">
        <v>40</v>
      </c>
      <c r="J387" t="s">
        <v>23</v>
      </c>
      <c r="L387" s="1"/>
      <c r="N387" s="1"/>
      <c r="V387" t="str">
        <f>"59150"</f>
        <v>59150</v>
      </c>
      <c r="W387">
        <v>0</v>
      </c>
      <c r="X387">
        <v>0</v>
      </c>
    </row>
    <row r="388" spans="1:24" ht="15" customHeight="1" x14ac:dyDescent="0.25">
      <c r="A388" t="str">
        <f>""</f>
        <v/>
      </c>
      <c r="B388" s="1"/>
      <c r="H388">
        <v>151</v>
      </c>
      <c r="J388" t="s">
        <v>22</v>
      </c>
      <c r="L388" s="1"/>
      <c r="N388" s="1"/>
      <c r="V388" t="str">
        <f>"34980"</f>
        <v>34980</v>
      </c>
      <c r="W388">
        <v>0</v>
      </c>
      <c r="X388">
        <v>42.28</v>
      </c>
    </row>
    <row r="389" spans="1:24" ht="15" customHeight="1" x14ac:dyDescent="0.25">
      <c r="A389" t="str">
        <f>""</f>
        <v/>
      </c>
      <c r="B389" s="1"/>
      <c r="H389">
        <v>140.53</v>
      </c>
      <c r="J389" t="s">
        <v>20</v>
      </c>
      <c r="L389" s="1"/>
      <c r="N389" s="1"/>
      <c r="V389" t="str">
        <f>"62600"</f>
        <v>62600</v>
      </c>
      <c r="W389">
        <v>26.7</v>
      </c>
      <c r="X389">
        <v>0</v>
      </c>
    </row>
    <row r="390" spans="1:24" ht="15" customHeight="1" x14ac:dyDescent="0.25">
      <c r="A390" t="str">
        <f>""</f>
        <v/>
      </c>
      <c r="B390" s="1"/>
      <c r="H390">
        <v>127.01</v>
      </c>
      <c r="J390" t="s">
        <v>20</v>
      </c>
      <c r="L390" s="1"/>
      <c r="N390" s="1"/>
      <c r="V390" t="str">
        <f>"75012"</f>
        <v>75012</v>
      </c>
      <c r="W390">
        <v>0</v>
      </c>
      <c r="X390">
        <v>0</v>
      </c>
    </row>
    <row r="391" spans="1:24" ht="15" customHeight="1" x14ac:dyDescent="0.25">
      <c r="A391" t="str">
        <f>""</f>
        <v/>
      </c>
      <c r="B391" s="1"/>
      <c r="H391">
        <v>34.590000000000003</v>
      </c>
      <c r="J391" t="s">
        <v>20</v>
      </c>
      <c r="L391" s="1"/>
      <c r="N391" s="1"/>
      <c r="V391" t="str">
        <f>"57050"</f>
        <v>57050</v>
      </c>
      <c r="W391">
        <v>8.65</v>
      </c>
      <c r="X391">
        <v>0</v>
      </c>
    </row>
    <row r="392" spans="1:24" ht="15" customHeight="1" x14ac:dyDescent="0.25">
      <c r="A392" t="str">
        <f>""</f>
        <v/>
      </c>
      <c r="B392" s="1"/>
      <c r="H392">
        <v>22.62</v>
      </c>
      <c r="J392" t="s">
        <v>19</v>
      </c>
      <c r="L392" s="1"/>
      <c r="N392" s="1"/>
      <c r="V392" t="str">
        <f>"52800"</f>
        <v>52800</v>
      </c>
      <c r="W392">
        <v>5.43</v>
      </c>
      <c r="X392">
        <v>0</v>
      </c>
    </row>
    <row r="393" spans="1:24" ht="15" customHeight="1" x14ac:dyDescent="0.25">
      <c r="A393" t="str">
        <f>""</f>
        <v/>
      </c>
      <c r="B393" s="1"/>
      <c r="H393">
        <v>55.31</v>
      </c>
      <c r="J393" t="s">
        <v>19</v>
      </c>
      <c r="L393" s="1"/>
      <c r="N393" s="1"/>
      <c r="V393" t="str">
        <f>"62180"</f>
        <v>62180</v>
      </c>
      <c r="W393">
        <v>10.51</v>
      </c>
      <c r="X393">
        <v>0</v>
      </c>
    </row>
    <row r="394" spans="1:24" ht="15" customHeight="1" x14ac:dyDescent="0.25">
      <c r="A394" t="str">
        <f>""</f>
        <v/>
      </c>
      <c r="B394" s="1"/>
      <c r="H394">
        <v>138.12</v>
      </c>
      <c r="J394" t="s">
        <v>20</v>
      </c>
      <c r="L394" s="1"/>
      <c r="N394" s="1"/>
      <c r="V394" t="str">
        <f>"79010"</f>
        <v>79010</v>
      </c>
      <c r="W394">
        <v>29.01</v>
      </c>
      <c r="X394">
        <v>0</v>
      </c>
    </row>
    <row r="395" spans="1:24" x14ac:dyDescent="0.25">
      <c r="A395" t="str">
        <f>""</f>
        <v/>
      </c>
      <c r="B395" s="1"/>
      <c r="H395">
        <v>185.6</v>
      </c>
      <c r="J395" t="s">
        <v>16</v>
      </c>
      <c r="L395" s="1"/>
      <c r="N395" s="1"/>
      <c r="V395" t="str">
        <f>"59650"</f>
        <v>59650</v>
      </c>
      <c r="W395">
        <v>35.26</v>
      </c>
      <c r="X395">
        <v>0</v>
      </c>
    </row>
    <row r="396" spans="1:24" ht="15" customHeight="1" x14ac:dyDescent="0.25">
      <c r="A396" t="str">
        <f>""</f>
        <v/>
      </c>
      <c r="B396" s="1"/>
      <c r="H396">
        <v>158.81</v>
      </c>
      <c r="J396" t="s">
        <v>20</v>
      </c>
      <c r="L396" s="1"/>
      <c r="N396" s="1"/>
      <c r="V396" t="str">
        <f>"25620"</f>
        <v>25620</v>
      </c>
      <c r="W396">
        <v>38.11</v>
      </c>
      <c r="X396">
        <v>0</v>
      </c>
    </row>
    <row r="397" spans="1:24" ht="15" customHeight="1" x14ac:dyDescent="0.25">
      <c r="A397" t="str">
        <f>""</f>
        <v/>
      </c>
      <c r="B397" s="1"/>
      <c r="H397">
        <v>55.14</v>
      </c>
      <c r="J397" t="s">
        <v>20</v>
      </c>
      <c r="L397" s="1"/>
      <c r="N397" s="1"/>
      <c r="V397" t="str">
        <f>"13742"</f>
        <v>13742</v>
      </c>
      <c r="W397">
        <v>15.99</v>
      </c>
      <c r="X397">
        <v>0</v>
      </c>
    </row>
    <row r="398" spans="1:24" ht="15" customHeight="1" x14ac:dyDescent="0.25">
      <c r="A398" t="str">
        <f>""</f>
        <v/>
      </c>
      <c r="B398" s="1"/>
      <c r="H398">
        <v>28</v>
      </c>
      <c r="L398" s="1"/>
      <c r="N398" s="1"/>
      <c r="V398" t="str">
        <f>"77184"</f>
        <v>77184</v>
      </c>
      <c r="W398">
        <v>0</v>
      </c>
      <c r="X398">
        <v>0</v>
      </c>
    </row>
    <row r="399" spans="1:24" ht="15" customHeight="1" x14ac:dyDescent="0.25">
      <c r="A399" t="str">
        <f>""</f>
        <v/>
      </c>
      <c r="B399" s="1"/>
      <c r="H399">
        <v>50</v>
      </c>
      <c r="L399" s="1"/>
      <c r="N399" s="1"/>
      <c r="V399" t="str">
        <f>"77184"</f>
        <v>77184</v>
      </c>
      <c r="W399">
        <v>0</v>
      </c>
      <c r="X399">
        <v>0</v>
      </c>
    </row>
    <row r="400" spans="1:24" ht="15" customHeight="1" x14ac:dyDescent="0.25">
      <c r="A400" t="str">
        <f>""</f>
        <v/>
      </c>
      <c r="B400" s="1"/>
      <c r="H400">
        <v>0.3</v>
      </c>
      <c r="J400" t="s">
        <v>20</v>
      </c>
      <c r="L400" s="1"/>
      <c r="N400" s="1"/>
      <c r="V400" t="str">
        <f>"79300"</f>
        <v>79300</v>
      </c>
      <c r="W400">
        <v>0.06</v>
      </c>
      <c r="X400">
        <v>0</v>
      </c>
    </row>
    <row r="401" spans="1:24" ht="15" customHeight="1" x14ac:dyDescent="0.25">
      <c r="A401" t="str">
        <f>""</f>
        <v/>
      </c>
      <c r="B401" s="1"/>
      <c r="H401">
        <v>114</v>
      </c>
      <c r="J401" t="s">
        <v>20</v>
      </c>
      <c r="L401" s="1"/>
      <c r="N401" s="1"/>
      <c r="V401" t="str">
        <f>"51100"</f>
        <v>51100</v>
      </c>
      <c r="W401">
        <v>28.5</v>
      </c>
      <c r="X401">
        <v>0</v>
      </c>
    </row>
    <row r="402" spans="1:24" ht="15" customHeight="1" x14ac:dyDescent="0.25">
      <c r="A402" t="str">
        <f>""</f>
        <v/>
      </c>
      <c r="B402" s="1"/>
      <c r="H402">
        <v>35</v>
      </c>
      <c r="J402" t="s">
        <v>22</v>
      </c>
      <c r="L402" s="1"/>
      <c r="N402" s="1"/>
      <c r="V402" t="str">
        <f>"59400"</f>
        <v>59400</v>
      </c>
      <c r="W402">
        <v>0</v>
      </c>
      <c r="X402">
        <v>0</v>
      </c>
    </row>
    <row r="403" spans="1:24" ht="15" customHeight="1" x14ac:dyDescent="0.25">
      <c r="A403" t="str">
        <f>""</f>
        <v/>
      </c>
      <c r="B403" s="1"/>
      <c r="H403">
        <v>1.51</v>
      </c>
      <c r="J403" t="s">
        <v>19</v>
      </c>
      <c r="L403" s="1"/>
      <c r="N403" s="1"/>
      <c r="V403" t="str">
        <f>"94405"</f>
        <v>94405</v>
      </c>
      <c r="W403">
        <v>0</v>
      </c>
      <c r="X403">
        <v>0</v>
      </c>
    </row>
    <row r="404" spans="1:24" ht="15" customHeight="1" x14ac:dyDescent="0.25">
      <c r="A404" t="str">
        <f>""</f>
        <v/>
      </c>
      <c r="B404" s="1"/>
      <c r="H404">
        <v>55.34</v>
      </c>
      <c r="J404" t="s">
        <v>20</v>
      </c>
      <c r="L404" s="1"/>
      <c r="N404" s="1"/>
      <c r="V404" t="str">
        <f>"56330"</f>
        <v>56330</v>
      </c>
      <c r="W404">
        <v>14.94</v>
      </c>
      <c r="X404">
        <v>0</v>
      </c>
    </row>
    <row r="405" spans="1:24" ht="15" customHeight="1" x14ac:dyDescent="0.25">
      <c r="A405" t="str">
        <f>""</f>
        <v/>
      </c>
      <c r="B405" s="1"/>
      <c r="H405">
        <v>140</v>
      </c>
      <c r="J405" t="s">
        <v>22</v>
      </c>
      <c r="L405" s="1"/>
      <c r="N405" s="1"/>
      <c r="V405" t="str">
        <f>"34500"</f>
        <v>34500</v>
      </c>
      <c r="W405">
        <v>0</v>
      </c>
      <c r="X405">
        <v>39.200000000000003</v>
      </c>
    </row>
    <row r="406" spans="1:24" x14ac:dyDescent="0.25">
      <c r="A406" t="str">
        <f>""</f>
        <v/>
      </c>
      <c r="B406" s="1"/>
      <c r="H406">
        <v>109.06</v>
      </c>
      <c r="J406" t="s">
        <v>18</v>
      </c>
      <c r="L406" s="1"/>
      <c r="N406" s="1"/>
      <c r="V406" t="str">
        <f>"34500"</f>
        <v>34500</v>
      </c>
      <c r="W406">
        <v>0</v>
      </c>
      <c r="X406">
        <v>0</v>
      </c>
    </row>
    <row r="407" spans="1:24" ht="15" customHeight="1" x14ac:dyDescent="0.25">
      <c r="A407" t="str">
        <f>""</f>
        <v/>
      </c>
      <c r="B407" s="1"/>
      <c r="H407">
        <v>34.119999999999997</v>
      </c>
      <c r="J407" t="s">
        <v>20</v>
      </c>
      <c r="L407" s="1"/>
      <c r="N407" s="1"/>
      <c r="V407" t="str">
        <f>"13014"</f>
        <v>13014</v>
      </c>
      <c r="W407">
        <v>9.89</v>
      </c>
      <c r="X407">
        <v>0</v>
      </c>
    </row>
    <row r="408" spans="1:24" ht="15" customHeight="1" x14ac:dyDescent="0.25">
      <c r="A408" t="str">
        <f>""</f>
        <v/>
      </c>
      <c r="B408" s="1"/>
      <c r="H408">
        <v>199.39</v>
      </c>
      <c r="J408" t="s">
        <v>19</v>
      </c>
      <c r="L408" s="1"/>
      <c r="N408" s="1"/>
      <c r="V408" t="str">
        <f>"69124"</f>
        <v>69124</v>
      </c>
      <c r="W408">
        <v>53.84</v>
      </c>
      <c r="X408">
        <v>0</v>
      </c>
    </row>
    <row r="409" spans="1:24" ht="15" customHeight="1" x14ac:dyDescent="0.25">
      <c r="A409" t="str">
        <f>""</f>
        <v/>
      </c>
      <c r="B409" s="1"/>
      <c r="H409">
        <v>250</v>
      </c>
      <c r="J409" t="s">
        <v>22</v>
      </c>
      <c r="L409" s="1"/>
      <c r="N409" s="1"/>
      <c r="V409" t="str">
        <f>"54000"</f>
        <v>54000</v>
      </c>
      <c r="W409">
        <v>0</v>
      </c>
      <c r="X409">
        <v>62.5</v>
      </c>
    </row>
    <row r="410" spans="1:24" ht="15" customHeight="1" x14ac:dyDescent="0.25">
      <c r="A410" t="str">
        <f>""</f>
        <v/>
      </c>
      <c r="B410" s="1"/>
      <c r="H410">
        <v>19.89</v>
      </c>
      <c r="J410" t="s">
        <v>20</v>
      </c>
      <c r="L410" s="1"/>
      <c r="N410" s="1"/>
      <c r="V410" t="str">
        <f>"06560"</f>
        <v>06560</v>
      </c>
      <c r="W410">
        <v>5.97</v>
      </c>
      <c r="X410">
        <v>0</v>
      </c>
    </row>
    <row r="411" spans="1:24" ht="15" customHeight="1" x14ac:dyDescent="0.25">
      <c r="A411" t="str">
        <f>""</f>
        <v/>
      </c>
      <c r="B411" s="1"/>
      <c r="H411">
        <v>19.89</v>
      </c>
      <c r="J411" t="s">
        <v>19</v>
      </c>
      <c r="L411" s="1"/>
      <c r="N411" s="1"/>
      <c r="V411" t="str">
        <f>"06560"</f>
        <v>06560</v>
      </c>
      <c r="W411">
        <v>5.97</v>
      </c>
      <c r="X411">
        <v>0</v>
      </c>
    </row>
    <row r="412" spans="1:24" ht="15" customHeight="1" x14ac:dyDescent="0.25">
      <c r="A412" t="str">
        <f>""</f>
        <v/>
      </c>
      <c r="B412" s="1"/>
      <c r="H412">
        <v>153.52000000000001</v>
      </c>
      <c r="J412" t="s">
        <v>19</v>
      </c>
      <c r="L412" s="1"/>
      <c r="N412" s="1"/>
      <c r="V412" t="str">
        <f>"76290"</f>
        <v>76290</v>
      </c>
      <c r="W412">
        <v>26.1</v>
      </c>
      <c r="X412">
        <v>0</v>
      </c>
    </row>
    <row r="413" spans="1:24" ht="15" customHeight="1" x14ac:dyDescent="0.25">
      <c r="A413" t="str">
        <f>""</f>
        <v/>
      </c>
      <c r="B413" s="1"/>
      <c r="H413">
        <v>148.78</v>
      </c>
      <c r="J413" t="s">
        <v>19</v>
      </c>
      <c r="L413" s="1"/>
      <c r="N413" s="1"/>
      <c r="V413" t="str">
        <f>"75010"</f>
        <v>75010</v>
      </c>
      <c r="W413">
        <v>0</v>
      </c>
      <c r="X413">
        <v>0</v>
      </c>
    </row>
    <row r="414" spans="1:24" ht="15" customHeight="1" x14ac:dyDescent="0.25">
      <c r="A414" t="str">
        <f>""</f>
        <v/>
      </c>
      <c r="B414" s="1"/>
      <c r="H414">
        <v>55.14</v>
      </c>
      <c r="J414" t="s">
        <v>19</v>
      </c>
      <c r="L414" s="1"/>
      <c r="N414" s="1"/>
      <c r="V414" t="str">
        <f>"75010"</f>
        <v>75010</v>
      </c>
      <c r="W414">
        <v>0</v>
      </c>
      <c r="X414">
        <v>0</v>
      </c>
    </row>
    <row r="415" spans="1:24" ht="15" customHeight="1" x14ac:dyDescent="0.25">
      <c r="A415" t="str">
        <f>""</f>
        <v/>
      </c>
      <c r="B415" s="1"/>
      <c r="H415">
        <v>120.65</v>
      </c>
      <c r="J415" t="s">
        <v>20</v>
      </c>
      <c r="L415" s="1"/>
      <c r="N415" s="1"/>
      <c r="V415" t="str">
        <f>"59269"</f>
        <v>59269</v>
      </c>
      <c r="W415">
        <v>22.92</v>
      </c>
      <c r="X415">
        <v>0</v>
      </c>
    </row>
    <row r="416" spans="1:24" ht="15" customHeight="1" x14ac:dyDescent="0.25">
      <c r="A416" t="str">
        <f>""</f>
        <v/>
      </c>
      <c r="B416" s="1"/>
      <c r="H416">
        <v>25.3</v>
      </c>
      <c r="L416" s="1"/>
      <c r="N416" s="1"/>
      <c r="V416" t="str">
        <f>"44240"</f>
        <v>44240</v>
      </c>
      <c r="W416">
        <v>0</v>
      </c>
      <c r="X416">
        <v>0</v>
      </c>
    </row>
    <row r="417" spans="1:24" x14ac:dyDescent="0.25">
      <c r="A417" t="str">
        <f>""</f>
        <v/>
      </c>
      <c r="B417" s="1"/>
      <c r="H417">
        <v>151</v>
      </c>
      <c r="J417" t="s">
        <v>18</v>
      </c>
      <c r="L417" s="1"/>
      <c r="N417" s="1"/>
      <c r="V417" t="str">
        <f>"59127"</f>
        <v>59127</v>
      </c>
      <c r="W417">
        <v>0</v>
      </c>
      <c r="X417">
        <v>0</v>
      </c>
    </row>
    <row r="418" spans="1:24" ht="15" customHeight="1" x14ac:dyDescent="0.25">
      <c r="A418" t="str">
        <f>""</f>
        <v/>
      </c>
      <c r="B418" s="1"/>
      <c r="H418">
        <v>151</v>
      </c>
      <c r="J418" t="s">
        <v>20</v>
      </c>
      <c r="L418" s="1"/>
      <c r="N418" s="1"/>
      <c r="V418" t="str">
        <f>"80000"</f>
        <v>80000</v>
      </c>
      <c r="W418">
        <v>28.69</v>
      </c>
      <c r="X418">
        <v>0</v>
      </c>
    </row>
    <row r="419" spans="1:24" ht="15" customHeight="1" x14ac:dyDescent="0.25">
      <c r="A419" t="str">
        <f>""</f>
        <v/>
      </c>
      <c r="B419" s="1"/>
      <c r="H419">
        <v>250</v>
      </c>
      <c r="J419" t="s">
        <v>22</v>
      </c>
      <c r="L419" s="1"/>
      <c r="V419" t="str">
        <f>"44600"</f>
        <v>44600</v>
      </c>
      <c r="W419">
        <v>0</v>
      </c>
      <c r="X419">
        <v>0</v>
      </c>
    </row>
    <row r="420" spans="1:24" ht="15" customHeight="1" x14ac:dyDescent="0.25">
      <c r="A420" t="str">
        <f>""</f>
        <v/>
      </c>
      <c r="B420" s="1"/>
      <c r="H420">
        <v>953.5</v>
      </c>
      <c r="J420" t="s">
        <v>23</v>
      </c>
      <c r="L420" s="1"/>
      <c r="V420" t="str">
        <f>"77183"</f>
        <v>77183</v>
      </c>
      <c r="W420">
        <v>0</v>
      </c>
      <c r="X420">
        <v>0</v>
      </c>
    </row>
    <row r="421" spans="1:24" ht="15" customHeight="1" x14ac:dyDescent="0.25">
      <c r="A421" t="str">
        <f>""</f>
        <v/>
      </c>
      <c r="B421" s="1"/>
      <c r="H421">
        <v>180.19</v>
      </c>
      <c r="J421" t="s">
        <v>19</v>
      </c>
      <c r="L421" s="1"/>
      <c r="N421" s="1"/>
      <c r="V421" t="str">
        <f>"62380"</f>
        <v>62380</v>
      </c>
      <c r="W421">
        <v>34.24</v>
      </c>
      <c r="X421">
        <v>0</v>
      </c>
    </row>
    <row r="422" spans="1:24" ht="15" customHeight="1" x14ac:dyDescent="0.25">
      <c r="A422" t="str">
        <f>""</f>
        <v/>
      </c>
      <c r="B422" s="1"/>
      <c r="H422">
        <v>126.65</v>
      </c>
      <c r="J422" t="s">
        <v>20</v>
      </c>
      <c r="L422" s="1"/>
      <c r="N422" s="1"/>
      <c r="V422" t="str">
        <f>"50440"</f>
        <v>50440</v>
      </c>
      <c r="W422">
        <v>21.53</v>
      </c>
      <c r="X422">
        <v>0</v>
      </c>
    </row>
    <row r="423" spans="1:24" ht="15" customHeight="1" x14ac:dyDescent="0.25">
      <c r="A423" t="str">
        <f>""</f>
        <v/>
      </c>
      <c r="B423" s="1"/>
      <c r="H423">
        <v>139.19999999999999</v>
      </c>
      <c r="J423" t="s">
        <v>20</v>
      </c>
      <c r="L423" s="1"/>
      <c r="N423" s="1"/>
      <c r="V423" t="str">
        <f>"59175"</f>
        <v>59175</v>
      </c>
      <c r="W423">
        <v>26.45</v>
      </c>
      <c r="X423">
        <v>0</v>
      </c>
    </row>
    <row r="424" spans="1:24" ht="15" customHeight="1" x14ac:dyDescent="0.25">
      <c r="A424" t="str">
        <f>""</f>
        <v/>
      </c>
      <c r="B424" s="1"/>
      <c r="H424">
        <v>171</v>
      </c>
      <c r="L424" s="1"/>
      <c r="N424" s="1"/>
      <c r="V424" t="str">
        <f>"77184"</f>
        <v>77184</v>
      </c>
      <c r="W424">
        <v>0</v>
      </c>
      <c r="X424">
        <v>0</v>
      </c>
    </row>
    <row r="425" spans="1:24" ht="15" customHeight="1" x14ac:dyDescent="0.25">
      <c r="A425" t="str">
        <f>""</f>
        <v/>
      </c>
      <c r="B425" s="1"/>
      <c r="H425">
        <v>171</v>
      </c>
      <c r="L425" s="1"/>
      <c r="N425" s="1"/>
      <c r="V425" t="str">
        <f>"77184"</f>
        <v>77184</v>
      </c>
      <c r="W425">
        <v>0</v>
      </c>
      <c r="X425">
        <v>0</v>
      </c>
    </row>
    <row r="426" spans="1:24" ht="15" customHeight="1" x14ac:dyDescent="0.25">
      <c r="A426" t="str">
        <f>""</f>
        <v/>
      </c>
      <c r="B426" s="1"/>
      <c r="H426">
        <v>70</v>
      </c>
      <c r="J426" t="s">
        <v>23</v>
      </c>
      <c r="L426" s="1"/>
      <c r="N426" s="1"/>
      <c r="V426" t="str">
        <f>"44800"</f>
        <v>44800</v>
      </c>
      <c r="W426">
        <v>0</v>
      </c>
      <c r="X426">
        <v>0</v>
      </c>
    </row>
    <row r="427" spans="1:24" x14ac:dyDescent="0.25">
      <c r="A427" t="str">
        <f>""</f>
        <v/>
      </c>
      <c r="B427" s="1"/>
      <c r="H427">
        <v>170.88</v>
      </c>
      <c r="J427" t="s">
        <v>16</v>
      </c>
      <c r="L427" s="1"/>
      <c r="V427" t="str">
        <f>"76700"</f>
        <v>76700</v>
      </c>
      <c r="W427">
        <v>0</v>
      </c>
      <c r="X427">
        <v>0</v>
      </c>
    </row>
    <row r="428" spans="1:24" ht="15" customHeight="1" x14ac:dyDescent="0.25">
      <c r="A428" t="str">
        <f>""</f>
        <v/>
      </c>
      <c r="B428" s="1"/>
      <c r="H428">
        <v>1236.3</v>
      </c>
      <c r="J428" t="s">
        <v>19</v>
      </c>
      <c r="L428" s="1"/>
      <c r="N428" s="1"/>
      <c r="V428" t="str">
        <f>"44980"</f>
        <v>44980</v>
      </c>
      <c r="W428">
        <v>333.8</v>
      </c>
      <c r="X428">
        <v>0</v>
      </c>
    </row>
    <row r="429" spans="1:24" ht="15" customHeight="1" x14ac:dyDescent="0.25">
      <c r="A429" t="str">
        <f>""</f>
        <v/>
      </c>
      <c r="B429" s="1"/>
      <c r="H429">
        <v>151</v>
      </c>
      <c r="J429" t="s">
        <v>23</v>
      </c>
      <c r="L429" s="1"/>
      <c r="N429" s="1"/>
      <c r="V429" t="str">
        <f>"67100"</f>
        <v>67100</v>
      </c>
      <c r="W429">
        <v>0</v>
      </c>
      <c r="X429">
        <v>0</v>
      </c>
    </row>
    <row r="430" spans="1:24" ht="15" customHeight="1" x14ac:dyDescent="0.25">
      <c r="A430" t="str">
        <f>""</f>
        <v/>
      </c>
      <c r="B430" s="1"/>
      <c r="H430">
        <v>19.8</v>
      </c>
      <c r="J430" t="s">
        <v>19</v>
      </c>
      <c r="L430" s="1"/>
      <c r="N430" s="1"/>
      <c r="V430" t="str">
        <f>"62380"</f>
        <v>62380</v>
      </c>
      <c r="W430">
        <v>3.76</v>
      </c>
      <c r="X430">
        <v>0</v>
      </c>
    </row>
    <row r="431" spans="1:24" ht="15" customHeight="1" x14ac:dyDescent="0.25">
      <c r="A431" t="str">
        <f>""</f>
        <v/>
      </c>
      <c r="B431" s="1"/>
      <c r="H431">
        <v>146</v>
      </c>
      <c r="J431" t="s">
        <v>20</v>
      </c>
      <c r="L431" s="1"/>
      <c r="N431" s="1"/>
      <c r="V431" t="str">
        <f>"94290"</f>
        <v>94290</v>
      </c>
      <c r="W431">
        <v>0</v>
      </c>
      <c r="X431">
        <v>0</v>
      </c>
    </row>
    <row r="432" spans="1:24" ht="15" customHeight="1" x14ac:dyDescent="0.25">
      <c r="A432" t="str">
        <f>""</f>
        <v/>
      </c>
      <c r="B432" s="1"/>
      <c r="H432">
        <v>19.8</v>
      </c>
      <c r="J432" t="s">
        <v>20</v>
      </c>
      <c r="L432" s="1"/>
      <c r="N432" s="1"/>
      <c r="V432" t="str">
        <f>"94190"</f>
        <v>94190</v>
      </c>
      <c r="W432">
        <v>0</v>
      </c>
      <c r="X432">
        <v>0</v>
      </c>
    </row>
    <row r="433" spans="1:24" ht="15" customHeight="1" x14ac:dyDescent="0.25">
      <c r="A433" t="str">
        <f>""</f>
        <v/>
      </c>
      <c r="B433" s="1"/>
      <c r="H433">
        <v>188.25</v>
      </c>
      <c r="J433" t="s">
        <v>19</v>
      </c>
      <c r="L433" s="1"/>
      <c r="N433" s="1"/>
      <c r="V433" t="str">
        <f>"83170"</f>
        <v>83170</v>
      </c>
      <c r="W433">
        <v>56.48</v>
      </c>
      <c r="X433">
        <v>0</v>
      </c>
    </row>
    <row r="434" spans="1:24" ht="15" customHeight="1" x14ac:dyDescent="0.25">
      <c r="A434" t="str">
        <f>""</f>
        <v/>
      </c>
      <c r="B434" s="1"/>
      <c r="H434">
        <v>139</v>
      </c>
      <c r="L434" s="1"/>
      <c r="N434" s="1"/>
      <c r="V434" t="str">
        <f>"77184"</f>
        <v>77184</v>
      </c>
      <c r="W434">
        <v>0</v>
      </c>
      <c r="X434">
        <v>0</v>
      </c>
    </row>
    <row r="435" spans="1:24" ht="15" customHeight="1" x14ac:dyDescent="0.25">
      <c r="A435" t="str">
        <f>""</f>
        <v/>
      </c>
      <c r="B435" s="1"/>
      <c r="H435">
        <v>183.98</v>
      </c>
      <c r="J435" t="s">
        <v>20</v>
      </c>
      <c r="L435" s="1"/>
      <c r="N435" s="1"/>
      <c r="V435" t="str">
        <f>"77990"</f>
        <v>77990</v>
      </c>
      <c r="W435">
        <v>0</v>
      </c>
      <c r="X435">
        <v>0</v>
      </c>
    </row>
    <row r="436" spans="1:24" ht="15" customHeight="1" x14ac:dyDescent="0.25">
      <c r="A436" t="str">
        <f>""</f>
        <v/>
      </c>
      <c r="B436" s="1"/>
      <c r="H436">
        <v>131.85</v>
      </c>
      <c r="J436" t="s">
        <v>20</v>
      </c>
      <c r="L436" s="1"/>
      <c r="N436" s="1"/>
      <c r="V436" t="str">
        <f>"27202"</f>
        <v>27202</v>
      </c>
      <c r="W436">
        <v>22.41</v>
      </c>
      <c r="X436">
        <v>0</v>
      </c>
    </row>
    <row r="437" spans="1:24" ht="15" customHeight="1" x14ac:dyDescent="0.25">
      <c r="A437" t="str">
        <f>""</f>
        <v/>
      </c>
      <c r="B437" s="1"/>
      <c r="H437">
        <v>19.8</v>
      </c>
      <c r="J437" t="s">
        <v>19</v>
      </c>
      <c r="L437" s="1"/>
      <c r="N437" s="1"/>
      <c r="V437" t="str">
        <f>"56450"</f>
        <v>56450</v>
      </c>
      <c r="W437">
        <v>5.35</v>
      </c>
      <c r="X437">
        <v>0</v>
      </c>
    </row>
    <row r="438" spans="1:24" ht="15" customHeight="1" x14ac:dyDescent="0.25">
      <c r="A438" t="str">
        <f>""</f>
        <v/>
      </c>
      <c r="B438" s="1"/>
      <c r="H438">
        <v>138.16</v>
      </c>
      <c r="J438" t="s">
        <v>19</v>
      </c>
      <c r="L438" s="1"/>
      <c r="N438" s="1"/>
      <c r="V438" t="str">
        <f>"69005"</f>
        <v>69005</v>
      </c>
      <c r="W438">
        <v>37.299999999999997</v>
      </c>
      <c r="X438">
        <v>0</v>
      </c>
    </row>
    <row r="439" spans="1:24" ht="15" customHeight="1" x14ac:dyDescent="0.25">
      <c r="A439" t="str">
        <f>""</f>
        <v/>
      </c>
      <c r="B439" s="1"/>
      <c r="H439">
        <v>33.35</v>
      </c>
      <c r="J439" t="s">
        <v>19</v>
      </c>
      <c r="L439" s="1"/>
      <c r="N439" s="1"/>
      <c r="V439" t="str">
        <f>"69005"</f>
        <v>69005</v>
      </c>
      <c r="W439">
        <v>9</v>
      </c>
      <c r="X439">
        <v>0</v>
      </c>
    </row>
    <row r="440" spans="1:24" ht="15" customHeight="1" x14ac:dyDescent="0.25">
      <c r="A440" t="str">
        <f>""</f>
        <v/>
      </c>
      <c r="B440" s="1"/>
      <c r="H440">
        <v>33.35</v>
      </c>
      <c r="J440" t="s">
        <v>19</v>
      </c>
      <c r="L440" s="1"/>
      <c r="N440" s="1"/>
      <c r="V440" t="str">
        <f>"69005"</f>
        <v>69005</v>
      </c>
      <c r="W440">
        <v>9</v>
      </c>
      <c r="X440">
        <v>0</v>
      </c>
    </row>
    <row r="441" spans="1:24" ht="15" customHeight="1" x14ac:dyDescent="0.25">
      <c r="A441" t="str">
        <f>""</f>
        <v/>
      </c>
      <c r="B441" s="1"/>
      <c r="H441">
        <v>140</v>
      </c>
      <c r="J441" t="s">
        <v>23</v>
      </c>
      <c r="L441" s="1"/>
      <c r="N441" s="1"/>
      <c r="V441" t="str">
        <f>"59000"</f>
        <v>59000</v>
      </c>
      <c r="W441">
        <v>0</v>
      </c>
      <c r="X441">
        <v>0</v>
      </c>
    </row>
    <row r="442" spans="1:24" ht="15" customHeight="1" x14ac:dyDescent="0.25">
      <c r="A442" t="str">
        <f>""</f>
        <v/>
      </c>
      <c r="B442" s="1"/>
      <c r="H442">
        <v>70</v>
      </c>
      <c r="J442" t="s">
        <v>23</v>
      </c>
      <c r="L442" s="1"/>
      <c r="N442" s="1"/>
      <c r="V442" t="str">
        <f>"26000"</f>
        <v>26000</v>
      </c>
      <c r="W442">
        <v>0</v>
      </c>
      <c r="X442">
        <v>0</v>
      </c>
    </row>
    <row r="443" spans="1:24" ht="15" customHeight="1" x14ac:dyDescent="0.25">
      <c r="A443" t="str">
        <f>""</f>
        <v/>
      </c>
      <c r="B443" s="1"/>
      <c r="H443">
        <v>71.819999999999993</v>
      </c>
      <c r="J443" t="s">
        <v>22</v>
      </c>
      <c r="L443" s="1"/>
      <c r="V443" t="str">
        <f>"44550"</f>
        <v>44550</v>
      </c>
      <c r="W443">
        <v>0</v>
      </c>
      <c r="X443">
        <v>0</v>
      </c>
    </row>
    <row r="444" spans="1:24" x14ac:dyDescent="0.25">
      <c r="A444" t="str">
        <f>""</f>
        <v/>
      </c>
      <c r="B444" s="1"/>
      <c r="H444">
        <v>140.46</v>
      </c>
      <c r="J444" t="s">
        <v>18</v>
      </c>
      <c r="L444" s="1"/>
      <c r="N444" s="1"/>
      <c r="V444" t="str">
        <f>"77184"</f>
        <v>77184</v>
      </c>
      <c r="W444">
        <v>0</v>
      </c>
      <c r="X444">
        <v>0</v>
      </c>
    </row>
    <row r="445" spans="1:24" ht="15" customHeight="1" x14ac:dyDescent="0.25">
      <c r="A445" t="str">
        <f>""</f>
        <v/>
      </c>
      <c r="B445" s="1"/>
      <c r="H445">
        <v>55.14</v>
      </c>
      <c r="J445" t="s">
        <v>20</v>
      </c>
      <c r="L445" s="1"/>
      <c r="N445" s="1"/>
      <c r="V445" t="str">
        <f>"30120"</f>
        <v>30120</v>
      </c>
      <c r="W445">
        <v>21.5</v>
      </c>
      <c r="X445">
        <v>0</v>
      </c>
    </row>
    <row r="446" spans="1:24" ht="15" customHeight="1" x14ac:dyDescent="0.25">
      <c r="A446" t="str">
        <f>""</f>
        <v/>
      </c>
      <c r="B446" s="1"/>
      <c r="H446">
        <v>129.19999999999999</v>
      </c>
      <c r="J446" t="s">
        <v>19</v>
      </c>
      <c r="L446" s="1"/>
      <c r="N446" s="1"/>
      <c r="V446" t="str">
        <f>"06000"</f>
        <v>06000</v>
      </c>
      <c r="W446">
        <v>38.76</v>
      </c>
      <c r="X446">
        <v>0</v>
      </c>
    </row>
    <row r="447" spans="1:24" ht="15" customHeight="1" x14ac:dyDescent="0.25">
      <c r="A447" t="str">
        <f>""</f>
        <v/>
      </c>
      <c r="B447" s="1"/>
      <c r="H447">
        <v>43.44</v>
      </c>
      <c r="J447" t="s">
        <v>19</v>
      </c>
      <c r="L447" s="1"/>
      <c r="N447" s="1"/>
      <c r="V447" t="str">
        <f>"06000"</f>
        <v>06000</v>
      </c>
      <c r="W447">
        <v>13.03</v>
      </c>
      <c r="X447">
        <v>0</v>
      </c>
    </row>
    <row r="448" spans="1:24" ht="15" customHeight="1" x14ac:dyDescent="0.25">
      <c r="A448" t="str">
        <f>""</f>
        <v/>
      </c>
      <c r="B448" s="1"/>
      <c r="H448">
        <v>140</v>
      </c>
      <c r="J448" t="s">
        <v>20</v>
      </c>
      <c r="L448" s="1"/>
      <c r="N448" s="1"/>
      <c r="V448" t="str">
        <f>"73120"</f>
        <v>73120</v>
      </c>
      <c r="W448">
        <v>37.799999999999997</v>
      </c>
      <c r="X448">
        <v>0</v>
      </c>
    </row>
    <row r="449" spans="1:24" ht="15" customHeight="1" x14ac:dyDescent="0.25">
      <c r="A449" t="str">
        <f>""</f>
        <v/>
      </c>
      <c r="B449" s="1"/>
      <c r="H449">
        <v>537.55999999999995</v>
      </c>
      <c r="J449" t="s">
        <v>20</v>
      </c>
      <c r="L449" s="1"/>
      <c r="N449" s="1"/>
      <c r="V449" t="str">
        <f>"57600"</f>
        <v>57600</v>
      </c>
      <c r="W449">
        <v>134.38999999999999</v>
      </c>
      <c r="X449">
        <v>0</v>
      </c>
    </row>
    <row r="450" spans="1:24" ht="15" customHeight="1" x14ac:dyDescent="0.25">
      <c r="A450" t="str">
        <f>""</f>
        <v/>
      </c>
      <c r="B450" s="1"/>
      <c r="H450">
        <v>40</v>
      </c>
      <c r="J450" t="s">
        <v>20</v>
      </c>
      <c r="L450" s="1"/>
      <c r="N450" s="1"/>
      <c r="V450" t="str">
        <f>"94800"</f>
        <v>94800</v>
      </c>
      <c r="W450">
        <v>0</v>
      </c>
      <c r="X450">
        <v>0</v>
      </c>
    </row>
    <row r="451" spans="1:24" x14ac:dyDescent="0.25">
      <c r="A451" t="str">
        <f>""</f>
        <v/>
      </c>
      <c r="B451" s="1"/>
      <c r="H451">
        <v>201.01</v>
      </c>
      <c r="J451" t="s">
        <v>18</v>
      </c>
      <c r="L451" s="1"/>
      <c r="N451" s="1"/>
      <c r="V451" t="str">
        <f>"44480"</f>
        <v>44480</v>
      </c>
      <c r="W451">
        <v>0</v>
      </c>
      <c r="X451">
        <v>0</v>
      </c>
    </row>
    <row r="452" spans="1:24" ht="15" customHeight="1" x14ac:dyDescent="0.25">
      <c r="A452" t="str">
        <f>""</f>
        <v/>
      </c>
      <c r="B452" s="1"/>
      <c r="H452">
        <v>30</v>
      </c>
      <c r="J452" t="s">
        <v>20</v>
      </c>
      <c r="L452" s="1"/>
      <c r="N452" s="1"/>
      <c r="V452" t="str">
        <f>"92200"</f>
        <v>92200</v>
      </c>
      <c r="W452">
        <v>0</v>
      </c>
      <c r="X452">
        <v>0</v>
      </c>
    </row>
    <row r="453" spans="1:24" ht="15" customHeight="1" x14ac:dyDescent="0.25">
      <c r="A453" t="str">
        <f>""</f>
        <v/>
      </c>
      <c r="B453" s="1"/>
      <c r="H453">
        <v>151</v>
      </c>
      <c r="J453" t="s">
        <v>23</v>
      </c>
      <c r="L453" s="1"/>
      <c r="N453" s="1"/>
      <c r="V453" t="str">
        <f>"50100"</f>
        <v>50100</v>
      </c>
      <c r="W453">
        <v>0</v>
      </c>
      <c r="X453">
        <v>25.67</v>
      </c>
    </row>
    <row r="454" spans="1:24" ht="15" customHeight="1" x14ac:dyDescent="0.25">
      <c r="A454" t="str">
        <f>""</f>
        <v/>
      </c>
      <c r="B454" s="1"/>
      <c r="H454">
        <v>172.73</v>
      </c>
      <c r="J454" t="s">
        <v>20</v>
      </c>
      <c r="L454" s="1"/>
      <c r="N454" s="1"/>
      <c r="V454" t="str">
        <f>"69780"</f>
        <v>69780</v>
      </c>
      <c r="W454">
        <v>46.64</v>
      </c>
      <c r="X454">
        <v>0</v>
      </c>
    </row>
    <row r="455" spans="1:24" ht="15" customHeight="1" x14ac:dyDescent="0.25">
      <c r="A455" t="str">
        <f>""</f>
        <v/>
      </c>
      <c r="B455" s="1"/>
      <c r="H455">
        <v>425</v>
      </c>
      <c r="J455" t="s">
        <v>23</v>
      </c>
      <c r="L455" s="1"/>
      <c r="N455" s="1"/>
      <c r="V455" t="str">
        <f>"26000"</f>
        <v>26000</v>
      </c>
      <c r="W455">
        <v>0</v>
      </c>
      <c r="X455">
        <v>0</v>
      </c>
    </row>
    <row r="456" spans="1:24" ht="15" customHeight="1" x14ac:dyDescent="0.25">
      <c r="A456" t="str">
        <f>""</f>
        <v/>
      </c>
      <c r="B456" s="1"/>
      <c r="H456">
        <v>106.4</v>
      </c>
      <c r="J456" t="s">
        <v>23</v>
      </c>
      <c r="L456" s="1"/>
      <c r="N456" s="1"/>
      <c r="V456" t="str">
        <f>"69007"</f>
        <v>69007</v>
      </c>
      <c r="W456">
        <v>0</v>
      </c>
      <c r="X456">
        <v>0</v>
      </c>
    </row>
    <row r="457" spans="1:24" ht="15" customHeight="1" x14ac:dyDescent="0.25">
      <c r="A457" t="str">
        <f>""</f>
        <v/>
      </c>
      <c r="B457" s="1"/>
      <c r="H457">
        <v>37.19</v>
      </c>
      <c r="J457" t="s">
        <v>22</v>
      </c>
      <c r="L457" s="1"/>
      <c r="N457" s="1"/>
      <c r="V457" t="str">
        <f>"57175"</f>
        <v>57175</v>
      </c>
      <c r="W457">
        <v>0</v>
      </c>
      <c r="X457">
        <v>9.3000000000000007</v>
      </c>
    </row>
    <row r="458" spans="1:24" ht="15" customHeight="1" x14ac:dyDescent="0.25">
      <c r="A458" t="str">
        <f>""</f>
        <v/>
      </c>
      <c r="B458" s="1"/>
      <c r="H458">
        <v>33</v>
      </c>
      <c r="J458" t="s">
        <v>22</v>
      </c>
      <c r="L458" s="1"/>
      <c r="N458" s="1"/>
      <c r="V458" t="str">
        <f>"51150"</f>
        <v>51150</v>
      </c>
      <c r="W458">
        <v>0</v>
      </c>
      <c r="X458">
        <v>8.25</v>
      </c>
    </row>
    <row r="459" spans="1:24" ht="15" customHeight="1" x14ac:dyDescent="0.25">
      <c r="A459" t="str">
        <f>""</f>
        <v/>
      </c>
      <c r="B459" s="1"/>
      <c r="H459">
        <v>140</v>
      </c>
      <c r="J459" t="s">
        <v>22</v>
      </c>
      <c r="L459" s="1"/>
      <c r="N459" s="1"/>
      <c r="V459" t="str">
        <f>"13006"</f>
        <v>13006</v>
      </c>
      <c r="W459">
        <v>0</v>
      </c>
      <c r="X459">
        <v>0</v>
      </c>
    </row>
    <row r="460" spans="1:24" ht="15" customHeight="1" x14ac:dyDescent="0.25">
      <c r="A460" t="str">
        <f>""</f>
        <v/>
      </c>
      <c r="B460" s="1"/>
      <c r="H460">
        <v>40</v>
      </c>
      <c r="J460" t="s">
        <v>23</v>
      </c>
      <c r="L460" s="1"/>
      <c r="V460" t="str">
        <f>"69007"</f>
        <v>69007</v>
      </c>
      <c r="W460">
        <v>0</v>
      </c>
      <c r="X460">
        <v>0</v>
      </c>
    </row>
    <row r="461" spans="1:24" ht="15" customHeight="1" x14ac:dyDescent="0.25">
      <c r="A461" t="str">
        <f>""</f>
        <v/>
      </c>
      <c r="B461" s="1"/>
      <c r="H461">
        <v>22.5</v>
      </c>
      <c r="J461" t="s">
        <v>22</v>
      </c>
      <c r="L461" s="1"/>
      <c r="N461" s="1"/>
      <c r="V461" t="str">
        <f>"75007"</f>
        <v>75007</v>
      </c>
      <c r="W461">
        <v>0</v>
      </c>
      <c r="X461">
        <v>0</v>
      </c>
    </row>
    <row r="462" spans="1:24" ht="15" customHeight="1" x14ac:dyDescent="0.25">
      <c r="A462" t="str">
        <f>""</f>
        <v/>
      </c>
      <c r="B462" s="1"/>
      <c r="J462" t="s">
        <v>20</v>
      </c>
      <c r="L462" s="1"/>
      <c r="N462" s="1"/>
      <c r="V462" t="str">
        <f>"14200"</f>
        <v>14200</v>
      </c>
      <c r="W462">
        <v>0</v>
      </c>
      <c r="X462">
        <v>0</v>
      </c>
    </row>
    <row r="463" spans="1:24" ht="15" customHeight="1" x14ac:dyDescent="0.25">
      <c r="A463" t="str">
        <f>""</f>
        <v/>
      </c>
      <c r="B463" s="1"/>
      <c r="H463">
        <v>143.51</v>
      </c>
      <c r="J463" t="s">
        <v>19</v>
      </c>
      <c r="L463" s="1"/>
      <c r="N463" s="1"/>
      <c r="V463" t="str">
        <f>"61250"</f>
        <v>61250</v>
      </c>
      <c r="W463">
        <v>24.4</v>
      </c>
      <c r="X463">
        <v>0</v>
      </c>
    </row>
    <row r="464" spans="1:24" ht="15" customHeight="1" x14ac:dyDescent="0.25">
      <c r="A464" t="str">
        <f>""</f>
        <v/>
      </c>
      <c r="B464" s="1"/>
      <c r="H464">
        <v>151</v>
      </c>
      <c r="J464" t="s">
        <v>23</v>
      </c>
      <c r="L464" s="1"/>
      <c r="N464" s="1"/>
      <c r="V464" t="str">
        <f>"79390"</f>
        <v>79390</v>
      </c>
      <c r="W464">
        <v>0</v>
      </c>
      <c r="X464">
        <v>18.12</v>
      </c>
    </row>
    <row r="465" spans="1:24" ht="15" customHeight="1" x14ac:dyDescent="0.25">
      <c r="A465" t="str">
        <f>""</f>
        <v/>
      </c>
      <c r="B465" s="1"/>
      <c r="H465">
        <v>165.02</v>
      </c>
      <c r="J465" t="s">
        <v>22</v>
      </c>
      <c r="L465" s="1"/>
      <c r="N465" s="1"/>
      <c r="V465" t="str">
        <f>"17000"</f>
        <v>17000</v>
      </c>
      <c r="W465">
        <v>0</v>
      </c>
      <c r="X465">
        <v>0</v>
      </c>
    </row>
    <row r="466" spans="1:24" ht="15" customHeight="1" x14ac:dyDescent="0.25">
      <c r="A466" t="str">
        <f>""</f>
        <v/>
      </c>
      <c r="B466" s="1"/>
      <c r="H466">
        <v>195.52</v>
      </c>
      <c r="J466" t="s">
        <v>23</v>
      </c>
      <c r="L466" s="1"/>
      <c r="N466" s="1"/>
      <c r="V466" t="str">
        <f>"06100"</f>
        <v>06100</v>
      </c>
      <c r="W466">
        <v>0</v>
      </c>
      <c r="X466">
        <v>0</v>
      </c>
    </row>
    <row r="467" spans="1:24" ht="15" customHeight="1" x14ac:dyDescent="0.25">
      <c r="A467" t="str">
        <f>""</f>
        <v/>
      </c>
      <c r="B467" s="1"/>
      <c r="H467">
        <v>140</v>
      </c>
      <c r="J467" t="s">
        <v>23</v>
      </c>
      <c r="L467" s="1"/>
      <c r="N467" s="1"/>
      <c r="V467" t="str">
        <f>"11310"</f>
        <v>11310</v>
      </c>
      <c r="W467">
        <v>0</v>
      </c>
      <c r="X467">
        <v>92.4</v>
      </c>
    </row>
    <row r="468" spans="1:24" ht="15" customHeight="1" x14ac:dyDescent="0.25">
      <c r="A468" t="str">
        <f>""</f>
        <v/>
      </c>
      <c r="B468" s="1"/>
      <c r="H468">
        <v>109.06</v>
      </c>
      <c r="J468" t="s">
        <v>22</v>
      </c>
      <c r="L468" s="1"/>
      <c r="N468" s="1"/>
      <c r="V468" t="str">
        <f>"55000"</f>
        <v>55000</v>
      </c>
      <c r="W468">
        <v>0</v>
      </c>
      <c r="X468">
        <v>27.26</v>
      </c>
    </row>
    <row r="469" spans="1:24" ht="15" customHeight="1" x14ac:dyDescent="0.25">
      <c r="A469" t="str">
        <f>""</f>
        <v/>
      </c>
      <c r="B469" s="1"/>
      <c r="H469">
        <v>75.34</v>
      </c>
      <c r="J469" t="s">
        <v>20</v>
      </c>
      <c r="L469" s="1"/>
      <c r="N469" s="1"/>
      <c r="V469" t="str">
        <f>"69700"</f>
        <v>69700</v>
      </c>
      <c r="W469">
        <v>20.34</v>
      </c>
      <c r="X469">
        <v>0</v>
      </c>
    </row>
    <row r="470" spans="1:24" ht="15" customHeight="1" x14ac:dyDescent="0.25">
      <c r="A470" t="str">
        <f>""</f>
        <v/>
      </c>
      <c r="B470" s="1"/>
      <c r="H470">
        <v>38.54</v>
      </c>
      <c r="J470" t="s">
        <v>22</v>
      </c>
      <c r="L470" s="1"/>
      <c r="N470" s="1"/>
      <c r="V470" t="str">
        <f>"98000"</f>
        <v>98000</v>
      </c>
      <c r="W470">
        <v>0</v>
      </c>
      <c r="X470">
        <v>0</v>
      </c>
    </row>
    <row r="471" spans="1:24" ht="15" customHeight="1" x14ac:dyDescent="0.25">
      <c r="A471" t="str">
        <f>""</f>
        <v/>
      </c>
      <c r="B471" s="1"/>
      <c r="H471">
        <v>37.5</v>
      </c>
      <c r="J471" t="s">
        <v>22</v>
      </c>
      <c r="L471" s="1"/>
      <c r="V471" t="str">
        <f>"70000"</f>
        <v>70000</v>
      </c>
      <c r="W471">
        <v>0</v>
      </c>
      <c r="X471">
        <v>0</v>
      </c>
    </row>
    <row r="472" spans="1:24" ht="15" customHeight="1" x14ac:dyDescent="0.25">
      <c r="A472" t="str">
        <f>""</f>
        <v/>
      </c>
      <c r="B472" s="1"/>
      <c r="H472">
        <v>138</v>
      </c>
      <c r="J472" t="s">
        <v>22</v>
      </c>
      <c r="L472" s="1"/>
      <c r="N472" s="1"/>
      <c r="V472" t="str">
        <f>"70000"</f>
        <v>70000</v>
      </c>
      <c r="W472">
        <v>0</v>
      </c>
      <c r="X472">
        <v>16.559999999999999</v>
      </c>
    </row>
    <row r="473" spans="1:24" ht="15" customHeight="1" x14ac:dyDescent="0.25">
      <c r="A473" t="str">
        <f>""</f>
        <v/>
      </c>
      <c r="B473" s="1"/>
      <c r="H473">
        <v>25</v>
      </c>
      <c r="J473" t="s">
        <v>22</v>
      </c>
      <c r="L473" s="1"/>
      <c r="V473" t="str">
        <f>"70000"</f>
        <v>70000</v>
      </c>
      <c r="W473">
        <v>0</v>
      </c>
      <c r="X473">
        <v>0</v>
      </c>
    </row>
    <row r="474" spans="1:24" ht="15" customHeight="1" x14ac:dyDescent="0.25">
      <c r="A474" t="str">
        <f>""</f>
        <v/>
      </c>
      <c r="B474" s="1"/>
      <c r="H474">
        <v>140</v>
      </c>
      <c r="J474" t="s">
        <v>22</v>
      </c>
      <c r="L474" s="1"/>
      <c r="N474" s="1"/>
      <c r="V474" t="str">
        <f>"63800"</f>
        <v>63800</v>
      </c>
      <c r="W474">
        <v>0</v>
      </c>
      <c r="X474">
        <v>16.8</v>
      </c>
    </row>
    <row r="475" spans="1:24" ht="15" customHeight="1" x14ac:dyDescent="0.25">
      <c r="A475" t="str">
        <f>""</f>
        <v/>
      </c>
      <c r="B475" s="1"/>
      <c r="H475">
        <v>70</v>
      </c>
      <c r="J475" t="s">
        <v>22</v>
      </c>
      <c r="L475" s="1"/>
      <c r="N475" s="1"/>
      <c r="V475" t="str">
        <f>"62200"</f>
        <v>62200</v>
      </c>
      <c r="W475">
        <v>0</v>
      </c>
      <c r="X475">
        <v>0</v>
      </c>
    </row>
    <row r="476" spans="1:24" ht="15" customHeight="1" x14ac:dyDescent="0.25">
      <c r="A476" t="str">
        <f>""</f>
        <v/>
      </c>
      <c r="B476" s="1"/>
      <c r="H476">
        <v>50.84</v>
      </c>
      <c r="J476" t="s">
        <v>19</v>
      </c>
      <c r="L476" s="1"/>
      <c r="N476" s="1"/>
      <c r="V476" t="str">
        <f>"92000"</f>
        <v>92000</v>
      </c>
      <c r="W476">
        <v>0</v>
      </c>
      <c r="X476">
        <v>0</v>
      </c>
    </row>
    <row r="477" spans="1:24" x14ac:dyDescent="0.25">
      <c r="A477" t="str">
        <f>""</f>
        <v/>
      </c>
      <c r="B477" s="1"/>
      <c r="H477">
        <v>52.5</v>
      </c>
      <c r="J477" t="s">
        <v>15</v>
      </c>
      <c r="L477" s="1"/>
      <c r="N477" s="1"/>
      <c r="V477" t="str">
        <f>"69009"</f>
        <v>69009</v>
      </c>
      <c r="W477">
        <v>14.18</v>
      </c>
      <c r="X477">
        <v>0</v>
      </c>
    </row>
    <row r="478" spans="1:24" x14ac:dyDescent="0.25">
      <c r="A478" t="str">
        <f>""</f>
        <v/>
      </c>
      <c r="B478" s="1"/>
      <c r="H478">
        <v>52.5</v>
      </c>
      <c r="J478" t="s">
        <v>15</v>
      </c>
      <c r="L478" s="1"/>
      <c r="N478" s="1"/>
      <c r="V478" t="str">
        <f>"69009"</f>
        <v>69009</v>
      </c>
      <c r="W478">
        <v>0</v>
      </c>
      <c r="X478">
        <v>0</v>
      </c>
    </row>
    <row r="479" spans="1:24" x14ac:dyDescent="0.25">
      <c r="A479" t="str">
        <f>""</f>
        <v/>
      </c>
      <c r="B479" s="1"/>
      <c r="H479">
        <v>52.5</v>
      </c>
      <c r="J479" t="s">
        <v>15</v>
      </c>
      <c r="L479" s="1"/>
      <c r="N479" s="1"/>
      <c r="V479" t="str">
        <f>"74000"</f>
        <v>74000</v>
      </c>
      <c r="W479">
        <v>0</v>
      </c>
      <c r="X479">
        <v>0</v>
      </c>
    </row>
    <row r="480" spans="1:24" x14ac:dyDescent="0.25">
      <c r="A480" t="str">
        <f>""</f>
        <v/>
      </c>
      <c r="B480" s="1"/>
      <c r="H480">
        <v>52.5</v>
      </c>
      <c r="J480" t="s">
        <v>15</v>
      </c>
      <c r="L480" s="1"/>
      <c r="N480" s="1"/>
      <c r="V480" t="str">
        <f>"54000"</f>
        <v>54000</v>
      </c>
      <c r="W480">
        <v>0</v>
      </c>
      <c r="X480">
        <v>0</v>
      </c>
    </row>
    <row r="481" spans="1:24" x14ac:dyDescent="0.25">
      <c r="A481" t="str">
        <f>""</f>
        <v/>
      </c>
      <c r="B481" s="1"/>
      <c r="H481">
        <v>52.5</v>
      </c>
      <c r="J481" t="s">
        <v>15</v>
      </c>
      <c r="L481" s="1"/>
      <c r="N481" s="1"/>
      <c r="V481" t="str">
        <f>"90000"</f>
        <v>90000</v>
      </c>
      <c r="W481">
        <v>0</v>
      </c>
      <c r="X481">
        <v>0</v>
      </c>
    </row>
    <row r="482" spans="1:24" ht="15" customHeight="1" x14ac:dyDescent="0.25">
      <c r="A482" t="str">
        <f>""</f>
        <v/>
      </c>
      <c r="B482" s="1"/>
      <c r="H482">
        <v>149.58000000000001</v>
      </c>
      <c r="J482" t="s">
        <v>23</v>
      </c>
      <c r="L482" s="1"/>
      <c r="N482" s="1"/>
      <c r="V482" t="str">
        <f>"45400"</f>
        <v>45400</v>
      </c>
      <c r="W482">
        <v>0</v>
      </c>
      <c r="X482">
        <v>40.39</v>
      </c>
    </row>
    <row r="483" spans="1:24" ht="15" customHeight="1" x14ac:dyDescent="0.25">
      <c r="A483" t="str">
        <f>""</f>
        <v/>
      </c>
      <c r="B483" s="1"/>
      <c r="H483">
        <v>86.6</v>
      </c>
      <c r="J483" t="s">
        <v>19</v>
      </c>
      <c r="L483" s="1"/>
      <c r="N483" s="1"/>
      <c r="V483" t="str">
        <f>"62200"</f>
        <v>62200</v>
      </c>
      <c r="W483">
        <v>16.45</v>
      </c>
      <c r="X483">
        <v>0</v>
      </c>
    </row>
    <row r="484" spans="1:24" ht="15" customHeight="1" x14ac:dyDescent="0.25">
      <c r="A484" t="str">
        <f>""</f>
        <v/>
      </c>
      <c r="B484" s="1"/>
      <c r="H484">
        <v>55.16</v>
      </c>
      <c r="J484" t="s">
        <v>19</v>
      </c>
      <c r="L484" s="1"/>
      <c r="N484" s="1"/>
      <c r="V484" t="str">
        <f>"93013"</f>
        <v>93013</v>
      </c>
      <c r="W484">
        <v>0</v>
      </c>
      <c r="X484">
        <v>0</v>
      </c>
    </row>
    <row r="485" spans="1:24" ht="15" customHeight="1" x14ac:dyDescent="0.25">
      <c r="A485" t="str">
        <f>""</f>
        <v/>
      </c>
      <c r="B485" s="1"/>
      <c r="H485">
        <v>20</v>
      </c>
      <c r="L485" s="1"/>
      <c r="N485" s="1"/>
      <c r="V485" t="str">
        <f>"77184"</f>
        <v>77184</v>
      </c>
      <c r="W485">
        <v>0</v>
      </c>
      <c r="X485">
        <v>0</v>
      </c>
    </row>
    <row r="486" spans="1:24" ht="15" customHeight="1" x14ac:dyDescent="0.25">
      <c r="A486" t="str">
        <f>""</f>
        <v/>
      </c>
      <c r="B486" s="1"/>
      <c r="H486">
        <v>25</v>
      </c>
      <c r="L486" s="1"/>
      <c r="N486" s="1"/>
      <c r="V486" t="str">
        <f>"77184"</f>
        <v>77184</v>
      </c>
      <c r="W486">
        <v>0</v>
      </c>
      <c r="X486">
        <v>0</v>
      </c>
    </row>
    <row r="487" spans="1:24" ht="15" customHeight="1" x14ac:dyDescent="0.25">
      <c r="A487" t="str">
        <f>""</f>
        <v/>
      </c>
      <c r="B487" s="1"/>
      <c r="H487">
        <v>40</v>
      </c>
      <c r="J487" t="s">
        <v>23</v>
      </c>
      <c r="L487" s="1"/>
      <c r="N487" s="1"/>
      <c r="V487" t="str">
        <f>"18000"</f>
        <v>18000</v>
      </c>
      <c r="W487">
        <v>0</v>
      </c>
      <c r="X487">
        <v>10.8</v>
      </c>
    </row>
    <row r="488" spans="1:24" ht="15" customHeight="1" x14ac:dyDescent="0.25">
      <c r="A488" t="str">
        <f>""</f>
        <v/>
      </c>
      <c r="B488" s="1"/>
      <c r="H488">
        <v>25</v>
      </c>
      <c r="J488" t="s">
        <v>23</v>
      </c>
      <c r="L488" s="1"/>
      <c r="N488" s="1"/>
      <c r="V488" t="str">
        <f>"37000"</f>
        <v>37000</v>
      </c>
      <c r="W488">
        <v>0</v>
      </c>
      <c r="X488">
        <v>0</v>
      </c>
    </row>
    <row r="489" spans="1:24" ht="15" customHeight="1" x14ac:dyDescent="0.25">
      <c r="A489" t="str">
        <f>""</f>
        <v/>
      </c>
      <c r="B489" s="1"/>
      <c r="H489">
        <v>1162.42</v>
      </c>
      <c r="J489" t="s">
        <v>20</v>
      </c>
      <c r="L489" s="1"/>
      <c r="N489" s="1"/>
      <c r="V489" t="str">
        <f>"49124"</f>
        <v>49124</v>
      </c>
      <c r="W489">
        <v>313.85000000000002</v>
      </c>
      <c r="X489">
        <v>0</v>
      </c>
    </row>
    <row r="490" spans="1:24" ht="15" customHeight="1" x14ac:dyDescent="0.25">
      <c r="A490" t="str">
        <f>""</f>
        <v/>
      </c>
      <c r="B490" s="1"/>
      <c r="H490">
        <v>140</v>
      </c>
      <c r="J490" t="s">
        <v>23</v>
      </c>
      <c r="L490" s="1"/>
      <c r="V490" t="str">
        <f>"42350"</f>
        <v>42350</v>
      </c>
      <c r="W490">
        <v>0</v>
      </c>
      <c r="X490">
        <v>0</v>
      </c>
    </row>
    <row r="491" spans="1:24" ht="15" customHeight="1" x14ac:dyDescent="0.25">
      <c r="A491" t="str">
        <f>""</f>
        <v/>
      </c>
      <c r="B491" s="1"/>
      <c r="H491">
        <v>61.96</v>
      </c>
      <c r="J491" t="s">
        <v>23</v>
      </c>
      <c r="L491" s="1"/>
      <c r="V491" t="str">
        <f>"30000"</f>
        <v>30000</v>
      </c>
      <c r="W491">
        <v>0</v>
      </c>
      <c r="X491">
        <v>0</v>
      </c>
    </row>
    <row r="492" spans="1:24" ht="15" customHeight="1" x14ac:dyDescent="0.25">
      <c r="A492" t="str">
        <f>""</f>
        <v/>
      </c>
      <c r="B492" s="1"/>
      <c r="H492">
        <v>250</v>
      </c>
      <c r="J492" t="s">
        <v>23</v>
      </c>
      <c r="L492" s="1"/>
      <c r="V492" t="str">
        <f>"50570"</f>
        <v>50570</v>
      </c>
      <c r="W492">
        <v>0</v>
      </c>
      <c r="X492">
        <v>0</v>
      </c>
    </row>
    <row r="493" spans="1:24" ht="15" customHeight="1" x14ac:dyDescent="0.25">
      <c r="A493" t="str">
        <f>""</f>
        <v/>
      </c>
      <c r="B493" s="1"/>
      <c r="H493">
        <v>22.8</v>
      </c>
      <c r="J493" t="s">
        <v>22</v>
      </c>
      <c r="L493" s="1"/>
      <c r="N493" s="1"/>
      <c r="V493" t="str">
        <f>"39400"</f>
        <v>39400</v>
      </c>
      <c r="W493">
        <v>0</v>
      </c>
      <c r="X493">
        <v>0</v>
      </c>
    </row>
    <row r="494" spans="1:24" ht="15" customHeight="1" x14ac:dyDescent="0.25">
      <c r="A494" t="str">
        <f>""</f>
        <v/>
      </c>
      <c r="B494" s="1"/>
      <c r="H494">
        <v>22.8</v>
      </c>
      <c r="J494" t="s">
        <v>22</v>
      </c>
      <c r="L494" s="1"/>
      <c r="N494" s="1"/>
      <c r="V494" t="str">
        <f>"39400"</f>
        <v>39400</v>
      </c>
      <c r="W494">
        <v>0</v>
      </c>
      <c r="X494">
        <v>0</v>
      </c>
    </row>
    <row r="495" spans="1:24" ht="15" customHeight="1" x14ac:dyDescent="0.25">
      <c r="A495" t="str">
        <f>""</f>
        <v/>
      </c>
      <c r="B495" s="1"/>
      <c r="H495">
        <v>250</v>
      </c>
      <c r="J495" t="s">
        <v>23</v>
      </c>
      <c r="L495" s="1"/>
      <c r="N495" s="1"/>
      <c r="V495" t="str">
        <f>"13127"</f>
        <v>13127</v>
      </c>
      <c r="W495">
        <v>0</v>
      </c>
      <c r="X495">
        <v>47.5</v>
      </c>
    </row>
    <row r="496" spans="1:24" x14ac:dyDescent="0.25">
      <c r="A496" t="str">
        <f>""</f>
        <v/>
      </c>
      <c r="B496" s="1"/>
      <c r="H496">
        <v>108.32</v>
      </c>
      <c r="J496" t="s">
        <v>15</v>
      </c>
      <c r="L496" s="1"/>
      <c r="N496" s="1"/>
      <c r="V496" t="str">
        <f>"57000"</f>
        <v>57000</v>
      </c>
      <c r="W496">
        <v>0</v>
      </c>
      <c r="X496">
        <v>0</v>
      </c>
    </row>
    <row r="497" spans="1:24" ht="15" customHeight="1" x14ac:dyDescent="0.25">
      <c r="A497" t="str">
        <f>""</f>
        <v/>
      </c>
      <c r="B497" s="1"/>
      <c r="H497">
        <v>151</v>
      </c>
      <c r="J497" t="s">
        <v>22</v>
      </c>
      <c r="L497" s="1"/>
      <c r="N497" s="1"/>
      <c r="V497" t="str">
        <f>"06560"</f>
        <v>06560</v>
      </c>
      <c r="W497">
        <v>0</v>
      </c>
      <c r="X497">
        <v>0</v>
      </c>
    </row>
    <row r="498" spans="1:24" ht="15" customHeight="1" x14ac:dyDescent="0.25">
      <c r="A498" t="str">
        <f>""</f>
        <v/>
      </c>
      <c r="B498" s="1"/>
      <c r="H498">
        <v>160</v>
      </c>
      <c r="J498" t="s">
        <v>22</v>
      </c>
      <c r="L498" s="1"/>
      <c r="N498" s="1"/>
      <c r="V498" t="str">
        <f>"50300"</f>
        <v>50300</v>
      </c>
      <c r="W498">
        <v>0</v>
      </c>
      <c r="X498">
        <v>27.2</v>
      </c>
    </row>
    <row r="499" spans="1:24" ht="15" customHeight="1" x14ac:dyDescent="0.25">
      <c r="A499" t="str">
        <f>""</f>
        <v/>
      </c>
      <c r="B499" s="1"/>
      <c r="H499">
        <v>84.5</v>
      </c>
      <c r="L499" s="1"/>
      <c r="N499" s="1"/>
      <c r="V499" t="str">
        <f>"77184"</f>
        <v>77184</v>
      </c>
      <c r="W499">
        <v>0</v>
      </c>
      <c r="X499">
        <v>0</v>
      </c>
    </row>
    <row r="500" spans="1:24" ht="15" customHeight="1" x14ac:dyDescent="0.25">
      <c r="A500" t="str">
        <f>""</f>
        <v/>
      </c>
      <c r="B500" s="1"/>
      <c r="H500">
        <v>84.5</v>
      </c>
      <c r="L500" s="1"/>
      <c r="N500" s="1"/>
      <c r="V500" t="str">
        <f>"77184"</f>
        <v>77184</v>
      </c>
      <c r="W500">
        <v>0</v>
      </c>
      <c r="X500">
        <v>0</v>
      </c>
    </row>
    <row r="501" spans="1:24" ht="15" customHeight="1" x14ac:dyDescent="0.25">
      <c r="A501" t="str">
        <f>""</f>
        <v/>
      </c>
      <c r="B501" s="1"/>
      <c r="H501">
        <v>10</v>
      </c>
      <c r="L501" s="1"/>
      <c r="N501" s="1"/>
      <c r="V501" t="str">
        <f>"77184"</f>
        <v>77184</v>
      </c>
      <c r="W501">
        <v>0</v>
      </c>
      <c r="X501">
        <v>0</v>
      </c>
    </row>
    <row r="502" spans="1:24" x14ac:dyDescent="0.25">
      <c r="A502" t="str">
        <f>""</f>
        <v/>
      </c>
      <c r="B502" s="1"/>
      <c r="H502">
        <v>34.6</v>
      </c>
      <c r="J502" t="s">
        <v>16</v>
      </c>
      <c r="L502" s="1"/>
      <c r="N502" s="1"/>
      <c r="V502" t="str">
        <f>"77184"</f>
        <v>77184</v>
      </c>
      <c r="W502">
        <v>9.34</v>
      </c>
      <c r="X502">
        <v>0</v>
      </c>
    </row>
    <row r="503" spans="1:24" ht="15" customHeight="1" x14ac:dyDescent="0.25">
      <c r="A503" t="str">
        <f>""</f>
        <v/>
      </c>
      <c r="B503" s="1"/>
      <c r="H503">
        <v>139.62</v>
      </c>
      <c r="J503" t="s">
        <v>22</v>
      </c>
      <c r="L503" s="1"/>
      <c r="N503" s="1"/>
      <c r="V503" t="str">
        <f>"34980"</f>
        <v>34980</v>
      </c>
      <c r="W503">
        <v>0</v>
      </c>
      <c r="X503">
        <v>39.090000000000003</v>
      </c>
    </row>
    <row r="504" spans="1:24" ht="15" customHeight="1" x14ac:dyDescent="0.25">
      <c r="A504" t="str">
        <f>""</f>
        <v/>
      </c>
      <c r="B504" s="1"/>
      <c r="H504">
        <v>59.68</v>
      </c>
      <c r="J504" t="s">
        <v>20</v>
      </c>
      <c r="L504" s="1"/>
      <c r="N504" s="1"/>
      <c r="V504" t="str">
        <f>"75012"</f>
        <v>75012</v>
      </c>
      <c r="W504">
        <v>0</v>
      </c>
      <c r="X504">
        <v>0</v>
      </c>
    </row>
    <row r="505" spans="1:24" ht="15" customHeight="1" x14ac:dyDescent="0.25">
      <c r="A505" t="str">
        <f>""</f>
        <v/>
      </c>
      <c r="B505" s="1"/>
      <c r="H505">
        <v>126.4</v>
      </c>
      <c r="J505" t="s">
        <v>22</v>
      </c>
      <c r="L505" s="1"/>
      <c r="N505" s="1"/>
      <c r="V505" t="str">
        <f>"38190"</f>
        <v>38190</v>
      </c>
      <c r="W505">
        <v>0</v>
      </c>
      <c r="X505">
        <v>0</v>
      </c>
    </row>
    <row r="506" spans="1:24" ht="15" customHeight="1" x14ac:dyDescent="0.25">
      <c r="A506" t="str">
        <f>""</f>
        <v/>
      </c>
      <c r="B506" s="1"/>
      <c r="H506">
        <v>75.16</v>
      </c>
      <c r="J506" t="s">
        <v>19</v>
      </c>
      <c r="L506" s="1"/>
      <c r="N506" s="1"/>
      <c r="V506" t="str">
        <f>"35044"</f>
        <v>35044</v>
      </c>
      <c r="W506">
        <v>20.29</v>
      </c>
      <c r="X506">
        <v>0</v>
      </c>
    </row>
    <row r="507" spans="1:24" ht="15" customHeight="1" x14ac:dyDescent="0.25">
      <c r="A507" t="str">
        <f>""</f>
        <v/>
      </c>
      <c r="B507" s="1"/>
      <c r="H507">
        <v>20.23</v>
      </c>
      <c r="J507" t="s">
        <v>19</v>
      </c>
      <c r="L507" s="1"/>
      <c r="N507" s="1"/>
      <c r="V507" t="str">
        <f>"14200"</f>
        <v>14200</v>
      </c>
      <c r="W507">
        <v>3.44</v>
      </c>
      <c r="X507">
        <v>0</v>
      </c>
    </row>
    <row r="508" spans="1:24" ht="15" customHeight="1" x14ac:dyDescent="0.25">
      <c r="A508" t="str">
        <f>""</f>
        <v/>
      </c>
      <c r="B508" s="1"/>
      <c r="H508">
        <v>180</v>
      </c>
      <c r="J508" t="s">
        <v>23</v>
      </c>
      <c r="L508" s="1"/>
      <c r="N508" s="1"/>
      <c r="V508" t="str">
        <f>"33290"</f>
        <v>33290</v>
      </c>
      <c r="W508">
        <v>0</v>
      </c>
      <c r="X508">
        <v>30.6</v>
      </c>
    </row>
    <row r="509" spans="1:24" ht="15" customHeight="1" x14ac:dyDescent="0.25">
      <c r="A509" t="str">
        <f>""</f>
        <v/>
      </c>
      <c r="B509" s="1"/>
      <c r="H509">
        <v>105.6</v>
      </c>
      <c r="J509" t="s">
        <v>22</v>
      </c>
      <c r="L509" s="1"/>
      <c r="N509" s="1"/>
      <c r="V509" t="str">
        <f>"14200"</f>
        <v>14200</v>
      </c>
      <c r="W509">
        <v>0</v>
      </c>
      <c r="X509">
        <v>17.95</v>
      </c>
    </row>
    <row r="510" spans="1:24" x14ac:dyDescent="0.25">
      <c r="A510" t="str">
        <f>""</f>
        <v/>
      </c>
      <c r="B510" s="1"/>
      <c r="H510">
        <v>180.36</v>
      </c>
      <c r="J510" t="s">
        <v>18</v>
      </c>
      <c r="L510" s="1"/>
      <c r="N510" s="1"/>
      <c r="V510" t="str">
        <f>"25350"</f>
        <v>25350</v>
      </c>
      <c r="W510">
        <v>0</v>
      </c>
      <c r="X510">
        <v>0</v>
      </c>
    </row>
    <row r="511" spans="1:24" ht="15" customHeight="1" x14ac:dyDescent="0.25">
      <c r="A511" t="str">
        <f>""</f>
        <v/>
      </c>
      <c r="B511" s="1"/>
      <c r="H511">
        <v>140</v>
      </c>
      <c r="J511" t="s">
        <v>23</v>
      </c>
      <c r="L511" s="1"/>
      <c r="N511" s="1"/>
      <c r="V511" t="str">
        <f>"45160"</f>
        <v>45160</v>
      </c>
      <c r="W511">
        <v>0</v>
      </c>
      <c r="X511">
        <v>0</v>
      </c>
    </row>
    <row r="512" spans="1:24" ht="15" customHeight="1" x14ac:dyDescent="0.25">
      <c r="A512" t="str">
        <f>""</f>
        <v/>
      </c>
      <c r="B512" s="1"/>
      <c r="H512">
        <v>153.81</v>
      </c>
      <c r="J512" t="s">
        <v>19</v>
      </c>
      <c r="L512" s="1"/>
      <c r="N512" s="1"/>
      <c r="V512" t="str">
        <f>"68520"</f>
        <v>68520</v>
      </c>
      <c r="W512">
        <v>44.6</v>
      </c>
      <c r="X512">
        <v>0</v>
      </c>
    </row>
    <row r="513" spans="1:24" ht="15" customHeight="1" x14ac:dyDescent="0.25">
      <c r="A513" t="str">
        <f>""</f>
        <v/>
      </c>
      <c r="B513" s="1"/>
      <c r="H513">
        <v>38.76</v>
      </c>
      <c r="J513" t="s">
        <v>19</v>
      </c>
      <c r="L513" s="1"/>
      <c r="N513" s="1"/>
      <c r="V513" t="str">
        <f>"75013"</f>
        <v>75013</v>
      </c>
      <c r="W513">
        <v>0</v>
      </c>
      <c r="X513">
        <v>0</v>
      </c>
    </row>
    <row r="514" spans="1:24" ht="15" customHeight="1" x14ac:dyDescent="0.25">
      <c r="A514" t="str">
        <f>""</f>
        <v/>
      </c>
      <c r="B514" s="1"/>
      <c r="H514">
        <v>271.13</v>
      </c>
      <c r="J514" t="s">
        <v>22</v>
      </c>
      <c r="L514" s="1"/>
      <c r="N514" s="1"/>
      <c r="V514" t="str">
        <f>"77183"</f>
        <v>77183</v>
      </c>
      <c r="W514">
        <v>0</v>
      </c>
      <c r="X514">
        <v>0</v>
      </c>
    </row>
    <row r="515" spans="1:24" ht="15" customHeight="1" x14ac:dyDescent="0.25">
      <c r="A515" t="str">
        <f>""</f>
        <v/>
      </c>
      <c r="B515" s="1"/>
      <c r="H515">
        <v>84.5</v>
      </c>
      <c r="L515" s="1"/>
      <c r="N515" s="1"/>
      <c r="V515" t="str">
        <f>"77184"</f>
        <v>77184</v>
      </c>
      <c r="W515">
        <v>0</v>
      </c>
      <c r="X515">
        <v>0</v>
      </c>
    </row>
    <row r="516" spans="1:24" ht="15" customHeight="1" x14ac:dyDescent="0.25">
      <c r="A516" t="str">
        <f>""</f>
        <v/>
      </c>
      <c r="B516" s="1"/>
      <c r="H516">
        <v>84.5</v>
      </c>
      <c r="L516" s="1"/>
      <c r="N516" s="1"/>
      <c r="V516" t="str">
        <f>"77184"</f>
        <v>77184</v>
      </c>
      <c r="W516">
        <v>0</v>
      </c>
      <c r="X516">
        <v>0</v>
      </c>
    </row>
    <row r="517" spans="1:24" ht="15" customHeight="1" x14ac:dyDescent="0.25">
      <c r="A517" t="str">
        <f>""</f>
        <v/>
      </c>
      <c r="B517" s="1"/>
      <c r="H517">
        <v>84.5</v>
      </c>
      <c r="L517" s="1"/>
      <c r="N517" s="1"/>
      <c r="V517" t="str">
        <f>"77184"</f>
        <v>77184</v>
      </c>
      <c r="W517">
        <v>0</v>
      </c>
      <c r="X517">
        <v>0</v>
      </c>
    </row>
    <row r="518" spans="1:24" ht="15" customHeight="1" x14ac:dyDescent="0.25">
      <c r="A518" t="str">
        <f>""</f>
        <v/>
      </c>
      <c r="B518" s="1"/>
      <c r="H518">
        <v>17</v>
      </c>
      <c r="J518" t="s">
        <v>23</v>
      </c>
      <c r="L518" s="1"/>
      <c r="N518" s="1"/>
      <c r="V518" t="str">
        <f>"54000"</f>
        <v>54000</v>
      </c>
      <c r="W518">
        <v>0</v>
      </c>
      <c r="X518">
        <v>4.25</v>
      </c>
    </row>
    <row r="519" spans="1:24" x14ac:dyDescent="0.25">
      <c r="A519" t="str">
        <f>""</f>
        <v/>
      </c>
      <c r="B519" s="1"/>
      <c r="H519">
        <v>151</v>
      </c>
      <c r="J519" t="s">
        <v>17</v>
      </c>
      <c r="L519" s="1"/>
      <c r="N519" s="1"/>
      <c r="V519" t="str">
        <f>"67800"</f>
        <v>67800</v>
      </c>
      <c r="W519">
        <v>0</v>
      </c>
      <c r="X519">
        <v>0</v>
      </c>
    </row>
    <row r="520" spans="1:24" ht="15" customHeight="1" x14ac:dyDescent="0.25">
      <c r="A520" t="str">
        <f>""</f>
        <v/>
      </c>
      <c r="B520" s="1"/>
      <c r="H520">
        <v>151</v>
      </c>
      <c r="J520" t="s">
        <v>23</v>
      </c>
      <c r="L520" s="1"/>
      <c r="N520" s="1"/>
      <c r="V520" t="str">
        <f>"68800"</f>
        <v>68800</v>
      </c>
      <c r="W520">
        <v>0</v>
      </c>
      <c r="X520">
        <v>0</v>
      </c>
    </row>
    <row r="521" spans="1:24" ht="15" customHeight="1" x14ac:dyDescent="0.25">
      <c r="A521" t="str">
        <f>""</f>
        <v/>
      </c>
      <c r="B521" s="1"/>
      <c r="H521">
        <v>31</v>
      </c>
      <c r="L521" s="1"/>
      <c r="N521" s="1"/>
      <c r="V521" t="str">
        <f>"44240"</f>
        <v>44240</v>
      </c>
      <c r="W521">
        <v>0</v>
      </c>
      <c r="X521">
        <v>0</v>
      </c>
    </row>
    <row r="522" spans="1:24" ht="15" customHeight="1" x14ac:dyDescent="0.25">
      <c r="A522" t="str">
        <f>""</f>
        <v/>
      </c>
      <c r="B522" s="1"/>
      <c r="H522">
        <v>173.44</v>
      </c>
      <c r="J522" t="s">
        <v>21</v>
      </c>
      <c r="L522" s="1"/>
      <c r="V522" t="str">
        <f>"77184"</f>
        <v>77184</v>
      </c>
      <c r="W522">
        <v>0</v>
      </c>
      <c r="X522">
        <v>0</v>
      </c>
    </row>
    <row r="523" spans="1:24" ht="15" customHeight="1" x14ac:dyDescent="0.25">
      <c r="A523" t="str">
        <f>""</f>
        <v/>
      </c>
      <c r="B523" s="1"/>
      <c r="H523">
        <v>143.19</v>
      </c>
      <c r="J523" t="s">
        <v>19</v>
      </c>
      <c r="L523" s="1"/>
      <c r="N523" s="1"/>
      <c r="V523" t="str">
        <f>"58120"</f>
        <v>58120</v>
      </c>
      <c r="W523">
        <v>34.369999999999997</v>
      </c>
      <c r="X523">
        <v>0</v>
      </c>
    </row>
    <row r="524" spans="1:24" ht="15" customHeight="1" x14ac:dyDescent="0.25">
      <c r="A524" t="str">
        <f>""</f>
        <v/>
      </c>
      <c r="B524" s="1"/>
      <c r="H524">
        <v>160.04</v>
      </c>
      <c r="J524" t="s">
        <v>23</v>
      </c>
      <c r="L524" s="1"/>
      <c r="N524" s="1"/>
      <c r="V524" t="str">
        <f>"89150"</f>
        <v>89150</v>
      </c>
      <c r="W524">
        <v>0</v>
      </c>
      <c r="X524">
        <v>19.2</v>
      </c>
    </row>
    <row r="525" spans="1:24" ht="15" customHeight="1" x14ac:dyDescent="0.25">
      <c r="A525" t="str">
        <f>""</f>
        <v/>
      </c>
      <c r="B525" s="1"/>
      <c r="H525">
        <v>170</v>
      </c>
      <c r="L525" s="1"/>
      <c r="N525" s="1"/>
      <c r="V525" t="str">
        <f>"77184"</f>
        <v>77184</v>
      </c>
      <c r="W525">
        <v>0</v>
      </c>
      <c r="X525">
        <v>0</v>
      </c>
    </row>
    <row r="526" spans="1:24" ht="15" customHeight="1" x14ac:dyDescent="0.25">
      <c r="A526" t="str">
        <f>""</f>
        <v/>
      </c>
      <c r="B526" s="1"/>
      <c r="H526">
        <v>122.41</v>
      </c>
      <c r="J526" t="s">
        <v>23</v>
      </c>
      <c r="L526" s="1"/>
      <c r="N526" s="1"/>
      <c r="V526" t="str">
        <f>"80800"</f>
        <v>80800</v>
      </c>
      <c r="W526">
        <v>0</v>
      </c>
      <c r="X526">
        <v>0</v>
      </c>
    </row>
    <row r="527" spans="1:24" ht="15" customHeight="1" x14ac:dyDescent="0.25">
      <c r="A527" t="str">
        <f>""</f>
        <v/>
      </c>
      <c r="B527" s="1"/>
      <c r="H527">
        <v>38.409999999999997</v>
      </c>
      <c r="J527" t="s">
        <v>20</v>
      </c>
      <c r="L527" s="1"/>
      <c r="N527" s="1"/>
      <c r="V527" t="str">
        <f>"06000"</f>
        <v>06000</v>
      </c>
      <c r="W527">
        <v>11.52</v>
      </c>
      <c r="X527">
        <v>0</v>
      </c>
    </row>
    <row r="528" spans="1:24" ht="15" customHeight="1" x14ac:dyDescent="0.25">
      <c r="A528" t="str">
        <f>""</f>
        <v/>
      </c>
      <c r="B528" s="1"/>
      <c r="H528">
        <v>151</v>
      </c>
      <c r="J528" t="s">
        <v>23</v>
      </c>
      <c r="L528" s="1"/>
      <c r="N528" s="1"/>
      <c r="V528" t="str">
        <f>"62000"</f>
        <v>62000</v>
      </c>
      <c r="W528">
        <v>0</v>
      </c>
      <c r="X528">
        <v>0</v>
      </c>
    </row>
    <row r="529" spans="1:24" ht="15" customHeight="1" x14ac:dyDescent="0.25">
      <c r="A529" t="str">
        <f>""</f>
        <v/>
      </c>
      <c r="B529" s="1"/>
      <c r="H529">
        <v>37.19</v>
      </c>
      <c r="L529" s="1"/>
      <c r="N529" s="1"/>
      <c r="V529" t="str">
        <f>"77184"</f>
        <v>77184</v>
      </c>
      <c r="W529">
        <v>0</v>
      </c>
      <c r="X529">
        <v>0</v>
      </c>
    </row>
    <row r="530" spans="1:24" x14ac:dyDescent="0.25">
      <c r="A530" t="str">
        <f>""</f>
        <v/>
      </c>
      <c r="B530" s="1"/>
      <c r="H530">
        <v>120</v>
      </c>
      <c r="J530" t="s">
        <v>15</v>
      </c>
      <c r="L530" s="1"/>
      <c r="N530" s="1"/>
      <c r="V530" t="str">
        <f>"82000"</f>
        <v>82000</v>
      </c>
      <c r="W530">
        <v>26.4</v>
      </c>
      <c r="X530">
        <v>0</v>
      </c>
    </row>
    <row r="531" spans="1:24" ht="15" customHeight="1" x14ac:dyDescent="0.25">
      <c r="A531" t="str">
        <f>""</f>
        <v/>
      </c>
      <c r="B531" s="1"/>
      <c r="H531">
        <v>181</v>
      </c>
      <c r="J531" t="s">
        <v>19</v>
      </c>
      <c r="L531" s="1"/>
      <c r="N531" s="1"/>
      <c r="V531" t="str">
        <f>"06190"</f>
        <v>06190</v>
      </c>
      <c r="W531">
        <v>54.3</v>
      </c>
      <c r="X531">
        <v>0</v>
      </c>
    </row>
    <row r="532" spans="1:24" ht="15" customHeight="1" x14ac:dyDescent="0.25">
      <c r="A532" t="str">
        <f>""</f>
        <v/>
      </c>
      <c r="B532" s="1"/>
      <c r="H532">
        <v>50</v>
      </c>
      <c r="J532" t="s">
        <v>22</v>
      </c>
      <c r="L532" s="1"/>
      <c r="N532" s="1"/>
      <c r="V532" t="str">
        <f>"06190"</f>
        <v>06190</v>
      </c>
      <c r="W532">
        <v>0</v>
      </c>
      <c r="X532">
        <v>15</v>
      </c>
    </row>
    <row r="533" spans="1:24" ht="15" customHeight="1" x14ac:dyDescent="0.25">
      <c r="A533" t="str">
        <f>""</f>
        <v/>
      </c>
      <c r="B533" s="1"/>
      <c r="H533">
        <v>90</v>
      </c>
      <c r="J533" t="s">
        <v>22</v>
      </c>
      <c r="L533" s="1"/>
      <c r="N533" s="1"/>
      <c r="V533" t="str">
        <f>"06190"</f>
        <v>06190</v>
      </c>
      <c r="W533">
        <v>0</v>
      </c>
      <c r="X533">
        <v>27</v>
      </c>
    </row>
    <row r="534" spans="1:24" ht="15" customHeight="1" x14ac:dyDescent="0.25">
      <c r="A534" t="str">
        <f>""</f>
        <v/>
      </c>
      <c r="B534" s="1"/>
      <c r="H534">
        <v>110.91</v>
      </c>
      <c r="J534" t="s">
        <v>23</v>
      </c>
      <c r="L534" s="1"/>
      <c r="V534" t="str">
        <f>"68110"</f>
        <v>68110</v>
      </c>
      <c r="W534">
        <v>0</v>
      </c>
      <c r="X534">
        <v>0</v>
      </c>
    </row>
    <row r="535" spans="1:24" ht="15" customHeight="1" x14ac:dyDescent="0.25">
      <c r="A535" t="str">
        <f>""</f>
        <v/>
      </c>
      <c r="B535" s="1"/>
      <c r="H535">
        <v>146.49</v>
      </c>
      <c r="J535" t="s">
        <v>20</v>
      </c>
      <c r="L535" s="1"/>
      <c r="N535" s="1"/>
      <c r="V535" t="str">
        <f>"68700"</f>
        <v>68700</v>
      </c>
      <c r="W535">
        <v>42.48</v>
      </c>
      <c r="X535">
        <v>0</v>
      </c>
    </row>
    <row r="536" spans="1:24" ht="15" customHeight="1" x14ac:dyDescent="0.25">
      <c r="A536" t="str">
        <f>""</f>
        <v/>
      </c>
      <c r="B536" s="1"/>
      <c r="H536">
        <v>149.79</v>
      </c>
      <c r="J536" t="s">
        <v>19</v>
      </c>
      <c r="L536" s="1"/>
      <c r="N536" s="1"/>
      <c r="V536" t="str">
        <f>"34500"</f>
        <v>34500</v>
      </c>
      <c r="W536">
        <v>58.42</v>
      </c>
      <c r="X536">
        <v>0</v>
      </c>
    </row>
    <row r="537" spans="1:24" ht="15" customHeight="1" x14ac:dyDescent="0.25">
      <c r="A537" t="str">
        <f>""</f>
        <v/>
      </c>
      <c r="B537" s="1"/>
      <c r="H537">
        <v>107.6</v>
      </c>
      <c r="J537" t="s">
        <v>19</v>
      </c>
      <c r="L537" s="1"/>
      <c r="N537" s="1"/>
      <c r="V537" t="str">
        <f>"75014"</f>
        <v>75014</v>
      </c>
      <c r="W537">
        <v>0</v>
      </c>
      <c r="X537">
        <v>0</v>
      </c>
    </row>
    <row r="538" spans="1:24" ht="15" customHeight="1" x14ac:dyDescent="0.25">
      <c r="A538" t="str">
        <f>""</f>
        <v/>
      </c>
      <c r="B538" s="1"/>
      <c r="H538">
        <v>53.38</v>
      </c>
      <c r="J538" t="s">
        <v>20</v>
      </c>
      <c r="L538" s="1"/>
      <c r="N538" s="1"/>
      <c r="V538" t="str">
        <f>"75014"</f>
        <v>75014</v>
      </c>
      <c r="W538">
        <v>0</v>
      </c>
      <c r="X538">
        <v>0</v>
      </c>
    </row>
    <row r="539" spans="1:24" x14ac:dyDescent="0.25">
      <c r="A539" t="str">
        <f>""</f>
        <v/>
      </c>
      <c r="B539" s="1"/>
      <c r="J539" t="s">
        <v>18</v>
      </c>
      <c r="L539" s="1"/>
      <c r="N539" s="1"/>
      <c r="V539" t="str">
        <f>"35680"</f>
        <v>35680</v>
      </c>
      <c r="W539">
        <v>0</v>
      </c>
      <c r="X539">
        <v>0</v>
      </c>
    </row>
    <row r="540" spans="1:24" ht="15" customHeight="1" x14ac:dyDescent="0.25">
      <c r="A540" t="str">
        <f>""</f>
        <v/>
      </c>
      <c r="B540" s="1"/>
      <c r="H540">
        <v>125</v>
      </c>
      <c r="L540" s="1"/>
      <c r="N540" s="1"/>
      <c r="V540" t="str">
        <f>"77184"</f>
        <v>77184</v>
      </c>
      <c r="W540">
        <v>0</v>
      </c>
      <c r="X540">
        <v>0</v>
      </c>
    </row>
    <row r="541" spans="1:24" ht="15" customHeight="1" x14ac:dyDescent="0.25">
      <c r="A541" t="str">
        <f>""</f>
        <v/>
      </c>
      <c r="B541" s="1"/>
      <c r="H541">
        <v>150</v>
      </c>
      <c r="J541" t="s">
        <v>22</v>
      </c>
      <c r="L541" s="1"/>
      <c r="N541" s="1"/>
      <c r="V541" t="str">
        <f>"75018"</f>
        <v>75018</v>
      </c>
      <c r="W541">
        <v>0</v>
      </c>
      <c r="X541">
        <v>0</v>
      </c>
    </row>
    <row r="542" spans="1:24" ht="15" customHeight="1" x14ac:dyDescent="0.25">
      <c r="A542" t="str">
        <f>""</f>
        <v/>
      </c>
      <c r="B542" s="1"/>
      <c r="H542">
        <v>19.649999999999999</v>
      </c>
      <c r="J542" t="s">
        <v>19</v>
      </c>
      <c r="L542" s="1"/>
      <c r="N542" s="1"/>
      <c r="V542" t="str">
        <f>"75014"</f>
        <v>75014</v>
      </c>
      <c r="W542">
        <v>0</v>
      </c>
      <c r="X542">
        <v>0</v>
      </c>
    </row>
    <row r="543" spans="1:24" ht="15" customHeight="1" x14ac:dyDescent="0.25">
      <c r="A543" t="str">
        <f>""</f>
        <v/>
      </c>
      <c r="B543" s="1"/>
      <c r="H543">
        <v>19.649999999999999</v>
      </c>
      <c r="J543" t="s">
        <v>19</v>
      </c>
      <c r="L543" s="1"/>
      <c r="N543" s="1"/>
      <c r="V543" t="str">
        <f>"75014"</f>
        <v>75014</v>
      </c>
      <c r="W543">
        <v>0</v>
      </c>
      <c r="X543">
        <v>0</v>
      </c>
    </row>
    <row r="544" spans="1:24" ht="15" customHeight="1" x14ac:dyDescent="0.25">
      <c r="A544" t="str">
        <f>""</f>
        <v/>
      </c>
      <c r="B544" s="1"/>
      <c r="H544">
        <v>19.649999999999999</v>
      </c>
      <c r="J544" t="s">
        <v>19</v>
      </c>
      <c r="L544" s="1"/>
      <c r="N544" s="1"/>
      <c r="V544" t="str">
        <f>"75014"</f>
        <v>75014</v>
      </c>
      <c r="W544">
        <v>0</v>
      </c>
      <c r="X544">
        <v>0</v>
      </c>
    </row>
    <row r="545" spans="1:24" ht="15" customHeight="1" x14ac:dyDescent="0.25">
      <c r="A545" t="str">
        <f>""</f>
        <v/>
      </c>
      <c r="B545" s="1"/>
      <c r="H545">
        <v>19.649999999999999</v>
      </c>
      <c r="J545" t="s">
        <v>20</v>
      </c>
      <c r="L545" s="1"/>
      <c r="N545" s="1"/>
      <c r="V545" t="str">
        <f>"75014"</f>
        <v>75014</v>
      </c>
      <c r="W545">
        <v>0</v>
      </c>
      <c r="X545">
        <v>0</v>
      </c>
    </row>
    <row r="546" spans="1:24" ht="15" customHeight="1" x14ac:dyDescent="0.25">
      <c r="A546" t="str">
        <f>""</f>
        <v/>
      </c>
      <c r="B546" s="1"/>
      <c r="H546">
        <v>29.59</v>
      </c>
      <c r="J546" t="s">
        <v>22</v>
      </c>
      <c r="L546" s="1"/>
      <c r="N546" s="1"/>
      <c r="V546" t="str">
        <f>"62740"</f>
        <v>62740</v>
      </c>
      <c r="W546">
        <v>0</v>
      </c>
      <c r="X546">
        <v>0</v>
      </c>
    </row>
    <row r="547" spans="1:24" ht="15" customHeight="1" x14ac:dyDescent="0.25">
      <c r="A547" t="str">
        <f>""</f>
        <v/>
      </c>
      <c r="B547" s="1"/>
      <c r="H547">
        <v>144.68</v>
      </c>
      <c r="L547" s="1"/>
      <c r="N547" s="1"/>
      <c r="V547" t="str">
        <f>"77184"</f>
        <v>77184</v>
      </c>
      <c r="W547">
        <v>0</v>
      </c>
      <c r="X547">
        <v>0</v>
      </c>
    </row>
    <row r="548" spans="1:24" ht="15" customHeight="1" x14ac:dyDescent="0.25">
      <c r="A548" t="str">
        <f>""</f>
        <v/>
      </c>
      <c r="B548" s="1"/>
      <c r="H548">
        <v>138.12</v>
      </c>
      <c r="J548" t="s">
        <v>20</v>
      </c>
      <c r="L548" s="1"/>
      <c r="N548" s="1"/>
      <c r="V548" t="str">
        <f>"85000"</f>
        <v>85000</v>
      </c>
      <c r="W548">
        <v>37.29</v>
      </c>
      <c r="X548">
        <v>0</v>
      </c>
    </row>
    <row r="549" spans="1:24" ht="15" customHeight="1" x14ac:dyDescent="0.25">
      <c r="A549" t="str">
        <f>""</f>
        <v/>
      </c>
      <c r="B549" s="1"/>
      <c r="H549">
        <v>136.65</v>
      </c>
      <c r="J549" t="s">
        <v>19</v>
      </c>
      <c r="L549" s="1"/>
      <c r="N549" s="1"/>
      <c r="V549" t="str">
        <f>"51130"</f>
        <v>51130</v>
      </c>
      <c r="W549">
        <v>34.159999999999997</v>
      </c>
      <c r="X549">
        <v>0</v>
      </c>
    </row>
    <row r="550" spans="1:24" ht="15" customHeight="1" x14ac:dyDescent="0.25">
      <c r="A550" t="str">
        <f>""</f>
        <v/>
      </c>
      <c r="B550" s="1"/>
      <c r="H550">
        <v>20</v>
      </c>
      <c r="J550" t="s">
        <v>23</v>
      </c>
      <c r="L550" s="1"/>
      <c r="N550" s="1"/>
      <c r="V550" t="str">
        <f>"50430"</f>
        <v>50430</v>
      </c>
      <c r="W550">
        <v>0</v>
      </c>
      <c r="X550">
        <v>0</v>
      </c>
    </row>
    <row r="551" spans="1:24" ht="15" customHeight="1" x14ac:dyDescent="0.25">
      <c r="A551" t="str">
        <f>""</f>
        <v/>
      </c>
      <c r="B551" s="1"/>
      <c r="H551">
        <v>85.04</v>
      </c>
      <c r="L551" s="1"/>
      <c r="N551" s="1"/>
      <c r="V551" t="str">
        <f>"77184"</f>
        <v>77184</v>
      </c>
      <c r="W551">
        <v>0</v>
      </c>
      <c r="X551">
        <v>0</v>
      </c>
    </row>
    <row r="552" spans="1:24" ht="15" customHeight="1" x14ac:dyDescent="0.25">
      <c r="A552" t="str">
        <f>""</f>
        <v/>
      </c>
      <c r="B552" s="1"/>
      <c r="H552">
        <v>180</v>
      </c>
      <c r="J552" t="s">
        <v>20</v>
      </c>
      <c r="L552" s="1"/>
      <c r="N552" s="1"/>
      <c r="V552" t="str">
        <f>"49700"</f>
        <v>49700</v>
      </c>
      <c r="W552">
        <v>48.6</v>
      </c>
      <c r="X552">
        <v>0</v>
      </c>
    </row>
    <row r="553" spans="1:24" ht="15" customHeight="1" x14ac:dyDescent="0.25">
      <c r="A553" t="str">
        <f>""</f>
        <v/>
      </c>
      <c r="B553" s="1"/>
      <c r="H553">
        <v>142.01</v>
      </c>
      <c r="J553" t="s">
        <v>19</v>
      </c>
      <c r="L553" s="1"/>
      <c r="N553" s="1"/>
      <c r="V553" t="str">
        <f>"06284"</f>
        <v>06284</v>
      </c>
      <c r="W553">
        <v>42.6</v>
      </c>
      <c r="X553">
        <v>0</v>
      </c>
    </row>
    <row r="554" spans="1:24" x14ac:dyDescent="0.25">
      <c r="A554" t="str">
        <f>""</f>
        <v/>
      </c>
      <c r="B554" s="1"/>
      <c r="H554">
        <v>108.32</v>
      </c>
      <c r="J554" t="s">
        <v>16</v>
      </c>
      <c r="L554" s="1"/>
      <c r="N554" s="1"/>
      <c r="V554" t="str">
        <f>"51100"</f>
        <v>51100</v>
      </c>
      <c r="W554">
        <v>0</v>
      </c>
      <c r="X554">
        <v>0</v>
      </c>
    </row>
    <row r="555" spans="1:24" ht="15" customHeight="1" x14ac:dyDescent="0.25">
      <c r="A555" t="str">
        <f>""</f>
        <v/>
      </c>
      <c r="B555" s="1"/>
      <c r="H555">
        <v>19.89</v>
      </c>
      <c r="J555" t="s">
        <v>19</v>
      </c>
      <c r="L555" s="1"/>
      <c r="N555" s="1"/>
      <c r="V555" t="str">
        <f>"06560"</f>
        <v>06560</v>
      </c>
      <c r="W555">
        <v>5.97</v>
      </c>
      <c r="X555">
        <v>0</v>
      </c>
    </row>
    <row r="556" spans="1:24" ht="15" customHeight="1" x14ac:dyDescent="0.25">
      <c r="A556" t="str">
        <f>""</f>
        <v/>
      </c>
      <c r="B556" s="1"/>
      <c r="H556">
        <v>8.07</v>
      </c>
      <c r="J556" t="s">
        <v>20</v>
      </c>
      <c r="L556" s="1"/>
      <c r="N556" s="1"/>
      <c r="V556" t="str">
        <f>"92200"</f>
        <v>92200</v>
      </c>
      <c r="W556">
        <v>0</v>
      </c>
      <c r="X556">
        <v>0</v>
      </c>
    </row>
    <row r="557" spans="1:24" ht="15" customHeight="1" x14ac:dyDescent="0.25">
      <c r="A557" t="str">
        <f>""</f>
        <v/>
      </c>
      <c r="B557" s="1"/>
      <c r="H557">
        <v>55.14</v>
      </c>
      <c r="J557" t="s">
        <v>20</v>
      </c>
      <c r="L557" s="1"/>
      <c r="N557" s="1"/>
      <c r="V557" t="str">
        <f>"51210"</f>
        <v>51210</v>
      </c>
      <c r="W557">
        <v>13.79</v>
      </c>
      <c r="X557">
        <v>0</v>
      </c>
    </row>
    <row r="558" spans="1:24" ht="15" customHeight="1" x14ac:dyDescent="0.25">
      <c r="A558" t="str">
        <f>""</f>
        <v/>
      </c>
      <c r="B558" s="1"/>
      <c r="H558">
        <v>33.35</v>
      </c>
      <c r="J558" t="s">
        <v>19</v>
      </c>
      <c r="L558" s="1"/>
      <c r="N558" s="1"/>
      <c r="V558" t="str">
        <f>"49130"</f>
        <v>49130</v>
      </c>
      <c r="W558">
        <v>9</v>
      </c>
      <c r="X558">
        <v>0</v>
      </c>
    </row>
    <row r="559" spans="1:24" ht="15" customHeight="1" x14ac:dyDescent="0.25">
      <c r="A559" t="str">
        <f>""</f>
        <v/>
      </c>
      <c r="B559" s="1"/>
      <c r="H559">
        <v>40</v>
      </c>
      <c r="J559" t="s">
        <v>22</v>
      </c>
      <c r="L559" s="1"/>
      <c r="N559" s="1"/>
      <c r="V559" t="str">
        <f>"68520"</f>
        <v>68520</v>
      </c>
      <c r="W559">
        <v>0</v>
      </c>
      <c r="X559">
        <v>3.2</v>
      </c>
    </row>
    <row r="560" spans="1:24" ht="15" customHeight="1" x14ac:dyDescent="0.25">
      <c r="A560" t="str">
        <f>""</f>
        <v/>
      </c>
      <c r="B560" s="1"/>
      <c r="H560">
        <v>210.49</v>
      </c>
      <c r="J560" t="s">
        <v>20</v>
      </c>
      <c r="L560" s="1"/>
      <c r="N560" s="1"/>
      <c r="V560" t="str">
        <f>"34500"</f>
        <v>34500</v>
      </c>
      <c r="W560">
        <v>82.09</v>
      </c>
      <c r="X560">
        <v>0</v>
      </c>
    </row>
    <row r="561" spans="1:24" ht="15" customHeight="1" x14ac:dyDescent="0.25">
      <c r="A561" t="str">
        <f>""</f>
        <v/>
      </c>
      <c r="B561" s="1"/>
      <c r="H561">
        <v>100</v>
      </c>
      <c r="J561" t="s">
        <v>20</v>
      </c>
      <c r="L561" s="1"/>
      <c r="N561" s="1"/>
      <c r="V561" t="str">
        <f>"64140"</f>
        <v>64140</v>
      </c>
      <c r="W561">
        <v>21</v>
      </c>
      <c r="X561">
        <v>0</v>
      </c>
    </row>
    <row r="562" spans="1:24" ht="15" customHeight="1" x14ac:dyDescent="0.25">
      <c r="A562" t="str">
        <f>""</f>
        <v/>
      </c>
      <c r="B562" s="1"/>
      <c r="H562">
        <v>55.14</v>
      </c>
      <c r="J562" t="s">
        <v>20</v>
      </c>
      <c r="L562" s="1"/>
      <c r="N562" s="1"/>
      <c r="V562" t="str">
        <f>"75010"</f>
        <v>75010</v>
      </c>
      <c r="W562">
        <v>0</v>
      </c>
      <c r="X562">
        <v>0</v>
      </c>
    </row>
    <row r="563" spans="1:24" ht="15" customHeight="1" x14ac:dyDescent="0.25">
      <c r="A563" t="str">
        <f>""</f>
        <v/>
      </c>
      <c r="B563" s="1"/>
      <c r="H563">
        <v>130.19999999999999</v>
      </c>
      <c r="J563" t="s">
        <v>20</v>
      </c>
      <c r="L563" s="1"/>
      <c r="N563" s="1"/>
      <c r="V563" t="str">
        <f>"91100"</f>
        <v>91100</v>
      </c>
      <c r="W563">
        <v>0</v>
      </c>
      <c r="X563">
        <v>0</v>
      </c>
    </row>
    <row r="564" spans="1:24" ht="15" customHeight="1" x14ac:dyDescent="0.25">
      <c r="A564" t="str">
        <f>""</f>
        <v/>
      </c>
      <c r="B564" s="1"/>
      <c r="H564">
        <v>225</v>
      </c>
      <c r="J564" t="s">
        <v>22</v>
      </c>
      <c r="L564" s="1"/>
      <c r="N564" s="1"/>
      <c r="V564" t="str">
        <f>"69002"</f>
        <v>69002</v>
      </c>
      <c r="W564">
        <v>0</v>
      </c>
      <c r="X564">
        <v>60.75</v>
      </c>
    </row>
    <row r="565" spans="1:24" x14ac:dyDescent="0.25">
      <c r="A565" t="str">
        <f>""</f>
        <v/>
      </c>
      <c r="B565" s="1"/>
      <c r="H565">
        <v>120</v>
      </c>
      <c r="J565" t="s">
        <v>16</v>
      </c>
      <c r="L565" s="1"/>
      <c r="N565" s="1"/>
      <c r="V565" t="str">
        <f>"77184"</f>
        <v>77184</v>
      </c>
      <c r="W565">
        <v>32.4</v>
      </c>
      <c r="X565">
        <v>0</v>
      </c>
    </row>
    <row r="566" spans="1:24" ht="15" customHeight="1" x14ac:dyDescent="0.25">
      <c r="A566" t="str">
        <f>""</f>
        <v/>
      </c>
      <c r="B566" s="1"/>
      <c r="H566">
        <v>31</v>
      </c>
      <c r="L566" s="1"/>
      <c r="N566" s="1"/>
      <c r="V566" t="str">
        <f>"44240"</f>
        <v>44240</v>
      </c>
      <c r="W566">
        <v>0</v>
      </c>
      <c r="X566">
        <v>0</v>
      </c>
    </row>
    <row r="567" spans="1:24" ht="15" customHeight="1" x14ac:dyDescent="0.25">
      <c r="A567" t="str">
        <f>""</f>
        <v/>
      </c>
      <c r="B567" s="1"/>
      <c r="H567">
        <v>133.06</v>
      </c>
      <c r="L567" s="1"/>
      <c r="N567" s="1"/>
      <c r="V567" t="str">
        <f>"44240"</f>
        <v>44240</v>
      </c>
      <c r="W567">
        <v>0</v>
      </c>
      <c r="X567">
        <v>0</v>
      </c>
    </row>
    <row r="568" spans="1:24" ht="15" customHeight="1" x14ac:dyDescent="0.25">
      <c r="A568" t="str">
        <f>""</f>
        <v/>
      </c>
      <c r="B568" s="1"/>
      <c r="H568">
        <v>214.6</v>
      </c>
      <c r="J568" t="s">
        <v>19</v>
      </c>
      <c r="L568" s="1"/>
      <c r="N568" s="1"/>
      <c r="V568" t="str">
        <f>"75015"</f>
        <v>75015</v>
      </c>
      <c r="W568">
        <v>0</v>
      </c>
      <c r="X568">
        <v>0</v>
      </c>
    </row>
    <row r="569" spans="1:24" ht="15" customHeight="1" x14ac:dyDescent="0.25">
      <c r="A569" t="str">
        <f>""</f>
        <v/>
      </c>
      <c r="B569" s="1"/>
      <c r="H569">
        <v>171</v>
      </c>
      <c r="L569" s="1"/>
      <c r="N569" s="1"/>
      <c r="V569" t="str">
        <f>"77184"</f>
        <v>77184</v>
      </c>
      <c r="W569">
        <v>0</v>
      </c>
      <c r="X569">
        <v>0</v>
      </c>
    </row>
    <row r="570" spans="1:24" ht="15" customHeight="1" x14ac:dyDescent="0.25">
      <c r="A570" t="str">
        <f>""</f>
        <v/>
      </c>
      <c r="B570" s="1"/>
      <c r="H570">
        <v>25.8</v>
      </c>
      <c r="J570" t="s">
        <v>19</v>
      </c>
      <c r="L570" s="1"/>
      <c r="N570" s="1"/>
      <c r="V570" t="str">
        <f>"38590"</f>
        <v>38590</v>
      </c>
      <c r="W570">
        <v>6.97</v>
      </c>
      <c r="X570">
        <v>0</v>
      </c>
    </row>
    <row r="571" spans="1:24" ht="15" customHeight="1" x14ac:dyDescent="0.25">
      <c r="A571" t="str">
        <f>""</f>
        <v/>
      </c>
      <c r="B571" s="1"/>
      <c r="H571">
        <v>1614.26</v>
      </c>
      <c r="J571" t="s">
        <v>22</v>
      </c>
      <c r="L571" s="1"/>
      <c r="N571" s="1"/>
      <c r="V571" t="str">
        <f>"44980"</f>
        <v>44980</v>
      </c>
      <c r="W571">
        <v>0</v>
      </c>
      <c r="X571">
        <v>0</v>
      </c>
    </row>
    <row r="572" spans="1:24" ht="15" customHeight="1" x14ac:dyDescent="0.25">
      <c r="A572" t="str">
        <f>""</f>
        <v/>
      </c>
      <c r="B572" s="1"/>
      <c r="H572">
        <v>151</v>
      </c>
      <c r="J572" t="s">
        <v>19</v>
      </c>
      <c r="L572" s="1"/>
      <c r="N572" s="1"/>
      <c r="V572" t="str">
        <f>"91300"</f>
        <v>91300</v>
      </c>
      <c r="W572">
        <v>0</v>
      </c>
      <c r="X572">
        <v>0</v>
      </c>
    </row>
    <row r="573" spans="1:24" x14ac:dyDescent="0.25">
      <c r="A573" t="str">
        <f>""</f>
        <v/>
      </c>
      <c r="B573" s="1"/>
      <c r="H573">
        <v>197.34</v>
      </c>
      <c r="J573" t="s">
        <v>16</v>
      </c>
      <c r="L573" s="1"/>
      <c r="N573" s="1"/>
      <c r="V573" t="str">
        <f>"75012"</f>
        <v>75012</v>
      </c>
      <c r="W573">
        <v>0</v>
      </c>
      <c r="X573">
        <v>0</v>
      </c>
    </row>
    <row r="574" spans="1:24" ht="15" customHeight="1" x14ac:dyDescent="0.25">
      <c r="A574" t="str">
        <f>""</f>
        <v/>
      </c>
      <c r="B574" s="1"/>
      <c r="H574">
        <v>62</v>
      </c>
      <c r="J574" t="s">
        <v>22</v>
      </c>
      <c r="L574" s="1"/>
      <c r="N574" s="1"/>
      <c r="V574" t="str">
        <f>"35042"</f>
        <v>35042</v>
      </c>
      <c r="W574">
        <v>0</v>
      </c>
      <c r="X574">
        <v>0</v>
      </c>
    </row>
    <row r="575" spans="1:24" ht="15" customHeight="1" x14ac:dyDescent="0.25">
      <c r="A575" t="str">
        <f>""</f>
        <v/>
      </c>
      <c r="B575" s="1"/>
      <c r="H575">
        <v>3.67</v>
      </c>
      <c r="J575" t="s">
        <v>19</v>
      </c>
      <c r="L575" s="1"/>
      <c r="N575" s="1"/>
      <c r="V575" t="str">
        <f>"75017"</f>
        <v>75017</v>
      </c>
      <c r="W575">
        <v>0</v>
      </c>
      <c r="X575">
        <v>0</v>
      </c>
    </row>
    <row r="576" spans="1:24" ht="15" customHeight="1" x14ac:dyDescent="0.25">
      <c r="A576" t="str">
        <f>""</f>
        <v/>
      </c>
      <c r="B576" s="1"/>
      <c r="H576">
        <v>151</v>
      </c>
      <c r="J576" t="s">
        <v>22</v>
      </c>
      <c r="L576" s="1"/>
      <c r="N576" s="1"/>
      <c r="V576" t="str">
        <f>"76700"</f>
        <v>76700</v>
      </c>
      <c r="W576">
        <v>0</v>
      </c>
      <c r="X576">
        <v>25.67</v>
      </c>
    </row>
    <row r="577" spans="1:24" ht="15" customHeight="1" x14ac:dyDescent="0.25">
      <c r="A577" t="str">
        <f>""</f>
        <v/>
      </c>
      <c r="B577" s="1"/>
      <c r="H577">
        <v>140</v>
      </c>
      <c r="J577" t="s">
        <v>19</v>
      </c>
      <c r="L577" s="1"/>
      <c r="N577" s="1"/>
      <c r="V577" t="str">
        <f>"80400"</f>
        <v>80400</v>
      </c>
      <c r="W577">
        <v>26.6</v>
      </c>
      <c r="X577">
        <v>0</v>
      </c>
    </row>
    <row r="578" spans="1:24" ht="15" customHeight="1" x14ac:dyDescent="0.25">
      <c r="A578" t="str">
        <f>""</f>
        <v/>
      </c>
      <c r="B578" s="1"/>
      <c r="H578">
        <v>138.16</v>
      </c>
      <c r="J578" t="s">
        <v>19</v>
      </c>
      <c r="L578" s="1"/>
      <c r="N578" s="1"/>
      <c r="V578" t="str">
        <f>"69005"</f>
        <v>69005</v>
      </c>
      <c r="W578">
        <v>37.299999999999997</v>
      </c>
      <c r="X578">
        <v>0</v>
      </c>
    </row>
    <row r="579" spans="1:24" ht="15" customHeight="1" x14ac:dyDescent="0.25">
      <c r="A579" t="str">
        <f>""</f>
        <v/>
      </c>
      <c r="B579" s="1"/>
      <c r="H579">
        <v>33.35</v>
      </c>
      <c r="J579" t="s">
        <v>19</v>
      </c>
      <c r="L579" s="1"/>
      <c r="N579" s="1"/>
      <c r="V579" t="str">
        <f>"69005"</f>
        <v>69005</v>
      </c>
      <c r="W579">
        <v>9</v>
      </c>
      <c r="X579">
        <v>0</v>
      </c>
    </row>
    <row r="580" spans="1:24" ht="15" customHeight="1" x14ac:dyDescent="0.25">
      <c r="A580" t="str">
        <f>""</f>
        <v/>
      </c>
      <c r="B580" s="1"/>
      <c r="H580">
        <v>250</v>
      </c>
      <c r="J580" t="s">
        <v>23</v>
      </c>
      <c r="L580" s="1"/>
      <c r="N580" s="1"/>
      <c r="V580" t="str">
        <f>"61450"</f>
        <v>61450</v>
      </c>
      <c r="W580">
        <v>0</v>
      </c>
      <c r="X580">
        <v>0</v>
      </c>
    </row>
    <row r="581" spans="1:24" ht="15" customHeight="1" x14ac:dyDescent="0.25">
      <c r="A581" t="str">
        <f>""</f>
        <v/>
      </c>
      <c r="B581" s="1"/>
      <c r="H581">
        <v>131.97999999999999</v>
      </c>
      <c r="J581" t="s">
        <v>20</v>
      </c>
      <c r="L581" s="1"/>
      <c r="N581" s="1"/>
      <c r="V581" t="str">
        <f>"79400"</f>
        <v>79400</v>
      </c>
      <c r="W581">
        <v>27.72</v>
      </c>
      <c r="X581">
        <v>0</v>
      </c>
    </row>
    <row r="582" spans="1:24" ht="15" customHeight="1" x14ac:dyDescent="0.25">
      <c r="A582" t="str">
        <f>""</f>
        <v/>
      </c>
      <c r="B582" s="1"/>
      <c r="H582">
        <v>104.85</v>
      </c>
      <c r="J582" t="s">
        <v>19</v>
      </c>
      <c r="L582" s="1"/>
      <c r="N582" s="1"/>
      <c r="V582" t="str">
        <f>"59225"</f>
        <v>59225</v>
      </c>
      <c r="W582">
        <v>19.920000000000002</v>
      </c>
      <c r="X582">
        <v>0</v>
      </c>
    </row>
    <row r="583" spans="1:24" ht="15" customHeight="1" x14ac:dyDescent="0.25">
      <c r="A583" t="str">
        <f>""</f>
        <v/>
      </c>
      <c r="B583" s="1"/>
      <c r="H583">
        <v>3.42</v>
      </c>
      <c r="J583" t="s">
        <v>20</v>
      </c>
      <c r="L583" s="1"/>
      <c r="N583" s="1"/>
      <c r="V583" t="str">
        <f>"26216"</f>
        <v>26216</v>
      </c>
      <c r="W583">
        <v>0.92</v>
      </c>
      <c r="X583">
        <v>0</v>
      </c>
    </row>
    <row r="584" spans="1:24" ht="15" customHeight="1" x14ac:dyDescent="0.25">
      <c r="A584" t="str">
        <f>""</f>
        <v/>
      </c>
      <c r="B584" s="1"/>
      <c r="H584">
        <v>140</v>
      </c>
      <c r="J584" t="s">
        <v>23</v>
      </c>
      <c r="L584" s="1"/>
      <c r="N584" s="1"/>
      <c r="V584" t="str">
        <f>"17300"</f>
        <v>17300</v>
      </c>
      <c r="W584">
        <v>0</v>
      </c>
      <c r="X584">
        <v>0</v>
      </c>
    </row>
    <row r="585" spans="1:24" ht="15" customHeight="1" x14ac:dyDescent="0.25">
      <c r="A585" t="str">
        <f>""</f>
        <v/>
      </c>
      <c r="B585" s="1"/>
      <c r="H585">
        <v>30</v>
      </c>
      <c r="J585" t="s">
        <v>19</v>
      </c>
      <c r="L585" s="1"/>
      <c r="N585" s="1"/>
      <c r="V585" t="str">
        <f>"92200"</f>
        <v>92200</v>
      </c>
      <c r="W585">
        <v>0</v>
      </c>
      <c r="X585">
        <v>0</v>
      </c>
    </row>
    <row r="586" spans="1:24" ht="15" customHeight="1" x14ac:dyDescent="0.25">
      <c r="A586" t="str">
        <f>""</f>
        <v/>
      </c>
      <c r="B586" s="1"/>
      <c r="H586">
        <v>136.82</v>
      </c>
      <c r="J586" t="s">
        <v>19</v>
      </c>
      <c r="L586" s="1"/>
      <c r="N586" s="1"/>
      <c r="V586" t="str">
        <f>"75019"</f>
        <v>75019</v>
      </c>
      <c r="W586">
        <v>0</v>
      </c>
      <c r="X586">
        <v>0</v>
      </c>
    </row>
    <row r="587" spans="1:24" ht="15" customHeight="1" x14ac:dyDescent="0.25">
      <c r="A587" t="str">
        <f>""</f>
        <v/>
      </c>
      <c r="B587" s="1"/>
      <c r="H587">
        <v>360</v>
      </c>
      <c r="L587" s="1"/>
      <c r="N587" s="1"/>
      <c r="V587" t="str">
        <f>"77184"</f>
        <v>77184</v>
      </c>
      <c r="W587">
        <v>0</v>
      </c>
      <c r="X587">
        <v>0</v>
      </c>
    </row>
    <row r="588" spans="1:24" ht="15" customHeight="1" x14ac:dyDescent="0.25">
      <c r="A588" t="str">
        <f>""</f>
        <v/>
      </c>
      <c r="B588" s="1"/>
      <c r="H588">
        <v>220.02</v>
      </c>
      <c r="J588" t="s">
        <v>23</v>
      </c>
      <c r="L588" s="1"/>
      <c r="N588" s="1"/>
      <c r="V588" t="str">
        <f>"71200"</f>
        <v>71200</v>
      </c>
      <c r="W588">
        <v>0</v>
      </c>
      <c r="X588">
        <v>0</v>
      </c>
    </row>
    <row r="589" spans="1:24" ht="15" customHeight="1" x14ac:dyDescent="0.25">
      <c r="A589" t="str">
        <f>""</f>
        <v/>
      </c>
      <c r="B589" s="1"/>
      <c r="H589">
        <v>250</v>
      </c>
      <c r="J589" t="s">
        <v>23</v>
      </c>
      <c r="L589" s="1"/>
      <c r="N589" s="1"/>
      <c r="V589" t="str">
        <f>"57175"</f>
        <v>57175</v>
      </c>
      <c r="W589">
        <v>0</v>
      </c>
      <c r="X589">
        <v>62.5</v>
      </c>
    </row>
    <row r="590" spans="1:24" ht="15" customHeight="1" x14ac:dyDescent="0.25">
      <c r="A590" t="str">
        <f>""</f>
        <v/>
      </c>
      <c r="B590" s="1"/>
      <c r="H590">
        <v>250</v>
      </c>
      <c r="J590" t="s">
        <v>23</v>
      </c>
      <c r="L590" s="1"/>
      <c r="N590" s="1"/>
      <c r="V590" t="str">
        <f>"62820"</f>
        <v>62820</v>
      </c>
      <c r="W590">
        <v>0</v>
      </c>
      <c r="X590">
        <v>0</v>
      </c>
    </row>
    <row r="591" spans="1:24" ht="15" customHeight="1" x14ac:dyDescent="0.25">
      <c r="A591" t="str">
        <f>""</f>
        <v/>
      </c>
      <c r="B591" s="1"/>
      <c r="H591">
        <v>195.28</v>
      </c>
      <c r="J591" t="s">
        <v>19</v>
      </c>
      <c r="L591" s="1"/>
      <c r="N591" s="1"/>
      <c r="V591" t="str">
        <f>"75001"</f>
        <v>75001</v>
      </c>
      <c r="W591">
        <v>0</v>
      </c>
      <c r="X591">
        <v>0</v>
      </c>
    </row>
    <row r="592" spans="1:24" ht="15" customHeight="1" x14ac:dyDescent="0.25">
      <c r="A592" t="str">
        <f>""</f>
        <v/>
      </c>
      <c r="B592" s="1"/>
      <c r="H592">
        <v>201</v>
      </c>
      <c r="J592" t="s">
        <v>22</v>
      </c>
      <c r="L592" s="1"/>
      <c r="V592" t="str">
        <f>"13008"</f>
        <v>13008</v>
      </c>
      <c r="W592">
        <v>0</v>
      </c>
      <c r="X592">
        <v>0</v>
      </c>
    </row>
    <row r="593" spans="1:24" ht="15" customHeight="1" x14ac:dyDescent="0.25">
      <c r="A593" t="str">
        <f>""</f>
        <v/>
      </c>
      <c r="B593" s="1"/>
      <c r="H593">
        <v>153.97999999999999</v>
      </c>
      <c r="J593" t="s">
        <v>22</v>
      </c>
      <c r="L593" s="1"/>
      <c r="N593" s="1"/>
      <c r="V593" t="str">
        <f>"14000"</f>
        <v>14000</v>
      </c>
      <c r="W593">
        <v>0</v>
      </c>
      <c r="X593">
        <v>26.18</v>
      </c>
    </row>
    <row r="594" spans="1:24" ht="15" customHeight="1" x14ac:dyDescent="0.25">
      <c r="A594" t="str">
        <f>""</f>
        <v/>
      </c>
      <c r="B594" s="1"/>
      <c r="H594">
        <v>16</v>
      </c>
      <c r="J594" t="s">
        <v>23</v>
      </c>
      <c r="L594" s="1"/>
      <c r="V594" t="str">
        <f>"98000"</f>
        <v>98000</v>
      </c>
      <c r="W594">
        <v>0</v>
      </c>
      <c r="X594">
        <v>0</v>
      </c>
    </row>
    <row r="595" spans="1:24" ht="15" customHeight="1" x14ac:dyDescent="0.25">
      <c r="A595" t="str">
        <f>""</f>
        <v/>
      </c>
      <c r="B595" s="1"/>
      <c r="H595">
        <v>70</v>
      </c>
      <c r="J595" t="s">
        <v>23</v>
      </c>
      <c r="L595" s="1"/>
      <c r="V595" t="str">
        <f>"57370"</f>
        <v>57370</v>
      </c>
      <c r="W595">
        <v>0</v>
      </c>
      <c r="X595">
        <v>0</v>
      </c>
    </row>
    <row r="596" spans="1:24" ht="15" customHeight="1" x14ac:dyDescent="0.25">
      <c r="A596" t="str">
        <f>""</f>
        <v/>
      </c>
      <c r="B596" s="1"/>
      <c r="H596">
        <v>70</v>
      </c>
      <c r="J596" t="s">
        <v>22</v>
      </c>
      <c r="L596" s="1"/>
      <c r="V596" t="str">
        <f>"21170"</f>
        <v>21170</v>
      </c>
      <c r="W596">
        <v>0</v>
      </c>
      <c r="X596">
        <v>0</v>
      </c>
    </row>
    <row r="597" spans="1:24" ht="15" customHeight="1" x14ac:dyDescent="0.25">
      <c r="A597" t="str">
        <f>""</f>
        <v/>
      </c>
      <c r="B597" s="1"/>
      <c r="H597">
        <v>151</v>
      </c>
      <c r="J597" t="s">
        <v>22</v>
      </c>
      <c r="L597" s="1"/>
      <c r="N597" s="1"/>
      <c r="V597" t="str">
        <f>"27000"</f>
        <v>27000</v>
      </c>
      <c r="W597">
        <v>0</v>
      </c>
      <c r="X597">
        <v>25.67</v>
      </c>
    </row>
    <row r="598" spans="1:24" ht="15" customHeight="1" x14ac:dyDescent="0.25">
      <c r="A598" t="str">
        <f>""</f>
        <v/>
      </c>
      <c r="B598" s="1"/>
      <c r="H598">
        <v>140</v>
      </c>
      <c r="J598" t="s">
        <v>23</v>
      </c>
      <c r="L598" s="1"/>
      <c r="V598" t="str">
        <f>"61800"</f>
        <v>61800</v>
      </c>
      <c r="W598">
        <v>0</v>
      </c>
      <c r="X598">
        <v>0</v>
      </c>
    </row>
    <row r="599" spans="1:24" ht="15" customHeight="1" x14ac:dyDescent="0.25">
      <c r="A599" t="str">
        <f>""</f>
        <v/>
      </c>
      <c r="B599" s="1"/>
      <c r="H599">
        <v>34</v>
      </c>
      <c r="J599" t="s">
        <v>22</v>
      </c>
      <c r="L599" s="1"/>
      <c r="N599" s="1"/>
      <c r="V599" t="str">
        <f>"85700"</f>
        <v>85700</v>
      </c>
      <c r="W599">
        <v>0</v>
      </c>
      <c r="X599">
        <v>0</v>
      </c>
    </row>
    <row r="600" spans="1:24" ht="15" customHeight="1" x14ac:dyDescent="0.25">
      <c r="A600" t="str">
        <f>""</f>
        <v/>
      </c>
      <c r="B600" s="1"/>
      <c r="H600">
        <v>196.98</v>
      </c>
      <c r="J600" t="s">
        <v>23</v>
      </c>
      <c r="L600" s="1"/>
      <c r="N600" s="1"/>
      <c r="V600" t="str">
        <f>"59211"</f>
        <v>59211</v>
      </c>
      <c r="W600">
        <v>0</v>
      </c>
      <c r="X600">
        <v>0</v>
      </c>
    </row>
    <row r="601" spans="1:24" ht="15" customHeight="1" x14ac:dyDescent="0.25">
      <c r="A601" t="str">
        <f>""</f>
        <v/>
      </c>
      <c r="B601" s="1"/>
      <c r="H601">
        <v>22.5</v>
      </c>
      <c r="J601" t="s">
        <v>22</v>
      </c>
      <c r="L601" s="1"/>
      <c r="V601" t="str">
        <f>"70000"</f>
        <v>70000</v>
      </c>
      <c r="W601">
        <v>0</v>
      </c>
      <c r="X601">
        <v>0</v>
      </c>
    </row>
    <row r="602" spans="1:24" ht="15" customHeight="1" x14ac:dyDescent="0.25">
      <c r="A602" t="str">
        <f>""</f>
        <v/>
      </c>
      <c r="B602" s="1"/>
      <c r="H602">
        <v>90.1</v>
      </c>
      <c r="J602" t="s">
        <v>23</v>
      </c>
      <c r="L602" s="1"/>
      <c r="N602" s="1"/>
      <c r="V602" t="str">
        <f>"06300"</f>
        <v>06300</v>
      </c>
      <c r="W602">
        <v>0</v>
      </c>
      <c r="X602">
        <v>18.920000000000002</v>
      </c>
    </row>
    <row r="603" spans="1:24" ht="15" customHeight="1" x14ac:dyDescent="0.25">
      <c r="A603" t="str">
        <f>""</f>
        <v/>
      </c>
      <c r="B603" s="1"/>
      <c r="H603">
        <v>80</v>
      </c>
      <c r="J603" t="s">
        <v>22</v>
      </c>
      <c r="L603" s="1"/>
      <c r="N603" s="1"/>
      <c r="V603" t="str">
        <f>"38000"</f>
        <v>38000</v>
      </c>
      <c r="W603">
        <v>0</v>
      </c>
      <c r="X603">
        <v>21.6</v>
      </c>
    </row>
    <row r="604" spans="1:24" x14ac:dyDescent="0.25">
      <c r="A604" t="str">
        <f>""</f>
        <v/>
      </c>
      <c r="B604" s="1"/>
      <c r="H604">
        <v>52.5</v>
      </c>
      <c r="J604" t="s">
        <v>15</v>
      </c>
      <c r="L604" s="1"/>
      <c r="N604" s="1"/>
      <c r="V604" t="str">
        <f>"69003"</f>
        <v>69003</v>
      </c>
      <c r="W604">
        <v>0</v>
      </c>
      <c r="X604">
        <v>0</v>
      </c>
    </row>
    <row r="605" spans="1:24" x14ac:dyDescent="0.25">
      <c r="A605" t="str">
        <f>""</f>
        <v/>
      </c>
      <c r="B605" s="1"/>
      <c r="H605">
        <v>52.5</v>
      </c>
      <c r="J605" t="s">
        <v>15</v>
      </c>
      <c r="L605" s="1"/>
      <c r="N605" s="1"/>
      <c r="V605" t="str">
        <f>"68200"</f>
        <v>68200</v>
      </c>
      <c r="W605">
        <v>0</v>
      </c>
      <c r="X605">
        <v>0</v>
      </c>
    </row>
    <row r="606" spans="1:24" x14ac:dyDescent="0.25">
      <c r="A606" t="str">
        <f>""</f>
        <v/>
      </c>
      <c r="B606" s="1"/>
      <c r="H606">
        <v>52.5</v>
      </c>
      <c r="J606" t="s">
        <v>15</v>
      </c>
      <c r="L606" s="1"/>
      <c r="N606" s="1"/>
      <c r="V606" t="str">
        <f>"24000"</f>
        <v>24000</v>
      </c>
      <c r="W606">
        <v>0</v>
      </c>
      <c r="X606">
        <v>0</v>
      </c>
    </row>
    <row r="607" spans="1:24" x14ac:dyDescent="0.25">
      <c r="A607" t="str">
        <f>""</f>
        <v/>
      </c>
      <c r="B607" s="1"/>
      <c r="H607">
        <v>52.5</v>
      </c>
      <c r="J607" t="s">
        <v>15</v>
      </c>
      <c r="L607" s="1"/>
      <c r="N607" s="1"/>
      <c r="V607" t="str">
        <f>"38200"</f>
        <v>38200</v>
      </c>
      <c r="W607">
        <v>0</v>
      </c>
      <c r="X607">
        <v>0</v>
      </c>
    </row>
    <row r="608" spans="1:24" x14ac:dyDescent="0.25">
      <c r="A608" t="str">
        <f>""</f>
        <v/>
      </c>
      <c r="B608" s="1"/>
      <c r="H608">
        <v>52.5</v>
      </c>
      <c r="J608" t="s">
        <v>15</v>
      </c>
      <c r="L608" s="1"/>
      <c r="N608" s="1"/>
      <c r="V608" t="str">
        <f>"83300"</f>
        <v>83300</v>
      </c>
      <c r="W608">
        <v>0</v>
      </c>
      <c r="X608">
        <v>0</v>
      </c>
    </row>
    <row r="609" spans="1:24" x14ac:dyDescent="0.25">
      <c r="A609" t="str">
        <f>""</f>
        <v/>
      </c>
      <c r="B609" s="1"/>
      <c r="H609">
        <v>52.5</v>
      </c>
      <c r="J609" t="s">
        <v>15</v>
      </c>
      <c r="L609" s="1"/>
      <c r="N609" s="1"/>
      <c r="V609" t="str">
        <f>"69003"</f>
        <v>69003</v>
      </c>
      <c r="W609">
        <v>0</v>
      </c>
      <c r="X609">
        <v>0</v>
      </c>
    </row>
    <row r="610" spans="1:24" ht="15" customHeight="1" x14ac:dyDescent="0.25">
      <c r="A610" t="str">
        <f>""</f>
        <v/>
      </c>
      <c r="B610" s="1"/>
      <c r="H610">
        <v>25</v>
      </c>
      <c r="J610" t="s">
        <v>22</v>
      </c>
      <c r="L610" s="1"/>
      <c r="V610" t="str">
        <f>"77184"</f>
        <v>77184</v>
      </c>
      <c r="W610">
        <v>0</v>
      </c>
      <c r="X610">
        <v>0</v>
      </c>
    </row>
    <row r="611" spans="1:24" ht="15" customHeight="1" x14ac:dyDescent="0.25">
      <c r="A611" t="str">
        <f>""</f>
        <v/>
      </c>
      <c r="B611" s="1"/>
      <c r="H611">
        <v>140</v>
      </c>
      <c r="J611" t="s">
        <v>22</v>
      </c>
      <c r="L611" s="1"/>
      <c r="N611" s="1"/>
      <c r="V611" t="str">
        <f>"61100"</f>
        <v>61100</v>
      </c>
      <c r="W611">
        <v>0</v>
      </c>
      <c r="X611">
        <v>0</v>
      </c>
    </row>
    <row r="612" spans="1:24" ht="15" customHeight="1" x14ac:dyDescent="0.25">
      <c r="A612" t="str">
        <f>""</f>
        <v/>
      </c>
      <c r="B612" s="1"/>
      <c r="H612">
        <v>70</v>
      </c>
      <c r="J612" t="s">
        <v>23</v>
      </c>
      <c r="L612" s="1"/>
      <c r="N612" s="1"/>
      <c r="V612" t="str">
        <f>"35270"</f>
        <v>35270</v>
      </c>
      <c r="W612">
        <v>0</v>
      </c>
      <c r="X612">
        <v>0</v>
      </c>
    </row>
    <row r="613" spans="1:24" ht="15" customHeight="1" x14ac:dyDescent="0.25">
      <c r="A613" t="str">
        <f>""</f>
        <v/>
      </c>
      <c r="B613" s="1"/>
      <c r="H613">
        <v>103.62</v>
      </c>
      <c r="J613" t="s">
        <v>19</v>
      </c>
      <c r="L613" s="1"/>
      <c r="N613" s="1"/>
      <c r="V613" t="str">
        <f>"56920"</f>
        <v>56920</v>
      </c>
      <c r="W613">
        <v>27.98</v>
      </c>
      <c r="X613">
        <v>0</v>
      </c>
    </row>
    <row r="614" spans="1:24" ht="15" customHeight="1" x14ac:dyDescent="0.25">
      <c r="A614" t="str">
        <f>""</f>
        <v/>
      </c>
      <c r="B614" s="1"/>
      <c r="H614">
        <v>19.649999999999999</v>
      </c>
      <c r="J614" t="s">
        <v>19</v>
      </c>
      <c r="L614" s="1"/>
      <c r="N614" s="1"/>
      <c r="V614" t="str">
        <f>"38110"</f>
        <v>38110</v>
      </c>
      <c r="W614">
        <v>5.31</v>
      </c>
      <c r="X614">
        <v>0</v>
      </c>
    </row>
    <row r="615" spans="1:24" ht="15" customHeight="1" x14ac:dyDescent="0.25">
      <c r="A615" t="str">
        <f>""</f>
        <v/>
      </c>
      <c r="B615" s="1"/>
      <c r="H615">
        <v>136.4</v>
      </c>
      <c r="J615" t="s">
        <v>23</v>
      </c>
      <c r="L615" s="1"/>
      <c r="V615" t="str">
        <f>"59160"</f>
        <v>59160</v>
      </c>
      <c r="W615">
        <v>0</v>
      </c>
      <c r="X615">
        <v>0</v>
      </c>
    </row>
    <row r="616" spans="1:24" ht="15" customHeight="1" x14ac:dyDescent="0.25">
      <c r="A616" t="str">
        <f>""</f>
        <v/>
      </c>
      <c r="B616" s="1"/>
      <c r="H616">
        <v>24.8</v>
      </c>
      <c r="J616" t="s">
        <v>22</v>
      </c>
      <c r="L616" s="1"/>
      <c r="V616" t="str">
        <f>"27300"</f>
        <v>27300</v>
      </c>
      <c r="W616">
        <v>0</v>
      </c>
      <c r="X616">
        <v>0</v>
      </c>
    </row>
    <row r="617" spans="1:24" ht="15" customHeight="1" x14ac:dyDescent="0.25">
      <c r="A617" t="str">
        <f>""</f>
        <v/>
      </c>
      <c r="B617" s="1"/>
      <c r="H617">
        <v>20</v>
      </c>
      <c r="L617" s="1"/>
      <c r="N617" s="1"/>
      <c r="V617" t="str">
        <f>"77184"</f>
        <v>77184</v>
      </c>
      <c r="W617">
        <v>0</v>
      </c>
      <c r="X617">
        <v>0</v>
      </c>
    </row>
    <row r="618" spans="1:24" ht="15" customHeight="1" x14ac:dyDescent="0.25">
      <c r="A618" t="str">
        <f>""</f>
        <v/>
      </c>
      <c r="B618" s="1"/>
      <c r="H618">
        <v>20</v>
      </c>
      <c r="L618" s="1"/>
      <c r="N618" s="1"/>
      <c r="V618" t="str">
        <f>"77184"</f>
        <v>77184</v>
      </c>
      <c r="W618">
        <v>0</v>
      </c>
      <c r="X618">
        <v>0</v>
      </c>
    </row>
    <row r="619" spans="1:24" x14ac:dyDescent="0.25">
      <c r="A619" t="str">
        <f>""</f>
        <v/>
      </c>
      <c r="B619" s="1"/>
      <c r="H619">
        <v>184.06</v>
      </c>
      <c r="J619" t="s">
        <v>16</v>
      </c>
      <c r="L619" s="1"/>
      <c r="N619" s="1"/>
      <c r="V619" t="str">
        <f>"44000"</f>
        <v>44000</v>
      </c>
      <c r="W619">
        <v>0</v>
      </c>
      <c r="X619">
        <v>0</v>
      </c>
    </row>
    <row r="620" spans="1:24" ht="15" customHeight="1" x14ac:dyDescent="0.25">
      <c r="A620" t="str">
        <f>""</f>
        <v/>
      </c>
      <c r="B620" s="1"/>
      <c r="H620">
        <v>151</v>
      </c>
      <c r="J620" t="s">
        <v>22</v>
      </c>
      <c r="L620" s="1"/>
      <c r="N620" s="1"/>
      <c r="V620" t="str">
        <f t="shared" ref="V620:V625" si="4">"06560"</f>
        <v>06560</v>
      </c>
      <c r="W620">
        <v>0</v>
      </c>
      <c r="X620">
        <v>0</v>
      </c>
    </row>
    <row r="621" spans="1:24" ht="15" customHeight="1" x14ac:dyDescent="0.25">
      <c r="A621" t="str">
        <f>""</f>
        <v/>
      </c>
      <c r="B621" s="1"/>
      <c r="H621">
        <v>151</v>
      </c>
      <c r="J621" t="s">
        <v>22</v>
      </c>
      <c r="L621" s="1"/>
      <c r="N621" s="1"/>
      <c r="V621" t="str">
        <f t="shared" si="4"/>
        <v>06560</v>
      </c>
      <c r="W621">
        <v>0</v>
      </c>
      <c r="X621">
        <v>0</v>
      </c>
    </row>
    <row r="622" spans="1:24" ht="15" customHeight="1" x14ac:dyDescent="0.25">
      <c r="A622" t="str">
        <f>""</f>
        <v/>
      </c>
      <c r="B622" s="1"/>
      <c r="H622">
        <v>151</v>
      </c>
      <c r="J622" t="s">
        <v>22</v>
      </c>
      <c r="L622" s="1"/>
      <c r="N622" s="1"/>
      <c r="V622" t="str">
        <f t="shared" si="4"/>
        <v>06560</v>
      </c>
      <c r="W622">
        <v>0</v>
      </c>
      <c r="X622">
        <v>0</v>
      </c>
    </row>
    <row r="623" spans="1:24" ht="15" customHeight="1" x14ac:dyDescent="0.25">
      <c r="A623" t="str">
        <f>""</f>
        <v/>
      </c>
      <c r="B623" s="1"/>
      <c r="H623">
        <v>151</v>
      </c>
      <c r="J623" t="s">
        <v>22</v>
      </c>
      <c r="L623" s="1"/>
      <c r="N623" s="1"/>
      <c r="V623" t="str">
        <f t="shared" si="4"/>
        <v>06560</v>
      </c>
      <c r="W623">
        <v>0</v>
      </c>
      <c r="X623">
        <v>0</v>
      </c>
    </row>
    <row r="624" spans="1:24" ht="15" customHeight="1" x14ac:dyDescent="0.25">
      <c r="A624" t="str">
        <f>""</f>
        <v/>
      </c>
      <c r="B624" s="1"/>
      <c r="H624">
        <v>151</v>
      </c>
      <c r="J624" t="s">
        <v>22</v>
      </c>
      <c r="L624" s="1"/>
      <c r="N624" s="1"/>
      <c r="V624" t="str">
        <f t="shared" si="4"/>
        <v>06560</v>
      </c>
      <c r="W624">
        <v>0</v>
      </c>
      <c r="X624">
        <v>0</v>
      </c>
    </row>
    <row r="625" spans="1:24" ht="15" customHeight="1" x14ac:dyDescent="0.25">
      <c r="A625" t="str">
        <f>""</f>
        <v/>
      </c>
      <c r="B625" s="1"/>
      <c r="H625">
        <v>151</v>
      </c>
      <c r="J625" t="s">
        <v>22</v>
      </c>
      <c r="L625" s="1"/>
      <c r="N625" s="1"/>
      <c r="V625" t="str">
        <f t="shared" si="4"/>
        <v>06560</v>
      </c>
      <c r="W625">
        <v>0</v>
      </c>
      <c r="X625">
        <v>0</v>
      </c>
    </row>
    <row r="626" spans="1:24" x14ac:dyDescent="0.25">
      <c r="A626" t="str">
        <f>""</f>
        <v/>
      </c>
      <c r="B626" s="1"/>
      <c r="H626">
        <v>140</v>
      </c>
      <c r="J626" t="s">
        <v>15</v>
      </c>
      <c r="L626" s="1"/>
      <c r="N626" s="1"/>
      <c r="V626" t="str">
        <f>"45000"</f>
        <v>45000</v>
      </c>
      <c r="W626">
        <v>0</v>
      </c>
      <c r="X626">
        <v>0</v>
      </c>
    </row>
    <row r="627" spans="1:24" ht="15" customHeight="1" x14ac:dyDescent="0.25">
      <c r="A627" t="str">
        <f>""</f>
        <v/>
      </c>
      <c r="B627" s="1"/>
      <c r="H627">
        <v>180</v>
      </c>
      <c r="J627" t="s">
        <v>23</v>
      </c>
      <c r="L627" s="1"/>
      <c r="N627" s="1"/>
      <c r="V627" t="str">
        <f>"44260"</f>
        <v>44260</v>
      </c>
      <c r="W627">
        <v>0</v>
      </c>
      <c r="X627">
        <v>48.6</v>
      </c>
    </row>
    <row r="628" spans="1:24" ht="15" customHeight="1" x14ac:dyDescent="0.25">
      <c r="A628" t="str">
        <f>""</f>
        <v/>
      </c>
      <c r="B628" s="1"/>
      <c r="H628">
        <v>180</v>
      </c>
      <c r="J628" t="s">
        <v>23</v>
      </c>
      <c r="L628" s="1"/>
      <c r="N628" s="1"/>
      <c r="V628" t="str">
        <f>"72470"</f>
        <v>72470</v>
      </c>
      <c r="W628">
        <v>0</v>
      </c>
      <c r="X628">
        <v>70.2</v>
      </c>
    </row>
    <row r="629" spans="1:24" x14ac:dyDescent="0.25">
      <c r="A629" t="str">
        <f>""</f>
        <v/>
      </c>
      <c r="B629" s="1"/>
      <c r="H629">
        <v>124</v>
      </c>
      <c r="J629" t="s">
        <v>16</v>
      </c>
      <c r="L629" s="1"/>
      <c r="N629" s="1"/>
      <c r="V629" t="str">
        <f>"77184"</f>
        <v>77184</v>
      </c>
      <c r="W629">
        <v>21.08</v>
      </c>
      <c r="X629">
        <v>0</v>
      </c>
    </row>
    <row r="630" spans="1:24" ht="15" customHeight="1" x14ac:dyDescent="0.25">
      <c r="A630" t="str">
        <f>""</f>
        <v/>
      </c>
      <c r="B630" s="1"/>
      <c r="H630">
        <v>141.25</v>
      </c>
      <c r="J630" t="s">
        <v>20</v>
      </c>
      <c r="L630" s="1"/>
      <c r="N630" s="1"/>
      <c r="V630" t="str">
        <f>"75010"</f>
        <v>75010</v>
      </c>
      <c r="W630">
        <v>0</v>
      </c>
      <c r="X630">
        <v>0</v>
      </c>
    </row>
    <row r="631" spans="1:24" ht="15" customHeight="1" x14ac:dyDescent="0.25">
      <c r="A631" t="str">
        <f>""</f>
        <v/>
      </c>
      <c r="B631" s="1"/>
      <c r="H631">
        <v>173.44</v>
      </c>
      <c r="J631" t="s">
        <v>22</v>
      </c>
      <c r="L631" s="1"/>
      <c r="N631" s="1"/>
      <c r="V631" t="str">
        <f>"56400"</f>
        <v>56400</v>
      </c>
      <c r="W631">
        <v>0</v>
      </c>
      <c r="X631">
        <v>0</v>
      </c>
    </row>
    <row r="632" spans="1:24" ht="15" customHeight="1" x14ac:dyDescent="0.25">
      <c r="A632" t="str">
        <f>""</f>
        <v/>
      </c>
      <c r="B632" s="1"/>
      <c r="H632">
        <v>70</v>
      </c>
      <c r="J632" t="s">
        <v>22</v>
      </c>
      <c r="L632" s="1"/>
      <c r="N632" s="1"/>
      <c r="V632" t="str">
        <f>"62200"</f>
        <v>62200</v>
      </c>
      <c r="W632">
        <v>0</v>
      </c>
      <c r="X632">
        <v>0</v>
      </c>
    </row>
    <row r="633" spans="1:24" ht="15" customHeight="1" x14ac:dyDescent="0.25">
      <c r="A633" t="str">
        <f>""</f>
        <v/>
      </c>
      <c r="B633" s="1"/>
      <c r="H633">
        <v>55.16</v>
      </c>
      <c r="J633" t="s">
        <v>19</v>
      </c>
      <c r="L633" s="1"/>
      <c r="N633" s="1"/>
      <c r="V633" t="str">
        <f>"87000"</f>
        <v>87000</v>
      </c>
      <c r="W633">
        <v>16</v>
      </c>
      <c r="X633">
        <v>0</v>
      </c>
    </row>
    <row r="634" spans="1:24" ht="15" customHeight="1" x14ac:dyDescent="0.25">
      <c r="A634" t="str">
        <f>""</f>
        <v/>
      </c>
      <c r="B634" s="1"/>
      <c r="H634">
        <v>180</v>
      </c>
      <c r="J634" t="s">
        <v>23</v>
      </c>
      <c r="L634" s="1"/>
      <c r="N634" s="1"/>
      <c r="V634" t="str">
        <f>"76570"</f>
        <v>76570</v>
      </c>
      <c r="W634">
        <v>0</v>
      </c>
      <c r="X634">
        <v>30.6</v>
      </c>
    </row>
    <row r="635" spans="1:24" ht="15" customHeight="1" x14ac:dyDescent="0.25">
      <c r="A635" t="str">
        <f>""</f>
        <v/>
      </c>
      <c r="B635" s="1"/>
      <c r="H635">
        <v>105.6</v>
      </c>
      <c r="J635" t="s">
        <v>22</v>
      </c>
      <c r="L635" s="1"/>
      <c r="N635" s="1"/>
      <c r="V635" t="str">
        <f>"14200"</f>
        <v>14200</v>
      </c>
      <c r="W635">
        <v>0</v>
      </c>
      <c r="X635">
        <v>17.95</v>
      </c>
    </row>
    <row r="636" spans="1:24" ht="15" customHeight="1" x14ac:dyDescent="0.25">
      <c r="A636" t="str">
        <f>""</f>
        <v/>
      </c>
      <c r="B636" s="1"/>
      <c r="H636">
        <v>180</v>
      </c>
      <c r="J636" t="s">
        <v>23</v>
      </c>
      <c r="L636" s="1"/>
      <c r="N636" s="1"/>
      <c r="V636" t="str">
        <f>"76700"</f>
        <v>76700</v>
      </c>
      <c r="W636">
        <v>0</v>
      </c>
      <c r="X636">
        <v>30.6</v>
      </c>
    </row>
    <row r="637" spans="1:24" ht="15" customHeight="1" x14ac:dyDescent="0.25">
      <c r="A637" t="str">
        <f>""</f>
        <v/>
      </c>
      <c r="B637" s="1"/>
      <c r="H637">
        <v>40</v>
      </c>
      <c r="J637" t="s">
        <v>22</v>
      </c>
      <c r="L637" s="1"/>
      <c r="N637" s="1"/>
      <c r="V637" t="str">
        <f>"68390"</f>
        <v>68390</v>
      </c>
      <c r="W637">
        <v>0</v>
      </c>
      <c r="X637">
        <v>3.2</v>
      </c>
    </row>
    <row r="638" spans="1:24" x14ac:dyDescent="0.25">
      <c r="A638" t="str">
        <f>""</f>
        <v/>
      </c>
      <c r="B638" s="1"/>
      <c r="H638">
        <v>124.8</v>
      </c>
      <c r="J638" t="s">
        <v>16</v>
      </c>
      <c r="L638" s="1"/>
      <c r="N638" s="1"/>
      <c r="V638" t="str">
        <f>"59800"</f>
        <v>59800</v>
      </c>
      <c r="W638">
        <v>0</v>
      </c>
      <c r="X638">
        <v>48.67</v>
      </c>
    </row>
    <row r="639" spans="1:24" ht="15" customHeight="1" x14ac:dyDescent="0.25">
      <c r="A639" t="str">
        <f>""</f>
        <v/>
      </c>
      <c r="B639" s="1"/>
      <c r="H639">
        <v>84.5</v>
      </c>
      <c r="L639" s="1"/>
      <c r="N639" s="1"/>
      <c r="V639" t="str">
        <f>"77184"</f>
        <v>77184</v>
      </c>
      <c r="W639">
        <v>0</v>
      </c>
      <c r="X639">
        <v>0</v>
      </c>
    </row>
    <row r="640" spans="1:24" ht="15" customHeight="1" x14ac:dyDescent="0.25">
      <c r="A640" t="str">
        <f>""</f>
        <v/>
      </c>
      <c r="B640" s="1"/>
      <c r="H640">
        <v>17</v>
      </c>
      <c r="J640" t="s">
        <v>23</v>
      </c>
      <c r="L640" s="1"/>
      <c r="N640" s="1"/>
      <c r="V640" t="str">
        <f>"55000"</f>
        <v>55000</v>
      </c>
      <c r="W640">
        <v>0</v>
      </c>
      <c r="X640">
        <v>4.25</v>
      </c>
    </row>
    <row r="641" spans="1:24" x14ac:dyDescent="0.25">
      <c r="A641" t="str">
        <f>""</f>
        <v/>
      </c>
      <c r="B641" s="1"/>
      <c r="H641">
        <v>73.34</v>
      </c>
      <c r="J641" t="s">
        <v>16</v>
      </c>
      <c r="L641" s="1"/>
      <c r="N641" s="1"/>
      <c r="V641" t="str">
        <f>"83600"</f>
        <v>83600</v>
      </c>
      <c r="W641">
        <v>22</v>
      </c>
      <c r="X641">
        <v>0</v>
      </c>
    </row>
    <row r="642" spans="1:24" ht="15" customHeight="1" x14ac:dyDescent="0.25">
      <c r="A642" t="str">
        <f>""</f>
        <v/>
      </c>
      <c r="B642" s="1"/>
      <c r="H642">
        <v>70</v>
      </c>
      <c r="J642" t="s">
        <v>22</v>
      </c>
      <c r="L642" s="1"/>
      <c r="N642" s="1"/>
      <c r="V642" t="str">
        <f>"37600"</f>
        <v>37600</v>
      </c>
      <c r="W642">
        <v>0</v>
      </c>
      <c r="X642">
        <v>8.4</v>
      </c>
    </row>
    <row r="643" spans="1:24" ht="15" customHeight="1" x14ac:dyDescent="0.25">
      <c r="A643" t="str">
        <f>""</f>
        <v/>
      </c>
      <c r="B643" s="1"/>
      <c r="H643">
        <v>140</v>
      </c>
      <c r="L643" s="1"/>
      <c r="N643" s="1"/>
      <c r="V643" t="str">
        <f>"44240"</f>
        <v>44240</v>
      </c>
      <c r="W643">
        <v>0</v>
      </c>
      <c r="X643">
        <v>0</v>
      </c>
    </row>
    <row r="644" spans="1:24" ht="15" customHeight="1" x14ac:dyDescent="0.25">
      <c r="A644" t="str">
        <f>""</f>
        <v/>
      </c>
      <c r="B644" s="1"/>
      <c r="H644">
        <v>25</v>
      </c>
      <c r="J644" t="s">
        <v>23</v>
      </c>
      <c r="L644" s="1"/>
      <c r="N644" s="1"/>
      <c r="V644" t="str">
        <f>"60490"</f>
        <v>60490</v>
      </c>
      <c r="W644">
        <v>0</v>
      </c>
      <c r="X644">
        <v>0</v>
      </c>
    </row>
    <row r="645" spans="1:24" ht="15" customHeight="1" x14ac:dyDescent="0.25">
      <c r="A645" t="str">
        <f>""</f>
        <v/>
      </c>
      <c r="B645" s="1"/>
      <c r="H645">
        <v>171</v>
      </c>
      <c r="L645" s="1"/>
      <c r="N645" s="1"/>
      <c r="V645" t="str">
        <f>"77184"</f>
        <v>77184</v>
      </c>
      <c r="W645">
        <v>0</v>
      </c>
      <c r="X645">
        <v>0</v>
      </c>
    </row>
    <row r="646" spans="1:24" x14ac:dyDescent="0.25">
      <c r="A646" t="str">
        <f>""</f>
        <v/>
      </c>
      <c r="B646" s="1"/>
      <c r="H646">
        <v>180</v>
      </c>
      <c r="J646" t="s">
        <v>17</v>
      </c>
      <c r="L646" s="1"/>
      <c r="N646" s="1"/>
      <c r="V646" t="str">
        <f>"88000"</f>
        <v>88000</v>
      </c>
      <c r="W646">
        <v>0</v>
      </c>
      <c r="X646">
        <v>0</v>
      </c>
    </row>
    <row r="647" spans="1:24" ht="15" customHeight="1" x14ac:dyDescent="0.25">
      <c r="A647" t="str">
        <f>""</f>
        <v/>
      </c>
      <c r="B647" s="1"/>
      <c r="H647">
        <v>121</v>
      </c>
      <c r="L647" s="1"/>
      <c r="N647" s="1"/>
      <c r="V647" t="str">
        <f>"77184"</f>
        <v>77184</v>
      </c>
      <c r="W647">
        <v>0</v>
      </c>
      <c r="X647">
        <v>0</v>
      </c>
    </row>
    <row r="648" spans="1:24" ht="15" customHeight="1" x14ac:dyDescent="0.25">
      <c r="A648" t="str">
        <f>""</f>
        <v/>
      </c>
      <c r="B648" s="1"/>
      <c r="H648">
        <v>69.5</v>
      </c>
      <c r="L648" s="1"/>
      <c r="N648" s="1"/>
      <c r="V648" t="str">
        <f>"77184"</f>
        <v>77184</v>
      </c>
      <c r="W648">
        <v>0</v>
      </c>
      <c r="X648">
        <v>0</v>
      </c>
    </row>
    <row r="649" spans="1:24" ht="15" customHeight="1" x14ac:dyDescent="0.25">
      <c r="A649" t="str">
        <f>""</f>
        <v/>
      </c>
      <c r="B649" s="1"/>
      <c r="H649">
        <v>50</v>
      </c>
      <c r="J649" t="s">
        <v>22</v>
      </c>
      <c r="L649" s="1"/>
      <c r="N649" s="1"/>
      <c r="V649" t="str">
        <f>"06190"</f>
        <v>06190</v>
      </c>
      <c r="W649">
        <v>0</v>
      </c>
      <c r="X649">
        <v>15</v>
      </c>
    </row>
    <row r="650" spans="1:24" ht="15" customHeight="1" x14ac:dyDescent="0.25">
      <c r="A650" t="str">
        <f>""</f>
        <v/>
      </c>
      <c r="B650" s="1"/>
      <c r="H650">
        <v>86.27</v>
      </c>
      <c r="J650" t="s">
        <v>19</v>
      </c>
      <c r="L650" s="1"/>
      <c r="N650" s="1"/>
      <c r="V650" t="str">
        <f>"51100"</f>
        <v>51100</v>
      </c>
      <c r="W650">
        <v>21.57</v>
      </c>
      <c r="X650">
        <v>0</v>
      </c>
    </row>
    <row r="651" spans="1:24" ht="15" customHeight="1" x14ac:dyDescent="0.25">
      <c r="A651" t="str">
        <f>""</f>
        <v/>
      </c>
      <c r="B651" s="1"/>
      <c r="H651">
        <v>59.53</v>
      </c>
      <c r="J651" t="s">
        <v>20</v>
      </c>
      <c r="L651" s="1"/>
      <c r="N651" s="1"/>
      <c r="V651" t="str">
        <f>"64121"</f>
        <v>64121</v>
      </c>
      <c r="W651">
        <v>12.5</v>
      </c>
      <c r="X651">
        <v>0</v>
      </c>
    </row>
    <row r="652" spans="1:24" ht="15" customHeight="1" x14ac:dyDescent="0.25">
      <c r="A652" t="str">
        <f>""</f>
        <v/>
      </c>
      <c r="B652" s="1"/>
      <c r="H652">
        <v>120.4</v>
      </c>
      <c r="J652" t="s">
        <v>20</v>
      </c>
      <c r="L652" s="1"/>
      <c r="N652" s="1"/>
      <c r="V652" t="str">
        <f>"62970"</f>
        <v>62970</v>
      </c>
      <c r="W652">
        <v>22.88</v>
      </c>
      <c r="X652">
        <v>0</v>
      </c>
    </row>
    <row r="653" spans="1:24" ht="15" customHeight="1" x14ac:dyDescent="0.25">
      <c r="A653" t="str">
        <f>""</f>
        <v/>
      </c>
      <c r="B653" s="1"/>
      <c r="H653">
        <v>19.8</v>
      </c>
      <c r="J653" t="s">
        <v>19</v>
      </c>
      <c r="L653" s="1"/>
      <c r="N653" s="1"/>
      <c r="V653" t="str">
        <f>"13006"</f>
        <v>13006</v>
      </c>
      <c r="W653">
        <v>5.74</v>
      </c>
      <c r="X653">
        <v>0</v>
      </c>
    </row>
    <row r="654" spans="1:24" ht="15" customHeight="1" x14ac:dyDescent="0.25">
      <c r="A654" t="str">
        <f>""</f>
        <v/>
      </c>
      <c r="B654" s="1"/>
      <c r="H654">
        <v>107.6</v>
      </c>
      <c r="J654" t="s">
        <v>19</v>
      </c>
      <c r="L654" s="1"/>
      <c r="N654" s="1"/>
      <c r="V654" t="str">
        <f>"75014"</f>
        <v>75014</v>
      </c>
      <c r="W654">
        <v>0</v>
      </c>
      <c r="X654">
        <v>0</v>
      </c>
    </row>
    <row r="655" spans="1:24" ht="15" customHeight="1" x14ac:dyDescent="0.25">
      <c r="A655" t="str">
        <f>""</f>
        <v/>
      </c>
      <c r="B655" s="1"/>
      <c r="H655">
        <v>55.14</v>
      </c>
      <c r="J655" t="s">
        <v>19</v>
      </c>
      <c r="L655" s="1"/>
      <c r="N655" s="1"/>
      <c r="V655" t="str">
        <f>"67000"</f>
        <v>67000</v>
      </c>
      <c r="W655">
        <v>15.99</v>
      </c>
      <c r="X655">
        <v>0</v>
      </c>
    </row>
    <row r="656" spans="1:24" ht="15" customHeight="1" x14ac:dyDescent="0.25">
      <c r="A656" t="str">
        <f>""</f>
        <v/>
      </c>
      <c r="B656" s="1"/>
      <c r="H656">
        <v>136.97999999999999</v>
      </c>
      <c r="J656" t="s">
        <v>19</v>
      </c>
      <c r="L656" s="1"/>
      <c r="N656" s="1"/>
      <c r="V656" t="str">
        <f>"69800"</f>
        <v>69800</v>
      </c>
      <c r="W656">
        <v>36.979999999999997</v>
      </c>
      <c r="X656">
        <v>0</v>
      </c>
    </row>
    <row r="657" spans="1:24" ht="15" customHeight="1" x14ac:dyDescent="0.25">
      <c r="A657" t="str">
        <f>""</f>
        <v/>
      </c>
      <c r="B657" s="1"/>
      <c r="H657">
        <v>156.4</v>
      </c>
      <c r="L657" s="1"/>
      <c r="N657" s="1"/>
      <c r="V657" t="str">
        <f>"44240"</f>
        <v>44240</v>
      </c>
      <c r="W657">
        <v>0</v>
      </c>
      <c r="X657">
        <v>0</v>
      </c>
    </row>
    <row r="658" spans="1:24" ht="15" customHeight="1" x14ac:dyDescent="0.25">
      <c r="A658" t="str">
        <f>""</f>
        <v/>
      </c>
      <c r="B658" s="1"/>
      <c r="H658">
        <v>157.37</v>
      </c>
      <c r="L658" s="1"/>
      <c r="N658" s="1"/>
      <c r="V658" t="str">
        <f>"77184"</f>
        <v>77184</v>
      </c>
      <c r="W658">
        <v>0</v>
      </c>
      <c r="X658">
        <v>0</v>
      </c>
    </row>
    <row r="659" spans="1:24" ht="15" customHeight="1" x14ac:dyDescent="0.25">
      <c r="A659" t="str">
        <f>""</f>
        <v/>
      </c>
      <c r="B659" s="1"/>
      <c r="H659">
        <v>19.649999999999999</v>
      </c>
      <c r="J659" t="s">
        <v>19</v>
      </c>
      <c r="L659" s="1"/>
      <c r="N659" s="1"/>
      <c r="V659" t="str">
        <f>"75014"</f>
        <v>75014</v>
      </c>
      <c r="W659">
        <v>0</v>
      </c>
      <c r="X659">
        <v>0</v>
      </c>
    </row>
    <row r="660" spans="1:24" ht="15" customHeight="1" x14ac:dyDescent="0.25">
      <c r="A660" t="str">
        <f>""</f>
        <v/>
      </c>
      <c r="B660" s="1"/>
      <c r="H660">
        <v>138.12</v>
      </c>
      <c r="J660" t="s">
        <v>20</v>
      </c>
      <c r="L660" s="1"/>
      <c r="N660" s="1"/>
      <c r="V660" t="str">
        <f>"63100"</f>
        <v>63100</v>
      </c>
      <c r="W660">
        <v>40.049999999999997</v>
      </c>
      <c r="X660">
        <v>0</v>
      </c>
    </row>
    <row r="661" spans="1:24" ht="15" customHeight="1" x14ac:dyDescent="0.25">
      <c r="A661" t="str">
        <f>""</f>
        <v/>
      </c>
      <c r="B661" s="1"/>
      <c r="H661">
        <v>25</v>
      </c>
      <c r="J661" t="s">
        <v>22</v>
      </c>
      <c r="L661" s="1"/>
      <c r="N661" s="1"/>
      <c r="V661" t="str">
        <f>"62740"</f>
        <v>62740</v>
      </c>
      <c r="W661">
        <v>0</v>
      </c>
      <c r="X661">
        <v>0</v>
      </c>
    </row>
    <row r="662" spans="1:24" ht="15" customHeight="1" x14ac:dyDescent="0.25">
      <c r="A662" t="str">
        <f>""</f>
        <v/>
      </c>
      <c r="B662" s="1"/>
      <c r="H662">
        <v>138.12</v>
      </c>
      <c r="J662" t="s">
        <v>20</v>
      </c>
      <c r="L662" s="1"/>
      <c r="N662" s="1"/>
      <c r="V662" t="str">
        <f>"93000"</f>
        <v>93000</v>
      </c>
      <c r="W662">
        <v>0</v>
      </c>
      <c r="X662">
        <v>0</v>
      </c>
    </row>
    <row r="663" spans="1:24" ht="15" customHeight="1" x14ac:dyDescent="0.25">
      <c r="A663" t="str">
        <f>""</f>
        <v/>
      </c>
      <c r="B663" s="1"/>
      <c r="H663">
        <v>55.14</v>
      </c>
      <c r="J663" t="s">
        <v>20</v>
      </c>
      <c r="L663" s="1"/>
      <c r="N663" s="1"/>
      <c r="V663" t="str">
        <f>"71100"</f>
        <v>71100</v>
      </c>
      <c r="W663">
        <v>14.89</v>
      </c>
      <c r="X663">
        <v>0</v>
      </c>
    </row>
    <row r="664" spans="1:24" ht="15" customHeight="1" x14ac:dyDescent="0.25">
      <c r="A664" t="str">
        <f>""</f>
        <v/>
      </c>
      <c r="B664" s="1"/>
      <c r="H664">
        <v>86.12</v>
      </c>
      <c r="J664" t="s">
        <v>19</v>
      </c>
      <c r="L664" s="1"/>
      <c r="N664" s="1"/>
      <c r="V664" t="str">
        <f>"78340"</f>
        <v>78340</v>
      </c>
      <c r="W664">
        <v>0</v>
      </c>
      <c r="X664">
        <v>0</v>
      </c>
    </row>
    <row r="665" spans="1:24" ht="15" customHeight="1" x14ac:dyDescent="0.25">
      <c r="A665" t="str">
        <f>""</f>
        <v/>
      </c>
      <c r="B665" s="1"/>
      <c r="H665">
        <v>105</v>
      </c>
      <c r="L665" s="1"/>
      <c r="N665" s="1"/>
      <c r="V665" t="str">
        <f>"77184"</f>
        <v>77184</v>
      </c>
      <c r="W665">
        <v>0</v>
      </c>
      <c r="X665">
        <v>0</v>
      </c>
    </row>
    <row r="666" spans="1:24" ht="15" customHeight="1" x14ac:dyDescent="0.25">
      <c r="A666" t="str">
        <f>""</f>
        <v/>
      </c>
      <c r="B666" s="1"/>
      <c r="H666">
        <v>170</v>
      </c>
      <c r="L666" s="1"/>
      <c r="N666" s="1"/>
      <c r="V666" t="str">
        <f>"77184"</f>
        <v>77184</v>
      </c>
      <c r="W666">
        <v>0</v>
      </c>
      <c r="X666">
        <v>0</v>
      </c>
    </row>
    <row r="667" spans="1:24" ht="15" customHeight="1" x14ac:dyDescent="0.25">
      <c r="A667" t="str">
        <f>""</f>
        <v/>
      </c>
      <c r="B667" s="1"/>
      <c r="H667">
        <v>35.840000000000003</v>
      </c>
      <c r="J667" t="s">
        <v>22</v>
      </c>
      <c r="L667" s="1"/>
      <c r="N667" s="1"/>
      <c r="V667" t="str">
        <f>"62000"</f>
        <v>62000</v>
      </c>
      <c r="W667">
        <v>0</v>
      </c>
      <c r="X667">
        <v>0</v>
      </c>
    </row>
    <row r="668" spans="1:24" ht="15" customHeight="1" x14ac:dyDescent="0.25">
      <c r="A668" t="str">
        <f>""</f>
        <v/>
      </c>
      <c r="B668" s="1"/>
      <c r="H668">
        <v>299</v>
      </c>
      <c r="J668" t="s">
        <v>22</v>
      </c>
      <c r="L668" s="1"/>
      <c r="N668" s="1"/>
      <c r="V668" t="str">
        <f>"77160"</f>
        <v>77160</v>
      </c>
      <c r="W668">
        <v>0</v>
      </c>
      <c r="X668">
        <v>0</v>
      </c>
    </row>
    <row r="669" spans="1:24" ht="15" customHeight="1" x14ac:dyDescent="0.25">
      <c r="A669" t="str">
        <f>""</f>
        <v/>
      </c>
      <c r="B669" s="1"/>
      <c r="H669">
        <v>40</v>
      </c>
      <c r="J669" t="s">
        <v>19</v>
      </c>
      <c r="L669" s="1"/>
      <c r="N669" s="1"/>
      <c r="V669" t="str">
        <f>"76220"</f>
        <v>76220</v>
      </c>
      <c r="W669">
        <v>6.8</v>
      </c>
      <c r="X669">
        <v>0</v>
      </c>
    </row>
    <row r="670" spans="1:24" ht="15" customHeight="1" x14ac:dyDescent="0.25">
      <c r="A670" t="str">
        <f>""</f>
        <v/>
      </c>
      <c r="B670" s="1"/>
      <c r="H670">
        <v>36.119999999999997</v>
      </c>
      <c r="J670" t="s">
        <v>22</v>
      </c>
      <c r="L670" s="1"/>
      <c r="V670" t="str">
        <f>"35290"</f>
        <v>35290</v>
      </c>
      <c r="W670">
        <v>0</v>
      </c>
      <c r="X670">
        <v>0</v>
      </c>
    </row>
    <row r="671" spans="1:24" ht="15" customHeight="1" x14ac:dyDescent="0.25">
      <c r="A671" t="str">
        <f>""</f>
        <v/>
      </c>
      <c r="B671" s="1"/>
      <c r="H671">
        <v>36.85</v>
      </c>
      <c r="J671" t="s">
        <v>19</v>
      </c>
      <c r="L671" s="1"/>
      <c r="N671" s="1"/>
      <c r="V671" t="str">
        <f>"95240"</f>
        <v>95240</v>
      </c>
      <c r="W671">
        <v>0</v>
      </c>
      <c r="X671">
        <v>0</v>
      </c>
    </row>
    <row r="672" spans="1:24" ht="15" customHeight="1" x14ac:dyDescent="0.25">
      <c r="A672" t="str">
        <f>""</f>
        <v/>
      </c>
      <c r="B672" s="1"/>
      <c r="H672">
        <v>180</v>
      </c>
      <c r="J672" t="s">
        <v>23</v>
      </c>
      <c r="L672" s="1"/>
      <c r="N672" s="1"/>
      <c r="V672" t="str">
        <f>"34500"</f>
        <v>34500</v>
      </c>
      <c r="W672">
        <v>0</v>
      </c>
      <c r="X672">
        <v>50.4</v>
      </c>
    </row>
    <row r="673" spans="1:24" ht="15" customHeight="1" x14ac:dyDescent="0.25">
      <c r="A673" t="str">
        <f>""</f>
        <v/>
      </c>
      <c r="B673" s="1"/>
      <c r="H673">
        <v>123.63</v>
      </c>
      <c r="J673" t="s">
        <v>20</v>
      </c>
      <c r="L673" s="1"/>
      <c r="N673" s="1"/>
      <c r="V673" t="str">
        <f>"30000"</f>
        <v>30000</v>
      </c>
      <c r="W673">
        <v>48.22</v>
      </c>
      <c r="X673">
        <v>0</v>
      </c>
    </row>
    <row r="674" spans="1:24" ht="15" customHeight="1" x14ac:dyDescent="0.25">
      <c r="A674" t="str">
        <f>""</f>
        <v/>
      </c>
      <c r="B674" s="1"/>
      <c r="H674">
        <v>86.27</v>
      </c>
      <c r="J674" t="s">
        <v>20</v>
      </c>
      <c r="L674" s="1"/>
      <c r="N674" s="1"/>
      <c r="V674" t="str">
        <f>"21000"</f>
        <v>21000</v>
      </c>
      <c r="W674">
        <v>20.7</v>
      </c>
      <c r="X674">
        <v>0</v>
      </c>
    </row>
    <row r="675" spans="1:24" ht="15" customHeight="1" x14ac:dyDescent="0.25">
      <c r="A675" t="str">
        <f>""</f>
        <v/>
      </c>
      <c r="B675" s="1"/>
      <c r="H675">
        <v>120.85</v>
      </c>
      <c r="J675" t="s">
        <v>20</v>
      </c>
      <c r="L675" s="1"/>
      <c r="V675" t="str">
        <f>"11700"</f>
        <v>11700</v>
      </c>
      <c r="W675">
        <v>0</v>
      </c>
      <c r="X675">
        <v>0</v>
      </c>
    </row>
    <row r="676" spans="1:24" ht="15" customHeight="1" x14ac:dyDescent="0.25">
      <c r="A676" t="str">
        <f>""</f>
        <v/>
      </c>
      <c r="B676" s="1"/>
      <c r="H676">
        <v>11.2</v>
      </c>
      <c r="J676" t="s">
        <v>20</v>
      </c>
      <c r="L676" s="1"/>
      <c r="N676" s="1"/>
      <c r="V676" t="str">
        <f>"56000"</f>
        <v>56000</v>
      </c>
      <c r="W676">
        <v>3.02</v>
      </c>
      <c r="X676">
        <v>0</v>
      </c>
    </row>
    <row r="677" spans="1:24" ht="15" customHeight="1" x14ac:dyDescent="0.25">
      <c r="A677" t="str">
        <f>""</f>
        <v/>
      </c>
      <c r="B677" s="1"/>
      <c r="H677">
        <v>171.25</v>
      </c>
      <c r="J677" t="s">
        <v>19</v>
      </c>
      <c r="L677" s="1"/>
      <c r="N677" s="1"/>
      <c r="V677" t="str">
        <f>"80140"</f>
        <v>80140</v>
      </c>
      <c r="W677">
        <v>32.54</v>
      </c>
      <c r="X677">
        <v>0</v>
      </c>
    </row>
    <row r="678" spans="1:24" ht="15" customHeight="1" x14ac:dyDescent="0.25">
      <c r="A678" t="str">
        <f>""</f>
        <v/>
      </c>
      <c r="B678" s="1"/>
      <c r="H678">
        <v>206.24</v>
      </c>
      <c r="J678" t="s">
        <v>22</v>
      </c>
      <c r="L678" s="1"/>
      <c r="N678" s="1"/>
      <c r="V678" t="str">
        <f>"14150"</f>
        <v>14150</v>
      </c>
      <c r="W678">
        <v>0</v>
      </c>
      <c r="X678">
        <v>0</v>
      </c>
    </row>
    <row r="679" spans="1:24" ht="15" customHeight="1" x14ac:dyDescent="0.25">
      <c r="A679" t="str">
        <f>""</f>
        <v/>
      </c>
      <c r="B679" s="1"/>
      <c r="H679">
        <v>55.14</v>
      </c>
      <c r="J679" t="s">
        <v>20</v>
      </c>
      <c r="L679" s="1"/>
      <c r="N679" s="1"/>
      <c r="V679" t="str">
        <f>"67200"</f>
        <v>67200</v>
      </c>
      <c r="W679">
        <v>15.99</v>
      </c>
      <c r="X679">
        <v>0</v>
      </c>
    </row>
    <row r="680" spans="1:24" ht="15" customHeight="1" x14ac:dyDescent="0.25">
      <c r="A680" t="str">
        <f>""</f>
        <v/>
      </c>
      <c r="B680" s="1"/>
      <c r="H680">
        <v>130.19999999999999</v>
      </c>
      <c r="J680" t="s">
        <v>20</v>
      </c>
      <c r="L680" s="1"/>
      <c r="N680" s="1"/>
      <c r="V680" t="str">
        <f>"50430"</f>
        <v>50430</v>
      </c>
      <c r="W680">
        <v>22.13</v>
      </c>
      <c r="X680">
        <v>0</v>
      </c>
    </row>
    <row r="681" spans="1:24" ht="15" customHeight="1" x14ac:dyDescent="0.25">
      <c r="A681" t="str">
        <f>""</f>
        <v/>
      </c>
      <c r="B681" s="1"/>
      <c r="J681" t="s">
        <v>20</v>
      </c>
      <c r="L681" s="1"/>
      <c r="N681" s="1"/>
      <c r="V681" t="str">
        <f>"76600"</f>
        <v>76600</v>
      </c>
      <c r="W681">
        <v>0</v>
      </c>
      <c r="X681">
        <v>0</v>
      </c>
    </row>
    <row r="682" spans="1:24" ht="15" customHeight="1" x14ac:dyDescent="0.25">
      <c r="A682" t="str">
        <f>""</f>
        <v/>
      </c>
      <c r="B682" s="1"/>
      <c r="H682">
        <v>140</v>
      </c>
      <c r="J682" t="s">
        <v>22</v>
      </c>
      <c r="L682" s="1"/>
      <c r="V682" t="str">
        <f>"44000"</f>
        <v>44000</v>
      </c>
      <c r="W682">
        <v>0</v>
      </c>
      <c r="X682">
        <v>0</v>
      </c>
    </row>
    <row r="683" spans="1:24" ht="15" customHeight="1" x14ac:dyDescent="0.25">
      <c r="A683" t="str">
        <f>""</f>
        <v/>
      </c>
      <c r="B683" s="1"/>
      <c r="H683">
        <v>173.44</v>
      </c>
      <c r="J683" t="s">
        <v>22</v>
      </c>
      <c r="L683" s="1"/>
      <c r="N683" s="1"/>
      <c r="V683" t="str">
        <f>"68120"</f>
        <v>68120</v>
      </c>
      <c r="W683">
        <v>0</v>
      </c>
      <c r="X683">
        <v>13.88</v>
      </c>
    </row>
    <row r="684" spans="1:24" ht="15" customHeight="1" x14ac:dyDescent="0.25">
      <c r="A684" t="str">
        <f>""</f>
        <v/>
      </c>
      <c r="B684" s="1"/>
      <c r="H684">
        <v>148.19</v>
      </c>
      <c r="J684" t="s">
        <v>19</v>
      </c>
      <c r="L684" s="1"/>
      <c r="N684" s="1"/>
      <c r="V684" t="str">
        <f>"59148"</f>
        <v>59148</v>
      </c>
      <c r="W684">
        <v>28.16</v>
      </c>
      <c r="X684">
        <v>0</v>
      </c>
    </row>
    <row r="685" spans="1:24" ht="15" customHeight="1" x14ac:dyDescent="0.25">
      <c r="A685" t="str">
        <f>""</f>
        <v/>
      </c>
      <c r="B685" s="1"/>
      <c r="H685">
        <v>40.6</v>
      </c>
      <c r="L685" s="1"/>
      <c r="N685" s="1"/>
      <c r="V685" t="str">
        <f>"77184"</f>
        <v>77184</v>
      </c>
      <c r="W685">
        <v>0</v>
      </c>
      <c r="X685">
        <v>0</v>
      </c>
    </row>
    <row r="686" spans="1:24" ht="15" customHeight="1" x14ac:dyDescent="0.25">
      <c r="A686" t="str">
        <f>""</f>
        <v/>
      </c>
      <c r="B686" s="1"/>
      <c r="H686">
        <v>171</v>
      </c>
      <c r="L686" s="1"/>
      <c r="N686" s="1"/>
      <c r="V686" t="str">
        <f>"77184"</f>
        <v>77184</v>
      </c>
      <c r="W686">
        <v>0</v>
      </c>
      <c r="X686">
        <v>0</v>
      </c>
    </row>
    <row r="687" spans="1:24" ht="15" customHeight="1" x14ac:dyDescent="0.25">
      <c r="A687" t="str">
        <f>""</f>
        <v/>
      </c>
      <c r="B687" s="1"/>
      <c r="H687">
        <v>171</v>
      </c>
      <c r="L687" s="1"/>
      <c r="N687" s="1"/>
      <c r="V687" t="str">
        <f>"77184"</f>
        <v>77184</v>
      </c>
      <c r="W687">
        <v>0</v>
      </c>
      <c r="X687">
        <v>0</v>
      </c>
    </row>
    <row r="688" spans="1:24" ht="15" customHeight="1" x14ac:dyDescent="0.25">
      <c r="A688" t="str">
        <f>""</f>
        <v/>
      </c>
      <c r="B688" s="1"/>
      <c r="H688">
        <v>27</v>
      </c>
      <c r="J688" t="s">
        <v>22</v>
      </c>
      <c r="L688" s="1"/>
      <c r="N688" s="1"/>
      <c r="V688" t="str">
        <f>"60290"</f>
        <v>60290</v>
      </c>
      <c r="W688">
        <v>0</v>
      </c>
      <c r="X688">
        <v>0</v>
      </c>
    </row>
    <row r="689" spans="1:24" ht="15" customHeight="1" x14ac:dyDescent="0.25">
      <c r="A689" t="str">
        <f>""</f>
        <v/>
      </c>
      <c r="B689" s="1"/>
      <c r="H689">
        <v>176</v>
      </c>
      <c r="J689" t="s">
        <v>22</v>
      </c>
      <c r="L689" s="1"/>
      <c r="N689" s="1"/>
      <c r="V689" t="str">
        <f>"69005"</f>
        <v>69005</v>
      </c>
      <c r="W689">
        <v>0</v>
      </c>
      <c r="X689">
        <v>0</v>
      </c>
    </row>
    <row r="690" spans="1:24" ht="15" customHeight="1" x14ac:dyDescent="0.25">
      <c r="A690" t="str">
        <f>""</f>
        <v/>
      </c>
      <c r="B690" s="1"/>
      <c r="H690">
        <v>126.65</v>
      </c>
      <c r="J690" t="s">
        <v>20</v>
      </c>
      <c r="L690" s="1"/>
      <c r="N690" s="1"/>
      <c r="V690" t="str">
        <f>"06000"</f>
        <v>06000</v>
      </c>
      <c r="W690">
        <v>38</v>
      </c>
      <c r="X690">
        <v>0</v>
      </c>
    </row>
    <row r="691" spans="1:24" ht="15" customHeight="1" x14ac:dyDescent="0.25">
      <c r="A691" t="str">
        <f>""</f>
        <v/>
      </c>
      <c r="B691" s="1"/>
      <c r="H691">
        <v>121.06</v>
      </c>
      <c r="J691" t="s">
        <v>20</v>
      </c>
      <c r="L691" s="1"/>
      <c r="N691" s="1"/>
      <c r="V691" t="str">
        <f>"77000"</f>
        <v>77000</v>
      </c>
      <c r="W691">
        <v>0</v>
      </c>
      <c r="X691">
        <v>0</v>
      </c>
    </row>
    <row r="692" spans="1:24" ht="15" customHeight="1" x14ac:dyDescent="0.25">
      <c r="A692" t="str">
        <f>""</f>
        <v/>
      </c>
      <c r="B692" s="1"/>
      <c r="H692">
        <v>103.06</v>
      </c>
      <c r="J692" t="s">
        <v>20</v>
      </c>
      <c r="L692" s="1"/>
      <c r="N692" s="1"/>
      <c r="V692" t="str">
        <f>"13127"</f>
        <v>13127</v>
      </c>
      <c r="W692">
        <v>29.89</v>
      </c>
      <c r="X692">
        <v>0</v>
      </c>
    </row>
    <row r="693" spans="1:24" ht="15" customHeight="1" x14ac:dyDescent="0.25">
      <c r="A693" t="str">
        <f>""</f>
        <v/>
      </c>
      <c r="B693" s="1"/>
      <c r="H693">
        <v>43.4</v>
      </c>
      <c r="J693" t="s">
        <v>20</v>
      </c>
      <c r="L693" s="1"/>
      <c r="N693" s="1"/>
      <c r="V693" t="str">
        <f>"57000"</f>
        <v>57000</v>
      </c>
      <c r="W693">
        <v>10.85</v>
      </c>
      <c r="X693">
        <v>0</v>
      </c>
    </row>
    <row r="694" spans="1:24" ht="15" customHeight="1" x14ac:dyDescent="0.25">
      <c r="A694" t="str">
        <f>""</f>
        <v/>
      </c>
      <c r="B694" s="1"/>
      <c r="H694">
        <v>43.44</v>
      </c>
      <c r="J694" t="s">
        <v>20</v>
      </c>
      <c r="L694" s="1"/>
      <c r="N694" s="1"/>
      <c r="V694" t="str">
        <f>"45000"</f>
        <v>45000</v>
      </c>
      <c r="W694">
        <v>9.1199999999999992</v>
      </c>
      <c r="X694">
        <v>0</v>
      </c>
    </row>
    <row r="695" spans="1:24" ht="15" customHeight="1" x14ac:dyDescent="0.25">
      <c r="A695" t="str">
        <f>""</f>
        <v/>
      </c>
      <c r="B695" s="1"/>
      <c r="H695">
        <v>33.35</v>
      </c>
      <c r="J695" t="s">
        <v>19</v>
      </c>
      <c r="L695" s="1"/>
      <c r="N695" s="1"/>
      <c r="V695" t="str">
        <f>"69005"</f>
        <v>69005</v>
      </c>
      <c r="W695">
        <v>9</v>
      </c>
      <c r="X695">
        <v>0</v>
      </c>
    </row>
    <row r="696" spans="1:24" ht="15" customHeight="1" x14ac:dyDescent="0.25">
      <c r="A696" t="str">
        <f>""</f>
        <v/>
      </c>
      <c r="B696" s="1"/>
      <c r="H696">
        <v>0.06</v>
      </c>
      <c r="J696" t="s">
        <v>19</v>
      </c>
      <c r="L696" s="1"/>
      <c r="N696" s="1"/>
      <c r="V696" t="str">
        <f>"63670"</f>
        <v>63670</v>
      </c>
      <c r="W696">
        <v>0.02</v>
      </c>
      <c r="X696">
        <v>0</v>
      </c>
    </row>
    <row r="697" spans="1:24" ht="15" customHeight="1" x14ac:dyDescent="0.25">
      <c r="A697" t="str">
        <f>""</f>
        <v/>
      </c>
      <c r="B697" s="1"/>
      <c r="H697">
        <v>201.16</v>
      </c>
      <c r="J697" t="s">
        <v>20</v>
      </c>
      <c r="L697" s="1"/>
      <c r="N697" s="1"/>
      <c r="V697" t="str">
        <f>"77420"</f>
        <v>77420</v>
      </c>
      <c r="W697">
        <v>0</v>
      </c>
      <c r="X697">
        <v>0</v>
      </c>
    </row>
    <row r="698" spans="1:24" ht="15" customHeight="1" x14ac:dyDescent="0.25">
      <c r="A698" t="str">
        <f>""</f>
        <v/>
      </c>
      <c r="B698" s="1"/>
      <c r="H698">
        <v>151</v>
      </c>
      <c r="J698" t="s">
        <v>23</v>
      </c>
      <c r="L698" s="1"/>
      <c r="N698" s="1"/>
      <c r="V698" t="str">
        <f>"06200"</f>
        <v>06200</v>
      </c>
      <c r="W698">
        <v>0</v>
      </c>
      <c r="X698">
        <v>0</v>
      </c>
    </row>
    <row r="699" spans="1:24" ht="15" customHeight="1" x14ac:dyDescent="0.25">
      <c r="A699" t="str">
        <f>""</f>
        <v/>
      </c>
      <c r="B699" s="1"/>
      <c r="H699">
        <v>8.07</v>
      </c>
      <c r="J699" t="s">
        <v>19</v>
      </c>
      <c r="L699" s="1"/>
      <c r="N699" s="1"/>
      <c r="V699" t="str">
        <f>"69800"</f>
        <v>69800</v>
      </c>
      <c r="W699">
        <v>2.1800000000000002</v>
      </c>
      <c r="X699">
        <v>0</v>
      </c>
    </row>
    <row r="700" spans="1:24" ht="15" customHeight="1" x14ac:dyDescent="0.25">
      <c r="A700" t="str">
        <f>""</f>
        <v/>
      </c>
      <c r="B700" s="1"/>
      <c r="H700">
        <v>142.78</v>
      </c>
      <c r="J700" t="s">
        <v>20</v>
      </c>
      <c r="L700" s="1"/>
      <c r="N700" s="1"/>
      <c r="V700" t="str">
        <f>"76290"</f>
        <v>76290</v>
      </c>
      <c r="W700">
        <v>24.27</v>
      </c>
      <c r="X700">
        <v>0</v>
      </c>
    </row>
    <row r="701" spans="1:24" ht="15" customHeight="1" x14ac:dyDescent="0.25">
      <c r="A701" t="str">
        <f>""</f>
        <v/>
      </c>
      <c r="B701" s="1"/>
      <c r="H701">
        <v>40</v>
      </c>
      <c r="J701" t="s">
        <v>20</v>
      </c>
      <c r="L701" s="1"/>
      <c r="N701" s="1"/>
      <c r="V701" t="str">
        <f>"59118"</f>
        <v>59118</v>
      </c>
      <c r="W701">
        <v>7.6</v>
      </c>
      <c r="X701">
        <v>0</v>
      </c>
    </row>
    <row r="702" spans="1:24" ht="15" customHeight="1" x14ac:dyDescent="0.25">
      <c r="A702" t="str">
        <f>""</f>
        <v/>
      </c>
      <c r="B702" s="1"/>
      <c r="H702">
        <v>1359.17</v>
      </c>
      <c r="J702" t="s">
        <v>22</v>
      </c>
      <c r="L702" s="1"/>
      <c r="V702" t="str">
        <f>"93100"</f>
        <v>93100</v>
      </c>
      <c r="W702">
        <v>0</v>
      </c>
      <c r="X702">
        <v>0</v>
      </c>
    </row>
    <row r="703" spans="1:24" ht="15" customHeight="1" x14ac:dyDescent="0.25">
      <c r="A703" t="str">
        <f>""</f>
        <v/>
      </c>
      <c r="B703" s="1"/>
      <c r="H703">
        <v>140</v>
      </c>
      <c r="J703" t="s">
        <v>22</v>
      </c>
      <c r="L703" s="1"/>
      <c r="N703" s="1"/>
      <c r="V703" t="str">
        <f>"80000"</f>
        <v>80000</v>
      </c>
      <c r="W703">
        <v>0</v>
      </c>
      <c r="X703">
        <v>26.6</v>
      </c>
    </row>
    <row r="704" spans="1:24" ht="15" customHeight="1" x14ac:dyDescent="0.25">
      <c r="A704" t="str">
        <f>""</f>
        <v/>
      </c>
      <c r="B704" s="1"/>
      <c r="H704">
        <v>180</v>
      </c>
      <c r="J704" t="s">
        <v>23</v>
      </c>
      <c r="L704" s="1"/>
      <c r="N704" s="1"/>
      <c r="V704" t="str">
        <f>"44480"</f>
        <v>44480</v>
      </c>
      <c r="W704">
        <v>0</v>
      </c>
      <c r="X704">
        <v>48.6</v>
      </c>
    </row>
    <row r="705" spans="1:24" ht="15" customHeight="1" x14ac:dyDescent="0.25">
      <c r="A705" t="str">
        <f>""</f>
        <v/>
      </c>
      <c r="B705" s="1"/>
      <c r="H705">
        <v>679.37</v>
      </c>
      <c r="J705" t="s">
        <v>20</v>
      </c>
      <c r="L705" s="1"/>
      <c r="N705" s="1"/>
      <c r="V705" t="str">
        <f>"25200"</f>
        <v>25200</v>
      </c>
      <c r="W705">
        <v>163.05000000000001</v>
      </c>
      <c r="X705">
        <v>0</v>
      </c>
    </row>
    <row r="706" spans="1:24" ht="15" customHeight="1" x14ac:dyDescent="0.25">
      <c r="A706" t="str">
        <f>""</f>
        <v/>
      </c>
      <c r="B706" s="1"/>
      <c r="H706">
        <v>32.54</v>
      </c>
      <c r="J706" t="s">
        <v>22</v>
      </c>
      <c r="L706" s="1"/>
      <c r="V706" t="str">
        <f>"94510"</f>
        <v>94510</v>
      </c>
      <c r="W706">
        <v>0</v>
      </c>
      <c r="X706">
        <v>0</v>
      </c>
    </row>
    <row r="707" spans="1:24" ht="15" customHeight="1" x14ac:dyDescent="0.25">
      <c r="A707" t="str">
        <f>""</f>
        <v/>
      </c>
      <c r="B707" s="1"/>
      <c r="H707">
        <v>137.24</v>
      </c>
      <c r="J707" t="s">
        <v>23</v>
      </c>
      <c r="L707" s="1"/>
      <c r="N707" s="1"/>
      <c r="V707" t="str">
        <f>"41000"</f>
        <v>41000</v>
      </c>
      <c r="W707">
        <v>0</v>
      </c>
      <c r="X707">
        <v>0</v>
      </c>
    </row>
    <row r="708" spans="1:24" ht="15" customHeight="1" x14ac:dyDescent="0.25">
      <c r="A708" t="str">
        <f>""</f>
        <v/>
      </c>
      <c r="B708" s="1"/>
      <c r="H708">
        <v>103.86</v>
      </c>
      <c r="J708" t="s">
        <v>23</v>
      </c>
      <c r="L708" s="1"/>
      <c r="N708" s="1"/>
      <c r="V708" t="str">
        <f>"83700"</f>
        <v>83700</v>
      </c>
      <c r="W708">
        <v>0</v>
      </c>
      <c r="X708">
        <v>21.81</v>
      </c>
    </row>
    <row r="709" spans="1:24" ht="15" customHeight="1" x14ac:dyDescent="0.25">
      <c r="A709" t="str">
        <f>""</f>
        <v/>
      </c>
      <c r="B709" s="1"/>
      <c r="H709">
        <v>130.37</v>
      </c>
      <c r="J709" t="s">
        <v>23</v>
      </c>
      <c r="L709" s="1"/>
      <c r="N709" s="1"/>
      <c r="V709" t="str">
        <f>"62200"</f>
        <v>62200</v>
      </c>
      <c r="W709">
        <v>0</v>
      </c>
      <c r="X709">
        <v>0</v>
      </c>
    </row>
    <row r="710" spans="1:24" ht="15" customHeight="1" x14ac:dyDescent="0.25">
      <c r="A710" t="str">
        <f>""</f>
        <v/>
      </c>
      <c r="B710" s="1"/>
      <c r="H710">
        <v>151</v>
      </c>
      <c r="J710" t="s">
        <v>22</v>
      </c>
      <c r="L710" s="1"/>
      <c r="V710" t="str">
        <f>"69120"</f>
        <v>69120</v>
      </c>
      <c r="W710">
        <v>0</v>
      </c>
      <c r="X710">
        <v>0</v>
      </c>
    </row>
    <row r="711" spans="1:24" ht="15" customHeight="1" x14ac:dyDescent="0.25">
      <c r="A711" t="str">
        <f>""</f>
        <v/>
      </c>
      <c r="B711" s="1"/>
      <c r="H711">
        <v>205</v>
      </c>
      <c r="J711" t="s">
        <v>23</v>
      </c>
      <c r="L711" s="1"/>
      <c r="V711" t="str">
        <f>"73000"</f>
        <v>73000</v>
      </c>
      <c r="W711">
        <v>0</v>
      </c>
      <c r="X711">
        <v>0</v>
      </c>
    </row>
    <row r="712" spans="1:24" ht="15" customHeight="1" x14ac:dyDescent="0.25">
      <c r="A712" t="str">
        <f>""</f>
        <v/>
      </c>
      <c r="B712" s="1"/>
      <c r="H712">
        <v>25</v>
      </c>
      <c r="J712" t="s">
        <v>22</v>
      </c>
      <c r="L712" s="1"/>
      <c r="V712" t="str">
        <f>"26000"</f>
        <v>26000</v>
      </c>
      <c r="W712">
        <v>0</v>
      </c>
      <c r="X712">
        <v>0</v>
      </c>
    </row>
    <row r="713" spans="1:24" ht="15" customHeight="1" x14ac:dyDescent="0.25">
      <c r="A713" t="str">
        <f>""</f>
        <v/>
      </c>
      <c r="B713" s="1"/>
      <c r="H713">
        <v>40</v>
      </c>
      <c r="J713" t="s">
        <v>23</v>
      </c>
      <c r="L713" s="1"/>
      <c r="V713" t="str">
        <f>"63000"</f>
        <v>63000</v>
      </c>
      <c r="W713">
        <v>0</v>
      </c>
      <c r="X713">
        <v>0</v>
      </c>
    </row>
    <row r="714" spans="1:24" ht="15" customHeight="1" x14ac:dyDescent="0.25">
      <c r="A714" t="str">
        <f>""</f>
        <v/>
      </c>
      <c r="B714" s="1"/>
      <c r="H714">
        <v>26</v>
      </c>
      <c r="J714" t="s">
        <v>22</v>
      </c>
      <c r="L714" s="1"/>
      <c r="V714" t="str">
        <f>"74500"</f>
        <v>74500</v>
      </c>
      <c r="W714">
        <v>0</v>
      </c>
      <c r="X714">
        <v>0</v>
      </c>
    </row>
    <row r="715" spans="1:24" ht="15" customHeight="1" x14ac:dyDescent="0.25">
      <c r="A715" t="str">
        <f>""</f>
        <v/>
      </c>
      <c r="B715" s="1"/>
      <c r="H715">
        <v>10</v>
      </c>
      <c r="J715" t="s">
        <v>22</v>
      </c>
      <c r="L715" s="1"/>
      <c r="N715" s="1"/>
      <c r="V715" t="str">
        <f>"92737"</f>
        <v>92737</v>
      </c>
      <c r="W715">
        <v>0</v>
      </c>
      <c r="X715">
        <v>0.8</v>
      </c>
    </row>
    <row r="716" spans="1:24" ht="15" customHeight="1" x14ac:dyDescent="0.25">
      <c r="A716" t="str">
        <f>""</f>
        <v/>
      </c>
      <c r="B716" s="1"/>
      <c r="H716">
        <v>197.99</v>
      </c>
      <c r="J716" t="s">
        <v>22</v>
      </c>
      <c r="L716" s="1"/>
      <c r="V716" t="str">
        <f>"30200"</f>
        <v>30200</v>
      </c>
      <c r="W716">
        <v>0</v>
      </c>
      <c r="X716">
        <v>0</v>
      </c>
    </row>
    <row r="717" spans="1:24" ht="15" customHeight="1" x14ac:dyDescent="0.25">
      <c r="A717" t="str">
        <f>""</f>
        <v/>
      </c>
      <c r="B717" s="1"/>
      <c r="H717">
        <v>390.27</v>
      </c>
      <c r="J717" t="s">
        <v>22</v>
      </c>
      <c r="L717" s="1"/>
      <c r="N717" s="1"/>
      <c r="V717" t="str">
        <f>"13001"</f>
        <v>13001</v>
      </c>
      <c r="W717">
        <v>0</v>
      </c>
      <c r="X717">
        <v>0</v>
      </c>
    </row>
    <row r="718" spans="1:24" x14ac:dyDescent="0.25">
      <c r="A718" t="str">
        <f>""</f>
        <v/>
      </c>
      <c r="B718" s="1"/>
      <c r="H718">
        <v>52.5</v>
      </c>
      <c r="J718" t="s">
        <v>15</v>
      </c>
      <c r="L718" s="1"/>
      <c r="N718" s="1"/>
      <c r="V718" t="str">
        <f>"44100"</f>
        <v>44100</v>
      </c>
      <c r="W718">
        <v>0</v>
      </c>
      <c r="X718">
        <v>0</v>
      </c>
    </row>
    <row r="719" spans="1:24" x14ac:dyDescent="0.25">
      <c r="A719" t="str">
        <f>""</f>
        <v/>
      </c>
      <c r="B719" s="1"/>
      <c r="H719">
        <v>52.5</v>
      </c>
      <c r="J719" t="s">
        <v>15</v>
      </c>
      <c r="L719" s="1"/>
      <c r="N719" s="1"/>
      <c r="V719" t="str">
        <f>"31300"</f>
        <v>31300</v>
      </c>
      <c r="W719">
        <v>0</v>
      </c>
      <c r="X719">
        <v>0</v>
      </c>
    </row>
    <row r="720" spans="1:24" ht="15" customHeight="1" x14ac:dyDescent="0.25">
      <c r="A720" t="str">
        <f>""</f>
        <v/>
      </c>
      <c r="B720" s="1"/>
      <c r="H720">
        <v>347.22</v>
      </c>
      <c r="J720" t="s">
        <v>20</v>
      </c>
      <c r="L720" s="1"/>
      <c r="N720" s="1"/>
      <c r="V720" t="str">
        <f>"94290"</f>
        <v>94290</v>
      </c>
      <c r="W720">
        <v>0</v>
      </c>
      <c r="X720">
        <v>0</v>
      </c>
    </row>
    <row r="721" spans="1:24" ht="15" customHeight="1" x14ac:dyDescent="0.25">
      <c r="A721" t="str">
        <f>""</f>
        <v/>
      </c>
      <c r="B721" s="1"/>
      <c r="H721">
        <v>70</v>
      </c>
      <c r="J721" t="s">
        <v>23</v>
      </c>
      <c r="L721" s="1"/>
      <c r="N721" s="1"/>
      <c r="V721" t="str">
        <f>"62119"</f>
        <v>62119</v>
      </c>
      <c r="W721">
        <v>0</v>
      </c>
      <c r="X721">
        <v>0</v>
      </c>
    </row>
    <row r="722" spans="1:24" x14ac:dyDescent="0.25">
      <c r="A722" t="str">
        <f>""</f>
        <v/>
      </c>
      <c r="B722" s="1"/>
      <c r="H722">
        <v>23.4</v>
      </c>
      <c r="J722" t="s">
        <v>15</v>
      </c>
      <c r="L722" s="1"/>
      <c r="N722" s="1"/>
      <c r="V722" t="str">
        <f>"38110"</f>
        <v>38110</v>
      </c>
      <c r="W722">
        <v>0</v>
      </c>
      <c r="X722">
        <v>0</v>
      </c>
    </row>
    <row r="723" spans="1:24" ht="15" customHeight="1" x14ac:dyDescent="0.25">
      <c r="A723" t="str">
        <f>""</f>
        <v/>
      </c>
      <c r="B723" s="1"/>
      <c r="H723">
        <v>151</v>
      </c>
      <c r="J723" t="s">
        <v>23</v>
      </c>
      <c r="L723" s="1"/>
      <c r="N723" s="1"/>
      <c r="V723" t="str">
        <f>"33000"</f>
        <v>33000</v>
      </c>
      <c r="W723">
        <v>0</v>
      </c>
      <c r="X723">
        <v>25.67</v>
      </c>
    </row>
    <row r="724" spans="1:24" ht="15" customHeight="1" x14ac:dyDescent="0.25">
      <c r="A724" t="str">
        <f>""</f>
        <v/>
      </c>
      <c r="B724" s="1"/>
      <c r="H724">
        <v>70</v>
      </c>
      <c r="J724" t="s">
        <v>22</v>
      </c>
      <c r="L724" s="1"/>
      <c r="V724" t="str">
        <f>"59000"</f>
        <v>59000</v>
      </c>
      <c r="W724">
        <v>0</v>
      </c>
      <c r="X724">
        <v>0</v>
      </c>
    </row>
    <row r="725" spans="1:24" ht="15" customHeight="1" x14ac:dyDescent="0.25">
      <c r="A725" t="str">
        <f>""</f>
        <v/>
      </c>
      <c r="B725" s="1"/>
      <c r="H725">
        <v>20</v>
      </c>
      <c r="L725" s="1"/>
      <c r="N725" s="1"/>
      <c r="V725" t="str">
        <f>"77184"</f>
        <v>77184</v>
      </c>
      <c r="W725">
        <v>0</v>
      </c>
      <c r="X725">
        <v>0</v>
      </c>
    </row>
    <row r="726" spans="1:24" ht="15" customHeight="1" x14ac:dyDescent="0.25">
      <c r="A726" t="str">
        <f>""</f>
        <v/>
      </c>
      <c r="B726" s="1"/>
      <c r="H726">
        <v>151</v>
      </c>
      <c r="J726" t="s">
        <v>22</v>
      </c>
      <c r="L726" s="1"/>
      <c r="N726" s="1"/>
      <c r="V726" t="str">
        <f>"06560"</f>
        <v>06560</v>
      </c>
      <c r="W726">
        <v>0</v>
      </c>
      <c r="X726">
        <v>0</v>
      </c>
    </row>
    <row r="727" spans="1:24" ht="15" customHeight="1" x14ac:dyDescent="0.25">
      <c r="A727" t="str">
        <f>""</f>
        <v/>
      </c>
      <c r="B727" s="1"/>
      <c r="H727">
        <v>151</v>
      </c>
      <c r="J727" t="s">
        <v>22</v>
      </c>
      <c r="L727" s="1"/>
      <c r="N727" s="1"/>
      <c r="V727" t="str">
        <f>"06560"</f>
        <v>06560</v>
      </c>
      <c r="W727">
        <v>0</v>
      </c>
      <c r="X727">
        <v>0</v>
      </c>
    </row>
    <row r="728" spans="1:24" ht="15" customHeight="1" x14ac:dyDescent="0.25">
      <c r="A728" t="str">
        <f>""</f>
        <v/>
      </c>
      <c r="B728" s="1"/>
      <c r="H728">
        <v>151</v>
      </c>
      <c r="J728" t="s">
        <v>22</v>
      </c>
      <c r="L728" s="1"/>
      <c r="N728" s="1"/>
      <c r="V728" t="str">
        <f>"06560"</f>
        <v>06560</v>
      </c>
      <c r="W728">
        <v>0</v>
      </c>
      <c r="X728">
        <v>0</v>
      </c>
    </row>
    <row r="729" spans="1:24" ht="15" customHeight="1" x14ac:dyDescent="0.25">
      <c r="A729" t="str">
        <f>""</f>
        <v/>
      </c>
      <c r="B729" s="1"/>
      <c r="H729">
        <v>151</v>
      </c>
      <c r="J729" t="s">
        <v>22</v>
      </c>
      <c r="L729" s="1"/>
      <c r="N729" s="1"/>
      <c r="V729" t="str">
        <f>"06560"</f>
        <v>06560</v>
      </c>
      <c r="W729">
        <v>0</v>
      </c>
      <c r="X729">
        <v>0</v>
      </c>
    </row>
    <row r="730" spans="1:24" ht="15" customHeight="1" x14ac:dyDescent="0.25">
      <c r="A730" t="str">
        <f>""</f>
        <v/>
      </c>
      <c r="B730" s="1"/>
      <c r="H730">
        <v>55.16</v>
      </c>
      <c r="J730" t="s">
        <v>19</v>
      </c>
      <c r="L730" s="1"/>
      <c r="N730" s="1"/>
      <c r="V730" t="str">
        <f>"71380"</f>
        <v>71380</v>
      </c>
      <c r="W730">
        <v>14.89</v>
      </c>
      <c r="X730">
        <v>0</v>
      </c>
    </row>
    <row r="731" spans="1:24" ht="15" customHeight="1" x14ac:dyDescent="0.25">
      <c r="A731" t="str">
        <f>""</f>
        <v/>
      </c>
      <c r="B731" s="1"/>
      <c r="H731">
        <v>37.93</v>
      </c>
      <c r="J731" t="s">
        <v>22</v>
      </c>
      <c r="L731" s="1"/>
      <c r="N731" s="1"/>
      <c r="V731" t="str">
        <f>"69280"</f>
        <v>69280</v>
      </c>
      <c r="W731">
        <v>0</v>
      </c>
      <c r="X731">
        <v>0</v>
      </c>
    </row>
    <row r="732" spans="1:24" ht="15" customHeight="1" x14ac:dyDescent="0.25">
      <c r="A732" t="str">
        <f>""</f>
        <v/>
      </c>
      <c r="B732" s="1"/>
      <c r="H732">
        <v>70</v>
      </c>
      <c r="J732" t="s">
        <v>22</v>
      </c>
      <c r="L732" s="1"/>
      <c r="V732" t="str">
        <f>"01000"</f>
        <v>01000</v>
      </c>
      <c r="W732">
        <v>0</v>
      </c>
      <c r="X732">
        <v>0</v>
      </c>
    </row>
    <row r="733" spans="1:24" ht="15" customHeight="1" x14ac:dyDescent="0.25">
      <c r="A733" t="str">
        <f>""</f>
        <v/>
      </c>
      <c r="B733" s="1"/>
      <c r="H733">
        <v>331.39</v>
      </c>
      <c r="J733" t="s">
        <v>19</v>
      </c>
      <c r="L733" s="1"/>
      <c r="N733" s="1"/>
      <c r="V733" t="str">
        <f>"69002"</f>
        <v>69002</v>
      </c>
      <c r="W733">
        <v>89.48</v>
      </c>
      <c r="X733">
        <v>0</v>
      </c>
    </row>
    <row r="734" spans="1:24" ht="15" customHeight="1" x14ac:dyDescent="0.25">
      <c r="A734" t="str">
        <f>""</f>
        <v/>
      </c>
      <c r="B734" s="1"/>
      <c r="H734">
        <v>55.16</v>
      </c>
      <c r="J734" t="s">
        <v>19</v>
      </c>
      <c r="L734" s="1"/>
      <c r="N734" s="1"/>
      <c r="V734" t="str">
        <f>"35044"</f>
        <v>35044</v>
      </c>
      <c r="W734">
        <v>14.89</v>
      </c>
      <c r="X734">
        <v>0</v>
      </c>
    </row>
    <row r="735" spans="1:24" ht="15" customHeight="1" x14ac:dyDescent="0.25">
      <c r="A735" t="str">
        <f>""</f>
        <v/>
      </c>
      <c r="B735" s="1"/>
      <c r="H735">
        <v>140</v>
      </c>
      <c r="J735" t="s">
        <v>23</v>
      </c>
      <c r="L735" s="1"/>
      <c r="N735" s="1"/>
      <c r="V735" t="str">
        <f>"84800"</f>
        <v>84800</v>
      </c>
      <c r="W735">
        <v>0</v>
      </c>
      <c r="X735">
        <v>26.6</v>
      </c>
    </row>
    <row r="736" spans="1:24" x14ac:dyDescent="0.25">
      <c r="A736" t="str">
        <f>""</f>
        <v/>
      </c>
      <c r="B736" s="1"/>
      <c r="H736">
        <v>151</v>
      </c>
      <c r="J736" t="s">
        <v>15</v>
      </c>
      <c r="L736" s="1"/>
      <c r="N736" s="1"/>
      <c r="V736" t="str">
        <f>"69800"</f>
        <v>69800</v>
      </c>
      <c r="W736">
        <v>0</v>
      </c>
      <c r="X736">
        <v>0</v>
      </c>
    </row>
    <row r="737" spans="1:24" x14ac:dyDescent="0.25">
      <c r="A737" t="str">
        <f>""</f>
        <v/>
      </c>
      <c r="B737" s="1"/>
      <c r="H737">
        <v>100</v>
      </c>
      <c r="J737" t="s">
        <v>18</v>
      </c>
      <c r="L737" s="1"/>
      <c r="N737" s="1"/>
      <c r="V737" t="str">
        <f>"21400"</f>
        <v>21400</v>
      </c>
      <c r="W737">
        <v>0</v>
      </c>
      <c r="X737">
        <v>0</v>
      </c>
    </row>
    <row r="738" spans="1:24" ht="15" customHeight="1" x14ac:dyDescent="0.25">
      <c r="A738" t="str">
        <f>""</f>
        <v/>
      </c>
      <c r="B738" s="1"/>
      <c r="H738">
        <v>197.98</v>
      </c>
      <c r="J738" t="s">
        <v>20</v>
      </c>
      <c r="L738" s="1"/>
      <c r="N738" s="1"/>
      <c r="V738" t="str">
        <f>"80400"</f>
        <v>80400</v>
      </c>
      <c r="W738">
        <v>37.619999999999997</v>
      </c>
      <c r="X738">
        <v>0</v>
      </c>
    </row>
    <row r="739" spans="1:24" x14ac:dyDescent="0.25">
      <c r="A739" t="str">
        <f>""</f>
        <v/>
      </c>
      <c r="B739" s="1"/>
      <c r="H739">
        <v>70</v>
      </c>
      <c r="J739" t="s">
        <v>18</v>
      </c>
      <c r="L739" s="1"/>
      <c r="N739" s="1"/>
      <c r="V739" t="str">
        <f>"06700"</f>
        <v>06700</v>
      </c>
      <c r="W739">
        <v>0</v>
      </c>
      <c r="X739">
        <v>0</v>
      </c>
    </row>
    <row r="740" spans="1:24" ht="15" customHeight="1" x14ac:dyDescent="0.25">
      <c r="A740" t="str">
        <f>""</f>
        <v/>
      </c>
      <c r="B740" s="1"/>
      <c r="H740">
        <v>370.41</v>
      </c>
      <c r="J740" t="s">
        <v>20</v>
      </c>
      <c r="L740" s="1"/>
      <c r="N740" s="1"/>
      <c r="V740" t="str">
        <f>"18570"</f>
        <v>18570</v>
      </c>
      <c r="W740">
        <v>77.790000000000006</v>
      </c>
      <c r="X740">
        <v>0</v>
      </c>
    </row>
    <row r="741" spans="1:24" x14ac:dyDescent="0.25">
      <c r="A741" t="str">
        <f>""</f>
        <v/>
      </c>
      <c r="B741" s="1"/>
      <c r="H741">
        <v>40</v>
      </c>
      <c r="J741" t="s">
        <v>16</v>
      </c>
      <c r="L741" s="1"/>
      <c r="N741" s="1"/>
      <c r="V741" t="str">
        <f>"77184"</f>
        <v>77184</v>
      </c>
      <c r="W741">
        <v>10.8</v>
      </c>
      <c r="X741">
        <v>0</v>
      </c>
    </row>
    <row r="742" spans="1:24" ht="15" customHeight="1" x14ac:dyDescent="0.25">
      <c r="A742" t="str">
        <f>""</f>
        <v/>
      </c>
      <c r="B742" s="1"/>
      <c r="H742">
        <v>171</v>
      </c>
      <c r="L742" s="1"/>
      <c r="N742" s="1"/>
      <c r="V742" t="str">
        <f>"77184"</f>
        <v>77184</v>
      </c>
      <c r="W742">
        <v>0</v>
      </c>
      <c r="X742">
        <v>0</v>
      </c>
    </row>
    <row r="743" spans="1:24" ht="15" customHeight="1" x14ac:dyDescent="0.25">
      <c r="A743" t="str">
        <f>""</f>
        <v/>
      </c>
      <c r="B743" s="1"/>
      <c r="H743">
        <v>108.01</v>
      </c>
      <c r="J743" t="s">
        <v>19</v>
      </c>
      <c r="L743" s="1"/>
      <c r="N743" s="1"/>
      <c r="V743" t="str">
        <f>"62138"</f>
        <v>62138</v>
      </c>
      <c r="W743">
        <v>20.52</v>
      </c>
      <c r="X743">
        <v>0</v>
      </c>
    </row>
    <row r="744" spans="1:24" ht="15" customHeight="1" x14ac:dyDescent="0.25">
      <c r="A744" t="str">
        <f>""</f>
        <v/>
      </c>
      <c r="B744" s="1"/>
      <c r="H744">
        <v>110</v>
      </c>
      <c r="L744" s="1"/>
      <c r="N744" s="1"/>
      <c r="V744" t="str">
        <f>"77184"</f>
        <v>77184</v>
      </c>
      <c r="W744">
        <v>0</v>
      </c>
      <c r="X744">
        <v>0</v>
      </c>
    </row>
    <row r="745" spans="1:24" ht="15" customHeight="1" x14ac:dyDescent="0.25">
      <c r="A745" t="str">
        <f>""</f>
        <v/>
      </c>
      <c r="B745" s="1"/>
      <c r="H745">
        <v>22</v>
      </c>
      <c r="L745" s="1"/>
      <c r="N745" s="1"/>
      <c r="V745" t="str">
        <f>"77184"</f>
        <v>77184</v>
      </c>
      <c r="W745">
        <v>0</v>
      </c>
      <c r="X745">
        <v>0</v>
      </c>
    </row>
    <row r="746" spans="1:24" ht="15" customHeight="1" x14ac:dyDescent="0.25">
      <c r="A746" t="str">
        <f>""</f>
        <v/>
      </c>
      <c r="B746" s="1"/>
      <c r="H746">
        <v>50</v>
      </c>
      <c r="J746" t="s">
        <v>19</v>
      </c>
      <c r="L746" s="1"/>
      <c r="N746" s="1"/>
      <c r="V746" t="str">
        <f>"06190"</f>
        <v>06190</v>
      </c>
      <c r="W746">
        <v>15</v>
      </c>
      <c r="X746">
        <v>0</v>
      </c>
    </row>
    <row r="747" spans="1:24" ht="15" customHeight="1" x14ac:dyDescent="0.25">
      <c r="A747" t="str">
        <f>""</f>
        <v/>
      </c>
      <c r="B747" s="1"/>
      <c r="H747">
        <v>141.65</v>
      </c>
      <c r="J747" t="s">
        <v>20</v>
      </c>
      <c r="L747" s="1"/>
      <c r="N747" s="1"/>
      <c r="V747" t="str">
        <f>"13008"</f>
        <v>13008</v>
      </c>
      <c r="W747">
        <v>41.08</v>
      </c>
      <c r="X747">
        <v>0</v>
      </c>
    </row>
    <row r="748" spans="1:24" ht="15" customHeight="1" x14ac:dyDescent="0.25">
      <c r="A748" t="str">
        <f>""</f>
        <v/>
      </c>
      <c r="B748" s="1"/>
      <c r="H748">
        <v>33.450000000000003</v>
      </c>
      <c r="J748" t="s">
        <v>20</v>
      </c>
      <c r="L748" s="1"/>
      <c r="N748" s="1"/>
      <c r="V748" t="str">
        <f>"13700"</f>
        <v>13700</v>
      </c>
      <c r="W748">
        <v>9.6999999999999993</v>
      </c>
      <c r="X748">
        <v>0</v>
      </c>
    </row>
    <row r="749" spans="1:24" ht="15" customHeight="1" x14ac:dyDescent="0.25">
      <c r="A749" t="str">
        <f>""</f>
        <v/>
      </c>
      <c r="B749" s="1"/>
      <c r="H749">
        <v>69.569999999999993</v>
      </c>
      <c r="J749" t="s">
        <v>19</v>
      </c>
      <c r="L749" s="1"/>
      <c r="N749" s="1"/>
      <c r="V749" t="str">
        <f>"60740"</f>
        <v>60740</v>
      </c>
      <c r="W749">
        <v>13.22</v>
      </c>
      <c r="X749">
        <v>0</v>
      </c>
    </row>
    <row r="750" spans="1:24" ht="15" customHeight="1" x14ac:dyDescent="0.25">
      <c r="A750" t="str">
        <f>""</f>
        <v/>
      </c>
      <c r="B750" s="1"/>
      <c r="H750">
        <v>137.59</v>
      </c>
      <c r="J750" t="s">
        <v>20</v>
      </c>
      <c r="L750" s="1"/>
      <c r="N750" s="1"/>
      <c r="V750" t="str">
        <f>"75014"</f>
        <v>75014</v>
      </c>
      <c r="W750">
        <v>0</v>
      </c>
      <c r="X750">
        <v>0</v>
      </c>
    </row>
    <row r="751" spans="1:24" ht="15" customHeight="1" x14ac:dyDescent="0.25">
      <c r="A751" t="str">
        <f>""</f>
        <v/>
      </c>
      <c r="B751" s="1"/>
      <c r="H751">
        <v>347</v>
      </c>
      <c r="J751" t="s">
        <v>23</v>
      </c>
      <c r="L751" s="1"/>
      <c r="N751" s="1"/>
      <c r="V751" t="str">
        <f>"93190"</f>
        <v>93190</v>
      </c>
      <c r="W751">
        <v>0</v>
      </c>
      <c r="X751">
        <v>0</v>
      </c>
    </row>
    <row r="752" spans="1:24" ht="15" customHeight="1" x14ac:dyDescent="0.25">
      <c r="A752" t="str">
        <f>""</f>
        <v/>
      </c>
      <c r="B752" s="1"/>
      <c r="H752">
        <v>93</v>
      </c>
      <c r="L752" s="1"/>
      <c r="N752" s="1"/>
      <c r="V752" t="str">
        <f>"77184"</f>
        <v>77184</v>
      </c>
      <c r="W752">
        <v>0</v>
      </c>
      <c r="X752">
        <v>0</v>
      </c>
    </row>
    <row r="753" spans="1:24" ht="15" customHeight="1" x14ac:dyDescent="0.25">
      <c r="A753" t="str">
        <f>""</f>
        <v/>
      </c>
      <c r="B753" s="1"/>
      <c r="H753">
        <v>19.649999999999999</v>
      </c>
      <c r="J753" t="s">
        <v>19</v>
      </c>
      <c r="L753" s="1"/>
      <c r="N753" s="1"/>
      <c r="V753" t="str">
        <f>"75014"</f>
        <v>75014</v>
      </c>
      <c r="W753">
        <v>0</v>
      </c>
      <c r="X753">
        <v>0</v>
      </c>
    </row>
    <row r="754" spans="1:24" ht="15" customHeight="1" x14ac:dyDescent="0.25">
      <c r="A754" t="str">
        <f>""</f>
        <v/>
      </c>
      <c r="B754" s="1"/>
      <c r="H754">
        <v>25</v>
      </c>
      <c r="J754" t="s">
        <v>19</v>
      </c>
      <c r="L754" s="1"/>
      <c r="N754" s="1"/>
      <c r="V754" t="str">
        <f>"75002"</f>
        <v>75002</v>
      </c>
      <c r="W754">
        <v>0</v>
      </c>
      <c r="X754">
        <v>0</v>
      </c>
    </row>
    <row r="755" spans="1:24" ht="15" customHeight="1" x14ac:dyDescent="0.25">
      <c r="A755" t="str">
        <f>""</f>
        <v/>
      </c>
      <c r="B755" s="1"/>
      <c r="H755">
        <v>151</v>
      </c>
      <c r="J755" t="s">
        <v>22</v>
      </c>
      <c r="L755" s="1"/>
      <c r="V755" t="str">
        <f>"25370"</f>
        <v>25370</v>
      </c>
      <c r="W755">
        <v>0</v>
      </c>
      <c r="X755">
        <v>0</v>
      </c>
    </row>
    <row r="756" spans="1:24" ht="15" customHeight="1" x14ac:dyDescent="0.25">
      <c r="A756" t="str">
        <f>""</f>
        <v/>
      </c>
      <c r="B756" s="1"/>
      <c r="H756">
        <v>33.630000000000003</v>
      </c>
      <c r="L756" s="1"/>
      <c r="N756" s="1"/>
      <c r="V756" t="str">
        <f>"77184"</f>
        <v>77184</v>
      </c>
      <c r="W756">
        <v>0</v>
      </c>
      <c r="X756">
        <v>0</v>
      </c>
    </row>
    <row r="757" spans="1:24" ht="15" customHeight="1" x14ac:dyDescent="0.25">
      <c r="A757" t="str">
        <f>""</f>
        <v/>
      </c>
      <c r="B757" s="1"/>
      <c r="H757">
        <v>31.6</v>
      </c>
      <c r="L757" s="1"/>
      <c r="N757" s="1"/>
      <c r="V757" t="str">
        <f>"77184"</f>
        <v>77184</v>
      </c>
      <c r="W757">
        <v>0</v>
      </c>
      <c r="X757">
        <v>0</v>
      </c>
    </row>
    <row r="758" spans="1:24" ht="15" customHeight="1" x14ac:dyDescent="0.25">
      <c r="A758" t="str">
        <f>""</f>
        <v/>
      </c>
      <c r="B758" s="1"/>
      <c r="H758">
        <v>120.29</v>
      </c>
      <c r="J758" t="s">
        <v>20</v>
      </c>
      <c r="L758" s="1"/>
      <c r="N758" s="1"/>
      <c r="V758" t="str">
        <f>"27340"</f>
        <v>27340</v>
      </c>
      <c r="W758">
        <v>20.45</v>
      </c>
      <c r="X758">
        <v>0</v>
      </c>
    </row>
    <row r="759" spans="1:24" ht="15" customHeight="1" x14ac:dyDescent="0.25">
      <c r="A759" t="str">
        <f>""</f>
        <v/>
      </c>
      <c r="B759" s="1"/>
      <c r="H759">
        <v>153.51</v>
      </c>
      <c r="J759" t="s">
        <v>20</v>
      </c>
      <c r="L759" s="1"/>
      <c r="N759" s="1"/>
      <c r="V759" t="str">
        <f>"80000"</f>
        <v>80000</v>
      </c>
      <c r="W759">
        <v>29.17</v>
      </c>
      <c r="X759">
        <v>0</v>
      </c>
    </row>
    <row r="760" spans="1:24" ht="15" customHeight="1" x14ac:dyDescent="0.25">
      <c r="A760" t="str">
        <f>""</f>
        <v/>
      </c>
      <c r="B760" s="1"/>
      <c r="H760">
        <v>28.26</v>
      </c>
      <c r="J760" t="s">
        <v>19</v>
      </c>
      <c r="L760" s="1"/>
      <c r="N760" s="1"/>
      <c r="V760" t="str">
        <f>"75009"</f>
        <v>75009</v>
      </c>
      <c r="W760">
        <v>0</v>
      </c>
      <c r="X760">
        <v>0</v>
      </c>
    </row>
    <row r="761" spans="1:24" ht="15" customHeight="1" x14ac:dyDescent="0.25">
      <c r="A761" t="str">
        <f>""</f>
        <v/>
      </c>
      <c r="B761" s="1"/>
      <c r="H761">
        <v>40</v>
      </c>
      <c r="J761" t="s">
        <v>20</v>
      </c>
      <c r="L761" s="1"/>
      <c r="N761" s="1"/>
      <c r="V761" t="str">
        <f>"42000"</f>
        <v>42000</v>
      </c>
      <c r="W761">
        <v>10.8</v>
      </c>
      <c r="X761">
        <v>0</v>
      </c>
    </row>
    <row r="762" spans="1:24" ht="15" customHeight="1" x14ac:dyDescent="0.25">
      <c r="A762" t="str">
        <f>""</f>
        <v/>
      </c>
      <c r="B762" s="1"/>
      <c r="H762">
        <v>40</v>
      </c>
      <c r="J762" t="s">
        <v>23</v>
      </c>
      <c r="L762" s="1"/>
      <c r="N762" s="1"/>
      <c r="V762" t="str">
        <f>"49000"</f>
        <v>49000</v>
      </c>
      <c r="W762">
        <v>0</v>
      </c>
      <c r="X762">
        <v>0</v>
      </c>
    </row>
    <row r="763" spans="1:24" x14ac:dyDescent="0.25">
      <c r="A763" t="str">
        <f>""</f>
        <v/>
      </c>
      <c r="B763" s="1"/>
      <c r="H763">
        <v>140</v>
      </c>
      <c r="J763" t="s">
        <v>17</v>
      </c>
      <c r="L763" s="1"/>
      <c r="N763" s="1"/>
      <c r="V763" t="str">
        <f>"76700"</f>
        <v>76700</v>
      </c>
      <c r="W763">
        <v>0</v>
      </c>
      <c r="X763">
        <v>0</v>
      </c>
    </row>
    <row r="764" spans="1:24" ht="15" customHeight="1" x14ac:dyDescent="0.25">
      <c r="A764" t="str">
        <f>""</f>
        <v/>
      </c>
      <c r="B764" s="1"/>
      <c r="H764">
        <v>25.8</v>
      </c>
      <c r="J764" t="s">
        <v>19</v>
      </c>
      <c r="L764" s="1"/>
      <c r="N764" s="1"/>
      <c r="V764" t="str">
        <f>"38590"</f>
        <v>38590</v>
      </c>
      <c r="W764">
        <v>6.97</v>
      </c>
      <c r="X764">
        <v>0</v>
      </c>
    </row>
    <row r="765" spans="1:24" ht="15" customHeight="1" x14ac:dyDescent="0.25">
      <c r="A765" t="str">
        <f>""</f>
        <v/>
      </c>
      <c r="B765" s="1"/>
      <c r="H765">
        <v>70</v>
      </c>
      <c r="J765" t="s">
        <v>22</v>
      </c>
      <c r="L765" s="1"/>
      <c r="V765" t="str">
        <f>"13200"</f>
        <v>13200</v>
      </c>
      <c r="W765">
        <v>0</v>
      </c>
      <c r="X765">
        <v>0</v>
      </c>
    </row>
    <row r="766" spans="1:24" ht="15" customHeight="1" x14ac:dyDescent="0.25">
      <c r="A766" t="str">
        <f>""</f>
        <v/>
      </c>
      <c r="B766" s="1"/>
      <c r="H766">
        <v>54.4</v>
      </c>
      <c r="J766" t="s">
        <v>20</v>
      </c>
      <c r="L766" s="1"/>
      <c r="N766" s="1"/>
      <c r="V766" t="str">
        <f>"25000"</f>
        <v>25000</v>
      </c>
      <c r="W766">
        <v>13.06</v>
      </c>
      <c r="X766">
        <v>0</v>
      </c>
    </row>
    <row r="767" spans="1:24" ht="15" customHeight="1" x14ac:dyDescent="0.25">
      <c r="A767" t="str">
        <f>""</f>
        <v/>
      </c>
      <c r="B767" s="1"/>
      <c r="H767">
        <v>27.72</v>
      </c>
      <c r="L767" s="1"/>
      <c r="N767" s="1"/>
      <c r="V767" t="str">
        <f>"77184"</f>
        <v>77184</v>
      </c>
      <c r="W767">
        <v>0</v>
      </c>
      <c r="X767">
        <v>0</v>
      </c>
    </row>
    <row r="768" spans="1:24" x14ac:dyDescent="0.25">
      <c r="A768" t="str">
        <f>""</f>
        <v/>
      </c>
      <c r="B768" s="1"/>
      <c r="H768">
        <v>173.44</v>
      </c>
      <c r="J768" t="s">
        <v>15</v>
      </c>
      <c r="L768" s="1"/>
      <c r="N768" s="1"/>
      <c r="V768" t="str">
        <f>"73000"</f>
        <v>73000</v>
      </c>
      <c r="W768">
        <v>0</v>
      </c>
      <c r="X768">
        <v>0</v>
      </c>
    </row>
    <row r="769" spans="1:24" ht="15" customHeight="1" x14ac:dyDescent="0.25">
      <c r="A769" t="str">
        <f>""</f>
        <v/>
      </c>
      <c r="B769" s="1"/>
      <c r="H769">
        <v>33.35</v>
      </c>
      <c r="J769" t="s">
        <v>19</v>
      </c>
      <c r="L769" s="1"/>
      <c r="N769" s="1"/>
      <c r="V769" t="str">
        <f>"69005"</f>
        <v>69005</v>
      </c>
      <c r="W769">
        <v>9</v>
      </c>
      <c r="X769">
        <v>0</v>
      </c>
    </row>
    <row r="770" spans="1:24" ht="15" customHeight="1" x14ac:dyDescent="0.25">
      <c r="A770" t="str">
        <f>""</f>
        <v/>
      </c>
      <c r="B770" s="1"/>
      <c r="H770">
        <v>88.3</v>
      </c>
      <c r="J770" t="s">
        <v>23</v>
      </c>
      <c r="L770" s="1"/>
      <c r="V770" t="str">
        <f>"94270"</f>
        <v>94270</v>
      </c>
      <c r="W770">
        <v>0</v>
      </c>
      <c r="X770">
        <v>0</v>
      </c>
    </row>
    <row r="771" spans="1:24" ht="15" customHeight="1" x14ac:dyDescent="0.25">
      <c r="A771" t="str">
        <f>""</f>
        <v/>
      </c>
      <c r="B771" s="1"/>
      <c r="H771">
        <v>36.17</v>
      </c>
      <c r="J771" t="s">
        <v>20</v>
      </c>
      <c r="L771" s="1"/>
      <c r="N771" s="1"/>
      <c r="V771" t="str">
        <f>"50550"</f>
        <v>50550</v>
      </c>
      <c r="W771">
        <v>6.15</v>
      </c>
      <c r="X771">
        <v>0</v>
      </c>
    </row>
    <row r="772" spans="1:24" x14ac:dyDescent="0.25">
      <c r="A772" t="str">
        <f>""</f>
        <v/>
      </c>
      <c r="B772" s="1"/>
      <c r="H772">
        <v>124.04</v>
      </c>
      <c r="J772" t="s">
        <v>17</v>
      </c>
      <c r="L772" s="1"/>
      <c r="N772" s="1"/>
      <c r="V772" t="str">
        <f>"92200"</f>
        <v>92200</v>
      </c>
      <c r="W772">
        <v>0</v>
      </c>
      <c r="X772">
        <v>0</v>
      </c>
    </row>
    <row r="773" spans="1:24" ht="15" customHeight="1" x14ac:dyDescent="0.25">
      <c r="A773" t="str">
        <f>""</f>
        <v/>
      </c>
      <c r="B773" s="1"/>
      <c r="H773">
        <v>225.07</v>
      </c>
      <c r="J773" t="s">
        <v>22</v>
      </c>
      <c r="L773" s="1"/>
      <c r="N773" s="1"/>
      <c r="V773" t="str">
        <f>"69006"</f>
        <v>69006</v>
      </c>
      <c r="W773">
        <v>0</v>
      </c>
      <c r="X773">
        <v>0</v>
      </c>
    </row>
    <row r="774" spans="1:24" ht="15" customHeight="1" x14ac:dyDescent="0.25">
      <c r="A774" t="str">
        <f>""</f>
        <v/>
      </c>
      <c r="B774" s="1"/>
      <c r="H774">
        <v>140</v>
      </c>
      <c r="J774" t="s">
        <v>22</v>
      </c>
      <c r="L774" s="1"/>
      <c r="N774" s="1"/>
      <c r="V774" t="str">
        <f>"05320"</f>
        <v>05320</v>
      </c>
      <c r="W774">
        <v>30</v>
      </c>
      <c r="X774">
        <v>0</v>
      </c>
    </row>
    <row r="775" spans="1:24" ht="15" customHeight="1" x14ac:dyDescent="0.25">
      <c r="A775" t="str">
        <f>""</f>
        <v/>
      </c>
      <c r="B775" s="1"/>
      <c r="H775">
        <v>219.88</v>
      </c>
      <c r="J775" t="s">
        <v>23</v>
      </c>
      <c r="L775" s="1"/>
      <c r="V775" t="str">
        <f>"73200"</f>
        <v>73200</v>
      </c>
      <c r="W775">
        <v>0</v>
      </c>
      <c r="X775">
        <v>0</v>
      </c>
    </row>
    <row r="776" spans="1:24" ht="15" customHeight="1" x14ac:dyDescent="0.25">
      <c r="A776" t="str">
        <f>""</f>
        <v/>
      </c>
      <c r="B776" s="1"/>
      <c r="H776">
        <v>70</v>
      </c>
      <c r="J776" t="s">
        <v>22</v>
      </c>
      <c r="L776" s="1"/>
      <c r="N776" s="1"/>
      <c r="V776" t="str">
        <f>"89190"</f>
        <v>89190</v>
      </c>
      <c r="W776">
        <v>0</v>
      </c>
      <c r="X776">
        <v>8.4</v>
      </c>
    </row>
    <row r="777" spans="1:24" ht="15" customHeight="1" x14ac:dyDescent="0.25">
      <c r="A777" t="str">
        <f>""</f>
        <v/>
      </c>
      <c r="B777" s="1"/>
      <c r="H777">
        <v>70</v>
      </c>
      <c r="J777" t="s">
        <v>22</v>
      </c>
      <c r="L777" s="1"/>
      <c r="V777" t="str">
        <f>"39570"</f>
        <v>39570</v>
      </c>
      <c r="W777">
        <v>0</v>
      </c>
      <c r="X777">
        <v>0</v>
      </c>
    </row>
    <row r="778" spans="1:24" ht="15" customHeight="1" x14ac:dyDescent="0.25">
      <c r="A778" t="str">
        <f>""</f>
        <v/>
      </c>
      <c r="B778" s="1"/>
      <c r="H778">
        <v>54.2</v>
      </c>
      <c r="J778" t="s">
        <v>23</v>
      </c>
      <c r="L778" s="1"/>
      <c r="V778" t="str">
        <f>"84100"</f>
        <v>84100</v>
      </c>
      <c r="W778">
        <v>0</v>
      </c>
      <c r="X778">
        <v>0</v>
      </c>
    </row>
    <row r="779" spans="1:24" ht="15" customHeight="1" x14ac:dyDescent="0.25">
      <c r="A779" t="str">
        <f>""</f>
        <v/>
      </c>
      <c r="B779" s="1"/>
      <c r="H779">
        <v>40</v>
      </c>
      <c r="J779" t="s">
        <v>22</v>
      </c>
      <c r="L779" s="1"/>
      <c r="V779" t="str">
        <f>"63200"</f>
        <v>63200</v>
      </c>
      <c r="W779">
        <v>0</v>
      </c>
      <c r="X779">
        <v>0</v>
      </c>
    </row>
    <row r="780" spans="1:24" ht="15" customHeight="1" x14ac:dyDescent="0.25">
      <c r="A780" t="str">
        <f>""</f>
        <v/>
      </c>
      <c r="B780" s="1"/>
      <c r="H780">
        <v>140</v>
      </c>
      <c r="J780" t="s">
        <v>22</v>
      </c>
      <c r="L780" s="1"/>
      <c r="N780" s="1"/>
      <c r="V780" t="str">
        <f>"51150"</f>
        <v>51150</v>
      </c>
      <c r="W780">
        <v>0</v>
      </c>
      <c r="X780">
        <v>35</v>
      </c>
    </row>
    <row r="781" spans="1:24" ht="15" customHeight="1" x14ac:dyDescent="0.25">
      <c r="A781" t="str">
        <f>""</f>
        <v/>
      </c>
      <c r="B781" s="1"/>
      <c r="H781">
        <v>180</v>
      </c>
      <c r="J781" t="s">
        <v>22</v>
      </c>
      <c r="L781" s="1"/>
      <c r="N781" s="1"/>
      <c r="V781" t="str">
        <f>"55190"</f>
        <v>55190</v>
      </c>
      <c r="W781">
        <v>0</v>
      </c>
      <c r="X781">
        <v>45</v>
      </c>
    </row>
    <row r="782" spans="1:24" ht="15" customHeight="1" x14ac:dyDescent="0.25">
      <c r="A782" t="str">
        <f>""</f>
        <v/>
      </c>
      <c r="B782" s="1"/>
      <c r="H782">
        <v>159.22</v>
      </c>
      <c r="J782" t="s">
        <v>20</v>
      </c>
      <c r="L782" s="1"/>
      <c r="N782" s="1"/>
      <c r="V782" t="str">
        <f>"06000"</f>
        <v>06000</v>
      </c>
      <c r="W782">
        <v>47.77</v>
      </c>
      <c r="X782">
        <v>0</v>
      </c>
    </row>
    <row r="783" spans="1:24" ht="15" customHeight="1" x14ac:dyDescent="0.25">
      <c r="A783" t="str">
        <f>""</f>
        <v/>
      </c>
      <c r="B783" s="1"/>
      <c r="H783">
        <v>25</v>
      </c>
      <c r="J783" t="s">
        <v>22</v>
      </c>
      <c r="L783" s="1"/>
      <c r="V783" t="str">
        <f>"70000"</f>
        <v>70000</v>
      </c>
      <c r="W783">
        <v>0</v>
      </c>
      <c r="X783">
        <v>0</v>
      </c>
    </row>
    <row r="784" spans="1:24" ht="15" customHeight="1" x14ac:dyDescent="0.25">
      <c r="A784" t="str">
        <f>""</f>
        <v/>
      </c>
      <c r="B784" s="1"/>
      <c r="H784">
        <v>22.5</v>
      </c>
      <c r="J784" t="s">
        <v>22</v>
      </c>
      <c r="L784" s="1"/>
      <c r="V784" t="str">
        <f>"70000"</f>
        <v>70000</v>
      </c>
      <c r="W784">
        <v>0</v>
      </c>
      <c r="X784">
        <v>0</v>
      </c>
    </row>
    <row r="785" spans="1:24" x14ac:dyDescent="0.25">
      <c r="A785" t="str">
        <f>""</f>
        <v/>
      </c>
      <c r="B785" s="1"/>
      <c r="H785">
        <v>52.5</v>
      </c>
      <c r="J785" t="s">
        <v>15</v>
      </c>
      <c r="L785" s="1"/>
      <c r="N785" s="1"/>
      <c r="V785" t="str">
        <f>"69007"</f>
        <v>69007</v>
      </c>
      <c r="W785">
        <v>0</v>
      </c>
      <c r="X785">
        <v>0</v>
      </c>
    </row>
    <row r="786" spans="1:24" ht="15" customHeight="1" x14ac:dyDescent="0.25">
      <c r="A786" t="str">
        <f>""</f>
        <v/>
      </c>
      <c r="B786" s="1"/>
      <c r="H786">
        <v>83</v>
      </c>
      <c r="J786" t="s">
        <v>22</v>
      </c>
      <c r="L786" s="1"/>
      <c r="N786" s="1"/>
      <c r="V786" t="str">
        <f>"69200"</f>
        <v>69200</v>
      </c>
      <c r="W786">
        <v>0</v>
      </c>
      <c r="X786">
        <v>0</v>
      </c>
    </row>
    <row r="787" spans="1:24" x14ac:dyDescent="0.25">
      <c r="A787" t="str">
        <f>""</f>
        <v/>
      </c>
      <c r="B787" s="1"/>
      <c r="H787">
        <v>103.6</v>
      </c>
      <c r="J787" t="s">
        <v>16</v>
      </c>
      <c r="L787" s="1"/>
      <c r="N787" s="1"/>
      <c r="V787" t="str">
        <f>"68350"</f>
        <v>68350</v>
      </c>
      <c r="W787">
        <v>0</v>
      </c>
      <c r="X787">
        <v>0</v>
      </c>
    </row>
    <row r="788" spans="1:24" ht="15" customHeight="1" x14ac:dyDescent="0.25">
      <c r="A788" t="str">
        <f>""</f>
        <v/>
      </c>
      <c r="B788" s="1"/>
      <c r="H788">
        <v>69.5</v>
      </c>
      <c r="L788" s="1"/>
      <c r="N788" s="1"/>
      <c r="V788" t="str">
        <f>"77184"</f>
        <v>77184</v>
      </c>
      <c r="W788">
        <v>0</v>
      </c>
      <c r="X788">
        <v>0</v>
      </c>
    </row>
    <row r="789" spans="1:24" x14ac:dyDescent="0.25">
      <c r="A789" t="str">
        <f>""</f>
        <v/>
      </c>
      <c r="B789" s="1"/>
      <c r="H789">
        <v>108.52</v>
      </c>
      <c r="J789" t="s">
        <v>17</v>
      </c>
      <c r="L789" s="1"/>
      <c r="N789" s="1"/>
      <c r="V789" t="str">
        <f>"63100"</f>
        <v>63100</v>
      </c>
      <c r="W789">
        <v>0</v>
      </c>
      <c r="X789">
        <v>0</v>
      </c>
    </row>
    <row r="790" spans="1:24" x14ac:dyDescent="0.25">
      <c r="A790" t="str">
        <f>""</f>
        <v/>
      </c>
      <c r="B790" s="1"/>
      <c r="H790">
        <v>30</v>
      </c>
      <c r="J790" t="s">
        <v>15</v>
      </c>
      <c r="L790" s="1"/>
      <c r="N790" s="1"/>
      <c r="V790" t="str">
        <f>"63000"</f>
        <v>63000</v>
      </c>
      <c r="W790">
        <v>0</v>
      </c>
      <c r="X790">
        <v>8.6999999999999993</v>
      </c>
    </row>
    <row r="791" spans="1:24" ht="15" customHeight="1" x14ac:dyDescent="0.25">
      <c r="A791" t="str">
        <f>""</f>
        <v/>
      </c>
      <c r="B791" s="1"/>
      <c r="H791">
        <v>20.23</v>
      </c>
      <c r="J791" t="s">
        <v>19</v>
      </c>
      <c r="L791" s="1"/>
      <c r="N791" s="1"/>
      <c r="V791" t="str">
        <f>"73200"</f>
        <v>73200</v>
      </c>
      <c r="W791">
        <v>5.46</v>
      </c>
      <c r="X791">
        <v>0</v>
      </c>
    </row>
    <row r="792" spans="1:24" ht="15" customHeight="1" x14ac:dyDescent="0.25">
      <c r="A792" t="str">
        <f>""</f>
        <v/>
      </c>
      <c r="B792" s="1"/>
      <c r="H792">
        <v>49.08</v>
      </c>
      <c r="J792" t="s">
        <v>19</v>
      </c>
      <c r="L792" s="1"/>
      <c r="N792" s="1"/>
      <c r="V792" t="str">
        <f>"56920"</f>
        <v>56920</v>
      </c>
      <c r="W792">
        <v>13.25</v>
      </c>
      <c r="X792">
        <v>0</v>
      </c>
    </row>
    <row r="793" spans="1:24" ht="15" customHeight="1" x14ac:dyDescent="0.25">
      <c r="A793" t="str">
        <f>""</f>
        <v/>
      </c>
      <c r="B793" s="1"/>
      <c r="H793">
        <v>140</v>
      </c>
      <c r="J793" t="s">
        <v>23</v>
      </c>
      <c r="L793" s="1"/>
      <c r="N793" s="1"/>
      <c r="V793" t="str">
        <f>"62600"</f>
        <v>62600</v>
      </c>
      <c r="W793">
        <v>0</v>
      </c>
      <c r="X793">
        <v>0</v>
      </c>
    </row>
    <row r="794" spans="1:24" ht="15" customHeight="1" x14ac:dyDescent="0.25">
      <c r="A794" t="str">
        <f>""</f>
        <v/>
      </c>
      <c r="B794" s="1"/>
      <c r="H794">
        <v>17</v>
      </c>
      <c r="J794" t="s">
        <v>23</v>
      </c>
      <c r="L794" s="1"/>
      <c r="N794" s="1"/>
      <c r="V794" t="str">
        <f>"57180"</f>
        <v>57180</v>
      </c>
      <c r="W794">
        <v>0</v>
      </c>
      <c r="X794">
        <v>4.25</v>
      </c>
    </row>
    <row r="795" spans="1:24" ht="15" customHeight="1" x14ac:dyDescent="0.25">
      <c r="A795" t="str">
        <f>""</f>
        <v/>
      </c>
      <c r="B795" s="1"/>
      <c r="H795">
        <v>134.18</v>
      </c>
      <c r="J795" t="s">
        <v>20</v>
      </c>
      <c r="L795" s="1"/>
      <c r="N795" s="1"/>
      <c r="V795" t="str">
        <f>"76230"</f>
        <v>76230</v>
      </c>
      <c r="W795">
        <v>22.81</v>
      </c>
      <c r="X795">
        <v>0</v>
      </c>
    </row>
    <row r="796" spans="1:24" ht="15" customHeight="1" x14ac:dyDescent="0.25">
      <c r="A796" t="str">
        <f>""</f>
        <v/>
      </c>
      <c r="B796" s="1"/>
      <c r="H796">
        <v>31.6</v>
      </c>
      <c r="L796" s="1"/>
      <c r="N796" s="1"/>
      <c r="V796" t="str">
        <f>"77184"</f>
        <v>77184</v>
      </c>
      <c r="W796">
        <v>0</v>
      </c>
      <c r="X796">
        <v>0</v>
      </c>
    </row>
    <row r="797" spans="1:24" ht="15" customHeight="1" x14ac:dyDescent="0.25">
      <c r="A797" t="str">
        <f>""</f>
        <v/>
      </c>
      <c r="B797" s="1"/>
      <c r="H797">
        <v>33.630000000000003</v>
      </c>
      <c r="L797" s="1"/>
      <c r="N797" s="1"/>
      <c r="V797" t="str">
        <f>"77184"</f>
        <v>77184</v>
      </c>
      <c r="W797">
        <v>0</v>
      </c>
      <c r="X797">
        <v>0</v>
      </c>
    </row>
    <row r="798" spans="1:24" ht="15" customHeight="1" x14ac:dyDescent="0.25">
      <c r="A798" t="str">
        <f>""</f>
        <v/>
      </c>
      <c r="B798" s="1"/>
      <c r="H798">
        <v>107.6</v>
      </c>
      <c r="J798" t="s">
        <v>19</v>
      </c>
      <c r="L798" s="1"/>
      <c r="N798" s="1"/>
      <c r="V798" t="str">
        <f>"75014"</f>
        <v>75014</v>
      </c>
      <c r="W798">
        <v>0</v>
      </c>
      <c r="X798">
        <v>0</v>
      </c>
    </row>
    <row r="799" spans="1:24" x14ac:dyDescent="0.25">
      <c r="A799" t="str">
        <f>""</f>
        <v/>
      </c>
      <c r="B799" s="1"/>
      <c r="H799">
        <v>32</v>
      </c>
      <c r="J799" t="s">
        <v>16</v>
      </c>
      <c r="L799" s="1"/>
      <c r="V799" t="str">
        <f>"51100"</f>
        <v>51100</v>
      </c>
      <c r="W799">
        <v>0</v>
      </c>
      <c r="X799">
        <v>0</v>
      </c>
    </row>
    <row r="800" spans="1:24" x14ac:dyDescent="0.25">
      <c r="A800" t="str">
        <f>""</f>
        <v/>
      </c>
      <c r="B800" s="1"/>
      <c r="H800">
        <v>172.66</v>
      </c>
      <c r="J800" t="s">
        <v>15</v>
      </c>
      <c r="L800" s="1"/>
      <c r="N800" s="1"/>
      <c r="V800" t="str">
        <f>"44800"</f>
        <v>44800</v>
      </c>
      <c r="W800">
        <v>0</v>
      </c>
      <c r="X800">
        <v>0</v>
      </c>
    </row>
    <row r="801" spans="1:24" ht="15" customHeight="1" x14ac:dyDescent="0.25">
      <c r="A801" t="str">
        <f>""</f>
        <v/>
      </c>
      <c r="B801" s="1"/>
      <c r="H801">
        <v>84.5</v>
      </c>
      <c r="L801" s="1"/>
      <c r="N801" s="1"/>
      <c r="V801" t="str">
        <f>"77184"</f>
        <v>77184</v>
      </c>
      <c r="W801">
        <v>0</v>
      </c>
      <c r="X801">
        <v>0</v>
      </c>
    </row>
    <row r="802" spans="1:24" ht="15" customHeight="1" x14ac:dyDescent="0.25">
      <c r="A802" t="str">
        <f>""</f>
        <v/>
      </c>
      <c r="B802" s="1"/>
      <c r="H802">
        <v>102.68</v>
      </c>
      <c r="J802" t="s">
        <v>20</v>
      </c>
      <c r="L802" s="1"/>
      <c r="N802" s="1"/>
      <c r="V802" t="str">
        <f>"22400"</f>
        <v>22400</v>
      </c>
      <c r="W802">
        <v>40.049999999999997</v>
      </c>
      <c r="X802">
        <v>0</v>
      </c>
    </row>
    <row r="803" spans="1:24" ht="15" customHeight="1" x14ac:dyDescent="0.25">
      <c r="A803" t="str">
        <f>""</f>
        <v/>
      </c>
      <c r="B803" s="1"/>
      <c r="H803">
        <v>31.6</v>
      </c>
      <c r="L803" s="1"/>
      <c r="N803" s="1"/>
      <c r="V803" t="str">
        <f>"77184"</f>
        <v>77184</v>
      </c>
      <c r="W803">
        <v>0</v>
      </c>
      <c r="X803">
        <v>0</v>
      </c>
    </row>
    <row r="804" spans="1:24" ht="15" customHeight="1" x14ac:dyDescent="0.25">
      <c r="A804" t="str">
        <f>""</f>
        <v/>
      </c>
      <c r="B804" s="1"/>
      <c r="H804">
        <v>122.94</v>
      </c>
      <c r="J804" t="s">
        <v>20</v>
      </c>
      <c r="L804" s="1"/>
      <c r="N804" s="1"/>
      <c r="V804" t="str">
        <f>"57000"</f>
        <v>57000</v>
      </c>
      <c r="W804">
        <v>30.74</v>
      </c>
      <c r="X804">
        <v>0</v>
      </c>
    </row>
    <row r="805" spans="1:24" ht="15" customHeight="1" x14ac:dyDescent="0.25">
      <c r="A805" t="str">
        <f>""</f>
        <v/>
      </c>
      <c r="B805" s="1"/>
      <c r="H805">
        <v>40.93</v>
      </c>
      <c r="L805" s="1"/>
      <c r="N805" s="1"/>
      <c r="V805" t="str">
        <f>"77184"</f>
        <v>77184</v>
      </c>
      <c r="W805">
        <v>0</v>
      </c>
      <c r="X805">
        <v>0</v>
      </c>
    </row>
    <row r="806" spans="1:24" ht="15" customHeight="1" x14ac:dyDescent="0.25">
      <c r="A806" t="str">
        <f>""</f>
        <v/>
      </c>
      <c r="B806" s="1"/>
      <c r="H806">
        <v>146.52000000000001</v>
      </c>
      <c r="L806" s="1"/>
      <c r="N806" s="1"/>
      <c r="V806" t="str">
        <f>"77184"</f>
        <v>77184</v>
      </c>
      <c r="W806">
        <v>0</v>
      </c>
      <c r="X806">
        <v>0</v>
      </c>
    </row>
    <row r="807" spans="1:24" ht="15" customHeight="1" x14ac:dyDescent="0.25">
      <c r="A807" t="str">
        <f>""</f>
        <v/>
      </c>
      <c r="B807" s="1"/>
      <c r="H807">
        <v>68.3</v>
      </c>
      <c r="L807" s="1"/>
      <c r="N807" s="1"/>
      <c r="V807" t="str">
        <f>"77184"</f>
        <v>77184</v>
      </c>
      <c r="W807">
        <v>0</v>
      </c>
      <c r="X807">
        <v>0</v>
      </c>
    </row>
    <row r="808" spans="1:24" ht="15" customHeight="1" x14ac:dyDescent="0.25">
      <c r="A808" t="str">
        <f>""</f>
        <v/>
      </c>
      <c r="B808" s="1"/>
      <c r="H808">
        <v>20.51</v>
      </c>
      <c r="J808" t="s">
        <v>20</v>
      </c>
      <c r="L808" s="1"/>
      <c r="N808" s="1"/>
      <c r="V808" t="str">
        <f>"75009"</f>
        <v>75009</v>
      </c>
      <c r="W808">
        <v>0</v>
      </c>
      <c r="X808">
        <v>0</v>
      </c>
    </row>
    <row r="809" spans="1:24" x14ac:dyDescent="0.25">
      <c r="A809" t="str">
        <f>""</f>
        <v/>
      </c>
      <c r="B809" s="1"/>
      <c r="H809">
        <v>151</v>
      </c>
      <c r="J809" t="s">
        <v>16</v>
      </c>
      <c r="L809" s="1"/>
      <c r="N809" s="1"/>
      <c r="V809" t="str">
        <f>"44240"</f>
        <v>44240</v>
      </c>
      <c r="W809">
        <v>40.770000000000003</v>
      </c>
      <c r="X809">
        <v>0</v>
      </c>
    </row>
    <row r="810" spans="1:24" ht="15" customHeight="1" x14ac:dyDescent="0.25">
      <c r="A810" t="str">
        <f>""</f>
        <v/>
      </c>
      <c r="B810" s="1"/>
      <c r="H810">
        <v>250</v>
      </c>
      <c r="J810" t="s">
        <v>23</v>
      </c>
      <c r="L810" s="1"/>
      <c r="N810" s="1"/>
      <c r="V810" t="str">
        <f>"62000"</f>
        <v>62000</v>
      </c>
      <c r="W810">
        <v>0</v>
      </c>
      <c r="X810">
        <v>0</v>
      </c>
    </row>
    <row r="811" spans="1:24" x14ac:dyDescent="0.25">
      <c r="A811" t="str">
        <f>""</f>
        <v/>
      </c>
      <c r="B811" s="1"/>
      <c r="H811">
        <v>131.74</v>
      </c>
      <c r="J811" t="s">
        <v>18</v>
      </c>
      <c r="L811" s="1"/>
      <c r="N811" s="1"/>
      <c r="V811" t="str">
        <f>"31240"</f>
        <v>31240</v>
      </c>
      <c r="W811">
        <v>0</v>
      </c>
      <c r="X811">
        <v>0</v>
      </c>
    </row>
    <row r="812" spans="1:24" ht="15" customHeight="1" x14ac:dyDescent="0.25">
      <c r="A812" t="str">
        <f>""</f>
        <v/>
      </c>
      <c r="B812" s="1"/>
      <c r="H812">
        <v>107.72</v>
      </c>
      <c r="J812" t="s">
        <v>19</v>
      </c>
      <c r="L812" s="1"/>
      <c r="N812" s="1"/>
      <c r="V812" t="str">
        <f>"13790"</f>
        <v>13790</v>
      </c>
      <c r="W812">
        <v>31.24</v>
      </c>
      <c r="X812">
        <v>0</v>
      </c>
    </row>
    <row r="813" spans="1:24" ht="15" customHeight="1" x14ac:dyDescent="0.25">
      <c r="A813" t="str">
        <f>""</f>
        <v/>
      </c>
      <c r="B813" s="1"/>
      <c r="H813">
        <v>5.6</v>
      </c>
      <c r="J813" t="s">
        <v>20</v>
      </c>
      <c r="L813" s="1"/>
      <c r="N813" s="1"/>
      <c r="V813" t="str">
        <f>"76100"</f>
        <v>76100</v>
      </c>
      <c r="W813">
        <v>0.95</v>
      </c>
      <c r="X813">
        <v>0</v>
      </c>
    </row>
    <row r="814" spans="1:24" ht="15" customHeight="1" x14ac:dyDescent="0.25">
      <c r="A814" t="str">
        <f>""</f>
        <v/>
      </c>
      <c r="B814" s="1"/>
      <c r="H814">
        <v>140</v>
      </c>
      <c r="J814" t="s">
        <v>22</v>
      </c>
      <c r="L814" s="1"/>
      <c r="V814" t="str">
        <f>"62180"</f>
        <v>62180</v>
      </c>
      <c r="W814">
        <v>0</v>
      </c>
      <c r="X814">
        <v>0</v>
      </c>
    </row>
    <row r="815" spans="1:24" ht="15" customHeight="1" x14ac:dyDescent="0.25">
      <c r="A815" t="str">
        <f>""</f>
        <v/>
      </c>
      <c r="B815" s="1"/>
      <c r="H815">
        <v>153.97999999999999</v>
      </c>
      <c r="J815" t="s">
        <v>23</v>
      </c>
      <c r="L815" s="1"/>
      <c r="N815" s="1"/>
      <c r="V815" t="str">
        <f>"67850"</f>
        <v>67850</v>
      </c>
      <c r="W815">
        <v>0</v>
      </c>
      <c r="X815">
        <v>12.32</v>
      </c>
    </row>
    <row r="816" spans="1:24" ht="15" customHeight="1" x14ac:dyDescent="0.25">
      <c r="A816" t="str">
        <f>""</f>
        <v/>
      </c>
      <c r="B816" s="1"/>
      <c r="H816">
        <v>180</v>
      </c>
      <c r="J816" t="s">
        <v>23</v>
      </c>
      <c r="L816" s="1"/>
      <c r="N816" s="1"/>
      <c r="V816" t="str">
        <f>"62600"</f>
        <v>62600</v>
      </c>
      <c r="W816">
        <v>0</v>
      </c>
      <c r="X816">
        <v>0</v>
      </c>
    </row>
    <row r="817" spans="1:24" ht="15" customHeight="1" x14ac:dyDescent="0.25">
      <c r="A817" t="str">
        <f>""</f>
        <v/>
      </c>
      <c r="B817" s="1"/>
      <c r="H817">
        <v>119.94</v>
      </c>
      <c r="J817" t="s">
        <v>23</v>
      </c>
      <c r="L817" s="1"/>
      <c r="N817" s="1"/>
      <c r="V817" t="str">
        <f>"75010"</f>
        <v>75010</v>
      </c>
      <c r="W817">
        <v>0</v>
      </c>
      <c r="X817">
        <v>0</v>
      </c>
    </row>
    <row r="818" spans="1:24" ht="15" customHeight="1" x14ac:dyDescent="0.25">
      <c r="A818" t="str">
        <f>""</f>
        <v/>
      </c>
      <c r="B818" s="1"/>
      <c r="H818">
        <v>201.39</v>
      </c>
      <c r="J818" t="s">
        <v>22</v>
      </c>
      <c r="L818" s="1"/>
      <c r="V818" t="str">
        <f>"35470"</f>
        <v>35470</v>
      </c>
      <c r="W818">
        <v>0</v>
      </c>
      <c r="X818">
        <v>0</v>
      </c>
    </row>
    <row r="819" spans="1:24" ht="15" customHeight="1" x14ac:dyDescent="0.25">
      <c r="A819" t="str">
        <f>""</f>
        <v/>
      </c>
      <c r="B819" s="1"/>
      <c r="H819">
        <v>105.02</v>
      </c>
      <c r="J819" t="s">
        <v>19</v>
      </c>
      <c r="L819" s="1"/>
      <c r="N819" s="1"/>
      <c r="V819" t="str">
        <f>"59720"</f>
        <v>59720</v>
      </c>
      <c r="W819">
        <v>19.95</v>
      </c>
      <c r="X819">
        <v>0</v>
      </c>
    </row>
    <row r="820" spans="1:24" ht="15" customHeight="1" x14ac:dyDescent="0.25">
      <c r="A820" t="str">
        <f>""</f>
        <v/>
      </c>
      <c r="B820" s="1"/>
      <c r="H820">
        <v>19.8</v>
      </c>
      <c r="J820" t="s">
        <v>19</v>
      </c>
      <c r="L820" s="1"/>
      <c r="N820" s="1"/>
      <c r="V820" t="str">
        <f>"55270"</f>
        <v>55270</v>
      </c>
      <c r="W820">
        <v>4.95</v>
      </c>
      <c r="X820">
        <v>0</v>
      </c>
    </row>
    <row r="821" spans="1:24" ht="15" customHeight="1" x14ac:dyDescent="0.25">
      <c r="A821" t="str">
        <f>""</f>
        <v/>
      </c>
      <c r="B821" s="1"/>
      <c r="H821">
        <v>68.3</v>
      </c>
      <c r="J821" t="s">
        <v>23</v>
      </c>
      <c r="L821" s="1"/>
      <c r="N821" s="1"/>
      <c r="V821" t="str">
        <f>"68000"</f>
        <v>68000</v>
      </c>
      <c r="W821">
        <v>0</v>
      </c>
      <c r="X821">
        <v>5.46</v>
      </c>
    </row>
    <row r="822" spans="1:24" ht="15" customHeight="1" x14ac:dyDescent="0.25">
      <c r="A822" t="str">
        <f>""</f>
        <v/>
      </c>
      <c r="B822" s="1"/>
      <c r="H822">
        <v>151</v>
      </c>
      <c r="J822" t="s">
        <v>22</v>
      </c>
      <c r="L822" s="1"/>
      <c r="N822" s="1"/>
      <c r="V822" t="str">
        <f>"50200"</f>
        <v>50200</v>
      </c>
      <c r="W822">
        <v>0</v>
      </c>
      <c r="X822">
        <v>0</v>
      </c>
    </row>
    <row r="823" spans="1:24" ht="15" customHeight="1" x14ac:dyDescent="0.25">
      <c r="A823" t="str">
        <f>""</f>
        <v/>
      </c>
      <c r="B823" s="1"/>
      <c r="H823">
        <v>33.35</v>
      </c>
      <c r="J823" t="s">
        <v>19</v>
      </c>
      <c r="L823" s="1"/>
      <c r="N823" s="1"/>
      <c r="V823" t="str">
        <f>"69005"</f>
        <v>69005</v>
      </c>
      <c r="W823">
        <v>9</v>
      </c>
      <c r="X823">
        <v>0</v>
      </c>
    </row>
    <row r="824" spans="1:24" ht="15" customHeight="1" x14ac:dyDescent="0.25">
      <c r="A824" t="str">
        <f>""</f>
        <v/>
      </c>
      <c r="B824" s="1"/>
      <c r="H824">
        <v>33.35</v>
      </c>
      <c r="J824" t="s">
        <v>20</v>
      </c>
      <c r="L824" s="1"/>
      <c r="N824" s="1"/>
      <c r="V824" t="str">
        <f>"69005"</f>
        <v>69005</v>
      </c>
      <c r="W824">
        <v>9</v>
      </c>
      <c r="X824">
        <v>0</v>
      </c>
    </row>
    <row r="825" spans="1:24" x14ac:dyDescent="0.25">
      <c r="A825" t="str">
        <f>""</f>
        <v/>
      </c>
      <c r="B825" s="1"/>
      <c r="H825">
        <v>284</v>
      </c>
      <c r="J825" t="s">
        <v>15</v>
      </c>
      <c r="L825" s="1"/>
      <c r="N825" s="1"/>
      <c r="V825" t="str">
        <f>"94150"</f>
        <v>94150</v>
      </c>
      <c r="W825">
        <v>0</v>
      </c>
      <c r="X825">
        <v>0</v>
      </c>
    </row>
    <row r="826" spans="1:24" ht="15" customHeight="1" x14ac:dyDescent="0.25">
      <c r="A826" t="str">
        <f>""</f>
        <v/>
      </c>
      <c r="B826" s="1"/>
      <c r="H826">
        <v>202.33</v>
      </c>
      <c r="J826" t="s">
        <v>23</v>
      </c>
      <c r="L826" s="1"/>
      <c r="N826" s="1"/>
      <c r="V826" t="str">
        <f>"75015"</f>
        <v>75015</v>
      </c>
      <c r="W826">
        <v>0</v>
      </c>
      <c r="X826">
        <v>0</v>
      </c>
    </row>
    <row r="827" spans="1:24" x14ac:dyDescent="0.25">
      <c r="A827" t="str">
        <f>""</f>
        <v/>
      </c>
      <c r="B827" s="1"/>
      <c r="H827">
        <v>67.599999999999994</v>
      </c>
      <c r="J827" t="s">
        <v>18</v>
      </c>
      <c r="L827" s="1"/>
      <c r="N827" s="1"/>
      <c r="V827" t="str">
        <f>"37550"</f>
        <v>37550</v>
      </c>
      <c r="W827">
        <v>0</v>
      </c>
      <c r="X827">
        <v>0</v>
      </c>
    </row>
    <row r="828" spans="1:24" ht="15" customHeight="1" x14ac:dyDescent="0.25">
      <c r="A828" t="str">
        <f>""</f>
        <v/>
      </c>
      <c r="B828" s="1"/>
      <c r="H828">
        <v>31</v>
      </c>
      <c r="L828" s="1"/>
      <c r="N828" s="1"/>
      <c r="V828" t="str">
        <f>"77184"</f>
        <v>77184</v>
      </c>
      <c r="W828">
        <v>0</v>
      </c>
      <c r="X828">
        <v>0</v>
      </c>
    </row>
    <row r="829" spans="1:24" ht="15" customHeight="1" x14ac:dyDescent="0.25">
      <c r="A829" t="str">
        <f>""</f>
        <v/>
      </c>
      <c r="B829" s="1"/>
      <c r="H829">
        <v>29.89</v>
      </c>
      <c r="J829" t="s">
        <v>22</v>
      </c>
      <c r="L829" s="1"/>
      <c r="V829" t="str">
        <f>"39500"</f>
        <v>39500</v>
      </c>
      <c r="W829">
        <v>0</v>
      </c>
      <c r="X829">
        <v>0</v>
      </c>
    </row>
    <row r="830" spans="1:24" ht="15" customHeight="1" x14ac:dyDescent="0.25">
      <c r="A830" t="str">
        <f>""</f>
        <v/>
      </c>
      <c r="B830" s="1"/>
      <c r="H830">
        <v>151</v>
      </c>
      <c r="J830" t="s">
        <v>23</v>
      </c>
      <c r="L830" s="1"/>
      <c r="V830" t="str">
        <f>"7013"</f>
        <v>7013</v>
      </c>
      <c r="W830">
        <v>0</v>
      </c>
      <c r="X830">
        <v>0</v>
      </c>
    </row>
    <row r="831" spans="1:24" ht="15" customHeight="1" x14ac:dyDescent="0.25">
      <c r="A831" t="str">
        <f>""</f>
        <v/>
      </c>
      <c r="B831" s="1"/>
      <c r="H831">
        <v>140</v>
      </c>
      <c r="J831" t="s">
        <v>23</v>
      </c>
      <c r="L831" s="1"/>
      <c r="N831" s="1"/>
      <c r="V831" t="str">
        <f>"88500"</f>
        <v>88500</v>
      </c>
      <c r="W831">
        <v>0</v>
      </c>
      <c r="X831">
        <v>11.2</v>
      </c>
    </row>
    <row r="832" spans="1:24" ht="15" customHeight="1" x14ac:dyDescent="0.25">
      <c r="A832" t="str">
        <f>""</f>
        <v/>
      </c>
      <c r="B832" s="1"/>
      <c r="H832">
        <v>1149.19</v>
      </c>
      <c r="J832" t="s">
        <v>23</v>
      </c>
      <c r="L832" s="1"/>
      <c r="N832" s="1"/>
      <c r="V832" t="str">
        <f>"13200"</f>
        <v>13200</v>
      </c>
      <c r="W832">
        <v>0</v>
      </c>
      <c r="X832">
        <v>0</v>
      </c>
    </row>
    <row r="833" spans="1:24" ht="15" customHeight="1" x14ac:dyDescent="0.25">
      <c r="A833" t="str">
        <f>""</f>
        <v/>
      </c>
      <c r="B833" s="1"/>
      <c r="H833">
        <v>108.12</v>
      </c>
      <c r="J833" t="s">
        <v>22</v>
      </c>
      <c r="L833" s="1"/>
      <c r="N833" s="1"/>
      <c r="V833" t="str">
        <f>"54000"</f>
        <v>54000</v>
      </c>
      <c r="W833">
        <v>0</v>
      </c>
      <c r="X833">
        <v>27.03</v>
      </c>
    </row>
    <row r="834" spans="1:24" ht="15" customHeight="1" x14ac:dyDescent="0.25">
      <c r="A834" t="str">
        <f>""</f>
        <v/>
      </c>
      <c r="B834" s="1"/>
      <c r="H834">
        <v>201</v>
      </c>
      <c r="J834" t="s">
        <v>22</v>
      </c>
      <c r="L834" s="1"/>
      <c r="N834" s="1"/>
      <c r="V834" t="str">
        <f>"38000"</f>
        <v>38000</v>
      </c>
      <c r="W834">
        <v>0</v>
      </c>
      <c r="X834">
        <v>54.27</v>
      </c>
    </row>
    <row r="835" spans="1:24" x14ac:dyDescent="0.25">
      <c r="A835" t="str">
        <f>""</f>
        <v/>
      </c>
      <c r="B835" s="1"/>
      <c r="H835">
        <v>52.5</v>
      </c>
      <c r="J835" t="s">
        <v>15</v>
      </c>
      <c r="L835" s="1"/>
      <c r="N835" s="1"/>
      <c r="V835" t="str">
        <f>"69003"</f>
        <v>69003</v>
      </c>
      <c r="W835">
        <v>0</v>
      </c>
      <c r="X835">
        <v>0</v>
      </c>
    </row>
    <row r="836" spans="1:24" ht="15" customHeight="1" x14ac:dyDescent="0.25">
      <c r="A836" t="str">
        <f>""</f>
        <v/>
      </c>
      <c r="B836" s="1"/>
      <c r="H836">
        <v>160</v>
      </c>
      <c r="J836" t="s">
        <v>23</v>
      </c>
      <c r="L836" s="1"/>
      <c r="N836" s="1"/>
      <c r="V836" t="str">
        <f>"59287"</f>
        <v>59287</v>
      </c>
      <c r="W836">
        <v>0</v>
      </c>
      <c r="X836">
        <v>0</v>
      </c>
    </row>
    <row r="837" spans="1:24" ht="15" customHeight="1" x14ac:dyDescent="0.25">
      <c r="A837" t="str">
        <f>""</f>
        <v/>
      </c>
      <c r="B837" s="1"/>
      <c r="H837">
        <v>183.98</v>
      </c>
      <c r="J837" t="s">
        <v>22</v>
      </c>
      <c r="L837" s="1"/>
      <c r="N837" s="1"/>
      <c r="V837" t="str">
        <f>"10300"</f>
        <v>10300</v>
      </c>
      <c r="W837">
        <v>0</v>
      </c>
      <c r="X837">
        <v>22.08</v>
      </c>
    </row>
    <row r="838" spans="1:24" ht="15" customHeight="1" x14ac:dyDescent="0.25">
      <c r="A838" t="str">
        <f>""</f>
        <v/>
      </c>
      <c r="B838" s="1"/>
      <c r="H838">
        <v>180</v>
      </c>
      <c r="J838" t="s">
        <v>22</v>
      </c>
      <c r="L838" s="1"/>
      <c r="N838" s="1"/>
      <c r="V838" t="str">
        <f>"59000"</f>
        <v>59000</v>
      </c>
      <c r="W838">
        <v>0</v>
      </c>
      <c r="X838">
        <v>0</v>
      </c>
    </row>
    <row r="839" spans="1:24" x14ac:dyDescent="0.25">
      <c r="A839" t="str">
        <f>""</f>
        <v/>
      </c>
      <c r="B839" s="1"/>
      <c r="H839">
        <v>193.58</v>
      </c>
      <c r="J839" t="s">
        <v>16</v>
      </c>
      <c r="L839" s="1"/>
      <c r="N839" s="1"/>
      <c r="V839" t="str">
        <f>"49380"</f>
        <v>49380</v>
      </c>
      <c r="W839">
        <v>0</v>
      </c>
      <c r="X839">
        <v>0</v>
      </c>
    </row>
    <row r="840" spans="1:24" x14ac:dyDescent="0.25">
      <c r="A840" t="str">
        <f>""</f>
        <v/>
      </c>
      <c r="B840" s="1"/>
      <c r="H840">
        <v>67</v>
      </c>
      <c r="J840" t="s">
        <v>16</v>
      </c>
      <c r="L840" s="1"/>
      <c r="N840" s="1"/>
      <c r="V840" t="str">
        <f>"35470"</f>
        <v>35470</v>
      </c>
      <c r="W840">
        <v>0</v>
      </c>
      <c r="X840">
        <v>11.39</v>
      </c>
    </row>
    <row r="841" spans="1:24" ht="15" customHeight="1" x14ac:dyDescent="0.25">
      <c r="A841" t="str">
        <f>""</f>
        <v/>
      </c>
      <c r="B841" s="1"/>
      <c r="H841">
        <v>46.8</v>
      </c>
      <c r="J841" t="s">
        <v>23</v>
      </c>
      <c r="L841" s="1"/>
      <c r="V841" t="str">
        <f>"62200"</f>
        <v>62200</v>
      </c>
      <c r="W841">
        <v>0</v>
      </c>
      <c r="X841">
        <v>0</v>
      </c>
    </row>
    <row r="842" spans="1:24" ht="15" customHeight="1" x14ac:dyDescent="0.25">
      <c r="A842" t="str">
        <f>""</f>
        <v/>
      </c>
      <c r="B842" s="1"/>
      <c r="H842">
        <v>244.98</v>
      </c>
      <c r="J842" t="s">
        <v>22</v>
      </c>
      <c r="L842" s="1"/>
      <c r="V842" t="str">
        <f>"63390"</f>
        <v>63390</v>
      </c>
      <c r="W842">
        <v>0</v>
      </c>
      <c r="X842">
        <v>0</v>
      </c>
    </row>
    <row r="843" spans="1:24" x14ac:dyDescent="0.25">
      <c r="A843" t="str">
        <f>""</f>
        <v/>
      </c>
      <c r="B843" s="1"/>
      <c r="H843">
        <v>173.49</v>
      </c>
      <c r="J843" t="s">
        <v>18</v>
      </c>
      <c r="L843" s="1"/>
      <c r="V843" t="str">
        <f>"92600"</f>
        <v>92600</v>
      </c>
      <c r="W843">
        <v>0</v>
      </c>
      <c r="X843">
        <v>0</v>
      </c>
    </row>
    <row r="844" spans="1:24" ht="15" customHeight="1" x14ac:dyDescent="0.25">
      <c r="A844" t="str">
        <f>""</f>
        <v/>
      </c>
      <c r="B844" s="1"/>
      <c r="H844">
        <v>180</v>
      </c>
      <c r="J844" t="s">
        <v>22</v>
      </c>
      <c r="L844" s="1"/>
      <c r="V844" t="str">
        <f>"27000"</f>
        <v>27000</v>
      </c>
      <c r="W844">
        <v>0</v>
      </c>
      <c r="X844">
        <v>0</v>
      </c>
    </row>
    <row r="845" spans="1:24" x14ac:dyDescent="0.25">
      <c r="A845" t="str">
        <f>""</f>
        <v/>
      </c>
      <c r="B845" s="1"/>
      <c r="H845">
        <v>23.4</v>
      </c>
      <c r="J845" t="s">
        <v>15</v>
      </c>
      <c r="L845" s="1"/>
      <c r="N845" s="1"/>
      <c r="V845" t="str">
        <f>"38110"</f>
        <v>38110</v>
      </c>
      <c r="W845">
        <v>0</v>
      </c>
      <c r="X845">
        <v>0</v>
      </c>
    </row>
    <row r="846" spans="1:24" ht="15" customHeight="1" x14ac:dyDescent="0.25">
      <c r="A846" t="str">
        <f>""</f>
        <v/>
      </c>
      <c r="B846" s="1"/>
      <c r="H846">
        <v>22.62</v>
      </c>
      <c r="J846" t="s">
        <v>19</v>
      </c>
      <c r="L846" s="1"/>
      <c r="N846" s="1"/>
      <c r="V846" t="str">
        <f>"25300"</f>
        <v>25300</v>
      </c>
      <c r="W846">
        <v>0</v>
      </c>
      <c r="X846">
        <v>0</v>
      </c>
    </row>
    <row r="847" spans="1:24" ht="15" customHeight="1" x14ac:dyDescent="0.25">
      <c r="A847" t="str">
        <f>""</f>
        <v/>
      </c>
      <c r="B847" s="1"/>
      <c r="H847">
        <v>17</v>
      </c>
      <c r="J847" t="s">
        <v>22</v>
      </c>
      <c r="L847" s="1"/>
      <c r="V847" t="str">
        <f>"88100"</f>
        <v>88100</v>
      </c>
      <c r="W847">
        <v>0</v>
      </c>
      <c r="X847">
        <v>0</v>
      </c>
    </row>
    <row r="848" spans="1:24" ht="15" customHeight="1" x14ac:dyDescent="0.25">
      <c r="A848" t="str">
        <f>""</f>
        <v/>
      </c>
      <c r="B848" s="1"/>
      <c r="H848">
        <v>29.4</v>
      </c>
      <c r="J848" t="s">
        <v>22</v>
      </c>
      <c r="L848" s="1"/>
      <c r="N848" s="1"/>
      <c r="V848" t="str">
        <f>"67100"</f>
        <v>67100</v>
      </c>
      <c r="W848">
        <v>0</v>
      </c>
      <c r="X848">
        <v>2.35</v>
      </c>
    </row>
    <row r="849" spans="1:24" ht="15" customHeight="1" x14ac:dyDescent="0.25">
      <c r="A849" t="str">
        <f>""</f>
        <v/>
      </c>
      <c r="B849" s="1"/>
      <c r="H849">
        <v>151</v>
      </c>
      <c r="J849" t="s">
        <v>23</v>
      </c>
      <c r="L849" s="1"/>
      <c r="N849" s="1"/>
      <c r="V849" t="str">
        <f>"14000"</f>
        <v>14000</v>
      </c>
      <c r="W849">
        <v>0</v>
      </c>
      <c r="X849">
        <v>25.67</v>
      </c>
    </row>
    <row r="850" spans="1:24" x14ac:dyDescent="0.25">
      <c r="A850" t="str">
        <f>""</f>
        <v/>
      </c>
      <c r="B850" s="1"/>
      <c r="H850">
        <v>172.66</v>
      </c>
      <c r="J850" t="s">
        <v>17</v>
      </c>
      <c r="L850" s="1"/>
      <c r="N850" s="1"/>
      <c r="V850" t="str">
        <f>"44700"</f>
        <v>44700</v>
      </c>
      <c r="W850">
        <v>0</v>
      </c>
      <c r="X850">
        <v>0</v>
      </c>
    </row>
    <row r="851" spans="1:24" ht="15" customHeight="1" x14ac:dyDescent="0.25">
      <c r="A851" t="str">
        <f>""</f>
        <v/>
      </c>
      <c r="B851" s="1"/>
      <c r="H851">
        <v>68.3</v>
      </c>
      <c r="L851" s="1"/>
      <c r="N851" s="1"/>
      <c r="V851" t="str">
        <f>"77184"</f>
        <v>77184</v>
      </c>
      <c r="W851">
        <v>0</v>
      </c>
      <c r="X851">
        <v>0</v>
      </c>
    </row>
    <row r="852" spans="1:24" ht="15" customHeight="1" x14ac:dyDescent="0.25">
      <c r="A852" t="str">
        <f>""</f>
        <v/>
      </c>
      <c r="B852" s="1"/>
      <c r="H852">
        <v>19.649999999999999</v>
      </c>
      <c r="J852" t="s">
        <v>19</v>
      </c>
      <c r="L852" s="1"/>
      <c r="N852" s="1"/>
      <c r="V852" t="str">
        <f>"75014"</f>
        <v>75014</v>
      </c>
      <c r="W852">
        <v>0</v>
      </c>
      <c r="X852">
        <v>0</v>
      </c>
    </row>
    <row r="853" spans="1:24" x14ac:dyDescent="0.25">
      <c r="A853" t="str">
        <f>""</f>
        <v/>
      </c>
      <c r="B853" s="1"/>
      <c r="H853">
        <v>170.5</v>
      </c>
      <c r="J853" t="s">
        <v>18</v>
      </c>
      <c r="L853" s="1"/>
      <c r="N853" s="1"/>
      <c r="V853" t="str">
        <f>"26130"</f>
        <v>26130</v>
      </c>
      <c r="W853">
        <v>0</v>
      </c>
      <c r="X853">
        <v>0</v>
      </c>
    </row>
    <row r="854" spans="1:24" ht="15" customHeight="1" x14ac:dyDescent="0.25">
      <c r="A854" t="str">
        <f>""</f>
        <v/>
      </c>
      <c r="B854" s="1"/>
      <c r="H854">
        <v>151</v>
      </c>
      <c r="J854" t="s">
        <v>23</v>
      </c>
      <c r="L854" s="1"/>
      <c r="N854" s="1"/>
      <c r="V854" t="str">
        <f>"91270"</f>
        <v>91270</v>
      </c>
      <c r="W854">
        <v>0</v>
      </c>
      <c r="X854">
        <v>0</v>
      </c>
    </row>
    <row r="855" spans="1:24" ht="15" customHeight="1" x14ac:dyDescent="0.25">
      <c r="A855" t="str">
        <f>""</f>
        <v/>
      </c>
      <c r="B855" s="1"/>
      <c r="H855">
        <v>37.24</v>
      </c>
      <c r="J855" t="s">
        <v>22</v>
      </c>
      <c r="L855" s="1"/>
      <c r="N855" s="1"/>
      <c r="V855" t="str">
        <f>"54000"</f>
        <v>54000</v>
      </c>
      <c r="W855">
        <v>0</v>
      </c>
      <c r="X855">
        <v>0</v>
      </c>
    </row>
    <row r="856" spans="1:24" ht="15" customHeight="1" x14ac:dyDescent="0.25">
      <c r="A856" t="str">
        <f>""</f>
        <v/>
      </c>
      <c r="B856" s="1"/>
      <c r="H856">
        <v>151</v>
      </c>
      <c r="J856" t="s">
        <v>19</v>
      </c>
      <c r="L856" s="1"/>
      <c r="N856" s="1"/>
      <c r="V856" t="str">
        <f>"76600"</f>
        <v>76600</v>
      </c>
      <c r="W856">
        <v>25.67</v>
      </c>
      <c r="X856">
        <v>0</v>
      </c>
    </row>
    <row r="857" spans="1:24" ht="15" customHeight="1" x14ac:dyDescent="0.25">
      <c r="A857" t="str">
        <f>""</f>
        <v/>
      </c>
      <c r="B857" s="1"/>
      <c r="H857">
        <v>28.62</v>
      </c>
      <c r="J857" t="s">
        <v>20</v>
      </c>
      <c r="L857" s="1"/>
      <c r="N857" s="1"/>
      <c r="V857" t="str">
        <f>"72000"</f>
        <v>72000</v>
      </c>
      <c r="W857">
        <v>6.01</v>
      </c>
      <c r="X857">
        <v>0</v>
      </c>
    </row>
    <row r="858" spans="1:24" ht="15" customHeight="1" x14ac:dyDescent="0.25">
      <c r="A858" t="str">
        <f>""</f>
        <v/>
      </c>
      <c r="B858" s="1"/>
      <c r="H858">
        <v>151</v>
      </c>
      <c r="J858" t="s">
        <v>23</v>
      </c>
      <c r="L858" s="1"/>
      <c r="V858" t="str">
        <f>"75010"</f>
        <v>75010</v>
      </c>
      <c r="W858">
        <v>0</v>
      </c>
      <c r="X858">
        <v>0</v>
      </c>
    </row>
    <row r="859" spans="1:24" ht="15" customHeight="1" x14ac:dyDescent="0.25">
      <c r="A859" t="str">
        <f>""</f>
        <v/>
      </c>
      <c r="B859" s="1"/>
      <c r="H859">
        <v>250</v>
      </c>
      <c r="J859" t="s">
        <v>22</v>
      </c>
      <c r="L859" s="1"/>
      <c r="V859" t="str">
        <f>"34500"</f>
        <v>34500</v>
      </c>
      <c r="W859">
        <v>0</v>
      </c>
      <c r="X859">
        <v>0</v>
      </c>
    </row>
    <row r="860" spans="1:24" ht="15" customHeight="1" x14ac:dyDescent="0.25">
      <c r="A860" t="str">
        <f>""</f>
        <v/>
      </c>
      <c r="B860" s="1"/>
      <c r="H860">
        <v>32.6</v>
      </c>
      <c r="J860" t="s">
        <v>22</v>
      </c>
      <c r="L860" s="1"/>
      <c r="N860" s="1"/>
      <c r="V860" t="str">
        <f>"13006"</f>
        <v>13006</v>
      </c>
      <c r="W860">
        <v>0</v>
      </c>
      <c r="X860">
        <v>0</v>
      </c>
    </row>
    <row r="861" spans="1:24" x14ac:dyDescent="0.25">
      <c r="A861" t="str">
        <f>""</f>
        <v/>
      </c>
      <c r="B861" s="1"/>
      <c r="H861">
        <v>120</v>
      </c>
      <c r="J861" t="s">
        <v>15</v>
      </c>
      <c r="L861" s="1"/>
      <c r="N861" s="1"/>
      <c r="V861" t="str">
        <f>"59200"</f>
        <v>59200</v>
      </c>
      <c r="W861">
        <v>22.8</v>
      </c>
      <c r="X861">
        <v>0</v>
      </c>
    </row>
    <row r="862" spans="1:24" ht="15" customHeight="1" x14ac:dyDescent="0.25">
      <c r="A862" t="str">
        <f>""</f>
        <v/>
      </c>
      <c r="B862" s="1"/>
      <c r="H862">
        <v>133.01</v>
      </c>
      <c r="J862" t="s">
        <v>19</v>
      </c>
      <c r="L862" s="1"/>
      <c r="N862" s="1"/>
      <c r="V862" t="str">
        <f>"94190"</f>
        <v>94190</v>
      </c>
      <c r="W862">
        <v>0</v>
      </c>
      <c r="X862">
        <v>0</v>
      </c>
    </row>
    <row r="863" spans="1:24" x14ac:dyDescent="0.25">
      <c r="A863" t="str">
        <f>""</f>
        <v/>
      </c>
      <c r="B863" s="1"/>
      <c r="H863">
        <v>140</v>
      </c>
      <c r="J863" t="s">
        <v>18</v>
      </c>
      <c r="L863" s="1"/>
      <c r="V863" t="str">
        <f>"77184"</f>
        <v>77184</v>
      </c>
      <c r="W863">
        <v>0</v>
      </c>
      <c r="X863">
        <v>0</v>
      </c>
    </row>
    <row r="864" spans="1:24" ht="15" customHeight="1" x14ac:dyDescent="0.25">
      <c r="A864" t="str">
        <f>""</f>
        <v/>
      </c>
      <c r="B864" s="1"/>
      <c r="H864">
        <v>33.35</v>
      </c>
      <c r="J864" t="s">
        <v>19</v>
      </c>
      <c r="L864" s="1"/>
      <c r="N864" s="1"/>
      <c r="V864" t="str">
        <f>"69005"</f>
        <v>69005</v>
      </c>
      <c r="W864">
        <v>9</v>
      </c>
      <c r="X864">
        <v>0</v>
      </c>
    </row>
    <row r="865" spans="1:24" x14ac:dyDescent="0.25">
      <c r="A865" t="str">
        <f>""</f>
        <v/>
      </c>
      <c r="B865" s="1"/>
      <c r="H865">
        <v>433.19</v>
      </c>
      <c r="J865" t="s">
        <v>16</v>
      </c>
      <c r="L865" s="1"/>
      <c r="N865" s="1"/>
      <c r="V865" t="str">
        <f>"69800"</f>
        <v>69800</v>
      </c>
      <c r="W865">
        <v>116.96</v>
      </c>
      <c r="X865">
        <v>0</v>
      </c>
    </row>
    <row r="866" spans="1:24" ht="15" customHeight="1" x14ac:dyDescent="0.25">
      <c r="A866" t="str">
        <f>""</f>
        <v/>
      </c>
      <c r="B866" s="1"/>
      <c r="H866">
        <v>151</v>
      </c>
      <c r="J866" t="s">
        <v>23</v>
      </c>
      <c r="L866" s="1"/>
      <c r="N866" s="1"/>
      <c r="V866" t="str">
        <f>"29860"</f>
        <v>29860</v>
      </c>
      <c r="W866">
        <v>0</v>
      </c>
      <c r="X866">
        <v>0</v>
      </c>
    </row>
    <row r="867" spans="1:24" ht="15" customHeight="1" x14ac:dyDescent="0.25">
      <c r="A867" t="str">
        <f>""</f>
        <v/>
      </c>
      <c r="B867" s="1"/>
      <c r="H867">
        <v>151</v>
      </c>
      <c r="J867" t="s">
        <v>22</v>
      </c>
      <c r="L867" s="1"/>
      <c r="V867" t="str">
        <f>"16270"</f>
        <v>16270</v>
      </c>
      <c r="W867">
        <v>0</v>
      </c>
      <c r="X867">
        <v>0</v>
      </c>
    </row>
    <row r="868" spans="1:24" ht="15" customHeight="1" x14ac:dyDescent="0.25">
      <c r="A868" t="str">
        <f>""</f>
        <v/>
      </c>
      <c r="B868" s="1"/>
      <c r="H868">
        <v>110.2</v>
      </c>
      <c r="J868" t="s">
        <v>23</v>
      </c>
      <c r="L868" s="1"/>
      <c r="N868" s="1"/>
      <c r="V868" t="str">
        <f>"01500"</f>
        <v>01500</v>
      </c>
      <c r="W868">
        <v>0</v>
      </c>
      <c r="X868">
        <v>0</v>
      </c>
    </row>
    <row r="869" spans="1:24" ht="15" customHeight="1" x14ac:dyDescent="0.25">
      <c r="A869" t="str">
        <f>""</f>
        <v/>
      </c>
      <c r="B869" s="1"/>
      <c r="H869">
        <v>80</v>
      </c>
      <c r="J869" t="s">
        <v>23</v>
      </c>
      <c r="L869" s="1"/>
      <c r="N869" s="1"/>
      <c r="V869" t="str">
        <f>"89160"</f>
        <v>89160</v>
      </c>
      <c r="W869">
        <v>0</v>
      </c>
      <c r="X869">
        <v>0</v>
      </c>
    </row>
    <row r="870" spans="1:24" ht="15" customHeight="1" x14ac:dyDescent="0.25">
      <c r="A870" t="str">
        <f>""</f>
        <v/>
      </c>
      <c r="B870" s="1"/>
      <c r="H870">
        <v>163.98</v>
      </c>
      <c r="J870" t="s">
        <v>23</v>
      </c>
      <c r="L870" s="1"/>
      <c r="N870" s="1"/>
      <c r="V870" t="str">
        <f>"62410"</f>
        <v>62410</v>
      </c>
      <c r="W870">
        <v>0</v>
      </c>
      <c r="X870">
        <v>0</v>
      </c>
    </row>
    <row r="871" spans="1:24" ht="15" customHeight="1" x14ac:dyDescent="0.25">
      <c r="A871" t="str">
        <f>""</f>
        <v/>
      </c>
      <c r="B871" s="1"/>
      <c r="H871">
        <v>40</v>
      </c>
      <c r="J871" t="s">
        <v>22</v>
      </c>
      <c r="L871" s="1"/>
      <c r="V871" t="str">
        <f>"34000"</f>
        <v>34000</v>
      </c>
      <c r="W871">
        <v>0</v>
      </c>
      <c r="X871">
        <v>0</v>
      </c>
    </row>
    <row r="872" spans="1:24" x14ac:dyDescent="0.25">
      <c r="A872" t="str">
        <f>""</f>
        <v/>
      </c>
      <c r="B872" s="1"/>
      <c r="H872">
        <v>55</v>
      </c>
      <c r="J872" t="s">
        <v>16</v>
      </c>
      <c r="L872" s="1"/>
      <c r="N872" s="1"/>
      <c r="V872" t="str">
        <f>"31670"</f>
        <v>31670</v>
      </c>
      <c r="W872">
        <v>0</v>
      </c>
      <c r="X872">
        <v>0</v>
      </c>
    </row>
    <row r="873" spans="1:24" x14ac:dyDescent="0.25">
      <c r="A873" t="str">
        <f>""</f>
        <v/>
      </c>
      <c r="B873" s="1"/>
      <c r="H873">
        <v>23.4</v>
      </c>
      <c r="J873" t="s">
        <v>17</v>
      </c>
      <c r="L873" s="1"/>
      <c r="N873" s="1"/>
      <c r="V873" t="str">
        <f>"38230"</f>
        <v>38230</v>
      </c>
      <c r="W873">
        <v>0</v>
      </c>
      <c r="X873">
        <v>0</v>
      </c>
    </row>
    <row r="874" spans="1:24" ht="15" customHeight="1" x14ac:dyDescent="0.25">
      <c r="A874" t="str">
        <f>""</f>
        <v/>
      </c>
      <c r="B874" s="1"/>
      <c r="H874">
        <v>185.4</v>
      </c>
      <c r="J874" t="s">
        <v>22</v>
      </c>
      <c r="L874" s="1"/>
      <c r="N874" s="1"/>
      <c r="V874" t="str">
        <f>"67000"</f>
        <v>67000</v>
      </c>
      <c r="W874">
        <v>0</v>
      </c>
      <c r="X874">
        <v>14.83</v>
      </c>
    </row>
    <row r="875" spans="1:24" ht="15" customHeight="1" x14ac:dyDescent="0.25">
      <c r="A875" t="str">
        <f>""</f>
        <v/>
      </c>
      <c r="B875" s="1"/>
      <c r="H875">
        <v>180</v>
      </c>
      <c r="J875" t="s">
        <v>22</v>
      </c>
      <c r="L875" s="1"/>
      <c r="N875" s="1"/>
      <c r="V875" t="str">
        <f>"62320"</f>
        <v>62320</v>
      </c>
      <c r="W875">
        <v>0</v>
      </c>
      <c r="X875">
        <v>0</v>
      </c>
    </row>
    <row r="876" spans="1:24" ht="15" customHeight="1" x14ac:dyDescent="0.25">
      <c r="A876" t="str">
        <f>""</f>
        <v/>
      </c>
      <c r="B876" s="1"/>
      <c r="H876">
        <v>50</v>
      </c>
      <c r="J876" t="s">
        <v>22</v>
      </c>
      <c r="L876" s="1"/>
      <c r="N876" s="1"/>
      <c r="V876" t="str">
        <f>"44800"</f>
        <v>44800</v>
      </c>
      <c r="W876">
        <v>0</v>
      </c>
      <c r="X876">
        <v>0</v>
      </c>
    </row>
    <row r="877" spans="1:24" ht="15" customHeight="1" x14ac:dyDescent="0.25">
      <c r="A877" t="str">
        <f>""</f>
        <v/>
      </c>
      <c r="B877" s="1"/>
      <c r="H877">
        <v>291.27</v>
      </c>
      <c r="J877" t="s">
        <v>23</v>
      </c>
      <c r="L877" s="1"/>
      <c r="N877" s="1"/>
      <c r="V877" t="str">
        <f>"27400"</f>
        <v>27400</v>
      </c>
      <c r="W877">
        <v>0</v>
      </c>
      <c r="X877">
        <v>0</v>
      </c>
    </row>
    <row r="878" spans="1:24" ht="15" customHeight="1" x14ac:dyDescent="0.25">
      <c r="A878" t="str">
        <f>""</f>
        <v/>
      </c>
      <c r="B878" s="1"/>
      <c r="H878">
        <v>40</v>
      </c>
      <c r="J878" t="s">
        <v>20</v>
      </c>
      <c r="L878" s="1"/>
      <c r="N878" s="1"/>
      <c r="V878" t="str">
        <f>"89330"</f>
        <v>89330</v>
      </c>
      <c r="W878">
        <v>0</v>
      </c>
      <c r="X878">
        <v>0</v>
      </c>
    </row>
    <row r="879" spans="1:24" x14ac:dyDescent="0.25">
      <c r="A879" t="str">
        <f>""</f>
        <v/>
      </c>
      <c r="B879" s="1"/>
      <c r="H879">
        <v>122.09</v>
      </c>
      <c r="J879" t="s">
        <v>16</v>
      </c>
      <c r="L879" s="1"/>
      <c r="N879" s="1"/>
      <c r="V879" t="str">
        <f>"73000"</f>
        <v>73000</v>
      </c>
      <c r="W879">
        <v>0</v>
      </c>
      <c r="X879">
        <v>0</v>
      </c>
    </row>
    <row r="880" spans="1:24" ht="15" customHeight="1" x14ac:dyDescent="0.25">
      <c r="A880" t="str">
        <f>""</f>
        <v/>
      </c>
      <c r="B880" s="1"/>
      <c r="H880">
        <v>180</v>
      </c>
      <c r="J880" t="s">
        <v>22</v>
      </c>
      <c r="L880" s="1"/>
      <c r="V880" t="str">
        <f>"68100"</f>
        <v>68100</v>
      </c>
      <c r="W880">
        <v>0</v>
      </c>
      <c r="X880">
        <v>0</v>
      </c>
    </row>
    <row r="881" spans="1:24" ht="15" customHeight="1" x14ac:dyDescent="0.25">
      <c r="A881" t="str">
        <f>""</f>
        <v/>
      </c>
      <c r="B881" s="1"/>
      <c r="H881">
        <v>151</v>
      </c>
      <c r="J881" t="s">
        <v>23</v>
      </c>
      <c r="L881" s="1"/>
      <c r="V881" t="str">
        <f>"75009"</f>
        <v>75009</v>
      </c>
      <c r="W881">
        <v>0</v>
      </c>
      <c r="X881">
        <v>0</v>
      </c>
    </row>
    <row r="882" spans="1:24" ht="15" customHeight="1" x14ac:dyDescent="0.25">
      <c r="A882" t="str">
        <f>""</f>
        <v/>
      </c>
      <c r="B882" s="1"/>
      <c r="H882">
        <v>140</v>
      </c>
      <c r="J882" t="s">
        <v>23</v>
      </c>
      <c r="L882" s="1"/>
      <c r="N882" s="1"/>
      <c r="V882" t="str">
        <f>"79000"</f>
        <v>79000</v>
      </c>
      <c r="W882">
        <v>0</v>
      </c>
      <c r="X882">
        <v>0</v>
      </c>
    </row>
    <row r="883" spans="1:24" ht="15" customHeight="1" x14ac:dyDescent="0.25">
      <c r="A883" t="str">
        <f>""</f>
        <v/>
      </c>
      <c r="B883" s="1"/>
      <c r="J883" t="s">
        <v>8</v>
      </c>
      <c r="V883" t="str">
        <f>""</f>
        <v/>
      </c>
      <c r="W883">
        <v>0</v>
      </c>
      <c r="X883">
        <v>0</v>
      </c>
    </row>
    <row r="884" spans="1:24" ht="15" customHeight="1" x14ac:dyDescent="0.25">
      <c r="A884" t="str">
        <f>""</f>
        <v/>
      </c>
      <c r="B884" s="1"/>
      <c r="H884">
        <v>181</v>
      </c>
      <c r="J884" t="s">
        <v>23</v>
      </c>
      <c r="L884" s="1"/>
      <c r="N884" s="1"/>
      <c r="V884" t="str">
        <f>"63000"</f>
        <v>63000</v>
      </c>
      <c r="W884">
        <v>0</v>
      </c>
      <c r="X884">
        <v>70.59</v>
      </c>
    </row>
    <row r="885" spans="1:24" ht="15" customHeight="1" x14ac:dyDescent="0.25">
      <c r="A885" t="str">
        <f>""</f>
        <v/>
      </c>
      <c r="B885" s="1"/>
      <c r="H885">
        <v>151</v>
      </c>
      <c r="J885" t="s">
        <v>22</v>
      </c>
      <c r="L885" s="1"/>
      <c r="N885" s="1"/>
      <c r="V885" t="str">
        <f>"77600"</f>
        <v>77600</v>
      </c>
      <c r="W885">
        <v>0</v>
      </c>
      <c r="X885">
        <v>0</v>
      </c>
    </row>
    <row r="886" spans="1:24" ht="15" customHeight="1" x14ac:dyDescent="0.25">
      <c r="A886" t="str">
        <f>""</f>
        <v/>
      </c>
      <c r="B886" s="1"/>
      <c r="H886">
        <v>183.43</v>
      </c>
      <c r="J886" t="s">
        <v>22</v>
      </c>
      <c r="L886" s="1"/>
      <c r="N886" s="1"/>
      <c r="V886" t="str">
        <f>"39500"</f>
        <v>39500</v>
      </c>
      <c r="W886">
        <v>0</v>
      </c>
      <c r="X886">
        <v>0</v>
      </c>
    </row>
    <row r="887" spans="1:24" ht="15" customHeight="1" x14ac:dyDescent="0.25">
      <c r="A887" t="str">
        <f>""</f>
        <v/>
      </c>
      <c r="B887" s="1"/>
      <c r="H887">
        <v>40</v>
      </c>
      <c r="J887" t="s">
        <v>23</v>
      </c>
      <c r="L887" s="1"/>
      <c r="N887" s="1"/>
      <c r="V887" t="str">
        <f>"57175"</f>
        <v>57175</v>
      </c>
      <c r="W887">
        <v>0</v>
      </c>
      <c r="X887">
        <v>10</v>
      </c>
    </row>
    <row r="888" spans="1:24" ht="15" customHeight="1" x14ac:dyDescent="0.25">
      <c r="A888" t="str">
        <f>""</f>
        <v/>
      </c>
      <c r="B888" s="1"/>
      <c r="H888">
        <v>180</v>
      </c>
      <c r="J888" t="s">
        <v>22</v>
      </c>
      <c r="L888" s="1"/>
      <c r="V888" t="str">
        <f>"69100"</f>
        <v>69100</v>
      </c>
      <c r="W888">
        <v>0</v>
      </c>
      <c r="X888">
        <v>0</v>
      </c>
    </row>
    <row r="889" spans="1:24" ht="15" customHeight="1" x14ac:dyDescent="0.25">
      <c r="A889" t="str">
        <f>""</f>
        <v/>
      </c>
      <c r="B889" s="1"/>
      <c r="H889">
        <v>90.99</v>
      </c>
      <c r="J889" t="s">
        <v>22</v>
      </c>
      <c r="L889" s="1"/>
      <c r="V889" t="str">
        <f>"69100"</f>
        <v>69100</v>
      </c>
      <c r="W889">
        <v>0</v>
      </c>
      <c r="X889">
        <v>0</v>
      </c>
    </row>
    <row r="890" spans="1:24" ht="15" customHeight="1" x14ac:dyDescent="0.25">
      <c r="A890" t="str">
        <f>""</f>
        <v/>
      </c>
      <c r="B890" s="1"/>
      <c r="H890">
        <v>90.99</v>
      </c>
      <c r="J890" t="s">
        <v>22</v>
      </c>
      <c r="L890" s="1"/>
      <c r="V890" t="str">
        <f>"69100"</f>
        <v>69100</v>
      </c>
      <c r="W890">
        <v>0</v>
      </c>
      <c r="X890">
        <v>0</v>
      </c>
    </row>
    <row r="891" spans="1:24" ht="15" customHeight="1" x14ac:dyDescent="0.25">
      <c r="A891" t="str">
        <f>""</f>
        <v/>
      </c>
      <c r="B891" s="1"/>
      <c r="H891">
        <v>55.16</v>
      </c>
      <c r="J891" t="s">
        <v>19</v>
      </c>
      <c r="L891" s="1"/>
      <c r="N891" s="1"/>
      <c r="V891" t="str">
        <f>"14200"</f>
        <v>14200</v>
      </c>
      <c r="W891">
        <v>9.3800000000000008</v>
      </c>
      <c r="X891">
        <v>0</v>
      </c>
    </row>
    <row r="892" spans="1:24" ht="15" customHeight="1" x14ac:dyDescent="0.25">
      <c r="A892" t="str">
        <f>""</f>
        <v/>
      </c>
      <c r="B892" s="1"/>
      <c r="H892">
        <v>55.16</v>
      </c>
      <c r="J892" t="s">
        <v>19</v>
      </c>
      <c r="L892" s="1"/>
      <c r="N892" s="1"/>
      <c r="V892" t="str">
        <f>"14200"</f>
        <v>14200</v>
      </c>
      <c r="W892">
        <v>9.3800000000000008</v>
      </c>
      <c r="X892">
        <v>0</v>
      </c>
    </row>
    <row r="893" spans="1:24" ht="15" customHeight="1" x14ac:dyDescent="0.25">
      <c r="A893" t="str">
        <f>""</f>
        <v/>
      </c>
      <c r="B893" s="1"/>
      <c r="H893">
        <v>184.02</v>
      </c>
      <c r="J893" t="s">
        <v>22</v>
      </c>
      <c r="L893" s="1"/>
      <c r="N893" s="1"/>
      <c r="V893" t="str">
        <f>"14000"</f>
        <v>14000</v>
      </c>
      <c r="W893">
        <v>0</v>
      </c>
      <c r="X893">
        <v>31.28</v>
      </c>
    </row>
    <row r="894" spans="1:24" ht="15" customHeight="1" x14ac:dyDescent="0.25">
      <c r="A894" t="str">
        <f>""</f>
        <v/>
      </c>
      <c r="B894" s="1"/>
      <c r="H894">
        <v>40</v>
      </c>
      <c r="J894" t="s">
        <v>22</v>
      </c>
      <c r="L894" s="1"/>
      <c r="N894" s="1"/>
      <c r="V894" t="str">
        <f>"67000"</f>
        <v>67000</v>
      </c>
      <c r="W894">
        <v>0</v>
      </c>
      <c r="X894">
        <v>3.2</v>
      </c>
    </row>
    <row r="895" spans="1:24" ht="15" customHeight="1" x14ac:dyDescent="0.25">
      <c r="A895" t="str">
        <f>""</f>
        <v/>
      </c>
      <c r="B895" s="1"/>
      <c r="H895">
        <v>40</v>
      </c>
      <c r="J895" t="s">
        <v>22</v>
      </c>
      <c r="L895" s="1"/>
      <c r="N895" s="1"/>
      <c r="V895" t="str">
        <f>"44600"</f>
        <v>44600</v>
      </c>
      <c r="W895">
        <v>0</v>
      </c>
      <c r="X895">
        <v>10.8</v>
      </c>
    </row>
    <row r="896" spans="1:24" ht="15" customHeight="1" x14ac:dyDescent="0.25">
      <c r="A896" t="str">
        <f>""</f>
        <v/>
      </c>
      <c r="B896" s="1"/>
      <c r="H896">
        <v>163.98</v>
      </c>
      <c r="J896" t="s">
        <v>22</v>
      </c>
      <c r="L896" s="1"/>
      <c r="N896" s="1"/>
      <c r="V896" t="str">
        <f>"01190"</f>
        <v>01190</v>
      </c>
      <c r="W896">
        <v>0</v>
      </c>
      <c r="X896">
        <v>0</v>
      </c>
    </row>
    <row r="897" spans="1:24" ht="15" customHeight="1" x14ac:dyDescent="0.25">
      <c r="A897" t="str">
        <f>""</f>
        <v/>
      </c>
      <c r="B897" s="1"/>
      <c r="H897">
        <v>140</v>
      </c>
      <c r="J897" t="s">
        <v>22</v>
      </c>
      <c r="L897" s="1"/>
      <c r="N897" s="1"/>
      <c r="V897" t="str">
        <f>"91470"</f>
        <v>91470</v>
      </c>
      <c r="W897">
        <v>0</v>
      </c>
      <c r="X897">
        <v>0</v>
      </c>
    </row>
    <row r="898" spans="1:24" ht="15" customHeight="1" x14ac:dyDescent="0.25">
      <c r="A898" t="str">
        <f>""</f>
        <v/>
      </c>
      <c r="B898" s="1"/>
      <c r="H898">
        <v>198.04</v>
      </c>
      <c r="J898" t="s">
        <v>23</v>
      </c>
      <c r="L898" s="1"/>
      <c r="N898" s="1"/>
      <c r="V898" t="str">
        <f>"94000"</f>
        <v>94000</v>
      </c>
      <c r="W898">
        <v>0</v>
      </c>
      <c r="X898">
        <v>0</v>
      </c>
    </row>
    <row r="899" spans="1:24" ht="15" customHeight="1" x14ac:dyDescent="0.25">
      <c r="A899" t="str">
        <f>""</f>
        <v/>
      </c>
      <c r="B899" s="1"/>
      <c r="H899">
        <v>70</v>
      </c>
      <c r="J899" t="s">
        <v>22</v>
      </c>
      <c r="L899" s="1"/>
      <c r="N899" s="1"/>
      <c r="V899" t="str">
        <f>"25250"</f>
        <v>25250</v>
      </c>
      <c r="W899">
        <v>0</v>
      </c>
      <c r="X899">
        <v>8.4</v>
      </c>
    </row>
    <row r="900" spans="1:24" ht="15" customHeight="1" x14ac:dyDescent="0.25">
      <c r="A900" t="str">
        <f>""</f>
        <v/>
      </c>
      <c r="B900" s="1"/>
      <c r="H900">
        <v>70</v>
      </c>
      <c r="J900" t="s">
        <v>22</v>
      </c>
      <c r="L900" s="1"/>
      <c r="N900" s="1"/>
      <c r="V900" t="str">
        <f>"25700"</f>
        <v>25700</v>
      </c>
      <c r="W900">
        <v>0</v>
      </c>
      <c r="X900">
        <v>8.4</v>
      </c>
    </row>
    <row r="901" spans="1:24" ht="15" customHeight="1" x14ac:dyDescent="0.25">
      <c r="A901" t="str">
        <f>""</f>
        <v/>
      </c>
      <c r="B901" s="1"/>
      <c r="H901">
        <v>70</v>
      </c>
      <c r="J901" t="s">
        <v>22</v>
      </c>
      <c r="L901" s="1"/>
      <c r="N901" s="1"/>
      <c r="V901" t="str">
        <f>"77380"</f>
        <v>77380</v>
      </c>
      <c r="W901">
        <v>0</v>
      </c>
      <c r="X901">
        <v>0</v>
      </c>
    </row>
    <row r="902" spans="1:24" ht="15" customHeight="1" x14ac:dyDescent="0.25">
      <c r="A902" t="str">
        <f>""</f>
        <v/>
      </c>
      <c r="B902" s="1"/>
      <c r="H902">
        <v>140</v>
      </c>
      <c r="J902" t="s">
        <v>23</v>
      </c>
      <c r="L902" s="1"/>
      <c r="N902" s="1"/>
      <c r="V902" t="str">
        <f>"62110"</f>
        <v>62110</v>
      </c>
      <c r="W902">
        <v>0</v>
      </c>
      <c r="X902">
        <v>0</v>
      </c>
    </row>
    <row r="903" spans="1:24" ht="15" customHeight="1" x14ac:dyDescent="0.25">
      <c r="A903" t="str">
        <f>""</f>
        <v/>
      </c>
      <c r="B903" s="1"/>
      <c r="H903">
        <v>103.07</v>
      </c>
      <c r="J903" t="s">
        <v>19</v>
      </c>
      <c r="L903" s="1"/>
      <c r="N903" s="1"/>
      <c r="V903" t="str">
        <f>"38400"</f>
        <v>38400</v>
      </c>
      <c r="W903">
        <v>27.83</v>
      </c>
      <c r="X903">
        <v>0</v>
      </c>
    </row>
    <row r="904" spans="1:24" ht="15" customHeight="1" x14ac:dyDescent="0.25">
      <c r="A904" t="str">
        <f>""</f>
        <v/>
      </c>
      <c r="B904" s="1"/>
      <c r="H904">
        <v>140</v>
      </c>
      <c r="J904" t="s">
        <v>22</v>
      </c>
      <c r="L904" s="1"/>
      <c r="V904" t="str">
        <f>"63200"</f>
        <v>63200</v>
      </c>
      <c r="W904">
        <v>0</v>
      </c>
      <c r="X904">
        <v>0</v>
      </c>
    </row>
    <row r="905" spans="1:24" ht="15" customHeight="1" x14ac:dyDescent="0.25">
      <c r="A905" t="str">
        <f>""</f>
        <v/>
      </c>
      <c r="B905" s="1"/>
      <c r="H905">
        <v>40</v>
      </c>
      <c r="J905" t="s">
        <v>22</v>
      </c>
      <c r="L905" s="1"/>
      <c r="N905" s="1"/>
      <c r="V905" t="str">
        <f>"55190"</f>
        <v>55190</v>
      </c>
      <c r="W905">
        <v>0</v>
      </c>
      <c r="X905">
        <v>10</v>
      </c>
    </row>
    <row r="906" spans="1:24" ht="15" customHeight="1" x14ac:dyDescent="0.25">
      <c r="A906" t="str">
        <f>""</f>
        <v/>
      </c>
      <c r="B906" s="1"/>
      <c r="H906">
        <v>73.599999999999994</v>
      </c>
      <c r="J906" t="s">
        <v>22</v>
      </c>
      <c r="L906" s="1"/>
      <c r="N906" s="1"/>
      <c r="V906" t="str">
        <f>"16350"</f>
        <v>16350</v>
      </c>
      <c r="W906">
        <v>0</v>
      </c>
      <c r="X906">
        <v>12.51</v>
      </c>
    </row>
    <row r="907" spans="1:24" ht="15" customHeight="1" x14ac:dyDescent="0.25">
      <c r="A907" t="str">
        <f>""</f>
        <v/>
      </c>
      <c r="B907" s="1"/>
      <c r="H907">
        <v>202.03</v>
      </c>
      <c r="J907" t="s">
        <v>19</v>
      </c>
      <c r="L907" s="1"/>
      <c r="N907" s="1"/>
      <c r="V907" t="str">
        <f>"44350"</f>
        <v>44350</v>
      </c>
      <c r="W907">
        <v>54.55</v>
      </c>
      <c r="X907">
        <v>0</v>
      </c>
    </row>
    <row r="908" spans="1:24" x14ac:dyDescent="0.25">
      <c r="A908" t="str">
        <f>""</f>
        <v/>
      </c>
      <c r="B908" s="1"/>
      <c r="H908">
        <v>405.07</v>
      </c>
      <c r="J908" t="s">
        <v>18</v>
      </c>
      <c r="L908" s="1"/>
      <c r="N908" s="1"/>
      <c r="V908" t="str">
        <f>"76140"</f>
        <v>76140</v>
      </c>
      <c r="W908">
        <v>0</v>
      </c>
      <c r="X908">
        <v>0</v>
      </c>
    </row>
    <row r="909" spans="1:24" ht="15" customHeight="1" x14ac:dyDescent="0.25">
      <c r="A909" t="str">
        <f>""</f>
        <v/>
      </c>
      <c r="B909" s="1"/>
      <c r="H909">
        <v>19.399999999999999</v>
      </c>
      <c r="J909" t="s">
        <v>22</v>
      </c>
      <c r="L909" s="1"/>
      <c r="V909" t="str">
        <f>"27300"</f>
        <v>27300</v>
      </c>
      <c r="W909">
        <v>0</v>
      </c>
      <c r="X909">
        <v>0</v>
      </c>
    </row>
    <row r="910" spans="1:24" x14ac:dyDescent="0.25">
      <c r="A910" t="str">
        <f>""</f>
        <v/>
      </c>
      <c r="B910" s="1"/>
      <c r="H910">
        <v>140</v>
      </c>
      <c r="J910" t="s">
        <v>18</v>
      </c>
      <c r="L910" s="1"/>
      <c r="N910" s="1"/>
      <c r="V910" t="str">
        <f>"13210"</f>
        <v>13210</v>
      </c>
      <c r="W910">
        <v>0</v>
      </c>
      <c r="X910">
        <v>0</v>
      </c>
    </row>
    <row r="911" spans="1:24" ht="15" customHeight="1" x14ac:dyDescent="0.25">
      <c r="A911" t="str">
        <f>""</f>
        <v/>
      </c>
      <c r="B911" s="1"/>
      <c r="H911">
        <v>25</v>
      </c>
      <c r="J911" t="s">
        <v>23</v>
      </c>
      <c r="L911" s="1"/>
      <c r="N911" s="1"/>
      <c r="V911" t="str">
        <f>"63100"</f>
        <v>63100</v>
      </c>
      <c r="W911">
        <v>0</v>
      </c>
      <c r="X911">
        <v>3</v>
      </c>
    </row>
    <row r="912" spans="1:24" ht="15" customHeight="1" x14ac:dyDescent="0.25">
      <c r="A912" t="str">
        <f>""</f>
        <v/>
      </c>
      <c r="B912" s="1"/>
      <c r="H912">
        <v>124</v>
      </c>
      <c r="J912" t="s">
        <v>23</v>
      </c>
      <c r="L912" s="1"/>
      <c r="N912" s="1"/>
      <c r="V912" t="str">
        <f>"83200"</f>
        <v>83200</v>
      </c>
      <c r="W912">
        <v>0</v>
      </c>
      <c r="X912">
        <v>26.04</v>
      </c>
    </row>
    <row r="913" spans="1:24" ht="15" customHeight="1" x14ac:dyDescent="0.25">
      <c r="A913" t="str">
        <f>""</f>
        <v/>
      </c>
      <c r="B913" s="1"/>
      <c r="H913">
        <v>157.55000000000001</v>
      </c>
      <c r="J913" t="s">
        <v>22</v>
      </c>
      <c r="L913" s="1"/>
      <c r="N913" s="1"/>
      <c r="V913" t="str">
        <f>"13003"</f>
        <v>13003</v>
      </c>
      <c r="W913">
        <v>0</v>
      </c>
      <c r="X913">
        <v>29.93</v>
      </c>
    </row>
    <row r="914" spans="1:24" x14ac:dyDescent="0.25">
      <c r="A914" t="str">
        <f>""</f>
        <v/>
      </c>
      <c r="B914" s="1"/>
      <c r="H914">
        <v>400</v>
      </c>
      <c r="J914" t="s">
        <v>15</v>
      </c>
      <c r="L914" s="1"/>
      <c r="N914" s="1"/>
      <c r="V914" t="str">
        <f>"37000"</f>
        <v>37000</v>
      </c>
      <c r="W914">
        <v>0</v>
      </c>
      <c r="X914">
        <v>0</v>
      </c>
    </row>
    <row r="915" spans="1:24" ht="15" customHeight="1" x14ac:dyDescent="0.25">
      <c r="A915" t="str">
        <f>""</f>
        <v/>
      </c>
      <c r="B915" s="1"/>
      <c r="H915">
        <v>109.06</v>
      </c>
      <c r="J915" t="s">
        <v>23</v>
      </c>
      <c r="L915" s="1"/>
      <c r="N915" s="1"/>
      <c r="V915" t="str">
        <f>"57400"</f>
        <v>57400</v>
      </c>
      <c r="W915">
        <v>0</v>
      </c>
      <c r="X915">
        <v>27.26</v>
      </c>
    </row>
    <row r="916" spans="1:24" ht="15" customHeight="1" x14ac:dyDescent="0.25">
      <c r="A916" t="str">
        <f>""</f>
        <v/>
      </c>
      <c r="B916" s="1"/>
      <c r="H916">
        <v>186</v>
      </c>
      <c r="J916" t="s">
        <v>23</v>
      </c>
      <c r="L916" s="1"/>
      <c r="N916" s="1"/>
      <c r="V916" t="str">
        <f>"53810"</f>
        <v>53810</v>
      </c>
      <c r="W916">
        <v>0</v>
      </c>
      <c r="X916">
        <v>50.22</v>
      </c>
    </row>
    <row r="917" spans="1:24" ht="15" customHeight="1" x14ac:dyDescent="0.25">
      <c r="A917" t="str">
        <f>""</f>
        <v/>
      </c>
      <c r="B917" s="1"/>
      <c r="H917">
        <v>22.5</v>
      </c>
      <c r="J917" t="s">
        <v>22</v>
      </c>
      <c r="L917" s="1"/>
      <c r="V917" t="str">
        <f>"70000"</f>
        <v>70000</v>
      </c>
      <c r="W917">
        <v>0</v>
      </c>
      <c r="X917">
        <v>0</v>
      </c>
    </row>
    <row r="918" spans="1:24" ht="15" customHeight="1" x14ac:dyDescent="0.25">
      <c r="A918" t="str">
        <f>""</f>
        <v/>
      </c>
      <c r="B918" s="1"/>
      <c r="H918">
        <v>25</v>
      </c>
      <c r="J918" t="s">
        <v>22</v>
      </c>
      <c r="L918" s="1"/>
      <c r="V918" t="str">
        <f>"70000"</f>
        <v>70000</v>
      </c>
      <c r="W918">
        <v>0</v>
      </c>
      <c r="X918">
        <v>0</v>
      </c>
    </row>
    <row r="919" spans="1:24" ht="15" customHeight="1" x14ac:dyDescent="0.25">
      <c r="A919" t="str">
        <f>""</f>
        <v/>
      </c>
      <c r="B919" s="1"/>
      <c r="H919">
        <v>140</v>
      </c>
      <c r="J919" t="s">
        <v>23</v>
      </c>
      <c r="L919" s="1"/>
      <c r="N919" s="1"/>
      <c r="V919" t="str">
        <f>"87000"</f>
        <v>87000</v>
      </c>
      <c r="W919">
        <v>0</v>
      </c>
      <c r="X919">
        <v>16.8</v>
      </c>
    </row>
    <row r="920" spans="1:24" ht="15" customHeight="1" x14ac:dyDescent="0.25">
      <c r="A920" t="str">
        <f>""</f>
        <v/>
      </c>
      <c r="B920" s="1"/>
      <c r="H920">
        <v>40</v>
      </c>
      <c r="J920" t="s">
        <v>22</v>
      </c>
      <c r="L920" s="1"/>
      <c r="N920" s="1"/>
      <c r="V920" t="str">
        <f>"41000"</f>
        <v>41000</v>
      </c>
      <c r="W920">
        <v>0</v>
      </c>
      <c r="X920">
        <v>10.8</v>
      </c>
    </row>
    <row r="921" spans="1:24" ht="15" customHeight="1" x14ac:dyDescent="0.25">
      <c r="A921" t="str">
        <f>""</f>
        <v/>
      </c>
      <c r="B921" s="1"/>
      <c r="H921">
        <v>44</v>
      </c>
      <c r="J921" t="s">
        <v>23</v>
      </c>
      <c r="L921" s="1"/>
      <c r="N921" s="1"/>
      <c r="V921" t="str">
        <f>"84130"</f>
        <v>84130</v>
      </c>
      <c r="W921">
        <v>0</v>
      </c>
      <c r="X921">
        <v>0</v>
      </c>
    </row>
    <row r="922" spans="1:24" ht="15" customHeight="1" x14ac:dyDescent="0.25">
      <c r="A922" t="str">
        <f>""</f>
        <v/>
      </c>
      <c r="B922" s="1"/>
      <c r="H922">
        <v>50.84</v>
      </c>
      <c r="J922" t="s">
        <v>20</v>
      </c>
      <c r="L922" s="1"/>
      <c r="N922" s="1"/>
      <c r="V922" t="str">
        <f>"92000"</f>
        <v>92000</v>
      </c>
      <c r="W922">
        <v>0</v>
      </c>
      <c r="X922">
        <v>0</v>
      </c>
    </row>
    <row r="923" spans="1:24" x14ac:dyDescent="0.25">
      <c r="A923" t="str">
        <f>""</f>
        <v/>
      </c>
      <c r="B923" s="1"/>
      <c r="H923">
        <v>52.5</v>
      </c>
      <c r="J923" t="s">
        <v>15</v>
      </c>
      <c r="L923" s="1"/>
      <c r="N923" s="1"/>
      <c r="V923" t="str">
        <f>"76600"</f>
        <v>76600</v>
      </c>
      <c r="W923">
        <v>0</v>
      </c>
      <c r="X923">
        <v>0</v>
      </c>
    </row>
    <row r="924" spans="1:24" x14ac:dyDescent="0.25">
      <c r="A924" t="str">
        <f>""</f>
        <v/>
      </c>
      <c r="B924" s="1"/>
      <c r="H924">
        <v>52.5</v>
      </c>
      <c r="J924" t="s">
        <v>15</v>
      </c>
      <c r="L924" s="1"/>
      <c r="N924" s="1"/>
      <c r="V924" t="str">
        <f>"69009"</f>
        <v>69009</v>
      </c>
      <c r="W924">
        <v>14.18</v>
      </c>
      <c r="X924">
        <v>0</v>
      </c>
    </row>
    <row r="925" spans="1:24" x14ac:dyDescent="0.25">
      <c r="A925" t="str">
        <f>""</f>
        <v/>
      </c>
      <c r="B925" s="1"/>
      <c r="H925">
        <v>52.5</v>
      </c>
      <c r="J925" t="s">
        <v>16</v>
      </c>
      <c r="L925" s="1"/>
      <c r="N925" s="1"/>
      <c r="V925" t="str">
        <f>"13127"</f>
        <v>13127</v>
      </c>
      <c r="W925">
        <v>0</v>
      </c>
      <c r="X925">
        <v>0</v>
      </c>
    </row>
    <row r="926" spans="1:24" ht="15" customHeight="1" x14ac:dyDescent="0.25">
      <c r="A926" t="str">
        <f>""</f>
        <v/>
      </c>
      <c r="B926" s="1"/>
      <c r="H926">
        <v>140</v>
      </c>
      <c r="J926" t="s">
        <v>22</v>
      </c>
      <c r="L926" s="1"/>
      <c r="N926" s="1"/>
      <c r="V926" t="str">
        <f>"63450"</f>
        <v>63450</v>
      </c>
      <c r="W926">
        <v>0</v>
      </c>
      <c r="X926">
        <v>16.8</v>
      </c>
    </row>
    <row r="927" spans="1:24" ht="15" customHeight="1" x14ac:dyDescent="0.25">
      <c r="A927" t="str">
        <f>""</f>
        <v/>
      </c>
      <c r="B927" s="1"/>
      <c r="H927">
        <v>40</v>
      </c>
      <c r="J927" t="s">
        <v>22</v>
      </c>
      <c r="L927" s="1"/>
      <c r="N927" s="1"/>
      <c r="V927" t="str">
        <f>"76800"</f>
        <v>76800</v>
      </c>
      <c r="W927">
        <v>0</v>
      </c>
      <c r="X927">
        <v>6.8</v>
      </c>
    </row>
    <row r="928" spans="1:24" ht="15" customHeight="1" x14ac:dyDescent="0.25">
      <c r="A928" t="str">
        <f>""</f>
        <v/>
      </c>
      <c r="B928" s="1"/>
      <c r="H928">
        <v>197.99</v>
      </c>
      <c r="J928" t="s">
        <v>20</v>
      </c>
      <c r="L928" s="1"/>
      <c r="N928" s="1"/>
      <c r="V928" t="str">
        <f>"94310"</f>
        <v>94310</v>
      </c>
      <c r="W928">
        <v>95.04</v>
      </c>
      <c r="X928">
        <v>0</v>
      </c>
    </row>
    <row r="929" spans="1:24" ht="15" customHeight="1" x14ac:dyDescent="0.25">
      <c r="A929" t="str">
        <f>""</f>
        <v/>
      </c>
      <c r="B929" s="1"/>
      <c r="H929">
        <v>50.84</v>
      </c>
      <c r="J929" t="s">
        <v>19</v>
      </c>
      <c r="L929" s="1"/>
      <c r="N929" s="1"/>
      <c r="V929" t="str">
        <f>"92000"</f>
        <v>92000</v>
      </c>
      <c r="W929">
        <v>0</v>
      </c>
      <c r="X929">
        <v>0</v>
      </c>
    </row>
    <row r="930" spans="1:24" ht="15" customHeight="1" x14ac:dyDescent="0.25">
      <c r="A930" t="str">
        <f>""</f>
        <v/>
      </c>
      <c r="B930" s="1"/>
      <c r="H930">
        <v>55.16</v>
      </c>
      <c r="J930" t="s">
        <v>19</v>
      </c>
      <c r="L930" s="1"/>
      <c r="N930" s="1"/>
      <c r="V930" t="str">
        <f>"93013"</f>
        <v>93013</v>
      </c>
      <c r="W930">
        <v>0</v>
      </c>
      <c r="X930">
        <v>0</v>
      </c>
    </row>
    <row r="931" spans="1:24" ht="15" customHeight="1" x14ac:dyDescent="0.25">
      <c r="A931" t="str">
        <f>""</f>
        <v/>
      </c>
      <c r="B931" s="1"/>
      <c r="H931">
        <v>138.57</v>
      </c>
      <c r="J931" t="s">
        <v>19</v>
      </c>
      <c r="L931" s="1"/>
      <c r="N931" s="1"/>
      <c r="V931" t="str">
        <f>"56920"</f>
        <v>56920</v>
      </c>
      <c r="W931">
        <v>37.409999999999997</v>
      </c>
      <c r="X931">
        <v>0</v>
      </c>
    </row>
    <row r="932" spans="1:24" x14ac:dyDescent="0.25">
      <c r="A932" t="str">
        <f>""</f>
        <v/>
      </c>
      <c r="B932" s="1"/>
      <c r="H932">
        <v>140</v>
      </c>
      <c r="J932" t="s">
        <v>18</v>
      </c>
      <c r="L932" s="1"/>
      <c r="N932" s="1"/>
      <c r="V932" t="str">
        <f>"94290"</f>
        <v>94290</v>
      </c>
      <c r="W932">
        <v>0</v>
      </c>
      <c r="X932">
        <v>0</v>
      </c>
    </row>
    <row r="933" spans="1:24" x14ac:dyDescent="0.25">
      <c r="A933" t="str">
        <f>""</f>
        <v/>
      </c>
      <c r="B933" s="1"/>
      <c r="H933">
        <v>23.4</v>
      </c>
      <c r="J933" t="s">
        <v>17</v>
      </c>
      <c r="L933" s="1"/>
      <c r="N933" s="1"/>
      <c r="V933" t="str">
        <f>"38230"</f>
        <v>38230</v>
      </c>
      <c r="W933">
        <v>0</v>
      </c>
      <c r="X933">
        <v>0</v>
      </c>
    </row>
    <row r="934" spans="1:24" ht="15" customHeight="1" x14ac:dyDescent="0.25">
      <c r="A934" t="str">
        <f>""</f>
        <v/>
      </c>
      <c r="B934" s="1"/>
      <c r="H934">
        <v>40</v>
      </c>
      <c r="J934" t="s">
        <v>23</v>
      </c>
      <c r="L934" s="1"/>
      <c r="N934" s="1"/>
      <c r="V934" t="str">
        <f>"63500"</f>
        <v>63500</v>
      </c>
      <c r="W934">
        <v>0</v>
      </c>
      <c r="X934">
        <v>4.8</v>
      </c>
    </row>
    <row r="935" spans="1:24" ht="15" customHeight="1" x14ac:dyDescent="0.25">
      <c r="A935" t="str">
        <f>""</f>
        <v/>
      </c>
      <c r="B935" s="1"/>
      <c r="H935">
        <v>180</v>
      </c>
      <c r="L935" s="1"/>
      <c r="V935" t="str">
        <f>"77184"</f>
        <v>77184</v>
      </c>
      <c r="W935">
        <v>0</v>
      </c>
      <c r="X935">
        <v>0</v>
      </c>
    </row>
    <row r="936" spans="1:24" ht="15" customHeight="1" x14ac:dyDescent="0.25">
      <c r="A936" t="str">
        <f>""</f>
        <v/>
      </c>
      <c r="B936" s="1"/>
      <c r="H936">
        <v>20</v>
      </c>
      <c r="L936" s="1"/>
      <c r="N936" s="1"/>
      <c r="V936" t="str">
        <f>"77184"</f>
        <v>77184</v>
      </c>
      <c r="W936">
        <v>0</v>
      </c>
      <c r="X936">
        <v>0</v>
      </c>
    </row>
    <row r="937" spans="1:24" ht="15" customHeight="1" x14ac:dyDescent="0.25">
      <c r="A937" t="str">
        <f>""</f>
        <v/>
      </c>
      <c r="B937" s="1"/>
      <c r="H937">
        <v>188.33</v>
      </c>
      <c r="J937" t="s">
        <v>19</v>
      </c>
      <c r="L937" s="1"/>
      <c r="N937" s="1"/>
      <c r="V937" t="str">
        <f>"69002"</f>
        <v>69002</v>
      </c>
      <c r="W937">
        <v>50.85</v>
      </c>
      <c r="X937">
        <v>0</v>
      </c>
    </row>
    <row r="938" spans="1:24" ht="15" customHeight="1" x14ac:dyDescent="0.25">
      <c r="A938" t="str">
        <f>""</f>
        <v/>
      </c>
      <c r="B938" s="1"/>
      <c r="H938">
        <v>36.82</v>
      </c>
      <c r="J938" t="s">
        <v>19</v>
      </c>
      <c r="L938" s="1"/>
      <c r="N938" s="1"/>
      <c r="V938" t="str">
        <f>"67200"</f>
        <v>67200</v>
      </c>
      <c r="W938">
        <v>10.68</v>
      </c>
      <c r="X938">
        <v>0</v>
      </c>
    </row>
    <row r="939" spans="1:24" ht="15" customHeight="1" x14ac:dyDescent="0.25">
      <c r="A939" t="str">
        <f>""</f>
        <v/>
      </c>
      <c r="B939" s="1"/>
      <c r="H939">
        <v>153.15</v>
      </c>
      <c r="J939" t="s">
        <v>20</v>
      </c>
      <c r="L939" s="1"/>
      <c r="N939" s="1"/>
      <c r="V939" t="str">
        <f>"44200"</f>
        <v>44200</v>
      </c>
      <c r="W939">
        <v>41.35</v>
      </c>
      <c r="X939">
        <v>0</v>
      </c>
    </row>
    <row r="940" spans="1:24" ht="15" customHeight="1" x14ac:dyDescent="0.25">
      <c r="A940" t="str">
        <f>""</f>
        <v/>
      </c>
      <c r="B940" s="1"/>
      <c r="H940">
        <v>75.16</v>
      </c>
      <c r="J940" t="s">
        <v>19</v>
      </c>
      <c r="L940" s="1"/>
      <c r="N940" s="1"/>
      <c r="V940" t="str">
        <f>"14200"</f>
        <v>14200</v>
      </c>
      <c r="W940">
        <v>12.78</v>
      </c>
      <c r="X940">
        <v>0</v>
      </c>
    </row>
    <row r="941" spans="1:24" ht="15" customHeight="1" x14ac:dyDescent="0.25">
      <c r="A941" t="str">
        <f>""</f>
        <v/>
      </c>
      <c r="B941" s="1"/>
      <c r="H941">
        <v>193.58</v>
      </c>
      <c r="J941" t="s">
        <v>23</v>
      </c>
      <c r="L941" s="1"/>
      <c r="N941" s="1"/>
      <c r="V941" t="str">
        <f>"44263"</f>
        <v>44263</v>
      </c>
      <c r="W941">
        <v>0</v>
      </c>
      <c r="X941">
        <v>0</v>
      </c>
    </row>
    <row r="942" spans="1:24" ht="15" customHeight="1" x14ac:dyDescent="0.25">
      <c r="A942" t="str">
        <f>""</f>
        <v/>
      </c>
      <c r="B942" s="1"/>
      <c r="H942">
        <v>151</v>
      </c>
      <c r="J942" t="s">
        <v>22</v>
      </c>
      <c r="L942" s="1"/>
      <c r="N942" s="1"/>
      <c r="V942" t="str">
        <f>"06560"</f>
        <v>06560</v>
      </c>
      <c r="W942">
        <v>0</v>
      </c>
      <c r="X942">
        <v>0</v>
      </c>
    </row>
    <row r="943" spans="1:24" ht="15" customHeight="1" x14ac:dyDescent="0.25">
      <c r="A943" t="str">
        <f>""</f>
        <v/>
      </c>
      <c r="B943" s="1"/>
      <c r="H943">
        <v>151</v>
      </c>
      <c r="J943" t="s">
        <v>22</v>
      </c>
      <c r="L943" s="1"/>
      <c r="N943" s="1"/>
      <c r="V943" t="str">
        <f>"06560"</f>
        <v>06560</v>
      </c>
      <c r="W943">
        <v>0</v>
      </c>
      <c r="X943">
        <v>0</v>
      </c>
    </row>
    <row r="944" spans="1:24" ht="15" customHeight="1" x14ac:dyDescent="0.25">
      <c r="A944" t="str">
        <f>""</f>
        <v/>
      </c>
      <c r="B944" s="1"/>
      <c r="H944">
        <v>151</v>
      </c>
      <c r="J944" t="s">
        <v>22</v>
      </c>
      <c r="L944" s="1"/>
      <c r="N944" s="1"/>
      <c r="V944" t="str">
        <f>"06560"</f>
        <v>06560</v>
      </c>
      <c r="W944">
        <v>0</v>
      </c>
      <c r="X944">
        <v>0</v>
      </c>
    </row>
    <row r="945" spans="1:24" ht="15" customHeight="1" x14ac:dyDescent="0.25">
      <c r="A945" t="str">
        <f>""</f>
        <v/>
      </c>
      <c r="B945" s="1"/>
      <c r="H945">
        <v>25</v>
      </c>
      <c r="L945" s="1"/>
      <c r="N945" s="1"/>
      <c r="V945" t="str">
        <f>"77184"</f>
        <v>77184</v>
      </c>
      <c r="W945">
        <v>0</v>
      </c>
      <c r="X945">
        <v>0</v>
      </c>
    </row>
    <row r="946" spans="1:24" ht="15" customHeight="1" x14ac:dyDescent="0.25">
      <c r="A946" t="str">
        <f>""</f>
        <v/>
      </c>
      <c r="B946" s="1"/>
      <c r="H946">
        <v>140</v>
      </c>
      <c r="J946" t="s">
        <v>23</v>
      </c>
      <c r="L946" s="1"/>
      <c r="V946" t="str">
        <f>"69280"</f>
        <v>69280</v>
      </c>
      <c r="W946">
        <v>0</v>
      </c>
      <c r="X946">
        <v>0</v>
      </c>
    </row>
    <row r="947" spans="1:24" ht="15" customHeight="1" x14ac:dyDescent="0.25">
      <c r="A947" t="str">
        <f>""</f>
        <v/>
      </c>
      <c r="B947" s="1"/>
      <c r="H947">
        <v>37.93</v>
      </c>
      <c r="J947" t="s">
        <v>22</v>
      </c>
      <c r="L947" s="1"/>
      <c r="N947" s="1"/>
      <c r="V947" t="str">
        <f>"69280"</f>
        <v>69280</v>
      </c>
      <c r="W947">
        <v>0</v>
      </c>
      <c r="X947">
        <v>0</v>
      </c>
    </row>
    <row r="948" spans="1:24" ht="15" customHeight="1" x14ac:dyDescent="0.25">
      <c r="A948" t="str">
        <f>""</f>
        <v/>
      </c>
      <c r="B948" s="1"/>
      <c r="H948">
        <v>70</v>
      </c>
      <c r="J948" t="s">
        <v>22</v>
      </c>
      <c r="L948" s="1"/>
      <c r="N948" s="1"/>
      <c r="V948" t="str">
        <f>"69003"</f>
        <v>69003</v>
      </c>
      <c r="W948">
        <v>0</v>
      </c>
      <c r="X948">
        <v>0</v>
      </c>
    </row>
    <row r="949" spans="1:24" ht="15" customHeight="1" x14ac:dyDescent="0.25">
      <c r="A949" t="str">
        <f>""</f>
        <v/>
      </c>
      <c r="B949" s="1"/>
      <c r="H949">
        <v>31.6</v>
      </c>
      <c r="L949" s="1"/>
      <c r="N949" s="1"/>
      <c r="V949" t="str">
        <f>"77184"</f>
        <v>77184</v>
      </c>
      <c r="W949">
        <v>0</v>
      </c>
      <c r="X949">
        <v>0</v>
      </c>
    </row>
    <row r="950" spans="1:24" ht="15" customHeight="1" x14ac:dyDescent="0.25">
      <c r="A950" t="str">
        <f>""</f>
        <v/>
      </c>
      <c r="B950" s="1"/>
      <c r="H950">
        <v>31</v>
      </c>
      <c r="L950" s="1"/>
      <c r="N950" s="1"/>
      <c r="V950" t="str">
        <f>"77184"</f>
        <v>77184</v>
      </c>
      <c r="W950">
        <v>0</v>
      </c>
      <c r="X950">
        <v>0</v>
      </c>
    </row>
    <row r="951" spans="1:24" ht="15" customHeight="1" x14ac:dyDescent="0.25">
      <c r="A951" t="str">
        <f>""</f>
        <v/>
      </c>
      <c r="B951" s="1"/>
      <c r="H951">
        <v>33.630000000000003</v>
      </c>
      <c r="L951" s="1"/>
      <c r="N951" s="1"/>
      <c r="V951" t="str">
        <f>"77184"</f>
        <v>77184</v>
      </c>
      <c r="W951">
        <v>0</v>
      </c>
      <c r="X951">
        <v>0</v>
      </c>
    </row>
    <row r="952" spans="1:24" ht="15" customHeight="1" x14ac:dyDescent="0.25">
      <c r="A952" t="str">
        <f>""</f>
        <v/>
      </c>
      <c r="B952" s="1"/>
      <c r="H952">
        <v>180</v>
      </c>
      <c r="J952" t="s">
        <v>22</v>
      </c>
      <c r="L952" s="1"/>
      <c r="N952" s="1"/>
      <c r="V952" t="str">
        <f>"34980"</f>
        <v>34980</v>
      </c>
      <c r="W952">
        <v>0</v>
      </c>
      <c r="X952">
        <v>50.4</v>
      </c>
    </row>
    <row r="953" spans="1:24" ht="15" customHeight="1" x14ac:dyDescent="0.25">
      <c r="A953" t="str">
        <f>""</f>
        <v/>
      </c>
      <c r="B953" s="1"/>
      <c r="H953">
        <v>55.36</v>
      </c>
      <c r="J953" t="s">
        <v>20</v>
      </c>
      <c r="L953" s="1"/>
      <c r="N953" s="1"/>
      <c r="V953" t="str">
        <f>"77127"</f>
        <v>77127</v>
      </c>
      <c r="W953">
        <v>0</v>
      </c>
      <c r="X953">
        <v>0</v>
      </c>
    </row>
    <row r="954" spans="1:24" x14ac:dyDescent="0.25">
      <c r="A954" t="str">
        <f>""</f>
        <v/>
      </c>
      <c r="B954" s="1"/>
      <c r="H954">
        <v>160.28</v>
      </c>
      <c r="J954" t="s">
        <v>17</v>
      </c>
      <c r="L954" s="1"/>
      <c r="N954" s="1"/>
      <c r="V954" t="str">
        <f>"63100"</f>
        <v>63100</v>
      </c>
      <c r="W954">
        <v>0</v>
      </c>
      <c r="X954">
        <v>0</v>
      </c>
    </row>
    <row r="955" spans="1:24" ht="15" customHeight="1" x14ac:dyDescent="0.25">
      <c r="A955" t="str">
        <f>""</f>
        <v/>
      </c>
      <c r="B955" s="1"/>
      <c r="H955">
        <v>10</v>
      </c>
      <c r="L955" s="1"/>
      <c r="N955" s="1"/>
      <c r="V955" t="str">
        <f>"77184"</f>
        <v>77184</v>
      </c>
      <c r="W955">
        <v>0</v>
      </c>
      <c r="X955">
        <v>0</v>
      </c>
    </row>
    <row r="956" spans="1:24" ht="15" customHeight="1" x14ac:dyDescent="0.25">
      <c r="A956" t="str">
        <f>""</f>
        <v/>
      </c>
      <c r="B956" s="1"/>
      <c r="H956">
        <v>149.63</v>
      </c>
      <c r="J956" t="s">
        <v>20</v>
      </c>
      <c r="L956" s="1"/>
      <c r="N956" s="1"/>
      <c r="V956" t="str">
        <f>"13003"</f>
        <v>13003</v>
      </c>
      <c r="W956">
        <v>43.39</v>
      </c>
      <c r="X956">
        <v>0</v>
      </c>
    </row>
    <row r="957" spans="1:24" ht="15" customHeight="1" x14ac:dyDescent="0.25">
      <c r="A957" t="str">
        <f>""</f>
        <v/>
      </c>
      <c r="B957" s="1"/>
      <c r="H957">
        <v>137.05000000000001</v>
      </c>
      <c r="J957" t="s">
        <v>22</v>
      </c>
      <c r="L957" s="1"/>
      <c r="N957" s="1"/>
      <c r="V957" t="str">
        <f>"13115"</f>
        <v>13115</v>
      </c>
      <c r="W957">
        <v>0</v>
      </c>
      <c r="X957">
        <v>26.04</v>
      </c>
    </row>
    <row r="958" spans="1:24" ht="15" customHeight="1" x14ac:dyDescent="0.25">
      <c r="A958" t="str">
        <f>""</f>
        <v/>
      </c>
      <c r="B958" s="1"/>
      <c r="H958">
        <v>140</v>
      </c>
      <c r="J958" t="s">
        <v>23</v>
      </c>
      <c r="L958" s="1"/>
      <c r="N958" s="1"/>
      <c r="V958" t="str">
        <f>"75004"</f>
        <v>75004</v>
      </c>
      <c r="W958">
        <v>0</v>
      </c>
      <c r="X958">
        <v>0</v>
      </c>
    </row>
    <row r="959" spans="1:24" ht="15" customHeight="1" x14ac:dyDescent="0.25">
      <c r="A959" t="str">
        <f>""</f>
        <v/>
      </c>
      <c r="B959" s="1"/>
      <c r="H959">
        <v>40</v>
      </c>
      <c r="J959" t="s">
        <v>19</v>
      </c>
      <c r="L959" s="1"/>
      <c r="N959" s="1"/>
      <c r="V959" t="str">
        <f>"69002"</f>
        <v>69002</v>
      </c>
      <c r="W959">
        <v>10.8</v>
      </c>
      <c r="X959">
        <v>0</v>
      </c>
    </row>
    <row r="960" spans="1:24" ht="15" customHeight="1" x14ac:dyDescent="0.25">
      <c r="A960" t="str">
        <f>""</f>
        <v/>
      </c>
      <c r="B960" s="1"/>
      <c r="H960">
        <v>40</v>
      </c>
      <c r="J960" t="s">
        <v>19</v>
      </c>
      <c r="L960" s="1"/>
      <c r="N960" s="1"/>
      <c r="V960" t="str">
        <f>"06730"</f>
        <v>06730</v>
      </c>
      <c r="W960">
        <v>12</v>
      </c>
      <c r="X960">
        <v>0</v>
      </c>
    </row>
    <row r="961" spans="1:24" ht="15" customHeight="1" x14ac:dyDescent="0.25">
      <c r="A961" t="str">
        <f>""</f>
        <v/>
      </c>
      <c r="B961" s="1"/>
      <c r="H961">
        <v>140</v>
      </c>
      <c r="J961" t="s">
        <v>22</v>
      </c>
      <c r="L961" s="1"/>
      <c r="N961" s="1"/>
      <c r="V961" t="str">
        <f>"56400"</f>
        <v>56400</v>
      </c>
      <c r="W961">
        <v>0</v>
      </c>
      <c r="X961">
        <v>0</v>
      </c>
    </row>
    <row r="962" spans="1:24" ht="15" customHeight="1" x14ac:dyDescent="0.25">
      <c r="A962" t="str">
        <f>""</f>
        <v/>
      </c>
      <c r="B962" s="1"/>
      <c r="H962">
        <v>173.44</v>
      </c>
      <c r="J962" t="s">
        <v>22</v>
      </c>
      <c r="L962" s="1"/>
      <c r="N962" s="1"/>
      <c r="V962" t="str">
        <f>"56520"</f>
        <v>56520</v>
      </c>
      <c r="W962">
        <v>0</v>
      </c>
      <c r="X962">
        <v>0</v>
      </c>
    </row>
    <row r="963" spans="1:24" ht="15" customHeight="1" x14ac:dyDescent="0.25">
      <c r="A963" t="str">
        <f>""</f>
        <v/>
      </c>
      <c r="B963" s="1"/>
      <c r="H963">
        <v>385.62</v>
      </c>
      <c r="J963" t="s">
        <v>20</v>
      </c>
      <c r="L963" s="1"/>
      <c r="N963" s="1"/>
      <c r="V963" t="str">
        <f>"35400"</f>
        <v>35400</v>
      </c>
      <c r="W963">
        <v>104.12</v>
      </c>
      <c r="X963">
        <v>0</v>
      </c>
    </row>
    <row r="964" spans="1:24" ht="15" customHeight="1" x14ac:dyDescent="0.25">
      <c r="A964" t="str">
        <f>""</f>
        <v/>
      </c>
      <c r="B964" s="1"/>
      <c r="H964">
        <v>20.23</v>
      </c>
      <c r="J964" t="s">
        <v>19</v>
      </c>
      <c r="L964" s="1"/>
      <c r="N964" s="1"/>
      <c r="V964" t="str">
        <f>"21160"</f>
        <v>21160</v>
      </c>
      <c r="W964">
        <v>4.8600000000000003</v>
      </c>
      <c r="X964">
        <v>0</v>
      </c>
    </row>
    <row r="965" spans="1:24" ht="15" customHeight="1" x14ac:dyDescent="0.25">
      <c r="A965" t="str">
        <f>""</f>
        <v/>
      </c>
      <c r="B965" s="1"/>
      <c r="H965">
        <v>158.59</v>
      </c>
      <c r="J965" t="s">
        <v>19</v>
      </c>
      <c r="L965" s="1"/>
      <c r="N965" s="1"/>
      <c r="V965" t="str">
        <f>"69290"</f>
        <v>69290</v>
      </c>
      <c r="W965">
        <v>42.82</v>
      </c>
      <c r="X965">
        <v>0</v>
      </c>
    </row>
    <row r="966" spans="1:24" ht="15" customHeight="1" x14ac:dyDescent="0.25">
      <c r="A966" t="str">
        <f>""</f>
        <v/>
      </c>
      <c r="B966" s="1"/>
      <c r="H966">
        <v>49.08</v>
      </c>
      <c r="J966" t="s">
        <v>19</v>
      </c>
      <c r="L966" s="1"/>
      <c r="N966" s="1"/>
      <c r="V966" t="str">
        <f>"56920"</f>
        <v>56920</v>
      </c>
      <c r="W966">
        <v>13.25</v>
      </c>
      <c r="X966">
        <v>0</v>
      </c>
    </row>
    <row r="967" spans="1:24" ht="15" customHeight="1" x14ac:dyDescent="0.25">
      <c r="A967" t="str">
        <f>""</f>
        <v/>
      </c>
      <c r="B967" s="1"/>
      <c r="H967">
        <v>141.65</v>
      </c>
      <c r="J967" t="s">
        <v>20</v>
      </c>
      <c r="L967" s="1"/>
      <c r="N967" s="1"/>
      <c r="V967" t="str">
        <f>"63590"</f>
        <v>63590</v>
      </c>
      <c r="W967">
        <v>41.08</v>
      </c>
      <c r="X967">
        <v>0</v>
      </c>
    </row>
    <row r="968" spans="1:24" ht="15" customHeight="1" x14ac:dyDescent="0.25">
      <c r="A968" t="str">
        <f>""</f>
        <v/>
      </c>
      <c r="B968" s="1"/>
      <c r="H968">
        <v>104.2</v>
      </c>
      <c r="J968" t="s">
        <v>23</v>
      </c>
      <c r="L968" s="1"/>
      <c r="N968" s="1"/>
      <c r="V968" t="str">
        <f>"30210"</f>
        <v>30210</v>
      </c>
      <c r="W968">
        <v>0</v>
      </c>
      <c r="X968">
        <v>29.18</v>
      </c>
    </row>
    <row r="969" spans="1:24" ht="15" customHeight="1" x14ac:dyDescent="0.25">
      <c r="A969" t="str">
        <f>""</f>
        <v/>
      </c>
      <c r="B969" s="1"/>
      <c r="H969">
        <v>180</v>
      </c>
      <c r="J969" t="s">
        <v>23</v>
      </c>
      <c r="L969" s="1"/>
      <c r="N969" s="1"/>
      <c r="V969" t="str">
        <f>"14200"</f>
        <v>14200</v>
      </c>
      <c r="W969">
        <v>0</v>
      </c>
      <c r="X969">
        <v>30.6</v>
      </c>
    </row>
    <row r="970" spans="1:24" ht="15" customHeight="1" x14ac:dyDescent="0.25">
      <c r="A970" t="str">
        <f>""</f>
        <v/>
      </c>
      <c r="B970" s="1"/>
      <c r="H970">
        <v>201.98</v>
      </c>
      <c r="J970" t="s">
        <v>22</v>
      </c>
      <c r="L970" s="1"/>
      <c r="N970" s="1"/>
      <c r="V970" t="str">
        <f>"68390"</f>
        <v>68390</v>
      </c>
      <c r="W970">
        <v>0</v>
      </c>
      <c r="X970">
        <v>16.16</v>
      </c>
    </row>
    <row r="971" spans="1:24" ht="15" customHeight="1" x14ac:dyDescent="0.25">
      <c r="A971" t="str">
        <f>""</f>
        <v/>
      </c>
      <c r="B971" s="1"/>
      <c r="H971">
        <v>151</v>
      </c>
      <c r="J971" t="s">
        <v>22</v>
      </c>
      <c r="L971" s="1"/>
      <c r="N971" s="1"/>
      <c r="V971" t="str">
        <f>"75013"</f>
        <v>75013</v>
      </c>
      <c r="W971">
        <v>0</v>
      </c>
      <c r="X971">
        <v>0</v>
      </c>
    </row>
    <row r="972" spans="1:24" ht="15" customHeight="1" x14ac:dyDescent="0.25">
      <c r="A972" t="str">
        <f>""</f>
        <v/>
      </c>
      <c r="B972" s="1"/>
      <c r="H972">
        <v>40</v>
      </c>
      <c r="J972" t="s">
        <v>19</v>
      </c>
      <c r="L972" s="1"/>
      <c r="N972" s="1"/>
      <c r="V972" t="str">
        <f>"68520"</f>
        <v>68520</v>
      </c>
      <c r="W972">
        <v>11.6</v>
      </c>
      <c r="X972">
        <v>0</v>
      </c>
    </row>
    <row r="973" spans="1:24" ht="15" customHeight="1" x14ac:dyDescent="0.25">
      <c r="A973" t="str">
        <f>""</f>
        <v/>
      </c>
      <c r="B973" s="1"/>
      <c r="H973">
        <v>84.5</v>
      </c>
      <c r="L973" s="1"/>
      <c r="N973" s="1"/>
      <c r="V973" t="str">
        <f>"77184"</f>
        <v>77184</v>
      </c>
      <c r="W973">
        <v>0</v>
      </c>
      <c r="X973">
        <v>0</v>
      </c>
    </row>
    <row r="974" spans="1:24" ht="15" customHeight="1" x14ac:dyDescent="0.25">
      <c r="A974" t="str">
        <f>""</f>
        <v/>
      </c>
      <c r="B974" s="1"/>
      <c r="H974">
        <v>84.5</v>
      </c>
      <c r="L974" s="1"/>
      <c r="N974" s="1"/>
      <c r="V974" t="str">
        <f>"77184"</f>
        <v>77184</v>
      </c>
      <c r="W974">
        <v>0</v>
      </c>
      <c r="X974">
        <v>0</v>
      </c>
    </row>
    <row r="975" spans="1:24" ht="15" customHeight="1" x14ac:dyDescent="0.25">
      <c r="A975" t="str">
        <f>""</f>
        <v/>
      </c>
      <c r="B975" s="1"/>
      <c r="H975">
        <v>84.5</v>
      </c>
      <c r="L975" s="1"/>
      <c r="N975" s="1"/>
      <c r="V975" t="str">
        <f>"77184"</f>
        <v>77184</v>
      </c>
      <c r="W975">
        <v>0</v>
      </c>
      <c r="X975">
        <v>0</v>
      </c>
    </row>
    <row r="976" spans="1:24" ht="15" customHeight="1" x14ac:dyDescent="0.25">
      <c r="A976" t="str">
        <f>""</f>
        <v/>
      </c>
      <c r="B976" s="1"/>
      <c r="H976">
        <v>84.5</v>
      </c>
      <c r="L976" s="1"/>
      <c r="N976" s="1"/>
      <c r="V976" t="str">
        <f>"77184"</f>
        <v>77184</v>
      </c>
      <c r="W976">
        <v>0</v>
      </c>
      <c r="X976">
        <v>0</v>
      </c>
    </row>
    <row r="977" spans="1:24" ht="15" customHeight="1" x14ac:dyDescent="0.25">
      <c r="A977" t="str">
        <f>""</f>
        <v/>
      </c>
      <c r="B977" s="1"/>
      <c r="H977">
        <v>17</v>
      </c>
      <c r="J977" t="s">
        <v>22</v>
      </c>
      <c r="L977" s="1"/>
      <c r="N977" s="1"/>
      <c r="V977" t="str">
        <f>"54400"</f>
        <v>54400</v>
      </c>
      <c r="W977">
        <v>0</v>
      </c>
      <c r="X977">
        <v>4.25</v>
      </c>
    </row>
    <row r="978" spans="1:24" x14ac:dyDescent="0.25">
      <c r="A978" t="str">
        <f>""</f>
        <v/>
      </c>
      <c r="B978" s="1"/>
      <c r="H978">
        <v>151</v>
      </c>
      <c r="J978" t="s">
        <v>17</v>
      </c>
      <c r="L978" s="1"/>
      <c r="N978" s="1"/>
      <c r="V978" t="str">
        <f>"67800"</f>
        <v>67800</v>
      </c>
      <c r="W978">
        <v>0</v>
      </c>
      <c r="X978">
        <v>0</v>
      </c>
    </row>
    <row r="979" spans="1:24" ht="15" customHeight="1" x14ac:dyDescent="0.25">
      <c r="A979" t="str">
        <f>""</f>
        <v/>
      </c>
      <c r="B979" s="1"/>
      <c r="H979">
        <v>151</v>
      </c>
      <c r="J979" t="s">
        <v>23</v>
      </c>
      <c r="L979" s="1"/>
      <c r="N979" s="1"/>
      <c r="V979" t="str">
        <f>"94150"</f>
        <v>94150</v>
      </c>
      <c r="W979">
        <v>0</v>
      </c>
      <c r="X979">
        <v>0</v>
      </c>
    </row>
    <row r="980" spans="1:24" ht="15" customHeight="1" x14ac:dyDescent="0.25">
      <c r="A980" t="str">
        <f>""</f>
        <v/>
      </c>
      <c r="B980" s="1"/>
      <c r="H980">
        <v>150</v>
      </c>
      <c r="J980" t="s">
        <v>22</v>
      </c>
      <c r="L980" s="1"/>
      <c r="N980" s="1"/>
      <c r="V980" t="str">
        <f>"73200"</f>
        <v>73200</v>
      </c>
      <c r="W980">
        <v>0</v>
      </c>
      <c r="X980">
        <v>0</v>
      </c>
    </row>
    <row r="981" spans="1:24" x14ac:dyDescent="0.25">
      <c r="A981" t="str">
        <f>""</f>
        <v/>
      </c>
      <c r="B981" s="1"/>
      <c r="H981">
        <v>163.98</v>
      </c>
      <c r="J981" t="s">
        <v>17</v>
      </c>
      <c r="L981" s="1"/>
      <c r="N981" s="1"/>
      <c r="V981" t="str">
        <f>"68360"</f>
        <v>68360</v>
      </c>
      <c r="W981">
        <v>0</v>
      </c>
      <c r="X981">
        <v>0</v>
      </c>
    </row>
    <row r="982" spans="1:24" ht="15" customHeight="1" x14ac:dyDescent="0.25">
      <c r="A982" t="str">
        <f>""</f>
        <v/>
      </c>
      <c r="B982" s="1"/>
      <c r="H982">
        <v>130</v>
      </c>
      <c r="J982" t="s">
        <v>20</v>
      </c>
      <c r="L982" s="1"/>
      <c r="N982" s="1"/>
      <c r="V982" t="str">
        <f>"44370"</f>
        <v>44370</v>
      </c>
      <c r="W982">
        <v>35.1</v>
      </c>
      <c r="X982">
        <v>0</v>
      </c>
    </row>
    <row r="983" spans="1:24" ht="15" customHeight="1" x14ac:dyDescent="0.25">
      <c r="A983" t="str">
        <f>""</f>
        <v/>
      </c>
      <c r="B983" s="1"/>
      <c r="H983">
        <v>140</v>
      </c>
      <c r="J983" t="s">
        <v>20</v>
      </c>
      <c r="L983" s="1"/>
      <c r="N983" s="1"/>
      <c r="V983" t="str">
        <f>"59840"</f>
        <v>59840</v>
      </c>
      <c r="W983">
        <v>26.6</v>
      </c>
      <c r="X983">
        <v>0</v>
      </c>
    </row>
    <row r="984" spans="1:24" ht="15" customHeight="1" x14ac:dyDescent="0.25">
      <c r="A984" t="str">
        <f>""</f>
        <v/>
      </c>
      <c r="B984" s="1"/>
      <c r="H984">
        <v>140</v>
      </c>
      <c r="J984" t="s">
        <v>19</v>
      </c>
      <c r="L984" s="1"/>
      <c r="N984" s="1"/>
      <c r="V984" t="str">
        <f>"76420"</f>
        <v>76420</v>
      </c>
      <c r="W984">
        <v>23.8</v>
      </c>
      <c r="X984">
        <v>0</v>
      </c>
    </row>
    <row r="985" spans="1:24" ht="15" customHeight="1" x14ac:dyDescent="0.25">
      <c r="A985" t="str">
        <f>""</f>
        <v/>
      </c>
      <c r="B985" s="1"/>
      <c r="H985">
        <v>143.57</v>
      </c>
      <c r="J985" t="s">
        <v>19</v>
      </c>
      <c r="L985" s="1"/>
      <c r="N985" s="1"/>
      <c r="V985" t="str">
        <f>"14000"</f>
        <v>14000</v>
      </c>
      <c r="W985">
        <v>24.41</v>
      </c>
      <c r="X985">
        <v>0</v>
      </c>
    </row>
    <row r="986" spans="1:24" ht="15" customHeight="1" x14ac:dyDescent="0.25">
      <c r="A986" t="str">
        <f>""</f>
        <v/>
      </c>
      <c r="B986" s="1"/>
      <c r="H986">
        <v>40</v>
      </c>
      <c r="L986" s="1"/>
      <c r="N986" s="1"/>
      <c r="V986" t="str">
        <f>"44240"</f>
        <v>44240</v>
      </c>
      <c r="W986">
        <v>0</v>
      </c>
      <c r="X986">
        <v>0</v>
      </c>
    </row>
    <row r="987" spans="1:24" ht="15" customHeight="1" x14ac:dyDescent="0.25">
      <c r="A987" t="str">
        <f>""</f>
        <v/>
      </c>
      <c r="B987" s="1"/>
      <c r="H987">
        <v>22.8</v>
      </c>
      <c r="L987" s="1"/>
      <c r="N987" s="1"/>
      <c r="V987" t="str">
        <f>"44240"</f>
        <v>44240</v>
      </c>
      <c r="W987">
        <v>0</v>
      </c>
      <c r="X987">
        <v>0</v>
      </c>
    </row>
    <row r="988" spans="1:24" ht="15" customHeight="1" x14ac:dyDescent="0.25">
      <c r="A988" t="str">
        <f>""</f>
        <v/>
      </c>
      <c r="B988" s="1"/>
      <c r="H988">
        <v>165</v>
      </c>
      <c r="L988" s="1"/>
      <c r="N988" s="1"/>
      <c r="V988" t="str">
        <f>"44240"</f>
        <v>44240</v>
      </c>
      <c r="W988">
        <v>0</v>
      </c>
      <c r="X988">
        <v>0</v>
      </c>
    </row>
    <row r="989" spans="1:24" ht="15" customHeight="1" x14ac:dyDescent="0.25">
      <c r="A989" t="str">
        <f>""</f>
        <v/>
      </c>
      <c r="B989" s="1"/>
      <c r="H989">
        <v>35</v>
      </c>
      <c r="L989" s="1"/>
      <c r="N989" s="1"/>
      <c r="V989" t="str">
        <f>"77184"</f>
        <v>77184</v>
      </c>
      <c r="W989">
        <v>0</v>
      </c>
      <c r="X989">
        <v>0</v>
      </c>
    </row>
    <row r="990" spans="1:24" ht="15" customHeight="1" x14ac:dyDescent="0.25">
      <c r="A990" t="str">
        <f>""</f>
        <v/>
      </c>
      <c r="B990" s="1"/>
      <c r="H990">
        <v>31</v>
      </c>
      <c r="L990" s="1"/>
      <c r="N990" s="1"/>
      <c r="V990" t="str">
        <f>"77184"</f>
        <v>77184</v>
      </c>
      <c r="W990">
        <v>0</v>
      </c>
      <c r="X990">
        <v>0</v>
      </c>
    </row>
    <row r="991" spans="1:24" ht="15" customHeight="1" x14ac:dyDescent="0.25">
      <c r="A991" t="str">
        <f>""</f>
        <v/>
      </c>
      <c r="B991" s="1"/>
      <c r="H991">
        <v>37.19</v>
      </c>
      <c r="L991" s="1"/>
      <c r="N991" s="1"/>
      <c r="V991" t="str">
        <f>"77184"</f>
        <v>77184</v>
      </c>
      <c r="W991">
        <v>0</v>
      </c>
      <c r="X991">
        <v>0</v>
      </c>
    </row>
    <row r="992" spans="1:24" ht="15" customHeight="1" x14ac:dyDescent="0.25">
      <c r="A992" t="str">
        <f>""</f>
        <v/>
      </c>
      <c r="B992" s="1"/>
      <c r="H992">
        <v>29.4</v>
      </c>
      <c r="J992" t="s">
        <v>22</v>
      </c>
      <c r="L992" s="1"/>
      <c r="N992" s="1"/>
      <c r="V992" t="str">
        <f>"67000"</f>
        <v>67000</v>
      </c>
      <c r="W992">
        <v>0</v>
      </c>
      <c r="X992">
        <v>2.35</v>
      </c>
    </row>
    <row r="993" spans="1:24" ht="15" customHeight="1" x14ac:dyDescent="0.25">
      <c r="A993" t="str">
        <f>""</f>
        <v/>
      </c>
      <c r="B993" s="1"/>
      <c r="H993">
        <v>150</v>
      </c>
      <c r="L993" s="1"/>
      <c r="N993" s="1"/>
      <c r="V993" t="str">
        <f>"77184"</f>
        <v>77184</v>
      </c>
      <c r="W993">
        <v>0</v>
      </c>
      <c r="X993">
        <v>0</v>
      </c>
    </row>
    <row r="994" spans="1:24" ht="15" customHeight="1" x14ac:dyDescent="0.25">
      <c r="A994" t="str">
        <f>""</f>
        <v/>
      </c>
      <c r="B994" s="1"/>
      <c r="H994">
        <v>171</v>
      </c>
      <c r="L994" s="1"/>
      <c r="N994" s="1"/>
      <c r="V994" t="str">
        <f>"77184"</f>
        <v>77184</v>
      </c>
      <c r="W994">
        <v>0</v>
      </c>
      <c r="X994">
        <v>0</v>
      </c>
    </row>
    <row r="995" spans="1:24" ht="15" customHeight="1" x14ac:dyDescent="0.25">
      <c r="A995" t="str">
        <f>""</f>
        <v/>
      </c>
      <c r="B995" s="1"/>
      <c r="H995">
        <v>171</v>
      </c>
      <c r="L995" s="1"/>
      <c r="N995" s="1"/>
      <c r="V995" t="str">
        <f>"77184"</f>
        <v>77184</v>
      </c>
      <c r="W995">
        <v>0</v>
      </c>
      <c r="X995">
        <v>0</v>
      </c>
    </row>
    <row r="996" spans="1:24" ht="15" customHeight="1" x14ac:dyDescent="0.25">
      <c r="A996" t="str">
        <f>""</f>
        <v/>
      </c>
      <c r="B996" s="1"/>
      <c r="H996">
        <v>18.350000000000001</v>
      </c>
      <c r="J996" t="s">
        <v>19</v>
      </c>
      <c r="L996" s="1"/>
      <c r="N996" s="1"/>
      <c r="V996" t="str">
        <f>"62740"</f>
        <v>62740</v>
      </c>
      <c r="W996">
        <v>3.49</v>
      </c>
      <c r="X996">
        <v>0</v>
      </c>
    </row>
    <row r="997" spans="1:24" ht="15" customHeight="1" x14ac:dyDescent="0.25">
      <c r="A997" t="str">
        <f>""</f>
        <v/>
      </c>
      <c r="B997" s="1"/>
      <c r="H997">
        <v>124.81</v>
      </c>
      <c r="J997" t="s">
        <v>19</v>
      </c>
      <c r="L997" s="1"/>
      <c r="N997" s="1"/>
      <c r="V997" t="str">
        <f>"62138"</f>
        <v>62138</v>
      </c>
      <c r="W997">
        <v>23.71</v>
      </c>
      <c r="X997">
        <v>0</v>
      </c>
    </row>
    <row r="998" spans="1:24" ht="15" customHeight="1" x14ac:dyDescent="0.25">
      <c r="A998" t="str">
        <f>""</f>
        <v/>
      </c>
      <c r="B998" s="1"/>
      <c r="H998">
        <v>180</v>
      </c>
      <c r="J998" t="s">
        <v>23</v>
      </c>
      <c r="L998" s="1"/>
      <c r="N998" s="1"/>
      <c r="V998" t="str">
        <f>"69590"</f>
        <v>69590</v>
      </c>
      <c r="W998">
        <v>0</v>
      </c>
      <c r="X998">
        <v>0</v>
      </c>
    </row>
    <row r="999" spans="1:24" ht="15" customHeight="1" x14ac:dyDescent="0.25">
      <c r="A999" t="str">
        <f>""</f>
        <v/>
      </c>
      <c r="B999" s="1"/>
      <c r="H999">
        <v>334.27</v>
      </c>
      <c r="J999" t="s">
        <v>22</v>
      </c>
      <c r="L999" s="1"/>
      <c r="N999" s="1"/>
      <c r="V999" t="str">
        <f>"59280"</f>
        <v>59280</v>
      </c>
      <c r="W999">
        <v>0</v>
      </c>
      <c r="X999">
        <v>0</v>
      </c>
    </row>
    <row r="1000" spans="1:24" ht="15" customHeight="1" x14ac:dyDescent="0.25">
      <c r="A1000" t="str">
        <f>""</f>
        <v/>
      </c>
      <c r="B1000" s="1"/>
      <c r="H1000">
        <v>194.34</v>
      </c>
      <c r="J1000" t="s">
        <v>22</v>
      </c>
      <c r="L1000" s="1"/>
      <c r="N1000" s="1"/>
      <c r="V1000" t="str">
        <f>"59280"</f>
        <v>59280</v>
      </c>
      <c r="W1000">
        <v>0</v>
      </c>
      <c r="X1000">
        <v>0</v>
      </c>
    </row>
    <row r="1001" spans="1:24" ht="15" customHeight="1" x14ac:dyDescent="0.25">
      <c r="A1001" t="str">
        <f>""</f>
        <v/>
      </c>
      <c r="B1001" s="1"/>
      <c r="H1001">
        <v>180</v>
      </c>
      <c r="J1001" t="s">
        <v>23</v>
      </c>
      <c r="L1001" s="1"/>
      <c r="N1001" s="1"/>
      <c r="V1001" t="str">
        <f>"27000"</f>
        <v>27000</v>
      </c>
      <c r="W1001">
        <v>0</v>
      </c>
      <c r="X1001">
        <v>30.6</v>
      </c>
    </row>
    <row r="1002" spans="1:24" ht="15" customHeight="1" x14ac:dyDescent="0.25">
      <c r="A1002" t="str">
        <f>""</f>
        <v/>
      </c>
      <c r="B1002" s="1"/>
      <c r="H1002">
        <v>224.67</v>
      </c>
      <c r="L1002" s="1"/>
      <c r="N1002" s="1"/>
      <c r="V1002" t="str">
        <f>"77184"</f>
        <v>77184</v>
      </c>
      <c r="W1002">
        <v>0</v>
      </c>
      <c r="X1002">
        <v>0</v>
      </c>
    </row>
    <row r="1003" spans="1:24" ht="15" customHeight="1" x14ac:dyDescent="0.25">
      <c r="A1003" t="str">
        <f>""</f>
        <v/>
      </c>
      <c r="B1003" s="1"/>
      <c r="H1003">
        <v>140</v>
      </c>
      <c r="J1003" t="s">
        <v>23</v>
      </c>
      <c r="L1003" s="1"/>
      <c r="N1003" s="1"/>
      <c r="V1003" t="str">
        <f>"35650"</f>
        <v>35650</v>
      </c>
      <c r="W1003">
        <v>0</v>
      </c>
      <c r="X1003">
        <v>0</v>
      </c>
    </row>
    <row r="1004" spans="1:24" ht="15" customHeight="1" x14ac:dyDescent="0.25">
      <c r="A1004" t="str">
        <f>""</f>
        <v/>
      </c>
      <c r="B1004" s="1"/>
      <c r="H1004">
        <v>22</v>
      </c>
      <c r="L1004" s="1"/>
      <c r="N1004" s="1"/>
      <c r="V1004" t="str">
        <f>"77184"</f>
        <v>77184</v>
      </c>
      <c r="W1004">
        <v>0</v>
      </c>
      <c r="X1004">
        <v>0</v>
      </c>
    </row>
    <row r="1005" spans="1:24" ht="15" customHeight="1" x14ac:dyDescent="0.25">
      <c r="A1005" t="str">
        <f>""</f>
        <v/>
      </c>
      <c r="B1005" s="1"/>
      <c r="H1005">
        <v>34.72</v>
      </c>
      <c r="L1005" s="1"/>
      <c r="N1005" s="1"/>
      <c r="V1005" t="str">
        <f>"77184"</f>
        <v>77184</v>
      </c>
      <c r="W1005">
        <v>0</v>
      </c>
      <c r="X1005">
        <v>0</v>
      </c>
    </row>
    <row r="1006" spans="1:24" ht="15" customHeight="1" x14ac:dyDescent="0.25">
      <c r="A1006" t="str">
        <f>""</f>
        <v/>
      </c>
      <c r="B1006" s="1"/>
      <c r="H1006">
        <v>130.37</v>
      </c>
      <c r="L1006" s="1"/>
      <c r="N1006" s="1"/>
      <c r="V1006" t="str">
        <f>"77184"</f>
        <v>77184</v>
      </c>
      <c r="W1006">
        <v>0</v>
      </c>
      <c r="X1006">
        <v>0</v>
      </c>
    </row>
    <row r="1007" spans="1:24" ht="15" customHeight="1" x14ac:dyDescent="0.25">
      <c r="A1007" t="str">
        <f>""</f>
        <v/>
      </c>
      <c r="B1007" s="1"/>
      <c r="H1007">
        <v>38.54</v>
      </c>
      <c r="L1007" s="1"/>
      <c r="N1007" s="1"/>
      <c r="V1007" t="str">
        <f>"77184"</f>
        <v>77184</v>
      </c>
      <c r="W1007">
        <v>0</v>
      </c>
      <c r="X1007">
        <v>0</v>
      </c>
    </row>
    <row r="1008" spans="1:24" ht="15" customHeight="1" x14ac:dyDescent="0.25">
      <c r="A1008" t="str">
        <f>""</f>
        <v/>
      </c>
      <c r="B1008" s="1"/>
      <c r="H1008">
        <v>90</v>
      </c>
      <c r="J1008" t="s">
        <v>19</v>
      </c>
      <c r="L1008" s="1"/>
      <c r="N1008" s="1"/>
      <c r="V1008" t="str">
        <f>"06190"</f>
        <v>06190</v>
      </c>
      <c r="W1008">
        <v>27</v>
      </c>
      <c r="X1008">
        <v>0</v>
      </c>
    </row>
    <row r="1009" spans="1:24" ht="15" customHeight="1" x14ac:dyDescent="0.25">
      <c r="A1009" t="str">
        <f>""</f>
        <v/>
      </c>
      <c r="B1009" s="1"/>
      <c r="H1009">
        <v>90</v>
      </c>
      <c r="J1009" t="s">
        <v>19</v>
      </c>
      <c r="L1009" s="1"/>
      <c r="N1009" s="1"/>
      <c r="V1009" t="str">
        <f>"06190"</f>
        <v>06190</v>
      </c>
      <c r="W1009">
        <v>27</v>
      </c>
      <c r="X1009">
        <v>0</v>
      </c>
    </row>
    <row r="1010" spans="1:24" ht="15" customHeight="1" x14ac:dyDescent="0.25">
      <c r="A1010" t="str">
        <f>""</f>
        <v/>
      </c>
      <c r="B1010" s="1"/>
      <c r="H1010">
        <v>170</v>
      </c>
      <c r="J1010" t="s">
        <v>22</v>
      </c>
      <c r="L1010" s="1"/>
      <c r="N1010" s="1"/>
      <c r="V1010" t="str">
        <f>"06190"</f>
        <v>06190</v>
      </c>
      <c r="W1010">
        <v>0</v>
      </c>
      <c r="X1010">
        <v>51</v>
      </c>
    </row>
    <row r="1011" spans="1:24" ht="15" customHeight="1" x14ac:dyDescent="0.25">
      <c r="A1011" t="str">
        <f>""</f>
        <v/>
      </c>
      <c r="B1011" s="1"/>
      <c r="H1011">
        <v>64</v>
      </c>
      <c r="J1011" t="s">
        <v>22</v>
      </c>
      <c r="L1011" s="1"/>
      <c r="N1011" s="1"/>
      <c r="V1011" t="str">
        <f>"06190"</f>
        <v>06190</v>
      </c>
      <c r="W1011">
        <v>0</v>
      </c>
      <c r="X1011">
        <v>19.2</v>
      </c>
    </row>
    <row r="1012" spans="1:24" ht="15" customHeight="1" x14ac:dyDescent="0.25">
      <c r="A1012" t="str">
        <f>""</f>
        <v/>
      </c>
      <c r="B1012" s="1"/>
      <c r="H1012">
        <v>126.65</v>
      </c>
      <c r="J1012" t="s">
        <v>20</v>
      </c>
      <c r="L1012" s="1"/>
      <c r="N1012" s="1"/>
      <c r="V1012" t="str">
        <f>"64121"</f>
        <v>64121</v>
      </c>
      <c r="W1012">
        <v>26.6</v>
      </c>
      <c r="X1012">
        <v>0</v>
      </c>
    </row>
    <row r="1013" spans="1:24" ht="15" customHeight="1" x14ac:dyDescent="0.25">
      <c r="A1013" t="str">
        <f>""</f>
        <v/>
      </c>
      <c r="B1013" s="1"/>
      <c r="H1013">
        <v>143.44999999999999</v>
      </c>
      <c r="J1013" t="s">
        <v>20</v>
      </c>
      <c r="L1013" s="1"/>
      <c r="N1013" s="1"/>
      <c r="V1013" t="str">
        <f>"34500"</f>
        <v>34500</v>
      </c>
      <c r="W1013">
        <v>55.95</v>
      </c>
      <c r="X1013">
        <v>0</v>
      </c>
    </row>
    <row r="1014" spans="1:24" ht="15" customHeight="1" x14ac:dyDescent="0.25">
      <c r="A1014" t="str">
        <f>""</f>
        <v/>
      </c>
      <c r="B1014" s="1"/>
      <c r="H1014">
        <v>138.12</v>
      </c>
      <c r="J1014" t="s">
        <v>20</v>
      </c>
      <c r="L1014" s="1"/>
      <c r="N1014" s="1"/>
      <c r="V1014" t="str">
        <f>"73000"</f>
        <v>73000</v>
      </c>
      <c r="W1014">
        <v>37.29</v>
      </c>
      <c r="X1014">
        <v>0</v>
      </c>
    </row>
    <row r="1015" spans="1:24" ht="15" customHeight="1" x14ac:dyDescent="0.25">
      <c r="A1015" t="str">
        <f>""</f>
        <v/>
      </c>
      <c r="B1015" s="1"/>
      <c r="H1015">
        <v>151</v>
      </c>
      <c r="J1015" t="s">
        <v>22</v>
      </c>
      <c r="L1015" s="1"/>
      <c r="N1015" s="1"/>
      <c r="V1015" t="str">
        <f>"25000"</f>
        <v>25000</v>
      </c>
      <c r="W1015">
        <v>0</v>
      </c>
      <c r="X1015">
        <v>0</v>
      </c>
    </row>
    <row r="1016" spans="1:24" ht="15" customHeight="1" x14ac:dyDescent="0.25">
      <c r="A1016" t="str">
        <f>""</f>
        <v/>
      </c>
      <c r="B1016" s="1"/>
      <c r="H1016">
        <v>131.29</v>
      </c>
      <c r="J1016" t="s">
        <v>20</v>
      </c>
      <c r="L1016" s="1"/>
      <c r="N1016" s="1"/>
      <c r="V1016" t="str">
        <f>"45190"</f>
        <v>45190</v>
      </c>
      <c r="W1016">
        <v>27.57</v>
      </c>
      <c r="X1016">
        <v>0</v>
      </c>
    </row>
    <row r="1017" spans="1:24" ht="15" customHeight="1" x14ac:dyDescent="0.25">
      <c r="A1017" t="str">
        <f>""</f>
        <v/>
      </c>
      <c r="B1017" s="1"/>
      <c r="H1017">
        <v>86.27</v>
      </c>
      <c r="J1017" t="s">
        <v>19</v>
      </c>
      <c r="L1017" s="1"/>
      <c r="N1017" s="1"/>
      <c r="V1017" t="str">
        <f>"15000"</f>
        <v>15000</v>
      </c>
      <c r="W1017">
        <v>25.02</v>
      </c>
      <c r="X1017">
        <v>0</v>
      </c>
    </row>
    <row r="1018" spans="1:24" ht="15" customHeight="1" x14ac:dyDescent="0.25">
      <c r="A1018" t="str">
        <f>""</f>
        <v/>
      </c>
      <c r="B1018" s="1"/>
      <c r="H1018">
        <v>55.14</v>
      </c>
      <c r="J1018" t="s">
        <v>20</v>
      </c>
      <c r="L1018" s="1"/>
      <c r="N1018" s="1"/>
      <c r="V1018" t="str">
        <f>"69006"</f>
        <v>69006</v>
      </c>
      <c r="W1018">
        <v>14.89</v>
      </c>
      <c r="X1018">
        <v>0</v>
      </c>
    </row>
    <row r="1019" spans="1:24" ht="15" customHeight="1" x14ac:dyDescent="0.25">
      <c r="A1019" t="str">
        <f>""</f>
        <v/>
      </c>
      <c r="B1019" s="1"/>
      <c r="H1019">
        <v>137.59</v>
      </c>
      <c r="J1019" t="s">
        <v>19</v>
      </c>
      <c r="L1019" s="1"/>
      <c r="N1019" s="1"/>
      <c r="V1019" t="str">
        <f>"75014"</f>
        <v>75014</v>
      </c>
      <c r="W1019">
        <v>0</v>
      </c>
      <c r="X1019">
        <v>0</v>
      </c>
    </row>
    <row r="1020" spans="1:24" ht="15" customHeight="1" x14ac:dyDescent="0.25">
      <c r="A1020" t="str">
        <f>""</f>
        <v/>
      </c>
      <c r="B1020" s="1"/>
      <c r="H1020">
        <v>137.59</v>
      </c>
      <c r="J1020" t="s">
        <v>20</v>
      </c>
      <c r="L1020" s="1"/>
      <c r="N1020" s="1"/>
      <c r="V1020" t="str">
        <f>"75014"</f>
        <v>75014</v>
      </c>
      <c r="W1020">
        <v>0</v>
      </c>
      <c r="X1020">
        <v>0</v>
      </c>
    </row>
    <row r="1021" spans="1:24" ht="15" customHeight="1" x14ac:dyDescent="0.25">
      <c r="A1021" t="str">
        <f>""</f>
        <v/>
      </c>
      <c r="B1021" s="1"/>
      <c r="H1021">
        <v>55.34</v>
      </c>
      <c r="J1021" t="s">
        <v>20</v>
      </c>
      <c r="L1021" s="1"/>
      <c r="N1021" s="1"/>
      <c r="V1021" t="str">
        <f>"35530"</f>
        <v>35530</v>
      </c>
      <c r="W1021">
        <v>14.94</v>
      </c>
      <c r="X1021">
        <v>0</v>
      </c>
    </row>
    <row r="1022" spans="1:24" ht="15" customHeight="1" x14ac:dyDescent="0.25">
      <c r="A1022" t="str">
        <f>""</f>
        <v/>
      </c>
      <c r="B1022" s="1"/>
      <c r="H1022">
        <v>174.15</v>
      </c>
      <c r="J1022" t="s">
        <v>19</v>
      </c>
      <c r="L1022" s="1"/>
      <c r="N1022" s="1"/>
      <c r="V1022" t="str">
        <f>"67000"</f>
        <v>67000</v>
      </c>
      <c r="W1022">
        <v>50.5</v>
      </c>
      <c r="X1022">
        <v>0</v>
      </c>
    </row>
    <row r="1023" spans="1:24" ht="15" customHeight="1" x14ac:dyDescent="0.25">
      <c r="A1023" t="str">
        <f>""</f>
        <v/>
      </c>
      <c r="B1023" s="1"/>
      <c r="H1023">
        <v>171.81</v>
      </c>
      <c r="J1023" t="s">
        <v>20</v>
      </c>
      <c r="L1023" s="1"/>
      <c r="N1023" s="1"/>
      <c r="V1023" t="str">
        <f>"25000"</f>
        <v>25000</v>
      </c>
      <c r="W1023">
        <v>41.23</v>
      </c>
      <c r="X1023">
        <v>0</v>
      </c>
    </row>
    <row r="1024" spans="1:24" ht="15" customHeight="1" x14ac:dyDescent="0.25">
      <c r="A1024" t="str">
        <f>""</f>
        <v/>
      </c>
      <c r="B1024" s="1"/>
      <c r="H1024">
        <v>75.27</v>
      </c>
      <c r="J1024" t="s">
        <v>20</v>
      </c>
      <c r="L1024" s="1"/>
      <c r="N1024" s="1"/>
      <c r="V1024" t="str">
        <f>"45000"</f>
        <v>45000</v>
      </c>
      <c r="W1024">
        <v>15.81</v>
      </c>
      <c r="X1024">
        <v>0</v>
      </c>
    </row>
    <row r="1025" spans="1:24" ht="15" customHeight="1" x14ac:dyDescent="0.25">
      <c r="A1025" t="str">
        <f>""</f>
        <v/>
      </c>
      <c r="B1025" s="1"/>
      <c r="H1025">
        <v>140.72</v>
      </c>
      <c r="J1025" t="s">
        <v>23</v>
      </c>
      <c r="L1025" s="1"/>
      <c r="N1025" s="1"/>
      <c r="V1025" t="str">
        <f>"52000"</f>
        <v>52000</v>
      </c>
      <c r="W1025">
        <v>0</v>
      </c>
      <c r="X1025">
        <v>16.89</v>
      </c>
    </row>
    <row r="1026" spans="1:24" ht="15" customHeight="1" x14ac:dyDescent="0.25">
      <c r="A1026" t="str">
        <f>""</f>
        <v/>
      </c>
      <c r="B1026" s="1"/>
      <c r="H1026">
        <v>171.3</v>
      </c>
      <c r="J1026" t="s">
        <v>20</v>
      </c>
      <c r="L1026" s="1"/>
      <c r="N1026" s="1"/>
      <c r="V1026" t="str">
        <f>"76000"</f>
        <v>76000</v>
      </c>
      <c r="W1026">
        <v>29.12</v>
      </c>
      <c r="X1026">
        <v>0</v>
      </c>
    </row>
    <row r="1027" spans="1:24" ht="15" customHeight="1" x14ac:dyDescent="0.25">
      <c r="A1027" t="str">
        <f>""</f>
        <v/>
      </c>
      <c r="B1027" s="1"/>
      <c r="H1027">
        <v>12</v>
      </c>
      <c r="J1027" t="s">
        <v>20</v>
      </c>
      <c r="L1027" s="1"/>
      <c r="N1027" s="1"/>
      <c r="V1027" t="str">
        <f>"69002"</f>
        <v>69002</v>
      </c>
      <c r="W1027">
        <v>3.24</v>
      </c>
      <c r="X1027">
        <v>0</v>
      </c>
    </row>
    <row r="1028" spans="1:24" ht="15" customHeight="1" x14ac:dyDescent="0.25">
      <c r="A1028" t="str">
        <f>""</f>
        <v/>
      </c>
      <c r="B1028" s="1"/>
      <c r="H1028">
        <v>200</v>
      </c>
      <c r="J1028" t="s">
        <v>22</v>
      </c>
      <c r="L1028" s="1"/>
      <c r="N1028" s="1"/>
      <c r="V1028" t="str">
        <f>"69002"</f>
        <v>69002</v>
      </c>
      <c r="W1028">
        <v>0</v>
      </c>
      <c r="X1028">
        <v>54</v>
      </c>
    </row>
    <row r="1029" spans="1:24" ht="15" customHeight="1" x14ac:dyDescent="0.25">
      <c r="A1029" t="str">
        <f>""</f>
        <v/>
      </c>
      <c r="B1029" s="1"/>
      <c r="H1029">
        <v>27</v>
      </c>
      <c r="J1029" t="s">
        <v>22</v>
      </c>
      <c r="L1029" s="1"/>
      <c r="N1029" s="1"/>
      <c r="V1029" t="str">
        <f>"44350"</f>
        <v>44350</v>
      </c>
      <c r="W1029">
        <v>0</v>
      </c>
      <c r="X1029">
        <v>0</v>
      </c>
    </row>
    <row r="1030" spans="1:24" ht="15" customHeight="1" x14ac:dyDescent="0.25">
      <c r="A1030" t="str">
        <f>""</f>
        <v/>
      </c>
      <c r="B1030" s="1"/>
      <c r="H1030">
        <v>40</v>
      </c>
      <c r="J1030" t="s">
        <v>23</v>
      </c>
      <c r="L1030" s="1"/>
      <c r="N1030" s="1"/>
      <c r="V1030" t="str">
        <f>"14200"</f>
        <v>14200</v>
      </c>
      <c r="W1030">
        <v>0</v>
      </c>
      <c r="X1030">
        <v>6.8</v>
      </c>
    </row>
    <row r="1031" spans="1:24" ht="15" customHeight="1" x14ac:dyDescent="0.25">
      <c r="A1031" t="str">
        <f>""</f>
        <v/>
      </c>
      <c r="B1031" s="1"/>
      <c r="H1031">
        <v>80</v>
      </c>
      <c r="J1031" t="s">
        <v>19</v>
      </c>
      <c r="L1031" s="1"/>
      <c r="N1031" s="1"/>
      <c r="V1031" t="str">
        <f>"30105"</f>
        <v>30105</v>
      </c>
      <c r="W1031">
        <v>31.2</v>
      </c>
      <c r="X1031">
        <v>0</v>
      </c>
    </row>
    <row r="1032" spans="1:24" ht="15" customHeight="1" x14ac:dyDescent="0.25">
      <c r="A1032" t="str">
        <f>""</f>
        <v/>
      </c>
      <c r="B1032" s="1"/>
      <c r="H1032">
        <v>137</v>
      </c>
      <c r="L1032" s="1"/>
      <c r="N1032" s="1"/>
      <c r="V1032" t="str">
        <f>"77184"</f>
        <v>77184</v>
      </c>
      <c r="W1032">
        <v>0</v>
      </c>
      <c r="X1032">
        <v>0</v>
      </c>
    </row>
    <row r="1033" spans="1:24" ht="15" customHeight="1" x14ac:dyDescent="0.25">
      <c r="A1033" t="str">
        <f>""</f>
        <v/>
      </c>
      <c r="B1033" s="1"/>
      <c r="H1033">
        <v>36.119999999999997</v>
      </c>
      <c r="J1033" t="s">
        <v>23</v>
      </c>
      <c r="L1033" s="1"/>
      <c r="N1033" s="1"/>
      <c r="V1033" t="str">
        <f>"27110"</f>
        <v>27110</v>
      </c>
      <c r="W1033">
        <v>0</v>
      </c>
      <c r="X1033">
        <v>6.14</v>
      </c>
    </row>
    <row r="1034" spans="1:24" ht="15" customHeight="1" x14ac:dyDescent="0.25">
      <c r="A1034" t="str">
        <f>""</f>
        <v/>
      </c>
      <c r="B1034" s="1"/>
      <c r="H1034">
        <v>55.34</v>
      </c>
      <c r="J1034" t="s">
        <v>19</v>
      </c>
      <c r="L1034" s="1"/>
      <c r="N1034" s="1"/>
      <c r="V1034" t="str">
        <f>"77173"</f>
        <v>77173</v>
      </c>
      <c r="W1034">
        <v>0</v>
      </c>
      <c r="X1034">
        <v>0</v>
      </c>
    </row>
    <row r="1035" spans="1:24" ht="15" customHeight="1" x14ac:dyDescent="0.25">
      <c r="A1035" t="str">
        <f>""</f>
        <v/>
      </c>
      <c r="B1035" s="1"/>
      <c r="H1035">
        <v>311.89999999999998</v>
      </c>
      <c r="J1035" t="s">
        <v>20</v>
      </c>
      <c r="L1035" s="1"/>
      <c r="N1035" s="1"/>
      <c r="V1035" t="str">
        <f>"75001"</f>
        <v>75001</v>
      </c>
      <c r="W1035">
        <v>0</v>
      </c>
      <c r="X1035">
        <v>0</v>
      </c>
    </row>
    <row r="1036" spans="1:24" ht="15" customHeight="1" x14ac:dyDescent="0.25">
      <c r="A1036" t="str">
        <f>""</f>
        <v/>
      </c>
      <c r="B1036" s="1"/>
      <c r="H1036">
        <v>19.649999999999999</v>
      </c>
      <c r="J1036" t="s">
        <v>19</v>
      </c>
      <c r="L1036" s="1"/>
      <c r="N1036" s="1"/>
      <c r="V1036" t="str">
        <f>"75014"</f>
        <v>75014</v>
      </c>
      <c r="W1036">
        <v>0</v>
      </c>
      <c r="X1036">
        <v>0</v>
      </c>
    </row>
    <row r="1037" spans="1:24" ht="15" customHeight="1" x14ac:dyDescent="0.25">
      <c r="A1037" t="str">
        <f>""</f>
        <v/>
      </c>
      <c r="B1037" s="1"/>
      <c r="H1037">
        <v>19.649999999999999</v>
      </c>
      <c r="J1037" t="s">
        <v>19</v>
      </c>
      <c r="L1037" s="1"/>
      <c r="N1037" s="1"/>
      <c r="V1037" t="str">
        <f>"75014"</f>
        <v>75014</v>
      </c>
      <c r="W1037">
        <v>0</v>
      </c>
      <c r="X1037">
        <v>0</v>
      </c>
    </row>
    <row r="1038" spans="1:24" ht="15" customHeight="1" x14ac:dyDescent="0.25">
      <c r="A1038" t="str">
        <f>""</f>
        <v/>
      </c>
      <c r="B1038" s="1"/>
      <c r="H1038">
        <v>19.649999999999999</v>
      </c>
      <c r="J1038" t="s">
        <v>19</v>
      </c>
      <c r="L1038" s="1"/>
      <c r="N1038" s="1"/>
      <c r="V1038" t="str">
        <f>"75014"</f>
        <v>75014</v>
      </c>
      <c r="W1038">
        <v>0</v>
      </c>
      <c r="X1038">
        <v>0</v>
      </c>
    </row>
    <row r="1039" spans="1:24" ht="15" customHeight="1" x14ac:dyDescent="0.25">
      <c r="A1039" t="str">
        <f>""</f>
        <v/>
      </c>
      <c r="B1039" s="1"/>
      <c r="H1039">
        <v>188.81</v>
      </c>
      <c r="J1039" t="s">
        <v>20</v>
      </c>
      <c r="L1039" s="1"/>
      <c r="N1039" s="1"/>
      <c r="V1039" t="str">
        <f>"59380"</f>
        <v>59380</v>
      </c>
      <c r="W1039">
        <v>35.869999999999997</v>
      </c>
      <c r="X1039">
        <v>0</v>
      </c>
    </row>
    <row r="1040" spans="1:24" ht="15" customHeight="1" x14ac:dyDescent="0.25">
      <c r="A1040" t="str">
        <f>""</f>
        <v/>
      </c>
      <c r="B1040" s="1"/>
      <c r="H1040">
        <v>241.12</v>
      </c>
      <c r="L1040" s="1"/>
      <c r="N1040" s="1"/>
      <c r="V1040" t="str">
        <f>"77184"</f>
        <v>77184</v>
      </c>
      <c r="W1040">
        <v>0</v>
      </c>
      <c r="X1040">
        <v>0</v>
      </c>
    </row>
    <row r="1041" spans="1:24" ht="15" customHeight="1" x14ac:dyDescent="0.25">
      <c r="A1041" t="str">
        <f>""</f>
        <v/>
      </c>
      <c r="B1041" s="1"/>
      <c r="H1041">
        <v>92</v>
      </c>
      <c r="J1041" t="s">
        <v>22</v>
      </c>
      <c r="L1041" s="1"/>
      <c r="N1041" s="1"/>
      <c r="V1041" t="str">
        <f>"94550"</f>
        <v>94550</v>
      </c>
      <c r="W1041">
        <v>0</v>
      </c>
      <c r="X1041">
        <v>0</v>
      </c>
    </row>
    <row r="1042" spans="1:24" ht="15" customHeight="1" x14ac:dyDescent="0.25">
      <c r="A1042" t="str">
        <f>""</f>
        <v/>
      </c>
      <c r="B1042" s="1"/>
      <c r="H1042">
        <v>40</v>
      </c>
      <c r="J1042" t="s">
        <v>19</v>
      </c>
      <c r="L1042" s="1"/>
      <c r="N1042" s="1"/>
      <c r="V1042" t="str">
        <f>"59270"</f>
        <v>59270</v>
      </c>
      <c r="W1042">
        <v>7.6</v>
      </c>
      <c r="X1042">
        <v>0</v>
      </c>
    </row>
    <row r="1043" spans="1:24" ht="15" customHeight="1" x14ac:dyDescent="0.25">
      <c r="A1043" t="str">
        <f>""</f>
        <v/>
      </c>
      <c r="B1043" s="1"/>
      <c r="H1043">
        <v>153.88999999999999</v>
      </c>
      <c r="J1043" t="s">
        <v>19</v>
      </c>
      <c r="L1043" s="1"/>
      <c r="N1043" s="1"/>
      <c r="V1043" t="str">
        <f>"75017"</f>
        <v>75017</v>
      </c>
      <c r="W1043">
        <v>0</v>
      </c>
      <c r="X1043">
        <v>0</v>
      </c>
    </row>
    <row r="1044" spans="1:24" ht="15" customHeight="1" x14ac:dyDescent="0.25">
      <c r="A1044" t="str">
        <f>""</f>
        <v/>
      </c>
      <c r="B1044" s="1"/>
      <c r="H1044">
        <v>55.31</v>
      </c>
      <c r="J1044" t="s">
        <v>20</v>
      </c>
      <c r="L1044" s="1"/>
      <c r="N1044" s="1"/>
      <c r="V1044" t="str">
        <f>"62180"</f>
        <v>62180</v>
      </c>
      <c r="W1044">
        <v>10.51</v>
      </c>
      <c r="X1044">
        <v>0</v>
      </c>
    </row>
    <row r="1045" spans="1:24" ht="15" customHeight="1" x14ac:dyDescent="0.25">
      <c r="A1045" t="str">
        <f>""</f>
        <v/>
      </c>
      <c r="B1045" s="1"/>
      <c r="H1045">
        <v>138.12</v>
      </c>
      <c r="J1045" t="s">
        <v>20</v>
      </c>
      <c r="L1045" s="1"/>
      <c r="N1045" s="1"/>
      <c r="V1045" t="str">
        <f>"86000"</f>
        <v>86000</v>
      </c>
      <c r="W1045">
        <v>29.01</v>
      </c>
      <c r="X1045">
        <v>0</v>
      </c>
    </row>
    <row r="1046" spans="1:24" ht="15" customHeight="1" x14ac:dyDescent="0.25">
      <c r="A1046" t="str">
        <f>""</f>
        <v/>
      </c>
      <c r="B1046" s="1"/>
      <c r="H1046">
        <v>155.37</v>
      </c>
      <c r="J1046" t="s">
        <v>20</v>
      </c>
      <c r="L1046" s="1"/>
      <c r="N1046" s="1"/>
      <c r="V1046" t="str">
        <f>"27091"</f>
        <v>27091</v>
      </c>
      <c r="W1046">
        <v>26.41</v>
      </c>
      <c r="X1046">
        <v>0</v>
      </c>
    </row>
    <row r="1047" spans="1:24" ht="15" customHeight="1" x14ac:dyDescent="0.25">
      <c r="A1047" t="str">
        <f>""</f>
        <v/>
      </c>
      <c r="B1047" s="1"/>
      <c r="H1047">
        <v>1.46</v>
      </c>
      <c r="J1047" t="s">
        <v>19</v>
      </c>
      <c r="L1047" s="1"/>
      <c r="N1047" s="1"/>
      <c r="V1047" t="str">
        <f>"59120"</f>
        <v>59120</v>
      </c>
      <c r="W1047">
        <v>0.28000000000000003</v>
      </c>
      <c r="X1047">
        <v>0</v>
      </c>
    </row>
    <row r="1048" spans="1:24" x14ac:dyDescent="0.25">
      <c r="A1048" t="str">
        <f>""</f>
        <v/>
      </c>
      <c r="B1048" s="1"/>
      <c r="H1048">
        <v>159.69</v>
      </c>
      <c r="J1048" t="s">
        <v>16</v>
      </c>
      <c r="L1048" s="1"/>
      <c r="N1048" s="1"/>
      <c r="V1048" t="str">
        <f>"69290"</f>
        <v>69290</v>
      </c>
      <c r="W1048">
        <v>0</v>
      </c>
      <c r="X1048">
        <v>0</v>
      </c>
    </row>
    <row r="1049" spans="1:24" ht="15" customHeight="1" x14ac:dyDescent="0.25">
      <c r="A1049" t="str">
        <f>""</f>
        <v/>
      </c>
      <c r="B1049" s="1"/>
      <c r="H1049">
        <v>55.2</v>
      </c>
      <c r="J1049" t="s">
        <v>20</v>
      </c>
      <c r="L1049" s="1"/>
      <c r="N1049" s="1"/>
      <c r="V1049" t="str">
        <f>"01000"</f>
        <v>01000</v>
      </c>
      <c r="W1049">
        <v>14.9</v>
      </c>
      <c r="X1049">
        <v>0</v>
      </c>
    </row>
    <row r="1050" spans="1:24" ht="15" customHeight="1" x14ac:dyDescent="0.25">
      <c r="A1050" t="str">
        <f>""</f>
        <v/>
      </c>
      <c r="B1050" s="1"/>
      <c r="H1050">
        <v>153.44999999999999</v>
      </c>
      <c r="J1050" t="s">
        <v>20</v>
      </c>
      <c r="L1050" s="1"/>
      <c r="N1050" s="1"/>
      <c r="V1050" t="str">
        <f>"67170"</f>
        <v>67170</v>
      </c>
      <c r="W1050">
        <v>44.5</v>
      </c>
      <c r="X1050">
        <v>0</v>
      </c>
    </row>
    <row r="1051" spans="1:24" ht="15" customHeight="1" x14ac:dyDescent="0.25">
      <c r="A1051" t="str">
        <f>""</f>
        <v/>
      </c>
      <c r="B1051" s="1"/>
      <c r="H1051">
        <v>191</v>
      </c>
      <c r="L1051" s="1"/>
      <c r="N1051" s="1"/>
      <c r="V1051" t="str">
        <f>"77184"</f>
        <v>77184</v>
      </c>
      <c r="W1051">
        <v>0</v>
      </c>
      <c r="X1051">
        <v>0</v>
      </c>
    </row>
    <row r="1052" spans="1:24" ht="15" customHeight="1" x14ac:dyDescent="0.25">
      <c r="A1052" t="str">
        <f>""</f>
        <v/>
      </c>
      <c r="B1052" s="1"/>
      <c r="H1052">
        <v>109</v>
      </c>
      <c r="L1052" s="1"/>
      <c r="N1052" s="1"/>
      <c r="V1052" t="str">
        <f>"77184"</f>
        <v>77184</v>
      </c>
      <c r="W1052">
        <v>0</v>
      </c>
      <c r="X1052">
        <v>0</v>
      </c>
    </row>
    <row r="1053" spans="1:24" ht="15" customHeight="1" x14ac:dyDescent="0.25">
      <c r="A1053" t="str">
        <f>""</f>
        <v/>
      </c>
      <c r="B1053" s="1"/>
      <c r="H1053">
        <v>23.12</v>
      </c>
      <c r="J1053" t="s">
        <v>20</v>
      </c>
      <c r="L1053" s="1"/>
      <c r="N1053" s="1"/>
      <c r="V1053" t="str">
        <f>"51700"</f>
        <v>51700</v>
      </c>
      <c r="W1053">
        <v>5.78</v>
      </c>
      <c r="X1053">
        <v>0</v>
      </c>
    </row>
    <row r="1054" spans="1:24" ht="15" customHeight="1" x14ac:dyDescent="0.25">
      <c r="A1054" t="str">
        <f>""</f>
        <v/>
      </c>
      <c r="B1054" s="1"/>
      <c r="H1054">
        <v>22.62</v>
      </c>
      <c r="J1054" t="s">
        <v>19</v>
      </c>
      <c r="L1054" s="1"/>
      <c r="N1054" s="1"/>
      <c r="V1054" t="str">
        <f>"45000"</f>
        <v>45000</v>
      </c>
      <c r="W1054">
        <v>4.75</v>
      </c>
      <c r="X1054">
        <v>0</v>
      </c>
    </row>
    <row r="1055" spans="1:24" ht="15" customHeight="1" x14ac:dyDescent="0.25">
      <c r="A1055" t="str">
        <f>""</f>
        <v/>
      </c>
      <c r="B1055" s="1"/>
      <c r="H1055">
        <v>140</v>
      </c>
      <c r="J1055" t="s">
        <v>22</v>
      </c>
      <c r="L1055" s="1"/>
      <c r="N1055" s="1"/>
      <c r="V1055" t="str">
        <f>"59160"</f>
        <v>59160</v>
      </c>
      <c r="W1055">
        <v>0</v>
      </c>
      <c r="X1055">
        <v>0</v>
      </c>
    </row>
    <row r="1056" spans="1:24" ht="15" customHeight="1" x14ac:dyDescent="0.25">
      <c r="A1056" t="str">
        <f>""</f>
        <v/>
      </c>
      <c r="B1056" s="1"/>
      <c r="H1056">
        <v>114</v>
      </c>
      <c r="J1056" t="s">
        <v>20</v>
      </c>
      <c r="L1056" s="1"/>
      <c r="N1056" s="1"/>
      <c r="V1056" t="str">
        <f>"54610"</f>
        <v>54610</v>
      </c>
      <c r="W1056">
        <v>28.5</v>
      </c>
      <c r="X1056">
        <v>0</v>
      </c>
    </row>
    <row r="1057" spans="1:24" ht="15" customHeight="1" x14ac:dyDescent="0.25">
      <c r="A1057" t="str">
        <f>""</f>
        <v/>
      </c>
      <c r="B1057" s="1"/>
      <c r="H1057">
        <v>149.58000000000001</v>
      </c>
      <c r="J1057" t="s">
        <v>19</v>
      </c>
      <c r="L1057" s="1"/>
      <c r="N1057" s="1"/>
      <c r="V1057" t="str">
        <f>"45470"</f>
        <v>45470</v>
      </c>
      <c r="W1057">
        <v>31.41</v>
      </c>
      <c r="X1057">
        <v>0</v>
      </c>
    </row>
    <row r="1058" spans="1:24" ht="15" customHeight="1" x14ac:dyDescent="0.25">
      <c r="A1058" t="str">
        <f>""</f>
        <v/>
      </c>
      <c r="B1058" s="1"/>
      <c r="H1058">
        <v>189.7</v>
      </c>
      <c r="J1058" t="s">
        <v>19</v>
      </c>
      <c r="L1058" s="1"/>
      <c r="N1058" s="1"/>
      <c r="V1058" t="str">
        <f>"44350"</f>
        <v>44350</v>
      </c>
      <c r="W1058">
        <v>51.22</v>
      </c>
      <c r="X1058">
        <v>0</v>
      </c>
    </row>
    <row r="1059" spans="1:24" ht="15" customHeight="1" x14ac:dyDescent="0.25">
      <c r="A1059" t="str">
        <f>""</f>
        <v/>
      </c>
      <c r="B1059" s="1"/>
      <c r="H1059">
        <v>140</v>
      </c>
      <c r="J1059" t="s">
        <v>20</v>
      </c>
      <c r="L1059" s="1"/>
      <c r="N1059" s="1"/>
      <c r="V1059" t="str">
        <f>"50380"</f>
        <v>50380</v>
      </c>
      <c r="W1059">
        <v>23.8</v>
      </c>
      <c r="X1059">
        <v>0</v>
      </c>
    </row>
    <row r="1060" spans="1:24" ht="15" customHeight="1" x14ac:dyDescent="0.25">
      <c r="A1060" t="str">
        <f>""</f>
        <v/>
      </c>
      <c r="B1060" s="1"/>
      <c r="H1060">
        <v>55.36</v>
      </c>
      <c r="J1060" t="s">
        <v>19</v>
      </c>
      <c r="L1060" s="1"/>
      <c r="N1060" s="1"/>
      <c r="V1060" t="str">
        <f>"59400"</f>
        <v>59400</v>
      </c>
      <c r="W1060">
        <v>10.52</v>
      </c>
      <c r="X1060">
        <v>0</v>
      </c>
    </row>
    <row r="1061" spans="1:24" ht="15" customHeight="1" x14ac:dyDescent="0.25">
      <c r="A1061" t="str">
        <f>""</f>
        <v/>
      </c>
      <c r="B1061" s="1"/>
      <c r="H1061">
        <v>59.53</v>
      </c>
      <c r="J1061" t="s">
        <v>20</v>
      </c>
      <c r="L1061" s="1"/>
      <c r="N1061" s="1"/>
      <c r="V1061" t="str">
        <f>"44300"</f>
        <v>44300</v>
      </c>
      <c r="W1061">
        <v>16.07</v>
      </c>
      <c r="X1061">
        <v>0</v>
      </c>
    </row>
    <row r="1062" spans="1:24" ht="15" customHeight="1" x14ac:dyDescent="0.25">
      <c r="A1062" t="str">
        <f>""</f>
        <v/>
      </c>
      <c r="B1062" s="1"/>
      <c r="H1062">
        <v>55.34</v>
      </c>
      <c r="J1062" t="s">
        <v>19</v>
      </c>
      <c r="L1062" s="1"/>
      <c r="N1062" s="1"/>
      <c r="V1062" t="str">
        <f>"95240"</f>
        <v>95240</v>
      </c>
      <c r="W1062">
        <v>0</v>
      </c>
      <c r="X1062">
        <v>0</v>
      </c>
    </row>
    <row r="1063" spans="1:24" ht="15" customHeight="1" x14ac:dyDescent="0.25">
      <c r="A1063" t="str">
        <f>""</f>
        <v/>
      </c>
      <c r="B1063" s="1"/>
      <c r="H1063">
        <v>180</v>
      </c>
      <c r="J1063" t="s">
        <v>23</v>
      </c>
      <c r="L1063" s="1"/>
      <c r="N1063" s="1"/>
      <c r="V1063" t="str">
        <f>"34500"</f>
        <v>34500</v>
      </c>
      <c r="W1063">
        <v>0</v>
      </c>
      <c r="X1063">
        <v>50.4</v>
      </c>
    </row>
    <row r="1064" spans="1:24" ht="15" customHeight="1" x14ac:dyDescent="0.25">
      <c r="A1064" t="str">
        <f>""</f>
        <v/>
      </c>
      <c r="B1064" s="1"/>
      <c r="H1064">
        <v>1265.1600000000001</v>
      </c>
      <c r="J1064" t="s">
        <v>19</v>
      </c>
      <c r="L1064" s="1"/>
      <c r="N1064" s="1"/>
      <c r="V1064" t="str">
        <f>"13290"</f>
        <v>13290</v>
      </c>
      <c r="W1064">
        <v>366.9</v>
      </c>
      <c r="X1064">
        <v>0</v>
      </c>
    </row>
    <row r="1065" spans="1:24" ht="15" customHeight="1" x14ac:dyDescent="0.25">
      <c r="A1065" t="str">
        <f>""</f>
        <v/>
      </c>
      <c r="B1065" s="1"/>
      <c r="H1065">
        <v>19.89</v>
      </c>
      <c r="J1065" t="s">
        <v>19</v>
      </c>
      <c r="L1065" s="1"/>
      <c r="N1065" s="1"/>
      <c r="V1065" t="str">
        <f>"06560"</f>
        <v>06560</v>
      </c>
      <c r="W1065">
        <v>5.97</v>
      </c>
      <c r="X1065">
        <v>0</v>
      </c>
    </row>
    <row r="1066" spans="1:24" ht="15" customHeight="1" x14ac:dyDescent="0.25">
      <c r="A1066" t="str">
        <f>""</f>
        <v/>
      </c>
      <c r="B1066" s="1"/>
      <c r="H1066">
        <v>27.05</v>
      </c>
      <c r="J1066" t="s">
        <v>19</v>
      </c>
      <c r="L1066" s="1"/>
      <c r="N1066" s="1"/>
      <c r="V1066" t="str">
        <f>"75004"</f>
        <v>75004</v>
      </c>
      <c r="W1066">
        <v>0</v>
      </c>
      <c r="X1066">
        <v>0</v>
      </c>
    </row>
    <row r="1067" spans="1:24" ht="15" customHeight="1" x14ac:dyDescent="0.25">
      <c r="A1067" t="str">
        <f>""</f>
        <v/>
      </c>
      <c r="B1067" s="1"/>
      <c r="H1067">
        <v>54.61</v>
      </c>
      <c r="J1067" t="s">
        <v>20</v>
      </c>
      <c r="L1067" s="1"/>
      <c r="N1067" s="1"/>
      <c r="V1067" t="str">
        <f>"83175"</f>
        <v>83175</v>
      </c>
      <c r="W1067">
        <v>16.38</v>
      </c>
      <c r="X1067">
        <v>0</v>
      </c>
    </row>
    <row r="1068" spans="1:24" ht="15" customHeight="1" x14ac:dyDescent="0.25">
      <c r="A1068" t="str">
        <f>""</f>
        <v/>
      </c>
      <c r="B1068" s="1"/>
      <c r="H1068">
        <v>183</v>
      </c>
      <c r="J1068" t="s">
        <v>23</v>
      </c>
      <c r="L1068" s="1"/>
      <c r="N1068" s="1"/>
      <c r="V1068" t="str">
        <f>"69002"</f>
        <v>69002</v>
      </c>
      <c r="W1068">
        <v>0</v>
      </c>
      <c r="X1068">
        <v>98.82</v>
      </c>
    </row>
    <row r="1069" spans="1:24" ht="15" customHeight="1" x14ac:dyDescent="0.25">
      <c r="A1069" t="str">
        <f>""</f>
        <v/>
      </c>
      <c r="B1069" s="1"/>
      <c r="H1069">
        <v>250</v>
      </c>
      <c r="J1069" t="s">
        <v>22</v>
      </c>
      <c r="L1069" s="1"/>
      <c r="N1069" s="1"/>
      <c r="V1069" t="str">
        <f>"80140"</f>
        <v>80140</v>
      </c>
      <c r="W1069">
        <v>0</v>
      </c>
      <c r="X1069">
        <v>0</v>
      </c>
    </row>
    <row r="1070" spans="1:24" ht="15" customHeight="1" x14ac:dyDescent="0.25">
      <c r="A1070" t="str">
        <f>""</f>
        <v/>
      </c>
      <c r="B1070" s="1"/>
      <c r="H1070">
        <v>151</v>
      </c>
      <c r="J1070" t="s">
        <v>22</v>
      </c>
      <c r="L1070" s="1"/>
      <c r="V1070" t="str">
        <f>"44115"</f>
        <v>44115</v>
      </c>
      <c r="W1070">
        <v>0</v>
      </c>
      <c r="X1070">
        <v>0</v>
      </c>
    </row>
    <row r="1071" spans="1:24" ht="15" customHeight="1" x14ac:dyDescent="0.25">
      <c r="A1071" t="str">
        <f>""</f>
        <v/>
      </c>
      <c r="B1071" s="1"/>
      <c r="H1071">
        <v>171.3</v>
      </c>
      <c r="J1071" t="s">
        <v>20</v>
      </c>
      <c r="L1071" s="1"/>
      <c r="N1071" s="1"/>
      <c r="V1071" t="str">
        <f>"50200"</f>
        <v>50200</v>
      </c>
      <c r="W1071">
        <v>29.12</v>
      </c>
      <c r="X1071">
        <v>0</v>
      </c>
    </row>
    <row r="1072" spans="1:24" ht="15" customHeight="1" x14ac:dyDescent="0.25">
      <c r="A1072" t="str">
        <f>""</f>
        <v/>
      </c>
      <c r="B1072" s="1"/>
      <c r="H1072">
        <v>55.14</v>
      </c>
      <c r="J1072" t="s">
        <v>19</v>
      </c>
      <c r="L1072" s="1"/>
      <c r="N1072" s="1"/>
      <c r="V1072" t="str">
        <f>"75010"</f>
        <v>75010</v>
      </c>
      <c r="W1072">
        <v>0</v>
      </c>
      <c r="X1072">
        <v>0</v>
      </c>
    </row>
    <row r="1073" spans="1:24" ht="15" customHeight="1" x14ac:dyDescent="0.25">
      <c r="A1073" t="str">
        <f>""</f>
        <v/>
      </c>
      <c r="B1073" s="1"/>
      <c r="H1073">
        <v>144.26</v>
      </c>
      <c r="J1073" t="s">
        <v>20</v>
      </c>
      <c r="L1073" s="1"/>
      <c r="N1073" s="1"/>
      <c r="V1073" t="str">
        <f>"08000"</f>
        <v>08000</v>
      </c>
      <c r="W1073">
        <v>27.41</v>
      </c>
      <c r="X1073">
        <v>0</v>
      </c>
    </row>
    <row r="1074" spans="1:24" ht="15" customHeight="1" x14ac:dyDescent="0.25">
      <c r="A1074" t="str">
        <f>""</f>
        <v/>
      </c>
      <c r="B1074" s="1"/>
      <c r="H1074">
        <v>126.65</v>
      </c>
      <c r="J1074" t="s">
        <v>20</v>
      </c>
      <c r="L1074" s="1"/>
      <c r="N1074" s="1"/>
      <c r="V1074" t="str">
        <f>"42000"</f>
        <v>42000</v>
      </c>
      <c r="W1074">
        <v>34.200000000000003</v>
      </c>
      <c r="X1074">
        <v>0</v>
      </c>
    </row>
    <row r="1075" spans="1:24" ht="15" customHeight="1" x14ac:dyDescent="0.25">
      <c r="A1075" t="str">
        <f>""</f>
        <v/>
      </c>
      <c r="B1075" s="1"/>
      <c r="H1075">
        <v>130.19999999999999</v>
      </c>
      <c r="J1075" t="s">
        <v>20</v>
      </c>
      <c r="L1075" s="1"/>
      <c r="N1075" s="1"/>
      <c r="V1075" t="str">
        <f>"72470"</f>
        <v>72470</v>
      </c>
      <c r="W1075">
        <v>27.34</v>
      </c>
      <c r="X1075">
        <v>0</v>
      </c>
    </row>
    <row r="1076" spans="1:24" ht="15" customHeight="1" x14ac:dyDescent="0.25">
      <c r="A1076" t="str">
        <f>""</f>
        <v/>
      </c>
      <c r="B1076" s="1"/>
      <c r="H1076">
        <v>141.1</v>
      </c>
      <c r="J1076" t="s">
        <v>19</v>
      </c>
      <c r="L1076" s="1"/>
      <c r="N1076" s="1"/>
      <c r="V1076" t="str">
        <f>"76600"</f>
        <v>76600</v>
      </c>
      <c r="W1076">
        <v>23.99</v>
      </c>
      <c r="X1076">
        <v>0</v>
      </c>
    </row>
    <row r="1077" spans="1:24" ht="15" customHeight="1" x14ac:dyDescent="0.25">
      <c r="A1077" t="str">
        <f>""</f>
        <v/>
      </c>
      <c r="B1077" s="1"/>
      <c r="H1077">
        <v>142.62</v>
      </c>
      <c r="J1077" t="s">
        <v>20</v>
      </c>
      <c r="L1077" s="1"/>
      <c r="N1077" s="1"/>
      <c r="V1077" t="str">
        <f>"14150"</f>
        <v>14150</v>
      </c>
      <c r="W1077">
        <v>24.25</v>
      </c>
      <c r="X1077">
        <v>0</v>
      </c>
    </row>
    <row r="1078" spans="1:24" ht="15" customHeight="1" x14ac:dyDescent="0.25">
      <c r="A1078" t="str">
        <f>""</f>
        <v/>
      </c>
      <c r="B1078" s="1"/>
      <c r="H1078">
        <v>32.85</v>
      </c>
      <c r="J1078" t="s">
        <v>19</v>
      </c>
      <c r="L1078" s="1"/>
      <c r="N1078" s="1"/>
      <c r="V1078" t="str">
        <f>"75008"</f>
        <v>75008</v>
      </c>
      <c r="W1078">
        <v>0</v>
      </c>
      <c r="X1078">
        <v>0</v>
      </c>
    </row>
    <row r="1079" spans="1:24" ht="15" customHeight="1" x14ac:dyDescent="0.25">
      <c r="A1079" t="str">
        <f>""</f>
        <v/>
      </c>
      <c r="B1079" s="1"/>
      <c r="H1079">
        <v>299</v>
      </c>
      <c r="J1079" t="s">
        <v>22</v>
      </c>
      <c r="L1079" s="1"/>
      <c r="N1079" s="1"/>
      <c r="V1079" t="str">
        <f>"27400"</f>
        <v>27400</v>
      </c>
      <c r="W1079">
        <v>0</v>
      </c>
      <c r="X1079">
        <v>50.83</v>
      </c>
    </row>
    <row r="1080" spans="1:24" ht="15" customHeight="1" x14ac:dyDescent="0.25">
      <c r="A1080" t="str">
        <f>""</f>
        <v/>
      </c>
      <c r="B1080" s="1"/>
      <c r="H1080">
        <v>31</v>
      </c>
      <c r="L1080" s="1"/>
      <c r="N1080" s="1"/>
      <c r="V1080" t="str">
        <f>"44240"</f>
        <v>44240</v>
      </c>
      <c r="W1080">
        <v>0</v>
      </c>
      <c r="X1080">
        <v>0</v>
      </c>
    </row>
    <row r="1081" spans="1:24" ht="15" customHeight="1" x14ac:dyDescent="0.25">
      <c r="A1081" t="str">
        <f>""</f>
        <v/>
      </c>
      <c r="B1081" s="1"/>
      <c r="H1081">
        <v>80</v>
      </c>
      <c r="J1081" t="s">
        <v>22</v>
      </c>
      <c r="L1081" s="1"/>
      <c r="N1081" s="1"/>
      <c r="V1081" t="str">
        <f>"13127"</f>
        <v>13127</v>
      </c>
      <c r="W1081">
        <v>0</v>
      </c>
      <c r="X1081">
        <v>23.2</v>
      </c>
    </row>
    <row r="1082" spans="1:24" ht="15" customHeight="1" x14ac:dyDescent="0.25">
      <c r="A1082" t="str">
        <f>""</f>
        <v/>
      </c>
      <c r="B1082" s="1"/>
      <c r="H1082">
        <v>131.65</v>
      </c>
      <c r="J1082" t="s">
        <v>20</v>
      </c>
      <c r="L1082" s="1"/>
      <c r="N1082" s="1"/>
      <c r="V1082" t="str">
        <f>"67300"</f>
        <v>67300</v>
      </c>
      <c r="W1082">
        <v>38.18</v>
      </c>
      <c r="X1082">
        <v>0</v>
      </c>
    </row>
    <row r="1083" spans="1:24" ht="15" customHeight="1" x14ac:dyDescent="0.25">
      <c r="A1083" t="str">
        <f>""</f>
        <v/>
      </c>
      <c r="B1083" s="1"/>
      <c r="H1083">
        <v>55.14</v>
      </c>
      <c r="J1083" t="s">
        <v>20</v>
      </c>
      <c r="L1083" s="1"/>
      <c r="N1083" s="1"/>
      <c r="V1083" t="str">
        <f>"06510"</f>
        <v>06510</v>
      </c>
      <c r="W1083">
        <v>16.54</v>
      </c>
      <c r="X1083">
        <v>0</v>
      </c>
    </row>
    <row r="1084" spans="1:24" ht="15" customHeight="1" x14ac:dyDescent="0.25">
      <c r="A1084" t="str">
        <f>""</f>
        <v/>
      </c>
      <c r="B1084" s="1"/>
      <c r="H1084">
        <v>183.32</v>
      </c>
      <c r="J1084" t="s">
        <v>19</v>
      </c>
      <c r="L1084" s="1"/>
      <c r="N1084" s="1"/>
      <c r="V1084" t="str">
        <f>"44327"</f>
        <v>44327</v>
      </c>
      <c r="W1084">
        <v>49.5</v>
      </c>
      <c r="X1084">
        <v>0</v>
      </c>
    </row>
    <row r="1085" spans="1:24" ht="15" customHeight="1" x14ac:dyDescent="0.25">
      <c r="A1085" t="str">
        <f>""</f>
        <v/>
      </c>
      <c r="B1085" s="1"/>
      <c r="H1085">
        <v>129.59</v>
      </c>
      <c r="J1085" t="s">
        <v>20</v>
      </c>
      <c r="L1085" s="1"/>
      <c r="N1085" s="1"/>
      <c r="V1085" t="str">
        <f>"19100"</f>
        <v>19100</v>
      </c>
      <c r="W1085">
        <v>37.58</v>
      </c>
      <c r="X1085">
        <v>0</v>
      </c>
    </row>
    <row r="1086" spans="1:24" ht="15" customHeight="1" x14ac:dyDescent="0.25">
      <c r="A1086" t="str">
        <f>""</f>
        <v/>
      </c>
      <c r="B1086" s="1"/>
      <c r="H1086">
        <v>40</v>
      </c>
      <c r="J1086" t="s">
        <v>23</v>
      </c>
      <c r="L1086" s="1"/>
      <c r="N1086" s="1"/>
      <c r="V1086" t="str">
        <f>"76290"</f>
        <v>76290</v>
      </c>
      <c r="W1086">
        <v>0</v>
      </c>
      <c r="X1086">
        <v>6.8</v>
      </c>
    </row>
    <row r="1087" spans="1:24" ht="15" customHeight="1" x14ac:dyDescent="0.25">
      <c r="A1087" t="str">
        <f>""</f>
        <v/>
      </c>
      <c r="B1087" s="1"/>
      <c r="H1087">
        <v>40</v>
      </c>
      <c r="J1087" t="s">
        <v>22</v>
      </c>
      <c r="L1087" s="1"/>
      <c r="N1087" s="1"/>
      <c r="V1087" t="str">
        <f>"76290"</f>
        <v>76290</v>
      </c>
      <c r="W1087">
        <v>0</v>
      </c>
      <c r="X1087">
        <v>6.8</v>
      </c>
    </row>
    <row r="1088" spans="1:24" ht="15" customHeight="1" x14ac:dyDescent="0.25">
      <c r="A1088" t="str">
        <f>""</f>
        <v/>
      </c>
      <c r="B1088" s="1"/>
      <c r="H1088">
        <v>40</v>
      </c>
      <c r="J1088" t="s">
        <v>22</v>
      </c>
      <c r="L1088" s="1"/>
      <c r="N1088" s="1"/>
      <c r="V1088" t="str">
        <f>"76290"</f>
        <v>76290</v>
      </c>
      <c r="W1088">
        <v>0</v>
      </c>
      <c r="X1088">
        <v>6.8</v>
      </c>
    </row>
    <row r="1089" spans="1:24" ht="15" customHeight="1" x14ac:dyDescent="0.25">
      <c r="A1089" t="str">
        <f>""</f>
        <v/>
      </c>
      <c r="B1089" s="1"/>
      <c r="H1089">
        <v>164.8</v>
      </c>
      <c r="J1089" t="s">
        <v>22</v>
      </c>
      <c r="L1089" s="1"/>
      <c r="N1089" s="1"/>
      <c r="V1089" t="str">
        <f>"59260"</f>
        <v>59260</v>
      </c>
      <c r="W1089">
        <v>0</v>
      </c>
      <c r="X1089">
        <v>0</v>
      </c>
    </row>
    <row r="1090" spans="1:24" ht="15" customHeight="1" x14ac:dyDescent="0.25">
      <c r="A1090" t="str">
        <f>""</f>
        <v/>
      </c>
      <c r="B1090" s="1"/>
      <c r="H1090">
        <v>303.74</v>
      </c>
      <c r="J1090" t="s">
        <v>19</v>
      </c>
      <c r="L1090" s="1"/>
      <c r="N1090" s="1"/>
      <c r="V1090" t="str">
        <f>"75008"</f>
        <v>75008</v>
      </c>
      <c r="W1090">
        <v>0</v>
      </c>
      <c r="X1090">
        <v>0</v>
      </c>
    </row>
    <row r="1091" spans="1:24" ht="15" customHeight="1" x14ac:dyDescent="0.25">
      <c r="A1091" t="str">
        <f>""</f>
        <v/>
      </c>
      <c r="B1091" s="1"/>
      <c r="H1091">
        <v>182.32</v>
      </c>
      <c r="L1091" s="1"/>
      <c r="N1091" s="1"/>
      <c r="V1091" t="str">
        <f>"77184"</f>
        <v>77184</v>
      </c>
      <c r="W1091">
        <v>0</v>
      </c>
      <c r="X1091">
        <v>0</v>
      </c>
    </row>
    <row r="1092" spans="1:24" ht="15" customHeight="1" x14ac:dyDescent="0.25">
      <c r="A1092" t="str">
        <f>""</f>
        <v/>
      </c>
      <c r="B1092" s="1"/>
      <c r="H1092">
        <v>120.29</v>
      </c>
      <c r="J1092" t="s">
        <v>20</v>
      </c>
      <c r="L1092" s="1"/>
      <c r="N1092" s="1"/>
      <c r="V1092" t="str">
        <f>"51000"</f>
        <v>51000</v>
      </c>
      <c r="W1092">
        <v>30.07</v>
      </c>
      <c r="X1092">
        <v>0</v>
      </c>
    </row>
    <row r="1093" spans="1:24" ht="15" customHeight="1" x14ac:dyDescent="0.25">
      <c r="A1093" t="str">
        <f>""</f>
        <v/>
      </c>
      <c r="B1093" s="1"/>
      <c r="H1093">
        <v>831.24</v>
      </c>
      <c r="J1093" t="s">
        <v>20</v>
      </c>
      <c r="L1093" s="1"/>
      <c r="N1093" s="1"/>
      <c r="V1093" t="str">
        <f>"76600"</f>
        <v>76600</v>
      </c>
      <c r="W1093">
        <v>141.31</v>
      </c>
      <c r="X1093">
        <v>0</v>
      </c>
    </row>
    <row r="1094" spans="1:24" ht="15" customHeight="1" x14ac:dyDescent="0.25">
      <c r="A1094" t="str">
        <f>""</f>
        <v/>
      </c>
      <c r="B1094" s="1"/>
      <c r="H1094">
        <v>134.53</v>
      </c>
      <c r="J1094" t="s">
        <v>19</v>
      </c>
      <c r="L1094" s="1"/>
      <c r="N1094" s="1"/>
      <c r="V1094" t="str">
        <f>"67500"</f>
        <v>67500</v>
      </c>
      <c r="W1094">
        <v>39.01</v>
      </c>
      <c r="X1094">
        <v>0</v>
      </c>
    </row>
    <row r="1095" spans="1:24" ht="15" customHeight="1" x14ac:dyDescent="0.25">
      <c r="A1095" t="str">
        <f>""</f>
        <v/>
      </c>
      <c r="B1095" s="1"/>
      <c r="H1095">
        <v>75.14</v>
      </c>
      <c r="J1095" t="s">
        <v>20</v>
      </c>
      <c r="L1095" s="1"/>
      <c r="N1095" s="1"/>
      <c r="V1095" t="str">
        <f>"68870"</f>
        <v>68870</v>
      </c>
      <c r="W1095">
        <v>21.79</v>
      </c>
      <c r="X1095">
        <v>0</v>
      </c>
    </row>
    <row r="1096" spans="1:24" ht="15" customHeight="1" x14ac:dyDescent="0.25">
      <c r="A1096" t="str">
        <f>""</f>
        <v/>
      </c>
      <c r="B1096" s="1"/>
      <c r="H1096">
        <v>151</v>
      </c>
      <c r="J1096" t="s">
        <v>20</v>
      </c>
      <c r="L1096" s="1"/>
      <c r="N1096" s="1"/>
      <c r="V1096" t="str">
        <f>"92800"</f>
        <v>92800</v>
      </c>
      <c r="W1096">
        <v>0</v>
      </c>
      <c r="X1096">
        <v>0</v>
      </c>
    </row>
    <row r="1097" spans="1:24" ht="15" customHeight="1" x14ac:dyDescent="0.25">
      <c r="A1097" t="str">
        <f>""</f>
        <v/>
      </c>
      <c r="B1097" s="1"/>
      <c r="H1097">
        <v>19.8</v>
      </c>
      <c r="J1097" t="s">
        <v>20</v>
      </c>
      <c r="L1097" s="1"/>
      <c r="N1097" s="1"/>
      <c r="V1097" t="str">
        <f>"73000"</f>
        <v>73000</v>
      </c>
      <c r="W1097">
        <v>5.35</v>
      </c>
      <c r="X1097">
        <v>0</v>
      </c>
    </row>
    <row r="1098" spans="1:24" ht="15" customHeight="1" x14ac:dyDescent="0.25">
      <c r="A1098" t="str">
        <f>""</f>
        <v/>
      </c>
      <c r="B1098" s="1"/>
      <c r="H1098">
        <v>32.46</v>
      </c>
      <c r="J1098" t="s">
        <v>20</v>
      </c>
      <c r="L1098" s="1"/>
      <c r="N1098" s="1"/>
      <c r="V1098" t="str">
        <f>"14740"</f>
        <v>14740</v>
      </c>
      <c r="W1098">
        <v>5.52</v>
      </c>
      <c r="X1098">
        <v>0</v>
      </c>
    </row>
    <row r="1099" spans="1:24" ht="15" customHeight="1" x14ac:dyDescent="0.25">
      <c r="A1099" t="str">
        <f>""</f>
        <v/>
      </c>
      <c r="B1099" s="1"/>
      <c r="H1099">
        <v>40</v>
      </c>
      <c r="J1099" t="s">
        <v>20</v>
      </c>
      <c r="L1099" s="1"/>
      <c r="N1099" s="1"/>
      <c r="V1099" t="str">
        <f>"44000"</f>
        <v>44000</v>
      </c>
      <c r="W1099">
        <v>10.8</v>
      </c>
      <c r="X1099">
        <v>0</v>
      </c>
    </row>
    <row r="1100" spans="1:24" ht="15" customHeight="1" x14ac:dyDescent="0.25">
      <c r="A1100" t="str">
        <f>""</f>
        <v/>
      </c>
      <c r="B1100" s="1"/>
      <c r="H1100">
        <v>495</v>
      </c>
      <c r="L1100" s="1"/>
      <c r="N1100" s="1"/>
      <c r="V1100" t="str">
        <f>"77184"</f>
        <v>77184</v>
      </c>
      <c r="W1100">
        <v>0</v>
      </c>
      <c r="X1100">
        <v>0</v>
      </c>
    </row>
    <row r="1101" spans="1:24" ht="15" customHeight="1" x14ac:dyDescent="0.25">
      <c r="A1101" t="str">
        <f>""</f>
        <v/>
      </c>
      <c r="B1101" s="1"/>
      <c r="H1101">
        <v>160</v>
      </c>
      <c r="L1101" s="1"/>
      <c r="N1101" s="1"/>
      <c r="V1101" t="str">
        <f>"77184"</f>
        <v>77184</v>
      </c>
      <c r="W1101">
        <v>0</v>
      </c>
      <c r="X1101">
        <v>0</v>
      </c>
    </row>
    <row r="1102" spans="1:24" ht="15" customHeight="1" x14ac:dyDescent="0.25">
      <c r="A1102" t="str">
        <f>""</f>
        <v/>
      </c>
      <c r="B1102" s="1"/>
      <c r="H1102">
        <v>85.74</v>
      </c>
      <c r="J1102" t="s">
        <v>19</v>
      </c>
      <c r="L1102" s="1"/>
      <c r="N1102" s="1"/>
      <c r="V1102" t="str">
        <f>"56450"</f>
        <v>56450</v>
      </c>
      <c r="W1102">
        <v>23.15</v>
      </c>
      <c r="X1102">
        <v>0</v>
      </c>
    </row>
    <row r="1103" spans="1:24" ht="15" customHeight="1" x14ac:dyDescent="0.25">
      <c r="A1103" t="str">
        <f>""</f>
        <v/>
      </c>
      <c r="B1103" s="1"/>
      <c r="H1103">
        <v>48.23</v>
      </c>
      <c r="J1103" t="s">
        <v>19</v>
      </c>
      <c r="L1103" s="1"/>
      <c r="N1103" s="1"/>
      <c r="V1103" t="str">
        <f>"76600"</f>
        <v>76600</v>
      </c>
      <c r="W1103">
        <v>8.1999999999999993</v>
      </c>
      <c r="X1103">
        <v>0</v>
      </c>
    </row>
    <row r="1104" spans="1:24" ht="15" customHeight="1" x14ac:dyDescent="0.25">
      <c r="A1104" t="str">
        <f>""</f>
        <v/>
      </c>
      <c r="B1104" s="1"/>
      <c r="H1104">
        <v>33.35</v>
      </c>
      <c r="J1104" t="s">
        <v>19</v>
      </c>
      <c r="L1104" s="1"/>
      <c r="N1104" s="1"/>
      <c r="V1104" t="str">
        <f>"69005"</f>
        <v>69005</v>
      </c>
      <c r="W1104">
        <v>9</v>
      </c>
      <c r="X1104">
        <v>0</v>
      </c>
    </row>
    <row r="1105" spans="1:24" ht="15" customHeight="1" x14ac:dyDescent="0.25">
      <c r="A1105" t="str">
        <f>""</f>
        <v/>
      </c>
      <c r="B1105" s="1"/>
      <c r="H1105">
        <v>151</v>
      </c>
      <c r="J1105" t="s">
        <v>23</v>
      </c>
      <c r="L1105" s="1"/>
      <c r="N1105" s="1"/>
      <c r="V1105" t="str">
        <f>"25000"</f>
        <v>25000</v>
      </c>
      <c r="W1105">
        <v>0</v>
      </c>
      <c r="X1105">
        <v>18.12</v>
      </c>
    </row>
    <row r="1106" spans="1:24" ht="15" customHeight="1" x14ac:dyDescent="0.25">
      <c r="A1106" t="str">
        <f>""</f>
        <v/>
      </c>
      <c r="B1106" s="1"/>
      <c r="H1106">
        <v>184</v>
      </c>
      <c r="J1106" t="s">
        <v>22</v>
      </c>
      <c r="L1106" s="1"/>
      <c r="N1106" s="1"/>
      <c r="V1106" t="str">
        <f>"59800"</f>
        <v>59800</v>
      </c>
      <c r="W1106">
        <v>0</v>
      </c>
      <c r="X1106">
        <v>0</v>
      </c>
    </row>
    <row r="1107" spans="1:24" x14ac:dyDescent="0.25">
      <c r="A1107" t="str">
        <f>""</f>
        <v/>
      </c>
      <c r="B1107" s="1"/>
      <c r="H1107">
        <v>156.28</v>
      </c>
      <c r="J1107" t="s">
        <v>16</v>
      </c>
      <c r="L1107" s="1"/>
      <c r="N1107" s="1"/>
      <c r="V1107" t="str">
        <f>"73630"</f>
        <v>73630</v>
      </c>
      <c r="W1107">
        <v>0</v>
      </c>
      <c r="X1107">
        <v>0</v>
      </c>
    </row>
    <row r="1108" spans="1:24" ht="15" customHeight="1" x14ac:dyDescent="0.25">
      <c r="A1108" t="str">
        <f>""</f>
        <v/>
      </c>
      <c r="B1108" s="1"/>
      <c r="H1108">
        <v>134</v>
      </c>
      <c r="L1108" s="1"/>
      <c r="N1108" s="1"/>
      <c r="V1108" t="str">
        <f>"77184"</f>
        <v>77184</v>
      </c>
      <c r="W1108">
        <v>0</v>
      </c>
      <c r="X1108">
        <v>0</v>
      </c>
    </row>
    <row r="1109" spans="1:24" ht="15" customHeight="1" x14ac:dyDescent="0.25">
      <c r="A1109" t="str">
        <f>""</f>
        <v/>
      </c>
      <c r="B1109" s="1"/>
      <c r="H1109">
        <v>150</v>
      </c>
      <c r="L1109" s="1"/>
      <c r="N1109" s="1"/>
      <c r="V1109" t="str">
        <f>"77184"</f>
        <v>77184</v>
      </c>
      <c r="W1109">
        <v>0</v>
      </c>
      <c r="X1109">
        <v>0</v>
      </c>
    </row>
    <row r="1110" spans="1:24" ht="15" customHeight="1" x14ac:dyDescent="0.25">
      <c r="A1110" t="str">
        <f>""</f>
        <v/>
      </c>
      <c r="B1110" s="1"/>
      <c r="H1110">
        <v>130</v>
      </c>
      <c r="L1110" s="1"/>
      <c r="N1110" s="1"/>
      <c r="V1110" t="str">
        <f>"77184"</f>
        <v>77184</v>
      </c>
      <c r="W1110">
        <v>0</v>
      </c>
      <c r="X1110">
        <v>0</v>
      </c>
    </row>
    <row r="1111" spans="1:24" ht="15" customHeight="1" x14ac:dyDescent="0.25">
      <c r="A1111" t="str">
        <f>""</f>
        <v/>
      </c>
      <c r="B1111" s="1"/>
      <c r="H1111">
        <v>55.14</v>
      </c>
      <c r="J1111" t="s">
        <v>20</v>
      </c>
      <c r="L1111" s="1"/>
      <c r="N1111" s="1"/>
      <c r="V1111" t="str">
        <f>"76330"</f>
        <v>76330</v>
      </c>
      <c r="W1111">
        <v>9.3699999999999992</v>
      </c>
      <c r="X1111">
        <v>0</v>
      </c>
    </row>
    <row r="1112" spans="1:24" ht="15" customHeight="1" x14ac:dyDescent="0.25">
      <c r="A1112" t="str">
        <f>""</f>
        <v/>
      </c>
      <c r="B1112" s="1"/>
      <c r="H1112">
        <v>18.350000000000001</v>
      </c>
      <c r="J1112" t="s">
        <v>19</v>
      </c>
      <c r="L1112" s="1"/>
      <c r="N1112" s="1"/>
      <c r="V1112" t="str">
        <f>"84140"</f>
        <v>84140</v>
      </c>
      <c r="W1112">
        <v>5.32</v>
      </c>
      <c r="X1112">
        <v>0</v>
      </c>
    </row>
    <row r="1113" spans="1:24" ht="15" customHeight="1" x14ac:dyDescent="0.25">
      <c r="A1113" t="str">
        <f>""</f>
        <v/>
      </c>
      <c r="B1113" s="1"/>
      <c r="H1113">
        <v>43.44</v>
      </c>
      <c r="J1113" t="s">
        <v>19</v>
      </c>
      <c r="L1113" s="1"/>
      <c r="N1113" s="1"/>
      <c r="V1113" t="str">
        <f>"06000"</f>
        <v>06000</v>
      </c>
      <c r="W1113">
        <v>13.03</v>
      </c>
      <c r="X1113">
        <v>0</v>
      </c>
    </row>
    <row r="1114" spans="1:24" ht="15" customHeight="1" x14ac:dyDescent="0.25">
      <c r="A1114" t="str">
        <f>""</f>
        <v/>
      </c>
      <c r="B1114" s="1"/>
      <c r="H1114">
        <v>183.25</v>
      </c>
      <c r="J1114" t="s">
        <v>20</v>
      </c>
      <c r="L1114" s="1"/>
      <c r="N1114" s="1"/>
      <c r="V1114" t="str">
        <f>"94150"</f>
        <v>94150</v>
      </c>
      <c r="W1114">
        <v>0</v>
      </c>
      <c r="X1114">
        <v>0</v>
      </c>
    </row>
    <row r="1115" spans="1:24" ht="15" customHeight="1" x14ac:dyDescent="0.25">
      <c r="A1115" t="str">
        <f>""</f>
        <v/>
      </c>
      <c r="B1115" s="1"/>
      <c r="H1115">
        <v>15.8</v>
      </c>
      <c r="J1115" t="s">
        <v>19</v>
      </c>
      <c r="L1115" s="1"/>
      <c r="N1115" s="1"/>
      <c r="V1115" t="str">
        <f>"69200"</f>
        <v>69200</v>
      </c>
      <c r="W1115">
        <v>4.2699999999999996</v>
      </c>
      <c r="X1115">
        <v>0</v>
      </c>
    </row>
    <row r="1116" spans="1:24" ht="15" customHeight="1" x14ac:dyDescent="0.25">
      <c r="A1116" t="str">
        <f>""</f>
        <v/>
      </c>
      <c r="B1116" s="1"/>
      <c r="H1116">
        <v>223.04</v>
      </c>
      <c r="J1116" t="s">
        <v>22</v>
      </c>
      <c r="L1116" s="1"/>
      <c r="N1116" s="1"/>
      <c r="V1116" t="str">
        <f>"69006"</f>
        <v>69006</v>
      </c>
      <c r="W1116">
        <v>0</v>
      </c>
      <c r="X1116">
        <v>0</v>
      </c>
    </row>
    <row r="1117" spans="1:24" ht="15" customHeight="1" x14ac:dyDescent="0.25">
      <c r="A1117" t="str">
        <f>""</f>
        <v/>
      </c>
      <c r="B1117" s="1"/>
      <c r="H1117">
        <v>110.7</v>
      </c>
      <c r="J1117" t="s">
        <v>20</v>
      </c>
      <c r="L1117" s="1"/>
      <c r="N1117" s="1"/>
      <c r="V1117" t="str">
        <f>"57160"</f>
        <v>57160</v>
      </c>
      <c r="W1117">
        <v>27.68</v>
      </c>
      <c r="X1117">
        <v>0</v>
      </c>
    </row>
    <row r="1118" spans="1:24" ht="15" customHeight="1" x14ac:dyDescent="0.25">
      <c r="A1118" t="str">
        <f>""</f>
        <v/>
      </c>
      <c r="B1118" s="1"/>
      <c r="H1118">
        <v>125.98</v>
      </c>
      <c r="J1118" t="s">
        <v>20</v>
      </c>
      <c r="L1118" s="1"/>
      <c r="N1118" s="1"/>
      <c r="V1118" t="str">
        <f>"41160"</f>
        <v>41160</v>
      </c>
      <c r="W1118">
        <v>26.46</v>
      </c>
      <c r="X1118">
        <v>0</v>
      </c>
    </row>
    <row r="1119" spans="1:24" ht="15" customHeight="1" x14ac:dyDescent="0.25">
      <c r="A1119" t="str">
        <f>""</f>
        <v/>
      </c>
      <c r="B1119" s="1"/>
      <c r="H1119">
        <v>35</v>
      </c>
      <c r="L1119" s="1"/>
      <c r="N1119" s="1"/>
      <c r="V1119" t="str">
        <f>"77184"</f>
        <v>77184</v>
      </c>
      <c r="W1119">
        <v>0</v>
      </c>
      <c r="X1119">
        <v>0</v>
      </c>
    </row>
    <row r="1120" spans="1:24" ht="15" customHeight="1" x14ac:dyDescent="0.25">
      <c r="A1120" t="str">
        <f>""</f>
        <v/>
      </c>
      <c r="B1120" s="1"/>
      <c r="H1120">
        <v>250</v>
      </c>
      <c r="L1120" s="1"/>
      <c r="N1120" s="1"/>
      <c r="V1120" t="str">
        <f>"77184"</f>
        <v>77184</v>
      </c>
      <c r="W1120">
        <v>0</v>
      </c>
      <c r="X1120">
        <v>0</v>
      </c>
    </row>
    <row r="1121" spans="1:24" ht="15" customHeight="1" x14ac:dyDescent="0.25">
      <c r="A1121" t="str">
        <f>""</f>
        <v/>
      </c>
      <c r="B1121" s="1"/>
      <c r="H1121">
        <v>29.89</v>
      </c>
      <c r="J1121" t="s">
        <v>22</v>
      </c>
      <c r="L1121" s="1"/>
      <c r="N1121" s="1"/>
      <c r="V1121" t="str">
        <f>"39500"</f>
        <v>39500</v>
      </c>
      <c r="W1121">
        <v>0</v>
      </c>
      <c r="X1121">
        <v>0</v>
      </c>
    </row>
    <row r="1122" spans="1:24" ht="15" customHeight="1" x14ac:dyDescent="0.25">
      <c r="A1122" t="str">
        <f>""</f>
        <v/>
      </c>
      <c r="B1122" s="1"/>
      <c r="H1122">
        <v>90.99</v>
      </c>
      <c r="J1122" t="s">
        <v>22</v>
      </c>
      <c r="L1122" s="1"/>
      <c r="V1122" t="str">
        <f>"69100"</f>
        <v>69100</v>
      </c>
      <c r="W1122">
        <v>0</v>
      </c>
      <c r="X1122">
        <v>0</v>
      </c>
    </row>
    <row r="1123" spans="1:24" ht="15" customHeight="1" x14ac:dyDescent="0.25">
      <c r="A1123" t="str">
        <f>""</f>
        <v/>
      </c>
      <c r="B1123" s="1"/>
      <c r="H1123">
        <v>90.99</v>
      </c>
      <c r="J1123" t="s">
        <v>22</v>
      </c>
      <c r="L1123" s="1"/>
      <c r="V1123" t="str">
        <f>"69100"</f>
        <v>69100</v>
      </c>
      <c r="W1123">
        <v>0</v>
      </c>
      <c r="X1123">
        <v>0</v>
      </c>
    </row>
    <row r="1124" spans="1:24" ht="15" customHeight="1" x14ac:dyDescent="0.25">
      <c r="A1124" t="str">
        <f>""</f>
        <v/>
      </c>
      <c r="B1124" s="1"/>
      <c r="H1124">
        <v>250</v>
      </c>
      <c r="J1124" t="s">
        <v>22</v>
      </c>
      <c r="L1124" s="1"/>
      <c r="N1124" s="1"/>
      <c r="V1124" t="str">
        <f>"92000"</f>
        <v>92000</v>
      </c>
      <c r="W1124">
        <v>0</v>
      </c>
      <c r="X1124">
        <v>0</v>
      </c>
    </row>
    <row r="1125" spans="1:24" ht="15" customHeight="1" x14ac:dyDescent="0.25">
      <c r="A1125" t="str">
        <f>""</f>
        <v/>
      </c>
      <c r="B1125" s="1"/>
      <c r="H1125">
        <v>140</v>
      </c>
      <c r="J1125" t="s">
        <v>23</v>
      </c>
      <c r="L1125" s="1"/>
      <c r="V1125" t="str">
        <f>"94510"</f>
        <v>94510</v>
      </c>
      <c r="W1125">
        <v>0</v>
      </c>
      <c r="X1125">
        <v>0</v>
      </c>
    </row>
    <row r="1126" spans="1:24" ht="15" customHeight="1" x14ac:dyDescent="0.25">
      <c r="A1126" t="str">
        <f>""</f>
        <v/>
      </c>
      <c r="B1126" s="1"/>
      <c r="H1126">
        <v>157.32</v>
      </c>
      <c r="J1126" t="s">
        <v>23</v>
      </c>
      <c r="L1126" s="1"/>
      <c r="V1126" t="str">
        <f>"94320"</f>
        <v>94320</v>
      </c>
      <c r="W1126">
        <v>0</v>
      </c>
      <c r="X1126">
        <v>0</v>
      </c>
    </row>
    <row r="1127" spans="1:24" ht="15" customHeight="1" x14ac:dyDescent="0.25">
      <c r="A1127" t="str">
        <f>""</f>
        <v/>
      </c>
      <c r="B1127" s="1"/>
      <c r="H1127">
        <v>160.93</v>
      </c>
      <c r="J1127" t="s">
        <v>23</v>
      </c>
      <c r="L1127" s="1"/>
      <c r="N1127" s="1"/>
      <c r="V1127" t="str">
        <f>"13012"</f>
        <v>13012</v>
      </c>
      <c r="W1127">
        <v>0</v>
      </c>
      <c r="X1127">
        <v>0</v>
      </c>
    </row>
    <row r="1128" spans="1:24" ht="15" customHeight="1" x14ac:dyDescent="0.25">
      <c r="A1128" t="str">
        <f>""</f>
        <v/>
      </c>
      <c r="B1128" s="1"/>
      <c r="H1128">
        <v>70</v>
      </c>
      <c r="J1128" t="s">
        <v>22</v>
      </c>
      <c r="L1128" s="1"/>
      <c r="N1128" s="1"/>
      <c r="V1128" t="str">
        <f>"25200"</f>
        <v>25200</v>
      </c>
      <c r="W1128">
        <v>0</v>
      </c>
      <c r="X1128">
        <v>8.4</v>
      </c>
    </row>
    <row r="1129" spans="1:24" ht="15" customHeight="1" x14ac:dyDescent="0.25">
      <c r="A1129" t="str">
        <f>""</f>
        <v/>
      </c>
      <c r="B1129" s="1"/>
      <c r="H1129">
        <v>140</v>
      </c>
      <c r="J1129" t="s">
        <v>22</v>
      </c>
      <c r="L1129" s="1"/>
      <c r="N1129" s="1"/>
      <c r="V1129" t="str">
        <f>"30100"</f>
        <v>30100</v>
      </c>
      <c r="W1129">
        <v>0</v>
      </c>
      <c r="X1129">
        <v>0</v>
      </c>
    </row>
    <row r="1130" spans="1:24" ht="15" customHeight="1" x14ac:dyDescent="0.25">
      <c r="A1130" t="str">
        <f>""</f>
        <v/>
      </c>
      <c r="B1130" s="1"/>
      <c r="H1130">
        <v>140</v>
      </c>
      <c r="J1130" t="s">
        <v>23</v>
      </c>
      <c r="L1130" s="1"/>
      <c r="N1130" s="1"/>
      <c r="V1130" t="str">
        <f>"02320"</f>
        <v>02320</v>
      </c>
      <c r="W1130">
        <v>0</v>
      </c>
      <c r="X1130">
        <v>0</v>
      </c>
    </row>
    <row r="1131" spans="1:24" ht="15" customHeight="1" x14ac:dyDescent="0.25">
      <c r="A1131" t="str">
        <f>""</f>
        <v/>
      </c>
      <c r="B1131" s="1"/>
      <c r="H1131">
        <v>159.69</v>
      </c>
      <c r="J1131" t="s">
        <v>22</v>
      </c>
      <c r="L1131" s="1"/>
      <c r="N1131" s="1"/>
      <c r="V1131" t="str">
        <f>"95700"</f>
        <v>95700</v>
      </c>
      <c r="W1131">
        <v>0</v>
      </c>
      <c r="X1131">
        <v>0</v>
      </c>
    </row>
    <row r="1132" spans="1:24" ht="15" customHeight="1" x14ac:dyDescent="0.25">
      <c r="A1132" t="str">
        <f>""</f>
        <v/>
      </c>
      <c r="B1132" s="1"/>
      <c r="H1132">
        <v>173.92</v>
      </c>
      <c r="J1132" t="s">
        <v>22</v>
      </c>
      <c r="L1132" s="1"/>
      <c r="N1132" s="1"/>
      <c r="V1132" t="str">
        <f>"14000"</f>
        <v>14000</v>
      </c>
      <c r="W1132">
        <v>0</v>
      </c>
      <c r="X1132">
        <v>0</v>
      </c>
    </row>
    <row r="1133" spans="1:24" ht="15" customHeight="1" x14ac:dyDescent="0.25">
      <c r="A1133" t="str">
        <f>""</f>
        <v/>
      </c>
      <c r="B1133" s="1"/>
      <c r="H1133">
        <v>180</v>
      </c>
      <c r="J1133" t="s">
        <v>23</v>
      </c>
      <c r="L1133" s="1"/>
      <c r="N1133" s="1"/>
      <c r="V1133" t="str">
        <f>"14500"</f>
        <v>14500</v>
      </c>
      <c r="W1133">
        <v>0</v>
      </c>
      <c r="X1133">
        <v>30.6</v>
      </c>
    </row>
    <row r="1134" spans="1:24" ht="15" customHeight="1" x14ac:dyDescent="0.25">
      <c r="A1134" t="str">
        <f>""</f>
        <v/>
      </c>
      <c r="B1134" s="1"/>
      <c r="H1134">
        <v>40</v>
      </c>
      <c r="J1134" t="s">
        <v>22</v>
      </c>
      <c r="L1134" s="1"/>
      <c r="N1134" s="1"/>
      <c r="V1134" t="str">
        <f>"50000"</f>
        <v>50000</v>
      </c>
      <c r="W1134">
        <v>0</v>
      </c>
      <c r="X1134">
        <v>6.8</v>
      </c>
    </row>
    <row r="1135" spans="1:24" ht="15" customHeight="1" x14ac:dyDescent="0.25">
      <c r="A1135" t="str">
        <f>""</f>
        <v/>
      </c>
      <c r="B1135" s="1"/>
      <c r="H1135">
        <v>151</v>
      </c>
      <c r="J1135" t="s">
        <v>20</v>
      </c>
      <c r="L1135" s="1"/>
      <c r="N1135" s="1"/>
      <c r="V1135" t="str">
        <f>"34000"</f>
        <v>34000</v>
      </c>
      <c r="W1135">
        <v>58.89</v>
      </c>
      <c r="X1135">
        <v>0</v>
      </c>
    </row>
    <row r="1136" spans="1:24" ht="15" customHeight="1" x14ac:dyDescent="0.25">
      <c r="A1136" t="str">
        <f>""</f>
        <v/>
      </c>
      <c r="B1136" s="1"/>
      <c r="H1136">
        <v>25</v>
      </c>
      <c r="J1136" t="s">
        <v>22</v>
      </c>
      <c r="L1136" s="1"/>
      <c r="N1136" s="1"/>
      <c r="V1136" t="str">
        <f>"85700"</f>
        <v>85700</v>
      </c>
      <c r="W1136">
        <v>0</v>
      </c>
      <c r="X1136">
        <v>0</v>
      </c>
    </row>
    <row r="1137" spans="1:24" ht="15" customHeight="1" x14ac:dyDescent="0.25">
      <c r="A1137" t="str">
        <f>""</f>
        <v/>
      </c>
      <c r="B1137" s="1"/>
      <c r="H1137">
        <v>22.5</v>
      </c>
      <c r="J1137" t="s">
        <v>22</v>
      </c>
      <c r="L1137" s="1"/>
      <c r="V1137" t="str">
        <f>"70000"</f>
        <v>70000</v>
      </c>
      <c r="W1137">
        <v>0</v>
      </c>
      <c r="X1137">
        <v>0</v>
      </c>
    </row>
    <row r="1138" spans="1:24" ht="15" customHeight="1" x14ac:dyDescent="0.25">
      <c r="A1138" t="str">
        <f>""</f>
        <v/>
      </c>
      <c r="B1138" s="1"/>
      <c r="H1138">
        <v>109.06</v>
      </c>
      <c r="J1138" t="s">
        <v>23</v>
      </c>
      <c r="L1138" s="1"/>
      <c r="N1138" s="1"/>
      <c r="V1138" t="str">
        <f>"57180"</f>
        <v>57180</v>
      </c>
      <c r="W1138">
        <v>0</v>
      </c>
      <c r="X1138">
        <v>27.26</v>
      </c>
    </row>
    <row r="1139" spans="1:24" ht="15" customHeight="1" x14ac:dyDescent="0.25">
      <c r="A1139" t="str">
        <f>""</f>
        <v/>
      </c>
      <c r="B1139" s="1"/>
      <c r="H1139">
        <v>250</v>
      </c>
      <c r="J1139" t="s">
        <v>23</v>
      </c>
      <c r="L1139" s="1"/>
      <c r="N1139" s="1"/>
      <c r="V1139" t="str">
        <f>"69200"</f>
        <v>69200</v>
      </c>
      <c r="W1139">
        <v>0</v>
      </c>
      <c r="X1139">
        <v>0</v>
      </c>
    </row>
    <row r="1140" spans="1:24" ht="15" customHeight="1" x14ac:dyDescent="0.25">
      <c r="A1140" t="str">
        <f>""</f>
        <v/>
      </c>
      <c r="B1140" s="1"/>
      <c r="H1140">
        <v>140</v>
      </c>
      <c r="J1140" t="s">
        <v>23</v>
      </c>
      <c r="L1140" s="1"/>
      <c r="V1140" t="str">
        <f>"66530"</f>
        <v>66530</v>
      </c>
      <c r="W1140">
        <v>0</v>
      </c>
      <c r="X1140">
        <v>0</v>
      </c>
    </row>
    <row r="1141" spans="1:24" ht="15" customHeight="1" x14ac:dyDescent="0.25">
      <c r="A1141" t="str">
        <f>""</f>
        <v/>
      </c>
      <c r="B1141" s="1"/>
      <c r="H1141">
        <v>180</v>
      </c>
      <c r="J1141" t="s">
        <v>23</v>
      </c>
      <c r="L1141" s="1"/>
      <c r="N1141" s="1"/>
      <c r="V1141" t="str">
        <f>"63000"</f>
        <v>63000</v>
      </c>
      <c r="W1141">
        <v>0</v>
      </c>
      <c r="X1141">
        <v>21.6</v>
      </c>
    </row>
    <row r="1142" spans="1:24" x14ac:dyDescent="0.25">
      <c r="A1142" t="str">
        <f>""</f>
        <v/>
      </c>
      <c r="B1142" s="1"/>
      <c r="H1142">
        <v>52.5</v>
      </c>
      <c r="J1142" t="s">
        <v>15</v>
      </c>
      <c r="L1142" s="1"/>
      <c r="N1142" s="1"/>
      <c r="V1142" t="str">
        <f>"62300"</f>
        <v>62300</v>
      </c>
      <c r="W1142">
        <v>0</v>
      </c>
      <c r="X1142">
        <v>0</v>
      </c>
    </row>
    <row r="1143" spans="1:24" x14ac:dyDescent="0.25">
      <c r="A1143" t="str">
        <f>""</f>
        <v/>
      </c>
      <c r="B1143" s="1"/>
      <c r="H1143">
        <v>52.5</v>
      </c>
      <c r="J1143" t="s">
        <v>15</v>
      </c>
      <c r="L1143" s="1"/>
      <c r="N1143" s="1"/>
      <c r="V1143" t="str">
        <f>"13015"</f>
        <v>13015</v>
      </c>
      <c r="W1143">
        <v>0</v>
      </c>
      <c r="X1143">
        <v>0</v>
      </c>
    </row>
    <row r="1144" spans="1:24" x14ac:dyDescent="0.25">
      <c r="A1144" t="str">
        <f>""</f>
        <v/>
      </c>
      <c r="B1144" s="1"/>
      <c r="H1144">
        <v>52.5</v>
      </c>
      <c r="J1144" t="s">
        <v>15</v>
      </c>
      <c r="L1144" s="1"/>
      <c r="N1144" s="1"/>
      <c r="V1144" t="str">
        <f>"34000"</f>
        <v>34000</v>
      </c>
      <c r="W1144">
        <v>0</v>
      </c>
      <c r="X1144">
        <v>0</v>
      </c>
    </row>
    <row r="1145" spans="1:24" x14ac:dyDescent="0.25">
      <c r="A1145" t="str">
        <f>""</f>
        <v/>
      </c>
      <c r="B1145" s="1"/>
      <c r="H1145">
        <v>52.5</v>
      </c>
      <c r="J1145" t="s">
        <v>15</v>
      </c>
      <c r="L1145" s="1"/>
      <c r="N1145" s="1"/>
      <c r="V1145" t="str">
        <f>"06000"</f>
        <v>06000</v>
      </c>
      <c r="W1145">
        <v>0</v>
      </c>
      <c r="X1145">
        <v>0</v>
      </c>
    </row>
    <row r="1146" spans="1:24" x14ac:dyDescent="0.25">
      <c r="A1146" t="str">
        <f>""</f>
        <v/>
      </c>
      <c r="B1146" s="1"/>
      <c r="H1146">
        <v>52.5</v>
      </c>
      <c r="J1146" t="s">
        <v>15</v>
      </c>
      <c r="L1146" s="1"/>
      <c r="N1146" s="1"/>
      <c r="V1146" t="str">
        <f>"75012"</f>
        <v>75012</v>
      </c>
      <c r="W1146">
        <v>0</v>
      </c>
      <c r="X1146">
        <v>0</v>
      </c>
    </row>
    <row r="1147" spans="1:24" x14ac:dyDescent="0.25">
      <c r="A1147" t="str">
        <f>""</f>
        <v/>
      </c>
      <c r="B1147" s="1"/>
      <c r="H1147">
        <v>52.5</v>
      </c>
      <c r="J1147" t="s">
        <v>15</v>
      </c>
      <c r="L1147" s="1"/>
      <c r="N1147" s="1"/>
      <c r="V1147" t="str">
        <f>"44600"</f>
        <v>44600</v>
      </c>
      <c r="W1147">
        <v>0</v>
      </c>
      <c r="X1147">
        <v>0</v>
      </c>
    </row>
    <row r="1148" spans="1:24" x14ac:dyDescent="0.25">
      <c r="A1148" t="str">
        <f>""</f>
        <v/>
      </c>
      <c r="B1148" s="1"/>
      <c r="H1148">
        <v>52.5</v>
      </c>
      <c r="J1148" t="s">
        <v>15</v>
      </c>
      <c r="L1148" s="1"/>
      <c r="N1148" s="1"/>
      <c r="V1148" t="str">
        <f>"33150"</f>
        <v>33150</v>
      </c>
      <c r="W1148">
        <v>0</v>
      </c>
      <c r="X1148">
        <v>0</v>
      </c>
    </row>
    <row r="1149" spans="1:24" x14ac:dyDescent="0.25">
      <c r="A1149" t="str">
        <f>""</f>
        <v/>
      </c>
      <c r="B1149" s="1"/>
      <c r="H1149">
        <v>52.5</v>
      </c>
      <c r="J1149" t="s">
        <v>15</v>
      </c>
      <c r="L1149" s="1"/>
      <c r="N1149" s="1"/>
      <c r="V1149" t="str">
        <f>"80000"</f>
        <v>80000</v>
      </c>
      <c r="W1149">
        <v>0</v>
      </c>
      <c r="X1149">
        <v>0</v>
      </c>
    </row>
    <row r="1150" spans="1:24" ht="15" customHeight="1" x14ac:dyDescent="0.25">
      <c r="A1150" t="str">
        <f>""</f>
        <v/>
      </c>
      <c r="B1150" s="1"/>
      <c r="H1150">
        <v>40</v>
      </c>
      <c r="J1150" t="s">
        <v>22</v>
      </c>
      <c r="L1150" s="1"/>
      <c r="N1150" s="1"/>
      <c r="V1150" t="str">
        <f>"77140"</f>
        <v>77140</v>
      </c>
      <c r="W1150">
        <v>0</v>
      </c>
      <c r="X1150">
        <v>0</v>
      </c>
    </row>
    <row r="1151" spans="1:24" ht="15" customHeight="1" x14ac:dyDescent="0.25">
      <c r="A1151" t="str">
        <f>""</f>
        <v/>
      </c>
      <c r="B1151" s="1"/>
      <c r="H1151">
        <v>125.98</v>
      </c>
      <c r="J1151" t="s">
        <v>19</v>
      </c>
      <c r="L1151" s="1"/>
      <c r="N1151" s="1"/>
      <c r="V1151" t="str">
        <f>"69006"</f>
        <v>69006</v>
      </c>
      <c r="W1151">
        <v>34.01</v>
      </c>
      <c r="X1151">
        <v>0</v>
      </c>
    </row>
    <row r="1152" spans="1:24" ht="15" customHeight="1" x14ac:dyDescent="0.25">
      <c r="A1152" t="str">
        <f>""</f>
        <v/>
      </c>
      <c r="B1152" s="1"/>
      <c r="H1152">
        <v>38.85</v>
      </c>
      <c r="J1152" t="s">
        <v>19</v>
      </c>
      <c r="L1152" s="1"/>
      <c r="N1152" s="1"/>
      <c r="V1152" t="str">
        <f>"62200"</f>
        <v>62200</v>
      </c>
      <c r="W1152">
        <v>7.38</v>
      </c>
      <c r="X1152">
        <v>0</v>
      </c>
    </row>
    <row r="1153" spans="1:24" ht="15" customHeight="1" x14ac:dyDescent="0.25">
      <c r="A1153" t="str">
        <f>""</f>
        <v/>
      </c>
      <c r="B1153" s="1"/>
      <c r="H1153">
        <v>140</v>
      </c>
      <c r="J1153" t="s">
        <v>23</v>
      </c>
      <c r="L1153" s="1"/>
      <c r="N1153" s="1"/>
      <c r="V1153" t="str">
        <f>"78280"</f>
        <v>78280</v>
      </c>
      <c r="W1153">
        <v>0</v>
      </c>
      <c r="X1153">
        <v>0</v>
      </c>
    </row>
    <row r="1154" spans="1:24" ht="15" customHeight="1" x14ac:dyDescent="0.25">
      <c r="A1154" t="str">
        <f>""</f>
        <v/>
      </c>
      <c r="B1154" s="1"/>
      <c r="H1154">
        <v>40</v>
      </c>
      <c r="J1154" t="s">
        <v>22</v>
      </c>
      <c r="L1154" s="1"/>
      <c r="V1154" t="str">
        <f>"61100"</f>
        <v>61100</v>
      </c>
      <c r="W1154">
        <v>0</v>
      </c>
      <c r="X1154">
        <v>0</v>
      </c>
    </row>
    <row r="1155" spans="1:24" ht="15" customHeight="1" x14ac:dyDescent="0.25">
      <c r="A1155" t="str">
        <f>""</f>
        <v/>
      </c>
      <c r="B1155" s="1"/>
      <c r="H1155">
        <v>32.6</v>
      </c>
      <c r="J1155" t="s">
        <v>22</v>
      </c>
      <c r="L1155" s="1"/>
      <c r="V1155" t="str">
        <f>"75011"</f>
        <v>75011</v>
      </c>
      <c r="W1155">
        <v>0</v>
      </c>
      <c r="X1155">
        <v>0</v>
      </c>
    </row>
    <row r="1156" spans="1:24" x14ac:dyDescent="0.25">
      <c r="A1156" t="str">
        <f>""</f>
        <v/>
      </c>
      <c r="B1156" s="1"/>
      <c r="H1156">
        <v>134.97</v>
      </c>
      <c r="J1156" t="s">
        <v>16</v>
      </c>
      <c r="L1156" s="1"/>
      <c r="N1156" s="1"/>
      <c r="V1156" t="str">
        <f>"35390"</f>
        <v>35390</v>
      </c>
      <c r="W1156">
        <v>0</v>
      </c>
      <c r="X1156">
        <v>0</v>
      </c>
    </row>
    <row r="1157" spans="1:24" ht="15" customHeight="1" x14ac:dyDescent="0.25">
      <c r="A1157" t="str">
        <f>""</f>
        <v/>
      </c>
      <c r="B1157" s="1"/>
      <c r="H1157">
        <v>50.84</v>
      </c>
      <c r="J1157" t="s">
        <v>19</v>
      </c>
      <c r="L1157" s="1"/>
      <c r="N1157" s="1"/>
      <c r="V1157" t="str">
        <f>"92000"</f>
        <v>92000</v>
      </c>
      <c r="W1157">
        <v>0</v>
      </c>
      <c r="X1157">
        <v>0</v>
      </c>
    </row>
    <row r="1158" spans="1:24" x14ac:dyDescent="0.25">
      <c r="A1158" t="str">
        <f>""</f>
        <v/>
      </c>
      <c r="B1158" s="1"/>
      <c r="H1158">
        <v>193.58</v>
      </c>
      <c r="J1158" t="s">
        <v>18</v>
      </c>
      <c r="L1158" s="1"/>
      <c r="N1158" s="1"/>
      <c r="V1158" t="str">
        <f>"49380"</f>
        <v>49380</v>
      </c>
      <c r="W1158">
        <v>0</v>
      </c>
      <c r="X1158">
        <v>0</v>
      </c>
    </row>
    <row r="1159" spans="1:24" ht="15" customHeight="1" x14ac:dyDescent="0.25">
      <c r="A1159" t="str">
        <f>""</f>
        <v/>
      </c>
      <c r="B1159" s="1"/>
      <c r="H1159">
        <v>120.29</v>
      </c>
      <c r="J1159" t="s">
        <v>20</v>
      </c>
      <c r="L1159" s="1"/>
      <c r="N1159" s="1"/>
      <c r="V1159" t="str">
        <f>"37100"</f>
        <v>37100</v>
      </c>
      <c r="W1159">
        <v>25.26</v>
      </c>
      <c r="X1159">
        <v>0</v>
      </c>
    </row>
    <row r="1160" spans="1:24" ht="15" customHeight="1" x14ac:dyDescent="0.25">
      <c r="A1160" t="str">
        <f>""</f>
        <v/>
      </c>
      <c r="B1160" s="1"/>
      <c r="H1160">
        <v>55.16</v>
      </c>
      <c r="J1160" t="s">
        <v>19</v>
      </c>
      <c r="L1160" s="1"/>
      <c r="N1160" s="1"/>
      <c r="V1160" t="str">
        <f>"93013"</f>
        <v>93013</v>
      </c>
      <c r="W1160">
        <v>0</v>
      </c>
      <c r="X1160">
        <v>0</v>
      </c>
    </row>
    <row r="1161" spans="1:24" ht="15" customHeight="1" x14ac:dyDescent="0.25">
      <c r="A1161" t="str">
        <f>""</f>
        <v/>
      </c>
      <c r="B1161" s="1"/>
      <c r="H1161">
        <v>19.649999999999999</v>
      </c>
      <c r="J1161" t="s">
        <v>19</v>
      </c>
      <c r="L1161" s="1"/>
      <c r="N1161" s="1"/>
      <c r="V1161" t="str">
        <f>"38300"</f>
        <v>38300</v>
      </c>
      <c r="W1161">
        <v>5.31</v>
      </c>
      <c r="X1161">
        <v>0</v>
      </c>
    </row>
    <row r="1162" spans="1:24" x14ac:dyDescent="0.25">
      <c r="A1162" t="str">
        <f>""</f>
        <v/>
      </c>
      <c r="B1162" s="1"/>
      <c r="H1162">
        <v>23.4</v>
      </c>
      <c r="J1162" t="s">
        <v>15</v>
      </c>
      <c r="L1162" s="1"/>
      <c r="N1162" s="1"/>
      <c r="V1162" t="str">
        <f>"38230"</f>
        <v>38230</v>
      </c>
      <c r="W1162">
        <v>0</v>
      </c>
      <c r="X1162">
        <v>0</v>
      </c>
    </row>
    <row r="1163" spans="1:24" x14ac:dyDescent="0.25">
      <c r="A1163" t="str">
        <f>""</f>
        <v/>
      </c>
      <c r="B1163" s="1"/>
      <c r="H1163">
        <v>23.4</v>
      </c>
      <c r="J1163" t="s">
        <v>15</v>
      </c>
      <c r="L1163" s="1"/>
      <c r="N1163" s="1"/>
      <c r="V1163" t="str">
        <f>"38230"</f>
        <v>38230</v>
      </c>
      <c r="W1163">
        <v>0</v>
      </c>
      <c r="X1163">
        <v>0</v>
      </c>
    </row>
    <row r="1164" spans="1:24" x14ac:dyDescent="0.25">
      <c r="A1164" t="str">
        <f>""</f>
        <v/>
      </c>
      <c r="B1164" s="1"/>
      <c r="H1164">
        <v>23.4</v>
      </c>
      <c r="J1164" t="s">
        <v>17</v>
      </c>
      <c r="L1164" s="1"/>
      <c r="N1164" s="1"/>
      <c r="V1164" t="str">
        <f>"38230"</f>
        <v>38230</v>
      </c>
      <c r="W1164">
        <v>0</v>
      </c>
      <c r="X1164">
        <v>0</v>
      </c>
    </row>
    <row r="1165" spans="1:24" ht="15" customHeight="1" x14ac:dyDescent="0.25">
      <c r="A1165" t="str">
        <f>""</f>
        <v/>
      </c>
      <c r="B1165" s="1"/>
      <c r="H1165">
        <v>130.37</v>
      </c>
      <c r="J1165" t="s">
        <v>22</v>
      </c>
      <c r="L1165" s="1"/>
      <c r="N1165" s="1"/>
      <c r="V1165" t="str">
        <f>"33700"</f>
        <v>33700</v>
      </c>
      <c r="W1165">
        <v>0</v>
      </c>
      <c r="X1165">
        <v>22.16</v>
      </c>
    </row>
    <row r="1166" spans="1:24" ht="15" customHeight="1" x14ac:dyDescent="0.25">
      <c r="A1166" t="str">
        <f>""</f>
        <v/>
      </c>
      <c r="B1166" s="1"/>
      <c r="H1166">
        <v>41.08</v>
      </c>
      <c r="J1166" t="s">
        <v>22</v>
      </c>
      <c r="L1166" s="1"/>
      <c r="N1166" s="1"/>
      <c r="V1166" t="str">
        <f>"63500"</f>
        <v>63500</v>
      </c>
      <c r="W1166">
        <v>0</v>
      </c>
      <c r="X1166">
        <v>4.93</v>
      </c>
    </row>
    <row r="1167" spans="1:24" ht="15" customHeight="1" x14ac:dyDescent="0.25">
      <c r="A1167" t="str">
        <f>""</f>
        <v/>
      </c>
      <c r="B1167" s="1"/>
      <c r="H1167">
        <v>25</v>
      </c>
      <c r="L1167" s="1"/>
      <c r="N1167" s="1"/>
      <c r="V1167" t="str">
        <f>"77184"</f>
        <v>77184</v>
      </c>
      <c r="W1167">
        <v>0</v>
      </c>
      <c r="X1167">
        <v>0</v>
      </c>
    </row>
    <row r="1168" spans="1:24" ht="15" customHeight="1" x14ac:dyDescent="0.25">
      <c r="A1168" t="str">
        <f>""</f>
        <v/>
      </c>
      <c r="B1168" s="1"/>
      <c r="H1168">
        <v>20</v>
      </c>
      <c r="L1168" s="1"/>
      <c r="N1168" s="1"/>
      <c r="V1168" t="str">
        <f>"77184"</f>
        <v>77184</v>
      </c>
      <c r="W1168">
        <v>0</v>
      </c>
      <c r="X1168">
        <v>0</v>
      </c>
    </row>
    <row r="1169" spans="1:24" ht="15" customHeight="1" x14ac:dyDescent="0.25">
      <c r="A1169" t="str">
        <f>""</f>
        <v/>
      </c>
      <c r="B1169" s="1"/>
      <c r="H1169">
        <v>20</v>
      </c>
      <c r="L1169" s="1"/>
      <c r="N1169" s="1"/>
      <c r="V1169" t="str">
        <f>"77184"</f>
        <v>77184</v>
      </c>
      <c r="W1169">
        <v>0</v>
      </c>
      <c r="X1169">
        <v>0</v>
      </c>
    </row>
    <row r="1170" spans="1:24" x14ac:dyDescent="0.25">
      <c r="A1170" t="str">
        <f>""</f>
        <v/>
      </c>
      <c r="B1170" s="1"/>
      <c r="H1170">
        <v>151</v>
      </c>
      <c r="J1170" t="s">
        <v>16</v>
      </c>
      <c r="L1170" s="1"/>
      <c r="N1170" s="1"/>
      <c r="V1170" t="str">
        <f>"69100"</f>
        <v>69100</v>
      </c>
      <c r="W1170">
        <v>0</v>
      </c>
      <c r="X1170">
        <v>0</v>
      </c>
    </row>
    <row r="1171" spans="1:24" ht="15" customHeight="1" x14ac:dyDescent="0.25">
      <c r="A1171" t="str">
        <f>""</f>
        <v/>
      </c>
      <c r="B1171" s="1"/>
      <c r="H1171">
        <v>16.8</v>
      </c>
      <c r="J1171" t="s">
        <v>20</v>
      </c>
      <c r="L1171" s="1"/>
      <c r="N1171" s="1"/>
      <c r="V1171" t="str">
        <f>"44000"</f>
        <v>44000</v>
      </c>
      <c r="W1171">
        <v>4.54</v>
      </c>
      <c r="X1171">
        <v>0</v>
      </c>
    </row>
    <row r="1172" spans="1:24" ht="15" customHeight="1" x14ac:dyDescent="0.25">
      <c r="A1172" t="str">
        <f>""</f>
        <v/>
      </c>
      <c r="B1172" s="1"/>
      <c r="H1172">
        <v>151</v>
      </c>
      <c r="J1172" t="s">
        <v>22</v>
      </c>
      <c r="L1172" s="1"/>
      <c r="V1172" t="str">
        <f>"25290"</f>
        <v>25290</v>
      </c>
      <c r="W1172">
        <v>0</v>
      </c>
      <c r="X1172">
        <v>0</v>
      </c>
    </row>
    <row r="1173" spans="1:24" ht="15" customHeight="1" x14ac:dyDescent="0.25">
      <c r="A1173" t="str">
        <f>""</f>
        <v/>
      </c>
      <c r="B1173" s="1"/>
      <c r="H1173">
        <v>40</v>
      </c>
      <c r="J1173" t="s">
        <v>23</v>
      </c>
      <c r="L1173" s="1"/>
      <c r="N1173" s="1"/>
      <c r="V1173" t="str">
        <f>"92400"</f>
        <v>92400</v>
      </c>
      <c r="W1173">
        <v>0</v>
      </c>
      <c r="X1173">
        <v>0</v>
      </c>
    </row>
    <row r="1174" spans="1:24" ht="15" customHeight="1" x14ac:dyDescent="0.25">
      <c r="A1174" t="str">
        <f>""</f>
        <v/>
      </c>
      <c r="B1174" s="1"/>
      <c r="H1174">
        <v>151</v>
      </c>
      <c r="J1174" t="s">
        <v>22</v>
      </c>
      <c r="L1174" s="1"/>
      <c r="N1174" s="1"/>
      <c r="V1174" t="str">
        <f>"06560"</f>
        <v>06560</v>
      </c>
      <c r="W1174">
        <v>0</v>
      </c>
      <c r="X1174">
        <v>0</v>
      </c>
    </row>
    <row r="1175" spans="1:24" ht="15" customHeight="1" x14ac:dyDescent="0.25">
      <c r="A1175" t="str">
        <f>""</f>
        <v/>
      </c>
      <c r="B1175" s="1"/>
      <c r="H1175">
        <v>25</v>
      </c>
      <c r="L1175" s="1"/>
      <c r="N1175" s="1"/>
      <c r="V1175" t="str">
        <f>"77184"</f>
        <v>77184</v>
      </c>
      <c r="W1175">
        <v>0</v>
      </c>
      <c r="X1175">
        <v>0</v>
      </c>
    </row>
    <row r="1176" spans="1:24" ht="15" customHeight="1" x14ac:dyDescent="0.25">
      <c r="A1176" t="str">
        <f>""</f>
        <v/>
      </c>
      <c r="B1176" s="1"/>
      <c r="H1176">
        <v>25</v>
      </c>
      <c r="L1176" s="1"/>
      <c r="N1176" s="1"/>
      <c r="V1176" t="str">
        <f>"77184"</f>
        <v>77184</v>
      </c>
      <c r="W1176">
        <v>0</v>
      </c>
      <c r="X1176">
        <v>0</v>
      </c>
    </row>
    <row r="1177" spans="1:24" ht="15" customHeight="1" x14ac:dyDescent="0.25">
      <c r="A1177" t="str">
        <f>""</f>
        <v/>
      </c>
      <c r="B1177" s="1"/>
      <c r="H1177">
        <v>120.65</v>
      </c>
      <c r="J1177" t="s">
        <v>20</v>
      </c>
      <c r="L1177" s="1"/>
      <c r="N1177" s="1"/>
      <c r="V1177" t="str">
        <f>"35520"</f>
        <v>35520</v>
      </c>
      <c r="W1177">
        <v>32.58</v>
      </c>
      <c r="X1177">
        <v>0</v>
      </c>
    </row>
    <row r="1178" spans="1:24" ht="15" customHeight="1" x14ac:dyDescent="0.25">
      <c r="A1178" t="str">
        <f>""</f>
        <v/>
      </c>
      <c r="B1178" s="1"/>
      <c r="H1178">
        <v>195.25</v>
      </c>
      <c r="J1178" t="s">
        <v>22</v>
      </c>
      <c r="L1178" s="1"/>
      <c r="N1178" s="1"/>
      <c r="V1178" t="str">
        <f>"75014"</f>
        <v>75014</v>
      </c>
      <c r="W1178">
        <v>0</v>
      </c>
      <c r="X1178">
        <v>0</v>
      </c>
    </row>
    <row r="1179" spans="1:24" ht="15" customHeight="1" x14ac:dyDescent="0.25">
      <c r="A1179" t="str">
        <f>""</f>
        <v/>
      </c>
      <c r="B1179" s="1"/>
      <c r="H1179">
        <v>140</v>
      </c>
      <c r="J1179" t="s">
        <v>23</v>
      </c>
      <c r="L1179" s="1"/>
      <c r="N1179" s="1"/>
      <c r="V1179" t="str">
        <f>"06500"</f>
        <v>06500</v>
      </c>
      <c r="W1179">
        <v>0</v>
      </c>
      <c r="X1179">
        <v>29.4</v>
      </c>
    </row>
    <row r="1180" spans="1:24" ht="15" customHeight="1" x14ac:dyDescent="0.25">
      <c r="A1180" t="str">
        <f>""</f>
        <v/>
      </c>
      <c r="B1180" s="1"/>
      <c r="H1180">
        <v>53.52</v>
      </c>
      <c r="J1180" t="s">
        <v>19</v>
      </c>
      <c r="L1180" s="1"/>
      <c r="N1180" s="1"/>
      <c r="V1180" t="str">
        <f>"69125"</f>
        <v>69125</v>
      </c>
      <c r="W1180">
        <v>14.45</v>
      </c>
      <c r="X1180">
        <v>0</v>
      </c>
    </row>
    <row r="1181" spans="1:24" x14ac:dyDescent="0.25">
      <c r="A1181" t="str">
        <f>""</f>
        <v/>
      </c>
      <c r="B1181" s="1"/>
      <c r="H1181">
        <v>23.4</v>
      </c>
      <c r="J1181" t="s">
        <v>17</v>
      </c>
      <c r="L1181" s="1"/>
      <c r="N1181" s="1"/>
      <c r="V1181" t="str">
        <f>"38230"</f>
        <v>38230</v>
      </c>
      <c r="W1181">
        <v>0</v>
      </c>
      <c r="X1181">
        <v>0</v>
      </c>
    </row>
    <row r="1182" spans="1:24" ht="15" customHeight="1" x14ac:dyDescent="0.25">
      <c r="A1182" t="str">
        <f>""</f>
        <v/>
      </c>
      <c r="B1182" s="1"/>
      <c r="H1182">
        <v>137.05000000000001</v>
      </c>
      <c r="J1182" t="s">
        <v>22</v>
      </c>
      <c r="L1182" s="1"/>
      <c r="N1182" s="1"/>
      <c r="V1182" t="str">
        <f>"13115"</f>
        <v>13115</v>
      </c>
      <c r="W1182">
        <v>0</v>
      </c>
      <c r="X1182">
        <v>26.04</v>
      </c>
    </row>
    <row r="1183" spans="1:24" ht="15" customHeight="1" x14ac:dyDescent="0.25">
      <c r="A1183" t="str">
        <f>""</f>
        <v/>
      </c>
      <c r="B1183" s="1"/>
      <c r="H1183">
        <v>40</v>
      </c>
      <c r="J1183" t="s">
        <v>20</v>
      </c>
      <c r="L1183" s="1"/>
      <c r="N1183" s="1"/>
      <c r="V1183" t="str">
        <f>"06340"</f>
        <v>06340</v>
      </c>
      <c r="W1183">
        <v>12</v>
      </c>
      <c r="X1183">
        <v>0</v>
      </c>
    </row>
    <row r="1184" spans="1:24" ht="15" customHeight="1" x14ac:dyDescent="0.25">
      <c r="A1184" t="str">
        <f>""</f>
        <v/>
      </c>
      <c r="B1184" s="1"/>
      <c r="H1184">
        <v>27</v>
      </c>
      <c r="J1184" t="s">
        <v>23</v>
      </c>
      <c r="L1184" s="1"/>
      <c r="N1184" s="1"/>
      <c r="V1184" t="str">
        <f>"13090"</f>
        <v>13090</v>
      </c>
      <c r="W1184">
        <v>0</v>
      </c>
      <c r="X1184">
        <v>5.13</v>
      </c>
    </row>
    <row r="1185" spans="1:24" ht="15" customHeight="1" x14ac:dyDescent="0.25">
      <c r="A1185" t="str">
        <f>""</f>
        <v/>
      </c>
      <c r="B1185" s="1"/>
      <c r="H1185">
        <v>137.43</v>
      </c>
      <c r="J1185" t="s">
        <v>19</v>
      </c>
      <c r="L1185" s="1"/>
      <c r="N1185" s="1"/>
      <c r="V1185" t="str">
        <f>"35044"</f>
        <v>35044</v>
      </c>
      <c r="W1185">
        <v>37.11</v>
      </c>
      <c r="X1185">
        <v>0</v>
      </c>
    </row>
    <row r="1186" spans="1:24" ht="15" customHeight="1" x14ac:dyDescent="0.25">
      <c r="A1186" t="str">
        <f>""</f>
        <v/>
      </c>
      <c r="B1186" s="1"/>
      <c r="H1186">
        <v>112.08</v>
      </c>
      <c r="J1186" t="s">
        <v>19</v>
      </c>
      <c r="L1186" s="1"/>
      <c r="N1186" s="1"/>
      <c r="V1186" t="str">
        <f>"42160"</f>
        <v>42160</v>
      </c>
      <c r="W1186">
        <v>30.26</v>
      </c>
      <c r="X1186">
        <v>0</v>
      </c>
    </row>
    <row r="1187" spans="1:24" ht="15" customHeight="1" x14ac:dyDescent="0.25">
      <c r="A1187" t="str">
        <f>""</f>
        <v/>
      </c>
      <c r="B1187" s="1"/>
      <c r="H1187">
        <v>102.68</v>
      </c>
      <c r="J1187" t="s">
        <v>20</v>
      </c>
      <c r="L1187" s="1"/>
      <c r="N1187" s="1"/>
      <c r="V1187" t="str">
        <f>"22400"</f>
        <v>22400</v>
      </c>
      <c r="W1187">
        <v>40.049999999999997</v>
      </c>
      <c r="X1187">
        <v>0</v>
      </c>
    </row>
    <row r="1188" spans="1:24" ht="15" customHeight="1" x14ac:dyDescent="0.25">
      <c r="A1188" t="str">
        <f>""</f>
        <v/>
      </c>
      <c r="B1188" s="1"/>
      <c r="H1188">
        <v>38.54</v>
      </c>
      <c r="J1188" t="s">
        <v>22</v>
      </c>
      <c r="L1188" s="1"/>
      <c r="N1188" s="1"/>
      <c r="V1188" t="str">
        <f>"30700"</f>
        <v>30700</v>
      </c>
      <c r="W1188">
        <v>0</v>
      </c>
      <c r="X1188">
        <v>10.79</v>
      </c>
    </row>
    <row r="1189" spans="1:24" ht="15" customHeight="1" x14ac:dyDescent="0.25">
      <c r="A1189" t="str">
        <f>""</f>
        <v/>
      </c>
      <c r="B1189" s="1"/>
      <c r="H1189">
        <v>114</v>
      </c>
      <c r="J1189" t="s">
        <v>22</v>
      </c>
      <c r="L1189" s="1"/>
      <c r="N1189" s="1"/>
      <c r="V1189" t="str">
        <f>"14200"</f>
        <v>14200</v>
      </c>
      <c r="W1189">
        <v>0</v>
      </c>
      <c r="X1189">
        <v>19.38</v>
      </c>
    </row>
    <row r="1190" spans="1:24" ht="15" customHeight="1" x14ac:dyDescent="0.25">
      <c r="A1190" t="str">
        <f>""</f>
        <v/>
      </c>
      <c r="B1190" s="1"/>
      <c r="H1190">
        <v>40</v>
      </c>
      <c r="J1190" t="s">
        <v>23</v>
      </c>
      <c r="L1190" s="1"/>
      <c r="N1190" s="1"/>
      <c r="V1190" t="str">
        <f>"66700"</f>
        <v>66700</v>
      </c>
      <c r="W1190">
        <v>0</v>
      </c>
      <c r="X1190">
        <v>11.2</v>
      </c>
    </row>
    <row r="1191" spans="1:24" ht="15" customHeight="1" x14ac:dyDescent="0.25">
      <c r="A1191" t="str">
        <f>""</f>
        <v/>
      </c>
      <c r="B1191" s="1"/>
      <c r="H1191">
        <v>140</v>
      </c>
      <c r="J1191" t="s">
        <v>23</v>
      </c>
      <c r="L1191" s="1"/>
      <c r="V1191" t="str">
        <f>"93200"</f>
        <v>93200</v>
      </c>
      <c r="W1191">
        <v>0</v>
      </c>
      <c r="X1191">
        <v>0</v>
      </c>
    </row>
    <row r="1192" spans="1:24" ht="15" customHeight="1" x14ac:dyDescent="0.25">
      <c r="A1192" t="str">
        <f>""</f>
        <v/>
      </c>
      <c r="B1192" s="1"/>
      <c r="H1192">
        <v>84.5</v>
      </c>
      <c r="L1192" s="1"/>
      <c r="N1192" s="1"/>
      <c r="V1192" t="str">
        <f>"77184"</f>
        <v>77184</v>
      </c>
      <c r="W1192">
        <v>0</v>
      </c>
      <c r="X1192">
        <v>0</v>
      </c>
    </row>
    <row r="1193" spans="1:24" ht="15" customHeight="1" x14ac:dyDescent="0.25">
      <c r="A1193" t="str">
        <f>""</f>
        <v/>
      </c>
      <c r="B1193" s="1"/>
      <c r="H1193">
        <v>138.12</v>
      </c>
      <c r="J1193" t="s">
        <v>20</v>
      </c>
      <c r="L1193" s="1"/>
      <c r="N1193" s="1"/>
      <c r="V1193" t="str">
        <f>"29200"</f>
        <v>29200</v>
      </c>
      <c r="W1193">
        <v>53.87</v>
      </c>
      <c r="X1193">
        <v>0</v>
      </c>
    </row>
    <row r="1194" spans="1:24" ht="15" customHeight="1" x14ac:dyDescent="0.25">
      <c r="A1194" t="str">
        <f>""</f>
        <v/>
      </c>
      <c r="B1194" s="1"/>
      <c r="H1194">
        <v>180</v>
      </c>
      <c r="J1194" t="s">
        <v>22</v>
      </c>
      <c r="L1194" s="1"/>
      <c r="N1194" s="1"/>
      <c r="V1194" t="str">
        <f>"44100"</f>
        <v>44100</v>
      </c>
      <c r="W1194">
        <v>0</v>
      </c>
      <c r="X1194">
        <v>0</v>
      </c>
    </row>
    <row r="1195" spans="1:24" ht="15" customHeight="1" x14ac:dyDescent="0.25">
      <c r="A1195" t="str">
        <f>""</f>
        <v/>
      </c>
      <c r="B1195" s="1"/>
      <c r="H1195">
        <v>29.89</v>
      </c>
      <c r="L1195" s="1"/>
      <c r="N1195" s="1"/>
      <c r="V1195" t="str">
        <f>"44240"</f>
        <v>44240</v>
      </c>
      <c r="W1195">
        <v>0</v>
      </c>
      <c r="X1195">
        <v>0</v>
      </c>
    </row>
    <row r="1196" spans="1:24" ht="15" customHeight="1" x14ac:dyDescent="0.25">
      <c r="A1196" t="str">
        <f>""</f>
        <v/>
      </c>
      <c r="B1196" s="1"/>
      <c r="H1196">
        <v>114</v>
      </c>
      <c r="L1196" s="1"/>
      <c r="N1196" s="1"/>
      <c r="V1196" t="str">
        <f>"77184"</f>
        <v>77184</v>
      </c>
      <c r="W1196">
        <v>0</v>
      </c>
      <c r="X1196">
        <v>0</v>
      </c>
    </row>
    <row r="1197" spans="1:24" ht="15" customHeight="1" x14ac:dyDescent="0.25">
      <c r="A1197" t="str">
        <f>""</f>
        <v/>
      </c>
      <c r="B1197" s="1"/>
      <c r="H1197">
        <v>93.97</v>
      </c>
      <c r="L1197" s="1"/>
      <c r="N1197" s="1"/>
      <c r="V1197" t="str">
        <f>"44240"</f>
        <v>44240</v>
      </c>
      <c r="W1197">
        <v>0</v>
      </c>
      <c r="X1197">
        <v>0</v>
      </c>
    </row>
    <row r="1198" spans="1:24" ht="15" customHeight="1" x14ac:dyDescent="0.25">
      <c r="A1198" t="str">
        <f>""</f>
        <v/>
      </c>
      <c r="B1198" s="1"/>
      <c r="H1198">
        <v>175.82</v>
      </c>
      <c r="L1198" s="1"/>
      <c r="N1198" s="1"/>
      <c r="V1198" t="str">
        <f>"77184"</f>
        <v>77184</v>
      </c>
      <c r="W1198">
        <v>0</v>
      </c>
      <c r="X1198">
        <v>0</v>
      </c>
    </row>
    <row r="1199" spans="1:24" ht="15" customHeight="1" x14ac:dyDescent="0.25">
      <c r="A1199" t="str">
        <f>""</f>
        <v/>
      </c>
      <c r="B1199" s="1"/>
      <c r="H1199">
        <v>211.93</v>
      </c>
      <c r="J1199" t="s">
        <v>19</v>
      </c>
      <c r="L1199" s="1"/>
      <c r="N1199" s="1"/>
      <c r="V1199" t="str">
        <f>"62740"</f>
        <v>62740</v>
      </c>
      <c r="W1199">
        <v>40.270000000000003</v>
      </c>
      <c r="X1199">
        <v>0</v>
      </c>
    </row>
    <row r="1200" spans="1:24" ht="15" customHeight="1" x14ac:dyDescent="0.25">
      <c r="A1200" t="str">
        <f>""</f>
        <v/>
      </c>
      <c r="B1200" s="1"/>
      <c r="H1200">
        <v>187.13</v>
      </c>
      <c r="J1200" t="s">
        <v>19</v>
      </c>
      <c r="L1200" s="1"/>
      <c r="N1200" s="1"/>
      <c r="V1200" t="str">
        <f>"62740"</f>
        <v>62740</v>
      </c>
      <c r="W1200">
        <v>35.549999999999997</v>
      </c>
      <c r="X1200">
        <v>0</v>
      </c>
    </row>
    <row r="1201" spans="1:24" ht="15" customHeight="1" x14ac:dyDescent="0.25">
      <c r="A1201" t="str">
        <f>""</f>
        <v/>
      </c>
      <c r="B1201" s="1"/>
      <c r="H1201">
        <v>57</v>
      </c>
      <c r="L1201" s="1"/>
      <c r="N1201" s="1"/>
      <c r="V1201" t="str">
        <f t="shared" ref="V1201:V1212" si="5">"77184"</f>
        <v>77184</v>
      </c>
      <c r="W1201">
        <v>0</v>
      </c>
      <c r="X1201">
        <v>0</v>
      </c>
    </row>
    <row r="1202" spans="1:24" ht="15" customHeight="1" x14ac:dyDescent="0.25">
      <c r="A1202" t="str">
        <f>""</f>
        <v/>
      </c>
      <c r="B1202" s="1"/>
      <c r="H1202">
        <v>135</v>
      </c>
      <c r="L1202" s="1"/>
      <c r="N1202" s="1"/>
      <c r="V1202" t="str">
        <f t="shared" si="5"/>
        <v>77184</v>
      </c>
      <c r="W1202">
        <v>0</v>
      </c>
      <c r="X1202">
        <v>0</v>
      </c>
    </row>
    <row r="1203" spans="1:24" ht="15" customHeight="1" x14ac:dyDescent="0.25">
      <c r="A1203" t="str">
        <f>""</f>
        <v/>
      </c>
      <c r="B1203" s="1"/>
      <c r="H1203">
        <v>56</v>
      </c>
      <c r="L1203" s="1"/>
      <c r="N1203" s="1"/>
      <c r="V1203" t="str">
        <f t="shared" si="5"/>
        <v>77184</v>
      </c>
      <c r="W1203">
        <v>0</v>
      </c>
      <c r="X1203">
        <v>0</v>
      </c>
    </row>
    <row r="1204" spans="1:24" ht="15" customHeight="1" x14ac:dyDescent="0.25">
      <c r="A1204" t="str">
        <f>""</f>
        <v/>
      </c>
      <c r="B1204" s="1"/>
      <c r="H1204">
        <v>150</v>
      </c>
      <c r="L1204" s="1"/>
      <c r="N1204" s="1"/>
      <c r="V1204" t="str">
        <f t="shared" si="5"/>
        <v>77184</v>
      </c>
      <c r="W1204">
        <v>0</v>
      </c>
      <c r="X1204">
        <v>0</v>
      </c>
    </row>
    <row r="1205" spans="1:24" ht="15" customHeight="1" x14ac:dyDescent="0.25">
      <c r="A1205" t="str">
        <f>""</f>
        <v/>
      </c>
      <c r="B1205" s="1"/>
      <c r="H1205">
        <v>150</v>
      </c>
      <c r="L1205" s="1"/>
      <c r="N1205" s="1"/>
      <c r="V1205" t="str">
        <f t="shared" si="5"/>
        <v>77184</v>
      </c>
      <c r="W1205">
        <v>0</v>
      </c>
      <c r="X1205">
        <v>0</v>
      </c>
    </row>
    <row r="1206" spans="1:24" ht="15" customHeight="1" x14ac:dyDescent="0.25">
      <c r="A1206" t="str">
        <f>""</f>
        <v/>
      </c>
      <c r="B1206" s="1"/>
      <c r="H1206">
        <v>150</v>
      </c>
      <c r="L1206" s="1"/>
      <c r="N1206" s="1"/>
      <c r="V1206" t="str">
        <f t="shared" si="5"/>
        <v>77184</v>
      </c>
      <c r="W1206">
        <v>0</v>
      </c>
      <c r="X1206">
        <v>0</v>
      </c>
    </row>
    <row r="1207" spans="1:24" ht="15" customHeight="1" x14ac:dyDescent="0.25">
      <c r="A1207" t="str">
        <f>""</f>
        <v/>
      </c>
      <c r="B1207" s="1"/>
      <c r="H1207">
        <v>150</v>
      </c>
      <c r="L1207" s="1"/>
      <c r="N1207" s="1"/>
      <c r="V1207" t="str">
        <f t="shared" si="5"/>
        <v>77184</v>
      </c>
      <c r="W1207">
        <v>0</v>
      </c>
      <c r="X1207">
        <v>0</v>
      </c>
    </row>
    <row r="1208" spans="1:24" ht="15" customHeight="1" x14ac:dyDescent="0.25">
      <c r="A1208" t="str">
        <f>""</f>
        <v/>
      </c>
      <c r="B1208" s="1"/>
      <c r="H1208">
        <v>84.5</v>
      </c>
      <c r="L1208" s="1"/>
      <c r="N1208" s="1"/>
      <c r="V1208" t="str">
        <f t="shared" si="5"/>
        <v>77184</v>
      </c>
      <c r="W1208">
        <v>0</v>
      </c>
      <c r="X1208">
        <v>0</v>
      </c>
    </row>
    <row r="1209" spans="1:24" ht="15" customHeight="1" x14ac:dyDescent="0.25">
      <c r="A1209" t="str">
        <f>""</f>
        <v/>
      </c>
      <c r="B1209" s="1"/>
      <c r="H1209">
        <v>171</v>
      </c>
      <c r="L1209" s="1"/>
      <c r="N1209" s="1"/>
      <c r="V1209" t="str">
        <f t="shared" si="5"/>
        <v>77184</v>
      </c>
      <c r="W1209">
        <v>0</v>
      </c>
      <c r="X1209">
        <v>0</v>
      </c>
    </row>
    <row r="1210" spans="1:24" ht="15" customHeight="1" x14ac:dyDescent="0.25">
      <c r="A1210" t="str">
        <f>""</f>
        <v/>
      </c>
      <c r="B1210" s="1"/>
      <c r="H1210">
        <v>171</v>
      </c>
      <c r="L1210" s="1"/>
      <c r="N1210" s="1"/>
      <c r="V1210" t="str">
        <f t="shared" si="5"/>
        <v>77184</v>
      </c>
      <c r="W1210">
        <v>0</v>
      </c>
      <c r="X1210">
        <v>0</v>
      </c>
    </row>
    <row r="1211" spans="1:24" ht="15" customHeight="1" x14ac:dyDescent="0.25">
      <c r="A1211" t="str">
        <f>""</f>
        <v/>
      </c>
      <c r="B1211" s="1"/>
      <c r="H1211">
        <v>171</v>
      </c>
      <c r="L1211" s="1"/>
      <c r="N1211" s="1"/>
      <c r="V1211" t="str">
        <f t="shared" si="5"/>
        <v>77184</v>
      </c>
      <c r="W1211">
        <v>0</v>
      </c>
      <c r="X1211">
        <v>0</v>
      </c>
    </row>
    <row r="1212" spans="1:24" ht="15" customHeight="1" x14ac:dyDescent="0.25">
      <c r="A1212" t="str">
        <f>""</f>
        <v/>
      </c>
      <c r="B1212" s="1"/>
      <c r="H1212">
        <v>171</v>
      </c>
      <c r="L1212" s="1"/>
      <c r="N1212" s="1"/>
      <c r="V1212" t="str">
        <f t="shared" si="5"/>
        <v>77184</v>
      </c>
      <c r="W1212">
        <v>0</v>
      </c>
      <c r="X1212">
        <v>0</v>
      </c>
    </row>
    <row r="1213" spans="1:24" ht="15" customHeight="1" x14ac:dyDescent="0.25">
      <c r="A1213" t="str">
        <f>""</f>
        <v/>
      </c>
      <c r="B1213" s="1"/>
      <c r="H1213">
        <v>86.45</v>
      </c>
      <c r="J1213" t="s">
        <v>19</v>
      </c>
      <c r="L1213" s="1"/>
      <c r="N1213" s="1"/>
      <c r="V1213" t="str">
        <f>"89100"</f>
        <v>89100</v>
      </c>
      <c r="W1213">
        <v>20.75</v>
      </c>
      <c r="X1213">
        <v>0</v>
      </c>
    </row>
    <row r="1214" spans="1:24" ht="15" customHeight="1" x14ac:dyDescent="0.25">
      <c r="A1214" t="str">
        <f>""</f>
        <v/>
      </c>
      <c r="B1214" s="1"/>
      <c r="H1214">
        <v>140</v>
      </c>
      <c r="J1214" t="s">
        <v>23</v>
      </c>
      <c r="L1214" s="1"/>
      <c r="N1214" s="1"/>
      <c r="V1214" t="str">
        <f>"76600"</f>
        <v>76600</v>
      </c>
      <c r="W1214">
        <v>0</v>
      </c>
      <c r="X1214">
        <v>23.8</v>
      </c>
    </row>
    <row r="1215" spans="1:24" x14ac:dyDescent="0.25">
      <c r="A1215" t="str">
        <f>""</f>
        <v/>
      </c>
      <c r="B1215" s="1"/>
      <c r="H1215">
        <v>86.54</v>
      </c>
      <c r="J1215" t="s">
        <v>17</v>
      </c>
      <c r="L1215" s="1"/>
      <c r="N1215" s="1"/>
      <c r="V1215" t="str">
        <f>"50640"</f>
        <v>50640</v>
      </c>
      <c r="W1215">
        <v>0</v>
      </c>
      <c r="X1215">
        <v>0</v>
      </c>
    </row>
    <row r="1216" spans="1:24" ht="15" customHeight="1" x14ac:dyDescent="0.25">
      <c r="A1216" t="str">
        <f>""</f>
        <v/>
      </c>
      <c r="B1216" s="1"/>
      <c r="H1216">
        <v>85</v>
      </c>
      <c r="L1216" s="1"/>
      <c r="N1216" s="1"/>
      <c r="V1216" t="str">
        <f>"77184"</f>
        <v>77184</v>
      </c>
      <c r="W1216">
        <v>0</v>
      </c>
      <c r="X1216">
        <v>0</v>
      </c>
    </row>
    <row r="1217" spans="1:24" ht="15" customHeight="1" x14ac:dyDescent="0.25">
      <c r="A1217" t="str">
        <f>""</f>
        <v/>
      </c>
      <c r="B1217" s="1"/>
      <c r="H1217">
        <v>38.770000000000003</v>
      </c>
      <c r="J1217" t="s">
        <v>23</v>
      </c>
      <c r="L1217" s="1"/>
      <c r="N1217" s="1"/>
      <c r="V1217" t="str">
        <f>"94000"</f>
        <v>94000</v>
      </c>
      <c r="W1217">
        <v>0</v>
      </c>
      <c r="X1217">
        <v>0</v>
      </c>
    </row>
    <row r="1218" spans="1:24" ht="15" customHeight="1" x14ac:dyDescent="0.25">
      <c r="A1218" t="str">
        <f>""</f>
        <v/>
      </c>
      <c r="B1218" s="1"/>
      <c r="H1218">
        <v>22</v>
      </c>
      <c r="L1218" s="1"/>
      <c r="N1218" s="1"/>
      <c r="V1218" t="str">
        <f>"77184"</f>
        <v>77184</v>
      </c>
      <c r="W1218">
        <v>0</v>
      </c>
      <c r="X1218">
        <v>0</v>
      </c>
    </row>
    <row r="1219" spans="1:24" ht="15" customHeight="1" x14ac:dyDescent="0.25">
      <c r="A1219" t="str">
        <f>""</f>
        <v/>
      </c>
      <c r="B1219" s="1"/>
      <c r="H1219">
        <v>33.630000000000003</v>
      </c>
      <c r="L1219" s="1"/>
      <c r="N1219" s="1"/>
      <c r="V1219" t="str">
        <f>"77184"</f>
        <v>77184</v>
      </c>
      <c r="W1219">
        <v>0</v>
      </c>
      <c r="X1219">
        <v>0</v>
      </c>
    </row>
    <row r="1220" spans="1:24" ht="15" customHeight="1" x14ac:dyDescent="0.25">
      <c r="A1220" t="str">
        <f>""</f>
        <v/>
      </c>
      <c r="B1220" s="1"/>
      <c r="H1220">
        <v>31</v>
      </c>
      <c r="L1220" s="1"/>
      <c r="N1220" s="1"/>
      <c r="V1220" t="str">
        <f>"77184"</f>
        <v>77184</v>
      </c>
      <c r="W1220">
        <v>0</v>
      </c>
      <c r="X1220">
        <v>0</v>
      </c>
    </row>
    <row r="1221" spans="1:24" ht="15" customHeight="1" x14ac:dyDescent="0.25">
      <c r="A1221" t="str">
        <f>""</f>
        <v/>
      </c>
      <c r="B1221" s="1"/>
      <c r="H1221">
        <v>50</v>
      </c>
      <c r="J1221" t="s">
        <v>19</v>
      </c>
      <c r="L1221" s="1"/>
      <c r="N1221" s="1"/>
      <c r="V1221" t="str">
        <f>"06190"</f>
        <v>06190</v>
      </c>
      <c r="W1221">
        <v>15</v>
      </c>
      <c r="X1221">
        <v>0</v>
      </c>
    </row>
    <row r="1222" spans="1:24" ht="15" customHeight="1" x14ac:dyDescent="0.25">
      <c r="A1222" t="str">
        <f>""</f>
        <v/>
      </c>
      <c r="B1222" s="1"/>
      <c r="H1222">
        <v>64</v>
      </c>
      <c r="J1222" t="s">
        <v>19</v>
      </c>
      <c r="L1222" s="1"/>
      <c r="N1222" s="1"/>
      <c r="V1222" t="str">
        <f>"06190"</f>
        <v>06190</v>
      </c>
      <c r="W1222">
        <v>19.2</v>
      </c>
      <c r="X1222">
        <v>0</v>
      </c>
    </row>
    <row r="1223" spans="1:24" ht="15" customHeight="1" x14ac:dyDescent="0.25">
      <c r="A1223" t="str">
        <f>""</f>
        <v/>
      </c>
      <c r="B1223" s="1"/>
      <c r="H1223">
        <v>180</v>
      </c>
      <c r="J1223" t="s">
        <v>23</v>
      </c>
      <c r="L1223" s="1"/>
      <c r="N1223" s="1"/>
      <c r="V1223" t="str">
        <f>"68390"</f>
        <v>68390</v>
      </c>
      <c r="W1223">
        <v>0</v>
      </c>
      <c r="X1223">
        <v>14.4</v>
      </c>
    </row>
    <row r="1224" spans="1:24" ht="15" customHeight="1" x14ac:dyDescent="0.25">
      <c r="A1224" t="str">
        <f>""</f>
        <v/>
      </c>
      <c r="B1224" s="1"/>
      <c r="H1224">
        <v>137.13</v>
      </c>
      <c r="J1224" t="s">
        <v>19</v>
      </c>
      <c r="L1224" s="1"/>
      <c r="N1224" s="1"/>
      <c r="V1224" t="str">
        <f>"38330"</f>
        <v>38330</v>
      </c>
      <c r="W1224">
        <v>37.03</v>
      </c>
      <c r="X1224">
        <v>0</v>
      </c>
    </row>
    <row r="1225" spans="1:24" ht="15" customHeight="1" x14ac:dyDescent="0.25">
      <c r="A1225" t="str">
        <f>""</f>
        <v/>
      </c>
      <c r="B1225" s="1"/>
      <c r="H1225">
        <v>9.09</v>
      </c>
      <c r="J1225" t="s">
        <v>20</v>
      </c>
      <c r="L1225" s="1"/>
      <c r="N1225" s="1"/>
      <c r="V1225" t="str">
        <f>"59136"</f>
        <v>59136</v>
      </c>
      <c r="W1225">
        <v>1.73</v>
      </c>
      <c r="X1225">
        <v>0</v>
      </c>
    </row>
    <row r="1226" spans="1:24" ht="15" customHeight="1" x14ac:dyDescent="0.25">
      <c r="A1226" t="str">
        <f>""</f>
        <v/>
      </c>
      <c r="B1226" s="1"/>
      <c r="H1226">
        <v>55.34</v>
      </c>
      <c r="J1226" t="s">
        <v>19</v>
      </c>
      <c r="L1226" s="1"/>
      <c r="N1226" s="1"/>
      <c r="V1226" t="str">
        <f>"76430"</f>
        <v>76430</v>
      </c>
      <c r="W1226">
        <v>9.41</v>
      </c>
      <c r="X1226">
        <v>0</v>
      </c>
    </row>
    <row r="1227" spans="1:24" ht="15" customHeight="1" x14ac:dyDescent="0.25">
      <c r="A1227" t="str">
        <f>""</f>
        <v/>
      </c>
      <c r="B1227" s="1"/>
      <c r="H1227">
        <v>70</v>
      </c>
      <c r="J1227" t="s">
        <v>20</v>
      </c>
      <c r="L1227" s="1"/>
      <c r="N1227" s="1"/>
      <c r="V1227" t="str">
        <f>"73000"</f>
        <v>73000</v>
      </c>
      <c r="W1227">
        <v>18.899999999999999</v>
      </c>
      <c r="X1227">
        <v>0</v>
      </c>
    </row>
    <row r="1228" spans="1:24" ht="15" customHeight="1" x14ac:dyDescent="0.25">
      <c r="A1228" t="str">
        <f>""</f>
        <v/>
      </c>
      <c r="B1228" s="1"/>
      <c r="H1228">
        <v>149.79</v>
      </c>
      <c r="J1228" t="s">
        <v>20</v>
      </c>
      <c r="L1228" s="1"/>
      <c r="N1228" s="1"/>
      <c r="V1228" t="str">
        <f>"34500"</f>
        <v>34500</v>
      </c>
      <c r="W1228">
        <v>58.42</v>
      </c>
      <c r="X1228">
        <v>0</v>
      </c>
    </row>
    <row r="1229" spans="1:24" ht="15" customHeight="1" x14ac:dyDescent="0.25">
      <c r="A1229" t="str">
        <f>""</f>
        <v/>
      </c>
      <c r="B1229" s="1"/>
      <c r="H1229">
        <v>127.55</v>
      </c>
      <c r="J1229" t="s">
        <v>19</v>
      </c>
      <c r="L1229" s="1"/>
      <c r="N1229" s="1"/>
      <c r="V1229" t="str">
        <f>"67000"</f>
        <v>67000</v>
      </c>
      <c r="W1229">
        <v>36.99</v>
      </c>
      <c r="X1229">
        <v>0</v>
      </c>
    </row>
    <row r="1230" spans="1:24" ht="15" customHeight="1" x14ac:dyDescent="0.25">
      <c r="A1230" t="str">
        <f>""</f>
        <v/>
      </c>
      <c r="B1230" s="1"/>
      <c r="H1230">
        <v>53.38</v>
      </c>
      <c r="J1230" t="s">
        <v>19</v>
      </c>
      <c r="L1230" s="1"/>
      <c r="N1230" s="1"/>
      <c r="V1230" t="str">
        <f>"75014"</f>
        <v>75014</v>
      </c>
      <c r="W1230">
        <v>0</v>
      </c>
      <c r="X1230">
        <v>0</v>
      </c>
    </row>
    <row r="1231" spans="1:24" ht="15" customHeight="1" x14ac:dyDescent="0.25">
      <c r="A1231" t="str">
        <f>""</f>
        <v/>
      </c>
      <c r="B1231" s="1"/>
      <c r="H1231">
        <v>136.72</v>
      </c>
      <c r="J1231" t="s">
        <v>20</v>
      </c>
      <c r="L1231" s="1"/>
      <c r="N1231" s="1"/>
      <c r="V1231" t="str">
        <f>"86220"</f>
        <v>86220</v>
      </c>
      <c r="W1231">
        <v>28.71</v>
      </c>
      <c r="X1231">
        <v>0</v>
      </c>
    </row>
    <row r="1232" spans="1:24" ht="15" customHeight="1" x14ac:dyDescent="0.25">
      <c r="A1232" t="str">
        <f>""</f>
        <v/>
      </c>
      <c r="B1232" s="1"/>
      <c r="H1232">
        <v>43.53</v>
      </c>
      <c r="J1232" t="s">
        <v>19</v>
      </c>
      <c r="L1232" s="1"/>
      <c r="N1232" s="1"/>
      <c r="V1232" t="str">
        <f>"59380"</f>
        <v>59380</v>
      </c>
      <c r="W1232">
        <v>8.27</v>
      </c>
      <c r="X1232">
        <v>0</v>
      </c>
    </row>
    <row r="1233" spans="1:24" ht="15" customHeight="1" x14ac:dyDescent="0.25">
      <c r="A1233" t="str">
        <f>""</f>
        <v/>
      </c>
      <c r="B1233" s="1"/>
      <c r="H1233">
        <v>0.53</v>
      </c>
      <c r="J1233" t="s">
        <v>20</v>
      </c>
      <c r="L1233" s="1"/>
      <c r="N1233" s="1"/>
      <c r="V1233" t="str">
        <f>"53810"</f>
        <v>53810</v>
      </c>
      <c r="W1233">
        <v>0.14000000000000001</v>
      </c>
      <c r="X1233">
        <v>0</v>
      </c>
    </row>
    <row r="1234" spans="1:24" ht="15" customHeight="1" x14ac:dyDescent="0.25">
      <c r="A1234" t="str">
        <f>""</f>
        <v/>
      </c>
      <c r="B1234" s="1"/>
      <c r="H1234">
        <v>140</v>
      </c>
      <c r="L1234" s="1"/>
      <c r="N1234" s="1"/>
      <c r="V1234" t="str">
        <f>"77184"</f>
        <v>77184</v>
      </c>
      <c r="W1234">
        <v>0</v>
      </c>
      <c r="X1234">
        <v>0</v>
      </c>
    </row>
    <row r="1235" spans="1:24" ht="15" customHeight="1" x14ac:dyDescent="0.25">
      <c r="A1235" t="str">
        <f>""</f>
        <v/>
      </c>
      <c r="B1235" s="1"/>
      <c r="H1235">
        <v>19.649999999999999</v>
      </c>
      <c r="J1235" t="s">
        <v>19</v>
      </c>
      <c r="L1235" s="1"/>
      <c r="N1235" s="1"/>
      <c r="V1235" t="str">
        <f>"75014"</f>
        <v>75014</v>
      </c>
      <c r="W1235">
        <v>0</v>
      </c>
      <c r="X1235">
        <v>0</v>
      </c>
    </row>
    <row r="1236" spans="1:24" ht="15" customHeight="1" x14ac:dyDescent="0.25">
      <c r="A1236" t="str">
        <f>""</f>
        <v/>
      </c>
      <c r="B1236" s="1"/>
      <c r="H1236">
        <v>19.649999999999999</v>
      </c>
      <c r="J1236" t="s">
        <v>19</v>
      </c>
      <c r="L1236" s="1"/>
      <c r="N1236" s="1"/>
      <c r="V1236" t="str">
        <f>"75014"</f>
        <v>75014</v>
      </c>
      <c r="W1236">
        <v>0</v>
      </c>
      <c r="X1236">
        <v>0</v>
      </c>
    </row>
    <row r="1237" spans="1:24" ht="15" customHeight="1" x14ac:dyDescent="0.25">
      <c r="A1237" t="str">
        <f>""</f>
        <v/>
      </c>
      <c r="B1237" s="1"/>
      <c r="H1237">
        <v>119.48</v>
      </c>
      <c r="J1237" t="s">
        <v>19</v>
      </c>
      <c r="L1237" s="1"/>
      <c r="N1237" s="1"/>
      <c r="V1237" t="str">
        <f>"14000"</f>
        <v>14000</v>
      </c>
      <c r="W1237">
        <v>20.309999999999999</v>
      </c>
      <c r="X1237">
        <v>0</v>
      </c>
    </row>
    <row r="1238" spans="1:24" ht="15" customHeight="1" x14ac:dyDescent="0.25">
      <c r="A1238" t="str">
        <f>""</f>
        <v/>
      </c>
      <c r="B1238" s="1"/>
      <c r="H1238">
        <v>19.649999999999999</v>
      </c>
      <c r="J1238" t="s">
        <v>19</v>
      </c>
      <c r="L1238" s="1"/>
      <c r="N1238" s="1"/>
      <c r="V1238" t="str">
        <f t="shared" ref="V1238:V1245" si="6">"75014"</f>
        <v>75014</v>
      </c>
      <c r="W1238">
        <v>0</v>
      </c>
      <c r="X1238">
        <v>0</v>
      </c>
    </row>
    <row r="1239" spans="1:24" ht="15" customHeight="1" x14ac:dyDescent="0.25">
      <c r="A1239" t="str">
        <f>""</f>
        <v/>
      </c>
      <c r="B1239" s="1"/>
      <c r="H1239">
        <v>19.649999999999999</v>
      </c>
      <c r="J1239" t="s">
        <v>19</v>
      </c>
      <c r="L1239" s="1"/>
      <c r="N1239" s="1"/>
      <c r="V1239" t="str">
        <f t="shared" si="6"/>
        <v>75014</v>
      </c>
      <c r="W1239">
        <v>0</v>
      </c>
      <c r="X1239">
        <v>0</v>
      </c>
    </row>
    <row r="1240" spans="1:24" ht="15" customHeight="1" x14ac:dyDescent="0.25">
      <c r="A1240" t="str">
        <f>""</f>
        <v/>
      </c>
      <c r="B1240" s="1"/>
      <c r="H1240">
        <v>19.649999999999999</v>
      </c>
      <c r="J1240" t="s">
        <v>19</v>
      </c>
      <c r="L1240" s="1"/>
      <c r="N1240" s="1"/>
      <c r="V1240" t="str">
        <f t="shared" si="6"/>
        <v>75014</v>
      </c>
      <c r="W1240">
        <v>0</v>
      </c>
      <c r="X1240">
        <v>0</v>
      </c>
    </row>
    <row r="1241" spans="1:24" ht="15" customHeight="1" x14ac:dyDescent="0.25">
      <c r="A1241" t="str">
        <f>""</f>
        <v/>
      </c>
      <c r="B1241" s="1"/>
      <c r="H1241">
        <v>19.649999999999999</v>
      </c>
      <c r="J1241" t="s">
        <v>19</v>
      </c>
      <c r="L1241" s="1"/>
      <c r="N1241" s="1"/>
      <c r="V1241" t="str">
        <f t="shared" si="6"/>
        <v>75014</v>
      </c>
      <c r="W1241">
        <v>0</v>
      </c>
      <c r="X1241">
        <v>0</v>
      </c>
    </row>
    <row r="1242" spans="1:24" ht="15" customHeight="1" x14ac:dyDescent="0.25">
      <c r="A1242" t="str">
        <f>""</f>
        <v/>
      </c>
      <c r="B1242" s="1"/>
      <c r="H1242">
        <v>19.649999999999999</v>
      </c>
      <c r="J1242" t="s">
        <v>19</v>
      </c>
      <c r="L1242" s="1"/>
      <c r="N1242" s="1"/>
      <c r="V1242" t="str">
        <f t="shared" si="6"/>
        <v>75014</v>
      </c>
      <c r="W1242">
        <v>0</v>
      </c>
      <c r="X1242">
        <v>0</v>
      </c>
    </row>
    <row r="1243" spans="1:24" ht="15" customHeight="1" x14ac:dyDescent="0.25">
      <c r="A1243" t="str">
        <f>""</f>
        <v/>
      </c>
      <c r="B1243" s="1"/>
      <c r="H1243">
        <v>19.649999999999999</v>
      </c>
      <c r="J1243" t="s">
        <v>20</v>
      </c>
      <c r="L1243" s="1"/>
      <c r="N1243" s="1"/>
      <c r="V1243" t="str">
        <f t="shared" si="6"/>
        <v>75014</v>
      </c>
      <c r="W1243">
        <v>0</v>
      </c>
      <c r="X1243">
        <v>0</v>
      </c>
    </row>
    <row r="1244" spans="1:24" ht="15" customHeight="1" x14ac:dyDescent="0.25">
      <c r="A1244" t="str">
        <f>""</f>
        <v/>
      </c>
      <c r="B1244" s="1"/>
      <c r="H1244">
        <v>19.649999999999999</v>
      </c>
      <c r="J1244" t="s">
        <v>19</v>
      </c>
      <c r="L1244" s="1"/>
      <c r="N1244" s="1"/>
      <c r="V1244" t="str">
        <f t="shared" si="6"/>
        <v>75014</v>
      </c>
      <c r="W1244">
        <v>0</v>
      </c>
      <c r="X1244">
        <v>0</v>
      </c>
    </row>
    <row r="1245" spans="1:24" ht="15" customHeight="1" x14ac:dyDescent="0.25">
      <c r="A1245" t="str">
        <f>""</f>
        <v/>
      </c>
      <c r="B1245" s="1"/>
      <c r="H1245">
        <v>19.649999999999999</v>
      </c>
      <c r="J1245" t="s">
        <v>19</v>
      </c>
      <c r="L1245" s="1"/>
      <c r="N1245" s="1"/>
      <c r="V1245" t="str">
        <f t="shared" si="6"/>
        <v>75014</v>
      </c>
      <c r="W1245">
        <v>0</v>
      </c>
      <c r="X1245">
        <v>0</v>
      </c>
    </row>
    <row r="1246" spans="1:24" ht="15" customHeight="1" x14ac:dyDescent="0.25">
      <c r="A1246" t="str">
        <f>""</f>
        <v/>
      </c>
      <c r="B1246" s="1"/>
      <c r="H1246">
        <v>183.25</v>
      </c>
      <c r="J1246" t="s">
        <v>20</v>
      </c>
      <c r="L1246" s="1"/>
      <c r="N1246" s="1"/>
      <c r="V1246" t="str">
        <f>"67000"</f>
        <v>67000</v>
      </c>
      <c r="W1246">
        <v>53.14</v>
      </c>
      <c r="X1246">
        <v>0</v>
      </c>
    </row>
    <row r="1247" spans="1:24" ht="15" customHeight="1" x14ac:dyDescent="0.25">
      <c r="A1247" t="str">
        <f>""</f>
        <v/>
      </c>
      <c r="B1247" s="1"/>
      <c r="H1247">
        <v>27</v>
      </c>
      <c r="J1247" t="s">
        <v>22</v>
      </c>
      <c r="L1247" s="1"/>
      <c r="N1247" s="1"/>
      <c r="V1247" t="str">
        <f>"62740"</f>
        <v>62740</v>
      </c>
      <c r="W1247">
        <v>0</v>
      </c>
      <c r="X1247">
        <v>5.13</v>
      </c>
    </row>
    <row r="1248" spans="1:24" ht="15" customHeight="1" x14ac:dyDescent="0.25">
      <c r="A1248" t="str">
        <f>""</f>
        <v/>
      </c>
      <c r="B1248" s="1"/>
      <c r="H1248">
        <v>32.6</v>
      </c>
      <c r="J1248" t="s">
        <v>22</v>
      </c>
      <c r="L1248" s="1"/>
      <c r="N1248" s="1"/>
      <c r="V1248" t="str">
        <f>"62740"</f>
        <v>62740</v>
      </c>
      <c r="W1248">
        <v>0</v>
      </c>
      <c r="X1248">
        <v>0</v>
      </c>
    </row>
    <row r="1249" spans="1:24" ht="15" customHeight="1" x14ac:dyDescent="0.25">
      <c r="A1249" t="str">
        <f>""</f>
        <v/>
      </c>
      <c r="B1249" s="1"/>
      <c r="H1249">
        <v>149.21</v>
      </c>
      <c r="L1249" s="1"/>
      <c r="N1249" s="1"/>
      <c r="V1249" t="str">
        <f>"77184"</f>
        <v>77184</v>
      </c>
      <c r="W1249">
        <v>0</v>
      </c>
      <c r="X1249">
        <v>0</v>
      </c>
    </row>
    <row r="1250" spans="1:24" ht="15" customHeight="1" x14ac:dyDescent="0.25">
      <c r="A1250" t="str">
        <f>""</f>
        <v/>
      </c>
      <c r="B1250" s="1"/>
      <c r="H1250">
        <v>162</v>
      </c>
      <c r="L1250" s="1"/>
      <c r="N1250" s="1"/>
      <c r="V1250" t="str">
        <f>"77184"</f>
        <v>77184</v>
      </c>
      <c r="W1250">
        <v>0</v>
      </c>
      <c r="X1250">
        <v>0</v>
      </c>
    </row>
    <row r="1251" spans="1:24" ht="15" customHeight="1" x14ac:dyDescent="0.25">
      <c r="A1251" t="str">
        <f>""</f>
        <v/>
      </c>
      <c r="B1251" s="1"/>
      <c r="H1251">
        <v>140</v>
      </c>
      <c r="J1251" t="s">
        <v>23</v>
      </c>
      <c r="L1251" s="1"/>
      <c r="N1251" s="1"/>
      <c r="V1251" t="str">
        <f>"59491"</f>
        <v>59491</v>
      </c>
      <c r="W1251">
        <v>0</v>
      </c>
      <c r="X1251">
        <v>0</v>
      </c>
    </row>
    <row r="1252" spans="1:24" ht="15" customHeight="1" x14ac:dyDescent="0.25">
      <c r="A1252" t="str">
        <f>""</f>
        <v/>
      </c>
      <c r="B1252" s="1"/>
      <c r="H1252">
        <v>40</v>
      </c>
      <c r="J1252" t="s">
        <v>19</v>
      </c>
      <c r="L1252" s="1"/>
      <c r="N1252" s="1"/>
      <c r="V1252" t="str">
        <f>"59270"</f>
        <v>59270</v>
      </c>
      <c r="W1252">
        <v>7.6</v>
      </c>
      <c r="X1252">
        <v>0</v>
      </c>
    </row>
    <row r="1253" spans="1:24" ht="15" customHeight="1" x14ac:dyDescent="0.25">
      <c r="A1253" t="str">
        <f>""</f>
        <v/>
      </c>
      <c r="B1253" s="1"/>
      <c r="H1253">
        <v>80</v>
      </c>
      <c r="J1253" t="s">
        <v>23</v>
      </c>
      <c r="L1253" s="1"/>
      <c r="N1253" s="1"/>
      <c r="V1253" t="str">
        <f>"92500"</f>
        <v>92500</v>
      </c>
      <c r="W1253">
        <v>0</v>
      </c>
      <c r="X1253">
        <v>0</v>
      </c>
    </row>
    <row r="1254" spans="1:24" ht="15" customHeight="1" x14ac:dyDescent="0.25">
      <c r="A1254" t="str">
        <f>""</f>
        <v/>
      </c>
      <c r="B1254" s="1"/>
      <c r="H1254">
        <v>137.01</v>
      </c>
      <c r="J1254" t="s">
        <v>19</v>
      </c>
      <c r="L1254" s="1"/>
      <c r="N1254" s="1"/>
      <c r="V1254" t="str">
        <f>"51130"</f>
        <v>51130</v>
      </c>
      <c r="W1254">
        <v>34.25</v>
      </c>
      <c r="X1254">
        <v>0</v>
      </c>
    </row>
    <row r="1255" spans="1:24" ht="15" customHeight="1" x14ac:dyDescent="0.25">
      <c r="A1255" t="str">
        <f>""</f>
        <v/>
      </c>
      <c r="B1255" s="1"/>
      <c r="H1255">
        <v>23.65</v>
      </c>
      <c r="L1255" s="1"/>
      <c r="N1255" s="1"/>
      <c r="V1255" t="str">
        <f>"77184"</f>
        <v>77184</v>
      </c>
      <c r="W1255">
        <v>0</v>
      </c>
      <c r="X1255">
        <v>0</v>
      </c>
    </row>
    <row r="1256" spans="1:24" ht="15" customHeight="1" x14ac:dyDescent="0.25">
      <c r="A1256" t="str">
        <f>""</f>
        <v/>
      </c>
      <c r="B1256" s="1"/>
      <c r="H1256">
        <v>32.6</v>
      </c>
      <c r="L1256" s="1"/>
      <c r="N1256" s="1"/>
      <c r="V1256" t="str">
        <f>"77184"</f>
        <v>77184</v>
      </c>
      <c r="W1256">
        <v>0</v>
      </c>
      <c r="X1256">
        <v>0</v>
      </c>
    </row>
    <row r="1257" spans="1:24" ht="15" customHeight="1" x14ac:dyDescent="0.25">
      <c r="A1257" t="str">
        <f>""</f>
        <v/>
      </c>
      <c r="B1257" s="1"/>
      <c r="H1257">
        <v>180</v>
      </c>
      <c r="L1257" s="1"/>
      <c r="N1257" s="1"/>
      <c r="V1257" t="str">
        <f>"77184"</f>
        <v>77184</v>
      </c>
      <c r="W1257">
        <v>0</v>
      </c>
      <c r="X1257">
        <v>0</v>
      </c>
    </row>
    <row r="1258" spans="1:24" ht="15" customHeight="1" x14ac:dyDescent="0.25">
      <c r="A1258" t="str">
        <f>""</f>
        <v/>
      </c>
      <c r="B1258" s="1"/>
      <c r="H1258">
        <v>39.25</v>
      </c>
      <c r="J1258" t="s">
        <v>19</v>
      </c>
      <c r="L1258" s="1"/>
      <c r="N1258" s="1"/>
      <c r="V1258" t="str">
        <f>"62600"</f>
        <v>62600</v>
      </c>
      <c r="W1258">
        <v>7.46</v>
      </c>
      <c r="X1258">
        <v>0</v>
      </c>
    </row>
    <row r="1259" spans="1:24" ht="15" customHeight="1" x14ac:dyDescent="0.25">
      <c r="A1259" t="str">
        <f>""</f>
        <v/>
      </c>
      <c r="B1259" s="1"/>
      <c r="H1259">
        <v>151</v>
      </c>
      <c r="J1259" t="s">
        <v>23</v>
      </c>
      <c r="L1259" s="1"/>
      <c r="N1259" s="1"/>
      <c r="V1259" t="str">
        <f>"17300"</f>
        <v>17300</v>
      </c>
      <c r="W1259">
        <v>0</v>
      </c>
      <c r="X1259">
        <v>25.67</v>
      </c>
    </row>
    <row r="1260" spans="1:24" ht="15" customHeight="1" x14ac:dyDescent="0.25">
      <c r="A1260" t="str">
        <f>""</f>
        <v/>
      </c>
      <c r="B1260" s="1"/>
      <c r="H1260">
        <v>140</v>
      </c>
      <c r="J1260" t="s">
        <v>19</v>
      </c>
      <c r="L1260" s="1"/>
      <c r="N1260" s="1"/>
      <c r="V1260" t="str">
        <f>"69007"</f>
        <v>69007</v>
      </c>
      <c r="W1260">
        <v>37.799999999999997</v>
      </c>
      <c r="X1260">
        <v>0</v>
      </c>
    </row>
    <row r="1261" spans="1:24" ht="15" customHeight="1" x14ac:dyDescent="0.25">
      <c r="A1261" t="str">
        <f>""</f>
        <v/>
      </c>
      <c r="B1261" s="1"/>
      <c r="H1261">
        <v>126.4</v>
      </c>
      <c r="L1261" s="1"/>
      <c r="N1261" s="1"/>
      <c r="V1261" t="str">
        <f>"77184"</f>
        <v>77184</v>
      </c>
      <c r="W1261">
        <v>0</v>
      </c>
      <c r="X1261">
        <v>0</v>
      </c>
    </row>
    <row r="1262" spans="1:24" ht="15" customHeight="1" x14ac:dyDescent="0.25">
      <c r="A1262" t="str">
        <f>""</f>
        <v/>
      </c>
      <c r="B1262" s="1"/>
      <c r="H1262">
        <v>171.88</v>
      </c>
      <c r="L1262" s="1"/>
      <c r="N1262" s="1"/>
      <c r="V1262" t="str">
        <f>"77184"</f>
        <v>77184</v>
      </c>
      <c r="W1262">
        <v>0</v>
      </c>
      <c r="X1262">
        <v>0</v>
      </c>
    </row>
    <row r="1263" spans="1:24" ht="15" customHeight="1" x14ac:dyDescent="0.25">
      <c r="A1263" t="str">
        <f>""</f>
        <v/>
      </c>
      <c r="B1263" s="1"/>
      <c r="H1263">
        <v>140</v>
      </c>
      <c r="J1263" t="s">
        <v>20</v>
      </c>
      <c r="L1263" s="1"/>
      <c r="N1263" s="1"/>
      <c r="V1263" t="str">
        <f>"60730"</f>
        <v>60730</v>
      </c>
      <c r="W1263">
        <v>26.6</v>
      </c>
      <c r="X1263">
        <v>0</v>
      </c>
    </row>
    <row r="1264" spans="1:24" ht="15" customHeight="1" x14ac:dyDescent="0.25">
      <c r="A1264" t="str">
        <f>""</f>
        <v/>
      </c>
      <c r="B1264" s="1"/>
      <c r="H1264">
        <v>55.34</v>
      </c>
      <c r="J1264" t="s">
        <v>19</v>
      </c>
      <c r="L1264" s="1"/>
      <c r="N1264" s="1"/>
      <c r="V1264" t="str">
        <f>"45000"</f>
        <v>45000</v>
      </c>
      <c r="W1264">
        <v>11.62</v>
      </c>
      <c r="X1264">
        <v>0</v>
      </c>
    </row>
    <row r="1265" spans="1:24" ht="15" customHeight="1" x14ac:dyDescent="0.25">
      <c r="A1265" t="str">
        <f>""</f>
        <v/>
      </c>
      <c r="B1265" s="1"/>
      <c r="H1265">
        <v>5.12</v>
      </c>
      <c r="J1265" t="s">
        <v>19</v>
      </c>
      <c r="L1265" s="1"/>
      <c r="N1265" s="1"/>
      <c r="V1265" t="str">
        <f>"59150"</f>
        <v>59150</v>
      </c>
      <c r="W1265">
        <v>0.97</v>
      </c>
      <c r="X1265">
        <v>0</v>
      </c>
    </row>
    <row r="1266" spans="1:24" ht="15" customHeight="1" x14ac:dyDescent="0.25">
      <c r="A1266" t="str">
        <f>""</f>
        <v/>
      </c>
      <c r="B1266" s="1"/>
      <c r="H1266">
        <v>250</v>
      </c>
      <c r="J1266" t="s">
        <v>23</v>
      </c>
      <c r="L1266" s="1"/>
      <c r="N1266" s="1"/>
      <c r="V1266" t="str">
        <f>"35000"</f>
        <v>35000</v>
      </c>
      <c r="W1266">
        <v>0</v>
      </c>
      <c r="X1266">
        <v>67.5</v>
      </c>
    </row>
    <row r="1267" spans="1:24" ht="15" customHeight="1" x14ac:dyDescent="0.25">
      <c r="A1267" t="str">
        <f>""</f>
        <v/>
      </c>
      <c r="B1267" s="1"/>
      <c r="H1267">
        <v>160</v>
      </c>
      <c r="L1267" s="1"/>
      <c r="N1267" s="1"/>
      <c r="V1267" t="str">
        <f>"77184"</f>
        <v>77184</v>
      </c>
      <c r="W1267">
        <v>0</v>
      </c>
      <c r="X1267">
        <v>0</v>
      </c>
    </row>
    <row r="1268" spans="1:24" ht="15" customHeight="1" x14ac:dyDescent="0.25">
      <c r="A1268" t="str">
        <f>""</f>
        <v/>
      </c>
      <c r="B1268" s="1"/>
      <c r="H1268">
        <v>180</v>
      </c>
      <c r="J1268" t="s">
        <v>23</v>
      </c>
      <c r="L1268" s="1"/>
      <c r="N1268" s="1"/>
      <c r="V1268" t="str">
        <f>"34500"</f>
        <v>34500</v>
      </c>
      <c r="W1268">
        <v>0</v>
      </c>
      <c r="X1268">
        <v>50.4</v>
      </c>
    </row>
    <row r="1269" spans="1:24" ht="15" customHeight="1" x14ac:dyDescent="0.25">
      <c r="A1269" t="str">
        <f>""</f>
        <v/>
      </c>
      <c r="B1269" s="1"/>
      <c r="H1269">
        <v>140</v>
      </c>
      <c r="J1269" t="s">
        <v>23</v>
      </c>
      <c r="L1269" s="1"/>
      <c r="N1269" s="1"/>
      <c r="V1269" t="str">
        <f>"54000"</f>
        <v>54000</v>
      </c>
      <c r="W1269">
        <v>0</v>
      </c>
      <c r="X1269">
        <v>35</v>
      </c>
    </row>
    <row r="1270" spans="1:24" ht="15" customHeight="1" x14ac:dyDescent="0.25">
      <c r="A1270" t="str">
        <f>""</f>
        <v/>
      </c>
      <c r="B1270" s="1"/>
      <c r="H1270">
        <v>83</v>
      </c>
      <c r="J1270" t="s">
        <v>20</v>
      </c>
      <c r="L1270" s="1"/>
      <c r="N1270" s="1"/>
      <c r="V1270" t="str">
        <f>"84000"</f>
        <v>84000</v>
      </c>
      <c r="W1270">
        <v>24.07</v>
      </c>
      <c r="X1270">
        <v>0</v>
      </c>
    </row>
    <row r="1271" spans="1:24" ht="15" customHeight="1" x14ac:dyDescent="0.25">
      <c r="A1271" t="str">
        <f>""</f>
        <v/>
      </c>
      <c r="B1271" s="1"/>
      <c r="H1271">
        <v>28.26</v>
      </c>
      <c r="J1271" t="s">
        <v>19</v>
      </c>
      <c r="L1271" s="1"/>
      <c r="N1271" s="1"/>
      <c r="V1271" t="str">
        <f>"75009"</f>
        <v>75009</v>
      </c>
      <c r="W1271">
        <v>0</v>
      </c>
      <c r="X1271">
        <v>0</v>
      </c>
    </row>
    <row r="1272" spans="1:24" ht="15" customHeight="1" x14ac:dyDescent="0.25">
      <c r="A1272" t="str">
        <f>""</f>
        <v/>
      </c>
      <c r="B1272" s="1"/>
      <c r="H1272">
        <v>315</v>
      </c>
      <c r="L1272" s="1"/>
      <c r="N1272" s="1"/>
      <c r="V1272" t="str">
        <f>"77184"</f>
        <v>77184</v>
      </c>
      <c r="W1272">
        <v>0</v>
      </c>
      <c r="X1272">
        <v>0</v>
      </c>
    </row>
    <row r="1273" spans="1:24" ht="15" customHeight="1" x14ac:dyDescent="0.25">
      <c r="A1273" t="str">
        <f>""</f>
        <v/>
      </c>
      <c r="B1273" s="1"/>
      <c r="H1273">
        <v>69.739999999999995</v>
      </c>
      <c r="J1273" t="s">
        <v>23</v>
      </c>
      <c r="L1273" s="1"/>
      <c r="N1273" s="1"/>
      <c r="V1273" t="str">
        <f>"34500"</f>
        <v>34500</v>
      </c>
      <c r="W1273">
        <v>0</v>
      </c>
      <c r="X1273">
        <v>19.53</v>
      </c>
    </row>
    <row r="1274" spans="1:24" ht="15" customHeight="1" x14ac:dyDescent="0.25">
      <c r="A1274" t="str">
        <f>""</f>
        <v/>
      </c>
      <c r="B1274" s="1"/>
      <c r="H1274">
        <v>180</v>
      </c>
      <c r="J1274" t="s">
        <v>23</v>
      </c>
      <c r="L1274" s="1"/>
      <c r="N1274" s="1"/>
      <c r="V1274" t="str">
        <f>"75008"</f>
        <v>75008</v>
      </c>
      <c r="W1274">
        <v>0</v>
      </c>
      <c r="X1274">
        <v>0</v>
      </c>
    </row>
    <row r="1275" spans="1:24" ht="15" customHeight="1" x14ac:dyDescent="0.25">
      <c r="A1275" t="str">
        <f>""</f>
        <v/>
      </c>
      <c r="B1275" s="1"/>
      <c r="H1275">
        <v>195.02</v>
      </c>
      <c r="J1275" t="s">
        <v>20</v>
      </c>
      <c r="L1275" s="1"/>
      <c r="N1275" s="1"/>
      <c r="V1275" t="str">
        <f>"11300"</f>
        <v>11300</v>
      </c>
      <c r="W1275">
        <v>76.06</v>
      </c>
      <c r="X1275">
        <v>0</v>
      </c>
    </row>
    <row r="1276" spans="1:24" ht="15" customHeight="1" x14ac:dyDescent="0.25">
      <c r="A1276" t="str">
        <f>""</f>
        <v/>
      </c>
      <c r="B1276" s="1"/>
      <c r="H1276">
        <v>171.98</v>
      </c>
      <c r="J1276" t="s">
        <v>20</v>
      </c>
      <c r="L1276" s="1"/>
      <c r="N1276" s="1"/>
      <c r="V1276" t="str">
        <f>"62660"</f>
        <v>62660</v>
      </c>
      <c r="W1276">
        <v>32.68</v>
      </c>
      <c r="X1276">
        <v>0</v>
      </c>
    </row>
    <row r="1277" spans="1:24" ht="15" customHeight="1" x14ac:dyDescent="0.25">
      <c r="A1277" t="str">
        <f>""</f>
        <v/>
      </c>
      <c r="B1277" s="1"/>
      <c r="H1277">
        <v>100</v>
      </c>
      <c r="J1277" t="s">
        <v>20</v>
      </c>
      <c r="L1277" s="1"/>
      <c r="N1277" s="1"/>
      <c r="V1277" t="str">
        <f>"92600"</f>
        <v>92600</v>
      </c>
      <c r="W1277">
        <v>0</v>
      </c>
      <c r="X1277">
        <v>0</v>
      </c>
    </row>
    <row r="1278" spans="1:24" ht="15" customHeight="1" x14ac:dyDescent="0.25">
      <c r="A1278" t="str">
        <f>""</f>
        <v/>
      </c>
      <c r="B1278" s="1"/>
      <c r="H1278">
        <v>25</v>
      </c>
      <c r="J1278" t="s">
        <v>22</v>
      </c>
      <c r="L1278" s="1"/>
      <c r="N1278" s="1"/>
      <c r="V1278" t="str">
        <f>"59270"</f>
        <v>59270</v>
      </c>
      <c r="W1278">
        <v>0</v>
      </c>
      <c r="X1278">
        <v>0</v>
      </c>
    </row>
    <row r="1279" spans="1:24" ht="15" customHeight="1" x14ac:dyDescent="0.25">
      <c r="A1279" t="str">
        <f>""</f>
        <v/>
      </c>
      <c r="B1279" s="1"/>
      <c r="H1279">
        <v>136.72</v>
      </c>
      <c r="J1279" t="s">
        <v>19</v>
      </c>
      <c r="L1279" s="1"/>
      <c r="N1279" s="1"/>
      <c r="V1279" t="str">
        <f>"44327"</f>
        <v>44327</v>
      </c>
      <c r="W1279">
        <v>36.909999999999997</v>
      </c>
      <c r="X1279">
        <v>0</v>
      </c>
    </row>
    <row r="1280" spans="1:24" ht="15" customHeight="1" x14ac:dyDescent="0.25">
      <c r="A1280" t="str">
        <f>""</f>
        <v/>
      </c>
      <c r="B1280" s="1"/>
      <c r="H1280">
        <v>50</v>
      </c>
      <c r="L1280" s="1"/>
      <c r="N1280" s="1"/>
      <c r="V1280" t="str">
        <f>"44240"</f>
        <v>44240</v>
      </c>
      <c r="W1280">
        <v>0</v>
      </c>
      <c r="X1280">
        <v>0</v>
      </c>
    </row>
    <row r="1281" spans="1:24" x14ac:dyDescent="0.25">
      <c r="A1281" t="str">
        <f>""</f>
        <v/>
      </c>
      <c r="B1281" s="1"/>
      <c r="H1281">
        <v>55</v>
      </c>
      <c r="J1281" t="s">
        <v>16</v>
      </c>
      <c r="L1281" s="1"/>
      <c r="N1281" s="1"/>
      <c r="V1281" t="str">
        <f>"69800"</f>
        <v>69800</v>
      </c>
      <c r="W1281">
        <v>0</v>
      </c>
      <c r="X1281">
        <v>0</v>
      </c>
    </row>
    <row r="1282" spans="1:24" ht="15" customHeight="1" x14ac:dyDescent="0.25">
      <c r="A1282" t="str">
        <f>""</f>
        <v/>
      </c>
      <c r="B1282" s="1"/>
      <c r="H1282">
        <v>25</v>
      </c>
      <c r="J1282" t="s">
        <v>23</v>
      </c>
      <c r="L1282" s="1"/>
      <c r="N1282" s="1"/>
      <c r="V1282" t="str">
        <f>"62600"</f>
        <v>62600</v>
      </c>
      <c r="W1282">
        <v>0</v>
      </c>
      <c r="X1282">
        <v>0</v>
      </c>
    </row>
    <row r="1283" spans="1:24" ht="15" customHeight="1" x14ac:dyDescent="0.25">
      <c r="A1283" t="str">
        <f>""</f>
        <v/>
      </c>
      <c r="B1283" s="1"/>
      <c r="H1283">
        <v>190.21</v>
      </c>
      <c r="J1283" t="s">
        <v>19</v>
      </c>
      <c r="L1283" s="1"/>
      <c r="N1283" s="1"/>
      <c r="V1283" t="str">
        <f>"35350"</f>
        <v>35350</v>
      </c>
      <c r="W1283">
        <v>51.36</v>
      </c>
      <c r="X1283">
        <v>0</v>
      </c>
    </row>
    <row r="1284" spans="1:24" ht="15" customHeight="1" x14ac:dyDescent="0.25">
      <c r="A1284" t="str">
        <f>""</f>
        <v/>
      </c>
      <c r="B1284" s="1"/>
      <c r="H1284">
        <v>131.07</v>
      </c>
      <c r="J1284" t="s">
        <v>20</v>
      </c>
      <c r="L1284" s="1"/>
      <c r="N1284" s="1"/>
      <c r="V1284" t="str">
        <f>"19100"</f>
        <v>19100</v>
      </c>
      <c r="W1284">
        <v>38.01</v>
      </c>
      <c r="X1284">
        <v>0</v>
      </c>
    </row>
    <row r="1285" spans="1:24" ht="15" customHeight="1" x14ac:dyDescent="0.25">
      <c r="A1285" t="str">
        <f>""</f>
        <v/>
      </c>
      <c r="B1285" s="1"/>
      <c r="H1285">
        <v>154.46</v>
      </c>
      <c r="J1285" t="s">
        <v>20</v>
      </c>
      <c r="L1285" s="1"/>
      <c r="N1285" s="1"/>
      <c r="V1285" t="str">
        <f>"69120"</f>
        <v>69120</v>
      </c>
      <c r="W1285">
        <v>41.7</v>
      </c>
      <c r="X1285">
        <v>0</v>
      </c>
    </row>
    <row r="1286" spans="1:24" ht="15" customHeight="1" x14ac:dyDescent="0.25">
      <c r="A1286" t="str">
        <f>""</f>
        <v/>
      </c>
      <c r="B1286" s="1"/>
      <c r="H1286">
        <v>95.74</v>
      </c>
      <c r="J1286" t="s">
        <v>20</v>
      </c>
      <c r="L1286" s="1"/>
      <c r="N1286" s="1"/>
      <c r="V1286" t="str">
        <f>"62380"</f>
        <v>62380</v>
      </c>
      <c r="W1286">
        <v>18.190000000000001</v>
      </c>
      <c r="X1286">
        <v>0</v>
      </c>
    </row>
    <row r="1287" spans="1:24" ht="15" customHeight="1" x14ac:dyDescent="0.25">
      <c r="A1287" t="str">
        <f>""</f>
        <v/>
      </c>
      <c r="B1287" s="1"/>
      <c r="H1287">
        <v>190.8</v>
      </c>
      <c r="J1287" t="s">
        <v>19</v>
      </c>
      <c r="L1287" s="1"/>
      <c r="N1287" s="1"/>
      <c r="V1287" t="str">
        <f>"68120"</f>
        <v>68120</v>
      </c>
      <c r="W1287">
        <v>55.33</v>
      </c>
      <c r="X1287">
        <v>0</v>
      </c>
    </row>
    <row r="1288" spans="1:24" ht="15" customHeight="1" x14ac:dyDescent="0.25">
      <c r="A1288" t="str">
        <f>""</f>
        <v/>
      </c>
      <c r="B1288" s="1"/>
      <c r="H1288">
        <v>100.8</v>
      </c>
      <c r="J1288" t="s">
        <v>20</v>
      </c>
      <c r="L1288" s="1"/>
      <c r="N1288" s="1"/>
      <c r="V1288" t="str">
        <f>"19100"</f>
        <v>19100</v>
      </c>
      <c r="W1288">
        <v>29.23</v>
      </c>
      <c r="X1288">
        <v>0</v>
      </c>
    </row>
    <row r="1289" spans="1:24" ht="15" customHeight="1" x14ac:dyDescent="0.25">
      <c r="A1289" t="str">
        <f>""</f>
        <v/>
      </c>
      <c r="B1289" s="1"/>
      <c r="H1289">
        <v>145.71</v>
      </c>
      <c r="J1289" t="s">
        <v>19</v>
      </c>
      <c r="L1289" s="1"/>
      <c r="N1289" s="1"/>
      <c r="V1289" t="str">
        <f>"60200"</f>
        <v>60200</v>
      </c>
      <c r="W1289">
        <v>27.68</v>
      </c>
      <c r="X1289">
        <v>0</v>
      </c>
    </row>
    <row r="1290" spans="1:24" ht="15" customHeight="1" x14ac:dyDescent="0.25">
      <c r="A1290" t="str">
        <f>""</f>
        <v/>
      </c>
      <c r="B1290" s="1"/>
      <c r="H1290">
        <v>25.8</v>
      </c>
      <c r="J1290" t="s">
        <v>19</v>
      </c>
      <c r="L1290" s="1"/>
      <c r="N1290" s="1"/>
      <c r="V1290" t="str">
        <f>"60300"</f>
        <v>60300</v>
      </c>
      <c r="W1290">
        <v>4.9000000000000004</v>
      </c>
      <c r="X1290">
        <v>0</v>
      </c>
    </row>
    <row r="1291" spans="1:24" ht="15" customHeight="1" x14ac:dyDescent="0.25">
      <c r="A1291" t="str">
        <f>""</f>
        <v/>
      </c>
      <c r="B1291" s="1"/>
      <c r="H1291">
        <v>30</v>
      </c>
      <c r="J1291" t="s">
        <v>19</v>
      </c>
      <c r="L1291" s="1"/>
      <c r="N1291" s="1"/>
      <c r="V1291" t="str">
        <f>"93210"</f>
        <v>93210</v>
      </c>
      <c r="W1291">
        <v>0</v>
      </c>
      <c r="X1291">
        <v>0</v>
      </c>
    </row>
    <row r="1292" spans="1:24" ht="15" customHeight="1" x14ac:dyDescent="0.25">
      <c r="A1292" t="str">
        <f>""</f>
        <v/>
      </c>
      <c r="B1292" s="1"/>
      <c r="H1292">
        <v>201.52</v>
      </c>
      <c r="J1292" t="s">
        <v>22</v>
      </c>
      <c r="L1292" s="1"/>
      <c r="N1292" s="1"/>
      <c r="V1292" t="str">
        <f>"59000"</f>
        <v>59000</v>
      </c>
      <c r="W1292">
        <v>0</v>
      </c>
      <c r="X1292">
        <v>0</v>
      </c>
    </row>
    <row r="1293" spans="1:24" ht="15" customHeight="1" x14ac:dyDescent="0.25">
      <c r="A1293" t="str">
        <f>""</f>
        <v/>
      </c>
      <c r="B1293" s="1"/>
      <c r="H1293">
        <v>187</v>
      </c>
      <c r="L1293" s="1"/>
      <c r="N1293" s="1"/>
      <c r="V1293" t="str">
        <f>"77184"</f>
        <v>77184</v>
      </c>
      <c r="W1293">
        <v>0</v>
      </c>
      <c r="X1293">
        <v>0</v>
      </c>
    </row>
    <row r="1294" spans="1:24" x14ac:dyDescent="0.25">
      <c r="A1294" t="str">
        <f>""</f>
        <v/>
      </c>
      <c r="B1294" s="1"/>
      <c r="H1294">
        <v>284</v>
      </c>
      <c r="J1294" t="s">
        <v>15</v>
      </c>
      <c r="L1294" s="1"/>
      <c r="N1294" s="1"/>
      <c r="V1294" t="str">
        <f>"94150"</f>
        <v>94150</v>
      </c>
      <c r="W1294">
        <v>0</v>
      </c>
      <c r="X1294">
        <v>0</v>
      </c>
    </row>
    <row r="1295" spans="1:24" ht="15" customHeight="1" x14ac:dyDescent="0.25">
      <c r="A1295" t="str">
        <f>""</f>
        <v/>
      </c>
      <c r="B1295" s="1"/>
      <c r="H1295">
        <v>114</v>
      </c>
      <c r="L1295" s="1"/>
      <c r="N1295" s="1"/>
      <c r="V1295" t="str">
        <f>"77184"</f>
        <v>77184</v>
      </c>
      <c r="W1295">
        <v>0</v>
      </c>
      <c r="X1295">
        <v>0</v>
      </c>
    </row>
    <row r="1296" spans="1:24" ht="15" customHeight="1" x14ac:dyDescent="0.25">
      <c r="A1296" t="str">
        <f>""</f>
        <v/>
      </c>
      <c r="B1296" s="1"/>
      <c r="H1296">
        <v>136.65</v>
      </c>
      <c r="J1296" t="s">
        <v>20</v>
      </c>
      <c r="L1296" s="1"/>
      <c r="N1296" s="1"/>
      <c r="V1296" t="str">
        <f>"76600"</f>
        <v>76600</v>
      </c>
      <c r="W1296">
        <v>23.23</v>
      </c>
      <c r="X1296">
        <v>0</v>
      </c>
    </row>
    <row r="1297" spans="1:24" ht="15" customHeight="1" x14ac:dyDescent="0.25">
      <c r="A1297" t="str">
        <f>""</f>
        <v/>
      </c>
      <c r="B1297" s="1"/>
      <c r="H1297">
        <v>18.350000000000001</v>
      </c>
      <c r="J1297" t="s">
        <v>19</v>
      </c>
      <c r="L1297" s="1"/>
      <c r="N1297" s="1"/>
      <c r="V1297" t="str">
        <f>"84140"</f>
        <v>84140</v>
      </c>
      <c r="W1297">
        <v>5.32</v>
      </c>
      <c r="X1297">
        <v>0</v>
      </c>
    </row>
    <row r="1298" spans="1:24" ht="15" customHeight="1" x14ac:dyDescent="0.25">
      <c r="A1298" t="str">
        <f>""</f>
        <v/>
      </c>
      <c r="B1298" s="1"/>
      <c r="H1298">
        <v>69.34</v>
      </c>
      <c r="J1298" t="s">
        <v>20</v>
      </c>
      <c r="L1298" s="1"/>
      <c r="N1298" s="1"/>
      <c r="V1298" t="str">
        <f>"10000"</f>
        <v>10000</v>
      </c>
      <c r="W1298">
        <v>16.64</v>
      </c>
      <c r="X1298">
        <v>0</v>
      </c>
    </row>
    <row r="1299" spans="1:24" ht="15" customHeight="1" x14ac:dyDescent="0.25">
      <c r="A1299" t="str">
        <f>""</f>
        <v/>
      </c>
      <c r="B1299" s="1"/>
      <c r="H1299">
        <v>134.04</v>
      </c>
      <c r="L1299" s="1"/>
      <c r="N1299" s="1"/>
      <c r="V1299" t="str">
        <f>"77184"</f>
        <v>77184</v>
      </c>
      <c r="W1299">
        <v>0</v>
      </c>
      <c r="X1299">
        <v>0</v>
      </c>
    </row>
    <row r="1300" spans="1:24" ht="15" customHeight="1" x14ac:dyDescent="0.25">
      <c r="A1300" t="str">
        <f>""</f>
        <v/>
      </c>
      <c r="B1300" s="1"/>
      <c r="H1300">
        <v>29.59</v>
      </c>
      <c r="J1300" t="s">
        <v>23</v>
      </c>
      <c r="L1300" s="1"/>
      <c r="N1300" s="1"/>
      <c r="V1300" t="str">
        <f>"69006"</f>
        <v>69006</v>
      </c>
      <c r="W1300">
        <v>0</v>
      </c>
      <c r="X1300">
        <v>0</v>
      </c>
    </row>
    <row r="1301" spans="1:24" ht="15" customHeight="1" x14ac:dyDescent="0.25">
      <c r="A1301" t="str">
        <f>""</f>
        <v/>
      </c>
      <c r="B1301" s="1"/>
      <c r="H1301">
        <v>140</v>
      </c>
      <c r="J1301" t="s">
        <v>23</v>
      </c>
      <c r="L1301" s="1"/>
      <c r="N1301" s="1"/>
      <c r="V1301" t="str">
        <f>"67850"</f>
        <v>67850</v>
      </c>
      <c r="W1301">
        <v>0</v>
      </c>
      <c r="X1301">
        <v>11.2</v>
      </c>
    </row>
    <row r="1302" spans="1:24" ht="15" customHeight="1" x14ac:dyDescent="0.25">
      <c r="A1302" t="str">
        <f>""</f>
        <v/>
      </c>
      <c r="B1302" s="1"/>
      <c r="H1302">
        <v>140</v>
      </c>
      <c r="J1302" t="s">
        <v>20</v>
      </c>
      <c r="L1302" s="1"/>
      <c r="N1302" s="1"/>
      <c r="V1302" t="str">
        <f>"68000"</f>
        <v>68000</v>
      </c>
      <c r="W1302">
        <v>40.6</v>
      </c>
      <c r="X1302">
        <v>0</v>
      </c>
    </row>
    <row r="1303" spans="1:24" ht="15" customHeight="1" x14ac:dyDescent="0.25">
      <c r="A1303" t="str">
        <f>""</f>
        <v/>
      </c>
      <c r="B1303" s="1"/>
      <c r="H1303">
        <v>189.59</v>
      </c>
      <c r="J1303" t="s">
        <v>20</v>
      </c>
      <c r="L1303" s="1"/>
      <c r="N1303" s="1"/>
      <c r="V1303" t="str">
        <f>"34970"</f>
        <v>34970</v>
      </c>
      <c r="W1303">
        <v>73.94</v>
      </c>
      <c r="X1303">
        <v>0</v>
      </c>
    </row>
    <row r="1304" spans="1:24" ht="15" customHeight="1" x14ac:dyDescent="0.25">
      <c r="A1304" t="str">
        <f>""</f>
        <v/>
      </c>
      <c r="B1304" s="1"/>
      <c r="H1304">
        <v>30</v>
      </c>
      <c r="J1304" t="s">
        <v>20</v>
      </c>
      <c r="L1304" s="1"/>
      <c r="N1304" s="1"/>
      <c r="V1304" t="str">
        <f>"67000"</f>
        <v>67000</v>
      </c>
      <c r="W1304">
        <v>8.6999999999999993</v>
      </c>
      <c r="X1304">
        <v>0</v>
      </c>
    </row>
    <row r="1305" spans="1:24" ht="15" customHeight="1" x14ac:dyDescent="0.25">
      <c r="A1305" t="str">
        <f>""</f>
        <v/>
      </c>
      <c r="B1305" s="1"/>
      <c r="H1305">
        <v>171.53</v>
      </c>
      <c r="J1305" t="s">
        <v>23</v>
      </c>
      <c r="L1305" s="1"/>
      <c r="N1305" s="1"/>
      <c r="V1305" t="str">
        <f>"34280"</f>
        <v>34280</v>
      </c>
      <c r="W1305">
        <v>0</v>
      </c>
      <c r="X1305">
        <v>0</v>
      </c>
    </row>
    <row r="1306" spans="1:24" ht="15" customHeight="1" x14ac:dyDescent="0.25">
      <c r="A1306" t="str">
        <f>""</f>
        <v/>
      </c>
      <c r="B1306" s="1"/>
      <c r="H1306">
        <v>168.16</v>
      </c>
      <c r="J1306" t="s">
        <v>23</v>
      </c>
      <c r="L1306" s="1"/>
      <c r="V1306" t="str">
        <f>"73400"</f>
        <v>73400</v>
      </c>
      <c r="W1306">
        <v>0</v>
      </c>
      <c r="X1306">
        <v>0</v>
      </c>
    </row>
    <row r="1307" spans="1:24" ht="15" customHeight="1" x14ac:dyDescent="0.25">
      <c r="A1307" t="str">
        <f>""</f>
        <v/>
      </c>
      <c r="B1307" s="1"/>
      <c r="H1307">
        <v>70</v>
      </c>
      <c r="J1307" t="s">
        <v>23</v>
      </c>
      <c r="L1307" s="1"/>
      <c r="N1307" s="1"/>
      <c r="V1307" t="str">
        <f>"75015"</f>
        <v>75015</v>
      </c>
      <c r="W1307">
        <v>0</v>
      </c>
      <c r="X1307">
        <v>0</v>
      </c>
    </row>
    <row r="1308" spans="1:24" ht="15" customHeight="1" x14ac:dyDescent="0.25">
      <c r="A1308" t="str">
        <f>""</f>
        <v/>
      </c>
      <c r="B1308" s="1"/>
      <c r="H1308">
        <v>140</v>
      </c>
      <c r="J1308" t="s">
        <v>22</v>
      </c>
      <c r="L1308" s="1"/>
      <c r="N1308" s="1"/>
      <c r="V1308" t="str">
        <f>"71200"</f>
        <v>71200</v>
      </c>
      <c r="W1308">
        <v>0</v>
      </c>
      <c r="X1308">
        <v>0</v>
      </c>
    </row>
    <row r="1309" spans="1:24" ht="15" customHeight="1" x14ac:dyDescent="0.25">
      <c r="A1309" t="str">
        <f>""</f>
        <v/>
      </c>
      <c r="B1309" s="1"/>
      <c r="H1309">
        <v>29.89</v>
      </c>
      <c r="J1309" t="s">
        <v>22</v>
      </c>
      <c r="L1309" s="1"/>
      <c r="N1309" s="1"/>
      <c r="V1309" t="str">
        <f>"39500"</f>
        <v>39500</v>
      </c>
      <c r="W1309">
        <v>0</v>
      </c>
      <c r="X1309">
        <v>0</v>
      </c>
    </row>
    <row r="1310" spans="1:24" ht="15" customHeight="1" x14ac:dyDescent="0.25">
      <c r="A1310" t="str">
        <f>""</f>
        <v/>
      </c>
      <c r="B1310" s="1"/>
      <c r="H1310">
        <v>180</v>
      </c>
      <c r="J1310" t="s">
        <v>22</v>
      </c>
      <c r="L1310" s="1"/>
      <c r="V1310" t="str">
        <f>"69100"</f>
        <v>69100</v>
      </c>
      <c r="W1310">
        <v>0</v>
      </c>
      <c r="X1310">
        <v>0</v>
      </c>
    </row>
    <row r="1311" spans="1:24" ht="15" customHeight="1" x14ac:dyDescent="0.25">
      <c r="A1311" t="str">
        <f>""</f>
        <v/>
      </c>
      <c r="B1311" s="1"/>
      <c r="H1311">
        <v>33</v>
      </c>
      <c r="J1311" t="s">
        <v>22</v>
      </c>
      <c r="L1311" s="1"/>
      <c r="N1311" s="1"/>
      <c r="V1311" t="str">
        <f>"51150"</f>
        <v>51150</v>
      </c>
      <c r="W1311">
        <v>0</v>
      </c>
      <c r="X1311">
        <v>8.25</v>
      </c>
    </row>
    <row r="1312" spans="1:24" ht="15" customHeight="1" x14ac:dyDescent="0.25">
      <c r="A1312" t="str">
        <f>""</f>
        <v/>
      </c>
      <c r="B1312" s="1"/>
      <c r="H1312">
        <v>141.25</v>
      </c>
      <c r="J1312" t="s">
        <v>23</v>
      </c>
      <c r="L1312" s="1"/>
      <c r="N1312" s="1"/>
      <c r="V1312" t="str">
        <f>"41000"</f>
        <v>41000</v>
      </c>
      <c r="W1312">
        <v>0</v>
      </c>
      <c r="X1312">
        <v>0</v>
      </c>
    </row>
    <row r="1313" spans="1:24" ht="15" customHeight="1" x14ac:dyDescent="0.25">
      <c r="A1313" t="str">
        <f>""</f>
        <v/>
      </c>
      <c r="B1313" s="1"/>
      <c r="H1313">
        <v>200.31</v>
      </c>
      <c r="J1313" t="s">
        <v>19</v>
      </c>
      <c r="L1313" s="1"/>
      <c r="N1313" s="1"/>
      <c r="V1313" t="str">
        <f>"61250"</f>
        <v>61250</v>
      </c>
      <c r="W1313">
        <v>34.049999999999997</v>
      </c>
      <c r="X1313">
        <v>0</v>
      </c>
    </row>
    <row r="1314" spans="1:24" ht="15" customHeight="1" x14ac:dyDescent="0.25">
      <c r="A1314" t="str">
        <f>""</f>
        <v/>
      </c>
      <c r="B1314" s="1"/>
      <c r="H1314">
        <v>50</v>
      </c>
      <c r="J1314" t="s">
        <v>22</v>
      </c>
      <c r="L1314" s="1"/>
      <c r="N1314" s="1"/>
      <c r="V1314" t="str">
        <f>"44600"</f>
        <v>44600</v>
      </c>
      <c r="W1314">
        <v>0</v>
      </c>
      <c r="X1314">
        <v>13.5</v>
      </c>
    </row>
    <row r="1315" spans="1:24" ht="15" customHeight="1" x14ac:dyDescent="0.25">
      <c r="A1315" t="str">
        <f>""</f>
        <v/>
      </c>
      <c r="B1315" s="1"/>
      <c r="H1315">
        <v>140</v>
      </c>
      <c r="J1315" t="s">
        <v>23</v>
      </c>
      <c r="L1315" s="1"/>
      <c r="N1315" s="1"/>
      <c r="V1315" t="str">
        <f>"88000"</f>
        <v>88000</v>
      </c>
      <c r="W1315">
        <v>0</v>
      </c>
      <c r="X1315">
        <v>11.2</v>
      </c>
    </row>
    <row r="1316" spans="1:24" ht="15" customHeight="1" x14ac:dyDescent="0.25">
      <c r="A1316" t="str">
        <f>""</f>
        <v/>
      </c>
      <c r="B1316" s="1"/>
      <c r="H1316">
        <v>140</v>
      </c>
      <c r="J1316" t="s">
        <v>22</v>
      </c>
      <c r="L1316" s="1"/>
      <c r="N1316" s="1"/>
      <c r="V1316" t="str">
        <f>"37210"</f>
        <v>37210</v>
      </c>
      <c r="W1316">
        <v>0</v>
      </c>
      <c r="X1316">
        <v>0</v>
      </c>
    </row>
    <row r="1317" spans="1:24" ht="15" customHeight="1" x14ac:dyDescent="0.25">
      <c r="A1317" t="str">
        <f>""</f>
        <v/>
      </c>
      <c r="B1317" s="1"/>
      <c r="H1317">
        <v>250</v>
      </c>
      <c r="J1317" t="s">
        <v>23</v>
      </c>
      <c r="L1317" s="1"/>
      <c r="N1317" s="1"/>
      <c r="V1317" t="str">
        <f>"06480"</f>
        <v>06480</v>
      </c>
      <c r="W1317">
        <v>0</v>
      </c>
      <c r="X1317">
        <v>0</v>
      </c>
    </row>
    <row r="1318" spans="1:24" ht="15" customHeight="1" x14ac:dyDescent="0.25">
      <c r="A1318" t="str">
        <f>""</f>
        <v/>
      </c>
      <c r="B1318" s="1"/>
      <c r="H1318">
        <v>298.95999999999998</v>
      </c>
      <c r="J1318" t="s">
        <v>20</v>
      </c>
      <c r="L1318" s="1"/>
      <c r="N1318" s="1"/>
      <c r="V1318" t="str">
        <f>"94360"</f>
        <v>94360</v>
      </c>
      <c r="W1318">
        <v>0</v>
      </c>
      <c r="X1318">
        <v>0</v>
      </c>
    </row>
    <row r="1319" spans="1:24" ht="15" customHeight="1" x14ac:dyDescent="0.25">
      <c r="A1319" t="str">
        <f>""</f>
        <v/>
      </c>
      <c r="B1319" s="1"/>
      <c r="H1319">
        <v>73.599999999999994</v>
      </c>
      <c r="J1319" t="s">
        <v>23</v>
      </c>
      <c r="L1319" s="1"/>
      <c r="N1319" s="1"/>
      <c r="V1319" t="str">
        <f>"24100"</f>
        <v>24100</v>
      </c>
      <c r="W1319">
        <v>0</v>
      </c>
      <c r="X1319">
        <v>12.51</v>
      </c>
    </row>
    <row r="1320" spans="1:24" ht="15" customHeight="1" x14ac:dyDescent="0.25">
      <c r="A1320" t="str">
        <f>""</f>
        <v/>
      </c>
      <c r="B1320" s="1"/>
      <c r="H1320">
        <v>73.599999999999994</v>
      </c>
      <c r="J1320" t="s">
        <v>23</v>
      </c>
      <c r="L1320" s="1"/>
      <c r="N1320" s="1"/>
      <c r="V1320" t="str">
        <f>"24500"</f>
        <v>24500</v>
      </c>
      <c r="W1320">
        <v>0</v>
      </c>
      <c r="X1320">
        <v>12.51</v>
      </c>
    </row>
    <row r="1321" spans="1:24" x14ac:dyDescent="0.25">
      <c r="A1321" t="str">
        <f>""</f>
        <v/>
      </c>
      <c r="B1321" s="1"/>
      <c r="H1321">
        <v>405.07</v>
      </c>
      <c r="J1321" t="s">
        <v>16</v>
      </c>
      <c r="L1321" s="1"/>
      <c r="N1321" s="1"/>
      <c r="V1321" t="str">
        <f>"76300"</f>
        <v>76300</v>
      </c>
      <c r="W1321">
        <v>0</v>
      </c>
      <c r="X1321">
        <v>0</v>
      </c>
    </row>
    <row r="1322" spans="1:24" ht="15" customHeight="1" x14ac:dyDescent="0.25">
      <c r="A1322" t="str">
        <f>""</f>
        <v/>
      </c>
      <c r="B1322" s="1"/>
      <c r="H1322">
        <v>109.06</v>
      </c>
      <c r="J1322" t="s">
        <v>23</v>
      </c>
      <c r="L1322" s="1"/>
      <c r="N1322" s="1"/>
      <c r="V1322" t="str">
        <f>"88200"</f>
        <v>88200</v>
      </c>
      <c r="W1322">
        <v>0</v>
      </c>
      <c r="X1322">
        <v>8.7200000000000006</v>
      </c>
    </row>
    <row r="1323" spans="1:24" ht="15" customHeight="1" x14ac:dyDescent="0.25">
      <c r="A1323" t="str">
        <f>""</f>
        <v/>
      </c>
      <c r="B1323" s="1"/>
      <c r="H1323">
        <v>38.54</v>
      </c>
      <c r="J1323" t="s">
        <v>22</v>
      </c>
      <c r="L1323" s="1"/>
      <c r="N1323" s="1"/>
      <c r="V1323" t="str">
        <f>"98000"</f>
        <v>98000</v>
      </c>
      <c r="W1323">
        <v>0</v>
      </c>
      <c r="X1323">
        <v>0</v>
      </c>
    </row>
    <row r="1324" spans="1:24" ht="15" customHeight="1" x14ac:dyDescent="0.25">
      <c r="A1324" t="str">
        <f>""</f>
        <v/>
      </c>
      <c r="B1324" s="1"/>
      <c r="H1324">
        <v>32.6</v>
      </c>
      <c r="J1324" t="s">
        <v>22</v>
      </c>
      <c r="L1324" s="1"/>
      <c r="N1324" s="1"/>
      <c r="V1324" t="str">
        <f>"04800"</f>
        <v>04800</v>
      </c>
      <c r="W1324">
        <v>0</v>
      </c>
      <c r="X1324">
        <v>0</v>
      </c>
    </row>
    <row r="1325" spans="1:24" ht="15" customHeight="1" x14ac:dyDescent="0.25">
      <c r="A1325" t="str">
        <f>""</f>
        <v/>
      </c>
      <c r="B1325" s="1"/>
      <c r="H1325">
        <v>140</v>
      </c>
      <c r="J1325" t="s">
        <v>23</v>
      </c>
      <c r="L1325" s="1"/>
      <c r="N1325" s="1"/>
      <c r="V1325" t="str">
        <f>"57340"</f>
        <v>57340</v>
      </c>
      <c r="W1325">
        <v>0</v>
      </c>
      <c r="X1325">
        <v>35</v>
      </c>
    </row>
    <row r="1326" spans="1:24" ht="15" customHeight="1" x14ac:dyDescent="0.25">
      <c r="A1326" t="str">
        <f>""</f>
        <v/>
      </c>
      <c r="B1326" s="1"/>
      <c r="H1326">
        <v>151</v>
      </c>
      <c r="J1326" t="s">
        <v>23</v>
      </c>
      <c r="L1326" s="1"/>
      <c r="N1326" s="1"/>
      <c r="V1326" t="str">
        <f>"88520"</f>
        <v>88520</v>
      </c>
      <c r="W1326">
        <v>0</v>
      </c>
      <c r="X1326">
        <v>12.08</v>
      </c>
    </row>
    <row r="1327" spans="1:24" ht="15" customHeight="1" x14ac:dyDescent="0.25">
      <c r="A1327" t="str">
        <f>""</f>
        <v/>
      </c>
      <c r="B1327" s="1"/>
      <c r="J1327" t="s">
        <v>20</v>
      </c>
      <c r="L1327" s="1"/>
      <c r="N1327" s="1"/>
      <c r="V1327" t="str">
        <f>"77140"</f>
        <v>77140</v>
      </c>
      <c r="W1327">
        <v>0</v>
      </c>
      <c r="X1327">
        <v>0</v>
      </c>
    </row>
    <row r="1328" spans="1:24" ht="15" customHeight="1" x14ac:dyDescent="0.25">
      <c r="A1328" t="str">
        <f>""</f>
        <v/>
      </c>
      <c r="B1328" s="1"/>
      <c r="H1328">
        <v>225.96</v>
      </c>
      <c r="J1328" t="s">
        <v>22</v>
      </c>
      <c r="L1328" s="1"/>
      <c r="N1328" s="1"/>
      <c r="V1328" t="str">
        <f>"85700"</f>
        <v>85700</v>
      </c>
      <c r="W1328">
        <v>0</v>
      </c>
      <c r="X1328">
        <v>61.01</v>
      </c>
    </row>
    <row r="1329" spans="1:24" ht="15" customHeight="1" x14ac:dyDescent="0.25">
      <c r="A1329" t="str">
        <f>""</f>
        <v/>
      </c>
      <c r="B1329" s="1"/>
      <c r="H1329">
        <v>85</v>
      </c>
      <c r="J1329" t="s">
        <v>22</v>
      </c>
      <c r="L1329" s="1"/>
      <c r="V1329" t="str">
        <f>"70000"</f>
        <v>70000</v>
      </c>
      <c r="W1329">
        <v>0</v>
      </c>
      <c r="X1329">
        <v>0</v>
      </c>
    </row>
    <row r="1330" spans="1:24" ht="15" customHeight="1" x14ac:dyDescent="0.25">
      <c r="A1330" t="str">
        <f>""</f>
        <v/>
      </c>
      <c r="B1330" s="1"/>
      <c r="H1330">
        <v>25</v>
      </c>
      <c r="J1330" t="s">
        <v>22</v>
      </c>
      <c r="L1330" s="1"/>
      <c r="V1330" t="str">
        <f>"70000"</f>
        <v>70000</v>
      </c>
      <c r="W1330">
        <v>0</v>
      </c>
      <c r="X1330">
        <v>0</v>
      </c>
    </row>
    <row r="1331" spans="1:24" ht="15" customHeight="1" x14ac:dyDescent="0.25">
      <c r="A1331" t="str">
        <f>""</f>
        <v/>
      </c>
      <c r="B1331" s="1"/>
      <c r="H1331">
        <v>40</v>
      </c>
      <c r="J1331" t="s">
        <v>22</v>
      </c>
      <c r="L1331" s="1"/>
      <c r="N1331" s="1"/>
      <c r="V1331" t="str">
        <f>"01000"</f>
        <v>01000</v>
      </c>
      <c r="W1331">
        <v>0</v>
      </c>
      <c r="X1331">
        <v>0</v>
      </c>
    </row>
    <row r="1332" spans="1:24" ht="15" customHeight="1" x14ac:dyDescent="0.25">
      <c r="A1332" t="str">
        <f>""</f>
        <v/>
      </c>
      <c r="B1332" s="1"/>
      <c r="H1332">
        <v>50.84</v>
      </c>
      <c r="J1332" t="s">
        <v>19</v>
      </c>
      <c r="L1332" s="1"/>
      <c r="N1332" s="1"/>
      <c r="V1332" t="str">
        <f>"92000"</f>
        <v>92000</v>
      </c>
      <c r="W1332">
        <v>0</v>
      </c>
      <c r="X1332">
        <v>0</v>
      </c>
    </row>
    <row r="1333" spans="1:24" x14ac:dyDescent="0.25">
      <c r="A1333" t="str">
        <f>""</f>
        <v/>
      </c>
      <c r="B1333" s="1"/>
      <c r="H1333">
        <v>52.5</v>
      </c>
      <c r="J1333" t="s">
        <v>15</v>
      </c>
      <c r="L1333" s="1"/>
      <c r="N1333" s="1"/>
      <c r="V1333" t="str">
        <f>"56600"</f>
        <v>56600</v>
      </c>
      <c r="W1333">
        <v>0</v>
      </c>
      <c r="X1333">
        <v>0</v>
      </c>
    </row>
    <row r="1334" spans="1:24" ht="15" customHeight="1" x14ac:dyDescent="0.25">
      <c r="A1334" t="str">
        <f>""</f>
        <v/>
      </c>
      <c r="B1334" s="1"/>
      <c r="H1334">
        <v>163.98</v>
      </c>
      <c r="J1334" t="s">
        <v>22</v>
      </c>
      <c r="L1334" s="1"/>
      <c r="N1334" s="1"/>
      <c r="V1334" t="str">
        <f>"77140"</f>
        <v>77140</v>
      </c>
      <c r="W1334">
        <v>0</v>
      </c>
      <c r="X1334">
        <v>0</v>
      </c>
    </row>
    <row r="1335" spans="1:24" x14ac:dyDescent="0.25">
      <c r="A1335" t="str">
        <f>""</f>
        <v/>
      </c>
      <c r="B1335" s="1"/>
      <c r="H1335">
        <v>75.959999999999994</v>
      </c>
      <c r="J1335" t="s">
        <v>16</v>
      </c>
      <c r="L1335" s="1"/>
      <c r="N1335" s="1"/>
      <c r="V1335" t="str">
        <f>"54190"</f>
        <v>54190</v>
      </c>
      <c r="W1335">
        <v>0</v>
      </c>
      <c r="X1335">
        <v>0</v>
      </c>
    </row>
    <row r="1336" spans="1:24" ht="15" customHeight="1" x14ac:dyDescent="0.25">
      <c r="A1336" t="str">
        <f>""</f>
        <v/>
      </c>
      <c r="B1336" s="1"/>
      <c r="H1336">
        <v>102</v>
      </c>
      <c r="J1336" t="s">
        <v>23</v>
      </c>
      <c r="L1336" s="1"/>
      <c r="N1336" s="1"/>
      <c r="V1336" t="str">
        <f>"13009"</f>
        <v>13009</v>
      </c>
      <c r="W1336">
        <v>0</v>
      </c>
      <c r="X1336">
        <v>0</v>
      </c>
    </row>
    <row r="1337" spans="1:24" ht="15" customHeight="1" x14ac:dyDescent="0.25">
      <c r="A1337" t="str">
        <f>""</f>
        <v/>
      </c>
      <c r="B1337" s="1"/>
      <c r="H1337">
        <v>180</v>
      </c>
      <c r="J1337" t="s">
        <v>23</v>
      </c>
      <c r="L1337" s="1"/>
      <c r="V1337" t="str">
        <f>"94550"</f>
        <v>94550</v>
      </c>
      <c r="W1337">
        <v>0</v>
      </c>
      <c r="X1337">
        <v>0</v>
      </c>
    </row>
    <row r="1338" spans="1:24" x14ac:dyDescent="0.25">
      <c r="A1338" t="str">
        <f>""</f>
        <v/>
      </c>
      <c r="B1338" s="1"/>
      <c r="H1338">
        <v>23.4</v>
      </c>
      <c r="J1338" t="s">
        <v>15</v>
      </c>
      <c r="L1338" s="1"/>
      <c r="N1338" s="1"/>
      <c r="V1338" t="str">
        <f>"38110"</f>
        <v>38110</v>
      </c>
      <c r="W1338">
        <v>0</v>
      </c>
      <c r="X1338">
        <v>0</v>
      </c>
    </row>
    <row r="1339" spans="1:24" ht="15" customHeight="1" x14ac:dyDescent="0.25">
      <c r="A1339" t="str">
        <f>""</f>
        <v/>
      </c>
      <c r="B1339" s="1"/>
      <c r="H1339">
        <v>90</v>
      </c>
      <c r="J1339" t="s">
        <v>22</v>
      </c>
      <c r="L1339" s="1"/>
      <c r="N1339" s="1"/>
      <c r="V1339" t="str">
        <f>"90400"</f>
        <v>90400</v>
      </c>
      <c r="W1339">
        <v>0</v>
      </c>
      <c r="X1339">
        <v>26.1</v>
      </c>
    </row>
    <row r="1340" spans="1:24" ht="15" customHeight="1" x14ac:dyDescent="0.25">
      <c r="A1340" t="str">
        <f>""</f>
        <v/>
      </c>
      <c r="B1340" s="1"/>
      <c r="H1340">
        <v>20</v>
      </c>
      <c r="L1340" s="1"/>
      <c r="N1340" s="1"/>
      <c r="V1340" t="str">
        <f>"77184"</f>
        <v>77184</v>
      </c>
      <c r="W1340">
        <v>0</v>
      </c>
      <c r="X1340">
        <v>0</v>
      </c>
    </row>
    <row r="1341" spans="1:24" x14ac:dyDescent="0.25">
      <c r="A1341" t="str">
        <f>""</f>
        <v/>
      </c>
      <c r="B1341" s="1"/>
      <c r="H1341">
        <v>92</v>
      </c>
      <c r="J1341" t="s">
        <v>16</v>
      </c>
      <c r="L1341" s="1"/>
      <c r="N1341" s="1"/>
      <c r="V1341" t="str">
        <f>"66000"</f>
        <v>66000</v>
      </c>
      <c r="W1341">
        <v>0</v>
      </c>
      <c r="X1341">
        <v>20.239999999999998</v>
      </c>
    </row>
    <row r="1342" spans="1:24" ht="15" customHeight="1" x14ac:dyDescent="0.25">
      <c r="A1342" t="str">
        <f>""</f>
        <v/>
      </c>
      <c r="B1342" s="1"/>
      <c r="H1342">
        <v>188.33</v>
      </c>
      <c r="J1342" t="s">
        <v>19</v>
      </c>
      <c r="L1342" s="1"/>
      <c r="N1342" s="1"/>
      <c r="V1342" t="str">
        <f>"69002"</f>
        <v>69002</v>
      </c>
      <c r="W1342">
        <v>50.85</v>
      </c>
      <c r="X1342">
        <v>0</v>
      </c>
    </row>
    <row r="1343" spans="1:24" ht="15" customHeight="1" x14ac:dyDescent="0.25">
      <c r="A1343" t="str">
        <f>""</f>
        <v/>
      </c>
      <c r="B1343" s="1"/>
      <c r="H1343">
        <v>171.45</v>
      </c>
      <c r="J1343" t="s">
        <v>23</v>
      </c>
      <c r="L1343" s="1"/>
      <c r="N1343" s="1"/>
      <c r="V1343" t="str">
        <f>"59211"</f>
        <v>59211</v>
      </c>
      <c r="W1343">
        <v>0</v>
      </c>
      <c r="X1343">
        <v>0</v>
      </c>
    </row>
    <row r="1344" spans="1:24" ht="15" customHeight="1" x14ac:dyDescent="0.25">
      <c r="A1344" t="str">
        <f>""</f>
        <v/>
      </c>
      <c r="B1344" s="1"/>
      <c r="H1344">
        <v>136.99</v>
      </c>
      <c r="J1344" t="s">
        <v>23</v>
      </c>
      <c r="L1344" s="1"/>
      <c r="N1344" s="1"/>
      <c r="V1344" t="str">
        <f>"59600"</f>
        <v>59600</v>
      </c>
      <c r="W1344">
        <v>0</v>
      </c>
      <c r="X1344">
        <v>0</v>
      </c>
    </row>
    <row r="1345" spans="1:24" ht="15" customHeight="1" x14ac:dyDescent="0.25">
      <c r="A1345" t="str">
        <f>""</f>
        <v/>
      </c>
      <c r="B1345" s="1"/>
      <c r="H1345">
        <v>189.92</v>
      </c>
      <c r="J1345" t="s">
        <v>19</v>
      </c>
      <c r="L1345" s="1"/>
      <c r="N1345" s="1"/>
      <c r="V1345" t="str">
        <f>"21220"</f>
        <v>21220</v>
      </c>
      <c r="W1345">
        <v>45.58</v>
      </c>
      <c r="X1345">
        <v>0</v>
      </c>
    </row>
    <row r="1346" spans="1:24" ht="15" customHeight="1" x14ac:dyDescent="0.25">
      <c r="A1346" t="str">
        <f>""</f>
        <v/>
      </c>
      <c r="B1346" s="1"/>
      <c r="H1346">
        <v>29.59</v>
      </c>
      <c r="J1346" t="s">
        <v>22</v>
      </c>
      <c r="L1346" s="1"/>
      <c r="N1346" s="1"/>
      <c r="V1346" t="str">
        <f>"92400"</f>
        <v>92400</v>
      </c>
      <c r="W1346">
        <v>0</v>
      </c>
      <c r="X1346">
        <v>0</v>
      </c>
    </row>
    <row r="1347" spans="1:24" ht="15" customHeight="1" x14ac:dyDescent="0.25">
      <c r="A1347" t="str">
        <f>""</f>
        <v/>
      </c>
      <c r="B1347" s="1"/>
      <c r="H1347">
        <v>180</v>
      </c>
      <c r="J1347" t="s">
        <v>23</v>
      </c>
      <c r="L1347" s="1"/>
      <c r="N1347" s="1"/>
      <c r="V1347" t="str">
        <f>"62320"</f>
        <v>62320</v>
      </c>
      <c r="W1347">
        <v>0</v>
      </c>
      <c r="X1347">
        <v>0</v>
      </c>
    </row>
    <row r="1348" spans="1:24" ht="15" customHeight="1" x14ac:dyDescent="0.25">
      <c r="A1348" t="str">
        <f>""</f>
        <v/>
      </c>
      <c r="B1348" s="1"/>
      <c r="H1348">
        <v>151</v>
      </c>
      <c r="J1348" t="s">
        <v>22</v>
      </c>
      <c r="L1348" s="1"/>
      <c r="N1348" s="1"/>
      <c r="V1348" t="str">
        <f>"06560"</f>
        <v>06560</v>
      </c>
      <c r="W1348">
        <v>0</v>
      </c>
      <c r="X1348">
        <v>0</v>
      </c>
    </row>
    <row r="1349" spans="1:24" ht="15" customHeight="1" x14ac:dyDescent="0.25">
      <c r="A1349" t="str">
        <f>""</f>
        <v/>
      </c>
      <c r="B1349" s="1"/>
      <c r="H1349">
        <v>151</v>
      </c>
      <c r="J1349" t="s">
        <v>22</v>
      </c>
      <c r="L1349" s="1"/>
      <c r="N1349" s="1"/>
      <c r="V1349" t="str">
        <f>"06560"</f>
        <v>06560</v>
      </c>
      <c r="W1349">
        <v>0</v>
      </c>
      <c r="X1349">
        <v>0</v>
      </c>
    </row>
    <row r="1350" spans="1:24" ht="15" customHeight="1" x14ac:dyDescent="0.25">
      <c r="A1350" t="str">
        <f>""</f>
        <v/>
      </c>
      <c r="B1350" s="1"/>
      <c r="H1350">
        <v>151</v>
      </c>
      <c r="J1350" t="s">
        <v>23</v>
      </c>
      <c r="L1350" s="1"/>
      <c r="N1350" s="1"/>
      <c r="V1350" t="str">
        <f>"06560"</f>
        <v>06560</v>
      </c>
      <c r="W1350">
        <v>0</v>
      </c>
      <c r="X1350">
        <v>0</v>
      </c>
    </row>
    <row r="1351" spans="1:24" ht="15" customHeight="1" x14ac:dyDescent="0.25">
      <c r="A1351" t="str">
        <f>""</f>
        <v/>
      </c>
      <c r="B1351" s="1"/>
      <c r="H1351">
        <v>151</v>
      </c>
      <c r="J1351" t="s">
        <v>23</v>
      </c>
      <c r="L1351" s="1"/>
      <c r="N1351" s="1"/>
      <c r="V1351" t="str">
        <f>"06560"</f>
        <v>06560</v>
      </c>
      <c r="W1351">
        <v>0</v>
      </c>
      <c r="X1351">
        <v>0</v>
      </c>
    </row>
    <row r="1352" spans="1:24" ht="15" customHeight="1" x14ac:dyDescent="0.25">
      <c r="A1352" t="str">
        <f>""</f>
        <v/>
      </c>
      <c r="B1352" s="1"/>
      <c r="H1352">
        <v>151</v>
      </c>
      <c r="J1352" t="s">
        <v>22</v>
      </c>
      <c r="L1352" s="1"/>
      <c r="N1352" s="1"/>
      <c r="V1352" t="str">
        <f>"06560"</f>
        <v>06560</v>
      </c>
      <c r="W1352">
        <v>0</v>
      </c>
      <c r="X1352">
        <v>0</v>
      </c>
    </row>
    <row r="1353" spans="1:24" ht="15" customHeight="1" x14ac:dyDescent="0.25">
      <c r="A1353" t="str">
        <f>""</f>
        <v/>
      </c>
      <c r="B1353" s="1"/>
      <c r="H1353">
        <v>25</v>
      </c>
      <c r="L1353" s="1"/>
      <c r="N1353" s="1"/>
      <c r="V1353" t="str">
        <f>"77184"</f>
        <v>77184</v>
      </c>
      <c r="W1353">
        <v>0</v>
      </c>
      <c r="X1353">
        <v>0</v>
      </c>
    </row>
    <row r="1354" spans="1:24" x14ac:dyDescent="0.25">
      <c r="A1354" t="str">
        <f>""</f>
        <v/>
      </c>
      <c r="B1354" s="1"/>
      <c r="H1354">
        <v>122.09</v>
      </c>
      <c r="J1354" t="s">
        <v>16</v>
      </c>
      <c r="L1354" s="1"/>
      <c r="N1354" s="1"/>
      <c r="V1354" t="str">
        <f>"59000"</f>
        <v>59000</v>
      </c>
      <c r="W1354">
        <v>0</v>
      </c>
      <c r="X1354">
        <v>0</v>
      </c>
    </row>
    <row r="1355" spans="1:24" ht="15" customHeight="1" x14ac:dyDescent="0.25">
      <c r="A1355" t="str">
        <f>""</f>
        <v/>
      </c>
      <c r="B1355" s="1"/>
      <c r="H1355">
        <v>43.44</v>
      </c>
      <c r="J1355" t="s">
        <v>19</v>
      </c>
      <c r="L1355" s="1"/>
      <c r="N1355" s="1"/>
      <c r="V1355" t="str">
        <f>"56920"</f>
        <v>56920</v>
      </c>
      <c r="W1355">
        <v>11.73</v>
      </c>
      <c r="X1355">
        <v>0</v>
      </c>
    </row>
    <row r="1356" spans="1:24" ht="15" customHeight="1" x14ac:dyDescent="0.25">
      <c r="A1356" t="str">
        <f>""</f>
        <v/>
      </c>
      <c r="B1356" s="1"/>
      <c r="H1356">
        <v>68.8</v>
      </c>
      <c r="J1356" t="s">
        <v>22</v>
      </c>
      <c r="L1356" s="1"/>
      <c r="N1356" s="1"/>
      <c r="V1356" t="str">
        <f>"75014"</f>
        <v>75014</v>
      </c>
      <c r="W1356">
        <v>0</v>
      </c>
      <c r="X1356">
        <v>0</v>
      </c>
    </row>
    <row r="1357" spans="1:24" ht="15" customHeight="1" x14ac:dyDescent="0.25">
      <c r="A1357" t="str">
        <f>""</f>
        <v/>
      </c>
      <c r="B1357" s="1"/>
      <c r="H1357">
        <v>31.6</v>
      </c>
      <c r="L1357" s="1"/>
      <c r="N1357" s="1"/>
      <c r="V1357" t="str">
        <f>"77184"</f>
        <v>77184</v>
      </c>
      <c r="W1357">
        <v>0</v>
      </c>
      <c r="X1357">
        <v>0</v>
      </c>
    </row>
    <row r="1358" spans="1:24" x14ac:dyDescent="0.25">
      <c r="A1358" t="str">
        <f>""</f>
        <v/>
      </c>
      <c r="B1358" s="1"/>
      <c r="H1358">
        <v>40</v>
      </c>
      <c r="J1358" t="s">
        <v>15</v>
      </c>
      <c r="L1358" s="1"/>
      <c r="N1358" s="1"/>
      <c r="V1358" t="str">
        <f>"63100"</f>
        <v>63100</v>
      </c>
      <c r="W1358">
        <v>0</v>
      </c>
      <c r="X1358">
        <v>0</v>
      </c>
    </row>
    <row r="1359" spans="1:24" ht="15" customHeight="1" x14ac:dyDescent="0.25">
      <c r="A1359" t="str">
        <f>""</f>
        <v/>
      </c>
      <c r="B1359" s="1"/>
      <c r="H1359">
        <v>10</v>
      </c>
      <c r="L1359" s="1"/>
      <c r="N1359" s="1"/>
      <c r="V1359" t="str">
        <f>"77184"</f>
        <v>77184</v>
      </c>
      <c r="W1359">
        <v>0</v>
      </c>
      <c r="X1359">
        <v>0</v>
      </c>
    </row>
    <row r="1360" spans="1:24" ht="15" customHeight="1" x14ac:dyDescent="0.25">
      <c r="A1360" t="str">
        <f>""</f>
        <v/>
      </c>
      <c r="B1360" s="1"/>
      <c r="H1360">
        <v>137.05000000000001</v>
      </c>
      <c r="J1360" t="s">
        <v>22</v>
      </c>
      <c r="L1360" s="1"/>
      <c r="N1360" s="1"/>
      <c r="V1360" t="str">
        <f>"13115"</f>
        <v>13115</v>
      </c>
      <c r="W1360">
        <v>0</v>
      </c>
      <c r="X1360">
        <v>26.04</v>
      </c>
    </row>
    <row r="1361" spans="1:24" ht="15" customHeight="1" x14ac:dyDescent="0.25">
      <c r="A1361" t="str">
        <f>""</f>
        <v/>
      </c>
      <c r="B1361" s="1"/>
      <c r="H1361">
        <v>180</v>
      </c>
      <c r="J1361" t="s">
        <v>22</v>
      </c>
      <c r="L1361" s="1"/>
      <c r="N1361" s="1"/>
      <c r="V1361" t="str">
        <f>"01000"</f>
        <v>01000</v>
      </c>
      <c r="W1361">
        <v>0</v>
      </c>
      <c r="X1361">
        <v>0</v>
      </c>
    </row>
    <row r="1362" spans="1:24" ht="15" customHeight="1" x14ac:dyDescent="0.25">
      <c r="A1362" t="str">
        <f>""</f>
        <v/>
      </c>
      <c r="B1362" s="1"/>
      <c r="H1362">
        <v>55.16</v>
      </c>
      <c r="J1362" t="s">
        <v>19</v>
      </c>
      <c r="L1362" s="1"/>
      <c r="N1362" s="1"/>
      <c r="V1362" t="str">
        <f>"35044"</f>
        <v>35044</v>
      </c>
      <c r="W1362">
        <v>14.89</v>
      </c>
      <c r="X1362">
        <v>0</v>
      </c>
    </row>
    <row r="1363" spans="1:24" ht="15" customHeight="1" x14ac:dyDescent="0.25">
      <c r="A1363" t="str">
        <f>""</f>
        <v/>
      </c>
      <c r="B1363" s="1"/>
      <c r="H1363">
        <v>55.16</v>
      </c>
      <c r="J1363" t="s">
        <v>19</v>
      </c>
      <c r="L1363" s="1"/>
      <c r="N1363" s="1"/>
      <c r="V1363" t="str">
        <f>"35044"</f>
        <v>35044</v>
      </c>
      <c r="W1363">
        <v>14.89</v>
      </c>
      <c r="X1363">
        <v>0</v>
      </c>
    </row>
    <row r="1364" spans="1:24" ht="15" customHeight="1" x14ac:dyDescent="0.25">
      <c r="A1364" t="str">
        <f>""</f>
        <v/>
      </c>
      <c r="B1364" s="1"/>
      <c r="H1364">
        <v>146.85</v>
      </c>
      <c r="J1364" t="s">
        <v>20</v>
      </c>
      <c r="L1364" s="1"/>
      <c r="N1364" s="1"/>
      <c r="V1364" t="str">
        <f>"63300"</f>
        <v>63300</v>
      </c>
      <c r="W1364">
        <v>42.59</v>
      </c>
      <c r="X1364">
        <v>0</v>
      </c>
    </row>
    <row r="1365" spans="1:24" ht="15" customHeight="1" x14ac:dyDescent="0.25">
      <c r="A1365" t="str">
        <f>""</f>
        <v/>
      </c>
      <c r="B1365" s="1"/>
      <c r="H1365">
        <v>104.2</v>
      </c>
      <c r="J1365" t="s">
        <v>23</v>
      </c>
      <c r="L1365" s="1"/>
      <c r="N1365" s="1"/>
      <c r="V1365" t="str">
        <f>"30650"</f>
        <v>30650</v>
      </c>
      <c r="W1365">
        <v>0</v>
      </c>
      <c r="X1365">
        <v>29.18</v>
      </c>
    </row>
    <row r="1366" spans="1:24" ht="15" customHeight="1" x14ac:dyDescent="0.25">
      <c r="A1366" t="str">
        <f>""</f>
        <v/>
      </c>
      <c r="B1366" s="1"/>
      <c r="H1366">
        <v>194.98</v>
      </c>
      <c r="J1366" t="s">
        <v>23</v>
      </c>
      <c r="L1366" s="1"/>
      <c r="N1366" s="1"/>
      <c r="V1366" t="str">
        <f>"45000"</f>
        <v>45000</v>
      </c>
      <c r="W1366">
        <v>0</v>
      </c>
      <c r="X1366">
        <v>76.040000000000006</v>
      </c>
    </row>
    <row r="1367" spans="1:24" ht="15" customHeight="1" x14ac:dyDescent="0.25">
      <c r="A1367" t="str">
        <f>""</f>
        <v/>
      </c>
      <c r="B1367" s="1"/>
      <c r="H1367">
        <v>46.09</v>
      </c>
      <c r="J1367" t="s">
        <v>23</v>
      </c>
      <c r="L1367" s="1"/>
      <c r="N1367" s="1"/>
      <c r="V1367" t="str">
        <f>"45800"</f>
        <v>45800</v>
      </c>
      <c r="W1367">
        <v>0</v>
      </c>
      <c r="X1367">
        <v>5.53</v>
      </c>
    </row>
    <row r="1368" spans="1:24" x14ac:dyDescent="0.25">
      <c r="A1368" t="str">
        <f>""</f>
        <v/>
      </c>
      <c r="B1368" s="1"/>
      <c r="H1368">
        <v>122.09</v>
      </c>
      <c r="J1368" t="s">
        <v>18</v>
      </c>
      <c r="L1368" s="1"/>
      <c r="N1368" s="1"/>
      <c r="V1368" t="str">
        <f>"73000"</f>
        <v>73000</v>
      </c>
      <c r="W1368">
        <v>0</v>
      </c>
      <c r="X1368">
        <v>0</v>
      </c>
    </row>
    <row r="1369" spans="1:24" ht="15" customHeight="1" x14ac:dyDescent="0.25">
      <c r="A1369" t="str">
        <f>""</f>
        <v/>
      </c>
      <c r="B1369" s="1"/>
      <c r="H1369">
        <v>40</v>
      </c>
      <c r="J1369" t="s">
        <v>23</v>
      </c>
      <c r="L1369" s="1"/>
      <c r="N1369" s="1"/>
      <c r="V1369" t="str">
        <f>"50100"</f>
        <v>50100</v>
      </c>
      <c r="W1369">
        <v>0</v>
      </c>
      <c r="X1369">
        <v>6.8</v>
      </c>
    </row>
    <row r="1370" spans="1:24" ht="15" customHeight="1" x14ac:dyDescent="0.25">
      <c r="A1370" t="str">
        <f>""</f>
        <v/>
      </c>
      <c r="B1370" s="1"/>
      <c r="H1370">
        <v>136.65</v>
      </c>
      <c r="J1370" t="s">
        <v>20</v>
      </c>
      <c r="L1370" s="1"/>
      <c r="N1370" s="1"/>
      <c r="V1370" t="str">
        <f>"45160"</f>
        <v>45160</v>
      </c>
      <c r="W1370">
        <v>28.7</v>
      </c>
      <c r="X1370">
        <v>0</v>
      </c>
    </row>
    <row r="1371" spans="1:24" ht="15" customHeight="1" x14ac:dyDescent="0.25">
      <c r="A1371" t="str">
        <f>""</f>
        <v/>
      </c>
      <c r="B1371" s="1"/>
      <c r="H1371">
        <v>303.74</v>
      </c>
      <c r="J1371" t="s">
        <v>20</v>
      </c>
      <c r="L1371" s="1"/>
      <c r="N1371" s="1"/>
      <c r="V1371" t="str">
        <f>"69230"</f>
        <v>69230</v>
      </c>
      <c r="W1371">
        <v>82.01</v>
      </c>
      <c r="X1371">
        <v>0</v>
      </c>
    </row>
    <row r="1372" spans="1:24" x14ac:dyDescent="0.25">
      <c r="A1372" t="str">
        <f>""</f>
        <v/>
      </c>
      <c r="B1372" s="1"/>
      <c r="H1372">
        <v>151</v>
      </c>
      <c r="J1372" t="s">
        <v>15</v>
      </c>
      <c r="L1372" s="1"/>
      <c r="N1372" s="1"/>
      <c r="V1372" t="str">
        <f>"69800"</f>
        <v>69800</v>
      </c>
      <c r="W1372">
        <v>0</v>
      </c>
      <c r="X1372">
        <v>0</v>
      </c>
    </row>
    <row r="1373" spans="1:24" ht="15" customHeight="1" x14ac:dyDescent="0.25">
      <c r="A1373" t="str">
        <f>""</f>
        <v/>
      </c>
      <c r="B1373" s="1"/>
      <c r="H1373">
        <v>151</v>
      </c>
      <c r="J1373" t="s">
        <v>22</v>
      </c>
      <c r="L1373" s="1"/>
      <c r="N1373" s="1"/>
      <c r="V1373" t="str">
        <f>"68360"</f>
        <v>68360</v>
      </c>
      <c r="W1373">
        <v>0</v>
      </c>
      <c r="X1373">
        <v>0</v>
      </c>
    </row>
    <row r="1374" spans="1:24" ht="15" customHeight="1" x14ac:dyDescent="0.25">
      <c r="A1374" t="str">
        <f>""</f>
        <v/>
      </c>
      <c r="B1374" s="1"/>
      <c r="H1374">
        <v>12</v>
      </c>
      <c r="J1374" t="s">
        <v>19</v>
      </c>
      <c r="L1374" s="1"/>
      <c r="N1374" s="1"/>
      <c r="V1374" t="str">
        <f>"54000"</f>
        <v>54000</v>
      </c>
      <c r="W1374">
        <v>3</v>
      </c>
      <c r="X1374">
        <v>0</v>
      </c>
    </row>
    <row r="1375" spans="1:24" ht="15" customHeight="1" x14ac:dyDescent="0.25">
      <c r="A1375" t="str">
        <f>""</f>
        <v/>
      </c>
      <c r="B1375" s="1"/>
      <c r="H1375">
        <v>12</v>
      </c>
      <c r="J1375" t="s">
        <v>20</v>
      </c>
      <c r="L1375" s="1"/>
      <c r="V1375" t="str">
        <f>"57000"</f>
        <v>57000</v>
      </c>
      <c r="W1375">
        <v>0</v>
      </c>
      <c r="X1375">
        <v>0</v>
      </c>
    </row>
    <row r="1376" spans="1:24" x14ac:dyDescent="0.25">
      <c r="A1376" t="str">
        <f>""</f>
        <v/>
      </c>
      <c r="B1376" s="1"/>
      <c r="H1376">
        <v>163.98</v>
      </c>
      <c r="J1376" t="s">
        <v>18</v>
      </c>
      <c r="L1376" s="1"/>
      <c r="V1376" t="str">
        <f>"68360"</f>
        <v>68360</v>
      </c>
      <c r="W1376">
        <v>0</v>
      </c>
      <c r="X1376">
        <v>0</v>
      </c>
    </row>
    <row r="1377" spans="1:24" ht="15" customHeight="1" x14ac:dyDescent="0.25">
      <c r="A1377" t="str">
        <f>""</f>
        <v/>
      </c>
      <c r="B1377" s="1"/>
      <c r="H1377">
        <v>55.31</v>
      </c>
      <c r="J1377" t="s">
        <v>19</v>
      </c>
      <c r="L1377" s="1"/>
      <c r="N1377" s="1"/>
      <c r="V1377" t="str">
        <f>"62740"</f>
        <v>62740</v>
      </c>
      <c r="W1377">
        <v>10.51</v>
      </c>
      <c r="X1377">
        <v>0</v>
      </c>
    </row>
    <row r="1378" spans="1:24" ht="15" customHeight="1" x14ac:dyDescent="0.25">
      <c r="A1378" t="str">
        <f>""</f>
        <v/>
      </c>
      <c r="B1378" s="1"/>
      <c r="H1378">
        <v>55.31</v>
      </c>
      <c r="J1378" t="s">
        <v>19</v>
      </c>
      <c r="L1378" s="1"/>
      <c r="N1378" s="1"/>
      <c r="V1378" t="str">
        <f>"62740"</f>
        <v>62740</v>
      </c>
      <c r="W1378">
        <v>10.51</v>
      </c>
      <c r="X1378">
        <v>0</v>
      </c>
    </row>
    <row r="1379" spans="1:24" ht="15" customHeight="1" x14ac:dyDescent="0.25">
      <c r="A1379" t="str">
        <f>""</f>
        <v/>
      </c>
      <c r="B1379" s="1"/>
      <c r="H1379">
        <v>60</v>
      </c>
      <c r="L1379" s="1"/>
      <c r="N1379" s="1"/>
      <c r="V1379" t="str">
        <f>"44240"</f>
        <v>44240</v>
      </c>
      <c r="W1379">
        <v>0</v>
      </c>
      <c r="X1379">
        <v>0</v>
      </c>
    </row>
    <row r="1380" spans="1:24" ht="15" customHeight="1" x14ac:dyDescent="0.25">
      <c r="A1380" t="str">
        <f>""</f>
        <v/>
      </c>
      <c r="B1380" s="1"/>
      <c r="H1380">
        <v>177.72</v>
      </c>
      <c r="L1380" s="1"/>
      <c r="N1380" s="1"/>
      <c r="V1380" t="str">
        <f>"77184"</f>
        <v>77184</v>
      </c>
      <c r="W1380">
        <v>0</v>
      </c>
      <c r="X1380">
        <v>0</v>
      </c>
    </row>
    <row r="1381" spans="1:24" ht="15" customHeight="1" x14ac:dyDescent="0.25">
      <c r="A1381" t="str">
        <f>""</f>
        <v/>
      </c>
      <c r="B1381" s="1"/>
      <c r="H1381">
        <v>105</v>
      </c>
      <c r="L1381" s="1"/>
      <c r="N1381" s="1"/>
      <c r="V1381" t="str">
        <f>"77184"</f>
        <v>77184</v>
      </c>
      <c r="W1381">
        <v>0</v>
      </c>
      <c r="X1381">
        <v>0</v>
      </c>
    </row>
    <row r="1382" spans="1:24" ht="15" customHeight="1" x14ac:dyDescent="0.25">
      <c r="A1382" t="str">
        <f>""</f>
        <v/>
      </c>
      <c r="B1382" s="1"/>
      <c r="H1382">
        <v>140</v>
      </c>
      <c r="J1382" t="s">
        <v>23</v>
      </c>
      <c r="L1382" s="1"/>
      <c r="N1382" s="1"/>
      <c r="V1382" t="str">
        <f>"76420"</f>
        <v>76420</v>
      </c>
      <c r="W1382">
        <v>0</v>
      </c>
      <c r="X1382">
        <v>23.8</v>
      </c>
    </row>
    <row r="1383" spans="1:24" ht="15" customHeight="1" x14ac:dyDescent="0.25">
      <c r="A1383" t="str">
        <f>""</f>
        <v/>
      </c>
      <c r="B1383" s="1"/>
      <c r="H1383">
        <v>134.57</v>
      </c>
      <c r="J1383" t="s">
        <v>19</v>
      </c>
      <c r="L1383" s="1"/>
      <c r="N1383" s="1"/>
      <c r="V1383" t="str">
        <f>"75009"</f>
        <v>75009</v>
      </c>
      <c r="W1383">
        <v>0</v>
      </c>
      <c r="X1383">
        <v>0</v>
      </c>
    </row>
    <row r="1384" spans="1:24" ht="15" customHeight="1" x14ac:dyDescent="0.25">
      <c r="A1384" t="str">
        <f>""</f>
        <v/>
      </c>
      <c r="B1384" s="1"/>
      <c r="H1384">
        <v>51.02</v>
      </c>
      <c r="J1384" t="s">
        <v>20</v>
      </c>
      <c r="L1384" s="1"/>
      <c r="N1384" s="1"/>
      <c r="V1384" t="str">
        <f>"61210"</f>
        <v>61210</v>
      </c>
      <c r="W1384">
        <v>8.67</v>
      </c>
      <c r="X1384">
        <v>0</v>
      </c>
    </row>
    <row r="1385" spans="1:24" ht="15" customHeight="1" x14ac:dyDescent="0.25">
      <c r="A1385" t="str">
        <f>""</f>
        <v/>
      </c>
      <c r="B1385" s="1"/>
      <c r="H1385">
        <v>105</v>
      </c>
      <c r="L1385" s="1"/>
      <c r="N1385" s="1"/>
      <c r="V1385" t="str">
        <f>"77184"</f>
        <v>77184</v>
      </c>
      <c r="W1385">
        <v>0</v>
      </c>
      <c r="X1385">
        <v>0</v>
      </c>
    </row>
    <row r="1386" spans="1:24" ht="15" customHeight="1" x14ac:dyDescent="0.25">
      <c r="A1386" t="str">
        <f>""</f>
        <v/>
      </c>
      <c r="B1386" s="1"/>
      <c r="H1386">
        <v>133</v>
      </c>
      <c r="L1386" s="1"/>
      <c r="N1386" s="1"/>
      <c r="V1386" t="str">
        <f>"77184"</f>
        <v>77184</v>
      </c>
      <c r="W1386">
        <v>0</v>
      </c>
      <c r="X1386">
        <v>0</v>
      </c>
    </row>
    <row r="1387" spans="1:24" ht="15" customHeight="1" x14ac:dyDescent="0.25">
      <c r="A1387" t="str">
        <f>""</f>
        <v/>
      </c>
      <c r="B1387" s="1"/>
      <c r="H1387">
        <v>36.119999999999997</v>
      </c>
      <c r="L1387" s="1"/>
      <c r="N1387" s="1"/>
      <c r="V1387" t="str">
        <f>"77184"</f>
        <v>77184</v>
      </c>
      <c r="W1387">
        <v>0</v>
      </c>
      <c r="X1387">
        <v>0</v>
      </c>
    </row>
    <row r="1388" spans="1:24" ht="15" customHeight="1" x14ac:dyDescent="0.25">
      <c r="A1388" t="str">
        <f>""</f>
        <v/>
      </c>
      <c r="B1388" s="1"/>
      <c r="H1388">
        <v>31</v>
      </c>
      <c r="L1388" s="1"/>
      <c r="N1388" s="1"/>
      <c r="V1388" t="str">
        <f>"77184"</f>
        <v>77184</v>
      </c>
      <c r="W1388">
        <v>0</v>
      </c>
      <c r="X1388">
        <v>0</v>
      </c>
    </row>
    <row r="1389" spans="1:24" ht="15" customHeight="1" x14ac:dyDescent="0.25">
      <c r="A1389" t="str">
        <f>""</f>
        <v/>
      </c>
      <c r="B1389" s="1"/>
      <c r="H1389">
        <v>396.31</v>
      </c>
      <c r="J1389" t="s">
        <v>23</v>
      </c>
      <c r="L1389" s="1"/>
      <c r="N1389" s="1"/>
      <c r="V1389" t="str">
        <f>"59650"</f>
        <v>59650</v>
      </c>
      <c r="W1389">
        <v>0</v>
      </c>
      <c r="X1389">
        <v>0</v>
      </c>
    </row>
    <row r="1390" spans="1:24" ht="15" customHeight="1" x14ac:dyDescent="0.25">
      <c r="A1390" t="str">
        <f>""</f>
        <v/>
      </c>
      <c r="B1390" s="1"/>
      <c r="H1390">
        <v>52.52</v>
      </c>
      <c r="J1390" t="s">
        <v>19</v>
      </c>
      <c r="L1390" s="1"/>
      <c r="N1390" s="1"/>
      <c r="V1390" t="str">
        <f>"66250"</f>
        <v>66250</v>
      </c>
      <c r="W1390">
        <v>20.48</v>
      </c>
      <c r="X1390">
        <v>0</v>
      </c>
    </row>
    <row r="1391" spans="1:24" ht="15" customHeight="1" x14ac:dyDescent="0.25">
      <c r="A1391" t="str">
        <f>""</f>
        <v/>
      </c>
      <c r="B1391" s="1"/>
      <c r="H1391">
        <v>194.63</v>
      </c>
      <c r="J1391" t="s">
        <v>19</v>
      </c>
      <c r="L1391" s="1"/>
      <c r="N1391" s="1"/>
      <c r="V1391" t="str">
        <f>"75018"</f>
        <v>75018</v>
      </c>
      <c r="W1391">
        <v>0</v>
      </c>
      <c r="X1391">
        <v>0</v>
      </c>
    </row>
    <row r="1392" spans="1:24" ht="15" customHeight="1" x14ac:dyDescent="0.25">
      <c r="A1392" t="str">
        <f>""</f>
        <v/>
      </c>
      <c r="B1392" s="1"/>
      <c r="H1392">
        <v>143.44999999999999</v>
      </c>
      <c r="J1392" t="s">
        <v>20</v>
      </c>
      <c r="L1392" s="1"/>
      <c r="N1392" s="1"/>
      <c r="V1392" t="str">
        <f>"34500"</f>
        <v>34500</v>
      </c>
      <c r="W1392">
        <v>55.95</v>
      </c>
      <c r="X1392">
        <v>0</v>
      </c>
    </row>
    <row r="1393" spans="1:24" ht="15" customHeight="1" x14ac:dyDescent="0.25">
      <c r="A1393" t="str">
        <f>""</f>
        <v/>
      </c>
      <c r="B1393" s="1"/>
      <c r="H1393">
        <v>186.07</v>
      </c>
      <c r="J1393" t="s">
        <v>19</v>
      </c>
      <c r="L1393" s="1"/>
      <c r="N1393" s="1"/>
      <c r="V1393" t="str">
        <f>"74190"</f>
        <v>74190</v>
      </c>
      <c r="W1393">
        <v>50.24</v>
      </c>
      <c r="X1393">
        <v>0</v>
      </c>
    </row>
    <row r="1394" spans="1:24" ht="15" customHeight="1" x14ac:dyDescent="0.25">
      <c r="A1394" t="str">
        <f>""</f>
        <v/>
      </c>
      <c r="B1394" s="1"/>
      <c r="H1394">
        <v>36.369999999999997</v>
      </c>
      <c r="J1394" t="s">
        <v>19</v>
      </c>
      <c r="L1394" s="1"/>
      <c r="N1394" s="1"/>
      <c r="V1394" t="str">
        <f>"18000"</f>
        <v>18000</v>
      </c>
      <c r="W1394">
        <v>7.64</v>
      </c>
      <c r="X1394">
        <v>0</v>
      </c>
    </row>
    <row r="1395" spans="1:24" ht="15" customHeight="1" x14ac:dyDescent="0.25">
      <c r="A1395" t="str">
        <f>""</f>
        <v/>
      </c>
      <c r="B1395" s="1"/>
      <c r="H1395">
        <v>107.6</v>
      </c>
      <c r="J1395" t="s">
        <v>19</v>
      </c>
      <c r="L1395" s="1"/>
      <c r="N1395" s="1"/>
      <c r="V1395" t="str">
        <f>"75014"</f>
        <v>75014</v>
      </c>
      <c r="W1395">
        <v>0</v>
      </c>
      <c r="X1395">
        <v>0</v>
      </c>
    </row>
    <row r="1396" spans="1:24" ht="15" customHeight="1" x14ac:dyDescent="0.25">
      <c r="A1396" t="str">
        <f>""</f>
        <v/>
      </c>
      <c r="B1396" s="1"/>
      <c r="H1396">
        <v>200.93</v>
      </c>
      <c r="J1396" t="s">
        <v>19</v>
      </c>
      <c r="L1396" s="1"/>
      <c r="N1396" s="1"/>
      <c r="V1396" t="str">
        <f>"68200"</f>
        <v>68200</v>
      </c>
      <c r="W1396">
        <v>58.27</v>
      </c>
      <c r="X1396">
        <v>0</v>
      </c>
    </row>
    <row r="1397" spans="1:24" ht="15" customHeight="1" x14ac:dyDescent="0.25">
      <c r="A1397" t="str">
        <f>""</f>
        <v/>
      </c>
      <c r="B1397" s="1"/>
      <c r="H1397">
        <v>191.49</v>
      </c>
      <c r="J1397" t="s">
        <v>20</v>
      </c>
      <c r="L1397" s="1"/>
      <c r="N1397" s="1"/>
      <c r="V1397" t="str">
        <f>"67000"</f>
        <v>67000</v>
      </c>
      <c r="W1397">
        <v>55.53</v>
      </c>
      <c r="X1397">
        <v>0</v>
      </c>
    </row>
    <row r="1398" spans="1:24" ht="15" customHeight="1" x14ac:dyDescent="0.25">
      <c r="A1398" t="str">
        <f>""</f>
        <v/>
      </c>
      <c r="B1398" s="1"/>
      <c r="H1398">
        <v>72.12</v>
      </c>
      <c r="L1398" s="1"/>
      <c r="N1398" s="1"/>
      <c r="V1398" t="str">
        <f>"44240"</f>
        <v>44240</v>
      </c>
      <c r="W1398">
        <v>0</v>
      </c>
      <c r="X1398">
        <v>0</v>
      </c>
    </row>
    <row r="1399" spans="1:24" ht="15" customHeight="1" x14ac:dyDescent="0.25">
      <c r="A1399" t="str">
        <f>""</f>
        <v/>
      </c>
      <c r="B1399" s="1"/>
      <c r="H1399">
        <v>161.02000000000001</v>
      </c>
      <c r="J1399" t="s">
        <v>23</v>
      </c>
      <c r="L1399" s="1"/>
      <c r="N1399" s="1"/>
      <c r="V1399" t="str">
        <f>"59157"</f>
        <v>59157</v>
      </c>
      <c r="W1399">
        <v>0</v>
      </c>
      <c r="X1399">
        <v>0</v>
      </c>
    </row>
    <row r="1400" spans="1:24" ht="15" customHeight="1" x14ac:dyDescent="0.25">
      <c r="A1400" t="str">
        <f>""</f>
        <v/>
      </c>
      <c r="B1400" s="1"/>
      <c r="H1400">
        <v>300</v>
      </c>
      <c r="L1400" s="1"/>
      <c r="N1400" s="1"/>
      <c r="V1400" t="str">
        <f>"77184"</f>
        <v>77184</v>
      </c>
      <c r="W1400">
        <v>0</v>
      </c>
      <c r="X1400">
        <v>0</v>
      </c>
    </row>
    <row r="1401" spans="1:24" ht="15" customHeight="1" x14ac:dyDescent="0.25">
      <c r="A1401" t="str">
        <f>""</f>
        <v/>
      </c>
      <c r="B1401" s="1"/>
      <c r="H1401">
        <v>19.649999999999999</v>
      </c>
      <c r="J1401" t="s">
        <v>19</v>
      </c>
      <c r="L1401" s="1"/>
      <c r="N1401" s="1"/>
      <c r="V1401" t="str">
        <f>"75014"</f>
        <v>75014</v>
      </c>
      <c r="W1401">
        <v>0</v>
      </c>
      <c r="X1401">
        <v>0</v>
      </c>
    </row>
    <row r="1402" spans="1:24" ht="15" customHeight="1" x14ac:dyDescent="0.25">
      <c r="A1402" t="str">
        <f>""</f>
        <v/>
      </c>
      <c r="B1402" s="1"/>
      <c r="H1402">
        <v>19.649999999999999</v>
      </c>
      <c r="J1402" t="s">
        <v>19</v>
      </c>
      <c r="L1402" s="1"/>
      <c r="N1402" s="1"/>
      <c r="V1402" t="str">
        <f>"75014"</f>
        <v>75014</v>
      </c>
      <c r="W1402">
        <v>0</v>
      </c>
      <c r="X1402">
        <v>0</v>
      </c>
    </row>
    <row r="1403" spans="1:24" ht="15" customHeight="1" x14ac:dyDescent="0.25">
      <c r="A1403" t="str">
        <f>""</f>
        <v/>
      </c>
      <c r="B1403" s="1"/>
      <c r="H1403">
        <v>19.649999999999999</v>
      </c>
      <c r="J1403" t="s">
        <v>19</v>
      </c>
      <c r="L1403" s="1"/>
      <c r="N1403" s="1"/>
      <c r="V1403" t="str">
        <f>"75014"</f>
        <v>75014</v>
      </c>
      <c r="W1403">
        <v>0</v>
      </c>
      <c r="X1403">
        <v>0</v>
      </c>
    </row>
    <row r="1404" spans="1:24" ht="15" customHeight="1" x14ac:dyDescent="0.25">
      <c r="A1404" t="str">
        <f>""</f>
        <v/>
      </c>
      <c r="B1404" s="1"/>
      <c r="H1404">
        <v>19.649999999999999</v>
      </c>
      <c r="J1404" t="s">
        <v>19</v>
      </c>
      <c r="L1404" s="1"/>
      <c r="N1404" s="1"/>
      <c r="V1404" t="str">
        <f>"75014"</f>
        <v>75014</v>
      </c>
      <c r="W1404">
        <v>0</v>
      </c>
      <c r="X1404">
        <v>0</v>
      </c>
    </row>
    <row r="1405" spans="1:24" ht="15" customHeight="1" x14ac:dyDescent="0.25">
      <c r="A1405" t="str">
        <f>""</f>
        <v/>
      </c>
      <c r="B1405" s="1"/>
      <c r="H1405">
        <v>25</v>
      </c>
      <c r="J1405" t="s">
        <v>22</v>
      </c>
      <c r="L1405" s="1"/>
      <c r="N1405" s="1"/>
      <c r="V1405" t="str">
        <f>"62740"</f>
        <v>62740</v>
      </c>
      <c r="W1405">
        <v>0</v>
      </c>
      <c r="X1405">
        <v>0</v>
      </c>
    </row>
    <row r="1406" spans="1:24" ht="15" customHeight="1" x14ac:dyDescent="0.25">
      <c r="A1406" t="str">
        <f>""</f>
        <v/>
      </c>
      <c r="B1406" s="1"/>
      <c r="H1406">
        <v>131.97999999999999</v>
      </c>
      <c r="J1406" t="s">
        <v>20</v>
      </c>
      <c r="L1406" s="1"/>
      <c r="N1406" s="1"/>
      <c r="V1406" t="str">
        <f>"29140"</f>
        <v>29140</v>
      </c>
      <c r="W1406">
        <v>51.47</v>
      </c>
      <c r="X1406">
        <v>0</v>
      </c>
    </row>
    <row r="1407" spans="1:24" ht="15" customHeight="1" x14ac:dyDescent="0.25">
      <c r="A1407" t="str">
        <f>""</f>
        <v/>
      </c>
      <c r="B1407" s="1"/>
      <c r="H1407">
        <v>100.05</v>
      </c>
      <c r="J1407" t="s">
        <v>20</v>
      </c>
      <c r="L1407" s="1"/>
      <c r="N1407" s="1"/>
      <c r="V1407" t="str">
        <f>"45100"</f>
        <v>45100</v>
      </c>
      <c r="W1407">
        <v>21.01</v>
      </c>
      <c r="X1407">
        <v>0</v>
      </c>
    </row>
    <row r="1408" spans="1:24" ht="15" customHeight="1" x14ac:dyDescent="0.25">
      <c r="A1408" t="str">
        <f>""</f>
        <v/>
      </c>
      <c r="B1408" s="1"/>
      <c r="H1408">
        <v>1.46</v>
      </c>
      <c r="J1408" t="s">
        <v>19</v>
      </c>
      <c r="L1408" s="1"/>
      <c r="N1408" s="1"/>
      <c r="V1408" t="str">
        <f>"59120"</f>
        <v>59120</v>
      </c>
      <c r="W1408">
        <v>0.28000000000000003</v>
      </c>
      <c r="X1408">
        <v>0</v>
      </c>
    </row>
    <row r="1409" spans="1:24" ht="15" customHeight="1" x14ac:dyDescent="0.25">
      <c r="A1409" t="str">
        <f>""</f>
        <v/>
      </c>
      <c r="B1409" s="1"/>
      <c r="H1409">
        <v>31.6</v>
      </c>
      <c r="L1409" s="1"/>
      <c r="N1409" s="1"/>
      <c r="V1409" t="str">
        <f>"77184"</f>
        <v>77184</v>
      </c>
      <c r="W1409">
        <v>0</v>
      </c>
      <c r="X1409">
        <v>0</v>
      </c>
    </row>
    <row r="1410" spans="1:24" ht="15" customHeight="1" x14ac:dyDescent="0.25">
      <c r="A1410" t="str">
        <f>""</f>
        <v/>
      </c>
      <c r="B1410" s="1"/>
      <c r="H1410">
        <v>33.630000000000003</v>
      </c>
      <c r="L1410" s="1"/>
      <c r="N1410" s="1"/>
      <c r="V1410" t="str">
        <f>"77184"</f>
        <v>77184</v>
      </c>
      <c r="W1410">
        <v>0</v>
      </c>
      <c r="X1410">
        <v>0</v>
      </c>
    </row>
    <row r="1411" spans="1:24" ht="15" customHeight="1" x14ac:dyDescent="0.25">
      <c r="A1411" t="str">
        <f>""</f>
        <v/>
      </c>
      <c r="B1411" s="1"/>
      <c r="H1411">
        <v>172</v>
      </c>
      <c r="L1411" s="1"/>
      <c r="N1411" s="1"/>
      <c r="V1411" t="str">
        <f>"77184"</f>
        <v>77184</v>
      </c>
      <c r="W1411">
        <v>0</v>
      </c>
      <c r="X1411">
        <v>0</v>
      </c>
    </row>
    <row r="1412" spans="1:24" ht="15" customHeight="1" x14ac:dyDescent="0.25">
      <c r="A1412" t="str">
        <f>""</f>
        <v/>
      </c>
      <c r="B1412" s="1"/>
      <c r="H1412">
        <v>25</v>
      </c>
      <c r="J1412" t="s">
        <v>22</v>
      </c>
      <c r="L1412" s="1"/>
      <c r="N1412" s="1"/>
      <c r="V1412" t="str">
        <f>"67230"</f>
        <v>67230</v>
      </c>
      <c r="W1412">
        <v>0</v>
      </c>
      <c r="X1412">
        <v>0</v>
      </c>
    </row>
    <row r="1413" spans="1:24" ht="15" customHeight="1" x14ac:dyDescent="0.25">
      <c r="A1413" t="str">
        <f>""</f>
        <v/>
      </c>
      <c r="B1413" s="1"/>
      <c r="H1413">
        <v>33.35</v>
      </c>
      <c r="J1413" t="s">
        <v>20</v>
      </c>
      <c r="L1413" s="1"/>
      <c r="N1413" s="1"/>
      <c r="V1413" t="str">
        <f>"13760"</f>
        <v>13760</v>
      </c>
      <c r="W1413">
        <v>9.67</v>
      </c>
      <c r="X1413">
        <v>0</v>
      </c>
    </row>
    <row r="1414" spans="1:24" ht="15" customHeight="1" x14ac:dyDescent="0.25">
      <c r="A1414" t="str">
        <f>""</f>
        <v/>
      </c>
      <c r="B1414" s="1"/>
      <c r="H1414">
        <v>18.350000000000001</v>
      </c>
      <c r="J1414" t="s">
        <v>19</v>
      </c>
      <c r="L1414" s="1"/>
      <c r="N1414" s="1"/>
      <c r="V1414" t="str">
        <f>"59270"</f>
        <v>59270</v>
      </c>
      <c r="W1414">
        <v>3.49</v>
      </c>
      <c r="X1414">
        <v>0</v>
      </c>
    </row>
    <row r="1415" spans="1:24" ht="15" customHeight="1" x14ac:dyDescent="0.25">
      <c r="A1415" t="str">
        <f>""</f>
        <v/>
      </c>
      <c r="B1415" s="1"/>
      <c r="H1415">
        <v>18.350000000000001</v>
      </c>
      <c r="J1415" t="s">
        <v>19</v>
      </c>
      <c r="L1415" s="1"/>
      <c r="N1415" s="1"/>
      <c r="V1415" t="str">
        <f>"59270"</f>
        <v>59270</v>
      </c>
      <c r="W1415">
        <v>3.49</v>
      </c>
      <c r="X1415">
        <v>0</v>
      </c>
    </row>
    <row r="1416" spans="1:24" ht="15" customHeight="1" x14ac:dyDescent="0.25">
      <c r="A1416" t="str">
        <f>""</f>
        <v/>
      </c>
      <c r="B1416" s="1"/>
      <c r="H1416">
        <v>184.96</v>
      </c>
      <c r="J1416" t="s">
        <v>20</v>
      </c>
      <c r="L1416" s="1"/>
      <c r="N1416" s="1"/>
      <c r="V1416" t="str">
        <f>"94320"</f>
        <v>94320</v>
      </c>
      <c r="W1416">
        <v>0</v>
      </c>
      <c r="X1416">
        <v>0</v>
      </c>
    </row>
    <row r="1417" spans="1:24" ht="15" customHeight="1" x14ac:dyDescent="0.25">
      <c r="A1417" t="str">
        <f>""</f>
        <v/>
      </c>
      <c r="B1417" s="1"/>
      <c r="H1417">
        <v>173.25</v>
      </c>
      <c r="J1417" t="s">
        <v>20</v>
      </c>
      <c r="L1417" s="1"/>
      <c r="N1417" s="1"/>
      <c r="V1417" t="str">
        <f>"22000"</f>
        <v>22000</v>
      </c>
      <c r="W1417">
        <v>67.569999999999993</v>
      </c>
      <c r="X1417">
        <v>0</v>
      </c>
    </row>
    <row r="1418" spans="1:24" ht="15" customHeight="1" x14ac:dyDescent="0.25">
      <c r="A1418" t="str">
        <f>""</f>
        <v/>
      </c>
      <c r="B1418" s="1"/>
      <c r="H1418">
        <v>139.57</v>
      </c>
      <c r="J1418" t="s">
        <v>20</v>
      </c>
      <c r="L1418" s="1"/>
      <c r="N1418" s="1"/>
      <c r="V1418" t="str">
        <f>"51170"</f>
        <v>51170</v>
      </c>
      <c r="W1418">
        <v>34.89</v>
      </c>
      <c r="X1418">
        <v>0</v>
      </c>
    </row>
    <row r="1419" spans="1:24" ht="15" customHeight="1" x14ac:dyDescent="0.25">
      <c r="A1419" t="str">
        <f>""</f>
        <v/>
      </c>
      <c r="B1419" s="1"/>
      <c r="H1419">
        <v>71.56</v>
      </c>
      <c r="J1419" t="s">
        <v>22</v>
      </c>
      <c r="L1419" s="1"/>
      <c r="N1419" s="1"/>
      <c r="V1419" t="str">
        <f>"61110"</f>
        <v>61110</v>
      </c>
      <c r="W1419">
        <v>0</v>
      </c>
      <c r="X1419">
        <v>12.17</v>
      </c>
    </row>
    <row r="1420" spans="1:24" ht="15" customHeight="1" x14ac:dyDescent="0.25">
      <c r="A1420" t="str">
        <f>""</f>
        <v/>
      </c>
      <c r="B1420" s="1"/>
      <c r="H1420">
        <v>34.119999999999997</v>
      </c>
      <c r="J1420" t="s">
        <v>20</v>
      </c>
      <c r="L1420" s="1"/>
      <c r="N1420" s="1"/>
      <c r="V1420" t="str">
        <f>"13300"</f>
        <v>13300</v>
      </c>
      <c r="W1420">
        <v>9.89</v>
      </c>
      <c r="X1420">
        <v>0</v>
      </c>
    </row>
    <row r="1421" spans="1:24" ht="15" customHeight="1" x14ac:dyDescent="0.25">
      <c r="A1421" t="str">
        <f>""</f>
        <v/>
      </c>
      <c r="B1421" s="1"/>
      <c r="H1421">
        <v>55.34</v>
      </c>
      <c r="J1421" t="s">
        <v>20</v>
      </c>
      <c r="L1421" s="1"/>
      <c r="N1421" s="1"/>
      <c r="V1421" t="str">
        <f>"44210"</f>
        <v>44210</v>
      </c>
      <c r="W1421">
        <v>14.94</v>
      </c>
      <c r="X1421">
        <v>0</v>
      </c>
    </row>
    <row r="1422" spans="1:24" ht="15" customHeight="1" x14ac:dyDescent="0.25">
      <c r="A1422" t="str">
        <f>""</f>
        <v/>
      </c>
      <c r="B1422" s="1"/>
      <c r="H1422">
        <v>40</v>
      </c>
      <c r="J1422" t="s">
        <v>23</v>
      </c>
      <c r="L1422" s="1"/>
      <c r="N1422" s="1"/>
      <c r="V1422" t="str">
        <f>"35350"</f>
        <v>35350</v>
      </c>
      <c r="W1422">
        <v>0</v>
      </c>
      <c r="X1422">
        <v>10.8</v>
      </c>
    </row>
    <row r="1423" spans="1:24" x14ac:dyDescent="0.25">
      <c r="A1423" t="str">
        <f>""</f>
        <v/>
      </c>
      <c r="B1423" s="1"/>
      <c r="H1423">
        <v>131.74</v>
      </c>
      <c r="J1423" t="s">
        <v>16</v>
      </c>
      <c r="L1423" s="1"/>
      <c r="V1423" t="str">
        <f>"75009"</f>
        <v>75009</v>
      </c>
      <c r="W1423">
        <v>0</v>
      </c>
      <c r="X1423">
        <v>0</v>
      </c>
    </row>
    <row r="1424" spans="1:24" x14ac:dyDescent="0.25">
      <c r="A1424" t="str">
        <f>""</f>
        <v/>
      </c>
      <c r="B1424" s="1"/>
      <c r="H1424">
        <v>109.06</v>
      </c>
      <c r="J1424" t="s">
        <v>16</v>
      </c>
      <c r="L1424" s="1"/>
      <c r="N1424" s="1"/>
      <c r="V1424" t="str">
        <f>"34200"</f>
        <v>34200</v>
      </c>
      <c r="W1424">
        <v>0</v>
      </c>
      <c r="X1424">
        <v>0</v>
      </c>
    </row>
    <row r="1425" spans="1:24" ht="15" customHeight="1" x14ac:dyDescent="0.25">
      <c r="A1425" t="str">
        <f>""</f>
        <v/>
      </c>
      <c r="B1425" s="1"/>
      <c r="H1425">
        <v>19.8</v>
      </c>
      <c r="J1425" t="s">
        <v>19</v>
      </c>
      <c r="L1425" s="1"/>
      <c r="N1425" s="1"/>
      <c r="V1425" t="str">
        <f>"44300"</f>
        <v>44300</v>
      </c>
      <c r="W1425">
        <v>5.35</v>
      </c>
      <c r="X1425">
        <v>0</v>
      </c>
    </row>
    <row r="1426" spans="1:24" ht="15" customHeight="1" x14ac:dyDescent="0.25">
      <c r="A1426" t="str">
        <f>""</f>
        <v/>
      </c>
      <c r="B1426" s="1"/>
      <c r="H1426">
        <v>27.05</v>
      </c>
      <c r="J1426" t="s">
        <v>19</v>
      </c>
      <c r="L1426" s="1"/>
      <c r="N1426" s="1"/>
      <c r="V1426" t="str">
        <f>"75004"</f>
        <v>75004</v>
      </c>
      <c r="W1426">
        <v>0</v>
      </c>
      <c r="X1426">
        <v>0</v>
      </c>
    </row>
    <row r="1427" spans="1:24" ht="15" customHeight="1" x14ac:dyDescent="0.25">
      <c r="A1427" t="str">
        <f>""</f>
        <v/>
      </c>
      <c r="B1427" s="1"/>
      <c r="H1427">
        <v>82.33</v>
      </c>
      <c r="J1427" t="s">
        <v>20</v>
      </c>
      <c r="L1427" s="1"/>
      <c r="N1427" s="1"/>
      <c r="V1427" t="str">
        <f>"80000"</f>
        <v>80000</v>
      </c>
      <c r="W1427">
        <v>15.64</v>
      </c>
      <c r="X1427">
        <v>0</v>
      </c>
    </row>
    <row r="1428" spans="1:24" ht="15" customHeight="1" x14ac:dyDescent="0.25">
      <c r="A1428" t="str">
        <f>""</f>
        <v/>
      </c>
      <c r="B1428" s="1"/>
      <c r="H1428">
        <v>133.97999999999999</v>
      </c>
      <c r="L1428" s="1"/>
      <c r="N1428" s="1"/>
      <c r="V1428" t="str">
        <f>"77184"</f>
        <v>77184</v>
      </c>
      <c r="W1428">
        <v>0</v>
      </c>
      <c r="X1428">
        <v>0</v>
      </c>
    </row>
    <row r="1429" spans="1:24" ht="15" customHeight="1" x14ac:dyDescent="0.25">
      <c r="A1429" t="str">
        <f>""</f>
        <v/>
      </c>
      <c r="B1429" s="1"/>
      <c r="H1429">
        <v>171.25</v>
      </c>
      <c r="J1429" t="s">
        <v>23</v>
      </c>
      <c r="L1429" s="1"/>
      <c r="N1429" s="1"/>
      <c r="V1429" t="str">
        <f>"68520"</f>
        <v>68520</v>
      </c>
      <c r="W1429">
        <v>0</v>
      </c>
      <c r="X1429">
        <v>0</v>
      </c>
    </row>
    <row r="1430" spans="1:24" ht="15" customHeight="1" x14ac:dyDescent="0.25">
      <c r="A1430" t="str">
        <f>""</f>
        <v/>
      </c>
      <c r="B1430" s="1"/>
      <c r="H1430">
        <v>149.63</v>
      </c>
      <c r="J1430" t="s">
        <v>19</v>
      </c>
      <c r="L1430" s="1"/>
      <c r="N1430" s="1"/>
      <c r="V1430" t="str">
        <f>"27520"</f>
        <v>27520</v>
      </c>
      <c r="W1430">
        <v>25.44</v>
      </c>
      <c r="X1430">
        <v>0</v>
      </c>
    </row>
    <row r="1431" spans="1:24" ht="15" customHeight="1" x14ac:dyDescent="0.25">
      <c r="A1431" t="str">
        <f>""</f>
        <v/>
      </c>
      <c r="B1431" s="1"/>
      <c r="H1431">
        <v>40</v>
      </c>
      <c r="J1431" t="s">
        <v>22</v>
      </c>
      <c r="L1431" s="1"/>
      <c r="N1431" s="1"/>
      <c r="V1431" t="str">
        <f>"59270"</f>
        <v>59270</v>
      </c>
      <c r="W1431">
        <v>0</v>
      </c>
      <c r="X1431">
        <v>0</v>
      </c>
    </row>
    <row r="1432" spans="1:24" ht="15" customHeight="1" x14ac:dyDescent="0.25">
      <c r="A1432" t="str">
        <f>""</f>
        <v/>
      </c>
      <c r="B1432" s="1"/>
      <c r="H1432">
        <v>18.350000000000001</v>
      </c>
      <c r="J1432" t="s">
        <v>19</v>
      </c>
      <c r="L1432" s="1"/>
      <c r="N1432" s="1"/>
      <c r="V1432" t="str">
        <f>"89100"</f>
        <v>89100</v>
      </c>
      <c r="W1432">
        <v>4.4000000000000004</v>
      </c>
      <c r="X1432">
        <v>0</v>
      </c>
    </row>
    <row r="1433" spans="1:24" ht="15" customHeight="1" x14ac:dyDescent="0.25">
      <c r="A1433" t="str">
        <f>""</f>
        <v/>
      </c>
      <c r="B1433" s="1"/>
      <c r="H1433">
        <v>18.350000000000001</v>
      </c>
      <c r="J1433" t="s">
        <v>20</v>
      </c>
      <c r="L1433" s="1"/>
      <c r="N1433" s="1"/>
      <c r="V1433" t="str">
        <f>"75019"</f>
        <v>75019</v>
      </c>
      <c r="W1433">
        <v>0</v>
      </c>
      <c r="X1433">
        <v>0</v>
      </c>
    </row>
    <row r="1434" spans="1:24" x14ac:dyDescent="0.25">
      <c r="A1434" t="str">
        <f>""</f>
        <v/>
      </c>
      <c r="B1434" s="1"/>
      <c r="J1434" t="s">
        <v>18</v>
      </c>
      <c r="L1434" s="1"/>
      <c r="N1434" s="1"/>
      <c r="V1434" t="str">
        <f>"56100"</f>
        <v>56100</v>
      </c>
      <c r="W1434">
        <v>0</v>
      </c>
      <c r="X1434">
        <v>0</v>
      </c>
    </row>
    <row r="1435" spans="1:24" ht="15" customHeight="1" x14ac:dyDescent="0.25">
      <c r="A1435" t="str">
        <f>""</f>
        <v/>
      </c>
      <c r="B1435" s="1"/>
      <c r="H1435">
        <v>75.5</v>
      </c>
      <c r="J1435" t="s">
        <v>22</v>
      </c>
      <c r="L1435" s="1"/>
      <c r="N1435" s="1"/>
      <c r="V1435" t="str">
        <f>"50260"</f>
        <v>50260</v>
      </c>
      <c r="W1435">
        <v>0</v>
      </c>
      <c r="X1435">
        <v>12.84</v>
      </c>
    </row>
    <row r="1436" spans="1:24" ht="15" customHeight="1" x14ac:dyDescent="0.25">
      <c r="A1436" t="str">
        <f>""</f>
        <v/>
      </c>
      <c r="B1436" s="1"/>
      <c r="H1436">
        <v>140</v>
      </c>
      <c r="J1436" t="s">
        <v>22</v>
      </c>
      <c r="L1436" s="1"/>
      <c r="N1436" s="1"/>
      <c r="V1436" t="str">
        <f>"62182"</f>
        <v>62182</v>
      </c>
      <c r="W1436">
        <v>0</v>
      </c>
      <c r="X1436">
        <v>0</v>
      </c>
    </row>
    <row r="1437" spans="1:24" ht="15" customHeight="1" x14ac:dyDescent="0.25">
      <c r="A1437" t="str">
        <f>""</f>
        <v/>
      </c>
      <c r="B1437" s="1"/>
      <c r="H1437">
        <v>136.65</v>
      </c>
      <c r="J1437" t="s">
        <v>20</v>
      </c>
      <c r="L1437" s="1"/>
      <c r="N1437" s="1"/>
      <c r="V1437" t="str">
        <f>"29170"</f>
        <v>29170</v>
      </c>
      <c r="W1437">
        <v>53.29</v>
      </c>
      <c r="X1437">
        <v>0</v>
      </c>
    </row>
    <row r="1438" spans="1:24" ht="15" customHeight="1" x14ac:dyDescent="0.25">
      <c r="A1438" t="str">
        <f>""</f>
        <v/>
      </c>
      <c r="B1438" s="1"/>
      <c r="H1438">
        <v>100.42</v>
      </c>
      <c r="J1438" t="s">
        <v>20</v>
      </c>
      <c r="L1438" s="1"/>
      <c r="N1438" s="1"/>
      <c r="V1438" t="str">
        <f>"19100"</f>
        <v>19100</v>
      </c>
      <c r="W1438">
        <v>29.12</v>
      </c>
      <c r="X1438">
        <v>0</v>
      </c>
    </row>
    <row r="1439" spans="1:24" ht="15" customHeight="1" x14ac:dyDescent="0.25">
      <c r="A1439" t="str">
        <f>""</f>
        <v/>
      </c>
      <c r="B1439" s="1"/>
      <c r="H1439">
        <v>132.56</v>
      </c>
      <c r="J1439" t="s">
        <v>20</v>
      </c>
      <c r="L1439" s="1"/>
      <c r="N1439" s="1"/>
      <c r="V1439" t="str">
        <f>"75008"</f>
        <v>75008</v>
      </c>
      <c r="W1439">
        <v>0</v>
      </c>
      <c r="X1439">
        <v>0</v>
      </c>
    </row>
    <row r="1440" spans="1:24" ht="15" customHeight="1" x14ac:dyDescent="0.25">
      <c r="A1440" t="str">
        <f>""</f>
        <v/>
      </c>
      <c r="B1440" s="1"/>
      <c r="H1440">
        <v>151</v>
      </c>
      <c r="J1440" t="s">
        <v>20</v>
      </c>
      <c r="L1440" s="1"/>
      <c r="N1440" s="1"/>
      <c r="V1440" t="str">
        <f>"76000"</f>
        <v>76000</v>
      </c>
      <c r="W1440">
        <v>25.67</v>
      </c>
      <c r="X1440">
        <v>0</v>
      </c>
    </row>
    <row r="1441" spans="1:24" ht="15" customHeight="1" x14ac:dyDescent="0.25">
      <c r="A1441" t="str">
        <f>""</f>
        <v/>
      </c>
      <c r="B1441" s="1"/>
      <c r="H1441">
        <v>67.25</v>
      </c>
      <c r="J1441" t="s">
        <v>20</v>
      </c>
      <c r="L1441" s="1"/>
      <c r="V1441" t="str">
        <f>"94405"</f>
        <v>94405</v>
      </c>
      <c r="W1441">
        <v>0</v>
      </c>
      <c r="X1441">
        <v>0</v>
      </c>
    </row>
    <row r="1442" spans="1:24" ht="15" customHeight="1" x14ac:dyDescent="0.25">
      <c r="A1442" t="str">
        <f>""</f>
        <v/>
      </c>
      <c r="B1442" s="1"/>
      <c r="H1442">
        <v>20.51</v>
      </c>
      <c r="J1442" t="s">
        <v>20</v>
      </c>
      <c r="L1442" s="1"/>
      <c r="N1442" s="1"/>
      <c r="V1442" t="str">
        <f>"69230"</f>
        <v>69230</v>
      </c>
      <c r="W1442">
        <v>5.54</v>
      </c>
      <c r="X1442">
        <v>0</v>
      </c>
    </row>
    <row r="1443" spans="1:24" ht="15" customHeight="1" x14ac:dyDescent="0.25">
      <c r="A1443" t="str">
        <f>""</f>
        <v/>
      </c>
      <c r="B1443" s="1"/>
      <c r="H1443">
        <v>40</v>
      </c>
      <c r="J1443" t="s">
        <v>19</v>
      </c>
      <c r="L1443" s="1"/>
      <c r="N1443" s="1"/>
      <c r="V1443" t="str">
        <f>"14490"</f>
        <v>14490</v>
      </c>
      <c r="W1443">
        <v>6.8</v>
      </c>
      <c r="X1443">
        <v>0</v>
      </c>
    </row>
    <row r="1444" spans="1:24" ht="15" customHeight="1" x14ac:dyDescent="0.25">
      <c r="A1444" t="str">
        <f>""</f>
        <v/>
      </c>
      <c r="B1444" s="1"/>
      <c r="H1444">
        <v>55.34</v>
      </c>
      <c r="J1444" t="s">
        <v>20</v>
      </c>
      <c r="L1444" s="1"/>
      <c r="N1444" s="1"/>
      <c r="V1444" t="str">
        <f>"34170"</f>
        <v>34170</v>
      </c>
      <c r="W1444">
        <v>21.58</v>
      </c>
      <c r="X1444">
        <v>0</v>
      </c>
    </row>
    <row r="1445" spans="1:24" ht="15" customHeight="1" x14ac:dyDescent="0.25">
      <c r="A1445" t="str">
        <f>""</f>
        <v/>
      </c>
      <c r="B1445" s="1"/>
      <c r="H1445">
        <v>40</v>
      </c>
      <c r="J1445" t="s">
        <v>20</v>
      </c>
      <c r="L1445" s="1"/>
      <c r="N1445" s="1"/>
      <c r="V1445" t="str">
        <f>"14000"</f>
        <v>14000</v>
      </c>
      <c r="W1445">
        <v>6.8</v>
      </c>
      <c r="X1445">
        <v>0</v>
      </c>
    </row>
    <row r="1446" spans="1:24" ht="15" customHeight="1" x14ac:dyDescent="0.25">
      <c r="A1446" t="str">
        <f>""</f>
        <v/>
      </c>
      <c r="B1446" s="1"/>
      <c r="H1446">
        <v>0.06</v>
      </c>
      <c r="J1446" t="s">
        <v>19</v>
      </c>
      <c r="L1446" s="1"/>
      <c r="N1446" s="1"/>
      <c r="V1446" t="str">
        <f>"59148"</f>
        <v>59148</v>
      </c>
      <c r="W1446">
        <v>0.01</v>
      </c>
      <c r="X1446">
        <v>0</v>
      </c>
    </row>
    <row r="1447" spans="1:24" ht="15" customHeight="1" x14ac:dyDescent="0.25">
      <c r="A1447" t="str">
        <f>""</f>
        <v/>
      </c>
      <c r="B1447" s="1"/>
      <c r="H1447">
        <v>150</v>
      </c>
      <c r="L1447" s="1"/>
      <c r="N1447" s="1"/>
      <c r="V1447" t="str">
        <f>"77184"</f>
        <v>77184</v>
      </c>
      <c r="W1447">
        <v>0</v>
      </c>
      <c r="X1447">
        <v>0</v>
      </c>
    </row>
    <row r="1448" spans="1:24" ht="15" customHeight="1" x14ac:dyDescent="0.25">
      <c r="A1448" t="str">
        <f>""</f>
        <v/>
      </c>
      <c r="B1448" s="1"/>
      <c r="H1448">
        <v>70</v>
      </c>
      <c r="J1448" t="s">
        <v>19</v>
      </c>
      <c r="L1448" s="1"/>
      <c r="N1448" s="1"/>
      <c r="V1448" t="str">
        <f>"13220"</f>
        <v>13220</v>
      </c>
      <c r="W1448">
        <v>20.3</v>
      </c>
      <c r="X1448">
        <v>0</v>
      </c>
    </row>
    <row r="1449" spans="1:24" ht="15" customHeight="1" x14ac:dyDescent="0.25">
      <c r="A1449" t="str">
        <f>""</f>
        <v/>
      </c>
      <c r="B1449" s="1"/>
      <c r="H1449">
        <v>187.02</v>
      </c>
      <c r="J1449" t="s">
        <v>19</v>
      </c>
      <c r="L1449" s="1"/>
      <c r="N1449" s="1"/>
      <c r="V1449" t="str">
        <f>"13220"</f>
        <v>13220</v>
      </c>
      <c r="W1449">
        <v>54.24</v>
      </c>
      <c r="X1449">
        <v>0</v>
      </c>
    </row>
    <row r="1450" spans="1:24" ht="15" customHeight="1" x14ac:dyDescent="0.25">
      <c r="A1450" t="str">
        <f>""</f>
        <v/>
      </c>
      <c r="B1450" s="1"/>
      <c r="H1450">
        <v>71.819999999999993</v>
      </c>
      <c r="J1450" t="s">
        <v>23</v>
      </c>
      <c r="L1450" s="1"/>
      <c r="N1450" s="1"/>
      <c r="V1450" t="str">
        <f>"71870"</f>
        <v>71870</v>
      </c>
      <c r="W1450">
        <v>0</v>
      </c>
      <c r="X1450">
        <v>0</v>
      </c>
    </row>
    <row r="1451" spans="1:24" ht="15" customHeight="1" x14ac:dyDescent="0.25">
      <c r="A1451" t="str">
        <f>""</f>
        <v/>
      </c>
      <c r="B1451" s="1"/>
      <c r="H1451">
        <v>87.25</v>
      </c>
      <c r="J1451" t="s">
        <v>22</v>
      </c>
      <c r="L1451" s="1"/>
      <c r="V1451" t="str">
        <f>"06000"</f>
        <v>06000</v>
      </c>
      <c r="W1451">
        <v>0</v>
      </c>
      <c r="X1451">
        <v>0</v>
      </c>
    </row>
    <row r="1452" spans="1:24" ht="15" customHeight="1" x14ac:dyDescent="0.25">
      <c r="A1452" t="str">
        <f>""</f>
        <v/>
      </c>
      <c r="B1452" s="1"/>
      <c r="H1452">
        <v>142.03</v>
      </c>
      <c r="J1452" t="s">
        <v>20</v>
      </c>
      <c r="L1452" s="1"/>
      <c r="N1452" s="1"/>
      <c r="V1452" t="str">
        <f>"29600"</f>
        <v>29600</v>
      </c>
      <c r="W1452">
        <v>55.39</v>
      </c>
      <c r="X1452">
        <v>0</v>
      </c>
    </row>
    <row r="1453" spans="1:24" ht="15" customHeight="1" x14ac:dyDescent="0.25">
      <c r="A1453" t="str">
        <f>""</f>
        <v/>
      </c>
      <c r="B1453" s="1"/>
      <c r="H1453">
        <v>183.98</v>
      </c>
      <c r="J1453" t="s">
        <v>20</v>
      </c>
      <c r="L1453" s="1"/>
      <c r="N1453" s="1"/>
      <c r="V1453" t="str">
        <f>"69805"</f>
        <v>69805</v>
      </c>
      <c r="W1453">
        <v>49.67</v>
      </c>
      <c r="X1453">
        <v>0</v>
      </c>
    </row>
    <row r="1454" spans="1:24" ht="15" customHeight="1" x14ac:dyDescent="0.25">
      <c r="A1454" t="str">
        <f>""</f>
        <v/>
      </c>
      <c r="B1454" s="1"/>
      <c r="H1454">
        <v>20.2</v>
      </c>
      <c r="J1454" t="s">
        <v>20</v>
      </c>
      <c r="L1454" s="1"/>
      <c r="N1454" s="1"/>
      <c r="V1454" t="str">
        <f>"56000"</f>
        <v>56000</v>
      </c>
      <c r="W1454">
        <v>5.45</v>
      </c>
      <c r="X1454">
        <v>0</v>
      </c>
    </row>
    <row r="1455" spans="1:24" ht="15" customHeight="1" x14ac:dyDescent="0.25">
      <c r="A1455" t="str">
        <f>""</f>
        <v/>
      </c>
      <c r="B1455" s="1"/>
      <c r="H1455">
        <v>140</v>
      </c>
      <c r="J1455" t="s">
        <v>23</v>
      </c>
      <c r="L1455" s="1"/>
      <c r="N1455" s="1"/>
      <c r="V1455" t="str">
        <f>"17100"</f>
        <v>17100</v>
      </c>
      <c r="W1455">
        <v>0</v>
      </c>
      <c r="X1455">
        <v>0</v>
      </c>
    </row>
    <row r="1456" spans="1:24" ht="15" customHeight="1" x14ac:dyDescent="0.25">
      <c r="A1456" t="str">
        <f>""</f>
        <v/>
      </c>
      <c r="B1456" s="1"/>
      <c r="H1456">
        <v>140</v>
      </c>
      <c r="J1456" t="s">
        <v>23</v>
      </c>
      <c r="L1456" s="1"/>
      <c r="N1456" s="1"/>
      <c r="V1456" t="str">
        <f>"17200"</f>
        <v>17200</v>
      </c>
      <c r="W1456">
        <v>0</v>
      </c>
      <c r="X1456">
        <v>0</v>
      </c>
    </row>
    <row r="1457" spans="1:24" ht="15" customHeight="1" x14ac:dyDescent="0.25">
      <c r="A1457" t="str">
        <f>""</f>
        <v/>
      </c>
      <c r="B1457" s="1"/>
      <c r="H1457">
        <v>140</v>
      </c>
      <c r="J1457" t="s">
        <v>22</v>
      </c>
      <c r="L1457" s="1"/>
      <c r="N1457" s="1"/>
      <c r="V1457" t="str">
        <f>"80000"</f>
        <v>80000</v>
      </c>
      <c r="W1457">
        <v>0</v>
      </c>
      <c r="X1457">
        <v>26.6</v>
      </c>
    </row>
    <row r="1458" spans="1:24" ht="15" customHeight="1" x14ac:dyDescent="0.25">
      <c r="A1458" t="str">
        <f>""</f>
        <v/>
      </c>
      <c r="B1458" s="1"/>
      <c r="H1458">
        <v>140</v>
      </c>
      <c r="J1458" t="s">
        <v>22</v>
      </c>
      <c r="L1458" s="1"/>
      <c r="N1458" s="1"/>
      <c r="V1458" t="str">
        <f>"71200"</f>
        <v>71200</v>
      </c>
      <c r="W1458">
        <v>0</v>
      </c>
      <c r="X1458">
        <v>0</v>
      </c>
    </row>
    <row r="1459" spans="1:24" ht="15" customHeight="1" x14ac:dyDescent="0.25">
      <c r="A1459" t="str">
        <f>""</f>
        <v/>
      </c>
      <c r="B1459" s="1"/>
      <c r="H1459">
        <v>33</v>
      </c>
      <c r="J1459" t="s">
        <v>22</v>
      </c>
      <c r="L1459" s="1"/>
      <c r="N1459" s="1"/>
      <c r="V1459" t="str">
        <f>"57175"</f>
        <v>57175</v>
      </c>
      <c r="W1459">
        <v>0</v>
      </c>
      <c r="X1459">
        <v>8.25</v>
      </c>
    </row>
    <row r="1460" spans="1:24" ht="15" customHeight="1" x14ac:dyDescent="0.25">
      <c r="A1460" t="str">
        <f>""</f>
        <v/>
      </c>
      <c r="B1460" s="1"/>
      <c r="H1460">
        <v>140</v>
      </c>
      <c r="J1460" t="s">
        <v>22</v>
      </c>
      <c r="L1460" s="1"/>
      <c r="N1460" s="1"/>
      <c r="V1460" t="str">
        <f>"56360"</f>
        <v>56360</v>
      </c>
      <c r="W1460">
        <v>0</v>
      </c>
      <c r="X1460">
        <v>0</v>
      </c>
    </row>
    <row r="1461" spans="1:24" ht="15" customHeight="1" x14ac:dyDescent="0.25">
      <c r="A1461" t="str">
        <f>""</f>
        <v/>
      </c>
      <c r="B1461" s="1"/>
      <c r="H1461">
        <v>11.96</v>
      </c>
      <c r="J1461" t="s">
        <v>20</v>
      </c>
      <c r="L1461" s="1"/>
      <c r="N1461" s="1"/>
      <c r="V1461" t="str">
        <f>"59810"</f>
        <v>59810</v>
      </c>
      <c r="W1461">
        <v>2.27</v>
      </c>
      <c r="X1461">
        <v>0</v>
      </c>
    </row>
    <row r="1462" spans="1:24" ht="15" customHeight="1" x14ac:dyDescent="0.25">
      <c r="A1462" t="str">
        <f>""</f>
        <v/>
      </c>
      <c r="B1462" s="1"/>
      <c r="H1462">
        <v>189.52</v>
      </c>
      <c r="J1462" t="s">
        <v>22</v>
      </c>
      <c r="L1462" s="1"/>
      <c r="N1462" s="1"/>
      <c r="V1462" t="str">
        <f>"54600"</f>
        <v>54600</v>
      </c>
      <c r="W1462">
        <v>0</v>
      </c>
      <c r="X1462">
        <v>47.38</v>
      </c>
    </row>
    <row r="1463" spans="1:24" ht="15" customHeight="1" x14ac:dyDescent="0.25">
      <c r="A1463" t="str">
        <f>""</f>
        <v/>
      </c>
      <c r="B1463" s="1"/>
      <c r="H1463">
        <v>180</v>
      </c>
      <c r="J1463" t="s">
        <v>23</v>
      </c>
      <c r="L1463" s="1"/>
      <c r="N1463" s="1"/>
      <c r="V1463" t="str">
        <f>"14000"</f>
        <v>14000</v>
      </c>
      <c r="W1463">
        <v>0</v>
      </c>
      <c r="X1463">
        <v>0</v>
      </c>
    </row>
    <row r="1464" spans="1:24" ht="15" customHeight="1" x14ac:dyDescent="0.25">
      <c r="A1464" t="str">
        <f>""</f>
        <v/>
      </c>
      <c r="B1464" s="1"/>
      <c r="H1464">
        <v>37.94</v>
      </c>
      <c r="J1464" t="s">
        <v>22</v>
      </c>
      <c r="L1464" s="1"/>
      <c r="V1464" t="str">
        <f>"94510"</f>
        <v>94510</v>
      </c>
      <c r="W1464">
        <v>0</v>
      </c>
      <c r="X1464">
        <v>0</v>
      </c>
    </row>
    <row r="1465" spans="1:24" ht="15" customHeight="1" x14ac:dyDescent="0.25">
      <c r="A1465" t="str">
        <f>""</f>
        <v/>
      </c>
      <c r="B1465" s="1"/>
      <c r="H1465">
        <v>32.6</v>
      </c>
      <c r="J1465" t="s">
        <v>23</v>
      </c>
      <c r="L1465" s="1"/>
      <c r="N1465" s="1"/>
      <c r="V1465" t="str">
        <f>"45100"</f>
        <v>45100</v>
      </c>
      <c r="W1465">
        <v>0</v>
      </c>
      <c r="X1465">
        <v>0</v>
      </c>
    </row>
    <row r="1466" spans="1:24" ht="15" customHeight="1" x14ac:dyDescent="0.25">
      <c r="A1466" t="str">
        <f>""</f>
        <v/>
      </c>
      <c r="B1466" s="1"/>
      <c r="H1466">
        <v>70</v>
      </c>
      <c r="J1466" t="s">
        <v>22</v>
      </c>
      <c r="L1466" s="1"/>
      <c r="V1466" t="str">
        <f>"71200"</f>
        <v>71200</v>
      </c>
      <c r="W1466">
        <v>0</v>
      </c>
      <c r="X1466">
        <v>0</v>
      </c>
    </row>
    <row r="1467" spans="1:24" ht="15" customHeight="1" x14ac:dyDescent="0.25">
      <c r="A1467" t="str">
        <f>""</f>
        <v/>
      </c>
      <c r="B1467" s="1"/>
      <c r="H1467">
        <v>62.1</v>
      </c>
      <c r="J1467" t="s">
        <v>23</v>
      </c>
      <c r="L1467" s="1"/>
      <c r="V1467" t="str">
        <f>"77380"</f>
        <v>77380</v>
      </c>
      <c r="W1467">
        <v>0</v>
      </c>
      <c r="X1467">
        <v>0</v>
      </c>
    </row>
    <row r="1468" spans="1:24" ht="15" customHeight="1" x14ac:dyDescent="0.25">
      <c r="A1468" t="str">
        <f>""</f>
        <v/>
      </c>
      <c r="B1468" s="1"/>
      <c r="H1468">
        <v>180</v>
      </c>
      <c r="J1468" t="s">
        <v>23</v>
      </c>
      <c r="L1468" s="1"/>
      <c r="V1468" t="str">
        <f>"13110"</f>
        <v>13110</v>
      </c>
      <c r="W1468">
        <v>0</v>
      </c>
      <c r="X1468">
        <v>0</v>
      </c>
    </row>
    <row r="1469" spans="1:24" ht="15" customHeight="1" x14ac:dyDescent="0.25">
      <c r="A1469" t="str">
        <f>""</f>
        <v/>
      </c>
      <c r="B1469" s="1"/>
      <c r="H1469">
        <v>165.02</v>
      </c>
      <c r="J1469" t="s">
        <v>22</v>
      </c>
      <c r="L1469" s="1"/>
      <c r="N1469" s="1"/>
      <c r="V1469" t="str">
        <f>"17000"</f>
        <v>17000</v>
      </c>
      <c r="W1469">
        <v>0</v>
      </c>
      <c r="X1469">
        <v>0</v>
      </c>
    </row>
    <row r="1470" spans="1:24" ht="15" customHeight="1" x14ac:dyDescent="0.25">
      <c r="A1470" t="str">
        <f>""</f>
        <v/>
      </c>
      <c r="B1470" s="1"/>
      <c r="H1470">
        <v>220</v>
      </c>
      <c r="J1470" t="s">
        <v>22</v>
      </c>
      <c r="L1470" s="1"/>
      <c r="N1470" s="1"/>
      <c r="V1470" t="str">
        <f>"75007"</f>
        <v>75007</v>
      </c>
      <c r="W1470">
        <v>0</v>
      </c>
      <c r="X1470">
        <v>0</v>
      </c>
    </row>
    <row r="1471" spans="1:24" ht="15" customHeight="1" x14ac:dyDescent="0.25">
      <c r="A1471" t="str">
        <f>""</f>
        <v/>
      </c>
      <c r="B1471" s="1"/>
      <c r="H1471">
        <v>99.01</v>
      </c>
      <c r="J1471" t="s">
        <v>23</v>
      </c>
      <c r="L1471" s="1"/>
      <c r="N1471" s="1"/>
      <c r="V1471" t="str">
        <f>"35650"</f>
        <v>35650</v>
      </c>
      <c r="W1471">
        <v>0</v>
      </c>
      <c r="X1471">
        <v>26.73</v>
      </c>
    </row>
    <row r="1472" spans="1:24" ht="15" customHeight="1" x14ac:dyDescent="0.25">
      <c r="A1472" t="str">
        <f>""</f>
        <v/>
      </c>
      <c r="B1472" s="1"/>
      <c r="H1472">
        <v>26</v>
      </c>
      <c r="J1472" t="s">
        <v>22</v>
      </c>
      <c r="L1472" s="1"/>
      <c r="V1472" t="str">
        <f>"74500"</f>
        <v>74500</v>
      </c>
      <c r="W1472">
        <v>0</v>
      </c>
      <c r="X1472">
        <v>0</v>
      </c>
    </row>
    <row r="1473" spans="1:24" ht="15" customHeight="1" x14ac:dyDescent="0.25">
      <c r="A1473" t="str">
        <f>""</f>
        <v/>
      </c>
      <c r="B1473" s="1"/>
      <c r="H1473">
        <v>20.23</v>
      </c>
      <c r="J1473" t="s">
        <v>19</v>
      </c>
      <c r="L1473" s="1"/>
      <c r="N1473" s="1"/>
      <c r="V1473" t="str">
        <f>"69125"</f>
        <v>69125</v>
      </c>
      <c r="W1473">
        <v>5.46</v>
      </c>
      <c r="X1473">
        <v>0</v>
      </c>
    </row>
    <row r="1474" spans="1:24" ht="15" customHeight="1" x14ac:dyDescent="0.25">
      <c r="A1474" t="str">
        <f>""</f>
        <v/>
      </c>
      <c r="B1474" s="1"/>
      <c r="H1474">
        <v>24.8</v>
      </c>
      <c r="J1474" t="s">
        <v>22</v>
      </c>
      <c r="L1474" s="1"/>
      <c r="N1474" s="1"/>
      <c r="V1474" t="str">
        <f>"85700"</f>
        <v>85700</v>
      </c>
      <c r="W1474">
        <v>0</v>
      </c>
      <c r="X1474">
        <v>6.7</v>
      </c>
    </row>
    <row r="1475" spans="1:24" ht="15" customHeight="1" x14ac:dyDescent="0.25">
      <c r="A1475" t="str">
        <f>""</f>
        <v/>
      </c>
      <c r="B1475" s="1"/>
      <c r="H1475">
        <v>62.3</v>
      </c>
      <c r="J1475" t="s">
        <v>23</v>
      </c>
      <c r="L1475" s="1"/>
      <c r="N1475" s="1"/>
      <c r="V1475" t="str">
        <f>"54200"</f>
        <v>54200</v>
      </c>
      <c r="W1475">
        <v>0</v>
      </c>
      <c r="X1475">
        <v>15.57</v>
      </c>
    </row>
    <row r="1476" spans="1:24" x14ac:dyDescent="0.25">
      <c r="A1476" t="str">
        <f>""</f>
        <v/>
      </c>
      <c r="B1476" s="1"/>
      <c r="H1476">
        <v>52.5</v>
      </c>
      <c r="J1476" t="s">
        <v>15</v>
      </c>
      <c r="L1476" s="1"/>
      <c r="N1476" s="1"/>
      <c r="V1476" t="str">
        <f>"76600"</f>
        <v>76600</v>
      </c>
      <c r="W1476">
        <v>0</v>
      </c>
      <c r="X1476">
        <v>0</v>
      </c>
    </row>
    <row r="1477" spans="1:24" x14ac:dyDescent="0.25">
      <c r="A1477" t="str">
        <f>""</f>
        <v/>
      </c>
      <c r="B1477" s="1"/>
      <c r="H1477">
        <v>52.5</v>
      </c>
      <c r="J1477" t="s">
        <v>15</v>
      </c>
      <c r="L1477" s="1"/>
      <c r="N1477" s="1"/>
      <c r="V1477" t="str">
        <f>"67000"</f>
        <v>67000</v>
      </c>
      <c r="W1477">
        <v>0</v>
      </c>
      <c r="X1477">
        <v>0</v>
      </c>
    </row>
    <row r="1478" spans="1:24" ht="15" customHeight="1" x14ac:dyDescent="0.25">
      <c r="A1478" t="str">
        <f>""</f>
        <v/>
      </c>
      <c r="B1478" s="1"/>
      <c r="H1478">
        <v>40</v>
      </c>
      <c r="J1478" t="s">
        <v>22</v>
      </c>
      <c r="L1478" s="1"/>
      <c r="V1478" t="str">
        <f>"75004"</f>
        <v>75004</v>
      </c>
      <c r="W1478">
        <v>0</v>
      </c>
      <c r="X1478">
        <v>0</v>
      </c>
    </row>
    <row r="1479" spans="1:24" ht="15" customHeight="1" x14ac:dyDescent="0.25">
      <c r="A1479" t="str">
        <f>""</f>
        <v/>
      </c>
      <c r="B1479" s="1"/>
      <c r="H1479">
        <v>183</v>
      </c>
      <c r="J1479" t="s">
        <v>22</v>
      </c>
      <c r="L1479" s="1"/>
      <c r="N1479" s="1"/>
      <c r="V1479" t="str">
        <f>"63500"</f>
        <v>63500</v>
      </c>
      <c r="W1479">
        <v>0</v>
      </c>
      <c r="X1479">
        <v>0</v>
      </c>
    </row>
    <row r="1480" spans="1:24" ht="15" customHeight="1" x14ac:dyDescent="0.25">
      <c r="A1480" t="str">
        <f>""</f>
        <v/>
      </c>
      <c r="B1480" s="1"/>
      <c r="H1480">
        <v>70</v>
      </c>
      <c r="J1480" t="s">
        <v>23</v>
      </c>
      <c r="L1480" s="1"/>
      <c r="V1480" t="str">
        <f>"75009"</f>
        <v>75009</v>
      </c>
      <c r="W1480">
        <v>0</v>
      </c>
      <c r="X1480">
        <v>0</v>
      </c>
    </row>
    <row r="1481" spans="1:24" ht="15" customHeight="1" x14ac:dyDescent="0.25">
      <c r="A1481" t="str">
        <f>""</f>
        <v/>
      </c>
      <c r="B1481" s="1"/>
      <c r="H1481">
        <v>90</v>
      </c>
      <c r="J1481" t="s">
        <v>22</v>
      </c>
      <c r="L1481" s="1"/>
      <c r="N1481" s="1"/>
      <c r="V1481" t="str">
        <f>"63390"</f>
        <v>63390</v>
      </c>
      <c r="W1481">
        <v>0</v>
      </c>
      <c r="X1481">
        <v>10.8</v>
      </c>
    </row>
    <row r="1482" spans="1:24" ht="15" customHeight="1" x14ac:dyDescent="0.25">
      <c r="A1482" t="str">
        <f>""</f>
        <v/>
      </c>
      <c r="B1482" s="1"/>
      <c r="H1482">
        <v>180.43</v>
      </c>
      <c r="J1482" t="s">
        <v>22</v>
      </c>
      <c r="L1482" s="1"/>
      <c r="N1482" s="1"/>
      <c r="V1482" t="str">
        <f>"63390"</f>
        <v>63390</v>
      </c>
      <c r="W1482">
        <v>0</v>
      </c>
      <c r="X1482">
        <v>21.65</v>
      </c>
    </row>
    <row r="1483" spans="1:24" ht="15" customHeight="1" x14ac:dyDescent="0.25">
      <c r="A1483" t="str">
        <f>""</f>
        <v/>
      </c>
      <c r="B1483" s="1"/>
      <c r="H1483">
        <v>193.58</v>
      </c>
      <c r="J1483" t="s">
        <v>23</v>
      </c>
      <c r="L1483" s="1"/>
      <c r="N1483" s="1"/>
      <c r="V1483" t="str">
        <f>"44000"</f>
        <v>44000</v>
      </c>
      <c r="W1483">
        <v>0</v>
      </c>
      <c r="X1483">
        <v>0</v>
      </c>
    </row>
    <row r="1484" spans="1:24" ht="15" customHeight="1" x14ac:dyDescent="0.25">
      <c r="A1484" t="str">
        <f>""</f>
        <v/>
      </c>
      <c r="B1484" s="1"/>
      <c r="H1484">
        <v>25</v>
      </c>
      <c r="L1484" s="1"/>
      <c r="N1484" s="1"/>
      <c r="V1484" t="str">
        <f>"77184"</f>
        <v>77184</v>
      </c>
      <c r="W1484">
        <v>0</v>
      </c>
      <c r="X1484">
        <v>0</v>
      </c>
    </row>
    <row r="1485" spans="1:24" ht="15" customHeight="1" x14ac:dyDescent="0.25">
      <c r="A1485" t="str">
        <f>""</f>
        <v/>
      </c>
      <c r="B1485" s="1"/>
      <c r="H1485">
        <v>149.58000000000001</v>
      </c>
      <c r="J1485" t="s">
        <v>23</v>
      </c>
      <c r="L1485" s="1"/>
      <c r="N1485" s="1"/>
      <c r="V1485" t="str">
        <f>"75013"</f>
        <v>75013</v>
      </c>
      <c r="W1485">
        <v>0</v>
      </c>
      <c r="X1485">
        <v>0</v>
      </c>
    </row>
    <row r="1486" spans="1:24" ht="15" customHeight="1" x14ac:dyDescent="0.25">
      <c r="A1486" t="str">
        <f>""</f>
        <v/>
      </c>
      <c r="B1486" s="1"/>
      <c r="H1486">
        <v>140</v>
      </c>
      <c r="J1486" t="s">
        <v>22</v>
      </c>
      <c r="L1486" s="1"/>
      <c r="V1486" t="str">
        <f>"67000"</f>
        <v>67000</v>
      </c>
      <c r="W1486">
        <v>0</v>
      </c>
      <c r="X1486">
        <v>0</v>
      </c>
    </row>
    <row r="1487" spans="1:24" ht="15" customHeight="1" x14ac:dyDescent="0.25">
      <c r="A1487" t="str">
        <f>""</f>
        <v/>
      </c>
      <c r="B1487" s="1"/>
      <c r="H1487">
        <v>70</v>
      </c>
      <c r="J1487" t="s">
        <v>23</v>
      </c>
      <c r="L1487" s="1"/>
      <c r="N1487" s="1"/>
      <c r="V1487" t="str">
        <f>"72470"</f>
        <v>72470</v>
      </c>
      <c r="W1487">
        <v>0</v>
      </c>
      <c r="X1487">
        <v>0</v>
      </c>
    </row>
    <row r="1488" spans="1:24" x14ac:dyDescent="0.25">
      <c r="A1488" t="str">
        <f>""</f>
        <v/>
      </c>
      <c r="B1488" s="1"/>
      <c r="H1488">
        <v>142.44999999999999</v>
      </c>
      <c r="J1488" t="s">
        <v>15</v>
      </c>
      <c r="L1488" s="1"/>
      <c r="N1488" s="1"/>
      <c r="V1488" t="str">
        <f>"63100"</f>
        <v>63100</v>
      </c>
      <c r="W1488">
        <v>0</v>
      </c>
      <c r="X1488">
        <v>0</v>
      </c>
    </row>
    <row r="1489" spans="1:24" ht="15" customHeight="1" x14ac:dyDescent="0.25">
      <c r="A1489" t="str">
        <f>""</f>
        <v/>
      </c>
      <c r="B1489" s="1"/>
      <c r="H1489">
        <v>10</v>
      </c>
      <c r="L1489" s="1"/>
      <c r="N1489" s="1"/>
      <c r="V1489" t="str">
        <f>"77184"</f>
        <v>77184</v>
      </c>
      <c r="W1489">
        <v>0</v>
      </c>
      <c r="X1489">
        <v>0</v>
      </c>
    </row>
    <row r="1490" spans="1:24" ht="15" customHeight="1" x14ac:dyDescent="0.25">
      <c r="A1490" t="str">
        <f>""</f>
        <v/>
      </c>
      <c r="B1490" s="1"/>
      <c r="H1490">
        <v>55.36</v>
      </c>
      <c r="J1490" t="s">
        <v>20</v>
      </c>
      <c r="L1490" s="1"/>
      <c r="N1490" s="1"/>
      <c r="V1490" t="str">
        <f>"27000"</f>
        <v>27000</v>
      </c>
      <c r="W1490">
        <v>9.41</v>
      </c>
      <c r="X1490">
        <v>0</v>
      </c>
    </row>
    <row r="1491" spans="1:24" ht="15" customHeight="1" x14ac:dyDescent="0.25">
      <c r="A1491" t="str">
        <f>""</f>
        <v/>
      </c>
      <c r="B1491" s="1"/>
      <c r="H1491">
        <v>148.44999999999999</v>
      </c>
      <c r="J1491" t="s">
        <v>20</v>
      </c>
      <c r="L1491" s="1"/>
      <c r="N1491" s="1"/>
      <c r="V1491" t="str">
        <f>"86962"</f>
        <v>86962</v>
      </c>
      <c r="W1491">
        <v>31.17</v>
      </c>
      <c r="X1491">
        <v>0</v>
      </c>
    </row>
    <row r="1492" spans="1:24" ht="15" customHeight="1" x14ac:dyDescent="0.25">
      <c r="A1492" t="str">
        <f>""</f>
        <v/>
      </c>
      <c r="B1492" s="1"/>
      <c r="H1492">
        <v>140</v>
      </c>
      <c r="J1492" t="s">
        <v>22</v>
      </c>
      <c r="L1492" s="1"/>
      <c r="N1492" s="1"/>
      <c r="V1492" t="str">
        <f>"56400"</f>
        <v>56400</v>
      </c>
      <c r="W1492">
        <v>0</v>
      </c>
      <c r="X1492">
        <v>0</v>
      </c>
    </row>
    <row r="1493" spans="1:24" ht="15" customHeight="1" x14ac:dyDescent="0.25">
      <c r="A1493" t="str">
        <f>""</f>
        <v/>
      </c>
      <c r="B1493" s="1"/>
      <c r="H1493">
        <v>34.24</v>
      </c>
      <c r="J1493" t="s">
        <v>23</v>
      </c>
      <c r="L1493" s="1"/>
      <c r="N1493" s="1"/>
      <c r="V1493" t="str">
        <f>"34500"</f>
        <v>34500</v>
      </c>
      <c r="W1493">
        <v>0</v>
      </c>
      <c r="X1493">
        <v>18.829999999999998</v>
      </c>
    </row>
    <row r="1494" spans="1:24" ht="15" customHeight="1" x14ac:dyDescent="0.25">
      <c r="A1494" t="str">
        <f>""</f>
        <v/>
      </c>
      <c r="B1494" s="1"/>
      <c r="H1494">
        <v>20.23</v>
      </c>
      <c r="J1494" t="s">
        <v>19</v>
      </c>
      <c r="L1494" s="1"/>
      <c r="N1494" s="1"/>
      <c r="V1494" t="str">
        <f>"71380"</f>
        <v>71380</v>
      </c>
      <c r="W1494">
        <v>5.46</v>
      </c>
      <c r="X1494">
        <v>0</v>
      </c>
    </row>
    <row r="1495" spans="1:24" ht="15" customHeight="1" x14ac:dyDescent="0.25">
      <c r="A1495" t="str">
        <f>""</f>
        <v/>
      </c>
      <c r="B1495" s="1"/>
      <c r="H1495">
        <v>185.92</v>
      </c>
      <c r="J1495" t="s">
        <v>19</v>
      </c>
      <c r="L1495" s="1"/>
      <c r="N1495" s="1"/>
      <c r="V1495" t="str">
        <f>"75008"</f>
        <v>75008</v>
      </c>
      <c r="W1495">
        <v>0</v>
      </c>
      <c r="X1495">
        <v>0</v>
      </c>
    </row>
    <row r="1496" spans="1:24" ht="15" customHeight="1" x14ac:dyDescent="0.25">
      <c r="A1496" t="str">
        <f>""</f>
        <v/>
      </c>
      <c r="B1496" s="1"/>
      <c r="H1496">
        <v>49.08</v>
      </c>
      <c r="J1496" t="s">
        <v>19</v>
      </c>
      <c r="L1496" s="1"/>
      <c r="N1496" s="1"/>
      <c r="V1496" t="str">
        <f>"56920"</f>
        <v>56920</v>
      </c>
      <c r="W1496">
        <v>13.25</v>
      </c>
      <c r="X1496">
        <v>0</v>
      </c>
    </row>
    <row r="1497" spans="1:24" ht="15" customHeight="1" x14ac:dyDescent="0.25">
      <c r="A1497" t="str">
        <f>""</f>
        <v/>
      </c>
      <c r="B1497" s="1"/>
      <c r="H1497">
        <v>40</v>
      </c>
      <c r="J1497" t="s">
        <v>19</v>
      </c>
      <c r="L1497" s="1"/>
      <c r="N1497" s="1"/>
      <c r="V1497" t="str">
        <f>"68520"</f>
        <v>68520</v>
      </c>
      <c r="W1497">
        <v>11.6</v>
      </c>
      <c r="X1497">
        <v>0</v>
      </c>
    </row>
    <row r="1498" spans="1:24" ht="15" customHeight="1" x14ac:dyDescent="0.25">
      <c r="A1498" t="str">
        <f>""</f>
        <v/>
      </c>
      <c r="B1498" s="1"/>
      <c r="H1498">
        <v>68</v>
      </c>
      <c r="J1498" t="s">
        <v>22</v>
      </c>
      <c r="L1498" s="1"/>
      <c r="N1498" s="1"/>
      <c r="V1498" t="str">
        <f>"93013"</f>
        <v>93013</v>
      </c>
      <c r="W1498">
        <v>0</v>
      </c>
      <c r="X1498">
        <v>0</v>
      </c>
    </row>
    <row r="1499" spans="1:24" ht="15" customHeight="1" x14ac:dyDescent="0.25">
      <c r="A1499" t="str">
        <f>""</f>
        <v/>
      </c>
      <c r="B1499" s="1"/>
      <c r="H1499">
        <v>84.5</v>
      </c>
      <c r="L1499" s="1"/>
      <c r="N1499" s="1"/>
      <c r="V1499" t="str">
        <f>"77184"</f>
        <v>77184</v>
      </c>
      <c r="W1499">
        <v>0</v>
      </c>
      <c r="X1499">
        <v>0</v>
      </c>
    </row>
    <row r="1500" spans="1:24" ht="15" customHeight="1" x14ac:dyDescent="0.25">
      <c r="A1500" t="str">
        <f>""</f>
        <v/>
      </c>
      <c r="B1500" s="1"/>
      <c r="H1500">
        <v>18.350000000000001</v>
      </c>
      <c r="J1500" t="s">
        <v>19</v>
      </c>
      <c r="L1500" s="1"/>
      <c r="N1500" s="1"/>
      <c r="V1500" t="str">
        <f>"14000"</f>
        <v>14000</v>
      </c>
      <c r="W1500">
        <v>3.12</v>
      </c>
      <c r="X1500">
        <v>0</v>
      </c>
    </row>
    <row r="1501" spans="1:24" ht="15" customHeight="1" x14ac:dyDescent="0.25">
      <c r="A1501" t="str">
        <f>""</f>
        <v/>
      </c>
      <c r="B1501" s="1"/>
      <c r="H1501">
        <v>23.75</v>
      </c>
      <c r="J1501" t="s">
        <v>19</v>
      </c>
      <c r="L1501" s="1"/>
      <c r="N1501" s="1"/>
      <c r="V1501" t="str">
        <f>"62740"</f>
        <v>62740</v>
      </c>
      <c r="W1501">
        <v>4.51</v>
      </c>
      <c r="X1501">
        <v>0</v>
      </c>
    </row>
    <row r="1502" spans="1:24" ht="15" customHeight="1" x14ac:dyDescent="0.25">
      <c r="A1502" t="str">
        <f>""</f>
        <v/>
      </c>
      <c r="B1502" s="1"/>
      <c r="H1502">
        <v>138.12</v>
      </c>
      <c r="J1502" t="s">
        <v>20</v>
      </c>
      <c r="L1502" s="1"/>
      <c r="N1502" s="1"/>
      <c r="V1502" t="str">
        <f>"10600"</f>
        <v>10600</v>
      </c>
      <c r="W1502">
        <v>33.15</v>
      </c>
      <c r="X1502">
        <v>0</v>
      </c>
    </row>
    <row r="1503" spans="1:24" ht="15" customHeight="1" x14ac:dyDescent="0.25">
      <c r="A1503" t="str">
        <f>""</f>
        <v/>
      </c>
      <c r="B1503" s="1"/>
      <c r="H1503">
        <v>151</v>
      </c>
      <c r="J1503" t="s">
        <v>23</v>
      </c>
      <c r="L1503" s="1"/>
      <c r="N1503" s="1"/>
      <c r="V1503" t="str">
        <f>"29260"</f>
        <v>29260</v>
      </c>
      <c r="W1503">
        <v>0</v>
      </c>
      <c r="X1503">
        <v>0</v>
      </c>
    </row>
    <row r="1504" spans="1:24" x14ac:dyDescent="0.25">
      <c r="A1504" t="str">
        <f>""</f>
        <v/>
      </c>
      <c r="B1504" s="1"/>
      <c r="H1504">
        <v>180</v>
      </c>
      <c r="J1504" t="s">
        <v>18</v>
      </c>
      <c r="L1504" s="1"/>
      <c r="N1504" s="1"/>
      <c r="V1504" t="str">
        <f>"86320"</f>
        <v>86320</v>
      </c>
      <c r="W1504">
        <v>0</v>
      </c>
      <c r="X1504">
        <v>0</v>
      </c>
    </row>
    <row r="1505" spans="1:24" ht="15" customHeight="1" x14ac:dyDescent="0.25">
      <c r="A1505" t="str">
        <f>""</f>
        <v/>
      </c>
      <c r="B1505" s="1"/>
      <c r="H1505">
        <v>138.12</v>
      </c>
      <c r="J1505" t="s">
        <v>20</v>
      </c>
      <c r="L1505" s="1"/>
      <c r="N1505" s="1"/>
      <c r="V1505" t="str">
        <f>"63100"</f>
        <v>63100</v>
      </c>
      <c r="W1505">
        <v>40.049999999999997</v>
      </c>
      <c r="X1505">
        <v>0</v>
      </c>
    </row>
    <row r="1506" spans="1:24" ht="15" customHeight="1" x14ac:dyDescent="0.25">
      <c r="A1506" t="str">
        <f>""</f>
        <v/>
      </c>
      <c r="B1506" s="1"/>
      <c r="H1506">
        <v>19.649999999999999</v>
      </c>
      <c r="J1506" t="s">
        <v>19</v>
      </c>
      <c r="L1506" s="1"/>
      <c r="N1506" s="1"/>
      <c r="V1506" t="str">
        <f>"75014"</f>
        <v>75014</v>
      </c>
      <c r="W1506">
        <v>0</v>
      </c>
      <c r="X1506">
        <v>0</v>
      </c>
    </row>
    <row r="1507" spans="1:24" ht="15" customHeight="1" x14ac:dyDescent="0.25">
      <c r="A1507" t="str">
        <f>""</f>
        <v/>
      </c>
      <c r="B1507" s="1"/>
      <c r="H1507">
        <v>136.84</v>
      </c>
      <c r="J1507" t="s">
        <v>20</v>
      </c>
      <c r="L1507" s="1"/>
      <c r="N1507" s="1"/>
      <c r="V1507" t="str">
        <f>"79000"</f>
        <v>79000</v>
      </c>
      <c r="W1507">
        <v>28.74</v>
      </c>
      <c r="X1507">
        <v>0</v>
      </c>
    </row>
    <row r="1508" spans="1:24" ht="15" customHeight="1" x14ac:dyDescent="0.25">
      <c r="A1508" t="str">
        <f>""</f>
        <v/>
      </c>
      <c r="B1508" s="1"/>
      <c r="H1508">
        <v>137.01</v>
      </c>
      <c r="J1508" t="s">
        <v>20</v>
      </c>
      <c r="L1508" s="1"/>
      <c r="N1508" s="1"/>
      <c r="V1508" t="str">
        <f>"72230"</f>
        <v>72230</v>
      </c>
      <c r="W1508">
        <v>28.77</v>
      </c>
      <c r="X1508">
        <v>0</v>
      </c>
    </row>
    <row r="1509" spans="1:24" ht="15" customHeight="1" x14ac:dyDescent="0.25">
      <c r="A1509" t="str">
        <f>""</f>
        <v/>
      </c>
      <c r="B1509" s="1"/>
      <c r="H1509">
        <v>280</v>
      </c>
      <c r="L1509" s="1"/>
      <c r="N1509" s="1"/>
      <c r="V1509" t="str">
        <f>"77184"</f>
        <v>77184</v>
      </c>
      <c r="W1509">
        <v>0</v>
      </c>
      <c r="X1509">
        <v>0</v>
      </c>
    </row>
    <row r="1510" spans="1:24" ht="15" customHeight="1" x14ac:dyDescent="0.25">
      <c r="A1510" t="str">
        <f>""</f>
        <v/>
      </c>
      <c r="B1510" s="1"/>
      <c r="H1510">
        <v>198.98</v>
      </c>
      <c r="J1510" t="s">
        <v>23</v>
      </c>
      <c r="L1510" s="1"/>
      <c r="N1510" s="1"/>
      <c r="V1510" t="str">
        <f>"80440"</f>
        <v>80440</v>
      </c>
      <c r="W1510">
        <v>0</v>
      </c>
      <c r="X1510">
        <v>0</v>
      </c>
    </row>
    <row r="1511" spans="1:24" x14ac:dyDescent="0.25">
      <c r="A1511" t="str">
        <f>""</f>
        <v/>
      </c>
      <c r="B1511" s="1"/>
      <c r="H1511">
        <v>185.6</v>
      </c>
      <c r="J1511" t="s">
        <v>16</v>
      </c>
      <c r="L1511" s="1"/>
      <c r="N1511" s="1"/>
      <c r="V1511" t="str">
        <f>"59650"</f>
        <v>59650</v>
      </c>
      <c r="W1511">
        <v>0</v>
      </c>
      <c r="X1511">
        <v>0</v>
      </c>
    </row>
    <row r="1512" spans="1:24" ht="15" customHeight="1" x14ac:dyDescent="0.25">
      <c r="A1512" t="str">
        <f>""</f>
        <v/>
      </c>
      <c r="B1512" s="1"/>
      <c r="H1512">
        <v>148.78</v>
      </c>
      <c r="J1512" t="s">
        <v>19</v>
      </c>
      <c r="L1512" s="1"/>
      <c r="N1512" s="1"/>
      <c r="V1512" t="str">
        <f>"75010"</f>
        <v>75010</v>
      </c>
      <c r="W1512">
        <v>0</v>
      </c>
      <c r="X1512">
        <v>0</v>
      </c>
    </row>
    <row r="1513" spans="1:24" ht="15" customHeight="1" x14ac:dyDescent="0.25">
      <c r="A1513" t="str">
        <f>""</f>
        <v/>
      </c>
      <c r="B1513" s="1"/>
      <c r="H1513">
        <v>195.37</v>
      </c>
      <c r="J1513" t="s">
        <v>23</v>
      </c>
      <c r="L1513" s="1"/>
      <c r="N1513" s="1"/>
      <c r="V1513" t="str">
        <f>"14600"</f>
        <v>14600</v>
      </c>
      <c r="W1513">
        <v>0</v>
      </c>
      <c r="X1513">
        <v>33.21</v>
      </c>
    </row>
    <row r="1514" spans="1:24" ht="15" customHeight="1" x14ac:dyDescent="0.25">
      <c r="A1514" t="str">
        <f>""</f>
        <v/>
      </c>
      <c r="B1514" s="1"/>
      <c r="H1514">
        <v>15.8</v>
      </c>
      <c r="L1514" s="1"/>
      <c r="V1514" t="str">
        <f>"77184"</f>
        <v>77184</v>
      </c>
      <c r="W1514">
        <v>0</v>
      </c>
      <c r="X1514">
        <v>0</v>
      </c>
    </row>
    <row r="1515" spans="1:24" ht="15" customHeight="1" x14ac:dyDescent="0.25">
      <c r="A1515" t="str">
        <f>""</f>
        <v/>
      </c>
      <c r="B1515" s="1"/>
      <c r="H1515">
        <v>69.5</v>
      </c>
      <c r="L1515" s="1"/>
      <c r="N1515" s="1"/>
      <c r="V1515" t="str">
        <f>"77184"</f>
        <v>77184</v>
      </c>
      <c r="W1515">
        <v>0</v>
      </c>
      <c r="X1515">
        <v>0</v>
      </c>
    </row>
    <row r="1516" spans="1:24" ht="15" customHeight="1" x14ac:dyDescent="0.25">
      <c r="A1516" t="str">
        <f>""</f>
        <v/>
      </c>
      <c r="B1516" s="1"/>
      <c r="H1516">
        <v>199.02</v>
      </c>
      <c r="L1516" s="1"/>
      <c r="N1516" s="1"/>
      <c r="V1516" t="str">
        <f>"77184"</f>
        <v>77184</v>
      </c>
      <c r="W1516">
        <v>0</v>
      </c>
      <c r="X1516">
        <v>0</v>
      </c>
    </row>
    <row r="1517" spans="1:24" ht="15" customHeight="1" x14ac:dyDescent="0.25">
      <c r="A1517" t="str">
        <f>""</f>
        <v/>
      </c>
      <c r="B1517" s="1"/>
      <c r="H1517">
        <v>5.12</v>
      </c>
      <c r="J1517" t="s">
        <v>19</v>
      </c>
      <c r="L1517" s="1"/>
      <c r="N1517" s="1"/>
      <c r="V1517" t="str">
        <f>"59150"</f>
        <v>59150</v>
      </c>
      <c r="W1517">
        <v>0.97</v>
      </c>
      <c r="X1517">
        <v>0</v>
      </c>
    </row>
    <row r="1518" spans="1:24" ht="15" customHeight="1" x14ac:dyDescent="0.25">
      <c r="A1518" t="str">
        <f>""</f>
        <v/>
      </c>
      <c r="B1518" s="1"/>
      <c r="H1518">
        <v>183.87</v>
      </c>
      <c r="J1518" t="s">
        <v>22</v>
      </c>
      <c r="L1518" s="1"/>
      <c r="N1518" s="1"/>
      <c r="V1518" t="str">
        <f>"78190"</f>
        <v>78190</v>
      </c>
      <c r="W1518">
        <v>0</v>
      </c>
      <c r="X1518">
        <v>0</v>
      </c>
    </row>
    <row r="1519" spans="1:24" ht="15" customHeight="1" x14ac:dyDescent="0.25">
      <c r="A1519" t="str">
        <f>""</f>
        <v/>
      </c>
      <c r="B1519" s="1"/>
      <c r="H1519">
        <v>180</v>
      </c>
      <c r="J1519" t="s">
        <v>23</v>
      </c>
      <c r="L1519" s="1"/>
      <c r="N1519" s="1"/>
      <c r="V1519" t="str">
        <f>"34500"</f>
        <v>34500</v>
      </c>
      <c r="W1519">
        <v>0</v>
      </c>
      <c r="X1519">
        <v>50.4</v>
      </c>
    </row>
    <row r="1520" spans="1:24" ht="15" customHeight="1" x14ac:dyDescent="0.25">
      <c r="A1520" t="str">
        <f>""</f>
        <v/>
      </c>
      <c r="B1520" s="1"/>
      <c r="H1520">
        <v>172.15</v>
      </c>
      <c r="J1520" t="s">
        <v>22</v>
      </c>
      <c r="L1520" s="1"/>
      <c r="N1520" s="1"/>
      <c r="V1520" t="str">
        <f>"34500"</f>
        <v>34500</v>
      </c>
      <c r="W1520">
        <v>0</v>
      </c>
      <c r="X1520">
        <v>48.2</v>
      </c>
    </row>
    <row r="1521" spans="1:24" ht="15" customHeight="1" x14ac:dyDescent="0.25">
      <c r="A1521" t="str">
        <f>""</f>
        <v/>
      </c>
      <c r="B1521" s="1"/>
      <c r="H1521">
        <v>34.119999999999997</v>
      </c>
      <c r="J1521" t="s">
        <v>20</v>
      </c>
      <c r="L1521" s="1"/>
      <c r="N1521" s="1"/>
      <c r="V1521" t="str">
        <f>"13300"</f>
        <v>13300</v>
      </c>
      <c r="W1521">
        <v>9.89</v>
      </c>
      <c r="X1521">
        <v>0</v>
      </c>
    </row>
    <row r="1522" spans="1:24" ht="15" customHeight="1" x14ac:dyDescent="0.25">
      <c r="A1522" t="str">
        <f>""</f>
        <v/>
      </c>
      <c r="B1522" s="1"/>
      <c r="H1522">
        <v>141.65</v>
      </c>
      <c r="J1522" t="s">
        <v>20</v>
      </c>
      <c r="L1522" s="1"/>
      <c r="N1522" s="1"/>
      <c r="V1522" t="str">
        <f>"76450"</f>
        <v>76450</v>
      </c>
      <c r="W1522">
        <v>24.08</v>
      </c>
      <c r="X1522">
        <v>0</v>
      </c>
    </row>
    <row r="1523" spans="1:24" ht="15" customHeight="1" x14ac:dyDescent="0.25">
      <c r="A1523" t="str">
        <f>""</f>
        <v/>
      </c>
      <c r="B1523" s="1"/>
      <c r="H1523">
        <v>250</v>
      </c>
      <c r="J1523" t="s">
        <v>23</v>
      </c>
      <c r="L1523" s="1"/>
      <c r="V1523" t="str">
        <f>"54000"</f>
        <v>54000</v>
      </c>
      <c r="W1523">
        <v>0</v>
      </c>
      <c r="X1523">
        <v>0</v>
      </c>
    </row>
    <row r="1524" spans="1:24" ht="15" customHeight="1" x14ac:dyDescent="0.25">
      <c r="A1524" t="str">
        <f>""</f>
        <v/>
      </c>
      <c r="B1524" s="1"/>
      <c r="H1524">
        <v>179.52</v>
      </c>
      <c r="J1524" t="s">
        <v>19</v>
      </c>
      <c r="L1524" s="1"/>
      <c r="N1524" s="1"/>
      <c r="V1524" t="str">
        <f>"14500"</f>
        <v>14500</v>
      </c>
      <c r="W1524">
        <v>30.52</v>
      </c>
      <c r="X1524">
        <v>0</v>
      </c>
    </row>
    <row r="1525" spans="1:24" ht="15" customHeight="1" x14ac:dyDescent="0.25">
      <c r="A1525" t="str">
        <f>""</f>
        <v/>
      </c>
      <c r="B1525" s="1"/>
      <c r="H1525">
        <v>28.02</v>
      </c>
      <c r="J1525" t="s">
        <v>20</v>
      </c>
      <c r="L1525" s="1"/>
      <c r="N1525" s="1"/>
      <c r="V1525" t="str">
        <f>"67100"</f>
        <v>67100</v>
      </c>
      <c r="W1525">
        <v>8.1300000000000008</v>
      </c>
      <c r="X1525">
        <v>0</v>
      </c>
    </row>
    <row r="1526" spans="1:24" ht="15" customHeight="1" x14ac:dyDescent="0.25">
      <c r="A1526" t="str">
        <f>""</f>
        <v/>
      </c>
      <c r="B1526" s="1"/>
      <c r="H1526">
        <v>39.880000000000003</v>
      </c>
      <c r="J1526" t="s">
        <v>20</v>
      </c>
      <c r="L1526" s="1"/>
      <c r="N1526" s="1"/>
      <c r="V1526" t="str">
        <f>"57155"</f>
        <v>57155</v>
      </c>
      <c r="W1526">
        <v>9.9700000000000006</v>
      </c>
      <c r="X1526">
        <v>0</v>
      </c>
    </row>
    <row r="1527" spans="1:24" ht="15" customHeight="1" x14ac:dyDescent="0.25">
      <c r="A1527" t="str">
        <f>""</f>
        <v/>
      </c>
      <c r="B1527" s="1"/>
      <c r="J1527" t="s">
        <v>20</v>
      </c>
      <c r="L1527" s="1"/>
      <c r="N1527" s="1"/>
      <c r="V1527" t="str">
        <f>"77183"</f>
        <v>77183</v>
      </c>
      <c r="W1527">
        <v>0</v>
      </c>
      <c r="X1527">
        <v>0</v>
      </c>
    </row>
    <row r="1528" spans="1:24" ht="15" customHeight="1" x14ac:dyDescent="0.25">
      <c r="A1528" t="str">
        <f>""</f>
        <v/>
      </c>
      <c r="B1528" s="1"/>
      <c r="H1528">
        <v>140</v>
      </c>
      <c r="J1528" t="s">
        <v>22</v>
      </c>
      <c r="L1528" s="1"/>
      <c r="N1528" s="1"/>
      <c r="V1528" t="str">
        <f>"59154"</f>
        <v>59154</v>
      </c>
      <c r="W1528">
        <v>0</v>
      </c>
      <c r="X1528">
        <v>0</v>
      </c>
    </row>
    <row r="1529" spans="1:24" ht="15" customHeight="1" x14ac:dyDescent="0.25">
      <c r="A1529" t="str">
        <f>""</f>
        <v/>
      </c>
      <c r="B1529" s="1"/>
      <c r="H1529">
        <v>40</v>
      </c>
      <c r="J1529" t="s">
        <v>22</v>
      </c>
      <c r="L1529" s="1"/>
      <c r="N1529" s="1"/>
      <c r="V1529" t="str">
        <f>"59270"</f>
        <v>59270</v>
      </c>
      <c r="W1529">
        <v>0</v>
      </c>
      <c r="X1529">
        <v>0</v>
      </c>
    </row>
    <row r="1530" spans="1:24" ht="15" customHeight="1" x14ac:dyDescent="0.25">
      <c r="A1530" t="str">
        <f>""</f>
        <v/>
      </c>
      <c r="B1530" s="1"/>
      <c r="H1530">
        <v>306.19</v>
      </c>
      <c r="J1530" t="s">
        <v>20</v>
      </c>
      <c r="L1530" s="1"/>
      <c r="N1530" s="1"/>
      <c r="V1530" t="str">
        <f>"69124"</f>
        <v>69124</v>
      </c>
      <c r="W1530">
        <v>82.67</v>
      </c>
      <c r="X1530">
        <v>0</v>
      </c>
    </row>
    <row r="1531" spans="1:24" ht="15" customHeight="1" x14ac:dyDescent="0.25">
      <c r="A1531" t="str">
        <f>""</f>
        <v/>
      </c>
      <c r="B1531" s="1"/>
      <c r="H1531">
        <v>55.14</v>
      </c>
      <c r="J1531" t="s">
        <v>19</v>
      </c>
      <c r="L1531" s="1"/>
      <c r="N1531" s="1"/>
      <c r="V1531" t="str">
        <f>"75010"</f>
        <v>75010</v>
      </c>
      <c r="W1531">
        <v>0</v>
      </c>
      <c r="X1531">
        <v>0</v>
      </c>
    </row>
    <row r="1532" spans="1:24" x14ac:dyDescent="0.25">
      <c r="A1532" t="str">
        <f>""</f>
        <v/>
      </c>
      <c r="B1532" s="1"/>
      <c r="H1532">
        <v>122.09</v>
      </c>
      <c r="J1532" t="s">
        <v>16</v>
      </c>
      <c r="L1532" s="1"/>
      <c r="N1532" s="1"/>
      <c r="V1532" t="str">
        <f>"38420"</f>
        <v>38420</v>
      </c>
      <c r="W1532">
        <v>0</v>
      </c>
      <c r="X1532">
        <v>0</v>
      </c>
    </row>
    <row r="1533" spans="1:24" ht="15" customHeight="1" x14ac:dyDescent="0.25">
      <c r="A1533" t="str">
        <f>""</f>
        <v/>
      </c>
      <c r="B1533" s="1"/>
      <c r="H1533">
        <v>40</v>
      </c>
      <c r="J1533" t="s">
        <v>22</v>
      </c>
      <c r="L1533" s="1"/>
      <c r="N1533" s="1"/>
      <c r="V1533" t="str">
        <f>"13127"</f>
        <v>13127</v>
      </c>
      <c r="W1533">
        <v>0</v>
      </c>
      <c r="X1533">
        <v>11.6</v>
      </c>
    </row>
    <row r="1534" spans="1:24" ht="15" customHeight="1" x14ac:dyDescent="0.25">
      <c r="A1534" t="str">
        <f>""</f>
        <v/>
      </c>
      <c r="B1534" s="1"/>
      <c r="H1534">
        <v>200.72</v>
      </c>
      <c r="J1534" t="s">
        <v>19</v>
      </c>
      <c r="L1534" s="1"/>
      <c r="N1534" s="1"/>
      <c r="V1534" t="str">
        <f>"02000"</f>
        <v>02000</v>
      </c>
      <c r="W1534">
        <v>38.14</v>
      </c>
      <c r="X1534">
        <v>0</v>
      </c>
    </row>
    <row r="1535" spans="1:24" ht="15" customHeight="1" x14ac:dyDescent="0.25">
      <c r="A1535" t="str">
        <f>""</f>
        <v/>
      </c>
      <c r="B1535" s="1"/>
      <c r="H1535">
        <v>136.86000000000001</v>
      </c>
      <c r="J1535" t="s">
        <v>20</v>
      </c>
      <c r="L1535" s="1"/>
      <c r="N1535" s="1"/>
      <c r="V1535" t="str">
        <f>"60190"</f>
        <v>60190</v>
      </c>
      <c r="W1535">
        <v>26</v>
      </c>
      <c r="X1535">
        <v>0</v>
      </c>
    </row>
    <row r="1536" spans="1:24" ht="15" customHeight="1" x14ac:dyDescent="0.25">
      <c r="A1536" t="str">
        <f>""</f>
        <v/>
      </c>
      <c r="B1536" s="1"/>
      <c r="H1536">
        <v>40</v>
      </c>
      <c r="J1536" t="s">
        <v>22</v>
      </c>
      <c r="L1536" s="1"/>
      <c r="N1536" s="1"/>
      <c r="V1536" t="str">
        <f>"76290"</f>
        <v>76290</v>
      </c>
      <c r="W1536">
        <v>0</v>
      </c>
      <c r="X1536">
        <v>6.8</v>
      </c>
    </row>
    <row r="1537" spans="1:24" ht="15" customHeight="1" x14ac:dyDescent="0.25">
      <c r="A1537" t="str">
        <f>""</f>
        <v/>
      </c>
      <c r="B1537" s="1"/>
      <c r="H1537">
        <v>831.24</v>
      </c>
      <c r="J1537" t="s">
        <v>20</v>
      </c>
      <c r="L1537" s="1"/>
      <c r="N1537" s="1"/>
      <c r="V1537" t="str">
        <f>"76600"</f>
        <v>76600</v>
      </c>
      <c r="W1537">
        <v>141.31</v>
      </c>
      <c r="X1537">
        <v>0</v>
      </c>
    </row>
    <row r="1538" spans="1:24" ht="15" customHeight="1" x14ac:dyDescent="0.25">
      <c r="A1538" t="str">
        <f>""</f>
        <v/>
      </c>
      <c r="B1538" s="1"/>
      <c r="H1538">
        <v>157.91</v>
      </c>
      <c r="J1538" t="s">
        <v>20</v>
      </c>
      <c r="L1538" s="1"/>
      <c r="N1538" s="1"/>
      <c r="V1538" t="str">
        <f>"94290"</f>
        <v>94290</v>
      </c>
      <c r="W1538">
        <v>0</v>
      </c>
      <c r="X1538">
        <v>0</v>
      </c>
    </row>
    <row r="1539" spans="1:24" ht="15" customHeight="1" x14ac:dyDescent="0.25">
      <c r="A1539" t="str">
        <f>""</f>
        <v/>
      </c>
      <c r="B1539" s="1"/>
      <c r="H1539">
        <v>55.34</v>
      </c>
      <c r="J1539" t="s">
        <v>20</v>
      </c>
      <c r="L1539" s="1"/>
      <c r="N1539" s="1"/>
      <c r="V1539" t="str">
        <f>"29870"</f>
        <v>29870</v>
      </c>
      <c r="W1539">
        <v>21.58</v>
      </c>
      <c r="X1539">
        <v>0</v>
      </c>
    </row>
    <row r="1540" spans="1:24" ht="15" customHeight="1" x14ac:dyDescent="0.25">
      <c r="A1540" t="str">
        <f>""</f>
        <v/>
      </c>
      <c r="B1540" s="1"/>
      <c r="H1540">
        <v>80</v>
      </c>
      <c r="J1540" t="s">
        <v>19</v>
      </c>
      <c r="L1540" s="1"/>
      <c r="N1540" s="1"/>
      <c r="V1540" t="str">
        <f>"69003"</f>
        <v>69003</v>
      </c>
      <c r="W1540">
        <v>21.6</v>
      </c>
      <c r="X1540">
        <v>0</v>
      </c>
    </row>
    <row r="1541" spans="1:24" ht="15" customHeight="1" x14ac:dyDescent="0.25">
      <c r="A1541" t="str">
        <f>""</f>
        <v/>
      </c>
      <c r="B1541" s="1"/>
      <c r="H1541">
        <v>151</v>
      </c>
      <c r="J1541" t="s">
        <v>22</v>
      </c>
      <c r="L1541" s="1"/>
      <c r="N1541" s="1"/>
      <c r="V1541" t="str">
        <f>"67230"</f>
        <v>67230</v>
      </c>
      <c r="W1541">
        <v>0</v>
      </c>
      <c r="X1541">
        <v>12.08</v>
      </c>
    </row>
    <row r="1542" spans="1:24" ht="15" customHeight="1" x14ac:dyDescent="0.25">
      <c r="A1542" t="str">
        <f>""</f>
        <v/>
      </c>
      <c r="B1542" s="1"/>
      <c r="H1542">
        <v>33.35</v>
      </c>
      <c r="J1542" t="s">
        <v>19</v>
      </c>
      <c r="L1542" s="1"/>
      <c r="N1542" s="1"/>
      <c r="V1542" t="str">
        <f>"69005"</f>
        <v>69005</v>
      </c>
      <c r="W1542">
        <v>9</v>
      </c>
      <c r="X1542">
        <v>0</v>
      </c>
    </row>
    <row r="1543" spans="1:24" ht="15" customHeight="1" x14ac:dyDescent="0.25">
      <c r="A1543" t="str">
        <f>""</f>
        <v/>
      </c>
      <c r="B1543" s="1"/>
      <c r="H1543">
        <v>42.96</v>
      </c>
      <c r="J1543" t="s">
        <v>22</v>
      </c>
      <c r="L1543" s="1"/>
      <c r="N1543" s="1"/>
      <c r="V1543" t="str">
        <f>"59800"</f>
        <v>59800</v>
      </c>
      <c r="W1543">
        <v>0</v>
      </c>
      <c r="X1543">
        <v>0</v>
      </c>
    </row>
    <row r="1544" spans="1:24" ht="15" customHeight="1" x14ac:dyDescent="0.25">
      <c r="A1544" t="str">
        <f>""</f>
        <v/>
      </c>
      <c r="B1544" s="1"/>
      <c r="H1544">
        <v>71.819999999999993</v>
      </c>
      <c r="J1544" t="s">
        <v>23</v>
      </c>
      <c r="L1544" s="1"/>
      <c r="N1544" s="1"/>
      <c r="V1544" t="str">
        <f>"69400"</f>
        <v>69400</v>
      </c>
      <c r="W1544">
        <v>0</v>
      </c>
      <c r="X1544">
        <v>0</v>
      </c>
    </row>
    <row r="1545" spans="1:24" ht="15" customHeight="1" x14ac:dyDescent="0.25">
      <c r="A1545" t="str">
        <f>""</f>
        <v/>
      </c>
      <c r="B1545" s="1"/>
      <c r="H1545">
        <v>86.34</v>
      </c>
      <c r="J1545" t="s">
        <v>19</v>
      </c>
      <c r="L1545" s="1"/>
      <c r="N1545" s="1"/>
      <c r="V1545" t="str">
        <f>"44550"</f>
        <v>44550</v>
      </c>
      <c r="W1545">
        <v>23.31</v>
      </c>
      <c r="X1545">
        <v>0</v>
      </c>
    </row>
    <row r="1546" spans="1:24" ht="15" customHeight="1" x14ac:dyDescent="0.25">
      <c r="A1546" t="str">
        <f>""</f>
        <v/>
      </c>
      <c r="B1546" s="1"/>
      <c r="H1546">
        <v>25</v>
      </c>
      <c r="J1546" t="s">
        <v>19</v>
      </c>
      <c r="L1546" s="1"/>
      <c r="N1546" s="1"/>
      <c r="V1546" t="str">
        <f>"94100"</f>
        <v>94100</v>
      </c>
      <c r="W1546">
        <v>0</v>
      </c>
      <c r="X1546">
        <v>0</v>
      </c>
    </row>
    <row r="1547" spans="1:24" ht="15" customHeight="1" x14ac:dyDescent="0.25">
      <c r="A1547" t="str">
        <f>""</f>
        <v/>
      </c>
      <c r="B1547" s="1"/>
      <c r="H1547">
        <v>55.14</v>
      </c>
      <c r="J1547" t="s">
        <v>20</v>
      </c>
      <c r="L1547" s="1"/>
      <c r="N1547" s="1"/>
      <c r="V1547" t="str">
        <f>"06000"</f>
        <v>06000</v>
      </c>
      <c r="W1547">
        <v>16.54</v>
      </c>
      <c r="X1547">
        <v>0</v>
      </c>
    </row>
    <row r="1548" spans="1:24" ht="15" customHeight="1" x14ac:dyDescent="0.25">
      <c r="A1548" t="str">
        <f>""</f>
        <v/>
      </c>
      <c r="B1548" s="1"/>
      <c r="H1548">
        <v>183.04</v>
      </c>
      <c r="L1548" s="1"/>
      <c r="N1548" s="1"/>
      <c r="V1548" t="str">
        <f>"77184"</f>
        <v>77184</v>
      </c>
      <c r="W1548">
        <v>0</v>
      </c>
      <c r="X1548">
        <v>0</v>
      </c>
    </row>
    <row r="1549" spans="1:24" ht="15" customHeight="1" x14ac:dyDescent="0.25">
      <c r="A1549" t="str">
        <f>""</f>
        <v/>
      </c>
      <c r="B1549" s="1"/>
      <c r="J1549" t="s">
        <v>23</v>
      </c>
      <c r="L1549" s="1"/>
      <c r="N1549" s="1"/>
      <c r="V1549" t="str">
        <f>"75008"</f>
        <v>75008</v>
      </c>
      <c r="W1549">
        <v>0</v>
      </c>
      <c r="X1549">
        <v>0</v>
      </c>
    </row>
    <row r="1550" spans="1:24" x14ac:dyDescent="0.25">
      <c r="A1550" t="str">
        <f>""</f>
        <v/>
      </c>
      <c r="B1550" s="1"/>
      <c r="H1550">
        <v>180</v>
      </c>
      <c r="J1550" t="s">
        <v>16</v>
      </c>
      <c r="L1550" s="1"/>
      <c r="N1550" s="1"/>
      <c r="V1550" t="str">
        <f>"59260"</f>
        <v>59260</v>
      </c>
      <c r="W1550">
        <v>34.200000000000003</v>
      </c>
      <c r="X1550">
        <v>0</v>
      </c>
    </row>
    <row r="1551" spans="1:24" ht="15" customHeight="1" x14ac:dyDescent="0.25">
      <c r="A1551" t="str">
        <f>""</f>
        <v/>
      </c>
      <c r="B1551" s="1"/>
      <c r="H1551">
        <v>201</v>
      </c>
      <c r="J1551" t="s">
        <v>20</v>
      </c>
      <c r="L1551" s="1"/>
      <c r="N1551" s="1"/>
      <c r="V1551" t="str">
        <f>"95270"</f>
        <v>95270</v>
      </c>
      <c r="W1551">
        <v>0</v>
      </c>
      <c r="X1551">
        <v>0</v>
      </c>
    </row>
    <row r="1552" spans="1:24" ht="15" customHeight="1" x14ac:dyDescent="0.25">
      <c r="A1552" t="str">
        <f>""</f>
        <v/>
      </c>
      <c r="B1552" s="1"/>
      <c r="H1552">
        <v>7.99</v>
      </c>
      <c r="J1552" t="s">
        <v>19</v>
      </c>
      <c r="L1552" s="1"/>
      <c r="N1552" s="1"/>
      <c r="V1552" t="str">
        <f>"63100"</f>
        <v>63100</v>
      </c>
      <c r="W1552">
        <v>2.3199999999999998</v>
      </c>
      <c r="X1552">
        <v>0</v>
      </c>
    </row>
    <row r="1553" spans="1:24" ht="15" customHeight="1" x14ac:dyDescent="0.25">
      <c r="A1553" t="str">
        <f>""</f>
        <v/>
      </c>
      <c r="B1553" s="1"/>
      <c r="J1553" t="s">
        <v>8</v>
      </c>
      <c r="V1553" t="str">
        <f>""</f>
        <v/>
      </c>
      <c r="W1553">
        <v>0</v>
      </c>
      <c r="X1553">
        <v>0</v>
      </c>
    </row>
    <row r="1554" spans="1:24" ht="15" customHeight="1" x14ac:dyDescent="0.25">
      <c r="A1554" t="str">
        <f>""</f>
        <v/>
      </c>
      <c r="B1554" s="1"/>
      <c r="H1554">
        <v>70</v>
      </c>
      <c r="J1554" t="s">
        <v>22</v>
      </c>
      <c r="L1554" s="1"/>
      <c r="N1554" s="1"/>
      <c r="V1554" t="str">
        <f>"13800"</f>
        <v>13800</v>
      </c>
      <c r="W1554">
        <v>0</v>
      </c>
      <c r="X1554">
        <v>13.3</v>
      </c>
    </row>
    <row r="1555" spans="1:24" ht="15" customHeight="1" x14ac:dyDescent="0.25">
      <c r="A1555" t="str">
        <f>""</f>
        <v/>
      </c>
      <c r="B1555" s="1"/>
      <c r="H1555">
        <v>140</v>
      </c>
      <c r="J1555" t="s">
        <v>22</v>
      </c>
      <c r="L1555" s="1"/>
      <c r="N1555" s="1"/>
      <c r="V1555" t="str">
        <f>"48200"</f>
        <v>48200</v>
      </c>
      <c r="W1555">
        <v>0</v>
      </c>
      <c r="X1555">
        <v>54.6</v>
      </c>
    </row>
    <row r="1556" spans="1:24" ht="15" customHeight="1" x14ac:dyDescent="0.25">
      <c r="A1556" t="str">
        <f>""</f>
        <v/>
      </c>
      <c r="B1556" s="1"/>
      <c r="H1556">
        <v>180</v>
      </c>
      <c r="J1556" t="s">
        <v>23</v>
      </c>
      <c r="L1556" s="1"/>
      <c r="V1556" t="str">
        <f>"69100"</f>
        <v>69100</v>
      </c>
      <c r="W1556">
        <v>0</v>
      </c>
      <c r="X1556">
        <v>0</v>
      </c>
    </row>
    <row r="1557" spans="1:24" ht="15" customHeight="1" x14ac:dyDescent="0.25">
      <c r="A1557" t="str">
        <f>""</f>
        <v/>
      </c>
      <c r="B1557" s="1"/>
      <c r="H1557">
        <v>155</v>
      </c>
      <c r="J1557" t="s">
        <v>22</v>
      </c>
      <c r="L1557" s="1"/>
      <c r="N1557" s="1"/>
      <c r="V1557" t="str">
        <f>"69007"</f>
        <v>69007</v>
      </c>
      <c r="W1557">
        <v>0</v>
      </c>
      <c r="X1557">
        <v>0</v>
      </c>
    </row>
    <row r="1558" spans="1:24" ht="15" customHeight="1" x14ac:dyDescent="0.25">
      <c r="A1558" t="str">
        <f>""</f>
        <v/>
      </c>
      <c r="B1558" s="1"/>
      <c r="H1558">
        <v>153.97999999999999</v>
      </c>
      <c r="J1558" t="s">
        <v>23</v>
      </c>
      <c r="L1558" s="1"/>
      <c r="N1558" s="1"/>
      <c r="V1558" t="str">
        <f>"14000"</f>
        <v>14000</v>
      </c>
      <c r="W1558">
        <v>0</v>
      </c>
      <c r="X1558">
        <v>0</v>
      </c>
    </row>
    <row r="1559" spans="1:24" ht="15" customHeight="1" x14ac:dyDescent="0.25">
      <c r="A1559" t="str">
        <f>""</f>
        <v/>
      </c>
      <c r="B1559" s="1"/>
      <c r="H1559">
        <v>140</v>
      </c>
      <c r="J1559" t="s">
        <v>22</v>
      </c>
      <c r="L1559" s="1"/>
      <c r="N1559" s="1"/>
      <c r="V1559" t="str">
        <f>"14000"</f>
        <v>14000</v>
      </c>
      <c r="W1559">
        <v>0</v>
      </c>
      <c r="X1559">
        <v>0</v>
      </c>
    </row>
    <row r="1560" spans="1:24" ht="15" customHeight="1" x14ac:dyDescent="0.25">
      <c r="A1560" t="str">
        <f>""</f>
        <v/>
      </c>
      <c r="B1560" s="1"/>
      <c r="H1560">
        <v>195.02</v>
      </c>
      <c r="J1560" t="s">
        <v>22</v>
      </c>
      <c r="L1560" s="1"/>
      <c r="N1560" s="1"/>
      <c r="V1560" t="str">
        <f>"14000"</f>
        <v>14000</v>
      </c>
      <c r="W1560">
        <v>0</v>
      </c>
      <c r="X1560">
        <v>0</v>
      </c>
    </row>
    <row r="1561" spans="1:24" ht="15" customHeight="1" x14ac:dyDescent="0.25">
      <c r="A1561" t="str">
        <f>""</f>
        <v/>
      </c>
      <c r="B1561" s="1"/>
      <c r="H1561">
        <v>40.93</v>
      </c>
      <c r="J1561" t="s">
        <v>22</v>
      </c>
      <c r="L1561" s="1"/>
      <c r="N1561" s="1"/>
      <c r="V1561" t="str">
        <f>"67000"</f>
        <v>67000</v>
      </c>
      <c r="W1561">
        <v>0</v>
      </c>
      <c r="X1561">
        <v>3.27</v>
      </c>
    </row>
    <row r="1562" spans="1:24" ht="15" customHeight="1" x14ac:dyDescent="0.25">
      <c r="A1562" t="str">
        <f>""</f>
        <v/>
      </c>
      <c r="B1562" s="1"/>
      <c r="H1562">
        <v>151</v>
      </c>
      <c r="J1562" t="s">
        <v>22</v>
      </c>
      <c r="L1562" s="1"/>
      <c r="V1562" t="str">
        <f>"69120"</f>
        <v>69120</v>
      </c>
      <c r="W1562">
        <v>0</v>
      </c>
      <c r="X1562">
        <v>0</v>
      </c>
    </row>
    <row r="1563" spans="1:24" ht="15" customHeight="1" x14ac:dyDescent="0.25">
      <c r="A1563" t="str">
        <f>""</f>
        <v/>
      </c>
      <c r="B1563" s="1"/>
      <c r="H1563">
        <v>70</v>
      </c>
      <c r="J1563" t="s">
        <v>23</v>
      </c>
      <c r="L1563" s="1"/>
      <c r="N1563" s="1"/>
      <c r="V1563" t="str">
        <f>"83190"</f>
        <v>83190</v>
      </c>
      <c r="W1563">
        <v>0</v>
      </c>
      <c r="X1563">
        <v>14.7</v>
      </c>
    </row>
    <row r="1564" spans="1:24" ht="15" customHeight="1" x14ac:dyDescent="0.25">
      <c r="A1564" t="str">
        <f>""</f>
        <v/>
      </c>
      <c r="B1564" s="1"/>
      <c r="H1564">
        <v>99.01</v>
      </c>
      <c r="J1564" t="s">
        <v>23</v>
      </c>
      <c r="L1564" s="1"/>
      <c r="N1564" s="1"/>
      <c r="V1564" t="str">
        <f>"29870"</f>
        <v>29870</v>
      </c>
      <c r="W1564">
        <v>0</v>
      </c>
      <c r="X1564">
        <v>0</v>
      </c>
    </row>
    <row r="1565" spans="1:24" ht="15" customHeight="1" x14ac:dyDescent="0.25">
      <c r="A1565" t="str">
        <f>""</f>
        <v/>
      </c>
      <c r="B1565" s="1"/>
      <c r="H1565">
        <v>198.98</v>
      </c>
      <c r="J1565" t="s">
        <v>22</v>
      </c>
      <c r="L1565" s="1"/>
      <c r="N1565" s="1"/>
      <c r="V1565" t="str">
        <f>"54000"</f>
        <v>54000</v>
      </c>
      <c r="W1565">
        <v>0</v>
      </c>
      <c r="X1565">
        <v>49.75</v>
      </c>
    </row>
    <row r="1566" spans="1:24" ht="15" customHeight="1" x14ac:dyDescent="0.25">
      <c r="A1566" t="str">
        <f>""</f>
        <v/>
      </c>
      <c r="B1566" s="1"/>
      <c r="H1566">
        <v>250</v>
      </c>
      <c r="J1566" t="s">
        <v>22</v>
      </c>
      <c r="L1566" s="1"/>
      <c r="N1566" s="1"/>
      <c r="V1566" t="str">
        <f>"69150"</f>
        <v>69150</v>
      </c>
      <c r="W1566">
        <v>0</v>
      </c>
      <c r="X1566">
        <v>0</v>
      </c>
    </row>
    <row r="1567" spans="1:24" ht="15" customHeight="1" x14ac:dyDescent="0.25">
      <c r="A1567" t="str">
        <f>""</f>
        <v/>
      </c>
      <c r="B1567" s="1"/>
      <c r="H1567">
        <v>380.06</v>
      </c>
      <c r="J1567" t="s">
        <v>22</v>
      </c>
      <c r="L1567" s="1"/>
      <c r="N1567" s="1"/>
      <c r="V1567" t="str">
        <f>"13001"</f>
        <v>13001</v>
      </c>
      <c r="W1567">
        <v>0</v>
      </c>
      <c r="X1567">
        <v>0</v>
      </c>
    </row>
    <row r="1568" spans="1:24" ht="15" customHeight="1" x14ac:dyDescent="0.25">
      <c r="A1568" t="str">
        <f>""</f>
        <v/>
      </c>
      <c r="B1568" s="1"/>
      <c r="H1568">
        <v>110.91</v>
      </c>
      <c r="J1568" t="s">
        <v>23</v>
      </c>
      <c r="L1568" s="1"/>
      <c r="V1568" t="str">
        <f>"66530"</f>
        <v>66530</v>
      </c>
      <c r="W1568">
        <v>0</v>
      </c>
      <c r="X1568">
        <v>0</v>
      </c>
    </row>
    <row r="1569" spans="1:24" ht="15" customHeight="1" x14ac:dyDescent="0.25">
      <c r="A1569" t="str">
        <f>""</f>
        <v/>
      </c>
      <c r="B1569" s="1"/>
      <c r="H1569">
        <v>40</v>
      </c>
      <c r="J1569" t="s">
        <v>23</v>
      </c>
      <c r="L1569" s="1"/>
      <c r="V1569" t="str">
        <f>"75005"</f>
        <v>75005</v>
      </c>
      <c r="W1569">
        <v>0</v>
      </c>
      <c r="X1569">
        <v>0</v>
      </c>
    </row>
    <row r="1570" spans="1:24" x14ac:dyDescent="0.25">
      <c r="A1570" t="str">
        <f>""</f>
        <v/>
      </c>
      <c r="B1570" s="1"/>
      <c r="H1570">
        <v>100</v>
      </c>
      <c r="J1570" t="s">
        <v>15</v>
      </c>
      <c r="L1570" s="1"/>
      <c r="V1570" t="str">
        <f>"35350"</f>
        <v>35350</v>
      </c>
      <c r="W1570">
        <v>0</v>
      </c>
      <c r="X1570">
        <v>0</v>
      </c>
    </row>
    <row r="1571" spans="1:24" x14ac:dyDescent="0.25">
      <c r="A1571" t="str">
        <f>""</f>
        <v/>
      </c>
      <c r="B1571" s="1"/>
      <c r="H1571">
        <v>116.94</v>
      </c>
      <c r="J1571" t="s">
        <v>16</v>
      </c>
      <c r="L1571" s="1"/>
      <c r="N1571" s="1"/>
      <c r="V1571" t="str">
        <f>"45570"</f>
        <v>45570</v>
      </c>
      <c r="W1571">
        <v>24.56</v>
      </c>
      <c r="X1571">
        <v>0</v>
      </c>
    </row>
    <row r="1572" spans="1:24" ht="15" customHeight="1" x14ac:dyDescent="0.25">
      <c r="A1572" t="str">
        <f>""</f>
        <v/>
      </c>
      <c r="B1572" s="1"/>
      <c r="H1572">
        <v>81</v>
      </c>
      <c r="J1572" t="s">
        <v>23</v>
      </c>
      <c r="L1572" s="1"/>
      <c r="V1572" t="str">
        <f>"59400"</f>
        <v>59400</v>
      </c>
      <c r="W1572">
        <v>0</v>
      </c>
      <c r="X1572">
        <v>0</v>
      </c>
    </row>
    <row r="1573" spans="1:24" x14ac:dyDescent="0.25">
      <c r="A1573" t="str">
        <f>""</f>
        <v/>
      </c>
      <c r="B1573" s="1"/>
      <c r="H1573">
        <v>23.4</v>
      </c>
      <c r="J1573" t="s">
        <v>17</v>
      </c>
      <c r="L1573" s="1"/>
      <c r="N1573" s="1"/>
      <c r="V1573" t="str">
        <f>"38230"</f>
        <v>38230</v>
      </c>
      <c r="W1573">
        <v>0</v>
      </c>
      <c r="X1573">
        <v>0</v>
      </c>
    </row>
    <row r="1574" spans="1:24" ht="15" customHeight="1" x14ac:dyDescent="0.25">
      <c r="A1574" t="str">
        <f>""</f>
        <v/>
      </c>
      <c r="B1574" s="1"/>
      <c r="H1574">
        <v>93</v>
      </c>
      <c r="J1574" t="s">
        <v>23</v>
      </c>
      <c r="L1574" s="1"/>
      <c r="N1574" s="1"/>
      <c r="V1574" t="str">
        <f>"37700"</f>
        <v>37700</v>
      </c>
      <c r="W1574">
        <v>0</v>
      </c>
      <c r="X1574">
        <v>0</v>
      </c>
    </row>
    <row r="1575" spans="1:24" ht="15" customHeight="1" x14ac:dyDescent="0.25">
      <c r="A1575" t="str">
        <f>""</f>
        <v/>
      </c>
      <c r="B1575" s="1"/>
      <c r="H1575">
        <v>184.19</v>
      </c>
      <c r="J1575" t="s">
        <v>19</v>
      </c>
      <c r="L1575" s="1"/>
      <c r="N1575" s="1"/>
      <c r="V1575" t="str">
        <f>"21220"</f>
        <v>21220</v>
      </c>
      <c r="W1575">
        <v>44.21</v>
      </c>
      <c r="X1575">
        <v>0</v>
      </c>
    </row>
    <row r="1576" spans="1:24" x14ac:dyDescent="0.25">
      <c r="A1576" t="str">
        <f>""</f>
        <v/>
      </c>
      <c r="B1576" s="1"/>
      <c r="H1576">
        <v>173.49</v>
      </c>
      <c r="J1576" t="s">
        <v>15</v>
      </c>
      <c r="L1576" s="1"/>
      <c r="N1576" s="1"/>
      <c r="V1576" t="str">
        <f>"98000"</f>
        <v>98000</v>
      </c>
      <c r="W1576">
        <v>0</v>
      </c>
      <c r="X1576">
        <v>0</v>
      </c>
    </row>
    <row r="1577" spans="1:24" ht="15" customHeight="1" x14ac:dyDescent="0.25">
      <c r="A1577" t="str">
        <f>""</f>
        <v/>
      </c>
      <c r="B1577" s="1"/>
      <c r="H1577">
        <v>121.89</v>
      </c>
      <c r="J1577" t="s">
        <v>19</v>
      </c>
      <c r="L1577" s="1"/>
      <c r="N1577" s="1"/>
      <c r="V1577" t="str">
        <f>"49500"</f>
        <v>49500</v>
      </c>
      <c r="W1577">
        <v>32.909999999999997</v>
      </c>
      <c r="X1577">
        <v>0</v>
      </c>
    </row>
    <row r="1578" spans="1:24" ht="15" customHeight="1" x14ac:dyDescent="0.25">
      <c r="A1578" t="str">
        <f>""</f>
        <v/>
      </c>
      <c r="B1578" s="1"/>
      <c r="H1578">
        <v>180</v>
      </c>
      <c r="J1578" t="s">
        <v>23</v>
      </c>
      <c r="L1578" s="1"/>
      <c r="N1578" s="1"/>
      <c r="V1578" t="str">
        <f>"62320"</f>
        <v>62320</v>
      </c>
      <c r="W1578">
        <v>0</v>
      </c>
      <c r="X1578">
        <v>0</v>
      </c>
    </row>
    <row r="1579" spans="1:24" ht="15" customHeight="1" x14ac:dyDescent="0.25">
      <c r="A1579" t="str">
        <f>""</f>
        <v/>
      </c>
      <c r="B1579" s="1"/>
      <c r="H1579">
        <v>151</v>
      </c>
      <c r="J1579" t="s">
        <v>22</v>
      </c>
      <c r="L1579" s="1"/>
      <c r="N1579" s="1"/>
      <c r="V1579" t="str">
        <f>"06560"</f>
        <v>06560</v>
      </c>
      <c r="W1579">
        <v>0</v>
      </c>
      <c r="X1579">
        <v>31.71</v>
      </c>
    </row>
    <row r="1580" spans="1:24" ht="15" customHeight="1" x14ac:dyDescent="0.25">
      <c r="A1580" t="str">
        <f>""</f>
        <v/>
      </c>
      <c r="B1580" s="1"/>
      <c r="H1580">
        <v>151</v>
      </c>
      <c r="J1580" t="s">
        <v>22</v>
      </c>
      <c r="L1580" s="1"/>
      <c r="N1580" s="1"/>
      <c r="V1580" t="str">
        <f>"06560"</f>
        <v>06560</v>
      </c>
      <c r="W1580">
        <v>0</v>
      </c>
      <c r="X1580">
        <v>0</v>
      </c>
    </row>
    <row r="1581" spans="1:24" ht="15" customHeight="1" x14ac:dyDescent="0.25">
      <c r="A1581" t="str">
        <f>""</f>
        <v/>
      </c>
      <c r="B1581" s="1"/>
      <c r="H1581">
        <v>151</v>
      </c>
      <c r="J1581" t="s">
        <v>22</v>
      </c>
      <c r="L1581" s="1"/>
      <c r="N1581" s="1"/>
      <c r="V1581" t="str">
        <f>"06560"</f>
        <v>06560</v>
      </c>
      <c r="W1581">
        <v>0</v>
      </c>
      <c r="X1581">
        <v>0</v>
      </c>
    </row>
    <row r="1582" spans="1:24" ht="15" customHeight="1" x14ac:dyDescent="0.25">
      <c r="A1582" t="str">
        <f>""</f>
        <v/>
      </c>
      <c r="B1582" s="1"/>
      <c r="H1582">
        <v>2145.64</v>
      </c>
      <c r="J1582" t="s">
        <v>23</v>
      </c>
      <c r="L1582" s="1"/>
      <c r="N1582" s="1"/>
      <c r="V1582" t="str">
        <f>"40280"</f>
        <v>40280</v>
      </c>
      <c r="W1582">
        <v>0</v>
      </c>
      <c r="X1582">
        <v>364.76</v>
      </c>
    </row>
    <row r="1583" spans="1:24" ht="15" customHeight="1" x14ac:dyDescent="0.25">
      <c r="A1583" t="str">
        <f>""</f>
        <v/>
      </c>
      <c r="B1583" s="1"/>
      <c r="H1583">
        <v>140</v>
      </c>
      <c r="J1583" t="s">
        <v>23</v>
      </c>
      <c r="L1583" s="1"/>
      <c r="N1583" s="1"/>
      <c r="V1583" t="str">
        <f>"56000"</f>
        <v>56000</v>
      </c>
      <c r="W1583">
        <v>0</v>
      </c>
      <c r="X1583">
        <v>0</v>
      </c>
    </row>
    <row r="1584" spans="1:24" ht="15" customHeight="1" x14ac:dyDescent="0.25">
      <c r="A1584" t="str">
        <f>""</f>
        <v/>
      </c>
      <c r="B1584" s="1"/>
      <c r="H1584">
        <v>247.98</v>
      </c>
      <c r="J1584" t="s">
        <v>23</v>
      </c>
      <c r="L1584" s="1"/>
      <c r="N1584" s="1"/>
      <c r="V1584" t="str">
        <f>"35170"</f>
        <v>35170</v>
      </c>
      <c r="W1584">
        <v>0</v>
      </c>
      <c r="X1584">
        <v>0</v>
      </c>
    </row>
    <row r="1585" spans="1:24" ht="15" customHeight="1" x14ac:dyDescent="0.25">
      <c r="A1585" t="str">
        <f>""</f>
        <v/>
      </c>
      <c r="B1585" s="1"/>
      <c r="H1585">
        <v>184.19</v>
      </c>
      <c r="J1585" t="s">
        <v>20</v>
      </c>
      <c r="L1585" s="1"/>
      <c r="N1585" s="1"/>
      <c r="V1585" t="str">
        <f>"51320"</f>
        <v>51320</v>
      </c>
      <c r="W1585">
        <v>46.05</v>
      </c>
      <c r="X1585">
        <v>0</v>
      </c>
    </row>
    <row r="1586" spans="1:24" x14ac:dyDescent="0.25">
      <c r="A1586" t="str">
        <f>""</f>
        <v/>
      </c>
      <c r="B1586" s="1"/>
      <c r="H1586">
        <v>151</v>
      </c>
      <c r="J1586" t="s">
        <v>17</v>
      </c>
      <c r="L1586" s="1"/>
      <c r="N1586" s="1"/>
      <c r="V1586" t="str">
        <f>"67800"</f>
        <v>67800</v>
      </c>
      <c r="W1586">
        <v>0</v>
      </c>
      <c r="X1586">
        <v>0</v>
      </c>
    </row>
    <row r="1587" spans="1:24" ht="15" customHeight="1" x14ac:dyDescent="0.25">
      <c r="A1587" t="str">
        <f>""</f>
        <v/>
      </c>
      <c r="B1587" s="1"/>
      <c r="J1587" t="s">
        <v>20</v>
      </c>
      <c r="L1587" s="1"/>
      <c r="N1587" s="1"/>
      <c r="V1587" t="str">
        <f>"31590"</f>
        <v>31590</v>
      </c>
      <c r="W1587">
        <v>0</v>
      </c>
      <c r="X1587">
        <v>0</v>
      </c>
    </row>
    <row r="1588" spans="1:24" ht="15" customHeight="1" x14ac:dyDescent="0.25">
      <c r="A1588" t="str">
        <f>""</f>
        <v/>
      </c>
      <c r="B1588" s="1"/>
      <c r="J1588" t="s">
        <v>20</v>
      </c>
      <c r="L1588" s="1"/>
      <c r="N1588" s="1"/>
      <c r="V1588" t="str">
        <f>"44980"</f>
        <v>44980</v>
      </c>
      <c r="W1588">
        <v>0</v>
      </c>
      <c r="X1588">
        <v>0</v>
      </c>
    </row>
    <row r="1589" spans="1:24" ht="15" customHeight="1" x14ac:dyDescent="0.25">
      <c r="A1589" t="str">
        <f>""</f>
        <v/>
      </c>
      <c r="B1589" s="1"/>
      <c r="H1589">
        <v>117</v>
      </c>
      <c r="L1589" s="1"/>
      <c r="N1589" s="1"/>
      <c r="V1589" t="str">
        <f>"77184"</f>
        <v>77184</v>
      </c>
      <c r="W1589">
        <v>0</v>
      </c>
      <c r="X1589">
        <v>0</v>
      </c>
    </row>
    <row r="1590" spans="1:24" ht="15" customHeight="1" x14ac:dyDescent="0.25">
      <c r="A1590" t="str">
        <f>""</f>
        <v/>
      </c>
      <c r="B1590" s="1"/>
      <c r="H1590">
        <v>64</v>
      </c>
      <c r="J1590" t="s">
        <v>22</v>
      </c>
      <c r="L1590" s="1"/>
      <c r="N1590" s="1"/>
      <c r="V1590" t="str">
        <f>"06190"</f>
        <v>06190</v>
      </c>
      <c r="W1590">
        <v>0</v>
      </c>
      <c r="X1590">
        <v>19.2</v>
      </c>
    </row>
    <row r="1591" spans="1:24" ht="15" customHeight="1" x14ac:dyDescent="0.25">
      <c r="A1591" t="str">
        <f>""</f>
        <v/>
      </c>
      <c r="B1591" s="1"/>
      <c r="H1591">
        <v>400</v>
      </c>
      <c r="J1591" t="s">
        <v>23</v>
      </c>
      <c r="L1591" s="1"/>
      <c r="N1591" s="1"/>
      <c r="V1591" t="str">
        <f>"59491"</f>
        <v>59491</v>
      </c>
      <c r="W1591">
        <v>0</v>
      </c>
      <c r="X1591">
        <v>0</v>
      </c>
    </row>
    <row r="1592" spans="1:24" ht="15" customHeight="1" x14ac:dyDescent="0.25">
      <c r="A1592" t="str">
        <f>""</f>
        <v/>
      </c>
      <c r="B1592" s="1"/>
      <c r="H1592">
        <v>137.59</v>
      </c>
      <c r="J1592" t="s">
        <v>20</v>
      </c>
      <c r="L1592" s="1"/>
      <c r="N1592" s="1"/>
      <c r="V1592" t="str">
        <f>"75014"</f>
        <v>75014</v>
      </c>
      <c r="W1592">
        <v>0</v>
      </c>
      <c r="X1592">
        <v>0</v>
      </c>
    </row>
    <row r="1593" spans="1:24" ht="15" customHeight="1" x14ac:dyDescent="0.25">
      <c r="A1593" t="str">
        <f>""</f>
        <v/>
      </c>
      <c r="B1593" s="1"/>
      <c r="H1593">
        <v>165.98</v>
      </c>
      <c r="L1593" s="1"/>
      <c r="N1593" s="1"/>
      <c r="V1593" t="str">
        <f>"44240"</f>
        <v>44240</v>
      </c>
      <c r="W1593">
        <v>0</v>
      </c>
      <c r="X1593">
        <v>0</v>
      </c>
    </row>
    <row r="1594" spans="1:24" ht="15" customHeight="1" x14ac:dyDescent="0.25">
      <c r="A1594" t="str">
        <f>""</f>
        <v/>
      </c>
      <c r="B1594" s="1"/>
      <c r="H1594">
        <v>170.32</v>
      </c>
      <c r="L1594" s="1"/>
      <c r="N1594" s="1"/>
      <c r="V1594" t="str">
        <f>"77184"</f>
        <v>77184</v>
      </c>
      <c r="W1594">
        <v>0</v>
      </c>
      <c r="X1594">
        <v>0</v>
      </c>
    </row>
    <row r="1595" spans="1:24" x14ac:dyDescent="0.25">
      <c r="A1595" t="str">
        <f>""</f>
        <v/>
      </c>
      <c r="B1595" s="1"/>
      <c r="H1595">
        <v>180</v>
      </c>
      <c r="J1595" t="s">
        <v>16</v>
      </c>
      <c r="L1595" s="1"/>
      <c r="N1595" s="1"/>
      <c r="V1595" t="str">
        <f>"92150"</f>
        <v>92150</v>
      </c>
      <c r="W1595">
        <v>0</v>
      </c>
      <c r="X1595">
        <v>0</v>
      </c>
    </row>
    <row r="1596" spans="1:24" ht="15" customHeight="1" x14ac:dyDescent="0.25">
      <c r="A1596" t="str">
        <f>""</f>
        <v/>
      </c>
      <c r="B1596" s="1"/>
      <c r="H1596">
        <v>19.649999999999999</v>
      </c>
      <c r="J1596" t="s">
        <v>19</v>
      </c>
      <c r="L1596" s="1"/>
      <c r="N1596" s="1"/>
      <c r="V1596" t="str">
        <f>"75014"</f>
        <v>75014</v>
      </c>
      <c r="W1596">
        <v>0</v>
      </c>
      <c r="X1596">
        <v>0</v>
      </c>
    </row>
    <row r="1597" spans="1:24" ht="15" customHeight="1" x14ac:dyDescent="0.25">
      <c r="A1597" t="str">
        <f>""</f>
        <v/>
      </c>
      <c r="B1597" s="1"/>
      <c r="H1597">
        <v>153.63999999999999</v>
      </c>
      <c r="J1597" t="s">
        <v>20</v>
      </c>
      <c r="L1597" s="1"/>
      <c r="N1597" s="1"/>
      <c r="V1597" t="str">
        <f>"79000"</f>
        <v>79000</v>
      </c>
      <c r="W1597">
        <v>32.26</v>
      </c>
      <c r="X1597">
        <v>0</v>
      </c>
    </row>
    <row r="1598" spans="1:24" ht="15" customHeight="1" x14ac:dyDescent="0.25">
      <c r="A1598" t="str">
        <f>""</f>
        <v/>
      </c>
      <c r="B1598" s="1"/>
      <c r="H1598">
        <v>193.66</v>
      </c>
      <c r="J1598" t="s">
        <v>22</v>
      </c>
      <c r="L1598" s="1"/>
      <c r="V1598" t="str">
        <f>"68100"</f>
        <v>68100</v>
      </c>
      <c r="W1598">
        <v>0</v>
      </c>
      <c r="X1598">
        <v>0</v>
      </c>
    </row>
    <row r="1599" spans="1:24" ht="15" customHeight="1" x14ac:dyDescent="0.25">
      <c r="A1599" t="str">
        <f>""</f>
        <v/>
      </c>
      <c r="B1599" s="1"/>
      <c r="H1599">
        <v>19.8</v>
      </c>
      <c r="J1599" t="s">
        <v>19</v>
      </c>
      <c r="L1599" s="1"/>
      <c r="N1599" s="1"/>
      <c r="V1599" t="str">
        <f>"56330"</f>
        <v>56330</v>
      </c>
      <c r="W1599">
        <v>5.35</v>
      </c>
      <c r="X1599">
        <v>0</v>
      </c>
    </row>
    <row r="1600" spans="1:24" ht="15" customHeight="1" x14ac:dyDescent="0.25">
      <c r="A1600" t="str">
        <f>""</f>
        <v/>
      </c>
      <c r="B1600" s="1"/>
      <c r="H1600">
        <v>1.46</v>
      </c>
      <c r="J1600" t="s">
        <v>19</v>
      </c>
      <c r="L1600" s="1"/>
      <c r="N1600" s="1"/>
      <c r="V1600" t="str">
        <f>"59120"</f>
        <v>59120</v>
      </c>
      <c r="W1600">
        <v>0.28000000000000003</v>
      </c>
      <c r="X1600">
        <v>0</v>
      </c>
    </row>
    <row r="1601" spans="1:24" ht="15" customHeight="1" x14ac:dyDescent="0.25">
      <c r="A1601" t="str">
        <f>""</f>
        <v/>
      </c>
      <c r="B1601" s="1"/>
      <c r="H1601">
        <v>25.6</v>
      </c>
      <c r="L1601" s="1"/>
      <c r="N1601" s="1"/>
      <c r="V1601" t="str">
        <f>"77184"</f>
        <v>77184</v>
      </c>
      <c r="W1601">
        <v>0</v>
      </c>
      <c r="X1601">
        <v>0</v>
      </c>
    </row>
    <row r="1602" spans="1:24" x14ac:dyDescent="0.25">
      <c r="A1602" t="str">
        <f>""</f>
        <v/>
      </c>
      <c r="B1602" s="1"/>
      <c r="H1602">
        <v>70</v>
      </c>
      <c r="J1602" t="s">
        <v>15</v>
      </c>
      <c r="L1602" s="1"/>
      <c r="N1602" s="1"/>
      <c r="V1602" t="str">
        <f>"13270"</f>
        <v>13270</v>
      </c>
      <c r="W1602">
        <v>0</v>
      </c>
      <c r="X1602">
        <v>0</v>
      </c>
    </row>
    <row r="1603" spans="1:24" ht="15" customHeight="1" x14ac:dyDescent="0.25">
      <c r="A1603" t="str">
        <f>""</f>
        <v/>
      </c>
      <c r="B1603" s="1"/>
      <c r="H1603">
        <v>26.6</v>
      </c>
      <c r="L1603" s="1"/>
      <c r="N1603" s="1"/>
      <c r="V1603" t="str">
        <f>"77184"</f>
        <v>77184</v>
      </c>
      <c r="W1603">
        <v>0</v>
      </c>
      <c r="X1603">
        <v>0</v>
      </c>
    </row>
    <row r="1604" spans="1:24" ht="15" customHeight="1" x14ac:dyDescent="0.25">
      <c r="A1604" t="str">
        <f>""</f>
        <v/>
      </c>
      <c r="B1604" s="1"/>
      <c r="H1604">
        <v>33.6</v>
      </c>
      <c r="J1604" t="s">
        <v>22</v>
      </c>
      <c r="L1604" s="1"/>
      <c r="N1604" s="1"/>
      <c r="V1604" t="str">
        <f>"62000"</f>
        <v>62000</v>
      </c>
      <c r="W1604">
        <v>0</v>
      </c>
      <c r="X1604">
        <v>0</v>
      </c>
    </row>
    <row r="1605" spans="1:24" ht="15" customHeight="1" x14ac:dyDescent="0.25">
      <c r="A1605" t="str">
        <f>""</f>
        <v/>
      </c>
      <c r="B1605" s="1"/>
      <c r="H1605">
        <v>140</v>
      </c>
      <c r="J1605" t="s">
        <v>20</v>
      </c>
      <c r="L1605" s="1"/>
      <c r="N1605" s="1"/>
      <c r="V1605" t="str">
        <f>"59910"</f>
        <v>59910</v>
      </c>
      <c r="W1605">
        <v>26.6</v>
      </c>
      <c r="X1605">
        <v>0</v>
      </c>
    </row>
    <row r="1606" spans="1:24" ht="15" customHeight="1" x14ac:dyDescent="0.25">
      <c r="A1606" t="str">
        <f>""</f>
        <v/>
      </c>
      <c r="B1606" s="1"/>
      <c r="H1606">
        <v>5.12</v>
      </c>
      <c r="J1606" t="s">
        <v>19</v>
      </c>
      <c r="L1606" s="1"/>
      <c r="N1606" s="1"/>
      <c r="V1606" t="str">
        <f>"59150"</f>
        <v>59150</v>
      </c>
      <c r="W1606">
        <v>0.97</v>
      </c>
      <c r="X1606">
        <v>0</v>
      </c>
    </row>
    <row r="1607" spans="1:24" ht="15" customHeight="1" x14ac:dyDescent="0.25">
      <c r="A1607" t="str">
        <f>""</f>
        <v/>
      </c>
      <c r="B1607" s="1"/>
      <c r="H1607">
        <v>81.72</v>
      </c>
      <c r="J1607" t="s">
        <v>23</v>
      </c>
      <c r="L1607" s="1"/>
      <c r="N1607" s="1"/>
      <c r="V1607" t="str">
        <f>"94270"</f>
        <v>94270</v>
      </c>
      <c r="W1607">
        <v>0</v>
      </c>
      <c r="X1607">
        <v>0</v>
      </c>
    </row>
    <row r="1608" spans="1:24" ht="15" customHeight="1" x14ac:dyDescent="0.25">
      <c r="A1608" t="str">
        <f>""</f>
        <v/>
      </c>
      <c r="B1608" s="1"/>
      <c r="H1608">
        <v>180</v>
      </c>
      <c r="J1608" t="s">
        <v>23</v>
      </c>
      <c r="L1608" s="1"/>
      <c r="V1608" t="str">
        <f>"94000"</f>
        <v>94000</v>
      </c>
      <c r="W1608">
        <v>0</v>
      </c>
      <c r="X1608">
        <v>0</v>
      </c>
    </row>
    <row r="1609" spans="1:24" ht="15" customHeight="1" x14ac:dyDescent="0.25">
      <c r="A1609" t="str">
        <f>""</f>
        <v/>
      </c>
      <c r="B1609" s="1"/>
      <c r="H1609">
        <v>151</v>
      </c>
      <c r="J1609" t="s">
        <v>20</v>
      </c>
      <c r="L1609" s="1"/>
      <c r="N1609" s="1"/>
      <c r="V1609" t="str">
        <f>"44840"</f>
        <v>44840</v>
      </c>
      <c r="W1609">
        <v>40.770000000000003</v>
      </c>
      <c r="X1609">
        <v>0</v>
      </c>
    </row>
    <row r="1610" spans="1:24" x14ac:dyDescent="0.25">
      <c r="A1610" t="str">
        <f>""</f>
        <v/>
      </c>
      <c r="B1610" s="1"/>
      <c r="H1610">
        <v>151</v>
      </c>
      <c r="J1610" t="s">
        <v>18</v>
      </c>
      <c r="L1610" s="1"/>
      <c r="N1610" s="1"/>
      <c r="V1610" t="str">
        <f>"02240"</f>
        <v>02240</v>
      </c>
      <c r="W1610">
        <v>0</v>
      </c>
      <c r="X1610">
        <v>0</v>
      </c>
    </row>
    <row r="1611" spans="1:24" ht="15" customHeight="1" x14ac:dyDescent="0.25">
      <c r="A1611" t="str">
        <f>""</f>
        <v/>
      </c>
      <c r="B1611" s="1"/>
      <c r="H1611">
        <v>140</v>
      </c>
      <c r="J1611" t="s">
        <v>22</v>
      </c>
      <c r="L1611" s="1"/>
      <c r="N1611" s="1"/>
      <c r="V1611" t="str">
        <f>"62600"</f>
        <v>62600</v>
      </c>
      <c r="W1611">
        <v>0</v>
      </c>
      <c r="X1611">
        <v>0</v>
      </c>
    </row>
    <row r="1612" spans="1:24" x14ac:dyDescent="0.25">
      <c r="A1612" t="str">
        <f>""</f>
        <v/>
      </c>
      <c r="B1612" s="1"/>
      <c r="H1612">
        <v>33</v>
      </c>
      <c r="J1612" t="s">
        <v>16</v>
      </c>
      <c r="L1612" s="1"/>
      <c r="N1612" s="1"/>
      <c r="V1612" t="str">
        <f>"56100"</f>
        <v>56100</v>
      </c>
      <c r="W1612">
        <v>0</v>
      </c>
      <c r="X1612">
        <v>0</v>
      </c>
    </row>
    <row r="1613" spans="1:24" ht="15" customHeight="1" x14ac:dyDescent="0.25">
      <c r="A1613" t="str">
        <f>""</f>
        <v/>
      </c>
      <c r="B1613" s="1"/>
      <c r="H1613">
        <v>130.19999999999999</v>
      </c>
      <c r="J1613" t="s">
        <v>20</v>
      </c>
      <c r="L1613" s="1"/>
      <c r="N1613" s="1"/>
      <c r="V1613" t="str">
        <f>"62200"</f>
        <v>62200</v>
      </c>
      <c r="W1613">
        <v>24.74</v>
      </c>
      <c r="X1613">
        <v>0</v>
      </c>
    </row>
    <row r="1614" spans="1:24" ht="15" customHeight="1" x14ac:dyDescent="0.25">
      <c r="A1614" t="str">
        <f>""</f>
        <v/>
      </c>
      <c r="B1614" s="1"/>
      <c r="H1614">
        <v>151</v>
      </c>
      <c r="J1614" t="s">
        <v>22</v>
      </c>
      <c r="L1614" s="1"/>
      <c r="N1614" s="1"/>
      <c r="V1614" t="str">
        <f>"76290"</f>
        <v>76290</v>
      </c>
      <c r="W1614">
        <v>0</v>
      </c>
      <c r="X1614">
        <v>0</v>
      </c>
    </row>
    <row r="1615" spans="1:24" ht="15" customHeight="1" x14ac:dyDescent="0.25">
      <c r="A1615" t="str">
        <f>""</f>
        <v/>
      </c>
      <c r="B1615" s="1"/>
      <c r="H1615">
        <v>19.8</v>
      </c>
      <c r="J1615" t="s">
        <v>19</v>
      </c>
      <c r="L1615" s="1"/>
      <c r="N1615" s="1"/>
      <c r="V1615" t="str">
        <f>"62380"</f>
        <v>62380</v>
      </c>
      <c r="W1615">
        <v>3.76</v>
      </c>
      <c r="X1615">
        <v>0</v>
      </c>
    </row>
    <row r="1616" spans="1:24" ht="15" customHeight="1" x14ac:dyDescent="0.25">
      <c r="A1616" t="str">
        <f>""</f>
        <v/>
      </c>
      <c r="B1616" s="1"/>
      <c r="H1616">
        <v>50</v>
      </c>
      <c r="J1616" t="s">
        <v>22</v>
      </c>
      <c r="L1616" s="1"/>
      <c r="N1616" s="1"/>
      <c r="V1616" t="str">
        <f>"59132"</f>
        <v>59132</v>
      </c>
      <c r="W1616">
        <v>0</v>
      </c>
      <c r="X1616">
        <v>9.5</v>
      </c>
    </row>
    <row r="1617" spans="1:24" ht="15" customHeight="1" x14ac:dyDescent="0.25">
      <c r="A1617" t="str">
        <f>""</f>
        <v/>
      </c>
      <c r="B1617" s="1"/>
      <c r="H1617">
        <v>50</v>
      </c>
      <c r="J1617" t="s">
        <v>22</v>
      </c>
      <c r="L1617" s="1"/>
      <c r="N1617" s="1"/>
      <c r="V1617" t="str">
        <f>"13014"</f>
        <v>13014</v>
      </c>
      <c r="W1617">
        <v>0</v>
      </c>
      <c r="X1617">
        <v>14.5</v>
      </c>
    </row>
    <row r="1618" spans="1:24" ht="15" customHeight="1" x14ac:dyDescent="0.25">
      <c r="A1618" t="str">
        <f>""</f>
        <v/>
      </c>
      <c r="B1618" s="1"/>
      <c r="H1618">
        <v>180</v>
      </c>
      <c r="J1618" t="s">
        <v>22</v>
      </c>
      <c r="L1618" s="1"/>
      <c r="N1618" s="1"/>
      <c r="V1618" t="str">
        <f>"59000"</f>
        <v>59000</v>
      </c>
      <c r="W1618">
        <v>0</v>
      </c>
      <c r="X1618">
        <v>0</v>
      </c>
    </row>
    <row r="1619" spans="1:24" ht="15" customHeight="1" x14ac:dyDescent="0.25">
      <c r="A1619" t="str">
        <f>""</f>
        <v/>
      </c>
      <c r="B1619" s="1"/>
      <c r="H1619">
        <v>33.35</v>
      </c>
      <c r="J1619" t="s">
        <v>19</v>
      </c>
      <c r="L1619" s="1"/>
      <c r="N1619" s="1"/>
      <c r="V1619" t="str">
        <f>"69005"</f>
        <v>69005</v>
      </c>
      <c r="W1619">
        <v>9</v>
      </c>
      <c r="X1619">
        <v>0</v>
      </c>
    </row>
    <row r="1620" spans="1:24" ht="15" customHeight="1" x14ac:dyDescent="0.25">
      <c r="A1620" t="str">
        <f>""</f>
        <v/>
      </c>
      <c r="B1620" s="1"/>
      <c r="H1620">
        <v>33.35</v>
      </c>
      <c r="J1620" t="s">
        <v>19</v>
      </c>
      <c r="L1620" s="1"/>
      <c r="N1620" s="1"/>
      <c r="V1620" t="str">
        <f>"69005"</f>
        <v>69005</v>
      </c>
      <c r="W1620">
        <v>9</v>
      </c>
      <c r="X1620">
        <v>0</v>
      </c>
    </row>
    <row r="1621" spans="1:24" ht="15" customHeight="1" x14ac:dyDescent="0.25">
      <c r="A1621" t="str">
        <f>""</f>
        <v/>
      </c>
      <c r="B1621" s="1"/>
      <c r="H1621">
        <v>70</v>
      </c>
      <c r="J1621" t="s">
        <v>23</v>
      </c>
      <c r="L1621" s="1"/>
      <c r="N1621" s="1"/>
      <c r="V1621" t="str">
        <f>"39000"</f>
        <v>39000</v>
      </c>
      <c r="W1621">
        <v>0</v>
      </c>
      <c r="X1621">
        <v>0</v>
      </c>
    </row>
    <row r="1622" spans="1:24" ht="15" customHeight="1" x14ac:dyDescent="0.25">
      <c r="A1622" t="str">
        <f>""</f>
        <v/>
      </c>
      <c r="B1622" s="1"/>
      <c r="H1622">
        <v>131.97999999999999</v>
      </c>
      <c r="J1622" t="s">
        <v>20</v>
      </c>
      <c r="L1622" s="1"/>
      <c r="N1622" s="1"/>
      <c r="V1622" t="str">
        <f>"17100"</f>
        <v>17100</v>
      </c>
      <c r="W1622">
        <v>27.72</v>
      </c>
      <c r="X1622">
        <v>0</v>
      </c>
    </row>
    <row r="1623" spans="1:24" ht="15" customHeight="1" x14ac:dyDescent="0.25">
      <c r="A1623" t="str">
        <f>""</f>
        <v/>
      </c>
      <c r="B1623" s="1"/>
      <c r="H1623">
        <v>220</v>
      </c>
      <c r="J1623" t="s">
        <v>22</v>
      </c>
      <c r="L1623" s="1"/>
      <c r="N1623" s="1"/>
      <c r="V1623" t="str">
        <f>"75008"</f>
        <v>75008</v>
      </c>
      <c r="W1623">
        <v>0</v>
      </c>
      <c r="X1623">
        <v>0</v>
      </c>
    </row>
    <row r="1624" spans="1:24" ht="15" customHeight="1" x14ac:dyDescent="0.25">
      <c r="A1624" t="str">
        <f>""</f>
        <v/>
      </c>
      <c r="B1624" s="1"/>
      <c r="H1624">
        <v>29.59</v>
      </c>
      <c r="J1624" t="s">
        <v>22</v>
      </c>
      <c r="L1624" s="1"/>
      <c r="N1624" s="1"/>
      <c r="V1624" t="str">
        <f>"69006"</f>
        <v>69006</v>
      </c>
      <c r="W1624">
        <v>0</v>
      </c>
      <c r="X1624">
        <v>0</v>
      </c>
    </row>
    <row r="1625" spans="1:24" x14ac:dyDescent="0.25">
      <c r="A1625" t="str">
        <f>""</f>
        <v/>
      </c>
      <c r="B1625" s="1"/>
      <c r="H1625">
        <v>69.540000000000006</v>
      </c>
      <c r="J1625" t="s">
        <v>17</v>
      </c>
      <c r="L1625" s="1"/>
      <c r="N1625" s="1"/>
      <c r="V1625" t="str">
        <f>"14000"</f>
        <v>14000</v>
      </c>
      <c r="W1625">
        <v>0</v>
      </c>
      <c r="X1625">
        <v>0</v>
      </c>
    </row>
    <row r="1626" spans="1:24" x14ac:dyDescent="0.25">
      <c r="A1626" t="str">
        <f>""</f>
        <v/>
      </c>
      <c r="B1626" s="1"/>
      <c r="H1626">
        <v>53.2</v>
      </c>
      <c r="J1626" t="s">
        <v>17</v>
      </c>
      <c r="L1626" s="1"/>
      <c r="N1626" s="1"/>
      <c r="V1626" t="str">
        <f>"92200"</f>
        <v>92200</v>
      </c>
      <c r="W1626">
        <v>0</v>
      </c>
      <c r="X1626">
        <v>0</v>
      </c>
    </row>
    <row r="1627" spans="1:24" x14ac:dyDescent="0.25">
      <c r="A1627" t="str">
        <f>""</f>
        <v/>
      </c>
      <c r="B1627" s="1"/>
      <c r="H1627">
        <v>67.599999999999994</v>
      </c>
      <c r="J1627" t="s">
        <v>16</v>
      </c>
      <c r="L1627" s="1"/>
      <c r="N1627" s="1"/>
      <c r="V1627" t="str">
        <f>"37700"</f>
        <v>37700</v>
      </c>
      <c r="W1627">
        <v>0</v>
      </c>
      <c r="X1627">
        <v>0</v>
      </c>
    </row>
    <row r="1628" spans="1:24" ht="15" customHeight="1" x14ac:dyDescent="0.25">
      <c r="A1628" t="str">
        <f>""</f>
        <v/>
      </c>
      <c r="B1628" s="1"/>
      <c r="H1628">
        <v>140</v>
      </c>
      <c r="J1628" t="s">
        <v>23</v>
      </c>
      <c r="L1628" s="1"/>
      <c r="V1628" t="str">
        <f>"08600"</f>
        <v>08600</v>
      </c>
      <c r="W1628">
        <v>0</v>
      </c>
      <c r="X1628">
        <v>0</v>
      </c>
    </row>
    <row r="1629" spans="1:24" ht="15" customHeight="1" x14ac:dyDescent="0.25">
      <c r="A1629" t="str">
        <f>""</f>
        <v/>
      </c>
      <c r="B1629" s="1"/>
      <c r="J1629" t="s">
        <v>8</v>
      </c>
      <c r="V1629" t="str">
        <f>""</f>
        <v/>
      </c>
      <c r="W1629">
        <v>0</v>
      </c>
      <c r="X1629">
        <v>0</v>
      </c>
    </row>
    <row r="1630" spans="1:24" ht="15" customHeight="1" x14ac:dyDescent="0.25">
      <c r="A1630" t="str">
        <f>""</f>
        <v/>
      </c>
      <c r="B1630" s="1"/>
      <c r="H1630">
        <v>70</v>
      </c>
      <c r="J1630" t="s">
        <v>23</v>
      </c>
      <c r="L1630" s="1"/>
      <c r="V1630" t="str">
        <f>"83320"</f>
        <v>83320</v>
      </c>
      <c r="W1630">
        <v>0</v>
      </c>
      <c r="X1630">
        <v>0</v>
      </c>
    </row>
    <row r="1631" spans="1:24" ht="15" customHeight="1" x14ac:dyDescent="0.25">
      <c r="A1631" t="str">
        <f>""</f>
        <v/>
      </c>
      <c r="B1631" s="1"/>
      <c r="H1631">
        <v>132.47999999999999</v>
      </c>
      <c r="J1631" t="s">
        <v>20</v>
      </c>
      <c r="L1631" s="1"/>
      <c r="N1631" s="1"/>
      <c r="V1631" t="str">
        <f>"50400"</f>
        <v>50400</v>
      </c>
      <c r="W1631">
        <v>22.52</v>
      </c>
      <c r="X1631">
        <v>0</v>
      </c>
    </row>
    <row r="1632" spans="1:24" ht="15" customHeight="1" x14ac:dyDescent="0.25">
      <c r="A1632" t="str">
        <f>""</f>
        <v/>
      </c>
      <c r="B1632" s="1"/>
      <c r="H1632">
        <v>140</v>
      </c>
      <c r="J1632" t="s">
        <v>23</v>
      </c>
      <c r="L1632" s="1"/>
      <c r="N1632" s="1"/>
      <c r="V1632" t="str">
        <f>"45140"</f>
        <v>45140</v>
      </c>
      <c r="W1632">
        <v>0</v>
      </c>
      <c r="X1632">
        <v>0</v>
      </c>
    </row>
    <row r="1633" spans="1:24" ht="15" customHeight="1" x14ac:dyDescent="0.25">
      <c r="A1633" t="str">
        <f>""</f>
        <v/>
      </c>
      <c r="B1633" s="1"/>
      <c r="H1633">
        <v>80</v>
      </c>
      <c r="J1633" t="s">
        <v>23</v>
      </c>
      <c r="L1633" s="1"/>
      <c r="V1633" t="str">
        <f>"91090"</f>
        <v>91090</v>
      </c>
      <c r="W1633">
        <v>0</v>
      </c>
      <c r="X1633">
        <v>0</v>
      </c>
    </row>
    <row r="1634" spans="1:24" ht="15" customHeight="1" x14ac:dyDescent="0.25">
      <c r="A1634" t="str">
        <f>""</f>
        <v/>
      </c>
      <c r="B1634" s="1"/>
      <c r="H1634">
        <v>76</v>
      </c>
      <c r="J1634" t="s">
        <v>22</v>
      </c>
      <c r="L1634" s="1"/>
      <c r="V1634" t="str">
        <f>"70000"</f>
        <v>70000</v>
      </c>
      <c r="W1634">
        <v>0</v>
      </c>
      <c r="X1634">
        <v>0</v>
      </c>
    </row>
    <row r="1635" spans="1:24" ht="15" customHeight="1" x14ac:dyDescent="0.25">
      <c r="A1635" t="str">
        <f>""</f>
        <v/>
      </c>
      <c r="B1635" s="1"/>
      <c r="H1635">
        <v>151</v>
      </c>
      <c r="J1635" t="s">
        <v>22</v>
      </c>
      <c r="L1635" s="1"/>
      <c r="N1635" s="1"/>
      <c r="V1635" t="str">
        <f>"06690"</f>
        <v>06690</v>
      </c>
      <c r="W1635">
        <v>0</v>
      </c>
      <c r="X1635">
        <v>0</v>
      </c>
    </row>
    <row r="1636" spans="1:24" x14ac:dyDescent="0.25">
      <c r="A1636" t="str">
        <f>""</f>
        <v/>
      </c>
      <c r="B1636" s="1"/>
      <c r="H1636">
        <v>52.5</v>
      </c>
      <c r="J1636" t="s">
        <v>15</v>
      </c>
      <c r="L1636" s="1"/>
      <c r="N1636" s="1"/>
      <c r="V1636" t="str">
        <f>"13015"</f>
        <v>13015</v>
      </c>
      <c r="W1636">
        <v>0</v>
      </c>
      <c r="X1636">
        <v>0</v>
      </c>
    </row>
    <row r="1637" spans="1:24" ht="15" customHeight="1" x14ac:dyDescent="0.25">
      <c r="A1637" t="str">
        <f>""</f>
        <v/>
      </c>
      <c r="B1637" s="1"/>
      <c r="H1637">
        <v>19.649999999999999</v>
      </c>
      <c r="J1637" t="s">
        <v>19</v>
      </c>
      <c r="L1637" s="1"/>
      <c r="N1637" s="1"/>
      <c r="V1637" t="str">
        <f>"38110"</f>
        <v>38110</v>
      </c>
      <c r="W1637">
        <v>5.31</v>
      </c>
      <c r="X1637">
        <v>0</v>
      </c>
    </row>
    <row r="1638" spans="1:24" x14ac:dyDescent="0.25">
      <c r="A1638" t="str">
        <f>""</f>
        <v/>
      </c>
      <c r="B1638" s="1"/>
      <c r="H1638">
        <v>70</v>
      </c>
      <c r="J1638" t="s">
        <v>16</v>
      </c>
      <c r="L1638" s="1"/>
      <c r="N1638" s="1"/>
      <c r="V1638" t="str">
        <f>"37210"</f>
        <v>37210</v>
      </c>
      <c r="W1638">
        <v>14.7</v>
      </c>
      <c r="X1638">
        <v>0</v>
      </c>
    </row>
    <row r="1639" spans="1:24" ht="15" customHeight="1" x14ac:dyDescent="0.25">
      <c r="A1639" t="str">
        <f>""</f>
        <v/>
      </c>
      <c r="B1639" s="1"/>
      <c r="H1639">
        <v>147.13</v>
      </c>
      <c r="J1639" t="s">
        <v>23</v>
      </c>
      <c r="L1639" s="1"/>
      <c r="N1639" s="1"/>
      <c r="V1639" t="str">
        <f>"44350"</f>
        <v>44350</v>
      </c>
      <c r="W1639">
        <v>0</v>
      </c>
      <c r="X1639">
        <v>39.729999999999997</v>
      </c>
    </row>
    <row r="1640" spans="1:24" ht="15" customHeight="1" x14ac:dyDescent="0.25">
      <c r="A1640" t="str">
        <f>""</f>
        <v/>
      </c>
      <c r="B1640" s="1"/>
      <c r="H1640">
        <v>180</v>
      </c>
      <c r="J1640" t="s">
        <v>23</v>
      </c>
      <c r="L1640" s="1"/>
      <c r="N1640" s="1"/>
      <c r="V1640" t="str">
        <f>"62320"</f>
        <v>62320</v>
      </c>
      <c r="W1640">
        <v>0</v>
      </c>
      <c r="X1640">
        <v>0</v>
      </c>
    </row>
    <row r="1641" spans="1:24" ht="15" customHeight="1" x14ac:dyDescent="0.25">
      <c r="A1641" t="str">
        <f>""</f>
        <v/>
      </c>
      <c r="B1641" s="1"/>
      <c r="H1641">
        <v>243.02</v>
      </c>
      <c r="J1641" t="s">
        <v>22</v>
      </c>
      <c r="L1641" s="1"/>
      <c r="N1641" s="1"/>
      <c r="V1641" t="str">
        <f>"62320"</f>
        <v>62320</v>
      </c>
      <c r="W1641">
        <v>0</v>
      </c>
      <c r="X1641">
        <v>0</v>
      </c>
    </row>
    <row r="1642" spans="1:24" ht="15" customHeight="1" x14ac:dyDescent="0.25">
      <c r="A1642" t="str">
        <f>""</f>
        <v/>
      </c>
      <c r="B1642" s="1"/>
      <c r="H1642">
        <v>151</v>
      </c>
      <c r="J1642" t="s">
        <v>22</v>
      </c>
      <c r="L1642" s="1"/>
      <c r="N1642" s="1"/>
      <c r="V1642" t="str">
        <f>"06560"</f>
        <v>06560</v>
      </c>
      <c r="W1642">
        <v>0</v>
      </c>
      <c r="X1642">
        <v>0</v>
      </c>
    </row>
    <row r="1643" spans="1:24" ht="15" customHeight="1" x14ac:dyDescent="0.25">
      <c r="A1643" t="str">
        <f>""</f>
        <v/>
      </c>
      <c r="B1643" s="1"/>
      <c r="H1643">
        <v>151</v>
      </c>
      <c r="J1643" t="s">
        <v>22</v>
      </c>
      <c r="L1643" s="1"/>
      <c r="N1643" s="1"/>
      <c r="V1643" t="str">
        <f>"06560"</f>
        <v>06560</v>
      </c>
      <c r="W1643">
        <v>0</v>
      </c>
      <c r="X1643">
        <v>0</v>
      </c>
    </row>
    <row r="1644" spans="1:24" ht="15" customHeight="1" x14ac:dyDescent="0.25">
      <c r="A1644" t="str">
        <f>""</f>
        <v/>
      </c>
      <c r="B1644" s="1"/>
      <c r="H1644">
        <v>180</v>
      </c>
      <c r="J1644" t="s">
        <v>22</v>
      </c>
      <c r="L1644" s="1"/>
      <c r="N1644" s="1"/>
      <c r="V1644" t="str">
        <f>"50300"</f>
        <v>50300</v>
      </c>
      <c r="W1644">
        <v>0</v>
      </c>
      <c r="X1644">
        <v>30.6</v>
      </c>
    </row>
    <row r="1645" spans="1:24" ht="15" customHeight="1" x14ac:dyDescent="0.25">
      <c r="A1645" t="str">
        <f>""</f>
        <v/>
      </c>
      <c r="B1645" s="1"/>
      <c r="H1645">
        <v>180</v>
      </c>
      <c r="J1645" t="s">
        <v>23</v>
      </c>
      <c r="L1645" s="1"/>
      <c r="N1645" s="1"/>
      <c r="V1645" t="str">
        <f>"53100"</f>
        <v>53100</v>
      </c>
      <c r="W1645">
        <v>0</v>
      </c>
      <c r="X1645">
        <v>0</v>
      </c>
    </row>
    <row r="1646" spans="1:24" ht="15" customHeight="1" x14ac:dyDescent="0.25">
      <c r="A1646" t="str">
        <f>""</f>
        <v/>
      </c>
      <c r="B1646" s="1"/>
      <c r="H1646">
        <v>151</v>
      </c>
      <c r="J1646" t="s">
        <v>22</v>
      </c>
      <c r="L1646" s="1"/>
      <c r="N1646" s="1"/>
      <c r="V1646" t="str">
        <f>"53000"</f>
        <v>53000</v>
      </c>
      <c r="W1646">
        <v>0</v>
      </c>
      <c r="X1646">
        <v>0</v>
      </c>
    </row>
    <row r="1647" spans="1:24" ht="15" customHeight="1" x14ac:dyDescent="0.25">
      <c r="A1647" t="str">
        <f>""</f>
        <v/>
      </c>
      <c r="B1647" s="1"/>
      <c r="H1647">
        <v>40</v>
      </c>
      <c r="J1647" t="s">
        <v>23</v>
      </c>
      <c r="L1647" s="1"/>
      <c r="N1647" s="1"/>
      <c r="V1647" t="str">
        <f>"13013"</f>
        <v>13013</v>
      </c>
      <c r="W1647">
        <v>0</v>
      </c>
      <c r="X1647">
        <v>7.6</v>
      </c>
    </row>
    <row r="1648" spans="1:24" x14ac:dyDescent="0.25">
      <c r="A1648" t="str">
        <f>""</f>
        <v/>
      </c>
      <c r="B1648" s="1"/>
      <c r="H1648">
        <v>124.8</v>
      </c>
      <c r="J1648" t="s">
        <v>16</v>
      </c>
      <c r="L1648" s="1"/>
      <c r="N1648" s="1"/>
      <c r="V1648" t="str">
        <f>"59800"</f>
        <v>59800</v>
      </c>
      <c r="W1648">
        <v>23.71</v>
      </c>
      <c r="X1648">
        <v>0</v>
      </c>
    </row>
    <row r="1649" spans="1:24" ht="15" customHeight="1" x14ac:dyDescent="0.25">
      <c r="A1649" t="str">
        <f>""</f>
        <v/>
      </c>
      <c r="B1649" s="1"/>
      <c r="H1649">
        <v>151</v>
      </c>
      <c r="J1649" t="s">
        <v>20</v>
      </c>
      <c r="L1649" s="1"/>
      <c r="N1649" s="1"/>
      <c r="V1649" t="str">
        <f>"78280"</f>
        <v>78280</v>
      </c>
      <c r="W1649">
        <v>0</v>
      </c>
      <c r="X1649">
        <v>0</v>
      </c>
    </row>
    <row r="1650" spans="1:24" ht="15" customHeight="1" x14ac:dyDescent="0.25">
      <c r="A1650" t="str">
        <f>""</f>
        <v/>
      </c>
      <c r="B1650" s="1"/>
      <c r="H1650">
        <v>140</v>
      </c>
      <c r="J1650" t="s">
        <v>22</v>
      </c>
      <c r="L1650" s="1"/>
      <c r="N1650" s="1"/>
      <c r="V1650" t="str">
        <f>"62600"</f>
        <v>62600</v>
      </c>
      <c r="W1650">
        <v>0</v>
      </c>
      <c r="X1650">
        <v>0</v>
      </c>
    </row>
    <row r="1651" spans="1:24" ht="15" customHeight="1" x14ac:dyDescent="0.25">
      <c r="A1651" t="str">
        <f>""</f>
        <v/>
      </c>
      <c r="B1651" s="1"/>
      <c r="H1651">
        <v>40</v>
      </c>
      <c r="J1651" t="s">
        <v>23</v>
      </c>
      <c r="L1651" s="1"/>
      <c r="N1651" s="1"/>
      <c r="V1651" t="str">
        <f>"62270"</f>
        <v>62270</v>
      </c>
      <c r="W1651">
        <v>0</v>
      </c>
      <c r="X1651">
        <v>0</v>
      </c>
    </row>
    <row r="1652" spans="1:24" x14ac:dyDescent="0.25">
      <c r="A1652" t="str">
        <f>""</f>
        <v/>
      </c>
      <c r="B1652" s="1"/>
      <c r="H1652">
        <v>140</v>
      </c>
      <c r="J1652" t="s">
        <v>16</v>
      </c>
      <c r="L1652" s="1"/>
      <c r="V1652" t="str">
        <f>"91090"</f>
        <v>91090</v>
      </c>
      <c r="W1652">
        <v>0</v>
      </c>
      <c r="X1652">
        <v>0</v>
      </c>
    </row>
    <row r="1653" spans="1:24" ht="15" customHeight="1" x14ac:dyDescent="0.25">
      <c r="A1653" t="str">
        <f>""</f>
        <v/>
      </c>
      <c r="B1653" s="1"/>
      <c r="H1653">
        <v>15</v>
      </c>
      <c r="L1653" s="1"/>
      <c r="N1653" s="1"/>
      <c r="V1653" t="str">
        <f>"77184"</f>
        <v>77184</v>
      </c>
      <c r="W1653">
        <v>0</v>
      </c>
      <c r="X1653">
        <v>0</v>
      </c>
    </row>
    <row r="1654" spans="1:24" ht="15" customHeight="1" x14ac:dyDescent="0.25">
      <c r="A1654" t="str">
        <f>""</f>
        <v/>
      </c>
      <c r="B1654" s="1"/>
      <c r="H1654">
        <v>171</v>
      </c>
      <c r="L1654" s="1"/>
      <c r="N1654" s="1"/>
      <c r="V1654" t="str">
        <f>"77184"</f>
        <v>77184</v>
      </c>
      <c r="W1654">
        <v>0</v>
      </c>
      <c r="X1654">
        <v>0</v>
      </c>
    </row>
    <row r="1655" spans="1:24" x14ac:dyDescent="0.25">
      <c r="A1655" t="str">
        <f>""</f>
        <v/>
      </c>
      <c r="B1655" s="1"/>
      <c r="H1655">
        <v>145.97999999999999</v>
      </c>
      <c r="J1655" t="s">
        <v>18</v>
      </c>
      <c r="L1655" s="1"/>
      <c r="N1655" s="1"/>
      <c r="V1655" t="str">
        <f>"94260"</f>
        <v>94260</v>
      </c>
      <c r="W1655">
        <v>0</v>
      </c>
      <c r="X1655">
        <v>0</v>
      </c>
    </row>
    <row r="1656" spans="1:24" ht="15" customHeight="1" x14ac:dyDescent="0.25">
      <c r="A1656" t="str">
        <f>""</f>
        <v/>
      </c>
      <c r="B1656" s="1"/>
      <c r="H1656">
        <v>149.79</v>
      </c>
      <c r="J1656" t="s">
        <v>20</v>
      </c>
      <c r="L1656" s="1"/>
      <c r="N1656" s="1"/>
      <c r="V1656" t="str">
        <f>"34500"</f>
        <v>34500</v>
      </c>
      <c r="W1656">
        <v>0</v>
      </c>
      <c r="X1656">
        <v>0</v>
      </c>
    </row>
    <row r="1657" spans="1:24" ht="15" customHeight="1" x14ac:dyDescent="0.25">
      <c r="A1657" t="str">
        <f>""</f>
        <v/>
      </c>
      <c r="B1657" s="1"/>
      <c r="H1657">
        <v>120.85</v>
      </c>
      <c r="J1657" t="s">
        <v>19</v>
      </c>
      <c r="L1657" s="1"/>
      <c r="N1657" s="1"/>
      <c r="V1657" t="str">
        <f>"13880"</f>
        <v>13880</v>
      </c>
      <c r="W1657">
        <v>35.049999999999997</v>
      </c>
      <c r="X1657">
        <v>0</v>
      </c>
    </row>
    <row r="1658" spans="1:24" ht="15" customHeight="1" x14ac:dyDescent="0.25">
      <c r="A1658" t="str">
        <f>""</f>
        <v/>
      </c>
      <c r="B1658" s="1"/>
      <c r="H1658">
        <v>90</v>
      </c>
      <c r="J1658" t="s">
        <v>23</v>
      </c>
      <c r="L1658" s="1"/>
      <c r="V1658" t="str">
        <f>"91090"</f>
        <v>91090</v>
      </c>
      <c r="W1658">
        <v>0</v>
      </c>
      <c r="X1658">
        <v>0</v>
      </c>
    </row>
    <row r="1659" spans="1:24" ht="15" customHeight="1" x14ac:dyDescent="0.25">
      <c r="A1659" t="str">
        <f>""</f>
        <v/>
      </c>
      <c r="B1659" s="1"/>
      <c r="H1659">
        <v>40</v>
      </c>
      <c r="J1659" t="s">
        <v>19</v>
      </c>
      <c r="L1659" s="1"/>
      <c r="N1659" s="1"/>
      <c r="V1659" t="str">
        <f>"67320"</f>
        <v>67320</v>
      </c>
      <c r="W1659">
        <v>11.6</v>
      </c>
      <c r="X1659">
        <v>0</v>
      </c>
    </row>
    <row r="1660" spans="1:24" ht="15" customHeight="1" x14ac:dyDescent="0.25">
      <c r="A1660" t="str">
        <f>""</f>
        <v/>
      </c>
      <c r="B1660" s="1"/>
      <c r="H1660">
        <v>19.649999999999999</v>
      </c>
      <c r="J1660" t="s">
        <v>19</v>
      </c>
      <c r="L1660" s="1"/>
      <c r="N1660" s="1"/>
      <c r="V1660" t="str">
        <f>"75014"</f>
        <v>75014</v>
      </c>
      <c r="W1660">
        <v>0</v>
      </c>
      <c r="X1660">
        <v>0</v>
      </c>
    </row>
    <row r="1661" spans="1:24" ht="15" customHeight="1" x14ac:dyDescent="0.25">
      <c r="A1661" t="str">
        <f>""</f>
        <v/>
      </c>
      <c r="B1661" s="1"/>
      <c r="H1661">
        <v>150</v>
      </c>
      <c r="J1661" t="s">
        <v>22</v>
      </c>
      <c r="L1661" s="1"/>
      <c r="N1661" s="1"/>
      <c r="V1661" t="str">
        <f>"75018"</f>
        <v>75018</v>
      </c>
      <c r="W1661">
        <v>0</v>
      </c>
      <c r="X1661">
        <v>0</v>
      </c>
    </row>
    <row r="1662" spans="1:24" ht="15" customHeight="1" x14ac:dyDescent="0.25">
      <c r="A1662" t="str">
        <f>""</f>
        <v/>
      </c>
      <c r="B1662" s="1"/>
      <c r="H1662">
        <v>28.26</v>
      </c>
      <c r="J1662" t="s">
        <v>19</v>
      </c>
      <c r="L1662" s="1"/>
      <c r="N1662" s="1"/>
      <c r="V1662" t="str">
        <f>"77290"</f>
        <v>77290</v>
      </c>
      <c r="W1662">
        <v>0</v>
      </c>
      <c r="X1662">
        <v>0</v>
      </c>
    </row>
    <row r="1663" spans="1:24" ht="15" customHeight="1" x14ac:dyDescent="0.25">
      <c r="A1663" t="str">
        <f>""</f>
        <v/>
      </c>
      <c r="B1663" s="1"/>
      <c r="H1663">
        <v>36.85</v>
      </c>
      <c r="J1663" t="s">
        <v>19</v>
      </c>
      <c r="L1663" s="1"/>
      <c r="N1663" s="1"/>
      <c r="V1663" t="str">
        <f>"95240"</f>
        <v>95240</v>
      </c>
      <c r="W1663">
        <v>0</v>
      </c>
      <c r="X1663">
        <v>0</v>
      </c>
    </row>
    <row r="1664" spans="1:24" ht="15" customHeight="1" x14ac:dyDescent="0.25">
      <c r="A1664" t="str">
        <f>""</f>
        <v/>
      </c>
      <c r="B1664" s="1"/>
      <c r="H1664">
        <v>40</v>
      </c>
      <c r="J1664" t="s">
        <v>22</v>
      </c>
      <c r="L1664" s="1"/>
      <c r="N1664" s="1"/>
      <c r="V1664" t="str">
        <f>"54000"</f>
        <v>54000</v>
      </c>
      <c r="W1664">
        <v>0</v>
      </c>
      <c r="X1664">
        <v>0</v>
      </c>
    </row>
    <row r="1665" spans="1:24" ht="15" customHeight="1" x14ac:dyDescent="0.25">
      <c r="A1665" t="str">
        <f>""</f>
        <v/>
      </c>
      <c r="B1665" s="1"/>
      <c r="H1665">
        <v>151</v>
      </c>
      <c r="J1665" t="s">
        <v>19</v>
      </c>
      <c r="L1665" s="1"/>
      <c r="N1665" s="1"/>
      <c r="V1665" t="str">
        <f>"29800"</f>
        <v>29800</v>
      </c>
      <c r="W1665">
        <v>58.89</v>
      </c>
      <c r="X1665">
        <v>0</v>
      </c>
    </row>
    <row r="1666" spans="1:24" ht="15" customHeight="1" x14ac:dyDescent="0.25">
      <c r="A1666" t="str">
        <f>""</f>
        <v/>
      </c>
      <c r="B1666" s="1"/>
      <c r="H1666">
        <v>100.42</v>
      </c>
      <c r="J1666" t="s">
        <v>20</v>
      </c>
      <c r="L1666" s="1"/>
      <c r="N1666" s="1"/>
      <c r="V1666" t="str">
        <f>"19100"</f>
        <v>19100</v>
      </c>
      <c r="W1666">
        <v>29.12</v>
      </c>
      <c r="X1666">
        <v>0</v>
      </c>
    </row>
    <row r="1667" spans="1:24" ht="15" customHeight="1" x14ac:dyDescent="0.25">
      <c r="A1667" t="str">
        <f>""</f>
        <v/>
      </c>
      <c r="B1667" s="1"/>
      <c r="H1667">
        <v>164.8</v>
      </c>
      <c r="J1667" t="s">
        <v>22</v>
      </c>
      <c r="L1667" s="1"/>
      <c r="N1667" s="1"/>
      <c r="V1667" t="str">
        <f>"59260"</f>
        <v>59260</v>
      </c>
      <c r="W1667">
        <v>0</v>
      </c>
      <c r="X1667">
        <v>0</v>
      </c>
    </row>
    <row r="1668" spans="1:24" ht="15" customHeight="1" x14ac:dyDescent="0.25">
      <c r="A1668" t="str">
        <f>""</f>
        <v/>
      </c>
      <c r="B1668" s="1"/>
      <c r="H1668">
        <v>375.5</v>
      </c>
      <c r="L1668" s="1"/>
      <c r="N1668" s="1"/>
      <c r="V1668" t="str">
        <f>"77184"</f>
        <v>77184</v>
      </c>
      <c r="W1668">
        <v>0</v>
      </c>
      <c r="X1668">
        <v>0</v>
      </c>
    </row>
    <row r="1669" spans="1:24" ht="15" customHeight="1" x14ac:dyDescent="0.25">
      <c r="A1669" t="str">
        <f>""</f>
        <v/>
      </c>
      <c r="B1669" s="1"/>
      <c r="H1669">
        <v>668</v>
      </c>
      <c r="J1669" t="s">
        <v>23</v>
      </c>
      <c r="L1669" s="1"/>
      <c r="N1669" s="1"/>
      <c r="V1669" t="str">
        <f>"59000"</f>
        <v>59000</v>
      </c>
      <c r="W1669">
        <v>0</v>
      </c>
      <c r="X1669">
        <v>0</v>
      </c>
    </row>
    <row r="1670" spans="1:24" ht="15" customHeight="1" x14ac:dyDescent="0.25">
      <c r="A1670" t="str">
        <f>""</f>
        <v/>
      </c>
      <c r="B1670" s="1"/>
      <c r="H1670">
        <v>215.02</v>
      </c>
      <c r="J1670" t="s">
        <v>23</v>
      </c>
      <c r="L1670" s="1"/>
      <c r="N1670" s="1"/>
      <c r="V1670" t="str">
        <f>"69150"</f>
        <v>69150</v>
      </c>
      <c r="W1670">
        <v>0</v>
      </c>
      <c r="X1670">
        <v>0</v>
      </c>
    </row>
    <row r="1671" spans="1:24" ht="15" customHeight="1" x14ac:dyDescent="0.25">
      <c r="A1671" t="str">
        <f>""</f>
        <v/>
      </c>
      <c r="B1671" s="1"/>
      <c r="H1671">
        <v>194</v>
      </c>
      <c r="L1671" s="1"/>
      <c r="N1671" s="1"/>
      <c r="V1671" t="str">
        <f>"77184"</f>
        <v>77184</v>
      </c>
      <c r="W1671">
        <v>0</v>
      </c>
      <c r="X1671">
        <v>0</v>
      </c>
    </row>
    <row r="1672" spans="1:24" ht="15" customHeight="1" x14ac:dyDescent="0.25">
      <c r="A1672" t="str">
        <f>""</f>
        <v/>
      </c>
      <c r="B1672" s="1"/>
      <c r="H1672">
        <v>151</v>
      </c>
      <c r="J1672" t="s">
        <v>22</v>
      </c>
      <c r="L1672" s="1"/>
      <c r="N1672" s="1"/>
      <c r="V1672" t="str">
        <f>"67230"</f>
        <v>67230</v>
      </c>
      <c r="W1672">
        <v>0</v>
      </c>
      <c r="X1672">
        <v>12.08</v>
      </c>
    </row>
    <row r="1673" spans="1:24" ht="15" customHeight="1" x14ac:dyDescent="0.25">
      <c r="A1673" t="str">
        <f>""</f>
        <v/>
      </c>
      <c r="B1673" s="1"/>
      <c r="H1673">
        <v>151</v>
      </c>
      <c r="J1673" t="s">
        <v>23</v>
      </c>
      <c r="L1673" s="1"/>
      <c r="N1673" s="1"/>
      <c r="V1673" t="str">
        <f>"67230"</f>
        <v>67230</v>
      </c>
      <c r="W1673">
        <v>0</v>
      </c>
      <c r="X1673">
        <v>12.08</v>
      </c>
    </row>
    <row r="1674" spans="1:24" ht="15" customHeight="1" x14ac:dyDescent="0.25">
      <c r="A1674" t="str">
        <f>""</f>
        <v/>
      </c>
      <c r="B1674" s="1"/>
      <c r="H1674">
        <v>58.35</v>
      </c>
      <c r="J1674" t="s">
        <v>20</v>
      </c>
      <c r="L1674" s="1"/>
      <c r="N1674" s="1"/>
      <c r="V1674" t="str">
        <f>"12033"</f>
        <v>12033</v>
      </c>
      <c r="W1674">
        <v>12.84</v>
      </c>
      <c r="X1674">
        <v>0</v>
      </c>
    </row>
    <row r="1675" spans="1:24" ht="15" customHeight="1" x14ac:dyDescent="0.25">
      <c r="A1675" t="str">
        <f>""</f>
        <v/>
      </c>
      <c r="B1675" s="1"/>
      <c r="H1675">
        <v>53.82</v>
      </c>
      <c r="J1675" t="s">
        <v>19</v>
      </c>
      <c r="L1675" s="1"/>
      <c r="N1675" s="1"/>
      <c r="V1675" t="str">
        <f>"78190"</f>
        <v>78190</v>
      </c>
      <c r="W1675">
        <v>0</v>
      </c>
      <c r="X1675">
        <v>0</v>
      </c>
    </row>
    <row r="1676" spans="1:24" x14ac:dyDescent="0.25">
      <c r="A1676" t="str">
        <f>""</f>
        <v/>
      </c>
      <c r="B1676" s="1"/>
      <c r="H1676">
        <v>433.19</v>
      </c>
      <c r="J1676" t="s">
        <v>18</v>
      </c>
      <c r="L1676" s="1"/>
      <c r="N1676" s="1"/>
      <c r="V1676" t="str">
        <f>"34400"</f>
        <v>34400</v>
      </c>
      <c r="W1676">
        <v>0</v>
      </c>
      <c r="X1676">
        <v>0</v>
      </c>
    </row>
    <row r="1677" spans="1:24" x14ac:dyDescent="0.25">
      <c r="A1677" t="str">
        <f>""</f>
        <v/>
      </c>
      <c r="B1677" s="1"/>
      <c r="H1677">
        <v>140.46</v>
      </c>
      <c r="J1677" t="s">
        <v>16</v>
      </c>
      <c r="L1677" s="1"/>
      <c r="N1677" s="1"/>
      <c r="V1677" t="str">
        <f>"30204"</f>
        <v>30204</v>
      </c>
      <c r="W1677">
        <v>54.78</v>
      </c>
      <c r="X1677">
        <v>0</v>
      </c>
    </row>
    <row r="1678" spans="1:24" ht="15" customHeight="1" x14ac:dyDescent="0.25">
      <c r="A1678" t="str">
        <f>""</f>
        <v/>
      </c>
      <c r="B1678" s="1"/>
      <c r="H1678">
        <v>120.65</v>
      </c>
      <c r="J1678" t="s">
        <v>20</v>
      </c>
      <c r="L1678" s="1"/>
      <c r="N1678" s="1"/>
      <c r="V1678" t="str">
        <f>"63150"</f>
        <v>63150</v>
      </c>
      <c r="W1678">
        <v>34.99</v>
      </c>
      <c r="X1678">
        <v>0</v>
      </c>
    </row>
    <row r="1679" spans="1:24" ht="15" customHeight="1" x14ac:dyDescent="0.25">
      <c r="A1679" t="str">
        <f>""</f>
        <v/>
      </c>
      <c r="B1679" s="1"/>
      <c r="H1679">
        <v>220</v>
      </c>
      <c r="J1679" t="s">
        <v>19</v>
      </c>
      <c r="L1679" s="1"/>
      <c r="N1679" s="1"/>
      <c r="V1679" t="str">
        <f>"75008"</f>
        <v>75008</v>
      </c>
      <c r="W1679">
        <v>0</v>
      </c>
      <c r="X1679">
        <v>0</v>
      </c>
    </row>
    <row r="1680" spans="1:24" ht="15" customHeight="1" x14ac:dyDescent="0.25">
      <c r="A1680" t="str">
        <f>""</f>
        <v/>
      </c>
      <c r="B1680" s="1"/>
      <c r="H1680">
        <v>1323.33</v>
      </c>
      <c r="J1680" t="s">
        <v>20</v>
      </c>
      <c r="L1680" s="1"/>
      <c r="N1680" s="1"/>
      <c r="V1680" t="str">
        <f>"87280"</f>
        <v>87280</v>
      </c>
      <c r="W1680">
        <v>383.77</v>
      </c>
      <c r="X1680">
        <v>0</v>
      </c>
    </row>
    <row r="1681" spans="1:24" ht="15" customHeight="1" x14ac:dyDescent="0.25">
      <c r="A1681" t="str">
        <f>""</f>
        <v/>
      </c>
      <c r="B1681" s="1"/>
      <c r="H1681">
        <v>80</v>
      </c>
      <c r="J1681" t="s">
        <v>23</v>
      </c>
      <c r="L1681" s="1"/>
      <c r="N1681" s="1"/>
      <c r="V1681" t="str">
        <f>"75011"</f>
        <v>75011</v>
      </c>
      <c r="W1681">
        <v>0</v>
      </c>
      <c r="X1681">
        <v>0</v>
      </c>
    </row>
    <row r="1682" spans="1:24" x14ac:dyDescent="0.25">
      <c r="A1682" t="str">
        <f>""</f>
        <v/>
      </c>
      <c r="B1682" s="1"/>
      <c r="H1682">
        <v>140</v>
      </c>
      <c r="J1682" t="s">
        <v>18</v>
      </c>
      <c r="L1682" s="1"/>
      <c r="N1682" s="1"/>
      <c r="V1682" t="str">
        <f>"89200"</f>
        <v>89200</v>
      </c>
      <c r="W1682">
        <v>0</v>
      </c>
      <c r="X1682">
        <v>0</v>
      </c>
    </row>
    <row r="1683" spans="1:24" ht="15" customHeight="1" x14ac:dyDescent="0.25">
      <c r="A1683" t="str">
        <f>""</f>
        <v/>
      </c>
      <c r="B1683" s="1"/>
      <c r="H1683">
        <v>193</v>
      </c>
      <c r="J1683" t="s">
        <v>20</v>
      </c>
      <c r="L1683" s="1"/>
      <c r="N1683" s="1"/>
      <c r="V1683" t="str">
        <f>"76600"</f>
        <v>76600</v>
      </c>
      <c r="W1683">
        <v>32.81</v>
      </c>
      <c r="X1683">
        <v>0</v>
      </c>
    </row>
    <row r="1684" spans="1:24" ht="15" customHeight="1" x14ac:dyDescent="0.25">
      <c r="A1684" t="str">
        <f>""</f>
        <v/>
      </c>
      <c r="B1684" s="1"/>
      <c r="H1684">
        <v>40</v>
      </c>
      <c r="J1684" t="s">
        <v>23</v>
      </c>
      <c r="L1684" s="1"/>
      <c r="V1684" t="str">
        <f>"75013"</f>
        <v>75013</v>
      </c>
      <c r="W1684">
        <v>0</v>
      </c>
      <c r="X1684">
        <v>0</v>
      </c>
    </row>
    <row r="1685" spans="1:24" ht="15" customHeight="1" x14ac:dyDescent="0.25">
      <c r="A1685" t="str">
        <f>""</f>
        <v/>
      </c>
      <c r="B1685" s="1"/>
      <c r="H1685">
        <v>81</v>
      </c>
      <c r="J1685" t="s">
        <v>22</v>
      </c>
      <c r="L1685" s="1"/>
      <c r="N1685" s="1"/>
      <c r="V1685" t="str">
        <f>"38000"</f>
        <v>38000</v>
      </c>
      <c r="W1685">
        <v>0</v>
      </c>
      <c r="X1685">
        <v>0</v>
      </c>
    </row>
    <row r="1686" spans="1:24" ht="15" customHeight="1" x14ac:dyDescent="0.25">
      <c r="A1686" t="str">
        <f>""</f>
        <v/>
      </c>
      <c r="B1686" s="1"/>
      <c r="H1686">
        <v>25</v>
      </c>
      <c r="J1686" t="s">
        <v>20</v>
      </c>
      <c r="L1686" s="1"/>
      <c r="N1686" s="1"/>
      <c r="V1686" t="str">
        <f>"59810"</f>
        <v>59810</v>
      </c>
      <c r="W1686">
        <v>0</v>
      </c>
      <c r="X1686">
        <v>0</v>
      </c>
    </row>
    <row r="1687" spans="1:24" ht="15" customHeight="1" x14ac:dyDescent="0.25">
      <c r="A1687" t="str">
        <f>""</f>
        <v/>
      </c>
      <c r="B1687" s="1"/>
      <c r="H1687">
        <v>94.79</v>
      </c>
      <c r="J1687" t="s">
        <v>23</v>
      </c>
      <c r="L1687" s="1"/>
      <c r="V1687" t="str">
        <f>"13127"</f>
        <v>13127</v>
      </c>
      <c r="W1687">
        <v>0</v>
      </c>
      <c r="X1687">
        <v>0</v>
      </c>
    </row>
    <row r="1688" spans="1:24" ht="15" customHeight="1" x14ac:dyDescent="0.25">
      <c r="A1688" t="str">
        <f>""</f>
        <v/>
      </c>
      <c r="B1688" s="1"/>
      <c r="H1688">
        <v>151</v>
      </c>
      <c r="J1688" t="s">
        <v>22</v>
      </c>
      <c r="L1688" s="1"/>
      <c r="V1688" t="str">
        <f>"69120"</f>
        <v>69120</v>
      </c>
      <c r="W1688">
        <v>0</v>
      </c>
      <c r="X1688">
        <v>0</v>
      </c>
    </row>
    <row r="1689" spans="1:24" ht="15" customHeight="1" x14ac:dyDescent="0.25">
      <c r="A1689" t="str">
        <f>""</f>
        <v/>
      </c>
      <c r="B1689" s="1"/>
      <c r="H1689">
        <v>151</v>
      </c>
      <c r="J1689" t="s">
        <v>22</v>
      </c>
      <c r="L1689" s="1"/>
      <c r="V1689" t="str">
        <f>"69120"</f>
        <v>69120</v>
      </c>
      <c r="W1689">
        <v>0</v>
      </c>
      <c r="X1689">
        <v>0</v>
      </c>
    </row>
    <row r="1690" spans="1:24" ht="15" customHeight="1" x14ac:dyDescent="0.25">
      <c r="A1690" t="str">
        <f>""</f>
        <v/>
      </c>
      <c r="B1690" s="1"/>
      <c r="H1690">
        <v>151</v>
      </c>
      <c r="J1690" t="s">
        <v>23</v>
      </c>
      <c r="L1690" s="1"/>
      <c r="V1690" t="str">
        <f>"84300"</f>
        <v>84300</v>
      </c>
      <c r="W1690">
        <v>0</v>
      </c>
      <c r="X1690">
        <v>0</v>
      </c>
    </row>
    <row r="1691" spans="1:24" ht="15" customHeight="1" x14ac:dyDescent="0.25">
      <c r="A1691" t="str">
        <f>""</f>
        <v/>
      </c>
      <c r="B1691" s="1"/>
      <c r="H1691">
        <v>140</v>
      </c>
      <c r="J1691" t="s">
        <v>22</v>
      </c>
      <c r="L1691" s="1"/>
      <c r="N1691" s="1"/>
      <c r="V1691" t="str">
        <f>"37210"</f>
        <v>37210</v>
      </c>
      <c r="W1691">
        <v>0</v>
      </c>
      <c r="X1691">
        <v>0</v>
      </c>
    </row>
    <row r="1692" spans="1:24" ht="15" customHeight="1" x14ac:dyDescent="0.25">
      <c r="A1692" t="str">
        <f>""</f>
        <v/>
      </c>
      <c r="B1692" s="1"/>
      <c r="H1692">
        <v>22.4</v>
      </c>
      <c r="J1692" t="s">
        <v>22</v>
      </c>
      <c r="L1692" s="1"/>
      <c r="V1692" t="str">
        <f>"14470"</f>
        <v>14470</v>
      </c>
      <c r="W1692">
        <v>0</v>
      </c>
      <c r="X1692">
        <v>0</v>
      </c>
    </row>
    <row r="1693" spans="1:24" ht="15" customHeight="1" x14ac:dyDescent="0.25">
      <c r="A1693" t="str">
        <f>""</f>
        <v/>
      </c>
      <c r="B1693" s="1"/>
      <c r="H1693">
        <v>46.66</v>
      </c>
      <c r="J1693" t="s">
        <v>23</v>
      </c>
      <c r="L1693" s="1"/>
      <c r="N1693" s="1"/>
      <c r="V1693" t="str">
        <f>"31700"</f>
        <v>31700</v>
      </c>
      <c r="W1693">
        <v>0</v>
      </c>
      <c r="X1693">
        <v>0</v>
      </c>
    </row>
    <row r="1694" spans="1:24" ht="15" customHeight="1" x14ac:dyDescent="0.25">
      <c r="A1694" t="str">
        <f>""</f>
        <v/>
      </c>
      <c r="B1694" s="1"/>
      <c r="H1694">
        <v>58.2</v>
      </c>
      <c r="J1694" t="s">
        <v>22</v>
      </c>
      <c r="L1694" s="1"/>
      <c r="N1694" s="1"/>
      <c r="V1694" t="str">
        <f>"85700"</f>
        <v>85700</v>
      </c>
      <c r="W1694">
        <v>0</v>
      </c>
      <c r="X1694">
        <v>0</v>
      </c>
    </row>
    <row r="1695" spans="1:24" x14ac:dyDescent="0.25">
      <c r="A1695" t="str">
        <f>""</f>
        <v/>
      </c>
      <c r="B1695" s="1"/>
      <c r="H1695">
        <v>23.4</v>
      </c>
      <c r="J1695" t="s">
        <v>17</v>
      </c>
      <c r="L1695" s="1"/>
      <c r="N1695" s="1"/>
      <c r="V1695" t="str">
        <f>"38230"</f>
        <v>38230</v>
      </c>
      <c r="W1695">
        <v>0</v>
      </c>
      <c r="X1695">
        <v>0</v>
      </c>
    </row>
    <row r="1696" spans="1:24" ht="15" customHeight="1" x14ac:dyDescent="0.25">
      <c r="A1696" t="str">
        <f>""</f>
        <v/>
      </c>
      <c r="B1696" s="1"/>
      <c r="H1696">
        <v>131.66</v>
      </c>
      <c r="J1696" t="s">
        <v>22</v>
      </c>
      <c r="L1696" s="1"/>
      <c r="N1696" s="1"/>
      <c r="V1696" t="str">
        <f>"13002"</f>
        <v>13002</v>
      </c>
      <c r="W1696">
        <v>0</v>
      </c>
      <c r="X1696">
        <v>0</v>
      </c>
    </row>
    <row r="1697" spans="1:24" x14ac:dyDescent="0.25">
      <c r="A1697" t="str">
        <f>""</f>
        <v/>
      </c>
      <c r="B1697" s="1"/>
      <c r="H1697">
        <v>74.33</v>
      </c>
      <c r="J1697" t="s">
        <v>16</v>
      </c>
      <c r="L1697" s="1"/>
      <c r="N1697" s="1"/>
      <c r="V1697" t="str">
        <f>"33700"</f>
        <v>33700</v>
      </c>
      <c r="W1697">
        <v>0</v>
      </c>
      <c r="X1697">
        <v>0</v>
      </c>
    </row>
    <row r="1698" spans="1:24" ht="15" customHeight="1" x14ac:dyDescent="0.25">
      <c r="A1698" t="str">
        <f>""</f>
        <v/>
      </c>
      <c r="B1698" s="1"/>
      <c r="H1698">
        <v>70</v>
      </c>
      <c r="J1698" t="s">
        <v>22</v>
      </c>
      <c r="L1698" s="1"/>
      <c r="N1698" s="1"/>
      <c r="V1698" t="str">
        <f>"45170"</f>
        <v>45170</v>
      </c>
      <c r="W1698">
        <v>0</v>
      </c>
      <c r="X1698">
        <v>0</v>
      </c>
    </row>
    <row r="1699" spans="1:24" ht="15" customHeight="1" x14ac:dyDescent="0.25">
      <c r="A1699" t="str">
        <f>""</f>
        <v/>
      </c>
      <c r="B1699" s="1"/>
      <c r="H1699">
        <v>174.26</v>
      </c>
      <c r="J1699" t="s">
        <v>19</v>
      </c>
      <c r="L1699" s="1"/>
      <c r="N1699" s="1"/>
      <c r="V1699" t="str">
        <f>"75009"</f>
        <v>75009</v>
      </c>
      <c r="W1699">
        <v>0</v>
      </c>
      <c r="X1699">
        <v>0</v>
      </c>
    </row>
    <row r="1700" spans="1:24" x14ac:dyDescent="0.25">
      <c r="A1700" t="str">
        <f>""</f>
        <v/>
      </c>
      <c r="B1700" s="1"/>
      <c r="H1700">
        <v>53.4</v>
      </c>
      <c r="J1700" t="s">
        <v>16</v>
      </c>
      <c r="L1700" s="1"/>
      <c r="N1700" s="1"/>
      <c r="V1700" t="str">
        <f>"21000"</f>
        <v>21000</v>
      </c>
      <c r="W1700">
        <v>12.82</v>
      </c>
      <c r="X1700">
        <v>0</v>
      </c>
    </row>
    <row r="1701" spans="1:24" ht="15" customHeight="1" x14ac:dyDescent="0.25">
      <c r="A1701" t="str">
        <f>""</f>
        <v/>
      </c>
      <c r="B1701" s="1"/>
      <c r="H1701">
        <v>70</v>
      </c>
      <c r="J1701" t="s">
        <v>22</v>
      </c>
      <c r="L1701" s="1"/>
      <c r="N1701" s="1"/>
      <c r="V1701" t="str">
        <f>"62200"</f>
        <v>62200</v>
      </c>
      <c r="W1701">
        <v>0</v>
      </c>
      <c r="X1701">
        <v>0</v>
      </c>
    </row>
    <row r="1702" spans="1:24" ht="15" customHeight="1" x14ac:dyDescent="0.25">
      <c r="A1702" t="str">
        <f>""</f>
        <v/>
      </c>
      <c r="B1702" s="1"/>
      <c r="H1702">
        <v>140</v>
      </c>
      <c r="J1702" t="s">
        <v>22</v>
      </c>
      <c r="L1702" s="1"/>
      <c r="N1702" s="1"/>
      <c r="V1702" t="str">
        <f>"37300"</f>
        <v>37300</v>
      </c>
      <c r="W1702">
        <v>0</v>
      </c>
      <c r="X1702">
        <v>0</v>
      </c>
    </row>
    <row r="1703" spans="1:24" x14ac:dyDescent="0.25">
      <c r="A1703" t="str">
        <f>""</f>
        <v/>
      </c>
      <c r="B1703" s="1"/>
      <c r="H1703">
        <v>151</v>
      </c>
      <c r="J1703" t="s">
        <v>17</v>
      </c>
      <c r="L1703" s="1"/>
      <c r="N1703" s="1"/>
      <c r="V1703" t="str">
        <f>"67800"</f>
        <v>67800</v>
      </c>
      <c r="W1703">
        <v>0</v>
      </c>
      <c r="X1703">
        <v>0</v>
      </c>
    </row>
    <row r="1704" spans="1:24" ht="15" customHeight="1" x14ac:dyDescent="0.25">
      <c r="A1704" t="str">
        <f>""</f>
        <v/>
      </c>
      <c r="B1704" s="1"/>
      <c r="H1704">
        <v>184</v>
      </c>
      <c r="L1704" s="1"/>
      <c r="N1704" s="1"/>
      <c r="V1704" t="str">
        <f>"77184"</f>
        <v>77184</v>
      </c>
      <c r="W1704">
        <v>0</v>
      </c>
      <c r="X1704">
        <v>0</v>
      </c>
    </row>
    <row r="1705" spans="1:24" x14ac:dyDescent="0.25">
      <c r="A1705" t="str">
        <f>""</f>
        <v/>
      </c>
      <c r="B1705" s="1"/>
      <c r="H1705">
        <v>86.54</v>
      </c>
      <c r="J1705" t="s">
        <v>17</v>
      </c>
      <c r="L1705" s="1"/>
      <c r="N1705" s="1"/>
      <c r="V1705" t="str">
        <f>"50640"</f>
        <v>50640</v>
      </c>
      <c r="W1705">
        <v>0</v>
      </c>
      <c r="X1705">
        <v>0</v>
      </c>
    </row>
    <row r="1706" spans="1:24" ht="15" customHeight="1" x14ac:dyDescent="0.25">
      <c r="A1706" t="str">
        <f>""</f>
        <v/>
      </c>
      <c r="B1706" s="1"/>
      <c r="H1706">
        <v>105</v>
      </c>
      <c r="L1706" s="1"/>
      <c r="N1706" s="1"/>
      <c r="V1706" t="str">
        <f>"77184"</f>
        <v>77184</v>
      </c>
      <c r="W1706">
        <v>0</v>
      </c>
      <c r="X1706">
        <v>0</v>
      </c>
    </row>
    <row r="1707" spans="1:24" ht="15" customHeight="1" x14ac:dyDescent="0.25">
      <c r="A1707" t="str">
        <f>""</f>
        <v/>
      </c>
      <c r="B1707" s="1"/>
      <c r="H1707">
        <v>140</v>
      </c>
      <c r="J1707" t="s">
        <v>23</v>
      </c>
      <c r="L1707" s="1"/>
      <c r="N1707" s="1"/>
      <c r="V1707" t="str">
        <f>"67400"</f>
        <v>67400</v>
      </c>
      <c r="W1707">
        <v>0</v>
      </c>
      <c r="X1707">
        <v>11.2</v>
      </c>
    </row>
    <row r="1708" spans="1:24" ht="15" customHeight="1" x14ac:dyDescent="0.25">
      <c r="A1708" t="str">
        <f>""</f>
        <v/>
      </c>
      <c r="B1708" s="1"/>
      <c r="H1708">
        <v>141.65</v>
      </c>
      <c r="J1708" t="s">
        <v>20</v>
      </c>
      <c r="L1708" s="1"/>
      <c r="N1708" s="1"/>
      <c r="V1708" t="str">
        <f>"62300"</f>
        <v>62300</v>
      </c>
      <c r="W1708">
        <v>26.91</v>
      </c>
      <c r="X1708">
        <v>0</v>
      </c>
    </row>
    <row r="1709" spans="1:24" ht="15" customHeight="1" x14ac:dyDescent="0.25">
      <c r="A1709" t="str">
        <f>""</f>
        <v/>
      </c>
      <c r="B1709" s="1"/>
      <c r="H1709">
        <v>149.79</v>
      </c>
      <c r="J1709" t="s">
        <v>20</v>
      </c>
      <c r="L1709" s="1"/>
      <c r="N1709" s="1"/>
      <c r="V1709" t="str">
        <f>"34500"</f>
        <v>34500</v>
      </c>
      <c r="W1709">
        <v>58.42</v>
      </c>
      <c r="X1709">
        <v>0</v>
      </c>
    </row>
    <row r="1710" spans="1:24" x14ac:dyDescent="0.25">
      <c r="A1710" t="str">
        <f>""</f>
        <v/>
      </c>
      <c r="B1710" s="1"/>
      <c r="H1710">
        <v>55</v>
      </c>
      <c r="J1710" t="s">
        <v>16</v>
      </c>
      <c r="L1710" s="1"/>
      <c r="N1710" s="1"/>
      <c r="V1710" t="str">
        <f>"34000"</f>
        <v>34000</v>
      </c>
      <c r="W1710">
        <v>0</v>
      </c>
      <c r="X1710">
        <v>0</v>
      </c>
    </row>
    <row r="1711" spans="1:24" ht="15" customHeight="1" x14ac:dyDescent="0.25">
      <c r="A1711" t="str">
        <f>""</f>
        <v/>
      </c>
      <c r="B1711" s="1"/>
      <c r="H1711">
        <v>5.6</v>
      </c>
      <c r="J1711" t="s">
        <v>23</v>
      </c>
      <c r="L1711" s="1"/>
      <c r="N1711" s="1"/>
      <c r="V1711" t="str">
        <f>"02700"</f>
        <v>02700</v>
      </c>
      <c r="W1711">
        <v>0</v>
      </c>
      <c r="X1711">
        <v>1.06</v>
      </c>
    </row>
    <row r="1712" spans="1:24" ht="15" customHeight="1" x14ac:dyDescent="0.25">
      <c r="A1712" t="str">
        <f>""</f>
        <v/>
      </c>
      <c r="B1712" s="1"/>
      <c r="H1712">
        <v>59.73</v>
      </c>
      <c r="J1712" t="s">
        <v>20</v>
      </c>
      <c r="L1712" s="1"/>
      <c r="N1712" s="1"/>
      <c r="V1712" t="str">
        <f>"02600"</f>
        <v>02600</v>
      </c>
      <c r="W1712">
        <v>11.35</v>
      </c>
      <c r="X1712">
        <v>0</v>
      </c>
    </row>
    <row r="1713" spans="1:24" ht="15" customHeight="1" x14ac:dyDescent="0.25">
      <c r="A1713" t="str">
        <f>""</f>
        <v/>
      </c>
      <c r="B1713" s="1"/>
      <c r="H1713">
        <v>40</v>
      </c>
      <c r="J1713" t="s">
        <v>19</v>
      </c>
      <c r="L1713" s="1"/>
      <c r="N1713" s="1"/>
      <c r="V1713" t="str">
        <f>"62600"</f>
        <v>62600</v>
      </c>
      <c r="W1713">
        <v>7.6</v>
      </c>
      <c r="X1713">
        <v>0</v>
      </c>
    </row>
    <row r="1714" spans="1:24" ht="15" customHeight="1" x14ac:dyDescent="0.25">
      <c r="A1714" t="str">
        <f>""</f>
        <v/>
      </c>
      <c r="B1714" s="1"/>
      <c r="H1714">
        <v>28</v>
      </c>
      <c r="L1714" s="1"/>
      <c r="N1714" s="1"/>
      <c r="V1714" t="str">
        <f>"77184"</f>
        <v>77184</v>
      </c>
      <c r="W1714">
        <v>0</v>
      </c>
      <c r="X1714">
        <v>0</v>
      </c>
    </row>
    <row r="1715" spans="1:24" ht="15" customHeight="1" x14ac:dyDescent="0.25">
      <c r="A1715" t="str">
        <f>""</f>
        <v/>
      </c>
      <c r="B1715" s="1"/>
      <c r="H1715">
        <v>340</v>
      </c>
      <c r="J1715" t="s">
        <v>22</v>
      </c>
      <c r="L1715" s="1"/>
      <c r="V1715" t="str">
        <f>"59600"</f>
        <v>59600</v>
      </c>
      <c r="W1715">
        <v>0</v>
      </c>
      <c r="X1715">
        <v>0</v>
      </c>
    </row>
    <row r="1716" spans="1:24" ht="15" customHeight="1" x14ac:dyDescent="0.25">
      <c r="A1716" t="str">
        <f>""</f>
        <v/>
      </c>
      <c r="B1716" s="1"/>
      <c r="J1716" t="s">
        <v>20</v>
      </c>
      <c r="L1716" s="1"/>
      <c r="N1716" s="1"/>
      <c r="V1716" t="str">
        <f>"30320"</f>
        <v>30320</v>
      </c>
      <c r="W1716">
        <v>0</v>
      </c>
      <c r="X1716">
        <v>0</v>
      </c>
    </row>
    <row r="1717" spans="1:24" ht="15" customHeight="1" x14ac:dyDescent="0.25">
      <c r="A1717" t="str">
        <f>""</f>
        <v/>
      </c>
      <c r="B1717" s="1"/>
      <c r="H1717">
        <v>36.85</v>
      </c>
      <c r="J1717" t="s">
        <v>20</v>
      </c>
      <c r="L1717" s="1"/>
      <c r="N1717" s="1"/>
      <c r="V1717" t="str">
        <f>"95240"</f>
        <v>95240</v>
      </c>
      <c r="W1717">
        <v>0</v>
      </c>
      <c r="X1717">
        <v>0</v>
      </c>
    </row>
    <row r="1718" spans="1:24" ht="15" customHeight="1" x14ac:dyDescent="0.25">
      <c r="A1718" t="str">
        <f>""</f>
        <v/>
      </c>
      <c r="B1718" s="1"/>
      <c r="H1718">
        <v>315.88</v>
      </c>
      <c r="J1718" t="s">
        <v>22</v>
      </c>
      <c r="L1718" s="1"/>
      <c r="N1718" s="1"/>
      <c r="V1718" t="str">
        <f>"78190"</f>
        <v>78190</v>
      </c>
      <c r="W1718">
        <v>0</v>
      </c>
      <c r="X1718">
        <v>0</v>
      </c>
    </row>
    <row r="1719" spans="1:24" ht="15" customHeight="1" x14ac:dyDescent="0.25">
      <c r="A1719" t="str">
        <f>""</f>
        <v/>
      </c>
      <c r="B1719" s="1"/>
      <c r="H1719">
        <v>181.2</v>
      </c>
      <c r="J1719" t="s">
        <v>22</v>
      </c>
      <c r="L1719" s="1"/>
      <c r="N1719" s="1"/>
      <c r="V1719" t="str">
        <f>"78190"</f>
        <v>78190</v>
      </c>
      <c r="W1719">
        <v>0</v>
      </c>
      <c r="X1719">
        <v>0</v>
      </c>
    </row>
    <row r="1720" spans="1:24" x14ac:dyDescent="0.25">
      <c r="A1720" t="str">
        <f>""</f>
        <v/>
      </c>
      <c r="B1720" s="1"/>
      <c r="H1720">
        <v>171.65</v>
      </c>
      <c r="J1720" t="s">
        <v>18</v>
      </c>
      <c r="L1720" s="1"/>
      <c r="N1720" s="1"/>
      <c r="V1720" t="str">
        <f>"91550"</f>
        <v>91550</v>
      </c>
      <c r="W1720">
        <v>0</v>
      </c>
      <c r="X1720">
        <v>0</v>
      </c>
    </row>
    <row r="1721" spans="1:24" x14ac:dyDescent="0.25">
      <c r="A1721" t="str">
        <f>""</f>
        <v/>
      </c>
      <c r="B1721" s="1"/>
      <c r="H1721">
        <v>140</v>
      </c>
      <c r="J1721" t="s">
        <v>18</v>
      </c>
      <c r="L1721" s="1"/>
      <c r="N1721" s="1"/>
      <c r="V1721" t="str">
        <f>"75116"</f>
        <v>75116</v>
      </c>
      <c r="W1721">
        <v>0</v>
      </c>
      <c r="X1721">
        <v>0</v>
      </c>
    </row>
    <row r="1722" spans="1:24" x14ac:dyDescent="0.25">
      <c r="A1722" t="str">
        <f>""</f>
        <v/>
      </c>
      <c r="B1722" s="1"/>
      <c r="H1722">
        <v>40</v>
      </c>
      <c r="J1722" t="s">
        <v>17</v>
      </c>
      <c r="L1722" s="1"/>
      <c r="N1722" s="1"/>
      <c r="V1722" t="str">
        <f>"75116"</f>
        <v>75116</v>
      </c>
      <c r="W1722">
        <v>0</v>
      </c>
      <c r="X1722">
        <v>0</v>
      </c>
    </row>
    <row r="1723" spans="1:24" ht="15" customHeight="1" x14ac:dyDescent="0.25">
      <c r="A1723" t="str">
        <f>""</f>
        <v/>
      </c>
      <c r="B1723" s="1"/>
      <c r="H1723">
        <v>40</v>
      </c>
      <c r="J1723" t="s">
        <v>23</v>
      </c>
      <c r="L1723" s="1"/>
      <c r="N1723" s="1"/>
      <c r="V1723" t="str">
        <f>"67670"</f>
        <v>67670</v>
      </c>
      <c r="W1723">
        <v>0</v>
      </c>
      <c r="X1723">
        <v>3.2</v>
      </c>
    </row>
    <row r="1724" spans="1:24" ht="15" customHeight="1" x14ac:dyDescent="0.25">
      <c r="A1724" t="str">
        <f>""</f>
        <v/>
      </c>
      <c r="B1724" s="1"/>
      <c r="H1724">
        <v>151</v>
      </c>
      <c r="J1724" t="s">
        <v>23</v>
      </c>
      <c r="L1724" s="1"/>
      <c r="N1724" s="1"/>
      <c r="V1724" t="str">
        <f>"69005"</f>
        <v>69005</v>
      </c>
      <c r="W1724">
        <v>0</v>
      </c>
      <c r="X1724">
        <v>0</v>
      </c>
    </row>
    <row r="1725" spans="1:24" ht="15" customHeight="1" x14ac:dyDescent="0.25">
      <c r="A1725" t="str">
        <f>""</f>
        <v/>
      </c>
      <c r="B1725" s="1"/>
      <c r="H1725">
        <v>43.44</v>
      </c>
      <c r="J1725" t="s">
        <v>20</v>
      </c>
      <c r="L1725" s="1"/>
      <c r="N1725" s="1"/>
      <c r="V1725" t="str">
        <f>"14200"</f>
        <v>14200</v>
      </c>
      <c r="W1725">
        <v>7.38</v>
      </c>
      <c r="X1725">
        <v>0</v>
      </c>
    </row>
    <row r="1726" spans="1:24" ht="15" customHeight="1" x14ac:dyDescent="0.25">
      <c r="A1726" t="str">
        <f>""</f>
        <v/>
      </c>
      <c r="B1726" s="1"/>
      <c r="H1726">
        <v>14.2</v>
      </c>
      <c r="J1726" t="s">
        <v>20</v>
      </c>
      <c r="L1726" s="1"/>
      <c r="N1726" s="1"/>
      <c r="V1726" t="str">
        <f>"30132"</f>
        <v>30132</v>
      </c>
      <c r="W1726">
        <v>5.54</v>
      </c>
      <c r="X1726">
        <v>0</v>
      </c>
    </row>
    <row r="1727" spans="1:24" x14ac:dyDescent="0.25">
      <c r="A1727" t="str">
        <f>""</f>
        <v/>
      </c>
      <c r="B1727" s="1"/>
      <c r="H1727">
        <v>70</v>
      </c>
      <c r="J1727" t="s">
        <v>18</v>
      </c>
      <c r="L1727" s="1"/>
      <c r="V1727" t="str">
        <f>"85260"</f>
        <v>85260</v>
      </c>
      <c r="W1727">
        <v>0</v>
      </c>
      <c r="X1727">
        <v>0</v>
      </c>
    </row>
    <row r="1728" spans="1:24" ht="15" customHeight="1" x14ac:dyDescent="0.25">
      <c r="A1728" t="str">
        <f>""</f>
        <v/>
      </c>
      <c r="B1728" s="1"/>
      <c r="H1728">
        <v>140</v>
      </c>
      <c r="J1728" t="s">
        <v>23</v>
      </c>
      <c r="L1728" s="1"/>
      <c r="N1728" s="1"/>
      <c r="V1728" t="str">
        <f>"13500"</f>
        <v>13500</v>
      </c>
      <c r="W1728">
        <v>0</v>
      </c>
      <c r="X1728">
        <v>0</v>
      </c>
    </row>
    <row r="1729" spans="1:24" ht="15" customHeight="1" x14ac:dyDescent="0.25">
      <c r="A1729" t="str">
        <f>""</f>
        <v/>
      </c>
      <c r="B1729" s="1"/>
      <c r="H1729">
        <v>140</v>
      </c>
      <c r="J1729" t="s">
        <v>23</v>
      </c>
      <c r="L1729" s="1"/>
      <c r="V1729" t="str">
        <f>"13620"</f>
        <v>13620</v>
      </c>
      <c r="W1729">
        <v>0</v>
      </c>
      <c r="X1729">
        <v>0</v>
      </c>
    </row>
    <row r="1730" spans="1:24" ht="15" customHeight="1" x14ac:dyDescent="0.25">
      <c r="A1730" t="str">
        <f>""</f>
        <v/>
      </c>
      <c r="B1730" s="1"/>
      <c r="H1730">
        <v>140</v>
      </c>
      <c r="J1730" t="s">
        <v>23</v>
      </c>
      <c r="L1730" s="1"/>
      <c r="V1730" t="str">
        <f>"73300"</f>
        <v>73300</v>
      </c>
      <c r="W1730">
        <v>0</v>
      </c>
      <c r="X1730">
        <v>0</v>
      </c>
    </row>
    <row r="1731" spans="1:24" ht="15" customHeight="1" x14ac:dyDescent="0.25">
      <c r="A1731" t="str">
        <f>""</f>
        <v/>
      </c>
      <c r="B1731" s="1"/>
      <c r="H1731">
        <v>30.1</v>
      </c>
      <c r="J1731" t="s">
        <v>22</v>
      </c>
      <c r="L1731" s="1"/>
      <c r="V1731" t="str">
        <f>"75009"</f>
        <v>75009</v>
      </c>
      <c r="W1731">
        <v>0</v>
      </c>
      <c r="X1731">
        <v>0</v>
      </c>
    </row>
    <row r="1732" spans="1:24" x14ac:dyDescent="0.25">
      <c r="A1732" t="str">
        <f>""</f>
        <v/>
      </c>
      <c r="B1732" s="1"/>
      <c r="H1732">
        <v>151</v>
      </c>
      <c r="J1732" t="s">
        <v>15</v>
      </c>
      <c r="L1732" s="1"/>
      <c r="N1732" s="1"/>
      <c r="V1732" t="str">
        <f>"57550"</f>
        <v>57550</v>
      </c>
      <c r="W1732">
        <v>37.75</v>
      </c>
      <c r="X1732">
        <v>0</v>
      </c>
    </row>
    <row r="1733" spans="1:24" ht="15" customHeight="1" x14ac:dyDescent="0.25">
      <c r="A1733" t="str">
        <f>""</f>
        <v/>
      </c>
      <c r="B1733" s="1"/>
      <c r="H1733">
        <v>180</v>
      </c>
      <c r="J1733" t="s">
        <v>23</v>
      </c>
      <c r="L1733" s="1"/>
      <c r="N1733" s="1"/>
      <c r="V1733" t="str">
        <f>"11100"</f>
        <v>11100</v>
      </c>
      <c r="W1733">
        <v>0</v>
      </c>
      <c r="X1733">
        <v>0</v>
      </c>
    </row>
    <row r="1734" spans="1:24" ht="15" customHeight="1" x14ac:dyDescent="0.25">
      <c r="A1734" t="str">
        <f>""</f>
        <v/>
      </c>
      <c r="B1734" s="1"/>
      <c r="H1734">
        <v>166.98</v>
      </c>
      <c r="J1734" t="s">
        <v>22</v>
      </c>
      <c r="L1734" s="1"/>
      <c r="N1734" s="1"/>
      <c r="V1734" t="str">
        <f>"88000"</f>
        <v>88000</v>
      </c>
      <c r="W1734">
        <v>0</v>
      </c>
      <c r="X1734">
        <v>13.36</v>
      </c>
    </row>
    <row r="1735" spans="1:24" ht="15" customHeight="1" x14ac:dyDescent="0.25">
      <c r="A1735" t="str">
        <f>""</f>
        <v/>
      </c>
      <c r="B1735" s="1"/>
      <c r="H1735">
        <v>37.5</v>
      </c>
      <c r="J1735" t="s">
        <v>22</v>
      </c>
      <c r="L1735" s="1"/>
      <c r="V1735" t="str">
        <f>"70000"</f>
        <v>70000</v>
      </c>
      <c r="W1735">
        <v>0</v>
      </c>
      <c r="X1735">
        <v>0</v>
      </c>
    </row>
    <row r="1736" spans="1:24" ht="15" customHeight="1" x14ac:dyDescent="0.25">
      <c r="A1736" t="str">
        <f>""</f>
        <v/>
      </c>
      <c r="B1736" s="1"/>
      <c r="H1736">
        <v>22.5</v>
      </c>
      <c r="J1736" t="s">
        <v>22</v>
      </c>
      <c r="L1736" s="1"/>
      <c r="V1736" t="str">
        <f>"70000"</f>
        <v>70000</v>
      </c>
      <c r="W1736">
        <v>0</v>
      </c>
      <c r="X1736">
        <v>0</v>
      </c>
    </row>
    <row r="1737" spans="1:24" ht="15" customHeight="1" x14ac:dyDescent="0.25">
      <c r="A1737" t="str">
        <f>""</f>
        <v/>
      </c>
      <c r="B1737" s="1"/>
      <c r="H1737">
        <v>40</v>
      </c>
      <c r="J1737" t="s">
        <v>22</v>
      </c>
      <c r="L1737" s="1"/>
      <c r="N1737" s="1"/>
      <c r="V1737" t="str">
        <f>"41000"</f>
        <v>41000</v>
      </c>
      <c r="W1737">
        <v>0</v>
      </c>
      <c r="X1737">
        <v>10.8</v>
      </c>
    </row>
    <row r="1738" spans="1:24" x14ac:dyDescent="0.25">
      <c r="A1738" t="str">
        <f>""</f>
        <v/>
      </c>
      <c r="B1738" s="1"/>
      <c r="H1738">
        <v>23.4</v>
      </c>
      <c r="J1738" t="s">
        <v>15</v>
      </c>
      <c r="L1738" s="1"/>
      <c r="N1738" s="1"/>
      <c r="V1738" t="str">
        <f>"38300"</f>
        <v>38300</v>
      </c>
      <c r="W1738">
        <v>0</v>
      </c>
      <c r="X1738">
        <v>0</v>
      </c>
    </row>
    <row r="1739" spans="1:24" ht="15" customHeight="1" x14ac:dyDescent="0.25">
      <c r="A1739" t="str">
        <f>""</f>
        <v/>
      </c>
      <c r="B1739" s="1"/>
      <c r="H1739">
        <v>180</v>
      </c>
      <c r="J1739" t="s">
        <v>23</v>
      </c>
      <c r="L1739" s="1"/>
      <c r="N1739" s="1"/>
      <c r="V1739" t="str">
        <f>"62320"</f>
        <v>62320</v>
      </c>
      <c r="W1739">
        <v>0</v>
      </c>
      <c r="X1739">
        <v>0</v>
      </c>
    </row>
    <row r="1740" spans="1:24" ht="15" customHeight="1" x14ac:dyDescent="0.25">
      <c r="A1740" t="str">
        <f>""</f>
        <v/>
      </c>
      <c r="B1740" s="1"/>
      <c r="H1740">
        <v>151</v>
      </c>
      <c r="J1740" t="s">
        <v>22</v>
      </c>
      <c r="L1740" s="1"/>
      <c r="N1740" s="1"/>
      <c r="V1740" t="str">
        <f>"06560"</f>
        <v>06560</v>
      </c>
      <c r="W1740">
        <v>0</v>
      </c>
      <c r="X1740">
        <v>0</v>
      </c>
    </row>
    <row r="1741" spans="1:24" ht="15" customHeight="1" x14ac:dyDescent="0.25">
      <c r="A1741" t="str">
        <f>""</f>
        <v/>
      </c>
      <c r="B1741" s="1"/>
      <c r="H1741">
        <v>34.24</v>
      </c>
      <c r="J1741" t="s">
        <v>23</v>
      </c>
      <c r="L1741" s="1"/>
      <c r="N1741" s="1"/>
      <c r="V1741" t="str">
        <f>"67100"</f>
        <v>67100</v>
      </c>
      <c r="W1741">
        <v>0</v>
      </c>
      <c r="X1741">
        <v>2.74</v>
      </c>
    </row>
    <row r="1742" spans="1:24" ht="15" customHeight="1" x14ac:dyDescent="0.25">
      <c r="A1742" t="str">
        <f>""</f>
        <v/>
      </c>
      <c r="B1742" s="1"/>
      <c r="J1742" t="s">
        <v>20</v>
      </c>
      <c r="L1742" s="1"/>
      <c r="N1742" s="1"/>
      <c r="V1742" t="str">
        <f>"79260"</f>
        <v>79260</v>
      </c>
      <c r="W1742">
        <v>0</v>
      </c>
      <c r="X1742">
        <v>0</v>
      </c>
    </row>
    <row r="1743" spans="1:24" ht="15" customHeight="1" x14ac:dyDescent="0.25">
      <c r="A1743" t="str">
        <f>""</f>
        <v/>
      </c>
      <c r="B1743" s="1"/>
      <c r="H1743">
        <v>180</v>
      </c>
      <c r="J1743" t="s">
        <v>23</v>
      </c>
      <c r="L1743" s="1"/>
      <c r="N1743" s="1"/>
      <c r="V1743" t="str">
        <f>"37540"</f>
        <v>37540</v>
      </c>
      <c r="W1743">
        <v>0</v>
      </c>
      <c r="X1743">
        <v>0</v>
      </c>
    </row>
    <row r="1744" spans="1:24" ht="15" customHeight="1" x14ac:dyDescent="0.25">
      <c r="A1744" t="str">
        <f>""</f>
        <v/>
      </c>
      <c r="B1744" s="1"/>
      <c r="H1744">
        <v>40</v>
      </c>
      <c r="J1744" t="s">
        <v>23</v>
      </c>
      <c r="L1744" s="1"/>
      <c r="N1744" s="1"/>
      <c r="V1744" t="str">
        <f>"29000"</f>
        <v>29000</v>
      </c>
      <c r="W1744">
        <v>0</v>
      </c>
      <c r="X1744">
        <v>0</v>
      </c>
    </row>
    <row r="1745" spans="1:24" x14ac:dyDescent="0.25">
      <c r="A1745" t="str">
        <f>""</f>
        <v/>
      </c>
      <c r="B1745" s="1"/>
      <c r="H1745">
        <v>180.3</v>
      </c>
      <c r="J1745" t="s">
        <v>17</v>
      </c>
      <c r="L1745" s="1"/>
      <c r="N1745" s="1"/>
      <c r="V1745" t="str">
        <f>"69280"</f>
        <v>69280</v>
      </c>
      <c r="W1745">
        <v>0</v>
      </c>
      <c r="X1745">
        <v>0</v>
      </c>
    </row>
    <row r="1746" spans="1:24" x14ac:dyDescent="0.25">
      <c r="A1746" t="str">
        <f>""</f>
        <v/>
      </c>
      <c r="B1746" s="1"/>
      <c r="H1746">
        <v>122.09</v>
      </c>
      <c r="J1746" t="s">
        <v>18</v>
      </c>
      <c r="L1746" s="1"/>
      <c r="V1746" t="str">
        <f>"83300"</f>
        <v>83300</v>
      </c>
      <c r="W1746">
        <v>0</v>
      </c>
      <c r="X1746">
        <v>0</v>
      </c>
    </row>
    <row r="1747" spans="1:24" x14ac:dyDescent="0.25">
      <c r="A1747" t="str">
        <f>""</f>
        <v/>
      </c>
      <c r="B1747" s="1"/>
      <c r="H1747">
        <v>159.69</v>
      </c>
      <c r="J1747" t="s">
        <v>18</v>
      </c>
      <c r="L1747" s="1"/>
      <c r="N1747" s="1"/>
      <c r="V1747" t="str">
        <f>"69290"</f>
        <v>69290</v>
      </c>
      <c r="W1747">
        <v>0</v>
      </c>
      <c r="X1747">
        <v>0</v>
      </c>
    </row>
    <row r="1748" spans="1:24" ht="15" customHeight="1" x14ac:dyDescent="0.25">
      <c r="A1748" t="str">
        <f>""</f>
        <v/>
      </c>
      <c r="B1748" s="1"/>
      <c r="H1748">
        <v>140</v>
      </c>
      <c r="J1748" t="s">
        <v>22</v>
      </c>
      <c r="L1748" s="1"/>
      <c r="N1748" s="1"/>
      <c r="V1748" t="str">
        <f>"62600"</f>
        <v>62600</v>
      </c>
      <c r="W1748">
        <v>0</v>
      </c>
      <c r="X1748">
        <v>0</v>
      </c>
    </row>
    <row r="1749" spans="1:24" ht="15" customHeight="1" x14ac:dyDescent="0.25">
      <c r="A1749" t="str">
        <f>""</f>
        <v/>
      </c>
      <c r="B1749" s="1"/>
      <c r="H1749">
        <v>250</v>
      </c>
      <c r="J1749" t="s">
        <v>22</v>
      </c>
      <c r="L1749" s="1"/>
      <c r="V1749" t="str">
        <f>"44000"</f>
        <v>44000</v>
      </c>
      <c r="W1749">
        <v>0</v>
      </c>
      <c r="X1749">
        <v>0</v>
      </c>
    </row>
    <row r="1750" spans="1:24" ht="15" customHeight="1" x14ac:dyDescent="0.25">
      <c r="A1750" t="str">
        <f>""</f>
        <v/>
      </c>
      <c r="B1750" s="1"/>
      <c r="H1750">
        <v>140</v>
      </c>
      <c r="J1750" t="s">
        <v>23</v>
      </c>
      <c r="L1750" s="1"/>
      <c r="V1750" t="str">
        <f>"62220"</f>
        <v>62220</v>
      </c>
      <c r="W1750">
        <v>0</v>
      </c>
      <c r="X1750">
        <v>0</v>
      </c>
    </row>
    <row r="1751" spans="1:24" ht="15" customHeight="1" x14ac:dyDescent="0.25">
      <c r="A1751" t="str">
        <f>""</f>
        <v/>
      </c>
      <c r="B1751" s="1"/>
      <c r="H1751">
        <v>138.16</v>
      </c>
      <c r="J1751" t="s">
        <v>19</v>
      </c>
      <c r="L1751" s="1"/>
      <c r="N1751" s="1"/>
      <c r="V1751" t="str">
        <f>"69005"</f>
        <v>69005</v>
      </c>
      <c r="W1751">
        <v>37.299999999999997</v>
      </c>
      <c r="X1751">
        <v>0</v>
      </c>
    </row>
    <row r="1752" spans="1:24" ht="15" customHeight="1" x14ac:dyDescent="0.25">
      <c r="A1752" t="str">
        <f>""</f>
        <v/>
      </c>
      <c r="B1752" s="1"/>
      <c r="H1752">
        <v>134</v>
      </c>
      <c r="L1752" s="1"/>
      <c r="N1752" s="1"/>
      <c r="V1752" t="str">
        <f>"77184"</f>
        <v>77184</v>
      </c>
      <c r="W1752">
        <v>0</v>
      </c>
      <c r="X1752">
        <v>0</v>
      </c>
    </row>
    <row r="1753" spans="1:24" ht="15" customHeight="1" x14ac:dyDescent="0.25">
      <c r="A1753" t="str">
        <f>""</f>
        <v/>
      </c>
      <c r="B1753" s="1"/>
      <c r="H1753">
        <v>40</v>
      </c>
      <c r="J1753" t="s">
        <v>22</v>
      </c>
      <c r="L1753" s="1"/>
      <c r="V1753" t="str">
        <f>"06000"</f>
        <v>06000</v>
      </c>
      <c r="W1753">
        <v>0</v>
      </c>
      <c r="X1753">
        <v>0</v>
      </c>
    </row>
    <row r="1754" spans="1:24" x14ac:dyDescent="0.25">
      <c r="A1754" t="str">
        <f>""</f>
        <v/>
      </c>
      <c r="B1754" s="1"/>
      <c r="H1754">
        <v>108.47</v>
      </c>
      <c r="J1754" t="s">
        <v>18</v>
      </c>
      <c r="L1754" s="1"/>
      <c r="N1754" s="1"/>
      <c r="V1754" t="str">
        <f>"59220"</f>
        <v>59220</v>
      </c>
      <c r="W1754">
        <v>0</v>
      </c>
      <c r="X1754">
        <v>0</v>
      </c>
    </row>
    <row r="1755" spans="1:24" ht="15" customHeight="1" x14ac:dyDescent="0.25">
      <c r="A1755" t="str">
        <f>""</f>
        <v/>
      </c>
      <c r="B1755" s="1"/>
      <c r="H1755">
        <v>70</v>
      </c>
      <c r="J1755" t="s">
        <v>22</v>
      </c>
      <c r="L1755" s="1"/>
      <c r="N1755" s="1"/>
      <c r="V1755" t="str">
        <f>"67230"</f>
        <v>67230</v>
      </c>
      <c r="W1755">
        <v>0</v>
      </c>
      <c r="X1755">
        <v>5.6</v>
      </c>
    </row>
    <row r="1756" spans="1:24" ht="15" customHeight="1" x14ac:dyDescent="0.25">
      <c r="A1756" t="str">
        <f>""</f>
        <v/>
      </c>
      <c r="B1756" s="1"/>
      <c r="H1756">
        <v>183.98</v>
      </c>
      <c r="J1756" t="s">
        <v>22</v>
      </c>
      <c r="L1756" s="1"/>
      <c r="N1756" s="1"/>
      <c r="V1756" t="str">
        <f>"14000"</f>
        <v>14000</v>
      </c>
      <c r="W1756">
        <v>0</v>
      </c>
      <c r="X1756">
        <v>31.28</v>
      </c>
    </row>
    <row r="1757" spans="1:24" ht="15" customHeight="1" x14ac:dyDescent="0.25">
      <c r="A1757" t="str">
        <f>""</f>
        <v/>
      </c>
      <c r="B1757" s="1"/>
      <c r="H1757">
        <v>140</v>
      </c>
      <c r="J1757" t="s">
        <v>22</v>
      </c>
      <c r="L1757" s="1"/>
      <c r="N1757" s="1"/>
      <c r="V1757" t="str">
        <f>"13150"</f>
        <v>13150</v>
      </c>
      <c r="W1757">
        <v>0</v>
      </c>
      <c r="X1757">
        <v>26.6</v>
      </c>
    </row>
    <row r="1758" spans="1:24" ht="15" customHeight="1" x14ac:dyDescent="0.25">
      <c r="A1758" t="str">
        <f>""</f>
        <v/>
      </c>
      <c r="B1758" s="1"/>
      <c r="H1758">
        <v>140</v>
      </c>
      <c r="J1758" t="s">
        <v>23</v>
      </c>
      <c r="L1758" s="1"/>
      <c r="N1758" s="1"/>
      <c r="V1758" t="str">
        <f>"06650"</f>
        <v>06650</v>
      </c>
      <c r="W1758">
        <v>0</v>
      </c>
      <c r="X1758">
        <v>29.4</v>
      </c>
    </row>
    <row r="1759" spans="1:24" ht="15" customHeight="1" x14ac:dyDescent="0.25">
      <c r="A1759" t="str">
        <f>""</f>
        <v/>
      </c>
      <c r="B1759" s="1"/>
      <c r="H1759">
        <v>40</v>
      </c>
      <c r="J1759" t="s">
        <v>23</v>
      </c>
      <c r="L1759" s="1"/>
      <c r="N1759" s="1"/>
      <c r="V1759" t="str">
        <f>"93200"</f>
        <v>93200</v>
      </c>
      <c r="W1759">
        <v>0</v>
      </c>
      <c r="X1759">
        <v>0</v>
      </c>
    </row>
    <row r="1760" spans="1:24" ht="15" customHeight="1" x14ac:dyDescent="0.25">
      <c r="A1760" t="str">
        <f>""</f>
        <v/>
      </c>
      <c r="B1760" s="1"/>
      <c r="H1760">
        <v>140</v>
      </c>
      <c r="J1760" t="s">
        <v>23</v>
      </c>
      <c r="L1760" s="1"/>
      <c r="V1760" t="str">
        <f>"13002"</f>
        <v>13002</v>
      </c>
      <c r="W1760">
        <v>0</v>
      </c>
      <c r="X1760">
        <v>0</v>
      </c>
    </row>
    <row r="1761" spans="1:24" ht="15" customHeight="1" x14ac:dyDescent="0.25">
      <c r="A1761" t="str">
        <f>""</f>
        <v/>
      </c>
      <c r="B1761" s="1"/>
      <c r="H1761">
        <v>184.02</v>
      </c>
      <c r="J1761" t="s">
        <v>22</v>
      </c>
      <c r="L1761" s="1"/>
      <c r="N1761" s="1"/>
      <c r="V1761" t="str">
        <f>"14000"</f>
        <v>14000</v>
      </c>
      <c r="W1761">
        <v>0</v>
      </c>
      <c r="X1761">
        <v>31.28</v>
      </c>
    </row>
    <row r="1762" spans="1:24" ht="15" customHeight="1" x14ac:dyDescent="0.25">
      <c r="A1762" t="str">
        <f>""</f>
        <v/>
      </c>
      <c r="B1762" s="1"/>
      <c r="H1762">
        <v>40</v>
      </c>
      <c r="J1762" t="s">
        <v>23</v>
      </c>
      <c r="L1762" s="1"/>
      <c r="N1762" s="1"/>
      <c r="V1762" t="str">
        <f>"69004"</f>
        <v>69004</v>
      </c>
      <c r="W1762">
        <v>0</v>
      </c>
      <c r="X1762">
        <v>0</v>
      </c>
    </row>
    <row r="1763" spans="1:24" ht="15" customHeight="1" x14ac:dyDescent="0.25">
      <c r="A1763" t="str">
        <f>""</f>
        <v/>
      </c>
      <c r="B1763" s="1"/>
      <c r="H1763">
        <v>140</v>
      </c>
      <c r="J1763" t="s">
        <v>23</v>
      </c>
      <c r="L1763" s="1"/>
      <c r="V1763" t="str">
        <f>"80132"</f>
        <v>80132</v>
      </c>
      <c r="W1763">
        <v>0</v>
      </c>
      <c r="X1763">
        <v>0</v>
      </c>
    </row>
    <row r="1764" spans="1:24" ht="15" customHeight="1" x14ac:dyDescent="0.25">
      <c r="A1764" t="str">
        <f>""</f>
        <v/>
      </c>
      <c r="B1764" s="1"/>
      <c r="H1764">
        <v>54.37</v>
      </c>
      <c r="J1764" t="s">
        <v>19</v>
      </c>
      <c r="L1764" s="1"/>
      <c r="N1764" s="1"/>
      <c r="V1764" t="str">
        <f>"61250"</f>
        <v>61250</v>
      </c>
      <c r="W1764">
        <v>9.24</v>
      </c>
      <c r="X1764">
        <v>0</v>
      </c>
    </row>
    <row r="1765" spans="1:24" ht="15" customHeight="1" x14ac:dyDescent="0.25">
      <c r="A1765" t="str">
        <f>""</f>
        <v/>
      </c>
      <c r="B1765" s="1"/>
      <c r="H1765">
        <v>70</v>
      </c>
      <c r="J1765" t="s">
        <v>22</v>
      </c>
      <c r="L1765" s="1"/>
      <c r="N1765" s="1"/>
      <c r="V1765" t="str">
        <f>"21700"</f>
        <v>21700</v>
      </c>
      <c r="W1765">
        <v>0</v>
      </c>
      <c r="X1765">
        <v>8.4</v>
      </c>
    </row>
    <row r="1766" spans="1:24" ht="15" customHeight="1" x14ac:dyDescent="0.25">
      <c r="A1766" t="str">
        <f>""</f>
        <v/>
      </c>
      <c r="B1766" s="1"/>
      <c r="H1766">
        <v>70</v>
      </c>
      <c r="J1766" t="s">
        <v>22</v>
      </c>
      <c r="L1766" s="1"/>
      <c r="N1766" s="1"/>
      <c r="V1766" t="str">
        <f>"70300"</f>
        <v>70300</v>
      </c>
      <c r="W1766">
        <v>0</v>
      </c>
      <c r="X1766">
        <v>8.4</v>
      </c>
    </row>
    <row r="1767" spans="1:24" ht="15" customHeight="1" x14ac:dyDescent="0.25">
      <c r="A1767" t="str">
        <f>""</f>
        <v/>
      </c>
      <c r="B1767" s="1"/>
      <c r="H1767">
        <v>151.97</v>
      </c>
      <c r="J1767" t="s">
        <v>23</v>
      </c>
      <c r="L1767" s="1"/>
      <c r="N1767" s="1"/>
      <c r="V1767" t="str">
        <f>"25320"</f>
        <v>25320</v>
      </c>
      <c r="W1767">
        <v>0</v>
      </c>
      <c r="X1767">
        <v>18.239999999999998</v>
      </c>
    </row>
    <row r="1768" spans="1:24" ht="15" customHeight="1" x14ac:dyDescent="0.25">
      <c r="A1768" t="str">
        <f>""</f>
        <v/>
      </c>
      <c r="B1768" s="1"/>
      <c r="H1768">
        <v>40</v>
      </c>
      <c r="J1768" t="s">
        <v>22</v>
      </c>
      <c r="L1768" s="1"/>
      <c r="N1768" s="1"/>
      <c r="V1768" t="str">
        <f>"06200"</f>
        <v>06200</v>
      </c>
      <c r="W1768">
        <v>0</v>
      </c>
      <c r="X1768">
        <v>8.4</v>
      </c>
    </row>
    <row r="1769" spans="1:24" ht="15" customHeight="1" x14ac:dyDescent="0.25">
      <c r="A1769" t="str">
        <f>""</f>
        <v/>
      </c>
      <c r="B1769" s="1"/>
      <c r="H1769">
        <v>180</v>
      </c>
      <c r="J1769" t="s">
        <v>23</v>
      </c>
      <c r="L1769" s="1"/>
      <c r="N1769" s="1"/>
      <c r="V1769" t="str">
        <f>"35510"</f>
        <v>35510</v>
      </c>
      <c r="W1769">
        <v>0</v>
      </c>
      <c r="X1769">
        <v>0</v>
      </c>
    </row>
    <row r="1770" spans="1:24" ht="15" customHeight="1" x14ac:dyDescent="0.25">
      <c r="A1770" t="str">
        <f>""</f>
        <v/>
      </c>
      <c r="B1770" s="1"/>
      <c r="H1770">
        <v>133.4</v>
      </c>
      <c r="J1770" t="s">
        <v>22</v>
      </c>
      <c r="L1770" s="1"/>
      <c r="N1770" s="1"/>
      <c r="V1770" t="str">
        <f>"37210"</f>
        <v>37210</v>
      </c>
      <c r="W1770">
        <v>0</v>
      </c>
      <c r="X1770">
        <v>0</v>
      </c>
    </row>
    <row r="1771" spans="1:24" ht="15" customHeight="1" x14ac:dyDescent="0.25">
      <c r="A1771" t="str">
        <f>""</f>
        <v/>
      </c>
      <c r="B1771" s="1"/>
      <c r="H1771">
        <v>32</v>
      </c>
      <c r="J1771" t="s">
        <v>23</v>
      </c>
      <c r="L1771" s="1"/>
      <c r="N1771" s="1"/>
      <c r="V1771" t="str">
        <f>"13090"</f>
        <v>13090</v>
      </c>
      <c r="W1771">
        <v>0</v>
      </c>
      <c r="X1771">
        <v>8.64</v>
      </c>
    </row>
    <row r="1772" spans="1:24" ht="15" customHeight="1" x14ac:dyDescent="0.25">
      <c r="A1772" t="str">
        <f>""</f>
        <v/>
      </c>
      <c r="B1772" s="1"/>
      <c r="H1772">
        <v>62.6</v>
      </c>
      <c r="J1772" t="s">
        <v>23</v>
      </c>
      <c r="L1772" s="1"/>
      <c r="N1772" s="1"/>
      <c r="V1772" t="str">
        <f>"16190"</f>
        <v>16190</v>
      </c>
      <c r="W1772">
        <v>0</v>
      </c>
      <c r="X1772">
        <v>10.64</v>
      </c>
    </row>
    <row r="1773" spans="1:24" ht="15" customHeight="1" x14ac:dyDescent="0.25">
      <c r="A1773" t="str">
        <f>""</f>
        <v/>
      </c>
      <c r="B1773" s="1"/>
      <c r="H1773">
        <v>173.92</v>
      </c>
      <c r="J1773" t="s">
        <v>22</v>
      </c>
      <c r="L1773" s="1"/>
      <c r="N1773" s="1"/>
      <c r="V1773" t="str">
        <f>"14000"</f>
        <v>14000</v>
      </c>
      <c r="W1773">
        <v>0</v>
      </c>
      <c r="X1773">
        <v>0</v>
      </c>
    </row>
    <row r="1774" spans="1:24" ht="15" customHeight="1" x14ac:dyDescent="0.25">
      <c r="A1774" t="str">
        <f>""</f>
        <v/>
      </c>
      <c r="B1774" s="1"/>
      <c r="H1774">
        <v>165.32</v>
      </c>
      <c r="J1774" t="s">
        <v>23</v>
      </c>
      <c r="L1774" s="1"/>
      <c r="N1774" s="1"/>
      <c r="V1774" t="str">
        <f>"76000"</f>
        <v>76000</v>
      </c>
      <c r="W1774">
        <v>0</v>
      </c>
      <c r="X1774">
        <v>28.1</v>
      </c>
    </row>
    <row r="1775" spans="1:24" ht="15" customHeight="1" x14ac:dyDescent="0.25">
      <c r="A1775" t="str">
        <f>""</f>
        <v/>
      </c>
      <c r="B1775" s="1"/>
      <c r="H1775">
        <v>79.760000000000005</v>
      </c>
      <c r="J1775" t="s">
        <v>22</v>
      </c>
      <c r="L1775" s="1"/>
      <c r="V1775" t="str">
        <f>"76530"</f>
        <v>76530</v>
      </c>
      <c r="W1775">
        <v>0</v>
      </c>
      <c r="X1775">
        <v>0</v>
      </c>
    </row>
    <row r="1776" spans="1:24" ht="15" customHeight="1" x14ac:dyDescent="0.25">
      <c r="A1776" t="str">
        <f>""</f>
        <v/>
      </c>
      <c r="B1776" s="1"/>
      <c r="H1776">
        <v>140</v>
      </c>
      <c r="J1776" t="s">
        <v>23</v>
      </c>
      <c r="L1776" s="1"/>
      <c r="N1776" s="1"/>
      <c r="V1776" t="str">
        <f>"45650"</f>
        <v>45650</v>
      </c>
      <c r="W1776">
        <v>0</v>
      </c>
      <c r="X1776">
        <v>0</v>
      </c>
    </row>
    <row r="1777" spans="1:24" ht="15" customHeight="1" x14ac:dyDescent="0.25">
      <c r="A1777" t="str">
        <f>""</f>
        <v/>
      </c>
      <c r="B1777" s="1"/>
      <c r="H1777">
        <v>40</v>
      </c>
      <c r="J1777" t="s">
        <v>22</v>
      </c>
      <c r="L1777" s="1"/>
      <c r="N1777" s="1"/>
      <c r="V1777" t="str">
        <f>"55190"</f>
        <v>55190</v>
      </c>
      <c r="W1777">
        <v>0</v>
      </c>
      <c r="X1777">
        <v>10</v>
      </c>
    </row>
    <row r="1778" spans="1:24" ht="15" customHeight="1" x14ac:dyDescent="0.25">
      <c r="A1778" t="str">
        <f>""</f>
        <v/>
      </c>
      <c r="B1778" s="1"/>
      <c r="H1778">
        <v>49.5</v>
      </c>
      <c r="J1778" t="s">
        <v>23</v>
      </c>
      <c r="L1778" s="1"/>
      <c r="N1778" s="1"/>
      <c r="V1778" t="str">
        <f>"83700"</f>
        <v>83700</v>
      </c>
      <c r="W1778">
        <v>0</v>
      </c>
      <c r="X1778">
        <v>0</v>
      </c>
    </row>
    <row r="1779" spans="1:24" x14ac:dyDescent="0.25">
      <c r="A1779" t="str">
        <f>""</f>
        <v/>
      </c>
      <c r="B1779" s="1"/>
      <c r="H1779">
        <v>151</v>
      </c>
      <c r="J1779" t="s">
        <v>16</v>
      </c>
      <c r="L1779" s="1"/>
      <c r="N1779" s="1"/>
      <c r="V1779" t="str">
        <f>"91160"</f>
        <v>91160</v>
      </c>
      <c r="W1779">
        <v>0</v>
      </c>
      <c r="X1779">
        <v>0</v>
      </c>
    </row>
    <row r="1780" spans="1:24" ht="15" customHeight="1" x14ac:dyDescent="0.25">
      <c r="A1780" t="str">
        <f>""</f>
        <v/>
      </c>
      <c r="B1780" s="1"/>
      <c r="H1780">
        <v>55</v>
      </c>
      <c r="J1780" t="s">
        <v>22</v>
      </c>
      <c r="L1780" s="1"/>
      <c r="N1780" s="1"/>
      <c r="V1780" t="str">
        <f>"70000"</f>
        <v>70000</v>
      </c>
      <c r="W1780">
        <v>0</v>
      </c>
      <c r="X1780">
        <v>6.6</v>
      </c>
    </row>
    <row r="1781" spans="1:24" ht="15" customHeight="1" x14ac:dyDescent="0.25">
      <c r="A1781" t="str">
        <f>""</f>
        <v/>
      </c>
      <c r="B1781" s="1"/>
      <c r="H1781">
        <v>350</v>
      </c>
      <c r="J1781" t="s">
        <v>22</v>
      </c>
      <c r="L1781" s="1"/>
      <c r="N1781" s="1"/>
      <c r="V1781" t="str">
        <f>"70000"</f>
        <v>70000</v>
      </c>
      <c r="W1781">
        <v>0</v>
      </c>
      <c r="X1781">
        <v>42</v>
      </c>
    </row>
    <row r="1782" spans="1:24" ht="15" customHeight="1" x14ac:dyDescent="0.25">
      <c r="A1782" t="str">
        <f>""</f>
        <v/>
      </c>
      <c r="B1782" s="1"/>
      <c r="H1782">
        <v>22</v>
      </c>
      <c r="J1782" t="s">
        <v>22</v>
      </c>
      <c r="L1782" s="1"/>
      <c r="N1782" s="1"/>
      <c r="V1782" t="str">
        <f>"72310"</f>
        <v>72310</v>
      </c>
      <c r="W1782">
        <v>0</v>
      </c>
      <c r="X1782">
        <v>0</v>
      </c>
    </row>
    <row r="1783" spans="1:24" ht="15" customHeight="1" x14ac:dyDescent="0.25">
      <c r="A1783" t="str">
        <f>""</f>
        <v/>
      </c>
      <c r="B1783" s="1"/>
      <c r="H1783">
        <v>250</v>
      </c>
      <c r="J1783" t="s">
        <v>23</v>
      </c>
      <c r="L1783" s="1"/>
      <c r="N1783" s="1"/>
      <c r="V1783" t="str">
        <f>"13009"</f>
        <v>13009</v>
      </c>
      <c r="W1783">
        <v>0</v>
      </c>
      <c r="X1783">
        <v>0</v>
      </c>
    </row>
    <row r="1784" spans="1:24" ht="15" customHeight="1" x14ac:dyDescent="0.25">
      <c r="A1784" t="str">
        <f>""</f>
        <v/>
      </c>
      <c r="B1784" s="1"/>
      <c r="H1784">
        <v>50.84</v>
      </c>
      <c r="J1784" t="s">
        <v>20</v>
      </c>
      <c r="L1784" s="1"/>
      <c r="N1784" s="1"/>
      <c r="V1784" t="str">
        <f>"92000"</f>
        <v>92000</v>
      </c>
      <c r="W1784">
        <v>0</v>
      </c>
      <c r="X1784">
        <v>0</v>
      </c>
    </row>
    <row r="1785" spans="1:24" x14ac:dyDescent="0.25">
      <c r="A1785" t="str">
        <f>""</f>
        <v/>
      </c>
      <c r="B1785" s="1"/>
      <c r="H1785">
        <v>52.5</v>
      </c>
      <c r="J1785" t="s">
        <v>15</v>
      </c>
      <c r="L1785" s="1"/>
      <c r="N1785" s="1"/>
      <c r="V1785" t="str">
        <f>"69009"</f>
        <v>69009</v>
      </c>
      <c r="W1785">
        <v>0</v>
      </c>
      <c r="X1785">
        <v>0</v>
      </c>
    </row>
    <row r="1786" spans="1:24" x14ac:dyDescent="0.25">
      <c r="A1786" t="str">
        <f>""</f>
        <v/>
      </c>
      <c r="B1786" s="1"/>
      <c r="H1786">
        <v>52.5</v>
      </c>
      <c r="J1786" t="s">
        <v>15</v>
      </c>
      <c r="L1786" s="1"/>
      <c r="N1786" s="1"/>
      <c r="V1786" t="str">
        <f>"13006"</f>
        <v>13006</v>
      </c>
      <c r="W1786">
        <v>0</v>
      </c>
      <c r="X1786">
        <v>0</v>
      </c>
    </row>
    <row r="1787" spans="1:24" x14ac:dyDescent="0.25">
      <c r="A1787" t="str">
        <f>""</f>
        <v/>
      </c>
      <c r="B1787" s="1"/>
      <c r="H1787">
        <v>52.5</v>
      </c>
      <c r="J1787" t="s">
        <v>15</v>
      </c>
      <c r="L1787" s="1"/>
      <c r="N1787" s="1"/>
      <c r="V1787" t="str">
        <f>"56000"</f>
        <v>56000</v>
      </c>
      <c r="W1787">
        <v>0</v>
      </c>
      <c r="X1787">
        <v>0</v>
      </c>
    </row>
    <row r="1788" spans="1:24" x14ac:dyDescent="0.25">
      <c r="A1788" t="str">
        <f>""</f>
        <v/>
      </c>
      <c r="B1788" s="1"/>
      <c r="H1788">
        <v>52.5</v>
      </c>
      <c r="J1788" t="s">
        <v>15</v>
      </c>
      <c r="L1788" s="1"/>
      <c r="N1788" s="1"/>
      <c r="V1788" t="str">
        <f>"34500"</f>
        <v>34500</v>
      </c>
      <c r="W1788">
        <v>0</v>
      </c>
      <c r="X1788">
        <v>0</v>
      </c>
    </row>
    <row r="1789" spans="1:24" ht="15" customHeight="1" x14ac:dyDescent="0.25">
      <c r="A1789" t="str">
        <f>""</f>
        <v/>
      </c>
      <c r="B1789" s="1"/>
      <c r="H1789">
        <v>30</v>
      </c>
      <c r="J1789" t="s">
        <v>22</v>
      </c>
      <c r="L1789" s="1"/>
      <c r="N1789" s="1"/>
      <c r="V1789" t="str">
        <f>"69120"</f>
        <v>69120</v>
      </c>
      <c r="W1789">
        <v>0</v>
      </c>
      <c r="X1789">
        <v>0</v>
      </c>
    </row>
    <row r="1790" spans="1:24" ht="15" customHeight="1" x14ac:dyDescent="0.25">
      <c r="A1790" t="str">
        <f>""</f>
        <v/>
      </c>
      <c r="B1790" s="1"/>
      <c r="H1790">
        <v>150</v>
      </c>
      <c r="J1790" t="s">
        <v>22</v>
      </c>
      <c r="L1790" s="1"/>
      <c r="N1790" s="1"/>
      <c r="V1790" t="str">
        <f>"83600"</f>
        <v>83600</v>
      </c>
      <c r="W1790">
        <v>0</v>
      </c>
      <c r="X1790">
        <v>0</v>
      </c>
    </row>
    <row r="1791" spans="1:24" ht="15" customHeight="1" x14ac:dyDescent="0.25">
      <c r="A1791" t="str">
        <f>""</f>
        <v/>
      </c>
      <c r="B1791" s="1"/>
      <c r="H1791">
        <v>25</v>
      </c>
      <c r="J1791" t="s">
        <v>23</v>
      </c>
      <c r="L1791" s="1"/>
      <c r="N1791" s="1"/>
      <c r="V1791" t="str">
        <f>"94120"</f>
        <v>94120</v>
      </c>
      <c r="W1791">
        <v>0</v>
      </c>
      <c r="X1791">
        <v>0</v>
      </c>
    </row>
    <row r="1792" spans="1:24" ht="15" customHeight="1" x14ac:dyDescent="0.25">
      <c r="A1792" t="str">
        <f>""</f>
        <v/>
      </c>
      <c r="B1792" s="1"/>
      <c r="H1792">
        <v>55.16</v>
      </c>
      <c r="J1792" t="s">
        <v>19</v>
      </c>
      <c r="L1792" s="1"/>
      <c r="N1792" s="1"/>
      <c r="V1792" t="str">
        <f>"93013"</f>
        <v>93013</v>
      </c>
      <c r="W1792">
        <v>0</v>
      </c>
      <c r="X1792">
        <v>0</v>
      </c>
    </row>
    <row r="1793" spans="1:24" ht="15" customHeight="1" x14ac:dyDescent="0.25">
      <c r="A1793" t="str">
        <f>""</f>
        <v/>
      </c>
      <c r="B1793" s="1"/>
      <c r="H1793">
        <v>103.62</v>
      </c>
      <c r="J1793" t="s">
        <v>19</v>
      </c>
      <c r="L1793" s="1"/>
      <c r="N1793" s="1"/>
      <c r="V1793" t="str">
        <f>"56920"</f>
        <v>56920</v>
      </c>
      <c r="W1793">
        <v>27.98</v>
      </c>
      <c r="X1793">
        <v>0</v>
      </c>
    </row>
    <row r="1794" spans="1:24" x14ac:dyDescent="0.25">
      <c r="A1794" t="str">
        <f>""</f>
        <v/>
      </c>
      <c r="B1794" s="1"/>
      <c r="H1794">
        <v>80</v>
      </c>
      <c r="J1794" t="s">
        <v>15</v>
      </c>
      <c r="L1794" s="1"/>
      <c r="V1794" t="str">
        <f>"51520"</f>
        <v>51520</v>
      </c>
      <c r="W1794">
        <v>0</v>
      </c>
      <c r="X1794">
        <v>0</v>
      </c>
    </row>
    <row r="1795" spans="1:24" ht="15" customHeight="1" x14ac:dyDescent="0.25">
      <c r="A1795" t="str">
        <f>""</f>
        <v/>
      </c>
      <c r="B1795" s="1"/>
      <c r="H1795">
        <v>163</v>
      </c>
      <c r="J1795" t="s">
        <v>22</v>
      </c>
      <c r="L1795" s="1"/>
      <c r="N1795" s="1"/>
      <c r="V1795" t="str">
        <f>"26000"</f>
        <v>26000</v>
      </c>
      <c r="W1795">
        <v>0</v>
      </c>
      <c r="X1795">
        <v>0</v>
      </c>
    </row>
    <row r="1796" spans="1:24" ht="15" customHeight="1" x14ac:dyDescent="0.25">
      <c r="A1796" t="str">
        <f>""</f>
        <v/>
      </c>
      <c r="B1796" s="1"/>
      <c r="H1796">
        <v>136.65</v>
      </c>
      <c r="J1796" t="s">
        <v>19</v>
      </c>
      <c r="L1796" s="1"/>
      <c r="N1796" s="1"/>
      <c r="V1796" t="str">
        <f>"45330"</f>
        <v>45330</v>
      </c>
      <c r="W1796">
        <v>28.7</v>
      </c>
      <c r="X1796">
        <v>0</v>
      </c>
    </row>
    <row r="1797" spans="1:24" ht="15" customHeight="1" x14ac:dyDescent="0.25">
      <c r="A1797" t="str">
        <f>""</f>
        <v/>
      </c>
      <c r="B1797" s="1"/>
      <c r="H1797">
        <v>55.51</v>
      </c>
      <c r="J1797" t="s">
        <v>19</v>
      </c>
      <c r="L1797" s="1"/>
      <c r="N1797" s="1"/>
      <c r="V1797" t="str">
        <f>"16380"</f>
        <v>16380</v>
      </c>
      <c r="W1797">
        <v>11.66</v>
      </c>
      <c r="X1797">
        <v>0</v>
      </c>
    </row>
    <row r="1798" spans="1:24" ht="15" customHeight="1" x14ac:dyDescent="0.25">
      <c r="A1798" t="str">
        <f>""</f>
        <v/>
      </c>
      <c r="B1798" s="1"/>
      <c r="H1798">
        <v>64.819999999999993</v>
      </c>
      <c r="J1798" t="s">
        <v>22</v>
      </c>
      <c r="L1798" s="1"/>
      <c r="N1798" s="1"/>
      <c r="V1798" t="str">
        <f>"28000"</f>
        <v>28000</v>
      </c>
      <c r="W1798">
        <v>0</v>
      </c>
      <c r="X1798">
        <v>0</v>
      </c>
    </row>
    <row r="1799" spans="1:24" ht="15" customHeight="1" x14ac:dyDescent="0.25">
      <c r="A1799" t="str">
        <f>""</f>
        <v/>
      </c>
      <c r="B1799" s="1"/>
      <c r="H1799">
        <v>84.5</v>
      </c>
      <c r="J1799" t="s">
        <v>23</v>
      </c>
      <c r="L1799" s="1"/>
      <c r="N1799" s="1"/>
      <c r="V1799" t="str">
        <f>"92400"</f>
        <v>92400</v>
      </c>
      <c r="W1799">
        <v>0</v>
      </c>
      <c r="X1799">
        <v>0</v>
      </c>
    </row>
    <row r="1800" spans="1:24" ht="15" customHeight="1" x14ac:dyDescent="0.25">
      <c r="A1800" t="str">
        <f>""</f>
        <v/>
      </c>
      <c r="B1800" s="1"/>
      <c r="H1800">
        <v>40</v>
      </c>
      <c r="J1800" t="s">
        <v>23</v>
      </c>
      <c r="L1800" s="1"/>
      <c r="N1800" s="1"/>
      <c r="V1800" t="str">
        <f>"67000"</f>
        <v>67000</v>
      </c>
      <c r="W1800">
        <v>0</v>
      </c>
      <c r="X1800">
        <v>3.2</v>
      </c>
    </row>
    <row r="1801" spans="1:24" ht="15" customHeight="1" x14ac:dyDescent="0.25">
      <c r="A1801" t="str">
        <f>""</f>
        <v/>
      </c>
      <c r="B1801" s="1"/>
      <c r="H1801">
        <v>151</v>
      </c>
      <c r="J1801" t="s">
        <v>22</v>
      </c>
      <c r="L1801" s="1"/>
      <c r="N1801" s="1"/>
      <c r="V1801" t="str">
        <f>"06560"</f>
        <v>06560</v>
      </c>
      <c r="W1801">
        <v>0</v>
      </c>
      <c r="X1801">
        <v>0</v>
      </c>
    </row>
    <row r="1802" spans="1:24" ht="15" customHeight="1" x14ac:dyDescent="0.25">
      <c r="A1802" t="str">
        <f>""</f>
        <v/>
      </c>
      <c r="B1802" s="1"/>
      <c r="H1802">
        <v>151</v>
      </c>
      <c r="J1802" t="s">
        <v>22</v>
      </c>
      <c r="L1802" s="1"/>
      <c r="N1802" s="1"/>
      <c r="V1802" t="str">
        <f>"06560"</f>
        <v>06560</v>
      </c>
      <c r="W1802">
        <v>0</v>
      </c>
      <c r="X1802">
        <v>0</v>
      </c>
    </row>
    <row r="1803" spans="1:24" ht="15" customHeight="1" x14ac:dyDescent="0.25">
      <c r="A1803" t="str">
        <f>""</f>
        <v/>
      </c>
      <c r="B1803" s="1"/>
      <c r="H1803">
        <v>103.97</v>
      </c>
      <c r="J1803" t="s">
        <v>23</v>
      </c>
      <c r="L1803" s="1"/>
      <c r="N1803" s="1"/>
      <c r="V1803" t="str">
        <f>"13090"</f>
        <v>13090</v>
      </c>
      <c r="W1803">
        <v>0</v>
      </c>
      <c r="X1803">
        <v>19.75</v>
      </c>
    </row>
    <row r="1804" spans="1:24" ht="15" customHeight="1" x14ac:dyDescent="0.25">
      <c r="A1804" t="str">
        <f>""</f>
        <v/>
      </c>
      <c r="B1804" s="1"/>
      <c r="H1804">
        <v>151.93</v>
      </c>
      <c r="J1804" t="s">
        <v>20</v>
      </c>
      <c r="L1804" s="1"/>
      <c r="N1804" s="1"/>
      <c r="V1804" t="str">
        <f>"63000"</f>
        <v>63000</v>
      </c>
      <c r="W1804">
        <v>44.06</v>
      </c>
      <c r="X1804">
        <v>0</v>
      </c>
    </row>
    <row r="1805" spans="1:24" ht="15" customHeight="1" x14ac:dyDescent="0.25">
      <c r="A1805" t="str">
        <f>""</f>
        <v/>
      </c>
      <c r="B1805" s="1"/>
      <c r="H1805">
        <v>55.16</v>
      </c>
      <c r="J1805" t="s">
        <v>19</v>
      </c>
      <c r="L1805" s="1"/>
      <c r="N1805" s="1"/>
      <c r="V1805" t="str">
        <f>"71380"</f>
        <v>71380</v>
      </c>
      <c r="W1805">
        <v>14.89</v>
      </c>
      <c r="X1805">
        <v>0</v>
      </c>
    </row>
    <row r="1806" spans="1:24" ht="15" customHeight="1" x14ac:dyDescent="0.25">
      <c r="A1806" t="str">
        <f>""</f>
        <v/>
      </c>
      <c r="B1806" s="1"/>
      <c r="J1806" t="s">
        <v>20</v>
      </c>
      <c r="L1806" s="1"/>
      <c r="N1806" s="1"/>
      <c r="V1806" t="str">
        <f>"35520"</f>
        <v>35520</v>
      </c>
      <c r="W1806">
        <v>0</v>
      </c>
      <c r="X1806">
        <v>0</v>
      </c>
    </row>
    <row r="1807" spans="1:24" ht="15" customHeight="1" x14ac:dyDescent="0.25">
      <c r="A1807" t="str">
        <f>""</f>
        <v/>
      </c>
      <c r="B1807" s="1"/>
      <c r="H1807">
        <v>58.35</v>
      </c>
      <c r="J1807" t="s">
        <v>19</v>
      </c>
      <c r="L1807" s="1"/>
      <c r="N1807" s="1"/>
      <c r="V1807" t="str">
        <f>"56920"</f>
        <v>56920</v>
      </c>
      <c r="W1807">
        <v>15.75</v>
      </c>
      <c r="X1807">
        <v>0</v>
      </c>
    </row>
    <row r="1808" spans="1:24" ht="15" customHeight="1" x14ac:dyDescent="0.25">
      <c r="A1808" t="str">
        <f>""</f>
        <v/>
      </c>
      <c r="B1808" s="1"/>
      <c r="H1808">
        <v>140</v>
      </c>
      <c r="J1808" t="s">
        <v>23</v>
      </c>
      <c r="L1808" s="1"/>
      <c r="N1808" s="1"/>
      <c r="V1808" t="str">
        <f>"35770"</f>
        <v>35770</v>
      </c>
      <c r="W1808">
        <v>0</v>
      </c>
      <c r="X1808">
        <v>37.799999999999997</v>
      </c>
    </row>
    <row r="1809" spans="1:24" ht="15" customHeight="1" x14ac:dyDescent="0.25">
      <c r="A1809" t="str">
        <f>""</f>
        <v/>
      </c>
      <c r="B1809" s="1"/>
      <c r="H1809">
        <v>180</v>
      </c>
      <c r="J1809" t="s">
        <v>23</v>
      </c>
      <c r="L1809" s="1"/>
      <c r="N1809" s="1"/>
      <c r="V1809" t="str">
        <f>"94470"</f>
        <v>94470</v>
      </c>
      <c r="W1809">
        <v>0</v>
      </c>
      <c r="X1809">
        <v>0</v>
      </c>
    </row>
    <row r="1810" spans="1:24" x14ac:dyDescent="0.25">
      <c r="A1810" t="str">
        <f>""</f>
        <v/>
      </c>
      <c r="B1810" s="1"/>
      <c r="H1810">
        <v>137.80000000000001</v>
      </c>
      <c r="J1810" t="s">
        <v>17</v>
      </c>
      <c r="L1810" s="1"/>
      <c r="N1810" s="1"/>
      <c r="V1810" t="str">
        <f>"45000"</f>
        <v>45000</v>
      </c>
      <c r="W1810">
        <v>0</v>
      </c>
      <c r="X1810">
        <v>0</v>
      </c>
    </row>
    <row r="1811" spans="1:24" ht="15" customHeight="1" x14ac:dyDescent="0.25">
      <c r="A1811" t="str">
        <f>""</f>
        <v/>
      </c>
      <c r="B1811" s="1"/>
      <c r="H1811">
        <v>60.2</v>
      </c>
      <c r="J1811" t="s">
        <v>22</v>
      </c>
      <c r="L1811" s="1"/>
      <c r="N1811" s="1"/>
      <c r="V1811" t="str">
        <f>"75014"</f>
        <v>75014</v>
      </c>
      <c r="W1811">
        <v>0</v>
      </c>
      <c r="X1811">
        <v>0</v>
      </c>
    </row>
    <row r="1812" spans="1:24" ht="15" customHeight="1" x14ac:dyDescent="0.25">
      <c r="A1812" t="str">
        <f>""</f>
        <v/>
      </c>
      <c r="B1812" s="1"/>
      <c r="H1812">
        <v>58.2</v>
      </c>
      <c r="J1812" t="s">
        <v>22</v>
      </c>
      <c r="L1812" s="1"/>
      <c r="N1812" s="1"/>
      <c r="V1812" t="str">
        <f>"75014"</f>
        <v>75014</v>
      </c>
      <c r="W1812">
        <v>0</v>
      </c>
      <c r="X1812">
        <v>0</v>
      </c>
    </row>
    <row r="1813" spans="1:24" ht="15" customHeight="1" x14ac:dyDescent="0.25">
      <c r="A1813" t="str">
        <f>""</f>
        <v/>
      </c>
      <c r="B1813" s="1"/>
      <c r="H1813">
        <v>108.2</v>
      </c>
      <c r="J1813" t="s">
        <v>22</v>
      </c>
      <c r="L1813" s="1"/>
      <c r="N1813" s="1"/>
      <c r="V1813" t="str">
        <f>"75016"</f>
        <v>75016</v>
      </c>
      <c r="W1813">
        <v>0</v>
      </c>
      <c r="X1813">
        <v>0</v>
      </c>
    </row>
    <row r="1814" spans="1:24" ht="15" customHeight="1" x14ac:dyDescent="0.25">
      <c r="A1814" t="str">
        <f>""</f>
        <v/>
      </c>
      <c r="B1814" s="1"/>
      <c r="H1814">
        <v>71.53</v>
      </c>
      <c r="J1814" t="s">
        <v>23</v>
      </c>
      <c r="L1814" s="1"/>
      <c r="V1814" t="str">
        <f>"06500"</f>
        <v>06500</v>
      </c>
      <c r="W1814">
        <v>0</v>
      </c>
      <c r="X1814">
        <v>0</v>
      </c>
    </row>
    <row r="1815" spans="1:24" x14ac:dyDescent="0.25">
      <c r="A1815" t="str">
        <f>""</f>
        <v/>
      </c>
      <c r="B1815" s="1"/>
      <c r="H1815">
        <v>140</v>
      </c>
      <c r="J1815" t="s">
        <v>18</v>
      </c>
      <c r="L1815" s="1"/>
      <c r="N1815" s="1"/>
      <c r="V1815" t="str">
        <f>"75002"</f>
        <v>75002</v>
      </c>
      <c r="W1815">
        <v>0</v>
      </c>
      <c r="X1815">
        <v>0</v>
      </c>
    </row>
    <row r="1816" spans="1:24" ht="15" customHeight="1" x14ac:dyDescent="0.25">
      <c r="A1816" t="str">
        <f>""</f>
        <v/>
      </c>
      <c r="B1816" s="1"/>
      <c r="H1816">
        <v>37.24</v>
      </c>
      <c r="L1816" s="1"/>
      <c r="N1816" s="1"/>
      <c r="V1816" t="str">
        <f>"77184"</f>
        <v>77184</v>
      </c>
      <c r="W1816">
        <v>0</v>
      </c>
      <c r="X1816">
        <v>0</v>
      </c>
    </row>
    <row r="1817" spans="1:24" ht="15" customHeight="1" x14ac:dyDescent="0.25">
      <c r="A1817" t="str">
        <f>""</f>
        <v/>
      </c>
      <c r="B1817" s="1"/>
      <c r="H1817">
        <v>130</v>
      </c>
      <c r="L1817" s="1"/>
      <c r="N1817" s="1"/>
      <c r="V1817" t="str">
        <f>"77184"</f>
        <v>77184</v>
      </c>
      <c r="W1817">
        <v>0</v>
      </c>
      <c r="X1817">
        <v>0</v>
      </c>
    </row>
    <row r="1818" spans="1:24" ht="15" customHeight="1" x14ac:dyDescent="0.25">
      <c r="A1818" t="str">
        <f>""</f>
        <v/>
      </c>
      <c r="B1818" s="1"/>
      <c r="H1818">
        <v>32</v>
      </c>
      <c r="L1818" s="1"/>
      <c r="N1818" s="1"/>
      <c r="V1818" t="str">
        <f>"77184"</f>
        <v>77184</v>
      </c>
      <c r="W1818">
        <v>0</v>
      </c>
      <c r="X1818">
        <v>0</v>
      </c>
    </row>
    <row r="1819" spans="1:24" ht="15" customHeight="1" x14ac:dyDescent="0.25">
      <c r="A1819" t="str">
        <f>""</f>
        <v/>
      </c>
      <c r="B1819" s="1"/>
      <c r="H1819">
        <v>174.26</v>
      </c>
      <c r="J1819" t="s">
        <v>19</v>
      </c>
      <c r="L1819" s="1"/>
      <c r="N1819" s="1"/>
      <c r="V1819" t="str">
        <f>"75009"</f>
        <v>75009</v>
      </c>
      <c r="W1819">
        <v>0</v>
      </c>
      <c r="X1819">
        <v>0</v>
      </c>
    </row>
    <row r="1820" spans="1:24" ht="15" customHeight="1" x14ac:dyDescent="0.25">
      <c r="A1820" t="str">
        <f>""</f>
        <v/>
      </c>
      <c r="B1820" s="1"/>
      <c r="H1820">
        <v>174.26</v>
      </c>
      <c r="J1820" t="s">
        <v>19</v>
      </c>
      <c r="L1820" s="1"/>
      <c r="N1820" s="1"/>
      <c r="V1820" t="str">
        <f>"75009"</f>
        <v>75009</v>
      </c>
      <c r="W1820">
        <v>0</v>
      </c>
      <c r="X1820">
        <v>0</v>
      </c>
    </row>
    <row r="1821" spans="1:24" ht="15" customHeight="1" x14ac:dyDescent="0.25">
      <c r="A1821" t="str">
        <f>""</f>
        <v/>
      </c>
      <c r="B1821" s="1"/>
      <c r="H1821">
        <v>151</v>
      </c>
      <c r="J1821" t="s">
        <v>23</v>
      </c>
      <c r="L1821" s="1"/>
      <c r="N1821" s="1"/>
      <c r="V1821" t="str">
        <f>"83270"</f>
        <v>83270</v>
      </c>
      <c r="W1821">
        <v>0</v>
      </c>
      <c r="X1821">
        <v>31.71</v>
      </c>
    </row>
    <row r="1822" spans="1:24" ht="15" customHeight="1" x14ac:dyDescent="0.25">
      <c r="A1822" t="str">
        <f>""</f>
        <v/>
      </c>
      <c r="B1822" s="1"/>
      <c r="H1822">
        <v>10</v>
      </c>
      <c r="L1822" s="1"/>
      <c r="N1822" s="1"/>
      <c r="V1822" t="str">
        <f>"77184"</f>
        <v>77184</v>
      </c>
      <c r="W1822">
        <v>0</v>
      </c>
      <c r="X1822">
        <v>0</v>
      </c>
    </row>
    <row r="1823" spans="1:24" ht="15" customHeight="1" x14ac:dyDescent="0.25">
      <c r="A1823" t="str">
        <f>""</f>
        <v/>
      </c>
      <c r="B1823" s="1"/>
      <c r="H1823">
        <v>10</v>
      </c>
      <c r="L1823" s="1"/>
      <c r="N1823" s="1"/>
      <c r="V1823" t="str">
        <f>"77184"</f>
        <v>77184</v>
      </c>
      <c r="W1823">
        <v>0</v>
      </c>
      <c r="X1823">
        <v>0</v>
      </c>
    </row>
    <row r="1824" spans="1:24" ht="15" customHeight="1" x14ac:dyDescent="0.25">
      <c r="A1824" t="str">
        <f>""</f>
        <v/>
      </c>
      <c r="B1824" s="1"/>
      <c r="H1824">
        <v>10</v>
      </c>
      <c r="L1824" s="1"/>
      <c r="N1824" s="1"/>
      <c r="V1824" t="str">
        <f>"77184"</f>
        <v>77184</v>
      </c>
      <c r="W1824">
        <v>0</v>
      </c>
      <c r="X1824">
        <v>0</v>
      </c>
    </row>
    <row r="1825" spans="1:24" ht="15" customHeight="1" x14ac:dyDescent="0.25">
      <c r="A1825" t="str">
        <f>""</f>
        <v/>
      </c>
      <c r="B1825" s="1"/>
      <c r="H1825">
        <v>140</v>
      </c>
      <c r="J1825" t="s">
        <v>19</v>
      </c>
      <c r="L1825" s="1"/>
      <c r="N1825" s="1"/>
      <c r="V1825" t="str">
        <f>"61230"</f>
        <v>61230</v>
      </c>
      <c r="W1825">
        <v>23.8</v>
      </c>
      <c r="X1825">
        <v>0</v>
      </c>
    </row>
    <row r="1826" spans="1:24" ht="15" customHeight="1" x14ac:dyDescent="0.25">
      <c r="A1826" t="str">
        <f>""</f>
        <v/>
      </c>
      <c r="B1826" s="1"/>
      <c r="H1826">
        <v>137.05000000000001</v>
      </c>
      <c r="J1826" t="s">
        <v>22</v>
      </c>
      <c r="L1826" s="1"/>
      <c r="N1826" s="1"/>
      <c r="V1826" t="str">
        <f>"13115"</f>
        <v>13115</v>
      </c>
      <c r="W1826">
        <v>0</v>
      </c>
      <c r="X1826">
        <v>26.04</v>
      </c>
    </row>
    <row r="1827" spans="1:24" ht="15" customHeight="1" x14ac:dyDescent="0.25">
      <c r="A1827" t="str">
        <f>""</f>
        <v/>
      </c>
      <c r="B1827" s="1"/>
      <c r="H1827">
        <v>137.05000000000001</v>
      </c>
      <c r="J1827" t="s">
        <v>22</v>
      </c>
      <c r="L1827" s="1"/>
      <c r="N1827" s="1"/>
      <c r="V1827" t="str">
        <f>"13115"</f>
        <v>13115</v>
      </c>
      <c r="W1827">
        <v>0</v>
      </c>
      <c r="X1827">
        <v>26.04</v>
      </c>
    </row>
    <row r="1828" spans="1:24" ht="15" customHeight="1" x14ac:dyDescent="0.25">
      <c r="A1828" t="str">
        <f>""</f>
        <v/>
      </c>
      <c r="B1828" s="1"/>
      <c r="H1828">
        <v>40</v>
      </c>
      <c r="J1828" t="s">
        <v>22</v>
      </c>
      <c r="L1828" s="1"/>
      <c r="N1828" s="1"/>
      <c r="V1828" t="str">
        <f>"13115"</f>
        <v>13115</v>
      </c>
      <c r="W1828">
        <v>0</v>
      </c>
      <c r="X1828">
        <v>7.6</v>
      </c>
    </row>
    <row r="1829" spans="1:24" ht="15" customHeight="1" x14ac:dyDescent="0.25">
      <c r="A1829" t="str">
        <f>""</f>
        <v/>
      </c>
      <c r="B1829" s="1"/>
      <c r="H1829">
        <v>140</v>
      </c>
      <c r="J1829" t="s">
        <v>23</v>
      </c>
      <c r="L1829" s="1"/>
      <c r="N1829" s="1"/>
      <c r="V1829" t="str">
        <f>"03300"</f>
        <v>03300</v>
      </c>
      <c r="W1829">
        <v>0</v>
      </c>
      <c r="X1829">
        <v>16.8</v>
      </c>
    </row>
    <row r="1830" spans="1:24" ht="15" customHeight="1" x14ac:dyDescent="0.25">
      <c r="A1830" t="str">
        <f>""</f>
        <v/>
      </c>
      <c r="B1830" s="1"/>
      <c r="H1830">
        <v>215.58</v>
      </c>
      <c r="J1830" t="s">
        <v>22</v>
      </c>
      <c r="L1830" s="1"/>
      <c r="N1830" s="1"/>
      <c r="V1830" t="str">
        <f>"01000"</f>
        <v>01000</v>
      </c>
      <c r="W1830">
        <v>0</v>
      </c>
      <c r="X1830">
        <v>0</v>
      </c>
    </row>
    <row r="1831" spans="1:24" ht="15" customHeight="1" x14ac:dyDescent="0.25">
      <c r="A1831" t="str">
        <f>""</f>
        <v/>
      </c>
      <c r="B1831" s="1"/>
      <c r="H1831">
        <v>146.75</v>
      </c>
      <c r="J1831" t="s">
        <v>19</v>
      </c>
      <c r="L1831" s="1"/>
      <c r="N1831" s="1"/>
      <c r="V1831" t="str">
        <f>"01000"</f>
        <v>01000</v>
      </c>
      <c r="W1831">
        <v>39.619999999999997</v>
      </c>
      <c r="X1831">
        <v>0</v>
      </c>
    </row>
    <row r="1832" spans="1:24" ht="15" customHeight="1" x14ac:dyDescent="0.25">
      <c r="A1832" t="str">
        <f>""</f>
        <v/>
      </c>
      <c r="B1832" s="1"/>
      <c r="H1832">
        <v>25</v>
      </c>
      <c r="J1832" t="s">
        <v>22</v>
      </c>
      <c r="L1832" s="1"/>
      <c r="N1832" s="1"/>
      <c r="V1832" t="str">
        <f>"14790"</f>
        <v>14790</v>
      </c>
      <c r="W1832">
        <v>0</v>
      </c>
      <c r="X1832">
        <v>4.25</v>
      </c>
    </row>
    <row r="1833" spans="1:24" ht="15" customHeight="1" x14ac:dyDescent="0.25">
      <c r="A1833" t="str">
        <f>""</f>
        <v/>
      </c>
      <c r="B1833" s="1"/>
      <c r="H1833">
        <v>75.16</v>
      </c>
      <c r="J1833" t="s">
        <v>19</v>
      </c>
      <c r="L1833" s="1"/>
      <c r="N1833" s="1"/>
      <c r="V1833" t="str">
        <f>"73200"</f>
        <v>73200</v>
      </c>
      <c r="W1833">
        <v>20.29</v>
      </c>
      <c r="X1833">
        <v>0</v>
      </c>
    </row>
    <row r="1834" spans="1:24" ht="15" customHeight="1" x14ac:dyDescent="0.25">
      <c r="A1834" t="str">
        <f>""</f>
        <v/>
      </c>
      <c r="B1834" s="1"/>
      <c r="H1834">
        <v>20.23</v>
      </c>
      <c r="J1834" t="s">
        <v>19</v>
      </c>
      <c r="L1834" s="1"/>
      <c r="N1834" s="1"/>
      <c r="V1834" t="str">
        <f>"35044"</f>
        <v>35044</v>
      </c>
      <c r="W1834">
        <v>5.46</v>
      </c>
      <c r="X1834">
        <v>0</v>
      </c>
    </row>
    <row r="1835" spans="1:24" ht="15" customHeight="1" x14ac:dyDescent="0.25">
      <c r="A1835" t="str">
        <f>""</f>
        <v/>
      </c>
      <c r="B1835" s="1"/>
      <c r="H1835">
        <v>144.19999999999999</v>
      </c>
      <c r="J1835" t="s">
        <v>20</v>
      </c>
      <c r="L1835" s="1"/>
      <c r="N1835" s="1"/>
      <c r="V1835" t="str">
        <f>"27000"</f>
        <v>27000</v>
      </c>
      <c r="W1835">
        <v>24.51</v>
      </c>
      <c r="X1835">
        <v>0</v>
      </c>
    </row>
    <row r="1836" spans="1:24" x14ac:dyDescent="0.25">
      <c r="A1836" t="str">
        <f>""</f>
        <v/>
      </c>
      <c r="B1836" s="1"/>
      <c r="H1836">
        <v>200.33</v>
      </c>
      <c r="J1836" t="s">
        <v>16</v>
      </c>
      <c r="L1836" s="1"/>
      <c r="N1836" s="1"/>
      <c r="V1836" t="str">
        <f>"67541"</f>
        <v>67541</v>
      </c>
      <c r="W1836">
        <v>0</v>
      </c>
      <c r="X1836">
        <v>48.08</v>
      </c>
    </row>
    <row r="1837" spans="1:24" ht="15" customHeight="1" x14ac:dyDescent="0.25">
      <c r="A1837" t="str">
        <f>""</f>
        <v/>
      </c>
      <c r="B1837" s="1"/>
      <c r="H1837">
        <v>250</v>
      </c>
      <c r="J1837" t="s">
        <v>23</v>
      </c>
      <c r="L1837" s="1"/>
      <c r="N1837" s="1"/>
      <c r="V1837" t="str">
        <f>"45450"</f>
        <v>45450</v>
      </c>
      <c r="W1837">
        <v>0</v>
      </c>
      <c r="X1837">
        <v>30</v>
      </c>
    </row>
    <row r="1838" spans="1:24" ht="15" customHeight="1" x14ac:dyDescent="0.25">
      <c r="A1838" t="str">
        <f>""</f>
        <v/>
      </c>
      <c r="B1838" s="1"/>
      <c r="H1838">
        <v>140</v>
      </c>
      <c r="J1838" t="s">
        <v>23</v>
      </c>
      <c r="L1838" s="1"/>
      <c r="N1838" s="1"/>
      <c r="V1838" t="str">
        <f>"94550"</f>
        <v>94550</v>
      </c>
      <c r="W1838">
        <v>0</v>
      </c>
      <c r="X1838">
        <v>0</v>
      </c>
    </row>
    <row r="1839" spans="1:24" ht="15" customHeight="1" x14ac:dyDescent="0.25">
      <c r="A1839" t="str">
        <f>""</f>
        <v/>
      </c>
      <c r="B1839" s="1"/>
      <c r="H1839">
        <v>172.15</v>
      </c>
      <c r="J1839" t="s">
        <v>23</v>
      </c>
      <c r="L1839" s="1"/>
      <c r="N1839" s="1"/>
      <c r="V1839" t="str">
        <f>"49000"</f>
        <v>49000</v>
      </c>
      <c r="W1839">
        <v>0</v>
      </c>
      <c r="X1839">
        <v>46.48</v>
      </c>
    </row>
    <row r="1840" spans="1:24" ht="15" customHeight="1" x14ac:dyDescent="0.25">
      <c r="A1840" t="str">
        <f>""</f>
        <v/>
      </c>
      <c r="B1840" s="1"/>
      <c r="H1840">
        <v>188.52</v>
      </c>
      <c r="J1840" t="s">
        <v>22</v>
      </c>
      <c r="L1840" s="1"/>
      <c r="N1840" s="1"/>
      <c r="V1840" t="str">
        <f>"77183"</f>
        <v>77183</v>
      </c>
      <c r="W1840">
        <v>0</v>
      </c>
      <c r="X1840">
        <v>0</v>
      </c>
    </row>
    <row r="1841" spans="1:24" ht="15" customHeight="1" x14ac:dyDescent="0.25">
      <c r="A1841" t="str">
        <f>""</f>
        <v/>
      </c>
      <c r="B1841" s="1"/>
      <c r="H1841">
        <v>70</v>
      </c>
      <c r="J1841" t="s">
        <v>23</v>
      </c>
      <c r="L1841" s="1"/>
      <c r="N1841" s="1"/>
      <c r="V1841" t="str">
        <f>"14100"</f>
        <v>14100</v>
      </c>
      <c r="W1841">
        <v>0</v>
      </c>
      <c r="X1841">
        <v>11.9</v>
      </c>
    </row>
    <row r="1842" spans="1:24" ht="15" customHeight="1" x14ac:dyDescent="0.25">
      <c r="A1842" t="str">
        <f>""</f>
        <v/>
      </c>
      <c r="B1842" s="1"/>
      <c r="H1842">
        <v>93.9</v>
      </c>
      <c r="L1842" s="1"/>
      <c r="N1842" s="1"/>
      <c r="V1842" t="str">
        <f>"77184"</f>
        <v>77184</v>
      </c>
      <c r="W1842">
        <v>0</v>
      </c>
      <c r="X1842">
        <v>0</v>
      </c>
    </row>
    <row r="1843" spans="1:24" ht="15" customHeight="1" x14ac:dyDescent="0.25">
      <c r="A1843" t="str">
        <f>""</f>
        <v/>
      </c>
      <c r="B1843" s="1"/>
      <c r="H1843">
        <v>185.4</v>
      </c>
      <c r="J1843" t="s">
        <v>23</v>
      </c>
      <c r="L1843" s="1"/>
      <c r="N1843" s="1"/>
      <c r="V1843" t="str">
        <f>"62600"</f>
        <v>62600</v>
      </c>
      <c r="W1843">
        <v>0</v>
      </c>
      <c r="X1843">
        <v>0</v>
      </c>
    </row>
    <row r="1844" spans="1:24" x14ac:dyDescent="0.25">
      <c r="A1844" t="str">
        <f>""</f>
        <v/>
      </c>
      <c r="B1844" s="1"/>
      <c r="H1844">
        <v>151</v>
      </c>
      <c r="J1844" t="s">
        <v>17</v>
      </c>
      <c r="L1844" s="1"/>
      <c r="N1844" s="1"/>
      <c r="V1844" t="str">
        <f>"67800"</f>
        <v>67800</v>
      </c>
      <c r="W1844">
        <v>0</v>
      </c>
      <c r="X1844">
        <v>0</v>
      </c>
    </row>
    <row r="1845" spans="1:24" x14ac:dyDescent="0.25">
      <c r="A1845" t="str">
        <f>""</f>
        <v/>
      </c>
      <c r="B1845" s="1"/>
      <c r="H1845">
        <v>151</v>
      </c>
      <c r="J1845" t="s">
        <v>17</v>
      </c>
      <c r="L1845" s="1"/>
      <c r="N1845" s="1"/>
      <c r="V1845" t="str">
        <f>"67800"</f>
        <v>67800</v>
      </c>
      <c r="W1845">
        <v>0</v>
      </c>
      <c r="X1845">
        <v>0</v>
      </c>
    </row>
    <row r="1846" spans="1:24" ht="15" customHeight="1" x14ac:dyDescent="0.25">
      <c r="A1846" t="str">
        <f>""</f>
        <v/>
      </c>
      <c r="B1846" s="1"/>
      <c r="H1846">
        <v>71.55</v>
      </c>
      <c r="J1846" t="s">
        <v>22</v>
      </c>
      <c r="L1846" s="1"/>
      <c r="N1846" s="1"/>
      <c r="V1846" t="str">
        <f>"59980"</f>
        <v>59980</v>
      </c>
      <c r="W1846">
        <v>0</v>
      </c>
      <c r="X1846">
        <v>0</v>
      </c>
    </row>
    <row r="1847" spans="1:24" ht="15" customHeight="1" x14ac:dyDescent="0.25">
      <c r="A1847" t="str">
        <f>""</f>
        <v/>
      </c>
      <c r="B1847" s="1"/>
      <c r="H1847">
        <v>35</v>
      </c>
      <c r="J1847" t="s">
        <v>22</v>
      </c>
      <c r="L1847" s="1"/>
      <c r="N1847" s="1"/>
      <c r="V1847" t="str">
        <f>"11100"</f>
        <v>11100</v>
      </c>
      <c r="W1847">
        <v>0</v>
      </c>
      <c r="X1847">
        <v>9.8000000000000007</v>
      </c>
    </row>
    <row r="1848" spans="1:24" ht="15" customHeight="1" x14ac:dyDescent="0.25">
      <c r="A1848" t="str">
        <f>""</f>
        <v/>
      </c>
      <c r="B1848" s="1"/>
      <c r="H1848">
        <v>153.88</v>
      </c>
      <c r="J1848" t="s">
        <v>20</v>
      </c>
      <c r="L1848" s="1"/>
      <c r="N1848" s="1"/>
      <c r="V1848" t="str">
        <f>"85000"</f>
        <v>85000</v>
      </c>
      <c r="W1848">
        <v>41.55</v>
      </c>
      <c r="X1848">
        <v>0</v>
      </c>
    </row>
    <row r="1849" spans="1:24" ht="15" customHeight="1" x14ac:dyDescent="0.25">
      <c r="A1849" t="str">
        <f>""</f>
        <v/>
      </c>
      <c r="B1849" s="1"/>
      <c r="H1849">
        <v>55.36</v>
      </c>
      <c r="J1849" t="s">
        <v>19</v>
      </c>
      <c r="L1849" s="1"/>
      <c r="N1849" s="1"/>
      <c r="V1849" t="str">
        <f>"11100"</f>
        <v>11100</v>
      </c>
      <c r="W1849">
        <v>21.59</v>
      </c>
      <c r="X1849">
        <v>0</v>
      </c>
    </row>
    <row r="1850" spans="1:24" ht="15" customHeight="1" x14ac:dyDescent="0.25">
      <c r="A1850" t="str">
        <f>""</f>
        <v/>
      </c>
      <c r="B1850" s="1"/>
      <c r="H1850">
        <v>12</v>
      </c>
      <c r="J1850" t="s">
        <v>19</v>
      </c>
      <c r="L1850" s="1"/>
      <c r="N1850" s="1"/>
      <c r="V1850" t="str">
        <f>"88000"</f>
        <v>88000</v>
      </c>
      <c r="W1850">
        <v>0</v>
      </c>
      <c r="X1850">
        <v>0</v>
      </c>
    </row>
    <row r="1851" spans="1:24" ht="15" customHeight="1" x14ac:dyDescent="0.25">
      <c r="A1851" t="str">
        <f>""</f>
        <v/>
      </c>
      <c r="B1851" s="1"/>
      <c r="H1851">
        <v>1279.07</v>
      </c>
      <c r="J1851" t="s">
        <v>23</v>
      </c>
      <c r="L1851" s="1"/>
      <c r="N1851" s="1"/>
      <c r="V1851" t="str">
        <f>"29200"</f>
        <v>29200</v>
      </c>
      <c r="W1851">
        <v>0</v>
      </c>
      <c r="X1851">
        <v>0</v>
      </c>
    </row>
    <row r="1852" spans="1:24" ht="15" customHeight="1" x14ac:dyDescent="0.25">
      <c r="A1852" t="str">
        <f>""</f>
        <v/>
      </c>
      <c r="B1852" s="1"/>
      <c r="H1852">
        <v>108.12</v>
      </c>
      <c r="L1852" s="1"/>
      <c r="N1852" s="1"/>
      <c r="V1852" t="str">
        <f>"44240"</f>
        <v>44240</v>
      </c>
      <c r="W1852">
        <v>0</v>
      </c>
      <c r="X1852">
        <v>0</v>
      </c>
    </row>
    <row r="1853" spans="1:24" ht="15" customHeight="1" x14ac:dyDescent="0.25">
      <c r="A1853" t="str">
        <f>""</f>
        <v/>
      </c>
      <c r="B1853" s="1"/>
      <c r="H1853">
        <v>33</v>
      </c>
      <c r="L1853" s="1"/>
      <c r="N1853" s="1"/>
      <c r="V1853" t="str">
        <f>"44240"</f>
        <v>44240</v>
      </c>
      <c r="W1853">
        <v>0</v>
      </c>
      <c r="X1853">
        <v>0</v>
      </c>
    </row>
    <row r="1854" spans="1:24" ht="15" customHeight="1" x14ac:dyDescent="0.25">
      <c r="A1854" t="str">
        <f>""</f>
        <v/>
      </c>
      <c r="B1854" s="1"/>
      <c r="H1854">
        <v>163</v>
      </c>
      <c r="L1854" s="1"/>
      <c r="N1854" s="1"/>
      <c r="V1854" t="str">
        <f>"77184"</f>
        <v>77184</v>
      </c>
      <c r="W1854">
        <v>0</v>
      </c>
      <c r="X1854">
        <v>0</v>
      </c>
    </row>
    <row r="1855" spans="1:24" ht="15" customHeight="1" x14ac:dyDescent="0.25">
      <c r="A1855" t="str">
        <f>""</f>
        <v/>
      </c>
      <c r="B1855" s="1"/>
      <c r="H1855">
        <v>173.44</v>
      </c>
      <c r="L1855" s="1"/>
      <c r="N1855" s="1"/>
      <c r="V1855" t="str">
        <f>"77184"</f>
        <v>77184</v>
      </c>
      <c r="W1855">
        <v>0</v>
      </c>
      <c r="X1855">
        <v>0</v>
      </c>
    </row>
    <row r="1856" spans="1:24" ht="15" customHeight="1" x14ac:dyDescent="0.25">
      <c r="A1856" t="str">
        <f>""</f>
        <v/>
      </c>
      <c r="B1856" s="1"/>
      <c r="H1856">
        <v>175.82</v>
      </c>
      <c r="J1856" t="s">
        <v>21</v>
      </c>
      <c r="L1856" s="1"/>
      <c r="V1856" t="str">
        <f>"77184"</f>
        <v>77184</v>
      </c>
      <c r="W1856">
        <v>0</v>
      </c>
      <c r="X1856">
        <v>0</v>
      </c>
    </row>
    <row r="1857" spans="1:24" ht="15" customHeight="1" x14ac:dyDescent="0.25">
      <c r="A1857" t="str">
        <f>""</f>
        <v/>
      </c>
      <c r="B1857" s="1"/>
      <c r="H1857">
        <v>161.06</v>
      </c>
      <c r="L1857" s="1"/>
      <c r="N1857" s="1"/>
      <c r="V1857" t="str">
        <f>"44240"</f>
        <v>44240</v>
      </c>
      <c r="W1857">
        <v>0</v>
      </c>
      <c r="X1857">
        <v>0</v>
      </c>
    </row>
    <row r="1858" spans="1:24" ht="15" customHeight="1" x14ac:dyDescent="0.25">
      <c r="A1858" t="str">
        <f>""</f>
        <v/>
      </c>
      <c r="B1858" s="1"/>
      <c r="H1858">
        <v>31</v>
      </c>
      <c r="L1858" s="1"/>
      <c r="N1858" s="1"/>
      <c r="V1858" t="str">
        <f>"77184"</f>
        <v>77184</v>
      </c>
      <c r="W1858">
        <v>0</v>
      </c>
      <c r="X1858">
        <v>0</v>
      </c>
    </row>
    <row r="1859" spans="1:24" ht="15" customHeight="1" x14ac:dyDescent="0.25">
      <c r="A1859" t="str">
        <f>""</f>
        <v/>
      </c>
      <c r="B1859" s="1"/>
      <c r="H1859">
        <v>37.19</v>
      </c>
      <c r="L1859" s="1"/>
      <c r="N1859" s="1"/>
      <c r="V1859" t="str">
        <f>"77184"</f>
        <v>77184</v>
      </c>
      <c r="W1859">
        <v>0</v>
      </c>
      <c r="X1859">
        <v>0</v>
      </c>
    </row>
    <row r="1860" spans="1:24" ht="15" customHeight="1" x14ac:dyDescent="0.25">
      <c r="A1860" t="str">
        <f>""</f>
        <v/>
      </c>
      <c r="B1860" s="1"/>
      <c r="H1860">
        <v>33.630000000000003</v>
      </c>
      <c r="L1860" s="1"/>
      <c r="N1860" s="1"/>
      <c r="V1860" t="str">
        <f>"77184"</f>
        <v>77184</v>
      </c>
      <c r="W1860">
        <v>0</v>
      </c>
      <c r="X1860">
        <v>0</v>
      </c>
    </row>
    <row r="1861" spans="1:24" ht="15" customHeight="1" x14ac:dyDescent="0.25">
      <c r="A1861" t="str">
        <f>""</f>
        <v/>
      </c>
      <c r="B1861" s="1"/>
      <c r="H1861">
        <v>37.19</v>
      </c>
      <c r="L1861" s="1"/>
      <c r="N1861" s="1"/>
      <c r="V1861" t="str">
        <f>"77184"</f>
        <v>77184</v>
      </c>
      <c r="W1861">
        <v>0</v>
      </c>
      <c r="X1861">
        <v>0</v>
      </c>
    </row>
    <row r="1862" spans="1:24" ht="15" customHeight="1" x14ac:dyDescent="0.25">
      <c r="A1862" t="str">
        <f>""</f>
        <v/>
      </c>
      <c r="B1862" s="1"/>
      <c r="H1862">
        <v>57</v>
      </c>
      <c r="L1862" s="1"/>
      <c r="N1862" s="1"/>
      <c r="V1862" t="str">
        <f>"77184"</f>
        <v>77184</v>
      </c>
      <c r="W1862">
        <v>0</v>
      </c>
      <c r="X1862">
        <v>0</v>
      </c>
    </row>
    <row r="1863" spans="1:24" ht="15" customHeight="1" x14ac:dyDescent="0.25">
      <c r="A1863" t="str">
        <f>""</f>
        <v/>
      </c>
      <c r="B1863" s="1"/>
      <c r="H1863">
        <v>151</v>
      </c>
      <c r="J1863" t="s">
        <v>22</v>
      </c>
      <c r="L1863" s="1"/>
      <c r="N1863" s="1"/>
      <c r="V1863" t="str">
        <f>"37540"</f>
        <v>37540</v>
      </c>
      <c r="W1863">
        <v>0</v>
      </c>
      <c r="X1863">
        <v>18.12</v>
      </c>
    </row>
    <row r="1864" spans="1:24" x14ac:dyDescent="0.25">
      <c r="A1864" t="str">
        <f>""</f>
        <v/>
      </c>
      <c r="B1864" s="1"/>
      <c r="H1864">
        <v>250</v>
      </c>
      <c r="J1864" t="s">
        <v>17</v>
      </c>
      <c r="L1864" s="1"/>
      <c r="N1864" s="1"/>
      <c r="V1864" t="str">
        <f>"50400"</f>
        <v>50400</v>
      </c>
      <c r="W1864">
        <v>0</v>
      </c>
      <c r="X1864">
        <v>0</v>
      </c>
    </row>
    <row r="1865" spans="1:24" ht="15" customHeight="1" x14ac:dyDescent="0.25">
      <c r="A1865" t="str">
        <f>""</f>
        <v/>
      </c>
      <c r="B1865" s="1"/>
      <c r="H1865">
        <v>170.88</v>
      </c>
      <c r="J1865" t="s">
        <v>20</v>
      </c>
      <c r="L1865" s="1"/>
      <c r="N1865" s="1"/>
      <c r="V1865" t="str">
        <f>"94200"</f>
        <v>94200</v>
      </c>
      <c r="W1865">
        <v>0</v>
      </c>
      <c r="X1865">
        <v>0</v>
      </c>
    </row>
    <row r="1866" spans="1:24" ht="15" customHeight="1" x14ac:dyDescent="0.25">
      <c r="A1866" t="str">
        <f>""</f>
        <v/>
      </c>
      <c r="B1866" s="1"/>
      <c r="H1866">
        <v>150</v>
      </c>
      <c r="L1866" s="1"/>
      <c r="N1866" s="1"/>
      <c r="V1866" t="str">
        <f>"77184"</f>
        <v>77184</v>
      </c>
      <c r="W1866">
        <v>0</v>
      </c>
      <c r="X1866">
        <v>0</v>
      </c>
    </row>
    <row r="1867" spans="1:24" ht="15" customHeight="1" x14ac:dyDescent="0.25">
      <c r="A1867" t="str">
        <f>""</f>
        <v/>
      </c>
      <c r="B1867" s="1"/>
      <c r="H1867">
        <v>108.01</v>
      </c>
      <c r="J1867" t="s">
        <v>19</v>
      </c>
      <c r="L1867" s="1"/>
      <c r="N1867" s="1"/>
      <c r="V1867" t="str">
        <f>"62138"</f>
        <v>62138</v>
      </c>
      <c r="W1867">
        <v>20.52</v>
      </c>
      <c r="X1867">
        <v>0</v>
      </c>
    </row>
    <row r="1868" spans="1:24" ht="15" customHeight="1" x14ac:dyDescent="0.25">
      <c r="A1868" t="str">
        <f>""</f>
        <v/>
      </c>
      <c r="B1868" s="1"/>
      <c r="H1868">
        <v>180</v>
      </c>
      <c r="J1868" t="s">
        <v>23</v>
      </c>
      <c r="L1868" s="1"/>
      <c r="N1868" s="1"/>
      <c r="V1868" t="str">
        <f>"75017"</f>
        <v>75017</v>
      </c>
      <c r="W1868">
        <v>0</v>
      </c>
      <c r="X1868">
        <v>0</v>
      </c>
    </row>
    <row r="1869" spans="1:24" ht="15" customHeight="1" x14ac:dyDescent="0.25">
      <c r="A1869" t="str">
        <f>""</f>
        <v/>
      </c>
      <c r="B1869" s="1"/>
      <c r="H1869">
        <v>57.44</v>
      </c>
      <c r="J1869" t="s">
        <v>20</v>
      </c>
      <c r="L1869" s="1"/>
      <c r="N1869" s="1"/>
      <c r="V1869" t="str">
        <f>"94150"</f>
        <v>94150</v>
      </c>
      <c r="W1869">
        <v>0</v>
      </c>
      <c r="X1869">
        <v>0</v>
      </c>
    </row>
    <row r="1870" spans="1:24" ht="15" customHeight="1" x14ac:dyDescent="0.25">
      <c r="A1870" t="str">
        <f>""</f>
        <v/>
      </c>
      <c r="B1870" s="1"/>
      <c r="H1870">
        <v>40</v>
      </c>
      <c r="J1870" t="s">
        <v>22</v>
      </c>
      <c r="L1870" s="1"/>
      <c r="N1870" s="1"/>
      <c r="V1870" t="str">
        <f>"60230"</f>
        <v>60230</v>
      </c>
      <c r="W1870">
        <v>0</v>
      </c>
      <c r="X1870">
        <v>0</v>
      </c>
    </row>
    <row r="1871" spans="1:24" ht="15" customHeight="1" x14ac:dyDescent="0.25">
      <c r="A1871" t="str">
        <f>""</f>
        <v/>
      </c>
      <c r="B1871" s="1"/>
      <c r="H1871">
        <v>106</v>
      </c>
      <c r="L1871" s="1"/>
      <c r="N1871" s="1"/>
      <c r="V1871" t="str">
        <f>"77184"</f>
        <v>77184</v>
      </c>
      <c r="W1871">
        <v>0</v>
      </c>
      <c r="X1871">
        <v>0</v>
      </c>
    </row>
    <row r="1872" spans="1:24" ht="15" customHeight="1" x14ac:dyDescent="0.25">
      <c r="A1872" t="str">
        <f>""</f>
        <v/>
      </c>
      <c r="B1872" s="1"/>
      <c r="H1872">
        <v>84.5</v>
      </c>
      <c r="L1872" s="1"/>
      <c r="N1872" s="1"/>
      <c r="V1872" t="str">
        <f>"77184"</f>
        <v>77184</v>
      </c>
      <c r="W1872">
        <v>0</v>
      </c>
      <c r="X1872">
        <v>0</v>
      </c>
    </row>
    <row r="1873" spans="1:24" ht="15" customHeight="1" x14ac:dyDescent="0.25">
      <c r="A1873" t="str">
        <f>""</f>
        <v/>
      </c>
      <c r="B1873" s="1"/>
      <c r="H1873">
        <v>33.630000000000003</v>
      </c>
      <c r="L1873" s="1"/>
      <c r="N1873" s="1"/>
      <c r="V1873" t="str">
        <f>"77184"</f>
        <v>77184</v>
      </c>
      <c r="W1873">
        <v>0</v>
      </c>
      <c r="X1873">
        <v>0</v>
      </c>
    </row>
    <row r="1874" spans="1:24" ht="15" customHeight="1" x14ac:dyDescent="0.25">
      <c r="A1874" t="str">
        <f>""</f>
        <v/>
      </c>
      <c r="B1874" s="1"/>
      <c r="H1874">
        <v>250</v>
      </c>
      <c r="J1874" t="s">
        <v>23</v>
      </c>
      <c r="L1874" s="1"/>
      <c r="N1874" s="1"/>
      <c r="V1874" t="str">
        <f>"67000"</f>
        <v>67000</v>
      </c>
      <c r="W1874">
        <v>0</v>
      </c>
      <c r="X1874">
        <v>0</v>
      </c>
    </row>
    <row r="1875" spans="1:24" ht="15" customHeight="1" x14ac:dyDescent="0.25">
      <c r="A1875" t="str">
        <f>""</f>
        <v/>
      </c>
      <c r="B1875" s="1"/>
      <c r="H1875">
        <v>38</v>
      </c>
      <c r="J1875" t="s">
        <v>23</v>
      </c>
      <c r="L1875" s="1"/>
      <c r="N1875" s="1"/>
      <c r="V1875" t="str">
        <f>"62000"</f>
        <v>62000</v>
      </c>
      <c r="W1875">
        <v>0</v>
      </c>
      <c r="X1875">
        <v>0</v>
      </c>
    </row>
    <row r="1876" spans="1:24" x14ac:dyDescent="0.25">
      <c r="A1876" t="str">
        <f>""</f>
        <v/>
      </c>
      <c r="B1876" s="1"/>
      <c r="H1876">
        <v>40.799999999999997</v>
      </c>
      <c r="J1876" t="s">
        <v>18</v>
      </c>
      <c r="L1876" s="1"/>
      <c r="N1876" s="1"/>
      <c r="V1876" t="str">
        <f>"94000"</f>
        <v>94000</v>
      </c>
      <c r="W1876">
        <v>0</v>
      </c>
      <c r="X1876">
        <v>0</v>
      </c>
    </row>
    <row r="1877" spans="1:24" ht="15" customHeight="1" x14ac:dyDescent="0.25">
      <c r="A1877" t="str">
        <f>""</f>
        <v/>
      </c>
      <c r="B1877" s="1"/>
      <c r="H1877">
        <v>133.01</v>
      </c>
      <c r="J1877" t="s">
        <v>20</v>
      </c>
      <c r="L1877" s="1"/>
      <c r="N1877" s="1"/>
      <c r="V1877" t="str">
        <f>"59320"</f>
        <v>59320</v>
      </c>
      <c r="W1877">
        <v>25.27</v>
      </c>
      <c r="X1877">
        <v>0</v>
      </c>
    </row>
    <row r="1878" spans="1:24" ht="15" customHeight="1" x14ac:dyDescent="0.25">
      <c r="A1878" t="str">
        <f>""</f>
        <v/>
      </c>
      <c r="B1878" s="1"/>
      <c r="H1878">
        <v>138.12</v>
      </c>
      <c r="J1878" t="s">
        <v>20</v>
      </c>
      <c r="L1878" s="1"/>
      <c r="N1878" s="1"/>
      <c r="V1878" t="str">
        <f>"18230"</f>
        <v>18230</v>
      </c>
      <c r="W1878">
        <v>29.01</v>
      </c>
      <c r="X1878">
        <v>0</v>
      </c>
    </row>
    <row r="1879" spans="1:24" ht="15" customHeight="1" x14ac:dyDescent="0.25">
      <c r="A1879" t="str">
        <f>""</f>
        <v/>
      </c>
      <c r="B1879" s="1"/>
      <c r="H1879">
        <v>138.12</v>
      </c>
      <c r="J1879" t="s">
        <v>20</v>
      </c>
      <c r="L1879" s="1"/>
      <c r="N1879" s="1"/>
      <c r="V1879" t="str">
        <f>"33000"</f>
        <v>33000</v>
      </c>
      <c r="W1879">
        <v>29.01</v>
      </c>
      <c r="X1879">
        <v>0</v>
      </c>
    </row>
    <row r="1880" spans="1:24" ht="15" customHeight="1" x14ac:dyDescent="0.25">
      <c r="A1880" t="str">
        <f>""</f>
        <v/>
      </c>
      <c r="B1880" s="1"/>
      <c r="H1880">
        <v>19.649999999999999</v>
      </c>
      <c r="J1880" t="s">
        <v>19</v>
      </c>
      <c r="L1880" s="1"/>
      <c r="N1880" s="1"/>
      <c r="V1880" t="str">
        <f>"75014"</f>
        <v>75014</v>
      </c>
      <c r="W1880">
        <v>0</v>
      </c>
      <c r="X1880">
        <v>0</v>
      </c>
    </row>
    <row r="1881" spans="1:24" ht="15" customHeight="1" x14ac:dyDescent="0.25">
      <c r="A1881" t="str">
        <f>""</f>
        <v/>
      </c>
      <c r="B1881" s="1"/>
      <c r="H1881">
        <v>137.59</v>
      </c>
      <c r="J1881" t="s">
        <v>19</v>
      </c>
      <c r="L1881" s="1"/>
      <c r="N1881" s="1"/>
      <c r="V1881" t="str">
        <f>"75014"</f>
        <v>75014</v>
      </c>
      <c r="W1881">
        <v>0</v>
      </c>
      <c r="X1881">
        <v>0</v>
      </c>
    </row>
    <row r="1882" spans="1:24" ht="15" customHeight="1" x14ac:dyDescent="0.25">
      <c r="A1882" t="str">
        <f>""</f>
        <v/>
      </c>
      <c r="B1882" s="1"/>
      <c r="H1882">
        <v>107.6</v>
      </c>
      <c r="J1882" t="s">
        <v>19</v>
      </c>
      <c r="L1882" s="1"/>
      <c r="N1882" s="1"/>
      <c r="V1882" t="str">
        <f>"75014"</f>
        <v>75014</v>
      </c>
      <c r="W1882">
        <v>0</v>
      </c>
      <c r="X1882">
        <v>0</v>
      </c>
    </row>
    <row r="1883" spans="1:24" ht="15" customHeight="1" x14ac:dyDescent="0.25">
      <c r="A1883" t="str">
        <f>""</f>
        <v/>
      </c>
      <c r="B1883" s="1"/>
      <c r="H1883">
        <v>107.6</v>
      </c>
      <c r="J1883" t="s">
        <v>19</v>
      </c>
      <c r="L1883" s="1"/>
      <c r="N1883" s="1"/>
      <c r="V1883" t="str">
        <f>"75014"</f>
        <v>75014</v>
      </c>
      <c r="W1883">
        <v>0</v>
      </c>
      <c r="X1883">
        <v>0</v>
      </c>
    </row>
    <row r="1884" spans="1:24" ht="15" customHeight="1" x14ac:dyDescent="0.25">
      <c r="A1884" t="str">
        <f>""</f>
        <v/>
      </c>
      <c r="B1884" s="1"/>
      <c r="H1884">
        <v>122.32</v>
      </c>
      <c r="J1884" t="s">
        <v>20</v>
      </c>
      <c r="L1884" s="1"/>
      <c r="N1884" s="1"/>
      <c r="V1884" t="str">
        <f>"13006"</f>
        <v>13006</v>
      </c>
      <c r="W1884">
        <v>35.47</v>
      </c>
      <c r="X1884">
        <v>0</v>
      </c>
    </row>
    <row r="1885" spans="1:24" ht="15" customHeight="1" x14ac:dyDescent="0.25">
      <c r="A1885" t="str">
        <f>""</f>
        <v/>
      </c>
      <c r="B1885" s="1"/>
      <c r="H1885">
        <v>40</v>
      </c>
      <c r="J1885" t="s">
        <v>20</v>
      </c>
      <c r="L1885" s="1"/>
      <c r="N1885" s="1"/>
      <c r="V1885" t="str">
        <f>"95120"</f>
        <v>95120</v>
      </c>
      <c r="W1885">
        <v>0</v>
      </c>
      <c r="X1885">
        <v>0</v>
      </c>
    </row>
    <row r="1886" spans="1:24" ht="15" customHeight="1" x14ac:dyDescent="0.25">
      <c r="A1886" t="str">
        <f>""</f>
        <v/>
      </c>
      <c r="B1886" s="1"/>
      <c r="H1886">
        <v>40</v>
      </c>
      <c r="J1886" t="s">
        <v>19</v>
      </c>
      <c r="L1886" s="1"/>
      <c r="N1886" s="1"/>
      <c r="V1886" t="str">
        <f>"59380"</f>
        <v>59380</v>
      </c>
      <c r="W1886">
        <v>7.6</v>
      </c>
      <c r="X1886">
        <v>0</v>
      </c>
    </row>
    <row r="1887" spans="1:24" ht="15" customHeight="1" x14ac:dyDescent="0.25">
      <c r="A1887" t="str">
        <f>""</f>
        <v/>
      </c>
      <c r="B1887" s="1"/>
      <c r="H1887">
        <v>151</v>
      </c>
      <c r="J1887" t="s">
        <v>22</v>
      </c>
      <c r="L1887" s="1"/>
      <c r="V1887" t="str">
        <f>"38160"</f>
        <v>38160</v>
      </c>
      <c r="W1887">
        <v>0</v>
      </c>
      <c r="X1887">
        <v>0</v>
      </c>
    </row>
    <row r="1888" spans="1:24" ht="15" customHeight="1" x14ac:dyDescent="0.25">
      <c r="A1888" t="str">
        <f>""</f>
        <v/>
      </c>
      <c r="B1888" s="1"/>
      <c r="H1888">
        <v>112</v>
      </c>
      <c r="L1888" s="1"/>
      <c r="N1888" s="1"/>
      <c r="V1888" t="str">
        <f>"44240"</f>
        <v>44240</v>
      </c>
      <c r="W1888">
        <v>0</v>
      </c>
      <c r="X1888">
        <v>0</v>
      </c>
    </row>
    <row r="1889" spans="1:24" ht="15" customHeight="1" x14ac:dyDescent="0.25">
      <c r="A1889" t="str">
        <f>""</f>
        <v/>
      </c>
      <c r="B1889" s="1"/>
      <c r="H1889">
        <v>102.61</v>
      </c>
      <c r="L1889" s="1"/>
      <c r="N1889" s="1"/>
      <c r="V1889" t="str">
        <f>"44240"</f>
        <v>44240</v>
      </c>
      <c r="W1889">
        <v>0</v>
      </c>
      <c r="X1889">
        <v>0</v>
      </c>
    </row>
    <row r="1890" spans="1:24" ht="15" customHeight="1" x14ac:dyDescent="0.25">
      <c r="A1890" t="str">
        <f>""</f>
        <v/>
      </c>
      <c r="B1890" s="1"/>
      <c r="H1890">
        <v>148.52000000000001</v>
      </c>
      <c r="L1890" s="1"/>
      <c r="N1890" s="1"/>
      <c r="V1890" t="str">
        <f>"44240"</f>
        <v>44240</v>
      </c>
      <c r="W1890">
        <v>0</v>
      </c>
      <c r="X1890">
        <v>0</v>
      </c>
    </row>
    <row r="1891" spans="1:24" ht="15" customHeight="1" x14ac:dyDescent="0.25">
      <c r="A1891" t="str">
        <f>""</f>
        <v/>
      </c>
      <c r="B1891" s="1"/>
      <c r="H1891">
        <v>900</v>
      </c>
      <c r="L1891" s="1"/>
      <c r="N1891" s="1"/>
      <c r="V1891" t="str">
        <f>"77184"</f>
        <v>77184</v>
      </c>
      <c r="W1891">
        <v>0</v>
      </c>
      <c r="X1891">
        <v>0</v>
      </c>
    </row>
    <row r="1892" spans="1:24" ht="15" customHeight="1" x14ac:dyDescent="0.25">
      <c r="A1892" t="str">
        <f>""</f>
        <v/>
      </c>
      <c r="B1892" s="1"/>
      <c r="H1892">
        <v>150</v>
      </c>
      <c r="J1892" t="s">
        <v>22</v>
      </c>
      <c r="L1892" s="1"/>
      <c r="V1892" t="str">
        <f>"57000 "</f>
        <v xml:space="preserve">57000 </v>
      </c>
      <c r="W1892">
        <v>0</v>
      </c>
      <c r="X1892">
        <v>0</v>
      </c>
    </row>
    <row r="1893" spans="1:24" x14ac:dyDescent="0.25">
      <c r="A1893" t="str">
        <f>""</f>
        <v/>
      </c>
      <c r="B1893" s="1"/>
      <c r="H1893">
        <v>190.58</v>
      </c>
      <c r="J1893" t="s">
        <v>17</v>
      </c>
      <c r="L1893" s="1"/>
      <c r="N1893" s="1"/>
      <c r="V1893" t="str">
        <f>"44700"</f>
        <v>44700</v>
      </c>
      <c r="W1893">
        <v>0</v>
      </c>
      <c r="X1893">
        <v>0</v>
      </c>
    </row>
    <row r="1894" spans="1:24" ht="15" customHeight="1" x14ac:dyDescent="0.25">
      <c r="A1894" t="str">
        <f>""</f>
        <v/>
      </c>
      <c r="B1894" s="1"/>
      <c r="H1894">
        <v>19.649999999999999</v>
      </c>
      <c r="J1894" t="s">
        <v>19</v>
      </c>
      <c r="L1894" s="1"/>
      <c r="N1894" s="1"/>
      <c r="V1894" t="str">
        <f>"75014"</f>
        <v>75014</v>
      </c>
      <c r="W1894">
        <v>0</v>
      </c>
      <c r="X1894">
        <v>0</v>
      </c>
    </row>
    <row r="1895" spans="1:24" ht="15" customHeight="1" x14ac:dyDescent="0.25">
      <c r="A1895" t="str">
        <f>""</f>
        <v/>
      </c>
      <c r="B1895" s="1"/>
      <c r="H1895">
        <v>32.450000000000003</v>
      </c>
      <c r="J1895" t="s">
        <v>20</v>
      </c>
      <c r="L1895" s="1"/>
      <c r="N1895" s="1"/>
      <c r="V1895" t="str">
        <f>"67000"</f>
        <v>67000</v>
      </c>
      <c r="W1895">
        <v>9.41</v>
      </c>
      <c r="X1895">
        <v>0</v>
      </c>
    </row>
    <row r="1896" spans="1:24" ht="15" customHeight="1" x14ac:dyDescent="0.25">
      <c r="A1896" t="str">
        <f>""</f>
        <v/>
      </c>
      <c r="B1896" s="1"/>
      <c r="H1896">
        <v>134.65</v>
      </c>
      <c r="J1896" t="s">
        <v>20</v>
      </c>
      <c r="L1896" s="1"/>
      <c r="N1896" s="1"/>
      <c r="V1896" t="str">
        <f>"56860"</f>
        <v>56860</v>
      </c>
      <c r="W1896">
        <v>36.36</v>
      </c>
      <c r="X1896">
        <v>0</v>
      </c>
    </row>
    <row r="1897" spans="1:24" ht="15" customHeight="1" x14ac:dyDescent="0.25">
      <c r="A1897" t="str">
        <f>""</f>
        <v/>
      </c>
      <c r="B1897" s="1"/>
      <c r="H1897">
        <v>19.649999999999999</v>
      </c>
      <c r="J1897" t="s">
        <v>19</v>
      </c>
      <c r="L1897" s="1"/>
      <c r="N1897" s="1"/>
      <c r="V1897" t="str">
        <f>"75014"</f>
        <v>75014</v>
      </c>
      <c r="W1897">
        <v>0</v>
      </c>
      <c r="X1897">
        <v>0</v>
      </c>
    </row>
    <row r="1898" spans="1:24" ht="15" customHeight="1" x14ac:dyDescent="0.25">
      <c r="A1898" t="str">
        <f>""</f>
        <v/>
      </c>
      <c r="B1898" s="1"/>
      <c r="H1898">
        <v>19.649999999999999</v>
      </c>
      <c r="J1898" t="s">
        <v>19</v>
      </c>
      <c r="L1898" s="1"/>
      <c r="N1898" s="1"/>
      <c r="V1898" t="str">
        <f>"75014"</f>
        <v>75014</v>
      </c>
      <c r="W1898">
        <v>0</v>
      </c>
      <c r="X1898">
        <v>0</v>
      </c>
    </row>
    <row r="1899" spans="1:24" ht="15" customHeight="1" x14ac:dyDescent="0.25">
      <c r="A1899" t="str">
        <f>""</f>
        <v/>
      </c>
      <c r="B1899" s="1"/>
      <c r="H1899">
        <v>19.649999999999999</v>
      </c>
      <c r="J1899" t="s">
        <v>19</v>
      </c>
      <c r="L1899" s="1"/>
      <c r="N1899" s="1"/>
      <c r="V1899" t="str">
        <f>"75014"</f>
        <v>75014</v>
      </c>
      <c r="W1899">
        <v>0</v>
      </c>
      <c r="X1899">
        <v>0</v>
      </c>
    </row>
    <row r="1900" spans="1:24" ht="15" customHeight="1" x14ac:dyDescent="0.25">
      <c r="A1900" t="str">
        <f>""</f>
        <v/>
      </c>
      <c r="B1900" s="1"/>
      <c r="H1900">
        <v>19.649999999999999</v>
      </c>
      <c r="J1900" t="s">
        <v>19</v>
      </c>
      <c r="L1900" s="1"/>
      <c r="N1900" s="1"/>
      <c r="V1900" t="str">
        <f>"75014"</f>
        <v>75014</v>
      </c>
      <c r="W1900">
        <v>0</v>
      </c>
      <c r="X1900">
        <v>0</v>
      </c>
    </row>
    <row r="1901" spans="1:24" ht="15" customHeight="1" x14ac:dyDescent="0.25">
      <c r="A1901" t="str">
        <f>""</f>
        <v/>
      </c>
      <c r="B1901" s="1"/>
      <c r="H1901">
        <v>39.880000000000003</v>
      </c>
      <c r="J1901" t="s">
        <v>20</v>
      </c>
      <c r="L1901" s="1"/>
      <c r="N1901" s="1"/>
      <c r="V1901" t="str">
        <f>"83143"</f>
        <v>83143</v>
      </c>
      <c r="W1901">
        <v>11.96</v>
      </c>
      <c r="X1901">
        <v>0</v>
      </c>
    </row>
    <row r="1902" spans="1:24" ht="15" customHeight="1" x14ac:dyDescent="0.25">
      <c r="A1902" t="str">
        <f>""</f>
        <v/>
      </c>
      <c r="B1902" s="1"/>
      <c r="H1902">
        <v>143.57</v>
      </c>
      <c r="J1902" t="s">
        <v>19</v>
      </c>
      <c r="L1902" s="1"/>
      <c r="N1902" s="1"/>
      <c r="V1902" t="str">
        <f>"14000"</f>
        <v>14000</v>
      </c>
      <c r="W1902">
        <v>24.41</v>
      </c>
      <c r="X1902">
        <v>0</v>
      </c>
    </row>
    <row r="1903" spans="1:24" ht="15" customHeight="1" x14ac:dyDescent="0.25">
      <c r="A1903" t="str">
        <f>""</f>
        <v/>
      </c>
      <c r="B1903" s="1"/>
      <c r="H1903">
        <v>32.6</v>
      </c>
      <c r="J1903" t="s">
        <v>23</v>
      </c>
      <c r="L1903" s="1"/>
      <c r="N1903" s="1"/>
      <c r="V1903" t="str">
        <f>"62740"</f>
        <v>62740</v>
      </c>
      <c r="W1903">
        <v>0</v>
      </c>
      <c r="X1903">
        <v>0</v>
      </c>
    </row>
    <row r="1904" spans="1:24" ht="15" customHeight="1" x14ac:dyDescent="0.25">
      <c r="A1904" t="str">
        <f>""</f>
        <v/>
      </c>
      <c r="B1904" s="1"/>
      <c r="H1904">
        <v>241.26</v>
      </c>
      <c r="L1904" s="1"/>
      <c r="N1904" s="1"/>
      <c r="V1904" t="str">
        <f>"77184"</f>
        <v>77184</v>
      </c>
      <c r="W1904">
        <v>0</v>
      </c>
      <c r="X1904">
        <v>0</v>
      </c>
    </row>
    <row r="1905" spans="1:24" ht="15" customHeight="1" x14ac:dyDescent="0.25">
      <c r="A1905" t="str">
        <f>""</f>
        <v/>
      </c>
      <c r="B1905" s="1"/>
      <c r="H1905">
        <v>190.59</v>
      </c>
      <c r="L1905" s="1"/>
      <c r="N1905" s="1"/>
      <c r="V1905" t="str">
        <f>"77184"</f>
        <v>77184</v>
      </c>
      <c r="W1905">
        <v>0</v>
      </c>
      <c r="X1905">
        <v>0</v>
      </c>
    </row>
    <row r="1906" spans="1:24" ht="15" customHeight="1" x14ac:dyDescent="0.25">
      <c r="A1906" t="str">
        <f>""</f>
        <v/>
      </c>
      <c r="B1906" s="1"/>
      <c r="H1906">
        <v>85</v>
      </c>
      <c r="L1906" s="1"/>
      <c r="N1906" s="1"/>
      <c r="V1906" t="str">
        <f>"77184"</f>
        <v>77184</v>
      </c>
      <c r="W1906">
        <v>0</v>
      </c>
      <c r="X1906">
        <v>0</v>
      </c>
    </row>
    <row r="1907" spans="1:24" ht="15" customHeight="1" x14ac:dyDescent="0.25">
      <c r="A1907" t="str">
        <f>""</f>
        <v/>
      </c>
      <c r="B1907" s="1"/>
      <c r="H1907">
        <v>139.19999999999999</v>
      </c>
      <c r="J1907" t="s">
        <v>20</v>
      </c>
      <c r="L1907" s="1"/>
      <c r="N1907" s="1"/>
      <c r="V1907" t="str">
        <f>"62600"</f>
        <v>62600</v>
      </c>
      <c r="W1907">
        <v>26.45</v>
      </c>
      <c r="X1907">
        <v>0</v>
      </c>
    </row>
    <row r="1908" spans="1:24" ht="15" customHeight="1" x14ac:dyDescent="0.25">
      <c r="A1908" t="str">
        <f>""</f>
        <v/>
      </c>
      <c r="B1908" s="1"/>
      <c r="H1908">
        <v>138.12</v>
      </c>
      <c r="J1908" t="s">
        <v>20</v>
      </c>
      <c r="L1908" s="1"/>
      <c r="N1908" s="1"/>
      <c r="V1908" t="str">
        <f>"84000"</f>
        <v>84000</v>
      </c>
      <c r="W1908">
        <v>40.049999999999997</v>
      </c>
      <c r="X1908">
        <v>0</v>
      </c>
    </row>
    <row r="1909" spans="1:24" ht="15" customHeight="1" x14ac:dyDescent="0.25">
      <c r="A1909" t="str">
        <f>""</f>
        <v/>
      </c>
      <c r="B1909" s="1"/>
      <c r="H1909">
        <v>137.59</v>
      </c>
      <c r="J1909" t="s">
        <v>20</v>
      </c>
      <c r="L1909" s="1"/>
      <c r="N1909" s="1"/>
      <c r="V1909" t="str">
        <f>"94550"</f>
        <v>94550</v>
      </c>
      <c r="W1909">
        <v>0</v>
      </c>
      <c r="X1909">
        <v>0</v>
      </c>
    </row>
    <row r="1910" spans="1:24" ht="15" customHeight="1" x14ac:dyDescent="0.25">
      <c r="A1910" t="str">
        <f>""</f>
        <v/>
      </c>
      <c r="B1910" s="1"/>
      <c r="H1910">
        <v>153.52000000000001</v>
      </c>
      <c r="J1910" t="s">
        <v>19</v>
      </c>
      <c r="L1910" s="1"/>
      <c r="N1910" s="1"/>
      <c r="V1910" t="str">
        <f>"49300"</f>
        <v>49300</v>
      </c>
      <c r="W1910">
        <v>41.45</v>
      </c>
      <c r="X1910">
        <v>0</v>
      </c>
    </row>
    <row r="1911" spans="1:24" ht="15" customHeight="1" x14ac:dyDescent="0.25">
      <c r="A1911" t="str">
        <f>""</f>
        <v/>
      </c>
      <c r="B1911" s="1"/>
      <c r="H1911">
        <v>1.46</v>
      </c>
      <c r="J1911" t="s">
        <v>19</v>
      </c>
      <c r="L1911" s="1"/>
      <c r="N1911" s="1"/>
      <c r="V1911" t="str">
        <f>"59120"</f>
        <v>59120</v>
      </c>
      <c r="W1911">
        <v>0.28000000000000003</v>
      </c>
      <c r="X1911">
        <v>0</v>
      </c>
    </row>
    <row r="1912" spans="1:24" ht="15" customHeight="1" x14ac:dyDescent="0.25">
      <c r="A1912" t="str">
        <f>""</f>
        <v/>
      </c>
      <c r="B1912" s="1"/>
      <c r="H1912">
        <v>1.46</v>
      </c>
      <c r="J1912" t="s">
        <v>19</v>
      </c>
      <c r="L1912" s="1"/>
      <c r="N1912" s="1"/>
      <c r="V1912" t="str">
        <f>"59120"</f>
        <v>59120</v>
      </c>
      <c r="W1912">
        <v>0.28000000000000003</v>
      </c>
      <c r="X1912">
        <v>0</v>
      </c>
    </row>
    <row r="1913" spans="1:24" ht="15" customHeight="1" x14ac:dyDescent="0.25">
      <c r="A1913" t="str">
        <f>""</f>
        <v/>
      </c>
      <c r="B1913" s="1"/>
      <c r="H1913">
        <v>400</v>
      </c>
      <c r="J1913" t="s">
        <v>22</v>
      </c>
      <c r="L1913" s="1"/>
      <c r="N1913" s="1"/>
      <c r="V1913" t="str">
        <f>"76520"</f>
        <v>76520</v>
      </c>
      <c r="W1913">
        <v>0</v>
      </c>
      <c r="X1913">
        <v>68</v>
      </c>
    </row>
    <row r="1914" spans="1:24" ht="15" customHeight="1" x14ac:dyDescent="0.25">
      <c r="A1914" t="str">
        <f>""</f>
        <v/>
      </c>
      <c r="B1914" s="1"/>
      <c r="H1914">
        <v>183.11</v>
      </c>
      <c r="J1914" t="s">
        <v>19</v>
      </c>
      <c r="L1914" s="1"/>
      <c r="N1914" s="1"/>
      <c r="V1914" t="str">
        <f>"45000"</f>
        <v>45000</v>
      </c>
      <c r="W1914">
        <v>38.450000000000003</v>
      </c>
      <c r="X1914">
        <v>0</v>
      </c>
    </row>
    <row r="1915" spans="1:24" ht="15" customHeight="1" x14ac:dyDescent="0.25">
      <c r="A1915" t="str">
        <f>""</f>
        <v/>
      </c>
      <c r="B1915" s="1"/>
      <c r="H1915">
        <v>67.8</v>
      </c>
      <c r="J1915" t="s">
        <v>20</v>
      </c>
      <c r="L1915" s="1"/>
      <c r="N1915" s="1"/>
      <c r="V1915" t="str">
        <f>"94360"</f>
        <v>94360</v>
      </c>
      <c r="W1915">
        <v>0</v>
      </c>
      <c r="X1915">
        <v>0</v>
      </c>
    </row>
    <row r="1916" spans="1:24" ht="15" customHeight="1" x14ac:dyDescent="0.25">
      <c r="A1916" t="str">
        <f>""</f>
        <v/>
      </c>
      <c r="B1916" s="1"/>
      <c r="H1916">
        <v>31.6</v>
      </c>
      <c r="L1916" s="1"/>
      <c r="N1916" s="1"/>
      <c r="V1916" t="str">
        <f>"77184"</f>
        <v>77184</v>
      </c>
      <c r="W1916">
        <v>0</v>
      </c>
      <c r="X1916">
        <v>0</v>
      </c>
    </row>
    <row r="1917" spans="1:24" ht="15" customHeight="1" x14ac:dyDescent="0.25">
      <c r="A1917" t="str">
        <f>""</f>
        <v/>
      </c>
      <c r="B1917" s="1"/>
      <c r="H1917">
        <v>33.6</v>
      </c>
      <c r="J1917" t="s">
        <v>22</v>
      </c>
      <c r="L1917" s="1"/>
      <c r="N1917" s="1"/>
      <c r="V1917" t="str">
        <f>"62000"</f>
        <v>62000</v>
      </c>
      <c r="W1917">
        <v>0</v>
      </c>
      <c r="X1917">
        <v>0</v>
      </c>
    </row>
    <row r="1918" spans="1:24" x14ac:dyDescent="0.25">
      <c r="A1918" t="str">
        <f>""</f>
        <v/>
      </c>
      <c r="B1918" s="1"/>
      <c r="H1918">
        <v>193.66</v>
      </c>
      <c r="J1918" t="s">
        <v>17</v>
      </c>
      <c r="L1918" s="1"/>
      <c r="N1918" s="1"/>
      <c r="V1918" t="str">
        <f>"02000"</f>
        <v>02000</v>
      </c>
      <c r="W1918">
        <v>0</v>
      </c>
      <c r="X1918">
        <v>0</v>
      </c>
    </row>
    <row r="1919" spans="1:24" ht="15" customHeight="1" x14ac:dyDescent="0.25">
      <c r="A1919" t="str">
        <f>""</f>
        <v/>
      </c>
      <c r="B1919" s="1"/>
      <c r="H1919">
        <v>5.85</v>
      </c>
      <c r="J1919" t="s">
        <v>19</v>
      </c>
      <c r="L1919" s="1"/>
      <c r="N1919" s="1"/>
      <c r="V1919" t="str">
        <f>"94405"</f>
        <v>94405</v>
      </c>
      <c r="W1919">
        <v>0</v>
      </c>
      <c r="X1919">
        <v>0</v>
      </c>
    </row>
    <row r="1920" spans="1:24" ht="15" customHeight="1" x14ac:dyDescent="0.25">
      <c r="A1920" t="str">
        <f>""</f>
        <v/>
      </c>
      <c r="B1920" s="1"/>
      <c r="H1920">
        <v>148.78</v>
      </c>
      <c r="J1920" t="s">
        <v>20</v>
      </c>
      <c r="L1920" s="1"/>
      <c r="N1920" s="1"/>
      <c r="V1920" t="str">
        <f>"44300"</f>
        <v>44300</v>
      </c>
      <c r="W1920">
        <v>40.17</v>
      </c>
      <c r="X1920">
        <v>0</v>
      </c>
    </row>
    <row r="1921" spans="1:24" ht="15" customHeight="1" x14ac:dyDescent="0.25">
      <c r="A1921" t="str">
        <f>""</f>
        <v/>
      </c>
      <c r="B1921" s="1"/>
      <c r="H1921">
        <v>36.85</v>
      </c>
      <c r="J1921" t="s">
        <v>19</v>
      </c>
      <c r="L1921" s="1"/>
      <c r="N1921" s="1"/>
      <c r="V1921" t="str">
        <f>"95240"</f>
        <v>95240</v>
      </c>
      <c r="W1921">
        <v>0</v>
      </c>
      <c r="X1921">
        <v>0</v>
      </c>
    </row>
    <row r="1922" spans="1:24" ht="15" customHeight="1" x14ac:dyDescent="0.25">
      <c r="A1922" t="str">
        <f>""</f>
        <v/>
      </c>
      <c r="B1922" s="1"/>
      <c r="H1922">
        <v>85.7</v>
      </c>
      <c r="J1922" t="s">
        <v>23</v>
      </c>
      <c r="L1922" s="1"/>
      <c r="N1922" s="1"/>
      <c r="V1922" t="str">
        <f>"88000"</f>
        <v>88000</v>
      </c>
      <c r="W1922">
        <v>0</v>
      </c>
      <c r="X1922">
        <v>0</v>
      </c>
    </row>
    <row r="1923" spans="1:24" ht="15" customHeight="1" x14ac:dyDescent="0.25">
      <c r="A1923" t="str">
        <f>""</f>
        <v/>
      </c>
      <c r="B1923" s="1"/>
      <c r="H1923">
        <v>37.24</v>
      </c>
      <c r="J1923" t="s">
        <v>22</v>
      </c>
      <c r="L1923" s="1"/>
      <c r="N1923" s="1"/>
      <c r="V1923" t="str">
        <f>"54000"</f>
        <v>54000</v>
      </c>
      <c r="W1923">
        <v>0</v>
      </c>
      <c r="X1923">
        <v>9.31</v>
      </c>
    </row>
    <row r="1924" spans="1:24" ht="15" customHeight="1" x14ac:dyDescent="0.25">
      <c r="A1924" t="str">
        <f>""</f>
        <v/>
      </c>
      <c r="B1924" s="1"/>
      <c r="H1924">
        <v>19.89</v>
      </c>
      <c r="J1924" t="s">
        <v>19</v>
      </c>
      <c r="L1924" s="1"/>
      <c r="N1924" s="1"/>
      <c r="V1924" t="str">
        <f>"06560"</f>
        <v>06560</v>
      </c>
      <c r="W1924">
        <v>5.97</v>
      </c>
      <c r="X1924">
        <v>0</v>
      </c>
    </row>
    <row r="1925" spans="1:24" ht="15" customHeight="1" x14ac:dyDescent="0.25">
      <c r="A1925" t="str">
        <f>""</f>
        <v/>
      </c>
      <c r="B1925" s="1"/>
      <c r="H1925">
        <v>53.38</v>
      </c>
      <c r="J1925" t="s">
        <v>19</v>
      </c>
      <c r="L1925" s="1"/>
      <c r="N1925" s="1"/>
      <c r="V1925" t="str">
        <f>"75014"</f>
        <v>75014</v>
      </c>
      <c r="W1925">
        <v>0</v>
      </c>
      <c r="X1925">
        <v>0</v>
      </c>
    </row>
    <row r="1926" spans="1:24" ht="15" customHeight="1" x14ac:dyDescent="0.25">
      <c r="A1926" t="str">
        <f>""</f>
        <v/>
      </c>
      <c r="B1926" s="1"/>
      <c r="H1926">
        <v>82.33</v>
      </c>
      <c r="J1926" t="s">
        <v>20</v>
      </c>
      <c r="L1926" s="1"/>
      <c r="N1926" s="1"/>
      <c r="V1926" t="str">
        <f>"80000"</f>
        <v>80000</v>
      </c>
      <c r="W1926">
        <v>15.64</v>
      </c>
      <c r="X1926">
        <v>0</v>
      </c>
    </row>
    <row r="1927" spans="1:24" ht="15" customHeight="1" x14ac:dyDescent="0.25">
      <c r="A1927" t="str">
        <f>""</f>
        <v/>
      </c>
      <c r="B1927" s="1"/>
      <c r="H1927">
        <v>185.14</v>
      </c>
      <c r="J1927" t="s">
        <v>19</v>
      </c>
      <c r="L1927" s="1"/>
      <c r="N1927" s="1"/>
      <c r="V1927" t="str">
        <f>"80400"</f>
        <v>80400</v>
      </c>
      <c r="W1927">
        <v>35.18</v>
      </c>
      <c r="X1927">
        <v>0</v>
      </c>
    </row>
    <row r="1928" spans="1:24" ht="15" customHeight="1" x14ac:dyDescent="0.25">
      <c r="A1928" t="str">
        <f>""</f>
        <v/>
      </c>
      <c r="B1928" s="1"/>
      <c r="H1928">
        <v>28.26</v>
      </c>
      <c r="J1928" t="s">
        <v>19</v>
      </c>
      <c r="L1928" s="1"/>
      <c r="N1928" s="1"/>
      <c r="V1928" t="str">
        <f>"75009"</f>
        <v>75009</v>
      </c>
      <c r="W1928">
        <v>0</v>
      </c>
      <c r="X1928">
        <v>0</v>
      </c>
    </row>
    <row r="1929" spans="1:24" ht="15" customHeight="1" x14ac:dyDescent="0.25">
      <c r="A1929" t="str">
        <f>""</f>
        <v/>
      </c>
      <c r="B1929" s="1"/>
      <c r="H1929">
        <v>28.26</v>
      </c>
      <c r="J1929" t="s">
        <v>19</v>
      </c>
      <c r="L1929" s="1"/>
      <c r="N1929" s="1"/>
      <c r="V1929" t="str">
        <f>"75009"</f>
        <v>75009</v>
      </c>
      <c r="W1929">
        <v>0</v>
      </c>
      <c r="X1929">
        <v>0</v>
      </c>
    </row>
    <row r="1930" spans="1:24" ht="15" customHeight="1" x14ac:dyDescent="0.25">
      <c r="A1930" t="str">
        <f>""</f>
        <v/>
      </c>
      <c r="B1930" s="1"/>
      <c r="H1930">
        <v>55.34</v>
      </c>
      <c r="J1930" t="s">
        <v>20</v>
      </c>
      <c r="L1930" s="1"/>
      <c r="N1930" s="1"/>
      <c r="V1930" t="str">
        <f>"67530"</f>
        <v>67530</v>
      </c>
      <c r="W1930">
        <v>16.05</v>
      </c>
      <c r="X1930">
        <v>0</v>
      </c>
    </row>
    <row r="1931" spans="1:24" ht="15" customHeight="1" x14ac:dyDescent="0.25">
      <c r="A1931" t="str">
        <f>""</f>
        <v/>
      </c>
      <c r="B1931" s="1"/>
      <c r="H1931">
        <v>41</v>
      </c>
      <c r="J1931" t="s">
        <v>20</v>
      </c>
      <c r="L1931" s="1"/>
      <c r="N1931" s="1"/>
      <c r="V1931" t="str">
        <f>"54710"</f>
        <v>54710</v>
      </c>
      <c r="W1931">
        <v>10.25</v>
      </c>
      <c r="X1931">
        <v>0</v>
      </c>
    </row>
    <row r="1932" spans="1:24" ht="15" customHeight="1" x14ac:dyDescent="0.25">
      <c r="A1932" t="str">
        <f>""</f>
        <v/>
      </c>
      <c r="B1932" s="1"/>
      <c r="H1932">
        <v>6.2</v>
      </c>
      <c r="J1932" t="s">
        <v>20</v>
      </c>
      <c r="L1932" s="1"/>
      <c r="N1932" s="1"/>
      <c r="V1932" t="str">
        <f>"38400"</f>
        <v>38400</v>
      </c>
      <c r="W1932">
        <v>1.67</v>
      </c>
      <c r="X1932">
        <v>0</v>
      </c>
    </row>
    <row r="1933" spans="1:24" ht="15" customHeight="1" x14ac:dyDescent="0.25">
      <c r="A1933" t="str">
        <f>""</f>
        <v/>
      </c>
      <c r="B1933" s="1"/>
      <c r="H1933">
        <v>163.98</v>
      </c>
      <c r="J1933" t="s">
        <v>23</v>
      </c>
      <c r="L1933" s="1"/>
      <c r="N1933" s="1"/>
      <c r="V1933" t="str">
        <f>"68480"</f>
        <v>68480</v>
      </c>
      <c r="W1933">
        <v>0</v>
      </c>
      <c r="X1933">
        <v>13.12</v>
      </c>
    </row>
    <row r="1934" spans="1:24" ht="15" customHeight="1" x14ac:dyDescent="0.25">
      <c r="A1934" t="str">
        <f>""</f>
        <v/>
      </c>
      <c r="B1934" s="1"/>
      <c r="H1934">
        <v>40</v>
      </c>
      <c r="J1934" t="s">
        <v>22</v>
      </c>
      <c r="L1934" s="1"/>
      <c r="N1934" s="1"/>
      <c r="V1934" t="str">
        <f>"68520"</f>
        <v>68520</v>
      </c>
      <c r="W1934">
        <v>0</v>
      </c>
      <c r="X1934">
        <v>3.2</v>
      </c>
    </row>
    <row r="1935" spans="1:24" ht="15" customHeight="1" x14ac:dyDescent="0.25">
      <c r="A1935" t="str">
        <f>""</f>
        <v/>
      </c>
      <c r="B1935" s="1"/>
      <c r="H1935">
        <v>94.3</v>
      </c>
      <c r="J1935" t="s">
        <v>23</v>
      </c>
      <c r="L1935" s="1"/>
      <c r="N1935" s="1"/>
      <c r="V1935" t="str">
        <f>"94270"</f>
        <v>94270</v>
      </c>
      <c r="W1935">
        <v>0</v>
      </c>
      <c r="X1935">
        <v>0</v>
      </c>
    </row>
    <row r="1936" spans="1:24" ht="15" customHeight="1" x14ac:dyDescent="0.25">
      <c r="A1936" t="str">
        <f>""</f>
        <v/>
      </c>
      <c r="B1936" s="1"/>
      <c r="H1936">
        <v>101</v>
      </c>
      <c r="L1936" s="1"/>
      <c r="N1936" s="1"/>
      <c r="V1936" t="str">
        <f>"77184"</f>
        <v>77184</v>
      </c>
      <c r="W1936">
        <v>0</v>
      </c>
      <c r="X1936">
        <v>0</v>
      </c>
    </row>
    <row r="1937" spans="1:24" ht="15" customHeight="1" x14ac:dyDescent="0.25">
      <c r="A1937" t="str">
        <f>""</f>
        <v/>
      </c>
      <c r="B1937" s="1"/>
      <c r="H1937">
        <v>55.14</v>
      </c>
      <c r="J1937" t="s">
        <v>19</v>
      </c>
      <c r="L1937" s="1"/>
      <c r="N1937" s="1"/>
      <c r="V1937" t="str">
        <f>"75010"</f>
        <v>75010</v>
      </c>
      <c r="W1937">
        <v>0</v>
      </c>
      <c r="X1937">
        <v>0</v>
      </c>
    </row>
    <row r="1938" spans="1:24" ht="15" customHeight="1" x14ac:dyDescent="0.25">
      <c r="A1938" t="str">
        <f>""</f>
        <v/>
      </c>
      <c r="B1938" s="1"/>
      <c r="H1938">
        <v>68.39</v>
      </c>
      <c r="J1938" t="s">
        <v>20</v>
      </c>
      <c r="L1938" s="1"/>
      <c r="N1938" s="1"/>
      <c r="V1938" t="str">
        <f>"80440"</f>
        <v>80440</v>
      </c>
      <c r="W1938">
        <v>12.99</v>
      </c>
      <c r="X1938">
        <v>0</v>
      </c>
    </row>
    <row r="1939" spans="1:24" ht="15" customHeight="1" x14ac:dyDescent="0.25">
      <c r="A1939" t="str">
        <f>""</f>
        <v/>
      </c>
      <c r="B1939" s="1"/>
      <c r="H1939">
        <v>46.6</v>
      </c>
      <c r="J1939" t="s">
        <v>20</v>
      </c>
      <c r="L1939" s="1"/>
      <c r="N1939" s="1"/>
      <c r="V1939" t="str">
        <f>"50400"</f>
        <v>50400</v>
      </c>
      <c r="W1939">
        <v>7.92</v>
      </c>
      <c r="X1939">
        <v>0</v>
      </c>
    </row>
    <row r="1940" spans="1:24" ht="15" customHeight="1" x14ac:dyDescent="0.25">
      <c r="A1940" t="str">
        <f>""</f>
        <v/>
      </c>
      <c r="B1940" s="1"/>
      <c r="H1940">
        <v>124</v>
      </c>
      <c r="J1940" t="s">
        <v>22</v>
      </c>
      <c r="L1940" s="1"/>
      <c r="N1940" s="1"/>
      <c r="V1940" t="str">
        <f>"37540"</f>
        <v>37540</v>
      </c>
      <c r="W1940">
        <v>0</v>
      </c>
      <c r="X1940">
        <v>0</v>
      </c>
    </row>
    <row r="1941" spans="1:24" ht="15" customHeight="1" x14ac:dyDescent="0.25">
      <c r="A1941" t="str">
        <f>""</f>
        <v/>
      </c>
      <c r="B1941" s="1"/>
      <c r="H1941">
        <v>60</v>
      </c>
      <c r="L1941" s="1"/>
      <c r="N1941" s="1"/>
      <c r="V1941" t="str">
        <f>"44240"</f>
        <v>44240</v>
      </c>
      <c r="W1941">
        <v>0</v>
      </c>
      <c r="X1941">
        <v>0</v>
      </c>
    </row>
    <row r="1942" spans="1:24" ht="15" customHeight="1" x14ac:dyDescent="0.25">
      <c r="A1942" t="str">
        <f>""</f>
        <v/>
      </c>
      <c r="B1942" s="1"/>
      <c r="H1942">
        <v>241.52</v>
      </c>
      <c r="J1942" t="s">
        <v>23</v>
      </c>
      <c r="L1942" s="1"/>
      <c r="V1942" t="str">
        <f>"44000"</f>
        <v>44000</v>
      </c>
      <c r="W1942">
        <v>0</v>
      </c>
      <c r="X1942">
        <v>0</v>
      </c>
    </row>
    <row r="1943" spans="1:24" ht="15" customHeight="1" x14ac:dyDescent="0.25">
      <c r="A1943" t="str">
        <f>""</f>
        <v/>
      </c>
      <c r="B1943" s="1"/>
      <c r="H1943">
        <v>180</v>
      </c>
      <c r="J1943" t="s">
        <v>20</v>
      </c>
      <c r="L1943" s="1"/>
      <c r="N1943" s="1"/>
      <c r="V1943" t="str">
        <f>"76133"</f>
        <v>76133</v>
      </c>
      <c r="W1943">
        <v>30.6</v>
      </c>
      <c r="X1943">
        <v>0</v>
      </c>
    </row>
    <row r="1944" spans="1:24" ht="15" customHeight="1" x14ac:dyDescent="0.25">
      <c r="A1944" t="str">
        <f>""</f>
        <v/>
      </c>
      <c r="B1944" s="1"/>
      <c r="H1944">
        <v>36.89</v>
      </c>
      <c r="J1944" t="s">
        <v>22</v>
      </c>
      <c r="L1944" s="1"/>
      <c r="N1944" s="1"/>
      <c r="V1944" t="str">
        <f>"69120"</f>
        <v>69120</v>
      </c>
      <c r="W1944">
        <v>0</v>
      </c>
      <c r="X1944">
        <v>0</v>
      </c>
    </row>
    <row r="1945" spans="1:24" ht="15" customHeight="1" x14ac:dyDescent="0.25">
      <c r="A1945" t="str">
        <f>""</f>
        <v/>
      </c>
      <c r="B1945" s="1"/>
      <c r="H1945">
        <v>84.5</v>
      </c>
      <c r="J1945" t="s">
        <v>22</v>
      </c>
      <c r="L1945" s="1"/>
      <c r="N1945" s="1"/>
      <c r="V1945" t="str">
        <f>"68120"</f>
        <v>68120</v>
      </c>
      <c r="W1945">
        <v>0</v>
      </c>
      <c r="X1945">
        <v>6.76</v>
      </c>
    </row>
    <row r="1946" spans="1:24" ht="15" customHeight="1" x14ac:dyDescent="0.25">
      <c r="A1946" t="str">
        <f>""</f>
        <v/>
      </c>
      <c r="B1946" s="1"/>
      <c r="H1946">
        <v>91.3</v>
      </c>
      <c r="J1946" t="s">
        <v>22</v>
      </c>
      <c r="L1946" s="1"/>
      <c r="N1946" s="1"/>
      <c r="V1946" t="str">
        <f>"50260"</f>
        <v>50260</v>
      </c>
      <c r="W1946">
        <v>0</v>
      </c>
      <c r="X1946">
        <v>15.52</v>
      </c>
    </row>
    <row r="1947" spans="1:24" ht="15" customHeight="1" x14ac:dyDescent="0.25">
      <c r="A1947" t="str">
        <f>""</f>
        <v/>
      </c>
      <c r="B1947" s="1"/>
      <c r="H1947">
        <v>199.39</v>
      </c>
      <c r="J1947" t="s">
        <v>19</v>
      </c>
      <c r="L1947" s="1"/>
      <c r="N1947" s="1"/>
      <c r="V1947" t="str">
        <f>"69124"</f>
        <v>69124</v>
      </c>
      <c r="W1947">
        <v>53.84</v>
      </c>
      <c r="X1947">
        <v>0</v>
      </c>
    </row>
    <row r="1948" spans="1:24" ht="15" customHeight="1" x14ac:dyDescent="0.25">
      <c r="A1948" t="str">
        <f>""</f>
        <v/>
      </c>
      <c r="B1948" s="1"/>
      <c r="H1948">
        <v>190.8</v>
      </c>
      <c r="J1948" t="s">
        <v>19</v>
      </c>
      <c r="L1948" s="1"/>
      <c r="N1948" s="1"/>
      <c r="V1948" t="str">
        <f>"68120"</f>
        <v>68120</v>
      </c>
      <c r="W1948">
        <v>55.33</v>
      </c>
      <c r="X1948">
        <v>0</v>
      </c>
    </row>
    <row r="1949" spans="1:24" ht="15" customHeight="1" x14ac:dyDescent="0.25">
      <c r="A1949" t="str">
        <f>""</f>
        <v/>
      </c>
      <c r="B1949" s="1"/>
      <c r="H1949">
        <v>80.16</v>
      </c>
      <c r="J1949" t="s">
        <v>20</v>
      </c>
      <c r="L1949" s="1"/>
      <c r="N1949" s="1"/>
      <c r="V1949" t="str">
        <f>"57930"</f>
        <v>57930</v>
      </c>
      <c r="W1949">
        <v>20.04</v>
      </c>
      <c r="X1949">
        <v>0</v>
      </c>
    </row>
    <row r="1950" spans="1:24" ht="15" customHeight="1" x14ac:dyDescent="0.25">
      <c r="A1950" t="str">
        <f>""</f>
        <v/>
      </c>
      <c r="B1950" s="1"/>
      <c r="H1950">
        <v>120.29</v>
      </c>
      <c r="J1950" t="s">
        <v>20</v>
      </c>
      <c r="L1950" s="1"/>
      <c r="N1950" s="1"/>
      <c r="V1950" t="str">
        <f>"51190"</f>
        <v>51190</v>
      </c>
      <c r="W1950">
        <v>30.07</v>
      </c>
      <c r="X1950">
        <v>0</v>
      </c>
    </row>
    <row r="1951" spans="1:24" ht="15" customHeight="1" x14ac:dyDescent="0.25">
      <c r="A1951" t="str">
        <f>""</f>
        <v/>
      </c>
      <c r="B1951" s="1"/>
      <c r="H1951">
        <v>75.260000000000005</v>
      </c>
      <c r="J1951" t="s">
        <v>20</v>
      </c>
      <c r="L1951" s="1"/>
      <c r="N1951" s="1"/>
      <c r="V1951" t="str">
        <f>"60680"</f>
        <v>60680</v>
      </c>
      <c r="W1951">
        <v>0</v>
      </c>
      <c r="X1951">
        <v>0</v>
      </c>
    </row>
    <row r="1952" spans="1:24" ht="15" customHeight="1" x14ac:dyDescent="0.25">
      <c r="A1952" t="str">
        <f>""</f>
        <v/>
      </c>
      <c r="B1952" s="1"/>
      <c r="H1952">
        <v>155.37</v>
      </c>
      <c r="J1952" t="s">
        <v>19</v>
      </c>
      <c r="L1952" s="1"/>
      <c r="N1952" s="1"/>
      <c r="V1952" t="str">
        <f>"27091"</f>
        <v>27091</v>
      </c>
      <c r="W1952">
        <v>26.41</v>
      </c>
      <c r="X1952">
        <v>0</v>
      </c>
    </row>
    <row r="1953" spans="1:24" ht="15" customHeight="1" x14ac:dyDescent="0.25">
      <c r="A1953" t="str">
        <f>""</f>
        <v/>
      </c>
      <c r="B1953" s="1"/>
      <c r="H1953">
        <v>213.9</v>
      </c>
      <c r="J1953" t="s">
        <v>19</v>
      </c>
      <c r="L1953" s="1"/>
      <c r="N1953" s="1"/>
      <c r="V1953" t="str">
        <f>"35470"</f>
        <v>35470</v>
      </c>
      <c r="W1953">
        <v>57.75</v>
      </c>
      <c r="X1953">
        <v>0</v>
      </c>
    </row>
    <row r="1954" spans="1:24" ht="15" customHeight="1" x14ac:dyDescent="0.25">
      <c r="A1954" t="str">
        <f>""</f>
        <v/>
      </c>
      <c r="B1954" s="1"/>
      <c r="H1954">
        <v>180</v>
      </c>
      <c r="J1954" t="s">
        <v>23</v>
      </c>
      <c r="L1954" s="1"/>
      <c r="N1954" s="1"/>
      <c r="V1954" t="str">
        <f>"92350"</f>
        <v>92350</v>
      </c>
      <c r="W1954">
        <v>0</v>
      </c>
      <c r="X1954">
        <v>0</v>
      </c>
    </row>
    <row r="1955" spans="1:24" ht="15" customHeight="1" x14ac:dyDescent="0.25">
      <c r="A1955" t="str">
        <f>""</f>
        <v/>
      </c>
      <c r="B1955" s="1"/>
      <c r="H1955">
        <v>171</v>
      </c>
      <c r="L1955" s="1"/>
      <c r="N1955" s="1"/>
      <c r="V1955" t="str">
        <f>"77184"</f>
        <v>77184</v>
      </c>
      <c r="W1955">
        <v>0</v>
      </c>
      <c r="X1955">
        <v>0</v>
      </c>
    </row>
    <row r="1956" spans="1:24" ht="15" customHeight="1" x14ac:dyDescent="0.25">
      <c r="A1956" t="str">
        <f>""</f>
        <v/>
      </c>
      <c r="B1956" s="1"/>
      <c r="H1956">
        <v>25.8</v>
      </c>
      <c r="J1956" t="s">
        <v>19</v>
      </c>
      <c r="L1956" s="1"/>
      <c r="N1956" s="1"/>
      <c r="V1956" t="str">
        <f>"60300"</f>
        <v>60300</v>
      </c>
      <c r="W1956">
        <v>4.9000000000000004</v>
      </c>
      <c r="X1956">
        <v>0</v>
      </c>
    </row>
    <row r="1957" spans="1:24" ht="15" customHeight="1" x14ac:dyDescent="0.25">
      <c r="A1957" t="str">
        <f>""</f>
        <v/>
      </c>
      <c r="B1957" s="1"/>
      <c r="H1957">
        <v>19.8</v>
      </c>
      <c r="J1957" t="s">
        <v>20</v>
      </c>
      <c r="L1957" s="1"/>
      <c r="N1957" s="1"/>
      <c r="V1957" t="str">
        <f>"39700"</f>
        <v>39700</v>
      </c>
      <c r="W1957">
        <v>5.35</v>
      </c>
      <c r="X1957">
        <v>0</v>
      </c>
    </row>
    <row r="1958" spans="1:24" ht="15" customHeight="1" x14ac:dyDescent="0.25">
      <c r="A1958" t="str">
        <f>""</f>
        <v/>
      </c>
      <c r="B1958" s="1"/>
      <c r="H1958">
        <v>55.14</v>
      </c>
      <c r="J1958" t="s">
        <v>20</v>
      </c>
      <c r="L1958" s="1"/>
      <c r="N1958" s="1"/>
      <c r="V1958" t="str">
        <f>"74300"</f>
        <v>74300</v>
      </c>
      <c r="W1958">
        <v>14.89</v>
      </c>
      <c r="X1958">
        <v>0</v>
      </c>
    </row>
    <row r="1959" spans="1:24" ht="15" customHeight="1" x14ac:dyDescent="0.25">
      <c r="A1959" t="str">
        <f>""</f>
        <v/>
      </c>
      <c r="B1959" s="1"/>
      <c r="H1959">
        <v>1387.51</v>
      </c>
      <c r="J1959" t="s">
        <v>22</v>
      </c>
      <c r="L1959" s="1"/>
      <c r="N1959" s="1"/>
      <c r="V1959" t="str">
        <f>"44980"</f>
        <v>44980</v>
      </c>
      <c r="W1959">
        <v>0</v>
      </c>
      <c r="X1959">
        <v>374.63</v>
      </c>
    </row>
    <row r="1960" spans="1:24" ht="15" customHeight="1" x14ac:dyDescent="0.25">
      <c r="A1960" t="str">
        <f>""</f>
        <v/>
      </c>
      <c r="B1960" s="1"/>
      <c r="H1960">
        <v>80.400000000000006</v>
      </c>
      <c r="J1960" t="s">
        <v>23</v>
      </c>
      <c r="L1960" s="1"/>
      <c r="N1960" s="1"/>
      <c r="V1960" t="str">
        <f>"94420"</f>
        <v>94420</v>
      </c>
      <c r="W1960">
        <v>0</v>
      </c>
      <c r="X1960">
        <v>0</v>
      </c>
    </row>
    <row r="1961" spans="1:24" ht="15" customHeight="1" x14ac:dyDescent="0.25">
      <c r="A1961" t="str">
        <f>""</f>
        <v/>
      </c>
      <c r="B1961" s="1"/>
      <c r="H1961">
        <v>266.73</v>
      </c>
      <c r="J1961" t="s">
        <v>23</v>
      </c>
      <c r="L1961" s="1"/>
      <c r="N1961" s="1"/>
      <c r="V1961" t="str">
        <f>"75008"</f>
        <v>75008</v>
      </c>
      <c r="W1961">
        <v>0</v>
      </c>
      <c r="X1961">
        <v>0</v>
      </c>
    </row>
    <row r="1962" spans="1:24" ht="15" customHeight="1" x14ac:dyDescent="0.25">
      <c r="A1962" t="str">
        <f>""</f>
        <v/>
      </c>
      <c r="B1962" s="1"/>
      <c r="H1962">
        <v>32</v>
      </c>
      <c r="J1962" t="s">
        <v>22</v>
      </c>
      <c r="L1962" s="1"/>
      <c r="N1962" s="1"/>
      <c r="V1962" t="str">
        <f>"49130"</f>
        <v>49130</v>
      </c>
      <c r="W1962">
        <v>0</v>
      </c>
      <c r="X1962">
        <v>0</v>
      </c>
    </row>
    <row r="1963" spans="1:24" ht="15" customHeight="1" x14ac:dyDescent="0.25">
      <c r="A1963" t="str">
        <f>""</f>
        <v/>
      </c>
      <c r="B1963" s="1"/>
      <c r="H1963">
        <v>18.36</v>
      </c>
      <c r="J1963" t="s">
        <v>19</v>
      </c>
      <c r="L1963" s="1"/>
      <c r="N1963" s="1"/>
      <c r="V1963" t="str">
        <f>"75017"</f>
        <v>75017</v>
      </c>
      <c r="W1963">
        <v>0</v>
      </c>
      <c r="X1963">
        <v>0</v>
      </c>
    </row>
    <row r="1964" spans="1:24" ht="15" customHeight="1" x14ac:dyDescent="0.25">
      <c r="A1964" t="str">
        <f>""</f>
        <v/>
      </c>
      <c r="B1964" s="1"/>
      <c r="H1964">
        <v>40</v>
      </c>
      <c r="J1964" t="s">
        <v>19</v>
      </c>
      <c r="L1964" s="1"/>
      <c r="N1964" s="1"/>
      <c r="V1964" t="str">
        <f>"44000"</f>
        <v>44000</v>
      </c>
      <c r="W1964">
        <v>10.8</v>
      </c>
      <c r="X1964">
        <v>0</v>
      </c>
    </row>
    <row r="1965" spans="1:24" ht="15" customHeight="1" x14ac:dyDescent="0.25">
      <c r="A1965" t="str">
        <f>""</f>
        <v/>
      </c>
      <c r="B1965" s="1"/>
      <c r="H1965">
        <v>80</v>
      </c>
      <c r="J1965" t="s">
        <v>19</v>
      </c>
      <c r="L1965" s="1"/>
      <c r="N1965" s="1"/>
      <c r="V1965" t="str">
        <f>"69003"</f>
        <v>69003</v>
      </c>
      <c r="W1965">
        <v>21.6</v>
      </c>
      <c r="X1965">
        <v>0</v>
      </c>
    </row>
    <row r="1966" spans="1:24" ht="15" customHeight="1" x14ac:dyDescent="0.25">
      <c r="A1966" t="str">
        <f>""</f>
        <v/>
      </c>
      <c r="B1966" s="1"/>
      <c r="H1966">
        <v>140</v>
      </c>
      <c r="J1966" t="s">
        <v>19</v>
      </c>
      <c r="L1966" s="1"/>
      <c r="N1966" s="1"/>
      <c r="V1966" t="str">
        <f>"75008"</f>
        <v>75008</v>
      </c>
      <c r="W1966">
        <v>0</v>
      </c>
      <c r="X1966">
        <v>0</v>
      </c>
    </row>
    <row r="1967" spans="1:24" ht="15" customHeight="1" x14ac:dyDescent="0.25">
      <c r="A1967" t="str">
        <f>""</f>
        <v/>
      </c>
      <c r="B1967" s="1"/>
      <c r="H1967">
        <v>67.38</v>
      </c>
      <c r="J1967" t="s">
        <v>20</v>
      </c>
      <c r="L1967" s="1"/>
      <c r="N1967" s="1"/>
      <c r="V1967" t="str">
        <f>"27340"</f>
        <v>27340</v>
      </c>
      <c r="W1967">
        <v>11.45</v>
      </c>
      <c r="X1967">
        <v>0</v>
      </c>
    </row>
    <row r="1968" spans="1:24" ht="15" customHeight="1" x14ac:dyDescent="0.25">
      <c r="A1968" t="str">
        <f>""</f>
        <v/>
      </c>
      <c r="B1968" s="1"/>
      <c r="H1968">
        <v>185.14</v>
      </c>
      <c r="J1968" t="s">
        <v>19</v>
      </c>
      <c r="L1968" s="1"/>
      <c r="N1968" s="1"/>
      <c r="V1968" t="str">
        <f>"59605"</f>
        <v>59605</v>
      </c>
      <c r="W1968">
        <v>35.18</v>
      </c>
      <c r="X1968">
        <v>0</v>
      </c>
    </row>
    <row r="1969" spans="1:24" ht="15" customHeight="1" x14ac:dyDescent="0.25">
      <c r="A1969" t="str">
        <f>""</f>
        <v/>
      </c>
      <c r="B1969" s="1"/>
      <c r="H1969">
        <v>40</v>
      </c>
      <c r="J1969" t="s">
        <v>20</v>
      </c>
      <c r="L1969" s="1"/>
      <c r="N1969" s="1"/>
      <c r="V1969" t="str">
        <f>"44300"</f>
        <v>44300</v>
      </c>
      <c r="W1969">
        <v>10.8</v>
      </c>
      <c r="X1969">
        <v>0</v>
      </c>
    </row>
    <row r="1970" spans="1:24" ht="15" customHeight="1" x14ac:dyDescent="0.25">
      <c r="A1970" t="str">
        <f>""</f>
        <v/>
      </c>
      <c r="B1970" s="1"/>
      <c r="H1970">
        <v>33.35</v>
      </c>
      <c r="J1970" t="s">
        <v>19</v>
      </c>
      <c r="L1970" s="1"/>
      <c r="N1970" s="1"/>
      <c r="V1970" t="str">
        <f>"69005"</f>
        <v>69005</v>
      </c>
      <c r="W1970">
        <v>9</v>
      </c>
      <c r="X1970">
        <v>0</v>
      </c>
    </row>
    <row r="1971" spans="1:24" ht="15" customHeight="1" x14ac:dyDescent="0.25">
      <c r="A1971" t="str">
        <f>""</f>
        <v/>
      </c>
      <c r="B1971" s="1"/>
      <c r="H1971">
        <v>31.2</v>
      </c>
      <c r="J1971" t="s">
        <v>20</v>
      </c>
      <c r="L1971" s="1"/>
      <c r="N1971" s="1"/>
      <c r="V1971" t="str">
        <f>"35590"</f>
        <v>35590</v>
      </c>
      <c r="W1971">
        <v>8.42</v>
      </c>
      <c r="X1971">
        <v>0</v>
      </c>
    </row>
    <row r="1972" spans="1:24" ht="15" customHeight="1" x14ac:dyDescent="0.25">
      <c r="A1972" t="str">
        <f>""</f>
        <v/>
      </c>
      <c r="B1972" s="1"/>
      <c r="H1972">
        <v>151</v>
      </c>
      <c r="J1972" t="s">
        <v>23</v>
      </c>
      <c r="L1972" s="1"/>
      <c r="V1972" t="str">
        <f>"29590"</f>
        <v>29590</v>
      </c>
      <c r="W1972">
        <v>0</v>
      </c>
      <c r="X1972">
        <v>0</v>
      </c>
    </row>
    <row r="1973" spans="1:24" ht="15" customHeight="1" x14ac:dyDescent="0.25">
      <c r="A1973" t="str">
        <f>""</f>
        <v/>
      </c>
      <c r="B1973" s="1"/>
      <c r="H1973">
        <v>70</v>
      </c>
      <c r="J1973" t="s">
        <v>23</v>
      </c>
      <c r="L1973" s="1"/>
      <c r="N1973" s="1"/>
      <c r="V1973" t="str">
        <f>"38130"</f>
        <v>38130</v>
      </c>
      <c r="W1973">
        <v>0</v>
      </c>
      <c r="X1973">
        <v>0</v>
      </c>
    </row>
    <row r="1974" spans="1:24" ht="15" customHeight="1" x14ac:dyDescent="0.25">
      <c r="A1974" t="str">
        <f>""</f>
        <v/>
      </c>
      <c r="B1974" s="1"/>
      <c r="H1974">
        <v>169</v>
      </c>
      <c r="L1974" s="1"/>
      <c r="N1974" s="1"/>
      <c r="V1974" t="str">
        <f>"77184"</f>
        <v>77184</v>
      </c>
      <c r="W1974">
        <v>0</v>
      </c>
      <c r="X1974">
        <v>0</v>
      </c>
    </row>
    <row r="1975" spans="1:24" ht="15" customHeight="1" x14ac:dyDescent="0.25">
      <c r="A1975" t="str">
        <f>""</f>
        <v/>
      </c>
      <c r="B1975" s="1"/>
      <c r="H1975">
        <v>123</v>
      </c>
      <c r="L1975" s="1"/>
      <c r="N1975" s="1"/>
      <c r="V1975" t="str">
        <f>"77184"</f>
        <v>77184</v>
      </c>
      <c r="W1975">
        <v>0</v>
      </c>
      <c r="X1975">
        <v>0</v>
      </c>
    </row>
    <row r="1976" spans="1:24" ht="15" customHeight="1" x14ac:dyDescent="0.25">
      <c r="A1976" t="str">
        <f>""</f>
        <v/>
      </c>
      <c r="B1976" s="1"/>
      <c r="H1976">
        <v>134</v>
      </c>
      <c r="L1976" s="1"/>
      <c r="N1976" s="1"/>
      <c r="V1976" t="str">
        <f>"77184"</f>
        <v>77184</v>
      </c>
      <c r="W1976">
        <v>0</v>
      </c>
      <c r="X1976">
        <v>0</v>
      </c>
    </row>
    <row r="1977" spans="1:24" ht="15" customHeight="1" x14ac:dyDescent="0.25">
      <c r="A1977" t="str">
        <f>""</f>
        <v/>
      </c>
      <c r="B1977" s="1"/>
      <c r="H1977">
        <v>40</v>
      </c>
      <c r="J1977" t="s">
        <v>22</v>
      </c>
      <c r="L1977" s="1"/>
      <c r="N1977" s="1"/>
      <c r="V1977" t="str">
        <f>"06000"</f>
        <v>06000</v>
      </c>
      <c r="W1977">
        <v>0</v>
      </c>
      <c r="X1977">
        <v>0</v>
      </c>
    </row>
    <row r="1978" spans="1:24" ht="15" customHeight="1" x14ac:dyDescent="0.25">
      <c r="A1978" t="str">
        <f>""</f>
        <v/>
      </c>
      <c r="B1978" s="1"/>
      <c r="H1978">
        <v>132.34</v>
      </c>
      <c r="J1978" t="s">
        <v>20</v>
      </c>
      <c r="L1978" s="1"/>
      <c r="N1978" s="1"/>
      <c r="V1978" t="str">
        <f>"51100"</f>
        <v>51100</v>
      </c>
      <c r="W1978">
        <v>33.090000000000003</v>
      </c>
      <c r="X1978">
        <v>0</v>
      </c>
    </row>
    <row r="1979" spans="1:24" ht="15" customHeight="1" x14ac:dyDescent="0.25">
      <c r="A1979" t="str">
        <f>""</f>
        <v/>
      </c>
      <c r="B1979" s="1"/>
      <c r="H1979">
        <v>131.97999999999999</v>
      </c>
      <c r="J1979" t="s">
        <v>20</v>
      </c>
      <c r="L1979" s="1"/>
      <c r="N1979" s="1"/>
      <c r="V1979" t="str">
        <f>"51100"</f>
        <v>51100</v>
      </c>
      <c r="W1979">
        <v>33</v>
      </c>
      <c r="X1979">
        <v>0</v>
      </c>
    </row>
    <row r="1980" spans="1:24" ht="15" customHeight="1" x14ac:dyDescent="0.25">
      <c r="A1980" t="str">
        <f>""</f>
        <v/>
      </c>
      <c r="B1980" s="1"/>
      <c r="H1980">
        <v>131.97999999999999</v>
      </c>
      <c r="J1980" t="s">
        <v>20</v>
      </c>
      <c r="L1980" s="1"/>
      <c r="N1980" s="1"/>
      <c r="V1980" t="str">
        <f>"17500"</f>
        <v>17500</v>
      </c>
      <c r="W1980">
        <v>27.72</v>
      </c>
      <c r="X1980">
        <v>0</v>
      </c>
    </row>
    <row r="1981" spans="1:24" ht="15" customHeight="1" x14ac:dyDescent="0.25">
      <c r="A1981" t="str">
        <f>""</f>
        <v/>
      </c>
      <c r="B1981" s="1"/>
      <c r="H1981">
        <v>174.94</v>
      </c>
      <c r="J1981" t="s">
        <v>20</v>
      </c>
      <c r="L1981" s="1"/>
      <c r="N1981" s="1"/>
      <c r="V1981" t="str">
        <f>"28700"</f>
        <v>28700</v>
      </c>
      <c r="W1981">
        <v>36.74</v>
      </c>
      <c r="X1981">
        <v>0</v>
      </c>
    </row>
    <row r="1982" spans="1:24" ht="15" customHeight="1" x14ac:dyDescent="0.25">
      <c r="A1982" t="str">
        <f>""</f>
        <v/>
      </c>
      <c r="B1982" s="1"/>
      <c r="H1982">
        <v>18.350000000000001</v>
      </c>
      <c r="J1982" t="s">
        <v>19</v>
      </c>
      <c r="L1982" s="1"/>
      <c r="N1982" s="1"/>
      <c r="V1982" t="str">
        <f>"84140"</f>
        <v>84140</v>
      </c>
      <c r="W1982">
        <v>5.32</v>
      </c>
      <c r="X1982">
        <v>0</v>
      </c>
    </row>
    <row r="1983" spans="1:24" ht="15" customHeight="1" x14ac:dyDescent="0.25">
      <c r="A1983" t="str">
        <f>""</f>
        <v/>
      </c>
      <c r="B1983" s="1"/>
      <c r="H1983">
        <v>20.2</v>
      </c>
      <c r="J1983" t="s">
        <v>20</v>
      </c>
      <c r="L1983" s="1"/>
      <c r="N1983" s="1"/>
      <c r="V1983" t="str">
        <f>"02430"</f>
        <v>02430</v>
      </c>
      <c r="W1983">
        <v>3.84</v>
      </c>
      <c r="X1983">
        <v>0</v>
      </c>
    </row>
    <row r="1984" spans="1:24" ht="15" customHeight="1" x14ac:dyDescent="0.25">
      <c r="A1984" t="str">
        <f>""</f>
        <v/>
      </c>
      <c r="B1984" s="1"/>
      <c r="H1984">
        <v>107.6</v>
      </c>
      <c r="J1984" t="s">
        <v>20</v>
      </c>
      <c r="L1984" s="1"/>
      <c r="N1984" s="1"/>
      <c r="V1984" t="str">
        <f>"75014"</f>
        <v>75014</v>
      </c>
      <c r="W1984">
        <v>0</v>
      </c>
      <c r="X1984">
        <v>0</v>
      </c>
    </row>
    <row r="1985" spans="1:24" ht="15" customHeight="1" x14ac:dyDescent="0.25">
      <c r="A1985" t="str">
        <f>""</f>
        <v/>
      </c>
      <c r="B1985" s="1"/>
      <c r="H1985">
        <v>137.59</v>
      </c>
      <c r="J1985" t="s">
        <v>19</v>
      </c>
      <c r="L1985" s="1"/>
      <c r="N1985" s="1"/>
      <c r="V1985" t="str">
        <f>"75014"</f>
        <v>75014</v>
      </c>
      <c r="W1985">
        <v>0</v>
      </c>
      <c r="X1985">
        <v>0</v>
      </c>
    </row>
    <row r="1986" spans="1:24" ht="15" customHeight="1" x14ac:dyDescent="0.25">
      <c r="A1986" t="str">
        <f>""</f>
        <v/>
      </c>
      <c r="B1986" s="1"/>
      <c r="H1986">
        <v>68.2</v>
      </c>
      <c r="L1986" s="1"/>
      <c r="N1986" s="1"/>
      <c r="V1986" t="str">
        <f>"77184"</f>
        <v>77184</v>
      </c>
      <c r="W1986">
        <v>0</v>
      </c>
      <c r="X1986">
        <v>0</v>
      </c>
    </row>
    <row r="1987" spans="1:24" ht="15" customHeight="1" x14ac:dyDescent="0.25">
      <c r="A1987" t="str">
        <f>""</f>
        <v/>
      </c>
      <c r="B1987" s="1"/>
      <c r="H1987">
        <v>40</v>
      </c>
      <c r="J1987" t="s">
        <v>23</v>
      </c>
      <c r="L1987" s="1"/>
      <c r="V1987" t="str">
        <f>"73200"</f>
        <v>73200</v>
      </c>
      <c r="W1987">
        <v>0</v>
      </c>
      <c r="X1987">
        <v>0</v>
      </c>
    </row>
    <row r="1988" spans="1:24" ht="15" customHeight="1" x14ac:dyDescent="0.25">
      <c r="A1988" t="str">
        <f>""</f>
        <v/>
      </c>
      <c r="B1988" s="1"/>
      <c r="H1988">
        <v>70</v>
      </c>
      <c r="J1988" t="s">
        <v>23</v>
      </c>
      <c r="L1988" s="1"/>
      <c r="N1988" s="1"/>
      <c r="V1988" t="str">
        <f>"76800"</f>
        <v>76800</v>
      </c>
      <c r="W1988">
        <v>0</v>
      </c>
      <c r="X1988">
        <v>11.9</v>
      </c>
    </row>
    <row r="1989" spans="1:24" ht="15" customHeight="1" x14ac:dyDescent="0.25">
      <c r="A1989" t="str">
        <f>""</f>
        <v/>
      </c>
      <c r="B1989" s="1"/>
      <c r="H1989">
        <v>26.6</v>
      </c>
      <c r="J1989" t="s">
        <v>22</v>
      </c>
      <c r="L1989" s="1"/>
      <c r="N1989" s="1"/>
      <c r="V1989" t="str">
        <f>"77600"</f>
        <v>77600</v>
      </c>
      <c r="W1989">
        <v>0</v>
      </c>
      <c r="X1989">
        <v>0</v>
      </c>
    </row>
    <row r="1990" spans="1:24" ht="15" customHeight="1" x14ac:dyDescent="0.25">
      <c r="A1990" t="str">
        <f>""</f>
        <v/>
      </c>
      <c r="B1990" s="1"/>
      <c r="H1990">
        <v>180</v>
      </c>
      <c r="J1990" t="s">
        <v>23</v>
      </c>
      <c r="L1990" s="1"/>
      <c r="N1990" s="1"/>
      <c r="V1990" t="str">
        <f>"50100"</f>
        <v>50100</v>
      </c>
      <c r="W1990">
        <v>0</v>
      </c>
      <c r="X1990">
        <v>30.6</v>
      </c>
    </row>
    <row r="1991" spans="1:24" ht="15" customHeight="1" x14ac:dyDescent="0.25">
      <c r="A1991" t="str">
        <f>""</f>
        <v/>
      </c>
      <c r="B1991" s="1"/>
      <c r="H1991">
        <v>180</v>
      </c>
      <c r="J1991" t="s">
        <v>22</v>
      </c>
      <c r="L1991" s="1"/>
      <c r="N1991" s="1"/>
      <c r="V1991" t="str">
        <f>"50100"</f>
        <v>50100</v>
      </c>
      <c r="W1991">
        <v>0</v>
      </c>
      <c r="X1991">
        <v>0</v>
      </c>
    </row>
    <row r="1992" spans="1:24" ht="15" customHeight="1" x14ac:dyDescent="0.25">
      <c r="A1992" t="str">
        <f>""</f>
        <v/>
      </c>
      <c r="B1992" s="1"/>
      <c r="H1992">
        <v>184.02</v>
      </c>
      <c r="J1992" t="s">
        <v>23</v>
      </c>
      <c r="L1992" s="1"/>
      <c r="N1992" s="1"/>
      <c r="V1992" t="str">
        <f>"14000"</f>
        <v>14000</v>
      </c>
      <c r="W1992">
        <v>0</v>
      </c>
      <c r="X1992">
        <v>0</v>
      </c>
    </row>
    <row r="1993" spans="1:24" ht="15" customHeight="1" x14ac:dyDescent="0.25">
      <c r="A1993" t="str">
        <f>""</f>
        <v/>
      </c>
      <c r="B1993" s="1"/>
      <c r="H1993">
        <v>157.32</v>
      </c>
      <c r="J1993" t="s">
        <v>23</v>
      </c>
      <c r="L1993" s="1"/>
      <c r="N1993" s="1"/>
      <c r="V1993" t="str">
        <f>"27930"</f>
        <v>27930</v>
      </c>
      <c r="W1993">
        <v>0</v>
      </c>
      <c r="X1993">
        <v>26.74</v>
      </c>
    </row>
    <row r="1994" spans="1:24" ht="15" customHeight="1" x14ac:dyDescent="0.25">
      <c r="A1994" t="str">
        <f>""</f>
        <v/>
      </c>
      <c r="B1994" s="1"/>
      <c r="H1994">
        <v>106.8</v>
      </c>
      <c r="J1994" t="s">
        <v>22</v>
      </c>
      <c r="L1994" s="1"/>
      <c r="N1994" s="1"/>
      <c r="V1994" t="str">
        <f>"38000"</f>
        <v>38000</v>
      </c>
      <c r="W1994">
        <v>0</v>
      </c>
      <c r="X1994">
        <v>0</v>
      </c>
    </row>
    <row r="1995" spans="1:24" ht="15" customHeight="1" x14ac:dyDescent="0.25">
      <c r="A1995" t="str">
        <f>""</f>
        <v/>
      </c>
      <c r="B1995" s="1"/>
      <c r="H1995">
        <v>142.97999999999999</v>
      </c>
      <c r="J1995" t="s">
        <v>19</v>
      </c>
      <c r="L1995" s="1"/>
      <c r="N1995" s="1"/>
      <c r="V1995" t="str">
        <f>"13002"</f>
        <v>13002</v>
      </c>
      <c r="W1995">
        <v>41.46</v>
      </c>
      <c r="X1995">
        <v>0</v>
      </c>
    </row>
    <row r="1996" spans="1:24" ht="15" customHeight="1" x14ac:dyDescent="0.25">
      <c r="A1996" t="str">
        <f>""</f>
        <v/>
      </c>
      <c r="B1996" s="1"/>
      <c r="H1996">
        <v>70</v>
      </c>
      <c r="J1996" t="s">
        <v>23</v>
      </c>
      <c r="L1996" s="1"/>
      <c r="V1996" t="str">
        <f>"77380"</f>
        <v>77380</v>
      </c>
      <c r="W1996">
        <v>0</v>
      </c>
      <c r="X1996">
        <v>0</v>
      </c>
    </row>
    <row r="1997" spans="1:24" ht="15" customHeight="1" x14ac:dyDescent="0.25">
      <c r="A1997" t="str">
        <f>""</f>
        <v/>
      </c>
      <c r="B1997" s="1"/>
      <c r="H1997">
        <v>40</v>
      </c>
      <c r="J1997" t="s">
        <v>22</v>
      </c>
      <c r="L1997" s="1"/>
      <c r="N1997" s="1"/>
      <c r="V1997" t="str">
        <f>"35220"</f>
        <v>35220</v>
      </c>
      <c r="W1997">
        <v>0</v>
      </c>
      <c r="X1997">
        <v>10.8</v>
      </c>
    </row>
    <row r="1998" spans="1:24" ht="15" customHeight="1" x14ac:dyDescent="0.25">
      <c r="A1998" t="str">
        <f>""</f>
        <v/>
      </c>
      <c r="B1998" s="1"/>
      <c r="H1998">
        <v>80</v>
      </c>
      <c r="J1998" t="s">
        <v>23</v>
      </c>
      <c r="L1998" s="1"/>
      <c r="V1998" t="str">
        <f>"02100"</f>
        <v>02100</v>
      </c>
      <c r="W1998">
        <v>0</v>
      </c>
      <c r="X1998">
        <v>0</v>
      </c>
    </row>
    <row r="1999" spans="1:24" ht="15" customHeight="1" x14ac:dyDescent="0.25">
      <c r="A1999" t="str">
        <f>""</f>
        <v/>
      </c>
      <c r="B1999" s="1"/>
      <c r="H1999">
        <v>183.98</v>
      </c>
      <c r="J1999" t="s">
        <v>22</v>
      </c>
      <c r="L1999" s="1"/>
      <c r="N1999" s="1"/>
      <c r="V1999" t="str">
        <f>"94200"</f>
        <v>94200</v>
      </c>
      <c r="W1999">
        <v>0</v>
      </c>
      <c r="X1999">
        <v>0</v>
      </c>
    </row>
    <row r="2000" spans="1:24" ht="15" customHeight="1" x14ac:dyDescent="0.25">
      <c r="A2000" t="str">
        <f>""</f>
        <v/>
      </c>
      <c r="B2000" s="1"/>
      <c r="H2000">
        <v>25</v>
      </c>
      <c r="J2000" t="s">
        <v>23</v>
      </c>
      <c r="L2000" s="1"/>
      <c r="V2000" t="str">
        <f>"69340"</f>
        <v>69340</v>
      </c>
      <c r="W2000">
        <v>0</v>
      </c>
      <c r="X2000">
        <v>0</v>
      </c>
    </row>
    <row r="2001" spans="1:24" ht="15" customHeight="1" x14ac:dyDescent="0.25">
      <c r="A2001" t="str">
        <f>""</f>
        <v/>
      </c>
      <c r="B2001" s="1"/>
      <c r="H2001">
        <v>199.02</v>
      </c>
      <c r="J2001" t="s">
        <v>22</v>
      </c>
      <c r="L2001" s="1"/>
      <c r="N2001" s="1"/>
      <c r="V2001" t="str">
        <f>"76140"</f>
        <v>76140</v>
      </c>
      <c r="W2001">
        <v>0</v>
      </c>
      <c r="X2001">
        <v>33.83</v>
      </c>
    </row>
    <row r="2002" spans="1:24" ht="15" customHeight="1" x14ac:dyDescent="0.25">
      <c r="A2002" t="str">
        <f>""</f>
        <v/>
      </c>
      <c r="B2002" s="1"/>
      <c r="H2002">
        <v>140</v>
      </c>
      <c r="J2002" t="s">
        <v>23</v>
      </c>
      <c r="L2002" s="1"/>
      <c r="N2002" s="1"/>
      <c r="V2002" t="str">
        <f>"69125"</f>
        <v>69125</v>
      </c>
      <c r="W2002">
        <v>0</v>
      </c>
      <c r="X2002">
        <v>0</v>
      </c>
    </row>
    <row r="2003" spans="1:24" ht="15" customHeight="1" x14ac:dyDescent="0.25">
      <c r="A2003" t="str">
        <f>""</f>
        <v/>
      </c>
      <c r="B2003" s="1"/>
      <c r="H2003">
        <v>205</v>
      </c>
      <c r="J2003" t="s">
        <v>22</v>
      </c>
      <c r="L2003" s="1"/>
      <c r="V2003" t="str">
        <f>"38430"</f>
        <v>38430</v>
      </c>
      <c r="W2003">
        <v>0</v>
      </c>
      <c r="X2003">
        <v>0</v>
      </c>
    </row>
    <row r="2004" spans="1:24" ht="15" customHeight="1" x14ac:dyDescent="0.25">
      <c r="A2004" t="str">
        <f>""</f>
        <v/>
      </c>
      <c r="B2004" s="1"/>
      <c r="H2004">
        <v>198.02</v>
      </c>
      <c r="J2004" t="s">
        <v>20</v>
      </c>
      <c r="L2004" s="1"/>
      <c r="N2004" s="1"/>
      <c r="V2004" t="str">
        <f>"67600"</f>
        <v>67600</v>
      </c>
      <c r="W2004">
        <v>57.43</v>
      </c>
      <c r="X2004">
        <v>0</v>
      </c>
    </row>
    <row r="2005" spans="1:24" ht="15" customHeight="1" x14ac:dyDescent="0.25">
      <c r="A2005" t="str">
        <f>""</f>
        <v/>
      </c>
      <c r="B2005" s="1"/>
      <c r="H2005">
        <v>135.19999999999999</v>
      </c>
      <c r="J2005" t="s">
        <v>20</v>
      </c>
      <c r="L2005" s="1"/>
      <c r="N2005" s="1"/>
      <c r="V2005" t="str">
        <f>"66250"</f>
        <v>66250</v>
      </c>
      <c r="W2005">
        <v>52.73</v>
      </c>
      <c r="X2005">
        <v>0</v>
      </c>
    </row>
    <row r="2006" spans="1:24" ht="15" customHeight="1" x14ac:dyDescent="0.25">
      <c r="A2006" t="str">
        <f>""</f>
        <v/>
      </c>
      <c r="B2006" s="1"/>
      <c r="H2006">
        <v>180</v>
      </c>
      <c r="J2006" t="s">
        <v>22</v>
      </c>
      <c r="L2006" s="1"/>
      <c r="N2006" s="1"/>
      <c r="V2006" t="str">
        <f>"84000"</f>
        <v>84000</v>
      </c>
      <c r="W2006">
        <v>0</v>
      </c>
      <c r="X2006">
        <v>0</v>
      </c>
    </row>
    <row r="2007" spans="1:24" ht="15" customHeight="1" x14ac:dyDescent="0.25">
      <c r="A2007" t="str">
        <f>""</f>
        <v/>
      </c>
      <c r="B2007" s="1"/>
      <c r="H2007">
        <v>140</v>
      </c>
      <c r="J2007" t="s">
        <v>23</v>
      </c>
      <c r="L2007" s="1"/>
      <c r="N2007" s="1"/>
      <c r="V2007" t="str">
        <f>"06670"</f>
        <v>06670</v>
      </c>
      <c r="W2007">
        <v>0</v>
      </c>
      <c r="X2007">
        <v>0</v>
      </c>
    </row>
    <row r="2008" spans="1:24" ht="15" customHeight="1" x14ac:dyDescent="0.25">
      <c r="A2008" t="str">
        <f>""</f>
        <v/>
      </c>
      <c r="B2008" s="1"/>
      <c r="H2008">
        <v>151</v>
      </c>
      <c r="J2008" t="s">
        <v>20</v>
      </c>
      <c r="L2008" s="1"/>
      <c r="N2008" s="1"/>
      <c r="V2008" t="str">
        <f>"28170"</f>
        <v>28170</v>
      </c>
      <c r="W2008">
        <v>31.71</v>
      </c>
      <c r="X2008">
        <v>0</v>
      </c>
    </row>
    <row r="2009" spans="1:24" ht="15" customHeight="1" x14ac:dyDescent="0.25">
      <c r="A2009" t="str">
        <f>""</f>
        <v/>
      </c>
      <c r="B2009" s="1"/>
      <c r="H2009">
        <v>41</v>
      </c>
      <c r="J2009" t="s">
        <v>23</v>
      </c>
      <c r="L2009" s="1"/>
      <c r="N2009" s="1"/>
      <c r="V2009" t="str">
        <f>"59800"</f>
        <v>59800</v>
      </c>
      <c r="W2009">
        <v>0</v>
      </c>
      <c r="X2009">
        <v>0</v>
      </c>
    </row>
    <row r="2010" spans="1:24" ht="15" customHeight="1" x14ac:dyDescent="0.25">
      <c r="A2010" t="str">
        <f>""</f>
        <v/>
      </c>
      <c r="B2010" s="1"/>
      <c r="H2010">
        <v>140</v>
      </c>
      <c r="J2010" t="s">
        <v>23</v>
      </c>
      <c r="L2010" s="1"/>
      <c r="N2010" s="1"/>
      <c r="V2010" t="str">
        <f>"83100"</f>
        <v>83100</v>
      </c>
      <c r="W2010">
        <v>0</v>
      </c>
      <c r="X2010">
        <v>29.4</v>
      </c>
    </row>
    <row r="2011" spans="1:24" ht="15" customHeight="1" x14ac:dyDescent="0.25">
      <c r="A2011" t="str">
        <f>""</f>
        <v/>
      </c>
      <c r="B2011" s="1"/>
      <c r="H2011">
        <v>25</v>
      </c>
      <c r="J2011" t="s">
        <v>22</v>
      </c>
      <c r="L2011" s="1"/>
      <c r="V2011" t="str">
        <f>"70000"</f>
        <v>70000</v>
      </c>
      <c r="W2011">
        <v>0</v>
      </c>
      <c r="X2011">
        <v>0</v>
      </c>
    </row>
    <row r="2012" spans="1:24" ht="15" customHeight="1" x14ac:dyDescent="0.25">
      <c r="A2012" t="str">
        <f>""</f>
        <v/>
      </c>
      <c r="B2012" s="1"/>
      <c r="H2012">
        <v>31.24</v>
      </c>
      <c r="J2012" t="s">
        <v>22</v>
      </c>
      <c r="L2012" s="1"/>
      <c r="N2012" s="1"/>
      <c r="V2012" t="str">
        <f>"69200"</f>
        <v>69200</v>
      </c>
      <c r="W2012">
        <v>0</v>
      </c>
      <c r="X2012">
        <v>0</v>
      </c>
    </row>
    <row r="2013" spans="1:24" ht="15" customHeight="1" x14ac:dyDescent="0.25">
      <c r="A2013" t="str">
        <f>""</f>
        <v/>
      </c>
      <c r="B2013" s="1"/>
      <c r="H2013">
        <v>151</v>
      </c>
      <c r="J2013" t="s">
        <v>22</v>
      </c>
      <c r="L2013" s="1"/>
      <c r="N2013" s="1"/>
      <c r="V2013" t="str">
        <f>"54200"</f>
        <v>54200</v>
      </c>
      <c r="W2013">
        <v>0</v>
      </c>
      <c r="X2013">
        <v>37.75</v>
      </c>
    </row>
    <row r="2014" spans="1:24" ht="15" customHeight="1" x14ac:dyDescent="0.25">
      <c r="A2014" t="str">
        <f>""</f>
        <v/>
      </c>
      <c r="B2014" s="1"/>
      <c r="H2014">
        <v>50.84</v>
      </c>
      <c r="J2014" t="s">
        <v>19</v>
      </c>
      <c r="L2014" s="1"/>
      <c r="N2014" s="1"/>
      <c r="V2014" t="str">
        <f>"92000"</f>
        <v>92000</v>
      </c>
      <c r="W2014">
        <v>0</v>
      </c>
      <c r="X2014">
        <v>0</v>
      </c>
    </row>
    <row r="2015" spans="1:24" ht="15" customHeight="1" x14ac:dyDescent="0.25">
      <c r="A2015" t="str">
        <f>""</f>
        <v/>
      </c>
      <c r="B2015" s="1"/>
      <c r="H2015">
        <v>50.84</v>
      </c>
      <c r="J2015" t="s">
        <v>19</v>
      </c>
      <c r="L2015" s="1"/>
      <c r="N2015" s="1"/>
      <c r="V2015" t="str">
        <f>"92000"</f>
        <v>92000</v>
      </c>
      <c r="W2015">
        <v>0</v>
      </c>
      <c r="X2015">
        <v>0</v>
      </c>
    </row>
    <row r="2016" spans="1:24" ht="15" customHeight="1" x14ac:dyDescent="0.25">
      <c r="A2016" t="str">
        <f>""</f>
        <v/>
      </c>
      <c r="B2016" s="1"/>
      <c r="H2016">
        <v>105.09</v>
      </c>
      <c r="J2016" t="s">
        <v>23</v>
      </c>
      <c r="L2016" s="1"/>
      <c r="N2016" s="1"/>
      <c r="V2016" t="str">
        <f>"85000"</f>
        <v>85000</v>
      </c>
      <c r="W2016">
        <v>0</v>
      </c>
      <c r="X2016">
        <v>0</v>
      </c>
    </row>
    <row r="2017" spans="1:24" x14ac:dyDescent="0.25">
      <c r="A2017" t="str">
        <f>""</f>
        <v/>
      </c>
      <c r="B2017" s="1"/>
      <c r="H2017">
        <v>52.5</v>
      </c>
      <c r="J2017" t="s">
        <v>15</v>
      </c>
      <c r="L2017" s="1"/>
      <c r="N2017" s="1"/>
      <c r="V2017" t="str">
        <f>"59000"</f>
        <v>59000</v>
      </c>
      <c r="W2017">
        <v>0</v>
      </c>
      <c r="X2017">
        <v>0</v>
      </c>
    </row>
    <row r="2018" spans="1:24" x14ac:dyDescent="0.25">
      <c r="A2018" t="str">
        <f>""</f>
        <v/>
      </c>
      <c r="B2018" s="1"/>
      <c r="H2018">
        <v>52.5</v>
      </c>
      <c r="J2018" t="s">
        <v>15</v>
      </c>
      <c r="L2018" s="1"/>
      <c r="N2018" s="1"/>
      <c r="V2018" t="str">
        <f>"69003"</f>
        <v>69003</v>
      </c>
      <c r="W2018">
        <v>0</v>
      </c>
      <c r="X2018">
        <v>0</v>
      </c>
    </row>
    <row r="2019" spans="1:24" ht="15" customHeight="1" x14ac:dyDescent="0.25">
      <c r="A2019" t="str">
        <f>""</f>
        <v/>
      </c>
      <c r="B2019" s="1"/>
      <c r="H2019">
        <v>41.31</v>
      </c>
      <c r="J2019" t="s">
        <v>22</v>
      </c>
      <c r="L2019" s="1"/>
      <c r="N2019" s="1"/>
      <c r="V2019" t="str">
        <f>"77140"</f>
        <v>77140</v>
      </c>
      <c r="W2019">
        <v>0</v>
      </c>
      <c r="X2019">
        <v>0</v>
      </c>
    </row>
    <row r="2020" spans="1:24" ht="15" customHeight="1" x14ac:dyDescent="0.25">
      <c r="A2020" t="str">
        <f>""</f>
        <v/>
      </c>
      <c r="B2020" s="1"/>
      <c r="H2020">
        <v>255.61</v>
      </c>
      <c r="J2020" t="s">
        <v>22</v>
      </c>
      <c r="L2020" s="1"/>
      <c r="N2020" s="1"/>
      <c r="V2020" t="str">
        <f>"60490"</f>
        <v>60490</v>
      </c>
      <c r="W2020">
        <v>0</v>
      </c>
      <c r="X2020">
        <v>0</v>
      </c>
    </row>
    <row r="2021" spans="1:24" ht="15" customHeight="1" x14ac:dyDescent="0.25">
      <c r="A2021" t="str">
        <f>""</f>
        <v/>
      </c>
      <c r="B2021" s="1"/>
      <c r="H2021">
        <v>166.92</v>
      </c>
      <c r="J2021" t="s">
        <v>23</v>
      </c>
      <c r="L2021" s="1"/>
      <c r="N2021" s="1"/>
      <c r="V2021" t="str">
        <f>"27100"</f>
        <v>27100</v>
      </c>
      <c r="W2021">
        <v>0</v>
      </c>
      <c r="X2021">
        <v>28.38</v>
      </c>
    </row>
    <row r="2022" spans="1:24" ht="15" customHeight="1" x14ac:dyDescent="0.25">
      <c r="A2022" t="str">
        <f>""</f>
        <v/>
      </c>
      <c r="B2022" s="1"/>
      <c r="H2022">
        <v>140</v>
      </c>
      <c r="J2022" t="s">
        <v>22</v>
      </c>
      <c r="L2022" s="1"/>
      <c r="N2022" s="1"/>
      <c r="V2022" t="str">
        <f>"93290"</f>
        <v>93290</v>
      </c>
      <c r="W2022">
        <v>0</v>
      </c>
      <c r="X2022">
        <v>0</v>
      </c>
    </row>
    <row r="2023" spans="1:24" ht="15" customHeight="1" x14ac:dyDescent="0.25">
      <c r="A2023" t="str">
        <f>""</f>
        <v/>
      </c>
      <c r="B2023" s="1"/>
      <c r="H2023">
        <v>116.14</v>
      </c>
      <c r="J2023" t="s">
        <v>20</v>
      </c>
      <c r="L2023" s="1"/>
      <c r="N2023" s="1"/>
      <c r="V2023" t="str">
        <f>"38070"</f>
        <v>38070</v>
      </c>
      <c r="W2023">
        <v>31.36</v>
      </c>
      <c r="X2023">
        <v>0</v>
      </c>
    </row>
    <row r="2024" spans="1:24" x14ac:dyDescent="0.25">
      <c r="A2024" t="str">
        <f>""</f>
        <v/>
      </c>
      <c r="B2024" s="1"/>
      <c r="H2024">
        <v>23.4</v>
      </c>
      <c r="J2024" t="s">
        <v>15</v>
      </c>
      <c r="L2024" s="1"/>
      <c r="N2024" s="1"/>
      <c r="V2024" t="str">
        <f>"38110"</f>
        <v>38110</v>
      </c>
      <c r="W2024">
        <v>0</v>
      </c>
      <c r="X2024">
        <v>0</v>
      </c>
    </row>
    <row r="2025" spans="1:24" x14ac:dyDescent="0.25">
      <c r="A2025" t="str">
        <f>""</f>
        <v/>
      </c>
      <c r="B2025" s="1"/>
      <c r="H2025">
        <v>198.04</v>
      </c>
      <c r="J2025" t="s">
        <v>16</v>
      </c>
      <c r="L2025" s="1"/>
      <c r="N2025" s="1"/>
      <c r="V2025" t="str">
        <f>"34400"</f>
        <v>34400</v>
      </c>
      <c r="W2025">
        <v>0</v>
      </c>
      <c r="X2025">
        <v>53.47</v>
      </c>
    </row>
    <row r="2026" spans="1:24" x14ac:dyDescent="0.25">
      <c r="A2026" t="str">
        <f>""</f>
        <v/>
      </c>
      <c r="B2026" s="1"/>
      <c r="H2026">
        <v>151</v>
      </c>
      <c r="J2026" t="s">
        <v>15</v>
      </c>
      <c r="L2026" s="1"/>
      <c r="N2026" s="1"/>
      <c r="V2026" t="str">
        <f>"54230"</f>
        <v>54230</v>
      </c>
      <c r="W2026">
        <v>0</v>
      </c>
      <c r="X2026">
        <v>36.24</v>
      </c>
    </row>
    <row r="2027" spans="1:24" ht="15" customHeight="1" x14ac:dyDescent="0.25">
      <c r="A2027" t="str">
        <f>""</f>
        <v/>
      </c>
      <c r="B2027" s="1"/>
      <c r="H2027">
        <v>40</v>
      </c>
      <c r="J2027" t="s">
        <v>22</v>
      </c>
      <c r="L2027" s="1"/>
      <c r="V2027" t="str">
        <f>"01000"</f>
        <v>01000</v>
      </c>
      <c r="W2027">
        <v>0</v>
      </c>
      <c r="X2027">
        <v>0</v>
      </c>
    </row>
    <row r="2028" spans="1:24" ht="15" customHeight="1" x14ac:dyDescent="0.25">
      <c r="A2028" t="str">
        <f>""</f>
        <v/>
      </c>
      <c r="B2028" s="1"/>
      <c r="H2028">
        <v>29.59</v>
      </c>
      <c r="J2028" t="s">
        <v>23</v>
      </c>
      <c r="L2028" s="1"/>
      <c r="N2028" s="1"/>
      <c r="V2028" t="str">
        <f>"92700"</f>
        <v>92700</v>
      </c>
      <c r="W2028">
        <v>0</v>
      </c>
      <c r="X2028">
        <v>0</v>
      </c>
    </row>
    <row r="2029" spans="1:24" ht="15" customHeight="1" x14ac:dyDescent="0.25">
      <c r="A2029" t="str">
        <f>""</f>
        <v/>
      </c>
      <c r="B2029" s="1"/>
      <c r="H2029">
        <v>151</v>
      </c>
      <c r="J2029" t="s">
        <v>22</v>
      </c>
      <c r="L2029" s="1"/>
      <c r="N2029" s="1"/>
      <c r="V2029" t="str">
        <f>"06560"</f>
        <v>06560</v>
      </c>
      <c r="W2029">
        <v>0</v>
      </c>
      <c r="X2029">
        <v>0</v>
      </c>
    </row>
    <row r="2030" spans="1:24" ht="15" customHeight="1" x14ac:dyDescent="0.25">
      <c r="A2030" t="str">
        <f>""</f>
        <v/>
      </c>
      <c r="B2030" s="1"/>
      <c r="H2030">
        <v>151</v>
      </c>
      <c r="J2030" t="s">
        <v>22</v>
      </c>
      <c r="L2030" s="1"/>
      <c r="N2030" s="1"/>
      <c r="V2030" t="str">
        <f>"06560"</f>
        <v>06560</v>
      </c>
      <c r="W2030">
        <v>0</v>
      </c>
      <c r="X2030">
        <v>0</v>
      </c>
    </row>
    <row r="2031" spans="1:24" ht="15" customHeight="1" x14ac:dyDescent="0.25">
      <c r="A2031" t="str">
        <f>""</f>
        <v/>
      </c>
      <c r="B2031" s="1"/>
      <c r="H2031">
        <v>151</v>
      </c>
      <c r="J2031" t="s">
        <v>22</v>
      </c>
      <c r="L2031" s="1"/>
      <c r="N2031" s="1"/>
      <c r="V2031" t="str">
        <f>"06560"</f>
        <v>06560</v>
      </c>
      <c r="W2031">
        <v>0</v>
      </c>
      <c r="X2031">
        <v>0</v>
      </c>
    </row>
    <row r="2032" spans="1:24" ht="15" customHeight="1" x14ac:dyDescent="0.25">
      <c r="A2032" t="str">
        <f>""</f>
        <v/>
      </c>
      <c r="B2032" s="1"/>
      <c r="H2032">
        <v>151</v>
      </c>
      <c r="J2032" t="s">
        <v>23</v>
      </c>
      <c r="L2032" s="1"/>
      <c r="N2032" s="1"/>
      <c r="V2032" t="str">
        <f>"06560"</f>
        <v>06560</v>
      </c>
      <c r="W2032">
        <v>0</v>
      </c>
      <c r="X2032">
        <v>0</v>
      </c>
    </row>
    <row r="2033" spans="1:24" ht="15" customHeight="1" x14ac:dyDescent="0.25">
      <c r="A2033" t="str">
        <f>""</f>
        <v/>
      </c>
      <c r="B2033" s="1"/>
      <c r="H2033">
        <v>151</v>
      </c>
      <c r="J2033" t="s">
        <v>22</v>
      </c>
      <c r="L2033" s="1"/>
      <c r="N2033" s="1"/>
      <c r="V2033" t="str">
        <f>"06560"</f>
        <v>06560</v>
      </c>
      <c r="W2033">
        <v>0</v>
      </c>
      <c r="X2033">
        <v>0</v>
      </c>
    </row>
    <row r="2034" spans="1:24" ht="15" customHeight="1" x14ac:dyDescent="0.25">
      <c r="A2034" t="str">
        <f>""</f>
        <v/>
      </c>
      <c r="B2034" s="1"/>
      <c r="H2034">
        <v>58.35</v>
      </c>
      <c r="J2034" t="s">
        <v>19</v>
      </c>
      <c r="L2034" s="1"/>
      <c r="N2034" s="1"/>
      <c r="V2034" t="str">
        <f>"56920"</f>
        <v>56920</v>
      </c>
      <c r="W2034">
        <v>15.75</v>
      </c>
      <c r="X2034">
        <v>0</v>
      </c>
    </row>
    <row r="2035" spans="1:24" ht="15" customHeight="1" x14ac:dyDescent="0.25">
      <c r="A2035" t="str">
        <f>""</f>
        <v/>
      </c>
      <c r="B2035" s="1"/>
      <c r="H2035">
        <v>133.47</v>
      </c>
      <c r="J2035" t="s">
        <v>23</v>
      </c>
      <c r="L2035" s="1"/>
      <c r="N2035" s="1"/>
      <c r="V2035" t="str">
        <f>"25400"</f>
        <v>25400</v>
      </c>
      <c r="W2035">
        <v>0</v>
      </c>
      <c r="X2035">
        <v>16.02</v>
      </c>
    </row>
    <row r="2036" spans="1:24" ht="15" customHeight="1" x14ac:dyDescent="0.25">
      <c r="A2036" t="str">
        <f>""</f>
        <v/>
      </c>
      <c r="B2036" s="1"/>
      <c r="H2036">
        <v>174.86</v>
      </c>
      <c r="J2036" t="s">
        <v>22</v>
      </c>
      <c r="L2036" s="1"/>
      <c r="N2036" s="1"/>
      <c r="V2036" t="str">
        <f>"25400"</f>
        <v>25400</v>
      </c>
      <c r="W2036">
        <v>0</v>
      </c>
      <c r="X2036">
        <v>0</v>
      </c>
    </row>
    <row r="2037" spans="1:24" ht="15" customHeight="1" x14ac:dyDescent="0.25">
      <c r="A2037" t="str">
        <f>""</f>
        <v/>
      </c>
      <c r="B2037" s="1"/>
      <c r="H2037">
        <v>151</v>
      </c>
      <c r="J2037" t="s">
        <v>23</v>
      </c>
      <c r="L2037" s="1"/>
      <c r="N2037" s="1"/>
      <c r="V2037" t="str">
        <f>"49124"</f>
        <v>49124</v>
      </c>
      <c r="W2037">
        <v>0</v>
      </c>
      <c r="X2037">
        <v>0</v>
      </c>
    </row>
    <row r="2038" spans="1:24" ht="15" customHeight="1" x14ac:dyDescent="0.25">
      <c r="A2038" t="str">
        <f>""</f>
        <v/>
      </c>
      <c r="B2038" s="1"/>
      <c r="H2038">
        <v>404.92</v>
      </c>
      <c r="J2038" t="s">
        <v>23</v>
      </c>
      <c r="L2038" s="1"/>
      <c r="N2038" s="1"/>
      <c r="V2038" t="str">
        <f>"74370"</f>
        <v>74370</v>
      </c>
      <c r="W2038">
        <v>0</v>
      </c>
      <c r="X2038">
        <v>0</v>
      </c>
    </row>
    <row r="2039" spans="1:24" ht="15" customHeight="1" x14ac:dyDescent="0.25">
      <c r="A2039" t="str">
        <f>""</f>
        <v/>
      </c>
      <c r="B2039" s="1"/>
      <c r="H2039">
        <v>195.25</v>
      </c>
      <c r="J2039" t="s">
        <v>22</v>
      </c>
      <c r="L2039" s="1"/>
      <c r="N2039" s="1"/>
      <c r="V2039" t="str">
        <f>"75014"</f>
        <v>75014</v>
      </c>
      <c r="W2039">
        <v>0</v>
      </c>
      <c r="X2039">
        <v>0</v>
      </c>
    </row>
    <row r="2040" spans="1:24" ht="15" customHeight="1" x14ac:dyDescent="0.25">
      <c r="A2040" t="str">
        <f>""</f>
        <v/>
      </c>
      <c r="B2040" s="1"/>
      <c r="H2040">
        <v>224.63</v>
      </c>
      <c r="J2040" t="s">
        <v>23</v>
      </c>
      <c r="L2040" s="1"/>
      <c r="N2040" s="1"/>
      <c r="V2040" t="str">
        <f>"94510"</f>
        <v>94510</v>
      </c>
      <c r="W2040">
        <v>0</v>
      </c>
      <c r="X2040">
        <v>0</v>
      </c>
    </row>
    <row r="2041" spans="1:24" ht="15" customHeight="1" x14ac:dyDescent="0.25">
      <c r="A2041" t="str">
        <f>""</f>
        <v/>
      </c>
      <c r="B2041" s="1"/>
      <c r="H2041">
        <v>40</v>
      </c>
      <c r="J2041" t="s">
        <v>20</v>
      </c>
      <c r="L2041" s="1"/>
      <c r="N2041" s="1"/>
      <c r="V2041" t="str">
        <f>"95500"</f>
        <v>95500</v>
      </c>
      <c r="W2041">
        <v>0</v>
      </c>
      <c r="X2041">
        <v>0</v>
      </c>
    </row>
    <row r="2042" spans="1:24" ht="15" customHeight="1" x14ac:dyDescent="0.25">
      <c r="A2042" t="str">
        <f>""</f>
        <v/>
      </c>
      <c r="B2042" s="1"/>
      <c r="H2042">
        <v>31</v>
      </c>
      <c r="L2042" s="1"/>
      <c r="N2042" s="1"/>
      <c r="V2042" t="str">
        <f>"77184"</f>
        <v>77184</v>
      </c>
      <c r="W2042">
        <v>0</v>
      </c>
      <c r="X2042">
        <v>0</v>
      </c>
    </row>
    <row r="2043" spans="1:24" ht="15" customHeight="1" x14ac:dyDescent="0.25">
      <c r="A2043" t="str">
        <f>""</f>
        <v/>
      </c>
      <c r="B2043" s="1"/>
      <c r="H2043">
        <v>25</v>
      </c>
      <c r="J2043" t="s">
        <v>23</v>
      </c>
      <c r="L2043" s="1"/>
      <c r="V2043" t="str">
        <f>"42160"</f>
        <v>42160</v>
      </c>
      <c r="W2043">
        <v>0</v>
      </c>
      <c r="X2043">
        <v>0</v>
      </c>
    </row>
    <row r="2044" spans="1:24" ht="15" customHeight="1" x14ac:dyDescent="0.25">
      <c r="A2044" t="str">
        <f>""</f>
        <v/>
      </c>
      <c r="B2044" s="1"/>
      <c r="H2044">
        <v>226.98</v>
      </c>
      <c r="J2044" t="s">
        <v>22</v>
      </c>
      <c r="L2044" s="1"/>
      <c r="N2044" s="1"/>
      <c r="V2044" t="str">
        <f>"42160"</f>
        <v>42160</v>
      </c>
      <c r="W2044">
        <v>0</v>
      </c>
      <c r="X2044">
        <v>0</v>
      </c>
    </row>
    <row r="2045" spans="1:24" ht="15" customHeight="1" x14ac:dyDescent="0.25">
      <c r="A2045" t="str">
        <f>""</f>
        <v/>
      </c>
      <c r="B2045" s="1"/>
      <c r="H2045">
        <v>40</v>
      </c>
      <c r="J2045" t="s">
        <v>23</v>
      </c>
      <c r="L2045" s="1"/>
      <c r="V2045" t="str">
        <f>"59500"</f>
        <v>59500</v>
      </c>
      <c r="W2045">
        <v>0</v>
      </c>
      <c r="X2045">
        <v>0</v>
      </c>
    </row>
    <row r="2046" spans="1:24" ht="15" customHeight="1" x14ac:dyDescent="0.25">
      <c r="A2046" t="str">
        <f>""</f>
        <v/>
      </c>
      <c r="B2046" s="1"/>
      <c r="H2046">
        <v>26.6</v>
      </c>
      <c r="L2046" s="1"/>
      <c r="N2046" s="1"/>
      <c r="V2046" t="str">
        <f>"77184"</f>
        <v>77184</v>
      </c>
      <c r="W2046">
        <v>0</v>
      </c>
      <c r="X2046">
        <v>0</v>
      </c>
    </row>
    <row r="2047" spans="1:24" ht="15" customHeight="1" x14ac:dyDescent="0.25">
      <c r="A2047" t="str">
        <f>""</f>
        <v/>
      </c>
      <c r="B2047" s="1"/>
      <c r="H2047">
        <v>174.26</v>
      </c>
      <c r="J2047" t="s">
        <v>19</v>
      </c>
      <c r="L2047" s="1"/>
      <c r="N2047" s="1"/>
      <c r="V2047" t="str">
        <f>"75009"</f>
        <v>75009</v>
      </c>
      <c r="W2047">
        <v>0</v>
      </c>
      <c r="X2047">
        <v>0</v>
      </c>
    </row>
    <row r="2048" spans="1:24" ht="15" customHeight="1" x14ac:dyDescent="0.25">
      <c r="A2048" t="str">
        <f>""</f>
        <v/>
      </c>
      <c r="B2048" s="1"/>
      <c r="H2048">
        <v>33.35</v>
      </c>
      <c r="J2048" t="s">
        <v>20</v>
      </c>
      <c r="L2048" s="1"/>
      <c r="N2048" s="1"/>
      <c r="V2048" t="str">
        <f>"38120"</f>
        <v>38120</v>
      </c>
      <c r="W2048">
        <v>9</v>
      </c>
      <c r="X2048">
        <v>0</v>
      </c>
    </row>
    <row r="2049" spans="1:24" ht="15" customHeight="1" x14ac:dyDescent="0.25">
      <c r="A2049" t="str">
        <f>""</f>
        <v/>
      </c>
      <c r="B2049" s="1"/>
      <c r="H2049">
        <v>215.58</v>
      </c>
      <c r="J2049" t="s">
        <v>22</v>
      </c>
      <c r="L2049" s="1"/>
      <c r="N2049" s="1"/>
      <c r="V2049" t="str">
        <f>"01000"</f>
        <v>01000</v>
      </c>
      <c r="W2049">
        <v>0</v>
      </c>
      <c r="X2049">
        <v>0</v>
      </c>
    </row>
    <row r="2050" spans="1:24" ht="15" customHeight="1" x14ac:dyDescent="0.25">
      <c r="A2050" t="str">
        <f>""</f>
        <v/>
      </c>
      <c r="B2050" s="1"/>
      <c r="H2050">
        <v>204</v>
      </c>
      <c r="J2050" t="s">
        <v>22</v>
      </c>
      <c r="L2050" s="1"/>
      <c r="N2050" s="1"/>
      <c r="V2050" t="str">
        <f>"76800"</f>
        <v>76800</v>
      </c>
      <c r="W2050">
        <v>0</v>
      </c>
      <c r="X2050">
        <v>34.68</v>
      </c>
    </row>
    <row r="2051" spans="1:24" ht="15" customHeight="1" x14ac:dyDescent="0.25">
      <c r="A2051" t="str">
        <f>""</f>
        <v/>
      </c>
      <c r="B2051" s="1"/>
      <c r="H2051">
        <v>204</v>
      </c>
      <c r="J2051" t="s">
        <v>22</v>
      </c>
      <c r="L2051" s="1"/>
      <c r="N2051" s="1"/>
      <c r="V2051" t="str">
        <f>"76800"</f>
        <v>76800</v>
      </c>
      <c r="W2051">
        <v>0</v>
      </c>
      <c r="X2051">
        <v>34.68</v>
      </c>
    </row>
    <row r="2052" spans="1:24" ht="15" customHeight="1" x14ac:dyDescent="0.25">
      <c r="A2052" t="str">
        <f>""</f>
        <v/>
      </c>
      <c r="B2052" s="1"/>
      <c r="H2052">
        <v>140</v>
      </c>
      <c r="J2052" t="s">
        <v>22</v>
      </c>
      <c r="L2052" s="1"/>
      <c r="N2052" s="1"/>
      <c r="V2052" t="str">
        <f>"14790"</f>
        <v>14790</v>
      </c>
      <c r="W2052">
        <v>0</v>
      </c>
      <c r="X2052">
        <v>23.8</v>
      </c>
    </row>
    <row r="2053" spans="1:24" ht="15" customHeight="1" x14ac:dyDescent="0.25">
      <c r="A2053" t="str">
        <f>""</f>
        <v/>
      </c>
      <c r="B2053" s="1"/>
      <c r="H2053">
        <v>174.85</v>
      </c>
      <c r="J2053" t="s">
        <v>19</v>
      </c>
      <c r="L2053" s="1"/>
      <c r="N2053" s="1"/>
      <c r="V2053" t="str">
        <f>"60950"</f>
        <v>60950</v>
      </c>
      <c r="W2053">
        <v>33.22</v>
      </c>
      <c r="X2053">
        <v>0</v>
      </c>
    </row>
    <row r="2054" spans="1:24" ht="15" customHeight="1" x14ac:dyDescent="0.25">
      <c r="A2054" t="str">
        <f>""</f>
        <v/>
      </c>
      <c r="B2054" s="1"/>
      <c r="H2054">
        <v>53.45</v>
      </c>
      <c r="J2054" t="s">
        <v>23</v>
      </c>
      <c r="L2054" s="1"/>
      <c r="N2054" s="1"/>
      <c r="V2054" t="str">
        <f>"62000"</f>
        <v>62000</v>
      </c>
      <c r="W2054">
        <v>0</v>
      </c>
      <c r="X2054">
        <v>0</v>
      </c>
    </row>
    <row r="2055" spans="1:24" ht="15" customHeight="1" x14ac:dyDescent="0.25">
      <c r="A2055" t="str">
        <f>""</f>
        <v/>
      </c>
      <c r="B2055" s="1"/>
      <c r="H2055">
        <v>17</v>
      </c>
      <c r="J2055" t="s">
        <v>22</v>
      </c>
      <c r="L2055" s="1"/>
      <c r="N2055" s="1"/>
      <c r="V2055" t="str">
        <f>"62200"</f>
        <v>62200</v>
      </c>
      <c r="W2055">
        <v>0</v>
      </c>
      <c r="X2055">
        <v>0</v>
      </c>
    </row>
    <row r="2056" spans="1:24" ht="15" customHeight="1" x14ac:dyDescent="0.25">
      <c r="A2056" t="str">
        <f>""</f>
        <v/>
      </c>
      <c r="B2056" s="1"/>
      <c r="H2056">
        <v>20.23</v>
      </c>
      <c r="J2056" t="s">
        <v>19</v>
      </c>
      <c r="L2056" s="1"/>
      <c r="N2056" s="1"/>
      <c r="V2056" t="str">
        <f>"35044"</f>
        <v>35044</v>
      </c>
      <c r="W2056">
        <v>5.46</v>
      </c>
      <c r="X2056">
        <v>0</v>
      </c>
    </row>
    <row r="2057" spans="1:24" ht="15" customHeight="1" x14ac:dyDescent="0.25">
      <c r="A2057" t="str">
        <f>""</f>
        <v/>
      </c>
      <c r="B2057" s="1"/>
      <c r="H2057">
        <v>140</v>
      </c>
      <c r="J2057" t="s">
        <v>22</v>
      </c>
      <c r="L2057" s="1"/>
      <c r="N2057" s="1"/>
      <c r="V2057" t="str">
        <f>"30700"</f>
        <v>30700</v>
      </c>
      <c r="W2057">
        <v>0</v>
      </c>
      <c r="X2057">
        <v>39.200000000000003</v>
      </c>
    </row>
    <row r="2058" spans="1:24" ht="15" customHeight="1" x14ac:dyDescent="0.25">
      <c r="A2058" t="str">
        <f>""</f>
        <v/>
      </c>
      <c r="B2058" s="1"/>
      <c r="H2058">
        <v>188.92</v>
      </c>
      <c r="J2058" t="s">
        <v>23</v>
      </c>
      <c r="L2058" s="1"/>
      <c r="N2058" s="1"/>
      <c r="V2058" t="str">
        <f>"45220"</f>
        <v>45220</v>
      </c>
      <c r="W2058">
        <v>0</v>
      </c>
      <c r="X2058">
        <v>22.67</v>
      </c>
    </row>
    <row r="2059" spans="1:24" ht="15" customHeight="1" x14ac:dyDescent="0.25">
      <c r="A2059" t="str">
        <f>""</f>
        <v/>
      </c>
      <c r="B2059" s="1"/>
      <c r="H2059">
        <v>103.26</v>
      </c>
      <c r="J2059" t="s">
        <v>19</v>
      </c>
      <c r="L2059" s="1"/>
      <c r="N2059" s="1"/>
      <c r="V2059" t="str">
        <f>"13210"</f>
        <v>13210</v>
      </c>
      <c r="W2059">
        <v>29.95</v>
      </c>
      <c r="X2059">
        <v>0</v>
      </c>
    </row>
    <row r="2060" spans="1:24" ht="15" customHeight="1" x14ac:dyDescent="0.25">
      <c r="A2060" t="str">
        <f>""</f>
        <v/>
      </c>
      <c r="B2060" s="1"/>
      <c r="H2060">
        <v>22.62</v>
      </c>
      <c r="J2060" t="s">
        <v>20</v>
      </c>
      <c r="L2060" s="1"/>
      <c r="N2060" s="1"/>
      <c r="V2060" t="str">
        <f>"74300"</f>
        <v>74300</v>
      </c>
      <c r="W2060">
        <v>6.11</v>
      </c>
      <c r="X2060">
        <v>0</v>
      </c>
    </row>
    <row r="2061" spans="1:24" ht="15" customHeight="1" x14ac:dyDescent="0.25">
      <c r="A2061" t="str">
        <f>""</f>
        <v/>
      </c>
      <c r="B2061" s="1"/>
      <c r="H2061">
        <v>116.34</v>
      </c>
      <c r="J2061" t="s">
        <v>19</v>
      </c>
      <c r="L2061" s="1"/>
      <c r="N2061" s="1"/>
      <c r="V2061" t="str">
        <f>"83990"</f>
        <v>83990</v>
      </c>
      <c r="W2061">
        <v>34.9</v>
      </c>
      <c r="X2061">
        <v>0</v>
      </c>
    </row>
    <row r="2062" spans="1:24" ht="15" customHeight="1" x14ac:dyDescent="0.25">
      <c r="A2062" t="str">
        <f>""</f>
        <v/>
      </c>
      <c r="B2062" s="1"/>
      <c r="H2062">
        <v>92</v>
      </c>
      <c r="J2062" t="s">
        <v>22</v>
      </c>
      <c r="L2062" s="1"/>
      <c r="N2062" s="1"/>
      <c r="V2062" t="str">
        <f>"14200"</f>
        <v>14200</v>
      </c>
      <c r="W2062">
        <v>0</v>
      </c>
      <c r="X2062">
        <v>15.64</v>
      </c>
    </row>
    <row r="2063" spans="1:24" ht="15" customHeight="1" x14ac:dyDescent="0.25">
      <c r="A2063" t="str">
        <f>""</f>
        <v/>
      </c>
      <c r="B2063" s="1"/>
      <c r="H2063">
        <v>250</v>
      </c>
      <c r="J2063" t="s">
        <v>23</v>
      </c>
      <c r="L2063" s="1"/>
      <c r="N2063" s="1"/>
      <c r="V2063" t="str">
        <f>"74550"</f>
        <v>74550</v>
      </c>
      <c r="W2063">
        <v>0</v>
      </c>
      <c r="X2063">
        <v>0</v>
      </c>
    </row>
    <row r="2064" spans="1:24" ht="15" customHeight="1" x14ac:dyDescent="0.25">
      <c r="A2064" t="str">
        <f>""</f>
        <v/>
      </c>
      <c r="B2064" s="1"/>
      <c r="H2064">
        <v>84.5</v>
      </c>
      <c r="L2064" s="1"/>
      <c r="N2064" s="1"/>
      <c r="V2064" t="str">
        <f>"77184"</f>
        <v>77184</v>
      </c>
      <c r="W2064">
        <v>0</v>
      </c>
      <c r="X2064">
        <v>0</v>
      </c>
    </row>
    <row r="2065" spans="1:24" ht="15" customHeight="1" x14ac:dyDescent="0.25">
      <c r="A2065" t="str">
        <f>""</f>
        <v/>
      </c>
      <c r="B2065" s="1"/>
      <c r="H2065">
        <v>223</v>
      </c>
      <c r="J2065" t="s">
        <v>23</v>
      </c>
      <c r="L2065" s="1"/>
      <c r="N2065" s="1"/>
      <c r="V2065" t="str">
        <f>"69003"</f>
        <v>69003</v>
      </c>
      <c r="W2065">
        <v>0</v>
      </c>
      <c r="X2065">
        <v>0</v>
      </c>
    </row>
    <row r="2066" spans="1:24" x14ac:dyDescent="0.25">
      <c r="A2066" t="str">
        <f>""</f>
        <v/>
      </c>
      <c r="B2066" s="1"/>
      <c r="H2066">
        <v>151</v>
      </c>
      <c r="J2066" t="s">
        <v>15</v>
      </c>
      <c r="L2066" s="1"/>
      <c r="N2066" s="1"/>
      <c r="V2066" t="str">
        <f>"69800"</f>
        <v>69800</v>
      </c>
      <c r="W2066">
        <v>0</v>
      </c>
      <c r="X2066">
        <v>0</v>
      </c>
    </row>
    <row r="2067" spans="1:24" ht="15" customHeight="1" x14ac:dyDescent="0.25">
      <c r="A2067" t="str">
        <f>""</f>
        <v/>
      </c>
      <c r="B2067" s="1"/>
      <c r="H2067">
        <v>100</v>
      </c>
      <c r="J2067" t="s">
        <v>19</v>
      </c>
      <c r="L2067" s="1"/>
      <c r="N2067" s="1"/>
      <c r="V2067" t="str">
        <f>"59110"</f>
        <v>59110</v>
      </c>
      <c r="W2067">
        <v>58</v>
      </c>
      <c r="X2067">
        <v>0</v>
      </c>
    </row>
    <row r="2068" spans="1:24" ht="15" customHeight="1" x14ac:dyDescent="0.25">
      <c r="A2068" t="str">
        <f>""</f>
        <v/>
      </c>
      <c r="B2068" s="1"/>
      <c r="H2068">
        <v>250</v>
      </c>
      <c r="J2068" t="s">
        <v>22</v>
      </c>
      <c r="L2068" s="1"/>
      <c r="N2068" s="1"/>
      <c r="V2068" t="str">
        <f>"75008"</f>
        <v>75008</v>
      </c>
      <c r="W2068">
        <v>0</v>
      </c>
      <c r="X2068">
        <v>0</v>
      </c>
    </row>
    <row r="2069" spans="1:24" ht="15" customHeight="1" x14ac:dyDescent="0.25">
      <c r="A2069" t="str">
        <f>""</f>
        <v/>
      </c>
      <c r="B2069" s="1"/>
      <c r="H2069">
        <v>55.31</v>
      </c>
      <c r="J2069" t="s">
        <v>19</v>
      </c>
      <c r="L2069" s="1"/>
      <c r="N2069" s="1"/>
      <c r="V2069" t="str">
        <f>"62740"</f>
        <v>62740</v>
      </c>
      <c r="W2069">
        <v>10.51</v>
      </c>
      <c r="X2069">
        <v>0</v>
      </c>
    </row>
    <row r="2070" spans="1:24" ht="15" customHeight="1" x14ac:dyDescent="0.25">
      <c r="A2070" t="str">
        <f>""</f>
        <v/>
      </c>
      <c r="B2070" s="1"/>
      <c r="H2070">
        <v>28.62</v>
      </c>
      <c r="J2070" t="s">
        <v>19</v>
      </c>
      <c r="L2070" s="1"/>
      <c r="N2070" s="1"/>
      <c r="V2070" t="str">
        <f>"69110"</f>
        <v>69110</v>
      </c>
      <c r="W2070">
        <v>7.73</v>
      </c>
      <c r="X2070">
        <v>0</v>
      </c>
    </row>
    <row r="2071" spans="1:24" ht="15" customHeight="1" x14ac:dyDescent="0.25">
      <c r="A2071" t="str">
        <f>""</f>
        <v/>
      </c>
      <c r="B2071" s="1"/>
      <c r="H2071">
        <v>38.54</v>
      </c>
      <c r="L2071" s="1"/>
      <c r="N2071" s="1"/>
      <c r="V2071" t="str">
        <f>"44240"</f>
        <v>44240</v>
      </c>
      <c r="W2071">
        <v>0</v>
      </c>
      <c r="X2071">
        <v>0</v>
      </c>
    </row>
    <row r="2072" spans="1:24" ht="15" customHeight="1" x14ac:dyDescent="0.25">
      <c r="A2072" t="str">
        <f>""</f>
        <v/>
      </c>
      <c r="B2072" s="1"/>
      <c r="H2072">
        <v>900</v>
      </c>
      <c r="L2072" s="1"/>
      <c r="N2072" s="1"/>
      <c r="V2072" t="str">
        <f>"77184"</f>
        <v>77184</v>
      </c>
      <c r="W2072">
        <v>0</v>
      </c>
      <c r="X2072">
        <v>0</v>
      </c>
    </row>
    <row r="2073" spans="1:24" ht="15" customHeight="1" x14ac:dyDescent="0.25">
      <c r="A2073" t="str">
        <f>""</f>
        <v/>
      </c>
      <c r="B2073" s="1"/>
      <c r="H2073">
        <v>150</v>
      </c>
      <c r="L2073" s="1"/>
      <c r="N2073" s="1"/>
      <c r="V2073" t="str">
        <f>"77184"</f>
        <v>77184</v>
      </c>
      <c r="W2073">
        <v>0</v>
      </c>
      <c r="X2073">
        <v>0</v>
      </c>
    </row>
    <row r="2074" spans="1:24" ht="15" customHeight="1" x14ac:dyDescent="0.25">
      <c r="A2074" t="str">
        <f>""</f>
        <v/>
      </c>
      <c r="B2074" s="1"/>
      <c r="H2074">
        <v>171</v>
      </c>
      <c r="L2074" s="1"/>
      <c r="N2074" s="1"/>
      <c r="V2074" t="str">
        <f>"77184"</f>
        <v>77184</v>
      </c>
      <c r="W2074">
        <v>0</v>
      </c>
      <c r="X2074">
        <v>0</v>
      </c>
    </row>
    <row r="2075" spans="1:24" ht="15" customHeight="1" x14ac:dyDescent="0.25">
      <c r="A2075" t="str">
        <f>""</f>
        <v/>
      </c>
      <c r="B2075" s="1"/>
      <c r="H2075">
        <v>171</v>
      </c>
      <c r="L2075" s="1"/>
      <c r="N2075" s="1"/>
      <c r="V2075" t="str">
        <f>"77184"</f>
        <v>77184</v>
      </c>
      <c r="W2075">
        <v>0</v>
      </c>
      <c r="X2075">
        <v>0</v>
      </c>
    </row>
    <row r="2076" spans="1:24" ht="15" customHeight="1" x14ac:dyDescent="0.25">
      <c r="A2076" t="str">
        <f>""</f>
        <v/>
      </c>
      <c r="B2076" s="1"/>
      <c r="H2076">
        <v>97</v>
      </c>
      <c r="L2076" s="1"/>
      <c r="N2076" s="1"/>
      <c r="V2076" t="str">
        <f>"77184"</f>
        <v>77184</v>
      </c>
      <c r="W2076">
        <v>0</v>
      </c>
      <c r="X2076">
        <v>0</v>
      </c>
    </row>
    <row r="2077" spans="1:24" ht="15" customHeight="1" x14ac:dyDescent="0.25">
      <c r="A2077" t="str">
        <f>""</f>
        <v/>
      </c>
      <c r="B2077" s="1"/>
      <c r="H2077">
        <v>47.93</v>
      </c>
      <c r="J2077" t="s">
        <v>19</v>
      </c>
      <c r="L2077" s="1"/>
      <c r="N2077" s="1"/>
      <c r="V2077" t="str">
        <f>"62138"</f>
        <v>62138</v>
      </c>
      <c r="W2077">
        <v>9.11</v>
      </c>
      <c r="X2077">
        <v>0</v>
      </c>
    </row>
    <row r="2078" spans="1:24" ht="15" customHeight="1" x14ac:dyDescent="0.25">
      <c r="A2078" t="str">
        <f>""</f>
        <v/>
      </c>
      <c r="B2078" s="1"/>
      <c r="H2078">
        <v>69</v>
      </c>
      <c r="L2078" s="1"/>
      <c r="N2078" s="1"/>
      <c r="V2078" t="str">
        <f>"77184"</f>
        <v>77184</v>
      </c>
      <c r="W2078">
        <v>0</v>
      </c>
      <c r="X2078">
        <v>0</v>
      </c>
    </row>
    <row r="2079" spans="1:24" ht="15" customHeight="1" x14ac:dyDescent="0.25">
      <c r="A2079" t="str">
        <f>""</f>
        <v/>
      </c>
      <c r="B2079" s="1"/>
      <c r="H2079">
        <v>221.58</v>
      </c>
      <c r="L2079" s="1"/>
      <c r="N2079" s="1"/>
      <c r="V2079" t="str">
        <f>"77184"</f>
        <v>77184</v>
      </c>
      <c r="W2079">
        <v>0</v>
      </c>
      <c r="X2079">
        <v>0</v>
      </c>
    </row>
    <row r="2080" spans="1:24" ht="15" customHeight="1" x14ac:dyDescent="0.25">
      <c r="A2080" t="str">
        <f>""</f>
        <v/>
      </c>
      <c r="B2080" s="1"/>
      <c r="H2080">
        <v>22</v>
      </c>
      <c r="L2080" s="1"/>
      <c r="N2080" s="1"/>
      <c r="V2080" t="str">
        <f>"77184"</f>
        <v>77184</v>
      </c>
      <c r="W2080">
        <v>0</v>
      </c>
      <c r="X2080">
        <v>0</v>
      </c>
    </row>
    <row r="2081" spans="1:24" ht="15" customHeight="1" x14ac:dyDescent="0.25">
      <c r="A2081" t="str">
        <f>""</f>
        <v/>
      </c>
      <c r="B2081" s="1"/>
      <c r="H2081">
        <v>350.82</v>
      </c>
      <c r="J2081" t="s">
        <v>20</v>
      </c>
      <c r="L2081" s="1"/>
      <c r="N2081" s="1"/>
      <c r="V2081" t="str">
        <f>"68200"</f>
        <v>68200</v>
      </c>
      <c r="W2081">
        <v>101.74</v>
      </c>
      <c r="X2081">
        <v>0</v>
      </c>
    </row>
    <row r="2082" spans="1:24" ht="15" customHeight="1" x14ac:dyDescent="0.25">
      <c r="A2082" t="str">
        <f>""</f>
        <v/>
      </c>
      <c r="B2082" s="1"/>
      <c r="H2082">
        <v>35</v>
      </c>
      <c r="J2082" t="s">
        <v>22</v>
      </c>
      <c r="L2082" s="1"/>
      <c r="N2082" s="1"/>
      <c r="V2082" t="str">
        <f>"11000"</f>
        <v>11000</v>
      </c>
      <c r="W2082">
        <v>0</v>
      </c>
      <c r="X2082">
        <v>9.8000000000000007</v>
      </c>
    </row>
    <row r="2083" spans="1:24" ht="15" customHeight="1" x14ac:dyDescent="0.25">
      <c r="A2083" t="str">
        <f>""</f>
        <v/>
      </c>
      <c r="B2083" s="1"/>
      <c r="H2083">
        <v>138.12</v>
      </c>
      <c r="J2083" t="s">
        <v>20</v>
      </c>
      <c r="L2083" s="1"/>
      <c r="N2083" s="1"/>
      <c r="V2083" t="str">
        <f>"35920"</f>
        <v>35920</v>
      </c>
      <c r="W2083">
        <v>37.29</v>
      </c>
      <c r="X2083">
        <v>0</v>
      </c>
    </row>
    <row r="2084" spans="1:24" ht="15" customHeight="1" x14ac:dyDescent="0.25">
      <c r="A2084" t="str">
        <f>""</f>
        <v/>
      </c>
      <c r="B2084" s="1"/>
      <c r="H2084">
        <v>86.34</v>
      </c>
      <c r="J2084" t="s">
        <v>19</v>
      </c>
      <c r="L2084" s="1"/>
      <c r="N2084" s="1"/>
      <c r="V2084" t="str">
        <f>"68000"</f>
        <v>68000</v>
      </c>
      <c r="W2084">
        <v>25.04</v>
      </c>
      <c r="X2084">
        <v>0</v>
      </c>
    </row>
    <row r="2085" spans="1:24" ht="15" customHeight="1" x14ac:dyDescent="0.25">
      <c r="A2085" t="str">
        <f>""</f>
        <v/>
      </c>
      <c r="B2085" s="1"/>
      <c r="H2085">
        <v>250</v>
      </c>
      <c r="J2085" t="s">
        <v>23</v>
      </c>
      <c r="L2085" s="1"/>
      <c r="N2085" s="1"/>
      <c r="V2085" t="str">
        <f>"59440"</f>
        <v>59440</v>
      </c>
      <c r="W2085">
        <v>0</v>
      </c>
      <c r="X2085">
        <v>0</v>
      </c>
    </row>
    <row r="2086" spans="1:24" ht="15" customHeight="1" x14ac:dyDescent="0.25">
      <c r="A2086" t="str">
        <f>""</f>
        <v/>
      </c>
      <c r="B2086" s="1"/>
      <c r="H2086">
        <v>170.88</v>
      </c>
      <c r="J2086" t="s">
        <v>19</v>
      </c>
      <c r="L2086" s="1"/>
      <c r="N2086" s="1"/>
      <c r="V2086" t="str">
        <f>"67320"</f>
        <v>67320</v>
      </c>
      <c r="W2086">
        <v>49.56</v>
      </c>
      <c r="X2086">
        <v>0</v>
      </c>
    </row>
    <row r="2087" spans="1:24" ht="15" customHeight="1" x14ac:dyDescent="0.25">
      <c r="A2087" t="str">
        <f>""</f>
        <v/>
      </c>
      <c r="B2087" s="1"/>
      <c r="H2087">
        <v>27</v>
      </c>
      <c r="J2087" t="s">
        <v>22</v>
      </c>
      <c r="L2087" s="1"/>
      <c r="N2087" s="1"/>
      <c r="V2087" t="str">
        <f>"44350"</f>
        <v>44350</v>
      </c>
      <c r="W2087">
        <v>0</v>
      </c>
      <c r="X2087">
        <v>0</v>
      </c>
    </row>
    <row r="2088" spans="1:24" ht="15" customHeight="1" x14ac:dyDescent="0.25">
      <c r="A2088" t="str">
        <f>""</f>
        <v/>
      </c>
      <c r="B2088" s="1"/>
      <c r="H2088">
        <v>126.18</v>
      </c>
      <c r="L2088" s="1"/>
      <c r="N2088" s="1"/>
      <c r="V2088" t="str">
        <f>"77184"</f>
        <v>77184</v>
      </c>
      <c r="W2088">
        <v>0</v>
      </c>
      <c r="X2088">
        <v>0</v>
      </c>
    </row>
    <row r="2089" spans="1:24" ht="15" customHeight="1" x14ac:dyDescent="0.25">
      <c r="A2089" t="str">
        <f>""</f>
        <v/>
      </c>
      <c r="B2089" s="1"/>
      <c r="H2089">
        <v>19.649999999999999</v>
      </c>
      <c r="J2089" t="s">
        <v>19</v>
      </c>
      <c r="L2089" s="1"/>
      <c r="N2089" s="1"/>
      <c r="V2089" t="str">
        <f t="shared" ref="V2089:V2094" si="7">"75014"</f>
        <v>75014</v>
      </c>
      <c r="W2089">
        <v>0</v>
      </c>
      <c r="X2089">
        <v>0</v>
      </c>
    </row>
    <row r="2090" spans="1:24" ht="15" customHeight="1" x14ac:dyDescent="0.25">
      <c r="A2090" t="str">
        <f>""</f>
        <v/>
      </c>
      <c r="B2090" s="1"/>
      <c r="H2090">
        <v>19.649999999999999</v>
      </c>
      <c r="J2090" t="s">
        <v>19</v>
      </c>
      <c r="L2090" s="1"/>
      <c r="N2090" s="1"/>
      <c r="V2090" t="str">
        <f t="shared" si="7"/>
        <v>75014</v>
      </c>
      <c r="W2090">
        <v>0</v>
      </c>
      <c r="X2090">
        <v>0</v>
      </c>
    </row>
    <row r="2091" spans="1:24" ht="15" customHeight="1" x14ac:dyDescent="0.25">
      <c r="A2091" t="str">
        <f>""</f>
        <v/>
      </c>
      <c r="B2091" s="1"/>
      <c r="H2091">
        <v>19.649999999999999</v>
      </c>
      <c r="J2091" t="s">
        <v>19</v>
      </c>
      <c r="L2091" s="1"/>
      <c r="N2091" s="1"/>
      <c r="V2091" t="str">
        <f t="shared" si="7"/>
        <v>75014</v>
      </c>
      <c r="W2091">
        <v>0</v>
      </c>
      <c r="X2091">
        <v>0</v>
      </c>
    </row>
    <row r="2092" spans="1:24" ht="15" customHeight="1" x14ac:dyDescent="0.25">
      <c r="A2092" t="str">
        <f>""</f>
        <v/>
      </c>
      <c r="B2092" s="1"/>
      <c r="H2092">
        <v>19.649999999999999</v>
      </c>
      <c r="J2092" t="s">
        <v>19</v>
      </c>
      <c r="L2092" s="1"/>
      <c r="N2092" s="1"/>
      <c r="V2092" t="str">
        <f t="shared" si="7"/>
        <v>75014</v>
      </c>
      <c r="W2092">
        <v>0</v>
      </c>
      <c r="X2092">
        <v>0</v>
      </c>
    </row>
    <row r="2093" spans="1:24" ht="15" customHeight="1" x14ac:dyDescent="0.25">
      <c r="A2093" t="str">
        <f>""</f>
        <v/>
      </c>
      <c r="B2093" s="1"/>
      <c r="H2093">
        <v>19.649999999999999</v>
      </c>
      <c r="J2093" t="s">
        <v>19</v>
      </c>
      <c r="L2093" s="1"/>
      <c r="N2093" s="1"/>
      <c r="V2093" t="str">
        <f t="shared" si="7"/>
        <v>75014</v>
      </c>
      <c r="W2093">
        <v>0</v>
      </c>
      <c r="X2093">
        <v>0</v>
      </c>
    </row>
    <row r="2094" spans="1:24" ht="15" customHeight="1" x14ac:dyDescent="0.25">
      <c r="A2094" t="str">
        <f>""</f>
        <v/>
      </c>
      <c r="B2094" s="1"/>
      <c r="H2094">
        <v>19.649999999999999</v>
      </c>
      <c r="J2094" t="s">
        <v>19</v>
      </c>
      <c r="L2094" s="1"/>
      <c r="N2094" s="1"/>
      <c r="V2094" t="str">
        <f t="shared" si="7"/>
        <v>75014</v>
      </c>
      <c r="W2094">
        <v>0</v>
      </c>
      <c r="X2094">
        <v>0</v>
      </c>
    </row>
    <row r="2095" spans="1:24" ht="15" customHeight="1" x14ac:dyDescent="0.25">
      <c r="A2095" t="str">
        <f>""</f>
        <v/>
      </c>
      <c r="B2095" s="1"/>
      <c r="H2095">
        <v>138.12</v>
      </c>
      <c r="J2095" t="s">
        <v>20</v>
      </c>
      <c r="L2095" s="1"/>
      <c r="N2095" s="1"/>
      <c r="V2095" t="str">
        <f>"59100"</f>
        <v>59100</v>
      </c>
      <c r="W2095">
        <v>26.24</v>
      </c>
      <c r="X2095">
        <v>0</v>
      </c>
    </row>
    <row r="2096" spans="1:24" ht="15" customHeight="1" x14ac:dyDescent="0.25">
      <c r="A2096" t="str">
        <f>""</f>
        <v/>
      </c>
      <c r="B2096" s="1"/>
      <c r="H2096">
        <v>40</v>
      </c>
      <c r="J2096" t="s">
        <v>20</v>
      </c>
      <c r="L2096" s="1"/>
      <c r="N2096" s="1"/>
      <c r="V2096" t="str">
        <f>"60300"</f>
        <v>60300</v>
      </c>
      <c r="W2096">
        <v>7.6</v>
      </c>
      <c r="X2096">
        <v>0</v>
      </c>
    </row>
    <row r="2097" spans="1:24" ht="15" customHeight="1" x14ac:dyDescent="0.25">
      <c r="A2097" t="str">
        <f>""</f>
        <v/>
      </c>
      <c r="B2097" s="1"/>
      <c r="H2097">
        <v>143.52000000000001</v>
      </c>
      <c r="J2097" t="s">
        <v>19</v>
      </c>
      <c r="L2097" s="1"/>
      <c r="N2097" s="1"/>
      <c r="V2097" t="str">
        <f>"08000"</f>
        <v>08000</v>
      </c>
      <c r="W2097">
        <v>27.27</v>
      </c>
      <c r="X2097">
        <v>0</v>
      </c>
    </row>
    <row r="2098" spans="1:24" ht="15" customHeight="1" x14ac:dyDescent="0.25">
      <c r="A2098" t="str">
        <f>""</f>
        <v/>
      </c>
      <c r="B2098" s="1"/>
      <c r="H2098">
        <v>20</v>
      </c>
      <c r="J2098" t="s">
        <v>20</v>
      </c>
      <c r="L2098" s="1"/>
      <c r="N2098" s="1"/>
      <c r="V2098" t="str">
        <f>"49100"</f>
        <v>49100</v>
      </c>
      <c r="W2098">
        <v>5.4</v>
      </c>
      <c r="X2098">
        <v>0</v>
      </c>
    </row>
    <row r="2099" spans="1:24" ht="15" customHeight="1" x14ac:dyDescent="0.25">
      <c r="A2099" t="str">
        <f>""</f>
        <v/>
      </c>
      <c r="B2099" s="1"/>
      <c r="H2099">
        <v>136.41</v>
      </c>
      <c r="J2099" t="s">
        <v>22</v>
      </c>
      <c r="L2099" s="1"/>
      <c r="N2099" s="1"/>
      <c r="V2099" t="str">
        <f>"75017"</f>
        <v>75017</v>
      </c>
      <c r="W2099">
        <v>0</v>
      </c>
      <c r="X2099">
        <v>0</v>
      </c>
    </row>
    <row r="2100" spans="1:24" ht="15" customHeight="1" x14ac:dyDescent="0.25">
      <c r="A2100" t="str">
        <f>""</f>
        <v/>
      </c>
      <c r="B2100" s="1"/>
      <c r="H2100">
        <v>140.53</v>
      </c>
      <c r="J2100" t="s">
        <v>20</v>
      </c>
      <c r="L2100" s="1"/>
      <c r="N2100" s="1"/>
      <c r="V2100" t="str">
        <f>"62600"</f>
        <v>62600</v>
      </c>
      <c r="W2100">
        <v>26.7</v>
      </c>
      <c r="X2100">
        <v>0</v>
      </c>
    </row>
    <row r="2101" spans="1:24" ht="15" customHeight="1" x14ac:dyDescent="0.25">
      <c r="A2101" t="str">
        <f>""</f>
        <v/>
      </c>
      <c r="B2101" s="1"/>
      <c r="H2101">
        <v>130.05000000000001</v>
      </c>
      <c r="J2101" t="s">
        <v>20</v>
      </c>
      <c r="L2101" s="1"/>
      <c r="N2101" s="1"/>
      <c r="V2101" t="str">
        <f>"94550"</f>
        <v>94550</v>
      </c>
      <c r="W2101">
        <v>0</v>
      </c>
      <c r="X2101">
        <v>0</v>
      </c>
    </row>
    <row r="2102" spans="1:24" ht="15" customHeight="1" x14ac:dyDescent="0.25">
      <c r="A2102" t="str">
        <f>""</f>
        <v/>
      </c>
      <c r="B2102" s="1"/>
      <c r="H2102">
        <v>184.52</v>
      </c>
      <c r="J2102" t="s">
        <v>20</v>
      </c>
      <c r="L2102" s="1"/>
      <c r="N2102" s="1"/>
      <c r="V2102" t="str">
        <f>"01000"</f>
        <v>01000</v>
      </c>
      <c r="W2102">
        <v>49.82</v>
      </c>
      <c r="X2102">
        <v>0</v>
      </c>
    </row>
    <row r="2103" spans="1:24" ht="15" customHeight="1" x14ac:dyDescent="0.25">
      <c r="A2103" t="str">
        <f>""</f>
        <v/>
      </c>
      <c r="B2103" s="1"/>
      <c r="H2103">
        <v>25</v>
      </c>
      <c r="J2103" t="s">
        <v>20</v>
      </c>
      <c r="L2103" s="1"/>
      <c r="N2103" s="1"/>
      <c r="V2103" t="str">
        <f>"75003"</f>
        <v>75003</v>
      </c>
      <c r="W2103">
        <v>0</v>
      </c>
      <c r="X2103">
        <v>0</v>
      </c>
    </row>
    <row r="2104" spans="1:24" ht="15" customHeight="1" x14ac:dyDescent="0.25">
      <c r="A2104" t="str">
        <f>""</f>
        <v/>
      </c>
      <c r="B2104" s="1"/>
      <c r="H2104">
        <v>1.46</v>
      </c>
      <c r="J2104" t="s">
        <v>19</v>
      </c>
      <c r="L2104" s="1"/>
      <c r="N2104" s="1"/>
      <c r="V2104" t="str">
        <f>"59120"</f>
        <v>59120</v>
      </c>
      <c r="W2104">
        <v>0.28000000000000003</v>
      </c>
      <c r="X2104">
        <v>0</v>
      </c>
    </row>
    <row r="2105" spans="1:24" ht="15" customHeight="1" x14ac:dyDescent="0.25">
      <c r="A2105" t="str">
        <f>""</f>
        <v/>
      </c>
      <c r="B2105" s="1"/>
      <c r="H2105">
        <v>133.62</v>
      </c>
      <c r="J2105" t="s">
        <v>19</v>
      </c>
      <c r="L2105" s="1"/>
      <c r="N2105" s="1"/>
      <c r="V2105" t="str">
        <f>"25300"</f>
        <v>25300</v>
      </c>
      <c r="W2105">
        <v>32.07</v>
      </c>
      <c r="X2105">
        <v>0</v>
      </c>
    </row>
    <row r="2106" spans="1:24" ht="15" customHeight="1" x14ac:dyDescent="0.25">
      <c r="A2106" t="str">
        <f>""</f>
        <v/>
      </c>
      <c r="B2106" s="1"/>
      <c r="H2106">
        <v>86.27</v>
      </c>
      <c r="J2106" t="s">
        <v>20</v>
      </c>
      <c r="L2106" s="1"/>
      <c r="N2106" s="1"/>
      <c r="V2106" t="str">
        <f>"07100"</f>
        <v>07100</v>
      </c>
      <c r="W2106">
        <v>23.29</v>
      </c>
      <c r="X2106">
        <v>0</v>
      </c>
    </row>
    <row r="2107" spans="1:24" ht="15" customHeight="1" x14ac:dyDescent="0.25">
      <c r="A2107" t="str">
        <f>""</f>
        <v/>
      </c>
      <c r="B2107" s="1"/>
      <c r="H2107">
        <v>141.65</v>
      </c>
      <c r="J2107" t="s">
        <v>20</v>
      </c>
      <c r="L2107" s="1"/>
      <c r="N2107" s="1"/>
      <c r="V2107" t="str">
        <f>"57310"</f>
        <v>57310</v>
      </c>
      <c r="W2107">
        <v>35.409999999999997</v>
      </c>
      <c r="X2107">
        <v>0</v>
      </c>
    </row>
    <row r="2108" spans="1:24" ht="15" customHeight="1" x14ac:dyDescent="0.25">
      <c r="A2108" t="str">
        <f>""</f>
        <v/>
      </c>
      <c r="B2108" s="1"/>
      <c r="H2108">
        <v>25.6</v>
      </c>
      <c r="L2108" s="1"/>
      <c r="N2108" s="1"/>
      <c r="V2108" t="str">
        <f>"77184"</f>
        <v>77184</v>
      </c>
      <c r="W2108">
        <v>0</v>
      </c>
      <c r="X2108">
        <v>0</v>
      </c>
    </row>
    <row r="2109" spans="1:24" ht="15" customHeight="1" x14ac:dyDescent="0.25">
      <c r="A2109" t="str">
        <f>""</f>
        <v/>
      </c>
      <c r="B2109" s="1"/>
      <c r="H2109">
        <v>31</v>
      </c>
      <c r="L2109" s="1"/>
      <c r="N2109" s="1"/>
      <c r="V2109" t="str">
        <f>"77184"</f>
        <v>77184</v>
      </c>
      <c r="W2109">
        <v>0</v>
      </c>
      <c r="X2109">
        <v>0</v>
      </c>
    </row>
    <row r="2110" spans="1:24" ht="15" customHeight="1" x14ac:dyDescent="0.25">
      <c r="A2110" t="str">
        <f>""</f>
        <v/>
      </c>
      <c r="B2110" s="1"/>
      <c r="J2110" t="s">
        <v>23</v>
      </c>
      <c r="L2110" s="1"/>
      <c r="N2110" s="1"/>
      <c r="V2110" t="str">
        <f>"50430"</f>
        <v>50430</v>
      </c>
      <c r="W2110">
        <v>0</v>
      </c>
      <c r="X2110">
        <v>0</v>
      </c>
    </row>
    <row r="2111" spans="1:24" ht="15" customHeight="1" x14ac:dyDescent="0.25">
      <c r="A2111" t="str">
        <f>""</f>
        <v/>
      </c>
      <c r="B2111" s="1"/>
      <c r="H2111">
        <v>250</v>
      </c>
      <c r="J2111" t="s">
        <v>22</v>
      </c>
      <c r="L2111" s="1"/>
      <c r="N2111" s="1"/>
      <c r="V2111" t="str">
        <f>"44350"</f>
        <v>44350</v>
      </c>
      <c r="W2111">
        <v>0</v>
      </c>
      <c r="X2111">
        <v>0</v>
      </c>
    </row>
    <row r="2112" spans="1:24" ht="15" customHeight="1" x14ac:dyDescent="0.25">
      <c r="A2112" t="str">
        <f>""</f>
        <v/>
      </c>
      <c r="B2112" s="1"/>
      <c r="H2112">
        <v>250</v>
      </c>
      <c r="J2112" t="s">
        <v>22</v>
      </c>
      <c r="L2112" s="1"/>
      <c r="N2112" s="1"/>
      <c r="V2112" t="str">
        <f>"59800"</f>
        <v>59800</v>
      </c>
      <c r="W2112">
        <v>0</v>
      </c>
      <c r="X2112">
        <v>0</v>
      </c>
    </row>
    <row r="2113" spans="1:24" ht="15" customHeight="1" x14ac:dyDescent="0.25">
      <c r="A2113" t="str">
        <f>""</f>
        <v/>
      </c>
      <c r="B2113" s="1"/>
      <c r="H2113">
        <v>196</v>
      </c>
      <c r="L2113" s="1"/>
      <c r="N2113" s="1"/>
      <c r="V2113" t="str">
        <f>"77184"</f>
        <v>77184</v>
      </c>
      <c r="W2113">
        <v>0</v>
      </c>
      <c r="X2113">
        <v>0</v>
      </c>
    </row>
    <row r="2114" spans="1:24" ht="15" customHeight="1" x14ac:dyDescent="0.25">
      <c r="A2114" t="str">
        <f>""</f>
        <v/>
      </c>
      <c r="B2114" s="1"/>
      <c r="H2114">
        <v>140</v>
      </c>
      <c r="J2114" t="s">
        <v>19</v>
      </c>
      <c r="L2114" s="1"/>
      <c r="N2114" s="1"/>
      <c r="V2114" t="str">
        <f>"76220"</f>
        <v>76220</v>
      </c>
      <c r="W2114">
        <v>23.8</v>
      </c>
      <c r="X2114">
        <v>0</v>
      </c>
    </row>
    <row r="2115" spans="1:24" ht="15" customHeight="1" x14ac:dyDescent="0.25">
      <c r="A2115" t="str">
        <f>""</f>
        <v/>
      </c>
      <c r="B2115" s="1"/>
      <c r="H2115">
        <v>35</v>
      </c>
      <c r="J2115" t="s">
        <v>23</v>
      </c>
      <c r="L2115" s="1"/>
      <c r="N2115" s="1"/>
      <c r="V2115" t="str">
        <f>"77183"</f>
        <v>77183</v>
      </c>
      <c r="W2115">
        <v>0</v>
      </c>
      <c r="X2115">
        <v>0</v>
      </c>
    </row>
    <row r="2116" spans="1:24" ht="15" customHeight="1" x14ac:dyDescent="0.25">
      <c r="A2116" t="str">
        <f>""</f>
        <v/>
      </c>
      <c r="B2116" s="1"/>
      <c r="H2116">
        <v>67.25</v>
      </c>
      <c r="J2116" t="s">
        <v>20</v>
      </c>
      <c r="L2116" s="1"/>
      <c r="N2116" s="1"/>
      <c r="V2116" t="str">
        <f>"73400"</f>
        <v>73400</v>
      </c>
      <c r="W2116">
        <v>18.16</v>
      </c>
      <c r="X2116">
        <v>0</v>
      </c>
    </row>
    <row r="2117" spans="1:24" ht="15" customHeight="1" x14ac:dyDescent="0.25">
      <c r="A2117" t="str">
        <f>""</f>
        <v/>
      </c>
      <c r="B2117" s="1"/>
      <c r="H2117">
        <v>97.28</v>
      </c>
      <c r="J2117" t="s">
        <v>20</v>
      </c>
      <c r="L2117" s="1"/>
      <c r="N2117" s="1"/>
      <c r="V2117" t="str">
        <f>"67120"</f>
        <v>67120</v>
      </c>
      <c r="W2117">
        <v>28.21</v>
      </c>
      <c r="X2117">
        <v>0</v>
      </c>
    </row>
    <row r="2118" spans="1:24" ht="15" customHeight="1" x14ac:dyDescent="0.25">
      <c r="A2118" t="str">
        <f>""</f>
        <v/>
      </c>
      <c r="B2118" s="1"/>
      <c r="H2118">
        <v>55.34</v>
      </c>
      <c r="J2118" t="s">
        <v>19</v>
      </c>
      <c r="L2118" s="1"/>
      <c r="N2118" s="1"/>
      <c r="V2118" t="str">
        <f>"59150"</f>
        <v>59150</v>
      </c>
      <c r="W2118">
        <v>10.51</v>
      </c>
      <c r="X2118">
        <v>0</v>
      </c>
    </row>
    <row r="2119" spans="1:24" ht="15" customHeight="1" x14ac:dyDescent="0.25">
      <c r="A2119" t="str">
        <f>""</f>
        <v/>
      </c>
      <c r="B2119" s="1"/>
      <c r="H2119">
        <v>103.06</v>
      </c>
      <c r="J2119" t="s">
        <v>20</v>
      </c>
      <c r="L2119" s="1"/>
      <c r="N2119" s="1"/>
      <c r="V2119" t="str">
        <f>"14570"</f>
        <v>14570</v>
      </c>
      <c r="W2119">
        <v>17.52</v>
      </c>
      <c r="X2119">
        <v>0</v>
      </c>
    </row>
    <row r="2120" spans="1:24" ht="15" customHeight="1" x14ac:dyDescent="0.25">
      <c r="A2120" t="str">
        <f>""</f>
        <v/>
      </c>
      <c r="B2120" s="1"/>
      <c r="H2120">
        <v>0.06</v>
      </c>
      <c r="J2120" t="s">
        <v>20</v>
      </c>
      <c r="L2120" s="1"/>
      <c r="N2120" s="1"/>
      <c r="V2120" t="str">
        <f>"59290"</f>
        <v>59290</v>
      </c>
      <c r="W2120">
        <v>0.01</v>
      </c>
      <c r="X2120">
        <v>0</v>
      </c>
    </row>
    <row r="2121" spans="1:24" ht="15" customHeight="1" x14ac:dyDescent="0.25">
      <c r="A2121" t="str">
        <f>""</f>
        <v/>
      </c>
      <c r="B2121" s="1"/>
      <c r="H2121">
        <v>70</v>
      </c>
      <c r="J2121" t="s">
        <v>23</v>
      </c>
      <c r="L2121" s="1"/>
      <c r="N2121" s="1"/>
      <c r="V2121" t="str">
        <f>"13880"</f>
        <v>13880</v>
      </c>
      <c r="W2121">
        <v>0</v>
      </c>
      <c r="X2121">
        <v>13.3</v>
      </c>
    </row>
    <row r="2122" spans="1:24" ht="15" customHeight="1" x14ac:dyDescent="0.25">
      <c r="A2122" t="str">
        <f>""</f>
        <v/>
      </c>
      <c r="B2122" s="1"/>
      <c r="H2122">
        <v>226.98</v>
      </c>
      <c r="J2122" t="s">
        <v>23</v>
      </c>
      <c r="L2122" s="1"/>
      <c r="N2122" s="1"/>
      <c r="V2122" t="str">
        <f>"69007"</f>
        <v>69007</v>
      </c>
      <c r="W2122">
        <v>0</v>
      </c>
      <c r="X2122">
        <v>0</v>
      </c>
    </row>
    <row r="2123" spans="1:24" x14ac:dyDescent="0.25">
      <c r="A2123" t="str">
        <f>""</f>
        <v/>
      </c>
      <c r="B2123" s="1"/>
      <c r="H2123">
        <v>131.74</v>
      </c>
      <c r="J2123" t="s">
        <v>16</v>
      </c>
      <c r="L2123" s="1"/>
      <c r="N2123" s="1"/>
      <c r="V2123" t="str">
        <f>"75009"</f>
        <v>75009</v>
      </c>
      <c r="W2123">
        <v>0</v>
      </c>
      <c r="X2123">
        <v>28.98</v>
      </c>
    </row>
    <row r="2124" spans="1:24" ht="15" customHeight="1" x14ac:dyDescent="0.25">
      <c r="A2124" t="str">
        <f>""</f>
        <v/>
      </c>
      <c r="B2124" s="1"/>
      <c r="H2124">
        <v>133.4</v>
      </c>
      <c r="J2124" t="s">
        <v>23</v>
      </c>
      <c r="L2124" s="1"/>
      <c r="N2124" s="1"/>
      <c r="V2124" t="str">
        <f>"13290"</f>
        <v>13290</v>
      </c>
      <c r="W2124">
        <v>0</v>
      </c>
      <c r="X2124">
        <v>0</v>
      </c>
    </row>
    <row r="2125" spans="1:24" ht="15" customHeight="1" x14ac:dyDescent="0.25">
      <c r="A2125" t="str">
        <f>""</f>
        <v/>
      </c>
      <c r="B2125" s="1"/>
      <c r="H2125">
        <v>156.69</v>
      </c>
      <c r="J2125" t="s">
        <v>20</v>
      </c>
      <c r="L2125" s="1"/>
      <c r="N2125" s="1"/>
      <c r="V2125" t="str">
        <f>"13307"</f>
        <v>13307</v>
      </c>
      <c r="W2125">
        <v>45.44</v>
      </c>
      <c r="X2125">
        <v>0</v>
      </c>
    </row>
    <row r="2126" spans="1:24" ht="15" customHeight="1" x14ac:dyDescent="0.25">
      <c r="A2126" t="str">
        <f>""</f>
        <v/>
      </c>
      <c r="B2126" s="1"/>
      <c r="H2126">
        <v>19.89</v>
      </c>
      <c r="J2126" t="s">
        <v>19</v>
      </c>
      <c r="L2126" s="1"/>
      <c r="N2126" s="1"/>
      <c r="V2126" t="str">
        <f>"06560"</f>
        <v>06560</v>
      </c>
      <c r="W2126">
        <v>5.97</v>
      </c>
      <c r="X2126">
        <v>0</v>
      </c>
    </row>
    <row r="2127" spans="1:24" ht="15" customHeight="1" x14ac:dyDescent="0.25">
      <c r="A2127" t="str">
        <f>""</f>
        <v/>
      </c>
      <c r="B2127" s="1"/>
      <c r="H2127">
        <v>82.33</v>
      </c>
      <c r="J2127" t="s">
        <v>20</v>
      </c>
      <c r="L2127" s="1"/>
      <c r="N2127" s="1"/>
      <c r="V2127" t="str">
        <f>"80480"</f>
        <v>80480</v>
      </c>
      <c r="W2127">
        <v>15.64</v>
      </c>
      <c r="X2127">
        <v>0</v>
      </c>
    </row>
    <row r="2128" spans="1:24" ht="15" customHeight="1" x14ac:dyDescent="0.25">
      <c r="A2128" t="str">
        <f>""</f>
        <v/>
      </c>
      <c r="B2128" s="1"/>
      <c r="H2128">
        <v>146.85</v>
      </c>
      <c r="J2128" t="s">
        <v>20</v>
      </c>
      <c r="L2128" s="1"/>
      <c r="N2128" s="1"/>
      <c r="V2128" t="str">
        <f>"50110"</f>
        <v>50110</v>
      </c>
      <c r="W2128">
        <v>24.96</v>
      </c>
      <c r="X2128">
        <v>0</v>
      </c>
    </row>
    <row r="2129" spans="1:24" ht="15" customHeight="1" x14ac:dyDescent="0.25">
      <c r="A2129" t="str">
        <f>""</f>
        <v/>
      </c>
      <c r="B2129" s="1"/>
      <c r="H2129">
        <v>55.34</v>
      </c>
      <c r="J2129" t="s">
        <v>20</v>
      </c>
      <c r="L2129" s="1"/>
      <c r="N2129" s="1"/>
      <c r="V2129" t="str">
        <f>"75018"</f>
        <v>75018</v>
      </c>
      <c r="W2129">
        <v>0</v>
      </c>
      <c r="X2129">
        <v>0</v>
      </c>
    </row>
    <row r="2130" spans="1:24" ht="15" customHeight="1" x14ac:dyDescent="0.25">
      <c r="A2130" t="str">
        <f>""</f>
        <v/>
      </c>
      <c r="B2130" s="1"/>
      <c r="H2130">
        <v>75.34</v>
      </c>
      <c r="J2130" t="s">
        <v>19</v>
      </c>
      <c r="L2130" s="1"/>
      <c r="N2130" s="1"/>
      <c r="V2130" t="str">
        <f>"76600"</f>
        <v>76600</v>
      </c>
      <c r="W2130">
        <v>12.81</v>
      </c>
      <c r="X2130">
        <v>0</v>
      </c>
    </row>
    <row r="2131" spans="1:24" ht="15" customHeight="1" x14ac:dyDescent="0.25">
      <c r="A2131" t="str">
        <f>""</f>
        <v/>
      </c>
      <c r="B2131" s="1"/>
      <c r="H2131">
        <v>160</v>
      </c>
      <c r="J2131" t="s">
        <v>20</v>
      </c>
      <c r="L2131" s="1"/>
      <c r="N2131" s="1"/>
      <c r="V2131" t="str">
        <f>"67600"</f>
        <v>67600</v>
      </c>
      <c r="W2131">
        <v>46.4</v>
      </c>
      <c r="X2131">
        <v>0</v>
      </c>
    </row>
    <row r="2132" spans="1:24" ht="15" customHeight="1" x14ac:dyDescent="0.25">
      <c r="A2132" t="str">
        <f>""</f>
        <v/>
      </c>
      <c r="B2132" s="1"/>
      <c r="H2132">
        <v>40</v>
      </c>
      <c r="J2132" t="s">
        <v>23</v>
      </c>
      <c r="L2132" s="1"/>
      <c r="N2132" s="1"/>
      <c r="V2132" t="str">
        <f>"54250"</f>
        <v>54250</v>
      </c>
      <c r="W2132">
        <v>0</v>
      </c>
      <c r="X2132">
        <v>10</v>
      </c>
    </row>
    <row r="2133" spans="1:24" ht="15" customHeight="1" x14ac:dyDescent="0.25">
      <c r="A2133" t="str">
        <f>""</f>
        <v/>
      </c>
      <c r="B2133" s="1"/>
      <c r="H2133">
        <v>100.2</v>
      </c>
      <c r="J2133" t="s">
        <v>23</v>
      </c>
      <c r="L2133" s="1"/>
      <c r="N2133" s="1"/>
      <c r="V2133" t="str">
        <f>"69003"</f>
        <v>69003</v>
      </c>
      <c r="W2133">
        <v>0</v>
      </c>
      <c r="X2133">
        <v>0</v>
      </c>
    </row>
    <row r="2134" spans="1:24" x14ac:dyDescent="0.25">
      <c r="A2134" t="str">
        <f>""</f>
        <v/>
      </c>
      <c r="B2134" s="1"/>
      <c r="H2134">
        <v>140</v>
      </c>
      <c r="J2134" t="s">
        <v>18</v>
      </c>
      <c r="L2134" s="1"/>
      <c r="N2134" s="1"/>
      <c r="V2134" t="str">
        <f>"45100"</f>
        <v>45100</v>
      </c>
      <c r="W2134">
        <v>0</v>
      </c>
      <c r="X2134">
        <v>0</v>
      </c>
    </row>
    <row r="2135" spans="1:24" ht="15" customHeight="1" x14ac:dyDescent="0.25">
      <c r="A2135" t="str">
        <f>""</f>
        <v/>
      </c>
      <c r="B2135" s="1"/>
      <c r="H2135">
        <v>140</v>
      </c>
      <c r="J2135" t="s">
        <v>20</v>
      </c>
      <c r="L2135" s="1"/>
      <c r="N2135" s="1"/>
      <c r="V2135" t="str">
        <f>"34000"</f>
        <v>34000</v>
      </c>
      <c r="W2135">
        <v>54.6</v>
      </c>
      <c r="X2135">
        <v>0</v>
      </c>
    </row>
    <row r="2136" spans="1:24" ht="15" customHeight="1" x14ac:dyDescent="0.25">
      <c r="A2136" t="str">
        <f>""</f>
        <v/>
      </c>
      <c r="B2136" s="1"/>
      <c r="H2136">
        <v>107.72</v>
      </c>
      <c r="J2136" t="s">
        <v>19</v>
      </c>
      <c r="L2136" s="1"/>
      <c r="N2136" s="1"/>
      <c r="V2136" t="str">
        <f>"13790"</f>
        <v>13790</v>
      </c>
      <c r="W2136">
        <v>31.24</v>
      </c>
      <c r="X2136">
        <v>0</v>
      </c>
    </row>
    <row r="2137" spans="1:24" ht="15" customHeight="1" x14ac:dyDescent="0.25">
      <c r="A2137" t="str">
        <f>""</f>
        <v/>
      </c>
      <c r="B2137" s="1"/>
      <c r="H2137">
        <v>314</v>
      </c>
      <c r="J2137" t="s">
        <v>22</v>
      </c>
      <c r="L2137" s="1"/>
      <c r="N2137" s="1"/>
      <c r="V2137" t="str">
        <f>"59231"</f>
        <v>59231</v>
      </c>
      <c r="W2137">
        <v>0</v>
      </c>
      <c r="X2137">
        <v>0</v>
      </c>
    </row>
    <row r="2138" spans="1:24" ht="15" customHeight="1" x14ac:dyDescent="0.25">
      <c r="A2138" t="str">
        <f>""</f>
        <v/>
      </c>
      <c r="B2138" s="1"/>
      <c r="H2138">
        <v>43.34</v>
      </c>
      <c r="J2138" t="s">
        <v>20</v>
      </c>
      <c r="L2138" s="1"/>
      <c r="N2138" s="1"/>
      <c r="V2138" t="str">
        <f>"79000"</f>
        <v>79000</v>
      </c>
      <c r="W2138">
        <v>9.1</v>
      </c>
      <c r="X2138">
        <v>0</v>
      </c>
    </row>
    <row r="2139" spans="1:24" ht="15" customHeight="1" x14ac:dyDescent="0.25">
      <c r="A2139" t="str">
        <f>""</f>
        <v/>
      </c>
      <c r="B2139" s="1"/>
      <c r="H2139">
        <v>119.94</v>
      </c>
      <c r="J2139" t="s">
        <v>22</v>
      </c>
      <c r="L2139" s="1"/>
      <c r="N2139" s="1"/>
      <c r="V2139" t="str">
        <f>"75010"</f>
        <v>75010</v>
      </c>
      <c r="W2139">
        <v>0</v>
      </c>
      <c r="X2139">
        <v>0</v>
      </c>
    </row>
    <row r="2140" spans="1:24" ht="15" customHeight="1" x14ac:dyDescent="0.25">
      <c r="A2140" t="str">
        <f>""</f>
        <v/>
      </c>
      <c r="B2140" s="1"/>
      <c r="H2140">
        <v>31.6</v>
      </c>
      <c r="L2140" s="1"/>
      <c r="N2140" s="1"/>
      <c r="V2140" t="str">
        <f>"44240"</f>
        <v>44240</v>
      </c>
      <c r="W2140">
        <v>0</v>
      </c>
      <c r="X2140">
        <v>0</v>
      </c>
    </row>
    <row r="2141" spans="1:24" x14ac:dyDescent="0.25">
      <c r="A2141" t="str">
        <f>""</f>
        <v/>
      </c>
      <c r="B2141" s="1"/>
      <c r="H2141">
        <v>220</v>
      </c>
      <c r="J2141" t="s">
        <v>16</v>
      </c>
      <c r="L2141" s="1"/>
      <c r="N2141" s="1"/>
      <c r="V2141" t="str">
        <f>"92110"</f>
        <v>92110</v>
      </c>
      <c r="W2141">
        <v>0</v>
      </c>
      <c r="X2141">
        <v>0</v>
      </c>
    </row>
    <row r="2142" spans="1:24" ht="15" customHeight="1" x14ac:dyDescent="0.25">
      <c r="A2142" t="str">
        <f>""</f>
        <v/>
      </c>
      <c r="B2142" s="1"/>
      <c r="H2142">
        <v>350</v>
      </c>
      <c r="L2142" s="1"/>
      <c r="N2142" s="1"/>
      <c r="V2142" t="str">
        <f>"77184"</f>
        <v>77184</v>
      </c>
      <c r="W2142">
        <v>0</v>
      </c>
      <c r="X2142">
        <v>0</v>
      </c>
    </row>
    <row r="2143" spans="1:24" ht="15" customHeight="1" x14ac:dyDescent="0.25">
      <c r="A2143" t="str">
        <f>""</f>
        <v/>
      </c>
      <c r="B2143" s="1"/>
      <c r="H2143">
        <v>70</v>
      </c>
      <c r="J2143" t="s">
        <v>20</v>
      </c>
      <c r="L2143" s="1"/>
      <c r="N2143" s="1"/>
      <c r="V2143" t="str">
        <f>"86370"</f>
        <v>86370</v>
      </c>
      <c r="W2143">
        <v>14.7</v>
      </c>
      <c r="X2143">
        <v>0</v>
      </c>
    </row>
    <row r="2144" spans="1:24" ht="15" customHeight="1" x14ac:dyDescent="0.25">
      <c r="A2144" t="str">
        <f>""</f>
        <v/>
      </c>
      <c r="B2144" s="1"/>
      <c r="H2144">
        <v>198.85</v>
      </c>
      <c r="J2144" t="s">
        <v>20</v>
      </c>
      <c r="L2144" s="1"/>
      <c r="N2144" s="1"/>
      <c r="V2144" t="str">
        <f>"75006"</f>
        <v>75006</v>
      </c>
      <c r="W2144">
        <v>0</v>
      </c>
      <c r="X2144">
        <v>0</v>
      </c>
    </row>
    <row r="2145" spans="1:24" ht="15" customHeight="1" x14ac:dyDescent="0.25">
      <c r="A2145" t="str">
        <f>""</f>
        <v/>
      </c>
      <c r="B2145" s="1"/>
      <c r="H2145">
        <v>100.42</v>
      </c>
      <c r="J2145" t="s">
        <v>20</v>
      </c>
      <c r="L2145" s="1"/>
      <c r="N2145" s="1"/>
      <c r="V2145" t="str">
        <f>"19100"</f>
        <v>19100</v>
      </c>
      <c r="W2145">
        <v>29.12</v>
      </c>
      <c r="X2145">
        <v>0</v>
      </c>
    </row>
    <row r="2146" spans="1:24" ht="15" customHeight="1" x14ac:dyDescent="0.25">
      <c r="A2146" t="str">
        <f>""</f>
        <v/>
      </c>
      <c r="B2146" s="1"/>
      <c r="H2146">
        <v>97.86</v>
      </c>
      <c r="J2146" t="s">
        <v>19</v>
      </c>
      <c r="L2146" s="1"/>
      <c r="N2146" s="1"/>
      <c r="V2146" t="str">
        <f>"50260"</f>
        <v>50260</v>
      </c>
      <c r="W2146">
        <v>16.64</v>
      </c>
      <c r="X2146">
        <v>0</v>
      </c>
    </row>
    <row r="2147" spans="1:24" ht="15" customHeight="1" x14ac:dyDescent="0.25">
      <c r="A2147" t="str">
        <f>""</f>
        <v/>
      </c>
      <c r="B2147" s="1"/>
      <c r="H2147">
        <v>86.54</v>
      </c>
      <c r="J2147" t="s">
        <v>20</v>
      </c>
      <c r="L2147" s="1"/>
      <c r="N2147" s="1"/>
      <c r="V2147" t="str">
        <f>"59139"</f>
        <v>59139</v>
      </c>
      <c r="W2147">
        <v>16.440000000000001</v>
      </c>
      <c r="X2147">
        <v>0</v>
      </c>
    </row>
    <row r="2148" spans="1:24" ht="15" customHeight="1" x14ac:dyDescent="0.25">
      <c r="A2148" t="str">
        <f>""</f>
        <v/>
      </c>
      <c r="B2148" s="1"/>
      <c r="H2148">
        <v>160.38999999999999</v>
      </c>
      <c r="J2148" t="s">
        <v>19</v>
      </c>
      <c r="L2148" s="1"/>
      <c r="N2148" s="1"/>
      <c r="V2148" t="str">
        <f>"65290"</f>
        <v>65290</v>
      </c>
      <c r="W2148">
        <v>35.29</v>
      </c>
      <c r="X2148">
        <v>0</v>
      </c>
    </row>
    <row r="2149" spans="1:24" ht="15" customHeight="1" x14ac:dyDescent="0.25">
      <c r="A2149" t="str">
        <f>""</f>
        <v/>
      </c>
      <c r="B2149" s="1"/>
      <c r="H2149">
        <v>185.54</v>
      </c>
      <c r="J2149" t="s">
        <v>20</v>
      </c>
      <c r="L2149" s="1"/>
      <c r="V2149" t="str">
        <f>"13007"</f>
        <v>13007</v>
      </c>
      <c r="W2149">
        <v>0</v>
      </c>
      <c r="X2149">
        <v>0</v>
      </c>
    </row>
    <row r="2150" spans="1:24" ht="15" customHeight="1" x14ac:dyDescent="0.25">
      <c r="A2150" t="str">
        <f>""</f>
        <v/>
      </c>
      <c r="B2150" s="1"/>
      <c r="H2150">
        <v>40</v>
      </c>
      <c r="J2150" t="s">
        <v>20</v>
      </c>
      <c r="L2150" s="1"/>
      <c r="N2150" s="1"/>
      <c r="V2150" t="str">
        <f>"13009"</f>
        <v>13009</v>
      </c>
      <c r="W2150">
        <v>11.6</v>
      </c>
      <c r="X2150">
        <v>0</v>
      </c>
    </row>
    <row r="2151" spans="1:24" ht="15" customHeight="1" x14ac:dyDescent="0.25">
      <c r="A2151" t="str">
        <f>""</f>
        <v/>
      </c>
      <c r="B2151" s="1"/>
      <c r="H2151">
        <v>157.32</v>
      </c>
      <c r="J2151" t="s">
        <v>22</v>
      </c>
      <c r="L2151" s="1"/>
      <c r="N2151" s="1"/>
      <c r="V2151" t="str">
        <f>"59260"</f>
        <v>59260</v>
      </c>
      <c r="W2151">
        <v>0</v>
      </c>
      <c r="X2151">
        <v>0</v>
      </c>
    </row>
    <row r="2152" spans="1:24" ht="15" customHeight="1" x14ac:dyDescent="0.25">
      <c r="A2152" t="str">
        <f>""</f>
        <v/>
      </c>
      <c r="B2152" s="1"/>
      <c r="H2152">
        <v>40</v>
      </c>
      <c r="J2152" t="s">
        <v>23</v>
      </c>
      <c r="L2152" s="1"/>
      <c r="N2152" s="1"/>
      <c r="V2152" t="str">
        <f>"92000"</f>
        <v>92000</v>
      </c>
      <c r="W2152">
        <v>0</v>
      </c>
      <c r="X2152">
        <v>0</v>
      </c>
    </row>
    <row r="2153" spans="1:24" ht="15" customHeight="1" x14ac:dyDescent="0.25">
      <c r="A2153" t="str">
        <f>""</f>
        <v/>
      </c>
      <c r="B2153" s="1"/>
      <c r="H2153">
        <v>161</v>
      </c>
      <c r="L2153" s="1"/>
      <c r="N2153" s="1"/>
      <c r="V2153" t="str">
        <f>"77184"</f>
        <v>77184</v>
      </c>
      <c r="W2153">
        <v>0</v>
      </c>
      <c r="X2153">
        <v>0</v>
      </c>
    </row>
    <row r="2154" spans="1:24" ht="15" customHeight="1" x14ac:dyDescent="0.25">
      <c r="A2154" t="str">
        <f>""</f>
        <v/>
      </c>
      <c r="B2154" s="1"/>
      <c r="H2154">
        <v>65.53</v>
      </c>
      <c r="J2154" t="s">
        <v>20</v>
      </c>
      <c r="L2154" s="1"/>
      <c r="N2154" s="1"/>
      <c r="V2154" t="str">
        <f>"58120"</f>
        <v>58120</v>
      </c>
      <c r="W2154">
        <v>15.73</v>
      </c>
      <c r="X2154">
        <v>0</v>
      </c>
    </row>
    <row r="2155" spans="1:24" ht="15" customHeight="1" x14ac:dyDescent="0.25">
      <c r="A2155" t="str">
        <f>""</f>
        <v/>
      </c>
      <c r="B2155" s="1"/>
      <c r="H2155">
        <v>19.8</v>
      </c>
      <c r="J2155" t="s">
        <v>19</v>
      </c>
      <c r="L2155" s="1"/>
      <c r="N2155" s="1"/>
      <c r="V2155" t="str">
        <f>"62380"</f>
        <v>62380</v>
      </c>
      <c r="W2155">
        <v>3.76</v>
      </c>
      <c r="X2155">
        <v>0</v>
      </c>
    </row>
    <row r="2156" spans="1:24" ht="15" customHeight="1" x14ac:dyDescent="0.25">
      <c r="A2156" t="str">
        <f>""</f>
        <v/>
      </c>
      <c r="B2156" s="1"/>
      <c r="H2156">
        <v>25.8</v>
      </c>
      <c r="J2156" t="s">
        <v>19</v>
      </c>
      <c r="L2156" s="1"/>
      <c r="N2156" s="1"/>
      <c r="V2156" t="str">
        <f>"38590"</f>
        <v>38590</v>
      </c>
      <c r="W2156">
        <v>6.97</v>
      </c>
      <c r="X2156">
        <v>0</v>
      </c>
    </row>
    <row r="2157" spans="1:24" ht="15" customHeight="1" x14ac:dyDescent="0.25">
      <c r="A2157" t="str">
        <f>""</f>
        <v/>
      </c>
      <c r="B2157" s="1"/>
      <c r="H2157">
        <v>126.65</v>
      </c>
      <c r="J2157" t="s">
        <v>20</v>
      </c>
      <c r="L2157" s="1"/>
      <c r="N2157" s="1"/>
      <c r="V2157" t="str">
        <f>"74410"</f>
        <v>74410</v>
      </c>
      <c r="W2157">
        <v>34.200000000000003</v>
      </c>
      <c r="X2157">
        <v>0</v>
      </c>
    </row>
    <row r="2158" spans="1:24" ht="15" customHeight="1" x14ac:dyDescent="0.25">
      <c r="A2158" t="str">
        <f>""</f>
        <v/>
      </c>
      <c r="B2158" s="1"/>
      <c r="H2158">
        <v>781.52</v>
      </c>
      <c r="J2158" t="s">
        <v>23</v>
      </c>
      <c r="L2158" s="1"/>
      <c r="N2158" s="1"/>
      <c r="V2158" t="str">
        <f>"44980"</f>
        <v>44980</v>
      </c>
      <c r="W2158">
        <v>0</v>
      </c>
      <c r="X2158">
        <v>0</v>
      </c>
    </row>
    <row r="2159" spans="1:24" ht="15" customHeight="1" x14ac:dyDescent="0.25">
      <c r="A2159" t="str">
        <f>""</f>
        <v/>
      </c>
      <c r="B2159" s="1"/>
      <c r="H2159">
        <v>127.01</v>
      </c>
      <c r="J2159" t="s">
        <v>19</v>
      </c>
      <c r="L2159" s="1"/>
      <c r="N2159" s="1"/>
      <c r="V2159" t="str">
        <f>"10280"</f>
        <v>10280</v>
      </c>
      <c r="W2159">
        <v>30.48</v>
      </c>
      <c r="X2159">
        <v>0</v>
      </c>
    </row>
    <row r="2160" spans="1:24" ht="15" customHeight="1" x14ac:dyDescent="0.25">
      <c r="A2160" t="str">
        <f>""</f>
        <v/>
      </c>
      <c r="B2160" s="1"/>
      <c r="H2160">
        <v>136.65</v>
      </c>
      <c r="J2160" t="s">
        <v>20</v>
      </c>
      <c r="L2160" s="1"/>
      <c r="N2160" s="1"/>
      <c r="V2160" t="str">
        <f>"22950"</f>
        <v>22950</v>
      </c>
      <c r="W2160">
        <v>53.29</v>
      </c>
      <c r="X2160">
        <v>0</v>
      </c>
    </row>
    <row r="2161" spans="1:24" ht="15" customHeight="1" x14ac:dyDescent="0.25">
      <c r="A2161" t="str">
        <f>""</f>
        <v/>
      </c>
      <c r="B2161" s="1"/>
      <c r="H2161">
        <v>131.97999999999999</v>
      </c>
      <c r="J2161" t="s">
        <v>20</v>
      </c>
      <c r="L2161" s="1"/>
      <c r="N2161" s="1"/>
      <c r="V2161" t="str">
        <f>"45520"</f>
        <v>45520</v>
      </c>
      <c r="W2161">
        <v>27.72</v>
      </c>
      <c r="X2161">
        <v>0</v>
      </c>
    </row>
    <row r="2162" spans="1:24" ht="15" customHeight="1" x14ac:dyDescent="0.25">
      <c r="A2162" t="str">
        <f>""</f>
        <v/>
      </c>
      <c r="B2162" s="1"/>
      <c r="H2162">
        <v>120.29</v>
      </c>
      <c r="J2162" t="s">
        <v>19</v>
      </c>
      <c r="L2162" s="1"/>
      <c r="N2162" s="1"/>
      <c r="V2162" t="str">
        <f>"83340"</f>
        <v>83340</v>
      </c>
      <c r="W2162">
        <v>36.090000000000003</v>
      </c>
      <c r="X2162">
        <v>0</v>
      </c>
    </row>
    <row r="2163" spans="1:24" ht="15" customHeight="1" x14ac:dyDescent="0.25">
      <c r="A2163" t="str">
        <f>""</f>
        <v/>
      </c>
      <c r="B2163" s="1"/>
      <c r="J2163" t="s">
        <v>20</v>
      </c>
      <c r="L2163" s="1"/>
      <c r="N2163" s="1"/>
      <c r="V2163" t="str">
        <f>"69003"</f>
        <v>69003</v>
      </c>
      <c r="W2163">
        <v>0</v>
      </c>
      <c r="X2163">
        <v>0</v>
      </c>
    </row>
    <row r="2164" spans="1:24" ht="15" customHeight="1" x14ac:dyDescent="0.25">
      <c r="A2164" t="str">
        <f>""</f>
        <v/>
      </c>
      <c r="B2164" s="1"/>
      <c r="H2164">
        <v>11</v>
      </c>
      <c r="J2164" t="s">
        <v>23</v>
      </c>
      <c r="L2164" s="1"/>
      <c r="V2164" t="str">
        <f>"35760"</f>
        <v>35760</v>
      </c>
      <c r="W2164">
        <v>0</v>
      </c>
      <c r="X2164">
        <v>0</v>
      </c>
    </row>
    <row r="2165" spans="1:24" ht="15" customHeight="1" x14ac:dyDescent="0.25">
      <c r="A2165" t="str">
        <f>""</f>
        <v/>
      </c>
      <c r="B2165" s="1"/>
      <c r="H2165">
        <v>32</v>
      </c>
      <c r="L2165" s="1"/>
      <c r="N2165" s="1"/>
      <c r="V2165" t="str">
        <f>"77184"</f>
        <v>77184</v>
      </c>
      <c r="W2165">
        <v>0</v>
      </c>
      <c r="X2165">
        <v>0</v>
      </c>
    </row>
    <row r="2166" spans="1:24" ht="15" customHeight="1" x14ac:dyDescent="0.25">
      <c r="A2166" t="str">
        <f>""</f>
        <v/>
      </c>
      <c r="B2166" s="1"/>
      <c r="H2166">
        <v>20</v>
      </c>
      <c r="J2166" t="s">
        <v>22</v>
      </c>
      <c r="L2166" s="1"/>
      <c r="N2166" s="1"/>
      <c r="V2166" t="str">
        <f>"68270"</f>
        <v>68270</v>
      </c>
      <c r="W2166">
        <v>0</v>
      </c>
      <c r="X2166">
        <v>1.6</v>
      </c>
    </row>
    <row r="2167" spans="1:24" ht="15" customHeight="1" x14ac:dyDescent="0.25">
      <c r="A2167" t="str">
        <f>""</f>
        <v/>
      </c>
      <c r="B2167" s="1"/>
      <c r="H2167">
        <v>14.2</v>
      </c>
      <c r="J2167" t="s">
        <v>20</v>
      </c>
      <c r="L2167" s="1"/>
      <c r="N2167" s="1"/>
      <c r="V2167" t="str">
        <f>"44600"</f>
        <v>44600</v>
      </c>
      <c r="W2167">
        <v>3.83</v>
      </c>
      <c r="X2167">
        <v>0</v>
      </c>
    </row>
    <row r="2168" spans="1:24" ht="15" customHeight="1" x14ac:dyDescent="0.25">
      <c r="A2168" t="str">
        <f>""</f>
        <v/>
      </c>
      <c r="B2168" s="1"/>
      <c r="H2168">
        <v>71.900000000000006</v>
      </c>
      <c r="J2168" t="s">
        <v>23</v>
      </c>
      <c r="L2168" s="1"/>
      <c r="N2168" s="1"/>
      <c r="V2168" t="str">
        <f>"70000"</f>
        <v>70000</v>
      </c>
      <c r="W2168">
        <v>0</v>
      </c>
      <c r="X2168">
        <v>8.6300000000000008</v>
      </c>
    </row>
    <row r="2169" spans="1:24" ht="15" customHeight="1" x14ac:dyDescent="0.25">
      <c r="A2169" t="str">
        <f>""</f>
        <v/>
      </c>
      <c r="B2169" s="1"/>
      <c r="H2169">
        <v>70</v>
      </c>
      <c r="J2169" t="s">
        <v>23</v>
      </c>
      <c r="L2169" s="1"/>
      <c r="N2169" s="1"/>
      <c r="V2169" t="str">
        <f>"73490"</f>
        <v>73490</v>
      </c>
      <c r="W2169">
        <v>0</v>
      </c>
      <c r="X2169">
        <v>0</v>
      </c>
    </row>
    <row r="2170" spans="1:24" ht="15" customHeight="1" x14ac:dyDescent="0.25">
      <c r="A2170" t="str">
        <f>""</f>
        <v/>
      </c>
      <c r="B2170" s="1"/>
      <c r="H2170">
        <v>40</v>
      </c>
      <c r="J2170" t="s">
        <v>22</v>
      </c>
      <c r="L2170" s="1"/>
      <c r="V2170" t="str">
        <f>"06000"</f>
        <v>06000</v>
      </c>
      <c r="W2170">
        <v>0</v>
      </c>
      <c r="X2170">
        <v>0</v>
      </c>
    </row>
    <row r="2171" spans="1:24" ht="15" customHeight="1" x14ac:dyDescent="0.25">
      <c r="A2171" t="str">
        <f>""</f>
        <v/>
      </c>
      <c r="B2171" s="1"/>
      <c r="H2171">
        <v>1.46</v>
      </c>
      <c r="J2171" t="s">
        <v>20</v>
      </c>
      <c r="L2171" s="1"/>
      <c r="N2171" s="1"/>
      <c r="V2171" t="str">
        <f>"13103"</f>
        <v>13103</v>
      </c>
      <c r="W2171">
        <v>0.42</v>
      </c>
      <c r="X2171">
        <v>0</v>
      </c>
    </row>
    <row r="2172" spans="1:24" ht="15" customHeight="1" x14ac:dyDescent="0.25">
      <c r="A2172" t="str">
        <f>""</f>
        <v/>
      </c>
      <c r="B2172" s="1"/>
      <c r="H2172">
        <v>179.61</v>
      </c>
      <c r="J2172" t="s">
        <v>20</v>
      </c>
      <c r="L2172" s="1"/>
      <c r="N2172" s="1"/>
      <c r="V2172" t="str">
        <f>"29510"</f>
        <v>29510</v>
      </c>
      <c r="W2172">
        <v>70.05</v>
      </c>
      <c r="X2172">
        <v>0</v>
      </c>
    </row>
    <row r="2173" spans="1:24" ht="15" customHeight="1" x14ac:dyDescent="0.25">
      <c r="A2173" t="str">
        <f>""</f>
        <v/>
      </c>
      <c r="B2173" s="1"/>
      <c r="H2173">
        <v>75.14</v>
      </c>
      <c r="J2173" t="s">
        <v>20</v>
      </c>
      <c r="L2173" s="1"/>
      <c r="N2173" s="1"/>
      <c r="V2173" t="str">
        <f>"34200"</f>
        <v>34200</v>
      </c>
      <c r="W2173">
        <v>29.3</v>
      </c>
      <c r="X2173">
        <v>0</v>
      </c>
    </row>
    <row r="2174" spans="1:24" ht="15" customHeight="1" x14ac:dyDescent="0.25">
      <c r="A2174" t="str">
        <f>""</f>
        <v/>
      </c>
      <c r="B2174" s="1"/>
      <c r="H2174">
        <v>291.61</v>
      </c>
      <c r="J2174" t="s">
        <v>19</v>
      </c>
      <c r="L2174" s="1"/>
      <c r="N2174" s="1"/>
      <c r="V2174" t="str">
        <f>"06000"</f>
        <v>06000</v>
      </c>
      <c r="W2174">
        <v>87.48</v>
      </c>
      <c r="X2174">
        <v>0</v>
      </c>
    </row>
    <row r="2175" spans="1:24" ht="15" customHeight="1" x14ac:dyDescent="0.25">
      <c r="A2175" t="str">
        <f>""</f>
        <v/>
      </c>
      <c r="B2175" s="1"/>
      <c r="H2175">
        <v>20.2</v>
      </c>
      <c r="J2175" t="s">
        <v>20</v>
      </c>
      <c r="L2175" s="1"/>
      <c r="N2175" s="1"/>
      <c r="V2175" t="str">
        <f>"49124"</f>
        <v>49124</v>
      </c>
      <c r="W2175">
        <v>5.45</v>
      </c>
      <c r="X2175">
        <v>0</v>
      </c>
    </row>
    <row r="2176" spans="1:24" ht="15" customHeight="1" x14ac:dyDescent="0.25">
      <c r="A2176" t="str">
        <f>""</f>
        <v/>
      </c>
      <c r="B2176" s="1"/>
      <c r="H2176">
        <v>30</v>
      </c>
      <c r="J2176" t="s">
        <v>19</v>
      </c>
      <c r="L2176" s="1"/>
      <c r="N2176" s="1"/>
      <c r="V2176" t="str">
        <f>"92200"</f>
        <v>92200</v>
      </c>
      <c r="W2176">
        <v>0</v>
      </c>
      <c r="X2176">
        <v>0</v>
      </c>
    </row>
    <row r="2177" spans="1:24" ht="15" customHeight="1" x14ac:dyDescent="0.25">
      <c r="A2177" t="str">
        <f>""</f>
        <v/>
      </c>
      <c r="B2177" s="1"/>
      <c r="H2177">
        <v>30</v>
      </c>
      <c r="J2177" t="s">
        <v>20</v>
      </c>
      <c r="L2177" s="1"/>
      <c r="N2177" s="1"/>
      <c r="V2177" t="str">
        <f>"67000"</f>
        <v>67000</v>
      </c>
      <c r="W2177">
        <v>8.6999999999999993</v>
      </c>
      <c r="X2177">
        <v>0</v>
      </c>
    </row>
    <row r="2178" spans="1:24" ht="15" customHeight="1" x14ac:dyDescent="0.25">
      <c r="A2178" t="str">
        <f>""</f>
        <v/>
      </c>
      <c r="B2178" s="1"/>
      <c r="H2178">
        <v>140</v>
      </c>
      <c r="J2178" t="s">
        <v>22</v>
      </c>
      <c r="L2178" s="1"/>
      <c r="N2178" s="1"/>
      <c r="V2178" t="str">
        <f>"80000"</f>
        <v>80000</v>
      </c>
      <c r="W2178">
        <v>0</v>
      </c>
      <c r="X2178">
        <v>26.6</v>
      </c>
    </row>
    <row r="2179" spans="1:24" ht="15" customHeight="1" x14ac:dyDescent="0.25">
      <c r="A2179" t="str">
        <f>""</f>
        <v/>
      </c>
      <c r="B2179" s="1"/>
      <c r="H2179">
        <v>58.2</v>
      </c>
      <c r="J2179" t="s">
        <v>23</v>
      </c>
      <c r="L2179" s="1"/>
      <c r="N2179" s="1"/>
      <c r="V2179" t="str">
        <f>"13200"</f>
        <v>13200</v>
      </c>
      <c r="W2179">
        <v>0</v>
      </c>
      <c r="X2179">
        <v>0</v>
      </c>
    </row>
    <row r="2180" spans="1:24" ht="15" customHeight="1" x14ac:dyDescent="0.25">
      <c r="A2180" t="str">
        <f>""</f>
        <v/>
      </c>
      <c r="B2180" s="1"/>
      <c r="H2180">
        <v>127.15</v>
      </c>
      <c r="J2180" t="s">
        <v>19</v>
      </c>
      <c r="L2180" s="1"/>
      <c r="N2180" s="1"/>
      <c r="V2180" t="str">
        <f>"54940"</f>
        <v>54940</v>
      </c>
      <c r="W2180">
        <v>31.79</v>
      </c>
      <c r="X2180">
        <v>0</v>
      </c>
    </row>
    <row r="2181" spans="1:24" ht="15" customHeight="1" x14ac:dyDescent="0.25">
      <c r="A2181" t="str">
        <f>""</f>
        <v/>
      </c>
      <c r="B2181" s="1"/>
      <c r="H2181">
        <v>55.14</v>
      </c>
      <c r="J2181" t="s">
        <v>20</v>
      </c>
      <c r="L2181" s="1"/>
      <c r="N2181" s="1"/>
      <c r="V2181" t="str">
        <f>"62400"</f>
        <v>62400</v>
      </c>
      <c r="W2181">
        <v>10.48</v>
      </c>
      <c r="X2181">
        <v>0</v>
      </c>
    </row>
    <row r="2182" spans="1:24" ht="15" customHeight="1" x14ac:dyDescent="0.25">
      <c r="A2182" t="str">
        <f>""</f>
        <v/>
      </c>
      <c r="B2182" s="1"/>
      <c r="H2182">
        <v>140</v>
      </c>
      <c r="J2182" t="s">
        <v>23</v>
      </c>
      <c r="L2182" s="1"/>
      <c r="V2182" t="str">
        <f>"78000"</f>
        <v>78000</v>
      </c>
      <c r="W2182">
        <v>0</v>
      </c>
      <c r="X2182">
        <v>0</v>
      </c>
    </row>
    <row r="2183" spans="1:24" ht="15" customHeight="1" x14ac:dyDescent="0.25">
      <c r="A2183" t="str">
        <f>""</f>
        <v/>
      </c>
      <c r="B2183" s="1"/>
      <c r="H2183">
        <v>30.1</v>
      </c>
      <c r="J2183" t="s">
        <v>22</v>
      </c>
      <c r="L2183" s="1"/>
      <c r="N2183" s="1"/>
      <c r="V2183" t="str">
        <f>"92350"</f>
        <v>92350</v>
      </c>
      <c r="W2183">
        <v>0</v>
      </c>
      <c r="X2183">
        <v>0</v>
      </c>
    </row>
    <row r="2184" spans="1:24" ht="15" customHeight="1" x14ac:dyDescent="0.25">
      <c r="A2184" t="str">
        <f>""</f>
        <v/>
      </c>
      <c r="B2184" s="1"/>
      <c r="H2184">
        <v>171.25</v>
      </c>
      <c r="J2184" t="s">
        <v>23</v>
      </c>
      <c r="L2184" s="1"/>
      <c r="N2184" s="1"/>
      <c r="V2184" t="str">
        <f>"83320"</f>
        <v>83320</v>
      </c>
      <c r="W2184">
        <v>0</v>
      </c>
      <c r="X2184">
        <v>0</v>
      </c>
    </row>
    <row r="2185" spans="1:24" ht="15" customHeight="1" x14ac:dyDescent="0.25">
      <c r="A2185" t="str">
        <f>""</f>
        <v/>
      </c>
      <c r="B2185" s="1"/>
      <c r="H2185">
        <v>151</v>
      </c>
      <c r="J2185" t="s">
        <v>23</v>
      </c>
      <c r="L2185" s="1"/>
      <c r="N2185" s="1"/>
      <c r="V2185" t="str">
        <f>"69365"</f>
        <v>69365</v>
      </c>
      <c r="W2185">
        <v>0</v>
      </c>
      <c r="X2185">
        <v>0</v>
      </c>
    </row>
    <row r="2186" spans="1:24" ht="15" customHeight="1" x14ac:dyDescent="0.25">
      <c r="A2186" t="str">
        <f>""</f>
        <v/>
      </c>
      <c r="B2186" s="1"/>
      <c r="H2186">
        <v>42.65</v>
      </c>
      <c r="L2186" s="1"/>
      <c r="V2186" t="str">
        <f>"77184"</f>
        <v>77184</v>
      </c>
      <c r="W2186">
        <v>0</v>
      </c>
      <c r="X2186">
        <v>0</v>
      </c>
    </row>
    <row r="2187" spans="1:24" ht="15" customHeight="1" x14ac:dyDescent="0.25">
      <c r="A2187" t="str">
        <f>""</f>
        <v/>
      </c>
      <c r="B2187" s="1"/>
      <c r="H2187">
        <v>40</v>
      </c>
      <c r="J2187" t="s">
        <v>23</v>
      </c>
      <c r="L2187" s="1"/>
      <c r="N2187" s="1"/>
      <c r="V2187" t="str">
        <f>"67000"</f>
        <v>67000</v>
      </c>
      <c r="W2187">
        <v>0</v>
      </c>
      <c r="X2187">
        <v>3.2</v>
      </c>
    </row>
    <row r="2188" spans="1:24" ht="15" customHeight="1" x14ac:dyDescent="0.25">
      <c r="A2188" t="str">
        <f>""</f>
        <v/>
      </c>
      <c r="B2188" s="1"/>
      <c r="H2188">
        <v>55</v>
      </c>
      <c r="J2188" t="s">
        <v>22</v>
      </c>
      <c r="L2188" s="1"/>
      <c r="N2188" s="1"/>
      <c r="V2188" t="str">
        <f>"89700"</f>
        <v>89700</v>
      </c>
      <c r="W2188">
        <v>0</v>
      </c>
      <c r="X2188">
        <v>6.6</v>
      </c>
    </row>
    <row r="2189" spans="1:24" ht="15" customHeight="1" x14ac:dyDescent="0.25">
      <c r="A2189" t="str">
        <f>""</f>
        <v/>
      </c>
      <c r="B2189" s="1"/>
      <c r="H2189">
        <v>151</v>
      </c>
      <c r="J2189" t="s">
        <v>22</v>
      </c>
      <c r="L2189" s="1"/>
      <c r="V2189" t="str">
        <f>"69120"</f>
        <v>69120</v>
      </c>
      <c r="W2189">
        <v>0</v>
      </c>
      <c r="X2189">
        <v>0</v>
      </c>
    </row>
    <row r="2190" spans="1:24" ht="15" customHeight="1" x14ac:dyDescent="0.25">
      <c r="A2190" t="str">
        <f>""</f>
        <v/>
      </c>
      <c r="B2190" s="1"/>
      <c r="H2190">
        <v>140</v>
      </c>
      <c r="J2190" t="s">
        <v>23</v>
      </c>
      <c r="L2190" s="1"/>
      <c r="N2190" s="1"/>
      <c r="V2190" t="str">
        <f>"84810"</f>
        <v>84810</v>
      </c>
      <c r="W2190">
        <v>0</v>
      </c>
      <c r="X2190">
        <v>0</v>
      </c>
    </row>
    <row r="2191" spans="1:24" ht="15" customHeight="1" x14ac:dyDescent="0.25">
      <c r="A2191" t="str">
        <f>""</f>
        <v/>
      </c>
      <c r="B2191" s="1"/>
      <c r="H2191">
        <v>140</v>
      </c>
      <c r="J2191" t="s">
        <v>23</v>
      </c>
      <c r="L2191" s="1"/>
      <c r="N2191" s="1"/>
      <c r="V2191" t="str">
        <f>"51150"</f>
        <v>51150</v>
      </c>
      <c r="W2191">
        <v>0</v>
      </c>
      <c r="X2191">
        <v>35</v>
      </c>
    </row>
    <row r="2192" spans="1:24" ht="15" customHeight="1" x14ac:dyDescent="0.25">
      <c r="A2192" t="str">
        <f>""</f>
        <v/>
      </c>
      <c r="B2192" s="1"/>
      <c r="H2192">
        <v>150</v>
      </c>
      <c r="J2192" t="s">
        <v>22</v>
      </c>
      <c r="L2192" s="1"/>
      <c r="N2192" s="1"/>
      <c r="V2192" t="str">
        <f>"84000"</f>
        <v>84000</v>
      </c>
      <c r="W2192">
        <v>0</v>
      </c>
      <c r="X2192">
        <v>28.5</v>
      </c>
    </row>
    <row r="2193" spans="1:24" x14ac:dyDescent="0.25">
      <c r="A2193" t="str">
        <f>""</f>
        <v/>
      </c>
      <c r="B2193" s="1"/>
      <c r="H2193">
        <v>52.5</v>
      </c>
      <c r="J2193" t="s">
        <v>15</v>
      </c>
      <c r="L2193" s="1"/>
      <c r="N2193" s="1"/>
      <c r="V2193" t="str">
        <f>"26100"</f>
        <v>26100</v>
      </c>
      <c r="W2193">
        <v>0</v>
      </c>
      <c r="X2193">
        <v>0</v>
      </c>
    </row>
    <row r="2194" spans="1:24" x14ac:dyDescent="0.25">
      <c r="A2194" t="str">
        <f>""</f>
        <v/>
      </c>
      <c r="B2194" s="1"/>
      <c r="H2194">
        <v>52.5</v>
      </c>
      <c r="J2194" t="s">
        <v>15</v>
      </c>
      <c r="L2194" s="1"/>
      <c r="N2194" s="1"/>
      <c r="V2194" t="str">
        <f>"31300"</f>
        <v>31300</v>
      </c>
      <c r="W2194">
        <v>11.55</v>
      </c>
      <c r="X2194">
        <v>0</v>
      </c>
    </row>
    <row r="2195" spans="1:24" ht="15" customHeight="1" x14ac:dyDescent="0.25">
      <c r="A2195" t="str">
        <f>""</f>
        <v/>
      </c>
      <c r="B2195" s="1"/>
      <c r="H2195">
        <v>168</v>
      </c>
      <c r="J2195" t="s">
        <v>22</v>
      </c>
      <c r="L2195" s="1"/>
      <c r="N2195" s="1"/>
      <c r="V2195" t="str">
        <f>"77184"</f>
        <v>77184</v>
      </c>
      <c r="W2195">
        <v>0</v>
      </c>
      <c r="X2195">
        <v>0</v>
      </c>
    </row>
    <row r="2196" spans="1:24" ht="15" customHeight="1" x14ac:dyDescent="0.25">
      <c r="A2196" t="str">
        <f>""</f>
        <v/>
      </c>
      <c r="B2196" s="1"/>
      <c r="H2196">
        <v>50.84</v>
      </c>
      <c r="J2196" t="s">
        <v>19</v>
      </c>
      <c r="L2196" s="1"/>
      <c r="N2196" s="1"/>
      <c r="V2196" t="str">
        <f>"92000"</f>
        <v>92000</v>
      </c>
      <c r="W2196">
        <v>0</v>
      </c>
      <c r="X2196">
        <v>0</v>
      </c>
    </row>
    <row r="2197" spans="1:24" ht="15" customHeight="1" x14ac:dyDescent="0.25">
      <c r="A2197" t="str">
        <f>""</f>
        <v/>
      </c>
      <c r="B2197" s="1"/>
      <c r="H2197">
        <v>50.84</v>
      </c>
      <c r="J2197" t="s">
        <v>19</v>
      </c>
      <c r="L2197" s="1"/>
      <c r="N2197" s="1"/>
      <c r="V2197" t="str">
        <f>"92000"</f>
        <v>92000</v>
      </c>
      <c r="W2197">
        <v>0</v>
      </c>
      <c r="X2197">
        <v>0</v>
      </c>
    </row>
    <row r="2198" spans="1:24" x14ac:dyDescent="0.25">
      <c r="A2198" t="str">
        <f>""</f>
        <v/>
      </c>
      <c r="B2198" s="1"/>
      <c r="H2198">
        <v>23.4</v>
      </c>
      <c r="J2198" t="s">
        <v>15</v>
      </c>
      <c r="L2198" s="1"/>
      <c r="N2198" s="1"/>
      <c r="V2198" t="str">
        <f>"38230"</f>
        <v>38230</v>
      </c>
      <c r="W2198">
        <v>0</v>
      </c>
      <c r="X2198">
        <v>0</v>
      </c>
    </row>
    <row r="2199" spans="1:24" ht="15" customHeight="1" x14ac:dyDescent="0.25">
      <c r="A2199" t="str">
        <f>""</f>
        <v/>
      </c>
      <c r="B2199" s="1"/>
      <c r="H2199">
        <v>20</v>
      </c>
      <c r="L2199" s="1"/>
      <c r="N2199" s="1"/>
      <c r="V2199" t="str">
        <f>"77184"</f>
        <v>77184</v>
      </c>
      <c r="W2199">
        <v>0</v>
      </c>
      <c r="X2199">
        <v>0</v>
      </c>
    </row>
    <row r="2200" spans="1:24" ht="15" customHeight="1" x14ac:dyDescent="0.25">
      <c r="A2200" t="str">
        <f>""</f>
        <v/>
      </c>
      <c r="B2200" s="1"/>
      <c r="H2200">
        <v>20</v>
      </c>
      <c r="L2200" s="1"/>
      <c r="N2200" s="1"/>
      <c r="V2200" t="str">
        <f>"77184"</f>
        <v>77184</v>
      </c>
      <c r="W2200">
        <v>0</v>
      </c>
      <c r="X2200">
        <v>0</v>
      </c>
    </row>
    <row r="2201" spans="1:24" ht="15" customHeight="1" x14ac:dyDescent="0.25">
      <c r="A2201" t="str">
        <f>""</f>
        <v/>
      </c>
      <c r="B2201" s="1"/>
      <c r="H2201">
        <v>151</v>
      </c>
      <c r="J2201" t="s">
        <v>23</v>
      </c>
      <c r="L2201" s="1"/>
      <c r="N2201" s="1"/>
      <c r="V2201" t="str">
        <f>"83120"</f>
        <v>83120</v>
      </c>
      <c r="W2201">
        <v>0</v>
      </c>
      <c r="X2201">
        <v>31.71</v>
      </c>
    </row>
    <row r="2202" spans="1:24" ht="15" customHeight="1" x14ac:dyDescent="0.25">
      <c r="A2202" t="str">
        <f>""</f>
        <v/>
      </c>
      <c r="B2202" s="1"/>
      <c r="H2202">
        <v>36.54</v>
      </c>
      <c r="J2202" t="s">
        <v>19</v>
      </c>
      <c r="L2202" s="1"/>
      <c r="N2202" s="1"/>
      <c r="V2202" t="str">
        <f>"16380"</f>
        <v>16380</v>
      </c>
      <c r="W2202">
        <v>7.67</v>
      </c>
      <c r="X2202">
        <v>0</v>
      </c>
    </row>
    <row r="2203" spans="1:24" ht="15" customHeight="1" x14ac:dyDescent="0.25">
      <c r="A2203" t="str">
        <f>""</f>
        <v/>
      </c>
      <c r="B2203" s="1"/>
      <c r="H2203">
        <v>126.65</v>
      </c>
      <c r="J2203" t="s">
        <v>19</v>
      </c>
      <c r="L2203" s="1"/>
      <c r="N2203" s="1"/>
      <c r="V2203" t="str">
        <f>"16340"</f>
        <v>16340</v>
      </c>
      <c r="W2203">
        <v>26.6</v>
      </c>
      <c r="X2203">
        <v>0</v>
      </c>
    </row>
    <row r="2204" spans="1:24" ht="15" customHeight="1" x14ac:dyDescent="0.25">
      <c r="A2204" t="str">
        <f>""</f>
        <v/>
      </c>
      <c r="B2204" s="1"/>
      <c r="H2204">
        <v>94.3</v>
      </c>
      <c r="J2204" t="s">
        <v>22</v>
      </c>
      <c r="L2204" s="1"/>
      <c r="N2204" s="1"/>
      <c r="V2204" t="str">
        <f>"28000"</f>
        <v>28000</v>
      </c>
      <c r="W2204">
        <v>0</v>
      </c>
      <c r="X2204">
        <v>0</v>
      </c>
    </row>
    <row r="2205" spans="1:24" ht="15" customHeight="1" x14ac:dyDescent="0.25">
      <c r="A2205" t="str">
        <f>""</f>
        <v/>
      </c>
      <c r="B2205" s="1"/>
      <c r="H2205">
        <v>396.2</v>
      </c>
      <c r="J2205" t="s">
        <v>22</v>
      </c>
      <c r="L2205" s="1"/>
      <c r="N2205" s="1"/>
      <c r="V2205" t="str">
        <f>"92150"</f>
        <v>92150</v>
      </c>
      <c r="W2205">
        <v>0</v>
      </c>
      <c r="X2205">
        <v>0</v>
      </c>
    </row>
    <row r="2206" spans="1:24" ht="15" customHeight="1" x14ac:dyDescent="0.25">
      <c r="A2206" t="str">
        <f>""</f>
        <v/>
      </c>
      <c r="B2206" s="1"/>
      <c r="H2206">
        <v>40</v>
      </c>
      <c r="J2206" t="s">
        <v>22</v>
      </c>
      <c r="L2206" s="1"/>
      <c r="N2206" s="1"/>
      <c r="V2206" t="str">
        <f>"92400"</f>
        <v>92400</v>
      </c>
      <c r="W2206">
        <v>0</v>
      </c>
      <c r="X2206">
        <v>0</v>
      </c>
    </row>
    <row r="2207" spans="1:24" x14ac:dyDescent="0.25">
      <c r="A2207" t="str">
        <f>""</f>
        <v/>
      </c>
      <c r="B2207" s="1"/>
      <c r="H2207">
        <v>180</v>
      </c>
      <c r="J2207" t="s">
        <v>15</v>
      </c>
      <c r="L2207" s="1"/>
      <c r="N2207" s="1"/>
      <c r="V2207" t="str">
        <f>"06320"</f>
        <v>06320</v>
      </c>
      <c r="W2207">
        <v>0</v>
      </c>
      <c r="X2207">
        <v>0</v>
      </c>
    </row>
    <row r="2208" spans="1:24" ht="15" customHeight="1" x14ac:dyDescent="0.25">
      <c r="A2208" t="str">
        <f>""</f>
        <v/>
      </c>
      <c r="B2208" s="1"/>
      <c r="H2208">
        <v>180</v>
      </c>
      <c r="J2208" t="s">
        <v>23</v>
      </c>
      <c r="L2208" s="1"/>
      <c r="N2208" s="1"/>
      <c r="V2208" t="str">
        <f>"62320"</f>
        <v>62320</v>
      </c>
      <c r="W2208">
        <v>0</v>
      </c>
      <c r="X2208">
        <v>0</v>
      </c>
    </row>
    <row r="2209" spans="1:24" ht="15" customHeight="1" x14ac:dyDescent="0.25">
      <c r="A2209" t="str">
        <f>""</f>
        <v/>
      </c>
      <c r="B2209" s="1"/>
      <c r="H2209">
        <v>151</v>
      </c>
      <c r="J2209" t="s">
        <v>23</v>
      </c>
      <c r="L2209" s="1"/>
      <c r="N2209" s="1"/>
      <c r="V2209" t="str">
        <f t="shared" ref="V2209:V2214" si="8">"06560"</f>
        <v>06560</v>
      </c>
      <c r="W2209">
        <v>0</v>
      </c>
      <c r="X2209">
        <v>0</v>
      </c>
    </row>
    <row r="2210" spans="1:24" ht="15" customHeight="1" x14ac:dyDescent="0.25">
      <c r="A2210" t="str">
        <f>""</f>
        <v/>
      </c>
      <c r="B2210" s="1"/>
      <c r="H2210">
        <v>151</v>
      </c>
      <c r="J2210" t="s">
        <v>22</v>
      </c>
      <c r="L2210" s="1"/>
      <c r="N2210" s="1"/>
      <c r="V2210" t="str">
        <f t="shared" si="8"/>
        <v>06560</v>
      </c>
      <c r="W2210">
        <v>0</v>
      </c>
      <c r="X2210">
        <v>0</v>
      </c>
    </row>
    <row r="2211" spans="1:24" ht="15" customHeight="1" x14ac:dyDescent="0.25">
      <c r="A2211" t="str">
        <f>""</f>
        <v/>
      </c>
      <c r="B2211" s="1"/>
      <c r="H2211">
        <v>151</v>
      </c>
      <c r="J2211" t="s">
        <v>22</v>
      </c>
      <c r="L2211" s="1"/>
      <c r="N2211" s="1"/>
      <c r="V2211" t="str">
        <f t="shared" si="8"/>
        <v>06560</v>
      </c>
      <c r="W2211">
        <v>0</v>
      </c>
      <c r="X2211">
        <v>0</v>
      </c>
    </row>
    <row r="2212" spans="1:24" ht="15" customHeight="1" x14ac:dyDescent="0.25">
      <c r="A2212" t="str">
        <f>""</f>
        <v/>
      </c>
      <c r="B2212" s="1"/>
      <c r="H2212">
        <v>151</v>
      </c>
      <c r="J2212" t="s">
        <v>22</v>
      </c>
      <c r="L2212" s="1"/>
      <c r="N2212" s="1"/>
      <c r="V2212" t="str">
        <f t="shared" si="8"/>
        <v>06560</v>
      </c>
      <c r="W2212">
        <v>0</v>
      </c>
      <c r="X2212">
        <v>0</v>
      </c>
    </row>
    <row r="2213" spans="1:24" ht="15" customHeight="1" x14ac:dyDescent="0.25">
      <c r="A2213" t="str">
        <f>""</f>
        <v/>
      </c>
      <c r="B2213" s="1"/>
      <c r="H2213">
        <v>151</v>
      </c>
      <c r="J2213" t="s">
        <v>22</v>
      </c>
      <c r="L2213" s="1"/>
      <c r="N2213" s="1"/>
      <c r="V2213" t="str">
        <f t="shared" si="8"/>
        <v>06560</v>
      </c>
      <c r="W2213">
        <v>0</v>
      </c>
      <c r="X2213">
        <v>0</v>
      </c>
    </row>
    <row r="2214" spans="1:24" ht="15" customHeight="1" x14ac:dyDescent="0.25">
      <c r="A2214" t="str">
        <f>""</f>
        <v/>
      </c>
      <c r="B2214" s="1"/>
      <c r="H2214">
        <v>151</v>
      </c>
      <c r="J2214" t="s">
        <v>22</v>
      </c>
      <c r="L2214" s="1"/>
      <c r="N2214" s="1"/>
      <c r="V2214" t="str">
        <f t="shared" si="8"/>
        <v>06560</v>
      </c>
      <c r="W2214">
        <v>0</v>
      </c>
      <c r="X2214">
        <v>0</v>
      </c>
    </row>
    <row r="2215" spans="1:24" ht="15" customHeight="1" x14ac:dyDescent="0.25">
      <c r="A2215" t="str">
        <f>""</f>
        <v/>
      </c>
      <c r="B2215" s="1"/>
      <c r="H2215">
        <v>40</v>
      </c>
      <c r="J2215" t="s">
        <v>23</v>
      </c>
      <c r="L2215" s="1"/>
      <c r="N2215" s="1"/>
      <c r="V2215" t="str">
        <f>"69280"</f>
        <v>69280</v>
      </c>
      <c r="W2215">
        <v>0</v>
      </c>
      <c r="X2215">
        <v>0</v>
      </c>
    </row>
    <row r="2216" spans="1:24" ht="15" customHeight="1" x14ac:dyDescent="0.25">
      <c r="A2216" t="str">
        <f>""</f>
        <v/>
      </c>
      <c r="B2216" s="1"/>
      <c r="H2216">
        <v>58.2</v>
      </c>
      <c r="J2216" t="s">
        <v>22</v>
      </c>
      <c r="L2216" s="1"/>
      <c r="N2216" s="1"/>
      <c r="V2216" t="str">
        <f>"75014"</f>
        <v>75014</v>
      </c>
      <c r="W2216">
        <v>0</v>
      </c>
      <c r="X2216">
        <v>0</v>
      </c>
    </row>
    <row r="2217" spans="1:24" ht="15" customHeight="1" x14ac:dyDescent="0.25">
      <c r="A2217" t="str">
        <f>""</f>
        <v/>
      </c>
      <c r="B2217" s="1"/>
      <c r="H2217">
        <v>184.42</v>
      </c>
      <c r="J2217" t="s">
        <v>19</v>
      </c>
      <c r="L2217" s="1"/>
      <c r="N2217" s="1"/>
      <c r="V2217" t="str">
        <f>"72000"</f>
        <v>72000</v>
      </c>
      <c r="W2217">
        <v>38.729999999999997</v>
      </c>
      <c r="X2217">
        <v>0</v>
      </c>
    </row>
    <row r="2218" spans="1:24" ht="15" customHeight="1" x14ac:dyDescent="0.25">
      <c r="A2218" t="str">
        <f>""</f>
        <v/>
      </c>
      <c r="B2218" s="1"/>
      <c r="H2218">
        <v>84.5</v>
      </c>
      <c r="L2218" s="1"/>
      <c r="N2218" s="1"/>
      <c r="V2218" t="str">
        <f>"77184"</f>
        <v>77184</v>
      </c>
      <c r="W2218">
        <v>0</v>
      </c>
      <c r="X2218">
        <v>0</v>
      </c>
    </row>
    <row r="2219" spans="1:24" ht="15" customHeight="1" x14ac:dyDescent="0.25">
      <c r="A2219" t="str">
        <f>""</f>
        <v/>
      </c>
      <c r="B2219" s="1"/>
      <c r="H2219">
        <v>174.26</v>
      </c>
      <c r="J2219" t="s">
        <v>19</v>
      </c>
      <c r="L2219" s="1"/>
      <c r="N2219" s="1"/>
      <c r="V2219" t="str">
        <f>"75008"</f>
        <v>75008</v>
      </c>
      <c r="W2219">
        <v>0</v>
      </c>
      <c r="X2219">
        <v>0</v>
      </c>
    </row>
    <row r="2220" spans="1:24" ht="15" customHeight="1" x14ac:dyDescent="0.25">
      <c r="A2220" t="str">
        <f>""</f>
        <v/>
      </c>
      <c r="B2220" s="1"/>
      <c r="H2220">
        <v>48</v>
      </c>
      <c r="J2220" t="s">
        <v>20</v>
      </c>
      <c r="L2220" s="1"/>
      <c r="N2220" s="1"/>
      <c r="V2220" t="str">
        <f>"05000"</f>
        <v>05000</v>
      </c>
      <c r="W2220">
        <v>13.92</v>
      </c>
      <c r="X2220">
        <v>0</v>
      </c>
    </row>
    <row r="2221" spans="1:24" ht="15" customHeight="1" x14ac:dyDescent="0.25">
      <c r="A2221" t="str">
        <f>""</f>
        <v/>
      </c>
      <c r="B2221" s="1"/>
      <c r="H2221">
        <v>137.05000000000001</v>
      </c>
      <c r="J2221" t="s">
        <v>22</v>
      </c>
      <c r="L2221" s="1"/>
      <c r="N2221" s="1"/>
      <c r="V2221" t="str">
        <f>"13115"</f>
        <v>13115</v>
      </c>
      <c r="W2221">
        <v>0</v>
      </c>
      <c r="X2221">
        <v>26.04</v>
      </c>
    </row>
    <row r="2222" spans="1:24" ht="15" customHeight="1" x14ac:dyDescent="0.25">
      <c r="A2222" t="str">
        <f>""</f>
        <v/>
      </c>
      <c r="B2222" s="1"/>
      <c r="H2222">
        <v>55.34</v>
      </c>
      <c r="J2222" t="s">
        <v>20</v>
      </c>
      <c r="L2222" s="1"/>
      <c r="N2222" s="1"/>
      <c r="V2222" t="str">
        <f>"94410"</f>
        <v>94410</v>
      </c>
      <c r="W2222">
        <v>0</v>
      </c>
      <c r="X2222">
        <v>0</v>
      </c>
    </row>
    <row r="2223" spans="1:24" ht="15" customHeight="1" x14ac:dyDescent="0.25">
      <c r="A2223" t="str">
        <f>""</f>
        <v/>
      </c>
      <c r="B2223" s="1"/>
      <c r="H2223">
        <v>201.98</v>
      </c>
      <c r="J2223" t="s">
        <v>22</v>
      </c>
      <c r="L2223" s="1"/>
      <c r="N2223" s="1"/>
      <c r="V2223" t="str">
        <f>"68390"</f>
        <v>68390</v>
      </c>
      <c r="W2223">
        <v>0</v>
      </c>
      <c r="X2223">
        <v>16.16</v>
      </c>
    </row>
    <row r="2224" spans="1:24" ht="15" customHeight="1" x14ac:dyDescent="0.25">
      <c r="A2224" t="str">
        <f>""</f>
        <v/>
      </c>
      <c r="B2224" s="1"/>
      <c r="H2224">
        <v>55.36</v>
      </c>
      <c r="J2224" t="s">
        <v>20</v>
      </c>
      <c r="L2224" s="1"/>
      <c r="N2224" s="1"/>
      <c r="V2224" t="str">
        <f>"38300"</f>
        <v>38300</v>
      </c>
      <c r="W2224">
        <v>14.95</v>
      </c>
      <c r="X2224">
        <v>0</v>
      </c>
    </row>
    <row r="2225" spans="1:24" ht="15" customHeight="1" x14ac:dyDescent="0.25">
      <c r="A2225" t="str">
        <f>""</f>
        <v/>
      </c>
      <c r="B2225" s="1"/>
      <c r="H2225">
        <v>151</v>
      </c>
      <c r="J2225" t="s">
        <v>23</v>
      </c>
      <c r="L2225" s="1"/>
      <c r="N2225" s="1"/>
      <c r="V2225" t="str">
        <f>"33300"</f>
        <v>33300</v>
      </c>
      <c r="W2225">
        <v>0</v>
      </c>
      <c r="X2225">
        <v>25.67</v>
      </c>
    </row>
    <row r="2226" spans="1:24" ht="15" customHeight="1" x14ac:dyDescent="0.25">
      <c r="A2226" t="str">
        <f>""</f>
        <v/>
      </c>
      <c r="B2226" s="1"/>
      <c r="H2226">
        <v>150</v>
      </c>
      <c r="J2226" t="s">
        <v>22</v>
      </c>
      <c r="L2226" s="1"/>
      <c r="N2226" s="1"/>
      <c r="V2226" t="str">
        <f>"26000"</f>
        <v>26000</v>
      </c>
      <c r="W2226">
        <v>0</v>
      </c>
      <c r="X2226">
        <v>0</v>
      </c>
    </row>
    <row r="2227" spans="1:24" ht="15" customHeight="1" x14ac:dyDescent="0.25">
      <c r="A2227" t="str">
        <f>""</f>
        <v/>
      </c>
      <c r="B2227" s="1"/>
      <c r="H2227">
        <v>84.5</v>
      </c>
      <c r="L2227" s="1"/>
      <c r="N2227" s="1"/>
      <c r="V2227" t="str">
        <f>"77184"</f>
        <v>77184</v>
      </c>
      <c r="W2227">
        <v>0</v>
      </c>
      <c r="X2227">
        <v>0</v>
      </c>
    </row>
    <row r="2228" spans="1:24" x14ac:dyDescent="0.25">
      <c r="A2228" t="str">
        <f>""</f>
        <v/>
      </c>
      <c r="B2228" s="1"/>
      <c r="H2228">
        <v>75.69</v>
      </c>
      <c r="J2228" t="s">
        <v>18</v>
      </c>
      <c r="L2228" s="1"/>
      <c r="N2228" s="1"/>
      <c r="V2228" t="str">
        <f>"91090"</f>
        <v>91090</v>
      </c>
      <c r="W2228">
        <v>0</v>
      </c>
      <c r="X2228">
        <v>0</v>
      </c>
    </row>
    <row r="2229" spans="1:24" ht="15" customHeight="1" x14ac:dyDescent="0.25">
      <c r="A2229" t="str">
        <f>""</f>
        <v/>
      </c>
      <c r="B2229" s="1"/>
      <c r="H2229">
        <v>140</v>
      </c>
      <c r="J2229" t="s">
        <v>23</v>
      </c>
      <c r="L2229" s="1"/>
      <c r="N2229" s="1"/>
      <c r="V2229" t="str">
        <f>"69001"</f>
        <v>69001</v>
      </c>
      <c r="W2229">
        <v>0</v>
      </c>
      <c r="X2229">
        <v>0</v>
      </c>
    </row>
    <row r="2230" spans="1:24" ht="15" customHeight="1" x14ac:dyDescent="0.25">
      <c r="A2230" t="str">
        <f>""</f>
        <v/>
      </c>
      <c r="B2230" s="1"/>
      <c r="H2230">
        <v>151</v>
      </c>
      <c r="J2230" t="s">
        <v>23</v>
      </c>
      <c r="L2230" s="1"/>
      <c r="N2230" s="1"/>
      <c r="V2230" t="str">
        <f>"80000"</f>
        <v>80000</v>
      </c>
      <c r="W2230">
        <v>0</v>
      </c>
      <c r="X2230">
        <v>0</v>
      </c>
    </row>
    <row r="2231" spans="1:24" ht="15" customHeight="1" x14ac:dyDescent="0.25">
      <c r="A2231" t="str">
        <f>""</f>
        <v/>
      </c>
      <c r="B2231" s="1"/>
      <c r="H2231">
        <v>28.62</v>
      </c>
      <c r="J2231" t="s">
        <v>20</v>
      </c>
      <c r="L2231" s="1"/>
      <c r="N2231" s="1"/>
      <c r="V2231" t="str">
        <f>"69110"</f>
        <v>69110</v>
      </c>
      <c r="W2231">
        <v>7.73</v>
      </c>
      <c r="X2231">
        <v>0</v>
      </c>
    </row>
    <row r="2232" spans="1:24" ht="15" customHeight="1" x14ac:dyDescent="0.25">
      <c r="A2232" t="str">
        <f>""</f>
        <v/>
      </c>
      <c r="B2232" s="1"/>
      <c r="H2232">
        <v>60</v>
      </c>
      <c r="L2232" s="1"/>
      <c r="N2232" s="1"/>
      <c r="V2232" t="str">
        <f>"44240"</f>
        <v>44240</v>
      </c>
      <c r="W2232">
        <v>0</v>
      </c>
      <c r="X2232">
        <v>0</v>
      </c>
    </row>
    <row r="2233" spans="1:24" ht="15" customHeight="1" x14ac:dyDescent="0.25">
      <c r="A2233" t="str">
        <f>""</f>
        <v/>
      </c>
      <c r="B2233" s="1"/>
      <c r="H2233">
        <v>60</v>
      </c>
      <c r="L2233" s="1"/>
      <c r="N2233" s="1"/>
      <c r="V2233" t="str">
        <f>"44240"</f>
        <v>44240</v>
      </c>
      <c r="W2233">
        <v>0</v>
      </c>
      <c r="X2233">
        <v>0</v>
      </c>
    </row>
    <row r="2234" spans="1:24" ht="15" customHeight="1" x14ac:dyDescent="0.25">
      <c r="A2234" t="str">
        <f>""</f>
        <v/>
      </c>
      <c r="B2234" s="1"/>
      <c r="H2234">
        <v>34</v>
      </c>
      <c r="L2234" s="1"/>
      <c r="N2234" s="1"/>
      <c r="V2234" t="str">
        <f>"44240"</f>
        <v>44240</v>
      </c>
      <c r="W2234">
        <v>0</v>
      </c>
      <c r="X2234">
        <v>0</v>
      </c>
    </row>
    <row r="2235" spans="1:24" ht="15" customHeight="1" x14ac:dyDescent="0.25">
      <c r="A2235" t="str">
        <f>""</f>
        <v/>
      </c>
      <c r="B2235" s="1"/>
      <c r="H2235">
        <v>31</v>
      </c>
      <c r="L2235" s="1"/>
      <c r="N2235" s="1"/>
      <c r="V2235" t="str">
        <f>"77184"</f>
        <v>77184</v>
      </c>
      <c r="W2235">
        <v>0</v>
      </c>
      <c r="X2235">
        <v>0</v>
      </c>
    </row>
    <row r="2236" spans="1:24" ht="15" customHeight="1" x14ac:dyDescent="0.25">
      <c r="A2236" t="str">
        <f>""</f>
        <v/>
      </c>
      <c r="B2236" s="1"/>
      <c r="H2236">
        <v>37.19</v>
      </c>
      <c r="L2236" s="1"/>
      <c r="N2236" s="1"/>
      <c r="V2236" t="str">
        <f>"77184"</f>
        <v>77184</v>
      </c>
      <c r="W2236">
        <v>0</v>
      </c>
      <c r="X2236">
        <v>0</v>
      </c>
    </row>
    <row r="2237" spans="1:24" ht="15" customHeight="1" x14ac:dyDescent="0.25">
      <c r="A2237" t="str">
        <f>""</f>
        <v/>
      </c>
      <c r="B2237" s="1"/>
      <c r="H2237">
        <v>57</v>
      </c>
      <c r="L2237" s="1"/>
      <c r="N2237" s="1"/>
      <c r="V2237" t="str">
        <f>"77184"</f>
        <v>77184</v>
      </c>
      <c r="W2237">
        <v>0</v>
      </c>
      <c r="X2237">
        <v>0</v>
      </c>
    </row>
    <row r="2238" spans="1:24" ht="15" customHeight="1" x14ac:dyDescent="0.25">
      <c r="A2238" t="str">
        <f>""</f>
        <v/>
      </c>
      <c r="B2238" s="1"/>
      <c r="H2238">
        <v>186</v>
      </c>
      <c r="J2238" t="s">
        <v>20</v>
      </c>
      <c r="L2238" s="1"/>
      <c r="N2238" s="1"/>
      <c r="V2238" t="str">
        <f>"44200"</f>
        <v>44200</v>
      </c>
      <c r="W2238">
        <v>50.22</v>
      </c>
      <c r="X2238">
        <v>0</v>
      </c>
    </row>
    <row r="2239" spans="1:24" ht="15" customHeight="1" x14ac:dyDescent="0.25">
      <c r="A2239" t="str">
        <f>""</f>
        <v/>
      </c>
      <c r="B2239" s="1"/>
      <c r="H2239">
        <v>84.5</v>
      </c>
      <c r="L2239" s="1"/>
      <c r="N2239" s="1"/>
      <c r="V2239" t="str">
        <f>"77184"</f>
        <v>77184</v>
      </c>
      <c r="W2239">
        <v>0</v>
      </c>
      <c r="X2239">
        <v>0</v>
      </c>
    </row>
    <row r="2240" spans="1:24" ht="15" customHeight="1" x14ac:dyDescent="0.25">
      <c r="A2240" t="str">
        <f>""</f>
        <v/>
      </c>
      <c r="B2240" s="1"/>
      <c r="H2240">
        <v>84.5</v>
      </c>
      <c r="L2240" s="1"/>
      <c r="N2240" s="1"/>
      <c r="V2240" t="str">
        <f>"77184"</f>
        <v>77184</v>
      </c>
      <c r="W2240">
        <v>0</v>
      </c>
      <c r="X2240">
        <v>0</v>
      </c>
    </row>
    <row r="2241" spans="1:24" ht="15" customHeight="1" x14ac:dyDescent="0.25">
      <c r="A2241" t="str">
        <f>""</f>
        <v/>
      </c>
      <c r="B2241" s="1"/>
      <c r="H2241">
        <v>140</v>
      </c>
      <c r="J2241" t="s">
        <v>23</v>
      </c>
      <c r="L2241" s="1"/>
      <c r="N2241" s="1"/>
      <c r="V2241" t="str">
        <f>"29690"</f>
        <v>29690</v>
      </c>
      <c r="W2241">
        <v>0</v>
      </c>
      <c r="X2241">
        <v>0</v>
      </c>
    </row>
    <row r="2242" spans="1:24" ht="15" customHeight="1" x14ac:dyDescent="0.25">
      <c r="A2242" t="str">
        <f>""</f>
        <v/>
      </c>
      <c r="B2242" s="1"/>
      <c r="H2242">
        <v>140</v>
      </c>
      <c r="J2242" t="s">
        <v>23</v>
      </c>
      <c r="L2242" s="1"/>
      <c r="N2242" s="1"/>
      <c r="V2242" t="str">
        <f>"13014"</f>
        <v>13014</v>
      </c>
      <c r="W2242">
        <v>0</v>
      </c>
      <c r="X2242">
        <v>26.6</v>
      </c>
    </row>
    <row r="2243" spans="1:24" ht="15" customHeight="1" x14ac:dyDescent="0.25">
      <c r="A2243" t="str">
        <f>""</f>
        <v/>
      </c>
      <c r="B2243" s="1"/>
      <c r="H2243">
        <v>105</v>
      </c>
      <c r="L2243" s="1"/>
      <c r="N2243" s="1"/>
      <c r="V2243" t="str">
        <f>"77184"</f>
        <v>77184</v>
      </c>
      <c r="W2243">
        <v>0</v>
      </c>
      <c r="X2243">
        <v>0</v>
      </c>
    </row>
    <row r="2244" spans="1:24" ht="15" customHeight="1" x14ac:dyDescent="0.25">
      <c r="A2244" t="str">
        <f>""</f>
        <v/>
      </c>
      <c r="B2244" s="1"/>
      <c r="H2244">
        <v>22</v>
      </c>
      <c r="L2244" s="1"/>
      <c r="N2244" s="1"/>
      <c r="V2244" t="str">
        <f>"77184"</f>
        <v>77184</v>
      </c>
      <c r="W2244">
        <v>0</v>
      </c>
      <c r="X2244">
        <v>0</v>
      </c>
    </row>
    <row r="2245" spans="1:24" ht="15" customHeight="1" x14ac:dyDescent="0.25">
      <c r="A2245" t="str">
        <f>""</f>
        <v/>
      </c>
      <c r="B2245" s="1"/>
      <c r="H2245">
        <v>84.5</v>
      </c>
      <c r="J2245" t="s">
        <v>23</v>
      </c>
      <c r="L2245" s="1"/>
      <c r="N2245" s="1"/>
      <c r="V2245" t="str">
        <f>"69800"</f>
        <v>69800</v>
      </c>
      <c r="W2245">
        <v>0</v>
      </c>
      <c r="X2245">
        <v>0</v>
      </c>
    </row>
    <row r="2246" spans="1:24" ht="15" customHeight="1" x14ac:dyDescent="0.25">
      <c r="A2246" t="str">
        <f>""</f>
        <v/>
      </c>
      <c r="B2246" s="1"/>
      <c r="H2246">
        <v>151</v>
      </c>
      <c r="J2246" t="s">
        <v>23</v>
      </c>
      <c r="L2246" s="1"/>
      <c r="V2246" t="str">
        <f>"25600"</f>
        <v>25600</v>
      </c>
      <c r="W2246">
        <v>0</v>
      </c>
      <c r="X2246">
        <v>0</v>
      </c>
    </row>
    <row r="2247" spans="1:24" ht="15" customHeight="1" x14ac:dyDescent="0.25">
      <c r="A2247" t="str">
        <f>""</f>
        <v/>
      </c>
      <c r="B2247" s="1"/>
      <c r="H2247">
        <v>138.12</v>
      </c>
      <c r="J2247" t="s">
        <v>20</v>
      </c>
      <c r="L2247" s="1"/>
      <c r="N2247" s="1"/>
      <c r="V2247" t="str">
        <f>"45400"</f>
        <v>45400</v>
      </c>
      <c r="W2247">
        <v>29.01</v>
      </c>
      <c r="X2247">
        <v>0</v>
      </c>
    </row>
    <row r="2248" spans="1:24" ht="15" customHeight="1" x14ac:dyDescent="0.25">
      <c r="A2248" t="str">
        <f>""</f>
        <v/>
      </c>
      <c r="B2248" s="1"/>
      <c r="H2248">
        <v>32.450000000000003</v>
      </c>
      <c r="J2248" t="s">
        <v>19</v>
      </c>
      <c r="L2248" s="1"/>
      <c r="N2248" s="1"/>
      <c r="V2248" t="str">
        <f>"06560"</f>
        <v>06560</v>
      </c>
      <c r="W2248">
        <v>9.74</v>
      </c>
      <c r="X2248">
        <v>0</v>
      </c>
    </row>
    <row r="2249" spans="1:24" ht="15" customHeight="1" x14ac:dyDescent="0.25">
      <c r="A2249" t="str">
        <f>""</f>
        <v/>
      </c>
      <c r="B2249" s="1"/>
      <c r="H2249">
        <v>143.44999999999999</v>
      </c>
      <c r="J2249" t="s">
        <v>20</v>
      </c>
      <c r="L2249" s="1"/>
      <c r="N2249" s="1"/>
      <c r="V2249" t="str">
        <f>"34500"</f>
        <v>34500</v>
      </c>
      <c r="W2249">
        <v>55.95</v>
      </c>
      <c r="X2249">
        <v>0</v>
      </c>
    </row>
    <row r="2250" spans="1:24" ht="15" customHeight="1" x14ac:dyDescent="0.25">
      <c r="A2250" t="str">
        <f>""</f>
        <v/>
      </c>
      <c r="B2250" s="1"/>
      <c r="H2250">
        <v>86.34</v>
      </c>
      <c r="J2250" t="s">
        <v>20</v>
      </c>
      <c r="L2250" s="1"/>
      <c r="N2250" s="1"/>
      <c r="V2250" t="str">
        <f>"01220"</f>
        <v>01220</v>
      </c>
      <c r="W2250">
        <v>23.31</v>
      </c>
      <c r="X2250">
        <v>0</v>
      </c>
    </row>
    <row r="2251" spans="1:24" ht="15" customHeight="1" x14ac:dyDescent="0.25">
      <c r="A2251" t="str">
        <f>""</f>
        <v/>
      </c>
      <c r="B2251" s="1"/>
      <c r="H2251">
        <v>137.01</v>
      </c>
      <c r="J2251" t="s">
        <v>20</v>
      </c>
      <c r="L2251" s="1"/>
      <c r="N2251" s="1"/>
      <c r="V2251" t="str">
        <f>"07270"</f>
        <v>07270</v>
      </c>
      <c r="W2251">
        <v>36.99</v>
      </c>
      <c r="X2251">
        <v>0</v>
      </c>
    </row>
    <row r="2252" spans="1:24" ht="15" customHeight="1" x14ac:dyDescent="0.25">
      <c r="A2252" t="str">
        <f>""</f>
        <v/>
      </c>
      <c r="B2252" s="1"/>
      <c r="H2252">
        <v>53.38</v>
      </c>
      <c r="J2252" t="s">
        <v>19</v>
      </c>
      <c r="L2252" s="1"/>
      <c r="N2252" s="1"/>
      <c r="V2252" t="str">
        <f>"75014"</f>
        <v>75014</v>
      </c>
      <c r="W2252">
        <v>0</v>
      </c>
      <c r="X2252">
        <v>0</v>
      </c>
    </row>
    <row r="2253" spans="1:24" x14ac:dyDescent="0.25">
      <c r="A2253" t="str">
        <f>""</f>
        <v/>
      </c>
      <c r="B2253" s="1"/>
      <c r="H2253">
        <v>32</v>
      </c>
      <c r="J2253" t="s">
        <v>18</v>
      </c>
      <c r="L2253" s="1"/>
      <c r="V2253" t="str">
        <f>"51100"</f>
        <v>51100</v>
      </c>
      <c r="W2253">
        <v>0</v>
      </c>
      <c r="X2253">
        <v>0</v>
      </c>
    </row>
    <row r="2254" spans="1:24" ht="15" customHeight="1" x14ac:dyDescent="0.25">
      <c r="A2254" t="str">
        <f>""</f>
        <v/>
      </c>
      <c r="B2254" s="1"/>
      <c r="H2254">
        <v>70</v>
      </c>
      <c r="L2254" s="1"/>
      <c r="N2254" s="1"/>
      <c r="V2254" t="str">
        <f>"77184"</f>
        <v>77184</v>
      </c>
      <c r="W2254">
        <v>0</v>
      </c>
      <c r="X2254">
        <v>0</v>
      </c>
    </row>
    <row r="2255" spans="1:24" ht="15" customHeight="1" x14ac:dyDescent="0.25">
      <c r="A2255" t="str">
        <f>""</f>
        <v/>
      </c>
      <c r="B2255" s="1"/>
      <c r="H2255">
        <v>132.44999999999999</v>
      </c>
      <c r="L2255" s="1"/>
      <c r="N2255" s="1"/>
      <c r="V2255" t="str">
        <f>"77184"</f>
        <v>77184</v>
      </c>
      <c r="W2255">
        <v>0</v>
      </c>
      <c r="X2255">
        <v>0</v>
      </c>
    </row>
    <row r="2256" spans="1:24" ht="15" customHeight="1" x14ac:dyDescent="0.25">
      <c r="A2256" t="str">
        <f>""</f>
        <v/>
      </c>
      <c r="B2256" s="1"/>
      <c r="H2256">
        <v>32.450000000000003</v>
      </c>
      <c r="J2256" t="s">
        <v>19</v>
      </c>
      <c r="L2256" s="1"/>
      <c r="N2256" s="1"/>
      <c r="V2256" t="str">
        <f>"67000"</f>
        <v>67000</v>
      </c>
      <c r="W2256">
        <v>9.41</v>
      </c>
      <c r="X2256">
        <v>0</v>
      </c>
    </row>
    <row r="2257" spans="1:24" ht="15" customHeight="1" x14ac:dyDescent="0.25">
      <c r="A2257" t="str">
        <f>""</f>
        <v/>
      </c>
      <c r="B2257" s="1"/>
      <c r="H2257">
        <v>19.649999999999999</v>
      </c>
      <c r="J2257" t="s">
        <v>19</v>
      </c>
      <c r="L2257" s="1"/>
      <c r="N2257" s="1"/>
      <c r="V2257" t="str">
        <f>"75014"</f>
        <v>75014</v>
      </c>
      <c r="W2257">
        <v>0</v>
      </c>
      <c r="X2257">
        <v>0</v>
      </c>
    </row>
    <row r="2258" spans="1:24" ht="15" customHeight="1" x14ac:dyDescent="0.25">
      <c r="A2258" t="str">
        <f>""</f>
        <v/>
      </c>
      <c r="B2258" s="1"/>
      <c r="H2258">
        <v>19.649999999999999</v>
      </c>
      <c r="J2258" t="s">
        <v>19</v>
      </c>
      <c r="L2258" s="1"/>
      <c r="N2258" s="1"/>
      <c r="V2258" t="str">
        <f>"75014"</f>
        <v>75014</v>
      </c>
      <c r="W2258">
        <v>0</v>
      </c>
      <c r="X2258">
        <v>0</v>
      </c>
    </row>
    <row r="2259" spans="1:24" ht="15" customHeight="1" x14ac:dyDescent="0.25">
      <c r="A2259" t="str">
        <f>""</f>
        <v/>
      </c>
      <c r="B2259" s="1"/>
      <c r="H2259">
        <v>19.649999999999999</v>
      </c>
      <c r="J2259" t="s">
        <v>19</v>
      </c>
      <c r="L2259" s="1"/>
      <c r="N2259" s="1"/>
      <c r="V2259" t="str">
        <f>"75014"</f>
        <v>75014</v>
      </c>
      <c r="W2259">
        <v>0</v>
      </c>
      <c r="X2259">
        <v>0</v>
      </c>
    </row>
    <row r="2260" spans="1:24" ht="15" customHeight="1" x14ac:dyDescent="0.25">
      <c r="A2260" t="str">
        <f>""</f>
        <v/>
      </c>
      <c r="B2260" s="1"/>
      <c r="H2260">
        <v>138.12</v>
      </c>
      <c r="J2260" t="s">
        <v>20</v>
      </c>
      <c r="L2260" s="1"/>
      <c r="N2260" s="1"/>
      <c r="V2260" t="str">
        <f>"66000"</f>
        <v>66000</v>
      </c>
      <c r="W2260">
        <v>53.87</v>
      </c>
      <c r="X2260">
        <v>0</v>
      </c>
    </row>
    <row r="2261" spans="1:24" ht="15" customHeight="1" x14ac:dyDescent="0.25">
      <c r="A2261" t="str">
        <f>""</f>
        <v/>
      </c>
      <c r="B2261" s="1"/>
      <c r="H2261">
        <v>127.8</v>
      </c>
      <c r="J2261" t="s">
        <v>20</v>
      </c>
      <c r="L2261" s="1"/>
      <c r="N2261" s="1"/>
      <c r="V2261" t="str">
        <f>"69002"</f>
        <v>69002</v>
      </c>
      <c r="W2261">
        <v>34.51</v>
      </c>
      <c r="X2261">
        <v>0</v>
      </c>
    </row>
    <row r="2262" spans="1:24" ht="15" customHeight="1" x14ac:dyDescent="0.25">
      <c r="A2262" t="str">
        <f>""</f>
        <v/>
      </c>
      <c r="B2262" s="1"/>
      <c r="H2262">
        <v>143.57</v>
      </c>
      <c r="J2262" t="s">
        <v>19</v>
      </c>
      <c r="L2262" s="1"/>
      <c r="N2262" s="1"/>
      <c r="V2262" t="str">
        <f>"14000"</f>
        <v>14000</v>
      </c>
      <c r="W2262">
        <v>24.41</v>
      </c>
      <c r="X2262">
        <v>0</v>
      </c>
    </row>
    <row r="2263" spans="1:24" ht="15" customHeight="1" x14ac:dyDescent="0.25">
      <c r="A2263" t="str">
        <f>""</f>
        <v/>
      </c>
      <c r="B2263" s="1"/>
      <c r="H2263">
        <v>72.400000000000006</v>
      </c>
      <c r="L2263" s="1"/>
      <c r="N2263" s="1"/>
      <c r="V2263" t="str">
        <f>"77184"</f>
        <v>77184</v>
      </c>
      <c r="W2263">
        <v>0</v>
      </c>
      <c r="X2263">
        <v>0</v>
      </c>
    </row>
    <row r="2264" spans="1:24" ht="15" customHeight="1" x14ac:dyDescent="0.25">
      <c r="A2264" t="str">
        <f>""</f>
        <v/>
      </c>
      <c r="B2264" s="1"/>
      <c r="H2264">
        <v>134.18</v>
      </c>
      <c r="L2264" s="1"/>
      <c r="N2264" s="1"/>
      <c r="V2264" t="str">
        <f>"77184"</f>
        <v>77184</v>
      </c>
      <c r="W2264">
        <v>0</v>
      </c>
      <c r="X2264">
        <v>0</v>
      </c>
    </row>
    <row r="2265" spans="1:24" ht="15" customHeight="1" x14ac:dyDescent="0.25">
      <c r="A2265" t="str">
        <f>""</f>
        <v/>
      </c>
      <c r="B2265" s="1"/>
      <c r="H2265">
        <v>40</v>
      </c>
      <c r="J2265" t="s">
        <v>19</v>
      </c>
      <c r="L2265" s="1"/>
      <c r="N2265" s="1"/>
      <c r="V2265" t="str">
        <f>"59270"</f>
        <v>59270</v>
      </c>
      <c r="W2265">
        <v>7.6</v>
      </c>
      <c r="X2265">
        <v>0</v>
      </c>
    </row>
    <row r="2266" spans="1:24" ht="15" customHeight="1" x14ac:dyDescent="0.25">
      <c r="A2266" t="str">
        <f>""</f>
        <v/>
      </c>
      <c r="B2266" s="1"/>
      <c r="H2266">
        <v>137.59</v>
      </c>
      <c r="J2266" t="s">
        <v>20</v>
      </c>
      <c r="L2266" s="1"/>
      <c r="N2266" s="1"/>
      <c r="V2266" t="str">
        <f>"94550"</f>
        <v>94550</v>
      </c>
      <c r="W2266">
        <v>0</v>
      </c>
      <c r="X2266">
        <v>0</v>
      </c>
    </row>
    <row r="2267" spans="1:24" ht="15" customHeight="1" x14ac:dyDescent="0.25">
      <c r="A2267" t="str">
        <f>""</f>
        <v/>
      </c>
      <c r="B2267" s="1"/>
      <c r="H2267">
        <v>33.35</v>
      </c>
      <c r="J2267" t="s">
        <v>19</v>
      </c>
      <c r="L2267" s="1"/>
      <c r="N2267" s="1"/>
      <c r="V2267" t="str">
        <f>"60100"</f>
        <v>60100</v>
      </c>
      <c r="W2267">
        <v>6.34</v>
      </c>
      <c r="X2267">
        <v>0</v>
      </c>
    </row>
    <row r="2268" spans="1:24" ht="15" customHeight="1" x14ac:dyDescent="0.25">
      <c r="A2268" t="str">
        <f>""</f>
        <v/>
      </c>
      <c r="B2268" s="1"/>
      <c r="H2268">
        <v>22.62</v>
      </c>
      <c r="J2268" t="s">
        <v>19</v>
      </c>
      <c r="L2268" s="1"/>
      <c r="N2268" s="1"/>
      <c r="V2268" t="str">
        <f>"52800"</f>
        <v>52800</v>
      </c>
      <c r="W2268">
        <v>5.43</v>
      </c>
      <c r="X2268">
        <v>0</v>
      </c>
    </row>
    <row r="2269" spans="1:24" ht="15" customHeight="1" x14ac:dyDescent="0.25">
      <c r="A2269" t="str">
        <f>""</f>
        <v/>
      </c>
      <c r="B2269" s="1"/>
      <c r="H2269">
        <v>132.01</v>
      </c>
      <c r="J2269" t="s">
        <v>19</v>
      </c>
      <c r="L2269" s="1"/>
      <c r="N2269" s="1"/>
      <c r="V2269" t="str">
        <f>"34980"</f>
        <v>34980</v>
      </c>
      <c r="W2269">
        <v>51.48</v>
      </c>
      <c r="X2269">
        <v>0</v>
      </c>
    </row>
    <row r="2270" spans="1:24" ht="15" customHeight="1" x14ac:dyDescent="0.25">
      <c r="A2270" t="str">
        <f>""</f>
        <v/>
      </c>
      <c r="B2270" s="1"/>
      <c r="H2270">
        <v>151</v>
      </c>
      <c r="J2270" t="s">
        <v>20</v>
      </c>
      <c r="L2270" s="1"/>
      <c r="N2270" s="1"/>
      <c r="V2270" t="str">
        <f>"44140"</f>
        <v>44140</v>
      </c>
      <c r="W2270">
        <v>40.770000000000003</v>
      </c>
      <c r="X2270">
        <v>0</v>
      </c>
    </row>
    <row r="2271" spans="1:24" ht="15" customHeight="1" x14ac:dyDescent="0.25">
      <c r="A2271" t="str">
        <f>""</f>
        <v/>
      </c>
      <c r="B2271" s="1"/>
      <c r="H2271">
        <v>32.65</v>
      </c>
      <c r="L2271" s="1"/>
      <c r="N2271" s="1"/>
      <c r="V2271" t="str">
        <f>"77184"</f>
        <v>77184</v>
      </c>
      <c r="W2271">
        <v>0</v>
      </c>
      <c r="X2271">
        <v>0</v>
      </c>
    </row>
    <row r="2272" spans="1:24" ht="15" customHeight="1" x14ac:dyDescent="0.25">
      <c r="A2272" t="str">
        <f>""</f>
        <v/>
      </c>
      <c r="B2272" s="1"/>
      <c r="H2272">
        <v>194</v>
      </c>
      <c r="L2272" s="1"/>
      <c r="N2272" s="1"/>
      <c r="V2272" t="str">
        <f>"77184"</f>
        <v>77184</v>
      </c>
      <c r="W2272">
        <v>0</v>
      </c>
      <c r="X2272">
        <v>0</v>
      </c>
    </row>
    <row r="2273" spans="1:24" ht="15" customHeight="1" x14ac:dyDescent="0.25">
      <c r="A2273" t="str">
        <f>""</f>
        <v/>
      </c>
      <c r="B2273" s="1"/>
      <c r="H2273">
        <v>31</v>
      </c>
      <c r="L2273" s="1"/>
      <c r="N2273" s="1"/>
      <c r="V2273" t="str">
        <f>"77184"</f>
        <v>77184</v>
      </c>
      <c r="W2273">
        <v>0</v>
      </c>
      <c r="X2273">
        <v>0</v>
      </c>
    </row>
    <row r="2274" spans="1:24" ht="15" customHeight="1" x14ac:dyDescent="0.25">
      <c r="A2274" t="str">
        <f>""</f>
        <v/>
      </c>
      <c r="B2274" s="1"/>
      <c r="H2274">
        <v>130.33000000000001</v>
      </c>
      <c r="J2274" t="s">
        <v>20</v>
      </c>
      <c r="L2274" s="1"/>
      <c r="N2274" s="1"/>
      <c r="V2274" t="str">
        <f>"38113"</f>
        <v>38113</v>
      </c>
      <c r="W2274">
        <v>35.19</v>
      </c>
      <c r="X2274">
        <v>0</v>
      </c>
    </row>
    <row r="2275" spans="1:24" ht="15" customHeight="1" x14ac:dyDescent="0.25">
      <c r="A2275" t="str">
        <f>""</f>
        <v/>
      </c>
      <c r="B2275" s="1"/>
      <c r="H2275">
        <v>40</v>
      </c>
      <c r="J2275" t="s">
        <v>23</v>
      </c>
      <c r="L2275" s="1"/>
      <c r="N2275" s="1"/>
      <c r="V2275" t="str">
        <f>"62740"</f>
        <v>62740</v>
      </c>
      <c r="W2275">
        <v>0</v>
      </c>
      <c r="X2275">
        <v>0</v>
      </c>
    </row>
    <row r="2276" spans="1:24" ht="15" customHeight="1" x14ac:dyDescent="0.25">
      <c r="A2276" t="str">
        <f>""</f>
        <v/>
      </c>
      <c r="B2276" s="1"/>
      <c r="H2276">
        <v>123.37</v>
      </c>
      <c r="J2276" t="s">
        <v>23</v>
      </c>
      <c r="L2276" s="1"/>
      <c r="N2276" s="1"/>
      <c r="V2276" t="str">
        <f>"13290"</f>
        <v>13290</v>
      </c>
      <c r="W2276">
        <v>0</v>
      </c>
      <c r="X2276">
        <v>0</v>
      </c>
    </row>
    <row r="2277" spans="1:24" ht="15" customHeight="1" x14ac:dyDescent="0.25">
      <c r="A2277" t="str">
        <f>""</f>
        <v/>
      </c>
      <c r="B2277" s="1"/>
      <c r="H2277">
        <v>120.85</v>
      </c>
      <c r="J2277" t="s">
        <v>20</v>
      </c>
      <c r="L2277" s="1"/>
      <c r="N2277" s="1"/>
      <c r="V2277" t="str">
        <f>"44300"</f>
        <v>44300</v>
      </c>
      <c r="W2277">
        <v>32.630000000000003</v>
      </c>
      <c r="X2277">
        <v>0</v>
      </c>
    </row>
    <row r="2278" spans="1:24" ht="15" customHeight="1" x14ac:dyDescent="0.25">
      <c r="A2278" t="str">
        <f>""</f>
        <v/>
      </c>
      <c r="B2278" s="1"/>
      <c r="H2278">
        <v>37.19</v>
      </c>
      <c r="J2278" t="s">
        <v>22</v>
      </c>
      <c r="L2278" s="1"/>
      <c r="N2278" s="1"/>
      <c r="V2278" t="str">
        <f>"54000"</f>
        <v>54000</v>
      </c>
      <c r="W2278">
        <v>0</v>
      </c>
      <c r="X2278">
        <v>9.3000000000000007</v>
      </c>
    </row>
    <row r="2279" spans="1:24" ht="15" customHeight="1" x14ac:dyDescent="0.25">
      <c r="A2279" t="str">
        <f>""</f>
        <v/>
      </c>
      <c r="B2279" s="1"/>
      <c r="H2279">
        <v>86.57</v>
      </c>
      <c r="J2279" t="s">
        <v>19</v>
      </c>
      <c r="L2279" s="1"/>
      <c r="N2279" s="1"/>
      <c r="V2279" t="str">
        <f>"29200"</f>
        <v>29200</v>
      </c>
      <c r="W2279">
        <v>33.76</v>
      </c>
      <c r="X2279">
        <v>0</v>
      </c>
    </row>
    <row r="2280" spans="1:24" ht="15" customHeight="1" x14ac:dyDescent="0.25">
      <c r="A2280" t="str">
        <f>""</f>
        <v/>
      </c>
      <c r="B2280" s="1"/>
      <c r="H2280">
        <v>24.2</v>
      </c>
      <c r="J2280" t="s">
        <v>20</v>
      </c>
      <c r="L2280" s="1"/>
      <c r="N2280" s="1"/>
      <c r="V2280" t="str">
        <f>"57160"</f>
        <v>57160</v>
      </c>
      <c r="W2280">
        <v>6.05</v>
      </c>
      <c r="X2280">
        <v>0</v>
      </c>
    </row>
    <row r="2281" spans="1:24" ht="15" customHeight="1" x14ac:dyDescent="0.25">
      <c r="A2281" t="str">
        <f>""</f>
        <v/>
      </c>
      <c r="B2281" s="1"/>
      <c r="H2281">
        <v>100</v>
      </c>
      <c r="J2281" t="s">
        <v>20</v>
      </c>
      <c r="L2281" s="1"/>
      <c r="N2281" s="1"/>
      <c r="V2281" t="str">
        <f>"13010"</f>
        <v>13010</v>
      </c>
      <c r="W2281">
        <v>29</v>
      </c>
      <c r="X2281">
        <v>0</v>
      </c>
    </row>
    <row r="2282" spans="1:24" ht="15" customHeight="1" x14ac:dyDescent="0.25">
      <c r="A2282" t="str">
        <f>""</f>
        <v/>
      </c>
      <c r="B2282" s="1"/>
      <c r="H2282">
        <v>126.65</v>
      </c>
      <c r="J2282" t="s">
        <v>20</v>
      </c>
      <c r="L2282" s="1"/>
      <c r="N2282" s="1"/>
      <c r="V2282" t="str">
        <f>"67230"</f>
        <v>67230</v>
      </c>
      <c r="W2282">
        <v>36.729999999999997</v>
      </c>
      <c r="X2282">
        <v>0</v>
      </c>
    </row>
    <row r="2283" spans="1:24" ht="15" customHeight="1" x14ac:dyDescent="0.25">
      <c r="A2283" t="str">
        <f>""</f>
        <v/>
      </c>
      <c r="B2283" s="1"/>
      <c r="H2283">
        <v>18.350000000000001</v>
      </c>
      <c r="J2283" t="s">
        <v>20</v>
      </c>
      <c r="L2283" s="1"/>
      <c r="N2283" s="1"/>
      <c r="V2283" t="str">
        <f>"14123"</f>
        <v>14123</v>
      </c>
      <c r="W2283">
        <v>3.12</v>
      </c>
      <c r="X2283">
        <v>0</v>
      </c>
    </row>
    <row r="2284" spans="1:24" ht="15" customHeight="1" x14ac:dyDescent="0.25">
      <c r="A2284" t="str">
        <f>""</f>
        <v/>
      </c>
      <c r="B2284" s="1"/>
      <c r="H2284">
        <v>119.94</v>
      </c>
      <c r="J2284" t="s">
        <v>22</v>
      </c>
      <c r="L2284" s="1"/>
      <c r="N2284" s="1"/>
      <c r="V2284" t="str">
        <f>"75010"</f>
        <v>75010</v>
      </c>
      <c r="W2284">
        <v>0</v>
      </c>
      <c r="X2284">
        <v>0</v>
      </c>
    </row>
    <row r="2285" spans="1:24" ht="15" customHeight="1" x14ac:dyDescent="0.25">
      <c r="A2285" t="str">
        <f>""</f>
        <v/>
      </c>
      <c r="B2285" s="1"/>
      <c r="H2285">
        <v>31</v>
      </c>
      <c r="L2285" s="1"/>
      <c r="N2285" s="1"/>
      <c r="V2285" t="str">
        <f>"44240"</f>
        <v>44240</v>
      </c>
      <c r="W2285">
        <v>0</v>
      </c>
      <c r="X2285">
        <v>0</v>
      </c>
    </row>
    <row r="2286" spans="1:24" ht="15" customHeight="1" x14ac:dyDescent="0.25">
      <c r="A2286" t="str">
        <f>""</f>
        <v/>
      </c>
      <c r="B2286" s="1"/>
      <c r="H2286">
        <v>145.63999999999999</v>
      </c>
      <c r="J2286" t="s">
        <v>20</v>
      </c>
      <c r="L2286" s="1"/>
      <c r="N2286" s="1"/>
      <c r="V2286" t="str">
        <f>"19100"</f>
        <v>19100</v>
      </c>
      <c r="W2286">
        <v>42.24</v>
      </c>
      <c r="X2286">
        <v>0</v>
      </c>
    </row>
    <row r="2287" spans="1:24" ht="15" customHeight="1" x14ac:dyDescent="0.25">
      <c r="A2287" t="str">
        <f>""</f>
        <v/>
      </c>
      <c r="B2287" s="1"/>
      <c r="H2287">
        <v>195.01</v>
      </c>
      <c r="J2287" t="s">
        <v>19</v>
      </c>
      <c r="L2287" s="1"/>
      <c r="N2287" s="1"/>
      <c r="V2287" t="str">
        <f>"34000"</f>
        <v>34000</v>
      </c>
      <c r="W2287">
        <v>76.05</v>
      </c>
      <c r="X2287">
        <v>0</v>
      </c>
    </row>
    <row r="2288" spans="1:24" ht="15" customHeight="1" x14ac:dyDescent="0.25">
      <c r="A2288" t="str">
        <f>""</f>
        <v/>
      </c>
      <c r="B2288" s="1"/>
      <c r="H2288">
        <v>40</v>
      </c>
      <c r="J2288" t="s">
        <v>20</v>
      </c>
      <c r="L2288" s="1"/>
      <c r="N2288" s="1"/>
      <c r="V2288" t="str">
        <f>"13009"</f>
        <v>13009</v>
      </c>
      <c r="W2288">
        <v>11.6</v>
      </c>
      <c r="X2288">
        <v>0</v>
      </c>
    </row>
    <row r="2289" spans="1:24" ht="15" customHeight="1" x14ac:dyDescent="0.25">
      <c r="A2289" t="str">
        <f>""</f>
        <v/>
      </c>
      <c r="B2289" s="1"/>
      <c r="H2289">
        <v>154.91999999999999</v>
      </c>
      <c r="J2289" t="s">
        <v>20</v>
      </c>
      <c r="L2289" s="1"/>
      <c r="N2289" s="1"/>
      <c r="V2289" t="str">
        <f>"77600"</f>
        <v>77600</v>
      </c>
      <c r="W2289">
        <v>0</v>
      </c>
      <c r="X2289">
        <v>0</v>
      </c>
    </row>
    <row r="2290" spans="1:24" ht="15" customHeight="1" x14ac:dyDescent="0.25">
      <c r="A2290" t="str">
        <f>""</f>
        <v/>
      </c>
      <c r="B2290" s="1"/>
      <c r="H2290">
        <v>140</v>
      </c>
      <c r="J2290" t="s">
        <v>23</v>
      </c>
      <c r="L2290" s="1"/>
      <c r="N2290" s="1"/>
      <c r="V2290" t="str">
        <f>"38550"</f>
        <v>38550</v>
      </c>
      <c r="W2290">
        <v>0</v>
      </c>
      <c r="X2290">
        <v>0</v>
      </c>
    </row>
    <row r="2291" spans="1:24" ht="15" customHeight="1" x14ac:dyDescent="0.25">
      <c r="A2291" t="str">
        <f>""</f>
        <v/>
      </c>
      <c r="B2291" s="1"/>
      <c r="H2291">
        <v>40</v>
      </c>
      <c r="J2291" t="s">
        <v>22</v>
      </c>
      <c r="L2291" s="1"/>
      <c r="N2291" s="1"/>
      <c r="V2291" t="str">
        <f>"76290"</f>
        <v>76290</v>
      </c>
      <c r="W2291">
        <v>0</v>
      </c>
      <c r="X2291">
        <v>6.8</v>
      </c>
    </row>
    <row r="2292" spans="1:24" ht="15" customHeight="1" x14ac:dyDescent="0.25">
      <c r="A2292" t="str">
        <f>""</f>
        <v/>
      </c>
      <c r="B2292" s="1"/>
      <c r="H2292">
        <v>171</v>
      </c>
      <c r="L2292" s="1"/>
      <c r="N2292" s="1"/>
      <c r="V2292" t="str">
        <f>"77184"</f>
        <v>77184</v>
      </c>
      <c r="W2292">
        <v>0</v>
      </c>
      <c r="X2292">
        <v>0</v>
      </c>
    </row>
    <row r="2293" spans="1:24" ht="15" customHeight="1" x14ac:dyDescent="0.25">
      <c r="A2293" t="str">
        <f>""</f>
        <v/>
      </c>
      <c r="B2293" s="1"/>
      <c r="H2293">
        <v>25.8</v>
      </c>
      <c r="J2293" t="s">
        <v>19</v>
      </c>
      <c r="L2293" s="1"/>
      <c r="N2293" s="1"/>
      <c r="V2293" t="str">
        <f>"60300"</f>
        <v>60300</v>
      </c>
      <c r="W2293">
        <v>4.9000000000000004</v>
      </c>
      <c r="X2293">
        <v>0</v>
      </c>
    </row>
    <row r="2294" spans="1:24" ht="15" customHeight="1" x14ac:dyDescent="0.25">
      <c r="A2294" t="str">
        <f>""</f>
        <v/>
      </c>
      <c r="B2294" s="1"/>
      <c r="H2294">
        <v>19.8</v>
      </c>
      <c r="J2294" t="s">
        <v>20</v>
      </c>
      <c r="L2294" s="1"/>
      <c r="N2294" s="1"/>
      <c r="V2294" t="str">
        <f>"69006"</f>
        <v>69006</v>
      </c>
      <c r="W2294">
        <v>5.35</v>
      </c>
      <c r="X2294">
        <v>0</v>
      </c>
    </row>
    <row r="2295" spans="1:24" ht="15" customHeight="1" x14ac:dyDescent="0.25">
      <c r="A2295" t="str">
        <f>""</f>
        <v/>
      </c>
      <c r="B2295" s="1"/>
      <c r="H2295">
        <v>18.350000000000001</v>
      </c>
      <c r="J2295" t="s">
        <v>19</v>
      </c>
      <c r="L2295" s="1"/>
      <c r="N2295" s="1"/>
      <c r="V2295" t="str">
        <f>"86360"</f>
        <v>86360</v>
      </c>
      <c r="W2295">
        <v>3.85</v>
      </c>
      <c r="X2295">
        <v>0</v>
      </c>
    </row>
    <row r="2296" spans="1:24" x14ac:dyDescent="0.25">
      <c r="A2296" t="str">
        <f>""</f>
        <v/>
      </c>
      <c r="B2296" s="1"/>
      <c r="H2296">
        <v>200</v>
      </c>
      <c r="J2296" t="s">
        <v>17</v>
      </c>
      <c r="L2296" s="1"/>
      <c r="N2296" s="1"/>
      <c r="V2296" t="str">
        <f>"80400"</f>
        <v>80400</v>
      </c>
      <c r="W2296">
        <v>0</v>
      </c>
      <c r="X2296">
        <v>0</v>
      </c>
    </row>
    <row r="2297" spans="1:24" ht="15" customHeight="1" x14ac:dyDescent="0.25">
      <c r="A2297" t="str">
        <f>""</f>
        <v/>
      </c>
      <c r="B2297" s="1"/>
      <c r="H2297">
        <v>15.8</v>
      </c>
      <c r="J2297" t="s">
        <v>20</v>
      </c>
      <c r="L2297" s="1"/>
      <c r="N2297" s="1"/>
      <c r="V2297" t="str">
        <f>"56000"</f>
        <v>56000</v>
      </c>
      <c r="W2297">
        <v>4.2699999999999996</v>
      </c>
      <c r="X2297">
        <v>0</v>
      </c>
    </row>
    <row r="2298" spans="1:24" ht="15" customHeight="1" x14ac:dyDescent="0.25">
      <c r="A2298" t="str">
        <f>""</f>
        <v/>
      </c>
      <c r="B2298" s="1"/>
      <c r="H2298">
        <v>43.44</v>
      </c>
      <c r="J2298" t="s">
        <v>20</v>
      </c>
      <c r="L2298" s="1"/>
      <c r="N2298" s="1"/>
      <c r="V2298" t="str">
        <f>"59100"</f>
        <v>59100</v>
      </c>
      <c r="W2298">
        <v>8.25</v>
      </c>
      <c r="X2298">
        <v>0</v>
      </c>
    </row>
    <row r="2299" spans="1:24" ht="15" customHeight="1" x14ac:dyDescent="0.25">
      <c r="A2299" t="str">
        <f>""</f>
        <v/>
      </c>
      <c r="B2299" s="1"/>
      <c r="H2299">
        <v>58.35</v>
      </c>
      <c r="J2299" t="s">
        <v>19</v>
      </c>
      <c r="L2299" s="1"/>
      <c r="N2299" s="1"/>
      <c r="V2299" t="str">
        <f>"60180"</f>
        <v>60180</v>
      </c>
      <c r="W2299">
        <v>11.09</v>
      </c>
      <c r="X2299">
        <v>0</v>
      </c>
    </row>
    <row r="2300" spans="1:24" ht="15" customHeight="1" x14ac:dyDescent="0.25">
      <c r="A2300" t="str">
        <f>""</f>
        <v/>
      </c>
      <c r="B2300" s="1"/>
      <c r="H2300">
        <v>185.14</v>
      </c>
      <c r="J2300" t="s">
        <v>20</v>
      </c>
      <c r="L2300" s="1"/>
      <c r="N2300" s="1"/>
      <c r="V2300" t="str">
        <f>"59529"</f>
        <v>59529</v>
      </c>
      <c r="W2300">
        <v>35.18</v>
      </c>
      <c r="X2300">
        <v>0</v>
      </c>
    </row>
    <row r="2301" spans="1:24" ht="15" customHeight="1" x14ac:dyDescent="0.25">
      <c r="A2301" t="str">
        <f>""</f>
        <v/>
      </c>
      <c r="B2301" s="1"/>
      <c r="H2301">
        <v>138.16</v>
      </c>
      <c r="J2301" t="s">
        <v>19</v>
      </c>
      <c r="L2301" s="1"/>
      <c r="N2301" s="1"/>
      <c r="V2301" t="str">
        <f>"69005"</f>
        <v>69005</v>
      </c>
      <c r="W2301">
        <v>37.299999999999997</v>
      </c>
      <c r="X2301">
        <v>0</v>
      </c>
    </row>
    <row r="2302" spans="1:24" ht="15" customHeight="1" x14ac:dyDescent="0.25">
      <c r="A2302" t="str">
        <f>""</f>
        <v/>
      </c>
      <c r="B2302" s="1"/>
      <c r="H2302">
        <v>33.35</v>
      </c>
      <c r="J2302" t="s">
        <v>19</v>
      </c>
      <c r="L2302" s="1"/>
      <c r="N2302" s="1"/>
      <c r="V2302" t="str">
        <f>"69005"</f>
        <v>69005</v>
      </c>
      <c r="W2302">
        <v>9</v>
      </c>
      <c r="X2302">
        <v>0</v>
      </c>
    </row>
    <row r="2303" spans="1:24" ht="15" customHeight="1" x14ac:dyDescent="0.25">
      <c r="A2303" t="str">
        <f>""</f>
        <v/>
      </c>
      <c r="B2303" s="1"/>
      <c r="H2303">
        <v>71.819999999999993</v>
      </c>
      <c r="J2303" t="s">
        <v>23</v>
      </c>
      <c r="L2303" s="1"/>
      <c r="N2303" s="1"/>
      <c r="V2303" t="str">
        <f>"25700"</f>
        <v>25700</v>
      </c>
      <c r="W2303">
        <v>0</v>
      </c>
      <c r="X2303">
        <v>8.6199999999999992</v>
      </c>
    </row>
    <row r="2304" spans="1:24" ht="15" customHeight="1" x14ac:dyDescent="0.25">
      <c r="A2304" t="str">
        <f>""</f>
        <v/>
      </c>
      <c r="B2304" s="1"/>
      <c r="H2304">
        <v>71.819999999999993</v>
      </c>
      <c r="J2304" t="s">
        <v>23</v>
      </c>
      <c r="L2304" s="1"/>
      <c r="N2304" s="1"/>
      <c r="V2304" t="str">
        <f>"21000"</f>
        <v>21000</v>
      </c>
      <c r="W2304">
        <v>0</v>
      </c>
      <c r="X2304">
        <v>8.6199999999999992</v>
      </c>
    </row>
    <row r="2305" spans="1:24" ht="15" customHeight="1" x14ac:dyDescent="0.25">
      <c r="A2305" t="str">
        <f>""</f>
        <v/>
      </c>
      <c r="B2305" s="1"/>
      <c r="H2305">
        <v>40</v>
      </c>
      <c r="J2305" t="s">
        <v>22</v>
      </c>
      <c r="L2305" s="1"/>
      <c r="V2305" t="str">
        <f>"06000"</f>
        <v>06000</v>
      </c>
      <c r="W2305">
        <v>0</v>
      </c>
      <c r="X2305">
        <v>0</v>
      </c>
    </row>
    <row r="2306" spans="1:24" ht="15" customHeight="1" x14ac:dyDescent="0.25">
      <c r="A2306" t="str">
        <f>""</f>
        <v/>
      </c>
      <c r="B2306" s="1"/>
      <c r="H2306">
        <v>43.44</v>
      </c>
      <c r="J2306" t="s">
        <v>19</v>
      </c>
      <c r="L2306" s="1"/>
      <c r="N2306" s="1"/>
      <c r="V2306" t="str">
        <f>"06000"</f>
        <v>06000</v>
      </c>
      <c r="W2306">
        <v>13.03</v>
      </c>
      <c r="X2306">
        <v>0</v>
      </c>
    </row>
    <row r="2307" spans="1:24" ht="15" customHeight="1" x14ac:dyDescent="0.25">
      <c r="A2307" t="str">
        <f>""</f>
        <v/>
      </c>
      <c r="B2307" s="1"/>
      <c r="H2307">
        <v>29.59</v>
      </c>
      <c r="J2307" t="s">
        <v>22</v>
      </c>
      <c r="L2307" s="1"/>
      <c r="N2307" s="1"/>
      <c r="V2307" t="str">
        <f>"69006"</f>
        <v>69006</v>
      </c>
      <c r="W2307">
        <v>0</v>
      </c>
      <c r="X2307">
        <v>0</v>
      </c>
    </row>
    <row r="2308" spans="1:24" ht="15" customHeight="1" x14ac:dyDescent="0.25">
      <c r="A2308" t="str">
        <f>""</f>
        <v/>
      </c>
      <c r="B2308" s="1"/>
      <c r="H2308">
        <v>70</v>
      </c>
      <c r="J2308" t="s">
        <v>22</v>
      </c>
      <c r="L2308" s="1"/>
      <c r="N2308" s="1"/>
      <c r="V2308" t="str">
        <f>"59287"</f>
        <v>59287</v>
      </c>
      <c r="W2308">
        <v>0</v>
      </c>
      <c r="X2308">
        <v>0</v>
      </c>
    </row>
    <row r="2309" spans="1:24" ht="15" customHeight="1" x14ac:dyDescent="0.25">
      <c r="A2309" t="str">
        <f>""</f>
        <v/>
      </c>
      <c r="B2309" s="1"/>
      <c r="H2309">
        <v>7.99</v>
      </c>
      <c r="J2309" t="s">
        <v>19</v>
      </c>
      <c r="L2309" s="1"/>
      <c r="N2309" s="1"/>
      <c r="V2309" t="str">
        <f>"33260"</f>
        <v>33260</v>
      </c>
      <c r="W2309">
        <v>1.68</v>
      </c>
      <c r="X2309">
        <v>0</v>
      </c>
    </row>
    <row r="2310" spans="1:24" ht="15" customHeight="1" x14ac:dyDescent="0.25">
      <c r="A2310" t="str">
        <f>""</f>
        <v/>
      </c>
      <c r="B2310" s="1"/>
      <c r="H2310">
        <v>140</v>
      </c>
      <c r="L2310" s="1"/>
      <c r="N2310" s="1"/>
      <c r="V2310" t="str">
        <f>"77184"</f>
        <v>77184</v>
      </c>
      <c r="W2310">
        <v>0</v>
      </c>
      <c r="X2310">
        <v>0</v>
      </c>
    </row>
    <row r="2311" spans="1:24" ht="15" customHeight="1" x14ac:dyDescent="0.25">
      <c r="A2311" t="str">
        <f>""</f>
        <v/>
      </c>
      <c r="B2311" s="1"/>
      <c r="H2311">
        <v>190.74</v>
      </c>
      <c r="J2311" t="s">
        <v>19</v>
      </c>
      <c r="L2311" s="1"/>
      <c r="N2311" s="1"/>
      <c r="V2311" t="str">
        <f>"91000"</f>
        <v>91000</v>
      </c>
      <c r="W2311">
        <v>0</v>
      </c>
      <c r="X2311">
        <v>0</v>
      </c>
    </row>
    <row r="2312" spans="1:24" ht="15" customHeight="1" x14ac:dyDescent="0.25">
      <c r="A2312" t="str">
        <f>""</f>
        <v/>
      </c>
      <c r="B2312" s="1"/>
      <c r="H2312">
        <v>140</v>
      </c>
      <c r="L2312" s="1"/>
      <c r="N2312" s="1"/>
      <c r="V2312" t="str">
        <f>"77184"</f>
        <v>77184</v>
      </c>
      <c r="W2312">
        <v>0</v>
      </c>
      <c r="X2312">
        <v>0</v>
      </c>
    </row>
    <row r="2313" spans="1:24" ht="15" customHeight="1" x14ac:dyDescent="0.25">
      <c r="A2313" t="str">
        <f>""</f>
        <v/>
      </c>
      <c r="B2313" s="1"/>
      <c r="H2313">
        <v>141.80000000000001</v>
      </c>
      <c r="L2313" s="1"/>
      <c r="N2313" s="1"/>
      <c r="V2313" t="str">
        <f>"77184"</f>
        <v>77184</v>
      </c>
      <c r="W2313">
        <v>0</v>
      </c>
      <c r="X2313">
        <v>0</v>
      </c>
    </row>
    <row r="2314" spans="1:24" ht="15" customHeight="1" x14ac:dyDescent="0.25">
      <c r="A2314" t="str">
        <f>""</f>
        <v/>
      </c>
      <c r="B2314" s="1"/>
      <c r="H2314">
        <v>22.8</v>
      </c>
      <c r="J2314" t="s">
        <v>23</v>
      </c>
      <c r="L2314" s="1"/>
      <c r="N2314" s="1"/>
      <c r="V2314" t="str">
        <f>"92350"</f>
        <v>92350</v>
      </c>
      <c r="W2314">
        <v>0</v>
      </c>
      <c r="X2314">
        <v>0</v>
      </c>
    </row>
    <row r="2315" spans="1:24" ht="15" customHeight="1" x14ac:dyDescent="0.25">
      <c r="A2315" t="str">
        <f>""</f>
        <v/>
      </c>
      <c r="B2315" s="1"/>
      <c r="H2315">
        <v>40</v>
      </c>
      <c r="J2315" t="s">
        <v>23</v>
      </c>
      <c r="L2315" s="1"/>
      <c r="N2315" s="1"/>
      <c r="V2315" t="str">
        <f>"13220"</f>
        <v>13220</v>
      </c>
      <c r="W2315">
        <v>0</v>
      </c>
      <c r="X2315">
        <v>7.6</v>
      </c>
    </row>
    <row r="2316" spans="1:24" ht="15" customHeight="1" x14ac:dyDescent="0.25">
      <c r="A2316" t="str">
        <f>""</f>
        <v/>
      </c>
      <c r="B2316" s="1"/>
      <c r="H2316">
        <v>140</v>
      </c>
      <c r="J2316" t="s">
        <v>23</v>
      </c>
      <c r="L2316" s="1"/>
      <c r="N2316" s="1"/>
      <c r="V2316" t="str">
        <f>"74130"</f>
        <v>74130</v>
      </c>
      <c r="W2316">
        <v>0</v>
      </c>
      <c r="X2316">
        <v>0</v>
      </c>
    </row>
    <row r="2317" spans="1:24" ht="15" customHeight="1" x14ac:dyDescent="0.25">
      <c r="A2317" t="str">
        <f>""</f>
        <v/>
      </c>
      <c r="B2317" s="1"/>
      <c r="H2317">
        <v>25</v>
      </c>
      <c r="J2317" t="s">
        <v>23</v>
      </c>
      <c r="L2317" s="1"/>
      <c r="V2317" t="str">
        <f>"39500"</f>
        <v>39500</v>
      </c>
      <c r="W2317">
        <v>0</v>
      </c>
      <c r="X2317">
        <v>0</v>
      </c>
    </row>
    <row r="2318" spans="1:24" ht="15" customHeight="1" x14ac:dyDescent="0.25">
      <c r="A2318" t="str">
        <f>""</f>
        <v/>
      </c>
      <c r="B2318" s="1"/>
      <c r="H2318">
        <v>55.16</v>
      </c>
      <c r="J2318" t="s">
        <v>19</v>
      </c>
      <c r="L2318" s="1"/>
      <c r="N2318" s="1"/>
      <c r="V2318" t="str">
        <f>"14200"</f>
        <v>14200</v>
      </c>
      <c r="W2318">
        <v>9.3800000000000008</v>
      </c>
      <c r="X2318">
        <v>0</v>
      </c>
    </row>
    <row r="2319" spans="1:24" ht="15" customHeight="1" x14ac:dyDescent="0.25">
      <c r="A2319" t="str">
        <f>""</f>
        <v/>
      </c>
      <c r="B2319" s="1"/>
      <c r="H2319">
        <v>180</v>
      </c>
      <c r="J2319" t="s">
        <v>22</v>
      </c>
      <c r="L2319" s="1"/>
      <c r="N2319" s="1"/>
      <c r="V2319" t="str">
        <f>"14000"</f>
        <v>14000</v>
      </c>
      <c r="W2319">
        <v>0</v>
      </c>
      <c r="X2319">
        <v>30.6</v>
      </c>
    </row>
    <row r="2320" spans="1:24" ht="15" customHeight="1" x14ac:dyDescent="0.25">
      <c r="A2320" t="str">
        <f>""</f>
        <v/>
      </c>
      <c r="B2320" s="1"/>
      <c r="H2320">
        <v>183.25</v>
      </c>
      <c r="J2320" t="s">
        <v>19</v>
      </c>
      <c r="L2320" s="1"/>
      <c r="N2320" s="1"/>
      <c r="V2320" t="str">
        <f>"13001"</f>
        <v>13001</v>
      </c>
      <c r="W2320">
        <v>53.14</v>
      </c>
      <c r="X2320">
        <v>0</v>
      </c>
    </row>
    <row r="2321" spans="1:24" ht="15" customHeight="1" x14ac:dyDescent="0.25">
      <c r="A2321" t="str">
        <f>""</f>
        <v/>
      </c>
      <c r="B2321" s="1"/>
      <c r="H2321">
        <v>62.1</v>
      </c>
      <c r="J2321" t="s">
        <v>23</v>
      </c>
      <c r="L2321" s="1"/>
      <c r="V2321" t="str">
        <f>"77380"</f>
        <v>77380</v>
      </c>
      <c r="W2321">
        <v>0</v>
      </c>
      <c r="X2321">
        <v>0</v>
      </c>
    </row>
    <row r="2322" spans="1:24" ht="15" customHeight="1" x14ac:dyDescent="0.25">
      <c r="A2322" t="str">
        <f>""</f>
        <v/>
      </c>
      <c r="B2322" s="1"/>
      <c r="H2322">
        <v>117.2</v>
      </c>
      <c r="J2322" t="s">
        <v>23</v>
      </c>
      <c r="L2322" s="1"/>
      <c r="V2322" t="str">
        <f>"05220"</f>
        <v>05220</v>
      </c>
      <c r="W2322">
        <v>0</v>
      </c>
      <c r="X2322">
        <v>0</v>
      </c>
    </row>
    <row r="2323" spans="1:24" ht="15" customHeight="1" x14ac:dyDescent="0.25">
      <c r="A2323" t="str">
        <f>""</f>
        <v/>
      </c>
      <c r="B2323" s="1"/>
      <c r="H2323">
        <v>165.02</v>
      </c>
      <c r="J2323" t="s">
        <v>22</v>
      </c>
      <c r="L2323" s="1"/>
      <c r="N2323" s="1"/>
      <c r="V2323" t="str">
        <f>"17000"</f>
        <v>17000</v>
      </c>
      <c r="W2323">
        <v>0</v>
      </c>
      <c r="X2323">
        <v>0</v>
      </c>
    </row>
    <row r="2324" spans="1:24" ht="15" customHeight="1" x14ac:dyDescent="0.25">
      <c r="A2324" t="str">
        <f>""</f>
        <v/>
      </c>
      <c r="B2324" s="1"/>
      <c r="H2324">
        <v>25.6</v>
      </c>
      <c r="J2324" t="s">
        <v>22</v>
      </c>
      <c r="L2324" s="1"/>
      <c r="V2324" t="str">
        <f>"13008"</f>
        <v>13008</v>
      </c>
      <c r="W2324">
        <v>0</v>
      </c>
      <c r="X2324">
        <v>0</v>
      </c>
    </row>
    <row r="2325" spans="1:24" ht="15" customHeight="1" x14ac:dyDescent="0.25">
      <c r="A2325" t="str">
        <f>""</f>
        <v/>
      </c>
      <c r="B2325" s="1"/>
      <c r="H2325">
        <v>196.98</v>
      </c>
      <c r="J2325" t="s">
        <v>22</v>
      </c>
      <c r="L2325" s="1"/>
      <c r="N2325" s="1"/>
      <c r="V2325" t="str">
        <f>"55190"</f>
        <v>55190</v>
      </c>
      <c r="W2325">
        <v>0</v>
      </c>
      <c r="X2325">
        <v>49.25</v>
      </c>
    </row>
    <row r="2326" spans="1:24" ht="15" customHeight="1" x14ac:dyDescent="0.25">
      <c r="A2326" t="str">
        <f>""</f>
        <v/>
      </c>
      <c r="B2326" s="1"/>
      <c r="H2326">
        <v>22.5</v>
      </c>
      <c r="J2326" t="s">
        <v>22</v>
      </c>
      <c r="L2326" s="1"/>
      <c r="N2326" s="1"/>
      <c r="V2326" t="str">
        <f>"68290"</f>
        <v>68290</v>
      </c>
      <c r="W2326">
        <v>0</v>
      </c>
      <c r="X2326">
        <v>0</v>
      </c>
    </row>
    <row r="2327" spans="1:24" ht="15" customHeight="1" x14ac:dyDescent="0.25">
      <c r="A2327" t="str">
        <f>""</f>
        <v/>
      </c>
      <c r="B2327" s="1"/>
      <c r="H2327">
        <v>26.6</v>
      </c>
      <c r="J2327" t="s">
        <v>22</v>
      </c>
      <c r="L2327" s="1"/>
      <c r="N2327" s="1"/>
      <c r="V2327" t="str">
        <f>"06000"</f>
        <v>06000</v>
      </c>
      <c r="W2327">
        <v>0</v>
      </c>
      <c r="X2327">
        <v>5.59</v>
      </c>
    </row>
    <row r="2328" spans="1:24" ht="15" customHeight="1" x14ac:dyDescent="0.25">
      <c r="A2328" t="str">
        <f>""</f>
        <v/>
      </c>
      <c r="B2328" s="1"/>
      <c r="H2328">
        <v>109.06</v>
      </c>
      <c r="J2328" t="s">
        <v>23</v>
      </c>
      <c r="L2328" s="1"/>
      <c r="N2328" s="1"/>
      <c r="V2328" t="str">
        <f>"57200"</f>
        <v>57200</v>
      </c>
      <c r="W2328">
        <v>0</v>
      </c>
      <c r="X2328">
        <v>27.26</v>
      </c>
    </row>
    <row r="2329" spans="1:24" x14ac:dyDescent="0.25">
      <c r="A2329" t="str">
        <f>""</f>
        <v/>
      </c>
      <c r="B2329" s="1"/>
      <c r="H2329">
        <v>30</v>
      </c>
      <c r="J2329" t="s">
        <v>15</v>
      </c>
      <c r="L2329" s="1"/>
      <c r="N2329" s="1"/>
      <c r="V2329" t="str">
        <f>"35136"</f>
        <v>35136</v>
      </c>
      <c r="W2329">
        <v>0</v>
      </c>
      <c r="X2329">
        <v>0</v>
      </c>
    </row>
    <row r="2330" spans="1:24" ht="15" customHeight="1" x14ac:dyDescent="0.25">
      <c r="A2330" t="str">
        <f>""</f>
        <v/>
      </c>
      <c r="B2330" s="1"/>
      <c r="H2330">
        <v>50.84</v>
      </c>
      <c r="J2330" t="s">
        <v>19</v>
      </c>
      <c r="L2330" s="1"/>
      <c r="N2330" s="1"/>
      <c r="V2330" t="str">
        <f>"92000"</f>
        <v>92000</v>
      </c>
      <c r="W2330">
        <v>0</v>
      </c>
      <c r="X2330">
        <v>0</v>
      </c>
    </row>
    <row r="2331" spans="1:24" ht="15" customHeight="1" x14ac:dyDescent="0.25">
      <c r="A2331" t="str">
        <f>""</f>
        <v/>
      </c>
      <c r="B2331" s="1"/>
      <c r="H2331">
        <v>27</v>
      </c>
      <c r="J2331" t="s">
        <v>22</v>
      </c>
      <c r="L2331" s="1"/>
      <c r="N2331" s="1"/>
      <c r="V2331" t="str">
        <f>"06190"</f>
        <v>06190</v>
      </c>
      <c r="W2331">
        <v>0</v>
      </c>
      <c r="X2331">
        <v>8.1</v>
      </c>
    </row>
    <row r="2332" spans="1:24" x14ac:dyDescent="0.25">
      <c r="A2332" t="str">
        <f>""</f>
        <v/>
      </c>
      <c r="B2332" s="1"/>
      <c r="H2332">
        <v>52.5</v>
      </c>
      <c r="J2332" t="s">
        <v>15</v>
      </c>
      <c r="L2332" s="1"/>
      <c r="N2332" s="1"/>
      <c r="V2332" t="str">
        <f>"69003"</f>
        <v>69003</v>
      </c>
      <c r="W2332">
        <v>0</v>
      </c>
      <c r="X2332">
        <v>0</v>
      </c>
    </row>
    <row r="2333" spans="1:24" x14ac:dyDescent="0.25">
      <c r="A2333" t="str">
        <f>""</f>
        <v/>
      </c>
      <c r="B2333" s="1"/>
      <c r="H2333">
        <v>52.5</v>
      </c>
      <c r="J2333" t="s">
        <v>15</v>
      </c>
      <c r="L2333" s="1"/>
      <c r="N2333" s="1"/>
      <c r="V2333" t="str">
        <f>"69003"</f>
        <v>69003</v>
      </c>
      <c r="W2333">
        <v>0</v>
      </c>
      <c r="X2333">
        <v>0</v>
      </c>
    </row>
    <row r="2334" spans="1:24" x14ac:dyDescent="0.25">
      <c r="A2334" t="str">
        <f>""</f>
        <v/>
      </c>
      <c r="B2334" s="1"/>
      <c r="H2334">
        <v>52.5</v>
      </c>
      <c r="J2334" t="s">
        <v>15</v>
      </c>
      <c r="L2334" s="1"/>
      <c r="N2334" s="1"/>
      <c r="V2334" t="str">
        <f>"13015"</f>
        <v>13015</v>
      </c>
      <c r="W2334">
        <v>0</v>
      </c>
      <c r="X2334">
        <v>0</v>
      </c>
    </row>
    <row r="2335" spans="1:24" x14ac:dyDescent="0.25">
      <c r="A2335" t="str">
        <f>""</f>
        <v/>
      </c>
      <c r="B2335" s="1"/>
      <c r="H2335">
        <v>52.5</v>
      </c>
      <c r="J2335" t="s">
        <v>15</v>
      </c>
      <c r="L2335" s="1"/>
      <c r="N2335" s="1"/>
      <c r="V2335" t="str">
        <f>"76100"</f>
        <v>76100</v>
      </c>
      <c r="W2335">
        <v>0</v>
      </c>
      <c r="X2335">
        <v>0</v>
      </c>
    </row>
    <row r="2336" spans="1:24" x14ac:dyDescent="0.25">
      <c r="A2336" t="str">
        <f>""</f>
        <v/>
      </c>
      <c r="B2336" s="1"/>
      <c r="H2336">
        <v>52.5</v>
      </c>
      <c r="J2336" t="s">
        <v>15</v>
      </c>
      <c r="L2336" s="1"/>
      <c r="N2336" s="1"/>
      <c r="V2336" t="str">
        <f>"44600"</f>
        <v>44600</v>
      </c>
      <c r="W2336">
        <v>0</v>
      </c>
      <c r="X2336">
        <v>0</v>
      </c>
    </row>
    <row r="2337" spans="1:24" x14ac:dyDescent="0.25">
      <c r="A2337" t="str">
        <f>""</f>
        <v/>
      </c>
      <c r="B2337" s="1"/>
      <c r="H2337">
        <v>52.5</v>
      </c>
      <c r="J2337" t="s">
        <v>15</v>
      </c>
      <c r="L2337" s="1"/>
      <c r="N2337" s="1"/>
      <c r="V2337" t="str">
        <f>"21000"</f>
        <v>21000</v>
      </c>
      <c r="W2337">
        <v>0</v>
      </c>
      <c r="X2337">
        <v>0</v>
      </c>
    </row>
    <row r="2338" spans="1:24" ht="15" customHeight="1" x14ac:dyDescent="0.25">
      <c r="A2338" t="str">
        <f>""</f>
        <v/>
      </c>
      <c r="B2338" s="1"/>
      <c r="H2338">
        <v>44</v>
      </c>
      <c r="J2338" t="s">
        <v>22</v>
      </c>
      <c r="L2338" s="1"/>
      <c r="N2338" s="1"/>
      <c r="V2338" t="str">
        <f>"62600"</f>
        <v>62600</v>
      </c>
      <c r="W2338">
        <v>0</v>
      </c>
      <c r="X2338">
        <v>8.36</v>
      </c>
    </row>
    <row r="2339" spans="1:24" x14ac:dyDescent="0.25">
      <c r="A2339" t="str">
        <f>""</f>
        <v/>
      </c>
      <c r="B2339" s="1"/>
      <c r="H2339">
        <v>97.39</v>
      </c>
      <c r="J2339" t="s">
        <v>16</v>
      </c>
      <c r="L2339" s="1"/>
      <c r="N2339" s="1"/>
      <c r="V2339" t="str">
        <f>"77184"</f>
        <v>77184</v>
      </c>
      <c r="W2339">
        <v>0</v>
      </c>
      <c r="X2339">
        <v>0</v>
      </c>
    </row>
    <row r="2340" spans="1:24" ht="15" customHeight="1" x14ac:dyDescent="0.25">
      <c r="A2340" t="str">
        <f>""</f>
        <v/>
      </c>
      <c r="B2340" s="1"/>
      <c r="H2340">
        <v>29.89</v>
      </c>
      <c r="J2340" t="s">
        <v>23</v>
      </c>
      <c r="L2340" s="1"/>
      <c r="N2340" s="1"/>
      <c r="V2340" t="str">
        <f>"57000"</f>
        <v>57000</v>
      </c>
      <c r="W2340">
        <v>0</v>
      </c>
      <c r="X2340">
        <v>7.47</v>
      </c>
    </row>
    <row r="2341" spans="1:24" ht="15" customHeight="1" x14ac:dyDescent="0.25">
      <c r="A2341" t="str">
        <f>""</f>
        <v/>
      </c>
      <c r="B2341" s="1"/>
      <c r="H2341">
        <v>126.65</v>
      </c>
      <c r="J2341" t="s">
        <v>19</v>
      </c>
      <c r="L2341" s="1"/>
      <c r="N2341" s="1"/>
      <c r="V2341" t="str">
        <f>"16380"</f>
        <v>16380</v>
      </c>
      <c r="W2341">
        <v>26.6</v>
      </c>
      <c r="X2341">
        <v>0</v>
      </c>
    </row>
    <row r="2342" spans="1:24" ht="15" customHeight="1" x14ac:dyDescent="0.25">
      <c r="A2342" t="str">
        <f>""</f>
        <v/>
      </c>
      <c r="B2342" s="1"/>
      <c r="H2342">
        <v>140.51</v>
      </c>
      <c r="J2342" t="s">
        <v>23</v>
      </c>
      <c r="L2342" s="1"/>
      <c r="V2342" t="str">
        <f>"30200"</f>
        <v>30200</v>
      </c>
      <c r="W2342">
        <v>0</v>
      </c>
      <c r="X2342">
        <v>0</v>
      </c>
    </row>
    <row r="2343" spans="1:24" ht="15" customHeight="1" x14ac:dyDescent="0.25">
      <c r="A2343" t="str">
        <f>""</f>
        <v/>
      </c>
      <c r="B2343" s="1"/>
      <c r="H2343">
        <v>196.04</v>
      </c>
      <c r="J2343" t="s">
        <v>22</v>
      </c>
      <c r="L2343" s="1"/>
      <c r="N2343" s="1"/>
      <c r="V2343" t="str">
        <f>"62320"</f>
        <v>62320</v>
      </c>
      <c r="W2343">
        <v>0</v>
      </c>
      <c r="X2343">
        <v>0</v>
      </c>
    </row>
    <row r="2344" spans="1:24" ht="15" customHeight="1" x14ac:dyDescent="0.25">
      <c r="A2344" t="str">
        <f>""</f>
        <v/>
      </c>
      <c r="B2344" s="1"/>
      <c r="H2344">
        <v>151</v>
      </c>
      <c r="J2344" t="s">
        <v>22</v>
      </c>
      <c r="L2344" s="1"/>
      <c r="N2344" s="1"/>
      <c r="V2344" t="str">
        <f>"06560"</f>
        <v>06560</v>
      </c>
      <c r="W2344">
        <v>0</v>
      </c>
      <c r="X2344">
        <v>0</v>
      </c>
    </row>
    <row r="2345" spans="1:24" ht="15" customHeight="1" x14ac:dyDescent="0.25">
      <c r="A2345" t="str">
        <f>""</f>
        <v/>
      </c>
      <c r="B2345" s="1"/>
      <c r="H2345">
        <v>137.43</v>
      </c>
      <c r="J2345" t="s">
        <v>19</v>
      </c>
      <c r="L2345" s="1"/>
      <c r="N2345" s="1"/>
      <c r="V2345" t="str">
        <f>"71380"</f>
        <v>71380</v>
      </c>
      <c r="W2345">
        <v>37.11</v>
      </c>
      <c r="X2345">
        <v>0</v>
      </c>
    </row>
    <row r="2346" spans="1:24" ht="15" customHeight="1" x14ac:dyDescent="0.25">
      <c r="A2346" t="str">
        <f>""</f>
        <v/>
      </c>
      <c r="B2346" s="1"/>
      <c r="H2346">
        <v>140</v>
      </c>
      <c r="J2346" t="s">
        <v>22</v>
      </c>
      <c r="L2346" s="1"/>
      <c r="N2346" s="1"/>
      <c r="V2346" t="str">
        <f>"30750"</f>
        <v>30750</v>
      </c>
      <c r="W2346">
        <v>0</v>
      </c>
      <c r="X2346">
        <v>39.200000000000003</v>
      </c>
    </row>
    <row r="2347" spans="1:24" ht="15" customHeight="1" x14ac:dyDescent="0.25">
      <c r="A2347" t="str">
        <f>""</f>
        <v/>
      </c>
      <c r="B2347" s="1"/>
      <c r="H2347">
        <v>183.38</v>
      </c>
      <c r="J2347" t="s">
        <v>23</v>
      </c>
      <c r="L2347" s="1"/>
      <c r="V2347" t="str">
        <f>"26000"</f>
        <v>26000</v>
      </c>
      <c r="W2347">
        <v>0</v>
      </c>
      <c r="X2347">
        <v>0</v>
      </c>
    </row>
    <row r="2348" spans="1:24" ht="15" customHeight="1" x14ac:dyDescent="0.25">
      <c r="A2348" t="str">
        <f>""</f>
        <v/>
      </c>
      <c r="B2348" s="1"/>
      <c r="H2348">
        <v>84.5</v>
      </c>
      <c r="L2348" s="1"/>
      <c r="N2348" s="1"/>
      <c r="V2348" t="str">
        <f>"77184"</f>
        <v>77184</v>
      </c>
      <c r="W2348">
        <v>0</v>
      </c>
      <c r="X2348">
        <v>0</v>
      </c>
    </row>
    <row r="2349" spans="1:24" ht="15" customHeight="1" x14ac:dyDescent="0.25">
      <c r="A2349" t="str">
        <f>""</f>
        <v/>
      </c>
      <c r="B2349" s="1"/>
      <c r="H2349">
        <v>69.5</v>
      </c>
      <c r="L2349" s="1"/>
      <c r="N2349" s="1"/>
      <c r="V2349" t="str">
        <f>"77184"</f>
        <v>77184</v>
      </c>
      <c r="W2349">
        <v>0</v>
      </c>
      <c r="X2349">
        <v>0</v>
      </c>
    </row>
    <row r="2350" spans="1:24" x14ac:dyDescent="0.25">
      <c r="A2350" t="str">
        <f>""</f>
        <v/>
      </c>
      <c r="B2350" s="1"/>
      <c r="H2350">
        <v>137.05000000000001</v>
      </c>
      <c r="J2350" t="s">
        <v>18</v>
      </c>
      <c r="L2350" s="1"/>
      <c r="V2350" t="str">
        <f>"77184"</f>
        <v>77184</v>
      </c>
      <c r="W2350">
        <v>0</v>
      </c>
      <c r="X2350">
        <v>0</v>
      </c>
    </row>
    <row r="2351" spans="1:24" ht="15" customHeight="1" x14ac:dyDescent="0.25">
      <c r="A2351" t="str">
        <f>""</f>
        <v/>
      </c>
      <c r="B2351" s="1"/>
      <c r="H2351">
        <v>183.32</v>
      </c>
      <c r="J2351" t="s">
        <v>19</v>
      </c>
      <c r="L2351" s="1"/>
      <c r="N2351" s="1"/>
      <c r="V2351" t="str">
        <f>"75008"</f>
        <v>75008</v>
      </c>
      <c r="W2351">
        <v>0</v>
      </c>
      <c r="X2351">
        <v>0</v>
      </c>
    </row>
    <row r="2352" spans="1:24" ht="15" customHeight="1" x14ac:dyDescent="0.25">
      <c r="A2352" t="str">
        <f>""</f>
        <v/>
      </c>
      <c r="B2352" s="1"/>
      <c r="H2352">
        <v>49.08</v>
      </c>
      <c r="J2352" t="s">
        <v>20</v>
      </c>
      <c r="L2352" s="1"/>
      <c r="N2352" s="1"/>
      <c r="V2352" t="str">
        <f>"56920"</f>
        <v>56920</v>
      </c>
      <c r="W2352">
        <v>13.25</v>
      </c>
      <c r="X2352">
        <v>0</v>
      </c>
    </row>
    <row r="2353" spans="1:24" ht="15" customHeight="1" x14ac:dyDescent="0.25">
      <c r="A2353" t="str">
        <f>""</f>
        <v/>
      </c>
      <c r="B2353" s="1"/>
      <c r="H2353">
        <v>40</v>
      </c>
      <c r="J2353" t="s">
        <v>23</v>
      </c>
      <c r="L2353" s="1"/>
      <c r="N2353" s="1"/>
      <c r="V2353" t="str">
        <f>"02800"</f>
        <v>02800</v>
      </c>
      <c r="W2353">
        <v>0</v>
      </c>
      <c r="X2353">
        <v>0</v>
      </c>
    </row>
    <row r="2354" spans="1:24" ht="15" customHeight="1" x14ac:dyDescent="0.25">
      <c r="A2354" t="str">
        <f>""</f>
        <v/>
      </c>
      <c r="B2354" s="1"/>
      <c r="H2354">
        <v>68</v>
      </c>
      <c r="J2354" t="s">
        <v>22</v>
      </c>
      <c r="L2354" s="1"/>
      <c r="N2354" s="1"/>
      <c r="V2354" t="str">
        <f>"71380"</f>
        <v>71380</v>
      </c>
      <c r="W2354">
        <v>0</v>
      </c>
      <c r="X2354">
        <v>0</v>
      </c>
    </row>
    <row r="2355" spans="1:24" ht="15" customHeight="1" x14ac:dyDescent="0.25">
      <c r="A2355" t="str">
        <f>""</f>
        <v/>
      </c>
      <c r="B2355" s="1"/>
      <c r="H2355">
        <v>109.4</v>
      </c>
      <c r="J2355" t="s">
        <v>22</v>
      </c>
      <c r="L2355" s="1"/>
      <c r="N2355" s="1"/>
      <c r="V2355" t="str">
        <f>"34400"</f>
        <v>34400</v>
      </c>
      <c r="W2355">
        <v>0</v>
      </c>
      <c r="X2355">
        <v>30.63</v>
      </c>
    </row>
    <row r="2356" spans="1:24" ht="15" customHeight="1" x14ac:dyDescent="0.25">
      <c r="A2356" t="str">
        <f>""</f>
        <v/>
      </c>
      <c r="B2356" s="1"/>
      <c r="H2356">
        <v>133.66999999999999</v>
      </c>
      <c r="L2356" s="1"/>
      <c r="N2356" s="1"/>
      <c r="V2356" t="str">
        <f>"77184"</f>
        <v>77184</v>
      </c>
      <c r="W2356">
        <v>0</v>
      </c>
      <c r="X2356">
        <v>0</v>
      </c>
    </row>
    <row r="2357" spans="1:24" ht="15" customHeight="1" x14ac:dyDescent="0.25">
      <c r="A2357" t="str">
        <f>""</f>
        <v/>
      </c>
      <c r="B2357" s="1"/>
      <c r="H2357">
        <v>198.87</v>
      </c>
      <c r="J2357" t="s">
        <v>23</v>
      </c>
      <c r="L2357" s="1"/>
      <c r="N2357" s="1"/>
      <c r="V2357" t="str">
        <f>"59000"</f>
        <v>59000</v>
      </c>
      <c r="W2357">
        <v>0</v>
      </c>
      <c r="X2357">
        <v>0</v>
      </c>
    </row>
    <row r="2358" spans="1:24" ht="15" customHeight="1" x14ac:dyDescent="0.25">
      <c r="A2358" t="str">
        <f>""</f>
        <v/>
      </c>
      <c r="B2358" s="1"/>
      <c r="H2358">
        <v>31.6</v>
      </c>
      <c r="L2358" s="1"/>
      <c r="N2358" s="1"/>
      <c r="V2358" t="str">
        <f>"44240"</f>
        <v>44240</v>
      </c>
      <c r="W2358">
        <v>0</v>
      </c>
      <c r="X2358">
        <v>0</v>
      </c>
    </row>
    <row r="2359" spans="1:24" ht="15" customHeight="1" x14ac:dyDescent="0.25">
      <c r="A2359" t="str">
        <f>""</f>
        <v/>
      </c>
      <c r="B2359" s="1"/>
      <c r="H2359">
        <v>194.24</v>
      </c>
      <c r="J2359" t="s">
        <v>20</v>
      </c>
      <c r="L2359" s="1"/>
      <c r="N2359" s="1"/>
      <c r="V2359" t="str">
        <f>"14000"</f>
        <v>14000</v>
      </c>
      <c r="W2359">
        <v>33.020000000000003</v>
      </c>
      <c r="X2359">
        <v>0</v>
      </c>
    </row>
    <row r="2360" spans="1:24" ht="15" customHeight="1" x14ac:dyDescent="0.25">
      <c r="A2360" t="str">
        <f>""</f>
        <v/>
      </c>
      <c r="B2360" s="1"/>
      <c r="H2360">
        <v>68</v>
      </c>
      <c r="L2360" s="1"/>
      <c r="N2360" s="1"/>
      <c r="V2360" t="str">
        <f>"77184"</f>
        <v>77184</v>
      </c>
      <c r="W2360">
        <v>0</v>
      </c>
      <c r="X2360">
        <v>0</v>
      </c>
    </row>
    <row r="2361" spans="1:24" x14ac:dyDescent="0.25">
      <c r="A2361" t="str">
        <f>""</f>
        <v/>
      </c>
      <c r="B2361" s="1"/>
      <c r="H2361">
        <v>70</v>
      </c>
      <c r="J2361" t="s">
        <v>16</v>
      </c>
      <c r="L2361" s="1"/>
      <c r="N2361" s="1"/>
      <c r="V2361" t="str">
        <f>"04100"</f>
        <v>04100</v>
      </c>
      <c r="W2361">
        <v>0</v>
      </c>
      <c r="X2361">
        <v>21</v>
      </c>
    </row>
    <row r="2362" spans="1:24" ht="15" customHeight="1" x14ac:dyDescent="0.25">
      <c r="A2362" t="str">
        <f>""</f>
        <v/>
      </c>
      <c r="B2362" s="1"/>
      <c r="H2362">
        <v>0.01</v>
      </c>
      <c r="J2362" t="s">
        <v>20</v>
      </c>
      <c r="L2362" s="1"/>
      <c r="N2362" s="1"/>
      <c r="V2362" t="str">
        <f>"35000"</f>
        <v>35000</v>
      </c>
      <c r="W2362">
        <v>0</v>
      </c>
      <c r="X2362">
        <v>0</v>
      </c>
    </row>
    <row r="2363" spans="1:24" ht="15" customHeight="1" x14ac:dyDescent="0.25">
      <c r="A2363" t="str">
        <f>""</f>
        <v/>
      </c>
      <c r="B2363" s="1"/>
      <c r="H2363">
        <v>148.78</v>
      </c>
      <c r="J2363" t="s">
        <v>19</v>
      </c>
      <c r="L2363" s="1"/>
      <c r="N2363" s="1"/>
      <c r="V2363" t="str">
        <f>"62138"</f>
        <v>62138</v>
      </c>
      <c r="W2363">
        <v>28.27</v>
      </c>
      <c r="X2363">
        <v>0</v>
      </c>
    </row>
    <row r="2364" spans="1:24" x14ac:dyDescent="0.25">
      <c r="A2364" t="str">
        <f>""</f>
        <v/>
      </c>
      <c r="B2364" s="1"/>
      <c r="H2364">
        <v>73</v>
      </c>
      <c r="J2364" t="s">
        <v>18</v>
      </c>
      <c r="L2364" s="1"/>
      <c r="N2364" s="1"/>
      <c r="V2364" t="str">
        <f>"74000"</f>
        <v>74000</v>
      </c>
      <c r="W2364">
        <v>0</v>
      </c>
      <c r="X2364">
        <v>0</v>
      </c>
    </row>
    <row r="2365" spans="1:24" ht="15" customHeight="1" x14ac:dyDescent="0.25">
      <c r="A2365" t="str">
        <f>""</f>
        <v/>
      </c>
      <c r="B2365" s="1"/>
      <c r="H2365">
        <v>250</v>
      </c>
      <c r="L2365" s="1"/>
      <c r="N2365" s="1"/>
      <c r="V2365" t="str">
        <f>"77184"</f>
        <v>77184</v>
      </c>
      <c r="W2365">
        <v>0</v>
      </c>
      <c r="X2365">
        <v>0</v>
      </c>
    </row>
    <row r="2366" spans="1:24" ht="15" customHeight="1" x14ac:dyDescent="0.25">
      <c r="A2366" t="str">
        <f>""</f>
        <v/>
      </c>
      <c r="B2366" s="1"/>
      <c r="H2366">
        <v>147.94</v>
      </c>
      <c r="L2366" s="1"/>
      <c r="N2366" s="1"/>
      <c r="V2366" t="str">
        <f>"77184"</f>
        <v>77184</v>
      </c>
      <c r="W2366">
        <v>0</v>
      </c>
      <c r="X2366">
        <v>0</v>
      </c>
    </row>
    <row r="2367" spans="1:24" ht="15" customHeight="1" x14ac:dyDescent="0.25">
      <c r="A2367" t="str">
        <f>""</f>
        <v/>
      </c>
      <c r="B2367" s="1"/>
      <c r="H2367">
        <v>140</v>
      </c>
      <c r="J2367" t="s">
        <v>22</v>
      </c>
      <c r="L2367" s="1"/>
      <c r="N2367" s="1"/>
      <c r="V2367" t="str">
        <f>"67118"</f>
        <v>67118</v>
      </c>
      <c r="W2367">
        <v>0</v>
      </c>
      <c r="X2367">
        <v>11.2</v>
      </c>
    </row>
    <row r="2368" spans="1:24" ht="15" customHeight="1" x14ac:dyDescent="0.25">
      <c r="A2368" t="str">
        <f>""</f>
        <v/>
      </c>
      <c r="B2368" s="1"/>
      <c r="H2368">
        <v>117</v>
      </c>
      <c r="L2368" s="1"/>
      <c r="N2368" s="1"/>
      <c r="V2368" t="str">
        <f>"77184"</f>
        <v>77184</v>
      </c>
      <c r="W2368">
        <v>0</v>
      </c>
      <c r="X2368">
        <v>0</v>
      </c>
    </row>
    <row r="2369" spans="1:24" ht="15" customHeight="1" x14ac:dyDescent="0.25">
      <c r="A2369" t="str">
        <f>""</f>
        <v/>
      </c>
      <c r="B2369" s="1"/>
      <c r="H2369">
        <v>31.6</v>
      </c>
      <c r="L2369" s="1"/>
      <c r="N2369" s="1"/>
      <c r="V2369" t="str">
        <f>"77184"</f>
        <v>77184</v>
      </c>
      <c r="W2369">
        <v>0</v>
      </c>
      <c r="X2369">
        <v>0</v>
      </c>
    </row>
    <row r="2370" spans="1:24" ht="15" customHeight="1" x14ac:dyDescent="0.25">
      <c r="A2370" t="str">
        <f>""</f>
        <v/>
      </c>
      <c r="B2370" s="1"/>
      <c r="H2370">
        <v>40</v>
      </c>
      <c r="J2370" t="s">
        <v>22</v>
      </c>
      <c r="L2370" s="1"/>
      <c r="V2370" t="str">
        <f>"69340"</f>
        <v>69340</v>
      </c>
      <c r="W2370">
        <v>0</v>
      </c>
      <c r="X2370">
        <v>0</v>
      </c>
    </row>
    <row r="2371" spans="1:24" ht="15" customHeight="1" x14ac:dyDescent="0.25">
      <c r="A2371" t="str">
        <f>""</f>
        <v/>
      </c>
      <c r="B2371" s="1"/>
      <c r="H2371">
        <v>136.97999999999999</v>
      </c>
      <c r="J2371" t="s">
        <v>19</v>
      </c>
      <c r="L2371" s="1"/>
      <c r="N2371" s="1"/>
      <c r="V2371" t="str">
        <f>"69800"</f>
        <v>69800</v>
      </c>
      <c r="W2371">
        <v>36.979999999999997</v>
      </c>
      <c r="X2371">
        <v>0</v>
      </c>
    </row>
    <row r="2372" spans="1:24" ht="15" customHeight="1" x14ac:dyDescent="0.25">
      <c r="A2372" t="str">
        <f>""</f>
        <v/>
      </c>
      <c r="B2372" s="1"/>
      <c r="H2372">
        <v>59.53</v>
      </c>
      <c r="J2372" t="s">
        <v>19</v>
      </c>
      <c r="L2372" s="1"/>
      <c r="N2372" s="1"/>
      <c r="V2372" t="str">
        <f>"38340"</f>
        <v>38340</v>
      </c>
      <c r="W2372">
        <v>16.07</v>
      </c>
      <c r="X2372">
        <v>0</v>
      </c>
    </row>
    <row r="2373" spans="1:24" ht="15" customHeight="1" x14ac:dyDescent="0.25">
      <c r="A2373" t="str">
        <f>""</f>
        <v/>
      </c>
      <c r="B2373" s="1"/>
      <c r="H2373">
        <v>19.8</v>
      </c>
      <c r="J2373" t="s">
        <v>19</v>
      </c>
      <c r="L2373" s="1"/>
      <c r="N2373" s="1"/>
      <c r="V2373" t="str">
        <f>"13006"</f>
        <v>13006</v>
      </c>
      <c r="W2373">
        <v>5.74</v>
      </c>
      <c r="X2373">
        <v>0</v>
      </c>
    </row>
    <row r="2374" spans="1:24" ht="15" customHeight="1" x14ac:dyDescent="0.25">
      <c r="A2374" t="str">
        <f>""</f>
        <v/>
      </c>
      <c r="B2374" s="1"/>
      <c r="H2374">
        <v>107.6</v>
      </c>
      <c r="J2374" t="s">
        <v>19</v>
      </c>
      <c r="L2374" s="1"/>
      <c r="N2374" s="1"/>
      <c r="V2374" t="str">
        <f>"75014"</f>
        <v>75014</v>
      </c>
      <c r="W2374">
        <v>0</v>
      </c>
      <c r="X2374">
        <v>0</v>
      </c>
    </row>
    <row r="2375" spans="1:24" ht="15" customHeight="1" x14ac:dyDescent="0.25">
      <c r="A2375" t="str">
        <f>""</f>
        <v/>
      </c>
      <c r="B2375" s="1"/>
      <c r="H2375">
        <v>40</v>
      </c>
      <c r="J2375" t="s">
        <v>20</v>
      </c>
      <c r="L2375" s="1"/>
      <c r="N2375" s="1"/>
      <c r="V2375" t="str">
        <f>"94100"</f>
        <v>94100</v>
      </c>
      <c r="W2375">
        <v>0</v>
      </c>
      <c r="X2375">
        <v>0</v>
      </c>
    </row>
    <row r="2376" spans="1:24" ht="15" customHeight="1" x14ac:dyDescent="0.25">
      <c r="A2376" t="str">
        <f>""</f>
        <v/>
      </c>
      <c r="B2376" s="1"/>
      <c r="H2376">
        <v>120.85</v>
      </c>
      <c r="J2376" t="s">
        <v>20</v>
      </c>
      <c r="L2376" s="1"/>
      <c r="N2376" s="1"/>
      <c r="V2376" t="str">
        <f>"34740"</f>
        <v>34740</v>
      </c>
      <c r="W2376">
        <v>47.13</v>
      </c>
      <c r="X2376">
        <v>0</v>
      </c>
    </row>
    <row r="2377" spans="1:24" ht="15" customHeight="1" x14ac:dyDescent="0.25">
      <c r="A2377" t="str">
        <f>""</f>
        <v/>
      </c>
      <c r="B2377" s="1"/>
      <c r="H2377">
        <v>48.61</v>
      </c>
      <c r="J2377" t="s">
        <v>20</v>
      </c>
      <c r="L2377" s="1"/>
      <c r="N2377" s="1"/>
      <c r="V2377" t="str">
        <f>"43700"</f>
        <v>43700</v>
      </c>
      <c r="W2377">
        <v>14.1</v>
      </c>
      <c r="X2377">
        <v>0</v>
      </c>
    </row>
    <row r="2378" spans="1:24" ht="15" customHeight="1" x14ac:dyDescent="0.25">
      <c r="A2378" t="str">
        <f>""</f>
        <v/>
      </c>
      <c r="B2378" s="1"/>
      <c r="H2378">
        <v>105</v>
      </c>
      <c r="L2378" s="1"/>
      <c r="N2378" s="1"/>
      <c r="V2378" t="str">
        <f>"44240"</f>
        <v>44240</v>
      </c>
      <c r="W2378">
        <v>0</v>
      </c>
      <c r="X2378">
        <v>0</v>
      </c>
    </row>
    <row r="2379" spans="1:24" ht="15" customHeight="1" x14ac:dyDescent="0.25">
      <c r="A2379" t="str">
        <f>""</f>
        <v/>
      </c>
      <c r="B2379" s="1"/>
      <c r="H2379">
        <v>140</v>
      </c>
      <c r="J2379" t="s">
        <v>23</v>
      </c>
      <c r="L2379" s="1"/>
      <c r="N2379" s="1"/>
      <c r="V2379" t="str">
        <f>"59290"</f>
        <v>59290</v>
      </c>
      <c r="W2379">
        <v>0</v>
      </c>
      <c r="X2379">
        <v>0</v>
      </c>
    </row>
    <row r="2380" spans="1:24" ht="15" customHeight="1" x14ac:dyDescent="0.25">
      <c r="A2380" t="str">
        <f>""</f>
        <v/>
      </c>
      <c r="B2380" s="1"/>
      <c r="H2380">
        <v>131.71</v>
      </c>
      <c r="J2380" t="s">
        <v>20</v>
      </c>
      <c r="L2380" s="1"/>
      <c r="N2380" s="1"/>
      <c r="V2380" t="str">
        <f>"29490"</f>
        <v>29490</v>
      </c>
      <c r="W2380">
        <v>51.37</v>
      </c>
      <c r="X2380">
        <v>0</v>
      </c>
    </row>
    <row r="2381" spans="1:24" ht="15" customHeight="1" x14ac:dyDescent="0.25">
      <c r="A2381" t="str">
        <f>""</f>
        <v/>
      </c>
      <c r="B2381" s="1"/>
      <c r="H2381">
        <v>22.62</v>
      </c>
      <c r="J2381" t="s">
        <v>19</v>
      </c>
      <c r="L2381" s="1"/>
      <c r="N2381" s="1"/>
      <c r="V2381" t="str">
        <f>"52800"</f>
        <v>52800</v>
      </c>
      <c r="W2381">
        <v>5.43</v>
      </c>
      <c r="X2381">
        <v>0</v>
      </c>
    </row>
    <row r="2382" spans="1:24" ht="15" customHeight="1" x14ac:dyDescent="0.25">
      <c r="A2382" t="str">
        <f>""</f>
        <v/>
      </c>
      <c r="B2382" s="1"/>
      <c r="H2382">
        <v>50.93</v>
      </c>
      <c r="J2382" t="s">
        <v>19</v>
      </c>
      <c r="L2382" s="1"/>
      <c r="N2382" s="1"/>
      <c r="V2382" t="str">
        <f>"21230"</f>
        <v>21230</v>
      </c>
      <c r="W2382">
        <v>12.22</v>
      </c>
      <c r="X2382">
        <v>0</v>
      </c>
    </row>
    <row r="2383" spans="1:24" ht="15" customHeight="1" x14ac:dyDescent="0.25">
      <c r="A2383" t="str">
        <f>""</f>
        <v/>
      </c>
      <c r="B2383" s="1"/>
      <c r="H2383">
        <v>1.46</v>
      </c>
      <c r="J2383" t="s">
        <v>19</v>
      </c>
      <c r="L2383" s="1"/>
      <c r="N2383" s="1"/>
      <c r="V2383" t="str">
        <f>"59120"</f>
        <v>59120</v>
      </c>
      <c r="W2383">
        <v>0.28000000000000003</v>
      </c>
      <c r="X2383">
        <v>0</v>
      </c>
    </row>
    <row r="2384" spans="1:24" x14ac:dyDescent="0.25">
      <c r="A2384" t="str">
        <f>""</f>
        <v/>
      </c>
      <c r="B2384" s="1"/>
      <c r="H2384">
        <v>143.44999999999999</v>
      </c>
      <c r="J2384" t="s">
        <v>18</v>
      </c>
      <c r="L2384" s="1"/>
      <c r="V2384" t="str">
        <f>"34500"</f>
        <v>34500</v>
      </c>
      <c r="W2384">
        <v>0</v>
      </c>
      <c r="X2384">
        <v>0</v>
      </c>
    </row>
    <row r="2385" spans="1:24" ht="15" customHeight="1" x14ac:dyDescent="0.25">
      <c r="A2385" t="str">
        <f>""</f>
        <v/>
      </c>
      <c r="B2385" s="1"/>
      <c r="H2385">
        <v>180</v>
      </c>
      <c r="J2385" t="s">
        <v>23</v>
      </c>
      <c r="L2385" s="1"/>
      <c r="N2385" s="1"/>
      <c r="V2385" t="str">
        <f>"76230"</f>
        <v>76230</v>
      </c>
      <c r="W2385">
        <v>0</v>
      </c>
      <c r="X2385">
        <v>30.6</v>
      </c>
    </row>
    <row r="2386" spans="1:24" ht="15" customHeight="1" x14ac:dyDescent="0.25">
      <c r="A2386" t="str">
        <f>""</f>
        <v/>
      </c>
      <c r="B2386" s="1"/>
      <c r="H2386">
        <v>139.19999999999999</v>
      </c>
      <c r="J2386" t="s">
        <v>19</v>
      </c>
      <c r="L2386" s="1"/>
      <c r="N2386" s="1"/>
      <c r="V2386" t="str">
        <f>"67230"</f>
        <v>67230</v>
      </c>
      <c r="W2386">
        <v>40.369999999999997</v>
      </c>
      <c r="X2386">
        <v>0</v>
      </c>
    </row>
    <row r="2387" spans="1:24" ht="15" customHeight="1" x14ac:dyDescent="0.25">
      <c r="A2387" t="str">
        <f>""</f>
        <v/>
      </c>
      <c r="B2387" s="1"/>
      <c r="H2387">
        <v>33.119999999999997</v>
      </c>
      <c r="L2387" s="1"/>
      <c r="N2387" s="1"/>
      <c r="V2387" t="str">
        <f>"77184"</f>
        <v>77184</v>
      </c>
      <c r="W2387">
        <v>0</v>
      </c>
      <c r="X2387">
        <v>0</v>
      </c>
    </row>
    <row r="2388" spans="1:24" ht="15" customHeight="1" x14ac:dyDescent="0.25">
      <c r="A2388" t="str">
        <f>""</f>
        <v/>
      </c>
      <c r="B2388" s="1"/>
      <c r="H2388">
        <v>25</v>
      </c>
      <c r="L2388" s="1"/>
      <c r="N2388" s="1"/>
      <c r="V2388" t="str">
        <f>"77184"</f>
        <v>77184</v>
      </c>
      <c r="W2388">
        <v>0</v>
      </c>
      <c r="X2388">
        <v>0</v>
      </c>
    </row>
    <row r="2389" spans="1:24" ht="15" customHeight="1" x14ac:dyDescent="0.25">
      <c r="A2389" t="str">
        <f>""</f>
        <v/>
      </c>
      <c r="B2389" s="1"/>
      <c r="H2389">
        <v>171.28</v>
      </c>
      <c r="J2389" t="s">
        <v>23</v>
      </c>
      <c r="L2389" s="1"/>
      <c r="V2389" t="str">
        <f>"74140"</f>
        <v>74140</v>
      </c>
      <c r="W2389">
        <v>0</v>
      </c>
      <c r="X2389">
        <v>0</v>
      </c>
    </row>
    <row r="2390" spans="1:24" ht="15" customHeight="1" x14ac:dyDescent="0.25">
      <c r="A2390" t="str">
        <f>""</f>
        <v/>
      </c>
      <c r="B2390" s="1"/>
      <c r="H2390">
        <v>142.01</v>
      </c>
      <c r="J2390" t="s">
        <v>19</v>
      </c>
      <c r="L2390" s="1"/>
      <c r="N2390" s="1"/>
      <c r="V2390" t="str">
        <f>"95240"</f>
        <v>95240</v>
      </c>
      <c r="W2390">
        <v>0</v>
      </c>
      <c r="X2390">
        <v>0</v>
      </c>
    </row>
    <row r="2391" spans="1:24" ht="15" customHeight="1" x14ac:dyDescent="0.25">
      <c r="A2391" t="str">
        <f>""</f>
        <v/>
      </c>
      <c r="B2391" s="1"/>
      <c r="H2391">
        <v>75.28</v>
      </c>
      <c r="J2391" t="s">
        <v>20</v>
      </c>
      <c r="L2391" s="1"/>
      <c r="N2391" s="1"/>
      <c r="V2391" t="str">
        <f>"44850"</f>
        <v>44850</v>
      </c>
      <c r="W2391">
        <v>20.329999999999998</v>
      </c>
      <c r="X2391">
        <v>0</v>
      </c>
    </row>
    <row r="2392" spans="1:24" ht="15" customHeight="1" x14ac:dyDescent="0.25">
      <c r="A2392" t="str">
        <f>""</f>
        <v/>
      </c>
      <c r="B2392" s="1"/>
      <c r="H2392">
        <v>183.87</v>
      </c>
      <c r="J2392" t="s">
        <v>22</v>
      </c>
      <c r="L2392" s="1"/>
      <c r="N2392" s="1"/>
      <c r="V2392" t="str">
        <f>"78190"</f>
        <v>78190</v>
      </c>
      <c r="W2392">
        <v>0</v>
      </c>
      <c r="X2392">
        <v>0</v>
      </c>
    </row>
    <row r="2393" spans="1:24" ht="15" customHeight="1" x14ac:dyDescent="0.25">
      <c r="A2393" t="str">
        <f>""</f>
        <v/>
      </c>
      <c r="B2393" s="1"/>
      <c r="H2393">
        <v>180</v>
      </c>
      <c r="J2393" t="s">
        <v>23</v>
      </c>
      <c r="L2393" s="1"/>
      <c r="N2393" s="1"/>
      <c r="V2393" t="str">
        <f>"34500"</f>
        <v>34500</v>
      </c>
      <c r="W2393">
        <v>0</v>
      </c>
      <c r="X2393">
        <v>50.4</v>
      </c>
    </row>
    <row r="2394" spans="1:24" ht="15" customHeight="1" x14ac:dyDescent="0.25">
      <c r="A2394" t="str">
        <f>""</f>
        <v/>
      </c>
      <c r="B2394" s="1"/>
      <c r="H2394">
        <v>140</v>
      </c>
      <c r="J2394" t="s">
        <v>22</v>
      </c>
      <c r="L2394" s="1"/>
      <c r="N2394" s="1"/>
      <c r="V2394" t="str">
        <f>"37140"</f>
        <v>37140</v>
      </c>
      <c r="W2394">
        <v>0</v>
      </c>
      <c r="X2394">
        <v>0</v>
      </c>
    </row>
    <row r="2395" spans="1:24" ht="15" customHeight="1" x14ac:dyDescent="0.25">
      <c r="A2395" t="str">
        <f>""</f>
        <v/>
      </c>
      <c r="B2395" s="1"/>
      <c r="H2395">
        <v>126.72</v>
      </c>
      <c r="J2395" t="s">
        <v>20</v>
      </c>
      <c r="L2395" s="1"/>
      <c r="N2395" s="1"/>
      <c r="V2395" t="str">
        <f>"14000"</f>
        <v>14000</v>
      </c>
      <c r="W2395">
        <v>21.54</v>
      </c>
      <c r="X2395">
        <v>0</v>
      </c>
    </row>
    <row r="2396" spans="1:24" ht="15" customHeight="1" x14ac:dyDescent="0.25">
      <c r="A2396" t="str">
        <f>""</f>
        <v/>
      </c>
      <c r="B2396" s="1"/>
      <c r="H2396">
        <v>20</v>
      </c>
      <c r="J2396" t="s">
        <v>19</v>
      </c>
      <c r="L2396" s="1"/>
      <c r="N2396" s="1"/>
      <c r="V2396" t="str">
        <f>"77183"</f>
        <v>77183</v>
      </c>
      <c r="W2396">
        <v>0</v>
      </c>
      <c r="X2396">
        <v>0</v>
      </c>
    </row>
    <row r="2397" spans="1:24" ht="15" customHeight="1" x14ac:dyDescent="0.25">
      <c r="A2397" t="str">
        <f>""</f>
        <v/>
      </c>
      <c r="B2397" s="1"/>
      <c r="H2397">
        <v>40</v>
      </c>
      <c r="J2397" t="s">
        <v>22</v>
      </c>
      <c r="L2397" s="1"/>
      <c r="N2397" s="1"/>
      <c r="V2397" t="str">
        <f>"68520"</f>
        <v>68520</v>
      </c>
      <c r="W2397">
        <v>0</v>
      </c>
      <c r="X2397">
        <v>3.2</v>
      </c>
    </row>
    <row r="2398" spans="1:24" ht="15" customHeight="1" x14ac:dyDescent="0.25">
      <c r="A2398" t="str">
        <f>""</f>
        <v/>
      </c>
      <c r="B2398" s="1"/>
      <c r="H2398">
        <v>180</v>
      </c>
      <c r="J2398" t="s">
        <v>20</v>
      </c>
      <c r="L2398" s="1"/>
      <c r="N2398" s="1"/>
      <c r="V2398" t="str">
        <f>"01560"</f>
        <v>01560</v>
      </c>
      <c r="W2398">
        <v>48.6</v>
      </c>
      <c r="X2398">
        <v>0</v>
      </c>
    </row>
    <row r="2399" spans="1:24" ht="15" customHeight="1" x14ac:dyDescent="0.25">
      <c r="A2399" t="str">
        <f>""</f>
        <v/>
      </c>
      <c r="B2399" s="1"/>
      <c r="H2399">
        <v>197.98</v>
      </c>
      <c r="J2399" t="s">
        <v>19</v>
      </c>
      <c r="L2399" s="1"/>
      <c r="N2399" s="1"/>
      <c r="V2399" t="str">
        <f>"59140"</f>
        <v>59140</v>
      </c>
      <c r="W2399">
        <v>37.619999999999997</v>
      </c>
      <c r="X2399">
        <v>0</v>
      </c>
    </row>
    <row r="2400" spans="1:24" ht="15" customHeight="1" x14ac:dyDescent="0.25">
      <c r="A2400" t="str">
        <f>""</f>
        <v/>
      </c>
      <c r="B2400" s="1"/>
      <c r="H2400">
        <v>40</v>
      </c>
      <c r="J2400" t="s">
        <v>19</v>
      </c>
      <c r="L2400" s="1"/>
      <c r="N2400" s="1"/>
      <c r="V2400" t="str">
        <f>"59140"</f>
        <v>59140</v>
      </c>
      <c r="W2400">
        <v>7.6</v>
      </c>
      <c r="X2400">
        <v>0</v>
      </c>
    </row>
    <row r="2401" spans="1:24" ht="15" customHeight="1" x14ac:dyDescent="0.25">
      <c r="A2401" t="str">
        <f>""</f>
        <v/>
      </c>
      <c r="B2401" s="1"/>
      <c r="H2401">
        <v>116.85</v>
      </c>
      <c r="J2401" t="s">
        <v>20</v>
      </c>
      <c r="L2401" s="1"/>
      <c r="N2401" s="1"/>
      <c r="V2401" t="str">
        <f>"51100"</f>
        <v>51100</v>
      </c>
      <c r="W2401">
        <v>29.21</v>
      </c>
      <c r="X2401">
        <v>0</v>
      </c>
    </row>
    <row r="2402" spans="1:24" ht="15" customHeight="1" x14ac:dyDescent="0.25">
      <c r="A2402" t="str">
        <f>""</f>
        <v/>
      </c>
      <c r="B2402" s="1"/>
      <c r="H2402">
        <v>55.14</v>
      </c>
      <c r="J2402" t="s">
        <v>20</v>
      </c>
      <c r="L2402" s="1"/>
      <c r="N2402" s="1"/>
      <c r="V2402" t="str">
        <f>"75010"</f>
        <v>75010</v>
      </c>
      <c r="W2402">
        <v>0</v>
      </c>
      <c r="X2402">
        <v>0</v>
      </c>
    </row>
    <row r="2403" spans="1:24" ht="15" customHeight="1" x14ac:dyDescent="0.25">
      <c r="A2403" t="str">
        <f>""</f>
        <v/>
      </c>
      <c r="B2403" s="1"/>
      <c r="H2403">
        <v>154.4</v>
      </c>
      <c r="J2403" t="s">
        <v>19</v>
      </c>
      <c r="L2403" s="1"/>
      <c r="N2403" s="1"/>
      <c r="V2403" t="str">
        <f>"27091"</f>
        <v>27091</v>
      </c>
      <c r="W2403">
        <v>26.25</v>
      </c>
      <c r="X2403">
        <v>0</v>
      </c>
    </row>
    <row r="2404" spans="1:24" ht="15" customHeight="1" x14ac:dyDescent="0.25">
      <c r="A2404" t="str">
        <f>""</f>
        <v/>
      </c>
      <c r="B2404" s="1"/>
      <c r="H2404">
        <v>40</v>
      </c>
      <c r="J2404" t="s">
        <v>20</v>
      </c>
      <c r="L2404" s="1"/>
      <c r="N2404" s="1"/>
      <c r="V2404" t="str">
        <f>"13010"</f>
        <v>13010</v>
      </c>
      <c r="W2404">
        <v>11.6</v>
      </c>
      <c r="X2404">
        <v>0</v>
      </c>
    </row>
    <row r="2405" spans="1:24" ht="15" customHeight="1" x14ac:dyDescent="0.25">
      <c r="A2405" t="str">
        <f>""</f>
        <v/>
      </c>
      <c r="B2405" s="1"/>
      <c r="H2405">
        <v>183.52</v>
      </c>
      <c r="J2405" t="s">
        <v>19</v>
      </c>
      <c r="L2405" s="1"/>
      <c r="N2405" s="1"/>
      <c r="V2405" t="str">
        <f>"44327"</f>
        <v>44327</v>
      </c>
      <c r="W2405">
        <v>49.55</v>
      </c>
      <c r="X2405">
        <v>0</v>
      </c>
    </row>
    <row r="2406" spans="1:24" ht="15" customHeight="1" x14ac:dyDescent="0.25">
      <c r="A2406" t="str">
        <f>""</f>
        <v/>
      </c>
      <c r="B2406" s="1"/>
      <c r="H2406">
        <v>151</v>
      </c>
      <c r="J2406" t="s">
        <v>22</v>
      </c>
      <c r="L2406" s="1"/>
      <c r="N2406" s="1"/>
      <c r="V2406" t="str">
        <f>"76600"</f>
        <v>76600</v>
      </c>
      <c r="W2406">
        <v>0</v>
      </c>
      <c r="X2406">
        <v>25.67</v>
      </c>
    </row>
    <row r="2407" spans="1:24" ht="15" customHeight="1" x14ac:dyDescent="0.25">
      <c r="A2407" t="str">
        <f>""</f>
        <v/>
      </c>
      <c r="B2407" s="1"/>
      <c r="H2407">
        <v>171</v>
      </c>
      <c r="L2407" s="1"/>
      <c r="N2407" s="1"/>
      <c r="V2407" t="str">
        <f>"77184"</f>
        <v>77184</v>
      </c>
      <c r="W2407">
        <v>0</v>
      </c>
      <c r="X2407">
        <v>0</v>
      </c>
    </row>
    <row r="2408" spans="1:24" ht="15" customHeight="1" x14ac:dyDescent="0.25">
      <c r="A2408" t="str">
        <f>""</f>
        <v/>
      </c>
      <c r="B2408" s="1"/>
      <c r="H2408">
        <v>140</v>
      </c>
      <c r="J2408" t="s">
        <v>23</v>
      </c>
      <c r="L2408" s="1"/>
      <c r="N2408" s="1"/>
      <c r="V2408" t="str">
        <f>"13010"</f>
        <v>13010</v>
      </c>
      <c r="W2408">
        <v>0</v>
      </c>
      <c r="X2408">
        <v>0</v>
      </c>
    </row>
    <row r="2409" spans="1:24" ht="15" customHeight="1" x14ac:dyDescent="0.25">
      <c r="A2409" t="str">
        <f>""</f>
        <v/>
      </c>
      <c r="B2409" s="1"/>
      <c r="H2409">
        <v>140</v>
      </c>
      <c r="J2409" t="s">
        <v>23</v>
      </c>
      <c r="L2409" s="1"/>
      <c r="N2409" s="1"/>
      <c r="V2409" t="str">
        <f>"59000"</f>
        <v>59000</v>
      </c>
      <c r="W2409">
        <v>0</v>
      </c>
      <c r="X2409">
        <v>0</v>
      </c>
    </row>
    <row r="2410" spans="1:24" ht="15" customHeight="1" x14ac:dyDescent="0.25">
      <c r="A2410" t="str">
        <f>""</f>
        <v/>
      </c>
      <c r="B2410" s="1"/>
      <c r="H2410">
        <v>140</v>
      </c>
      <c r="J2410" t="s">
        <v>22</v>
      </c>
      <c r="L2410" s="1"/>
      <c r="V2410" t="str">
        <f>"56140"</f>
        <v>56140</v>
      </c>
      <c r="W2410">
        <v>0</v>
      </c>
      <c r="X2410">
        <v>0</v>
      </c>
    </row>
    <row r="2411" spans="1:24" ht="15" customHeight="1" x14ac:dyDescent="0.25">
      <c r="A2411" t="str">
        <f>""</f>
        <v/>
      </c>
      <c r="B2411" s="1"/>
      <c r="H2411">
        <v>125.73</v>
      </c>
      <c r="J2411" t="s">
        <v>20</v>
      </c>
      <c r="L2411" s="1"/>
      <c r="N2411" s="1"/>
      <c r="V2411" t="str">
        <f>"29800"</f>
        <v>29800</v>
      </c>
      <c r="W2411">
        <v>49.03</v>
      </c>
      <c r="X2411">
        <v>0</v>
      </c>
    </row>
    <row r="2412" spans="1:24" ht="15" customHeight="1" x14ac:dyDescent="0.25">
      <c r="A2412" t="str">
        <f>""</f>
        <v/>
      </c>
      <c r="B2412" s="1"/>
      <c r="H2412">
        <v>50</v>
      </c>
      <c r="J2412" t="s">
        <v>19</v>
      </c>
      <c r="L2412" s="1"/>
      <c r="N2412" s="1"/>
      <c r="V2412" t="str">
        <f>"13014"</f>
        <v>13014</v>
      </c>
      <c r="W2412">
        <v>14.5</v>
      </c>
      <c r="X2412">
        <v>0</v>
      </c>
    </row>
    <row r="2413" spans="1:24" ht="15" customHeight="1" x14ac:dyDescent="0.25">
      <c r="A2413" t="str">
        <f>""</f>
        <v/>
      </c>
      <c r="B2413" s="1"/>
      <c r="H2413">
        <v>183.81</v>
      </c>
      <c r="J2413" t="s">
        <v>20</v>
      </c>
      <c r="L2413" s="1"/>
      <c r="N2413" s="1"/>
      <c r="V2413" t="str">
        <f>"21200"</f>
        <v>21200</v>
      </c>
      <c r="W2413">
        <v>44.11</v>
      </c>
      <c r="X2413">
        <v>0</v>
      </c>
    </row>
    <row r="2414" spans="1:24" ht="15" customHeight="1" x14ac:dyDescent="0.25">
      <c r="A2414" t="str">
        <f>""</f>
        <v/>
      </c>
      <c r="B2414" s="1"/>
      <c r="H2414">
        <v>149.79</v>
      </c>
      <c r="J2414" t="s">
        <v>20</v>
      </c>
      <c r="L2414" s="1"/>
      <c r="V2414" t="str">
        <f>"34500"</f>
        <v>34500</v>
      </c>
      <c r="W2414">
        <v>0</v>
      </c>
      <c r="X2414">
        <v>0</v>
      </c>
    </row>
    <row r="2415" spans="1:24" ht="15" customHeight="1" x14ac:dyDescent="0.25">
      <c r="A2415" t="str">
        <f>""</f>
        <v/>
      </c>
      <c r="B2415" s="1"/>
      <c r="H2415">
        <v>114.42</v>
      </c>
      <c r="J2415" t="s">
        <v>20</v>
      </c>
      <c r="L2415" s="1"/>
      <c r="N2415" s="1"/>
      <c r="V2415" t="str">
        <f>"75009"</f>
        <v>75009</v>
      </c>
      <c r="W2415">
        <v>0</v>
      </c>
      <c r="X2415">
        <v>0</v>
      </c>
    </row>
    <row r="2416" spans="1:24" ht="15" customHeight="1" x14ac:dyDescent="0.25">
      <c r="A2416" t="str">
        <f>""</f>
        <v/>
      </c>
      <c r="B2416" s="1"/>
      <c r="H2416">
        <v>186</v>
      </c>
      <c r="L2416" s="1"/>
      <c r="N2416" s="1"/>
      <c r="V2416" t="str">
        <f>"77184"</f>
        <v>77184</v>
      </c>
      <c r="W2416">
        <v>0</v>
      </c>
      <c r="X2416">
        <v>0</v>
      </c>
    </row>
    <row r="2417" spans="1:24" ht="15" customHeight="1" x14ac:dyDescent="0.25">
      <c r="A2417" t="str">
        <f>""</f>
        <v/>
      </c>
      <c r="B2417" s="1"/>
      <c r="H2417">
        <v>287.36</v>
      </c>
      <c r="J2417" t="s">
        <v>19</v>
      </c>
      <c r="L2417" s="1"/>
      <c r="N2417" s="1"/>
      <c r="V2417" t="str">
        <f>"69005"</f>
        <v>69005</v>
      </c>
      <c r="W2417">
        <v>77.59</v>
      </c>
      <c r="X2417">
        <v>0</v>
      </c>
    </row>
    <row r="2418" spans="1:24" ht="15" customHeight="1" x14ac:dyDescent="0.25">
      <c r="A2418" t="str">
        <f>""</f>
        <v/>
      </c>
      <c r="B2418" s="1"/>
      <c r="H2418">
        <v>33.35</v>
      </c>
      <c r="J2418" t="s">
        <v>19</v>
      </c>
      <c r="L2418" s="1"/>
      <c r="N2418" s="1"/>
      <c r="V2418" t="str">
        <f>"69005"</f>
        <v>69005</v>
      </c>
      <c r="W2418">
        <v>9</v>
      </c>
      <c r="X2418">
        <v>0</v>
      </c>
    </row>
    <row r="2419" spans="1:24" ht="15" customHeight="1" x14ac:dyDescent="0.25">
      <c r="A2419" t="str">
        <f>""</f>
        <v/>
      </c>
      <c r="B2419" s="1"/>
      <c r="H2419">
        <v>71.819999999999993</v>
      </c>
      <c r="J2419" t="s">
        <v>23</v>
      </c>
      <c r="L2419" s="1"/>
      <c r="N2419" s="1"/>
      <c r="V2419" t="str">
        <f>"90000"</f>
        <v>90000</v>
      </c>
      <c r="W2419">
        <v>0</v>
      </c>
      <c r="X2419">
        <v>5.75</v>
      </c>
    </row>
    <row r="2420" spans="1:24" ht="15" customHeight="1" x14ac:dyDescent="0.25">
      <c r="A2420" t="str">
        <f>""</f>
        <v/>
      </c>
      <c r="B2420" s="1"/>
      <c r="H2420">
        <v>40</v>
      </c>
      <c r="J2420" t="s">
        <v>20</v>
      </c>
      <c r="L2420" s="1"/>
      <c r="N2420" s="1"/>
      <c r="V2420" t="str">
        <f>"44300"</f>
        <v>44300</v>
      </c>
      <c r="W2420">
        <v>10.8</v>
      </c>
      <c r="X2420">
        <v>0</v>
      </c>
    </row>
    <row r="2421" spans="1:24" ht="15" customHeight="1" x14ac:dyDescent="0.25">
      <c r="A2421" t="str">
        <f>""</f>
        <v/>
      </c>
      <c r="B2421" s="1"/>
      <c r="H2421">
        <v>131.97999999999999</v>
      </c>
      <c r="J2421" t="s">
        <v>20</v>
      </c>
      <c r="L2421" s="1"/>
      <c r="N2421" s="1"/>
      <c r="V2421" t="str">
        <f>"79000"</f>
        <v>79000</v>
      </c>
      <c r="W2421">
        <v>27.72</v>
      </c>
      <c r="X2421">
        <v>0</v>
      </c>
    </row>
    <row r="2422" spans="1:24" ht="15" customHeight="1" x14ac:dyDescent="0.25">
      <c r="A2422" t="str">
        <f>""</f>
        <v/>
      </c>
      <c r="B2422" s="1"/>
      <c r="H2422">
        <v>131.97999999999999</v>
      </c>
      <c r="J2422" t="s">
        <v>20</v>
      </c>
      <c r="L2422" s="1"/>
      <c r="N2422" s="1"/>
      <c r="V2422" t="str">
        <f>"17300"</f>
        <v>17300</v>
      </c>
      <c r="W2422">
        <v>27.72</v>
      </c>
      <c r="X2422">
        <v>0</v>
      </c>
    </row>
    <row r="2423" spans="1:24" ht="15" customHeight="1" x14ac:dyDescent="0.25">
      <c r="A2423" t="str">
        <f>""</f>
        <v/>
      </c>
      <c r="B2423" s="1"/>
      <c r="H2423">
        <v>131.97999999999999</v>
      </c>
      <c r="J2423" t="s">
        <v>20</v>
      </c>
      <c r="L2423" s="1"/>
      <c r="N2423" s="1"/>
      <c r="V2423" t="str">
        <f>"17700"</f>
        <v>17700</v>
      </c>
      <c r="W2423">
        <v>27.72</v>
      </c>
      <c r="X2423">
        <v>0</v>
      </c>
    </row>
    <row r="2424" spans="1:24" ht="15" customHeight="1" x14ac:dyDescent="0.25">
      <c r="A2424" t="str">
        <f>""</f>
        <v/>
      </c>
      <c r="B2424" s="1"/>
      <c r="H2424">
        <v>43.44</v>
      </c>
      <c r="J2424" t="s">
        <v>20</v>
      </c>
      <c r="L2424" s="1"/>
      <c r="N2424" s="1"/>
      <c r="V2424" t="str">
        <f>"54300"</f>
        <v>54300</v>
      </c>
      <c r="W2424">
        <v>10.86</v>
      </c>
      <c r="X2424">
        <v>0</v>
      </c>
    </row>
    <row r="2425" spans="1:24" ht="15" customHeight="1" x14ac:dyDescent="0.25">
      <c r="A2425" t="str">
        <f>""</f>
        <v/>
      </c>
      <c r="B2425" s="1"/>
      <c r="H2425">
        <v>150</v>
      </c>
      <c r="J2425" t="s">
        <v>23</v>
      </c>
      <c r="L2425" s="1"/>
      <c r="N2425" s="1"/>
      <c r="V2425" t="str">
        <f>"60100"</f>
        <v>60100</v>
      </c>
      <c r="W2425">
        <v>0</v>
      </c>
      <c r="X2425">
        <v>0</v>
      </c>
    </row>
    <row r="2426" spans="1:24" ht="15" customHeight="1" x14ac:dyDescent="0.25">
      <c r="A2426" t="str">
        <f>""</f>
        <v/>
      </c>
      <c r="B2426" s="1"/>
      <c r="H2426">
        <v>90.99</v>
      </c>
      <c r="J2426" t="s">
        <v>22</v>
      </c>
      <c r="L2426" s="1"/>
      <c r="V2426" t="str">
        <f>"69100"</f>
        <v>69100</v>
      </c>
      <c r="W2426">
        <v>0</v>
      </c>
      <c r="X2426">
        <v>0</v>
      </c>
    </row>
    <row r="2427" spans="1:24" ht="15" customHeight="1" x14ac:dyDescent="0.25">
      <c r="A2427" t="str">
        <f>""</f>
        <v/>
      </c>
      <c r="B2427" s="1"/>
      <c r="H2427">
        <v>40</v>
      </c>
      <c r="J2427" t="s">
        <v>23</v>
      </c>
      <c r="L2427" s="1"/>
      <c r="N2427" s="1"/>
      <c r="V2427" t="str">
        <f>"14000"</f>
        <v>14000</v>
      </c>
      <c r="W2427">
        <v>0</v>
      </c>
      <c r="X2427">
        <v>0</v>
      </c>
    </row>
    <row r="2428" spans="1:24" ht="15" customHeight="1" x14ac:dyDescent="0.25">
      <c r="A2428" t="str">
        <f>""</f>
        <v/>
      </c>
      <c r="B2428" s="1"/>
      <c r="H2428">
        <v>205</v>
      </c>
      <c r="J2428" t="s">
        <v>22</v>
      </c>
      <c r="L2428" s="1"/>
      <c r="N2428" s="1"/>
      <c r="V2428" t="str">
        <f>"38340"</f>
        <v>38340</v>
      </c>
      <c r="W2428">
        <v>0</v>
      </c>
      <c r="X2428">
        <v>0</v>
      </c>
    </row>
    <row r="2429" spans="1:24" ht="15" customHeight="1" x14ac:dyDescent="0.25">
      <c r="A2429" t="str">
        <f>""</f>
        <v/>
      </c>
      <c r="B2429" s="1"/>
      <c r="H2429">
        <v>174.92</v>
      </c>
      <c r="J2429" t="s">
        <v>23</v>
      </c>
      <c r="L2429" s="1"/>
      <c r="N2429" s="1"/>
      <c r="V2429" t="str">
        <f>"01630"</f>
        <v>01630</v>
      </c>
      <c r="W2429">
        <v>0</v>
      </c>
      <c r="X2429">
        <v>0</v>
      </c>
    </row>
    <row r="2430" spans="1:24" ht="15" customHeight="1" x14ac:dyDescent="0.25">
      <c r="A2430" t="str">
        <f>""</f>
        <v/>
      </c>
      <c r="B2430" s="1"/>
      <c r="H2430">
        <v>180</v>
      </c>
      <c r="J2430" t="s">
        <v>23</v>
      </c>
      <c r="L2430" s="1"/>
      <c r="N2430" s="1"/>
      <c r="V2430" t="str">
        <f>"42000"</f>
        <v>42000</v>
      </c>
      <c r="W2430">
        <v>0</v>
      </c>
      <c r="X2430">
        <v>0</v>
      </c>
    </row>
    <row r="2431" spans="1:24" ht="15" customHeight="1" x14ac:dyDescent="0.25">
      <c r="A2431" t="str">
        <f>""</f>
        <v/>
      </c>
      <c r="B2431" s="1"/>
      <c r="H2431">
        <v>155</v>
      </c>
      <c r="J2431" t="s">
        <v>22</v>
      </c>
      <c r="L2431" s="1"/>
      <c r="N2431" s="1"/>
      <c r="V2431" t="str">
        <f>"69007"</f>
        <v>69007</v>
      </c>
      <c r="W2431">
        <v>0</v>
      </c>
      <c r="X2431">
        <v>0</v>
      </c>
    </row>
    <row r="2432" spans="1:24" ht="15" customHeight="1" x14ac:dyDescent="0.25">
      <c r="A2432" t="str">
        <f>""</f>
        <v/>
      </c>
      <c r="B2432" s="1"/>
      <c r="H2432">
        <v>180</v>
      </c>
      <c r="J2432" t="s">
        <v>23</v>
      </c>
      <c r="L2432" s="1"/>
      <c r="N2432" s="1"/>
      <c r="V2432" t="str">
        <f>"13001"</f>
        <v>13001</v>
      </c>
      <c r="W2432">
        <v>0</v>
      </c>
      <c r="X2432">
        <v>0</v>
      </c>
    </row>
    <row r="2433" spans="1:24" ht="15" customHeight="1" x14ac:dyDescent="0.25">
      <c r="A2433" t="str">
        <f>""</f>
        <v/>
      </c>
      <c r="B2433" s="1"/>
      <c r="H2433">
        <v>70</v>
      </c>
      <c r="J2433" t="s">
        <v>22</v>
      </c>
      <c r="L2433" s="1"/>
      <c r="N2433" s="1"/>
      <c r="V2433" t="str">
        <f>"58000"</f>
        <v>58000</v>
      </c>
      <c r="W2433">
        <v>0</v>
      </c>
      <c r="X2433">
        <v>8.4</v>
      </c>
    </row>
    <row r="2434" spans="1:24" ht="15" customHeight="1" x14ac:dyDescent="0.25">
      <c r="A2434" t="str">
        <f>""</f>
        <v/>
      </c>
      <c r="B2434" s="1"/>
      <c r="H2434">
        <v>40</v>
      </c>
      <c r="J2434" t="s">
        <v>22</v>
      </c>
      <c r="L2434" s="1"/>
      <c r="V2434" t="str">
        <f>"69120"</f>
        <v>69120</v>
      </c>
      <c r="W2434">
        <v>0</v>
      </c>
      <c r="X2434">
        <v>0</v>
      </c>
    </row>
    <row r="2435" spans="1:24" ht="15" customHeight="1" x14ac:dyDescent="0.25">
      <c r="A2435" t="str">
        <f>""</f>
        <v/>
      </c>
      <c r="B2435" s="1"/>
      <c r="H2435">
        <v>25</v>
      </c>
      <c r="J2435" t="s">
        <v>23</v>
      </c>
      <c r="L2435" s="1"/>
      <c r="V2435" t="str">
        <f>"63550"</f>
        <v>63550</v>
      </c>
      <c r="W2435">
        <v>0</v>
      </c>
      <c r="X2435">
        <v>0</v>
      </c>
    </row>
    <row r="2436" spans="1:24" ht="15" customHeight="1" x14ac:dyDescent="0.25">
      <c r="A2436" t="str">
        <f>""</f>
        <v/>
      </c>
      <c r="B2436" s="1"/>
      <c r="H2436">
        <v>38.6</v>
      </c>
      <c r="J2436" t="s">
        <v>23</v>
      </c>
      <c r="L2436" s="1"/>
      <c r="N2436" s="1"/>
      <c r="V2436" t="str">
        <f>"13180"</f>
        <v>13180</v>
      </c>
      <c r="W2436">
        <v>0</v>
      </c>
      <c r="X2436">
        <v>10.42</v>
      </c>
    </row>
    <row r="2437" spans="1:24" ht="15" customHeight="1" x14ac:dyDescent="0.25">
      <c r="A2437" t="str">
        <f>""</f>
        <v/>
      </c>
      <c r="B2437" s="1"/>
      <c r="H2437">
        <v>220</v>
      </c>
      <c r="J2437" t="s">
        <v>22</v>
      </c>
      <c r="L2437" s="1"/>
      <c r="N2437" s="1"/>
      <c r="V2437" t="str">
        <f>"34220"</f>
        <v>34220</v>
      </c>
      <c r="W2437">
        <v>0</v>
      </c>
      <c r="X2437">
        <v>0</v>
      </c>
    </row>
    <row r="2438" spans="1:24" ht="15" customHeight="1" x14ac:dyDescent="0.25">
      <c r="A2438" t="str">
        <f>""</f>
        <v/>
      </c>
      <c r="B2438" s="1"/>
      <c r="H2438">
        <v>22.8</v>
      </c>
      <c r="J2438" t="s">
        <v>23</v>
      </c>
      <c r="L2438" s="1"/>
      <c r="V2438" t="str">
        <f>"66100"</f>
        <v>66100</v>
      </c>
      <c r="W2438">
        <v>0</v>
      </c>
      <c r="X2438">
        <v>0</v>
      </c>
    </row>
    <row r="2439" spans="1:24" ht="15" customHeight="1" x14ac:dyDescent="0.25">
      <c r="A2439" t="str">
        <f>""</f>
        <v/>
      </c>
      <c r="B2439" s="1"/>
      <c r="H2439">
        <v>76</v>
      </c>
      <c r="J2439" t="s">
        <v>22</v>
      </c>
      <c r="L2439" s="1"/>
      <c r="V2439" t="str">
        <f>"70000"</f>
        <v>70000</v>
      </c>
      <c r="W2439">
        <v>0</v>
      </c>
      <c r="X2439">
        <v>0</v>
      </c>
    </row>
    <row r="2440" spans="1:24" ht="15" customHeight="1" x14ac:dyDescent="0.25">
      <c r="A2440" t="str">
        <f>""</f>
        <v/>
      </c>
      <c r="B2440" s="1"/>
      <c r="H2440">
        <v>50.84</v>
      </c>
      <c r="J2440" t="s">
        <v>20</v>
      </c>
      <c r="L2440" s="1"/>
      <c r="N2440" s="1"/>
      <c r="V2440" t="str">
        <f>"92000"</f>
        <v>92000</v>
      </c>
      <c r="W2440">
        <v>0</v>
      </c>
      <c r="X2440">
        <v>0</v>
      </c>
    </row>
    <row r="2441" spans="1:24" x14ac:dyDescent="0.25">
      <c r="A2441" t="str">
        <f>""</f>
        <v/>
      </c>
      <c r="B2441" s="1"/>
      <c r="H2441">
        <v>52.5</v>
      </c>
      <c r="J2441" t="s">
        <v>15</v>
      </c>
      <c r="L2441" s="1"/>
      <c r="N2441" s="1"/>
      <c r="V2441" t="str">
        <f>"57000"</f>
        <v>57000</v>
      </c>
      <c r="W2441">
        <v>0</v>
      </c>
      <c r="X2441">
        <v>0</v>
      </c>
    </row>
    <row r="2442" spans="1:24" x14ac:dyDescent="0.25">
      <c r="A2442" t="str">
        <f>""</f>
        <v/>
      </c>
      <c r="B2442" s="1"/>
      <c r="H2442">
        <v>52.5</v>
      </c>
      <c r="J2442" t="s">
        <v>15</v>
      </c>
      <c r="L2442" s="1"/>
      <c r="N2442" s="1"/>
      <c r="V2442" t="str">
        <f>"83200"</f>
        <v>83200</v>
      </c>
      <c r="W2442">
        <v>0</v>
      </c>
      <c r="X2442">
        <v>0</v>
      </c>
    </row>
    <row r="2443" spans="1:24" x14ac:dyDescent="0.25">
      <c r="A2443" t="str">
        <f>""</f>
        <v/>
      </c>
      <c r="B2443" s="1"/>
      <c r="H2443">
        <v>52.5</v>
      </c>
      <c r="J2443" t="s">
        <v>15</v>
      </c>
      <c r="L2443" s="1"/>
      <c r="N2443" s="1"/>
      <c r="V2443" t="str">
        <f>"26500"</f>
        <v>26500</v>
      </c>
      <c r="W2443">
        <v>0</v>
      </c>
      <c r="X2443">
        <v>0</v>
      </c>
    </row>
    <row r="2444" spans="1:24" ht="15" customHeight="1" x14ac:dyDescent="0.25">
      <c r="A2444" t="str">
        <f>""</f>
        <v/>
      </c>
      <c r="B2444" s="1"/>
      <c r="H2444">
        <v>70</v>
      </c>
      <c r="J2444" t="s">
        <v>23</v>
      </c>
      <c r="L2444" s="1"/>
      <c r="N2444" s="1"/>
      <c r="V2444" t="str">
        <f>"85000"</f>
        <v>85000</v>
      </c>
      <c r="W2444">
        <v>0</v>
      </c>
      <c r="X2444">
        <v>0</v>
      </c>
    </row>
    <row r="2445" spans="1:24" ht="15" customHeight="1" x14ac:dyDescent="0.25">
      <c r="A2445" t="str">
        <f>""</f>
        <v/>
      </c>
      <c r="B2445" s="1"/>
      <c r="H2445">
        <v>75.16</v>
      </c>
      <c r="J2445" t="s">
        <v>20</v>
      </c>
      <c r="L2445" s="1"/>
      <c r="N2445" s="1"/>
      <c r="V2445" t="str">
        <f>"93013"</f>
        <v>93013</v>
      </c>
      <c r="W2445">
        <v>0</v>
      </c>
      <c r="X2445">
        <v>0</v>
      </c>
    </row>
    <row r="2446" spans="1:24" ht="15" customHeight="1" x14ac:dyDescent="0.25">
      <c r="A2446" t="str">
        <f>""</f>
        <v/>
      </c>
      <c r="B2446" s="1"/>
      <c r="H2446">
        <v>140</v>
      </c>
      <c r="J2446" t="s">
        <v>23</v>
      </c>
      <c r="L2446" s="1"/>
      <c r="V2446" t="str">
        <f>"77250"</f>
        <v>77250</v>
      </c>
      <c r="W2446">
        <v>0</v>
      </c>
      <c r="X2446">
        <v>0</v>
      </c>
    </row>
    <row r="2447" spans="1:24" ht="15" customHeight="1" x14ac:dyDescent="0.25">
      <c r="A2447" t="str">
        <f>""</f>
        <v/>
      </c>
      <c r="B2447" s="1"/>
      <c r="H2447">
        <v>250</v>
      </c>
      <c r="J2447" t="s">
        <v>22</v>
      </c>
      <c r="L2447" s="1"/>
      <c r="N2447" s="1"/>
      <c r="V2447" t="str">
        <f>"67000"</f>
        <v>67000</v>
      </c>
      <c r="W2447">
        <v>0</v>
      </c>
      <c r="X2447">
        <v>20</v>
      </c>
    </row>
    <row r="2448" spans="1:24" ht="15" customHeight="1" x14ac:dyDescent="0.25">
      <c r="A2448" t="str">
        <f>""</f>
        <v/>
      </c>
      <c r="B2448" s="1"/>
      <c r="H2448">
        <v>151</v>
      </c>
      <c r="J2448" t="s">
        <v>22</v>
      </c>
      <c r="L2448" s="1"/>
      <c r="N2448" s="1"/>
      <c r="V2448" t="str">
        <f>"06560"</f>
        <v>06560</v>
      </c>
      <c r="W2448">
        <v>0</v>
      </c>
      <c r="X2448">
        <v>0</v>
      </c>
    </row>
    <row r="2449" spans="1:24" ht="15" customHeight="1" x14ac:dyDescent="0.25">
      <c r="A2449" t="str">
        <f>""</f>
        <v/>
      </c>
      <c r="B2449" s="1"/>
      <c r="H2449">
        <v>84.5</v>
      </c>
      <c r="L2449" s="1"/>
      <c r="N2449" s="1"/>
      <c r="V2449" t="str">
        <f>"77184"</f>
        <v>77184</v>
      </c>
      <c r="W2449">
        <v>0</v>
      </c>
      <c r="X2449">
        <v>0</v>
      </c>
    </row>
    <row r="2450" spans="1:24" x14ac:dyDescent="0.25">
      <c r="A2450" t="str">
        <f>""</f>
        <v/>
      </c>
      <c r="B2450" s="1"/>
      <c r="H2450">
        <v>53.4</v>
      </c>
      <c r="J2450" t="s">
        <v>16</v>
      </c>
      <c r="L2450" s="1"/>
      <c r="N2450" s="1"/>
      <c r="V2450" t="str">
        <f>"21000"</f>
        <v>21000</v>
      </c>
      <c r="W2450">
        <v>0</v>
      </c>
      <c r="X2450">
        <v>13.35</v>
      </c>
    </row>
    <row r="2451" spans="1:24" ht="15" customHeight="1" x14ac:dyDescent="0.25">
      <c r="A2451" t="str">
        <f>""</f>
        <v/>
      </c>
      <c r="B2451" s="1"/>
      <c r="J2451" t="s">
        <v>20</v>
      </c>
      <c r="L2451" s="1"/>
      <c r="V2451" t="str">
        <f>"59500"</f>
        <v>59500</v>
      </c>
      <c r="W2451">
        <v>0</v>
      </c>
      <c r="X2451">
        <v>0</v>
      </c>
    </row>
    <row r="2452" spans="1:24" ht="15" customHeight="1" x14ac:dyDescent="0.25">
      <c r="A2452" t="str">
        <f>""</f>
        <v/>
      </c>
      <c r="B2452" s="1"/>
      <c r="H2452">
        <v>151</v>
      </c>
      <c r="J2452" t="s">
        <v>22</v>
      </c>
      <c r="L2452" s="1"/>
      <c r="N2452" s="1"/>
      <c r="V2452" t="str">
        <f>"75013"</f>
        <v>75013</v>
      </c>
      <c r="W2452">
        <v>0</v>
      </c>
      <c r="X2452">
        <v>0</v>
      </c>
    </row>
    <row r="2453" spans="1:24" ht="15" customHeight="1" x14ac:dyDescent="0.25">
      <c r="A2453" t="str">
        <f>""</f>
        <v/>
      </c>
      <c r="B2453" s="1"/>
      <c r="H2453">
        <v>68</v>
      </c>
      <c r="L2453" s="1"/>
      <c r="N2453" s="1"/>
      <c r="V2453" t="str">
        <f>"77184"</f>
        <v>77184</v>
      </c>
      <c r="W2453">
        <v>0</v>
      </c>
      <c r="X2453">
        <v>0</v>
      </c>
    </row>
    <row r="2454" spans="1:24" x14ac:dyDescent="0.25">
      <c r="A2454" t="str">
        <f>""</f>
        <v/>
      </c>
      <c r="B2454" s="1"/>
      <c r="H2454">
        <v>140</v>
      </c>
      <c r="J2454" t="s">
        <v>15</v>
      </c>
      <c r="L2454" s="1"/>
      <c r="N2454" s="1"/>
      <c r="V2454" t="str">
        <f>"50400"</f>
        <v>50400</v>
      </c>
      <c r="W2454">
        <v>0</v>
      </c>
      <c r="X2454">
        <v>0</v>
      </c>
    </row>
    <row r="2455" spans="1:24" ht="15" customHeight="1" x14ac:dyDescent="0.25">
      <c r="A2455" t="str">
        <f>""</f>
        <v/>
      </c>
      <c r="B2455" s="1"/>
      <c r="H2455">
        <v>84.5</v>
      </c>
      <c r="L2455" s="1"/>
      <c r="N2455" s="1"/>
      <c r="V2455" t="str">
        <f>"77184"</f>
        <v>77184</v>
      </c>
      <c r="W2455">
        <v>0</v>
      </c>
      <c r="X2455">
        <v>0</v>
      </c>
    </row>
    <row r="2456" spans="1:24" ht="15" customHeight="1" x14ac:dyDescent="0.25">
      <c r="A2456" t="str">
        <f>""</f>
        <v/>
      </c>
      <c r="B2456" s="1"/>
      <c r="H2456">
        <v>74.540000000000006</v>
      </c>
      <c r="J2456" t="s">
        <v>23</v>
      </c>
      <c r="L2456" s="1"/>
      <c r="N2456" s="1"/>
      <c r="V2456" t="str">
        <f>"68740"</f>
        <v>68740</v>
      </c>
      <c r="W2456">
        <v>0</v>
      </c>
      <c r="X2456">
        <v>0</v>
      </c>
    </row>
    <row r="2457" spans="1:24" ht="15" customHeight="1" x14ac:dyDescent="0.25">
      <c r="A2457" t="str">
        <f>""</f>
        <v/>
      </c>
      <c r="B2457" s="1"/>
      <c r="H2457">
        <v>107.6</v>
      </c>
      <c r="J2457" t="s">
        <v>19</v>
      </c>
      <c r="L2457" s="1"/>
      <c r="N2457" s="1"/>
      <c r="V2457" t="str">
        <f>"75014"</f>
        <v>75014</v>
      </c>
      <c r="W2457">
        <v>0</v>
      </c>
      <c r="X2457">
        <v>0</v>
      </c>
    </row>
    <row r="2458" spans="1:24" ht="15" customHeight="1" x14ac:dyDescent="0.25">
      <c r="A2458" t="str">
        <f>""</f>
        <v/>
      </c>
      <c r="B2458" s="1"/>
      <c r="H2458">
        <v>140</v>
      </c>
      <c r="J2458" t="s">
        <v>19</v>
      </c>
      <c r="L2458" s="1"/>
      <c r="N2458" s="1"/>
      <c r="V2458" t="str">
        <f>"67320"</f>
        <v>67320</v>
      </c>
      <c r="W2458">
        <v>40.6</v>
      </c>
      <c r="X2458">
        <v>0</v>
      </c>
    </row>
    <row r="2459" spans="1:24" ht="15" customHeight="1" x14ac:dyDescent="0.25">
      <c r="A2459" t="str">
        <f>""</f>
        <v/>
      </c>
      <c r="B2459" s="1"/>
      <c r="H2459">
        <v>140</v>
      </c>
      <c r="J2459" t="s">
        <v>23</v>
      </c>
      <c r="L2459" s="1"/>
      <c r="N2459" s="1"/>
      <c r="V2459" t="str">
        <f>"14000"</f>
        <v>14000</v>
      </c>
      <c r="W2459">
        <v>0</v>
      </c>
      <c r="X2459">
        <v>23.8</v>
      </c>
    </row>
    <row r="2460" spans="1:24" ht="15" customHeight="1" x14ac:dyDescent="0.25">
      <c r="A2460" t="str">
        <f>""</f>
        <v/>
      </c>
      <c r="B2460" s="1"/>
      <c r="H2460">
        <v>150</v>
      </c>
      <c r="L2460" s="1"/>
      <c r="N2460" s="1"/>
      <c r="V2460" t="str">
        <f>"77184"</f>
        <v>77184</v>
      </c>
      <c r="W2460">
        <v>0</v>
      </c>
      <c r="X2460">
        <v>0</v>
      </c>
    </row>
    <row r="2461" spans="1:24" ht="15" customHeight="1" x14ac:dyDescent="0.25">
      <c r="A2461" t="str">
        <f>""</f>
        <v/>
      </c>
      <c r="B2461" s="1"/>
      <c r="H2461">
        <v>19.649999999999999</v>
      </c>
      <c r="J2461" t="s">
        <v>19</v>
      </c>
      <c r="L2461" s="1"/>
      <c r="N2461" s="1"/>
      <c r="V2461" t="str">
        <f>"75014"</f>
        <v>75014</v>
      </c>
      <c r="W2461">
        <v>0</v>
      </c>
      <c r="X2461">
        <v>0</v>
      </c>
    </row>
    <row r="2462" spans="1:24" ht="15" customHeight="1" x14ac:dyDescent="0.25">
      <c r="A2462" t="str">
        <f>""</f>
        <v/>
      </c>
      <c r="B2462" s="1"/>
      <c r="H2462">
        <v>5.5</v>
      </c>
      <c r="J2462" t="s">
        <v>19</v>
      </c>
      <c r="L2462" s="1"/>
      <c r="N2462" s="1"/>
      <c r="V2462" t="str">
        <f>"76390"</f>
        <v>76390</v>
      </c>
      <c r="W2462">
        <v>0.94</v>
      </c>
      <c r="X2462">
        <v>0</v>
      </c>
    </row>
    <row r="2463" spans="1:24" ht="15" customHeight="1" x14ac:dyDescent="0.25">
      <c r="A2463" t="str">
        <f>""</f>
        <v/>
      </c>
      <c r="B2463" s="1"/>
      <c r="H2463">
        <v>120.29</v>
      </c>
      <c r="J2463" t="s">
        <v>20</v>
      </c>
      <c r="L2463" s="1"/>
      <c r="N2463" s="1"/>
      <c r="V2463" t="str">
        <f>"75009"</f>
        <v>75009</v>
      </c>
      <c r="W2463">
        <v>0</v>
      </c>
      <c r="X2463">
        <v>0</v>
      </c>
    </row>
    <row r="2464" spans="1:24" ht="15" customHeight="1" x14ac:dyDescent="0.25">
      <c r="A2464" t="str">
        <f>""</f>
        <v/>
      </c>
      <c r="B2464" s="1"/>
      <c r="H2464">
        <v>80.400000000000006</v>
      </c>
      <c r="J2464" t="s">
        <v>23</v>
      </c>
      <c r="L2464" s="1"/>
      <c r="V2464" t="str">
        <f>"75010"</f>
        <v>75010</v>
      </c>
      <c r="W2464">
        <v>0</v>
      </c>
      <c r="X2464">
        <v>0</v>
      </c>
    </row>
    <row r="2465" spans="1:24" ht="15" customHeight="1" x14ac:dyDescent="0.25">
      <c r="A2465" t="str">
        <f>""</f>
        <v/>
      </c>
      <c r="B2465" s="1"/>
      <c r="H2465">
        <v>241.12</v>
      </c>
      <c r="L2465" s="1"/>
      <c r="N2465" s="1"/>
      <c r="V2465" t="str">
        <f>"77184"</f>
        <v>77184</v>
      </c>
      <c r="W2465">
        <v>0</v>
      </c>
      <c r="X2465">
        <v>0</v>
      </c>
    </row>
    <row r="2466" spans="1:24" ht="15" customHeight="1" x14ac:dyDescent="0.25">
      <c r="A2466" t="str">
        <f>""</f>
        <v/>
      </c>
      <c r="B2466" s="1"/>
      <c r="H2466">
        <v>70</v>
      </c>
      <c r="J2466" t="s">
        <v>22</v>
      </c>
      <c r="L2466" s="1"/>
      <c r="N2466" s="1"/>
      <c r="V2466" t="str">
        <f>"06210"</f>
        <v>06210</v>
      </c>
      <c r="W2466">
        <v>0</v>
      </c>
      <c r="X2466">
        <v>0</v>
      </c>
    </row>
    <row r="2467" spans="1:24" x14ac:dyDescent="0.25">
      <c r="A2467" t="str">
        <f>""</f>
        <v/>
      </c>
      <c r="B2467" s="1"/>
      <c r="H2467">
        <v>185.6</v>
      </c>
      <c r="J2467" t="s">
        <v>18</v>
      </c>
      <c r="L2467" s="1"/>
      <c r="N2467" s="1"/>
      <c r="V2467" t="str">
        <f>"75009"</f>
        <v>75009</v>
      </c>
      <c r="W2467">
        <v>0</v>
      </c>
      <c r="X2467">
        <v>0</v>
      </c>
    </row>
    <row r="2468" spans="1:24" ht="15" customHeight="1" x14ac:dyDescent="0.25">
      <c r="A2468" t="str">
        <f>""</f>
        <v/>
      </c>
      <c r="B2468" s="1"/>
      <c r="H2468">
        <v>198.03</v>
      </c>
      <c r="J2468" t="s">
        <v>22</v>
      </c>
      <c r="L2468" s="1"/>
      <c r="N2468" s="1"/>
      <c r="V2468" t="str">
        <f>"67230"</f>
        <v>67230</v>
      </c>
      <c r="W2468">
        <v>0</v>
      </c>
      <c r="X2468">
        <v>15.84</v>
      </c>
    </row>
    <row r="2469" spans="1:24" ht="15" customHeight="1" x14ac:dyDescent="0.25">
      <c r="A2469" t="str">
        <f>""</f>
        <v/>
      </c>
      <c r="B2469" s="1"/>
      <c r="H2469">
        <v>40</v>
      </c>
      <c r="J2469" t="s">
        <v>19</v>
      </c>
      <c r="L2469" s="1"/>
      <c r="N2469" s="1"/>
      <c r="V2469" t="str">
        <f>"25300"</f>
        <v>25300</v>
      </c>
      <c r="W2469">
        <v>9.6</v>
      </c>
      <c r="X2469">
        <v>0</v>
      </c>
    </row>
    <row r="2470" spans="1:24" ht="15" customHeight="1" x14ac:dyDescent="0.25">
      <c r="A2470" t="str">
        <f>""</f>
        <v/>
      </c>
      <c r="B2470" s="1"/>
      <c r="H2470">
        <v>26</v>
      </c>
      <c r="L2470" s="1"/>
      <c r="N2470" s="1"/>
      <c r="V2470" t="str">
        <f>"77184"</f>
        <v>77184</v>
      </c>
      <c r="W2470">
        <v>0</v>
      </c>
      <c r="X2470">
        <v>0</v>
      </c>
    </row>
    <row r="2471" spans="1:24" ht="15" customHeight="1" x14ac:dyDescent="0.25">
      <c r="A2471" t="str">
        <f>""</f>
        <v/>
      </c>
      <c r="B2471" s="1"/>
      <c r="H2471">
        <v>18.350000000000001</v>
      </c>
      <c r="J2471" t="s">
        <v>19</v>
      </c>
      <c r="L2471" s="1"/>
      <c r="N2471" s="1"/>
      <c r="V2471" t="str">
        <f>"62600"</f>
        <v>62600</v>
      </c>
      <c r="W2471">
        <v>3.49</v>
      </c>
      <c r="X2471">
        <v>0</v>
      </c>
    </row>
    <row r="2472" spans="1:24" ht="15" customHeight="1" x14ac:dyDescent="0.25">
      <c r="A2472" t="str">
        <f>""</f>
        <v/>
      </c>
      <c r="B2472" s="1"/>
      <c r="H2472">
        <v>22.5</v>
      </c>
      <c r="L2472" s="1"/>
      <c r="N2472" s="1"/>
      <c r="V2472" t="str">
        <f>"77184"</f>
        <v>77184</v>
      </c>
      <c r="W2472">
        <v>0</v>
      </c>
      <c r="X2472">
        <v>0</v>
      </c>
    </row>
    <row r="2473" spans="1:24" ht="15" customHeight="1" x14ac:dyDescent="0.25">
      <c r="A2473" t="str">
        <f>""</f>
        <v/>
      </c>
      <c r="B2473" s="1"/>
      <c r="H2473">
        <v>183.25</v>
      </c>
      <c r="J2473" t="s">
        <v>20</v>
      </c>
      <c r="L2473" s="1"/>
      <c r="N2473" s="1"/>
      <c r="V2473" t="str">
        <f>"34500"</f>
        <v>34500</v>
      </c>
      <c r="W2473">
        <v>71.47</v>
      </c>
      <c r="X2473">
        <v>0</v>
      </c>
    </row>
    <row r="2474" spans="1:24" ht="15" customHeight="1" x14ac:dyDescent="0.25">
      <c r="A2474" t="str">
        <f>""</f>
        <v/>
      </c>
      <c r="B2474" s="1"/>
      <c r="H2474">
        <v>75.34</v>
      </c>
      <c r="J2474" t="s">
        <v>19</v>
      </c>
      <c r="L2474" s="1"/>
      <c r="N2474" s="1"/>
      <c r="V2474" t="str">
        <f>"76600"</f>
        <v>76600</v>
      </c>
      <c r="W2474">
        <v>12.81</v>
      </c>
      <c r="X2474">
        <v>0</v>
      </c>
    </row>
    <row r="2475" spans="1:24" ht="15" customHeight="1" x14ac:dyDescent="0.25">
      <c r="A2475" t="str">
        <f>""</f>
        <v/>
      </c>
      <c r="B2475" s="1"/>
      <c r="H2475">
        <v>140</v>
      </c>
      <c r="J2475" t="s">
        <v>23</v>
      </c>
      <c r="L2475" s="1"/>
      <c r="N2475" s="1"/>
      <c r="V2475" t="str">
        <f>"05600"</f>
        <v>05600</v>
      </c>
      <c r="W2475">
        <v>0</v>
      </c>
      <c r="X2475">
        <v>0</v>
      </c>
    </row>
    <row r="2476" spans="1:24" ht="15" customHeight="1" x14ac:dyDescent="0.25">
      <c r="A2476" t="str">
        <f>""</f>
        <v/>
      </c>
      <c r="B2476" s="1"/>
      <c r="H2476">
        <v>130.19999999999999</v>
      </c>
      <c r="J2476" t="s">
        <v>20</v>
      </c>
      <c r="L2476" s="1"/>
      <c r="N2476" s="1"/>
      <c r="V2476" t="str">
        <f>"31300"</f>
        <v>31300</v>
      </c>
      <c r="W2476">
        <v>28.64</v>
      </c>
      <c r="X2476">
        <v>0</v>
      </c>
    </row>
    <row r="2477" spans="1:24" ht="15" customHeight="1" x14ac:dyDescent="0.25">
      <c r="A2477" t="str">
        <f>""</f>
        <v/>
      </c>
      <c r="B2477" s="1"/>
      <c r="H2477">
        <v>32.85</v>
      </c>
      <c r="J2477" t="s">
        <v>20</v>
      </c>
      <c r="L2477" s="1"/>
      <c r="N2477" s="1"/>
      <c r="V2477" t="str">
        <f>"10600"</f>
        <v>10600</v>
      </c>
      <c r="W2477">
        <v>7.88</v>
      </c>
      <c r="X2477">
        <v>0</v>
      </c>
    </row>
    <row r="2478" spans="1:24" ht="15" customHeight="1" x14ac:dyDescent="0.25">
      <c r="A2478" t="str">
        <f>""</f>
        <v/>
      </c>
      <c r="B2478" s="1"/>
      <c r="H2478">
        <v>232.27</v>
      </c>
      <c r="J2478" t="s">
        <v>22</v>
      </c>
      <c r="L2478" s="1"/>
      <c r="N2478" s="1"/>
      <c r="V2478" t="str">
        <f>"13008"</f>
        <v>13008</v>
      </c>
      <c r="W2478">
        <v>0</v>
      </c>
      <c r="X2478">
        <v>0</v>
      </c>
    </row>
    <row r="2479" spans="1:24" x14ac:dyDescent="0.25">
      <c r="A2479" t="str">
        <f>""</f>
        <v/>
      </c>
      <c r="B2479" s="1"/>
      <c r="H2479">
        <v>140</v>
      </c>
      <c r="J2479" t="s">
        <v>16</v>
      </c>
      <c r="L2479" s="1"/>
      <c r="N2479" s="1"/>
      <c r="V2479" t="str">
        <f>"73000"</f>
        <v>73000</v>
      </c>
      <c r="W2479">
        <v>0</v>
      </c>
      <c r="X2479">
        <v>0</v>
      </c>
    </row>
    <row r="2480" spans="1:24" ht="15" customHeight="1" x14ac:dyDescent="0.25">
      <c r="A2480" t="str">
        <f>""</f>
        <v/>
      </c>
      <c r="B2480" s="1"/>
      <c r="H2480">
        <v>75.34</v>
      </c>
      <c r="J2480" t="s">
        <v>19</v>
      </c>
      <c r="L2480" s="1"/>
      <c r="N2480" s="1"/>
      <c r="V2480" t="str">
        <f>"84380"</f>
        <v>84380</v>
      </c>
      <c r="W2480">
        <v>21.85</v>
      </c>
      <c r="X2480">
        <v>0</v>
      </c>
    </row>
    <row r="2481" spans="1:24" x14ac:dyDescent="0.25">
      <c r="A2481" t="str">
        <f>""</f>
        <v/>
      </c>
      <c r="B2481" s="1"/>
      <c r="H2481">
        <v>143.57</v>
      </c>
      <c r="J2481" t="s">
        <v>17</v>
      </c>
      <c r="L2481" s="1"/>
      <c r="N2481" s="1"/>
      <c r="V2481" t="str">
        <f>"14000"</f>
        <v>14000</v>
      </c>
      <c r="W2481">
        <v>0</v>
      </c>
      <c r="X2481">
        <v>0</v>
      </c>
    </row>
    <row r="2482" spans="1:24" ht="15" customHeight="1" x14ac:dyDescent="0.25">
      <c r="A2482" t="str">
        <f>""</f>
        <v/>
      </c>
      <c r="B2482" s="1"/>
      <c r="H2482">
        <v>151.97</v>
      </c>
      <c r="J2482" t="s">
        <v>20</v>
      </c>
      <c r="L2482" s="1"/>
      <c r="N2482" s="1"/>
      <c r="V2482" t="str">
        <f>"69002"</f>
        <v>69002</v>
      </c>
      <c r="W2482">
        <v>41.03</v>
      </c>
      <c r="X2482">
        <v>0</v>
      </c>
    </row>
    <row r="2483" spans="1:24" ht="15" customHeight="1" x14ac:dyDescent="0.25">
      <c r="A2483" t="str">
        <f>""</f>
        <v/>
      </c>
      <c r="B2483" s="1"/>
      <c r="H2483">
        <v>172.7</v>
      </c>
      <c r="J2483" t="s">
        <v>22</v>
      </c>
      <c r="L2483" s="1"/>
      <c r="V2483" t="str">
        <f>"59260"</f>
        <v>59260</v>
      </c>
      <c r="W2483">
        <v>0</v>
      </c>
      <c r="X2483">
        <v>0</v>
      </c>
    </row>
    <row r="2484" spans="1:24" ht="15" customHeight="1" x14ac:dyDescent="0.25">
      <c r="A2484" t="str">
        <f>""</f>
        <v/>
      </c>
      <c r="B2484" s="1"/>
      <c r="H2484">
        <v>199.92</v>
      </c>
      <c r="J2484" t="s">
        <v>23</v>
      </c>
      <c r="L2484" s="1"/>
      <c r="N2484" s="1"/>
      <c r="V2484" t="str">
        <f>"73290"</f>
        <v>73290</v>
      </c>
      <c r="W2484">
        <v>0</v>
      </c>
      <c r="X2484">
        <v>0</v>
      </c>
    </row>
    <row r="2485" spans="1:24" ht="15" customHeight="1" x14ac:dyDescent="0.25">
      <c r="A2485" t="str">
        <f>""</f>
        <v/>
      </c>
      <c r="B2485" s="1"/>
      <c r="H2485">
        <v>29.8</v>
      </c>
      <c r="J2485" t="s">
        <v>23</v>
      </c>
      <c r="L2485" s="1"/>
      <c r="N2485" s="1"/>
      <c r="V2485" t="str">
        <f>"37520"</f>
        <v>37520</v>
      </c>
      <c r="W2485">
        <v>0</v>
      </c>
      <c r="X2485">
        <v>0</v>
      </c>
    </row>
    <row r="2486" spans="1:24" ht="15" customHeight="1" x14ac:dyDescent="0.25">
      <c r="A2486" t="str">
        <f>""</f>
        <v/>
      </c>
      <c r="B2486" s="1"/>
      <c r="H2486">
        <v>180</v>
      </c>
      <c r="J2486" t="s">
        <v>23</v>
      </c>
      <c r="L2486" s="1"/>
      <c r="N2486" s="1"/>
      <c r="V2486" t="str">
        <f>"83190"</f>
        <v>83190</v>
      </c>
      <c r="W2486">
        <v>0</v>
      </c>
      <c r="X2486">
        <v>0</v>
      </c>
    </row>
    <row r="2487" spans="1:24" ht="15" customHeight="1" x14ac:dyDescent="0.25">
      <c r="A2487" t="str">
        <f>""</f>
        <v/>
      </c>
      <c r="B2487" s="1"/>
      <c r="H2487">
        <v>27.03</v>
      </c>
      <c r="J2487" t="s">
        <v>22</v>
      </c>
      <c r="L2487" s="1"/>
      <c r="V2487" t="str">
        <f>"74940"</f>
        <v>74940</v>
      </c>
      <c r="W2487">
        <v>0</v>
      </c>
      <c r="X2487">
        <v>0</v>
      </c>
    </row>
    <row r="2488" spans="1:24" x14ac:dyDescent="0.25">
      <c r="A2488" t="str">
        <f>""</f>
        <v/>
      </c>
      <c r="B2488" s="1"/>
      <c r="H2488">
        <v>180</v>
      </c>
      <c r="J2488" t="s">
        <v>18</v>
      </c>
      <c r="L2488" s="1"/>
      <c r="N2488" s="1"/>
      <c r="V2488" t="str">
        <f>"76140"</f>
        <v>76140</v>
      </c>
      <c r="W2488">
        <v>0</v>
      </c>
      <c r="X2488">
        <v>0</v>
      </c>
    </row>
    <row r="2489" spans="1:24" ht="15" customHeight="1" x14ac:dyDescent="0.25">
      <c r="A2489" t="str">
        <f>""</f>
        <v/>
      </c>
      <c r="B2489" s="1"/>
      <c r="H2489">
        <v>55</v>
      </c>
      <c r="J2489" t="s">
        <v>23</v>
      </c>
      <c r="L2489" s="1"/>
      <c r="N2489" s="1"/>
      <c r="V2489" t="str">
        <f>"60000"</f>
        <v>60000</v>
      </c>
      <c r="W2489">
        <v>0</v>
      </c>
      <c r="X2489">
        <v>10.45</v>
      </c>
    </row>
    <row r="2490" spans="1:24" ht="15" customHeight="1" x14ac:dyDescent="0.25">
      <c r="A2490" t="str">
        <f>""</f>
        <v/>
      </c>
      <c r="B2490" s="1"/>
      <c r="H2490">
        <v>55.48</v>
      </c>
      <c r="J2490" t="s">
        <v>19</v>
      </c>
      <c r="L2490" s="1"/>
      <c r="N2490" s="1"/>
      <c r="V2490" t="str">
        <f>"69125"</f>
        <v>69125</v>
      </c>
      <c r="W2490">
        <v>14.98</v>
      </c>
      <c r="X2490">
        <v>0</v>
      </c>
    </row>
    <row r="2491" spans="1:24" ht="15" customHeight="1" x14ac:dyDescent="0.25">
      <c r="A2491" t="str">
        <f>""</f>
        <v/>
      </c>
      <c r="B2491" s="1"/>
      <c r="H2491">
        <v>25</v>
      </c>
      <c r="J2491" t="s">
        <v>22</v>
      </c>
      <c r="L2491" s="1"/>
      <c r="N2491" s="1"/>
      <c r="V2491" t="str">
        <f>"85700"</f>
        <v>85700</v>
      </c>
      <c r="W2491">
        <v>0</v>
      </c>
      <c r="X2491">
        <v>0</v>
      </c>
    </row>
    <row r="2492" spans="1:24" ht="15" customHeight="1" x14ac:dyDescent="0.25">
      <c r="A2492" t="str">
        <f>""</f>
        <v/>
      </c>
      <c r="B2492" s="1"/>
      <c r="H2492">
        <v>50.84</v>
      </c>
      <c r="J2492" t="s">
        <v>19</v>
      </c>
      <c r="L2492" s="1"/>
      <c r="N2492" s="1"/>
      <c r="V2492" t="str">
        <f>"92000"</f>
        <v>92000</v>
      </c>
      <c r="W2492">
        <v>0</v>
      </c>
      <c r="X2492">
        <v>0</v>
      </c>
    </row>
    <row r="2493" spans="1:24" ht="15" customHeight="1" x14ac:dyDescent="0.25">
      <c r="A2493" t="str">
        <f>""</f>
        <v/>
      </c>
      <c r="B2493" s="1"/>
      <c r="J2493" t="s">
        <v>20</v>
      </c>
      <c r="L2493" s="1"/>
      <c r="V2493" t="str">
        <f>"77300"</f>
        <v>77300</v>
      </c>
      <c r="W2493">
        <v>0</v>
      </c>
      <c r="X2493">
        <v>0</v>
      </c>
    </row>
    <row r="2494" spans="1:24" x14ac:dyDescent="0.25">
      <c r="A2494" t="str">
        <f>""</f>
        <v/>
      </c>
      <c r="B2494" s="1"/>
      <c r="H2494">
        <v>52.5</v>
      </c>
      <c r="J2494" t="s">
        <v>15</v>
      </c>
      <c r="L2494" s="1"/>
      <c r="N2494" s="1"/>
      <c r="V2494" t="str">
        <f>"62300"</f>
        <v>62300</v>
      </c>
      <c r="W2494">
        <v>0</v>
      </c>
      <c r="X2494">
        <v>0</v>
      </c>
    </row>
    <row r="2495" spans="1:24" x14ac:dyDescent="0.25">
      <c r="A2495" t="str">
        <f>""</f>
        <v/>
      </c>
      <c r="B2495" s="1"/>
      <c r="H2495">
        <v>52.5</v>
      </c>
      <c r="J2495" t="s">
        <v>15</v>
      </c>
      <c r="L2495" s="1"/>
      <c r="N2495" s="1"/>
      <c r="V2495" t="str">
        <f>"13006"</f>
        <v>13006</v>
      </c>
      <c r="W2495">
        <v>15.23</v>
      </c>
      <c r="X2495">
        <v>0</v>
      </c>
    </row>
    <row r="2496" spans="1:24" x14ac:dyDescent="0.25">
      <c r="A2496" t="str">
        <f>""</f>
        <v/>
      </c>
      <c r="B2496" s="1"/>
      <c r="H2496">
        <v>52.5</v>
      </c>
      <c r="J2496" t="s">
        <v>15</v>
      </c>
      <c r="L2496" s="1"/>
      <c r="N2496" s="1"/>
      <c r="V2496" t="str">
        <f>"75018"</f>
        <v>75018</v>
      </c>
      <c r="W2496">
        <v>0</v>
      </c>
      <c r="X2496">
        <v>0</v>
      </c>
    </row>
    <row r="2497" spans="1:24" x14ac:dyDescent="0.25">
      <c r="A2497" t="str">
        <f>""</f>
        <v/>
      </c>
      <c r="B2497" s="1"/>
      <c r="H2497">
        <v>52.5</v>
      </c>
      <c r="J2497" t="s">
        <v>15</v>
      </c>
      <c r="L2497" s="1"/>
      <c r="N2497" s="1"/>
      <c r="V2497" t="str">
        <f>"59300"</f>
        <v>59300</v>
      </c>
      <c r="W2497">
        <v>0</v>
      </c>
      <c r="X2497">
        <v>0</v>
      </c>
    </row>
    <row r="2498" spans="1:24" x14ac:dyDescent="0.25">
      <c r="A2498" t="str">
        <f>""</f>
        <v/>
      </c>
      <c r="B2498" s="1"/>
      <c r="H2498">
        <v>52.5</v>
      </c>
      <c r="J2498" t="s">
        <v>15</v>
      </c>
      <c r="L2498" s="1"/>
      <c r="N2498" s="1"/>
      <c r="V2498" t="str">
        <f>"33150"</f>
        <v>33150</v>
      </c>
      <c r="W2498">
        <v>11.03</v>
      </c>
      <c r="X2498">
        <v>0</v>
      </c>
    </row>
    <row r="2499" spans="1:24" ht="15" customHeight="1" x14ac:dyDescent="0.25">
      <c r="A2499" t="str">
        <f>""</f>
        <v/>
      </c>
      <c r="B2499" s="1"/>
      <c r="J2499" t="s">
        <v>20</v>
      </c>
      <c r="L2499" s="1"/>
      <c r="N2499" s="1"/>
      <c r="V2499" t="str">
        <f>"57070"</f>
        <v>57070</v>
      </c>
      <c r="W2499">
        <v>0</v>
      </c>
      <c r="X2499">
        <v>0</v>
      </c>
    </row>
    <row r="2500" spans="1:24" ht="15" customHeight="1" x14ac:dyDescent="0.25">
      <c r="A2500" t="str">
        <f>""</f>
        <v/>
      </c>
      <c r="B2500" s="1"/>
      <c r="H2500">
        <v>186.06</v>
      </c>
      <c r="J2500" t="s">
        <v>23</v>
      </c>
      <c r="L2500" s="1"/>
      <c r="N2500" s="1"/>
      <c r="V2500" t="str">
        <f>"85100"</f>
        <v>85100</v>
      </c>
      <c r="W2500">
        <v>0</v>
      </c>
      <c r="X2500">
        <v>50.24</v>
      </c>
    </row>
    <row r="2501" spans="1:24" x14ac:dyDescent="0.25">
      <c r="A2501" t="str">
        <f>""</f>
        <v/>
      </c>
      <c r="B2501" s="1"/>
      <c r="H2501">
        <v>67.599999999999994</v>
      </c>
      <c r="J2501" t="s">
        <v>16</v>
      </c>
      <c r="L2501" s="1"/>
      <c r="N2501" s="1"/>
      <c r="V2501" t="str">
        <f>"76000"</f>
        <v>76000</v>
      </c>
      <c r="W2501">
        <v>0</v>
      </c>
      <c r="X2501">
        <v>0</v>
      </c>
    </row>
    <row r="2502" spans="1:24" ht="15" customHeight="1" x14ac:dyDescent="0.25">
      <c r="A2502" t="str">
        <f>""</f>
        <v/>
      </c>
      <c r="B2502" s="1"/>
      <c r="H2502">
        <v>1031.07</v>
      </c>
      <c r="J2502" t="s">
        <v>22</v>
      </c>
      <c r="L2502" s="1"/>
      <c r="N2502" s="1"/>
      <c r="V2502" t="str">
        <f>"38300"</f>
        <v>38300</v>
      </c>
      <c r="W2502">
        <v>0</v>
      </c>
      <c r="X2502">
        <v>278.39</v>
      </c>
    </row>
    <row r="2503" spans="1:24" x14ac:dyDescent="0.25">
      <c r="A2503" t="str">
        <f>""</f>
        <v/>
      </c>
      <c r="B2503" s="1"/>
      <c r="H2503">
        <v>116.58</v>
      </c>
      <c r="J2503" t="s">
        <v>16</v>
      </c>
      <c r="L2503" s="1"/>
      <c r="N2503" s="1"/>
      <c r="V2503" t="str">
        <f>"57365"</f>
        <v>57365</v>
      </c>
      <c r="W2503">
        <v>0</v>
      </c>
      <c r="X2503">
        <v>0</v>
      </c>
    </row>
    <row r="2504" spans="1:24" ht="15" customHeight="1" x14ac:dyDescent="0.25">
      <c r="A2504" t="str">
        <f>""</f>
        <v/>
      </c>
      <c r="B2504" s="1"/>
      <c r="H2504">
        <v>151</v>
      </c>
      <c r="J2504" t="s">
        <v>22</v>
      </c>
      <c r="L2504" s="1"/>
      <c r="N2504" s="1"/>
      <c r="V2504" t="str">
        <f>"06560"</f>
        <v>06560</v>
      </c>
      <c r="W2504">
        <v>0</v>
      </c>
      <c r="X2504">
        <v>0</v>
      </c>
    </row>
    <row r="2505" spans="1:24" ht="15" customHeight="1" x14ac:dyDescent="0.25">
      <c r="A2505" t="str">
        <f>""</f>
        <v/>
      </c>
      <c r="B2505" s="1"/>
      <c r="H2505">
        <v>151</v>
      </c>
      <c r="J2505" t="s">
        <v>22</v>
      </c>
      <c r="L2505" s="1"/>
      <c r="N2505" s="1"/>
      <c r="V2505" t="str">
        <f>"06560"</f>
        <v>06560</v>
      </c>
      <c r="W2505">
        <v>0</v>
      </c>
      <c r="X2505">
        <v>0</v>
      </c>
    </row>
    <row r="2506" spans="1:24" ht="15" customHeight="1" x14ac:dyDescent="0.25">
      <c r="A2506" t="str">
        <f>""</f>
        <v/>
      </c>
      <c r="B2506" s="1"/>
      <c r="H2506">
        <v>515.1</v>
      </c>
      <c r="J2506" t="s">
        <v>23</v>
      </c>
      <c r="L2506" s="1"/>
      <c r="V2506" t="str">
        <f>"77230"</f>
        <v>77230</v>
      </c>
      <c r="W2506">
        <v>0</v>
      </c>
      <c r="X2506">
        <v>0</v>
      </c>
    </row>
    <row r="2507" spans="1:24" ht="15" customHeight="1" x14ac:dyDescent="0.25">
      <c r="A2507" t="str">
        <f>""</f>
        <v/>
      </c>
      <c r="B2507" s="1"/>
      <c r="H2507">
        <v>10</v>
      </c>
      <c r="L2507" s="1"/>
      <c r="N2507" s="1"/>
      <c r="V2507" t="str">
        <f>"77184"</f>
        <v>77184</v>
      </c>
      <c r="W2507">
        <v>0</v>
      </c>
      <c r="X2507">
        <v>0</v>
      </c>
    </row>
    <row r="2508" spans="1:24" ht="15" customHeight="1" x14ac:dyDescent="0.25">
      <c r="A2508" t="str">
        <f>""</f>
        <v/>
      </c>
      <c r="B2508" s="1"/>
      <c r="H2508">
        <v>130.25</v>
      </c>
      <c r="J2508" t="s">
        <v>20</v>
      </c>
      <c r="L2508" s="1"/>
      <c r="N2508" s="1"/>
      <c r="V2508" t="str">
        <f>"60800"</f>
        <v>60800</v>
      </c>
      <c r="W2508">
        <v>24.75</v>
      </c>
      <c r="X2508">
        <v>0</v>
      </c>
    </row>
    <row r="2509" spans="1:24" ht="15" customHeight="1" x14ac:dyDescent="0.25">
      <c r="A2509" t="str">
        <f>""</f>
        <v/>
      </c>
      <c r="B2509" s="1"/>
      <c r="H2509">
        <v>185.92</v>
      </c>
      <c r="J2509" t="s">
        <v>19</v>
      </c>
      <c r="L2509" s="1"/>
      <c r="N2509" s="1"/>
      <c r="V2509" t="str">
        <f>"75008"</f>
        <v>75008</v>
      </c>
      <c r="W2509">
        <v>0</v>
      </c>
      <c r="X2509">
        <v>0</v>
      </c>
    </row>
    <row r="2510" spans="1:24" ht="15" customHeight="1" x14ac:dyDescent="0.25">
      <c r="A2510" t="str">
        <f>""</f>
        <v/>
      </c>
      <c r="B2510" s="1"/>
      <c r="H2510">
        <v>140</v>
      </c>
      <c r="J2510" t="s">
        <v>22</v>
      </c>
      <c r="L2510" s="1"/>
      <c r="N2510" s="1"/>
      <c r="V2510" t="str">
        <f>"84000"</f>
        <v>84000</v>
      </c>
      <c r="W2510">
        <v>0</v>
      </c>
      <c r="X2510">
        <v>26.6</v>
      </c>
    </row>
    <row r="2511" spans="1:24" ht="15" customHeight="1" x14ac:dyDescent="0.25">
      <c r="A2511" t="str">
        <f>""</f>
        <v/>
      </c>
      <c r="B2511" s="1"/>
      <c r="H2511">
        <v>25</v>
      </c>
      <c r="J2511" t="s">
        <v>22</v>
      </c>
      <c r="L2511" s="1"/>
      <c r="N2511" s="1"/>
      <c r="V2511" t="str">
        <f>"67000"</f>
        <v>67000</v>
      </c>
      <c r="W2511">
        <v>0</v>
      </c>
      <c r="X2511">
        <v>2</v>
      </c>
    </row>
    <row r="2512" spans="1:24" ht="15" customHeight="1" x14ac:dyDescent="0.25">
      <c r="A2512" t="str">
        <f>""</f>
        <v/>
      </c>
      <c r="B2512" s="1"/>
      <c r="H2512">
        <v>151</v>
      </c>
      <c r="J2512" t="s">
        <v>20</v>
      </c>
      <c r="L2512" s="1"/>
      <c r="N2512" s="1"/>
      <c r="V2512" t="str">
        <f>"75018"</f>
        <v>75018</v>
      </c>
      <c r="W2512">
        <v>0</v>
      </c>
      <c r="X2512">
        <v>0</v>
      </c>
    </row>
    <row r="2513" spans="1:24" ht="15" customHeight="1" x14ac:dyDescent="0.25">
      <c r="A2513" t="str">
        <f>""</f>
        <v/>
      </c>
      <c r="B2513" s="1"/>
      <c r="H2513">
        <v>220.98</v>
      </c>
      <c r="J2513" t="s">
        <v>23</v>
      </c>
      <c r="L2513" s="1"/>
      <c r="N2513" s="1"/>
      <c r="V2513" t="str">
        <f>"61250"</f>
        <v>61250</v>
      </c>
      <c r="W2513">
        <v>0</v>
      </c>
      <c r="X2513">
        <v>37.57</v>
      </c>
    </row>
    <row r="2514" spans="1:24" ht="15" customHeight="1" x14ac:dyDescent="0.25">
      <c r="A2514" t="str">
        <f>""</f>
        <v/>
      </c>
      <c r="B2514" s="1"/>
      <c r="H2514">
        <v>109</v>
      </c>
      <c r="L2514" s="1"/>
      <c r="N2514" s="1"/>
      <c r="V2514" t="str">
        <f>"77184"</f>
        <v>77184</v>
      </c>
      <c r="W2514">
        <v>0</v>
      </c>
      <c r="X2514">
        <v>0</v>
      </c>
    </row>
    <row r="2515" spans="1:24" ht="15" customHeight="1" x14ac:dyDescent="0.25">
      <c r="A2515" t="str">
        <f>""</f>
        <v/>
      </c>
      <c r="B2515" s="1"/>
      <c r="H2515">
        <v>40</v>
      </c>
      <c r="J2515" t="s">
        <v>20</v>
      </c>
      <c r="L2515" s="1"/>
      <c r="N2515" s="1"/>
      <c r="V2515" t="str">
        <f>"06140"</f>
        <v>06140</v>
      </c>
      <c r="W2515">
        <v>12</v>
      </c>
      <c r="X2515">
        <v>0</v>
      </c>
    </row>
    <row r="2516" spans="1:24" ht="15" customHeight="1" x14ac:dyDescent="0.25">
      <c r="A2516" t="str">
        <f>""</f>
        <v/>
      </c>
      <c r="B2516" s="1"/>
      <c r="H2516">
        <v>75.34</v>
      </c>
      <c r="J2516" t="s">
        <v>20</v>
      </c>
      <c r="L2516" s="1"/>
      <c r="N2516" s="1"/>
      <c r="V2516" t="str">
        <f>"66000"</f>
        <v>66000</v>
      </c>
      <c r="W2516">
        <v>29.38</v>
      </c>
      <c r="X2516">
        <v>0</v>
      </c>
    </row>
    <row r="2517" spans="1:24" ht="15" customHeight="1" x14ac:dyDescent="0.25">
      <c r="A2517" t="str">
        <f>""</f>
        <v/>
      </c>
      <c r="B2517" s="1"/>
      <c r="H2517">
        <v>120.29</v>
      </c>
      <c r="J2517" t="s">
        <v>20</v>
      </c>
      <c r="L2517" s="1"/>
      <c r="N2517" s="1"/>
      <c r="V2517" t="str">
        <f>"01700"</f>
        <v>01700</v>
      </c>
      <c r="W2517">
        <v>32.479999999999997</v>
      </c>
      <c r="X2517">
        <v>0</v>
      </c>
    </row>
    <row r="2518" spans="1:24" ht="15" customHeight="1" x14ac:dyDescent="0.25">
      <c r="A2518" t="str">
        <f>""</f>
        <v/>
      </c>
      <c r="B2518" s="1"/>
      <c r="H2518">
        <v>19.649999999999999</v>
      </c>
      <c r="J2518" t="s">
        <v>19</v>
      </c>
      <c r="L2518" s="1"/>
      <c r="N2518" s="1"/>
      <c r="V2518" t="str">
        <f>"75014"</f>
        <v>75014</v>
      </c>
      <c r="W2518">
        <v>0</v>
      </c>
      <c r="X2518">
        <v>0</v>
      </c>
    </row>
    <row r="2519" spans="1:24" ht="15" customHeight="1" x14ac:dyDescent="0.25">
      <c r="A2519" t="str">
        <f>""</f>
        <v/>
      </c>
      <c r="B2519" s="1"/>
      <c r="H2519">
        <v>149.21</v>
      </c>
      <c r="L2519" s="1"/>
      <c r="N2519" s="1"/>
      <c r="V2519" t="str">
        <f>"77184"</f>
        <v>77184</v>
      </c>
      <c r="W2519">
        <v>0</v>
      </c>
      <c r="X2519">
        <v>0</v>
      </c>
    </row>
    <row r="2520" spans="1:24" ht="15" customHeight="1" x14ac:dyDescent="0.25">
      <c r="A2520" t="str">
        <f>""</f>
        <v/>
      </c>
      <c r="B2520" s="1"/>
      <c r="H2520">
        <v>193.85</v>
      </c>
      <c r="J2520" t="s">
        <v>20</v>
      </c>
      <c r="L2520" s="1"/>
      <c r="N2520" s="1"/>
      <c r="V2520" t="str">
        <f>"67230"</f>
        <v>67230</v>
      </c>
      <c r="W2520">
        <v>56.22</v>
      </c>
      <c r="X2520">
        <v>0</v>
      </c>
    </row>
    <row r="2521" spans="1:24" ht="15" customHeight="1" x14ac:dyDescent="0.25">
      <c r="A2521" t="str">
        <f>""</f>
        <v/>
      </c>
      <c r="B2521" s="1"/>
      <c r="H2521">
        <v>84.5</v>
      </c>
      <c r="L2521" s="1"/>
      <c r="N2521" s="1"/>
      <c r="V2521" t="str">
        <f>"77184"</f>
        <v>77184</v>
      </c>
      <c r="W2521">
        <v>0</v>
      </c>
      <c r="X2521">
        <v>0</v>
      </c>
    </row>
    <row r="2522" spans="1:24" ht="15" customHeight="1" x14ac:dyDescent="0.25">
      <c r="A2522" t="str">
        <f>""</f>
        <v/>
      </c>
      <c r="B2522" s="1"/>
      <c r="H2522">
        <v>80</v>
      </c>
      <c r="J2522" t="s">
        <v>23</v>
      </c>
      <c r="L2522" s="1"/>
      <c r="N2522" s="1"/>
      <c r="V2522" t="str">
        <f>"33450"</f>
        <v>33450</v>
      </c>
      <c r="W2522">
        <v>0</v>
      </c>
      <c r="X2522">
        <v>16.8</v>
      </c>
    </row>
    <row r="2523" spans="1:24" ht="15" customHeight="1" x14ac:dyDescent="0.25">
      <c r="A2523" t="str">
        <f>""</f>
        <v/>
      </c>
      <c r="B2523" s="1"/>
      <c r="H2523">
        <v>130.97999999999999</v>
      </c>
      <c r="L2523" s="1"/>
      <c r="N2523" s="1"/>
      <c r="V2523" t="str">
        <f>"77184"</f>
        <v>77184</v>
      </c>
      <c r="W2523">
        <v>0</v>
      </c>
      <c r="X2523">
        <v>0</v>
      </c>
    </row>
    <row r="2524" spans="1:24" x14ac:dyDescent="0.25">
      <c r="A2524" t="str">
        <f>""</f>
        <v/>
      </c>
      <c r="B2524" s="1"/>
      <c r="H2524">
        <v>122.09</v>
      </c>
      <c r="J2524" t="s">
        <v>18</v>
      </c>
      <c r="L2524" s="1"/>
      <c r="N2524" s="1"/>
      <c r="V2524" t="str">
        <f>"59000"</f>
        <v>59000</v>
      </c>
      <c r="W2524">
        <v>0</v>
      </c>
      <c r="X2524">
        <v>0</v>
      </c>
    </row>
    <row r="2525" spans="1:24" ht="15" customHeight="1" x14ac:dyDescent="0.25">
      <c r="A2525" t="str">
        <f>""</f>
        <v/>
      </c>
      <c r="B2525" s="1"/>
      <c r="J2525" t="s">
        <v>23</v>
      </c>
      <c r="L2525" s="1"/>
      <c r="N2525" s="1"/>
      <c r="V2525" t="str">
        <f>"76600"</f>
        <v>76600</v>
      </c>
      <c r="W2525">
        <v>0</v>
      </c>
      <c r="X2525">
        <v>0</v>
      </c>
    </row>
    <row r="2526" spans="1:24" ht="15" customHeight="1" x14ac:dyDescent="0.25">
      <c r="A2526" t="str">
        <f>""</f>
        <v/>
      </c>
      <c r="B2526" s="1"/>
      <c r="H2526">
        <v>70</v>
      </c>
      <c r="J2526" t="s">
        <v>23</v>
      </c>
      <c r="L2526" s="1"/>
      <c r="N2526" s="1"/>
      <c r="V2526" t="str">
        <f>"54300"</f>
        <v>54300</v>
      </c>
      <c r="W2526">
        <v>0</v>
      </c>
      <c r="X2526">
        <v>17.5</v>
      </c>
    </row>
    <row r="2527" spans="1:24" ht="15" customHeight="1" x14ac:dyDescent="0.25">
      <c r="A2527" t="str">
        <f>""</f>
        <v/>
      </c>
      <c r="B2527" s="1"/>
      <c r="H2527">
        <v>196</v>
      </c>
      <c r="J2527" t="s">
        <v>23</v>
      </c>
      <c r="L2527" s="1"/>
      <c r="V2527" t="str">
        <f>"44840"</f>
        <v>44840</v>
      </c>
      <c r="W2527">
        <v>0</v>
      </c>
      <c r="X2527">
        <v>0</v>
      </c>
    </row>
    <row r="2528" spans="1:24" ht="15" customHeight="1" x14ac:dyDescent="0.25">
      <c r="A2528" t="str">
        <f>""</f>
        <v/>
      </c>
      <c r="B2528" s="1"/>
      <c r="H2528">
        <v>130.19999999999999</v>
      </c>
      <c r="J2528" t="s">
        <v>20</v>
      </c>
      <c r="L2528" s="1"/>
      <c r="V2528" t="str">
        <f>"84800"</f>
        <v>84800</v>
      </c>
      <c r="W2528">
        <v>0</v>
      </c>
      <c r="X2528">
        <v>0</v>
      </c>
    </row>
    <row r="2529" spans="1:24" ht="15" customHeight="1" x14ac:dyDescent="0.25">
      <c r="A2529" t="str">
        <f>""</f>
        <v/>
      </c>
      <c r="B2529" s="1"/>
      <c r="H2529">
        <v>80</v>
      </c>
      <c r="J2529" t="s">
        <v>19</v>
      </c>
      <c r="L2529" s="1"/>
      <c r="N2529" s="1"/>
      <c r="V2529" t="str">
        <f>"45000"</f>
        <v>45000</v>
      </c>
      <c r="W2529">
        <v>16.8</v>
      </c>
      <c r="X2529">
        <v>0</v>
      </c>
    </row>
    <row r="2530" spans="1:24" ht="15" customHeight="1" x14ac:dyDescent="0.25">
      <c r="A2530" t="str">
        <f>""</f>
        <v/>
      </c>
      <c r="B2530" s="1"/>
      <c r="H2530">
        <v>75.069999999999993</v>
      </c>
      <c r="J2530" t="s">
        <v>19</v>
      </c>
      <c r="L2530" s="1"/>
      <c r="N2530" s="1"/>
      <c r="V2530" t="str">
        <f>"68120"</f>
        <v>68120</v>
      </c>
      <c r="W2530">
        <v>21.77</v>
      </c>
      <c r="X2530">
        <v>0</v>
      </c>
    </row>
    <row r="2531" spans="1:24" ht="15" customHeight="1" x14ac:dyDescent="0.25">
      <c r="A2531" t="str">
        <f>""</f>
        <v/>
      </c>
      <c r="B2531" s="1"/>
      <c r="H2531">
        <v>28.02</v>
      </c>
      <c r="J2531" t="s">
        <v>20</v>
      </c>
      <c r="L2531" s="1"/>
      <c r="N2531" s="1"/>
      <c r="V2531" t="str">
        <f>"75012"</f>
        <v>75012</v>
      </c>
      <c r="W2531">
        <v>0</v>
      </c>
      <c r="X2531">
        <v>0</v>
      </c>
    </row>
    <row r="2532" spans="1:24" ht="15" customHeight="1" x14ac:dyDescent="0.25">
      <c r="A2532" t="str">
        <f>""</f>
        <v/>
      </c>
      <c r="B2532" s="1"/>
      <c r="H2532">
        <v>1.46</v>
      </c>
      <c r="J2532" t="s">
        <v>20</v>
      </c>
      <c r="L2532" s="1"/>
      <c r="N2532" s="1"/>
      <c r="V2532" t="str">
        <f>"94190"</f>
        <v>94190</v>
      </c>
      <c r="W2532">
        <v>0</v>
      </c>
      <c r="X2532">
        <v>0</v>
      </c>
    </row>
    <row r="2533" spans="1:24" ht="15" customHeight="1" x14ac:dyDescent="0.25">
      <c r="A2533" t="str">
        <f>""</f>
        <v/>
      </c>
      <c r="B2533" s="1"/>
      <c r="H2533">
        <v>120.29</v>
      </c>
      <c r="J2533" t="s">
        <v>19</v>
      </c>
      <c r="L2533" s="1"/>
      <c r="N2533" s="1"/>
      <c r="V2533" t="str">
        <f>"77550"</f>
        <v>77550</v>
      </c>
      <c r="W2533">
        <v>0</v>
      </c>
      <c r="X2533">
        <v>0</v>
      </c>
    </row>
    <row r="2534" spans="1:24" ht="15" customHeight="1" x14ac:dyDescent="0.25">
      <c r="A2534" t="str">
        <f>""</f>
        <v/>
      </c>
      <c r="B2534" s="1"/>
      <c r="J2534" t="s">
        <v>23</v>
      </c>
      <c r="L2534" s="1"/>
      <c r="N2534" s="1"/>
      <c r="V2534" t="str">
        <f>"66000"</f>
        <v>66000</v>
      </c>
      <c r="W2534">
        <v>0</v>
      </c>
      <c r="X2534">
        <v>0</v>
      </c>
    </row>
    <row r="2535" spans="1:24" ht="15" customHeight="1" x14ac:dyDescent="0.25">
      <c r="A2535" t="str">
        <f>""</f>
        <v/>
      </c>
      <c r="B2535" s="1"/>
      <c r="H2535">
        <v>126.71</v>
      </c>
      <c r="J2535" t="s">
        <v>19</v>
      </c>
      <c r="L2535" s="1"/>
      <c r="N2535" s="1"/>
      <c r="V2535" t="str">
        <f>"56140"</f>
        <v>56140</v>
      </c>
      <c r="W2535">
        <v>34.21</v>
      </c>
      <c r="X2535">
        <v>0</v>
      </c>
    </row>
    <row r="2536" spans="1:24" ht="15" customHeight="1" x14ac:dyDescent="0.25">
      <c r="A2536" t="str">
        <f>""</f>
        <v/>
      </c>
      <c r="B2536" s="1"/>
      <c r="H2536">
        <v>151</v>
      </c>
      <c r="J2536" t="s">
        <v>22</v>
      </c>
      <c r="L2536" s="1"/>
      <c r="N2536" s="1"/>
      <c r="V2536" t="str">
        <f>"69005"</f>
        <v>69005</v>
      </c>
      <c r="W2536">
        <v>0</v>
      </c>
      <c r="X2536">
        <v>0</v>
      </c>
    </row>
    <row r="2537" spans="1:24" ht="15" customHeight="1" x14ac:dyDescent="0.25">
      <c r="A2537" t="str">
        <f>""</f>
        <v/>
      </c>
      <c r="B2537" s="1"/>
      <c r="H2537">
        <v>128.94</v>
      </c>
      <c r="J2537" t="s">
        <v>19</v>
      </c>
      <c r="L2537" s="1"/>
      <c r="N2537" s="1"/>
      <c r="V2537" t="str">
        <f>"76700"</f>
        <v>76700</v>
      </c>
      <c r="W2537">
        <v>21.92</v>
      </c>
      <c r="X2537">
        <v>0</v>
      </c>
    </row>
    <row r="2538" spans="1:24" ht="15" customHeight="1" x14ac:dyDescent="0.25">
      <c r="A2538" t="str">
        <f>""</f>
        <v/>
      </c>
      <c r="B2538" s="1"/>
      <c r="H2538">
        <v>40</v>
      </c>
      <c r="J2538" t="s">
        <v>23</v>
      </c>
      <c r="L2538" s="1"/>
      <c r="N2538" s="1"/>
      <c r="V2538" t="str">
        <f>"59700"</f>
        <v>59700</v>
      </c>
      <c r="W2538">
        <v>0</v>
      </c>
      <c r="X2538">
        <v>0</v>
      </c>
    </row>
    <row r="2539" spans="1:24" x14ac:dyDescent="0.25">
      <c r="A2539" t="str">
        <f>""</f>
        <v/>
      </c>
      <c r="B2539" s="1"/>
      <c r="H2539">
        <v>433.19</v>
      </c>
      <c r="J2539" t="s">
        <v>16</v>
      </c>
      <c r="L2539" s="1"/>
      <c r="N2539" s="1"/>
      <c r="V2539" t="str">
        <f>"69800"</f>
        <v>69800</v>
      </c>
      <c r="W2539">
        <v>0</v>
      </c>
      <c r="X2539">
        <v>168.94</v>
      </c>
    </row>
    <row r="2540" spans="1:24" ht="15" customHeight="1" x14ac:dyDescent="0.25">
      <c r="A2540" t="str">
        <f>""</f>
        <v/>
      </c>
      <c r="B2540" s="1"/>
      <c r="H2540">
        <v>120.29</v>
      </c>
      <c r="J2540" t="s">
        <v>20</v>
      </c>
      <c r="L2540" s="1"/>
      <c r="N2540" s="1"/>
      <c r="V2540" t="str">
        <f>"63820"</f>
        <v>63820</v>
      </c>
      <c r="W2540">
        <v>34.880000000000003</v>
      </c>
      <c r="X2540">
        <v>0</v>
      </c>
    </row>
    <row r="2541" spans="1:24" ht="15" customHeight="1" x14ac:dyDescent="0.25">
      <c r="A2541" t="str">
        <f>""</f>
        <v/>
      </c>
      <c r="B2541" s="1"/>
      <c r="H2541">
        <v>120.29</v>
      </c>
      <c r="J2541" t="s">
        <v>19</v>
      </c>
      <c r="L2541" s="1"/>
      <c r="N2541" s="1"/>
      <c r="V2541" t="str">
        <f>"54300"</f>
        <v>54300</v>
      </c>
      <c r="W2541">
        <v>30.07</v>
      </c>
      <c r="X2541">
        <v>0</v>
      </c>
    </row>
    <row r="2542" spans="1:24" x14ac:dyDescent="0.25">
      <c r="A2542" t="str">
        <f>""</f>
        <v/>
      </c>
      <c r="B2542" s="1"/>
      <c r="H2542">
        <v>140</v>
      </c>
      <c r="J2542" t="s">
        <v>16</v>
      </c>
      <c r="L2542" s="1"/>
      <c r="N2542" s="1"/>
      <c r="V2542" t="str">
        <f>"94150"</f>
        <v>94150</v>
      </c>
      <c r="W2542">
        <v>0</v>
      </c>
      <c r="X2542">
        <v>0</v>
      </c>
    </row>
    <row r="2543" spans="1:24" ht="15" customHeight="1" x14ac:dyDescent="0.25">
      <c r="A2543" t="str">
        <f>""</f>
        <v/>
      </c>
      <c r="B2543" s="1"/>
      <c r="H2543">
        <v>75.63</v>
      </c>
      <c r="J2543" t="s">
        <v>19</v>
      </c>
      <c r="L2543" s="1"/>
      <c r="N2543" s="1"/>
      <c r="V2543" t="str">
        <f>"27091"</f>
        <v>27091</v>
      </c>
      <c r="W2543">
        <v>12.86</v>
      </c>
      <c r="X2543">
        <v>0</v>
      </c>
    </row>
    <row r="2544" spans="1:24" x14ac:dyDescent="0.25">
      <c r="A2544" t="str">
        <f>""</f>
        <v/>
      </c>
      <c r="B2544" s="1"/>
      <c r="J2544" t="s">
        <v>16</v>
      </c>
      <c r="L2544" s="1"/>
      <c r="N2544" s="1"/>
      <c r="V2544" t="str">
        <f>"75014"</f>
        <v>75014</v>
      </c>
      <c r="W2544">
        <v>0</v>
      </c>
      <c r="X2544">
        <v>0</v>
      </c>
    </row>
    <row r="2545" spans="1:24" ht="15" customHeight="1" x14ac:dyDescent="0.25">
      <c r="A2545" t="str">
        <f>""</f>
        <v/>
      </c>
      <c r="B2545" s="1"/>
      <c r="J2545" t="s">
        <v>8</v>
      </c>
      <c r="V2545" t="str">
        <f>""</f>
        <v/>
      </c>
      <c r="W2545">
        <v>0</v>
      </c>
      <c r="X2545">
        <v>0</v>
      </c>
    </row>
    <row r="2546" spans="1:24" ht="15" customHeight="1" x14ac:dyDescent="0.25">
      <c r="A2546" t="str">
        <f>""</f>
        <v/>
      </c>
      <c r="B2546" s="1"/>
      <c r="H2546">
        <v>153</v>
      </c>
      <c r="J2546" t="s">
        <v>22</v>
      </c>
      <c r="L2546" s="1"/>
      <c r="N2546" s="1"/>
      <c r="V2546" t="str">
        <f>"14000"</f>
        <v>14000</v>
      </c>
      <c r="W2546">
        <v>0</v>
      </c>
      <c r="X2546">
        <v>0</v>
      </c>
    </row>
    <row r="2547" spans="1:24" ht="15" customHeight="1" x14ac:dyDescent="0.25">
      <c r="A2547" t="str">
        <f>""</f>
        <v/>
      </c>
      <c r="B2547" s="1"/>
      <c r="H2547">
        <v>183</v>
      </c>
      <c r="J2547" t="s">
        <v>23</v>
      </c>
      <c r="L2547" s="1"/>
      <c r="N2547" s="1"/>
      <c r="V2547" t="str">
        <f>"69007"</f>
        <v>69007</v>
      </c>
      <c r="W2547">
        <v>0</v>
      </c>
      <c r="X2547">
        <v>0</v>
      </c>
    </row>
    <row r="2548" spans="1:24" ht="15" customHeight="1" x14ac:dyDescent="0.25">
      <c r="A2548" t="str">
        <f>""</f>
        <v/>
      </c>
      <c r="B2548" s="1"/>
      <c r="H2548">
        <v>70</v>
      </c>
      <c r="L2548" s="1"/>
      <c r="N2548" s="1"/>
      <c r="V2548" t="str">
        <f>"77184"</f>
        <v>77184</v>
      </c>
      <c r="W2548">
        <v>0</v>
      </c>
      <c r="X2548">
        <v>0</v>
      </c>
    </row>
    <row r="2549" spans="1:24" ht="15" customHeight="1" x14ac:dyDescent="0.25">
      <c r="A2549" t="str">
        <f>""</f>
        <v/>
      </c>
      <c r="B2549" s="1"/>
      <c r="H2549">
        <v>70</v>
      </c>
      <c r="J2549" t="s">
        <v>23</v>
      </c>
      <c r="L2549" s="1"/>
      <c r="V2549" t="str">
        <f>"77380"</f>
        <v>77380</v>
      </c>
      <c r="W2549">
        <v>0</v>
      </c>
      <c r="X2549">
        <v>0</v>
      </c>
    </row>
    <row r="2550" spans="1:24" ht="15" customHeight="1" x14ac:dyDescent="0.25">
      <c r="A2550" t="str">
        <f>""</f>
        <v/>
      </c>
      <c r="B2550" s="1"/>
      <c r="H2550">
        <v>19.440000000000001</v>
      </c>
      <c r="J2550" t="s">
        <v>23</v>
      </c>
      <c r="L2550" s="1"/>
      <c r="N2550" s="1"/>
      <c r="V2550" t="str">
        <f>"26200"</f>
        <v>26200</v>
      </c>
      <c r="W2550">
        <v>0</v>
      </c>
      <c r="X2550">
        <v>5.25</v>
      </c>
    </row>
    <row r="2551" spans="1:24" ht="15" customHeight="1" x14ac:dyDescent="0.25">
      <c r="A2551" t="str">
        <f>""</f>
        <v/>
      </c>
      <c r="B2551" s="1"/>
      <c r="H2551">
        <v>130</v>
      </c>
      <c r="J2551" t="s">
        <v>22</v>
      </c>
      <c r="L2551" s="1"/>
      <c r="N2551" s="1"/>
      <c r="V2551" t="str">
        <f>"83140"</f>
        <v>83140</v>
      </c>
      <c r="W2551">
        <v>0</v>
      </c>
      <c r="X2551">
        <v>0</v>
      </c>
    </row>
    <row r="2552" spans="1:24" ht="15" customHeight="1" x14ac:dyDescent="0.25">
      <c r="A2552" t="str">
        <f>""</f>
        <v/>
      </c>
      <c r="B2552" s="1"/>
      <c r="H2552">
        <v>19.399999999999999</v>
      </c>
      <c r="J2552" t="s">
        <v>22</v>
      </c>
      <c r="L2552" s="1"/>
      <c r="V2552" t="str">
        <f>"27300"</f>
        <v>27300</v>
      </c>
      <c r="W2552">
        <v>0</v>
      </c>
      <c r="X2552">
        <v>0</v>
      </c>
    </row>
    <row r="2553" spans="1:24" ht="15" customHeight="1" x14ac:dyDescent="0.25">
      <c r="A2553" t="str">
        <f>""</f>
        <v/>
      </c>
      <c r="B2553" s="1"/>
      <c r="H2553">
        <v>40</v>
      </c>
      <c r="J2553" t="s">
        <v>23</v>
      </c>
      <c r="L2553" s="1"/>
      <c r="V2553" t="str">
        <f>"13340"</f>
        <v>13340</v>
      </c>
      <c r="W2553">
        <v>0</v>
      </c>
      <c r="X2553">
        <v>0</v>
      </c>
    </row>
    <row r="2554" spans="1:24" ht="15" customHeight="1" x14ac:dyDescent="0.25">
      <c r="A2554" t="str">
        <f>""</f>
        <v/>
      </c>
      <c r="B2554" s="1"/>
      <c r="H2554">
        <v>32</v>
      </c>
      <c r="J2554" t="s">
        <v>22</v>
      </c>
      <c r="L2554" s="1"/>
      <c r="V2554" t="str">
        <f>"75002"</f>
        <v>75002</v>
      </c>
      <c r="W2554">
        <v>0</v>
      </c>
      <c r="X2554">
        <v>0</v>
      </c>
    </row>
    <row r="2555" spans="1:24" ht="15" customHeight="1" x14ac:dyDescent="0.25">
      <c r="A2555" t="str">
        <f>""</f>
        <v/>
      </c>
      <c r="B2555" s="1"/>
      <c r="H2555">
        <v>92</v>
      </c>
      <c r="J2555" t="s">
        <v>22</v>
      </c>
      <c r="L2555" s="1"/>
      <c r="N2555" s="1"/>
      <c r="V2555" t="str">
        <f>"06190"</f>
        <v>06190</v>
      </c>
      <c r="W2555">
        <v>0</v>
      </c>
      <c r="X2555">
        <v>27.6</v>
      </c>
    </row>
    <row r="2556" spans="1:24" x14ac:dyDescent="0.25">
      <c r="A2556" t="str">
        <f>""</f>
        <v/>
      </c>
      <c r="B2556" s="1"/>
      <c r="H2556">
        <v>52.5</v>
      </c>
      <c r="J2556" t="s">
        <v>15</v>
      </c>
      <c r="L2556" s="1"/>
      <c r="N2556" s="1"/>
      <c r="V2556" t="str">
        <f>"57000"</f>
        <v>57000</v>
      </c>
      <c r="W2556">
        <v>0</v>
      </c>
      <c r="X2556">
        <v>0</v>
      </c>
    </row>
    <row r="2557" spans="1:24" x14ac:dyDescent="0.25">
      <c r="A2557" t="str">
        <f>""</f>
        <v/>
      </c>
      <c r="B2557" s="1"/>
      <c r="H2557">
        <v>52.5</v>
      </c>
      <c r="J2557" t="s">
        <v>15</v>
      </c>
      <c r="L2557" s="1"/>
      <c r="N2557" s="1"/>
      <c r="V2557" t="str">
        <f>"69150"</f>
        <v>69150</v>
      </c>
      <c r="W2557">
        <v>0</v>
      </c>
      <c r="X2557">
        <v>0</v>
      </c>
    </row>
    <row r="2558" spans="1:24" x14ac:dyDescent="0.25">
      <c r="A2558" t="str">
        <f>""</f>
        <v/>
      </c>
      <c r="B2558" s="1"/>
      <c r="H2558">
        <v>23.4</v>
      </c>
      <c r="J2558" t="s">
        <v>17</v>
      </c>
      <c r="L2558" s="1"/>
      <c r="N2558" s="1"/>
      <c r="V2558" t="str">
        <f>"38230"</f>
        <v>38230</v>
      </c>
      <c r="W2558">
        <v>0</v>
      </c>
      <c r="X2558">
        <v>0</v>
      </c>
    </row>
    <row r="2559" spans="1:24" x14ac:dyDescent="0.25">
      <c r="A2559" t="str">
        <f>""</f>
        <v/>
      </c>
      <c r="B2559" s="1"/>
      <c r="H2559">
        <v>23.4</v>
      </c>
      <c r="J2559" t="s">
        <v>17</v>
      </c>
      <c r="L2559" s="1"/>
      <c r="N2559" s="1"/>
      <c r="V2559" t="str">
        <f>"38230"</f>
        <v>38230</v>
      </c>
      <c r="W2559">
        <v>0</v>
      </c>
      <c r="X2559">
        <v>0</v>
      </c>
    </row>
    <row r="2560" spans="1:24" x14ac:dyDescent="0.25">
      <c r="A2560" t="str">
        <f>""</f>
        <v/>
      </c>
      <c r="B2560" s="1"/>
      <c r="H2560">
        <v>151</v>
      </c>
      <c r="J2560" t="s">
        <v>17</v>
      </c>
      <c r="L2560" s="1"/>
      <c r="N2560" s="1"/>
      <c r="V2560" t="str">
        <f>"21000"</f>
        <v>21000</v>
      </c>
      <c r="W2560">
        <v>0</v>
      </c>
      <c r="X2560">
        <v>0</v>
      </c>
    </row>
    <row r="2561" spans="1:24" x14ac:dyDescent="0.25">
      <c r="A2561" t="str">
        <f>""</f>
        <v/>
      </c>
      <c r="B2561" s="1"/>
      <c r="H2561">
        <v>140</v>
      </c>
      <c r="J2561" t="s">
        <v>15</v>
      </c>
      <c r="L2561" s="1"/>
      <c r="N2561" s="1"/>
      <c r="V2561" t="str">
        <f>"08200"</f>
        <v>08200</v>
      </c>
      <c r="W2561">
        <v>0</v>
      </c>
      <c r="X2561">
        <v>0</v>
      </c>
    </row>
    <row r="2562" spans="1:24" ht="15" customHeight="1" x14ac:dyDescent="0.25">
      <c r="A2562" t="str">
        <f>""</f>
        <v/>
      </c>
      <c r="B2562" s="1"/>
      <c r="H2562">
        <v>180</v>
      </c>
      <c r="J2562" t="s">
        <v>23</v>
      </c>
      <c r="L2562" s="1"/>
      <c r="N2562" s="1"/>
      <c r="V2562" t="str">
        <f>"62320"</f>
        <v>62320</v>
      </c>
      <c r="W2562">
        <v>0</v>
      </c>
      <c r="X2562">
        <v>0</v>
      </c>
    </row>
    <row r="2563" spans="1:24" ht="15" customHeight="1" x14ac:dyDescent="0.25">
      <c r="A2563" t="str">
        <f>""</f>
        <v/>
      </c>
      <c r="B2563" s="1"/>
      <c r="H2563">
        <v>215.06</v>
      </c>
      <c r="J2563" t="s">
        <v>22</v>
      </c>
      <c r="L2563" s="1"/>
      <c r="N2563" s="1"/>
      <c r="V2563" t="str">
        <f>"62320"</f>
        <v>62320</v>
      </c>
      <c r="W2563">
        <v>0</v>
      </c>
      <c r="X2563">
        <v>0</v>
      </c>
    </row>
    <row r="2564" spans="1:24" ht="15" customHeight="1" x14ac:dyDescent="0.25">
      <c r="A2564" t="str">
        <f>""</f>
        <v/>
      </c>
      <c r="B2564" s="1"/>
      <c r="H2564">
        <v>84.5</v>
      </c>
      <c r="L2564" s="1"/>
      <c r="N2564" s="1"/>
      <c r="V2564" t="str">
        <f>"77184"</f>
        <v>77184</v>
      </c>
      <c r="W2564">
        <v>0</v>
      </c>
      <c r="X2564">
        <v>0</v>
      </c>
    </row>
    <row r="2565" spans="1:24" ht="15" customHeight="1" x14ac:dyDescent="0.25">
      <c r="A2565" t="str">
        <f>""</f>
        <v/>
      </c>
      <c r="B2565" s="1"/>
      <c r="H2565">
        <v>197.63</v>
      </c>
      <c r="J2565" t="s">
        <v>19</v>
      </c>
      <c r="L2565" s="1"/>
      <c r="N2565" s="1"/>
      <c r="V2565" t="str">
        <f>"75008"</f>
        <v>75008</v>
      </c>
      <c r="W2565">
        <v>0</v>
      </c>
      <c r="X2565">
        <v>0</v>
      </c>
    </row>
    <row r="2566" spans="1:24" x14ac:dyDescent="0.25">
      <c r="A2566" t="str">
        <f>""</f>
        <v/>
      </c>
      <c r="B2566" s="1"/>
      <c r="H2566">
        <v>151</v>
      </c>
      <c r="J2566" t="s">
        <v>17</v>
      </c>
      <c r="L2566" s="1"/>
      <c r="N2566" s="1"/>
      <c r="V2566" t="str">
        <f>"67800"</f>
        <v>67800</v>
      </c>
      <c r="W2566">
        <v>0</v>
      </c>
      <c r="X2566">
        <v>0</v>
      </c>
    </row>
    <row r="2567" spans="1:24" ht="15" customHeight="1" x14ac:dyDescent="0.25">
      <c r="A2567" t="str">
        <f>""</f>
        <v/>
      </c>
      <c r="B2567" s="1"/>
      <c r="H2567">
        <v>245.02</v>
      </c>
      <c r="L2567" s="1"/>
      <c r="N2567" s="1"/>
      <c r="V2567" t="str">
        <f>"77184"</f>
        <v>77184</v>
      </c>
      <c r="W2567">
        <v>0</v>
      </c>
      <c r="X2567">
        <v>0</v>
      </c>
    </row>
    <row r="2568" spans="1:24" x14ac:dyDescent="0.25">
      <c r="A2568" t="str">
        <f>""</f>
        <v/>
      </c>
      <c r="B2568" s="1"/>
      <c r="H2568">
        <v>70</v>
      </c>
      <c r="J2568" t="s">
        <v>16</v>
      </c>
      <c r="L2568" s="1"/>
      <c r="N2568" s="1"/>
      <c r="V2568" t="str">
        <f>"04100"</f>
        <v>04100</v>
      </c>
      <c r="W2568">
        <v>20.3</v>
      </c>
      <c r="X2568">
        <v>0</v>
      </c>
    </row>
    <row r="2569" spans="1:24" ht="15" customHeight="1" x14ac:dyDescent="0.25">
      <c r="A2569" t="str">
        <f>""</f>
        <v/>
      </c>
      <c r="B2569" s="1"/>
      <c r="H2569">
        <v>59.68</v>
      </c>
      <c r="J2569" t="s">
        <v>20</v>
      </c>
      <c r="L2569" s="1"/>
      <c r="N2569" s="1"/>
      <c r="V2569" t="str">
        <f>"75014"</f>
        <v>75014</v>
      </c>
      <c r="W2569">
        <v>0</v>
      </c>
      <c r="X2569">
        <v>0</v>
      </c>
    </row>
    <row r="2570" spans="1:24" ht="15" customHeight="1" x14ac:dyDescent="0.25">
      <c r="A2570" t="str">
        <f>""</f>
        <v/>
      </c>
      <c r="B2570" s="1"/>
      <c r="H2570">
        <v>59.68</v>
      </c>
      <c r="J2570" t="s">
        <v>20</v>
      </c>
      <c r="L2570" s="1"/>
      <c r="N2570" s="1"/>
      <c r="V2570" t="str">
        <f>"75014"</f>
        <v>75014</v>
      </c>
      <c r="W2570">
        <v>0</v>
      </c>
      <c r="X2570">
        <v>0</v>
      </c>
    </row>
    <row r="2571" spans="1:24" ht="15" customHeight="1" x14ac:dyDescent="0.25">
      <c r="A2571" t="str">
        <f>""</f>
        <v/>
      </c>
      <c r="B2571" s="1"/>
      <c r="H2571">
        <v>115.2</v>
      </c>
      <c r="J2571" t="s">
        <v>23</v>
      </c>
      <c r="L2571" s="1"/>
      <c r="N2571" s="1"/>
      <c r="V2571" t="str">
        <f>"22800"</f>
        <v>22800</v>
      </c>
      <c r="W2571">
        <v>0</v>
      </c>
      <c r="X2571">
        <v>0</v>
      </c>
    </row>
    <row r="2572" spans="1:24" ht="15" customHeight="1" x14ac:dyDescent="0.25">
      <c r="A2572" t="str">
        <f>""</f>
        <v/>
      </c>
      <c r="B2572" s="1"/>
      <c r="H2572">
        <v>19.649999999999999</v>
      </c>
      <c r="J2572" t="s">
        <v>19</v>
      </c>
      <c r="L2572" s="1"/>
      <c r="N2572" s="1"/>
      <c r="V2572" t="str">
        <f>"75014"</f>
        <v>75014</v>
      </c>
      <c r="W2572">
        <v>0</v>
      </c>
      <c r="X2572">
        <v>0</v>
      </c>
    </row>
    <row r="2573" spans="1:24" x14ac:dyDescent="0.25">
      <c r="A2573" t="str">
        <f>""</f>
        <v/>
      </c>
      <c r="B2573" s="1"/>
      <c r="H2573">
        <v>180</v>
      </c>
      <c r="J2573" t="s">
        <v>16</v>
      </c>
      <c r="L2573" s="1"/>
      <c r="N2573" s="1"/>
      <c r="V2573" t="str">
        <f>"75008"</f>
        <v>75008</v>
      </c>
      <c r="W2573">
        <v>0</v>
      </c>
      <c r="X2573">
        <v>0</v>
      </c>
    </row>
    <row r="2574" spans="1:24" x14ac:dyDescent="0.25">
      <c r="A2574" t="str">
        <f>""</f>
        <v/>
      </c>
      <c r="B2574" s="1"/>
      <c r="H2574">
        <v>194.12</v>
      </c>
      <c r="J2574" t="s">
        <v>18</v>
      </c>
      <c r="L2574" s="1"/>
      <c r="N2574" s="1"/>
      <c r="V2574" t="str">
        <f>"73200"</f>
        <v>73200</v>
      </c>
      <c r="W2574">
        <v>0</v>
      </c>
      <c r="X2574">
        <v>0</v>
      </c>
    </row>
    <row r="2575" spans="1:24" ht="15" customHeight="1" x14ac:dyDescent="0.25">
      <c r="A2575" t="str">
        <f>""</f>
        <v/>
      </c>
      <c r="B2575" s="1"/>
      <c r="H2575">
        <v>20</v>
      </c>
      <c r="J2575" t="s">
        <v>23</v>
      </c>
      <c r="L2575" s="1"/>
      <c r="N2575" s="1"/>
      <c r="V2575" t="str">
        <f>"84800"</f>
        <v>84800</v>
      </c>
      <c r="W2575">
        <v>0</v>
      </c>
      <c r="X2575">
        <v>0</v>
      </c>
    </row>
    <row r="2576" spans="1:24" ht="15" customHeight="1" x14ac:dyDescent="0.25">
      <c r="A2576" t="str">
        <f>""</f>
        <v/>
      </c>
      <c r="B2576" s="1"/>
      <c r="H2576">
        <v>140</v>
      </c>
      <c r="J2576" t="s">
        <v>22</v>
      </c>
      <c r="L2576" s="1"/>
      <c r="V2576" t="str">
        <f>"50240"</f>
        <v>50240</v>
      </c>
      <c r="W2576">
        <v>0</v>
      </c>
      <c r="X2576">
        <v>0</v>
      </c>
    </row>
    <row r="2577" spans="1:24" ht="15" customHeight="1" x14ac:dyDescent="0.25">
      <c r="A2577" t="str">
        <f>""</f>
        <v/>
      </c>
      <c r="B2577" s="1"/>
      <c r="H2577">
        <v>142.01</v>
      </c>
      <c r="J2577" t="s">
        <v>20</v>
      </c>
      <c r="L2577" s="1"/>
      <c r="N2577" s="1"/>
      <c r="V2577" t="str">
        <f>"13350"</f>
        <v>13350</v>
      </c>
      <c r="W2577">
        <v>41.18</v>
      </c>
      <c r="X2577">
        <v>0</v>
      </c>
    </row>
    <row r="2578" spans="1:24" ht="15" customHeight="1" x14ac:dyDescent="0.25">
      <c r="A2578" t="str">
        <f>""</f>
        <v/>
      </c>
      <c r="B2578" s="1"/>
      <c r="H2578">
        <v>80</v>
      </c>
      <c r="J2578" t="s">
        <v>20</v>
      </c>
      <c r="L2578" s="1"/>
      <c r="N2578" s="1"/>
      <c r="V2578" t="str">
        <f>"91300"</f>
        <v>91300</v>
      </c>
      <c r="W2578">
        <v>0</v>
      </c>
      <c r="X2578">
        <v>0</v>
      </c>
    </row>
    <row r="2579" spans="1:24" ht="15" customHeight="1" x14ac:dyDescent="0.25">
      <c r="A2579" t="str">
        <f>""</f>
        <v/>
      </c>
      <c r="B2579" s="1"/>
      <c r="H2579">
        <v>1200</v>
      </c>
      <c r="J2579" t="s">
        <v>22</v>
      </c>
      <c r="L2579" s="1"/>
      <c r="N2579" s="1"/>
      <c r="V2579" t="str">
        <f>"13290"</f>
        <v>13290</v>
      </c>
      <c r="W2579">
        <v>0</v>
      </c>
      <c r="X2579">
        <v>0</v>
      </c>
    </row>
    <row r="2580" spans="1:24" ht="15" customHeight="1" x14ac:dyDescent="0.25">
      <c r="A2580" t="str">
        <f>""</f>
        <v/>
      </c>
      <c r="B2580" s="1"/>
      <c r="H2580">
        <v>40</v>
      </c>
      <c r="J2580" t="s">
        <v>22</v>
      </c>
      <c r="L2580" s="1"/>
      <c r="N2580" s="1"/>
      <c r="V2580" t="str">
        <f>"68520"</f>
        <v>68520</v>
      </c>
      <c r="W2580">
        <v>0</v>
      </c>
      <c r="X2580">
        <v>0</v>
      </c>
    </row>
    <row r="2581" spans="1:24" ht="15" customHeight="1" x14ac:dyDescent="0.25">
      <c r="A2581" t="str">
        <f>""</f>
        <v/>
      </c>
      <c r="B2581" s="1"/>
      <c r="H2581">
        <v>170.32</v>
      </c>
      <c r="J2581" t="s">
        <v>22</v>
      </c>
      <c r="L2581" s="1"/>
      <c r="N2581" s="1"/>
      <c r="V2581" t="str">
        <f>"30000"</f>
        <v>30000</v>
      </c>
      <c r="W2581">
        <v>0</v>
      </c>
      <c r="X2581">
        <v>47.69</v>
      </c>
    </row>
    <row r="2582" spans="1:24" ht="15" customHeight="1" x14ac:dyDescent="0.25">
      <c r="A2582" t="str">
        <f>""</f>
        <v/>
      </c>
      <c r="B2582" s="1"/>
      <c r="H2582">
        <v>136.65</v>
      </c>
      <c r="J2582" t="s">
        <v>20</v>
      </c>
      <c r="L2582" s="1"/>
      <c r="N2582" s="1"/>
      <c r="V2582" t="str">
        <f>"94290"</f>
        <v>94290</v>
      </c>
      <c r="W2582">
        <v>0</v>
      </c>
      <c r="X2582">
        <v>0</v>
      </c>
    </row>
    <row r="2583" spans="1:24" ht="15" customHeight="1" x14ac:dyDescent="0.25">
      <c r="A2583" t="str">
        <f>""</f>
        <v/>
      </c>
      <c r="B2583" s="1"/>
      <c r="H2583">
        <v>23</v>
      </c>
      <c r="J2583" t="s">
        <v>20</v>
      </c>
      <c r="L2583" s="1"/>
      <c r="N2583" s="1"/>
      <c r="V2583" t="str">
        <f>"91300"</f>
        <v>91300</v>
      </c>
      <c r="W2583">
        <v>0</v>
      </c>
      <c r="X2583">
        <v>0</v>
      </c>
    </row>
    <row r="2584" spans="1:24" ht="15" customHeight="1" x14ac:dyDescent="0.25">
      <c r="A2584" t="str">
        <f>""</f>
        <v/>
      </c>
      <c r="B2584" s="1"/>
      <c r="H2584">
        <v>30</v>
      </c>
      <c r="J2584" t="s">
        <v>19</v>
      </c>
      <c r="L2584" s="1"/>
      <c r="N2584" s="1"/>
      <c r="V2584" t="str">
        <f>"92200"</f>
        <v>92200</v>
      </c>
      <c r="W2584">
        <v>0</v>
      </c>
      <c r="X2584">
        <v>0</v>
      </c>
    </row>
    <row r="2585" spans="1:24" ht="15" customHeight="1" x14ac:dyDescent="0.25">
      <c r="A2585" t="str">
        <f>""</f>
        <v/>
      </c>
      <c r="B2585" s="1"/>
      <c r="H2585">
        <v>158.47</v>
      </c>
      <c r="J2585" t="s">
        <v>19</v>
      </c>
      <c r="L2585" s="1"/>
      <c r="N2585" s="1"/>
      <c r="V2585" t="str">
        <f>"75002"</f>
        <v>75002</v>
      </c>
      <c r="W2585">
        <v>0</v>
      </c>
      <c r="X2585">
        <v>0</v>
      </c>
    </row>
    <row r="2586" spans="1:24" ht="15" customHeight="1" x14ac:dyDescent="0.25">
      <c r="A2586" t="str">
        <f>""</f>
        <v/>
      </c>
      <c r="B2586" s="1"/>
      <c r="J2586" t="s">
        <v>8</v>
      </c>
      <c r="V2586" t="str">
        <f>""</f>
        <v/>
      </c>
      <c r="W2586">
        <v>0</v>
      </c>
      <c r="X2586">
        <v>0</v>
      </c>
    </row>
    <row r="2587" spans="1:24" ht="15" customHeight="1" x14ac:dyDescent="0.25">
      <c r="A2587" t="str">
        <f>""</f>
        <v/>
      </c>
      <c r="B2587" s="1"/>
      <c r="J2587" t="s">
        <v>8</v>
      </c>
      <c r="V2587" t="str">
        <f>""</f>
        <v/>
      </c>
      <c r="W2587">
        <v>0</v>
      </c>
      <c r="X2587">
        <v>0</v>
      </c>
    </row>
    <row r="2588" spans="1:24" ht="15" customHeight="1" x14ac:dyDescent="0.25">
      <c r="A2588" t="str">
        <f>""</f>
        <v/>
      </c>
      <c r="B2588" s="1"/>
      <c r="H2588">
        <v>171.25</v>
      </c>
      <c r="J2588" t="s">
        <v>23</v>
      </c>
      <c r="L2588" s="1"/>
      <c r="N2588" s="1"/>
      <c r="V2588" t="str">
        <f>"79180"</f>
        <v>79180</v>
      </c>
      <c r="W2588">
        <v>0</v>
      </c>
      <c r="X2588">
        <v>0</v>
      </c>
    </row>
    <row r="2589" spans="1:24" ht="15" customHeight="1" x14ac:dyDescent="0.25">
      <c r="A2589" t="str">
        <f>""</f>
        <v/>
      </c>
      <c r="B2589" s="1"/>
      <c r="H2589">
        <v>140</v>
      </c>
      <c r="J2589" t="s">
        <v>23</v>
      </c>
      <c r="L2589" s="1"/>
      <c r="V2589" t="str">
        <f>"60700"</f>
        <v>60700</v>
      </c>
      <c r="W2589">
        <v>0</v>
      </c>
      <c r="X2589">
        <v>0</v>
      </c>
    </row>
    <row r="2590" spans="1:24" ht="15" customHeight="1" x14ac:dyDescent="0.25">
      <c r="A2590" t="str">
        <f>""</f>
        <v/>
      </c>
      <c r="B2590" s="1"/>
      <c r="H2590">
        <v>250</v>
      </c>
      <c r="J2590" t="s">
        <v>23</v>
      </c>
      <c r="L2590" s="1"/>
      <c r="V2590" t="str">
        <f>"59700"</f>
        <v>59700</v>
      </c>
      <c r="W2590">
        <v>0</v>
      </c>
      <c r="X2590">
        <v>0</v>
      </c>
    </row>
    <row r="2591" spans="1:24" ht="15" customHeight="1" x14ac:dyDescent="0.25">
      <c r="A2591" t="str">
        <f>""</f>
        <v/>
      </c>
      <c r="B2591" s="1"/>
      <c r="H2591">
        <v>140</v>
      </c>
      <c r="J2591" t="s">
        <v>23</v>
      </c>
      <c r="L2591" s="1"/>
      <c r="V2591" t="str">
        <f>"13290"</f>
        <v>13290</v>
      </c>
      <c r="W2591">
        <v>0</v>
      </c>
      <c r="X2591">
        <v>0</v>
      </c>
    </row>
    <row r="2592" spans="1:24" ht="15" customHeight="1" x14ac:dyDescent="0.25">
      <c r="A2592" t="str">
        <f>""</f>
        <v/>
      </c>
      <c r="B2592" s="1"/>
      <c r="H2592">
        <v>173.91</v>
      </c>
      <c r="J2592" t="s">
        <v>23</v>
      </c>
      <c r="L2592" s="1"/>
      <c r="N2592" s="1"/>
      <c r="V2592" t="str">
        <f>"31000"</f>
        <v>31000</v>
      </c>
      <c r="W2592">
        <v>0</v>
      </c>
      <c r="X2592">
        <v>0</v>
      </c>
    </row>
    <row r="2593" spans="1:24" ht="15" customHeight="1" x14ac:dyDescent="0.25">
      <c r="A2593" t="str">
        <f>""</f>
        <v/>
      </c>
      <c r="B2593" s="1"/>
      <c r="H2593">
        <v>32</v>
      </c>
      <c r="J2593" t="s">
        <v>23</v>
      </c>
      <c r="L2593" s="1"/>
      <c r="V2593" t="str">
        <f>"77700"</f>
        <v>77700</v>
      </c>
      <c r="W2593">
        <v>0</v>
      </c>
      <c r="X2593">
        <v>0</v>
      </c>
    </row>
    <row r="2594" spans="1:24" ht="15" customHeight="1" x14ac:dyDescent="0.25">
      <c r="A2594" t="str">
        <f>""</f>
        <v/>
      </c>
      <c r="B2594" s="1"/>
      <c r="H2594">
        <v>157.44</v>
      </c>
      <c r="J2594" t="s">
        <v>23</v>
      </c>
      <c r="L2594" s="1"/>
      <c r="V2594" t="str">
        <f>"67110"</f>
        <v>67110</v>
      </c>
      <c r="W2594">
        <v>0</v>
      </c>
      <c r="X2594">
        <v>0</v>
      </c>
    </row>
    <row r="2595" spans="1:24" x14ac:dyDescent="0.25">
      <c r="A2595" t="str">
        <f>""</f>
        <v/>
      </c>
      <c r="B2595" s="1"/>
      <c r="H2595">
        <v>151</v>
      </c>
      <c r="J2595" t="s">
        <v>17</v>
      </c>
      <c r="L2595" s="1"/>
      <c r="V2595" t="str">
        <f>"69441"</f>
        <v>69441</v>
      </c>
      <c r="W2595">
        <v>0</v>
      </c>
      <c r="X2595">
        <v>0</v>
      </c>
    </row>
    <row r="2596" spans="1:24" ht="15" customHeight="1" x14ac:dyDescent="0.25">
      <c r="A2596" t="str">
        <f>""</f>
        <v/>
      </c>
      <c r="B2596" s="1"/>
      <c r="H2596">
        <v>244.98</v>
      </c>
      <c r="J2596" t="s">
        <v>23</v>
      </c>
      <c r="L2596" s="1"/>
      <c r="N2596" s="1"/>
      <c r="V2596" t="str">
        <f>"80000"</f>
        <v>80000</v>
      </c>
      <c r="W2596">
        <v>0</v>
      </c>
      <c r="X2596">
        <v>0</v>
      </c>
    </row>
    <row r="2597" spans="1:24" x14ac:dyDescent="0.25">
      <c r="A2597" t="str">
        <f>""</f>
        <v/>
      </c>
      <c r="B2597" s="1"/>
      <c r="H2597">
        <v>400</v>
      </c>
      <c r="J2597" t="s">
        <v>17</v>
      </c>
      <c r="L2597" s="1"/>
      <c r="N2597" s="1"/>
      <c r="V2597" t="str">
        <f>"37000"</f>
        <v>37000</v>
      </c>
      <c r="W2597">
        <v>0</v>
      </c>
      <c r="X2597">
        <v>0</v>
      </c>
    </row>
    <row r="2598" spans="1:24" ht="15" customHeight="1" x14ac:dyDescent="0.25">
      <c r="A2598" t="str">
        <f>""</f>
        <v/>
      </c>
      <c r="B2598" s="1"/>
      <c r="H2598">
        <v>22.5</v>
      </c>
      <c r="J2598" t="s">
        <v>22</v>
      </c>
      <c r="L2598" s="1"/>
      <c r="V2598" t="str">
        <f>"70000"</f>
        <v>70000</v>
      </c>
      <c r="W2598">
        <v>0</v>
      </c>
      <c r="X2598">
        <v>0</v>
      </c>
    </row>
    <row r="2599" spans="1:24" x14ac:dyDescent="0.25">
      <c r="A2599" t="str">
        <f>""</f>
        <v/>
      </c>
      <c r="B2599" s="1"/>
      <c r="H2599">
        <v>52.5</v>
      </c>
      <c r="J2599" t="s">
        <v>15</v>
      </c>
      <c r="L2599" s="1"/>
      <c r="N2599" s="1"/>
      <c r="V2599" t="str">
        <f>"35000"</f>
        <v>35000</v>
      </c>
      <c r="W2599">
        <v>0</v>
      </c>
      <c r="X2599">
        <v>0</v>
      </c>
    </row>
    <row r="2600" spans="1:24" x14ac:dyDescent="0.25">
      <c r="A2600" t="str">
        <f>""</f>
        <v/>
      </c>
      <c r="B2600" s="1"/>
      <c r="H2600">
        <v>52.5</v>
      </c>
      <c r="J2600" t="s">
        <v>18</v>
      </c>
      <c r="L2600" s="1"/>
      <c r="N2600" s="1"/>
      <c r="V2600" t="str">
        <f>"78310"</f>
        <v>78310</v>
      </c>
      <c r="W2600">
        <v>0</v>
      </c>
      <c r="X2600">
        <v>0</v>
      </c>
    </row>
    <row r="2601" spans="1:24" x14ac:dyDescent="0.25">
      <c r="A2601" t="str">
        <f>""</f>
        <v/>
      </c>
      <c r="B2601" s="1"/>
      <c r="H2601">
        <v>52.5</v>
      </c>
      <c r="J2601" t="s">
        <v>16</v>
      </c>
      <c r="L2601" s="1"/>
      <c r="N2601" s="1"/>
      <c r="V2601" t="str">
        <f>"02100"</f>
        <v>02100</v>
      </c>
      <c r="W2601">
        <v>9.98</v>
      </c>
      <c r="X2601">
        <v>0</v>
      </c>
    </row>
    <row r="2602" spans="1:24" ht="15" customHeight="1" x14ac:dyDescent="0.25">
      <c r="A2602" t="str">
        <f>""</f>
        <v/>
      </c>
      <c r="B2602" s="1"/>
      <c r="H2602">
        <v>40</v>
      </c>
      <c r="J2602" t="s">
        <v>22</v>
      </c>
      <c r="L2602" s="1"/>
      <c r="V2602" t="str">
        <f>"27400"</f>
        <v>27400</v>
      </c>
      <c r="W2602">
        <v>0</v>
      </c>
      <c r="X2602">
        <v>0</v>
      </c>
    </row>
    <row r="2603" spans="1:24" x14ac:dyDescent="0.25">
      <c r="A2603" t="str">
        <f>""</f>
        <v/>
      </c>
      <c r="B2603" s="1"/>
      <c r="H2603">
        <v>26.86</v>
      </c>
      <c r="J2603" t="s">
        <v>15</v>
      </c>
      <c r="L2603" s="1"/>
      <c r="N2603" s="1"/>
      <c r="V2603" t="str">
        <f>"13720"</f>
        <v>13720</v>
      </c>
      <c r="W2603">
        <v>0</v>
      </c>
      <c r="X2603">
        <v>0</v>
      </c>
    </row>
    <row r="2604" spans="1:24" x14ac:dyDescent="0.25">
      <c r="A2604" t="str">
        <f>""</f>
        <v/>
      </c>
      <c r="B2604" s="1"/>
      <c r="H2604">
        <v>150.03</v>
      </c>
      <c r="J2604" t="s">
        <v>16</v>
      </c>
      <c r="L2604" s="1"/>
      <c r="N2604" s="1"/>
      <c r="V2604" t="str">
        <f>"06000"</f>
        <v>06000</v>
      </c>
      <c r="W2604">
        <v>0</v>
      </c>
      <c r="X2604">
        <v>0</v>
      </c>
    </row>
    <row r="2605" spans="1:24" ht="15" customHeight="1" x14ac:dyDescent="0.25">
      <c r="A2605" t="str">
        <f>""</f>
        <v/>
      </c>
      <c r="B2605" s="1"/>
      <c r="H2605">
        <v>999</v>
      </c>
      <c r="J2605" t="s">
        <v>22</v>
      </c>
      <c r="L2605" s="1"/>
      <c r="N2605" s="1"/>
      <c r="V2605" t="str">
        <f>"67120"</f>
        <v>67120</v>
      </c>
      <c r="W2605">
        <v>0</v>
      </c>
      <c r="X2605">
        <v>79.92</v>
      </c>
    </row>
    <row r="2606" spans="1:24" x14ac:dyDescent="0.25">
      <c r="A2606" t="str">
        <f>""</f>
        <v/>
      </c>
      <c r="B2606" s="1"/>
      <c r="H2606">
        <v>180.36</v>
      </c>
      <c r="J2606" t="s">
        <v>16</v>
      </c>
      <c r="L2606" s="1"/>
      <c r="N2606" s="1"/>
      <c r="V2606" t="str">
        <f>"25350"</f>
        <v>25350</v>
      </c>
      <c r="W2606">
        <v>0</v>
      </c>
      <c r="X2606">
        <v>0</v>
      </c>
    </row>
    <row r="2607" spans="1:24" x14ac:dyDescent="0.25">
      <c r="A2607" t="str">
        <f>""</f>
        <v/>
      </c>
      <c r="B2607" s="1"/>
      <c r="H2607">
        <v>151</v>
      </c>
      <c r="J2607" t="s">
        <v>15</v>
      </c>
      <c r="L2607" s="1"/>
      <c r="N2607" s="1"/>
      <c r="V2607" t="str">
        <f>"69800"</f>
        <v>69800</v>
      </c>
      <c r="W2607">
        <v>0</v>
      </c>
      <c r="X2607">
        <v>0</v>
      </c>
    </row>
    <row r="2608" spans="1:24" ht="15" customHeight="1" x14ac:dyDescent="0.25">
      <c r="A2608" t="str">
        <f>""</f>
        <v/>
      </c>
      <c r="B2608" s="1"/>
      <c r="J2608" t="s">
        <v>20</v>
      </c>
      <c r="L2608" s="1"/>
      <c r="N2608" s="1"/>
      <c r="V2608" t="str">
        <f>"69800"</f>
        <v>69800</v>
      </c>
      <c r="W2608">
        <v>0</v>
      </c>
      <c r="X2608">
        <v>0</v>
      </c>
    </row>
    <row r="2609" spans="1:24" x14ac:dyDescent="0.25">
      <c r="A2609" t="str">
        <f>""</f>
        <v/>
      </c>
      <c r="B2609" s="1"/>
      <c r="H2609">
        <v>18.8</v>
      </c>
      <c r="J2609" t="s">
        <v>18</v>
      </c>
      <c r="L2609" s="1"/>
      <c r="N2609" s="1"/>
      <c r="V2609" t="str">
        <f>"59210"</f>
        <v>59210</v>
      </c>
      <c r="W2609">
        <v>0</v>
      </c>
      <c r="X2609">
        <v>0</v>
      </c>
    </row>
    <row r="2610" spans="1:24" ht="15" customHeight="1" x14ac:dyDescent="0.25">
      <c r="A2610" t="str">
        <f>""</f>
        <v/>
      </c>
      <c r="B2610" s="1"/>
      <c r="H2610">
        <v>143.44999999999999</v>
      </c>
      <c r="J2610" t="s">
        <v>20</v>
      </c>
      <c r="L2610" s="1"/>
      <c r="N2610" s="1"/>
      <c r="V2610" t="str">
        <f>"34500"</f>
        <v>34500</v>
      </c>
      <c r="W2610">
        <v>55.95</v>
      </c>
      <c r="X2610">
        <v>0</v>
      </c>
    </row>
    <row r="2611" spans="1:24" x14ac:dyDescent="0.25">
      <c r="A2611" t="str">
        <f>""</f>
        <v/>
      </c>
      <c r="B2611" s="1"/>
      <c r="H2611">
        <v>171.65</v>
      </c>
      <c r="J2611" t="s">
        <v>16</v>
      </c>
      <c r="L2611" s="1"/>
      <c r="N2611" s="1"/>
      <c r="V2611" t="str">
        <f>"95700"</f>
        <v>95700</v>
      </c>
      <c r="W2611">
        <v>0</v>
      </c>
      <c r="X2611">
        <v>0</v>
      </c>
    </row>
    <row r="2612" spans="1:24" ht="15" customHeight="1" x14ac:dyDescent="0.25">
      <c r="A2612" t="str">
        <f>""</f>
        <v/>
      </c>
      <c r="B2612" s="1"/>
      <c r="H2612">
        <v>140</v>
      </c>
      <c r="J2612" t="s">
        <v>23</v>
      </c>
      <c r="L2612" s="1"/>
      <c r="N2612" s="1"/>
      <c r="V2612" t="str">
        <f>"08230"</f>
        <v>08230</v>
      </c>
      <c r="W2612">
        <v>0</v>
      </c>
      <c r="X2612">
        <v>0</v>
      </c>
    </row>
    <row r="2613" spans="1:24" ht="15" customHeight="1" x14ac:dyDescent="0.25">
      <c r="A2613" t="str">
        <f>""</f>
        <v/>
      </c>
      <c r="B2613" s="1"/>
      <c r="H2613">
        <v>70</v>
      </c>
      <c r="J2613" t="s">
        <v>23</v>
      </c>
      <c r="L2613" s="1"/>
      <c r="N2613" s="1"/>
      <c r="V2613" t="str">
        <f>"67400"</f>
        <v>67400</v>
      </c>
      <c r="W2613">
        <v>0</v>
      </c>
      <c r="X2613">
        <v>0</v>
      </c>
    </row>
    <row r="2614" spans="1:24" ht="15" customHeight="1" x14ac:dyDescent="0.25">
      <c r="A2614" t="str">
        <f>""</f>
        <v/>
      </c>
      <c r="B2614" s="1"/>
      <c r="H2614">
        <v>134.19999999999999</v>
      </c>
      <c r="J2614" t="s">
        <v>19</v>
      </c>
      <c r="L2614" s="1"/>
      <c r="N2614" s="1"/>
      <c r="V2614" t="str">
        <f>"68120"</f>
        <v>68120</v>
      </c>
      <c r="W2614">
        <v>38.92</v>
      </c>
      <c r="X2614">
        <v>0</v>
      </c>
    </row>
    <row r="2615" spans="1:24" ht="15" customHeight="1" x14ac:dyDescent="0.25">
      <c r="A2615" t="str">
        <f>""</f>
        <v/>
      </c>
      <c r="B2615" s="1"/>
      <c r="H2615">
        <v>40</v>
      </c>
      <c r="J2615" t="s">
        <v>23</v>
      </c>
      <c r="L2615" s="1"/>
      <c r="N2615" s="1"/>
      <c r="V2615" t="str">
        <f>"35400"</f>
        <v>35400</v>
      </c>
      <c r="W2615">
        <v>0</v>
      </c>
      <c r="X2615">
        <v>0</v>
      </c>
    </row>
    <row r="2616" spans="1:24" ht="15" customHeight="1" x14ac:dyDescent="0.25">
      <c r="A2616" t="str">
        <f>""</f>
        <v/>
      </c>
      <c r="B2616" s="1"/>
      <c r="H2616">
        <v>40</v>
      </c>
      <c r="J2616" t="s">
        <v>22</v>
      </c>
      <c r="L2616" s="1"/>
      <c r="N2616" s="1"/>
      <c r="V2616" t="str">
        <f>"06000"</f>
        <v>06000</v>
      </c>
      <c r="W2616">
        <v>0</v>
      </c>
      <c r="X2616">
        <v>0</v>
      </c>
    </row>
    <row r="2617" spans="1:24" ht="15" customHeight="1" x14ac:dyDescent="0.25">
      <c r="A2617" t="str">
        <f>""</f>
        <v/>
      </c>
      <c r="B2617" s="1"/>
      <c r="H2617">
        <v>140</v>
      </c>
      <c r="J2617" t="s">
        <v>23</v>
      </c>
      <c r="L2617" s="1"/>
      <c r="N2617" s="1"/>
      <c r="V2617" t="str">
        <f>"17000"</f>
        <v>17000</v>
      </c>
      <c r="W2617">
        <v>0</v>
      </c>
      <c r="X2617">
        <v>0</v>
      </c>
    </row>
    <row r="2618" spans="1:24" ht="15" customHeight="1" x14ac:dyDescent="0.25">
      <c r="A2618" t="str">
        <f>""</f>
        <v/>
      </c>
      <c r="B2618" s="1"/>
      <c r="J2618" t="s">
        <v>8</v>
      </c>
      <c r="V2618" t="str">
        <f>""</f>
        <v/>
      </c>
      <c r="W2618">
        <v>0</v>
      </c>
      <c r="X2618">
        <v>0</v>
      </c>
    </row>
    <row r="2619" spans="1:24" ht="15" customHeight="1" x14ac:dyDescent="0.25">
      <c r="A2619" t="str">
        <f>""</f>
        <v/>
      </c>
      <c r="B2619" s="1"/>
      <c r="H2619">
        <v>193</v>
      </c>
      <c r="J2619" t="s">
        <v>20</v>
      </c>
      <c r="L2619" s="1"/>
      <c r="N2619" s="1"/>
      <c r="V2619" t="str">
        <f>"27101"</f>
        <v>27101</v>
      </c>
      <c r="W2619">
        <v>32.81</v>
      </c>
      <c r="X2619">
        <v>0</v>
      </c>
    </row>
    <row r="2620" spans="1:24" ht="15" customHeight="1" x14ac:dyDescent="0.25">
      <c r="A2620" t="str">
        <f>""</f>
        <v/>
      </c>
      <c r="B2620" s="1"/>
      <c r="H2620">
        <v>186.07</v>
      </c>
      <c r="J2620" t="s">
        <v>20</v>
      </c>
      <c r="L2620" s="1"/>
      <c r="N2620" s="1"/>
      <c r="V2620" t="str">
        <f>"44300"</f>
        <v>44300</v>
      </c>
      <c r="W2620">
        <v>50.24</v>
      </c>
      <c r="X2620">
        <v>0</v>
      </c>
    </row>
    <row r="2621" spans="1:24" ht="15" customHeight="1" x14ac:dyDescent="0.25">
      <c r="A2621" t="str">
        <f>""</f>
        <v/>
      </c>
      <c r="B2621" s="1"/>
      <c r="H2621">
        <v>153</v>
      </c>
      <c r="J2621" t="s">
        <v>22</v>
      </c>
      <c r="L2621" s="1"/>
      <c r="N2621" s="1"/>
      <c r="V2621" t="str">
        <f>"14000"</f>
        <v>14000</v>
      </c>
      <c r="W2621">
        <v>0</v>
      </c>
      <c r="X2621">
        <v>26.01</v>
      </c>
    </row>
    <row r="2622" spans="1:24" ht="15" customHeight="1" x14ac:dyDescent="0.25">
      <c r="A2622" t="str">
        <f>""</f>
        <v/>
      </c>
      <c r="B2622" s="1"/>
      <c r="H2622">
        <v>205</v>
      </c>
      <c r="J2622" t="s">
        <v>23</v>
      </c>
      <c r="L2622" s="1"/>
      <c r="V2622" t="str">
        <f>"42000"</f>
        <v>42000</v>
      </c>
      <c r="W2622">
        <v>0</v>
      </c>
      <c r="X2622">
        <v>0</v>
      </c>
    </row>
    <row r="2623" spans="1:24" ht="15" customHeight="1" x14ac:dyDescent="0.25">
      <c r="A2623" t="str">
        <f>""</f>
        <v/>
      </c>
      <c r="B2623" s="1"/>
      <c r="H2623">
        <v>40</v>
      </c>
      <c r="J2623" t="s">
        <v>23</v>
      </c>
      <c r="L2623" s="1"/>
      <c r="N2623" s="1"/>
      <c r="V2623" t="str">
        <f>"75013"</f>
        <v>75013</v>
      </c>
      <c r="W2623">
        <v>0</v>
      </c>
      <c r="X2623">
        <v>0</v>
      </c>
    </row>
    <row r="2624" spans="1:24" ht="15" customHeight="1" x14ac:dyDescent="0.25">
      <c r="A2624" t="str">
        <f>""</f>
        <v/>
      </c>
      <c r="B2624" s="1"/>
      <c r="H2624">
        <v>70</v>
      </c>
      <c r="J2624" t="s">
        <v>22</v>
      </c>
      <c r="L2624" s="1"/>
      <c r="N2624" s="1"/>
      <c r="V2624" t="str">
        <f>"67118"</f>
        <v>67118</v>
      </c>
      <c r="W2624">
        <v>0</v>
      </c>
      <c r="X2624">
        <v>5.6</v>
      </c>
    </row>
    <row r="2625" spans="1:24" ht="15" customHeight="1" x14ac:dyDescent="0.25">
      <c r="A2625" t="str">
        <f>""</f>
        <v/>
      </c>
      <c r="B2625" s="1"/>
      <c r="H2625">
        <v>195.06</v>
      </c>
      <c r="J2625" t="s">
        <v>19</v>
      </c>
      <c r="L2625" s="1"/>
      <c r="N2625" s="1"/>
      <c r="V2625" t="str">
        <f>"75001"</f>
        <v>75001</v>
      </c>
      <c r="W2625">
        <v>0</v>
      </c>
      <c r="X2625">
        <v>0</v>
      </c>
    </row>
    <row r="2626" spans="1:24" ht="15" customHeight="1" x14ac:dyDescent="0.25">
      <c r="A2626" t="str">
        <f>""</f>
        <v/>
      </c>
      <c r="B2626" s="1"/>
      <c r="H2626">
        <v>183.98</v>
      </c>
      <c r="J2626" t="s">
        <v>22</v>
      </c>
      <c r="L2626" s="1"/>
      <c r="N2626" s="1"/>
      <c r="V2626" t="str">
        <f t="shared" ref="V2626:V2631" si="9">"14000"</f>
        <v>14000</v>
      </c>
      <c r="W2626">
        <v>0</v>
      </c>
      <c r="X2626">
        <v>31.28</v>
      </c>
    </row>
    <row r="2627" spans="1:24" ht="15" customHeight="1" x14ac:dyDescent="0.25">
      <c r="A2627" t="str">
        <f>""</f>
        <v/>
      </c>
      <c r="B2627" s="1"/>
      <c r="H2627">
        <v>184.02</v>
      </c>
      <c r="J2627" t="s">
        <v>22</v>
      </c>
      <c r="L2627" s="1"/>
      <c r="N2627" s="1"/>
      <c r="V2627" t="str">
        <f t="shared" si="9"/>
        <v>14000</v>
      </c>
      <c r="W2627">
        <v>0</v>
      </c>
      <c r="X2627">
        <v>31.28</v>
      </c>
    </row>
    <row r="2628" spans="1:24" ht="15" customHeight="1" x14ac:dyDescent="0.25">
      <c r="A2628" t="str">
        <f>""</f>
        <v/>
      </c>
      <c r="B2628" s="1"/>
      <c r="H2628">
        <v>153.97999999999999</v>
      </c>
      <c r="J2628" t="s">
        <v>23</v>
      </c>
      <c r="L2628" s="1"/>
      <c r="N2628" s="1"/>
      <c r="V2628" t="str">
        <f t="shared" si="9"/>
        <v>14000</v>
      </c>
      <c r="W2628">
        <v>0</v>
      </c>
      <c r="X2628">
        <v>26.18</v>
      </c>
    </row>
    <row r="2629" spans="1:24" ht="15" customHeight="1" x14ac:dyDescent="0.25">
      <c r="A2629" t="str">
        <f>""</f>
        <v/>
      </c>
      <c r="B2629" s="1"/>
      <c r="H2629">
        <v>154.02000000000001</v>
      </c>
      <c r="J2629" t="s">
        <v>23</v>
      </c>
      <c r="L2629" s="1"/>
      <c r="N2629" s="1"/>
      <c r="V2629" t="str">
        <f t="shared" si="9"/>
        <v>14000</v>
      </c>
      <c r="W2629">
        <v>0</v>
      </c>
      <c r="X2629">
        <v>26.18</v>
      </c>
    </row>
    <row r="2630" spans="1:24" ht="15" customHeight="1" x14ac:dyDescent="0.25">
      <c r="A2630" t="str">
        <f>""</f>
        <v/>
      </c>
      <c r="B2630" s="1"/>
      <c r="H2630">
        <v>183.98</v>
      </c>
      <c r="J2630" t="s">
        <v>23</v>
      </c>
      <c r="L2630" s="1"/>
      <c r="N2630" s="1"/>
      <c r="V2630" t="str">
        <f t="shared" si="9"/>
        <v>14000</v>
      </c>
      <c r="W2630">
        <v>0</v>
      </c>
      <c r="X2630">
        <v>31.28</v>
      </c>
    </row>
    <row r="2631" spans="1:24" ht="15" customHeight="1" x14ac:dyDescent="0.25">
      <c r="A2631" t="str">
        <f>""</f>
        <v/>
      </c>
      <c r="B2631" s="1"/>
      <c r="H2631">
        <v>180</v>
      </c>
      <c r="J2631" t="s">
        <v>23</v>
      </c>
      <c r="L2631" s="1"/>
      <c r="N2631" s="1"/>
      <c r="V2631" t="str">
        <f t="shared" si="9"/>
        <v>14000</v>
      </c>
      <c r="W2631">
        <v>0</v>
      </c>
      <c r="X2631">
        <v>30.6</v>
      </c>
    </row>
    <row r="2632" spans="1:24" ht="15" customHeight="1" x14ac:dyDescent="0.25">
      <c r="A2632" t="str">
        <f>""</f>
        <v/>
      </c>
      <c r="B2632" s="1"/>
      <c r="H2632">
        <v>40</v>
      </c>
      <c r="J2632" t="s">
        <v>19</v>
      </c>
      <c r="L2632" s="1"/>
      <c r="N2632" s="1"/>
      <c r="V2632" t="str">
        <f>"61250"</f>
        <v>61250</v>
      </c>
      <c r="W2632">
        <v>6.8</v>
      </c>
      <c r="X2632">
        <v>0</v>
      </c>
    </row>
    <row r="2633" spans="1:24" ht="15" customHeight="1" x14ac:dyDescent="0.25">
      <c r="A2633" t="str">
        <f>""</f>
        <v/>
      </c>
      <c r="B2633" s="1"/>
      <c r="H2633">
        <v>163.98</v>
      </c>
      <c r="J2633" t="s">
        <v>22</v>
      </c>
      <c r="L2633" s="1"/>
      <c r="V2633" t="str">
        <f>"01190"</f>
        <v>01190</v>
      </c>
      <c r="W2633">
        <v>0</v>
      </c>
      <c r="X2633">
        <v>0</v>
      </c>
    </row>
    <row r="2634" spans="1:24" ht="15" customHeight="1" x14ac:dyDescent="0.25">
      <c r="A2634" t="str">
        <f>""</f>
        <v/>
      </c>
      <c r="B2634" s="1"/>
      <c r="H2634">
        <v>163.98</v>
      </c>
      <c r="J2634" t="s">
        <v>22</v>
      </c>
      <c r="L2634" s="1"/>
      <c r="N2634" s="1"/>
      <c r="V2634" t="str">
        <f>"89230"</f>
        <v>89230</v>
      </c>
      <c r="W2634">
        <v>0</v>
      </c>
      <c r="X2634">
        <v>19.68</v>
      </c>
    </row>
    <row r="2635" spans="1:24" ht="15" customHeight="1" x14ac:dyDescent="0.25">
      <c r="A2635" t="str">
        <f>""</f>
        <v/>
      </c>
      <c r="B2635" s="1"/>
      <c r="H2635">
        <v>140</v>
      </c>
      <c r="J2635" t="s">
        <v>22</v>
      </c>
      <c r="L2635" s="1"/>
      <c r="N2635" s="1"/>
      <c r="V2635" t="str">
        <f>"59148"</f>
        <v>59148</v>
      </c>
      <c r="W2635">
        <v>0</v>
      </c>
      <c r="X2635">
        <v>0</v>
      </c>
    </row>
    <row r="2636" spans="1:24" ht="15" customHeight="1" x14ac:dyDescent="0.25">
      <c r="A2636" t="str">
        <f>""</f>
        <v/>
      </c>
      <c r="B2636" s="1"/>
      <c r="H2636">
        <v>70</v>
      </c>
      <c r="J2636" t="s">
        <v>23</v>
      </c>
      <c r="L2636" s="1"/>
      <c r="N2636" s="1"/>
      <c r="V2636" t="str">
        <f>"89100"</f>
        <v>89100</v>
      </c>
      <c r="W2636">
        <v>0</v>
      </c>
      <c r="X2636">
        <v>8.4</v>
      </c>
    </row>
    <row r="2637" spans="1:24" ht="15" customHeight="1" x14ac:dyDescent="0.25">
      <c r="A2637" t="str">
        <f>""</f>
        <v/>
      </c>
      <c r="B2637" s="1"/>
      <c r="H2637">
        <v>70</v>
      </c>
      <c r="J2637" t="s">
        <v>22</v>
      </c>
      <c r="L2637" s="1"/>
      <c r="N2637" s="1"/>
      <c r="V2637" t="str">
        <f>"58000"</f>
        <v>58000</v>
      </c>
      <c r="W2637">
        <v>0</v>
      </c>
      <c r="X2637">
        <v>8.4</v>
      </c>
    </row>
    <row r="2638" spans="1:24" ht="15" customHeight="1" x14ac:dyDescent="0.25">
      <c r="A2638" t="str">
        <f>""</f>
        <v/>
      </c>
      <c r="B2638" s="1"/>
      <c r="H2638">
        <v>171.25</v>
      </c>
      <c r="J2638" t="s">
        <v>23</v>
      </c>
      <c r="L2638" s="1"/>
      <c r="N2638" s="1"/>
      <c r="V2638" t="str">
        <f>"45400"</f>
        <v>45400</v>
      </c>
      <c r="W2638">
        <v>0</v>
      </c>
      <c r="X2638">
        <v>0</v>
      </c>
    </row>
    <row r="2639" spans="1:24" ht="15" customHeight="1" x14ac:dyDescent="0.25">
      <c r="A2639" t="str">
        <f>""</f>
        <v/>
      </c>
      <c r="B2639" s="1"/>
      <c r="H2639">
        <v>70</v>
      </c>
      <c r="J2639" t="s">
        <v>23</v>
      </c>
      <c r="L2639" s="1"/>
      <c r="N2639" s="1"/>
      <c r="V2639" t="str">
        <f>"83190"</f>
        <v>83190</v>
      </c>
      <c r="W2639">
        <v>0</v>
      </c>
      <c r="X2639">
        <v>14.7</v>
      </c>
    </row>
    <row r="2640" spans="1:24" ht="15" customHeight="1" x14ac:dyDescent="0.25">
      <c r="A2640" t="str">
        <f>""</f>
        <v/>
      </c>
      <c r="B2640" s="1"/>
      <c r="H2640">
        <v>250</v>
      </c>
      <c r="J2640" t="s">
        <v>22</v>
      </c>
      <c r="L2640" s="1"/>
      <c r="N2640" s="1"/>
      <c r="V2640" t="str">
        <f>"75003"</f>
        <v>75003</v>
      </c>
      <c r="W2640">
        <v>0</v>
      </c>
      <c r="X2640">
        <v>0</v>
      </c>
    </row>
    <row r="2641" spans="1:24" ht="15" customHeight="1" x14ac:dyDescent="0.25">
      <c r="A2641" t="str">
        <f>""</f>
        <v/>
      </c>
      <c r="B2641" s="1"/>
      <c r="H2641">
        <v>26.8</v>
      </c>
      <c r="J2641" t="s">
        <v>23</v>
      </c>
      <c r="L2641" s="1"/>
      <c r="V2641" t="str">
        <f>"63170"</f>
        <v>63170</v>
      </c>
      <c r="W2641">
        <v>0</v>
      </c>
      <c r="X2641">
        <v>0</v>
      </c>
    </row>
    <row r="2642" spans="1:24" ht="15" customHeight="1" x14ac:dyDescent="0.25">
      <c r="A2642" t="str">
        <f>""</f>
        <v/>
      </c>
      <c r="B2642" s="1"/>
      <c r="H2642">
        <v>160</v>
      </c>
      <c r="J2642" t="s">
        <v>22</v>
      </c>
      <c r="L2642" s="1"/>
      <c r="N2642" s="1"/>
      <c r="V2642" t="str">
        <f>"21300"</f>
        <v>21300</v>
      </c>
      <c r="W2642">
        <v>0</v>
      </c>
      <c r="X2642">
        <v>19.2</v>
      </c>
    </row>
    <row r="2643" spans="1:24" ht="15" customHeight="1" x14ac:dyDescent="0.25">
      <c r="A2643" t="str">
        <f>""</f>
        <v/>
      </c>
      <c r="B2643" s="1"/>
      <c r="H2643">
        <v>16</v>
      </c>
      <c r="J2643" t="s">
        <v>23</v>
      </c>
      <c r="L2643" s="1"/>
      <c r="N2643" s="1"/>
      <c r="V2643" t="str">
        <f>"75011"</f>
        <v>75011</v>
      </c>
      <c r="W2643">
        <v>0</v>
      </c>
      <c r="X2643">
        <v>0</v>
      </c>
    </row>
    <row r="2644" spans="1:24" ht="15" customHeight="1" x14ac:dyDescent="0.25">
      <c r="A2644" t="str">
        <f>""</f>
        <v/>
      </c>
      <c r="B2644" s="1"/>
      <c r="H2644">
        <v>110.2</v>
      </c>
      <c r="J2644" t="s">
        <v>23</v>
      </c>
      <c r="L2644" s="1"/>
      <c r="V2644" t="str">
        <f>"38330"</f>
        <v>38330</v>
      </c>
      <c r="W2644">
        <v>0</v>
      </c>
      <c r="X2644">
        <v>0</v>
      </c>
    </row>
    <row r="2645" spans="1:24" ht="15" customHeight="1" x14ac:dyDescent="0.25">
      <c r="A2645" t="str">
        <f>""</f>
        <v/>
      </c>
      <c r="B2645" s="1"/>
      <c r="H2645">
        <v>55.34</v>
      </c>
      <c r="J2645" t="s">
        <v>20</v>
      </c>
      <c r="L2645" s="1"/>
      <c r="N2645" s="1"/>
      <c r="V2645" t="str">
        <f>"41200"</f>
        <v>41200</v>
      </c>
      <c r="W2645">
        <v>11.62</v>
      </c>
      <c r="X2645">
        <v>0</v>
      </c>
    </row>
    <row r="2646" spans="1:24" ht="15" customHeight="1" x14ac:dyDescent="0.25">
      <c r="A2646" t="str">
        <f>""</f>
        <v/>
      </c>
      <c r="B2646" s="1"/>
      <c r="H2646">
        <v>14.6</v>
      </c>
      <c r="J2646" t="s">
        <v>22</v>
      </c>
      <c r="L2646" s="1"/>
      <c r="N2646" s="1"/>
      <c r="V2646" t="str">
        <f>"63000"</f>
        <v>63000</v>
      </c>
      <c r="W2646">
        <v>0</v>
      </c>
      <c r="X2646">
        <v>1.75</v>
      </c>
    </row>
    <row r="2647" spans="1:24" ht="15" customHeight="1" x14ac:dyDescent="0.25">
      <c r="A2647" t="str">
        <f>""</f>
        <v/>
      </c>
      <c r="B2647" s="1"/>
      <c r="H2647">
        <v>180</v>
      </c>
      <c r="J2647" t="s">
        <v>22</v>
      </c>
      <c r="L2647" s="1"/>
      <c r="N2647" s="1"/>
      <c r="V2647" t="str">
        <f>"56560"</f>
        <v>56560</v>
      </c>
      <c r="W2647">
        <v>0</v>
      </c>
      <c r="X2647">
        <v>0</v>
      </c>
    </row>
    <row r="2648" spans="1:24" ht="15" customHeight="1" x14ac:dyDescent="0.25">
      <c r="A2648" t="str">
        <f>""</f>
        <v/>
      </c>
      <c r="B2648" s="1"/>
      <c r="H2648">
        <v>183.98</v>
      </c>
      <c r="J2648" t="s">
        <v>22</v>
      </c>
      <c r="L2648" s="1"/>
      <c r="N2648" s="1"/>
      <c r="V2648" t="str">
        <f>"54000"</f>
        <v>54000</v>
      </c>
      <c r="W2648">
        <v>0</v>
      </c>
      <c r="X2648">
        <v>46</v>
      </c>
    </row>
    <row r="2649" spans="1:24" ht="15" customHeight="1" x14ac:dyDescent="0.25">
      <c r="A2649" t="str">
        <f>""</f>
        <v/>
      </c>
      <c r="B2649" s="1"/>
      <c r="H2649">
        <v>93.97</v>
      </c>
      <c r="J2649" t="s">
        <v>22</v>
      </c>
      <c r="L2649" s="1"/>
      <c r="N2649" s="1"/>
      <c r="V2649" t="str">
        <f>"85700"</f>
        <v>85700</v>
      </c>
      <c r="W2649">
        <v>0</v>
      </c>
      <c r="X2649">
        <v>0</v>
      </c>
    </row>
    <row r="2650" spans="1:24" ht="15" customHeight="1" x14ac:dyDescent="0.25">
      <c r="A2650" t="str">
        <f>""</f>
        <v/>
      </c>
      <c r="B2650" s="1"/>
      <c r="H2650">
        <v>25</v>
      </c>
      <c r="J2650" t="s">
        <v>22</v>
      </c>
      <c r="L2650" s="1"/>
      <c r="N2650" s="1"/>
      <c r="V2650" t="str">
        <f>"85700"</f>
        <v>85700</v>
      </c>
      <c r="W2650">
        <v>0</v>
      </c>
      <c r="X2650">
        <v>0</v>
      </c>
    </row>
    <row r="2651" spans="1:24" ht="15" customHeight="1" x14ac:dyDescent="0.25">
      <c r="A2651" t="str">
        <f>""</f>
        <v/>
      </c>
      <c r="B2651" s="1"/>
      <c r="H2651">
        <v>151</v>
      </c>
      <c r="J2651" t="s">
        <v>22</v>
      </c>
      <c r="L2651" s="1"/>
      <c r="N2651" s="1"/>
      <c r="V2651" t="str">
        <f>"70000"</f>
        <v>70000</v>
      </c>
      <c r="W2651">
        <v>0</v>
      </c>
      <c r="X2651">
        <v>18.12</v>
      </c>
    </row>
    <row r="2652" spans="1:24" ht="15" customHeight="1" x14ac:dyDescent="0.25">
      <c r="A2652" t="str">
        <f>""</f>
        <v/>
      </c>
      <c r="B2652" s="1"/>
      <c r="H2652">
        <v>25</v>
      </c>
      <c r="J2652" t="s">
        <v>22</v>
      </c>
      <c r="L2652" s="1"/>
      <c r="V2652" t="str">
        <f>"70000"</f>
        <v>70000</v>
      </c>
      <c r="W2652">
        <v>0</v>
      </c>
      <c r="X2652">
        <v>0</v>
      </c>
    </row>
    <row r="2653" spans="1:24" ht="15" customHeight="1" x14ac:dyDescent="0.25">
      <c r="A2653" t="str">
        <f>""</f>
        <v/>
      </c>
      <c r="B2653" s="1"/>
      <c r="H2653">
        <v>40</v>
      </c>
      <c r="J2653" t="s">
        <v>23</v>
      </c>
      <c r="L2653" s="1"/>
      <c r="N2653" s="1"/>
      <c r="V2653" t="str">
        <f>"81990"</f>
        <v>81990</v>
      </c>
      <c r="W2653">
        <v>0</v>
      </c>
      <c r="X2653">
        <v>10.8</v>
      </c>
    </row>
    <row r="2654" spans="1:24" ht="15" customHeight="1" x14ac:dyDescent="0.25">
      <c r="A2654" t="str">
        <f>""</f>
        <v/>
      </c>
      <c r="B2654" s="1"/>
      <c r="H2654">
        <v>50.84</v>
      </c>
      <c r="J2654" t="s">
        <v>19</v>
      </c>
      <c r="L2654" s="1"/>
      <c r="N2654" s="1"/>
      <c r="V2654" t="str">
        <f>"92000"</f>
        <v>92000</v>
      </c>
      <c r="W2654">
        <v>0</v>
      </c>
      <c r="X2654">
        <v>0</v>
      </c>
    </row>
    <row r="2655" spans="1:24" ht="15" customHeight="1" x14ac:dyDescent="0.25">
      <c r="A2655" t="str">
        <f>""</f>
        <v/>
      </c>
      <c r="B2655" s="1"/>
      <c r="H2655">
        <v>151</v>
      </c>
      <c r="J2655" t="s">
        <v>23</v>
      </c>
      <c r="L2655" s="1"/>
      <c r="V2655" t="str">
        <f>"34000"</f>
        <v>34000</v>
      </c>
      <c r="W2655">
        <v>0</v>
      </c>
      <c r="X2655">
        <v>0</v>
      </c>
    </row>
    <row r="2656" spans="1:24" ht="15" customHeight="1" x14ac:dyDescent="0.25">
      <c r="A2656" t="str">
        <f>""</f>
        <v/>
      </c>
      <c r="B2656" s="1"/>
      <c r="H2656">
        <v>180</v>
      </c>
      <c r="J2656" t="s">
        <v>22</v>
      </c>
      <c r="L2656" s="1"/>
      <c r="N2656" s="1"/>
      <c r="V2656" t="str">
        <f>"45120"</f>
        <v>45120</v>
      </c>
      <c r="W2656">
        <v>0</v>
      </c>
      <c r="X2656">
        <v>70.2</v>
      </c>
    </row>
    <row r="2657" spans="1:24" ht="15" customHeight="1" x14ac:dyDescent="0.25">
      <c r="A2657" t="str">
        <f>""</f>
        <v/>
      </c>
      <c r="B2657" s="1"/>
      <c r="H2657">
        <v>40</v>
      </c>
      <c r="J2657" t="s">
        <v>22</v>
      </c>
      <c r="L2657" s="1"/>
      <c r="N2657" s="1"/>
      <c r="V2657" t="str">
        <f>"28000"</f>
        <v>28000</v>
      </c>
      <c r="W2657">
        <v>0</v>
      </c>
      <c r="X2657">
        <v>10.8</v>
      </c>
    </row>
    <row r="2658" spans="1:24" ht="15" customHeight="1" x14ac:dyDescent="0.25">
      <c r="A2658" t="str">
        <f>""</f>
        <v/>
      </c>
      <c r="B2658" s="1"/>
      <c r="H2658">
        <v>50.84</v>
      </c>
      <c r="J2658" t="s">
        <v>20</v>
      </c>
      <c r="L2658" s="1"/>
      <c r="N2658" s="1"/>
      <c r="V2658" t="str">
        <f>"92000"</f>
        <v>92000</v>
      </c>
      <c r="W2658">
        <v>0</v>
      </c>
      <c r="X2658">
        <v>0</v>
      </c>
    </row>
    <row r="2659" spans="1:24" x14ac:dyDescent="0.25">
      <c r="A2659" t="str">
        <f>""</f>
        <v/>
      </c>
      <c r="B2659" s="1"/>
      <c r="H2659">
        <v>52.5</v>
      </c>
      <c r="J2659" t="s">
        <v>15</v>
      </c>
      <c r="L2659" s="1"/>
      <c r="N2659" s="1"/>
      <c r="V2659" t="str">
        <f>"16000"</f>
        <v>16000</v>
      </c>
      <c r="W2659">
        <v>0</v>
      </c>
      <c r="X2659">
        <v>0</v>
      </c>
    </row>
    <row r="2660" spans="1:24" x14ac:dyDescent="0.25">
      <c r="A2660" t="str">
        <f>""</f>
        <v/>
      </c>
      <c r="B2660" s="1"/>
      <c r="H2660">
        <v>52.5</v>
      </c>
      <c r="J2660" t="s">
        <v>15</v>
      </c>
      <c r="L2660" s="1"/>
      <c r="N2660" s="1"/>
      <c r="V2660" t="str">
        <f>"31300"</f>
        <v>31300</v>
      </c>
      <c r="W2660">
        <v>0</v>
      </c>
      <c r="X2660">
        <v>0</v>
      </c>
    </row>
    <row r="2661" spans="1:24" ht="15" customHeight="1" x14ac:dyDescent="0.25">
      <c r="A2661" t="str">
        <f>""</f>
        <v/>
      </c>
      <c r="B2661" s="1"/>
      <c r="H2661">
        <v>250</v>
      </c>
      <c r="J2661" t="s">
        <v>23</v>
      </c>
      <c r="L2661" s="1"/>
      <c r="N2661" s="1"/>
      <c r="V2661" t="str">
        <f>"51000"</f>
        <v>51000</v>
      </c>
      <c r="W2661">
        <v>0</v>
      </c>
      <c r="X2661">
        <v>62.5</v>
      </c>
    </row>
    <row r="2662" spans="1:24" ht="15" customHeight="1" x14ac:dyDescent="0.25">
      <c r="A2662" t="str">
        <f>""</f>
        <v/>
      </c>
      <c r="B2662" s="1"/>
      <c r="H2662">
        <v>50.84</v>
      </c>
      <c r="J2662" t="s">
        <v>19</v>
      </c>
      <c r="L2662" s="1"/>
      <c r="N2662" s="1"/>
      <c r="V2662" t="str">
        <f>"92000"</f>
        <v>92000</v>
      </c>
      <c r="W2662">
        <v>0</v>
      </c>
      <c r="X2662">
        <v>0</v>
      </c>
    </row>
    <row r="2663" spans="1:24" ht="15" customHeight="1" x14ac:dyDescent="0.25">
      <c r="A2663" t="str">
        <f>""</f>
        <v/>
      </c>
      <c r="B2663" s="1"/>
      <c r="H2663">
        <v>34.590000000000003</v>
      </c>
      <c r="J2663" t="s">
        <v>19</v>
      </c>
      <c r="L2663" s="1"/>
      <c r="N2663" s="1"/>
      <c r="V2663" t="str">
        <f>"57070"</f>
        <v>57070</v>
      </c>
      <c r="W2663">
        <v>8.65</v>
      </c>
      <c r="X2663">
        <v>0</v>
      </c>
    </row>
    <row r="2664" spans="1:24" ht="15" customHeight="1" x14ac:dyDescent="0.25">
      <c r="A2664" t="str">
        <f>""</f>
        <v/>
      </c>
      <c r="B2664" s="1"/>
      <c r="H2664">
        <v>32</v>
      </c>
      <c r="J2664" t="s">
        <v>22</v>
      </c>
      <c r="L2664" s="1"/>
      <c r="N2664" s="1"/>
      <c r="V2664" t="str">
        <f>"93290"</f>
        <v>93290</v>
      </c>
      <c r="W2664">
        <v>0</v>
      </c>
      <c r="X2664">
        <v>0</v>
      </c>
    </row>
    <row r="2665" spans="1:24" ht="15" customHeight="1" x14ac:dyDescent="0.25">
      <c r="A2665" t="str">
        <f>""</f>
        <v/>
      </c>
      <c r="B2665" s="1"/>
      <c r="H2665">
        <v>32</v>
      </c>
      <c r="J2665" t="s">
        <v>22</v>
      </c>
      <c r="L2665" s="1"/>
      <c r="N2665" s="1"/>
      <c r="V2665" t="str">
        <f>"93290"</f>
        <v>93290</v>
      </c>
      <c r="W2665">
        <v>0</v>
      </c>
      <c r="X2665">
        <v>0</v>
      </c>
    </row>
    <row r="2666" spans="1:24" ht="15" customHeight="1" x14ac:dyDescent="0.25">
      <c r="A2666" t="str">
        <f>""</f>
        <v/>
      </c>
      <c r="B2666" s="1"/>
      <c r="H2666">
        <v>55.16</v>
      </c>
      <c r="J2666" t="s">
        <v>19</v>
      </c>
      <c r="L2666" s="1"/>
      <c r="N2666" s="1"/>
      <c r="V2666" t="str">
        <f>"93013"</f>
        <v>93013</v>
      </c>
      <c r="W2666">
        <v>0</v>
      </c>
      <c r="X2666">
        <v>0</v>
      </c>
    </row>
    <row r="2667" spans="1:24" x14ac:dyDescent="0.25">
      <c r="A2667" t="str">
        <f>""</f>
        <v/>
      </c>
      <c r="B2667" s="1"/>
      <c r="H2667">
        <v>23.4</v>
      </c>
      <c r="J2667" t="s">
        <v>15</v>
      </c>
      <c r="L2667" s="1"/>
      <c r="N2667" s="1"/>
      <c r="V2667" t="str">
        <f>"38300"</f>
        <v>38300</v>
      </c>
      <c r="W2667">
        <v>0</v>
      </c>
      <c r="X2667">
        <v>0</v>
      </c>
    </row>
    <row r="2668" spans="1:24" x14ac:dyDescent="0.25">
      <c r="A2668" t="str">
        <f>""</f>
        <v/>
      </c>
      <c r="B2668" s="1"/>
      <c r="H2668">
        <v>23.4</v>
      </c>
      <c r="J2668" t="s">
        <v>15</v>
      </c>
      <c r="L2668" s="1"/>
      <c r="N2668" s="1"/>
      <c r="V2668" t="str">
        <f>"38300"</f>
        <v>38300</v>
      </c>
      <c r="W2668">
        <v>0</v>
      </c>
      <c r="X2668">
        <v>0</v>
      </c>
    </row>
    <row r="2669" spans="1:24" ht="15" customHeight="1" x14ac:dyDescent="0.25">
      <c r="A2669" t="str">
        <f>""</f>
        <v/>
      </c>
      <c r="B2669" s="1"/>
      <c r="H2669">
        <v>130.25</v>
      </c>
      <c r="J2669" t="s">
        <v>20</v>
      </c>
      <c r="L2669" s="1"/>
      <c r="N2669" s="1"/>
      <c r="V2669" t="str">
        <f>"53100"</f>
        <v>53100</v>
      </c>
      <c r="W2669">
        <v>35.17</v>
      </c>
      <c r="X2669">
        <v>0</v>
      </c>
    </row>
    <row r="2670" spans="1:24" ht="15" customHeight="1" x14ac:dyDescent="0.25">
      <c r="A2670" t="str">
        <f>""</f>
        <v/>
      </c>
      <c r="B2670" s="1"/>
      <c r="H2670">
        <v>26.6</v>
      </c>
      <c r="J2670" t="s">
        <v>23</v>
      </c>
      <c r="L2670" s="1"/>
      <c r="V2670" t="str">
        <f>"27000"</f>
        <v>27000</v>
      </c>
      <c r="W2670">
        <v>0</v>
      </c>
      <c r="X2670">
        <v>0</v>
      </c>
    </row>
    <row r="2671" spans="1:24" ht="15" customHeight="1" x14ac:dyDescent="0.25">
      <c r="A2671" t="str">
        <f>""</f>
        <v/>
      </c>
      <c r="B2671" s="1"/>
      <c r="H2671">
        <v>20</v>
      </c>
      <c r="L2671" s="1"/>
      <c r="N2671" s="1"/>
      <c r="V2671" t="str">
        <f>"77184"</f>
        <v>77184</v>
      </c>
      <c r="W2671">
        <v>0</v>
      </c>
      <c r="X2671">
        <v>0</v>
      </c>
    </row>
    <row r="2672" spans="1:24" x14ac:dyDescent="0.25">
      <c r="A2672" t="str">
        <f>""</f>
        <v/>
      </c>
      <c r="B2672" s="1"/>
      <c r="H2672">
        <v>92</v>
      </c>
      <c r="J2672" t="s">
        <v>16</v>
      </c>
      <c r="L2672" s="1"/>
      <c r="N2672" s="1"/>
      <c r="V2672" t="str">
        <f>"66000"</f>
        <v>66000</v>
      </c>
      <c r="W2672">
        <v>35.880000000000003</v>
      </c>
      <c r="X2672">
        <v>0</v>
      </c>
    </row>
    <row r="2673" spans="1:24" ht="15" customHeight="1" x14ac:dyDescent="0.25">
      <c r="A2673" t="str">
        <f>""</f>
        <v/>
      </c>
      <c r="B2673" s="1"/>
      <c r="H2673">
        <v>151</v>
      </c>
      <c r="J2673" t="s">
        <v>23</v>
      </c>
      <c r="L2673" s="1"/>
      <c r="N2673" s="1"/>
      <c r="V2673" t="str">
        <f>"57400"</f>
        <v>57400</v>
      </c>
      <c r="W2673">
        <v>0</v>
      </c>
      <c r="X2673">
        <v>0</v>
      </c>
    </row>
    <row r="2674" spans="1:24" ht="15" customHeight="1" x14ac:dyDescent="0.25">
      <c r="A2674" t="str">
        <f>""</f>
        <v/>
      </c>
      <c r="B2674" s="1"/>
      <c r="H2674">
        <v>36.82</v>
      </c>
      <c r="J2674" t="s">
        <v>19</v>
      </c>
      <c r="L2674" s="1"/>
      <c r="N2674" s="1"/>
      <c r="V2674" t="str">
        <f>"67200"</f>
        <v>67200</v>
      </c>
      <c r="W2674">
        <v>10.68</v>
      </c>
      <c r="X2674">
        <v>0</v>
      </c>
    </row>
    <row r="2675" spans="1:24" ht="15" customHeight="1" x14ac:dyDescent="0.25">
      <c r="A2675" t="str">
        <f>""</f>
        <v/>
      </c>
      <c r="B2675" s="1"/>
      <c r="H2675">
        <v>54.2</v>
      </c>
      <c r="J2675" t="s">
        <v>22</v>
      </c>
      <c r="L2675" s="1"/>
      <c r="N2675" s="1"/>
      <c r="V2675" t="str">
        <f>"28000"</f>
        <v>28000</v>
      </c>
      <c r="W2675">
        <v>0</v>
      </c>
      <c r="X2675">
        <v>0</v>
      </c>
    </row>
    <row r="2676" spans="1:24" ht="15" customHeight="1" x14ac:dyDescent="0.25">
      <c r="A2676" t="str">
        <f>""</f>
        <v/>
      </c>
      <c r="B2676" s="1"/>
      <c r="H2676">
        <v>73</v>
      </c>
      <c r="J2676" t="s">
        <v>19</v>
      </c>
      <c r="L2676" s="1"/>
      <c r="N2676" s="1"/>
      <c r="V2676" t="str">
        <f>"13790"</f>
        <v>13790</v>
      </c>
      <c r="W2676">
        <v>37.229999999999997</v>
      </c>
      <c r="X2676">
        <v>0</v>
      </c>
    </row>
    <row r="2677" spans="1:24" ht="15" customHeight="1" x14ac:dyDescent="0.25">
      <c r="A2677" t="str">
        <f>""</f>
        <v/>
      </c>
      <c r="B2677" s="1"/>
      <c r="H2677">
        <v>73</v>
      </c>
      <c r="J2677" t="s">
        <v>19</v>
      </c>
      <c r="L2677" s="1"/>
      <c r="N2677" s="1"/>
      <c r="V2677" t="str">
        <f>"13790"</f>
        <v>13790</v>
      </c>
      <c r="W2677">
        <v>37.229999999999997</v>
      </c>
      <c r="X2677">
        <v>0</v>
      </c>
    </row>
    <row r="2678" spans="1:24" ht="15" customHeight="1" x14ac:dyDescent="0.25">
      <c r="A2678" t="str">
        <f>""</f>
        <v/>
      </c>
      <c r="B2678" s="1"/>
      <c r="H2678">
        <v>73</v>
      </c>
      <c r="J2678" t="s">
        <v>19</v>
      </c>
      <c r="L2678" s="1"/>
      <c r="N2678" s="1"/>
      <c r="V2678" t="str">
        <f>"13790"</f>
        <v>13790</v>
      </c>
      <c r="W2678">
        <v>37.229999999999997</v>
      </c>
      <c r="X2678">
        <v>0</v>
      </c>
    </row>
    <row r="2679" spans="1:24" ht="15" customHeight="1" x14ac:dyDescent="0.25">
      <c r="A2679" t="str">
        <f>""</f>
        <v/>
      </c>
      <c r="B2679" s="1"/>
      <c r="H2679">
        <v>151</v>
      </c>
      <c r="J2679" t="s">
        <v>22</v>
      </c>
      <c r="L2679" s="1"/>
      <c r="N2679" s="1"/>
      <c r="V2679" t="str">
        <f>"76600"</f>
        <v>76600</v>
      </c>
      <c r="W2679">
        <v>0</v>
      </c>
      <c r="X2679">
        <v>25.67</v>
      </c>
    </row>
    <row r="2680" spans="1:24" ht="15" customHeight="1" x14ac:dyDescent="0.25">
      <c r="A2680" t="str">
        <f>""</f>
        <v/>
      </c>
      <c r="B2680" s="1"/>
      <c r="H2680">
        <v>80</v>
      </c>
      <c r="J2680" t="s">
        <v>23</v>
      </c>
      <c r="L2680" s="1"/>
      <c r="N2680" s="1"/>
      <c r="V2680" t="str">
        <f>"16340"</f>
        <v>16340</v>
      </c>
      <c r="W2680">
        <v>0</v>
      </c>
      <c r="X2680">
        <v>16.8</v>
      </c>
    </row>
    <row r="2681" spans="1:24" ht="15" customHeight="1" x14ac:dyDescent="0.25">
      <c r="A2681" t="str">
        <f>""</f>
        <v/>
      </c>
      <c r="B2681" s="1"/>
      <c r="H2681">
        <v>29.59</v>
      </c>
      <c r="J2681" t="s">
        <v>22</v>
      </c>
      <c r="L2681" s="1"/>
      <c r="N2681" s="1"/>
      <c r="V2681" t="str">
        <f>"92400"</f>
        <v>92400</v>
      </c>
      <c r="W2681">
        <v>0</v>
      </c>
      <c r="X2681">
        <v>0</v>
      </c>
    </row>
    <row r="2682" spans="1:24" ht="15" customHeight="1" x14ac:dyDescent="0.25">
      <c r="A2682" t="str">
        <f>""</f>
        <v/>
      </c>
      <c r="B2682" s="1"/>
      <c r="H2682">
        <v>29.59</v>
      </c>
      <c r="J2682" t="s">
        <v>22</v>
      </c>
      <c r="L2682" s="1"/>
      <c r="N2682" s="1"/>
      <c r="V2682" t="str">
        <f>"92400"</f>
        <v>92400</v>
      </c>
      <c r="W2682">
        <v>0</v>
      </c>
      <c r="X2682">
        <v>0</v>
      </c>
    </row>
    <row r="2683" spans="1:24" ht="15" customHeight="1" x14ac:dyDescent="0.25">
      <c r="A2683" t="str">
        <f>""</f>
        <v/>
      </c>
      <c r="B2683" s="1"/>
      <c r="H2683">
        <v>180</v>
      </c>
      <c r="J2683" t="s">
        <v>23</v>
      </c>
      <c r="L2683" s="1"/>
      <c r="N2683" s="1"/>
      <c r="V2683" t="str">
        <f>"62320"</f>
        <v>62320</v>
      </c>
      <c r="W2683">
        <v>0</v>
      </c>
      <c r="X2683">
        <v>0</v>
      </c>
    </row>
    <row r="2684" spans="1:24" ht="15" customHeight="1" x14ac:dyDescent="0.25">
      <c r="A2684" t="str">
        <f>""</f>
        <v/>
      </c>
      <c r="B2684" s="1"/>
      <c r="H2684">
        <v>151</v>
      </c>
      <c r="J2684" t="s">
        <v>22</v>
      </c>
      <c r="L2684" s="1"/>
      <c r="N2684" s="1"/>
      <c r="V2684" t="str">
        <f>"06560"</f>
        <v>06560</v>
      </c>
      <c r="W2684">
        <v>0</v>
      </c>
      <c r="X2684">
        <v>0</v>
      </c>
    </row>
    <row r="2685" spans="1:24" ht="15" customHeight="1" x14ac:dyDescent="0.25">
      <c r="A2685" t="str">
        <f>""</f>
        <v/>
      </c>
      <c r="B2685" s="1"/>
      <c r="H2685">
        <v>25</v>
      </c>
      <c r="L2685" s="1"/>
      <c r="N2685" s="1"/>
      <c r="V2685" t="str">
        <f>"77184"</f>
        <v>77184</v>
      </c>
      <c r="W2685">
        <v>0</v>
      </c>
      <c r="X2685">
        <v>0</v>
      </c>
    </row>
    <row r="2686" spans="1:24" ht="15" customHeight="1" x14ac:dyDescent="0.25">
      <c r="A2686" t="str">
        <f>""</f>
        <v/>
      </c>
      <c r="B2686" s="1"/>
      <c r="H2686">
        <v>140.72</v>
      </c>
      <c r="J2686" t="s">
        <v>22</v>
      </c>
      <c r="L2686" s="1"/>
      <c r="N2686" s="1"/>
      <c r="V2686" t="str">
        <f>"27310"</f>
        <v>27310</v>
      </c>
      <c r="W2686">
        <v>0</v>
      </c>
      <c r="X2686">
        <v>23.92</v>
      </c>
    </row>
    <row r="2687" spans="1:24" ht="15" customHeight="1" x14ac:dyDescent="0.25">
      <c r="A2687" t="str">
        <f>""</f>
        <v/>
      </c>
      <c r="B2687" s="1"/>
      <c r="H2687">
        <v>55.16</v>
      </c>
      <c r="J2687" t="s">
        <v>19</v>
      </c>
      <c r="L2687" s="1"/>
      <c r="N2687" s="1"/>
      <c r="V2687" t="str">
        <f>"71380"</f>
        <v>71380</v>
      </c>
      <c r="W2687">
        <v>14.89</v>
      </c>
      <c r="X2687">
        <v>0</v>
      </c>
    </row>
    <row r="2688" spans="1:24" ht="15" customHeight="1" x14ac:dyDescent="0.25">
      <c r="A2688" t="str">
        <f>""</f>
        <v/>
      </c>
      <c r="B2688" s="1"/>
      <c r="H2688">
        <v>184.39</v>
      </c>
      <c r="J2688" t="s">
        <v>19</v>
      </c>
      <c r="L2688" s="1"/>
      <c r="N2688" s="1"/>
      <c r="V2688" t="str">
        <f>"44000"</f>
        <v>44000</v>
      </c>
      <c r="W2688">
        <v>49.79</v>
      </c>
      <c r="X2688">
        <v>0</v>
      </c>
    </row>
    <row r="2689" spans="1:24" ht="15" customHeight="1" x14ac:dyDescent="0.25">
      <c r="A2689" t="str">
        <f>""</f>
        <v/>
      </c>
      <c r="B2689" s="1"/>
      <c r="H2689">
        <v>184.39</v>
      </c>
      <c r="J2689" t="s">
        <v>19</v>
      </c>
      <c r="L2689" s="1"/>
      <c r="N2689" s="1"/>
      <c r="V2689" t="str">
        <f>"44100"</f>
        <v>44100</v>
      </c>
      <c r="W2689">
        <v>49.79</v>
      </c>
      <c r="X2689">
        <v>0</v>
      </c>
    </row>
    <row r="2690" spans="1:24" ht="15" customHeight="1" x14ac:dyDescent="0.25">
      <c r="A2690" t="str">
        <f>""</f>
        <v/>
      </c>
      <c r="B2690" s="1"/>
      <c r="H2690">
        <v>142.9</v>
      </c>
      <c r="J2690" t="s">
        <v>20</v>
      </c>
      <c r="L2690" s="1"/>
      <c r="N2690" s="1"/>
      <c r="V2690" t="str">
        <f>"63100"</f>
        <v>63100</v>
      </c>
      <c r="W2690">
        <v>41.44</v>
      </c>
      <c r="X2690">
        <v>0</v>
      </c>
    </row>
    <row r="2691" spans="1:24" ht="15" customHeight="1" x14ac:dyDescent="0.25">
      <c r="A2691" t="str">
        <f>""</f>
        <v/>
      </c>
      <c r="B2691" s="1"/>
      <c r="H2691">
        <v>69.5</v>
      </c>
      <c r="L2691" s="1"/>
      <c r="N2691" s="1"/>
      <c r="V2691" t="str">
        <f>"77184"</f>
        <v>77184</v>
      </c>
      <c r="W2691">
        <v>0</v>
      </c>
      <c r="X2691">
        <v>0</v>
      </c>
    </row>
    <row r="2692" spans="1:24" ht="15" customHeight="1" x14ac:dyDescent="0.25">
      <c r="A2692" t="str">
        <f>""</f>
        <v/>
      </c>
      <c r="B2692" s="1"/>
      <c r="H2692">
        <v>84.5</v>
      </c>
      <c r="L2692" s="1"/>
      <c r="N2692" s="1"/>
      <c r="V2692" t="str">
        <f>"77184"</f>
        <v>77184</v>
      </c>
      <c r="W2692">
        <v>0</v>
      </c>
      <c r="X2692">
        <v>0</v>
      </c>
    </row>
    <row r="2693" spans="1:24" ht="15" customHeight="1" x14ac:dyDescent="0.25">
      <c r="A2693" t="str">
        <f>""</f>
        <v/>
      </c>
      <c r="B2693" s="1"/>
      <c r="H2693">
        <v>31.6</v>
      </c>
      <c r="L2693" s="1"/>
      <c r="N2693" s="1"/>
      <c r="V2693" t="str">
        <f>"77184"</f>
        <v>77184</v>
      </c>
      <c r="W2693">
        <v>0</v>
      </c>
      <c r="X2693">
        <v>0</v>
      </c>
    </row>
    <row r="2694" spans="1:24" ht="15" customHeight="1" x14ac:dyDescent="0.25">
      <c r="A2694" t="str">
        <f>""</f>
        <v/>
      </c>
      <c r="B2694" s="1"/>
      <c r="H2694">
        <v>33.35</v>
      </c>
      <c r="J2694" t="s">
        <v>20</v>
      </c>
      <c r="L2694" s="1"/>
      <c r="N2694" s="1"/>
      <c r="V2694" t="str">
        <f>"80000"</f>
        <v>80000</v>
      </c>
      <c r="W2694">
        <v>6.34</v>
      </c>
      <c r="X2694">
        <v>0</v>
      </c>
    </row>
    <row r="2695" spans="1:24" ht="15" customHeight="1" x14ac:dyDescent="0.25">
      <c r="A2695" t="str">
        <f>""</f>
        <v/>
      </c>
      <c r="B2695" s="1"/>
      <c r="H2695">
        <v>10</v>
      </c>
      <c r="L2695" s="1"/>
      <c r="N2695" s="1"/>
      <c r="V2695" t="str">
        <f>"77184"</f>
        <v>77184</v>
      </c>
      <c r="W2695">
        <v>0</v>
      </c>
      <c r="X2695">
        <v>0</v>
      </c>
    </row>
    <row r="2696" spans="1:24" ht="15" customHeight="1" x14ac:dyDescent="0.25">
      <c r="A2696" t="str">
        <f>""</f>
        <v/>
      </c>
      <c r="B2696" s="1"/>
      <c r="H2696">
        <v>94.3</v>
      </c>
      <c r="J2696" t="s">
        <v>22</v>
      </c>
      <c r="L2696" s="1"/>
      <c r="N2696" s="1"/>
      <c r="V2696" t="str">
        <f>"42160"</f>
        <v>42160</v>
      </c>
      <c r="W2696">
        <v>0</v>
      </c>
      <c r="X2696">
        <v>0</v>
      </c>
    </row>
    <row r="2697" spans="1:24" ht="15" customHeight="1" x14ac:dyDescent="0.25">
      <c r="A2697" t="str">
        <f>""</f>
        <v/>
      </c>
      <c r="B2697" s="1"/>
      <c r="H2697">
        <v>331.39</v>
      </c>
      <c r="J2697" t="s">
        <v>19</v>
      </c>
      <c r="L2697" s="1"/>
      <c r="N2697" s="1"/>
      <c r="V2697" t="str">
        <f>"69002"</f>
        <v>69002</v>
      </c>
      <c r="W2697">
        <v>89.48</v>
      </c>
      <c r="X2697">
        <v>0</v>
      </c>
    </row>
    <row r="2698" spans="1:24" ht="15" customHeight="1" x14ac:dyDescent="0.25">
      <c r="A2698" t="str">
        <f>""</f>
        <v/>
      </c>
      <c r="B2698" s="1"/>
      <c r="H2698">
        <v>55.16</v>
      </c>
      <c r="J2698" t="s">
        <v>19</v>
      </c>
      <c r="L2698" s="1"/>
      <c r="N2698" s="1"/>
      <c r="V2698" t="str">
        <f>"35044"</f>
        <v>35044</v>
      </c>
      <c r="W2698">
        <v>14.89</v>
      </c>
      <c r="X2698">
        <v>0</v>
      </c>
    </row>
    <row r="2699" spans="1:24" ht="15" customHeight="1" x14ac:dyDescent="0.25">
      <c r="A2699" t="str">
        <f>""</f>
        <v/>
      </c>
      <c r="B2699" s="1"/>
      <c r="H2699">
        <v>20.23</v>
      </c>
      <c r="J2699" t="s">
        <v>19</v>
      </c>
      <c r="L2699" s="1"/>
      <c r="N2699" s="1"/>
      <c r="V2699" t="str">
        <f>"75018"</f>
        <v>75018</v>
      </c>
      <c r="W2699">
        <v>0</v>
      </c>
      <c r="X2699">
        <v>0</v>
      </c>
    </row>
    <row r="2700" spans="1:24" ht="15" customHeight="1" x14ac:dyDescent="0.25">
      <c r="A2700" t="str">
        <f>""</f>
        <v/>
      </c>
      <c r="B2700" s="1"/>
      <c r="H2700">
        <v>49.08</v>
      </c>
      <c r="J2700" t="s">
        <v>19</v>
      </c>
      <c r="L2700" s="1"/>
      <c r="N2700" s="1"/>
      <c r="V2700" t="str">
        <f>"56920"</f>
        <v>56920</v>
      </c>
      <c r="W2700">
        <v>13.25</v>
      </c>
      <c r="X2700">
        <v>0</v>
      </c>
    </row>
    <row r="2701" spans="1:24" ht="15" customHeight="1" x14ac:dyDescent="0.25">
      <c r="A2701" t="str">
        <f>""</f>
        <v/>
      </c>
      <c r="B2701" s="1"/>
      <c r="H2701">
        <v>153.81</v>
      </c>
      <c r="J2701" t="s">
        <v>19</v>
      </c>
      <c r="L2701" s="1"/>
      <c r="N2701" s="1"/>
      <c r="V2701" t="str">
        <f>"68520"</f>
        <v>68520</v>
      </c>
      <c r="W2701">
        <v>44.6</v>
      </c>
      <c r="X2701">
        <v>0</v>
      </c>
    </row>
    <row r="2702" spans="1:24" ht="15" customHeight="1" x14ac:dyDescent="0.25">
      <c r="A2702" t="str">
        <f>""</f>
        <v/>
      </c>
      <c r="B2702" s="1"/>
      <c r="H2702">
        <v>84.5</v>
      </c>
      <c r="L2702" s="1"/>
      <c r="N2702" s="1"/>
      <c r="V2702" t="str">
        <f>"77184"</f>
        <v>77184</v>
      </c>
      <c r="W2702">
        <v>0</v>
      </c>
      <c r="X2702">
        <v>0</v>
      </c>
    </row>
    <row r="2703" spans="1:24" ht="15" customHeight="1" x14ac:dyDescent="0.25">
      <c r="A2703" t="str">
        <f>""</f>
        <v/>
      </c>
      <c r="B2703" s="1"/>
      <c r="H2703">
        <v>17</v>
      </c>
      <c r="J2703" t="s">
        <v>22</v>
      </c>
      <c r="L2703" s="1"/>
      <c r="N2703" s="1"/>
      <c r="V2703" t="str">
        <f>"57000"</f>
        <v>57000</v>
      </c>
      <c r="W2703">
        <v>0</v>
      </c>
      <c r="X2703">
        <v>4.25</v>
      </c>
    </row>
    <row r="2704" spans="1:24" ht="15" customHeight="1" x14ac:dyDescent="0.25">
      <c r="A2704" t="str">
        <f>""</f>
        <v/>
      </c>
      <c r="B2704" s="1"/>
      <c r="H2704">
        <v>12</v>
      </c>
      <c r="J2704" t="s">
        <v>20</v>
      </c>
      <c r="L2704" s="1"/>
      <c r="N2704" s="1"/>
      <c r="V2704" t="str">
        <f>"57130"</f>
        <v>57130</v>
      </c>
      <c r="W2704">
        <v>3</v>
      </c>
      <c r="X2704">
        <v>0</v>
      </c>
    </row>
    <row r="2705" spans="1:24" ht="15" customHeight="1" x14ac:dyDescent="0.25">
      <c r="A2705" t="str">
        <f>""</f>
        <v/>
      </c>
      <c r="B2705" s="1"/>
      <c r="H2705">
        <v>162</v>
      </c>
      <c r="J2705" t="s">
        <v>19</v>
      </c>
      <c r="L2705" s="1"/>
      <c r="N2705" s="1"/>
      <c r="V2705" t="str">
        <f>"75008"</f>
        <v>75008</v>
      </c>
      <c r="W2705">
        <v>0</v>
      </c>
      <c r="X2705">
        <v>0</v>
      </c>
    </row>
    <row r="2706" spans="1:24" ht="15" customHeight="1" x14ac:dyDescent="0.25">
      <c r="A2706" t="str">
        <f>""</f>
        <v/>
      </c>
      <c r="B2706" s="1"/>
      <c r="H2706">
        <v>140</v>
      </c>
      <c r="J2706" t="s">
        <v>19</v>
      </c>
      <c r="L2706" s="1"/>
      <c r="N2706" s="1"/>
      <c r="V2706" t="str">
        <f>"14790"</f>
        <v>14790</v>
      </c>
      <c r="W2706">
        <v>23.8</v>
      </c>
      <c r="X2706">
        <v>0</v>
      </c>
    </row>
    <row r="2707" spans="1:24" ht="15" customHeight="1" x14ac:dyDescent="0.25">
      <c r="A2707" t="str">
        <f>""</f>
        <v/>
      </c>
      <c r="B2707" s="1"/>
      <c r="H2707">
        <v>443.05</v>
      </c>
      <c r="J2707" t="s">
        <v>20</v>
      </c>
      <c r="L2707" s="1"/>
      <c r="N2707" s="1"/>
      <c r="V2707" t="str">
        <f>"92000"</f>
        <v>92000</v>
      </c>
      <c r="W2707">
        <v>0</v>
      </c>
      <c r="X2707">
        <v>0</v>
      </c>
    </row>
    <row r="2708" spans="1:24" ht="15" customHeight="1" x14ac:dyDescent="0.25">
      <c r="A2708" t="str">
        <f>""</f>
        <v/>
      </c>
      <c r="B2708" s="1"/>
      <c r="H2708">
        <v>156.57</v>
      </c>
      <c r="J2708" t="s">
        <v>19</v>
      </c>
      <c r="L2708" s="1"/>
      <c r="N2708" s="1"/>
      <c r="V2708" t="str">
        <f>"14000"</f>
        <v>14000</v>
      </c>
      <c r="W2708">
        <v>26.62</v>
      </c>
      <c r="X2708">
        <v>0</v>
      </c>
    </row>
    <row r="2709" spans="1:24" ht="15" customHeight="1" x14ac:dyDescent="0.25">
      <c r="A2709" t="str">
        <f>""</f>
        <v/>
      </c>
      <c r="B2709" s="1"/>
      <c r="H2709">
        <v>29.89</v>
      </c>
      <c r="L2709" s="1"/>
      <c r="N2709" s="1"/>
      <c r="V2709" t="str">
        <f>"44240"</f>
        <v>44240</v>
      </c>
      <c r="W2709">
        <v>0</v>
      </c>
      <c r="X2709">
        <v>0</v>
      </c>
    </row>
    <row r="2710" spans="1:24" ht="15" customHeight="1" x14ac:dyDescent="0.25">
      <c r="A2710" t="str">
        <f>""</f>
        <v/>
      </c>
      <c r="B2710" s="1"/>
      <c r="H2710">
        <v>37.19</v>
      </c>
      <c r="L2710" s="1"/>
      <c r="N2710" s="1"/>
      <c r="V2710" t="str">
        <f>"77184"</f>
        <v>77184</v>
      </c>
      <c r="W2710">
        <v>0</v>
      </c>
      <c r="X2710">
        <v>0</v>
      </c>
    </row>
    <row r="2711" spans="1:24" ht="15" customHeight="1" x14ac:dyDescent="0.25">
      <c r="A2711" t="str">
        <f>""</f>
        <v/>
      </c>
      <c r="B2711" s="1"/>
      <c r="H2711">
        <v>29.8</v>
      </c>
      <c r="J2711" t="s">
        <v>22</v>
      </c>
      <c r="L2711" s="1"/>
      <c r="N2711" s="1"/>
      <c r="V2711" t="str">
        <f>"67000"</f>
        <v>67000</v>
      </c>
      <c r="W2711">
        <v>0</v>
      </c>
      <c r="X2711">
        <v>2.38</v>
      </c>
    </row>
    <row r="2712" spans="1:24" ht="15" customHeight="1" x14ac:dyDescent="0.25">
      <c r="A2712" t="str">
        <f>""</f>
        <v/>
      </c>
      <c r="B2712" s="1"/>
      <c r="H2712">
        <v>48</v>
      </c>
      <c r="J2712" t="s">
        <v>20</v>
      </c>
      <c r="L2712" s="1"/>
      <c r="N2712" s="1"/>
      <c r="V2712" t="str">
        <f>"69800"</f>
        <v>69800</v>
      </c>
      <c r="W2712">
        <v>12.96</v>
      </c>
      <c r="X2712">
        <v>0</v>
      </c>
    </row>
    <row r="2713" spans="1:24" ht="15" customHeight="1" x14ac:dyDescent="0.25">
      <c r="A2713" t="str">
        <f>""</f>
        <v/>
      </c>
      <c r="B2713" s="1"/>
      <c r="H2713">
        <v>84.5</v>
      </c>
      <c r="L2713" s="1"/>
      <c r="N2713" s="1"/>
      <c r="V2713" t="str">
        <f>"77184"</f>
        <v>77184</v>
      </c>
      <c r="W2713">
        <v>0</v>
      </c>
      <c r="X2713">
        <v>0</v>
      </c>
    </row>
    <row r="2714" spans="1:24" ht="15" customHeight="1" x14ac:dyDescent="0.25">
      <c r="A2714" t="str">
        <f>""</f>
        <v/>
      </c>
      <c r="B2714" s="1"/>
      <c r="H2714">
        <v>171</v>
      </c>
      <c r="L2714" s="1"/>
      <c r="N2714" s="1"/>
      <c r="V2714" t="str">
        <f>"77184"</f>
        <v>77184</v>
      </c>
      <c r="W2714">
        <v>0</v>
      </c>
      <c r="X2714">
        <v>0</v>
      </c>
    </row>
    <row r="2715" spans="1:24" ht="15" customHeight="1" x14ac:dyDescent="0.25">
      <c r="A2715" t="str">
        <f>""</f>
        <v/>
      </c>
      <c r="B2715" s="1"/>
      <c r="H2715">
        <v>170</v>
      </c>
      <c r="L2715" s="1"/>
      <c r="N2715" s="1"/>
      <c r="V2715" t="str">
        <f>"77184"</f>
        <v>77184</v>
      </c>
      <c r="W2715">
        <v>0</v>
      </c>
      <c r="X2715">
        <v>0</v>
      </c>
    </row>
    <row r="2716" spans="1:24" ht="15" customHeight="1" x14ac:dyDescent="0.25">
      <c r="A2716" t="str">
        <f>""</f>
        <v/>
      </c>
      <c r="B2716" s="1"/>
      <c r="H2716">
        <v>156</v>
      </c>
      <c r="L2716" s="1"/>
      <c r="N2716" s="1"/>
      <c r="V2716" t="str">
        <f>"77184"</f>
        <v>77184</v>
      </c>
      <c r="W2716">
        <v>0</v>
      </c>
      <c r="X2716">
        <v>0</v>
      </c>
    </row>
    <row r="2717" spans="1:24" ht="15" customHeight="1" x14ac:dyDescent="0.25">
      <c r="A2717" t="str">
        <f>""</f>
        <v/>
      </c>
      <c r="B2717" s="1"/>
      <c r="H2717">
        <v>84</v>
      </c>
      <c r="J2717" t="s">
        <v>20</v>
      </c>
      <c r="L2717" s="1"/>
      <c r="N2717" s="1"/>
      <c r="V2717" t="str">
        <f>"30000"</f>
        <v>30000</v>
      </c>
      <c r="W2717">
        <v>32.76</v>
      </c>
      <c r="X2717">
        <v>0</v>
      </c>
    </row>
    <row r="2718" spans="1:24" ht="15" customHeight="1" x14ac:dyDescent="0.25">
      <c r="A2718" t="str">
        <f>""</f>
        <v/>
      </c>
      <c r="B2718" s="1"/>
      <c r="H2718">
        <v>151</v>
      </c>
      <c r="J2718" t="s">
        <v>20</v>
      </c>
      <c r="L2718" s="1"/>
      <c r="N2718" s="1"/>
      <c r="V2718" t="str">
        <f>"69800"</f>
        <v>69800</v>
      </c>
      <c r="W2718">
        <v>40.770000000000003</v>
      </c>
      <c r="X2718">
        <v>0</v>
      </c>
    </row>
    <row r="2719" spans="1:24" ht="15" customHeight="1" x14ac:dyDescent="0.25">
      <c r="A2719" t="str">
        <f>""</f>
        <v/>
      </c>
      <c r="B2719" s="1"/>
      <c r="H2719">
        <v>15.8</v>
      </c>
      <c r="J2719" t="s">
        <v>20</v>
      </c>
      <c r="L2719" s="1"/>
      <c r="N2719" s="1"/>
      <c r="V2719" t="str">
        <f>"69100"</f>
        <v>69100</v>
      </c>
      <c r="W2719">
        <v>4.2699999999999996</v>
      </c>
      <c r="X2719">
        <v>0</v>
      </c>
    </row>
    <row r="2720" spans="1:24" ht="15" customHeight="1" x14ac:dyDescent="0.25">
      <c r="A2720" t="str">
        <f>""</f>
        <v/>
      </c>
      <c r="B2720" s="1"/>
      <c r="H2720">
        <v>69.7</v>
      </c>
      <c r="L2720" s="1"/>
      <c r="N2720" s="1"/>
      <c r="V2720" t="str">
        <f t="shared" ref="V2720:V2726" si="10">"77184"</f>
        <v>77184</v>
      </c>
      <c r="W2720">
        <v>0</v>
      </c>
      <c r="X2720">
        <v>0</v>
      </c>
    </row>
    <row r="2721" spans="1:24" ht="15" customHeight="1" x14ac:dyDescent="0.25">
      <c r="A2721" t="str">
        <f>""</f>
        <v/>
      </c>
      <c r="B2721" s="1"/>
      <c r="H2721">
        <v>169</v>
      </c>
      <c r="L2721" s="1"/>
      <c r="N2721" s="1"/>
      <c r="V2721" t="str">
        <f t="shared" si="10"/>
        <v>77184</v>
      </c>
      <c r="W2721">
        <v>0</v>
      </c>
      <c r="X2721">
        <v>0</v>
      </c>
    </row>
    <row r="2722" spans="1:24" ht="15" customHeight="1" x14ac:dyDescent="0.25">
      <c r="A2722" t="str">
        <f>""</f>
        <v/>
      </c>
      <c r="B2722" s="1"/>
      <c r="H2722">
        <v>117</v>
      </c>
      <c r="L2722" s="1"/>
      <c r="N2722" s="1"/>
      <c r="V2722" t="str">
        <f t="shared" si="10"/>
        <v>77184</v>
      </c>
      <c r="W2722">
        <v>0</v>
      </c>
      <c r="X2722">
        <v>0</v>
      </c>
    </row>
    <row r="2723" spans="1:24" ht="15" customHeight="1" x14ac:dyDescent="0.25">
      <c r="A2723" t="str">
        <f>""</f>
        <v/>
      </c>
      <c r="B2723" s="1"/>
      <c r="H2723">
        <v>109</v>
      </c>
      <c r="L2723" s="1"/>
      <c r="N2723" s="1"/>
      <c r="V2723" t="str">
        <f t="shared" si="10"/>
        <v>77184</v>
      </c>
      <c r="W2723">
        <v>0</v>
      </c>
      <c r="X2723">
        <v>0</v>
      </c>
    </row>
    <row r="2724" spans="1:24" ht="15" customHeight="1" x14ac:dyDescent="0.25">
      <c r="A2724" t="str">
        <f>""</f>
        <v/>
      </c>
      <c r="B2724" s="1"/>
      <c r="H2724">
        <v>31</v>
      </c>
      <c r="L2724" s="1"/>
      <c r="N2724" s="1"/>
      <c r="V2724" t="str">
        <f t="shared" si="10"/>
        <v>77184</v>
      </c>
      <c r="W2724">
        <v>0</v>
      </c>
      <c r="X2724">
        <v>0</v>
      </c>
    </row>
    <row r="2725" spans="1:24" ht="15" customHeight="1" x14ac:dyDescent="0.25">
      <c r="A2725" t="str">
        <f>""</f>
        <v/>
      </c>
      <c r="B2725" s="1"/>
      <c r="H2725">
        <v>85.04</v>
      </c>
      <c r="L2725" s="1"/>
      <c r="N2725" s="1"/>
      <c r="V2725" t="str">
        <f t="shared" si="10"/>
        <v>77184</v>
      </c>
      <c r="W2725">
        <v>0</v>
      </c>
      <c r="X2725">
        <v>0</v>
      </c>
    </row>
    <row r="2726" spans="1:24" ht="15" customHeight="1" x14ac:dyDescent="0.25">
      <c r="A2726" t="str">
        <f>""</f>
        <v/>
      </c>
      <c r="B2726" s="1"/>
      <c r="H2726">
        <v>33.630000000000003</v>
      </c>
      <c r="L2726" s="1"/>
      <c r="N2726" s="1"/>
      <c r="V2726" t="str">
        <f t="shared" si="10"/>
        <v>77184</v>
      </c>
      <c r="W2726">
        <v>0</v>
      </c>
      <c r="X2726">
        <v>0</v>
      </c>
    </row>
    <row r="2727" spans="1:24" ht="15" customHeight="1" x14ac:dyDescent="0.25">
      <c r="A2727" t="str">
        <f>""</f>
        <v/>
      </c>
      <c r="B2727" s="1"/>
      <c r="H2727">
        <v>92</v>
      </c>
      <c r="J2727" t="s">
        <v>19</v>
      </c>
      <c r="L2727" s="1"/>
      <c r="N2727" s="1"/>
      <c r="V2727" t="str">
        <f>"06190"</f>
        <v>06190</v>
      </c>
      <c r="W2727">
        <v>27.6</v>
      </c>
      <c r="X2727">
        <v>0</v>
      </c>
    </row>
    <row r="2728" spans="1:24" ht="15" customHeight="1" x14ac:dyDescent="0.25">
      <c r="A2728" t="str">
        <f>""</f>
        <v/>
      </c>
      <c r="B2728" s="1"/>
      <c r="H2728">
        <v>92</v>
      </c>
      <c r="J2728" t="s">
        <v>19</v>
      </c>
      <c r="L2728" s="1"/>
      <c r="N2728" s="1"/>
      <c r="V2728" t="str">
        <f>"06190"</f>
        <v>06190</v>
      </c>
      <c r="W2728">
        <v>27.6</v>
      </c>
      <c r="X2728">
        <v>0</v>
      </c>
    </row>
    <row r="2729" spans="1:24" ht="15" customHeight="1" x14ac:dyDescent="0.25">
      <c r="A2729" t="str">
        <f>""</f>
        <v/>
      </c>
      <c r="B2729" s="1"/>
      <c r="H2729">
        <v>92</v>
      </c>
      <c r="J2729" t="s">
        <v>22</v>
      </c>
      <c r="L2729" s="1"/>
      <c r="N2729" s="1"/>
      <c r="V2729" t="str">
        <f>"06190"</f>
        <v>06190</v>
      </c>
      <c r="W2729">
        <v>0</v>
      </c>
      <c r="X2729">
        <v>27.6</v>
      </c>
    </row>
    <row r="2730" spans="1:24" ht="15" customHeight="1" x14ac:dyDescent="0.25">
      <c r="A2730" t="str">
        <f>""</f>
        <v/>
      </c>
      <c r="B2730" s="1"/>
      <c r="H2730">
        <v>27.72</v>
      </c>
      <c r="J2730" t="s">
        <v>23</v>
      </c>
      <c r="L2730" s="1"/>
      <c r="N2730" s="1"/>
      <c r="V2730" t="str">
        <f>"13800"</f>
        <v>13800</v>
      </c>
      <c r="W2730">
        <v>0</v>
      </c>
      <c r="X2730">
        <v>12.75</v>
      </c>
    </row>
    <row r="2731" spans="1:24" ht="15" customHeight="1" x14ac:dyDescent="0.25">
      <c r="A2731" t="str">
        <f>""</f>
        <v/>
      </c>
      <c r="B2731" s="1"/>
      <c r="H2731">
        <v>120.65</v>
      </c>
      <c r="J2731" t="s">
        <v>19</v>
      </c>
      <c r="L2731" s="1"/>
      <c r="N2731" s="1"/>
      <c r="V2731" t="str">
        <f>"37140"</f>
        <v>37140</v>
      </c>
      <c r="W2731">
        <v>25.34</v>
      </c>
      <c r="X2731">
        <v>0</v>
      </c>
    </row>
    <row r="2732" spans="1:24" ht="15" customHeight="1" x14ac:dyDescent="0.25">
      <c r="A2732" t="str">
        <f>""</f>
        <v/>
      </c>
      <c r="B2732" s="1"/>
      <c r="H2732">
        <v>155.04</v>
      </c>
      <c r="J2732" t="s">
        <v>20</v>
      </c>
      <c r="L2732" s="1"/>
      <c r="N2732" s="1"/>
      <c r="V2732" t="str">
        <f>"44470"</f>
        <v>44470</v>
      </c>
      <c r="W2732">
        <v>41.86</v>
      </c>
      <c r="X2732">
        <v>0</v>
      </c>
    </row>
    <row r="2733" spans="1:24" ht="15" customHeight="1" x14ac:dyDescent="0.25">
      <c r="A2733" t="str">
        <f>""</f>
        <v/>
      </c>
      <c r="B2733" s="1"/>
      <c r="H2733">
        <v>52.52</v>
      </c>
      <c r="J2733" t="s">
        <v>20</v>
      </c>
      <c r="L2733" s="1"/>
      <c r="N2733" s="1"/>
      <c r="V2733" t="str">
        <f>"31100"</f>
        <v>31100</v>
      </c>
      <c r="W2733">
        <v>11.55</v>
      </c>
      <c r="X2733">
        <v>0</v>
      </c>
    </row>
    <row r="2734" spans="1:24" ht="15" customHeight="1" x14ac:dyDescent="0.25">
      <c r="A2734" t="str">
        <f>""</f>
        <v/>
      </c>
      <c r="B2734" s="1"/>
      <c r="H2734">
        <v>69.400000000000006</v>
      </c>
      <c r="J2734" t="s">
        <v>19</v>
      </c>
      <c r="L2734" s="1"/>
      <c r="N2734" s="1"/>
      <c r="V2734" t="str">
        <f>"06560"</f>
        <v>06560</v>
      </c>
      <c r="W2734">
        <v>20.82</v>
      </c>
      <c r="X2734">
        <v>0</v>
      </c>
    </row>
    <row r="2735" spans="1:24" ht="15" customHeight="1" x14ac:dyDescent="0.25">
      <c r="A2735" t="str">
        <f>""</f>
        <v/>
      </c>
      <c r="B2735" s="1"/>
      <c r="H2735">
        <v>32.450000000000003</v>
      </c>
      <c r="J2735" t="s">
        <v>19</v>
      </c>
      <c r="L2735" s="1"/>
      <c r="N2735" s="1"/>
      <c r="V2735" t="str">
        <f>"06560"</f>
        <v>06560</v>
      </c>
      <c r="W2735">
        <v>9.74</v>
      </c>
      <c r="X2735">
        <v>0</v>
      </c>
    </row>
    <row r="2736" spans="1:24" ht="15" customHeight="1" x14ac:dyDescent="0.25">
      <c r="A2736" t="str">
        <f>""</f>
        <v/>
      </c>
      <c r="B2736" s="1"/>
      <c r="H2736">
        <v>137.59</v>
      </c>
      <c r="J2736" t="s">
        <v>19</v>
      </c>
      <c r="L2736" s="1"/>
      <c r="N2736" s="1"/>
      <c r="V2736" t="str">
        <f>"75014"</f>
        <v>75014</v>
      </c>
      <c r="W2736">
        <v>0</v>
      </c>
      <c r="X2736">
        <v>0</v>
      </c>
    </row>
    <row r="2737" spans="1:24" ht="15" customHeight="1" x14ac:dyDescent="0.25">
      <c r="A2737" t="str">
        <f>""</f>
        <v/>
      </c>
      <c r="B2737" s="1"/>
      <c r="H2737">
        <v>107.6</v>
      </c>
      <c r="J2737" t="s">
        <v>19</v>
      </c>
      <c r="L2737" s="1"/>
      <c r="N2737" s="1"/>
      <c r="V2737" t="str">
        <f>"75014"</f>
        <v>75014</v>
      </c>
      <c r="W2737">
        <v>0</v>
      </c>
      <c r="X2737">
        <v>0</v>
      </c>
    </row>
    <row r="2738" spans="1:24" ht="15" customHeight="1" x14ac:dyDescent="0.25">
      <c r="A2738" t="str">
        <f>""</f>
        <v/>
      </c>
      <c r="B2738" s="1"/>
      <c r="H2738">
        <v>55.14</v>
      </c>
      <c r="J2738" t="s">
        <v>19</v>
      </c>
      <c r="L2738" s="1"/>
      <c r="N2738" s="1"/>
      <c r="V2738" t="str">
        <f>"67000"</f>
        <v>67000</v>
      </c>
      <c r="W2738">
        <v>15.99</v>
      </c>
      <c r="X2738">
        <v>0</v>
      </c>
    </row>
    <row r="2739" spans="1:24" ht="15" customHeight="1" x14ac:dyDescent="0.25">
      <c r="A2739" t="str">
        <f>""</f>
        <v/>
      </c>
      <c r="B2739" s="1"/>
      <c r="H2739">
        <v>127.55</v>
      </c>
      <c r="J2739" t="s">
        <v>19</v>
      </c>
      <c r="L2739" s="1"/>
      <c r="N2739" s="1"/>
      <c r="V2739" t="str">
        <f>"67000"</f>
        <v>67000</v>
      </c>
      <c r="W2739">
        <v>36.99</v>
      </c>
      <c r="X2739">
        <v>0</v>
      </c>
    </row>
    <row r="2740" spans="1:24" ht="15" customHeight="1" x14ac:dyDescent="0.25">
      <c r="A2740" t="str">
        <f>""</f>
        <v/>
      </c>
      <c r="B2740" s="1"/>
      <c r="H2740">
        <v>75.75</v>
      </c>
      <c r="J2740" t="s">
        <v>20</v>
      </c>
      <c r="L2740" s="1"/>
      <c r="N2740" s="1"/>
      <c r="V2740" t="str">
        <f>"79220"</f>
        <v>79220</v>
      </c>
      <c r="W2740">
        <v>15.91</v>
      </c>
      <c r="X2740">
        <v>0</v>
      </c>
    </row>
    <row r="2741" spans="1:24" ht="15" customHeight="1" x14ac:dyDescent="0.25">
      <c r="A2741" t="str">
        <f>""</f>
        <v/>
      </c>
      <c r="B2741" s="1"/>
      <c r="H2741">
        <v>136.97999999999999</v>
      </c>
      <c r="J2741" t="s">
        <v>21</v>
      </c>
      <c r="L2741" s="1"/>
      <c r="V2741" t="str">
        <f>"77184"</f>
        <v>77184</v>
      </c>
      <c r="W2741">
        <v>0</v>
      </c>
      <c r="X2741">
        <v>0</v>
      </c>
    </row>
    <row r="2742" spans="1:24" ht="15" customHeight="1" x14ac:dyDescent="0.25">
      <c r="A2742" t="str">
        <f>""</f>
        <v/>
      </c>
      <c r="B2742" s="1"/>
      <c r="H2742">
        <v>171.08</v>
      </c>
      <c r="J2742" t="s">
        <v>19</v>
      </c>
      <c r="L2742" s="1"/>
      <c r="N2742" s="1"/>
      <c r="V2742" t="str">
        <f>"67320"</f>
        <v>67320</v>
      </c>
      <c r="W2742">
        <v>49.61</v>
      </c>
      <c r="X2742">
        <v>0</v>
      </c>
    </row>
    <row r="2743" spans="1:24" ht="15" customHeight="1" x14ac:dyDescent="0.25">
      <c r="A2743" t="str">
        <f>""</f>
        <v/>
      </c>
      <c r="B2743" s="1"/>
      <c r="J2743" t="s">
        <v>23</v>
      </c>
      <c r="L2743" s="1"/>
      <c r="N2743" s="1"/>
      <c r="V2743" t="str">
        <f>"94150"</f>
        <v>94150</v>
      </c>
      <c r="W2743">
        <v>0</v>
      </c>
      <c r="X2743">
        <v>0</v>
      </c>
    </row>
    <row r="2744" spans="1:24" ht="15" customHeight="1" x14ac:dyDescent="0.25">
      <c r="A2744" t="str">
        <f>""</f>
        <v/>
      </c>
      <c r="B2744" s="1"/>
      <c r="H2744">
        <v>247.08</v>
      </c>
      <c r="J2744" t="s">
        <v>22</v>
      </c>
      <c r="L2744" s="1"/>
      <c r="N2744" s="1"/>
      <c r="V2744" t="str">
        <f>"44350"</f>
        <v>44350</v>
      </c>
      <c r="W2744">
        <v>0</v>
      </c>
      <c r="X2744">
        <v>0</v>
      </c>
    </row>
    <row r="2745" spans="1:24" ht="15" customHeight="1" x14ac:dyDescent="0.25">
      <c r="A2745" t="str">
        <f>""</f>
        <v/>
      </c>
      <c r="B2745" s="1"/>
      <c r="H2745">
        <v>19.649999999999999</v>
      </c>
      <c r="J2745" t="s">
        <v>19</v>
      </c>
      <c r="L2745" s="1"/>
      <c r="N2745" s="1"/>
      <c r="V2745" t="str">
        <f>"75014"</f>
        <v>75014</v>
      </c>
      <c r="W2745">
        <v>0</v>
      </c>
      <c r="X2745">
        <v>0</v>
      </c>
    </row>
    <row r="2746" spans="1:24" ht="15" customHeight="1" x14ac:dyDescent="0.25">
      <c r="A2746" t="str">
        <f>""</f>
        <v/>
      </c>
      <c r="B2746" s="1"/>
      <c r="J2746" t="s">
        <v>20</v>
      </c>
      <c r="L2746" s="1"/>
      <c r="N2746" s="1"/>
      <c r="V2746" t="str">
        <f>"30105"</f>
        <v>30105</v>
      </c>
      <c r="W2746">
        <v>0</v>
      </c>
      <c r="X2746">
        <v>0</v>
      </c>
    </row>
    <row r="2747" spans="1:24" ht="15" customHeight="1" x14ac:dyDescent="0.25">
      <c r="A2747" t="str">
        <f>""</f>
        <v/>
      </c>
      <c r="B2747" s="1"/>
      <c r="H2747">
        <v>84.5</v>
      </c>
      <c r="L2747" s="1"/>
      <c r="N2747" s="1"/>
      <c r="V2747" t="str">
        <f>"77184"</f>
        <v>77184</v>
      </c>
      <c r="W2747">
        <v>0</v>
      </c>
      <c r="X2747">
        <v>0</v>
      </c>
    </row>
    <row r="2748" spans="1:24" ht="15" customHeight="1" x14ac:dyDescent="0.25">
      <c r="A2748" t="str">
        <f>""</f>
        <v/>
      </c>
      <c r="B2748" s="1"/>
      <c r="H2748">
        <v>70</v>
      </c>
      <c r="L2748" s="1"/>
      <c r="N2748" s="1"/>
      <c r="V2748" t="str">
        <f>"77184"</f>
        <v>77184</v>
      </c>
      <c r="W2748">
        <v>0</v>
      </c>
      <c r="X2748">
        <v>0</v>
      </c>
    </row>
    <row r="2749" spans="1:24" x14ac:dyDescent="0.25">
      <c r="A2749" t="str">
        <f>""</f>
        <v/>
      </c>
      <c r="B2749" s="1"/>
      <c r="H2749">
        <v>180</v>
      </c>
      <c r="J2749" t="s">
        <v>18</v>
      </c>
      <c r="L2749" s="1"/>
      <c r="N2749" s="1"/>
      <c r="V2749" t="str">
        <f>"92110"</f>
        <v>92110</v>
      </c>
      <c r="W2749">
        <v>0</v>
      </c>
      <c r="X2749">
        <v>0</v>
      </c>
    </row>
    <row r="2750" spans="1:24" ht="15" customHeight="1" x14ac:dyDescent="0.25">
      <c r="A2750" t="str">
        <f>""</f>
        <v/>
      </c>
      <c r="B2750" s="1"/>
      <c r="H2750">
        <v>19.649999999999999</v>
      </c>
      <c r="J2750" t="s">
        <v>19</v>
      </c>
      <c r="L2750" s="1"/>
      <c r="N2750" s="1"/>
      <c r="V2750" t="str">
        <f>"75014"</f>
        <v>75014</v>
      </c>
      <c r="W2750">
        <v>0</v>
      </c>
      <c r="X2750">
        <v>0</v>
      </c>
    </row>
    <row r="2751" spans="1:24" ht="15" customHeight="1" x14ac:dyDescent="0.25">
      <c r="A2751" t="str">
        <f>""</f>
        <v/>
      </c>
      <c r="B2751" s="1"/>
      <c r="H2751">
        <v>19.649999999999999</v>
      </c>
      <c r="J2751" t="s">
        <v>19</v>
      </c>
      <c r="L2751" s="1"/>
      <c r="N2751" s="1"/>
      <c r="V2751" t="str">
        <f>"75014"</f>
        <v>75014</v>
      </c>
      <c r="W2751">
        <v>0</v>
      </c>
      <c r="X2751">
        <v>0</v>
      </c>
    </row>
    <row r="2752" spans="1:24" ht="15" customHeight="1" x14ac:dyDescent="0.25">
      <c r="A2752" t="str">
        <f>""</f>
        <v/>
      </c>
      <c r="B2752" s="1"/>
      <c r="H2752">
        <v>137.09</v>
      </c>
      <c r="J2752" t="s">
        <v>20</v>
      </c>
      <c r="L2752" s="1"/>
      <c r="N2752" s="1"/>
      <c r="V2752" t="str">
        <f>"80000"</f>
        <v>80000</v>
      </c>
      <c r="W2752">
        <v>26.05</v>
      </c>
      <c r="X2752">
        <v>0</v>
      </c>
    </row>
    <row r="2753" spans="1:24" ht="15" customHeight="1" x14ac:dyDescent="0.25">
      <c r="A2753" t="str">
        <f>""</f>
        <v/>
      </c>
      <c r="B2753" s="1"/>
      <c r="H2753">
        <v>112.08</v>
      </c>
      <c r="J2753" t="s">
        <v>20</v>
      </c>
      <c r="L2753" s="1"/>
      <c r="N2753" s="1"/>
      <c r="V2753" t="str">
        <f>"44600"</f>
        <v>44600</v>
      </c>
      <c r="W2753">
        <v>30.26</v>
      </c>
      <c r="X2753">
        <v>0</v>
      </c>
    </row>
    <row r="2754" spans="1:24" ht="15" customHeight="1" x14ac:dyDescent="0.25">
      <c r="A2754" t="str">
        <f>""</f>
        <v/>
      </c>
      <c r="B2754" s="1"/>
      <c r="H2754">
        <v>149.13999999999999</v>
      </c>
      <c r="J2754" t="s">
        <v>20</v>
      </c>
      <c r="L2754" s="1"/>
      <c r="N2754" s="1"/>
      <c r="V2754" t="str">
        <f>"85000"</f>
        <v>85000</v>
      </c>
      <c r="W2754">
        <v>40.270000000000003</v>
      </c>
      <c r="X2754">
        <v>0</v>
      </c>
    </row>
    <row r="2755" spans="1:24" ht="15" customHeight="1" x14ac:dyDescent="0.25">
      <c r="A2755" t="str">
        <f>""</f>
        <v/>
      </c>
      <c r="B2755" s="1"/>
      <c r="H2755">
        <v>139.19999999999999</v>
      </c>
      <c r="J2755" t="s">
        <v>20</v>
      </c>
      <c r="L2755" s="1"/>
      <c r="N2755" s="1"/>
      <c r="V2755" t="str">
        <f>"57140"</f>
        <v>57140</v>
      </c>
      <c r="W2755">
        <v>34.799999999999997</v>
      </c>
      <c r="X2755">
        <v>0</v>
      </c>
    </row>
    <row r="2756" spans="1:24" ht="15" customHeight="1" x14ac:dyDescent="0.25">
      <c r="A2756" t="str">
        <f>""</f>
        <v/>
      </c>
      <c r="B2756" s="1"/>
      <c r="H2756">
        <v>26</v>
      </c>
      <c r="J2756" t="s">
        <v>19</v>
      </c>
      <c r="L2756" s="1"/>
      <c r="N2756" s="1"/>
      <c r="V2756" t="str">
        <f>"26000"</f>
        <v>26000</v>
      </c>
      <c r="W2756">
        <v>7.02</v>
      </c>
      <c r="X2756">
        <v>0</v>
      </c>
    </row>
    <row r="2757" spans="1:24" ht="15" customHeight="1" x14ac:dyDescent="0.25">
      <c r="A2757" t="str">
        <f>""</f>
        <v/>
      </c>
      <c r="B2757" s="1"/>
      <c r="H2757">
        <v>29.89</v>
      </c>
      <c r="J2757" t="s">
        <v>22</v>
      </c>
      <c r="L2757" s="1"/>
      <c r="N2757" s="1"/>
      <c r="V2757" t="str">
        <f>"62740"</f>
        <v>62740</v>
      </c>
      <c r="W2757">
        <v>0</v>
      </c>
      <c r="X2757">
        <v>0</v>
      </c>
    </row>
    <row r="2758" spans="1:24" ht="15" customHeight="1" x14ac:dyDescent="0.25">
      <c r="A2758" t="str">
        <f>""</f>
        <v/>
      </c>
      <c r="B2758" s="1"/>
      <c r="H2758">
        <v>140</v>
      </c>
      <c r="J2758" t="s">
        <v>22</v>
      </c>
      <c r="L2758" s="1"/>
      <c r="N2758" s="1"/>
      <c r="V2758" t="str">
        <f>"62740"</f>
        <v>62740</v>
      </c>
      <c r="W2758">
        <v>0</v>
      </c>
      <c r="X2758">
        <v>0</v>
      </c>
    </row>
    <row r="2759" spans="1:24" ht="15" customHeight="1" x14ac:dyDescent="0.25">
      <c r="A2759" t="str">
        <f>""</f>
        <v/>
      </c>
      <c r="B2759" s="1"/>
      <c r="H2759">
        <v>159.53</v>
      </c>
      <c r="L2759" s="1"/>
      <c r="N2759" s="1"/>
      <c r="V2759" t="str">
        <f>"77184"</f>
        <v>77184</v>
      </c>
      <c r="W2759">
        <v>0</v>
      </c>
      <c r="X2759">
        <v>0</v>
      </c>
    </row>
    <row r="2760" spans="1:24" ht="15" customHeight="1" x14ac:dyDescent="0.25">
      <c r="A2760" t="str">
        <f>""</f>
        <v/>
      </c>
      <c r="B2760" s="1"/>
      <c r="H2760">
        <v>84.5</v>
      </c>
      <c r="L2760" s="1"/>
      <c r="N2760" s="1"/>
      <c r="V2760" t="str">
        <f>"77184"</f>
        <v>77184</v>
      </c>
      <c r="W2760">
        <v>0</v>
      </c>
      <c r="X2760">
        <v>0</v>
      </c>
    </row>
    <row r="2761" spans="1:24" ht="15" customHeight="1" x14ac:dyDescent="0.25">
      <c r="A2761" t="str">
        <f>""</f>
        <v/>
      </c>
      <c r="B2761" s="1"/>
      <c r="H2761">
        <v>133</v>
      </c>
      <c r="L2761" s="1"/>
      <c r="N2761" s="1"/>
      <c r="V2761" t="str">
        <f>"77184"</f>
        <v>77184</v>
      </c>
      <c r="W2761">
        <v>0</v>
      </c>
      <c r="X2761">
        <v>0</v>
      </c>
    </row>
    <row r="2762" spans="1:24" ht="15" customHeight="1" x14ac:dyDescent="0.25">
      <c r="A2762" t="str">
        <f>""</f>
        <v/>
      </c>
      <c r="B2762" s="1"/>
      <c r="H2762">
        <v>130.13999999999999</v>
      </c>
      <c r="J2762" t="s">
        <v>20</v>
      </c>
      <c r="L2762" s="1"/>
      <c r="N2762" s="1"/>
      <c r="V2762" t="str">
        <f>"33000"</f>
        <v>33000</v>
      </c>
      <c r="W2762">
        <v>27.33</v>
      </c>
      <c r="X2762">
        <v>0</v>
      </c>
    </row>
    <row r="2763" spans="1:24" ht="15" customHeight="1" x14ac:dyDescent="0.25">
      <c r="A2763" t="str">
        <f>""</f>
        <v/>
      </c>
      <c r="B2763" s="1"/>
      <c r="H2763">
        <v>186.98</v>
      </c>
      <c r="J2763" t="s">
        <v>19</v>
      </c>
      <c r="L2763" s="1"/>
      <c r="N2763" s="1"/>
      <c r="V2763" t="str">
        <f>"44327"</f>
        <v>44327</v>
      </c>
      <c r="W2763">
        <v>50.48</v>
      </c>
      <c r="X2763">
        <v>0</v>
      </c>
    </row>
    <row r="2764" spans="1:24" ht="15" customHeight="1" x14ac:dyDescent="0.25">
      <c r="A2764" t="str">
        <f>""</f>
        <v/>
      </c>
      <c r="B2764" s="1"/>
      <c r="H2764">
        <v>401.17</v>
      </c>
      <c r="J2764" t="s">
        <v>20</v>
      </c>
      <c r="L2764" s="1"/>
      <c r="N2764" s="1"/>
      <c r="V2764" t="str">
        <f>"14800"</f>
        <v>14800</v>
      </c>
      <c r="W2764">
        <v>68.2</v>
      </c>
      <c r="X2764">
        <v>0</v>
      </c>
    </row>
    <row r="2765" spans="1:24" ht="15" customHeight="1" x14ac:dyDescent="0.25">
      <c r="A2765" t="str">
        <f>""</f>
        <v/>
      </c>
      <c r="B2765" s="1"/>
      <c r="H2765">
        <v>1.46</v>
      </c>
      <c r="J2765" t="s">
        <v>19</v>
      </c>
      <c r="L2765" s="1"/>
      <c r="N2765" s="1"/>
      <c r="V2765" t="str">
        <f>"59120"</f>
        <v>59120</v>
      </c>
      <c r="W2765">
        <v>0.28000000000000003</v>
      </c>
      <c r="X2765">
        <v>0</v>
      </c>
    </row>
    <row r="2766" spans="1:24" ht="15" customHeight="1" x14ac:dyDescent="0.25">
      <c r="A2766" t="str">
        <f>""</f>
        <v/>
      </c>
      <c r="B2766" s="1"/>
      <c r="H2766">
        <v>151</v>
      </c>
      <c r="J2766" t="s">
        <v>23</v>
      </c>
      <c r="L2766" s="1"/>
      <c r="N2766" s="1"/>
      <c r="V2766" t="str">
        <f>"83310"</f>
        <v>83310</v>
      </c>
      <c r="W2766">
        <v>0</v>
      </c>
      <c r="X2766">
        <v>0</v>
      </c>
    </row>
    <row r="2767" spans="1:24" ht="15" customHeight="1" x14ac:dyDescent="0.25">
      <c r="A2767" t="str">
        <f>""</f>
        <v/>
      </c>
      <c r="B2767" s="1"/>
      <c r="H2767">
        <v>149.63</v>
      </c>
      <c r="J2767" t="s">
        <v>23</v>
      </c>
      <c r="L2767" s="1"/>
      <c r="N2767" s="1"/>
      <c r="V2767" t="str">
        <f>"56100"</f>
        <v>56100</v>
      </c>
      <c r="W2767">
        <v>0</v>
      </c>
      <c r="X2767">
        <v>40.4</v>
      </c>
    </row>
    <row r="2768" spans="1:24" ht="15" customHeight="1" x14ac:dyDescent="0.25">
      <c r="A2768" t="str">
        <f>""</f>
        <v/>
      </c>
      <c r="B2768" s="1"/>
      <c r="H2768">
        <v>138.12</v>
      </c>
      <c r="J2768" t="s">
        <v>20</v>
      </c>
      <c r="L2768" s="1"/>
      <c r="N2768" s="1"/>
      <c r="V2768" t="str">
        <f>"72026"</f>
        <v>72026</v>
      </c>
      <c r="W2768">
        <v>29.01</v>
      </c>
      <c r="X2768">
        <v>0</v>
      </c>
    </row>
    <row r="2769" spans="1:24" ht="15" customHeight="1" x14ac:dyDescent="0.25">
      <c r="A2769" t="str">
        <f>""</f>
        <v/>
      </c>
      <c r="B2769" s="1"/>
      <c r="H2769">
        <v>153.44999999999999</v>
      </c>
      <c r="J2769" t="s">
        <v>20</v>
      </c>
      <c r="L2769" s="1"/>
      <c r="N2769" s="1"/>
      <c r="V2769" t="str">
        <f>"69100"</f>
        <v>69100</v>
      </c>
      <c r="W2769">
        <v>41.43</v>
      </c>
      <c r="X2769">
        <v>0</v>
      </c>
    </row>
    <row r="2770" spans="1:24" ht="15" customHeight="1" x14ac:dyDescent="0.25">
      <c r="A2770" t="str">
        <f>""</f>
        <v/>
      </c>
      <c r="B2770" s="1"/>
      <c r="H2770">
        <v>18.350000000000001</v>
      </c>
      <c r="J2770" t="s">
        <v>20</v>
      </c>
      <c r="L2770" s="1"/>
      <c r="N2770" s="1"/>
      <c r="V2770" t="str">
        <f>"62600"</f>
        <v>62600</v>
      </c>
      <c r="W2770">
        <v>3.49</v>
      </c>
      <c r="X2770">
        <v>0</v>
      </c>
    </row>
    <row r="2771" spans="1:24" ht="15" customHeight="1" x14ac:dyDescent="0.25">
      <c r="A2771" t="str">
        <f>""</f>
        <v/>
      </c>
      <c r="B2771" s="1"/>
      <c r="H2771">
        <v>33.25</v>
      </c>
      <c r="J2771" t="s">
        <v>19</v>
      </c>
      <c r="L2771" s="1"/>
      <c r="N2771" s="1"/>
      <c r="V2771" t="str">
        <f>"62000"</f>
        <v>62000</v>
      </c>
      <c r="W2771">
        <v>6.32</v>
      </c>
      <c r="X2771">
        <v>0</v>
      </c>
    </row>
    <row r="2772" spans="1:24" ht="15" customHeight="1" x14ac:dyDescent="0.25">
      <c r="A2772" t="str">
        <f>""</f>
        <v/>
      </c>
      <c r="B2772" s="1"/>
      <c r="H2772">
        <v>67.25</v>
      </c>
      <c r="J2772" t="s">
        <v>19</v>
      </c>
      <c r="L2772" s="1"/>
      <c r="N2772" s="1"/>
      <c r="V2772" t="str">
        <f>"02570"</f>
        <v>02570</v>
      </c>
      <c r="W2772">
        <v>12.78</v>
      </c>
      <c r="X2772">
        <v>0</v>
      </c>
    </row>
    <row r="2773" spans="1:24" ht="15" customHeight="1" x14ac:dyDescent="0.25">
      <c r="A2773" t="str">
        <f>""</f>
        <v/>
      </c>
      <c r="B2773" s="1"/>
      <c r="H2773">
        <v>25.6</v>
      </c>
      <c r="J2773" t="s">
        <v>22</v>
      </c>
      <c r="L2773" s="1"/>
      <c r="N2773" s="1"/>
      <c r="V2773" t="str">
        <f>"45000"</f>
        <v>45000</v>
      </c>
      <c r="W2773">
        <v>0</v>
      </c>
      <c r="X2773">
        <v>0</v>
      </c>
    </row>
    <row r="2774" spans="1:24" ht="15" customHeight="1" x14ac:dyDescent="0.25">
      <c r="A2774" t="str">
        <f>""</f>
        <v/>
      </c>
      <c r="B2774" s="1"/>
      <c r="H2774">
        <v>8.34</v>
      </c>
      <c r="J2774" t="s">
        <v>20</v>
      </c>
      <c r="L2774" s="1"/>
      <c r="N2774" s="1"/>
      <c r="V2774" t="str">
        <f>"94360"</f>
        <v>94360</v>
      </c>
      <c r="W2774">
        <v>0</v>
      </c>
      <c r="X2774">
        <v>0</v>
      </c>
    </row>
    <row r="2775" spans="1:24" ht="15" customHeight="1" x14ac:dyDescent="0.25">
      <c r="A2775" t="str">
        <f>""</f>
        <v/>
      </c>
      <c r="B2775" s="1"/>
      <c r="H2775">
        <v>136.65</v>
      </c>
      <c r="J2775" t="s">
        <v>20</v>
      </c>
      <c r="L2775" s="1"/>
      <c r="N2775" s="1"/>
      <c r="V2775" t="str">
        <f>"77183"</f>
        <v>77183</v>
      </c>
      <c r="W2775">
        <v>0</v>
      </c>
      <c r="X2775">
        <v>0</v>
      </c>
    </row>
    <row r="2776" spans="1:24" ht="15" customHeight="1" x14ac:dyDescent="0.25">
      <c r="A2776" t="str">
        <f>""</f>
        <v/>
      </c>
      <c r="B2776" s="1"/>
      <c r="H2776">
        <v>75.34</v>
      </c>
      <c r="J2776" t="s">
        <v>19</v>
      </c>
      <c r="L2776" s="1"/>
      <c r="N2776" s="1"/>
      <c r="V2776" t="str">
        <f>"06140"</f>
        <v>06140</v>
      </c>
      <c r="W2776">
        <v>22.6</v>
      </c>
      <c r="X2776">
        <v>0</v>
      </c>
    </row>
    <row r="2777" spans="1:24" ht="15" customHeight="1" x14ac:dyDescent="0.25">
      <c r="A2777" t="str">
        <f>""</f>
        <v/>
      </c>
      <c r="B2777" s="1"/>
      <c r="H2777">
        <v>142.01</v>
      </c>
      <c r="J2777" t="s">
        <v>19</v>
      </c>
      <c r="L2777" s="1"/>
      <c r="N2777" s="1"/>
      <c r="V2777" t="str">
        <f>"06284"</f>
        <v>06284</v>
      </c>
      <c r="W2777">
        <v>42.6</v>
      </c>
      <c r="X2777">
        <v>0</v>
      </c>
    </row>
    <row r="2778" spans="1:24" ht="15" customHeight="1" x14ac:dyDescent="0.25">
      <c r="A2778" t="str">
        <f>""</f>
        <v/>
      </c>
      <c r="B2778" s="1"/>
      <c r="H2778">
        <v>55.34</v>
      </c>
      <c r="J2778" t="s">
        <v>19</v>
      </c>
      <c r="L2778" s="1"/>
      <c r="N2778" s="1"/>
      <c r="V2778" t="str">
        <f>"95240"</f>
        <v>95240</v>
      </c>
      <c r="W2778">
        <v>0</v>
      </c>
      <c r="X2778">
        <v>0</v>
      </c>
    </row>
    <row r="2779" spans="1:24" ht="15" customHeight="1" x14ac:dyDescent="0.25">
      <c r="A2779" t="str">
        <f>""</f>
        <v/>
      </c>
      <c r="B2779" s="1"/>
      <c r="H2779">
        <v>55.34</v>
      </c>
      <c r="J2779" t="s">
        <v>20</v>
      </c>
      <c r="L2779" s="1"/>
      <c r="N2779" s="1"/>
      <c r="V2779" t="str">
        <f>"06284"</f>
        <v>06284</v>
      </c>
      <c r="W2779">
        <v>16.600000000000001</v>
      </c>
      <c r="X2779">
        <v>0</v>
      </c>
    </row>
    <row r="2780" spans="1:24" ht="15" customHeight="1" x14ac:dyDescent="0.25">
      <c r="A2780" t="str">
        <f>""</f>
        <v/>
      </c>
      <c r="B2780" s="1"/>
      <c r="H2780">
        <v>19.8</v>
      </c>
      <c r="J2780" t="s">
        <v>20</v>
      </c>
      <c r="L2780" s="1"/>
      <c r="N2780" s="1"/>
      <c r="V2780" t="str">
        <f>"06410"</f>
        <v>06410</v>
      </c>
      <c r="W2780">
        <v>5.94</v>
      </c>
      <c r="X2780">
        <v>0</v>
      </c>
    </row>
    <row r="2781" spans="1:24" ht="15" customHeight="1" x14ac:dyDescent="0.25">
      <c r="A2781" t="str">
        <f>""</f>
        <v/>
      </c>
      <c r="B2781" s="1"/>
      <c r="H2781">
        <v>183.87</v>
      </c>
      <c r="J2781" t="s">
        <v>22</v>
      </c>
      <c r="L2781" s="1"/>
      <c r="N2781" s="1"/>
      <c r="V2781" t="str">
        <f>"78190"</f>
        <v>78190</v>
      </c>
      <c r="W2781">
        <v>0</v>
      </c>
      <c r="X2781">
        <v>0</v>
      </c>
    </row>
    <row r="2782" spans="1:24" ht="15" customHeight="1" x14ac:dyDescent="0.25">
      <c r="A2782" t="str">
        <f>""</f>
        <v/>
      </c>
      <c r="B2782" s="1"/>
      <c r="H2782">
        <v>140</v>
      </c>
      <c r="J2782" t="s">
        <v>22</v>
      </c>
      <c r="L2782" s="1"/>
      <c r="N2782" s="1"/>
      <c r="V2782" t="str">
        <f>"34500"</f>
        <v>34500</v>
      </c>
      <c r="W2782">
        <v>0</v>
      </c>
      <c r="X2782">
        <v>39.200000000000003</v>
      </c>
    </row>
    <row r="2783" spans="1:24" ht="15" customHeight="1" x14ac:dyDescent="0.25">
      <c r="A2783" t="str">
        <f>""</f>
        <v/>
      </c>
      <c r="B2783" s="1"/>
      <c r="H2783">
        <v>19.89</v>
      </c>
      <c r="J2783" t="s">
        <v>19</v>
      </c>
      <c r="L2783" s="1"/>
      <c r="N2783" s="1"/>
      <c r="V2783" t="str">
        <f>"06560"</f>
        <v>06560</v>
      </c>
      <c r="W2783">
        <v>5.97</v>
      </c>
      <c r="X2783">
        <v>0</v>
      </c>
    </row>
    <row r="2784" spans="1:24" ht="15" customHeight="1" x14ac:dyDescent="0.25">
      <c r="A2784" t="str">
        <f>""</f>
        <v/>
      </c>
      <c r="B2784" s="1"/>
      <c r="H2784">
        <v>82.33</v>
      </c>
      <c r="J2784" t="s">
        <v>19</v>
      </c>
      <c r="L2784" s="1"/>
      <c r="N2784" s="1"/>
      <c r="V2784" t="str">
        <f>"60300"</f>
        <v>60300</v>
      </c>
      <c r="W2784">
        <v>15.64</v>
      </c>
      <c r="X2784">
        <v>0</v>
      </c>
    </row>
    <row r="2785" spans="1:24" ht="15" customHeight="1" x14ac:dyDescent="0.25">
      <c r="A2785" t="str">
        <f>""</f>
        <v/>
      </c>
      <c r="B2785" s="1"/>
      <c r="H2785">
        <v>563.16999999999996</v>
      </c>
      <c r="J2785" t="s">
        <v>20</v>
      </c>
      <c r="L2785" s="1"/>
      <c r="N2785" s="1"/>
      <c r="V2785" t="str">
        <f>"88100"</f>
        <v>88100</v>
      </c>
      <c r="W2785">
        <v>163.32</v>
      </c>
      <c r="X2785">
        <v>0</v>
      </c>
    </row>
    <row r="2786" spans="1:24" ht="15" customHeight="1" x14ac:dyDescent="0.25">
      <c r="A2786" t="str">
        <f>""</f>
        <v/>
      </c>
      <c r="B2786" s="1"/>
      <c r="H2786">
        <v>151</v>
      </c>
      <c r="J2786" t="s">
        <v>22</v>
      </c>
      <c r="L2786" s="1"/>
      <c r="N2786" s="1"/>
      <c r="V2786" t="str">
        <f>"37140"</f>
        <v>37140</v>
      </c>
      <c r="W2786">
        <v>0</v>
      </c>
      <c r="X2786">
        <v>0</v>
      </c>
    </row>
    <row r="2787" spans="1:24" ht="15" customHeight="1" x14ac:dyDescent="0.25">
      <c r="A2787" t="str">
        <f>""</f>
        <v/>
      </c>
      <c r="B2787" s="1"/>
      <c r="H2787">
        <v>129.81</v>
      </c>
      <c r="J2787" t="s">
        <v>23</v>
      </c>
      <c r="L2787" s="1"/>
      <c r="N2787" s="1"/>
      <c r="V2787" t="str">
        <f>"29850"</f>
        <v>29850</v>
      </c>
      <c r="W2787">
        <v>0</v>
      </c>
      <c r="X2787">
        <v>50.63</v>
      </c>
    </row>
    <row r="2788" spans="1:24" ht="15" customHeight="1" x14ac:dyDescent="0.25">
      <c r="A2788" t="str">
        <f>""</f>
        <v/>
      </c>
      <c r="B2788" s="1"/>
      <c r="H2788">
        <v>183.25</v>
      </c>
      <c r="J2788" t="s">
        <v>19</v>
      </c>
      <c r="L2788" s="1"/>
      <c r="N2788" s="1"/>
      <c r="V2788" t="str">
        <f>"91120"</f>
        <v>91120</v>
      </c>
      <c r="W2788">
        <v>0</v>
      </c>
      <c r="X2788">
        <v>0</v>
      </c>
    </row>
    <row r="2789" spans="1:24" ht="15" customHeight="1" x14ac:dyDescent="0.25">
      <c r="A2789" t="str">
        <f>""</f>
        <v/>
      </c>
      <c r="B2789" s="1"/>
      <c r="H2789">
        <v>19.89</v>
      </c>
      <c r="J2789" t="s">
        <v>19</v>
      </c>
      <c r="L2789" s="1"/>
      <c r="N2789" s="1"/>
      <c r="V2789" t="str">
        <f>"06560"</f>
        <v>06560</v>
      </c>
      <c r="W2789">
        <v>5.97</v>
      </c>
      <c r="X2789">
        <v>0</v>
      </c>
    </row>
    <row r="2790" spans="1:24" ht="15" customHeight="1" x14ac:dyDescent="0.25">
      <c r="A2790" t="str">
        <f>""</f>
        <v/>
      </c>
      <c r="B2790" s="1"/>
      <c r="H2790">
        <v>83</v>
      </c>
      <c r="J2790" t="s">
        <v>20</v>
      </c>
      <c r="L2790" s="1"/>
      <c r="N2790" s="1"/>
      <c r="V2790" t="str">
        <f>"13210"</f>
        <v>13210</v>
      </c>
      <c r="W2790">
        <v>24.07</v>
      </c>
      <c r="X2790">
        <v>0</v>
      </c>
    </row>
    <row r="2791" spans="1:24" ht="15" customHeight="1" x14ac:dyDescent="0.25">
      <c r="A2791" t="str">
        <f>""</f>
        <v/>
      </c>
      <c r="B2791" s="1"/>
      <c r="H2791">
        <v>102.04</v>
      </c>
      <c r="J2791" t="s">
        <v>20</v>
      </c>
      <c r="L2791" s="1"/>
      <c r="N2791" s="1"/>
      <c r="V2791" t="str">
        <f>"27400"</f>
        <v>27400</v>
      </c>
      <c r="W2791">
        <v>17.350000000000001</v>
      </c>
      <c r="X2791">
        <v>0</v>
      </c>
    </row>
    <row r="2792" spans="1:24" ht="15" customHeight="1" x14ac:dyDescent="0.25">
      <c r="A2792" t="str">
        <f>""</f>
        <v/>
      </c>
      <c r="B2792" s="1"/>
      <c r="H2792">
        <v>75.14</v>
      </c>
      <c r="J2792" t="s">
        <v>20</v>
      </c>
      <c r="L2792" s="1"/>
      <c r="N2792" s="1"/>
      <c r="V2792" t="str">
        <f>"75018"</f>
        <v>75018</v>
      </c>
      <c r="W2792">
        <v>0</v>
      </c>
      <c r="X2792">
        <v>0</v>
      </c>
    </row>
    <row r="2793" spans="1:24" ht="15" customHeight="1" x14ac:dyDescent="0.25">
      <c r="A2793" t="str">
        <f>""</f>
        <v/>
      </c>
      <c r="B2793" s="1"/>
      <c r="H2793">
        <v>193.92</v>
      </c>
      <c r="J2793" t="s">
        <v>19</v>
      </c>
      <c r="L2793" s="1"/>
      <c r="N2793" s="1"/>
      <c r="V2793" t="str">
        <f>"75006"</f>
        <v>75006</v>
      </c>
      <c r="W2793">
        <v>0</v>
      </c>
      <c r="X2793">
        <v>0</v>
      </c>
    </row>
    <row r="2794" spans="1:24" ht="15" customHeight="1" x14ac:dyDescent="0.25">
      <c r="A2794" t="str">
        <f>""</f>
        <v/>
      </c>
      <c r="B2794" s="1"/>
      <c r="H2794">
        <v>80</v>
      </c>
      <c r="J2794" t="s">
        <v>20</v>
      </c>
      <c r="L2794" s="1"/>
      <c r="N2794" s="1"/>
      <c r="V2794" t="str">
        <f>"92000"</f>
        <v>92000</v>
      </c>
      <c r="W2794">
        <v>0</v>
      </c>
      <c r="X2794">
        <v>0</v>
      </c>
    </row>
    <row r="2795" spans="1:24" ht="15" customHeight="1" x14ac:dyDescent="0.25">
      <c r="A2795" t="str">
        <f>""</f>
        <v/>
      </c>
      <c r="B2795" s="1"/>
      <c r="H2795">
        <v>136.80000000000001</v>
      </c>
      <c r="J2795" t="s">
        <v>23</v>
      </c>
      <c r="L2795" s="1"/>
      <c r="N2795" s="1"/>
      <c r="V2795" t="str">
        <f>"94270"</f>
        <v>94270</v>
      </c>
      <c r="W2795">
        <v>0</v>
      </c>
      <c r="X2795">
        <v>0</v>
      </c>
    </row>
    <row r="2796" spans="1:24" ht="15" customHeight="1" x14ac:dyDescent="0.25">
      <c r="A2796" t="str">
        <f>""</f>
        <v/>
      </c>
      <c r="B2796" s="1"/>
      <c r="H2796">
        <v>55</v>
      </c>
      <c r="J2796" t="s">
        <v>20</v>
      </c>
      <c r="L2796" s="1"/>
      <c r="N2796" s="1"/>
      <c r="V2796" t="str">
        <f>"25000"</f>
        <v>25000</v>
      </c>
      <c r="W2796">
        <v>13.2</v>
      </c>
      <c r="X2796">
        <v>0</v>
      </c>
    </row>
    <row r="2797" spans="1:24" ht="15" customHeight="1" x14ac:dyDescent="0.25">
      <c r="A2797" t="str">
        <f>""</f>
        <v/>
      </c>
      <c r="B2797" s="1"/>
      <c r="H2797">
        <v>40</v>
      </c>
      <c r="J2797" t="s">
        <v>22</v>
      </c>
      <c r="L2797" s="1"/>
      <c r="N2797" s="1"/>
      <c r="V2797" t="str">
        <f>"59270"</f>
        <v>59270</v>
      </c>
      <c r="W2797">
        <v>0</v>
      </c>
      <c r="X2797">
        <v>0</v>
      </c>
    </row>
    <row r="2798" spans="1:24" ht="15" customHeight="1" x14ac:dyDescent="0.25">
      <c r="A2798" t="str">
        <f>""</f>
        <v/>
      </c>
      <c r="B2798" s="1"/>
      <c r="H2798">
        <v>148.78</v>
      </c>
      <c r="J2798" t="s">
        <v>20</v>
      </c>
      <c r="L2798" s="1"/>
      <c r="N2798" s="1"/>
      <c r="V2798" t="str">
        <f>"75010"</f>
        <v>75010</v>
      </c>
      <c r="W2798">
        <v>0</v>
      </c>
      <c r="X2798">
        <v>0</v>
      </c>
    </row>
    <row r="2799" spans="1:24" ht="15" customHeight="1" x14ac:dyDescent="0.25">
      <c r="A2799" t="str">
        <f>""</f>
        <v/>
      </c>
      <c r="B2799" s="1"/>
      <c r="H2799">
        <v>147.19999999999999</v>
      </c>
      <c r="J2799" t="s">
        <v>20</v>
      </c>
      <c r="L2799" s="1"/>
      <c r="N2799" s="1"/>
      <c r="V2799" t="str">
        <f>"75002"</f>
        <v>75002</v>
      </c>
      <c r="W2799">
        <v>0</v>
      </c>
      <c r="X2799">
        <v>0</v>
      </c>
    </row>
    <row r="2800" spans="1:24" ht="15" customHeight="1" x14ac:dyDescent="0.25">
      <c r="A2800" t="str">
        <f>""</f>
        <v/>
      </c>
      <c r="B2800" s="1"/>
      <c r="H2800">
        <v>25.8</v>
      </c>
      <c r="J2800" t="s">
        <v>19</v>
      </c>
      <c r="L2800" s="1"/>
      <c r="N2800" s="1"/>
      <c r="V2800" t="str">
        <f>"55270"</f>
        <v>55270</v>
      </c>
      <c r="W2800">
        <v>6.45</v>
      </c>
      <c r="X2800">
        <v>0</v>
      </c>
    </row>
    <row r="2801" spans="1:24" ht="15" customHeight="1" x14ac:dyDescent="0.25">
      <c r="A2801" t="str">
        <f>""</f>
        <v/>
      </c>
      <c r="B2801" s="1"/>
      <c r="H2801">
        <v>139.19999999999999</v>
      </c>
      <c r="J2801" t="s">
        <v>20</v>
      </c>
      <c r="L2801" s="1"/>
      <c r="N2801" s="1"/>
      <c r="V2801" t="str">
        <f>"68000"</f>
        <v>68000</v>
      </c>
      <c r="W2801">
        <v>40.369999999999997</v>
      </c>
      <c r="X2801">
        <v>0</v>
      </c>
    </row>
    <row r="2802" spans="1:24" ht="15" customHeight="1" x14ac:dyDescent="0.25">
      <c r="A2802" t="str">
        <f>""</f>
        <v/>
      </c>
      <c r="B2802" s="1"/>
      <c r="H2802">
        <v>130.19999999999999</v>
      </c>
      <c r="J2802" t="s">
        <v>20</v>
      </c>
      <c r="L2802" s="1"/>
      <c r="N2802" s="1"/>
      <c r="V2802" t="str">
        <f>"38100"</f>
        <v>38100</v>
      </c>
      <c r="W2802">
        <v>35.15</v>
      </c>
      <c r="X2802">
        <v>0</v>
      </c>
    </row>
    <row r="2803" spans="1:24" ht="15" customHeight="1" x14ac:dyDescent="0.25">
      <c r="A2803" t="str">
        <f>""</f>
        <v/>
      </c>
      <c r="B2803" s="1"/>
      <c r="H2803">
        <v>139.91</v>
      </c>
      <c r="J2803" t="s">
        <v>20</v>
      </c>
      <c r="L2803" s="1"/>
      <c r="N2803" s="1"/>
      <c r="V2803" t="str">
        <f>"77170"</f>
        <v>77170</v>
      </c>
      <c r="W2803">
        <v>0</v>
      </c>
      <c r="X2803">
        <v>0</v>
      </c>
    </row>
    <row r="2804" spans="1:24" ht="15" customHeight="1" x14ac:dyDescent="0.25">
      <c r="A2804" t="str">
        <f>""</f>
        <v/>
      </c>
      <c r="B2804" s="1"/>
      <c r="H2804">
        <v>288.20999999999998</v>
      </c>
      <c r="J2804" t="s">
        <v>19</v>
      </c>
      <c r="L2804" s="1"/>
      <c r="N2804" s="1"/>
      <c r="V2804" t="str">
        <f>"59231"</f>
        <v>59231</v>
      </c>
      <c r="W2804">
        <v>54.76</v>
      </c>
      <c r="X2804">
        <v>0</v>
      </c>
    </row>
    <row r="2805" spans="1:24" ht="15" customHeight="1" x14ac:dyDescent="0.25">
      <c r="A2805" t="str">
        <f>""</f>
        <v/>
      </c>
      <c r="B2805" s="1"/>
      <c r="H2805">
        <v>32.85</v>
      </c>
      <c r="J2805" t="s">
        <v>19</v>
      </c>
      <c r="L2805" s="1"/>
      <c r="N2805" s="1"/>
      <c r="V2805" t="str">
        <f>"75008"</f>
        <v>75008</v>
      </c>
      <c r="W2805">
        <v>0</v>
      </c>
      <c r="X2805">
        <v>0</v>
      </c>
    </row>
    <row r="2806" spans="1:24" ht="15" customHeight="1" x14ac:dyDescent="0.25">
      <c r="A2806" t="str">
        <f>""</f>
        <v/>
      </c>
      <c r="B2806" s="1"/>
      <c r="H2806">
        <v>31.6</v>
      </c>
      <c r="L2806" s="1"/>
      <c r="N2806" s="1"/>
      <c r="V2806" t="str">
        <f>"44240"</f>
        <v>44240</v>
      </c>
      <c r="W2806">
        <v>0</v>
      </c>
      <c r="X2806">
        <v>0</v>
      </c>
    </row>
    <row r="2807" spans="1:24" ht="15" customHeight="1" x14ac:dyDescent="0.25">
      <c r="A2807" t="str">
        <f>""</f>
        <v/>
      </c>
      <c r="B2807" s="1"/>
      <c r="H2807">
        <v>80</v>
      </c>
      <c r="J2807" t="s">
        <v>19</v>
      </c>
      <c r="L2807" s="1"/>
      <c r="N2807" s="1"/>
      <c r="V2807" t="str">
        <f>"45000"</f>
        <v>45000</v>
      </c>
      <c r="W2807">
        <v>16.8</v>
      </c>
      <c r="X2807">
        <v>0</v>
      </c>
    </row>
    <row r="2808" spans="1:24" ht="15" customHeight="1" x14ac:dyDescent="0.25">
      <c r="A2808" t="str">
        <f>""</f>
        <v/>
      </c>
      <c r="B2808" s="1"/>
      <c r="H2808">
        <v>151</v>
      </c>
      <c r="J2808" t="s">
        <v>22</v>
      </c>
      <c r="L2808" s="1"/>
      <c r="N2808" s="1"/>
      <c r="V2808" t="str">
        <f>"50260"</f>
        <v>50260</v>
      </c>
      <c r="W2808">
        <v>0</v>
      </c>
      <c r="X2808">
        <v>25.67</v>
      </c>
    </row>
    <row r="2809" spans="1:24" ht="15" customHeight="1" x14ac:dyDescent="0.25">
      <c r="A2809" t="str">
        <f>""</f>
        <v/>
      </c>
      <c r="B2809" s="1"/>
      <c r="H2809">
        <v>70</v>
      </c>
      <c r="J2809" t="s">
        <v>22</v>
      </c>
      <c r="L2809" s="1"/>
      <c r="V2809" t="str">
        <f>"61330"</f>
        <v>61330</v>
      </c>
      <c r="W2809">
        <v>0</v>
      </c>
      <c r="X2809">
        <v>0</v>
      </c>
    </row>
    <row r="2810" spans="1:24" ht="15" customHeight="1" x14ac:dyDescent="0.25">
      <c r="A2810" t="str">
        <f>""</f>
        <v/>
      </c>
      <c r="B2810" s="1"/>
      <c r="H2810">
        <v>161.01</v>
      </c>
      <c r="J2810" t="s">
        <v>19</v>
      </c>
      <c r="L2810" s="1"/>
      <c r="N2810" s="1"/>
      <c r="V2810" t="str">
        <f>"65290"</f>
        <v>65290</v>
      </c>
      <c r="W2810">
        <v>35.42</v>
      </c>
      <c r="X2810">
        <v>0</v>
      </c>
    </row>
    <row r="2811" spans="1:24" ht="15" customHeight="1" x14ac:dyDescent="0.25">
      <c r="A2811" t="str">
        <f>""</f>
        <v/>
      </c>
      <c r="B2811" s="1"/>
      <c r="H2811">
        <v>154.91999999999999</v>
      </c>
      <c r="J2811" t="s">
        <v>20</v>
      </c>
      <c r="L2811" s="1"/>
      <c r="N2811" s="1"/>
      <c r="V2811" t="str">
        <f>"69001"</f>
        <v>69001</v>
      </c>
      <c r="W2811">
        <v>41.83</v>
      </c>
      <c r="X2811">
        <v>0</v>
      </c>
    </row>
    <row r="2812" spans="1:24" ht="15" customHeight="1" x14ac:dyDescent="0.25">
      <c r="A2812" t="str">
        <f>""</f>
        <v/>
      </c>
      <c r="B2812" s="1"/>
      <c r="H2812">
        <v>0.36</v>
      </c>
      <c r="J2812" t="s">
        <v>20</v>
      </c>
      <c r="L2812" s="1"/>
      <c r="N2812" s="1"/>
      <c r="V2812" t="str">
        <f>"90000"</f>
        <v>90000</v>
      </c>
      <c r="W2812">
        <v>0.1</v>
      </c>
      <c r="X2812">
        <v>0</v>
      </c>
    </row>
    <row r="2813" spans="1:24" ht="15" customHeight="1" x14ac:dyDescent="0.25">
      <c r="A2813" t="str">
        <f>""</f>
        <v/>
      </c>
      <c r="B2813" s="1"/>
      <c r="H2813">
        <v>155</v>
      </c>
      <c r="L2813" s="1"/>
      <c r="N2813" s="1"/>
      <c r="V2813" t="str">
        <f>"44240"</f>
        <v>44240</v>
      </c>
      <c r="W2813">
        <v>0</v>
      </c>
      <c r="X2813">
        <v>0</v>
      </c>
    </row>
    <row r="2814" spans="1:24" ht="15" customHeight="1" x14ac:dyDescent="0.25">
      <c r="A2814" t="str">
        <f>""</f>
        <v/>
      </c>
      <c r="B2814" s="1"/>
      <c r="H2814">
        <v>25</v>
      </c>
      <c r="J2814" t="s">
        <v>22</v>
      </c>
      <c r="L2814" s="1"/>
      <c r="N2814" s="1"/>
      <c r="V2814" t="str">
        <f>"54000"</f>
        <v>54000</v>
      </c>
      <c r="W2814">
        <v>0</v>
      </c>
      <c r="X2814">
        <v>0</v>
      </c>
    </row>
    <row r="2815" spans="1:24" ht="15" customHeight="1" x14ac:dyDescent="0.25">
      <c r="A2815" t="str">
        <f>""</f>
        <v/>
      </c>
      <c r="B2815" s="1"/>
      <c r="H2815">
        <v>303.74</v>
      </c>
      <c r="J2815" t="s">
        <v>19</v>
      </c>
      <c r="L2815" s="1"/>
      <c r="N2815" s="1"/>
      <c r="V2815" t="str">
        <f>"75008"</f>
        <v>75008</v>
      </c>
      <c r="W2815">
        <v>0</v>
      </c>
      <c r="X2815">
        <v>0</v>
      </c>
    </row>
    <row r="2816" spans="1:24" ht="15" customHeight="1" x14ac:dyDescent="0.25">
      <c r="A2816" t="str">
        <f>""</f>
        <v/>
      </c>
      <c r="B2816" s="1"/>
      <c r="H2816">
        <v>55</v>
      </c>
      <c r="L2816" s="1"/>
      <c r="N2816" s="1"/>
      <c r="V2816" t="str">
        <f>"77184"</f>
        <v>77184</v>
      </c>
      <c r="W2816">
        <v>0</v>
      </c>
      <c r="X2816">
        <v>0</v>
      </c>
    </row>
    <row r="2817" spans="1:24" ht="15" customHeight="1" x14ac:dyDescent="0.25">
      <c r="A2817" t="str">
        <f>""</f>
        <v/>
      </c>
      <c r="B2817" s="1"/>
      <c r="H2817">
        <v>55</v>
      </c>
      <c r="L2817" s="1"/>
      <c r="N2817" s="1"/>
      <c r="V2817" t="str">
        <f>"77184"</f>
        <v>77184</v>
      </c>
      <c r="W2817">
        <v>0</v>
      </c>
      <c r="X2817">
        <v>0</v>
      </c>
    </row>
    <row r="2818" spans="1:24" ht="15" customHeight="1" x14ac:dyDescent="0.25">
      <c r="A2818" t="str">
        <f>""</f>
        <v/>
      </c>
      <c r="B2818" s="1"/>
      <c r="H2818">
        <v>171</v>
      </c>
      <c r="L2818" s="1"/>
      <c r="N2818" s="1"/>
      <c r="V2818" t="str">
        <f>"77184"</f>
        <v>77184</v>
      </c>
      <c r="W2818">
        <v>0</v>
      </c>
      <c r="X2818">
        <v>0</v>
      </c>
    </row>
    <row r="2819" spans="1:24" ht="15" customHeight="1" x14ac:dyDescent="0.25">
      <c r="A2819" t="str">
        <f>""</f>
        <v/>
      </c>
      <c r="B2819" s="1"/>
      <c r="H2819">
        <v>171</v>
      </c>
      <c r="L2819" s="1"/>
      <c r="N2819" s="1"/>
      <c r="V2819" t="str">
        <f>"77184"</f>
        <v>77184</v>
      </c>
      <c r="W2819">
        <v>0</v>
      </c>
      <c r="X2819">
        <v>0</v>
      </c>
    </row>
    <row r="2820" spans="1:24" ht="15" customHeight="1" x14ac:dyDescent="0.25">
      <c r="A2820" t="str">
        <f>""</f>
        <v/>
      </c>
      <c r="B2820" s="1"/>
      <c r="H2820">
        <v>171</v>
      </c>
      <c r="L2820" s="1"/>
      <c r="N2820" s="1"/>
      <c r="V2820" t="str">
        <f>"77184"</f>
        <v>77184</v>
      </c>
      <c r="W2820">
        <v>0</v>
      </c>
      <c r="X2820">
        <v>0</v>
      </c>
    </row>
    <row r="2821" spans="1:24" ht="15" customHeight="1" x14ac:dyDescent="0.25">
      <c r="A2821" t="str">
        <f>""</f>
        <v/>
      </c>
      <c r="B2821" s="1"/>
      <c r="H2821">
        <v>19.8</v>
      </c>
      <c r="J2821" t="s">
        <v>20</v>
      </c>
      <c r="L2821" s="1"/>
      <c r="N2821" s="1"/>
      <c r="V2821" t="str">
        <f>"57071"</f>
        <v>57071</v>
      </c>
      <c r="W2821">
        <v>4.95</v>
      </c>
      <c r="X2821">
        <v>0</v>
      </c>
    </row>
    <row r="2822" spans="1:24" ht="15" customHeight="1" x14ac:dyDescent="0.25">
      <c r="A2822" t="str">
        <f>""</f>
        <v/>
      </c>
      <c r="B2822" s="1"/>
      <c r="H2822">
        <v>25.8</v>
      </c>
      <c r="J2822" t="s">
        <v>20</v>
      </c>
      <c r="L2822" s="1"/>
      <c r="N2822" s="1"/>
      <c r="V2822" t="str">
        <f>"60300"</f>
        <v>60300</v>
      </c>
      <c r="W2822">
        <v>4.9000000000000004</v>
      </c>
      <c r="X2822">
        <v>0</v>
      </c>
    </row>
    <row r="2823" spans="1:24" ht="15" customHeight="1" x14ac:dyDescent="0.25">
      <c r="A2823" t="str">
        <f>""</f>
        <v/>
      </c>
      <c r="B2823" s="1"/>
      <c r="H2823">
        <v>19.8</v>
      </c>
      <c r="J2823" t="s">
        <v>20</v>
      </c>
      <c r="L2823" s="1"/>
      <c r="N2823" s="1"/>
      <c r="V2823" t="str">
        <f>"75002"</f>
        <v>75002</v>
      </c>
      <c r="W2823">
        <v>0</v>
      </c>
      <c r="X2823">
        <v>0</v>
      </c>
    </row>
    <row r="2824" spans="1:24" ht="15" customHeight="1" x14ac:dyDescent="0.25">
      <c r="A2824" t="str">
        <f>""</f>
        <v/>
      </c>
      <c r="B2824" s="1"/>
      <c r="H2824">
        <v>25.8</v>
      </c>
      <c r="J2824" t="s">
        <v>19</v>
      </c>
      <c r="L2824" s="1"/>
      <c r="N2824" s="1"/>
      <c r="V2824" t="str">
        <f>"60300"</f>
        <v>60300</v>
      </c>
      <c r="W2824">
        <v>4.9000000000000004</v>
      </c>
      <c r="X2824">
        <v>0</v>
      </c>
    </row>
    <row r="2825" spans="1:24" ht="15" customHeight="1" x14ac:dyDescent="0.25">
      <c r="A2825" t="str">
        <f>""</f>
        <v/>
      </c>
      <c r="B2825" s="1"/>
      <c r="H2825">
        <v>19.8</v>
      </c>
      <c r="J2825" t="s">
        <v>19</v>
      </c>
      <c r="L2825" s="1"/>
      <c r="N2825" s="1"/>
      <c r="V2825" t="str">
        <f>"62380"</f>
        <v>62380</v>
      </c>
      <c r="W2825">
        <v>3.76</v>
      </c>
      <c r="X2825">
        <v>0</v>
      </c>
    </row>
    <row r="2826" spans="1:24" ht="15" customHeight="1" x14ac:dyDescent="0.25">
      <c r="A2826" t="str">
        <f>""</f>
        <v/>
      </c>
      <c r="B2826" s="1"/>
      <c r="H2826">
        <v>25.8</v>
      </c>
      <c r="J2826" t="s">
        <v>19</v>
      </c>
      <c r="L2826" s="1"/>
      <c r="N2826" s="1"/>
      <c r="V2826" t="str">
        <f>"38590"</f>
        <v>38590</v>
      </c>
      <c r="W2826">
        <v>6.97</v>
      </c>
      <c r="X2826">
        <v>0</v>
      </c>
    </row>
    <row r="2827" spans="1:24" ht="15" customHeight="1" x14ac:dyDescent="0.25">
      <c r="A2827" t="str">
        <f>""</f>
        <v/>
      </c>
      <c r="B2827" s="1"/>
      <c r="H2827">
        <v>141.66</v>
      </c>
      <c r="J2827" t="s">
        <v>19</v>
      </c>
      <c r="L2827" s="1"/>
      <c r="N2827" s="1"/>
      <c r="V2827" t="str">
        <f>"14490"</f>
        <v>14490</v>
      </c>
      <c r="W2827">
        <v>24.08</v>
      </c>
      <c r="X2827">
        <v>0</v>
      </c>
    </row>
    <row r="2828" spans="1:24" ht="15" customHeight="1" x14ac:dyDescent="0.25">
      <c r="A2828" t="str">
        <f>""</f>
        <v/>
      </c>
      <c r="B2828" s="1"/>
      <c r="H2828">
        <v>15.8</v>
      </c>
      <c r="J2828" t="s">
        <v>23</v>
      </c>
      <c r="L2828" s="1"/>
      <c r="N2828" s="1"/>
      <c r="V2828" t="str">
        <f>"56000"</f>
        <v>56000</v>
      </c>
      <c r="W2828">
        <v>0</v>
      </c>
      <c r="X2828">
        <v>0</v>
      </c>
    </row>
    <row r="2829" spans="1:24" ht="15" customHeight="1" x14ac:dyDescent="0.25">
      <c r="A2829" t="str">
        <f>""</f>
        <v/>
      </c>
      <c r="B2829" s="1"/>
      <c r="H2829">
        <v>172.84</v>
      </c>
      <c r="J2829" t="s">
        <v>23</v>
      </c>
      <c r="L2829" s="1"/>
      <c r="N2829" s="1"/>
      <c r="V2829" t="str">
        <f>"26110"</f>
        <v>26110</v>
      </c>
      <c r="W2829">
        <v>0</v>
      </c>
      <c r="X2829">
        <v>0</v>
      </c>
    </row>
    <row r="2830" spans="1:24" ht="15" customHeight="1" x14ac:dyDescent="0.25">
      <c r="A2830" t="str">
        <f>""</f>
        <v/>
      </c>
      <c r="B2830" s="1"/>
      <c r="H2830">
        <v>55.34</v>
      </c>
      <c r="J2830" t="s">
        <v>20</v>
      </c>
      <c r="L2830" s="1"/>
      <c r="N2830" s="1"/>
      <c r="V2830" t="str">
        <f>"75016"</f>
        <v>75016</v>
      </c>
      <c r="W2830">
        <v>0</v>
      </c>
      <c r="X2830">
        <v>0</v>
      </c>
    </row>
    <row r="2831" spans="1:24" ht="15" customHeight="1" x14ac:dyDescent="0.25">
      <c r="A2831" t="str">
        <f>""</f>
        <v/>
      </c>
      <c r="B2831" s="1"/>
      <c r="H2831">
        <v>186.91</v>
      </c>
      <c r="J2831" t="s">
        <v>19</v>
      </c>
      <c r="L2831" s="1"/>
      <c r="N2831" s="1"/>
      <c r="V2831" t="str">
        <f>"62500"</f>
        <v>62500</v>
      </c>
      <c r="W2831">
        <v>35.51</v>
      </c>
      <c r="X2831">
        <v>0</v>
      </c>
    </row>
    <row r="2832" spans="1:24" ht="15" customHeight="1" x14ac:dyDescent="0.25">
      <c r="A2832" t="str">
        <f>""</f>
        <v/>
      </c>
      <c r="B2832" s="1"/>
      <c r="H2832">
        <v>180</v>
      </c>
      <c r="J2832" t="s">
        <v>22</v>
      </c>
      <c r="L2832" s="1"/>
      <c r="N2832" s="1"/>
      <c r="V2832" t="str">
        <f>"59000"</f>
        <v>59000</v>
      </c>
      <c r="W2832">
        <v>0</v>
      </c>
      <c r="X2832">
        <v>0</v>
      </c>
    </row>
    <row r="2833" spans="1:24" ht="15" customHeight="1" x14ac:dyDescent="0.25">
      <c r="A2833" t="str">
        <f>""</f>
        <v/>
      </c>
      <c r="B2833" s="1"/>
      <c r="H2833">
        <v>140</v>
      </c>
      <c r="J2833" t="s">
        <v>22</v>
      </c>
      <c r="L2833" s="1"/>
      <c r="N2833" s="1"/>
      <c r="V2833" t="str">
        <f>"59000"</f>
        <v>59000</v>
      </c>
      <c r="W2833">
        <v>0</v>
      </c>
      <c r="X2833">
        <v>0</v>
      </c>
    </row>
    <row r="2834" spans="1:24" ht="15" customHeight="1" x14ac:dyDescent="0.25">
      <c r="A2834" t="str">
        <f>""</f>
        <v/>
      </c>
      <c r="B2834" s="1"/>
      <c r="H2834">
        <v>187.45</v>
      </c>
      <c r="J2834" t="s">
        <v>19</v>
      </c>
      <c r="L2834" s="1"/>
      <c r="N2834" s="1"/>
      <c r="V2834" t="str">
        <f>"51160"</f>
        <v>51160</v>
      </c>
      <c r="W2834">
        <v>46.86</v>
      </c>
      <c r="X2834">
        <v>0</v>
      </c>
    </row>
    <row r="2835" spans="1:24" ht="15" customHeight="1" x14ac:dyDescent="0.25">
      <c r="A2835" t="str">
        <f>""</f>
        <v/>
      </c>
      <c r="B2835" s="1"/>
      <c r="H2835">
        <v>128.57</v>
      </c>
      <c r="L2835" s="1"/>
      <c r="N2835" s="1"/>
      <c r="V2835" t="str">
        <f>"77184"</f>
        <v>77184</v>
      </c>
      <c r="W2835">
        <v>0</v>
      </c>
      <c r="X2835">
        <v>0</v>
      </c>
    </row>
    <row r="2836" spans="1:24" ht="15" customHeight="1" x14ac:dyDescent="0.25">
      <c r="A2836" t="str">
        <f>""</f>
        <v/>
      </c>
      <c r="B2836" s="1"/>
      <c r="H2836">
        <v>145.07</v>
      </c>
      <c r="J2836" t="s">
        <v>20</v>
      </c>
      <c r="L2836" s="1"/>
      <c r="N2836" s="1"/>
      <c r="V2836" t="str">
        <f>"61340"</f>
        <v>61340</v>
      </c>
      <c r="W2836">
        <v>24.66</v>
      </c>
      <c r="X2836">
        <v>0</v>
      </c>
    </row>
    <row r="2837" spans="1:24" ht="15" customHeight="1" x14ac:dyDescent="0.25">
      <c r="A2837" t="str">
        <f>""</f>
        <v/>
      </c>
      <c r="B2837" s="1"/>
      <c r="H2837">
        <v>185.14</v>
      </c>
      <c r="J2837" t="s">
        <v>20</v>
      </c>
      <c r="L2837" s="1"/>
      <c r="N2837" s="1"/>
      <c r="V2837" t="str">
        <f>"59125"</f>
        <v>59125</v>
      </c>
      <c r="W2837">
        <v>35.18</v>
      </c>
      <c r="X2837">
        <v>0</v>
      </c>
    </row>
    <row r="2838" spans="1:24" ht="15" customHeight="1" x14ac:dyDescent="0.25">
      <c r="A2838" t="str">
        <f>""</f>
        <v/>
      </c>
      <c r="B2838" s="1"/>
      <c r="H2838">
        <v>210.09</v>
      </c>
      <c r="J2838" t="s">
        <v>19</v>
      </c>
      <c r="L2838" s="1"/>
      <c r="N2838" s="1"/>
      <c r="V2838" t="str">
        <f>"69005"</f>
        <v>69005</v>
      </c>
      <c r="W2838">
        <v>56.72</v>
      </c>
      <c r="X2838">
        <v>0</v>
      </c>
    </row>
    <row r="2839" spans="1:24" ht="15" customHeight="1" x14ac:dyDescent="0.25">
      <c r="A2839" t="str">
        <f>""</f>
        <v/>
      </c>
      <c r="B2839" s="1"/>
      <c r="H2839">
        <v>33.35</v>
      </c>
      <c r="J2839" t="s">
        <v>19</v>
      </c>
      <c r="L2839" s="1"/>
      <c r="N2839" s="1"/>
      <c r="V2839" t="str">
        <f>"69005"</f>
        <v>69005</v>
      </c>
      <c r="W2839">
        <v>9</v>
      </c>
      <c r="X2839">
        <v>0</v>
      </c>
    </row>
    <row r="2840" spans="1:24" ht="15" customHeight="1" x14ac:dyDescent="0.25">
      <c r="A2840" t="str">
        <f>""</f>
        <v/>
      </c>
      <c r="B2840" s="1"/>
      <c r="H2840">
        <v>55.36</v>
      </c>
      <c r="J2840" t="s">
        <v>20</v>
      </c>
      <c r="L2840" s="1"/>
      <c r="N2840" s="1"/>
      <c r="V2840" t="str">
        <f>"83300"</f>
        <v>83300</v>
      </c>
      <c r="W2840">
        <v>32.659999999999997</v>
      </c>
      <c r="X2840">
        <v>0</v>
      </c>
    </row>
    <row r="2841" spans="1:24" x14ac:dyDescent="0.25">
      <c r="A2841" t="str">
        <f>""</f>
        <v/>
      </c>
      <c r="B2841" s="1"/>
      <c r="H2841">
        <v>284</v>
      </c>
      <c r="J2841" t="s">
        <v>17</v>
      </c>
      <c r="L2841" s="1"/>
      <c r="N2841" s="1"/>
      <c r="V2841" t="str">
        <f>"94150"</f>
        <v>94150</v>
      </c>
      <c r="W2841">
        <v>0</v>
      </c>
      <c r="X2841">
        <v>0</v>
      </c>
    </row>
    <row r="2842" spans="1:24" ht="15" customHeight="1" x14ac:dyDescent="0.25">
      <c r="A2842" t="str">
        <f>""</f>
        <v/>
      </c>
      <c r="B2842" s="1"/>
      <c r="H2842">
        <v>71.819999999999993</v>
      </c>
      <c r="J2842" t="s">
        <v>23</v>
      </c>
      <c r="L2842" s="1"/>
      <c r="N2842" s="1"/>
      <c r="V2842" t="str">
        <f>"54710"</f>
        <v>54710</v>
      </c>
      <c r="W2842">
        <v>0</v>
      </c>
      <c r="X2842">
        <v>17.96</v>
      </c>
    </row>
    <row r="2843" spans="1:24" ht="15" customHeight="1" x14ac:dyDescent="0.25">
      <c r="A2843" t="str">
        <f>""</f>
        <v/>
      </c>
      <c r="B2843" s="1"/>
      <c r="H2843">
        <v>71.819999999999993</v>
      </c>
      <c r="J2843" t="s">
        <v>23</v>
      </c>
      <c r="L2843" s="1"/>
      <c r="N2843" s="1"/>
      <c r="V2843" t="str">
        <f>"70100"</f>
        <v>70100</v>
      </c>
      <c r="W2843">
        <v>0</v>
      </c>
      <c r="X2843">
        <v>8.6199999999999992</v>
      </c>
    </row>
    <row r="2844" spans="1:24" ht="15" customHeight="1" x14ac:dyDescent="0.25">
      <c r="A2844" t="str">
        <f>""</f>
        <v/>
      </c>
      <c r="B2844" s="1"/>
      <c r="H2844">
        <v>183.98</v>
      </c>
      <c r="J2844" t="s">
        <v>22</v>
      </c>
      <c r="L2844" s="1"/>
      <c r="N2844" s="1"/>
      <c r="V2844" t="str">
        <f>"80400"</f>
        <v>80400</v>
      </c>
      <c r="W2844">
        <v>0</v>
      </c>
      <c r="X2844">
        <v>34.96</v>
      </c>
    </row>
    <row r="2845" spans="1:24" ht="15" customHeight="1" x14ac:dyDescent="0.25">
      <c r="A2845" t="str">
        <f>""</f>
        <v/>
      </c>
      <c r="B2845" s="1"/>
      <c r="H2845">
        <v>150</v>
      </c>
      <c r="L2845" s="1"/>
      <c r="N2845" s="1"/>
      <c r="V2845" t="str">
        <f>"77184"</f>
        <v>77184</v>
      </c>
      <c r="W2845">
        <v>0</v>
      </c>
      <c r="X2845">
        <v>0</v>
      </c>
    </row>
    <row r="2846" spans="1:24" ht="15" customHeight="1" x14ac:dyDescent="0.25">
      <c r="A2846" t="str">
        <f>""</f>
        <v/>
      </c>
      <c r="B2846" s="1"/>
      <c r="H2846">
        <v>151</v>
      </c>
      <c r="J2846" t="s">
        <v>22</v>
      </c>
      <c r="L2846" s="1"/>
      <c r="N2846" s="1"/>
      <c r="V2846" t="str">
        <f>"75008"</f>
        <v>75008</v>
      </c>
      <c r="W2846">
        <v>0</v>
      </c>
      <c r="X2846">
        <v>0</v>
      </c>
    </row>
    <row r="2847" spans="1:24" ht="15" customHeight="1" x14ac:dyDescent="0.25">
      <c r="A2847" t="str">
        <f>""</f>
        <v/>
      </c>
      <c r="B2847" s="1"/>
      <c r="H2847">
        <v>19.8</v>
      </c>
      <c r="J2847" t="s">
        <v>20</v>
      </c>
      <c r="L2847" s="1"/>
      <c r="N2847" s="1"/>
      <c r="V2847" t="str">
        <f>"62800"</f>
        <v>62800</v>
      </c>
      <c r="W2847">
        <v>3.76</v>
      </c>
      <c r="X2847">
        <v>0</v>
      </c>
    </row>
    <row r="2848" spans="1:24" ht="15" customHeight="1" x14ac:dyDescent="0.25">
      <c r="A2848" t="str">
        <f>""</f>
        <v/>
      </c>
      <c r="B2848" s="1"/>
      <c r="H2848">
        <v>106.2</v>
      </c>
      <c r="J2848" t="s">
        <v>19</v>
      </c>
      <c r="L2848" s="1"/>
      <c r="N2848" s="1"/>
      <c r="V2848" t="str">
        <f>"84140"</f>
        <v>84140</v>
      </c>
      <c r="W2848">
        <v>30.8</v>
      </c>
      <c r="X2848">
        <v>0</v>
      </c>
    </row>
    <row r="2849" spans="1:24" ht="15" customHeight="1" x14ac:dyDescent="0.25">
      <c r="A2849" t="str">
        <f>""</f>
        <v/>
      </c>
      <c r="B2849" s="1"/>
      <c r="H2849">
        <v>18.350000000000001</v>
      </c>
      <c r="J2849" t="s">
        <v>20</v>
      </c>
      <c r="L2849" s="1"/>
      <c r="N2849" s="1"/>
      <c r="V2849" t="str">
        <f>"84140"</f>
        <v>84140</v>
      </c>
      <c r="W2849">
        <v>5.32</v>
      </c>
      <c r="X2849">
        <v>0</v>
      </c>
    </row>
    <row r="2850" spans="1:24" ht="15" customHeight="1" x14ac:dyDescent="0.25">
      <c r="A2850" t="str">
        <f>""</f>
        <v/>
      </c>
      <c r="B2850" s="1"/>
      <c r="H2850">
        <v>18.36</v>
      </c>
      <c r="J2850" t="s">
        <v>19</v>
      </c>
      <c r="L2850" s="1"/>
      <c r="N2850" s="1"/>
      <c r="V2850" t="str">
        <f>"54300"</f>
        <v>54300</v>
      </c>
      <c r="W2850">
        <v>4.59</v>
      </c>
      <c r="X2850">
        <v>0</v>
      </c>
    </row>
    <row r="2851" spans="1:24" ht="15" customHeight="1" x14ac:dyDescent="0.25">
      <c r="A2851" t="str">
        <f>""</f>
        <v/>
      </c>
      <c r="B2851" s="1"/>
      <c r="H2851">
        <v>18.36</v>
      </c>
      <c r="J2851" t="s">
        <v>19</v>
      </c>
      <c r="L2851" s="1"/>
      <c r="N2851" s="1"/>
      <c r="V2851" t="str">
        <f>"80450"</f>
        <v>80450</v>
      </c>
      <c r="W2851">
        <v>3.49</v>
      </c>
      <c r="X2851">
        <v>0</v>
      </c>
    </row>
    <row r="2852" spans="1:24" ht="15" customHeight="1" x14ac:dyDescent="0.25">
      <c r="A2852" t="str">
        <f>""</f>
        <v/>
      </c>
      <c r="B2852" s="1"/>
      <c r="H2852">
        <v>55.36</v>
      </c>
      <c r="J2852" t="s">
        <v>20</v>
      </c>
      <c r="L2852" s="1"/>
      <c r="N2852" s="1"/>
      <c r="V2852" t="str">
        <f>"76100"</f>
        <v>76100</v>
      </c>
      <c r="W2852">
        <v>9.41</v>
      </c>
      <c r="X2852">
        <v>0</v>
      </c>
    </row>
    <row r="2853" spans="1:24" ht="15" customHeight="1" x14ac:dyDescent="0.25">
      <c r="A2853" t="str">
        <f>""</f>
        <v/>
      </c>
      <c r="B2853" s="1"/>
      <c r="H2853">
        <v>2.5</v>
      </c>
      <c r="J2853" t="s">
        <v>20</v>
      </c>
      <c r="L2853" s="1"/>
      <c r="N2853" s="1"/>
      <c r="V2853" t="str">
        <f>"59230"</f>
        <v>59230</v>
      </c>
      <c r="W2853">
        <v>0.48</v>
      </c>
      <c r="X2853">
        <v>0</v>
      </c>
    </row>
    <row r="2854" spans="1:24" ht="15" customHeight="1" x14ac:dyDescent="0.25">
      <c r="A2854" t="str">
        <f>""</f>
        <v/>
      </c>
      <c r="B2854" s="1"/>
      <c r="H2854">
        <v>137.59</v>
      </c>
      <c r="J2854" t="s">
        <v>19</v>
      </c>
      <c r="L2854" s="1"/>
      <c r="N2854" s="1"/>
      <c r="V2854" t="str">
        <f>"75014"</f>
        <v>75014</v>
      </c>
      <c r="W2854">
        <v>0</v>
      </c>
      <c r="X2854">
        <v>0</v>
      </c>
    </row>
    <row r="2855" spans="1:24" ht="15" customHeight="1" x14ac:dyDescent="0.25">
      <c r="A2855" t="str">
        <f>""</f>
        <v/>
      </c>
      <c r="B2855" s="1"/>
      <c r="H2855">
        <v>180</v>
      </c>
      <c r="J2855" t="s">
        <v>19</v>
      </c>
      <c r="L2855" s="1"/>
      <c r="N2855" s="1"/>
      <c r="V2855" t="str">
        <f>"80480"</f>
        <v>80480</v>
      </c>
      <c r="W2855">
        <v>34.200000000000003</v>
      </c>
      <c r="X2855">
        <v>0</v>
      </c>
    </row>
    <row r="2856" spans="1:24" ht="15" customHeight="1" x14ac:dyDescent="0.25">
      <c r="A2856" t="str">
        <f>""</f>
        <v/>
      </c>
      <c r="B2856" s="1"/>
      <c r="H2856">
        <v>180</v>
      </c>
      <c r="J2856" t="s">
        <v>20</v>
      </c>
      <c r="L2856" s="1"/>
      <c r="N2856" s="1"/>
      <c r="V2856" t="str">
        <f>"74370"</f>
        <v>74370</v>
      </c>
      <c r="W2856">
        <v>48.6</v>
      </c>
      <c r="X2856">
        <v>0</v>
      </c>
    </row>
    <row r="2857" spans="1:24" x14ac:dyDescent="0.25">
      <c r="A2857" t="str">
        <f>""</f>
        <v/>
      </c>
      <c r="B2857" s="1"/>
      <c r="H2857">
        <v>134</v>
      </c>
      <c r="J2857" t="s">
        <v>16</v>
      </c>
      <c r="L2857" s="1"/>
      <c r="N2857" s="1"/>
      <c r="V2857" t="str">
        <f>"75014"</f>
        <v>75014</v>
      </c>
      <c r="W2857">
        <v>0</v>
      </c>
      <c r="X2857">
        <v>0</v>
      </c>
    </row>
    <row r="2858" spans="1:24" ht="15" customHeight="1" x14ac:dyDescent="0.25">
      <c r="A2858" t="str">
        <f>""</f>
        <v/>
      </c>
      <c r="B2858" s="1"/>
      <c r="H2858">
        <v>68.2</v>
      </c>
      <c r="L2858" s="1"/>
      <c r="N2858" s="1"/>
      <c r="V2858" t="str">
        <f>"77184"</f>
        <v>77184</v>
      </c>
      <c r="W2858">
        <v>0</v>
      </c>
      <c r="X2858">
        <v>0</v>
      </c>
    </row>
    <row r="2859" spans="1:24" ht="15" customHeight="1" x14ac:dyDescent="0.25">
      <c r="A2859" t="str">
        <f>""</f>
        <v/>
      </c>
      <c r="B2859" s="1"/>
      <c r="J2859" t="s">
        <v>8</v>
      </c>
      <c r="V2859" t="str">
        <f>""</f>
        <v/>
      </c>
      <c r="W2859">
        <v>0</v>
      </c>
      <c r="X2859">
        <v>0</v>
      </c>
    </row>
    <row r="2860" spans="1:24" ht="15" customHeight="1" x14ac:dyDescent="0.25">
      <c r="A2860" t="str">
        <f>""</f>
        <v/>
      </c>
      <c r="B2860" s="1"/>
      <c r="H2860">
        <v>25.8</v>
      </c>
      <c r="J2860" t="s">
        <v>23</v>
      </c>
      <c r="L2860" s="1"/>
      <c r="N2860" s="1"/>
      <c r="V2860" t="str">
        <f>"83430"</f>
        <v>83430</v>
      </c>
      <c r="W2860">
        <v>0</v>
      </c>
      <c r="X2860">
        <v>0</v>
      </c>
    </row>
    <row r="2861" spans="1:24" ht="15" customHeight="1" x14ac:dyDescent="0.25">
      <c r="A2861" t="str">
        <f>""</f>
        <v/>
      </c>
      <c r="B2861" s="1"/>
      <c r="H2861">
        <v>40</v>
      </c>
      <c r="J2861" t="s">
        <v>23</v>
      </c>
      <c r="L2861" s="1"/>
      <c r="N2861" s="1"/>
      <c r="V2861" t="str">
        <f>"69700"</f>
        <v>69700</v>
      </c>
      <c r="W2861">
        <v>0</v>
      </c>
      <c r="X2861">
        <v>0</v>
      </c>
    </row>
    <row r="2862" spans="1:24" ht="15" customHeight="1" x14ac:dyDescent="0.25">
      <c r="A2862" t="str">
        <f>""</f>
        <v/>
      </c>
      <c r="B2862" s="1"/>
      <c r="H2862">
        <v>29.89</v>
      </c>
      <c r="J2862" t="s">
        <v>22</v>
      </c>
      <c r="L2862" s="1"/>
      <c r="N2862" s="1"/>
      <c r="V2862" t="str">
        <f>"39500"</f>
        <v>39500</v>
      </c>
      <c r="W2862">
        <v>0</v>
      </c>
      <c r="X2862">
        <v>0</v>
      </c>
    </row>
    <row r="2863" spans="1:24" ht="15" customHeight="1" x14ac:dyDescent="0.25">
      <c r="A2863" t="str">
        <f>""</f>
        <v/>
      </c>
      <c r="B2863" s="1"/>
      <c r="H2863">
        <v>25</v>
      </c>
      <c r="J2863" t="s">
        <v>23</v>
      </c>
      <c r="L2863" s="1"/>
      <c r="V2863" t="str">
        <f>"39500"</f>
        <v>39500</v>
      </c>
      <c r="W2863">
        <v>0</v>
      </c>
      <c r="X2863">
        <v>0</v>
      </c>
    </row>
    <row r="2864" spans="1:24" ht="15" customHeight="1" x14ac:dyDescent="0.25">
      <c r="A2864" t="str">
        <f>""</f>
        <v/>
      </c>
      <c r="B2864" s="1"/>
      <c r="H2864">
        <v>70</v>
      </c>
      <c r="J2864" t="s">
        <v>23</v>
      </c>
      <c r="L2864" s="1"/>
      <c r="N2864" s="1"/>
      <c r="V2864" t="str">
        <f>"13014"</f>
        <v>13014</v>
      </c>
      <c r="W2864">
        <v>0</v>
      </c>
      <c r="X2864">
        <v>0</v>
      </c>
    </row>
    <row r="2865" spans="1:24" ht="15" customHeight="1" x14ac:dyDescent="0.25">
      <c r="A2865" t="str">
        <f>""</f>
        <v/>
      </c>
      <c r="B2865" s="1"/>
      <c r="H2865">
        <v>180</v>
      </c>
      <c r="J2865" t="s">
        <v>23</v>
      </c>
      <c r="L2865" s="1"/>
      <c r="N2865" s="1"/>
      <c r="V2865" t="str">
        <f>"14000"</f>
        <v>14000</v>
      </c>
      <c r="W2865">
        <v>0</v>
      </c>
      <c r="X2865">
        <v>30.6</v>
      </c>
    </row>
    <row r="2866" spans="1:24" ht="15" customHeight="1" x14ac:dyDescent="0.25">
      <c r="A2866" t="str">
        <f>""</f>
        <v/>
      </c>
      <c r="B2866" s="1"/>
      <c r="H2866">
        <v>184.02</v>
      </c>
      <c r="J2866" t="s">
        <v>22</v>
      </c>
      <c r="L2866" s="1"/>
      <c r="N2866" s="1"/>
      <c r="V2866" t="str">
        <f>"14000"</f>
        <v>14000</v>
      </c>
      <c r="W2866">
        <v>0</v>
      </c>
      <c r="X2866">
        <v>31.28</v>
      </c>
    </row>
    <row r="2867" spans="1:24" ht="15" customHeight="1" x14ac:dyDescent="0.25">
      <c r="A2867" t="str">
        <f>""</f>
        <v/>
      </c>
      <c r="B2867" s="1"/>
      <c r="H2867">
        <v>180</v>
      </c>
      <c r="J2867" t="s">
        <v>23</v>
      </c>
      <c r="L2867" s="1"/>
      <c r="N2867" s="1"/>
      <c r="V2867" t="str">
        <f>"14000"</f>
        <v>14000</v>
      </c>
      <c r="W2867">
        <v>0</v>
      </c>
      <c r="X2867">
        <v>30.6</v>
      </c>
    </row>
    <row r="2868" spans="1:24" ht="15" customHeight="1" x14ac:dyDescent="0.25">
      <c r="A2868" t="str">
        <f>""</f>
        <v/>
      </c>
      <c r="B2868" s="1"/>
      <c r="H2868">
        <v>42.65</v>
      </c>
      <c r="J2868" t="s">
        <v>21</v>
      </c>
      <c r="L2868" s="1"/>
      <c r="N2868" s="1"/>
      <c r="V2868" t="str">
        <f>"77184"</f>
        <v>77184</v>
      </c>
      <c r="W2868">
        <v>8.1</v>
      </c>
      <c r="X2868">
        <v>0</v>
      </c>
    </row>
    <row r="2869" spans="1:24" ht="15" customHeight="1" x14ac:dyDescent="0.25">
      <c r="A2869" t="str">
        <f>""</f>
        <v/>
      </c>
      <c r="B2869" s="1"/>
      <c r="H2869">
        <v>140</v>
      </c>
      <c r="J2869" t="s">
        <v>22</v>
      </c>
      <c r="L2869" s="1"/>
      <c r="N2869" s="1"/>
      <c r="V2869" t="str">
        <f>"38120"</f>
        <v>38120</v>
      </c>
      <c r="W2869">
        <v>0</v>
      </c>
      <c r="X2869">
        <v>0</v>
      </c>
    </row>
    <row r="2870" spans="1:24" ht="15" customHeight="1" x14ac:dyDescent="0.25">
      <c r="A2870" t="str">
        <f>""</f>
        <v/>
      </c>
      <c r="B2870" s="1"/>
      <c r="H2870">
        <v>40</v>
      </c>
      <c r="J2870" t="s">
        <v>20</v>
      </c>
      <c r="L2870" s="1"/>
      <c r="N2870" s="1"/>
      <c r="V2870" t="str">
        <f>"61250"</f>
        <v>61250</v>
      </c>
      <c r="W2870">
        <v>6.8</v>
      </c>
      <c r="X2870">
        <v>0</v>
      </c>
    </row>
    <row r="2871" spans="1:24" ht="15" customHeight="1" x14ac:dyDescent="0.25">
      <c r="A2871" t="str">
        <f>""</f>
        <v/>
      </c>
      <c r="B2871" s="1"/>
      <c r="H2871">
        <v>70</v>
      </c>
      <c r="J2871" t="s">
        <v>22</v>
      </c>
      <c r="L2871" s="1"/>
      <c r="V2871" t="str">
        <f>"71380"</f>
        <v>71380</v>
      </c>
      <c r="W2871">
        <v>0</v>
      </c>
      <c r="X2871">
        <v>0</v>
      </c>
    </row>
    <row r="2872" spans="1:24" ht="15" customHeight="1" x14ac:dyDescent="0.25">
      <c r="A2872" t="str">
        <f>""</f>
        <v/>
      </c>
      <c r="B2872" s="1"/>
      <c r="H2872">
        <v>70</v>
      </c>
      <c r="J2872" t="s">
        <v>23</v>
      </c>
      <c r="L2872" s="1"/>
      <c r="V2872" t="str">
        <f>"77380"</f>
        <v>77380</v>
      </c>
      <c r="W2872">
        <v>0</v>
      </c>
      <c r="X2872">
        <v>0</v>
      </c>
    </row>
    <row r="2873" spans="1:24" ht="15" customHeight="1" x14ac:dyDescent="0.25">
      <c r="A2873" t="str">
        <f>""</f>
        <v/>
      </c>
      <c r="B2873" s="1"/>
      <c r="H2873">
        <v>151</v>
      </c>
      <c r="J2873" t="s">
        <v>23</v>
      </c>
      <c r="L2873" s="1"/>
      <c r="V2873" t="str">
        <f>"69120"</f>
        <v>69120</v>
      </c>
      <c r="W2873">
        <v>0</v>
      </c>
      <c r="X2873">
        <v>0</v>
      </c>
    </row>
    <row r="2874" spans="1:24" ht="15" customHeight="1" x14ac:dyDescent="0.25">
      <c r="A2874" t="str">
        <f>""</f>
        <v/>
      </c>
      <c r="B2874" s="1"/>
      <c r="H2874">
        <v>173.64</v>
      </c>
      <c r="J2874" t="s">
        <v>20</v>
      </c>
      <c r="L2874" s="1"/>
      <c r="N2874" s="1"/>
      <c r="V2874" t="str">
        <f>"38400"</f>
        <v>38400</v>
      </c>
      <c r="W2874">
        <v>46.88</v>
      </c>
      <c r="X2874">
        <v>0</v>
      </c>
    </row>
    <row r="2875" spans="1:24" ht="15" customHeight="1" x14ac:dyDescent="0.25">
      <c r="A2875" t="str">
        <f>""</f>
        <v/>
      </c>
      <c r="B2875" s="1"/>
      <c r="H2875">
        <v>97.82</v>
      </c>
      <c r="J2875" t="s">
        <v>22</v>
      </c>
      <c r="L2875" s="1"/>
      <c r="N2875" s="1"/>
      <c r="V2875" t="str">
        <f>"63120"</f>
        <v>63120</v>
      </c>
      <c r="W2875">
        <v>0</v>
      </c>
      <c r="X2875">
        <v>11.74</v>
      </c>
    </row>
    <row r="2876" spans="1:24" ht="15" customHeight="1" x14ac:dyDescent="0.25">
      <c r="A2876" t="str">
        <f>""</f>
        <v/>
      </c>
      <c r="B2876" s="1"/>
      <c r="H2876">
        <v>40</v>
      </c>
      <c r="J2876" t="s">
        <v>23</v>
      </c>
      <c r="L2876" s="1"/>
      <c r="N2876" s="1"/>
      <c r="V2876" t="str">
        <f>"06000"</f>
        <v>06000</v>
      </c>
      <c r="W2876">
        <v>0</v>
      </c>
      <c r="X2876">
        <v>8.4</v>
      </c>
    </row>
    <row r="2877" spans="1:24" ht="15" customHeight="1" x14ac:dyDescent="0.25">
      <c r="A2877" t="str">
        <f>""</f>
        <v/>
      </c>
      <c r="B2877" s="1"/>
      <c r="H2877">
        <v>62.6</v>
      </c>
      <c r="J2877" t="s">
        <v>23</v>
      </c>
      <c r="L2877" s="1"/>
      <c r="N2877" s="1"/>
      <c r="V2877" t="str">
        <f>"16390"</f>
        <v>16390</v>
      </c>
      <c r="W2877">
        <v>0</v>
      </c>
      <c r="X2877">
        <v>10.64</v>
      </c>
    </row>
    <row r="2878" spans="1:24" ht="15" customHeight="1" x14ac:dyDescent="0.25">
      <c r="A2878" t="str">
        <f>""</f>
        <v/>
      </c>
      <c r="B2878" s="1"/>
      <c r="H2878">
        <v>151</v>
      </c>
      <c r="J2878" t="s">
        <v>22</v>
      </c>
      <c r="L2878" s="1"/>
      <c r="V2878" t="str">
        <f>"63450"</f>
        <v>63450</v>
      </c>
      <c r="W2878">
        <v>0</v>
      </c>
      <c r="X2878">
        <v>0</v>
      </c>
    </row>
    <row r="2879" spans="1:24" ht="15" customHeight="1" x14ac:dyDescent="0.25">
      <c r="A2879" t="str">
        <f>""</f>
        <v/>
      </c>
      <c r="B2879" s="1"/>
      <c r="H2879">
        <v>157.55000000000001</v>
      </c>
      <c r="J2879" t="s">
        <v>22</v>
      </c>
      <c r="L2879" s="1"/>
      <c r="N2879" s="1"/>
      <c r="V2879" t="str">
        <f>"13003"</f>
        <v>13003</v>
      </c>
      <c r="W2879">
        <v>0</v>
      </c>
      <c r="X2879">
        <v>29.93</v>
      </c>
    </row>
    <row r="2880" spans="1:24" ht="15" customHeight="1" x14ac:dyDescent="0.25">
      <c r="A2880" t="str">
        <f>""</f>
        <v/>
      </c>
      <c r="B2880" s="1"/>
      <c r="H2880">
        <v>71.23</v>
      </c>
      <c r="J2880" t="s">
        <v>22</v>
      </c>
      <c r="L2880" s="1"/>
      <c r="N2880" s="1"/>
      <c r="V2880" t="str">
        <f>"80100"</f>
        <v>80100</v>
      </c>
      <c r="W2880">
        <v>0</v>
      </c>
      <c r="X2880">
        <v>0</v>
      </c>
    </row>
    <row r="2881" spans="1:24" ht="15" customHeight="1" x14ac:dyDescent="0.25">
      <c r="A2881" t="str">
        <f>""</f>
        <v/>
      </c>
      <c r="B2881" s="1"/>
      <c r="H2881">
        <v>213.98</v>
      </c>
      <c r="J2881" t="s">
        <v>22</v>
      </c>
      <c r="L2881" s="1"/>
      <c r="N2881" s="1"/>
      <c r="V2881" t="str">
        <f>"54000"</f>
        <v>54000</v>
      </c>
      <c r="W2881">
        <v>0</v>
      </c>
      <c r="X2881">
        <v>53.5</v>
      </c>
    </row>
    <row r="2882" spans="1:24" ht="15" customHeight="1" x14ac:dyDescent="0.25">
      <c r="A2882" t="str">
        <f>""</f>
        <v/>
      </c>
      <c r="B2882" s="1"/>
      <c r="H2882">
        <v>38.54</v>
      </c>
      <c r="J2882" t="s">
        <v>22</v>
      </c>
      <c r="L2882" s="1"/>
      <c r="N2882" s="1"/>
      <c r="V2882" t="str">
        <f>"98000"</f>
        <v>98000</v>
      </c>
      <c r="W2882">
        <v>0</v>
      </c>
      <c r="X2882">
        <v>0</v>
      </c>
    </row>
    <row r="2883" spans="1:24" ht="15" customHeight="1" x14ac:dyDescent="0.25">
      <c r="A2883" t="str">
        <f>""</f>
        <v/>
      </c>
      <c r="B2883" s="1"/>
      <c r="H2883">
        <v>32.6</v>
      </c>
      <c r="J2883" t="s">
        <v>22</v>
      </c>
      <c r="L2883" s="1"/>
      <c r="N2883" s="1"/>
      <c r="V2883" t="str">
        <f>"54000"</f>
        <v>54000</v>
      </c>
      <c r="W2883">
        <v>0</v>
      </c>
      <c r="X2883">
        <v>8.15</v>
      </c>
    </row>
    <row r="2884" spans="1:24" ht="15" customHeight="1" x14ac:dyDescent="0.25">
      <c r="A2884" t="str">
        <f>""</f>
        <v/>
      </c>
      <c r="B2884" s="1"/>
      <c r="H2884">
        <v>40.4</v>
      </c>
      <c r="J2884" t="s">
        <v>22</v>
      </c>
      <c r="L2884" s="1"/>
      <c r="N2884" s="1"/>
      <c r="V2884" t="str">
        <f>"70000"</f>
        <v>70000</v>
      </c>
      <c r="W2884">
        <v>0</v>
      </c>
      <c r="X2884">
        <v>4.8499999999999996</v>
      </c>
    </row>
    <row r="2885" spans="1:24" ht="15" customHeight="1" x14ac:dyDescent="0.25">
      <c r="A2885" t="str">
        <f>""</f>
        <v/>
      </c>
      <c r="B2885" s="1"/>
      <c r="H2885">
        <v>50.84</v>
      </c>
      <c r="J2885" t="s">
        <v>19</v>
      </c>
      <c r="L2885" s="1"/>
      <c r="N2885" s="1"/>
      <c r="V2885" t="str">
        <f>"92000"</f>
        <v>92000</v>
      </c>
      <c r="W2885">
        <v>0</v>
      </c>
      <c r="X2885">
        <v>0</v>
      </c>
    </row>
    <row r="2886" spans="1:24" ht="15" customHeight="1" x14ac:dyDescent="0.25">
      <c r="A2886" t="str">
        <f>""</f>
        <v/>
      </c>
      <c r="B2886" s="1"/>
      <c r="H2886">
        <v>50.84</v>
      </c>
      <c r="J2886" t="s">
        <v>19</v>
      </c>
      <c r="L2886" s="1"/>
      <c r="N2886" s="1"/>
      <c r="V2886" t="str">
        <f>"92000"</f>
        <v>92000</v>
      </c>
      <c r="W2886">
        <v>0</v>
      </c>
      <c r="X2886">
        <v>0</v>
      </c>
    </row>
    <row r="2887" spans="1:24" ht="15" customHeight="1" x14ac:dyDescent="0.25">
      <c r="A2887" t="str">
        <f>""</f>
        <v/>
      </c>
      <c r="B2887" s="1"/>
      <c r="H2887">
        <v>50.84</v>
      </c>
      <c r="J2887" t="s">
        <v>19</v>
      </c>
      <c r="L2887" s="1"/>
      <c r="N2887" s="1"/>
      <c r="V2887" t="str">
        <f>"92000"</f>
        <v>92000</v>
      </c>
      <c r="W2887">
        <v>0</v>
      </c>
      <c r="X2887">
        <v>0</v>
      </c>
    </row>
    <row r="2888" spans="1:24" ht="15" customHeight="1" x14ac:dyDescent="0.25">
      <c r="A2888" t="str">
        <f>""</f>
        <v/>
      </c>
      <c r="B2888" s="1"/>
      <c r="H2888">
        <v>40</v>
      </c>
      <c r="J2888" t="s">
        <v>22</v>
      </c>
      <c r="L2888" s="1"/>
      <c r="N2888" s="1"/>
      <c r="V2888" t="str">
        <f>"37540"</f>
        <v>37540</v>
      </c>
      <c r="W2888">
        <v>0</v>
      </c>
      <c r="X2888">
        <v>0</v>
      </c>
    </row>
    <row r="2889" spans="1:24" ht="15" customHeight="1" x14ac:dyDescent="0.25">
      <c r="A2889" t="str">
        <f>""</f>
        <v/>
      </c>
      <c r="B2889" s="1"/>
      <c r="H2889">
        <v>50.84</v>
      </c>
      <c r="J2889" t="s">
        <v>19</v>
      </c>
      <c r="L2889" s="1"/>
      <c r="N2889" s="1"/>
      <c r="V2889" t="str">
        <f>"92000"</f>
        <v>92000</v>
      </c>
      <c r="W2889">
        <v>0</v>
      </c>
      <c r="X2889">
        <v>0</v>
      </c>
    </row>
    <row r="2890" spans="1:24" ht="15" customHeight="1" x14ac:dyDescent="0.25">
      <c r="A2890" t="str">
        <f>""</f>
        <v/>
      </c>
      <c r="B2890" s="1"/>
      <c r="H2890">
        <v>50.84</v>
      </c>
      <c r="J2890" t="s">
        <v>19</v>
      </c>
      <c r="L2890" s="1"/>
      <c r="N2890" s="1"/>
      <c r="V2890" t="str">
        <f>"92000"</f>
        <v>92000</v>
      </c>
      <c r="W2890">
        <v>0</v>
      </c>
      <c r="X2890">
        <v>0</v>
      </c>
    </row>
    <row r="2891" spans="1:24" x14ac:dyDescent="0.25">
      <c r="A2891" t="str">
        <f>""</f>
        <v/>
      </c>
      <c r="B2891" s="1"/>
      <c r="H2891">
        <v>52.5</v>
      </c>
      <c r="J2891" t="s">
        <v>15</v>
      </c>
      <c r="L2891" s="1"/>
      <c r="N2891" s="1"/>
      <c r="V2891" t="str">
        <f>"38100"</f>
        <v>38100</v>
      </c>
      <c r="W2891">
        <v>14.18</v>
      </c>
      <c r="X2891">
        <v>0</v>
      </c>
    </row>
    <row r="2892" spans="1:24" x14ac:dyDescent="0.25">
      <c r="A2892" t="str">
        <f>""</f>
        <v/>
      </c>
      <c r="B2892" s="1"/>
      <c r="H2892">
        <v>52.5</v>
      </c>
      <c r="J2892" t="s">
        <v>15</v>
      </c>
      <c r="L2892" s="1"/>
      <c r="N2892" s="1"/>
      <c r="V2892" t="str">
        <f>"59000"</f>
        <v>59000</v>
      </c>
      <c r="W2892">
        <v>0</v>
      </c>
      <c r="X2892">
        <v>0</v>
      </c>
    </row>
    <row r="2893" spans="1:24" x14ac:dyDescent="0.25">
      <c r="A2893" t="str">
        <f>""</f>
        <v/>
      </c>
      <c r="B2893" s="1"/>
      <c r="H2893">
        <v>52.5</v>
      </c>
      <c r="J2893" t="s">
        <v>15</v>
      </c>
      <c r="L2893" s="1"/>
      <c r="N2893" s="1"/>
      <c r="V2893" t="str">
        <f>"69003"</f>
        <v>69003</v>
      </c>
      <c r="W2893">
        <v>0</v>
      </c>
      <c r="X2893">
        <v>0</v>
      </c>
    </row>
    <row r="2894" spans="1:24" x14ac:dyDescent="0.25">
      <c r="A2894" t="str">
        <f>""</f>
        <v/>
      </c>
      <c r="B2894" s="1"/>
      <c r="H2894">
        <v>52.5</v>
      </c>
      <c r="J2894" t="s">
        <v>15</v>
      </c>
      <c r="L2894" s="1"/>
      <c r="N2894" s="1"/>
      <c r="V2894" t="str">
        <f>"59600"</f>
        <v>59600</v>
      </c>
      <c r="W2894">
        <v>0</v>
      </c>
      <c r="X2894">
        <v>0</v>
      </c>
    </row>
    <row r="2895" spans="1:24" x14ac:dyDescent="0.25">
      <c r="A2895" t="str">
        <f>""</f>
        <v/>
      </c>
      <c r="B2895" s="1"/>
      <c r="H2895">
        <v>52.5</v>
      </c>
      <c r="J2895" t="s">
        <v>15</v>
      </c>
      <c r="L2895" s="1"/>
      <c r="N2895" s="1"/>
      <c r="V2895" t="str">
        <f>"93000"</f>
        <v>93000</v>
      </c>
      <c r="W2895">
        <v>0</v>
      </c>
      <c r="X2895">
        <v>0</v>
      </c>
    </row>
    <row r="2896" spans="1:24" ht="15" customHeight="1" x14ac:dyDescent="0.25">
      <c r="A2896" t="str">
        <f>""</f>
        <v/>
      </c>
      <c r="B2896" s="1"/>
      <c r="H2896">
        <v>140</v>
      </c>
      <c r="J2896" t="s">
        <v>23</v>
      </c>
      <c r="L2896" s="1"/>
      <c r="N2896" s="1"/>
      <c r="V2896" t="str">
        <f>"54300"</f>
        <v>54300</v>
      </c>
      <c r="W2896">
        <v>0</v>
      </c>
      <c r="X2896">
        <v>35</v>
      </c>
    </row>
    <row r="2897" spans="1:24" ht="15" customHeight="1" x14ac:dyDescent="0.25">
      <c r="A2897" t="str">
        <f>""</f>
        <v/>
      </c>
      <c r="B2897" s="1"/>
      <c r="H2897">
        <v>140</v>
      </c>
      <c r="J2897" t="s">
        <v>23</v>
      </c>
      <c r="L2897" s="1"/>
      <c r="N2897" s="1"/>
      <c r="V2897" t="str">
        <f>"13009"</f>
        <v>13009</v>
      </c>
      <c r="W2897">
        <v>0</v>
      </c>
      <c r="X2897">
        <v>0</v>
      </c>
    </row>
    <row r="2898" spans="1:24" ht="15" customHeight="1" x14ac:dyDescent="0.25">
      <c r="A2898" t="str">
        <f>""</f>
        <v/>
      </c>
      <c r="B2898" s="1"/>
      <c r="H2898">
        <v>50.84</v>
      </c>
      <c r="J2898" t="s">
        <v>19</v>
      </c>
      <c r="L2898" s="1"/>
      <c r="N2898" s="1"/>
      <c r="V2898" t="str">
        <f>"92000"</f>
        <v>92000</v>
      </c>
      <c r="W2898">
        <v>0</v>
      </c>
      <c r="X2898">
        <v>0</v>
      </c>
    </row>
    <row r="2899" spans="1:24" ht="15" customHeight="1" x14ac:dyDescent="0.25">
      <c r="A2899" t="str">
        <f>""</f>
        <v/>
      </c>
      <c r="B2899" s="1"/>
      <c r="H2899">
        <v>50.84</v>
      </c>
      <c r="J2899" t="s">
        <v>19</v>
      </c>
      <c r="L2899" s="1"/>
      <c r="N2899" s="1"/>
      <c r="V2899" t="str">
        <f>"92000"</f>
        <v>92000</v>
      </c>
      <c r="W2899">
        <v>0</v>
      </c>
      <c r="X2899">
        <v>0</v>
      </c>
    </row>
    <row r="2900" spans="1:24" ht="15" customHeight="1" x14ac:dyDescent="0.25">
      <c r="A2900" t="str">
        <f>""</f>
        <v/>
      </c>
      <c r="B2900" s="1"/>
      <c r="H2900">
        <v>135.28</v>
      </c>
      <c r="J2900" t="s">
        <v>22</v>
      </c>
      <c r="L2900" s="1"/>
      <c r="N2900" s="1"/>
      <c r="V2900" t="str">
        <f>"93290"</f>
        <v>93290</v>
      </c>
      <c r="W2900">
        <v>0</v>
      </c>
      <c r="X2900">
        <v>0</v>
      </c>
    </row>
    <row r="2901" spans="1:24" ht="15" customHeight="1" x14ac:dyDescent="0.25">
      <c r="A2901" t="str">
        <f>""</f>
        <v/>
      </c>
      <c r="B2901" s="1"/>
      <c r="H2901">
        <v>173.25</v>
      </c>
      <c r="J2901" t="s">
        <v>20</v>
      </c>
      <c r="L2901" s="1"/>
      <c r="N2901" s="1"/>
      <c r="V2901" t="str">
        <f>"35131"</f>
        <v>35131</v>
      </c>
      <c r="W2901">
        <v>46.78</v>
      </c>
      <c r="X2901">
        <v>0</v>
      </c>
    </row>
    <row r="2902" spans="1:24" ht="15" customHeight="1" x14ac:dyDescent="0.25">
      <c r="A2902" t="str">
        <f>""</f>
        <v/>
      </c>
      <c r="B2902" s="1"/>
      <c r="H2902">
        <v>19.649999999999999</v>
      </c>
      <c r="J2902" t="s">
        <v>19</v>
      </c>
      <c r="L2902" s="1"/>
      <c r="N2902" s="1"/>
      <c r="V2902" t="str">
        <f>"38110"</f>
        <v>38110</v>
      </c>
      <c r="W2902">
        <v>5.31</v>
      </c>
      <c r="X2902">
        <v>0</v>
      </c>
    </row>
    <row r="2903" spans="1:24" x14ac:dyDescent="0.25">
      <c r="A2903" t="str">
        <f>""</f>
        <v/>
      </c>
      <c r="B2903" s="1"/>
      <c r="H2903">
        <v>23.4</v>
      </c>
      <c r="J2903" t="s">
        <v>17</v>
      </c>
      <c r="L2903" s="1"/>
      <c r="N2903" s="1"/>
      <c r="V2903" t="str">
        <f>"38230"</f>
        <v>38230</v>
      </c>
      <c r="W2903">
        <v>0</v>
      </c>
      <c r="X2903">
        <v>0</v>
      </c>
    </row>
    <row r="2904" spans="1:24" x14ac:dyDescent="0.25">
      <c r="A2904" t="str">
        <f>""</f>
        <v/>
      </c>
      <c r="B2904" s="1"/>
      <c r="H2904">
        <v>23.4</v>
      </c>
      <c r="J2904" t="s">
        <v>15</v>
      </c>
      <c r="L2904" s="1"/>
      <c r="N2904" s="1"/>
      <c r="V2904" t="str">
        <f>"07800"</f>
        <v>07800</v>
      </c>
      <c r="W2904">
        <v>0</v>
      </c>
      <c r="X2904">
        <v>0</v>
      </c>
    </row>
    <row r="2905" spans="1:24" ht="15" customHeight="1" x14ac:dyDescent="0.25">
      <c r="A2905" t="str">
        <f>""</f>
        <v/>
      </c>
      <c r="B2905" s="1"/>
      <c r="H2905">
        <v>20</v>
      </c>
      <c r="L2905" s="1"/>
      <c r="N2905" s="1"/>
      <c r="V2905" t="str">
        <f>"77184"</f>
        <v>77184</v>
      </c>
      <c r="W2905">
        <v>0</v>
      </c>
      <c r="X2905">
        <v>0</v>
      </c>
    </row>
    <row r="2906" spans="1:24" ht="15" customHeight="1" x14ac:dyDescent="0.25">
      <c r="A2906" t="str">
        <f>""</f>
        <v/>
      </c>
      <c r="B2906" s="1"/>
      <c r="H2906">
        <v>371.73</v>
      </c>
      <c r="J2906" t="s">
        <v>20</v>
      </c>
      <c r="L2906" s="1"/>
      <c r="N2906" s="1"/>
      <c r="V2906" t="str">
        <f>"50303"</f>
        <v>50303</v>
      </c>
      <c r="W2906">
        <v>63.19</v>
      </c>
      <c r="X2906">
        <v>0</v>
      </c>
    </row>
    <row r="2907" spans="1:24" ht="15" customHeight="1" x14ac:dyDescent="0.25">
      <c r="A2907" t="str">
        <f>""</f>
        <v/>
      </c>
      <c r="B2907" s="1"/>
      <c r="H2907">
        <v>198.89</v>
      </c>
      <c r="J2907" t="s">
        <v>22</v>
      </c>
      <c r="L2907" s="1"/>
      <c r="N2907" s="1"/>
      <c r="V2907" t="str">
        <f>"01000"</f>
        <v>01000</v>
      </c>
      <c r="W2907">
        <v>0</v>
      </c>
      <c r="X2907">
        <v>0</v>
      </c>
    </row>
    <row r="2908" spans="1:24" ht="15" customHeight="1" x14ac:dyDescent="0.25">
      <c r="A2908" t="str">
        <f>""</f>
        <v/>
      </c>
      <c r="B2908" s="1"/>
      <c r="H2908">
        <v>180</v>
      </c>
      <c r="J2908" t="s">
        <v>22</v>
      </c>
      <c r="L2908" s="1"/>
      <c r="N2908" s="1"/>
      <c r="V2908" t="str">
        <f>"26000"</f>
        <v>26000</v>
      </c>
      <c r="W2908">
        <v>0</v>
      </c>
      <c r="X2908">
        <v>0</v>
      </c>
    </row>
    <row r="2909" spans="1:24" ht="15" customHeight="1" x14ac:dyDescent="0.25">
      <c r="A2909" t="str">
        <f>""</f>
        <v/>
      </c>
      <c r="B2909" s="1"/>
      <c r="H2909">
        <v>126.65</v>
      </c>
      <c r="J2909" t="s">
        <v>19</v>
      </c>
      <c r="L2909" s="1"/>
      <c r="N2909" s="1"/>
      <c r="V2909" t="str">
        <f>"16340"</f>
        <v>16340</v>
      </c>
      <c r="W2909">
        <v>26.6</v>
      </c>
      <c r="X2909">
        <v>0</v>
      </c>
    </row>
    <row r="2910" spans="1:24" ht="15" customHeight="1" x14ac:dyDescent="0.25">
      <c r="A2910" t="str">
        <f>""</f>
        <v/>
      </c>
      <c r="B2910" s="1"/>
      <c r="H2910">
        <v>55.16</v>
      </c>
      <c r="J2910" t="s">
        <v>19</v>
      </c>
      <c r="L2910" s="1"/>
      <c r="N2910" s="1"/>
      <c r="V2910" t="str">
        <f>"14200"</f>
        <v>14200</v>
      </c>
      <c r="W2910">
        <v>9.3800000000000008</v>
      </c>
      <c r="X2910">
        <v>0</v>
      </c>
    </row>
    <row r="2911" spans="1:24" ht="15" customHeight="1" x14ac:dyDescent="0.25">
      <c r="A2911" t="str">
        <f>""</f>
        <v/>
      </c>
      <c r="B2911" s="1"/>
      <c r="H2911">
        <v>73</v>
      </c>
      <c r="J2911" t="s">
        <v>19</v>
      </c>
      <c r="L2911" s="1"/>
      <c r="N2911" s="1"/>
      <c r="V2911" t="str">
        <f>"13790"</f>
        <v>13790</v>
      </c>
      <c r="W2911">
        <v>37.229999999999997</v>
      </c>
      <c r="X2911">
        <v>0</v>
      </c>
    </row>
    <row r="2912" spans="1:24" ht="15" customHeight="1" x14ac:dyDescent="0.25">
      <c r="A2912" t="str">
        <f>""</f>
        <v/>
      </c>
      <c r="B2912" s="1"/>
      <c r="H2912">
        <v>140</v>
      </c>
      <c r="J2912" t="s">
        <v>23</v>
      </c>
      <c r="L2912" s="1"/>
      <c r="N2912" s="1"/>
      <c r="V2912" t="str">
        <f>"90000"</f>
        <v>90000</v>
      </c>
      <c r="W2912">
        <v>0</v>
      </c>
      <c r="X2912">
        <v>11.2</v>
      </c>
    </row>
    <row r="2913" spans="1:24" ht="15" customHeight="1" x14ac:dyDescent="0.25">
      <c r="A2913" t="str">
        <f>""</f>
        <v/>
      </c>
      <c r="B2913" s="1"/>
      <c r="H2913">
        <v>22.8</v>
      </c>
      <c r="J2913" t="s">
        <v>22</v>
      </c>
      <c r="L2913" s="1"/>
      <c r="N2913" s="1"/>
      <c r="V2913" t="str">
        <f>"39400"</f>
        <v>39400</v>
      </c>
      <c r="W2913">
        <v>0</v>
      </c>
      <c r="X2913">
        <v>0</v>
      </c>
    </row>
    <row r="2914" spans="1:24" ht="15" customHeight="1" x14ac:dyDescent="0.25">
      <c r="A2914" t="str">
        <f>""</f>
        <v/>
      </c>
      <c r="B2914" s="1"/>
      <c r="H2914">
        <v>290.27</v>
      </c>
      <c r="J2914" t="s">
        <v>23</v>
      </c>
      <c r="L2914" s="1"/>
      <c r="N2914" s="1"/>
      <c r="V2914" t="str">
        <f>"76600"</f>
        <v>76600</v>
      </c>
      <c r="W2914">
        <v>0</v>
      </c>
      <c r="X2914">
        <v>0</v>
      </c>
    </row>
    <row r="2915" spans="1:24" ht="15" customHeight="1" x14ac:dyDescent="0.25">
      <c r="A2915" t="str">
        <f>""</f>
        <v/>
      </c>
      <c r="B2915" s="1"/>
      <c r="H2915">
        <v>151</v>
      </c>
      <c r="J2915" t="s">
        <v>22</v>
      </c>
      <c r="L2915" s="1"/>
      <c r="N2915" s="1"/>
      <c r="V2915" t="str">
        <f>"06560"</f>
        <v>06560</v>
      </c>
      <c r="W2915">
        <v>0</v>
      </c>
      <c r="X2915">
        <v>0</v>
      </c>
    </row>
    <row r="2916" spans="1:24" ht="15" customHeight="1" x14ac:dyDescent="0.25">
      <c r="A2916" t="str">
        <f>""</f>
        <v/>
      </c>
      <c r="B2916" s="1"/>
      <c r="H2916">
        <v>151</v>
      </c>
      <c r="J2916" t="s">
        <v>22</v>
      </c>
      <c r="L2916" s="1"/>
      <c r="N2916" s="1"/>
      <c r="V2916" t="str">
        <f>"06560"</f>
        <v>06560</v>
      </c>
      <c r="W2916">
        <v>0</v>
      </c>
      <c r="X2916">
        <v>0</v>
      </c>
    </row>
    <row r="2917" spans="1:24" ht="15" customHeight="1" x14ac:dyDescent="0.25">
      <c r="A2917" t="str">
        <f>""</f>
        <v/>
      </c>
      <c r="B2917" s="1"/>
      <c r="H2917">
        <v>151</v>
      </c>
      <c r="J2917" t="s">
        <v>22</v>
      </c>
      <c r="L2917" s="1"/>
      <c r="N2917" s="1"/>
      <c r="V2917" t="str">
        <f>"06560"</f>
        <v>06560</v>
      </c>
      <c r="W2917">
        <v>0</v>
      </c>
      <c r="X2917">
        <v>0</v>
      </c>
    </row>
    <row r="2918" spans="1:24" ht="15" customHeight="1" x14ac:dyDescent="0.25">
      <c r="A2918" t="str">
        <f>""</f>
        <v/>
      </c>
      <c r="B2918" s="1"/>
      <c r="H2918">
        <v>151</v>
      </c>
      <c r="J2918" t="s">
        <v>22</v>
      </c>
      <c r="L2918" s="1"/>
      <c r="N2918" s="1"/>
      <c r="V2918" t="str">
        <f>"06560"</f>
        <v>06560</v>
      </c>
      <c r="W2918">
        <v>0</v>
      </c>
      <c r="X2918">
        <v>0</v>
      </c>
    </row>
    <row r="2919" spans="1:24" ht="15" customHeight="1" x14ac:dyDescent="0.25">
      <c r="A2919" t="str">
        <f>""</f>
        <v/>
      </c>
      <c r="B2919" s="1"/>
      <c r="H2919">
        <v>90.1</v>
      </c>
      <c r="J2919" t="s">
        <v>23</v>
      </c>
      <c r="L2919" s="1"/>
      <c r="N2919" s="1"/>
      <c r="V2919" t="str">
        <f>"06800"</f>
        <v>06800</v>
      </c>
      <c r="W2919">
        <v>0</v>
      </c>
      <c r="X2919">
        <v>18.920000000000002</v>
      </c>
    </row>
    <row r="2920" spans="1:24" ht="15" customHeight="1" x14ac:dyDescent="0.25">
      <c r="A2920" t="str">
        <f>""</f>
        <v/>
      </c>
      <c r="B2920" s="1"/>
      <c r="H2920">
        <v>49.08</v>
      </c>
      <c r="J2920" t="s">
        <v>19</v>
      </c>
      <c r="L2920" s="1"/>
      <c r="N2920" s="1"/>
      <c r="V2920" t="str">
        <f>"22600"</f>
        <v>22600</v>
      </c>
      <c r="W2920">
        <v>19.14</v>
      </c>
      <c r="X2920">
        <v>0</v>
      </c>
    </row>
    <row r="2921" spans="1:24" ht="15" customHeight="1" x14ac:dyDescent="0.25">
      <c r="A2921" t="str">
        <f>""</f>
        <v/>
      </c>
      <c r="B2921" s="1"/>
      <c r="H2921">
        <v>55.14</v>
      </c>
      <c r="J2921" t="s">
        <v>20</v>
      </c>
      <c r="L2921" s="1"/>
      <c r="N2921" s="1"/>
      <c r="V2921" t="str">
        <f>"06130"</f>
        <v>06130</v>
      </c>
      <c r="W2921">
        <v>16.54</v>
      </c>
      <c r="X2921">
        <v>0</v>
      </c>
    </row>
    <row r="2922" spans="1:24" ht="15" customHeight="1" x14ac:dyDescent="0.25">
      <c r="A2922" t="str">
        <f>""</f>
        <v/>
      </c>
      <c r="B2922" s="1"/>
      <c r="H2922">
        <v>160.97999999999999</v>
      </c>
      <c r="J2922" t="s">
        <v>22</v>
      </c>
      <c r="L2922" s="1"/>
      <c r="N2922" s="1"/>
      <c r="V2922" t="str">
        <f>"30750"</f>
        <v>30750</v>
      </c>
      <c r="W2922">
        <v>0</v>
      </c>
      <c r="X2922">
        <v>45.07</v>
      </c>
    </row>
    <row r="2923" spans="1:24" ht="15" customHeight="1" x14ac:dyDescent="0.25">
      <c r="A2923" t="str">
        <f>""</f>
        <v/>
      </c>
      <c r="B2923" s="1"/>
      <c r="H2923">
        <v>30</v>
      </c>
      <c r="J2923" t="s">
        <v>23</v>
      </c>
      <c r="L2923" s="1"/>
      <c r="N2923" s="1"/>
      <c r="V2923" t="str">
        <f>"94853"</f>
        <v>94853</v>
      </c>
      <c r="W2923">
        <v>0</v>
      </c>
      <c r="X2923">
        <v>0</v>
      </c>
    </row>
    <row r="2924" spans="1:24" ht="15" customHeight="1" x14ac:dyDescent="0.25">
      <c r="A2924" t="str">
        <f>""</f>
        <v/>
      </c>
      <c r="B2924" s="1"/>
      <c r="H2924">
        <v>129.06</v>
      </c>
      <c r="L2924" s="1"/>
      <c r="N2924" s="1"/>
      <c r="V2924" t="str">
        <f>"77184"</f>
        <v>77184</v>
      </c>
      <c r="W2924">
        <v>0</v>
      </c>
      <c r="X2924">
        <v>0</v>
      </c>
    </row>
    <row r="2925" spans="1:24" ht="15" customHeight="1" x14ac:dyDescent="0.25">
      <c r="A2925" t="str">
        <f>""</f>
        <v/>
      </c>
      <c r="B2925" s="1"/>
      <c r="H2925">
        <v>201.98</v>
      </c>
      <c r="J2925" t="s">
        <v>23</v>
      </c>
      <c r="L2925" s="1"/>
      <c r="N2925" s="1"/>
      <c r="V2925" t="str">
        <f>"75003"</f>
        <v>75003</v>
      </c>
      <c r="W2925">
        <v>0</v>
      </c>
      <c r="X2925">
        <v>0</v>
      </c>
    </row>
    <row r="2926" spans="1:24" x14ac:dyDescent="0.25">
      <c r="A2926" t="str">
        <f>""</f>
        <v/>
      </c>
      <c r="B2926" s="1"/>
      <c r="H2926">
        <v>114.52</v>
      </c>
      <c r="J2926" t="s">
        <v>15</v>
      </c>
      <c r="L2926" s="1"/>
      <c r="N2926" s="1"/>
      <c r="V2926" t="str">
        <f>"63100"</f>
        <v>63100</v>
      </c>
      <c r="W2926">
        <v>0</v>
      </c>
      <c r="X2926">
        <v>0</v>
      </c>
    </row>
    <row r="2927" spans="1:24" ht="15" customHeight="1" x14ac:dyDescent="0.25">
      <c r="A2927" t="str">
        <f>""</f>
        <v/>
      </c>
      <c r="B2927" s="1"/>
      <c r="H2927">
        <v>137.05000000000001</v>
      </c>
      <c r="J2927" t="s">
        <v>22</v>
      </c>
      <c r="L2927" s="1"/>
      <c r="N2927" s="1"/>
      <c r="V2927" t="str">
        <f>"13115"</f>
        <v>13115</v>
      </c>
      <c r="W2927">
        <v>0</v>
      </c>
      <c r="X2927">
        <v>26.04</v>
      </c>
    </row>
    <row r="2928" spans="1:24" ht="15" customHeight="1" x14ac:dyDescent="0.25">
      <c r="A2928" t="str">
        <f>""</f>
        <v/>
      </c>
      <c r="B2928" s="1"/>
      <c r="H2928">
        <v>137.05000000000001</v>
      </c>
      <c r="J2928" t="s">
        <v>22</v>
      </c>
      <c r="L2928" s="1"/>
      <c r="N2928" s="1"/>
      <c r="V2928" t="str">
        <f>"13115"</f>
        <v>13115</v>
      </c>
      <c r="W2928">
        <v>0</v>
      </c>
      <c r="X2928">
        <v>26.04</v>
      </c>
    </row>
    <row r="2929" spans="1:24" ht="15" customHeight="1" x14ac:dyDescent="0.25">
      <c r="A2929" t="str">
        <f>""</f>
        <v/>
      </c>
      <c r="B2929" s="1"/>
      <c r="H2929">
        <v>137.05000000000001</v>
      </c>
      <c r="J2929" t="s">
        <v>22</v>
      </c>
      <c r="L2929" s="1"/>
      <c r="N2929" s="1"/>
      <c r="V2929" t="str">
        <f>"13115"</f>
        <v>13115</v>
      </c>
      <c r="W2929">
        <v>0</v>
      </c>
      <c r="X2929">
        <v>26.04</v>
      </c>
    </row>
    <row r="2930" spans="1:24" ht="15" customHeight="1" x14ac:dyDescent="0.25">
      <c r="A2930" t="str">
        <f>""</f>
        <v/>
      </c>
      <c r="B2930" s="1"/>
      <c r="H2930">
        <v>95.02</v>
      </c>
      <c r="J2930" t="s">
        <v>22</v>
      </c>
      <c r="L2930" s="1"/>
      <c r="N2930" s="1"/>
      <c r="V2930" t="str">
        <f>"42160"</f>
        <v>42160</v>
      </c>
      <c r="W2930">
        <v>0</v>
      </c>
      <c r="X2930">
        <v>0</v>
      </c>
    </row>
    <row r="2931" spans="1:24" ht="15" customHeight="1" x14ac:dyDescent="0.25">
      <c r="A2931" t="str">
        <f>""</f>
        <v/>
      </c>
      <c r="B2931" s="1"/>
      <c r="H2931">
        <v>40</v>
      </c>
      <c r="J2931" t="s">
        <v>22</v>
      </c>
      <c r="L2931" s="1"/>
      <c r="N2931" s="1"/>
      <c r="V2931" t="str">
        <f>"38490"</f>
        <v>38490</v>
      </c>
      <c r="W2931">
        <v>0</v>
      </c>
      <c r="X2931">
        <v>0</v>
      </c>
    </row>
    <row r="2932" spans="1:24" ht="15" customHeight="1" x14ac:dyDescent="0.25">
      <c r="A2932" t="str">
        <f>""</f>
        <v/>
      </c>
      <c r="B2932" s="1"/>
      <c r="H2932">
        <v>59.68</v>
      </c>
      <c r="J2932" t="s">
        <v>20</v>
      </c>
      <c r="L2932" s="1"/>
      <c r="N2932" s="1"/>
      <c r="V2932" t="str">
        <f>"75012"</f>
        <v>75012</v>
      </c>
      <c r="W2932">
        <v>0</v>
      </c>
      <c r="X2932">
        <v>0</v>
      </c>
    </row>
    <row r="2933" spans="1:24" ht="15" customHeight="1" x14ac:dyDescent="0.25">
      <c r="A2933" t="str">
        <f>""</f>
        <v/>
      </c>
      <c r="B2933" s="1"/>
      <c r="H2933">
        <v>40</v>
      </c>
      <c r="J2933" t="s">
        <v>23</v>
      </c>
      <c r="L2933" s="1"/>
      <c r="N2933" s="1"/>
      <c r="V2933" t="str">
        <f>"77370"</f>
        <v>77370</v>
      </c>
      <c r="W2933">
        <v>0</v>
      </c>
      <c r="X2933">
        <v>0</v>
      </c>
    </row>
    <row r="2934" spans="1:24" ht="15" customHeight="1" x14ac:dyDescent="0.25">
      <c r="A2934" t="str">
        <f>""</f>
        <v/>
      </c>
      <c r="B2934" s="1"/>
      <c r="H2934">
        <v>16</v>
      </c>
      <c r="J2934" t="s">
        <v>20</v>
      </c>
      <c r="L2934" s="1"/>
      <c r="N2934" s="1"/>
      <c r="V2934" t="str">
        <f>"57690"</f>
        <v>57690</v>
      </c>
      <c r="W2934">
        <v>4</v>
      </c>
      <c r="X2934">
        <v>0</v>
      </c>
    </row>
    <row r="2935" spans="1:24" ht="15" customHeight="1" x14ac:dyDescent="0.25">
      <c r="A2935" t="str">
        <f>""</f>
        <v/>
      </c>
      <c r="B2935" s="1"/>
      <c r="H2935">
        <v>49.08</v>
      </c>
      <c r="J2935" t="s">
        <v>19</v>
      </c>
      <c r="L2935" s="1"/>
      <c r="N2935" s="1"/>
      <c r="V2935" t="str">
        <f>"56920"</f>
        <v>56920</v>
      </c>
      <c r="W2935">
        <v>13.25</v>
      </c>
      <c r="X2935">
        <v>0</v>
      </c>
    </row>
    <row r="2936" spans="1:24" ht="15" customHeight="1" x14ac:dyDescent="0.25">
      <c r="A2936" t="str">
        <f>""</f>
        <v/>
      </c>
      <c r="B2936" s="1"/>
      <c r="H2936">
        <v>151</v>
      </c>
      <c r="J2936" t="s">
        <v>22</v>
      </c>
      <c r="L2936" s="1"/>
      <c r="N2936" s="1"/>
      <c r="V2936" t="str">
        <f>"75013"</f>
        <v>75013</v>
      </c>
      <c r="W2936">
        <v>0</v>
      </c>
      <c r="X2936">
        <v>0</v>
      </c>
    </row>
    <row r="2937" spans="1:24" ht="15" customHeight="1" x14ac:dyDescent="0.25">
      <c r="A2937" t="str">
        <f>""</f>
        <v/>
      </c>
      <c r="B2937" s="1"/>
      <c r="H2937">
        <v>267.95999999999998</v>
      </c>
      <c r="J2937" t="s">
        <v>19</v>
      </c>
      <c r="L2937" s="1"/>
      <c r="N2937" s="1"/>
      <c r="V2937" t="str">
        <f>"13008"</f>
        <v>13008</v>
      </c>
      <c r="W2937">
        <v>77.709999999999994</v>
      </c>
      <c r="X2937">
        <v>0</v>
      </c>
    </row>
    <row r="2938" spans="1:24" ht="15" customHeight="1" x14ac:dyDescent="0.25">
      <c r="A2938" t="str">
        <f>""</f>
        <v/>
      </c>
      <c r="B2938" s="1"/>
      <c r="H2938">
        <v>156.05000000000001</v>
      </c>
      <c r="L2938" s="1"/>
      <c r="N2938" s="1"/>
      <c r="V2938" t="str">
        <f>"77184"</f>
        <v>77184</v>
      </c>
      <c r="W2938">
        <v>0</v>
      </c>
      <c r="X2938">
        <v>0</v>
      </c>
    </row>
    <row r="2939" spans="1:24" ht="15" customHeight="1" x14ac:dyDescent="0.25">
      <c r="A2939" t="str">
        <f>""</f>
        <v/>
      </c>
      <c r="B2939" s="1"/>
      <c r="H2939">
        <v>90</v>
      </c>
      <c r="L2939" s="1"/>
      <c r="N2939" s="1"/>
      <c r="V2939" t="str">
        <f>"77184"</f>
        <v>77184</v>
      </c>
      <c r="W2939">
        <v>0</v>
      </c>
      <c r="X2939">
        <v>0</v>
      </c>
    </row>
    <row r="2940" spans="1:24" ht="15" customHeight="1" x14ac:dyDescent="0.25">
      <c r="A2940" t="str">
        <f>""</f>
        <v/>
      </c>
      <c r="B2940" s="1"/>
      <c r="H2940">
        <v>137.80000000000001</v>
      </c>
      <c r="J2940" t="s">
        <v>22</v>
      </c>
      <c r="L2940" s="1"/>
      <c r="N2940" s="1"/>
      <c r="V2940" t="str">
        <f>"62600"</f>
        <v>62600</v>
      </c>
      <c r="W2940">
        <v>0</v>
      </c>
      <c r="X2940">
        <v>0</v>
      </c>
    </row>
    <row r="2941" spans="1:24" ht="15" customHeight="1" x14ac:dyDescent="0.25">
      <c r="A2941" t="str">
        <f>""</f>
        <v/>
      </c>
      <c r="B2941" s="1"/>
      <c r="H2941">
        <v>140</v>
      </c>
      <c r="J2941" t="s">
        <v>22</v>
      </c>
      <c r="L2941" s="1"/>
      <c r="N2941" s="1"/>
      <c r="V2941" t="str">
        <f>"62600"</f>
        <v>62600</v>
      </c>
      <c r="W2941">
        <v>0</v>
      </c>
      <c r="X2941">
        <v>0</v>
      </c>
    </row>
    <row r="2942" spans="1:24" ht="15" customHeight="1" x14ac:dyDescent="0.25">
      <c r="A2942" t="str">
        <f>""</f>
        <v/>
      </c>
      <c r="B2942" s="1"/>
      <c r="H2942">
        <v>139.57</v>
      </c>
      <c r="J2942" t="s">
        <v>23</v>
      </c>
      <c r="L2942" s="1"/>
      <c r="N2942" s="1"/>
      <c r="V2942" t="str">
        <f>"35000"</f>
        <v>35000</v>
      </c>
      <c r="W2942">
        <v>0</v>
      </c>
      <c r="X2942">
        <v>37.68</v>
      </c>
    </row>
    <row r="2943" spans="1:24" ht="15" customHeight="1" x14ac:dyDescent="0.25">
      <c r="A2943" t="str">
        <f>""</f>
        <v/>
      </c>
      <c r="B2943" s="1"/>
      <c r="H2943">
        <v>220.52</v>
      </c>
      <c r="J2943" t="s">
        <v>22</v>
      </c>
      <c r="L2943" s="1"/>
      <c r="N2943" s="1"/>
      <c r="V2943" t="str">
        <f>"94150"</f>
        <v>94150</v>
      </c>
      <c r="W2943">
        <v>0</v>
      </c>
      <c r="X2943">
        <v>59.54</v>
      </c>
    </row>
    <row r="2944" spans="1:24" ht="15" customHeight="1" x14ac:dyDescent="0.25">
      <c r="A2944" t="str">
        <f>""</f>
        <v/>
      </c>
      <c r="B2944" s="1"/>
      <c r="H2944">
        <v>17</v>
      </c>
      <c r="J2944" t="s">
        <v>22</v>
      </c>
      <c r="L2944" s="1"/>
      <c r="V2944" t="str">
        <f>"88000"</f>
        <v>88000</v>
      </c>
      <c r="W2944">
        <v>0</v>
      </c>
      <c r="X2944">
        <v>0</v>
      </c>
    </row>
    <row r="2945" spans="1:24" ht="15" customHeight="1" x14ac:dyDescent="0.25">
      <c r="A2945" t="str">
        <f>""</f>
        <v/>
      </c>
      <c r="B2945" s="1"/>
      <c r="H2945">
        <v>151</v>
      </c>
      <c r="J2945" t="s">
        <v>23</v>
      </c>
      <c r="L2945" s="1"/>
      <c r="N2945" s="1"/>
      <c r="V2945" t="str">
        <f>"94150"</f>
        <v>94150</v>
      </c>
      <c r="W2945">
        <v>0</v>
      </c>
      <c r="X2945">
        <v>0</v>
      </c>
    </row>
    <row r="2946" spans="1:24" ht="15" customHeight="1" x14ac:dyDescent="0.25">
      <c r="A2946" t="str">
        <f>""</f>
        <v/>
      </c>
      <c r="B2946" s="1"/>
      <c r="H2946">
        <v>151</v>
      </c>
      <c r="J2946" t="s">
        <v>22</v>
      </c>
      <c r="L2946" s="1"/>
      <c r="N2946" s="1"/>
      <c r="V2946" t="str">
        <f>"94150"</f>
        <v>94150</v>
      </c>
      <c r="W2946">
        <v>0</v>
      </c>
      <c r="X2946">
        <v>0</v>
      </c>
    </row>
    <row r="2947" spans="1:24" ht="15" customHeight="1" x14ac:dyDescent="0.25">
      <c r="A2947" t="str">
        <f>""</f>
        <v/>
      </c>
      <c r="B2947" s="1"/>
      <c r="H2947">
        <v>120.29</v>
      </c>
      <c r="J2947" t="s">
        <v>20</v>
      </c>
      <c r="L2947" s="1"/>
      <c r="N2947" s="1"/>
      <c r="V2947" t="str">
        <f>"59980"</f>
        <v>59980</v>
      </c>
      <c r="W2947">
        <v>22.86</v>
      </c>
      <c r="X2947">
        <v>0</v>
      </c>
    </row>
    <row r="2948" spans="1:24" x14ac:dyDescent="0.25">
      <c r="A2948" t="str">
        <f>""</f>
        <v/>
      </c>
      <c r="B2948" s="1"/>
      <c r="H2948">
        <v>180.3</v>
      </c>
      <c r="J2948" t="s">
        <v>15</v>
      </c>
      <c r="L2948" s="1"/>
      <c r="N2948" s="1"/>
      <c r="V2948" t="str">
        <f>"69290"</f>
        <v>69290</v>
      </c>
      <c r="W2948">
        <v>0</v>
      </c>
      <c r="X2948">
        <v>0</v>
      </c>
    </row>
    <row r="2949" spans="1:24" ht="15" customHeight="1" x14ac:dyDescent="0.25">
      <c r="A2949" t="str">
        <f>""</f>
        <v/>
      </c>
      <c r="B2949" s="1"/>
      <c r="H2949">
        <v>195.02</v>
      </c>
      <c r="J2949" t="s">
        <v>20</v>
      </c>
      <c r="L2949" s="1"/>
      <c r="N2949" s="1"/>
      <c r="V2949" t="str">
        <f>"14760"</f>
        <v>14760</v>
      </c>
      <c r="W2949">
        <v>33.15</v>
      </c>
      <c r="X2949">
        <v>0</v>
      </c>
    </row>
    <row r="2950" spans="1:24" ht="15" customHeight="1" x14ac:dyDescent="0.25">
      <c r="A2950" t="str">
        <f>""</f>
        <v/>
      </c>
      <c r="B2950" s="1"/>
      <c r="H2950">
        <v>40</v>
      </c>
      <c r="L2950" s="1"/>
      <c r="N2950" s="1"/>
      <c r="V2950" t="str">
        <f>"44240"</f>
        <v>44240</v>
      </c>
      <c r="W2950">
        <v>0</v>
      </c>
      <c r="X2950">
        <v>0</v>
      </c>
    </row>
    <row r="2951" spans="1:24" ht="15" customHeight="1" x14ac:dyDescent="0.25">
      <c r="A2951" t="str">
        <f>""</f>
        <v/>
      </c>
      <c r="B2951" s="1"/>
      <c r="H2951">
        <v>130.53</v>
      </c>
      <c r="L2951" s="1"/>
      <c r="N2951" s="1"/>
      <c r="V2951" t="str">
        <f>"44240"</f>
        <v>44240</v>
      </c>
      <c r="W2951">
        <v>0</v>
      </c>
      <c r="X2951">
        <v>0</v>
      </c>
    </row>
    <row r="2952" spans="1:24" ht="15" customHeight="1" x14ac:dyDescent="0.25">
      <c r="A2952" t="str">
        <f>""</f>
        <v/>
      </c>
      <c r="B2952" s="1"/>
      <c r="H2952">
        <v>31.6</v>
      </c>
      <c r="J2952" t="s">
        <v>21</v>
      </c>
      <c r="L2952" s="1"/>
      <c r="V2952" t="str">
        <f t="shared" ref="V2952:V2959" si="11">"77184"</f>
        <v>77184</v>
      </c>
      <c r="W2952">
        <v>0</v>
      </c>
      <c r="X2952">
        <v>0</v>
      </c>
    </row>
    <row r="2953" spans="1:24" ht="15" customHeight="1" x14ac:dyDescent="0.25">
      <c r="A2953" t="str">
        <f>""</f>
        <v/>
      </c>
      <c r="B2953" s="1"/>
      <c r="H2953">
        <v>37.19</v>
      </c>
      <c r="L2953" s="1"/>
      <c r="N2953" s="1"/>
      <c r="V2953" t="str">
        <f t="shared" si="11"/>
        <v>77184</v>
      </c>
      <c r="W2953">
        <v>0</v>
      </c>
      <c r="X2953">
        <v>0</v>
      </c>
    </row>
    <row r="2954" spans="1:24" ht="15" customHeight="1" x14ac:dyDescent="0.25">
      <c r="A2954" t="str">
        <f>""</f>
        <v/>
      </c>
      <c r="B2954" s="1"/>
      <c r="H2954">
        <v>57</v>
      </c>
      <c r="L2954" s="1"/>
      <c r="N2954" s="1"/>
      <c r="V2954" t="str">
        <f t="shared" si="11"/>
        <v>77184</v>
      </c>
      <c r="W2954">
        <v>0</v>
      </c>
      <c r="X2954">
        <v>0</v>
      </c>
    </row>
    <row r="2955" spans="1:24" ht="15" customHeight="1" x14ac:dyDescent="0.25">
      <c r="A2955" t="str">
        <f>""</f>
        <v/>
      </c>
      <c r="B2955" s="1"/>
      <c r="H2955">
        <v>129</v>
      </c>
      <c r="L2955" s="1"/>
      <c r="N2955" s="1"/>
      <c r="V2955" t="str">
        <f t="shared" si="11"/>
        <v>77184</v>
      </c>
      <c r="W2955">
        <v>0</v>
      </c>
      <c r="X2955">
        <v>0</v>
      </c>
    </row>
    <row r="2956" spans="1:24" ht="15" customHeight="1" x14ac:dyDescent="0.25">
      <c r="A2956" t="str">
        <f>""</f>
        <v/>
      </c>
      <c r="B2956" s="1"/>
      <c r="H2956">
        <v>66</v>
      </c>
      <c r="L2956" s="1"/>
      <c r="N2956" s="1"/>
      <c r="V2956" t="str">
        <f t="shared" si="11"/>
        <v>77184</v>
      </c>
      <c r="W2956">
        <v>0</v>
      </c>
      <c r="X2956">
        <v>0</v>
      </c>
    </row>
    <row r="2957" spans="1:24" ht="15" customHeight="1" x14ac:dyDescent="0.25">
      <c r="A2957" t="str">
        <f>""</f>
        <v/>
      </c>
      <c r="B2957" s="1"/>
      <c r="H2957">
        <v>84.5</v>
      </c>
      <c r="L2957" s="1"/>
      <c r="N2957" s="1"/>
      <c r="V2957" t="str">
        <f t="shared" si="11"/>
        <v>77184</v>
      </c>
      <c r="W2957">
        <v>0</v>
      </c>
      <c r="X2957">
        <v>0</v>
      </c>
    </row>
    <row r="2958" spans="1:24" ht="15" customHeight="1" x14ac:dyDescent="0.25">
      <c r="A2958" t="str">
        <f>""</f>
        <v/>
      </c>
      <c r="B2958" s="1"/>
      <c r="H2958">
        <v>171</v>
      </c>
      <c r="L2958" s="1"/>
      <c r="N2958" s="1"/>
      <c r="V2958" t="str">
        <f t="shared" si="11"/>
        <v>77184</v>
      </c>
      <c r="W2958">
        <v>0</v>
      </c>
      <c r="X2958">
        <v>0</v>
      </c>
    </row>
    <row r="2959" spans="1:24" ht="15" customHeight="1" x14ac:dyDescent="0.25">
      <c r="A2959" t="str">
        <f>""</f>
        <v/>
      </c>
      <c r="B2959" s="1"/>
      <c r="H2959">
        <v>156</v>
      </c>
      <c r="L2959" s="1"/>
      <c r="N2959" s="1"/>
      <c r="V2959" t="str">
        <f t="shared" si="11"/>
        <v>77184</v>
      </c>
      <c r="W2959">
        <v>0</v>
      </c>
      <c r="X2959">
        <v>0</v>
      </c>
    </row>
    <row r="2960" spans="1:24" ht="15" customHeight="1" x14ac:dyDescent="0.25">
      <c r="A2960" t="str">
        <f>""</f>
        <v/>
      </c>
      <c r="B2960" s="1"/>
      <c r="H2960">
        <v>35</v>
      </c>
      <c r="J2960" t="s">
        <v>23</v>
      </c>
      <c r="L2960" s="1"/>
      <c r="N2960" s="1"/>
      <c r="V2960" t="str">
        <f>"62380"</f>
        <v>62380</v>
      </c>
      <c r="W2960">
        <v>0</v>
      </c>
      <c r="X2960">
        <v>0</v>
      </c>
    </row>
    <row r="2961" spans="1:24" ht="15" customHeight="1" x14ac:dyDescent="0.25">
      <c r="A2961" t="str">
        <f>""</f>
        <v/>
      </c>
      <c r="B2961" s="1"/>
      <c r="H2961">
        <v>122.2</v>
      </c>
      <c r="L2961" s="1"/>
      <c r="N2961" s="1"/>
      <c r="V2961" t="str">
        <f>"77184"</f>
        <v>77184</v>
      </c>
      <c r="W2961">
        <v>0</v>
      </c>
      <c r="X2961">
        <v>0</v>
      </c>
    </row>
    <row r="2962" spans="1:24" ht="15" customHeight="1" x14ac:dyDescent="0.25">
      <c r="A2962" t="str">
        <f>""</f>
        <v/>
      </c>
      <c r="B2962" s="1"/>
      <c r="H2962">
        <v>69.5</v>
      </c>
      <c r="L2962" s="1"/>
      <c r="N2962" s="1"/>
      <c r="V2962" t="str">
        <f>"77184"</f>
        <v>77184</v>
      </c>
      <c r="W2962">
        <v>0</v>
      </c>
      <c r="X2962">
        <v>0</v>
      </c>
    </row>
    <row r="2963" spans="1:24" ht="15" customHeight="1" x14ac:dyDescent="0.25">
      <c r="A2963" t="str">
        <f>""</f>
        <v/>
      </c>
      <c r="B2963" s="1"/>
      <c r="H2963">
        <v>31</v>
      </c>
      <c r="L2963" s="1"/>
      <c r="N2963" s="1"/>
      <c r="V2963" t="str">
        <f>"77184"</f>
        <v>77184</v>
      </c>
      <c r="W2963">
        <v>0</v>
      </c>
      <c r="X2963">
        <v>0</v>
      </c>
    </row>
    <row r="2964" spans="1:24" ht="15" customHeight="1" x14ac:dyDescent="0.25">
      <c r="A2964" t="str">
        <f>""</f>
        <v/>
      </c>
      <c r="B2964" s="1"/>
      <c r="H2964">
        <v>92</v>
      </c>
      <c r="J2964" t="s">
        <v>19</v>
      </c>
      <c r="L2964" s="1"/>
      <c r="N2964" s="1"/>
      <c r="V2964" t="str">
        <f>"06190"</f>
        <v>06190</v>
      </c>
      <c r="W2964">
        <v>27.6</v>
      </c>
      <c r="X2964">
        <v>0</v>
      </c>
    </row>
    <row r="2965" spans="1:24" ht="15" customHeight="1" x14ac:dyDescent="0.25">
      <c r="A2965" t="str">
        <f>""</f>
        <v/>
      </c>
      <c r="B2965" s="1"/>
      <c r="H2965">
        <v>64</v>
      </c>
      <c r="J2965" t="s">
        <v>19</v>
      </c>
      <c r="L2965" s="1"/>
      <c r="N2965" s="1"/>
      <c r="V2965" t="str">
        <f>"06190"</f>
        <v>06190</v>
      </c>
      <c r="W2965">
        <v>19.2</v>
      </c>
      <c r="X2965">
        <v>0</v>
      </c>
    </row>
    <row r="2966" spans="1:24" ht="15" customHeight="1" x14ac:dyDescent="0.25">
      <c r="A2966" t="str">
        <f>""</f>
        <v/>
      </c>
      <c r="B2966" s="1"/>
      <c r="H2966">
        <v>92</v>
      </c>
      <c r="J2966" t="s">
        <v>22</v>
      </c>
      <c r="L2966" s="1"/>
      <c r="N2966" s="1"/>
      <c r="V2966" t="str">
        <f>"06190"</f>
        <v>06190</v>
      </c>
      <c r="W2966">
        <v>0</v>
      </c>
      <c r="X2966">
        <v>27.6</v>
      </c>
    </row>
    <row r="2967" spans="1:24" ht="15" customHeight="1" x14ac:dyDescent="0.25">
      <c r="A2967" t="str">
        <f>""</f>
        <v/>
      </c>
      <c r="B2967" s="1"/>
      <c r="H2967">
        <v>140</v>
      </c>
      <c r="J2967" t="s">
        <v>23</v>
      </c>
      <c r="L2967" s="1"/>
      <c r="N2967" s="1"/>
      <c r="V2967" t="str">
        <f>"02100"</f>
        <v>02100</v>
      </c>
      <c r="W2967">
        <v>0</v>
      </c>
      <c r="X2967">
        <v>0</v>
      </c>
    </row>
    <row r="2968" spans="1:24" ht="15" customHeight="1" x14ac:dyDescent="0.25">
      <c r="A2968" t="str">
        <f>""</f>
        <v/>
      </c>
      <c r="B2968" s="1"/>
      <c r="H2968">
        <v>140</v>
      </c>
      <c r="J2968" t="s">
        <v>23</v>
      </c>
      <c r="L2968" s="1"/>
      <c r="N2968" s="1"/>
      <c r="V2968" t="str">
        <f>"08000"</f>
        <v>08000</v>
      </c>
      <c r="W2968">
        <v>0</v>
      </c>
      <c r="X2968">
        <v>0</v>
      </c>
    </row>
    <row r="2969" spans="1:24" ht="15" customHeight="1" x14ac:dyDescent="0.25">
      <c r="A2969" t="str">
        <f>""</f>
        <v/>
      </c>
      <c r="B2969" s="1"/>
      <c r="H2969">
        <v>22.5</v>
      </c>
      <c r="J2969" t="s">
        <v>23</v>
      </c>
      <c r="L2969" s="1"/>
      <c r="N2969" s="1"/>
      <c r="V2969" t="str">
        <f>"02400"</f>
        <v>02400</v>
      </c>
      <c r="W2969">
        <v>0</v>
      </c>
      <c r="X2969">
        <v>0</v>
      </c>
    </row>
    <row r="2970" spans="1:24" ht="15" customHeight="1" x14ac:dyDescent="0.25">
      <c r="A2970" t="str">
        <f>""</f>
        <v/>
      </c>
      <c r="B2970" s="1"/>
      <c r="H2970">
        <v>136.72</v>
      </c>
      <c r="J2970" t="s">
        <v>20</v>
      </c>
      <c r="L2970" s="1"/>
      <c r="N2970" s="1"/>
      <c r="V2970" t="str">
        <f>"79402"</f>
        <v>79402</v>
      </c>
      <c r="W2970">
        <v>28.71</v>
      </c>
      <c r="X2970">
        <v>0</v>
      </c>
    </row>
    <row r="2971" spans="1:24" ht="15" customHeight="1" x14ac:dyDescent="0.25">
      <c r="A2971" t="str">
        <f>""</f>
        <v/>
      </c>
      <c r="B2971" s="1"/>
      <c r="H2971">
        <v>59.53</v>
      </c>
      <c r="J2971" t="s">
        <v>19</v>
      </c>
      <c r="L2971" s="1"/>
      <c r="N2971" s="1"/>
      <c r="V2971" t="str">
        <f>"38340"</f>
        <v>38340</v>
      </c>
      <c r="W2971">
        <v>16.07</v>
      </c>
      <c r="X2971">
        <v>0</v>
      </c>
    </row>
    <row r="2972" spans="1:24" ht="15" customHeight="1" x14ac:dyDescent="0.25">
      <c r="A2972" t="str">
        <f>""</f>
        <v/>
      </c>
      <c r="B2972" s="1"/>
      <c r="H2972">
        <v>143.34</v>
      </c>
      <c r="J2972" t="s">
        <v>20</v>
      </c>
      <c r="L2972" s="1"/>
      <c r="N2972" s="1"/>
      <c r="V2972" t="str">
        <f>"22440"</f>
        <v>22440</v>
      </c>
      <c r="W2972">
        <v>55.9</v>
      </c>
      <c r="X2972">
        <v>0</v>
      </c>
    </row>
    <row r="2973" spans="1:24" ht="15" customHeight="1" x14ac:dyDescent="0.25">
      <c r="A2973" t="str">
        <f>""</f>
        <v/>
      </c>
      <c r="B2973" s="1"/>
      <c r="H2973">
        <v>137.59</v>
      </c>
      <c r="J2973" t="s">
        <v>19</v>
      </c>
      <c r="L2973" s="1"/>
      <c r="N2973" s="1"/>
      <c r="V2973" t="str">
        <f>"75014"</f>
        <v>75014</v>
      </c>
      <c r="W2973">
        <v>0</v>
      </c>
      <c r="X2973">
        <v>0</v>
      </c>
    </row>
    <row r="2974" spans="1:24" ht="15" customHeight="1" x14ac:dyDescent="0.25">
      <c r="A2974" t="str">
        <f>""</f>
        <v/>
      </c>
      <c r="B2974" s="1"/>
      <c r="H2974">
        <v>107.6</v>
      </c>
      <c r="J2974" t="s">
        <v>20</v>
      </c>
      <c r="L2974" s="1"/>
      <c r="N2974" s="1"/>
      <c r="V2974" t="str">
        <f>"75014"</f>
        <v>75014</v>
      </c>
      <c r="W2974">
        <v>0</v>
      </c>
      <c r="X2974">
        <v>0</v>
      </c>
    </row>
    <row r="2975" spans="1:24" ht="15" customHeight="1" x14ac:dyDescent="0.25">
      <c r="A2975" t="str">
        <f>""</f>
        <v/>
      </c>
      <c r="B2975" s="1"/>
      <c r="H2975">
        <v>37.92</v>
      </c>
      <c r="J2975" t="s">
        <v>19</v>
      </c>
      <c r="L2975" s="1"/>
      <c r="V2975" t="str">
        <f>"49000"</f>
        <v>49000</v>
      </c>
      <c r="W2975">
        <v>0</v>
      </c>
      <c r="X2975">
        <v>0</v>
      </c>
    </row>
    <row r="2976" spans="1:24" ht="15" customHeight="1" x14ac:dyDescent="0.25">
      <c r="A2976" t="str">
        <f>""</f>
        <v/>
      </c>
      <c r="B2976" s="1"/>
      <c r="H2976">
        <v>120.85</v>
      </c>
      <c r="J2976" t="s">
        <v>19</v>
      </c>
      <c r="L2976" s="1"/>
      <c r="N2976" s="1"/>
      <c r="V2976" t="str">
        <f>"13880"</f>
        <v>13880</v>
      </c>
      <c r="W2976">
        <v>35.049999999999997</v>
      </c>
      <c r="X2976">
        <v>0</v>
      </c>
    </row>
    <row r="2977" spans="1:24" ht="15" customHeight="1" x14ac:dyDescent="0.25">
      <c r="A2977" t="str">
        <f>""</f>
        <v/>
      </c>
      <c r="B2977" s="1"/>
      <c r="H2977">
        <v>0.53</v>
      </c>
      <c r="J2977" t="s">
        <v>20</v>
      </c>
      <c r="L2977" s="1"/>
      <c r="N2977" s="1"/>
      <c r="V2977" t="str">
        <f>"50100"</f>
        <v>50100</v>
      </c>
      <c r="W2977">
        <v>0.09</v>
      </c>
      <c r="X2977">
        <v>0</v>
      </c>
    </row>
    <row r="2978" spans="1:24" ht="15" customHeight="1" x14ac:dyDescent="0.25">
      <c r="A2978" t="str">
        <f>""</f>
        <v/>
      </c>
      <c r="B2978" s="1"/>
      <c r="J2978" t="s">
        <v>20</v>
      </c>
      <c r="L2978" s="1"/>
      <c r="N2978" s="1"/>
      <c r="V2978" t="str">
        <f>"75002"</f>
        <v>75002</v>
      </c>
      <c r="W2978">
        <v>0</v>
      </c>
      <c r="X2978">
        <v>0</v>
      </c>
    </row>
    <row r="2979" spans="1:24" ht="15" customHeight="1" x14ac:dyDescent="0.25">
      <c r="A2979" t="str">
        <f>""</f>
        <v/>
      </c>
      <c r="B2979" s="1"/>
      <c r="H2979">
        <v>140</v>
      </c>
      <c r="L2979" s="1"/>
      <c r="N2979" s="1"/>
      <c r="V2979" t="str">
        <f>"44240"</f>
        <v>44240</v>
      </c>
      <c r="W2979">
        <v>0</v>
      </c>
      <c r="X2979">
        <v>0</v>
      </c>
    </row>
    <row r="2980" spans="1:24" ht="15" customHeight="1" x14ac:dyDescent="0.25">
      <c r="A2980" t="str">
        <f>""</f>
        <v/>
      </c>
      <c r="B2980" s="1"/>
      <c r="H2980">
        <v>187.1</v>
      </c>
      <c r="L2980" s="1"/>
      <c r="N2980" s="1"/>
      <c r="V2980" t="str">
        <f>"77184"</f>
        <v>77184</v>
      </c>
      <c r="W2980">
        <v>0</v>
      </c>
      <c r="X2980">
        <v>0</v>
      </c>
    </row>
    <row r="2981" spans="1:24" ht="15" customHeight="1" x14ac:dyDescent="0.25">
      <c r="A2981" t="str">
        <f>""</f>
        <v/>
      </c>
      <c r="B2981" s="1"/>
      <c r="H2981">
        <v>200</v>
      </c>
      <c r="J2981" t="s">
        <v>22</v>
      </c>
      <c r="L2981" s="1"/>
      <c r="N2981" s="1"/>
      <c r="V2981" t="str">
        <f>"69002"</f>
        <v>69002</v>
      </c>
      <c r="W2981">
        <v>0</v>
      </c>
      <c r="X2981">
        <v>54</v>
      </c>
    </row>
    <row r="2982" spans="1:24" ht="15" customHeight="1" x14ac:dyDescent="0.25">
      <c r="A2982" t="str">
        <f>""</f>
        <v/>
      </c>
      <c r="B2982" s="1"/>
      <c r="H2982">
        <v>138.12</v>
      </c>
      <c r="J2982" t="s">
        <v>20</v>
      </c>
      <c r="L2982" s="1"/>
      <c r="N2982" s="1"/>
      <c r="V2982" t="str">
        <f>"49300"</f>
        <v>49300</v>
      </c>
      <c r="W2982">
        <v>37.29</v>
      </c>
      <c r="X2982">
        <v>0</v>
      </c>
    </row>
    <row r="2983" spans="1:24" ht="15" customHeight="1" x14ac:dyDescent="0.25">
      <c r="A2983" t="str">
        <f>""</f>
        <v/>
      </c>
      <c r="B2983" s="1"/>
      <c r="H2983">
        <v>209.52</v>
      </c>
      <c r="J2983" t="s">
        <v>20</v>
      </c>
      <c r="L2983" s="1"/>
      <c r="N2983" s="1"/>
      <c r="V2983" t="str">
        <f>"94340"</f>
        <v>94340</v>
      </c>
      <c r="W2983">
        <v>0</v>
      </c>
      <c r="X2983">
        <v>0</v>
      </c>
    </row>
    <row r="2984" spans="1:24" ht="15" customHeight="1" x14ac:dyDescent="0.25">
      <c r="A2984" t="str">
        <f>""</f>
        <v/>
      </c>
      <c r="B2984" s="1"/>
      <c r="H2984">
        <v>141.65</v>
      </c>
      <c r="J2984" t="s">
        <v>20</v>
      </c>
      <c r="L2984" s="1"/>
      <c r="N2984" s="1"/>
      <c r="V2984" t="str">
        <f>"75011"</f>
        <v>75011</v>
      </c>
      <c r="W2984">
        <v>0</v>
      </c>
      <c r="X2984">
        <v>0</v>
      </c>
    </row>
    <row r="2985" spans="1:24" ht="15" customHeight="1" x14ac:dyDescent="0.25">
      <c r="A2985" t="str">
        <f>""</f>
        <v/>
      </c>
      <c r="B2985" s="1"/>
      <c r="H2985">
        <v>19.649999999999999</v>
      </c>
      <c r="J2985" t="s">
        <v>19</v>
      </c>
      <c r="L2985" s="1"/>
      <c r="N2985" s="1"/>
      <c r="V2985" t="str">
        <f>"75014"</f>
        <v>75014</v>
      </c>
      <c r="W2985">
        <v>0</v>
      </c>
      <c r="X2985">
        <v>0</v>
      </c>
    </row>
    <row r="2986" spans="1:24" ht="15" customHeight="1" x14ac:dyDescent="0.25">
      <c r="A2986" t="str">
        <f>""</f>
        <v/>
      </c>
      <c r="B2986" s="1"/>
      <c r="H2986">
        <v>19.649999999999999</v>
      </c>
      <c r="J2986" t="s">
        <v>19</v>
      </c>
      <c r="L2986" s="1"/>
      <c r="N2986" s="1"/>
      <c r="V2986" t="str">
        <f>"75014"</f>
        <v>75014</v>
      </c>
      <c r="W2986">
        <v>0</v>
      </c>
      <c r="X2986">
        <v>0</v>
      </c>
    </row>
    <row r="2987" spans="1:24" ht="15" customHeight="1" x14ac:dyDescent="0.25">
      <c r="A2987" t="str">
        <f>""</f>
        <v/>
      </c>
      <c r="B2987" s="1"/>
      <c r="H2987">
        <v>55.36</v>
      </c>
      <c r="J2987" t="s">
        <v>20</v>
      </c>
      <c r="L2987" s="1"/>
      <c r="N2987" s="1"/>
      <c r="V2987" t="str">
        <f>"27110"</f>
        <v>27110</v>
      </c>
      <c r="W2987">
        <v>9.41</v>
      </c>
      <c r="X2987">
        <v>0</v>
      </c>
    </row>
    <row r="2988" spans="1:24" ht="15" customHeight="1" x14ac:dyDescent="0.25">
      <c r="A2988" t="str">
        <f>""</f>
        <v/>
      </c>
      <c r="B2988" s="1"/>
      <c r="H2988">
        <v>126.65</v>
      </c>
      <c r="J2988" t="s">
        <v>19</v>
      </c>
      <c r="L2988" s="1"/>
      <c r="N2988" s="1"/>
      <c r="V2988" t="str">
        <f>"77160"</f>
        <v>77160</v>
      </c>
      <c r="W2988">
        <v>0</v>
      </c>
      <c r="X2988">
        <v>0</v>
      </c>
    </row>
    <row r="2989" spans="1:24" ht="15" customHeight="1" x14ac:dyDescent="0.25">
      <c r="A2989" t="str">
        <f>""</f>
        <v/>
      </c>
      <c r="B2989" s="1"/>
      <c r="H2989">
        <v>142.99</v>
      </c>
      <c r="J2989" t="s">
        <v>19</v>
      </c>
      <c r="L2989" s="1"/>
      <c r="N2989" s="1"/>
      <c r="V2989" t="str">
        <f>"77160"</f>
        <v>77160</v>
      </c>
      <c r="W2989">
        <v>0</v>
      </c>
      <c r="X2989">
        <v>0</v>
      </c>
    </row>
    <row r="2990" spans="1:24" ht="15" customHeight="1" x14ac:dyDescent="0.25">
      <c r="A2990" t="str">
        <f>""</f>
        <v/>
      </c>
      <c r="B2990" s="1"/>
      <c r="H2990">
        <v>115.22</v>
      </c>
      <c r="J2990" t="s">
        <v>19</v>
      </c>
      <c r="L2990" s="1"/>
      <c r="N2990" s="1"/>
      <c r="V2990" t="str">
        <f>"14000"</f>
        <v>14000</v>
      </c>
      <c r="W2990">
        <v>19.59</v>
      </c>
      <c r="X2990">
        <v>0</v>
      </c>
    </row>
    <row r="2991" spans="1:24" ht="15" customHeight="1" x14ac:dyDescent="0.25">
      <c r="A2991" t="str">
        <f>""</f>
        <v/>
      </c>
      <c r="B2991" s="1"/>
      <c r="H2991">
        <v>68.2</v>
      </c>
      <c r="L2991" s="1"/>
      <c r="N2991" s="1"/>
      <c r="V2991" t="str">
        <f>"77184"</f>
        <v>77184</v>
      </c>
      <c r="W2991">
        <v>0</v>
      </c>
      <c r="X2991">
        <v>0</v>
      </c>
    </row>
    <row r="2992" spans="1:24" ht="15" customHeight="1" x14ac:dyDescent="0.25">
      <c r="A2992" t="str">
        <f>""</f>
        <v/>
      </c>
      <c r="B2992" s="1"/>
      <c r="H2992">
        <v>245.8</v>
      </c>
      <c r="L2992" s="1"/>
      <c r="N2992" s="1"/>
      <c r="V2992" t="str">
        <f>"77184"</f>
        <v>77184</v>
      </c>
      <c r="W2992">
        <v>0</v>
      </c>
      <c r="X2992">
        <v>0</v>
      </c>
    </row>
    <row r="2993" spans="1:24" ht="15" customHeight="1" x14ac:dyDescent="0.25">
      <c r="A2993" t="str">
        <f>""</f>
        <v/>
      </c>
      <c r="B2993" s="1"/>
      <c r="H2993">
        <v>299</v>
      </c>
      <c r="J2993" t="s">
        <v>22</v>
      </c>
      <c r="L2993" s="1"/>
      <c r="N2993" s="1"/>
      <c r="V2993" t="str">
        <f>"75017"</f>
        <v>75017</v>
      </c>
      <c r="W2993">
        <v>0</v>
      </c>
      <c r="X2993">
        <v>0</v>
      </c>
    </row>
    <row r="2994" spans="1:24" ht="15" customHeight="1" x14ac:dyDescent="0.25">
      <c r="A2994" t="str">
        <f>""</f>
        <v/>
      </c>
      <c r="B2994" s="1"/>
      <c r="H2994">
        <v>22.62</v>
      </c>
      <c r="J2994" t="s">
        <v>19</v>
      </c>
      <c r="L2994" s="1"/>
      <c r="N2994" s="1"/>
      <c r="V2994" t="str">
        <f>"52800"</f>
        <v>52800</v>
      </c>
      <c r="W2994">
        <v>5.43</v>
      </c>
      <c r="X2994">
        <v>0</v>
      </c>
    </row>
    <row r="2995" spans="1:24" x14ac:dyDescent="0.25">
      <c r="A2995" t="str">
        <f>""</f>
        <v/>
      </c>
      <c r="B2995" s="1"/>
      <c r="H2995">
        <v>149.62</v>
      </c>
      <c r="J2995" t="s">
        <v>17</v>
      </c>
      <c r="L2995" s="1"/>
      <c r="N2995" s="1"/>
      <c r="V2995" t="str">
        <f>"63100"</f>
        <v>63100</v>
      </c>
      <c r="W2995">
        <v>0</v>
      </c>
      <c r="X2995">
        <v>0</v>
      </c>
    </row>
    <row r="2996" spans="1:24" ht="15" customHeight="1" x14ac:dyDescent="0.25">
      <c r="A2996" t="str">
        <f>""</f>
        <v/>
      </c>
      <c r="B2996" s="1"/>
      <c r="H2996">
        <v>414.67</v>
      </c>
      <c r="J2996" t="s">
        <v>20</v>
      </c>
      <c r="L2996" s="1"/>
      <c r="N2996" s="1"/>
      <c r="V2996" t="str">
        <f>"75014"</f>
        <v>75014</v>
      </c>
      <c r="W2996">
        <v>0</v>
      </c>
      <c r="X2996">
        <v>0</v>
      </c>
    </row>
    <row r="2997" spans="1:24" ht="15" customHeight="1" x14ac:dyDescent="0.25">
      <c r="A2997" t="str">
        <f>""</f>
        <v/>
      </c>
      <c r="B2997" s="1"/>
      <c r="H2997">
        <v>39.25</v>
      </c>
      <c r="J2997" t="s">
        <v>19</v>
      </c>
      <c r="L2997" s="1"/>
      <c r="N2997" s="1"/>
      <c r="V2997" t="str">
        <f>"59270"</f>
        <v>59270</v>
      </c>
      <c r="W2997">
        <v>7.46</v>
      </c>
      <c r="X2997">
        <v>0</v>
      </c>
    </row>
    <row r="2998" spans="1:24" ht="15" customHeight="1" x14ac:dyDescent="0.25">
      <c r="A2998" t="str">
        <f>""</f>
        <v/>
      </c>
      <c r="B2998" s="1"/>
      <c r="H2998">
        <v>33.35</v>
      </c>
      <c r="J2998" t="s">
        <v>20</v>
      </c>
      <c r="L2998" s="1"/>
      <c r="N2998" s="1"/>
      <c r="V2998" t="str">
        <f>"88300"</f>
        <v>88300</v>
      </c>
      <c r="W2998">
        <v>9.67</v>
      </c>
      <c r="X2998">
        <v>0</v>
      </c>
    </row>
    <row r="2999" spans="1:24" ht="15" customHeight="1" x14ac:dyDescent="0.25">
      <c r="A2999" t="str">
        <f>""</f>
        <v/>
      </c>
      <c r="B2999" s="1"/>
      <c r="H2999">
        <v>180</v>
      </c>
      <c r="L2999" s="1"/>
      <c r="N2999" s="1"/>
      <c r="V2999" t="str">
        <f>"77184"</f>
        <v>77184</v>
      </c>
      <c r="W2999">
        <v>0</v>
      </c>
      <c r="X2999">
        <v>0</v>
      </c>
    </row>
    <row r="3000" spans="1:24" ht="15" customHeight="1" x14ac:dyDescent="0.25">
      <c r="A3000" t="str">
        <f>""</f>
        <v/>
      </c>
      <c r="B3000" s="1"/>
      <c r="H3000">
        <v>25.6</v>
      </c>
      <c r="J3000" t="s">
        <v>22</v>
      </c>
      <c r="L3000" s="1"/>
      <c r="N3000" s="1"/>
      <c r="V3000" t="str">
        <f>"45000"</f>
        <v>45000</v>
      </c>
      <c r="W3000">
        <v>0</v>
      </c>
      <c r="X3000">
        <v>0</v>
      </c>
    </row>
    <row r="3001" spans="1:24" ht="15" customHeight="1" x14ac:dyDescent="0.25">
      <c r="A3001" t="str">
        <f>""</f>
        <v/>
      </c>
      <c r="B3001" s="1"/>
      <c r="H3001">
        <v>172.73</v>
      </c>
      <c r="J3001" t="s">
        <v>19</v>
      </c>
      <c r="L3001" s="1"/>
      <c r="N3001" s="1"/>
      <c r="V3001" t="str">
        <f>"76520"</f>
        <v>76520</v>
      </c>
      <c r="W3001">
        <v>29.36</v>
      </c>
      <c r="X3001">
        <v>0</v>
      </c>
    </row>
    <row r="3002" spans="1:24" ht="15" customHeight="1" x14ac:dyDescent="0.25">
      <c r="A3002" t="str">
        <f>""</f>
        <v/>
      </c>
      <c r="B3002" s="1"/>
      <c r="H3002">
        <v>66.92</v>
      </c>
      <c r="L3002" s="1"/>
      <c r="N3002" s="1"/>
      <c r="V3002" t="str">
        <f>"77184"</f>
        <v>77184</v>
      </c>
      <c r="W3002">
        <v>0</v>
      </c>
      <c r="X3002">
        <v>0</v>
      </c>
    </row>
    <row r="3003" spans="1:24" ht="15" customHeight="1" x14ac:dyDescent="0.25">
      <c r="A3003" t="str">
        <f>""</f>
        <v/>
      </c>
      <c r="B3003" s="1"/>
      <c r="H3003">
        <v>137.22999999999999</v>
      </c>
      <c r="J3003" t="s">
        <v>19</v>
      </c>
      <c r="L3003" s="1"/>
      <c r="N3003" s="1"/>
      <c r="V3003" t="str">
        <f>"78190"</f>
        <v>78190</v>
      </c>
      <c r="W3003">
        <v>0</v>
      </c>
      <c r="X3003">
        <v>0</v>
      </c>
    </row>
    <row r="3004" spans="1:24" ht="15" customHeight="1" x14ac:dyDescent="0.25">
      <c r="A3004" t="str">
        <f>""</f>
        <v/>
      </c>
      <c r="B3004" s="1"/>
      <c r="H3004">
        <v>51.6</v>
      </c>
      <c r="J3004" t="s">
        <v>20</v>
      </c>
      <c r="L3004" s="1"/>
      <c r="N3004" s="1"/>
      <c r="V3004" t="str">
        <f>"35400"</f>
        <v>35400</v>
      </c>
      <c r="W3004">
        <v>13.93</v>
      </c>
      <c r="X3004">
        <v>0</v>
      </c>
    </row>
    <row r="3005" spans="1:24" ht="15" customHeight="1" x14ac:dyDescent="0.25">
      <c r="A3005" t="str">
        <f>""</f>
        <v/>
      </c>
      <c r="B3005" s="1"/>
      <c r="H3005">
        <v>250</v>
      </c>
      <c r="J3005" t="s">
        <v>23</v>
      </c>
      <c r="L3005" s="1"/>
      <c r="N3005" s="1"/>
      <c r="V3005" t="str">
        <f>"06000"</f>
        <v>06000</v>
      </c>
      <c r="W3005">
        <v>0</v>
      </c>
      <c r="X3005">
        <v>52.5</v>
      </c>
    </row>
    <row r="3006" spans="1:24" ht="15" customHeight="1" x14ac:dyDescent="0.25">
      <c r="A3006" t="str">
        <f>""</f>
        <v/>
      </c>
      <c r="B3006" s="1"/>
      <c r="H3006">
        <v>37.24</v>
      </c>
      <c r="J3006" t="s">
        <v>22</v>
      </c>
      <c r="L3006" s="1"/>
      <c r="N3006" s="1"/>
      <c r="V3006" t="str">
        <f>"54000"</f>
        <v>54000</v>
      </c>
      <c r="W3006">
        <v>0</v>
      </c>
      <c r="X3006">
        <v>9.31</v>
      </c>
    </row>
    <row r="3007" spans="1:24" ht="15" customHeight="1" x14ac:dyDescent="0.25">
      <c r="A3007" t="str">
        <f>""</f>
        <v/>
      </c>
      <c r="B3007" s="1"/>
      <c r="H3007">
        <v>55.16</v>
      </c>
      <c r="J3007" t="s">
        <v>20</v>
      </c>
      <c r="L3007" s="1"/>
      <c r="N3007" s="1"/>
      <c r="V3007" t="str">
        <f>"62230"</f>
        <v>62230</v>
      </c>
      <c r="W3007">
        <v>10.48</v>
      </c>
      <c r="X3007">
        <v>0</v>
      </c>
    </row>
    <row r="3008" spans="1:24" ht="15" customHeight="1" x14ac:dyDescent="0.25">
      <c r="A3008" t="str">
        <f>""</f>
        <v/>
      </c>
      <c r="B3008" s="1"/>
      <c r="H3008">
        <v>40</v>
      </c>
      <c r="J3008" t="s">
        <v>23</v>
      </c>
      <c r="L3008" s="1"/>
      <c r="N3008" s="1"/>
      <c r="V3008" t="str">
        <f>"75012"</f>
        <v>75012</v>
      </c>
      <c r="W3008">
        <v>0</v>
      </c>
      <c r="X3008">
        <v>0</v>
      </c>
    </row>
    <row r="3009" spans="1:24" ht="15" customHeight="1" x14ac:dyDescent="0.25">
      <c r="A3009" t="str">
        <f>""</f>
        <v/>
      </c>
      <c r="B3009" s="1"/>
      <c r="H3009">
        <v>93.9</v>
      </c>
      <c r="J3009" t="s">
        <v>23</v>
      </c>
      <c r="L3009" s="1"/>
      <c r="N3009" s="1"/>
      <c r="V3009" t="str">
        <f>"94270"</f>
        <v>94270</v>
      </c>
      <c r="W3009">
        <v>0</v>
      </c>
      <c r="X3009">
        <v>0</v>
      </c>
    </row>
    <row r="3010" spans="1:24" x14ac:dyDescent="0.25">
      <c r="A3010" t="str">
        <f>""</f>
        <v/>
      </c>
      <c r="B3010" s="1"/>
      <c r="H3010">
        <v>140</v>
      </c>
      <c r="J3010" t="s">
        <v>16</v>
      </c>
      <c r="L3010" s="1"/>
      <c r="N3010" s="1"/>
      <c r="V3010" t="str">
        <f>"56000"</f>
        <v>56000</v>
      </c>
      <c r="W3010">
        <v>0</v>
      </c>
      <c r="X3010">
        <v>29.4</v>
      </c>
    </row>
    <row r="3011" spans="1:24" ht="15" customHeight="1" x14ac:dyDescent="0.25">
      <c r="A3011" t="str">
        <f>""</f>
        <v/>
      </c>
      <c r="B3011" s="1"/>
      <c r="H3011">
        <v>80</v>
      </c>
      <c r="J3011" t="s">
        <v>20</v>
      </c>
      <c r="L3011" s="1"/>
      <c r="N3011" s="1"/>
      <c r="V3011" t="str">
        <f>"44200"</f>
        <v>44200</v>
      </c>
      <c r="W3011">
        <v>21.6</v>
      </c>
      <c r="X3011">
        <v>0</v>
      </c>
    </row>
    <row r="3012" spans="1:24" ht="15" customHeight="1" x14ac:dyDescent="0.25">
      <c r="A3012" t="str">
        <f>""</f>
        <v/>
      </c>
      <c r="B3012" s="1"/>
      <c r="H3012">
        <v>148.78</v>
      </c>
      <c r="J3012" t="s">
        <v>19</v>
      </c>
      <c r="L3012" s="1"/>
      <c r="N3012" s="1"/>
      <c r="V3012" t="str">
        <f>"75010"</f>
        <v>75010</v>
      </c>
      <c r="W3012">
        <v>0</v>
      </c>
      <c r="X3012">
        <v>0</v>
      </c>
    </row>
    <row r="3013" spans="1:24" ht="15" customHeight="1" x14ac:dyDescent="0.25">
      <c r="A3013" t="str">
        <f>""</f>
        <v/>
      </c>
      <c r="B3013" s="1"/>
      <c r="H3013">
        <v>55.14</v>
      </c>
      <c r="J3013" t="s">
        <v>19</v>
      </c>
      <c r="L3013" s="1"/>
      <c r="N3013" s="1"/>
      <c r="V3013" t="str">
        <f>"75010"</f>
        <v>75010</v>
      </c>
      <c r="W3013">
        <v>0</v>
      </c>
      <c r="X3013">
        <v>0</v>
      </c>
    </row>
    <row r="3014" spans="1:24" ht="15" customHeight="1" x14ac:dyDescent="0.25">
      <c r="A3014" t="str">
        <f>""</f>
        <v/>
      </c>
      <c r="B3014" s="1"/>
      <c r="H3014">
        <v>120.29</v>
      </c>
      <c r="J3014" t="s">
        <v>20</v>
      </c>
      <c r="L3014" s="1"/>
      <c r="N3014" s="1"/>
      <c r="V3014" t="str">
        <f>"54160"</f>
        <v>54160</v>
      </c>
      <c r="W3014">
        <v>30.07</v>
      </c>
      <c r="X3014">
        <v>0</v>
      </c>
    </row>
    <row r="3015" spans="1:24" ht="15" customHeight="1" x14ac:dyDescent="0.25">
      <c r="A3015" t="str">
        <f>""</f>
        <v/>
      </c>
      <c r="B3015" s="1"/>
      <c r="H3015">
        <v>142.62</v>
      </c>
      <c r="J3015" t="s">
        <v>20</v>
      </c>
      <c r="L3015" s="1"/>
      <c r="N3015" s="1"/>
      <c r="V3015" t="str">
        <f>"14150"</f>
        <v>14150</v>
      </c>
      <c r="W3015">
        <v>24.25</v>
      </c>
      <c r="X3015">
        <v>0</v>
      </c>
    </row>
    <row r="3016" spans="1:24" ht="15" customHeight="1" x14ac:dyDescent="0.25">
      <c r="A3016" t="str">
        <f>""</f>
        <v/>
      </c>
      <c r="B3016" s="1"/>
      <c r="H3016">
        <v>142.62</v>
      </c>
      <c r="J3016" t="s">
        <v>20</v>
      </c>
      <c r="L3016" s="1"/>
      <c r="N3016" s="1"/>
      <c r="V3016" t="str">
        <f>"14150"</f>
        <v>14150</v>
      </c>
      <c r="W3016">
        <v>24.25</v>
      </c>
      <c r="X3016">
        <v>0</v>
      </c>
    </row>
    <row r="3017" spans="1:24" ht="15" customHeight="1" x14ac:dyDescent="0.25">
      <c r="A3017" t="str">
        <f>""</f>
        <v/>
      </c>
      <c r="B3017" s="1"/>
      <c r="H3017">
        <v>55.14</v>
      </c>
      <c r="J3017" t="s">
        <v>20</v>
      </c>
      <c r="L3017" s="1"/>
      <c r="N3017" s="1"/>
      <c r="V3017" t="str">
        <f>"25460"</f>
        <v>25460</v>
      </c>
      <c r="W3017">
        <v>13.23</v>
      </c>
      <c r="X3017">
        <v>0</v>
      </c>
    </row>
    <row r="3018" spans="1:24" ht="15" customHeight="1" x14ac:dyDescent="0.25">
      <c r="A3018" t="str">
        <f>""</f>
        <v/>
      </c>
      <c r="B3018" s="1"/>
      <c r="H3018">
        <v>25</v>
      </c>
      <c r="J3018" t="s">
        <v>22</v>
      </c>
      <c r="L3018" s="1"/>
      <c r="N3018" s="1"/>
      <c r="V3018" t="str">
        <f>"75010"</f>
        <v>75010</v>
      </c>
      <c r="W3018">
        <v>0</v>
      </c>
      <c r="X3018">
        <v>0</v>
      </c>
    </row>
    <row r="3019" spans="1:24" ht="15" customHeight="1" x14ac:dyDescent="0.25">
      <c r="A3019" t="str">
        <f>""</f>
        <v/>
      </c>
      <c r="B3019" s="1"/>
      <c r="H3019">
        <v>38.590000000000003</v>
      </c>
      <c r="L3019" s="1"/>
      <c r="N3019" s="1"/>
      <c r="V3019" t="str">
        <f>"44240"</f>
        <v>44240</v>
      </c>
      <c r="W3019">
        <v>0</v>
      </c>
      <c r="X3019">
        <v>0</v>
      </c>
    </row>
    <row r="3020" spans="1:24" ht="15" customHeight="1" x14ac:dyDescent="0.25">
      <c r="A3020" t="str">
        <f>""</f>
        <v/>
      </c>
      <c r="B3020" s="1"/>
      <c r="H3020">
        <v>38.9</v>
      </c>
      <c r="L3020" s="1"/>
      <c r="N3020" s="1"/>
      <c r="V3020" t="str">
        <f>"44240"</f>
        <v>44240</v>
      </c>
      <c r="W3020">
        <v>0</v>
      </c>
      <c r="X3020">
        <v>0</v>
      </c>
    </row>
    <row r="3021" spans="1:24" ht="15" customHeight="1" x14ac:dyDescent="0.25">
      <c r="A3021" t="str">
        <f>""</f>
        <v/>
      </c>
      <c r="B3021" s="1"/>
      <c r="H3021">
        <v>133.06</v>
      </c>
      <c r="L3021" s="1"/>
      <c r="N3021" s="1"/>
      <c r="V3021" t="str">
        <f>"44240"</f>
        <v>44240</v>
      </c>
      <c r="W3021">
        <v>0</v>
      </c>
      <c r="X3021">
        <v>0</v>
      </c>
    </row>
    <row r="3022" spans="1:24" ht="15" customHeight="1" x14ac:dyDescent="0.25">
      <c r="A3022" t="str">
        <f>""</f>
        <v/>
      </c>
      <c r="B3022" s="1"/>
      <c r="H3022">
        <v>80</v>
      </c>
      <c r="J3022" t="s">
        <v>20</v>
      </c>
      <c r="L3022" s="1"/>
      <c r="N3022" s="1"/>
      <c r="V3022" t="str">
        <f>"34000"</f>
        <v>34000</v>
      </c>
      <c r="W3022">
        <v>31.2</v>
      </c>
      <c r="X3022">
        <v>0</v>
      </c>
    </row>
    <row r="3023" spans="1:24" ht="15" customHeight="1" x14ac:dyDescent="0.25">
      <c r="A3023" t="str">
        <f>""</f>
        <v/>
      </c>
      <c r="B3023" s="1"/>
      <c r="H3023">
        <v>137.07</v>
      </c>
      <c r="J3023" t="s">
        <v>20</v>
      </c>
      <c r="L3023" s="1"/>
      <c r="N3023" s="1"/>
      <c r="V3023" t="str">
        <f>"62620"</f>
        <v>62620</v>
      </c>
      <c r="W3023">
        <v>26.04</v>
      </c>
      <c r="X3023">
        <v>0</v>
      </c>
    </row>
    <row r="3024" spans="1:24" ht="15" customHeight="1" x14ac:dyDescent="0.25">
      <c r="A3024" t="str">
        <f>""</f>
        <v/>
      </c>
      <c r="B3024" s="1"/>
      <c r="H3024">
        <v>55.34</v>
      </c>
      <c r="J3024" t="s">
        <v>19</v>
      </c>
      <c r="L3024" s="1"/>
      <c r="N3024" s="1"/>
      <c r="V3024" t="str">
        <f>"61330"</f>
        <v>61330</v>
      </c>
      <c r="W3024">
        <v>9.41</v>
      </c>
      <c r="X3024">
        <v>0</v>
      </c>
    </row>
    <row r="3025" spans="1:24" ht="15" customHeight="1" x14ac:dyDescent="0.25">
      <c r="A3025" t="str">
        <f>""</f>
        <v/>
      </c>
      <c r="B3025" s="1"/>
      <c r="H3025">
        <v>40</v>
      </c>
      <c r="J3025" t="s">
        <v>20</v>
      </c>
      <c r="L3025" s="1"/>
      <c r="N3025" s="1"/>
      <c r="V3025" t="str">
        <f>"44300"</f>
        <v>44300</v>
      </c>
      <c r="W3025">
        <v>10.8</v>
      </c>
      <c r="X3025">
        <v>0</v>
      </c>
    </row>
    <row r="3026" spans="1:24" ht="15" customHeight="1" x14ac:dyDescent="0.25">
      <c r="A3026" t="str">
        <f>""</f>
        <v/>
      </c>
      <c r="B3026" s="1"/>
      <c r="H3026">
        <v>66.400000000000006</v>
      </c>
      <c r="L3026" s="1"/>
      <c r="N3026" s="1"/>
      <c r="V3026" t="str">
        <f>"77184"</f>
        <v>77184</v>
      </c>
      <c r="W3026">
        <v>0</v>
      </c>
      <c r="X3026">
        <v>0</v>
      </c>
    </row>
    <row r="3027" spans="1:24" ht="15" customHeight="1" x14ac:dyDescent="0.25">
      <c r="A3027" t="str">
        <f>""</f>
        <v/>
      </c>
      <c r="B3027" s="1"/>
      <c r="H3027">
        <v>220.04</v>
      </c>
      <c r="L3027" s="1"/>
      <c r="N3027" s="1"/>
      <c r="V3027" t="str">
        <f>"77184"</f>
        <v>77184</v>
      </c>
      <c r="W3027">
        <v>0</v>
      </c>
      <c r="X3027">
        <v>0</v>
      </c>
    </row>
    <row r="3028" spans="1:24" ht="15" customHeight="1" x14ac:dyDescent="0.25">
      <c r="A3028" t="str">
        <f>""</f>
        <v/>
      </c>
      <c r="B3028" s="1"/>
      <c r="H3028">
        <v>180</v>
      </c>
      <c r="J3028" t="s">
        <v>23</v>
      </c>
      <c r="L3028" s="1"/>
      <c r="N3028" s="1"/>
      <c r="V3028" t="str">
        <f>"57535"</f>
        <v>57535</v>
      </c>
      <c r="W3028">
        <v>0</v>
      </c>
      <c r="X3028">
        <v>45</v>
      </c>
    </row>
    <row r="3029" spans="1:24" x14ac:dyDescent="0.25">
      <c r="A3029" t="str">
        <f>""</f>
        <v/>
      </c>
      <c r="B3029" s="1"/>
      <c r="H3029">
        <v>173.44</v>
      </c>
      <c r="J3029" t="s">
        <v>15</v>
      </c>
      <c r="L3029" s="1"/>
      <c r="N3029" s="1"/>
      <c r="V3029" t="str">
        <f>"76700"</f>
        <v>76700</v>
      </c>
      <c r="W3029">
        <v>0</v>
      </c>
      <c r="X3029">
        <v>0</v>
      </c>
    </row>
    <row r="3030" spans="1:24" ht="15" customHeight="1" x14ac:dyDescent="0.25">
      <c r="A3030" t="str">
        <f>""</f>
        <v/>
      </c>
      <c r="B3030" s="1"/>
      <c r="H3030">
        <v>151</v>
      </c>
      <c r="J3030" t="s">
        <v>22</v>
      </c>
      <c r="L3030" s="1"/>
      <c r="V3030" t="str">
        <f>"60300"</f>
        <v>60300</v>
      </c>
      <c r="W3030">
        <v>0</v>
      </c>
      <c r="X3030">
        <v>0</v>
      </c>
    </row>
    <row r="3031" spans="1:24" ht="15" customHeight="1" x14ac:dyDescent="0.25">
      <c r="A3031" t="str">
        <f>""</f>
        <v/>
      </c>
      <c r="B3031" s="1"/>
      <c r="H3031">
        <v>197.85</v>
      </c>
      <c r="J3031" t="s">
        <v>19</v>
      </c>
      <c r="L3031" s="1"/>
      <c r="N3031" s="1"/>
      <c r="V3031" t="str">
        <f>"27100"</f>
        <v>27100</v>
      </c>
      <c r="W3031">
        <v>33.630000000000003</v>
      </c>
      <c r="X3031">
        <v>0</v>
      </c>
    </row>
    <row r="3032" spans="1:24" ht="15" customHeight="1" x14ac:dyDescent="0.25">
      <c r="A3032" t="str">
        <f>""</f>
        <v/>
      </c>
      <c r="B3032" s="1"/>
      <c r="H3032">
        <v>75.34</v>
      </c>
      <c r="J3032" t="s">
        <v>20</v>
      </c>
      <c r="L3032" s="1"/>
      <c r="N3032" s="1"/>
      <c r="V3032" t="str">
        <f>"83000"</f>
        <v>83000</v>
      </c>
      <c r="W3032">
        <v>22.6</v>
      </c>
      <c r="X3032">
        <v>0</v>
      </c>
    </row>
    <row r="3033" spans="1:24" ht="15" customHeight="1" x14ac:dyDescent="0.25">
      <c r="A3033" t="str">
        <f>""</f>
        <v/>
      </c>
      <c r="B3033" s="1"/>
      <c r="H3033">
        <v>5.6</v>
      </c>
      <c r="J3033" t="s">
        <v>20</v>
      </c>
      <c r="L3033" s="1"/>
      <c r="N3033" s="1"/>
      <c r="V3033" t="str">
        <f>"26000"</f>
        <v>26000</v>
      </c>
      <c r="W3033">
        <v>1.51</v>
      </c>
      <c r="X3033">
        <v>0</v>
      </c>
    </row>
    <row r="3034" spans="1:24" ht="15" customHeight="1" x14ac:dyDescent="0.25">
      <c r="A3034" t="str">
        <f>""</f>
        <v/>
      </c>
      <c r="B3034" s="1"/>
      <c r="H3034">
        <v>180</v>
      </c>
      <c r="J3034" t="s">
        <v>23</v>
      </c>
      <c r="L3034" s="1"/>
      <c r="N3034" s="1"/>
      <c r="V3034" t="str">
        <f>"50380"</f>
        <v>50380</v>
      </c>
      <c r="W3034">
        <v>0</v>
      </c>
      <c r="X3034">
        <v>0</v>
      </c>
    </row>
    <row r="3035" spans="1:24" ht="15" customHeight="1" x14ac:dyDescent="0.25">
      <c r="A3035" t="str">
        <f>""</f>
        <v/>
      </c>
      <c r="B3035" s="1"/>
      <c r="H3035">
        <v>176</v>
      </c>
      <c r="J3035" t="s">
        <v>22</v>
      </c>
      <c r="L3035" s="1"/>
      <c r="N3035" s="1"/>
      <c r="V3035" t="str">
        <f>"69005"</f>
        <v>69005</v>
      </c>
      <c r="W3035">
        <v>0</v>
      </c>
      <c r="X3035">
        <v>0</v>
      </c>
    </row>
    <row r="3036" spans="1:24" ht="15" customHeight="1" x14ac:dyDescent="0.25">
      <c r="A3036" t="str">
        <f>""</f>
        <v/>
      </c>
      <c r="B3036" s="1"/>
      <c r="H3036">
        <v>55.36</v>
      </c>
      <c r="J3036" t="s">
        <v>20</v>
      </c>
      <c r="L3036" s="1"/>
      <c r="N3036" s="1"/>
      <c r="V3036" t="str">
        <f>"85000"</f>
        <v>85000</v>
      </c>
      <c r="W3036">
        <v>14.95</v>
      </c>
      <c r="X3036">
        <v>0</v>
      </c>
    </row>
    <row r="3037" spans="1:24" ht="15" customHeight="1" x14ac:dyDescent="0.25">
      <c r="A3037" t="str">
        <f>""</f>
        <v/>
      </c>
      <c r="B3037" s="1"/>
      <c r="H3037">
        <v>25</v>
      </c>
      <c r="J3037" t="s">
        <v>20</v>
      </c>
      <c r="L3037" s="1"/>
      <c r="N3037" s="1"/>
      <c r="V3037" t="str">
        <f>"06220"</f>
        <v>06220</v>
      </c>
      <c r="W3037">
        <v>7.5</v>
      </c>
      <c r="X3037">
        <v>0</v>
      </c>
    </row>
    <row r="3038" spans="1:24" ht="15" customHeight="1" x14ac:dyDescent="0.25">
      <c r="A3038" t="str">
        <f>""</f>
        <v/>
      </c>
      <c r="B3038" s="1"/>
      <c r="H3038">
        <v>140</v>
      </c>
      <c r="J3038" t="s">
        <v>19</v>
      </c>
      <c r="L3038" s="1"/>
      <c r="N3038" s="1"/>
      <c r="V3038" t="str">
        <f>"62150"</f>
        <v>62150</v>
      </c>
      <c r="W3038">
        <v>26.6</v>
      </c>
      <c r="X3038">
        <v>0</v>
      </c>
    </row>
    <row r="3039" spans="1:24" ht="15" customHeight="1" x14ac:dyDescent="0.25">
      <c r="A3039" t="str">
        <f>""</f>
        <v/>
      </c>
      <c r="B3039" s="1"/>
      <c r="H3039">
        <v>20</v>
      </c>
      <c r="J3039" t="s">
        <v>22</v>
      </c>
      <c r="L3039" s="1"/>
      <c r="N3039" s="1"/>
      <c r="V3039" t="str">
        <f>"68270"</f>
        <v>68270</v>
      </c>
      <c r="W3039">
        <v>0</v>
      </c>
      <c r="X3039">
        <v>1.6</v>
      </c>
    </row>
    <row r="3040" spans="1:24" ht="15" customHeight="1" x14ac:dyDescent="0.25">
      <c r="A3040" t="str">
        <f>""</f>
        <v/>
      </c>
      <c r="B3040" s="1"/>
      <c r="H3040">
        <v>140</v>
      </c>
      <c r="J3040" t="s">
        <v>22</v>
      </c>
      <c r="L3040" s="1"/>
      <c r="N3040" s="1"/>
      <c r="V3040" t="str">
        <f>"73000"</f>
        <v>73000</v>
      </c>
      <c r="W3040">
        <v>0</v>
      </c>
      <c r="X3040">
        <v>0</v>
      </c>
    </row>
    <row r="3041" spans="1:24" ht="15" customHeight="1" x14ac:dyDescent="0.25">
      <c r="A3041" t="str">
        <f>""</f>
        <v/>
      </c>
      <c r="B3041" s="1"/>
      <c r="H3041">
        <v>199.44</v>
      </c>
      <c r="J3041" t="s">
        <v>20</v>
      </c>
      <c r="L3041" s="1"/>
      <c r="V3041" t="str">
        <f>"06300"</f>
        <v>06300</v>
      </c>
      <c r="W3041">
        <v>0</v>
      </c>
      <c r="X3041">
        <v>0</v>
      </c>
    </row>
    <row r="3042" spans="1:24" ht="15" customHeight="1" x14ac:dyDescent="0.25">
      <c r="A3042" t="str">
        <f>""</f>
        <v/>
      </c>
      <c r="B3042" s="1"/>
      <c r="H3042">
        <v>138.16</v>
      </c>
      <c r="J3042" t="s">
        <v>19</v>
      </c>
      <c r="L3042" s="1"/>
      <c r="N3042" s="1"/>
      <c r="V3042" t="str">
        <f>"69005"</f>
        <v>69005</v>
      </c>
      <c r="W3042">
        <v>37.299999999999997</v>
      </c>
      <c r="X3042">
        <v>0</v>
      </c>
    </row>
    <row r="3043" spans="1:24" ht="15" customHeight="1" x14ac:dyDescent="0.25">
      <c r="A3043" t="str">
        <f>""</f>
        <v/>
      </c>
      <c r="B3043" s="1"/>
      <c r="H3043">
        <v>0.01</v>
      </c>
      <c r="J3043" t="s">
        <v>19</v>
      </c>
      <c r="L3043" s="1"/>
      <c r="N3043" s="1"/>
      <c r="V3043" t="str">
        <f>"63670"</f>
        <v>63670</v>
      </c>
      <c r="W3043">
        <v>0</v>
      </c>
      <c r="X3043">
        <v>0</v>
      </c>
    </row>
    <row r="3044" spans="1:24" ht="15" customHeight="1" x14ac:dyDescent="0.25">
      <c r="A3044" t="str">
        <f>""</f>
        <v/>
      </c>
      <c r="B3044" s="1"/>
      <c r="H3044">
        <v>139</v>
      </c>
      <c r="L3044" s="1"/>
      <c r="N3044" s="1"/>
      <c r="V3044" t="str">
        <f>"77184"</f>
        <v>77184</v>
      </c>
      <c r="W3044">
        <v>0</v>
      </c>
      <c r="X3044">
        <v>0</v>
      </c>
    </row>
    <row r="3045" spans="1:24" ht="15" customHeight="1" x14ac:dyDescent="0.25">
      <c r="A3045" t="str">
        <f>""</f>
        <v/>
      </c>
      <c r="B3045" s="1"/>
      <c r="H3045">
        <v>40</v>
      </c>
      <c r="J3045" t="s">
        <v>22</v>
      </c>
      <c r="L3045" s="1"/>
      <c r="V3045" t="str">
        <f>"06000"</f>
        <v>06000</v>
      </c>
      <c r="W3045">
        <v>0</v>
      </c>
      <c r="X3045">
        <v>0</v>
      </c>
    </row>
    <row r="3046" spans="1:24" ht="15" customHeight="1" x14ac:dyDescent="0.25">
      <c r="A3046" t="str">
        <f>""</f>
        <v/>
      </c>
      <c r="B3046" s="1"/>
      <c r="H3046">
        <v>122.84</v>
      </c>
      <c r="J3046" t="s">
        <v>20</v>
      </c>
      <c r="L3046" s="1"/>
      <c r="N3046" s="1"/>
      <c r="V3046" t="str">
        <f>"38500"</f>
        <v>38500</v>
      </c>
      <c r="W3046">
        <v>33.17</v>
      </c>
      <c r="X3046">
        <v>0</v>
      </c>
    </row>
    <row r="3047" spans="1:24" ht="15" customHeight="1" x14ac:dyDescent="0.25">
      <c r="A3047" t="str">
        <f>""</f>
        <v/>
      </c>
      <c r="B3047" s="1"/>
      <c r="H3047">
        <v>131.97999999999999</v>
      </c>
      <c r="J3047" t="s">
        <v>20</v>
      </c>
      <c r="L3047" s="1"/>
      <c r="N3047" s="1"/>
      <c r="V3047" t="str">
        <f>"17200"</f>
        <v>17200</v>
      </c>
      <c r="W3047">
        <v>27.72</v>
      </c>
      <c r="X3047">
        <v>0</v>
      </c>
    </row>
    <row r="3048" spans="1:24" ht="15" customHeight="1" x14ac:dyDescent="0.25">
      <c r="A3048" t="str">
        <f>""</f>
        <v/>
      </c>
      <c r="B3048" s="1"/>
      <c r="H3048">
        <v>55.34</v>
      </c>
      <c r="J3048" t="s">
        <v>19</v>
      </c>
      <c r="L3048" s="1"/>
      <c r="N3048" s="1"/>
      <c r="V3048" t="str">
        <f>"54300"</f>
        <v>54300</v>
      </c>
      <c r="W3048">
        <v>13.84</v>
      </c>
      <c r="X3048">
        <v>0</v>
      </c>
    </row>
    <row r="3049" spans="1:24" ht="15" customHeight="1" x14ac:dyDescent="0.25">
      <c r="A3049" t="str">
        <f>""</f>
        <v/>
      </c>
      <c r="B3049" s="1"/>
      <c r="H3049">
        <v>29.59</v>
      </c>
      <c r="J3049" t="s">
        <v>22</v>
      </c>
      <c r="L3049" s="1"/>
      <c r="N3049" s="1"/>
      <c r="V3049" t="str">
        <f>"69006"</f>
        <v>69006</v>
      </c>
      <c r="W3049">
        <v>0</v>
      </c>
      <c r="X3049">
        <v>0</v>
      </c>
    </row>
    <row r="3050" spans="1:24" x14ac:dyDescent="0.25">
      <c r="A3050" t="str">
        <f>""</f>
        <v/>
      </c>
      <c r="B3050" s="1"/>
      <c r="H3050">
        <v>140</v>
      </c>
      <c r="J3050" t="s">
        <v>18</v>
      </c>
      <c r="L3050" s="1"/>
      <c r="N3050" s="1"/>
      <c r="V3050" t="str">
        <f>"94550"</f>
        <v>94550</v>
      </c>
      <c r="W3050">
        <v>0</v>
      </c>
      <c r="X3050">
        <v>0</v>
      </c>
    </row>
    <row r="3051" spans="1:24" ht="15" customHeight="1" x14ac:dyDescent="0.25">
      <c r="A3051" t="str">
        <f>""</f>
        <v/>
      </c>
      <c r="B3051" s="1"/>
      <c r="H3051">
        <v>2.5</v>
      </c>
      <c r="J3051" t="s">
        <v>20</v>
      </c>
      <c r="L3051" s="1"/>
      <c r="N3051" s="1"/>
      <c r="V3051" t="str">
        <f>"89800"</f>
        <v>89800</v>
      </c>
      <c r="W3051">
        <v>0.6</v>
      </c>
      <c r="X3051">
        <v>0</v>
      </c>
    </row>
    <row r="3052" spans="1:24" ht="15" customHeight="1" x14ac:dyDescent="0.25">
      <c r="A3052" t="str">
        <f>""</f>
        <v/>
      </c>
      <c r="B3052" s="1"/>
      <c r="H3052">
        <v>151</v>
      </c>
      <c r="J3052" t="s">
        <v>22</v>
      </c>
      <c r="L3052" s="1"/>
      <c r="N3052" s="1"/>
      <c r="V3052" t="str">
        <f>"13290"</f>
        <v>13290</v>
      </c>
      <c r="W3052">
        <v>0</v>
      </c>
      <c r="X3052">
        <v>0</v>
      </c>
    </row>
    <row r="3053" spans="1:24" ht="15" customHeight="1" x14ac:dyDescent="0.25">
      <c r="A3053" t="str">
        <f>""</f>
        <v/>
      </c>
      <c r="B3053" s="1"/>
      <c r="H3053">
        <v>225.07</v>
      </c>
      <c r="J3053" t="s">
        <v>22</v>
      </c>
      <c r="L3053" s="1"/>
      <c r="N3053" s="1"/>
      <c r="V3053" t="str">
        <f>"69006"</f>
        <v>69006</v>
      </c>
      <c r="W3053">
        <v>0</v>
      </c>
      <c r="X3053">
        <v>0</v>
      </c>
    </row>
    <row r="3054" spans="1:24" ht="15" customHeight="1" x14ac:dyDescent="0.25">
      <c r="A3054" t="str">
        <f>""</f>
        <v/>
      </c>
      <c r="B3054" s="1"/>
      <c r="H3054">
        <v>137.59</v>
      </c>
      <c r="J3054" t="s">
        <v>19</v>
      </c>
      <c r="L3054" s="1"/>
      <c r="N3054" s="1"/>
      <c r="V3054" t="str">
        <f>"75014"</f>
        <v>75014</v>
      </c>
      <c r="W3054">
        <v>0</v>
      </c>
      <c r="X3054">
        <v>0</v>
      </c>
    </row>
    <row r="3055" spans="1:24" ht="15" customHeight="1" x14ac:dyDescent="0.25">
      <c r="A3055" t="str">
        <f>""</f>
        <v/>
      </c>
      <c r="B3055" s="1"/>
      <c r="H3055">
        <v>30</v>
      </c>
      <c r="J3055" t="s">
        <v>19</v>
      </c>
      <c r="L3055" s="1"/>
      <c r="N3055" s="1"/>
      <c r="V3055" t="str">
        <f>"92200"</f>
        <v>92200</v>
      </c>
      <c r="W3055">
        <v>0</v>
      </c>
      <c r="X3055">
        <v>0</v>
      </c>
    </row>
    <row r="3056" spans="1:24" ht="15" customHeight="1" x14ac:dyDescent="0.25">
      <c r="A3056" t="str">
        <f>""</f>
        <v/>
      </c>
      <c r="B3056" s="1"/>
      <c r="H3056">
        <v>180</v>
      </c>
      <c r="J3056" t="s">
        <v>22</v>
      </c>
      <c r="L3056" s="1"/>
      <c r="N3056" s="1"/>
      <c r="V3056" t="str">
        <f>"76220"</f>
        <v>76220</v>
      </c>
      <c r="W3056">
        <v>0</v>
      </c>
      <c r="X3056">
        <v>30.6</v>
      </c>
    </row>
    <row r="3057" spans="1:24" ht="15" customHeight="1" x14ac:dyDescent="0.25">
      <c r="A3057" t="str">
        <f>""</f>
        <v/>
      </c>
      <c r="B3057" s="1"/>
      <c r="H3057">
        <v>193.58</v>
      </c>
      <c r="J3057" t="s">
        <v>22</v>
      </c>
      <c r="L3057" s="1"/>
      <c r="N3057" s="1"/>
      <c r="V3057" t="str">
        <f>"59175"</f>
        <v>59175</v>
      </c>
      <c r="W3057">
        <v>0</v>
      </c>
      <c r="X3057">
        <v>0</v>
      </c>
    </row>
    <row r="3058" spans="1:24" ht="15" customHeight="1" x14ac:dyDescent="0.25">
      <c r="A3058" t="str">
        <f>""</f>
        <v/>
      </c>
      <c r="B3058" s="1"/>
      <c r="H3058">
        <v>140</v>
      </c>
      <c r="J3058" t="s">
        <v>23</v>
      </c>
      <c r="L3058" s="1"/>
      <c r="V3058" t="str">
        <f>"29490"</f>
        <v>29490</v>
      </c>
      <c r="W3058">
        <v>0</v>
      </c>
      <c r="X3058">
        <v>0</v>
      </c>
    </row>
    <row r="3059" spans="1:24" ht="15" customHeight="1" x14ac:dyDescent="0.25">
      <c r="A3059" t="str">
        <f>""</f>
        <v/>
      </c>
      <c r="B3059" s="1"/>
      <c r="H3059">
        <v>100</v>
      </c>
      <c r="L3059" s="1"/>
      <c r="N3059" s="1"/>
      <c r="V3059" t="str">
        <f>"77184"</f>
        <v>77184</v>
      </c>
      <c r="W3059">
        <v>0</v>
      </c>
      <c r="X3059">
        <v>0</v>
      </c>
    </row>
    <row r="3060" spans="1:24" ht="15" customHeight="1" x14ac:dyDescent="0.25">
      <c r="A3060" t="str">
        <f>""</f>
        <v/>
      </c>
      <c r="B3060" s="1"/>
      <c r="H3060">
        <v>205</v>
      </c>
      <c r="J3060" t="s">
        <v>23</v>
      </c>
      <c r="L3060" s="1"/>
      <c r="N3060" s="1"/>
      <c r="V3060" t="str">
        <f>"38500"</f>
        <v>38500</v>
      </c>
      <c r="W3060">
        <v>0</v>
      </c>
      <c r="X3060">
        <v>0</v>
      </c>
    </row>
    <row r="3061" spans="1:24" ht="15" customHeight="1" x14ac:dyDescent="0.25">
      <c r="A3061" t="str">
        <f>""</f>
        <v/>
      </c>
      <c r="B3061" s="1"/>
      <c r="H3061">
        <v>22.8</v>
      </c>
      <c r="J3061" t="s">
        <v>22</v>
      </c>
      <c r="L3061" s="1"/>
      <c r="N3061" s="1"/>
      <c r="V3061" t="str">
        <f>"92350"</f>
        <v>92350</v>
      </c>
      <c r="W3061">
        <v>0</v>
      </c>
      <c r="X3061">
        <v>0</v>
      </c>
    </row>
    <row r="3062" spans="1:24" ht="15" customHeight="1" x14ac:dyDescent="0.25">
      <c r="A3062" t="str">
        <f>""</f>
        <v/>
      </c>
      <c r="B3062" s="1"/>
      <c r="H3062">
        <v>40</v>
      </c>
      <c r="J3062" t="s">
        <v>22</v>
      </c>
      <c r="L3062" s="1"/>
      <c r="N3062" s="1"/>
      <c r="V3062" t="str">
        <f>"77190"</f>
        <v>77190</v>
      </c>
      <c r="W3062">
        <v>0</v>
      </c>
      <c r="X3062">
        <v>0</v>
      </c>
    </row>
    <row r="3063" spans="1:24" ht="15" customHeight="1" x14ac:dyDescent="0.25">
      <c r="A3063" t="str">
        <f>""</f>
        <v/>
      </c>
      <c r="B3063" s="1"/>
      <c r="H3063">
        <v>129.81</v>
      </c>
      <c r="J3063" t="s">
        <v>22</v>
      </c>
      <c r="L3063" s="1"/>
      <c r="N3063" s="1"/>
      <c r="V3063" t="str">
        <f>"31670"</f>
        <v>31670</v>
      </c>
      <c r="W3063">
        <v>0</v>
      </c>
      <c r="X3063">
        <v>35.049999999999997</v>
      </c>
    </row>
    <row r="3064" spans="1:24" ht="15" customHeight="1" x14ac:dyDescent="0.25">
      <c r="A3064" t="str">
        <f>""</f>
        <v/>
      </c>
      <c r="B3064" s="1"/>
      <c r="H3064">
        <v>140</v>
      </c>
      <c r="J3064" t="s">
        <v>23</v>
      </c>
      <c r="L3064" s="1"/>
      <c r="N3064" s="1"/>
      <c r="V3064" t="str">
        <f>"59110"</f>
        <v>59110</v>
      </c>
      <c r="W3064">
        <v>0</v>
      </c>
      <c r="X3064">
        <v>0</v>
      </c>
    </row>
    <row r="3065" spans="1:24" ht="15" customHeight="1" x14ac:dyDescent="0.25">
      <c r="A3065" t="str">
        <f>""</f>
        <v/>
      </c>
      <c r="B3065" s="1"/>
      <c r="H3065">
        <v>163.98</v>
      </c>
      <c r="J3065" t="s">
        <v>22</v>
      </c>
      <c r="L3065" s="1"/>
      <c r="N3065" s="1"/>
      <c r="V3065" t="str">
        <f>"59148"</f>
        <v>59148</v>
      </c>
      <c r="W3065">
        <v>0</v>
      </c>
      <c r="X3065">
        <v>0</v>
      </c>
    </row>
    <row r="3066" spans="1:24" ht="15" customHeight="1" x14ac:dyDescent="0.25">
      <c r="A3066" t="str">
        <f>""</f>
        <v/>
      </c>
      <c r="B3066" s="1"/>
      <c r="H3066">
        <v>38.54</v>
      </c>
      <c r="J3066" t="s">
        <v>22</v>
      </c>
      <c r="L3066" s="1"/>
      <c r="N3066" s="1"/>
      <c r="V3066" t="str">
        <f>"78125"</f>
        <v>78125</v>
      </c>
      <c r="W3066">
        <v>0</v>
      </c>
      <c r="X3066">
        <v>0</v>
      </c>
    </row>
    <row r="3067" spans="1:24" ht="15" customHeight="1" x14ac:dyDescent="0.25">
      <c r="A3067" t="str">
        <f>""</f>
        <v/>
      </c>
      <c r="B3067" s="1"/>
      <c r="H3067">
        <v>151</v>
      </c>
      <c r="J3067" t="s">
        <v>23</v>
      </c>
      <c r="L3067" s="1"/>
      <c r="N3067" s="1"/>
      <c r="V3067" t="str">
        <f>"35137"</f>
        <v>35137</v>
      </c>
      <c r="W3067">
        <v>0</v>
      </c>
      <c r="X3067">
        <v>40.770000000000003</v>
      </c>
    </row>
    <row r="3068" spans="1:24" ht="15" customHeight="1" x14ac:dyDescent="0.25">
      <c r="A3068" t="str">
        <f>""</f>
        <v/>
      </c>
      <c r="B3068" s="1"/>
      <c r="H3068">
        <v>70</v>
      </c>
      <c r="J3068" t="s">
        <v>22</v>
      </c>
      <c r="L3068" s="1"/>
      <c r="N3068" s="1"/>
      <c r="V3068" t="str">
        <f>"75014"</f>
        <v>75014</v>
      </c>
      <c r="W3068">
        <v>0</v>
      </c>
      <c r="X3068">
        <v>0</v>
      </c>
    </row>
    <row r="3069" spans="1:24" ht="15" customHeight="1" x14ac:dyDescent="0.25">
      <c r="A3069" t="str">
        <f>""</f>
        <v/>
      </c>
      <c r="B3069" s="1"/>
      <c r="H3069">
        <v>70</v>
      </c>
      <c r="J3069" t="s">
        <v>22</v>
      </c>
      <c r="L3069" s="1"/>
      <c r="N3069" s="1"/>
      <c r="V3069" t="str">
        <f>"83190"</f>
        <v>83190</v>
      </c>
      <c r="W3069">
        <v>0</v>
      </c>
      <c r="X3069">
        <v>14.7</v>
      </c>
    </row>
    <row r="3070" spans="1:24" ht="15" customHeight="1" x14ac:dyDescent="0.25">
      <c r="A3070" t="str">
        <f>""</f>
        <v/>
      </c>
      <c r="B3070" s="1"/>
      <c r="H3070">
        <v>151</v>
      </c>
      <c r="J3070" t="s">
        <v>22</v>
      </c>
      <c r="L3070" s="1"/>
      <c r="V3070" t="str">
        <f>"69120"</f>
        <v>69120</v>
      </c>
      <c r="W3070">
        <v>0</v>
      </c>
      <c r="X3070">
        <v>0</v>
      </c>
    </row>
    <row r="3071" spans="1:24" ht="15" customHeight="1" x14ac:dyDescent="0.25">
      <c r="A3071" t="str">
        <f>""</f>
        <v/>
      </c>
      <c r="B3071" s="1"/>
      <c r="H3071">
        <v>140</v>
      </c>
      <c r="J3071" t="s">
        <v>23</v>
      </c>
      <c r="L3071" s="1"/>
      <c r="V3071" t="str">
        <f>"25000"</f>
        <v>25000</v>
      </c>
      <c r="W3071">
        <v>0</v>
      </c>
      <c r="X3071">
        <v>0</v>
      </c>
    </row>
    <row r="3072" spans="1:24" ht="15" customHeight="1" x14ac:dyDescent="0.25">
      <c r="A3072" t="str">
        <f>""</f>
        <v/>
      </c>
      <c r="B3072" s="1"/>
      <c r="H3072">
        <v>140</v>
      </c>
      <c r="J3072" t="s">
        <v>23</v>
      </c>
      <c r="L3072" s="1"/>
      <c r="V3072" t="str">
        <f>"63000"</f>
        <v>63000</v>
      </c>
      <c r="W3072">
        <v>0</v>
      </c>
      <c r="X3072">
        <v>0</v>
      </c>
    </row>
    <row r="3073" spans="1:24" ht="15" customHeight="1" x14ac:dyDescent="0.25">
      <c r="A3073" t="str">
        <f>""</f>
        <v/>
      </c>
      <c r="B3073" s="1"/>
      <c r="H3073">
        <v>335.23</v>
      </c>
      <c r="J3073" t="s">
        <v>23</v>
      </c>
      <c r="L3073" s="1"/>
      <c r="V3073" t="str">
        <f>"77186"</f>
        <v>77186</v>
      </c>
      <c r="W3073">
        <v>0</v>
      </c>
      <c r="X3073">
        <v>0</v>
      </c>
    </row>
    <row r="3074" spans="1:24" ht="15" customHeight="1" x14ac:dyDescent="0.25">
      <c r="A3074" t="str">
        <f>""</f>
        <v/>
      </c>
      <c r="B3074" s="1"/>
      <c r="H3074">
        <v>70</v>
      </c>
      <c r="J3074" t="s">
        <v>23</v>
      </c>
      <c r="L3074" s="1"/>
      <c r="N3074" s="1"/>
      <c r="V3074" t="str">
        <f>"83190"</f>
        <v>83190</v>
      </c>
      <c r="W3074">
        <v>0</v>
      </c>
      <c r="X3074">
        <v>14.7</v>
      </c>
    </row>
    <row r="3075" spans="1:24" ht="15" customHeight="1" x14ac:dyDescent="0.25">
      <c r="A3075" t="str">
        <f>""</f>
        <v/>
      </c>
      <c r="B3075" s="1"/>
      <c r="H3075">
        <v>604.03</v>
      </c>
      <c r="J3075" t="s">
        <v>23</v>
      </c>
      <c r="L3075" s="1"/>
      <c r="N3075" s="1"/>
      <c r="V3075" t="str">
        <f>"41000"</f>
        <v>41000</v>
      </c>
      <c r="W3075">
        <v>0</v>
      </c>
      <c r="X3075">
        <v>0</v>
      </c>
    </row>
    <row r="3076" spans="1:24" ht="15" customHeight="1" x14ac:dyDescent="0.25">
      <c r="A3076" t="str">
        <f>""</f>
        <v/>
      </c>
      <c r="B3076" s="1"/>
      <c r="H3076">
        <v>180</v>
      </c>
      <c r="J3076" t="s">
        <v>23</v>
      </c>
      <c r="L3076" s="1"/>
      <c r="N3076" s="1"/>
      <c r="V3076" t="str">
        <f>"83000"</f>
        <v>83000</v>
      </c>
      <c r="W3076">
        <v>0</v>
      </c>
      <c r="X3076">
        <v>37.799999999999997</v>
      </c>
    </row>
    <row r="3077" spans="1:24" ht="15" customHeight="1" x14ac:dyDescent="0.25">
      <c r="A3077" t="str">
        <f>""</f>
        <v/>
      </c>
      <c r="B3077" s="1"/>
      <c r="H3077">
        <v>180</v>
      </c>
      <c r="J3077" t="s">
        <v>23</v>
      </c>
      <c r="L3077" s="1"/>
      <c r="V3077" t="str">
        <f>"78370"</f>
        <v>78370</v>
      </c>
      <c r="W3077">
        <v>0</v>
      </c>
      <c r="X3077">
        <v>0</v>
      </c>
    </row>
    <row r="3078" spans="1:24" ht="15" customHeight="1" x14ac:dyDescent="0.25">
      <c r="A3078" t="str">
        <f>""</f>
        <v/>
      </c>
      <c r="B3078" s="1"/>
      <c r="H3078">
        <v>137.05000000000001</v>
      </c>
      <c r="J3078" t="s">
        <v>23</v>
      </c>
      <c r="L3078" s="1"/>
      <c r="N3078" s="1"/>
      <c r="V3078" t="str">
        <f>"83000"</f>
        <v>83000</v>
      </c>
      <c r="W3078">
        <v>0</v>
      </c>
      <c r="X3078">
        <v>28.78</v>
      </c>
    </row>
    <row r="3079" spans="1:24" ht="15" customHeight="1" x14ac:dyDescent="0.25">
      <c r="A3079" t="str">
        <f>""</f>
        <v/>
      </c>
      <c r="B3079" s="1"/>
      <c r="H3079">
        <v>55</v>
      </c>
      <c r="J3079" t="s">
        <v>22</v>
      </c>
      <c r="L3079" s="1"/>
      <c r="N3079" s="1"/>
      <c r="V3079" t="str">
        <f>"70000"</f>
        <v>70000</v>
      </c>
      <c r="W3079">
        <v>0</v>
      </c>
      <c r="X3079">
        <v>6.6</v>
      </c>
    </row>
    <row r="3080" spans="1:24" ht="15" customHeight="1" x14ac:dyDescent="0.25">
      <c r="A3080" t="str">
        <f>""</f>
        <v/>
      </c>
      <c r="B3080" s="1"/>
      <c r="H3080">
        <v>40</v>
      </c>
      <c r="J3080" t="s">
        <v>22</v>
      </c>
      <c r="L3080" s="1"/>
      <c r="N3080" s="1"/>
      <c r="V3080" t="str">
        <f>"70000"</f>
        <v>70000</v>
      </c>
      <c r="W3080">
        <v>0</v>
      </c>
      <c r="X3080">
        <v>0</v>
      </c>
    </row>
    <row r="3081" spans="1:24" ht="15" customHeight="1" x14ac:dyDescent="0.25">
      <c r="A3081" t="str">
        <f>""</f>
        <v/>
      </c>
      <c r="B3081" s="1"/>
      <c r="H3081">
        <v>22.5</v>
      </c>
      <c r="J3081" t="s">
        <v>22</v>
      </c>
      <c r="L3081" s="1"/>
      <c r="V3081" t="str">
        <f>"70000"</f>
        <v>70000</v>
      </c>
      <c r="W3081">
        <v>0</v>
      </c>
      <c r="X3081">
        <v>0</v>
      </c>
    </row>
    <row r="3082" spans="1:24" ht="15" customHeight="1" x14ac:dyDescent="0.25">
      <c r="A3082" t="str">
        <f>""</f>
        <v/>
      </c>
      <c r="B3082" s="1"/>
      <c r="H3082">
        <v>100.5</v>
      </c>
      <c r="J3082" t="s">
        <v>23</v>
      </c>
      <c r="L3082" s="1"/>
      <c r="V3082" t="str">
        <f>"34000"</f>
        <v>34000</v>
      </c>
      <c r="W3082">
        <v>0</v>
      </c>
      <c r="X3082">
        <v>0</v>
      </c>
    </row>
    <row r="3083" spans="1:24" ht="15" customHeight="1" x14ac:dyDescent="0.25">
      <c r="A3083" t="str">
        <f>""</f>
        <v/>
      </c>
      <c r="B3083" s="1"/>
      <c r="H3083">
        <v>250</v>
      </c>
      <c r="J3083" t="s">
        <v>23</v>
      </c>
      <c r="L3083" s="1"/>
      <c r="V3083" t="str">
        <f>"34000"</f>
        <v>34000</v>
      </c>
      <c r="W3083">
        <v>0</v>
      </c>
      <c r="X3083">
        <v>0</v>
      </c>
    </row>
    <row r="3084" spans="1:24" x14ac:dyDescent="0.25">
      <c r="A3084" t="str">
        <f>""</f>
        <v/>
      </c>
      <c r="B3084" s="1"/>
      <c r="H3084">
        <v>52.5</v>
      </c>
      <c r="J3084" t="s">
        <v>15</v>
      </c>
      <c r="L3084" s="1"/>
      <c r="N3084" s="1"/>
      <c r="V3084" t="str">
        <f>"76600"</f>
        <v>76600</v>
      </c>
      <c r="W3084">
        <v>0</v>
      </c>
      <c r="X3084">
        <v>0</v>
      </c>
    </row>
    <row r="3085" spans="1:24" x14ac:dyDescent="0.25">
      <c r="A3085" t="str">
        <f>""</f>
        <v/>
      </c>
      <c r="B3085" s="1"/>
      <c r="H3085">
        <v>52.5</v>
      </c>
      <c r="J3085" t="s">
        <v>15</v>
      </c>
      <c r="L3085" s="1"/>
      <c r="N3085" s="1"/>
      <c r="V3085" t="str">
        <f>"69003"</f>
        <v>69003</v>
      </c>
      <c r="W3085">
        <v>0</v>
      </c>
      <c r="X3085">
        <v>0</v>
      </c>
    </row>
    <row r="3086" spans="1:24" x14ac:dyDescent="0.25">
      <c r="A3086" t="str">
        <f>""</f>
        <v/>
      </c>
      <c r="B3086" s="1"/>
      <c r="H3086">
        <v>52.5</v>
      </c>
      <c r="J3086" t="s">
        <v>15</v>
      </c>
      <c r="L3086" s="1"/>
      <c r="N3086" s="1"/>
      <c r="V3086" t="str">
        <f>"31200"</f>
        <v>31200</v>
      </c>
      <c r="W3086">
        <v>0</v>
      </c>
      <c r="X3086">
        <v>0</v>
      </c>
    </row>
    <row r="3087" spans="1:24" x14ac:dyDescent="0.25">
      <c r="A3087" t="str">
        <f>""</f>
        <v/>
      </c>
      <c r="B3087" s="1"/>
      <c r="H3087">
        <v>52.5</v>
      </c>
      <c r="J3087" t="s">
        <v>15</v>
      </c>
      <c r="L3087" s="1"/>
      <c r="N3087" s="1"/>
      <c r="V3087" t="str">
        <f>"62200"</f>
        <v>62200</v>
      </c>
      <c r="W3087">
        <v>0</v>
      </c>
      <c r="X3087">
        <v>0</v>
      </c>
    </row>
    <row r="3088" spans="1:24" x14ac:dyDescent="0.25">
      <c r="A3088" t="str">
        <f>""</f>
        <v/>
      </c>
      <c r="B3088" s="1"/>
      <c r="H3088">
        <v>52.5</v>
      </c>
      <c r="J3088" t="s">
        <v>15</v>
      </c>
      <c r="L3088" s="1"/>
      <c r="N3088" s="1"/>
      <c r="V3088" t="str">
        <f>"01000"</f>
        <v>01000</v>
      </c>
      <c r="W3088">
        <v>0</v>
      </c>
      <c r="X3088">
        <v>0</v>
      </c>
    </row>
    <row r="3089" spans="1:24" x14ac:dyDescent="0.25">
      <c r="A3089" t="str">
        <f>""</f>
        <v/>
      </c>
      <c r="B3089" s="1"/>
      <c r="H3089">
        <v>52.5</v>
      </c>
      <c r="J3089" t="s">
        <v>15</v>
      </c>
      <c r="L3089" s="1"/>
      <c r="N3089" s="1"/>
      <c r="V3089" t="str">
        <f>"69003"</f>
        <v>69003</v>
      </c>
      <c r="W3089">
        <v>0</v>
      </c>
      <c r="X3089">
        <v>0</v>
      </c>
    </row>
    <row r="3090" spans="1:24" ht="15" customHeight="1" x14ac:dyDescent="0.25">
      <c r="A3090" t="str">
        <f>""</f>
        <v/>
      </c>
      <c r="B3090" s="1"/>
      <c r="H3090">
        <v>40</v>
      </c>
      <c r="J3090" t="s">
        <v>23</v>
      </c>
      <c r="L3090" s="1"/>
      <c r="N3090" s="1"/>
      <c r="V3090" t="str">
        <f>"77700"</f>
        <v>77700</v>
      </c>
      <c r="W3090">
        <v>0</v>
      </c>
      <c r="X3090">
        <v>0</v>
      </c>
    </row>
    <row r="3091" spans="1:24" ht="15" customHeight="1" x14ac:dyDescent="0.25">
      <c r="A3091" t="str">
        <f>""</f>
        <v/>
      </c>
      <c r="B3091" s="1"/>
      <c r="H3091">
        <v>180</v>
      </c>
      <c r="J3091" t="s">
        <v>23</v>
      </c>
      <c r="L3091" s="1"/>
      <c r="N3091" s="1"/>
      <c r="V3091" t="str">
        <f>"75017"</f>
        <v>75017</v>
      </c>
      <c r="W3091">
        <v>0</v>
      </c>
      <c r="X3091">
        <v>0</v>
      </c>
    </row>
    <row r="3092" spans="1:24" ht="15" customHeight="1" x14ac:dyDescent="0.25">
      <c r="A3092" t="str">
        <f>""</f>
        <v/>
      </c>
      <c r="B3092" s="1"/>
      <c r="H3092">
        <v>33.119999999999997</v>
      </c>
      <c r="J3092" t="s">
        <v>22</v>
      </c>
      <c r="L3092" s="1"/>
      <c r="N3092" s="1"/>
      <c r="V3092" t="str">
        <f>"93290"</f>
        <v>93290</v>
      </c>
      <c r="W3092">
        <v>0</v>
      </c>
      <c r="X3092">
        <v>0</v>
      </c>
    </row>
    <row r="3093" spans="1:24" ht="15" customHeight="1" x14ac:dyDescent="0.25">
      <c r="A3093" t="str">
        <f>""</f>
        <v/>
      </c>
      <c r="B3093" s="1"/>
      <c r="H3093">
        <v>64</v>
      </c>
      <c r="J3093" t="s">
        <v>20</v>
      </c>
      <c r="L3093" s="1"/>
      <c r="N3093" s="1"/>
      <c r="V3093" t="str">
        <f>"86110"</f>
        <v>86110</v>
      </c>
      <c r="W3093">
        <v>13.44</v>
      </c>
      <c r="X3093">
        <v>0</v>
      </c>
    </row>
    <row r="3094" spans="1:24" ht="15" customHeight="1" x14ac:dyDescent="0.25">
      <c r="A3094" t="str">
        <f>""</f>
        <v/>
      </c>
      <c r="B3094" s="1"/>
      <c r="H3094">
        <v>75.16</v>
      </c>
      <c r="J3094" t="s">
        <v>19</v>
      </c>
      <c r="L3094" s="1"/>
      <c r="N3094" s="1"/>
      <c r="V3094" t="str">
        <f>"93013"</f>
        <v>93013</v>
      </c>
      <c r="W3094">
        <v>0</v>
      </c>
      <c r="X3094">
        <v>0</v>
      </c>
    </row>
    <row r="3095" spans="1:24" ht="15" customHeight="1" x14ac:dyDescent="0.25">
      <c r="A3095" t="str">
        <f>""</f>
        <v/>
      </c>
      <c r="B3095" s="1"/>
      <c r="H3095">
        <v>19.649999999999999</v>
      </c>
      <c r="J3095" t="s">
        <v>19</v>
      </c>
      <c r="L3095" s="1"/>
      <c r="N3095" s="1"/>
      <c r="V3095" t="str">
        <f>"38230"</f>
        <v>38230</v>
      </c>
      <c r="W3095">
        <v>5.31</v>
      </c>
      <c r="X3095">
        <v>0</v>
      </c>
    </row>
    <row r="3096" spans="1:24" ht="15" customHeight="1" x14ac:dyDescent="0.25">
      <c r="A3096" t="str">
        <f>""</f>
        <v/>
      </c>
      <c r="B3096" s="1"/>
      <c r="H3096">
        <v>250</v>
      </c>
      <c r="J3096" t="s">
        <v>23</v>
      </c>
      <c r="L3096" s="1"/>
      <c r="N3096" s="1"/>
      <c r="V3096" t="str">
        <f>"67120"</f>
        <v>67120</v>
      </c>
      <c r="W3096">
        <v>0</v>
      </c>
      <c r="X3096">
        <v>20</v>
      </c>
    </row>
    <row r="3097" spans="1:24" ht="15" customHeight="1" x14ac:dyDescent="0.25">
      <c r="A3097" t="str">
        <f>""</f>
        <v/>
      </c>
      <c r="B3097" s="1"/>
      <c r="H3097">
        <v>36.89</v>
      </c>
      <c r="J3097" t="s">
        <v>22</v>
      </c>
      <c r="L3097" s="1"/>
      <c r="N3097" s="1"/>
      <c r="V3097" t="str">
        <f>"63500"</f>
        <v>63500</v>
      </c>
      <c r="W3097">
        <v>0</v>
      </c>
      <c r="X3097">
        <v>4.43</v>
      </c>
    </row>
    <row r="3098" spans="1:24" ht="15" customHeight="1" x14ac:dyDescent="0.25">
      <c r="A3098" t="str">
        <f>""</f>
        <v/>
      </c>
      <c r="B3098" s="1"/>
      <c r="H3098">
        <v>20</v>
      </c>
      <c r="L3098" s="1"/>
      <c r="N3098" s="1"/>
      <c r="V3098" t="str">
        <f>"77184"</f>
        <v>77184</v>
      </c>
      <c r="W3098">
        <v>0</v>
      </c>
      <c r="X3098">
        <v>0</v>
      </c>
    </row>
    <row r="3099" spans="1:24" ht="15" customHeight="1" x14ac:dyDescent="0.25">
      <c r="A3099" t="str">
        <f>""</f>
        <v/>
      </c>
      <c r="B3099" s="1"/>
      <c r="H3099">
        <v>40</v>
      </c>
      <c r="J3099" t="s">
        <v>22</v>
      </c>
      <c r="L3099" s="1"/>
      <c r="N3099" s="1"/>
      <c r="V3099" t="str">
        <f>"92400"</f>
        <v>92400</v>
      </c>
      <c r="W3099">
        <v>0</v>
      </c>
      <c r="X3099">
        <v>0</v>
      </c>
    </row>
    <row r="3100" spans="1:24" ht="15" customHeight="1" x14ac:dyDescent="0.25">
      <c r="A3100" t="str">
        <f>""</f>
        <v/>
      </c>
      <c r="B3100" s="1"/>
      <c r="H3100">
        <v>55.16</v>
      </c>
      <c r="J3100" t="s">
        <v>19</v>
      </c>
      <c r="L3100" s="1"/>
      <c r="N3100" s="1"/>
      <c r="V3100" t="str">
        <f>"21160"</f>
        <v>21160</v>
      </c>
      <c r="W3100">
        <v>13.24</v>
      </c>
      <c r="X3100">
        <v>0</v>
      </c>
    </row>
    <row r="3101" spans="1:24" ht="15" customHeight="1" x14ac:dyDescent="0.25">
      <c r="A3101" t="str">
        <f>""</f>
        <v/>
      </c>
      <c r="B3101" s="1"/>
      <c r="H3101">
        <v>151</v>
      </c>
      <c r="J3101" t="s">
        <v>22</v>
      </c>
      <c r="L3101" s="1"/>
      <c r="N3101" s="1"/>
      <c r="V3101" t="str">
        <f>"06560"</f>
        <v>06560</v>
      </c>
      <c r="W3101">
        <v>0</v>
      </c>
      <c r="X3101">
        <v>31.71</v>
      </c>
    </row>
    <row r="3102" spans="1:24" ht="15" customHeight="1" x14ac:dyDescent="0.25">
      <c r="A3102" t="str">
        <f>""</f>
        <v/>
      </c>
      <c r="B3102" s="1"/>
      <c r="H3102">
        <v>151</v>
      </c>
      <c r="J3102" t="s">
        <v>22</v>
      </c>
      <c r="L3102" s="1"/>
      <c r="N3102" s="1"/>
      <c r="V3102" t="str">
        <f>"06560"</f>
        <v>06560</v>
      </c>
      <c r="W3102">
        <v>0</v>
      </c>
      <c r="X3102">
        <v>0</v>
      </c>
    </row>
    <row r="3103" spans="1:24" ht="15" customHeight="1" x14ac:dyDescent="0.25">
      <c r="A3103" t="str">
        <f>""</f>
        <v/>
      </c>
      <c r="B3103" s="1"/>
      <c r="H3103">
        <v>40</v>
      </c>
      <c r="J3103" t="s">
        <v>23</v>
      </c>
      <c r="L3103" s="1"/>
      <c r="N3103" s="1"/>
      <c r="V3103" t="str">
        <f>"64700"</f>
        <v>64700</v>
      </c>
      <c r="W3103">
        <v>0</v>
      </c>
      <c r="X3103">
        <v>6.8</v>
      </c>
    </row>
    <row r="3104" spans="1:24" ht="15" customHeight="1" x14ac:dyDescent="0.25">
      <c r="A3104" t="str">
        <f>""</f>
        <v/>
      </c>
      <c r="B3104" s="1"/>
      <c r="H3104">
        <v>40</v>
      </c>
      <c r="J3104" t="s">
        <v>22</v>
      </c>
      <c r="L3104" s="1"/>
      <c r="N3104" s="1"/>
      <c r="V3104" t="str">
        <f>"25400"</f>
        <v>25400</v>
      </c>
      <c r="W3104">
        <v>0</v>
      </c>
      <c r="X3104">
        <v>4.8</v>
      </c>
    </row>
    <row r="3105" spans="1:24" ht="15" customHeight="1" x14ac:dyDescent="0.25">
      <c r="A3105" t="str">
        <f>""</f>
        <v/>
      </c>
      <c r="B3105" s="1"/>
      <c r="H3105">
        <v>151</v>
      </c>
      <c r="J3105" t="s">
        <v>22</v>
      </c>
      <c r="L3105" s="1"/>
      <c r="V3105" t="str">
        <f>"27550"</f>
        <v>27550</v>
      </c>
      <c r="W3105">
        <v>0</v>
      </c>
      <c r="X3105">
        <v>0</v>
      </c>
    </row>
    <row r="3106" spans="1:24" ht="15" customHeight="1" x14ac:dyDescent="0.25">
      <c r="A3106" t="str">
        <f>""</f>
        <v/>
      </c>
      <c r="B3106" s="1"/>
      <c r="H3106">
        <v>84.9</v>
      </c>
      <c r="J3106" t="s">
        <v>22</v>
      </c>
      <c r="L3106" s="1"/>
      <c r="N3106" s="1"/>
      <c r="V3106" t="str">
        <f>"73870"</f>
        <v>73870</v>
      </c>
      <c r="W3106">
        <v>0</v>
      </c>
      <c r="X3106">
        <v>0</v>
      </c>
    </row>
    <row r="3107" spans="1:24" x14ac:dyDescent="0.25">
      <c r="A3107" t="str">
        <f>""</f>
        <v/>
      </c>
      <c r="B3107" s="1"/>
      <c r="H3107">
        <v>198.02</v>
      </c>
      <c r="J3107" t="s">
        <v>15</v>
      </c>
      <c r="L3107" s="1"/>
      <c r="N3107" s="1"/>
      <c r="V3107" t="str">
        <f>"06000"</f>
        <v>06000</v>
      </c>
      <c r="W3107">
        <v>0</v>
      </c>
      <c r="X3107">
        <v>0</v>
      </c>
    </row>
    <row r="3108" spans="1:24" ht="15" customHeight="1" x14ac:dyDescent="0.25">
      <c r="A3108" t="str">
        <f>""</f>
        <v/>
      </c>
      <c r="B3108" s="1"/>
      <c r="H3108">
        <v>31</v>
      </c>
      <c r="L3108" s="1"/>
      <c r="N3108" s="1"/>
      <c r="V3108" t="str">
        <f>"77184"</f>
        <v>77184</v>
      </c>
      <c r="W3108">
        <v>0</v>
      </c>
      <c r="X3108">
        <v>0</v>
      </c>
    </row>
    <row r="3109" spans="1:24" ht="15" customHeight="1" x14ac:dyDescent="0.25">
      <c r="A3109" t="str">
        <f>""</f>
        <v/>
      </c>
      <c r="B3109" s="1"/>
      <c r="H3109">
        <v>55.16</v>
      </c>
      <c r="J3109" t="s">
        <v>19</v>
      </c>
      <c r="L3109" s="1"/>
      <c r="N3109" s="1"/>
      <c r="V3109" t="str">
        <f>"35044"</f>
        <v>35044</v>
      </c>
      <c r="W3109">
        <v>14.89</v>
      </c>
      <c r="X3109">
        <v>0</v>
      </c>
    </row>
    <row r="3110" spans="1:24" ht="15" customHeight="1" x14ac:dyDescent="0.25">
      <c r="A3110" t="str">
        <f>""</f>
        <v/>
      </c>
      <c r="B3110" s="1"/>
      <c r="H3110">
        <v>174.26</v>
      </c>
      <c r="J3110" t="s">
        <v>20</v>
      </c>
      <c r="L3110" s="1"/>
      <c r="N3110" s="1"/>
      <c r="V3110" t="str">
        <f>"75008"</f>
        <v>75008</v>
      </c>
      <c r="W3110">
        <v>0</v>
      </c>
      <c r="X3110">
        <v>0</v>
      </c>
    </row>
    <row r="3111" spans="1:24" ht="15" customHeight="1" x14ac:dyDescent="0.25">
      <c r="A3111" t="str">
        <f>""</f>
        <v/>
      </c>
      <c r="B3111" s="1"/>
      <c r="H3111">
        <v>140</v>
      </c>
      <c r="J3111" t="s">
        <v>22</v>
      </c>
      <c r="L3111" s="1"/>
      <c r="N3111" s="1"/>
      <c r="V3111" t="str">
        <f>"62200"</f>
        <v>62200</v>
      </c>
      <c r="W3111">
        <v>0</v>
      </c>
      <c r="X3111">
        <v>0</v>
      </c>
    </row>
    <row r="3112" spans="1:24" ht="15" customHeight="1" x14ac:dyDescent="0.25">
      <c r="A3112" t="str">
        <f>""</f>
        <v/>
      </c>
      <c r="B3112" s="1"/>
      <c r="H3112">
        <v>55.16</v>
      </c>
      <c r="J3112" t="s">
        <v>20</v>
      </c>
      <c r="L3112" s="1"/>
      <c r="N3112" s="1"/>
      <c r="V3112" t="str">
        <f>"26000"</f>
        <v>26000</v>
      </c>
      <c r="W3112">
        <v>14.89</v>
      </c>
      <c r="X3112">
        <v>0</v>
      </c>
    </row>
    <row r="3113" spans="1:24" ht="15" customHeight="1" x14ac:dyDescent="0.25">
      <c r="A3113" t="str">
        <f>""</f>
        <v/>
      </c>
      <c r="B3113" s="1"/>
      <c r="H3113">
        <v>20.23</v>
      </c>
      <c r="J3113" t="s">
        <v>19</v>
      </c>
      <c r="L3113" s="1"/>
      <c r="N3113" s="1"/>
      <c r="V3113" t="str">
        <f>"14200"</f>
        <v>14200</v>
      </c>
      <c r="W3113">
        <v>3.44</v>
      </c>
      <c r="X3113">
        <v>0</v>
      </c>
    </row>
    <row r="3114" spans="1:24" ht="15" customHeight="1" x14ac:dyDescent="0.25">
      <c r="A3114" t="str">
        <f>""</f>
        <v/>
      </c>
      <c r="B3114" s="1"/>
      <c r="H3114">
        <v>120.29</v>
      </c>
      <c r="J3114" t="s">
        <v>20</v>
      </c>
      <c r="L3114" s="1"/>
      <c r="N3114" s="1"/>
      <c r="V3114" t="str">
        <f>"63590"</f>
        <v>63590</v>
      </c>
      <c r="W3114">
        <v>34.880000000000003</v>
      </c>
      <c r="X3114">
        <v>0</v>
      </c>
    </row>
    <row r="3115" spans="1:24" ht="15" customHeight="1" x14ac:dyDescent="0.25">
      <c r="A3115" t="str">
        <f>""</f>
        <v/>
      </c>
      <c r="B3115" s="1"/>
      <c r="H3115">
        <v>0.53</v>
      </c>
      <c r="J3115" t="s">
        <v>20</v>
      </c>
      <c r="L3115" s="1"/>
      <c r="N3115" s="1"/>
      <c r="V3115" t="str">
        <f>"63000"</f>
        <v>63000</v>
      </c>
      <c r="W3115">
        <v>0.15</v>
      </c>
      <c r="X3115">
        <v>0</v>
      </c>
    </row>
    <row r="3116" spans="1:24" ht="15" customHeight="1" x14ac:dyDescent="0.25">
      <c r="A3116" t="str">
        <f>""</f>
        <v/>
      </c>
      <c r="B3116" s="1"/>
      <c r="H3116">
        <v>76</v>
      </c>
      <c r="J3116" t="s">
        <v>20</v>
      </c>
      <c r="L3116" s="1"/>
      <c r="N3116" s="1"/>
      <c r="V3116" t="str">
        <f>"14000"</f>
        <v>14000</v>
      </c>
      <c r="W3116">
        <v>12.92</v>
      </c>
      <c r="X3116">
        <v>0</v>
      </c>
    </row>
    <row r="3117" spans="1:24" ht="15" customHeight="1" x14ac:dyDescent="0.25">
      <c r="A3117" t="str">
        <f>""</f>
        <v/>
      </c>
      <c r="B3117" s="1"/>
      <c r="H3117">
        <v>84.5</v>
      </c>
      <c r="L3117" s="1"/>
      <c r="N3117" s="1"/>
      <c r="V3117" t="str">
        <f>"77184"</f>
        <v>77184</v>
      </c>
      <c r="W3117">
        <v>0</v>
      </c>
      <c r="X3117">
        <v>0</v>
      </c>
    </row>
    <row r="3118" spans="1:24" ht="15" customHeight="1" x14ac:dyDescent="0.25">
      <c r="A3118" t="str">
        <f>""</f>
        <v/>
      </c>
      <c r="B3118" s="1"/>
      <c r="H3118">
        <v>40</v>
      </c>
      <c r="J3118" t="s">
        <v>19</v>
      </c>
      <c r="L3118" s="1"/>
      <c r="N3118" s="1"/>
      <c r="V3118" t="str">
        <f>"77230"</f>
        <v>77230</v>
      </c>
      <c r="W3118">
        <v>0</v>
      </c>
      <c r="X3118">
        <v>0</v>
      </c>
    </row>
    <row r="3119" spans="1:24" ht="15" customHeight="1" x14ac:dyDescent="0.25">
      <c r="A3119" t="str">
        <f>""</f>
        <v/>
      </c>
      <c r="B3119" s="1"/>
      <c r="H3119">
        <v>33.35</v>
      </c>
      <c r="J3119" t="s">
        <v>20</v>
      </c>
      <c r="L3119" s="1"/>
      <c r="N3119" s="1"/>
      <c r="V3119" t="str">
        <f>"41260"</f>
        <v>41260</v>
      </c>
      <c r="W3119">
        <v>7</v>
      </c>
      <c r="X3119">
        <v>0</v>
      </c>
    </row>
    <row r="3120" spans="1:24" ht="15" customHeight="1" x14ac:dyDescent="0.25">
      <c r="A3120" t="str">
        <f>""</f>
        <v/>
      </c>
      <c r="B3120" s="1"/>
      <c r="H3120">
        <v>20</v>
      </c>
      <c r="J3120" t="s">
        <v>20</v>
      </c>
      <c r="L3120" s="1"/>
      <c r="N3120" s="1"/>
      <c r="V3120" t="str">
        <f>"06516"</f>
        <v>06516</v>
      </c>
      <c r="W3120">
        <v>6</v>
      </c>
      <c r="X3120">
        <v>0</v>
      </c>
    </row>
    <row r="3121" spans="1:24" ht="15" customHeight="1" x14ac:dyDescent="0.25">
      <c r="A3121" t="str">
        <f>""</f>
        <v/>
      </c>
      <c r="B3121" s="1"/>
      <c r="H3121">
        <v>33</v>
      </c>
      <c r="L3121" s="1"/>
      <c r="N3121" s="1"/>
      <c r="V3121" t="str">
        <f>"44240"</f>
        <v>44240</v>
      </c>
      <c r="W3121">
        <v>0</v>
      </c>
      <c r="X3121">
        <v>0</v>
      </c>
    </row>
    <row r="3122" spans="1:24" ht="15" customHeight="1" x14ac:dyDescent="0.25">
      <c r="A3122" t="str">
        <f>""</f>
        <v/>
      </c>
      <c r="B3122" s="1"/>
      <c r="H3122">
        <v>60</v>
      </c>
      <c r="L3122" s="1"/>
      <c r="N3122" s="1"/>
      <c r="V3122" t="str">
        <f>"44240"</f>
        <v>44240</v>
      </c>
      <c r="W3122">
        <v>0</v>
      </c>
      <c r="X3122">
        <v>0</v>
      </c>
    </row>
    <row r="3123" spans="1:24" ht="15" customHeight="1" x14ac:dyDescent="0.25">
      <c r="A3123" t="str">
        <f>""</f>
        <v/>
      </c>
      <c r="B3123" s="1"/>
      <c r="H3123">
        <v>35</v>
      </c>
      <c r="L3123" s="1"/>
      <c r="N3123" s="1"/>
      <c r="V3123" t="str">
        <f>"44240"</f>
        <v>44240</v>
      </c>
      <c r="W3123">
        <v>0</v>
      </c>
      <c r="X3123">
        <v>0</v>
      </c>
    </row>
    <row r="3124" spans="1:24" ht="15" customHeight="1" x14ac:dyDescent="0.25">
      <c r="A3124" t="str">
        <f>""</f>
        <v/>
      </c>
      <c r="B3124" s="1"/>
      <c r="H3124">
        <v>114</v>
      </c>
      <c r="J3124" t="s">
        <v>21</v>
      </c>
      <c r="L3124" s="1"/>
      <c r="V3124" t="str">
        <f t="shared" ref="V3124:V3130" si="12">"77184"</f>
        <v>77184</v>
      </c>
      <c r="W3124">
        <v>0</v>
      </c>
      <c r="X3124">
        <v>0</v>
      </c>
    </row>
    <row r="3125" spans="1:24" ht="15" customHeight="1" x14ac:dyDescent="0.25">
      <c r="A3125" t="str">
        <f>""</f>
        <v/>
      </c>
      <c r="B3125" s="1"/>
      <c r="H3125">
        <v>15</v>
      </c>
      <c r="L3125" s="1"/>
      <c r="N3125" s="1"/>
      <c r="V3125" t="str">
        <f t="shared" si="12"/>
        <v>77184</v>
      </c>
      <c r="W3125">
        <v>0</v>
      </c>
      <c r="X3125">
        <v>0</v>
      </c>
    </row>
    <row r="3126" spans="1:24" ht="15" customHeight="1" x14ac:dyDescent="0.25">
      <c r="A3126" t="str">
        <f>""</f>
        <v/>
      </c>
      <c r="B3126" s="1"/>
      <c r="H3126">
        <v>71</v>
      </c>
      <c r="L3126" s="1"/>
      <c r="N3126" s="1"/>
      <c r="V3126" t="str">
        <f t="shared" si="12"/>
        <v>77184</v>
      </c>
      <c r="W3126">
        <v>0</v>
      </c>
      <c r="X3126">
        <v>0</v>
      </c>
    </row>
    <row r="3127" spans="1:24" ht="15" customHeight="1" x14ac:dyDescent="0.25">
      <c r="A3127" t="str">
        <f>""</f>
        <v/>
      </c>
      <c r="B3127" s="1"/>
      <c r="H3127">
        <v>84.5</v>
      </c>
      <c r="L3127" s="1"/>
      <c r="N3127" s="1"/>
      <c r="V3127" t="str">
        <f t="shared" si="12"/>
        <v>77184</v>
      </c>
      <c r="W3127">
        <v>0</v>
      </c>
      <c r="X3127">
        <v>0</v>
      </c>
    </row>
    <row r="3128" spans="1:24" ht="15" customHeight="1" x14ac:dyDescent="0.25">
      <c r="A3128" t="str">
        <f>""</f>
        <v/>
      </c>
      <c r="B3128" s="1"/>
      <c r="H3128">
        <v>171</v>
      </c>
      <c r="L3128" s="1"/>
      <c r="N3128" s="1"/>
      <c r="V3128" t="str">
        <f t="shared" si="12"/>
        <v>77184</v>
      </c>
      <c r="W3128">
        <v>0</v>
      </c>
      <c r="X3128">
        <v>0</v>
      </c>
    </row>
    <row r="3129" spans="1:24" ht="15" customHeight="1" x14ac:dyDescent="0.25">
      <c r="A3129" t="str">
        <f>""</f>
        <v/>
      </c>
      <c r="B3129" s="1"/>
      <c r="H3129">
        <v>97</v>
      </c>
      <c r="L3129" s="1"/>
      <c r="N3129" s="1"/>
      <c r="V3129" t="str">
        <f t="shared" si="12"/>
        <v>77184</v>
      </c>
      <c r="W3129">
        <v>0</v>
      </c>
      <c r="X3129">
        <v>0</v>
      </c>
    </row>
    <row r="3130" spans="1:24" ht="15" customHeight="1" x14ac:dyDescent="0.25">
      <c r="A3130" t="str">
        <f>""</f>
        <v/>
      </c>
      <c r="B3130" s="1"/>
      <c r="H3130">
        <v>151</v>
      </c>
      <c r="L3130" s="1"/>
      <c r="N3130" s="1"/>
      <c r="V3130" t="str">
        <f t="shared" si="12"/>
        <v>77184</v>
      </c>
      <c r="W3130">
        <v>0</v>
      </c>
      <c r="X3130">
        <v>0</v>
      </c>
    </row>
    <row r="3131" spans="1:24" ht="15" customHeight="1" x14ac:dyDescent="0.25">
      <c r="A3131" t="str">
        <f>""</f>
        <v/>
      </c>
      <c r="B3131" s="1"/>
      <c r="H3131">
        <v>58.2</v>
      </c>
      <c r="J3131" t="s">
        <v>23</v>
      </c>
      <c r="L3131" s="1"/>
      <c r="N3131" s="1"/>
      <c r="V3131" t="str">
        <f>"59491"</f>
        <v>59491</v>
      </c>
      <c r="W3131">
        <v>0</v>
      </c>
      <c r="X3131">
        <v>0</v>
      </c>
    </row>
    <row r="3132" spans="1:24" ht="15" customHeight="1" x14ac:dyDescent="0.25">
      <c r="A3132" t="str">
        <f>""</f>
        <v/>
      </c>
      <c r="B3132" s="1"/>
      <c r="H3132">
        <v>180.38</v>
      </c>
      <c r="J3132" t="s">
        <v>22</v>
      </c>
      <c r="L3132" s="1"/>
      <c r="N3132" s="1"/>
      <c r="V3132" t="str">
        <f>"67118"</f>
        <v>67118</v>
      </c>
      <c r="W3132">
        <v>0</v>
      </c>
      <c r="X3132">
        <v>14.43</v>
      </c>
    </row>
    <row r="3133" spans="1:24" ht="15" customHeight="1" x14ac:dyDescent="0.25">
      <c r="A3133" t="str">
        <f>""</f>
        <v/>
      </c>
      <c r="B3133" s="1"/>
      <c r="H3133">
        <v>31</v>
      </c>
      <c r="L3133" s="1"/>
      <c r="N3133" s="1"/>
      <c r="V3133" t="str">
        <f>"77184"</f>
        <v>77184</v>
      </c>
      <c r="W3133">
        <v>0</v>
      </c>
      <c r="X3133">
        <v>0</v>
      </c>
    </row>
    <row r="3134" spans="1:24" ht="15" customHeight="1" x14ac:dyDescent="0.25">
      <c r="A3134" t="str">
        <f>""</f>
        <v/>
      </c>
      <c r="B3134" s="1"/>
      <c r="H3134">
        <v>120.29</v>
      </c>
      <c r="J3134" t="s">
        <v>19</v>
      </c>
      <c r="L3134" s="1"/>
      <c r="N3134" s="1"/>
      <c r="V3134" t="str">
        <f>"69800"</f>
        <v>69800</v>
      </c>
      <c r="W3134">
        <v>32.479999999999997</v>
      </c>
      <c r="X3134">
        <v>0</v>
      </c>
    </row>
    <row r="3135" spans="1:24" ht="15" customHeight="1" x14ac:dyDescent="0.25">
      <c r="A3135" t="str">
        <f>""</f>
        <v/>
      </c>
      <c r="B3135" s="1"/>
      <c r="H3135">
        <v>86.34</v>
      </c>
      <c r="J3135" t="s">
        <v>20</v>
      </c>
      <c r="L3135" s="1"/>
      <c r="N3135" s="1"/>
      <c r="V3135" t="str">
        <f>"01220"</f>
        <v>01220</v>
      </c>
      <c r="W3135">
        <v>23.31</v>
      </c>
      <c r="X3135">
        <v>0</v>
      </c>
    </row>
    <row r="3136" spans="1:24" ht="15" customHeight="1" x14ac:dyDescent="0.25">
      <c r="A3136" t="str">
        <f>""</f>
        <v/>
      </c>
      <c r="B3136" s="1"/>
      <c r="H3136">
        <v>144.19999999999999</v>
      </c>
      <c r="J3136" t="s">
        <v>19</v>
      </c>
      <c r="L3136" s="1"/>
      <c r="N3136" s="1"/>
      <c r="V3136" t="str">
        <f>"68250"</f>
        <v>68250</v>
      </c>
      <c r="W3136">
        <v>41.82</v>
      </c>
      <c r="X3136">
        <v>0</v>
      </c>
    </row>
    <row r="3137" spans="1:24" ht="15" customHeight="1" x14ac:dyDescent="0.25">
      <c r="A3137" t="str">
        <f>""</f>
        <v/>
      </c>
      <c r="B3137" s="1"/>
      <c r="H3137">
        <v>107.6</v>
      </c>
      <c r="J3137" t="s">
        <v>19</v>
      </c>
      <c r="L3137" s="1"/>
      <c r="N3137" s="1"/>
      <c r="V3137" t="str">
        <f>"75014"</f>
        <v>75014</v>
      </c>
      <c r="W3137">
        <v>0</v>
      </c>
      <c r="X3137">
        <v>0</v>
      </c>
    </row>
    <row r="3138" spans="1:24" ht="15" customHeight="1" x14ac:dyDescent="0.25">
      <c r="A3138" t="str">
        <f>""</f>
        <v/>
      </c>
      <c r="B3138" s="1"/>
      <c r="H3138">
        <v>40</v>
      </c>
      <c r="J3138" t="s">
        <v>19</v>
      </c>
      <c r="L3138" s="1"/>
      <c r="N3138" s="1"/>
      <c r="V3138" t="str">
        <f>"67000"</f>
        <v>67000</v>
      </c>
      <c r="W3138">
        <v>11.6</v>
      </c>
      <c r="X3138">
        <v>0</v>
      </c>
    </row>
    <row r="3139" spans="1:24" ht="15" customHeight="1" x14ac:dyDescent="0.25">
      <c r="A3139" t="str">
        <f>""</f>
        <v/>
      </c>
      <c r="B3139" s="1"/>
      <c r="H3139">
        <v>53.38</v>
      </c>
      <c r="J3139" t="s">
        <v>20</v>
      </c>
      <c r="L3139" s="1"/>
      <c r="N3139" s="1"/>
      <c r="V3139" t="str">
        <f>"75014"</f>
        <v>75014</v>
      </c>
      <c r="W3139">
        <v>0</v>
      </c>
      <c r="X3139">
        <v>0</v>
      </c>
    </row>
    <row r="3140" spans="1:24" ht="15" customHeight="1" x14ac:dyDescent="0.25">
      <c r="A3140" t="str">
        <f>""</f>
        <v/>
      </c>
      <c r="B3140" s="1"/>
      <c r="H3140">
        <v>75.34</v>
      </c>
      <c r="J3140" t="s">
        <v>19</v>
      </c>
      <c r="L3140" s="1"/>
      <c r="N3140" s="1"/>
      <c r="V3140" t="str">
        <f>"62170"</f>
        <v>62170</v>
      </c>
      <c r="W3140">
        <v>14.31</v>
      </c>
      <c r="X3140">
        <v>0</v>
      </c>
    </row>
    <row r="3141" spans="1:24" ht="15" customHeight="1" x14ac:dyDescent="0.25">
      <c r="A3141" t="str">
        <f>""</f>
        <v/>
      </c>
      <c r="B3141" s="1"/>
      <c r="H3141">
        <v>250</v>
      </c>
      <c r="J3141" t="s">
        <v>22</v>
      </c>
      <c r="L3141" s="1"/>
      <c r="N3141" s="1"/>
      <c r="V3141" t="str">
        <f>"59410"</f>
        <v>59410</v>
      </c>
      <c r="W3141">
        <v>0</v>
      </c>
      <c r="X3141">
        <v>0</v>
      </c>
    </row>
    <row r="3142" spans="1:24" ht="15" customHeight="1" x14ac:dyDescent="0.25">
      <c r="A3142" t="str">
        <f>""</f>
        <v/>
      </c>
      <c r="B3142" s="1"/>
      <c r="H3142">
        <v>140</v>
      </c>
      <c r="J3142" t="s">
        <v>23</v>
      </c>
      <c r="L3142" s="1"/>
      <c r="N3142" s="1"/>
      <c r="V3142" t="str">
        <f>"59000"</f>
        <v>59000</v>
      </c>
      <c r="W3142">
        <v>0</v>
      </c>
      <c r="X3142">
        <v>0</v>
      </c>
    </row>
    <row r="3143" spans="1:24" ht="15" customHeight="1" x14ac:dyDescent="0.25">
      <c r="A3143" t="str">
        <f>""</f>
        <v/>
      </c>
      <c r="B3143" s="1"/>
      <c r="H3143">
        <v>151</v>
      </c>
      <c r="J3143" t="s">
        <v>23</v>
      </c>
      <c r="L3143" s="1"/>
      <c r="N3143" s="1"/>
      <c r="V3143" t="str">
        <f>"67100"</f>
        <v>67100</v>
      </c>
      <c r="W3143">
        <v>0</v>
      </c>
      <c r="X3143">
        <v>12.08</v>
      </c>
    </row>
    <row r="3144" spans="1:24" ht="15" customHeight="1" x14ac:dyDescent="0.25">
      <c r="A3144" t="str">
        <f>""</f>
        <v/>
      </c>
      <c r="B3144" s="1"/>
      <c r="H3144">
        <v>19.649999999999999</v>
      </c>
      <c r="J3144" t="s">
        <v>19</v>
      </c>
      <c r="L3144" s="1"/>
      <c r="N3144" s="1"/>
      <c r="V3144" t="str">
        <f>"75014"</f>
        <v>75014</v>
      </c>
      <c r="W3144">
        <v>0</v>
      </c>
      <c r="X3144">
        <v>0</v>
      </c>
    </row>
    <row r="3145" spans="1:24" ht="15" customHeight="1" x14ac:dyDescent="0.25">
      <c r="A3145" t="str">
        <f>""</f>
        <v/>
      </c>
      <c r="B3145" s="1"/>
      <c r="H3145">
        <v>115.84</v>
      </c>
      <c r="L3145" s="1"/>
      <c r="N3145" s="1"/>
      <c r="V3145" t="str">
        <f>"77184"</f>
        <v>77184</v>
      </c>
      <c r="W3145">
        <v>0</v>
      </c>
      <c r="X3145">
        <v>0</v>
      </c>
    </row>
    <row r="3146" spans="1:24" ht="15" customHeight="1" x14ac:dyDescent="0.25">
      <c r="A3146" t="str">
        <f>""</f>
        <v/>
      </c>
      <c r="B3146" s="1"/>
      <c r="H3146">
        <v>138.12</v>
      </c>
      <c r="J3146" t="s">
        <v>20</v>
      </c>
      <c r="L3146" s="1"/>
      <c r="N3146" s="1"/>
      <c r="V3146" t="str">
        <f>"49400"</f>
        <v>49400</v>
      </c>
      <c r="W3146">
        <v>37.29</v>
      </c>
      <c r="X3146">
        <v>0</v>
      </c>
    </row>
    <row r="3147" spans="1:24" ht="15" customHeight="1" x14ac:dyDescent="0.25">
      <c r="A3147" t="str">
        <f>""</f>
        <v/>
      </c>
      <c r="B3147" s="1"/>
      <c r="H3147">
        <v>19.649999999999999</v>
      </c>
      <c r="J3147" t="s">
        <v>19</v>
      </c>
      <c r="L3147" s="1"/>
      <c r="N3147" s="1"/>
      <c r="V3147" t="str">
        <f>"75014"</f>
        <v>75014</v>
      </c>
      <c r="W3147">
        <v>0</v>
      </c>
      <c r="X3147">
        <v>0</v>
      </c>
    </row>
    <row r="3148" spans="1:24" ht="15" customHeight="1" x14ac:dyDescent="0.25">
      <c r="A3148" t="str">
        <f>""</f>
        <v/>
      </c>
      <c r="B3148" s="1"/>
      <c r="H3148">
        <v>19.649999999999999</v>
      </c>
      <c r="J3148" t="s">
        <v>19</v>
      </c>
      <c r="L3148" s="1"/>
      <c r="N3148" s="1"/>
      <c r="V3148" t="str">
        <f>"75014"</f>
        <v>75014</v>
      </c>
      <c r="W3148">
        <v>0</v>
      </c>
      <c r="X3148">
        <v>0</v>
      </c>
    </row>
    <row r="3149" spans="1:24" ht="15" customHeight="1" x14ac:dyDescent="0.25">
      <c r="A3149" t="str">
        <f>""</f>
        <v/>
      </c>
      <c r="B3149" s="1"/>
      <c r="H3149">
        <v>19.649999999999999</v>
      </c>
      <c r="J3149" t="s">
        <v>19</v>
      </c>
      <c r="L3149" s="1"/>
      <c r="N3149" s="1"/>
      <c r="V3149" t="str">
        <f>"75014"</f>
        <v>75014</v>
      </c>
      <c r="W3149">
        <v>0</v>
      </c>
      <c r="X3149">
        <v>0</v>
      </c>
    </row>
    <row r="3150" spans="1:24" ht="15" customHeight="1" x14ac:dyDescent="0.25">
      <c r="A3150" t="str">
        <f>""</f>
        <v/>
      </c>
      <c r="B3150" s="1"/>
      <c r="H3150">
        <v>67.2</v>
      </c>
      <c r="J3150" t="s">
        <v>20</v>
      </c>
      <c r="L3150" s="1"/>
      <c r="N3150" s="1"/>
      <c r="V3150" t="str">
        <f>"94150"</f>
        <v>94150</v>
      </c>
      <c r="W3150">
        <v>0</v>
      </c>
      <c r="X3150">
        <v>0</v>
      </c>
    </row>
    <row r="3151" spans="1:24" ht="15" customHeight="1" x14ac:dyDescent="0.25">
      <c r="A3151" t="str">
        <f>""</f>
        <v/>
      </c>
      <c r="B3151" s="1"/>
      <c r="H3151">
        <v>140</v>
      </c>
      <c r="L3151" s="1"/>
      <c r="V3151" t="str">
        <f>"77184"</f>
        <v>77184</v>
      </c>
      <c r="W3151">
        <v>0</v>
      </c>
      <c r="X3151">
        <v>0</v>
      </c>
    </row>
    <row r="3152" spans="1:24" ht="15" customHeight="1" x14ac:dyDescent="0.25">
      <c r="A3152" t="str">
        <f>""</f>
        <v/>
      </c>
      <c r="B3152" s="1"/>
      <c r="H3152">
        <v>171.33</v>
      </c>
      <c r="J3152" t="s">
        <v>22</v>
      </c>
      <c r="L3152" s="1"/>
      <c r="N3152" s="1"/>
      <c r="V3152" t="str">
        <f>"01000"</f>
        <v>01000</v>
      </c>
      <c r="W3152">
        <v>0</v>
      </c>
      <c r="X3152">
        <v>0</v>
      </c>
    </row>
    <row r="3153" spans="1:24" ht="15" customHeight="1" x14ac:dyDescent="0.25">
      <c r="A3153" t="str">
        <f>""</f>
        <v/>
      </c>
      <c r="B3153" s="1"/>
      <c r="H3153">
        <v>158.81</v>
      </c>
      <c r="J3153" t="s">
        <v>19</v>
      </c>
      <c r="L3153" s="1"/>
      <c r="N3153" s="1"/>
      <c r="V3153" t="str">
        <f>"25110"</f>
        <v>25110</v>
      </c>
      <c r="W3153">
        <v>38.11</v>
      </c>
      <c r="X3153">
        <v>0</v>
      </c>
    </row>
    <row r="3154" spans="1:24" ht="15" customHeight="1" x14ac:dyDescent="0.25">
      <c r="A3154" t="str">
        <f>""</f>
        <v/>
      </c>
      <c r="B3154" s="1"/>
      <c r="H3154">
        <v>1.46</v>
      </c>
      <c r="J3154" t="s">
        <v>19</v>
      </c>
      <c r="L3154" s="1"/>
      <c r="N3154" s="1"/>
      <c r="V3154" t="str">
        <f>"59120"</f>
        <v>59120</v>
      </c>
      <c r="W3154">
        <v>0.28000000000000003</v>
      </c>
      <c r="X3154">
        <v>0</v>
      </c>
    </row>
    <row r="3155" spans="1:24" ht="15" customHeight="1" x14ac:dyDescent="0.25">
      <c r="A3155" t="str">
        <f>""</f>
        <v/>
      </c>
      <c r="B3155" s="1"/>
      <c r="H3155">
        <v>67.25</v>
      </c>
      <c r="J3155" t="s">
        <v>19</v>
      </c>
      <c r="L3155" s="1"/>
      <c r="N3155" s="1"/>
      <c r="V3155" t="str">
        <f>"02570"</f>
        <v>02570</v>
      </c>
      <c r="W3155">
        <v>12.78</v>
      </c>
      <c r="X3155">
        <v>0</v>
      </c>
    </row>
    <row r="3156" spans="1:24" ht="15" customHeight="1" x14ac:dyDescent="0.25">
      <c r="A3156" t="str">
        <f>""</f>
        <v/>
      </c>
      <c r="B3156" s="1"/>
      <c r="H3156">
        <v>67.25</v>
      </c>
      <c r="J3156" t="s">
        <v>19</v>
      </c>
      <c r="L3156" s="1"/>
      <c r="N3156" s="1"/>
      <c r="V3156" t="str">
        <f>"02570"</f>
        <v>02570</v>
      </c>
      <c r="W3156">
        <v>12.78</v>
      </c>
      <c r="X3156">
        <v>0</v>
      </c>
    </row>
    <row r="3157" spans="1:24" ht="15" customHeight="1" x14ac:dyDescent="0.25">
      <c r="A3157" t="str">
        <f>""</f>
        <v/>
      </c>
      <c r="B3157" s="1"/>
      <c r="H3157">
        <v>155.69</v>
      </c>
      <c r="J3157" t="s">
        <v>20</v>
      </c>
      <c r="L3157" s="1"/>
      <c r="N3157" s="1"/>
      <c r="V3157" t="str">
        <f>"92230"</f>
        <v>92230</v>
      </c>
      <c r="W3157">
        <v>0</v>
      </c>
      <c r="X3157">
        <v>0</v>
      </c>
    </row>
    <row r="3158" spans="1:24" ht="15" customHeight="1" x14ac:dyDescent="0.25">
      <c r="A3158" t="str">
        <f>""</f>
        <v/>
      </c>
      <c r="B3158" s="1"/>
      <c r="H3158">
        <v>31</v>
      </c>
      <c r="L3158" s="1"/>
      <c r="N3158" s="1"/>
      <c r="V3158" t="str">
        <f>"77184"</f>
        <v>77184</v>
      </c>
      <c r="W3158">
        <v>0</v>
      </c>
      <c r="X3158">
        <v>0</v>
      </c>
    </row>
    <row r="3159" spans="1:24" ht="15" customHeight="1" x14ac:dyDescent="0.25">
      <c r="A3159" t="str">
        <f>""</f>
        <v/>
      </c>
      <c r="B3159" s="1"/>
      <c r="H3159">
        <v>70.36</v>
      </c>
      <c r="J3159" t="s">
        <v>22</v>
      </c>
      <c r="L3159" s="1"/>
      <c r="N3159" s="1"/>
      <c r="V3159" t="str">
        <f>"77160"</f>
        <v>77160</v>
      </c>
      <c r="W3159">
        <v>0</v>
      </c>
      <c r="X3159">
        <v>0</v>
      </c>
    </row>
    <row r="3160" spans="1:24" ht="15" customHeight="1" x14ac:dyDescent="0.25">
      <c r="A3160" t="str">
        <f>""</f>
        <v/>
      </c>
      <c r="B3160" s="1"/>
      <c r="H3160">
        <v>180</v>
      </c>
      <c r="J3160" t="s">
        <v>23</v>
      </c>
      <c r="L3160" s="1"/>
      <c r="V3160" t="str">
        <f>"69100"</f>
        <v>69100</v>
      </c>
      <c r="W3160">
        <v>0</v>
      </c>
      <c r="X3160">
        <v>0</v>
      </c>
    </row>
    <row r="3161" spans="1:24" ht="15" customHeight="1" x14ac:dyDescent="0.25">
      <c r="A3161" t="str">
        <f>""</f>
        <v/>
      </c>
      <c r="B3161" s="1"/>
      <c r="H3161">
        <v>183.98</v>
      </c>
      <c r="J3161" t="s">
        <v>23</v>
      </c>
      <c r="L3161" s="1"/>
      <c r="N3161" s="1"/>
      <c r="V3161" t="str">
        <f>"67920"</f>
        <v>67920</v>
      </c>
      <c r="W3161">
        <v>0</v>
      </c>
      <c r="X3161">
        <v>14.72</v>
      </c>
    </row>
    <row r="3162" spans="1:24" ht="15" customHeight="1" x14ac:dyDescent="0.25">
      <c r="A3162" t="str">
        <f>""</f>
        <v/>
      </c>
      <c r="B3162" s="1"/>
      <c r="H3162">
        <v>141.65</v>
      </c>
      <c r="J3162" t="s">
        <v>19</v>
      </c>
      <c r="L3162" s="1"/>
      <c r="N3162" s="1"/>
      <c r="V3162" t="str">
        <f>"95240"</f>
        <v>95240</v>
      </c>
      <c r="W3162">
        <v>0</v>
      </c>
      <c r="X3162">
        <v>0</v>
      </c>
    </row>
    <row r="3163" spans="1:24" ht="15" customHeight="1" x14ac:dyDescent="0.25">
      <c r="A3163" t="str">
        <f>""</f>
        <v/>
      </c>
      <c r="B3163" s="1"/>
      <c r="H3163">
        <v>173.25</v>
      </c>
      <c r="J3163" t="s">
        <v>20</v>
      </c>
      <c r="L3163" s="1"/>
      <c r="N3163" s="1"/>
      <c r="V3163" t="str">
        <f>"75008"</f>
        <v>75008</v>
      </c>
      <c r="W3163">
        <v>0</v>
      </c>
      <c r="X3163">
        <v>0</v>
      </c>
    </row>
    <row r="3164" spans="1:24" ht="15" customHeight="1" x14ac:dyDescent="0.25">
      <c r="A3164" t="str">
        <f>""</f>
        <v/>
      </c>
      <c r="B3164" s="1"/>
      <c r="H3164">
        <v>19.89</v>
      </c>
      <c r="J3164" t="s">
        <v>19</v>
      </c>
      <c r="L3164" s="1"/>
      <c r="N3164" s="1"/>
      <c r="V3164" t="str">
        <f>"06560"</f>
        <v>06560</v>
      </c>
      <c r="W3164">
        <v>5.97</v>
      </c>
      <c r="X3164">
        <v>0</v>
      </c>
    </row>
    <row r="3165" spans="1:24" ht="15" customHeight="1" x14ac:dyDescent="0.25">
      <c r="A3165" t="str">
        <f>""</f>
        <v/>
      </c>
      <c r="B3165" s="1"/>
      <c r="H3165">
        <v>77.09</v>
      </c>
      <c r="J3165" t="s">
        <v>20</v>
      </c>
      <c r="L3165" s="1"/>
      <c r="N3165" s="1"/>
      <c r="V3165" t="str">
        <f>"84130"</f>
        <v>84130</v>
      </c>
      <c r="W3165">
        <v>22.36</v>
      </c>
      <c r="X3165">
        <v>0</v>
      </c>
    </row>
    <row r="3166" spans="1:24" ht="15" customHeight="1" x14ac:dyDescent="0.25">
      <c r="A3166" t="str">
        <f>""</f>
        <v/>
      </c>
      <c r="B3166" s="1"/>
      <c r="H3166">
        <v>82.33</v>
      </c>
      <c r="J3166" t="s">
        <v>20</v>
      </c>
      <c r="L3166" s="1"/>
      <c r="N3166" s="1"/>
      <c r="V3166" t="str">
        <f>"02000"</f>
        <v>02000</v>
      </c>
      <c r="W3166">
        <v>15.64</v>
      </c>
      <c r="X3166">
        <v>0</v>
      </c>
    </row>
    <row r="3167" spans="1:24" ht="15" customHeight="1" x14ac:dyDescent="0.25">
      <c r="A3167" t="str">
        <f>""</f>
        <v/>
      </c>
      <c r="B3167" s="1"/>
      <c r="H3167">
        <v>55.14</v>
      </c>
      <c r="J3167" t="s">
        <v>19</v>
      </c>
      <c r="L3167" s="1"/>
      <c r="N3167" s="1"/>
      <c r="V3167" t="str">
        <f>"14500"</f>
        <v>14500</v>
      </c>
      <c r="W3167">
        <v>9.3699999999999992</v>
      </c>
      <c r="X3167">
        <v>0</v>
      </c>
    </row>
    <row r="3168" spans="1:24" ht="15" customHeight="1" x14ac:dyDescent="0.25">
      <c r="A3168" t="str">
        <f>""</f>
        <v/>
      </c>
      <c r="B3168" s="1"/>
      <c r="H3168">
        <v>60</v>
      </c>
      <c r="J3168" t="s">
        <v>19</v>
      </c>
      <c r="L3168" s="1"/>
      <c r="N3168" s="1"/>
      <c r="V3168" t="str">
        <f>"77183"</f>
        <v>77183</v>
      </c>
      <c r="W3168">
        <v>0</v>
      </c>
      <c r="X3168">
        <v>0</v>
      </c>
    </row>
    <row r="3169" spans="1:24" ht="15" customHeight="1" x14ac:dyDescent="0.25">
      <c r="A3169" t="str">
        <f>""</f>
        <v/>
      </c>
      <c r="B3169" s="1"/>
      <c r="H3169">
        <v>171.25</v>
      </c>
      <c r="J3169" t="s">
        <v>22</v>
      </c>
      <c r="L3169" s="1"/>
      <c r="N3169" s="1"/>
      <c r="V3169" t="str">
        <f>"68520"</f>
        <v>68520</v>
      </c>
      <c r="W3169">
        <v>0</v>
      </c>
      <c r="X3169">
        <v>13.7</v>
      </c>
    </row>
    <row r="3170" spans="1:24" ht="15" customHeight="1" x14ac:dyDescent="0.25">
      <c r="A3170" t="str">
        <f>""</f>
        <v/>
      </c>
      <c r="B3170" s="1"/>
      <c r="H3170">
        <v>107.72</v>
      </c>
      <c r="J3170" t="s">
        <v>19</v>
      </c>
      <c r="L3170" s="1"/>
      <c r="N3170" s="1"/>
      <c r="V3170" t="str">
        <f>"13790"</f>
        <v>13790</v>
      </c>
      <c r="W3170">
        <v>31.24</v>
      </c>
      <c r="X3170">
        <v>0</v>
      </c>
    </row>
    <row r="3171" spans="1:24" ht="15" customHeight="1" x14ac:dyDescent="0.25">
      <c r="A3171" t="str">
        <f>""</f>
        <v/>
      </c>
      <c r="B3171" s="1"/>
      <c r="H3171">
        <v>69.34</v>
      </c>
      <c r="J3171" t="s">
        <v>20</v>
      </c>
      <c r="L3171" s="1"/>
      <c r="N3171" s="1"/>
      <c r="V3171" t="str">
        <f>"67400"</f>
        <v>67400</v>
      </c>
      <c r="W3171">
        <v>20.11</v>
      </c>
      <c r="X3171">
        <v>0</v>
      </c>
    </row>
    <row r="3172" spans="1:24" ht="15" customHeight="1" x14ac:dyDescent="0.25">
      <c r="A3172" t="str">
        <f>""</f>
        <v/>
      </c>
      <c r="B3172" s="1"/>
      <c r="H3172">
        <v>18.350000000000001</v>
      </c>
      <c r="J3172" t="s">
        <v>19</v>
      </c>
      <c r="L3172" s="1"/>
      <c r="N3172" s="1"/>
      <c r="V3172" t="str">
        <f>"89100"</f>
        <v>89100</v>
      </c>
      <c r="W3172">
        <v>4.4000000000000004</v>
      </c>
      <c r="X3172">
        <v>0</v>
      </c>
    </row>
    <row r="3173" spans="1:24" ht="15" customHeight="1" x14ac:dyDescent="0.25">
      <c r="A3173" t="str">
        <f>""</f>
        <v/>
      </c>
      <c r="B3173" s="1"/>
      <c r="H3173">
        <v>130.19999999999999</v>
      </c>
      <c r="J3173" t="s">
        <v>19</v>
      </c>
      <c r="L3173" s="1"/>
      <c r="N3173" s="1"/>
      <c r="V3173" t="str">
        <f>"16270"</f>
        <v>16270</v>
      </c>
      <c r="W3173">
        <v>27.34</v>
      </c>
      <c r="X3173">
        <v>0</v>
      </c>
    </row>
    <row r="3174" spans="1:24" ht="15" customHeight="1" x14ac:dyDescent="0.25">
      <c r="A3174" t="str">
        <f>""</f>
        <v/>
      </c>
      <c r="B3174" s="1"/>
      <c r="H3174">
        <v>55.21</v>
      </c>
      <c r="J3174" t="s">
        <v>20</v>
      </c>
      <c r="L3174" s="1"/>
      <c r="N3174" s="1"/>
      <c r="V3174" t="str">
        <f>"38000"</f>
        <v>38000</v>
      </c>
      <c r="W3174">
        <v>14.91</v>
      </c>
      <c r="X3174">
        <v>0</v>
      </c>
    </row>
    <row r="3175" spans="1:24" ht="15" customHeight="1" x14ac:dyDescent="0.25">
      <c r="A3175" t="str">
        <f>""</f>
        <v/>
      </c>
      <c r="B3175" s="1"/>
      <c r="H3175">
        <v>3.45</v>
      </c>
      <c r="J3175" t="s">
        <v>20</v>
      </c>
      <c r="L3175" s="1"/>
      <c r="N3175" s="1"/>
      <c r="V3175" t="str">
        <f>"67000"</f>
        <v>67000</v>
      </c>
      <c r="W3175">
        <v>1.01</v>
      </c>
      <c r="X3175">
        <v>0</v>
      </c>
    </row>
    <row r="3176" spans="1:24" ht="15" customHeight="1" x14ac:dyDescent="0.25">
      <c r="A3176" t="str">
        <f>""</f>
        <v/>
      </c>
      <c r="B3176" s="1"/>
      <c r="H3176">
        <v>25</v>
      </c>
      <c r="J3176" t="s">
        <v>23</v>
      </c>
      <c r="L3176" s="1"/>
      <c r="N3176" s="1"/>
      <c r="V3176" t="str">
        <f>"75010"</f>
        <v>75010</v>
      </c>
      <c r="W3176">
        <v>0</v>
      </c>
      <c r="X3176">
        <v>0</v>
      </c>
    </row>
    <row r="3177" spans="1:24" ht="15" customHeight="1" x14ac:dyDescent="0.25">
      <c r="A3177" t="str">
        <f>""</f>
        <v/>
      </c>
      <c r="B3177" s="1"/>
      <c r="H3177">
        <v>60</v>
      </c>
      <c r="L3177" s="1"/>
      <c r="N3177" s="1"/>
      <c r="V3177" t="str">
        <f>"44240"</f>
        <v>44240</v>
      </c>
      <c r="W3177">
        <v>0</v>
      </c>
      <c r="X3177">
        <v>0</v>
      </c>
    </row>
    <row r="3178" spans="1:24" ht="15" customHeight="1" x14ac:dyDescent="0.25">
      <c r="A3178" t="str">
        <f>""</f>
        <v/>
      </c>
      <c r="B3178" s="1"/>
      <c r="H3178">
        <v>34.08</v>
      </c>
      <c r="L3178" s="1"/>
      <c r="N3178" s="1"/>
      <c r="V3178" t="str">
        <f>"44240"</f>
        <v>44240</v>
      </c>
      <c r="W3178">
        <v>0</v>
      </c>
      <c r="X3178">
        <v>0</v>
      </c>
    </row>
    <row r="3179" spans="1:24" ht="15" customHeight="1" x14ac:dyDescent="0.25">
      <c r="A3179" t="str">
        <f>""</f>
        <v/>
      </c>
      <c r="B3179" s="1"/>
      <c r="H3179">
        <v>390.47</v>
      </c>
      <c r="J3179" t="s">
        <v>23</v>
      </c>
      <c r="L3179" s="1"/>
      <c r="N3179" s="1"/>
      <c r="V3179" t="str">
        <f>"59110"</f>
        <v>59110</v>
      </c>
      <c r="W3179">
        <v>0</v>
      </c>
      <c r="X3179">
        <v>0</v>
      </c>
    </row>
    <row r="3180" spans="1:24" ht="15" customHeight="1" x14ac:dyDescent="0.25">
      <c r="A3180" t="str">
        <f>""</f>
        <v/>
      </c>
      <c r="B3180" s="1"/>
      <c r="H3180">
        <v>126.25</v>
      </c>
      <c r="J3180" t="s">
        <v>20</v>
      </c>
      <c r="L3180" s="1"/>
      <c r="N3180" s="1"/>
      <c r="V3180" t="str">
        <f>"19100"</f>
        <v>19100</v>
      </c>
      <c r="W3180">
        <v>36.61</v>
      </c>
      <c r="X3180">
        <v>0</v>
      </c>
    </row>
    <row r="3181" spans="1:24" ht="15" customHeight="1" x14ac:dyDescent="0.25">
      <c r="A3181" t="str">
        <f>""</f>
        <v/>
      </c>
      <c r="B3181" s="1"/>
      <c r="H3181">
        <v>156.4</v>
      </c>
      <c r="L3181" s="1"/>
      <c r="N3181" s="1"/>
      <c r="V3181" t="str">
        <f>"77184"</f>
        <v>77184</v>
      </c>
      <c r="W3181">
        <v>0</v>
      </c>
      <c r="X3181">
        <v>0</v>
      </c>
    </row>
    <row r="3182" spans="1:24" ht="15" customHeight="1" x14ac:dyDescent="0.25">
      <c r="A3182" t="str">
        <f>""</f>
        <v/>
      </c>
      <c r="B3182" s="1"/>
      <c r="H3182">
        <v>162.72999999999999</v>
      </c>
      <c r="L3182" s="1"/>
      <c r="N3182" s="1"/>
      <c r="V3182" t="str">
        <f>"77184"</f>
        <v>77184</v>
      </c>
      <c r="W3182">
        <v>0</v>
      </c>
      <c r="X3182">
        <v>0</v>
      </c>
    </row>
    <row r="3183" spans="1:24" ht="15" customHeight="1" x14ac:dyDescent="0.25">
      <c r="A3183" t="str">
        <f>""</f>
        <v/>
      </c>
      <c r="B3183" s="1"/>
      <c r="H3183">
        <v>19.8</v>
      </c>
      <c r="J3183" t="s">
        <v>19</v>
      </c>
      <c r="L3183" s="1"/>
      <c r="N3183" s="1"/>
      <c r="V3183" t="str">
        <f>"62500"</f>
        <v>62500</v>
      </c>
      <c r="W3183">
        <v>3.76</v>
      </c>
      <c r="X3183">
        <v>0</v>
      </c>
    </row>
    <row r="3184" spans="1:24" ht="15" customHeight="1" x14ac:dyDescent="0.25">
      <c r="A3184" t="str">
        <f>""</f>
        <v/>
      </c>
      <c r="B3184" s="1"/>
      <c r="H3184">
        <v>25.8</v>
      </c>
      <c r="J3184" t="s">
        <v>19</v>
      </c>
      <c r="L3184" s="1"/>
      <c r="N3184" s="1"/>
      <c r="V3184" t="str">
        <f>"60300"</f>
        <v>60300</v>
      </c>
      <c r="W3184">
        <v>4.9000000000000004</v>
      </c>
      <c r="X3184">
        <v>0</v>
      </c>
    </row>
    <row r="3185" spans="1:24" ht="15" customHeight="1" x14ac:dyDescent="0.25">
      <c r="A3185" t="str">
        <f>""</f>
        <v/>
      </c>
      <c r="B3185" s="1"/>
      <c r="H3185">
        <v>16.2</v>
      </c>
      <c r="J3185" t="s">
        <v>20</v>
      </c>
      <c r="L3185" s="1"/>
      <c r="N3185" s="1"/>
      <c r="V3185" t="str">
        <f>"66300"</f>
        <v>66300</v>
      </c>
      <c r="W3185">
        <v>6.32</v>
      </c>
      <c r="X3185">
        <v>0</v>
      </c>
    </row>
    <row r="3186" spans="1:24" ht="15" customHeight="1" x14ac:dyDescent="0.25">
      <c r="A3186" t="str">
        <f>""</f>
        <v/>
      </c>
      <c r="B3186" s="1"/>
      <c r="H3186">
        <v>80.400000000000006</v>
      </c>
      <c r="J3186" t="s">
        <v>23</v>
      </c>
      <c r="L3186" s="1"/>
      <c r="N3186" s="1"/>
      <c r="V3186" t="str">
        <f>"94420"</f>
        <v>94420</v>
      </c>
      <c r="W3186">
        <v>0</v>
      </c>
      <c r="X3186">
        <v>0</v>
      </c>
    </row>
    <row r="3187" spans="1:24" ht="15" customHeight="1" x14ac:dyDescent="0.25">
      <c r="A3187" t="str">
        <f>""</f>
        <v/>
      </c>
      <c r="B3187" s="1"/>
      <c r="H3187">
        <v>74.540000000000006</v>
      </c>
      <c r="J3187" t="s">
        <v>23</v>
      </c>
      <c r="L3187" s="1"/>
      <c r="N3187" s="1"/>
      <c r="V3187" t="str">
        <f>"67120"</f>
        <v>67120</v>
      </c>
      <c r="W3187">
        <v>0</v>
      </c>
      <c r="X3187">
        <v>5.96</v>
      </c>
    </row>
    <row r="3188" spans="1:24" ht="15" customHeight="1" x14ac:dyDescent="0.25">
      <c r="A3188" t="str">
        <f>""</f>
        <v/>
      </c>
      <c r="B3188" s="1"/>
      <c r="H3188">
        <v>32.46</v>
      </c>
      <c r="J3188" t="s">
        <v>20</v>
      </c>
      <c r="L3188" s="1"/>
      <c r="N3188" s="1"/>
      <c r="V3188" t="str">
        <f>"14740"</f>
        <v>14740</v>
      </c>
      <c r="W3188">
        <v>5.52</v>
      </c>
      <c r="X3188">
        <v>0</v>
      </c>
    </row>
    <row r="3189" spans="1:24" ht="15" customHeight="1" x14ac:dyDescent="0.25">
      <c r="A3189" t="str">
        <f>""</f>
        <v/>
      </c>
      <c r="B3189" s="1"/>
      <c r="H3189">
        <v>120</v>
      </c>
      <c r="J3189" t="s">
        <v>20</v>
      </c>
      <c r="L3189" s="1"/>
      <c r="V3189" t="str">
        <f>"91300"</f>
        <v>91300</v>
      </c>
      <c r="W3189">
        <v>0</v>
      </c>
      <c r="X3189">
        <v>0</v>
      </c>
    </row>
    <row r="3190" spans="1:24" ht="15" customHeight="1" x14ac:dyDescent="0.25">
      <c r="A3190" t="str">
        <f>""</f>
        <v/>
      </c>
      <c r="B3190" s="1"/>
      <c r="H3190">
        <v>70</v>
      </c>
      <c r="J3190" t="s">
        <v>23</v>
      </c>
      <c r="L3190" s="1"/>
      <c r="N3190" s="1"/>
      <c r="V3190" t="str">
        <f>"75016"</f>
        <v>75016</v>
      </c>
      <c r="W3190">
        <v>0</v>
      </c>
      <c r="X3190">
        <v>0</v>
      </c>
    </row>
    <row r="3191" spans="1:24" ht="15" customHeight="1" x14ac:dyDescent="0.25">
      <c r="A3191" t="str">
        <f>""</f>
        <v/>
      </c>
      <c r="B3191" s="1"/>
      <c r="H3191">
        <v>194</v>
      </c>
      <c r="L3191" s="1"/>
      <c r="N3191" s="1"/>
      <c r="V3191" t="str">
        <f>"77184"</f>
        <v>77184</v>
      </c>
      <c r="W3191">
        <v>0</v>
      </c>
      <c r="X3191">
        <v>0</v>
      </c>
    </row>
    <row r="3192" spans="1:24" ht="15" customHeight="1" x14ac:dyDescent="0.25">
      <c r="A3192" t="str">
        <f>""</f>
        <v/>
      </c>
      <c r="B3192" s="1"/>
      <c r="H3192">
        <v>196.98</v>
      </c>
      <c r="J3192" t="s">
        <v>22</v>
      </c>
      <c r="L3192" s="1"/>
      <c r="N3192" s="1"/>
      <c r="V3192" t="str">
        <f>"80400"</f>
        <v>80400</v>
      </c>
      <c r="W3192">
        <v>0</v>
      </c>
      <c r="X3192">
        <v>37.43</v>
      </c>
    </row>
    <row r="3193" spans="1:24" ht="15" customHeight="1" x14ac:dyDescent="0.25">
      <c r="A3193" t="str">
        <f>""</f>
        <v/>
      </c>
      <c r="B3193" s="1"/>
      <c r="H3193">
        <v>200.07</v>
      </c>
      <c r="J3193" t="s">
        <v>22</v>
      </c>
      <c r="L3193" s="1"/>
      <c r="N3193" s="1"/>
      <c r="V3193" t="str">
        <f>"69006"</f>
        <v>69006</v>
      </c>
      <c r="W3193">
        <v>0</v>
      </c>
      <c r="X3193">
        <v>0</v>
      </c>
    </row>
    <row r="3194" spans="1:24" ht="15" customHeight="1" x14ac:dyDescent="0.25">
      <c r="A3194" t="str">
        <f>""</f>
        <v/>
      </c>
      <c r="B3194" s="1"/>
      <c r="H3194">
        <v>30</v>
      </c>
      <c r="J3194" t="s">
        <v>19</v>
      </c>
      <c r="L3194" s="1"/>
      <c r="N3194" s="1"/>
      <c r="V3194" t="str">
        <f>"92200"</f>
        <v>92200</v>
      </c>
      <c r="W3194">
        <v>0</v>
      </c>
      <c r="X3194">
        <v>0</v>
      </c>
    </row>
    <row r="3195" spans="1:24" ht="15" customHeight="1" x14ac:dyDescent="0.25">
      <c r="A3195" t="str">
        <f>""</f>
        <v/>
      </c>
      <c r="B3195" s="1"/>
      <c r="J3195" t="s">
        <v>8</v>
      </c>
      <c r="V3195" t="str">
        <f>""</f>
        <v/>
      </c>
      <c r="W3195">
        <v>0</v>
      </c>
      <c r="X3195">
        <v>0</v>
      </c>
    </row>
    <row r="3196" spans="1:24" ht="15" customHeight="1" x14ac:dyDescent="0.25">
      <c r="A3196" t="str">
        <f>""</f>
        <v/>
      </c>
      <c r="B3196" s="1"/>
      <c r="H3196">
        <v>151</v>
      </c>
      <c r="J3196" t="s">
        <v>23</v>
      </c>
      <c r="L3196" s="1"/>
      <c r="N3196" s="1"/>
      <c r="V3196" t="str">
        <f>"93100"</f>
        <v>93100</v>
      </c>
      <c r="W3196">
        <v>0</v>
      </c>
      <c r="X3196">
        <v>0</v>
      </c>
    </row>
    <row r="3197" spans="1:24" ht="15" customHeight="1" x14ac:dyDescent="0.25">
      <c r="A3197" t="str">
        <f>""</f>
        <v/>
      </c>
      <c r="B3197" s="1"/>
      <c r="H3197">
        <v>156.43</v>
      </c>
      <c r="J3197" t="s">
        <v>23</v>
      </c>
      <c r="L3197" s="1"/>
      <c r="N3197" s="1"/>
      <c r="V3197" t="str">
        <f>"77183"</f>
        <v>77183</v>
      </c>
      <c r="W3197">
        <v>0</v>
      </c>
      <c r="X3197">
        <v>0</v>
      </c>
    </row>
    <row r="3198" spans="1:24" ht="15" customHeight="1" x14ac:dyDescent="0.25">
      <c r="A3198" t="str">
        <f>""</f>
        <v/>
      </c>
      <c r="B3198" s="1"/>
      <c r="H3198">
        <v>41.75</v>
      </c>
      <c r="J3198" t="s">
        <v>23</v>
      </c>
      <c r="L3198" s="1"/>
      <c r="N3198" s="1"/>
      <c r="V3198" t="str">
        <f>"75007"</f>
        <v>75007</v>
      </c>
      <c r="W3198">
        <v>0</v>
      </c>
      <c r="X3198">
        <v>0</v>
      </c>
    </row>
    <row r="3199" spans="1:24" ht="15" customHeight="1" x14ac:dyDescent="0.25">
      <c r="A3199" t="str">
        <f>""</f>
        <v/>
      </c>
      <c r="B3199" s="1"/>
      <c r="H3199">
        <v>180</v>
      </c>
      <c r="J3199" t="s">
        <v>22</v>
      </c>
      <c r="L3199" s="1"/>
      <c r="N3199" s="1"/>
      <c r="V3199" t="str">
        <f>"14000"</f>
        <v>14000</v>
      </c>
      <c r="W3199">
        <v>0</v>
      </c>
      <c r="X3199">
        <v>0</v>
      </c>
    </row>
    <row r="3200" spans="1:24" ht="15" customHeight="1" x14ac:dyDescent="0.25">
      <c r="A3200" t="str">
        <f>""</f>
        <v/>
      </c>
      <c r="B3200" s="1"/>
      <c r="H3200">
        <v>116.14</v>
      </c>
      <c r="J3200" t="s">
        <v>20</v>
      </c>
      <c r="L3200" s="1"/>
      <c r="N3200" s="1"/>
      <c r="V3200" t="str">
        <f>"38120 "</f>
        <v xml:space="preserve">38120 </v>
      </c>
      <c r="W3200">
        <v>31.36</v>
      </c>
      <c r="X3200">
        <v>0</v>
      </c>
    </row>
    <row r="3201" spans="1:24" ht="15" customHeight="1" x14ac:dyDescent="0.25">
      <c r="A3201" t="str">
        <f>""</f>
        <v/>
      </c>
      <c r="B3201" s="1"/>
      <c r="H3201">
        <v>250</v>
      </c>
      <c r="J3201" t="s">
        <v>23</v>
      </c>
      <c r="L3201" s="1"/>
      <c r="N3201" s="1"/>
      <c r="V3201" t="str">
        <f>"75014"</f>
        <v>75014</v>
      </c>
      <c r="W3201">
        <v>0</v>
      </c>
      <c r="X3201">
        <v>0</v>
      </c>
    </row>
    <row r="3202" spans="1:24" ht="15" customHeight="1" x14ac:dyDescent="0.25">
      <c r="A3202" t="str">
        <f>""</f>
        <v/>
      </c>
      <c r="B3202" s="1"/>
      <c r="H3202">
        <v>86.56</v>
      </c>
      <c r="J3202" t="s">
        <v>19</v>
      </c>
      <c r="L3202" s="1"/>
      <c r="N3202" s="1"/>
      <c r="V3202" t="str">
        <f>"61250"</f>
        <v>61250</v>
      </c>
      <c r="W3202">
        <v>14.72</v>
      </c>
      <c r="X3202">
        <v>0</v>
      </c>
    </row>
    <row r="3203" spans="1:24" ht="15" customHeight="1" x14ac:dyDescent="0.25">
      <c r="A3203" t="str">
        <f>""</f>
        <v/>
      </c>
      <c r="B3203" s="1"/>
      <c r="H3203">
        <v>62.1</v>
      </c>
      <c r="J3203" t="s">
        <v>23</v>
      </c>
      <c r="L3203" s="1"/>
      <c r="V3203" t="str">
        <f>"77380"</f>
        <v>77380</v>
      </c>
      <c r="W3203">
        <v>0</v>
      </c>
      <c r="X3203">
        <v>0</v>
      </c>
    </row>
    <row r="3204" spans="1:24" ht="15" customHeight="1" x14ac:dyDescent="0.25">
      <c r="A3204" t="str">
        <f>""</f>
        <v/>
      </c>
      <c r="B3204" s="1"/>
      <c r="H3204">
        <v>40</v>
      </c>
      <c r="J3204" t="s">
        <v>22</v>
      </c>
      <c r="L3204" s="1"/>
      <c r="N3204" s="1"/>
      <c r="V3204" t="str">
        <f>"44600"</f>
        <v>44600</v>
      </c>
      <c r="W3204">
        <v>0</v>
      </c>
      <c r="X3204">
        <v>0</v>
      </c>
    </row>
    <row r="3205" spans="1:24" ht="15" customHeight="1" x14ac:dyDescent="0.25">
      <c r="A3205" t="str">
        <f>""</f>
        <v/>
      </c>
      <c r="B3205" s="1"/>
      <c r="H3205">
        <v>110.91</v>
      </c>
      <c r="J3205" t="s">
        <v>22</v>
      </c>
      <c r="L3205" s="1"/>
      <c r="N3205" s="1"/>
      <c r="V3205" t="str">
        <f>"69340"</f>
        <v>69340</v>
      </c>
      <c r="W3205">
        <v>0</v>
      </c>
      <c r="X3205">
        <v>0</v>
      </c>
    </row>
    <row r="3206" spans="1:24" ht="15" customHeight="1" x14ac:dyDescent="0.25">
      <c r="A3206" t="str">
        <f>""</f>
        <v/>
      </c>
      <c r="B3206" s="1"/>
      <c r="H3206">
        <v>133.6</v>
      </c>
      <c r="J3206" t="s">
        <v>22</v>
      </c>
      <c r="L3206" s="1"/>
      <c r="N3206" s="1"/>
      <c r="V3206" t="str">
        <f>"26000"</f>
        <v>26000</v>
      </c>
      <c r="W3206">
        <v>0</v>
      </c>
      <c r="X3206">
        <v>0</v>
      </c>
    </row>
    <row r="3207" spans="1:24" ht="15" customHeight="1" x14ac:dyDescent="0.25">
      <c r="A3207" t="str">
        <f>""</f>
        <v/>
      </c>
      <c r="B3207" s="1"/>
      <c r="H3207">
        <v>180</v>
      </c>
      <c r="J3207" t="s">
        <v>23</v>
      </c>
      <c r="L3207" s="1"/>
      <c r="N3207" s="1"/>
      <c r="V3207" t="str">
        <f>"44220"</f>
        <v>44220</v>
      </c>
      <c r="W3207">
        <v>0</v>
      </c>
      <c r="X3207">
        <v>48.6</v>
      </c>
    </row>
    <row r="3208" spans="1:24" ht="15" customHeight="1" x14ac:dyDescent="0.25">
      <c r="A3208" t="str">
        <f>""</f>
        <v/>
      </c>
      <c r="B3208" s="1"/>
      <c r="H3208">
        <v>6</v>
      </c>
      <c r="J3208" t="s">
        <v>20</v>
      </c>
      <c r="L3208" s="1"/>
      <c r="N3208" s="1"/>
      <c r="V3208" t="str">
        <f>"56360"</f>
        <v>56360</v>
      </c>
      <c r="W3208">
        <v>1.62</v>
      </c>
      <c r="X3208">
        <v>0</v>
      </c>
    </row>
    <row r="3209" spans="1:24" ht="15" customHeight="1" x14ac:dyDescent="0.25">
      <c r="A3209" t="str">
        <f>""</f>
        <v/>
      </c>
      <c r="B3209" s="1"/>
      <c r="H3209">
        <v>10</v>
      </c>
      <c r="J3209" t="s">
        <v>23</v>
      </c>
      <c r="L3209" s="1"/>
      <c r="N3209" s="1"/>
      <c r="V3209" t="str">
        <f>"67960"</f>
        <v>67960</v>
      </c>
      <c r="W3209">
        <v>0</v>
      </c>
      <c r="X3209">
        <v>2.9</v>
      </c>
    </row>
    <row r="3210" spans="1:24" ht="15" customHeight="1" x14ac:dyDescent="0.25">
      <c r="A3210" t="str">
        <f>""</f>
        <v/>
      </c>
      <c r="B3210" s="1"/>
      <c r="H3210">
        <v>25.6</v>
      </c>
      <c r="J3210" t="s">
        <v>22</v>
      </c>
      <c r="L3210" s="1"/>
      <c r="V3210" t="str">
        <f>"13008"</f>
        <v>13008</v>
      </c>
      <c r="W3210">
        <v>0</v>
      </c>
      <c r="X3210">
        <v>0</v>
      </c>
    </row>
    <row r="3211" spans="1:24" ht="15" customHeight="1" x14ac:dyDescent="0.25">
      <c r="A3211" t="str">
        <f>""</f>
        <v/>
      </c>
      <c r="B3211" s="1"/>
      <c r="H3211">
        <v>151</v>
      </c>
      <c r="J3211" t="s">
        <v>23</v>
      </c>
      <c r="L3211" s="1"/>
      <c r="N3211" s="1"/>
      <c r="V3211" t="str">
        <f>"57370"</f>
        <v>57370</v>
      </c>
      <c r="W3211">
        <v>0</v>
      </c>
      <c r="X3211">
        <v>0</v>
      </c>
    </row>
    <row r="3212" spans="1:24" ht="15" customHeight="1" x14ac:dyDescent="0.25">
      <c r="A3212" t="str">
        <f>""</f>
        <v/>
      </c>
      <c r="B3212" s="1"/>
      <c r="H3212">
        <v>70.14</v>
      </c>
      <c r="J3212" t="s">
        <v>22</v>
      </c>
      <c r="L3212" s="1"/>
      <c r="V3212" t="str">
        <f>"69800"</f>
        <v>69800</v>
      </c>
      <c r="W3212">
        <v>0</v>
      </c>
      <c r="X3212">
        <v>0</v>
      </c>
    </row>
    <row r="3213" spans="1:24" ht="15" customHeight="1" x14ac:dyDescent="0.25">
      <c r="A3213" t="str">
        <f>""</f>
        <v/>
      </c>
      <c r="B3213" s="1"/>
      <c r="H3213">
        <v>19.399999999999999</v>
      </c>
      <c r="J3213" t="s">
        <v>22</v>
      </c>
      <c r="L3213" s="1"/>
      <c r="V3213" t="str">
        <f>"27300"</f>
        <v>27300</v>
      </c>
      <c r="W3213">
        <v>0</v>
      </c>
      <c r="X3213">
        <v>0</v>
      </c>
    </row>
    <row r="3214" spans="1:24" ht="15" customHeight="1" x14ac:dyDescent="0.25">
      <c r="A3214" t="str">
        <f>""</f>
        <v/>
      </c>
      <c r="B3214" s="1"/>
      <c r="H3214">
        <v>140.72</v>
      </c>
      <c r="J3214" t="s">
        <v>23</v>
      </c>
      <c r="L3214" s="1"/>
      <c r="N3214" s="1"/>
      <c r="V3214" t="str">
        <f>"44980"</f>
        <v>44980</v>
      </c>
      <c r="W3214">
        <v>0</v>
      </c>
      <c r="X3214">
        <v>0</v>
      </c>
    </row>
    <row r="3215" spans="1:24" x14ac:dyDescent="0.25">
      <c r="A3215" t="str">
        <f>""</f>
        <v/>
      </c>
      <c r="B3215" s="1"/>
      <c r="H3215">
        <v>195.34</v>
      </c>
      <c r="J3215" t="s">
        <v>17</v>
      </c>
      <c r="L3215" s="1"/>
      <c r="N3215" s="1"/>
      <c r="V3215" t="str">
        <f>"37000"</f>
        <v>37000</v>
      </c>
      <c r="W3215">
        <v>0</v>
      </c>
      <c r="X3215">
        <v>0</v>
      </c>
    </row>
    <row r="3216" spans="1:24" ht="15" customHeight="1" x14ac:dyDescent="0.25">
      <c r="A3216" t="str">
        <f>""</f>
        <v/>
      </c>
      <c r="B3216" s="1"/>
      <c r="H3216">
        <v>140</v>
      </c>
      <c r="J3216" t="s">
        <v>22</v>
      </c>
      <c r="L3216" s="1"/>
      <c r="N3216" s="1"/>
      <c r="V3216" t="str">
        <f>"04800"</f>
        <v>04800</v>
      </c>
      <c r="W3216">
        <v>0</v>
      </c>
      <c r="X3216">
        <v>0</v>
      </c>
    </row>
    <row r="3217" spans="1:24" ht="15" customHeight="1" x14ac:dyDescent="0.25">
      <c r="A3217" t="str">
        <f>""</f>
        <v/>
      </c>
      <c r="B3217" s="1"/>
      <c r="H3217">
        <v>40</v>
      </c>
      <c r="J3217" t="s">
        <v>23</v>
      </c>
      <c r="L3217" s="1"/>
      <c r="N3217" s="1"/>
      <c r="V3217" t="str">
        <f>"47200"</f>
        <v>47200</v>
      </c>
      <c r="W3217">
        <v>0</v>
      </c>
      <c r="X3217">
        <v>6.8</v>
      </c>
    </row>
    <row r="3218" spans="1:24" ht="15" customHeight="1" x14ac:dyDescent="0.25">
      <c r="A3218" t="str">
        <f>""</f>
        <v/>
      </c>
      <c r="B3218" s="1"/>
      <c r="H3218">
        <v>25</v>
      </c>
      <c r="J3218" t="s">
        <v>22</v>
      </c>
      <c r="L3218" s="1"/>
      <c r="N3218" s="1"/>
      <c r="V3218" t="str">
        <f>"69150"</f>
        <v>69150</v>
      </c>
      <c r="W3218">
        <v>0</v>
      </c>
      <c r="X3218">
        <v>0</v>
      </c>
    </row>
    <row r="3219" spans="1:24" ht="15" customHeight="1" x14ac:dyDescent="0.25">
      <c r="A3219" t="str">
        <f>""</f>
        <v/>
      </c>
      <c r="B3219" s="1"/>
      <c r="H3219">
        <v>27</v>
      </c>
      <c r="J3219" t="s">
        <v>22</v>
      </c>
      <c r="L3219" s="1"/>
      <c r="N3219" s="1"/>
      <c r="V3219" t="str">
        <f>"06190"</f>
        <v>06190</v>
      </c>
      <c r="W3219">
        <v>0</v>
      </c>
      <c r="X3219">
        <v>8.1</v>
      </c>
    </row>
    <row r="3220" spans="1:24" x14ac:dyDescent="0.25">
      <c r="A3220" t="str">
        <f>""</f>
        <v/>
      </c>
      <c r="B3220" s="1"/>
      <c r="H3220">
        <v>52.5</v>
      </c>
      <c r="J3220" t="s">
        <v>15</v>
      </c>
      <c r="L3220" s="1"/>
      <c r="N3220" s="1"/>
      <c r="V3220" t="str">
        <f>"54000"</f>
        <v>54000</v>
      </c>
      <c r="W3220">
        <v>0</v>
      </c>
      <c r="X3220">
        <v>0</v>
      </c>
    </row>
    <row r="3221" spans="1:24" x14ac:dyDescent="0.25">
      <c r="A3221" t="str">
        <f>""</f>
        <v/>
      </c>
      <c r="B3221" s="1"/>
      <c r="H3221">
        <v>52.5</v>
      </c>
      <c r="J3221" t="s">
        <v>15</v>
      </c>
      <c r="L3221" s="1"/>
      <c r="N3221" s="1"/>
      <c r="V3221" t="str">
        <f>"31300"</f>
        <v>31300</v>
      </c>
      <c r="W3221">
        <v>11.55</v>
      </c>
      <c r="X3221">
        <v>0</v>
      </c>
    </row>
    <row r="3222" spans="1:24" x14ac:dyDescent="0.25">
      <c r="A3222" t="str">
        <f>""</f>
        <v/>
      </c>
      <c r="B3222" s="1"/>
      <c r="H3222">
        <v>52.5</v>
      </c>
      <c r="J3222" t="s">
        <v>15</v>
      </c>
      <c r="L3222" s="1"/>
      <c r="N3222" s="1"/>
      <c r="V3222" t="str">
        <f>"73000"</f>
        <v>73000</v>
      </c>
      <c r="W3222">
        <v>0</v>
      </c>
      <c r="X3222">
        <v>0</v>
      </c>
    </row>
    <row r="3223" spans="1:24" x14ac:dyDescent="0.25">
      <c r="A3223" t="str">
        <f>""</f>
        <v/>
      </c>
      <c r="B3223" s="1"/>
      <c r="H3223">
        <v>52.5</v>
      </c>
      <c r="J3223" t="s">
        <v>15</v>
      </c>
      <c r="L3223" s="1"/>
      <c r="N3223" s="1"/>
      <c r="V3223" t="str">
        <f>"69150"</f>
        <v>69150</v>
      </c>
      <c r="W3223">
        <v>0</v>
      </c>
      <c r="X3223">
        <v>0</v>
      </c>
    </row>
    <row r="3224" spans="1:24" ht="15" customHeight="1" x14ac:dyDescent="0.25">
      <c r="A3224" t="str">
        <f>""</f>
        <v/>
      </c>
      <c r="B3224" s="1"/>
      <c r="H3224">
        <v>140</v>
      </c>
      <c r="J3224" t="s">
        <v>23</v>
      </c>
      <c r="L3224" s="1"/>
      <c r="N3224" s="1"/>
      <c r="V3224" t="str">
        <f>"63000"</f>
        <v>63000</v>
      </c>
      <c r="W3224">
        <v>0</v>
      </c>
      <c r="X3224">
        <v>16.8</v>
      </c>
    </row>
    <row r="3225" spans="1:24" ht="15" customHeight="1" x14ac:dyDescent="0.25">
      <c r="A3225" t="str">
        <f>""</f>
        <v/>
      </c>
      <c r="B3225" s="1"/>
      <c r="H3225">
        <v>84.5</v>
      </c>
      <c r="J3225" t="s">
        <v>23</v>
      </c>
      <c r="L3225" s="1"/>
      <c r="V3225" t="str">
        <f>"94310"</f>
        <v>94310</v>
      </c>
      <c r="W3225">
        <v>0</v>
      </c>
      <c r="X3225">
        <v>0</v>
      </c>
    </row>
    <row r="3226" spans="1:24" ht="15" customHeight="1" x14ac:dyDescent="0.25">
      <c r="A3226" t="str">
        <f>""</f>
        <v/>
      </c>
      <c r="B3226" s="1"/>
      <c r="H3226">
        <v>50.84</v>
      </c>
      <c r="J3226" t="s">
        <v>19</v>
      </c>
      <c r="L3226" s="1"/>
      <c r="N3226" s="1"/>
      <c r="V3226" t="str">
        <f>"92000"</f>
        <v>92000</v>
      </c>
      <c r="W3226">
        <v>0</v>
      </c>
      <c r="X3226">
        <v>0</v>
      </c>
    </row>
    <row r="3227" spans="1:24" x14ac:dyDescent="0.25">
      <c r="A3227" t="str">
        <f>""</f>
        <v/>
      </c>
      <c r="B3227" s="1"/>
      <c r="H3227">
        <v>23.4</v>
      </c>
      <c r="J3227" t="s">
        <v>17</v>
      </c>
      <c r="L3227" s="1"/>
      <c r="N3227" s="1"/>
      <c r="V3227" t="str">
        <f>"38230"</f>
        <v>38230</v>
      </c>
      <c r="W3227">
        <v>0</v>
      </c>
      <c r="X3227">
        <v>0</v>
      </c>
    </row>
    <row r="3228" spans="1:24" x14ac:dyDescent="0.25">
      <c r="A3228" t="str">
        <f>""</f>
        <v/>
      </c>
      <c r="B3228" s="1"/>
      <c r="H3228">
        <v>23.4</v>
      </c>
      <c r="J3228" t="s">
        <v>15</v>
      </c>
      <c r="L3228" s="1"/>
      <c r="N3228" s="1"/>
      <c r="V3228" t="str">
        <f>"38230"</f>
        <v>38230</v>
      </c>
      <c r="W3228">
        <v>0</v>
      </c>
      <c r="X3228">
        <v>0</v>
      </c>
    </row>
    <row r="3229" spans="1:24" ht="15" customHeight="1" x14ac:dyDescent="0.25">
      <c r="A3229" t="str">
        <f>""</f>
        <v/>
      </c>
      <c r="B3229" s="1"/>
      <c r="H3229">
        <v>20</v>
      </c>
      <c r="L3229" s="1"/>
      <c r="N3229" s="1"/>
      <c r="V3229" t="str">
        <f>"77184"</f>
        <v>77184</v>
      </c>
      <c r="W3229">
        <v>0</v>
      </c>
      <c r="X3229">
        <v>0</v>
      </c>
    </row>
    <row r="3230" spans="1:24" ht="15" customHeight="1" x14ac:dyDescent="0.25">
      <c r="A3230" t="str">
        <f>""</f>
        <v/>
      </c>
      <c r="B3230" s="1"/>
      <c r="H3230">
        <v>97.48</v>
      </c>
      <c r="J3230" t="s">
        <v>19</v>
      </c>
      <c r="L3230" s="1"/>
      <c r="N3230" s="1"/>
      <c r="V3230" t="str">
        <f>"16380"</f>
        <v>16380</v>
      </c>
      <c r="W3230">
        <v>20.47</v>
      </c>
      <c r="X3230">
        <v>0</v>
      </c>
    </row>
    <row r="3231" spans="1:24" ht="15" customHeight="1" x14ac:dyDescent="0.25">
      <c r="A3231" t="str">
        <f>""</f>
        <v/>
      </c>
      <c r="B3231" s="1"/>
      <c r="H3231">
        <v>18.350000000000001</v>
      </c>
      <c r="J3231" t="s">
        <v>19</v>
      </c>
      <c r="L3231" s="1"/>
      <c r="N3231" s="1"/>
      <c r="V3231" t="str">
        <f>"72300"</f>
        <v>72300</v>
      </c>
      <c r="W3231">
        <v>3.85</v>
      </c>
      <c r="X3231">
        <v>0</v>
      </c>
    </row>
    <row r="3232" spans="1:24" ht="15" customHeight="1" x14ac:dyDescent="0.25">
      <c r="A3232" t="str">
        <f>""</f>
        <v/>
      </c>
      <c r="B3232" s="1"/>
      <c r="H3232">
        <v>29.59</v>
      </c>
      <c r="J3232" t="s">
        <v>22</v>
      </c>
      <c r="L3232" s="1"/>
      <c r="N3232" s="1"/>
      <c r="V3232" t="str">
        <f>"92400"</f>
        <v>92400</v>
      </c>
      <c r="W3232">
        <v>0</v>
      </c>
      <c r="X3232">
        <v>0</v>
      </c>
    </row>
    <row r="3233" spans="1:24" ht="15" customHeight="1" x14ac:dyDescent="0.25">
      <c r="A3233" t="str">
        <f>""</f>
        <v/>
      </c>
      <c r="B3233" s="1"/>
      <c r="H3233">
        <v>180</v>
      </c>
      <c r="J3233" t="s">
        <v>23</v>
      </c>
      <c r="L3233" s="1"/>
      <c r="N3233" s="1"/>
      <c r="V3233" t="str">
        <f>"62320"</f>
        <v>62320</v>
      </c>
      <c r="W3233">
        <v>0</v>
      </c>
      <c r="X3233">
        <v>0</v>
      </c>
    </row>
    <row r="3234" spans="1:24" ht="15" customHeight="1" x14ac:dyDescent="0.25">
      <c r="A3234" t="str">
        <f>""</f>
        <v/>
      </c>
      <c r="B3234" s="1"/>
      <c r="H3234">
        <v>151</v>
      </c>
      <c r="J3234" t="s">
        <v>22</v>
      </c>
      <c r="L3234" s="1"/>
      <c r="N3234" s="1"/>
      <c r="V3234" t="str">
        <f>"06560"</f>
        <v>06560</v>
      </c>
      <c r="W3234">
        <v>0</v>
      </c>
      <c r="X3234">
        <v>0</v>
      </c>
    </row>
    <row r="3235" spans="1:24" ht="15" customHeight="1" x14ac:dyDescent="0.25">
      <c r="A3235" t="str">
        <f>""</f>
        <v/>
      </c>
      <c r="B3235" s="1"/>
      <c r="H3235">
        <v>140</v>
      </c>
      <c r="J3235" t="s">
        <v>22</v>
      </c>
      <c r="L3235" s="1"/>
      <c r="N3235" s="1"/>
      <c r="V3235" t="str">
        <f>"67450"</f>
        <v>67450</v>
      </c>
      <c r="W3235">
        <v>0</v>
      </c>
      <c r="X3235">
        <v>11.2</v>
      </c>
    </row>
    <row r="3236" spans="1:24" ht="15" customHeight="1" x14ac:dyDescent="0.25">
      <c r="A3236" t="str">
        <f>""</f>
        <v/>
      </c>
      <c r="B3236" s="1"/>
      <c r="H3236">
        <v>154</v>
      </c>
      <c r="J3236" t="s">
        <v>22</v>
      </c>
      <c r="L3236" s="1"/>
      <c r="N3236" s="1"/>
      <c r="V3236" t="str">
        <f>"84000"</f>
        <v>84000</v>
      </c>
      <c r="W3236">
        <v>0</v>
      </c>
      <c r="X3236">
        <v>29.26</v>
      </c>
    </row>
    <row r="3237" spans="1:24" ht="15" customHeight="1" x14ac:dyDescent="0.25">
      <c r="A3237" t="str">
        <f>""</f>
        <v/>
      </c>
      <c r="B3237" s="1"/>
      <c r="H3237">
        <v>215.58</v>
      </c>
      <c r="J3237" t="s">
        <v>22</v>
      </c>
      <c r="L3237" s="1"/>
      <c r="N3237" s="1"/>
      <c r="V3237" t="str">
        <f>"01000"</f>
        <v>01000</v>
      </c>
      <c r="W3237">
        <v>0</v>
      </c>
      <c r="X3237">
        <v>0</v>
      </c>
    </row>
    <row r="3238" spans="1:24" ht="15" customHeight="1" x14ac:dyDescent="0.25">
      <c r="A3238" t="str">
        <f>""</f>
        <v/>
      </c>
      <c r="B3238" s="1"/>
      <c r="H3238">
        <v>59.68</v>
      </c>
      <c r="J3238" t="s">
        <v>20</v>
      </c>
      <c r="L3238" s="1"/>
      <c r="N3238" s="1"/>
      <c r="V3238" t="str">
        <f>"75012"</f>
        <v>75012</v>
      </c>
      <c r="W3238">
        <v>0</v>
      </c>
      <c r="X3238">
        <v>0</v>
      </c>
    </row>
    <row r="3239" spans="1:24" ht="15" customHeight="1" x14ac:dyDescent="0.25">
      <c r="A3239" t="str">
        <f>""</f>
        <v/>
      </c>
      <c r="B3239" s="1"/>
      <c r="H3239">
        <v>160.61000000000001</v>
      </c>
      <c r="J3239" t="s">
        <v>19</v>
      </c>
      <c r="L3239" s="1"/>
      <c r="N3239" s="1"/>
      <c r="V3239" t="str">
        <f>"01000"</f>
        <v>01000</v>
      </c>
      <c r="W3239">
        <v>43.36</v>
      </c>
      <c r="X3239">
        <v>0</v>
      </c>
    </row>
    <row r="3240" spans="1:24" ht="15" customHeight="1" x14ac:dyDescent="0.25">
      <c r="A3240" t="str">
        <f>""</f>
        <v/>
      </c>
      <c r="B3240" s="1"/>
      <c r="H3240">
        <v>70</v>
      </c>
      <c r="J3240" t="s">
        <v>23</v>
      </c>
      <c r="L3240" s="1"/>
      <c r="N3240" s="1"/>
      <c r="V3240" t="str">
        <f>"53400"</f>
        <v>53400</v>
      </c>
      <c r="W3240">
        <v>0</v>
      </c>
      <c r="X3240">
        <v>0</v>
      </c>
    </row>
    <row r="3241" spans="1:24" ht="15" customHeight="1" x14ac:dyDescent="0.25">
      <c r="A3241" t="str">
        <f>""</f>
        <v/>
      </c>
      <c r="B3241" s="1"/>
      <c r="H3241">
        <v>137.43</v>
      </c>
      <c r="J3241" t="s">
        <v>19</v>
      </c>
      <c r="L3241" s="1"/>
      <c r="N3241" s="1"/>
      <c r="V3241" t="str">
        <f>"87000"</f>
        <v>87000</v>
      </c>
      <c r="W3241">
        <v>39.85</v>
      </c>
      <c r="X3241">
        <v>0</v>
      </c>
    </row>
    <row r="3242" spans="1:24" ht="15" customHeight="1" x14ac:dyDescent="0.25">
      <c r="A3242" t="str">
        <f>""</f>
        <v/>
      </c>
      <c r="B3242" s="1"/>
      <c r="H3242">
        <v>20.23</v>
      </c>
      <c r="J3242" t="s">
        <v>19</v>
      </c>
      <c r="L3242" s="1"/>
      <c r="N3242" s="1"/>
      <c r="V3242" t="str">
        <f>"14200"</f>
        <v>14200</v>
      </c>
      <c r="W3242">
        <v>3.44</v>
      </c>
      <c r="X3242">
        <v>0</v>
      </c>
    </row>
    <row r="3243" spans="1:24" ht="15" customHeight="1" x14ac:dyDescent="0.25">
      <c r="A3243" t="str">
        <f>""</f>
        <v/>
      </c>
      <c r="B3243" s="1"/>
      <c r="H3243">
        <v>38.54</v>
      </c>
      <c r="J3243" t="s">
        <v>22</v>
      </c>
      <c r="L3243" s="1"/>
      <c r="N3243" s="1"/>
      <c r="V3243" t="str">
        <f>"84000"</f>
        <v>84000</v>
      </c>
      <c r="W3243">
        <v>0</v>
      </c>
      <c r="X3243">
        <v>7.32</v>
      </c>
    </row>
    <row r="3244" spans="1:24" ht="15" customHeight="1" x14ac:dyDescent="0.25">
      <c r="A3244" t="str">
        <f>""</f>
        <v/>
      </c>
      <c r="B3244" s="1"/>
      <c r="H3244">
        <v>40</v>
      </c>
      <c r="J3244" t="s">
        <v>23</v>
      </c>
      <c r="L3244" s="1"/>
      <c r="N3244" s="1"/>
      <c r="V3244" t="str">
        <f>"26700"</f>
        <v>26700</v>
      </c>
      <c r="W3244">
        <v>0</v>
      </c>
      <c r="X3244">
        <v>0</v>
      </c>
    </row>
    <row r="3245" spans="1:24" ht="15" customHeight="1" x14ac:dyDescent="0.25">
      <c r="A3245" t="str">
        <f>""</f>
        <v/>
      </c>
      <c r="B3245" s="1"/>
      <c r="H3245">
        <v>17</v>
      </c>
      <c r="J3245" t="s">
        <v>22</v>
      </c>
      <c r="L3245" s="1"/>
      <c r="V3245" t="str">
        <f>"88000"</f>
        <v>88000</v>
      </c>
      <c r="W3245">
        <v>0</v>
      </c>
      <c r="X3245">
        <v>0</v>
      </c>
    </row>
    <row r="3246" spans="1:24" ht="15" customHeight="1" x14ac:dyDescent="0.25">
      <c r="A3246" t="str">
        <f>""</f>
        <v/>
      </c>
      <c r="B3246" s="1"/>
      <c r="H3246">
        <v>106.8</v>
      </c>
      <c r="J3246" t="s">
        <v>21</v>
      </c>
      <c r="L3246" s="1"/>
      <c r="V3246" t="str">
        <f>"77184"</f>
        <v>77184</v>
      </c>
      <c r="W3246">
        <v>0</v>
      </c>
      <c r="X3246">
        <v>0</v>
      </c>
    </row>
    <row r="3247" spans="1:24" ht="15" customHeight="1" x14ac:dyDescent="0.25">
      <c r="A3247" t="str">
        <f>""</f>
        <v/>
      </c>
      <c r="B3247" s="1"/>
      <c r="H3247">
        <v>183.98</v>
      </c>
      <c r="J3247" t="s">
        <v>20</v>
      </c>
      <c r="L3247" s="1"/>
      <c r="N3247" s="1"/>
      <c r="V3247" t="str">
        <f>"59000"</f>
        <v>59000</v>
      </c>
      <c r="W3247">
        <v>34.96</v>
      </c>
      <c r="X3247">
        <v>0</v>
      </c>
    </row>
    <row r="3248" spans="1:24" ht="15" customHeight="1" x14ac:dyDescent="0.25">
      <c r="A3248" t="str">
        <f>""</f>
        <v/>
      </c>
      <c r="B3248" s="1"/>
      <c r="H3248">
        <v>37.19</v>
      </c>
      <c r="L3248" s="1"/>
      <c r="N3248" s="1"/>
      <c r="V3248" t="str">
        <f>"44240"</f>
        <v>44240</v>
      </c>
      <c r="W3248">
        <v>0</v>
      </c>
      <c r="X3248">
        <v>0</v>
      </c>
    </row>
    <row r="3249" spans="1:24" ht="15" customHeight="1" x14ac:dyDescent="0.25">
      <c r="A3249" t="str">
        <f>""</f>
        <v/>
      </c>
      <c r="B3249" s="1"/>
      <c r="H3249">
        <v>60</v>
      </c>
      <c r="L3249" s="1"/>
      <c r="N3249" s="1"/>
      <c r="V3249" t="str">
        <f>"44240"</f>
        <v>44240</v>
      </c>
      <c r="W3249">
        <v>0</v>
      </c>
      <c r="X3249">
        <v>0</v>
      </c>
    </row>
    <row r="3250" spans="1:24" ht="15" customHeight="1" x14ac:dyDescent="0.25">
      <c r="A3250" t="str">
        <f>""</f>
        <v/>
      </c>
      <c r="B3250" s="1"/>
      <c r="H3250">
        <v>143.51</v>
      </c>
      <c r="J3250" t="s">
        <v>20</v>
      </c>
      <c r="L3250" s="1"/>
      <c r="N3250" s="1"/>
      <c r="V3250" t="str">
        <f>"34500"</f>
        <v>34500</v>
      </c>
      <c r="W3250">
        <v>55.97</v>
      </c>
      <c r="X3250">
        <v>0</v>
      </c>
    </row>
    <row r="3251" spans="1:24" ht="15" customHeight="1" x14ac:dyDescent="0.25">
      <c r="A3251" t="str">
        <f>""</f>
        <v/>
      </c>
      <c r="B3251" s="1"/>
      <c r="H3251">
        <v>11</v>
      </c>
      <c r="L3251" s="1"/>
      <c r="N3251" s="1"/>
      <c r="V3251" t="str">
        <f t="shared" ref="V3251:V3256" si="13">"77184"</f>
        <v>77184</v>
      </c>
      <c r="W3251">
        <v>0</v>
      </c>
      <c r="X3251">
        <v>0</v>
      </c>
    </row>
    <row r="3252" spans="1:24" ht="15" customHeight="1" x14ac:dyDescent="0.25">
      <c r="A3252" t="str">
        <f>""</f>
        <v/>
      </c>
      <c r="B3252" s="1"/>
      <c r="H3252">
        <v>140</v>
      </c>
      <c r="L3252" s="1"/>
      <c r="N3252" s="1"/>
      <c r="V3252" t="str">
        <f t="shared" si="13"/>
        <v>77184</v>
      </c>
      <c r="W3252">
        <v>0</v>
      </c>
      <c r="X3252">
        <v>0</v>
      </c>
    </row>
    <row r="3253" spans="1:24" ht="15" customHeight="1" x14ac:dyDescent="0.25">
      <c r="A3253" t="str">
        <f>""</f>
        <v/>
      </c>
      <c r="B3253" s="1"/>
      <c r="H3253">
        <v>52</v>
      </c>
      <c r="L3253" s="1"/>
      <c r="N3253" s="1"/>
      <c r="V3253" t="str">
        <f t="shared" si="13"/>
        <v>77184</v>
      </c>
      <c r="W3253">
        <v>0</v>
      </c>
      <c r="X3253">
        <v>0</v>
      </c>
    </row>
    <row r="3254" spans="1:24" ht="15" customHeight="1" x14ac:dyDescent="0.25">
      <c r="A3254" t="str">
        <f>""</f>
        <v/>
      </c>
      <c r="B3254" s="1"/>
      <c r="H3254">
        <v>160</v>
      </c>
      <c r="L3254" s="1"/>
      <c r="N3254" s="1"/>
      <c r="V3254" t="str">
        <f t="shared" si="13"/>
        <v>77184</v>
      </c>
      <c r="W3254">
        <v>0</v>
      </c>
      <c r="X3254">
        <v>0</v>
      </c>
    </row>
    <row r="3255" spans="1:24" ht="15" customHeight="1" x14ac:dyDescent="0.25">
      <c r="A3255" t="str">
        <f>""</f>
        <v/>
      </c>
      <c r="B3255" s="1"/>
      <c r="H3255">
        <v>171</v>
      </c>
      <c r="L3255" s="1"/>
      <c r="N3255" s="1"/>
      <c r="V3255" t="str">
        <f t="shared" si="13"/>
        <v>77184</v>
      </c>
      <c r="W3255">
        <v>0</v>
      </c>
      <c r="X3255">
        <v>0</v>
      </c>
    </row>
    <row r="3256" spans="1:24" ht="15" customHeight="1" x14ac:dyDescent="0.25">
      <c r="A3256" t="str">
        <f>""</f>
        <v/>
      </c>
      <c r="B3256" s="1"/>
      <c r="H3256">
        <v>156</v>
      </c>
      <c r="L3256" s="1"/>
      <c r="N3256" s="1"/>
      <c r="V3256" t="str">
        <f t="shared" si="13"/>
        <v>77184</v>
      </c>
      <c r="W3256">
        <v>0</v>
      </c>
      <c r="X3256">
        <v>0</v>
      </c>
    </row>
    <row r="3257" spans="1:24" ht="15" customHeight="1" x14ac:dyDescent="0.25">
      <c r="A3257" t="str">
        <f>""</f>
        <v/>
      </c>
      <c r="B3257" s="1"/>
      <c r="H3257">
        <v>140</v>
      </c>
      <c r="J3257" t="s">
        <v>20</v>
      </c>
      <c r="L3257" s="1"/>
      <c r="N3257" s="1"/>
      <c r="V3257" t="str">
        <f>"08090"</f>
        <v>08090</v>
      </c>
      <c r="W3257">
        <v>26.6</v>
      </c>
      <c r="X3257">
        <v>0</v>
      </c>
    </row>
    <row r="3258" spans="1:24" ht="15" customHeight="1" x14ac:dyDescent="0.25">
      <c r="A3258" t="str">
        <f>""</f>
        <v/>
      </c>
      <c r="B3258" s="1"/>
      <c r="H3258">
        <v>174.85</v>
      </c>
      <c r="J3258" t="s">
        <v>20</v>
      </c>
      <c r="L3258" s="1"/>
      <c r="N3258" s="1"/>
      <c r="V3258" t="str">
        <f>"42650"</f>
        <v>42650</v>
      </c>
      <c r="W3258">
        <v>47.21</v>
      </c>
      <c r="X3258">
        <v>0</v>
      </c>
    </row>
    <row r="3259" spans="1:24" ht="15" customHeight="1" x14ac:dyDescent="0.25">
      <c r="A3259" t="str">
        <f>""</f>
        <v/>
      </c>
      <c r="B3259" s="1"/>
      <c r="H3259">
        <v>137.97999999999999</v>
      </c>
      <c r="L3259" s="1"/>
      <c r="N3259" s="1"/>
      <c r="V3259" t="str">
        <f>"77184"</f>
        <v>77184</v>
      </c>
      <c r="W3259">
        <v>0</v>
      </c>
      <c r="X3259">
        <v>0</v>
      </c>
    </row>
    <row r="3260" spans="1:24" ht="15" customHeight="1" x14ac:dyDescent="0.25">
      <c r="A3260" t="str">
        <f>""</f>
        <v/>
      </c>
      <c r="B3260" s="1"/>
      <c r="H3260">
        <v>157</v>
      </c>
      <c r="L3260" s="1"/>
      <c r="N3260" s="1"/>
      <c r="V3260" t="str">
        <f>"77184"</f>
        <v>77184</v>
      </c>
      <c r="W3260">
        <v>0</v>
      </c>
      <c r="X3260">
        <v>0</v>
      </c>
    </row>
    <row r="3261" spans="1:24" ht="15" customHeight="1" x14ac:dyDescent="0.25">
      <c r="A3261" t="str">
        <f>""</f>
        <v/>
      </c>
      <c r="B3261" s="1"/>
      <c r="H3261">
        <v>181</v>
      </c>
      <c r="J3261" t="s">
        <v>22</v>
      </c>
      <c r="L3261" s="1"/>
      <c r="N3261" s="1"/>
      <c r="V3261" t="str">
        <f>"06190"</f>
        <v>06190</v>
      </c>
      <c r="W3261">
        <v>0</v>
      </c>
      <c r="X3261">
        <v>54.3</v>
      </c>
    </row>
    <row r="3262" spans="1:24" ht="15" customHeight="1" x14ac:dyDescent="0.25">
      <c r="A3262" t="str">
        <f>""</f>
        <v/>
      </c>
      <c r="B3262" s="1"/>
      <c r="H3262">
        <v>192.93</v>
      </c>
      <c r="J3262" t="s">
        <v>20</v>
      </c>
      <c r="L3262" s="1"/>
      <c r="N3262" s="1"/>
      <c r="V3262" t="str">
        <f>"06400"</f>
        <v>06400</v>
      </c>
      <c r="W3262">
        <v>57.88</v>
      </c>
      <c r="X3262">
        <v>0</v>
      </c>
    </row>
    <row r="3263" spans="1:24" ht="15" customHeight="1" x14ac:dyDescent="0.25">
      <c r="A3263" t="str">
        <f>""</f>
        <v/>
      </c>
      <c r="B3263" s="1"/>
      <c r="H3263">
        <v>28.62</v>
      </c>
      <c r="J3263" t="s">
        <v>19</v>
      </c>
      <c r="L3263" s="1"/>
      <c r="N3263" s="1"/>
      <c r="V3263" t="str">
        <f>"13610"</f>
        <v>13610</v>
      </c>
      <c r="W3263">
        <v>8.3000000000000007</v>
      </c>
      <c r="X3263">
        <v>0</v>
      </c>
    </row>
    <row r="3264" spans="1:24" ht="15" customHeight="1" x14ac:dyDescent="0.25">
      <c r="A3264" t="str">
        <f>""</f>
        <v/>
      </c>
      <c r="B3264" s="1"/>
      <c r="H3264">
        <v>107.6</v>
      </c>
      <c r="J3264" t="s">
        <v>19</v>
      </c>
      <c r="L3264" s="1"/>
      <c r="N3264" s="1"/>
      <c r="V3264" t="str">
        <f>"75014"</f>
        <v>75014</v>
      </c>
      <c r="W3264">
        <v>0</v>
      </c>
      <c r="X3264">
        <v>0</v>
      </c>
    </row>
    <row r="3265" spans="1:24" ht="15" customHeight="1" x14ac:dyDescent="0.25">
      <c r="A3265" t="str">
        <f>""</f>
        <v/>
      </c>
      <c r="B3265" s="1"/>
      <c r="H3265">
        <v>55.34</v>
      </c>
      <c r="J3265" t="s">
        <v>20</v>
      </c>
      <c r="L3265" s="1"/>
      <c r="N3265" s="1"/>
      <c r="V3265" t="str">
        <f>"85400"</f>
        <v>85400</v>
      </c>
      <c r="W3265">
        <v>14.94</v>
      </c>
      <c r="X3265">
        <v>0</v>
      </c>
    </row>
    <row r="3266" spans="1:24" ht="15" customHeight="1" x14ac:dyDescent="0.25">
      <c r="A3266" t="str">
        <f>""</f>
        <v/>
      </c>
      <c r="B3266" s="1"/>
      <c r="H3266">
        <v>40</v>
      </c>
      <c r="J3266" t="s">
        <v>20</v>
      </c>
      <c r="L3266" s="1"/>
      <c r="N3266" s="1"/>
      <c r="V3266" t="str">
        <f>"94120"</f>
        <v>94120</v>
      </c>
      <c r="W3266">
        <v>0</v>
      </c>
      <c r="X3266">
        <v>0</v>
      </c>
    </row>
    <row r="3267" spans="1:24" ht="15" customHeight="1" x14ac:dyDescent="0.25">
      <c r="A3267" t="str">
        <f>""</f>
        <v/>
      </c>
      <c r="B3267" s="1"/>
      <c r="H3267">
        <v>109</v>
      </c>
      <c r="L3267" s="1"/>
      <c r="N3267" s="1"/>
      <c r="V3267" t="str">
        <f>"44240"</f>
        <v>44240</v>
      </c>
      <c r="W3267">
        <v>0</v>
      </c>
      <c r="X3267">
        <v>0</v>
      </c>
    </row>
    <row r="3268" spans="1:24" ht="15" customHeight="1" x14ac:dyDescent="0.25">
      <c r="A3268" t="str">
        <f>""</f>
        <v/>
      </c>
      <c r="B3268" s="1"/>
      <c r="H3268">
        <v>13</v>
      </c>
      <c r="J3268" t="s">
        <v>20</v>
      </c>
      <c r="L3268" s="1"/>
      <c r="N3268" s="1"/>
      <c r="V3268" t="str">
        <f>"83190"</f>
        <v>83190</v>
      </c>
      <c r="W3268">
        <v>0</v>
      </c>
      <c r="X3268">
        <v>0</v>
      </c>
    </row>
    <row r="3269" spans="1:24" ht="15" customHeight="1" x14ac:dyDescent="0.25">
      <c r="A3269" t="str">
        <f>""</f>
        <v/>
      </c>
      <c r="B3269" s="1"/>
      <c r="J3269" t="s">
        <v>20</v>
      </c>
      <c r="L3269" s="1"/>
      <c r="N3269" s="1"/>
      <c r="V3269" t="str">
        <f>"69002"</f>
        <v>69002</v>
      </c>
      <c r="W3269">
        <v>0</v>
      </c>
      <c r="X3269">
        <v>0</v>
      </c>
    </row>
    <row r="3270" spans="1:24" ht="15" customHeight="1" x14ac:dyDescent="0.25">
      <c r="A3270" t="str">
        <f>""</f>
        <v/>
      </c>
      <c r="B3270" s="1"/>
      <c r="H3270">
        <v>133.97999999999999</v>
      </c>
      <c r="L3270" s="1"/>
      <c r="N3270" s="1"/>
      <c r="V3270" t="str">
        <f>"77184"</f>
        <v>77184</v>
      </c>
      <c r="W3270">
        <v>0</v>
      </c>
      <c r="X3270">
        <v>0</v>
      </c>
    </row>
    <row r="3271" spans="1:24" ht="15" customHeight="1" x14ac:dyDescent="0.25">
      <c r="A3271" t="str">
        <f>""</f>
        <v/>
      </c>
      <c r="B3271" s="1"/>
      <c r="H3271">
        <v>19.649999999999999</v>
      </c>
      <c r="J3271" t="s">
        <v>19</v>
      </c>
      <c r="L3271" s="1"/>
      <c r="N3271" s="1"/>
      <c r="V3271" t="str">
        <f>"75014"</f>
        <v>75014</v>
      </c>
      <c r="W3271">
        <v>0</v>
      </c>
      <c r="X3271">
        <v>0</v>
      </c>
    </row>
    <row r="3272" spans="1:24" ht="15" customHeight="1" x14ac:dyDescent="0.25">
      <c r="A3272" t="str">
        <f>""</f>
        <v/>
      </c>
      <c r="B3272" s="1"/>
      <c r="H3272">
        <v>19.649999999999999</v>
      </c>
      <c r="J3272" t="s">
        <v>19</v>
      </c>
      <c r="L3272" s="1"/>
      <c r="N3272" s="1"/>
      <c r="V3272" t="str">
        <f>"75014"</f>
        <v>75014</v>
      </c>
      <c r="W3272">
        <v>0</v>
      </c>
      <c r="X3272">
        <v>0</v>
      </c>
    </row>
    <row r="3273" spans="1:24" ht="15" customHeight="1" x14ac:dyDescent="0.25">
      <c r="A3273" t="str">
        <f>""</f>
        <v/>
      </c>
      <c r="B3273" s="1"/>
      <c r="H3273">
        <v>40</v>
      </c>
      <c r="J3273" t="s">
        <v>20</v>
      </c>
      <c r="L3273" s="1"/>
      <c r="N3273" s="1"/>
      <c r="V3273" t="str">
        <f>"38400"</f>
        <v>38400</v>
      </c>
      <c r="W3273">
        <v>10.8</v>
      </c>
      <c r="X3273">
        <v>0</v>
      </c>
    </row>
    <row r="3274" spans="1:24" ht="15" customHeight="1" x14ac:dyDescent="0.25">
      <c r="A3274" t="str">
        <f>""</f>
        <v/>
      </c>
      <c r="B3274" s="1"/>
      <c r="H3274">
        <v>4.54</v>
      </c>
      <c r="J3274" t="s">
        <v>20</v>
      </c>
      <c r="L3274" s="1"/>
      <c r="N3274" s="1"/>
      <c r="V3274" t="str">
        <f>"34200"</f>
        <v>34200</v>
      </c>
      <c r="W3274">
        <v>1.77</v>
      </c>
      <c r="X3274">
        <v>0</v>
      </c>
    </row>
    <row r="3275" spans="1:24" ht="15" customHeight="1" x14ac:dyDescent="0.25">
      <c r="A3275" t="str">
        <f>""</f>
        <v/>
      </c>
      <c r="B3275" s="1"/>
      <c r="H3275">
        <v>151</v>
      </c>
      <c r="J3275" t="s">
        <v>22</v>
      </c>
      <c r="L3275" s="1"/>
      <c r="V3275" t="str">
        <f>"25110"</f>
        <v>25110</v>
      </c>
      <c r="W3275">
        <v>0</v>
      </c>
      <c r="X3275">
        <v>0</v>
      </c>
    </row>
    <row r="3276" spans="1:24" x14ac:dyDescent="0.25">
      <c r="A3276" t="str">
        <f>""</f>
        <v/>
      </c>
      <c r="B3276" s="1"/>
      <c r="H3276">
        <v>149.62</v>
      </c>
      <c r="J3276" t="s">
        <v>15</v>
      </c>
      <c r="L3276" s="1"/>
      <c r="N3276" s="1"/>
      <c r="V3276" t="str">
        <f>"63100"</f>
        <v>63100</v>
      </c>
      <c r="W3276">
        <v>0</v>
      </c>
      <c r="X3276">
        <v>0</v>
      </c>
    </row>
    <row r="3277" spans="1:24" x14ac:dyDescent="0.25">
      <c r="A3277" t="str">
        <f>""</f>
        <v/>
      </c>
      <c r="B3277" s="1"/>
      <c r="H3277">
        <v>160.28</v>
      </c>
      <c r="J3277" t="s">
        <v>17</v>
      </c>
      <c r="L3277" s="1"/>
      <c r="N3277" s="1"/>
      <c r="V3277" t="str">
        <f>"63100"</f>
        <v>63100</v>
      </c>
      <c r="W3277">
        <v>0</v>
      </c>
      <c r="X3277">
        <v>0</v>
      </c>
    </row>
    <row r="3278" spans="1:24" ht="15" customHeight="1" x14ac:dyDescent="0.25">
      <c r="A3278" t="str">
        <f>""</f>
        <v/>
      </c>
      <c r="B3278" s="1"/>
      <c r="H3278">
        <v>99.01</v>
      </c>
      <c r="J3278" t="s">
        <v>23</v>
      </c>
      <c r="L3278" s="1"/>
      <c r="N3278" s="1"/>
      <c r="V3278" t="str">
        <f>"69800"</f>
        <v>69800</v>
      </c>
      <c r="W3278">
        <v>0</v>
      </c>
      <c r="X3278">
        <v>26.73</v>
      </c>
    </row>
    <row r="3279" spans="1:24" ht="15" customHeight="1" x14ac:dyDescent="0.25">
      <c r="A3279" t="str">
        <f>""</f>
        <v/>
      </c>
      <c r="B3279" s="1"/>
      <c r="H3279">
        <v>84.5</v>
      </c>
      <c r="L3279" s="1"/>
      <c r="N3279" s="1"/>
      <c r="V3279" t="str">
        <f>"77184"</f>
        <v>77184</v>
      </c>
      <c r="W3279">
        <v>0</v>
      </c>
      <c r="X3279">
        <v>0</v>
      </c>
    </row>
    <row r="3280" spans="1:24" ht="15" customHeight="1" x14ac:dyDescent="0.25">
      <c r="A3280" t="str">
        <f>""</f>
        <v/>
      </c>
      <c r="B3280" s="1"/>
      <c r="H3280">
        <v>25</v>
      </c>
      <c r="L3280" s="1"/>
      <c r="N3280" s="1"/>
      <c r="V3280" t="str">
        <f>"77184"</f>
        <v>77184</v>
      </c>
      <c r="W3280">
        <v>0</v>
      </c>
      <c r="X3280">
        <v>0</v>
      </c>
    </row>
    <row r="3281" spans="1:24" ht="15" customHeight="1" x14ac:dyDescent="0.25">
      <c r="A3281" t="str">
        <f>""</f>
        <v/>
      </c>
      <c r="B3281" s="1"/>
      <c r="H3281">
        <v>32.65</v>
      </c>
      <c r="L3281" s="1"/>
      <c r="N3281" s="1"/>
      <c r="V3281" t="str">
        <f>"77184"</f>
        <v>77184</v>
      </c>
      <c r="W3281">
        <v>0</v>
      </c>
      <c r="X3281">
        <v>0</v>
      </c>
    </row>
    <row r="3282" spans="1:24" ht="15" customHeight="1" x14ac:dyDescent="0.25">
      <c r="A3282" t="str">
        <f>""</f>
        <v/>
      </c>
      <c r="B3282" s="1"/>
      <c r="H3282">
        <v>26</v>
      </c>
      <c r="L3282" s="1"/>
      <c r="N3282" s="1"/>
      <c r="V3282" t="str">
        <f>"77184"</f>
        <v>77184</v>
      </c>
      <c r="W3282">
        <v>0</v>
      </c>
      <c r="X3282">
        <v>0</v>
      </c>
    </row>
    <row r="3283" spans="1:24" ht="15" customHeight="1" x14ac:dyDescent="0.25">
      <c r="A3283" t="str">
        <f>""</f>
        <v/>
      </c>
      <c r="B3283" s="1"/>
      <c r="H3283">
        <v>188.94</v>
      </c>
      <c r="J3283" t="s">
        <v>20</v>
      </c>
      <c r="L3283" s="1"/>
      <c r="N3283" s="1"/>
      <c r="V3283" t="str">
        <f>"14430"</f>
        <v>14430</v>
      </c>
      <c r="W3283">
        <v>32.119999999999997</v>
      </c>
      <c r="X3283">
        <v>0</v>
      </c>
    </row>
    <row r="3284" spans="1:24" ht="15" customHeight="1" x14ac:dyDescent="0.25">
      <c r="A3284" t="str">
        <f>""</f>
        <v/>
      </c>
      <c r="B3284" s="1"/>
      <c r="H3284">
        <v>131.80000000000001</v>
      </c>
      <c r="L3284" s="1"/>
      <c r="N3284" s="1"/>
      <c r="V3284" t="str">
        <f>"77184"</f>
        <v>77184</v>
      </c>
      <c r="W3284">
        <v>0</v>
      </c>
      <c r="X3284">
        <v>0</v>
      </c>
    </row>
    <row r="3285" spans="1:24" ht="15" customHeight="1" x14ac:dyDescent="0.25">
      <c r="A3285" t="str">
        <f>""</f>
        <v/>
      </c>
      <c r="B3285" s="1"/>
      <c r="H3285">
        <v>140</v>
      </c>
      <c r="J3285" t="s">
        <v>20</v>
      </c>
      <c r="L3285" s="1"/>
      <c r="V3285" t="str">
        <f>"62300"</f>
        <v>62300</v>
      </c>
      <c r="W3285">
        <v>0</v>
      </c>
      <c r="X3285">
        <v>0</v>
      </c>
    </row>
    <row r="3286" spans="1:24" ht="15" customHeight="1" x14ac:dyDescent="0.25">
      <c r="A3286" t="str">
        <f>""</f>
        <v/>
      </c>
      <c r="B3286" s="1"/>
      <c r="H3286">
        <v>55.34</v>
      </c>
      <c r="J3286" t="s">
        <v>19</v>
      </c>
      <c r="L3286" s="1"/>
      <c r="N3286" s="1"/>
      <c r="V3286" t="str">
        <f>"95240"</f>
        <v>95240</v>
      </c>
      <c r="W3286">
        <v>0</v>
      </c>
      <c r="X3286">
        <v>0</v>
      </c>
    </row>
    <row r="3287" spans="1:24" ht="15" customHeight="1" x14ac:dyDescent="0.25">
      <c r="A3287" t="str">
        <f>""</f>
        <v/>
      </c>
      <c r="B3287" s="1"/>
      <c r="H3287">
        <v>36.85</v>
      </c>
      <c r="J3287" t="s">
        <v>19</v>
      </c>
      <c r="L3287" s="1"/>
      <c r="N3287" s="1"/>
      <c r="V3287" t="str">
        <f>"95240"</f>
        <v>95240</v>
      </c>
      <c r="W3287">
        <v>0</v>
      </c>
      <c r="X3287">
        <v>0</v>
      </c>
    </row>
    <row r="3288" spans="1:24" ht="15" customHeight="1" x14ac:dyDescent="0.25">
      <c r="A3288" t="str">
        <f>""</f>
        <v/>
      </c>
      <c r="B3288" s="1"/>
      <c r="H3288">
        <v>57.65</v>
      </c>
      <c r="J3288" t="s">
        <v>19</v>
      </c>
      <c r="L3288" s="1"/>
      <c r="N3288" s="1"/>
      <c r="V3288" t="str">
        <f>"44327"</f>
        <v>44327</v>
      </c>
      <c r="W3288">
        <v>15.57</v>
      </c>
      <c r="X3288">
        <v>0</v>
      </c>
    </row>
    <row r="3289" spans="1:24" ht="15" customHeight="1" x14ac:dyDescent="0.25">
      <c r="A3289" t="str">
        <f>""</f>
        <v/>
      </c>
      <c r="B3289" s="1"/>
      <c r="H3289">
        <v>83.4</v>
      </c>
      <c r="J3289" t="s">
        <v>20</v>
      </c>
      <c r="L3289" s="1"/>
      <c r="N3289" s="1"/>
      <c r="V3289" t="str">
        <f>"13510"</f>
        <v>13510</v>
      </c>
      <c r="W3289">
        <v>24.19</v>
      </c>
      <c r="X3289">
        <v>0</v>
      </c>
    </row>
    <row r="3290" spans="1:24" ht="15" customHeight="1" x14ac:dyDescent="0.25">
      <c r="A3290" t="str">
        <f>""</f>
        <v/>
      </c>
      <c r="B3290" s="1"/>
      <c r="H3290">
        <v>28.26</v>
      </c>
      <c r="J3290" t="s">
        <v>19</v>
      </c>
      <c r="L3290" s="1"/>
      <c r="N3290" s="1"/>
      <c r="V3290" t="str">
        <f>"75009"</f>
        <v>75009</v>
      </c>
      <c r="W3290">
        <v>0</v>
      </c>
      <c r="X3290">
        <v>0</v>
      </c>
    </row>
    <row r="3291" spans="1:24" ht="15" customHeight="1" x14ac:dyDescent="0.25">
      <c r="A3291" t="str">
        <f>""</f>
        <v/>
      </c>
      <c r="B3291" s="1"/>
      <c r="H3291">
        <v>192</v>
      </c>
      <c r="J3291" t="s">
        <v>22</v>
      </c>
      <c r="L3291" s="1"/>
      <c r="N3291" s="1"/>
      <c r="V3291" t="str">
        <f>"59430"</f>
        <v>59430</v>
      </c>
      <c r="W3291">
        <v>0</v>
      </c>
      <c r="X3291">
        <v>0</v>
      </c>
    </row>
    <row r="3292" spans="1:24" ht="15" customHeight="1" x14ac:dyDescent="0.25">
      <c r="A3292" t="str">
        <f>""</f>
        <v/>
      </c>
      <c r="B3292" s="1"/>
      <c r="H3292">
        <v>180</v>
      </c>
      <c r="J3292" t="s">
        <v>20</v>
      </c>
      <c r="L3292" s="1"/>
      <c r="N3292" s="1"/>
      <c r="V3292" t="str">
        <f>"73000"</f>
        <v>73000</v>
      </c>
      <c r="W3292">
        <v>48.6</v>
      </c>
      <c r="X3292">
        <v>0</v>
      </c>
    </row>
    <row r="3293" spans="1:24" x14ac:dyDescent="0.25">
      <c r="A3293" t="str">
        <f>""</f>
        <v/>
      </c>
      <c r="B3293" s="1"/>
      <c r="H3293">
        <v>1503.29</v>
      </c>
      <c r="J3293" t="s">
        <v>16</v>
      </c>
      <c r="L3293" s="1"/>
      <c r="V3293" t="str">
        <f>"94150"</f>
        <v>94150</v>
      </c>
      <c r="W3293">
        <v>0</v>
      </c>
      <c r="X3293">
        <v>0</v>
      </c>
    </row>
    <row r="3294" spans="1:24" ht="15" customHeight="1" x14ac:dyDescent="0.25">
      <c r="A3294" t="str">
        <f>""</f>
        <v/>
      </c>
      <c r="B3294" s="1"/>
      <c r="H3294">
        <v>80</v>
      </c>
      <c r="J3294" t="s">
        <v>20</v>
      </c>
      <c r="L3294" s="1"/>
      <c r="N3294" s="1"/>
      <c r="V3294" t="str">
        <f>"49000"</f>
        <v>49000</v>
      </c>
      <c r="W3294">
        <v>21.6</v>
      </c>
      <c r="X3294">
        <v>0</v>
      </c>
    </row>
    <row r="3295" spans="1:24" ht="15" customHeight="1" x14ac:dyDescent="0.25">
      <c r="A3295" t="str">
        <f>""</f>
        <v/>
      </c>
      <c r="B3295" s="1"/>
      <c r="H3295">
        <v>40.93</v>
      </c>
      <c r="J3295" t="s">
        <v>22</v>
      </c>
      <c r="L3295" s="1"/>
      <c r="N3295" s="1"/>
      <c r="V3295" t="str">
        <f>"59270"</f>
        <v>59270</v>
      </c>
      <c r="W3295">
        <v>0</v>
      </c>
      <c r="X3295">
        <v>0</v>
      </c>
    </row>
    <row r="3296" spans="1:24" ht="15" customHeight="1" x14ac:dyDescent="0.25">
      <c r="A3296" t="str">
        <f>""</f>
        <v/>
      </c>
      <c r="B3296" s="1"/>
      <c r="H3296">
        <v>108.8</v>
      </c>
      <c r="J3296" t="s">
        <v>20</v>
      </c>
      <c r="L3296" s="1"/>
      <c r="N3296" s="1"/>
      <c r="V3296" t="str">
        <f>"59300"</f>
        <v>59300</v>
      </c>
      <c r="W3296">
        <v>20.67</v>
      </c>
      <c r="X3296">
        <v>0</v>
      </c>
    </row>
    <row r="3297" spans="1:24" ht="15" customHeight="1" x14ac:dyDescent="0.25">
      <c r="A3297" t="str">
        <f>""</f>
        <v/>
      </c>
      <c r="B3297" s="1"/>
      <c r="H3297">
        <v>112.08</v>
      </c>
      <c r="J3297" t="s">
        <v>19</v>
      </c>
      <c r="L3297" s="1"/>
      <c r="N3297" s="1"/>
      <c r="V3297" t="str">
        <f>"34000"</f>
        <v>34000</v>
      </c>
      <c r="W3297">
        <v>43.71</v>
      </c>
      <c r="X3297">
        <v>0</v>
      </c>
    </row>
    <row r="3298" spans="1:24" ht="15" customHeight="1" x14ac:dyDescent="0.25">
      <c r="A3298" t="str">
        <f>""</f>
        <v/>
      </c>
      <c r="B3298" s="1"/>
      <c r="H3298">
        <v>19.8</v>
      </c>
      <c r="J3298" t="s">
        <v>19</v>
      </c>
      <c r="L3298" s="1"/>
      <c r="N3298" s="1"/>
      <c r="V3298" t="str">
        <f>"62500"</f>
        <v>62500</v>
      </c>
      <c r="W3298">
        <v>3.76</v>
      </c>
      <c r="X3298">
        <v>0</v>
      </c>
    </row>
    <row r="3299" spans="1:24" ht="15" customHeight="1" x14ac:dyDescent="0.25">
      <c r="A3299" t="str">
        <f>""</f>
        <v/>
      </c>
      <c r="B3299" s="1"/>
      <c r="H3299">
        <v>80</v>
      </c>
      <c r="J3299" t="s">
        <v>20</v>
      </c>
      <c r="L3299" s="1"/>
      <c r="N3299" s="1"/>
      <c r="V3299" t="str">
        <f>"47310"</f>
        <v>47310</v>
      </c>
      <c r="W3299">
        <v>16.8</v>
      </c>
      <c r="X3299">
        <v>0</v>
      </c>
    </row>
    <row r="3300" spans="1:24" ht="15" customHeight="1" x14ac:dyDescent="0.25">
      <c r="A3300" t="str">
        <f>""</f>
        <v/>
      </c>
      <c r="B3300" s="1"/>
      <c r="H3300">
        <v>194.97</v>
      </c>
      <c r="J3300" t="s">
        <v>20</v>
      </c>
      <c r="L3300" s="1"/>
      <c r="N3300" s="1"/>
      <c r="V3300" t="str">
        <f>"92110"</f>
        <v>92110</v>
      </c>
      <c r="W3300">
        <v>0</v>
      </c>
      <c r="X3300">
        <v>0</v>
      </c>
    </row>
    <row r="3301" spans="1:24" ht="15" customHeight="1" x14ac:dyDescent="0.25">
      <c r="A3301" t="str">
        <f>""</f>
        <v/>
      </c>
      <c r="B3301" s="1"/>
      <c r="H3301">
        <v>40.93</v>
      </c>
      <c r="J3301" t="s">
        <v>23</v>
      </c>
      <c r="L3301" s="1"/>
      <c r="N3301" s="1"/>
      <c r="V3301" t="str">
        <f>"59000"</f>
        <v>59000</v>
      </c>
      <c r="W3301">
        <v>0</v>
      </c>
      <c r="X3301">
        <v>0</v>
      </c>
    </row>
    <row r="3302" spans="1:24" ht="15" customHeight="1" x14ac:dyDescent="0.25">
      <c r="A3302" t="str">
        <f>""</f>
        <v/>
      </c>
      <c r="B3302" s="1"/>
      <c r="H3302">
        <v>55.34</v>
      </c>
      <c r="J3302" t="s">
        <v>19</v>
      </c>
      <c r="L3302" s="1"/>
      <c r="N3302" s="1"/>
      <c r="V3302" t="str">
        <f>"54300"</f>
        <v>54300</v>
      </c>
      <c r="W3302">
        <v>13.84</v>
      </c>
      <c r="X3302">
        <v>0</v>
      </c>
    </row>
    <row r="3303" spans="1:24" ht="15" customHeight="1" x14ac:dyDescent="0.25">
      <c r="A3303" t="str">
        <f>""</f>
        <v/>
      </c>
      <c r="B3303" s="1"/>
      <c r="H3303">
        <v>29.59</v>
      </c>
      <c r="J3303" t="s">
        <v>22</v>
      </c>
      <c r="L3303" s="1"/>
      <c r="N3303" s="1"/>
      <c r="V3303" t="str">
        <f>"69006"</f>
        <v>69006</v>
      </c>
      <c r="W3303">
        <v>0</v>
      </c>
      <c r="X3303">
        <v>0</v>
      </c>
    </row>
    <row r="3304" spans="1:24" x14ac:dyDescent="0.25">
      <c r="A3304" t="str">
        <f>""</f>
        <v/>
      </c>
      <c r="B3304" s="1"/>
      <c r="H3304">
        <v>180</v>
      </c>
      <c r="J3304" t="s">
        <v>18</v>
      </c>
      <c r="L3304" s="1"/>
      <c r="N3304" s="1"/>
      <c r="V3304" t="str">
        <f>"69002"</f>
        <v>69002</v>
      </c>
      <c r="W3304">
        <v>0</v>
      </c>
      <c r="X3304">
        <v>0</v>
      </c>
    </row>
    <row r="3305" spans="1:24" ht="15" customHeight="1" x14ac:dyDescent="0.25">
      <c r="A3305" t="str">
        <f>""</f>
        <v/>
      </c>
      <c r="B3305" s="1"/>
      <c r="H3305">
        <v>140</v>
      </c>
      <c r="J3305" t="s">
        <v>23</v>
      </c>
      <c r="L3305" s="1"/>
      <c r="N3305" s="1"/>
      <c r="V3305" t="str">
        <f>"79500"</f>
        <v>79500</v>
      </c>
      <c r="W3305">
        <v>0</v>
      </c>
      <c r="X3305">
        <v>0</v>
      </c>
    </row>
    <row r="3306" spans="1:24" x14ac:dyDescent="0.25">
      <c r="A3306" t="str">
        <f>""</f>
        <v/>
      </c>
      <c r="B3306" s="1"/>
      <c r="H3306">
        <v>170.88</v>
      </c>
      <c r="J3306" t="s">
        <v>16</v>
      </c>
      <c r="L3306" s="1"/>
      <c r="N3306" s="1"/>
      <c r="V3306" t="str">
        <f>"76700"</f>
        <v>76700</v>
      </c>
      <c r="W3306">
        <v>0</v>
      </c>
      <c r="X3306">
        <v>0</v>
      </c>
    </row>
    <row r="3307" spans="1:24" ht="15" customHeight="1" x14ac:dyDescent="0.25">
      <c r="A3307" t="str">
        <f>""</f>
        <v/>
      </c>
      <c r="B3307" s="1"/>
      <c r="H3307">
        <v>28.02</v>
      </c>
      <c r="J3307" t="s">
        <v>20</v>
      </c>
      <c r="L3307" s="1"/>
      <c r="N3307" s="1"/>
      <c r="V3307" t="str">
        <f>"62820"</f>
        <v>62820</v>
      </c>
      <c r="W3307">
        <v>5.32</v>
      </c>
      <c r="X3307">
        <v>0</v>
      </c>
    </row>
    <row r="3308" spans="1:24" x14ac:dyDescent="0.25">
      <c r="A3308" t="str">
        <f>""</f>
        <v/>
      </c>
      <c r="B3308" s="1"/>
      <c r="H3308">
        <v>90</v>
      </c>
      <c r="J3308" t="s">
        <v>18</v>
      </c>
      <c r="L3308" s="1"/>
      <c r="N3308" s="1"/>
      <c r="V3308" t="str">
        <f>"73000     "</f>
        <v xml:space="preserve">73000     </v>
      </c>
      <c r="W3308">
        <v>0</v>
      </c>
      <c r="X3308">
        <v>0</v>
      </c>
    </row>
    <row r="3309" spans="1:24" ht="15" customHeight="1" x14ac:dyDescent="0.25">
      <c r="A3309" t="str">
        <f>""</f>
        <v/>
      </c>
      <c r="B3309" s="1"/>
      <c r="H3309">
        <v>140</v>
      </c>
      <c r="J3309" t="s">
        <v>22</v>
      </c>
      <c r="L3309" s="1"/>
      <c r="N3309" s="1"/>
      <c r="V3309" t="str">
        <f>"71200"</f>
        <v>71200</v>
      </c>
      <c r="W3309">
        <v>0</v>
      </c>
      <c r="X3309">
        <v>0</v>
      </c>
    </row>
    <row r="3310" spans="1:24" ht="15" customHeight="1" x14ac:dyDescent="0.25">
      <c r="A3310" t="str">
        <f>""</f>
        <v/>
      </c>
      <c r="B3310" s="1"/>
      <c r="H3310">
        <v>199.33</v>
      </c>
      <c r="J3310" t="s">
        <v>22</v>
      </c>
      <c r="L3310" s="1"/>
      <c r="N3310" s="1"/>
      <c r="V3310" t="str">
        <f>"31670"</f>
        <v>31670</v>
      </c>
      <c r="W3310">
        <v>0</v>
      </c>
      <c r="X3310">
        <v>53.82</v>
      </c>
    </row>
    <row r="3311" spans="1:24" ht="15" customHeight="1" x14ac:dyDescent="0.25">
      <c r="A3311" t="str">
        <f>""</f>
        <v/>
      </c>
      <c r="B3311" s="1"/>
      <c r="H3311">
        <v>16</v>
      </c>
      <c r="J3311" t="s">
        <v>23</v>
      </c>
      <c r="L3311" s="1"/>
      <c r="V3311" t="str">
        <f>"98000"</f>
        <v>98000</v>
      </c>
      <c r="W3311">
        <v>0</v>
      </c>
      <c r="X3311">
        <v>0</v>
      </c>
    </row>
    <row r="3312" spans="1:24" ht="15" customHeight="1" x14ac:dyDescent="0.25">
      <c r="A3312" t="str">
        <f>""</f>
        <v/>
      </c>
      <c r="B3312" s="1"/>
      <c r="H3312">
        <v>151</v>
      </c>
      <c r="J3312" t="s">
        <v>23</v>
      </c>
      <c r="L3312" s="1"/>
      <c r="N3312" s="1"/>
      <c r="V3312" t="str">
        <f>"35510"</f>
        <v>35510</v>
      </c>
      <c r="W3312">
        <v>0</v>
      </c>
      <c r="X3312">
        <v>40.770000000000003</v>
      </c>
    </row>
    <row r="3313" spans="1:24" ht="15" customHeight="1" x14ac:dyDescent="0.25">
      <c r="A3313" t="str">
        <f>""</f>
        <v/>
      </c>
      <c r="B3313" s="1"/>
      <c r="H3313">
        <v>140</v>
      </c>
      <c r="J3313" t="s">
        <v>22</v>
      </c>
      <c r="L3313" s="1"/>
      <c r="N3313" s="1"/>
      <c r="V3313" t="str">
        <f>"30100"</f>
        <v>30100</v>
      </c>
      <c r="W3313">
        <v>0</v>
      </c>
      <c r="X3313">
        <v>0</v>
      </c>
    </row>
    <row r="3314" spans="1:24" ht="15" customHeight="1" x14ac:dyDescent="0.25">
      <c r="A3314" t="str">
        <f>""</f>
        <v/>
      </c>
      <c r="B3314" s="1"/>
      <c r="H3314">
        <v>151</v>
      </c>
      <c r="J3314" t="s">
        <v>22</v>
      </c>
      <c r="L3314" s="1"/>
      <c r="V3314" t="str">
        <f>"63000"</f>
        <v>63000</v>
      </c>
      <c r="W3314">
        <v>0</v>
      </c>
      <c r="X3314">
        <v>0</v>
      </c>
    </row>
    <row r="3315" spans="1:24" ht="15" customHeight="1" x14ac:dyDescent="0.25">
      <c r="A3315" t="str">
        <f>""</f>
        <v/>
      </c>
      <c r="B3315" s="1"/>
      <c r="H3315">
        <v>22.5</v>
      </c>
      <c r="J3315" t="s">
        <v>22</v>
      </c>
      <c r="L3315" s="1"/>
      <c r="V3315" t="str">
        <f>"70000"</f>
        <v>70000</v>
      </c>
      <c r="W3315">
        <v>0</v>
      </c>
      <c r="X3315">
        <v>0</v>
      </c>
    </row>
    <row r="3316" spans="1:24" ht="15" customHeight="1" x14ac:dyDescent="0.25">
      <c r="A3316" t="str">
        <f>""</f>
        <v/>
      </c>
      <c r="B3316" s="1"/>
      <c r="H3316">
        <v>50.84</v>
      </c>
      <c r="J3316" t="s">
        <v>19</v>
      </c>
      <c r="L3316" s="1"/>
      <c r="N3316" s="1"/>
      <c r="V3316" t="str">
        <f>"92000"</f>
        <v>92000</v>
      </c>
      <c r="W3316">
        <v>0</v>
      </c>
      <c r="X3316">
        <v>0</v>
      </c>
    </row>
    <row r="3317" spans="1:24" ht="15" customHeight="1" x14ac:dyDescent="0.25">
      <c r="A3317" t="str">
        <f>""</f>
        <v/>
      </c>
      <c r="B3317" s="1"/>
      <c r="H3317">
        <v>178.65</v>
      </c>
      <c r="J3317" t="s">
        <v>23</v>
      </c>
      <c r="L3317" s="1"/>
      <c r="N3317" s="1"/>
      <c r="V3317" t="str">
        <f>"63800"</f>
        <v>63800</v>
      </c>
      <c r="W3317">
        <v>0</v>
      </c>
      <c r="X3317">
        <v>21.44</v>
      </c>
    </row>
    <row r="3318" spans="1:24" ht="15" customHeight="1" x14ac:dyDescent="0.25">
      <c r="A3318" t="str">
        <f>""</f>
        <v/>
      </c>
      <c r="B3318" s="1"/>
      <c r="H3318">
        <v>18.8</v>
      </c>
      <c r="J3318" t="s">
        <v>23</v>
      </c>
      <c r="L3318" s="1"/>
      <c r="V3318" t="str">
        <f>"69380"</f>
        <v>69380</v>
      </c>
      <c r="W3318">
        <v>0</v>
      </c>
      <c r="X3318">
        <v>0</v>
      </c>
    </row>
    <row r="3319" spans="1:24" x14ac:dyDescent="0.25">
      <c r="A3319" t="str">
        <f>""</f>
        <v/>
      </c>
      <c r="B3319" s="1"/>
      <c r="H3319">
        <v>52.5</v>
      </c>
      <c r="J3319" t="s">
        <v>15</v>
      </c>
      <c r="L3319" s="1"/>
      <c r="N3319" s="1"/>
      <c r="V3319" t="str">
        <f>"17000"</f>
        <v>17000</v>
      </c>
      <c r="W3319">
        <v>0</v>
      </c>
      <c r="X3319">
        <v>0</v>
      </c>
    </row>
    <row r="3320" spans="1:24" x14ac:dyDescent="0.25">
      <c r="A3320" t="str">
        <f>""</f>
        <v/>
      </c>
      <c r="B3320" s="1"/>
      <c r="H3320">
        <v>52.5</v>
      </c>
      <c r="J3320" t="s">
        <v>15</v>
      </c>
      <c r="L3320" s="1"/>
      <c r="N3320" s="1"/>
      <c r="V3320" t="str">
        <f>"69003"</f>
        <v>69003</v>
      </c>
      <c r="W3320">
        <v>0</v>
      </c>
      <c r="X3320">
        <v>0</v>
      </c>
    </row>
    <row r="3321" spans="1:24" x14ac:dyDescent="0.25">
      <c r="A3321" t="str">
        <f>""</f>
        <v/>
      </c>
      <c r="B3321" s="1"/>
      <c r="H3321">
        <v>52.5</v>
      </c>
      <c r="J3321" t="s">
        <v>15</v>
      </c>
      <c r="L3321" s="1"/>
      <c r="N3321" s="1"/>
      <c r="V3321" t="str">
        <f>"34000"</f>
        <v>34000</v>
      </c>
      <c r="W3321">
        <v>0</v>
      </c>
      <c r="X3321">
        <v>0</v>
      </c>
    </row>
    <row r="3322" spans="1:24" x14ac:dyDescent="0.25">
      <c r="A3322" t="str">
        <f>""</f>
        <v/>
      </c>
      <c r="B3322" s="1"/>
      <c r="H3322">
        <v>52.5</v>
      </c>
      <c r="J3322" t="s">
        <v>15</v>
      </c>
      <c r="L3322" s="1"/>
      <c r="N3322" s="1"/>
      <c r="V3322" t="str">
        <f>"69600"</f>
        <v>69600</v>
      </c>
      <c r="W3322">
        <v>0</v>
      </c>
      <c r="X3322">
        <v>0</v>
      </c>
    </row>
    <row r="3323" spans="1:24" x14ac:dyDescent="0.25">
      <c r="A3323" t="str">
        <f>""</f>
        <v/>
      </c>
      <c r="B3323" s="1"/>
      <c r="H3323">
        <v>52.5</v>
      </c>
      <c r="J3323" t="s">
        <v>15</v>
      </c>
      <c r="L3323" s="1"/>
      <c r="N3323" s="1"/>
      <c r="V3323" t="str">
        <f>"63000"</f>
        <v>63000</v>
      </c>
      <c r="W3323">
        <v>0</v>
      </c>
      <c r="X3323">
        <v>29.41</v>
      </c>
    </row>
    <row r="3324" spans="1:24" ht="15" customHeight="1" x14ac:dyDescent="0.25">
      <c r="A3324" t="str">
        <f>""</f>
        <v/>
      </c>
      <c r="B3324" s="1"/>
      <c r="H3324">
        <v>68</v>
      </c>
      <c r="J3324" t="s">
        <v>23</v>
      </c>
      <c r="L3324" s="1"/>
      <c r="N3324" s="1"/>
      <c r="V3324" t="str">
        <f>"56600"</f>
        <v>56600</v>
      </c>
      <c r="W3324">
        <v>0</v>
      </c>
      <c r="X3324">
        <v>0</v>
      </c>
    </row>
    <row r="3325" spans="1:24" x14ac:dyDescent="0.25">
      <c r="A3325" t="str">
        <f>""</f>
        <v/>
      </c>
      <c r="B3325" s="1"/>
      <c r="H3325">
        <v>23.4</v>
      </c>
      <c r="J3325" t="s">
        <v>17</v>
      </c>
      <c r="L3325" s="1"/>
      <c r="N3325" s="1"/>
      <c r="V3325" t="str">
        <f>"38230"</f>
        <v>38230</v>
      </c>
      <c r="W3325">
        <v>0</v>
      </c>
      <c r="X3325">
        <v>0</v>
      </c>
    </row>
    <row r="3326" spans="1:24" ht="15" customHeight="1" x14ac:dyDescent="0.25">
      <c r="A3326" t="str">
        <f>""</f>
        <v/>
      </c>
      <c r="B3326" s="1"/>
      <c r="H3326">
        <v>70</v>
      </c>
      <c r="J3326" t="s">
        <v>22</v>
      </c>
      <c r="L3326" s="1"/>
      <c r="V3326" t="str">
        <f>"75009"</f>
        <v>75009</v>
      </c>
      <c r="W3326">
        <v>0</v>
      </c>
      <c r="X3326">
        <v>0</v>
      </c>
    </row>
    <row r="3327" spans="1:24" ht="15" customHeight="1" x14ac:dyDescent="0.25">
      <c r="A3327" t="str">
        <f>""</f>
        <v/>
      </c>
      <c r="B3327" s="1"/>
      <c r="H3327">
        <v>22.8</v>
      </c>
      <c r="J3327" t="s">
        <v>22</v>
      </c>
      <c r="L3327" s="1"/>
      <c r="N3327" s="1"/>
      <c r="V3327" t="str">
        <f>"39400"</f>
        <v>39400</v>
      </c>
      <c r="W3327">
        <v>0</v>
      </c>
      <c r="X3327">
        <v>0</v>
      </c>
    </row>
    <row r="3328" spans="1:24" ht="15" customHeight="1" x14ac:dyDescent="0.25">
      <c r="A3328" t="str">
        <f>""</f>
        <v/>
      </c>
      <c r="B3328" s="1"/>
      <c r="H3328">
        <v>55.16</v>
      </c>
      <c r="J3328" t="s">
        <v>19</v>
      </c>
      <c r="L3328" s="1"/>
      <c r="N3328" s="1"/>
      <c r="V3328" t="str">
        <f>"21160"</f>
        <v>21160</v>
      </c>
      <c r="W3328">
        <v>13.24</v>
      </c>
      <c r="X3328">
        <v>0</v>
      </c>
    </row>
    <row r="3329" spans="1:24" ht="15" customHeight="1" x14ac:dyDescent="0.25">
      <c r="A3329" t="str">
        <f>""</f>
        <v/>
      </c>
      <c r="B3329" s="1"/>
      <c r="H3329">
        <v>55.16</v>
      </c>
      <c r="J3329" t="s">
        <v>19</v>
      </c>
      <c r="L3329" s="1"/>
      <c r="N3329" s="1"/>
      <c r="V3329" t="str">
        <f>"21160"</f>
        <v>21160</v>
      </c>
      <c r="W3329">
        <v>13.24</v>
      </c>
      <c r="X3329">
        <v>0</v>
      </c>
    </row>
    <row r="3330" spans="1:24" ht="15" customHeight="1" x14ac:dyDescent="0.25">
      <c r="A3330" t="str">
        <f>""</f>
        <v/>
      </c>
      <c r="B3330" s="1"/>
      <c r="H3330">
        <v>250</v>
      </c>
      <c r="J3330" t="s">
        <v>22</v>
      </c>
      <c r="L3330" s="1"/>
      <c r="N3330" s="1"/>
      <c r="V3330" t="str">
        <f>"67000"</f>
        <v>67000</v>
      </c>
      <c r="W3330">
        <v>0</v>
      </c>
      <c r="X3330">
        <v>20</v>
      </c>
    </row>
    <row r="3331" spans="1:24" ht="15" customHeight="1" x14ac:dyDescent="0.25">
      <c r="A3331" t="str">
        <f>""</f>
        <v/>
      </c>
      <c r="B3331" s="1"/>
      <c r="H3331">
        <v>151</v>
      </c>
      <c r="J3331" t="s">
        <v>22</v>
      </c>
      <c r="L3331" s="1"/>
      <c r="N3331" s="1"/>
      <c r="V3331" t="str">
        <f>"06560"</f>
        <v>06560</v>
      </c>
      <c r="W3331">
        <v>0</v>
      </c>
      <c r="X3331">
        <v>0</v>
      </c>
    </row>
    <row r="3332" spans="1:24" ht="15" customHeight="1" x14ac:dyDescent="0.25">
      <c r="A3332" t="str">
        <f>""</f>
        <v/>
      </c>
      <c r="B3332" s="1"/>
      <c r="H3332">
        <v>151</v>
      </c>
      <c r="J3332" t="s">
        <v>22</v>
      </c>
      <c r="L3332" s="1"/>
      <c r="N3332" s="1"/>
      <c r="V3332" t="str">
        <f>"06560"</f>
        <v>06560</v>
      </c>
      <c r="W3332">
        <v>0</v>
      </c>
      <c r="X3332">
        <v>0</v>
      </c>
    </row>
    <row r="3333" spans="1:24" ht="15" customHeight="1" x14ac:dyDescent="0.25">
      <c r="A3333" t="str">
        <f>""</f>
        <v/>
      </c>
      <c r="B3333" s="1"/>
      <c r="H3333">
        <v>151</v>
      </c>
      <c r="J3333" t="s">
        <v>22</v>
      </c>
      <c r="L3333" s="1"/>
      <c r="N3333" s="1"/>
      <c r="V3333" t="str">
        <f>"06560"</f>
        <v>06560</v>
      </c>
      <c r="W3333">
        <v>0</v>
      </c>
      <c r="X3333">
        <v>0</v>
      </c>
    </row>
    <row r="3334" spans="1:24" ht="15" customHeight="1" x14ac:dyDescent="0.25">
      <c r="A3334" t="str">
        <f>""</f>
        <v/>
      </c>
      <c r="B3334" s="1"/>
      <c r="H3334">
        <v>25</v>
      </c>
      <c r="L3334" s="1"/>
      <c r="N3334" s="1"/>
      <c r="V3334" t="str">
        <f>"77184"</f>
        <v>77184</v>
      </c>
      <c r="W3334">
        <v>0</v>
      </c>
      <c r="X3334">
        <v>0</v>
      </c>
    </row>
    <row r="3335" spans="1:24" ht="15" customHeight="1" x14ac:dyDescent="0.25">
      <c r="A3335" t="str">
        <f>""</f>
        <v/>
      </c>
      <c r="B3335" s="1"/>
      <c r="H3335">
        <v>40</v>
      </c>
      <c r="J3335" t="s">
        <v>20</v>
      </c>
      <c r="L3335" s="1"/>
      <c r="N3335" s="1"/>
      <c r="V3335" t="str">
        <f>"62231"</f>
        <v>62231</v>
      </c>
      <c r="W3335">
        <v>7.6</v>
      </c>
      <c r="X3335">
        <v>0</v>
      </c>
    </row>
    <row r="3336" spans="1:24" ht="15" customHeight="1" x14ac:dyDescent="0.25">
      <c r="A3336" t="str">
        <f>""</f>
        <v/>
      </c>
      <c r="B3336" s="1"/>
      <c r="H3336">
        <v>30</v>
      </c>
      <c r="L3336" s="1"/>
      <c r="N3336" s="1"/>
      <c r="V3336" t="str">
        <f>"77184"</f>
        <v>77184</v>
      </c>
      <c r="W3336">
        <v>0</v>
      </c>
      <c r="X3336">
        <v>0</v>
      </c>
    </row>
    <row r="3337" spans="1:24" ht="15" customHeight="1" x14ac:dyDescent="0.25">
      <c r="A3337" t="str">
        <f>""</f>
        <v/>
      </c>
      <c r="B3337" s="1"/>
      <c r="H3337">
        <v>174.26</v>
      </c>
      <c r="J3337" t="s">
        <v>19</v>
      </c>
      <c r="L3337" s="1"/>
      <c r="N3337" s="1"/>
      <c r="V3337" t="str">
        <f>"75008"</f>
        <v>75008</v>
      </c>
      <c r="W3337">
        <v>0</v>
      </c>
      <c r="X3337">
        <v>0</v>
      </c>
    </row>
    <row r="3338" spans="1:24" ht="15" customHeight="1" x14ac:dyDescent="0.25">
      <c r="A3338" t="str">
        <f>""</f>
        <v/>
      </c>
      <c r="B3338" s="1"/>
      <c r="H3338">
        <v>29.59</v>
      </c>
      <c r="J3338" t="s">
        <v>22</v>
      </c>
      <c r="L3338" s="1"/>
      <c r="N3338" s="1"/>
      <c r="V3338" t="str">
        <f>"69002"</f>
        <v>69002</v>
      </c>
      <c r="W3338">
        <v>0</v>
      </c>
      <c r="X3338">
        <v>0</v>
      </c>
    </row>
    <row r="3339" spans="1:24" ht="15" customHeight="1" x14ac:dyDescent="0.25">
      <c r="A3339" t="str">
        <f>""</f>
        <v/>
      </c>
      <c r="B3339" s="1"/>
      <c r="H3339">
        <v>151</v>
      </c>
      <c r="J3339" t="s">
        <v>22</v>
      </c>
      <c r="L3339" s="1"/>
      <c r="N3339" s="1"/>
      <c r="V3339" t="str">
        <f>"13008"</f>
        <v>13008</v>
      </c>
      <c r="W3339">
        <v>0</v>
      </c>
      <c r="X3339">
        <v>0</v>
      </c>
    </row>
    <row r="3340" spans="1:24" ht="15" customHeight="1" x14ac:dyDescent="0.25">
      <c r="A3340" t="str">
        <f>""</f>
        <v/>
      </c>
      <c r="B3340" s="1"/>
      <c r="H3340">
        <v>29.59</v>
      </c>
      <c r="J3340" t="s">
        <v>22</v>
      </c>
      <c r="L3340" s="1"/>
      <c r="N3340" s="1"/>
      <c r="V3340" t="str">
        <f>"68390"</f>
        <v>68390</v>
      </c>
      <c r="W3340">
        <v>0</v>
      </c>
      <c r="X3340">
        <v>2.37</v>
      </c>
    </row>
    <row r="3341" spans="1:24" ht="15" customHeight="1" x14ac:dyDescent="0.25">
      <c r="A3341" t="str">
        <f>""</f>
        <v/>
      </c>
      <c r="B3341" s="1"/>
      <c r="H3341">
        <v>84.5</v>
      </c>
      <c r="L3341" s="1"/>
      <c r="N3341" s="1"/>
      <c r="V3341" t="str">
        <f>"77184"</f>
        <v>77184</v>
      </c>
      <c r="W3341">
        <v>0</v>
      </c>
      <c r="X3341">
        <v>0</v>
      </c>
    </row>
    <row r="3342" spans="1:24" ht="15" customHeight="1" x14ac:dyDescent="0.25">
      <c r="A3342" t="str">
        <f>""</f>
        <v/>
      </c>
      <c r="B3342" s="1"/>
      <c r="H3342">
        <v>68.3</v>
      </c>
      <c r="L3342" s="1"/>
      <c r="N3342" s="1"/>
      <c r="V3342" t="str">
        <f>"77184"</f>
        <v>77184</v>
      </c>
      <c r="W3342">
        <v>0</v>
      </c>
      <c r="X3342">
        <v>0</v>
      </c>
    </row>
    <row r="3343" spans="1:24" ht="15" customHeight="1" x14ac:dyDescent="0.25">
      <c r="A3343" t="str">
        <f>""</f>
        <v/>
      </c>
      <c r="B3343" s="1"/>
      <c r="H3343">
        <v>75.16</v>
      </c>
      <c r="J3343" t="s">
        <v>20</v>
      </c>
      <c r="L3343" s="1"/>
      <c r="N3343" s="1"/>
      <c r="V3343" t="str">
        <f>"68360"</f>
        <v>68360</v>
      </c>
      <c r="W3343">
        <v>21.8</v>
      </c>
      <c r="X3343">
        <v>0</v>
      </c>
    </row>
    <row r="3344" spans="1:24" ht="15" customHeight="1" x14ac:dyDescent="0.25">
      <c r="A3344" t="str">
        <f>""</f>
        <v/>
      </c>
      <c r="B3344" s="1"/>
      <c r="H3344">
        <v>12</v>
      </c>
      <c r="J3344" t="s">
        <v>20</v>
      </c>
      <c r="L3344" s="1"/>
      <c r="N3344" s="1"/>
      <c r="V3344" t="str">
        <f>"55000"</f>
        <v>55000</v>
      </c>
      <c r="W3344">
        <v>3</v>
      </c>
      <c r="X3344">
        <v>0</v>
      </c>
    </row>
    <row r="3345" spans="1:24" ht="15" customHeight="1" x14ac:dyDescent="0.25">
      <c r="A3345" t="str">
        <f>""</f>
        <v/>
      </c>
      <c r="B3345" s="1"/>
      <c r="H3345">
        <v>60</v>
      </c>
      <c r="J3345" t="s">
        <v>20</v>
      </c>
      <c r="L3345" s="1"/>
      <c r="N3345" s="1"/>
      <c r="V3345" t="str">
        <f>"34000"</f>
        <v>34000</v>
      </c>
      <c r="W3345">
        <v>23.4</v>
      </c>
      <c r="X3345">
        <v>0</v>
      </c>
    </row>
    <row r="3346" spans="1:24" ht="15" customHeight="1" x14ac:dyDescent="0.25">
      <c r="A3346" t="str">
        <f>""</f>
        <v/>
      </c>
      <c r="B3346" s="1"/>
      <c r="H3346">
        <v>130</v>
      </c>
      <c r="J3346" t="s">
        <v>22</v>
      </c>
      <c r="L3346" s="1"/>
      <c r="N3346" s="1"/>
      <c r="V3346" t="str">
        <f>"75008"</f>
        <v>75008</v>
      </c>
      <c r="W3346">
        <v>0</v>
      </c>
      <c r="X3346">
        <v>0</v>
      </c>
    </row>
    <row r="3347" spans="1:24" ht="15" customHeight="1" x14ac:dyDescent="0.25">
      <c r="A3347" t="str">
        <f>""</f>
        <v/>
      </c>
      <c r="B3347" s="1"/>
      <c r="H3347">
        <v>22.8</v>
      </c>
      <c r="L3347" s="1"/>
      <c r="N3347" s="1"/>
      <c r="V3347" t="str">
        <f>"44240"</f>
        <v>44240</v>
      </c>
      <c r="W3347">
        <v>0</v>
      </c>
      <c r="X3347">
        <v>0</v>
      </c>
    </row>
    <row r="3348" spans="1:24" ht="15" customHeight="1" x14ac:dyDescent="0.25">
      <c r="A3348" t="str">
        <f>""</f>
        <v/>
      </c>
      <c r="B3348" s="1"/>
      <c r="H3348">
        <v>180</v>
      </c>
      <c r="J3348" t="s">
        <v>20</v>
      </c>
      <c r="L3348" s="1"/>
      <c r="N3348" s="1"/>
      <c r="V3348" t="str">
        <f>"75019"</f>
        <v>75019</v>
      </c>
      <c r="W3348">
        <v>0</v>
      </c>
      <c r="X3348">
        <v>0</v>
      </c>
    </row>
    <row r="3349" spans="1:24" ht="15" customHeight="1" x14ac:dyDescent="0.25">
      <c r="A3349" t="str">
        <f>""</f>
        <v/>
      </c>
      <c r="B3349" s="1"/>
      <c r="H3349">
        <v>84.5</v>
      </c>
      <c r="L3349" s="1"/>
      <c r="N3349" s="1"/>
      <c r="V3349" t="str">
        <f>"77184"</f>
        <v>77184</v>
      </c>
      <c r="W3349">
        <v>0</v>
      </c>
      <c r="X3349">
        <v>0</v>
      </c>
    </row>
    <row r="3350" spans="1:24" ht="15" customHeight="1" x14ac:dyDescent="0.25">
      <c r="A3350" t="str">
        <f>""</f>
        <v/>
      </c>
      <c r="B3350" s="1"/>
      <c r="H3350">
        <v>211.06</v>
      </c>
      <c r="L3350" s="1"/>
      <c r="N3350" s="1"/>
      <c r="V3350" t="str">
        <f>"77184"</f>
        <v>77184</v>
      </c>
      <c r="W3350">
        <v>0</v>
      </c>
      <c r="X3350">
        <v>0</v>
      </c>
    </row>
    <row r="3351" spans="1:24" ht="15" customHeight="1" x14ac:dyDescent="0.25">
      <c r="A3351" t="str">
        <f>""</f>
        <v/>
      </c>
      <c r="B3351" s="1"/>
      <c r="H3351">
        <v>156</v>
      </c>
      <c r="L3351" s="1"/>
      <c r="N3351" s="1"/>
      <c r="V3351" t="str">
        <f>"77184"</f>
        <v>77184</v>
      </c>
      <c r="W3351">
        <v>0</v>
      </c>
      <c r="X3351">
        <v>0</v>
      </c>
    </row>
    <row r="3352" spans="1:24" ht="15" customHeight="1" x14ac:dyDescent="0.25">
      <c r="A3352" t="str">
        <f>""</f>
        <v/>
      </c>
      <c r="B3352" s="1"/>
      <c r="H3352">
        <v>138.33000000000001</v>
      </c>
      <c r="J3352" t="s">
        <v>23</v>
      </c>
      <c r="L3352" s="1"/>
      <c r="V3352" t="str">
        <f>"85000"</f>
        <v>85000</v>
      </c>
      <c r="W3352">
        <v>0</v>
      </c>
      <c r="X3352">
        <v>0</v>
      </c>
    </row>
    <row r="3353" spans="1:24" ht="15" customHeight="1" x14ac:dyDescent="0.25">
      <c r="A3353" t="str">
        <f>""</f>
        <v/>
      </c>
      <c r="B3353" s="1"/>
      <c r="H3353">
        <v>118</v>
      </c>
      <c r="L3353" s="1"/>
      <c r="N3353" s="1"/>
      <c r="V3353" t="str">
        <f>"77184"</f>
        <v>77184</v>
      </c>
      <c r="W3353">
        <v>0</v>
      </c>
      <c r="X3353">
        <v>0</v>
      </c>
    </row>
    <row r="3354" spans="1:24" ht="15" customHeight="1" x14ac:dyDescent="0.25">
      <c r="A3354" t="str">
        <f>""</f>
        <v/>
      </c>
      <c r="B3354" s="1"/>
      <c r="H3354">
        <v>35</v>
      </c>
      <c r="L3354" s="1"/>
      <c r="N3354" s="1"/>
      <c r="V3354" t="str">
        <f>"77184"</f>
        <v>77184</v>
      </c>
      <c r="W3354">
        <v>0</v>
      </c>
      <c r="X3354">
        <v>0</v>
      </c>
    </row>
    <row r="3355" spans="1:24" ht="15" customHeight="1" x14ac:dyDescent="0.25">
      <c r="A3355" t="str">
        <f>""</f>
        <v/>
      </c>
      <c r="B3355" s="1"/>
      <c r="H3355">
        <v>92</v>
      </c>
      <c r="J3355" t="s">
        <v>19</v>
      </c>
      <c r="L3355" s="1"/>
      <c r="N3355" s="1"/>
      <c r="V3355" t="str">
        <f>"06190"</f>
        <v>06190</v>
      </c>
      <c r="W3355">
        <v>27.6</v>
      </c>
      <c r="X3355">
        <v>0</v>
      </c>
    </row>
    <row r="3356" spans="1:24" ht="15" customHeight="1" x14ac:dyDescent="0.25">
      <c r="A3356" t="str">
        <f>""</f>
        <v/>
      </c>
      <c r="B3356" s="1"/>
      <c r="H3356">
        <v>40</v>
      </c>
      <c r="J3356" t="s">
        <v>23</v>
      </c>
      <c r="L3356" s="1"/>
      <c r="N3356" s="1"/>
      <c r="V3356" t="str">
        <f>"06140"</f>
        <v>06140</v>
      </c>
      <c r="W3356">
        <v>0</v>
      </c>
      <c r="X3356">
        <v>0</v>
      </c>
    </row>
    <row r="3357" spans="1:24" ht="15" customHeight="1" x14ac:dyDescent="0.25">
      <c r="A3357" t="str">
        <f>""</f>
        <v/>
      </c>
      <c r="B3357" s="1"/>
      <c r="H3357">
        <v>140</v>
      </c>
      <c r="J3357" t="s">
        <v>22</v>
      </c>
      <c r="L3357" s="1"/>
      <c r="V3357" t="str">
        <f>"62170"</f>
        <v>62170</v>
      </c>
      <c r="W3357">
        <v>0</v>
      </c>
      <c r="X3357">
        <v>0</v>
      </c>
    </row>
    <row r="3358" spans="1:24" ht="15" customHeight="1" x14ac:dyDescent="0.25">
      <c r="A3358" t="str">
        <f>""</f>
        <v/>
      </c>
      <c r="B3358" s="1"/>
      <c r="H3358">
        <v>143.51</v>
      </c>
      <c r="J3358" t="s">
        <v>19</v>
      </c>
      <c r="L3358" s="1"/>
      <c r="N3358" s="1"/>
      <c r="V3358" t="str">
        <f>"34500"</f>
        <v>34500</v>
      </c>
      <c r="W3358">
        <v>55.97</v>
      </c>
      <c r="X3358">
        <v>0</v>
      </c>
    </row>
    <row r="3359" spans="1:24" ht="15" customHeight="1" x14ac:dyDescent="0.25">
      <c r="A3359" t="str">
        <f>""</f>
        <v/>
      </c>
      <c r="B3359" s="1"/>
      <c r="H3359">
        <v>149.79</v>
      </c>
      <c r="J3359" t="s">
        <v>19</v>
      </c>
      <c r="L3359" s="1"/>
      <c r="N3359" s="1"/>
      <c r="V3359" t="str">
        <f>"34500"</f>
        <v>34500</v>
      </c>
      <c r="W3359">
        <v>58.42</v>
      </c>
      <c r="X3359">
        <v>0</v>
      </c>
    </row>
    <row r="3360" spans="1:24" ht="15" customHeight="1" x14ac:dyDescent="0.25">
      <c r="A3360" t="str">
        <f>""</f>
        <v/>
      </c>
      <c r="B3360" s="1"/>
      <c r="H3360">
        <v>107.6</v>
      </c>
      <c r="J3360" t="s">
        <v>19</v>
      </c>
      <c r="L3360" s="1"/>
      <c r="N3360" s="1"/>
      <c r="V3360" t="str">
        <f>"75014"</f>
        <v>75014</v>
      </c>
      <c r="W3360">
        <v>0</v>
      </c>
      <c r="X3360">
        <v>0</v>
      </c>
    </row>
    <row r="3361" spans="1:24" ht="15" customHeight="1" x14ac:dyDescent="0.25">
      <c r="A3361" t="str">
        <f>""</f>
        <v/>
      </c>
      <c r="B3361" s="1"/>
      <c r="H3361">
        <v>107.6</v>
      </c>
      <c r="J3361" t="s">
        <v>19</v>
      </c>
      <c r="L3361" s="1"/>
      <c r="N3361" s="1"/>
      <c r="V3361" t="str">
        <f>"75014"</f>
        <v>75014</v>
      </c>
      <c r="W3361">
        <v>0</v>
      </c>
      <c r="X3361">
        <v>0</v>
      </c>
    </row>
    <row r="3362" spans="1:24" ht="15" customHeight="1" x14ac:dyDescent="0.25">
      <c r="A3362" t="str">
        <f>""</f>
        <v/>
      </c>
      <c r="B3362" s="1"/>
      <c r="H3362">
        <v>136.97999999999999</v>
      </c>
      <c r="J3362" t="s">
        <v>19</v>
      </c>
      <c r="L3362" s="1"/>
      <c r="N3362" s="1"/>
      <c r="V3362" t="str">
        <f>"69800"</f>
        <v>69800</v>
      </c>
      <c r="W3362">
        <v>36.979999999999997</v>
      </c>
      <c r="X3362">
        <v>0</v>
      </c>
    </row>
    <row r="3363" spans="1:24" x14ac:dyDescent="0.25">
      <c r="A3363" t="str">
        <f>""</f>
        <v/>
      </c>
      <c r="B3363" s="1"/>
      <c r="H3363">
        <v>188.26</v>
      </c>
      <c r="J3363" t="s">
        <v>16</v>
      </c>
      <c r="L3363" s="1"/>
      <c r="N3363" s="1"/>
      <c r="V3363" t="str">
        <f>"35220"</f>
        <v>35220</v>
      </c>
      <c r="W3363">
        <v>0</v>
      </c>
      <c r="X3363">
        <v>0</v>
      </c>
    </row>
    <row r="3364" spans="1:24" ht="15" customHeight="1" x14ac:dyDescent="0.25">
      <c r="A3364" t="str">
        <f>""</f>
        <v/>
      </c>
      <c r="B3364" s="1"/>
      <c r="J3364" t="s">
        <v>20</v>
      </c>
      <c r="L3364" s="1"/>
      <c r="N3364" s="1"/>
      <c r="V3364" t="str">
        <f>"94150"</f>
        <v>94150</v>
      </c>
      <c r="W3364">
        <v>0</v>
      </c>
      <c r="X3364">
        <v>0</v>
      </c>
    </row>
    <row r="3365" spans="1:24" x14ac:dyDescent="0.25">
      <c r="A3365" t="str">
        <f>""</f>
        <v/>
      </c>
      <c r="B3365" s="1"/>
      <c r="H3365">
        <v>114.06</v>
      </c>
      <c r="J3365" t="s">
        <v>15</v>
      </c>
      <c r="L3365" s="1"/>
      <c r="N3365" s="1"/>
      <c r="V3365" t="str">
        <f>"44800"</f>
        <v>44800</v>
      </c>
      <c r="W3365">
        <v>0</v>
      </c>
      <c r="X3365">
        <v>0</v>
      </c>
    </row>
    <row r="3366" spans="1:24" x14ac:dyDescent="0.25">
      <c r="A3366" t="str">
        <f>""</f>
        <v/>
      </c>
      <c r="B3366" s="1"/>
      <c r="H3366">
        <v>181</v>
      </c>
      <c r="J3366" t="s">
        <v>17</v>
      </c>
      <c r="L3366" s="1"/>
      <c r="N3366" s="1"/>
      <c r="V3366" t="str">
        <f>"44700"</f>
        <v>44700</v>
      </c>
      <c r="W3366">
        <v>0</v>
      </c>
      <c r="X3366">
        <v>0</v>
      </c>
    </row>
    <row r="3367" spans="1:24" ht="15" customHeight="1" x14ac:dyDescent="0.25">
      <c r="A3367" t="str">
        <f>""</f>
        <v/>
      </c>
      <c r="B3367" s="1"/>
      <c r="H3367">
        <v>400</v>
      </c>
      <c r="J3367" t="s">
        <v>23</v>
      </c>
      <c r="L3367" s="1"/>
      <c r="N3367" s="1"/>
      <c r="V3367" t="str">
        <f>"75001"</f>
        <v>75001</v>
      </c>
      <c r="W3367">
        <v>0</v>
      </c>
      <c r="X3367">
        <v>0</v>
      </c>
    </row>
    <row r="3368" spans="1:24" ht="15" customHeight="1" x14ac:dyDescent="0.25">
      <c r="A3368" t="str">
        <f>""</f>
        <v/>
      </c>
      <c r="B3368" s="1"/>
      <c r="H3368">
        <v>32.450000000000003</v>
      </c>
      <c r="J3368" t="s">
        <v>19</v>
      </c>
      <c r="L3368" s="1"/>
      <c r="N3368" s="1"/>
      <c r="V3368" t="str">
        <f>"67000"</f>
        <v>67000</v>
      </c>
      <c r="W3368">
        <v>9.41</v>
      </c>
      <c r="X3368">
        <v>0</v>
      </c>
    </row>
    <row r="3369" spans="1:24" ht="15" customHeight="1" x14ac:dyDescent="0.25">
      <c r="A3369" t="str">
        <f>""</f>
        <v/>
      </c>
      <c r="B3369" s="1"/>
      <c r="H3369">
        <v>20</v>
      </c>
      <c r="J3369" t="s">
        <v>23</v>
      </c>
      <c r="L3369" s="1"/>
      <c r="N3369" s="1"/>
      <c r="V3369" t="str">
        <f>"13008"</f>
        <v>13008</v>
      </c>
      <c r="W3369">
        <v>0</v>
      </c>
      <c r="X3369">
        <v>5.8</v>
      </c>
    </row>
    <row r="3370" spans="1:24" ht="15" customHeight="1" x14ac:dyDescent="0.25">
      <c r="A3370" t="str">
        <f>""</f>
        <v/>
      </c>
      <c r="B3370" s="1"/>
      <c r="H3370">
        <v>201</v>
      </c>
      <c r="L3370" s="1"/>
      <c r="N3370" s="1"/>
      <c r="V3370" t="str">
        <f>"77184"</f>
        <v>77184</v>
      </c>
      <c r="W3370">
        <v>0</v>
      </c>
      <c r="X3370">
        <v>0</v>
      </c>
    </row>
    <row r="3371" spans="1:24" ht="15" customHeight="1" x14ac:dyDescent="0.25">
      <c r="A3371" t="str">
        <f>""</f>
        <v/>
      </c>
      <c r="B3371" s="1"/>
      <c r="H3371">
        <v>157</v>
      </c>
      <c r="L3371" s="1"/>
      <c r="N3371" s="1"/>
      <c r="V3371" t="str">
        <f>"77184"</f>
        <v>77184</v>
      </c>
      <c r="W3371">
        <v>0</v>
      </c>
      <c r="X3371">
        <v>0</v>
      </c>
    </row>
    <row r="3372" spans="1:24" ht="15" customHeight="1" x14ac:dyDescent="0.25">
      <c r="A3372" t="str">
        <f>""</f>
        <v/>
      </c>
      <c r="B3372" s="1"/>
      <c r="H3372">
        <v>22.62</v>
      </c>
      <c r="J3372" t="s">
        <v>20</v>
      </c>
      <c r="L3372" s="1"/>
      <c r="N3372" s="1"/>
      <c r="V3372" t="str">
        <f>"73400"</f>
        <v>73400</v>
      </c>
      <c r="W3372">
        <v>6.11</v>
      </c>
      <c r="X3372">
        <v>0</v>
      </c>
    </row>
    <row r="3373" spans="1:24" ht="15" customHeight="1" x14ac:dyDescent="0.25">
      <c r="A3373" t="str">
        <f>""</f>
        <v/>
      </c>
      <c r="B3373" s="1"/>
      <c r="H3373">
        <v>26.6</v>
      </c>
      <c r="J3373" t="s">
        <v>22</v>
      </c>
      <c r="L3373" s="1"/>
      <c r="N3373" s="1"/>
      <c r="V3373" t="str">
        <f>"45000"</f>
        <v>45000</v>
      </c>
      <c r="W3373">
        <v>0</v>
      </c>
      <c r="X3373">
        <v>0</v>
      </c>
    </row>
    <row r="3374" spans="1:24" ht="15" customHeight="1" x14ac:dyDescent="0.25">
      <c r="A3374" t="str">
        <f>""</f>
        <v/>
      </c>
      <c r="B3374" s="1"/>
      <c r="H3374">
        <v>200.8</v>
      </c>
      <c r="J3374" t="s">
        <v>23</v>
      </c>
      <c r="L3374" s="1"/>
      <c r="N3374" s="1"/>
      <c r="V3374" t="str">
        <f>"76600"</f>
        <v>76600</v>
      </c>
      <c r="W3374">
        <v>0</v>
      </c>
      <c r="X3374">
        <v>34.14</v>
      </c>
    </row>
    <row r="3375" spans="1:24" x14ac:dyDescent="0.25">
      <c r="A3375" t="str">
        <f>""</f>
        <v/>
      </c>
      <c r="B3375" s="1"/>
      <c r="H3375">
        <v>55</v>
      </c>
      <c r="J3375" t="s">
        <v>16</v>
      </c>
      <c r="L3375" s="1"/>
      <c r="N3375" s="1"/>
      <c r="V3375" t="str">
        <f>"35510"</f>
        <v>35510</v>
      </c>
      <c r="W3375">
        <v>14.85</v>
      </c>
      <c r="X3375">
        <v>0</v>
      </c>
    </row>
    <row r="3376" spans="1:24" ht="15" customHeight="1" x14ac:dyDescent="0.25">
      <c r="A3376" t="str">
        <f>""</f>
        <v/>
      </c>
      <c r="B3376" s="1"/>
      <c r="H3376">
        <v>26.6</v>
      </c>
      <c r="L3376" s="1"/>
      <c r="N3376" s="1"/>
      <c r="V3376" t="str">
        <f>"77184"</f>
        <v>77184</v>
      </c>
      <c r="W3376">
        <v>0</v>
      </c>
      <c r="X3376">
        <v>0</v>
      </c>
    </row>
    <row r="3377" spans="1:24" x14ac:dyDescent="0.25">
      <c r="A3377" t="str">
        <f>""</f>
        <v/>
      </c>
      <c r="B3377" s="1"/>
      <c r="H3377">
        <v>147.46</v>
      </c>
      <c r="J3377" t="s">
        <v>16</v>
      </c>
      <c r="L3377" s="1"/>
      <c r="N3377" s="1"/>
      <c r="V3377" t="str">
        <f>"22000"</f>
        <v>22000</v>
      </c>
      <c r="W3377">
        <v>0</v>
      </c>
      <c r="X3377">
        <v>0</v>
      </c>
    </row>
    <row r="3378" spans="1:24" ht="15" customHeight="1" x14ac:dyDescent="0.25">
      <c r="A3378" t="str">
        <f>""</f>
        <v/>
      </c>
      <c r="B3378" s="1"/>
      <c r="H3378">
        <v>180</v>
      </c>
      <c r="J3378" t="s">
        <v>23</v>
      </c>
      <c r="L3378" s="1"/>
      <c r="V3378" t="str">
        <f>"34500"</f>
        <v>34500</v>
      </c>
      <c r="W3378">
        <v>0</v>
      </c>
      <c r="X3378">
        <v>0</v>
      </c>
    </row>
    <row r="3379" spans="1:24" ht="15" customHeight="1" x14ac:dyDescent="0.25">
      <c r="A3379" t="str">
        <f>""</f>
        <v/>
      </c>
      <c r="B3379" s="1"/>
      <c r="H3379">
        <v>21.28</v>
      </c>
      <c r="J3379" t="s">
        <v>20</v>
      </c>
      <c r="L3379" s="1"/>
      <c r="N3379" s="1"/>
      <c r="V3379" t="str">
        <f>"79000"</f>
        <v>79000</v>
      </c>
      <c r="W3379">
        <v>4.47</v>
      </c>
      <c r="X3379">
        <v>0</v>
      </c>
    </row>
    <row r="3380" spans="1:24" ht="15" customHeight="1" x14ac:dyDescent="0.25">
      <c r="A3380" t="str">
        <f>""</f>
        <v/>
      </c>
      <c r="B3380" s="1"/>
      <c r="H3380">
        <v>82.33</v>
      </c>
      <c r="J3380" t="s">
        <v>20</v>
      </c>
      <c r="L3380" s="1"/>
      <c r="N3380" s="1"/>
      <c r="V3380" t="str">
        <f>"80000"</f>
        <v>80000</v>
      </c>
      <c r="W3380">
        <v>15.64</v>
      </c>
      <c r="X3380">
        <v>0</v>
      </c>
    </row>
    <row r="3381" spans="1:24" x14ac:dyDescent="0.25">
      <c r="A3381" t="str">
        <f>""</f>
        <v/>
      </c>
      <c r="B3381" s="1"/>
      <c r="H3381">
        <v>188.5</v>
      </c>
      <c r="J3381" t="s">
        <v>18</v>
      </c>
      <c r="L3381" s="1"/>
      <c r="N3381" s="1"/>
      <c r="V3381" t="str">
        <f>"35000"</f>
        <v>35000</v>
      </c>
      <c r="W3381">
        <v>0</v>
      </c>
      <c r="X3381">
        <v>0</v>
      </c>
    </row>
    <row r="3382" spans="1:24" ht="15" customHeight="1" x14ac:dyDescent="0.25">
      <c r="A3382" t="str">
        <f>""</f>
        <v/>
      </c>
      <c r="B3382" s="1"/>
      <c r="H3382">
        <v>140</v>
      </c>
      <c r="J3382" t="s">
        <v>22</v>
      </c>
      <c r="L3382" s="1"/>
      <c r="V3382" t="str">
        <f>"62600"</f>
        <v>62600</v>
      </c>
      <c r="W3382">
        <v>0</v>
      </c>
      <c r="X3382">
        <v>0</v>
      </c>
    </row>
    <row r="3383" spans="1:24" ht="15" customHeight="1" x14ac:dyDescent="0.25">
      <c r="A3383" t="str">
        <f>""</f>
        <v/>
      </c>
      <c r="B3383" s="1"/>
      <c r="H3383">
        <v>40</v>
      </c>
      <c r="J3383" t="s">
        <v>20</v>
      </c>
      <c r="L3383" s="1"/>
      <c r="N3383" s="1"/>
      <c r="V3383" t="str">
        <f>"21004"</f>
        <v>21004</v>
      </c>
      <c r="W3383">
        <v>9.6</v>
      </c>
      <c r="X3383">
        <v>0</v>
      </c>
    </row>
    <row r="3384" spans="1:24" ht="15" customHeight="1" x14ac:dyDescent="0.25">
      <c r="A3384" t="str">
        <f>""</f>
        <v/>
      </c>
      <c r="B3384" s="1"/>
      <c r="H3384">
        <v>220.04</v>
      </c>
      <c r="L3384" s="1"/>
      <c r="N3384" s="1"/>
      <c r="V3384" t="str">
        <f>"77184"</f>
        <v>77184</v>
      </c>
      <c r="W3384">
        <v>0</v>
      </c>
      <c r="X3384">
        <v>0</v>
      </c>
    </row>
    <row r="3385" spans="1:24" ht="15" customHeight="1" x14ac:dyDescent="0.25">
      <c r="A3385" t="str">
        <f>""</f>
        <v/>
      </c>
      <c r="B3385" s="1"/>
      <c r="H3385">
        <v>194</v>
      </c>
      <c r="L3385" s="1"/>
      <c r="N3385" s="1"/>
      <c r="V3385" t="str">
        <f>"77184"</f>
        <v>77184</v>
      </c>
      <c r="W3385">
        <v>0</v>
      </c>
      <c r="X3385">
        <v>0</v>
      </c>
    </row>
    <row r="3386" spans="1:24" ht="15" customHeight="1" x14ac:dyDescent="0.25">
      <c r="A3386" t="str">
        <f>""</f>
        <v/>
      </c>
      <c r="B3386" s="1"/>
      <c r="H3386">
        <v>151</v>
      </c>
      <c r="J3386" t="s">
        <v>22</v>
      </c>
      <c r="L3386" s="1"/>
      <c r="N3386" s="1"/>
      <c r="V3386" t="str">
        <f>"76700"</f>
        <v>76700</v>
      </c>
      <c r="W3386">
        <v>0</v>
      </c>
      <c r="X3386">
        <v>25.67</v>
      </c>
    </row>
    <row r="3387" spans="1:24" ht="15" customHeight="1" x14ac:dyDescent="0.25">
      <c r="A3387" t="str">
        <f>""</f>
        <v/>
      </c>
      <c r="B3387" s="1"/>
      <c r="H3387">
        <v>36.119999999999997</v>
      </c>
      <c r="J3387" t="s">
        <v>22</v>
      </c>
      <c r="L3387" s="1"/>
      <c r="N3387" s="1"/>
      <c r="V3387" t="str">
        <f>"50200"</f>
        <v>50200</v>
      </c>
      <c r="W3387">
        <v>0</v>
      </c>
      <c r="X3387">
        <v>0</v>
      </c>
    </row>
    <row r="3388" spans="1:24" ht="15" customHeight="1" x14ac:dyDescent="0.25">
      <c r="A3388" t="str">
        <f>""</f>
        <v/>
      </c>
      <c r="B3388" s="1"/>
      <c r="H3388">
        <v>183</v>
      </c>
      <c r="J3388" t="s">
        <v>23</v>
      </c>
      <c r="L3388" s="1"/>
      <c r="N3388" s="1"/>
      <c r="V3388" t="str">
        <f>"38000"</f>
        <v>38000</v>
      </c>
      <c r="W3388">
        <v>0</v>
      </c>
      <c r="X3388">
        <v>0</v>
      </c>
    </row>
    <row r="3389" spans="1:24" ht="15" customHeight="1" x14ac:dyDescent="0.25">
      <c r="A3389" t="str">
        <f>""</f>
        <v/>
      </c>
      <c r="B3389" s="1"/>
      <c r="H3389">
        <v>400</v>
      </c>
      <c r="J3389" t="s">
        <v>22</v>
      </c>
      <c r="L3389" s="1"/>
      <c r="N3389" s="1"/>
      <c r="V3389" t="str">
        <f>"06000"</f>
        <v>06000</v>
      </c>
      <c r="W3389">
        <v>0</v>
      </c>
      <c r="X3389">
        <v>0</v>
      </c>
    </row>
    <row r="3390" spans="1:24" ht="15" customHeight="1" x14ac:dyDescent="0.25">
      <c r="A3390" t="str">
        <f>""</f>
        <v/>
      </c>
      <c r="B3390" s="1"/>
      <c r="H3390">
        <v>29.59</v>
      </c>
      <c r="J3390" t="s">
        <v>22</v>
      </c>
      <c r="L3390" s="1"/>
      <c r="N3390" s="1"/>
      <c r="V3390" t="str">
        <f>"69006"</f>
        <v>69006</v>
      </c>
      <c r="W3390">
        <v>0</v>
      </c>
      <c r="X3390">
        <v>0</v>
      </c>
    </row>
    <row r="3391" spans="1:24" x14ac:dyDescent="0.25">
      <c r="A3391" t="str">
        <f>""</f>
        <v/>
      </c>
      <c r="B3391" s="1"/>
      <c r="H3391">
        <v>140</v>
      </c>
      <c r="J3391" t="s">
        <v>18</v>
      </c>
      <c r="L3391" s="1"/>
      <c r="N3391" s="1"/>
      <c r="V3391" t="str">
        <f>"75014"</f>
        <v>75014</v>
      </c>
      <c r="W3391">
        <v>0</v>
      </c>
      <c r="X3391">
        <v>0</v>
      </c>
    </row>
    <row r="3392" spans="1:24" ht="15" customHeight="1" x14ac:dyDescent="0.25">
      <c r="A3392" t="str">
        <f>""</f>
        <v/>
      </c>
      <c r="B3392" s="1"/>
      <c r="H3392">
        <v>7.99</v>
      </c>
      <c r="J3392" t="s">
        <v>19</v>
      </c>
      <c r="L3392" s="1"/>
      <c r="N3392" s="1"/>
      <c r="V3392" t="str">
        <f>"33260"</f>
        <v>33260</v>
      </c>
      <c r="W3392">
        <v>1.68</v>
      </c>
      <c r="X3392">
        <v>0</v>
      </c>
    </row>
    <row r="3393" spans="1:24" ht="15" customHeight="1" x14ac:dyDescent="0.25">
      <c r="A3393" t="str">
        <f>""</f>
        <v/>
      </c>
      <c r="B3393" s="1"/>
      <c r="H3393">
        <v>30</v>
      </c>
      <c r="J3393" t="s">
        <v>19</v>
      </c>
      <c r="L3393" s="1"/>
      <c r="N3393" s="1"/>
      <c r="V3393" t="str">
        <f>"92200"</f>
        <v>92200</v>
      </c>
      <c r="W3393">
        <v>0</v>
      </c>
      <c r="X3393">
        <v>0</v>
      </c>
    </row>
    <row r="3394" spans="1:24" x14ac:dyDescent="0.25">
      <c r="A3394" t="str">
        <f>""</f>
        <v/>
      </c>
      <c r="B3394" s="1"/>
      <c r="H3394">
        <v>136.47</v>
      </c>
      <c r="J3394" t="s">
        <v>18</v>
      </c>
      <c r="L3394" s="1"/>
      <c r="N3394" s="1"/>
      <c r="V3394" t="str">
        <f>"59220"</f>
        <v>59220</v>
      </c>
      <c r="W3394">
        <v>0</v>
      </c>
      <c r="X3394">
        <v>0</v>
      </c>
    </row>
    <row r="3395" spans="1:24" ht="15" customHeight="1" x14ac:dyDescent="0.25">
      <c r="A3395" t="str">
        <f>""</f>
        <v/>
      </c>
      <c r="B3395" s="1"/>
      <c r="H3395">
        <v>140</v>
      </c>
      <c r="J3395" t="s">
        <v>23</v>
      </c>
      <c r="L3395" s="1"/>
      <c r="V3395" t="str">
        <f>"33820"</f>
        <v>33820</v>
      </c>
      <c r="W3395">
        <v>0</v>
      </c>
      <c r="X3395">
        <v>0</v>
      </c>
    </row>
    <row r="3396" spans="1:24" ht="15" customHeight="1" x14ac:dyDescent="0.25">
      <c r="A3396" t="str">
        <f>""</f>
        <v/>
      </c>
      <c r="B3396" s="1"/>
      <c r="H3396">
        <v>29.89</v>
      </c>
      <c r="J3396" t="s">
        <v>22</v>
      </c>
      <c r="L3396" s="1"/>
      <c r="N3396" s="1"/>
      <c r="V3396" t="str">
        <f>"39500"</f>
        <v>39500</v>
      </c>
      <c r="W3396">
        <v>0</v>
      </c>
      <c r="X3396">
        <v>0</v>
      </c>
    </row>
    <row r="3397" spans="1:24" ht="15" customHeight="1" x14ac:dyDescent="0.25">
      <c r="A3397" t="str">
        <f>""</f>
        <v/>
      </c>
      <c r="B3397" s="1"/>
      <c r="H3397">
        <v>180</v>
      </c>
      <c r="J3397" t="s">
        <v>22</v>
      </c>
      <c r="L3397" s="1"/>
      <c r="N3397" s="1"/>
      <c r="V3397" t="str">
        <f>"54600"</f>
        <v>54600</v>
      </c>
      <c r="W3397">
        <v>0</v>
      </c>
      <c r="X3397">
        <v>45</v>
      </c>
    </row>
    <row r="3398" spans="1:24" ht="15" customHeight="1" x14ac:dyDescent="0.25">
      <c r="A3398" t="str">
        <f>""</f>
        <v/>
      </c>
      <c r="B3398" s="1"/>
      <c r="H3398">
        <v>170.88</v>
      </c>
      <c r="J3398" t="s">
        <v>22</v>
      </c>
      <c r="L3398" s="1"/>
      <c r="N3398" s="1"/>
      <c r="V3398" t="str">
        <f>"13001"</f>
        <v>13001</v>
      </c>
      <c r="W3398">
        <v>0</v>
      </c>
      <c r="X3398">
        <v>0</v>
      </c>
    </row>
    <row r="3399" spans="1:24" ht="15" customHeight="1" x14ac:dyDescent="0.25">
      <c r="A3399" t="str">
        <f>""</f>
        <v/>
      </c>
      <c r="B3399" s="1"/>
      <c r="H3399">
        <v>205</v>
      </c>
      <c r="J3399" t="s">
        <v>22</v>
      </c>
      <c r="L3399" s="1"/>
      <c r="V3399" t="str">
        <f>"69320"</f>
        <v>69320</v>
      </c>
      <c r="W3399">
        <v>0</v>
      </c>
      <c r="X3399">
        <v>0</v>
      </c>
    </row>
    <row r="3400" spans="1:24" ht="15" customHeight="1" x14ac:dyDescent="0.25">
      <c r="A3400" t="str">
        <f>""</f>
        <v/>
      </c>
      <c r="B3400" s="1"/>
      <c r="H3400">
        <v>151</v>
      </c>
      <c r="J3400" t="s">
        <v>22</v>
      </c>
      <c r="L3400" s="1"/>
      <c r="N3400" s="1"/>
      <c r="V3400" t="str">
        <f>"75013"</f>
        <v>75013</v>
      </c>
      <c r="W3400">
        <v>0</v>
      </c>
      <c r="X3400">
        <v>0</v>
      </c>
    </row>
    <row r="3401" spans="1:24" ht="15" customHeight="1" x14ac:dyDescent="0.25">
      <c r="A3401" t="str">
        <f>""</f>
        <v/>
      </c>
      <c r="B3401" s="1"/>
      <c r="H3401">
        <v>151</v>
      </c>
      <c r="J3401" t="s">
        <v>23</v>
      </c>
      <c r="L3401" s="1"/>
      <c r="V3401" t="str">
        <f>"30132"</f>
        <v>30132</v>
      </c>
      <c r="W3401">
        <v>0</v>
      </c>
      <c r="X3401">
        <v>0</v>
      </c>
    </row>
    <row r="3402" spans="1:24" ht="15" customHeight="1" x14ac:dyDescent="0.25">
      <c r="A3402" t="str">
        <f>""</f>
        <v/>
      </c>
      <c r="B3402" s="1"/>
      <c r="H3402">
        <v>40</v>
      </c>
      <c r="J3402" t="s">
        <v>22</v>
      </c>
      <c r="L3402" s="1"/>
      <c r="N3402" s="1"/>
      <c r="V3402" t="str">
        <f>"68000"</f>
        <v>68000</v>
      </c>
      <c r="W3402">
        <v>0</v>
      </c>
      <c r="X3402">
        <v>0</v>
      </c>
    </row>
    <row r="3403" spans="1:24" x14ac:dyDescent="0.25">
      <c r="A3403" t="str">
        <f>""</f>
        <v/>
      </c>
      <c r="B3403" s="1"/>
      <c r="H3403">
        <v>18.8</v>
      </c>
      <c r="J3403" t="s">
        <v>15</v>
      </c>
      <c r="L3403" s="1"/>
      <c r="V3403" t="str">
        <f>"51000"</f>
        <v>51000</v>
      </c>
      <c r="W3403">
        <v>0</v>
      </c>
      <c r="X3403">
        <v>0</v>
      </c>
    </row>
    <row r="3404" spans="1:24" ht="15" customHeight="1" x14ac:dyDescent="0.25">
      <c r="A3404" t="str">
        <f>""</f>
        <v/>
      </c>
      <c r="B3404" s="1"/>
      <c r="H3404">
        <v>109.06</v>
      </c>
      <c r="J3404" t="s">
        <v>23</v>
      </c>
      <c r="L3404" s="1"/>
      <c r="N3404" s="1"/>
      <c r="V3404" t="str">
        <f>"57000"</f>
        <v>57000</v>
      </c>
      <c r="W3404">
        <v>0</v>
      </c>
      <c r="X3404">
        <v>27.26</v>
      </c>
    </row>
    <row r="3405" spans="1:24" ht="15" customHeight="1" x14ac:dyDescent="0.25">
      <c r="A3405" t="str">
        <f>""</f>
        <v/>
      </c>
      <c r="B3405" s="1"/>
      <c r="H3405">
        <v>85.8</v>
      </c>
      <c r="J3405" t="s">
        <v>23</v>
      </c>
      <c r="L3405" s="1"/>
      <c r="N3405" s="1"/>
      <c r="V3405" t="str">
        <f>"71150"</f>
        <v>71150</v>
      </c>
      <c r="W3405">
        <v>0</v>
      </c>
      <c r="X3405">
        <v>0</v>
      </c>
    </row>
    <row r="3406" spans="1:24" x14ac:dyDescent="0.25">
      <c r="A3406" t="str">
        <f>""</f>
        <v/>
      </c>
      <c r="B3406" s="1"/>
      <c r="H3406">
        <v>52.5</v>
      </c>
      <c r="J3406" t="s">
        <v>15</v>
      </c>
      <c r="L3406" s="1"/>
      <c r="N3406" s="1"/>
      <c r="V3406" t="str">
        <f>"69003"</f>
        <v>69003</v>
      </c>
      <c r="W3406">
        <v>0</v>
      </c>
      <c r="X3406">
        <v>0</v>
      </c>
    </row>
    <row r="3407" spans="1:24" x14ac:dyDescent="0.25">
      <c r="A3407" t="str">
        <f>""</f>
        <v/>
      </c>
      <c r="B3407" s="1"/>
      <c r="H3407">
        <v>52.5</v>
      </c>
      <c r="J3407" t="s">
        <v>15</v>
      </c>
      <c r="L3407" s="1"/>
      <c r="N3407" s="1"/>
      <c r="V3407" t="str">
        <f>"69200"</f>
        <v>69200</v>
      </c>
      <c r="W3407">
        <v>0</v>
      </c>
      <c r="X3407">
        <v>0</v>
      </c>
    </row>
    <row r="3408" spans="1:24" x14ac:dyDescent="0.25">
      <c r="A3408" t="str">
        <f>""</f>
        <v/>
      </c>
      <c r="B3408" s="1"/>
      <c r="H3408">
        <v>52.5</v>
      </c>
      <c r="J3408" t="s">
        <v>15</v>
      </c>
      <c r="L3408" s="1"/>
      <c r="N3408" s="1"/>
      <c r="V3408" t="str">
        <f>"94140"</f>
        <v>94140</v>
      </c>
      <c r="W3408">
        <v>0</v>
      </c>
      <c r="X3408">
        <v>0</v>
      </c>
    </row>
    <row r="3409" spans="1:24" x14ac:dyDescent="0.25">
      <c r="A3409" t="str">
        <f>""</f>
        <v/>
      </c>
      <c r="B3409" s="1"/>
      <c r="H3409">
        <v>52.5</v>
      </c>
      <c r="J3409" t="s">
        <v>15</v>
      </c>
      <c r="L3409" s="1"/>
      <c r="N3409" s="1"/>
      <c r="V3409" t="str">
        <f>"69003"</f>
        <v>69003</v>
      </c>
      <c r="W3409">
        <v>0</v>
      </c>
      <c r="X3409">
        <v>0</v>
      </c>
    </row>
    <row r="3410" spans="1:24" ht="15" customHeight="1" x14ac:dyDescent="0.25">
      <c r="A3410" t="str">
        <f>""</f>
        <v/>
      </c>
      <c r="B3410" s="1"/>
      <c r="H3410">
        <v>22.5</v>
      </c>
      <c r="J3410" t="s">
        <v>23</v>
      </c>
      <c r="L3410" s="1"/>
      <c r="N3410" s="1"/>
      <c r="V3410" t="str">
        <f>"45310"</f>
        <v>45310</v>
      </c>
      <c r="W3410">
        <v>0</v>
      </c>
      <c r="X3410">
        <v>0</v>
      </c>
    </row>
    <row r="3411" spans="1:24" ht="15" customHeight="1" x14ac:dyDescent="0.25">
      <c r="A3411" t="str">
        <f>""</f>
        <v/>
      </c>
      <c r="B3411" s="1"/>
      <c r="H3411">
        <v>28</v>
      </c>
      <c r="J3411" t="s">
        <v>22</v>
      </c>
      <c r="L3411" s="1"/>
      <c r="V3411" t="str">
        <f>"69200"</f>
        <v>69200</v>
      </c>
      <c r="W3411">
        <v>0</v>
      </c>
      <c r="X3411">
        <v>0</v>
      </c>
    </row>
    <row r="3412" spans="1:24" x14ac:dyDescent="0.25">
      <c r="A3412" t="str">
        <f>""</f>
        <v/>
      </c>
      <c r="B3412" s="1"/>
      <c r="H3412">
        <v>55</v>
      </c>
      <c r="J3412" t="s">
        <v>18</v>
      </c>
      <c r="L3412" s="1"/>
      <c r="N3412" s="1"/>
      <c r="V3412" t="str">
        <f>"91940"</f>
        <v>91940</v>
      </c>
      <c r="W3412">
        <v>0</v>
      </c>
      <c r="X3412">
        <v>0</v>
      </c>
    </row>
    <row r="3413" spans="1:24" ht="15" customHeight="1" x14ac:dyDescent="0.25">
      <c r="A3413" t="str">
        <f>""</f>
        <v/>
      </c>
      <c r="B3413" s="1"/>
      <c r="H3413">
        <v>151</v>
      </c>
      <c r="J3413" t="s">
        <v>22</v>
      </c>
      <c r="L3413" s="1"/>
      <c r="N3413" s="1"/>
      <c r="V3413" t="str">
        <f>"06560"</f>
        <v>06560</v>
      </c>
      <c r="W3413">
        <v>0</v>
      </c>
      <c r="X3413">
        <v>0</v>
      </c>
    </row>
    <row r="3414" spans="1:24" ht="15" customHeight="1" x14ac:dyDescent="0.25">
      <c r="A3414" t="str">
        <f>""</f>
        <v/>
      </c>
      <c r="B3414" s="1"/>
      <c r="H3414">
        <v>151</v>
      </c>
      <c r="J3414" t="s">
        <v>23</v>
      </c>
      <c r="L3414" s="1"/>
      <c r="N3414" s="1"/>
      <c r="V3414" t="str">
        <f>"06560"</f>
        <v>06560</v>
      </c>
      <c r="W3414">
        <v>0</v>
      </c>
      <c r="X3414">
        <v>0</v>
      </c>
    </row>
    <row r="3415" spans="1:24" ht="15" customHeight="1" x14ac:dyDescent="0.25">
      <c r="A3415" t="str">
        <f>""</f>
        <v/>
      </c>
      <c r="B3415" s="1"/>
      <c r="H3415">
        <v>25</v>
      </c>
      <c r="L3415" s="1"/>
      <c r="N3415" s="1"/>
      <c r="V3415" t="str">
        <f>"77184"</f>
        <v>77184</v>
      </c>
      <c r="W3415">
        <v>0</v>
      </c>
      <c r="X3415">
        <v>0</v>
      </c>
    </row>
    <row r="3416" spans="1:24" x14ac:dyDescent="0.25">
      <c r="A3416" t="str">
        <f>""</f>
        <v/>
      </c>
      <c r="B3416" s="1"/>
      <c r="H3416">
        <v>23.4</v>
      </c>
      <c r="J3416" t="s">
        <v>17</v>
      </c>
      <c r="L3416" s="1"/>
      <c r="N3416" s="1"/>
      <c r="V3416" t="str">
        <f>"38230"</f>
        <v>38230</v>
      </c>
      <c r="W3416">
        <v>0</v>
      </c>
      <c r="X3416">
        <v>0</v>
      </c>
    </row>
    <row r="3417" spans="1:24" ht="15" customHeight="1" x14ac:dyDescent="0.25">
      <c r="A3417" t="str">
        <f>""</f>
        <v/>
      </c>
      <c r="B3417" s="1"/>
      <c r="H3417">
        <v>84.5</v>
      </c>
      <c r="L3417" s="1"/>
      <c r="N3417" s="1"/>
      <c r="V3417" t="str">
        <f>"77184"</f>
        <v>77184</v>
      </c>
      <c r="W3417">
        <v>0</v>
      </c>
      <c r="X3417">
        <v>0</v>
      </c>
    </row>
    <row r="3418" spans="1:24" ht="15" customHeight="1" x14ac:dyDescent="0.25">
      <c r="A3418" t="str">
        <f>""</f>
        <v/>
      </c>
      <c r="B3418" s="1"/>
      <c r="H3418">
        <v>19.8</v>
      </c>
      <c r="J3418" t="s">
        <v>19</v>
      </c>
      <c r="L3418" s="1"/>
      <c r="N3418" s="1"/>
      <c r="V3418" t="str">
        <f>"69002"</f>
        <v>69002</v>
      </c>
      <c r="W3418">
        <v>5.35</v>
      </c>
      <c r="X3418">
        <v>0</v>
      </c>
    </row>
    <row r="3419" spans="1:24" ht="15" customHeight="1" x14ac:dyDescent="0.25">
      <c r="A3419" t="str">
        <f>""</f>
        <v/>
      </c>
      <c r="B3419" s="1"/>
      <c r="H3419">
        <v>67.569999999999993</v>
      </c>
      <c r="J3419" t="s">
        <v>19</v>
      </c>
      <c r="L3419" s="1"/>
      <c r="N3419" s="1"/>
      <c r="V3419" t="str">
        <f>"01000"</f>
        <v>01000</v>
      </c>
      <c r="W3419">
        <v>18.239999999999998</v>
      </c>
      <c r="X3419">
        <v>0</v>
      </c>
    </row>
    <row r="3420" spans="1:24" x14ac:dyDescent="0.25">
      <c r="A3420" t="str">
        <f>""</f>
        <v/>
      </c>
      <c r="B3420" s="1"/>
      <c r="H3420">
        <v>140</v>
      </c>
      <c r="J3420" t="s">
        <v>15</v>
      </c>
      <c r="L3420" s="1"/>
      <c r="N3420" s="1"/>
      <c r="V3420" t="str">
        <f>"38510"</f>
        <v>38510</v>
      </c>
      <c r="W3420">
        <v>0</v>
      </c>
      <c r="X3420">
        <v>0</v>
      </c>
    </row>
    <row r="3421" spans="1:24" ht="15" customHeight="1" x14ac:dyDescent="0.25">
      <c r="A3421" t="str">
        <f>""</f>
        <v/>
      </c>
      <c r="B3421" s="1"/>
      <c r="H3421">
        <v>151</v>
      </c>
      <c r="J3421" t="s">
        <v>22</v>
      </c>
      <c r="L3421" s="1"/>
      <c r="N3421" s="1"/>
      <c r="V3421" t="str">
        <f>"75013"</f>
        <v>75013</v>
      </c>
      <c r="W3421">
        <v>0</v>
      </c>
      <c r="X3421">
        <v>0</v>
      </c>
    </row>
    <row r="3422" spans="1:24" ht="15" customHeight="1" x14ac:dyDescent="0.25">
      <c r="A3422" t="str">
        <f>""</f>
        <v/>
      </c>
      <c r="B3422" s="1"/>
      <c r="H3422">
        <v>28.26</v>
      </c>
      <c r="J3422" t="s">
        <v>19</v>
      </c>
      <c r="L3422" s="1"/>
      <c r="N3422" s="1"/>
      <c r="V3422" t="str">
        <f>"25300"</f>
        <v>25300</v>
      </c>
      <c r="W3422">
        <v>0</v>
      </c>
      <c r="X3422">
        <v>0</v>
      </c>
    </row>
    <row r="3423" spans="1:24" ht="15" customHeight="1" x14ac:dyDescent="0.25">
      <c r="A3423" t="str">
        <f>""</f>
        <v/>
      </c>
      <c r="B3423" s="1"/>
      <c r="H3423">
        <v>90.94</v>
      </c>
      <c r="L3423" s="1"/>
      <c r="N3423" s="1"/>
      <c r="V3423" t="str">
        <f>"77184"</f>
        <v>77184</v>
      </c>
      <c r="W3423">
        <v>0</v>
      </c>
      <c r="X3423">
        <v>0</v>
      </c>
    </row>
    <row r="3424" spans="1:24" x14ac:dyDescent="0.25">
      <c r="A3424" t="str">
        <f>""</f>
        <v/>
      </c>
      <c r="B3424" s="1"/>
      <c r="H3424">
        <v>151</v>
      </c>
      <c r="J3424" t="s">
        <v>15</v>
      </c>
      <c r="L3424" s="1"/>
      <c r="N3424" s="1"/>
      <c r="V3424" t="str">
        <f>"69800"</f>
        <v>69800</v>
      </c>
      <c r="W3424">
        <v>0</v>
      </c>
      <c r="X3424">
        <v>0</v>
      </c>
    </row>
    <row r="3425" spans="1:24" ht="15" customHeight="1" x14ac:dyDescent="0.25">
      <c r="A3425" t="str">
        <f>""</f>
        <v/>
      </c>
      <c r="B3425" s="1"/>
      <c r="H3425">
        <v>180</v>
      </c>
      <c r="L3425" s="1"/>
      <c r="N3425" s="1"/>
      <c r="V3425" t="str">
        <f>"77184"</f>
        <v>77184</v>
      </c>
      <c r="W3425">
        <v>0</v>
      </c>
      <c r="X3425">
        <v>0</v>
      </c>
    </row>
    <row r="3426" spans="1:24" ht="15" customHeight="1" x14ac:dyDescent="0.25">
      <c r="A3426" t="str">
        <f>""</f>
        <v/>
      </c>
      <c r="B3426" s="1"/>
      <c r="H3426">
        <v>25</v>
      </c>
      <c r="L3426" s="1"/>
      <c r="N3426" s="1"/>
      <c r="V3426" t="str">
        <f>"77184"</f>
        <v>77184</v>
      </c>
      <c r="W3426">
        <v>0</v>
      </c>
      <c r="X3426">
        <v>0</v>
      </c>
    </row>
    <row r="3427" spans="1:24" ht="15" customHeight="1" x14ac:dyDescent="0.25">
      <c r="A3427" t="str">
        <f>""</f>
        <v/>
      </c>
      <c r="B3427" s="1"/>
      <c r="H3427">
        <v>29</v>
      </c>
      <c r="J3427" t="s">
        <v>22</v>
      </c>
      <c r="L3427" s="1"/>
      <c r="N3427" s="1"/>
      <c r="V3427" t="str">
        <f>"67100"</f>
        <v>67100</v>
      </c>
      <c r="W3427">
        <v>0</v>
      </c>
      <c r="X3427">
        <v>2.3199999999999998</v>
      </c>
    </row>
    <row r="3428" spans="1:24" ht="15" customHeight="1" x14ac:dyDescent="0.25">
      <c r="A3428" t="str">
        <f>""</f>
        <v/>
      </c>
      <c r="B3428" s="1"/>
      <c r="H3428">
        <v>180</v>
      </c>
      <c r="J3428" t="s">
        <v>22</v>
      </c>
      <c r="L3428" s="1"/>
      <c r="N3428" s="1"/>
      <c r="V3428" t="str">
        <f>"60230"</f>
        <v>60230</v>
      </c>
      <c r="W3428">
        <v>0</v>
      </c>
      <c r="X3428">
        <v>0</v>
      </c>
    </row>
    <row r="3429" spans="1:24" ht="15" customHeight="1" x14ac:dyDescent="0.25">
      <c r="A3429" t="str">
        <f>""</f>
        <v/>
      </c>
      <c r="B3429" s="1"/>
      <c r="H3429">
        <v>84.5</v>
      </c>
      <c r="L3429" s="1"/>
      <c r="N3429" s="1"/>
      <c r="V3429" t="str">
        <f>"77184"</f>
        <v>77184</v>
      </c>
      <c r="W3429">
        <v>0</v>
      </c>
      <c r="X3429">
        <v>0</v>
      </c>
    </row>
    <row r="3430" spans="1:24" ht="15" customHeight="1" x14ac:dyDescent="0.25">
      <c r="A3430" t="str">
        <f>""</f>
        <v/>
      </c>
      <c r="B3430" s="1"/>
      <c r="H3430">
        <v>83</v>
      </c>
      <c r="J3430" t="s">
        <v>22</v>
      </c>
      <c r="L3430" s="1"/>
      <c r="N3430" s="1"/>
      <c r="V3430" t="str">
        <f>"06190"</f>
        <v>06190</v>
      </c>
      <c r="W3430">
        <v>0</v>
      </c>
      <c r="X3430">
        <v>24.9</v>
      </c>
    </row>
    <row r="3431" spans="1:24" ht="15" customHeight="1" x14ac:dyDescent="0.25">
      <c r="A3431" t="str">
        <f>""</f>
        <v/>
      </c>
      <c r="B3431" s="1"/>
      <c r="H3431">
        <v>180</v>
      </c>
      <c r="J3431" t="s">
        <v>23</v>
      </c>
      <c r="L3431" s="1"/>
      <c r="N3431" s="1"/>
      <c r="V3431" t="str">
        <f>"80000"</f>
        <v>80000</v>
      </c>
      <c r="W3431">
        <v>0</v>
      </c>
      <c r="X3431">
        <v>0</v>
      </c>
    </row>
    <row r="3432" spans="1:24" ht="15" customHeight="1" x14ac:dyDescent="0.25">
      <c r="A3432" t="str">
        <f>""</f>
        <v/>
      </c>
      <c r="B3432" s="1"/>
      <c r="H3432">
        <v>55.34</v>
      </c>
      <c r="J3432" t="s">
        <v>20</v>
      </c>
      <c r="L3432" s="1"/>
      <c r="N3432" s="1"/>
      <c r="V3432" t="str">
        <f>"28000"</f>
        <v>28000</v>
      </c>
      <c r="W3432">
        <v>11.62</v>
      </c>
      <c r="X3432">
        <v>0</v>
      </c>
    </row>
    <row r="3433" spans="1:24" ht="15" customHeight="1" x14ac:dyDescent="0.25">
      <c r="A3433" t="str">
        <f>""</f>
        <v/>
      </c>
      <c r="B3433" s="1"/>
      <c r="J3433" t="s">
        <v>23</v>
      </c>
      <c r="L3433" s="1"/>
      <c r="N3433" s="1"/>
      <c r="V3433" t="str">
        <f>"69002"</f>
        <v>69002</v>
      </c>
      <c r="W3433">
        <v>0</v>
      </c>
      <c r="X3433">
        <v>0</v>
      </c>
    </row>
    <row r="3434" spans="1:24" ht="15" customHeight="1" x14ac:dyDescent="0.25">
      <c r="A3434" t="str">
        <f>""</f>
        <v/>
      </c>
      <c r="B3434" s="1"/>
      <c r="H3434">
        <v>202.62</v>
      </c>
      <c r="L3434" s="1"/>
      <c r="N3434" s="1"/>
      <c r="V3434" t="str">
        <f>"77184"</f>
        <v>77184</v>
      </c>
      <c r="W3434">
        <v>0</v>
      </c>
      <c r="X3434">
        <v>0</v>
      </c>
    </row>
    <row r="3435" spans="1:24" ht="15" customHeight="1" x14ac:dyDescent="0.25">
      <c r="A3435" t="str">
        <f>""</f>
        <v/>
      </c>
      <c r="B3435" s="1"/>
      <c r="H3435">
        <v>243.02</v>
      </c>
      <c r="L3435" s="1"/>
      <c r="N3435" s="1"/>
      <c r="V3435" t="str">
        <f>"77184"</f>
        <v>77184</v>
      </c>
      <c r="W3435">
        <v>0</v>
      </c>
      <c r="X3435">
        <v>0</v>
      </c>
    </row>
    <row r="3436" spans="1:24" ht="15" customHeight="1" x14ac:dyDescent="0.25">
      <c r="A3436" t="str">
        <f>""</f>
        <v/>
      </c>
      <c r="B3436" s="1"/>
      <c r="H3436">
        <v>19.649999999999999</v>
      </c>
      <c r="J3436" t="s">
        <v>19</v>
      </c>
      <c r="L3436" s="1"/>
      <c r="N3436" s="1"/>
      <c r="V3436" t="str">
        <f>"75014"</f>
        <v>75014</v>
      </c>
      <c r="W3436">
        <v>0</v>
      </c>
      <c r="X3436">
        <v>0</v>
      </c>
    </row>
    <row r="3437" spans="1:24" ht="15" customHeight="1" x14ac:dyDescent="0.25">
      <c r="A3437" t="str">
        <f>""</f>
        <v/>
      </c>
      <c r="B3437" s="1"/>
      <c r="H3437">
        <v>19.649999999999999</v>
      </c>
      <c r="J3437" t="s">
        <v>19</v>
      </c>
      <c r="L3437" s="1"/>
      <c r="N3437" s="1"/>
      <c r="V3437" t="str">
        <f>"75014"</f>
        <v>75014</v>
      </c>
      <c r="W3437">
        <v>0</v>
      </c>
      <c r="X3437">
        <v>0</v>
      </c>
    </row>
    <row r="3438" spans="1:24" ht="15" customHeight="1" x14ac:dyDescent="0.25">
      <c r="A3438" t="str">
        <f>""</f>
        <v/>
      </c>
      <c r="B3438" s="1"/>
      <c r="H3438">
        <v>19.649999999999999</v>
      </c>
      <c r="J3438" t="s">
        <v>19</v>
      </c>
      <c r="L3438" s="1"/>
      <c r="N3438" s="1"/>
      <c r="V3438" t="str">
        <f>"75014"</f>
        <v>75014</v>
      </c>
      <c r="W3438">
        <v>0</v>
      </c>
      <c r="X3438">
        <v>0</v>
      </c>
    </row>
    <row r="3439" spans="1:24" ht="15" customHeight="1" x14ac:dyDescent="0.25">
      <c r="A3439" t="str">
        <f>""</f>
        <v/>
      </c>
      <c r="B3439" s="1"/>
      <c r="H3439">
        <v>19.649999999999999</v>
      </c>
      <c r="J3439" t="s">
        <v>19</v>
      </c>
      <c r="L3439" s="1"/>
      <c r="N3439" s="1"/>
      <c r="V3439" t="str">
        <f>"75014"</f>
        <v>75014</v>
      </c>
      <c r="W3439">
        <v>0</v>
      </c>
      <c r="X3439">
        <v>0</v>
      </c>
    </row>
    <row r="3440" spans="1:24" ht="15" customHeight="1" x14ac:dyDescent="0.25">
      <c r="A3440" t="str">
        <f>""</f>
        <v/>
      </c>
      <c r="B3440" s="1"/>
      <c r="H3440">
        <v>19.649999999999999</v>
      </c>
      <c r="J3440" t="s">
        <v>19</v>
      </c>
      <c r="L3440" s="1"/>
      <c r="N3440" s="1"/>
      <c r="V3440" t="str">
        <f>"75014"</f>
        <v>75014</v>
      </c>
      <c r="W3440">
        <v>0</v>
      </c>
      <c r="X3440">
        <v>0</v>
      </c>
    </row>
    <row r="3441" spans="1:24" ht="15" customHeight="1" x14ac:dyDescent="0.25">
      <c r="A3441" t="str">
        <f>""</f>
        <v/>
      </c>
      <c r="B3441" s="1"/>
      <c r="H3441">
        <v>141.65</v>
      </c>
      <c r="J3441" t="s">
        <v>19</v>
      </c>
      <c r="L3441" s="1"/>
      <c r="N3441" s="1"/>
      <c r="V3441" t="str">
        <f>"95240"</f>
        <v>95240</v>
      </c>
      <c r="W3441">
        <v>0</v>
      </c>
      <c r="X3441">
        <v>0</v>
      </c>
    </row>
    <row r="3442" spans="1:24" ht="15" customHeight="1" x14ac:dyDescent="0.25">
      <c r="A3442" t="str">
        <f>""</f>
        <v/>
      </c>
      <c r="B3442" s="1"/>
      <c r="H3442">
        <v>80</v>
      </c>
      <c r="J3442" t="s">
        <v>22</v>
      </c>
      <c r="L3442" s="1"/>
      <c r="N3442" s="1"/>
      <c r="V3442" t="str">
        <f>"91300"</f>
        <v>91300</v>
      </c>
      <c r="W3442">
        <v>0</v>
      </c>
      <c r="X3442">
        <v>0</v>
      </c>
    </row>
    <row r="3443" spans="1:24" ht="15" customHeight="1" x14ac:dyDescent="0.25">
      <c r="A3443" t="str">
        <f>""</f>
        <v/>
      </c>
      <c r="B3443" s="1"/>
      <c r="H3443">
        <v>151</v>
      </c>
      <c r="J3443" t="s">
        <v>23</v>
      </c>
      <c r="L3443" s="1"/>
      <c r="N3443" s="1"/>
      <c r="V3443" t="str">
        <f>"59650"</f>
        <v>59650</v>
      </c>
      <c r="W3443">
        <v>0</v>
      </c>
      <c r="X3443">
        <v>0</v>
      </c>
    </row>
    <row r="3444" spans="1:24" ht="15" customHeight="1" x14ac:dyDescent="0.25">
      <c r="A3444" t="str">
        <f>""</f>
        <v/>
      </c>
      <c r="B3444" s="1"/>
      <c r="H3444">
        <v>25</v>
      </c>
      <c r="J3444" t="s">
        <v>22</v>
      </c>
      <c r="L3444" s="1"/>
      <c r="V3444" t="str">
        <f>"75010"</f>
        <v>75010</v>
      </c>
      <c r="W3444">
        <v>0</v>
      </c>
      <c r="X3444">
        <v>0</v>
      </c>
    </row>
    <row r="3445" spans="1:24" ht="15" customHeight="1" x14ac:dyDescent="0.25">
      <c r="A3445" t="str">
        <f>""</f>
        <v/>
      </c>
      <c r="B3445" s="1"/>
      <c r="H3445">
        <v>25.5</v>
      </c>
      <c r="L3445" s="1"/>
      <c r="N3445" s="1"/>
      <c r="V3445" t="str">
        <f>"44240"</f>
        <v>44240</v>
      </c>
      <c r="W3445">
        <v>0</v>
      </c>
      <c r="X3445">
        <v>0</v>
      </c>
    </row>
    <row r="3446" spans="1:24" ht="15" customHeight="1" x14ac:dyDescent="0.25">
      <c r="A3446" t="str">
        <f>""</f>
        <v/>
      </c>
      <c r="B3446" s="1"/>
      <c r="H3446">
        <v>140</v>
      </c>
      <c r="J3446" t="s">
        <v>23</v>
      </c>
      <c r="L3446" s="1"/>
      <c r="V3446" t="str">
        <f>"59163"</f>
        <v>59163</v>
      </c>
      <c r="W3446">
        <v>0</v>
      </c>
      <c r="X3446">
        <v>0</v>
      </c>
    </row>
    <row r="3447" spans="1:24" ht="15" customHeight="1" x14ac:dyDescent="0.25">
      <c r="A3447" t="str">
        <f>""</f>
        <v/>
      </c>
      <c r="B3447" s="1"/>
      <c r="H3447">
        <v>198.92</v>
      </c>
      <c r="J3447" t="s">
        <v>20</v>
      </c>
      <c r="L3447" s="1"/>
      <c r="N3447" s="1"/>
      <c r="V3447" t="str">
        <f>"70170"</f>
        <v>70170</v>
      </c>
      <c r="W3447">
        <v>47.74</v>
      </c>
      <c r="X3447">
        <v>0</v>
      </c>
    </row>
    <row r="3448" spans="1:24" ht="15" customHeight="1" x14ac:dyDescent="0.25">
      <c r="A3448" t="str">
        <f>""</f>
        <v/>
      </c>
      <c r="B3448" s="1"/>
      <c r="H3448">
        <v>138.84</v>
      </c>
      <c r="J3448" t="s">
        <v>19</v>
      </c>
      <c r="L3448" s="1"/>
      <c r="N3448" s="1"/>
      <c r="V3448" t="str">
        <f>"19100"</f>
        <v>19100</v>
      </c>
      <c r="W3448">
        <v>40.26</v>
      </c>
      <c r="X3448">
        <v>0</v>
      </c>
    </row>
    <row r="3449" spans="1:24" ht="15" customHeight="1" x14ac:dyDescent="0.25">
      <c r="A3449" t="str">
        <f>""</f>
        <v/>
      </c>
      <c r="B3449" s="1"/>
      <c r="H3449">
        <v>153.52000000000001</v>
      </c>
      <c r="J3449" t="s">
        <v>19</v>
      </c>
      <c r="L3449" s="1"/>
      <c r="N3449" s="1"/>
      <c r="V3449" t="str">
        <f>"76700"</f>
        <v>76700</v>
      </c>
      <c r="W3449">
        <v>26.1</v>
      </c>
      <c r="X3449">
        <v>0</v>
      </c>
    </row>
    <row r="3450" spans="1:24" ht="15" customHeight="1" x14ac:dyDescent="0.25">
      <c r="A3450" t="str">
        <f>""</f>
        <v/>
      </c>
      <c r="B3450" s="1"/>
      <c r="H3450">
        <v>126.4</v>
      </c>
      <c r="J3450" t="s">
        <v>22</v>
      </c>
      <c r="L3450" s="1"/>
      <c r="N3450" s="1"/>
      <c r="V3450" t="str">
        <f>"73000"</f>
        <v>73000</v>
      </c>
      <c r="W3450">
        <v>0</v>
      </c>
      <c r="X3450">
        <v>0</v>
      </c>
    </row>
    <row r="3451" spans="1:24" x14ac:dyDescent="0.25">
      <c r="A3451" t="str">
        <f>""</f>
        <v/>
      </c>
      <c r="B3451" s="1"/>
      <c r="H3451">
        <v>122.09</v>
      </c>
      <c r="J3451" t="s">
        <v>16</v>
      </c>
      <c r="L3451" s="1"/>
      <c r="N3451" s="1"/>
      <c r="V3451" t="str">
        <f>"23100"</f>
        <v>23100</v>
      </c>
      <c r="W3451">
        <v>0</v>
      </c>
      <c r="X3451">
        <v>0</v>
      </c>
    </row>
    <row r="3452" spans="1:24" ht="15" customHeight="1" x14ac:dyDescent="0.25">
      <c r="A3452" t="str">
        <f>""</f>
        <v/>
      </c>
      <c r="B3452" s="1"/>
      <c r="H3452">
        <v>37.92</v>
      </c>
      <c r="J3452" t="s">
        <v>20</v>
      </c>
      <c r="L3452" s="1"/>
      <c r="N3452" s="1"/>
      <c r="V3452" t="str">
        <f>"68200"</f>
        <v>68200</v>
      </c>
      <c r="W3452">
        <v>11</v>
      </c>
      <c r="X3452">
        <v>0</v>
      </c>
    </row>
    <row r="3453" spans="1:24" ht="15" customHeight="1" x14ac:dyDescent="0.25">
      <c r="A3453" t="str">
        <f>""</f>
        <v/>
      </c>
      <c r="B3453" s="1"/>
      <c r="H3453">
        <v>151</v>
      </c>
      <c r="J3453" t="s">
        <v>23</v>
      </c>
      <c r="L3453" s="1"/>
      <c r="V3453" t="str">
        <f>"44600"</f>
        <v>44600</v>
      </c>
      <c r="W3453">
        <v>0</v>
      </c>
      <c r="X3453">
        <v>0</v>
      </c>
    </row>
    <row r="3454" spans="1:24" ht="15" customHeight="1" x14ac:dyDescent="0.25">
      <c r="A3454" t="str">
        <f>""</f>
        <v/>
      </c>
      <c r="B3454" s="1"/>
      <c r="H3454">
        <v>14.2</v>
      </c>
      <c r="J3454" t="s">
        <v>20</v>
      </c>
      <c r="L3454" s="1"/>
      <c r="N3454" s="1"/>
      <c r="V3454" t="str">
        <f>"34070"</f>
        <v>34070</v>
      </c>
      <c r="W3454">
        <v>5.54</v>
      </c>
      <c r="X3454">
        <v>0</v>
      </c>
    </row>
    <row r="3455" spans="1:24" ht="15" customHeight="1" x14ac:dyDescent="0.25">
      <c r="A3455" t="str">
        <f>""</f>
        <v/>
      </c>
      <c r="B3455" s="1"/>
      <c r="H3455">
        <v>126.4</v>
      </c>
      <c r="J3455" t="s">
        <v>23</v>
      </c>
      <c r="L3455" s="1"/>
      <c r="N3455" s="1"/>
      <c r="V3455" t="str">
        <f>"27700"</f>
        <v>27700</v>
      </c>
      <c r="W3455">
        <v>0</v>
      </c>
      <c r="X3455">
        <v>21.49</v>
      </c>
    </row>
    <row r="3456" spans="1:24" ht="15" customHeight="1" x14ac:dyDescent="0.25">
      <c r="A3456" t="str">
        <f>""</f>
        <v/>
      </c>
      <c r="B3456" s="1"/>
      <c r="H3456">
        <v>140.22999999999999</v>
      </c>
      <c r="J3456" t="s">
        <v>22</v>
      </c>
      <c r="L3456" s="1"/>
      <c r="V3456" t="str">
        <f>"59225"</f>
        <v>59225</v>
      </c>
      <c r="W3456">
        <v>0</v>
      </c>
      <c r="X3456">
        <v>0</v>
      </c>
    </row>
    <row r="3457" spans="1:24" ht="15" customHeight="1" x14ac:dyDescent="0.25">
      <c r="A3457" t="str">
        <f>""</f>
        <v/>
      </c>
      <c r="B3457" s="1"/>
      <c r="H3457">
        <v>105.6</v>
      </c>
      <c r="J3457" t="s">
        <v>23</v>
      </c>
      <c r="L3457" s="1"/>
      <c r="N3457" s="1"/>
      <c r="V3457" t="str">
        <f>"75014"</f>
        <v>75014</v>
      </c>
      <c r="W3457">
        <v>0</v>
      </c>
      <c r="X3457">
        <v>0</v>
      </c>
    </row>
    <row r="3458" spans="1:24" ht="15" customHeight="1" x14ac:dyDescent="0.25">
      <c r="A3458" t="str">
        <f>""</f>
        <v/>
      </c>
      <c r="B3458" s="1"/>
      <c r="H3458">
        <v>140</v>
      </c>
      <c r="J3458" t="s">
        <v>23</v>
      </c>
      <c r="L3458" s="1"/>
      <c r="N3458" s="1"/>
      <c r="V3458" t="str">
        <f>"17700"</f>
        <v>17700</v>
      </c>
      <c r="W3458">
        <v>0</v>
      </c>
      <c r="X3458">
        <v>0</v>
      </c>
    </row>
    <row r="3459" spans="1:24" ht="15" customHeight="1" x14ac:dyDescent="0.25">
      <c r="A3459" t="str">
        <f>""</f>
        <v/>
      </c>
      <c r="B3459" s="1"/>
      <c r="J3459" t="s">
        <v>8</v>
      </c>
      <c r="V3459" t="str">
        <f>""</f>
        <v/>
      </c>
      <c r="W3459">
        <v>0</v>
      </c>
      <c r="X3459">
        <v>0</v>
      </c>
    </row>
    <row r="3460" spans="1:24" ht="15" customHeight="1" x14ac:dyDescent="0.25">
      <c r="A3460" t="str">
        <f>""</f>
        <v/>
      </c>
      <c r="B3460" s="1"/>
      <c r="H3460">
        <v>183.98</v>
      </c>
      <c r="J3460" t="s">
        <v>23</v>
      </c>
      <c r="L3460" s="1"/>
      <c r="N3460" s="1"/>
      <c r="V3460" t="str">
        <f>"14000"</f>
        <v>14000</v>
      </c>
      <c r="W3460">
        <v>0</v>
      </c>
      <c r="X3460">
        <v>0</v>
      </c>
    </row>
    <row r="3461" spans="1:24" ht="15" customHeight="1" x14ac:dyDescent="0.25">
      <c r="A3461" t="str">
        <f>""</f>
        <v/>
      </c>
      <c r="B3461" s="1"/>
      <c r="H3461">
        <v>160</v>
      </c>
      <c r="J3461" t="s">
        <v>22</v>
      </c>
      <c r="L3461" s="1"/>
      <c r="V3461" t="str">
        <f>"49430"</f>
        <v>49430</v>
      </c>
      <c r="W3461">
        <v>0</v>
      </c>
      <c r="X3461">
        <v>0</v>
      </c>
    </row>
    <row r="3462" spans="1:24" ht="15" customHeight="1" x14ac:dyDescent="0.25">
      <c r="A3462" t="str">
        <f>""</f>
        <v/>
      </c>
      <c r="B3462" s="1"/>
      <c r="H3462">
        <v>212.52</v>
      </c>
      <c r="J3462" t="s">
        <v>22</v>
      </c>
      <c r="L3462" s="1"/>
      <c r="V3462" t="str">
        <f>"13001"</f>
        <v>13001</v>
      </c>
      <c r="W3462">
        <v>0</v>
      </c>
      <c r="X3462">
        <v>0</v>
      </c>
    </row>
    <row r="3463" spans="1:24" ht="15" customHeight="1" x14ac:dyDescent="0.25">
      <c r="A3463" t="str">
        <f>""</f>
        <v/>
      </c>
      <c r="B3463" s="1"/>
      <c r="H3463">
        <v>140</v>
      </c>
      <c r="J3463" t="s">
        <v>22</v>
      </c>
      <c r="L3463" s="1"/>
      <c r="N3463" s="1"/>
      <c r="V3463" t="str">
        <f>"67000"</f>
        <v>67000</v>
      </c>
      <c r="W3463">
        <v>0</v>
      </c>
      <c r="X3463">
        <v>11.2</v>
      </c>
    </row>
    <row r="3464" spans="1:24" ht="15" customHeight="1" x14ac:dyDescent="0.25">
      <c r="A3464" t="str">
        <f>""</f>
        <v/>
      </c>
      <c r="B3464" s="1"/>
      <c r="H3464">
        <v>80</v>
      </c>
      <c r="J3464" t="s">
        <v>23</v>
      </c>
      <c r="L3464" s="1"/>
      <c r="N3464" s="1"/>
      <c r="V3464" t="str">
        <f>"69003"</f>
        <v>69003</v>
      </c>
      <c r="W3464">
        <v>0</v>
      </c>
      <c r="X3464">
        <v>21.6</v>
      </c>
    </row>
    <row r="3465" spans="1:24" ht="15" customHeight="1" x14ac:dyDescent="0.25">
      <c r="A3465" t="str">
        <f>""</f>
        <v/>
      </c>
      <c r="B3465" s="1"/>
      <c r="H3465">
        <v>124.8</v>
      </c>
      <c r="J3465" t="s">
        <v>22</v>
      </c>
      <c r="L3465" s="1"/>
      <c r="N3465" s="1"/>
      <c r="V3465" t="str">
        <f>"26000"</f>
        <v>26000</v>
      </c>
      <c r="W3465">
        <v>0</v>
      </c>
      <c r="X3465">
        <v>0</v>
      </c>
    </row>
    <row r="3466" spans="1:24" ht="15" customHeight="1" x14ac:dyDescent="0.25">
      <c r="A3466" t="str">
        <f>""</f>
        <v/>
      </c>
      <c r="B3466" s="1"/>
      <c r="H3466">
        <v>140</v>
      </c>
      <c r="J3466" t="s">
        <v>22</v>
      </c>
      <c r="L3466" s="1"/>
      <c r="N3466" s="1"/>
      <c r="V3466" t="str">
        <f>"37210"</f>
        <v>37210</v>
      </c>
      <c r="W3466">
        <v>0</v>
      </c>
      <c r="X3466">
        <v>0</v>
      </c>
    </row>
    <row r="3467" spans="1:24" ht="15" customHeight="1" x14ac:dyDescent="0.25">
      <c r="A3467" t="str">
        <f>""</f>
        <v/>
      </c>
      <c r="B3467" s="1"/>
      <c r="H3467">
        <v>84.53</v>
      </c>
      <c r="J3467" t="s">
        <v>23</v>
      </c>
      <c r="L3467" s="1"/>
      <c r="V3467" t="str">
        <f>"01000"</f>
        <v>01000</v>
      </c>
      <c r="W3467">
        <v>0</v>
      </c>
      <c r="X3467">
        <v>0</v>
      </c>
    </row>
    <row r="3468" spans="1:24" x14ac:dyDescent="0.25">
      <c r="A3468" t="str">
        <f>""</f>
        <v/>
      </c>
      <c r="B3468" s="1"/>
      <c r="H3468">
        <v>121.14</v>
      </c>
      <c r="J3468" t="s">
        <v>16</v>
      </c>
      <c r="L3468" s="1"/>
      <c r="N3468" s="1"/>
      <c r="V3468" t="str">
        <f>"59000"</f>
        <v>59000</v>
      </c>
      <c r="W3468">
        <v>0</v>
      </c>
      <c r="X3468">
        <v>0</v>
      </c>
    </row>
    <row r="3469" spans="1:24" ht="15" customHeight="1" x14ac:dyDescent="0.25">
      <c r="A3469" t="str">
        <f>""</f>
        <v/>
      </c>
      <c r="B3469" s="1"/>
      <c r="H3469">
        <v>22.5</v>
      </c>
      <c r="J3469" t="s">
        <v>22</v>
      </c>
      <c r="L3469" s="1"/>
      <c r="V3469" t="str">
        <f>"70000"</f>
        <v>70000</v>
      </c>
      <c r="W3469">
        <v>0</v>
      </c>
      <c r="X3469">
        <v>0</v>
      </c>
    </row>
    <row r="3470" spans="1:24" ht="15" customHeight="1" x14ac:dyDescent="0.25">
      <c r="A3470" t="str">
        <f>""</f>
        <v/>
      </c>
      <c r="B3470" s="1"/>
      <c r="H3470">
        <v>50.84</v>
      </c>
      <c r="J3470" t="s">
        <v>20</v>
      </c>
      <c r="L3470" s="1"/>
      <c r="N3470" s="1"/>
      <c r="V3470" t="str">
        <f>"92000"</f>
        <v>92000</v>
      </c>
      <c r="W3470">
        <v>0</v>
      </c>
      <c r="X3470">
        <v>0</v>
      </c>
    </row>
    <row r="3471" spans="1:24" x14ac:dyDescent="0.25">
      <c r="A3471" t="str">
        <f>""</f>
        <v/>
      </c>
      <c r="B3471" s="1"/>
      <c r="H3471">
        <v>52.5</v>
      </c>
      <c r="J3471" t="s">
        <v>15</v>
      </c>
      <c r="L3471" s="1"/>
      <c r="N3471" s="1"/>
      <c r="V3471" t="str">
        <f>"90000"</f>
        <v>90000</v>
      </c>
      <c r="W3471">
        <v>15.23</v>
      </c>
      <c r="X3471">
        <v>0</v>
      </c>
    </row>
    <row r="3472" spans="1:24" x14ac:dyDescent="0.25">
      <c r="A3472" t="str">
        <f>""</f>
        <v/>
      </c>
      <c r="B3472" s="1"/>
      <c r="H3472">
        <v>151</v>
      </c>
      <c r="J3472" t="s">
        <v>18</v>
      </c>
      <c r="L3472" s="1"/>
      <c r="N3472" s="1"/>
      <c r="V3472" t="str">
        <f>"21000"</f>
        <v>21000</v>
      </c>
      <c r="W3472">
        <v>0</v>
      </c>
      <c r="X3472">
        <v>0</v>
      </c>
    </row>
    <row r="3473" spans="1:24" x14ac:dyDescent="0.25">
      <c r="A3473" t="str">
        <f>""</f>
        <v/>
      </c>
      <c r="B3473" s="1"/>
      <c r="H3473">
        <v>198</v>
      </c>
      <c r="J3473" t="s">
        <v>18</v>
      </c>
      <c r="L3473" s="1"/>
      <c r="N3473" s="1"/>
      <c r="V3473" t="str">
        <f>"30204"</f>
        <v>30204</v>
      </c>
      <c r="W3473">
        <v>0</v>
      </c>
      <c r="X3473">
        <v>0</v>
      </c>
    </row>
    <row r="3474" spans="1:24" ht="15" customHeight="1" x14ac:dyDescent="0.25">
      <c r="A3474" t="str">
        <f>""</f>
        <v/>
      </c>
      <c r="B3474" s="1"/>
      <c r="H3474">
        <v>140</v>
      </c>
      <c r="J3474" t="s">
        <v>23</v>
      </c>
      <c r="L3474" s="1"/>
      <c r="N3474" s="1"/>
      <c r="V3474" t="str">
        <f>"88000"</f>
        <v>88000</v>
      </c>
      <c r="W3474">
        <v>0</v>
      </c>
      <c r="X3474">
        <v>11.2</v>
      </c>
    </row>
    <row r="3475" spans="1:24" ht="15" customHeight="1" x14ac:dyDescent="0.25">
      <c r="A3475" t="str">
        <f>""</f>
        <v/>
      </c>
      <c r="B3475" s="1"/>
      <c r="H3475">
        <v>55.16</v>
      </c>
      <c r="J3475" t="s">
        <v>19</v>
      </c>
      <c r="L3475" s="1"/>
      <c r="N3475" s="1"/>
      <c r="V3475" t="str">
        <f>"35044"</f>
        <v>35044</v>
      </c>
      <c r="W3475">
        <v>14.89</v>
      </c>
      <c r="X3475">
        <v>0</v>
      </c>
    </row>
    <row r="3476" spans="1:24" ht="15" customHeight="1" x14ac:dyDescent="0.25">
      <c r="A3476" t="str">
        <f>""</f>
        <v/>
      </c>
      <c r="B3476" s="1"/>
      <c r="H3476">
        <v>25</v>
      </c>
      <c r="J3476" t="s">
        <v>22</v>
      </c>
      <c r="L3476" s="1"/>
      <c r="N3476" s="1"/>
      <c r="V3476" t="str">
        <f>"67100"</f>
        <v>67100</v>
      </c>
      <c r="W3476">
        <v>0</v>
      </c>
      <c r="X3476">
        <v>2</v>
      </c>
    </row>
    <row r="3477" spans="1:24" ht="15" customHeight="1" x14ac:dyDescent="0.25">
      <c r="A3477" t="str">
        <f>""</f>
        <v/>
      </c>
      <c r="B3477" s="1"/>
      <c r="H3477">
        <v>19.649999999999999</v>
      </c>
      <c r="J3477" t="s">
        <v>19</v>
      </c>
      <c r="L3477" s="1"/>
      <c r="N3477" s="1"/>
      <c r="V3477" t="str">
        <f>"75014"</f>
        <v>75014</v>
      </c>
      <c r="W3477">
        <v>0</v>
      </c>
      <c r="X3477">
        <v>0</v>
      </c>
    </row>
    <row r="3478" spans="1:24" ht="15" customHeight="1" x14ac:dyDescent="0.25">
      <c r="A3478" t="str">
        <f>""</f>
        <v/>
      </c>
      <c r="B3478" s="1"/>
      <c r="H3478">
        <v>50</v>
      </c>
      <c r="J3478" t="s">
        <v>22</v>
      </c>
      <c r="L3478" s="1"/>
      <c r="V3478" t="str">
        <f>"30105"</f>
        <v>30105</v>
      </c>
      <c r="W3478">
        <v>0</v>
      </c>
      <c r="X3478">
        <v>0</v>
      </c>
    </row>
    <row r="3479" spans="1:24" ht="15" customHeight="1" x14ac:dyDescent="0.25">
      <c r="A3479" t="str">
        <f>""</f>
        <v/>
      </c>
      <c r="B3479" s="1"/>
      <c r="H3479">
        <v>151</v>
      </c>
      <c r="J3479" t="s">
        <v>22</v>
      </c>
      <c r="L3479" s="1"/>
      <c r="V3479" t="str">
        <f>"25200"</f>
        <v>25200</v>
      </c>
      <c r="W3479">
        <v>0</v>
      </c>
      <c r="X3479">
        <v>0</v>
      </c>
    </row>
    <row r="3480" spans="1:24" ht="15" customHeight="1" x14ac:dyDescent="0.25">
      <c r="A3480" t="str">
        <f>""</f>
        <v/>
      </c>
      <c r="B3480" s="1"/>
      <c r="H3480">
        <v>26.6</v>
      </c>
      <c r="L3480" s="1"/>
      <c r="N3480" s="1"/>
      <c r="V3480" t="str">
        <f>"77184"</f>
        <v>77184</v>
      </c>
      <c r="W3480">
        <v>0</v>
      </c>
      <c r="X3480">
        <v>0</v>
      </c>
    </row>
    <row r="3481" spans="1:24" ht="15" customHeight="1" x14ac:dyDescent="0.25">
      <c r="A3481" t="str">
        <f>""</f>
        <v/>
      </c>
      <c r="B3481" s="1"/>
      <c r="H3481">
        <v>16.7</v>
      </c>
      <c r="J3481" t="s">
        <v>22</v>
      </c>
      <c r="L3481" s="1"/>
      <c r="N3481" s="1"/>
      <c r="V3481" t="str">
        <f>"37140"</f>
        <v>37140</v>
      </c>
      <c r="W3481">
        <v>0</v>
      </c>
      <c r="X3481">
        <v>0</v>
      </c>
    </row>
    <row r="3482" spans="1:24" ht="15" customHeight="1" x14ac:dyDescent="0.25">
      <c r="A3482" t="str">
        <f>""</f>
        <v/>
      </c>
      <c r="B3482" s="1"/>
      <c r="H3482">
        <v>80</v>
      </c>
      <c r="J3482" t="s">
        <v>20</v>
      </c>
      <c r="L3482" s="1"/>
      <c r="N3482" s="1"/>
      <c r="V3482" t="str">
        <f>"94150"</f>
        <v>94150</v>
      </c>
      <c r="W3482">
        <v>0</v>
      </c>
      <c r="X3482">
        <v>0</v>
      </c>
    </row>
    <row r="3483" spans="1:24" x14ac:dyDescent="0.25">
      <c r="A3483" t="str">
        <f>""</f>
        <v/>
      </c>
      <c r="B3483" s="1"/>
      <c r="H3483">
        <v>188.5</v>
      </c>
      <c r="J3483" t="s">
        <v>16</v>
      </c>
      <c r="L3483" s="1"/>
      <c r="N3483" s="1"/>
      <c r="V3483" t="str">
        <f>"35000"</f>
        <v>35000</v>
      </c>
      <c r="W3483">
        <v>0</v>
      </c>
      <c r="X3483">
        <v>0</v>
      </c>
    </row>
    <row r="3484" spans="1:24" ht="15" customHeight="1" x14ac:dyDescent="0.25">
      <c r="A3484" t="str">
        <f>""</f>
        <v/>
      </c>
      <c r="B3484" s="1"/>
      <c r="J3484" t="s">
        <v>20</v>
      </c>
      <c r="L3484" s="1"/>
      <c r="N3484" s="1"/>
      <c r="V3484" t="str">
        <f>"27520"</f>
        <v>27520</v>
      </c>
      <c r="W3484">
        <v>0</v>
      </c>
      <c r="X3484">
        <v>0</v>
      </c>
    </row>
    <row r="3485" spans="1:24" ht="15" customHeight="1" x14ac:dyDescent="0.25">
      <c r="A3485" t="str">
        <f>""</f>
        <v/>
      </c>
      <c r="B3485" s="1"/>
      <c r="H3485">
        <v>140</v>
      </c>
      <c r="J3485" t="s">
        <v>23</v>
      </c>
      <c r="L3485" s="1"/>
      <c r="V3485" t="str">
        <f>"21000"</f>
        <v>21000</v>
      </c>
      <c r="W3485">
        <v>0</v>
      </c>
      <c r="X3485">
        <v>0</v>
      </c>
    </row>
    <row r="3486" spans="1:24" ht="15" customHeight="1" x14ac:dyDescent="0.25">
      <c r="A3486" t="str">
        <f>""</f>
        <v/>
      </c>
      <c r="B3486" s="1"/>
      <c r="H3486">
        <v>140</v>
      </c>
      <c r="J3486" t="s">
        <v>22</v>
      </c>
      <c r="L3486" s="1"/>
      <c r="N3486" s="1"/>
      <c r="V3486" t="str">
        <f>"28320"</f>
        <v>28320</v>
      </c>
      <c r="W3486">
        <v>0</v>
      </c>
      <c r="X3486">
        <v>0</v>
      </c>
    </row>
    <row r="3487" spans="1:24" ht="15" customHeight="1" x14ac:dyDescent="0.25">
      <c r="A3487" t="str">
        <f>""</f>
        <v/>
      </c>
      <c r="B3487" s="1"/>
      <c r="H3487">
        <v>40</v>
      </c>
      <c r="J3487" t="s">
        <v>20</v>
      </c>
      <c r="L3487" s="1"/>
      <c r="N3487" s="1"/>
      <c r="V3487" t="str">
        <f>"76320"</f>
        <v>76320</v>
      </c>
      <c r="W3487">
        <v>6.8</v>
      </c>
      <c r="X3487">
        <v>0</v>
      </c>
    </row>
    <row r="3488" spans="1:24" ht="15" customHeight="1" x14ac:dyDescent="0.25">
      <c r="A3488" t="str">
        <f>""</f>
        <v/>
      </c>
      <c r="B3488" s="1"/>
      <c r="H3488">
        <v>140</v>
      </c>
      <c r="J3488" t="s">
        <v>23</v>
      </c>
      <c r="L3488" s="1"/>
      <c r="V3488" t="str">
        <f>"06200"</f>
        <v>06200</v>
      </c>
      <c r="W3488">
        <v>0</v>
      </c>
      <c r="X3488">
        <v>0</v>
      </c>
    </row>
    <row r="3489" spans="1:24" x14ac:dyDescent="0.25">
      <c r="A3489" t="str">
        <f>""</f>
        <v/>
      </c>
      <c r="B3489" s="1"/>
      <c r="H3489">
        <v>170.88</v>
      </c>
      <c r="J3489" t="s">
        <v>18</v>
      </c>
      <c r="L3489" s="1"/>
      <c r="V3489" t="str">
        <f>"76700"</f>
        <v>76700</v>
      </c>
      <c r="W3489">
        <v>0</v>
      </c>
      <c r="X3489">
        <v>0</v>
      </c>
    </row>
    <row r="3490" spans="1:24" ht="15" customHeight="1" x14ac:dyDescent="0.25">
      <c r="A3490" t="str">
        <f>""</f>
        <v/>
      </c>
      <c r="B3490" s="1"/>
      <c r="H3490">
        <v>45.85</v>
      </c>
      <c r="J3490" t="s">
        <v>20</v>
      </c>
      <c r="L3490" s="1"/>
      <c r="N3490" s="1"/>
      <c r="V3490" t="str">
        <f>"62740"</f>
        <v>62740</v>
      </c>
      <c r="W3490">
        <v>8.7100000000000009</v>
      </c>
      <c r="X3490">
        <v>0</v>
      </c>
    </row>
    <row r="3491" spans="1:24" x14ac:dyDescent="0.25">
      <c r="A3491" t="str">
        <f>""</f>
        <v/>
      </c>
      <c r="B3491" s="1"/>
      <c r="H3491">
        <v>180</v>
      </c>
      <c r="J3491" t="s">
        <v>16</v>
      </c>
      <c r="L3491" s="1"/>
      <c r="N3491" s="1"/>
      <c r="V3491" t="str">
        <f>"69002"</f>
        <v>69002</v>
      </c>
      <c r="W3491">
        <v>0</v>
      </c>
      <c r="X3491">
        <v>0</v>
      </c>
    </row>
    <row r="3492" spans="1:24" x14ac:dyDescent="0.25">
      <c r="A3492" t="str">
        <f>""</f>
        <v/>
      </c>
      <c r="B3492" s="1"/>
      <c r="J3492" t="s">
        <v>18</v>
      </c>
      <c r="L3492" s="1"/>
      <c r="N3492" s="1"/>
      <c r="V3492" t="str">
        <f>"34400"</f>
        <v>34400</v>
      </c>
      <c r="W3492">
        <v>0</v>
      </c>
      <c r="X3492">
        <v>0</v>
      </c>
    </row>
    <row r="3493" spans="1:24" x14ac:dyDescent="0.25">
      <c r="A3493" t="str">
        <f>""</f>
        <v/>
      </c>
      <c r="B3493" s="1"/>
      <c r="H3493">
        <v>109.06</v>
      </c>
      <c r="J3493" t="s">
        <v>18</v>
      </c>
      <c r="L3493" s="1"/>
      <c r="N3493" s="1"/>
      <c r="V3493" t="str">
        <f>"69003"</f>
        <v>69003</v>
      </c>
      <c r="W3493">
        <v>0</v>
      </c>
      <c r="X3493">
        <v>0</v>
      </c>
    </row>
    <row r="3494" spans="1:24" x14ac:dyDescent="0.25">
      <c r="A3494" t="str">
        <f>""</f>
        <v/>
      </c>
      <c r="B3494" s="1"/>
      <c r="H3494">
        <v>143.57</v>
      </c>
      <c r="J3494" t="s">
        <v>15</v>
      </c>
      <c r="L3494" s="1"/>
      <c r="N3494" s="1"/>
      <c r="V3494" t="str">
        <f>"14000"</f>
        <v>14000</v>
      </c>
      <c r="W3494">
        <v>0</v>
      </c>
      <c r="X3494">
        <v>0</v>
      </c>
    </row>
    <row r="3495" spans="1:24" ht="15" customHeight="1" x14ac:dyDescent="0.25">
      <c r="A3495" t="str">
        <f>""</f>
        <v/>
      </c>
      <c r="B3495" s="1"/>
      <c r="H3495">
        <v>86.6</v>
      </c>
      <c r="J3495" t="s">
        <v>19</v>
      </c>
      <c r="L3495" s="1"/>
      <c r="N3495" s="1"/>
      <c r="V3495" t="str">
        <f>"75002"</f>
        <v>75002</v>
      </c>
      <c r="W3495">
        <v>0</v>
      </c>
      <c r="X3495">
        <v>0</v>
      </c>
    </row>
    <row r="3496" spans="1:24" x14ac:dyDescent="0.25">
      <c r="A3496" t="str">
        <f>""</f>
        <v/>
      </c>
      <c r="B3496" s="1"/>
      <c r="H3496">
        <v>90</v>
      </c>
      <c r="J3496" t="s">
        <v>16</v>
      </c>
      <c r="L3496" s="1"/>
      <c r="N3496" s="1"/>
      <c r="V3496" t="str">
        <f>"73000"</f>
        <v>73000</v>
      </c>
      <c r="W3496">
        <v>0</v>
      </c>
      <c r="X3496">
        <v>0</v>
      </c>
    </row>
    <row r="3497" spans="1:24" ht="15" customHeight="1" x14ac:dyDescent="0.25">
      <c r="A3497" t="str">
        <f>""</f>
        <v/>
      </c>
      <c r="B3497" s="1"/>
      <c r="H3497">
        <v>151</v>
      </c>
      <c r="J3497" t="s">
        <v>22</v>
      </c>
      <c r="L3497" s="1"/>
      <c r="N3497" s="1"/>
      <c r="V3497" t="str">
        <f>"77600"</f>
        <v>77600</v>
      </c>
      <c r="W3497">
        <v>0</v>
      </c>
      <c r="X3497">
        <v>0</v>
      </c>
    </row>
    <row r="3498" spans="1:24" ht="15" customHeight="1" x14ac:dyDescent="0.25">
      <c r="A3498" t="str">
        <f>""</f>
        <v/>
      </c>
      <c r="B3498" s="1"/>
      <c r="H3498">
        <v>180</v>
      </c>
      <c r="J3498" t="s">
        <v>22</v>
      </c>
      <c r="L3498" s="1"/>
      <c r="V3498" t="str">
        <f>"69100"</f>
        <v>69100</v>
      </c>
      <c r="W3498">
        <v>0</v>
      </c>
      <c r="X3498">
        <v>0</v>
      </c>
    </row>
    <row r="3499" spans="1:24" ht="15" customHeight="1" x14ac:dyDescent="0.25">
      <c r="A3499" t="str">
        <f>""</f>
        <v/>
      </c>
      <c r="B3499" s="1"/>
      <c r="H3499">
        <v>90.99</v>
      </c>
      <c r="J3499" t="s">
        <v>22</v>
      </c>
      <c r="L3499" s="1"/>
      <c r="V3499" t="str">
        <f>"69100"</f>
        <v>69100</v>
      </c>
      <c r="W3499">
        <v>0</v>
      </c>
      <c r="X3499">
        <v>0</v>
      </c>
    </row>
    <row r="3500" spans="1:24" ht="15" customHeight="1" x14ac:dyDescent="0.25">
      <c r="A3500" t="str">
        <f>""</f>
        <v/>
      </c>
      <c r="B3500" s="1"/>
      <c r="H3500">
        <v>180</v>
      </c>
      <c r="J3500" t="s">
        <v>22</v>
      </c>
      <c r="L3500" s="1"/>
      <c r="V3500" t="str">
        <f>"42230"</f>
        <v>42230</v>
      </c>
      <c r="W3500">
        <v>0</v>
      </c>
      <c r="X3500">
        <v>0</v>
      </c>
    </row>
    <row r="3501" spans="1:24" ht="15" customHeight="1" x14ac:dyDescent="0.25">
      <c r="A3501" t="str">
        <f>""</f>
        <v/>
      </c>
      <c r="B3501" s="1"/>
      <c r="H3501">
        <v>42.96</v>
      </c>
      <c r="J3501" t="s">
        <v>23</v>
      </c>
      <c r="L3501" s="1"/>
      <c r="V3501" t="str">
        <f>"01120"</f>
        <v>01120</v>
      </c>
      <c r="W3501">
        <v>0</v>
      </c>
      <c r="X3501">
        <v>0</v>
      </c>
    </row>
    <row r="3502" spans="1:24" ht="15" customHeight="1" x14ac:dyDescent="0.25">
      <c r="A3502" t="str">
        <f>""</f>
        <v/>
      </c>
      <c r="B3502" s="1"/>
      <c r="H3502">
        <v>151</v>
      </c>
      <c r="J3502" t="s">
        <v>23</v>
      </c>
      <c r="L3502" s="1"/>
      <c r="V3502" t="str">
        <f>"69120"</f>
        <v>69120</v>
      </c>
      <c r="W3502">
        <v>0</v>
      </c>
      <c r="X3502">
        <v>0</v>
      </c>
    </row>
    <row r="3503" spans="1:24" ht="15" customHeight="1" x14ac:dyDescent="0.25">
      <c r="A3503" t="str">
        <f>""</f>
        <v/>
      </c>
      <c r="B3503" s="1"/>
      <c r="J3503" t="s">
        <v>20</v>
      </c>
      <c r="L3503" s="1"/>
      <c r="N3503" s="1"/>
      <c r="V3503" t="str">
        <f>"91160"</f>
        <v>91160</v>
      </c>
      <c r="W3503">
        <v>0</v>
      </c>
      <c r="X3503">
        <v>0</v>
      </c>
    </row>
    <row r="3504" spans="1:24" x14ac:dyDescent="0.25">
      <c r="A3504" t="str">
        <f>""</f>
        <v/>
      </c>
      <c r="B3504" s="1"/>
      <c r="H3504">
        <v>123.1</v>
      </c>
      <c r="J3504" t="s">
        <v>18</v>
      </c>
      <c r="L3504" s="1"/>
      <c r="N3504" s="1"/>
      <c r="V3504" t="str">
        <f>"74200"</f>
        <v>74200</v>
      </c>
      <c r="W3504">
        <v>0</v>
      </c>
      <c r="X3504">
        <v>0</v>
      </c>
    </row>
    <row r="3505" spans="1:24" ht="15" customHeight="1" x14ac:dyDescent="0.25">
      <c r="A3505" t="str">
        <f>""</f>
        <v/>
      </c>
      <c r="B3505" s="1"/>
      <c r="H3505">
        <v>40</v>
      </c>
      <c r="J3505" t="s">
        <v>23</v>
      </c>
      <c r="L3505" s="1"/>
      <c r="N3505" s="1"/>
      <c r="V3505" t="str">
        <f>"47300"</f>
        <v>47300</v>
      </c>
      <c r="W3505">
        <v>0</v>
      </c>
      <c r="X3505">
        <v>6.8</v>
      </c>
    </row>
    <row r="3506" spans="1:24" ht="15" customHeight="1" x14ac:dyDescent="0.25">
      <c r="A3506" t="str">
        <f>""</f>
        <v/>
      </c>
      <c r="B3506" s="1"/>
      <c r="H3506">
        <v>151</v>
      </c>
      <c r="J3506" t="s">
        <v>22</v>
      </c>
      <c r="L3506" s="1"/>
      <c r="N3506" s="1"/>
      <c r="V3506" t="str">
        <f>"06690"</f>
        <v>06690</v>
      </c>
      <c r="W3506">
        <v>0</v>
      </c>
      <c r="X3506">
        <v>0</v>
      </c>
    </row>
    <row r="3507" spans="1:24" ht="15" customHeight="1" x14ac:dyDescent="0.25">
      <c r="A3507" t="str">
        <f>""</f>
        <v/>
      </c>
      <c r="B3507" s="1"/>
      <c r="H3507">
        <v>18.8</v>
      </c>
      <c r="J3507" t="s">
        <v>23</v>
      </c>
      <c r="L3507" s="1"/>
      <c r="V3507" t="str">
        <f>"69380"</f>
        <v>69380</v>
      </c>
      <c r="W3507">
        <v>0</v>
      </c>
      <c r="X3507">
        <v>0</v>
      </c>
    </row>
    <row r="3508" spans="1:24" ht="15" customHeight="1" x14ac:dyDescent="0.25">
      <c r="A3508" t="str">
        <f>""</f>
        <v/>
      </c>
      <c r="B3508" s="1"/>
      <c r="H3508">
        <v>70</v>
      </c>
      <c r="J3508" t="s">
        <v>22</v>
      </c>
      <c r="L3508" s="1"/>
      <c r="V3508" t="str">
        <f>"75009"</f>
        <v>75009</v>
      </c>
      <c r="W3508">
        <v>0</v>
      </c>
      <c r="X3508">
        <v>0</v>
      </c>
    </row>
    <row r="3509" spans="1:24" x14ac:dyDescent="0.25">
      <c r="A3509" t="str">
        <f>""</f>
        <v/>
      </c>
      <c r="B3509" s="1"/>
      <c r="H3509">
        <v>23.4</v>
      </c>
      <c r="J3509" t="s">
        <v>17</v>
      </c>
      <c r="L3509" s="1"/>
      <c r="N3509" s="1"/>
      <c r="V3509" t="str">
        <f>"38230"</f>
        <v>38230</v>
      </c>
      <c r="W3509">
        <v>0</v>
      </c>
      <c r="X3509">
        <v>0</v>
      </c>
    </row>
    <row r="3510" spans="1:24" ht="15" customHeight="1" x14ac:dyDescent="0.25">
      <c r="A3510" t="str">
        <f>""</f>
        <v/>
      </c>
      <c r="B3510" s="1"/>
      <c r="H3510">
        <v>40</v>
      </c>
      <c r="J3510" t="s">
        <v>22</v>
      </c>
      <c r="L3510" s="1"/>
      <c r="V3510" t="str">
        <f>"27400"</f>
        <v>27400</v>
      </c>
      <c r="W3510">
        <v>0</v>
      </c>
      <c r="X3510">
        <v>0</v>
      </c>
    </row>
    <row r="3511" spans="1:24" x14ac:dyDescent="0.25">
      <c r="A3511" t="str">
        <f>""</f>
        <v/>
      </c>
      <c r="B3511" s="1"/>
      <c r="H3511">
        <v>108.32</v>
      </c>
      <c r="J3511" t="s">
        <v>17</v>
      </c>
      <c r="L3511" s="1"/>
      <c r="N3511" s="1"/>
      <c r="V3511" t="str">
        <f>"57000"</f>
        <v>57000</v>
      </c>
      <c r="W3511">
        <v>0</v>
      </c>
      <c r="X3511">
        <v>0</v>
      </c>
    </row>
    <row r="3512" spans="1:24" ht="15" customHeight="1" x14ac:dyDescent="0.25">
      <c r="A3512" t="str">
        <f>""</f>
        <v/>
      </c>
      <c r="B3512" s="1"/>
      <c r="H3512">
        <v>103</v>
      </c>
      <c r="J3512" t="s">
        <v>22</v>
      </c>
      <c r="L3512" s="1"/>
      <c r="V3512" t="str">
        <f>"76200"</f>
        <v>76200</v>
      </c>
      <c r="W3512">
        <v>0</v>
      </c>
      <c r="X3512">
        <v>0</v>
      </c>
    </row>
    <row r="3513" spans="1:24" x14ac:dyDescent="0.25">
      <c r="A3513" t="str">
        <f>""</f>
        <v/>
      </c>
      <c r="B3513" s="1"/>
      <c r="H3513">
        <v>190.63</v>
      </c>
      <c r="J3513" t="s">
        <v>16</v>
      </c>
      <c r="L3513" s="1"/>
      <c r="N3513" s="1"/>
      <c r="V3513" t="str">
        <f>"34560"</f>
        <v>34560</v>
      </c>
      <c r="W3513">
        <v>0</v>
      </c>
      <c r="X3513">
        <v>0</v>
      </c>
    </row>
    <row r="3514" spans="1:24" x14ac:dyDescent="0.25">
      <c r="A3514" t="str">
        <f>""</f>
        <v/>
      </c>
      <c r="B3514" s="1"/>
      <c r="H3514">
        <v>200.33</v>
      </c>
      <c r="J3514" t="s">
        <v>16</v>
      </c>
      <c r="L3514" s="1"/>
      <c r="N3514" s="1"/>
      <c r="V3514" t="str">
        <f>"67541"</f>
        <v>67541</v>
      </c>
      <c r="W3514">
        <v>58.1</v>
      </c>
      <c r="X3514">
        <v>0</v>
      </c>
    </row>
    <row r="3515" spans="1:24" ht="15" customHeight="1" x14ac:dyDescent="0.25">
      <c r="A3515" t="str">
        <f>""</f>
        <v/>
      </c>
      <c r="B3515" s="1"/>
      <c r="H3515">
        <v>151</v>
      </c>
      <c r="J3515" t="s">
        <v>22</v>
      </c>
      <c r="L3515" s="1"/>
      <c r="V3515" t="str">
        <f>"35044"</f>
        <v>35044</v>
      </c>
      <c r="W3515">
        <v>0</v>
      </c>
      <c r="X3515">
        <v>0</v>
      </c>
    </row>
    <row r="3516" spans="1:24" x14ac:dyDescent="0.25">
      <c r="A3516" t="str">
        <f>""</f>
        <v/>
      </c>
      <c r="B3516" s="1"/>
      <c r="H3516">
        <v>151</v>
      </c>
      <c r="J3516" t="s">
        <v>15</v>
      </c>
      <c r="L3516" s="1"/>
      <c r="N3516" s="1"/>
      <c r="V3516" t="str">
        <f>"69800"</f>
        <v>69800</v>
      </c>
      <c r="W3516">
        <v>0</v>
      </c>
      <c r="X3516">
        <v>0</v>
      </c>
    </row>
    <row r="3517" spans="1:24" x14ac:dyDescent="0.25">
      <c r="A3517" t="str">
        <f>""</f>
        <v/>
      </c>
      <c r="B3517" s="1"/>
      <c r="H3517">
        <v>186.99</v>
      </c>
      <c r="J3517" t="s">
        <v>16</v>
      </c>
      <c r="L3517" s="1"/>
      <c r="N3517" s="1"/>
      <c r="V3517" t="str">
        <f>"54390"</f>
        <v>54390</v>
      </c>
      <c r="W3517">
        <v>0</v>
      </c>
      <c r="X3517">
        <v>0</v>
      </c>
    </row>
    <row r="3518" spans="1:24" ht="15" customHeight="1" x14ac:dyDescent="0.25">
      <c r="A3518" t="str">
        <f>""</f>
        <v/>
      </c>
      <c r="B3518" s="1"/>
      <c r="H3518">
        <v>126.17</v>
      </c>
      <c r="J3518" t="s">
        <v>23</v>
      </c>
      <c r="L3518" s="1"/>
      <c r="N3518" s="1"/>
      <c r="V3518" t="str">
        <f>"01000"</f>
        <v>01000</v>
      </c>
      <c r="W3518">
        <v>0</v>
      </c>
      <c r="X3518">
        <v>0</v>
      </c>
    </row>
    <row r="3519" spans="1:24" ht="15" customHeight="1" x14ac:dyDescent="0.25">
      <c r="A3519" t="str">
        <f>""</f>
        <v/>
      </c>
      <c r="B3519" s="1"/>
      <c r="H3519">
        <v>140</v>
      </c>
      <c r="J3519" t="s">
        <v>23</v>
      </c>
      <c r="L3519" s="1"/>
      <c r="V3519" t="str">
        <f>"56300"</f>
        <v>56300</v>
      </c>
      <c r="W3519">
        <v>0</v>
      </c>
      <c r="X3519">
        <v>0</v>
      </c>
    </row>
    <row r="3520" spans="1:24" ht="15" customHeight="1" x14ac:dyDescent="0.25">
      <c r="A3520" t="str">
        <f>""</f>
        <v/>
      </c>
      <c r="B3520" s="1"/>
      <c r="H3520">
        <v>155</v>
      </c>
      <c r="L3520" s="1"/>
      <c r="N3520" s="1"/>
      <c r="V3520" t="str">
        <f>"77184"</f>
        <v>77184</v>
      </c>
      <c r="W3520">
        <v>0</v>
      </c>
      <c r="X3520">
        <v>0</v>
      </c>
    </row>
    <row r="3521" spans="1:24" ht="15" customHeight="1" x14ac:dyDescent="0.25">
      <c r="A3521" t="str">
        <f>""</f>
        <v/>
      </c>
      <c r="B3521" s="1"/>
      <c r="H3521">
        <v>151</v>
      </c>
      <c r="J3521" t="s">
        <v>19</v>
      </c>
      <c r="L3521" s="1"/>
      <c r="N3521" s="1"/>
      <c r="V3521" t="str">
        <f>"29800"</f>
        <v>29800</v>
      </c>
      <c r="W3521">
        <v>58.89</v>
      </c>
      <c r="X3521">
        <v>0</v>
      </c>
    </row>
    <row r="3522" spans="1:24" x14ac:dyDescent="0.25">
      <c r="A3522" t="str">
        <f>""</f>
        <v/>
      </c>
      <c r="B3522" s="1"/>
      <c r="H3522">
        <v>180.86</v>
      </c>
      <c r="J3522" t="s">
        <v>17</v>
      </c>
      <c r="L3522" s="1"/>
      <c r="N3522" s="1"/>
      <c r="V3522" t="str">
        <f>"75116"</f>
        <v>75116</v>
      </c>
      <c r="W3522">
        <v>0</v>
      </c>
      <c r="X3522">
        <v>0</v>
      </c>
    </row>
    <row r="3523" spans="1:24" ht="15" customHeight="1" x14ac:dyDescent="0.25">
      <c r="A3523" t="str">
        <f>""</f>
        <v/>
      </c>
      <c r="B3523" s="1"/>
      <c r="H3523">
        <v>30.2</v>
      </c>
      <c r="J3523" t="s">
        <v>23</v>
      </c>
      <c r="L3523" s="1"/>
      <c r="V3523" t="str">
        <f>"50000"</f>
        <v>50000</v>
      </c>
      <c r="W3523">
        <v>0</v>
      </c>
      <c r="X3523">
        <v>0</v>
      </c>
    </row>
    <row r="3524" spans="1:24" x14ac:dyDescent="0.25">
      <c r="A3524" t="str">
        <f>""</f>
        <v/>
      </c>
      <c r="B3524" s="1"/>
      <c r="H3524">
        <v>220</v>
      </c>
      <c r="J3524" t="s">
        <v>18</v>
      </c>
      <c r="L3524" s="1"/>
      <c r="N3524" s="1"/>
      <c r="V3524" t="str">
        <f>"93400 "</f>
        <v xml:space="preserve">93400 </v>
      </c>
      <c r="W3524">
        <v>0</v>
      </c>
      <c r="X3524">
        <v>0</v>
      </c>
    </row>
    <row r="3525" spans="1:24" x14ac:dyDescent="0.25">
      <c r="A3525" t="str">
        <f>""</f>
        <v/>
      </c>
      <c r="B3525" s="1"/>
      <c r="H3525">
        <v>142.44999999999999</v>
      </c>
      <c r="J3525" t="s">
        <v>18</v>
      </c>
      <c r="L3525" s="1"/>
      <c r="N3525" s="1"/>
      <c r="V3525" t="str">
        <f>"59220"</f>
        <v>59220</v>
      </c>
      <c r="W3525">
        <v>0</v>
      </c>
      <c r="X3525">
        <v>0</v>
      </c>
    </row>
    <row r="3526" spans="1:24" ht="15" customHeight="1" x14ac:dyDescent="0.25">
      <c r="A3526" t="str">
        <f>""</f>
        <v/>
      </c>
      <c r="B3526" s="1"/>
      <c r="J3526" t="s">
        <v>20</v>
      </c>
      <c r="L3526" s="1"/>
      <c r="N3526" s="1"/>
      <c r="V3526" t="str">
        <f>"27101"</f>
        <v>27101</v>
      </c>
      <c r="W3526">
        <v>0</v>
      </c>
      <c r="X3526">
        <v>0</v>
      </c>
    </row>
    <row r="3527" spans="1:24" ht="15" customHeight="1" x14ac:dyDescent="0.25">
      <c r="A3527" t="str">
        <f>""</f>
        <v/>
      </c>
      <c r="B3527" s="1"/>
      <c r="H3527">
        <v>70</v>
      </c>
      <c r="J3527" t="s">
        <v>22</v>
      </c>
      <c r="L3527" s="1"/>
      <c r="N3527" s="1"/>
      <c r="V3527" t="str">
        <f>"59000"</f>
        <v>59000</v>
      </c>
      <c r="W3527">
        <v>0</v>
      </c>
      <c r="X3527">
        <v>13.3</v>
      </c>
    </row>
    <row r="3528" spans="1:24" ht="15" customHeight="1" x14ac:dyDescent="0.25">
      <c r="A3528" t="str">
        <f>""</f>
        <v/>
      </c>
      <c r="B3528" s="1"/>
      <c r="H3528">
        <v>180</v>
      </c>
      <c r="J3528" t="s">
        <v>23</v>
      </c>
      <c r="L3528" s="1"/>
      <c r="N3528" s="1"/>
      <c r="V3528" t="str">
        <f>"59440"</f>
        <v>59440</v>
      </c>
      <c r="W3528">
        <v>0</v>
      </c>
      <c r="X3528">
        <v>34.200000000000003</v>
      </c>
    </row>
    <row r="3529" spans="1:24" ht="15" customHeight="1" x14ac:dyDescent="0.25">
      <c r="A3529" t="str">
        <f>""</f>
        <v/>
      </c>
      <c r="B3529" s="1"/>
      <c r="H3529">
        <v>140</v>
      </c>
      <c r="J3529" t="s">
        <v>22</v>
      </c>
      <c r="L3529" s="1"/>
      <c r="N3529" s="1"/>
      <c r="V3529" t="str">
        <f>"71200"</f>
        <v>71200</v>
      </c>
      <c r="W3529">
        <v>0</v>
      </c>
      <c r="X3529">
        <v>37.799999999999997</v>
      </c>
    </row>
    <row r="3530" spans="1:24" ht="15" customHeight="1" x14ac:dyDescent="0.25">
      <c r="A3530" t="str">
        <f>""</f>
        <v/>
      </c>
      <c r="B3530" s="1"/>
      <c r="H3530">
        <v>140</v>
      </c>
      <c r="J3530" t="s">
        <v>23</v>
      </c>
      <c r="L3530" s="1"/>
      <c r="N3530" s="1"/>
      <c r="V3530" t="str">
        <f>"94110"</f>
        <v>94110</v>
      </c>
      <c r="W3530">
        <v>0</v>
      </c>
      <c r="X3530">
        <v>0</v>
      </c>
    </row>
    <row r="3531" spans="1:24" ht="15" customHeight="1" x14ac:dyDescent="0.25">
      <c r="A3531" t="str">
        <f>""</f>
        <v/>
      </c>
      <c r="B3531" s="1"/>
      <c r="H3531">
        <v>140</v>
      </c>
      <c r="J3531" t="s">
        <v>23</v>
      </c>
      <c r="L3531" s="1"/>
      <c r="N3531" s="1"/>
      <c r="V3531" t="str">
        <f>"76600"</f>
        <v>76600</v>
      </c>
      <c r="W3531">
        <v>0</v>
      </c>
      <c r="X3531">
        <v>0</v>
      </c>
    </row>
    <row r="3532" spans="1:24" ht="15" customHeight="1" x14ac:dyDescent="0.25">
      <c r="A3532" t="str">
        <f>""</f>
        <v/>
      </c>
      <c r="B3532" s="1"/>
      <c r="H3532">
        <v>140</v>
      </c>
      <c r="J3532" t="s">
        <v>23</v>
      </c>
      <c r="L3532" s="1"/>
      <c r="N3532" s="1"/>
      <c r="V3532" t="str">
        <f>"27460"</f>
        <v>27460</v>
      </c>
      <c r="W3532">
        <v>0</v>
      </c>
      <c r="X3532">
        <v>23.8</v>
      </c>
    </row>
    <row r="3533" spans="1:24" ht="15" customHeight="1" x14ac:dyDescent="0.25">
      <c r="A3533" t="str">
        <f>""</f>
        <v/>
      </c>
      <c r="B3533" s="1"/>
      <c r="H3533">
        <v>92.94</v>
      </c>
      <c r="J3533" t="s">
        <v>22</v>
      </c>
      <c r="L3533" s="1"/>
      <c r="N3533" s="1"/>
      <c r="V3533" t="str">
        <f>"56360"</f>
        <v>56360</v>
      </c>
      <c r="W3533">
        <v>0</v>
      </c>
      <c r="X3533">
        <v>0</v>
      </c>
    </row>
    <row r="3534" spans="1:24" ht="15" customHeight="1" x14ac:dyDescent="0.25">
      <c r="A3534" t="str">
        <f>""</f>
        <v/>
      </c>
      <c r="B3534" s="1"/>
      <c r="H3534">
        <v>140</v>
      </c>
      <c r="J3534" t="s">
        <v>23</v>
      </c>
      <c r="L3534" s="1"/>
      <c r="N3534" s="1"/>
      <c r="V3534" t="str">
        <f>"15800"</f>
        <v>15800</v>
      </c>
      <c r="W3534">
        <v>0</v>
      </c>
      <c r="X3534">
        <v>0</v>
      </c>
    </row>
    <row r="3535" spans="1:24" ht="15" customHeight="1" x14ac:dyDescent="0.25">
      <c r="A3535" t="str">
        <f>""</f>
        <v/>
      </c>
      <c r="B3535" s="1"/>
      <c r="H3535">
        <v>40</v>
      </c>
      <c r="J3535" t="s">
        <v>23</v>
      </c>
      <c r="L3535" s="1"/>
      <c r="V3535" t="str">
        <f>"73800"</f>
        <v>73800</v>
      </c>
      <c r="W3535">
        <v>0</v>
      </c>
      <c r="X3535">
        <v>0</v>
      </c>
    </row>
    <row r="3536" spans="1:24" ht="15" customHeight="1" x14ac:dyDescent="0.25">
      <c r="A3536" t="str">
        <f>""</f>
        <v/>
      </c>
      <c r="B3536" s="1"/>
      <c r="H3536">
        <v>190.58</v>
      </c>
      <c r="J3536" t="s">
        <v>22</v>
      </c>
      <c r="L3536" s="1"/>
      <c r="N3536" s="1"/>
      <c r="V3536" t="str">
        <f>"54600"</f>
        <v>54600</v>
      </c>
      <c r="W3536">
        <v>0</v>
      </c>
      <c r="X3536">
        <v>47.65</v>
      </c>
    </row>
    <row r="3537" spans="1:24" ht="15" customHeight="1" x14ac:dyDescent="0.25">
      <c r="A3537" t="str">
        <f>""</f>
        <v/>
      </c>
      <c r="B3537" s="1"/>
      <c r="H3537">
        <v>180</v>
      </c>
      <c r="J3537" t="s">
        <v>23</v>
      </c>
      <c r="L3537" s="1"/>
      <c r="N3537" s="1"/>
      <c r="V3537" t="str">
        <f>"14000"</f>
        <v>14000</v>
      </c>
      <c r="W3537">
        <v>0</v>
      </c>
      <c r="X3537">
        <v>30.6</v>
      </c>
    </row>
    <row r="3538" spans="1:24" ht="15" customHeight="1" x14ac:dyDescent="0.25">
      <c r="A3538" t="str">
        <f>""</f>
        <v/>
      </c>
      <c r="B3538" s="1"/>
      <c r="H3538">
        <v>183.88</v>
      </c>
      <c r="J3538" t="s">
        <v>20</v>
      </c>
      <c r="L3538" s="1"/>
      <c r="N3538" s="1"/>
      <c r="V3538" t="str">
        <f>"55400"</f>
        <v>55400</v>
      </c>
      <c r="W3538">
        <v>45.97</v>
      </c>
      <c r="X3538">
        <v>0</v>
      </c>
    </row>
    <row r="3539" spans="1:24" ht="15" customHeight="1" x14ac:dyDescent="0.25">
      <c r="A3539" t="str">
        <f>""</f>
        <v/>
      </c>
      <c r="B3539" s="1"/>
      <c r="H3539">
        <v>183.25</v>
      </c>
      <c r="J3539" t="s">
        <v>19</v>
      </c>
      <c r="L3539" s="1"/>
      <c r="N3539" s="1"/>
      <c r="V3539" t="str">
        <f>"13001"</f>
        <v>13001</v>
      </c>
      <c r="W3539">
        <v>53.14</v>
      </c>
      <c r="X3539">
        <v>0</v>
      </c>
    </row>
    <row r="3540" spans="1:24" ht="15" customHeight="1" x14ac:dyDescent="0.25">
      <c r="A3540" t="str">
        <f>""</f>
        <v/>
      </c>
      <c r="B3540" s="1"/>
      <c r="H3540">
        <v>70</v>
      </c>
      <c r="J3540" t="s">
        <v>22</v>
      </c>
      <c r="L3540" s="1"/>
      <c r="N3540" s="1"/>
      <c r="V3540" t="str">
        <f>"39200"</f>
        <v>39200</v>
      </c>
      <c r="W3540">
        <v>0</v>
      </c>
      <c r="X3540">
        <v>0</v>
      </c>
    </row>
    <row r="3541" spans="1:24" ht="15" customHeight="1" x14ac:dyDescent="0.25">
      <c r="A3541" t="str">
        <f>""</f>
        <v/>
      </c>
      <c r="B3541" s="1"/>
      <c r="H3541">
        <v>70</v>
      </c>
      <c r="J3541" t="s">
        <v>22</v>
      </c>
      <c r="L3541" s="1"/>
      <c r="V3541" t="str">
        <f>"71200"</f>
        <v>71200</v>
      </c>
      <c r="W3541">
        <v>0</v>
      </c>
      <c r="X3541">
        <v>0</v>
      </c>
    </row>
    <row r="3542" spans="1:24" ht="15" customHeight="1" x14ac:dyDescent="0.25">
      <c r="A3542" t="str">
        <f>""</f>
        <v/>
      </c>
      <c r="B3542" s="1"/>
      <c r="H3542">
        <v>70</v>
      </c>
      <c r="J3542" t="s">
        <v>23</v>
      </c>
      <c r="L3542" s="1"/>
      <c r="N3542" s="1"/>
      <c r="V3542" t="str">
        <f>"77380"</f>
        <v>77380</v>
      </c>
      <c r="W3542">
        <v>0</v>
      </c>
      <c r="X3542">
        <v>0</v>
      </c>
    </row>
    <row r="3543" spans="1:24" ht="15" customHeight="1" x14ac:dyDescent="0.25">
      <c r="A3543" t="str">
        <f>""</f>
        <v/>
      </c>
      <c r="B3543" s="1"/>
      <c r="H3543">
        <v>40</v>
      </c>
      <c r="J3543" t="s">
        <v>22</v>
      </c>
      <c r="L3543" s="1"/>
      <c r="N3543" s="1"/>
      <c r="V3543" t="str">
        <f>"67000"</f>
        <v>67000</v>
      </c>
      <c r="W3543">
        <v>0</v>
      </c>
      <c r="X3543">
        <v>3.2</v>
      </c>
    </row>
    <row r="3544" spans="1:24" ht="15" customHeight="1" x14ac:dyDescent="0.25">
      <c r="A3544" t="str">
        <f>""</f>
        <v/>
      </c>
      <c r="B3544" s="1"/>
      <c r="H3544">
        <v>124.46</v>
      </c>
      <c r="J3544" t="s">
        <v>19</v>
      </c>
      <c r="L3544" s="1"/>
      <c r="N3544" s="1"/>
      <c r="V3544" t="str">
        <f>"38400"</f>
        <v>38400</v>
      </c>
      <c r="W3544">
        <v>33.6</v>
      </c>
      <c r="X3544">
        <v>0</v>
      </c>
    </row>
    <row r="3545" spans="1:24" x14ac:dyDescent="0.25">
      <c r="A3545" t="str">
        <f>""</f>
        <v/>
      </c>
      <c r="B3545" s="1"/>
      <c r="H3545">
        <v>140</v>
      </c>
      <c r="J3545" t="s">
        <v>16</v>
      </c>
      <c r="L3545" s="1"/>
      <c r="N3545" s="1"/>
      <c r="V3545" t="str">
        <f>"44323"</f>
        <v>44323</v>
      </c>
      <c r="W3545">
        <v>0</v>
      </c>
      <c r="X3545">
        <v>37.799999999999997</v>
      </c>
    </row>
    <row r="3546" spans="1:24" ht="15" customHeight="1" x14ac:dyDescent="0.25">
      <c r="A3546" t="str">
        <f>""</f>
        <v/>
      </c>
      <c r="B3546" s="1"/>
      <c r="H3546">
        <v>151</v>
      </c>
      <c r="J3546" t="s">
        <v>23</v>
      </c>
      <c r="L3546" s="1"/>
      <c r="N3546" s="1"/>
      <c r="V3546" t="str">
        <f>"14000"</f>
        <v>14000</v>
      </c>
      <c r="W3546">
        <v>0</v>
      </c>
      <c r="X3546">
        <v>25.67</v>
      </c>
    </row>
    <row r="3547" spans="1:24" ht="15" customHeight="1" x14ac:dyDescent="0.25">
      <c r="A3547" t="str">
        <f>""</f>
        <v/>
      </c>
      <c r="B3547" s="1"/>
      <c r="H3547">
        <v>190</v>
      </c>
      <c r="J3547" t="s">
        <v>23</v>
      </c>
      <c r="L3547" s="1"/>
      <c r="N3547" s="1"/>
      <c r="V3547" t="str">
        <f>"54000"</f>
        <v>54000</v>
      </c>
      <c r="W3547">
        <v>0</v>
      </c>
      <c r="X3547">
        <v>47.5</v>
      </c>
    </row>
    <row r="3548" spans="1:24" ht="15" customHeight="1" x14ac:dyDescent="0.25">
      <c r="A3548" t="str">
        <f>""</f>
        <v/>
      </c>
      <c r="B3548" s="1"/>
      <c r="H3548">
        <v>151</v>
      </c>
      <c r="J3548" t="s">
        <v>22</v>
      </c>
      <c r="L3548" s="1"/>
      <c r="V3548" t="str">
        <f>"13757"</f>
        <v>13757</v>
      </c>
      <c r="W3548">
        <v>0</v>
      </c>
      <c r="X3548">
        <v>0</v>
      </c>
    </row>
    <row r="3549" spans="1:24" ht="15" customHeight="1" x14ac:dyDescent="0.25">
      <c r="A3549" t="str">
        <f>""</f>
        <v/>
      </c>
      <c r="B3549" s="1"/>
      <c r="H3549">
        <v>40</v>
      </c>
      <c r="J3549" t="s">
        <v>23</v>
      </c>
      <c r="L3549" s="1"/>
      <c r="N3549" s="1"/>
      <c r="V3549" t="str">
        <f>"14140"</f>
        <v>14140</v>
      </c>
      <c r="W3549">
        <v>0</v>
      </c>
      <c r="X3549">
        <v>6.8</v>
      </c>
    </row>
    <row r="3550" spans="1:24" ht="15" customHeight="1" x14ac:dyDescent="0.25">
      <c r="A3550" t="str">
        <f>""</f>
        <v/>
      </c>
      <c r="B3550" s="1"/>
      <c r="H3550">
        <v>140</v>
      </c>
      <c r="J3550" t="s">
        <v>23</v>
      </c>
      <c r="L3550" s="1"/>
      <c r="N3550" s="1"/>
      <c r="V3550" t="str">
        <f>"69125"</f>
        <v>69125</v>
      </c>
      <c r="W3550">
        <v>0</v>
      </c>
      <c r="X3550">
        <v>0</v>
      </c>
    </row>
    <row r="3551" spans="1:24" ht="15" customHeight="1" x14ac:dyDescent="0.25">
      <c r="A3551" t="str">
        <f>""</f>
        <v/>
      </c>
      <c r="B3551" s="1"/>
      <c r="H3551">
        <v>62.6</v>
      </c>
      <c r="J3551" t="s">
        <v>23</v>
      </c>
      <c r="L3551" s="1"/>
      <c r="N3551" s="1"/>
      <c r="V3551" t="str">
        <f>"16480"</f>
        <v>16480</v>
      </c>
      <c r="W3551">
        <v>0</v>
      </c>
      <c r="X3551">
        <v>10.64</v>
      </c>
    </row>
    <row r="3552" spans="1:24" x14ac:dyDescent="0.25">
      <c r="A3552" t="str">
        <f>""</f>
        <v/>
      </c>
      <c r="B3552" s="1"/>
      <c r="H3552">
        <v>180</v>
      </c>
      <c r="J3552" t="s">
        <v>16</v>
      </c>
      <c r="L3552" s="1"/>
      <c r="N3552" s="1"/>
      <c r="V3552" t="str">
        <f>"76300"</f>
        <v>76300</v>
      </c>
      <c r="W3552">
        <v>0</v>
      </c>
      <c r="X3552">
        <v>0</v>
      </c>
    </row>
    <row r="3553" spans="1:24" ht="15" customHeight="1" x14ac:dyDescent="0.25">
      <c r="A3553" t="str">
        <f>""</f>
        <v/>
      </c>
      <c r="B3553" s="1"/>
      <c r="H3553">
        <v>14.6</v>
      </c>
      <c r="J3553" t="s">
        <v>22</v>
      </c>
      <c r="L3553" s="1"/>
      <c r="N3553" s="1"/>
      <c r="V3553" t="str">
        <f>"63000"</f>
        <v>63000</v>
      </c>
      <c r="W3553">
        <v>0</v>
      </c>
      <c r="X3553">
        <v>1.75</v>
      </c>
    </row>
    <row r="3554" spans="1:24" ht="15" customHeight="1" x14ac:dyDescent="0.25">
      <c r="A3554" t="str">
        <f>""</f>
        <v/>
      </c>
      <c r="B3554" s="1"/>
      <c r="H3554">
        <v>57</v>
      </c>
      <c r="L3554" s="1"/>
      <c r="N3554" s="1"/>
      <c r="V3554" t="str">
        <f>"77184"</f>
        <v>77184</v>
      </c>
      <c r="W3554">
        <v>0</v>
      </c>
      <c r="X3554">
        <v>0</v>
      </c>
    </row>
    <row r="3555" spans="1:24" ht="15" customHeight="1" x14ac:dyDescent="0.25">
      <c r="A3555" t="str">
        <f>""</f>
        <v/>
      </c>
      <c r="B3555" s="1"/>
      <c r="H3555">
        <v>22.5</v>
      </c>
      <c r="J3555" t="s">
        <v>22</v>
      </c>
      <c r="L3555" s="1"/>
      <c r="V3555" t="str">
        <f>"70000"</f>
        <v>70000</v>
      </c>
      <c r="W3555">
        <v>0</v>
      </c>
      <c r="X3555">
        <v>0</v>
      </c>
    </row>
    <row r="3556" spans="1:24" ht="15" customHeight="1" x14ac:dyDescent="0.25">
      <c r="A3556" t="str">
        <f>""</f>
        <v/>
      </c>
      <c r="B3556" s="1"/>
      <c r="H3556">
        <v>22.5</v>
      </c>
      <c r="J3556" t="s">
        <v>22</v>
      </c>
      <c r="L3556" s="1"/>
      <c r="V3556" t="str">
        <f>"70000"</f>
        <v>70000</v>
      </c>
      <c r="W3556">
        <v>0</v>
      </c>
      <c r="X3556">
        <v>0</v>
      </c>
    </row>
    <row r="3557" spans="1:24" ht="15" customHeight="1" x14ac:dyDescent="0.25">
      <c r="A3557" t="str">
        <f>""</f>
        <v/>
      </c>
      <c r="B3557" s="1"/>
      <c r="H3557">
        <v>50.84</v>
      </c>
      <c r="J3557" t="s">
        <v>19</v>
      </c>
      <c r="L3557" s="1"/>
      <c r="N3557" s="1"/>
      <c r="V3557" t="str">
        <f>"92000"</f>
        <v>92000</v>
      </c>
      <c r="W3557">
        <v>0</v>
      </c>
      <c r="X3557">
        <v>0</v>
      </c>
    </row>
    <row r="3558" spans="1:24" ht="15" customHeight="1" x14ac:dyDescent="0.25">
      <c r="A3558" t="str">
        <f>""</f>
        <v/>
      </c>
      <c r="B3558" s="1"/>
      <c r="H3558">
        <v>140</v>
      </c>
      <c r="J3558" t="s">
        <v>22</v>
      </c>
      <c r="L3558" s="1"/>
      <c r="N3558" s="1"/>
      <c r="V3558" t="str">
        <f>"63800"</f>
        <v>63800</v>
      </c>
      <c r="W3558">
        <v>0</v>
      </c>
      <c r="X3558">
        <v>16.8</v>
      </c>
    </row>
    <row r="3559" spans="1:24" x14ac:dyDescent="0.25">
      <c r="A3559" t="str">
        <f>""</f>
        <v/>
      </c>
      <c r="B3559" s="1"/>
      <c r="H3559">
        <v>52.5</v>
      </c>
      <c r="J3559" t="s">
        <v>15</v>
      </c>
      <c r="L3559" s="1"/>
      <c r="N3559" s="1"/>
      <c r="V3559" t="str">
        <f>"69003"</f>
        <v>69003</v>
      </c>
      <c r="W3559">
        <v>0</v>
      </c>
      <c r="X3559">
        <v>0</v>
      </c>
    </row>
    <row r="3560" spans="1:24" x14ac:dyDescent="0.25">
      <c r="A3560" t="str">
        <f>""</f>
        <v/>
      </c>
      <c r="B3560" s="1"/>
      <c r="H3560">
        <v>52.5</v>
      </c>
      <c r="J3560" t="s">
        <v>15</v>
      </c>
      <c r="L3560" s="1"/>
      <c r="N3560" s="1"/>
      <c r="V3560" t="str">
        <f>"69003"</f>
        <v>69003</v>
      </c>
      <c r="W3560">
        <v>0</v>
      </c>
      <c r="X3560">
        <v>0</v>
      </c>
    </row>
    <row r="3561" spans="1:24" x14ac:dyDescent="0.25">
      <c r="A3561" t="str">
        <f>""</f>
        <v/>
      </c>
      <c r="B3561" s="1"/>
      <c r="H3561">
        <v>52.5</v>
      </c>
      <c r="J3561" t="s">
        <v>15</v>
      </c>
      <c r="L3561" s="1"/>
      <c r="N3561" s="1"/>
      <c r="V3561" t="str">
        <f>"44700"</f>
        <v>44700</v>
      </c>
      <c r="W3561">
        <v>0</v>
      </c>
      <c r="X3561">
        <v>0</v>
      </c>
    </row>
    <row r="3562" spans="1:24" ht="15" customHeight="1" x14ac:dyDescent="0.25">
      <c r="A3562" t="str">
        <f>""</f>
        <v/>
      </c>
      <c r="B3562" s="1"/>
      <c r="H3562">
        <v>40</v>
      </c>
      <c r="J3562" t="s">
        <v>23</v>
      </c>
      <c r="L3562" s="1"/>
      <c r="V3562" t="str">
        <f>"75004"</f>
        <v>75004</v>
      </c>
      <c r="W3562">
        <v>0</v>
      </c>
      <c r="X3562">
        <v>0</v>
      </c>
    </row>
    <row r="3563" spans="1:24" ht="15" customHeight="1" x14ac:dyDescent="0.25">
      <c r="A3563" t="str">
        <f>""</f>
        <v/>
      </c>
      <c r="B3563" s="1"/>
      <c r="H3563">
        <v>140</v>
      </c>
      <c r="J3563" t="s">
        <v>23</v>
      </c>
      <c r="L3563" s="1"/>
      <c r="N3563" s="1"/>
      <c r="V3563" t="str">
        <f>"75010"</f>
        <v>75010</v>
      </c>
      <c r="W3563">
        <v>0</v>
      </c>
      <c r="X3563">
        <v>0</v>
      </c>
    </row>
    <row r="3564" spans="1:24" ht="15" customHeight="1" x14ac:dyDescent="0.25">
      <c r="A3564" t="str">
        <f>""</f>
        <v/>
      </c>
      <c r="B3564" s="1"/>
      <c r="H3564">
        <v>250</v>
      </c>
      <c r="J3564" t="s">
        <v>22</v>
      </c>
      <c r="L3564" s="1"/>
      <c r="N3564" s="1"/>
      <c r="V3564" t="str">
        <f>"13001"</f>
        <v>13001</v>
      </c>
      <c r="W3564">
        <v>0</v>
      </c>
      <c r="X3564">
        <v>0</v>
      </c>
    </row>
    <row r="3565" spans="1:24" ht="15" customHeight="1" x14ac:dyDescent="0.25">
      <c r="A3565" t="str">
        <f>""</f>
        <v/>
      </c>
      <c r="B3565" s="1"/>
      <c r="H3565">
        <v>18.8</v>
      </c>
      <c r="J3565" t="s">
        <v>22</v>
      </c>
      <c r="L3565" s="1"/>
      <c r="N3565" s="1"/>
      <c r="V3565" t="str">
        <f>"45400"</f>
        <v>45400</v>
      </c>
      <c r="W3565">
        <v>0</v>
      </c>
      <c r="X3565">
        <v>5.08</v>
      </c>
    </row>
    <row r="3566" spans="1:24" ht="15" customHeight="1" x14ac:dyDescent="0.25">
      <c r="A3566" t="str">
        <f>""</f>
        <v/>
      </c>
      <c r="B3566" s="1"/>
      <c r="H3566">
        <v>50.84</v>
      </c>
      <c r="J3566" t="s">
        <v>19</v>
      </c>
      <c r="L3566" s="1"/>
      <c r="N3566" s="1"/>
      <c r="V3566" t="str">
        <f>"92000"</f>
        <v>92000</v>
      </c>
      <c r="W3566">
        <v>0</v>
      </c>
      <c r="X3566">
        <v>0</v>
      </c>
    </row>
    <row r="3567" spans="1:24" ht="15" customHeight="1" x14ac:dyDescent="0.25">
      <c r="A3567" t="str">
        <f>""</f>
        <v/>
      </c>
      <c r="B3567" s="1"/>
      <c r="H3567">
        <v>50.84</v>
      </c>
      <c r="J3567" t="s">
        <v>19</v>
      </c>
      <c r="L3567" s="1"/>
      <c r="N3567" s="1"/>
      <c r="V3567" t="str">
        <f>"92000"</f>
        <v>92000</v>
      </c>
      <c r="W3567">
        <v>0</v>
      </c>
      <c r="X3567">
        <v>0</v>
      </c>
    </row>
    <row r="3568" spans="1:24" ht="15" customHeight="1" x14ac:dyDescent="0.25">
      <c r="A3568" t="str">
        <f>""</f>
        <v/>
      </c>
      <c r="B3568" s="1"/>
      <c r="H3568">
        <v>75.16</v>
      </c>
      <c r="J3568" t="s">
        <v>19</v>
      </c>
      <c r="L3568" s="1"/>
      <c r="N3568" s="1"/>
      <c r="V3568" t="str">
        <f>"93013"</f>
        <v>93013</v>
      </c>
      <c r="W3568">
        <v>0</v>
      </c>
      <c r="X3568">
        <v>0</v>
      </c>
    </row>
    <row r="3569" spans="1:24" ht="15" customHeight="1" x14ac:dyDescent="0.25">
      <c r="A3569" t="str">
        <f>""</f>
        <v/>
      </c>
      <c r="B3569" s="1"/>
      <c r="H3569">
        <v>19.649999999999999</v>
      </c>
      <c r="J3569" t="s">
        <v>19</v>
      </c>
      <c r="L3569" s="1"/>
      <c r="N3569" s="1"/>
      <c r="V3569" t="str">
        <f>"38230"</f>
        <v>38230</v>
      </c>
      <c r="W3569">
        <v>5.31</v>
      </c>
      <c r="X3569">
        <v>0</v>
      </c>
    </row>
    <row r="3570" spans="1:24" ht="15" customHeight="1" x14ac:dyDescent="0.25">
      <c r="A3570" t="str">
        <f>""</f>
        <v/>
      </c>
      <c r="B3570" s="1"/>
      <c r="H3570">
        <v>19.649999999999999</v>
      </c>
      <c r="J3570" t="s">
        <v>19</v>
      </c>
      <c r="L3570" s="1"/>
      <c r="N3570" s="1"/>
      <c r="V3570" t="str">
        <f>"38300"</f>
        <v>38300</v>
      </c>
      <c r="W3570">
        <v>5.31</v>
      </c>
      <c r="X3570">
        <v>0</v>
      </c>
    </row>
    <row r="3571" spans="1:24" ht="15" customHeight="1" x14ac:dyDescent="0.25">
      <c r="A3571" t="str">
        <f>""</f>
        <v/>
      </c>
      <c r="B3571" s="1"/>
      <c r="H3571">
        <v>70</v>
      </c>
      <c r="J3571" t="s">
        <v>22</v>
      </c>
      <c r="L3571" s="1"/>
      <c r="N3571" s="1"/>
      <c r="V3571" t="str">
        <f>"13400"</f>
        <v>13400</v>
      </c>
      <c r="W3571">
        <v>0</v>
      </c>
      <c r="X3571">
        <v>0</v>
      </c>
    </row>
    <row r="3572" spans="1:24" ht="15" customHeight="1" x14ac:dyDescent="0.25">
      <c r="A3572" t="str">
        <f>""</f>
        <v/>
      </c>
      <c r="B3572" s="1"/>
      <c r="H3572">
        <v>40</v>
      </c>
      <c r="J3572" t="s">
        <v>23</v>
      </c>
      <c r="L3572" s="1"/>
      <c r="N3572" s="1"/>
      <c r="V3572" t="str">
        <f>"63500"</f>
        <v>63500</v>
      </c>
      <c r="W3572">
        <v>0</v>
      </c>
      <c r="X3572">
        <v>4.8</v>
      </c>
    </row>
    <row r="3573" spans="1:24" x14ac:dyDescent="0.25">
      <c r="A3573" t="str">
        <f>""</f>
        <v/>
      </c>
      <c r="B3573" s="1"/>
      <c r="H3573">
        <v>70</v>
      </c>
      <c r="J3573" t="s">
        <v>18</v>
      </c>
      <c r="L3573" s="1"/>
      <c r="N3573" s="1"/>
      <c r="V3573" t="str">
        <f>"49380"</f>
        <v>49380</v>
      </c>
      <c r="W3573">
        <v>0</v>
      </c>
      <c r="X3573">
        <v>0</v>
      </c>
    </row>
    <row r="3574" spans="1:24" ht="15" customHeight="1" x14ac:dyDescent="0.25">
      <c r="A3574" t="str">
        <f>""</f>
        <v/>
      </c>
      <c r="B3574" s="1"/>
      <c r="H3574">
        <v>140</v>
      </c>
      <c r="J3574" t="s">
        <v>22</v>
      </c>
      <c r="L3574" s="1"/>
      <c r="N3574" s="1"/>
      <c r="V3574" t="str">
        <f>"44000"</f>
        <v>44000</v>
      </c>
      <c r="W3574">
        <v>0</v>
      </c>
      <c r="X3574">
        <v>0</v>
      </c>
    </row>
    <row r="3575" spans="1:24" x14ac:dyDescent="0.25">
      <c r="A3575" t="str">
        <f>""</f>
        <v/>
      </c>
      <c r="B3575" s="1"/>
      <c r="H3575">
        <v>55</v>
      </c>
      <c r="J3575" t="s">
        <v>16</v>
      </c>
      <c r="L3575" s="1"/>
      <c r="N3575" s="1"/>
      <c r="V3575" t="str">
        <f>"51100"</f>
        <v>51100</v>
      </c>
      <c r="W3575">
        <v>0</v>
      </c>
      <c r="X3575">
        <v>0</v>
      </c>
    </row>
    <row r="3576" spans="1:24" ht="15" customHeight="1" x14ac:dyDescent="0.25">
      <c r="A3576" t="str">
        <f>""</f>
        <v/>
      </c>
      <c r="B3576" s="1"/>
      <c r="H3576">
        <v>201.46</v>
      </c>
      <c r="J3576" t="s">
        <v>23</v>
      </c>
      <c r="L3576" s="1"/>
      <c r="N3576" s="1"/>
      <c r="V3576" t="str">
        <f>"34000"</f>
        <v>34000</v>
      </c>
      <c r="W3576">
        <v>0</v>
      </c>
      <c r="X3576">
        <v>56.41</v>
      </c>
    </row>
    <row r="3577" spans="1:24" ht="15" customHeight="1" x14ac:dyDescent="0.25">
      <c r="A3577" t="str">
        <f>""</f>
        <v/>
      </c>
      <c r="B3577" s="1"/>
      <c r="H3577">
        <v>140</v>
      </c>
      <c r="J3577" t="s">
        <v>23</v>
      </c>
      <c r="L3577" s="1"/>
      <c r="N3577" s="1"/>
      <c r="V3577" t="str">
        <f>"89140"</f>
        <v>89140</v>
      </c>
      <c r="W3577">
        <v>0</v>
      </c>
      <c r="X3577">
        <v>16.8</v>
      </c>
    </row>
    <row r="3578" spans="1:24" ht="15" customHeight="1" x14ac:dyDescent="0.25">
      <c r="A3578" t="str">
        <f>""</f>
        <v/>
      </c>
      <c r="B3578" s="1"/>
      <c r="H3578">
        <v>29.59</v>
      </c>
      <c r="J3578" t="s">
        <v>22</v>
      </c>
      <c r="L3578" s="1"/>
      <c r="N3578" s="1"/>
      <c r="V3578" t="str">
        <f>"92400"</f>
        <v>92400</v>
      </c>
      <c r="W3578">
        <v>0</v>
      </c>
      <c r="X3578">
        <v>0</v>
      </c>
    </row>
    <row r="3579" spans="1:24" x14ac:dyDescent="0.25">
      <c r="A3579" t="str">
        <f>""</f>
        <v/>
      </c>
      <c r="B3579" s="1"/>
      <c r="H3579">
        <v>32</v>
      </c>
      <c r="J3579" t="s">
        <v>15</v>
      </c>
      <c r="L3579" s="1"/>
      <c r="N3579" s="1"/>
      <c r="V3579" t="str">
        <f>"57000"</f>
        <v>57000</v>
      </c>
      <c r="W3579">
        <v>0</v>
      </c>
      <c r="X3579">
        <v>0</v>
      </c>
    </row>
    <row r="3580" spans="1:24" ht="15" customHeight="1" x14ac:dyDescent="0.25">
      <c r="A3580" t="str">
        <f>""</f>
        <v/>
      </c>
      <c r="B3580" s="1"/>
      <c r="H3580">
        <v>185.4</v>
      </c>
      <c r="J3580" t="s">
        <v>23</v>
      </c>
      <c r="L3580" s="1"/>
      <c r="N3580" s="1"/>
      <c r="V3580" t="str">
        <f>"67000"</f>
        <v>67000</v>
      </c>
      <c r="W3580">
        <v>0</v>
      </c>
      <c r="X3580">
        <v>14.83</v>
      </c>
    </row>
    <row r="3581" spans="1:24" ht="15" customHeight="1" x14ac:dyDescent="0.25">
      <c r="A3581" t="str">
        <f>""</f>
        <v/>
      </c>
      <c r="B3581" s="1"/>
      <c r="H3581">
        <v>151</v>
      </c>
      <c r="J3581" t="s">
        <v>22</v>
      </c>
      <c r="L3581" s="1"/>
      <c r="N3581" s="1"/>
      <c r="V3581" t="str">
        <f>"06560"</f>
        <v>06560</v>
      </c>
      <c r="W3581">
        <v>0</v>
      </c>
      <c r="X3581">
        <v>0</v>
      </c>
    </row>
    <row r="3582" spans="1:24" ht="15" customHeight="1" x14ac:dyDescent="0.25">
      <c r="A3582" t="str">
        <f>""</f>
        <v/>
      </c>
      <c r="B3582" s="1"/>
      <c r="H3582">
        <v>151</v>
      </c>
      <c r="J3582" t="s">
        <v>22</v>
      </c>
      <c r="L3582" s="1"/>
      <c r="N3582" s="1"/>
      <c r="V3582" t="str">
        <f>"06560"</f>
        <v>06560</v>
      </c>
      <c r="W3582">
        <v>0</v>
      </c>
      <c r="X3582">
        <v>0</v>
      </c>
    </row>
    <row r="3583" spans="1:24" ht="15" customHeight="1" x14ac:dyDescent="0.25">
      <c r="A3583" t="str">
        <f>""</f>
        <v/>
      </c>
      <c r="B3583" s="1"/>
      <c r="H3583">
        <v>151</v>
      </c>
      <c r="J3583" t="s">
        <v>23</v>
      </c>
      <c r="L3583" s="1"/>
      <c r="N3583" s="1"/>
      <c r="V3583" t="str">
        <f>"06560"</f>
        <v>06560</v>
      </c>
      <c r="W3583">
        <v>0</v>
      </c>
      <c r="X3583">
        <v>0</v>
      </c>
    </row>
    <row r="3584" spans="1:24" ht="15" customHeight="1" x14ac:dyDescent="0.25">
      <c r="A3584" t="str">
        <f>""</f>
        <v/>
      </c>
      <c r="B3584" s="1"/>
      <c r="H3584">
        <v>151</v>
      </c>
      <c r="J3584" t="s">
        <v>22</v>
      </c>
      <c r="L3584" s="1"/>
      <c r="N3584" s="1"/>
      <c r="V3584" t="str">
        <f>"06560"</f>
        <v>06560</v>
      </c>
      <c r="W3584">
        <v>0</v>
      </c>
      <c r="X3584">
        <v>0</v>
      </c>
    </row>
    <row r="3585" spans="1:24" ht="15" customHeight="1" x14ac:dyDescent="0.25">
      <c r="A3585" t="str">
        <f>""</f>
        <v/>
      </c>
      <c r="B3585" s="1"/>
      <c r="H3585">
        <v>25</v>
      </c>
      <c r="L3585" s="1"/>
      <c r="N3585" s="1"/>
      <c r="V3585" t="str">
        <f>"77184"</f>
        <v>77184</v>
      </c>
      <c r="W3585">
        <v>0</v>
      </c>
      <c r="X3585">
        <v>0</v>
      </c>
    </row>
    <row r="3586" spans="1:24" x14ac:dyDescent="0.25">
      <c r="A3586" t="str">
        <f>""</f>
        <v/>
      </c>
      <c r="B3586" s="1"/>
      <c r="H3586">
        <v>140</v>
      </c>
      <c r="J3586" t="s">
        <v>15</v>
      </c>
      <c r="L3586" s="1"/>
      <c r="N3586" s="1"/>
      <c r="V3586" t="str">
        <f>"45000"</f>
        <v>45000</v>
      </c>
      <c r="W3586">
        <v>0</v>
      </c>
      <c r="X3586">
        <v>0</v>
      </c>
    </row>
    <row r="3587" spans="1:24" ht="15" customHeight="1" x14ac:dyDescent="0.25">
      <c r="A3587" t="str">
        <f>""</f>
        <v/>
      </c>
      <c r="B3587" s="1"/>
      <c r="H3587">
        <v>325</v>
      </c>
      <c r="J3587" t="s">
        <v>23</v>
      </c>
      <c r="L3587" s="1"/>
      <c r="N3587" s="1"/>
      <c r="V3587" t="str">
        <f>"37000"</f>
        <v>37000</v>
      </c>
      <c r="W3587">
        <v>0</v>
      </c>
      <c r="X3587">
        <v>39</v>
      </c>
    </row>
    <row r="3588" spans="1:24" ht="15" customHeight="1" x14ac:dyDescent="0.25">
      <c r="A3588" t="str">
        <f>""</f>
        <v/>
      </c>
      <c r="B3588" s="1"/>
      <c r="H3588">
        <v>4.54</v>
      </c>
      <c r="J3588" t="s">
        <v>23</v>
      </c>
      <c r="L3588" s="1"/>
      <c r="N3588" s="1"/>
      <c r="V3588" t="str">
        <f>"54290"</f>
        <v>54290</v>
      </c>
      <c r="W3588">
        <v>0</v>
      </c>
      <c r="X3588">
        <v>1.1299999999999999</v>
      </c>
    </row>
    <row r="3589" spans="1:24" ht="15" customHeight="1" x14ac:dyDescent="0.25">
      <c r="A3589" t="str">
        <f>""</f>
        <v/>
      </c>
      <c r="B3589" s="1"/>
      <c r="H3589">
        <v>31</v>
      </c>
      <c r="L3589" s="1"/>
      <c r="N3589" s="1"/>
      <c r="V3589" t="str">
        <f>"77184"</f>
        <v>77184</v>
      </c>
      <c r="W3589">
        <v>0</v>
      </c>
      <c r="X3589">
        <v>0</v>
      </c>
    </row>
    <row r="3590" spans="1:24" ht="15" customHeight="1" x14ac:dyDescent="0.25">
      <c r="A3590" t="str">
        <f>""</f>
        <v/>
      </c>
      <c r="B3590" s="1"/>
      <c r="H3590">
        <v>250</v>
      </c>
      <c r="J3590" t="s">
        <v>23</v>
      </c>
      <c r="L3590" s="1"/>
      <c r="N3590" s="1"/>
      <c r="V3590" t="str">
        <f>"50110"</f>
        <v>50110</v>
      </c>
      <c r="W3590">
        <v>0</v>
      </c>
      <c r="X3590">
        <v>42.5</v>
      </c>
    </row>
    <row r="3591" spans="1:24" ht="15" customHeight="1" x14ac:dyDescent="0.25">
      <c r="A3591" t="str">
        <f>""</f>
        <v/>
      </c>
      <c r="B3591" s="1"/>
      <c r="H3591">
        <v>180</v>
      </c>
      <c r="J3591" t="s">
        <v>22</v>
      </c>
      <c r="L3591" s="1"/>
      <c r="N3591" s="1"/>
      <c r="V3591" t="str">
        <f>"75007"</f>
        <v>75007</v>
      </c>
      <c r="W3591">
        <v>0</v>
      </c>
      <c r="X3591">
        <v>0</v>
      </c>
    </row>
    <row r="3592" spans="1:24" ht="15" customHeight="1" x14ac:dyDescent="0.25">
      <c r="A3592" t="str">
        <f>""</f>
        <v/>
      </c>
      <c r="B3592" s="1"/>
      <c r="H3592">
        <v>140</v>
      </c>
      <c r="J3592" t="s">
        <v>23</v>
      </c>
      <c r="L3592" s="1"/>
      <c r="N3592" s="1"/>
      <c r="V3592" t="str">
        <f>"76420"</f>
        <v>76420</v>
      </c>
      <c r="W3592">
        <v>0</v>
      </c>
      <c r="X3592">
        <v>23.8</v>
      </c>
    </row>
    <row r="3593" spans="1:24" ht="15" customHeight="1" x14ac:dyDescent="0.25">
      <c r="A3593" t="str">
        <f>""</f>
        <v/>
      </c>
      <c r="B3593" s="1"/>
      <c r="H3593">
        <v>129.81</v>
      </c>
      <c r="J3593" t="s">
        <v>23</v>
      </c>
      <c r="L3593" s="1"/>
      <c r="N3593" s="1"/>
      <c r="V3593" t="str">
        <f>"75015"</f>
        <v>75015</v>
      </c>
      <c r="W3593">
        <v>0</v>
      </c>
      <c r="X3593">
        <v>0</v>
      </c>
    </row>
    <row r="3594" spans="1:24" ht="15" customHeight="1" x14ac:dyDescent="0.25">
      <c r="A3594" t="str">
        <f>""</f>
        <v/>
      </c>
      <c r="B3594" s="1"/>
      <c r="H3594">
        <v>30</v>
      </c>
      <c r="L3594" s="1"/>
      <c r="N3594" s="1"/>
      <c r="V3594" t="str">
        <f>"77184"</f>
        <v>77184</v>
      </c>
      <c r="W3594">
        <v>0</v>
      </c>
      <c r="X3594">
        <v>0</v>
      </c>
    </row>
    <row r="3595" spans="1:24" ht="15" customHeight="1" x14ac:dyDescent="0.25">
      <c r="A3595" t="str">
        <f>""</f>
        <v/>
      </c>
      <c r="B3595" s="1"/>
      <c r="H3595">
        <v>201.98</v>
      </c>
      <c r="J3595" t="s">
        <v>23</v>
      </c>
      <c r="L3595" s="1"/>
      <c r="N3595" s="1"/>
      <c r="V3595" t="str">
        <f>"68200"</f>
        <v>68200</v>
      </c>
      <c r="W3595">
        <v>0</v>
      </c>
      <c r="X3595">
        <v>16.16</v>
      </c>
    </row>
    <row r="3596" spans="1:24" ht="15" customHeight="1" x14ac:dyDescent="0.25">
      <c r="A3596" t="str">
        <f>""</f>
        <v/>
      </c>
      <c r="B3596" s="1"/>
      <c r="H3596">
        <v>29.59</v>
      </c>
      <c r="J3596" t="s">
        <v>22</v>
      </c>
      <c r="L3596" s="1"/>
      <c r="N3596" s="1"/>
      <c r="V3596" t="str">
        <f>"69002"</f>
        <v>69002</v>
      </c>
      <c r="W3596">
        <v>0</v>
      </c>
      <c r="X3596">
        <v>0</v>
      </c>
    </row>
    <row r="3597" spans="1:24" ht="15" customHeight="1" x14ac:dyDescent="0.25">
      <c r="A3597" t="str">
        <f>""</f>
        <v/>
      </c>
      <c r="B3597" s="1"/>
      <c r="H3597">
        <v>205</v>
      </c>
      <c r="J3597" t="s">
        <v>22</v>
      </c>
      <c r="L3597" s="1"/>
      <c r="N3597" s="1"/>
      <c r="V3597" t="str">
        <f>"69002"</f>
        <v>69002</v>
      </c>
      <c r="W3597">
        <v>0</v>
      </c>
      <c r="X3597">
        <v>0</v>
      </c>
    </row>
    <row r="3598" spans="1:24" x14ac:dyDescent="0.25">
      <c r="A3598" t="str">
        <f>""</f>
        <v/>
      </c>
      <c r="B3598" s="1"/>
      <c r="H3598">
        <v>142.44999999999999</v>
      </c>
      <c r="J3598" t="s">
        <v>17</v>
      </c>
      <c r="L3598" s="1"/>
      <c r="N3598" s="1"/>
      <c r="V3598" t="str">
        <f>"63100"</f>
        <v>63100</v>
      </c>
      <c r="W3598">
        <v>0</v>
      </c>
      <c r="X3598">
        <v>0</v>
      </c>
    </row>
    <row r="3599" spans="1:24" ht="15" customHeight="1" x14ac:dyDescent="0.25">
      <c r="A3599" t="str">
        <f>""</f>
        <v/>
      </c>
      <c r="B3599" s="1"/>
      <c r="H3599">
        <v>172.08</v>
      </c>
      <c r="J3599" t="s">
        <v>19</v>
      </c>
      <c r="L3599" s="1"/>
      <c r="N3599" s="1"/>
      <c r="V3599" t="str">
        <f>"61230"</f>
        <v>61230</v>
      </c>
      <c r="W3599">
        <v>29.25</v>
      </c>
      <c r="X3599">
        <v>0</v>
      </c>
    </row>
    <row r="3600" spans="1:24" ht="15" customHeight="1" x14ac:dyDescent="0.25">
      <c r="A3600" t="str">
        <f>""</f>
        <v/>
      </c>
      <c r="B3600" s="1"/>
      <c r="H3600">
        <v>137.05000000000001</v>
      </c>
      <c r="J3600" t="s">
        <v>22</v>
      </c>
      <c r="L3600" s="1"/>
      <c r="N3600" s="1"/>
      <c r="V3600" t="str">
        <f>"13115"</f>
        <v>13115</v>
      </c>
      <c r="W3600">
        <v>0</v>
      </c>
      <c r="X3600">
        <v>26.04</v>
      </c>
    </row>
    <row r="3601" spans="1:24" ht="15" customHeight="1" x14ac:dyDescent="0.25">
      <c r="A3601" t="str">
        <f>""</f>
        <v/>
      </c>
      <c r="B3601" s="1"/>
      <c r="H3601">
        <v>137.05000000000001</v>
      </c>
      <c r="J3601" t="s">
        <v>22</v>
      </c>
      <c r="L3601" s="1"/>
      <c r="N3601" s="1"/>
      <c r="V3601" t="str">
        <f>"13115"</f>
        <v>13115</v>
      </c>
      <c r="W3601">
        <v>0</v>
      </c>
      <c r="X3601">
        <v>26.04</v>
      </c>
    </row>
    <row r="3602" spans="1:24" ht="15" customHeight="1" x14ac:dyDescent="0.25">
      <c r="A3602" t="str">
        <f>""</f>
        <v/>
      </c>
      <c r="B3602" s="1"/>
      <c r="H3602">
        <v>140</v>
      </c>
      <c r="J3602" t="s">
        <v>23</v>
      </c>
      <c r="L3602" s="1"/>
      <c r="N3602" s="1"/>
      <c r="V3602" t="str">
        <f>"42100"</f>
        <v>42100</v>
      </c>
      <c r="W3602">
        <v>0</v>
      </c>
      <c r="X3602">
        <v>0</v>
      </c>
    </row>
    <row r="3603" spans="1:24" ht="15" customHeight="1" x14ac:dyDescent="0.25">
      <c r="A3603" t="str">
        <f>""</f>
        <v/>
      </c>
      <c r="B3603" s="1"/>
      <c r="H3603">
        <v>20.23</v>
      </c>
      <c r="J3603" t="s">
        <v>19</v>
      </c>
      <c r="L3603" s="1"/>
      <c r="N3603" s="1"/>
      <c r="V3603" t="str">
        <f>"42160"</f>
        <v>42160</v>
      </c>
      <c r="W3603">
        <v>5.46</v>
      </c>
      <c r="X3603">
        <v>0</v>
      </c>
    </row>
    <row r="3604" spans="1:24" ht="15" customHeight="1" x14ac:dyDescent="0.25">
      <c r="A3604" t="str">
        <f>""</f>
        <v/>
      </c>
      <c r="B3604" s="1"/>
      <c r="H3604">
        <v>140</v>
      </c>
      <c r="J3604" t="s">
        <v>23</v>
      </c>
      <c r="L3604" s="1"/>
      <c r="V3604" t="str">
        <f>"91420"</f>
        <v>91420</v>
      </c>
      <c r="W3604">
        <v>0</v>
      </c>
      <c r="X3604">
        <v>0</v>
      </c>
    </row>
    <row r="3605" spans="1:24" ht="15" customHeight="1" x14ac:dyDescent="0.25">
      <c r="A3605" t="str">
        <f>""</f>
        <v/>
      </c>
      <c r="B3605" s="1"/>
      <c r="H3605">
        <v>55.16</v>
      </c>
      <c r="J3605" t="s">
        <v>19</v>
      </c>
      <c r="L3605" s="1"/>
      <c r="N3605" s="1"/>
      <c r="V3605" t="str">
        <f>"35044"</f>
        <v>35044</v>
      </c>
      <c r="W3605">
        <v>14.89</v>
      </c>
      <c r="X3605">
        <v>0</v>
      </c>
    </row>
    <row r="3606" spans="1:24" ht="15" customHeight="1" x14ac:dyDescent="0.25">
      <c r="A3606" t="str">
        <f>""</f>
        <v/>
      </c>
      <c r="B3606" s="1"/>
      <c r="H3606">
        <v>20.23</v>
      </c>
      <c r="J3606" t="s">
        <v>19</v>
      </c>
      <c r="L3606" s="1"/>
      <c r="N3606" s="1"/>
      <c r="V3606" t="str">
        <f>"26000"</f>
        <v>26000</v>
      </c>
      <c r="W3606">
        <v>5.46</v>
      </c>
      <c r="X3606">
        <v>0</v>
      </c>
    </row>
    <row r="3607" spans="1:24" ht="15" customHeight="1" x14ac:dyDescent="0.25">
      <c r="A3607" t="str">
        <f>""</f>
        <v/>
      </c>
      <c r="B3607" s="1"/>
      <c r="H3607">
        <v>20.23</v>
      </c>
      <c r="J3607" t="s">
        <v>19</v>
      </c>
      <c r="L3607" s="1"/>
      <c r="N3607" s="1"/>
      <c r="V3607" t="str">
        <f>"26000"</f>
        <v>26000</v>
      </c>
      <c r="W3607">
        <v>5.46</v>
      </c>
      <c r="X3607">
        <v>0</v>
      </c>
    </row>
    <row r="3608" spans="1:24" ht="15" customHeight="1" x14ac:dyDescent="0.25">
      <c r="A3608" t="str">
        <f>""</f>
        <v/>
      </c>
      <c r="B3608" s="1"/>
      <c r="H3608">
        <v>32.85</v>
      </c>
      <c r="J3608" t="s">
        <v>20</v>
      </c>
      <c r="L3608" s="1"/>
      <c r="N3608" s="1"/>
      <c r="V3608" t="str">
        <f>"03150"</f>
        <v>03150</v>
      </c>
      <c r="W3608">
        <v>9.5299999999999994</v>
      </c>
      <c r="X3608">
        <v>0</v>
      </c>
    </row>
    <row r="3609" spans="1:24" ht="15" customHeight="1" x14ac:dyDescent="0.25">
      <c r="A3609" t="str">
        <f>""</f>
        <v/>
      </c>
      <c r="B3609" s="1"/>
      <c r="H3609">
        <v>49.08</v>
      </c>
      <c r="J3609" t="s">
        <v>19</v>
      </c>
      <c r="L3609" s="1"/>
      <c r="N3609" s="1"/>
      <c r="V3609" t="str">
        <f>"56920"</f>
        <v>56920</v>
      </c>
      <c r="W3609">
        <v>13.25</v>
      </c>
      <c r="X3609">
        <v>0</v>
      </c>
    </row>
    <row r="3610" spans="1:24" ht="15" customHeight="1" x14ac:dyDescent="0.25">
      <c r="A3610" t="str">
        <f>""</f>
        <v/>
      </c>
      <c r="B3610" s="1"/>
      <c r="H3610">
        <v>49.08</v>
      </c>
      <c r="J3610" t="s">
        <v>19</v>
      </c>
      <c r="L3610" s="1"/>
      <c r="N3610" s="1"/>
      <c r="V3610" t="str">
        <f>"56920"</f>
        <v>56920</v>
      </c>
      <c r="W3610">
        <v>13.25</v>
      </c>
      <c r="X3610">
        <v>0</v>
      </c>
    </row>
    <row r="3611" spans="1:24" ht="15" customHeight="1" x14ac:dyDescent="0.25">
      <c r="A3611" t="str">
        <f>""</f>
        <v/>
      </c>
      <c r="B3611" s="1"/>
      <c r="H3611">
        <v>49.08</v>
      </c>
      <c r="J3611" t="s">
        <v>19</v>
      </c>
      <c r="L3611" s="1"/>
      <c r="N3611" s="1"/>
      <c r="V3611" t="str">
        <f>"56920"</f>
        <v>56920</v>
      </c>
      <c r="W3611">
        <v>13.25</v>
      </c>
      <c r="X3611">
        <v>0</v>
      </c>
    </row>
    <row r="3612" spans="1:24" ht="15" customHeight="1" x14ac:dyDescent="0.25">
      <c r="A3612" t="str">
        <f>""</f>
        <v/>
      </c>
      <c r="B3612" s="1"/>
      <c r="H3612">
        <v>49.08</v>
      </c>
      <c r="J3612" t="s">
        <v>19</v>
      </c>
      <c r="L3612" s="1"/>
      <c r="N3612" s="1"/>
      <c r="V3612" t="str">
        <f>"56920"</f>
        <v>56920</v>
      </c>
      <c r="W3612">
        <v>13.25</v>
      </c>
      <c r="X3612">
        <v>0</v>
      </c>
    </row>
    <row r="3613" spans="1:24" ht="15" customHeight="1" x14ac:dyDescent="0.25">
      <c r="A3613" t="str">
        <f>""</f>
        <v/>
      </c>
      <c r="B3613" s="1"/>
      <c r="H3613">
        <v>55.14</v>
      </c>
      <c r="J3613" t="s">
        <v>20</v>
      </c>
      <c r="L3613" s="1"/>
      <c r="N3613" s="1"/>
      <c r="V3613" t="str">
        <f>"60200"</f>
        <v>60200</v>
      </c>
      <c r="W3613">
        <v>10.48</v>
      </c>
      <c r="X3613">
        <v>0</v>
      </c>
    </row>
    <row r="3614" spans="1:24" ht="15" customHeight="1" x14ac:dyDescent="0.25">
      <c r="A3614" t="str">
        <f>""</f>
        <v/>
      </c>
      <c r="B3614" s="1"/>
      <c r="H3614">
        <v>70</v>
      </c>
      <c r="J3614" t="s">
        <v>23</v>
      </c>
      <c r="L3614" s="1"/>
      <c r="N3614" s="1"/>
      <c r="V3614" t="str">
        <f>"76117"</f>
        <v>76117</v>
      </c>
      <c r="W3614">
        <v>0</v>
      </c>
      <c r="X3614">
        <v>11.9</v>
      </c>
    </row>
    <row r="3615" spans="1:24" ht="15" customHeight="1" x14ac:dyDescent="0.25">
      <c r="A3615" t="str">
        <f>""</f>
        <v/>
      </c>
      <c r="B3615" s="1"/>
      <c r="H3615">
        <v>25</v>
      </c>
      <c r="J3615" t="s">
        <v>23</v>
      </c>
      <c r="L3615" s="1"/>
      <c r="N3615" s="1"/>
      <c r="V3615" t="str">
        <f>"62400"</f>
        <v>62400</v>
      </c>
      <c r="W3615">
        <v>0</v>
      </c>
      <c r="X3615">
        <v>0</v>
      </c>
    </row>
    <row r="3616" spans="1:24" x14ac:dyDescent="0.25">
      <c r="A3616" t="str">
        <f>""</f>
        <v/>
      </c>
      <c r="B3616" s="1"/>
      <c r="H3616">
        <v>53.54</v>
      </c>
      <c r="J3616" t="s">
        <v>16</v>
      </c>
      <c r="L3616" s="1"/>
      <c r="N3616" s="1"/>
      <c r="V3616" t="str">
        <f>"31700"</f>
        <v>31700</v>
      </c>
      <c r="W3616">
        <v>0</v>
      </c>
      <c r="X3616">
        <v>0</v>
      </c>
    </row>
    <row r="3617" spans="1:24" ht="15" customHeight="1" x14ac:dyDescent="0.25">
      <c r="A3617" t="str">
        <f>""</f>
        <v/>
      </c>
      <c r="B3617" s="1"/>
      <c r="H3617">
        <v>57.2</v>
      </c>
      <c r="J3617" t="s">
        <v>22</v>
      </c>
      <c r="L3617" s="1"/>
      <c r="V3617" t="str">
        <f>"68390"</f>
        <v>68390</v>
      </c>
      <c r="W3617">
        <v>0</v>
      </c>
      <c r="X3617">
        <v>0</v>
      </c>
    </row>
    <row r="3618" spans="1:24" ht="15" customHeight="1" x14ac:dyDescent="0.25">
      <c r="A3618" t="str">
        <f>""</f>
        <v/>
      </c>
      <c r="B3618" s="1"/>
      <c r="H3618">
        <v>120.49</v>
      </c>
      <c r="J3618" t="s">
        <v>19</v>
      </c>
      <c r="L3618" s="1"/>
      <c r="N3618" s="1"/>
      <c r="V3618" t="str">
        <f>"13210"</f>
        <v>13210</v>
      </c>
      <c r="W3618">
        <v>34.94</v>
      </c>
      <c r="X3618">
        <v>0</v>
      </c>
    </row>
    <row r="3619" spans="1:24" ht="15" customHeight="1" x14ac:dyDescent="0.25">
      <c r="A3619" t="str">
        <f>""</f>
        <v/>
      </c>
      <c r="B3619" s="1"/>
      <c r="H3619">
        <v>43.44</v>
      </c>
      <c r="J3619" t="s">
        <v>20</v>
      </c>
      <c r="L3619" s="1"/>
      <c r="N3619" s="1"/>
      <c r="V3619" t="str">
        <f>"69002"</f>
        <v>69002</v>
      </c>
      <c r="W3619">
        <v>11.73</v>
      </c>
      <c r="X3619">
        <v>0</v>
      </c>
    </row>
    <row r="3620" spans="1:24" ht="15" customHeight="1" x14ac:dyDescent="0.25">
      <c r="A3620" t="str">
        <f>""</f>
        <v/>
      </c>
      <c r="B3620" s="1"/>
      <c r="H3620">
        <v>58.21</v>
      </c>
      <c r="J3620" t="s">
        <v>20</v>
      </c>
      <c r="L3620" s="1"/>
      <c r="N3620" s="1"/>
      <c r="V3620" t="str">
        <f>"83790"</f>
        <v>83790</v>
      </c>
      <c r="W3620">
        <v>17.46</v>
      </c>
      <c r="X3620">
        <v>0</v>
      </c>
    </row>
    <row r="3621" spans="1:24" ht="15" customHeight="1" x14ac:dyDescent="0.25">
      <c r="A3621" t="str">
        <f>""</f>
        <v/>
      </c>
      <c r="B3621" s="1"/>
      <c r="H3621">
        <v>151</v>
      </c>
      <c r="J3621" t="s">
        <v>22</v>
      </c>
      <c r="L3621" s="1"/>
      <c r="N3621" s="1"/>
      <c r="V3621" t="str">
        <f>"25000"</f>
        <v>25000</v>
      </c>
      <c r="W3621">
        <v>0</v>
      </c>
      <c r="X3621">
        <v>0</v>
      </c>
    </row>
    <row r="3622" spans="1:24" ht="15" customHeight="1" x14ac:dyDescent="0.25">
      <c r="A3622" t="str">
        <f>""</f>
        <v/>
      </c>
      <c r="B3622" s="1"/>
      <c r="H3622">
        <v>180</v>
      </c>
      <c r="L3622" s="1"/>
      <c r="N3622" s="1"/>
      <c r="V3622" t="str">
        <f>"77184"</f>
        <v>77184</v>
      </c>
      <c r="W3622">
        <v>0</v>
      </c>
      <c r="X3622">
        <v>0</v>
      </c>
    </row>
    <row r="3623" spans="1:24" ht="15" customHeight="1" x14ac:dyDescent="0.25">
      <c r="A3623" t="str">
        <f>""</f>
        <v/>
      </c>
      <c r="B3623" s="1"/>
      <c r="H3623">
        <v>37.93</v>
      </c>
      <c r="J3623" t="s">
        <v>23</v>
      </c>
      <c r="L3623" s="1"/>
      <c r="N3623" s="1"/>
      <c r="V3623" t="str">
        <f>"38390"</f>
        <v>38390</v>
      </c>
      <c r="W3623">
        <v>0</v>
      </c>
      <c r="X3623">
        <v>0</v>
      </c>
    </row>
    <row r="3624" spans="1:24" x14ac:dyDescent="0.25">
      <c r="A3624" t="str">
        <f>""</f>
        <v/>
      </c>
      <c r="B3624" s="1"/>
      <c r="H3624">
        <v>163.98</v>
      </c>
      <c r="J3624" t="s">
        <v>15</v>
      </c>
      <c r="L3624" s="1"/>
      <c r="N3624" s="1"/>
      <c r="V3624" t="str">
        <f>"68360"</f>
        <v>68360</v>
      </c>
      <c r="W3624">
        <v>0</v>
      </c>
      <c r="X3624">
        <v>0</v>
      </c>
    </row>
    <row r="3625" spans="1:24" ht="15" customHeight="1" x14ac:dyDescent="0.25">
      <c r="A3625" t="str">
        <f>""</f>
        <v/>
      </c>
      <c r="B3625" s="1"/>
      <c r="H3625">
        <v>55.31</v>
      </c>
      <c r="J3625" t="s">
        <v>20</v>
      </c>
      <c r="L3625" s="1"/>
      <c r="N3625" s="1"/>
      <c r="V3625" t="str">
        <f>"62740"</f>
        <v>62740</v>
      </c>
      <c r="W3625">
        <v>10.51</v>
      </c>
      <c r="X3625">
        <v>0</v>
      </c>
    </row>
    <row r="3626" spans="1:24" ht="15" customHeight="1" x14ac:dyDescent="0.25">
      <c r="A3626" t="str">
        <f>""</f>
        <v/>
      </c>
      <c r="B3626" s="1"/>
      <c r="H3626">
        <v>55.31</v>
      </c>
      <c r="J3626" t="s">
        <v>19</v>
      </c>
      <c r="L3626" s="1"/>
      <c r="N3626" s="1"/>
      <c r="V3626" t="str">
        <f>"62740"</f>
        <v>62740</v>
      </c>
      <c r="W3626">
        <v>10.51</v>
      </c>
      <c r="X3626">
        <v>0</v>
      </c>
    </row>
    <row r="3627" spans="1:24" ht="15" customHeight="1" x14ac:dyDescent="0.25">
      <c r="A3627" t="str">
        <f>""</f>
        <v/>
      </c>
      <c r="B3627" s="1"/>
      <c r="H3627">
        <v>220.21</v>
      </c>
      <c r="J3627" t="s">
        <v>19</v>
      </c>
      <c r="L3627" s="1"/>
      <c r="N3627" s="1"/>
      <c r="V3627" t="str">
        <f>"58120"</f>
        <v>58120</v>
      </c>
      <c r="W3627">
        <v>52.85</v>
      </c>
      <c r="X3627">
        <v>0</v>
      </c>
    </row>
    <row r="3628" spans="1:24" ht="15" customHeight="1" x14ac:dyDescent="0.25">
      <c r="A3628" t="str">
        <f>""</f>
        <v/>
      </c>
      <c r="B3628" s="1"/>
      <c r="H3628">
        <v>34.72</v>
      </c>
      <c r="L3628" s="1"/>
      <c r="N3628" s="1"/>
      <c r="V3628" t="str">
        <f>"44240"</f>
        <v>44240</v>
      </c>
      <c r="W3628">
        <v>0</v>
      </c>
      <c r="X3628">
        <v>0</v>
      </c>
    </row>
    <row r="3629" spans="1:24" ht="15" customHeight="1" x14ac:dyDescent="0.25">
      <c r="A3629" t="str">
        <f>""</f>
        <v/>
      </c>
      <c r="B3629" s="1"/>
      <c r="H3629">
        <v>175.82</v>
      </c>
      <c r="L3629" s="1"/>
      <c r="N3629" s="1"/>
      <c r="V3629" t="str">
        <f>"77184"</f>
        <v>77184</v>
      </c>
      <c r="W3629">
        <v>0</v>
      </c>
      <c r="X3629">
        <v>0</v>
      </c>
    </row>
    <row r="3630" spans="1:24" ht="15" customHeight="1" x14ac:dyDescent="0.25">
      <c r="A3630" t="str">
        <f>""</f>
        <v/>
      </c>
      <c r="B3630" s="1"/>
      <c r="H3630">
        <v>680.14</v>
      </c>
      <c r="J3630" t="s">
        <v>22</v>
      </c>
      <c r="L3630" s="1"/>
      <c r="N3630" s="1"/>
      <c r="V3630" t="str">
        <f>"95150"</f>
        <v>95150</v>
      </c>
      <c r="W3630">
        <v>0</v>
      </c>
      <c r="X3630">
        <v>0</v>
      </c>
    </row>
    <row r="3631" spans="1:24" ht="15" customHeight="1" x14ac:dyDescent="0.25">
      <c r="A3631" t="str">
        <f>""</f>
        <v/>
      </c>
      <c r="B3631" s="1"/>
      <c r="H3631">
        <v>30</v>
      </c>
      <c r="L3631" s="1"/>
      <c r="N3631" s="1"/>
      <c r="V3631" t="str">
        <f>"77184"</f>
        <v>77184</v>
      </c>
      <c r="W3631">
        <v>0</v>
      </c>
      <c r="X3631">
        <v>0</v>
      </c>
    </row>
    <row r="3632" spans="1:24" ht="15" customHeight="1" x14ac:dyDescent="0.25">
      <c r="A3632" t="str">
        <f>""</f>
        <v/>
      </c>
      <c r="B3632" s="1"/>
      <c r="H3632">
        <v>68</v>
      </c>
      <c r="L3632" s="1"/>
      <c r="N3632" s="1"/>
      <c r="V3632" t="str">
        <f>"77184"</f>
        <v>77184</v>
      </c>
      <c r="W3632">
        <v>0</v>
      </c>
      <c r="X3632">
        <v>0</v>
      </c>
    </row>
    <row r="3633" spans="1:24" ht="15" customHeight="1" x14ac:dyDescent="0.25">
      <c r="A3633" t="str">
        <f>""</f>
        <v/>
      </c>
      <c r="B3633" s="1"/>
      <c r="H3633">
        <v>104</v>
      </c>
      <c r="L3633" s="1"/>
      <c r="N3633" s="1"/>
      <c r="V3633" t="str">
        <f>"77184"</f>
        <v>77184</v>
      </c>
      <c r="W3633">
        <v>0</v>
      </c>
      <c r="X3633">
        <v>0</v>
      </c>
    </row>
    <row r="3634" spans="1:24" ht="15" customHeight="1" x14ac:dyDescent="0.25">
      <c r="A3634" t="str">
        <f>""</f>
        <v/>
      </c>
      <c r="B3634" s="1"/>
      <c r="H3634">
        <v>140</v>
      </c>
      <c r="J3634" t="s">
        <v>23</v>
      </c>
      <c r="L3634" s="1"/>
      <c r="N3634" s="1"/>
      <c r="V3634" t="str">
        <f>"35510"</f>
        <v>35510</v>
      </c>
      <c r="W3634">
        <v>0</v>
      </c>
      <c r="X3634">
        <v>0</v>
      </c>
    </row>
    <row r="3635" spans="1:24" ht="15" customHeight="1" x14ac:dyDescent="0.25">
      <c r="A3635" t="str">
        <f>""</f>
        <v/>
      </c>
      <c r="B3635" s="1"/>
      <c r="H3635">
        <v>186.98</v>
      </c>
      <c r="J3635" t="s">
        <v>23</v>
      </c>
      <c r="L3635" s="1"/>
      <c r="N3635" s="1"/>
      <c r="V3635" t="str">
        <f>"14000"</f>
        <v>14000</v>
      </c>
      <c r="W3635">
        <v>0</v>
      </c>
      <c r="X3635">
        <v>31.79</v>
      </c>
    </row>
    <row r="3636" spans="1:24" ht="15" customHeight="1" x14ac:dyDescent="0.25">
      <c r="A3636" t="str">
        <f>""</f>
        <v/>
      </c>
      <c r="B3636" s="1"/>
      <c r="H3636">
        <v>84.5</v>
      </c>
      <c r="L3636" s="1"/>
      <c r="N3636" s="1"/>
      <c r="V3636" t="str">
        <f>"77184"</f>
        <v>77184</v>
      </c>
      <c r="W3636">
        <v>0</v>
      </c>
      <c r="X3636">
        <v>0</v>
      </c>
    </row>
    <row r="3637" spans="1:24" ht="15" customHeight="1" x14ac:dyDescent="0.25">
      <c r="A3637" t="str">
        <f>""</f>
        <v/>
      </c>
      <c r="B3637" s="1"/>
      <c r="H3637">
        <v>178.52</v>
      </c>
      <c r="L3637" s="1"/>
      <c r="N3637" s="1"/>
      <c r="V3637" t="str">
        <f>"77184"</f>
        <v>77184</v>
      </c>
      <c r="W3637">
        <v>0</v>
      </c>
      <c r="X3637">
        <v>0</v>
      </c>
    </row>
    <row r="3638" spans="1:24" ht="15" customHeight="1" x14ac:dyDescent="0.25">
      <c r="A3638" t="str">
        <f>""</f>
        <v/>
      </c>
      <c r="B3638" s="1"/>
      <c r="H3638">
        <v>156</v>
      </c>
      <c r="L3638" s="1"/>
      <c r="N3638" s="1"/>
      <c r="V3638" t="str">
        <f>"77184"</f>
        <v>77184</v>
      </c>
      <c r="W3638">
        <v>0</v>
      </c>
      <c r="X3638">
        <v>0</v>
      </c>
    </row>
    <row r="3639" spans="1:24" ht="15" customHeight="1" x14ac:dyDescent="0.25">
      <c r="A3639" t="str">
        <f>""</f>
        <v/>
      </c>
      <c r="B3639" s="1"/>
      <c r="H3639">
        <v>40</v>
      </c>
      <c r="J3639" t="s">
        <v>23</v>
      </c>
      <c r="L3639" s="1"/>
      <c r="N3639" s="1"/>
      <c r="V3639" t="str">
        <f>"34410"</f>
        <v>34410</v>
      </c>
      <c r="W3639">
        <v>0</v>
      </c>
      <c r="X3639">
        <v>11.2</v>
      </c>
    </row>
    <row r="3640" spans="1:24" ht="15" customHeight="1" x14ac:dyDescent="0.25">
      <c r="A3640" t="str">
        <f>""</f>
        <v/>
      </c>
      <c r="B3640" s="1"/>
      <c r="H3640">
        <v>47.93</v>
      </c>
      <c r="J3640" t="s">
        <v>20</v>
      </c>
      <c r="L3640" s="1"/>
      <c r="N3640" s="1"/>
      <c r="V3640" t="str">
        <f>"62138"</f>
        <v>62138</v>
      </c>
      <c r="W3640">
        <v>9.11</v>
      </c>
      <c r="X3640">
        <v>0</v>
      </c>
    </row>
    <row r="3641" spans="1:24" ht="15" customHeight="1" x14ac:dyDescent="0.25">
      <c r="A3641" t="str">
        <f>""</f>
        <v/>
      </c>
      <c r="B3641" s="1"/>
      <c r="H3641">
        <v>108.01</v>
      </c>
      <c r="J3641" t="s">
        <v>20</v>
      </c>
      <c r="L3641" s="1"/>
      <c r="N3641" s="1"/>
      <c r="V3641" t="str">
        <f>"62138"</f>
        <v>62138</v>
      </c>
      <c r="W3641">
        <v>20.52</v>
      </c>
      <c r="X3641">
        <v>0</v>
      </c>
    </row>
    <row r="3642" spans="1:24" ht="15" customHeight="1" x14ac:dyDescent="0.25">
      <c r="A3642" t="str">
        <f>""</f>
        <v/>
      </c>
      <c r="B3642" s="1"/>
      <c r="H3642">
        <v>130</v>
      </c>
      <c r="L3642" s="1"/>
      <c r="N3642" s="1"/>
      <c r="V3642" t="str">
        <f>"77184"</f>
        <v>77184</v>
      </c>
      <c r="W3642">
        <v>0</v>
      </c>
      <c r="X3642">
        <v>0</v>
      </c>
    </row>
    <row r="3643" spans="1:24" ht="15" customHeight="1" x14ac:dyDescent="0.25">
      <c r="A3643" t="str">
        <f>""</f>
        <v/>
      </c>
      <c r="B3643" s="1"/>
      <c r="H3643">
        <v>140</v>
      </c>
      <c r="J3643" t="s">
        <v>23</v>
      </c>
      <c r="L3643" s="1"/>
      <c r="N3643" s="1"/>
      <c r="V3643" t="str">
        <f>"50160"</f>
        <v>50160</v>
      </c>
      <c r="W3643">
        <v>0</v>
      </c>
      <c r="X3643">
        <v>23.8</v>
      </c>
    </row>
    <row r="3644" spans="1:24" ht="15" customHeight="1" x14ac:dyDescent="0.25">
      <c r="A3644" t="str">
        <f>""</f>
        <v/>
      </c>
      <c r="B3644" s="1"/>
      <c r="H3644">
        <v>250</v>
      </c>
      <c r="J3644" t="s">
        <v>23</v>
      </c>
      <c r="L3644" s="1"/>
      <c r="V3644" t="str">
        <f>"69125"</f>
        <v>69125</v>
      </c>
      <c r="W3644">
        <v>0</v>
      </c>
      <c r="X3644">
        <v>0</v>
      </c>
    </row>
    <row r="3645" spans="1:24" ht="15" customHeight="1" x14ac:dyDescent="0.25">
      <c r="A3645" t="str">
        <f>""</f>
        <v/>
      </c>
      <c r="B3645" s="1"/>
      <c r="H3645">
        <v>38.409999999999997</v>
      </c>
      <c r="J3645" t="s">
        <v>20</v>
      </c>
      <c r="L3645" s="1"/>
      <c r="N3645" s="1"/>
      <c r="V3645" t="str">
        <f>"75012"</f>
        <v>75012</v>
      </c>
      <c r="W3645">
        <v>0</v>
      </c>
      <c r="X3645">
        <v>0</v>
      </c>
    </row>
    <row r="3646" spans="1:24" ht="15" customHeight="1" x14ac:dyDescent="0.25">
      <c r="A3646" t="str">
        <f>""</f>
        <v/>
      </c>
      <c r="B3646" s="1"/>
      <c r="H3646">
        <v>84.5</v>
      </c>
      <c r="L3646" s="1"/>
      <c r="N3646" s="1"/>
      <c r="V3646" t="str">
        <f>"77184"</f>
        <v>77184</v>
      </c>
      <c r="W3646">
        <v>0</v>
      </c>
      <c r="X3646">
        <v>0</v>
      </c>
    </row>
    <row r="3647" spans="1:24" ht="15" customHeight="1" x14ac:dyDescent="0.25">
      <c r="A3647" t="str">
        <f>""</f>
        <v/>
      </c>
      <c r="B3647" s="1"/>
      <c r="H3647">
        <v>195.52</v>
      </c>
      <c r="J3647" t="s">
        <v>23</v>
      </c>
      <c r="L3647" s="1"/>
      <c r="N3647" s="1"/>
      <c r="V3647" t="str">
        <f>"44000"</f>
        <v>44000</v>
      </c>
      <c r="W3647">
        <v>0</v>
      </c>
      <c r="X3647">
        <v>0</v>
      </c>
    </row>
    <row r="3648" spans="1:24" ht="15" customHeight="1" x14ac:dyDescent="0.25">
      <c r="A3648" t="str">
        <f>""</f>
        <v/>
      </c>
      <c r="B3648" s="1"/>
      <c r="H3648">
        <v>33.630000000000003</v>
      </c>
      <c r="L3648" s="1"/>
      <c r="N3648" s="1"/>
      <c r="V3648" t="str">
        <f>"77184"</f>
        <v>77184</v>
      </c>
      <c r="W3648">
        <v>0</v>
      </c>
      <c r="X3648">
        <v>0</v>
      </c>
    </row>
    <row r="3649" spans="1:24" ht="15" customHeight="1" x14ac:dyDescent="0.25">
      <c r="A3649" t="str">
        <f>""</f>
        <v/>
      </c>
      <c r="B3649" s="1"/>
      <c r="H3649">
        <v>99.5</v>
      </c>
      <c r="L3649" s="1"/>
      <c r="N3649" s="1"/>
      <c r="V3649" t="str">
        <f>"77184"</f>
        <v>77184</v>
      </c>
      <c r="W3649">
        <v>0</v>
      </c>
      <c r="X3649">
        <v>0</v>
      </c>
    </row>
    <row r="3650" spans="1:24" ht="15" customHeight="1" x14ac:dyDescent="0.25">
      <c r="A3650" t="str">
        <f>""</f>
        <v/>
      </c>
      <c r="B3650" s="1"/>
      <c r="H3650">
        <v>72.12</v>
      </c>
      <c r="L3650" s="1"/>
      <c r="N3650" s="1"/>
      <c r="V3650" t="str">
        <f>"77184"</f>
        <v>77184</v>
      </c>
      <c r="W3650">
        <v>0</v>
      </c>
      <c r="X3650">
        <v>0</v>
      </c>
    </row>
    <row r="3651" spans="1:24" ht="15" customHeight="1" x14ac:dyDescent="0.25">
      <c r="A3651" t="str">
        <f>""</f>
        <v/>
      </c>
      <c r="B3651" s="1"/>
      <c r="H3651">
        <v>92</v>
      </c>
      <c r="J3651" t="s">
        <v>22</v>
      </c>
      <c r="L3651" s="1"/>
      <c r="N3651" s="1"/>
      <c r="V3651" t="str">
        <f>"06190"</f>
        <v>06190</v>
      </c>
      <c r="W3651">
        <v>0</v>
      </c>
      <c r="X3651">
        <v>27.6</v>
      </c>
    </row>
    <row r="3652" spans="1:24" ht="15" customHeight="1" x14ac:dyDescent="0.25">
      <c r="A3652" t="str">
        <f>""</f>
        <v/>
      </c>
      <c r="B3652" s="1"/>
      <c r="H3652">
        <v>325</v>
      </c>
      <c r="J3652" t="s">
        <v>22</v>
      </c>
      <c r="L3652" s="1"/>
      <c r="N3652" s="1"/>
      <c r="V3652" t="str">
        <f>"06190"</f>
        <v>06190</v>
      </c>
      <c r="W3652">
        <v>0</v>
      </c>
      <c r="X3652">
        <v>97.5</v>
      </c>
    </row>
    <row r="3653" spans="1:24" ht="15" customHeight="1" x14ac:dyDescent="0.25">
      <c r="A3653" t="str">
        <f>""</f>
        <v/>
      </c>
      <c r="B3653" s="1"/>
      <c r="H3653">
        <v>64</v>
      </c>
      <c r="J3653" t="s">
        <v>19</v>
      </c>
      <c r="L3653" s="1"/>
      <c r="N3653" s="1"/>
      <c r="V3653" t="str">
        <f>"06190"</f>
        <v>06190</v>
      </c>
      <c r="W3653">
        <v>19.2</v>
      </c>
      <c r="X3653">
        <v>0</v>
      </c>
    </row>
    <row r="3654" spans="1:24" ht="15" customHeight="1" x14ac:dyDescent="0.25">
      <c r="A3654" t="str">
        <f>""</f>
        <v/>
      </c>
      <c r="B3654" s="1"/>
      <c r="H3654">
        <v>503.21</v>
      </c>
      <c r="J3654" t="s">
        <v>20</v>
      </c>
      <c r="L3654" s="1"/>
      <c r="N3654" s="1"/>
      <c r="V3654" t="str">
        <f>"25600"</f>
        <v>25600</v>
      </c>
      <c r="W3654">
        <v>120.77</v>
      </c>
      <c r="X3654">
        <v>0</v>
      </c>
    </row>
    <row r="3655" spans="1:24" ht="15" customHeight="1" x14ac:dyDescent="0.25">
      <c r="A3655" t="str">
        <f>""</f>
        <v/>
      </c>
      <c r="B3655" s="1"/>
      <c r="H3655">
        <v>140.31</v>
      </c>
      <c r="J3655" t="s">
        <v>19</v>
      </c>
      <c r="L3655" s="1"/>
      <c r="N3655" s="1"/>
      <c r="V3655" t="str">
        <f>"49280"</f>
        <v>49280</v>
      </c>
      <c r="W3655">
        <v>37.880000000000003</v>
      </c>
      <c r="X3655">
        <v>0</v>
      </c>
    </row>
    <row r="3656" spans="1:24" ht="15" customHeight="1" x14ac:dyDescent="0.25">
      <c r="A3656" t="str">
        <f>""</f>
        <v/>
      </c>
      <c r="B3656" s="1"/>
      <c r="H3656">
        <v>142.99</v>
      </c>
      <c r="J3656" t="s">
        <v>20</v>
      </c>
      <c r="L3656" s="1"/>
      <c r="N3656" s="1"/>
      <c r="V3656" t="str">
        <f>"73000"</f>
        <v>73000</v>
      </c>
      <c r="W3656">
        <v>38.61</v>
      </c>
      <c r="X3656">
        <v>0</v>
      </c>
    </row>
    <row r="3657" spans="1:24" ht="15" customHeight="1" x14ac:dyDescent="0.25">
      <c r="A3657" t="str">
        <f>""</f>
        <v/>
      </c>
      <c r="B3657" s="1"/>
      <c r="H3657">
        <v>140</v>
      </c>
      <c r="J3657" t="s">
        <v>22</v>
      </c>
      <c r="L3657" s="1"/>
      <c r="N3657" s="1"/>
      <c r="V3657" t="str">
        <f>"68250"</f>
        <v>68250</v>
      </c>
      <c r="W3657">
        <v>0</v>
      </c>
      <c r="X3657">
        <v>11.2</v>
      </c>
    </row>
    <row r="3658" spans="1:24" ht="15" customHeight="1" x14ac:dyDescent="0.25">
      <c r="A3658" t="str">
        <f>""</f>
        <v/>
      </c>
      <c r="B3658" s="1"/>
      <c r="H3658">
        <v>79</v>
      </c>
      <c r="J3658" t="s">
        <v>22</v>
      </c>
      <c r="L3658" s="1"/>
      <c r="N3658" s="1"/>
      <c r="V3658" t="str">
        <f>"57740"</f>
        <v>57740</v>
      </c>
      <c r="W3658">
        <v>0</v>
      </c>
      <c r="X3658">
        <v>19.75</v>
      </c>
    </row>
    <row r="3659" spans="1:24" ht="15" customHeight="1" x14ac:dyDescent="0.25">
      <c r="A3659" t="str">
        <f>""</f>
        <v/>
      </c>
      <c r="B3659" s="1"/>
      <c r="H3659">
        <v>184.94</v>
      </c>
      <c r="J3659" t="s">
        <v>20</v>
      </c>
      <c r="L3659" s="1"/>
      <c r="N3659" s="1"/>
      <c r="V3659" t="str">
        <f>"62300"</f>
        <v>62300</v>
      </c>
      <c r="W3659">
        <v>35.14</v>
      </c>
      <c r="X3659">
        <v>0</v>
      </c>
    </row>
    <row r="3660" spans="1:24" ht="15" customHeight="1" x14ac:dyDescent="0.25">
      <c r="A3660" t="str">
        <f>""</f>
        <v/>
      </c>
      <c r="B3660" s="1"/>
      <c r="H3660">
        <v>126.65</v>
      </c>
      <c r="J3660" t="s">
        <v>20</v>
      </c>
      <c r="L3660" s="1"/>
      <c r="N3660" s="1"/>
      <c r="V3660" t="str">
        <f>"64121"</f>
        <v>64121</v>
      </c>
      <c r="W3660">
        <v>26.6</v>
      </c>
      <c r="X3660">
        <v>0</v>
      </c>
    </row>
    <row r="3661" spans="1:24" ht="15" customHeight="1" x14ac:dyDescent="0.25">
      <c r="A3661" t="str">
        <f>""</f>
        <v/>
      </c>
      <c r="B3661" s="1"/>
      <c r="H3661">
        <v>52.52</v>
      </c>
      <c r="J3661" t="s">
        <v>20</v>
      </c>
      <c r="L3661" s="1"/>
      <c r="N3661" s="1"/>
      <c r="V3661" t="str">
        <f>"31100"</f>
        <v>31100</v>
      </c>
      <c r="W3661">
        <v>11.55</v>
      </c>
      <c r="X3661">
        <v>0</v>
      </c>
    </row>
    <row r="3662" spans="1:24" ht="15" customHeight="1" x14ac:dyDescent="0.25">
      <c r="A3662" t="str">
        <f>""</f>
        <v/>
      </c>
      <c r="B3662" s="1"/>
      <c r="H3662">
        <v>28.62</v>
      </c>
      <c r="J3662" t="s">
        <v>19</v>
      </c>
      <c r="L3662" s="1"/>
      <c r="N3662" s="1"/>
      <c r="V3662" t="str">
        <f>"13610"</f>
        <v>13610</v>
      </c>
      <c r="W3662">
        <v>8.3000000000000007</v>
      </c>
      <c r="X3662">
        <v>0</v>
      </c>
    </row>
    <row r="3663" spans="1:24" ht="15" customHeight="1" x14ac:dyDescent="0.25">
      <c r="A3663" t="str">
        <f>""</f>
        <v/>
      </c>
      <c r="B3663" s="1"/>
      <c r="H3663">
        <v>107.6</v>
      </c>
      <c r="J3663" t="s">
        <v>19</v>
      </c>
      <c r="L3663" s="1"/>
      <c r="N3663" s="1"/>
      <c r="V3663" t="str">
        <f>"75014"</f>
        <v>75014</v>
      </c>
      <c r="W3663">
        <v>0</v>
      </c>
      <c r="X3663">
        <v>0</v>
      </c>
    </row>
    <row r="3664" spans="1:24" ht="15" customHeight="1" x14ac:dyDescent="0.25">
      <c r="A3664" t="str">
        <f>""</f>
        <v/>
      </c>
      <c r="B3664" s="1"/>
      <c r="H3664">
        <v>137.44999999999999</v>
      </c>
      <c r="J3664" t="s">
        <v>20</v>
      </c>
      <c r="L3664" s="1"/>
      <c r="N3664" s="1"/>
      <c r="V3664" t="str">
        <f>"79110"</f>
        <v>79110</v>
      </c>
      <c r="W3664">
        <v>28.86</v>
      </c>
      <c r="X3664">
        <v>0</v>
      </c>
    </row>
    <row r="3665" spans="1:24" ht="15" customHeight="1" x14ac:dyDescent="0.25">
      <c r="A3665" t="str">
        <f>""</f>
        <v/>
      </c>
      <c r="B3665" s="1"/>
      <c r="H3665">
        <v>55.14</v>
      </c>
      <c r="J3665" t="s">
        <v>19</v>
      </c>
      <c r="L3665" s="1"/>
      <c r="N3665" s="1"/>
      <c r="V3665" t="str">
        <f>"67000"</f>
        <v>67000</v>
      </c>
      <c r="W3665">
        <v>15.99</v>
      </c>
      <c r="X3665">
        <v>0</v>
      </c>
    </row>
    <row r="3666" spans="1:24" ht="15" customHeight="1" x14ac:dyDescent="0.25">
      <c r="A3666" t="str">
        <f>""</f>
        <v/>
      </c>
      <c r="B3666" s="1"/>
      <c r="H3666">
        <v>136.97999999999999</v>
      </c>
      <c r="J3666" t="s">
        <v>19</v>
      </c>
      <c r="L3666" s="1"/>
      <c r="N3666" s="1"/>
      <c r="V3666" t="str">
        <f>"69800"</f>
        <v>69800</v>
      </c>
      <c r="W3666">
        <v>36.979999999999997</v>
      </c>
      <c r="X3666">
        <v>0</v>
      </c>
    </row>
    <row r="3667" spans="1:24" ht="15" customHeight="1" x14ac:dyDescent="0.25">
      <c r="A3667" t="str">
        <f>""</f>
        <v/>
      </c>
      <c r="B3667" s="1"/>
      <c r="H3667">
        <v>53.38</v>
      </c>
      <c r="J3667" t="s">
        <v>20</v>
      </c>
      <c r="L3667" s="1"/>
      <c r="N3667" s="1"/>
      <c r="V3667" t="str">
        <f>"75014"</f>
        <v>75014</v>
      </c>
      <c r="W3667">
        <v>0</v>
      </c>
      <c r="X3667">
        <v>0</v>
      </c>
    </row>
    <row r="3668" spans="1:24" ht="15" customHeight="1" x14ac:dyDescent="0.25">
      <c r="A3668" t="str">
        <f>""</f>
        <v/>
      </c>
      <c r="B3668" s="1"/>
      <c r="H3668">
        <v>75.27</v>
      </c>
      <c r="J3668" t="s">
        <v>20</v>
      </c>
      <c r="L3668" s="1"/>
      <c r="N3668" s="1"/>
      <c r="V3668" t="str">
        <f>"69002"</f>
        <v>69002</v>
      </c>
      <c r="W3668">
        <v>20.32</v>
      </c>
      <c r="X3668">
        <v>0</v>
      </c>
    </row>
    <row r="3669" spans="1:24" ht="15" customHeight="1" x14ac:dyDescent="0.25">
      <c r="A3669" t="str">
        <f>""</f>
        <v/>
      </c>
      <c r="B3669" s="1"/>
      <c r="H3669">
        <v>112</v>
      </c>
      <c r="L3669" s="1"/>
      <c r="N3669" s="1"/>
      <c r="V3669" t="str">
        <f>"44240"</f>
        <v>44240</v>
      </c>
      <c r="W3669">
        <v>0</v>
      </c>
      <c r="X3669">
        <v>0</v>
      </c>
    </row>
    <row r="3670" spans="1:24" ht="15" customHeight="1" x14ac:dyDescent="0.25">
      <c r="A3670" t="str">
        <f>""</f>
        <v/>
      </c>
      <c r="B3670" s="1"/>
      <c r="H3670">
        <v>182</v>
      </c>
      <c r="L3670" s="1"/>
      <c r="N3670" s="1"/>
      <c r="V3670" t="str">
        <f>"44240"</f>
        <v>44240</v>
      </c>
      <c r="W3670">
        <v>0</v>
      </c>
      <c r="X3670">
        <v>0</v>
      </c>
    </row>
    <row r="3671" spans="1:24" ht="15" customHeight="1" x14ac:dyDescent="0.25">
      <c r="A3671" t="str">
        <f>""</f>
        <v/>
      </c>
      <c r="B3671" s="1"/>
      <c r="H3671">
        <v>22.5</v>
      </c>
      <c r="L3671" s="1"/>
      <c r="N3671" s="1"/>
      <c r="V3671" t="str">
        <f>"44240"</f>
        <v>44240</v>
      </c>
      <c r="W3671">
        <v>0</v>
      </c>
      <c r="X3671">
        <v>0</v>
      </c>
    </row>
    <row r="3672" spans="1:24" ht="15" customHeight="1" x14ac:dyDescent="0.25">
      <c r="A3672" t="str">
        <f>""</f>
        <v/>
      </c>
      <c r="B3672" s="1"/>
      <c r="H3672">
        <v>180</v>
      </c>
      <c r="J3672" t="s">
        <v>23</v>
      </c>
      <c r="L3672" s="1"/>
      <c r="N3672" s="1"/>
      <c r="V3672" t="str">
        <f>"26500"</f>
        <v>26500</v>
      </c>
      <c r="W3672">
        <v>0</v>
      </c>
      <c r="X3672">
        <v>0</v>
      </c>
    </row>
    <row r="3673" spans="1:24" ht="15" customHeight="1" x14ac:dyDescent="0.25">
      <c r="A3673" t="str">
        <f>""</f>
        <v/>
      </c>
      <c r="B3673" s="1"/>
      <c r="H3673">
        <v>13</v>
      </c>
      <c r="J3673" t="s">
        <v>20</v>
      </c>
      <c r="L3673" s="1"/>
      <c r="N3673" s="1"/>
      <c r="V3673" t="str">
        <f>"83190"</f>
        <v>83190</v>
      </c>
      <c r="W3673">
        <v>0</v>
      </c>
      <c r="X3673">
        <v>0</v>
      </c>
    </row>
    <row r="3674" spans="1:24" ht="15" customHeight="1" x14ac:dyDescent="0.25">
      <c r="A3674" t="str">
        <f>""</f>
        <v/>
      </c>
      <c r="B3674" s="1"/>
      <c r="H3674">
        <v>180</v>
      </c>
      <c r="J3674" t="s">
        <v>22</v>
      </c>
      <c r="L3674" s="1"/>
      <c r="N3674" s="1"/>
      <c r="V3674" t="str">
        <f>"37400"</f>
        <v>37400</v>
      </c>
      <c r="W3674">
        <v>0</v>
      </c>
      <c r="X3674">
        <v>21.6</v>
      </c>
    </row>
    <row r="3675" spans="1:24" ht="15" customHeight="1" x14ac:dyDescent="0.25">
      <c r="A3675" t="str">
        <f>""</f>
        <v/>
      </c>
      <c r="B3675" s="1"/>
      <c r="H3675">
        <v>19.649999999999999</v>
      </c>
      <c r="J3675" t="s">
        <v>19</v>
      </c>
      <c r="L3675" s="1"/>
      <c r="N3675" s="1"/>
      <c r="V3675" t="str">
        <f>"75014"</f>
        <v>75014</v>
      </c>
      <c r="W3675">
        <v>0</v>
      </c>
      <c r="X3675">
        <v>0</v>
      </c>
    </row>
    <row r="3676" spans="1:24" ht="15" customHeight="1" x14ac:dyDescent="0.25">
      <c r="A3676" t="str">
        <f>""</f>
        <v/>
      </c>
      <c r="B3676" s="1"/>
      <c r="H3676">
        <v>19.649999999999999</v>
      </c>
      <c r="J3676" t="s">
        <v>19</v>
      </c>
      <c r="L3676" s="1"/>
      <c r="N3676" s="1"/>
      <c r="V3676" t="str">
        <f>"75014"</f>
        <v>75014</v>
      </c>
      <c r="W3676">
        <v>0</v>
      </c>
      <c r="X3676">
        <v>0</v>
      </c>
    </row>
    <row r="3677" spans="1:24" ht="15" customHeight="1" x14ac:dyDescent="0.25">
      <c r="A3677" t="str">
        <f>""</f>
        <v/>
      </c>
      <c r="B3677" s="1"/>
      <c r="H3677">
        <v>19.649999999999999</v>
      </c>
      <c r="J3677" t="s">
        <v>19</v>
      </c>
      <c r="L3677" s="1"/>
      <c r="N3677" s="1"/>
      <c r="V3677" t="str">
        <f>"75014"</f>
        <v>75014</v>
      </c>
      <c r="W3677">
        <v>0</v>
      </c>
      <c r="X3677">
        <v>0</v>
      </c>
    </row>
    <row r="3678" spans="1:24" ht="15" customHeight="1" x14ac:dyDescent="0.25">
      <c r="A3678" t="str">
        <f>""</f>
        <v/>
      </c>
      <c r="B3678" s="1"/>
      <c r="H3678">
        <v>19.649999999999999</v>
      </c>
      <c r="J3678" t="s">
        <v>19</v>
      </c>
      <c r="L3678" s="1"/>
      <c r="N3678" s="1"/>
      <c r="V3678" t="str">
        <f>"75014"</f>
        <v>75014</v>
      </c>
      <c r="W3678">
        <v>0</v>
      </c>
      <c r="X3678">
        <v>0</v>
      </c>
    </row>
    <row r="3679" spans="1:24" ht="15" customHeight="1" x14ac:dyDescent="0.25">
      <c r="A3679" t="str">
        <f>""</f>
        <v/>
      </c>
      <c r="B3679" s="1"/>
      <c r="H3679">
        <v>0.53</v>
      </c>
      <c r="J3679" t="s">
        <v>20</v>
      </c>
      <c r="L3679" s="1"/>
      <c r="N3679" s="1"/>
      <c r="V3679" t="str">
        <f>"21000"</f>
        <v>21000</v>
      </c>
      <c r="W3679">
        <v>0.13</v>
      </c>
      <c r="X3679">
        <v>0</v>
      </c>
    </row>
    <row r="3680" spans="1:24" ht="15" customHeight="1" x14ac:dyDescent="0.25">
      <c r="A3680" t="str">
        <f>""</f>
        <v/>
      </c>
      <c r="B3680" s="1"/>
      <c r="H3680">
        <v>55.34</v>
      </c>
      <c r="J3680" t="s">
        <v>20</v>
      </c>
      <c r="L3680" s="1"/>
      <c r="N3680" s="1"/>
      <c r="V3680" t="str">
        <f>"03000"</f>
        <v>03000</v>
      </c>
      <c r="W3680">
        <v>16.05</v>
      </c>
      <c r="X3680">
        <v>0</v>
      </c>
    </row>
    <row r="3681" spans="1:24" ht="15" customHeight="1" x14ac:dyDescent="0.25">
      <c r="A3681" t="str">
        <f>""</f>
        <v/>
      </c>
      <c r="B3681" s="1"/>
      <c r="H3681">
        <v>127.01</v>
      </c>
      <c r="J3681" t="s">
        <v>20</v>
      </c>
      <c r="L3681" s="1"/>
      <c r="N3681" s="1"/>
      <c r="V3681" t="str">
        <f>"67280"</f>
        <v>67280</v>
      </c>
      <c r="W3681">
        <v>36.83</v>
      </c>
      <c r="X3681">
        <v>0</v>
      </c>
    </row>
    <row r="3682" spans="1:24" ht="15" customHeight="1" x14ac:dyDescent="0.25">
      <c r="A3682" t="str">
        <f>""</f>
        <v/>
      </c>
      <c r="B3682" s="1"/>
      <c r="H3682">
        <v>171.81</v>
      </c>
      <c r="J3682" t="s">
        <v>20</v>
      </c>
      <c r="L3682" s="1"/>
      <c r="N3682" s="1"/>
      <c r="V3682" t="str">
        <f>"25200"</f>
        <v>25200</v>
      </c>
      <c r="W3682">
        <v>41.23</v>
      </c>
      <c r="X3682">
        <v>0</v>
      </c>
    </row>
    <row r="3683" spans="1:24" ht="15" customHeight="1" x14ac:dyDescent="0.25">
      <c r="A3683" t="str">
        <f>""</f>
        <v/>
      </c>
      <c r="B3683" s="1"/>
      <c r="H3683">
        <v>169.03</v>
      </c>
      <c r="L3683" s="1"/>
      <c r="N3683" s="1"/>
      <c r="V3683" t="str">
        <f>"77184"</f>
        <v>77184</v>
      </c>
      <c r="W3683">
        <v>0</v>
      </c>
      <c r="X3683">
        <v>0</v>
      </c>
    </row>
    <row r="3684" spans="1:24" ht="15" customHeight="1" x14ac:dyDescent="0.25">
      <c r="A3684" t="str">
        <f>""</f>
        <v/>
      </c>
      <c r="B3684" s="1"/>
      <c r="H3684">
        <v>30</v>
      </c>
      <c r="J3684" t="s">
        <v>22</v>
      </c>
      <c r="L3684" s="1"/>
      <c r="V3684" t="str">
        <f>"17350"</f>
        <v>17350</v>
      </c>
      <c r="W3684">
        <v>0</v>
      </c>
      <c r="X3684">
        <v>0</v>
      </c>
    </row>
    <row r="3685" spans="1:24" ht="15" customHeight="1" x14ac:dyDescent="0.25">
      <c r="A3685" t="str">
        <f>""</f>
        <v/>
      </c>
      <c r="B3685" s="1"/>
      <c r="H3685">
        <v>140.53</v>
      </c>
      <c r="J3685" t="s">
        <v>19</v>
      </c>
      <c r="L3685" s="1"/>
      <c r="N3685" s="1"/>
      <c r="V3685" t="str">
        <f>"62000"</f>
        <v>62000</v>
      </c>
      <c r="W3685">
        <v>26.7</v>
      </c>
      <c r="X3685">
        <v>0</v>
      </c>
    </row>
    <row r="3686" spans="1:24" ht="15" customHeight="1" x14ac:dyDescent="0.25">
      <c r="A3686" t="str">
        <f>""</f>
        <v/>
      </c>
      <c r="B3686" s="1"/>
      <c r="H3686">
        <v>132.01</v>
      </c>
      <c r="J3686" t="s">
        <v>20</v>
      </c>
      <c r="L3686" s="1"/>
      <c r="N3686" s="1"/>
      <c r="V3686" t="str">
        <f>"22300"</f>
        <v>22300</v>
      </c>
      <c r="W3686">
        <v>51.48</v>
      </c>
      <c r="X3686">
        <v>0</v>
      </c>
    </row>
    <row r="3687" spans="1:24" ht="15" customHeight="1" x14ac:dyDescent="0.25">
      <c r="A3687" t="str">
        <f>""</f>
        <v/>
      </c>
      <c r="B3687" s="1"/>
      <c r="H3687">
        <v>142.01</v>
      </c>
      <c r="J3687" t="s">
        <v>20</v>
      </c>
      <c r="L3687" s="1"/>
      <c r="N3687" s="1"/>
      <c r="V3687" t="str">
        <f>"94550"</f>
        <v>94550</v>
      </c>
      <c r="W3687">
        <v>0</v>
      </c>
      <c r="X3687">
        <v>0</v>
      </c>
    </row>
    <row r="3688" spans="1:24" ht="15" customHeight="1" x14ac:dyDescent="0.25">
      <c r="A3688" t="str">
        <f>""</f>
        <v/>
      </c>
      <c r="B3688" s="1"/>
      <c r="H3688">
        <v>22.62</v>
      </c>
      <c r="J3688" t="s">
        <v>19</v>
      </c>
      <c r="L3688" s="1"/>
      <c r="N3688" s="1"/>
      <c r="V3688" t="str">
        <f>"52800"</f>
        <v>52800</v>
      </c>
      <c r="W3688">
        <v>5.43</v>
      </c>
      <c r="X3688">
        <v>0</v>
      </c>
    </row>
    <row r="3689" spans="1:24" ht="15" customHeight="1" x14ac:dyDescent="0.25">
      <c r="A3689" t="str">
        <f>""</f>
        <v/>
      </c>
      <c r="B3689" s="1"/>
      <c r="H3689">
        <v>32.85</v>
      </c>
      <c r="J3689" t="s">
        <v>20</v>
      </c>
      <c r="L3689" s="1"/>
      <c r="N3689" s="1"/>
      <c r="V3689" t="str">
        <f>"75007"</f>
        <v>75007</v>
      </c>
      <c r="W3689">
        <v>0</v>
      </c>
      <c r="X3689">
        <v>0</v>
      </c>
    </row>
    <row r="3690" spans="1:24" ht="15" customHeight="1" x14ac:dyDescent="0.25">
      <c r="A3690" t="str">
        <f>""</f>
        <v/>
      </c>
      <c r="B3690" s="1"/>
      <c r="H3690">
        <v>132.24</v>
      </c>
      <c r="J3690" t="s">
        <v>20</v>
      </c>
      <c r="L3690" s="1"/>
      <c r="N3690" s="1"/>
      <c r="V3690" t="str">
        <f>"84000"</f>
        <v>84000</v>
      </c>
      <c r="W3690">
        <v>38.35</v>
      </c>
      <c r="X3690">
        <v>0</v>
      </c>
    </row>
    <row r="3691" spans="1:24" ht="15" customHeight="1" x14ac:dyDescent="0.25">
      <c r="A3691" t="str">
        <f>""</f>
        <v/>
      </c>
      <c r="B3691" s="1"/>
      <c r="H3691">
        <v>19.8</v>
      </c>
      <c r="J3691" t="s">
        <v>20</v>
      </c>
      <c r="L3691" s="1"/>
      <c r="N3691" s="1"/>
      <c r="V3691" t="str">
        <f>"89150"</f>
        <v>89150</v>
      </c>
      <c r="W3691">
        <v>4.75</v>
      </c>
      <c r="X3691">
        <v>0</v>
      </c>
    </row>
    <row r="3692" spans="1:24" ht="15" customHeight="1" x14ac:dyDescent="0.25">
      <c r="A3692" t="str">
        <f>""</f>
        <v/>
      </c>
      <c r="B3692" s="1"/>
      <c r="H3692">
        <v>66.2</v>
      </c>
      <c r="L3692" s="1"/>
      <c r="N3692" s="1"/>
      <c r="V3692" t="str">
        <f>"77184"</f>
        <v>77184</v>
      </c>
      <c r="W3692">
        <v>0</v>
      </c>
      <c r="X3692">
        <v>0</v>
      </c>
    </row>
    <row r="3693" spans="1:24" ht="15" customHeight="1" x14ac:dyDescent="0.25">
      <c r="A3693" t="str">
        <f>""</f>
        <v/>
      </c>
      <c r="B3693" s="1"/>
      <c r="H3693">
        <v>25</v>
      </c>
      <c r="L3693" s="1"/>
      <c r="N3693" s="1"/>
      <c r="V3693" t="str">
        <f>"77184"</f>
        <v>77184</v>
      </c>
      <c r="W3693">
        <v>0</v>
      </c>
      <c r="X3693">
        <v>0</v>
      </c>
    </row>
    <row r="3694" spans="1:24" ht="15" customHeight="1" x14ac:dyDescent="0.25">
      <c r="A3694" t="str">
        <f>""</f>
        <v/>
      </c>
      <c r="B3694" s="1"/>
      <c r="H3694">
        <v>157</v>
      </c>
      <c r="L3694" s="1"/>
      <c r="N3694" s="1"/>
      <c r="V3694" t="str">
        <f>"77184"</f>
        <v>77184</v>
      </c>
      <c r="W3694">
        <v>0</v>
      </c>
      <c r="X3694">
        <v>0</v>
      </c>
    </row>
    <row r="3695" spans="1:24" ht="15" customHeight="1" x14ac:dyDescent="0.25">
      <c r="A3695" t="str">
        <f>""</f>
        <v/>
      </c>
      <c r="B3695" s="1"/>
      <c r="H3695">
        <v>140</v>
      </c>
      <c r="J3695" t="s">
        <v>22</v>
      </c>
      <c r="L3695" s="1"/>
      <c r="N3695" s="1"/>
      <c r="V3695" t="str">
        <f>"67230"</f>
        <v>67230</v>
      </c>
      <c r="W3695">
        <v>0</v>
      </c>
      <c r="X3695">
        <v>11.2</v>
      </c>
    </row>
    <row r="3696" spans="1:24" ht="15" customHeight="1" x14ac:dyDescent="0.25">
      <c r="A3696" t="str">
        <f>""</f>
        <v/>
      </c>
      <c r="B3696" s="1"/>
      <c r="H3696">
        <v>5.85</v>
      </c>
      <c r="J3696" t="s">
        <v>19</v>
      </c>
      <c r="L3696" s="1"/>
      <c r="N3696" s="1"/>
      <c r="V3696" t="str">
        <f>"94405"</f>
        <v>94405</v>
      </c>
      <c r="W3696">
        <v>0</v>
      </c>
      <c r="X3696">
        <v>0</v>
      </c>
    </row>
    <row r="3697" spans="1:24" ht="15" customHeight="1" x14ac:dyDescent="0.25">
      <c r="A3697" t="str">
        <f>""</f>
        <v/>
      </c>
      <c r="B3697" s="1"/>
      <c r="H3697">
        <v>103.06</v>
      </c>
      <c r="J3697" t="s">
        <v>20</v>
      </c>
      <c r="L3697" s="1"/>
      <c r="N3697" s="1"/>
      <c r="V3697" t="str">
        <f>"25310"</f>
        <v>25310</v>
      </c>
      <c r="W3697">
        <v>24.73</v>
      </c>
      <c r="X3697">
        <v>0</v>
      </c>
    </row>
    <row r="3698" spans="1:24" ht="15" customHeight="1" x14ac:dyDescent="0.25">
      <c r="A3698" t="str">
        <f>""</f>
        <v/>
      </c>
      <c r="B3698" s="1"/>
      <c r="J3698" t="s">
        <v>20</v>
      </c>
      <c r="L3698" s="1"/>
      <c r="N3698" s="1"/>
      <c r="V3698" t="str">
        <f>"31150"</f>
        <v>31150</v>
      </c>
      <c r="W3698">
        <v>0</v>
      </c>
      <c r="X3698">
        <v>0</v>
      </c>
    </row>
    <row r="3699" spans="1:24" ht="15" customHeight="1" x14ac:dyDescent="0.25">
      <c r="A3699" t="str">
        <f>""</f>
        <v/>
      </c>
      <c r="B3699" s="1"/>
      <c r="H3699">
        <v>180</v>
      </c>
      <c r="J3699" t="s">
        <v>23</v>
      </c>
      <c r="L3699" s="1"/>
      <c r="N3699" s="1"/>
      <c r="V3699" t="str">
        <f>"62220"</f>
        <v>62220</v>
      </c>
      <c r="W3699">
        <v>0</v>
      </c>
      <c r="X3699">
        <v>0</v>
      </c>
    </row>
    <row r="3700" spans="1:24" ht="15" customHeight="1" x14ac:dyDescent="0.25">
      <c r="A3700" t="str">
        <f>""</f>
        <v/>
      </c>
      <c r="B3700" s="1"/>
      <c r="H3700">
        <v>140</v>
      </c>
      <c r="J3700" t="s">
        <v>23</v>
      </c>
      <c r="L3700" s="1"/>
      <c r="N3700" s="1"/>
      <c r="V3700" t="str">
        <f>"55800"</f>
        <v>55800</v>
      </c>
      <c r="W3700">
        <v>0</v>
      </c>
      <c r="X3700">
        <v>35</v>
      </c>
    </row>
    <row r="3701" spans="1:24" ht="15" customHeight="1" x14ac:dyDescent="0.25">
      <c r="A3701" t="str">
        <f>""</f>
        <v/>
      </c>
      <c r="B3701" s="1"/>
      <c r="H3701">
        <v>1084.4000000000001</v>
      </c>
      <c r="J3701" t="s">
        <v>20</v>
      </c>
      <c r="L3701" s="1"/>
      <c r="N3701" s="1"/>
      <c r="V3701" t="str">
        <f>"29860"</f>
        <v>29860</v>
      </c>
      <c r="W3701">
        <v>422.92</v>
      </c>
      <c r="X3701">
        <v>0</v>
      </c>
    </row>
    <row r="3702" spans="1:24" ht="15" customHeight="1" x14ac:dyDescent="0.25">
      <c r="A3702" t="str">
        <f>""</f>
        <v/>
      </c>
      <c r="B3702" s="1"/>
      <c r="H3702">
        <v>40.75</v>
      </c>
      <c r="J3702" t="s">
        <v>19</v>
      </c>
      <c r="L3702" s="1"/>
      <c r="N3702" s="1"/>
      <c r="V3702" t="str">
        <f>"78190"</f>
        <v>78190</v>
      </c>
      <c r="W3702">
        <v>0</v>
      </c>
      <c r="X3702">
        <v>0</v>
      </c>
    </row>
    <row r="3703" spans="1:24" ht="15" customHeight="1" x14ac:dyDescent="0.25">
      <c r="A3703" t="str">
        <f>""</f>
        <v/>
      </c>
      <c r="B3703" s="1"/>
      <c r="H3703">
        <v>158.81</v>
      </c>
      <c r="J3703" t="s">
        <v>20</v>
      </c>
      <c r="L3703" s="1"/>
      <c r="N3703" s="1"/>
      <c r="V3703" t="str">
        <f>"35380"</f>
        <v>35380</v>
      </c>
      <c r="W3703">
        <v>42.88</v>
      </c>
      <c r="X3703">
        <v>0</v>
      </c>
    </row>
    <row r="3704" spans="1:24" ht="15" customHeight="1" x14ac:dyDescent="0.25">
      <c r="A3704" t="str">
        <f>""</f>
        <v/>
      </c>
      <c r="B3704" s="1"/>
      <c r="H3704">
        <v>8.0399999999999991</v>
      </c>
      <c r="J3704" t="s">
        <v>20</v>
      </c>
      <c r="L3704" s="1"/>
      <c r="N3704" s="1"/>
      <c r="V3704" t="str">
        <f>"78820"</f>
        <v>78820</v>
      </c>
      <c r="W3704">
        <v>0</v>
      </c>
      <c r="X3704">
        <v>0</v>
      </c>
    </row>
    <row r="3705" spans="1:24" ht="15" customHeight="1" x14ac:dyDescent="0.25">
      <c r="A3705" t="str">
        <f>""</f>
        <v/>
      </c>
      <c r="B3705" s="1"/>
      <c r="H3705">
        <v>76.73</v>
      </c>
      <c r="J3705" t="s">
        <v>20</v>
      </c>
      <c r="L3705" s="1"/>
      <c r="N3705" s="1"/>
      <c r="V3705" t="str">
        <f>"57310"</f>
        <v>57310</v>
      </c>
      <c r="W3705">
        <v>19.18</v>
      </c>
      <c r="X3705">
        <v>0</v>
      </c>
    </row>
    <row r="3706" spans="1:24" ht="15" customHeight="1" x14ac:dyDescent="0.25">
      <c r="A3706" t="str">
        <f>""</f>
        <v/>
      </c>
      <c r="B3706" s="1"/>
      <c r="H3706">
        <v>143.19999999999999</v>
      </c>
      <c r="J3706" t="s">
        <v>19</v>
      </c>
      <c r="L3706" s="1"/>
      <c r="N3706" s="1"/>
      <c r="V3706" t="str">
        <f>"76600"</f>
        <v>76600</v>
      </c>
      <c r="W3706">
        <v>24.34</v>
      </c>
      <c r="X3706">
        <v>0</v>
      </c>
    </row>
    <row r="3707" spans="1:24" ht="15" customHeight="1" x14ac:dyDescent="0.25">
      <c r="A3707" t="str">
        <f>""</f>
        <v/>
      </c>
      <c r="B3707" s="1"/>
      <c r="H3707">
        <v>92</v>
      </c>
      <c r="J3707" t="s">
        <v>20</v>
      </c>
      <c r="L3707" s="1"/>
      <c r="N3707" s="1"/>
      <c r="V3707" t="str">
        <f>"45100"</f>
        <v>45100</v>
      </c>
      <c r="W3707">
        <v>19.32</v>
      </c>
      <c r="X3707">
        <v>0</v>
      </c>
    </row>
    <row r="3708" spans="1:24" ht="15" customHeight="1" x14ac:dyDescent="0.25">
      <c r="A3708" t="str">
        <f>""</f>
        <v/>
      </c>
      <c r="B3708" s="1"/>
      <c r="H3708">
        <v>375.5</v>
      </c>
      <c r="L3708" s="1"/>
      <c r="N3708" s="1"/>
      <c r="V3708" t="str">
        <f>"77184"</f>
        <v>77184</v>
      </c>
      <c r="W3708">
        <v>0</v>
      </c>
      <c r="X3708">
        <v>0</v>
      </c>
    </row>
    <row r="3709" spans="1:24" ht="15" customHeight="1" x14ac:dyDescent="0.25">
      <c r="A3709" t="str">
        <f>""</f>
        <v/>
      </c>
      <c r="B3709" s="1"/>
      <c r="H3709">
        <v>180</v>
      </c>
      <c r="J3709" t="s">
        <v>23</v>
      </c>
      <c r="L3709" s="1"/>
      <c r="N3709" s="1"/>
      <c r="V3709" t="str">
        <f>"42380"</f>
        <v>42380</v>
      </c>
      <c r="W3709">
        <v>0</v>
      </c>
      <c r="X3709">
        <v>0</v>
      </c>
    </row>
    <row r="3710" spans="1:24" ht="15" customHeight="1" x14ac:dyDescent="0.25">
      <c r="A3710" t="str">
        <f>""</f>
        <v/>
      </c>
      <c r="B3710" s="1"/>
      <c r="H3710">
        <v>171.25</v>
      </c>
      <c r="J3710" t="s">
        <v>22</v>
      </c>
      <c r="L3710" s="1"/>
      <c r="N3710" s="1"/>
      <c r="V3710" t="str">
        <f>"68520"</f>
        <v>68520</v>
      </c>
      <c r="W3710">
        <v>0</v>
      </c>
      <c r="X3710">
        <v>13.7</v>
      </c>
    </row>
    <row r="3711" spans="1:24" ht="15" customHeight="1" x14ac:dyDescent="0.25">
      <c r="A3711" t="str">
        <f>""</f>
        <v/>
      </c>
      <c r="B3711" s="1"/>
      <c r="H3711">
        <v>74.540000000000006</v>
      </c>
      <c r="J3711" t="s">
        <v>23</v>
      </c>
      <c r="L3711" s="1"/>
      <c r="N3711" s="1"/>
      <c r="V3711" t="str">
        <f>"75004"</f>
        <v>75004</v>
      </c>
      <c r="W3711">
        <v>0</v>
      </c>
      <c r="X3711">
        <v>0</v>
      </c>
    </row>
    <row r="3712" spans="1:24" x14ac:dyDescent="0.25">
      <c r="A3712" t="str">
        <f>""</f>
        <v/>
      </c>
      <c r="B3712" s="1"/>
      <c r="H3712">
        <v>1503.29</v>
      </c>
      <c r="J3712" t="s">
        <v>16</v>
      </c>
      <c r="L3712" s="1"/>
      <c r="N3712" s="1"/>
      <c r="V3712" t="str">
        <f>"94150"</f>
        <v>94150</v>
      </c>
      <c r="W3712">
        <v>0</v>
      </c>
      <c r="X3712">
        <v>255.56</v>
      </c>
    </row>
    <row r="3713" spans="1:24" ht="15" customHeight="1" x14ac:dyDescent="0.25">
      <c r="A3713" t="str">
        <f>""</f>
        <v/>
      </c>
      <c r="B3713" s="1"/>
      <c r="H3713">
        <v>180</v>
      </c>
      <c r="J3713" t="s">
        <v>22</v>
      </c>
      <c r="L3713" s="1"/>
      <c r="N3713" s="1"/>
      <c r="V3713" t="str">
        <f>"59270"</f>
        <v>59270</v>
      </c>
      <c r="W3713">
        <v>0</v>
      </c>
      <c r="X3713">
        <v>0</v>
      </c>
    </row>
    <row r="3714" spans="1:24" ht="15" customHeight="1" x14ac:dyDescent="0.25">
      <c r="A3714" t="str">
        <f>""</f>
        <v/>
      </c>
      <c r="B3714" s="1"/>
      <c r="H3714">
        <v>147.19999999999999</v>
      </c>
      <c r="J3714" t="s">
        <v>20</v>
      </c>
      <c r="L3714" s="1"/>
      <c r="N3714" s="1"/>
      <c r="V3714" t="str">
        <f>"75116"</f>
        <v>75116</v>
      </c>
      <c r="W3714">
        <v>0</v>
      </c>
      <c r="X3714">
        <v>0</v>
      </c>
    </row>
    <row r="3715" spans="1:24" ht="15" customHeight="1" x14ac:dyDescent="0.25">
      <c r="A3715" t="str">
        <f>""</f>
        <v/>
      </c>
      <c r="B3715" s="1"/>
      <c r="H3715">
        <v>129.59</v>
      </c>
      <c r="J3715" t="s">
        <v>20</v>
      </c>
      <c r="L3715" s="1"/>
      <c r="N3715" s="1"/>
      <c r="V3715" t="str">
        <f>"62118"</f>
        <v>62118</v>
      </c>
      <c r="W3715">
        <v>24.62</v>
      </c>
      <c r="X3715">
        <v>0</v>
      </c>
    </row>
    <row r="3716" spans="1:24" ht="15" customHeight="1" x14ac:dyDescent="0.25">
      <c r="A3716" t="str">
        <f>""</f>
        <v/>
      </c>
      <c r="B3716" s="1"/>
      <c r="H3716">
        <v>106.88</v>
      </c>
      <c r="J3716" t="s">
        <v>20</v>
      </c>
      <c r="L3716" s="1"/>
      <c r="N3716" s="1"/>
      <c r="V3716" t="str">
        <f>"86600"</f>
        <v>86600</v>
      </c>
      <c r="W3716">
        <v>22.44</v>
      </c>
      <c r="X3716">
        <v>0</v>
      </c>
    </row>
    <row r="3717" spans="1:24" ht="15" customHeight="1" x14ac:dyDescent="0.25">
      <c r="A3717" t="str">
        <f>""</f>
        <v/>
      </c>
      <c r="B3717" s="1"/>
      <c r="H3717">
        <v>130.19999999999999</v>
      </c>
      <c r="J3717" t="s">
        <v>20</v>
      </c>
      <c r="L3717" s="1"/>
      <c r="N3717" s="1"/>
      <c r="V3717" t="str">
        <f>"85120"</f>
        <v>85120</v>
      </c>
      <c r="W3717">
        <v>35.15</v>
      </c>
      <c r="X3717">
        <v>0</v>
      </c>
    </row>
    <row r="3718" spans="1:24" ht="15" customHeight="1" x14ac:dyDescent="0.25">
      <c r="A3718" t="str">
        <f>""</f>
        <v/>
      </c>
      <c r="B3718" s="1"/>
      <c r="H3718">
        <v>125.62</v>
      </c>
      <c r="J3718" t="s">
        <v>20</v>
      </c>
      <c r="L3718" s="1"/>
      <c r="N3718" s="1"/>
      <c r="V3718" t="str">
        <f>"62620"</f>
        <v>62620</v>
      </c>
      <c r="W3718">
        <v>23.87</v>
      </c>
      <c r="X3718">
        <v>0</v>
      </c>
    </row>
    <row r="3719" spans="1:24" ht="15" customHeight="1" x14ac:dyDescent="0.25">
      <c r="A3719" t="str">
        <f>""</f>
        <v/>
      </c>
      <c r="B3719" s="1"/>
      <c r="J3719" t="s">
        <v>20</v>
      </c>
      <c r="L3719" s="1"/>
      <c r="N3719" s="1"/>
      <c r="V3719" t="str">
        <f>"62182"</f>
        <v>62182</v>
      </c>
      <c r="W3719">
        <v>0</v>
      </c>
      <c r="X3719">
        <v>0</v>
      </c>
    </row>
    <row r="3720" spans="1:24" ht="15" customHeight="1" x14ac:dyDescent="0.25">
      <c r="A3720" t="str">
        <f>""</f>
        <v/>
      </c>
      <c r="B3720" s="1"/>
      <c r="H3720">
        <v>189.59</v>
      </c>
      <c r="J3720" t="s">
        <v>20</v>
      </c>
      <c r="L3720" s="1"/>
      <c r="N3720" s="1"/>
      <c r="V3720" t="str">
        <f>"28320"</f>
        <v>28320</v>
      </c>
      <c r="W3720">
        <v>39.81</v>
      </c>
      <c r="X3720">
        <v>0</v>
      </c>
    </row>
    <row r="3721" spans="1:24" ht="15" customHeight="1" x14ac:dyDescent="0.25">
      <c r="A3721" t="str">
        <f>""</f>
        <v/>
      </c>
      <c r="B3721" s="1"/>
      <c r="H3721">
        <v>183.32</v>
      </c>
      <c r="J3721" t="s">
        <v>19</v>
      </c>
      <c r="L3721" s="1"/>
      <c r="N3721" s="1"/>
      <c r="V3721" t="str">
        <f>"44327"</f>
        <v>44327</v>
      </c>
      <c r="W3721">
        <v>49.5</v>
      </c>
      <c r="X3721">
        <v>0</v>
      </c>
    </row>
    <row r="3722" spans="1:24" ht="15" customHeight="1" x14ac:dyDescent="0.25">
      <c r="A3722" t="str">
        <f>""</f>
        <v/>
      </c>
      <c r="B3722" s="1"/>
      <c r="H3722">
        <v>140</v>
      </c>
      <c r="J3722" t="s">
        <v>23</v>
      </c>
      <c r="L3722" s="1"/>
      <c r="N3722" s="1"/>
      <c r="V3722" t="str">
        <f>"59640"</f>
        <v>59640</v>
      </c>
      <c r="W3722">
        <v>0</v>
      </c>
      <c r="X3722">
        <v>26.6</v>
      </c>
    </row>
    <row r="3723" spans="1:24" ht="15" customHeight="1" x14ac:dyDescent="0.25">
      <c r="A3723" t="str">
        <f>""</f>
        <v/>
      </c>
      <c r="B3723" s="1"/>
      <c r="H3723">
        <v>171</v>
      </c>
      <c r="L3723" s="1"/>
      <c r="N3723" s="1"/>
      <c r="V3723" t="str">
        <f>"77184"</f>
        <v>77184</v>
      </c>
      <c r="W3723">
        <v>0</v>
      </c>
      <c r="X3723">
        <v>0</v>
      </c>
    </row>
    <row r="3724" spans="1:24" ht="15" customHeight="1" x14ac:dyDescent="0.25">
      <c r="A3724" t="str">
        <f>""</f>
        <v/>
      </c>
      <c r="B3724" s="1"/>
      <c r="H3724">
        <v>187</v>
      </c>
      <c r="L3724" s="1"/>
      <c r="N3724" s="1"/>
      <c r="V3724" t="str">
        <f>"77184"</f>
        <v>77184</v>
      </c>
      <c r="W3724">
        <v>0</v>
      </c>
      <c r="X3724">
        <v>0</v>
      </c>
    </row>
    <row r="3725" spans="1:24" ht="15" customHeight="1" x14ac:dyDescent="0.25">
      <c r="A3725" t="str">
        <f>""</f>
        <v/>
      </c>
      <c r="B3725" s="1"/>
      <c r="H3725">
        <v>97.48</v>
      </c>
      <c r="J3725" t="s">
        <v>19</v>
      </c>
      <c r="L3725" s="1"/>
      <c r="N3725" s="1"/>
      <c r="V3725" t="str">
        <f>"76530"</f>
        <v>76530</v>
      </c>
      <c r="W3725">
        <v>16.57</v>
      </c>
      <c r="X3725">
        <v>0</v>
      </c>
    </row>
    <row r="3726" spans="1:24" ht="15" customHeight="1" x14ac:dyDescent="0.25">
      <c r="A3726" t="str">
        <f>""</f>
        <v/>
      </c>
      <c r="B3726" s="1"/>
      <c r="H3726">
        <v>55.14</v>
      </c>
      <c r="J3726" t="s">
        <v>20</v>
      </c>
      <c r="L3726" s="1"/>
      <c r="N3726" s="1"/>
      <c r="V3726" t="str">
        <f>"44840"</f>
        <v>44840</v>
      </c>
      <c r="W3726">
        <v>14.89</v>
      </c>
      <c r="X3726">
        <v>0</v>
      </c>
    </row>
    <row r="3727" spans="1:24" ht="15" customHeight="1" x14ac:dyDescent="0.25">
      <c r="A3727" t="str">
        <f>""</f>
        <v/>
      </c>
      <c r="B3727" s="1"/>
      <c r="H3727">
        <v>19.8</v>
      </c>
      <c r="J3727" t="s">
        <v>19</v>
      </c>
      <c r="L3727" s="1"/>
      <c r="N3727" s="1"/>
      <c r="V3727" t="str">
        <f>"60290"</f>
        <v>60290</v>
      </c>
      <c r="W3727">
        <v>3.76</v>
      </c>
      <c r="X3727">
        <v>0</v>
      </c>
    </row>
    <row r="3728" spans="1:24" ht="15" customHeight="1" x14ac:dyDescent="0.25">
      <c r="A3728" t="str">
        <f>""</f>
        <v/>
      </c>
      <c r="B3728" s="1"/>
      <c r="H3728">
        <v>103.06</v>
      </c>
      <c r="J3728" t="s">
        <v>20</v>
      </c>
      <c r="L3728" s="1"/>
      <c r="N3728" s="1"/>
      <c r="V3728" t="str">
        <f>"25680"</f>
        <v>25680</v>
      </c>
      <c r="W3728">
        <v>24.73</v>
      </c>
      <c r="X3728">
        <v>0</v>
      </c>
    </row>
    <row r="3729" spans="1:24" ht="15" customHeight="1" x14ac:dyDescent="0.25">
      <c r="A3729" t="str">
        <f>""</f>
        <v/>
      </c>
      <c r="B3729" s="1"/>
      <c r="H3729">
        <v>80.400000000000006</v>
      </c>
      <c r="J3729" t="s">
        <v>23</v>
      </c>
      <c r="L3729" s="1"/>
      <c r="N3729" s="1"/>
      <c r="V3729" t="str">
        <f>"94420"</f>
        <v>94420</v>
      </c>
      <c r="W3729">
        <v>0</v>
      </c>
      <c r="X3729">
        <v>0</v>
      </c>
    </row>
    <row r="3730" spans="1:24" ht="15" customHeight="1" x14ac:dyDescent="0.25">
      <c r="A3730" t="str">
        <f>""</f>
        <v/>
      </c>
      <c r="B3730" s="1"/>
      <c r="H3730">
        <v>129.69</v>
      </c>
      <c r="J3730" t="s">
        <v>20</v>
      </c>
      <c r="L3730" s="1"/>
      <c r="N3730" s="1"/>
      <c r="V3730" t="str">
        <f>"94150"</f>
        <v>94150</v>
      </c>
      <c r="W3730">
        <v>0</v>
      </c>
      <c r="X3730">
        <v>0</v>
      </c>
    </row>
    <row r="3731" spans="1:24" ht="15" customHeight="1" x14ac:dyDescent="0.25">
      <c r="A3731" t="str">
        <f>""</f>
        <v/>
      </c>
      <c r="B3731" s="1"/>
      <c r="H3731">
        <v>120.29</v>
      </c>
      <c r="J3731" t="s">
        <v>20</v>
      </c>
      <c r="L3731" s="1"/>
      <c r="N3731" s="1"/>
      <c r="V3731" t="str">
        <f>"45520"</f>
        <v>45520</v>
      </c>
      <c r="W3731">
        <v>25.26</v>
      </c>
      <c r="X3731">
        <v>0</v>
      </c>
    </row>
    <row r="3732" spans="1:24" ht="15" customHeight="1" x14ac:dyDescent="0.25">
      <c r="A3732" t="str">
        <f>""</f>
        <v/>
      </c>
      <c r="B3732" s="1"/>
      <c r="H3732">
        <v>30</v>
      </c>
      <c r="J3732" t="s">
        <v>19</v>
      </c>
      <c r="L3732" s="1"/>
      <c r="N3732" s="1"/>
      <c r="V3732" t="str">
        <f>"93210"</f>
        <v>93210</v>
      </c>
      <c r="W3732">
        <v>0</v>
      </c>
      <c r="X3732">
        <v>0</v>
      </c>
    </row>
    <row r="3733" spans="1:24" ht="15" customHeight="1" x14ac:dyDescent="0.25">
      <c r="A3733" t="str">
        <f>""</f>
        <v/>
      </c>
      <c r="B3733" s="1"/>
      <c r="H3733">
        <v>194.34</v>
      </c>
      <c r="J3733" t="s">
        <v>22</v>
      </c>
      <c r="L3733" s="1"/>
      <c r="N3733" s="1"/>
      <c r="V3733" t="str">
        <f>"62000"</f>
        <v>62000</v>
      </c>
      <c r="W3733">
        <v>0</v>
      </c>
      <c r="X3733">
        <v>0</v>
      </c>
    </row>
    <row r="3734" spans="1:24" ht="15" customHeight="1" x14ac:dyDescent="0.25">
      <c r="A3734" t="str">
        <f>""</f>
        <v/>
      </c>
      <c r="B3734" s="1"/>
      <c r="H3734">
        <v>151</v>
      </c>
      <c r="J3734" t="s">
        <v>22</v>
      </c>
      <c r="L3734" s="1"/>
      <c r="N3734" s="1"/>
      <c r="V3734" t="str">
        <f>"51160"</f>
        <v>51160</v>
      </c>
      <c r="W3734">
        <v>0</v>
      </c>
      <c r="X3734">
        <v>0</v>
      </c>
    </row>
    <row r="3735" spans="1:24" ht="15" customHeight="1" x14ac:dyDescent="0.25">
      <c r="A3735" t="str">
        <f>""</f>
        <v/>
      </c>
      <c r="B3735" s="1"/>
      <c r="H3735">
        <v>184</v>
      </c>
      <c r="J3735" t="s">
        <v>22</v>
      </c>
      <c r="L3735" s="1"/>
      <c r="N3735" s="1"/>
      <c r="V3735" t="str">
        <f>"59000"</f>
        <v>59000</v>
      </c>
      <c r="W3735">
        <v>0</v>
      </c>
      <c r="X3735">
        <v>0</v>
      </c>
    </row>
    <row r="3736" spans="1:24" ht="15" customHeight="1" x14ac:dyDescent="0.25">
      <c r="A3736" t="str">
        <f>""</f>
        <v/>
      </c>
      <c r="B3736" s="1"/>
      <c r="H3736">
        <v>140</v>
      </c>
      <c r="J3736" t="s">
        <v>20</v>
      </c>
      <c r="L3736" s="1"/>
      <c r="N3736" s="1"/>
      <c r="V3736" t="str">
        <f>"69800"</f>
        <v>69800</v>
      </c>
      <c r="W3736">
        <v>37.799999999999997</v>
      </c>
      <c r="X3736">
        <v>0</v>
      </c>
    </row>
    <row r="3737" spans="1:24" ht="15" customHeight="1" x14ac:dyDescent="0.25">
      <c r="A3737" t="str">
        <f>""</f>
        <v/>
      </c>
      <c r="B3737" s="1"/>
      <c r="H3737">
        <v>187.25</v>
      </c>
      <c r="J3737" t="s">
        <v>20</v>
      </c>
      <c r="L3737" s="1"/>
      <c r="N3737" s="1"/>
      <c r="V3737" t="str">
        <f>"76600"</f>
        <v>76600</v>
      </c>
      <c r="W3737">
        <v>31.83</v>
      </c>
      <c r="X3737">
        <v>0</v>
      </c>
    </row>
    <row r="3738" spans="1:24" ht="15" customHeight="1" x14ac:dyDescent="0.25">
      <c r="A3738" t="str">
        <f>""</f>
        <v/>
      </c>
      <c r="B3738" s="1"/>
      <c r="H3738">
        <v>140</v>
      </c>
      <c r="J3738" t="s">
        <v>19</v>
      </c>
      <c r="L3738" s="1"/>
      <c r="N3738" s="1"/>
      <c r="V3738" t="str">
        <f>"51160"</f>
        <v>51160</v>
      </c>
      <c r="W3738">
        <v>35</v>
      </c>
      <c r="X3738">
        <v>0</v>
      </c>
    </row>
    <row r="3739" spans="1:24" ht="15" customHeight="1" x14ac:dyDescent="0.25">
      <c r="A3739" t="str">
        <f>""</f>
        <v/>
      </c>
      <c r="B3739" s="1"/>
      <c r="H3739">
        <v>186</v>
      </c>
      <c r="L3739" s="1"/>
      <c r="N3739" s="1"/>
      <c r="V3739" t="str">
        <f>"77184"</f>
        <v>77184</v>
      </c>
      <c r="W3739">
        <v>0</v>
      </c>
      <c r="X3739">
        <v>0</v>
      </c>
    </row>
    <row r="3740" spans="1:24" ht="15" customHeight="1" x14ac:dyDescent="0.25">
      <c r="A3740" t="str">
        <f>""</f>
        <v/>
      </c>
      <c r="B3740" s="1"/>
      <c r="H3740">
        <v>55.14</v>
      </c>
      <c r="J3740" t="s">
        <v>20</v>
      </c>
      <c r="L3740" s="1"/>
      <c r="N3740" s="1"/>
      <c r="V3740" t="str">
        <f>"56400"</f>
        <v>56400</v>
      </c>
      <c r="W3740">
        <v>14.89</v>
      </c>
      <c r="X3740">
        <v>0</v>
      </c>
    </row>
    <row r="3741" spans="1:24" ht="15" customHeight="1" x14ac:dyDescent="0.25">
      <c r="A3741" t="str">
        <f>""</f>
        <v/>
      </c>
      <c r="B3741" s="1"/>
      <c r="H3741">
        <v>40</v>
      </c>
      <c r="J3741" t="s">
        <v>19</v>
      </c>
      <c r="L3741" s="1"/>
      <c r="N3741" s="1"/>
      <c r="V3741" t="str">
        <f>"35680"</f>
        <v>35680</v>
      </c>
      <c r="W3741">
        <v>10.8</v>
      </c>
      <c r="X3741">
        <v>0</v>
      </c>
    </row>
    <row r="3742" spans="1:24" ht="15" customHeight="1" x14ac:dyDescent="0.25">
      <c r="A3742" t="str">
        <f>""</f>
        <v/>
      </c>
      <c r="B3742" s="1"/>
      <c r="H3742">
        <v>189.79</v>
      </c>
      <c r="J3742" t="s">
        <v>20</v>
      </c>
      <c r="L3742" s="1"/>
      <c r="N3742" s="1"/>
      <c r="V3742" t="str">
        <f>"41400"</f>
        <v>41400</v>
      </c>
      <c r="W3742">
        <v>39.86</v>
      </c>
      <c r="X3742">
        <v>0</v>
      </c>
    </row>
    <row r="3743" spans="1:24" ht="15" customHeight="1" x14ac:dyDescent="0.25">
      <c r="A3743" t="str">
        <f>""</f>
        <v/>
      </c>
      <c r="B3743" s="1"/>
      <c r="H3743">
        <v>99.34</v>
      </c>
      <c r="J3743" t="s">
        <v>20</v>
      </c>
      <c r="L3743" s="1"/>
      <c r="N3743" s="1"/>
      <c r="V3743" t="str">
        <f>"27540"</f>
        <v>27540</v>
      </c>
      <c r="W3743">
        <v>16.89</v>
      </c>
      <c r="X3743">
        <v>0</v>
      </c>
    </row>
    <row r="3744" spans="1:24" ht="15" customHeight="1" x14ac:dyDescent="0.25">
      <c r="A3744" t="str">
        <f>""</f>
        <v/>
      </c>
      <c r="B3744" s="1"/>
      <c r="H3744">
        <v>6.53</v>
      </c>
      <c r="J3744" t="s">
        <v>19</v>
      </c>
      <c r="L3744" s="1"/>
      <c r="N3744" s="1"/>
      <c r="V3744" t="str">
        <f>"69006"</f>
        <v>69006</v>
      </c>
      <c r="W3744">
        <v>1.76</v>
      </c>
      <c r="X3744">
        <v>0</v>
      </c>
    </row>
    <row r="3745" spans="1:24" ht="15" customHeight="1" x14ac:dyDescent="0.25">
      <c r="A3745" t="str">
        <f>""</f>
        <v/>
      </c>
      <c r="B3745" s="1"/>
      <c r="H3745">
        <v>33.35</v>
      </c>
      <c r="J3745" t="s">
        <v>19</v>
      </c>
      <c r="L3745" s="1"/>
      <c r="N3745" s="1"/>
      <c r="V3745" t="str">
        <f>"69005"</f>
        <v>69005</v>
      </c>
      <c r="W3745">
        <v>9</v>
      </c>
      <c r="X3745">
        <v>0</v>
      </c>
    </row>
    <row r="3746" spans="1:24" ht="15" customHeight="1" x14ac:dyDescent="0.25">
      <c r="A3746" t="str">
        <f>""</f>
        <v/>
      </c>
      <c r="B3746" s="1"/>
      <c r="H3746">
        <v>14.2</v>
      </c>
      <c r="J3746" t="s">
        <v>20</v>
      </c>
      <c r="L3746" s="1"/>
      <c r="N3746" s="1"/>
      <c r="V3746" t="str">
        <f>"59160"</f>
        <v>59160</v>
      </c>
      <c r="W3746">
        <v>2.7</v>
      </c>
      <c r="X3746">
        <v>0</v>
      </c>
    </row>
    <row r="3747" spans="1:24" ht="15" customHeight="1" x14ac:dyDescent="0.25">
      <c r="A3747" t="str">
        <f>""</f>
        <v/>
      </c>
      <c r="B3747" s="1"/>
      <c r="H3747">
        <v>71.900000000000006</v>
      </c>
      <c r="J3747" t="s">
        <v>23</v>
      </c>
      <c r="L3747" s="1"/>
      <c r="N3747" s="1"/>
      <c r="V3747" t="str">
        <f>"68300"</f>
        <v>68300</v>
      </c>
      <c r="W3747">
        <v>0</v>
      </c>
      <c r="X3747">
        <v>5.75</v>
      </c>
    </row>
    <row r="3748" spans="1:24" ht="15" customHeight="1" x14ac:dyDescent="0.25">
      <c r="A3748" t="str">
        <f>""</f>
        <v/>
      </c>
      <c r="B3748" s="1"/>
      <c r="H3748">
        <v>180</v>
      </c>
      <c r="J3748" t="s">
        <v>23</v>
      </c>
      <c r="L3748" s="1"/>
      <c r="N3748" s="1"/>
      <c r="V3748" t="str">
        <f>"94400"</f>
        <v>94400</v>
      </c>
      <c r="W3748">
        <v>0</v>
      </c>
      <c r="X3748">
        <v>0</v>
      </c>
    </row>
    <row r="3749" spans="1:24" ht="15" customHeight="1" x14ac:dyDescent="0.25">
      <c r="A3749" t="str">
        <f>""</f>
        <v/>
      </c>
      <c r="B3749" s="1"/>
      <c r="H3749">
        <v>131.97999999999999</v>
      </c>
      <c r="J3749" t="s">
        <v>20</v>
      </c>
      <c r="L3749" s="1"/>
      <c r="N3749" s="1"/>
      <c r="V3749" t="str">
        <f>"17670"</f>
        <v>17670</v>
      </c>
      <c r="W3749">
        <v>27.72</v>
      </c>
      <c r="X3749">
        <v>0</v>
      </c>
    </row>
    <row r="3750" spans="1:24" ht="15" customHeight="1" x14ac:dyDescent="0.25">
      <c r="A3750" t="str">
        <f>""</f>
        <v/>
      </c>
      <c r="B3750" s="1"/>
      <c r="H3750">
        <v>18.36</v>
      </c>
      <c r="J3750" t="s">
        <v>19</v>
      </c>
      <c r="L3750" s="1"/>
      <c r="N3750" s="1"/>
      <c r="V3750" t="str">
        <f>"54300"</f>
        <v>54300</v>
      </c>
      <c r="W3750">
        <v>4.59</v>
      </c>
      <c r="X3750">
        <v>0</v>
      </c>
    </row>
    <row r="3751" spans="1:24" x14ac:dyDescent="0.25">
      <c r="A3751" t="str">
        <f>""</f>
        <v/>
      </c>
      <c r="B3751" s="1"/>
      <c r="H3751">
        <v>53.2</v>
      </c>
      <c r="J3751" t="s">
        <v>16</v>
      </c>
      <c r="L3751" s="1"/>
      <c r="N3751" s="1"/>
      <c r="V3751" t="str">
        <f>"69002"</f>
        <v>69002</v>
      </c>
      <c r="W3751">
        <v>14.36</v>
      </c>
      <c r="X3751">
        <v>0</v>
      </c>
    </row>
    <row r="3752" spans="1:24" ht="15" customHeight="1" x14ac:dyDescent="0.25">
      <c r="A3752" t="str">
        <f>""</f>
        <v/>
      </c>
      <c r="B3752" s="1"/>
      <c r="H3752">
        <v>139.91</v>
      </c>
      <c r="J3752" t="s">
        <v>20</v>
      </c>
      <c r="L3752" s="1"/>
      <c r="N3752" s="1"/>
      <c r="V3752" t="str">
        <f>"35136"</f>
        <v>35136</v>
      </c>
      <c r="W3752">
        <v>37.78</v>
      </c>
      <c r="X3752">
        <v>0</v>
      </c>
    </row>
    <row r="3753" spans="1:24" ht="15" customHeight="1" x14ac:dyDescent="0.25">
      <c r="A3753" t="str">
        <f>""</f>
        <v/>
      </c>
      <c r="B3753" s="1"/>
      <c r="H3753">
        <v>86.34</v>
      </c>
      <c r="J3753" t="s">
        <v>19</v>
      </c>
      <c r="L3753" s="1"/>
      <c r="N3753" s="1"/>
      <c r="V3753" t="str">
        <f>"92078"</f>
        <v>92078</v>
      </c>
      <c r="W3753">
        <v>0</v>
      </c>
      <c r="X3753">
        <v>0</v>
      </c>
    </row>
    <row r="3754" spans="1:24" ht="15" customHeight="1" x14ac:dyDescent="0.25">
      <c r="A3754" t="str">
        <f>""</f>
        <v/>
      </c>
      <c r="B3754" s="1"/>
      <c r="H3754">
        <v>138.22999999999999</v>
      </c>
      <c r="J3754" t="s">
        <v>20</v>
      </c>
      <c r="L3754" s="1"/>
      <c r="N3754" s="1"/>
      <c r="V3754" t="str">
        <f>"49480"</f>
        <v>49480</v>
      </c>
      <c r="W3754">
        <v>37.32</v>
      </c>
      <c r="X3754">
        <v>0</v>
      </c>
    </row>
    <row r="3755" spans="1:24" ht="15" customHeight="1" x14ac:dyDescent="0.25">
      <c r="A3755" t="str">
        <f>""</f>
        <v/>
      </c>
      <c r="B3755" s="1"/>
      <c r="H3755">
        <v>55.14</v>
      </c>
      <c r="J3755" t="s">
        <v>20</v>
      </c>
      <c r="L3755" s="1"/>
      <c r="N3755" s="1"/>
      <c r="V3755" t="str">
        <f>"69390"</f>
        <v>69390</v>
      </c>
      <c r="W3755">
        <v>14.89</v>
      </c>
      <c r="X3755">
        <v>0</v>
      </c>
    </row>
    <row r="3756" spans="1:24" ht="15" customHeight="1" x14ac:dyDescent="0.25">
      <c r="A3756" t="str">
        <f>""</f>
        <v/>
      </c>
      <c r="B3756" s="1"/>
      <c r="H3756">
        <v>142.78</v>
      </c>
      <c r="J3756" t="s">
        <v>20</v>
      </c>
      <c r="L3756" s="1"/>
      <c r="N3756" s="1"/>
      <c r="V3756" t="str">
        <f>"71870"</f>
        <v>71870</v>
      </c>
      <c r="W3756">
        <v>38.549999999999997</v>
      </c>
      <c r="X3756">
        <v>0</v>
      </c>
    </row>
    <row r="3757" spans="1:24" ht="15" customHeight="1" x14ac:dyDescent="0.25">
      <c r="A3757" t="str">
        <f>""</f>
        <v/>
      </c>
      <c r="B3757" s="1"/>
      <c r="H3757">
        <v>86.48</v>
      </c>
      <c r="J3757" t="s">
        <v>20</v>
      </c>
      <c r="L3757" s="1"/>
      <c r="N3757" s="1"/>
      <c r="V3757" t="str">
        <f>"38290"</f>
        <v>38290</v>
      </c>
      <c r="W3757">
        <v>23.35</v>
      </c>
      <c r="X3757">
        <v>0</v>
      </c>
    </row>
    <row r="3758" spans="1:24" ht="15" customHeight="1" x14ac:dyDescent="0.25">
      <c r="A3758" t="str">
        <f>""</f>
        <v/>
      </c>
      <c r="B3758" s="1"/>
      <c r="H3758">
        <v>37.19</v>
      </c>
      <c r="J3758" t="s">
        <v>22</v>
      </c>
      <c r="L3758" s="1"/>
      <c r="N3758" s="1"/>
      <c r="V3758" t="str">
        <f>"67000"</f>
        <v>67000</v>
      </c>
      <c r="W3758">
        <v>0</v>
      </c>
      <c r="X3758">
        <v>0</v>
      </c>
    </row>
    <row r="3759" spans="1:24" ht="15" customHeight="1" x14ac:dyDescent="0.25">
      <c r="A3759" t="str">
        <f>""</f>
        <v/>
      </c>
      <c r="B3759" s="1"/>
      <c r="H3759">
        <v>40</v>
      </c>
      <c r="J3759" t="s">
        <v>20</v>
      </c>
      <c r="L3759" s="1"/>
      <c r="N3759" s="1"/>
      <c r="V3759" t="str">
        <f>"38500"</f>
        <v>38500</v>
      </c>
      <c r="W3759">
        <v>10.8</v>
      </c>
      <c r="X3759">
        <v>0</v>
      </c>
    </row>
    <row r="3760" spans="1:24" ht="15" customHeight="1" x14ac:dyDescent="0.25">
      <c r="A3760" t="str">
        <f>""</f>
        <v/>
      </c>
      <c r="B3760" s="1"/>
      <c r="H3760">
        <v>151</v>
      </c>
      <c r="J3760" t="s">
        <v>22</v>
      </c>
      <c r="L3760" s="1"/>
      <c r="V3760" t="str">
        <f>"77600"</f>
        <v>77600</v>
      </c>
      <c r="W3760">
        <v>0</v>
      </c>
      <c r="X3760">
        <v>0</v>
      </c>
    </row>
    <row r="3761" spans="1:24" ht="15" customHeight="1" x14ac:dyDescent="0.25">
      <c r="A3761" t="str">
        <f>""</f>
        <v/>
      </c>
      <c r="B3761" s="1"/>
      <c r="H3761">
        <v>90.99</v>
      </c>
      <c r="J3761" t="s">
        <v>23</v>
      </c>
      <c r="L3761" s="1"/>
      <c r="V3761" t="str">
        <f>"69100"</f>
        <v>69100</v>
      </c>
      <c r="W3761">
        <v>0</v>
      </c>
      <c r="X3761">
        <v>0</v>
      </c>
    </row>
    <row r="3762" spans="1:24" ht="15" customHeight="1" x14ac:dyDescent="0.25">
      <c r="A3762" t="str">
        <f>""</f>
        <v/>
      </c>
      <c r="B3762" s="1"/>
      <c r="H3762">
        <v>40</v>
      </c>
      <c r="J3762" t="s">
        <v>23</v>
      </c>
      <c r="L3762" s="1"/>
      <c r="N3762" s="1"/>
      <c r="V3762" t="str">
        <f>"62120"</f>
        <v>62120</v>
      </c>
      <c r="W3762">
        <v>0</v>
      </c>
      <c r="X3762">
        <v>0</v>
      </c>
    </row>
    <row r="3763" spans="1:24" ht="15" customHeight="1" x14ac:dyDescent="0.25">
      <c r="A3763" t="str">
        <f>""</f>
        <v/>
      </c>
      <c r="B3763" s="1"/>
      <c r="H3763">
        <v>55.16</v>
      </c>
      <c r="J3763" t="s">
        <v>19</v>
      </c>
      <c r="L3763" s="1"/>
      <c r="N3763" s="1"/>
      <c r="V3763" t="str">
        <f>"14200"</f>
        <v>14200</v>
      </c>
      <c r="W3763">
        <v>9.3800000000000008</v>
      </c>
      <c r="X3763">
        <v>0</v>
      </c>
    </row>
    <row r="3764" spans="1:24" ht="15" customHeight="1" x14ac:dyDescent="0.25">
      <c r="A3764" t="str">
        <f>""</f>
        <v/>
      </c>
      <c r="B3764" s="1"/>
      <c r="H3764">
        <v>194.11</v>
      </c>
      <c r="J3764" t="s">
        <v>19</v>
      </c>
      <c r="L3764" s="1"/>
      <c r="N3764" s="1"/>
      <c r="V3764" t="str">
        <f>"61250"</f>
        <v>61250</v>
      </c>
      <c r="W3764">
        <v>33</v>
      </c>
      <c r="X3764">
        <v>0</v>
      </c>
    </row>
    <row r="3765" spans="1:24" ht="15" customHeight="1" x14ac:dyDescent="0.25">
      <c r="A3765" t="str">
        <f>""</f>
        <v/>
      </c>
      <c r="B3765" s="1"/>
      <c r="H3765">
        <v>62.1</v>
      </c>
      <c r="J3765" t="s">
        <v>23</v>
      </c>
      <c r="L3765" s="1"/>
      <c r="V3765" t="str">
        <f>"77380"</f>
        <v>77380</v>
      </c>
      <c r="W3765">
        <v>0</v>
      </c>
      <c r="X3765">
        <v>0</v>
      </c>
    </row>
    <row r="3766" spans="1:24" ht="15" customHeight="1" x14ac:dyDescent="0.25">
      <c r="A3766" t="str">
        <f>""</f>
        <v/>
      </c>
      <c r="B3766" s="1"/>
      <c r="H3766">
        <v>32</v>
      </c>
      <c r="J3766" t="s">
        <v>22</v>
      </c>
      <c r="L3766" s="1"/>
      <c r="N3766" s="1"/>
      <c r="V3766" t="str">
        <f>"04200"</f>
        <v>04200</v>
      </c>
      <c r="W3766">
        <v>0</v>
      </c>
      <c r="X3766">
        <v>8.64</v>
      </c>
    </row>
    <row r="3767" spans="1:24" ht="15" customHeight="1" x14ac:dyDescent="0.25">
      <c r="A3767" t="str">
        <f>""</f>
        <v/>
      </c>
      <c r="B3767" s="1"/>
      <c r="H3767">
        <v>190.59</v>
      </c>
      <c r="J3767" t="s">
        <v>23</v>
      </c>
      <c r="L3767" s="1"/>
      <c r="V3767" t="str">
        <f>"21800"</f>
        <v>21800</v>
      </c>
      <c r="W3767">
        <v>0</v>
      </c>
      <c r="X3767">
        <v>0</v>
      </c>
    </row>
    <row r="3768" spans="1:24" ht="15" customHeight="1" x14ac:dyDescent="0.25">
      <c r="A3768" t="str">
        <f>""</f>
        <v/>
      </c>
      <c r="B3768" s="1"/>
      <c r="H3768">
        <v>151</v>
      </c>
      <c r="J3768" t="s">
        <v>23</v>
      </c>
      <c r="L3768" s="1"/>
      <c r="V3768" t="str">
        <f>"69120"</f>
        <v>69120</v>
      </c>
      <c r="W3768">
        <v>0</v>
      </c>
      <c r="X3768">
        <v>0</v>
      </c>
    </row>
    <row r="3769" spans="1:24" ht="15" customHeight="1" x14ac:dyDescent="0.25">
      <c r="A3769" t="str">
        <f>""</f>
        <v/>
      </c>
      <c r="B3769" s="1"/>
      <c r="H3769">
        <v>195.02</v>
      </c>
      <c r="J3769" t="s">
        <v>22</v>
      </c>
      <c r="L3769" s="1"/>
      <c r="N3769" s="1"/>
      <c r="V3769" t="str">
        <f>"76140"</f>
        <v>76140</v>
      </c>
      <c r="W3769">
        <v>0</v>
      </c>
      <c r="X3769">
        <v>33.15</v>
      </c>
    </row>
    <row r="3770" spans="1:24" ht="15" customHeight="1" x14ac:dyDescent="0.25">
      <c r="A3770" t="str">
        <f>""</f>
        <v/>
      </c>
      <c r="B3770" s="1"/>
      <c r="H3770">
        <v>24.8</v>
      </c>
      <c r="J3770" t="s">
        <v>23</v>
      </c>
      <c r="L3770" s="1"/>
      <c r="V3770" t="str">
        <f>"38000"</f>
        <v>38000</v>
      </c>
      <c r="W3770">
        <v>0</v>
      </c>
      <c r="X3770">
        <v>0</v>
      </c>
    </row>
    <row r="3771" spans="1:24" ht="15" customHeight="1" x14ac:dyDescent="0.25">
      <c r="A3771" t="str">
        <f>""</f>
        <v/>
      </c>
      <c r="B3771" s="1"/>
      <c r="H3771">
        <v>205</v>
      </c>
      <c r="J3771" t="s">
        <v>23</v>
      </c>
      <c r="L3771" s="1"/>
      <c r="V3771" t="str">
        <f>"69800"</f>
        <v>69800</v>
      </c>
      <c r="W3771">
        <v>0</v>
      </c>
      <c r="X3771">
        <v>0</v>
      </c>
    </row>
    <row r="3772" spans="1:24" ht="15" customHeight="1" x14ac:dyDescent="0.25">
      <c r="A3772" t="str">
        <f>""</f>
        <v/>
      </c>
      <c r="B3772" s="1"/>
      <c r="H3772">
        <v>180</v>
      </c>
      <c r="J3772" t="s">
        <v>22</v>
      </c>
      <c r="L3772" s="1"/>
      <c r="N3772" s="1"/>
      <c r="V3772" t="str">
        <f>"50000"</f>
        <v>50000</v>
      </c>
      <c r="W3772">
        <v>0</v>
      </c>
      <c r="X3772">
        <v>30.6</v>
      </c>
    </row>
    <row r="3773" spans="1:24" ht="15" customHeight="1" x14ac:dyDescent="0.25">
      <c r="A3773" t="str">
        <f>""</f>
        <v/>
      </c>
      <c r="B3773" s="1"/>
      <c r="H3773">
        <v>59.73</v>
      </c>
      <c r="J3773" t="s">
        <v>20</v>
      </c>
      <c r="L3773" s="1"/>
      <c r="N3773" s="1"/>
      <c r="V3773" t="str">
        <f>"33700"</f>
        <v>33700</v>
      </c>
      <c r="W3773">
        <v>12.54</v>
      </c>
      <c r="X3773">
        <v>0</v>
      </c>
    </row>
    <row r="3774" spans="1:24" ht="15" customHeight="1" x14ac:dyDescent="0.25">
      <c r="A3774" t="str">
        <f>""</f>
        <v/>
      </c>
      <c r="B3774" s="1"/>
      <c r="H3774">
        <v>126</v>
      </c>
      <c r="J3774" t="s">
        <v>22</v>
      </c>
      <c r="L3774" s="1"/>
      <c r="N3774" s="1"/>
      <c r="V3774" t="str">
        <f>"68290"</f>
        <v>68290</v>
      </c>
      <c r="W3774">
        <v>0</v>
      </c>
      <c r="X3774">
        <v>10.08</v>
      </c>
    </row>
    <row r="3775" spans="1:24" ht="15" customHeight="1" x14ac:dyDescent="0.25">
      <c r="A3775" t="str">
        <f>""</f>
        <v/>
      </c>
      <c r="B3775" s="1"/>
      <c r="H3775">
        <v>5.6</v>
      </c>
      <c r="J3775" t="s">
        <v>20</v>
      </c>
      <c r="L3775" s="1"/>
      <c r="N3775" s="1"/>
      <c r="V3775" t="str">
        <f>"06000"</f>
        <v>06000</v>
      </c>
      <c r="W3775">
        <v>1.68</v>
      </c>
      <c r="X3775">
        <v>0</v>
      </c>
    </row>
    <row r="3776" spans="1:24" ht="15" customHeight="1" x14ac:dyDescent="0.25">
      <c r="A3776" t="str">
        <f>""</f>
        <v/>
      </c>
      <c r="B3776" s="1"/>
      <c r="H3776">
        <v>192.88</v>
      </c>
      <c r="J3776" t="s">
        <v>23</v>
      </c>
      <c r="L3776" s="1"/>
      <c r="N3776" s="1"/>
      <c r="V3776" t="str">
        <f>"86170"</f>
        <v>86170</v>
      </c>
      <c r="W3776">
        <v>0</v>
      </c>
      <c r="X3776">
        <v>0</v>
      </c>
    </row>
    <row r="3777" spans="1:24" ht="15" customHeight="1" x14ac:dyDescent="0.25">
      <c r="A3777" t="str">
        <f>""</f>
        <v/>
      </c>
      <c r="B3777" s="1"/>
      <c r="H3777">
        <v>46.66</v>
      </c>
      <c r="J3777" t="s">
        <v>23</v>
      </c>
      <c r="L3777" s="1"/>
      <c r="N3777" s="1"/>
      <c r="V3777" t="str">
        <f>"31700"</f>
        <v>31700</v>
      </c>
      <c r="W3777">
        <v>0</v>
      </c>
      <c r="X3777">
        <v>0</v>
      </c>
    </row>
    <row r="3778" spans="1:24" ht="15" customHeight="1" x14ac:dyDescent="0.25">
      <c r="A3778" t="str">
        <f>""</f>
        <v/>
      </c>
      <c r="B3778" s="1"/>
      <c r="H3778">
        <v>25</v>
      </c>
      <c r="J3778" t="s">
        <v>22</v>
      </c>
      <c r="L3778" s="1"/>
      <c r="V3778" t="str">
        <f>"70000"</f>
        <v>70000</v>
      </c>
      <c r="W3778">
        <v>0</v>
      </c>
      <c r="X3778">
        <v>0</v>
      </c>
    </row>
    <row r="3779" spans="1:24" ht="15" customHeight="1" x14ac:dyDescent="0.25">
      <c r="A3779" t="str">
        <f>""</f>
        <v/>
      </c>
      <c r="B3779" s="1"/>
      <c r="H3779">
        <v>22.5</v>
      </c>
      <c r="J3779" t="s">
        <v>22</v>
      </c>
      <c r="L3779" s="1"/>
      <c r="V3779" t="str">
        <f>"70000"</f>
        <v>70000</v>
      </c>
      <c r="W3779">
        <v>0</v>
      </c>
      <c r="X3779">
        <v>0</v>
      </c>
    </row>
    <row r="3780" spans="1:24" ht="15" customHeight="1" x14ac:dyDescent="0.25">
      <c r="A3780" t="str">
        <f>""</f>
        <v/>
      </c>
      <c r="B3780" s="1"/>
      <c r="H3780">
        <v>140</v>
      </c>
      <c r="J3780" t="s">
        <v>23</v>
      </c>
      <c r="L3780" s="1"/>
      <c r="N3780" s="1"/>
      <c r="V3780" t="str">
        <f>"24650"</f>
        <v>24650</v>
      </c>
      <c r="W3780">
        <v>0</v>
      </c>
      <c r="X3780">
        <v>23.8</v>
      </c>
    </row>
    <row r="3781" spans="1:24" ht="15" customHeight="1" x14ac:dyDescent="0.25">
      <c r="A3781" t="str">
        <f>""</f>
        <v/>
      </c>
      <c r="B3781" s="1"/>
      <c r="H3781">
        <v>50.84</v>
      </c>
      <c r="J3781" t="s">
        <v>19</v>
      </c>
      <c r="L3781" s="1"/>
      <c r="N3781" s="1"/>
      <c r="V3781" t="str">
        <f>"92000"</f>
        <v>92000</v>
      </c>
      <c r="W3781">
        <v>0</v>
      </c>
      <c r="X3781">
        <v>0</v>
      </c>
    </row>
    <row r="3782" spans="1:24" ht="15" customHeight="1" x14ac:dyDescent="0.25">
      <c r="A3782" t="str">
        <f>""</f>
        <v/>
      </c>
      <c r="B3782" s="1"/>
      <c r="H3782">
        <v>135.85</v>
      </c>
      <c r="J3782" t="s">
        <v>22</v>
      </c>
      <c r="L3782" s="1"/>
      <c r="N3782" s="1"/>
      <c r="V3782" t="str">
        <f>"34000"</f>
        <v>34000</v>
      </c>
      <c r="W3782">
        <v>0</v>
      </c>
      <c r="X3782">
        <v>38.04</v>
      </c>
    </row>
    <row r="3783" spans="1:24" ht="15" customHeight="1" x14ac:dyDescent="0.25">
      <c r="A3783" t="str">
        <f>""</f>
        <v/>
      </c>
      <c r="B3783" s="1"/>
      <c r="H3783">
        <v>40</v>
      </c>
      <c r="J3783" t="s">
        <v>23</v>
      </c>
      <c r="L3783" s="1"/>
      <c r="V3783" t="str">
        <f>"59154"</f>
        <v>59154</v>
      </c>
      <c r="W3783">
        <v>0</v>
      </c>
      <c r="X3783">
        <v>0</v>
      </c>
    </row>
    <row r="3784" spans="1:24" ht="15" customHeight="1" x14ac:dyDescent="0.25">
      <c r="A3784" t="str">
        <f>""</f>
        <v/>
      </c>
      <c r="B3784" s="1"/>
      <c r="H3784">
        <v>30.11</v>
      </c>
      <c r="J3784" t="s">
        <v>23</v>
      </c>
      <c r="L3784" s="1"/>
      <c r="N3784" s="1"/>
      <c r="V3784" t="str">
        <f>"77140"</f>
        <v>77140</v>
      </c>
      <c r="W3784">
        <v>0</v>
      </c>
      <c r="X3784">
        <v>0</v>
      </c>
    </row>
    <row r="3785" spans="1:24" ht="15" customHeight="1" x14ac:dyDescent="0.25">
      <c r="A3785" t="str">
        <f>""</f>
        <v/>
      </c>
      <c r="B3785" s="1"/>
      <c r="H3785">
        <v>30.11</v>
      </c>
      <c r="J3785" t="s">
        <v>23</v>
      </c>
      <c r="L3785" s="1"/>
      <c r="N3785" s="1"/>
      <c r="V3785" t="str">
        <f>"77140"</f>
        <v>77140</v>
      </c>
      <c r="W3785">
        <v>0</v>
      </c>
      <c r="X3785">
        <v>0</v>
      </c>
    </row>
    <row r="3786" spans="1:24" ht="15" customHeight="1" x14ac:dyDescent="0.25">
      <c r="A3786" t="str">
        <f>""</f>
        <v/>
      </c>
      <c r="B3786" s="1"/>
      <c r="H3786">
        <v>32.85</v>
      </c>
      <c r="J3786" t="s">
        <v>19</v>
      </c>
      <c r="L3786" s="1"/>
      <c r="N3786" s="1"/>
      <c r="V3786" t="str">
        <f>"62200"</f>
        <v>62200</v>
      </c>
      <c r="W3786">
        <v>6.24</v>
      </c>
      <c r="X3786">
        <v>0</v>
      </c>
    </row>
    <row r="3787" spans="1:24" ht="15" customHeight="1" x14ac:dyDescent="0.25">
      <c r="A3787" t="str">
        <f>""</f>
        <v/>
      </c>
      <c r="B3787" s="1"/>
      <c r="H3787">
        <v>40</v>
      </c>
      <c r="J3787" t="s">
        <v>23</v>
      </c>
      <c r="L3787" s="1"/>
      <c r="V3787" t="str">
        <f>"69570"</f>
        <v>69570</v>
      </c>
      <c r="W3787">
        <v>0</v>
      </c>
      <c r="X3787">
        <v>0</v>
      </c>
    </row>
    <row r="3788" spans="1:24" ht="15" customHeight="1" x14ac:dyDescent="0.25">
      <c r="A3788" t="str">
        <f>""</f>
        <v/>
      </c>
      <c r="B3788" s="1"/>
      <c r="H3788">
        <v>36.03</v>
      </c>
      <c r="J3788" t="s">
        <v>22</v>
      </c>
      <c r="L3788" s="1"/>
      <c r="N3788" s="1"/>
      <c r="V3788" t="str">
        <f>"61400"</f>
        <v>61400</v>
      </c>
      <c r="W3788">
        <v>0</v>
      </c>
      <c r="X3788">
        <v>6.13</v>
      </c>
    </row>
    <row r="3789" spans="1:24" x14ac:dyDescent="0.25">
      <c r="A3789" t="str">
        <f>""</f>
        <v/>
      </c>
      <c r="B3789" s="1"/>
      <c r="H3789">
        <v>23.4</v>
      </c>
      <c r="J3789" t="s">
        <v>17</v>
      </c>
      <c r="L3789" s="1"/>
      <c r="N3789" s="1"/>
      <c r="V3789" t="str">
        <f>"38230"</f>
        <v>38230</v>
      </c>
      <c r="W3789">
        <v>0</v>
      </c>
      <c r="X3789">
        <v>0</v>
      </c>
    </row>
    <row r="3790" spans="1:24" x14ac:dyDescent="0.25">
      <c r="A3790" t="str">
        <f>""</f>
        <v/>
      </c>
      <c r="B3790" s="1"/>
      <c r="H3790">
        <v>23.4</v>
      </c>
      <c r="J3790" t="s">
        <v>15</v>
      </c>
      <c r="L3790" s="1"/>
      <c r="N3790" s="1"/>
      <c r="V3790" t="str">
        <f>"38110"</f>
        <v>38110</v>
      </c>
      <c r="W3790">
        <v>0</v>
      </c>
      <c r="X3790">
        <v>0</v>
      </c>
    </row>
    <row r="3791" spans="1:24" ht="15" customHeight="1" x14ac:dyDescent="0.25">
      <c r="A3791" t="str">
        <f>""</f>
        <v/>
      </c>
      <c r="B3791" s="1"/>
      <c r="H3791">
        <v>20</v>
      </c>
      <c r="L3791" s="1"/>
      <c r="N3791" s="1"/>
      <c r="V3791" t="str">
        <f>"77184"</f>
        <v>77184</v>
      </c>
      <c r="W3791">
        <v>0</v>
      </c>
      <c r="X3791">
        <v>0</v>
      </c>
    </row>
    <row r="3792" spans="1:24" ht="15" customHeight="1" x14ac:dyDescent="0.25">
      <c r="A3792" t="str">
        <f>""</f>
        <v/>
      </c>
      <c r="B3792" s="1"/>
      <c r="H3792">
        <v>40</v>
      </c>
      <c r="J3792" t="s">
        <v>23</v>
      </c>
      <c r="L3792" s="1"/>
      <c r="N3792" s="1"/>
      <c r="V3792" t="str">
        <f>"71300"</f>
        <v>71300</v>
      </c>
      <c r="W3792">
        <v>0</v>
      </c>
      <c r="X3792">
        <v>0</v>
      </c>
    </row>
    <row r="3793" spans="1:24" ht="15" customHeight="1" x14ac:dyDescent="0.25">
      <c r="A3793" t="str">
        <f>""</f>
        <v/>
      </c>
      <c r="B3793" s="1"/>
      <c r="H3793">
        <v>136.65</v>
      </c>
      <c r="J3793" t="s">
        <v>19</v>
      </c>
      <c r="L3793" s="1"/>
      <c r="N3793" s="1"/>
      <c r="V3793" t="str">
        <f>"45330"</f>
        <v>45330</v>
      </c>
      <c r="W3793">
        <v>28.7</v>
      </c>
      <c r="X3793">
        <v>0</v>
      </c>
    </row>
    <row r="3794" spans="1:24" ht="15" customHeight="1" x14ac:dyDescent="0.25">
      <c r="A3794" t="str">
        <f>""</f>
        <v/>
      </c>
      <c r="B3794" s="1"/>
      <c r="H3794">
        <v>188.33</v>
      </c>
      <c r="J3794" t="s">
        <v>19</v>
      </c>
      <c r="L3794" s="1"/>
      <c r="N3794" s="1"/>
      <c r="V3794" t="str">
        <f>"69002"</f>
        <v>69002</v>
      </c>
      <c r="W3794">
        <v>50.85</v>
      </c>
      <c r="X3794">
        <v>0</v>
      </c>
    </row>
    <row r="3795" spans="1:24" ht="15" customHeight="1" x14ac:dyDescent="0.25">
      <c r="A3795" t="str">
        <f>""</f>
        <v/>
      </c>
      <c r="B3795" s="1"/>
      <c r="H3795">
        <v>188.33</v>
      </c>
      <c r="J3795" t="s">
        <v>19</v>
      </c>
      <c r="L3795" s="1"/>
      <c r="N3795" s="1"/>
      <c r="V3795" t="str">
        <f>"69002"</f>
        <v>69002</v>
      </c>
      <c r="W3795">
        <v>50.85</v>
      </c>
      <c r="X3795">
        <v>0</v>
      </c>
    </row>
    <row r="3796" spans="1:24" ht="15" customHeight="1" x14ac:dyDescent="0.25">
      <c r="A3796" t="str">
        <f>""</f>
        <v/>
      </c>
      <c r="B3796" s="1"/>
      <c r="H3796">
        <v>198.02</v>
      </c>
      <c r="J3796" t="s">
        <v>23</v>
      </c>
      <c r="L3796" s="1"/>
      <c r="N3796" s="1"/>
      <c r="V3796" t="str">
        <f>"13200"</f>
        <v>13200</v>
      </c>
      <c r="W3796">
        <v>0</v>
      </c>
      <c r="X3796">
        <v>0</v>
      </c>
    </row>
    <row r="3797" spans="1:24" ht="15" customHeight="1" x14ac:dyDescent="0.25">
      <c r="A3797" t="str">
        <f>""</f>
        <v/>
      </c>
      <c r="B3797" s="1"/>
      <c r="H3797">
        <v>33.35</v>
      </c>
      <c r="J3797" t="s">
        <v>19</v>
      </c>
      <c r="L3797" s="1"/>
      <c r="N3797" s="1"/>
      <c r="V3797" t="str">
        <f>"44350"</f>
        <v>44350</v>
      </c>
      <c r="W3797">
        <v>9</v>
      </c>
      <c r="X3797">
        <v>0</v>
      </c>
    </row>
    <row r="3798" spans="1:24" ht="15" customHeight="1" x14ac:dyDescent="0.25">
      <c r="A3798" t="str">
        <f>""</f>
        <v/>
      </c>
      <c r="B3798" s="1"/>
      <c r="H3798">
        <v>112.6</v>
      </c>
      <c r="L3798" s="1"/>
      <c r="N3798" s="1"/>
      <c r="V3798" t="str">
        <f>"77184"</f>
        <v>77184</v>
      </c>
      <c r="W3798">
        <v>0</v>
      </c>
      <c r="X3798">
        <v>0</v>
      </c>
    </row>
    <row r="3799" spans="1:24" ht="15" customHeight="1" x14ac:dyDescent="0.25">
      <c r="A3799" t="str">
        <f>""</f>
        <v/>
      </c>
      <c r="B3799" s="1"/>
      <c r="H3799">
        <v>140</v>
      </c>
      <c r="J3799" t="s">
        <v>23</v>
      </c>
      <c r="L3799" s="1"/>
      <c r="N3799" s="1"/>
      <c r="V3799" t="str">
        <f>"14120"</f>
        <v>14120</v>
      </c>
      <c r="W3799">
        <v>0</v>
      </c>
      <c r="X3799">
        <v>23.8</v>
      </c>
    </row>
    <row r="3800" spans="1:24" ht="15" customHeight="1" x14ac:dyDescent="0.25">
      <c r="A3800" t="str">
        <f>""</f>
        <v/>
      </c>
      <c r="B3800" s="1"/>
      <c r="H3800">
        <v>234.6</v>
      </c>
      <c r="J3800" t="s">
        <v>23</v>
      </c>
      <c r="L3800" s="1"/>
      <c r="N3800" s="1"/>
      <c r="V3800" t="str">
        <f>"94600"</f>
        <v>94600</v>
      </c>
      <c r="W3800">
        <v>0</v>
      </c>
      <c r="X3800">
        <v>0</v>
      </c>
    </row>
    <row r="3801" spans="1:24" ht="15" customHeight="1" x14ac:dyDescent="0.25">
      <c r="A3801" t="str">
        <f>""</f>
        <v/>
      </c>
      <c r="B3801" s="1"/>
      <c r="H3801">
        <v>186.98</v>
      </c>
      <c r="J3801" t="s">
        <v>22</v>
      </c>
      <c r="L3801" s="1"/>
      <c r="N3801" s="1"/>
      <c r="V3801" t="str">
        <f>"14120"</f>
        <v>14120</v>
      </c>
      <c r="W3801">
        <v>0</v>
      </c>
      <c r="X3801">
        <v>31.79</v>
      </c>
    </row>
    <row r="3802" spans="1:24" ht="15" customHeight="1" x14ac:dyDescent="0.25">
      <c r="A3802" t="str">
        <f>""</f>
        <v/>
      </c>
      <c r="B3802" s="1"/>
      <c r="H3802">
        <v>55.16</v>
      </c>
      <c r="J3802" t="s">
        <v>19</v>
      </c>
      <c r="L3802" s="1"/>
      <c r="N3802" s="1"/>
      <c r="V3802" t="str">
        <f>"21160"</f>
        <v>21160</v>
      </c>
      <c r="W3802">
        <v>13.24</v>
      </c>
      <c r="X3802">
        <v>0</v>
      </c>
    </row>
    <row r="3803" spans="1:24" ht="15" customHeight="1" x14ac:dyDescent="0.25">
      <c r="A3803" t="str">
        <f>""</f>
        <v/>
      </c>
      <c r="B3803" s="1"/>
      <c r="H3803">
        <v>151</v>
      </c>
      <c r="J3803" t="s">
        <v>22</v>
      </c>
      <c r="L3803" s="1"/>
      <c r="N3803" s="1"/>
      <c r="V3803" t="str">
        <f>"06560"</f>
        <v>06560</v>
      </c>
      <c r="W3803">
        <v>0</v>
      </c>
      <c r="X3803">
        <v>0</v>
      </c>
    </row>
    <row r="3804" spans="1:24" ht="15" customHeight="1" x14ac:dyDescent="0.25">
      <c r="A3804" t="str">
        <f>""</f>
        <v/>
      </c>
      <c r="B3804" s="1"/>
      <c r="H3804">
        <v>151</v>
      </c>
      <c r="J3804" t="s">
        <v>22</v>
      </c>
      <c r="L3804" s="1"/>
      <c r="N3804" s="1"/>
      <c r="V3804" t="str">
        <f>"06560"</f>
        <v>06560</v>
      </c>
      <c r="W3804">
        <v>0</v>
      </c>
      <c r="X3804">
        <v>31.71</v>
      </c>
    </row>
    <row r="3805" spans="1:24" ht="15" customHeight="1" x14ac:dyDescent="0.25">
      <c r="A3805" t="str">
        <f>""</f>
        <v/>
      </c>
      <c r="B3805" s="1"/>
      <c r="H3805">
        <v>50</v>
      </c>
      <c r="L3805" s="1"/>
      <c r="N3805" s="1"/>
      <c r="V3805" t="str">
        <f>"77184"</f>
        <v>77184</v>
      </c>
      <c r="W3805">
        <v>0</v>
      </c>
      <c r="X3805">
        <v>0</v>
      </c>
    </row>
    <row r="3806" spans="1:24" ht="15" customHeight="1" x14ac:dyDescent="0.25">
      <c r="A3806" t="str">
        <f>""</f>
        <v/>
      </c>
      <c r="B3806" s="1"/>
      <c r="H3806">
        <v>25</v>
      </c>
      <c r="J3806" t="s">
        <v>22</v>
      </c>
      <c r="L3806" s="1"/>
      <c r="V3806" t="str">
        <f>"21000"</f>
        <v>21000</v>
      </c>
      <c r="W3806">
        <v>0</v>
      </c>
      <c r="X3806">
        <v>0</v>
      </c>
    </row>
    <row r="3807" spans="1:24" ht="15" customHeight="1" x14ac:dyDescent="0.25">
      <c r="A3807" t="str">
        <f>""</f>
        <v/>
      </c>
      <c r="B3807" s="1"/>
      <c r="H3807">
        <v>140</v>
      </c>
      <c r="J3807" t="s">
        <v>23</v>
      </c>
      <c r="L3807" s="1"/>
      <c r="N3807" s="1"/>
      <c r="V3807" t="str">
        <f>"45570"</f>
        <v>45570</v>
      </c>
      <c r="W3807">
        <v>0</v>
      </c>
      <c r="X3807">
        <v>16.8</v>
      </c>
    </row>
    <row r="3808" spans="1:24" ht="15" customHeight="1" x14ac:dyDescent="0.25">
      <c r="A3808" t="str">
        <f>""</f>
        <v/>
      </c>
      <c r="B3808" s="1"/>
      <c r="H3808">
        <v>524.94000000000005</v>
      </c>
      <c r="J3808" t="s">
        <v>20</v>
      </c>
      <c r="L3808" s="1"/>
      <c r="N3808" s="1"/>
      <c r="V3808" t="str">
        <f>"89000"</f>
        <v>89000</v>
      </c>
      <c r="W3808">
        <v>125.99</v>
      </c>
      <c r="X3808">
        <v>0</v>
      </c>
    </row>
    <row r="3809" spans="1:24" ht="15" customHeight="1" x14ac:dyDescent="0.25">
      <c r="A3809" t="str">
        <f>""</f>
        <v/>
      </c>
      <c r="B3809" s="1"/>
      <c r="H3809">
        <v>31.6</v>
      </c>
      <c r="L3809" s="1"/>
      <c r="N3809" s="1"/>
      <c r="V3809" t="str">
        <f>"77184"</f>
        <v>77184</v>
      </c>
      <c r="W3809">
        <v>0</v>
      </c>
      <c r="X3809">
        <v>0</v>
      </c>
    </row>
    <row r="3810" spans="1:24" ht="15" customHeight="1" x14ac:dyDescent="0.25">
      <c r="A3810" t="str">
        <f>""</f>
        <v/>
      </c>
      <c r="B3810" s="1"/>
      <c r="H3810">
        <v>10</v>
      </c>
      <c r="L3810" s="1"/>
      <c r="N3810" s="1"/>
      <c r="V3810" t="str">
        <f>"77184"</f>
        <v>77184</v>
      </c>
      <c r="W3810">
        <v>0</v>
      </c>
      <c r="X3810">
        <v>0</v>
      </c>
    </row>
    <row r="3811" spans="1:24" ht="15" customHeight="1" x14ac:dyDescent="0.25">
      <c r="A3811" t="str">
        <f>""</f>
        <v/>
      </c>
      <c r="B3811" s="1"/>
      <c r="H3811">
        <v>67.569999999999993</v>
      </c>
      <c r="J3811" t="s">
        <v>19</v>
      </c>
      <c r="L3811" s="1"/>
      <c r="N3811" s="1"/>
      <c r="V3811" t="str">
        <f>"01000"</f>
        <v>01000</v>
      </c>
      <c r="W3811">
        <v>18.239999999999998</v>
      </c>
      <c r="X3811">
        <v>0</v>
      </c>
    </row>
    <row r="3812" spans="1:24" ht="15" customHeight="1" x14ac:dyDescent="0.25">
      <c r="A3812" t="str">
        <f>""</f>
        <v/>
      </c>
      <c r="B3812" s="1"/>
      <c r="H3812">
        <v>25</v>
      </c>
      <c r="J3812" t="s">
        <v>22</v>
      </c>
      <c r="L3812" s="1"/>
      <c r="N3812" s="1"/>
      <c r="V3812" t="str">
        <f>"14790"</f>
        <v>14790</v>
      </c>
      <c r="W3812">
        <v>0</v>
      </c>
      <c r="X3812">
        <v>4.25</v>
      </c>
    </row>
    <row r="3813" spans="1:24" ht="15" customHeight="1" x14ac:dyDescent="0.25">
      <c r="A3813" t="str">
        <f>""</f>
        <v/>
      </c>
      <c r="B3813" s="1"/>
      <c r="H3813">
        <v>49.08</v>
      </c>
      <c r="J3813" t="s">
        <v>19</v>
      </c>
      <c r="L3813" s="1"/>
      <c r="N3813" s="1"/>
      <c r="V3813" t="str">
        <f>"22210"</f>
        <v>22210</v>
      </c>
      <c r="W3813">
        <v>19.14</v>
      </c>
      <c r="X3813">
        <v>0</v>
      </c>
    </row>
    <row r="3814" spans="1:24" ht="15" customHeight="1" x14ac:dyDescent="0.25">
      <c r="A3814" t="str">
        <f>""</f>
        <v/>
      </c>
      <c r="B3814" s="1"/>
      <c r="H3814">
        <v>57.2</v>
      </c>
      <c r="J3814" t="s">
        <v>23</v>
      </c>
      <c r="L3814" s="1"/>
      <c r="V3814" t="str">
        <f>"59000"</f>
        <v>59000</v>
      </c>
      <c r="W3814">
        <v>0</v>
      </c>
      <c r="X3814">
        <v>0</v>
      </c>
    </row>
    <row r="3815" spans="1:24" ht="15" customHeight="1" x14ac:dyDescent="0.25">
      <c r="A3815" t="str">
        <f>""</f>
        <v/>
      </c>
      <c r="B3815" s="1"/>
      <c r="H3815">
        <v>151</v>
      </c>
      <c r="J3815" t="s">
        <v>22</v>
      </c>
      <c r="L3815" s="1"/>
      <c r="N3815" s="1"/>
      <c r="V3815" t="str">
        <f>"75013"</f>
        <v>75013</v>
      </c>
      <c r="W3815">
        <v>0</v>
      </c>
      <c r="X3815">
        <v>0</v>
      </c>
    </row>
    <row r="3816" spans="1:24" ht="15" customHeight="1" x14ac:dyDescent="0.25">
      <c r="A3816" t="str">
        <f>""</f>
        <v/>
      </c>
      <c r="B3816" s="1"/>
      <c r="H3816">
        <v>40</v>
      </c>
      <c r="J3816" t="s">
        <v>19</v>
      </c>
      <c r="L3816" s="1"/>
      <c r="N3816" s="1"/>
      <c r="V3816" t="str">
        <f>"51320"</f>
        <v>51320</v>
      </c>
      <c r="W3816">
        <v>10</v>
      </c>
      <c r="X3816">
        <v>0</v>
      </c>
    </row>
    <row r="3817" spans="1:24" ht="15" customHeight="1" x14ac:dyDescent="0.25">
      <c r="A3817" t="str">
        <f>""</f>
        <v/>
      </c>
      <c r="B3817" s="1"/>
      <c r="H3817">
        <v>55.34</v>
      </c>
      <c r="J3817" t="s">
        <v>20</v>
      </c>
      <c r="L3817" s="1"/>
      <c r="N3817" s="1"/>
      <c r="V3817" t="str">
        <f>"74300"</f>
        <v>74300</v>
      </c>
      <c r="W3817">
        <v>14.94</v>
      </c>
      <c r="X3817">
        <v>0</v>
      </c>
    </row>
    <row r="3818" spans="1:24" ht="15" customHeight="1" x14ac:dyDescent="0.25">
      <c r="A3818" t="str">
        <f>""</f>
        <v/>
      </c>
      <c r="B3818" s="1"/>
      <c r="H3818">
        <v>22.62</v>
      </c>
      <c r="J3818" t="s">
        <v>19</v>
      </c>
      <c r="L3818" s="1"/>
      <c r="N3818" s="1"/>
      <c r="V3818" t="str">
        <f>"25300"</f>
        <v>25300</v>
      </c>
      <c r="W3818">
        <v>0</v>
      </c>
      <c r="X3818">
        <v>0</v>
      </c>
    </row>
    <row r="3819" spans="1:24" ht="15" customHeight="1" x14ac:dyDescent="0.25">
      <c r="A3819" t="str">
        <f>""</f>
        <v/>
      </c>
      <c r="B3819" s="1"/>
      <c r="H3819">
        <v>180</v>
      </c>
      <c r="J3819" t="s">
        <v>22</v>
      </c>
      <c r="L3819" s="1"/>
      <c r="N3819" s="1"/>
      <c r="V3819" t="str">
        <f>"14100"</f>
        <v>14100</v>
      </c>
      <c r="W3819">
        <v>0</v>
      </c>
      <c r="X3819">
        <v>30.6</v>
      </c>
    </row>
    <row r="3820" spans="1:24" ht="15" customHeight="1" x14ac:dyDescent="0.25">
      <c r="A3820" t="str">
        <f>""</f>
        <v/>
      </c>
      <c r="B3820" s="1"/>
      <c r="H3820">
        <v>393.96</v>
      </c>
      <c r="J3820" t="s">
        <v>20</v>
      </c>
      <c r="L3820" s="1"/>
      <c r="N3820" s="1"/>
      <c r="V3820" t="str">
        <f>"93190"</f>
        <v>93190</v>
      </c>
      <c r="W3820">
        <v>0</v>
      </c>
      <c r="X3820">
        <v>0</v>
      </c>
    </row>
    <row r="3821" spans="1:24" ht="15" customHeight="1" x14ac:dyDescent="0.25">
      <c r="A3821" t="str">
        <f>""</f>
        <v/>
      </c>
      <c r="B3821" s="1"/>
      <c r="H3821">
        <v>25</v>
      </c>
      <c r="J3821" t="s">
        <v>23</v>
      </c>
      <c r="L3821" s="1"/>
      <c r="N3821" s="1"/>
      <c r="V3821" t="str">
        <f>"94150"</f>
        <v>94150</v>
      </c>
      <c r="W3821">
        <v>0</v>
      </c>
      <c r="X3821">
        <v>0</v>
      </c>
    </row>
    <row r="3822" spans="1:24" ht="15" customHeight="1" x14ac:dyDescent="0.25">
      <c r="A3822" t="str">
        <f>""</f>
        <v/>
      </c>
      <c r="B3822" s="1"/>
      <c r="H3822">
        <v>151</v>
      </c>
      <c r="J3822" t="s">
        <v>22</v>
      </c>
      <c r="L3822" s="1"/>
      <c r="N3822" s="1"/>
      <c r="V3822" t="str">
        <f>"11100"</f>
        <v>11100</v>
      </c>
      <c r="W3822">
        <v>0</v>
      </c>
      <c r="X3822">
        <v>42.28</v>
      </c>
    </row>
    <row r="3823" spans="1:24" ht="15" customHeight="1" x14ac:dyDescent="0.25">
      <c r="A3823" t="str">
        <f>""</f>
        <v/>
      </c>
      <c r="B3823" s="1"/>
      <c r="H3823">
        <v>126.4</v>
      </c>
      <c r="J3823" t="s">
        <v>23</v>
      </c>
      <c r="L3823" s="1"/>
      <c r="N3823" s="1"/>
      <c r="V3823" t="str">
        <f>"76940"</f>
        <v>76940</v>
      </c>
      <c r="W3823">
        <v>0</v>
      </c>
      <c r="X3823">
        <v>21.49</v>
      </c>
    </row>
    <row r="3824" spans="1:24" ht="15" customHeight="1" x14ac:dyDescent="0.25">
      <c r="A3824" t="str">
        <f>""</f>
        <v/>
      </c>
      <c r="B3824" s="1"/>
      <c r="H3824">
        <v>0.7</v>
      </c>
      <c r="J3824" t="s">
        <v>19</v>
      </c>
      <c r="L3824" s="1"/>
      <c r="N3824" s="1"/>
      <c r="V3824" t="str">
        <f>"89100"</f>
        <v>89100</v>
      </c>
      <c r="W3824">
        <v>0.17</v>
      </c>
      <c r="X3824">
        <v>0</v>
      </c>
    </row>
    <row r="3825" spans="1:24" ht="15" customHeight="1" x14ac:dyDescent="0.25">
      <c r="A3825" t="str">
        <f>""</f>
        <v/>
      </c>
      <c r="B3825" s="1"/>
      <c r="H3825">
        <v>60</v>
      </c>
      <c r="J3825" t="s">
        <v>20</v>
      </c>
      <c r="L3825" s="1"/>
      <c r="N3825" s="1"/>
      <c r="V3825" t="str">
        <f>"63100"</f>
        <v>63100</v>
      </c>
      <c r="W3825">
        <v>17.399999999999999</v>
      </c>
      <c r="X3825">
        <v>0</v>
      </c>
    </row>
    <row r="3826" spans="1:24" ht="15" customHeight="1" x14ac:dyDescent="0.25">
      <c r="A3826" t="str">
        <f>""</f>
        <v/>
      </c>
      <c r="B3826" s="1"/>
      <c r="H3826">
        <v>180</v>
      </c>
      <c r="L3826" s="1"/>
      <c r="N3826" s="1"/>
      <c r="V3826" t="str">
        <f>"77184"</f>
        <v>77184</v>
      </c>
      <c r="W3826">
        <v>0</v>
      </c>
      <c r="X3826">
        <v>0</v>
      </c>
    </row>
    <row r="3827" spans="1:24" ht="15" customHeight="1" x14ac:dyDescent="0.25">
      <c r="A3827" t="str">
        <f>""</f>
        <v/>
      </c>
      <c r="B3827" s="1"/>
      <c r="H3827">
        <v>139.19999999999999</v>
      </c>
      <c r="J3827" t="s">
        <v>19</v>
      </c>
      <c r="L3827" s="1"/>
      <c r="N3827" s="1"/>
      <c r="V3827" t="str">
        <f>"62740"</f>
        <v>62740</v>
      </c>
      <c r="W3827">
        <v>26.45</v>
      </c>
      <c r="X3827">
        <v>0</v>
      </c>
    </row>
    <row r="3828" spans="1:24" ht="15" customHeight="1" x14ac:dyDescent="0.25">
      <c r="A3828" t="str">
        <f>""</f>
        <v/>
      </c>
      <c r="B3828" s="1"/>
      <c r="H3828">
        <v>139.19999999999999</v>
      </c>
      <c r="J3828" t="s">
        <v>19</v>
      </c>
      <c r="L3828" s="1"/>
      <c r="N3828" s="1"/>
      <c r="V3828" t="str">
        <f>"62740"</f>
        <v>62740</v>
      </c>
      <c r="W3828">
        <v>26.45</v>
      </c>
      <c r="X3828">
        <v>0</v>
      </c>
    </row>
    <row r="3829" spans="1:24" ht="15" customHeight="1" x14ac:dyDescent="0.25">
      <c r="A3829" t="str">
        <f>""</f>
        <v/>
      </c>
      <c r="B3829" s="1"/>
      <c r="H3829">
        <v>22.8</v>
      </c>
      <c r="L3829" s="1"/>
      <c r="N3829" s="1"/>
      <c r="V3829" t="str">
        <f>"44240"</f>
        <v>44240</v>
      </c>
      <c r="W3829">
        <v>0</v>
      </c>
      <c r="X3829">
        <v>0</v>
      </c>
    </row>
    <row r="3830" spans="1:24" ht="15" customHeight="1" x14ac:dyDescent="0.25">
      <c r="A3830" t="str">
        <f>""</f>
        <v/>
      </c>
      <c r="B3830" s="1"/>
      <c r="H3830">
        <v>31</v>
      </c>
      <c r="L3830" s="1"/>
      <c r="N3830" s="1"/>
      <c r="V3830" t="str">
        <f>"44240"</f>
        <v>44240</v>
      </c>
      <c r="W3830">
        <v>0</v>
      </c>
      <c r="X3830">
        <v>0</v>
      </c>
    </row>
    <row r="3831" spans="1:24" ht="15" customHeight="1" x14ac:dyDescent="0.25">
      <c r="A3831" t="str">
        <f>""</f>
        <v/>
      </c>
      <c r="B3831" s="1"/>
      <c r="H3831">
        <v>31</v>
      </c>
      <c r="L3831" s="1"/>
      <c r="N3831" s="1"/>
      <c r="V3831" t="str">
        <f>"44240"</f>
        <v>44240</v>
      </c>
      <c r="W3831">
        <v>0</v>
      </c>
      <c r="X3831">
        <v>0</v>
      </c>
    </row>
    <row r="3832" spans="1:24" ht="15" customHeight="1" x14ac:dyDescent="0.25">
      <c r="A3832" t="str">
        <f>""</f>
        <v/>
      </c>
      <c r="B3832" s="1"/>
      <c r="H3832">
        <v>65</v>
      </c>
      <c r="L3832" s="1"/>
      <c r="N3832" s="1"/>
      <c r="V3832" t="str">
        <f>"44240"</f>
        <v>44240</v>
      </c>
      <c r="W3832">
        <v>0</v>
      </c>
      <c r="X3832">
        <v>0</v>
      </c>
    </row>
    <row r="3833" spans="1:24" ht="15" customHeight="1" x14ac:dyDescent="0.25">
      <c r="A3833" t="str">
        <f>""</f>
        <v/>
      </c>
      <c r="B3833" s="1"/>
      <c r="H3833">
        <v>40</v>
      </c>
      <c r="J3833" t="s">
        <v>19</v>
      </c>
      <c r="L3833" s="1"/>
      <c r="N3833" s="1"/>
      <c r="V3833" t="str">
        <f>"62740"</f>
        <v>62740</v>
      </c>
      <c r="W3833">
        <v>7.6</v>
      </c>
      <c r="X3833">
        <v>0</v>
      </c>
    </row>
    <row r="3834" spans="1:24" ht="15" customHeight="1" x14ac:dyDescent="0.25">
      <c r="A3834" t="str">
        <f>""</f>
        <v/>
      </c>
      <c r="B3834" s="1"/>
      <c r="H3834">
        <v>57</v>
      </c>
      <c r="L3834" s="1"/>
      <c r="N3834" s="1"/>
      <c r="V3834" t="str">
        <f>"77184"</f>
        <v>77184</v>
      </c>
      <c r="W3834">
        <v>0</v>
      </c>
      <c r="X3834">
        <v>0</v>
      </c>
    </row>
    <row r="3835" spans="1:24" ht="15" customHeight="1" x14ac:dyDescent="0.25">
      <c r="A3835" t="str">
        <f>""</f>
        <v/>
      </c>
      <c r="B3835" s="1"/>
      <c r="H3835">
        <v>56</v>
      </c>
      <c r="L3835" s="1"/>
      <c r="N3835" s="1"/>
      <c r="V3835" t="str">
        <f>"77184"</f>
        <v>77184</v>
      </c>
      <c r="W3835">
        <v>0</v>
      </c>
      <c r="X3835">
        <v>0</v>
      </c>
    </row>
    <row r="3836" spans="1:24" ht="15" customHeight="1" x14ac:dyDescent="0.25">
      <c r="A3836" t="str">
        <f>""</f>
        <v/>
      </c>
      <c r="B3836" s="1"/>
      <c r="H3836">
        <v>25</v>
      </c>
      <c r="J3836" t="s">
        <v>23</v>
      </c>
      <c r="L3836" s="1"/>
      <c r="N3836" s="1"/>
      <c r="V3836" t="str">
        <f>"67000"</f>
        <v>67000</v>
      </c>
      <c r="W3836">
        <v>0</v>
      </c>
      <c r="X3836">
        <v>2</v>
      </c>
    </row>
    <row r="3837" spans="1:24" x14ac:dyDescent="0.25">
      <c r="A3837" t="str">
        <f>""</f>
        <v/>
      </c>
      <c r="B3837" s="1"/>
      <c r="H3837">
        <v>180</v>
      </c>
      <c r="J3837" t="s">
        <v>15</v>
      </c>
      <c r="L3837" s="1"/>
      <c r="V3837" t="str">
        <f>"75007"</f>
        <v>75007</v>
      </c>
      <c r="W3837">
        <v>0</v>
      </c>
      <c r="X3837">
        <v>0</v>
      </c>
    </row>
    <row r="3838" spans="1:24" x14ac:dyDescent="0.25">
      <c r="A3838" t="str">
        <f>""</f>
        <v/>
      </c>
      <c r="B3838" s="1"/>
      <c r="H3838">
        <v>180</v>
      </c>
      <c r="J3838" t="s">
        <v>16</v>
      </c>
      <c r="L3838" s="1"/>
      <c r="N3838" s="1"/>
      <c r="V3838" t="str">
        <f>"35500"</f>
        <v>35500</v>
      </c>
      <c r="W3838">
        <v>0</v>
      </c>
      <c r="X3838">
        <v>0</v>
      </c>
    </row>
    <row r="3839" spans="1:24" ht="15" customHeight="1" x14ac:dyDescent="0.25">
      <c r="A3839" t="str">
        <f>""</f>
        <v/>
      </c>
      <c r="B3839" s="1"/>
      <c r="H3839">
        <v>84.5</v>
      </c>
      <c r="L3839" s="1"/>
      <c r="N3839" s="1"/>
      <c r="V3839" t="str">
        <f>"77184"</f>
        <v>77184</v>
      </c>
      <c r="W3839">
        <v>0</v>
      </c>
      <c r="X3839">
        <v>0</v>
      </c>
    </row>
    <row r="3840" spans="1:24" ht="15" customHeight="1" x14ac:dyDescent="0.25">
      <c r="A3840" t="str">
        <f>""</f>
        <v/>
      </c>
      <c r="B3840" s="1"/>
      <c r="H3840">
        <v>160</v>
      </c>
      <c r="L3840" s="1"/>
      <c r="N3840" s="1"/>
      <c r="V3840" t="str">
        <f>"77184"</f>
        <v>77184</v>
      </c>
      <c r="W3840">
        <v>0</v>
      </c>
      <c r="X3840">
        <v>0</v>
      </c>
    </row>
    <row r="3841" spans="1:24" ht="15" customHeight="1" x14ac:dyDescent="0.25">
      <c r="A3841" t="str">
        <f>""</f>
        <v/>
      </c>
      <c r="B3841" s="1"/>
      <c r="H3841">
        <v>171</v>
      </c>
      <c r="L3841" s="1"/>
      <c r="N3841" s="1"/>
      <c r="V3841" t="str">
        <f>"77184"</f>
        <v>77184</v>
      </c>
      <c r="W3841">
        <v>0</v>
      </c>
      <c r="X3841">
        <v>0</v>
      </c>
    </row>
    <row r="3842" spans="1:24" ht="15" customHeight="1" x14ac:dyDescent="0.25">
      <c r="A3842" t="str">
        <f>""</f>
        <v/>
      </c>
      <c r="B3842" s="1"/>
      <c r="H3842">
        <v>180</v>
      </c>
      <c r="J3842" t="s">
        <v>20</v>
      </c>
      <c r="L3842" s="1"/>
      <c r="N3842" s="1"/>
      <c r="V3842" t="str">
        <f>"67300"</f>
        <v>67300</v>
      </c>
      <c r="W3842">
        <v>52.2</v>
      </c>
      <c r="X3842">
        <v>0</v>
      </c>
    </row>
    <row r="3843" spans="1:24" ht="15" customHeight="1" x14ac:dyDescent="0.25">
      <c r="A3843" t="str">
        <f>""</f>
        <v/>
      </c>
      <c r="B3843" s="1"/>
      <c r="H3843">
        <v>800</v>
      </c>
      <c r="L3843" s="1"/>
      <c r="N3843" s="1"/>
      <c r="V3843" t="str">
        <f>"77184"</f>
        <v>77184</v>
      </c>
      <c r="W3843">
        <v>0</v>
      </c>
      <c r="X3843">
        <v>0</v>
      </c>
    </row>
    <row r="3844" spans="1:24" ht="15" customHeight="1" x14ac:dyDescent="0.25">
      <c r="A3844" t="str">
        <f>""</f>
        <v/>
      </c>
      <c r="B3844" s="1"/>
      <c r="H3844">
        <v>161.78</v>
      </c>
      <c r="L3844" s="1"/>
      <c r="N3844" s="1"/>
      <c r="V3844" t="str">
        <f>"77184"</f>
        <v>77184</v>
      </c>
      <c r="W3844">
        <v>0</v>
      </c>
      <c r="X3844">
        <v>0</v>
      </c>
    </row>
    <row r="3845" spans="1:24" ht="15" customHeight="1" x14ac:dyDescent="0.25">
      <c r="A3845" t="str">
        <f>""</f>
        <v/>
      </c>
      <c r="B3845" s="1"/>
      <c r="H3845">
        <v>144.32</v>
      </c>
      <c r="L3845" s="1"/>
      <c r="N3845" s="1"/>
      <c r="V3845" t="str">
        <f>"77184"</f>
        <v>77184</v>
      </c>
      <c r="W3845">
        <v>0</v>
      </c>
      <c r="X3845">
        <v>0</v>
      </c>
    </row>
    <row r="3846" spans="1:24" ht="15" customHeight="1" x14ac:dyDescent="0.25">
      <c r="A3846" t="str">
        <f>""</f>
        <v/>
      </c>
      <c r="B3846" s="1"/>
      <c r="H3846">
        <v>160</v>
      </c>
      <c r="L3846" s="1"/>
      <c r="N3846" s="1"/>
      <c r="V3846" t="str">
        <f>"77184"</f>
        <v>77184</v>
      </c>
      <c r="W3846">
        <v>0</v>
      </c>
      <c r="X3846">
        <v>0</v>
      </c>
    </row>
    <row r="3847" spans="1:24" ht="15" customHeight="1" x14ac:dyDescent="0.25">
      <c r="A3847" t="str">
        <f>""</f>
        <v/>
      </c>
      <c r="B3847" s="1"/>
      <c r="H3847">
        <v>156.4</v>
      </c>
      <c r="L3847" s="1"/>
      <c r="N3847" s="1"/>
      <c r="V3847" t="str">
        <f>"77184"</f>
        <v>77184</v>
      </c>
      <c r="W3847">
        <v>0</v>
      </c>
      <c r="X3847">
        <v>0</v>
      </c>
    </row>
    <row r="3848" spans="1:24" ht="15" customHeight="1" x14ac:dyDescent="0.25">
      <c r="A3848" t="str">
        <f>""</f>
        <v/>
      </c>
      <c r="B3848" s="1"/>
      <c r="J3848" t="s">
        <v>20</v>
      </c>
      <c r="L3848" s="1"/>
      <c r="N3848" s="1"/>
      <c r="V3848" t="str">
        <f>"83150"</f>
        <v>83150</v>
      </c>
      <c r="W3848">
        <v>0</v>
      </c>
      <c r="X3848">
        <v>0</v>
      </c>
    </row>
    <row r="3849" spans="1:24" ht="15" customHeight="1" x14ac:dyDescent="0.25">
      <c r="A3849" t="str">
        <f>""</f>
        <v/>
      </c>
      <c r="B3849" s="1"/>
      <c r="H3849">
        <v>183</v>
      </c>
      <c r="L3849" s="1"/>
      <c r="N3849" s="1"/>
      <c r="V3849" t="str">
        <f>"77184"</f>
        <v>77184</v>
      </c>
      <c r="W3849">
        <v>0</v>
      </c>
      <c r="X3849">
        <v>0</v>
      </c>
    </row>
    <row r="3850" spans="1:24" ht="15" customHeight="1" x14ac:dyDescent="0.25">
      <c r="A3850" t="str">
        <f>""</f>
        <v/>
      </c>
      <c r="B3850" s="1"/>
      <c r="J3850" t="s">
        <v>20</v>
      </c>
      <c r="L3850" s="1"/>
      <c r="N3850" s="1"/>
      <c r="V3850" t="str">
        <f>"92130"</f>
        <v>92130</v>
      </c>
      <c r="W3850">
        <v>0</v>
      </c>
      <c r="X3850">
        <v>0</v>
      </c>
    </row>
    <row r="3851" spans="1:24" ht="15" customHeight="1" x14ac:dyDescent="0.25">
      <c r="A3851" t="str">
        <f>""</f>
        <v/>
      </c>
      <c r="B3851" s="1"/>
      <c r="H3851">
        <v>141.65</v>
      </c>
      <c r="J3851" t="s">
        <v>20</v>
      </c>
      <c r="L3851" s="1"/>
      <c r="N3851" s="1"/>
      <c r="V3851" t="str">
        <f>"76000"</f>
        <v>76000</v>
      </c>
      <c r="W3851">
        <v>24.08</v>
      </c>
      <c r="X3851">
        <v>0</v>
      </c>
    </row>
    <row r="3852" spans="1:24" ht="15" customHeight="1" x14ac:dyDescent="0.25">
      <c r="A3852" t="str">
        <f>""</f>
        <v/>
      </c>
      <c r="B3852" s="1"/>
      <c r="H3852">
        <v>156</v>
      </c>
      <c r="J3852" t="s">
        <v>20</v>
      </c>
      <c r="L3852" s="1"/>
      <c r="N3852" s="1"/>
      <c r="V3852" t="str">
        <f>"70300"</f>
        <v>70300</v>
      </c>
      <c r="W3852">
        <v>37.44</v>
      </c>
      <c r="X3852">
        <v>0</v>
      </c>
    </row>
    <row r="3853" spans="1:24" x14ac:dyDescent="0.25">
      <c r="A3853" t="str">
        <f>""</f>
        <v/>
      </c>
      <c r="B3853" s="1"/>
      <c r="H3853">
        <v>180</v>
      </c>
      <c r="J3853" t="s">
        <v>16</v>
      </c>
      <c r="L3853" s="1"/>
      <c r="N3853" s="1"/>
      <c r="V3853" t="str">
        <f>"86320"</f>
        <v>86320</v>
      </c>
      <c r="W3853">
        <v>0</v>
      </c>
      <c r="X3853">
        <v>0</v>
      </c>
    </row>
    <row r="3854" spans="1:24" ht="15" customHeight="1" x14ac:dyDescent="0.25">
      <c r="A3854" t="str">
        <f>""</f>
        <v/>
      </c>
      <c r="B3854" s="1"/>
      <c r="H3854">
        <v>107.6</v>
      </c>
      <c r="J3854" t="s">
        <v>20</v>
      </c>
      <c r="L3854" s="1"/>
      <c r="N3854" s="1"/>
      <c r="V3854" t="str">
        <f>"75014"</f>
        <v>75014</v>
      </c>
      <c r="W3854">
        <v>0</v>
      </c>
      <c r="X3854">
        <v>0</v>
      </c>
    </row>
    <row r="3855" spans="1:24" ht="15" customHeight="1" x14ac:dyDescent="0.25">
      <c r="A3855" t="str">
        <f>""</f>
        <v/>
      </c>
      <c r="B3855" s="1"/>
      <c r="H3855">
        <v>107.6</v>
      </c>
      <c r="J3855" t="s">
        <v>19</v>
      </c>
      <c r="L3855" s="1"/>
      <c r="N3855" s="1"/>
      <c r="V3855" t="str">
        <f>"75014"</f>
        <v>75014</v>
      </c>
      <c r="W3855">
        <v>0</v>
      </c>
      <c r="X3855">
        <v>0</v>
      </c>
    </row>
    <row r="3856" spans="1:24" ht="15" customHeight="1" x14ac:dyDescent="0.25">
      <c r="A3856" t="str">
        <f>""</f>
        <v/>
      </c>
      <c r="B3856" s="1"/>
      <c r="H3856">
        <v>125.62</v>
      </c>
      <c r="J3856" t="s">
        <v>19</v>
      </c>
      <c r="L3856" s="1"/>
      <c r="N3856" s="1"/>
      <c r="V3856" t="str">
        <f>"69800"</f>
        <v>69800</v>
      </c>
      <c r="W3856">
        <v>33.92</v>
      </c>
      <c r="X3856">
        <v>0</v>
      </c>
    </row>
    <row r="3857" spans="1:24" ht="15" customHeight="1" x14ac:dyDescent="0.25">
      <c r="A3857" t="str">
        <f>""</f>
        <v/>
      </c>
      <c r="B3857" s="1"/>
      <c r="H3857">
        <v>18.350000000000001</v>
      </c>
      <c r="J3857" t="s">
        <v>19</v>
      </c>
      <c r="L3857" s="1"/>
      <c r="N3857" s="1"/>
      <c r="V3857" t="str">
        <f>"59380"</f>
        <v>59380</v>
      </c>
      <c r="W3857">
        <v>3.49</v>
      </c>
      <c r="X3857">
        <v>0</v>
      </c>
    </row>
    <row r="3858" spans="1:24" ht="15" customHeight="1" x14ac:dyDescent="0.25">
      <c r="A3858" t="str">
        <f>""</f>
        <v/>
      </c>
      <c r="B3858" s="1"/>
      <c r="H3858">
        <v>75.27</v>
      </c>
      <c r="J3858" t="s">
        <v>20</v>
      </c>
      <c r="L3858" s="1"/>
      <c r="N3858" s="1"/>
      <c r="V3858" t="str">
        <f>"13002"</f>
        <v>13002</v>
      </c>
      <c r="W3858">
        <v>21.83</v>
      </c>
      <c r="X3858">
        <v>0</v>
      </c>
    </row>
    <row r="3859" spans="1:24" ht="15" customHeight="1" x14ac:dyDescent="0.25">
      <c r="A3859" t="str">
        <f>""</f>
        <v/>
      </c>
      <c r="B3859" s="1"/>
      <c r="H3859">
        <v>40</v>
      </c>
      <c r="J3859" t="s">
        <v>23</v>
      </c>
      <c r="L3859" s="1"/>
      <c r="N3859" s="1"/>
      <c r="V3859" t="str">
        <f>"37400"</f>
        <v>37400</v>
      </c>
      <c r="W3859">
        <v>0</v>
      </c>
      <c r="X3859">
        <v>4.8</v>
      </c>
    </row>
    <row r="3860" spans="1:24" x14ac:dyDescent="0.25">
      <c r="A3860" t="str">
        <f>""</f>
        <v/>
      </c>
      <c r="B3860" s="1"/>
      <c r="H3860">
        <v>181</v>
      </c>
      <c r="J3860" t="s">
        <v>17</v>
      </c>
      <c r="L3860" s="1"/>
      <c r="N3860" s="1"/>
      <c r="V3860" t="str">
        <f>"44700"</f>
        <v>44700</v>
      </c>
      <c r="W3860">
        <v>0</v>
      </c>
      <c r="X3860">
        <v>0</v>
      </c>
    </row>
    <row r="3861" spans="1:24" ht="15" customHeight="1" x14ac:dyDescent="0.25">
      <c r="A3861" t="str">
        <f>""</f>
        <v/>
      </c>
      <c r="B3861" s="1"/>
      <c r="H3861">
        <v>19.649999999999999</v>
      </c>
      <c r="J3861" t="s">
        <v>19</v>
      </c>
      <c r="L3861" s="1"/>
      <c r="N3861" s="1"/>
      <c r="V3861" t="str">
        <f>"75014"</f>
        <v>75014</v>
      </c>
      <c r="W3861">
        <v>0</v>
      </c>
      <c r="X3861">
        <v>0</v>
      </c>
    </row>
    <row r="3862" spans="1:24" ht="15" customHeight="1" x14ac:dyDescent="0.25">
      <c r="A3862" t="str">
        <f>""</f>
        <v/>
      </c>
      <c r="B3862" s="1"/>
      <c r="H3862">
        <v>19.649999999999999</v>
      </c>
      <c r="J3862" t="s">
        <v>19</v>
      </c>
      <c r="L3862" s="1"/>
      <c r="N3862" s="1"/>
      <c r="V3862" t="str">
        <f>"75014"</f>
        <v>75014</v>
      </c>
      <c r="W3862">
        <v>0</v>
      </c>
      <c r="X3862">
        <v>0</v>
      </c>
    </row>
    <row r="3863" spans="1:24" ht="15" customHeight="1" x14ac:dyDescent="0.25">
      <c r="A3863" t="str">
        <f>""</f>
        <v/>
      </c>
      <c r="B3863" s="1"/>
      <c r="H3863">
        <v>32.450000000000003</v>
      </c>
      <c r="J3863" t="s">
        <v>19</v>
      </c>
      <c r="L3863" s="1"/>
      <c r="N3863" s="1"/>
      <c r="V3863" t="str">
        <f>"67000"</f>
        <v>67000</v>
      </c>
      <c r="W3863">
        <v>9.41</v>
      </c>
      <c r="X3863">
        <v>0</v>
      </c>
    </row>
    <row r="3864" spans="1:24" ht="15" customHeight="1" x14ac:dyDescent="0.25">
      <c r="A3864" t="str">
        <f>""</f>
        <v/>
      </c>
      <c r="B3864" s="1"/>
      <c r="H3864">
        <v>136.65</v>
      </c>
      <c r="J3864" t="s">
        <v>20</v>
      </c>
      <c r="L3864" s="1"/>
      <c r="N3864" s="1"/>
      <c r="V3864" t="str">
        <f>"75003"</f>
        <v>75003</v>
      </c>
      <c r="W3864">
        <v>0</v>
      </c>
      <c r="X3864">
        <v>0</v>
      </c>
    </row>
    <row r="3865" spans="1:24" ht="15" customHeight="1" x14ac:dyDescent="0.25">
      <c r="A3865" t="str">
        <f>""</f>
        <v/>
      </c>
      <c r="B3865" s="1"/>
      <c r="H3865">
        <v>19.649999999999999</v>
      </c>
      <c r="J3865" t="s">
        <v>19</v>
      </c>
      <c r="L3865" s="1"/>
      <c r="N3865" s="1"/>
      <c r="V3865" t="str">
        <f>"75014"</f>
        <v>75014</v>
      </c>
      <c r="W3865">
        <v>0</v>
      </c>
      <c r="X3865">
        <v>0</v>
      </c>
    </row>
    <row r="3866" spans="1:24" ht="15" customHeight="1" x14ac:dyDescent="0.25">
      <c r="A3866" t="str">
        <f>""</f>
        <v/>
      </c>
      <c r="B3866" s="1"/>
      <c r="H3866">
        <v>19.649999999999999</v>
      </c>
      <c r="J3866" t="s">
        <v>19</v>
      </c>
      <c r="L3866" s="1"/>
      <c r="N3866" s="1"/>
      <c r="V3866" t="str">
        <f>"75014"</f>
        <v>75014</v>
      </c>
      <c r="W3866">
        <v>0</v>
      </c>
      <c r="X3866">
        <v>0</v>
      </c>
    </row>
    <row r="3867" spans="1:24" ht="15" customHeight="1" x14ac:dyDescent="0.25">
      <c r="A3867" t="str">
        <f>""</f>
        <v/>
      </c>
      <c r="B3867" s="1"/>
      <c r="H3867">
        <v>19.649999999999999</v>
      </c>
      <c r="J3867" t="s">
        <v>19</v>
      </c>
      <c r="L3867" s="1"/>
      <c r="N3867" s="1"/>
      <c r="V3867" t="str">
        <f>"75014"</f>
        <v>75014</v>
      </c>
      <c r="W3867">
        <v>0</v>
      </c>
      <c r="X3867">
        <v>0</v>
      </c>
    </row>
    <row r="3868" spans="1:24" ht="15" customHeight="1" x14ac:dyDescent="0.25">
      <c r="A3868" t="str">
        <f>""</f>
        <v/>
      </c>
      <c r="B3868" s="1"/>
      <c r="H3868">
        <v>19.649999999999999</v>
      </c>
      <c r="J3868" t="s">
        <v>19</v>
      </c>
      <c r="L3868" s="1"/>
      <c r="N3868" s="1"/>
      <c r="V3868" t="str">
        <f>"75014"</f>
        <v>75014</v>
      </c>
      <c r="W3868">
        <v>0</v>
      </c>
      <c r="X3868">
        <v>0</v>
      </c>
    </row>
    <row r="3869" spans="1:24" ht="15" customHeight="1" x14ac:dyDescent="0.25">
      <c r="A3869" t="str">
        <f>""</f>
        <v/>
      </c>
      <c r="B3869" s="1"/>
      <c r="H3869">
        <v>83.8</v>
      </c>
      <c r="J3869" t="s">
        <v>20</v>
      </c>
      <c r="L3869" s="1"/>
      <c r="N3869" s="1"/>
      <c r="V3869" t="str">
        <f>"75015"</f>
        <v>75015</v>
      </c>
      <c r="W3869">
        <v>0</v>
      </c>
      <c r="X3869">
        <v>0</v>
      </c>
    </row>
    <row r="3870" spans="1:24" ht="15" customHeight="1" x14ac:dyDescent="0.25">
      <c r="A3870" t="str">
        <f>""</f>
        <v/>
      </c>
      <c r="B3870" s="1"/>
      <c r="H3870">
        <v>18.350000000000001</v>
      </c>
      <c r="J3870" t="s">
        <v>20</v>
      </c>
      <c r="L3870" s="1"/>
      <c r="N3870" s="1"/>
      <c r="V3870" t="str">
        <f>"57500"</f>
        <v>57500</v>
      </c>
      <c r="W3870">
        <v>4.59</v>
      </c>
      <c r="X3870">
        <v>0</v>
      </c>
    </row>
    <row r="3871" spans="1:24" ht="15" customHeight="1" x14ac:dyDescent="0.25">
      <c r="A3871" t="str">
        <f>""</f>
        <v/>
      </c>
      <c r="B3871" s="1"/>
      <c r="H3871">
        <v>0.81</v>
      </c>
      <c r="J3871" t="s">
        <v>20</v>
      </c>
      <c r="L3871" s="1"/>
      <c r="N3871" s="1"/>
      <c r="V3871" t="str">
        <f>"63170"</f>
        <v>63170</v>
      </c>
      <c r="W3871">
        <v>0.23</v>
      </c>
      <c r="X3871">
        <v>0</v>
      </c>
    </row>
    <row r="3872" spans="1:24" ht="15" customHeight="1" x14ac:dyDescent="0.25">
      <c r="A3872" t="str">
        <f>""</f>
        <v/>
      </c>
      <c r="B3872" s="1"/>
      <c r="H3872">
        <v>70</v>
      </c>
      <c r="J3872" t="s">
        <v>22</v>
      </c>
      <c r="L3872" s="1"/>
      <c r="N3872" s="1"/>
      <c r="V3872" t="str">
        <f>"62740"</f>
        <v>62740</v>
      </c>
      <c r="W3872">
        <v>0</v>
      </c>
      <c r="X3872">
        <v>0</v>
      </c>
    </row>
    <row r="3873" spans="1:24" ht="15" customHeight="1" x14ac:dyDescent="0.25">
      <c r="A3873" t="str">
        <f>""</f>
        <v/>
      </c>
      <c r="B3873" s="1"/>
      <c r="H3873">
        <v>290.27</v>
      </c>
      <c r="L3873" s="1"/>
      <c r="N3873" s="1"/>
      <c r="V3873" t="str">
        <f>"77184"</f>
        <v>77184</v>
      </c>
      <c r="W3873">
        <v>0</v>
      </c>
      <c r="X3873">
        <v>0</v>
      </c>
    </row>
    <row r="3874" spans="1:24" ht="15" customHeight="1" x14ac:dyDescent="0.25">
      <c r="A3874" t="str">
        <f>""</f>
        <v/>
      </c>
      <c r="B3874" s="1"/>
      <c r="H3874">
        <v>31.6</v>
      </c>
      <c r="L3874" s="1"/>
      <c r="N3874" s="1"/>
      <c r="V3874" t="str">
        <f>"77184"</f>
        <v>77184</v>
      </c>
      <c r="W3874">
        <v>0</v>
      </c>
      <c r="X3874">
        <v>0</v>
      </c>
    </row>
    <row r="3875" spans="1:24" ht="15" customHeight="1" x14ac:dyDescent="0.25">
      <c r="A3875" t="str">
        <f>""</f>
        <v/>
      </c>
      <c r="B3875" s="1"/>
      <c r="H3875">
        <v>38.36</v>
      </c>
      <c r="J3875" t="s">
        <v>23</v>
      </c>
      <c r="L3875" s="1"/>
      <c r="N3875" s="1"/>
      <c r="V3875" t="str">
        <f>"75015"</f>
        <v>75015</v>
      </c>
      <c r="W3875">
        <v>0</v>
      </c>
      <c r="X3875">
        <v>0</v>
      </c>
    </row>
    <row r="3876" spans="1:24" ht="15" customHeight="1" x14ac:dyDescent="0.25">
      <c r="A3876" t="str">
        <f>""</f>
        <v/>
      </c>
      <c r="B3876" s="1"/>
      <c r="H3876">
        <v>42.96</v>
      </c>
      <c r="J3876" t="s">
        <v>22</v>
      </c>
      <c r="L3876" s="1"/>
      <c r="N3876" s="1"/>
      <c r="V3876" t="str">
        <f>"21230"</f>
        <v>21230</v>
      </c>
      <c r="W3876">
        <v>0</v>
      </c>
      <c r="X3876">
        <v>5.16</v>
      </c>
    </row>
    <row r="3877" spans="1:24" ht="15" customHeight="1" x14ac:dyDescent="0.25">
      <c r="A3877" t="str">
        <f>""</f>
        <v/>
      </c>
      <c r="B3877" s="1"/>
      <c r="H3877">
        <v>53.93</v>
      </c>
      <c r="J3877" t="s">
        <v>20</v>
      </c>
      <c r="L3877" s="1"/>
      <c r="N3877" s="1"/>
      <c r="V3877" t="str">
        <f>"75013"</f>
        <v>75013</v>
      </c>
      <c r="W3877">
        <v>0</v>
      </c>
      <c r="X3877">
        <v>0</v>
      </c>
    </row>
    <row r="3878" spans="1:24" ht="15" customHeight="1" x14ac:dyDescent="0.25">
      <c r="A3878" t="str">
        <f>""</f>
        <v/>
      </c>
      <c r="B3878" s="1"/>
      <c r="H3878">
        <v>120.85</v>
      </c>
      <c r="J3878" t="s">
        <v>20</v>
      </c>
      <c r="L3878" s="1"/>
      <c r="N3878" s="1"/>
      <c r="V3878" t="str">
        <f>"66700"</f>
        <v>66700</v>
      </c>
      <c r="W3878">
        <v>47.13</v>
      </c>
      <c r="X3878">
        <v>0</v>
      </c>
    </row>
    <row r="3879" spans="1:24" ht="15" customHeight="1" x14ac:dyDescent="0.25">
      <c r="A3879" t="str">
        <f>""</f>
        <v/>
      </c>
      <c r="B3879" s="1"/>
      <c r="H3879">
        <v>1.46</v>
      </c>
      <c r="J3879" t="s">
        <v>19</v>
      </c>
      <c r="L3879" s="1"/>
      <c r="N3879" s="1"/>
      <c r="V3879" t="str">
        <f>"59120"</f>
        <v>59120</v>
      </c>
      <c r="W3879">
        <v>0.28000000000000003</v>
      </c>
      <c r="X3879">
        <v>0</v>
      </c>
    </row>
    <row r="3880" spans="1:24" ht="15" customHeight="1" x14ac:dyDescent="0.25">
      <c r="A3880" t="str">
        <f>""</f>
        <v/>
      </c>
      <c r="B3880" s="1"/>
      <c r="H3880">
        <v>1.46</v>
      </c>
      <c r="J3880" t="s">
        <v>19</v>
      </c>
      <c r="L3880" s="1"/>
      <c r="N3880" s="1"/>
      <c r="V3880" t="str">
        <f>"59120"</f>
        <v>59120</v>
      </c>
      <c r="W3880">
        <v>0.28000000000000003</v>
      </c>
      <c r="X3880">
        <v>0</v>
      </c>
    </row>
    <row r="3881" spans="1:24" ht="15" customHeight="1" x14ac:dyDescent="0.25">
      <c r="A3881" t="str">
        <f>""</f>
        <v/>
      </c>
      <c r="B3881" s="1"/>
      <c r="H3881">
        <v>1.46</v>
      </c>
      <c r="J3881" t="s">
        <v>19</v>
      </c>
      <c r="L3881" s="1"/>
      <c r="N3881" s="1"/>
      <c r="V3881" t="str">
        <f>"59120"</f>
        <v>59120</v>
      </c>
      <c r="W3881">
        <v>0.28000000000000003</v>
      </c>
      <c r="X3881">
        <v>0</v>
      </c>
    </row>
    <row r="3882" spans="1:24" ht="15" customHeight="1" x14ac:dyDescent="0.25">
      <c r="A3882" t="str">
        <f>""</f>
        <v/>
      </c>
      <c r="B3882" s="1"/>
      <c r="H3882">
        <v>35.659999999999997</v>
      </c>
      <c r="L3882" s="1"/>
      <c r="N3882" s="1"/>
      <c r="V3882" t="str">
        <f>"77184"</f>
        <v>77184</v>
      </c>
      <c r="W3882">
        <v>0</v>
      </c>
      <c r="X3882">
        <v>0</v>
      </c>
    </row>
    <row r="3883" spans="1:24" ht="15" customHeight="1" x14ac:dyDescent="0.25">
      <c r="A3883" t="str">
        <f>""</f>
        <v/>
      </c>
      <c r="B3883" s="1"/>
      <c r="H3883">
        <v>31</v>
      </c>
      <c r="L3883" s="1"/>
      <c r="N3883" s="1"/>
      <c r="V3883" t="str">
        <f>"77184"</f>
        <v>77184</v>
      </c>
      <c r="W3883">
        <v>0</v>
      </c>
      <c r="X3883">
        <v>0</v>
      </c>
    </row>
    <row r="3884" spans="1:24" ht="15" customHeight="1" x14ac:dyDescent="0.25">
      <c r="A3884" t="str">
        <f>""</f>
        <v/>
      </c>
      <c r="B3884" s="1"/>
      <c r="H3884">
        <v>25</v>
      </c>
      <c r="L3884" s="1"/>
      <c r="N3884" s="1"/>
      <c r="V3884" t="str">
        <f>"77184"</f>
        <v>77184</v>
      </c>
      <c r="W3884">
        <v>0</v>
      </c>
      <c r="X3884">
        <v>0</v>
      </c>
    </row>
    <row r="3885" spans="1:24" ht="15" customHeight="1" x14ac:dyDescent="0.25">
      <c r="A3885" t="str">
        <f>""</f>
        <v/>
      </c>
      <c r="B3885" s="1"/>
      <c r="H3885">
        <v>26</v>
      </c>
      <c r="L3885" s="1"/>
      <c r="N3885" s="1"/>
      <c r="V3885" t="str">
        <f>"77184"</f>
        <v>77184</v>
      </c>
      <c r="W3885">
        <v>0</v>
      </c>
      <c r="X3885">
        <v>0</v>
      </c>
    </row>
    <row r="3886" spans="1:24" ht="15" customHeight="1" x14ac:dyDescent="0.25">
      <c r="A3886" t="str">
        <f>""</f>
        <v/>
      </c>
      <c r="B3886" s="1"/>
      <c r="H3886">
        <v>149</v>
      </c>
      <c r="L3886" s="1"/>
      <c r="N3886" s="1"/>
      <c r="V3886" t="str">
        <f>"77184"</f>
        <v>77184</v>
      </c>
      <c r="W3886">
        <v>0</v>
      </c>
      <c r="X3886">
        <v>0</v>
      </c>
    </row>
    <row r="3887" spans="1:24" ht="15" customHeight="1" x14ac:dyDescent="0.25">
      <c r="A3887" t="str">
        <f>""</f>
        <v/>
      </c>
      <c r="B3887" s="1"/>
      <c r="H3887">
        <v>193.85</v>
      </c>
      <c r="J3887" t="s">
        <v>19</v>
      </c>
      <c r="L3887" s="1"/>
      <c r="N3887" s="1"/>
      <c r="V3887" t="str">
        <f>"59880"</f>
        <v>59880</v>
      </c>
      <c r="W3887">
        <v>36.83</v>
      </c>
      <c r="X3887">
        <v>0</v>
      </c>
    </row>
    <row r="3888" spans="1:24" ht="15" customHeight="1" x14ac:dyDescent="0.25">
      <c r="A3888" t="str">
        <f>""</f>
        <v/>
      </c>
      <c r="B3888" s="1"/>
      <c r="H3888">
        <v>1.46</v>
      </c>
      <c r="J3888" t="s">
        <v>20</v>
      </c>
      <c r="L3888" s="1"/>
      <c r="N3888" s="1"/>
      <c r="V3888" t="str">
        <f>"11100"</f>
        <v>11100</v>
      </c>
      <c r="W3888">
        <v>0.56999999999999995</v>
      </c>
      <c r="X3888">
        <v>0</v>
      </c>
    </row>
    <row r="3889" spans="1:24" ht="15" customHeight="1" x14ac:dyDescent="0.25">
      <c r="A3889" t="str">
        <f>""</f>
        <v/>
      </c>
      <c r="B3889" s="1"/>
      <c r="H3889">
        <v>171.54</v>
      </c>
      <c r="J3889" t="s">
        <v>19</v>
      </c>
      <c r="L3889" s="1"/>
      <c r="N3889" s="1"/>
      <c r="V3889" t="str">
        <f>"44350"</f>
        <v>44350</v>
      </c>
      <c r="W3889">
        <v>46.32</v>
      </c>
      <c r="X3889">
        <v>0</v>
      </c>
    </row>
    <row r="3890" spans="1:24" ht="15" customHeight="1" x14ac:dyDescent="0.25">
      <c r="A3890" t="str">
        <f>""</f>
        <v/>
      </c>
      <c r="B3890" s="1"/>
      <c r="H3890">
        <v>139.57</v>
      </c>
      <c r="J3890" t="s">
        <v>20</v>
      </c>
      <c r="L3890" s="1"/>
      <c r="N3890" s="1"/>
      <c r="V3890" t="str">
        <f>"59800"</f>
        <v>59800</v>
      </c>
      <c r="W3890">
        <v>26.52</v>
      </c>
      <c r="X3890">
        <v>0</v>
      </c>
    </row>
    <row r="3891" spans="1:24" ht="15" customHeight="1" x14ac:dyDescent="0.25">
      <c r="A3891" t="str">
        <f>""</f>
        <v/>
      </c>
      <c r="B3891" s="1"/>
      <c r="H3891">
        <v>33.6</v>
      </c>
      <c r="J3891" t="s">
        <v>22</v>
      </c>
      <c r="L3891" s="1"/>
      <c r="N3891" s="1"/>
      <c r="V3891" t="str">
        <f>"62000"</f>
        <v>62000</v>
      </c>
      <c r="W3891">
        <v>0</v>
      </c>
      <c r="X3891">
        <v>0</v>
      </c>
    </row>
    <row r="3892" spans="1:24" ht="15" customHeight="1" x14ac:dyDescent="0.25">
      <c r="A3892" t="str">
        <f>""</f>
        <v/>
      </c>
      <c r="B3892" s="1"/>
      <c r="H3892">
        <v>180</v>
      </c>
      <c r="J3892" t="s">
        <v>23</v>
      </c>
      <c r="L3892" s="1"/>
      <c r="N3892" s="1"/>
      <c r="V3892" t="str">
        <f>"94510"</f>
        <v>94510</v>
      </c>
      <c r="W3892">
        <v>0</v>
      </c>
      <c r="X3892">
        <v>0</v>
      </c>
    </row>
    <row r="3893" spans="1:24" ht="15" customHeight="1" x14ac:dyDescent="0.25">
      <c r="A3893" t="str">
        <f>""</f>
        <v/>
      </c>
      <c r="B3893" s="1"/>
      <c r="H3893">
        <v>180</v>
      </c>
      <c r="J3893" t="s">
        <v>20</v>
      </c>
      <c r="L3893" s="1"/>
      <c r="N3893" s="1"/>
      <c r="V3893" t="str">
        <f>"59800"</f>
        <v>59800</v>
      </c>
      <c r="W3893">
        <v>34.200000000000003</v>
      </c>
      <c r="X3893">
        <v>0</v>
      </c>
    </row>
    <row r="3894" spans="1:24" ht="15" customHeight="1" x14ac:dyDescent="0.25">
      <c r="A3894" t="str">
        <f>""</f>
        <v/>
      </c>
      <c r="B3894" s="1"/>
      <c r="H3894">
        <v>137.22999999999999</v>
      </c>
      <c r="J3894" t="s">
        <v>19</v>
      </c>
      <c r="L3894" s="1"/>
      <c r="N3894" s="1"/>
      <c r="V3894" t="str">
        <f>"78190"</f>
        <v>78190</v>
      </c>
      <c r="W3894">
        <v>0</v>
      </c>
      <c r="X3894">
        <v>0</v>
      </c>
    </row>
    <row r="3895" spans="1:24" ht="15" customHeight="1" x14ac:dyDescent="0.25">
      <c r="A3895" t="str">
        <f>""</f>
        <v/>
      </c>
      <c r="B3895" s="1"/>
      <c r="H3895">
        <v>138.12</v>
      </c>
      <c r="J3895" t="s">
        <v>20</v>
      </c>
      <c r="L3895" s="1"/>
      <c r="N3895" s="1"/>
      <c r="V3895" t="str">
        <f>"13400"</f>
        <v>13400</v>
      </c>
      <c r="W3895">
        <v>40.049999999999997</v>
      </c>
      <c r="X3895">
        <v>0</v>
      </c>
    </row>
    <row r="3896" spans="1:24" ht="15" customHeight="1" x14ac:dyDescent="0.25">
      <c r="A3896" t="str">
        <f>""</f>
        <v/>
      </c>
      <c r="B3896" s="1"/>
      <c r="H3896">
        <v>40</v>
      </c>
      <c r="J3896" t="s">
        <v>23</v>
      </c>
      <c r="L3896" s="1"/>
      <c r="N3896" s="1"/>
      <c r="V3896" t="str">
        <f>"37700"</f>
        <v>37700</v>
      </c>
      <c r="W3896">
        <v>0</v>
      </c>
      <c r="X3896">
        <v>4.8</v>
      </c>
    </row>
    <row r="3897" spans="1:24" ht="15" customHeight="1" x14ac:dyDescent="0.25">
      <c r="A3897" t="str">
        <f>""</f>
        <v/>
      </c>
      <c r="B3897" s="1"/>
      <c r="H3897">
        <v>180</v>
      </c>
      <c r="J3897" t="s">
        <v>23</v>
      </c>
      <c r="L3897" s="1"/>
      <c r="N3897" s="1"/>
      <c r="V3897" t="str">
        <f>"34500"</f>
        <v>34500</v>
      </c>
      <c r="W3897">
        <v>0</v>
      </c>
      <c r="X3897">
        <v>50.4</v>
      </c>
    </row>
    <row r="3898" spans="1:24" ht="15" customHeight="1" x14ac:dyDescent="0.25">
      <c r="A3898" t="str">
        <f>""</f>
        <v/>
      </c>
      <c r="B3898" s="1"/>
      <c r="H3898">
        <v>37.24</v>
      </c>
      <c r="J3898" t="s">
        <v>22</v>
      </c>
      <c r="L3898" s="1"/>
      <c r="N3898" s="1"/>
      <c r="V3898" t="str">
        <f>"54000"</f>
        <v>54000</v>
      </c>
      <c r="W3898">
        <v>0</v>
      </c>
      <c r="X3898">
        <v>9.31</v>
      </c>
    </row>
    <row r="3899" spans="1:24" ht="15" customHeight="1" x14ac:dyDescent="0.25">
      <c r="A3899" t="str">
        <f>""</f>
        <v/>
      </c>
      <c r="B3899" s="1"/>
      <c r="H3899">
        <v>28.26</v>
      </c>
      <c r="J3899" t="s">
        <v>19</v>
      </c>
      <c r="L3899" s="1"/>
      <c r="N3899" s="1"/>
      <c r="V3899" t="str">
        <f>"75009"</f>
        <v>75009</v>
      </c>
      <c r="W3899">
        <v>0</v>
      </c>
      <c r="X3899">
        <v>0</v>
      </c>
    </row>
    <row r="3900" spans="1:24" ht="15" customHeight="1" x14ac:dyDescent="0.25">
      <c r="A3900" t="str">
        <f>""</f>
        <v/>
      </c>
      <c r="B3900" s="1"/>
      <c r="H3900">
        <v>180</v>
      </c>
      <c r="J3900" t="s">
        <v>23</v>
      </c>
      <c r="L3900" s="1"/>
      <c r="N3900" s="1"/>
      <c r="V3900" t="str">
        <f>"54300"</f>
        <v>54300</v>
      </c>
      <c r="W3900">
        <v>0</v>
      </c>
      <c r="X3900">
        <v>45</v>
      </c>
    </row>
    <row r="3901" spans="1:24" ht="15" customHeight="1" x14ac:dyDescent="0.25">
      <c r="A3901" t="str">
        <f>""</f>
        <v/>
      </c>
      <c r="B3901" s="1"/>
      <c r="H3901">
        <v>37.24</v>
      </c>
      <c r="J3901" t="s">
        <v>23</v>
      </c>
      <c r="L3901" s="1"/>
      <c r="N3901" s="1"/>
      <c r="V3901" t="str">
        <f>"38300"</f>
        <v>38300</v>
      </c>
      <c r="W3901">
        <v>0</v>
      </c>
      <c r="X3901">
        <v>0</v>
      </c>
    </row>
    <row r="3902" spans="1:24" ht="15" customHeight="1" x14ac:dyDescent="0.25">
      <c r="A3902" t="str">
        <f>""</f>
        <v/>
      </c>
      <c r="B3902" s="1"/>
      <c r="H3902">
        <v>220</v>
      </c>
      <c r="J3902" t="s">
        <v>22</v>
      </c>
      <c r="L3902" s="1"/>
      <c r="N3902" s="1"/>
      <c r="V3902" t="str">
        <f>"59140"</f>
        <v>59140</v>
      </c>
      <c r="W3902">
        <v>0</v>
      </c>
      <c r="X3902">
        <v>0</v>
      </c>
    </row>
    <row r="3903" spans="1:24" ht="15" customHeight="1" x14ac:dyDescent="0.25">
      <c r="A3903" t="str">
        <f>""</f>
        <v/>
      </c>
      <c r="B3903" s="1"/>
      <c r="H3903">
        <v>86.75</v>
      </c>
      <c r="J3903" t="s">
        <v>22</v>
      </c>
      <c r="L3903" s="1"/>
      <c r="N3903" s="1"/>
      <c r="V3903" t="str">
        <f>"75001"</f>
        <v>75001</v>
      </c>
      <c r="W3903">
        <v>0</v>
      </c>
      <c r="X3903">
        <v>0</v>
      </c>
    </row>
    <row r="3904" spans="1:24" ht="15" customHeight="1" x14ac:dyDescent="0.25">
      <c r="A3904" t="str">
        <f>""</f>
        <v/>
      </c>
      <c r="B3904" s="1"/>
      <c r="H3904">
        <v>132.26</v>
      </c>
      <c r="J3904" t="s">
        <v>20</v>
      </c>
      <c r="L3904" s="1"/>
      <c r="N3904" s="1"/>
      <c r="V3904" t="str">
        <f>"14150"</f>
        <v>14150</v>
      </c>
      <c r="W3904">
        <v>22.48</v>
      </c>
      <c r="X3904">
        <v>0</v>
      </c>
    </row>
    <row r="3905" spans="1:24" ht="15" customHeight="1" x14ac:dyDescent="0.25">
      <c r="A3905" t="str">
        <f>""</f>
        <v/>
      </c>
      <c r="B3905" s="1"/>
      <c r="H3905">
        <v>201.16</v>
      </c>
      <c r="J3905" t="s">
        <v>19</v>
      </c>
      <c r="L3905" s="1"/>
      <c r="N3905" s="1"/>
      <c r="V3905" t="str">
        <f>"14150"</f>
        <v>14150</v>
      </c>
      <c r="W3905">
        <v>34.200000000000003</v>
      </c>
      <c r="X3905">
        <v>0</v>
      </c>
    </row>
    <row r="3906" spans="1:24" x14ac:dyDescent="0.25">
      <c r="A3906" t="str">
        <f>""</f>
        <v/>
      </c>
      <c r="B3906" s="1"/>
      <c r="H3906">
        <v>120</v>
      </c>
      <c r="J3906" t="s">
        <v>16</v>
      </c>
      <c r="L3906" s="1"/>
      <c r="N3906" s="1"/>
      <c r="V3906" t="str">
        <f>"77184"</f>
        <v>77184</v>
      </c>
      <c r="W3906">
        <v>0</v>
      </c>
      <c r="X3906">
        <v>0</v>
      </c>
    </row>
    <row r="3907" spans="1:24" ht="15" customHeight="1" x14ac:dyDescent="0.25">
      <c r="A3907" t="str">
        <f>""</f>
        <v/>
      </c>
      <c r="B3907" s="1"/>
      <c r="H3907">
        <v>25</v>
      </c>
      <c r="J3907" t="s">
        <v>22</v>
      </c>
      <c r="L3907" s="1"/>
      <c r="V3907" t="str">
        <f>"75010"</f>
        <v>75010</v>
      </c>
      <c r="W3907">
        <v>0</v>
      </c>
      <c r="X3907">
        <v>0</v>
      </c>
    </row>
    <row r="3908" spans="1:24" ht="15" customHeight="1" x14ac:dyDescent="0.25">
      <c r="A3908" t="str">
        <f>""</f>
        <v/>
      </c>
      <c r="B3908" s="1"/>
      <c r="H3908">
        <v>126.4</v>
      </c>
      <c r="L3908" s="1"/>
      <c r="N3908" s="1"/>
      <c r="V3908" t="str">
        <f>"44240"</f>
        <v>44240</v>
      </c>
      <c r="W3908">
        <v>0</v>
      </c>
      <c r="X3908">
        <v>0</v>
      </c>
    </row>
    <row r="3909" spans="1:24" ht="15" customHeight="1" x14ac:dyDescent="0.25">
      <c r="A3909" t="str">
        <f>""</f>
        <v/>
      </c>
      <c r="B3909" s="1"/>
      <c r="H3909">
        <v>203</v>
      </c>
      <c r="L3909" s="1"/>
      <c r="N3909" s="1"/>
      <c r="V3909" t="str">
        <f>"44240"</f>
        <v>44240</v>
      </c>
      <c r="W3909">
        <v>0</v>
      </c>
      <c r="X3909">
        <v>0</v>
      </c>
    </row>
    <row r="3910" spans="1:24" ht="15" customHeight="1" x14ac:dyDescent="0.25">
      <c r="A3910" t="str">
        <f>""</f>
        <v/>
      </c>
      <c r="B3910" s="1"/>
      <c r="H3910">
        <v>151</v>
      </c>
      <c r="J3910" t="s">
        <v>22</v>
      </c>
      <c r="L3910" s="1"/>
      <c r="V3910" t="str">
        <f>"59960"</f>
        <v>59960</v>
      </c>
      <c r="W3910">
        <v>0</v>
      </c>
      <c r="X3910">
        <v>0</v>
      </c>
    </row>
    <row r="3911" spans="1:24" ht="15" customHeight="1" x14ac:dyDescent="0.25">
      <c r="A3911" t="str">
        <f>""</f>
        <v/>
      </c>
      <c r="B3911" s="1"/>
      <c r="H3911">
        <v>40</v>
      </c>
      <c r="J3911" t="s">
        <v>22</v>
      </c>
      <c r="L3911" s="1"/>
      <c r="N3911" s="1"/>
      <c r="V3911" t="str">
        <f>"62600"</f>
        <v>62600</v>
      </c>
      <c r="W3911">
        <v>0</v>
      </c>
      <c r="X3911">
        <v>0</v>
      </c>
    </row>
    <row r="3912" spans="1:24" ht="15" customHeight="1" x14ac:dyDescent="0.25">
      <c r="A3912" t="str">
        <f>""</f>
        <v/>
      </c>
      <c r="B3912" s="1"/>
      <c r="H3912">
        <v>84</v>
      </c>
      <c r="J3912" t="s">
        <v>22</v>
      </c>
      <c r="L3912" s="1"/>
      <c r="N3912" s="1"/>
      <c r="V3912" t="str">
        <f>"87000"</f>
        <v>87000</v>
      </c>
      <c r="W3912">
        <v>0</v>
      </c>
      <c r="X3912">
        <v>10.08</v>
      </c>
    </row>
    <row r="3913" spans="1:24" ht="15" customHeight="1" x14ac:dyDescent="0.25">
      <c r="A3913" t="str">
        <f>""</f>
        <v/>
      </c>
      <c r="B3913" s="1"/>
      <c r="H3913">
        <v>32.85</v>
      </c>
      <c r="J3913" t="s">
        <v>20</v>
      </c>
      <c r="L3913" s="1"/>
      <c r="N3913" s="1"/>
      <c r="V3913" t="str">
        <f>"77500"</f>
        <v>77500</v>
      </c>
      <c r="W3913">
        <v>0</v>
      </c>
      <c r="X3913">
        <v>0</v>
      </c>
    </row>
    <row r="3914" spans="1:24" ht="15" customHeight="1" x14ac:dyDescent="0.25">
      <c r="A3914" t="str">
        <f>""</f>
        <v/>
      </c>
      <c r="B3914" s="1"/>
      <c r="H3914">
        <v>151</v>
      </c>
      <c r="J3914" t="s">
        <v>22</v>
      </c>
      <c r="L3914" s="1"/>
      <c r="N3914" s="1"/>
      <c r="V3914" t="str">
        <f>"76290"</f>
        <v>76290</v>
      </c>
      <c r="W3914">
        <v>0</v>
      </c>
      <c r="X3914">
        <v>0</v>
      </c>
    </row>
    <row r="3915" spans="1:24" ht="15" customHeight="1" x14ac:dyDescent="0.25">
      <c r="A3915" t="str">
        <f>""</f>
        <v/>
      </c>
      <c r="B3915" s="1"/>
      <c r="H3915">
        <v>171</v>
      </c>
      <c r="L3915" s="1"/>
      <c r="N3915" s="1"/>
      <c r="V3915" t="str">
        <f>"77184"</f>
        <v>77184</v>
      </c>
      <c r="W3915">
        <v>0</v>
      </c>
      <c r="X3915">
        <v>0</v>
      </c>
    </row>
    <row r="3916" spans="1:24" ht="15" customHeight="1" x14ac:dyDescent="0.25">
      <c r="A3916" t="str">
        <f>""</f>
        <v/>
      </c>
      <c r="B3916" s="1"/>
      <c r="H3916">
        <v>171</v>
      </c>
      <c r="L3916" s="1"/>
      <c r="N3916" s="1"/>
      <c r="V3916" t="str">
        <f>"77184"</f>
        <v>77184</v>
      </c>
      <c r="W3916">
        <v>0</v>
      </c>
      <c r="X3916">
        <v>0</v>
      </c>
    </row>
    <row r="3917" spans="1:24" ht="15" customHeight="1" x14ac:dyDescent="0.25">
      <c r="A3917" t="str">
        <f>""</f>
        <v/>
      </c>
      <c r="B3917" s="1"/>
      <c r="H3917">
        <v>136.65</v>
      </c>
      <c r="J3917" t="s">
        <v>20</v>
      </c>
      <c r="L3917" s="1"/>
      <c r="N3917" s="1"/>
      <c r="V3917" t="str">
        <f>"76270"</f>
        <v>76270</v>
      </c>
      <c r="W3917">
        <v>23.23</v>
      </c>
      <c r="X3917">
        <v>0</v>
      </c>
    </row>
    <row r="3918" spans="1:24" ht="15" customHeight="1" x14ac:dyDescent="0.25">
      <c r="A3918" t="str">
        <f>""</f>
        <v/>
      </c>
      <c r="B3918" s="1"/>
      <c r="H3918">
        <v>19.8</v>
      </c>
      <c r="J3918" t="s">
        <v>20</v>
      </c>
      <c r="L3918" s="1"/>
      <c r="N3918" s="1"/>
      <c r="V3918" t="str">
        <f>"54140"</f>
        <v>54140</v>
      </c>
      <c r="W3918">
        <v>4.95</v>
      </c>
      <c r="X3918">
        <v>0</v>
      </c>
    </row>
    <row r="3919" spans="1:24" ht="15" customHeight="1" x14ac:dyDescent="0.25">
      <c r="A3919" t="str">
        <f>""</f>
        <v/>
      </c>
      <c r="B3919" s="1"/>
      <c r="H3919">
        <v>25.8</v>
      </c>
      <c r="J3919" t="s">
        <v>19</v>
      </c>
      <c r="L3919" s="1"/>
      <c r="N3919" s="1"/>
      <c r="V3919" t="str">
        <f>"60300"</f>
        <v>60300</v>
      </c>
      <c r="W3919">
        <v>4.9000000000000004</v>
      </c>
      <c r="X3919">
        <v>0</v>
      </c>
    </row>
    <row r="3920" spans="1:24" ht="15" customHeight="1" x14ac:dyDescent="0.25">
      <c r="A3920" t="str">
        <f>""</f>
        <v/>
      </c>
      <c r="B3920" s="1"/>
      <c r="H3920">
        <v>20.03</v>
      </c>
      <c r="J3920" t="s">
        <v>20</v>
      </c>
      <c r="L3920" s="1"/>
      <c r="N3920" s="1"/>
      <c r="V3920" t="str">
        <f>"67000"</f>
        <v>67000</v>
      </c>
      <c r="W3920">
        <v>5.81</v>
      </c>
      <c r="X3920">
        <v>0</v>
      </c>
    </row>
    <row r="3921" spans="1:24" ht="15" customHeight="1" x14ac:dyDescent="0.25">
      <c r="A3921" t="str">
        <f>""</f>
        <v/>
      </c>
      <c r="B3921" s="1"/>
      <c r="H3921">
        <v>25.8</v>
      </c>
      <c r="J3921" t="s">
        <v>19</v>
      </c>
      <c r="L3921" s="1"/>
      <c r="N3921" s="1"/>
      <c r="V3921" t="str">
        <f>"38590"</f>
        <v>38590</v>
      </c>
      <c r="W3921">
        <v>6.97</v>
      </c>
      <c r="X3921">
        <v>0</v>
      </c>
    </row>
    <row r="3922" spans="1:24" ht="15" customHeight="1" x14ac:dyDescent="0.25">
      <c r="A3922" t="str">
        <f>""</f>
        <v/>
      </c>
      <c r="B3922" s="1"/>
      <c r="H3922">
        <v>39.35</v>
      </c>
      <c r="J3922" t="s">
        <v>20</v>
      </c>
      <c r="L3922" s="1"/>
      <c r="N3922" s="1"/>
      <c r="V3922" t="str">
        <f>"51800"</f>
        <v>51800</v>
      </c>
      <c r="W3922">
        <v>9.84</v>
      </c>
      <c r="X3922">
        <v>0</v>
      </c>
    </row>
    <row r="3923" spans="1:24" ht="15" customHeight="1" x14ac:dyDescent="0.25">
      <c r="A3923" t="str">
        <f>""</f>
        <v/>
      </c>
      <c r="B3923" s="1"/>
      <c r="H3923">
        <v>6.53</v>
      </c>
      <c r="J3923" t="s">
        <v>20</v>
      </c>
      <c r="L3923" s="1"/>
      <c r="N3923" s="1"/>
      <c r="V3923" t="str">
        <f>"84200"</f>
        <v>84200</v>
      </c>
      <c r="W3923">
        <v>1.89</v>
      </c>
      <c r="X3923">
        <v>0</v>
      </c>
    </row>
    <row r="3924" spans="1:24" x14ac:dyDescent="0.25">
      <c r="A3924" t="str">
        <f>""</f>
        <v/>
      </c>
      <c r="B3924" s="1"/>
      <c r="H3924">
        <v>120</v>
      </c>
      <c r="J3924" t="s">
        <v>17</v>
      </c>
      <c r="L3924" s="1"/>
      <c r="N3924" s="1"/>
      <c r="V3924" t="str">
        <f>"68920"</f>
        <v>68920</v>
      </c>
      <c r="W3924">
        <v>0</v>
      </c>
      <c r="X3924">
        <v>0</v>
      </c>
    </row>
    <row r="3925" spans="1:24" ht="15" customHeight="1" x14ac:dyDescent="0.25">
      <c r="A3925" t="str">
        <f>""</f>
        <v/>
      </c>
      <c r="B3925" s="1"/>
      <c r="H3925">
        <v>205</v>
      </c>
      <c r="J3925" t="s">
        <v>22</v>
      </c>
      <c r="L3925" s="1"/>
      <c r="N3925" s="1"/>
      <c r="V3925" t="str">
        <f>"73000"</f>
        <v>73000</v>
      </c>
      <c r="W3925">
        <v>0</v>
      </c>
      <c r="X3925">
        <v>0</v>
      </c>
    </row>
    <row r="3926" spans="1:24" ht="15" customHeight="1" x14ac:dyDescent="0.25">
      <c r="A3926" t="str">
        <f>""</f>
        <v/>
      </c>
      <c r="B3926" s="1"/>
      <c r="H3926">
        <v>219.98</v>
      </c>
      <c r="J3926" t="s">
        <v>22</v>
      </c>
      <c r="L3926" s="1"/>
      <c r="N3926" s="1"/>
      <c r="V3926" t="str">
        <f>"73000"</f>
        <v>73000</v>
      </c>
      <c r="W3926">
        <v>0</v>
      </c>
      <c r="X3926">
        <v>0</v>
      </c>
    </row>
    <row r="3927" spans="1:24" ht="15" customHeight="1" x14ac:dyDescent="0.25">
      <c r="A3927" t="str">
        <f>""</f>
        <v/>
      </c>
      <c r="B3927" s="1"/>
      <c r="H3927">
        <v>0.36</v>
      </c>
      <c r="J3927" t="s">
        <v>20</v>
      </c>
      <c r="L3927" s="1"/>
      <c r="N3927" s="1"/>
      <c r="V3927" t="str">
        <f>"08000"</f>
        <v>08000</v>
      </c>
      <c r="W3927">
        <v>7.0000000000000007E-2</v>
      </c>
      <c r="X3927">
        <v>0</v>
      </c>
    </row>
    <row r="3928" spans="1:24" ht="15" customHeight="1" x14ac:dyDescent="0.25">
      <c r="A3928" t="str">
        <f>""</f>
        <v/>
      </c>
      <c r="B3928" s="1"/>
      <c r="H3928">
        <v>32.85</v>
      </c>
      <c r="J3928" t="s">
        <v>20</v>
      </c>
      <c r="L3928" s="1"/>
      <c r="N3928" s="1"/>
      <c r="V3928" t="str">
        <f>"50370"</f>
        <v>50370</v>
      </c>
      <c r="W3928">
        <v>5.58</v>
      </c>
      <c r="X3928">
        <v>0</v>
      </c>
    </row>
    <row r="3929" spans="1:24" ht="15" customHeight="1" x14ac:dyDescent="0.25">
      <c r="A3929" t="str">
        <f>""</f>
        <v/>
      </c>
      <c r="B3929" s="1"/>
      <c r="H3929">
        <v>47.39</v>
      </c>
      <c r="J3929" t="s">
        <v>19</v>
      </c>
      <c r="L3929" s="1"/>
      <c r="N3929" s="1"/>
      <c r="V3929" t="str">
        <f>"35042"</f>
        <v>35042</v>
      </c>
      <c r="W3929">
        <v>12.8</v>
      </c>
      <c r="X3929">
        <v>0</v>
      </c>
    </row>
    <row r="3930" spans="1:24" ht="15" customHeight="1" x14ac:dyDescent="0.25">
      <c r="A3930" t="str">
        <f>""</f>
        <v/>
      </c>
      <c r="B3930" s="1"/>
      <c r="H3930">
        <v>334.27</v>
      </c>
      <c r="J3930" t="s">
        <v>22</v>
      </c>
      <c r="L3930" s="1"/>
      <c r="N3930" s="1"/>
      <c r="V3930" t="str">
        <f>"62000"</f>
        <v>62000</v>
      </c>
      <c r="W3930">
        <v>0</v>
      </c>
      <c r="X3930">
        <v>0</v>
      </c>
    </row>
    <row r="3931" spans="1:24" ht="15" customHeight="1" x14ac:dyDescent="0.25">
      <c r="A3931" t="str">
        <f>""</f>
        <v/>
      </c>
      <c r="B3931" s="1"/>
      <c r="H3931">
        <v>134.25</v>
      </c>
      <c r="J3931" t="s">
        <v>20</v>
      </c>
      <c r="L3931" s="1"/>
      <c r="N3931" s="1"/>
      <c r="V3931" t="str">
        <f>"69200"</f>
        <v>69200</v>
      </c>
      <c r="W3931">
        <v>36.25</v>
      </c>
      <c r="X3931">
        <v>0</v>
      </c>
    </row>
    <row r="3932" spans="1:24" ht="15" customHeight="1" x14ac:dyDescent="0.25">
      <c r="A3932" t="str">
        <f>""</f>
        <v/>
      </c>
      <c r="B3932" s="1"/>
      <c r="H3932">
        <v>188</v>
      </c>
      <c r="L3932" s="1"/>
      <c r="N3932" s="1"/>
      <c r="V3932" t="str">
        <f>"77184"</f>
        <v>77184</v>
      </c>
      <c r="W3932">
        <v>0</v>
      </c>
      <c r="X3932">
        <v>0</v>
      </c>
    </row>
    <row r="3933" spans="1:24" ht="15" customHeight="1" x14ac:dyDescent="0.25">
      <c r="A3933" t="str">
        <f>""</f>
        <v/>
      </c>
      <c r="B3933" s="1"/>
      <c r="H3933">
        <v>55.07</v>
      </c>
      <c r="J3933" t="s">
        <v>20</v>
      </c>
      <c r="L3933" s="1"/>
      <c r="N3933" s="1"/>
      <c r="V3933" t="str">
        <f>"75002"</f>
        <v>75002</v>
      </c>
      <c r="W3933">
        <v>0</v>
      </c>
      <c r="X3933">
        <v>0</v>
      </c>
    </row>
    <row r="3934" spans="1:24" ht="15" customHeight="1" x14ac:dyDescent="0.25">
      <c r="A3934" t="str">
        <f>""</f>
        <v/>
      </c>
      <c r="B3934" s="1"/>
      <c r="H3934">
        <v>58.35</v>
      </c>
      <c r="J3934" t="s">
        <v>20</v>
      </c>
      <c r="L3934" s="1"/>
      <c r="N3934" s="1"/>
      <c r="V3934" t="str">
        <f>"14120"</f>
        <v>14120</v>
      </c>
      <c r="W3934">
        <v>9.92</v>
      </c>
      <c r="X3934">
        <v>0</v>
      </c>
    </row>
    <row r="3935" spans="1:24" ht="15" customHeight="1" x14ac:dyDescent="0.25">
      <c r="A3935" t="str">
        <f>""</f>
        <v/>
      </c>
      <c r="B3935" s="1"/>
      <c r="H3935">
        <v>180</v>
      </c>
      <c r="J3935" t="s">
        <v>23</v>
      </c>
      <c r="L3935" s="1"/>
      <c r="N3935" s="1"/>
      <c r="V3935" t="str">
        <f>"59760"</f>
        <v>59760</v>
      </c>
      <c r="W3935">
        <v>0</v>
      </c>
      <c r="X3935">
        <v>0</v>
      </c>
    </row>
    <row r="3936" spans="1:24" ht="15" customHeight="1" x14ac:dyDescent="0.25">
      <c r="A3936" t="str">
        <f>""</f>
        <v/>
      </c>
      <c r="B3936" s="1"/>
      <c r="H3936">
        <v>114</v>
      </c>
      <c r="L3936" s="1"/>
      <c r="N3936" s="1"/>
      <c r="V3936" t="str">
        <f>"77184"</f>
        <v>77184</v>
      </c>
      <c r="W3936">
        <v>0</v>
      </c>
      <c r="X3936">
        <v>0</v>
      </c>
    </row>
    <row r="3937" spans="1:24" ht="15" customHeight="1" x14ac:dyDescent="0.25">
      <c r="A3937" t="str">
        <f>""</f>
        <v/>
      </c>
      <c r="B3937" s="1"/>
      <c r="H3937">
        <v>130.06</v>
      </c>
      <c r="J3937" t="s">
        <v>19</v>
      </c>
      <c r="L3937" s="1"/>
      <c r="N3937" s="1"/>
      <c r="V3937" t="str">
        <f>"63670"</f>
        <v>63670</v>
      </c>
      <c r="W3937">
        <v>37.72</v>
      </c>
      <c r="X3937">
        <v>0</v>
      </c>
    </row>
    <row r="3938" spans="1:24" ht="15" customHeight="1" x14ac:dyDescent="0.25">
      <c r="A3938" t="str">
        <f>""</f>
        <v/>
      </c>
      <c r="B3938" s="1"/>
      <c r="H3938">
        <v>55.34</v>
      </c>
      <c r="J3938" t="s">
        <v>19</v>
      </c>
      <c r="L3938" s="1"/>
      <c r="N3938" s="1"/>
      <c r="V3938" t="str">
        <f>"54300"</f>
        <v>54300</v>
      </c>
      <c r="W3938">
        <v>13.84</v>
      </c>
      <c r="X3938">
        <v>0</v>
      </c>
    </row>
    <row r="3939" spans="1:24" ht="15" customHeight="1" x14ac:dyDescent="0.25">
      <c r="A3939" t="str">
        <f>""</f>
        <v/>
      </c>
      <c r="B3939" s="1"/>
      <c r="H3939">
        <v>83</v>
      </c>
      <c r="J3939" t="s">
        <v>19</v>
      </c>
      <c r="L3939" s="1"/>
      <c r="N3939" s="1"/>
      <c r="V3939" t="str">
        <f>"75008"</f>
        <v>75008</v>
      </c>
      <c r="W3939">
        <v>0</v>
      </c>
      <c r="X3939">
        <v>0</v>
      </c>
    </row>
    <row r="3940" spans="1:24" x14ac:dyDescent="0.25">
      <c r="A3940" t="str">
        <f>""</f>
        <v/>
      </c>
      <c r="B3940" s="1"/>
      <c r="H3940">
        <v>114.53</v>
      </c>
      <c r="J3940" t="s">
        <v>16</v>
      </c>
      <c r="L3940" s="1"/>
      <c r="N3940" s="1"/>
      <c r="V3940" t="str">
        <f>"34400"</f>
        <v>34400</v>
      </c>
      <c r="W3940">
        <v>0</v>
      </c>
      <c r="X3940">
        <v>0</v>
      </c>
    </row>
    <row r="3941" spans="1:24" ht="15" customHeight="1" x14ac:dyDescent="0.25">
      <c r="A3941" t="str">
        <f>""</f>
        <v/>
      </c>
      <c r="B3941" s="1"/>
      <c r="H3941">
        <v>196.04</v>
      </c>
      <c r="J3941" t="s">
        <v>22</v>
      </c>
      <c r="L3941" s="1"/>
      <c r="N3941" s="1"/>
      <c r="V3941" t="str">
        <f>"59287"</f>
        <v>59287</v>
      </c>
      <c r="W3941">
        <v>0</v>
      </c>
      <c r="X3941">
        <v>0</v>
      </c>
    </row>
    <row r="3942" spans="1:24" ht="15" customHeight="1" x14ac:dyDescent="0.25">
      <c r="A3942" t="str">
        <f>""</f>
        <v/>
      </c>
      <c r="B3942" s="1"/>
      <c r="H3942">
        <v>7.99</v>
      </c>
      <c r="J3942" t="s">
        <v>19</v>
      </c>
      <c r="L3942" s="1"/>
      <c r="N3942" s="1"/>
      <c r="V3942" t="str">
        <f>"63100"</f>
        <v>63100</v>
      </c>
      <c r="W3942">
        <v>2.3199999999999998</v>
      </c>
      <c r="X3942">
        <v>0</v>
      </c>
    </row>
    <row r="3943" spans="1:24" ht="15" customHeight="1" x14ac:dyDescent="0.25">
      <c r="A3943" t="str">
        <f>""</f>
        <v/>
      </c>
      <c r="B3943" s="1"/>
      <c r="H3943">
        <v>30</v>
      </c>
      <c r="J3943" t="s">
        <v>20</v>
      </c>
      <c r="L3943" s="1"/>
      <c r="N3943" s="1"/>
      <c r="V3943" t="str">
        <f>"38000"</f>
        <v>38000</v>
      </c>
      <c r="W3943">
        <v>8.1</v>
      </c>
      <c r="X3943">
        <v>0</v>
      </c>
    </row>
    <row r="3944" spans="1:24" ht="15" customHeight="1" x14ac:dyDescent="0.25">
      <c r="A3944" t="str">
        <f>""</f>
        <v/>
      </c>
      <c r="B3944" s="1"/>
      <c r="H3944">
        <v>140</v>
      </c>
      <c r="J3944" t="s">
        <v>23</v>
      </c>
      <c r="L3944" s="1"/>
      <c r="N3944" s="1"/>
      <c r="V3944" t="str">
        <f>"17500"</f>
        <v>17500</v>
      </c>
      <c r="W3944">
        <v>0</v>
      </c>
      <c r="X3944">
        <v>0</v>
      </c>
    </row>
    <row r="3945" spans="1:24" ht="15" customHeight="1" x14ac:dyDescent="0.25">
      <c r="A3945" t="str">
        <f>""</f>
        <v/>
      </c>
      <c r="B3945" s="1"/>
      <c r="H3945">
        <v>192.06</v>
      </c>
      <c r="J3945" t="s">
        <v>20</v>
      </c>
      <c r="L3945" s="1"/>
      <c r="N3945" s="1"/>
      <c r="V3945" t="str">
        <f>"75009"</f>
        <v>75009</v>
      </c>
      <c r="W3945">
        <v>0</v>
      </c>
      <c r="X3945">
        <v>0</v>
      </c>
    </row>
    <row r="3946" spans="1:24" ht="15" customHeight="1" x14ac:dyDescent="0.25">
      <c r="A3946" t="str">
        <f>""</f>
        <v/>
      </c>
      <c r="B3946" s="1"/>
      <c r="H3946">
        <v>129.19999999999999</v>
      </c>
      <c r="J3946" t="s">
        <v>19</v>
      </c>
      <c r="L3946" s="1"/>
      <c r="N3946" s="1"/>
      <c r="V3946" t="str">
        <f>"54940"</f>
        <v>54940</v>
      </c>
      <c r="W3946">
        <v>32.299999999999997</v>
      </c>
      <c r="X3946">
        <v>0</v>
      </c>
    </row>
    <row r="3947" spans="1:24" ht="15" customHeight="1" x14ac:dyDescent="0.25">
      <c r="A3947" t="str">
        <f>""</f>
        <v/>
      </c>
      <c r="B3947" s="1"/>
      <c r="V3947" t="str">
        <f>""</f>
        <v/>
      </c>
      <c r="W3947">
        <v>0</v>
      </c>
      <c r="X3947">
        <v>0</v>
      </c>
    </row>
    <row r="3948" spans="1:24" ht="15" customHeight="1" x14ac:dyDescent="0.25">
      <c r="A3948" t="str">
        <f>""</f>
        <v/>
      </c>
      <c r="B3948" s="1"/>
      <c r="H3948">
        <v>25</v>
      </c>
      <c r="J3948" t="s">
        <v>22</v>
      </c>
      <c r="L3948" s="1"/>
      <c r="N3948" s="1"/>
      <c r="V3948" t="str">
        <f>"94550"</f>
        <v>94550</v>
      </c>
      <c r="W3948">
        <v>0</v>
      </c>
      <c r="X3948">
        <v>0</v>
      </c>
    </row>
    <row r="3949" spans="1:24" ht="15" customHeight="1" x14ac:dyDescent="0.25">
      <c r="A3949" t="str">
        <f>""</f>
        <v/>
      </c>
      <c r="B3949" s="1"/>
      <c r="H3949">
        <v>40</v>
      </c>
      <c r="J3949" t="s">
        <v>22</v>
      </c>
      <c r="L3949" s="1"/>
      <c r="N3949" s="1"/>
      <c r="V3949" t="str">
        <f>"57175"</f>
        <v>57175</v>
      </c>
      <c r="W3949">
        <v>0</v>
      </c>
      <c r="X3949">
        <v>10</v>
      </c>
    </row>
    <row r="3950" spans="1:24" ht="15" customHeight="1" x14ac:dyDescent="0.25">
      <c r="A3950" t="str">
        <f>""</f>
        <v/>
      </c>
      <c r="B3950" s="1"/>
      <c r="H3950">
        <v>180</v>
      </c>
      <c r="J3950" t="s">
        <v>22</v>
      </c>
      <c r="L3950" s="1"/>
      <c r="V3950" t="str">
        <f>"69100"</f>
        <v>69100</v>
      </c>
      <c r="W3950">
        <v>0</v>
      </c>
      <c r="X3950">
        <v>0</v>
      </c>
    </row>
    <row r="3951" spans="1:24" ht="15" customHeight="1" x14ac:dyDescent="0.25">
      <c r="A3951" t="str">
        <f>""</f>
        <v/>
      </c>
      <c r="B3951" s="1"/>
      <c r="H3951">
        <v>196.6</v>
      </c>
      <c r="J3951" t="s">
        <v>22</v>
      </c>
      <c r="L3951" s="1"/>
      <c r="V3951" t="str">
        <f>"69100"</f>
        <v>69100</v>
      </c>
      <c r="W3951">
        <v>0</v>
      </c>
      <c r="X3951">
        <v>0</v>
      </c>
    </row>
    <row r="3952" spans="1:24" ht="15" customHeight="1" x14ac:dyDescent="0.25">
      <c r="A3952" t="str">
        <f>""</f>
        <v/>
      </c>
      <c r="B3952" s="1"/>
      <c r="H3952">
        <v>205</v>
      </c>
      <c r="J3952" t="s">
        <v>22</v>
      </c>
      <c r="L3952" s="1"/>
      <c r="N3952" s="1"/>
      <c r="V3952" t="str">
        <f>"38420"</f>
        <v>38420</v>
      </c>
      <c r="W3952">
        <v>0</v>
      </c>
      <c r="X3952">
        <v>0</v>
      </c>
    </row>
    <row r="3953" spans="1:24" ht="15" customHeight="1" x14ac:dyDescent="0.25">
      <c r="A3953" t="str">
        <f>""</f>
        <v/>
      </c>
      <c r="B3953" s="1"/>
      <c r="H3953">
        <v>70</v>
      </c>
      <c r="J3953" t="s">
        <v>23</v>
      </c>
      <c r="L3953" s="1"/>
      <c r="N3953" s="1"/>
      <c r="V3953" t="str">
        <f>"84000"</f>
        <v>84000</v>
      </c>
      <c r="W3953">
        <v>0</v>
      </c>
      <c r="X3953">
        <v>32.200000000000003</v>
      </c>
    </row>
    <row r="3954" spans="1:24" ht="15" customHeight="1" x14ac:dyDescent="0.25">
      <c r="A3954" t="str">
        <f>""</f>
        <v/>
      </c>
      <c r="B3954" s="1"/>
      <c r="H3954">
        <v>136.65</v>
      </c>
      <c r="J3954" t="s">
        <v>20</v>
      </c>
      <c r="L3954" s="1"/>
      <c r="N3954" s="1"/>
      <c r="V3954" t="str">
        <f>"69400"</f>
        <v>69400</v>
      </c>
      <c r="W3954">
        <v>36.9</v>
      </c>
      <c r="X3954">
        <v>0</v>
      </c>
    </row>
    <row r="3955" spans="1:24" ht="15" customHeight="1" x14ac:dyDescent="0.25">
      <c r="A3955" t="str">
        <f>""</f>
        <v/>
      </c>
      <c r="B3955" s="1"/>
      <c r="H3955">
        <v>55.16</v>
      </c>
      <c r="J3955" t="s">
        <v>19</v>
      </c>
      <c r="L3955" s="1"/>
      <c r="N3955" s="1"/>
      <c r="V3955" t="str">
        <f>"14200"</f>
        <v>14200</v>
      </c>
      <c r="W3955">
        <v>9.3800000000000008</v>
      </c>
      <c r="X3955">
        <v>0</v>
      </c>
    </row>
    <row r="3956" spans="1:24" ht="15" customHeight="1" x14ac:dyDescent="0.25">
      <c r="A3956" t="str">
        <f>""</f>
        <v/>
      </c>
      <c r="B3956" s="1"/>
      <c r="H3956">
        <v>198.04</v>
      </c>
      <c r="J3956" t="s">
        <v>22</v>
      </c>
      <c r="L3956" s="1"/>
      <c r="N3956" s="1"/>
      <c r="V3956" t="str">
        <f>"50440"</f>
        <v>50440</v>
      </c>
      <c r="W3956">
        <v>0</v>
      </c>
      <c r="X3956">
        <v>33.67</v>
      </c>
    </row>
    <row r="3957" spans="1:24" ht="15" customHeight="1" x14ac:dyDescent="0.25">
      <c r="A3957" t="str">
        <f>""</f>
        <v/>
      </c>
      <c r="B3957" s="1"/>
      <c r="H3957">
        <v>141.25</v>
      </c>
      <c r="J3957" t="s">
        <v>23</v>
      </c>
      <c r="L3957" s="1"/>
      <c r="N3957" s="1"/>
      <c r="V3957" t="str">
        <f>"41000"</f>
        <v>41000</v>
      </c>
      <c r="W3957">
        <v>0</v>
      </c>
      <c r="X3957">
        <v>0</v>
      </c>
    </row>
    <row r="3958" spans="1:24" ht="15" customHeight="1" x14ac:dyDescent="0.25">
      <c r="A3958" t="str">
        <f>""</f>
        <v/>
      </c>
      <c r="B3958" s="1"/>
      <c r="H3958">
        <v>180</v>
      </c>
      <c r="J3958" t="s">
        <v>23</v>
      </c>
      <c r="L3958" s="1"/>
      <c r="V3958" t="str">
        <f>"29200"</f>
        <v>29200</v>
      </c>
      <c r="W3958">
        <v>0</v>
      </c>
      <c r="X3958">
        <v>0</v>
      </c>
    </row>
    <row r="3959" spans="1:24" ht="15" customHeight="1" x14ac:dyDescent="0.25">
      <c r="A3959" t="str">
        <f>""</f>
        <v/>
      </c>
      <c r="B3959" s="1"/>
      <c r="H3959">
        <v>140</v>
      </c>
      <c r="J3959" t="s">
        <v>23</v>
      </c>
      <c r="L3959" s="1"/>
      <c r="N3959" s="1"/>
      <c r="V3959" t="str">
        <f>"75014"</f>
        <v>75014</v>
      </c>
      <c r="W3959">
        <v>0</v>
      </c>
      <c r="X3959">
        <v>0</v>
      </c>
    </row>
    <row r="3960" spans="1:24" ht="15" customHeight="1" x14ac:dyDescent="0.25">
      <c r="A3960" t="str">
        <f>""</f>
        <v/>
      </c>
      <c r="B3960" s="1"/>
      <c r="H3960">
        <v>40.049999999999997</v>
      </c>
      <c r="J3960" t="s">
        <v>19</v>
      </c>
      <c r="L3960" s="1"/>
      <c r="N3960" s="1"/>
      <c r="V3960" t="str">
        <f>"61250"</f>
        <v>61250</v>
      </c>
      <c r="W3960">
        <v>6.81</v>
      </c>
      <c r="X3960">
        <v>0</v>
      </c>
    </row>
    <row r="3961" spans="1:24" ht="15" customHeight="1" x14ac:dyDescent="0.25">
      <c r="A3961" t="str">
        <f>""</f>
        <v/>
      </c>
      <c r="B3961" s="1"/>
      <c r="H3961">
        <v>70</v>
      </c>
      <c r="J3961" t="s">
        <v>23</v>
      </c>
      <c r="L3961" s="1"/>
      <c r="V3961" t="str">
        <f>"77380"</f>
        <v>77380</v>
      </c>
      <c r="W3961">
        <v>0</v>
      </c>
      <c r="X3961">
        <v>0</v>
      </c>
    </row>
    <row r="3962" spans="1:24" ht="15" customHeight="1" x14ac:dyDescent="0.25">
      <c r="A3962" t="str">
        <f>""</f>
        <v/>
      </c>
      <c r="B3962" s="1"/>
      <c r="H3962">
        <v>20</v>
      </c>
      <c r="J3962" t="s">
        <v>22</v>
      </c>
      <c r="L3962" s="1"/>
      <c r="N3962" s="1"/>
      <c r="V3962" t="str">
        <f>"69120"</f>
        <v>69120</v>
      </c>
      <c r="W3962">
        <v>0</v>
      </c>
      <c r="X3962">
        <v>0</v>
      </c>
    </row>
    <row r="3963" spans="1:24" ht="15" customHeight="1" x14ac:dyDescent="0.25">
      <c r="A3963" t="str">
        <f>""</f>
        <v/>
      </c>
      <c r="B3963" s="1"/>
      <c r="H3963">
        <v>140.69999999999999</v>
      </c>
      <c r="J3963" t="s">
        <v>23</v>
      </c>
      <c r="L3963" s="1"/>
      <c r="N3963" s="1"/>
      <c r="V3963" t="str">
        <f>"02300"</f>
        <v>02300</v>
      </c>
      <c r="W3963">
        <v>0</v>
      </c>
      <c r="X3963">
        <v>0</v>
      </c>
    </row>
    <row r="3964" spans="1:24" ht="15" customHeight="1" x14ac:dyDescent="0.25">
      <c r="A3964" t="str">
        <f>""</f>
        <v/>
      </c>
      <c r="B3964" s="1"/>
      <c r="H3964">
        <v>160.97999999999999</v>
      </c>
      <c r="J3964" t="s">
        <v>23</v>
      </c>
      <c r="L3964" s="1"/>
      <c r="N3964" s="1"/>
      <c r="V3964" t="str">
        <f>"57950"</f>
        <v>57950</v>
      </c>
      <c r="W3964">
        <v>0</v>
      </c>
      <c r="X3964">
        <v>40.25</v>
      </c>
    </row>
    <row r="3965" spans="1:24" x14ac:dyDescent="0.25">
      <c r="A3965" t="str">
        <f>""</f>
        <v/>
      </c>
      <c r="B3965" s="1"/>
      <c r="H3965">
        <v>151</v>
      </c>
      <c r="J3965" t="s">
        <v>15</v>
      </c>
      <c r="L3965" s="1"/>
      <c r="N3965" s="1"/>
      <c r="V3965" t="str">
        <f>"57550"</f>
        <v>57550</v>
      </c>
      <c r="W3965">
        <v>0</v>
      </c>
      <c r="X3965">
        <v>40.770000000000003</v>
      </c>
    </row>
    <row r="3966" spans="1:24" x14ac:dyDescent="0.25">
      <c r="A3966" t="str">
        <f>""</f>
        <v/>
      </c>
      <c r="B3966" s="1"/>
      <c r="H3966">
        <v>195.34</v>
      </c>
      <c r="J3966" t="s">
        <v>15</v>
      </c>
      <c r="L3966" s="1"/>
      <c r="N3966" s="1"/>
      <c r="V3966" t="str">
        <f>"37000"</f>
        <v>37000</v>
      </c>
      <c r="W3966">
        <v>0</v>
      </c>
      <c r="X3966">
        <v>0</v>
      </c>
    </row>
    <row r="3967" spans="1:24" ht="15" customHeight="1" x14ac:dyDescent="0.25">
      <c r="A3967" t="str">
        <f>""</f>
        <v/>
      </c>
      <c r="B3967" s="1"/>
      <c r="H3967">
        <v>140</v>
      </c>
      <c r="J3967" t="s">
        <v>23</v>
      </c>
      <c r="L3967" s="1"/>
      <c r="N3967" s="1"/>
      <c r="V3967" t="str">
        <f>"54400"</f>
        <v>54400</v>
      </c>
      <c r="W3967">
        <v>0</v>
      </c>
      <c r="X3967">
        <v>35</v>
      </c>
    </row>
    <row r="3968" spans="1:24" x14ac:dyDescent="0.25">
      <c r="A3968" t="str">
        <f>""</f>
        <v/>
      </c>
      <c r="B3968" s="1"/>
      <c r="H3968">
        <v>155.36000000000001</v>
      </c>
      <c r="J3968" t="s">
        <v>16</v>
      </c>
      <c r="L3968" s="1"/>
      <c r="N3968" s="1"/>
      <c r="V3968" t="str">
        <f>"18000"</f>
        <v>18000</v>
      </c>
      <c r="W3968">
        <v>0</v>
      </c>
      <c r="X3968">
        <v>0</v>
      </c>
    </row>
    <row r="3969" spans="1:24" ht="15" customHeight="1" x14ac:dyDescent="0.25">
      <c r="A3969" t="str">
        <f>""</f>
        <v/>
      </c>
      <c r="B3969" s="1"/>
      <c r="H3969">
        <v>32.6</v>
      </c>
      <c r="J3969" t="s">
        <v>22</v>
      </c>
      <c r="L3969" s="1"/>
      <c r="N3969" s="1"/>
      <c r="V3969" t="str">
        <f>"69200"</f>
        <v>69200</v>
      </c>
      <c r="W3969">
        <v>0</v>
      </c>
      <c r="X3969">
        <v>0</v>
      </c>
    </row>
    <row r="3970" spans="1:24" ht="15" customHeight="1" x14ac:dyDescent="0.25">
      <c r="A3970" t="str">
        <f>""</f>
        <v/>
      </c>
      <c r="B3970" s="1"/>
      <c r="H3970">
        <v>151</v>
      </c>
      <c r="J3970" t="s">
        <v>23</v>
      </c>
      <c r="L3970" s="1"/>
      <c r="N3970" s="1"/>
      <c r="V3970" t="str">
        <f>"54200"</f>
        <v>54200</v>
      </c>
      <c r="W3970">
        <v>0</v>
      </c>
      <c r="X3970">
        <v>37.75</v>
      </c>
    </row>
    <row r="3971" spans="1:24" ht="15" customHeight="1" x14ac:dyDescent="0.25">
      <c r="A3971" t="str">
        <f>""</f>
        <v/>
      </c>
      <c r="B3971" s="1"/>
      <c r="H3971">
        <v>50.84</v>
      </c>
      <c r="J3971" t="s">
        <v>19</v>
      </c>
      <c r="L3971" s="1"/>
      <c r="N3971" s="1"/>
      <c r="V3971" t="str">
        <f>"92000"</f>
        <v>92000</v>
      </c>
      <c r="W3971">
        <v>0</v>
      </c>
      <c r="X3971">
        <v>0</v>
      </c>
    </row>
    <row r="3972" spans="1:24" ht="15" customHeight="1" x14ac:dyDescent="0.25">
      <c r="A3972" t="str">
        <f>""</f>
        <v/>
      </c>
      <c r="B3972" s="1"/>
      <c r="H3972">
        <v>151</v>
      </c>
      <c r="J3972" t="s">
        <v>20</v>
      </c>
      <c r="L3972" s="1"/>
      <c r="N3972" s="1"/>
      <c r="V3972" t="str">
        <f>"69330"</f>
        <v>69330</v>
      </c>
      <c r="W3972">
        <v>40.770000000000003</v>
      </c>
      <c r="X3972">
        <v>0</v>
      </c>
    </row>
    <row r="3973" spans="1:24" ht="15" customHeight="1" x14ac:dyDescent="0.25">
      <c r="A3973" t="str">
        <f>""</f>
        <v/>
      </c>
      <c r="B3973" s="1"/>
      <c r="H3973">
        <v>50.84</v>
      </c>
      <c r="J3973" t="s">
        <v>19</v>
      </c>
      <c r="L3973" s="1"/>
      <c r="N3973" s="1"/>
      <c r="V3973" t="str">
        <f>"92000"</f>
        <v>92000</v>
      </c>
      <c r="W3973">
        <v>0</v>
      </c>
      <c r="X3973">
        <v>0</v>
      </c>
    </row>
    <row r="3974" spans="1:24" x14ac:dyDescent="0.25">
      <c r="A3974" t="str">
        <f>""</f>
        <v/>
      </c>
      <c r="B3974" s="1"/>
      <c r="H3974">
        <v>52.5</v>
      </c>
      <c r="J3974" t="s">
        <v>16</v>
      </c>
      <c r="L3974" s="1"/>
      <c r="N3974" s="1"/>
      <c r="V3974" t="str">
        <f>"67400"</f>
        <v>67400</v>
      </c>
      <c r="W3974">
        <v>0</v>
      </c>
      <c r="X3974">
        <v>0</v>
      </c>
    </row>
    <row r="3975" spans="1:24" x14ac:dyDescent="0.25">
      <c r="A3975" t="str">
        <f>""</f>
        <v/>
      </c>
      <c r="B3975" s="1"/>
      <c r="H3975">
        <v>52.5</v>
      </c>
      <c r="J3975" t="s">
        <v>15</v>
      </c>
      <c r="L3975" s="1"/>
      <c r="N3975" s="1"/>
      <c r="V3975" t="str">
        <f>"95100"</f>
        <v>95100</v>
      </c>
      <c r="W3975">
        <v>0</v>
      </c>
      <c r="X3975">
        <v>0</v>
      </c>
    </row>
    <row r="3976" spans="1:24" ht="15" customHeight="1" x14ac:dyDescent="0.25">
      <c r="A3976" t="str">
        <f>""</f>
        <v/>
      </c>
      <c r="B3976" s="1"/>
      <c r="H3976">
        <v>187.02</v>
      </c>
      <c r="J3976" t="s">
        <v>22</v>
      </c>
      <c r="L3976" s="1"/>
      <c r="N3976" s="1"/>
      <c r="V3976" t="str">
        <f>"13400"</f>
        <v>13400</v>
      </c>
      <c r="W3976">
        <v>0</v>
      </c>
      <c r="X3976">
        <v>0</v>
      </c>
    </row>
    <row r="3977" spans="1:24" x14ac:dyDescent="0.25">
      <c r="A3977" t="str">
        <f>""</f>
        <v/>
      </c>
      <c r="B3977" s="1"/>
      <c r="H3977">
        <v>52.5</v>
      </c>
      <c r="J3977" t="s">
        <v>15</v>
      </c>
      <c r="L3977" s="1"/>
      <c r="N3977" s="1"/>
      <c r="V3977" t="str">
        <f>"74130"</f>
        <v>74130</v>
      </c>
      <c r="W3977">
        <v>0</v>
      </c>
      <c r="X3977">
        <v>0</v>
      </c>
    </row>
    <row r="3978" spans="1:24" ht="15" customHeight="1" x14ac:dyDescent="0.25">
      <c r="A3978" t="str">
        <f>""</f>
        <v/>
      </c>
      <c r="B3978" s="1"/>
      <c r="H3978">
        <v>50</v>
      </c>
      <c r="J3978" t="s">
        <v>22</v>
      </c>
      <c r="L3978" s="1"/>
      <c r="N3978" s="1"/>
      <c r="V3978" t="str">
        <f>"62600"</f>
        <v>62600</v>
      </c>
      <c r="W3978">
        <v>0</v>
      </c>
      <c r="X3978">
        <v>9.5</v>
      </c>
    </row>
    <row r="3979" spans="1:24" ht="15" customHeight="1" x14ac:dyDescent="0.25">
      <c r="A3979" t="str">
        <f>""</f>
        <v/>
      </c>
      <c r="B3979" s="1"/>
      <c r="H3979">
        <v>140</v>
      </c>
      <c r="J3979" t="s">
        <v>22</v>
      </c>
      <c r="L3979" s="1"/>
      <c r="N3979" s="1"/>
      <c r="V3979" t="str">
        <f>"63450"</f>
        <v>63450</v>
      </c>
      <c r="W3979">
        <v>0</v>
      </c>
      <c r="X3979">
        <v>16.8</v>
      </c>
    </row>
    <row r="3980" spans="1:24" ht="15" customHeight="1" x14ac:dyDescent="0.25">
      <c r="A3980" t="str">
        <f>""</f>
        <v/>
      </c>
      <c r="B3980" s="1"/>
      <c r="H3980">
        <v>140</v>
      </c>
      <c r="J3980" t="s">
        <v>23</v>
      </c>
      <c r="L3980" s="1"/>
      <c r="N3980" s="1"/>
      <c r="V3980" t="str">
        <f>"77200"</f>
        <v>77200</v>
      </c>
      <c r="W3980">
        <v>0</v>
      </c>
      <c r="X3980">
        <v>0</v>
      </c>
    </row>
    <row r="3981" spans="1:24" ht="15" customHeight="1" x14ac:dyDescent="0.25">
      <c r="A3981" t="str">
        <f>""</f>
        <v/>
      </c>
      <c r="B3981" s="1"/>
      <c r="H3981">
        <v>55.34</v>
      </c>
      <c r="J3981" t="s">
        <v>19</v>
      </c>
      <c r="L3981" s="1"/>
      <c r="N3981" s="1"/>
      <c r="V3981" t="str">
        <f>"57070"</f>
        <v>57070</v>
      </c>
      <c r="W3981">
        <v>13.84</v>
      </c>
      <c r="X3981">
        <v>0</v>
      </c>
    </row>
    <row r="3982" spans="1:24" ht="15" customHeight="1" x14ac:dyDescent="0.25">
      <c r="A3982" t="str">
        <f>""</f>
        <v/>
      </c>
      <c r="B3982" s="1"/>
      <c r="H3982">
        <v>70</v>
      </c>
      <c r="J3982" t="s">
        <v>23</v>
      </c>
      <c r="L3982" s="1"/>
      <c r="V3982" t="str">
        <f>"59550"</f>
        <v>59550</v>
      </c>
      <c r="W3982">
        <v>0</v>
      </c>
      <c r="X3982">
        <v>0</v>
      </c>
    </row>
    <row r="3983" spans="1:24" x14ac:dyDescent="0.25">
      <c r="A3983" t="str">
        <f>""</f>
        <v/>
      </c>
      <c r="B3983" s="1"/>
      <c r="H3983">
        <v>189.52</v>
      </c>
      <c r="J3983" t="s">
        <v>17</v>
      </c>
      <c r="L3983" s="1"/>
      <c r="N3983" s="1"/>
      <c r="V3983" t="str">
        <f>"73870"</f>
        <v>73870</v>
      </c>
      <c r="W3983">
        <v>0</v>
      </c>
      <c r="X3983">
        <v>0</v>
      </c>
    </row>
    <row r="3984" spans="1:24" ht="15" customHeight="1" x14ac:dyDescent="0.25">
      <c r="A3984" t="str">
        <f>""</f>
        <v/>
      </c>
      <c r="B3984" s="1"/>
      <c r="H3984">
        <v>97.48</v>
      </c>
      <c r="J3984" t="s">
        <v>19</v>
      </c>
      <c r="L3984" s="1"/>
      <c r="N3984" s="1"/>
      <c r="V3984" t="str">
        <f>"16340"</f>
        <v>16340</v>
      </c>
      <c r="W3984">
        <v>20.47</v>
      </c>
      <c r="X3984">
        <v>0</v>
      </c>
    </row>
    <row r="3985" spans="1:24" x14ac:dyDescent="0.25">
      <c r="A3985" t="str">
        <f>""</f>
        <v/>
      </c>
      <c r="B3985" s="1"/>
      <c r="H3985">
        <v>120</v>
      </c>
      <c r="J3985" t="s">
        <v>15</v>
      </c>
      <c r="L3985" s="1"/>
      <c r="N3985" s="1"/>
      <c r="V3985" t="str">
        <f>"83700"</f>
        <v>83700</v>
      </c>
      <c r="W3985">
        <v>0</v>
      </c>
      <c r="X3985">
        <v>0</v>
      </c>
    </row>
    <row r="3986" spans="1:24" ht="15" customHeight="1" x14ac:dyDescent="0.25">
      <c r="A3986" t="str">
        <f>""</f>
        <v/>
      </c>
      <c r="B3986" s="1"/>
      <c r="H3986">
        <v>151</v>
      </c>
      <c r="J3986" t="s">
        <v>23</v>
      </c>
      <c r="L3986" s="1"/>
      <c r="N3986" s="1"/>
      <c r="V3986" t="str">
        <f>"06560"</f>
        <v>06560</v>
      </c>
      <c r="W3986">
        <v>0</v>
      </c>
      <c r="X3986">
        <v>0</v>
      </c>
    </row>
    <row r="3987" spans="1:24" ht="15" customHeight="1" x14ac:dyDescent="0.25">
      <c r="A3987" t="str">
        <f>""</f>
        <v/>
      </c>
      <c r="B3987" s="1"/>
      <c r="H3987">
        <v>49.08</v>
      </c>
      <c r="J3987" t="s">
        <v>19</v>
      </c>
      <c r="L3987" s="1"/>
      <c r="N3987" s="1"/>
      <c r="V3987" t="str">
        <f>"22600"</f>
        <v>22600</v>
      </c>
      <c r="W3987">
        <v>19.14</v>
      </c>
      <c r="X3987">
        <v>0</v>
      </c>
    </row>
    <row r="3988" spans="1:24" ht="15" customHeight="1" x14ac:dyDescent="0.25">
      <c r="A3988" t="str">
        <f>""</f>
        <v/>
      </c>
      <c r="B3988" s="1"/>
      <c r="H3988">
        <v>180</v>
      </c>
      <c r="J3988" t="s">
        <v>23</v>
      </c>
      <c r="L3988" s="1"/>
      <c r="N3988" s="1"/>
      <c r="V3988" t="str">
        <f>"76620"</f>
        <v>76620</v>
      </c>
      <c r="W3988">
        <v>0</v>
      </c>
      <c r="X3988">
        <v>30.6</v>
      </c>
    </row>
    <row r="3989" spans="1:24" ht="15" customHeight="1" x14ac:dyDescent="0.25">
      <c r="A3989" t="str">
        <f>""</f>
        <v/>
      </c>
      <c r="B3989" s="1"/>
      <c r="H3989">
        <v>31.6</v>
      </c>
      <c r="L3989" s="1"/>
      <c r="N3989" s="1"/>
      <c r="V3989" t="str">
        <f>"77184"</f>
        <v>77184</v>
      </c>
      <c r="W3989">
        <v>0</v>
      </c>
      <c r="X3989">
        <v>0</v>
      </c>
    </row>
    <row r="3990" spans="1:24" ht="15" customHeight="1" x14ac:dyDescent="0.25">
      <c r="A3990" t="str">
        <f>""</f>
        <v/>
      </c>
      <c r="B3990" s="1"/>
      <c r="H3990">
        <v>84.96</v>
      </c>
      <c r="L3990" s="1"/>
      <c r="N3990" s="1"/>
      <c r="V3990" t="str">
        <f>"77184"</f>
        <v>77184</v>
      </c>
      <c r="W3990">
        <v>0</v>
      </c>
      <c r="X3990">
        <v>0</v>
      </c>
    </row>
    <row r="3991" spans="1:24" ht="15" customHeight="1" x14ac:dyDescent="0.25">
      <c r="A3991" t="str">
        <f>""</f>
        <v/>
      </c>
      <c r="B3991" s="1"/>
      <c r="H3991">
        <v>31.6</v>
      </c>
      <c r="L3991" s="1"/>
      <c r="N3991" s="1"/>
      <c r="V3991" t="str">
        <f>"77184"</f>
        <v>77184</v>
      </c>
      <c r="W3991">
        <v>0</v>
      </c>
      <c r="X3991">
        <v>0</v>
      </c>
    </row>
    <row r="3992" spans="1:24" ht="15" customHeight="1" x14ac:dyDescent="0.25">
      <c r="A3992" t="str">
        <f>""</f>
        <v/>
      </c>
      <c r="B3992" s="1"/>
      <c r="H3992">
        <v>126.4</v>
      </c>
      <c r="L3992" s="1"/>
      <c r="N3992" s="1"/>
      <c r="V3992" t="str">
        <f>"77184"</f>
        <v>77184</v>
      </c>
      <c r="W3992">
        <v>0</v>
      </c>
      <c r="X3992">
        <v>0</v>
      </c>
    </row>
    <row r="3993" spans="1:24" ht="15" customHeight="1" x14ac:dyDescent="0.25">
      <c r="A3993" t="str">
        <f>""</f>
        <v/>
      </c>
      <c r="B3993" s="1"/>
      <c r="H3993">
        <v>10</v>
      </c>
      <c r="L3993" s="1"/>
      <c r="N3993" s="1"/>
      <c r="V3993" t="str">
        <f>"77184"</f>
        <v>77184</v>
      </c>
      <c r="W3993">
        <v>0</v>
      </c>
      <c r="X3993">
        <v>0</v>
      </c>
    </row>
    <row r="3994" spans="1:24" ht="15" customHeight="1" x14ac:dyDescent="0.25">
      <c r="A3994" t="str">
        <f>""</f>
        <v/>
      </c>
      <c r="B3994" s="1"/>
      <c r="H3994">
        <v>133.27000000000001</v>
      </c>
      <c r="J3994" t="s">
        <v>22</v>
      </c>
      <c r="L3994" s="1"/>
      <c r="N3994" s="1"/>
      <c r="V3994" t="str">
        <f>"13002"</f>
        <v>13002</v>
      </c>
      <c r="W3994">
        <v>0</v>
      </c>
      <c r="X3994">
        <v>61.3</v>
      </c>
    </row>
    <row r="3995" spans="1:24" ht="15" customHeight="1" x14ac:dyDescent="0.25">
      <c r="A3995" t="str">
        <f>""</f>
        <v/>
      </c>
      <c r="B3995" s="1"/>
      <c r="H3995">
        <v>275</v>
      </c>
      <c r="J3995" t="s">
        <v>22</v>
      </c>
      <c r="L3995" s="1"/>
      <c r="N3995" s="1"/>
      <c r="V3995" t="str">
        <f>"42160"</f>
        <v>42160</v>
      </c>
      <c r="W3995">
        <v>0</v>
      </c>
      <c r="X3995">
        <v>0</v>
      </c>
    </row>
    <row r="3996" spans="1:24" ht="15" customHeight="1" x14ac:dyDescent="0.25">
      <c r="A3996" t="str">
        <f>""</f>
        <v/>
      </c>
      <c r="B3996" s="1"/>
      <c r="H3996">
        <v>143.81</v>
      </c>
      <c r="J3996" t="s">
        <v>19</v>
      </c>
      <c r="L3996" s="1"/>
      <c r="N3996" s="1"/>
      <c r="V3996" t="str">
        <f>"01000"</f>
        <v>01000</v>
      </c>
      <c r="W3996">
        <v>38.83</v>
      </c>
      <c r="X3996">
        <v>0</v>
      </c>
    </row>
    <row r="3997" spans="1:24" ht="15" customHeight="1" x14ac:dyDescent="0.25">
      <c r="A3997" t="str">
        <f>""</f>
        <v/>
      </c>
      <c r="B3997" s="1"/>
      <c r="H3997">
        <v>55.16</v>
      </c>
      <c r="J3997" t="s">
        <v>19</v>
      </c>
      <c r="L3997" s="1"/>
      <c r="N3997" s="1"/>
      <c r="V3997" t="str">
        <f>"73200"</f>
        <v>73200</v>
      </c>
      <c r="W3997">
        <v>14.89</v>
      </c>
      <c r="X3997">
        <v>0</v>
      </c>
    </row>
    <row r="3998" spans="1:24" ht="15" customHeight="1" x14ac:dyDescent="0.25">
      <c r="A3998" t="str">
        <f>""</f>
        <v/>
      </c>
      <c r="B3998" s="1"/>
      <c r="H3998">
        <v>55.16</v>
      </c>
      <c r="J3998" t="s">
        <v>19</v>
      </c>
      <c r="L3998" s="1"/>
      <c r="N3998" s="1"/>
      <c r="V3998" t="str">
        <f>"35044"</f>
        <v>35044</v>
      </c>
      <c r="W3998">
        <v>14.89</v>
      </c>
      <c r="X3998">
        <v>0</v>
      </c>
    </row>
    <row r="3999" spans="1:24" ht="15" customHeight="1" x14ac:dyDescent="0.25">
      <c r="A3999" t="str">
        <f>""</f>
        <v/>
      </c>
      <c r="B3999" s="1"/>
      <c r="H3999">
        <v>86.6</v>
      </c>
      <c r="J3999" t="s">
        <v>20</v>
      </c>
      <c r="L3999" s="1"/>
      <c r="N3999" s="1"/>
      <c r="V3999" t="str">
        <f>"61230"</f>
        <v>61230</v>
      </c>
      <c r="W3999">
        <v>14.72</v>
      </c>
      <c r="X3999">
        <v>0</v>
      </c>
    </row>
    <row r="4000" spans="1:24" ht="15" customHeight="1" x14ac:dyDescent="0.25">
      <c r="A4000" t="str">
        <f>""</f>
        <v/>
      </c>
      <c r="B4000" s="1"/>
      <c r="H4000">
        <v>49.08</v>
      </c>
      <c r="J4000" t="s">
        <v>19</v>
      </c>
      <c r="L4000" s="1"/>
      <c r="N4000" s="1"/>
      <c r="V4000" t="str">
        <f>"56920"</f>
        <v>56920</v>
      </c>
      <c r="W4000">
        <v>13.25</v>
      </c>
      <c r="X4000">
        <v>0</v>
      </c>
    </row>
    <row r="4001" spans="1:24" ht="15" customHeight="1" x14ac:dyDescent="0.25">
      <c r="A4001" t="str">
        <f>""</f>
        <v/>
      </c>
      <c r="B4001" s="1"/>
      <c r="H4001">
        <v>371.8</v>
      </c>
      <c r="J4001" t="s">
        <v>23</v>
      </c>
      <c r="L4001" s="1"/>
      <c r="N4001" s="1"/>
      <c r="V4001" t="str">
        <f>"72000"</f>
        <v>72000</v>
      </c>
      <c r="W4001">
        <v>0</v>
      </c>
      <c r="X4001">
        <v>44.62</v>
      </c>
    </row>
    <row r="4002" spans="1:24" ht="15" customHeight="1" x14ac:dyDescent="0.25">
      <c r="A4002" t="str">
        <f>""</f>
        <v/>
      </c>
      <c r="B4002" s="1"/>
      <c r="H4002">
        <v>33.119999999999997</v>
      </c>
      <c r="J4002" t="s">
        <v>22</v>
      </c>
      <c r="L4002" s="1"/>
      <c r="N4002" s="1"/>
      <c r="V4002" t="str">
        <f>"75013"</f>
        <v>75013</v>
      </c>
      <c r="W4002">
        <v>0</v>
      </c>
      <c r="X4002">
        <v>0</v>
      </c>
    </row>
    <row r="4003" spans="1:24" ht="15" customHeight="1" x14ac:dyDescent="0.25">
      <c r="A4003" t="str">
        <f>""</f>
        <v/>
      </c>
      <c r="B4003" s="1"/>
      <c r="H4003">
        <v>219.76</v>
      </c>
      <c r="J4003" t="s">
        <v>19</v>
      </c>
      <c r="L4003" s="1"/>
      <c r="N4003" s="1"/>
      <c r="V4003" t="str">
        <f>"13008"</f>
        <v>13008</v>
      </c>
      <c r="W4003">
        <v>63.73</v>
      </c>
      <c r="X4003">
        <v>0</v>
      </c>
    </row>
    <row r="4004" spans="1:24" ht="15" customHeight="1" x14ac:dyDescent="0.25">
      <c r="A4004" t="str">
        <f>""</f>
        <v/>
      </c>
      <c r="B4004" s="1"/>
      <c r="H4004">
        <v>58.35</v>
      </c>
      <c r="J4004" t="s">
        <v>20</v>
      </c>
      <c r="L4004" s="1"/>
      <c r="N4004" s="1"/>
      <c r="V4004" t="str">
        <f>"38290"</f>
        <v>38290</v>
      </c>
      <c r="W4004">
        <v>15.75</v>
      </c>
      <c r="X4004">
        <v>0</v>
      </c>
    </row>
    <row r="4005" spans="1:24" ht="15" customHeight="1" x14ac:dyDescent="0.25">
      <c r="A4005" t="str">
        <f>""</f>
        <v/>
      </c>
      <c r="B4005" s="1"/>
      <c r="H4005">
        <v>124</v>
      </c>
      <c r="J4005" t="s">
        <v>22</v>
      </c>
      <c r="L4005" s="1"/>
      <c r="V4005" t="str">
        <f>"21160"</f>
        <v>21160</v>
      </c>
      <c r="W4005">
        <v>0</v>
      </c>
      <c r="X4005">
        <v>0</v>
      </c>
    </row>
    <row r="4006" spans="1:24" ht="15" customHeight="1" x14ac:dyDescent="0.25">
      <c r="A4006" t="str">
        <f>""</f>
        <v/>
      </c>
      <c r="B4006" s="1"/>
      <c r="H4006">
        <v>140</v>
      </c>
      <c r="L4006" s="1"/>
      <c r="N4006" s="1"/>
      <c r="V4006" t="str">
        <f>"77184"</f>
        <v>77184</v>
      </c>
      <c r="W4006">
        <v>0</v>
      </c>
      <c r="X4006">
        <v>0</v>
      </c>
    </row>
    <row r="4007" spans="1:24" ht="15" customHeight="1" x14ac:dyDescent="0.25">
      <c r="A4007" t="str">
        <f>""</f>
        <v/>
      </c>
      <c r="B4007" s="1"/>
      <c r="H4007">
        <v>171.54</v>
      </c>
      <c r="J4007" t="s">
        <v>19</v>
      </c>
      <c r="L4007" s="1"/>
      <c r="N4007" s="1"/>
      <c r="V4007" t="str">
        <f>"76420"</f>
        <v>76420</v>
      </c>
      <c r="W4007">
        <v>29.16</v>
      </c>
      <c r="X4007">
        <v>0</v>
      </c>
    </row>
    <row r="4008" spans="1:24" ht="15" customHeight="1" x14ac:dyDescent="0.25">
      <c r="A4008" t="str">
        <f>""</f>
        <v/>
      </c>
      <c r="B4008" s="1"/>
      <c r="H4008">
        <v>153.69999999999999</v>
      </c>
      <c r="J4008" t="s">
        <v>19</v>
      </c>
      <c r="L4008" s="1"/>
      <c r="N4008" s="1"/>
      <c r="V4008" t="str">
        <f>"76700"</f>
        <v>76700</v>
      </c>
      <c r="W4008">
        <v>26.13</v>
      </c>
      <c r="X4008">
        <v>0</v>
      </c>
    </row>
    <row r="4009" spans="1:24" ht="15" customHeight="1" x14ac:dyDescent="0.25">
      <c r="A4009" t="str">
        <f>""</f>
        <v/>
      </c>
      <c r="B4009" s="1"/>
      <c r="H4009">
        <v>31</v>
      </c>
      <c r="L4009" s="1"/>
      <c r="N4009" s="1"/>
      <c r="V4009" t="str">
        <f>"44240"</f>
        <v>44240</v>
      </c>
      <c r="W4009">
        <v>0</v>
      </c>
      <c r="X4009">
        <v>0</v>
      </c>
    </row>
    <row r="4010" spans="1:24" ht="15" customHeight="1" x14ac:dyDescent="0.25">
      <c r="A4010" t="str">
        <f>""</f>
        <v/>
      </c>
      <c r="B4010" s="1"/>
      <c r="H4010">
        <v>31</v>
      </c>
      <c r="L4010" s="1"/>
      <c r="N4010" s="1"/>
      <c r="V4010" t="str">
        <f>"44240"</f>
        <v>44240</v>
      </c>
      <c r="W4010">
        <v>0</v>
      </c>
      <c r="X4010">
        <v>0</v>
      </c>
    </row>
    <row r="4011" spans="1:24" ht="15" customHeight="1" x14ac:dyDescent="0.25">
      <c r="A4011" t="str">
        <f>""</f>
        <v/>
      </c>
      <c r="B4011" s="1"/>
      <c r="H4011">
        <v>31</v>
      </c>
      <c r="L4011" s="1"/>
      <c r="N4011" s="1"/>
      <c r="V4011" t="str">
        <f>"44240"</f>
        <v>44240</v>
      </c>
      <c r="W4011">
        <v>0</v>
      </c>
      <c r="X4011">
        <v>0</v>
      </c>
    </row>
    <row r="4012" spans="1:24" ht="15" customHeight="1" x14ac:dyDescent="0.25">
      <c r="A4012" t="str">
        <f>""</f>
        <v/>
      </c>
      <c r="B4012" s="1"/>
      <c r="H4012">
        <v>34</v>
      </c>
      <c r="L4012" s="1"/>
      <c r="N4012" s="1"/>
      <c r="V4012" t="str">
        <f>"44240"</f>
        <v>44240</v>
      </c>
      <c r="W4012">
        <v>0</v>
      </c>
      <c r="X4012">
        <v>0</v>
      </c>
    </row>
    <row r="4013" spans="1:24" ht="15" customHeight="1" x14ac:dyDescent="0.25">
      <c r="A4013" t="str">
        <f>""</f>
        <v/>
      </c>
      <c r="B4013" s="1"/>
      <c r="H4013">
        <v>70</v>
      </c>
      <c r="L4013" s="1"/>
      <c r="N4013" s="1"/>
      <c r="V4013" t="str">
        <f>"77184"</f>
        <v>77184</v>
      </c>
      <c r="W4013">
        <v>0</v>
      </c>
      <c r="X4013">
        <v>0</v>
      </c>
    </row>
    <row r="4014" spans="1:24" ht="15" customHeight="1" x14ac:dyDescent="0.25">
      <c r="A4014" t="str">
        <f>""</f>
        <v/>
      </c>
      <c r="B4014" s="1"/>
      <c r="H4014">
        <v>84.5</v>
      </c>
      <c r="L4014" s="1"/>
      <c r="N4014" s="1"/>
      <c r="V4014" t="str">
        <f>"77184"</f>
        <v>77184</v>
      </c>
      <c r="W4014">
        <v>0</v>
      </c>
      <c r="X4014">
        <v>0</v>
      </c>
    </row>
    <row r="4015" spans="1:24" ht="15" customHeight="1" x14ac:dyDescent="0.25">
      <c r="A4015" t="str">
        <f>""</f>
        <v/>
      </c>
      <c r="B4015" s="1"/>
      <c r="H4015">
        <v>171</v>
      </c>
      <c r="L4015" s="1"/>
      <c r="N4015" s="1"/>
      <c r="V4015" t="str">
        <f>"77184"</f>
        <v>77184</v>
      </c>
      <c r="W4015">
        <v>0</v>
      </c>
      <c r="X4015">
        <v>0</v>
      </c>
    </row>
    <row r="4016" spans="1:24" ht="15" customHeight="1" x14ac:dyDescent="0.25">
      <c r="A4016" t="str">
        <f>""</f>
        <v/>
      </c>
      <c r="B4016" s="1"/>
      <c r="H4016">
        <v>62.6</v>
      </c>
      <c r="L4016" s="1"/>
      <c r="N4016" s="1"/>
      <c r="V4016" t="str">
        <f>"77184"</f>
        <v>77184</v>
      </c>
      <c r="W4016">
        <v>0</v>
      </c>
      <c r="X4016">
        <v>0</v>
      </c>
    </row>
    <row r="4017" spans="1:24" ht="15" customHeight="1" x14ac:dyDescent="0.25">
      <c r="A4017" t="str">
        <f>""</f>
        <v/>
      </c>
      <c r="B4017" s="1"/>
      <c r="H4017">
        <v>84.5</v>
      </c>
      <c r="L4017" s="1"/>
      <c r="N4017" s="1"/>
      <c r="V4017" t="str">
        <f>"77184"</f>
        <v>77184</v>
      </c>
      <c r="W4017">
        <v>0</v>
      </c>
      <c r="X4017">
        <v>0</v>
      </c>
    </row>
    <row r="4018" spans="1:24" ht="15" customHeight="1" x14ac:dyDescent="0.25">
      <c r="A4018" t="str">
        <f>""</f>
        <v/>
      </c>
      <c r="B4018" s="1"/>
      <c r="H4018">
        <v>64</v>
      </c>
      <c r="J4018" t="s">
        <v>22</v>
      </c>
      <c r="L4018" s="1"/>
      <c r="N4018" s="1"/>
      <c r="V4018" t="str">
        <f>"06190"</f>
        <v>06190</v>
      </c>
      <c r="W4018">
        <v>0</v>
      </c>
      <c r="X4018">
        <v>19.2</v>
      </c>
    </row>
    <row r="4019" spans="1:24" ht="15" customHeight="1" x14ac:dyDescent="0.25">
      <c r="A4019" t="str">
        <f>""</f>
        <v/>
      </c>
      <c r="B4019" s="1"/>
      <c r="H4019">
        <v>70</v>
      </c>
      <c r="J4019" t="s">
        <v>23</v>
      </c>
      <c r="L4019" s="1"/>
      <c r="N4019" s="1"/>
      <c r="V4019" t="str">
        <f>"66000"</f>
        <v>66000</v>
      </c>
      <c r="W4019">
        <v>0</v>
      </c>
      <c r="X4019">
        <v>19.600000000000001</v>
      </c>
    </row>
    <row r="4020" spans="1:24" ht="15" customHeight="1" x14ac:dyDescent="0.25">
      <c r="A4020" t="str">
        <f>""</f>
        <v/>
      </c>
      <c r="B4020" s="1"/>
      <c r="H4020">
        <v>131.49</v>
      </c>
      <c r="J4020" t="s">
        <v>20</v>
      </c>
      <c r="L4020" s="1"/>
      <c r="N4020" s="1"/>
      <c r="V4020" t="str">
        <f>"51130"</f>
        <v>51130</v>
      </c>
      <c r="W4020">
        <v>32.869999999999997</v>
      </c>
      <c r="X4020">
        <v>0</v>
      </c>
    </row>
    <row r="4021" spans="1:24" ht="15" customHeight="1" x14ac:dyDescent="0.25">
      <c r="A4021" t="str">
        <f>""</f>
        <v/>
      </c>
      <c r="B4021" s="1"/>
      <c r="H4021">
        <v>136.65</v>
      </c>
      <c r="J4021" t="s">
        <v>20</v>
      </c>
      <c r="L4021" s="1"/>
      <c r="N4021" s="1"/>
      <c r="V4021" t="str">
        <f>"59770"</f>
        <v>59770</v>
      </c>
      <c r="W4021">
        <v>25.96</v>
      </c>
      <c r="X4021">
        <v>0</v>
      </c>
    </row>
    <row r="4022" spans="1:24" ht="15" customHeight="1" x14ac:dyDescent="0.25">
      <c r="A4022" t="str">
        <f>""</f>
        <v/>
      </c>
      <c r="B4022" s="1"/>
      <c r="H4022">
        <v>33.35</v>
      </c>
      <c r="J4022" t="s">
        <v>19</v>
      </c>
      <c r="L4022" s="1"/>
      <c r="N4022" s="1"/>
      <c r="V4022" t="str">
        <f>"38330"</f>
        <v>38330</v>
      </c>
      <c r="W4022">
        <v>9</v>
      </c>
      <c r="X4022">
        <v>0</v>
      </c>
    </row>
    <row r="4023" spans="1:24" ht="15" customHeight="1" x14ac:dyDescent="0.25">
      <c r="A4023" t="str">
        <f>""</f>
        <v/>
      </c>
      <c r="B4023" s="1"/>
      <c r="H4023">
        <v>126.72</v>
      </c>
      <c r="J4023" t="s">
        <v>19</v>
      </c>
      <c r="L4023" s="1"/>
      <c r="N4023" s="1"/>
      <c r="V4023" t="str">
        <f>"86510"</f>
        <v>86510</v>
      </c>
      <c r="W4023">
        <v>26.61</v>
      </c>
      <c r="X4023">
        <v>0</v>
      </c>
    </row>
    <row r="4024" spans="1:24" ht="15" customHeight="1" x14ac:dyDescent="0.25">
      <c r="A4024" t="str">
        <f>""</f>
        <v/>
      </c>
      <c r="B4024" s="1"/>
      <c r="H4024">
        <v>107.6</v>
      </c>
      <c r="J4024" t="s">
        <v>19</v>
      </c>
      <c r="L4024" s="1"/>
      <c r="N4024" s="1"/>
      <c r="V4024" t="str">
        <f>"75014"</f>
        <v>75014</v>
      </c>
      <c r="W4024">
        <v>0</v>
      </c>
      <c r="X4024">
        <v>0</v>
      </c>
    </row>
    <row r="4025" spans="1:24" ht="15" customHeight="1" x14ac:dyDescent="0.25">
      <c r="A4025" t="str">
        <f>""</f>
        <v/>
      </c>
      <c r="B4025" s="1"/>
      <c r="H4025">
        <v>107.6</v>
      </c>
      <c r="J4025" t="s">
        <v>19</v>
      </c>
      <c r="L4025" s="1"/>
      <c r="N4025" s="1"/>
      <c r="V4025" t="str">
        <f>"75014"</f>
        <v>75014</v>
      </c>
      <c r="W4025">
        <v>0</v>
      </c>
      <c r="X4025">
        <v>0</v>
      </c>
    </row>
    <row r="4026" spans="1:24" ht="15" customHeight="1" x14ac:dyDescent="0.25">
      <c r="A4026" t="str">
        <f>""</f>
        <v/>
      </c>
      <c r="B4026" s="1"/>
      <c r="H4026">
        <v>138.12</v>
      </c>
      <c r="J4026" t="s">
        <v>19</v>
      </c>
      <c r="L4026" s="1"/>
      <c r="N4026" s="1"/>
      <c r="V4026" t="str">
        <f>"15000"</f>
        <v>15000</v>
      </c>
      <c r="W4026">
        <v>40.049999999999997</v>
      </c>
      <c r="X4026">
        <v>0</v>
      </c>
    </row>
    <row r="4027" spans="1:24" ht="15" customHeight="1" x14ac:dyDescent="0.25">
      <c r="A4027" t="str">
        <f>""</f>
        <v/>
      </c>
      <c r="B4027" s="1"/>
      <c r="H4027">
        <v>53.38</v>
      </c>
      <c r="J4027" t="s">
        <v>20</v>
      </c>
      <c r="L4027" s="1"/>
      <c r="N4027" s="1"/>
      <c r="V4027" t="str">
        <f>"75014"</f>
        <v>75014</v>
      </c>
      <c r="W4027">
        <v>0</v>
      </c>
      <c r="X4027">
        <v>0</v>
      </c>
    </row>
    <row r="4028" spans="1:24" ht="15" customHeight="1" x14ac:dyDescent="0.25">
      <c r="A4028" t="str">
        <f>""</f>
        <v/>
      </c>
      <c r="B4028" s="1"/>
      <c r="H4028">
        <v>126.4</v>
      </c>
      <c r="L4028" s="1"/>
      <c r="N4028" s="1"/>
      <c r="V4028" t="str">
        <f>"44240"</f>
        <v>44240</v>
      </c>
      <c r="W4028">
        <v>0</v>
      </c>
      <c r="X4028">
        <v>0</v>
      </c>
    </row>
    <row r="4029" spans="1:24" ht="15" customHeight="1" x14ac:dyDescent="0.25">
      <c r="A4029" t="str">
        <f>""</f>
        <v/>
      </c>
      <c r="B4029" s="1"/>
      <c r="H4029">
        <v>187.1</v>
      </c>
      <c r="J4029" t="s">
        <v>21</v>
      </c>
      <c r="L4029" s="1"/>
      <c r="V4029" t="str">
        <f>"77184"</f>
        <v>77184</v>
      </c>
      <c r="W4029">
        <v>0</v>
      </c>
      <c r="X4029">
        <v>0</v>
      </c>
    </row>
    <row r="4030" spans="1:24" ht="15" customHeight="1" x14ac:dyDescent="0.25">
      <c r="A4030" t="str">
        <f>""</f>
        <v/>
      </c>
      <c r="B4030" s="1"/>
      <c r="H4030">
        <v>105.2</v>
      </c>
      <c r="L4030" s="1"/>
      <c r="N4030" s="1"/>
      <c r="V4030" t="str">
        <f>"44240"</f>
        <v>44240</v>
      </c>
      <c r="W4030">
        <v>0</v>
      </c>
      <c r="X4030">
        <v>0</v>
      </c>
    </row>
    <row r="4031" spans="1:24" ht="15" customHeight="1" x14ac:dyDescent="0.25">
      <c r="A4031" t="str">
        <f>""</f>
        <v/>
      </c>
      <c r="B4031" s="1"/>
      <c r="H4031">
        <v>40</v>
      </c>
      <c r="J4031" t="s">
        <v>19</v>
      </c>
      <c r="L4031" s="1"/>
      <c r="N4031" s="1"/>
      <c r="V4031" t="str">
        <f>"67320"</f>
        <v>67320</v>
      </c>
      <c r="W4031">
        <v>11.6</v>
      </c>
      <c r="X4031">
        <v>0</v>
      </c>
    </row>
    <row r="4032" spans="1:24" ht="15" customHeight="1" x14ac:dyDescent="0.25">
      <c r="A4032" t="str">
        <f>""</f>
        <v/>
      </c>
      <c r="B4032" s="1"/>
      <c r="J4032" t="s">
        <v>20</v>
      </c>
      <c r="L4032" s="1"/>
      <c r="N4032" s="1"/>
      <c r="V4032" t="str">
        <f>"61300"</f>
        <v>61300</v>
      </c>
      <c r="W4032">
        <v>0</v>
      </c>
      <c r="X4032">
        <v>0</v>
      </c>
    </row>
    <row r="4033" spans="1:24" ht="15" customHeight="1" x14ac:dyDescent="0.25">
      <c r="A4033" t="str">
        <f>""</f>
        <v/>
      </c>
      <c r="B4033" s="1"/>
      <c r="H4033">
        <v>193</v>
      </c>
      <c r="J4033" t="s">
        <v>23</v>
      </c>
      <c r="L4033" s="1"/>
      <c r="N4033" s="1"/>
      <c r="V4033" t="str">
        <f>"94150"</f>
        <v>94150</v>
      </c>
      <c r="W4033">
        <v>0</v>
      </c>
      <c r="X4033">
        <v>0</v>
      </c>
    </row>
    <row r="4034" spans="1:24" ht="15" customHeight="1" x14ac:dyDescent="0.25">
      <c r="A4034" t="str">
        <f>""</f>
        <v/>
      </c>
      <c r="B4034" s="1"/>
      <c r="H4034">
        <v>151</v>
      </c>
      <c r="J4034" t="s">
        <v>23</v>
      </c>
      <c r="L4034" s="1"/>
      <c r="V4034" t="str">
        <f>"45400"</f>
        <v>45400</v>
      </c>
      <c r="W4034">
        <v>0</v>
      </c>
      <c r="X4034">
        <v>0</v>
      </c>
    </row>
    <row r="4035" spans="1:24" ht="15" customHeight="1" x14ac:dyDescent="0.25">
      <c r="A4035" t="str">
        <f>""</f>
        <v/>
      </c>
      <c r="B4035" s="1"/>
      <c r="H4035">
        <v>151</v>
      </c>
      <c r="J4035" t="s">
        <v>23</v>
      </c>
      <c r="L4035" s="1"/>
      <c r="N4035" s="1"/>
      <c r="V4035" t="str">
        <f>"14000"</f>
        <v>14000</v>
      </c>
      <c r="W4035">
        <v>0</v>
      </c>
      <c r="X4035">
        <v>25.67</v>
      </c>
    </row>
    <row r="4036" spans="1:24" ht="15" customHeight="1" x14ac:dyDescent="0.25">
      <c r="A4036" t="str">
        <f>""</f>
        <v/>
      </c>
      <c r="B4036" s="1"/>
      <c r="H4036">
        <v>158.4</v>
      </c>
      <c r="L4036" s="1"/>
      <c r="N4036" s="1"/>
      <c r="V4036" t="str">
        <f>"77184"</f>
        <v>77184</v>
      </c>
      <c r="W4036">
        <v>0</v>
      </c>
      <c r="X4036">
        <v>0</v>
      </c>
    </row>
    <row r="4037" spans="1:24" ht="15" customHeight="1" x14ac:dyDescent="0.25">
      <c r="A4037" t="str">
        <f>""</f>
        <v/>
      </c>
      <c r="B4037" s="1"/>
      <c r="H4037">
        <v>19.649999999999999</v>
      </c>
      <c r="J4037" t="s">
        <v>19</v>
      </c>
      <c r="L4037" s="1"/>
      <c r="N4037" s="1"/>
      <c r="V4037" t="str">
        <f>"75014"</f>
        <v>75014</v>
      </c>
      <c r="W4037">
        <v>0</v>
      </c>
      <c r="X4037">
        <v>0</v>
      </c>
    </row>
    <row r="4038" spans="1:24" ht="15" customHeight="1" x14ac:dyDescent="0.25">
      <c r="A4038" t="str">
        <f>""</f>
        <v/>
      </c>
      <c r="B4038" s="1"/>
      <c r="H4038">
        <v>19.649999999999999</v>
      </c>
      <c r="J4038" t="s">
        <v>19</v>
      </c>
      <c r="L4038" s="1"/>
      <c r="N4038" s="1"/>
      <c r="V4038" t="str">
        <f>"75014"</f>
        <v>75014</v>
      </c>
      <c r="W4038">
        <v>0</v>
      </c>
      <c r="X4038">
        <v>0</v>
      </c>
    </row>
    <row r="4039" spans="1:24" ht="15" customHeight="1" x14ac:dyDescent="0.25">
      <c r="A4039" t="str">
        <f>""</f>
        <v/>
      </c>
      <c r="B4039" s="1"/>
      <c r="H4039">
        <v>55.75</v>
      </c>
      <c r="J4039" t="s">
        <v>20</v>
      </c>
      <c r="L4039" s="1"/>
      <c r="N4039" s="1"/>
      <c r="V4039" t="str">
        <f>"22600"</f>
        <v>22600</v>
      </c>
      <c r="W4039">
        <v>21.74</v>
      </c>
      <c r="X4039">
        <v>0</v>
      </c>
    </row>
    <row r="4040" spans="1:24" ht="15" customHeight="1" x14ac:dyDescent="0.25">
      <c r="A4040" t="str">
        <f>""</f>
        <v/>
      </c>
      <c r="B4040" s="1"/>
      <c r="H4040">
        <v>40</v>
      </c>
      <c r="J4040" t="s">
        <v>20</v>
      </c>
      <c r="L4040" s="1"/>
      <c r="N4040" s="1"/>
      <c r="V4040" t="str">
        <f>"14790"</f>
        <v>14790</v>
      </c>
      <c r="W4040">
        <v>6.8</v>
      </c>
      <c r="X4040">
        <v>0</v>
      </c>
    </row>
    <row r="4041" spans="1:24" ht="15" customHeight="1" x14ac:dyDescent="0.25">
      <c r="A4041" t="str">
        <f>""</f>
        <v/>
      </c>
      <c r="B4041" s="1"/>
      <c r="H4041">
        <v>31.6</v>
      </c>
      <c r="L4041" s="1"/>
      <c r="N4041" s="1"/>
      <c r="V4041" t="str">
        <f>"77184"</f>
        <v>77184</v>
      </c>
      <c r="W4041">
        <v>0</v>
      </c>
      <c r="X4041">
        <v>0</v>
      </c>
    </row>
    <row r="4042" spans="1:24" ht="15" customHeight="1" x14ac:dyDescent="0.25">
      <c r="A4042" t="str">
        <f>""</f>
        <v/>
      </c>
      <c r="B4042" s="1"/>
      <c r="H4042">
        <v>155.13999999999999</v>
      </c>
      <c r="J4042" t="s">
        <v>20</v>
      </c>
      <c r="L4042" s="1"/>
      <c r="N4042" s="1"/>
      <c r="V4042" t="str">
        <f>"84278"</f>
        <v>84278</v>
      </c>
      <c r="W4042">
        <v>44.99</v>
      </c>
      <c r="X4042">
        <v>0</v>
      </c>
    </row>
    <row r="4043" spans="1:24" ht="15" customHeight="1" x14ac:dyDescent="0.25">
      <c r="A4043" t="str">
        <f>""</f>
        <v/>
      </c>
      <c r="B4043" s="1"/>
      <c r="H4043">
        <v>183.9</v>
      </c>
      <c r="J4043" t="s">
        <v>20</v>
      </c>
      <c r="L4043" s="1"/>
      <c r="N4043" s="1"/>
      <c r="V4043" t="str">
        <f>"69200"</f>
        <v>69200</v>
      </c>
      <c r="W4043">
        <v>49.65</v>
      </c>
      <c r="X4043">
        <v>0</v>
      </c>
    </row>
    <row r="4044" spans="1:24" ht="15" customHeight="1" x14ac:dyDescent="0.25">
      <c r="A4044" t="str">
        <f>""</f>
        <v/>
      </c>
      <c r="B4044" s="1"/>
      <c r="H4044">
        <v>180</v>
      </c>
      <c r="J4044" t="s">
        <v>23</v>
      </c>
      <c r="L4044" s="1"/>
      <c r="N4044" s="1"/>
      <c r="V4044" t="str">
        <f>"57410"</f>
        <v>57410</v>
      </c>
      <c r="W4044">
        <v>0</v>
      </c>
      <c r="X4044">
        <v>14.4</v>
      </c>
    </row>
    <row r="4045" spans="1:24" ht="15" customHeight="1" x14ac:dyDescent="0.25">
      <c r="A4045" t="str">
        <f>""</f>
        <v/>
      </c>
      <c r="B4045" s="1"/>
      <c r="H4045">
        <v>84.5</v>
      </c>
      <c r="L4045" s="1"/>
      <c r="N4045" s="1"/>
      <c r="V4045" t="str">
        <f>"77184"</f>
        <v>77184</v>
      </c>
      <c r="W4045">
        <v>0</v>
      </c>
      <c r="X4045">
        <v>0</v>
      </c>
    </row>
    <row r="4046" spans="1:24" ht="15" customHeight="1" x14ac:dyDescent="0.25">
      <c r="A4046" t="str">
        <f>""</f>
        <v/>
      </c>
      <c r="B4046" s="1"/>
      <c r="H4046">
        <v>16.8</v>
      </c>
      <c r="J4046" t="s">
        <v>20</v>
      </c>
      <c r="L4046" s="1"/>
      <c r="N4046" s="1"/>
      <c r="V4046" t="str">
        <f>"69125"</f>
        <v>69125</v>
      </c>
      <c r="W4046">
        <v>4.54</v>
      </c>
      <c r="X4046">
        <v>0</v>
      </c>
    </row>
    <row r="4047" spans="1:24" ht="15" customHeight="1" x14ac:dyDescent="0.25">
      <c r="A4047" t="str">
        <f>""</f>
        <v/>
      </c>
      <c r="B4047" s="1"/>
      <c r="H4047">
        <v>70</v>
      </c>
      <c r="J4047" t="s">
        <v>23</v>
      </c>
      <c r="L4047" s="1"/>
      <c r="N4047" s="1"/>
      <c r="V4047" t="str">
        <f>"37800"</f>
        <v>37800</v>
      </c>
      <c r="W4047">
        <v>0</v>
      </c>
      <c r="X4047">
        <v>0</v>
      </c>
    </row>
    <row r="4048" spans="1:24" x14ac:dyDescent="0.25">
      <c r="A4048" t="str">
        <f>""</f>
        <v/>
      </c>
      <c r="B4048" s="1"/>
      <c r="H4048">
        <v>55</v>
      </c>
      <c r="J4048" t="s">
        <v>16</v>
      </c>
      <c r="L4048" s="1"/>
      <c r="N4048" s="1"/>
      <c r="V4048" t="str">
        <f>"35510"</f>
        <v>35510</v>
      </c>
      <c r="W4048">
        <v>0</v>
      </c>
      <c r="X4048">
        <v>9.35</v>
      </c>
    </row>
    <row r="4049" spans="1:24" ht="15" customHeight="1" x14ac:dyDescent="0.25">
      <c r="A4049" t="str">
        <f>""</f>
        <v/>
      </c>
      <c r="B4049" s="1"/>
      <c r="H4049">
        <v>175.39</v>
      </c>
      <c r="J4049" t="s">
        <v>19</v>
      </c>
      <c r="L4049" s="1"/>
      <c r="N4049" s="1"/>
      <c r="V4049" t="str">
        <f>"59600"</f>
        <v>59600</v>
      </c>
      <c r="W4049">
        <v>33.32</v>
      </c>
      <c r="X4049">
        <v>0</v>
      </c>
    </row>
    <row r="4050" spans="1:24" ht="15" customHeight="1" x14ac:dyDescent="0.25">
      <c r="A4050" t="str">
        <f>""</f>
        <v/>
      </c>
      <c r="B4050" s="1"/>
      <c r="H4050">
        <v>151</v>
      </c>
      <c r="J4050" t="s">
        <v>23</v>
      </c>
      <c r="L4050" s="1"/>
      <c r="N4050" s="1"/>
      <c r="V4050" t="str">
        <f>"49000"</f>
        <v>49000</v>
      </c>
      <c r="W4050">
        <v>0</v>
      </c>
      <c r="X4050">
        <v>40.770000000000003</v>
      </c>
    </row>
    <row r="4051" spans="1:24" ht="15" customHeight="1" x14ac:dyDescent="0.25">
      <c r="A4051" t="str">
        <f>""</f>
        <v/>
      </c>
      <c r="B4051" s="1"/>
      <c r="H4051">
        <v>19.8</v>
      </c>
      <c r="J4051" t="s">
        <v>19</v>
      </c>
      <c r="L4051" s="1"/>
      <c r="N4051" s="1"/>
      <c r="V4051" t="str">
        <f>"35113"</f>
        <v>35113</v>
      </c>
      <c r="W4051">
        <v>5.35</v>
      </c>
      <c r="X4051">
        <v>0</v>
      </c>
    </row>
    <row r="4052" spans="1:24" ht="15" customHeight="1" x14ac:dyDescent="0.25">
      <c r="A4052" t="str">
        <f>""</f>
        <v/>
      </c>
      <c r="B4052" s="1"/>
      <c r="H4052">
        <v>140</v>
      </c>
      <c r="J4052" t="s">
        <v>22</v>
      </c>
      <c r="L4052" s="1"/>
      <c r="N4052" s="1"/>
      <c r="V4052" t="str">
        <f>"54000"</f>
        <v>54000</v>
      </c>
      <c r="W4052">
        <v>0</v>
      </c>
      <c r="X4052">
        <v>35</v>
      </c>
    </row>
    <row r="4053" spans="1:24" ht="15" customHeight="1" x14ac:dyDescent="0.25">
      <c r="A4053" t="str">
        <f>""</f>
        <v/>
      </c>
      <c r="B4053" s="1"/>
      <c r="H4053">
        <v>19.8</v>
      </c>
      <c r="J4053" t="s">
        <v>19</v>
      </c>
      <c r="L4053" s="1"/>
      <c r="N4053" s="1"/>
      <c r="V4053" t="str">
        <f>"44300"</f>
        <v>44300</v>
      </c>
      <c r="W4053">
        <v>5.35</v>
      </c>
      <c r="X4053">
        <v>0</v>
      </c>
    </row>
    <row r="4054" spans="1:24" ht="15" customHeight="1" x14ac:dyDescent="0.25">
      <c r="A4054" t="str">
        <f>""</f>
        <v/>
      </c>
      <c r="B4054" s="1"/>
      <c r="H4054">
        <v>19.89</v>
      </c>
      <c r="J4054" t="s">
        <v>19</v>
      </c>
      <c r="L4054" s="1"/>
      <c r="N4054" s="1"/>
      <c r="V4054" t="str">
        <f>"06560"</f>
        <v>06560</v>
      </c>
      <c r="W4054">
        <v>5.97</v>
      </c>
      <c r="X4054">
        <v>0</v>
      </c>
    </row>
    <row r="4055" spans="1:24" ht="15" customHeight="1" x14ac:dyDescent="0.25">
      <c r="A4055" t="str">
        <f>""</f>
        <v/>
      </c>
      <c r="B4055" s="1"/>
      <c r="H4055">
        <v>7.99</v>
      </c>
      <c r="J4055" t="s">
        <v>20</v>
      </c>
      <c r="L4055" s="1"/>
      <c r="N4055" s="1"/>
      <c r="V4055" t="str">
        <f>"54000"</f>
        <v>54000</v>
      </c>
      <c r="W4055">
        <v>2</v>
      </c>
      <c r="X4055">
        <v>0</v>
      </c>
    </row>
    <row r="4056" spans="1:24" ht="15" customHeight="1" x14ac:dyDescent="0.25">
      <c r="A4056" t="str">
        <f>""</f>
        <v/>
      </c>
      <c r="B4056" s="1"/>
      <c r="H4056">
        <v>171.25</v>
      </c>
      <c r="J4056" t="s">
        <v>22</v>
      </c>
      <c r="L4056" s="1"/>
      <c r="N4056" s="1"/>
      <c r="V4056" t="str">
        <f>"68520"</f>
        <v>68520</v>
      </c>
      <c r="W4056">
        <v>0</v>
      </c>
      <c r="X4056">
        <v>13.7</v>
      </c>
    </row>
    <row r="4057" spans="1:24" ht="15" customHeight="1" x14ac:dyDescent="0.25">
      <c r="A4057" t="str">
        <f>""</f>
        <v/>
      </c>
      <c r="B4057" s="1"/>
      <c r="H4057">
        <v>40</v>
      </c>
      <c r="J4057" t="s">
        <v>23</v>
      </c>
      <c r="L4057" s="1"/>
      <c r="N4057" s="1"/>
      <c r="V4057" t="str">
        <f>"63540"</f>
        <v>63540</v>
      </c>
      <c r="W4057">
        <v>0</v>
      </c>
      <c r="X4057">
        <v>4.8</v>
      </c>
    </row>
    <row r="4058" spans="1:24" ht="15" customHeight="1" x14ac:dyDescent="0.25">
      <c r="A4058" t="str">
        <f>""</f>
        <v/>
      </c>
      <c r="B4058" s="1"/>
      <c r="H4058">
        <v>126.65</v>
      </c>
      <c r="J4058" t="s">
        <v>20</v>
      </c>
      <c r="L4058" s="1"/>
      <c r="N4058" s="1"/>
      <c r="V4058" t="str">
        <f>"67230"</f>
        <v>67230</v>
      </c>
      <c r="W4058">
        <v>36.729999999999997</v>
      </c>
      <c r="X4058">
        <v>0</v>
      </c>
    </row>
    <row r="4059" spans="1:24" ht="15" customHeight="1" x14ac:dyDescent="0.25">
      <c r="A4059" t="str">
        <f>""</f>
        <v/>
      </c>
      <c r="B4059" s="1"/>
      <c r="H4059">
        <v>55.34</v>
      </c>
      <c r="J4059" t="s">
        <v>20</v>
      </c>
      <c r="L4059" s="1"/>
      <c r="N4059" s="1"/>
      <c r="V4059" t="str">
        <f>"14150"</f>
        <v>14150</v>
      </c>
      <c r="W4059">
        <v>9.41</v>
      </c>
      <c r="X4059">
        <v>0</v>
      </c>
    </row>
    <row r="4060" spans="1:24" ht="15" customHeight="1" x14ac:dyDescent="0.25">
      <c r="A4060" t="str">
        <f>""</f>
        <v/>
      </c>
      <c r="B4060" s="1"/>
      <c r="H4060">
        <v>31</v>
      </c>
      <c r="L4060" s="1"/>
      <c r="N4060" s="1"/>
      <c r="V4060" t="str">
        <f>"44240"</f>
        <v>44240</v>
      </c>
      <c r="W4060">
        <v>0</v>
      </c>
      <c r="X4060">
        <v>0</v>
      </c>
    </row>
    <row r="4061" spans="1:24" ht="15" customHeight="1" x14ac:dyDescent="0.25">
      <c r="A4061" t="str">
        <f>""</f>
        <v/>
      </c>
      <c r="B4061" s="1"/>
      <c r="H4061">
        <v>151</v>
      </c>
      <c r="J4061" t="s">
        <v>19</v>
      </c>
      <c r="L4061" s="1"/>
      <c r="N4061" s="1"/>
      <c r="V4061" t="str">
        <f>"59960"</f>
        <v>59960</v>
      </c>
      <c r="W4061">
        <v>28.69</v>
      </c>
      <c r="X4061">
        <v>0</v>
      </c>
    </row>
    <row r="4062" spans="1:24" ht="15" customHeight="1" x14ac:dyDescent="0.25">
      <c r="A4062" t="str">
        <f>""</f>
        <v/>
      </c>
      <c r="B4062" s="1"/>
      <c r="H4062">
        <v>35</v>
      </c>
      <c r="J4062" t="s">
        <v>22</v>
      </c>
      <c r="L4062" s="1"/>
      <c r="V4062" t="str">
        <f>"44000"</f>
        <v>44000</v>
      </c>
      <c r="W4062">
        <v>0</v>
      </c>
      <c r="X4062">
        <v>0</v>
      </c>
    </row>
    <row r="4063" spans="1:24" ht="15" customHeight="1" x14ac:dyDescent="0.25">
      <c r="A4063" t="str">
        <f>""</f>
        <v/>
      </c>
      <c r="B4063" s="1"/>
      <c r="H4063">
        <v>120.29</v>
      </c>
      <c r="J4063" t="s">
        <v>20</v>
      </c>
      <c r="L4063" s="1"/>
      <c r="N4063" s="1"/>
      <c r="V4063" t="str">
        <f>"69850"</f>
        <v>69850</v>
      </c>
      <c r="W4063">
        <v>32.479999999999997</v>
      </c>
      <c r="X4063">
        <v>0</v>
      </c>
    </row>
    <row r="4064" spans="1:24" ht="15" customHeight="1" x14ac:dyDescent="0.25">
      <c r="A4064" t="str">
        <f>""</f>
        <v/>
      </c>
      <c r="B4064" s="1"/>
      <c r="H4064">
        <v>189.59</v>
      </c>
      <c r="J4064" t="s">
        <v>20</v>
      </c>
      <c r="L4064" s="1"/>
      <c r="N4064" s="1"/>
      <c r="V4064" t="str">
        <f>"45120"</f>
        <v>45120</v>
      </c>
      <c r="W4064">
        <v>39.81</v>
      </c>
      <c r="X4064">
        <v>0</v>
      </c>
    </row>
    <row r="4065" spans="1:24" ht="15" customHeight="1" x14ac:dyDescent="0.25">
      <c r="A4065" t="str">
        <f>""</f>
        <v/>
      </c>
      <c r="B4065" s="1"/>
      <c r="H4065">
        <v>214.6</v>
      </c>
      <c r="J4065" t="s">
        <v>20</v>
      </c>
      <c r="L4065" s="1"/>
      <c r="N4065" s="1"/>
      <c r="V4065" t="str">
        <f>"75015"</f>
        <v>75015</v>
      </c>
      <c r="W4065">
        <v>0</v>
      </c>
      <c r="X4065">
        <v>0</v>
      </c>
    </row>
    <row r="4066" spans="1:24" ht="15" customHeight="1" x14ac:dyDescent="0.25">
      <c r="A4066" t="str">
        <f>""</f>
        <v/>
      </c>
      <c r="B4066" s="1"/>
      <c r="H4066">
        <v>148.91999999999999</v>
      </c>
      <c r="J4066" t="s">
        <v>20</v>
      </c>
      <c r="L4066" s="1"/>
      <c r="N4066" s="1"/>
      <c r="V4066" t="str">
        <f>"14000"</f>
        <v>14000</v>
      </c>
      <c r="W4066">
        <v>25.32</v>
      </c>
      <c r="X4066">
        <v>0</v>
      </c>
    </row>
    <row r="4067" spans="1:24" ht="15" customHeight="1" x14ac:dyDescent="0.25">
      <c r="A4067" t="str">
        <f>""</f>
        <v/>
      </c>
      <c r="B4067" s="1"/>
      <c r="H4067">
        <v>171</v>
      </c>
      <c r="L4067" s="1"/>
      <c r="N4067" s="1"/>
      <c r="V4067" t="str">
        <f>"77184"</f>
        <v>77184</v>
      </c>
      <c r="W4067">
        <v>0</v>
      </c>
      <c r="X4067">
        <v>0</v>
      </c>
    </row>
    <row r="4068" spans="1:24" ht="15" customHeight="1" x14ac:dyDescent="0.25">
      <c r="A4068" t="str">
        <f>""</f>
        <v/>
      </c>
      <c r="B4068" s="1"/>
      <c r="H4068">
        <v>171</v>
      </c>
      <c r="L4068" s="1"/>
      <c r="N4068" s="1"/>
      <c r="V4068" t="str">
        <f>"77184"</f>
        <v>77184</v>
      </c>
      <c r="W4068">
        <v>0</v>
      </c>
      <c r="X4068">
        <v>0</v>
      </c>
    </row>
    <row r="4069" spans="1:24" ht="15" customHeight="1" x14ac:dyDescent="0.25">
      <c r="A4069" t="str">
        <f>""</f>
        <v/>
      </c>
      <c r="B4069" s="1"/>
      <c r="H4069">
        <v>171</v>
      </c>
      <c r="L4069" s="1"/>
      <c r="N4069" s="1"/>
      <c r="V4069" t="str">
        <f>"77184"</f>
        <v>77184</v>
      </c>
      <c r="W4069">
        <v>0</v>
      </c>
      <c r="X4069">
        <v>0</v>
      </c>
    </row>
    <row r="4070" spans="1:24" x14ac:dyDescent="0.25">
      <c r="A4070" t="str">
        <f>""</f>
        <v/>
      </c>
      <c r="B4070" s="1"/>
      <c r="H4070">
        <v>173.44</v>
      </c>
      <c r="J4070" t="s">
        <v>17</v>
      </c>
      <c r="L4070" s="1"/>
      <c r="N4070" s="1"/>
      <c r="V4070" t="str">
        <f>"76700"</f>
        <v>76700</v>
      </c>
      <c r="W4070">
        <v>0</v>
      </c>
      <c r="X4070">
        <v>0</v>
      </c>
    </row>
    <row r="4071" spans="1:24" ht="15" customHeight="1" x14ac:dyDescent="0.25">
      <c r="A4071" t="str">
        <f>""</f>
        <v/>
      </c>
      <c r="B4071" s="1"/>
      <c r="H4071">
        <v>19.8</v>
      </c>
      <c r="J4071" t="s">
        <v>19</v>
      </c>
      <c r="L4071" s="1"/>
      <c r="N4071" s="1"/>
      <c r="V4071" t="str">
        <f>"62380"</f>
        <v>62380</v>
      </c>
      <c r="W4071">
        <v>3.76</v>
      </c>
      <c r="X4071">
        <v>0</v>
      </c>
    </row>
    <row r="4072" spans="1:24" ht="15" customHeight="1" x14ac:dyDescent="0.25">
      <c r="A4072" t="str">
        <f>""</f>
        <v/>
      </c>
      <c r="B4072" s="1"/>
      <c r="H4072">
        <v>126.5</v>
      </c>
      <c r="J4072" t="s">
        <v>23</v>
      </c>
      <c r="L4072" s="1"/>
      <c r="N4072" s="1"/>
      <c r="V4072" t="str">
        <f>"79400"</f>
        <v>79400</v>
      </c>
      <c r="W4072">
        <v>0</v>
      </c>
      <c r="X4072">
        <v>0</v>
      </c>
    </row>
    <row r="4073" spans="1:24" ht="15" customHeight="1" x14ac:dyDescent="0.25">
      <c r="A4073" t="str">
        <f>""</f>
        <v/>
      </c>
      <c r="B4073" s="1"/>
      <c r="H4073">
        <v>37.85</v>
      </c>
      <c r="J4073" t="s">
        <v>19</v>
      </c>
      <c r="L4073" s="1"/>
      <c r="N4073" s="1"/>
      <c r="V4073" t="str">
        <f>"01500"</f>
        <v>01500</v>
      </c>
      <c r="W4073">
        <v>10.220000000000001</v>
      </c>
      <c r="X4073">
        <v>0</v>
      </c>
    </row>
    <row r="4074" spans="1:24" ht="15" customHeight="1" x14ac:dyDescent="0.25">
      <c r="A4074" t="str">
        <f>""</f>
        <v/>
      </c>
      <c r="B4074" s="1"/>
      <c r="H4074">
        <v>40</v>
      </c>
      <c r="J4074" t="s">
        <v>19</v>
      </c>
      <c r="L4074" s="1"/>
      <c r="N4074" s="1"/>
      <c r="V4074" t="str">
        <f>"44000"</f>
        <v>44000</v>
      </c>
      <c r="W4074">
        <v>10.8</v>
      </c>
      <c r="X4074">
        <v>0</v>
      </c>
    </row>
    <row r="4075" spans="1:24" ht="15" customHeight="1" x14ac:dyDescent="0.25">
      <c r="A4075" t="str">
        <f>""</f>
        <v/>
      </c>
      <c r="B4075" s="1"/>
      <c r="H4075">
        <v>0.87</v>
      </c>
      <c r="J4075" t="s">
        <v>20</v>
      </c>
      <c r="L4075" s="1"/>
      <c r="N4075" s="1"/>
      <c r="V4075" t="str">
        <f>"59360"</f>
        <v>59360</v>
      </c>
      <c r="W4075">
        <v>0.17</v>
      </c>
      <c r="X4075">
        <v>0</v>
      </c>
    </row>
    <row r="4076" spans="1:24" ht="15" customHeight="1" x14ac:dyDescent="0.25">
      <c r="A4076" t="str">
        <f>""</f>
        <v/>
      </c>
      <c r="B4076" s="1"/>
      <c r="H4076">
        <v>55.36</v>
      </c>
      <c r="J4076" t="s">
        <v>19</v>
      </c>
      <c r="L4076" s="1"/>
      <c r="N4076" s="1"/>
      <c r="V4076" t="str">
        <f>"50200"</f>
        <v>50200</v>
      </c>
      <c r="W4076">
        <v>9.41</v>
      </c>
      <c r="X4076">
        <v>0</v>
      </c>
    </row>
    <row r="4077" spans="1:24" ht="15" customHeight="1" x14ac:dyDescent="0.25">
      <c r="A4077" t="str">
        <f>""</f>
        <v/>
      </c>
      <c r="B4077" s="1"/>
      <c r="H4077">
        <v>136.80000000000001</v>
      </c>
      <c r="J4077" t="s">
        <v>20</v>
      </c>
      <c r="L4077" s="1"/>
      <c r="N4077" s="1"/>
      <c r="V4077" t="str">
        <f>"62220"</f>
        <v>62220</v>
      </c>
      <c r="W4077">
        <v>25.99</v>
      </c>
      <c r="X4077">
        <v>0</v>
      </c>
    </row>
    <row r="4078" spans="1:24" ht="15" customHeight="1" x14ac:dyDescent="0.25">
      <c r="A4078" t="str">
        <f>""</f>
        <v/>
      </c>
      <c r="B4078" s="1"/>
      <c r="H4078">
        <v>33.35</v>
      </c>
      <c r="J4078" t="s">
        <v>19</v>
      </c>
      <c r="L4078" s="1"/>
      <c r="N4078" s="1"/>
      <c r="V4078" t="str">
        <f>"69005"</f>
        <v>69005</v>
      </c>
      <c r="W4078">
        <v>9</v>
      </c>
      <c r="X4078">
        <v>0</v>
      </c>
    </row>
    <row r="4079" spans="1:24" ht="15" customHeight="1" x14ac:dyDescent="0.25">
      <c r="A4079" t="str">
        <f>""</f>
        <v/>
      </c>
      <c r="B4079" s="1"/>
      <c r="H4079">
        <v>1198.78</v>
      </c>
      <c r="J4079" t="s">
        <v>23</v>
      </c>
      <c r="L4079" s="1"/>
      <c r="N4079" s="1"/>
      <c r="V4079" t="str">
        <f>"75019"</f>
        <v>75019</v>
      </c>
      <c r="W4079">
        <v>0</v>
      </c>
      <c r="X4079">
        <v>0</v>
      </c>
    </row>
    <row r="4080" spans="1:24" ht="15" customHeight="1" x14ac:dyDescent="0.25">
      <c r="A4080" t="str">
        <f>""</f>
        <v/>
      </c>
      <c r="B4080" s="1"/>
      <c r="H4080">
        <v>478.1</v>
      </c>
      <c r="J4080" t="s">
        <v>19</v>
      </c>
      <c r="L4080" s="1"/>
      <c r="N4080" s="1"/>
      <c r="V4080" t="str">
        <f>"93100"</f>
        <v>93100</v>
      </c>
      <c r="W4080">
        <v>0</v>
      </c>
      <c r="X4080">
        <v>0</v>
      </c>
    </row>
    <row r="4081" spans="1:24" ht="15" customHeight="1" x14ac:dyDescent="0.25">
      <c r="A4081" t="str">
        <f>""</f>
        <v/>
      </c>
      <c r="B4081" s="1"/>
      <c r="H4081">
        <v>105</v>
      </c>
      <c r="L4081" s="1"/>
      <c r="N4081" s="1"/>
      <c r="V4081" t="str">
        <f>"77184"</f>
        <v>77184</v>
      </c>
      <c r="W4081">
        <v>0</v>
      </c>
      <c r="X4081">
        <v>0</v>
      </c>
    </row>
    <row r="4082" spans="1:24" ht="15" customHeight="1" x14ac:dyDescent="0.25">
      <c r="A4082" t="str">
        <f>""</f>
        <v/>
      </c>
      <c r="B4082" s="1"/>
      <c r="H4082">
        <v>135</v>
      </c>
      <c r="L4082" s="1"/>
      <c r="N4082" s="1"/>
      <c r="V4082" t="str">
        <f>"77184"</f>
        <v>77184</v>
      </c>
      <c r="W4082">
        <v>0</v>
      </c>
      <c r="X4082">
        <v>0</v>
      </c>
    </row>
    <row r="4083" spans="1:24" ht="15" customHeight="1" x14ac:dyDescent="0.25">
      <c r="A4083" t="str">
        <f>""</f>
        <v/>
      </c>
      <c r="B4083" s="1"/>
      <c r="H4083">
        <v>114</v>
      </c>
      <c r="L4083" s="1"/>
      <c r="N4083" s="1"/>
      <c r="V4083" t="str">
        <f>"77184"</f>
        <v>77184</v>
      </c>
      <c r="W4083">
        <v>0</v>
      </c>
      <c r="X4083">
        <v>0</v>
      </c>
    </row>
    <row r="4084" spans="1:24" ht="15" customHeight="1" x14ac:dyDescent="0.25">
      <c r="A4084" t="str">
        <f>""</f>
        <v/>
      </c>
      <c r="B4084" s="1"/>
      <c r="H4084">
        <v>18.350000000000001</v>
      </c>
      <c r="J4084" t="s">
        <v>20</v>
      </c>
      <c r="L4084" s="1"/>
      <c r="N4084" s="1"/>
      <c r="V4084" t="str">
        <f>"84140"</f>
        <v>84140</v>
      </c>
      <c r="W4084">
        <v>5.32</v>
      </c>
      <c r="X4084">
        <v>0</v>
      </c>
    </row>
    <row r="4085" spans="1:24" ht="15" customHeight="1" x14ac:dyDescent="0.25">
      <c r="A4085" t="str">
        <f>""</f>
        <v/>
      </c>
      <c r="B4085" s="1"/>
      <c r="H4085">
        <v>55.14</v>
      </c>
      <c r="J4085" t="s">
        <v>19</v>
      </c>
      <c r="L4085" s="1"/>
      <c r="N4085" s="1"/>
      <c r="V4085" t="str">
        <f>"06000"</f>
        <v>06000</v>
      </c>
      <c r="W4085">
        <v>16.54</v>
      </c>
      <c r="X4085">
        <v>0</v>
      </c>
    </row>
    <row r="4086" spans="1:24" ht="15" customHeight="1" x14ac:dyDescent="0.25">
      <c r="A4086" t="str">
        <f>""</f>
        <v/>
      </c>
      <c r="B4086" s="1"/>
      <c r="H4086">
        <v>39.35</v>
      </c>
      <c r="J4086" t="s">
        <v>20</v>
      </c>
      <c r="L4086" s="1"/>
      <c r="N4086" s="1"/>
      <c r="V4086" t="str">
        <f>"38390"</f>
        <v>38390</v>
      </c>
      <c r="W4086">
        <v>10.62</v>
      </c>
      <c r="X4086">
        <v>0</v>
      </c>
    </row>
    <row r="4087" spans="1:24" ht="15" customHeight="1" x14ac:dyDescent="0.25">
      <c r="A4087" t="str">
        <f>""</f>
        <v/>
      </c>
      <c r="B4087" s="1"/>
      <c r="H4087">
        <v>40</v>
      </c>
      <c r="J4087" t="s">
        <v>20</v>
      </c>
      <c r="L4087" s="1"/>
      <c r="N4087" s="1"/>
      <c r="V4087" t="str">
        <f>"79200"</f>
        <v>79200</v>
      </c>
      <c r="W4087">
        <v>8.4</v>
      </c>
      <c r="X4087">
        <v>0</v>
      </c>
    </row>
    <row r="4088" spans="1:24" ht="15" customHeight="1" x14ac:dyDescent="0.25">
      <c r="A4088" t="str">
        <f>""</f>
        <v/>
      </c>
      <c r="B4088" s="1"/>
      <c r="H4088">
        <v>197.98</v>
      </c>
      <c r="J4088" t="s">
        <v>23</v>
      </c>
      <c r="L4088" s="1"/>
      <c r="N4088" s="1"/>
      <c r="V4088" t="str">
        <f>"62000"</f>
        <v>62000</v>
      </c>
      <c r="W4088">
        <v>0</v>
      </c>
      <c r="X4088">
        <v>0</v>
      </c>
    </row>
    <row r="4089" spans="1:24" ht="15" customHeight="1" x14ac:dyDescent="0.25">
      <c r="A4089" t="str">
        <f>""</f>
        <v/>
      </c>
      <c r="B4089" s="1"/>
      <c r="H4089">
        <v>155.37</v>
      </c>
      <c r="J4089" t="s">
        <v>19</v>
      </c>
      <c r="L4089" s="1"/>
      <c r="N4089" s="1"/>
      <c r="V4089" t="str">
        <f>"27091"</f>
        <v>27091</v>
      </c>
      <c r="W4089">
        <v>0</v>
      </c>
      <c r="X4089">
        <v>0</v>
      </c>
    </row>
    <row r="4090" spans="1:24" ht="15" customHeight="1" x14ac:dyDescent="0.25">
      <c r="A4090" t="str">
        <f>""</f>
        <v/>
      </c>
      <c r="B4090" s="1"/>
      <c r="J4090" t="s">
        <v>20</v>
      </c>
      <c r="L4090" s="1"/>
      <c r="N4090" s="1"/>
      <c r="V4090" t="str">
        <f>"27091"</f>
        <v>27091</v>
      </c>
      <c r="W4090">
        <v>0</v>
      </c>
      <c r="X4090">
        <v>0</v>
      </c>
    </row>
    <row r="4091" spans="1:24" ht="15" customHeight="1" x14ac:dyDescent="0.25">
      <c r="A4091" t="str">
        <f>""</f>
        <v/>
      </c>
      <c r="B4091" s="1"/>
      <c r="H4091">
        <v>7.99</v>
      </c>
      <c r="J4091" t="s">
        <v>19</v>
      </c>
      <c r="L4091" s="1"/>
      <c r="N4091" s="1"/>
      <c r="V4091" t="str">
        <f>"63100"</f>
        <v>63100</v>
      </c>
      <c r="W4091">
        <v>2.3199999999999998</v>
      </c>
      <c r="X4091">
        <v>0</v>
      </c>
    </row>
    <row r="4092" spans="1:24" ht="15" customHeight="1" x14ac:dyDescent="0.25">
      <c r="A4092" t="str">
        <f>""</f>
        <v/>
      </c>
      <c r="B4092" s="1"/>
      <c r="H4092">
        <v>30</v>
      </c>
      <c r="J4092" t="s">
        <v>19</v>
      </c>
      <c r="L4092" s="1"/>
      <c r="N4092" s="1"/>
      <c r="V4092" t="str">
        <f>"92200"</f>
        <v>92200</v>
      </c>
      <c r="W4092">
        <v>0</v>
      </c>
      <c r="X4092">
        <v>0</v>
      </c>
    </row>
    <row r="4093" spans="1:24" ht="15" customHeight="1" x14ac:dyDescent="0.25">
      <c r="A4093" t="str">
        <f>""</f>
        <v/>
      </c>
      <c r="B4093" s="1"/>
      <c r="H4093">
        <v>30</v>
      </c>
      <c r="J4093" t="s">
        <v>19</v>
      </c>
      <c r="L4093" s="1"/>
      <c r="N4093" s="1"/>
      <c r="V4093" t="str">
        <f>"92200"</f>
        <v>92200</v>
      </c>
      <c r="W4093">
        <v>0</v>
      </c>
      <c r="X4093">
        <v>0</v>
      </c>
    </row>
    <row r="4094" spans="1:24" ht="15" customHeight="1" x14ac:dyDescent="0.25">
      <c r="A4094" t="str">
        <f>""</f>
        <v/>
      </c>
      <c r="B4094" s="1"/>
      <c r="H4094">
        <v>19.8</v>
      </c>
      <c r="J4094" t="s">
        <v>20</v>
      </c>
      <c r="L4094" s="1"/>
      <c r="N4094" s="1"/>
      <c r="V4094" t="str">
        <f>"69780"</f>
        <v>69780</v>
      </c>
      <c r="W4094">
        <v>5.35</v>
      </c>
      <c r="X4094">
        <v>0</v>
      </c>
    </row>
    <row r="4095" spans="1:24" ht="15" customHeight="1" x14ac:dyDescent="0.25">
      <c r="A4095" t="str">
        <f>""</f>
        <v/>
      </c>
      <c r="B4095" s="1"/>
      <c r="H4095">
        <v>291.61</v>
      </c>
      <c r="J4095" t="s">
        <v>19</v>
      </c>
      <c r="L4095" s="1"/>
      <c r="N4095" s="1"/>
      <c r="V4095" t="str">
        <f>"91000"</f>
        <v>91000</v>
      </c>
      <c r="W4095">
        <v>0</v>
      </c>
      <c r="X4095">
        <v>0</v>
      </c>
    </row>
    <row r="4096" spans="1:24" ht="15" customHeight="1" x14ac:dyDescent="0.25">
      <c r="A4096" t="str">
        <f>""</f>
        <v/>
      </c>
      <c r="B4096" s="1"/>
      <c r="H4096">
        <v>38.76</v>
      </c>
      <c r="J4096" t="s">
        <v>20</v>
      </c>
      <c r="L4096" s="1"/>
      <c r="N4096" s="1"/>
      <c r="V4096" t="str">
        <f>"60200"</f>
        <v>60200</v>
      </c>
      <c r="W4096">
        <v>7.36</v>
      </c>
      <c r="X4096">
        <v>0</v>
      </c>
    </row>
    <row r="4097" spans="1:24" ht="15" customHeight="1" x14ac:dyDescent="0.25">
      <c r="A4097" t="str">
        <f>""</f>
        <v/>
      </c>
      <c r="B4097" s="1"/>
      <c r="H4097">
        <v>120.57</v>
      </c>
      <c r="J4097" t="s">
        <v>23</v>
      </c>
      <c r="L4097" s="1"/>
      <c r="N4097" s="1"/>
      <c r="V4097" t="str">
        <f>"49240"</f>
        <v>49240</v>
      </c>
      <c r="W4097">
        <v>0</v>
      </c>
      <c r="X4097">
        <v>0</v>
      </c>
    </row>
    <row r="4098" spans="1:24" ht="15" customHeight="1" x14ac:dyDescent="0.25">
      <c r="A4098" t="str">
        <f>""</f>
        <v/>
      </c>
      <c r="B4098" s="1"/>
      <c r="J4098" t="s">
        <v>8</v>
      </c>
      <c r="V4098" t="str">
        <f>""</f>
        <v/>
      </c>
      <c r="W4098">
        <v>0</v>
      </c>
      <c r="X4098">
        <v>0</v>
      </c>
    </row>
    <row r="4099" spans="1:24" ht="15" customHeight="1" x14ac:dyDescent="0.25">
      <c r="A4099" t="str">
        <f>""</f>
        <v/>
      </c>
      <c r="B4099" s="1"/>
      <c r="H4099">
        <v>258.02999999999997</v>
      </c>
      <c r="J4099" t="s">
        <v>23</v>
      </c>
      <c r="L4099" s="1"/>
      <c r="N4099" s="1"/>
      <c r="V4099" t="str">
        <f>"13710"</f>
        <v>13710</v>
      </c>
      <c r="W4099">
        <v>0</v>
      </c>
      <c r="X4099">
        <v>49.03</v>
      </c>
    </row>
    <row r="4100" spans="1:24" ht="15" customHeight="1" x14ac:dyDescent="0.25">
      <c r="A4100" t="str">
        <f>""</f>
        <v/>
      </c>
      <c r="B4100" s="1"/>
      <c r="H4100">
        <v>151</v>
      </c>
      <c r="J4100" t="s">
        <v>23</v>
      </c>
      <c r="L4100" s="1"/>
      <c r="N4100" s="1"/>
      <c r="V4100" t="str">
        <f>"38290"</f>
        <v>38290</v>
      </c>
      <c r="W4100">
        <v>0</v>
      </c>
      <c r="X4100">
        <v>40.770000000000003</v>
      </c>
    </row>
    <row r="4101" spans="1:24" ht="15" customHeight="1" x14ac:dyDescent="0.25">
      <c r="A4101" t="str">
        <f>""</f>
        <v/>
      </c>
      <c r="B4101" s="1"/>
      <c r="H4101">
        <v>140</v>
      </c>
      <c r="J4101" t="s">
        <v>23</v>
      </c>
      <c r="L4101" s="1"/>
      <c r="V4101" t="str">
        <f>"05600"</f>
        <v>05600</v>
      </c>
      <c r="W4101">
        <v>0</v>
      </c>
      <c r="X4101">
        <v>0</v>
      </c>
    </row>
    <row r="4102" spans="1:24" ht="15" customHeight="1" x14ac:dyDescent="0.25">
      <c r="A4102" t="str">
        <f>""</f>
        <v/>
      </c>
      <c r="B4102" s="1"/>
      <c r="H4102">
        <v>244.77</v>
      </c>
      <c r="J4102" t="s">
        <v>23</v>
      </c>
      <c r="L4102" s="1"/>
      <c r="N4102" s="1"/>
      <c r="V4102" t="str">
        <f>"25530"</f>
        <v>25530</v>
      </c>
      <c r="W4102">
        <v>0</v>
      </c>
      <c r="X4102">
        <v>29.37</v>
      </c>
    </row>
    <row r="4103" spans="1:24" ht="15" customHeight="1" x14ac:dyDescent="0.25">
      <c r="A4103" t="str">
        <f>""</f>
        <v/>
      </c>
      <c r="B4103" s="1"/>
      <c r="H4103">
        <v>136.65</v>
      </c>
      <c r="J4103" t="s">
        <v>20</v>
      </c>
      <c r="L4103" s="1"/>
      <c r="N4103" s="1"/>
      <c r="V4103" t="str">
        <f>"26000"</f>
        <v>26000</v>
      </c>
      <c r="W4103">
        <v>36.9</v>
      </c>
      <c r="X4103">
        <v>0</v>
      </c>
    </row>
    <row r="4104" spans="1:24" ht="15" customHeight="1" x14ac:dyDescent="0.25">
      <c r="A4104" t="str">
        <f>""</f>
        <v/>
      </c>
      <c r="B4104" s="1"/>
      <c r="H4104">
        <v>183.98</v>
      </c>
      <c r="J4104" t="s">
        <v>23</v>
      </c>
      <c r="L4104" s="1"/>
      <c r="N4104" s="1"/>
      <c r="V4104" t="str">
        <f>"29200"</f>
        <v>29200</v>
      </c>
      <c r="W4104">
        <v>0</v>
      </c>
      <c r="X4104">
        <v>49.67</v>
      </c>
    </row>
    <row r="4105" spans="1:24" ht="15" customHeight="1" x14ac:dyDescent="0.25">
      <c r="A4105" t="str">
        <f>""</f>
        <v/>
      </c>
      <c r="B4105" s="1"/>
      <c r="H4105">
        <v>70</v>
      </c>
      <c r="J4105" t="s">
        <v>23</v>
      </c>
      <c r="L4105" s="1"/>
      <c r="V4105" t="str">
        <f>"83190"</f>
        <v>83190</v>
      </c>
      <c r="W4105">
        <v>0</v>
      </c>
      <c r="X4105">
        <v>0</v>
      </c>
    </row>
    <row r="4106" spans="1:24" ht="15" customHeight="1" x14ac:dyDescent="0.25">
      <c r="A4106" t="str">
        <f>""</f>
        <v/>
      </c>
      <c r="B4106" s="1"/>
      <c r="H4106">
        <v>197.02</v>
      </c>
      <c r="J4106" t="s">
        <v>23</v>
      </c>
      <c r="L4106" s="1"/>
      <c r="N4106" s="1"/>
      <c r="V4106" t="str">
        <f>"76000"</f>
        <v>76000</v>
      </c>
      <c r="W4106">
        <v>0</v>
      </c>
      <c r="X4106">
        <v>33.49</v>
      </c>
    </row>
    <row r="4107" spans="1:24" ht="15" customHeight="1" x14ac:dyDescent="0.25">
      <c r="A4107" t="str">
        <f>""</f>
        <v/>
      </c>
      <c r="B4107" s="1"/>
      <c r="H4107">
        <v>40</v>
      </c>
      <c r="J4107" t="s">
        <v>22</v>
      </c>
      <c r="L4107" s="1"/>
      <c r="N4107" s="1"/>
      <c r="V4107" t="str">
        <f>"83000"</f>
        <v>83000</v>
      </c>
      <c r="W4107">
        <v>0</v>
      </c>
      <c r="X4107">
        <v>8.4</v>
      </c>
    </row>
    <row r="4108" spans="1:24" ht="15" customHeight="1" x14ac:dyDescent="0.25">
      <c r="A4108" t="str">
        <f>""</f>
        <v/>
      </c>
      <c r="B4108" s="1"/>
      <c r="H4108">
        <v>205</v>
      </c>
      <c r="J4108" t="s">
        <v>22</v>
      </c>
      <c r="L4108" s="1"/>
      <c r="N4108" s="1"/>
      <c r="V4108" t="str">
        <f>"38300"</f>
        <v>38300</v>
      </c>
      <c r="W4108">
        <v>0</v>
      </c>
      <c r="X4108">
        <v>0</v>
      </c>
    </row>
    <row r="4109" spans="1:24" ht="15" customHeight="1" x14ac:dyDescent="0.25">
      <c r="A4109" t="str">
        <f>""</f>
        <v/>
      </c>
      <c r="B4109" s="1"/>
      <c r="H4109">
        <v>173.01</v>
      </c>
      <c r="J4109" t="s">
        <v>20</v>
      </c>
      <c r="L4109" s="1"/>
      <c r="N4109" s="1"/>
      <c r="V4109" t="str">
        <f>"30200"</f>
        <v>30200</v>
      </c>
      <c r="W4109">
        <v>67.47</v>
      </c>
      <c r="X4109">
        <v>0</v>
      </c>
    </row>
    <row r="4110" spans="1:24" ht="15" customHeight="1" x14ac:dyDescent="0.25">
      <c r="A4110" t="str">
        <f>""</f>
        <v/>
      </c>
      <c r="B4110" s="1"/>
      <c r="H4110">
        <v>69.02</v>
      </c>
      <c r="J4110" t="s">
        <v>22</v>
      </c>
      <c r="L4110" s="1"/>
      <c r="N4110" s="1"/>
      <c r="V4110" t="str">
        <f>"54200"</f>
        <v>54200</v>
      </c>
      <c r="W4110">
        <v>0</v>
      </c>
      <c r="X4110">
        <v>17.25</v>
      </c>
    </row>
    <row r="4111" spans="1:24" ht="15" customHeight="1" x14ac:dyDescent="0.25">
      <c r="A4111" t="str">
        <f>""</f>
        <v/>
      </c>
      <c r="B4111" s="1"/>
      <c r="H4111">
        <v>50.84</v>
      </c>
      <c r="J4111" t="s">
        <v>19</v>
      </c>
      <c r="L4111" s="1"/>
      <c r="N4111" s="1"/>
      <c r="V4111" t="str">
        <f>"92000"</f>
        <v>92000</v>
      </c>
      <c r="W4111">
        <v>0</v>
      </c>
      <c r="X4111">
        <v>0</v>
      </c>
    </row>
    <row r="4112" spans="1:24" ht="15" customHeight="1" x14ac:dyDescent="0.25">
      <c r="A4112" t="str">
        <f>""</f>
        <v/>
      </c>
      <c r="B4112" s="1"/>
      <c r="H4112">
        <v>17.399999999999999</v>
      </c>
      <c r="J4112" t="s">
        <v>22</v>
      </c>
      <c r="L4112" s="1"/>
      <c r="N4112" s="1"/>
      <c r="V4112" t="str">
        <f>"69200"</f>
        <v>69200</v>
      </c>
      <c r="W4112">
        <v>0</v>
      </c>
      <c r="X4112">
        <v>0</v>
      </c>
    </row>
    <row r="4113" spans="1:24" x14ac:dyDescent="0.25">
      <c r="A4113" t="str">
        <f>""</f>
        <v/>
      </c>
      <c r="B4113" s="1"/>
      <c r="H4113">
        <v>52.5</v>
      </c>
      <c r="J4113" t="s">
        <v>15</v>
      </c>
      <c r="L4113" s="1"/>
      <c r="N4113" s="1"/>
      <c r="V4113" t="str">
        <f>"27000"</f>
        <v>27000</v>
      </c>
      <c r="W4113">
        <v>0</v>
      </c>
      <c r="X4113">
        <v>0</v>
      </c>
    </row>
    <row r="4114" spans="1:24" x14ac:dyDescent="0.25">
      <c r="A4114" t="str">
        <f>""</f>
        <v/>
      </c>
      <c r="B4114" s="1"/>
      <c r="H4114">
        <v>52.5</v>
      </c>
      <c r="J4114" t="s">
        <v>15</v>
      </c>
      <c r="L4114" s="1"/>
      <c r="N4114" s="1"/>
      <c r="V4114" t="str">
        <f>"69003"</f>
        <v>69003</v>
      </c>
      <c r="W4114">
        <v>0</v>
      </c>
      <c r="X4114">
        <v>0</v>
      </c>
    </row>
    <row r="4115" spans="1:24" x14ac:dyDescent="0.25">
      <c r="A4115" t="str">
        <f>""</f>
        <v/>
      </c>
      <c r="B4115" s="1"/>
      <c r="H4115">
        <v>52.5</v>
      </c>
      <c r="J4115" t="s">
        <v>15</v>
      </c>
      <c r="L4115" s="1"/>
      <c r="N4115" s="1"/>
      <c r="V4115" t="str">
        <f>"68200"</f>
        <v>68200</v>
      </c>
      <c r="W4115">
        <v>0</v>
      </c>
      <c r="X4115">
        <v>0</v>
      </c>
    </row>
    <row r="4116" spans="1:24" ht="15" customHeight="1" x14ac:dyDescent="0.25">
      <c r="A4116" t="str">
        <f>""</f>
        <v/>
      </c>
      <c r="B4116" s="1"/>
      <c r="H4116">
        <v>247.98</v>
      </c>
      <c r="J4116" t="s">
        <v>20</v>
      </c>
      <c r="L4116" s="1"/>
      <c r="N4116" s="1"/>
      <c r="V4116" t="str">
        <f>"51300"</f>
        <v>51300</v>
      </c>
      <c r="W4116">
        <v>62</v>
      </c>
      <c r="X4116">
        <v>0</v>
      </c>
    </row>
    <row r="4117" spans="1:24" ht="15" customHeight="1" x14ac:dyDescent="0.25">
      <c r="A4117" t="str">
        <f>""</f>
        <v/>
      </c>
      <c r="B4117" s="1"/>
      <c r="H4117">
        <v>50.84</v>
      </c>
      <c r="J4117" t="s">
        <v>19</v>
      </c>
      <c r="L4117" s="1"/>
      <c r="N4117" s="1"/>
      <c r="V4117" t="str">
        <f>"92000"</f>
        <v>92000</v>
      </c>
      <c r="W4117">
        <v>0</v>
      </c>
      <c r="X4117">
        <v>0</v>
      </c>
    </row>
    <row r="4118" spans="1:24" ht="15" customHeight="1" x14ac:dyDescent="0.25">
      <c r="A4118" t="str">
        <f>""</f>
        <v/>
      </c>
      <c r="B4118" s="1"/>
      <c r="H4118">
        <v>69.540000000000006</v>
      </c>
      <c r="J4118" t="s">
        <v>19</v>
      </c>
      <c r="L4118" s="1"/>
      <c r="N4118" s="1"/>
      <c r="V4118" t="str">
        <f>"56920"</f>
        <v>56920</v>
      </c>
      <c r="W4118">
        <v>18.78</v>
      </c>
      <c r="X4118">
        <v>0</v>
      </c>
    </row>
    <row r="4119" spans="1:24" ht="15" customHeight="1" x14ac:dyDescent="0.25">
      <c r="A4119" t="str">
        <f>""</f>
        <v/>
      </c>
      <c r="B4119" s="1"/>
      <c r="H4119">
        <v>103.62</v>
      </c>
      <c r="J4119" t="s">
        <v>19</v>
      </c>
      <c r="L4119" s="1"/>
      <c r="N4119" s="1"/>
      <c r="V4119" t="str">
        <f>"22210"</f>
        <v>22210</v>
      </c>
      <c r="W4119">
        <v>40.409999999999997</v>
      </c>
      <c r="X4119">
        <v>0</v>
      </c>
    </row>
    <row r="4120" spans="1:24" ht="15" customHeight="1" x14ac:dyDescent="0.25">
      <c r="A4120" t="str">
        <f>""</f>
        <v/>
      </c>
      <c r="B4120" s="1"/>
      <c r="H4120">
        <v>198.89</v>
      </c>
      <c r="J4120" t="s">
        <v>22</v>
      </c>
      <c r="L4120" s="1"/>
      <c r="N4120" s="1"/>
      <c r="V4120" t="str">
        <f>"69200"</f>
        <v>69200</v>
      </c>
      <c r="W4120">
        <v>0</v>
      </c>
      <c r="X4120">
        <v>0</v>
      </c>
    </row>
    <row r="4121" spans="1:24" ht="15" customHeight="1" x14ac:dyDescent="0.25">
      <c r="A4121" t="str">
        <f>""</f>
        <v/>
      </c>
      <c r="B4121" s="1"/>
      <c r="H4121">
        <v>188.26</v>
      </c>
      <c r="J4121" t="s">
        <v>22</v>
      </c>
      <c r="L4121" s="1"/>
      <c r="N4121" s="1"/>
      <c r="V4121" t="str">
        <f>"83000"</f>
        <v>83000</v>
      </c>
      <c r="W4121">
        <v>0</v>
      </c>
      <c r="X4121">
        <v>39.53</v>
      </c>
    </row>
    <row r="4122" spans="1:24" ht="15" customHeight="1" x14ac:dyDescent="0.25">
      <c r="A4122" t="str">
        <f>""</f>
        <v/>
      </c>
      <c r="B4122" s="1"/>
      <c r="H4122">
        <v>180</v>
      </c>
      <c r="J4122" t="s">
        <v>22</v>
      </c>
      <c r="L4122" s="1"/>
      <c r="N4122" s="1"/>
      <c r="V4122" t="str">
        <f>"13011"</f>
        <v>13011</v>
      </c>
      <c r="W4122">
        <v>0</v>
      </c>
      <c r="X4122">
        <v>0</v>
      </c>
    </row>
    <row r="4123" spans="1:24" ht="15" customHeight="1" x14ac:dyDescent="0.25">
      <c r="A4123" t="str">
        <f>""</f>
        <v/>
      </c>
      <c r="B4123" s="1"/>
      <c r="H4123">
        <v>184.19</v>
      </c>
      <c r="J4123" t="s">
        <v>19</v>
      </c>
      <c r="L4123" s="1"/>
      <c r="N4123" s="1"/>
      <c r="V4123" t="str">
        <f>"16340"</f>
        <v>16340</v>
      </c>
      <c r="W4123">
        <v>38.68</v>
      </c>
      <c r="X4123">
        <v>0</v>
      </c>
    </row>
    <row r="4124" spans="1:24" x14ac:dyDescent="0.25">
      <c r="A4124" t="str">
        <f>""</f>
        <v/>
      </c>
      <c r="B4124" s="1"/>
      <c r="H4124">
        <v>32</v>
      </c>
      <c r="J4124" t="s">
        <v>17</v>
      </c>
      <c r="L4124" s="1"/>
      <c r="N4124" s="1"/>
      <c r="V4124" t="str">
        <f>"51100"</f>
        <v>51100</v>
      </c>
      <c r="W4124">
        <v>0</v>
      </c>
      <c r="X4124">
        <v>0</v>
      </c>
    </row>
    <row r="4125" spans="1:24" ht="15" customHeight="1" x14ac:dyDescent="0.25">
      <c r="A4125" t="str">
        <f>""</f>
        <v/>
      </c>
      <c r="B4125" s="1"/>
      <c r="H4125">
        <v>159</v>
      </c>
      <c r="J4125" t="s">
        <v>20</v>
      </c>
      <c r="L4125" s="1"/>
      <c r="N4125" s="1"/>
      <c r="V4125" t="str">
        <f>"27000"</f>
        <v>27000</v>
      </c>
      <c r="W4125">
        <v>27.03</v>
      </c>
      <c r="X4125">
        <v>0</v>
      </c>
    </row>
    <row r="4126" spans="1:24" ht="15" customHeight="1" x14ac:dyDescent="0.25">
      <c r="A4126" t="str">
        <f>""</f>
        <v/>
      </c>
      <c r="B4126" s="1"/>
      <c r="H4126">
        <v>17</v>
      </c>
      <c r="J4126" t="s">
        <v>22</v>
      </c>
      <c r="L4126" s="1"/>
      <c r="N4126" s="1"/>
      <c r="V4126" t="str">
        <f>"67000"</f>
        <v>67000</v>
      </c>
      <c r="W4126">
        <v>0</v>
      </c>
      <c r="X4126">
        <v>1.36</v>
      </c>
    </row>
    <row r="4127" spans="1:24" ht="15" customHeight="1" x14ac:dyDescent="0.25">
      <c r="A4127" t="str">
        <f>""</f>
        <v/>
      </c>
      <c r="B4127" s="1"/>
      <c r="H4127">
        <v>40</v>
      </c>
      <c r="J4127" t="s">
        <v>22</v>
      </c>
      <c r="L4127" s="1"/>
      <c r="N4127" s="1"/>
      <c r="V4127" t="str">
        <f>"67000"</f>
        <v>67000</v>
      </c>
      <c r="W4127">
        <v>0</v>
      </c>
      <c r="X4127">
        <v>3.2</v>
      </c>
    </row>
    <row r="4128" spans="1:24" ht="15" customHeight="1" x14ac:dyDescent="0.25">
      <c r="A4128" t="str">
        <f>""</f>
        <v/>
      </c>
      <c r="B4128" s="1"/>
      <c r="H4128">
        <v>151</v>
      </c>
      <c r="J4128" t="s">
        <v>23</v>
      </c>
      <c r="L4128" s="1"/>
      <c r="N4128" s="1"/>
      <c r="V4128" t="str">
        <f>"06560"</f>
        <v>06560</v>
      </c>
      <c r="W4128">
        <v>0</v>
      </c>
      <c r="X4128">
        <v>31.71</v>
      </c>
    </row>
    <row r="4129" spans="1:24" ht="15" customHeight="1" x14ac:dyDescent="0.25">
      <c r="A4129" t="str">
        <f>""</f>
        <v/>
      </c>
      <c r="B4129" s="1"/>
      <c r="H4129">
        <v>151</v>
      </c>
      <c r="J4129" t="s">
        <v>22</v>
      </c>
      <c r="L4129" s="1"/>
      <c r="N4129" s="1"/>
      <c r="V4129" t="str">
        <f>"06560"</f>
        <v>06560</v>
      </c>
      <c r="W4129">
        <v>0</v>
      </c>
      <c r="X4129">
        <v>0</v>
      </c>
    </row>
    <row r="4130" spans="1:24" ht="15" customHeight="1" x14ac:dyDescent="0.25">
      <c r="A4130" t="str">
        <f>""</f>
        <v/>
      </c>
      <c r="B4130" s="1"/>
      <c r="H4130">
        <v>151</v>
      </c>
      <c r="J4130" t="s">
        <v>23</v>
      </c>
      <c r="L4130" s="1"/>
      <c r="N4130" s="1"/>
      <c r="V4130" t="str">
        <f>"06560"</f>
        <v>06560</v>
      </c>
      <c r="W4130">
        <v>0</v>
      </c>
      <c r="X4130">
        <v>0</v>
      </c>
    </row>
    <row r="4131" spans="1:24" ht="15" customHeight="1" x14ac:dyDescent="0.25">
      <c r="A4131" t="str">
        <f>""</f>
        <v/>
      </c>
      <c r="B4131" s="1"/>
      <c r="H4131">
        <v>151</v>
      </c>
      <c r="J4131" t="s">
        <v>22</v>
      </c>
      <c r="L4131" s="1"/>
      <c r="N4131" s="1"/>
      <c r="V4131" t="str">
        <f>"06560"</f>
        <v>06560</v>
      </c>
      <c r="W4131">
        <v>0</v>
      </c>
      <c r="X4131">
        <v>0</v>
      </c>
    </row>
    <row r="4132" spans="1:24" ht="15" customHeight="1" x14ac:dyDescent="0.25">
      <c r="A4132" t="str">
        <f>""</f>
        <v/>
      </c>
      <c r="B4132" s="1"/>
      <c r="H4132">
        <v>151</v>
      </c>
      <c r="J4132" t="s">
        <v>22</v>
      </c>
      <c r="L4132" s="1"/>
      <c r="N4132" s="1"/>
      <c r="V4132" t="str">
        <f>"06560"</f>
        <v>06560</v>
      </c>
      <c r="W4132">
        <v>0</v>
      </c>
      <c r="X4132">
        <v>0</v>
      </c>
    </row>
    <row r="4133" spans="1:24" ht="15" customHeight="1" x14ac:dyDescent="0.25">
      <c r="A4133" t="str">
        <f>""</f>
        <v/>
      </c>
      <c r="B4133" s="1"/>
      <c r="H4133">
        <v>65.38</v>
      </c>
      <c r="J4133" t="s">
        <v>22</v>
      </c>
      <c r="L4133" s="1"/>
      <c r="N4133" s="1"/>
      <c r="V4133" t="str">
        <f>"38120"</f>
        <v>38120</v>
      </c>
      <c r="W4133">
        <v>0</v>
      </c>
      <c r="X4133">
        <v>0</v>
      </c>
    </row>
    <row r="4134" spans="1:24" ht="15" customHeight="1" x14ac:dyDescent="0.25">
      <c r="A4134" t="str">
        <f>""</f>
        <v/>
      </c>
      <c r="B4134" s="1"/>
      <c r="H4134">
        <v>180</v>
      </c>
      <c r="J4134" t="s">
        <v>22</v>
      </c>
      <c r="L4134" s="1"/>
      <c r="N4134" s="1"/>
      <c r="V4134" t="str">
        <f>"27550"</f>
        <v>27550</v>
      </c>
      <c r="W4134">
        <v>0</v>
      </c>
      <c r="X4134">
        <v>0</v>
      </c>
    </row>
    <row r="4135" spans="1:24" ht="15" customHeight="1" x14ac:dyDescent="0.25">
      <c r="A4135" t="str">
        <f>""</f>
        <v/>
      </c>
      <c r="B4135" s="1"/>
      <c r="H4135">
        <v>31.6</v>
      </c>
      <c r="L4135" s="1"/>
      <c r="N4135" s="1"/>
      <c r="V4135" t="str">
        <f>"77184"</f>
        <v>77184</v>
      </c>
      <c r="W4135">
        <v>0</v>
      </c>
      <c r="X4135">
        <v>0</v>
      </c>
    </row>
    <row r="4136" spans="1:24" x14ac:dyDescent="0.25">
      <c r="A4136" t="str">
        <f>""</f>
        <v/>
      </c>
      <c r="B4136" s="1"/>
      <c r="H4136">
        <v>23.4</v>
      </c>
      <c r="J4136" t="s">
        <v>15</v>
      </c>
      <c r="L4136" s="1"/>
      <c r="N4136" s="1"/>
      <c r="V4136" t="str">
        <f>"38110"</f>
        <v>38110</v>
      </c>
      <c r="W4136">
        <v>0</v>
      </c>
      <c r="X4136">
        <v>0</v>
      </c>
    </row>
    <row r="4137" spans="1:24" ht="15" customHeight="1" x14ac:dyDescent="0.25">
      <c r="A4137" t="str">
        <f>""</f>
        <v/>
      </c>
      <c r="B4137" s="1"/>
      <c r="H4137">
        <v>33.6</v>
      </c>
      <c r="L4137" s="1"/>
      <c r="N4137" s="1"/>
      <c r="V4137" t="str">
        <f>"77184"</f>
        <v>77184</v>
      </c>
      <c r="W4137">
        <v>0</v>
      </c>
      <c r="X4137">
        <v>0</v>
      </c>
    </row>
    <row r="4138" spans="1:24" ht="15" customHeight="1" x14ac:dyDescent="0.25">
      <c r="A4138" t="str">
        <f>""</f>
        <v/>
      </c>
      <c r="B4138" s="1"/>
      <c r="H4138">
        <v>84.5</v>
      </c>
      <c r="L4138" s="1"/>
      <c r="N4138" s="1"/>
      <c r="V4138" t="str">
        <f>"77184"</f>
        <v>77184</v>
      </c>
      <c r="W4138">
        <v>0</v>
      </c>
      <c r="X4138">
        <v>0</v>
      </c>
    </row>
    <row r="4139" spans="1:24" ht="15" customHeight="1" x14ac:dyDescent="0.25">
      <c r="A4139" t="str">
        <f>""</f>
        <v/>
      </c>
      <c r="B4139" s="1"/>
      <c r="H4139">
        <v>95.02</v>
      </c>
      <c r="J4139" t="s">
        <v>22</v>
      </c>
      <c r="L4139" s="1"/>
      <c r="N4139" s="1"/>
      <c r="V4139" t="str">
        <f>"42160"</f>
        <v>42160</v>
      </c>
      <c r="W4139">
        <v>0</v>
      </c>
      <c r="X4139">
        <v>0</v>
      </c>
    </row>
    <row r="4140" spans="1:24" ht="15" customHeight="1" x14ac:dyDescent="0.25">
      <c r="A4140" t="str">
        <f>""</f>
        <v/>
      </c>
      <c r="B4140" s="1"/>
      <c r="H4140">
        <v>19.8</v>
      </c>
      <c r="J4140" t="s">
        <v>20</v>
      </c>
      <c r="L4140" s="1"/>
      <c r="N4140" s="1"/>
      <c r="V4140" t="str">
        <f>"75013"</f>
        <v>75013</v>
      </c>
      <c r="W4140">
        <v>0</v>
      </c>
      <c r="X4140">
        <v>0</v>
      </c>
    </row>
    <row r="4141" spans="1:24" x14ac:dyDescent="0.25">
      <c r="A4141" t="str">
        <f>""</f>
        <v/>
      </c>
      <c r="B4141" s="1"/>
      <c r="H4141">
        <v>30</v>
      </c>
      <c r="J4141" t="s">
        <v>17</v>
      </c>
      <c r="L4141" s="1"/>
      <c r="N4141" s="1"/>
      <c r="V4141" t="str">
        <f>"68920"</f>
        <v>68920</v>
      </c>
      <c r="W4141">
        <v>0</v>
      </c>
      <c r="X4141">
        <v>0</v>
      </c>
    </row>
    <row r="4142" spans="1:24" ht="15" customHeight="1" x14ac:dyDescent="0.25">
      <c r="A4142" t="str">
        <f>""</f>
        <v/>
      </c>
      <c r="B4142" s="1"/>
      <c r="H4142">
        <v>186.73</v>
      </c>
      <c r="J4142" t="s">
        <v>19</v>
      </c>
      <c r="L4142" s="1"/>
      <c r="N4142" s="1"/>
      <c r="V4142" t="str">
        <f>"75008"</f>
        <v>75008</v>
      </c>
      <c r="W4142">
        <v>0</v>
      </c>
      <c r="X4142">
        <v>0</v>
      </c>
    </row>
    <row r="4143" spans="1:24" ht="15" customHeight="1" x14ac:dyDescent="0.25">
      <c r="A4143" t="str">
        <f>""</f>
        <v/>
      </c>
      <c r="B4143" s="1"/>
      <c r="H4143">
        <v>138.85</v>
      </c>
      <c r="J4143" t="s">
        <v>20</v>
      </c>
      <c r="L4143" s="1"/>
      <c r="N4143" s="1"/>
      <c r="V4143" t="str">
        <f>"63110"</f>
        <v>63110</v>
      </c>
      <c r="W4143">
        <v>40.270000000000003</v>
      </c>
      <c r="X4143">
        <v>0</v>
      </c>
    </row>
    <row r="4144" spans="1:24" ht="15" customHeight="1" x14ac:dyDescent="0.25">
      <c r="A4144" t="str">
        <f>""</f>
        <v/>
      </c>
      <c r="B4144" s="1"/>
      <c r="H4144">
        <v>192.58</v>
      </c>
      <c r="J4144" t="s">
        <v>22</v>
      </c>
      <c r="L4144" s="1"/>
      <c r="N4144" s="1"/>
      <c r="V4144" t="str">
        <f>"84000"</f>
        <v>84000</v>
      </c>
      <c r="W4144">
        <v>0</v>
      </c>
      <c r="X4144">
        <v>36.590000000000003</v>
      </c>
    </row>
    <row r="4145" spans="1:24" x14ac:dyDescent="0.25">
      <c r="A4145" t="str">
        <f>""</f>
        <v/>
      </c>
      <c r="B4145" s="1"/>
      <c r="H4145">
        <v>183.04</v>
      </c>
      <c r="J4145" t="s">
        <v>17</v>
      </c>
      <c r="L4145" s="1"/>
      <c r="N4145" s="1"/>
      <c r="V4145" t="str">
        <f>"38510"</f>
        <v>38510</v>
      </c>
      <c r="W4145">
        <v>0</v>
      </c>
      <c r="X4145">
        <v>0</v>
      </c>
    </row>
    <row r="4146" spans="1:24" ht="15" customHeight="1" x14ac:dyDescent="0.25">
      <c r="A4146" t="str">
        <f>""</f>
        <v/>
      </c>
      <c r="B4146" s="1"/>
      <c r="H4146">
        <v>32</v>
      </c>
      <c r="J4146" t="s">
        <v>22</v>
      </c>
      <c r="L4146" s="1"/>
      <c r="N4146" s="1"/>
      <c r="V4146" t="str">
        <f>"75013"</f>
        <v>75013</v>
      </c>
      <c r="W4146">
        <v>0</v>
      </c>
      <c r="X4146">
        <v>0</v>
      </c>
    </row>
    <row r="4147" spans="1:24" ht="15" customHeight="1" x14ac:dyDescent="0.25">
      <c r="A4147" t="str">
        <f>""</f>
        <v/>
      </c>
      <c r="B4147" s="1"/>
      <c r="H4147">
        <v>40</v>
      </c>
      <c r="J4147" t="s">
        <v>19</v>
      </c>
      <c r="L4147" s="1"/>
      <c r="N4147" s="1"/>
      <c r="V4147" t="str">
        <f>"51320"</f>
        <v>51320</v>
      </c>
      <c r="W4147">
        <v>10</v>
      </c>
      <c r="X4147">
        <v>0</v>
      </c>
    </row>
    <row r="4148" spans="1:24" ht="15" customHeight="1" x14ac:dyDescent="0.25">
      <c r="A4148" t="str">
        <f>""</f>
        <v/>
      </c>
      <c r="B4148" s="1"/>
      <c r="H4148">
        <v>117.76</v>
      </c>
      <c r="J4148" t="s">
        <v>23</v>
      </c>
      <c r="L4148" s="1"/>
      <c r="N4148" s="1"/>
      <c r="V4148" t="str">
        <f>"79500"</f>
        <v>79500</v>
      </c>
      <c r="W4148">
        <v>0</v>
      </c>
      <c r="X4148">
        <v>14.13</v>
      </c>
    </row>
    <row r="4149" spans="1:24" ht="15" customHeight="1" x14ac:dyDescent="0.25">
      <c r="A4149" t="str">
        <f>""</f>
        <v/>
      </c>
      <c r="B4149" s="1"/>
      <c r="H4149">
        <v>69</v>
      </c>
      <c r="L4149" s="1"/>
      <c r="N4149" s="1"/>
      <c r="V4149" t="str">
        <f>"77184"</f>
        <v>77184</v>
      </c>
      <c r="W4149">
        <v>0</v>
      </c>
      <c r="X4149">
        <v>0</v>
      </c>
    </row>
    <row r="4150" spans="1:24" x14ac:dyDescent="0.25">
      <c r="A4150" t="str">
        <f>""</f>
        <v/>
      </c>
      <c r="B4150" s="1"/>
      <c r="H4150">
        <v>151</v>
      </c>
      <c r="J4150" t="s">
        <v>15</v>
      </c>
      <c r="L4150" s="1"/>
      <c r="N4150" s="1"/>
      <c r="V4150" t="str">
        <f>"69800"</f>
        <v>69800</v>
      </c>
      <c r="W4150">
        <v>0</v>
      </c>
      <c r="X4150">
        <v>0</v>
      </c>
    </row>
    <row r="4151" spans="1:24" ht="15" customHeight="1" x14ac:dyDescent="0.25">
      <c r="A4151" t="str">
        <f>""</f>
        <v/>
      </c>
      <c r="B4151" s="1"/>
      <c r="H4151">
        <v>32.6</v>
      </c>
      <c r="J4151" t="s">
        <v>23</v>
      </c>
      <c r="L4151" s="1"/>
      <c r="N4151" s="1"/>
      <c r="V4151" t="str">
        <f>"44470"</f>
        <v>44470</v>
      </c>
      <c r="W4151">
        <v>0</v>
      </c>
      <c r="X4151">
        <v>0</v>
      </c>
    </row>
    <row r="4152" spans="1:24" ht="15" customHeight="1" x14ac:dyDescent="0.25">
      <c r="A4152" t="str">
        <f>""</f>
        <v/>
      </c>
      <c r="B4152" s="1"/>
      <c r="H4152">
        <v>211</v>
      </c>
      <c r="J4152" t="s">
        <v>22</v>
      </c>
      <c r="L4152" s="1"/>
      <c r="N4152" s="1"/>
      <c r="V4152" t="str">
        <f>"44000"</f>
        <v>44000</v>
      </c>
      <c r="W4152">
        <v>0</v>
      </c>
      <c r="X4152">
        <v>0</v>
      </c>
    </row>
    <row r="4153" spans="1:24" ht="15" customHeight="1" x14ac:dyDescent="0.25">
      <c r="A4153" t="str">
        <f>""</f>
        <v/>
      </c>
      <c r="B4153" s="1"/>
      <c r="H4153">
        <v>149.97999999999999</v>
      </c>
      <c r="J4153" t="s">
        <v>20</v>
      </c>
      <c r="L4153" s="1"/>
      <c r="N4153" s="1"/>
      <c r="V4153" t="str">
        <f>"59175"</f>
        <v>59175</v>
      </c>
      <c r="W4153">
        <v>28.5</v>
      </c>
      <c r="X4153">
        <v>0</v>
      </c>
    </row>
    <row r="4154" spans="1:24" ht="15" customHeight="1" x14ac:dyDescent="0.25">
      <c r="A4154" t="str">
        <f>""</f>
        <v/>
      </c>
      <c r="B4154" s="1"/>
      <c r="H4154">
        <v>809.27</v>
      </c>
      <c r="J4154" t="s">
        <v>20</v>
      </c>
      <c r="L4154" s="1"/>
      <c r="N4154" s="1"/>
      <c r="V4154" t="str">
        <f>"45000"</f>
        <v>45000</v>
      </c>
      <c r="W4154">
        <v>169.95</v>
      </c>
      <c r="X4154">
        <v>0</v>
      </c>
    </row>
    <row r="4155" spans="1:24" ht="15" customHeight="1" x14ac:dyDescent="0.25">
      <c r="A4155" t="str">
        <f>""</f>
        <v/>
      </c>
      <c r="B4155" s="1"/>
      <c r="H4155">
        <v>40</v>
      </c>
      <c r="L4155" s="1"/>
      <c r="N4155" s="1"/>
      <c r="V4155" t="str">
        <f>"44240"</f>
        <v>44240</v>
      </c>
      <c r="W4155">
        <v>0</v>
      </c>
      <c r="X4155">
        <v>0</v>
      </c>
    </row>
    <row r="4156" spans="1:24" ht="15" customHeight="1" x14ac:dyDescent="0.25">
      <c r="A4156" t="str">
        <f>""</f>
        <v/>
      </c>
      <c r="B4156" s="1"/>
      <c r="H4156">
        <v>31</v>
      </c>
      <c r="L4156" s="1"/>
      <c r="N4156" s="1"/>
      <c r="V4156" t="str">
        <f>"44240"</f>
        <v>44240</v>
      </c>
      <c r="W4156">
        <v>0</v>
      </c>
      <c r="X4156">
        <v>0</v>
      </c>
    </row>
    <row r="4157" spans="1:24" ht="15" customHeight="1" x14ac:dyDescent="0.25">
      <c r="A4157" t="str">
        <f>""</f>
        <v/>
      </c>
      <c r="B4157" s="1"/>
      <c r="H4157">
        <v>31.6</v>
      </c>
      <c r="L4157" s="1"/>
      <c r="N4157" s="1"/>
      <c r="V4157" t="str">
        <f>"44240"</f>
        <v>44240</v>
      </c>
      <c r="W4157">
        <v>0</v>
      </c>
      <c r="X4157">
        <v>0</v>
      </c>
    </row>
    <row r="4158" spans="1:24" ht="15" customHeight="1" x14ac:dyDescent="0.25">
      <c r="A4158" t="str">
        <f>""</f>
        <v/>
      </c>
      <c r="B4158" s="1"/>
      <c r="H4158">
        <v>163</v>
      </c>
      <c r="J4158" t="s">
        <v>21</v>
      </c>
      <c r="L4158" s="1"/>
      <c r="V4158" t="str">
        <f>"77184"</f>
        <v>77184</v>
      </c>
      <c r="W4158">
        <v>0</v>
      </c>
      <c r="X4158">
        <v>0</v>
      </c>
    </row>
    <row r="4159" spans="1:24" ht="15" customHeight="1" x14ac:dyDescent="0.25">
      <c r="A4159" t="str">
        <f>""</f>
        <v/>
      </c>
      <c r="B4159" s="1"/>
      <c r="H4159">
        <v>37.19</v>
      </c>
      <c r="L4159" s="1"/>
      <c r="N4159" s="1"/>
      <c r="V4159" t="str">
        <f>"77184"</f>
        <v>77184</v>
      </c>
      <c r="W4159">
        <v>0</v>
      </c>
      <c r="X4159">
        <v>0</v>
      </c>
    </row>
    <row r="4160" spans="1:24" ht="15" customHeight="1" x14ac:dyDescent="0.25">
      <c r="A4160" t="str">
        <f>""</f>
        <v/>
      </c>
      <c r="B4160" s="1"/>
      <c r="H4160">
        <v>40</v>
      </c>
      <c r="J4160" t="s">
        <v>20</v>
      </c>
      <c r="L4160" s="1"/>
      <c r="N4160" s="1"/>
      <c r="V4160" t="str">
        <f>"76320"</f>
        <v>76320</v>
      </c>
      <c r="W4160">
        <v>6.8</v>
      </c>
      <c r="X4160">
        <v>0</v>
      </c>
    </row>
    <row r="4161" spans="1:24" ht="15" customHeight="1" x14ac:dyDescent="0.25">
      <c r="A4161" t="str">
        <f>""</f>
        <v/>
      </c>
      <c r="B4161" s="1"/>
      <c r="H4161">
        <v>180</v>
      </c>
      <c r="J4161" t="s">
        <v>23</v>
      </c>
      <c r="L4161" s="1"/>
      <c r="N4161" s="1"/>
      <c r="V4161" t="str">
        <f>"76570"</f>
        <v>76570</v>
      </c>
      <c r="W4161">
        <v>0</v>
      </c>
      <c r="X4161">
        <v>30.6</v>
      </c>
    </row>
    <row r="4162" spans="1:24" x14ac:dyDescent="0.25">
      <c r="A4162" t="str">
        <f>""</f>
        <v/>
      </c>
      <c r="B4162" s="1"/>
      <c r="J4162" t="s">
        <v>18</v>
      </c>
      <c r="L4162" s="1"/>
      <c r="N4162" s="1"/>
      <c r="V4162" t="str">
        <f>"34000"</f>
        <v>34000</v>
      </c>
      <c r="W4162">
        <v>0</v>
      </c>
      <c r="X4162">
        <v>0</v>
      </c>
    </row>
    <row r="4163" spans="1:24" ht="15" customHeight="1" x14ac:dyDescent="0.25">
      <c r="A4163" t="str">
        <f>""</f>
        <v/>
      </c>
      <c r="B4163" s="1"/>
      <c r="H4163">
        <v>15.8</v>
      </c>
      <c r="J4163" t="s">
        <v>20</v>
      </c>
      <c r="L4163" s="1"/>
      <c r="N4163" s="1"/>
      <c r="V4163" t="str">
        <f>"01100"</f>
        <v>01100</v>
      </c>
      <c r="W4163">
        <v>4.2699999999999996</v>
      </c>
      <c r="X4163">
        <v>0</v>
      </c>
    </row>
    <row r="4164" spans="1:24" ht="15" customHeight="1" x14ac:dyDescent="0.25">
      <c r="A4164" t="str">
        <f>""</f>
        <v/>
      </c>
      <c r="B4164" s="1"/>
      <c r="H4164">
        <v>112.72</v>
      </c>
      <c r="L4164" s="1"/>
      <c r="N4164" s="1"/>
      <c r="V4164" t="str">
        <f>"77184"</f>
        <v>77184</v>
      </c>
      <c r="W4164">
        <v>0</v>
      </c>
      <c r="X4164">
        <v>0</v>
      </c>
    </row>
    <row r="4165" spans="1:24" ht="15" customHeight="1" x14ac:dyDescent="0.25">
      <c r="A4165" t="str">
        <f>""</f>
        <v/>
      </c>
      <c r="B4165" s="1"/>
      <c r="H4165">
        <v>149.57</v>
      </c>
      <c r="J4165" t="s">
        <v>23</v>
      </c>
      <c r="L4165" s="1"/>
      <c r="V4165" t="str">
        <f>"75012"</f>
        <v>75012</v>
      </c>
      <c r="W4165">
        <v>0</v>
      </c>
      <c r="X4165">
        <v>0</v>
      </c>
    </row>
    <row r="4166" spans="1:24" ht="15" customHeight="1" x14ac:dyDescent="0.25">
      <c r="A4166" t="str">
        <f>""</f>
        <v/>
      </c>
      <c r="B4166" s="1"/>
      <c r="H4166">
        <v>250</v>
      </c>
      <c r="L4166" s="1"/>
      <c r="N4166" s="1"/>
      <c r="V4166" t="str">
        <f>"77184"</f>
        <v>77184</v>
      </c>
      <c r="W4166">
        <v>0</v>
      </c>
      <c r="X4166">
        <v>0</v>
      </c>
    </row>
    <row r="4167" spans="1:24" ht="15" customHeight="1" x14ac:dyDescent="0.25">
      <c r="A4167" t="str">
        <f>""</f>
        <v/>
      </c>
      <c r="B4167" s="1"/>
      <c r="H4167">
        <v>105</v>
      </c>
      <c r="L4167" s="1"/>
      <c r="N4167" s="1"/>
      <c r="V4167" t="str">
        <f>"77184"</f>
        <v>77184</v>
      </c>
      <c r="W4167">
        <v>0</v>
      </c>
      <c r="X4167">
        <v>0</v>
      </c>
    </row>
    <row r="4168" spans="1:24" ht="15" customHeight="1" x14ac:dyDescent="0.25">
      <c r="A4168" t="str">
        <f>""</f>
        <v/>
      </c>
      <c r="B4168" s="1"/>
      <c r="H4168">
        <v>84.5</v>
      </c>
      <c r="L4168" s="1"/>
      <c r="N4168" s="1"/>
      <c r="V4168" t="str">
        <f>"77184"</f>
        <v>77184</v>
      </c>
      <c r="W4168">
        <v>0</v>
      </c>
      <c r="X4168">
        <v>0</v>
      </c>
    </row>
    <row r="4169" spans="1:24" ht="15" customHeight="1" x14ac:dyDescent="0.25">
      <c r="A4169" t="str">
        <f>""</f>
        <v/>
      </c>
      <c r="B4169" s="1"/>
      <c r="H4169">
        <v>126.65</v>
      </c>
      <c r="J4169" t="s">
        <v>20</v>
      </c>
      <c r="L4169" s="1"/>
      <c r="N4169" s="1"/>
      <c r="V4169" t="str">
        <f>"54950"</f>
        <v>54950</v>
      </c>
      <c r="W4169">
        <v>31.66</v>
      </c>
      <c r="X4169">
        <v>0</v>
      </c>
    </row>
    <row r="4170" spans="1:24" ht="15" customHeight="1" x14ac:dyDescent="0.25">
      <c r="A4170" t="str">
        <f>""</f>
        <v/>
      </c>
      <c r="B4170" s="1"/>
      <c r="H4170">
        <v>131.65</v>
      </c>
      <c r="J4170" t="s">
        <v>20</v>
      </c>
      <c r="L4170" s="1"/>
      <c r="N4170" s="1"/>
      <c r="V4170" t="str">
        <f>"29470"</f>
        <v>29470</v>
      </c>
      <c r="W4170">
        <v>51.34</v>
      </c>
      <c r="X4170">
        <v>0</v>
      </c>
    </row>
    <row r="4171" spans="1:24" ht="15" customHeight="1" x14ac:dyDescent="0.25">
      <c r="A4171" t="str">
        <f>""</f>
        <v/>
      </c>
      <c r="B4171" s="1"/>
      <c r="H4171">
        <v>180</v>
      </c>
      <c r="J4171" t="s">
        <v>22</v>
      </c>
      <c r="L4171" s="1"/>
      <c r="N4171" s="1"/>
      <c r="V4171" t="str">
        <f>"68250"</f>
        <v>68250</v>
      </c>
      <c r="W4171">
        <v>0</v>
      </c>
      <c r="X4171">
        <v>14.4</v>
      </c>
    </row>
    <row r="4172" spans="1:24" ht="15" customHeight="1" x14ac:dyDescent="0.25">
      <c r="A4172" t="str">
        <f>""</f>
        <v/>
      </c>
      <c r="B4172" s="1"/>
      <c r="H4172">
        <v>55.14</v>
      </c>
      <c r="J4172" t="s">
        <v>20</v>
      </c>
      <c r="L4172" s="1"/>
      <c r="N4172" s="1"/>
      <c r="V4172" t="str">
        <f>"06000"</f>
        <v>06000</v>
      </c>
      <c r="W4172">
        <v>16.54</v>
      </c>
      <c r="X4172">
        <v>0</v>
      </c>
    </row>
    <row r="4173" spans="1:24" ht="15" customHeight="1" x14ac:dyDescent="0.25">
      <c r="A4173" t="str">
        <f>""</f>
        <v/>
      </c>
      <c r="B4173" s="1"/>
      <c r="H4173">
        <v>138.12</v>
      </c>
      <c r="J4173" t="s">
        <v>20</v>
      </c>
      <c r="L4173" s="1"/>
      <c r="N4173" s="1"/>
      <c r="V4173" t="str">
        <f>"27200"</f>
        <v>27200</v>
      </c>
      <c r="W4173">
        <v>23.48</v>
      </c>
      <c r="X4173">
        <v>0</v>
      </c>
    </row>
    <row r="4174" spans="1:24" ht="15" customHeight="1" x14ac:dyDescent="0.25">
      <c r="A4174" t="str">
        <f>""</f>
        <v/>
      </c>
      <c r="B4174" s="1"/>
      <c r="H4174">
        <v>107.6</v>
      </c>
      <c r="J4174" t="s">
        <v>19</v>
      </c>
      <c r="L4174" s="1"/>
      <c r="N4174" s="1"/>
      <c r="V4174" t="str">
        <f>"75014"</f>
        <v>75014</v>
      </c>
      <c r="W4174">
        <v>0</v>
      </c>
      <c r="X4174">
        <v>0</v>
      </c>
    </row>
    <row r="4175" spans="1:24" ht="15" customHeight="1" x14ac:dyDescent="0.25">
      <c r="A4175" t="str">
        <f>""</f>
        <v/>
      </c>
      <c r="B4175" s="1"/>
      <c r="H4175">
        <v>126.72</v>
      </c>
      <c r="J4175" t="s">
        <v>20</v>
      </c>
      <c r="L4175" s="1"/>
      <c r="N4175" s="1"/>
      <c r="V4175" t="str">
        <f>"44410"</f>
        <v>44410</v>
      </c>
      <c r="W4175">
        <v>34.21</v>
      </c>
      <c r="X4175">
        <v>0</v>
      </c>
    </row>
    <row r="4176" spans="1:24" ht="15" customHeight="1" x14ac:dyDescent="0.25">
      <c r="A4176" t="str">
        <f>""</f>
        <v/>
      </c>
      <c r="B4176" s="1"/>
      <c r="H4176">
        <v>86.46</v>
      </c>
      <c r="J4176" t="s">
        <v>20</v>
      </c>
      <c r="L4176" s="1"/>
      <c r="N4176" s="1"/>
      <c r="V4176" t="str">
        <f>"14200"</f>
        <v>14200</v>
      </c>
      <c r="W4176">
        <v>14.7</v>
      </c>
      <c r="X4176">
        <v>0</v>
      </c>
    </row>
    <row r="4177" spans="1:24" ht="15" customHeight="1" x14ac:dyDescent="0.25">
      <c r="A4177" t="str">
        <f>""</f>
        <v/>
      </c>
      <c r="B4177" s="1"/>
      <c r="H4177">
        <v>55.34</v>
      </c>
      <c r="J4177" t="s">
        <v>19</v>
      </c>
      <c r="L4177" s="1"/>
      <c r="N4177" s="1"/>
      <c r="V4177" t="str">
        <f>"67850"</f>
        <v>67850</v>
      </c>
      <c r="W4177">
        <v>16.05</v>
      </c>
      <c r="X4177">
        <v>0</v>
      </c>
    </row>
    <row r="4178" spans="1:24" ht="15" customHeight="1" x14ac:dyDescent="0.25">
      <c r="A4178" t="str">
        <f>""</f>
        <v/>
      </c>
      <c r="B4178" s="1"/>
      <c r="H4178">
        <v>55.34</v>
      </c>
      <c r="J4178" t="s">
        <v>20</v>
      </c>
      <c r="L4178" s="1"/>
      <c r="N4178" s="1"/>
      <c r="V4178" t="str">
        <f>"69800"</f>
        <v>69800</v>
      </c>
      <c r="W4178">
        <v>14.94</v>
      </c>
      <c r="X4178">
        <v>0</v>
      </c>
    </row>
    <row r="4179" spans="1:24" ht="15" customHeight="1" x14ac:dyDescent="0.25">
      <c r="A4179" t="str">
        <f>""</f>
        <v/>
      </c>
      <c r="B4179" s="1"/>
      <c r="H4179">
        <v>18.350000000000001</v>
      </c>
      <c r="J4179" t="s">
        <v>19</v>
      </c>
      <c r="L4179" s="1"/>
      <c r="N4179" s="1"/>
      <c r="V4179" t="str">
        <f>"59380"</f>
        <v>59380</v>
      </c>
      <c r="W4179">
        <v>3.49</v>
      </c>
      <c r="X4179">
        <v>0</v>
      </c>
    </row>
    <row r="4180" spans="1:24" ht="15" customHeight="1" x14ac:dyDescent="0.25">
      <c r="A4180" t="str">
        <f>""</f>
        <v/>
      </c>
      <c r="B4180" s="1"/>
      <c r="H4180">
        <v>12</v>
      </c>
      <c r="J4180" t="s">
        <v>22</v>
      </c>
      <c r="L4180" s="1"/>
      <c r="N4180" s="1"/>
      <c r="V4180" t="str">
        <f>"69002"</f>
        <v>69002</v>
      </c>
      <c r="W4180">
        <v>0</v>
      </c>
      <c r="X4180">
        <v>3.24</v>
      </c>
    </row>
    <row r="4181" spans="1:24" x14ac:dyDescent="0.25">
      <c r="A4181" t="str">
        <f>""</f>
        <v/>
      </c>
      <c r="B4181" s="1"/>
      <c r="H4181">
        <v>190.58</v>
      </c>
      <c r="J4181" t="s">
        <v>15</v>
      </c>
      <c r="L4181" s="1"/>
      <c r="N4181" s="1"/>
      <c r="V4181" t="str">
        <f>"44800"</f>
        <v>44800</v>
      </c>
      <c r="W4181">
        <v>0</v>
      </c>
      <c r="X4181">
        <v>0</v>
      </c>
    </row>
    <row r="4182" spans="1:24" ht="15" customHeight="1" x14ac:dyDescent="0.25">
      <c r="A4182" t="str">
        <f>""</f>
        <v/>
      </c>
      <c r="B4182" s="1"/>
      <c r="H4182">
        <v>130</v>
      </c>
      <c r="L4182" s="1"/>
      <c r="N4182" s="1"/>
      <c r="V4182" t="str">
        <f>"77184"</f>
        <v>77184</v>
      </c>
      <c r="W4182">
        <v>0</v>
      </c>
      <c r="X4182">
        <v>0</v>
      </c>
    </row>
    <row r="4183" spans="1:24" ht="15" customHeight="1" x14ac:dyDescent="0.25">
      <c r="A4183" t="str">
        <f>""</f>
        <v/>
      </c>
      <c r="B4183" s="1"/>
      <c r="H4183">
        <v>19.649999999999999</v>
      </c>
      <c r="J4183" t="s">
        <v>19</v>
      </c>
      <c r="L4183" s="1"/>
      <c r="N4183" s="1"/>
      <c r="V4183" t="str">
        <f>"75014"</f>
        <v>75014</v>
      </c>
      <c r="W4183">
        <v>0</v>
      </c>
      <c r="X4183">
        <v>0</v>
      </c>
    </row>
    <row r="4184" spans="1:24" ht="15" customHeight="1" x14ac:dyDescent="0.25">
      <c r="A4184" t="str">
        <f>""</f>
        <v/>
      </c>
      <c r="B4184" s="1"/>
      <c r="H4184">
        <v>19.649999999999999</v>
      </c>
      <c r="J4184" t="s">
        <v>19</v>
      </c>
      <c r="L4184" s="1"/>
      <c r="N4184" s="1"/>
      <c r="V4184" t="str">
        <f>"75014"</f>
        <v>75014</v>
      </c>
      <c r="W4184">
        <v>0</v>
      </c>
      <c r="X4184">
        <v>0</v>
      </c>
    </row>
    <row r="4185" spans="1:24" ht="15" customHeight="1" x14ac:dyDescent="0.25">
      <c r="A4185" t="str">
        <f>""</f>
        <v/>
      </c>
      <c r="B4185" s="1"/>
      <c r="H4185">
        <v>19.649999999999999</v>
      </c>
      <c r="J4185" t="s">
        <v>19</v>
      </c>
      <c r="L4185" s="1"/>
      <c r="N4185" s="1"/>
      <c r="V4185" t="str">
        <f>"75014"</f>
        <v>75014</v>
      </c>
      <c r="W4185">
        <v>0</v>
      </c>
      <c r="X4185">
        <v>0</v>
      </c>
    </row>
    <row r="4186" spans="1:24" ht="15" customHeight="1" x14ac:dyDescent="0.25">
      <c r="A4186" t="str">
        <f>""</f>
        <v/>
      </c>
      <c r="B4186" s="1"/>
      <c r="H4186">
        <v>19.649999999999999</v>
      </c>
      <c r="J4186" t="s">
        <v>19</v>
      </c>
      <c r="L4186" s="1"/>
      <c r="N4186" s="1"/>
      <c r="V4186" t="str">
        <f>"75014"</f>
        <v>75014</v>
      </c>
      <c r="W4186">
        <v>0</v>
      </c>
      <c r="X4186">
        <v>0</v>
      </c>
    </row>
    <row r="4187" spans="1:24" ht="15" customHeight="1" x14ac:dyDescent="0.25">
      <c r="A4187" t="str">
        <f>""</f>
        <v/>
      </c>
      <c r="B4187" s="1"/>
      <c r="H4187">
        <v>123.61</v>
      </c>
      <c r="J4187" t="s">
        <v>20</v>
      </c>
      <c r="L4187" s="1"/>
      <c r="N4187" s="1"/>
      <c r="V4187" t="str">
        <f>"26130"</f>
        <v>26130</v>
      </c>
      <c r="W4187">
        <v>33.369999999999997</v>
      </c>
      <c r="X4187">
        <v>0</v>
      </c>
    </row>
    <row r="4188" spans="1:24" ht="15" customHeight="1" x14ac:dyDescent="0.25">
      <c r="A4188" t="str">
        <f>""</f>
        <v/>
      </c>
      <c r="B4188" s="1"/>
      <c r="H4188">
        <v>103.06</v>
      </c>
      <c r="J4188" t="s">
        <v>19</v>
      </c>
      <c r="L4188" s="1"/>
      <c r="N4188" s="1"/>
      <c r="V4188" t="str">
        <f>"25042"</f>
        <v>25042</v>
      </c>
      <c r="W4188">
        <v>24.73</v>
      </c>
      <c r="X4188">
        <v>0</v>
      </c>
    </row>
    <row r="4189" spans="1:24" ht="15" customHeight="1" x14ac:dyDescent="0.25">
      <c r="A4189" t="str">
        <f>""</f>
        <v/>
      </c>
      <c r="B4189" s="1"/>
      <c r="H4189">
        <v>126.65</v>
      </c>
      <c r="J4189" t="s">
        <v>20</v>
      </c>
      <c r="L4189" s="1"/>
      <c r="N4189" s="1"/>
      <c r="V4189" t="str">
        <f>"67600"</f>
        <v>67600</v>
      </c>
      <c r="W4189">
        <v>36.729999999999997</v>
      </c>
      <c r="X4189">
        <v>0</v>
      </c>
    </row>
    <row r="4190" spans="1:24" ht="15" customHeight="1" x14ac:dyDescent="0.25">
      <c r="A4190" t="str">
        <f>""</f>
        <v/>
      </c>
      <c r="B4190" s="1"/>
      <c r="H4190">
        <v>166.92</v>
      </c>
      <c r="J4190" t="s">
        <v>23</v>
      </c>
      <c r="L4190" s="1"/>
      <c r="N4190" s="1"/>
      <c r="V4190" t="str">
        <f>"03400"</f>
        <v>03400</v>
      </c>
      <c r="W4190">
        <v>0</v>
      </c>
      <c r="X4190">
        <v>20.03</v>
      </c>
    </row>
    <row r="4191" spans="1:24" ht="15" customHeight="1" x14ac:dyDescent="0.25">
      <c r="A4191" t="str">
        <f>""</f>
        <v/>
      </c>
      <c r="B4191" s="1"/>
      <c r="H4191">
        <v>25</v>
      </c>
      <c r="L4191" s="1"/>
      <c r="N4191" s="1"/>
      <c r="V4191" t="str">
        <f>"77184"</f>
        <v>77184</v>
      </c>
      <c r="W4191">
        <v>0</v>
      </c>
      <c r="X4191">
        <v>0</v>
      </c>
    </row>
    <row r="4192" spans="1:24" ht="15" customHeight="1" x14ac:dyDescent="0.25">
      <c r="A4192" t="str">
        <f>""</f>
        <v/>
      </c>
      <c r="B4192" s="1"/>
      <c r="H4192">
        <v>20</v>
      </c>
      <c r="L4192" s="1"/>
      <c r="N4192" s="1"/>
      <c r="V4192" t="str">
        <f>"77184"</f>
        <v>77184</v>
      </c>
      <c r="W4192">
        <v>0</v>
      </c>
      <c r="X4192">
        <v>0</v>
      </c>
    </row>
    <row r="4193" spans="1:24" ht="15" customHeight="1" x14ac:dyDescent="0.25">
      <c r="A4193" t="str">
        <f>""</f>
        <v/>
      </c>
      <c r="B4193" s="1"/>
      <c r="H4193">
        <v>192.59</v>
      </c>
      <c r="J4193" t="s">
        <v>19</v>
      </c>
      <c r="L4193" s="1"/>
      <c r="N4193" s="1"/>
      <c r="V4193" t="str">
        <f>"59224"</f>
        <v>59224</v>
      </c>
      <c r="W4193">
        <v>36.590000000000003</v>
      </c>
      <c r="X4193">
        <v>0</v>
      </c>
    </row>
    <row r="4194" spans="1:24" ht="15" customHeight="1" x14ac:dyDescent="0.25">
      <c r="A4194" t="str">
        <f>""</f>
        <v/>
      </c>
      <c r="B4194" s="1"/>
      <c r="H4194">
        <v>151</v>
      </c>
      <c r="J4194" t="s">
        <v>23</v>
      </c>
      <c r="L4194" s="1"/>
      <c r="N4194" s="1"/>
      <c r="V4194" t="str">
        <f>"10120"</f>
        <v>10120</v>
      </c>
      <c r="W4194">
        <v>0</v>
      </c>
      <c r="X4194">
        <v>0</v>
      </c>
    </row>
    <row r="4195" spans="1:24" ht="15" customHeight="1" x14ac:dyDescent="0.25">
      <c r="A4195" t="str">
        <f>""</f>
        <v/>
      </c>
      <c r="B4195" s="1"/>
      <c r="H4195">
        <v>184</v>
      </c>
      <c r="L4195" s="1"/>
      <c r="N4195" s="1"/>
      <c r="V4195" t="str">
        <f>"77184"</f>
        <v>77184</v>
      </c>
      <c r="W4195">
        <v>0</v>
      </c>
      <c r="X4195">
        <v>0</v>
      </c>
    </row>
    <row r="4196" spans="1:24" ht="15" customHeight="1" x14ac:dyDescent="0.25">
      <c r="A4196" t="str">
        <f>""</f>
        <v/>
      </c>
      <c r="B4196" s="1"/>
      <c r="H4196">
        <v>1.1499999999999999</v>
      </c>
      <c r="J4196" t="s">
        <v>20</v>
      </c>
      <c r="L4196" s="1"/>
      <c r="N4196" s="1"/>
      <c r="V4196" t="str">
        <f>"13012"</f>
        <v>13012</v>
      </c>
      <c r="W4196">
        <v>0.33</v>
      </c>
      <c r="X4196">
        <v>0</v>
      </c>
    </row>
    <row r="4197" spans="1:24" ht="15" customHeight="1" x14ac:dyDescent="0.25">
      <c r="A4197" t="str">
        <f>""</f>
        <v/>
      </c>
      <c r="B4197" s="1"/>
      <c r="H4197">
        <v>180</v>
      </c>
      <c r="J4197" t="s">
        <v>22</v>
      </c>
      <c r="L4197" s="1"/>
      <c r="N4197" s="1"/>
      <c r="V4197" t="str">
        <f>"34500"</f>
        <v>34500</v>
      </c>
      <c r="W4197">
        <v>0</v>
      </c>
      <c r="X4197">
        <v>50.4</v>
      </c>
    </row>
    <row r="4198" spans="1:24" ht="15" customHeight="1" x14ac:dyDescent="0.25">
      <c r="A4198" t="str">
        <f>""</f>
        <v/>
      </c>
      <c r="B4198" s="1"/>
      <c r="H4198">
        <v>180</v>
      </c>
      <c r="J4198" t="s">
        <v>22</v>
      </c>
      <c r="L4198" s="1"/>
      <c r="N4198" s="1"/>
      <c r="V4198" t="str">
        <f>"34500"</f>
        <v>34500</v>
      </c>
      <c r="W4198">
        <v>0</v>
      </c>
      <c r="X4198">
        <v>0</v>
      </c>
    </row>
    <row r="4199" spans="1:24" x14ac:dyDescent="0.25">
      <c r="A4199" t="str">
        <f>""</f>
        <v/>
      </c>
      <c r="B4199" s="1"/>
      <c r="H4199">
        <v>67</v>
      </c>
      <c r="J4199" t="s">
        <v>18</v>
      </c>
      <c r="L4199" s="1"/>
      <c r="N4199" s="1"/>
      <c r="V4199" t="str">
        <f>"64330"</f>
        <v>64330</v>
      </c>
      <c r="W4199">
        <v>0</v>
      </c>
      <c r="X4199">
        <v>0</v>
      </c>
    </row>
    <row r="4200" spans="1:24" ht="15" customHeight="1" x14ac:dyDescent="0.25">
      <c r="A4200" t="str">
        <f>""</f>
        <v/>
      </c>
      <c r="B4200" s="1"/>
      <c r="H4200">
        <v>18.350000000000001</v>
      </c>
      <c r="J4200" t="s">
        <v>20</v>
      </c>
      <c r="L4200" s="1"/>
      <c r="N4200" s="1"/>
      <c r="V4200" t="str">
        <f>"01000"</f>
        <v>01000</v>
      </c>
      <c r="W4200">
        <v>4.95</v>
      </c>
      <c r="X4200">
        <v>0</v>
      </c>
    </row>
    <row r="4201" spans="1:24" ht="15" customHeight="1" x14ac:dyDescent="0.25">
      <c r="A4201" t="str">
        <f>""</f>
        <v/>
      </c>
      <c r="B4201" s="1"/>
      <c r="H4201">
        <v>31.6</v>
      </c>
      <c r="L4201" s="1"/>
      <c r="N4201" s="1"/>
      <c r="V4201" t="str">
        <f>"44240"</f>
        <v>44240</v>
      </c>
      <c r="W4201">
        <v>0</v>
      </c>
      <c r="X4201">
        <v>0</v>
      </c>
    </row>
    <row r="4202" spans="1:24" ht="15" customHeight="1" x14ac:dyDescent="0.25">
      <c r="A4202" t="str">
        <f>""</f>
        <v/>
      </c>
      <c r="B4202" s="1"/>
      <c r="H4202">
        <v>199.02</v>
      </c>
      <c r="J4202" t="s">
        <v>23</v>
      </c>
      <c r="L4202" s="1"/>
      <c r="N4202" s="1"/>
      <c r="V4202" t="str">
        <f>"59490"</f>
        <v>59490</v>
      </c>
      <c r="W4202">
        <v>0</v>
      </c>
      <c r="X4202">
        <v>0</v>
      </c>
    </row>
    <row r="4203" spans="1:24" x14ac:dyDescent="0.25">
      <c r="A4203" t="str">
        <f>""</f>
        <v/>
      </c>
      <c r="B4203" s="1"/>
      <c r="H4203">
        <v>40</v>
      </c>
      <c r="J4203" t="s">
        <v>18</v>
      </c>
      <c r="L4203" s="1"/>
      <c r="N4203" s="1"/>
      <c r="V4203" t="str">
        <f>"06320"</f>
        <v>06320</v>
      </c>
      <c r="W4203">
        <v>0</v>
      </c>
      <c r="X4203">
        <v>0</v>
      </c>
    </row>
    <row r="4204" spans="1:24" ht="15" customHeight="1" x14ac:dyDescent="0.25">
      <c r="A4204" t="str">
        <f>""</f>
        <v/>
      </c>
      <c r="B4204" s="1"/>
      <c r="H4204">
        <v>160.63999999999999</v>
      </c>
      <c r="J4204" t="s">
        <v>20</v>
      </c>
      <c r="L4204" s="1"/>
      <c r="V4204" t="str">
        <f>"19100"</f>
        <v>19100</v>
      </c>
      <c r="W4204">
        <v>0</v>
      </c>
      <c r="X4204">
        <v>0</v>
      </c>
    </row>
    <row r="4205" spans="1:24" ht="15" customHeight="1" x14ac:dyDescent="0.25">
      <c r="A4205" t="str">
        <f>""</f>
        <v/>
      </c>
      <c r="B4205" s="1"/>
      <c r="H4205">
        <v>129.59</v>
      </c>
      <c r="J4205" t="s">
        <v>20</v>
      </c>
      <c r="L4205" s="1"/>
      <c r="V4205" t="str">
        <f>"19130"</f>
        <v>19130</v>
      </c>
      <c r="W4205">
        <v>0</v>
      </c>
      <c r="X4205">
        <v>0</v>
      </c>
    </row>
    <row r="4206" spans="1:24" ht="15" customHeight="1" x14ac:dyDescent="0.25">
      <c r="A4206" t="str">
        <f>""</f>
        <v/>
      </c>
      <c r="B4206" s="1"/>
      <c r="H4206">
        <v>102.68</v>
      </c>
      <c r="J4206" t="s">
        <v>19</v>
      </c>
      <c r="L4206" s="1"/>
      <c r="N4206" s="1"/>
      <c r="V4206" t="str">
        <f>"28320"</f>
        <v>28320</v>
      </c>
      <c r="W4206">
        <v>21.56</v>
      </c>
      <c r="X4206">
        <v>0</v>
      </c>
    </row>
    <row r="4207" spans="1:24" ht="15" customHeight="1" x14ac:dyDescent="0.25">
      <c r="A4207" t="str">
        <f>""</f>
        <v/>
      </c>
      <c r="B4207" s="1"/>
      <c r="H4207">
        <v>19.8</v>
      </c>
      <c r="J4207" t="s">
        <v>19</v>
      </c>
      <c r="L4207" s="1"/>
      <c r="N4207" s="1"/>
      <c r="V4207" t="str">
        <f>"62380"</f>
        <v>62380</v>
      </c>
      <c r="W4207">
        <v>3.76</v>
      </c>
      <c r="X4207">
        <v>0</v>
      </c>
    </row>
    <row r="4208" spans="1:24" ht="15" customHeight="1" x14ac:dyDescent="0.25">
      <c r="A4208" t="str">
        <f>""</f>
        <v/>
      </c>
      <c r="B4208" s="1"/>
      <c r="H4208">
        <v>183.25</v>
      </c>
      <c r="J4208" t="s">
        <v>20</v>
      </c>
      <c r="L4208" s="1"/>
      <c r="N4208" s="1"/>
      <c r="V4208" t="str">
        <f>"74300"</f>
        <v>74300</v>
      </c>
      <c r="W4208">
        <v>49.48</v>
      </c>
      <c r="X4208">
        <v>0</v>
      </c>
    </row>
    <row r="4209" spans="1:24" ht="15" customHeight="1" x14ac:dyDescent="0.25">
      <c r="A4209" t="str">
        <f>""</f>
        <v/>
      </c>
      <c r="B4209" s="1"/>
      <c r="H4209">
        <v>151</v>
      </c>
      <c r="J4209" t="s">
        <v>22</v>
      </c>
      <c r="L4209" s="1"/>
      <c r="N4209" s="1"/>
      <c r="V4209" t="str">
        <f>"69005"</f>
        <v>69005</v>
      </c>
      <c r="W4209">
        <v>0</v>
      </c>
      <c r="X4209">
        <v>0</v>
      </c>
    </row>
    <row r="4210" spans="1:24" ht="15" customHeight="1" x14ac:dyDescent="0.25">
      <c r="A4210" t="str">
        <f>""</f>
        <v/>
      </c>
      <c r="B4210" s="1"/>
      <c r="H4210">
        <v>153.44999999999999</v>
      </c>
      <c r="J4210" t="s">
        <v>19</v>
      </c>
      <c r="L4210" s="1"/>
      <c r="N4210" s="1"/>
      <c r="V4210" t="str">
        <f>"73000"</f>
        <v>73000</v>
      </c>
      <c r="W4210">
        <v>41.43</v>
      </c>
      <c r="X4210">
        <v>0</v>
      </c>
    </row>
    <row r="4211" spans="1:24" ht="15" customHeight="1" x14ac:dyDescent="0.25">
      <c r="A4211" t="str">
        <f>""</f>
        <v/>
      </c>
      <c r="B4211" s="1"/>
      <c r="H4211">
        <v>149.58000000000001</v>
      </c>
      <c r="J4211" t="s">
        <v>20</v>
      </c>
      <c r="L4211" s="1"/>
      <c r="N4211" s="1"/>
      <c r="V4211" t="str">
        <f>"60400"</f>
        <v>60400</v>
      </c>
      <c r="W4211">
        <v>28.42</v>
      </c>
      <c r="X4211">
        <v>0</v>
      </c>
    </row>
    <row r="4212" spans="1:24" ht="15" customHeight="1" x14ac:dyDescent="0.25">
      <c r="A4212" t="str">
        <f>""</f>
        <v/>
      </c>
      <c r="B4212" s="1"/>
      <c r="H4212">
        <v>26.6</v>
      </c>
      <c r="L4212" s="1"/>
      <c r="N4212" s="1"/>
      <c r="V4212" t="str">
        <f>"77184"</f>
        <v>77184</v>
      </c>
      <c r="W4212">
        <v>0</v>
      </c>
      <c r="X4212">
        <v>0</v>
      </c>
    </row>
    <row r="4213" spans="1:24" x14ac:dyDescent="0.25">
      <c r="A4213" t="str">
        <f>""</f>
        <v/>
      </c>
      <c r="B4213" s="1"/>
      <c r="H4213">
        <v>119</v>
      </c>
      <c r="J4213" t="s">
        <v>15</v>
      </c>
      <c r="L4213" s="1"/>
      <c r="N4213" s="1"/>
      <c r="V4213" t="str">
        <f>"75009"</f>
        <v>75009</v>
      </c>
      <c r="W4213">
        <v>0</v>
      </c>
      <c r="X4213">
        <v>0</v>
      </c>
    </row>
    <row r="4214" spans="1:24" ht="15" customHeight="1" x14ac:dyDescent="0.25">
      <c r="A4214" t="str">
        <f>""</f>
        <v/>
      </c>
      <c r="B4214" s="1"/>
      <c r="H4214">
        <v>120.65</v>
      </c>
      <c r="J4214" t="s">
        <v>20</v>
      </c>
      <c r="L4214" s="1"/>
      <c r="N4214" s="1"/>
      <c r="V4214" t="str">
        <f>"69120"</f>
        <v>69120</v>
      </c>
      <c r="W4214">
        <v>32.58</v>
      </c>
      <c r="X4214">
        <v>0</v>
      </c>
    </row>
    <row r="4215" spans="1:24" ht="15" customHeight="1" x14ac:dyDescent="0.25">
      <c r="A4215" t="str">
        <f>""</f>
        <v/>
      </c>
      <c r="B4215" s="1"/>
      <c r="H4215">
        <v>135.91</v>
      </c>
      <c r="L4215" s="1"/>
      <c r="N4215" s="1"/>
      <c r="V4215" t="str">
        <f>"77184"</f>
        <v>77184</v>
      </c>
      <c r="W4215">
        <v>0</v>
      </c>
      <c r="X4215">
        <v>0</v>
      </c>
    </row>
    <row r="4216" spans="1:24" ht="15" customHeight="1" x14ac:dyDescent="0.25">
      <c r="A4216" t="str">
        <f>""</f>
        <v/>
      </c>
      <c r="B4216" s="1"/>
      <c r="H4216">
        <v>146.71</v>
      </c>
      <c r="J4216" t="s">
        <v>20</v>
      </c>
      <c r="L4216" s="1"/>
      <c r="N4216" s="1"/>
      <c r="V4216" t="str">
        <f>"73100"</f>
        <v>73100</v>
      </c>
      <c r="W4216">
        <v>39.61</v>
      </c>
      <c r="X4216">
        <v>0</v>
      </c>
    </row>
    <row r="4217" spans="1:24" ht="15" customHeight="1" x14ac:dyDescent="0.25">
      <c r="A4217" t="str">
        <f>""</f>
        <v/>
      </c>
      <c r="B4217" s="1"/>
      <c r="H4217">
        <v>14.2</v>
      </c>
      <c r="J4217" t="s">
        <v>19</v>
      </c>
      <c r="L4217" s="1"/>
      <c r="N4217" s="1"/>
      <c r="V4217" t="str">
        <f>"56600"</f>
        <v>56600</v>
      </c>
      <c r="W4217">
        <v>3.83</v>
      </c>
      <c r="X4217">
        <v>0</v>
      </c>
    </row>
    <row r="4218" spans="1:24" ht="15" customHeight="1" x14ac:dyDescent="0.25">
      <c r="A4218" t="str">
        <f>""</f>
        <v/>
      </c>
      <c r="B4218" s="1"/>
      <c r="H4218">
        <v>70</v>
      </c>
      <c r="J4218" t="s">
        <v>22</v>
      </c>
      <c r="L4218" s="1"/>
      <c r="N4218" s="1"/>
      <c r="V4218" t="str">
        <f>"59287"</f>
        <v>59287</v>
      </c>
      <c r="W4218">
        <v>0</v>
      </c>
      <c r="X4218">
        <v>0</v>
      </c>
    </row>
    <row r="4219" spans="1:24" ht="15" customHeight="1" x14ac:dyDescent="0.25">
      <c r="A4219" t="str">
        <f>""</f>
        <v/>
      </c>
      <c r="B4219" s="1"/>
      <c r="H4219">
        <v>140</v>
      </c>
      <c r="J4219" t="s">
        <v>23</v>
      </c>
      <c r="L4219" s="1"/>
      <c r="N4219" s="1"/>
      <c r="V4219" t="str">
        <f>"79400"</f>
        <v>79400</v>
      </c>
      <c r="W4219">
        <v>0</v>
      </c>
      <c r="X4219">
        <v>0</v>
      </c>
    </row>
    <row r="4220" spans="1:24" ht="15" customHeight="1" x14ac:dyDescent="0.25">
      <c r="A4220" t="str">
        <f>""</f>
        <v/>
      </c>
      <c r="B4220" s="1"/>
      <c r="H4220">
        <v>140</v>
      </c>
      <c r="J4220" t="s">
        <v>22</v>
      </c>
      <c r="L4220" s="1"/>
      <c r="N4220" s="1"/>
      <c r="V4220" t="str">
        <f>"80000"</f>
        <v>80000</v>
      </c>
      <c r="W4220">
        <v>0</v>
      </c>
      <c r="X4220">
        <v>26.6</v>
      </c>
    </row>
    <row r="4221" spans="1:24" ht="15" customHeight="1" x14ac:dyDescent="0.25">
      <c r="A4221" t="str">
        <f>""</f>
        <v/>
      </c>
      <c r="B4221" s="1"/>
      <c r="H4221">
        <v>140</v>
      </c>
      <c r="J4221" t="s">
        <v>20</v>
      </c>
      <c r="L4221" s="1"/>
      <c r="N4221" s="1"/>
      <c r="V4221" t="str">
        <f>"75019"</f>
        <v>75019</v>
      </c>
      <c r="W4221">
        <v>0</v>
      </c>
      <c r="X4221">
        <v>0</v>
      </c>
    </row>
    <row r="4222" spans="1:24" ht="15" customHeight="1" x14ac:dyDescent="0.25">
      <c r="A4222" t="str">
        <f>""</f>
        <v/>
      </c>
      <c r="B4222" s="1"/>
      <c r="H4222">
        <v>151</v>
      </c>
      <c r="L4222" s="1"/>
      <c r="N4222" s="1"/>
      <c r="V4222" t="str">
        <f>"77184"</f>
        <v>77184</v>
      </c>
      <c r="W4222">
        <v>0</v>
      </c>
      <c r="X4222">
        <v>0</v>
      </c>
    </row>
    <row r="4223" spans="1:24" ht="15" customHeight="1" x14ac:dyDescent="0.25">
      <c r="A4223" t="str">
        <f>""</f>
        <v/>
      </c>
      <c r="B4223" s="1"/>
      <c r="H4223">
        <v>73.34</v>
      </c>
      <c r="J4223" t="s">
        <v>23</v>
      </c>
      <c r="L4223" s="1"/>
      <c r="N4223" s="1"/>
      <c r="V4223" t="str">
        <f>"83470"</f>
        <v>83470</v>
      </c>
      <c r="W4223">
        <v>0</v>
      </c>
      <c r="X4223">
        <v>0</v>
      </c>
    </row>
    <row r="4224" spans="1:24" ht="15" customHeight="1" x14ac:dyDescent="0.25">
      <c r="A4224" t="str">
        <f>""</f>
        <v/>
      </c>
      <c r="B4224" s="1"/>
      <c r="H4224">
        <v>69.37</v>
      </c>
      <c r="J4224" t="s">
        <v>20</v>
      </c>
      <c r="L4224" s="1"/>
      <c r="N4224" s="1"/>
      <c r="V4224" t="str">
        <f>"60100"</f>
        <v>60100</v>
      </c>
      <c r="W4224">
        <v>13.18</v>
      </c>
      <c r="X4224">
        <v>0</v>
      </c>
    </row>
    <row r="4225" spans="1:24" ht="15" customHeight="1" x14ac:dyDescent="0.25">
      <c r="A4225" t="str">
        <f>""</f>
        <v/>
      </c>
      <c r="B4225" s="1"/>
      <c r="H4225">
        <v>28.52</v>
      </c>
      <c r="L4225" s="1"/>
      <c r="N4225" s="1"/>
      <c r="V4225" t="str">
        <f>"77184"</f>
        <v>77184</v>
      </c>
      <c r="W4225">
        <v>0</v>
      </c>
      <c r="X4225">
        <v>0</v>
      </c>
    </row>
    <row r="4226" spans="1:24" ht="15" customHeight="1" x14ac:dyDescent="0.25">
      <c r="A4226" t="str">
        <f>""</f>
        <v/>
      </c>
      <c r="B4226" s="1"/>
      <c r="H4226">
        <v>136.33000000000001</v>
      </c>
      <c r="J4226" t="s">
        <v>19</v>
      </c>
      <c r="L4226" s="1"/>
      <c r="N4226" s="1"/>
      <c r="V4226" t="str">
        <f>"44000"</f>
        <v>44000</v>
      </c>
      <c r="W4226">
        <v>36.81</v>
      </c>
      <c r="X4226">
        <v>0</v>
      </c>
    </row>
    <row r="4227" spans="1:24" ht="15" customHeight="1" x14ac:dyDescent="0.25">
      <c r="A4227" t="str">
        <f>""</f>
        <v/>
      </c>
      <c r="B4227" s="1"/>
      <c r="H4227">
        <v>90.99</v>
      </c>
      <c r="J4227" t="s">
        <v>22</v>
      </c>
      <c r="L4227" s="1"/>
      <c r="V4227" t="str">
        <f>"69100"</f>
        <v>69100</v>
      </c>
      <c r="W4227">
        <v>0</v>
      </c>
      <c r="X4227">
        <v>0</v>
      </c>
    </row>
    <row r="4228" spans="1:24" ht="15" customHeight="1" x14ac:dyDescent="0.25">
      <c r="A4228" t="str">
        <f>""</f>
        <v/>
      </c>
      <c r="B4228" s="1"/>
      <c r="H4228">
        <v>140</v>
      </c>
      <c r="J4228" t="s">
        <v>23</v>
      </c>
      <c r="L4228" s="1"/>
      <c r="V4228" t="str">
        <f>"05500"</f>
        <v>05500</v>
      </c>
      <c r="W4228">
        <v>0</v>
      </c>
      <c r="X4228">
        <v>0</v>
      </c>
    </row>
    <row r="4229" spans="1:24" ht="15" customHeight="1" x14ac:dyDescent="0.25">
      <c r="A4229" t="str">
        <f>""</f>
        <v/>
      </c>
      <c r="B4229" s="1"/>
      <c r="H4229">
        <v>183.98</v>
      </c>
      <c r="J4229" t="s">
        <v>23</v>
      </c>
      <c r="L4229" s="1"/>
      <c r="N4229" s="1"/>
      <c r="V4229" t="str">
        <f>"14000"</f>
        <v>14000</v>
      </c>
      <c r="W4229">
        <v>0</v>
      </c>
      <c r="X4229">
        <v>0</v>
      </c>
    </row>
    <row r="4230" spans="1:24" ht="15" customHeight="1" x14ac:dyDescent="0.25">
      <c r="A4230" t="str">
        <f>""</f>
        <v/>
      </c>
      <c r="B4230" s="1"/>
      <c r="H4230">
        <v>40</v>
      </c>
      <c r="J4230" t="s">
        <v>22</v>
      </c>
      <c r="L4230" s="1"/>
      <c r="N4230" s="1"/>
      <c r="V4230" t="str">
        <f>"13090"</f>
        <v>13090</v>
      </c>
      <c r="W4230">
        <v>0</v>
      </c>
      <c r="X4230">
        <v>0</v>
      </c>
    </row>
    <row r="4231" spans="1:24" ht="15" customHeight="1" x14ac:dyDescent="0.25">
      <c r="A4231" t="str">
        <f>""</f>
        <v/>
      </c>
      <c r="B4231" s="1"/>
      <c r="H4231">
        <v>33</v>
      </c>
      <c r="J4231" t="s">
        <v>23</v>
      </c>
      <c r="L4231" s="1"/>
      <c r="V4231" t="str">
        <f>"20167"</f>
        <v>20167</v>
      </c>
      <c r="W4231">
        <v>0</v>
      </c>
      <c r="X4231">
        <v>0</v>
      </c>
    </row>
    <row r="4232" spans="1:24" ht="15" customHeight="1" x14ac:dyDescent="0.25">
      <c r="A4232" t="str">
        <f>""</f>
        <v/>
      </c>
      <c r="B4232" s="1"/>
      <c r="H4232">
        <v>69.56</v>
      </c>
      <c r="J4232" t="s">
        <v>19</v>
      </c>
      <c r="L4232" s="1"/>
      <c r="N4232" s="1"/>
      <c r="V4232" t="str">
        <f>"61250"</f>
        <v>61250</v>
      </c>
      <c r="W4232">
        <v>11.83</v>
      </c>
      <c r="X4232">
        <v>0</v>
      </c>
    </row>
    <row r="4233" spans="1:24" ht="15" customHeight="1" x14ac:dyDescent="0.25">
      <c r="A4233" t="str">
        <f>""</f>
        <v/>
      </c>
      <c r="B4233" s="1"/>
      <c r="H4233">
        <v>70</v>
      </c>
      <c r="J4233" t="s">
        <v>22</v>
      </c>
      <c r="L4233" s="1"/>
      <c r="N4233" s="1"/>
      <c r="V4233" t="str">
        <f>"89400"</f>
        <v>89400</v>
      </c>
      <c r="W4233">
        <v>0</v>
      </c>
      <c r="X4233">
        <v>8.4</v>
      </c>
    </row>
    <row r="4234" spans="1:24" ht="15" customHeight="1" x14ac:dyDescent="0.25">
      <c r="A4234" t="str">
        <f>""</f>
        <v/>
      </c>
      <c r="B4234" s="1"/>
      <c r="H4234">
        <v>70</v>
      </c>
      <c r="J4234" t="s">
        <v>22</v>
      </c>
      <c r="L4234" s="1"/>
      <c r="N4234" s="1"/>
      <c r="V4234" t="str">
        <f>"89600"</f>
        <v>89600</v>
      </c>
      <c r="W4234">
        <v>0</v>
      </c>
      <c r="X4234">
        <v>8.4</v>
      </c>
    </row>
    <row r="4235" spans="1:24" ht="15" customHeight="1" x14ac:dyDescent="0.25">
      <c r="A4235" t="str">
        <f>""</f>
        <v/>
      </c>
      <c r="B4235" s="1"/>
      <c r="H4235">
        <v>62.1</v>
      </c>
      <c r="J4235" t="s">
        <v>23</v>
      </c>
      <c r="L4235" s="1"/>
      <c r="V4235" t="str">
        <f>"77380"</f>
        <v>77380</v>
      </c>
      <c r="W4235">
        <v>0</v>
      </c>
      <c r="X4235">
        <v>0</v>
      </c>
    </row>
    <row r="4236" spans="1:24" ht="15" customHeight="1" x14ac:dyDescent="0.25">
      <c r="A4236" t="str">
        <f>""</f>
        <v/>
      </c>
      <c r="B4236" s="1"/>
      <c r="H4236">
        <v>250</v>
      </c>
      <c r="J4236" t="s">
        <v>23</v>
      </c>
      <c r="L4236" s="1"/>
      <c r="N4236" s="1"/>
      <c r="V4236" t="str">
        <f>"92100"</f>
        <v>92100</v>
      </c>
      <c r="W4236">
        <v>0</v>
      </c>
      <c r="X4236">
        <v>0</v>
      </c>
    </row>
    <row r="4237" spans="1:24" ht="15" customHeight="1" x14ac:dyDescent="0.25">
      <c r="A4237" t="str">
        <f>""</f>
        <v/>
      </c>
      <c r="B4237" s="1"/>
      <c r="H4237">
        <v>198.98</v>
      </c>
      <c r="J4237" t="s">
        <v>23</v>
      </c>
      <c r="L4237" s="1"/>
      <c r="V4237" t="str">
        <f>"13127"</f>
        <v>13127</v>
      </c>
      <c r="W4237">
        <v>0</v>
      </c>
      <c r="X4237">
        <v>0</v>
      </c>
    </row>
    <row r="4238" spans="1:24" ht="15" customHeight="1" x14ac:dyDescent="0.25">
      <c r="A4238" t="str">
        <f>""</f>
        <v/>
      </c>
      <c r="B4238" s="1"/>
      <c r="H4238">
        <v>206.44</v>
      </c>
      <c r="J4238" t="s">
        <v>23</v>
      </c>
      <c r="L4238" s="1"/>
      <c r="N4238" s="1"/>
      <c r="V4238" t="str">
        <f>"06000"</f>
        <v>06000</v>
      </c>
      <c r="W4238">
        <v>0</v>
      </c>
      <c r="X4238">
        <v>0</v>
      </c>
    </row>
    <row r="4239" spans="1:24" ht="15" customHeight="1" x14ac:dyDescent="0.25">
      <c r="A4239" t="str">
        <f>""</f>
        <v/>
      </c>
      <c r="B4239" s="1"/>
      <c r="H4239">
        <v>70</v>
      </c>
      <c r="J4239" t="s">
        <v>23</v>
      </c>
      <c r="L4239" s="1"/>
      <c r="N4239" s="1"/>
      <c r="V4239" t="str">
        <f>"83190"</f>
        <v>83190</v>
      </c>
      <c r="W4239">
        <v>0</v>
      </c>
      <c r="X4239">
        <v>0</v>
      </c>
    </row>
    <row r="4240" spans="1:24" ht="15" customHeight="1" x14ac:dyDescent="0.25">
      <c r="A4240" t="str">
        <f>""</f>
        <v/>
      </c>
      <c r="B4240" s="1"/>
      <c r="H4240">
        <v>151</v>
      </c>
      <c r="J4240" t="s">
        <v>23</v>
      </c>
      <c r="L4240" s="1"/>
      <c r="V4240" t="str">
        <f>"69120"</f>
        <v>69120</v>
      </c>
      <c r="W4240">
        <v>0</v>
      </c>
      <c r="X4240">
        <v>0</v>
      </c>
    </row>
    <row r="4241" spans="1:24" ht="15" customHeight="1" x14ac:dyDescent="0.25">
      <c r="A4241" t="str">
        <f>""</f>
        <v/>
      </c>
      <c r="B4241" s="1"/>
      <c r="H4241">
        <v>110.91</v>
      </c>
      <c r="J4241" t="s">
        <v>23</v>
      </c>
      <c r="L4241" s="1"/>
      <c r="N4241" s="1"/>
      <c r="V4241" t="str">
        <f>"69340"</f>
        <v>69340</v>
      </c>
      <c r="W4241">
        <v>0</v>
      </c>
      <c r="X4241">
        <v>0</v>
      </c>
    </row>
    <row r="4242" spans="1:24" ht="15" customHeight="1" x14ac:dyDescent="0.25">
      <c r="A4242" t="str">
        <f>""</f>
        <v/>
      </c>
      <c r="B4242" s="1"/>
      <c r="H4242">
        <v>40</v>
      </c>
      <c r="J4242" t="s">
        <v>22</v>
      </c>
      <c r="L4242" s="1"/>
      <c r="N4242" s="1"/>
      <c r="V4242" t="str">
        <f>"55190"</f>
        <v>55190</v>
      </c>
      <c r="W4242">
        <v>0</v>
      </c>
      <c r="X4242">
        <v>10</v>
      </c>
    </row>
    <row r="4243" spans="1:24" ht="15" customHeight="1" x14ac:dyDescent="0.25">
      <c r="A4243" t="str">
        <f>""</f>
        <v/>
      </c>
      <c r="B4243" s="1"/>
      <c r="H4243">
        <v>188.89</v>
      </c>
      <c r="J4243" t="s">
        <v>22</v>
      </c>
      <c r="L4243" s="1"/>
      <c r="V4243" t="str">
        <f>"69800"</f>
        <v>69800</v>
      </c>
      <c r="W4243">
        <v>0</v>
      </c>
      <c r="X4243">
        <v>0</v>
      </c>
    </row>
    <row r="4244" spans="1:24" ht="15" customHeight="1" x14ac:dyDescent="0.25">
      <c r="A4244" t="str">
        <f>""</f>
        <v/>
      </c>
      <c r="B4244" s="1"/>
      <c r="H4244">
        <v>62.6</v>
      </c>
      <c r="J4244" t="s">
        <v>23</v>
      </c>
      <c r="L4244" s="1"/>
      <c r="N4244" s="1"/>
      <c r="V4244" t="str">
        <f>"16210"</f>
        <v>16210</v>
      </c>
      <c r="W4244">
        <v>0</v>
      </c>
      <c r="X4244">
        <v>10.64</v>
      </c>
    </row>
    <row r="4245" spans="1:24" ht="15" customHeight="1" x14ac:dyDescent="0.25">
      <c r="A4245" t="str">
        <f>""</f>
        <v/>
      </c>
      <c r="B4245" s="1"/>
      <c r="H4245">
        <v>33</v>
      </c>
      <c r="J4245" t="s">
        <v>23</v>
      </c>
      <c r="L4245" s="1"/>
      <c r="V4245" t="str">
        <f>"34980"</f>
        <v>34980</v>
      </c>
      <c r="W4245">
        <v>0</v>
      </c>
      <c r="X4245">
        <v>0</v>
      </c>
    </row>
    <row r="4246" spans="1:24" ht="15" customHeight="1" x14ac:dyDescent="0.25">
      <c r="A4246" t="str">
        <f>""</f>
        <v/>
      </c>
      <c r="B4246" s="1"/>
      <c r="H4246">
        <v>109.06</v>
      </c>
      <c r="J4246" t="s">
        <v>22</v>
      </c>
      <c r="L4246" s="1"/>
      <c r="N4246" s="1"/>
      <c r="V4246" t="str">
        <f>"88000"</f>
        <v>88000</v>
      </c>
      <c r="W4246">
        <v>0</v>
      </c>
      <c r="X4246">
        <v>8.7200000000000006</v>
      </c>
    </row>
    <row r="4247" spans="1:24" ht="15" customHeight="1" x14ac:dyDescent="0.25">
      <c r="A4247" t="str">
        <f>""</f>
        <v/>
      </c>
      <c r="B4247" s="1"/>
      <c r="H4247">
        <v>18.8</v>
      </c>
      <c r="J4247" t="s">
        <v>22</v>
      </c>
      <c r="L4247" s="1"/>
      <c r="N4247" s="1"/>
      <c r="V4247" t="str">
        <f>"85700"</f>
        <v>85700</v>
      </c>
      <c r="W4247">
        <v>0</v>
      </c>
      <c r="X4247">
        <v>5.08</v>
      </c>
    </row>
    <row r="4248" spans="1:24" ht="15" customHeight="1" x14ac:dyDescent="0.25">
      <c r="A4248" t="str">
        <f>""</f>
        <v/>
      </c>
      <c r="B4248" s="1"/>
      <c r="H4248">
        <v>197.99</v>
      </c>
      <c r="J4248" t="s">
        <v>22</v>
      </c>
      <c r="L4248" s="1"/>
      <c r="N4248" s="1"/>
      <c r="V4248" t="str">
        <f>"30200"</f>
        <v>30200</v>
      </c>
      <c r="W4248">
        <v>0</v>
      </c>
      <c r="X4248">
        <v>0</v>
      </c>
    </row>
    <row r="4249" spans="1:24" x14ac:dyDescent="0.25">
      <c r="A4249" t="str">
        <f>""</f>
        <v/>
      </c>
      <c r="B4249" s="1"/>
      <c r="H4249">
        <v>250</v>
      </c>
      <c r="J4249" t="s">
        <v>15</v>
      </c>
      <c r="L4249" s="1"/>
      <c r="N4249" s="1"/>
      <c r="V4249" t="str">
        <f>"06250"</f>
        <v>06250</v>
      </c>
      <c r="W4249">
        <v>0</v>
      </c>
      <c r="X4249">
        <v>0</v>
      </c>
    </row>
    <row r="4250" spans="1:24" ht="15" customHeight="1" x14ac:dyDescent="0.25">
      <c r="A4250" t="str">
        <f>""</f>
        <v/>
      </c>
      <c r="B4250" s="1"/>
      <c r="H4250">
        <v>92</v>
      </c>
      <c r="J4250" t="s">
        <v>22</v>
      </c>
      <c r="L4250" s="1"/>
      <c r="N4250" s="1"/>
      <c r="V4250" t="str">
        <f>"06190"</f>
        <v>06190</v>
      </c>
      <c r="W4250">
        <v>0</v>
      </c>
      <c r="X4250">
        <v>27.6</v>
      </c>
    </row>
    <row r="4251" spans="1:24" ht="15" customHeight="1" x14ac:dyDescent="0.25">
      <c r="A4251" t="str">
        <f>""</f>
        <v/>
      </c>
      <c r="B4251" s="1"/>
      <c r="H4251">
        <v>67.599999999999994</v>
      </c>
      <c r="J4251" t="s">
        <v>23</v>
      </c>
      <c r="L4251" s="1"/>
      <c r="V4251" t="str">
        <f>"69380"</f>
        <v>69380</v>
      </c>
      <c r="W4251">
        <v>0</v>
      </c>
      <c r="X4251">
        <v>0</v>
      </c>
    </row>
    <row r="4252" spans="1:24" x14ac:dyDescent="0.25">
      <c r="A4252" t="str">
        <f>""</f>
        <v/>
      </c>
      <c r="B4252" s="1"/>
      <c r="H4252">
        <v>52.5</v>
      </c>
      <c r="J4252" t="s">
        <v>15</v>
      </c>
      <c r="L4252" s="1"/>
      <c r="N4252" s="1"/>
      <c r="V4252" t="str">
        <f>"69003"</f>
        <v>69003</v>
      </c>
      <c r="W4252">
        <v>0</v>
      </c>
      <c r="X4252">
        <v>0</v>
      </c>
    </row>
    <row r="4253" spans="1:24" x14ac:dyDescent="0.25">
      <c r="A4253" t="str">
        <f>""</f>
        <v/>
      </c>
      <c r="B4253" s="1"/>
      <c r="H4253">
        <v>52.5</v>
      </c>
      <c r="J4253" t="s">
        <v>15</v>
      </c>
      <c r="L4253" s="1"/>
      <c r="N4253" s="1"/>
      <c r="V4253" t="str">
        <f>"69003"</f>
        <v>69003</v>
      </c>
      <c r="W4253">
        <v>0</v>
      </c>
      <c r="X4253">
        <v>0</v>
      </c>
    </row>
    <row r="4254" spans="1:24" ht="15" customHeight="1" x14ac:dyDescent="0.25">
      <c r="A4254" t="str">
        <f>""</f>
        <v/>
      </c>
      <c r="B4254" s="1"/>
      <c r="H4254">
        <v>183.98</v>
      </c>
      <c r="J4254" t="s">
        <v>22</v>
      </c>
      <c r="L4254" s="1"/>
      <c r="N4254" s="1"/>
      <c r="V4254" t="str">
        <f>"10300"</f>
        <v>10300</v>
      </c>
      <c r="W4254">
        <v>0</v>
      </c>
      <c r="X4254">
        <v>22.08</v>
      </c>
    </row>
    <row r="4255" spans="1:24" ht="15" customHeight="1" x14ac:dyDescent="0.25">
      <c r="A4255" t="str">
        <f>""</f>
        <v/>
      </c>
      <c r="B4255" s="1"/>
      <c r="H4255">
        <v>30</v>
      </c>
      <c r="J4255" t="s">
        <v>22</v>
      </c>
      <c r="L4255" s="1"/>
      <c r="N4255" s="1"/>
      <c r="V4255" t="str">
        <f>"69120"</f>
        <v>69120</v>
      </c>
      <c r="W4255">
        <v>0</v>
      </c>
      <c r="X4255">
        <v>0</v>
      </c>
    </row>
    <row r="4256" spans="1:24" ht="15" customHeight="1" x14ac:dyDescent="0.25">
      <c r="A4256" t="str">
        <f>""</f>
        <v/>
      </c>
      <c r="B4256" s="1"/>
      <c r="H4256">
        <v>140</v>
      </c>
      <c r="J4256" t="s">
        <v>23</v>
      </c>
      <c r="L4256" s="1"/>
      <c r="N4256" s="1"/>
      <c r="V4256" t="str">
        <f>"57200"</f>
        <v>57200</v>
      </c>
      <c r="W4256">
        <v>0</v>
      </c>
      <c r="X4256">
        <v>35</v>
      </c>
    </row>
    <row r="4257" spans="1:24" ht="15" customHeight="1" x14ac:dyDescent="0.25">
      <c r="A4257" t="str">
        <f>""</f>
        <v/>
      </c>
      <c r="B4257" s="1"/>
      <c r="H4257">
        <v>194.98</v>
      </c>
      <c r="J4257" t="s">
        <v>20</v>
      </c>
      <c r="L4257" s="1"/>
      <c r="N4257" s="1"/>
      <c r="V4257" t="str">
        <f>"63000"</f>
        <v>63000</v>
      </c>
      <c r="W4257">
        <v>56.54</v>
      </c>
      <c r="X4257">
        <v>0</v>
      </c>
    </row>
    <row r="4258" spans="1:24" ht="15" customHeight="1" x14ac:dyDescent="0.25">
      <c r="A4258" t="str">
        <f>""</f>
        <v/>
      </c>
      <c r="B4258" s="1"/>
      <c r="H4258">
        <v>19.649999999999999</v>
      </c>
      <c r="J4258" t="s">
        <v>19</v>
      </c>
      <c r="L4258" s="1"/>
      <c r="N4258" s="1"/>
      <c r="V4258" t="str">
        <f>"38300"</f>
        <v>38300</v>
      </c>
      <c r="W4258">
        <v>5.31</v>
      </c>
      <c r="X4258">
        <v>0</v>
      </c>
    </row>
    <row r="4259" spans="1:24" ht="15" customHeight="1" x14ac:dyDescent="0.25">
      <c r="A4259" t="str">
        <f>""</f>
        <v/>
      </c>
      <c r="B4259" s="1"/>
      <c r="H4259">
        <v>19.649999999999999</v>
      </c>
      <c r="J4259" t="s">
        <v>19</v>
      </c>
      <c r="L4259" s="1"/>
      <c r="N4259" s="1"/>
      <c r="V4259" t="str">
        <f>"38230"</f>
        <v>38230</v>
      </c>
      <c r="W4259">
        <v>5.31</v>
      </c>
      <c r="X4259">
        <v>0</v>
      </c>
    </row>
    <row r="4260" spans="1:24" x14ac:dyDescent="0.25">
      <c r="A4260" t="str">
        <f>""</f>
        <v/>
      </c>
      <c r="B4260" s="1"/>
      <c r="H4260">
        <v>23.4</v>
      </c>
      <c r="J4260" t="s">
        <v>17</v>
      </c>
      <c r="L4260" s="1"/>
      <c r="N4260" s="1"/>
      <c r="V4260" t="str">
        <f>"38230"</f>
        <v>38230</v>
      </c>
      <c r="W4260">
        <v>0</v>
      </c>
      <c r="X4260">
        <v>0</v>
      </c>
    </row>
    <row r="4261" spans="1:24" ht="15" customHeight="1" x14ac:dyDescent="0.25">
      <c r="A4261" t="str">
        <f>""</f>
        <v/>
      </c>
      <c r="B4261" s="1"/>
      <c r="H4261">
        <v>25</v>
      </c>
      <c r="L4261" s="1"/>
      <c r="N4261" s="1"/>
      <c r="V4261" t="str">
        <f>"77184"</f>
        <v>77184</v>
      </c>
      <c r="W4261">
        <v>0</v>
      </c>
      <c r="X4261">
        <v>0</v>
      </c>
    </row>
    <row r="4262" spans="1:24" ht="15" customHeight="1" x14ac:dyDescent="0.25">
      <c r="A4262" t="str">
        <f>""</f>
        <v/>
      </c>
      <c r="B4262" s="1"/>
      <c r="H4262">
        <v>40</v>
      </c>
      <c r="J4262" t="s">
        <v>23</v>
      </c>
      <c r="L4262" s="1"/>
      <c r="N4262" s="1"/>
      <c r="V4262" t="str">
        <f>"71300"</f>
        <v>71300</v>
      </c>
      <c r="W4262">
        <v>0</v>
      </c>
      <c r="X4262">
        <v>0</v>
      </c>
    </row>
    <row r="4263" spans="1:24" ht="15" customHeight="1" x14ac:dyDescent="0.25">
      <c r="A4263" t="str">
        <f>""</f>
        <v/>
      </c>
      <c r="B4263" s="1"/>
      <c r="H4263">
        <v>308</v>
      </c>
      <c r="J4263" t="s">
        <v>23</v>
      </c>
      <c r="L4263" s="1"/>
      <c r="N4263" s="1"/>
      <c r="V4263" t="str">
        <f>"94400"</f>
        <v>94400</v>
      </c>
      <c r="W4263">
        <v>0</v>
      </c>
      <c r="X4263">
        <v>0</v>
      </c>
    </row>
    <row r="4264" spans="1:24" ht="15" customHeight="1" x14ac:dyDescent="0.25">
      <c r="A4264" t="str">
        <f>""</f>
        <v/>
      </c>
      <c r="B4264" s="1"/>
      <c r="H4264">
        <v>13</v>
      </c>
      <c r="J4264" t="s">
        <v>20</v>
      </c>
      <c r="L4264" s="1"/>
      <c r="V4264" t="str">
        <f>"83190"</f>
        <v>83190</v>
      </c>
      <c r="W4264">
        <v>0</v>
      </c>
      <c r="X4264">
        <v>0</v>
      </c>
    </row>
    <row r="4265" spans="1:24" ht="15" customHeight="1" x14ac:dyDescent="0.25">
      <c r="A4265" t="str">
        <f>""</f>
        <v/>
      </c>
      <c r="B4265" s="1"/>
      <c r="H4265">
        <v>151</v>
      </c>
      <c r="J4265" t="s">
        <v>23</v>
      </c>
      <c r="L4265" s="1"/>
      <c r="V4265" t="str">
        <f>"69800"</f>
        <v>69800</v>
      </c>
      <c r="W4265">
        <v>0</v>
      </c>
      <c r="X4265">
        <v>0</v>
      </c>
    </row>
    <row r="4266" spans="1:24" ht="15" customHeight="1" x14ac:dyDescent="0.25">
      <c r="A4266" t="str">
        <f>""</f>
        <v/>
      </c>
      <c r="B4266" s="1"/>
      <c r="H4266">
        <v>17</v>
      </c>
      <c r="J4266" t="s">
        <v>22</v>
      </c>
      <c r="L4266" s="1"/>
      <c r="N4266" s="1"/>
      <c r="V4266" t="str">
        <f>"67000"</f>
        <v>67000</v>
      </c>
      <c r="W4266">
        <v>0</v>
      </c>
      <c r="X4266">
        <v>1.36</v>
      </c>
    </row>
    <row r="4267" spans="1:24" ht="15" customHeight="1" x14ac:dyDescent="0.25">
      <c r="A4267" t="str">
        <f>""</f>
        <v/>
      </c>
      <c r="B4267" s="1"/>
      <c r="H4267">
        <v>151</v>
      </c>
      <c r="J4267" t="s">
        <v>23</v>
      </c>
      <c r="L4267" s="1"/>
      <c r="N4267" s="1"/>
      <c r="V4267" t="str">
        <f>"06560"</f>
        <v>06560</v>
      </c>
      <c r="W4267">
        <v>0</v>
      </c>
      <c r="X4267">
        <v>0</v>
      </c>
    </row>
    <row r="4268" spans="1:24" x14ac:dyDescent="0.25">
      <c r="A4268" t="str">
        <f>""</f>
        <v/>
      </c>
      <c r="B4268" s="1"/>
      <c r="H4268">
        <v>180</v>
      </c>
      <c r="J4268" t="s">
        <v>16</v>
      </c>
      <c r="L4268" s="1"/>
      <c r="N4268" s="1"/>
      <c r="V4268" t="str">
        <f>"75013"</f>
        <v>75013</v>
      </c>
      <c r="W4268">
        <v>0</v>
      </c>
      <c r="X4268">
        <v>0</v>
      </c>
    </row>
    <row r="4269" spans="1:24" ht="15" customHeight="1" x14ac:dyDescent="0.25">
      <c r="A4269" t="str">
        <f>""</f>
        <v/>
      </c>
      <c r="B4269" s="1"/>
      <c r="H4269">
        <v>53.52</v>
      </c>
      <c r="J4269" t="s">
        <v>19</v>
      </c>
      <c r="L4269" s="1"/>
      <c r="N4269" s="1"/>
      <c r="V4269" t="str">
        <f>"69125"</f>
        <v>69125</v>
      </c>
      <c r="W4269">
        <v>14.45</v>
      </c>
      <c r="X4269">
        <v>0</v>
      </c>
    </row>
    <row r="4270" spans="1:24" ht="15" customHeight="1" x14ac:dyDescent="0.25">
      <c r="A4270" t="str">
        <f>""</f>
        <v/>
      </c>
      <c r="B4270" s="1"/>
      <c r="H4270">
        <v>53.8</v>
      </c>
      <c r="L4270" s="1"/>
      <c r="N4270" s="1"/>
      <c r="V4270" t="str">
        <f>"77184"</f>
        <v>77184</v>
      </c>
      <c r="W4270">
        <v>0</v>
      </c>
      <c r="X4270">
        <v>0</v>
      </c>
    </row>
    <row r="4271" spans="1:24" ht="15" customHeight="1" x14ac:dyDescent="0.25">
      <c r="A4271" t="str">
        <f>""</f>
        <v/>
      </c>
      <c r="B4271" s="1"/>
      <c r="H4271">
        <v>127.4</v>
      </c>
      <c r="J4271" t="s">
        <v>23</v>
      </c>
      <c r="L4271" s="1"/>
      <c r="N4271" s="1"/>
      <c r="V4271" t="str">
        <f>"76110"</f>
        <v>76110</v>
      </c>
      <c r="W4271">
        <v>0</v>
      </c>
      <c r="X4271">
        <v>21.66</v>
      </c>
    </row>
    <row r="4272" spans="1:24" ht="15" customHeight="1" x14ac:dyDescent="0.25">
      <c r="A4272" t="str">
        <f>""</f>
        <v/>
      </c>
      <c r="B4272" s="1"/>
      <c r="H4272">
        <v>220</v>
      </c>
      <c r="J4272" t="s">
        <v>20</v>
      </c>
      <c r="L4272" s="1"/>
      <c r="N4272" s="1"/>
      <c r="V4272" t="str">
        <f>"94150"</f>
        <v>94150</v>
      </c>
      <c r="W4272">
        <v>0</v>
      </c>
      <c r="X4272">
        <v>0</v>
      </c>
    </row>
    <row r="4273" spans="1:24" ht="15" customHeight="1" x14ac:dyDescent="0.25">
      <c r="A4273" t="str">
        <f>""</f>
        <v/>
      </c>
      <c r="B4273" s="1"/>
      <c r="H4273">
        <v>250</v>
      </c>
      <c r="J4273" t="s">
        <v>23</v>
      </c>
      <c r="L4273" s="1"/>
      <c r="N4273" s="1"/>
      <c r="V4273" t="str">
        <f>"49380"</f>
        <v>49380</v>
      </c>
      <c r="W4273">
        <v>0</v>
      </c>
      <c r="X4273">
        <v>0</v>
      </c>
    </row>
    <row r="4274" spans="1:24" ht="15" customHeight="1" x14ac:dyDescent="0.25">
      <c r="A4274" t="str">
        <f>""</f>
        <v/>
      </c>
      <c r="B4274" s="1"/>
      <c r="H4274">
        <v>140.53</v>
      </c>
      <c r="J4274" t="s">
        <v>19</v>
      </c>
      <c r="L4274" s="1"/>
      <c r="N4274" s="1"/>
      <c r="V4274" t="str">
        <f>"62740"</f>
        <v>62740</v>
      </c>
      <c r="W4274">
        <v>26.7</v>
      </c>
      <c r="X4274">
        <v>0</v>
      </c>
    </row>
    <row r="4275" spans="1:24" ht="15" customHeight="1" x14ac:dyDescent="0.25">
      <c r="A4275" t="str">
        <f>""</f>
        <v/>
      </c>
      <c r="B4275" s="1"/>
      <c r="H4275">
        <v>60</v>
      </c>
      <c r="L4275" s="1"/>
      <c r="N4275" s="1"/>
      <c r="V4275" t="str">
        <f>"44240"</f>
        <v>44240</v>
      </c>
      <c r="W4275">
        <v>0</v>
      </c>
      <c r="X4275">
        <v>0</v>
      </c>
    </row>
    <row r="4276" spans="1:24" ht="15" customHeight="1" x14ac:dyDescent="0.25">
      <c r="A4276" t="str">
        <f>""</f>
        <v/>
      </c>
      <c r="B4276" s="1"/>
      <c r="H4276">
        <v>299</v>
      </c>
      <c r="L4276" s="1"/>
      <c r="N4276" s="1"/>
      <c r="V4276" t="str">
        <f>"44240"</f>
        <v>44240</v>
      </c>
      <c r="W4276">
        <v>0</v>
      </c>
      <c r="X4276">
        <v>0</v>
      </c>
    </row>
    <row r="4277" spans="1:24" ht="15" customHeight="1" x14ac:dyDescent="0.25">
      <c r="A4277" t="str">
        <f>""</f>
        <v/>
      </c>
      <c r="B4277" s="1"/>
      <c r="H4277">
        <v>37.19</v>
      </c>
      <c r="L4277" s="1"/>
      <c r="N4277" s="1"/>
      <c r="V4277" t="str">
        <f>"77184"</f>
        <v>77184</v>
      </c>
      <c r="W4277">
        <v>0</v>
      </c>
      <c r="X4277">
        <v>0</v>
      </c>
    </row>
    <row r="4278" spans="1:24" x14ac:dyDescent="0.25">
      <c r="A4278" t="str">
        <f>""</f>
        <v/>
      </c>
      <c r="B4278" s="1"/>
      <c r="H4278">
        <v>250</v>
      </c>
      <c r="J4278" t="s">
        <v>15</v>
      </c>
      <c r="L4278" s="1"/>
      <c r="N4278" s="1"/>
      <c r="V4278" t="str">
        <f>"50230"</f>
        <v>50230</v>
      </c>
      <c r="W4278">
        <v>0</v>
      </c>
      <c r="X4278">
        <v>0</v>
      </c>
    </row>
    <row r="4279" spans="1:24" ht="15" customHeight="1" x14ac:dyDescent="0.25">
      <c r="A4279" t="str">
        <f>""</f>
        <v/>
      </c>
      <c r="B4279" s="1"/>
      <c r="H4279">
        <v>84.5</v>
      </c>
      <c r="L4279" s="1"/>
      <c r="N4279" s="1"/>
      <c r="V4279" t="str">
        <f>"77184"</f>
        <v>77184</v>
      </c>
      <c r="W4279">
        <v>0</v>
      </c>
      <c r="X4279">
        <v>0</v>
      </c>
    </row>
    <row r="4280" spans="1:24" ht="15" customHeight="1" x14ac:dyDescent="0.25">
      <c r="A4280" t="str">
        <f>""</f>
        <v/>
      </c>
      <c r="B4280" s="1"/>
      <c r="H4280">
        <v>84.5</v>
      </c>
      <c r="L4280" s="1"/>
      <c r="N4280" s="1"/>
      <c r="V4280" t="str">
        <f>"77184"</f>
        <v>77184</v>
      </c>
      <c r="W4280">
        <v>0</v>
      </c>
      <c r="X4280">
        <v>0</v>
      </c>
    </row>
    <row r="4281" spans="1:24" ht="15" customHeight="1" x14ac:dyDescent="0.25">
      <c r="A4281" t="str">
        <f>""</f>
        <v/>
      </c>
      <c r="B4281" s="1"/>
      <c r="H4281">
        <v>18.350000000000001</v>
      </c>
      <c r="J4281" t="s">
        <v>19</v>
      </c>
      <c r="L4281" s="1"/>
      <c r="N4281" s="1"/>
      <c r="V4281" t="str">
        <f>"14000"</f>
        <v>14000</v>
      </c>
      <c r="W4281">
        <v>3.12</v>
      </c>
      <c r="X4281">
        <v>0</v>
      </c>
    </row>
    <row r="4282" spans="1:24" ht="15" customHeight="1" x14ac:dyDescent="0.25">
      <c r="A4282" t="str">
        <f>""</f>
        <v/>
      </c>
      <c r="B4282" s="1"/>
      <c r="H4282">
        <v>84.5</v>
      </c>
      <c r="L4282" s="1"/>
      <c r="N4282" s="1"/>
      <c r="V4282" t="str">
        <f>"77184"</f>
        <v>77184</v>
      </c>
      <c r="W4282">
        <v>0</v>
      </c>
      <c r="X4282">
        <v>0</v>
      </c>
    </row>
    <row r="4283" spans="1:24" ht="15" customHeight="1" x14ac:dyDescent="0.25">
      <c r="A4283" t="str">
        <f>""</f>
        <v/>
      </c>
      <c r="B4283" s="1"/>
      <c r="H4283">
        <v>138.12</v>
      </c>
      <c r="J4283" t="s">
        <v>20</v>
      </c>
      <c r="L4283" s="1"/>
      <c r="N4283" s="1"/>
      <c r="V4283" t="str">
        <f>"41000"</f>
        <v>41000</v>
      </c>
      <c r="W4283">
        <v>29.01</v>
      </c>
      <c r="X4283">
        <v>0</v>
      </c>
    </row>
    <row r="4284" spans="1:24" ht="15" customHeight="1" x14ac:dyDescent="0.25">
      <c r="A4284" t="str">
        <f>""</f>
        <v/>
      </c>
      <c r="B4284" s="1"/>
      <c r="H4284">
        <v>139.19999999999999</v>
      </c>
      <c r="J4284" t="s">
        <v>19</v>
      </c>
      <c r="L4284" s="1"/>
      <c r="N4284" s="1"/>
      <c r="V4284" t="str">
        <f>"68360"</f>
        <v>68360</v>
      </c>
      <c r="W4284">
        <v>40.369999999999997</v>
      </c>
      <c r="X4284">
        <v>0</v>
      </c>
    </row>
    <row r="4285" spans="1:24" ht="15" customHeight="1" x14ac:dyDescent="0.25">
      <c r="A4285" t="str">
        <f>""</f>
        <v/>
      </c>
      <c r="B4285" s="1"/>
      <c r="H4285">
        <v>126.2</v>
      </c>
      <c r="L4285" s="1"/>
      <c r="N4285" s="1"/>
      <c r="V4285" t="str">
        <f>"44240"</f>
        <v>44240</v>
      </c>
      <c r="W4285">
        <v>0</v>
      </c>
      <c r="X4285">
        <v>0</v>
      </c>
    </row>
    <row r="4286" spans="1:24" x14ac:dyDescent="0.25">
      <c r="A4286" t="str">
        <f>""</f>
        <v/>
      </c>
      <c r="B4286" s="1"/>
      <c r="H4286">
        <v>171.28</v>
      </c>
      <c r="J4286" t="s">
        <v>16</v>
      </c>
      <c r="L4286" s="1"/>
      <c r="N4286" s="1"/>
      <c r="V4286" t="str">
        <f>"35680"</f>
        <v>35680</v>
      </c>
      <c r="W4286">
        <v>0</v>
      </c>
      <c r="X4286">
        <v>0</v>
      </c>
    </row>
    <row r="4287" spans="1:24" ht="15" customHeight="1" x14ac:dyDescent="0.25">
      <c r="A4287" t="str">
        <f>""</f>
        <v/>
      </c>
      <c r="B4287" s="1"/>
      <c r="H4287">
        <v>151</v>
      </c>
      <c r="J4287" t="s">
        <v>23</v>
      </c>
      <c r="L4287" s="1"/>
      <c r="N4287" s="1"/>
      <c r="V4287" t="str">
        <f>"14000"</f>
        <v>14000</v>
      </c>
      <c r="W4287">
        <v>0</v>
      </c>
      <c r="X4287">
        <v>25.67</v>
      </c>
    </row>
    <row r="4288" spans="1:24" ht="15" customHeight="1" x14ac:dyDescent="0.25">
      <c r="A4288" t="str">
        <f>""</f>
        <v/>
      </c>
      <c r="B4288" s="1"/>
      <c r="H4288">
        <v>158.12</v>
      </c>
      <c r="L4288" s="1"/>
      <c r="N4288" s="1"/>
      <c r="V4288" t="str">
        <f>"77184"</f>
        <v>77184</v>
      </c>
      <c r="W4288">
        <v>0</v>
      </c>
      <c r="X4288">
        <v>0</v>
      </c>
    </row>
    <row r="4289" spans="1:24" ht="15" customHeight="1" x14ac:dyDescent="0.25">
      <c r="A4289" t="str">
        <f>""</f>
        <v/>
      </c>
      <c r="B4289" s="1"/>
      <c r="H4289">
        <v>130</v>
      </c>
      <c r="L4289" s="1"/>
      <c r="N4289" s="1"/>
      <c r="V4289" t="str">
        <f>"77184"</f>
        <v>77184</v>
      </c>
      <c r="W4289">
        <v>0</v>
      </c>
      <c r="X4289">
        <v>0</v>
      </c>
    </row>
    <row r="4290" spans="1:24" ht="15" customHeight="1" x14ac:dyDescent="0.25">
      <c r="A4290" t="str">
        <f>""</f>
        <v/>
      </c>
      <c r="B4290" s="1"/>
      <c r="H4290">
        <v>19.649999999999999</v>
      </c>
      <c r="J4290" t="s">
        <v>19</v>
      </c>
      <c r="L4290" s="1"/>
      <c r="N4290" s="1"/>
      <c r="V4290" t="str">
        <f>"75014"</f>
        <v>75014</v>
      </c>
      <c r="W4290">
        <v>0</v>
      </c>
      <c r="X4290">
        <v>0</v>
      </c>
    </row>
    <row r="4291" spans="1:24" ht="15" customHeight="1" x14ac:dyDescent="0.25">
      <c r="A4291" t="str">
        <f>""</f>
        <v/>
      </c>
      <c r="B4291" s="1"/>
      <c r="H4291">
        <v>1.46</v>
      </c>
      <c r="J4291" t="s">
        <v>20</v>
      </c>
      <c r="L4291" s="1"/>
      <c r="N4291" s="1"/>
      <c r="V4291" t="str">
        <f>"67850"</f>
        <v>67850</v>
      </c>
      <c r="W4291">
        <v>0.42</v>
      </c>
      <c r="X4291">
        <v>0</v>
      </c>
    </row>
    <row r="4292" spans="1:24" ht="15" customHeight="1" x14ac:dyDescent="0.25">
      <c r="A4292" t="str">
        <f>""</f>
        <v/>
      </c>
      <c r="B4292" s="1"/>
      <c r="H4292">
        <v>80.400000000000006</v>
      </c>
      <c r="J4292" t="s">
        <v>23</v>
      </c>
      <c r="L4292" s="1"/>
      <c r="V4292" t="str">
        <f>"75010"</f>
        <v>75010</v>
      </c>
      <c r="W4292">
        <v>0</v>
      </c>
      <c r="X4292">
        <v>0</v>
      </c>
    </row>
    <row r="4293" spans="1:24" ht="15" customHeight="1" x14ac:dyDescent="0.25">
      <c r="A4293" t="str">
        <f>""</f>
        <v/>
      </c>
      <c r="B4293" s="1"/>
      <c r="H4293">
        <v>50</v>
      </c>
      <c r="J4293" t="s">
        <v>20</v>
      </c>
      <c r="L4293" s="1"/>
      <c r="N4293" s="1"/>
      <c r="V4293" t="str">
        <f>"13008"</f>
        <v>13008</v>
      </c>
      <c r="W4293">
        <v>14.5</v>
      </c>
      <c r="X4293">
        <v>0</v>
      </c>
    </row>
    <row r="4294" spans="1:24" ht="15" customHeight="1" x14ac:dyDescent="0.25">
      <c r="A4294" t="str">
        <f>""</f>
        <v/>
      </c>
      <c r="B4294" s="1"/>
      <c r="H4294">
        <v>180</v>
      </c>
      <c r="J4294" t="s">
        <v>23</v>
      </c>
      <c r="L4294" s="1"/>
      <c r="N4294" s="1"/>
      <c r="V4294" t="str">
        <f>"67600"</f>
        <v>67600</v>
      </c>
      <c r="W4294">
        <v>0</v>
      </c>
      <c r="X4294">
        <v>14.4</v>
      </c>
    </row>
    <row r="4295" spans="1:24" ht="15" customHeight="1" x14ac:dyDescent="0.25">
      <c r="A4295" t="str">
        <f>""</f>
        <v/>
      </c>
      <c r="B4295" s="1"/>
      <c r="H4295">
        <v>211.93</v>
      </c>
      <c r="J4295" t="s">
        <v>19</v>
      </c>
      <c r="L4295" s="1"/>
      <c r="N4295" s="1"/>
      <c r="V4295" t="str">
        <f>"59270"</f>
        <v>59270</v>
      </c>
      <c r="W4295">
        <v>40.270000000000003</v>
      </c>
      <c r="X4295">
        <v>0</v>
      </c>
    </row>
    <row r="4296" spans="1:24" ht="15" customHeight="1" x14ac:dyDescent="0.25">
      <c r="A4296" t="str">
        <f>""</f>
        <v/>
      </c>
      <c r="B4296" s="1"/>
      <c r="H4296">
        <v>40.049999999999997</v>
      </c>
      <c r="J4296" t="s">
        <v>19</v>
      </c>
      <c r="L4296" s="1"/>
      <c r="N4296" s="1"/>
      <c r="V4296" t="str">
        <f>"59270"</f>
        <v>59270</v>
      </c>
      <c r="W4296">
        <v>7.61</v>
      </c>
      <c r="X4296">
        <v>0</v>
      </c>
    </row>
    <row r="4297" spans="1:24" ht="15" customHeight="1" x14ac:dyDescent="0.25">
      <c r="A4297" t="str">
        <f>""</f>
        <v/>
      </c>
      <c r="B4297" s="1"/>
      <c r="H4297">
        <v>36</v>
      </c>
      <c r="L4297" s="1"/>
      <c r="N4297" s="1"/>
      <c r="V4297" t="str">
        <f>"77184"</f>
        <v>77184</v>
      </c>
      <c r="W4297">
        <v>0</v>
      </c>
      <c r="X4297">
        <v>0</v>
      </c>
    </row>
    <row r="4298" spans="1:24" ht="15" customHeight="1" x14ac:dyDescent="0.25">
      <c r="A4298" t="str">
        <f>""</f>
        <v/>
      </c>
      <c r="B4298" s="1"/>
      <c r="H4298">
        <v>25</v>
      </c>
      <c r="L4298" s="1"/>
      <c r="N4298" s="1"/>
      <c r="V4298" t="str">
        <f>"77184"</f>
        <v>77184</v>
      </c>
      <c r="W4298">
        <v>0</v>
      </c>
      <c r="X4298">
        <v>0</v>
      </c>
    </row>
    <row r="4299" spans="1:24" ht="15" customHeight="1" x14ac:dyDescent="0.25">
      <c r="A4299" t="str">
        <f>""</f>
        <v/>
      </c>
      <c r="B4299" s="1"/>
      <c r="H4299">
        <v>39.25</v>
      </c>
      <c r="J4299" t="s">
        <v>19</v>
      </c>
      <c r="L4299" s="1"/>
      <c r="N4299" s="1"/>
      <c r="V4299" t="str">
        <f>"62600"</f>
        <v>62600</v>
      </c>
      <c r="W4299">
        <v>7.46</v>
      </c>
      <c r="X4299">
        <v>0</v>
      </c>
    </row>
    <row r="4300" spans="1:24" ht="15" customHeight="1" x14ac:dyDescent="0.25">
      <c r="A4300" t="str">
        <f>""</f>
        <v/>
      </c>
      <c r="B4300" s="1"/>
      <c r="H4300">
        <v>40</v>
      </c>
      <c r="J4300" t="s">
        <v>20</v>
      </c>
      <c r="L4300" s="1"/>
      <c r="N4300" s="1"/>
      <c r="V4300" t="str">
        <f>"35400"</f>
        <v>35400</v>
      </c>
      <c r="W4300">
        <v>10.8</v>
      </c>
      <c r="X4300">
        <v>0</v>
      </c>
    </row>
    <row r="4301" spans="1:24" x14ac:dyDescent="0.25">
      <c r="A4301" t="str">
        <f>""</f>
        <v/>
      </c>
      <c r="B4301" s="1"/>
      <c r="H4301">
        <v>55</v>
      </c>
      <c r="J4301" t="s">
        <v>18</v>
      </c>
      <c r="L4301" s="1"/>
      <c r="N4301" s="1"/>
      <c r="V4301" t="str">
        <f>"50400"</f>
        <v>50400</v>
      </c>
      <c r="W4301">
        <v>0</v>
      </c>
      <c r="X4301">
        <v>0</v>
      </c>
    </row>
    <row r="4302" spans="1:24" ht="15" customHeight="1" x14ac:dyDescent="0.25">
      <c r="A4302" t="str">
        <f>""</f>
        <v/>
      </c>
      <c r="B4302" s="1"/>
      <c r="H4302">
        <v>135</v>
      </c>
      <c r="L4302" s="1"/>
      <c r="N4302" s="1"/>
      <c r="V4302" t="str">
        <f>"77184"</f>
        <v>77184</v>
      </c>
      <c r="W4302">
        <v>0</v>
      </c>
      <c r="X4302">
        <v>0</v>
      </c>
    </row>
    <row r="4303" spans="1:24" ht="15" customHeight="1" x14ac:dyDescent="0.25">
      <c r="A4303" t="str">
        <f>""</f>
        <v/>
      </c>
      <c r="B4303" s="1"/>
      <c r="H4303">
        <v>120.49</v>
      </c>
      <c r="J4303" t="s">
        <v>20</v>
      </c>
      <c r="L4303" s="1"/>
      <c r="N4303" s="1"/>
      <c r="V4303" t="str">
        <f>"76260"</f>
        <v>76260</v>
      </c>
      <c r="W4303">
        <v>20.48</v>
      </c>
      <c r="X4303">
        <v>0</v>
      </c>
    </row>
    <row r="4304" spans="1:24" ht="15" customHeight="1" x14ac:dyDescent="0.25">
      <c r="A4304" t="str">
        <f>""</f>
        <v/>
      </c>
      <c r="B4304" s="1"/>
      <c r="H4304">
        <v>55.34</v>
      </c>
      <c r="J4304" t="s">
        <v>19</v>
      </c>
      <c r="L4304" s="1"/>
      <c r="N4304" s="1"/>
      <c r="V4304" t="str">
        <f>"06140"</f>
        <v>06140</v>
      </c>
      <c r="W4304">
        <v>16.600000000000001</v>
      </c>
      <c r="X4304">
        <v>0</v>
      </c>
    </row>
    <row r="4305" spans="1:24" x14ac:dyDescent="0.25">
      <c r="A4305" t="str">
        <f>""</f>
        <v/>
      </c>
      <c r="B4305" s="1"/>
      <c r="H4305">
        <v>40</v>
      </c>
      <c r="J4305" t="s">
        <v>18</v>
      </c>
      <c r="L4305" s="1"/>
      <c r="N4305" s="1"/>
      <c r="V4305" t="str">
        <f>"85000"</f>
        <v>85000</v>
      </c>
      <c r="W4305">
        <v>0</v>
      </c>
      <c r="X4305">
        <v>0</v>
      </c>
    </row>
    <row r="4306" spans="1:24" x14ac:dyDescent="0.25">
      <c r="A4306" t="str">
        <f>""</f>
        <v/>
      </c>
      <c r="B4306" s="1"/>
      <c r="H4306">
        <v>67</v>
      </c>
      <c r="J4306" t="s">
        <v>16</v>
      </c>
      <c r="L4306" s="1"/>
      <c r="N4306" s="1"/>
      <c r="V4306" t="str">
        <f>"67230"</f>
        <v>67230</v>
      </c>
      <c r="W4306">
        <v>0</v>
      </c>
      <c r="X4306">
        <v>14.07</v>
      </c>
    </row>
    <row r="4307" spans="1:24" x14ac:dyDescent="0.25">
      <c r="A4307" t="str">
        <f>""</f>
        <v/>
      </c>
      <c r="B4307" s="1"/>
      <c r="H4307">
        <v>148.66</v>
      </c>
      <c r="J4307" t="s">
        <v>17</v>
      </c>
      <c r="L4307" s="1"/>
      <c r="N4307" s="1"/>
      <c r="V4307" t="str">
        <f>"75116"</f>
        <v>75116</v>
      </c>
      <c r="W4307">
        <v>0</v>
      </c>
      <c r="X4307">
        <v>0</v>
      </c>
    </row>
    <row r="4308" spans="1:24" ht="15" customHeight="1" x14ac:dyDescent="0.25">
      <c r="A4308" t="str">
        <f>""</f>
        <v/>
      </c>
      <c r="B4308" s="1"/>
      <c r="H4308">
        <v>60</v>
      </c>
      <c r="L4308" s="1"/>
      <c r="N4308" s="1"/>
      <c r="V4308" t="str">
        <f>"44240"</f>
        <v>44240</v>
      </c>
      <c r="W4308">
        <v>0</v>
      </c>
      <c r="X4308">
        <v>0</v>
      </c>
    </row>
    <row r="4309" spans="1:24" x14ac:dyDescent="0.25">
      <c r="A4309" t="str">
        <f>""</f>
        <v/>
      </c>
      <c r="B4309" s="1"/>
      <c r="H4309">
        <v>151</v>
      </c>
      <c r="J4309" t="s">
        <v>16</v>
      </c>
      <c r="L4309" s="1"/>
      <c r="N4309" s="1"/>
      <c r="V4309" t="str">
        <f>"94150"</f>
        <v>94150</v>
      </c>
      <c r="W4309">
        <v>0</v>
      </c>
      <c r="X4309">
        <v>28.69</v>
      </c>
    </row>
    <row r="4310" spans="1:24" ht="15" customHeight="1" x14ac:dyDescent="0.25">
      <c r="A4310" t="str">
        <f>""</f>
        <v/>
      </c>
      <c r="B4310" s="1"/>
      <c r="H4310">
        <v>32</v>
      </c>
      <c r="J4310" t="s">
        <v>23</v>
      </c>
      <c r="L4310" s="1"/>
      <c r="V4310" t="str">
        <f>"83400"</f>
        <v>83400</v>
      </c>
      <c r="W4310">
        <v>0</v>
      </c>
      <c r="X4310">
        <v>0</v>
      </c>
    </row>
    <row r="4311" spans="1:24" ht="15" customHeight="1" x14ac:dyDescent="0.25">
      <c r="A4311" t="str">
        <f>""</f>
        <v/>
      </c>
      <c r="B4311" s="1"/>
      <c r="H4311">
        <v>36.89</v>
      </c>
      <c r="L4311" s="1"/>
      <c r="N4311" s="1"/>
      <c r="V4311" t="str">
        <f>"77184"</f>
        <v>77184</v>
      </c>
      <c r="W4311">
        <v>0</v>
      </c>
      <c r="X4311">
        <v>0</v>
      </c>
    </row>
    <row r="4312" spans="1:24" x14ac:dyDescent="0.25">
      <c r="A4312" t="str">
        <f>""</f>
        <v/>
      </c>
      <c r="B4312" s="1"/>
      <c r="H4312">
        <v>181</v>
      </c>
      <c r="J4312" t="s">
        <v>16</v>
      </c>
      <c r="L4312" s="1"/>
      <c r="N4312" s="1"/>
      <c r="V4312" t="str">
        <f>"72000"</f>
        <v>72000</v>
      </c>
      <c r="W4312">
        <v>38.01</v>
      </c>
      <c r="X4312">
        <v>0</v>
      </c>
    </row>
    <row r="4313" spans="1:24" ht="15" customHeight="1" x14ac:dyDescent="0.25">
      <c r="A4313" t="str">
        <f>""</f>
        <v/>
      </c>
      <c r="B4313" s="1"/>
      <c r="H4313">
        <v>33.35</v>
      </c>
      <c r="J4313" t="s">
        <v>19</v>
      </c>
      <c r="L4313" s="1"/>
      <c r="N4313" s="1"/>
      <c r="V4313" t="str">
        <f>"69005"</f>
        <v>69005</v>
      </c>
      <c r="W4313">
        <v>9</v>
      </c>
      <c r="X4313">
        <v>0</v>
      </c>
    </row>
    <row r="4314" spans="1:24" ht="15" customHeight="1" x14ac:dyDescent="0.25">
      <c r="A4314" t="str">
        <f>""</f>
        <v/>
      </c>
      <c r="B4314" s="1"/>
      <c r="H4314">
        <v>71.819999999999993</v>
      </c>
      <c r="J4314" t="s">
        <v>23</v>
      </c>
      <c r="L4314" s="1"/>
      <c r="N4314" s="1"/>
      <c r="V4314" t="str">
        <f>"69003"</f>
        <v>69003</v>
      </c>
      <c r="W4314">
        <v>0</v>
      </c>
      <c r="X4314">
        <v>0</v>
      </c>
    </row>
    <row r="4315" spans="1:24" ht="15" customHeight="1" x14ac:dyDescent="0.25">
      <c r="A4315" t="str">
        <f>""</f>
        <v/>
      </c>
      <c r="B4315" s="1"/>
      <c r="H4315">
        <v>70</v>
      </c>
      <c r="J4315" t="s">
        <v>23</v>
      </c>
      <c r="L4315" s="1"/>
      <c r="N4315" s="1"/>
      <c r="V4315" t="str">
        <f>"38110"</f>
        <v>38110</v>
      </c>
      <c r="W4315">
        <v>0</v>
      </c>
      <c r="X4315">
        <v>0</v>
      </c>
    </row>
    <row r="4316" spans="1:24" ht="15" customHeight="1" x14ac:dyDescent="0.25">
      <c r="A4316" t="str">
        <f>""</f>
        <v/>
      </c>
      <c r="B4316" s="1"/>
      <c r="H4316">
        <v>150</v>
      </c>
      <c r="L4316" s="1"/>
      <c r="N4316" s="1"/>
      <c r="V4316" t="str">
        <f>"77184"</f>
        <v>77184</v>
      </c>
      <c r="W4316">
        <v>0</v>
      </c>
      <c r="X4316">
        <v>0</v>
      </c>
    </row>
    <row r="4317" spans="1:24" ht="15" customHeight="1" x14ac:dyDescent="0.25">
      <c r="A4317" t="str">
        <f>""</f>
        <v/>
      </c>
      <c r="B4317" s="1"/>
      <c r="H4317">
        <v>70</v>
      </c>
      <c r="J4317" t="s">
        <v>22</v>
      </c>
      <c r="L4317" s="1"/>
      <c r="N4317" s="1"/>
      <c r="V4317" t="str">
        <f>"06000"</f>
        <v>06000</v>
      </c>
      <c r="W4317">
        <v>0</v>
      </c>
      <c r="X4317">
        <v>0</v>
      </c>
    </row>
    <row r="4318" spans="1:24" ht="15" customHeight="1" x14ac:dyDescent="0.25">
      <c r="A4318" t="str">
        <f>""</f>
        <v/>
      </c>
      <c r="B4318" s="1"/>
      <c r="H4318">
        <v>51.8</v>
      </c>
      <c r="J4318" t="s">
        <v>22</v>
      </c>
      <c r="L4318" s="1"/>
      <c r="N4318" s="1"/>
      <c r="V4318" t="str">
        <f>"06000"</f>
        <v>06000</v>
      </c>
      <c r="W4318">
        <v>0</v>
      </c>
      <c r="X4318">
        <v>0</v>
      </c>
    </row>
    <row r="4319" spans="1:24" ht="15" customHeight="1" x14ac:dyDescent="0.25">
      <c r="A4319" t="str">
        <f>""</f>
        <v/>
      </c>
      <c r="B4319" s="1"/>
      <c r="J4319" t="s">
        <v>20</v>
      </c>
      <c r="L4319" s="1"/>
      <c r="N4319" s="1"/>
      <c r="V4319" t="str">
        <f>"33700"</f>
        <v>33700</v>
      </c>
      <c r="W4319">
        <v>0</v>
      </c>
      <c r="X4319">
        <v>0</v>
      </c>
    </row>
    <row r="4320" spans="1:24" ht="15" customHeight="1" x14ac:dyDescent="0.25">
      <c r="A4320" t="str">
        <f>""</f>
        <v/>
      </c>
      <c r="B4320" s="1"/>
      <c r="H4320">
        <v>29.59</v>
      </c>
      <c r="J4320" t="s">
        <v>22</v>
      </c>
      <c r="L4320" s="1"/>
      <c r="N4320" s="1"/>
      <c r="V4320" t="str">
        <f>"69006"</f>
        <v>69006</v>
      </c>
      <c r="W4320">
        <v>0</v>
      </c>
      <c r="X4320">
        <v>0</v>
      </c>
    </row>
    <row r="4321" spans="1:24" ht="15" customHeight="1" x14ac:dyDescent="0.25">
      <c r="A4321" t="str">
        <f>""</f>
        <v/>
      </c>
      <c r="B4321" s="1"/>
      <c r="H4321">
        <v>29.59</v>
      </c>
      <c r="J4321" t="s">
        <v>22</v>
      </c>
      <c r="L4321" s="1"/>
      <c r="N4321" s="1"/>
      <c r="V4321" t="str">
        <f>"69006"</f>
        <v>69006</v>
      </c>
      <c r="W4321">
        <v>0</v>
      </c>
      <c r="X4321">
        <v>0</v>
      </c>
    </row>
    <row r="4322" spans="1:24" ht="15" customHeight="1" x14ac:dyDescent="0.25">
      <c r="A4322" t="str">
        <f>""</f>
        <v/>
      </c>
      <c r="B4322" s="1"/>
      <c r="H4322">
        <v>151</v>
      </c>
      <c r="J4322" t="s">
        <v>22</v>
      </c>
      <c r="L4322" s="1"/>
      <c r="N4322" s="1"/>
      <c r="V4322" t="str">
        <f>"59550"</f>
        <v>59550</v>
      </c>
      <c r="W4322">
        <v>0</v>
      </c>
      <c r="X4322">
        <v>0</v>
      </c>
    </row>
    <row r="4323" spans="1:24" ht="15" customHeight="1" x14ac:dyDescent="0.25">
      <c r="A4323" t="str">
        <f>""</f>
        <v/>
      </c>
      <c r="B4323" s="1"/>
      <c r="H4323">
        <v>20</v>
      </c>
      <c r="J4323" t="s">
        <v>23</v>
      </c>
      <c r="L4323" s="1"/>
      <c r="N4323" s="1"/>
      <c r="V4323" t="str">
        <f>"38120"</f>
        <v>38120</v>
      </c>
      <c r="W4323">
        <v>0</v>
      </c>
      <c r="X4323">
        <v>0</v>
      </c>
    </row>
    <row r="4324" spans="1:24" ht="15" customHeight="1" x14ac:dyDescent="0.25">
      <c r="A4324" t="str">
        <f>""</f>
        <v/>
      </c>
      <c r="B4324" s="1"/>
      <c r="H4324">
        <v>29.8</v>
      </c>
      <c r="J4324" t="s">
        <v>23</v>
      </c>
      <c r="L4324" s="1"/>
      <c r="V4324" t="str">
        <f>"13014"</f>
        <v>13014</v>
      </c>
      <c r="W4324">
        <v>0</v>
      </c>
      <c r="X4324">
        <v>0</v>
      </c>
    </row>
    <row r="4325" spans="1:24" ht="15" customHeight="1" x14ac:dyDescent="0.25">
      <c r="A4325" t="str">
        <f>""</f>
        <v/>
      </c>
      <c r="B4325" s="1"/>
      <c r="H4325">
        <v>180</v>
      </c>
      <c r="J4325" t="s">
        <v>22</v>
      </c>
      <c r="L4325" s="1"/>
      <c r="V4325" t="str">
        <f>"69100"</f>
        <v>69100</v>
      </c>
      <c r="W4325">
        <v>0</v>
      </c>
      <c r="X4325">
        <v>0</v>
      </c>
    </row>
    <row r="4326" spans="1:24" ht="15" customHeight="1" x14ac:dyDescent="0.25">
      <c r="A4326" t="str">
        <f>""</f>
        <v/>
      </c>
      <c r="B4326" s="1"/>
      <c r="H4326">
        <v>180</v>
      </c>
      <c r="J4326" t="s">
        <v>22</v>
      </c>
      <c r="L4326" s="1"/>
      <c r="V4326" t="str">
        <f>"69100"</f>
        <v>69100</v>
      </c>
      <c r="W4326">
        <v>0</v>
      </c>
      <c r="X4326">
        <v>0</v>
      </c>
    </row>
    <row r="4327" spans="1:24" ht="15" customHeight="1" x14ac:dyDescent="0.25">
      <c r="A4327" t="str">
        <f>""</f>
        <v/>
      </c>
      <c r="B4327" s="1"/>
      <c r="H4327">
        <v>40</v>
      </c>
      <c r="J4327" t="s">
        <v>23</v>
      </c>
      <c r="L4327" s="1"/>
      <c r="N4327" s="1"/>
      <c r="V4327" t="str">
        <f>"67200"</f>
        <v>67200</v>
      </c>
      <c r="W4327">
        <v>0</v>
      </c>
      <c r="X4327">
        <v>3.2</v>
      </c>
    </row>
    <row r="4328" spans="1:24" ht="15" customHeight="1" x14ac:dyDescent="0.25">
      <c r="A4328" t="str">
        <f>""</f>
        <v/>
      </c>
      <c r="B4328" s="1"/>
      <c r="H4328">
        <v>40</v>
      </c>
      <c r="J4328" t="s">
        <v>23</v>
      </c>
      <c r="L4328" s="1"/>
      <c r="V4328" t="str">
        <f>"13014"</f>
        <v>13014</v>
      </c>
      <c r="W4328">
        <v>0</v>
      </c>
      <c r="X4328">
        <v>0</v>
      </c>
    </row>
    <row r="4329" spans="1:24" ht="15" customHeight="1" x14ac:dyDescent="0.25">
      <c r="A4329" t="str">
        <f>""</f>
        <v/>
      </c>
      <c r="B4329" s="1"/>
      <c r="H4329">
        <v>200</v>
      </c>
      <c r="J4329" t="s">
        <v>22</v>
      </c>
      <c r="L4329" s="1"/>
      <c r="N4329" s="1"/>
      <c r="V4329" t="str">
        <f>"75012"</f>
        <v>75012</v>
      </c>
      <c r="W4329">
        <v>0</v>
      </c>
      <c r="X4329">
        <v>0</v>
      </c>
    </row>
    <row r="4330" spans="1:24" ht="15" customHeight="1" x14ac:dyDescent="0.25">
      <c r="A4330" t="str">
        <f>""</f>
        <v/>
      </c>
      <c r="B4330" s="1"/>
      <c r="H4330">
        <v>141.25</v>
      </c>
      <c r="J4330" t="s">
        <v>23</v>
      </c>
      <c r="L4330" s="1"/>
      <c r="V4330" t="str">
        <f>"41000"</f>
        <v>41000</v>
      </c>
      <c r="W4330">
        <v>0</v>
      </c>
      <c r="X4330">
        <v>0</v>
      </c>
    </row>
    <row r="4331" spans="1:24" ht="15" customHeight="1" x14ac:dyDescent="0.25">
      <c r="A4331" t="str">
        <f>""</f>
        <v/>
      </c>
      <c r="B4331" s="1"/>
      <c r="H4331">
        <v>151</v>
      </c>
      <c r="J4331" t="s">
        <v>23</v>
      </c>
      <c r="L4331" s="1"/>
      <c r="V4331" t="str">
        <f>"25770"</f>
        <v>25770</v>
      </c>
      <c r="W4331">
        <v>0</v>
      </c>
      <c r="X4331">
        <v>0</v>
      </c>
    </row>
    <row r="4332" spans="1:24" ht="15" customHeight="1" x14ac:dyDescent="0.25">
      <c r="A4332" t="str">
        <f>""</f>
        <v/>
      </c>
      <c r="B4332" s="1"/>
      <c r="H4332">
        <v>205</v>
      </c>
      <c r="J4332" t="s">
        <v>23</v>
      </c>
      <c r="L4332" s="1"/>
      <c r="N4332" s="1"/>
      <c r="V4332" t="str">
        <f>"73370"</f>
        <v>73370</v>
      </c>
      <c r="W4332">
        <v>0</v>
      </c>
      <c r="X4332">
        <v>0</v>
      </c>
    </row>
    <row r="4333" spans="1:24" ht="15" customHeight="1" x14ac:dyDescent="0.25">
      <c r="A4333" t="str">
        <f>""</f>
        <v/>
      </c>
      <c r="B4333" s="1"/>
      <c r="H4333">
        <v>93.38</v>
      </c>
      <c r="J4333" t="s">
        <v>22</v>
      </c>
      <c r="L4333" s="1"/>
      <c r="V4333" t="str">
        <f>"74940"</f>
        <v>74940</v>
      </c>
      <c r="W4333">
        <v>0</v>
      </c>
      <c r="X4333">
        <v>0</v>
      </c>
    </row>
    <row r="4334" spans="1:24" ht="15" customHeight="1" x14ac:dyDescent="0.25">
      <c r="A4334" t="str">
        <f>""</f>
        <v/>
      </c>
      <c r="B4334" s="1"/>
      <c r="H4334">
        <v>19.399999999999999</v>
      </c>
      <c r="J4334" t="s">
        <v>22</v>
      </c>
      <c r="L4334" s="1"/>
      <c r="V4334" t="str">
        <f>"27300"</f>
        <v>27300</v>
      </c>
      <c r="W4334">
        <v>0</v>
      </c>
      <c r="X4334">
        <v>0</v>
      </c>
    </row>
    <row r="4335" spans="1:24" x14ac:dyDescent="0.25">
      <c r="A4335" t="str">
        <f>""</f>
        <v/>
      </c>
      <c r="B4335" s="1"/>
      <c r="H4335">
        <v>18.8</v>
      </c>
      <c r="J4335" t="s">
        <v>17</v>
      </c>
      <c r="L4335" s="1"/>
      <c r="V4335" t="str">
        <f>"51000"</f>
        <v>51000</v>
      </c>
      <c r="W4335">
        <v>0</v>
      </c>
      <c r="X4335">
        <v>0</v>
      </c>
    </row>
    <row r="4336" spans="1:24" x14ac:dyDescent="0.25">
      <c r="A4336" t="str">
        <f>""</f>
        <v/>
      </c>
      <c r="B4336" s="1"/>
      <c r="H4336">
        <v>123.1</v>
      </c>
      <c r="J4336" t="s">
        <v>16</v>
      </c>
      <c r="L4336" s="1"/>
      <c r="N4336" s="1"/>
      <c r="V4336" t="str">
        <f>"74200"</f>
        <v>74200</v>
      </c>
      <c r="W4336">
        <v>0</v>
      </c>
      <c r="X4336">
        <v>0</v>
      </c>
    </row>
    <row r="4337" spans="1:24" ht="15" customHeight="1" x14ac:dyDescent="0.25">
      <c r="A4337" t="str">
        <f>""</f>
        <v/>
      </c>
      <c r="B4337" s="1"/>
      <c r="H4337">
        <v>275</v>
      </c>
      <c r="J4337" t="s">
        <v>22</v>
      </c>
      <c r="L4337" s="1"/>
      <c r="N4337" s="1"/>
      <c r="V4337" t="str">
        <f>"69200"</f>
        <v>69200</v>
      </c>
      <c r="W4337">
        <v>0</v>
      </c>
      <c r="X4337">
        <v>0</v>
      </c>
    </row>
    <row r="4338" spans="1:24" x14ac:dyDescent="0.25">
      <c r="A4338" t="str">
        <f>""</f>
        <v/>
      </c>
      <c r="B4338" s="1"/>
      <c r="H4338">
        <v>52.5</v>
      </c>
      <c r="J4338" t="s">
        <v>15</v>
      </c>
      <c r="L4338" s="1"/>
      <c r="N4338" s="1"/>
      <c r="V4338" t="str">
        <f>"59100"</f>
        <v>59100</v>
      </c>
      <c r="W4338">
        <v>0</v>
      </c>
      <c r="X4338">
        <v>0</v>
      </c>
    </row>
    <row r="4339" spans="1:24" x14ac:dyDescent="0.25">
      <c r="A4339" t="str">
        <f>""</f>
        <v/>
      </c>
      <c r="B4339" s="1"/>
      <c r="H4339">
        <v>52.5</v>
      </c>
      <c r="J4339" t="s">
        <v>15</v>
      </c>
      <c r="L4339" s="1"/>
      <c r="N4339" s="1"/>
      <c r="V4339" t="str">
        <f>"42000"</f>
        <v>42000</v>
      </c>
      <c r="W4339">
        <v>0</v>
      </c>
      <c r="X4339">
        <v>0</v>
      </c>
    </row>
    <row r="4340" spans="1:24" x14ac:dyDescent="0.25">
      <c r="A4340" t="str">
        <f>""</f>
        <v/>
      </c>
      <c r="B4340" s="1"/>
      <c r="H4340">
        <v>52.5</v>
      </c>
      <c r="J4340" t="s">
        <v>15</v>
      </c>
      <c r="L4340" s="1"/>
      <c r="N4340" s="1"/>
      <c r="V4340" t="str">
        <f>"59400"</f>
        <v>59400</v>
      </c>
      <c r="W4340">
        <v>0</v>
      </c>
      <c r="X4340">
        <v>0</v>
      </c>
    </row>
    <row r="4341" spans="1:24" ht="15" customHeight="1" x14ac:dyDescent="0.25">
      <c r="A4341" t="str">
        <f>""</f>
        <v/>
      </c>
      <c r="B4341" s="1"/>
      <c r="H4341">
        <v>499.25</v>
      </c>
      <c r="J4341" t="s">
        <v>23</v>
      </c>
      <c r="L4341" s="1"/>
      <c r="N4341" s="1"/>
      <c r="V4341" t="str">
        <f>"24000"</f>
        <v>24000</v>
      </c>
      <c r="W4341">
        <v>0</v>
      </c>
      <c r="X4341">
        <v>84.87</v>
      </c>
    </row>
    <row r="4342" spans="1:24" ht="15" customHeight="1" x14ac:dyDescent="0.25">
      <c r="A4342" t="str">
        <f>""</f>
        <v/>
      </c>
      <c r="B4342" s="1"/>
      <c r="H4342">
        <v>180</v>
      </c>
      <c r="J4342" t="s">
        <v>23</v>
      </c>
      <c r="L4342" s="1"/>
      <c r="V4342" t="str">
        <f>"76000"</f>
        <v>76000</v>
      </c>
      <c r="W4342">
        <v>0</v>
      </c>
      <c r="X4342">
        <v>0</v>
      </c>
    </row>
    <row r="4343" spans="1:24" ht="15" customHeight="1" x14ac:dyDescent="0.25">
      <c r="A4343" t="str">
        <f>""</f>
        <v/>
      </c>
      <c r="B4343" s="1"/>
      <c r="H4343">
        <v>999</v>
      </c>
      <c r="J4343" t="s">
        <v>23</v>
      </c>
      <c r="L4343" s="1"/>
      <c r="V4343" t="str">
        <f>"81500"</f>
        <v>81500</v>
      </c>
      <c r="W4343">
        <v>0</v>
      </c>
      <c r="X4343">
        <v>0</v>
      </c>
    </row>
    <row r="4344" spans="1:24" x14ac:dyDescent="0.25">
      <c r="A4344" t="str">
        <f>""</f>
        <v/>
      </c>
      <c r="B4344" s="1"/>
      <c r="H4344">
        <v>75.959999999999994</v>
      </c>
      <c r="J4344" t="s">
        <v>18</v>
      </c>
      <c r="L4344" s="1"/>
      <c r="N4344" s="1"/>
      <c r="V4344" t="str">
        <f>"54190"</f>
        <v>54190</v>
      </c>
      <c r="W4344">
        <v>0</v>
      </c>
      <c r="X4344">
        <v>0</v>
      </c>
    </row>
    <row r="4345" spans="1:24" ht="15" customHeight="1" x14ac:dyDescent="0.25">
      <c r="A4345" t="str">
        <f>""</f>
        <v/>
      </c>
      <c r="B4345" s="1"/>
      <c r="H4345">
        <v>1379.65</v>
      </c>
      <c r="J4345" t="s">
        <v>22</v>
      </c>
      <c r="L4345" s="1"/>
      <c r="N4345" s="1"/>
      <c r="V4345" t="str">
        <f>"93000"</f>
        <v>93000</v>
      </c>
      <c r="W4345">
        <v>0</v>
      </c>
      <c r="X4345">
        <v>0</v>
      </c>
    </row>
    <row r="4346" spans="1:24" ht="15" customHeight="1" x14ac:dyDescent="0.25">
      <c r="A4346" t="str">
        <f>""</f>
        <v/>
      </c>
      <c r="B4346" s="1"/>
      <c r="H4346">
        <v>40</v>
      </c>
      <c r="J4346" t="s">
        <v>22</v>
      </c>
      <c r="L4346" s="1"/>
      <c r="V4346" t="str">
        <f>"61100"</f>
        <v>61100</v>
      </c>
      <c r="W4346">
        <v>0</v>
      </c>
      <c r="X4346">
        <v>0</v>
      </c>
    </row>
    <row r="4347" spans="1:24" ht="15" customHeight="1" x14ac:dyDescent="0.25">
      <c r="A4347" t="str">
        <f>""</f>
        <v/>
      </c>
      <c r="B4347" s="1"/>
      <c r="H4347">
        <v>58.2</v>
      </c>
      <c r="J4347" t="s">
        <v>22</v>
      </c>
      <c r="L4347" s="1"/>
      <c r="N4347" s="1"/>
      <c r="V4347" t="str">
        <f>"26000"</f>
        <v>26000</v>
      </c>
      <c r="W4347">
        <v>0</v>
      </c>
      <c r="X4347">
        <v>0</v>
      </c>
    </row>
    <row r="4348" spans="1:24" ht="15" customHeight="1" x14ac:dyDescent="0.25">
      <c r="A4348" t="str">
        <f>""</f>
        <v/>
      </c>
      <c r="B4348" s="1"/>
      <c r="H4348">
        <v>180</v>
      </c>
      <c r="J4348" t="s">
        <v>23</v>
      </c>
      <c r="L4348" s="1"/>
      <c r="N4348" s="1"/>
      <c r="V4348" t="str">
        <f>"44300"</f>
        <v>44300</v>
      </c>
      <c r="W4348">
        <v>0</v>
      </c>
      <c r="X4348">
        <v>0</v>
      </c>
    </row>
    <row r="4349" spans="1:24" ht="15" customHeight="1" x14ac:dyDescent="0.25">
      <c r="A4349" t="str">
        <f>""</f>
        <v/>
      </c>
      <c r="B4349" s="1"/>
      <c r="H4349">
        <v>131.19999999999999</v>
      </c>
      <c r="J4349" t="s">
        <v>22</v>
      </c>
      <c r="L4349" s="1"/>
      <c r="N4349" s="1"/>
      <c r="V4349" t="str">
        <f>"67000"</f>
        <v>67000</v>
      </c>
      <c r="W4349">
        <v>0</v>
      </c>
      <c r="X4349">
        <v>10.5</v>
      </c>
    </row>
    <row r="4350" spans="1:24" ht="15" customHeight="1" x14ac:dyDescent="0.25">
      <c r="A4350" t="str">
        <f>""</f>
        <v/>
      </c>
      <c r="B4350" s="1"/>
      <c r="H4350">
        <v>180</v>
      </c>
      <c r="J4350" t="s">
        <v>23</v>
      </c>
      <c r="L4350" s="1"/>
      <c r="N4350" s="1"/>
      <c r="V4350" t="str">
        <f>"62320"</f>
        <v>62320</v>
      </c>
      <c r="W4350">
        <v>0</v>
      </c>
      <c r="X4350">
        <v>0</v>
      </c>
    </row>
    <row r="4351" spans="1:24" ht="15" customHeight="1" x14ac:dyDescent="0.25">
      <c r="A4351" t="str">
        <f>""</f>
        <v/>
      </c>
      <c r="B4351" s="1"/>
      <c r="H4351">
        <v>151</v>
      </c>
      <c r="J4351" t="s">
        <v>22</v>
      </c>
      <c r="L4351" s="1"/>
      <c r="N4351" s="1"/>
      <c r="V4351" t="str">
        <f>"06560"</f>
        <v>06560</v>
      </c>
      <c r="W4351">
        <v>0</v>
      </c>
      <c r="X4351">
        <v>0</v>
      </c>
    </row>
    <row r="4352" spans="1:24" ht="15" customHeight="1" x14ac:dyDescent="0.25">
      <c r="A4352" t="str">
        <f>""</f>
        <v/>
      </c>
      <c r="B4352" s="1"/>
      <c r="H4352">
        <v>75.16</v>
      </c>
      <c r="J4352" t="s">
        <v>19</v>
      </c>
      <c r="L4352" s="1"/>
      <c r="N4352" s="1"/>
      <c r="V4352" t="str">
        <f>"71380"</f>
        <v>71380</v>
      </c>
      <c r="W4352">
        <v>20.29</v>
      </c>
      <c r="X4352">
        <v>0</v>
      </c>
    </row>
    <row r="4353" spans="1:24" ht="15" customHeight="1" x14ac:dyDescent="0.25">
      <c r="A4353" t="str">
        <f>""</f>
        <v/>
      </c>
      <c r="B4353" s="1"/>
      <c r="H4353">
        <v>42.06</v>
      </c>
      <c r="J4353" t="s">
        <v>23</v>
      </c>
      <c r="L4353" s="1"/>
      <c r="N4353" s="1"/>
      <c r="V4353" t="str">
        <f>"76100"</f>
        <v>76100</v>
      </c>
      <c r="W4353">
        <v>0</v>
      </c>
      <c r="X4353">
        <v>0</v>
      </c>
    </row>
    <row r="4354" spans="1:24" x14ac:dyDescent="0.25">
      <c r="A4354" t="str">
        <f>""</f>
        <v/>
      </c>
      <c r="B4354" s="1"/>
      <c r="H4354">
        <v>23.4</v>
      </c>
      <c r="J4354" t="s">
        <v>16</v>
      </c>
      <c r="L4354" s="1"/>
      <c r="N4354" s="1"/>
      <c r="V4354" t="str">
        <f>"38690"</f>
        <v>38690</v>
      </c>
      <c r="W4354">
        <v>0</v>
      </c>
      <c r="X4354">
        <v>0</v>
      </c>
    </row>
    <row r="4355" spans="1:24" ht="15" customHeight="1" x14ac:dyDescent="0.25">
      <c r="A4355" t="str">
        <f>""</f>
        <v/>
      </c>
      <c r="B4355" s="1"/>
      <c r="H4355">
        <v>193.58</v>
      </c>
      <c r="J4355" t="s">
        <v>20</v>
      </c>
      <c r="L4355" s="1"/>
      <c r="N4355" s="1"/>
      <c r="V4355" t="str">
        <f>"14000"</f>
        <v>14000</v>
      </c>
      <c r="W4355">
        <v>32.909999999999997</v>
      </c>
      <c r="X4355">
        <v>0</v>
      </c>
    </row>
    <row r="4356" spans="1:24" ht="15" customHeight="1" x14ac:dyDescent="0.25">
      <c r="A4356" t="str">
        <f>""</f>
        <v/>
      </c>
      <c r="B4356" s="1"/>
      <c r="H4356">
        <v>32.6</v>
      </c>
      <c r="J4356" t="s">
        <v>23</v>
      </c>
      <c r="L4356" s="1"/>
      <c r="N4356" s="1"/>
      <c r="V4356" t="str">
        <f>"75004"</f>
        <v>75004</v>
      </c>
      <c r="W4356">
        <v>0</v>
      </c>
      <c r="X4356">
        <v>0</v>
      </c>
    </row>
    <row r="4357" spans="1:24" ht="15" customHeight="1" x14ac:dyDescent="0.25">
      <c r="A4357" t="str">
        <f>""</f>
        <v/>
      </c>
      <c r="B4357" s="1"/>
      <c r="H4357">
        <v>142.84</v>
      </c>
      <c r="J4357" t="s">
        <v>23</v>
      </c>
      <c r="L4357" s="1"/>
      <c r="N4357" s="1"/>
      <c r="V4357" t="str">
        <f>"13009"</f>
        <v>13009</v>
      </c>
      <c r="W4357">
        <v>0</v>
      </c>
      <c r="X4357">
        <v>27.14</v>
      </c>
    </row>
    <row r="4358" spans="1:24" x14ac:dyDescent="0.25">
      <c r="A4358" t="str">
        <f>""</f>
        <v/>
      </c>
      <c r="B4358" s="1"/>
      <c r="H4358">
        <v>53.54</v>
      </c>
      <c r="J4358" t="s">
        <v>16</v>
      </c>
      <c r="L4358" s="1"/>
      <c r="N4358" s="1"/>
      <c r="V4358" t="str">
        <f>"31700"</f>
        <v>31700</v>
      </c>
      <c r="W4358">
        <v>11.78</v>
      </c>
      <c r="X4358">
        <v>0</v>
      </c>
    </row>
    <row r="4359" spans="1:24" ht="15" customHeight="1" x14ac:dyDescent="0.25">
      <c r="A4359" t="str">
        <f>""</f>
        <v/>
      </c>
      <c r="B4359" s="1"/>
      <c r="H4359">
        <v>84.5</v>
      </c>
      <c r="L4359" s="1"/>
      <c r="V4359" t="str">
        <f>"77184"</f>
        <v>77184</v>
      </c>
      <c r="W4359">
        <v>0</v>
      </c>
      <c r="X4359">
        <v>0</v>
      </c>
    </row>
    <row r="4360" spans="1:24" ht="15" customHeight="1" x14ac:dyDescent="0.25">
      <c r="A4360" t="str">
        <f>""</f>
        <v/>
      </c>
      <c r="B4360" s="1"/>
      <c r="H4360">
        <v>97</v>
      </c>
      <c r="L4360" s="1"/>
      <c r="N4360" s="1"/>
      <c r="V4360" t="str">
        <f>"77184"</f>
        <v>77184</v>
      </c>
      <c r="W4360">
        <v>0</v>
      </c>
      <c r="X4360">
        <v>0</v>
      </c>
    </row>
    <row r="4361" spans="1:24" ht="15" customHeight="1" x14ac:dyDescent="0.25">
      <c r="A4361" t="str">
        <f>""</f>
        <v/>
      </c>
      <c r="B4361" s="1"/>
      <c r="H4361">
        <v>129.82</v>
      </c>
      <c r="J4361" t="s">
        <v>20</v>
      </c>
      <c r="L4361" s="1"/>
      <c r="N4361" s="1"/>
      <c r="V4361" t="str">
        <f>"33700"</f>
        <v>33700</v>
      </c>
      <c r="W4361">
        <v>27.26</v>
      </c>
      <c r="X4361">
        <v>0</v>
      </c>
    </row>
    <row r="4362" spans="1:24" ht="15" customHeight="1" x14ac:dyDescent="0.25">
      <c r="A4362" t="str">
        <f>""</f>
        <v/>
      </c>
      <c r="B4362" s="1"/>
      <c r="H4362">
        <v>120.85</v>
      </c>
      <c r="J4362" t="s">
        <v>20</v>
      </c>
      <c r="L4362" s="1"/>
      <c r="V4362" t="str">
        <f>"57370"</f>
        <v>57370</v>
      </c>
      <c r="W4362">
        <v>0</v>
      </c>
      <c r="X4362">
        <v>0</v>
      </c>
    </row>
    <row r="4363" spans="1:24" ht="15" customHeight="1" x14ac:dyDescent="0.25">
      <c r="A4363" t="str">
        <f>""</f>
        <v/>
      </c>
      <c r="B4363" s="1"/>
      <c r="J4363" t="s">
        <v>20</v>
      </c>
      <c r="L4363" s="1"/>
      <c r="N4363" s="1"/>
      <c r="V4363" t="str">
        <f>"93400"</f>
        <v>93400</v>
      </c>
      <c r="W4363">
        <v>0</v>
      </c>
      <c r="X4363">
        <v>0</v>
      </c>
    </row>
    <row r="4364" spans="1:24" x14ac:dyDescent="0.25">
      <c r="A4364" t="str">
        <f>""</f>
        <v/>
      </c>
      <c r="B4364" s="1"/>
      <c r="H4364">
        <v>180</v>
      </c>
      <c r="J4364" t="s">
        <v>17</v>
      </c>
      <c r="L4364" s="1"/>
      <c r="N4364" s="1"/>
      <c r="V4364" t="str">
        <f>"79280"</f>
        <v>79280</v>
      </c>
      <c r="W4364">
        <v>0</v>
      </c>
      <c r="X4364">
        <v>0</v>
      </c>
    </row>
    <row r="4365" spans="1:24" ht="15" customHeight="1" x14ac:dyDescent="0.25">
      <c r="A4365" t="str">
        <f>""</f>
        <v/>
      </c>
      <c r="B4365" s="1"/>
      <c r="H4365">
        <v>19.649999999999999</v>
      </c>
      <c r="J4365" t="s">
        <v>19</v>
      </c>
      <c r="L4365" s="1"/>
      <c r="N4365" s="1"/>
      <c r="V4365" t="str">
        <f>"75014"</f>
        <v>75014</v>
      </c>
      <c r="W4365">
        <v>0</v>
      </c>
      <c r="X4365">
        <v>0</v>
      </c>
    </row>
    <row r="4366" spans="1:24" ht="15" customHeight="1" x14ac:dyDescent="0.25">
      <c r="A4366" t="str">
        <f>""</f>
        <v/>
      </c>
      <c r="B4366" s="1"/>
      <c r="H4366">
        <v>315.43</v>
      </c>
      <c r="J4366" t="s">
        <v>22</v>
      </c>
      <c r="L4366" s="1"/>
      <c r="V4366" t="str">
        <f>"67230"</f>
        <v>67230</v>
      </c>
      <c r="W4366">
        <v>0</v>
      </c>
      <c r="X4366">
        <v>0</v>
      </c>
    </row>
    <row r="4367" spans="1:24" ht="15" customHeight="1" x14ac:dyDescent="0.25">
      <c r="A4367" t="str">
        <f>""</f>
        <v/>
      </c>
      <c r="B4367" s="1"/>
      <c r="H4367">
        <v>591</v>
      </c>
      <c r="J4367" t="s">
        <v>20</v>
      </c>
      <c r="L4367" s="1"/>
      <c r="N4367" s="1"/>
      <c r="V4367" t="str">
        <f>"13200"</f>
        <v>13200</v>
      </c>
      <c r="W4367">
        <v>171.39</v>
      </c>
      <c r="X4367">
        <v>0</v>
      </c>
    </row>
    <row r="4368" spans="1:24" ht="15" customHeight="1" x14ac:dyDescent="0.25">
      <c r="A4368" t="str">
        <f>""</f>
        <v/>
      </c>
      <c r="B4368" s="1"/>
      <c r="H4368">
        <v>153.51</v>
      </c>
      <c r="J4368" t="s">
        <v>20</v>
      </c>
      <c r="L4368" s="1"/>
      <c r="N4368" s="1"/>
      <c r="V4368" t="str">
        <f>"59211"</f>
        <v>59211</v>
      </c>
      <c r="W4368">
        <v>29.17</v>
      </c>
      <c r="X4368">
        <v>0</v>
      </c>
    </row>
    <row r="4369" spans="1:24" x14ac:dyDescent="0.25">
      <c r="A4369" t="str">
        <f>""</f>
        <v/>
      </c>
      <c r="B4369" s="1"/>
      <c r="H4369">
        <v>140</v>
      </c>
      <c r="J4369" t="s">
        <v>16</v>
      </c>
      <c r="L4369" s="1"/>
      <c r="N4369" s="1"/>
      <c r="V4369" t="str">
        <f>"56000"</f>
        <v>56000</v>
      </c>
      <c r="W4369">
        <v>37.799999999999997</v>
      </c>
      <c r="X4369">
        <v>0</v>
      </c>
    </row>
    <row r="4370" spans="1:24" ht="15" customHeight="1" x14ac:dyDescent="0.25">
      <c r="A4370" t="str">
        <f>""</f>
        <v/>
      </c>
      <c r="B4370" s="1"/>
      <c r="H4370">
        <v>18.350000000000001</v>
      </c>
      <c r="J4370" t="s">
        <v>20</v>
      </c>
      <c r="L4370" s="1"/>
      <c r="N4370" s="1"/>
      <c r="V4370" t="str">
        <f>"38130"</f>
        <v>38130</v>
      </c>
      <c r="W4370">
        <v>4.95</v>
      </c>
      <c r="X4370">
        <v>0</v>
      </c>
    </row>
    <row r="4371" spans="1:24" ht="15" customHeight="1" x14ac:dyDescent="0.25">
      <c r="A4371" t="str">
        <f>""</f>
        <v/>
      </c>
      <c r="B4371" s="1"/>
      <c r="H4371">
        <v>151</v>
      </c>
      <c r="J4371" t="s">
        <v>22</v>
      </c>
      <c r="L4371" s="1"/>
      <c r="V4371" t="str">
        <f>"75010"</f>
        <v>75010</v>
      </c>
      <c r="W4371">
        <v>0</v>
      </c>
      <c r="X4371">
        <v>0</v>
      </c>
    </row>
    <row r="4372" spans="1:24" ht="15" customHeight="1" x14ac:dyDescent="0.25">
      <c r="A4372" t="str">
        <f>""</f>
        <v/>
      </c>
      <c r="B4372" s="1"/>
      <c r="H4372">
        <v>199.82</v>
      </c>
      <c r="J4372" t="s">
        <v>20</v>
      </c>
      <c r="L4372" s="1"/>
      <c r="N4372" s="1"/>
      <c r="V4372" t="str">
        <f>"50300"</f>
        <v>50300</v>
      </c>
      <c r="W4372">
        <v>33.97</v>
      </c>
      <c r="X4372">
        <v>0</v>
      </c>
    </row>
    <row r="4373" spans="1:24" ht="15" customHeight="1" x14ac:dyDescent="0.25">
      <c r="A4373" t="str">
        <f>""</f>
        <v/>
      </c>
      <c r="B4373" s="1"/>
      <c r="H4373">
        <v>171</v>
      </c>
      <c r="L4373" s="1"/>
      <c r="N4373" s="1"/>
      <c r="V4373" t="str">
        <f>"77184"</f>
        <v>77184</v>
      </c>
      <c r="W4373">
        <v>0</v>
      </c>
      <c r="X4373">
        <v>0</v>
      </c>
    </row>
    <row r="4374" spans="1:24" ht="15" customHeight="1" x14ac:dyDescent="0.25">
      <c r="A4374" t="str">
        <f>""</f>
        <v/>
      </c>
      <c r="B4374" s="1"/>
      <c r="H4374">
        <v>33.35</v>
      </c>
      <c r="J4374" t="s">
        <v>19</v>
      </c>
      <c r="L4374" s="1"/>
      <c r="N4374" s="1"/>
      <c r="V4374" t="str">
        <f>"62380"</f>
        <v>62380</v>
      </c>
      <c r="W4374">
        <v>6.34</v>
      </c>
      <c r="X4374">
        <v>0</v>
      </c>
    </row>
    <row r="4375" spans="1:24" ht="15" customHeight="1" x14ac:dyDescent="0.25">
      <c r="A4375" t="str">
        <f>""</f>
        <v/>
      </c>
      <c r="B4375" s="1"/>
      <c r="H4375">
        <v>19.8</v>
      </c>
      <c r="J4375" t="s">
        <v>19</v>
      </c>
      <c r="L4375" s="1"/>
      <c r="N4375" s="1"/>
      <c r="V4375" t="str">
        <f>"62380"</f>
        <v>62380</v>
      </c>
      <c r="W4375">
        <v>3.76</v>
      </c>
      <c r="X4375">
        <v>0</v>
      </c>
    </row>
    <row r="4376" spans="1:24" ht="15" customHeight="1" x14ac:dyDescent="0.25">
      <c r="A4376" t="str">
        <f>""</f>
        <v/>
      </c>
      <c r="B4376" s="1"/>
      <c r="H4376">
        <v>165.4</v>
      </c>
      <c r="J4376" t="s">
        <v>22</v>
      </c>
      <c r="L4376" s="1"/>
      <c r="N4376" s="1"/>
      <c r="V4376" t="str">
        <f>"75008"</f>
        <v>75008</v>
      </c>
      <c r="W4376">
        <v>0</v>
      </c>
      <c r="X4376">
        <v>0</v>
      </c>
    </row>
    <row r="4377" spans="1:24" x14ac:dyDescent="0.25">
      <c r="A4377" t="str">
        <f>""</f>
        <v/>
      </c>
      <c r="B4377" s="1"/>
      <c r="H4377">
        <v>173.44</v>
      </c>
      <c r="J4377" t="s">
        <v>17</v>
      </c>
      <c r="L4377" s="1"/>
      <c r="N4377" s="1"/>
      <c r="V4377" t="str">
        <f>"73000"</f>
        <v>73000</v>
      </c>
      <c r="W4377">
        <v>0</v>
      </c>
      <c r="X4377">
        <v>0</v>
      </c>
    </row>
    <row r="4378" spans="1:24" ht="15" customHeight="1" x14ac:dyDescent="0.25">
      <c r="A4378" t="str">
        <f>""</f>
        <v/>
      </c>
      <c r="B4378" s="1"/>
      <c r="H4378">
        <v>151</v>
      </c>
      <c r="J4378" t="s">
        <v>22</v>
      </c>
      <c r="L4378" s="1"/>
      <c r="N4378" s="1"/>
      <c r="V4378" t="str">
        <f>"50200"</f>
        <v>50200</v>
      </c>
      <c r="W4378">
        <v>0</v>
      </c>
      <c r="X4378">
        <v>0</v>
      </c>
    </row>
    <row r="4379" spans="1:24" ht="15" customHeight="1" x14ac:dyDescent="0.25">
      <c r="A4379" t="str">
        <f>""</f>
        <v/>
      </c>
      <c r="B4379" s="1"/>
      <c r="H4379">
        <v>33.35</v>
      </c>
      <c r="J4379" t="s">
        <v>19</v>
      </c>
      <c r="L4379" s="1"/>
      <c r="N4379" s="1"/>
      <c r="V4379" t="str">
        <f>"13100"</f>
        <v>13100</v>
      </c>
      <c r="W4379">
        <v>9.67</v>
      </c>
      <c r="X4379">
        <v>0</v>
      </c>
    </row>
    <row r="4380" spans="1:24" ht="15" customHeight="1" x14ac:dyDescent="0.25">
      <c r="A4380" t="str">
        <f>""</f>
        <v/>
      </c>
      <c r="B4380" s="1"/>
      <c r="H4380">
        <v>36.17</v>
      </c>
      <c r="J4380" t="s">
        <v>19</v>
      </c>
      <c r="L4380" s="1"/>
      <c r="N4380" s="1"/>
      <c r="V4380" t="str">
        <f>"14790"</f>
        <v>14790</v>
      </c>
      <c r="W4380">
        <v>6.15</v>
      </c>
      <c r="X4380">
        <v>0</v>
      </c>
    </row>
    <row r="4381" spans="1:24" ht="15" customHeight="1" x14ac:dyDescent="0.25">
      <c r="A4381" t="str">
        <f>""</f>
        <v/>
      </c>
      <c r="B4381" s="1"/>
      <c r="H4381">
        <v>140</v>
      </c>
      <c r="J4381" t="s">
        <v>23</v>
      </c>
      <c r="L4381" s="1"/>
      <c r="N4381" s="1"/>
      <c r="V4381" t="str">
        <f>"17670"</f>
        <v>17670</v>
      </c>
      <c r="W4381">
        <v>0</v>
      </c>
      <c r="X4381">
        <v>0</v>
      </c>
    </row>
    <row r="4382" spans="1:24" ht="15" customHeight="1" x14ac:dyDescent="0.25">
      <c r="A4382" t="str">
        <f>""</f>
        <v/>
      </c>
      <c r="B4382" s="1"/>
      <c r="H4382">
        <v>140</v>
      </c>
      <c r="J4382" t="s">
        <v>23</v>
      </c>
      <c r="L4382" s="1"/>
      <c r="V4382" t="str">
        <f>"05230"</f>
        <v>05230</v>
      </c>
      <c r="W4382">
        <v>0</v>
      </c>
      <c r="X4382">
        <v>0</v>
      </c>
    </row>
    <row r="4383" spans="1:24" ht="15" customHeight="1" x14ac:dyDescent="0.25">
      <c r="A4383" t="str">
        <f>""</f>
        <v/>
      </c>
      <c r="B4383" s="1"/>
      <c r="H4383">
        <v>70</v>
      </c>
      <c r="J4383" t="s">
        <v>22</v>
      </c>
      <c r="L4383" s="1"/>
      <c r="V4383" t="str">
        <f>"39000"</f>
        <v>39000</v>
      </c>
      <c r="W4383">
        <v>0</v>
      </c>
      <c r="X4383">
        <v>0</v>
      </c>
    </row>
    <row r="4384" spans="1:24" ht="15" customHeight="1" x14ac:dyDescent="0.25">
      <c r="A4384" t="str">
        <f>""</f>
        <v/>
      </c>
      <c r="B4384" s="1"/>
      <c r="H4384">
        <v>165.02</v>
      </c>
      <c r="J4384" t="s">
        <v>23</v>
      </c>
      <c r="L4384" s="1"/>
      <c r="N4384" s="1"/>
      <c r="V4384" t="str">
        <f>"17440"</f>
        <v>17440</v>
      </c>
      <c r="W4384">
        <v>0</v>
      </c>
      <c r="X4384">
        <v>0</v>
      </c>
    </row>
    <row r="4385" spans="1:24" ht="15" customHeight="1" x14ac:dyDescent="0.25">
      <c r="A4385" t="str">
        <f>""</f>
        <v/>
      </c>
      <c r="B4385" s="1"/>
      <c r="H4385">
        <v>67.599999999999994</v>
      </c>
      <c r="J4385" t="s">
        <v>23</v>
      </c>
      <c r="L4385" s="1"/>
      <c r="V4385" t="str">
        <f>"69380"</f>
        <v>69380</v>
      </c>
      <c r="W4385">
        <v>0</v>
      </c>
      <c r="X4385">
        <v>0</v>
      </c>
    </row>
    <row r="4386" spans="1:24" x14ac:dyDescent="0.25">
      <c r="A4386" t="str">
        <f>""</f>
        <v/>
      </c>
      <c r="B4386" s="1"/>
      <c r="H4386">
        <v>52.5</v>
      </c>
      <c r="J4386" t="s">
        <v>15</v>
      </c>
      <c r="L4386" s="1"/>
      <c r="N4386" s="1"/>
      <c r="V4386" t="str">
        <f>"33154"</f>
        <v>33154</v>
      </c>
      <c r="W4386">
        <v>0</v>
      </c>
      <c r="X4386">
        <v>0</v>
      </c>
    </row>
    <row r="4387" spans="1:24" x14ac:dyDescent="0.25">
      <c r="A4387" t="str">
        <f>""</f>
        <v/>
      </c>
      <c r="B4387" s="1"/>
      <c r="H4387">
        <v>189.52</v>
      </c>
      <c r="J4387" t="s">
        <v>15</v>
      </c>
      <c r="L4387" s="1"/>
      <c r="N4387" s="1"/>
      <c r="V4387" t="str">
        <f>"73870"</f>
        <v>73870</v>
      </c>
      <c r="W4387">
        <v>0</v>
      </c>
      <c r="X4387">
        <v>0</v>
      </c>
    </row>
    <row r="4388" spans="1:24" ht="15" customHeight="1" x14ac:dyDescent="0.25">
      <c r="A4388" t="str">
        <f>""</f>
        <v/>
      </c>
      <c r="B4388" s="1"/>
      <c r="H4388">
        <v>131.19999999999999</v>
      </c>
      <c r="J4388" t="s">
        <v>22</v>
      </c>
      <c r="L4388" s="1"/>
      <c r="N4388" s="1"/>
      <c r="V4388" t="str">
        <f>"67000"</f>
        <v>67000</v>
      </c>
      <c r="W4388">
        <v>0</v>
      </c>
      <c r="X4388">
        <v>10.5</v>
      </c>
    </row>
    <row r="4389" spans="1:24" ht="15" customHeight="1" x14ac:dyDescent="0.25">
      <c r="A4389" t="str">
        <f>""</f>
        <v/>
      </c>
      <c r="B4389" s="1"/>
      <c r="H4389">
        <v>180</v>
      </c>
      <c r="J4389" t="s">
        <v>23</v>
      </c>
      <c r="L4389" s="1"/>
      <c r="N4389" s="1"/>
      <c r="V4389" t="str">
        <f>"62320"</f>
        <v>62320</v>
      </c>
      <c r="W4389">
        <v>0</v>
      </c>
      <c r="X4389">
        <v>0</v>
      </c>
    </row>
    <row r="4390" spans="1:24" ht="15" customHeight="1" x14ac:dyDescent="0.25">
      <c r="A4390" t="str">
        <f>""</f>
        <v/>
      </c>
      <c r="B4390" s="1"/>
      <c r="H4390">
        <v>25</v>
      </c>
      <c r="J4390" t="s">
        <v>22</v>
      </c>
      <c r="L4390" s="1"/>
      <c r="V4390" t="str">
        <f>"21000"</f>
        <v>21000</v>
      </c>
      <c r="W4390">
        <v>0</v>
      </c>
      <c r="X4390">
        <v>0</v>
      </c>
    </row>
    <row r="4391" spans="1:24" ht="15" customHeight="1" x14ac:dyDescent="0.25">
      <c r="A4391" t="str">
        <f>""</f>
        <v/>
      </c>
      <c r="B4391" s="1"/>
      <c r="H4391">
        <v>160</v>
      </c>
      <c r="J4391" t="s">
        <v>23</v>
      </c>
      <c r="L4391" s="1"/>
      <c r="N4391" s="1"/>
      <c r="V4391" t="str">
        <f>"56610"</f>
        <v>56610</v>
      </c>
      <c r="W4391">
        <v>0</v>
      </c>
      <c r="X4391">
        <v>43.2</v>
      </c>
    </row>
    <row r="4392" spans="1:24" ht="15" customHeight="1" x14ac:dyDescent="0.25">
      <c r="A4392" t="str">
        <f>""</f>
        <v/>
      </c>
      <c r="B4392" s="1"/>
      <c r="H4392">
        <v>49.08</v>
      </c>
      <c r="J4392" t="s">
        <v>19</v>
      </c>
      <c r="L4392" s="1"/>
      <c r="N4392" s="1"/>
      <c r="V4392" t="str">
        <f>"56920"</f>
        <v>56920</v>
      </c>
      <c r="W4392">
        <v>13.25</v>
      </c>
      <c r="X4392">
        <v>0</v>
      </c>
    </row>
    <row r="4393" spans="1:24" ht="15" customHeight="1" x14ac:dyDescent="0.25">
      <c r="A4393" t="str">
        <f>""</f>
        <v/>
      </c>
      <c r="B4393" s="1"/>
      <c r="H4393">
        <v>153.81</v>
      </c>
      <c r="J4393" t="s">
        <v>19</v>
      </c>
      <c r="L4393" s="1"/>
      <c r="N4393" s="1"/>
      <c r="V4393" t="str">
        <f>"68520"</f>
        <v>68520</v>
      </c>
      <c r="W4393">
        <v>44.6</v>
      </c>
      <c r="X4393">
        <v>0</v>
      </c>
    </row>
    <row r="4394" spans="1:24" ht="15" customHeight="1" x14ac:dyDescent="0.25">
      <c r="A4394" t="str">
        <f>""</f>
        <v/>
      </c>
      <c r="B4394" s="1"/>
      <c r="H4394">
        <v>208.21</v>
      </c>
      <c r="J4394" t="s">
        <v>19</v>
      </c>
      <c r="L4394" s="1"/>
      <c r="N4394" s="1"/>
      <c r="V4394" t="str">
        <f>"92000"</f>
        <v>92000</v>
      </c>
      <c r="W4394">
        <v>0</v>
      </c>
      <c r="X4394">
        <v>0</v>
      </c>
    </row>
    <row r="4395" spans="1:24" ht="15" customHeight="1" x14ac:dyDescent="0.25">
      <c r="A4395" t="str">
        <f>""</f>
        <v/>
      </c>
      <c r="B4395" s="1"/>
      <c r="H4395">
        <v>29.89</v>
      </c>
      <c r="J4395" t="s">
        <v>22</v>
      </c>
      <c r="L4395" s="1"/>
      <c r="N4395" s="1"/>
      <c r="V4395" t="str">
        <f>"62600"</f>
        <v>62600</v>
      </c>
      <c r="W4395">
        <v>0</v>
      </c>
      <c r="X4395">
        <v>0</v>
      </c>
    </row>
    <row r="4396" spans="1:24" ht="15" customHeight="1" x14ac:dyDescent="0.25">
      <c r="A4396" t="str">
        <f>""</f>
        <v/>
      </c>
      <c r="B4396" s="1"/>
      <c r="H4396">
        <v>151</v>
      </c>
      <c r="J4396" t="s">
        <v>22</v>
      </c>
      <c r="L4396" s="1"/>
      <c r="N4396" s="1"/>
      <c r="V4396" t="str">
        <f>"68360"</f>
        <v>68360</v>
      </c>
      <c r="W4396">
        <v>0</v>
      </c>
      <c r="X4396">
        <v>0</v>
      </c>
    </row>
    <row r="4397" spans="1:24" ht="15" customHeight="1" x14ac:dyDescent="0.25">
      <c r="A4397" t="str">
        <f>""</f>
        <v/>
      </c>
      <c r="B4397" s="1"/>
      <c r="H4397">
        <v>29.89</v>
      </c>
      <c r="L4397" s="1"/>
      <c r="N4397" s="1"/>
      <c r="V4397" t="str">
        <f>"44240"</f>
        <v>44240</v>
      </c>
      <c r="W4397">
        <v>0</v>
      </c>
      <c r="X4397">
        <v>0</v>
      </c>
    </row>
    <row r="4398" spans="1:24" ht="15" customHeight="1" x14ac:dyDescent="0.25">
      <c r="A4398" t="str">
        <f>""</f>
        <v/>
      </c>
      <c r="B4398" s="1"/>
      <c r="J4398" t="s">
        <v>20</v>
      </c>
      <c r="L4398" s="1"/>
      <c r="N4398" s="1"/>
      <c r="V4398" t="str">
        <f>"75019"</f>
        <v>75019</v>
      </c>
      <c r="W4398">
        <v>0</v>
      </c>
      <c r="X4398">
        <v>0</v>
      </c>
    </row>
    <row r="4399" spans="1:24" ht="15" customHeight="1" x14ac:dyDescent="0.25">
      <c r="A4399" t="str">
        <f>""</f>
        <v/>
      </c>
      <c r="B4399" s="1"/>
      <c r="H4399">
        <v>22</v>
      </c>
      <c r="L4399" s="1"/>
      <c r="N4399" s="1"/>
      <c r="V4399" t="str">
        <f>"77184"</f>
        <v>77184</v>
      </c>
      <c r="W4399">
        <v>0</v>
      </c>
      <c r="X4399">
        <v>0</v>
      </c>
    </row>
    <row r="4400" spans="1:24" ht="15" customHeight="1" x14ac:dyDescent="0.25">
      <c r="A4400" t="str">
        <f>""</f>
        <v/>
      </c>
      <c r="B4400" s="1"/>
      <c r="H4400">
        <v>138.12</v>
      </c>
      <c r="J4400" t="s">
        <v>20</v>
      </c>
      <c r="L4400" s="1"/>
      <c r="N4400" s="1"/>
      <c r="V4400" t="str">
        <f>"28300"</f>
        <v>28300</v>
      </c>
      <c r="W4400">
        <v>29.01</v>
      </c>
      <c r="X4400">
        <v>0</v>
      </c>
    </row>
    <row r="4401" spans="1:24" x14ac:dyDescent="0.25">
      <c r="A4401" t="str">
        <f>""</f>
        <v/>
      </c>
      <c r="B4401" s="1"/>
      <c r="H4401">
        <v>55</v>
      </c>
      <c r="J4401" t="s">
        <v>18</v>
      </c>
      <c r="L4401" s="1"/>
      <c r="N4401" s="1"/>
      <c r="V4401" t="str">
        <f>"34970"</f>
        <v>34970</v>
      </c>
      <c r="W4401">
        <v>0</v>
      </c>
      <c r="X4401">
        <v>0</v>
      </c>
    </row>
    <row r="4402" spans="1:24" ht="15" customHeight="1" x14ac:dyDescent="0.25">
      <c r="A4402" t="str">
        <f>""</f>
        <v/>
      </c>
      <c r="B4402" s="1"/>
      <c r="H4402">
        <v>200</v>
      </c>
      <c r="J4402" t="s">
        <v>19</v>
      </c>
      <c r="L4402" s="1"/>
      <c r="N4402" s="1"/>
      <c r="V4402" t="str">
        <f>"69002"</f>
        <v>69002</v>
      </c>
      <c r="W4402">
        <v>54</v>
      </c>
      <c r="X4402">
        <v>0</v>
      </c>
    </row>
    <row r="4403" spans="1:24" ht="15" customHeight="1" x14ac:dyDescent="0.25">
      <c r="A4403" t="str">
        <f>""</f>
        <v/>
      </c>
      <c r="B4403" s="1"/>
      <c r="H4403">
        <v>19.649999999999999</v>
      </c>
      <c r="J4403" t="s">
        <v>19</v>
      </c>
      <c r="L4403" s="1"/>
      <c r="N4403" s="1"/>
      <c r="V4403" t="str">
        <f>"75014"</f>
        <v>75014</v>
      </c>
      <c r="W4403">
        <v>0</v>
      </c>
      <c r="X4403">
        <v>0</v>
      </c>
    </row>
    <row r="4404" spans="1:24" ht="15" customHeight="1" x14ac:dyDescent="0.25">
      <c r="A4404" t="str">
        <f>""</f>
        <v/>
      </c>
      <c r="B4404" s="1"/>
      <c r="H4404">
        <v>124.95</v>
      </c>
      <c r="J4404" t="s">
        <v>19</v>
      </c>
      <c r="L4404" s="1"/>
      <c r="V4404" t="str">
        <f>"49080"</f>
        <v>49080</v>
      </c>
      <c r="W4404">
        <v>0</v>
      </c>
      <c r="X4404">
        <v>0</v>
      </c>
    </row>
    <row r="4405" spans="1:24" ht="15" customHeight="1" x14ac:dyDescent="0.25">
      <c r="A4405" t="str">
        <f>""</f>
        <v/>
      </c>
      <c r="B4405" s="1"/>
      <c r="H4405">
        <v>140</v>
      </c>
      <c r="J4405" t="s">
        <v>19</v>
      </c>
      <c r="L4405" s="1"/>
      <c r="N4405" s="1"/>
      <c r="V4405" t="str">
        <f>"59800"</f>
        <v>59800</v>
      </c>
      <c r="W4405">
        <v>26.6</v>
      </c>
      <c r="X4405">
        <v>0</v>
      </c>
    </row>
    <row r="4406" spans="1:24" ht="15" customHeight="1" x14ac:dyDescent="0.25">
      <c r="A4406" t="str">
        <f>""</f>
        <v/>
      </c>
      <c r="B4406" s="1"/>
      <c r="H4406">
        <v>7.99</v>
      </c>
      <c r="J4406" t="s">
        <v>20</v>
      </c>
      <c r="L4406" s="1"/>
      <c r="N4406" s="1"/>
      <c r="V4406" t="str">
        <f>"54500"</f>
        <v>54500</v>
      </c>
      <c r="W4406">
        <v>2</v>
      </c>
      <c r="X4406">
        <v>0</v>
      </c>
    </row>
    <row r="4407" spans="1:24" ht="15" customHeight="1" x14ac:dyDescent="0.25">
      <c r="A4407" t="str">
        <f>""</f>
        <v/>
      </c>
      <c r="B4407" s="1"/>
      <c r="H4407">
        <v>25</v>
      </c>
      <c r="J4407" t="s">
        <v>22</v>
      </c>
      <c r="L4407" s="1"/>
      <c r="V4407" t="str">
        <f>"75010"</f>
        <v>75010</v>
      </c>
      <c r="W4407">
        <v>0</v>
      </c>
      <c r="X4407">
        <v>0</v>
      </c>
    </row>
    <row r="4408" spans="1:24" ht="15" customHeight="1" x14ac:dyDescent="0.25">
      <c r="A4408" t="str">
        <f>""</f>
        <v/>
      </c>
      <c r="B4408" s="1"/>
      <c r="H4408">
        <v>151</v>
      </c>
      <c r="J4408" t="s">
        <v>19</v>
      </c>
      <c r="L4408" s="1"/>
      <c r="N4408" s="1"/>
      <c r="V4408" t="str">
        <f>"27100"</f>
        <v>27100</v>
      </c>
      <c r="W4408">
        <v>25.67</v>
      </c>
      <c r="X4408">
        <v>0</v>
      </c>
    </row>
    <row r="4409" spans="1:24" ht="15" customHeight="1" x14ac:dyDescent="0.25">
      <c r="A4409" t="str">
        <f>""</f>
        <v/>
      </c>
      <c r="B4409" s="1"/>
      <c r="H4409">
        <v>29.59</v>
      </c>
      <c r="J4409" t="s">
        <v>22</v>
      </c>
      <c r="L4409" s="1"/>
      <c r="N4409" s="1"/>
      <c r="V4409" t="str">
        <f>"13006"</f>
        <v>13006</v>
      </c>
      <c r="W4409">
        <v>0</v>
      </c>
      <c r="X4409">
        <v>0</v>
      </c>
    </row>
    <row r="4410" spans="1:24" ht="15" customHeight="1" x14ac:dyDescent="0.25">
      <c r="A4410" t="str">
        <f>""</f>
        <v/>
      </c>
      <c r="B4410" s="1"/>
      <c r="H4410">
        <v>33.35</v>
      </c>
      <c r="J4410" t="s">
        <v>20</v>
      </c>
      <c r="L4410" s="1"/>
      <c r="N4410" s="1"/>
      <c r="V4410" t="str">
        <f>"38920"</f>
        <v>38920</v>
      </c>
      <c r="W4410">
        <v>9</v>
      </c>
      <c r="X4410">
        <v>0</v>
      </c>
    </row>
    <row r="4411" spans="1:24" x14ac:dyDescent="0.25">
      <c r="A4411" t="str">
        <f>""</f>
        <v/>
      </c>
      <c r="B4411" s="1"/>
      <c r="H4411">
        <v>156.28</v>
      </c>
      <c r="J4411" t="s">
        <v>18</v>
      </c>
      <c r="L4411" s="1"/>
      <c r="N4411" s="1"/>
      <c r="V4411" t="str">
        <f>"73410"</f>
        <v>73410</v>
      </c>
      <c r="W4411">
        <v>0</v>
      </c>
      <c r="X4411">
        <v>0</v>
      </c>
    </row>
    <row r="4412" spans="1:24" ht="15" customHeight="1" x14ac:dyDescent="0.25">
      <c r="A4412" t="str">
        <f>""</f>
        <v/>
      </c>
      <c r="B4412" s="1"/>
      <c r="H4412">
        <v>29.59</v>
      </c>
      <c r="J4412" t="s">
        <v>22</v>
      </c>
      <c r="L4412" s="1"/>
      <c r="N4412" s="1"/>
      <c r="V4412" t="str">
        <f>"69006"</f>
        <v>69006</v>
      </c>
      <c r="W4412">
        <v>0</v>
      </c>
      <c r="X4412">
        <v>0</v>
      </c>
    </row>
    <row r="4413" spans="1:24" x14ac:dyDescent="0.25">
      <c r="A4413" t="str">
        <f>""</f>
        <v/>
      </c>
      <c r="B4413" s="1"/>
      <c r="H4413">
        <v>114.53</v>
      </c>
      <c r="J4413" t="s">
        <v>18</v>
      </c>
      <c r="L4413" s="1"/>
      <c r="N4413" s="1"/>
      <c r="V4413" t="str">
        <f>"34400"</f>
        <v>34400</v>
      </c>
      <c r="W4413">
        <v>0</v>
      </c>
      <c r="X4413">
        <v>0</v>
      </c>
    </row>
    <row r="4414" spans="1:24" ht="15" customHeight="1" x14ac:dyDescent="0.25">
      <c r="A4414" t="str">
        <f>""</f>
        <v/>
      </c>
      <c r="B4414" s="1"/>
      <c r="H4414">
        <v>137.01</v>
      </c>
      <c r="J4414" t="s">
        <v>20</v>
      </c>
      <c r="L4414" s="1"/>
      <c r="N4414" s="1"/>
      <c r="V4414" t="str">
        <f>"67300"</f>
        <v>67300</v>
      </c>
      <c r="W4414">
        <v>39.729999999999997</v>
      </c>
      <c r="X4414">
        <v>0</v>
      </c>
    </row>
    <row r="4415" spans="1:24" ht="15" customHeight="1" x14ac:dyDescent="0.25">
      <c r="A4415" t="str">
        <f>""</f>
        <v/>
      </c>
      <c r="B4415" s="1"/>
      <c r="H4415">
        <v>183.45</v>
      </c>
      <c r="J4415" t="s">
        <v>20</v>
      </c>
      <c r="L4415" s="1"/>
      <c r="N4415" s="1"/>
      <c r="V4415" t="str">
        <f>"67860"</f>
        <v>67860</v>
      </c>
      <c r="W4415">
        <v>53.2</v>
      </c>
      <c r="X4415">
        <v>0</v>
      </c>
    </row>
    <row r="4416" spans="1:24" x14ac:dyDescent="0.25">
      <c r="A4416" t="str">
        <f>""</f>
        <v/>
      </c>
      <c r="B4416" s="1"/>
      <c r="H4416">
        <v>55</v>
      </c>
      <c r="J4416" t="s">
        <v>18</v>
      </c>
      <c r="L4416" s="1"/>
      <c r="N4416" s="1"/>
      <c r="V4416" t="str">
        <f>"75016"</f>
        <v>75016</v>
      </c>
      <c r="W4416">
        <v>0</v>
      </c>
      <c r="X4416">
        <v>0</v>
      </c>
    </row>
    <row r="4417" spans="1:24" x14ac:dyDescent="0.25">
      <c r="A4417" t="str">
        <f>""</f>
        <v/>
      </c>
      <c r="B4417" s="1"/>
      <c r="H4417">
        <v>151</v>
      </c>
      <c r="J4417" t="s">
        <v>18</v>
      </c>
      <c r="L4417" s="1"/>
      <c r="N4417" s="1"/>
      <c r="V4417" t="str">
        <f>"94800"</f>
        <v>94800</v>
      </c>
      <c r="W4417">
        <v>0</v>
      </c>
      <c r="X4417">
        <v>0</v>
      </c>
    </row>
    <row r="4418" spans="1:24" ht="15" customHeight="1" x14ac:dyDescent="0.25">
      <c r="A4418" t="str">
        <f>""</f>
        <v/>
      </c>
      <c r="B4418" s="1"/>
      <c r="H4418">
        <v>40</v>
      </c>
      <c r="J4418" t="s">
        <v>23</v>
      </c>
      <c r="L4418" s="1"/>
      <c r="V4418" t="str">
        <f>"69240"</f>
        <v>69240</v>
      </c>
      <c r="W4418">
        <v>0</v>
      </c>
      <c r="X4418">
        <v>0</v>
      </c>
    </row>
    <row r="4419" spans="1:24" ht="15" customHeight="1" x14ac:dyDescent="0.25">
      <c r="A4419" t="str">
        <f>""</f>
        <v/>
      </c>
      <c r="B4419" s="1"/>
      <c r="H4419">
        <v>151</v>
      </c>
      <c r="J4419" t="s">
        <v>22</v>
      </c>
      <c r="L4419" s="1"/>
      <c r="V4419" t="str">
        <f>"69120"</f>
        <v>69120</v>
      </c>
      <c r="W4419">
        <v>0</v>
      </c>
      <c r="X4419">
        <v>0</v>
      </c>
    </row>
    <row r="4420" spans="1:24" ht="15" customHeight="1" x14ac:dyDescent="0.25">
      <c r="A4420" t="str">
        <f>""</f>
        <v/>
      </c>
      <c r="B4420" s="1"/>
      <c r="H4420">
        <v>165.02</v>
      </c>
      <c r="J4420" t="s">
        <v>22</v>
      </c>
      <c r="L4420" s="1"/>
      <c r="N4420" s="1"/>
      <c r="V4420" t="str">
        <f>"17000"</f>
        <v>17000</v>
      </c>
      <c r="W4420">
        <v>0</v>
      </c>
      <c r="X4420">
        <v>0</v>
      </c>
    </row>
    <row r="4421" spans="1:24" ht="15" customHeight="1" x14ac:dyDescent="0.25">
      <c r="A4421" t="str">
        <f>""</f>
        <v/>
      </c>
      <c r="B4421" s="1"/>
      <c r="H4421">
        <v>26.6</v>
      </c>
      <c r="J4421" t="s">
        <v>23</v>
      </c>
      <c r="L4421" s="1"/>
      <c r="N4421" s="1"/>
      <c r="V4421" t="str">
        <f>"30132"</f>
        <v>30132</v>
      </c>
      <c r="W4421">
        <v>0</v>
      </c>
      <c r="X4421">
        <v>7.18</v>
      </c>
    </row>
    <row r="4422" spans="1:24" ht="15" customHeight="1" x14ac:dyDescent="0.25">
      <c r="A4422" t="str">
        <f>""</f>
        <v/>
      </c>
      <c r="B4422" s="1"/>
      <c r="H4422">
        <v>183.98</v>
      </c>
      <c r="J4422" t="s">
        <v>23</v>
      </c>
      <c r="L4422" s="1"/>
      <c r="N4422" s="1"/>
      <c r="V4422" t="str">
        <f>"44000"</f>
        <v>44000</v>
      </c>
      <c r="W4422">
        <v>0</v>
      </c>
      <c r="X4422">
        <v>49.67</v>
      </c>
    </row>
    <row r="4423" spans="1:24" ht="15" customHeight="1" x14ac:dyDescent="0.25">
      <c r="A4423" t="str">
        <f>""</f>
        <v/>
      </c>
      <c r="B4423" s="1"/>
      <c r="H4423">
        <v>25</v>
      </c>
      <c r="J4423" t="s">
        <v>22</v>
      </c>
      <c r="L4423" s="1"/>
      <c r="V4423" t="str">
        <f>"70000"</f>
        <v>70000</v>
      </c>
      <c r="W4423">
        <v>0</v>
      </c>
      <c r="X4423">
        <v>0</v>
      </c>
    </row>
    <row r="4424" spans="1:24" x14ac:dyDescent="0.25">
      <c r="A4424" t="str">
        <f>""</f>
        <v/>
      </c>
      <c r="B4424" s="1"/>
      <c r="H4424">
        <v>52.5</v>
      </c>
      <c r="J4424" t="s">
        <v>15</v>
      </c>
      <c r="L4424" s="1"/>
      <c r="N4424" s="1"/>
      <c r="V4424" t="str">
        <f>"94100"</f>
        <v>94100</v>
      </c>
      <c r="W4424">
        <v>0</v>
      </c>
      <c r="X4424">
        <v>0</v>
      </c>
    </row>
    <row r="4425" spans="1:24" ht="15" customHeight="1" x14ac:dyDescent="0.25">
      <c r="A4425" t="str">
        <f>""</f>
        <v/>
      </c>
      <c r="B4425" s="1"/>
      <c r="H4425">
        <v>180</v>
      </c>
      <c r="J4425" t="s">
        <v>20</v>
      </c>
      <c r="L4425" s="1"/>
      <c r="N4425" s="1"/>
      <c r="V4425" t="str">
        <f>"76000"</f>
        <v>76000</v>
      </c>
      <c r="W4425">
        <v>30.6</v>
      </c>
      <c r="X4425">
        <v>0</v>
      </c>
    </row>
    <row r="4426" spans="1:24" x14ac:dyDescent="0.25">
      <c r="A4426" t="str">
        <f>""</f>
        <v/>
      </c>
      <c r="B4426" s="1"/>
      <c r="H4426">
        <v>23.4</v>
      </c>
      <c r="J4426" t="s">
        <v>17</v>
      </c>
      <c r="L4426" s="1"/>
      <c r="N4426" s="1"/>
      <c r="V4426" t="str">
        <f>"38230"</f>
        <v>38230</v>
      </c>
      <c r="W4426">
        <v>0</v>
      </c>
      <c r="X4426">
        <v>0</v>
      </c>
    </row>
    <row r="4427" spans="1:24" x14ac:dyDescent="0.25">
      <c r="A4427" t="str">
        <f>""</f>
        <v/>
      </c>
      <c r="B4427" s="1"/>
      <c r="H4427">
        <v>151</v>
      </c>
      <c r="J4427" t="s">
        <v>15</v>
      </c>
      <c r="L4427" s="1"/>
      <c r="N4427" s="1"/>
      <c r="V4427" t="str">
        <f>"67500"</f>
        <v>67500</v>
      </c>
      <c r="W4427">
        <v>43.79</v>
      </c>
      <c r="X4427">
        <v>0</v>
      </c>
    </row>
    <row r="4428" spans="1:24" ht="15" customHeight="1" x14ac:dyDescent="0.25">
      <c r="A4428" t="str">
        <f>""</f>
        <v/>
      </c>
      <c r="B4428" s="1"/>
      <c r="H4428">
        <v>140</v>
      </c>
      <c r="J4428" t="s">
        <v>23</v>
      </c>
      <c r="L4428" s="1"/>
      <c r="V4428" t="str">
        <f>"42000"</f>
        <v>42000</v>
      </c>
      <c r="W4428">
        <v>0</v>
      </c>
      <c r="X4428">
        <v>0</v>
      </c>
    </row>
    <row r="4429" spans="1:24" x14ac:dyDescent="0.25">
      <c r="A4429" t="str">
        <f>""</f>
        <v/>
      </c>
      <c r="B4429" s="1"/>
      <c r="H4429">
        <v>173.49</v>
      </c>
      <c r="J4429" t="s">
        <v>17</v>
      </c>
      <c r="L4429" s="1"/>
      <c r="N4429" s="1"/>
      <c r="V4429" t="str">
        <f>"78193"</f>
        <v>78193</v>
      </c>
      <c r="W4429">
        <v>0</v>
      </c>
      <c r="X4429">
        <v>0</v>
      </c>
    </row>
    <row r="4430" spans="1:24" ht="15" customHeight="1" x14ac:dyDescent="0.25">
      <c r="A4430" t="str">
        <f>""</f>
        <v/>
      </c>
      <c r="B4430" s="1"/>
      <c r="H4430">
        <v>680.14</v>
      </c>
      <c r="J4430" t="s">
        <v>22</v>
      </c>
      <c r="L4430" s="1"/>
      <c r="V4430" t="str">
        <f>"95150"</f>
        <v>95150</v>
      </c>
      <c r="W4430">
        <v>0</v>
      </c>
      <c r="X4430">
        <v>0</v>
      </c>
    </row>
    <row r="4431" spans="1:24" x14ac:dyDescent="0.25">
      <c r="A4431" t="str">
        <f>""</f>
        <v/>
      </c>
      <c r="B4431" s="1"/>
      <c r="H4431">
        <v>137.80000000000001</v>
      </c>
      <c r="J4431" t="s">
        <v>15</v>
      </c>
      <c r="L4431" s="1"/>
      <c r="N4431" s="1"/>
      <c r="V4431" t="str">
        <f>"45000"</f>
        <v>45000</v>
      </c>
      <c r="W4431">
        <v>0</v>
      </c>
      <c r="X4431">
        <v>0</v>
      </c>
    </row>
    <row r="4432" spans="1:24" x14ac:dyDescent="0.25">
      <c r="A4432" t="str">
        <f>""</f>
        <v/>
      </c>
      <c r="B4432" s="1"/>
      <c r="H4432">
        <v>23.4</v>
      </c>
      <c r="J4432" t="s">
        <v>18</v>
      </c>
      <c r="L4432" s="1"/>
      <c r="N4432" s="1"/>
      <c r="V4432" t="str">
        <f>"38230"</f>
        <v>38230</v>
      </c>
      <c r="W4432">
        <v>0</v>
      </c>
      <c r="X4432">
        <v>0</v>
      </c>
    </row>
    <row r="4433" spans="1:24" x14ac:dyDescent="0.25">
      <c r="A4433" t="str">
        <f>""</f>
        <v/>
      </c>
      <c r="B4433" s="1"/>
      <c r="H4433">
        <v>140</v>
      </c>
      <c r="J4433" t="s">
        <v>16</v>
      </c>
      <c r="L4433" s="1"/>
      <c r="N4433" s="1"/>
      <c r="V4433" t="str">
        <f>"75002"</f>
        <v>75002</v>
      </c>
      <c r="W4433">
        <v>0</v>
      </c>
      <c r="X4433">
        <v>0</v>
      </c>
    </row>
    <row r="4434" spans="1:24" x14ac:dyDescent="0.25">
      <c r="A4434" t="str">
        <f>""</f>
        <v/>
      </c>
      <c r="B4434" s="1"/>
      <c r="H4434">
        <v>151</v>
      </c>
      <c r="J4434" t="s">
        <v>15</v>
      </c>
      <c r="L4434" s="1"/>
      <c r="N4434" s="1"/>
      <c r="V4434" t="str">
        <f>"69800"</f>
        <v>69800</v>
      </c>
      <c r="W4434">
        <v>0</v>
      </c>
      <c r="X4434">
        <v>0</v>
      </c>
    </row>
    <row r="4435" spans="1:24" ht="15" customHeight="1" x14ac:dyDescent="0.25">
      <c r="A4435" t="str">
        <f>""</f>
        <v/>
      </c>
      <c r="B4435" s="1"/>
      <c r="H4435">
        <v>161.4</v>
      </c>
      <c r="L4435" s="1"/>
      <c r="N4435" s="1"/>
      <c r="V4435" t="str">
        <f>"44240"</f>
        <v>44240</v>
      </c>
      <c r="W4435">
        <v>0</v>
      </c>
      <c r="X4435">
        <v>0</v>
      </c>
    </row>
    <row r="4436" spans="1:24" x14ac:dyDescent="0.25">
      <c r="A4436" t="str">
        <f>""</f>
        <v/>
      </c>
      <c r="B4436" s="1"/>
      <c r="H4436">
        <v>149.79</v>
      </c>
      <c r="J4436" t="s">
        <v>16</v>
      </c>
      <c r="L4436" s="1"/>
      <c r="N4436" s="1"/>
      <c r="V4436" t="str">
        <f>"34500"</f>
        <v>34500</v>
      </c>
      <c r="W4436">
        <v>0</v>
      </c>
      <c r="X4436">
        <v>0</v>
      </c>
    </row>
    <row r="4437" spans="1:24" ht="15" customHeight="1" x14ac:dyDescent="0.25">
      <c r="A4437" t="str">
        <f>""</f>
        <v/>
      </c>
      <c r="B4437" s="1"/>
      <c r="H4437">
        <v>70.36</v>
      </c>
      <c r="J4437" t="s">
        <v>23</v>
      </c>
      <c r="L4437" s="1"/>
      <c r="N4437" s="1"/>
      <c r="V4437" t="str">
        <f>"29900"</f>
        <v>29900</v>
      </c>
      <c r="W4437">
        <v>0</v>
      </c>
      <c r="X4437">
        <v>0</v>
      </c>
    </row>
    <row r="4438" spans="1:24" ht="15" customHeight="1" x14ac:dyDescent="0.25">
      <c r="A4438" t="str">
        <f>""</f>
        <v/>
      </c>
      <c r="B4438" s="1"/>
      <c r="H4438">
        <v>151</v>
      </c>
      <c r="J4438" t="s">
        <v>23</v>
      </c>
      <c r="L4438" s="1"/>
      <c r="V4438" t="str">
        <f>"25530"</f>
        <v>25530</v>
      </c>
      <c r="W4438">
        <v>0</v>
      </c>
      <c r="X4438">
        <v>0</v>
      </c>
    </row>
    <row r="4439" spans="1:24" x14ac:dyDescent="0.25">
      <c r="A4439" t="str">
        <f>""</f>
        <v/>
      </c>
      <c r="B4439" s="1"/>
      <c r="H4439">
        <v>194.12</v>
      </c>
      <c r="J4439" t="s">
        <v>16</v>
      </c>
      <c r="L4439" s="1"/>
      <c r="N4439" s="1"/>
      <c r="V4439" t="str">
        <f>"73024"</f>
        <v>73024</v>
      </c>
      <c r="W4439">
        <v>0</v>
      </c>
      <c r="X4439">
        <v>0</v>
      </c>
    </row>
    <row r="4440" spans="1:24" x14ac:dyDescent="0.25">
      <c r="A4440" t="str">
        <f>""</f>
        <v/>
      </c>
      <c r="B4440" s="1"/>
      <c r="H4440">
        <v>160.28</v>
      </c>
      <c r="J4440" t="s">
        <v>15</v>
      </c>
      <c r="L4440" s="1"/>
      <c r="N4440" s="1"/>
      <c r="V4440" t="str">
        <f>"63100"</f>
        <v>63100</v>
      </c>
      <c r="W4440">
        <v>0</v>
      </c>
      <c r="X4440">
        <v>0</v>
      </c>
    </row>
    <row r="4441" spans="1:24" x14ac:dyDescent="0.25">
      <c r="A4441" t="str">
        <f>""</f>
        <v/>
      </c>
      <c r="B4441" s="1"/>
      <c r="H4441">
        <v>171.65</v>
      </c>
      <c r="J4441" t="s">
        <v>18</v>
      </c>
      <c r="L4441" s="1"/>
      <c r="N4441" s="1"/>
      <c r="V4441" t="str">
        <f>"75020"</f>
        <v>75020</v>
      </c>
      <c r="W4441">
        <v>0</v>
      </c>
      <c r="X4441">
        <v>0</v>
      </c>
    </row>
    <row r="4442" spans="1:24" x14ac:dyDescent="0.25">
      <c r="A4442" t="str">
        <f>""</f>
        <v/>
      </c>
      <c r="B4442" s="1"/>
      <c r="H4442">
        <v>108.32</v>
      </c>
      <c r="J4442" t="s">
        <v>18</v>
      </c>
      <c r="L4442" s="1"/>
      <c r="N4442" s="1"/>
      <c r="V4442" t="str">
        <f>"51100"</f>
        <v>51100</v>
      </c>
      <c r="W4442">
        <v>0</v>
      </c>
      <c r="X4442">
        <v>0</v>
      </c>
    </row>
    <row r="4443" spans="1:24" ht="15" customHeight="1" x14ac:dyDescent="0.25">
      <c r="A4443" t="str">
        <f>""</f>
        <v/>
      </c>
      <c r="B4443" s="1"/>
      <c r="H4443">
        <v>151</v>
      </c>
      <c r="J4443" t="s">
        <v>22</v>
      </c>
      <c r="L4443" s="1"/>
      <c r="N4443" s="1"/>
      <c r="V4443" t="str">
        <f>"37140"</f>
        <v>37140</v>
      </c>
      <c r="W4443">
        <v>0</v>
      </c>
      <c r="X4443">
        <v>0</v>
      </c>
    </row>
    <row r="4444" spans="1:24" x14ac:dyDescent="0.25">
      <c r="A4444" t="str">
        <f>""</f>
        <v/>
      </c>
      <c r="B4444" s="1"/>
      <c r="J4444" t="s">
        <v>16</v>
      </c>
      <c r="L4444" s="1"/>
      <c r="N4444" s="1"/>
      <c r="V4444" t="str">
        <f>"38420"</f>
        <v>38420</v>
      </c>
      <c r="W4444">
        <v>0</v>
      </c>
      <c r="X4444">
        <v>0</v>
      </c>
    </row>
    <row r="4445" spans="1:24" ht="15" customHeight="1" x14ac:dyDescent="0.25">
      <c r="A4445" t="str">
        <f>""</f>
        <v/>
      </c>
      <c r="B4445" s="1"/>
      <c r="H4445">
        <v>70.8</v>
      </c>
      <c r="J4445" t="s">
        <v>23</v>
      </c>
      <c r="L4445" s="1"/>
      <c r="N4445" s="1"/>
      <c r="V4445" t="str">
        <f>"68012"</f>
        <v>68012</v>
      </c>
      <c r="W4445">
        <v>0</v>
      </c>
      <c r="X4445">
        <v>0</v>
      </c>
    </row>
    <row r="4446" spans="1:24" ht="15" customHeight="1" x14ac:dyDescent="0.25">
      <c r="A4446" t="str">
        <f>""</f>
        <v/>
      </c>
      <c r="B4446" s="1"/>
      <c r="H4446">
        <v>20</v>
      </c>
      <c r="J4446" t="s">
        <v>22</v>
      </c>
      <c r="L4446" s="1"/>
      <c r="N4446" s="1"/>
      <c r="V4446" t="str">
        <f>"68270"</f>
        <v>68270</v>
      </c>
      <c r="W4446">
        <v>0</v>
      </c>
      <c r="X4446">
        <v>1.6</v>
      </c>
    </row>
    <row r="4447" spans="1:24" ht="15" customHeight="1" x14ac:dyDescent="0.25">
      <c r="A4447" t="str">
        <f>""</f>
        <v/>
      </c>
      <c r="B4447" s="1"/>
      <c r="H4447">
        <v>156.19999999999999</v>
      </c>
      <c r="J4447" t="s">
        <v>20</v>
      </c>
      <c r="L4447" s="1"/>
      <c r="N4447" s="1"/>
      <c r="V4447" t="str">
        <f>"42160"</f>
        <v>42160</v>
      </c>
      <c r="W4447">
        <v>42.17</v>
      </c>
      <c r="X4447">
        <v>0</v>
      </c>
    </row>
    <row r="4448" spans="1:24" ht="15" customHeight="1" x14ac:dyDescent="0.25">
      <c r="A4448" t="str">
        <f>""</f>
        <v/>
      </c>
      <c r="B4448" s="1"/>
      <c r="H4448">
        <v>114</v>
      </c>
      <c r="L4448" s="1"/>
      <c r="N4448" s="1"/>
      <c r="V4448" t="str">
        <f>"77184"</f>
        <v>77184</v>
      </c>
      <c r="W4448">
        <v>0</v>
      </c>
      <c r="X4448">
        <v>0</v>
      </c>
    </row>
    <row r="4449" spans="1:24" ht="15" customHeight="1" x14ac:dyDescent="0.25">
      <c r="A4449" t="str">
        <f>""</f>
        <v/>
      </c>
      <c r="B4449" s="1"/>
      <c r="H4449">
        <v>90.1</v>
      </c>
      <c r="J4449" t="s">
        <v>23</v>
      </c>
      <c r="L4449" s="1"/>
      <c r="V4449" t="str">
        <f>"74370"</f>
        <v>74370</v>
      </c>
      <c r="W4449">
        <v>0</v>
      </c>
      <c r="X4449">
        <v>0</v>
      </c>
    </row>
    <row r="4450" spans="1:24" ht="15" customHeight="1" x14ac:dyDescent="0.25">
      <c r="A4450" t="str">
        <f>""</f>
        <v/>
      </c>
      <c r="B4450" s="1"/>
      <c r="H4450">
        <v>180</v>
      </c>
      <c r="J4450" t="s">
        <v>22</v>
      </c>
      <c r="L4450" s="1"/>
      <c r="N4450" s="1"/>
      <c r="V4450" t="str">
        <f>"59000"</f>
        <v>59000</v>
      </c>
      <c r="W4450">
        <v>0</v>
      </c>
      <c r="X4450">
        <v>34.200000000000003</v>
      </c>
    </row>
    <row r="4451" spans="1:24" ht="15" customHeight="1" x14ac:dyDescent="0.25">
      <c r="A4451" t="str">
        <f>""</f>
        <v/>
      </c>
      <c r="B4451" s="1"/>
      <c r="H4451">
        <v>75.08</v>
      </c>
      <c r="J4451" t="s">
        <v>23</v>
      </c>
      <c r="L4451" s="1"/>
      <c r="N4451" s="1"/>
      <c r="V4451" t="str">
        <f>"72300"</f>
        <v>72300</v>
      </c>
      <c r="W4451">
        <v>0</v>
      </c>
      <c r="X4451">
        <v>9.01</v>
      </c>
    </row>
    <row r="4452" spans="1:24" ht="15" customHeight="1" x14ac:dyDescent="0.25">
      <c r="A4452" t="str">
        <f>""</f>
        <v/>
      </c>
      <c r="B4452" s="1"/>
      <c r="H4452">
        <v>140</v>
      </c>
      <c r="J4452" t="s">
        <v>23</v>
      </c>
      <c r="L4452" s="1"/>
      <c r="V4452" t="str">
        <f>"38800"</f>
        <v>38800</v>
      </c>
      <c r="W4452">
        <v>0</v>
      </c>
      <c r="X4452">
        <v>0</v>
      </c>
    </row>
    <row r="4453" spans="1:24" ht="15" customHeight="1" x14ac:dyDescent="0.25">
      <c r="A4453" t="str">
        <f>""</f>
        <v/>
      </c>
      <c r="B4453" s="1"/>
      <c r="H4453">
        <v>84.5</v>
      </c>
      <c r="J4453" t="s">
        <v>23</v>
      </c>
      <c r="L4453" s="1"/>
      <c r="V4453" t="str">
        <f>"69720"</f>
        <v>69720</v>
      </c>
      <c r="W4453">
        <v>0</v>
      </c>
      <c r="X4453">
        <v>0</v>
      </c>
    </row>
    <row r="4454" spans="1:24" ht="15" customHeight="1" x14ac:dyDescent="0.25">
      <c r="A4454" t="str">
        <f>""</f>
        <v/>
      </c>
      <c r="B4454" s="1"/>
      <c r="H4454">
        <v>308</v>
      </c>
      <c r="J4454" t="s">
        <v>23</v>
      </c>
      <c r="L4454" s="1"/>
      <c r="N4454" s="1"/>
      <c r="V4454" t="str">
        <f>"75006"</f>
        <v>75006</v>
      </c>
      <c r="W4454">
        <v>0</v>
      </c>
      <c r="X4454">
        <v>0</v>
      </c>
    </row>
    <row r="4455" spans="1:24" ht="15" customHeight="1" x14ac:dyDescent="0.25">
      <c r="A4455" t="str">
        <f>""</f>
        <v/>
      </c>
      <c r="B4455" s="1"/>
      <c r="H4455">
        <v>180</v>
      </c>
      <c r="J4455" t="s">
        <v>23</v>
      </c>
      <c r="L4455" s="1"/>
      <c r="N4455" s="1"/>
      <c r="V4455" t="str">
        <f>"69007"</f>
        <v>69007</v>
      </c>
      <c r="W4455">
        <v>0</v>
      </c>
      <c r="X4455">
        <v>0</v>
      </c>
    </row>
    <row r="4456" spans="1:24" ht="15" customHeight="1" x14ac:dyDescent="0.25">
      <c r="A4456" t="str">
        <f>""</f>
        <v/>
      </c>
      <c r="B4456" s="1"/>
      <c r="H4456">
        <v>153.97999999999999</v>
      </c>
      <c r="J4456" t="s">
        <v>22</v>
      </c>
      <c r="L4456" s="1"/>
      <c r="N4456" s="1"/>
      <c r="V4456" t="str">
        <f>"14000"</f>
        <v>14000</v>
      </c>
      <c r="W4456">
        <v>0</v>
      </c>
      <c r="X4456">
        <v>26.18</v>
      </c>
    </row>
    <row r="4457" spans="1:24" ht="15" customHeight="1" x14ac:dyDescent="0.25">
      <c r="A4457" t="str">
        <f>""</f>
        <v/>
      </c>
      <c r="B4457" s="1"/>
      <c r="H4457">
        <v>133.04</v>
      </c>
      <c r="J4457" t="s">
        <v>23</v>
      </c>
      <c r="L4457" s="1"/>
      <c r="N4457" s="1"/>
      <c r="V4457" t="str">
        <f>"11000"</f>
        <v>11000</v>
      </c>
      <c r="W4457">
        <v>0</v>
      </c>
      <c r="X4457">
        <v>37.25</v>
      </c>
    </row>
    <row r="4458" spans="1:24" ht="15" customHeight="1" x14ac:dyDescent="0.25">
      <c r="A4458" t="str">
        <f>""</f>
        <v/>
      </c>
      <c r="B4458" s="1"/>
      <c r="H4458">
        <v>200.31</v>
      </c>
      <c r="J4458" t="s">
        <v>19</v>
      </c>
      <c r="L4458" s="1"/>
      <c r="N4458" s="1"/>
      <c r="V4458" t="str">
        <f>"61250"</f>
        <v>61250</v>
      </c>
      <c r="W4458">
        <v>34.049999999999997</v>
      </c>
      <c r="X4458">
        <v>0</v>
      </c>
    </row>
    <row r="4459" spans="1:24" ht="15" customHeight="1" x14ac:dyDescent="0.25">
      <c r="A4459" t="str">
        <f>""</f>
        <v/>
      </c>
      <c r="B4459" s="1"/>
      <c r="H4459">
        <v>70</v>
      </c>
      <c r="J4459" t="s">
        <v>22</v>
      </c>
      <c r="L4459" s="1"/>
      <c r="N4459" s="1"/>
      <c r="V4459" t="str">
        <f>"21140"</f>
        <v>21140</v>
      </c>
      <c r="W4459">
        <v>0</v>
      </c>
      <c r="X4459">
        <v>8.4</v>
      </c>
    </row>
    <row r="4460" spans="1:24" ht="15" customHeight="1" x14ac:dyDescent="0.25">
      <c r="A4460" t="str">
        <f>""</f>
        <v/>
      </c>
      <c r="B4460" s="1"/>
      <c r="H4460">
        <v>29</v>
      </c>
      <c r="J4460" t="s">
        <v>22</v>
      </c>
      <c r="L4460" s="1"/>
      <c r="N4460" s="1"/>
      <c r="V4460" t="str">
        <f>"69340"</f>
        <v>69340</v>
      </c>
      <c r="W4460">
        <v>0</v>
      </c>
      <c r="X4460">
        <v>0</v>
      </c>
    </row>
    <row r="4461" spans="1:24" ht="15" customHeight="1" x14ac:dyDescent="0.25">
      <c r="A4461" t="str">
        <f>""</f>
        <v/>
      </c>
      <c r="B4461" s="1"/>
      <c r="H4461">
        <v>140</v>
      </c>
      <c r="J4461" t="s">
        <v>23</v>
      </c>
      <c r="L4461" s="1"/>
      <c r="N4461" s="1"/>
      <c r="V4461" t="str">
        <f>"83440"</f>
        <v>83440</v>
      </c>
      <c r="W4461">
        <v>0</v>
      </c>
      <c r="X4461">
        <v>29.4</v>
      </c>
    </row>
    <row r="4462" spans="1:24" ht="15" customHeight="1" x14ac:dyDescent="0.25">
      <c r="A4462" t="str">
        <f>""</f>
        <v/>
      </c>
      <c r="B4462" s="1"/>
      <c r="H4462">
        <v>199.6</v>
      </c>
      <c r="J4462" t="s">
        <v>23</v>
      </c>
      <c r="L4462" s="1"/>
      <c r="V4462" t="str">
        <f>"13127"</f>
        <v>13127</v>
      </c>
      <c r="W4462">
        <v>0</v>
      </c>
      <c r="X4462">
        <v>0</v>
      </c>
    </row>
    <row r="4463" spans="1:24" ht="15" customHeight="1" x14ac:dyDescent="0.25">
      <c r="A4463" t="str">
        <f>""</f>
        <v/>
      </c>
      <c r="B4463" s="1"/>
      <c r="H4463">
        <v>180</v>
      </c>
      <c r="J4463" t="s">
        <v>23</v>
      </c>
      <c r="L4463" s="1"/>
      <c r="V4463" t="str">
        <f>"05220"</f>
        <v>05220</v>
      </c>
      <c r="W4463">
        <v>0</v>
      </c>
      <c r="X4463">
        <v>0</v>
      </c>
    </row>
    <row r="4464" spans="1:24" ht="15" customHeight="1" x14ac:dyDescent="0.25">
      <c r="A4464" t="str">
        <f>""</f>
        <v/>
      </c>
      <c r="B4464" s="1"/>
      <c r="H4464">
        <v>151</v>
      </c>
      <c r="J4464" t="s">
        <v>22</v>
      </c>
      <c r="L4464" s="1"/>
      <c r="V4464" t="str">
        <f>"69120"</f>
        <v>69120</v>
      </c>
      <c r="W4464">
        <v>0</v>
      </c>
      <c r="X4464">
        <v>0</v>
      </c>
    </row>
    <row r="4465" spans="1:24" ht="15" customHeight="1" x14ac:dyDescent="0.25">
      <c r="A4465" t="str">
        <f>""</f>
        <v/>
      </c>
      <c r="B4465" s="1"/>
      <c r="H4465">
        <v>168</v>
      </c>
      <c r="J4465" t="s">
        <v>23</v>
      </c>
      <c r="L4465" s="1"/>
      <c r="N4465" s="1"/>
      <c r="V4465" t="str">
        <f>"27000"</f>
        <v>27000</v>
      </c>
      <c r="W4465">
        <v>0</v>
      </c>
      <c r="X4465">
        <v>28.56</v>
      </c>
    </row>
    <row r="4466" spans="1:24" ht="15" customHeight="1" x14ac:dyDescent="0.25">
      <c r="A4466" t="str">
        <f>""</f>
        <v/>
      </c>
      <c r="B4466" s="1"/>
      <c r="H4466">
        <v>28</v>
      </c>
      <c r="J4466" t="s">
        <v>23</v>
      </c>
      <c r="L4466" s="1"/>
      <c r="V4466" t="str">
        <f>"63000"</f>
        <v>63000</v>
      </c>
      <c r="W4466">
        <v>0</v>
      </c>
      <c r="X4466">
        <v>0</v>
      </c>
    </row>
    <row r="4467" spans="1:24" ht="15" customHeight="1" x14ac:dyDescent="0.25">
      <c r="A4467" t="str">
        <f>""</f>
        <v/>
      </c>
      <c r="B4467" s="1"/>
      <c r="H4467">
        <v>180</v>
      </c>
      <c r="J4467" t="s">
        <v>22</v>
      </c>
      <c r="L4467" s="1"/>
      <c r="N4467" s="1"/>
      <c r="V4467" t="str">
        <f>"76140"</f>
        <v>76140</v>
      </c>
      <c r="W4467">
        <v>0</v>
      </c>
      <c r="X4467">
        <v>30.6</v>
      </c>
    </row>
    <row r="4468" spans="1:24" ht="15" customHeight="1" x14ac:dyDescent="0.25">
      <c r="A4468" t="str">
        <f>""</f>
        <v/>
      </c>
      <c r="B4468" s="1"/>
      <c r="H4468">
        <v>140</v>
      </c>
      <c r="J4468" t="s">
        <v>22</v>
      </c>
      <c r="L4468" s="1"/>
      <c r="N4468" s="1"/>
      <c r="V4468" t="str">
        <f>"37210"</f>
        <v>37210</v>
      </c>
      <c r="W4468">
        <v>0</v>
      </c>
      <c r="X4468">
        <v>0</v>
      </c>
    </row>
    <row r="4469" spans="1:24" ht="15" customHeight="1" x14ac:dyDescent="0.25">
      <c r="A4469" t="str">
        <f>""</f>
        <v/>
      </c>
      <c r="B4469" s="1"/>
      <c r="H4469">
        <v>180</v>
      </c>
      <c r="J4469" t="s">
        <v>23</v>
      </c>
      <c r="L4469" s="1"/>
      <c r="N4469" s="1"/>
      <c r="V4469" t="str">
        <f>"84000"</f>
        <v>84000</v>
      </c>
      <c r="W4469">
        <v>0</v>
      </c>
      <c r="X4469">
        <v>0</v>
      </c>
    </row>
    <row r="4470" spans="1:24" ht="15" customHeight="1" x14ac:dyDescent="0.25">
      <c r="A4470" t="str">
        <f>""</f>
        <v/>
      </c>
      <c r="B4470" s="1"/>
      <c r="H4470">
        <v>180</v>
      </c>
      <c r="J4470" t="s">
        <v>22</v>
      </c>
      <c r="L4470" s="1"/>
      <c r="N4470" s="1"/>
      <c r="V4470" t="str">
        <f>"80100"</f>
        <v>80100</v>
      </c>
      <c r="W4470">
        <v>0</v>
      </c>
      <c r="X4470">
        <v>0</v>
      </c>
    </row>
    <row r="4471" spans="1:24" ht="15" customHeight="1" x14ac:dyDescent="0.25">
      <c r="A4471" t="str">
        <f>""</f>
        <v/>
      </c>
      <c r="B4471" s="1"/>
      <c r="H4471">
        <v>171.08</v>
      </c>
      <c r="J4471" t="s">
        <v>20</v>
      </c>
      <c r="L4471" s="1"/>
      <c r="N4471" s="1"/>
      <c r="V4471" t="str">
        <f>"13009"</f>
        <v>13009</v>
      </c>
      <c r="W4471">
        <v>49.61</v>
      </c>
      <c r="X4471">
        <v>0</v>
      </c>
    </row>
    <row r="4472" spans="1:24" ht="15" customHeight="1" x14ac:dyDescent="0.25">
      <c r="A4472" t="str">
        <f>""</f>
        <v/>
      </c>
      <c r="B4472" s="1"/>
      <c r="H4472">
        <v>85</v>
      </c>
      <c r="J4472" t="s">
        <v>22</v>
      </c>
      <c r="L4472" s="1"/>
      <c r="N4472" s="1"/>
      <c r="V4472" t="str">
        <f>"70000"</f>
        <v>70000</v>
      </c>
      <c r="W4472">
        <v>0</v>
      </c>
      <c r="X4472">
        <v>10.199999999999999</v>
      </c>
    </row>
    <row r="4473" spans="1:24" ht="15" customHeight="1" x14ac:dyDescent="0.25">
      <c r="A4473" t="str">
        <f>""</f>
        <v/>
      </c>
      <c r="B4473" s="1"/>
      <c r="H4473">
        <v>29.09</v>
      </c>
      <c r="J4473" t="s">
        <v>22</v>
      </c>
      <c r="L4473" s="1"/>
      <c r="N4473" s="1"/>
      <c r="V4473" t="str">
        <f>"69150"</f>
        <v>69150</v>
      </c>
      <c r="W4473">
        <v>0</v>
      </c>
      <c r="X4473">
        <v>0</v>
      </c>
    </row>
    <row r="4474" spans="1:24" ht="15" customHeight="1" x14ac:dyDescent="0.25">
      <c r="A4474" t="str">
        <f>""</f>
        <v/>
      </c>
      <c r="B4474" s="1"/>
      <c r="H4474">
        <v>50.84</v>
      </c>
      <c r="J4474" t="s">
        <v>19</v>
      </c>
      <c r="L4474" s="1"/>
      <c r="N4474" s="1"/>
      <c r="V4474" t="str">
        <f>"92000"</f>
        <v>92000</v>
      </c>
      <c r="W4474">
        <v>0</v>
      </c>
      <c r="X4474">
        <v>0</v>
      </c>
    </row>
    <row r="4475" spans="1:24" ht="15" customHeight="1" x14ac:dyDescent="0.25">
      <c r="A4475" t="str">
        <f>""</f>
        <v/>
      </c>
      <c r="B4475" s="1"/>
      <c r="H4475">
        <v>50.84</v>
      </c>
      <c r="J4475" t="s">
        <v>19</v>
      </c>
      <c r="L4475" s="1"/>
      <c r="N4475" s="1"/>
      <c r="V4475" t="str">
        <f>"92000"</f>
        <v>92000</v>
      </c>
      <c r="W4475">
        <v>0</v>
      </c>
      <c r="X4475">
        <v>0</v>
      </c>
    </row>
    <row r="4476" spans="1:24" ht="15" customHeight="1" x14ac:dyDescent="0.25">
      <c r="A4476" t="str">
        <f>""</f>
        <v/>
      </c>
      <c r="B4476" s="1"/>
      <c r="H4476">
        <v>50.84</v>
      </c>
      <c r="J4476" t="s">
        <v>19</v>
      </c>
      <c r="L4476" s="1"/>
      <c r="N4476" s="1"/>
      <c r="V4476" t="str">
        <f>"92000"</f>
        <v>92000</v>
      </c>
      <c r="W4476">
        <v>0</v>
      </c>
      <c r="X4476">
        <v>0</v>
      </c>
    </row>
    <row r="4477" spans="1:24" ht="15" customHeight="1" x14ac:dyDescent="0.25">
      <c r="A4477" t="str">
        <f>""</f>
        <v/>
      </c>
      <c r="B4477" s="1"/>
      <c r="H4477">
        <v>92</v>
      </c>
      <c r="J4477" t="s">
        <v>22</v>
      </c>
      <c r="L4477" s="1"/>
      <c r="N4477" s="1"/>
      <c r="V4477" t="str">
        <f>"06190"</f>
        <v>06190</v>
      </c>
      <c r="W4477">
        <v>0</v>
      </c>
      <c r="X4477">
        <v>27.6</v>
      </c>
    </row>
    <row r="4478" spans="1:24" x14ac:dyDescent="0.25">
      <c r="A4478" t="str">
        <f>""</f>
        <v/>
      </c>
      <c r="B4478" s="1"/>
      <c r="H4478">
        <v>52.5</v>
      </c>
      <c r="J4478" t="s">
        <v>15</v>
      </c>
      <c r="L4478" s="1"/>
      <c r="N4478" s="1"/>
      <c r="V4478" t="str">
        <f>"47000"</f>
        <v>47000</v>
      </c>
      <c r="W4478">
        <v>0</v>
      </c>
      <c r="X4478">
        <v>0</v>
      </c>
    </row>
    <row r="4479" spans="1:24" x14ac:dyDescent="0.25">
      <c r="A4479" t="str">
        <f>""</f>
        <v/>
      </c>
      <c r="B4479" s="1"/>
      <c r="H4479">
        <v>52.5</v>
      </c>
      <c r="J4479" t="s">
        <v>15</v>
      </c>
      <c r="L4479" s="1"/>
      <c r="N4479" s="1"/>
      <c r="V4479" t="str">
        <f>"91130"</f>
        <v>91130</v>
      </c>
      <c r="W4479">
        <v>0</v>
      </c>
      <c r="X4479">
        <v>0</v>
      </c>
    </row>
    <row r="4480" spans="1:24" x14ac:dyDescent="0.25">
      <c r="A4480" t="str">
        <f>""</f>
        <v/>
      </c>
      <c r="B4480" s="1"/>
      <c r="H4480">
        <v>52.5</v>
      </c>
      <c r="J4480" t="s">
        <v>15</v>
      </c>
      <c r="L4480" s="1"/>
      <c r="N4480" s="1"/>
      <c r="V4480" t="str">
        <f>"69003"</f>
        <v>69003</v>
      </c>
      <c r="W4480">
        <v>0</v>
      </c>
      <c r="X4480">
        <v>0</v>
      </c>
    </row>
    <row r="4481" spans="1:24" x14ac:dyDescent="0.25">
      <c r="A4481" t="str">
        <f>""</f>
        <v/>
      </c>
      <c r="B4481" s="1"/>
      <c r="H4481">
        <v>52.5</v>
      </c>
      <c r="J4481" t="s">
        <v>15</v>
      </c>
      <c r="L4481" s="1"/>
      <c r="N4481" s="1"/>
      <c r="V4481" t="str">
        <f>"88000"</f>
        <v>88000</v>
      </c>
      <c r="W4481">
        <v>0</v>
      </c>
      <c r="X4481">
        <v>0</v>
      </c>
    </row>
    <row r="4482" spans="1:24" ht="15" customHeight="1" x14ac:dyDescent="0.25">
      <c r="A4482" t="str">
        <f>""</f>
        <v/>
      </c>
      <c r="B4482" s="1"/>
      <c r="H4482">
        <v>25</v>
      </c>
      <c r="J4482" t="s">
        <v>22</v>
      </c>
      <c r="L4482" s="1"/>
      <c r="V4482" t="str">
        <f>"77184"</f>
        <v>77184</v>
      </c>
      <c r="W4482">
        <v>0</v>
      </c>
      <c r="X4482">
        <v>0</v>
      </c>
    </row>
    <row r="4483" spans="1:24" ht="15" customHeight="1" x14ac:dyDescent="0.25">
      <c r="A4483" t="str">
        <f>""</f>
        <v/>
      </c>
      <c r="B4483" s="1"/>
      <c r="H4483">
        <v>40</v>
      </c>
      <c r="J4483" t="s">
        <v>22</v>
      </c>
      <c r="L4483" s="1"/>
      <c r="N4483" s="1"/>
      <c r="V4483" t="str">
        <f>"77200"</f>
        <v>77200</v>
      </c>
      <c r="W4483">
        <v>0</v>
      </c>
      <c r="X4483">
        <v>0</v>
      </c>
    </row>
    <row r="4484" spans="1:24" ht="15" customHeight="1" x14ac:dyDescent="0.25">
      <c r="A4484" t="str">
        <f>""</f>
        <v/>
      </c>
      <c r="B4484" s="1"/>
      <c r="H4484">
        <v>29.59</v>
      </c>
      <c r="J4484" t="s">
        <v>22</v>
      </c>
      <c r="L4484" s="1"/>
      <c r="N4484" s="1"/>
      <c r="V4484" t="str">
        <f>"13001"</f>
        <v>13001</v>
      </c>
      <c r="W4484">
        <v>0</v>
      </c>
      <c r="X4484">
        <v>0</v>
      </c>
    </row>
    <row r="4485" spans="1:24" ht="15" customHeight="1" x14ac:dyDescent="0.25">
      <c r="A4485" t="str">
        <f>""</f>
        <v/>
      </c>
      <c r="B4485" s="1"/>
      <c r="H4485">
        <v>50.84</v>
      </c>
      <c r="J4485" t="s">
        <v>19</v>
      </c>
      <c r="L4485" s="1"/>
      <c r="N4485" s="1"/>
      <c r="V4485" t="str">
        <f>"92000"</f>
        <v>92000</v>
      </c>
      <c r="W4485">
        <v>0</v>
      </c>
      <c r="X4485">
        <v>0</v>
      </c>
    </row>
    <row r="4486" spans="1:24" ht="15" customHeight="1" x14ac:dyDescent="0.25">
      <c r="A4486" t="str">
        <f>""</f>
        <v/>
      </c>
      <c r="B4486" s="1"/>
      <c r="H4486">
        <v>19.649999999999999</v>
      </c>
      <c r="J4486" t="s">
        <v>19</v>
      </c>
      <c r="L4486" s="1"/>
      <c r="N4486" s="1"/>
      <c r="V4486" t="str">
        <f>"38230"</f>
        <v>38230</v>
      </c>
      <c r="W4486">
        <v>5.31</v>
      </c>
      <c r="X4486">
        <v>0</v>
      </c>
    </row>
    <row r="4487" spans="1:24" ht="15" customHeight="1" x14ac:dyDescent="0.25">
      <c r="A4487" t="str">
        <f>""</f>
        <v/>
      </c>
      <c r="B4487" s="1"/>
      <c r="H4487">
        <v>19.649999999999999</v>
      </c>
      <c r="J4487" t="s">
        <v>19</v>
      </c>
      <c r="L4487" s="1"/>
      <c r="N4487" s="1"/>
      <c r="V4487" t="str">
        <f>"38110"</f>
        <v>38110</v>
      </c>
      <c r="W4487">
        <v>5.31</v>
      </c>
      <c r="X4487">
        <v>0</v>
      </c>
    </row>
    <row r="4488" spans="1:24" ht="15" customHeight="1" x14ac:dyDescent="0.25">
      <c r="A4488" t="str">
        <f>""</f>
        <v/>
      </c>
      <c r="B4488" s="1"/>
      <c r="H4488">
        <v>198.98</v>
      </c>
      <c r="J4488" t="s">
        <v>22</v>
      </c>
      <c r="L4488" s="1"/>
      <c r="N4488" s="1"/>
      <c r="V4488" t="str">
        <f>"59790"</f>
        <v>59790</v>
      </c>
      <c r="W4488">
        <v>0</v>
      </c>
      <c r="X4488">
        <v>0</v>
      </c>
    </row>
    <row r="4489" spans="1:24" ht="15" customHeight="1" x14ac:dyDescent="0.25">
      <c r="A4489" t="str">
        <f>""</f>
        <v/>
      </c>
      <c r="B4489" s="1"/>
      <c r="H4489">
        <v>130.25</v>
      </c>
      <c r="J4489" t="s">
        <v>20</v>
      </c>
      <c r="L4489" s="1"/>
      <c r="N4489" s="1"/>
      <c r="V4489" t="str">
        <f>"53100"</f>
        <v>53100</v>
      </c>
      <c r="W4489">
        <v>35.17</v>
      </c>
      <c r="X4489">
        <v>0</v>
      </c>
    </row>
    <row r="4490" spans="1:24" ht="15" customHeight="1" x14ac:dyDescent="0.25">
      <c r="A4490" t="str">
        <f>""</f>
        <v/>
      </c>
      <c r="B4490" s="1"/>
      <c r="H4490">
        <v>40</v>
      </c>
      <c r="J4490" t="s">
        <v>22</v>
      </c>
      <c r="L4490" s="1"/>
      <c r="N4490" s="1"/>
      <c r="V4490" t="str">
        <f>"63500"</f>
        <v>63500</v>
      </c>
      <c r="W4490">
        <v>0</v>
      </c>
      <c r="X4490">
        <v>4.8</v>
      </c>
    </row>
    <row r="4491" spans="1:24" x14ac:dyDescent="0.25">
      <c r="A4491" t="str">
        <f>""</f>
        <v/>
      </c>
      <c r="B4491" s="1"/>
      <c r="H4491">
        <v>180</v>
      </c>
      <c r="J4491" t="s">
        <v>16</v>
      </c>
      <c r="L4491" s="1"/>
      <c r="N4491" s="1"/>
      <c r="V4491" t="str">
        <f>"57500"</f>
        <v>57500</v>
      </c>
      <c r="W4491">
        <v>0</v>
      </c>
      <c r="X4491">
        <v>0</v>
      </c>
    </row>
    <row r="4492" spans="1:24" ht="15" customHeight="1" x14ac:dyDescent="0.25">
      <c r="A4492" t="str">
        <f>""</f>
        <v/>
      </c>
      <c r="B4492" s="1"/>
      <c r="H4492">
        <v>40</v>
      </c>
      <c r="J4492" t="s">
        <v>23</v>
      </c>
      <c r="L4492" s="1"/>
      <c r="V4492" t="str">
        <f>"01300"</f>
        <v>01300</v>
      </c>
      <c r="W4492">
        <v>0</v>
      </c>
      <c r="X4492">
        <v>0</v>
      </c>
    </row>
    <row r="4493" spans="1:24" ht="15" customHeight="1" x14ac:dyDescent="0.25">
      <c r="A4493" t="str">
        <f>""</f>
        <v/>
      </c>
      <c r="B4493" s="1"/>
      <c r="H4493">
        <v>20</v>
      </c>
      <c r="L4493" s="1"/>
      <c r="N4493" s="1"/>
      <c r="V4493" t="str">
        <f>"77184"</f>
        <v>77184</v>
      </c>
      <c r="W4493">
        <v>0</v>
      </c>
      <c r="X4493">
        <v>0</v>
      </c>
    </row>
    <row r="4494" spans="1:24" ht="15" customHeight="1" x14ac:dyDescent="0.25">
      <c r="A4494" t="str">
        <f>""</f>
        <v/>
      </c>
      <c r="B4494" s="1"/>
      <c r="H4494">
        <v>210.8</v>
      </c>
      <c r="J4494" t="s">
        <v>20</v>
      </c>
      <c r="L4494" s="1"/>
      <c r="N4494" s="1"/>
      <c r="V4494" t="str">
        <f>"44600"</f>
        <v>44600</v>
      </c>
      <c r="W4494">
        <v>56.92</v>
      </c>
      <c r="X4494">
        <v>0</v>
      </c>
    </row>
    <row r="4495" spans="1:24" ht="15" customHeight="1" x14ac:dyDescent="0.25">
      <c r="A4495" t="str">
        <f>""</f>
        <v/>
      </c>
      <c r="B4495" s="1"/>
      <c r="H4495">
        <v>250</v>
      </c>
      <c r="J4495" t="s">
        <v>23</v>
      </c>
      <c r="L4495" s="1"/>
      <c r="N4495" s="1"/>
      <c r="V4495" t="str">
        <f>"75012"</f>
        <v>75012</v>
      </c>
      <c r="W4495">
        <v>0</v>
      </c>
      <c r="X4495">
        <v>0</v>
      </c>
    </row>
    <row r="4496" spans="1:24" ht="15" customHeight="1" x14ac:dyDescent="0.25">
      <c r="A4496" t="str">
        <f>""</f>
        <v/>
      </c>
      <c r="B4496" s="1"/>
      <c r="H4496">
        <v>108.46</v>
      </c>
      <c r="J4496" t="s">
        <v>19</v>
      </c>
      <c r="L4496" s="1"/>
      <c r="N4496" s="1"/>
      <c r="V4496" t="str">
        <f>"16340"</f>
        <v>16340</v>
      </c>
      <c r="W4496">
        <v>22.78</v>
      </c>
      <c r="X4496">
        <v>0</v>
      </c>
    </row>
    <row r="4497" spans="1:24" ht="15" customHeight="1" x14ac:dyDescent="0.25">
      <c r="A4497" t="str">
        <f>""</f>
        <v/>
      </c>
      <c r="B4497" s="1"/>
      <c r="H4497">
        <v>184.79</v>
      </c>
      <c r="J4497" t="s">
        <v>19</v>
      </c>
      <c r="L4497" s="1"/>
      <c r="N4497" s="1"/>
      <c r="V4497" t="str">
        <f>"16340"</f>
        <v>16340</v>
      </c>
      <c r="W4497">
        <v>38.81</v>
      </c>
      <c r="X4497">
        <v>0</v>
      </c>
    </row>
    <row r="4498" spans="1:24" ht="15" customHeight="1" x14ac:dyDescent="0.25">
      <c r="A4498" t="str">
        <f>""</f>
        <v/>
      </c>
      <c r="B4498" s="1"/>
      <c r="H4498">
        <v>73</v>
      </c>
      <c r="J4498" t="s">
        <v>19</v>
      </c>
      <c r="L4498" s="1"/>
      <c r="N4498" s="1"/>
      <c r="V4498" t="str">
        <f>"13790"</f>
        <v>13790</v>
      </c>
      <c r="W4498">
        <v>37.229999999999997</v>
      </c>
      <c r="X4498">
        <v>0</v>
      </c>
    </row>
    <row r="4499" spans="1:24" ht="15" customHeight="1" x14ac:dyDescent="0.25">
      <c r="A4499" t="str">
        <f>""</f>
        <v/>
      </c>
      <c r="B4499" s="1"/>
      <c r="H4499">
        <v>151</v>
      </c>
      <c r="J4499" t="s">
        <v>22</v>
      </c>
      <c r="L4499" s="1"/>
      <c r="N4499" s="1"/>
      <c r="V4499" t="str">
        <f>"06560"</f>
        <v>06560</v>
      </c>
      <c r="W4499">
        <v>0</v>
      </c>
      <c r="X4499">
        <v>0</v>
      </c>
    </row>
    <row r="4500" spans="1:24" ht="15" customHeight="1" x14ac:dyDescent="0.25">
      <c r="A4500" t="str">
        <f>""</f>
        <v/>
      </c>
      <c r="B4500" s="1"/>
      <c r="H4500">
        <v>151</v>
      </c>
      <c r="J4500" t="s">
        <v>22</v>
      </c>
      <c r="L4500" s="1"/>
      <c r="N4500" s="1"/>
      <c r="V4500" t="str">
        <f>"06560"</f>
        <v>06560</v>
      </c>
      <c r="W4500">
        <v>0</v>
      </c>
      <c r="X4500">
        <v>0</v>
      </c>
    </row>
    <row r="4501" spans="1:24" ht="15" customHeight="1" x14ac:dyDescent="0.25">
      <c r="A4501" t="str">
        <f>""</f>
        <v/>
      </c>
      <c r="B4501" s="1"/>
      <c r="H4501">
        <v>151</v>
      </c>
      <c r="J4501" t="s">
        <v>22</v>
      </c>
      <c r="L4501" s="1"/>
      <c r="N4501" s="1"/>
      <c r="V4501" t="str">
        <f>"06560"</f>
        <v>06560</v>
      </c>
      <c r="W4501">
        <v>0</v>
      </c>
      <c r="X4501">
        <v>0</v>
      </c>
    </row>
    <row r="4502" spans="1:24" ht="15" customHeight="1" x14ac:dyDescent="0.25">
      <c r="A4502" t="str">
        <f>""</f>
        <v/>
      </c>
      <c r="B4502" s="1"/>
      <c r="H4502">
        <v>151</v>
      </c>
      <c r="J4502" t="s">
        <v>22</v>
      </c>
      <c r="L4502" s="1"/>
      <c r="N4502" s="1"/>
      <c r="V4502" t="str">
        <f>"06560"</f>
        <v>06560</v>
      </c>
      <c r="W4502">
        <v>0</v>
      </c>
      <c r="X4502">
        <v>0</v>
      </c>
    </row>
    <row r="4503" spans="1:24" ht="15" customHeight="1" x14ac:dyDescent="0.25">
      <c r="A4503" t="str">
        <f>""</f>
        <v/>
      </c>
      <c r="B4503" s="1"/>
      <c r="H4503">
        <v>151</v>
      </c>
      <c r="J4503" t="s">
        <v>23</v>
      </c>
      <c r="L4503" s="1"/>
      <c r="N4503" s="1"/>
      <c r="V4503" t="str">
        <f>"06560"</f>
        <v>06560</v>
      </c>
      <c r="W4503">
        <v>0</v>
      </c>
      <c r="X4503">
        <v>0</v>
      </c>
    </row>
    <row r="4504" spans="1:24" x14ac:dyDescent="0.25">
      <c r="A4504" t="str">
        <f>""</f>
        <v/>
      </c>
      <c r="B4504" s="1"/>
      <c r="H4504">
        <v>139.19999999999999</v>
      </c>
      <c r="J4504" t="s">
        <v>18</v>
      </c>
      <c r="L4504" s="1"/>
      <c r="N4504" s="1"/>
      <c r="V4504" t="str">
        <f>"59100"</f>
        <v>59100</v>
      </c>
      <c r="W4504">
        <v>0</v>
      </c>
      <c r="X4504">
        <v>0</v>
      </c>
    </row>
    <row r="4505" spans="1:24" ht="15" customHeight="1" x14ac:dyDescent="0.25">
      <c r="A4505" t="str">
        <f>""</f>
        <v/>
      </c>
      <c r="B4505" s="1"/>
      <c r="H4505">
        <v>180</v>
      </c>
      <c r="J4505" t="s">
        <v>23</v>
      </c>
      <c r="L4505" s="1"/>
      <c r="N4505" s="1"/>
      <c r="V4505" t="str">
        <f>"24000"</f>
        <v>24000</v>
      </c>
      <c r="W4505">
        <v>0</v>
      </c>
      <c r="X4505">
        <v>30.6</v>
      </c>
    </row>
    <row r="4506" spans="1:24" ht="15" customHeight="1" x14ac:dyDescent="0.25">
      <c r="A4506" t="str">
        <f>""</f>
        <v/>
      </c>
      <c r="B4506" s="1"/>
      <c r="H4506">
        <v>37.93</v>
      </c>
      <c r="J4506" t="s">
        <v>22</v>
      </c>
      <c r="L4506" s="1"/>
      <c r="N4506" s="1"/>
      <c r="V4506" t="str">
        <f>"69280"</f>
        <v>69280</v>
      </c>
      <c r="W4506">
        <v>0</v>
      </c>
      <c r="X4506">
        <v>0</v>
      </c>
    </row>
    <row r="4507" spans="1:24" ht="15" customHeight="1" x14ac:dyDescent="0.25">
      <c r="A4507" t="str">
        <f>""</f>
        <v/>
      </c>
      <c r="B4507" s="1"/>
      <c r="H4507">
        <v>58.2</v>
      </c>
      <c r="J4507" t="s">
        <v>22</v>
      </c>
      <c r="L4507" s="1"/>
      <c r="N4507" s="1"/>
      <c r="V4507" t="str">
        <f>"75014"</f>
        <v>75014</v>
      </c>
      <c r="W4507">
        <v>0</v>
      </c>
      <c r="X4507">
        <v>0</v>
      </c>
    </row>
    <row r="4508" spans="1:24" ht="15" customHeight="1" x14ac:dyDescent="0.25">
      <c r="A4508" t="str">
        <f>""</f>
        <v/>
      </c>
      <c r="B4508" s="1"/>
      <c r="H4508">
        <v>30</v>
      </c>
      <c r="L4508" s="1"/>
      <c r="N4508" s="1"/>
      <c r="V4508" t="str">
        <f>"77184"</f>
        <v>77184</v>
      </c>
      <c r="W4508">
        <v>0</v>
      </c>
      <c r="X4508">
        <v>0</v>
      </c>
    </row>
    <row r="4509" spans="1:24" ht="15" customHeight="1" x14ac:dyDescent="0.25">
      <c r="A4509" t="str">
        <f>""</f>
        <v/>
      </c>
      <c r="B4509" s="1"/>
      <c r="H4509">
        <v>10</v>
      </c>
      <c r="L4509" s="1"/>
      <c r="N4509" s="1"/>
      <c r="V4509" t="str">
        <f>"77184"</f>
        <v>77184</v>
      </c>
      <c r="W4509">
        <v>0</v>
      </c>
      <c r="X4509">
        <v>0</v>
      </c>
    </row>
    <row r="4510" spans="1:24" ht="15" customHeight="1" x14ac:dyDescent="0.25">
      <c r="A4510" t="str">
        <f>""</f>
        <v/>
      </c>
      <c r="B4510" s="1"/>
      <c r="H4510">
        <v>10</v>
      </c>
      <c r="L4510" s="1"/>
      <c r="N4510" s="1"/>
      <c r="V4510" t="str">
        <f>"77184"</f>
        <v>77184</v>
      </c>
      <c r="W4510">
        <v>0</v>
      </c>
      <c r="X4510">
        <v>0</v>
      </c>
    </row>
    <row r="4511" spans="1:24" ht="15" customHeight="1" x14ac:dyDescent="0.25">
      <c r="A4511" t="str">
        <f>""</f>
        <v/>
      </c>
      <c r="B4511" s="1"/>
      <c r="H4511">
        <v>10</v>
      </c>
      <c r="L4511" s="1"/>
      <c r="N4511" s="1"/>
      <c r="V4511" t="str">
        <f>"77184"</f>
        <v>77184</v>
      </c>
      <c r="W4511">
        <v>0</v>
      </c>
      <c r="X4511">
        <v>0</v>
      </c>
    </row>
    <row r="4512" spans="1:24" ht="15" customHeight="1" x14ac:dyDescent="0.25">
      <c r="A4512" t="str">
        <f>""</f>
        <v/>
      </c>
      <c r="B4512" s="1"/>
      <c r="H4512">
        <v>40</v>
      </c>
      <c r="J4512" t="s">
        <v>20</v>
      </c>
      <c r="L4512" s="1"/>
      <c r="N4512" s="1"/>
      <c r="V4512" t="str">
        <f>"59650"</f>
        <v>59650</v>
      </c>
      <c r="W4512">
        <v>7.6</v>
      </c>
      <c r="X4512">
        <v>0</v>
      </c>
    </row>
    <row r="4513" spans="1:24" ht="15" customHeight="1" x14ac:dyDescent="0.25">
      <c r="A4513" t="str">
        <f>""</f>
        <v/>
      </c>
      <c r="B4513" s="1"/>
      <c r="H4513">
        <v>49.08</v>
      </c>
      <c r="J4513" t="s">
        <v>19</v>
      </c>
      <c r="L4513" s="1"/>
      <c r="N4513" s="1"/>
      <c r="V4513" t="str">
        <f>"56920"</f>
        <v>56920</v>
      </c>
      <c r="W4513">
        <v>13.25</v>
      </c>
      <c r="X4513">
        <v>0</v>
      </c>
    </row>
    <row r="4514" spans="1:24" ht="15" customHeight="1" x14ac:dyDescent="0.25">
      <c r="A4514" t="str">
        <f>""</f>
        <v/>
      </c>
      <c r="B4514" s="1"/>
      <c r="H4514">
        <v>137.05000000000001</v>
      </c>
      <c r="J4514" t="s">
        <v>22</v>
      </c>
      <c r="L4514" s="1"/>
      <c r="N4514" s="1"/>
      <c r="V4514" t="str">
        <f>"13115"</f>
        <v>13115</v>
      </c>
      <c r="W4514">
        <v>0</v>
      </c>
      <c r="X4514">
        <v>63.04</v>
      </c>
    </row>
    <row r="4515" spans="1:24" ht="15" customHeight="1" x14ac:dyDescent="0.25">
      <c r="A4515" t="str">
        <f>""</f>
        <v/>
      </c>
      <c r="B4515" s="1"/>
      <c r="H4515">
        <v>250</v>
      </c>
      <c r="J4515" t="s">
        <v>23</v>
      </c>
      <c r="L4515" s="1"/>
      <c r="N4515" s="1"/>
      <c r="V4515" t="str">
        <f>"57600"</f>
        <v>57600</v>
      </c>
      <c r="W4515">
        <v>0</v>
      </c>
      <c r="X4515">
        <v>62.5</v>
      </c>
    </row>
    <row r="4516" spans="1:24" ht="15" customHeight="1" x14ac:dyDescent="0.25">
      <c r="A4516" t="str">
        <f>""</f>
        <v/>
      </c>
      <c r="B4516" s="1"/>
      <c r="H4516">
        <v>19.399999999999999</v>
      </c>
      <c r="J4516" t="s">
        <v>23</v>
      </c>
      <c r="L4516" s="1"/>
      <c r="N4516" s="1"/>
      <c r="V4516" t="str">
        <f>"72000"</f>
        <v>72000</v>
      </c>
      <c r="W4516">
        <v>0</v>
      </c>
      <c r="X4516">
        <v>2.33</v>
      </c>
    </row>
    <row r="4517" spans="1:24" ht="15" customHeight="1" x14ac:dyDescent="0.25">
      <c r="A4517" t="str">
        <f>""</f>
        <v/>
      </c>
      <c r="B4517" s="1"/>
      <c r="H4517">
        <v>151</v>
      </c>
      <c r="J4517" t="s">
        <v>22</v>
      </c>
      <c r="L4517" s="1"/>
      <c r="N4517" s="1"/>
      <c r="V4517" t="str">
        <f>"75013"</f>
        <v>75013</v>
      </c>
      <c r="W4517">
        <v>0</v>
      </c>
      <c r="X4517">
        <v>0</v>
      </c>
    </row>
    <row r="4518" spans="1:24" ht="15" customHeight="1" x14ac:dyDescent="0.25">
      <c r="A4518" t="str">
        <f>""</f>
        <v/>
      </c>
      <c r="B4518" s="1"/>
      <c r="H4518">
        <v>40</v>
      </c>
      <c r="J4518" t="s">
        <v>19</v>
      </c>
      <c r="L4518" s="1"/>
      <c r="N4518" s="1"/>
      <c r="V4518" t="str">
        <f>"68520"</f>
        <v>68520</v>
      </c>
      <c r="W4518">
        <v>11.6</v>
      </c>
      <c r="X4518">
        <v>0</v>
      </c>
    </row>
    <row r="4519" spans="1:24" ht="15" customHeight="1" x14ac:dyDescent="0.25">
      <c r="A4519" t="str">
        <f>""</f>
        <v/>
      </c>
      <c r="B4519" s="1"/>
      <c r="H4519">
        <v>151</v>
      </c>
      <c r="J4519" t="s">
        <v>22</v>
      </c>
      <c r="L4519" s="1"/>
      <c r="N4519" s="1"/>
      <c r="V4519" t="str">
        <f>"21160"</f>
        <v>21160</v>
      </c>
      <c r="W4519">
        <v>0</v>
      </c>
      <c r="X4519">
        <v>18.12</v>
      </c>
    </row>
    <row r="4520" spans="1:24" ht="15" customHeight="1" x14ac:dyDescent="0.25">
      <c r="A4520" t="str">
        <f>""</f>
        <v/>
      </c>
      <c r="B4520" s="1"/>
      <c r="H4520">
        <v>145.65</v>
      </c>
      <c r="J4520" t="s">
        <v>23</v>
      </c>
      <c r="L4520" s="1"/>
      <c r="N4520" s="1"/>
      <c r="V4520" t="str">
        <f>"94230"</f>
        <v>94230</v>
      </c>
      <c r="W4520">
        <v>0</v>
      </c>
      <c r="X4520">
        <v>0</v>
      </c>
    </row>
    <row r="4521" spans="1:24" ht="15" customHeight="1" x14ac:dyDescent="0.25">
      <c r="A4521" t="str">
        <f>""</f>
        <v/>
      </c>
      <c r="B4521" s="1"/>
      <c r="H4521">
        <v>84.5</v>
      </c>
      <c r="L4521" s="1"/>
      <c r="N4521" s="1"/>
      <c r="V4521" t="str">
        <f>"77184"</f>
        <v>77184</v>
      </c>
      <c r="W4521">
        <v>0</v>
      </c>
      <c r="X4521">
        <v>0</v>
      </c>
    </row>
    <row r="4522" spans="1:24" ht="15" customHeight="1" x14ac:dyDescent="0.25">
      <c r="A4522" t="str">
        <f>""</f>
        <v/>
      </c>
      <c r="B4522" s="1"/>
      <c r="H4522">
        <v>84.5</v>
      </c>
      <c r="L4522" s="1"/>
      <c r="N4522" s="1"/>
      <c r="V4522" t="str">
        <f>"77184"</f>
        <v>77184</v>
      </c>
      <c r="W4522">
        <v>0</v>
      </c>
      <c r="X4522">
        <v>0</v>
      </c>
    </row>
    <row r="4523" spans="1:24" ht="15" customHeight="1" x14ac:dyDescent="0.25">
      <c r="A4523" t="str">
        <f>""</f>
        <v/>
      </c>
      <c r="B4523" s="1"/>
      <c r="H4523">
        <v>196</v>
      </c>
      <c r="J4523" t="s">
        <v>22</v>
      </c>
      <c r="L4523" s="1"/>
      <c r="N4523" s="1"/>
      <c r="V4523" t="str">
        <f>"62600"</f>
        <v>62600</v>
      </c>
      <c r="W4523">
        <v>0</v>
      </c>
      <c r="X4523">
        <v>0</v>
      </c>
    </row>
    <row r="4524" spans="1:24" ht="15" customHeight="1" x14ac:dyDescent="0.25">
      <c r="A4524" t="str">
        <f>""</f>
        <v/>
      </c>
      <c r="B4524" s="1"/>
      <c r="H4524">
        <v>12</v>
      </c>
      <c r="J4524" t="s">
        <v>19</v>
      </c>
      <c r="L4524" s="1"/>
      <c r="N4524" s="1"/>
      <c r="V4524" t="str">
        <f>"54400"</f>
        <v>54400</v>
      </c>
      <c r="W4524">
        <v>3</v>
      </c>
      <c r="X4524">
        <v>0</v>
      </c>
    </row>
    <row r="4525" spans="1:24" ht="15" customHeight="1" x14ac:dyDescent="0.25">
      <c r="A4525" t="str">
        <f>""</f>
        <v/>
      </c>
      <c r="B4525" s="1"/>
      <c r="H4525">
        <v>225.89</v>
      </c>
      <c r="J4525" t="s">
        <v>23</v>
      </c>
      <c r="L4525" s="1"/>
      <c r="N4525" s="1"/>
      <c r="V4525" t="str">
        <f>"14280"</f>
        <v>14280</v>
      </c>
      <c r="W4525">
        <v>0</v>
      </c>
      <c r="X4525">
        <v>38.4</v>
      </c>
    </row>
    <row r="4526" spans="1:24" ht="15" customHeight="1" x14ac:dyDescent="0.25">
      <c r="A4526" t="str">
        <f>""</f>
        <v/>
      </c>
      <c r="B4526" s="1"/>
      <c r="H4526">
        <v>60</v>
      </c>
      <c r="J4526" t="s">
        <v>20</v>
      </c>
      <c r="L4526" s="1"/>
      <c r="N4526" s="1"/>
      <c r="V4526" t="str">
        <f>"17690"</f>
        <v>17690</v>
      </c>
      <c r="W4526">
        <v>12.6</v>
      </c>
      <c r="X4526">
        <v>0</v>
      </c>
    </row>
    <row r="4527" spans="1:24" ht="15" customHeight="1" x14ac:dyDescent="0.25">
      <c r="A4527" t="str">
        <f>""</f>
        <v/>
      </c>
      <c r="B4527" s="1"/>
      <c r="H4527">
        <v>104.1</v>
      </c>
      <c r="L4527" s="1"/>
      <c r="N4527" s="1"/>
      <c r="V4527" t="str">
        <f>"44240"</f>
        <v>44240</v>
      </c>
      <c r="W4527">
        <v>0</v>
      </c>
      <c r="X4527">
        <v>0</v>
      </c>
    </row>
    <row r="4528" spans="1:24" ht="15" customHeight="1" x14ac:dyDescent="0.25">
      <c r="A4528" t="str">
        <f>""</f>
        <v/>
      </c>
      <c r="B4528" s="1"/>
      <c r="H4528">
        <v>31</v>
      </c>
      <c r="L4528" s="1"/>
      <c r="N4528" s="1"/>
      <c r="V4528" t="str">
        <f>"44240"</f>
        <v>44240</v>
      </c>
      <c r="W4528">
        <v>0</v>
      </c>
      <c r="X4528">
        <v>0</v>
      </c>
    </row>
    <row r="4529" spans="1:24" ht="15" customHeight="1" x14ac:dyDescent="0.25">
      <c r="A4529" t="str">
        <f>""</f>
        <v/>
      </c>
      <c r="B4529" s="1"/>
      <c r="H4529">
        <v>60</v>
      </c>
      <c r="L4529" s="1"/>
      <c r="N4529" s="1"/>
      <c r="V4529" t="str">
        <f>"44240"</f>
        <v>44240</v>
      </c>
      <c r="W4529">
        <v>0</v>
      </c>
      <c r="X4529">
        <v>0</v>
      </c>
    </row>
    <row r="4530" spans="1:24" ht="15" customHeight="1" x14ac:dyDescent="0.25">
      <c r="A4530" t="str">
        <f>""</f>
        <v/>
      </c>
      <c r="B4530" s="1"/>
      <c r="H4530">
        <v>126.2</v>
      </c>
      <c r="L4530" s="1"/>
      <c r="N4530" s="1"/>
      <c r="V4530" t="str">
        <f>"44240"</f>
        <v>44240</v>
      </c>
      <c r="W4530">
        <v>0</v>
      </c>
      <c r="X4530">
        <v>0</v>
      </c>
    </row>
    <row r="4531" spans="1:24" ht="15" customHeight="1" x14ac:dyDescent="0.25">
      <c r="A4531" t="str">
        <f>""</f>
        <v/>
      </c>
      <c r="B4531" s="1"/>
      <c r="H4531">
        <v>0.03</v>
      </c>
      <c r="J4531" t="s">
        <v>20</v>
      </c>
      <c r="L4531" s="1"/>
      <c r="N4531" s="1"/>
      <c r="V4531" t="str">
        <f>"59231"</f>
        <v>59231</v>
      </c>
      <c r="W4531">
        <v>0.01</v>
      </c>
      <c r="X4531">
        <v>0</v>
      </c>
    </row>
    <row r="4532" spans="1:24" ht="15" customHeight="1" x14ac:dyDescent="0.25">
      <c r="A4532" t="str">
        <f>""</f>
        <v/>
      </c>
      <c r="B4532" s="1"/>
      <c r="H4532">
        <v>140</v>
      </c>
      <c r="J4532" t="s">
        <v>20</v>
      </c>
      <c r="L4532" s="1"/>
      <c r="N4532" s="1"/>
      <c r="V4532" t="str">
        <f>"75019"</f>
        <v>75019</v>
      </c>
      <c r="W4532">
        <v>0</v>
      </c>
      <c r="X4532">
        <v>0</v>
      </c>
    </row>
    <row r="4533" spans="1:24" ht="15" customHeight="1" x14ac:dyDescent="0.25">
      <c r="A4533" t="str">
        <f>""</f>
        <v/>
      </c>
      <c r="B4533" s="1"/>
      <c r="H4533">
        <v>37.19</v>
      </c>
      <c r="L4533" s="1"/>
      <c r="N4533" s="1"/>
      <c r="V4533" t="str">
        <f>"77184"</f>
        <v>77184</v>
      </c>
      <c r="W4533">
        <v>0</v>
      </c>
      <c r="X4533">
        <v>0</v>
      </c>
    </row>
    <row r="4534" spans="1:24" ht="15" customHeight="1" x14ac:dyDescent="0.25">
      <c r="A4534" t="str">
        <f>""</f>
        <v/>
      </c>
      <c r="B4534" s="1"/>
      <c r="H4534">
        <v>70</v>
      </c>
      <c r="L4534" s="1"/>
      <c r="N4534" s="1"/>
      <c r="V4534" t="str">
        <f>"77184"</f>
        <v>77184</v>
      </c>
      <c r="W4534">
        <v>0</v>
      </c>
      <c r="X4534">
        <v>0</v>
      </c>
    </row>
    <row r="4535" spans="1:24" ht="15" customHeight="1" x14ac:dyDescent="0.25">
      <c r="A4535" t="str">
        <f>""</f>
        <v/>
      </c>
      <c r="B4535" s="1"/>
      <c r="H4535">
        <v>52</v>
      </c>
      <c r="L4535" s="1"/>
      <c r="N4535" s="1"/>
      <c r="V4535" t="str">
        <f>"77184"</f>
        <v>77184</v>
      </c>
      <c r="W4535">
        <v>0</v>
      </c>
      <c r="X4535">
        <v>0</v>
      </c>
    </row>
    <row r="4536" spans="1:24" ht="15" customHeight="1" x14ac:dyDescent="0.25">
      <c r="A4536" t="str">
        <f>""</f>
        <v/>
      </c>
      <c r="B4536" s="1"/>
      <c r="H4536">
        <v>78</v>
      </c>
      <c r="L4536" s="1"/>
      <c r="N4536" s="1"/>
      <c r="V4536" t="str">
        <f>"77184"</f>
        <v>77184</v>
      </c>
      <c r="W4536">
        <v>0</v>
      </c>
      <c r="X4536">
        <v>0</v>
      </c>
    </row>
    <row r="4537" spans="1:24" ht="15" customHeight="1" x14ac:dyDescent="0.25">
      <c r="A4537" t="str">
        <f>""</f>
        <v/>
      </c>
      <c r="B4537" s="1"/>
      <c r="H4537">
        <v>140</v>
      </c>
      <c r="J4537" t="s">
        <v>23</v>
      </c>
      <c r="L4537" s="1"/>
      <c r="N4537" s="1"/>
      <c r="V4537" t="str">
        <f>"59320"</f>
        <v>59320</v>
      </c>
      <c r="W4537">
        <v>0</v>
      </c>
      <c r="X4537">
        <v>0</v>
      </c>
    </row>
    <row r="4538" spans="1:24" ht="15" customHeight="1" x14ac:dyDescent="0.25">
      <c r="A4538" t="str">
        <f>""</f>
        <v/>
      </c>
      <c r="B4538" s="1"/>
      <c r="H4538">
        <v>29.4</v>
      </c>
      <c r="J4538" t="s">
        <v>22</v>
      </c>
      <c r="L4538" s="1"/>
      <c r="N4538" s="1"/>
      <c r="V4538" t="str">
        <f>"67000"</f>
        <v>67000</v>
      </c>
      <c r="W4538">
        <v>0</v>
      </c>
      <c r="X4538">
        <v>2.35</v>
      </c>
    </row>
    <row r="4539" spans="1:24" ht="15" customHeight="1" x14ac:dyDescent="0.25">
      <c r="A4539" t="str">
        <f>""</f>
        <v/>
      </c>
      <c r="B4539" s="1"/>
      <c r="H4539">
        <v>198.02</v>
      </c>
      <c r="J4539" t="s">
        <v>20</v>
      </c>
      <c r="L4539" s="1"/>
      <c r="N4539" s="1"/>
      <c r="V4539" t="str">
        <f>"61450"</f>
        <v>61450</v>
      </c>
      <c r="W4539">
        <v>33.659999999999997</v>
      </c>
      <c r="X4539">
        <v>0</v>
      </c>
    </row>
    <row r="4540" spans="1:24" ht="15" customHeight="1" x14ac:dyDescent="0.25">
      <c r="A4540" t="str">
        <f>""</f>
        <v/>
      </c>
      <c r="B4540" s="1"/>
      <c r="H4540">
        <v>84.5</v>
      </c>
      <c r="L4540" s="1"/>
      <c r="N4540" s="1"/>
      <c r="V4540" t="str">
        <f t="shared" ref="V4540:V4545" si="14">"77184"</f>
        <v>77184</v>
      </c>
      <c r="W4540">
        <v>0</v>
      </c>
      <c r="X4540">
        <v>0</v>
      </c>
    </row>
    <row r="4541" spans="1:24" ht="15" customHeight="1" x14ac:dyDescent="0.25">
      <c r="A4541" t="str">
        <f>""</f>
        <v/>
      </c>
      <c r="B4541" s="1"/>
      <c r="H4541">
        <v>84.5</v>
      </c>
      <c r="L4541" s="1"/>
      <c r="N4541" s="1"/>
      <c r="V4541" t="str">
        <f t="shared" si="14"/>
        <v>77184</v>
      </c>
      <c r="W4541">
        <v>0</v>
      </c>
      <c r="X4541">
        <v>0</v>
      </c>
    </row>
    <row r="4542" spans="1:24" ht="15" customHeight="1" x14ac:dyDescent="0.25">
      <c r="A4542" t="str">
        <f>""</f>
        <v/>
      </c>
      <c r="B4542" s="1"/>
      <c r="H4542">
        <v>97</v>
      </c>
      <c r="L4542" s="1"/>
      <c r="N4542" s="1"/>
      <c r="V4542" t="str">
        <f t="shared" si="14"/>
        <v>77184</v>
      </c>
      <c r="W4542">
        <v>0</v>
      </c>
      <c r="X4542">
        <v>0</v>
      </c>
    </row>
    <row r="4543" spans="1:24" ht="15" customHeight="1" x14ac:dyDescent="0.25">
      <c r="A4543" t="str">
        <f>""</f>
        <v/>
      </c>
      <c r="B4543" s="1"/>
      <c r="H4543">
        <v>156</v>
      </c>
      <c r="L4543" s="1"/>
      <c r="N4543" s="1"/>
      <c r="V4543" t="str">
        <f t="shared" si="14"/>
        <v>77184</v>
      </c>
      <c r="W4543">
        <v>0</v>
      </c>
      <c r="X4543">
        <v>0</v>
      </c>
    </row>
    <row r="4544" spans="1:24" ht="15" customHeight="1" x14ac:dyDescent="0.25">
      <c r="A4544" t="str">
        <f>""</f>
        <v/>
      </c>
      <c r="B4544" s="1"/>
      <c r="H4544">
        <v>171</v>
      </c>
      <c r="L4544" s="1"/>
      <c r="N4544" s="1"/>
      <c r="V4544" t="str">
        <f t="shared" si="14"/>
        <v>77184</v>
      </c>
      <c r="W4544">
        <v>0</v>
      </c>
      <c r="X4544">
        <v>0</v>
      </c>
    </row>
    <row r="4545" spans="1:24" ht="15" customHeight="1" x14ac:dyDescent="0.25">
      <c r="A4545" t="str">
        <f>""</f>
        <v/>
      </c>
      <c r="B4545" s="1"/>
      <c r="H4545">
        <v>171</v>
      </c>
      <c r="L4545" s="1"/>
      <c r="N4545" s="1"/>
      <c r="V4545" t="str">
        <f t="shared" si="14"/>
        <v>77184</v>
      </c>
      <c r="W4545">
        <v>0</v>
      </c>
      <c r="X4545">
        <v>0</v>
      </c>
    </row>
    <row r="4546" spans="1:24" ht="15" customHeight="1" x14ac:dyDescent="0.25">
      <c r="A4546" t="str">
        <f>""</f>
        <v/>
      </c>
      <c r="B4546" s="1"/>
      <c r="H4546">
        <v>18.350000000000001</v>
      </c>
      <c r="J4546" t="s">
        <v>19</v>
      </c>
      <c r="L4546" s="1"/>
      <c r="N4546" s="1"/>
      <c r="V4546" t="str">
        <f>"14000"</f>
        <v>14000</v>
      </c>
      <c r="W4546">
        <v>3.12</v>
      </c>
      <c r="X4546">
        <v>0</v>
      </c>
    </row>
    <row r="4547" spans="1:24" x14ac:dyDescent="0.25">
      <c r="A4547" t="str">
        <f>""</f>
        <v/>
      </c>
      <c r="B4547" s="1"/>
      <c r="H4547">
        <v>184.06</v>
      </c>
      <c r="J4547" t="s">
        <v>16</v>
      </c>
      <c r="L4547" s="1"/>
      <c r="N4547" s="1"/>
      <c r="V4547" t="str">
        <f>"34000"</f>
        <v>34000</v>
      </c>
      <c r="W4547">
        <v>0</v>
      </c>
      <c r="X4547">
        <v>0</v>
      </c>
    </row>
    <row r="4548" spans="1:24" ht="15" customHeight="1" x14ac:dyDescent="0.25">
      <c r="A4548" t="str">
        <f>""</f>
        <v/>
      </c>
      <c r="B4548" s="1"/>
      <c r="H4548">
        <v>39.43</v>
      </c>
      <c r="J4548" t="s">
        <v>20</v>
      </c>
      <c r="L4548" s="1"/>
      <c r="N4548" s="1"/>
      <c r="V4548" t="str">
        <f>"14600"</f>
        <v>14600</v>
      </c>
      <c r="W4548">
        <v>6.7</v>
      </c>
      <c r="X4548">
        <v>0</v>
      </c>
    </row>
    <row r="4549" spans="1:24" ht="15" customHeight="1" x14ac:dyDescent="0.25">
      <c r="A4549" t="str">
        <f>""</f>
        <v/>
      </c>
      <c r="B4549" s="1"/>
      <c r="H4549">
        <v>158.59</v>
      </c>
      <c r="L4549" s="1"/>
      <c r="N4549" s="1"/>
      <c r="V4549" t="str">
        <f>"77184"</f>
        <v>77184</v>
      </c>
      <c r="W4549">
        <v>0</v>
      </c>
      <c r="X4549">
        <v>0</v>
      </c>
    </row>
    <row r="4550" spans="1:24" ht="15" customHeight="1" x14ac:dyDescent="0.25">
      <c r="A4550" t="str">
        <f>""</f>
        <v/>
      </c>
      <c r="B4550" s="1"/>
      <c r="H4550">
        <v>140</v>
      </c>
      <c r="J4550" t="s">
        <v>22</v>
      </c>
      <c r="L4550" s="1"/>
      <c r="N4550" s="1"/>
      <c r="V4550" t="str">
        <f>"76200"</f>
        <v>76200</v>
      </c>
      <c r="W4550">
        <v>0</v>
      </c>
      <c r="X4550">
        <v>23.8</v>
      </c>
    </row>
    <row r="4551" spans="1:24" ht="15" customHeight="1" x14ac:dyDescent="0.25">
      <c r="A4551" t="str">
        <f>""</f>
        <v/>
      </c>
      <c r="B4551" s="1"/>
      <c r="H4551">
        <v>84.5</v>
      </c>
      <c r="L4551" s="1"/>
      <c r="N4551" s="1"/>
      <c r="V4551" t="str">
        <f t="shared" ref="V4551:V4558" si="15">"77184"</f>
        <v>77184</v>
      </c>
      <c r="W4551">
        <v>0</v>
      </c>
      <c r="X4551">
        <v>0</v>
      </c>
    </row>
    <row r="4552" spans="1:24" ht="15" customHeight="1" x14ac:dyDescent="0.25">
      <c r="A4552" t="str">
        <f>""</f>
        <v/>
      </c>
      <c r="B4552" s="1"/>
      <c r="H4552">
        <v>157</v>
      </c>
      <c r="L4552" s="1"/>
      <c r="N4552" s="1"/>
      <c r="V4552" t="str">
        <f t="shared" si="15"/>
        <v>77184</v>
      </c>
      <c r="W4552">
        <v>0</v>
      </c>
      <c r="X4552">
        <v>0</v>
      </c>
    </row>
    <row r="4553" spans="1:24" ht="15" customHeight="1" x14ac:dyDescent="0.25">
      <c r="A4553" t="str">
        <f>""</f>
        <v/>
      </c>
      <c r="B4553" s="1"/>
      <c r="H4553">
        <v>60.6</v>
      </c>
      <c r="L4553" s="1"/>
      <c r="N4553" s="1"/>
      <c r="V4553" t="str">
        <f t="shared" si="15"/>
        <v>77184</v>
      </c>
      <c r="W4553">
        <v>0</v>
      </c>
      <c r="X4553">
        <v>0</v>
      </c>
    </row>
    <row r="4554" spans="1:24" ht="15" customHeight="1" x14ac:dyDescent="0.25">
      <c r="A4554" t="str">
        <f>""</f>
        <v/>
      </c>
      <c r="B4554" s="1"/>
      <c r="H4554">
        <v>22</v>
      </c>
      <c r="L4554" s="1"/>
      <c r="N4554" s="1"/>
      <c r="V4554" t="str">
        <f t="shared" si="15"/>
        <v>77184</v>
      </c>
      <c r="W4554">
        <v>0</v>
      </c>
      <c r="X4554">
        <v>0</v>
      </c>
    </row>
    <row r="4555" spans="1:24" ht="15" customHeight="1" x14ac:dyDescent="0.25">
      <c r="A4555" t="str">
        <f>""</f>
        <v/>
      </c>
      <c r="B4555" s="1"/>
      <c r="H4555">
        <v>22</v>
      </c>
      <c r="L4555" s="1"/>
      <c r="N4555" s="1"/>
      <c r="V4555" t="str">
        <f t="shared" si="15"/>
        <v>77184</v>
      </c>
      <c r="W4555">
        <v>0</v>
      </c>
      <c r="X4555">
        <v>0</v>
      </c>
    </row>
    <row r="4556" spans="1:24" ht="15" customHeight="1" x14ac:dyDescent="0.25">
      <c r="A4556" t="str">
        <f>""</f>
        <v/>
      </c>
      <c r="B4556" s="1"/>
      <c r="H4556">
        <v>22</v>
      </c>
      <c r="L4556" s="1"/>
      <c r="N4556" s="1"/>
      <c r="V4556" t="str">
        <f t="shared" si="15"/>
        <v>77184</v>
      </c>
      <c r="W4556">
        <v>0</v>
      </c>
      <c r="X4556">
        <v>0</v>
      </c>
    </row>
    <row r="4557" spans="1:24" ht="15" customHeight="1" x14ac:dyDescent="0.25">
      <c r="A4557" t="str">
        <f>""</f>
        <v/>
      </c>
      <c r="B4557" s="1"/>
      <c r="H4557">
        <v>31</v>
      </c>
      <c r="L4557" s="1"/>
      <c r="N4557" s="1"/>
      <c r="V4557" t="str">
        <f t="shared" si="15"/>
        <v>77184</v>
      </c>
      <c r="W4557">
        <v>0</v>
      </c>
      <c r="X4557">
        <v>0</v>
      </c>
    </row>
    <row r="4558" spans="1:24" ht="15" customHeight="1" x14ac:dyDescent="0.25">
      <c r="A4558" t="str">
        <f>""</f>
        <v/>
      </c>
      <c r="B4558" s="1"/>
      <c r="H4558">
        <v>11</v>
      </c>
      <c r="L4558" s="1"/>
      <c r="N4558" s="1"/>
      <c r="V4558" t="str">
        <f t="shared" si="15"/>
        <v>77184</v>
      </c>
      <c r="W4558">
        <v>0</v>
      </c>
      <c r="X4558">
        <v>0</v>
      </c>
    </row>
    <row r="4559" spans="1:24" ht="15" customHeight="1" x14ac:dyDescent="0.25">
      <c r="A4559" t="str">
        <f>""</f>
        <v/>
      </c>
      <c r="B4559" s="1"/>
      <c r="H4559">
        <v>92</v>
      </c>
      <c r="J4559" t="s">
        <v>19</v>
      </c>
      <c r="L4559" s="1"/>
      <c r="N4559" s="1"/>
      <c r="V4559" t="str">
        <f>"06190"</f>
        <v>06190</v>
      </c>
      <c r="W4559">
        <v>27.6</v>
      </c>
      <c r="X4559">
        <v>0</v>
      </c>
    </row>
    <row r="4560" spans="1:24" ht="15" customHeight="1" x14ac:dyDescent="0.25">
      <c r="A4560" t="str">
        <f>""</f>
        <v/>
      </c>
      <c r="B4560" s="1"/>
      <c r="H4560">
        <v>92</v>
      </c>
      <c r="J4560" t="s">
        <v>22</v>
      </c>
      <c r="L4560" s="1"/>
      <c r="N4560" s="1"/>
      <c r="V4560" t="str">
        <f>"06190"</f>
        <v>06190</v>
      </c>
      <c r="W4560">
        <v>0</v>
      </c>
      <c r="X4560">
        <v>27.6</v>
      </c>
    </row>
    <row r="4561" spans="1:24" ht="15" customHeight="1" x14ac:dyDescent="0.25">
      <c r="A4561" t="str">
        <f>""</f>
        <v/>
      </c>
      <c r="B4561" s="1"/>
      <c r="H4561">
        <v>92</v>
      </c>
      <c r="J4561" t="s">
        <v>22</v>
      </c>
      <c r="L4561" s="1"/>
      <c r="N4561" s="1"/>
      <c r="V4561" t="str">
        <f>"06190"</f>
        <v>06190</v>
      </c>
      <c r="W4561">
        <v>0</v>
      </c>
      <c r="X4561">
        <v>27.6</v>
      </c>
    </row>
    <row r="4562" spans="1:24" ht="15" customHeight="1" x14ac:dyDescent="0.25">
      <c r="A4562" t="str">
        <f>""</f>
        <v/>
      </c>
      <c r="B4562" s="1"/>
      <c r="H4562">
        <v>220</v>
      </c>
      <c r="J4562" t="s">
        <v>22</v>
      </c>
      <c r="L4562" s="1"/>
      <c r="N4562" s="1"/>
      <c r="V4562" t="str">
        <f>"06190"</f>
        <v>06190</v>
      </c>
      <c r="W4562">
        <v>0</v>
      </c>
      <c r="X4562">
        <v>66</v>
      </c>
    </row>
    <row r="4563" spans="1:24" ht="15" customHeight="1" x14ac:dyDescent="0.25">
      <c r="A4563" t="str">
        <f>""</f>
        <v/>
      </c>
      <c r="B4563" s="1"/>
      <c r="H4563">
        <v>180</v>
      </c>
      <c r="J4563" t="s">
        <v>23</v>
      </c>
      <c r="L4563" s="1"/>
      <c r="N4563" s="1"/>
      <c r="V4563" t="str">
        <f>"98000"</f>
        <v>98000</v>
      </c>
      <c r="W4563">
        <v>0</v>
      </c>
      <c r="X4563">
        <v>37.799999999999997</v>
      </c>
    </row>
    <row r="4564" spans="1:24" ht="15" customHeight="1" x14ac:dyDescent="0.25">
      <c r="A4564" t="str">
        <f>""</f>
        <v/>
      </c>
      <c r="B4564" s="1"/>
      <c r="H4564">
        <v>180</v>
      </c>
      <c r="J4564" t="s">
        <v>23</v>
      </c>
      <c r="L4564" s="1"/>
      <c r="N4564" s="1"/>
      <c r="V4564" t="str">
        <f>"76100"</f>
        <v>76100</v>
      </c>
      <c r="W4564">
        <v>0</v>
      </c>
      <c r="X4564">
        <v>30.6</v>
      </c>
    </row>
    <row r="4565" spans="1:24" ht="15" customHeight="1" x14ac:dyDescent="0.25">
      <c r="A4565" t="str">
        <f>""</f>
        <v/>
      </c>
      <c r="B4565" s="1"/>
      <c r="H4565">
        <v>149.79</v>
      </c>
      <c r="J4565" t="s">
        <v>20</v>
      </c>
      <c r="L4565" s="1"/>
      <c r="N4565" s="1"/>
      <c r="V4565" t="str">
        <f>"34500"</f>
        <v>34500</v>
      </c>
      <c r="W4565">
        <v>58.42</v>
      </c>
      <c r="X4565">
        <v>0</v>
      </c>
    </row>
    <row r="4566" spans="1:24" ht="15" customHeight="1" x14ac:dyDescent="0.25">
      <c r="A4566" t="str">
        <f>""</f>
        <v/>
      </c>
      <c r="B4566" s="1"/>
      <c r="H4566">
        <v>138.12</v>
      </c>
      <c r="J4566" t="s">
        <v>19</v>
      </c>
      <c r="L4566" s="1"/>
      <c r="N4566" s="1"/>
      <c r="V4566" t="str">
        <f>"47550"</f>
        <v>47550</v>
      </c>
      <c r="W4566">
        <v>29.01</v>
      </c>
      <c r="X4566">
        <v>0</v>
      </c>
    </row>
    <row r="4567" spans="1:24" ht="15" customHeight="1" x14ac:dyDescent="0.25">
      <c r="A4567" t="str">
        <f>""</f>
        <v/>
      </c>
      <c r="B4567" s="1"/>
      <c r="H4567">
        <v>151</v>
      </c>
      <c r="J4567" t="s">
        <v>22</v>
      </c>
      <c r="L4567" s="1"/>
      <c r="N4567" s="1"/>
      <c r="V4567" t="str">
        <f>"11000"</f>
        <v>11000</v>
      </c>
      <c r="W4567">
        <v>0</v>
      </c>
      <c r="X4567">
        <v>42.28</v>
      </c>
    </row>
    <row r="4568" spans="1:24" ht="15" customHeight="1" x14ac:dyDescent="0.25">
      <c r="A4568" t="str">
        <f>""</f>
        <v/>
      </c>
      <c r="B4568" s="1"/>
      <c r="H4568">
        <v>52.52</v>
      </c>
      <c r="J4568" t="s">
        <v>19</v>
      </c>
      <c r="L4568" s="1"/>
      <c r="N4568" s="1"/>
      <c r="V4568" t="str">
        <f>"66250"</f>
        <v>66250</v>
      </c>
      <c r="W4568">
        <v>20.48</v>
      </c>
      <c r="X4568">
        <v>0</v>
      </c>
    </row>
    <row r="4569" spans="1:24" ht="15" customHeight="1" x14ac:dyDescent="0.25">
      <c r="A4569" t="str">
        <f>""</f>
        <v/>
      </c>
      <c r="B4569" s="1"/>
      <c r="H4569">
        <v>23.12</v>
      </c>
      <c r="J4569" t="s">
        <v>20</v>
      </c>
      <c r="L4569" s="1"/>
      <c r="N4569" s="1"/>
      <c r="V4569" t="str">
        <f>"60950"</f>
        <v>60950</v>
      </c>
      <c r="W4569">
        <v>4.3899999999999997</v>
      </c>
      <c r="X4569">
        <v>0</v>
      </c>
    </row>
    <row r="4570" spans="1:24" ht="15" customHeight="1" x14ac:dyDescent="0.25">
      <c r="A4570" t="str">
        <f>""</f>
        <v/>
      </c>
      <c r="B4570" s="1"/>
      <c r="H4570">
        <v>186.38</v>
      </c>
      <c r="J4570" t="s">
        <v>20</v>
      </c>
      <c r="L4570" s="1"/>
      <c r="N4570" s="1"/>
      <c r="V4570" t="str">
        <f>"68740"</f>
        <v>68740</v>
      </c>
      <c r="W4570">
        <v>54.05</v>
      </c>
      <c r="X4570">
        <v>0</v>
      </c>
    </row>
    <row r="4571" spans="1:24" ht="15" customHeight="1" x14ac:dyDescent="0.25">
      <c r="A4571" t="str">
        <f>""</f>
        <v/>
      </c>
      <c r="B4571" s="1"/>
      <c r="H4571">
        <v>139.19999999999999</v>
      </c>
      <c r="J4571" t="s">
        <v>20</v>
      </c>
      <c r="L4571" s="1"/>
      <c r="N4571" s="1"/>
      <c r="V4571" t="str">
        <f>"29170"</f>
        <v>29170</v>
      </c>
      <c r="W4571">
        <v>54.29</v>
      </c>
      <c r="X4571">
        <v>0</v>
      </c>
    </row>
    <row r="4572" spans="1:24" ht="15" customHeight="1" x14ac:dyDescent="0.25">
      <c r="A4572" t="str">
        <f>""</f>
        <v/>
      </c>
      <c r="B4572" s="1"/>
      <c r="H4572">
        <v>138.12</v>
      </c>
      <c r="J4572" t="s">
        <v>20</v>
      </c>
      <c r="L4572" s="1"/>
      <c r="N4572" s="1"/>
      <c r="V4572" t="str">
        <f>"45700"</f>
        <v>45700</v>
      </c>
      <c r="W4572">
        <v>29.01</v>
      </c>
      <c r="X4572">
        <v>0</v>
      </c>
    </row>
    <row r="4573" spans="1:24" ht="15" customHeight="1" x14ac:dyDescent="0.25">
      <c r="A4573" t="str">
        <f>""</f>
        <v/>
      </c>
      <c r="B4573" s="1"/>
      <c r="H4573">
        <v>137.59</v>
      </c>
      <c r="J4573" t="s">
        <v>19</v>
      </c>
      <c r="L4573" s="1"/>
      <c r="N4573" s="1"/>
      <c r="V4573" t="str">
        <f>"75014"</f>
        <v>75014</v>
      </c>
      <c r="W4573">
        <v>0</v>
      </c>
      <c r="X4573">
        <v>0</v>
      </c>
    </row>
    <row r="4574" spans="1:24" ht="15" customHeight="1" x14ac:dyDescent="0.25">
      <c r="A4574" t="str">
        <f>""</f>
        <v/>
      </c>
      <c r="B4574" s="1"/>
      <c r="H4574">
        <v>107.6</v>
      </c>
      <c r="J4574" t="s">
        <v>19</v>
      </c>
      <c r="L4574" s="1"/>
      <c r="N4574" s="1"/>
      <c r="V4574" t="str">
        <f>"75014"</f>
        <v>75014</v>
      </c>
      <c r="W4574">
        <v>0</v>
      </c>
      <c r="X4574">
        <v>0</v>
      </c>
    </row>
    <row r="4575" spans="1:24" ht="15" customHeight="1" x14ac:dyDescent="0.25">
      <c r="A4575" t="str">
        <f>""</f>
        <v/>
      </c>
      <c r="B4575" s="1"/>
      <c r="H4575">
        <v>107.6</v>
      </c>
      <c r="J4575" t="s">
        <v>19</v>
      </c>
      <c r="L4575" s="1"/>
      <c r="N4575" s="1"/>
      <c r="V4575" t="str">
        <f>"75014"</f>
        <v>75014</v>
      </c>
      <c r="W4575">
        <v>0</v>
      </c>
      <c r="X4575">
        <v>0</v>
      </c>
    </row>
    <row r="4576" spans="1:24" ht="15" customHeight="1" x14ac:dyDescent="0.25">
      <c r="A4576" t="str">
        <f>""</f>
        <v/>
      </c>
      <c r="B4576" s="1"/>
      <c r="H4576">
        <v>107.6</v>
      </c>
      <c r="J4576" t="s">
        <v>19</v>
      </c>
      <c r="L4576" s="1"/>
      <c r="N4576" s="1"/>
      <c r="V4576" t="str">
        <f>"75014"</f>
        <v>75014</v>
      </c>
      <c r="W4576">
        <v>0</v>
      </c>
      <c r="X4576">
        <v>0</v>
      </c>
    </row>
    <row r="4577" spans="1:24" ht="15" customHeight="1" x14ac:dyDescent="0.25">
      <c r="A4577" t="str">
        <f>""</f>
        <v/>
      </c>
      <c r="B4577" s="1"/>
      <c r="H4577">
        <v>86.27</v>
      </c>
      <c r="J4577" t="s">
        <v>19</v>
      </c>
      <c r="L4577" s="1"/>
      <c r="N4577" s="1"/>
      <c r="V4577" t="str">
        <f>"47550"</f>
        <v>47550</v>
      </c>
      <c r="W4577">
        <v>18.12</v>
      </c>
      <c r="X4577">
        <v>0</v>
      </c>
    </row>
    <row r="4578" spans="1:24" ht="15" customHeight="1" x14ac:dyDescent="0.25">
      <c r="A4578" t="str">
        <f>""</f>
        <v/>
      </c>
      <c r="B4578" s="1"/>
      <c r="H4578">
        <v>213.21</v>
      </c>
      <c r="J4578" t="s">
        <v>19</v>
      </c>
      <c r="L4578" s="1"/>
      <c r="N4578" s="1"/>
      <c r="V4578" t="str">
        <f>"57740"</f>
        <v>57740</v>
      </c>
      <c r="W4578">
        <v>53.3</v>
      </c>
      <c r="X4578">
        <v>0</v>
      </c>
    </row>
    <row r="4579" spans="1:24" ht="15" customHeight="1" x14ac:dyDescent="0.25">
      <c r="A4579" t="str">
        <f>""</f>
        <v/>
      </c>
      <c r="B4579" s="1"/>
      <c r="H4579">
        <v>174.15</v>
      </c>
      <c r="J4579" t="s">
        <v>19</v>
      </c>
      <c r="L4579" s="1"/>
      <c r="N4579" s="1"/>
      <c r="V4579" t="str">
        <f>"67000"</f>
        <v>67000</v>
      </c>
      <c r="W4579">
        <v>50.5</v>
      </c>
      <c r="X4579">
        <v>0</v>
      </c>
    </row>
    <row r="4580" spans="1:24" ht="15" customHeight="1" x14ac:dyDescent="0.25">
      <c r="A4580" t="str">
        <f>""</f>
        <v/>
      </c>
      <c r="B4580" s="1"/>
      <c r="H4580">
        <v>136.97999999999999</v>
      </c>
      <c r="J4580" t="s">
        <v>19</v>
      </c>
      <c r="L4580" s="1"/>
      <c r="N4580" s="1"/>
      <c r="V4580" t="str">
        <f>"69800"</f>
        <v>69800</v>
      </c>
      <c r="W4580">
        <v>36.979999999999997</v>
      </c>
      <c r="X4580">
        <v>0</v>
      </c>
    </row>
    <row r="4581" spans="1:24" ht="15" customHeight="1" x14ac:dyDescent="0.25">
      <c r="A4581" t="str">
        <f>""</f>
        <v/>
      </c>
      <c r="B4581" s="1"/>
      <c r="H4581">
        <v>53.38</v>
      </c>
      <c r="J4581" t="s">
        <v>19</v>
      </c>
      <c r="L4581" s="1"/>
      <c r="N4581" s="1"/>
      <c r="V4581" t="str">
        <f>"75014"</f>
        <v>75014</v>
      </c>
      <c r="W4581">
        <v>0</v>
      </c>
      <c r="X4581">
        <v>0</v>
      </c>
    </row>
    <row r="4582" spans="1:24" ht="15" customHeight="1" x14ac:dyDescent="0.25">
      <c r="A4582" t="str">
        <f>""</f>
        <v/>
      </c>
      <c r="B4582" s="1"/>
      <c r="H4582">
        <v>36.369999999999997</v>
      </c>
      <c r="J4582" t="s">
        <v>19</v>
      </c>
      <c r="L4582" s="1"/>
      <c r="N4582" s="1"/>
      <c r="V4582" t="str">
        <f>"59380"</f>
        <v>59380</v>
      </c>
      <c r="W4582">
        <v>6.91</v>
      </c>
      <c r="X4582">
        <v>0</v>
      </c>
    </row>
    <row r="4583" spans="1:24" ht="15" customHeight="1" x14ac:dyDescent="0.25">
      <c r="A4583" t="str">
        <f>""</f>
        <v/>
      </c>
      <c r="B4583" s="1"/>
      <c r="H4583">
        <v>32.450000000000003</v>
      </c>
      <c r="J4583" t="s">
        <v>20</v>
      </c>
      <c r="L4583" s="1"/>
      <c r="N4583" s="1"/>
      <c r="V4583" t="str">
        <f>"01710"</f>
        <v>01710</v>
      </c>
      <c r="W4583">
        <v>8.76</v>
      </c>
      <c r="X4583">
        <v>0</v>
      </c>
    </row>
    <row r="4584" spans="1:24" ht="15" customHeight="1" x14ac:dyDescent="0.25">
      <c r="A4584" t="str">
        <f>""</f>
        <v/>
      </c>
      <c r="B4584" s="1"/>
      <c r="H4584">
        <v>126.4</v>
      </c>
      <c r="J4584" t="s">
        <v>22</v>
      </c>
      <c r="L4584" s="1"/>
      <c r="N4584" s="1"/>
      <c r="V4584" t="str">
        <f>"37400"</f>
        <v>37400</v>
      </c>
      <c r="W4584">
        <v>0</v>
      </c>
      <c r="X4584">
        <v>15.17</v>
      </c>
    </row>
    <row r="4585" spans="1:24" ht="15" customHeight="1" x14ac:dyDescent="0.25">
      <c r="A4585" t="str">
        <f>""</f>
        <v/>
      </c>
      <c r="B4585" s="1"/>
      <c r="H4585">
        <v>19.649999999999999</v>
      </c>
      <c r="J4585" t="s">
        <v>19</v>
      </c>
      <c r="L4585" s="1"/>
      <c r="N4585" s="1"/>
      <c r="V4585" t="str">
        <f>"75014"</f>
        <v>75014</v>
      </c>
      <c r="W4585">
        <v>0</v>
      </c>
      <c r="X4585">
        <v>0</v>
      </c>
    </row>
    <row r="4586" spans="1:24" ht="15" customHeight="1" x14ac:dyDescent="0.25">
      <c r="A4586" t="str">
        <f>""</f>
        <v/>
      </c>
      <c r="B4586" s="1"/>
      <c r="H4586">
        <v>127.52</v>
      </c>
      <c r="L4586" s="1"/>
      <c r="N4586" s="1"/>
      <c r="V4586" t="str">
        <f>"77184"</f>
        <v>77184</v>
      </c>
      <c r="W4586">
        <v>0</v>
      </c>
      <c r="X4586">
        <v>0</v>
      </c>
    </row>
    <row r="4587" spans="1:24" ht="15" customHeight="1" x14ac:dyDescent="0.25">
      <c r="A4587" t="str">
        <f>""</f>
        <v/>
      </c>
      <c r="B4587" s="1"/>
      <c r="H4587">
        <v>156.57</v>
      </c>
      <c r="J4587" t="s">
        <v>19</v>
      </c>
      <c r="L4587" s="1"/>
      <c r="N4587" s="1"/>
      <c r="V4587" t="str">
        <f>"14000"</f>
        <v>14000</v>
      </c>
      <c r="W4587">
        <v>26.62</v>
      </c>
      <c r="X4587">
        <v>0</v>
      </c>
    </row>
    <row r="4588" spans="1:24" ht="15" customHeight="1" x14ac:dyDescent="0.25">
      <c r="A4588" t="str">
        <f>""</f>
        <v/>
      </c>
      <c r="B4588" s="1"/>
      <c r="H4588">
        <v>19.649999999999999</v>
      </c>
      <c r="J4588" t="s">
        <v>19</v>
      </c>
      <c r="L4588" s="1"/>
      <c r="N4588" s="1"/>
      <c r="V4588" t="str">
        <f>"75014"</f>
        <v>75014</v>
      </c>
      <c r="W4588">
        <v>0</v>
      </c>
      <c r="X4588">
        <v>0</v>
      </c>
    </row>
    <row r="4589" spans="1:24" ht="15" customHeight="1" x14ac:dyDescent="0.25">
      <c r="A4589" t="str">
        <f>""</f>
        <v/>
      </c>
      <c r="B4589" s="1"/>
      <c r="H4589">
        <v>19.649999999999999</v>
      </c>
      <c r="J4589" t="s">
        <v>19</v>
      </c>
      <c r="L4589" s="1"/>
      <c r="N4589" s="1"/>
      <c r="V4589" t="str">
        <f>"75014"</f>
        <v>75014</v>
      </c>
      <c r="W4589">
        <v>0</v>
      </c>
      <c r="X4589">
        <v>0</v>
      </c>
    </row>
    <row r="4590" spans="1:24" ht="15" customHeight="1" x14ac:dyDescent="0.25">
      <c r="A4590" t="str">
        <f>""</f>
        <v/>
      </c>
      <c r="B4590" s="1"/>
      <c r="H4590">
        <v>19.649999999999999</v>
      </c>
      <c r="J4590" t="s">
        <v>19</v>
      </c>
      <c r="L4590" s="1"/>
      <c r="N4590" s="1"/>
      <c r="V4590" t="str">
        <f>"75014"</f>
        <v>75014</v>
      </c>
      <c r="W4590">
        <v>0</v>
      </c>
      <c r="X4590">
        <v>0</v>
      </c>
    </row>
    <row r="4591" spans="1:24" ht="15" customHeight="1" x14ac:dyDescent="0.25">
      <c r="A4591" t="str">
        <f>""</f>
        <v/>
      </c>
      <c r="B4591" s="1"/>
      <c r="H4591">
        <v>19.649999999999999</v>
      </c>
      <c r="J4591" t="s">
        <v>19</v>
      </c>
      <c r="L4591" s="1"/>
      <c r="N4591" s="1"/>
      <c r="V4591" t="str">
        <f>"75014"</f>
        <v>75014</v>
      </c>
      <c r="W4591">
        <v>0</v>
      </c>
      <c r="X4591">
        <v>0</v>
      </c>
    </row>
    <row r="4592" spans="1:24" ht="15" customHeight="1" x14ac:dyDescent="0.25">
      <c r="A4592" t="str">
        <f>""</f>
        <v/>
      </c>
      <c r="B4592" s="1"/>
      <c r="H4592">
        <v>19.649999999999999</v>
      </c>
      <c r="J4592" t="s">
        <v>19</v>
      </c>
      <c r="L4592" s="1"/>
      <c r="N4592" s="1"/>
      <c r="V4592" t="str">
        <f>"75014"</f>
        <v>75014</v>
      </c>
      <c r="W4592">
        <v>0</v>
      </c>
      <c r="X4592">
        <v>0</v>
      </c>
    </row>
    <row r="4593" spans="1:24" ht="15" customHeight="1" x14ac:dyDescent="0.25">
      <c r="A4593" t="str">
        <f>""</f>
        <v/>
      </c>
      <c r="B4593" s="1"/>
      <c r="H4593">
        <v>140.31</v>
      </c>
      <c r="J4593" t="s">
        <v>20</v>
      </c>
      <c r="L4593" s="1"/>
      <c r="N4593" s="1"/>
      <c r="V4593" t="str">
        <f>"69003"</f>
        <v>69003</v>
      </c>
      <c r="W4593">
        <v>37.880000000000003</v>
      </c>
      <c r="X4593">
        <v>0</v>
      </c>
    </row>
    <row r="4594" spans="1:24" ht="15" customHeight="1" x14ac:dyDescent="0.25">
      <c r="A4594" t="str">
        <f>""</f>
        <v/>
      </c>
      <c r="B4594" s="1"/>
      <c r="H4594">
        <v>142.99</v>
      </c>
      <c r="J4594" t="s">
        <v>19</v>
      </c>
      <c r="L4594" s="1"/>
      <c r="N4594" s="1"/>
      <c r="V4594" t="str">
        <f>"77160"</f>
        <v>77160</v>
      </c>
      <c r="W4594">
        <v>0</v>
      </c>
      <c r="X4594">
        <v>0</v>
      </c>
    </row>
    <row r="4595" spans="1:24" ht="15" customHeight="1" x14ac:dyDescent="0.25">
      <c r="A4595" t="str">
        <f>""</f>
        <v/>
      </c>
      <c r="B4595" s="1"/>
      <c r="H4595">
        <v>20</v>
      </c>
      <c r="J4595" t="s">
        <v>20</v>
      </c>
      <c r="L4595" s="1"/>
      <c r="N4595" s="1"/>
      <c r="V4595" t="str">
        <f>"72230"</f>
        <v>72230</v>
      </c>
      <c r="W4595">
        <v>4.2</v>
      </c>
      <c r="X4595">
        <v>0</v>
      </c>
    </row>
    <row r="4596" spans="1:24" ht="15" customHeight="1" x14ac:dyDescent="0.25">
      <c r="A4596" t="str">
        <f>""</f>
        <v/>
      </c>
      <c r="B4596" s="1"/>
      <c r="H4596">
        <v>58.2</v>
      </c>
      <c r="J4596" t="s">
        <v>22</v>
      </c>
      <c r="L4596" s="1"/>
      <c r="N4596" s="1"/>
      <c r="V4596" t="str">
        <f>"62740"</f>
        <v>62740</v>
      </c>
      <c r="W4596">
        <v>0</v>
      </c>
      <c r="X4596">
        <v>0</v>
      </c>
    </row>
    <row r="4597" spans="1:24" ht="15" customHeight="1" x14ac:dyDescent="0.25">
      <c r="A4597" t="str">
        <f>""</f>
        <v/>
      </c>
      <c r="B4597" s="1"/>
      <c r="H4597">
        <v>40</v>
      </c>
      <c r="J4597" t="s">
        <v>22</v>
      </c>
      <c r="L4597" s="1"/>
      <c r="N4597" s="1"/>
      <c r="V4597" t="str">
        <f>"62740"</f>
        <v>62740</v>
      </c>
      <c r="W4597">
        <v>0</v>
      </c>
      <c r="X4597">
        <v>0</v>
      </c>
    </row>
    <row r="4598" spans="1:24" ht="15" customHeight="1" x14ac:dyDescent="0.25">
      <c r="A4598" t="str">
        <f>""</f>
        <v/>
      </c>
      <c r="B4598" s="1"/>
      <c r="H4598">
        <v>140.72</v>
      </c>
      <c r="J4598" t="s">
        <v>22</v>
      </c>
      <c r="L4598" s="1"/>
      <c r="N4598" s="1"/>
      <c r="V4598" t="str">
        <f>"62740"</f>
        <v>62740</v>
      </c>
      <c r="W4598">
        <v>0</v>
      </c>
      <c r="X4598">
        <v>0</v>
      </c>
    </row>
    <row r="4599" spans="1:24" ht="15" customHeight="1" x14ac:dyDescent="0.25">
      <c r="A4599" t="str">
        <f>""</f>
        <v/>
      </c>
      <c r="B4599" s="1"/>
      <c r="H4599">
        <v>300.33999999999997</v>
      </c>
      <c r="J4599" t="s">
        <v>22</v>
      </c>
      <c r="L4599" s="1"/>
      <c r="N4599" s="1"/>
      <c r="V4599" t="str">
        <f>"62740"</f>
        <v>62740</v>
      </c>
      <c r="W4599">
        <v>0</v>
      </c>
      <c r="X4599">
        <v>0</v>
      </c>
    </row>
    <row r="4600" spans="1:24" ht="15" customHeight="1" x14ac:dyDescent="0.25">
      <c r="A4600" t="str">
        <f>""</f>
        <v/>
      </c>
      <c r="B4600" s="1"/>
      <c r="H4600">
        <v>94.79</v>
      </c>
      <c r="J4600" t="s">
        <v>22</v>
      </c>
      <c r="L4600" s="1"/>
      <c r="N4600" s="1"/>
      <c r="V4600" t="str">
        <f>"62740"</f>
        <v>62740</v>
      </c>
      <c r="W4600">
        <v>0</v>
      </c>
      <c r="X4600">
        <v>0</v>
      </c>
    </row>
    <row r="4601" spans="1:24" ht="15" customHeight="1" x14ac:dyDescent="0.25">
      <c r="A4601" t="str">
        <f>""</f>
        <v/>
      </c>
      <c r="B4601" s="1"/>
      <c r="H4601">
        <v>129.06</v>
      </c>
      <c r="L4601" s="1"/>
      <c r="N4601" s="1"/>
      <c r="V4601" t="str">
        <f>"77184"</f>
        <v>77184</v>
      </c>
      <c r="W4601">
        <v>0</v>
      </c>
      <c r="X4601">
        <v>0</v>
      </c>
    </row>
    <row r="4602" spans="1:24" ht="15" customHeight="1" x14ac:dyDescent="0.25">
      <c r="A4602" t="str">
        <f>""</f>
        <v/>
      </c>
      <c r="B4602" s="1"/>
      <c r="H4602">
        <v>189.52</v>
      </c>
      <c r="L4602" s="1"/>
      <c r="N4602" s="1"/>
      <c r="V4602" t="str">
        <f>"77184"</f>
        <v>77184</v>
      </c>
      <c r="W4602">
        <v>0</v>
      </c>
      <c r="X4602">
        <v>0</v>
      </c>
    </row>
    <row r="4603" spans="1:24" ht="15" customHeight="1" x14ac:dyDescent="0.25">
      <c r="A4603" t="str">
        <f>""</f>
        <v/>
      </c>
      <c r="B4603" s="1"/>
      <c r="H4603">
        <v>132.44999999999999</v>
      </c>
      <c r="L4603" s="1"/>
      <c r="N4603" s="1"/>
      <c r="V4603" t="str">
        <f>"77184"</f>
        <v>77184</v>
      </c>
      <c r="W4603">
        <v>0</v>
      </c>
      <c r="X4603">
        <v>0</v>
      </c>
    </row>
    <row r="4604" spans="1:24" ht="15" customHeight="1" x14ac:dyDescent="0.25">
      <c r="A4604" t="str">
        <f>""</f>
        <v/>
      </c>
      <c r="B4604" s="1"/>
      <c r="H4604">
        <v>140</v>
      </c>
      <c r="J4604" t="s">
        <v>22</v>
      </c>
      <c r="L4604" s="1"/>
      <c r="N4604" s="1"/>
      <c r="V4604" t="str">
        <f>"79330"</f>
        <v>79330</v>
      </c>
      <c r="W4604">
        <v>0</v>
      </c>
      <c r="X4604">
        <v>54.6</v>
      </c>
    </row>
    <row r="4605" spans="1:24" ht="15" customHeight="1" x14ac:dyDescent="0.25">
      <c r="A4605" t="str">
        <f>""</f>
        <v/>
      </c>
      <c r="B4605" s="1"/>
      <c r="H4605">
        <v>250</v>
      </c>
      <c r="J4605" t="s">
        <v>22</v>
      </c>
      <c r="L4605" s="1"/>
      <c r="N4605" s="1"/>
      <c r="V4605" t="str">
        <f>"34980"</f>
        <v>34980</v>
      </c>
      <c r="W4605">
        <v>0</v>
      </c>
      <c r="X4605">
        <v>70</v>
      </c>
    </row>
    <row r="4606" spans="1:24" ht="15" customHeight="1" x14ac:dyDescent="0.25">
      <c r="A4606" t="str">
        <f>""</f>
        <v/>
      </c>
      <c r="B4606" s="1"/>
      <c r="H4606">
        <v>183.92</v>
      </c>
      <c r="J4606" t="s">
        <v>19</v>
      </c>
      <c r="L4606" s="1"/>
      <c r="N4606" s="1"/>
      <c r="V4606" t="str">
        <f>"01000"</f>
        <v>01000</v>
      </c>
      <c r="W4606">
        <v>49.66</v>
      </c>
      <c r="X4606">
        <v>0</v>
      </c>
    </row>
    <row r="4607" spans="1:24" ht="15" customHeight="1" x14ac:dyDescent="0.25">
      <c r="A4607" t="str">
        <f>""</f>
        <v/>
      </c>
      <c r="B4607" s="1"/>
      <c r="H4607">
        <v>90</v>
      </c>
      <c r="J4607" t="s">
        <v>23</v>
      </c>
      <c r="L4607" s="1"/>
      <c r="N4607" s="1"/>
      <c r="V4607" t="str">
        <f>"92500"</f>
        <v>92500</v>
      </c>
      <c r="W4607">
        <v>0</v>
      </c>
      <c r="X4607">
        <v>0</v>
      </c>
    </row>
    <row r="4608" spans="1:24" ht="15" customHeight="1" x14ac:dyDescent="0.25">
      <c r="A4608" t="str">
        <f>""</f>
        <v/>
      </c>
      <c r="B4608" s="1"/>
      <c r="H4608">
        <v>35</v>
      </c>
      <c r="J4608" t="s">
        <v>20</v>
      </c>
      <c r="L4608" s="1"/>
      <c r="N4608" s="1"/>
      <c r="V4608" t="str">
        <f>"10120"</f>
        <v>10120</v>
      </c>
      <c r="W4608">
        <v>8.4</v>
      </c>
      <c r="X4608">
        <v>0</v>
      </c>
    </row>
    <row r="4609" spans="1:24" ht="15" customHeight="1" x14ac:dyDescent="0.25">
      <c r="A4609" t="str">
        <f>""</f>
        <v/>
      </c>
      <c r="B4609" s="1"/>
      <c r="H4609">
        <v>215.06</v>
      </c>
      <c r="J4609" t="s">
        <v>23</v>
      </c>
      <c r="L4609" s="1"/>
      <c r="N4609" s="1"/>
      <c r="V4609" t="str">
        <f>"75006"</f>
        <v>75006</v>
      </c>
      <c r="W4609">
        <v>0</v>
      </c>
      <c r="X4609">
        <v>0</v>
      </c>
    </row>
    <row r="4610" spans="1:24" ht="15" customHeight="1" x14ac:dyDescent="0.25">
      <c r="A4610" t="str">
        <f>""</f>
        <v/>
      </c>
      <c r="B4610" s="1"/>
      <c r="H4610">
        <v>220.36</v>
      </c>
      <c r="J4610" t="s">
        <v>19</v>
      </c>
      <c r="L4610" s="1"/>
      <c r="N4610" s="1"/>
      <c r="V4610" t="str">
        <f>"59880"</f>
        <v>59880</v>
      </c>
      <c r="W4610">
        <v>41.87</v>
      </c>
      <c r="X4610">
        <v>0</v>
      </c>
    </row>
    <row r="4611" spans="1:24" ht="15" customHeight="1" x14ac:dyDescent="0.25">
      <c r="A4611" t="str">
        <f>""</f>
        <v/>
      </c>
      <c r="B4611" s="1"/>
      <c r="H4611">
        <v>126.65</v>
      </c>
      <c r="J4611" t="s">
        <v>20</v>
      </c>
      <c r="L4611" s="1"/>
      <c r="N4611" s="1"/>
      <c r="V4611" t="str">
        <f>"67640"</f>
        <v>67640</v>
      </c>
      <c r="W4611">
        <v>36.729999999999997</v>
      </c>
      <c r="X4611">
        <v>0</v>
      </c>
    </row>
    <row r="4612" spans="1:24" ht="15" customHeight="1" x14ac:dyDescent="0.25">
      <c r="A4612" t="str">
        <f>""</f>
        <v/>
      </c>
      <c r="B4612" s="1"/>
      <c r="H4612">
        <v>84.5</v>
      </c>
      <c r="L4612" s="1"/>
      <c r="N4612" s="1"/>
      <c r="V4612" t="str">
        <f>"77184"</f>
        <v>77184</v>
      </c>
      <c r="W4612">
        <v>0</v>
      </c>
      <c r="X4612">
        <v>0</v>
      </c>
    </row>
    <row r="4613" spans="1:24" ht="15" customHeight="1" x14ac:dyDescent="0.25">
      <c r="A4613" t="str">
        <f>""</f>
        <v/>
      </c>
      <c r="B4613" s="1"/>
      <c r="H4613">
        <v>129</v>
      </c>
      <c r="L4613" s="1"/>
      <c r="N4613" s="1"/>
      <c r="V4613" t="str">
        <f>"77184"</f>
        <v>77184</v>
      </c>
      <c r="W4613">
        <v>0</v>
      </c>
      <c r="X4613">
        <v>0</v>
      </c>
    </row>
    <row r="4614" spans="1:24" ht="15" customHeight="1" x14ac:dyDescent="0.25">
      <c r="A4614" t="str">
        <f>""</f>
        <v/>
      </c>
      <c r="B4614" s="1"/>
      <c r="H4614">
        <v>105</v>
      </c>
      <c r="L4614" s="1"/>
      <c r="N4614" s="1"/>
      <c r="V4614" t="str">
        <f>"77184"</f>
        <v>77184</v>
      </c>
      <c r="W4614">
        <v>0</v>
      </c>
      <c r="X4614">
        <v>0</v>
      </c>
    </row>
    <row r="4615" spans="1:24" ht="15" customHeight="1" x14ac:dyDescent="0.25">
      <c r="A4615" t="str">
        <f>""</f>
        <v/>
      </c>
      <c r="B4615" s="1"/>
      <c r="H4615">
        <v>148.78</v>
      </c>
      <c r="J4615" t="s">
        <v>19</v>
      </c>
      <c r="L4615" s="1"/>
      <c r="N4615" s="1"/>
      <c r="V4615" t="str">
        <f>"75010"</f>
        <v>75010</v>
      </c>
      <c r="W4615">
        <v>0</v>
      </c>
      <c r="X4615">
        <v>0</v>
      </c>
    </row>
    <row r="4616" spans="1:24" ht="15" customHeight="1" x14ac:dyDescent="0.25">
      <c r="A4616" t="str">
        <f>""</f>
        <v/>
      </c>
      <c r="B4616" s="1"/>
      <c r="H4616">
        <v>22.62</v>
      </c>
      <c r="J4616" t="s">
        <v>19</v>
      </c>
      <c r="L4616" s="1"/>
      <c r="N4616" s="1"/>
      <c r="V4616" t="str">
        <f>"45000"</f>
        <v>45000</v>
      </c>
      <c r="W4616">
        <v>4.75</v>
      </c>
      <c r="X4616">
        <v>0</v>
      </c>
    </row>
    <row r="4617" spans="1:24" ht="15" customHeight="1" x14ac:dyDescent="0.25">
      <c r="A4617" t="str">
        <f>""</f>
        <v/>
      </c>
      <c r="B4617" s="1"/>
      <c r="H4617">
        <v>290</v>
      </c>
      <c r="L4617" s="1"/>
      <c r="N4617" s="1"/>
      <c r="V4617" t="str">
        <f>"77184"</f>
        <v>77184</v>
      </c>
      <c r="W4617">
        <v>0</v>
      </c>
      <c r="X4617">
        <v>0</v>
      </c>
    </row>
    <row r="4618" spans="1:24" ht="15" customHeight="1" x14ac:dyDescent="0.25">
      <c r="A4618" t="str">
        <f>""</f>
        <v/>
      </c>
      <c r="B4618" s="1"/>
      <c r="H4618">
        <v>33.6</v>
      </c>
      <c r="J4618" t="s">
        <v>22</v>
      </c>
      <c r="L4618" s="1"/>
      <c r="N4618" s="1"/>
      <c r="V4618" t="str">
        <f>"62000"</f>
        <v>62000</v>
      </c>
      <c r="W4618">
        <v>0</v>
      </c>
      <c r="X4618">
        <v>0</v>
      </c>
    </row>
    <row r="4619" spans="1:24" ht="15" customHeight="1" x14ac:dyDescent="0.25">
      <c r="A4619" t="str">
        <f>""</f>
        <v/>
      </c>
      <c r="B4619" s="1"/>
      <c r="H4619">
        <v>25</v>
      </c>
      <c r="J4619" t="s">
        <v>22</v>
      </c>
      <c r="L4619" s="1"/>
      <c r="N4619" s="1"/>
      <c r="V4619" t="str">
        <f>"59600"</f>
        <v>59600</v>
      </c>
      <c r="W4619">
        <v>0</v>
      </c>
      <c r="X4619">
        <v>0</v>
      </c>
    </row>
    <row r="4620" spans="1:24" ht="15" customHeight="1" x14ac:dyDescent="0.25">
      <c r="A4620" t="str">
        <f>""</f>
        <v/>
      </c>
      <c r="B4620" s="1"/>
      <c r="H4620">
        <v>1899.07</v>
      </c>
      <c r="J4620" t="s">
        <v>19</v>
      </c>
      <c r="L4620" s="1"/>
      <c r="N4620" s="1"/>
      <c r="V4620" t="str">
        <f>"94150"</f>
        <v>94150</v>
      </c>
      <c r="W4620">
        <v>0</v>
      </c>
      <c r="X4620">
        <v>0</v>
      </c>
    </row>
    <row r="4621" spans="1:24" ht="15" customHeight="1" x14ac:dyDescent="0.25">
      <c r="A4621" t="str">
        <f>""</f>
        <v/>
      </c>
      <c r="B4621" s="1"/>
      <c r="H4621">
        <v>183.83</v>
      </c>
      <c r="J4621" t="s">
        <v>19</v>
      </c>
      <c r="L4621" s="1"/>
      <c r="N4621" s="1"/>
      <c r="V4621" t="str">
        <f>"78190"</f>
        <v>78190</v>
      </c>
      <c r="W4621">
        <v>0</v>
      </c>
      <c r="X4621">
        <v>0</v>
      </c>
    </row>
    <row r="4622" spans="1:24" ht="15" customHeight="1" x14ac:dyDescent="0.25">
      <c r="A4622" t="str">
        <f>""</f>
        <v/>
      </c>
      <c r="B4622" s="1"/>
      <c r="H4622">
        <v>55.34</v>
      </c>
      <c r="J4622" t="s">
        <v>20</v>
      </c>
      <c r="L4622" s="1"/>
      <c r="N4622" s="1"/>
      <c r="V4622" t="str">
        <f>"45000"</f>
        <v>45000</v>
      </c>
      <c r="W4622">
        <v>11.62</v>
      </c>
      <c r="X4622">
        <v>0</v>
      </c>
    </row>
    <row r="4623" spans="1:24" ht="15" customHeight="1" x14ac:dyDescent="0.25">
      <c r="A4623" t="str">
        <f>""</f>
        <v/>
      </c>
      <c r="B4623" s="1"/>
      <c r="H4623">
        <v>33.35</v>
      </c>
      <c r="J4623" t="s">
        <v>20</v>
      </c>
      <c r="L4623" s="1"/>
      <c r="N4623" s="1"/>
      <c r="V4623" t="str">
        <f>"51120"</f>
        <v>51120</v>
      </c>
      <c r="W4623">
        <v>8.34</v>
      </c>
      <c r="X4623">
        <v>0</v>
      </c>
    </row>
    <row r="4624" spans="1:24" ht="15" customHeight="1" x14ac:dyDescent="0.25">
      <c r="A4624" t="str">
        <f>""</f>
        <v/>
      </c>
      <c r="B4624" s="1"/>
      <c r="H4624">
        <v>40</v>
      </c>
      <c r="J4624" t="s">
        <v>20</v>
      </c>
      <c r="L4624" s="1"/>
      <c r="N4624" s="1"/>
      <c r="V4624" t="str">
        <f>"69360"</f>
        <v>69360</v>
      </c>
      <c r="W4624">
        <v>10.8</v>
      </c>
      <c r="X4624">
        <v>0</v>
      </c>
    </row>
    <row r="4625" spans="1:24" ht="15" customHeight="1" x14ac:dyDescent="0.25">
      <c r="A4625" t="str">
        <f>""</f>
        <v/>
      </c>
      <c r="B4625" s="1"/>
      <c r="H4625">
        <v>40</v>
      </c>
      <c r="J4625" t="s">
        <v>23</v>
      </c>
      <c r="L4625" s="1"/>
      <c r="N4625" s="1"/>
      <c r="V4625" t="str">
        <f>"62220"</f>
        <v>62220</v>
      </c>
      <c r="W4625">
        <v>0</v>
      </c>
      <c r="X4625">
        <v>0</v>
      </c>
    </row>
    <row r="4626" spans="1:24" ht="15" customHeight="1" x14ac:dyDescent="0.25">
      <c r="A4626" t="str">
        <f>""</f>
        <v/>
      </c>
      <c r="B4626" s="1"/>
      <c r="H4626">
        <v>180</v>
      </c>
      <c r="J4626" t="s">
        <v>22</v>
      </c>
      <c r="L4626" s="1"/>
      <c r="N4626" s="1"/>
      <c r="V4626" t="str">
        <f>"34500"</f>
        <v>34500</v>
      </c>
      <c r="W4626">
        <v>0</v>
      </c>
      <c r="X4626">
        <v>50.4</v>
      </c>
    </row>
    <row r="4627" spans="1:24" ht="15" customHeight="1" x14ac:dyDescent="0.25">
      <c r="A4627" t="str">
        <f>""</f>
        <v/>
      </c>
      <c r="B4627" s="1"/>
      <c r="H4627">
        <v>180</v>
      </c>
      <c r="J4627" t="s">
        <v>23</v>
      </c>
      <c r="L4627" s="1"/>
      <c r="N4627" s="1"/>
      <c r="V4627" t="str">
        <f>"34500"</f>
        <v>34500</v>
      </c>
      <c r="W4627">
        <v>0</v>
      </c>
      <c r="X4627">
        <v>50.4</v>
      </c>
    </row>
    <row r="4628" spans="1:24" ht="15" customHeight="1" x14ac:dyDescent="0.25">
      <c r="A4628" t="str">
        <f>""</f>
        <v/>
      </c>
      <c r="B4628" s="1"/>
      <c r="H4628">
        <v>214.52</v>
      </c>
      <c r="J4628" t="s">
        <v>22</v>
      </c>
      <c r="L4628" s="1"/>
      <c r="N4628" s="1"/>
      <c r="V4628" t="str">
        <f>"69007"</f>
        <v>69007</v>
      </c>
      <c r="W4628">
        <v>0</v>
      </c>
      <c r="X4628">
        <v>0</v>
      </c>
    </row>
    <row r="4629" spans="1:24" ht="15" customHeight="1" x14ac:dyDescent="0.25">
      <c r="A4629" t="str">
        <f>""</f>
        <v/>
      </c>
      <c r="B4629" s="1"/>
      <c r="H4629">
        <v>31.63</v>
      </c>
      <c r="J4629" t="s">
        <v>23</v>
      </c>
      <c r="L4629" s="1"/>
      <c r="N4629" s="1"/>
      <c r="V4629" t="str">
        <f>"69680"</f>
        <v>69680</v>
      </c>
      <c r="W4629">
        <v>0</v>
      </c>
      <c r="X4629">
        <v>0</v>
      </c>
    </row>
    <row r="4630" spans="1:24" ht="15" customHeight="1" x14ac:dyDescent="0.25">
      <c r="A4630" t="str">
        <f>""</f>
        <v/>
      </c>
      <c r="B4630" s="1"/>
      <c r="H4630">
        <v>97.28</v>
      </c>
      <c r="J4630" t="s">
        <v>20</v>
      </c>
      <c r="L4630" s="1"/>
      <c r="N4630" s="1"/>
      <c r="V4630" t="str">
        <f>"67670"</f>
        <v>67670</v>
      </c>
      <c r="W4630">
        <v>28.21</v>
      </c>
      <c r="X4630">
        <v>0</v>
      </c>
    </row>
    <row r="4631" spans="1:24" ht="15" customHeight="1" x14ac:dyDescent="0.25">
      <c r="A4631" t="str">
        <f>""</f>
        <v/>
      </c>
      <c r="B4631" s="1"/>
      <c r="H4631">
        <v>19.8</v>
      </c>
      <c r="J4631" t="s">
        <v>19</v>
      </c>
      <c r="L4631" s="1"/>
      <c r="N4631" s="1"/>
      <c r="V4631" t="str">
        <f>"35113"</f>
        <v>35113</v>
      </c>
      <c r="W4631">
        <v>5.35</v>
      </c>
      <c r="X4631">
        <v>0</v>
      </c>
    </row>
    <row r="4632" spans="1:24" ht="15" customHeight="1" x14ac:dyDescent="0.25">
      <c r="A4632" t="str">
        <f>""</f>
        <v/>
      </c>
      <c r="B4632" s="1"/>
      <c r="H4632">
        <v>8.36</v>
      </c>
      <c r="J4632" t="s">
        <v>20</v>
      </c>
      <c r="L4632" s="1"/>
      <c r="N4632" s="1"/>
      <c r="V4632" t="str">
        <f>"81500"</f>
        <v>81500</v>
      </c>
      <c r="W4632">
        <v>1.84</v>
      </c>
      <c r="X4632">
        <v>0</v>
      </c>
    </row>
    <row r="4633" spans="1:24" ht="15" customHeight="1" x14ac:dyDescent="0.25">
      <c r="A4633" t="str">
        <f>""</f>
        <v/>
      </c>
      <c r="B4633" s="1"/>
      <c r="H4633">
        <v>197</v>
      </c>
      <c r="L4633" s="1"/>
      <c r="N4633" s="1"/>
      <c r="V4633" t="str">
        <f>"77184"</f>
        <v>77184</v>
      </c>
      <c r="W4633">
        <v>0</v>
      </c>
      <c r="X4633">
        <v>0</v>
      </c>
    </row>
    <row r="4634" spans="1:24" ht="15" customHeight="1" x14ac:dyDescent="0.25">
      <c r="A4634" t="str">
        <f>""</f>
        <v/>
      </c>
      <c r="B4634" s="1"/>
      <c r="H4634">
        <v>31</v>
      </c>
      <c r="L4634" s="1"/>
      <c r="N4634" s="1"/>
      <c r="V4634" t="str">
        <f>"77184"</f>
        <v>77184</v>
      </c>
      <c r="W4634">
        <v>0</v>
      </c>
      <c r="X4634">
        <v>0</v>
      </c>
    </row>
    <row r="4635" spans="1:24" ht="15" customHeight="1" x14ac:dyDescent="0.25">
      <c r="A4635" t="str">
        <f>""</f>
        <v/>
      </c>
      <c r="B4635" s="1"/>
      <c r="H4635">
        <v>40</v>
      </c>
      <c r="J4635" t="s">
        <v>20</v>
      </c>
      <c r="L4635" s="1"/>
      <c r="N4635" s="1"/>
      <c r="V4635" t="str">
        <f>"73000"</f>
        <v>73000</v>
      </c>
      <c r="W4635">
        <v>10.8</v>
      </c>
      <c r="X4635">
        <v>0</v>
      </c>
    </row>
    <row r="4636" spans="1:24" ht="15" customHeight="1" x14ac:dyDescent="0.25">
      <c r="A4636" t="str">
        <f>""</f>
        <v/>
      </c>
      <c r="B4636" s="1"/>
      <c r="H4636">
        <v>328.14</v>
      </c>
      <c r="J4636" t="s">
        <v>19</v>
      </c>
      <c r="L4636" s="1"/>
      <c r="N4636" s="1"/>
      <c r="V4636" t="str">
        <f>"59110"</f>
        <v>59110</v>
      </c>
      <c r="W4636">
        <v>62.35</v>
      </c>
      <c r="X4636">
        <v>0</v>
      </c>
    </row>
    <row r="4637" spans="1:24" ht="15" customHeight="1" x14ac:dyDescent="0.25">
      <c r="A4637" t="str">
        <f>""</f>
        <v/>
      </c>
      <c r="B4637" s="1"/>
      <c r="H4637">
        <v>163.98</v>
      </c>
      <c r="J4637" t="s">
        <v>23</v>
      </c>
      <c r="L4637" s="1"/>
      <c r="N4637" s="1"/>
      <c r="V4637" t="str">
        <f>"08000"</f>
        <v>08000</v>
      </c>
      <c r="W4637">
        <v>0</v>
      </c>
      <c r="X4637">
        <v>0</v>
      </c>
    </row>
    <row r="4638" spans="1:24" ht="15" customHeight="1" x14ac:dyDescent="0.25">
      <c r="A4638" t="str">
        <f>""</f>
        <v/>
      </c>
      <c r="B4638" s="1"/>
      <c r="H4638">
        <v>161.02000000000001</v>
      </c>
      <c r="J4638" t="s">
        <v>23</v>
      </c>
      <c r="L4638" s="1"/>
      <c r="N4638" s="1"/>
      <c r="V4638" t="str">
        <f>"75007"</f>
        <v>75007</v>
      </c>
      <c r="W4638">
        <v>0</v>
      </c>
      <c r="X4638">
        <v>0</v>
      </c>
    </row>
    <row r="4639" spans="1:24" ht="15" customHeight="1" x14ac:dyDescent="0.25">
      <c r="A4639" t="str">
        <f>""</f>
        <v/>
      </c>
      <c r="B4639" s="1"/>
      <c r="H4639">
        <v>148.78</v>
      </c>
      <c r="J4639" t="s">
        <v>19</v>
      </c>
      <c r="L4639" s="1"/>
      <c r="N4639" s="1"/>
      <c r="V4639" t="str">
        <f>"75010"</f>
        <v>75010</v>
      </c>
      <c r="W4639">
        <v>0</v>
      </c>
      <c r="X4639">
        <v>0</v>
      </c>
    </row>
    <row r="4640" spans="1:24" ht="15" customHeight="1" x14ac:dyDescent="0.25">
      <c r="A4640" t="str">
        <f>""</f>
        <v/>
      </c>
      <c r="B4640" s="1"/>
      <c r="H4640">
        <v>187.13</v>
      </c>
      <c r="J4640" t="s">
        <v>20</v>
      </c>
      <c r="L4640" s="1"/>
      <c r="N4640" s="1"/>
      <c r="V4640" t="str">
        <f>"44840"</f>
        <v>44840</v>
      </c>
      <c r="W4640">
        <v>50.53</v>
      </c>
      <c r="X4640">
        <v>0</v>
      </c>
    </row>
    <row r="4641" spans="1:24" ht="15" customHeight="1" x14ac:dyDescent="0.25">
      <c r="A4641" t="str">
        <f>""</f>
        <v/>
      </c>
      <c r="B4641" s="1"/>
      <c r="H4641">
        <v>130.19999999999999</v>
      </c>
      <c r="J4641" t="s">
        <v>20</v>
      </c>
      <c r="L4641" s="1"/>
      <c r="N4641" s="1"/>
      <c r="V4641" t="str">
        <f>"49150"</f>
        <v>49150</v>
      </c>
      <c r="W4641">
        <v>35.15</v>
      </c>
      <c r="X4641">
        <v>0</v>
      </c>
    </row>
    <row r="4642" spans="1:24" ht="15" customHeight="1" x14ac:dyDescent="0.25">
      <c r="A4642" t="str">
        <f>""</f>
        <v/>
      </c>
      <c r="B4642" s="1"/>
      <c r="H4642">
        <v>38.700000000000003</v>
      </c>
      <c r="J4642" t="s">
        <v>20</v>
      </c>
      <c r="L4642" s="1"/>
      <c r="N4642" s="1"/>
      <c r="V4642" t="str">
        <f>"69680"</f>
        <v>69680</v>
      </c>
      <c r="W4642">
        <v>10.45</v>
      </c>
      <c r="X4642">
        <v>0</v>
      </c>
    </row>
    <row r="4643" spans="1:24" ht="15" customHeight="1" x14ac:dyDescent="0.25">
      <c r="A4643" t="str">
        <f>""</f>
        <v/>
      </c>
      <c r="B4643" s="1"/>
      <c r="H4643">
        <v>40</v>
      </c>
      <c r="J4643" t="s">
        <v>20</v>
      </c>
      <c r="L4643" s="1"/>
      <c r="N4643" s="1"/>
      <c r="V4643" t="str">
        <f>"59310"</f>
        <v>59310</v>
      </c>
      <c r="W4643">
        <v>7.6</v>
      </c>
      <c r="X4643">
        <v>0</v>
      </c>
    </row>
    <row r="4644" spans="1:24" ht="15" customHeight="1" x14ac:dyDescent="0.25">
      <c r="A4644" t="str">
        <f>""</f>
        <v/>
      </c>
      <c r="B4644" s="1"/>
      <c r="H4644">
        <v>25.8</v>
      </c>
      <c r="J4644" t="s">
        <v>20</v>
      </c>
      <c r="L4644" s="1"/>
      <c r="N4644" s="1"/>
      <c r="V4644" t="str">
        <f>"83990"</f>
        <v>83990</v>
      </c>
      <c r="W4644">
        <v>7.74</v>
      </c>
      <c r="X4644">
        <v>0</v>
      </c>
    </row>
    <row r="4645" spans="1:24" ht="15" customHeight="1" x14ac:dyDescent="0.25">
      <c r="A4645" t="str">
        <f>""</f>
        <v/>
      </c>
      <c r="B4645" s="1"/>
      <c r="H4645">
        <v>32.85</v>
      </c>
      <c r="J4645" t="s">
        <v>19</v>
      </c>
      <c r="L4645" s="1"/>
      <c r="N4645" s="1"/>
      <c r="V4645" t="str">
        <f>"75008"</f>
        <v>75008</v>
      </c>
      <c r="W4645">
        <v>0</v>
      </c>
      <c r="X4645">
        <v>0</v>
      </c>
    </row>
    <row r="4646" spans="1:24" ht="15" customHeight="1" x14ac:dyDescent="0.25">
      <c r="A4646" t="str">
        <f>""</f>
        <v/>
      </c>
      <c r="B4646" s="1"/>
      <c r="H4646">
        <v>119.94</v>
      </c>
      <c r="J4646" t="s">
        <v>22</v>
      </c>
      <c r="L4646" s="1"/>
      <c r="N4646" s="1"/>
      <c r="V4646" t="str">
        <f>"75010"</f>
        <v>75010</v>
      </c>
      <c r="W4646">
        <v>0</v>
      </c>
      <c r="X4646">
        <v>0</v>
      </c>
    </row>
    <row r="4647" spans="1:24" ht="15" customHeight="1" x14ac:dyDescent="0.25">
      <c r="A4647" t="str">
        <f>""</f>
        <v/>
      </c>
      <c r="B4647" s="1"/>
      <c r="H4647">
        <v>31</v>
      </c>
      <c r="L4647" s="1"/>
      <c r="N4647" s="1"/>
      <c r="V4647" t="str">
        <f>"44240"</f>
        <v>44240</v>
      </c>
      <c r="W4647">
        <v>0</v>
      </c>
      <c r="X4647">
        <v>0</v>
      </c>
    </row>
    <row r="4648" spans="1:24" ht="15" customHeight="1" x14ac:dyDescent="0.25">
      <c r="A4648" t="str">
        <f>""</f>
        <v/>
      </c>
      <c r="B4648" s="1"/>
      <c r="H4648">
        <v>31</v>
      </c>
      <c r="L4648" s="1"/>
      <c r="N4648" s="1"/>
      <c r="V4648" t="str">
        <f>"44240"</f>
        <v>44240</v>
      </c>
      <c r="W4648">
        <v>0</v>
      </c>
      <c r="X4648">
        <v>0</v>
      </c>
    </row>
    <row r="4649" spans="1:24" x14ac:dyDescent="0.25">
      <c r="A4649" t="str">
        <f>""</f>
        <v/>
      </c>
      <c r="B4649" s="1"/>
      <c r="H4649">
        <v>33</v>
      </c>
      <c r="J4649" t="s">
        <v>18</v>
      </c>
      <c r="L4649" s="1"/>
      <c r="N4649" s="1"/>
      <c r="V4649" t="str">
        <f>"56100"</f>
        <v>56100</v>
      </c>
      <c r="W4649">
        <v>0</v>
      </c>
      <c r="X4649">
        <v>0</v>
      </c>
    </row>
    <row r="4650" spans="1:24" ht="15" customHeight="1" x14ac:dyDescent="0.25">
      <c r="A4650" t="str">
        <f>""</f>
        <v/>
      </c>
      <c r="B4650" s="1"/>
      <c r="H4650">
        <v>114.37</v>
      </c>
      <c r="J4650" t="s">
        <v>20</v>
      </c>
      <c r="L4650" s="1"/>
      <c r="N4650" s="1"/>
      <c r="V4650" t="str">
        <f>"98000"</f>
        <v>98000</v>
      </c>
      <c r="W4650">
        <v>34.31</v>
      </c>
      <c r="X4650">
        <v>0</v>
      </c>
    </row>
    <row r="4651" spans="1:24" ht="15" customHeight="1" x14ac:dyDescent="0.25">
      <c r="A4651" t="str">
        <f>""</f>
        <v/>
      </c>
      <c r="B4651" s="1"/>
      <c r="H4651">
        <v>195.01</v>
      </c>
      <c r="J4651" t="s">
        <v>19</v>
      </c>
      <c r="L4651" s="1"/>
      <c r="N4651" s="1"/>
      <c r="V4651" t="str">
        <f>"34000"</f>
        <v>34000</v>
      </c>
      <c r="W4651">
        <v>76.05</v>
      </c>
      <c r="X4651">
        <v>0</v>
      </c>
    </row>
    <row r="4652" spans="1:24" ht="15" customHeight="1" x14ac:dyDescent="0.25">
      <c r="A4652" t="str">
        <f>""</f>
        <v/>
      </c>
      <c r="B4652" s="1"/>
      <c r="H4652">
        <v>33.049999999999997</v>
      </c>
      <c r="J4652" t="s">
        <v>20</v>
      </c>
      <c r="L4652" s="1"/>
      <c r="N4652" s="1"/>
      <c r="V4652" t="str">
        <f>"59000"</f>
        <v>59000</v>
      </c>
      <c r="W4652">
        <v>6.28</v>
      </c>
      <c r="X4652">
        <v>0</v>
      </c>
    </row>
    <row r="4653" spans="1:24" ht="15" customHeight="1" x14ac:dyDescent="0.25">
      <c r="A4653" t="str">
        <f>""</f>
        <v/>
      </c>
      <c r="B4653" s="1"/>
      <c r="H4653">
        <v>201</v>
      </c>
      <c r="J4653" t="s">
        <v>19</v>
      </c>
      <c r="L4653" s="1"/>
      <c r="N4653" s="1"/>
      <c r="V4653" t="str">
        <f>"30100"</f>
        <v>30100</v>
      </c>
      <c r="W4653">
        <v>78.39</v>
      </c>
      <c r="X4653">
        <v>0</v>
      </c>
    </row>
    <row r="4654" spans="1:24" ht="15" customHeight="1" x14ac:dyDescent="0.25">
      <c r="A4654" t="str">
        <f>""</f>
        <v/>
      </c>
      <c r="B4654" s="1"/>
      <c r="H4654">
        <v>164.8</v>
      </c>
      <c r="J4654" t="s">
        <v>23</v>
      </c>
      <c r="L4654" s="1"/>
      <c r="N4654" s="1"/>
      <c r="V4654" t="str">
        <f>"59260"</f>
        <v>59260</v>
      </c>
      <c r="W4654">
        <v>0</v>
      </c>
      <c r="X4654">
        <v>0</v>
      </c>
    </row>
    <row r="4655" spans="1:24" ht="15" customHeight="1" x14ac:dyDescent="0.25">
      <c r="A4655" t="str">
        <f>""</f>
        <v/>
      </c>
      <c r="B4655" s="1"/>
      <c r="H4655">
        <v>128</v>
      </c>
      <c r="L4655" s="1"/>
      <c r="N4655" s="1"/>
      <c r="V4655" t="str">
        <f>"77184"</f>
        <v>77184</v>
      </c>
      <c r="W4655">
        <v>0</v>
      </c>
      <c r="X4655">
        <v>0</v>
      </c>
    </row>
    <row r="4656" spans="1:24" ht="15" customHeight="1" x14ac:dyDescent="0.25">
      <c r="A4656" t="str">
        <f>""</f>
        <v/>
      </c>
      <c r="B4656" s="1"/>
      <c r="H4656">
        <v>151</v>
      </c>
      <c r="J4656" t="s">
        <v>23</v>
      </c>
      <c r="L4656" s="1"/>
      <c r="V4656" t="str">
        <f>"54140"</f>
        <v>54140</v>
      </c>
      <c r="W4656">
        <v>0</v>
      </c>
      <c r="X4656">
        <v>0</v>
      </c>
    </row>
    <row r="4657" spans="1:24" ht="15" customHeight="1" x14ac:dyDescent="0.25">
      <c r="A4657" t="str">
        <f>""</f>
        <v/>
      </c>
      <c r="B4657" s="1"/>
      <c r="H4657">
        <v>25.8</v>
      </c>
      <c r="J4657" t="s">
        <v>19</v>
      </c>
      <c r="L4657" s="1"/>
      <c r="N4657" s="1"/>
      <c r="V4657" t="str">
        <f>"60300"</f>
        <v>60300</v>
      </c>
      <c r="W4657">
        <v>4.9000000000000004</v>
      </c>
      <c r="X4657">
        <v>0</v>
      </c>
    </row>
    <row r="4658" spans="1:24" ht="15" customHeight="1" x14ac:dyDescent="0.25">
      <c r="A4658" t="str">
        <f>""</f>
        <v/>
      </c>
      <c r="B4658" s="1"/>
      <c r="H4658">
        <v>19.8</v>
      </c>
      <c r="J4658" t="s">
        <v>19</v>
      </c>
      <c r="L4658" s="1"/>
      <c r="N4658" s="1"/>
      <c r="V4658" t="str">
        <f>"62380"</f>
        <v>62380</v>
      </c>
      <c r="W4658">
        <v>3.76</v>
      </c>
      <c r="X4658">
        <v>0</v>
      </c>
    </row>
    <row r="4659" spans="1:24" ht="15" customHeight="1" x14ac:dyDescent="0.25">
      <c r="A4659" t="str">
        <f>""</f>
        <v/>
      </c>
      <c r="B4659" s="1"/>
      <c r="H4659">
        <v>40</v>
      </c>
      <c r="J4659" t="s">
        <v>19</v>
      </c>
      <c r="L4659" s="1"/>
      <c r="N4659" s="1"/>
      <c r="V4659" t="str">
        <f>"86360"</f>
        <v>86360</v>
      </c>
      <c r="W4659">
        <v>8.4</v>
      </c>
      <c r="X4659">
        <v>0</v>
      </c>
    </row>
    <row r="4660" spans="1:24" ht="15" customHeight="1" x14ac:dyDescent="0.25">
      <c r="A4660" t="str">
        <f>""</f>
        <v/>
      </c>
      <c r="B4660" s="1"/>
      <c r="H4660">
        <v>34.83</v>
      </c>
      <c r="J4660" t="s">
        <v>19</v>
      </c>
      <c r="L4660" s="1"/>
      <c r="N4660" s="1"/>
      <c r="V4660" t="str">
        <f>"62380"</f>
        <v>62380</v>
      </c>
      <c r="W4660">
        <v>6.62</v>
      </c>
      <c r="X4660">
        <v>0</v>
      </c>
    </row>
    <row r="4661" spans="1:24" ht="15" customHeight="1" x14ac:dyDescent="0.25">
      <c r="A4661" t="str">
        <f>""</f>
        <v/>
      </c>
      <c r="B4661" s="1"/>
      <c r="H4661">
        <v>140</v>
      </c>
      <c r="J4661" t="s">
        <v>20</v>
      </c>
      <c r="L4661" s="1"/>
      <c r="N4661" s="1"/>
      <c r="V4661" t="str">
        <f>"37270"</f>
        <v>37270</v>
      </c>
      <c r="W4661">
        <v>29.4</v>
      </c>
      <c r="X4661">
        <v>0</v>
      </c>
    </row>
    <row r="4662" spans="1:24" ht="15" customHeight="1" x14ac:dyDescent="0.25">
      <c r="A4662" t="str">
        <f>""</f>
        <v/>
      </c>
      <c r="B4662" s="1"/>
      <c r="H4662">
        <v>98.9</v>
      </c>
      <c r="J4662" t="s">
        <v>19</v>
      </c>
      <c r="L4662" s="1"/>
      <c r="N4662" s="1"/>
      <c r="V4662" t="str">
        <f>"75017"</f>
        <v>75017</v>
      </c>
      <c r="W4662">
        <v>0</v>
      </c>
      <c r="X4662">
        <v>0</v>
      </c>
    </row>
    <row r="4663" spans="1:24" ht="15" customHeight="1" x14ac:dyDescent="0.25">
      <c r="A4663" t="str">
        <f>""</f>
        <v/>
      </c>
      <c r="B4663" s="1"/>
      <c r="H4663">
        <v>36.85</v>
      </c>
      <c r="J4663" t="s">
        <v>20</v>
      </c>
      <c r="L4663" s="1"/>
      <c r="N4663" s="1"/>
      <c r="V4663" t="str">
        <f>"76890"</f>
        <v>76890</v>
      </c>
      <c r="W4663">
        <v>6.26</v>
      </c>
      <c r="X4663">
        <v>0</v>
      </c>
    </row>
    <row r="4664" spans="1:24" ht="15" customHeight="1" x14ac:dyDescent="0.25">
      <c r="A4664" t="str">
        <f>""</f>
        <v/>
      </c>
      <c r="B4664" s="1"/>
      <c r="H4664">
        <v>40</v>
      </c>
      <c r="J4664" t="s">
        <v>19</v>
      </c>
      <c r="L4664" s="1"/>
      <c r="N4664" s="1"/>
      <c r="V4664" t="str">
        <f>"44000"</f>
        <v>44000</v>
      </c>
      <c r="W4664">
        <v>10.8</v>
      </c>
      <c r="X4664">
        <v>0</v>
      </c>
    </row>
    <row r="4665" spans="1:24" ht="15" customHeight="1" x14ac:dyDescent="0.25">
      <c r="A4665" t="str">
        <f>""</f>
        <v/>
      </c>
      <c r="B4665" s="1"/>
      <c r="H4665">
        <v>139.97</v>
      </c>
      <c r="J4665" t="s">
        <v>20</v>
      </c>
      <c r="L4665" s="1"/>
      <c r="N4665" s="1"/>
      <c r="V4665" t="str">
        <f>"45140"</f>
        <v>45140</v>
      </c>
      <c r="W4665">
        <v>29.39</v>
      </c>
      <c r="X4665">
        <v>0</v>
      </c>
    </row>
    <row r="4666" spans="1:24" ht="15" customHeight="1" x14ac:dyDescent="0.25">
      <c r="A4666" t="str">
        <f>""</f>
        <v/>
      </c>
      <c r="B4666" s="1"/>
      <c r="H4666">
        <v>48.23</v>
      </c>
      <c r="J4666" t="s">
        <v>20</v>
      </c>
      <c r="L4666" s="1"/>
      <c r="N4666" s="1"/>
      <c r="V4666" t="str">
        <f>"76600"</f>
        <v>76600</v>
      </c>
      <c r="W4666">
        <v>8.1999999999999993</v>
      </c>
      <c r="X4666">
        <v>0</v>
      </c>
    </row>
    <row r="4667" spans="1:24" ht="15" customHeight="1" x14ac:dyDescent="0.25">
      <c r="A4667" t="str">
        <f>""</f>
        <v/>
      </c>
      <c r="B4667" s="1"/>
      <c r="H4667">
        <v>33.35</v>
      </c>
      <c r="J4667" t="s">
        <v>19</v>
      </c>
      <c r="L4667" s="1"/>
      <c r="N4667" s="1"/>
      <c r="V4667" t="str">
        <f>"69005"</f>
        <v>69005</v>
      </c>
      <c r="W4667">
        <v>9</v>
      </c>
      <c r="X4667">
        <v>0</v>
      </c>
    </row>
    <row r="4668" spans="1:24" ht="15" customHeight="1" x14ac:dyDescent="0.25">
      <c r="A4668" t="str">
        <f>""</f>
        <v/>
      </c>
      <c r="B4668" s="1"/>
      <c r="H4668">
        <v>22.4</v>
      </c>
      <c r="J4668" t="s">
        <v>20</v>
      </c>
      <c r="L4668" s="1"/>
      <c r="N4668" s="1"/>
      <c r="V4668" t="str">
        <f>"38090"</f>
        <v>38090</v>
      </c>
      <c r="W4668">
        <v>6.05</v>
      </c>
      <c r="X4668">
        <v>0</v>
      </c>
    </row>
    <row r="4669" spans="1:24" ht="15" customHeight="1" x14ac:dyDescent="0.25">
      <c r="A4669" t="str">
        <f>""</f>
        <v/>
      </c>
      <c r="B4669" s="1"/>
      <c r="H4669">
        <v>113.12</v>
      </c>
      <c r="J4669" t="s">
        <v>23</v>
      </c>
      <c r="L4669" s="1"/>
      <c r="N4669" s="1"/>
      <c r="V4669" t="str">
        <f>"59000"</f>
        <v>59000</v>
      </c>
      <c r="W4669">
        <v>0</v>
      </c>
      <c r="X4669">
        <v>0</v>
      </c>
    </row>
    <row r="4670" spans="1:24" ht="15" customHeight="1" x14ac:dyDescent="0.25">
      <c r="A4670" t="str">
        <f>""</f>
        <v/>
      </c>
      <c r="B4670" s="1"/>
      <c r="H4670">
        <v>140</v>
      </c>
      <c r="J4670" t="s">
        <v>23</v>
      </c>
      <c r="L4670" s="1"/>
      <c r="N4670" s="1"/>
      <c r="V4670" t="str">
        <f>"59130"</f>
        <v>59130</v>
      </c>
      <c r="W4670">
        <v>0</v>
      </c>
      <c r="X4670">
        <v>0</v>
      </c>
    </row>
    <row r="4671" spans="1:24" ht="15" customHeight="1" x14ac:dyDescent="0.25">
      <c r="A4671" t="str">
        <f>""</f>
        <v/>
      </c>
      <c r="B4671" s="1"/>
      <c r="H4671">
        <v>40</v>
      </c>
      <c r="J4671" t="s">
        <v>22</v>
      </c>
      <c r="L4671" s="1"/>
      <c r="N4671" s="1"/>
      <c r="V4671" t="str">
        <f>"59800"</f>
        <v>59800</v>
      </c>
      <c r="W4671">
        <v>0</v>
      </c>
      <c r="X4671">
        <v>0</v>
      </c>
    </row>
    <row r="4672" spans="1:24" x14ac:dyDescent="0.25">
      <c r="A4672" t="str">
        <f>""</f>
        <v/>
      </c>
      <c r="B4672" s="1"/>
      <c r="H4672">
        <v>119</v>
      </c>
      <c r="J4672" t="s">
        <v>17</v>
      </c>
      <c r="L4672" s="1"/>
      <c r="N4672" s="1"/>
      <c r="V4672" t="str">
        <f>"92400"</f>
        <v>92400</v>
      </c>
      <c r="W4672">
        <v>0</v>
      </c>
      <c r="X4672">
        <v>0</v>
      </c>
    </row>
    <row r="4673" spans="1:24" ht="15" customHeight="1" x14ac:dyDescent="0.25">
      <c r="A4673" t="str">
        <f>""</f>
        <v/>
      </c>
      <c r="B4673" s="1"/>
      <c r="H4673">
        <v>71.900000000000006</v>
      </c>
      <c r="J4673" t="s">
        <v>23</v>
      </c>
      <c r="L4673" s="1"/>
      <c r="N4673" s="1"/>
      <c r="V4673" t="str">
        <f>"43700"</f>
        <v>43700</v>
      </c>
      <c r="W4673">
        <v>0</v>
      </c>
      <c r="X4673">
        <v>8.6300000000000008</v>
      </c>
    </row>
    <row r="4674" spans="1:24" ht="15" customHeight="1" x14ac:dyDescent="0.25">
      <c r="A4674" t="str">
        <f>""</f>
        <v/>
      </c>
      <c r="B4674" s="1"/>
      <c r="H4674">
        <v>215</v>
      </c>
      <c r="J4674" t="s">
        <v>23</v>
      </c>
      <c r="L4674" s="1"/>
      <c r="N4674" s="1"/>
      <c r="V4674" t="str">
        <f>"92800"</f>
        <v>92800</v>
      </c>
      <c r="W4674">
        <v>0</v>
      </c>
      <c r="X4674">
        <v>0</v>
      </c>
    </row>
    <row r="4675" spans="1:24" ht="15" customHeight="1" x14ac:dyDescent="0.25">
      <c r="A4675" t="str">
        <f>""</f>
        <v/>
      </c>
      <c r="B4675" s="1"/>
      <c r="H4675">
        <v>187</v>
      </c>
      <c r="L4675" s="1"/>
      <c r="N4675" s="1"/>
      <c r="V4675" t="str">
        <f>"77184"</f>
        <v>77184</v>
      </c>
      <c r="W4675">
        <v>0</v>
      </c>
      <c r="X4675">
        <v>0</v>
      </c>
    </row>
    <row r="4676" spans="1:24" ht="15" customHeight="1" x14ac:dyDescent="0.25">
      <c r="A4676" t="str">
        <f>""</f>
        <v/>
      </c>
      <c r="B4676" s="1"/>
      <c r="H4676">
        <v>201</v>
      </c>
      <c r="L4676" s="1"/>
      <c r="N4676" s="1"/>
      <c r="V4676" t="str">
        <f>"77184"</f>
        <v>77184</v>
      </c>
      <c r="W4676">
        <v>0</v>
      </c>
      <c r="X4676">
        <v>0</v>
      </c>
    </row>
    <row r="4677" spans="1:24" ht="15" customHeight="1" x14ac:dyDescent="0.25">
      <c r="A4677" t="str">
        <f>""</f>
        <v/>
      </c>
      <c r="B4677" s="1"/>
      <c r="H4677">
        <v>70</v>
      </c>
      <c r="J4677" t="s">
        <v>22</v>
      </c>
      <c r="L4677" s="1"/>
      <c r="N4677" s="1"/>
      <c r="V4677" t="str">
        <f>"06000"</f>
        <v>06000</v>
      </c>
      <c r="W4677">
        <v>0</v>
      </c>
      <c r="X4677">
        <v>0</v>
      </c>
    </row>
    <row r="4678" spans="1:24" ht="15" customHeight="1" x14ac:dyDescent="0.25">
      <c r="A4678" t="str">
        <f>""</f>
        <v/>
      </c>
      <c r="B4678" s="1"/>
      <c r="H4678">
        <v>131.97999999999999</v>
      </c>
      <c r="J4678" t="s">
        <v>20</v>
      </c>
      <c r="L4678" s="1"/>
      <c r="N4678" s="1"/>
      <c r="V4678" t="str">
        <f>"79000"</f>
        <v>79000</v>
      </c>
      <c r="W4678">
        <v>27.72</v>
      </c>
      <c r="X4678">
        <v>0</v>
      </c>
    </row>
    <row r="4679" spans="1:24" ht="15" customHeight="1" x14ac:dyDescent="0.25">
      <c r="A4679" t="str">
        <f>""</f>
        <v/>
      </c>
      <c r="B4679" s="1"/>
      <c r="H4679">
        <v>6</v>
      </c>
      <c r="J4679" t="s">
        <v>19</v>
      </c>
      <c r="L4679" s="1"/>
      <c r="N4679" s="1"/>
      <c r="V4679" t="str">
        <f>"56600"</f>
        <v>56600</v>
      </c>
      <c r="W4679">
        <v>1.62</v>
      </c>
      <c r="X4679">
        <v>0</v>
      </c>
    </row>
    <row r="4680" spans="1:24" ht="15" customHeight="1" x14ac:dyDescent="0.25">
      <c r="A4680" t="str">
        <f>""</f>
        <v/>
      </c>
      <c r="B4680" s="1"/>
      <c r="H4680">
        <v>33.6</v>
      </c>
      <c r="J4680" t="s">
        <v>20</v>
      </c>
      <c r="L4680" s="1"/>
      <c r="N4680" s="1"/>
      <c r="V4680" t="str">
        <f>"59000"</f>
        <v>59000</v>
      </c>
      <c r="W4680">
        <v>6.38</v>
      </c>
      <c r="X4680">
        <v>0</v>
      </c>
    </row>
    <row r="4681" spans="1:24" ht="15" customHeight="1" x14ac:dyDescent="0.25">
      <c r="A4681" t="str">
        <f>""</f>
        <v/>
      </c>
      <c r="B4681" s="1"/>
      <c r="H4681">
        <v>18.350000000000001</v>
      </c>
      <c r="J4681" t="s">
        <v>19</v>
      </c>
      <c r="L4681" s="1"/>
      <c r="N4681" s="1"/>
      <c r="V4681" t="str">
        <f>"84140"</f>
        <v>84140</v>
      </c>
      <c r="W4681">
        <v>5.32</v>
      </c>
      <c r="X4681">
        <v>0</v>
      </c>
    </row>
    <row r="4682" spans="1:24" ht="15" customHeight="1" x14ac:dyDescent="0.25">
      <c r="A4682" t="str">
        <f>""</f>
        <v/>
      </c>
      <c r="B4682" s="1"/>
      <c r="H4682">
        <v>43.44</v>
      </c>
      <c r="J4682" t="s">
        <v>19</v>
      </c>
      <c r="L4682" s="1"/>
      <c r="N4682" s="1"/>
      <c r="V4682" t="str">
        <f>"06000"</f>
        <v>06000</v>
      </c>
      <c r="W4682">
        <v>13.03</v>
      </c>
      <c r="X4682">
        <v>0</v>
      </c>
    </row>
    <row r="4683" spans="1:24" ht="15" customHeight="1" x14ac:dyDescent="0.25">
      <c r="A4683" t="str">
        <f>""</f>
        <v/>
      </c>
      <c r="B4683" s="1"/>
      <c r="H4683">
        <v>0.53</v>
      </c>
      <c r="J4683" t="s">
        <v>20</v>
      </c>
      <c r="L4683" s="1"/>
      <c r="N4683" s="1"/>
      <c r="V4683" t="str">
        <f>"01000"</f>
        <v>01000</v>
      </c>
      <c r="W4683">
        <v>0.14000000000000001</v>
      </c>
      <c r="X4683">
        <v>0</v>
      </c>
    </row>
    <row r="4684" spans="1:24" x14ac:dyDescent="0.25">
      <c r="A4684" t="str">
        <f>""</f>
        <v/>
      </c>
      <c r="B4684" s="1"/>
      <c r="H4684">
        <v>29.59</v>
      </c>
      <c r="J4684" t="s">
        <v>16</v>
      </c>
      <c r="L4684" s="1"/>
      <c r="V4684" t="str">
        <f>"30200"</f>
        <v>30200</v>
      </c>
      <c r="W4684">
        <v>0</v>
      </c>
      <c r="X4684">
        <v>0</v>
      </c>
    </row>
    <row r="4685" spans="1:24" ht="15" customHeight="1" x14ac:dyDescent="0.25">
      <c r="A4685" t="str">
        <f>""</f>
        <v/>
      </c>
      <c r="B4685" s="1"/>
      <c r="H4685">
        <v>29.59</v>
      </c>
      <c r="J4685" t="s">
        <v>22</v>
      </c>
      <c r="L4685" s="1"/>
      <c r="N4685" s="1"/>
      <c r="V4685" t="str">
        <f>"69006"</f>
        <v>69006</v>
      </c>
      <c r="W4685">
        <v>0</v>
      </c>
      <c r="X4685">
        <v>0</v>
      </c>
    </row>
    <row r="4686" spans="1:24" ht="15" customHeight="1" x14ac:dyDescent="0.25">
      <c r="A4686" t="str">
        <f>""</f>
        <v/>
      </c>
      <c r="B4686" s="1"/>
      <c r="H4686">
        <v>29.59</v>
      </c>
      <c r="J4686" t="s">
        <v>22</v>
      </c>
      <c r="L4686" s="1"/>
      <c r="N4686" s="1"/>
      <c r="V4686" t="str">
        <f>"69006"</f>
        <v>69006</v>
      </c>
      <c r="W4686">
        <v>0</v>
      </c>
      <c r="X4686">
        <v>0</v>
      </c>
    </row>
    <row r="4687" spans="1:24" ht="15" customHeight="1" x14ac:dyDescent="0.25">
      <c r="A4687" t="str">
        <f>""</f>
        <v/>
      </c>
      <c r="B4687" s="1"/>
      <c r="H4687">
        <v>29.59</v>
      </c>
      <c r="J4687" t="s">
        <v>22</v>
      </c>
      <c r="L4687" s="1"/>
      <c r="N4687" s="1"/>
      <c r="V4687" t="str">
        <f>"69006"</f>
        <v>69006</v>
      </c>
      <c r="W4687">
        <v>0</v>
      </c>
      <c r="X4687">
        <v>0</v>
      </c>
    </row>
    <row r="4688" spans="1:24" ht="15" customHeight="1" x14ac:dyDescent="0.25">
      <c r="A4688" t="str">
        <f>""</f>
        <v/>
      </c>
      <c r="B4688" s="1"/>
      <c r="H4688">
        <v>40</v>
      </c>
      <c r="J4688" t="s">
        <v>20</v>
      </c>
      <c r="L4688" s="1"/>
      <c r="N4688" s="1"/>
      <c r="V4688" t="str">
        <f>"27600"</f>
        <v>27600</v>
      </c>
      <c r="W4688">
        <v>6.8</v>
      </c>
      <c r="X4688">
        <v>0</v>
      </c>
    </row>
    <row r="4689" spans="1:24" ht="15" customHeight="1" x14ac:dyDescent="0.25">
      <c r="A4689" t="str">
        <f>""</f>
        <v/>
      </c>
      <c r="B4689" s="1"/>
      <c r="H4689">
        <v>152</v>
      </c>
      <c r="L4689" s="1"/>
      <c r="N4689" s="1"/>
      <c r="V4689" t="str">
        <f>"77184"</f>
        <v>77184</v>
      </c>
      <c r="W4689">
        <v>0</v>
      </c>
      <c r="X4689">
        <v>0</v>
      </c>
    </row>
    <row r="4690" spans="1:24" ht="15" customHeight="1" x14ac:dyDescent="0.25">
      <c r="A4690" t="str">
        <f>""</f>
        <v/>
      </c>
      <c r="B4690" s="1"/>
      <c r="H4690">
        <v>42.03</v>
      </c>
      <c r="J4690" t="s">
        <v>22</v>
      </c>
      <c r="L4690" s="1"/>
      <c r="N4690" s="1"/>
      <c r="V4690" t="str">
        <f>"48200"</f>
        <v>48200</v>
      </c>
      <c r="W4690">
        <v>0</v>
      </c>
      <c r="X4690">
        <v>16.39</v>
      </c>
    </row>
    <row r="4691" spans="1:24" ht="15" customHeight="1" x14ac:dyDescent="0.25">
      <c r="A4691" t="str">
        <f>""</f>
        <v/>
      </c>
      <c r="B4691" s="1"/>
      <c r="H4691">
        <v>90.99</v>
      </c>
      <c r="J4691" t="s">
        <v>22</v>
      </c>
      <c r="L4691" s="1"/>
      <c r="V4691" t="str">
        <f>"69100"</f>
        <v>69100</v>
      </c>
      <c r="W4691">
        <v>0</v>
      </c>
      <c r="X4691">
        <v>0</v>
      </c>
    </row>
    <row r="4692" spans="1:24" ht="15" customHeight="1" x14ac:dyDescent="0.25">
      <c r="A4692" t="str">
        <f>""</f>
        <v/>
      </c>
      <c r="B4692" s="1"/>
      <c r="H4692">
        <v>195.06</v>
      </c>
      <c r="J4692" t="s">
        <v>19</v>
      </c>
      <c r="L4692" s="1"/>
      <c r="N4692" s="1"/>
      <c r="V4692" t="str">
        <f>"75001"</f>
        <v>75001</v>
      </c>
      <c r="W4692">
        <v>0</v>
      </c>
      <c r="X4692">
        <v>0</v>
      </c>
    </row>
    <row r="4693" spans="1:24" ht="15" customHeight="1" x14ac:dyDescent="0.25">
      <c r="A4693" t="str">
        <f>""</f>
        <v/>
      </c>
      <c r="B4693" s="1"/>
      <c r="H4693">
        <v>151</v>
      </c>
      <c r="J4693" t="s">
        <v>23</v>
      </c>
      <c r="L4693" s="1"/>
      <c r="N4693" s="1"/>
      <c r="V4693" t="str">
        <f>"25200"</f>
        <v>25200</v>
      </c>
      <c r="W4693">
        <v>0</v>
      </c>
      <c r="X4693">
        <v>18.12</v>
      </c>
    </row>
    <row r="4694" spans="1:24" ht="15" customHeight="1" x14ac:dyDescent="0.25">
      <c r="A4694" t="str">
        <f>""</f>
        <v/>
      </c>
      <c r="B4694" s="1"/>
      <c r="H4694">
        <v>150.03</v>
      </c>
      <c r="J4694" t="s">
        <v>23</v>
      </c>
      <c r="L4694" s="1"/>
      <c r="N4694" s="1"/>
      <c r="V4694" t="str">
        <f>"75014"</f>
        <v>75014</v>
      </c>
      <c r="W4694">
        <v>0</v>
      </c>
      <c r="X4694">
        <v>0</v>
      </c>
    </row>
    <row r="4695" spans="1:24" ht="15" customHeight="1" x14ac:dyDescent="0.25">
      <c r="A4695" t="str">
        <f>""</f>
        <v/>
      </c>
      <c r="B4695" s="1"/>
      <c r="H4695">
        <v>129.5</v>
      </c>
      <c r="J4695" t="s">
        <v>20</v>
      </c>
      <c r="L4695" s="1"/>
      <c r="N4695" s="1"/>
      <c r="V4695" t="str">
        <f>"61250"</f>
        <v>61250</v>
      </c>
      <c r="W4695">
        <v>22.02</v>
      </c>
      <c r="X4695">
        <v>0</v>
      </c>
    </row>
    <row r="4696" spans="1:24" ht="15" customHeight="1" x14ac:dyDescent="0.25">
      <c r="A4696" t="str">
        <f>""</f>
        <v/>
      </c>
      <c r="B4696" s="1"/>
      <c r="H4696">
        <v>140</v>
      </c>
      <c r="J4696" t="s">
        <v>22</v>
      </c>
      <c r="L4696" s="1"/>
      <c r="V4696" t="str">
        <f>"49430"</f>
        <v>49430</v>
      </c>
      <c r="W4696">
        <v>0</v>
      </c>
      <c r="X4696">
        <v>0</v>
      </c>
    </row>
    <row r="4697" spans="1:24" ht="15" customHeight="1" x14ac:dyDescent="0.25">
      <c r="A4697" t="str">
        <f>""</f>
        <v/>
      </c>
      <c r="B4697" s="1"/>
      <c r="H4697">
        <v>140</v>
      </c>
      <c r="J4697" t="s">
        <v>23</v>
      </c>
      <c r="L4697" s="1"/>
      <c r="N4697" s="1"/>
      <c r="V4697" t="str">
        <f>"83320"</f>
        <v>83320</v>
      </c>
      <c r="W4697">
        <v>0</v>
      </c>
      <c r="X4697">
        <v>29.4</v>
      </c>
    </row>
    <row r="4698" spans="1:24" ht="15" customHeight="1" x14ac:dyDescent="0.25">
      <c r="A4698" t="str">
        <f>""</f>
        <v/>
      </c>
      <c r="B4698" s="1"/>
      <c r="H4698">
        <v>70</v>
      </c>
      <c r="J4698" t="s">
        <v>23</v>
      </c>
      <c r="L4698" s="1"/>
      <c r="V4698" t="str">
        <f>"77380"</f>
        <v>77380</v>
      </c>
      <c r="W4698">
        <v>0</v>
      </c>
      <c r="X4698">
        <v>0</v>
      </c>
    </row>
    <row r="4699" spans="1:24" ht="15" customHeight="1" x14ac:dyDescent="0.25">
      <c r="A4699" t="str">
        <f>""</f>
        <v/>
      </c>
      <c r="B4699" s="1"/>
      <c r="H4699">
        <v>30</v>
      </c>
      <c r="J4699" t="s">
        <v>23</v>
      </c>
      <c r="L4699" s="1"/>
      <c r="N4699" s="1"/>
      <c r="V4699" t="str">
        <f>"67000"</f>
        <v>67000</v>
      </c>
      <c r="W4699">
        <v>0</v>
      </c>
      <c r="X4699">
        <v>2.4</v>
      </c>
    </row>
    <row r="4700" spans="1:24" ht="15" customHeight="1" x14ac:dyDescent="0.25">
      <c r="A4700" t="str">
        <f>""</f>
        <v/>
      </c>
      <c r="B4700" s="1"/>
      <c r="H4700">
        <v>35</v>
      </c>
      <c r="J4700" t="s">
        <v>23</v>
      </c>
      <c r="L4700" s="1"/>
      <c r="V4700" t="str">
        <f>"44600"</f>
        <v>44600</v>
      </c>
      <c r="W4700">
        <v>0</v>
      </c>
      <c r="X4700">
        <v>0</v>
      </c>
    </row>
    <row r="4701" spans="1:24" ht="15" customHeight="1" x14ac:dyDescent="0.25">
      <c r="A4701" t="str">
        <f>""</f>
        <v/>
      </c>
      <c r="B4701" s="1"/>
      <c r="H4701">
        <v>151</v>
      </c>
      <c r="J4701" t="s">
        <v>22</v>
      </c>
      <c r="L4701" s="1"/>
      <c r="V4701" t="str">
        <f>"69120"</f>
        <v>69120</v>
      </c>
      <c r="W4701">
        <v>0</v>
      </c>
      <c r="X4701">
        <v>0</v>
      </c>
    </row>
    <row r="4702" spans="1:24" ht="15" customHeight="1" x14ac:dyDescent="0.25">
      <c r="A4702" t="str">
        <f>""</f>
        <v/>
      </c>
      <c r="B4702" s="1"/>
      <c r="H4702">
        <v>180</v>
      </c>
      <c r="J4702" t="s">
        <v>22</v>
      </c>
      <c r="L4702" s="1"/>
      <c r="N4702" s="1"/>
      <c r="V4702" t="str">
        <f>"76140"</f>
        <v>76140</v>
      </c>
      <c r="W4702">
        <v>0</v>
      </c>
      <c r="X4702">
        <v>30.6</v>
      </c>
    </row>
    <row r="4703" spans="1:24" ht="15" customHeight="1" x14ac:dyDescent="0.25">
      <c r="A4703" t="str">
        <f>""</f>
        <v/>
      </c>
      <c r="B4703" s="1"/>
      <c r="H4703">
        <v>140</v>
      </c>
      <c r="J4703" t="s">
        <v>23</v>
      </c>
      <c r="L4703" s="1"/>
      <c r="N4703" s="1"/>
      <c r="V4703" t="str">
        <f>"88140"</f>
        <v>88140</v>
      </c>
      <c r="W4703">
        <v>0</v>
      </c>
      <c r="X4703">
        <v>11.2</v>
      </c>
    </row>
    <row r="4704" spans="1:24" x14ac:dyDescent="0.25">
      <c r="A4704" t="str">
        <f>""</f>
        <v/>
      </c>
      <c r="B4704" s="1"/>
      <c r="H4704">
        <v>145.82</v>
      </c>
      <c r="J4704" t="s">
        <v>16</v>
      </c>
      <c r="L4704" s="1"/>
      <c r="N4704" s="1"/>
      <c r="V4704" t="str">
        <f>"14200"</f>
        <v>14200</v>
      </c>
      <c r="W4704">
        <v>0</v>
      </c>
      <c r="X4704">
        <v>27.71</v>
      </c>
    </row>
    <row r="4705" spans="1:24" ht="15" customHeight="1" x14ac:dyDescent="0.25">
      <c r="A4705" t="str">
        <f>""</f>
        <v/>
      </c>
      <c r="B4705" s="1"/>
      <c r="H4705">
        <v>124</v>
      </c>
      <c r="J4705" t="s">
        <v>22</v>
      </c>
      <c r="L4705" s="1"/>
      <c r="N4705" s="1"/>
      <c r="V4705" t="str">
        <f>"83140"</f>
        <v>83140</v>
      </c>
      <c r="W4705">
        <v>0</v>
      </c>
      <c r="X4705">
        <v>0</v>
      </c>
    </row>
    <row r="4706" spans="1:24" ht="15" customHeight="1" x14ac:dyDescent="0.25">
      <c r="A4706" t="str">
        <f>""</f>
        <v/>
      </c>
      <c r="B4706" s="1"/>
      <c r="H4706">
        <v>180</v>
      </c>
      <c r="J4706" t="s">
        <v>23</v>
      </c>
      <c r="L4706" s="1"/>
      <c r="N4706" s="1"/>
      <c r="V4706" t="str">
        <f>"33700"</f>
        <v>33700</v>
      </c>
      <c r="W4706">
        <v>0</v>
      </c>
      <c r="X4706">
        <v>30.6</v>
      </c>
    </row>
    <row r="4707" spans="1:24" ht="15" customHeight="1" x14ac:dyDescent="0.25">
      <c r="A4707" t="str">
        <f>""</f>
        <v/>
      </c>
      <c r="B4707" s="1"/>
      <c r="H4707">
        <v>151</v>
      </c>
      <c r="J4707" t="s">
        <v>22</v>
      </c>
      <c r="L4707" s="1"/>
      <c r="N4707" s="1"/>
      <c r="V4707" t="str">
        <f>"36200"</f>
        <v>36200</v>
      </c>
      <c r="W4707">
        <v>0</v>
      </c>
      <c r="X4707">
        <v>18.12</v>
      </c>
    </row>
    <row r="4708" spans="1:24" ht="15" customHeight="1" x14ac:dyDescent="0.25">
      <c r="A4708" t="str">
        <f>""</f>
        <v/>
      </c>
      <c r="B4708" s="1"/>
      <c r="H4708">
        <v>3.23</v>
      </c>
      <c r="J4708" t="s">
        <v>23</v>
      </c>
      <c r="L4708" s="1"/>
      <c r="N4708" s="1"/>
      <c r="V4708" t="str">
        <f>"37210"</f>
        <v>37210</v>
      </c>
      <c r="W4708">
        <v>0</v>
      </c>
      <c r="X4708">
        <v>0.68</v>
      </c>
    </row>
    <row r="4709" spans="1:24" ht="15" customHeight="1" x14ac:dyDescent="0.25">
      <c r="A4709" t="str">
        <f>""</f>
        <v/>
      </c>
      <c r="B4709" s="1"/>
      <c r="H4709">
        <v>66.3</v>
      </c>
      <c r="J4709" t="s">
        <v>23</v>
      </c>
      <c r="L4709" s="1"/>
      <c r="N4709" s="1"/>
      <c r="V4709" t="str">
        <f>"54200"</f>
        <v>54200</v>
      </c>
      <c r="W4709">
        <v>0</v>
      </c>
      <c r="X4709">
        <v>16.57</v>
      </c>
    </row>
    <row r="4710" spans="1:24" ht="15" customHeight="1" x14ac:dyDescent="0.25">
      <c r="A4710" t="str">
        <f>""</f>
        <v/>
      </c>
      <c r="B4710" s="1"/>
      <c r="H4710">
        <v>50.84</v>
      </c>
      <c r="J4710" t="s">
        <v>19</v>
      </c>
      <c r="L4710" s="1"/>
      <c r="N4710" s="1"/>
      <c r="V4710" t="str">
        <f>"92000"</f>
        <v>92000</v>
      </c>
      <c r="W4710">
        <v>0</v>
      </c>
      <c r="X4710">
        <v>0</v>
      </c>
    </row>
    <row r="4711" spans="1:24" ht="15" customHeight="1" x14ac:dyDescent="0.25">
      <c r="A4711" t="str">
        <f>""</f>
        <v/>
      </c>
      <c r="B4711" s="1"/>
      <c r="H4711">
        <v>90</v>
      </c>
      <c r="J4711" t="s">
        <v>22</v>
      </c>
      <c r="L4711" s="1"/>
      <c r="N4711" s="1"/>
      <c r="V4711" t="str">
        <f>"06190"</f>
        <v>06190</v>
      </c>
      <c r="W4711">
        <v>0</v>
      </c>
      <c r="X4711">
        <v>27</v>
      </c>
    </row>
    <row r="4712" spans="1:24" ht="15" customHeight="1" x14ac:dyDescent="0.25">
      <c r="A4712" t="str">
        <f>""</f>
        <v/>
      </c>
      <c r="B4712" s="1"/>
      <c r="H4712">
        <v>91.38</v>
      </c>
      <c r="J4712" t="s">
        <v>23</v>
      </c>
      <c r="L4712" s="1"/>
      <c r="V4712" t="str">
        <f>"30200"</f>
        <v>30200</v>
      </c>
      <c r="W4712">
        <v>0</v>
      </c>
      <c r="X4712">
        <v>0</v>
      </c>
    </row>
    <row r="4713" spans="1:24" ht="15" customHeight="1" x14ac:dyDescent="0.25">
      <c r="A4713" t="str">
        <f>""</f>
        <v/>
      </c>
      <c r="B4713" s="1"/>
      <c r="H4713">
        <v>160.97999999999999</v>
      </c>
      <c r="J4713" t="s">
        <v>23</v>
      </c>
      <c r="L4713" s="1"/>
      <c r="N4713" s="1"/>
      <c r="V4713" t="str">
        <f>"37600"</f>
        <v>37600</v>
      </c>
      <c r="W4713">
        <v>0</v>
      </c>
      <c r="X4713">
        <v>43.46</v>
      </c>
    </row>
    <row r="4714" spans="1:24" ht="15" customHeight="1" x14ac:dyDescent="0.25">
      <c r="A4714" t="str">
        <f>""</f>
        <v/>
      </c>
      <c r="B4714" s="1"/>
      <c r="H4714">
        <v>292.43</v>
      </c>
      <c r="J4714" t="s">
        <v>20</v>
      </c>
      <c r="L4714" s="1"/>
      <c r="N4714" s="1"/>
      <c r="V4714" t="str">
        <f>"77300"</f>
        <v>77300</v>
      </c>
      <c r="W4714">
        <v>0</v>
      </c>
      <c r="X4714">
        <v>0</v>
      </c>
    </row>
    <row r="4715" spans="1:24" ht="15" customHeight="1" x14ac:dyDescent="0.25">
      <c r="A4715" t="str">
        <f>""</f>
        <v/>
      </c>
      <c r="B4715" s="1"/>
      <c r="H4715">
        <v>76.63</v>
      </c>
      <c r="J4715" t="s">
        <v>20</v>
      </c>
      <c r="L4715" s="1"/>
      <c r="N4715" s="1"/>
      <c r="V4715" t="str">
        <f>"68500"</f>
        <v>68500</v>
      </c>
      <c r="W4715">
        <v>22.22</v>
      </c>
      <c r="X4715">
        <v>0</v>
      </c>
    </row>
    <row r="4716" spans="1:24" x14ac:dyDescent="0.25">
      <c r="A4716" t="str">
        <f>""</f>
        <v/>
      </c>
      <c r="B4716" s="1"/>
      <c r="H4716">
        <v>52.5</v>
      </c>
      <c r="J4716" t="s">
        <v>15</v>
      </c>
      <c r="L4716" s="1"/>
      <c r="N4716" s="1"/>
      <c r="V4716" t="str">
        <f>"49100"</f>
        <v>49100</v>
      </c>
      <c r="W4716">
        <v>0</v>
      </c>
      <c r="X4716">
        <v>0</v>
      </c>
    </row>
    <row r="4717" spans="1:24" x14ac:dyDescent="0.25">
      <c r="A4717" t="str">
        <f>""</f>
        <v/>
      </c>
      <c r="B4717" s="1"/>
      <c r="H4717">
        <v>52.5</v>
      </c>
      <c r="J4717" t="s">
        <v>15</v>
      </c>
      <c r="L4717" s="1"/>
      <c r="N4717" s="1"/>
      <c r="V4717" t="str">
        <f>"72000"</f>
        <v>72000</v>
      </c>
      <c r="W4717">
        <v>0</v>
      </c>
      <c r="X4717">
        <v>0</v>
      </c>
    </row>
    <row r="4718" spans="1:24" x14ac:dyDescent="0.25">
      <c r="A4718" t="str">
        <f>""</f>
        <v/>
      </c>
      <c r="B4718" s="1"/>
      <c r="H4718">
        <v>52.5</v>
      </c>
      <c r="J4718" t="s">
        <v>15</v>
      </c>
      <c r="L4718" s="1"/>
      <c r="N4718" s="1"/>
      <c r="V4718" t="str">
        <f>"69003"</f>
        <v>69003</v>
      </c>
      <c r="W4718">
        <v>0</v>
      </c>
      <c r="X4718">
        <v>0</v>
      </c>
    </row>
    <row r="4719" spans="1:24" x14ac:dyDescent="0.25">
      <c r="A4719" t="str">
        <f>""</f>
        <v/>
      </c>
      <c r="B4719" s="1"/>
      <c r="H4719">
        <v>52.5</v>
      </c>
      <c r="J4719" t="s">
        <v>15</v>
      </c>
      <c r="L4719" s="1"/>
      <c r="N4719" s="1"/>
      <c r="V4719" t="str">
        <f>"68200"</f>
        <v>68200</v>
      </c>
      <c r="W4719">
        <v>15.23</v>
      </c>
      <c r="X4719">
        <v>0</v>
      </c>
    </row>
    <row r="4720" spans="1:24" x14ac:dyDescent="0.25">
      <c r="A4720" t="str">
        <f>""</f>
        <v/>
      </c>
      <c r="B4720" s="1"/>
      <c r="H4720">
        <v>52.5</v>
      </c>
      <c r="J4720" t="s">
        <v>15</v>
      </c>
      <c r="L4720" s="1"/>
      <c r="N4720" s="1"/>
      <c r="V4720" t="str">
        <f>"06000"</f>
        <v>06000</v>
      </c>
      <c r="W4720">
        <v>0</v>
      </c>
      <c r="X4720">
        <v>0</v>
      </c>
    </row>
    <row r="4721" spans="1:24" x14ac:dyDescent="0.25">
      <c r="A4721" t="str">
        <f>""</f>
        <v/>
      </c>
      <c r="B4721" s="1"/>
      <c r="H4721">
        <v>52.5</v>
      </c>
      <c r="J4721" t="s">
        <v>15</v>
      </c>
      <c r="L4721" s="1"/>
      <c r="N4721" s="1"/>
      <c r="V4721" t="str">
        <f>"35000"</f>
        <v>35000</v>
      </c>
      <c r="W4721">
        <v>0</v>
      </c>
      <c r="X4721">
        <v>0</v>
      </c>
    </row>
    <row r="4722" spans="1:24" x14ac:dyDescent="0.25">
      <c r="A4722" t="str">
        <f>""</f>
        <v/>
      </c>
      <c r="B4722" s="1"/>
      <c r="H4722">
        <v>52.5</v>
      </c>
      <c r="J4722" t="s">
        <v>15</v>
      </c>
      <c r="L4722" s="1"/>
      <c r="N4722" s="1"/>
      <c r="V4722" t="str">
        <f>"63000"</f>
        <v>63000</v>
      </c>
      <c r="W4722">
        <v>0</v>
      </c>
      <c r="X4722">
        <v>0</v>
      </c>
    </row>
    <row r="4723" spans="1:24" ht="15" customHeight="1" x14ac:dyDescent="0.25">
      <c r="A4723" t="str">
        <f>""</f>
        <v/>
      </c>
      <c r="B4723" s="1"/>
      <c r="H4723">
        <v>140</v>
      </c>
      <c r="J4723" t="s">
        <v>23</v>
      </c>
      <c r="L4723" s="1"/>
      <c r="V4723" t="str">
        <f>"31240"</f>
        <v>31240</v>
      </c>
      <c r="W4723">
        <v>0</v>
      </c>
      <c r="X4723">
        <v>0</v>
      </c>
    </row>
    <row r="4724" spans="1:24" ht="15" customHeight="1" x14ac:dyDescent="0.25">
      <c r="A4724" t="str">
        <f>""</f>
        <v/>
      </c>
      <c r="B4724" s="1"/>
      <c r="H4724">
        <v>32</v>
      </c>
      <c r="J4724" t="s">
        <v>22</v>
      </c>
      <c r="L4724" s="1"/>
      <c r="N4724" s="1"/>
      <c r="V4724" t="str">
        <f>"93290"</f>
        <v>93290</v>
      </c>
      <c r="W4724">
        <v>0</v>
      </c>
      <c r="X4724">
        <v>0</v>
      </c>
    </row>
    <row r="4725" spans="1:24" ht="15" customHeight="1" x14ac:dyDescent="0.25">
      <c r="A4725" t="str">
        <f>""</f>
        <v/>
      </c>
      <c r="B4725" s="1"/>
      <c r="H4725">
        <v>32</v>
      </c>
      <c r="J4725" t="s">
        <v>22</v>
      </c>
      <c r="L4725" s="1"/>
      <c r="N4725" s="1"/>
      <c r="V4725" t="str">
        <f>"93290"</f>
        <v>93290</v>
      </c>
      <c r="W4725">
        <v>0</v>
      </c>
      <c r="X4725">
        <v>0</v>
      </c>
    </row>
    <row r="4726" spans="1:24" ht="15" customHeight="1" x14ac:dyDescent="0.25">
      <c r="A4726" t="str">
        <f>""</f>
        <v/>
      </c>
      <c r="B4726" s="1"/>
      <c r="H4726">
        <v>86.54</v>
      </c>
      <c r="J4726" t="s">
        <v>20</v>
      </c>
      <c r="L4726" s="1"/>
      <c r="N4726" s="1"/>
      <c r="V4726" t="str">
        <f>"56300"</f>
        <v>56300</v>
      </c>
      <c r="W4726">
        <v>23.37</v>
      </c>
      <c r="X4726">
        <v>0</v>
      </c>
    </row>
    <row r="4727" spans="1:24" ht="15" customHeight="1" x14ac:dyDescent="0.25">
      <c r="A4727" t="str">
        <f>""</f>
        <v/>
      </c>
      <c r="B4727" s="1"/>
      <c r="H4727">
        <v>19.649999999999999</v>
      </c>
      <c r="J4727" t="s">
        <v>19</v>
      </c>
      <c r="L4727" s="1"/>
      <c r="N4727" s="1"/>
      <c r="V4727" t="str">
        <f>"38110"</f>
        <v>38110</v>
      </c>
      <c r="W4727">
        <v>5.31</v>
      </c>
      <c r="X4727">
        <v>0</v>
      </c>
    </row>
    <row r="4728" spans="1:24" x14ac:dyDescent="0.25">
      <c r="A4728" t="str">
        <f>""</f>
        <v/>
      </c>
      <c r="B4728" s="1"/>
      <c r="H4728">
        <v>23.4</v>
      </c>
      <c r="J4728" t="s">
        <v>15</v>
      </c>
      <c r="L4728" s="1"/>
      <c r="N4728" s="1"/>
      <c r="V4728" t="str">
        <f>"38300"</f>
        <v>38300</v>
      </c>
      <c r="W4728">
        <v>0</v>
      </c>
      <c r="X4728">
        <v>0</v>
      </c>
    </row>
    <row r="4729" spans="1:24" x14ac:dyDescent="0.25">
      <c r="A4729" t="str">
        <f>""</f>
        <v/>
      </c>
      <c r="B4729" s="1"/>
      <c r="H4729">
        <v>181</v>
      </c>
      <c r="J4729" t="s">
        <v>15</v>
      </c>
      <c r="L4729" s="1"/>
      <c r="V4729" t="str">
        <f>"51520"</f>
        <v>51520</v>
      </c>
      <c r="W4729">
        <v>0</v>
      </c>
      <c r="X4729">
        <v>0</v>
      </c>
    </row>
    <row r="4730" spans="1:24" ht="15" customHeight="1" x14ac:dyDescent="0.25">
      <c r="A4730" t="str">
        <f>""</f>
        <v/>
      </c>
      <c r="B4730" s="1"/>
      <c r="H4730">
        <v>20</v>
      </c>
      <c r="L4730" s="1"/>
      <c r="N4730" s="1"/>
      <c r="V4730" t="str">
        <f>"77184"</f>
        <v>77184</v>
      </c>
      <c r="W4730">
        <v>0</v>
      </c>
      <c r="X4730">
        <v>0</v>
      </c>
    </row>
    <row r="4731" spans="1:24" ht="15" customHeight="1" x14ac:dyDescent="0.25">
      <c r="A4731" t="str">
        <f>""</f>
        <v/>
      </c>
      <c r="B4731" s="1"/>
      <c r="H4731">
        <v>20</v>
      </c>
      <c r="L4731" s="1"/>
      <c r="N4731" s="1"/>
      <c r="V4731" t="str">
        <f>"77184"</f>
        <v>77184</v>
      </c>
      <c r="W4731">
        <v>0</v>
      </c>
      <c r="X4731">
        <v>0</v>
      </c>
    </row>
    <row r="4732" spans="1:24" ht="15" customHeight="1" x14ac:dyDescent="0.25">
      <c r="A4732" t="str">
        <f>""</f>
        <v/>
      </c>
      <c r="B4732" s="1"/>
      <c r="H4732">
        <v>20</v>
      </c>
      <c r="L4732" s="1"/>
      <c r="N4732" s="1"/>
      <c r="V4732" t="str">
        <f>"77184"</f>
        <v>77184</v>
      </c>
      <c r="W4732">
        <v>0</v>
      </c>
      <c r="X4732">
        <v>0</v>
      </c>
    </row>
    <row r="4733" spans="1:24" ht="15" customHeight="1" x14ac:dyDescent="0.25">
      <c r="A4733" t="str">
        <f>""</f>
        <v/>
      </c>
      <c r="B4733" s="1"/>
      <c r="H4733">
        <v>180</v>
      </c>
      <c r="J4733" t="s">
        <v>23</v>
      </c>
      <c r="L4733" s="1"/>
      <c r="N4733" s="1"/>
      <c r="V4733" t="str">
        <f>"45700"</f>
        <v>45700</v>
      </c>
      <c r="W4733">
        <v>0</v>
      </c>
      <c r="X4733">
        <v>70.2</v>
      </c>
    </row>
    <row r="4734" spans="1:24" x14ac:dyDescent="0.25">
      <c r="A4734" t="str">
        <f>""</f>
        <v/>
      </c>
      <c r="B4734" s="1"/>
      <c r="H4734">
        <v>140</v>
      </c>
      <c r="J4734" t="s">
        <v>17</v>
      </c>
      <c r="L4734" s="1"/>
      <c r="N4734" s="1"/>
      <c r="V4734" t="str">
        <f>"44700"</f>
        <v>44700</v>
      </c>
      <c r="W4734">
        <v>0</v>
      </c>
      <c r="X4734">
        <v>0</v>
      </c>
    </row>
    <row r="4735" spans="1:24" ht="15" customHeight="1" x14ac:dyDescent="0.25">
      <c r="A4735" t="str">
        <f>""</f>
        <v/>
      </c>
      <c r="B4735" s="1"/>
      <c r="H4735">
        <v>136.72</v>
      </c>
      <c r="J4735" t="s">
        <v>19</v>
      </c>
      <c r="L4735" s="1"/>
      <c r="N4735" s="1"/>
      <c r="V4735" t="str">
        <f>"16340"</f>
        <v>16340</v>
      </c>
      <c r="W4735">
        <v>28.71</v>
      </c>
      <c r="X4735">
        <v>0</v>
      </c>
    </row>
    <row r="4736" spans="1:24" x14ac:dyDescent="0.25">
      <c r="A4736" t="str">
        <f>""</f>
        <v/>
      </c>
      <c r="B4736" s="1"/>
      <c r="H4736">
        <v>140</v>
      </c>
      <c r="J4736" t="s">
        <v>17</v>
      </c>
      <c r="L4736" s="1"/>
      <c r="N4736" s="1"/>
      <c r="V4736" t="str">
        <f>"51100"</f>
        <v>51100</v>
      </c>
      <c r="W4736">
        <v>0</v>
      </c>
      <c r="X4736">
        <v>0</v>
      </c>
    </row>
    <row r="4737" spans="1:24" ht="15" customHeight="1" x14ac:dyDescent="0.25">
      <c r="A4737" t="str">
        <f>""</f>
        <v/>
      </c>
      <c r="B4737" s="1"/>
      <c r="H4737">
        <v>151</v>
      </c>
      <c r="J4737" t="s">
        <v>22</v>
      </c>
      <c r="L4737" s="1"/>
      <c r="N4737" s="1"/>
      <c r="V4737" t="str">
        <f>"06560"</f>
        <v>06560</v>
      </c>
      <c r="W4737">
        <v>0</v>
      </c>
      <c r="X4737">
        <v>0</v>
      </c>
    </row>
    <row r="4738" spans="1:24" ht="15" customHeight="1" x14ac:dyDescent="0.25">
      <c r="A4738" t="str">
        <f>""</f>
        <v/>
      </c>
      <c r="B4738" s="1"/>
      <c r="H4738">
        <v>151</v>
      </c>
      <c r="J4738" t="s">
        <v>22</v>
      </c>
      <c r="L4738" s="1"/>
      <c r="N4738" s="1"/>
      <c r="V4738" t="str">
        <f>"06560"</f>
        <v>06560</v>
      </c>
      <c r="W4738">
        <v>0</v>
      </c>
      <c r="X4738">
        <v>0</v>
      </c>
    </row>
    <row r="4739" spans="1:24" x14ac:dyDescent="0.25">
      <c r="A4739" t="str">
        <f>""</f>
        <v/>
      </c>
      <c r="B4739" s="1"/>
      <c r="H4739">
        <v>52.5</v>
      </c>
      <c r="J4739" t="s">
        <v>16</v>
      </c>
      <c r="L4739" s="1"/>
      <c r="N4739" s="1"/>
      <c r="V4739" t="str">
        <f>"33700"</f>
        <v>33700</v>
      </c>
      <c r="W4739">
        <v>0</v>
      </c>
      <c r="X4739">
        <v>0</v>
      </c>
    </row>
    <row r="4740" spans="1:24" ht="15" customHeight="1" x14ac:dyDescent="0.25">
      <c r="A4740" t="str">
        <f>""</f>
        <v/>
      </c>
      <c r="B4740" s="1"/>
      <c r="H4740">
        <v>140</v>
      </c>
      <c r="J4740" t="s">
        <v>23</v>
      </c>
      <c r="L4740" s="1"/>
      <c r="N4740" s="1"/>
      <c r="V4740" t="str">
        <f>"75001"</f>
        <v>75001</v>
      </c>
      <c r="W4740">
        <v>0</v>
      </c>
      <c r="X4740">
        <v>0</v>
      </c>
    </row>
    <row r="4741" spans="1:24" ht="15" customHeight="1" x14ac:dyDescent="0.25">
      <c r="A4741" t="str">
        <f>""</f>
        <v/>
      </c>
      <c r="B4741" s="1"/>
      <c r="H4741">
        <v>55.16</v>
      </c>
      <c r="J4741" t="s">
        <v>19</v>
      </c>
      <c r="L4741" s="1"/>
      <c r="N4741" s="1"/>
      <c r="V4741" t="str">
        <f>"71380"</f>
        <v>71380</v>
      </c>
      <c r="W4741">
        <v>14.89</v>
      </c>
      <c r="X4741">
        <v>0</v>
      </c>
    </row>
    <row r="4742" spans="1:24" ht="15" customHeight="1" x14ac:dyDescent="0.25">
      <c r="A4742" t="str">
        <f>""</f>
        <v/>
      </c>
      <c r="B4742" s="1"/>
      <c r="H4742">
        <v>134.57</v>
      </c>
      <c r="J4742" t="s">
        <v>19</v>
      </c>
      <c r="L4742" s="1"/>
      <c r="N4742" s="1"/>
      <c r="V4742" t="str">
        <f>"72000"</f>
        <v>72000</v>
      </c>
      <c r="W4742">
        <v>28.26</v>
      </c>
      <c r="X4742">
        <v>0</v>
      </c>
    </row>
    <row r="4743" spans="1:24" x14ac:dyDescent="0.25">
      <c r="A4743" t="str">
        <f>""</f>
        <v/>
      </c>
      <c r="B4743" s="1"/>
      <c r="H4743">
        <v>193.63</v>
      </c>
      <c r="J4743" t="s">
        <v>17</v>
      </c>
      <c r="L4743" s="1"/>
      <c r="N4743" s="1"/>
      <c r="V4743" t="str">
        <f>"06000"</f>
        <v>06000</v>
      </c>
      <c r="W4743">
        <v>0</v>
      </c>
      <c r="X4743">
        <v>0</v>
      </c>
    </row>
    <row r="4744" spans="1:24" ht="15" customHeight="1" x14ac:dyDescent="0.25">
      <c r="A4744" t="str">
        <f>""</f>
        <v/>
      </c>
      <c r="B4744" s="1"/>
      <c r="H4744">
        <v>37.69</v>
      </c>
      <c r="L4744" s="1"/>
      <c r="N4744" s="1"/>
      <c r="V4744" t="str">
        <f>"77184"</f>
        <v>77184</v>
      </c>
      <c r="W4744">
        <v>0</v>
      </c>
      <c r="X4744">
        <v>0</v>
      </c>
    </row>
    <row r="4745" spans="1:24" ht="15" customHeight="1" x14ac:dyDescent="0.25">
      <c r="A4745" t="str">
        <f>""</f>
        <v/>
      </c>
      <c r="B4745" s="1"/>
      <c r="H4745">
        <v>201.98</v>
      </c>
      <c r="J4745" t="s">
        <v>23</v>
      </c>
      <c r="L4745" s="1"/>
      <c r="N4745" s="1"/>
      <c r="V4745" t="str">
        <f>"57070"</f>
        <v>57070</v>
      </c>
      <c r="W4745">
        <v>0</v>
      </c>
      <c r="X4745">
        <v>50.5</v>
      </c>
    </row>
    <row r="4746" spans="1:24" x14ac:dyDescent="0.25">
      <c r="A4746" t="str">
        <f>""</f>
        <v/>
      </c>
      <c r="B4746" s="1"/>
      <c r="H4746">
        <v>40</v>
      </c>
      <c r="J4746" t="s">
        <v>17</v>
      </c>
      <c r="L4746" s="1"/>
      <c r="N4746" s="1"/>
      <c r="V4746" t="str">
        <f>"71450"</f>
        <v>71450</v>
      </c>
      <c r="W4746">
        <v>0</v>
      </c>
      <c r="X4746">
        <v>0</v>
      </c>
    </row>
    <row r="4747" spans="1:24" ht="15" customHeight="1" x14ac:dyDescent="0.25">
      <c r="A4747" t="str">
        <f>""</f>
        <v/>
      </c>
      <c r="B4747" s="1"/>
      <c r="H4747">
        <v>120.29</v>
      </c>
      <c r="J4747" t="s">
        <v>20</v>
      </c>
      <c r="L4747" s="1"/>
      <c r="N4747" s="1"/>
      <c r="V4747" t="str">
        <f>"45570"</f>
        <v>45570</v>
      </c>
      <c r="W4747">
        <v>25.26</v>
      </c>
      <c r="X4747">
        <v>0</v>
      </c>
    </row>
    <row r="4748" spans="1:24" ht="15" customHeight="1" x14ac:dyDescent="0.25">
      <c r="A4748" t="str">
        <f>""</f>
        <v/>
      </c>
      <c r="B4748" s="1"/>
      <c r="H4748">
        <v>174.26</v>
      </c>
      <c r="J4748" t="s">
        <v>19</v>
      </c>
      <c r="L4748" s="1"/>
      <c r="N4748" s="1"/>
      <c r="V4748" t="str">
        <f>"75008"</f>
        <v>75008</v>
      </c>
      <c r="W4748">
        <v>0</v>
      </c>
      <c r="X4748">
        <v>0</v>
      </c>
    </row>
    <row r="4749" spans="1:24" ht="15" customHeight="1" x14ac:dyDescent="0.25">
      <c r="A4749" t="str">
        <f>""</f>
        <v/>
      </c>
      <c r="B4749" s="1"/>
      <c r="H4749">
        <v>10</v>
      </c>
      <c r="L4749" s="1"/>
      <c r="N4749" s="1"/>
      <c r="V4749" t="str">
        <f>"77184"</f>
        <v>77184</v>
      </c>
      <c r="W4749">
        <v>0</v>
      </c>
      <c r="X4749">
        <v>0</v>
      </c>
    </row>
    <row r="4750" spans="1:24" ht="15" customHeight="1" x14ac:dyDescent="0.25">
      <c r="A4750" t="str">
        <f>""</f>
        <v/>
      </c>
      <c r="B4750" s="1"/>
      <c r="H4750">
        <v>148.93</v>
      </c>
      <c r="J4750" t="s">
        <v>20</v>
      </c>
      <c r="L4750" s="1"/>
      <c r="N4750" s="1"/>
      <c r="V4750" t="str">
        <f>"75012"</f>
        <v>75012</v>
      </c>
      <c r="W4750">
        <v>0</v>
      </c>
      <c r="X4750">
        <v>0</v>
      </c>
    </row>
    <row r="4751" spans="1:24" ht="15" customHeight="1" x14ac:dyDescent="0.25">
      <c r="A4751" t="str">
        <f>""</f>
        <v/>
      </c>
      <c r="B4751" s="1"/>
      <c r="H4751">
        <v>148.93</v>
      </c>
      <c r="J4751" t="s">
        <v>20</v>
      </c>
      <c r="L4751" s="1"/>
      <c r="N4751" s="1"/>
      <c r="V4751" t="str">
        <f>"75012"</f>
        <v>75012</v>
      </c>
      <c r="W4751">
        <v>0</v>
      </c>
      <c r="X4751">
        <v>0</v>
      </c>
    </row>
    <row r="4752" spans="1:24" ht="15" customHeight="1" x14ac:dyDescent="0.25">
      <c r="A4752" t="str">
        <f>""</f>
        <v/>
      </c>
      <c r="B4752" s="1"/>
      <c r="H4752">
        <v>120.29</v>
      </c>
      <c r="J4752" t="s">
        <v>20</v>
      </c>
      <c r="L4752" s="1"/>
      <c r="N4752" s="1"/>
      <c r="V4752" t="str">
        <f>"83340"</f>
        <v>83340</v>
      </c>
      <c r="W4752">
        <v>36.090000000000003</v>
      </c>
      <c r="X4752">
        <v>0</v>
      </c>
    </row>
    <row r="4753" spans="1:24" ht="15" customHeight="1" x14ac:dyDescent="0.25">
      <c r="A4753" t="str">
        <f>""</f>
        <v/>
      </c>
      <c r="B4753" s="1"/>
      <c r="H4753">
        <v>140</v>
      </c>
      <c r="L4753" s="1"/>
      <c r="N4753" s="1"/>
      <c r="V4753" t="str">
        <f>"77184"</f>
        <v>77184</v>
      </c>
      <c r="W4753">
        <v>0</v>
      </c>
      <c r="X4753">
        <v>0</v>
      </c>
    </row>
    <row r="4754" spans="1:24" ht="15" customHeight="1" x14ac:dyDescent="0.25">
      <c r="A4754" t="str">
        <f>""</f>
        <v/>
      </c>
      <c r="B4754" s="1"/>
      <c r="H4754">
        <v>30</v>
      </c>
      <c r="J4754" t="s">
        <v>21</v>
      </c>
      <c r="L4754" s="1"/>
      <c r="N4754" s="1"/>
      <c r="V4754" t="str">
        <f>"68920"</f>
        <v>68920</v>
      </c>
      <c r="W4754">
        <v>15</v>
      </c>
      <c r="X4754">
        <v>0</v>
      </c>
    </row>
    <row r="4755" spans="1:24" ht="15" customHeight="1" x14ac:dyDescent="0.25">
      <c r="A4755" t="str">
        <f>""</f>
        <v/>
      </c>
      <c r="B4755" s="1"/>
      <c r="H4755">
        <v>20.23</v>
      </c>
      <c r="J4755" t="s">
        <v>19</v>
      </c>
      <c r="L4755" s="1"/>
      <c r="N4755" s="1"/>
      <c r="V4755" t="str">
        <f>"21160"</f>
        <v>21160</v>
      </c>
      <c r="W4755">
        <v>4.8600000000000003</v>
      </c>
      <c r="X4755">
        <v>0</v>
      </c>
    </row>
    <row r="4756" spans="1:24" ht="15" customHeight="1" x14ac:dyDescent="0.25">
      <c r="A4756" t="str">
        <f>""</f>
        <v/>
      </c>
      <c r="B4756" s="1"/>
      <c r="H4756">
        <v>49.08</v>
      </c>
      <c r="J4756" t="s">
        <v>19</v>
      </c>
      <c r="L4756" s="1"/>
      <c r="N4756" s="1"/>
      <c r="V4756" t="str">
        <f>"56920"</f>
        <v>56920</v>
      </c>
      <c r="W4756">
        <v>13.25</v>
      </c>
      <c r="X4756">
        <v>0</v>
      </c>
    </row>
    <row r="4757" spans="1:24" ht="15" customHeight="1" x14ac:dyDescent="0.25">
      <c r="A4757" t="str">
        <f>""</f>
        <v/>
      </c>
      <c r="B4757" s="1"/>
      <c r="H4757">
        <v>180</v>
      </c>
      <c r="J4757" t="s">
        <v>23</v>
      </c>
      <c r="L4757" s="1"/>
      <c r="V4757" t="str">
        <f>"59190"</f>
        <v>59190</v>
      </c>
      <c r="W4757">
        <v>0</v>
      </c>
      <c r="X4757">
        <v>0</v>
      </c>
    </row>
    <row r="4758" spans="1:24" ht="15" customHeight="1" x14ac:dyDescent="0.25">
      <c r="A4758" t="str">
        <f>""</f>
        <v/>
      </c>
      <c r="B4758" s="1"/>
      <c r="H4758">
        <v>25.6</v>
      </c>
      <c r="J4758" t="s">
        <v>22</v>
      </c>
      <c r="L4758" s="1"/>
      <c r="V4758" t="str">
        <f>"68390"</f>
        <v>68390</v>
      </c>
      <c r="W4758">
        <v>0</v>
      </c>
      <c r="X4758">
        <v>0</v>
      </c>
    </row>
    <row r="4759" spans="1:24" ht="15" customHeight="1" x14ac:dyDescent="0.25">
      <c r="A4759" t="str">
        <f>""</f>
        <v/>
      </c>
      <c r="B4759" s="1"/>
      <c r="H4759">
        <v>151</v>
      </c>
      <c r="J4759" t="s">
        <v>22</v>
      </c>
      <c r="L4759" s="1"/>
      <c r="N4759" s="1"/>
      <c r="V4759" t="str">
        <f>"75013"</f>
        <v>75013</v>
      </c>
      <c r="W4759">
        <v>0</v>
      </c>
      <c r="X4759">
        <v>0</v>
      </c>
    </row>
    <row r="4760" spans="1:24" ht="15" customHeight="1" x14ac:dyDescent="0.25">
      <c r="A4760" t="str">
        <f>""</f>
        <v/>
      </c>
      <c r="B4760" s="1"/>
      <c r="H4760">
        <v>188.52</v>
      </c>
      <c r="J4760" t="s">
        <v>22</v>
      </c>
      <c r="L4760" s="1"/>
      <c r="N4760" s="1"/>
      <c r="V4760" t="str">
        <f>"77183"</f>
        <v>77183</v>
      </c>
      <c r="W4760">
        <v>0</v>
      </c>
      <c r="X4760">
        <v>0</v>
      </c>
    </row>
    <row r="4761" spans="1:24" ht="15" customHeight="1" x14ac:dyDescent="0.25">
      <c r="A4761" t="str">
        <f>""</f>
        <v/>
      </c>
      <c r="B4761" s="1"/>
      <c r="H4761">
        <v>136.44999999999999</v>
      </c>
      <c r="J4761" t="s">
        <v>22</v>
      </c>
      <c r="L4761" s="1"/>
      <c r="N4761" s="1"/>
      <c r="V4761" t="str">
        <f>"25400"</f>
        <v>25400</v>
      </c>
      <c r="W4761">
        <v>0</v>
      </c>
      <c r="X4761">
        <v>16.37</v>
      </c>
    </row>
    <row r="4762" spans="1:24" ht="15" customHeight="1" x14ac:dyDescent="0.25">
      <c r="A4762" t="str">
        <f>""</f>
        <v/>
      </c>
      <c r="B4762" s="1"/>
      <c r="H4762">
        <v>84.5</v>
      </c>
      <c r="L4762" s="1"/>
      <c r="N4762" s="1"/>
      <c r="V4762" t="str">
        <f>"77184"</f>
        <v>77184</v>
      </c>
      <c r="W4762">
        <v>0</v>
      </c>
      <c r="X4762">
        <v>0</v>
      </c>
    </row>
    <row r="4763" spans="1:24" ht="15" customHeight="1" x14ac:dyDescent="0.25">
      <c r="A4763" t="str">
        <f>""</f>
        <v/>
      </c>
      <c r="B4763" s="1"/>
      <c r="H4763">
        <v>140</v>
      </c>
      <c r="J4763" t="s">
        <v>23</v>
      </c>
      <c r="L4763" s="1"/>
      <c r="N4763" s="1"/>
      <c r="V4763" t="str">
        <f>"36130"</f>
        <v>36130</v>
      </c>
      <c r="W4763">
        <v>0</v>
      </c>
      <c r="X4763">
        <v>16.8</v>
      </c>
    </row>
    <row r="4764" spans="1:24" ht="15" customHeight="1" x14ac:dyDescent="0.25">
      <c r="A4764" t="str">
        <f>""</f>
        <v/>
      </c>
      <c r="B4764" s="1"/>
      <c r="H4764">
        <v>17</v>
      </c>
      <c r="J4764" t="s">
        <v>22</v>
      </c>
      <c r="L4764" s="1"/>
      <c r="N4764" s="1"/>
      <c r="V4764" t="str">
        <f>"57000"</f>
        <v>57000</v>
      </c>
      <c r="W4764">
        <v>0</v>
      </c>
      <c r="X4764">
        <v>4.25</v>
      </c>
    </row>
    <row r="4765" spans="1:24" x14ac:dyDescent="0.25">
      <c r="A4765" t="str">
        <f>""</f>
        <v/>
      </c>
      <c r="B4765" s="1"/>
      <c r="H4765">
        <v>186.99</v>
      </c>
      <c r="J4765" t="s">
        <v>18</v>
      </c>
      <c r="L4765" s="1"/>
      <c r="N4765" s="1"/>
      <c r="V4765" t="str">
        <f>"57970"</f>
        <v>57970</v>
      </c>
      <c r="W4765">
        <v>0</v>
      </c>
      <c r="X4765">
        <v>0</v>
      </c>
    </row>
    <row r="4766" spans="1:24" ht="15" customHeight="1" x14ac:dyDescent="0.25">
      <c r="A4766" t="str">
        <f>""</f>
        <v/>
      </c>
      <c r="B4766" s="1"/>
      <c r="H4766">
        <v>150</v>
      </c>
      <c r="J4766" t="s">
        <v>23</v>
      </c>
      <c r="L4766" s="1"/>
      <c r="N4766" s="1"/>
      <c r="V4766" t="str">
        <f>"06600"</f>
        <v>06600</v>
      </c>
      <c r="W4766">
        <v>0</v>
      </c>
      <c r="X4766">
        <v>0</v>
      </c>
    </row>
    <row r="4767" spans="1:24" ht="15" customHeight="1" x14ac:dyDescent="0.25">
      <c r="A4767" t="str">
        <f>""</f>
        <v/>
      </c>
      <c r="B4767" s="1"/>
      <c r="H4767">
        <v>12</v>
      </c>
      <c r="J4767" t="s">
        <v>19</v>
      </c>
      <c r="L4767" s="1"/>
      <c r="N4767" s="1"/>
      <c r="V4767" t="str">
        <f>"57200"</f>
        <v>57200</v>
      </c>
      <c r="W4767">
        <v>3</v>
      </c>
      <c r="X4767">
        <v>0</v>
      </c>
    </row>
    <row r="4768" spans="1:24" ht="15" customHeight="1" x14ac:dyDescent="0.25">
      <c r="A4768" t="str">
        <f>""</f>
        <v/>
      </c>
      <c r="B4768" s="1"/>
      <c r="H4768">
        <v>189.52</v>
      </c>
      <c r="J4768" t="s">
        <v>23</v>
      </c>
      <c r="L4768" s="1"/>
      <c r="N4768" s="1"/>
      <c r="V4768" t="str">
        <f>"50890"</f>
        <v>50890</v>
      </c>
      <c r="W4768">
        <v>0</v>
      </c>
      <c r="X4768">
        <v>32.22</v>
      </c>
    </row>
    <row r="4769" spans="1:24" ht="15" customHeight="1" x14ac:dyDescent="0.25">
      <c r="A4769" t="str">
        <f>""</f>
        <v/>
      </c>
      <c r="B4769" s="1"/>
      <c r="H4769">
        <v>28.62</v>
      </c>
      <c r="J4769" t="s">
        <v>19</v>
      </c>
      <c r="L4769" s="1"/>
      <c r="N4769" s="1"/>
      <c r="V4769" t="str">
        <f>"69110"</f>
        <v>69110</v>
      </c>
      <c r="W4769">
        <v>7.73</v>
      </c>
      <c r="X4769">
        <v>0</v>
      </c>
    </row>
    <row r="4770" spans="1:24" ht="15" customHeight="1" x14ac:dyDescent="0.25">
      <c r="A4770" t="str">
        <f>""</f>
        <v/>
      </c>
      <c r="B4770" s="1"/>
      <c r="H4770">
        <v>22.8</v>
      </c>
      <c r="L4770" s="1"/>
      <c r="N4770" s="1"/>
      <c r="V4770" t="str">
        <f>"44240"</f>
        <v>44240</v>
      </c>
      <c r="W4770">
        <v>0</v>
      </c>
      <c r="X4770">
        <v>0</v>
      </c>
    </row>
    <row r="4771" spans="1:24" ht="15" customHeight="1" x14ac:dyDescent="0.25">
      <c r="A4771" t="str">
        <f>""</f>
        <v/>
      </c>
      <c r="B4771" s="1"/>
      <c r="H4771">
        <v>50</v>
      </c>
      <c r="L4771" s="1"/>
      <c r="N4771" s="1"/>
      <c r="V4771" t="str">
        <f t="shared" ref="V4771:V4777" si="16">"77184"</f>
        <v>77184</v>
      </c>
      <c r="W4771">
        <v>0</v>
      </c>
      <c r="X4771">
        <v>0</v>
      </c>
    </row>
    <row r="4772" spans="1:24" ht="15" customHeight="1" x14ac:dyDescent="0.25">
      <c r="A4772" t="str">
        <f>""</f>
        <v/>
      </c>
      <c r="B4772" s="1"/>
      <c r="H4772">
        <v>109</v>
      </c>
      <c r="L4772" s="1"/>
      <c r="N4772" s="1"/>
      <c r="V4772" t="str">
        <f t="shared" si="16"/>
        <v>77184</v>
      </c>
      <c r="W4772">
        <v>0</v>
      </c>
      <c r="X4772">
        <v>0</v>
      </c>
    </row>
    <row r="4773" spans="1:24" ht="15" customHeight="1" x14ac:dyDescent="0.25">
      <c r="A4773" t="str">
        <f>""</f>
        <v/>
      </c>
      <c r="B4773" s="1"/>
      <c r="H4773">
        <v>104</v>
      </c>
      <c r="L4773" s="1"/>
      <c r="N4773" s="1"/>
      <c r="V4773" t="str">
        <f t="shared" si="16"/>
        <v>77184</v>
      </c>
      <c r="W4773">
        <v>0</v>
      </c>
      <c r="X4773">
        <v>0</v>
      </c>
    </row>
    <row r="4774" spans="1:24" ht="15" customHeight="1" x14ac:dyDescent="0.25">
      <c r="A4774" t="str">
        <f>""</f>
        <v/>
      </c>
      <c r="B4774" s="1"/>
      <c r="H4774">
        <v>40</v>
      </c>
      <c r="L4774" s="1"/>
      <c r="N4774" s="1"/>
      <c r="V4774" t="str">
        <f t="shared" si="16"/>
        <v>77184</v>
      </c>
      <c r="W4774">
        <v>0</v>
      </c>
      <c r="X4774">
        <v>0</v>
      </c>
    </row>
    <row r="4775" spans="1:24" ht="15" customHeight="1" x14ac:dyDescent="0.25">
      <c r="A4775" t="str">
        <f>""</f>
        <v/>
      </c>
      <c r="B4775" s="1"/>
      <c r="H4775">
        <v>440</v>
      </c>
      <c r="L4775" s="1"/>
      <c r="N4775" s="1"/>
      <c r="V4775" t="str">
        <f t="shared" si="16"/>
        <v>77184</v>
      </c>
      <c r="W4775">
        <v>0</v>
      </c>
      <c r="X4775">
        <v>0</v>
      </c>
    </row>
    <row r="4776" spans="1:24" ht="15" customHeight="1" x14ac:dyDescent="0.25">
      <c r="A4776" t="str">
        <f>""</f>
        <v/>
      </c>
      <c r="B4776" s="1"/>
      <c r="H4776">
        <v>171</v>
      </c>
      <c r="L4776" s="1"/>
      <c r="N4776" s="1"/>
      <c r="V4776" t="str">
        <f t="shared" si="16"/>
        <v>77184</v>
      </c>
      <c r="W4776">
        <v>0</v>
      </c>
      <c r="X4776">
        <v>0</v>
      </c>
    </row>
    <row r="4777" spans="1:24" ht="15" customHeight="1" x14ac:dyDescent="0.25">
      <c r="A4777" t="str">
        <f>""</f>
        <v/>
      </c>
      <c r="B4777" s="1"/>
      <c r="H4777">
        <v>156</v>
      </c>
      <c r="L4777" s="1"/>
      <c r="N4777" s="1"/>
      <c r="V4777" t="str">
        <f t="shared" si="16"/>
        <v>77184</v>
      </c>
      <c r="W4777">
        <v>0</v>
      </c>
      <c r="X4777">
        <v>0</v>
      </c>
    </row>
    <row r="4778" spans="1:24" ht="15" customHeight="1" x14ac:dyDescent="0.25">
      <c r="A4778" t="str">
        <f>""</f>
        <v/>
      </c>
      <c r="B4778" s="1"/>
      <c r="H4778">
        <v>50</v>
      </c>
      <c r="J4778" t="s">
        <v>23</v>
      </c>
      <c r="L4778" s="1"/>
      <c r="N4778" s="1"/>
      <c r="V4778" t="str">
        <f>"79500"</f>
        <v>79500</v>
      </c>
      <c r="W4778">
        <v>0</v>
      </c>
      <c r="X4778">
        <v>6</v>
      </c>
    </row>
    <row r="4779" spans="1:24" ht="15" customHeight="1" x14ac:dyDescent="0.25">
      <c r="A4779" t="str">
        <f>""</f>
        <v/>
      </c>
      <c r="B4779" s="1"/>
      <c r="H4779">
        <v>108.01</v>
      </c>
      <c r="J4779" t="s">
        <v>20</v>
      </c>
      <c r="L4779" s="1"/>
      <c r="N4779" s="1"/>
      <c r="V4779" t="str">
        <f>"62138"</f>
        <v>62138</v>
      </c>
      <c r="W4779">
        <v>20.52</v>
      </c>
      <c r="X4779">
        <v>0</v>
      </c>
    </row>
    <row r="4780" spans="1:24" ht="15" customHeight="1" x14ac:dyDescent="0.25">
      <c r="A4780" t="str">
        <f>""</f>
        <v/>
      </c>
      <c r="B4780" s="1"/>
      <c r="H4780">
        <v>25.4</v>
      </c>
      <c r="J4780" t="s">
        <v>22</v>
      </c>
      <c r="L4780" s="1"/>
      <c r="N4780" s="1"/>
      <c r="V4780" t="str">
        <f>"76200"</f>
        <v>76200</v>
      </c>
      <c r="W4780">
        <v>0</v>
      </c>
      <c r="X4780">
        <v>4.32</v>
      </c>
    </row>
    <row r="4781" spans="1:24" ht="15" customHeight="1" x14ac:dyDescent="0.25">
      <c r="A4781" t="str">
        <f>""</f>
        <v/>
      </c>
      <c r="B4781" s="1"/>
      <c r="H4781">
        <v>220</v>
      </c>
      <c r="L4781" s="1"/>
      <c r="N4781" s="1"/>
      <c r="V4781" t="str">
        <f>"77184"</f>
        <v>77184</v>
      </c>
      <c r="W4781">
        <v>0</v>
      </c>
      <c r="X4781">
        <v>0</v>
      </c>
    </row>
    <row r="4782" spans="1:24" ht="15" customHeight="1" x14ac:dyDescent="0.25">
      <c r="A4782" t="str">
        <f>""</f>
        <v/>
      </c>
      <c r="B4782" s="1"/>
      <c r="H4782">
        <v>181</v>
      </c>
      <c r="L4782" s="1"/>
      <c r="N4782" s="1"/>
      <c r="V4782" t="str">
        <f>"77184"</f>
        <v>77184</v>
      </c>
      <c r="W4782">
        <v>0</v>
      </c>
      <c r="X4782">
        <v>0</v>
      </c>
    </row>
    <row r="4783" spans="1:24" ht="15" customHeight="1" x14ac:dyDescent="0.25">
      <c r="A4783" t="str">
        <f>""</f>
        <v/>
      </c>
      <c r="B4783" s="1"/>
      <c r="H4783">
        <v>22</v>
      </c>
      <c r="L4783" s="1"/>
      <c r="N4783" s="1"/>
      <c r="V4783" t="str">
        <f>"77184"</f>
        <v>77184</v>
      </c>
      <c r="W4783">
        <v>0</v>
      </c>
      <c r="X4783">
        <v>0</v>
      </c>
    </row>
    <row r="4784" spans="1:24" ht="15" customHeight="1" x14ac:dyDescent="0.25">
      <c r="A4784" t="str">
        <f>""</f>
        <v/>
      </c>
      <c r="B4784" s="1"/>
      <c r="H4784">
        <v>22</v>
      </c>
      <c r="L4784" s="1"/>
      <c r="N4784" s="1"/>
      <c r="V4784" t="str">
        <f>"77184"</f>
        <v>77184</v>
      </c>
      <c r="W4784">
        <v>0</v>
      </c>
      <c r="X4784">
        <v>0</v>
      </c>
    </row>
    <row r="4785" spans="1:24" ht="15" customHeight="1" x14ac:dyDescent="0.25">
      <c r="A4785" t="str">
        <f>""</f>
        <v/>
      </c>
      <c r="B4785" s="1"/>
      <c r="H4785">
        <v>69.5</v>
      </c>
      <c r="L4785" s="1"/>
      <c r="N4785" s="1"/>
      <c r="V4785" t="str">
        <f>"77184"</f>
        <v>77184</v>
      </c>
      <c r="W4785">
        <v>0</v>
      </c>
      <c r="X4785">
        <v>0</v>
      </c>
    </row>
    <row r="4786" spans="1:24" ht="15" customHeight="1" x14ac:dyDescent="0.25">
      <c r="A4786" t="str">
        <f>""</f>
        <v/>
      </c>
      <c r="B4786" s="1"/>
      <c r="H4786">
        <v>92</v>
      </c>
      <c r="J4786" t="s">
        <v>19</v>
      </c>
      <c r="L4786" s="1"/>
      <c r="N4786" s="1"/>
      <c r="V4786" t="str">
        <f>"06190"</f>
        <v>06190</v>
      </c>
      <c r="W4786">
        <v>27.6</v>
      </c>
      <c r="X4786">
        <v>0</v>
      </c>
    </row>
    <row r="4787" spans="1:24" ht="15" customHeight="1" x14ac:dyDescent="0.25">
      <c r="A4787" t="str">
        <f>""</f>
        <v/>
      </c>
      <c r="B4787" s="1"/>
      <c r="H4787">
        <v>181</v>
      </c>
      <c r="J4787" t="s">
        <v>22</v>
      </c>
      <c r="L4787" s="1"/>
      <c r="N4787" s="1"/>
      <c r="V4787" t="str">
        <f>"06190"</f>
        <v>06190</v>
      </c>
      <c r="W4787">
        <v>0</v>
      </c>
      <c r="X4787">
        <v>54.3</v>
      </c>
    </row>
    <row r="4788" spans="1:24" ht="15" customHeight="1" x14ac:dyDescent="0.25">
      <c r="A4788" t="str">
        <f>""</f>
        <v/>
      </c>
      <c r="B4788" s="1"/>
      <c r="H4788">
        <v>187.6</v>
      </c>
      <c r="J4788" t="s">
        <v>22</v>
      </c>
      <c r="L4788" s="1"/>
      <c r="V4788" t="str">
        <f>"49280"</f>
        <v>49280</v>
      </c>
      <c r="W4788">
        <v>0</v>
      </c>
      <c r="X4788">
        <v>0</v>
      </c>
    </row>
    <row r="4789" spans="1:24" x14ac:dyDescent="0.25">
      <c r="A4789" t="str">
        <f>""</f>
        <v/>
      </c>
      <c r="B4789" s="1"/>
      <c r="H4789">
        <v>40.799999999999997</v>
      </c>
      <c r="J4789" t="s">
        <v>16</v>
      </c>
      <c r="L4789" s="1"/>
      <c r="N4789" s="1"/>
      <c r="V4789" t="str">
        <f>"69300"</f>
        <v>69300</v>
      </c>
      <c r="W4789">
        <v>0</v>
      </c>
      <c r="X4789">
        <v>0</v>
      </c>
    </row>
    <row r="4790" spans="1:24" ht="15" customHeight="1" x14ac:dyDescent="0.25">
      <c r="A4790" t="str">
        <f>""</f>
        <v/>
      </c>
      <c r="B4790" s="1"/>
      <c r="H4790">
        <v>195.02</v>
      </c>
      <c r="J4790" t="s">
        <v>20</v>
      </c>
      <c r="L4790" s="1"/>
      <c r="N4790" s="1"/>
      <c r="V4790" t="str">
        <f>"48200"</f>
        <v>48200</v>
      </c>
      <c r="W4790">
        <v>76.06</v>
      </c>
      <c r="X4790">
        <v>0</v>
      </c>
    </row>
    <row r="4791" spans="1:24" ht="15" customHeight="1" x14ac:dyDescent="0.25">
      <c r="A4791" t="str">
        <f>""</f>
        <v/>
      </c>
      <c r="B4791" s="1"/>
      <c r="H4791">
        <v>140</v>
      </c>
      <c r="J4791" t="s">
        <v>20</v>
      </c>
      <c r="L4791" s="1"/>
      <c r="N4791" s="1"/>
      <c r="V4791" t="str">
        <f>"48000"</f>
        <v>48000</v>
      </c>
      <c r="W4791">
        <v>54.6</v>
      </c>
      <c r="X4791">
        <v>0</v>
      </c>
    </row>
    <row r="4792" spans="1:24" ht="15" customHeight="1" x14ac:dyDescent="0.25">
      <c r="A4792" t="str">
        <f>""</f>
        <v/>
      </c>
      <c r="B4792" s="1"/>
      <c r="H4792">
        <v>59.53</v>
      </c>
      <c r="J4792" t="s">
        <v>20</v>
      </c>
      <c r="L4792" s="1"/>
      <c r="N4792" s="1"/>
      <c r="V4792" t="str">
        <f>"64121"</f>
        <v>64121</v>
      </c>
      <c r="W4792">
        <v>12.5</v>
      </c>
      <c r="X4792">
        <v>0</v>
      </c>
    </row>
    <row r="4793" spans="1:24" ht="15" customHeight="1" x14ac:dyDescent="0.25">
      <c r="A4793" t="str">
        <f>""</f>
        <v/>
      </c>
      <c r="B4793" s="1"/>
      <c r="H4793">
        <v>52.52</v>
      </c>
      <c r="J4793" t="s">
        <v>20</v>
      </c>
      <c r="L4793" s="1"/>
      <c r="N4793" s="1"/>
      <c r="V4793" t="str">
        <f>"31100"</f>
        <v>31100</v>
      </c>
      <c r="W4793">
        <v>11.55</v>
      </c>
      <c r="X4793">
        <v>0</v>
      </c>
    </row>
    <row r="4794" spans="1:24" ht="15" customHeight="1" x14ac:dyDescent="0.25">
      <c r="A4794" t="str">
        <f>""</f>
        <v/>
      </c>
      <c r="B4794" s="1"/>
      <c r="H4794">
        <v>137.59</v>
      </c>
      <c r="J4794" t="s">
        <v>20</v>
      </c>
      <c r="L4794" s="1"/>
      <c r="N4794" s="1"/>
      <c r="V4794" t="str">
        <f>"75014"</f>
        <v>75014</v>
      </c>
      <c r="W4794">
        <v>0</v>
      </c>
      <c r="X4794">
        <v>0</v>
      </c>
    </row>
    <row r="4795" spans="1:24" ht="15" customHeight="1" x14ac:dyDescent="0.25">
      <c r="A4795" t="str">
        <f>""</f>
        <v/>
      </c>
      <c r="B4795" s="1"/>
      <c r="H4795">
        <v>138.12</v>
      </c>
      <c r="J4795" t="s">
        <v>20</v>
      </c>
      <c r="L4795" s="1"/>
      <c r="N4795" s="1"/>
      <c r="V4795" t="str">
        <f>"14120"</f>
        <v>14120</v>
      </c>
      <c r="W4795">
        <v>23.48</v>
      </c>
      <c r="X4795">
        <v>0</v>
      </c>
    </row>
    <row r="4796" spans="1:24" ht="15" customHeight="1" x14ac:dyDescent="0.25">
      <c r="A4796" t="str">
        <f>""</f>
        <v/>
      </c>
      <c r="B4796" s="1"/>
      <c r="H4796">
        <v>40</v>
      </c>
      <c r="J4796" t="s">
        <v>20</v>
      </c>
      <c r="L4796" s="1"/>
      <c r="N4796" s="1"/>
      <c r="V4796" t="str">
        <f>"06300"</f>
        <v>06300</v>
      </c>
      <c r="W4796">
        <v>12</v>
      </c>
      <c r="X4796">
        <v>0</v>
      </c>
    </row>
    <row r="4797" spans="1:24" ht="15" customHeight="1" x14ac:dyDescent="0.25">
      <c r="A4797" t="str">
        <f>""</f>
        <v/>
      </c>
      <c r="B4797" s="1"/>
      <c r="H4797">
        <v>127.55</v>
      </c>
      <c r="J4797" t="s">
        <v>19</v>
      </c>
      <c r="L4797" s="1"/>
      <c r="N4797" s="1"/>
      <c r="V4797" t="str">
        <f>"67000"</f>
        <v>67000</v>
      </c>
      <c r="W4797">
        <v>36.99</v>
      </c>
      <c r="X4797">
        <v>0</v>
      </c>
    </row>
    <row r="4798" spans="1:24" ht="15" customHeight="1" x14ac:dyDescent="0.25">
      <c r="A4798" t="str">
        <f>""</f>
        <v/>
      </c>
      <c r="B4798" s="1"/>
      <c r="H4798">
        <v>136.97999999999999</v>
      </c>
      <c r="J4798" t="s">
        <v>19</v>
      </c>
      <c r="L4798" s="1"/>
      <c r="N4798" s="1"/>
      <c r="V4798" t="str">
        <f>"69800"</f>
        <v>69800</v>
      </c>
      <c r="W4798">
        <v>36.979999999999997</v>
      </c>
      <c r="X4798">
        <v>0</v>
      </c>
    </row>
    <row r="4799" spans="1:24" ht="15" customHeight="1" x14ac:dyDescent="0.25">
      <c r="A4799" t="str">
        <f>""</f>
        <v/>
      </c>
      <c r="B4799" s="1"/>
      <c r="H4799">
        <v>53.38</v>
      </c>
      <c r="J4799" t="s">
        <v>20</v>
      </c>
      <c r="L4799" s="1"/>
      <c r="N4799" s="1"/>
      <c r="V4799" t="str">
        <f>"75014"</f>
        <v>75014</v>
      </c>
      <c r="W4799">
        <v>0</v>
      </c>
      <c r="X4799">
        <v>0</v>
      </c>
    </row>
    <row r="4800" spans="1:24" ht="15" customHeight="1" x14ac:dyDescent="0.25">
      <c r="A4800" t="str">
        <f>""</f>
        <v/>
      </c>
      <c r="B4800" s="1"/>
      <c r="H4800">
        <v>40</v>
      </c>
      <c r="J4800" t="s">
        <v>20</v>
      </c>
      <c r="L4800" s="1"/>
      <c r="N4800" s="1"/>
      <c r="V4800" t="str">
        <f>"78990"</f>
        <v>78990</v>
      </c>
      <c r="W4800">
        <v>0</v>
      </c>
      <c r="X4800">
        <v>0</v>
      </c>
    </row>
    <row r="4801" spans="1:24" ht="15" customHeight="1" x14ac:dyDescent="0.25">
      <c r="A4801" t="str">
        <f>""</f>
        <v/>
      </c>
      <c r="B4801" s="1"/>
      <c r="H4801">
        <v>1050</v>
      </c>
      <c r="L4801" s="1"/>
      <c r="N4801" s="1"/>
      <c r="V4801" t="str">
        <f>"77184"</f>
        <v>77184</v>
      </c>
      <c r="W4801">
        <v>0</v>
      </c>
      <c r="X4801">
        <v>0</v>
      </c>
    </row>
    <row r="4802" spans="1:24" ht="15" customHeight="1" x14ac:dyDescent="0.25">
      <c r="A4802" t="str">
        <f>""</f>
        <v/>
      </c>
      <c r="B4802" s="1"/>
      <c r="H4802">
        <v>193</v>
      </c>
      <c r="J4802" t="s">
        <v>20</v>
      </c>
      <c r="L4802" s="1"/>
      <c r="N4802" s="1"/>
      <c r="V4802" t="str">
        <f>"94150"</f>
        <v>94150</v>
      </c>
      <c r="W4802">
        <v>0</v>
      </c>
      <c r="X4802">
        <v>0</v>
      </c>
    </row>
    <row r="4803" spans="1:24" ht="15" customHeight="1" x14ac:dyDescent="0.25">
      <c r="A4803" t="str">
        <f>""</f>
        <v/>
      </c>
      <c r="B4803" s="1"/>
      <c r="H4803">
        <v>350</v>
      </c>
      <c r="J4803" t="s">
        <v>20</v>
      </c>
      <c r="L4803" s="1"/>
      <c r="N4803" s="1"/>
      <c r="V4803" t="str">
        <f>"69800"</f>
        <v>69800</v>
      </c>
      <c r="W4803">
        <v>94.5</v>
      </c>
      <c r="X4803">
        <v>0</v>
      </c>
    </row>
    <row r="4804" spans="1:24" ht="15" customHeight="1" x14ac:dyDescent="0.25">
      <c r="A4804" t="str">
        <f>""</f>
        <v/>
      </c>
      <c r="B4804" s="1"/>
      <c r="H4804">
        <v>84.5</v>
      </c>
      <c r="L4804" s="1"/>
      <c r="N4804" s="1"/>
      <c r="V4804" t="str">
        <f>"77184"</f>
        <v>77184</v>
      </c>
      <c r="W4804">
        <v>0</v>
      </c>
      <c r="X4804">
        <v>0</v>
      </c>
    </row>
    <row r="4805" spans="1:24" ht="15" customHeight="1" x14ac:dyDescent="0.25">
      <c r="A4805" t="str">
        <f>""</f>
        <v/>
      </c>
      <c r="B4805" s="1"/>
      <c r="H4805">
        <v>84.5</v>
      </c>
      <c r="L4805" s="1"/>
      <c r="N4805" s="1"/>
      <c r="V4805" t="str">
        <f>"77184"</f>
        <v>77184</v>
      </c>
      <c r="W4805">
        <v>0</v>
      </c>
      <c r="X4805">
        <v>0</v>
      </c>
    </row>
    <row r="4806" spans="1:24" ht="15" customHeight="1" x14ac:dyDescent="0.25">
      <c r="A4806" t="str">
        <f>""</f>
        <v/>
      </c>
      <c r="B4806" s="1"/>
      <c r="H4806">
        <v>84.5</v>
      </c>
      <c r="L4806" s="1"/>
      <c r="N4806" s="1"/>
      <c r="V4806" t="str">
        <f>"77184"</f>
        <v>77184</v>
      </c>
      <c r="W4806">
        <v>0</v>
      </c>
      <c r="X4806">
        <v>0</v>
      </c>
    </row>
    <row r="4807" spans="1:24" ht="15" customHeight="1" x14ac:dyDescent="0.25">
      <c r="A4807" t="str">
        <f>""</f>
        <v/>
      </c>
      <c r="B4807" s="1"/>
      <c r="H4807">
        <v>120.75</v>
      </c>
      <c r="J4807" t="s">
        <v>20</v>
      </c>
      <c r="L4807" s="1"/>
      <c r="N4807" s="1"/>
      <c r="V4807" t="str">
        <f>"63540"</f>
        <v>63540</v>
      </c>
      <c r="W4807">
        <v>35.020000000000003</v>
      </c>
      <c r="X4807">
        <v>0</v>
      </c>
    </row>
    <row r="4808" spans="1:24" ht="15" customHeight="1" x14ac:dyDescent="0.25">
      <c r="A4808" t="str">
        <f>""</f>
        <v/>
      </c>
      <c r="B4808" s="1"/>
      <c r="H4808">
        <v>19.649999999999999</v>
      </c>
      <c r="J4808" t="s">
        <v>19</v>
      </c>
      <c r="L4808" s="1"/>
      <c r="N4808" s="1"/>
      <c r="V4808" t="str">
        <f>"75014"</f>
        <v>75014</v>
      </c>
      <c r="W4808">
        <v>0</v>
      </c>
      <c r="X4808">
        <v>0</v>
      </c>
    </row>
    <row r="4809" spans="1:24" ht="15" customHeight="1" x14ac:dyDescent="0.25">
      <c r="A4809" t="str">
        <f>""</f>
        <v/>
      </c>
      <c r="B4809" s="1"/>
      <c r="H4809">
        <v>19.649999999999999</v>
      </c>
      <c r="J4809" t="s">
        <v>19</v>
      </c>
      <c r="L4809" s="1"/>
      <c r="N4809" s="1"/>
      <c r="V4809" t="str">
        <f>"75014"</f>
        <v>75014</v>
      </c>
      <c r="W4809">
        <v>0</v>
      </c>
      <c r="X4809">
        <v>0</v>
      </c>
    </row>
    <row r="4810" spans="1:24" ht="15" customHeight="1" x14ac:dyDescent="0.25">
      <c r="A4810" t="str">
        <f>""</f>
        <v/>
      </c>
      <c r="B4810" s="1"/>
      <c r="H4810">
        <v>19.649999999999999</v>
      </c>
      <c r="J4810" t="s">
        <v>19</v>
      </c>
      <c r="L4810" s="1"/>
      <c r="N4810" s="1"/>
      <c r="V4810" t="str">
        <f>"75014"</f>
        <v>75014</v>
      </c>
      <c r="W4810">
        <v>0</v>
      </c>
      <c r="X4810">
        <v>0</v>
      </c>
    </row>
    <row r="4811" spans="1:24" ht="15" customHeight="1" x14ac:dyDescent="0.25">
      <c r="A4811" t="str">
        <f>""</f>
        <v/>
      </c>
      <c r="B4811" s="1"/>
      <c r="H4811">
        <v>19.649999999999999</v>
      </c>
      <c r="J4811" t="s">
        <v>19</v>
      </c>
      <c r="L4811" s="1"/>
      <c r="N4811" s="1"/>
      <c r="V4811" t="str">
        <f>"75014"</f>
        <v>75014</v>
      </c>
      <c r="W4811">
        <v>0</v>
      </c>
      <c r="X4811">
        <v>0</v>
      </c>
    </row>
    <row r="4812" spans="1:24" ht="15" customHeight="1" x14ac:dyDescent="0.25">
      <c r="A4812" t="str">
        <f>""</f>
        <v/>
      </c>
      <c r="B4812" s="1"/>
      <c r="H4812">
        <v>86.12</v>
      </c>
      <c r="J4812" t="s">
        <v>19</v>
      </c>
      <c r="L4812" s="1"/>
      <c r="N4812" s="1"/>
      <c r="V4812" t="str">
        <f>"60180"</f>
        <v>60180</v>
      </c>
      <c r="W4812">
        <v>16.36</v>
      </c>
      <c r="X4812">
        <v>0</v>
      </c>
    </row>
    <row r="4813" spans="1:24" ht="15" customHeight="1" x14ac:dyDescent="0.25">
      <c r="A4813" t="str">
        <f>""</f>
        <v/>
      </c>
      <c r="B4813" s="1"/>
      <c r="H4813">
        <v>70</v>
      </c>
      <c r="J4813" t="s">
        <v>22</v>
      </c>
      <c r="L4813" s="1"/>
      <c r="N4813" s="1"/>
      <c r="V4813" t="str">
        <f>"62740"</f>
        <v>62740</v>
      </c>
      <c r="W4813">
        <v>0</v>
      </c>
      <c r="X4813">
        <v>0</v>
      </c>
    </row>
    <row r="4814" spans="1:24" ht="15" customHeight="1" x14ac:dyDescent="0.25">
      <c r="A4814" t="str">
        <f>""</f>
        <v/>
      </c>
      <c r="B4814" s="1"/>
      <c r="H4814">
        <v>20.23</v>
      </c>
      <c r="J4814" t="s">
        <v>20</v>
      </c>
      <c r="L4814" s="1"/>
      <c r="N4814" s="1"/>
      <c r="V4814" t="str">
        <f>"57000"</f>
        <v>57000</v>
      </c>
      <c r="W4814">
        <v>10.52</v>
      </c>
      <c r="X4814">
        <v>0</v>
      </c>
    </row>
    <row r="4815" spans="1:24" ht="15" customHeight="1" x14ac:dyDescent="0.25">
      <c r="A4815" t="str">
        <f>""</f>
        <v/>
      </c>
      <c r="B4815" s="1"/>
      <c r="H4815">
        <v>120</v>
      </c>
      <c r="L4815" s="1"/>
      <c r="N4815" s="1"/>
      <c r="V4815" t="str">
        <f>"77184"</f>
        <v>77184</v>
      </c>
      <c r="W4815">
        <v>0</v>
      </c>
      <c r="X4815">
        <v>0</v>
      </c>
    </row>
    <row r="4816" spans="1:24" ht="15" customHeight="1" x14ac:dyDescent="0.25">
      <c r="A4816" t="str">
        <f>""</f>
        <v/>
      </c>
      <c r="B4816" s="1"/>
      <c r="H4816">
        <v>139.19999999999999</v>
      </c>
      <c r="J4816" t="s">
        <v>20</v>
      </c>
      <c r="L4816" s="1"/>
      <c r="N4816" s="1"/>
      <c r="V4816" t="str">
        <f>"62600"</f>
        <v>62600</v>
      </c>
      <c r="W4816">
        <v>26.45</v>
      </c>
      <c r="X4816">
        <v>0</v>
      </c>
    </row>
    <row r="4817" spans="1:24" ht="15" customHeight="1" x14ac:dyDescent="0.25">
      <c r="A4817" t="str">
        <f>""</f>
        <v/>
      </c>
      <c r="B4817" s="1"/>
      <c r="H4817">
        <v>103.06</v>
      </c>
      <c r="J4817" t="s">
        <v>20</v>
      </c>
      <c r="L4817" s="1"/>
      <c r="N4817" s="1"/>
      <c r="V4817" t="str">
        <f>"25190"</f>
        <v>25190</v>
      </c>
      <c r="W4817">
        <v>24.73</v>
      </c>
      <c r="X4817">
        <v>0</v>
      </c>
    </row>
    <row r="4818" spans="1:24" ht="15" customHeight="1" x14ac:dyDescent="0.25">
      <c r="A4818" t="str">
        <f>""</f>
        <v/>
      </c>
      <c r="B4818" s="1"/>
      <c r="H4818">
        <v>120.29</v>
      </c>
      <c r="J4818" t="s">
        <v>20</v>
      </c>
      <c r="L4818" s="1"/>
      <c r="V4818" t="str">
        <f>"13008"</f>
        <v>13008</v>
      </c>
      <c r="W4818">
        <v>0</v>
      </c>
      <c r="X4818">
        <v>0</v>
      </c>
    </row>
    <row r="4819" spans="1:24" ht="15" customHeight="1" x14ac:dyDescent="0.25">
      <c r="A4819" t="str">
        <f>""</f>
        <v/>
      </c>
      <c r="B4819" s="1"/>
      <c r="H4819">
        <v>139.19999999999999</v>
      </c>
      <c r="J4819" t="s">
        <v>19</v>
      </c>
      <c r="L4819" s="1"/>
      <c r="N4819" s="1"/>
      <c r="V4819" t="str">
        <f>"62600"</f>
        <v>62600</v>
      </c>
      <c r="W4819">
        <v>26.45</v>
      </c>
      <c r="X4819">
        <v>0</v>
      </c>
    </row>
    <row r="4820" spans="1:24" ht="15" customHeight="1" x14ac:dyDescent="0.25">
      <c r="A4820" t="str">
        <f>""</f>
        <v/>
      </c>
      <c r="B4820" s="1"/>
      <c r="H4820">
        <v>153.76</v>
      </c>
      <c r="J4820" t="s">
        <v>19</v>
      </c>
      <c r="L4820" s="1"/>
      <c r="N4820" s="1"/>
      <c r="V4820" t="str">
        <f>"21230"</f>
        <v>21230</v>
      </c>
      <c r="W4820">
        <v>36.9</v>
      </c>
      <c r="X4820">
        <v>0</v>
      </c>
    </row>
    <row r="4821" spans="1:24" ht="15" customHeight="1" x14ac:dyDescent="0.25">
      <c r="A4821" t="str">
        <f>""</f>
        <v/>
      </c>
      <c r="B4821" s="1"/>
      <c r="H4821">
        <v>25</v>
      </c>
      <c r="J4821" t="s">
        <v>20</v>
      </c>
      <c r="L4821" s="1"/>
      <c r="N4821" s="1"/>
      <c r="V4821" t="str">
        <f>"75003"</f>
        <v>75003</v>
      </c>
      <c r="W4821">
        <v>0</v>
      </c>
      <c r="X4821">
        <v>0</v>
      </c>
    </row>
    <row r="4822" spans="1:24" ht="15" customHeight="1" x14ac:dyDescent="0.25">
      <c r="A4822" t="str">
        <f>""</f>
        <v/>
      </c>
      <c r="B4822" s="1"/>
      <c r="H4822">
        <v>132.12</v>
      </c>
      <c r="J4822" t="s">
        <v>20</v>
      </c>
      <c r="L4822" s="1"/>
      <c r="N4822" s="1"/>
      <c r="V4822" t="str">
        <f>"13100"</f>
        <v>13100</v>
      </c>
      <c r="W4822">
        <v>38.31</v>
      </c>
      <c r="X4822">
        <v>0</v>
      </c>
    </row>
    <row r="4823" spans="1:24" ht="15" customHeight="1" x14ac:dyDescent="0.25">
      <c r="A4823" t="str">
        <f>""</f>
        <v/>
      </c>
      <c r="B4823" s="1"/>
      <c r="H4823">
        <v>138.12</v>
      </c>
      <c r="J4823" t="s">
        <v>20</v>
      </c>
      <c r="L4823" s="1"/>
      <c r="N4823" s="1"/>
      <c r="V4823" t="str">
        <f>"93460"</f>
        <v>93460</v>
      </c>
      <c r="W4823">
        <v>0</v>
      </c>
      <c r="X4823">
        <v>0</v>
      </c>
    </row>
    <row r="4824" spans="1:24" ht="15" customHeight="1" x14ac:dyDescent="0.25">
      <c r="A4824" t="str">
        <f>""</f>
        <v/>
      </c>
      <c r="B4824" s="1"/>
      <c r="H4824">
        <v>202.91</v>
      </c>
      <c r="J4824" t="s">
        <v>19</v>
      </c>
      <c r="L4824" s="1"/>
      <c r="N4824" s="1"/>
      <c r="V4824" t="str">
        <f>"67600"</f>
        <v>67600</v>
      </c>
      <c r="W4824">
        <v>58.84</v>
      </c>
      <c r="X4824">
        <v>0</v>
      </c>
    </row>
    <row r="4825" spans="1:24" ht="15" customHeight="1" x14ac:dyDescent="0.25">
      <c r="A4825" t="str">
        <f>""</f>
        <v/>
      </c>
      <c r="B4825" s="1"/>
      <c r="H4825">
        <v>204</v>
      </c>
      <c r="J4825" t="s">
        <v>23</v>
      </c>
      <c r="L4825" s="1"/>
      <c r="N4825" s="1"/>
      <c r="V4825" t="str">
        <f>"24750"</f>
        <v>24750</v>
      </c>
      <c r="W4825">
        <v>0</v>
      </c>
      <c r="X4825">
        <v>42.84</v>
      </c>
    </row>
    <row r="4826" spans="1:24" ht="15" customHeight="1" x14ac:dyDescent="0.25">
      <c r="A4826" t="str">
        <f>""</f>
        <v/>
      </c>
      <c r="B4826" s="1"/>
      <c r="H4826">
        <v>137.65</v>
      </c>
      <c r="J4826" t="s">
        <v>20</v>
      </c>
      <c r="L4826" s="1"/>
      <c r="N4826" s="1"/>
      <c r="V4826" t="str">
        <f>"27160"</f>
        <v>27160</v>
      </c>
      <c r="W4826">
        <v>23.4</v>
      </c>
      <c r="X4826">
        <v>0</v>
      </c>
    </row>
    <row r="4827" spans="1:24" ht="15" customHeight="1" x14ac:dyDescent="0.25">
      <c r="A4827" t="str">
        <f>""</f>
        <v/>
      </c>
      <c r="B4827" s="1"/>
      <c r="H4827">
        <v>126.65</v>
      </c>
      <c r="J4827" t="s">
        <v>20</v>
      </c>
      <c r="L4827" s="1"/>
      <c r="N4827" s="1"/>
      <c r="V4827" t="str">
        <f>"57930"</f>
        <v>57930</v>
      </c>
      <c r="W4827">
        <v>36.729999999999997</v>
      </c>
      <c r="X4827">
        <v>0</v>
      </c>
    </row>
    <row r="4828" spans="1:24" ht="15" customHeight="1" x14ac:dyDescent="0.25">
      <c r="A4828" t="str">
        <f>""</f>
        <v/>
      </c>
      <c r="B4828" s="1"/>
      <c r="H4828">
        <v>113.62</v>
      </c>
      <c r="J4828" t="s">
        <v>20</v>
      </c>
      <c r="L4828" s="1"/>
      <c r="N4828" s="1"/>
      <c r="V4828" t="str">
        <f>"13100"</f>
        <v>13100</v>
      </c>
      <c r="W4828">
        <v>32.950000000000003</v>
      </c>
      <c r="X4828">
        <v>0</v>
      </c>
    </row>
    <row r="4829" spans="1:24" ht="15" customHeight="1" x14ac:dyDescent="0.25">
      <c r="A4829" t="str">
        <f>""</f>
        <v/>
      </c>
      <c r="B4829" s="1"/>
      <c r="H4829">
        <v>38.54</v>
      </c>
      <c r="L4829" s="1"/>
      <c r="N4829" s="1"/>
      <c r="V4829" t="str">
        <f>"77184"</f>
        <v>77184</v>
      </c>
      <c r="W4829">
        <v>0</v>
      </c>
      <c r="X4829">
        <v>0</v>
      </c>
    </row>
    <row r="4830" spans="1:24" ht="15" customHeight="1" x14ac:dyDescent="0.25">
      <c r="A4830" t="str">
        <f>""</f>
        <v/>
      </c>
      <c r="B4830" s="1"/>
      <c r="H4830">
        <v>25</v>
      </c>
      <c r="L4830" s="1"/>
      <c r="N4830" s="1"/>
      <c r="V4830" t="str">
        <f>"77184"</f>
        <v>77184</v>
      </c>
      <c r="W4830">
        <v>0</v>
      </c>
      <c r="X4830">
        <v>0</v>
      </c>
    </row>
    <row r="4831" spans="1:24" ht="15" customHeight="1" x14ac:dyDescent="0.25">
      <c r="A4831" t="str">
        <f>""</f>
        <v/>
      </c>
      <c r="B4831" s="1"/>
      <c r="H4831">
        <v>25</v>
      </c>
      <c r="L4831" s="1"/>
      <c r="N4831" s="1"/>
      <c r="V4831" t="str">
        <f>"77184"</f>
        <v>77184</v>
      </c>
      <c r="W4831">
        <v>0</v>
      </c>
      <c r="X4831">
        <v>0</v>
      </c>
    </row>
    <row r="4832" spans="1:24" ht="15" customHeight="1" x14ac:dyDescent="0.25">
      <c r="A4832" t="str">
        <f>""</f>
        <v/>
      </c>
      <c r="B4832" s="1"/>
      <c r="H4832">
        <v>22.62</v>
      </c>
      <c r="J4832" t="s">
        <v>19</v>
      </c>
      <c r="L4832" s="1"/>
      <c r="N4832" s="1"/>
      <c r="V4832" t="str">
        <f>"45000"</f>
        <v>45000</v>
      </c>
      <c r="W4832">
        <v>4.75</v>
      </c>
      <c r="X4832">
        <v>0</v>
      </c>
    </row>
    <row r="4833" spans="1:24" ht="15" customHeight="1" x14ac:dyDescent="0.25">
      <c r="A4833" t="str">
        <f>""</f>
        <v/>
      </c>
      <c r="B4833" s="1"/>
      <c r="H4833">
        <v>140</v>
      </c>
      <c r="L4833" s="1"/>
      <c r="N4833" s="1"/>
      <c r="V4833" t="str">
        <f>"77184"</f>
        <v>77184</v>
      </c>
      <c r="W4833">
        <v>0</v>
      </c>
      <c r="X4833">
        <v>0</v>
      </c>
    </row>
    <row r="4834" spans="1:24" ht="15" customHeight="1" x14ac:dyDescent="0.25">
      <c r="A4834" t="str">
        <f>""</f>
        <v/>
      </c>
      <c r="B4834" s="1"/>
      <c r="H4834">
        <v>180</v>
      </c>
      <c r="L4834" s="1"/>
      <c r="N4834" s="1"/>
      <c r="V4834" t="str">
        <f>"77184"</f>
        <v>77184</v>
      </c>
      <c r="W4834">
        <v>0</v>
      </c>
      <c r="X4834">
        <v>0</v>
      </c>
    </row>
    <row r="4835" spans="1:24" ht="15" customHeight="1" x14ac:dyDescent="0.25">
      <c r="A4835" t="str">
        <f>""</f>
        <v/>
      </c>
      <c r="B4835" s="1"/>
      <c r="H4835">
        <v>94.79</v>
      </c>
      <c r="J4835" t="s">
        <v>22</v>
      </c>
      <c r="L4835" s="1"/>
      <c r="N4835" s="1"/>
      <c r="V4835" t="str">
        <f>"62000"</f>
        <v>62000</v>
      </c>
      <c r="W4835">
        <v>0</v>
      </c>
      <c r="X4835">
        <v>0</v>
      </c>
    </row>
    <row r="4836" spans="1:24" ht="15" customHeight="1" x14ac:dyDescent="0.25">
      <c r="A4836" t="str">
        <f>""</f>
        <v/>
      </c>
      <c r="B4836" s="1"/>
      <c r="H4836">
        <v>55.36</v>
      </c>
      <c r="J4836" t="s">
        <v>19</v>
      </c>
      <c r="L4836" s="1"/>
      <c r="N4836" s="1"/>
      <c r="V4836" t="str">
        <f>"35290"</f>
        <v>35290</v>
      </c>
      <c r="W4836">
        <v>14.95</v>
      </c>
      <c r="X4836">
        <v>0</v>
      </c>
    </row>
    <row r="4837" spans="1:24" ht="15" customHeight="1" x14ac:dyDescent="0.25">
      <c r="A4837" t="str">
        <f>""</f>
        <v/>
      </c>
      <c r="B4837" s="1"/>
      <c r="H4837">
        <v>28.26</v>
      </c>
      <c r="J4837" t="s">
        <v>19</v>
      </c>
      <c r="L4837" s="1"/>
      <c r="N4837" s="1"/>
      <c r="V4837" t="str">
        <f>"77290"</f>
        <v>77290</v>
      </c>
      <c r="W4837">
        <v>0</v>
      </c>
      <c r="X4837">
        <v>0</v>
      </c>
    </row>
    <row r="4838" spans="1:24" ht="15" customHeight="1" x14ac:dyDescent="0.25">
      <c r="A4838" t="str">
        <f>""</f>
        <v/>
      </c>
      <c r="B4838" s="1"/>
      <c r="H4838">
        <v>33.35</v>
      </c>
      <c r="J4838" t="s">
        <v>19</v>
      </c>
      <c r="L4838" s="1"/>
      <c r="N4838" s="1"/>
      <c r="V4838" t="str">
        <f>"49000"</f>
        <v>49000</v>
      </c>
      <c r="W4838">
        <v>9</v>
      </c>
      <c r="X4838">
        <v>0</v>
      </c>
    </row>
    <row r="4839" spans="1:24" x14ac:dyDescent="0.25">
      <c r="A4839" t="str">
        <f>""</f>
        <v/>
      </c>
      <c r="B4839" s="1"/>
      <c r="H4839">
        <v>40</v>
      </c>
      <c r="J4839" t="s">
        <v>16</v>
      </c>
      <c r="L4839" s="1"/>
      <c r="N4839" s="1"/>
      <c r="V4839" t="str">
        <f>"85000"</f>
        <v>85000</v>
      </c>
      <c r="W4839">
        <v>0</v>
      </c>
      <c r="X4839">
        <v>0</v>
      </c>
    </row>
    <row r="4840" spans="1:24" ht="15" customHeight="1" x14ac:dyDescent="0.25">
      <c r="A4840" t="str">
        <f>""</f>
        <v/>
      </c>
      <c r="B4840" s="1"/>
      <c r="H4840">
        <v>140</v>
      </c>
      <c r="L4840" s="1"/>
      <c r="N4840" s="1"/>
      <c r="V4840" t="str">
        <f>"77184"</f>
        <v>77184</v>
      </c>
      <c r="W4840">
        <v>0</v>
      </c>
      <c r="X4840">
        <v>0</v>
      </c>
    </row>
    <row r="4841" spans="1:24" ht="15" customHeight="1" x14ac:dyDescent="0.25">
      <c r="A4841" t="str">
        <f>""</f>
        <v/>
      </c>
      <c r="B4841" s="1"/>
      <c r="H4841">
        <v>307.01</v>
      </c>
      <c r="J4841" t="s">
        <v>20</v>
      </c>
      <c r="L4841" s="1"/>
      <c r="N4841" s="1"/>
      <c r="V4841" t="str">
        <f>"51100"</f>
        <v>51100</v>
      </c>
      <c r="W4841">
        <v>76.75</v>
      </c>
      <c r="X4841">
        <v>0</v>
      </c>
    </row>
    <row r="4842" spans="1:24" ht="15" customHeight="1" x14ac:dyDescent="0.25">
      <c r="A4842" t="str">
        <f>""</f>
        <v/>
      </c>
      <c r="B4842" s="1"/>
      <c r="H4842">
        <v>37.24</v>
      </c>
      <c r="J4842" t="s">
        <v>22</v>
      </c>
      <c r="L4842" s="1"/>
      <c r="N4842" s="1"/>
      <c r="V4842" t="str">
        <f>"54000"</f>
        <v>54000</v>
      </c>
      <c r="W4842">
        <v>0</v>
      </c>
      <c r="X4842">
        <v>9.31</v>
      </c>
    </row>
    <row r="4843" spans="1:24" ht="15" customHeight="1" x14ac:dyDescent="0.25">
      <c r="A4843" t="str">
        <f>""</f>
        <v/>
      </c>
      <c r="B4843" s="1"/>
      <c r="H4843">
        <v>19.89</v>
      </c>
      <c r="J4843" t="s">
        <v>19</v>
      </c>
      <c r="L4843" s="1"/>
      <c r="N4843" s="1"/>
      <c r="V4843" t="str">
        <f>"06560"</f>
        <v>06560</v>
      </c>
      <c r="W4843">
        <v>5.97</v>
      </c>
      <c r="X4843">
        <v>0</v>
      </c>
    </row>
    <row r="4844" spans="1:24" ht="15" customHeight="1" x14ac:dyDescent="0.25">
      <c r="A4844" t="str">
        <f>""</f>
        <v/>
      </c>
      <c r="B4844" s="1"/>
      <c r="H4844">
        <v>19.89</v>
      </c>
      <c r="J4844" t="s">
        <v>19</v>
      </c>
      <c r="L4844" s="1"/>
      <c r="N4844" s="1"/>
      <c r="V4844" t="str">
        <f>"06560"</f>
        <v>06560</v>
      </c>
      <c r="W4844">
        <v>5.97</v>
      </c>
      <c r="X4844">
        <v>0</v>
      </c>
    </row>
    <row r="4845" spans="1:24" ht="15" customHeight="1" x14ac:dyDescent="0.25">
      <c r="A4845" t="str">
        <f>""</f>
        <v/>
      </c>
      <c r="B4845" s="1"/>
      <c r="H4845">
        <v>8.36</v>
      </c>
      <c r="J4845" t="s">
        <v>20</v>
      </c>
      <c r="L4845" s="1"/>
      <c r="N4845" s="1"/>
      <c r="V4845" t="str">
        <f>"30900"</f>
        <v>30900</v>
      </c>
      <c r="W4845">
        <v>3.26</v>
      </c>
      <c r="X4845">
        <v>0</v>
      </c>
    </row>
    <row r="4846" spans="1:24" ht="15" customHeight="1" x14ac:dyDescent="0.25">
      <c r="A4846" t="str">
        <f>""</f>
        <v/>
      </c>
      <c r="B4846" s="1"/>
      <c r="H4846">
        <v>185.14</v>
      </c>
      <c r="J4846" t="s">
        <v>19</v>
      </c>
      <c r="L4846" s="1"/>
      <c r="N4846" s="1"/>
      <c r="V4846" t="str">
        <f>"80400"</f>
        <v>80400</v>
      </c>
      <c r="W4846">
        <v>35.18</v>
      </c>
      <c r="X4846">
        <v>0</v>
      </c>
    </row>
    <row r="4847" spans="1:24" ht="15" customHeight="1" x14ac:dyDescent="0.25">
      <c r="A4847" t="str">
        <f>""</f>
        <v/>
      </c>
      <c r="B4847" s="1"/>
      <c r="H4847">
        <v>18.350000000000001</v>
      </c>
      <c r="J4847" t="s">
        <v>20</v>
      </c>
      <c r="L4847" s="1"/>
      <c r="N4847" s="1"/>
      <c r="V4847" t="str">
        <f>"13009"</f>
        <v>13009</v>
      </c>
      <c r="W4847">
        <v>5.32</v>
      </c>
      <c r="X4847">
        <v>0</v>
      </c>
    </row>
    <row r="4848" spans="1:24" ht="15" customHeight="1" x14ac:dyDescent="0.25">
      <c r="A4848" t="str">
        <f>""</f>
        <v/>
      </c>
      <c r="B4848" s="1"/>
      <c r="H4848">
        <v>40</v>
      </c>
      <c r="J4848" t="s">
        <v>22</v>
      </c>
      <c r="L4848" s="1"/>
      <c r="N4848" s="1"/>
      <c r="V4848" t="str">
        <f>"68520"</f>
        <v>68520</v>
      </c>
      <c r="W4848">
        <v>0</v>
      </c>
      <c r="X4848">
        <v>3.2</v>
      </c>
    </row>
    <row r="4849" spans="1:24" x14ac:dyDescent="0.25">
      <c r="A4849" t="str">
        <f>""</f>
        <v/>
      </c>
      <c r="B4849" s="1"/>
      <c r="H4849">
        <v>40</v>
      </c>
      <c r="J4849" t="s">
        <v>15</v>
      </c>
      <c r="L4849" s="1"/>
      <c r="N4849" s="1"/>
      <c r="V4849" t="str">
        <f>"75116"</f>
        <v>75116</v>
      </c>
      <c r="W4849">
        <v>0</v>
      </c>
      <c r="X4849">
        <v>0</v>
      </c>
    </row>
    <row r="4850" spans="1:24" x14ac:dyDescent="0.25">
      <c r="A4850" t="str">
        <f>""</f>
        <v/>
      </c>
      <c r="B4850" s="1"/>
      <c r="H4850">
        <v>180.86</v>
      </c>
      <c r="J4850" t="s">
        <v>15</v>
      </c>
      <c r="L4850" s="1"/>
      <c r="N4850" s="1"/>
      <c r="V4850" t="str">
        <f>"75116"</f>
        <v>75116</v>
      </c>
      <c r="W4850">
        <v>0</v>
      </c>
      <c r="X4850">
        <v>0</v>
      </c>
    </row>
    <row r="4851" spans="1:24" ht="15" customHeight="1" x14ac:dyDescent="0.25">
      <c r="A4851" t="str">
        <f>""</f>
        <v/>
      </c>
      <c r="B4851" s="1"/>
      <c r="H4851">
        <v>131.18</v>
      </c>
      <c r="J4851" t="s">
        <v>20</v>
      </c>
      <c r="L4851" s="1"/>
      <c r="N4851" s="1"/>
      <c r="V4851" t="str">
        <f>"57200"</f>
        <v>57200</v>
      </c>
      <c r="W4851">
        <v>32.799999999999997</v>
      </c>
      <c r="X4851">
        <v>0</v>
      </c>
    </row>
    <row r="4852" spans="1:24" ht="15" customHeight="1" x14ac:dyDescent="0.25">
      <c r="A4852" t="str">
        <f>""</f>
        <v/>
      </c>
      <c r="B4852" s="1"/>
      <c r="H4852">
        <v>19.649999999999999</v>
      </c>
      <c r="J4852" t="s">
        <v>20</v>
      </c>
      <c r="L4852" s="1"/>
      <c r="N4852" s="1"/>
      <c r="V4852" t="str">
        <f>"38690"</f>
        <v>38690</v>
      </c>
      <c r="W4852">
        <v>5.31</v>
      </c>
      <c r="X4852">
        <v>0</v>
      </c>
    </row>
    <row r="4853" spans="1:24" ht="15" customHeight="1" x14ac:dyDescent="0.25">
      <c r="A4853" t="str">
        <f>""</f>
        <v/>
      </c>
      <c r="B4853" s="1"/>
      <c r="H4853">
        <v>141.72</v>
      </c>
      <c r="J4853" t="s">
        <v>20</v>
      </c>
      <c r="L4853" s="1"/>
      <c r="N4853" s="1"/>
      <c r="V4853" t="str">
        <f>"75007"</f>
        <v>75007</v>
      </c>
      <c r="W4853">
        <v>0</v>
      </c>
      <c r="X4853">
        <v>0</v>
      </c>
    </row>
    <row r="4854" spans="1:24" ht="15" customHeight="1" x14ac:dyDescent="0.25">
      <c r="A4854" t="str">
        <f>""</f>
        <v/>
      </c>
      <c r="B4854" s="1"/>
      <c r="H4854">
        <v>18.350000000000001</v>
      </c>
      <c r="J4854" t="s">
        <v>20</v>
      </c>
      <c r="L4854" s="1"/>
      <c r="N4854" s="1"/>
      <c r="V4854" t="str">
        <f>"43770"</f>
        <v>43770</v>
      </c>
      <c r="W4854">
        <v>5.32</v>
      </c>
      <c r="X4854">
        <v>0</v>
      </c>
    </row>
    <row r="4855" spans="1:24" ht="15" customHeight="1" x14ac:dyDescent="0.25">
      <c r="A4855" t="str">
        <f>""</f>
        <v/>
      </c>
      <c r="B4855" s="1"/>
      <c r="H4855">
        <v>25</v>
      </c>
      <c r="J4855" t="s">
        <v>22</v>
      </c>
      <c r="L4855" s="1"/>
      <c r="N4855" s="1"/>
      <c r="V4855" t="str">
        <f>"75010"</f>
        <v>75010</v>
      </c>
      <c r="W4855">
        <v>0</v>
      </c>
      <c r="X4855">
        <v>0</v>
      </c>
    </row>
    <row r="4856" spans="1:24" ht="15" customHeight="1" x14ac:dyDescent="0.25">
      <c r="A4856" t="str">
        <f>""</f>
        <v/>
      </c>
      <c r="B4856" s="1"/>
      <c r="H4856">
        <v>299</v>
      </c>
      <c r="J4856" t="s">
        <v>22</v>
      </c>
      <c r="L4856" s="1"/>
      <c r="N4856" s="1"/>
      <c r="V4856" t="str">
        <f>"27400"</f>
        <v>27400</v>
      </c>
      <c r="W4856">
        <v>0</v>
      </c>
      <c r="X4856">
        <v>50.83</v>
      </c>
    </row>
    <row r="4857" spans="1:24" ht="15" customHeight="1" x14ac:dyDescent="0.25">
      <c r="A4857" t="str">
        <f>""</f>
        <v/>
      </c>
      <c r="B4857" s="1"/>
      <c r="H4857">
        <v>100.42</v>
      </c>
      <c r="J4857" t="s">
        <v>20</v>
      </c>
      <c r="L4857" s="1"/>
      <c r="N4857" s="1"/>
      <c r="V4857" t="str">
        <f>"19100"</f>
        <v>19100</v>
      </c>
      <c r="W4857">
        <v>29.12</v>
      </c>
      <c r="X4857">
        <v>0</v>
      </c>
    </row>
    <row r="4858" spans="1:24" ht="15" customHeight="1" x14ac:dyDescent="0.25">
      <c r="A4858" t="str">
        <f>""</f>
        <v/>
      </c>
      <c r="B4858" s="1"/>
      <c r="H4858">
        <v>100.42</v>
      </c>
      <c r="J4858" t="s">
        <v>20</v>
      </c>
      <c r="L4858" s="1"/>
      <c r="N4858" s="1"/>
      <c r="V4858" t="str">
        <f>"19100"</f>
        <v>19100</v>
      </c>
      <c r="W4858">
        <v>29.12</v>
      </c>
      <c r="X4858">
        <v>0</v>
      </c>
    </row>
    <row r="4859" spans="1:24" ht="15" customHeight="1" x14ac:dyDescent="0.25">
      <c r="A4859" t="str">
        <f>""</f>
        <v/>
      </c>
      <c r="B4859" s="1"/>
      <c r="H4859">
        <v>70</v>
      </c>
      <c r="J4859" t="s">
        <v>20</v>
      </c>
      <c r="L4859" s="1"/>
      <c r="N4859" s="1"/>
      <c r="V4859" t="str">
        <f>"62580"</f>
        <v>62580</v>
      </c>
      <c r="W4859">
        <v>13.3</v>
      </c>
      <c r="X4859">
        <v>0</v>
      </c>
    </row>
    <row r="4860" spans="1:24" ht="15" customHeight="1" x14ac:dyDescent="0.25">
      <c r="A4860" t="str">
        <f>""</f>
        <v/>
      </c>
      <c r="B4860" s="1"/>
      <c r="H4860">
        <v>100.42</v>
      </c>
      <c r="J4860" t="s">
        <v>20</v>
      </c>
      <c r="L4860" s="1"/>
      <c r="N4860" s="1"/>
      <c r="V4860" t="str">
        <f>"19100"</f>
        <v>19100</v>
      </c>
      <c r="W4860">
        <v>29.12</v>
      </c>
      <c r="X4860">
        <v>0</v>
      </c>
    </row>
    <row r="4861" spans="1:24" ht="15" customHeight="1" x14ac:dyDescent="0.25">
      <c r="A4861" t="str">
        <f>""</f>
        <v/>
      </c>
      <c r="B4861" s="1"/>
      <c r="H4861">
        <v>137.01</v>
      </c>
      <c r="J4861" t="s">
        <v>20</v>
      </c>
      <c r="L4861" s="1"/>
      <c r="N4861" s="1"/>
      <c r="V4861" t="str">
        <f>"35513"</f>
        <v>35513</v>
      </c>
      <c r="W4861">
        <v>36.99</v>
      </c>
      <c r="X4861">
        <v>0</v>
      </c>
    </row>
    <row r="4862" spans="1:24" ht="15" customHeight="1" x14ac:dyDescent="0.25">
      <c r="A4862" t="str">
        <f>""</f>
        <v/>
      </c>
      <c r="B4862" s="1"/>
      <c r="H4862">
        <v>185.4</v>
      </c>
      <c r="J4862" t="s">
        <v>22</v>
      </c>
      <c r="L4862" s="1"/>
      <c r="N4862" s="1"/>
      <c r="V4862" t="str">
        <f>"59260"</f>
        <v>59260</v>
      </c>
      <c r="W4862">
        <v>0</v>
      </c>
      <c r="X4862">
        <v>0</v>
      </c>
    </row>
    <row r="4863" spans="1:24" ht="15" customHeight="1" x14ac:dyDescent="0.25">
      <c r="A4863" t="str">
        <f>""</f>
        <v/>
      </c>
      <c r="B4863" s="1"/>
      <c r="H4863">
        <v>141.65</v>
      </c>
      <c r="J4863" t="s">
        <v>20</v>
      </c>
      <c r="L4863" s="1"/>
      <c r="N4863" s="1"/>
      <c r="V4863" t="str">
        <f>"29120"</f>
        <v>29120</v>
      </c>
      <c r="W4863">
        <v>55.24</v>
      </c>
      <c r="X4863">
        <v>0</v>
      </c>
    </row>
    <row r="4864" spans="1:24" ht="15" customHeight="1" x14ac:dyDescent="0.25">
      <c r="A4864" t="str">
        <f>""</f>
        <v/>
      </c>
      <c r="B4864" s="1"/>
      <c r="H4864">
        <v>40</v>
      </c>
      <c r="J4864" t="s">
        <v>19</v>
      </c>
      <c r="L4864" s="1"/>
      <c r="N4864" s="1"/>
      <c r="V4864" t="str">
        <f>"59230"</f>
        <v>59230</v>
      </c>
      <c r="W4864">
        <v>7.6</v>
      </c>
      <c r="X4864">
        <v>0</v>
      </c>
    </row>
    <row r="4865" spans="1:24" ht="15" customHeight="1" x14ac:dyDescent="0.25">
      <c r="A4865" t="str">
        <f>""</f>
        <v/>
      </c>
      <c r="B4865" s="1"/>
      <c r="H4865">
        <v>126.65</v>
      </c>
      <c r="J4865" t="s">
        <v>19</v>
      </c>
      <c r="L4865" s="1"/>
      <c r="N4865" s="1"/>
      <c r="V4865" t="str">
        <f>"35000"</f>
        <v>35000</v>
      </c>
      <c r="W4865">
        <v>34.200000000000003</v>
      </c>
      <c r="X4865">
        <v>0</v>
      </c>
    </row>
    <row r="4866" spans="1:24" ht="15" customHeight="1" x14ac:dyDescent="0.25">
      <c r="A4866" t="str">
        <f>""</f>
        <v/>
      </c>
      <c r="B4866" s="1"/>
      <c r="H4866">
        <v>25.8</v>
      </c>
      <c r="J4866" t="s">
        <v>20</v>
      </c>
      <c r="L4866" s="1"/>
      <c r="N4866" s="1"/>
      <c r="V4866" t="str">
        <f>"60300"</f>
        <v>60300</v>
      </c>
      <c r="W4866">
        <v>4.9000000000000004</v>
      </c>
      <c r="X4866">
        <v>0</v>
      </c>
    </row>
    <row r="4867" spans="1:24" ht="15" customHeight="1" x14ac:dyDescent="0.25">
      <c r="A4867" t="str">
        <f>""</f>
        <v/>
      </c>
      <c r="B4867" s="1"/>
      <c r="H4867">
        <v>19.8</v>
      </c>
      <c r="J4867" t="s">
        <v>20</v>
      </c>
      <c r="L4867" s="1"/>
      <c r="N4867" s="1"/>
      <c r="V4867" t="str">
        <f>"69800"</f>
        <v>69800</v>
      </c>
      <c r="W4867">
        <v>5.35</v>
      </c>
      <c r="X4867">
        <v>0</v>
      </c>
    </row>
    <row r="4868" spans="1:24" ht="15" customHeight="1" x14ac:dyDescent="0.25">
      <c r="A4868" t="str">
        <f>""</f>
        <v/>
      </c>
      <c r="B4868" s="1"/>
      <c r="H4868">
        <v>20.03</v>
      </c>
      <c r="J4868" t="s">
        <v>20</v>
      </c>
      <c r="L4868" s="1"/>
      <c r="N4868" s="1"/>
      <c r="V4868" t="str">
        <f>"67100"</f>
        <v>67100</v>
      </c>
      <c r="W4868">
        <v>5.81</v>
      </c>
      <c r="X4868">
        <v>0</v>
      </c>
    </row>
    <row r="4869" spans="1:24" ht="15" customHeight="1" x14ac:dyDescent="0.25">
      <c r="A4869" t="str">
        <f>""</f>
        <v/>
      </c>
      <c r="B4869" s="1"/>
      <c r="H4869">
        <v>151</v>
      </c>
      <c r="J4869" t="s">
        <v>23</v>
      </c>
      <c r="L4869" s="1"/>
      <c r="N4869" s="1"/>
      <c r="V4869" t="str">
        <f>"69005"</f>
        <v>69005</v>
      </c>
      <c r="W4869">
        <v>0</v>
      </c>
      <c r="X4869">
        <v>0</v>
      </c>
    </row>
    <row r="4870" spans="1:24" ht="15" customHeight="1" x14ac:dyDescent="0.25">
      <c r="A4870" t="str">
        <f>""</f>
        <v/>
      </c>
      <c r="B4870" s="1"/>
      <c r="H4870">
        <v>158.6</v>
      </c>
      <c r="J4870" t="s">
        <v>20</v>
      </c>
      <c r="L4870" s="1"/>
      <c r="N4870" s="1"/>
      <c r="V4870" t="str">
        <f>"85000"</f>
        <v>85000</v>
      </c>
      <c r="W4870">
        <v>42.82</v>
      </c>
      <c r="X4870">
        <v>0</v>
      </c>
    </row>
    <row r="4871" spans="1:24" ht="15" customHeight="1" x14ac:dyDescent="0.25">
      <c r="A4871" t="str">
        <f>""</f>
        <v/>
      </c>
      <c r="B4871" s="1"/>
      <c r="H4871">
        <v>136.65</v>
      </c>
      <c r="J4871" t="s">
        <v>20</v>
      </c>
      <c r="L4871" s="1"/>
      <c r="N4871" s="1"/>
      <c r="V4871" t="str">
        <f>"29490"</f>
        <v>29490</v>
      </c>
      <c r="W4871">
        <v>53.29</v>
      </c>
      <c r="X4871">
        <v>0</v>
      </c>
    </row>
    <row r="4872" spans="1:24" ht="15" customHeight="1" x14ac:dyDescent="0.25">
      <c r="A4872" t="str">
        <f>""</f>
        <v/>
      </c>
      <c r="B4872" s="1"/>
      <c r="H4872">
        <v>40</v>
      </c>
      <c r="J4872" t="s">
        <v>20</v>
      </c>
      <c r="L4872" s="1"/>
      <c r="N4872" s="1"/>
      <c r="V4872" t="str">
        <f>"28000"</f>
        <v>28000</v>
      </c>
      <c r="W4872">
        <v>8.4</v>
      </c>
      <c r="X4872">
        <v>0</v>
      </c>
    </row>
    <row r="4873" spans="1:24" ht="15" customHeight="1" x14ac:dyDescent="0.25">
      <c r="A4873" t="str">
        <f>""</f>
        <v/>
      </c>
      <c r="B4873" s="1"/>
      <c r="H4873">
        <v>20</v>
      </c>
      <c r="J4873" t="s">
        <v>22</v>
      </c>
      <c r="L4873" s="1"/>
      <c r="N4873" s="1"/>
      <c r="V4873" t="str">
        <f>"68270"</f>
        <v>68270</v>
      </c>
      <c r="W4873">
        <v>0</v>
      </c>
      <c r="X4873">
        <v>1.6</v>
      </c>
    </row>
    <row r="4874" spans="1:24" ht="15" customHeight="1" x14ac:dyDescent="0.25">
      <c r="A4874" t="str">
        <f>""</f>
        <v/>
      </c>
      <c r="B4874" s="1"/>
      <c r="H4874">
        <v>33.35</v>
      </c>
      <c r="J4874" t="s">
        <v>19</v>
      </c>
      <c r="L4874" s="1"/>
      <c r="N4874" s="1"/>
      <c r="V4874" t="str">
        <f>"69005"</f>
        <v>69005</v>
      </c>
      <c r="W4874">
        <v>9</v>
      </c>
      <c r="X4874">
        <v>0</v>
      </c>
    </row>
    <row r="4875" spans="1:24" ht="15" customHeight="1" x14ac:dyDescent="0.25">
      <c r="A4875" t="str">
        <f>""</f>
        <v/>
      </c>
      <c r="B4875" s="1"/>
      <c r="H4875">
        <v>33.35</v>
      </c>
      <c r="J4875" t="s">
        <v>19</v>
      </c>
      <c r="L4875" s="1"/>
      <c r="N4875" s="1"/>
      <c r="V4875" t="str">
        <f>"69005"</f>
        <v>69005</v>
      </c>
      <c r="W4875">
        <v>9</v>
      </c>
      <c r="X4875">
        <v>0</v>
      </c>
    </row>
    <row r="4876" spans="1:24" ht="15" customHeight="1" x14ac:dyDescent="0.25">
      <c r="A4876" t="str">
        <f>""</f>
        <v/>
      </c>
      <c r="B4876" s="1"/>
      <c r="H4876">
        <v>33.35</v>
      </c>
      <c r="J4876" t="s">
        <v>19</v>
      </c>
      <c r="L4876" s="1"/>
      <c r="N4876" s="1"/>
      <c r="V4876" t="str">
        <f>"69005"</f>
        <v>69005</v>
      </c>
      <c r="W4876">
        <v>9</v>
      </c>
      <c r="X4876">
        <v>0</v>
      </c>
    </row>
    <row r="4877" spans="1:24" ht="15" customHeight="1" x14ac:dyDescent="0.25">
      <c r="A4877" t="str">
        <f>""</f>
        <v/>
      </c>
      <c r="B4877" s="1"/>
      <c r="H4877">
        <v>250</v>
      </c>
      <c r="J4877" t="s">
        <v>22</v>
      </c>
      <c r="L4877" s="1"/>
      <c r="N4877" s="1"/>
      <c r="V4877" t="str">
        <f>"59430"</f>
        <v>59430</v>
      </c>
      <c r="W4877">
        <v>0</v>
      </c>
      <c r="X4877">
        <v>0</v>
      </c>
    </row>
    <row r="4878" spans="1:24" ht="15" customHeight="1" x14ac:dyDescent="0.25">
      <c r="A4878" t="str">
        <f>""</f>
        <v/>
      </c>
      <c r="B4878" s="1"/>
      <c r="H4878">
        <v>105</v>
      </c>
      <c r="L4878" s="1"/>
      <c r="N4878" s="1"/>
      <c r="V4878" t="str">
        <f>"77184"</f>
        <v>77184</v>
      </c>
      <c r="W4878">
        <v>0</v>
      </c>
      <c r="X4878">
        <v>0</v>
      </c>
    </row>
    <row r="4879" spans="1:24" ht="15" customHeight="1" x14ac:dyDescent="0.25">
      <c r="A4879" t="str">
        <f>""</f>
        <v/>
      </c>
      <c r="B4879" s="1"/>
      <c r="H4879">
        <v>171</v>
      </c>
      <c r="L4879" s="1"/>
      <c r="N4879" s="1"/>
      <c r="V4879" t="str">
        <f>"77184"</f>
        <v>77184</v>
      </c>
      <c r="W4879">
        <v>0</v>
      </c>
      <c r="X4879">
        <v>0</v>
      </c>
    </row>
    <row r="4880" spans="1:24" ht="15" customHeight="1" x14ac:dyDescent="0.25">
      <c r="A4880" t="str">
        <f>""</f>
        <v/>
      </c>
      <c r="B4880" s="1"/>
      <c r="H4880">
        <v>123</v>
      </c>
      <c r="L4880" s="1"/>
      <c r="N4880" s="1"/>
      <c r="V4880" t="str">
        <f>"77184"</f>
        <v>77184</v>
      </c>
      <c r="W4880">
        <v>0</v>
      </c>
      <c r="X4880">
        <v>0</v>
      </c>
    </row>
    <row r="4881" spans="1:24" ht="15" customHeight="1" x14ac:dyDescent="0.25">
      <c r="A4881" t="str">
        <f>""</f>
        <v/>
      </c>
      <c r="B4881" s="1"/>
      <c r="H4881">
        <v>107</v>
      </c>
      <c r="L4881" s="1"/>
      <c r="N4881" s="1"/>
      <c r="V4881" t="str">
        <f>"77184"</f>
        <v>77184</v>
      </c>
      <c r="W4881">
        <v>0</v>
      </c>
      <c r="X4881">
        <v>0</v>
      </c>
    </row>
    <row r="4882" spans="1:24" ht="15" customHeight="1" x14ac:dyDescent="0.25">
      <c r="A4882" t="str">
        <f>""</f>
        <v/>
      </c>
      <c r="B4882" s="1"/>
      <c r="H4882">
        <v>3.23</v>
      </c>
      <c r="J4882" t="s">
        <v>19</v>
      </c>
      <c r="L4882" s="1"/>
      <c r="N4882" s="1"/>
      <c r="V4882" t="str">
        <f>"13103"</f>
        <v>13103</v>
      </c>
      <c r="W4882">
        <v>0.94</v>
      </c>
      <c r="X4882">
        <v>0</v>
      </c>
    </row>
    <row r="4883" spans="1:24" ht="15" customHeight="1" x14ac:dyDescent="0.25">
      <c r="A4883" t="str">
        <f>""</f>
        <v/>
      </c>
      <c r="B4883" s="1"/>
      <c r="H4883">
        <v>33.35</v>
      </c>
      <c r="J4883" t="s">
        <v>19</v>
      </c>
      <c r="L4883" s="1"/>
      <c r="N4883" s="1"/>
      <c r="V4883" t="str">
        <f>"94150"</f>
        <v>94150</v>
      </c>
      <c r="W4883">
        <v>0</v>
      </c>
      <c r="X4883">
        <v>0</v>
      </c>
    </row>
    <row r="4884" spans="1:24" ht="15" customHeight="1" x14ac:dyDescent="0.25">
      <c r="A4884" t="str">
        <f>""</f>
        <v/>
      </c>
      <c r="B4884" s="1"/>
      <c r="J4884" t="s">
        <v>20</v>
      </c>
      <c r="L4884" s="1"/>
      <c r="N4884" s="1"/>
      <c r="V4884" t="str">
        <f>"75008"</f>
        <v>75008</v>
      </c>
      <c r="W4884">
        <v>0</v>
      </c>
      <c r="X4884">
        <v>0</v>
      </c>
    </row>
    <row r="4885" spans="1:24" ht="15" customHeight="1" x14ac:dyDescent="0.25">
      <c r="A4885" t="str">
        <f>""</f>
        <v/>
      </c>
      <c r="B4885" s="1"/>
      <c r="H4885">
        <v>151</v>
      </c>
      <c r="J4885" t="s">
        <v>22</v>
      </c>
      <c r="L4885" s="1"/>
      <c r="N4885" s="1"/>
      <c r="V4885" t="str">
        <f>"13290"</f>
        <v>13290</v>
      </c>
      <c r="W4885">
        <v>0</v>
      </c>
      <c r="X4885">
        <v>0</v>
      </c>
    </row>
    <row r="4886" spans="1:24" x14ac:dyDescent="0.25">
      <c r="A4886" t="str">
        <f>""</f>
        <v/>
      </c>
      <c r="B4886" s="1"/>
      <c r="H4886">
        <v>151</v>
      </c>
      <c r="J4886" t="s">
        <v>16</v>
      </c>
      <c r="L4886" s="1"/>
      <c r="N4886" s="1"/>
      <c r="V4886" t="str">
        <f>"76136"</f>
        <v>76136</v>
      </c>
      <c r="W4886">
        <v>25.67</v>
      </c>
      <c r="X4886">
        <v>0</v>
      </c>
    </row>
    <row r="4887" spans="1:24" ht="15" customHeight="1" x14ac:dyDescent="0.25">
      <c r="A4887" t="str">
        <f>""</f>
        <v/>
      </c>
      <c r="B4887" s="1"/>
      <c r="H4887">
        <v>205</v>
      </c>
      <c r="J4887" t="s">
        <v>22</v>
      </c>
      <c r="L4887" s="1"/>
      <c r="N4887" s="1"/>
      <c r="V4887" t="str">
        <f>"69006"</f>
        <v>69006</v>
      </c>
      <c r="W4887">
        <v>0</v>
      </c>
      <c r="X4887">
        <v>0</v>
      </c>
    </row>
    <row r="4888" spans="1:24" ht="15" customHeight="1" x14ac:dyDescent="0.25">
      <c r="A4888" t="str">
        <f>""</f>
        <v/>
      </c>
      <c r="B4888" s="1"/>
      <c r="H4888">
        <v>30</v>
      </c>
      <c r="J4888" t="s">
        <v>20</v>
      </c>
      <c r="L4888" s="1"/>
      <c r="N4888" s="1"/>
      <c r="V4888" t="str">
        <f>"93420"</f>
        <v>93420</v>
      </c>
      <c r="W4888">
        <v>0</v>
      </c>
      <c r="X4888">
        <v>0</v>
      </c>
    </row>
    <row r="4889" spans="1:24" ht="15" customHeight="1" x14ac:dyDescent="0.25">
      <c r="A4889" t="str">
        <f>""</f>
        <v/>
      </c>
      <c r="B4889" s="1"/>
      <c r="H4889">
        <v>140</v>
      </c>
      <c r="J4889" t="s">
        <v>19</v>
      </c>
      <c r="L4889" s="1"/>
      <c r="N4889" s="1"/>
      <c r="V4889" t="str">
        <f>"80480"</f>
        <v>80480</v>
      </c>
      <c r="W4889">
        <v>26.6</v>
      </c>
      <c r="X4889">
        <v>0</v>
      </c>
    </row>
    <row r="4890" spans="1:24" ht="15" customHeight="1" x14ac:dyDescent="0.25">
      <c r="A4890" t="str">
        <f>""</f>
        <v/>
      </c>
      <c r="B4890" s="1"/>
      <c r="H4890">
        <v>23.12</v>
      </c>
      <c r="J4890" t="s">
        <v>20</v>
      </c>
      <c r="L4890" s="1"/>
      <c r="N4890" s="1"/>
      <c r="V4890" t="str">
        <f>"75013"</f>
        <v>75013</v>
      </c>
      <c r="W4890">
        <v>0</v>
      </c>
      <c r="X4890">
        <v>0</v>
      </c>
    </row>
    <row r="4891" spans="1:24" ht="15" customHeight="1" x14ac:dyDescent="0.25">
      <c r="A4891" t="str">
        <f>""</f>
        <v/>
      </c>
      <c r="B4891" s="1"/>
      <c r="H4891">
        <v>22.8</v>
      </c>
      <c r="J4891" t="s">
        <v>22</v>
      </c>
      <c r="L4891" s="1"/>
      <c r="N4891" s="1"/>
      <c r="V4891" t="str">
        <f>"92350"</f>
        <v>92350</v>
      </c>
      <c r="W4891">
        <v>0</v>
      </c>
      <c r="X4891">
        <v>0</v>
      </c>
    </row>
    <row r="4892" spans="1:24" ht="15" customHeight="1" x14ac:dyDescent="0.25">
      <c r="A4892" t="str">
        <f>""</f>
        <v/>
      </c>
      <c r="B4892" s="1"/>
      <c r="H4892">
        <v>151</v>
      </c>
      <c r="J4892" t="s">
        <v>22</v>
      </c>
      <c r="L4892" s="1"/>
      <c r="N4892" s="1"/>
      <c r="V4892" t="str">
        <f>"77600"</f>
        <v>77600</v>
      </c>
      <c r="W4892">
        <v>0</v>
      </c>
      <c r="X4892">
        <v>0</v>
      </c>
    </row>
    <row r="4893" spans="1:24" ht="15" customHeight="1" x14ac:dyDescent="0.25">
      <c r="A4893" t="str">
        <f>""</f>
        <v/>
      </c>
      <c r="B4893" s="1"/>
      <c r="H4893">
        <v>140</v>
      </c>
      <c r="J4893" t="s">
        <v>22</v>
      </c>
      <c r="L4893" s="1"/>
      <c r="N4893" s="1"/>
      <c r="V4893" t="str">
        <f>"71200"</f>
        <v>71200</v>
      </c>
      <c r="W4893">
        <v>0</v>
      </c>
      <c r="X4893">
        <v>0</v>
      </c>
    </row>
    <row r="4894" spans="1:24" ht="15" customHeight="1" x14ac:dyDescent="0.25">
      <c r="A4894" t="str">
        <f>""</f>
        <v/>
      </c>
      <c r="B4894" s="1"/>
      <c r="H4894">
        <v>205</v>
      </c>
      <c r="J4894" t="s">
        <v>22</v>
      </c>
      <c r="L4894" s="1"/>
      <c r="N4894" s="1"/>
      <c r="V4894" t="str">
        <f>"71200"</f>
        <v>71200</v>
      </c>
      <c r="W4894">
        <v>0</v>
      </c>
      <c r="X4894">
        <v>0</v>
      </c>
    </row>
    <row r="4895" spans="1:24" ht="15" customHeight="1" x14ac:dyDescent="0.25">
      <c r="A4895" t="str">
        <f>""</f>
        <v/>
      </c>
      <c r="B4895" s="1"/>
      <c r="H4895">
        <v>153.97999999999999</v>
      </c>
      <c r="J4895" t="s">
        <v>23</v>
      </c>
      <c r="L4895" s="1"/>
      <c r="N4895" s="1"/>
      <c r="V4895" t="str">
        <f>"14000"</f>
        <v>14000</v>
      </c>
      <c r="W4895">
        <v>0</v>
      </c>
      <c r="X4895">
        <v>26.18</v>
      </c>
    </row>
    <row r="4896" spans="1:24" ht="15" customHeight="1" x14ac:dyDescent="0.25">
      <c r="A4896" t="str">
        <f>""</f>
        <v/>
      </c>
      <c r="B4896" s="1"/>
      <c r="H4896">
        <v>37.19</v>
      </c>
      <c r="J4896" t="s">
        <v>22</v>
      </c>
      <c r="L4896" s="1"/>
      <c r="N4896" s="1"/>
      <c r="V4896" t="str">
        <f>"57175"</f>
        <v>57175</v>
      </c>
      <c r="W4896">
        <v>0</v>
      </c>
      <c r="X4896">
        <v>9.3000000000000007</v>
      </c>
    </row>
    <row r="4897" spans="1:24" ht="15" customHeight="1" x14ac:dyDescent="0.25">
      <c r="A4897" t="str">
        <f>""</f>
        <v/>
      </c>
      <c r="B4897" s="1"/>
      <c r="H4897">
        <v>180</v>
      </c>
      <c r="J4897" t="s">
        <v>22</v>
      </c>
      <c r="L4897" s="1"/>
      <c r="V4897" t="str">
        <f>"69100"</f>
        <v>69100</v>
      </c>
      <c r="W4897">
        <v>0</v>
      </c>
      <c r="X4897">
        <v>0</v>
      </c>
    </row>
    <row r="4898" spans="1:24" ht="15" customHeight="1" x14ac:dyDescent="0.25">
      <c r="A4898" t="str">
        <f>""</f>
        <v/>
      </c>
      <c r="B4898" s="1"/>
      <c r="H4898">
        <v>22.6</v>
      </c>
      <c r="J4898" t="s">
        <v>22</v>
      </c>
      <c r="L4898" s="1"/>
      <c r="V4898" t="str">
        <f>"13014"</f>
        <v>13014</v>
      </c>
      <c r="W4898">
        <v>0</v>
      </c>
      <c r="X4898">
        <v>0</v>
      </c>
    </row>
    <row r="4899" spans="1:24" ht="15" customHeight="1" x14ac:dyDescent="0.25">
      <c r="A4899" t="str">
        <f>""</f>
        <v/>
      </c>
      <c r="B4899" s="1"/>
      <c r="H4899">
        <v>140</v>
      </c>
      <c r="J4899" t="s">
        <v>23</v>
      </c>
      <c r="L4899" s="1"/>
      <c r="N4899" s="1"/>
      <c r="V4899" t="str">
        <f>"77220"</f>
        <v>77220</v>
      </c>
      <c r="W4899">
        <v>0</v>
      </c>
      <c r="X4899">
        <v>0</v>
      </c>
    </row>
    <row r="4900" spans="1:24" ht="15" customHeight="1" x14ac:dyDescent="0.25">
      <c r="A4900" t="str">
        <f>""</f>
        <v/>
      </c>
      <c r="B4900" s="1"/>
      <c r="H4900">
        <v>183.81</v>
      </c>
      <c r="J4900" t="s">
        <v>22</v>
      </c>
      <c r="L4900" s="1"/>
      <c r="N4900" s="1"/>
      <c r="V4900" t="str">
        <f>"13006"</f>
        <v>13006</v>
      </c>
      <c r="W4900">
        <v>0</v>
      </c>
      <c r="X4900">
        <v>0</v>
      </c>
    </row>
    <row r="4901" spans="1:24" ht="15" customHeight="1" x14ac:dyDescent="0.25">
      <c r="A4901" t="str">
        <f>""</f>
        <v/>
      </c>
      <c r="B4901" s="1"/>
      <c r="H4901">
        <v>171.25</v>
      </c>
      <c r="J4901" t="s">
        <v>22</v>
      </c>
      <c r="L4901" s="1"/>
      <c r="N4901" s="1"/>
      <c r="V4901" t="str">
        <f>"31000"</f>
        <v>31000</v>
      </c>
      <c r="W4901">
        <v>0</v>
      </c>
      <c r="X4901">
        <v>0</v>
      </c>
    </row>
    <row r="4902" spans="1:24" ht="15" customHeight="1" x14ac:dyDescent="0.25">
      <c r="A4902" t="str">
        <f>""</f>
        <v/>
      </c>
      <c r="B4902" s="1"/>
      <c r="H4902">
        <v>156.5</v>
      </c>
      <c r="J4902" t="s">
        <v>19</v>
      </c>
      <c r="L4902" s="1"/>
      <c r="N4902" s="1"/>
      <c r="V4902" t="str">
        <f>"61250"</f>
        <v>61250</v>
      </c>
      <c r="W4902">
        <v>26.61</v>
      </c>
      <c r="X4902">
        <v>0</v>
      </c>
    </row>
    <row r="4903" spans="1:24" ht="15" customHeight="1" x14ac:dyDescent="0.25">
      <c r="A4903" t="str">
        <f>""</f>
        <v/>
      </c>
      <c r="B4903" s="1"/>
      <c r="H4903">
        <v>183.38</v>
      </c>
      <c r="J4903" t="s">
        <v>23</v>
      </c>
      <c r="L4903" s="1"/>
      <c r="N4903" s="1"/>
      <c r="V4903" t="str">
        <f>"93420"</f>
        <v>93420</v>
      </c>
      <c r="W4903">
        <v>0</v>
      </c>
      <c r="X4903">
        <v>0</v>
      </c>
    </row>
    <row r="4904" spans="1:24" ht="15" customHeight="1" x14ac:dyDescent="0.25">
      <c r="A4904" t="str">
        <f>""</f>
        <v/>
      </c>
      <c r="B4904" s="1"/>
      <c r="H4904">
        <v>70</v>
      </c>
      <c r="J4904" t="s">
        <v>22</v>
      </c>
      <c r="L4904" s="1"/>
      <c r="N4904" s="1"/>
      <c r="V4904" t="str">
        <f>"25200"</f>
        <v>25200</v>
      </c>
      <c r="W4904">
        <v>0</v>
      </c>
      <c r="X4904">
        <v>8.4</v>
      </c>
    </row>
    <row r="4905" spans="1:24" ht="15" customHeight="1" x14ac:dyDescent="0.25">
      <c r="A4905" t="str">
        <f>""</f>
        <v/>
      </c>
      <c r="B4905" s="1"/>
      <c r="H4905">
        <v>62.1</v>
      </c>
      <c r="J4905" t="s">
        <v>23</v>
      </c>
      <c r="L4905" s="1"/>
      <c r="V4905" t="str">
        <f>"77380"</f>
        <v>77380</v>
      </c>
      <c r="W4905">
        <v>0</v>
      </c>
      <c r="X4905">
        <v>0</v>
      </c>
    </row>
    <row r="4906" spans="1:24" ht="15" customHeight="1" x14ac:dyDescent="0.25">
      <c r="A4906" t="str">
        <f>""</f>
        <v/>
      </c>
      <c r="B4906" s="1"/>
      <c r="H4906">
        <v>180</v>
      </c>
      <c r="J4906" t="s">
        <v>23</v>
      </c>
      <c r="L4906" s="1"/>
      <c r="V4906" t="str">
        <f>"13730"</f>
        <v>13730</v>
      </c>
      <c r="W4906">
        <v>0</v>
      </c>
      <c r="X4906">
        <v>0</v>
      </c>
    </row>
    <row r="4907" spans="1:24" ht="15" customHeight="1" x14ac:dyDescent="0.25">
      <c r="A4907" t="str">
        <f>""</f>
        <v/>
      </c>
      <c r="B4907" s="1"/>
      <c r="H4907">
        <v>40</v>
      </c>
      <c r="J4907" t="s">
        <v>22</v>
      </c>
      <c r="L4907" s="1"/>
      <c r="N4907" s="1"/>
      <c r="V4907" t="str">
        <f>"67000"</f>
        <v>67000</v>
      </c>
      <c r="W4907">
        <v>0</v>
      </c>
      <c r="X4907">
        <v>3.2</v>
      </c>
    </row>
    <row r="4908" spans="1:24" ht="15" customHeight="1" x14ac:dyDescent="0.25">
      <c r="A4908" t="str">
        <f>""</f>
        <v/>
      </c>
      <c r="B4908" s="1"/>
      <c r="H4908">
        <v>186.99</v>
      </c>
      <c r="J4908" t="s">
        <v>22</v>
      </c>
      <c r="L4908" s="1"/>
      <c r="N4908" s="1"/>
      <c r="V4908" t="str">
        <f>"94200"</f>
        <v>94200</v>
      </c>
      <c r="W4908">
        <v>0</v>
      </c>
      <c r="X4908">
        <v>0</v>
      </c>
    </row>
    <row r="4909" spans="1:24" ht="15" customHeight="1" x14ac:dyDescent="0.25">
      <c r="A4909" t="str">
        <f>""</f>
        <v/>
      </c>
      <c r="B4909" s="1"/>
      <c r="H4909">
        <v>109.07</v>
      </c>
      <c r="J4909" t="s">
        <v>22</v>
      </c>
      <c r="L4909" s="1"/>
      <c r="V4909" t="str">
        <f>"94200"</f>
        <v>94200</v>
      </c>
      <c r="W4909">
        <v>0</v>
      </c>
      <c r="X4909">
        <v>0</v>
      </c>
    </row>
    <row r="4910" spans="1:24" ht="15" customHeight="1" x14ac:dyDescent="0.25">
      <c r="A4910" t="str">
        <f>""</f>
        <v/>
      </c>
      <c r="B4910" s="1"/>
      <c r="H4910">
        <v>195.02</v>
      </c>
      <c r="J4910" t="s">
        <v>23</v>
      </c>
      <c r="L4910" s="1"/>
      <c r="N4910" s="1"/>
      <c r="V4910" t="str">
        <f>"76140"</f>
        <v>76140</v>
      </c>
      <c r="W4910">
        <v>0</v>
      </c>
      <c r="X4910">
        <v>33.15</v>
      </c>
    </row>
    <row r="4911" spans="1:24" ht="15" customHeight="1" x14ac:dyDescent="0.25">
      <c r="A4911" t="str">
        <f>""</f>
        <v/>
      </c>
      <c r="B4911" s="1"/>
      <c r="H4911">
        <v>250</v>
      </c>
      <c r="J4911" t="s">
        <v>23</v>
      </c>
      <c r="L4911" s="1"/>
      <c r="N4911" s="1"/>
      <c r="V4911" t="str">
        <f>"76100"</f>
        <v>76100</v>
      </c>
      <c r="W4911">
        <v>0</v>
      </c>
      <c r="X4911">
        <v>42.5</v>
      </c>
    </row>
    <row r="4912" spans="1:24" ht="15" customHeight="1" x14ac:dyDescent="0.25">
      <c r="A4912" t="str">
        <f>""</f>
        <v/>
      </c>
      <c r="B4912" s="1"/>
      <c r="H4912">
        <v>140</v>
      </c>
      <c r="J4912" t="s">
        <v>22</v>
      </c>
      <c r="L4912" s="1"/>
      <c r="N4912" s="1"/>
      <c r="V4912" t="str">
        <f>"55190"</f>
        <v>55190</v>
      </c>
      <c r="W4912">
        <v>0</v>
      </c>
      <c r="X4912">
        <v>35</v>
      </c>
    </row>
    <row r="4913" spans="1:24" ht="15" customHeight="1" x14ac:dyDescent="0.25">
      <c r="A4913" t="str">
        <f>""</f>
        <v/>
      </c>
      <c r="B4913" s="1"/>
      <c r="H4913">
        <v>40</v>
      </c>
      <c r="J4913" t="s">
        <v>23</v>
      </c>
      <c r="L4913" s="1"/>
      <c r="N4913" s="1"/>
      <c r="V4913" t="str">
        <f>"55190"</f>
        <v>55190</v>
      </c>
      <c r="W4913">
        <v>0</v>
      </c>
      <c r="X4913">
        <v>10</v>
      </c>
    </row>
    <row r="4914" spans="1:24" ht="15" customHeight="1" x14ac:dyDescent="0.25">
      <c r="A4914" t="str">
        <f>""</f>
        <v/>
      </c>
      <c r="B4914" s="1"/>
      <c r="H4914">
        <v>18.8</v>
      </c>
      <c r="J4914" t="s">
        <v>23</v>
      </c>
      <c r="L4914" s="1"/>
      <c r="N4914" s="1"/>
      <c r="V4914" t="str">
        <f>"85700"</f>
        <v>85700</v>
      </c>
      <c r="W4914">
        <v>0</v>
      </c>
      <c r="X4914">
        <v>5.08</v>
      </c>
    </row>
    <row r="4915" spans="1:24" ht="15" customHeight="1" x14ac:dyDescent="0.25">
      <c r="A4915" t="str">
        <f>""</f>
        <v/>
      </c>
      <c r="B4915" s="1"/>
      <c r="H4915">
        <v>50.84</v>
      </c>
      <c r="J4915" t="s">
        <v>19</v>
      </c>
      <c r="L4915" s="1"/>
      <c r="N4915" s="1"/>
      <c r="V4915" t="str">
        <f>"92000"</f>
        <v>92000</v>
      </c>
      <c r="W4915">
        <v>0</v>
      </c>
      <c r="X4915">
        <v>0</v>
      </c>
    </row>
    <row r="4916" spans="1:24" ht="15" customHeight="1" x14ac:dyDescent="0.25">
      <c r="A4916" t="str">
        <f>""</f>
        <v/>
      </c>
      <c r="B4916" s="1"/>
      <c r="H4916">
        <v>50.84</v>
      </c>
      <c r="J4916" t="s">
        <v>19</v>
      </c>
      <c r="L4916" s="1"/>
      <c r="N4916" s="1"/>
      <c r="V4916" t="str">
        <f>"92000"</f>
        <v>92000</v>
      </c>
      <c r="W4916">
        <v>0</v>
      </c>
      <c r="X4916">
        <v>0</v>
      </c>
    </row>
    <row r="4917" spans="1:24" ht="15" customHeight="1" x14ac:dyDescent="0.25">
      <c r="A4917" t="str">
        <f>""</f>
        <v/>
      </c>
      <c r="B4917" s="1"/>
      <c r="H4917">
        <v>140</v>
      </c>
      <c r="J4917" t="s">
        <v>23</v>
      </c>
      <c r="L4917" s="1"/>
      <c r="V4917" t="str">
        <f>"77230"</f>
        <v>77230</v>
      </c>
      <c r="W4917">
        <v>0</v>
      </c>
      <c r="X4917">
        <v>0</v>
      </c>
    </row>
    <row r="4918" spans="1:24" ht="15" customHeight="1" x14ac:dyDescent="0.25">
      <c r="A4918" t="str">
        <f>""</f>
        <v/>
      </c>
      <c r="B4918" s="1"/>
      <c r="H4918">
        <v>40</v>
      </c>
      <c r="J4918" t="s">
        <v>23</v>
      </c>
      <c r="L4918" s="1"/>
      <c r="N4918" s="1"/>
      <c r="V4918" t="str">
        <f>"37540"</f>
        <v>37540</v>
      </c>
      <c r="W4918">
        <v>0</v>
      </c>
      <c r="X4918">
        <v>0</v>
      </c>
    </row>
    <row r="4919" spans="1:24" x14ac:dyDescent="0.25">
      <c r="A4919" t="str">
        <f>""</f>
        <v/>
      </c>
      <c r="B4919" s="1"/>
      <c r="H4919">
        <v>52.5</v>
      </c>
      <c r="J4919" t="s">
        <v>15</v>
      </c>
      <c r="L4919" s="1"/>
      <c r="N4919" s="1"/>
      <c r="V4919" t="str">
        <f>"69003"</f>
        <v>69003</v>
      </c>
      <c r="W4919">
        <v>0</v>
      </c>
      <c r="X4919">
        <v>0</v>
      </c>
    </row>
    <row r="4920" spans="1:24" x14ac:dyDescent="0.25">
      <c r="A4920" t="str">
        <f>""</f>
        <v/>
      </c>
      <c r="B4920" s="1"/>
      <c r="H4920">
        <v>52.5</v>
      </c>
      <c r="J4920" t="s">
        <v>15</v>
      </c>
      <c r="L4920" s="1"/>
      <c r="N4920" s="1"/>
      <c r="V4920" t="str">
        <f>"64000"</f>
        <v>64000</v>
      </c>
      <c r="W4920">
        <v>0</v>
      </c>
      <c r="X4920">
        <v>0</v>
      </c>
    </row>
    <row r="4921" spans="1:24" x14ac:dyDescent="0.25">
      <c r="A4921" t="str">
        <f>""</f>
        <v/>
      </c>
      <c r="B4921" s="1"/>
      <c r="H4921">
        <v>52.5</v>
      </c>
      <c r="J4921" t="s">
        <v>15</v>
      </c>
      <c r="L4921" s="1"/>
      <c r="N4921" s="1"/>
      <c r="V4921" t="str">
        <f>"76100"</f>
        <v>76100</v>
      </c>
      <c r="W4921">
        <v>0</v>
      </c>
      <c r="X4921">
        <v>0</v>
      </c>
    </row>
    <row r="4922" spans="1:24" x14ac:dyDescent="0.25">
      <c r="A4922" t="str">
        <f>""</f>
        <v/>
      </c>
      <c r="B4922" s="1"/>
      <c r="H4922">
        <v>52.5</v>
      </c>
      <c r="J4922" t="s">
        <v>15</v>
      </c>
      <c r="L4922" s="1"/>
      <c r="N4922" s="1"/>
      <c r="V4922" t="str">
        <f>"59140"</f>
        <v>59140</v>
      </c>
      <c r="W4922">
        <v>0</v>
      </c>
      <c r="X4922">
        <v>0</v>
      </c>
    </row>
    <row r="4923" spans="1:24" ht="15" customHeight="1" x14ac:dyDescent="0.25">
      <c r="A4923" t="str">
        <f>""</f>
        <v/>
      </c>
      <c r="B4923" s="1"/>
      <c r="H4923">
        <v>70</v>
      </c>
      <c r="J4923" t="s">
        <v>22</v>
      </c>
      <c r="L4923" s="1"/>
      <c r="N4923" s="1"/>
      <c r="V4923" t="str">
        <f>"45140"</f>
        <v>45140</v>
      </c>
      <c r="W4923">
        <v>0</v>
      </c>
      <c r="X4923">
        <v>18.899999999999999</v>
      </c>
    </row>
    <row r="4924" spans="1:24" ht="15" customHeight="1" x14ac:dyDescent="0.25">
      <c r="A4924" t="str">
        <f>""</f>
        <v/>
      </c>
      <c r="B4924" s="1"/>
      <c r="H4924">
        <v>139.16999999999999</v>
      </c>
      <c r="J4924" t="s">
        <v>22</v>
      </c>
      <c r="L4924" s="1"/>
      <c r="N4924" s="1"/>
      <c r="V4924" t="str">
        <f>"54270"</f>
        <v>54270</v>
      </c>
      <c r="W4924">
        <v>0</v>
      </c>
      <c r="X4924">
        <v>34.79</v>
      </c>
    </row>
    <row r="4925" spans="1:24" ht="15" customHeight="1" x14ac:dyDescent="0.25">
      <c r="A4925" t="str">
        <f>""</f>
        <v/>
      </c>
      <c r="B4925" s="1"/>
      <c r="H4925">
        <v>337</v>
      </c>
      <c r="J4925" t="s">
        <v>22</v>
      </c>
      <c r="L4925" s="1"/>
      <c r="N4925" s="1"/>
      <c r="V4925" t="str">
        <f>"61100"</f>
        <v>61100</v>
      </c>
      <c r="W4925">
        <v>0</v>
      </c>
      <c r="X4925">
        <v>0</v>
      </c>
    </row>
    <row r="4926" spans="1:24" ht="15" customHeight="1" x14ac:dyDescent="0.25">
      <c r="A4926" t="str">
        <f>""</f>
        <v/>
      </c>
      <c r="B4926" s="1"/>
      <c r="H4926">
        <v>140</v>
      </c>
      <c r="J4926" t="s">
        <v>22</v>
      </c>
      <c r="L4926" s="1"/>
      <c r="N4926" s="1"/>
      <c r="V4926" t="str">
        <f>"77000"</f>
        <v>77000</v>
      </c>
      <c r="W4926">
        <v>0</v>
      </c>
      <c r="X4926">
        <v>0</v>
      </c>
    </row>
    <row r="4927" spans="1:24" x14ac:dyDescent="0.25">
      <c r="A4927" t="str">
        <f>""</f>
        <v/>
      </c>
      <c r="B4927" s="1"/>
      <c r="H4927">
        <v>23.4</v>
      </c>
      <c r="J4927" t="s">
        <v>17</v>
      </c>
      <c r="L4927" s="1"/>
      <c r="N4927" s="1"/>
      <c r="V4927" t="str">
        <f>"38230"</f>
        <v>38230</v>
      </c>
      <c r="W4927">
        <v>0</v>
      </c>
      <c r="X4927">
        <v>0</v>
      </c>
    </row>
    <row r="4928" spans="1:24" x14ac:dyDescent="0.25">
      <c r="A4928" t="str">
        <f>""</f>
        <v/>
      </c>
      <c r="B4928" s="1"/>
      <c r="H4928">
        <v>180</v>
      </c>
      <c r="J4928" t="s">
        <v>16</v>
      </c>
      <c r="L4928" s="1"/>
      <c r="N4928" s="1"/>
      <c r="V4928" t="str">
        <f>"45400"</f>
        <v>45400</v>
      </c>
      <c r="W4928">
        <v>0</v>
      </c>
      <c r="X4928">
        <v>0</v>
      </c>
    </row>
    <row r="4929" spans="1:24" ht="15" customHeight="1" x14ac:dyDescent="0.25">
      <c r="A4929" t="str">
        <f>""</f>
        <v/>
      </c>
      <c r="B4929" s="1"/>
      <c r="H4929">
        <v>136.65</v>
      </c>
      <c r="J4929" t="s">
        <v>19</v>
      </c>
      <c r="L4929" s="1"/>
      <c r="N4929" s="1"/>
      <c r="V4929" t="str">
        <f>"45330"</f>
        <v>45330</v>
      </c>
      <c r="W4929">
        <v>28.7</v>
      </c>
      <c r="X4929">
        <v>0</v>
      </c>
    </row>
    <row r="4930" spans="1:24" ht="15" customHeight="1" x14ac:dyDescent="0.25">
      <c r="A4930" t="str">
        <f>""</f>
        <v/>
      </c>
      <c r="B4930" s="1"/>
      <c r="H4930">
        <v>40</v>
      </c>
      <c r="J4930" t="s">
        <v>23</v>
      </c>
      <c r="L4930" s="1"/>
      <c r="N4930" s="1"/>
      <c r="V4930" t="str">
        <f>"37700"</f>
        <v>37700</v>
      </c>
      <c r="W4930">
        <v>0</v>
      </c>
      <c r="X4930">
        <v>0</v>
      </c>
    </row>
    <row r="4931" spans="1:24" ht="15" customHeight="1" x14ac:dyDescent="0.25">
      <c r="A4931" t="str">
        <f>""</f>
        <v/>
      </c>
      <c r="B4931" s="1"/>
      <c r="H4931">
        <v>73</v>
      </c>
      <c r="J4931" t="s">
        <v>19</v>
      </c>
      <c r="L4931" s="1"/>
      <c r="N4931" s="1"/>
      <c r="V4931" t="str">
        <f>"13790"</f>
        <v>13790</v>
      </c>
      <c r="W4931">
        <v>37.229999999999997</v>
      </c>
      <c r="X4931">
        <v>0</v>
      </c>
    </row>
    <row r="4932" spans="1:24" x14ac:dyDescent="0.25">
      <c r="A4932" t="str">
        <f>""</f>
        <v/>
      </c>
      <c r="B4932" s="1"/>
      <c r="H4932">
        <v>140</v>
      </c>
      <c r="J4932" t="s">
        <v>15</v>
      </c>
      <c r="L4932" s="1"/>
      <c r="N4932" s="1"/>
      <c r="V4932" t="str">
        <f>"51100"</f>
        <v>51100</v>
      </c>
      <c r="W4932">
        <v>0</v>
      </c>
      <c r="X4932">
        <v>0</v>
      </c>
    </row>
    <row r="4933" spans="1:24" ht="15" customHeight="1" x14ac:dyDescent="0.25">
      <c r="A4933" t="str">
        <f>""</f>
        <v/>
      </c>
      <c r="B4933" s="1"/>
      <c r="H4933">
        <v>151</v>
      </c>
      <c r="J4933" t="s">
        <v>23</v>
      </c>
      <c r="L4933" s="1"/>
      <c r="N4933" s="1"/>
      <c r="V4933" t="str">
        <f>"06560"</f>
        <v>06560</v>
      </c>
      <c r="W4933">
        <v>0</v>
      </c>
      <c r="X4933">
        <v>0</v>
      </c>
    </row>
    <row r="4934" spans="1:24" ht="15" customHeight="1" x14ac:dyDescent="0.25">
      <c r="A4934" t="str">
        <f>""</f>
        <v/>
      </c>
      <c r="B4934" s="1"/>
      <c r="H4934">
        <v>151</v>
      </c>
      <c r="J4934" t="s">
        <v>22</v>
      </c>
      <c r="L4934" s="1"/>
      <c r="N4934" s="1"/>
      <c r="V4934" t="str">
        <f>"06560"</f>
        <v>06560</v>
      </c>
      <c r="W4934">
        <v>0</v>
      </c>
      <c r="X4934">
        <v>0</v>
      </c>
    </row>
    <row r="4935" spans="1:24" ht="15" customHeight="1" x14ac:dyDescent="0.25">
      <c r="A4935" t="str">
        <f>""</f>
        <v/>
      </c>
      <c r="B4935" s="1"/>
      <c r="H4935">
        <v>151</v>
      </c>
      <c r="J4935" t="s">
        <v>22</v>
      </c>
      <c r="L4935" s="1"/>
      <c r="N4935" s="1"/>
      <c r="V4935" t="str">
        <f>"06560"</f>
        <v>06560</v>
      </c>
      <c r="W4935">
        <v>0</v>
      </c>
      <c r="X4935">
        <v>0</v>
      </c>
    </row>
    <row r="4936" spans="1:24" ht="15" customHeight="1" x14ac:dyDescent="0.25">
      <c r="A4936" t="str">
        <f>""</f>
        <v/>
      </c>
      <c r="B4936" s="1"/>
      <c r="H4936">
        <v>151</v>
      </c>
      <c r="J4936" t="s">
        <v>23</v>
      </c>
      <c r="L4936" s="1"/>
      <c r="N4936" s="1"/>
      <c r="V4936" t="str">
        <f>"06560"</f>
        <v>06560</v>
      </c>
      <c r="W4936">
        <v>0</v>
      </c>
      <c r="X4936">
        <v>0</v>
      </c>
    </row>
    <row r="4937" spans="1:24" ht="15" customHeight="1" x14ac:dyDescent="0.25">
      <c r="A4937" t="str">
        <f>""</f>
        <v/>
      </c>
      <c r="B4937" s="1"/>
      <c r="H4937">
        <v>40</v>
      </c>
      <c r="J4937" t="s">
        <v>22</v>
      </c>
      <c r="L4937" s="1"/>
      <c r="N4937" s="1"/>
      <c r="V4937" t="str">
        <f>"68390"</f>
        <v>68390</v>
      </c>
      <c r="W4937">
        <v>0</v>
      </c>
      <c r="X4937">
        <v>3.2</v>
      </c>
    </row>
    <row r="4938" spans="1:24" ht="15" customHeight="1" x14ac:dyDescent="0.25">
      <c r="A4938" t="str">
        <f>""</f>
        <v/>
      </c>
      <c r="B4938" s="1"/>
      <c r="H4938">
        <v>25</v>
      </c>
      <c r="L4938" s="1"/>
      <c r="N4938" s="1"/>
      <c r="V4938" t="str">
        <f>"77184"</f>
        <v>77184</v>
      </c>
      <c r="W4938">
        <v>0</v>
      </c>
      <c r="X4938">
        <v>0</v>
      </c>
    </row>
    <row r="4939" spans="1:24" ht="15" customHeight="1" x14ac:dyDescent="0.25">
      <c r="A4939" t="str">
        <f>""</f>
        <v/>
      </c>
      <c r="B4939" s="1"/>
      <c r="H4939">
        <v>151</v>
      </c>
      <c r="J4939" t="s">
        <v>22</v>
      </c>
      <c r="L4939" s="1"/>
      <c r="N4939" s="1"/>
      <c r="V4939" t="str">
        <f>"27550"</f>
        <v>27550</v>
      </c>
      <c r="W4939">
        <v>0</v>
      </c>
      <c r="X4939">
        <v>25.67</v>
      </c>
    </row>
    <row r="4940" spans="1:24" ht="15" customHeight="1" x14ac:dyDescent="0.25">
      <c r="A4940" t="str">
        <f>""</f>
        <v/>
      </c>
      <c r="B4940" s="1"/>
      <c r="H4940">
        <v>53.52</v>
      </c>
      <c r="J4940" t="s">
        <v>19</v>
      </c>
      <c r="L4940" s="1"/>
      <c r="N4940" s="1"/>
      <c r="V4940" t="str">
        <f>"06281"</f>
        <v>06281</v>
      </c>
      <c r="W4940">
        <v>16.059999999999999</v>
      </c>
      <c r="X4940">
        <v>0</v>
      </c>
    </row>
    <row r="4941" spans="1:24" ht="15" customHeight="1" x14ac:dyDescent="0.25">
      <c r="A4941" t="str">
        <f>""</f>
        <v/>
      </c>
      <c r="B4941" s="1"/>
      <c r="H4941">
        <v>53.52</v>
      </c>
      <c r="J4941" t="s">
        <v>19</v>
      </c>
      <c r="L4941" s="1"/>
      <c r="N4941" s="1"/>
      <c r="V4941" t="str">
        <f>"06281"</f>
        <v>06281</v>
      </c>
      <c r="W4941">
        <v>16.059999999999999</v>
      </c>
      <c r="X4941">
        <v>0</v>
      </c>
    </row>
    <row r="4942" spans="1:24" ht="15" customHeight="1" x14ac:dyDescent="0.25">
      <c r="A4942" t="str">
        <f>""</f>
        <v/>
      </c>
      <c r="B4942" s="1"/>
      <c r="H4942">
        <v>84.5</v>
      </c>
      <c r="L4942" s="1"/>
      <c r="N4942" s="1"/>
      <c r="V4942" t="str">
        <f>"77184"</f>
        <v>77184</v>
      </c>
      <c r="W4942">
        <v>0</v>
      </c>
      <c r="X4942">
        <v>0</v>
      </c>
    </row>
    <row r="4943" spans="1:24" ht="15" customHeight="1" x14ac:dyDescent="0.25">
      <c r="A4943" t="str">
        <f>""</f>
        <v/>
      </c>
      <c r="B4943" s="1"/>
      <c r="H4943">
        <v>36.89</v>
      </c>
      <c r="J4943" t="s">
        <v>22</v>
      </c>
      <c r="L4943" s="1"/>
      <c r="N4943" s="1"/>
      <c r="V4943" t="str">
        <f>"69002"</f>
        <v>69002</v>
      </c>
      <c r="W4943">
        <v>0</v>
      </c>
      <c r="X4943">
        <v>0</v>
      </c>
    </row>
    <row r="4944" spans="1:24" ht="15" customHeight="1" x14ac:dyDescent="0.25">
      <c r="A4944" t="str">
        <f>""</f>
        <v/>
      </c>
      <c r="B4944" s="1"/>
      <c r="H4944">
        <v>20.23</v>
      </c>
      <c r="J4944" t="s">
        <v>19</v>
      </c>
      <c r="L4944" s="1"/>
      <c r="N4944" s="1"/>
      <c r="V4944" t="str">
        <f>"71380"</f>
        <v>71380</v>
      </c>
      <c r="W4944">
        <v>5.46</v>
      </c>
      <c r="X4944">
        <v>0</v>
      </c>
    </row>
    <row r="4945" spans="1:24" ht="15" customHeight="1" x14ac:dyDescent="0.25">
      <c r="A4945" t="str">
        <f>""</f>
        <v/>
      </c>
      <c r="B4945" s="1"/>
      <c r="H4945">
        <v>20.23</v>
      </c>
      <c r="J4945" t="s">
        <v>19</v>
      </c>
      <c r="L4945" s="1"/>
      <c r="N4945" s="1"/>
      <c r="V4945" t="str">
        <f>"75018"</f>
        <v>75018</v>
      </c>
      <c r="W4945">
        <v>0</v>
      </c>
      <c r="X4945">
        <v>0</v>
      </c>
    </row>
    <row r="4946" spans="1:24" ht="15" customHeight="1" x14ac:dyDescent="0.25">
      <c r="A4946" t="str">
        <f>""</f>
        <v/>
      </c>
      <c r="B4946" s="1"/>
      <c r="H4946">
        <v>20.23</v>
      </c>
      <c r="J4946" t="s">
        <v>19</v>
      </c>
      <c r="L4946" s="1"/>
      <c r="N4946" s="1"/>
      <c r="V4946" t="str">
        <f>"21160"</f>
        <v>21160</v>
      </c>
      <c r="W4946">
        <v>4.8600000000000003</v>
      </c>
      <c r="X4946">
        <v>0</v>
      </c>
    </row>
    <row r="4947" spans="1:24" ht="15" customHeight="1" x14ac:dyDescent="0.25">
      <c r="A4947" t="str">
        <f>""</f>
        <v/>
      </c>
      <c r="B4947" s="1"/>
      <c r="H4947">
        <v>49.08</v>
      </c>
      <c r="J4947" t="s">
        <v>19</v>
      </c>
      <c r="L4947" s="1"/>
      <c r="N4947" s="1"/>
      <c r="V4947" t="str">
        <f>"56920"</f>
        <v>56920</v>
      </c>
      <c r="W4947">
        <v>13.25</v>
      </c>
      <c r="X4947">
        <v>0</v>
      </c>
    </row>
    <row r="4948" spans="1:24" ht="15" customHeight="1" x14ac:dyDescent="0.25">
      <c r="A4948" t="str">
        <f>""</f>
        <v/>
      </c>
      <c r="B4948" s="1"/>
      <c r="H4948">
        <v>49.08</v>
      </c>
      <c r="J4948" t="s">
        <v>19</v>
      </c>
      <c r="L4948" s="1"/>
      <c r="N4948" s="1"/>
      <c r="V4948" t="str">
        <f>"22600"</f>
        <v>22600</v>
      </c>
      <c r="W4948">
        <v>19.14</v>
      </c>
      <c r="X4948">
        <v>0</v>
      </c>
    </row>
    <row r="4949" spans="1:24" ht="15" customHeight="1" x14ac:dyDescent="0.25">
      <c r="A4949" t="str">
        <f>""</f>
        <v/>
      </c>
      <c r="B4949" s="1"/>
      <c r="H4949">
        <v>180</v>
      </c>
      <c r="J4949" t="s">
        <v>23</v>
      </c>
      <c r="L4949" s="1"/>
      <c r="N4949" s="1"/>
      <c r="V4949" t="str">
        <f>"13009"</f>
        <v>13009</v>
      </c>
      <c r="W4949">
        <v>0</v>
      </c>
      <c r="X4949">
        <v>34.200000000000003</v>
      </c>
    </row>
    <row r="4950" spans="1:24" ht="15" customHeight="1" x14ac:dyDescent="0.25">
      <c r="A4950" t="str">
        <f>""</f>
        <v/>
      </c>
      <c r="B4950" s="1"/>
      <c r="H4950">
        <v>55.34</v>
      </c>
      <c r="J4950" t="s">
        <v>20</v>
      </c>
      <c r="L4950" s="1"/>
      <c r="N4950" s="1"/>
      <c r="V4950" t="str">
        <f>"85180"</f>
        <v>85180</v>
      </c>
      <c r="W4950">
        <v>14.94</v>
      </c>
      <c r="X4950">
        <v>0</v>
      </c>
    </row>
    <row r="4951" spans="1:24" ht="15" customHeight="1" x14ac:dyDescent="0.25">
      <c r="A4951" t="str">
        <f>""</f>
        <v/>
      </c>
      <c r="B4951" s="1"/>
      <c r="H4951">
        <v>43.44</v>
      </c>
      <c r="J4951" t="s">
        <v>20</v>
      </c>
      <c r="L4951" s="1"/>
      <c r="N4951" s="1"/>
      <c r="V4951" t="str">
        <f>"68390"</f>
        <v>68390</v>
      </c>
      <c r="W4951">
        <v>12.6</v>
      </c>
      <c r="X4951">
        <v>0</v>
      </c>
    </row>
    <row r="4952" spans="1:24" ht="15" customHeight="1" x14ac:dyDescent="0.25">
      <c r="A4952" t="str">
        <f>""</f>
        <v/>
      </c>
      <c r="B4952" s="1"/>
      <c r="H4952">
        <v>24.72</v>
      </c>
      <c r="J4952" t="s">
        <v>20</v>
      </c>
      <c r="L4952" s="1"/>
      <c r="N4952" s="1"/>
      <c r="V4952" t="str">
        <f>"38590"</f>
        <v>38590</v>
      </c>
      <c r="W4952">
        <v>6.67</v>
      </c>
      <c r="X4952">
        <v>0</v>
      </c>
    </row>
    <row r="4953" spans="1:24" ht="15" customHeight="1" x14ac:dyDescent="0.25">
      <c r="A4953" t="str">
        <f>""</f>
        <v/>
      </c>
      <c r="B4953" s="1"/>
      <c r="H4953">
        <v>105</v>
      </c>
      <c r="L4953" s="1"/>
      <c r="N4953" s="1"/>
      <c r="V4953" t="str">
        <f>"77184"</f>
        <v>77184</v>
      </c>
      <c r="W4953">
        <v>0</v>
      </c>
      <c r="X4953">
        <v>0</v>
      </c>
    </row>
    <row r="4954" spans="1:24" ht="15" customHeight="1" x14ac:dyDescent="0.25">
      <c r="A4954" t="str">
        <f>""</f>
        <v/>
      </c>
      <c r="B4954" s="1"/>
      <c r="H4954">
        <v>180</v>
      </c>
      <c r="J4954" t="s">
        <v>23</v>
      </c>
      <c r="L4954" s="1"/>
      <c r="N4954" s="1"/>
      <c r="V4954" t="str">
        <f>"62600"</f>
        <v>62600</v>
      </c>
      <c r="W4954">
        <v>0</v>
      </c>
      <c r="X4954">
        <v>0</v>
      </c>
    </row>
    <row r="4955" spans="1:24" ht="15" customHeight="1" x14ac:dyDescent="0.25">
      <c r="A4955" t="str">
        <f>""</f>
        <v/>
      </c>
      <c r="B4955" s="1"/>
      <c r="H4955">
        <v>195.25</v>
      </c>
      <c r="J4955" t="s">
        <v>22</v>
      </c>
      <c r="L4955" s="1"/>
      <c r="N4955" s="1"/>
      <c r="V4955" t="str">
        <f>"94150"</f>
        <v>94150</v>
      </c>
      <c r="W4955">
        <v>0</v>
      </c>
      <c r="X4955">
        <v>0</v>
      </c>
    </row>
    <row r="4956" spans="1:24" ht="15" customHeight="1" x14ac:dyDescent="0.25">
      <c r="A4956" t="str">
        <f>""</f>
        <v/>
      </c>
      <c r="B4956" s="1"/>
      <c r="H4956">
        <v>17</v>
      </c>
      <c r="J4956" t="s">
        <v>22</v>
      </c>
      <c r="L4956" s="1"/>
      <c r="N4956" s="1"/>
      <c r="V4956" t="str">
        <f>"57400"</f>
        <v>57400</v>
      </c>
      <c r="W4956">
        <v>0</v>
      </c>
      <c r="X4956">
        <v>4.25</v>
      </c>
    </row>
    <row r="4957" spans="1:24" ht="15" customHeight="1" x14ac:dyDescent="0.25">
      <c r="A4957" t="str">
        <f>""</f>
        <v/>
      </c>
      <c r="B4957" s="1"/>
      <c r="H4957">
        <v>17</v>
      </c>
      <c r="J4957" t="s">
        <v>22</v>
      </c>
      <c r="L4957" s="1"/>
      <c r="N4957" s="1"/>
      <c r="V4957" t="str">
        <f>"57000"</f>
        <v>57000</v>
      </c>
      <c r="W4957">
        <v>0</v>
      </c>
      <c r="X4957">
        <v>4.25</v>
      </c>
    </row>
    <row r="4958" spans="1:24" x14ac:dyDescent="0.25">
      <c r="A4958" t="str">
        <f>""</f>
        <v/>
      </c>
      <c r="B4958" s="1"/>
      <c r="H4958">
        <v>151</v>
      </c>
      <c r="J4958" t="s">
        <v>17</v>
      </c>
      <c r="L4958" s="1"/>
      <c r="N4958" s="1"/>
      <c r="V4958" t="str">
        <f>"67800"</f>
        <v>67800</v>
      </c>
      <c r="W4958">
        <v>0</v>
      </c>
      <c r="X4958">
        <v>0</v>
      </c>
    </row>
    <row r="4959" spans="1:24" ht="15" customHeight="1" x14ac:dyDescent="0.25">
      <c r="A4959" t="str">
        <f>""</f>
        <v/>
      </c>
      <c r="B4959" s="1"/>
      <c r="H4959">
        <v>245.02</v>
      </c>
      <c r="J4959" t="s">
        <v>21</v>
      </c>
      <c r="L4959" s="1"/>
      <c r="V4959" t="str">
        <f>"77184"</f>
        <v>77184</v>
      </c>
      <c r="W4959">
        <v>0</v>
      </c>
      <c r="X4959">
        <v>0</v>
      </c>
    </row>
    <row r="4960" spans="1:24" ht="15" customHeight="1" x14ac:dyDescent="0.25">
      <c r="A4960" t="str">
        <f>""</f>
        <v/>
      </c>
      <c r="B4960" s="1"/>
      <c r="H4960">
        <v>151</v>
      </c>
      <c r="J4960" t="s">
        <v>22</v>
      </c>
      <c r="L4960" s="1"/>
      <c r="V4960" t="str">
        <f>"44700"</f>
        <v>44700</v>
      </c>
      <c r="W4960">
        <v>0</v>
      </c>
      <c r="X4960">
        <v>0</v>
      </c>
    </row>
    <row r="4961" spans="1:24" ht="15" customHeight="1" x14ac:dyDescent="0.25">
      <c r="A4961" t="str">
        <f>""</f>
        <v/>
      </c>
      <c r="B4961" s="1"/>
      <c r="H4961">
        <v>189.52</v>
      </c>
      <c r="J4961" t="s">
        <v>22</v>
      </c>
      <c r="L4961" s="1"/>
      <c r="N4961" s="1"/>
      <c r="V4961" t="str">
        <f>"44000"</f>
        <v>44000</v>
      </c>
      <c r="W4961">
        <v>0</v>
      </c>
      <c r="X4961">
        <v>0</v>
      </c>
    </row>
    <row r="4962" spans="1:24" ht="15" customHeight="1" x14ac:dyDescent="0.25">
      <c r="A4962" t="str">
        <f>""</f>
        <v/>
      </c>
      <c r="B4962" s="1"/>
      <c r="H4962">
        <v>181.77</v>
      </c>
      <c r="L4962" s="1"/>
      <c r="N4962" s="1"/>
      <c r="V4962" t="str">
        <f>"44240"</f>
        <v>44240</v>
      </c>
      <c r="W4962">
        <v>0</v>
      </c>
      <c r="X4962">
        <v>0</v>
      </c>
    </row>
    <row r="4963" spans="1:24" ht="15" customHeight="1" x14ac:dyDescent="0.25">
      <c r="A4963" t="str">
        <f>""</f>
        <v/>
      </c>
      <c r="B4963" s="1"/>
      <c r="H4963">
        <v>135</v>
      </c>
      <c r="L4963" s="1"/>
      <c r="N4963" s="1"/>
      <c r="V4963" t="str">
        <f>"77184"</f>
        <v>77184</v>
      </c>
      <c r="W4963">
        <v>0</v>
      </c>
      <c r="X4963">
        <v>0</v>
      </c>
    </row>
    <row r="4964" spans="1:24" ht="15" customHeight="1" x14ac:dyDescent="0.25">
      <c r="A4964" t="str">
        <f>""</f>
        <v/>
      </c>
      <c r="B4964" s="1"/>
      <c r="H4964">
        <v>171</v>
      </c>
      <c r="L4964" s="1"/>
      <c r="N4964" s="1"/>
      <c r="V4964" t="str">
        <f>"77184"</f>
        <v>77184</v>
      </c>
      <c r="W4964">
        <v>0</v>
      </c>
      <c r="X4964">
        <v>0</v>
      </c>
    </row>
    <row r="4965" spans="1:24" ht="15" customHeight="1" x14ac:dyDescent="0.25">
      <c r="A4965" t="str">
        <f>""</f>
        <v/>
      </c>
      <c r="B4965" s="1"/>
      <c r="H4965">
        <v>156</v>
      </c>
      <c r="L4965" s="1"/>
      <c r="N4965" s="1"/>
      <c r="V4965" t="str">
        <f>"77184"</f>
        <v>77184</v>
      </c>
      <c r="W4965">
        <v>0</v>
      </c>
      <c r="X4965">
        <v>0</v>
      </c>
    </row>
    <row r="4966" spans="1:24" ht="15" customHeight="1" x14ac:dyDescent="0.25">
      <c r="A4966" t="str">
        <f>""</f>
        <v/>
      </c>
      <c r="B4966" s="1"/>
      <c r="H4966">
        <v>156</v>
      </c>
      <c r="L4966" s="1"/>
      <c r="N4966" s="1"/>
      <c r="V4966" t="str">
        <f>"77184"</f>
        <v>77184</v>
      </c>
      <c r="W4966">
        <v>0</v>
      </c>
      <c r="X4966">
        <v>0</v>
      </c>
    </row>
    <row r="4967" spans="1:24" ht="15" customHeight="1" x14ac:dyDescent="0.25">
      <c r="A4967" t="str">
        <f>""</f>
        <v/>
      </c>
      <c r="B4967" s="1"/>
      <c r="H4967">
        <v>140</v>
      </c>
      <c r="L4967" s="1"/>
      <c r="N4967" s="1"/>
      <c r="V4967" t="str">
        <f>"77184"</f>
        <v>77184</v>
      </c>
      <c r="W4967">
        <v>0</v>
      </c>
      <c r="X4967">
        <v>0</v>
      </c>
    </row>
    <row r="4968" spans="1:24" x14ac:dyDescent="0.25">
      <c r="A4968" t="str">
        <f>""</f>
        <v/>
      </c>
      <c r="B4968" s="1"/>
      <c r="H4968">
        <v>151</v>
      </c>
      <c r="J4968" t="s">
        <v>16</v>
      </c>
      <c r="L4968" s="1"/>
      <c r="N4968" s="1"/>
      <c r="V4968" t="str">
        <f>"54830"</f>
        <v>54830</v>
      </c>
      <c r="W4968">
        <v>0</v>
      </c>
      <c r="X4968">
        <v>40.770000000000003</v>
      </c>
    </row>
    <row r="4969" spans="1:24" ht="15" customHeight="1" x14ac:dyDescent="0.25">
      <c r="A4969" t="str">
        <f>""</f>
        <v/>
      </c>
      <c r="B4969" s="1"/>
      <c r="H4969">
        <v>160</v>
      </c>
      <c r="L4969" s="1"/>
      <c r="N4969" s="1"/>
      <c r="V4969" t="str">
        <f>"77184"</f>
        <v>77184</v>
      </c>
      <c r="W4969">
        <v>0</v>
      </c>
      <c r="X4969">
        <v>0</v>
      </c>
    </row>
    <row r="4970" spans="1:24" ht="15" customHeight="1" x14ac:dyDescent="0.25">
      <c r="A4970" t="str">
        <f>""</f>
        <v/>
      </c>
      <c r="B4970" s="1"/>
      <c r="H4970">
        <v>90</v>
      </c>
      <c r="J4970" t="s">
        <v>22</v>
      </c>
      <c r="L4970" s="1"/>
      <c r="N4970" s="1"/>
      <c r="V4970" t="str">
        <f>"06190"</f>
        <v>06190</v>
      </c>
      <c r="W4970">
        <v>0</v>
      </c>
      <c r="X4970">
        <v>27</v>
      </c>
    </row>
    <row r="4971" spans="1:24" ht="15" customHeight="1" x14ac:dyDescent="0.25">
      <c r="A4971" t="str">
        <f>""</f>
        <v/>
      </c>
      <c r="B4971" s="1"/>
      <c r="H4971">
        <v>70</v>
      </c>
      <c r="J4971" t="s">
        <v>23</v>
      </c>
      <c r="L4971" s="1"/>
      <c r="N4971" s="1"/>
      <c r="V4971" t="str">
        <f>"68100"</f>
        <v>68100</v>
      </c>
      <c r="W4971">
        <v>0</v>
      </c>
      <c r="X4971">
        <v>0</v>
      </c>
    </row>
    <row r="4972" spans="1:24" ht="15" customHeight="1" x14ac:dyDescent="0.25">
      <c r="A4972" t="str">
        <f>""</f>
        <v/>
      </c>
      <c r="B4972" s="1"/>
      <c r="H4972">
        <v>40</v>
      </c>
      <c r="J4972" t="s">
        <v>22</v>
      </c>
      <c r="L4972" s="1"/>
      <c r="N4972" s="1"/>
      <c r="V4972" t="str">
        <f>"13006"</f>
        <v>13006</v>
      </c>
      <c r="W4972">
        <v>0</v>
      </c>
      <c r="X4972">
        <v>7.6</v>
      </c>
    </row>
    <row r="4973" spans="1:24" ht="15" customHeight="1" x14ac:dyDescent="0.25">
      <c r="A4973" t="str">
        <f>""</f>
        <v/>
      </c>
      <c r="B4973" s="1"/>
      <c r="H4973">
        <v>140</v>
      </c>
      <c r="J4973" t="s">
        <v>23</v>
      </c>
      <c r="L4973" s="1"/>
      <c r="N4973" s="1"/>
      <c r="V4973" t="str">
        <f>"22440"</f>
        <v>22440</v>
      </c>
      <c r="W4973">
        <v>0</v>
      </c>
      <c r="X4973">
        <v>0</v>
      </c>
    </row>
    <row r="4974" spans="1:24" ht="15" customHeight="1" x14ac:dyDescent="0.25">
      <c r="A4974" t="str">
        <f>""</f>
        <v/>
      </c>
      <c r="B4974" s="1"/>
      <c r="H4974">
        <v>107.6</v>
      </c>
      <c r="J4974" t="s">
        <v>19</v>
      </c>
      <c r="L4974" s="1"/>
      <c r="N4974" s="1"/>
      <c r="V4974" t="str">
        <f>"75014"</f>
        <v>75014</v>
      </c>
      <c r="W4974">
        <v>0</v>
      </c>
      <c r="X4974">
        <v>0</v>
      </c>
    </row>
    <row r="4975" spans="1:24" ht="15" customHeight="1" x14ac:dyDescent="0.25">
      <c r="A4975" t="str">
        <f>""</f>
        <v/>
      </c>
      <c r="B4975" s="1"/>
      <c r="H4975">
        <v>55.34</v>
      </c>
      <c r="J4975" t="s">
        <v>20</v>
      </c>
      <c r="L4975" s="1"/>
      <c r="N4975" s="1"/>
      <c r="V4975" t="str">
        <f>"69007"</f>
        <v>69007</v>
      </c>
      <c r="W4975">
        <v>14.94</v>
      </c>
      <c r="X4975">
        <v>0</v>
      </c>
    </row>
    <row r="4976" spans="1:24" ht="15" customHeight="1" x14ac:dyDescent="0.25">
      <c r="A4976" t="str">
        <f>""</f>
        <v/>
      </c>
      <c r="B4976" s="1"/>
      <c r="H4976">
        <v>105.8</v>
      </c>
      <c r="L4976" s="1"/>
      <c r="N4976" s="1"/>
      <c r="V4976" t="str">
        <f>"44240"</f>
        <v>44240</v>
      </c>
      <c r="W4976">
        <v>0</v>
      </c>
      <c r="X4976">
        <v>0</v>
      </c>
    </row>
    <row r="4977" spans="1:24" ht="15" customHeight="1" x14ac:dyDescent="0.25">
      <c r="A4977" t="str">
        <f>""</f>
        <v/>
      </c>
      <c r="B4977" s="1"/>
      <c r="H4977">
        <v>12</v>
      </c>
      <c r="J4977" t="s">
        <v>19</v>
      </c>
      <c r="L4977" s="1"/>
      <c r="N4977" s="1"/>
      <c r="V4977" t="str">
        <f>"69002"</f>
        <v>69002</v>
      </c>
      <c r="W4977">
        <v>0</v>
      </c>
      <c r="X4977">
        <v>0</v>
      </c>
    </row>
    <row r="4978" spans="1:24" ht="15" customHeight="1" x14ac:dyDescent="0.25">
      <c r="A4978" t="str">
        <f>""</f>
        <v/>
      </c>
      <c r="B4978" s="1"/>
      <c r="H4978">
        <v>95.02</v>
      </c>
      <c r="L4978" s="1"/>
      <c r="N4978" s="1"/>
      <c r="V4978" t="str">
        <f>"77184"</f>
        <v>77184</v>
      </c>
      <c r="W4978">
        <v>0</v>
      </c>
      <c r="X4978">
        <v>0</v>
      </c>
    </row>
    <row r="4979" spans="1:24" ht="15" customHeight="1" x14ac:dyDescent="0.25">
      <c r="A4979" t="str">
        <f>""</f>
        <v/>
      </c>
      <c r="B4979" s="1"/>
      <c r="H4979">
        <v>32.6</v>
      </c>
      <c r="J4979" t="s">
        <v>23</v>
      </c>
      <c r="L4979" s="1"/>
      <c r="N4979" s="1"/>
      <c r="V4979" t="str">
        <f>"08200"</f>
        <v>08200</v>
      </c>
      <c r="W4979">
        <v>0</v>
      </c>
      <c r="X4979">
        <v>0</v>
      </c>
    </row>
    <row r="4980" spans="1:24" ht="15" customHeight="1" x14ac:dyDescent="0.25">
      <c r="A4980" t="str">
        <f>""</f>
        <v/>
      </c>
      <c r="B4980" s="1"/>
      <c r="H4980">
        <v>156.57</v>
      </c>
      <c r="J4980" t="s">
        <v>20</v>
      </c>
      <c r="L4980" s="1"/>
      <c r="N4980" s="1"/>
      <c r="V4980" t="str">
        <f>"14000"</f>
        <v>14000</v>
      </c>
      <c r="W4980">
        <v>26.62</v>
      </c>
      <c r="X4980">
        <v>0</v>
      </c>
    </row>
    <row r="4981" spans="1:24" ht="15" customHeight="1" x14ac:dyDescent="0.25">
      <c r="A4981" t="str">
        <f>""</f>
        <v/>
      </c>
      <c r="B4981" s="1"/>
      <c r="H4981">
        <v>19.649999999999999</v>
      </c>
      <c r="J4981" t="s">
        <v>19</v>
      </c>
      <c r="L4981" s="1"/>
      <c r="N4981" s="1"/>
      <c r="V4981" t="str">
        <f>"75014"</f>
        <v>75014</v>
      </c>
      <c r="W4981">
        <v>0</v>
      </c>
      <c r="X4981">
        <v>0</v>
      </c>
    </row>
    <row r="4982" spans="1:24" ht="15" customHeight="1" x14ac:dyDescent="0.25">
      <c r="A4982" t="str">
        <f>""</f>
        <v/>
      </c>
      <c r="B4982" s="1"/>
      <c r="H4982">
        <v>19.649999999999999</v>
      </c>
      <c r="J4982" t="s">
        <v>19</v>
      </c>
      <c r="L4982" s="1"/>
      <c r="N4982" s="1"/>
      <c r="V4982" t="str">
        <f>"75014"</f>
        <v>75014</v>
      </c>
      <c r="W4982">
        <v>0</v>
      </c>
      <c r="X4982">
        <v>0</v>
      </c>
    </row>
    <row r="4983" spans="1:24" ht="15" customHeight="1" x14ac:dyDescent="0.25">
      <c r="A4983" t="str">
        <f>""</f>
        <v/>
      </c>
      <c r="B4983" s="1"/>
      <c r="H4983">
        <v>19.649999999999999</v>
      </c>
      <c r="J4983" t="s">
        <v>19</v>
      </c>
      <c r="L4983" s="1"/>
      <c r="N4983" s="1"/>
      <c r="V4983" t="str">
        <f>"75014"</f>
        <v>75014</v>
      </c>
      <c r="W4983">
        <v>0</v>
      </c>
      <c r="X4983">
        <v>0</v>
      </c>
    </row>
    <row r="4984" spans="1:24" ht="15" customHeight="1" x14ac:dyDescent="0.25">
      <c r="A4984" t="str">
        <f>""</f>
        <v/>
      </c>
      <c r="B4984" s="1"/>
      <c r="H4984">
        <v>19.649999999999999</v>
      </c>
      <c r="J4984" t="s">
        <v>19</v>
      </c>
      <c r="L4984" s="1"/>
      <c r="N4984" s="1"/>
      <c r="V4984" t="str">
        <f>"75014"</f>
        <v>75014</v>
      </c>
      <c r="W4984">
        <v>0</v>
      </c>
      <c r="X4984">
        <v>0</v>
      </c>
    </row>
    <row r="4985" spans="1:24" ht="15" customHeight="1" x14ac:dyDescent="0.25">
      <c r="A4985" t="str">
        <f>""</f>
        <v/>
      </c>
      <c r="B4985" s="1"/>
      <c r="H4985">
        <v>40</v>
      </c>
      <c r="J4985" t="s">
        <v>20</v>
      </c>
      <c r="L4985" s="1"/>
      <c r="N4985" s="1"/>
      <c r="V4985" t="str">
        <f>"94220"</f>
        <v>94220</v>
      </c>
      <c r="W4985">
        <v>0</v>
      </c>
      <c r="X4985">
        <v>0</v>
      </c>
    </row>
    <row r="4986" spans="1:24" ht="15" customHeight="1" x14ac:dyDescent="0.25">
      <c r="A4986" t="str">
        <f>""</f>
        <v/>
      </c>
      <c r="B4986" s="1"/>
      <c r="H4986">
        <v>103.06</v>
      </c>
      <c r="J4986" t="s">
        <v>20</v>
      </c>
      <c r="L4986" s="1"/>
      <c r="N4986" s="1"/>
      <c r="V4986" t="str">
        <f>"25700"</f>
        <v>25700</v>
      </c>
      <c r="W4986">
        <v>24.73</v>
      </c>
      <c r="X4986">
        <v>0</v>
      </c>
    </row>
    <row r="4987" spans="1:24" ht="15" customHeight="1" x14ac:dyDescent="0.25">
      <c r="A4987" t="str">
        <f>""</f>
        <v/>
      </c>
      <c r="B4987" s="1"/>
      <c r="H4987">
        <v>151</v>
      </c>
      <c r="J4987" t="s">
        <v>20</v>
      </c>
      <c r="L4987" s="1"/>
      <c r="N4987" s="1"/>
      <c r="V4987" t="str">
        <f>"06510"</f>
        <v>06510</v>
      </c>
      <c r="W4987">
        <v>45.3</v>
      </c>
      <c r="X4987">
        <v>0</v>
      </c>
    </row>
    <row r="4988" spans="1:24" ht="15" customHeight="1" x14ac:dyDescent="0.25">
      <c r="A4988" t="str">
        <f>""</f>
        <v/>
      </c>
      <c r="B4988" s="1"/>
      <c r="H4988">
        <v>138.12</v>
      </c>
      <c r="J4988" t="s">
        <v>20</v>
      </c>
      <c r="L4988" s="1"/>
      <c r="N4988" s="1"/>
      <c r="V4988" t="str">
        <f>"67100"</f>
        <v>67100</v>
      </c>
      <c r="W4988">
        <v>40.049999999999997</v>
      </c>
      <c r="X4988">
        <v>0</v>
      </c>
    </row>
    <row r="4989" spans="1:24" x14ac:dyDescent="0.25">
      <c r="A4989" t="str">
        <f>""</f>
        <v/>
      </c>
      <c r="B4989" s="1"/>
      <c r="H4989">
        <v>143.44999999999999</v>
      </c>
      <c r="J4989" t="s">
        <v>16</v>
      </c>
      <c r="L4989" s="1"/>
      <c r="V4989" t="str">
        <f>"34500"</f>
        <v>34500</v>
      </c>
      <c r="W4989">
        <v>0</v>
      </c>
      <c r="X4989">
        <v>0</v>
      </c>
    </row>
    <row r="4990" spans="1:24" ht="15" customHeight="1" x14ac:dyDescent="0.25">
      <c r="A4990" t="str">
        <f>""</f>
        <v/>
      </c>
      <c r="B4990" s="1"/>
      <c r="H4990">
        <v>151</v>
      </c>
      <c r="J4990" t="s">
        <v>23</v>
      </c>
      <c r="L4990" s="1"/>
      <c r="V4990" t="str">
        <f>"92500"</f>
        <v>92500</v>
      </c>
      <c r="W4990">
        <v>0</v>
      </c>
      <c r="X4990">
        <v>0</v>
      </c>
    </row>
    <row r="4991" spans="1:24" ht="15" customHeight="1" x14ac:dyDescent="0.25">
      <c r="A4991" t="str">
        <f>""</f>
        <v/>
      </c>
      <c r="B4991" s="1"/>
      <c r="H4991">
        <v>151</v>
      </c>
      <c r="J4991" t="s">
        <v>23</v>
      </c>
      <c r="L4991" s="1"/>
      <c r="N4991" s="1"/>
      <c r="V4991" t="str">
        <f>"57930"</f>
        <v>57930</v>
      </c>
      <c r="W4991">
        <v>0</v>
      </c>
      <c r="X4991">
        <v>12.08</v>
      </c>
    </row>
    <row r="4992" spans="1:24" ht="15" customHeight="1" x14ac:dyDescent="0.25">
      <c r="A4992" t="str">
        <f>""</f>
        <v/>
      </c>
      <c r="B4992" s="1"/>
      <c r="H4992">
        <v>28</v>
      </c>
      <c r="L4992" s="1"/>
      <c r="N4992" s="1"/>
      <c r="V4992" t="str">
        <f>"77184"</f>
        <v>77184</v>
      </c>
      <c r="W4992">
        <v>0</v>
      </c>
      <c r="X4992">
        <v>0</v>
      </c>
    </row>
    <row r="4993" spans="1:24" ht="15" customHeight="1" x14ac:dyDescent="0.25">
      <c r="A4993" t="str">
        <f>""</f>
        <v/>
      </c>
      <c r="B4993" s="1"/>
      <c r="H4993">
        <v>105</v>
      </c>
      <c r="L4993" s="1"/>
      <c r="N4993" s="1"/>
      <c r="V4993" t="str">
        <f>"77184"</f>
        <v>77184</v>
      </c>
      <c r="W4993">
        <v>0</v>
      </c>
      <c r="X4993">
        <v>0</v>
      </c>
    </row>
    <row r="4994" spans="1:24" ht="15" customHeight="1" x14ac:dyDescent="0.25">
      <c r="A4994" t="str">
        <f>""</f>
        <v/>
      </c>
      <c r="B4994" s="1"/>
      <c r="H4994">
        <v>140</v>
      </c>
      <c r="J4994" t="s">
        <v>22</v>
      </c>
      <c r="L4994" s="1"/>
      <c r="N4994" s="1"/>
      <c r="V4994" t="str">
        <f>"59224"</f>
        <v>59224</v>
      </c>
      <c r="W4994">
        <v>0</v>
      </c>
      <c r="X4994">
        <v>0</v>
      </c>
    </row>
    <row r="4995" spans="1:24" ht="15" customHeight="1" x14ac:dyDescent="0.25">
      <c r="A4995" t="str">
        <f>""</f>
        <v/>
      </c>
      <c r="B4995" s="1"/>
      <c r="H4995">
        <v>75.14</v>
      </c>
      <c r="J4995" t="s">
        <v>20</v>
      </c>
      <c r="L4995" s="1"/>
      <c r="N4995" s="1"/>
      <c r="V4995" t="str">
        <f>"75002"</f>
        <v>75002</v>
      </c>
      <c r="W4995">
        <v>0</v>
      </c>
      <c r="X4995">
        <v>0</v>
      </c>
    </row>
    <row r="4996" spans="1:24" ht="15" customHeight="1" x14ac:dyDescent="0.25">
      <c r="A4996" t="str">
        <f>""</f>
        <v/>
      </c>
      <c r="B4996" s="1"/>
      <c r="H4996">
        <v>52.56</v>
      </c>
      <c r="J4996" t="s">
        <v>20</v>
      </c>
      <c r="L4996" s="1"/>
      <c r="N4996" s="1"/>
      <c r="V4996" t="str">
        <f>"75012"</f>
        <v>75012</v>
      </c>
      <c r="W4996">
        <v>0</v>
      </c>
      <c r="X4996">
        <v>0</v>
      </c>
    </row>
    <row r="4997" spans="1:24" ht="15" customHeight="1" x14ac:dyDescent="0.25">
      <c r="A4997" t="str">
        <f>""</f>
        <v/>
      </c>
      <c r="B4997" s="1"/>
      <c r="H4997">
        <v>19.8</v>
      </c>
      <c r="J4997" t="s">
        <v>19</v>
      </c>
      <c r="L4997" s="1"/>
      <c r="N4997" s="1"/>
      <c r="V4997" t="str">
        <f>"67230"</f>
        <v>67230</v>
      </c>
      <c r="W4997">
        <v>5.74</v>
      </c>
      <c r="X4997">
        <v>0</v>
      </c>
    </row>
    <row r="4998" spans="1:24" ht="15" customHeight="1" x14ac:dyDescent="0.25">
      <c r="A4998" t="str">
        <f>""</f>
        <v/>
      </c>
      <c r="B4998" s="1"/>
      <c r="H4998">
        <v>193.58</v>
      </c>
      <c r="J4998" t="s">
        <v>22</v>
      </c>
      <c r="L4998" s="1"/>
      <c r="N4998" s="1"/>
      <c r="V4998" t="str">
        <f>"44350"</f>
        <v>44350</v>
      </c>
      <c r="W4998">
        <v>0</v>
      </c>
      <c r="X4998">
        <v>0</v>
      </c>
    </row>
    <row r="4999" spans="1:24" x14ac:dyDescent="0.25">
      <c r="A4999" t="str">
        <f>""</f>
        <v/>
      </c>
      <c r="B4999" s="1"/>
      <c r="H4999">
        <v>193.66</v>
      </c>
      <c r="J4999" t="s">
        <v>15</v>
      </c>
      <c r="L4999" s="1"/>
      <c r="N4999" s="1"/>
      <c r="V4999" t="str">
        <f>"02000"</f>
        <v>02000</v>
      </c>
      <c r="W4999">
        <v>0</v>
      </c>
      <c r="X4999">
        <v>0</v>
      </c>
    </row>
    <row r="5000" spans="1:24" ht="15" customHeight="1" x14ac:dyDescent="0.25">
      <c r="A5000" t="str">
        <f>""</f>
        <v/>
      </c>
      <c r="B5000" s="1"/>
      <c r="H5000">
        <v>170.93</v>
      </c>
      <c r="J5000" t="s">
        <v>20</v>
      </c>
      <c r="L5000" s="1"/>
      <c r="N5000" s="1"/>
      <c r="V5000" t="str">
        <f>"13821"</f>
        <v>13821</v>
      </c>
      <c r="W5000">
        <v>49.57</v>
      </c>
      <c r="X5000">
        <v>0</v>
      </c>
    </row>
    <row r="5001" spans="1:24" ht="15" customHeight="1" x14ac:dyDescent="0.25">
      <c r="A5001" t="str">
        <f>""</f>
        <v/>
      </c>
      <c r="B5001" s="1"/>
      <c r="H5001">
        <v>75.34</v>
      </c>
      <c r="J5001" t="s">
        <v>19</v>
      </c>
      <c r="L5001" s="1"/>
      <c r="N5001" s="1"/>
      <c r="V5001" t="str">
        <f>"06140"</f>
        <v>06140</v>
      </c>
      <c r="W5001">
        <v>22.6</v>
      </c>
      <c r="X5001">
        <v>0</v>
      </c>
    </row>
    <row r="5002" spans="1:24" ht="15" customHeight="1" x14ac:dyDescent="0.25">
      <c r="A5002" t="str">
        <f>""</f>
        <v/>
      </c>
      <c r="B5002" s="1"/>
      <c r="J5002" t="s">
        <v>20</v>
      </c>
      <c r="L5002" s="1"/>
      <c r="N5002" s="1"/>
      <c r="V5002" t="str">
        <f>"06284"</f>
        <v>06284</v>
      </c>
      <c r="W5002">
        <v>0</v>
      </c>
      <c r="X5002">
        <v>0</v>
      </c>
    </row>
    <row r="5003" spans="1:24" ht="15" customHeight="1" x14ac:dyDescent="0.25">
      <c r="A5003" t="str">
        <f>""</f>
        <v/>
      </c>
      <c r="B5003" s="1"/>
      <c r="J5003" t="s">
        <v>20</v>
      </c>
      <c r="L5003" s="1"/>
      <c r="N5003" s="1"/>
      <c r="V5003" t="str">
        <f>"06284"</f>
        <v>06284</v>
      </c>
      <c r="W5003">
        <v>0</v>
      </c>
      <c r="X5003">
        <v>0</v>
      </c>
    </row>
    <row r="5004" spans="1:24" ht="15" customHeight="1" x14ac:dyDescent="0.25">
      <c r="A5004" t="str">
        <f>""</f>
        <v/>
      </c>
      <c r="B5004" s="1"/>
      <c r="H5004">
        <v>55.14</v>
      </c>
      <c r="J5004" t="s">
        <v>20</v>
      </c>
      <c r="L5004" s="1"/>
      <c r="N5004" s="1"/>
      <c r="V5004" t="str">
        <f>"84300"</f>
        <v>84300</v>
      </c>
      <c r="W5004">
        <v>15.99</v>
      </c>
      <c r="X5004">
        <v>0</v>
      </c>
    </row>
    <row r="5005" spans="1:24" ht="15" customHeight="1" x14ac:dyDescent="0.25">
      <c r="A5005" t="str">
        <f>""</f>
        <v/>
      </c>
      <c r="B5005" s="1"/>
      <c r="H5005">
        <v>21.09</v>
      </c>
      <c r="J5005" t="s">
        <v>19</v>
      </c>
      <c r="L5005" s="1"/>
      <c r="N5005" s="1"/>
      <c r="V5005" t="str">
        <f>"94250"</f>
        <v>94250</v>
      </c>
      <c r="W5005">
        <v>0</v>
      </c>
      <c r="X5005">
        <v>0</v>
      </c>
    </row>
    <row r="5006" spans="1:24" ht="15" customHeight="1" x14ac:dyDescent="0.25">
      <c r="A5006" t="str">
        <f>""</f>
        <v/>
      </c>
      <c r="B5006" s="1"/>
      <c r="H5006">
        <v>180</v>
      </c>
      <c r="J5006" t="s">
        <v>23</v>
      </c>
      <c r="L5006" s="1"/>
      <c r="N5006" s="1"/>
      <c r="V5006" t="str">
        <f>"34500"</f>
        <v>34500</v>
      </c>
      <c r="W5006">
        <v>0</v>
      </c>
      <c r="X5006">
        <v>50.4</v>
      </c>
    </row>
    <row r="5007" spans="1:24" ht="15" customHeight="1" x14ac:dyDescent="0.25">
      <c r="A5007" t="str">
        <f>""</f>
        <v/>
      </c>
      <c r="B5007" s="1"/>
      <c r="H5007">
        <v>140</v>
      </c>
      <c r="J5007" t="s">
        <v>23</v>
      </c>
      <c r="L5007" s="1"/>
      <c r="N5007" s="1"/>
      <c r="V5007" t="str">
        <f>"55000"</f>
        <v>55000</v>
      </c>
      <c r="W5007">
        <v>0</v>
      </c>
      <c r="X5007">
        <v>0</v>
      </c>
    </row>
    <row r="5008" spans="1:24" ht="15" customHeight="1" x14ac:dyDescent="0.25">
      <c r="A5008" t="str">
        <f>""</f>
        <v/>
      </c>
      <c r="B5008" s="1"/>
      <c r="H5008">
        <v>19.89</v>
      </c>
      <c r="J5008" t="s">
        <v>19</v>
      </c>
      <c r="L5008" s="1"/>
      <c r="N5008" s="1"/>
      <c r="V5008" t="str">
        <f>"06560"</f>
        <v>06560</v>
      </c>
      <c r="W5008">
        <v>5.97</v>
      </c>
      <c r="X5008">
        <v>0</v>
      </c>
    </row>
    <row r="5009" spans="1:24" ht="15" customHeight="1" x14ac:dyDescent="0.25">
      <c r="A5009" t="str">
        <f>""</f>
        <v/>
      </c>
      <c r="B5009" s="1"/>
      <c r="H5009">
        <v>153.52000000000001</v>
      </c>
      <c r="J5009" t="s">
        <v>19</v>
      </c>
      <c r="L5009" s="1"/>
      <c r="N5009" s="1"/>
      <c r="V5009" t="str">
        <f>"76290"</f>
        <v>76290</v>
      </c>
      <c r="W5009">
        <v>26.1</v>
      </c>
      <c r="X5009">
        <v>0</v>
      </c>
    </row>
    <row r="5010" spans="1:24" ht="15" customHeight="1" x14ac:dyDescent="0.25">
      <c r="A5010" t="str">
        <f>""</f>
        <v/>
      </c>
      <c r="B5010" s="1"/>
      <c r="H5010">
        <v>186.91</v>
      </c>
      <c r="J5010" t="s">
        <v>20</v>
      </c>
      <c r="L5010" s="1"/>
      <c r="N5010" s="1"/>
      <c r="V5010" t="str">
        <f>"63000"</f>
        <v>63000</v>
      </c>
      <c r="W5010">
        <v>54.2</v>
      </c>
      <c r="X5010">
        <v>0</v>
      </c>
    </row>
    <row r="5011" spans="1:24" ht="15" customHeight="1" x14ac:dyDescent="0.25">
      <c r="A5011" t="str">
        <f>""</f>
        <v/>
      </c>
      <c r="B5011" s="1"/>
      <c r="H5011">
        <v>130.19999999999999</v>
      </c>
      <c r="J5011" t="s">
        <v>20</v>
      </c>
      <c r="L5011" s="1"/>
      <c r="N5011" s="1"/>
      <c r="V5011" t="str">
        <f>"38120"</f>
        <v>38120</v>
      </c>
      <c r="W5011">
        <v>35.15</v>
      </c>
      <c r="X5011">
        <v>0</v>
      </c>
    </row>
    <row r="5012" spans="1:24" ht="15" customHeight="1" x14ac:dyDescent="0.25">
      <c r="A5012" t="str">
        <f>""</f>
        <v/>
      </c>
      <c r="B5012" s="1"/>
      <c r="H5012">
        <v>70</v>
      </c>
      <c r="J5012" t="s">
        <v>22</v>
      </c>
      <c r="L5012" s="1"/>
      <c r="N5012" s="1"/>
      <c r="V5012" t="str">
        <f>"62180"</f>
        <v>62180</v>
      </c>
      <c r="W5012">
        <v>0</v>
      </c>
      <c r="X5012">
        <v>0</v>
      </c>
    </row>
    <row r="5013" spans="1:24" ht="15" customHeight="1" x14ac:dyDescent="0.25">
      <c r="A5013" t="str">
        <f>""</f>
        <v/>
      </c>
      <c r="B5013" s="1"/>
      <c r="H5013">
        <v>220</v>
      </c>
      <c r="L5013" s="1"/>
      <c r="N5013" s="1"/>
      <c r="V5013" t="str">
        <f>"77184"</f>
        <v>77184</v>
      </c>
      <c r="W5013">
        <v>0</v>
      </c>
      <c r="X5013">
        <v>0</v>
      </c>
    </row>
    <row r="5014" spans="1:24" ht="15" customHeight="1" x14ac:dyDescent="0.25">
      <c r="A5014" t="str">
        <f>""</f>
        <v/>
      </c>
      <c r="B5014" s="1"/>
      <c r="H5014">
        <v>122.18</v>
      </c>
      <c r="J5014" t="s">
        <v>20</v>
      </c>
      <c r="L5014" s="1"/>
      <c r="N5014" s="1"/>
      <c r="V5014" t="str">
        <f>"19100"</f>
        <v>19100</v>
      </c>
      <c r="W5014">
        <v>35.43</v>
      </c>
      <c r="X5014">
        <v>0</v>
      </c>
    </row>
    <row r="5015" spans="1:24" ht="15" customHeight="1" x14ac:dyDescent="0.25">
      <c r="A5015" t="str">
        <f>""</f>
        <v/>
      </c>
      <c r="B5015" s="1"/>
      <c r="H5015">
        <v>120.85</v>
      </c>
      <c r="J5015" t="s">
        <v>20</v>
      </c>
      <c r="L5015" s="1"/>
      <c r="N5015" s="1"/>
      <c r="V5015" t="str">
        <f>"27300"</f>
        <v>27300</v>
      </c>
      <c r="W5015">
        <v>20.54</v>
      </c>
      <c r="X5015">
        <v>0</v>
      </c>
    </row>
    <row r="5016" spans="1:24" ht="15" customHeight="1" x14ac:dyDescent="0.25">
      <c r="A5016" t="str">
        <f>""</f>
        <v/>
      </c>
      <c r="B5016" s="1"/>
      <c r="H5016">
        <v>83.4</v>
      </c>
      <c r="J5016" t="s">
        <v>20</v>
      </c>
      <c r="L5016" s="1"/>
      <c r="N5016" s="1"/>
      <c r="V5016" t="str">
        <f>"34110"</f>
        <v>34110</v>
      </c>
      <c r="W5016">
        <v>32.53</v>
      </c>
      <c r="X5016">
        <v>0</v>
      </c>
    </row>
    <row r="5017" spans="1:24" ht="15" customHeight="1" x14ac:dyDescent="0.25">
      <c r="A5017" t="str">
        <f>""</f>
        <v/>
      </c>
      <c r="B5017" s="1"/>
      <c r="H5017">
        <v>143.81</v>
      </c>
      <c r="J5017" t="s">
        <v>20</v>
      </c>
      <c r="L5017" s="1"/>
      <c r="N5017" s="1"/>
      <c r="V5017" t="str">
        <f>"45320"</f>
        <v>45320</v>
      </c>
      <c r="W5017">
        <v>30.2</v>
      </c>
      <c r="X5017">
        <v>0</v>
      </c>
    </row>
    <row r="5018" spans="1:24" ht="15" customHeight="1" x14ac:dyDescent="0.25">
      <c r="A5018" t="str">
        <f>""</f>
        <v/>
      </c>
      <c r="B5018" s="1"/>
      <c r="H5018">
        <v>40</v>
      </c>
      <c r="J5018" t="s">
        <v>22</v>
      </c>
      <c r="L5018" s="1"/>
      <c r="N5018" s="1"/>
      <c r="V5018" t="str">
        <f>"76290"</f>
        <v>76290</v>
      </c>
      <c r="W5018">
        <v>0</v>
      </c>
      <c r="X5018">
        <v>6.8</v>
      </c>
    </row>
    <row r="5019" spans="1:24" ht="15" customHeight="1" x14ac:dyDescent="0.25">
      <c r="A5019" t="str">
        <f>""</f>
        <v/>
      </c>
      <c r="B5019" s="1"/>
      <c r="H5019">
        <v>164.8</v>
      </c>
      <c r="J5019" t="s">
        <v>22</v>
      </c>
      <c r="L5019" s="1"/>
      <c r="N5019" s="1"/>
      <c r="V5019" t="str">
        <f>"59260"</f>
        <v>59260</v>
      </c>
      <c r="W5019">
        <v>0</v>
      </c>
      <c r="X5019">
        <v>0</v>
      </c>
    </row>
    <row r="5020" spans="1:24" ht="15" customHeight="1" x14ac:dyDescent="0.25">
      <c r="A5020" t="str">
        <f>""</f>
        <v/>
      </c>
      <c r="B5020" s="1"/>
      <c r="H5020">
        <v>171</v>
      </c>
      <c r="L5020" s="1"/>
      <c r="N5020" s="1"/>
      <c r="V5020" t="str">
        <f>"77184"</f>
        <v>77184</v>
      </c>
      <c r="W5020">
        <v>0</v>
      </c>
      <c r="X5020">
        <v>0</v>
      </c>
    </row>
    <row r="5021" spans="1:24" ht="15" customHeight="1" x14ac:dyDescent="0.25">
      <c r="A5021" t="str">
        <f>""</f>
        <v/>
      </c>
      <c r="B5021" s="1"/>
      <c r="H5021">
        <v>171</v>
      </c>
      <c r="L5021" s="1"/>
      <c r="N5021" s="1"/>
      <c r="V5021" t="str">
        <f>"77184"</f>
        <v>77184</v>
      </c>
      <c r="W5021">
        <v>0</v>
      </c>
      <c r="X5021">
        <v>0</v>
      </c>
    </row>
    <row r="5022" spans="1:24" ht="15" customHeight="1" x14ac:dyDescent="0.25">
      <c r="A5022" t="str">
        <f>""</f>
        <v/>
      </c>
      <c r="B5022" s="1"/>
      <c r="H5022">
        <v>25.8</v>
      </c>
      <c r="J5022" t="s">
        <v>19</v>
      </c>
      <c r="L5022" s="1"/>
      <c r="N5022" s="1"/>
      <c r="V5022" t="str">
        <f>"38590"</f>
        <v>38590</v>
      </c>
      <c r="W5022">
        <v>6.97</v>
      </c>
      <c r="X5022">
        <v>0</v>
      </c>
    </row>
    <row r="5023" spans="1:24" ht="15" customHeight="1" x14ac:dyDescent="0.25">
      <c r="A5023" t="str">
        <f>""</f>
        <v/>
      </c>
      <c r="B5023" s="1"/>
      <c r="H5023">
        <v>55.74</v>
      </c>
      <c r="J5023" t="s">
        <v>19</v>
      </c>
      <c r="L5023" s="1"/>
      <c r="N5023" s="1"/>
      <c r="V5023" t="str">
        <f>"94190"</f>
        <v>94190</v>
      </c>
      <c r="W5023">
        <v>0</v>
      </c>
      <c r="X5023">
        <v>0</v>
      </c>
    </row>
    <row r="5024" spans="1:24" ht="15" customHeight="1" x14ac:dyDescent="0.25">
      <c r="A5024" t="str">
        <f>""</f>
        <v/>
      </c>
      <c r="B5024" s="1"/>
      <c r="H5024">
        <v>120.29</v>
      </c>
      <c r="J5024" t="s">
        <v>19</v>
      </c>
      <c r="L5024" s="1"/>
      <c r="N5024" s="1"/>
      <c r="V5024" t="str">
        <f>"83340"</f>
        <v>83340</v>
      </c>
      <c r="W5024">
        <v>36.090000000000003</v>
      </c>
      <c r="X5024">
        <v>0</v>
      </c>
    </row>
    <row r="5025" spans="1:24" ht="15" customHeight="1" x14ac:dyDescent="0.25">
      <c r="A5025" t="str">
        <f>""</f>
        <v/>
      </c>
      <c r="B5025" s="1"/>
      <c r="H5025">
        <v>400</v>
      </c>
      <c r="J5025" t="s">
        <v>23</v>
      </c>
      <c r="L5025" s="1"/>
      <c r="N5025" s="1"/>
      <c r="V5025" t="str">
        <f>"13008"</f>
        <v>13008</v>
      </c>
      <c r="W5025">
        <v>0</v>
      </c>
      <c r="X5025">
        <v>0</v>
      </c>
    </row>
    <row r="5026" spans="1:24" ht="15" customHeight="1" x14ac:dyDescent="0.25">
      <c r="A5026" t="str">
        <f>""</f>
        <v/>
      </c>
      <c r="B5026" s="1"/>
      <c r="H5026">
        <v>187.03</v>
      </c>
      <c r="J5026" t="s">
        <v>20</v>
      </c>
      <c r="L5026" s="1"/>
      <c r="N5026" s="1"/>
      <c r="V5026" t="str">
        <f>"69363"</f>
        <v>69363</v>
      </c>
      <c r="W5026">
        <v>50.5</v>
      </c>
      <c r="X5026">
        <v>0</v>
      </c>
    </row>
    <row r="5027" spans="1:24" ht="15" customHeight="1" x14ac:dyDescent="0.25">
      <c r="A5027" t="str">
        <f>""</f>
        <v/>
      </c>
      <c r="B5027" s="1"/>
      <c r="H5027">
        <v>148.93</v>
      </c>
      <c r="J5027" t="s">
        <v>20</v>
      </c>
      <c r="L5027" s="1"/>
      <c r="N5027" s="1"/>
      <c r="V5027" t="str">
        <f>"75012"</f>
        <v>75012</v>
      </c>
      <c r="W5027">
        <v>0</v>
      </c>
      <c r="X5027">
        <v>0</v>
      </c>
    </row>
    <row r="5028" spans="1:24" ht="15" customHeight="1" x14ac:dyDescent="0.25">
      <c r="A5028" t="str">
        <f>""</f>
        <v/>
      </c>
      <c r="B5028" s="1"/>
      <c r="H5028">
        <v>33.35</v>
      </c>
      <c r="J5028" t="s">
        <v>19</v>
      </c>
      <c r="L5028" s="1"/>
      <c r="N5028" s="1"/>
      <c r="V5028" t="str">
        <f>"13100"</f>
        <v>13100</v>
      </c>
      <c r="W5028">
        <v>9.67</v>
      </c>
      <c r="X5028">
        <v>0</v>
      </c>
    </row>
    <row r="5029" spans="1:24" ht="15" customHeight="1" x14ac:dyDescent="0.25">
      <c r="A5029" t="str">
        <f>""</f>
        <v/>
      </c>
      <c r="B5029" s="1"/>
      <c r="H5029">
        <v>33.35</v>
      </c>
      <c r="J5029" t="s">
        <v>19</v>
      </c>
      <c r="L5029" s="1"/>
      <c r="N5029" s="1"/>
      <c r="V5029" t="str">
        <f>"69005"</f>
        <v>69005</v>
      </c>
      <c r="W5029">
        <v>9</v>
      </c>
      <c r="X5029">
        <v>0</v>
      </c>
    </row>
    <row r="5030" spans="1:24" ht="15" customHeight="1" x14ac:dyDescent="0.25">
      <c r="A5030" t="str">
        <f>""</f>
        <v/>
      </c>
      <c r="B5030" s="1"/>
      <c r="H5030">
        <v>33.35</v>
      </c>
      <c r="J5030" t="s">
        <v>19</v>
      </c>
      <c r="L5030" s="1"/>
      <c r="N5030" s="1"/>
      <c r="V5030" t="str">
        <f>"69005"</f>
        <v>69005</v>
      </c>
      <c r="W5030">
        <v>9</v>
      </c>
      <c r="X5030">
        <v>0</v>
      </c>
    </row>
    <row r="5031" spans="1:24" ht="15" customHeight="1" x14ac:dyDescent="0.25">
      <c r="A5031" t="str">
        <f>""</f>
        <v/>
      </c>
      <c r="B5031" s="1"/>
      <c r="H5031">
        <v>151</v>
      </c>
      <c r="J5031" t="s">
        <v>23</v>
      </c>
      <c r="L5031" s="1"/>
      <c r="N5031" s="1"/>
      <c r="V5031" t="str">
        <f>"76300"</f>
        <v>76300</v>
      </c>
      <c r="W5031">
        <v>0</v>
      </c>
      <c r="X5031">
        <v>25.67</v>
      </c>
    </row>
    <row r="5032" spans="1:24" ht="15" customHeight="1" x14ac:dyDescent="0.25">
      <c r="A5032" t="str">
        <f>""</f>
        <v/>
      </c>
      <c r="B5032" s="1"/>
      <c r="H5032">
        <v>139.19999999999999</v>
      </c>
      <c r="J5032" t="s">
        <v>19</v>
      </c>
      <c r="L5032" s="1"/>
      <c r="N5032" s="1"/>
      <c r="V5032" t="str">
        <f>"84140"</f>
        <v>84140</v>
      </c>
      <c r="W5032">
        <v>40.369999999999997</v>
      </c>
      <c r="X5032">
        <v>0</v>
      </c>
    </row>
    <row r="5033" spans="1:24" ht="15" customHeight="1" x14ac:dyDescent="0.25">
      <c r="A5033" t="str">
        <f>""</f>
        <v/>
      </c>
      <c r="B5033" s="1"/>
      <c r="H5033">
        <v>18.350000000000001</v>
      </c>
      <c r="J5033" t="s">
        <v>19</v>
      </c>
      <c r="L5033" s="1"/>
      <c r="N5033" s="1"/>
      <c r="V5033" t="str">
        <f>"84140"</f>
        <v>84140</v>
      </c>
      <c r="W5033">
        <v>5.32</v>
      </c>
      <c r="X5033">
        <v>0</v>
      </c>
    </row>
    <row r="5034" spans="1:24" ht="15" customHeight="1" x14ac:dyDescent="0.25">
      <c r="A5034" t="str">
        <f>""</f>
        <v/>
      </c>
      <c r="B5034" s="1"/>
      <c r="H5034">
        <v>33.35</v>
      </c>
      <c r="J5034" t="s">
        <v>19</v>
      </c>
      <c r="L5034" s="1"/>
      <c r="N5034" s="1"/>
      <c r="V5034" t="str">
        <f>"94150"</f>
        <v>94150</v>
      </c>
      <c r="W5034">
        <v>0</v>
      </c>
      <c r="X5034">
        <v>0</v>
      </c>
    </row>
    <row r="5035" spans="1:24" ht="15" customHeight="1" x14ac:dyDescent="0.25">
      <c r="A5035" t="str">
        <f>""</f>
        <v/>
      </c>
      <c r="B5035" s="1"/>
      <c r="H5035">
        <v>83</v>
      </c>
      <c r="J5035" t="s">
        <v>22</v>
      </c>
      <c r="L5035" s="1"/>
      <c r="N5035" s="1"/>
      <c r="V5035" t="str">
        <f>"75008"</f>
        <v>75008</v>
      </c>
      <c r="W5035">
        <v>0</v>
      </c>
      <c r="X5035">
        <v>0</v>
      </c>
    </row>
    <row r="5036" spans="1:24" ht="15" customHeight="1" x14ac:dyDescent="0.25">
      <c r="A5036" t="str">
        <f>""</f>
        <v/>
      </c>
      <c r="B5036" s="1"/>
      <c r="H5036">
        <v>140</v>
      </c>
      <c r="L5036" s="1"/>
      <c r="N5036" s="1"/>
      <c r="V5036" t="str">
        <f>"69380"</f>
        <v>69380</v>
      </c>
      <c r="W5036">
        <v>0</v>
      </c>
      <c r="X5036">
        <v>0</v>
      </c>
    </row>
    <row r="5037" spans="1:24" x14ac:dyDescent="0.25">
      <c r="A5037" t="str">
        <f>""</f>
        <v/>
      </c>
      <c r="B5037" s="1"/>
      <c r="H5037">
        <v>124.04</v>
      </c>
      <c r="J5037" t="s">
        <v>15</v>
      </c>
      <c r="L5037" s="1"/>
      <c r="N5037" s="1"/>
      <c r="V5037" t="str">
        <f>"92200"</f>
        <v>92200</v>
      </c>
      <c r="W5037">
        <v>0</v>
      </c>
      <c r="X5037">
        <v>0</v>
      </c>
    </row>
    <row r="5038" spans="1:24" ht="15" customHeight="1" x14ac:dyDescent="0.25">
      <c r="A5038" t="str">
        <f>""</f>
        <v/>
      </c>
      <c r="B5038" s="1"/>
      <c r="H5038">
        <v>55.14</v>
      </c>
      <c r="J5038" t="s">
        <v>20</v>
      </c>
      <c r="L5038" s="1"/>
      <c r="N5038" s="1"/>
      <c r="V5038" t="str">
        <f>"44700"</f>
        <v>44700</v>
      </c>
      <c r="W5038">
        <v>14.89</v>
      </c>
      <c r="X5038">
        <v>0</v>
      </c>
    </row>
    <row r="5039" spans="1:24" ht="15" customHeight="1" x14ac:dyDescent="0.25">
      <c r="A5039" t="str">
        <f>""</f>
        <v/>
      </c>
      <c r="B5039" s="1"/>
      <c r="H5039">
        <v>140</v>
      </c>
      <c r="J5039" t="s">
        <v>23</v>
      </c>
      <c r="L5039" s="1"/>
      <c r="N5039" s="1"/>
      <c r="V5039" t="str">
        <f>"84120"</f>
        <v>84120</v>
      </c>
      <c r="W5039">
        <v>0</v>
      </c>
      <c r="X5039">
        <v>0</v>
      </c>
    </row>
    <row r="5040" spans="1:24" ht="15" customHeight="1" x14ac:dyDescent="0.25">
      <c r="A5040" t="str">
        <f>""</f>
        <v/>
      </c>
      <c r="B5040" s="1"/>
      <c r="H5040">
        <v>36.369999999999997</v>
      </c>
      <c r="J5040" t="s">
        <v>20</v>
      </c>
      <c r="L5040" s="1"/>
      <c r="N5040" s="1"/>
      <c r="V5040" t="str">
        <f>"60210"</f>
        <v>60210</v>
      </c>
      <c r="W5040">
        <v>6.91</v>
      </c>
      <c r="X5040">
        <v>0</v>
      </c>
    </row>
    <row r="5041" spans="1:24" ht="15" customHeight="1" x14ac:dyDescent="0.25">
      <c r="A5041" t="str">
        <f>""</f>
        <v/>
      </c>
      <c r="B5041" s="1"/>
      <c r="H5041">
        <v>140</v>
      </c>
      <c r="J5041" t="s">
        <v>23</v>
      </c>
      <c r="L5041" s="1"/>
      <c r="N5041" s="1"/>
      <c r="V5041" t="str">
        <f>"79000"</f>
        <v>79000</v>
      </c>
      <c r="W5041">
        <v>0</v>
      </c>
      <c r="X5041">
        <v>0</v>
      </c>
    </row>
    <row r="5042" spans="1:24" ht="15" customHeight="1" x14ac:dyDescent="0.25">
      <c r="A5042" t="str">
        <f>""</f>
        <v/>
      </c>
      <c r="B5042" s="1"/>
      <c r="H5042">
        <v>70</v>
      </c>
      <c r="J5042" t="s">
        <v>22</v>
      </c>
      <c r="L5042" s="1"/>
      <c r="V5042" t="str">
        <f>"69200"</f>
        <v>69200</v>
      </c>
      <c r="W5042">
        <v>0</v>
      </c>
      <c r="X5042">
        <v>0</v>
      </c>
    </row>
    <row r="5043" spans="1:24" ht="15" customHeight="1" x14ac:dyDescent="0.25">
      <c r="A5043" t="str">
        <f>""</f>
        <v/>
      </c>
      <c r="B5043" s="1"/>
      <c r="H5043">
        <v>140</v>
      </c>
      <c r="J5043" t="s">
        <v>20</v>
      </c>
      <c r="L5043" s="1"/>
      <c r="N5043" s="1"/>
      <c r="V5043" t="str">
        <f>"59190"</f>
        <v>59190</v>
      </c>
      <c r="W5043">
        <v>26.6</v>
      </c>
      <c r="X5043">
        <v>0</v>
      </c>
    </row>
    <row r="5044" spans="1:24" ht="15" customHeight="1" x14ac:dyDescent="0.25">
      <c r="A5044" t="str">
        <f>""</f>
        <v/>
      </c>
      <c r="B5044" s="1"/>
      <c r="H5044">
        <v>136.82</v>
      </c>
      <c r="J5044" t="s">
        <v>19</v>
      </c>
      <c r="L5044" s="1"/>
      <c r="N5044" s="1"/>
      <c r="V5044" t="str">
        <f>"75019"</f>
        <v>75019</v>
      </c>
      <c r="W5044">
        <v>0</v>
      </c>
      <c r="X5044">
        <v>0</v>
      </c>
    </row>
    <row r="5045" spans="1:24" ht="15" customHeight="1" x14ac:dyDescent="0.25">
      <c r="A5045" t="str">
        <f>""</f>
        <v/>
      </c>
      <c r="B5045" s="1"/>
      <c r="H5045">
        <v>23.12</v>
      </c>
      <c r="J5045" t="s">
        <v>20</v>
      </c>
      <c r="L5045" s="1"/>
      <c r="N5045" s="1"/>
      <c r="V5045" t="str">
        <f>"75013"</f>
        <v>75013</v>
      </c>
      <c r="W5045">
        <v>0</v>
      </c>
      <c r="X5045">
        <v>0</v>
      </c>
    </row>
    <row r="5046" spans="1:24" ht="15" customHeight="1" x14ac:dyDescent="0.25">
      <c r="A5046" t="str">
        <f>""</f>
        <v/>
      </c>
      <c r="B5046" s="1"/>
      <c r="H5046">
        <v>100</v>
      </c>
      <c r="L5046" s="1"/>
      <c r="N5046" s="1"/>
      <c r="V5046" t="str">
        <f>"77184"</f>
        <v>77184</v>
      </c>
      <c r="W5046">
        <v>0</v>
      </c>
      <c r="X5046">
        <v>0</v>
      </c>
    </row>
    <row r="5047" spans="1:24" ht="15" customHeight="1" x14ac:dyDescent="0.25">
      <c r="A5047" t="str">
        <f>""</f>
        <v/>
      </c>
      <c r="B5047" s="1"/>
      <c r="H5047">
        <v>74.33</v>
      </c>
      <c r="L5047" s="1"/>
      <c r="N5047" s="1"/>
      <c r="V5047" t="str">
        <f>"77184"</f>
        <v>77184</v>
      </c>
      <c r="W5047">
        <v>0</v>
      </c>
      <c r="X5047">
        <v>0</v>
      </c>
    </row>
    <row r="5048" spans="1:24" ht="15" customHeight="1" x14ac:dyDescent="0.25">
      <c r="A5048" t="str">
        <f>""</f>
        <v/>
      </c>
      <c r="B5048" s="1"/>
      <c r="H5048">
        <v>181</v>
      </c>
      <c r="J5048" t="s">
        <v>23</v>
      </c>
      <c r="L5048" s="1"/>
      <c r="N5048" s="1"/>
      <c r="V5048" t="str">
        <f>"04100"</f>
        <v>04100</v>
      </c>
      <c r="W5048">
        <v>0</v>
      </c>
      <c r="X5048">
        <v>0</v>
      </c>
    </row>
    <row r="5049" spans="1:24" ht="15" customHeight="1" x14ac:dyDescent="0.25">
      <c r="A5049" t="str">
        <f>""</f>
        <v/>
      </c>
      <c r="B5049" s="1"/>
      <c r="H5049">
        <v>137.57</v>
      </c>
      <c r="J5049" t="s">
        <v>20</v>
      </c>
      <c r="L5049" s="1"/>
      <c r="N5049" s="1"/>
      <c r="V5049" t="str">
        <f>"06902"</f>
        <v>06902</v>
      </c>
      <c r="W5049">
        <v>41.27</v>
      </c>
      <c r="X5049">
        <v>0</v>
      </c>
    </row>
    <row r="5050" spans="1:24" ht="15" customHeight="1" x14ac:dyDescent="0.25">
      <c r="A5050" t="str">
        <f>""</f>
        <v/>
      </c>
      <c r="B5050" s="1"/>
      <c r="H5050">
        <v>193.2</v>
      </c>
      <c r="J5050" t="s">
        <v>22</v>
      </c>
      <c r="L5050" s="1"/>
      <c r="N5050" s="1"/>
      <c r="V5050" t="str">
        <f>"71200"</f>
        <v>71200</v>
      </c>
      <c r="W5050">
        <v>0</v>
      </c>
      <c r="X5050">
        <v>0</v>
      </c>
    </row>
    <row r="5051" spans="1:24" ht="15" customHeight="1" x14ac:dyDescent="0.25">
      <c r="A5051" t="str">
        <f>""</f>
        <v/>
      </c>
      <c r="B5051" s="1"/>
      <c r="H5051">
        <v>154.30000000000001</v>
      </c>
      <c r="J5051" t="s">
        <v>22</v>
      </c>
      <c r="L5051" s="1"/>
      <c r="N5051" s="1"/>
      <c r="V5051" t="str">
        <f>"14000"</f>
        <v>14000</v>
      </c>
      <c r="W5051">
        <v>0</v>
      </c>
      <c r="X5051">
        <v>0</v>
      </c>
    </row>
    <row r="5052" spans="1:24" ht="15" customHeight="1" x14ac:dyDescent="0.25">
      <c r="A5052" t="str">
        <f>""</f>
        <v/>
      </c>
      <c r="B5052" s="1"/>
      <c r="H5052">
        <v>199.92</v>
      </c>
      <c r="J5052" t="s">
        <v>22</v>
      </c>
      <c r="L5052" s="1"/>
      <c r="N5052" s="1"/>
      <c r="V5052" t="str">
        <f>"38340"</f>
        <v>38340</v>
      </c>
      <c r="W5052">
        <v>0</v>
      </c>
      <c r="X5052">
        <v>0</v>
      </c>
    </row>
    <row r="5053" spans="1:24" ht="15" customHeight="1" x14ac:dyDescent="0.25">
      <c r="A5053" t="str">
        <f>""</f>
        <v/>
      </c>
      <c r="B5053" s="1"/>
      <c r="H5053">
        <v>187.02</v>
      </c>
      <c r="J5053" t="s">
        <v>23</v>
      </c>
      <c r="L5053" s="1"/>
      <c r="N5053" s="1"/>
      <c r="V5053" t="str">
        <f>"13100"</f>
        <v>13100</v>
      </c>
      <c r="W5053">
        <v>0</v>
      </c>
      <c r="X5053">
        <v>0</v>
      </c>
    </row>
    <row r="5054" spans="1:24" ht="15" customHeight="1" x14ac:dyDescent="0.25">
      <c r="A5054" t="str">
        <f>""</f>
        <v/>
      </c>
      <c r="B5054" s="1"/>
      <c r="H5054">
        <v>159.24</v>
      </c>
      <c r="J5054" t="s">
        <v>19</v>
      </c>
      <c r="L5054" s="1"/>
      <c r="N5054" s="1"/>
      <c r="V5054" t="str">
        <f>"13001"</f>
        <v>13001</v>
      </c>
      <c r="W5054">
        <v>46.18</v>
      </c>
      <c r="X5054">
        <v>0</v>
      </c>
    </row>
    <row r="5055" spans="1:24" ht="15" customHeight="1" x14ac:dyDescent="0.25">
      <c r="A5055" t="str">
        <f>""</f>
        <v/>
      </c>
      <c r="B5055" s="1"/>
      <c r="H5055">
        <v>32.6</v>
      </c>
      <c r="J5055" t="s">
        <v>23</v>
      </c>
      <c r="L5055" s="1"/>
      <c r="N5055" s="1"/>
      <c r="V5055" t="str">
        <f>"37550"</f>
        <v>37550</v>
      </c>
      <c r="W5055">
        <v>0</v>
      </c>
      <c r="X5055">
        <v>0</v>
      </c>
    </row>
    <row r="5056" spans="1:24" ht="15" customHeight="1" x14ac:dyDescent="0.25">
      <c r="A5056" t="str">
        <f>""</f>
        <v/>
      </c>
      <c r="B5056" s="1"/>
      <c r="H5056">
        <v>133.6</v>
      </c>
      <c r="J5056" t="s">
        <v>22</v>
      </c>
      <c r="L5056" s="1"/>
      <c r="N5056" s="1"/>
      <c r="V5056" t="str">
        <f>"26000"</f>
        <v>26000</v>
      </c>
      <c r="W5056">
        <v>0</v>
      </c>
      <c r="X5056">
        <v>0</v>
      </c>
    </row>
    <row r="5057" spans="1:24" x14ac:dyDescent="0.25">
      <c r="A5057" t="str">
        <f>""</f>
        <v/>
      </c>
      <c r="B5057" s="1"/>
      <c r="H5057">
        <v>99.01</v>
      </c>
      <c r="J5057" t="s">
        <v>18</v>
      </c>
      <c r="L5057" s="1"/>
      <c r="N5057" s="1"/>
      <c r="V5057" t="str">
        <f>"67500"</f>
        <v>67500</v>
      </c>
      <c r="W5057">
        <v>0</v>
      </c>
      <c r="X5057">
        <v>0</v>
      </c>
    </row>
    <row r="5058" spans="1:24" ht="15" customHeight="1" x14ac:dyDescent="0.25">
      <c r="A5058" t="str">
        <f>""</f>
        <v/>
      </c>
      <c r="B5058" s="1"/>
      <c r="H5058">
        <v>151.24</v>
      </c>
      <c r="J5058" t="s">
        <v>23</v>
      </c>
      <c r="L5058" s="1"/>
      <c r="N5058" s="1"/>
      <c r="V5058" t="str">
        <f>"75019"</f>
        <v>75019</v>
      </c>
      <c r="W5058">
        <v>0</v>
      </c>
      <c r="X5058">
        <v>0</v>
      </c>
    </row>
    <row r="5059" spans="1:24" ht="15" customHeight="1" x14ac:dyDescent="0.25">
      <c r="A5059" t="str">
        <f>""</f>
        <v/>
      </c>
      <c r="B5059" s="1"/>
      <c r="H5059">
        <v>199.6</v>
      </c>
      <c r="J5059" t="s">
        <v>22</v>
      </c>
      <c r="L5059" s="1"/>
      <c r="N5059" s="1"/>
      <c r="V5059" t="str">
        <f>"94200"</f>
        <v>94200</v>
      </c>
      <c r="W5059">
        <v>0</v>
      </c>
      <c r="X5059">
        <v>0</v>
      </c>
    </row>
    <row r="5060" spans="1:24" ht="15" customHeight="1" x14ac:dyDescent="0.25">
      <c r="A5060" t="str">
        <f>""</f>
        <v/>
      </c>
      <c r="B5060" s="1"/>
      <c r="H5060">
        <v>22.5</v>
      </c>
      <c r="J5060" t="s">
        <v>22</v>
      </c>
      <c r="L5060" s="1"/>
      <c r="V5060" t="str">
        <f>"74940"</f>
        <v>74940</v>
      </c>
      <c r="W5060">
        <v>0</v>
      </c>
      <c r="X5060">
        <v>0</v>
      </c>
    </row>
    <row r="5061" spans="1:24" ht="15" customHeight="1" x14ac:dyDescent="0.25">
      <c r="A5061" t="str">
        <f>""</f>
        <v/>
      </c>
      <c r="B5061" s="1"/>
      <c r="H5061">
        <v>151</v>
      </c>
      <c r="J5061" t="s">
        <v>23</v>
      </c>
      <c r="L5061" s="1"/>
      <c r="N5061" s="1"/>
      <c r="V5061" t="str">
        <f>"53200"</f>
        <v>53200</v>
      </c>
      <c r="W5061">
        <v>0</v>
      </c>
      <c r="X5061">
        <v>0</v>
      </c>
    </row>
    <row r="5062" spans="1:24" ht="15" customHeight="1" x14ac:dyDescent="0.25">
      <c r="A5062" t="str">
        <f>""</f>
        <v/>
      </c>
      <c r="B5062" s="1"/>
      <c r="H5062">
        <v>19.399999999999999</v>
      </c>
      <c r="J5062" t="s">
        <v>22</v>
      </c>
      <c r="L5062" s="1"/>
      <c r="V5062" t="str">
        <f>"27300"</f>
        <v>27300</v>
      </c>
      <c r="W5062">
        <v>0</v>
      </c>
      <c r="X5062">
        <v>0</v>
      </c>
    </row>
    <row r="5063" spans="1:24" ht="15" customHeight="1" x14ac:dyDescent="0.25">
      <c r="A5063" t="str">
        <f>""</f>
        <v/>
      </c>
      <c r="B5063" s="1"/>
      <c r="H5063">
        <v>109.06</v>
      </c>
      <c r="J5063" t="s">
        <v>22</v>
      </c>
      <c r="L5063" s="1"/>
      <c r="N5063" s="1"/>
      <c r="V5063" t="str">
        <f>"57000"</f>
        <v>57000</v>
      </c>
      <c r="W5063">
        <v>0</v>
      </c>
      <c r="X5063">
        <v>27.26</v>
      </c>
    </row>
    <row r="5064" spans="1:24" ht="15" customHeight="1" x14ac:dyDescent="0.25">
      <c r="A5064" t="str">
        <f>""</f>
        <v/>
      </c>
      <c r="B5064" s="1"/>
      <c r="H5064">
        <v>109.06</v>
      </c>
      <c r="J5064" t="s">
        <v>23</v>
      </c>
      <c r="L5064" s="1"/>
      <c r="N5064" s="1"/>
      <c r="V5064" t="str">
        <f>"54400"</f>
        <v>54400</v>
      </c>
      <c r="W5064">
        <v>0</v>
      </c>
      <c r="X5064">
        <v>27.26</v>
      </c>
    </row>
    <row r="5065" spans="1:24" ht="15" customHeight="1" x14ac:dyDescent="0.25">
      <c r="A5065" t="str">
        <f>""</f>
        <v/>
      </c>
      <c r="B5065" s="1"/>
      <c r="H5065">
        <v>25</v>
      </c>
      <c r="J5065" t="s">
        <v>22</v>
      </c>
      <c r="L5065" s="1"/>
      <c r="V5065" t="str">
        <f>"70000"</f>
        <v>70000</v>
      </c>
      <c r="W5065">
        <v>0</v>
      </c>
      <c r="X5065">
        <v>0</v>
      </c>
    </row>
    <row r="5066" spans="1:24" x14ac:dyDescent="0.25">
      <c r="A5066" t="str">
        <f>""</f>
        <v/>
      </c>
      <c r="B5066" s="1"/>
      <c r="H5066">
        <v>52.5</v>
      </c>
      <c r="J5066" t="s">
        <v>15</v>
      </c>
      <c r="L5066" s="1"/>
      <c r="N5066" s="1"/>
      <c r="V5066" t="str">
        <f>"69003"</f>
        <v>69003</v>
      </c>
      <c r="W5066">
        <v>0</v>
      </c>
      <c r="X5066">
        <v>0</v>
      </c>
    </row>
    <row r="5067" spans="1:24" x14ac:dyDescent="0.25">
      <c r="A5067" t="str">
        <f>""</f>
        <v/>
      </c>
      <c r="B5067" s="1"/>
      <c r="H5067">
        <v>52.5</v>
      </c>
      <c r="J5067" t="s">
        <v>15</v>
      </c>
      <c r="L5067" s="1"/>
      <c r="N5067" s="1"/>
      <c r="V5067" t="str">
        <f>"69003"</f>
        <v>69003</v>
      </c>
      <c r="W5067">
        <v>0</v>
      </c>
      <c r="X5067">
        <v>0</v>
      </c>
    </row>
    <row r="5068" spans="1:24" x14ac:dyDescent="0.25">
      <c r="A5068" t="str">
        <f>""</f>
        <v/>
      </c>
      <c r="B5068" s="1"/>
      <c r="H5068">
        <v>52.5</v>
      </c>
      <c r="J5068" t="s">
        <v>15</v>
      </c>
      <c r="L5068" s="1"/>
      <c r="N5068" s="1"/>
      <c r="V5068" t="str">
        <f>"13006"</f>
        <v>13006</v>
      </c>
      <c r="W5068">
        <v>0</v>
      </c>
      <c r="X5068">
        <v>0</v>
      </c>
    </row>
    <row r="5069" spans="1:24" x14ac:dyDescent="0.25">
      <c r="A5069" t="str">
        <f>""</f>
        <v/>
      </c>
      <c r="B5069" s="1"/>
      <c r="H5069">
        <v>52.5</v>
      </c>
      <c r="J5069" t="s">
        <v>15</v>
      </c>
      <c r="L5069" s="1"/>
      <c r="N5069" s="1"/>
      <c r="V5069" t="str">
        <f>"65000"</f>
        <v>65000</v>
      </c>
      <c r="W5069">
        <v>0</v>
      </c>
      <c r="X5069">
        <v>0</v>
      </c>
    </row>
    <row r="5070" spans="1:24" ht="15" customHeight="1" x14ac:dyDescent="0.25">
      <c r="A5070" t="str">
        <f>""</f>
        <v/>
      </c>
      <c r="B5070" s="1"/>
      <c r="H5070">
        <v>14</v>
      </c>
      <c r="J5070" t="s">
        <v>23</v>
      </c>
      <c r="L5070" s="1"/>
      <c r="V5070" t="str">
        <f>"77290"</f>
        <v>77290</v>
      </c>
      <c r="W5070">
        <v>0</v>
      </c>
      <c r="X5070">
        <v>0</v>
      </c>
    </row>
    <row r="5071" spans="1:24" ht="15" customHeight="1" x14ac:dyDescent="0.25">
      <c r="A5071" t="str">
        <f>""</f>
        <v/>
      </c>
      <c r="B5071" s="1"/>
      <c r="H5071">
        <v>70</v>
      </c>
      <c r="J5071" t="s">
        <v>22</v>
      </c>
      <c r="L5071" s="1"/>
      <c r="N5071" s="1"/>
      <c r="V5071" t="str">
        <f>"13001"</f>
        <v>13001</v>
      </c>
      <c r="W5071">
        <v>0</v>
      </c>
      <c r="X5071">
        <v>0</v>
      </c>
    </row>
    <row r="5072" spans="1:24" ht="15" customHeight="1" x14ac:dyDescent="0.25">
      <c r="A5072" t="str">
        <f>""</f>
        <v/>
      </c>
      <c r="B5072" s="1"/>
      <c r="H5072">
        <v>25.69</v>
      </c>
      <c r="J5072" t="s">
        <v>20</v>
      </c>
      <c r="L5072" s="1"/>
      <c r="N5072" s="1"/>
      <c r="V5072" t="str">
        <f>"56300"</f>
        <v>56300</v>
      </c>
      <c r="W5072">
        <v>6.94</v>
      </c>
      <c r="X5072">
        <v>0</v>
      </c>
    </row>
    <row r="5073" spans="1:24" ht="15" customHeight="1" x14ac:dyDescent="0.25">
      <c r="A5073" t="str">
        <f>""</f>
        <v/>
      </c>
      <c r="B5073" s="1"/>
      <c r="H5073">
        <v>32</v>
      </c>
      <c r="J5073" t="s">
        <v>22</v>
      </c>
      <c r="L5073" s="1"/>
      <c r="N5073" s="1"/>
      <c r="V5073" t="str">
        <f>"93290"</f>
        <v>93290</v>
      </c>
      <c r="W5073">
        <v>0</v>
      </c>
      <c r="X5073">
        <v>0</v>
      </c>
    </row>
    <row r="5074" spans="1:24" ht="15" customHeight="1" x14ac:dyDescent="0.25">
      <c r="A5074" t="str">
        <f>""</f>
        <v/>
      </c>
      <c r="B5074" s="1"/>
      <c r="H5074">
        <v>137.79</v>
      </c>
      <c r="J5074" t="s">
        <v>19</v>
      </c>
      <c r="L5074" s="1"/>
      <c r="N5074" s="1"/>
      <c r="V5074" t="str">
        <f>"93013"</f>
        <v>93013</v>
      </c>
      <c r="W5074">
        <v>0</v>
      </c>
      <c r="X5074">
        <v>0</v>
      </c>
    </row>
    <row r="5075" spans="1:24" ht="15" customHeight="1" x14ac:dyDescent="0.25">
      <c r="A5075" t="str">
        <f>""</f>
        <v/>
      </c>
      <c r="B5075" s="1"/>
      <c r="H5075">
        <v>41.75</v>
      </c>
      <c r="J5075" t="s">
        <v>22</v>
      </c>
      <c r="L5075" s="1"/>
      <c r="V5075" t="str">
        <f>"27400"</f>
        <v>27400</v>
      </c>
      <c r="W5075">
        <v>0</v>
      </c>
      <c r="X5075">
        <v>0</v>
      </c>
    </row>
    <row r="5076" spans="1:24" x14ac:dyDescent="0.25">
      <c r="A5076" t="str">
        <f>""</f>
        <v/>
      </c>
      <c r="B5076" s="1"/>
      <c r="H5076">
        <v>194</v>
      </c>
      <c r="J5076" t="s">
        <v>16</v>
      </c>
      <c r="L5076" s="1"/>
      <c r="N5076" s="1"/>
      <c r="V5076" t="str">
        <f>"77230"</f>
        <v>77230</v>
      </c>
      <c r="W5076">
        <v>48.5</v>
      </c>
      <c r="X5076">
        <v>0</v>
      </c>
    </row>
    <row r="5077" spans="1:24" ht="15" customHeight="1" x14ac:dyDescent="0.25">
      <c r="A5077" t="str">
        <f>""</f>
        <v/>
      </c>
      <c r="B5077" s="1"/>
      <c r="H5077">
        <v>107.66</v>
      </c>
      <c r="J5077" t="s">
        <v>19</v>
      </c>
      <c r="L5077" s="1"/>
      <c r="N5077" s="1"/>
      <c r="V5077" t="str">
        <f>"16380"</f>
        <v>16380</v>
      </c>
      <c r="W5077">
        <v>22.61</v>
      </c>
      <c r="X5077">
        <v>0</v>
      </c>
    </row>
    <row r="5078" spans="1:24" ht="15" customHeight="1" x14ac:dyDescent="0.25">
      <c r="A5078" t="str">
        <f>""</f>
        <v/>
      </c>
      <c r="B5078" s="1"/>
      <c r="H5078">
        <v>140</v>
      </c>
      <c r="J5078" t="s">
        <v>23</v>
      </c>
      <c r="L5078" s="1"/>
      <c r="V5078" t="str">
        <f>"69150"</f>
        <v>69150</v>
      </c>
      <c r="W5078">
        <v>0</v>
      </c>
      <c r="X5078">
        <v>0</v>
      </c>
    </row>
    <row r="5079" spans="1:24" x14ac:dyDescent="0.25">
      <c r="A5079" t="str">
        <f>""</f>
        <v/>
      </c>
      <c r="B5079" s="1"/>
      <c r="H5079">
        <v>32</v>
      </c>
      <c r="J5079" t="s">
        <v>15</v>
      </c>
      <c r="L5079" s="1"/>
      <c r="N5079" s="1"/>
      <c r="V5079" t="str">
        <f>"51100"</f>
        <v>51100</v>
      </c>
      <c r="W5079">
        <v>0</v>
      </c>
      <c r="X5079">
        <v>0</v>
      </c>
    </row>
    <row r="5080" spans="1:24" x14ac:dyDescent="0.25">
      <c r="A5080" t="str">
        <f>""</f>
        <v/>
      </c>
      <c r="B5080" s="1"/>
      <c r="H5080">
        <v>116.58</v>
      </c>
      <c r="J5080" t="s">
        <v>18</v>
      </c>
      <c r="L5080" s="1"/>
      <c r="N5080" s="1"/>
      <c r="V5080" t="str">
        <f>"57365"</f>
        <v>57365</v>
      </c>
      <c r="W5080">
        <v>0</v>
      </c>
      <c r="X5080">
        <v>0</v>
      </c>
    </row>
    <row r="5081" spans="1:24" ht="15" customHeight="1" x14ac:dyDescent="0.25">
      <c r="A5081" t="str">
        <f>""</f>
        <v/>
      </c>
      <c r="B5081" s="1"/>
      <c r="H5081">
        <v>151</v>
      </c>
      <c r="J5081" t="s">
        <v>22</v>
      </c>
      <c r="L5081" s="1"/>
      <c r="N5081" s="1"/>
      <c r="V5081" t="str">
        <f>"06560"</f>
        <v>06560</v>
      </c>
      <c r="W5081">
        <v>0</v>
      </c>
      <c r="X5081">
        <v>0</v>
      </c>
    </row>
    <row r="5082" spans="1:24" ht="15" customHeight="1" x14ac:dyDescent="0.25">
      <c r="A5082" t="str">
        <f>""</f>
        <v/>
      </c>
      <c r="B5082" s="1"/>
      <c r="H5082">
        <v>151</v>
      </c>
      <c r="J5082" t="s">
        <v>22</v>
      </c>
      <c r="L5082" s="1"/>
      <c r="N5082" s="1"/>
      <c r="V5082" t="str">
        <f>"06560"</f>
        <v>06560</v>
      </c>
      <c r="W5082">
        <v>0</v>
      </c>
      <c r="X5082">
        <v>0</v>
      </c>
    </row>
    <row r="5083" spans="1:24" ht="15" customHeight="1" x14ac:dyDescent="0.25">
      <c r="A5083" t="str">
        <f>""</f>
        <v/>
      </c>
      <c r="B5083" s="1"/>
      <c r="H5083">
        <v>25</v>
      </c>
      <c r="J5083" t="s">
        <v>22</v>
      </c>
      <c r="L5083" s="1"/>
      <c r="V5083" t="str">
        <f>"21000"</f>
        <v>21000</v>
      </c>
      <c r="W5083">
        <v>0</v>
      </c>
      <c r="X5083">
        <v>0</v>
      </c>
    </row>
    <row r="5084" spans="1:24" ht="15" customHeight="1" x14ac:dyDescent="0.25">
      <c r="A5084" t="str">
        <f>""</f>
        <v/>
      </c>
      <c r="B5084" s="1"/>
      <c r="H5084">
        <v>49.08</v>
      </c>
      <c r="J5084" t="s">
        <v>20</v>
      </c>
      <c r="L5084" s="1"/>
      <c r="N5084" s="1"/>
      <c r="V5084" t="str">
        <f>"56300"</f>
        <v>56300</v>
      </c>
      <c r="W5084">
        <v>13.25</v>
      </c>
      <c r="X5084">
        <v>0</v>
      </c>
    </row>
    <row r="5085" spans="1:24" ht="15" customHeight="1" x14ac:dyDescent="0.25">
      <c r="A5085" t="str">
        <f>""</f>
        <v/>
      </c>
      <c r="B5085" s="1"/>
      <c r="H5085">
        <v>58.2</v>
      </c>
      <c r="J5085" t="s">
        <v>22</v>
      </c>
      <c r="L5085" s="1"/>
      <c r="N5085" s="1"/>
      <c r="V5085" t="str">
        <f>"75014"</f>
        <v>75014</v>
      </c>
      <c r="W5085">
        <v>0</v>
      </c>
      <c r="X5085">
        <v>0</v>
      </c>
    </row>
    <row r="5086" spans="1:24" x14ac:dyDescent="0.25">
      <c r="A5086" t="str">
        <f>""</f>
        <v/>
      </c>
      <c r="B5086" s="1"/>
      <c r="H5086">
        <v>198.02</v>
      </c>
      <c r="J5086" t="s">
        <v>17</v>
      </c>
      <c r="L5086" s="1"/>
      <c r="N5086" s="1"/>
      <c r="V5086" t="str">
        <f>"06000"</f>
        <v>06000</v>
      </c>
      <c r="W5086">
        <v>0</v>
      </c>
      <c r="X5086">
        <v>0</v>
      </c>
    </row>
    <row r="5087" spans="1:24" ht="15" customHeight="1" x14ac:dyDescent="0.25">
      <c r="A5087" t="str">
        <f>""</f>
        <v/>
      </c>
      <c r="B5087" s="1"/>
      <c r="H5087">
        <v>84.5</v>
      </c>
      <c r="L5087" s="1"/>
      <c r="N5087" s="1"/>
      <c r="V5087" t="str">
        <f>"77184"</f>
        <v>77184</v>
      </c>
      <c r="W5087">
        <v>0</v>
      </c>
      <c r="X5087">
        <v>0</v>
      </c>
    </row>
    <row r="5088" spans="1:24" ht="15" customHeight="1" x14ac:dyDescent="0.25">
      <c r="A5088" t="str">
        <f>""</f>
        <v/>
      </c>
      <c r="B5088" s="1"/>
      <c r="H5088">
        <v>97.95</v>
      </c>
      <c r="L5088" s="1"/>
      <c r="N5088" s="1"/>
      <c r="V5088" t="str">
        <f>"77184"</f>
        <v>77184</v>
      </c>
      <c r="W5088">
        <v>0</v>
      </c>
      <c r="X5088">
        <v>0</v>
      </c>
    </row>
    <row r="5089" spans="1:24" ht="15" customHeight="1" x14ac:dyDescent="0.25">
      <c r="A5089" t="str">
        <f>""</f>
        <v/>
      </c>
      <c r="B5089" s="1"/>
      <c r="H5089">
        <v>31</v>
      </c>
      <c r="L5089" s="1"/>
      <c r="N5089" s="1"/>
      <c r="V5089" t="str">
        <f>"77184"</f>
        <v>77184</v>
      </c>
      <c r="W5089">
        <v>0</v>
      </c>
      <c r="X5089">
        <v>0</v>
      </c>
    </row>
    <row r="5090" spans="1:24" x14ac:dyDescent="0.25">
      <c r="A5090" t="str">
        <f>""</f>
        <v/>
      </c>
      <c r="B5090" s="1"/>
      <c r="H5090">
        <v>163.08000000000001</v>
      </c>
      <c r="J5090" t="s">
        <v>17</v>
      </c>
      <c r="L5090" s="1"/>
      <c r="N5090" s="1"/>
      <c r="V5090" t="str">
        <f>"63100"</f>
        <v>63100</v>
      </c>
      <c r="W5090">
        <v>0</v>
      </c>
      <c r="X5090">
        <v>0</v>
      </c>
    </row>
    <row r="5091" spans="1:24" ht="15" customHeight="1" x14ac:dyDescent="0.25">
      <c r="A5091" t="str">
        <f>""</f>
        <v/>
      </c>
      <c r="B5091" s="1"/>
      <c r="H5091">
        <v>137.05000000000001</v>
      </c>
      <c r="J5091" t="s">
        <v>22</v>
      </c>
      <c r="L5091" s="1"/>
      <c r="N5091" s="1"/>
      <c r="V5091" t="str">
        <f>"13115"</f>
        <v>13115</v>
      </c>
      <c r="W5091">
        <v>0</v>
      </c>
      <c r="X5091">
        <v>26.04</v>
      </c>
    </row>
    <row r="5092" spans="1:24" ht="15" customHeight="1" x14ac:dyDescent="0.25">
      <c r="A5092" t="str">
        <f>""</f>
        <v/>
      </c>
      <c r="B5092" s="1"/>
      <c r="H5092">
        <v>42.03</v>
      </c>
      <c r="J5092" t="s">
        <v>22</v>
      </c>
      <c r="L5092" s="1"/>
      <c r="N5092" s="1"/>
      <c r="V5092" t="str">
        <f>"38490"</f>
        <v>38490</v>
      </c>
      <c r="W5092">
        <v>0</v>
      </c>
      <c r="X5092">
        <v>0</v>
      </c>
    </row>
    <row r="5093" spans="1:24" ht="15" customHeight="1" x14ac:dyDescent="0.25">
      <c r="A5093" t="str">
        <f>""</f>
        <v/>
      </c>
      <c r="B5093" s="1"/>
      <c r="H5093">
        <v>121.89</v>
      </c>
      <c r="J5093" t="s">
        <v>19</v>
      </c>
      <c r="L5093" s="1"/>
      <c r="N5093" s="1"/>
      <c r="V5093" t="str">
        <f>"01000"</f>
        <v>01000</v>
      </c>
      <c r="W5093">
        <v>32.909999999999997</v>
      </c>
      <c r="X5093">
        <v>0</v>
      </c>
    </row>
    <row r="5094" spans="1:24" x14ac:dyDescent="0.25">
      <c r="A5094" t="str">
        <f>""</f>
        <v/>
      </c>
      <c r="B5094" s="1"/>
      <c r="H5094">
        <v>250</v>
      </c>
      <c r="J5094" t="s">
        <v>18</v>
      </c>
      <c r="L5094" s="1"/>
      <c r="N5094" s="1"/>
      <c r="V5094" t="str">
        <f>"83400"</f>
        <v>83400</v>
      </c>
      <c r="W5094">
        <v>0</v>
      </c>
      <c r="X5094">
        <v>0</v>
      </c>
    </row>
    <row r="5095" spans="1:24" ht="15" customHeight="1" x14ac:dyDescent="0.25">
      <c r="A5095" t="str">
        <f>""</f>
        <v/>
      </c>
      <c r="B5095" s="1"/>
      <c r="H5095">
        <v>57.2</v>
      </c>
      <c r="J5095" t="s">
        <v>22</v>
      </c>
      <c r="L5095" s="1"/>
      <c r="V5095" t="str">
        <f>"68390"</f>
        <v>68390</v>
      </c>
      <c r="W5095">
        <v>0</v>
      </c>
      <c r="X5095">
        <v>0</v>
      </c>
    </row>
    <row r="5096" spans="1:24" ht="15" customHeight="1" x14ac:dyDescent="0.25">
      <c r="A5096" t="str">
        <f>""</f>
        <v/>
      </c>
      <c r="B5096" s="1"/>
      <c r="H5096">
        <v>32</v>
      </c>
      <c r="J5096" t="s">
        <v>22</v>
      </c>
      <c r="L5096" s="1"/>
      <c r="N5096" s="1"/>
      <c r="V5096" t="str">
        <f>"75013"</f>
        <v>75013</v>
      </c>
      <c r="W5096">
        <v>0</v>
      </c>
      <c r="X5096">
        <v>0</v>
      </c>
    </row>
    <row r="5097" spans="1:24" ht="15" customHeight="1" x14ac:dyDescent="0.25">
      <c r="A5097" t="str">
        <f>""</f>
        <v/>
      </c>
      <c r="B5097" s="1"/>
      <c r="H5097">
        <v>55.34</v>
      </c>
      <c r="J5097" t="s">
        <v>20</v>
      </c>
      <c r="L5097" s="1"/>
      <c r="N5097" s="1"/>
      <c r="V5097" t="str">
        <f>"37230"</f>
        <v>37230</v>
      </c>
      <c r="W5097">
        <v>11.62</v>
      </c>
      <c r="X5097">
        <v>0</v>
      </c>
    </row>
    <row r="5098" spans="1:24" ht="15" customHeight="1" x14ac:dyDescent="0.25">
      <c r="A5098" t="str">
        <f>""</f>
        <v/>
      </c>
      <c r="B5098" s="1"/>
      <c r="H5098">
        <v>84.5</v>
      </c>
      <c r="L5098" s="1"/>
      <c r="N5098" s="1"/>
      <c r="V5098" t="str">
        <f>"77184"</f>
        <v>77184</v>
      </c>
      <c r="W5098">
        <v>0</v>
      </c>
      <c r="X5098">
        <v>0</v>
      </c>
    </row>
    <row r="5099" spans="1:24" ht="15" customHeight="1" x14ac:dyDescent="0.25">
      <c r="A5099" t="str">
        <f>""</f>
        <v/>
      </c>
      <c r="B5099" s="1"/>
      <c r="H5099">
        <v>99.1</v>
      </c>
      <c r="L5099" s="1"/>
      <c r="N5099" s="1"/>
      <c r="V5099" t="str">
        <f>"77184"</f>
        <v>77184</v>
      </c>
      <c r="W5099">
        <v>0</v>
      </c>
      <c r="X5099">
        <v>0</v>
      </c>
    </row>
    <row r="5100" spans="1:24" x14ac:dyDescent="0.25">
      <c r="A5100" t="str">
        <f>""</f>
        <v/>
      </c>
      <c r="B5100" s="1"/>
      <c r="H5100">
        <v>151</v>
      </c>
      <c r="J5100" t="s">
        <v>15</v>
      </c>
      <c r="L5100" s="1"/>
      <c r="N5100" s="1"/>
      <c r="V5100" t="str">
        <f>"69800"</f>
        <v>69800</v>
      </c>
      <c r="W5100">
        <v>0</v>
      </c>
      <c r="X5100">
        <v>0</v>
      </c>
    </row>
    <row r="5101" spans="1:24" ht="15" customHeight="1" x14ac:dyDescent="0.25">
      <c r="A5101" t="str">
        <f>""</f>
        <v/>
      </c>
      <c r="B5101" s="1"/>
      <c r="H5101">
        <v>75.16</v>
      </c>
      <c r="J5101" t="s">
        <v>20</v>
      </c>
      <c r="L5101" s="1"/>
      <c r="N5101" s="1"/>
      <c r="V5101" t="str">
        <f>"68800"</f>
        <v>68800</v>
      </c>
      <c r="W5101">
        <v>21.8</v>
      </c>
      <c r="X5101">
        <v>0</v>
      </c>
    </row>
    <row r="5102" spans="1:24" ht="15" customHeight="1" x14ac:dyDescent="0.25">
      <c r="A5102" t="str">
        <f>""</f>
        <v/>
      </c>
      <c r="B5102" s="1"/>
      <c r="H5102">
        <v>12</v>
      </c>
      <c r="J5102" t="s">
        <v>19</v>
      </c>
      <c r="L5102" s="1"/>
      <c r="N5102" s="1"/>
      <c r="V5102" t="str">
        <f>"57000"</f>
        <v>57000</v>
      </c>
      <c r="W5102">
        <v>3</v>
      </c>
      <c r="X5102">
        <v>0</v>
      </c>
    </row>
    <row r="5103" spans="1:24" ht="15" customHeight="1" x14ac:dyDescent="0.25">
      <c r="A5103" t="str">
        <f>""</f>
        <v/>
      </c>
      <c r="B5103" s="1"/>
      <c r="H5103">
        <v>60</v>
      </c>
      <c r="J5103" t="s">
        <v>20</v>
      </c>
      <c r="L5103" s="1"/>
      <c r="N5103" s="1"/>
      <c r="V5103" t="str">
        <f>"80000"</f>
        <v>80000</v>
      </c>
      <c r="W5103">
        <v>11.4</v>
      </c>
      <c r="X5103">
        <v>0</v>
      </c>
    </row>
    <row r="5104" spans="1:24" ht="15" customHeight="1" x14ac:dyDescent="0.25">
      <c r="A5104" t="str">
        <f>""</f>
        <v/>
      </c>
      <c r="B5104" s="1"/>
      <c r="H5104">
        <v>22.8</v>
      </c>
      <c r="L5104" s="1"/>
      <c r="N5104" s="1"/>
      <c r="V5104" t="str">
        <f>"44240"</f>
        <v>44240</v>
      </c>
      <c r="W5104">
        <v>0</v>
      </c>
      <c r="X5104">
        <v>0</v>
      </c>
    </row>
    <row r="5105" spans="1:24" ht="15" customHeight="1" x14ac:dyDescent="0.25">
      <c r="A5105" t="str">
        <f>""</f>
        <v/>
      </c>
      <c r="B5105" s="1"/>
      <c r="H5105">
        <v>31.6</v>
      </c>
      <c r="L5105" s="1"/>
      <c r="N5105" s="1"/>
      <c r="V5105" t="str">
        <f>"44240"</f>
        <v>44240</v>
      </c>
      <c r="W5105">
        <v>0</v>
      </c>
      <c r="X5105">
        <v>0</v>
      </c>
    </row>
    <row r="5106" spans="1:24" ht="15" customHeight="1" x14ac:dyDescent="0.25">
      <c r="A5106" t="str">
        <f>""</f>
        <v/>
      </c>
      <c r="B5106" s="1"/>
      <c r="H5106">
        <v>33</v>
      </c>
      <c r="L5106" s="1"/>
      <c r="N5106" s="1"/>
      <c r="V5106" t="str">
        <f>"77184"</f>
        <v>77184</v>
      </c>
      <c r="W5106">
        <v>0</v>
      </c>
      <c r="X5106">
        <v>0</v>
      </c>
    </row>
    <row r="5107" spans="1:24" ht="15" customHeight="1" x14ac:dyDescent="0.25">
      <c r="A5107" t="str">
        <f>""</f>
        <v/>
      </c>
      <c r="B5107" s="1"/>
      <c r="H5107">
        <v>22.5</v>
      </c>
      <c r="J5107" t="s">
        <v>22</v>
      </c>
      <c r="L5107" s="1"/>
      <c r="N5107" s="1"/>
      <c r="V5107" t="str">
        <f>"67000"</f>
        <v>67000</v>
      </c>
      <c r="W5107">
        <v>0</v>
      </c>
      <c r="X5107">
        <v>1.8</v>
      </c>
    </row>
    <row r="5108" spans="1:24" x14ac:dyDescent="0.25">
      <c r="A5108" t="str">
        <f>""</f>
        <v/>
      </c>
      <c r="B5108" s="1"/>
      <c r="H5108">
        <v>73</v>
      </c>
      <c r="J5108" t="s">
        <v>16</v>
      </c>
      <c r="L5108" s="1"/>
      <c r="N5108" s="1"/>
      <c r="V5108" t="str">
        <f>"74000"</f>
        <v>74000</v>
      </c>
      <c r="W5108">
        <v>0</v>
      </c>
      <c r="X5108">
        <v>0</v>
      </c>
    </row>
    <row r="5109" spans="1:24" ht="15" customHeight="1" x14ac:dyDescent="0.25">
      <c r="A5109" t="str">
        <f>""</f>
        <v/>
      </c>
      <c r="B5109" s="1"/>
      <c r="H5109">
        <v>149.58000000000001</v>
      </c>
      <c r="L5109" s="1"/>
      <c r="N5109" s="1"/>
      <c r="V5109" t="str">
        <f>"77184"</f>
        <v>77184</v>
      </c>
      <c r="W5109">
        <v>0</v>
      </c>
      <c r="X5109">
        <v>0</v>
      </c>
    </row>
    <row r="5110" spans="1:24" ht="15" customHeight="1" x14ac:dyDescent="0.25">
      <c r="A5110" t="str">
        <f>""</f>
        <v/>
      </c>
      <c r="B5110" s="1"/>
      <c r="H5110">
        <v>22</v>
      </c>
      <c r="L5110" s="1"/>
      <c r="N5110" s="1"/>
      <c r="V5110" t="str">
        <f>"77184"</f>
        <v>77184</v>
      </c>
      <c r="W5110">
        <v>0</v>
      </c>
      <c r="X5110">
        <v>0</v>
      </c>
    </row>
    <row r="5111" spans="1:24" ht="15" customHeight="1" x14ac:dyDescent="0.25">
      <c r="A5111" t="str">
        <f>""</f>
        <v/>
      </c>
      <c r="B5111" s="1"/>
      <c r="H5111">
        <v>92</v>
      </c>
      <c r="J5111" t="s">
        <v>22</v>
      </c>
      <c r="L5111" s="1"/>
      <c r="N5111" s="1"/>
      <c r="V5111" t="str">
        <f>"06190"</f>
        <v>06190</v>
      </c>
      <c r="W5111">
        <v>0</v>
      </c>
      <c r="X5111">
        <v>27.6</v>
      </c>
    </row>
    <row r="5112" spans="1:24" ht="15" customHeight="1" x14ac:dyDescent="0.25">
      <c r="A5112" t="str">
        <f>""</f>
        <v/>
      </c>
      <c r="B5112" s="1"/>
      <c r="H5112">
        <v>151</v>
      </c>
      <c r="J5112" t="s">
        <v>23</v>
      </c>
      <c r="L5112" s="1"/>
      <c r="V5112" t="str">
        <f>"04260"</f>
        <v>04260</v>
      </c>
      <c r="W5112">
        <v>0</v>
      </c>
      <c r="X5112">
        <v>0</v>
      </c>
    </row>
    <row r="5113" spans="1:24" ht="15" customHeight="1" x14ac:dyDescent="0.25">
      <c r="A5113" t="str">
        <f>""</f>
        <v/>
      </c>
      <c r="B5113" s="1"/>
      <c r="H5113">
        <v>74.540000000000006</v>
      </c>
      <c r="J5113" t="s">
        <v>23</v>
      </c>
      <c r="L5113" s="1"/>
      <c r="N5113" s="1"/>
      <c r="V5113" t="str">
        <f>"68550"</f>
        <v>68550</v>
      </c>
      <c r="W5113">
        <v>0</v>
      </c>
      <c r="X5113">
        <v>0</v>
      </c>
    </row>
    <row r="5114" spans="1:24" ht="15" customHeight="1" x14ac:dyDescent="0.25">
      <c r="A5114" t="str">
        <f>""</f>
        <v/>
      </c>
      <c r="B5114" s="1"/>
      <c r="H5114">
        <v>120.29</v>
      </c>
      <c r="J5114" t="s">
        <v>20</v>
      </c>
      <c r="L5114" s="1"/>
      <c r="N5114" s="1"/>
      <c r="V5114" t="str">
        <f>"14220"</f>
        <v>14220</v>
      </c>
      <c r="W5114">
        <v>20.45</v>
      </c>
      <c r="X5114">
        <v>0</v>
      </c>
    </row>
    <row r="5115" spans="1:24" ht="15" customHeight="1" x14ac:dyDescent="0.25">
      <c r="A5115" t="str">
        <f>""</f>
        <v/>
      </c>
      <c r="B5115" s="1"/>
      <c r="H5115">
        <v>58.35</v>
      </c>
      <c r="J5115" t="s">
        <v>20</v>
      </c>
      <c r="L5115" s="1"/>
      <c r="N5115" s="1"/>
      <c r="V5115" t="str">
        <f>"84000"</f>
        <v>84000</v>
      </c>
      <c r="W5115">
        <v>16.920000000000002</v>
      </c>
      <c r="X5115">
        <v>0</v>
      </c>
    </row>
    <row r="5116" spans="1:24" ht="15" customHeight="1" x14ac:dyDescent="0.25">
      <c r="A5116" t="str">
        <f>""</f>
        <v/>
      </c>
      <c r="B5116" s="1"/>
      <c r="H5116">
        <v>107.6</v>
      </c>
      <c r="J5116" t="s">
        <v>20</v>
      </c>
      <c r="L5116" s="1"/>
      <c r="N5116" s="1"/>
      <c r="V5116" t="str">
        <f>"75014"</f>
        <v>75014</v>
      </c>
      <c r="W5116">
        <v>0</v>
      </c>
      <c r="X5116">
        <v>0</v>
      </c>
    </row>
    <row r="5117" spans="1:24" ht="15" customHeight="1" x14ac:dyDescent="0.25">
      <c r="A5117" t="str">
        <f>""</f>
        <v/>
      </c>
      <c r="B5117" s="1"/>
      <c r="H5117">
        <v>174.15</v>
      </c>
      <c r="J5117" t="s">
        <v>19</v>
      </c>
      <c r="L5117" s="1"/>
      <c r="N5117" s="1"/>
      <c r="V5117" t="str">
        <f>"67000"</f>
        <v>67000</v>
      </c>
      <c r="W5117">
        <v>50.5</v>
      </c>
      <c r="X5117">
        <v>0</v>
      </c>
    </row>
    <row r="5118" spans="1:24" ht="15" customHeight="1" x14ac:dyDescent="0.25">
      <c r="A5118" t="str">
        <f>""</f>
        <v/>
      </c>
      <c r="B5118" s="1"/>
      <c r="H5118">
        <v>136.97999999999999</v>
      </c>
      <c r="J5118" t="s">
        <v>19</v>
      </c>
      <c r="L5118" s="1"/>
      <c r="N5118" s="1"/>
      <c r="V5118" t="str">
        <f>"69800"</f>
        <v>69800</v>
      </c>
      <c r="W5118">
        <v>36.979999999999997</v>
      </c>
      <c r="X5118">
        <v>0</v>
      </c>
    </row>
    <row r="5119" spans="1:24" ht="15" customHeight="1" x14ac:dyDescent="0.25">
      <c r="A5119" t="str">
        <f>""</f>
        <v/>
      </c>
      <c r="B5119" s="1"/>
      <c r="H5119">
        <v>134.4</v>
      </c>
      <c r="L5119" s="1"/>
      <c r="N5119" s="1"/>
      <c r="V5119" t="str">
        <f>"44240"</f>
        <v>44240</v>
      </c>
      <c r="W5119">
        <v>0</v>
      </c>
      <c r="X5119">
        <v>0</v>
      </c>
    </row>
    <row r="5120" spans="1:24" ht="15" customHeight="1" x14ac:dyDescent="0.25">
      <c r="A5120" t="str">
        <f>""</f>
        <v/>
      </c>
      <c r="B5120" s="1"/>
      <c r="H5120">
        <v>40</v>
      </c>
      <c r="J5120" t="s">
        <v>22</v>
      </c>
      <c r="L5120" s="1"/>
      <c r="N5120" s="1"/>
      <c r="V5120" t="str">
        <f>"59410"</f>
        <v>59410</v>
      </c>
      <c r="W5120">
        <v>0</v>
      </c>
      <c r="X5120">
        <v>0</v>
      </c>
    </row>
    <row r="5121" spans="1:24" x14ac:dyDescent="0.25">
      <c r="A5121" t="str">
        <f>""</f>
        <v/>
      </c>
      <c r="B5121" s="1"/>
      <c r="J5121" t="s">
        <v>16</v>
      </c>
      <c r="L5121" s="1"/>
      <c r="V5121" t="str">
        <f>"51100"</f>
        <v>51100</v>
      </c>
      <c r="W5121">
        <v>0</v>
      </c>
      <c r="X5121">
        <v>0</v>
      </c>
    </row>
    <row r="5122" spans="1:24" x14ac:dyDescent="0.25">
      <c r="A5122" t="str">
        <f>""</f>
        <v/>
      </c>
      <c r="B5122" s="1"/>
      <c r="H5122">
        <v>188.26</v>
      </c>
      <c r="J5122" t="s">
        <v>18</v>
      </c>
      <c r="L5122" s="1"/>
      <c r="N5122" s="1"/>
      <c r="V5122" t="str">
        <f>"35680"</f>
        <v>35680</v>
      </c>
      <c r="W5122">
        <v>0</v>
      </c>
      <c r="X5122">
        <v>0</v>
      </c>
    </row>
    <row r="5123" spans="1:24" ht="15" customHeight="1" x14ac:dyDescent="0.25">
      <c r="A5123" t="str">
        <f>""</f>
        <v/>
      </c>
      <c r="B5123" s="1"/>
      <c r="H5123">
        <v>40</v>
      </c>
      <c r="J5123" t="s">
        <v>20</v>
      </c>
      <c r="L5123" s="1"/>
      <c r="N5123" s="1"/>
      <c r="V5123" t="str">
        <f>"63110"</f>
        <v>63110</v>
      </c>
      <c r="W5123">
        <v>11.6</v>
      </c>
      <c r="X5123">
        <v>0</v>
      </c>
    </row>
    <row r="5124" spans="1:24" ht="15" customHeight="1" x14ac:dyDescent="0.25">
      <c r="A5124" t="str">
        <f>""</f>
        <v/>
      </c>
      <c r="B5124" s="1"/>
      <c r="H5124">
        <v>194.98</v>
      </c>
      <c r="J5124" t="s">
        <v>20</v>
      </c>
      <c r="L5124" s="1"/>
      <c r="N5124" s="1"/>
      <c r="V5124" t="str">
        <f>"13128"</f>
        <v>13128</v>
      </c>
      <c r="W5124">
        <v>56.54</v>
      </c>
      <c r="X5124">
        <v>0</v>
      </c>
    </row>
    <row r="5125" spans="1:24" x14ac:dyDescent="0.25">
      <c r="A5125" t="str">
        <f>""</f>
        <v/>
      </c>
      <c r="B5125" s="1"/>
      <c r="H5125">
        <v>172.66</v>
      </c>
      <c r="J5125" t="s">
        <v>15</v>
      </c>
      <c r="L5125" s="1"/>
      <c r="N5125" s="1"/>
      <c r="V5125" t="str">
        <f>"44800"</f>
        <v>44800</v>
      </c>
      <c r="W5125">
        <v>0</v>
      </c>
      <c r="X5125">
        <v>0</v>
      </c>
    </row>
    <row r="5126" spans="1:24" ht="15" customHeight="1" x14ac:dyDescent="0.25">
      <c r="A5126" t="str">
        <f>""</f>
        <v/>
      </c>
      <c r="B5126" s="1"/>
      <c r="H5126">
        <v>99.5</v>
      </c>
      <c r="L5126" s="1"/>
      <c r="N5126" s="1"/>
      <c r="V5126" t="str">
        <f>"77184"</f>
        <v>77184</v>
      </c>
      <c r="W5126">
        <v>0</v>
      </c>
      <c r="X5126">
        <v>0</v>
      </c>
    </row>
    <row r="5127" spans="1:24" ht="15" customHeight="1" x14ac:dyDescent="0.25">
      <c r="A5127" t="str">
        <f>""</f>
        <v/>
      </c>
      <c r="B5127" s="1"/>
      <c r="H5127">
        <v>141.65</v>
      </c>
      <c r="J5127" t="s">
        <v>19</v>
      </c>
      <c r="L5127" s="1"/>
      <c r="N5127" s="1"/>
      <c r="V5127" t="str">
        <f>"75009"</f>
        <v>75009</v>
      </c>
      <c r="W5127">
        <v>0</v>
      </c>
      <c r="X5127">
        <v>0</v>
      </c>
    </row>
    <row r="5128" spans="1:24" ht="15" customHeight="1" x14ac:dyDescent="0.25">
      <c r="A5128" t="str">
        <f>""</f>
        <v/>
      </c>
      <c r="B5128" s="1"/>
      <c r="H5128">
        <v>19.649999999999999</v>
      </c>
      <c r="J5128" t="s">
        <v>19</v>
      </c>
      <c r="L5128" s="1"/>
      <c r="N5128" s="1"/>
      <c r="V5128" t="str">
        <f>"75014"</f>
        <v>75014</v>
      </c>
      <c r="W5128">
        <v>0</v>
      </c>
      <c r="X5128">
        <v>0</v>
      </c>
    </row>
    <row r="5129" spans="1:24" ht="15" customHeight="1" x14ac:dyDescent="0.25">
      <c r="A5129" t="str">
        <f>""</f>
        <v/>
      </c>
      <c r="B5129" s="1"/>
      <c r="H5129">
        <v>19.649999999999999</v>
      </c>
      <c r="J5129" t="s">
        <v>19</v>
      </c>
      <c r="L5129" s="1"/>
      <c r="N5129" s="1"/>
      <c r="V5129" t="str">
        <f>"75014"</f>
        <v>75014</v>
      </c>
      <c r="W5129">
        <v>0</v>
      </c>
      <c r="X5129">
        <v>0</v>
      </c>
    </row>
    <row r="5130" spans="1:24" ht="15" customHeight="1" x14ac:dyDescent="0.25">
      <c r="A5130" t="str">
        <f>""</f>
        <v/>
      </c>
      <c r="B5130" s="1"/>
      <c r="H5130">
        <v>137.59</v>
      </c>
      <c r="J5130" t="s">
        <v>19</v>
      </c>
      <c r="L5130" s="1"/>
      <c r="N5130" s="1"/>
      <c r="V5130" t="str">
        <f>"75014"</f>
        <v>75014</v>
      </c>
      <c r="W5130">
        <v>0</v>
      </c>
      <c r="X5130">
        <v>0</v>
      </c>
    </row>
    <row r="5131" spans="1:24" ht="15" customHeight="1" x14ac:dyDescent="0.25">
      <c r="A5131" t="str">
        <f>""</f>
        <v/>
      </c>
      <c r="B5131" s="1"/>
      <c r="H5131">
        <v>138.12</v>
      </c>
      <c r="J5131" t="s">
        <v>20</v>
      </c>
      <c r="L5131" s="1"/>
      <c r="N5131" s="1"/>
      <c r="V5131" t="str">
        <f>"64600"</f>
        <v>64600</v>
      </c>
      <c r="W5131">
        <v>29.01</v>
      </c>
      <c r="X5131">
        <v>0</v>
      </c>
    </row>
    <row r="5132" spans="1:24" ht="15" customHeight="1" x14ac:dyDescent="0.25">
      <c r="A5132" t="str">
        <f>""</f>
        <v/>
      </c>
      <c r="B5132" s="1"/>
      <c r="H5132">
        <v>140</v>
      </c>
      <c r="J5132" t="s">
        <v>22</v>
      </c>
      <c r="L5132" s="1"/>
      <c r="N5132" s="1"/>
      <c r="V5132" t="str">
        <f>"62740"</f>
        <v>62740</v>
      </c>
      <c r="W5132">
        <v>0</v>
      </c>
      <c r="X5132">
        <v>0</v>
      </c>
    </row>
    <row r="5133" spans="1:24" ht="15" customHeight="1" x14ac:dyDescent="0.25">
      <c r="A5133" t="str">
        <f>""</f>
        <v/>
      </c>
      <c r="B5133" s="1"/>
      <c r="H5133">
        <v>30</v>
      </c>
      <c r="J5133" t="s">
        <v>19</v>
      </c>
      <c r="L5133" s="1"/>
      <c r="V5133" t="str">
        <f>"17350"</f>
        <v>17350</v>
      </c>
      <c r="W5133">
        <v>0</v>
      </c>
      <c r="X5133">
        <v>0</v>
      </c>
    </row>
    <row r="5134" spans="1:24" ht="15" customHeight="1" x14ac:dyDescent="0.25">
      <c r="A5134" t="str">
        <f>""</f>
        <v/>
      </c>
      <c r="B5134" s="1"/>
      <c r="H5134">
        <v>126</v>
      </c>
      <c r="J5134" t="s">
        <v>23</v>
      </c>
      <c r="L5134" s="1"/>
      <c r="N5134" s="1"/>
      <c r="V5134" t="str">
        <f>"76230"</f>
        <v>76230</v>
      </c>
      <c r="W5134">
        <v>0</v>
      </c>
      <c r="X5134">
        <v>21.42</v>
      </c>
    </row>
    <row r="5135" spans="1:24" ht="15" customHeight="1" x14ac:dyDescent="0.25">
      <c r="A5135" t="str">
        <f>""</f>
        <v/>
      </c>
      <c r="B5135" s="1"/>
      <c r="H5135">
        <v>33.35</v>
      </c>
      <c r="J5135" t="s">
        <v>20</v>
      </c>
      <c r="L5135" s="1"/>
      <c r="N5135" s="1"/>
      <c r="V5135" t="str">
        <f>"75015"</f>
        <v>75015</v>
      </c>
      <c r="W5135">
        <v>0</v>
      </c>
      <c r="X5135">
        <v>0</v>
      </c>
    </row>
    <row r="5136" spans="1:24" ht="15" customHeight="1" x14ac:dyDescent="0.25">
      <c r="A5136" t="str">
        <f>""</f>
        <v/>
      </c>
      <c r="B5136" s="1"/>
      <c r="H5136">
        <v>140</v>
      </c>
      <c r="J5136" t="s">
        <v>19</v>
      </c>
      <c r="L5136" s="1"/>
      <c r="N5136" s="1"/>
      <c r="V5136" t="str">
        <f>"45470"</f>
        <v>45470</v>
      </c>
      <c r="W5136">
        <v>29.4</v>
      </c>
      <c r="X5136">
        <v>0</v>
      </c>
    </row>
    <row r="5137" spans="1:24" ht="15" customHeight="1" x14ac:dyDescent="0.25">
      <c r="A5137" t="str">
        <f>""</f>
        <v/>
      </c>
      <c r="B5137" s="1"/>
      <c r="H5137">
        <v>163.98</v>
      </c>
      <c r="J5137" t="s">
        <v>20</v>
      </c>
      <c r="L5137" s="1"/>
      <c r="N5137" s="1"/>
      <c r="V5137" t="str">
        <f>"13009"</f>
        <v>13009</v>
      </c>
      <c r="W5137">
        <v>47.55</v>
      </c>
      <c r="X5137">
        <v>0</v>
      </c>
    </row>
    <row r="5138" spans="1:24" ht="15" customHeight="1" x14ac:dyDescent="0.25">
      <c r="A5138" t="str">
        <f>""</f>
        <v/>
      </c>
      <c r="B5138" s="1"/>
      <c r="H5138">
        <v>27.53</v>
      </c>
      <c r="J5138" t="s">
        <v>20</v>
      </c>
      <c r="L5138" s="1"/>
      <c r="N5138" s="1"/>
      <c r="V5138" t="str">
        <f>"88160"</f>
        <v>88160</v>
      </c>
      <c r="W5138">
        <v>7.98</v>
      </c>
      <c r="X5138">
        <v>0</v>
      </c>
    </row>
    <row r="5139" spans="1:24" ht="15" customHeight="1" x14ac:dyDescent="0.25">
      <c r="A5139" t="str">
        <f>""</f>
        <v/>
      </c>
      <c r="B5139" s="1"/>
      <c r="H5139">
        <v>180</v>
      </c>
      <c r="J5139" t="s">
        <v>23</v>
      </c>
      <c r="L5139" s="1"/>
      <c r="V5139" t="str">
        <f>"34410"</f>
        <v>34410</v>
      </c>
      <c r="W5139">
        <v>0</v>
      </c>
      <c r="X5139">
        <v>0</v>
      </c>
    </row>
    <row r="5140" spans="1:24" ht="15" customHeight="1" x14ac:dyDescent="0.25">
      <c r="A5140" t="str">
        <f>""</f>
        <v/>
      </c>
      <c r="B5140" s="1"/>
      <c r="H5140">
        <v>23.25</v>
      </c>
      <c r="J5140" t="s">
        <v>20</v>
      </c>
      <c r="L5140" s="1"/>
      <c r="N5140" s="1"/>
      <c r="V5140" t="str">
        <f>"69400"</f>
        <v>69400</v>
      </c>
      <c r="W5140">
        <v>6.28</v>
      </c>
      <c r="X5140">
        <v>0</v>
      </c>
    </row>
    <row r="5141" spans="1:24" ht="15" customHeight="1" x14ac:dyDescent="0.25">
      <c r="A5141" t="str">
        <f>""</f>
        <v/>
      </c>
      <c r="B5141" s="1"/>
      <c r="H5141">
        <v>120.85</v>
      </c>
      <c r="J5141" t="s">
        <v>20</v>
      </c>
      <c r="L5141" s="1"/>
      <c r="N5141" s="1"/>
      <c r="V5141" t="str">
        <f>"59163"</f>
        <v>59163</v>
      </c>
      <c r="W5141">
        <v>22.96</v>
      </c>
      <c r="X5141">
        <v>0</v>
      </c>
    </row>
    <row r="5142" spans="1:24" ht="15" customHeight="1" x14ac:dyDescent="0.25">
      <c r="A5142" t="str">
        <f>""</f>
        <v/>
      </c>
      <c r="B5142" s="1"/>
      <c r="H5142">
        <v>37.24</v>
      </c>
      <c r="J5142" t="s">
        <v>22</v>
      </c>
      <c r="L5142" s="1"/>
      <c r="N5142" s="1"/>
      <c r="V5142" t="str">
        <f>"54000"</f>
        <v>54000</v>
      </c>
      <c r="W5142">
        <v>0</v>
      </c>
      <c r="X5142">
        <v>9.31</v>
      </c>
    </row>
    <row r="5143" spans="1:24" ht="15" customHeight="1" x14ac:dyDescent="0.25">
      <c r="A5143" t="str">
        <f>""</f>
        <v/>
      </c>
      <c r="B5143" s="1"/>
      <c r="H5143">
        <v>19.89</v>
      </c>
      <c r="J5143" t="s">
        <v>19</v>
      </c>
      <c r="L5143" s="1"/>
      <c r="N5143" s="1"/>
      <c r="V5143" t="str">
        <f>"06560"</f>
        <v>06560</v>
      </c>
      <c r="W5143">
        <v>5.97</v>
      </c>
      <c r="X5143">
        <v>0</v>
      </c>
    </row>
    <row r="5144" spans="1:24" ht="15" customHeight="1" x14ac:dyDescent="0.25">
      <c r="A5144" t="str">
        <f>""</f>
        <v/>
      </c>
      <c r="B5144" s="1"/>
      <c r="H5144">
        <v>83.34</v>
      </c>
      <c r="J5144" t="s">
        <v>19</v>
      </c>
      <c r="L5144" s="1"/>
      <c r="N5144" s="1"/>
      <c r="V5144" t="str">
        <f>"44360"</f>
        <v>44360</v>
      </c>
      <c r="W5144">
        <v>22.5</v>
      </c>
      <c r="X5144">
        <v>0</v>
      </c>
    </row>
    <row r="5145" spans="1:24" ht="15" customHeight="1" x14ac:dyDescent="0.25">
      <c r="A5145" t="str">
        <f>""</f>
        <v/>
      </c>
      <c r="B5145" s="1"/>
      <c r="H5145">
        <v>40</v>
      </c>
      <c r="J5145" t="s">
        <v>22</v>
      </c>
      <c r="L5145" s="1"/>
      <c r="N5145" s="1"/>
      <c r="V5145" t="str">
        <f>"59270"</f>
        <v>59270</v>
      </c>
      <c r="W5145">
        <v>0</v>
      </c>
      <c r="X5145">
        <v>0</v>
      </c>
    </row>
    <row r="5146" spans="1:24" ht="15" customHeight="1" x14ac:dyDescent="0.25">
      <c r="A5146" t="str">
        <f>""</f>
        <v/>
      </c>
      <c r="B5146" s="1"/>
      <c r="H5146">
        <v>100.42</v>
      </c>
      <c r="J5146" t="s">
        <v>20</v>
      </c>
      <c r="L5146" s="1"/>
      <c r="N5146" s="1"/>
      <c r="V5146" t="str">
        <f>"19100"</f>
        <v>19100</v>
      </c>
      <c r="W5146">
        <v>29.12</v>
      </c>
      <c r="X5146">
        <v>0</v>
      </c>
    </row>
    <row r="5147" spans="1:24" ht="15" customHeight="1" x14ac:dyDescent="0.25">
      <c r="A5147" t="str">
        <f>""</f>
        <v/>
      </c>
      <c r="B5147" s="1"/>
      <c r="H5147">
        <v>3.23</v>
      </c>
      <c r="J5147" t="s">
        <v>20</v>
      </c>
      <c r="L5147" s="1"/>
      <c r="N5147" s="1"/>
      <c r="V5147" t="str">
        <f>"77500"</f>
        <v>77500</v>
      </c>
      <c r="W5147">
        <v>0</v>
      </c>
      <c r="X5147">
        <v>0</v>
      </c>
    </row>
    <row r="5148" spans="1:24" ht="15" customHeight="1" x14ac:dyDescent="0.25">
      <c r="A5148" t="str">
        <f>""</f>
        <v/>
      </c>
      <c r="B5148" s="1"/>
      <c r="H5148">
        <v>129.59</v>
      </c>
      <c r="J5148" t="s">
        <v>20</v>
      </c>
      <c r="L5148" s="1"/>
      <c r="N5148" s="1"/>
      <c r="V5148" t="str">
        <f>"19100"</f>
        <v>19100</v>
      </c>
      <c r="W5148">
        <v>37.58</v>
      </c>
      <c r="X5148">
        <v>0</v>
      </c>
    </row>
    <row r="5149" spans="1:24" ht="15" customHeight="1" x14ac:dyDescent="0.25">
      <c r="A5149" t="str">
        <f>""</f>
        <v/>
      </c>
      <c r="B5149" s="1"/>
      <c r="H5149">
        <v>58.86</v>
      </c>
      <c r="L5149" s="1"/>
      <c r="N5149" s="1"/>
      <c r="V5149" t="str">
        <f>"77184"</f>
        <v>77184</v>
      </c>
      <c r="W5149">
        <v>0</v>
      </c>
      <c r="X5149">
        <v>0</v>
      </c>
    </row>
    <row r="5150" spans="1:24" ht="15" customHeight="1" x14ac:dyDescent="0.25">
      <c r="A5150" t="str">
        <f>""</f>
        <v/>
      </c>
      <c r="B5150" s="1"/>
      <c r="H5150">
        <v>242</v>
      </c>
      <c r="L5150" s="1"/>
      <c r="N5150" s="1"/>
      <c r="V5150" t="str">
        <f>"77184"</f>
        <v>77184</v>
      </c>
      <c r="W5150">
        <v>0</v>
      </c>
      <c r="X5150">
        <v>0</v>
      </c>
    </row>
    <row r="5151" spans="1:24" ht="15" customHeight="1" x14ac:dyDescent="0.25">
      <c r="A5151" t="str">
        <f>""</f>
        <v/>
      </c>
      <c r="B5151" s="1"/>
      <c r="H5151">
        <v>25.8</v>
      </c>
      <c r="J5151" t="s">
        <v>19</v>
      </c>
      <c r="L5151" s="1"/>
      <c r="N5151" s="1"/>
      <c r="V5151" t="str">
        <f>"38590"</f>
        <v>38590</v>
      </c>
      <c r="W5151">
        <v>6.97</v>
      </c>
      <c r="X5151">
        <v>0</v>
      </c>
    </row>
    <row r="5152" spans="1:24" ht="15" customHeight="1" x14ac:dyDescent="0.25">
      <c r="A5152" t="str">
        <f>""</f>
        <v/>
      </c>
      <c r="B5152" s="1"/>
      <c r="H5152">
        <v>20</v>
      </c>
      <c r="J5152" t="s">
        <v>20</v>
      </c>
      <c r="L5152" s="1"/>
      <c r="N5152" s="1"/>
      <c r="V5152" t="str">
        <f>"59200"</f>
        <v>59200</v>
      </c>
      <c r="W5152">
        <v>0</v>
      </c>
      <c r="X5152">
        <v>0</v>
      </c>
    </row>
    <row r="5153" spans="1:24" ht="15" customHeight="1" x14ac:dyDescent="0.25">
      <c r="A5153" t="str">
        <f>""</f>
        <v/>
      </c>
      <c r="B5153" s="1"/>
      <c r="H5153">
        <v>250</v>
      </c>
      <c r="J5153" t="s">
        <v>23</v>
      </c>
      <c r="L5153" s="1"/>
      <c r="N5153" s="1"/>
      <c r="V5153" t="str">
        <f>"94140"</f>
        <v>94140</v>
      </c>
      <c r="W5153">
        <v>0</v>
      </c>
      <c r="X5153">
        <v>0</v>
      </c>
    </row>
    <row r="5154" spans="1:24" ht="15" customHeight="1" x14ac:dyDescent="0.25">
      <c r="A5154" t="str">
        <f>""</f>
        <v/>
      </c>
      <c r="B5154" s="1"/>
      <c r="H5154">
        <v>151</v>
      </c>
      <c r="J5154" t="s">
        <v>22</v>
      </c>
      <c r="L5154" s="1"/>
      <c r="N5154" s="1"/>
      <c r="V5154" t="str">
        <f>"69005"</f>
        <v>69005</v>
      </c>
      <c r="W5154">
        <v>0</v>
      </c>
      <c r="X5154">
        <v>0</v>
      </c>
    </row>
    <row r="5155" spans="1:24" ht="15" customHeight="1" x14ac:dyDescent="0.25">
      <c r="A5155" t="str">
        <f>""</f>
        <v/>
      </c>
      <c r="B5155" s="1"/>
      <c r="H5155">
        <v>0.72</v>
      </c>
      <c r="J5155" t="s">
        <v>20</v>
      </c>
      <c r="L5155" s="1"/>
      <c r="N5155" s="1"/>
      <c r="V5155" t="str">
        <f>"69006"</f>
        <v>69006</v>
      </c>
      <c r="W5155">
        <v>0.19</v>
      </c>
      <c r="X5155">
        <v>0</v>
      </c>
    </row>
    <row r="5156" spans="1:24" ht="15" customHeight="1" x14ac:dyDescent="0.25">
      <c r="A5156" t="str">
        <f>""</f>
        <v/>
      </c>
      <c r="B5156" s="1"/>
      <c r="H5156">
        <v>141.65</v>
      </c>
      <c r="J5156" t="s">
        <v>20</v>
      </c>
      <c r="L5156" s="1"/>
      <c r="N5156" s="1"/>
      <c r="V5156" t="str">
        <f>"83170"</f>
        <v>83170</v>
      </c>
      <c r="W5156">
        <v>42.5</v>
      </c>
      <c r="X5156">
        <v>0</v>
      </c>
    </row>
    <row r="5157" spans="1:24" ht="15" customHeight="1" x14ac:dyDescent="0.25">
      <c r="A5157" t="str">
        <f>""</f>
        <v/>
      </c>
      <c r="B5157" s="1"/>
      <c r="H5157">
        <v>70</v>
      </c>
      <c r="J5157" t="s">
        <v>20</v>
      </c>
      <c r="L5157" s="1"/>
      <c r="N5157" s="1"/>
      <c r="V5157" t="str">
        <f>"51110"</f>
        <v>51110</v>
      </c>
      <c r="W5157">
        <v>17.5</v>
      </c>
      <c r="X5157">
        <v>0</v>
      </c>
    </row>
    <row r="5158" spans="1:24" ht="15" customHeight="1" x14ac:dyDescent="0.25">
      <c r="A5158" t="str">
        <f>""</f>
        <v/>
      </c>
      <c r="B5158" s="1"/>
      <c r="H5158">
        <v>37.92</v>
      </c>
      <c r="J5158" t="s">
        <v>20</v>
      </c>
      <c r="L5158" s="1"/>
      <c r="N5158" s="1"/>
      <c r="V5158" t="str">
        <f>"92230"</f>
        <v>92230</v>
      </c>
      <c r="W5158">
        <v>0</v>
      </c>
      <c r="X5158">
        <v>0</v>
      </c>
    </row>
    <row r="5159" spans="1:24" ht="15" customHeight="1" x14ac:dyDescent="0.25">
      <c r="A5159" t="str">
        <f>""</f>
        <v/>
      </c>
      <c r="B5159" s="1"/>
      <c r="H5159">
        <v>35</v>
      </c>
      <c r="J5159" t="s">
        <v>23</v>
      </c>
      <c r="L5159" s="1"/>
      <c r="N5159" s="1"/>
      <c r="V5159" t="str">
        <f>"60160"</f>
        <v>60160</v>
      </c>
      <c r="W5159">
        <v>0</v>
      </c>
      <c r="X5159">
        <v>0</v>
      </c>
    </row>
    <row r="5160" spans="1:24" ht="15" customHeight="1" x14ac:dyDescent="0.25">
      <c r="A5160" t="str">
        <f>""</f>
        <v/>
      </c>
      <c r="B5160" s="1"/>
      <c r="H5160">
        <v>70</v>
      </c>
      <c r="J5160" t="s">
        <v>22</v>
      </c>
      <c r="L5160" s="1"/>
      <c r="N5160" s="1"/>
      <c r="V5160" t="str">
        <f>"06000"</f>
        <v>06000</v>
      </c>
      <c r="W5160">
        <v>0</v>
      </c>
      <c r="X5160">
        <v>0</v>
      </c>
    </row>
    <row r="5161" spans="1:24" ht="15" customHeight="1" x14ac:dyDescent="0.25">
      <c r="A5161" t="str">
        <f>""</f>
        <v/>
      </c>
      <c r="B5161" s="1"/>
      <c r="H5161">
        <v>33.35</v>
      </c>
      <c r="J5161" t="s">
        <v>19</v>
      </c>
      <c r="L5161" s="1"/>
      <c r="N5161" s="1"/>
      <c r="V5161" t="str">
        <f>"13100"</f>
        <v>13100</v>
      </c>
      <c r="W5161">
        <v>9.67</v>
      </c>
      <c r="X5161">
        <v>0</v>
      </c>
    </row>
    <row r="5162" spans="1:24" ht="15" customHeight="1" x14ac:dyDescent="0.25">
      <c r="A5162" t="str">
        <f>""</f>
        <v/>
      </c>
      <c r="B5162" s="1"/>
      <c r="H5162">
        <v>29.59</v>
      </c>
      <c r="J5162" t="s">
        <v>22</v>
      </c>
      <c r="L5162" s="1"/>
      <c r="N5162" s="1"/>
      <c r="V5162" t="str">
        <f>"69006"</f>
        <v>69006</v>
      </c>
      <c r="W5162">
        <v>0</v>
      </c>
      <c r="X5162">
        <v>0</v>
      </c>
    </row>
    <row r="5163" spans="1:24" ht="15" customHeight="1" x14ac:dyDescent="0.25">
      <c r="A5163" t="str">
        <f>""</f>
        <v/>
      </c>
      <c r="B5163" s="1"/>
      <c r="J5163" t="s">
        <v>20</v>
      </c>
      <c r="L5163" s="1"/>
      <c r="N5163" s="1"/>
      <c r="V5163" t="str">
        <f>"31150"</f>
        <v>31150</v>
      </c>
      <c r="W5163">
        <v>0</v>
      </c>
      <c r="X5163">
        <v>0</v>
      </c>
    </row>
    <row r="5164" spans="1:24" ht="15" customHeight="1" x14ac:dyDescent="0.25">
      <c r="A5164" t="str">
        <f>""</f>
        <v/>
      </c>
      <c r="B5164" s="1"/>
      <c r="H5164">
        <v>35</v>
      </c>
      <c r="J5164" t="s">
        <v>22</v>
      </c>
      <c r="L5164" s="1"/>
      <c r="V5164" t="str">
        <f>"76100"</f>
        <v>76100</v>
      </c>
      <c r="W5164">
        <v>0</v>
      </c>
      <c r="X5164">
        <v>0</v>
      </c>
    </row>
    <row r="5165" spans="1:24" ht="15" customHeight="1" x14ac:dyDescent="0.25">
      <c r="A5165" t="str">
        <f>""</f>
        <v/>
      </c>
      <c r="B5165" s="1"/>
      <c r="H5165">
        <v>137.01</v>
      </c>
      <c r="J5165" t="s">
        <v>19</v>
      </c>
      <c r="L5165" s="1"/>
      <c r="N5165" s="1"/>
      <c r="V5165" t="str">
        <f>"49250"</f>
        <v>49250</v>
      </c>
      <c r="W5165">
        <v>36.99</v>
      </c>
      <c r="X5165">
        <v>0</v>
      </c>
    </row>
    <row r="5166" spans="1:24" ht="15" customHeight="1" x14ac:dyDescent="0.25">
      <c r="A5166" t="str">
        <f>""</f>
        <v/>
      </c>
      <c r="B5166" s="1"/>
      <c r="H5166">
        <v>8.07</v>
      </c>
      <c r="J5166" t="s">
        <v>19</v>
      </c>
      <c r="L5166" s="1"/>
      <c r="N5166" s="1"/>
      <c r="V5166" t="str">
        <f>"69800"</f>
        <v>69800</v>
      </c>
      <c r="W5166">
        <v>2.1800000000000002</v>
      </c>
      <c r="X5166">
        <v>0</v>
      </c>
    </row>
    <row r="5167" spans="1:24" ht="15" customHeight="1" x14ac:dyDescent="0.25">
      <c r="A5167" t="str">
        <f>""</f>
        <v/>
      </c>
      <c r="B5167" s="1"/>
      <c r="H5167">
        <v>140</v>
      </c>
      <c r="J5167" t="s">
        <v>23</v>
      </c>
      <c r="L5167" s="1"/>
      <c r="N5167" s="1"/>
      <c r="V5167" t="str">
        <f>"17100"</f>
        <v>17100</v>
      </c>
      <c r="W5167">
        <v>0</v>
      </c>
      <c r="X5167">
        <v>0</v>
      </c>
    </row>
    <row r="5168" spans="1:24" ht="15" customHeight="1" x14ac:dyDescent="0.25">
      <c r="A5168" t="str">
        <f>""</f>
        <v/>
      </c>
      <c r="B5168" s="1"/>
      <c r="J5168" t="s">
        <v>8</v>
      </c>
      <c r="V5168" t="str">
        <f>""</f>
        <v/>
      </c>
      <c r="W5168">
        <v>0</v>
      </c>
      <c r="X5168">
        <v>0</v>
      </c>
    </row>
    <row r="5169" spans="1:24" ht="15" customHeight="1" x14ac:dyDescent="0.25">
      <c r="A5169" t="str">
        <f>""</f>
        <v/>
      </c>
      <c r="B5169" s="1"/>
      <c r="J5169" t="s">
        <v>8</v>
      </c>
      <c r="V5169" t="str">
        <f>""</f>
        <v/>
      </c>
      <c r="W5169">
        <v>0</v>
      </c>
      <c r="X5169">
        <v>0</v>
      </c>
    </row>
    <row r="5170" spans="1:24" ht="15" customHeight="1" x14ac:dyDescent="0.25">
      <c r="A5170" t="str">
        <f>""</f>
        <v/>
      </c>
      <c r="B5170" s="1"/>
      <c r="H5170">
        <v>205</v>
      </c>
      <c r="J5170" t="s">
        <v>22</v>
      </c>
      <c r="L5170" s="1"/>
      <c r="N5170" s="1"/>
      <c r="V5170" t="str">
        <f>"71200"</f>
        <v>71200</v>
      </c>
      <c r="W5170">
        <v>0</v>
      </c>
      <c r="X5170">
        <v>0</v>
      </c>
    </row>
    <row r="5171" spans="1:24" ht="15" customHeight="1" x14ac:dyDescent="0.25">
      <c r="A5171" t="str">
        <f>""</f>
        <v/>
      </c>
      <c r="B5171" s="1"/>
      <c r="H5171">
        <v>149.63</v>
      </c>
      <c r="J5171" t="s">
        <v>23</v>
      </c>
      <c r="L5171" s="1"/>
      <c r="N5171" s="1"/>
      <c r="V5171" t="str">
        <f>"18100"</f>
        <v>18100</v>
      </c>
      <c r="W5171">
        <v>0</v>
      </c>
      <c r="X5171">
        <v>0</v>
      </c>
    </row>
    <row r="5172" spans="1:24" ht="15" customHeight="1" x14ac:dyDescent="0.25">
      <c r="A5172" t="str">
        <f>""</f>
        <v/>
      </c>
      <c r="B5172" s="1"/>
      <c r="H5172">
        <v>180</v>
      </c>
      <c r="J5172" t="s">
        <v>22</v>
      </c>
      <c r="L5172" s="1"/>
      <c r="N5172" s="1"/>
      <c r="V5172" t="str">
        <f>"42230"</f>
        <v>42230</v>
      </c>
      <c r="W5172">
        <v>0</v>
      </c>
      <c r="X5172">
        <v>0</v>
      </c>
    </row>
    <row r="5173" spans="1:24" ht="15" customHeight="1" x14ac:dyDescent="0.25">
      <c r="A5173" t="str">
        <f>""</f>
        <v/>
      </c>
      <c r="B5173" s="1"/>
      <c r="H5173">
        <v>300.33999999999997</v>
      </c>
      <c r="J5173" t="s">
        <v>23</v>
      </c>
      <c r="L5173" s="1"/>
      <c r="V5173" t="str">
        <f>"25200"</f>
        <v>25200</v>
      </c>
      <c r="W5173">
        <v>0</v>
      </c>
      <c r="X5173">
        <v>0</v>
      </c>
    </row>
    <row r="5174" spans="1:24" ht="15" customHeight="1" x14ac:dyDescent="0.25">
      <c r="A5174" t="str">
        <f>""</f>
        <v/>
      </c>
      <c r="B5174" s="1"/>
      <c r="H5174">
        <v>156.5</v>
      </c>
      <c r="J5174" t="s">
        <v>19</v>
      </c>
      <c r="L5174" s="1"/>
      <c r="N5174" s="1"/>
      <c r="V5174" t="str">
        <f>"61250"</f>
        <v>61250</v>
      </c>
      <c r="W5174">
        <v>26.61</v>
      </c>
      <c r="X5174">
        <v>0</v>
      </c>
    </row>
    <row r="5175" spans="1:24" ht="15" customHeight="1" x14ac:dyDescent="0.25">
      <c r="A5175" t="str">
        <f>""</f>
        <v/>
      </c>
      <c r="B5175" s="1"/>
      <c r="H5175">
        <v>69.56</v>
      </c>
      <c r="J5175" t="s">
        <v>19</v>
      </c>
      <c r="L5175" s="1"/>
      <c r="N5175" s="1"/>
      <c r="V5175" t="str">
        <f>"61250"</f>
        <v>61250</v>
      </c>
      <c r="W5175">
        <v>11.83</v>
      </c>
      <c r="X5175">
        <v>0</v>
      </c>
    </row>
    <row r="5176" spans="1:24" ht="15" customHeight="1" x14ac:dyDescent="0.25">
      <c r="A5176" t="str">
        <f>""</f>
        <v/>
      </c>
      <c r="B5176" s="1"/>
      <c r="H5176">
        <v>70</v>
      </c>
      <c r="J5176" t="s">
        <v>23</v>
      </c>
      <c r="L5176" s="1"/>
      <c r="V5176" t="str">
        <f>"77380"</f>
        <v>77380</v>
      </c>
      <c r="W5176">
        <v>0</v>
      </c>
      <c r="X5176">
        <v>0</v>
      </c>
    </row>
    <row r="5177" spans="1:24" ht="15" customHeight="1" x14ac:dyDescent="0.25">
      <c r="A5177" t="str">
        <f>""</f>
        <v/>
      </c>
      <c r="B5177" s="1"/>
      <c r="H5177">
        <v>40</v>
      </c>
      <c r="J5177" t="s">
        <v>22</v>
      </c>
      <c r="L5177" s="1"/>
      <c r="N5177" s="1"/>
      <c r="V5177" t="str">
        <f>"67000"</f>
        <v>67000</v>
      </c>
      <c r="W5177">
        <v>0</v>
      </c>
      <c r="X5177">
        <v>3.2</v>
      </c>
    </row>
    <row r="5178" spans="1:24" ht="15" customHeight="1" x14ac:dyDescent="0.25">
      <c r="A5178" t="str">
        <f>""</f>
        <v/>
      </c>
      <c r="B5178" s="1"/>
      <c r="H5178">
        <v>205.84</v>
      </c>
      <c r="J5178" t="s">
        <v>22</v>
      </c>
      <c r="L5178" s="1"/>
      <c r="N5178" s="1"/>
      <c r="V5178" t="str">
        <f>"13002"</f>
        <v>13002</v>
      </c>
      <c r="W5178">
        <v>0</v>
      </c>
      <c r="X5178">
        <v>0</v>
      </c>
    </row>
    <row r="5179" spans="1:24" ht="15" customHeight="1" x14ac:dyDescent="0.25">
      <c r="A5179" t="str">
        <f>""</f>
        <v/>
      </c>
      <c r="B5179" s="1"/>
      <c r="H5179">
        <v>151</v>
      </c>
      <c r="J5179" t="s">
        <v>22</v>
      </c>
      <c r="L5179" s="1"/>
      <c r="V5179" t="str">
        <f>"69120"</f>
        <v>69120</v>
      </c>
      <c r="W5179">
        <v>0</v>
      </c>
      <c r="X5179">
        <v>0</v>
      </c>
    </row>
    <row r="5180" spans="1:24" ht="15" customHeight="1" x14ac:dyDescent="0.25">
      <c r="A5180" t="str">
        <f>""</f>
        <v/>
      </c>
      <c r="B5180" s="1"/>
      <c r="H5180">
        <v>178.02</v>
      </c>
      <c r="J5180" t="s">
        <v>19</v>
      </c>
      <c r="L5180" s="1"/>
      <c r="N5180" s="1"/>
      <c r="V5180" t="str">
        <f>"38400"</f>
        <v>38400</v>
      </c>
      <c r="W5180">
        <v>48.07</v>
      </c>
      <c r="X5180">
        <v>0</v>
      </c>
    </row>
    <row r="5181" spans="1:24" ht="15" customHeight="1" x14ac:dyDescent="0.25">
      <c r="A5181" t="str">
        <f>""</f>
        <v/>
      </c>
      <c r="B5181" s="1"/>
      <c r="H5181">
        <v>40</v>
      </c>
      <c r="J5181" t="s">
        <v>23</v>
      </c>
      <c r="L5181" s="1"/>
      <c r="V5181" t="str">
        <f>"69800"</f>
        <v>69800</v>
      </c>
      <c r="W5181">
        <v>0</v>
      </c>
      <c r="X5181">
        <v>0</v>
      </c>
    </row>
    <row r="5182" spans="1:24" ht="15" customHeight="1" x14ac:dyDescent="0.25">
      <c r="A5182" t="str">
        <f>""</f>
        <v/>
      </c>
      <c r="B5182" s="1"/>
      <c r="H5182">
        <v>40</v>
      </c>
      <c r="J5182" t="s">
        <v>22</v>
      </c>
      <c r="L5182" s="1"/>
      <c r="V5182" t="str">
        <f>"26000"</f>
        <v>26000</v>
      </c>
      <c r="W5182">
        <v>0</v>
      </c>
      <c r="X5182">
        <v>0</v>
      </c>
    </row>
    <row r="5183" spans="1:24" ht="15" customHeight="1" x14ac:dyDescent="0.25">
      <c r="A5183" t="str">
        <f>""</f>
        <v/>
      </c>
      <c r="B5183" s="1"/>
      <c r="H5183">
        <v>73.599999999999994</v>
      </c>
      <c r="J5183" t="s">
        <v>23</v>
      </c>
      <c r="L5183" s="1"/>
      <c r="N5183" s="1"/>
      <c r="V5183" t="str">
        <f>"24100"</f>
        <v>24100</v>
      </c>
      <c r="W5183">
        <v>0</v>
      </c>
      <c r="X5183">
        <v>12.51</v>
      </c>
    </row>
    <row r="5184" spans="1:24" ht="15" customHeight="1" x14ac:dyDescent="0.25">
      <c r="A5184" t="str">
        <f>""</f>
        <v/>
      </c>
      <c r="B5184" s="1"/>
      <c r="H5184">
        <v>62.6</v>
      </c>
      <c r="J5184" t="s">
        <v>23</v>
      </c>
      <c r="L5184" s="1"/>
      <c r="N5184" s="1"/>
      <c r="V5184" t="str">
        <f>"16320"</f>
        <v>16320</v>
      </c>
      <c r="W5184">
        <v>0</v>
      </c>
      <c r="X5184">
        <v>10.64</v>
      </c>
    </row>
    <row r="5185" spans="1:24" ht="15" customHeight="1" x14ac:dyDescent="0.25">
      <c r="A5185" t="str">
        <f>""</f>
        <v/>
      </c>
      <c r="B5185" s="1"/>
      <c r="H5185">
        <v>180</v>
      </c>
      <c r="J5185" t="s">
        <v>22</v>
      </c>
      <c r="L5185" s="1"/>
      <c r="N5185" s="1"/>
      <c r="V5185" t="str">
        <f>"84000"</f>
        <v>84000</v>
      </c>
      <c r="W5185">
        <v>0</v>
      </c>
      <c r="X5185">
        <v>0</v>
      </c>
    </row>
    <row r="5186" spans="1:24" ht="15" customHeight="1" x14ac:dyDescent="0.25">
      <c r="A5186" t="str">
        <f>""</f>
        <v/>
      </c>
      <c r="B5186" s="1"/>
      <c r="H5186">
        <v>173.44</v>
      </c>
      <c r="L5186" s="1"/>
      <c r="V5186" t="str">
        <f>"77184"</f>
        <v>77184</v>
      </c>
      <c r="W5186">
        <v>0</v>
      </c>
      <c r="X5186">
        <v>0</v>
      </c>
    </row>
    <row r="5187" spans="1:24" ht="15" customHeight="1" x14ac:dyDescent="0.25">
      <c r="A5187" t="str">
        <f>""</f>
        <v/>
      </c>
      <c r="B5187" s="1"/>
      <c r="H5187">
        <v>38.54</v>
      </c>
      <c r="J5187" t="s">
        <v>22</v>
      </c>
      <c r="L5187" s="1"/>
      <c r="N5187" s="1"/>
      <c r="V5187" t="str">
        <f>"98000"</f>
        <v>98000</v>
      </c>
      <c r="W5187">
        <v>0</v>
      </c>
      <c r="X5187">
        <v>0</v>
      </c>
    </row>
    <row r="5188" spans="1:24" ht="15" customHeight="1" x14ac:dyDescent="0.25">
      <c r="A5188" t="str">
        <f>""</f>
        <v/>
      </c>
      <c r="B5188" s="1"/>
      <c r="H5188">
        <v>25</v>
      </c>
      <c r="J5188" t="s">
        <v>22</v>
      </c>
      <c r="L5188" s="1"/>
      <c r="N5188" s="1"/>
      <c r="V5188" t="str">
        <f>"85700"</f>
        <v>85700</v>
      </c>
      <c r="W5188">
        <v>0</v>
      </c>
      <c r="X5188">
        <v>0</v>
      </c>
    </row>
    <row r="5189" spans="1:24" ht="15" customHeight="1" x14ac:dyDescent="0.25">
      <c r="A5189" t="str">
        <f>""</f>
        <v/>
      </c>
      <c r="B5189" s="1"/>
      <c r="H5189">
        <v>140</v>
      </c>
      <c r="J5189" t="s">
        <v>23</v>
      </c>
      <c r="L5189" s="1"/>
      <c r="V5189" t="str">
        <f>"34410"</f>
        <v>34410</v>
      </c>
      <c r="W5189">
        <v>0</v>
      </c>
      <c r="X5189">
        <v>0</v>
      </c>
    </row>
    <row r="5190" spans="1:24" ht="15" customHeight="1" x14ac:dyDescent="0.25">
      <c r="A5190" t="str">
        <f>""</f>
        <v/>
      </c>
      <c r="B5190" s="1"/>
      <c r="H5190">
        <v>201</v>
      </c>
      <c r="J5190" t="s">
        <v>22</v>
      </c>
      <c r="L5190" s="1"/>
      <c r="N5190" s="1"/>
      <c r="V5190" t="str">
        <f>"38000"</f>
        <v>38000</v>
      </c>
      <c r="W5190">
        <v>0</v>
      </c>
      <c r="X5190">
        <v>54.27</v>
      </c>
    </row>
    <row r="5191" spans="1:24" x14ac:dyDescent="0.25">
      <c r="A5191" t="str">
        <f>""</f>
        <v/>
      </c>
      <c r="B5191" s="1"/>
      <c r="H5191">
        <v>52.5</v>
      </c>
      <c r="J5191" t="s">
        <v>15</v>
      </c>
      <c r="L5191" s="1"/>
      <c r="N5191" s="1"/>
      <c r="V5191" t="str">
        <f>"69003"</f>
        <v>69003</v>
      </c>
      <c r="W5191">
        <v>0</v>
      </c>
      <c r="X5191">
        <v>0</v>
      </c>
    </row>
    <row r="5192" spans="1:24" x14ac:dyDescent="0.25">
      <c r="A5192" t="str">
        <f>""</f>
        <v/>
      </c>
      <c r="B5192" s="1"/>
      <c r="H5192">
        <v>52.5</v>
      </c>
      <c r="J5192" t="s">
        <v>15</v>
      </c>
      <c r="L5192" s="1"/>
      <c r="N5192" s="1"/>
      <c r="V5192" t="str">
        <f>"30900"</f>
        <v>30900</v>
      </c>
      <c r="W5192">
        <v>0</v>
      </c>
      <c r="X5192">
        <v>0</v>
      </c>
    </row>
    <row r="5193" spans="1:24" x14ac:dyDescent="0.25">
      <c r="A5193" t="str">
        <f>""</f>
        <v/>
      </c>
      <c r="B5193" s="1"/>
      <c r="H5193">
        <v>52.5</v>
      </c>
      <c r="J5193" t="s">
        <v>15</v>
      </c>
      <c r="L5193" s="1"/>
      <c r="N5193" s="1"/>
      <c r="V5193" t="str">
        <f>"84000"</f>
        <v>84000</v>
      </c>
      <c r="W5193">
        <v>0</v>
      </c>
      <c r="X5193">
        <v>0</v>
      </c>
    </row>
    <row r="5194" spans="1:24" x14ac:dyDescent="0.25">
      <c r="A5194" t="str">
        <f>""</f>
        <v/>
      </c>
      <c r="B5194" s="1"/>
      <c r="H5194">
        <v>52.5</v>
      </c>
      <c r="J5194" t="s">
        <v>16</v>
      </c>
      <c r="L5194" s="1"/>
      <c r="N5194" s="1"/>
      <c r="V5194" t="str">
        <f>"02100"</f>
        <v>02100</v>
      </c>
      <c r="W5194">
        <v>0</v>
      </c>
      <c r="X5194">
        <v>0</v>
      </c>
    </row>
    <row r="5195" spans="1:24" ht="15" customHeight="1" x14ac:dyDescent="0.25">
      <c r="A5195" t="str">
        <f>""</f>
        <v/>
      </c>
      <c r="B5195" s="1"/>
      <c r="H5195">
        <v>140</v>
      </c>
      <c r="J5195" t="s">
        <v>23</v>
      </c>
      <c r="L5195" s="1"/>
      <c r="N5195" s="1"/>
      <c r="V5195" t="str">
        <f>"68440"</f>
        <v>68440</v>
      </c>
      <c r="W5195">
        <v>0</v>
      </c>
      <c r="X5195">
        <v>11.2</v>
      </c>
    </row>
    <row r="5196" spans="1:24" ht="15" customHeight="1" x14ac:dyDescent="0.25">
      <c r="A5196" t="str">
        <f>""</f>
        <v/>
      </c>
      <c r="B5196" s="1"/>
      <c r="H5196">
        <v>86.25</v>
      </c>
      <c r="J5196" t="s">
        <v>22</v>
      </c>
      <c r="L5196" s="1"/>
      <c r="N5196" s="1"/>
      <c r="V5196" t="str">
        <f>"61100"</f>
        <v>61100</v>
      </c>
      <c r="W5196">
        <v>0</v>
      </c>
      <c r="X5196">
        <v>0</v>
      </c>
    </row>
    <row r="5197" spans="1:24" ht="15" customHeight="1" x14ac:dyDescent="0.25">
      <c r="A5197" t="str">
        <f>""</f>
        <v/>
      </c>
      <c r="B5197" s="1"/>
      <c r="H5197">
        <v>44.99</v>
      </c>
      <c r="J5197" t="s">
        <v>22</v>
      </c>
      <c r="L5197" s="1"/>
      <c r="V5197" t="str">
        <f>"61100"</f>
        <v>61100</v>
      </c>
      <c r="W5197">
        <v>0</v>
      </c>
      <c r="X5197">
        <v>0</v>
      </c>
    </row>
    <row r="5198" spans="1:24" ht="15" customHeight="1" x14ac:dyDescent="0.25">
      <c r="A5198" t="str">
        <f>""</f>
        <v/>
      </c>
      <c r="B5198" s="1"/>
      <c r="H5198">
        <v>55.16</v>
      </c>
      <c r="J5198" t="s">
        <v>19</v>
      </c>
      <c r="L5198" s="1"/>
      <c r="N5198" s="1"/>
      <c r="V5198" t="str">
        <f>"93013"</f>
        <v>93013</v>
      </c>
      <c r="W5198">
        <v>0</v>
      </c>
      <c r="X5198">
        <v>0</v>
      </c>
    </row>
    <row r="5199" spans="1:24" ht="15" customHeight="1" x14ac:dyDescent="0.25">
      <c r="A5199" t="str">
        <f>""</f>
        <v/>
      </c>
      <c r="B5199" s="1"/>
      <c r="H5199">
        <v>140</v>
      </c>
      <c r="J5199" t="s">
        <v>23</v>
      </c>
      <c r="L5199" s="1"/>
      <c r="N5199" s="1"/>
      <c r="V5199" t="str">
        <f>"59000"</f>
        <v>59000</v>
      </c>
      <c r="W5199">
        <v>0</v>
      </c>
      <c r="X5199">
        <v>0</v>
      </c>
    </row>
    <row r="5200" spans="1:24" ht="15" customHeight="1" x14ac:dyDescent="0.25">
      <c r="A5200" t="str">
        <f>""</f>
        <v/>
      </c>
      <c r="B5200" s="1"/>
      <c r="H5200">
        <v>130.37</v>
      </c>
      <c r="J5200" t="s">
        <v>22</v>
      </c>
      <c r="L5200" s="1"/>
      <c r="N5200" s="1"/>
      <c r="V5200" t="str">
        <f>"33700"</f>
        <v>33700</v>
      </c>
      <c r="W5200">
        <v>0</v>
      </c>
      <c r="X5200">
        <v>22.16</v>
      </c>
    </row>
    <row r="5201" spans="1:24" ht="15" customHeight="1" x14ac:dyDescent="0.25">
      <c r="A5201" t="str">
        <f>""</f>
        <v/>
      </c>
      <c r="B5201" s="1"/>
      <c r="H5201">
        <v>70</v>
      </c>
      <c r="J5201" t="s">
        <v>22</v>
      </c>
      <c r="L5201" s="1"/>
      <c r="V5201" t="str">
        <f>"75009"</f>
        <v>75009</v>
      </c>
      <c r="W5201">
        <v>0</v>
      </c>
      <c r="X5201">
        <v>0</v>
      </c>
    </row>
    <row r="5202" spans="1:24" ht="15" customHeight="1" x14ac:dyDescent="0.25">
      <c r="A5202" t="str">
        <f>""</f>
        <v/>
      </c>
      <c r="B5202" s="1"/>
      <c r="H5202">
        <v>140</v>
      </c>
      <c r="J5202" t="s">
        <v>23</v>
      </c>
      <c r="L5202" s="1"/>
      <c r="N5202" s="1"/>
      <c r="V5202" t="str">
        <f>"63410"</f>
        <v>63410</v>
      </c>
      <c r="W5202">
        <v>0</v>
      </c>
      <c r="X5202">
        <v>16.8</v>
      </c>
    </row>
    <row r="5203" spans="1:24" x14ac:dyDescent="0.25">
      <c r="A5203" t="str">
        <f>""</f>
        <v/>
      </c>
      <c r="B5203" s="1"/>
      <c r="H5203">
        <v>194</v>
      </c>
      <c r="J5203" t="s">
        <v>18</v>
      </c>
      <c r="L5203" s="1"/>
      <c r="N5203" s="1"/>
      <c r="V5203" t="str">
        <f>"51320"</f>
        <v>51320</v>
      </c>
      <c r="W5203">
        <v>0</v>
      </c>
      <c r="X5203">
        <v>0</v>
      </c>
    </row>
    <row r="5204" spans="1:24" ht="15" customHeight="1" x14ac:dyDescent="0.25">
      <c r="A5204" t="str">
        <f>""</f>
        <v/>
      </c>
      <c r="B5204" s="1"/>
      <c r="H5204">
        <v>153.66</v>
      </c>
      <c r="J5204" t="s">
        <v>23</v>
      </c>
      <c r="L5204" s="1"/>
      <c r="N5204" s="1"/>
      <c r="V5204" t="str">
        <f>"88700"</f>
        <v>88700</v>
      </c>
      <c r="W5204">
        <v>0</v>
      </c>
      <c r="X5204">
        <v>12.29</v>
      </c>
    </row>
    <row r="5205" spans="1:24" ht="15" customHeight="1" x14ac:dyDescent="0.25">
      <c r="A5205" t="str">
        <f>""</f>
        <v/>
      </c>
      <c r="B5205" s="1"/>
      <c r="H5205">
        <v>55.34</v>
      </c>
      <c r="J5205" t="s">
        <v>19</v>
      </c>
      <c r="L5205" s="1"/>
      <c r="N5205" s="1"/>
      <c r="V5205" t="str">
        <f>"49500"</f>
        <v>49500</v>
      </c>
      <c r="W5205">
        <v>14.94</v>
      </c>
      <c r="X5205">
        <v>0</v>
      </c>
    </row>
    <row r="5206" spans="1:24" ht="15" customHeight="1" x14ac:dyDescent="0.25">
      <c r="A5206" t="str">
        <f>""</f>
        <v/>
      </c>
      <c r="B5206" s="1"/>
      <c r="H5206">
        <v>153.04</v>
      </c>
      <c r="J5206" t="s">
        <v>23</v>
      </c>
      <c r="L5206" s="1"/>
      <c r="N5206" s="1"/>
      <c r="V5206" t="str">
        <f>"44000"</f>
        <v>44000</v>
      </c>
      <c r="W5206">
        <v>0</v>
      </c>
      <c r="X5206">
        <v>0</v>
      </c>
    </row>
    <row r="5207" spans="1:24" ht="15" customHeight="1" x14ac:dyDescent="0.25">
      <c r="A5207" t="str">
        <f>""</f>
        <v/>
      </c>
      <c r="B5207" s="1"/>
      <c r="H5207">
        <v>137.43</v>
      </c>
      <c r="J5207" t="s">
        <v>19</v>
      </c>
      <c r="L5207" s="1"/>
      <c r="N5207" s="1"/>
      <c r="V5207" t="str">
        <f>"21160"</f>
        <v>21160</v>
      </c>
      <c r="W5207">
        <v>32.979999999999997</v>
      </c>
      <c r="X5207">
        <v>0</v>
      </c>
    </row>
    <row r="5208" spans="1:24" ht="15" customHeight="1" x14ac:dyDescent="0.25">
      <c r="A5208" t="str">
        <f>""</f>
        <v/>
      </c>
      <c r="B5208" s="1"/>
      <c r="H5208">
        <v>197.02</v>
      </c>
      <c r="J5208" t="s">
        <v>23</v>
      </c>
      <c r="L5208" s="1"/>
      <c r="N5208" s="1"/>
      <c r="V5208" t="str">
        <f>"62320"</f>
        <v>62320</v>
      </c>
      <c r="W5208">
        <v>0</v>
      </c>
      <c r="X5208">
        <v>0</v>
      </c>
    </row>
    <row r="5209" spans="1:24" ht="15" customHeight="1" x14ac:dyDescent="0.25">
      <c r="A5209" t="str">
        <f>""</f>
        <v/>
      </c>
      <c r="B5209" s="1"/>
      <c r="H5209">
        <v>151</v>
      </c>
      <c r="J5209" t="s">
        <v>23</v>
      </c>
      <c r="L5209" s="1"/>
      <c r="N5209" s="1"/>
      <c r="V5209" t="str">
        <f>"06560"</f>
        <v>06560</v>
      </c>
      <c r="W5209">
        <v>0</v>
      </c>
      <c r="X5209">
        <v>0</v>
      </c>
    </row>
    <row r="5210" spans="1:24" ht="15" customHeight="1" x14ac:dyDescent="0.25">
      <c r="A5210" t="str">
        <f>""</f>
        <v/>
      </c>
      <c r="B5210" s="1"/>
      <c r="H5210">
        <v>151</v>
      </c>
      <c r="J5210" t="s">
        <v>22</v>
      </c>
      <c r="L5210" s="1"/>
      <c r="N5210" s="1"/>
      <c r="V5210" t="str">
        <f>"06560"</f>
        <v>06560</v>
      </c>
      <c r="W5210">
        <v>0</v>
      </c>
      <c r="X5210">
        <v>0</v>
      </c>
    </row>
    <row r="5211" spans="1:24" ht="15" customHeight="1" x14ac:dyDescent="0.25">
      <c r="A5211" t="str">
        <f>""</f>
        <v/>
      </c>
      <c r="B5211" s="1"/>
      <c r="H5211">
        <v>151</v>
      </c>
      <c r="J5211" t="s">
        <v>22</v>
      </c>
      <c r="L5211" s="1"/>
      <c r="N5211" s="1"/>
      <c r="V5211" t="str">
        <f>"06560"</f>
        <v>06560</v>
      </c>
      <c r="W5211">
        <v>0</v>
      </c>
      <c r="X5211">
        <v>0</v>
      </c>
    </row>
    <row r="5212" spans="1:24" ht="15" customHeight="1" x14ac:dyDescent="0.25">
      <c r="A5212" t="str">
        <f>""</f>
        <v/>
      </c>
      <c r="B5212" s="1"/>
      <c r="H5212">
        <v>84.5</v>
      </c>
      <c r="L5212" s="1"/>
      <c r="N5212" s="1"/>
      <c r="V5212" t="str">
        <f>"77184"</f>
        <v>77184</v>
      </c>
      <c r="W5212">
        <v>0</v>
      </c>
      <c r="X5212">
        <v>0</v>
      </c>
    </row>
    <row r="5213" spans="1:24" x14ac:dyDescent="0.25">
      <c r="A5213" t="str">
        <f>""</f>
        <v/>
      </c>
      <c r="B5213" s="1"/>
      <c r="H5213">
        <v>40</v>
      </c>
      <c r="J5213" t="s">
        <v>15</v>
      </c>
      <c r="L5213" s="1"/>
      <c r="N5213" s="1"/>
      <c r="V5213" t="str">
        <f>"63100"</f>
        <v>63100</v>
      </c>
      <c r="W5213">
        <v>22.4</v>
      </c>
      <c r="X5213">
        <v>0</v>
      </c>
    </row>
    <row r="5214" spans="1:24" ht="15" customHeight="1" x14ac:dyDescent="0.25">
      <c r="A5214" t="str">
        <f>""</f>
        <v/>
      </c>
      <c r="B5214" s="1"/>
      <c r="H5214">
        <v>151</v>
      </c>
      <c r="J5214" t="s">
        <v>22</v>
      </c>
      <c r="L5214" s="1"/>
      <c r="N5214" s="1"/>
      <c r="V5214" t="str">
        <f>"76200"</f>
        <v>76200</v>
      </c>
      <c r="W5214">
        <v>0</v>
      </c>
      <c r="X5214">
        <v>25.67</v>
      </c>
    </row>
    <row r="5215" spans="1:24" ht="15" customHeight="1" x14ac:dyDescent="0.25">
      <c r="A5215" t="str">
        <f>""</f>
        <v/>
      </c>
      <c r="B5215" s="1"/>
      <c r="H5215">
        <v>30</v>
      </c>
      <c r="L5215" s="1"/>
      <c r="N5215" s="1"/>
      <c r="V5215" t="str">
        <f>"68920"</f>
        <v>68920</v>
      </c>
      <c r="W5215">
        <v>0</v>
      </c>
      <c r="X5215">
        <v>0</v>
      </c>
    </row>
    <row r="5216" spans="1:24" ht="15" customHeight="1" x14ac:dyDescent="0.25">
      <c r="A5216" t="str">
        <f>""</f>
        <v/>
      </c>
      <c r="B5216" s="1"/>
      <c r="H5216">
        <v>180</v>
      </c>
      <c r="J5216" t="s">
        <v>23</v>
      </c>
      <c r="L5216" s="1"/>
      <c r="N5216" s="1"/>
      <c r="V5216" t="str">
        <f>"59770"</f>
        <v>59770</v>
      </c>
      <c r="W5216">
        <v>0</v>
      </c>
      <c r="X5216">
        <v>0</v>
      </c>
    </row>
    <row r="5217" spans="1:24" ht="15" customHeight="1" x14ac:dyDescent="0.25">
      <c r="A5217" t="str">
        <f>""</f>
        <v/>
      </c>
      <c r="B5217" s="1"/>
      <c r="H5217">
        <v>15.8</v>
      </c>
      <c r="J5217" t="s">
        <v>22</v>
      </c>
      <c r="L5217" s="1"/>
      <c r="N5217" s="1"/>
      <c r="V5217" t="str">
        <f>"88250"</f>
        <v>88250</v>
      </c>
      <c r="W5217">
        <v>0</v>
      </c>
      <c r="X5217">
        <v>0</v>
      </c>
    </row>
    <row r="5218" spans="1:24" ht="15" customHeight="1" x14ac:dyDescent="0.25">
      <c r="A5218" t="str">
        <f>""</f>
        <v/>
      </c>
      <c r="B5218" s="1"/>
      <c r="H5218">
        <v>55.31</v>
      </c>
      <c r="J5218" t="s">
        <v>19</v>
      </c>
      <c r="L5218" s="1"/>
      <c r="N5218" s="1"/>
      <c r="V5218" t="str">
        <f>"62740"</f>
        <v>62740</v>
      </c>
      <c r="W5218">
        <v>10.51</v>
      </c>
      <c r="X5218">
        <v>0</v>
      </c>
    </row>
    <row r="5219" spans="1:24" ht="15" customHeight="1" x14ac:dyDescent="0.25">
      <c r="A5219" t="str">
        <f>""</f>
        <v/>
      </c>
      <c r="B5219" s="1"/>
      <c r="H5219">
        <v>31</v>
      </c>
      <c r="L5219" s="1"/>
      <c r="N5219" s="1"/>
      <c r="V5219" t="str">
        <f>"77184"</f>
        <v>77184</v>
      </c>
      <c r="W5219">
        <v>0</v>
      </c>
      <c r="X5219">
        <v>0</v>
      </c>
    </row>
    <row r="5220" spans="1:24" ht="15" customHeight="1" x14ac:dyDescent="0.25">
      <c r="A5220" t="str">
        <f>""</f>
        <v/>
      </c>
      <c r="B5220" s="1"/>
      <c r="H5220">
        <v>47</v>
      </c>
      <c r="J5220" t="s">
        <v>20</v>
      </c>
      <c r="L5220" s="1"/>
      <c r="N5220" s="1"/>
      <c r="V5220" t="str">
        <f>"44240"</f>
        <v>44240</v>
      </c>
      <c r="W5220">
        <v>12.69</v>
      </c>
      <c r="X5220">
        <v>0</v>
      </c>
    </row>
    <row r="5221" spans="1:24" ht="15" customHeight="1" x14ac:dyDescent="0.25">
      <c r="A5221" t="str">
        <f>""</f>
        <v/>
      </c>
      <c r="B5221" s="1"/>
      <c r="H5221">
        <v>68.3</v>
      </c>
      <c r="L5221" s="1"/>
      <c r="N5221" s="1"/>
      <c r="V5221" t="str">
        <f>"77184"</f>
        <v>77184</v>
      </c>
      <c r="W5221">
        <v>0</v>
      </c>
      <c r="X5221">
        <v>0</v>
      </c>
    </row>
    <row r="5222" spans="1:24" x14ac:dyDescent="0.25">
      <c r="A5222" t="str">
        <f>""</f>
        <v/>
      </c>
      <c r="B5222" s="1"/>
      <c r="H5222">
        <v>151</v>
      </c>
      <c r="J5222" t="s">
        <v>16</v>
      </c>
      <c r="L5222" s="1"/>
      <c r="N5222" s="1"/>
      <c r="V5222" t="str">
        <f>"54830"</f>
        <v>54830</v>
      </c>
      <c r="W5222">
        <v>37.75</v>
      </c>
      <c r="X5222">
        <v>0</v>
      </c>
    </row>
    <row r="5223" spans="1:24" ht="15" customHeight="1" x14ac:dyDescent="0.25">
      <c r="A5223" t="str">
        <f>""</f>
        <v/>
      </c>
      <c r="B5223" s="1"/>
      <c r="H5223">
        <v>70</v>
      </c>
      <c r="J5223" t="s">
        <v>23</v>
      </c>
      <c r="L5223" s="1"/>
      <c r="N5223" s="1"/>
      <c r="V5223" t="str">
        <f>"38100"</f>
        <v>38100</v>
      </c>
      <c r="W5223">
        <v>0</v>
      </c>
      <c r="X5223">
        <v>0</v>
      </c>
    </row>
    <row r="5224" spans="1:24" ht="15" customHeight="1" x14ac:dyDescent="0.25">
      <c r="A5224" t="str">
        <f>""</f>
        <v/>
      </c>
      <c r="B5224" s="1"/>
      <c r="H5224">
        <v>69</v>
      </c>
      <c r="J5224" t="s">
        <v>23</v>
      </c>
      <c r="L5224" s="1"/>
      <c r="N5224" s="1"/>
      <c r="V5224" t="str">
        <f>"68460"</f>
        <v>68460</v>
      </c>
      <c r="W5224">
        <v>0</v>
      </c>
      <c r="X5224">
        <v>5.52</v>
      </c>
    </row>
    <row r="5225" spans="1:24" ht="15" customHeight="1" x14ac:dyDescent="0.25">
      <c r="A5225" t="str">
        <f>""</f>
        <v/>
      </c>
      <c r="B5225" s="1"/>
      <c r="H5225">
        <v>250</v>
      </c>
      <c r="J5225" t="s">
        <v>23</v>
      </c>
      <c r="L5225" s="1"/>
      <c r="V5225" t="str">
        <f>"04260"</f>
        <v>04260</v>
      </c>
      <c r="W5225">
        <v>0</v>
      </c>
      <c r="X5225">
        <v>0</v>
      </c>
    </row>
    <row r="5226" spans="1:24" ht="15" customHeight="1" x14ac:dyDescent="0.25">
      <c r="A5226" t="str">
        <f>""</f>
        <v/>
      </c>
      <c r="B5226" s="1"/>
      <c r="H5226">
        <v>53.38</v>
      </c>
      <c r="J5226" t="s">
        <v>20</v>
      </c>
      <c r="L5226" s="1"/>
      <c r="N5226" s="1"/>
      <c r="V5226" t="str">
        <f>"75014"</f>
        <v>75014</v>
      </c>
      <c r="W5226">
        <v>0</v>
      </c>
      <c r="X5226">
        <v>0</v>
      </c>
    </row>
    <row r="5227" spans="1:24" ht="15" customHeight="1" x14ac:dyDescent="0.25">
      <c r="A5227" t="str">
        <f>""</f>
        <v/>
      </c>
      <c r="B5227" s="1"/>
      <c r="H5227">
        <v>140</v>
      </c>
      <c r="J5227" t="s">
        <v>23</v>
      </c>
      <c r="L5227" s="1"/>
      <c r="N5227" s="1"/>
      <c r="V5227" t="str">
        <f>"14000"</f>
        <v>14000</v>
      </c>
      <c r="W5227">
        <v>0</v>
      </c>
      <c r="X5227">
        <v>23.8</v>
      </c>
    </row>
    <row r="5228" spans="1:24" ht="15" customHeight="1" x14ac:dyDescent="0.25">
      <c r="A5228" t="str">
        <f>""</f>
        <v/>
      </c>
      <c r="B5228" s="1"/>
      <c r="H5228">
        <v>140</v>
      </c>
      <c r="J5228" t="s">
        <v>23</v>
      </c>
      <c r="L5228" s="1"/>
      <c r="N5228" s="1"/>
      <c r="V5228" t="str">
        <f>"14000"</f>
        <v>14000</v>
      </c>
      <c r="W5228">
        <v>0</v>
      </c>
      <c r="X5228">
        <v>23.8</v>
      </c>
    </row>
    <row r="5229" spans="1:24" ht="15" customHeight="1" x14ac:dyDescent="0.25">
      <c r="A5229" t="str">
        <f>""</f>
        <v/>
      </c>
      <c r="B5229" s="1"/>
      <c r="H5229">
        <v>350</v>
      </c>
      <c r="L5229" s="1"/>
      <c r="N5229" s="1"/>
      <c r="V5229" t="str">
        <f>"77184"</f>
        <v>77184</v>
      </c>
      <c r="W5229">
        <v>0</v>
      </c>
      <c r="X5229">
        <v>0</v>
      </c>
    </row>
    <row r="5230" spans="1:24" ht="15" customHeight="1" x14ac:dyDescent="0.25">
      <c r="A5230" t="str">
        <f>""</f>
        <v/>
      </c>
      <c r="B5230" s="1"/>
      <c r="H5230">
        <v>19.649999999999999</v>
      </c>
      <c r="J5230" t="s">
        <v>19</v>
      </c>
      <c r="L5230" s="1"/>
      <c r="N5230" s="1"/>
      <c r="V5230" t="str">
        <f>"75014"</f>
        <v>75014</v>
      </c>
      <c r="W5230">
        <v>0</v>
      </c>
      <c r="X5230">
        <v>0</v>
      </c>
    </row>
    <row r="5231" spans="1:24" ht="15" customHeight="1" x14ac:dyDescent="0.25">
      <c r="A5231" t="str">
        <f>""</f>
        <v/>
      </c>
      <c r="B5231" s="1"/>
      <c r="H5231">
        <v>19.649999999999999</v>
      </c>
      <c r="J5231" t="s">
        <v>19</v>
      </c>
      <c r="L5231" s="1"/>
      <c r="N5231" s="1"/>
      <c r="V5231" t="str">
        <f>"75014"</f>
        <v>75014</v>
      </c>
      <c r="W5231">
        <v>0</v>
      </c>
      <c r="X5231">
        <v>0</v>
      </c>
    </row>
    <row r="5232" spans="1:24" ht="15" customHeight="1" x14ac:dyDescent="0.25">
      <c r="A5232" t="str">
        <f>""</f>
        <v/>
      </c>
      <c r="B5232" s="1"/>
      <c r="H5232">
        <v>40</v>
      </c>
      <c r="J5232" t="s">
        <v>19</v>
      </c>
      <c r="L5232" s="1"/>
      <c r="N5232" s="1"/>
      <c r="V5232" t="str">
        <f>"49300"</f>
        <v>49300</v>
      </c>
      <c r="W5232">
        <v>10.8</v>
      </c>
      <c r="X5232">
        <v>0</v>
      </c>
    </row>
    <row r="5233" spans="1:24" ht="15" customHeight="1" x14ac:dyDescent="0.25">
      <c r="A5233" t="str">
        <f>""</f>
        <v/>
      </c>
      <c r="B5233" s="1"/>
      <c r="H5233">
        <v>32.450000000000003</v>
      </c>
      <c r="J5233" t="s">
        <v>20</v>
      </c>
      <c r="L5233" s="1"/>
      <c r="N5233" s="1"/>
      <c r="V5233" t="str">
        <f>"08200"</f>
        <v>08200</v>
      </c>
      <c r="W5233">
        <v>6.17</v>
      </c>
      <c r="X5233">
        <v>0</v>
      </c>
    </row>
    <row r="5234" spans="1:24" x14ac:dyDescent="0.25">
      <c r="A5234" t="str">
        <f>""</f>
        <v/>
      </c>
      <c r="B5234" s="1"/>
      <c r="H5234">
        <v>170.5</v>
      </c>
      <c r="J5234" t="s">
        <v>16</v>
      </c>
      <c r="L5234" s="1"/>
      <c r="V5234" t="str">
        <f>"94782"</f>
        <v>94782</v>
      </c>
      <c r="W5234">
        <v>0</v>
      </c>
      <c r="X5234">
        <v>0</v>
      </c>
    </row>
    <row r="5235" spans="1:24" x14ac:dyDescent="0.25">
      <c r="A5235" t="str">
        <f>""</f>
        <v/>
      </c>
      <c r="B5235" s="1"/>
      <c r="H5235">
        <v>134.93</v>
      </c>
      <c r="J5235" t="s">
        <v>18</v>
      </c>
      <c r="L5235" s="1"/>
      <c r="N5235" s="1"/>
      <c r="V5235" t="str">
        <f>"35220"</f>
        <v>35220</v>
      </c>
      <c r="W5235">
        <v>0</v>
      </c>
      <c r="X5235">
        <v>0</v>
      </c>
    </row>
    <row r="5236" spans="1:24" ht="15" customHeight="1" x14ac:dyDescent="0.25">
      <c r="A5236" t="str">
        <f>""</f>
        <v/>
      </c>
      <c r="B5236" s="1"/>
      <c r="H5236">
        <v>47</v>
      </c>
      <c r="J5236" t="s">
        <v>20</v>
      </c>
      <c r="L5236" s="1"/>
      <c r="N5236" s="1"/>
      <c r="V5236" t="str">
        <f>"42000"</f>
        <v>42000</v>
      </c>
      <c r="W5236">
        <v>12.69</v>
      </c>
      <c r="X5236">
        <v>0</v>
      </c>
    </row>
    <row r="5237" spans="1:24" ht="15" customHeight="1" x14ac:dyDescent="0.25">
      <c r="A5237" t="str">
        <f>""</f>
        <v/>
      </c>
      <c r="B5237" s="1"/>
      <c r="H5237">
        <v>32.65</v>
      </c>
      <c r="L5237" s="1"/>
      <c r="N5237" s="1"/>
      <c r="V5237" t="str">
        <f>"77184"</f>
        <v>77184</v>
      </c>
      <c r="W5237">
        <v>0</v>
      </c>
      <c r="X5237">
        <v>0</v>
      </c>
    </row>
    <row r="5238" spans="1:24" ht="15" customHeight="1" x14ac:dyDescent="0.25">
      <c r="A5238" t="str">
        <f>""</f>
        <v/>
      </c>
      <c r="B5238" s="1"/>
      <c r="H5238">
        <v>18.350000000000001</v>
      </c>
      <c r="J5238" t="s">
        <v>19</v>
      </c>
      <c r="L5238" s="1"/>
      <c r="N5238" s="1"/>
      <c r="V5238" t="str">
        <f>"62600"</f>
        <v>62600</v>
      </c>
      <c r="W5238">
        <v>3.49</v>
      </c>
      <c r="X5238">
        <v>0</v>
      </c>
    </row>
    <row r="5239" spans="1:24" x14ac:dyDescent="0.25">
      <c r="A5239" t="str">
        <f>""</f>
        <v/>
      </c>
      <c r="B5239" s="1"/>
      <c r="H5239">
        <v>171.65</v>
      </c>
      <c r="J5239" t="s">
        <v>16</v>
      </c>
      <c r="L5239" s="1"/>
      <c r="N5239" s="1"/>
      <c r="V5239" t="str">
        <f>"75020"</f>
        <v>75020</v>
      </c>
      <c r="W5239">
        <v>0</v>
      </c>
      <c r="X5239">
        <v>0</v>
      </c>
    </row>
    <row r="5240" spans="1:24" ht="15" customHeight="1" x14ac:dyDescent="0.25">
      <c r="A5240" t="str">
        <f>""</f>
        <v/>
      </c>
      <c r="B5240" s="1"/>
      <c r="H5240">
        <v>21.09</v>
      </c>
      <c r="J5240" t="s">
        <v>19</v>
      </c>
      <c r="L5240" s="1"/>
      <c r="N5240" s="1"/>
      <c r="V5240" t="str">
        <f>"94250"</f>
        <v>94250</v>
      </c>
      <c r="W5240">
        <v>0</v>
      </c>
      <c r="X5240">
        <v>0</v>
      </c>
    </row>
    <row r="5241" spans="1:24" ht="15" customHeight="1" x14ac:dyDescent="0.25">
      <c r="A5241" t="str">
        <f>""</f>
        <v/>
      </c>
      <c r="B5241" s="1"/>
      <c r="H5241">
        <v>50</v>
      </c>
      <c r="J5241" t="s">
        <v>23</v>
      </c>
      <c r="L5241" s="1"/>
      <c r="N5241" s="1"/>
      <c r="V5241" t="str">
        <f>"69120"</f>
        <v>69120</v>
      </c>
      <c r="W5241">
        <v>0</v>
      </c>
      <c r="X5241">
        <v>0</v>
      </c>
    </row>
    <row r="5242" spans="1:24" ht="15" customHeight="1" x14ac:dyDescent="0.25">
      <c r="A5242" t="str">
        <f>""</f>
        <v/>
      </c>
      <c r="B5242" s="1"/>
      <c r="H5242">
        <v>19.89</v>
      </c>
      <c r="J5242" t="s">
        <v>19</v>
      </c>
      <c r="L5242" s="1"/>
      <c r="N5242" s="1"/>
      <c r="V5242" t="str">
        <f>"06560"</f>
        <v>06560</v>
      </c>
      <c r="W5242">
        <v>5.97</v>
      </c>
      <c r="X5242">
        <v>0</v>
      </c>
    </row>
    <row r="5243" spans="1:24" ht="15" customHeight="1" x14ac:dyDescent="0.25">
      <c r="A5243" t="str">
        <f>""</f>
        <v/>
      </c>
      <c r="B5243" s="1"/>
      <c r="H5243">
        <v>93.16</v>
      </c>
      <c r="J5243" t="s">
        <v>20</v>
      </c>
      <c r="L5243" s="1"/>
      <c r="N5243" s="1"/>
      <c r="V5243" t="str">
        <f>"76410"</f>
        <v>76410</v>
      </c>
      <c r="W5243">
        <v>15.84</v>
      </c>
      <c r="X5243">
        <v>0</v>
      </c>
    </row>
    <row r="5244" spans="1:24" ht="15" customHeight="1" x14ac:dyDescent="0.25">
      <c r="A5244" t="str">
        <f>""</f>
        <v/>
      </c>
      <c r="B5244" s="1"/>
      <c r="H5244">
        <v>33.35</v>
      </c>
      <c r="J5244" t="s">
        <v>20</v>
      </c>
      <c r="L5244" s="1"/>
      <c r="N5244" s="1"/>
      <c r="V5244" t="str">
        <f>"34280"</f>
        <v>34280</v>
      </c>
      <c r="W5244">
        <v>13.01</v>
      </c>
      <c r="X5244">
        <v>0</v>
      </c>
    </row>
    <row r="5245" spans="1:24" ht="15" customHeight="1" x14ac:dyDescent="0.25">
      <c r="A5245" t="str">
        <f>""</f>
        <v/>
      </c>
      <c r="B5245" s="1"/>
      <c r="H5245">
        <v>151.93</v>
      </c>
      <c r="J5245" t="s">
        <v>20</v>
      </c>
      <c r="L5245" s="1"/>
      <c r="N5245" s="1"/>
      <c r="V5245" t="str">
        <f>"28100"</f>
        <v>28100</v>
      </c>
      <c r="W5245">
        <v>31.91</v>
      </c>
      <c r="X5245">
        <v>0</v>
      </c>
    </row>
    <row r="5246" spans="1:24" ht="15" customHeight="1" x14ac:dyDescent="0.25">
      <c r="A5246" t="str">
        <f>""</f>
        <v/>
      </c>
      <c r="B5246" s="1"/>
      <c r="H5246">
        <v>167.98</v>
      </c>
      <c r="L5246" s="1"/>
      <c r="N5246" s="1"/>
      <c r="V5246" t="str">
        <f>"77184"</f>
        <v>77184</v>
      </c>
      <c r="W5246">
        <v>0</v>
      </c>
      <c r="X5246">
        <v>0</v>
      </c>
    </row>
    <row r="5247" spans="1:24" ht="15" customHeight="1" x14ac:dyDescent="0.25">
      <c r="A5247" t="str">
        <f>""</f>
        <v/>
      </c>
      <c r="B5247" s="1"/>
      <c r="H5247">
        <v>201.16</v>
      </c>
      <c r="J5247" t="s">
        <v>19</v>
      </c>
      <c r="L5247" s="1"/>
      <c r="N5247" s="1"/>
      <c r="V5247" t="str">
        <f>"14150"</f>
        <v>14150</v>
      </c>
      <c r="W5247">
        <v>34.200000000000003</v>
      </c>
      <c r="X5247">
        <v>0</v>
      </c>
    </row>
    <row r="5248" spans="1:24" ht="15" customHeight="1" x14ac:dyDescent="0.25">
      <c r="A5248" t="str">
        <f>""</f>
        <v/>
      </c>
      <c r="B5248" s="1"/>
      <c r="H5248">
        <v>130.19999999999999</v>
      </c>
      <c r="J5248" t="s">
        <v>20</v>
      </c>
      <c r="L5248" s="1"/>
      <c r="N5248" s="1"/>
      <c r="V5248" t="str">
        <f>"59115"</f>
        <v>59115</v>
      </c>
      <c r="W5248">
        <v>24.74</v>
      </c>
      <c r="X5248">
        <v>0</v>
      </c>
    </row>
    <row r="5249" spans="1:24" ht="15" customHeight="1" x14ac:dyDescent="0.25">
      <c r="A5249" t="str">
        <f>""</f>
        <v/>
      </c>
      <c r="B5249" s="1"/>
      <c r="H5249">
        <v>39</v>
      </c>
      <c r="L5249" s="1"/>
      <c r="N5249" s="1"/>
      <c r="V5249" t="str">
        <f>"44240"</f>
        <v>44240</v>
      </c>
      <c r="W5249">
        <v>0</v>
      </c>
      <c r="X5249">
        <v>0</v>
      </c>
    </row>
    <row r="5250" spans="1:24" ht="15" customHeight="1" x14ac:dyDescent="0.25">
      <c r="A5250" t="str">
        <f>""</f>
        <v/>
      </c>
      <c r="B5250" s="1"/>
      <c r="H5250">
        <v>136.65</v>
      </c>
      <c r="J5250" t="s">
        <v>19</v>
      </c>
      <c r="L5250" s="1"/>
      <c r="N5250" s="1"/>
      <c r="V5250" t="str">
        <f>"34500"</f>
        <v>34500</v>
      </c>
      <c r="W5250">
        <v>53.29</v>
      </c>
      <c r="X5250">
        <v>0</v>
      </c>
    </row>
    <row r="5251" spans="1:24" ht="15" customHeight="1" x14ac:dyDescent="0.25">
      <c r="A5251" t="str">
        <f>""</f>
        <v/>
      </c>
      <c r="B5251" s="1"/>
      <c r="H5251">
        <v>37.19</v>
      </c>
      <c r="L5251" s="1"/>
      <c r="N5251" s="1"/>
      <c r="V5251" t="str">
        <f>"77184"</f>
        <v>77184</v>
      </c>
      <c r="W5251">
        <v>0</v>
      </c>
      <c r="X5251">
        <v>0</v>
      </c>
    </row>
    <row r="5252" spans="1:24" ht="15" customHeight="1" x14ac:dyDescent="0.25">
      <c r="A5252" t="str">
        <f>""</f>
        <v/>
      </c>
      <c r="B5252" s="1"/>
      <c r="H5252">
        <v>171</v>
      </c>
      <c r="L5252" s="1"/>
      <c r="N5252" s="1"/>
      <c r="V5252" t="str">
        <f>"77184"</f>
        <v>77184</v>
      </c>
      <c r="W5252">
        <v>0</v>
      </c>
      <c r="X5252">
        <v>0</v>
      </c>
    </row>
    <row r="5253" spans="1:24" x14ac:dyDescent="0.25">
      <c r="A5253" t="str">
        <f>""</f>
        <v/>
      </c>
      <c r="B5253" s="1"/>
      <c r="H5253">
        <v>175.05</v>
      </c>
      <c r="J5253" t="s">
        <v>18</v>
      </c>
      <c r="L5253" s="1"/>
      <c r="N5253" s="1"/>
      <c r="V5253" t="str">
        <f>"71530"</f>
        <v>71530</v>
      </c>
      <c r="W5253">
        <v>0</v>
      </c>
      <c r="X5253">
        <v>0</v>
      </c>
    </row>
    <row r="5254" spans="1:24" ht="15" customHeight="1" x14ac:dyDescent="0.25">
      <c r="A5254" t="str">
        <f>""</f>
        <v/>
      </c>
      <c r="B5254" s="1"/>
      <c r="H5254">
        <v>186.91</v>
      </c>
      <c r="J5254" t="s">
        <v>19</v>
      </c>
      <c r="L5254" s="1"/>
      <c r="N5254" s="1"/>
      <c r="V5254" t="str">
        <f>"73000"</f>
        <v>73000</v>
      </c>
      <c r="W5254">
        <v>50.47</v>
      </c>
      <c r="X5254">
        <v>0</v>
      </c>
    </row>
    <row r="5255" spans="1:24" ht="15" customHeight="1" x14ac:dyDescent="0.25">
      <c r="A5255" t="str">
        <f>""</f>
        <v/>
      </c>
      <c r="B5255" s="1"/>
      <c r="H5255">
        <v>184</v>
      </c>
      <c r="J5255" t="s">
        <v>22</v>
      </c>
      <c r="L5255" s="1"/>
      <c r="N5255" s="1"/>
      <c r="V5255" t="str">
        <f>"59000"</f>
        <v>59000</v>
      </c>
      <c r="W5255">
        <v>0</v>
      </c>
      <c r="X5255">
        <v>0</v>
      </c>
    </row>
    <row r="5256" spans="1:24" ht="15" customHeight="1" x14ac:dyDescent="0.25">
      <c r="A5256" t="str">
        <f>""</f>
        <v/>
      </c>
      <c r="B5256" s="1"/>
      <c r="H5256">
        <v>53.82</v>
      </c>
      <c r="J5256" t="s">
        <v>19</v>
      </c>
      <c r="L5256" s="1"/>
      <c r="N5256" s="1"/>
      <c r="V5256" t="str">
        <f>"78190"</f>
        <v>78190</v>
      </c>
      <c r="W5256">
        <v>0</v>
      </c>
      <c r="X5256">
        <v>0</v>
      </c>
    </row>
    <row r="5257" spans="1:24" ht="15" customHeight="1" x14ac:dyDescent="0.25">
      <c r="A5257" t="str">
        <f>""</f>
        <v/>
      </c>
      <c r="B5257" s="1"/>
      <c r="H5257">
        <v>25.2</v>
      </c>
      <c r="J5257" t="s">
        <v>19</v>
      </c>
      <c r="L5257" s="1"/>
      <c r="N5257" s="1"/>
      <c r="V5257" t="str">
        <f>"62150"</f>
        <v>62150</v>
      </c>
      <c r="W5257">
        <v>4.79</v>
      </c>
      <c r="X5257">
        <v>0</v>
      </c>
    </row>
    <row r="5258" spans="1:24" ht="15" customHeight="1" x14ac:dyDescent="0.25">
      <c r="A5258" t="str">
        <f>""</f>
        <v/>
      </c>
      <c r="B5258" s="1"/>
      <c r="H5258">
        <v>209.56</v>
      </c>
      <c r="J5258" t="s">
        <v>19</v>
      </c>
      <c r="L5258" s="1"/>
      <c r="N5258" s="1"/>
      <c r="V5258" t="str">
        <f>"69005"</f>
        <v>69005</v>
      </c>
      <c r="W5258">
        <v>56.58</v>
      </c>
      <c r="X5258">
        <v>0</v>
      </c>
    </row>
    <row r="5259" spans="1:24" ht="15" customHeight="1" x14ac:dyDescent="0.25">
      <c r="A5259" t="str">
        <f>""</f>
        <v/>
      </c>
      <c r="B5259" s="1"/>
      <c r="H5259">
        <v>33.35</v>
      </c>
      <c r="J5259" t="s">
        <v>19</v>
      </c>
      <c r="L5259" s="1"/>
      <c r="N5259" s="1"/>
      <c r="V5259" t="str">
        <f>"69005"</f>
        <v>69005</v>
      </c>
      <c r="W5259">
        <v>9</v>
      </c>
      <c r="X5259">
        <v>0</v>
      </c>
    </row>
    <row r="5260" spans="1:24" ht="15" customHeight="1" x14ac:dyDescent="0.25">
      <c r="A5260" t="str">
        <f>""</f>
        <v/>
      </c>
      <c r="B5260" s="1"/>
      <c r="H5260">
        <v>140</v>
      </c>
      <c r="J5260" t="s">
        <v>23</v>
      </c>
      <c r="L5260" s="1"/>
      <c r="N5260" s="1"/>
      <c r="V5260" t="str">
        <f>"77183"</f>
        <v>77183</v>
      </c>
      <c r="W5260">
        <v>0</v>
      </c>
      <c r="X5260">
        <v>0</v>
      </c>
    </row>
    <row r="5261" spans="1:24" ht="15" customHeight="1" x14ac:dyDescent="0.25">
      <c r="A5261" t="str">
        <f>""</f>
        <v/>
      </c>
      <c r="B5261" s="1"/>
      <c r="H5261">
        <v>131.97999999999999</v>
      </c>
      <c r="J5261" t="s">
        <v>20</v>
      </c>
      <c r="L5261" s="1"/>
      <c r="N5261" s="1"/>
      <c r="V5261" t="str">
        <f>"17100"</f>
        <v>17100</v>
      </c>
      <c r="W5261">
        <v>27.72</v>
      </c>
      <c r="X5261">
        <v>0</v>
      </c>
    </row>
    <row r="5262" spans="1:24" ht="15" customHeight="1" x14ac:dyDescent="0.25">
      <c r="A5262" t="str">
        <f>""</f>
        <v/>
      </c>
      <c r="B5262" s="1"/>
      <c r="H5262">
        <v>165.08</v>
      </c>
      <c r="J5262" t="s">
        <v>23</v>
      </c>
      <c r="L5262" s="1"/>
      <c r="N5262" s="1"/>
      <c r="V5262" t="str">
        <f>"44470"</f>
        <v>44470</v>
      </c>
      <c r="W5262">
        <v>0</v>
      </c>
      <c r="X5262">
        <v>0</v>
      </c>
    </row>
    <row r="5263" spans="1:24" ht="15" customHeight="1" x14ac:dyDescent="0.25">
      <c r="A5263" t="str">
        <f>""</f>
        <v/>
      </c>
      <c r="B5263" s="1"/>
      <c r="H5263">
        <v>140</v>
      </c>
      <c r="J5263" t="s">
        <v>23</v>
      </c>
      <c r="L5263" s="1"/>
      <c r="N5263" s="1"/>
      <c r="V5263" t="str">
        <f>"17000"</f>
        <v>17000</v>
      </c>
      <c r="W5263">
        <v>0</v>
      </c>
      <c r="X5263">
        <v>0</v>
      </c>
    </row>
    <row r="5264" spans="1:24" ht="15" customHeight="1" x14ac:dyDescent="0.25">
      <c r="A5264" t="str">
        <f>""</f>
        <v/>
      </c>
      <c r="B5264" s="1"/>
      <c r="H5264">
        <v>122</v>
      </c>
      <c r="L5264" s="1"/>
      <c r="V5264" t="str">
        <f>"77184"</f>
        <v>77184</v>
      </c>
      <c r="W5264">
        <v>0</v>
      </c>
      <c r="X5264">
        <v>0</v>
      </c>
    </row>
    <row r="5265" spans="1:24" ht="15" customHeight="1" x14ac:dyDescent="0.25">
      <c r="A5265" t="str">
        <f>""</f>
        <v/>
      </c>
      <c r="B5265" s="1"/>
      <c r="H5265">
        <v>82.52</v>
      </c>
      <c r="J5265" t="s">
        <v>23</v>
      </c>
      <c r="L5265" s="1"/>
      <c r="N5265" s="1"/>
      <c r="V5265" t="str">
        <f>"42123"</f>
        <v>42123</v>
      </c>
      <c r="W5265">
        <v>0</v>
      </c>
      <c r="X5265">
        <v>0</v>
      </c>
    </row>
    <row r="5266" spans="1:24" ht="15" customHeight="1" x14ac:dyDescent="0.25">
      <c r="A5266" t="str">
        <f>""</f>
        <v/>
      </c>
      <c r="B5266" s="1"/>
      <c r="H5266">
        <v>11</v>
      </c>
      <c r="J5266" t="s">
        <v>23</v>
      </c>
      <c r="L5266" s="1"/>
      <c r="N5266" s="1"/>
      <c r="V5266" t="str">
        <f>"78180"</f>
        <v>78180</v>
      </c>
      <c r="W5266">
        <v>0</v>
      </c>
      <c r="X5266">
        <v>0</v>
      </c>
    </row>
    <row r="5267" spans="1:24" ht="15" customHeight="1" x14ac:dyDescent="0.25">
      <c r="A5267" t="str">
        <f>""</f>
        <v/>
      </c>
      <c r="B5267" s="1"/>
      <c r="H5267">
        <v>243.02</v>
      </c>
      <c r="J5267" t="s">
        <v>23</v>
      </c>
      <c r="L5267" s="1"/>
      <c r="N5267" s="1"/>
      <c r="V5267" t="str">
        <f>"93420"</f>
        <v>93420</v>
      </c>
      <c r="W5267">
        <v>0</v>
      </c>
      <c r="X5267">
        <v>0</v>
      </c>
    </row>
    <row r="5268" spans="1:24" ht="15" customHeight="1" x14ac:dyDescent="0.25">
      <c r="A5268" t="str">
        <f>""</f>
        <v/>
      </c>
      <c r="B5268" s="1"/>
      <c r="H5268">
        <v>143.34</v>
      </c>
      <c r="J5268" t="s">
        <v>19</v>
      </c>
      <c r="L5268" s="1"/>
      <c r="N5268" s="1"/>
      <c r="V5268" t="str">
        <f>"13002"</f>
        <v>13002</v>
      </c>
      <c r="W5268">
        <v>41.57</v>
      </c>
      <c r="X5268">
        <v>0</v>
      </c>
    </row>
    <row r="5269" spans="1:24" ht="15" customHeight="1" x14ac:dyDescent="0.25">
      <c r="A5269" t="str">
        <f>""</f>
        <v/>
      </c>
      <c r="B5269" s="1"/>
      <c r="H5269">
        <v>70</v>
      </c>
      <c r="J5269" t="s">
        <v>22</v>
      </c>
      <c r="L5269" s="1"/>
      <c r="V5269" t="str">
        <f>"71000"</f>
        <v>71000</v>
      </c>
      <c r="W5269">
        <v>0</v>
      </c>
      <c r="X5269">
        <v>0</v>
      </c>
    </row>
    <row r="5270" spans="1:24" ht="15" customHeight="1" x14ac:dyDescent="0.25">
      <c r="A5270" t="str">
        <f>""</f>
        <v/>
      </c>
      <c r="B5270" s="1"/>
      <c r="H5270">
        <v>70</v>
      </c>
      <c r="J5270" t="s">
        <v>22</v>
      </c>
      <c r="L5270" s="1"/>
      <c r="V5270" t="str">
        <f>"71200"</f>
        <v>71200</v>
      </c>
      <c r="W5270">
        <v>0</v>
      </c>
      <c r="X5270">
        <v>0</v>
      </c>
    </row>
    <row r="5271" spans="1:24" ht="15" customHeight="1" x14ac:dyDescent="0.25">
      <c r="A5271" t="str">
        <f>""</f>
        <v/>
      </c>
      <c r="B5271" s="1"/>
      <c r="H5271">
        <v>40</v>
      </c>
      <c r="J5271" t="s">
        <v>23</v>
      </c>
      <c r="L5271" s="1"/>
      <c r="V5271" t="str">
        <f>"21000"</f>
        <v>21000</v>
      </c>
      <c r="W5271">
        <v>0</v>
      </c>
      <c r="X5271">
        <v>0</v>
      </c>
    </row>
    <row r="5272" spans="1:24" ht="15" customHeight="1" x14ac:dyDescent="0.25">
      <c r="A5272" t="str">
        <f>""</f>
        <v/>
      </c>
      <c r="B5272" s="1"/>
      <c r="H5272">
        <v>80.599999999999994</v>
      </c>
      <c r="J5272" t="s">
        <v>22</v>
      </c>
      <c r="L5272" s="1"/>
      <c r="N5272" s="1"/>
      <c r="V5272" t="str">
        <f>"63100"</f>
        <v>63100</v>
      </c>
      <c r="W5272">
        <v>0</v>
      </c>
      <c r="X5272">
        <v>0</v>
      </c>
    </row>
    <row r="5273" spans="1:24" ht="15" customHeight="1" x14ac:dyDescent="0.25">
      <c r="A5273" t="str">
        <f>""</f>
        <v/>
      </c>
      <c r="B5273" s="1"/>
      <c r="H5273">
        <v>129.37</v>
      </c>
      <c r="J5273" t="s">
        <v>23</v>
      </c>
      <c r="L5273" s="1"/>
      <c r="V5273" t="str">
        <f>"91420"</f>
        <v>91420</v>
      </c>
      <c r="W5273">
        <v>0</v>
      </c>
      <c r="X5273">
        <v>0</v>
      </c>
    </row>
    <row r="5274" spans="1:24" ht="15" customHeight="1" x14ac:dyDescent="0.25">
      <c r="A5274" t="str">
        <f>""</f>
        <v/>
      </c>
      <c r="B5274" s="1"/>
      <c r="H5274">
        <v>171.95</v>
      </c>
      <c r="J5274" t="s">
        <v>23</v>
      </c>
      <c r="L5274" s="1"/>
      <c r="N5274" s="1"/>
      <c r="V5274" t="str">
        <f>"84270"</f>
        <v>84270</v>
      </c>
      <c r="W5274">
        <v>0</v>
      </c>
      <c r="X5274">
        <v>0</v>
      </c>
    </row>
    <row r="5275" spans="1:24" ht="15" customHeight="1" x14ac:dyDescent="0.25">
      <c r="A5275" t="str">
        <f>""</f>
        <v/>
      </c>
      <c r="B5275" s="1"/>
      <c r="H5275">
        <v>58</v>
      </c>
      <c r="J5275" t="s">
        <v>20</v>
      </c>
      <c r="L5275" s="1"/>
      <c r="N5275" s="1"/>
      <c r="V5275" t="str">
        <f>"38113"</f>
        <v>38113</v>
      </c>
      <c r="W5275">
        <v>15.66</v>
      </c>
      <c r="X5275">
        <v>0</v>
      </c>
    </row>
    <row r="5276" spans="1:24" ht="15" customHeight="1" x14ac:dyDescent="0.25">
      <c r="A5276" t="str">
        <f>""</f>
        <v/>
      </c>
      <c r="B5276" s="1"/>
      <c r="H5276">
        <v>108.12</v>
      </c>
      <c r="J5276" t="s">
        <v>22</v>
      </c>
      <c r="L5276" s="1"/>
      <c r="N5276" s="1"/>
      <c r="V5276" t="str">
        <f>"54000"</f>
        <v>54000</v>
      </c>
      <c r="W5276">
        <v>0</v>
      </c>
      <c r="X5276">
        <v>27.03</v>
      </c>
    </row>
    <row r="5277" spans="1:24" ht="15" customHeight="1" x14ac:dyDescent="0.25">
      <c r="A5277" t="str">
        <f>""</f>
        <v/>
      </c>
      <c r="B5277" s="1"/>
      <c r="H5277">
        <v>35.03</v>
      </c>
      <c r="J5277" t="s">
        <v>22</v>
      </c>
      <c r="L5277" s="1"/>
      <c r="N5277" s="1"/>
      <c r="V5277" t="str">
        <f>"70000"</f>
        <v>70000</v>
      </c>
      <c r="W5277">
        <v>0</v>
      </c>
      <c r="X5277">
        <v>0</v>
      </c>
    </row>
    <row r="5278" spans="1:24" ht="15" customHeight="1" x14ac:dyDescent="0.25">
      <c r="A5278" t="str">
        <f>""</f>
        <v/>
      </c>
      <c r="B5278" s="1"/>
      <c r="H5278">
        <v>151</v>
      </c>
      <c r="J5278" t="s">
        <v>22</v>
      </c>
      <c r="L5278" s="1"/>
      <c r="V5278" t="str">
        <f>"54200"</f>
        <v>54200</v>
      </c>
      <c r="W5278">
        <v>0</v>
      </c>
      <c r="X5278">
        <v>0</v>
      </c>
    </row>
    <row r="5279" spans="1:24" ht="15" customHeight="1" x14ac:dyDescent="0.25">
      <c r="A5279" t="str">
        <f>""</f>
        <v/>
      </c>
      <c r="B5279" s="1"/>
      <c r="H5279">
        <v>50.84</v>
      </c>
      <c r="J5279" t="s">
        <v>19</v>
      </c>
      <c r="L5279" s="1"/>
      <c r="N5279" s="1"/>
      <c r="V5279" t="str">
        <f>"92000"</f>
        <v>92000</v>
      </c>
      <c r="W5279">
        <v>0</v>
      </c>
      <c r="X5279">
        <v>0</v>
      </c>
    </row>
    <row r="5280" spans="1:24" x14ac:dyDescent="0.25">
      <c r="A5280" t="str">
        <f>""</f>
        <v/>
      </c>
      <c r="B5280" s="1"/>
      <c r="H5280">
        <v>52.5</v>
      </c>
      <c r="J5280" t="s">
        <v>15</v>
      </c>
      <c r="L5280" s="1"/>
      <c r="N5280" s="1"/>
      <c r="V5280" t="str">
        <f>"93100"</f>
        <v>93100</v>
      </c>
      <c r="W5280">
        <v>0</v>
      </c>
      <c r="X5280">
        <v>0</v>
      </c>
    </row>
    <row r="5281" spans="1:24" x14ac:dyDescent="0.25">
      <c r="A5281" t="str">
        <f>""</f>
        <v/>
      </c>
      <c r="B5281" s="1"/>
      <c r="H5281">
        <v>52.5</v>
      </c>
      <c r="J5281" t="s">
        <v>15</v>
      </c>
      <c r="L5281" s="1"/>
      <c r="N5281" s="1"/>
      <c r="V5281" t="str">
        <f>"94800"</f>
        <v>94800</v>
      </c>
      <c r="W5281">
        <v>0</v>
      </c>
      <c r="X5281">
        <v>0</v>
      </c>
    </row>
    <row r="5282" spans="1:24" x14ac:dyDescent="0.25">
      <c r="A5282" t="str">
        <f>""</f>
        <v/>
      </c>
      <c r="B5282" s="1"/>
      <c r="H5282">
        <v>52.5</v>
      </c>
      <c r="J5282" t="s">
        <v>15</v>
      </c>
      <c r="L5282" s="1"/>
      <c r="N5282" s="1"/>
      <c r="V5282" t="str">
        <f>"25000"</f>
        <v>25000</v>
      </c>
      <c r="W5282">
        <v>0</v>
      </c>
      <c r="X5282">
        <v>0</v>
      </c>
    </row>
    <row r="5283" spans="1:24" ht="15" customHeight="1" x14ac:dyDescent="0.25">
      <c r="A5283" t="str">
        <f>""</f>
        <v/>
      </c>
      <c r="B5283" s="1"/>
      <c r="H5283">
        <v>197</v>
      </c>
      <c r="J5283" t="s">
        <v>22</v>
      </c>
      <c r="L5283" s="1"/>
      <c r="N5283" s="1"/>
      <c r="V5283" t="str">
        <f>"77140"</f>
        <v>77140</v>
      </c>
      <c r="W5283">
        <v>0</v>
      </c>
      <c r="X5283">
        <v>0</v>
      </c>
    </row>
    <row r="5284" spans="1:24" x14ac:dyDescent="0.25">
      <c r="A5284" t="str">
        <f>""</f>
        <v/>
      </c>
      <c r="B5284" s="1"/>
      <c r="H5284">
        <v>23.4</v>
      </c>
      <c r="J5284" t="s">
        <v>17</v>
      </c>
      <c r="L5284" s="1"/>
      <c r="N5284" s="1"/>
      <c r="V5284" t="str">
        <f>"38230"</f>
        <v>38230</v>
      </c>
      <c r="W5284">
        <v>0</v>
      </c>
      <c r="X5284">
        <v>0</v>
      </c>
    </row>
    <row r="5285" spans="1:24" x14ac:dyDescent="0.25">
      <c r="A5285" t="str">
        <f>""</f>
        <v/>
      </c>
      <c r="B5285" s="1"/>
      <c r="H5285">
        <v>23.4</v>
      </c>
      <c r="J5285" t="s">
        <v>17</v>
      </c>
      <c r="L5285" s="1"/>
      <c r="N5285" s="1"/>
      <c r="V5285" t="str">
        <f>"38230"</f>
        <v>38230</v>
      </c>
      <c r="W5285">
        <v>0</v>
      </c>
      <c r="X5285">
        <v>0</v>
      </c>
    </row>
    <row r="5286" spans="1:24" ht="15" customHeight="1" x14ac:dyDescent="0.25">
      <c r="A5286" t="str">
        <f>""</f>
        <v/>
      </c>
      <c r="B5286" s="1"/>
      <c r="H5286">
        <v>75.5</v>
      </c>
      <c r="J5286" t="s">
        <v>23</v>
      </c>
      <c r="L5286" s="1"/>
      <c r="N5286" s="1"/>
      <c r="V5286" t="str">
        <f>"67000"</f>
        <v>67000</v>
      </c>
      <c r="W5286">
        <v>0</v>
      </c>
      <c r="X5286">
        <v>0</v>
      </c>
    </row>
    <row r="5287" spans="1:24" x14ac:dyDescent="0.25">
      <c r="A5287" t="str">
        <f>""</f>
        <v/>
      </c>
      <c r="B5287" s="1"/>
      <c r="H5287">
        <v>151</v>
      </c>
      <c r="J5287" t="s">
        <v>17</v>
      </c>
      <c r="L5287" s="1"/>
      <c r="N5287" s="1"/>
      <c r="V5287" t="str">
        <f>"21000"</f>
        <v>21000</v>
      </c>
      <c r="W5287">
        <v>0</v>
      </c>
      <c r="X5287">
        <v>0</v>
      </c>
    </row>
    <row r="5288" spans="1:24" ht="15" customHeight="1" x14ac:dyDescent="0.25">
      <c r="A5288" t="str">
        <f>""</f>
        <v/>
      </c>
      <c r="B5288" s="1"/>
      <c r="H5288">
        <v>151</v>
      </c>
      <c r="J5288" t="s">
        <v>22</v>
      </c>
      <c r="L5288" s="1"/>
      <c r="N5288" s="1"/>
      <c r="V5288" t="str">
        <f>"06560"</f>
        <v>06560</v>
      </c>
      <c r="W5288">
        <v>0</v>
      </c>
      <c r="X5288">
        <v>0</v>
      </c>
    </row>
    <row r="5289" spans="1:24" ht="15" customHeight="1" x14ac:dyDescent="0.25">
      <c r="A5289" t="str">
        <f>""</f>
        <v/>
      </c>
      <c r="B5289" s="1"/>
      <c r="H5289">
        <v>151</v>
      </c>
      <c r="J5289" t="s">
        <v>22</v>
      </c>
      <c r="L5289" s="1"/>
      <c r="N5289" s="1"/>
      <c r="V5289" t="str">
        <f>"06560"</f>
        <v>06560</v>
      </c>
      <c r="W5289">
        <v>0</v>
      </c>
      <c r="X5289">
        <v>0</v>
      </c>
    </row>
    <row r="5290" spans="1:24" x14ac:dyDescent="0.25">
      <c r="A5290" t="str">
        <f>""</f>
        <v/>
      </c>
      <c r="B5290" s="1"/>
      <c r="H5290">
        <v>139.19999999999999</v>
      </c>
      <c r="J5290" t="s">
        <v>16</v>
      </c>
      <c r="L5290" s="1"/>
      <c r="N5290" s="1"/>
      <c r="V5290" t="str">
        <f>"59100"</f>
        <v>59100</v>
      </c>
      <c r="W5290">
        <v>0</v>
      </c>
      <c r="X5290">
        <v>0</v>
      </c>
    </row>
    <row r="5291" spans="1:24" ht="15" customHeight="1" x14ac:dyDescent="0.25">
      <c r="A5291" t="str">
        <f>""</f>
        <v/>
      </c>
      <c r="B5291" s="1"/>
      <c r="H5291">
        <v>151</v>
      </c>
      <c r="J5291" t="s">
        <v>22</v>
      </c>
      <c r="L5291" s="1"/>
      <c r="N5291" s="1"/>
      <c r="V5291" t="str">
        <f>"06560"</f>
        <v>06560</v>
      </c>
      <c r="W5291">
        <v>0</v>
      </c>
      <c r="X5291">
        <v>0</v>
      </c>
    </row>
    <row r="5292" spans="1:24" ht="15" customHeight="1" x14ac:dyDescent="0.25">
      <c r="A5292" t="str">
        <f>""</f>
        <v/>
      </c>
      <c r="B5292" s="1"/>
      <c r="H5292">
        <v>140</v>
      </c>
      <c r="J5292" t="s">
        <v>22</v>
      </c>
      <c r="L5292" s="1"/>
      <c r="N5292" s="1"/>
      <c r="V5292" t="str">
        <f>"25400"</f>
        <v>25400</v>
      </c>
      <c r="W5292">
        <v>0</v>
      </c>
      <c r="X5292">
        <v>0</v>
      </c>
    </row>
    <row r="5293" spans="1:24" ht="15" customHeight="1" x14ac:dyDescent="0.25">
      <c r="A5293" t="str">
        <f>""</f>
        <v/>
      </c>
      <c r="B5293" s="1"/>
      <c r="H5293">
        <v>84.5</v>
      </c>
      <c r="L5293" s="1"/>
      <c r="N5293" s="1"/>
      <c r="V5293" t="str">
        <f>"77184"</f>
        <v>77184</v>
      </c>
      <c r="W5293">
        <v>0</v>
      </c>
      <c r="X5293">
        <v>0</v>
      </c>
    </row>
    <row r="5294" spans="1:24" x14ac:dyDescent="0.25">
      <c r="A5294" t="str">
        <f>""</f>
        <v/>
      </c>
      <c r="B5294" s="1"/>
      <c r="H5294">
        <v>30</v>
      </c>
      <c r="J5294" t="s">
        <v>15</v>
      </c>
      <c r="L5294" s="1"/>
      <c r="N5294" s="1"/>
      <c r="V5294" t="str">
        <f>"63000"</f>
        <v>63000</v>
      </c>
      <c r="W5294">
        <v>16.8</v>
      </c>
      <c r="X5294">
        <v>0</v>
      </c>
    </row>
    <row r="5295" spans="1:24" x14ac:dyDescent="0.25">
      <c r="A5295" t="str">
        <f>""</f>
        <v/>
      </c>
      <c r="B5295" s="1"/>
      <c r="H5295">
        <v>53.2</v>
      </c>
      <c r="J5295" t="s">
        <v>16</v>
      </c>
      <c r="L5295" s="1"/>
      <c r="N5295" s="1"/>
      <c r="V5295" t="str">
        <f>"37540"</f>
        <v>37540</v>
      </c>
      <c r="W5295">
        <v>0</v>
      </c>
      <c r="X5295">
        <v>0</v>
      </c>
    </row>
    <row r="5296" spans="1:24" ht="15" customHeight="1" x14ac:dyDescent="0.25">
      <c r="A5296" t="str">
        <f>""</f>
        <v/>
      </c>
      <c r="B5296" s="1"/>
      <c r="H5296">
        <v>151</v>
      </c>
      <c r="J5296" t="s">
        <v>22</v>
      </c>
      <c r="L5296" s="1"/>
      <c r="V5296" t="str">
        <f>"75013"</f>
        <v>75013</v>
      </c>
      <c r="W5296">
        <v>0</v>
      </c>
      <c r="X5296">
        <v>0</v>
      </c>
    </row>
    <row r="5297" spans="1:24" x14ac:dyDescent="0.25">
      <c r="A5297" t="str">
        <f>""</f>
        <v/>
      </c>
      <c r="B5297" s="1"/>
      <c r="H5297">
        <v>151</v>
      </c>
      <c r="J5297" t="s">
        <v>17</v>
      </c>
      <c r="L5297" s="1"/>
      <c r="N5297" s="1"/>
      <c r="V5297" t="str">
        <f>"67800"</f>
        <v>67800</v>
      </c>
      <c r="W5297">
        <v>0</v>
      </c>
      <c r="X5297">
        <v>0</v>
      </c>
    </row>
    <row r="5298" spans="1:24" ht="15" customHeight="1" x14ac:dyDescent="0.25">
      <c r="A5298" t="str">
        <f>""</f>
        <v/>
      </c>
      <c r="B5298" s="1"/>
      <c r="H5298">
        <v>171.88</v>
      </c>
      <c r="J5298" t="s">
        <v>21</v>
      </c>
      <c r="L5298" s="1"/>
      <c r="V5298" t="str">
        <f>"77184"</f>
        <v>77184</v>
      </c>
      <c r="W5298">
        <v>0</v>
      </c>
      <c r="X5298">
        <v>0</v>
      </c>
    </row>
    <row r="5299" spans="1:24" ht="15" customHeight="1" x14ac:dyDescent="0.25">
      <c r="A5299" t="str">
        <f>""</f>
        <v/>
      </c>
      <c r="B5299" s="1"/>
      <c r="H5299">
        <v>12</v>
      </c>
      <c r="J5299" t="s">
        <v>19</v>
      </c>
      <c r="L5299" s="1"/>
      <c r="N5299" s="1"/>
      <c r="V5299" t="str">
        <f>"88000"</f>
        <v>88000</v>
      </c>
      <c r="W5299">
        <v>0</v>
      </c>
      <c r="X5299">
        <v>0</v>
      </c>
    </row>
    <row r="5300" spans="1:24" ht="15" customHeight="1" x14ac:dyDescent="0.25">
      <c r="A5300" t="str">
        <f>""</f>
        <v/>
      </c>
      <c r="B5300" s="1"/>
      <c r="H5300">
        <v>84.5</v>
      </c>
      <c r="L5300" s="1"/>
      <c r="N5300" s="1"/>
      <c r="V5300" t="str">
        <f>"77184"</f>
        <v>77184</v>
      </c>
      <c r="W5300">
        <v>0</v>
      </c>
      <c r="X5300">
        <v>0</v>
      </c>
    </row>
    <row r="5301" spans="1:24" x14ac:dyDescent="0.25">
      <c r="A5301" t="str">
        <f>""</f>
        <v/>
      </c>
      <c r="B5301" s="1"/>
      <c r="H5301">
        <v>86.54</v>
      </c>
      <c r="J5301" t="s">
        <v>15</v>
      </c>
      <c r="L5301" s="1"/>
      <c r="N5301" s="1"/>
      <c r="V5301" t="str">
        <f>"50640"</f>
        <v>50640</v>
      </c>
      <c r="W5301">
        <v>0</v>
      </c>
      <c r="X5301">
        <v>0</v>
      </c>
    </row>
    <row r="5302" spans="1:24" ht="15" customHeight="1" x14ac:dyDescent="0.25">
      <c r="A5302" t="str">
        <f>""</f>
        <v/>
      </c>
      <c r="B5302" s="1"/>
      <c r="H5302">
        <v>79</v>
      </c>
      <c r="J5302" t="s">
        <v>22</v>
      </c>
      <c r="L5302" s="1"/>
      <c r="N5302" s="1"/>
      <c r="V5302" t="str">
        <f>"06190"</f>
        <v>06190</v>
      </c>
      <c r="W5302">
        <v>0</v>
      </c>
      <c r="X5302">
        <v>23.7</v>
      </c>
    </row>
    <row r="5303" spans="1:24" ht="15" customHeight="1" x14ac:dyDescent="0.25">
      <c r="A5303" t="str">
        <f>""</f>
        <v/>
      </c>
      <c r="B5303" s="1"/>
      <c r="H5303">
        <v>43.34</v>
      </c>
      <c r="J5303" t="s">
        <v>19</v>
      </c>
      <c r="L5303" s="1"/>
      <c r="N5303" s="1"/>
      <c r="V5303" t="str">
        <f>"60740"</f>
        <v>60740</v>
      </c>
      <c r="W5303">
        <v>8.23</v>
      </c>
      <c r="X5303">
        <v>0</v>
      </c>
    </row>
    <row r="5304" spans="1:24" ht="15" customHeight="1" x14ac:dyDescent="0.25">
      <c r="A5304" t="str">
        <f>""</f>
        <v/>
      </c>
      <c r="B5304" s="1"/>
      <c r="H5304">
        <v>107.6</v>
      </c>
      <c r="J5304" t="s">
        <v>19</v>
      </c>
      <c r="L5304" s="1"/>
      <c r="N5304" s="1"/>
      <c r="V5304" t="str">
        <f>"75014"</f>
        <v>75014</v>
      </c>
      <c r="W5304">
        <v>0</v>
      </c>
      <c r="X5304">
        <v>0</v>
      </c>
    </row>
    <row r="5305" spans="1:24" ht="15" customHeight="1" x14ac:dyDescent="0.25">
      <c r="A5305" t="str">
        <f>""</f>
        <v/>
      </c>
      <c r="B5305" s="1"/>
      <c r="H5305">
        <v>19.649999999999999</v>
      </c>
      <c r="J5305" t="s">
        <v>19</v>
      </c>
      <c r="L5305" s="1"/>
      <c r="N5305" s="1"/>
      <c r="V5305" t="str">
        <f>"75014"</f>
        <v>75014</v>
      </c>
      <c r="W5305">
        <v>0</v>
      </c>
      <c r="X5305">
        <v>0</v>
      </c>
    </row>
    <row r="5306" spans="1:24" ht="15" customHeight="1" x14ac:dyDescent="0.25">
      <c r="A5306" t="str">
        <f>""</f>
        <v/>
      </c>
      <c r="B5306" s="1"/>
      <c r="H5306">
        <v>109</v>
      </c>
      <c r="L5306" s="1"/>
      <c r="N5306" s="1"/>
      <c r="V5306" t="str">
        <f>"77184"</f>
        <v>77184</v>
      </c>
      <c r="W5306">
        <v>0</v>
      </c>
      <c r="X5306">
        <v>0</v>
      </c>
    </row>
    <row r="5307" spans="1:24" ht="15" customHeight="1" x14ac:dyDescent="0.25">
      <c r="A5307" t="str">
        <f>""</f>
        <v/>
      </c>
      <c r="B5307" s="1"/>
      <c r="H5307">
        <v>250</v>
      </c>
      <c r="J5307" t="s">
        <v>23</v>
      </c>
      <c r="L5307" s="1"/>
      <c r="N5307" s="1"/>
      <c r="V5307" t="str">
        <f>"67230"</f>
        <v>67230</v>
      </c>
      <c r="W5307">
        <v>0</v>
      </c>
      <c r="X5307">
        <v>0</v>
      </c>
    </row>
    <row r="5308" spans="1:24" ht="15" customHeight="1" x14ac:dyDescent="0.25">
      <c r="A5308" t="str">
        <f>""</f>
        <v/>
      </c>
      <c r="B5308" s="1"/>
      <c r="H5308">
        <v>142.78</v>
      </c>
      <c r="J5308" t="s">
        <v>19</v>
      </c>
      <c r="L5308" s="1"/>
      <c r="N5308" s="1"/>
      <c r="V5308" t="str">
        <f>"50240"</f>
        <v>50240</v>
      </c>
      <c r="W5308">
        <v>24.27</v>
      </c>
      <c r="X5308">
        <v>0</v>
      </c>
    </row>
    <row r="5309" spans="1:24" x14ac:dyDescent="0.25">
      <c r="A5309" t="str">
        <f>""</f>
        <v/>
      </c>
      <c r="B5309" s="1"/>
      <c r="H5309">
        <v>194.98</v>
      </c>
      <c r="J5309" t="s">
        <v>18</v>
      </c>
      <c r="L5309" s="1"/>
      <c r="N5309" s="1"/>
      <c r="V5309" t="str">
        <f>"75019"</f>
        <v>75019</v>
      </c>
      <c r="W5309">
        <v>0</v>
      </c>
      <c r="X5309">
        <v>0</v>
      </c>
    </row>
    <row r="5310" spans="1:24" ht="15" customHeight="1" x14ac:dyDescent="0.25">
      <c r="A5310" t="str">
        <f>""</f>
        <v/>
      </c>
      <c r="B5310" s="1"/>
      <c r="H5310">
        <v>108.65</v>
      </c>
      <c r="J5310" t="s">
        <v>23</v>
      </c>
      <c r="L5310" s="1"/>
      <c r="N5310" s="1"/>
      <c r="V5310" t="str">
        <f>"13290"</f>
        <v>13290</v>
      </c>
      <c r="W5310">
        <v>0</v>
      </c>
      <c r="X5310">
        <v>0</v>
      </c>
    </row>
    <row r="5311" spans="1:24" ht="15" customHeight="1" x14ac:dyDescent="0.25">
      <c r="A5311" t="str">
        <f>""</f>
        <v/>
      </c>
      <c r="B5311" s="1"/>
      <c r="H5311">
        <v>124</v>
      </c>
      <c r="J5311" t="s">
        <v>22</v>
      </c>
      <c r="L5311" s="1"/>
      <c r="N5311" s="1"/>
      <c r="V5311" t="str">
        <f>"37540"</f>
        <v>37540</v>
      </c>
      <c r="W5311">
        <v>0</v>
      </c>
      <c r="X5311">
        <v>0</v>
      </c>
    </row>
    <row r="5312" spans="1:24" ht="15" customHeight="1" x14ac:dyDescent="0.25">
      <c r="A5312" t="str">
        <f>""</f>
        <v/>
      </c>
      <c r="B5312" s="1"/>
      <c r="H5312">
        <v>74.67</v>
      </c>
      <c r="J5312" t="s">
        <v>20</v>
      </c>
      <c r="L5312" s="1"/>
      <c r="N5312" s="1"/>
      <c r="V5312" t="str">
        <f>"41210"</f>
        <v>41210</v>
      </c>
      <c r="W5312">
        <v>15.68</v>
      </c>
      <c r="X5312">
        <v>0</v>
      </c>
    </row>
    <row r="5313" spans="1:24" ht="15" customHeight="1" x14ac:dyDescent="0.25">
      <c r="A5313" t="str">
        <f>""</f>
        <v/>
      </c>
      <c r="B5313" s="1"/>
      <c r="H5313">
        <v>103.06</v>
      </c>
      <c r="J5313" t="s">
        <v>20</v>
      </c>
      <c r="L5313" s="1"/>
      <c r="N5313" s="1"/>
      <c r="V5313" t="str">
        <f>"25870"</f>
        <v>25870</v>
      </c>
      <c r="W5313">
        <v>24.73</v>
      </c>
      <c r="X5313">
        <v>0</v>
      </c>
    </row>
    <row r="5314" spans="1:24" ht="15" customHeight="1" x14ac:dyDescent="0.25">
      <c r="A5314" t="str">
        <f>""</f>
        <v/>
      </c>
      <c r="B5314" s="1"/>
      <c r="H5314">
        <v>180</v>
      </c>
      <c r="J5314" t="s">
        <v>23</v>
      </c>
      <c r="L5314" s="1"/>
      <c r="N5314" s="1"/>
      <c r="V5314" t="str">
        <f>"68800"</f>
        <v>68800</v>
      </c>
      <c r="W5314">
        <v>0</v>
      </c>
      <c r="X5314">
        <v>14.4</v>
      </c>
    </row>
    <row r="5315" spans="1:24" ht="15" customHeight="1" x14ac:dyDescent="0.25">
      <c r="A5315" t="str">
        <f>""</f>
        <v/>
      </c>
      <c r="B5315" s="1"/>
      <c r="H5315">
        <v>40.25</v>
      </c>
      <c r="J5315" t="s">
        <v>22</v>
      </c>
      <c r="L5315" s="1"/>
      <c r="N5315" s="1"/>
      <c r="V5315" t="str">
        <f>"67500"</f>
        <v>67500</v>
      </c>
      <c r="W5315">
        <v>0</v>
      </c>
      <c r="X5315">
        <v>0</v>
      </c>
    </row>
    <row r="5316" spans="1:24" ht="15" customHeight="1" x14ac:dyDescent="0.25">
      <c r="A5316" t="str">
        <f>""</f>
        <v/>
      </c>
      <c r="B5316" s="1"/>
      <c r="H5316">
        <v>140</v>
      </c>
      <c r="J5316" t="s">
        <v>23</v>
      </c>
      <c r="L5316" s="1"/>
      <c r="N5316" s="1"/>
      <c r="V5316" t="str">
        <f>"75010"</f>
        <v>75010</v>
      </c>
      <c r="W5316">
        <v>0</v>
      </c>
      <c r="X5316">
        <v>0</v>
      </c>
    </row>
    <row r="5317" spans="1:24" ht="15" customHeight="1" x14ac:dyDescent="0.25">
      <c r="A5317" t="str">
        <f>""</f>
        <v/>
      </c>
      <c r="B5317" s="1"/>
      <c r="H5317">
        <v>24.8</v>
      </c>
      <c r="J5317" t="s">
        <v>22</v>
      </c>
      <c r="L5317" s="1"/>
      <c r="V5317" t="str">
        <f>"35680"</f>
        <v>35680</v>
      </c>
      <c r="W5317">
        <v>0</v>
      </c>
      <c r="X5317">
        <v>0</v>
      </c>
    </row>
    <row r="5318" spans="1:24" ht="15" customHeight="1" x14ac:dyDescent="0.25">
      <c r="A5318" t="str">
        <f>""</f>
        <v/>
      </c>
      <c r="B5318" s="1"/>
      <c r="H5318">
        <v>201</v>
      </c>
      <c r="J5318" t="s">
        <v>20</v>
      </c>
      <c r="L5318" s="1"/>
      <c r="N5318" s="1"/>
      <c r="V5318" t="str">
        <f>"57280"</f>
        <v>57280</v>
      </c>
      <c r="W5318">
        <v>50.25</v>
      </c>
      <c r="X5318">
        <v>0</v>
      </c>
    </row>
    <row r="5319" spans="1:24" ht="15" customHeight="1" x14ac:dyDescent="0.25">
      <c r="A5319" t="str">
        <f>""</f>
        <v/>
      </c>
      <c r="B5319" s="1"/>
      <c r="H5319">
        <v>14.6</v>
      </c>
      <c r="J5319" t="s">
        <v>20</v>
      </c>
      <c r="L5319" s="1"/>
      <c r="N5319" s="1"/>
      <c r="V5319" t="str">
        <f>"62640"</f>
        <v>62640</v>
      </c>
      <c r="W5319">
        <v>2.77</v>
      </c>
      <c r="X5319">
        <v>0</v>
      </c>
    </row>
    <row r="5320" spans="1:24" ht="15" customHeight="1" x14ac:dyDescent="0.25">
      <c r="A5320" t="str">
        <f>""</f>
        <v/>
      </c>
      <c r="B5320" s="1"/>
      <c r="H5320">
        <v>140</v>
      </c>
      <c r="J5320" t="s">
        <v>23</v>
      </c>
      <c r="L5320" s="1"/>
      <c r="N5320" s="1"/>
      <c r="V5320" t="str">
        <f>"17100"</f>
        <v>17100</v>
      </c>
      <c r="W5320">
        <v>0</v>
      </c>
      <c r="X5320">
        <v>0</v>
      </c>
    </row>
    <row r="5321" spans="1:24" ht="15" customHeight="1" x14ac:dyDescent="0.25">
      <c r="A5321" t="str">
        <f>""</f>
        <v/>
      </c>
      <c r="B5321" s="1"/>
      <c r="V5321" t="str">
        <f>""</f>
        <v/>
      </c>
      <c r="W5321">
        <v>0</v>
      </c>
      <c r="X5321">
        <v>0</v>
      </c>
    </row>
    <row r="5322" spans="1:24" ht="15" customHeight="1" x14ac:dyDescent="0.25">
      <c r="A5322" t="str">
        <f>""</f>
        <v/>
      </c>
      <c r="B5322" s="1"/>
      <c r="H5322">
        <v>90.99</v>
      </c>
      <c r="J5322" t="s">
        <v>22</v>
      </c>
      <c r="L5322" s="1"/>
      <c r="V5322" t="str">
        <f>"69100"</f>
        <v>69100</v>
      </c>
      <c r="W5322">
        <v>0</v>
      </c>
      <c r="X5322">
        <v>0</v>
      </c>
    </row>
    <row r="5323" spans="1:24" ht="15" customHeight="1" x14ac:dyDescent="0.25">
      <c r="A5323" t="str">
        <f>""</f>
        <v/>
      </c>
      <c r="B5323" s="1"/>
      <c r="H5323">
        <v>90.99</v>
      </c>
      <c r="J5323" t="s">
        <v>22</v>
      </c>
      <c r="L5323" s="1"/>
      <c r="V5323" t="str">
        <f>"69100"</f>
        <v>69100</v>
      </c>
      <c r="W5323">
        <v>0</v>
      </c>
      <c r="X5323">
        <v>0</v>
      </c>
    </row>
    <row r="5324" spans="1:24" ht="15" customHeight="1" x14ac:dyDescent="0.25">
      <c r="A5324" t="str">
        <f>""</f>
        <v/>
      </c>
      <c r="B5324" s="1"/>
      <c r="H5324">
        <v>75.5</v>
      </c>
      <c r="J5324" t="s">
        <v>23</v>
      </c>
      <c r="L5324" s="1"/>
      <c r="N5324" s="1"/>
      <c r="V5324" t="str">
        <f>"25170"</f>
        <v>25170</v>
      </c>
      <c r="W5324">
        <v>0</v>
      </c>
      <c r="X5324">
        <v>9.06</v>
      </c>
    </row>
    <row r="5325" spans="1:24" ht="15" customHeight="1" x14ac:dyDescent="0.25">
      <c r="A5325" t="str">
        <f>""</f>
        <v/>
      </c>
      <c r="B5325" s="1"/>
      <c r="H5325">
        <v>70</v>
      </c>
      <c r="J5325" t="s">
        <v>23</v>
      </c>
      <c r="L5325" s="1"/>
      <c r="V5325" t="str">
        <f>"77380"</f>
        <v>77380</v>
      </c>
      <c r="W5325">
        <v>0</v>
      </c>
      <c r="X5325">
        <v>0</v>
      </c>
    </row>
    <row r="5326" spans="1:24" ht="15" customHeight="1" x14ac:dyDescent="0.25">
      <c r="A5326" t="str">
        <f>""</f>
        <v/>
      </c>
      <c r="B5326" s="1"/>
      <c r="H5326">
        <v>40</v>
      </c>
      <c r="J5326" t="s">
        <v>23</v>
      </c>
      <c r="L5326" s="1"/>
      <c r="V5326" t="str">
        <f>"13090"</f>
        <v>13090</v>
      </c>
      <c r="W5326">
        <v>0</v>
      </c>
      <c r="X5326">
        <v>0</v>
      </c>
    </row>
    <row r="5327" spans="1:24" ht="15" customHeight="1" x14ac:dyDescent="0.25">
      <c r="A5327" t="str">
        <f>""</f>
        <v/>
      </c>
      <c r="B5327" s="1"/>
      <c r="H5327">
        <v>158</v>
      </c>
      <c r="J5327" t="s">
        <v>23</v>
      </c>
      <c r="L5327" s="1"/>
      <c r="V5327" t="str">
        <f>"39400"</f>
        <v>39400</v>
      </c>
      <c r="W5327">
        <v>0</v>
      </c>
      <c r="X5327">
        <v>0</v>
      </c>
    </row>
    <row r="5328" spans="1:24" ht="15" customHeight="1" x14ac:dyDescent="0.25">
      <c r="A5328" t="str">
        <f>""</f>
        <v/>
      </c>
      <c r="B5328" s="1"/>
      <c r="H5328">
        <v>275</v>
      </c>
      <c r="J5328" t="s">
        <v>23</v>
      </c>
      <c r="L5328" s="1"/>
      <c r="V5328" t="str">
        <f>"26200"</f>
        <v>26200</v>
      </c>
      <c r="W5328">
        <v>0</v>
      </c>
      <c r="X5328">
        <v>0</v>
      </c>
    </row>
    <row r="5329" spans="1:24" ht="15" customHeight="1" x14ac:dyDescent="0.25">
      <c r="A5329" t="str">
        <f>""</f>
        <v/>
      </c>
      <c r="B5329" s="1"/>
      <c r="H5329">
        <v>40</v>
      </c>
      <c r="J5329" t="s">
        <v>23</v>
      </c>
      <c r="L5329" s="1"/>
      <c r="N5329" s="1"/>
      <c r="V5329" t="str">
        <f>"80400"</f>
        <v>80400</v>
      </c>
      <c r="W5329">
        <v>0</v>
      </c>
      <c r="X5329">
        <v>0</v>
      </c>
    </row>
    <row r="5330" spans="1:24" ht="15" customHeight="1" x14ac:dyDescent="0.25">
      <c r="A5330" t="str">
        <f>""</f>
        <v/>
      </c>
      <c r="B5330" s="1"/>
      <c r="H5330">
        <v>140</v>
      </c>
      <c r="J5330" t="s">
        <v>22</v>
      </c>
      <c r="L5330" s="1"/>
      <c r="N5330" s="1"/>
      <c r="V5330" t="str">
        <f>"61400"</f>
        <v>61400</v>
      </c>
      <c r="W5330">
        <v>0</v>
      </c>
      <c r="X5330">
        <v>23.8</v>
      </c>
    </row>
    <row r="5331" spans="1:24" ht="15" customHeight="1" x14ac:dyDescent="0.25">
      <c r="A5331" t="str">
        <f>""</f>
        <v/>
      </c>
      <c r="B5331" s="1"/>
      <c r="H5331">
        <v>22.5</v>
      </c>
      <c r="J5331" t="s">
        <v>22</v>
      </c>
      <c r="L5331" s="1"/>
      <c r="V5331" t="str">
        <f>"70000"</f>
        <v>70000</v>
      </c>
      <c r="W5331">
        <v>0</v>
      </c>
      <c r="X5331">
        <v>0</v>
      </c>
    </row>
    <row r="5332" spans="1:24" ht="15" customHeight="1" x14ac:dyDescent="0.25">
      <c r="A5332" t="str">
        <f>""</f>
        <v/>
      </c>
      <c r="B5332" s="1"/>
      <c r="H5332">
        <v>50.84</v>
      </c>
      <c r="J5332" t="s">
        <v>19</v>
      </c>
      <c r="L5332" s="1"/>
      <c r="N5332" s="1"/>
      <c r="V5332" t="str">
        <f>"92000"</f>
        <v>92000</v>
      </c>
      <c r="W5332">
        <v>0</v>
      </c>
      <c r="X5332">
        <v>0</v>
      </c>
    </row>
    <row r="5333" spans="1:24" ht="15" customHeight="1" x14ac:dyDescent="0.25">
      <c r="A5333" t="str">
        <f>""</f>
        <v/>
      </c>
      <c r="B5333" s="1"/>
      <c r="H5333">
        <v>131.22999999999999</v>
      </c>
      <c r="J5333" t="s">
        <v>23</v>
      </c>
      <c r="L5333" s="1"/>
      <c r="N5333" s="1"/>
      <c r="V5333" t="str">
        <f>"27550"</f>
        <v>27550</v>
      </c>
      <c r="W5333">
        <v>0</v>
      </c>
      <c r="X5333">
        <v>0</v>
      </c>
    </row>
    <row r="5334" spans="1:24" ht="15" customHeight="1" x14ac:dyDescent="0.25">
      <c r="A5334" t="str">
        <f>""</f>
        <v/>
      </c>
      <c r="B5334" s="1"/>
      <c r="H5334">
        <v>180</v>
      </c>
      <c r="J5334" t="s">
        <v>23</v>
      </c>
      <c r="L5334" s="1"/>
      <c r="N5334" s="1"/>
      <c r="V5334" t="str">
        <f>"32000"</f>
        <v>32000</v>
      </c>
      <c r="W5334">
        <v>0</v>
      </c>
      <c r="X5334">
        <v>48.6</v>
      </c>
    </row>
    <row r="5335" spans="1:24" x14ac:dyDescent="0.25">
      <c r="A5335" t="str">
        <f>""</f>
        <v/>
      </c>
      <c r="B5335" s="1"/>
      <c r="H5335">
        <v>140</v>
      </c>
      <c r="J5335" t="s">
        <v>16</v>
      </c>
      <c r="L5335" s="1"/>
      <c r="N5335" s="1"/>
      <c r="V5335" t="str">
        <f>"94290"</f>
        <v>94290</v>
      </c>
      <c r="W5335">
        <v>0</v>
      </c>
      <c r="X5335">
        <v>0</v>
      </c>
    </row>
    <row r="5336" spans="1:24" ht="15" customHeight="1" x14ac:dyDescent="0.25">
      <c r="A5336" t="str">
        <f>""</f>
        <v/>
      </c>
      <c r="B5336" s="1"/>
      <c r="H5336">
        <v>398.68</v>
      </c>
      <c r="J5336" t="s">
        <v>22</v>
      </c>
      <c r="L5336" s="1"/>
      <c r="V5336" t="str">
        <f>"76230"</f>
        <v>76230</v>
      </c>
      <c r="W5336">
        <v>0</v>
      </c>
      <c r="X5336">
        <v>0</v>
      </c>
    </row>
    <row r="5337" spans="1:24" ht="15" customHeight="1" x14ac:dyDescent="0.25">
      <c r="A5337" t="str">
        <f>""</f>
        <v/>
      </c>
      <c r="B5337" s="1"/>
      <c r="H5337">
        <v>184.19</v>
      </c>
      <c r="J5337" t="s">
        <v>19</v>
      </c>
      <c r="L5337" s="1"/>
      <c r="V5337" t="str">
        <f>"16340"</f>
        <v>16340</v>
      </c>
      <c r="W5337">
        <v>0</v>
      </c>
      <c r="X5337">
        <v>0</v>
      </c>
    </row>
    <row r="5338" spans="1:24" x14ac:dyDescent="0.25">
      <c r="A5338" t="str">
        <f>""</f>
        <v/>
      </c>
      <c r="B5338" s="1"/>
      <c r="H5338">
        <v>140</v>
      </c>
      <c r="J5338" t="s">
        <v>17</v>
      </c>
      <c r="L5338" s="1"/>
      <c r="N5338" s="1"/>
      <c r="V5338" t="str">
        <f>"08200"</f>
        <v>08200</v>
      </c>
      <c r="W5338">
        <v>0</v>
      </c>
      <c r="X5338">
        <v>0</v>
      </c>
    </row>
    <row r="5339" spans="1:24" x14ac:dyDescent="0.25">
      <c r="A5339" t="str">
        <f>""</f>
        <v/>
      </c>
      <c r="B5339" s="1"/>
      <c r="H5339">
        <v>173.49</v>
      </c>
      <c r="J5339" t="s">
        <v>15</v>
      </c>
      <c r="L5339" s="1"/>
      <c r="N5339" s="1"/>
      <c r="V5339" t="str">
        <f>"98000"</f>
        <v>98000</v>
      </c>
      <c r="W5339">
        <v>52.05</v>
      </c>
      <c r="X5339">
        <v>0</v>
      </c>
    </row>
    <row r="5340" spans="1:24" ht="15" customHeight="1" x14ac:dyDescent="0.25">
      <c r="A5340" t="str">
        <f>""</f>
        <v/>
      </c>
      <c r="B5340" s="1"/>
      <c r="H5340">
        <v>55.16</v>
      </c>
      <c r="J5340" t="s">
        <v>19</v>
      </c>
      <c r="L5340" s="1"/>
      <c r="N5340" s="1"/>
      <c r="V5340" t="str">
        <f>"21160"</f>
        <v>21160</v>
      </c>
      <c r="W5340">
        <v>13.24</v>
      </c>
      <c r="X5340">
        <v>0</v>
      </c>
    </row>
    <row r="5341" spans="1:24" ht="15" customHeight="1" x14ac:dyDescent="0.25">
      <c r="A5341" t="str">
        <f>""</f>
        <v/>
      </c>
      <c r="B5341" s="1"/>
      <c r="H5341">
        <v>19.670000000000002</v>
      </c>
      <c r="J5341" t="s">
        <v>23</v>
      </c>
      <c r="L5341" s="1"/>
      <c r="N5341" s="1"/>
      <c r="V5341" t="str">
        <f>"67170"</f>
        <v>67170</v>
      </c>
      <c r="W5341">
        <v>0</v>
      </c>
      <c r="X5341">
        <v>1.57</v>
      </c>
    </row>
    <row r="5342" spans="1:24" ht="15" customHeight="1" x14ac:dyDescent="0.25">
      <c r="A5342" t="str">
        <f>""</f>
        <v/>
      </c>
      <c r="B5342" s="1"/>
      <c r="H5342">
        <v>151</v>
      </c>
      <c r="J5342" t="s">
        <v>22</v>
      </c>
      <c r="L5342" s="1"/>
      <c r="N5342" s="1"/>
      <c r="V5342" t="str">
        <f>"06560"</f>
        <v>06560</v>
      </c>
      <c r="W5342">
        <v>0</v>
      </c>
      <c r="X5342">
        <v>0</v>
      </c>
    </row>
    <row r="5343" spans="1:24" x14ac:dyDescent="0.25">
      <c r="A5343" t="str">
        <f>""</f>
        <v/>
      </c>
      <c r="B5343" s="1"/>
      <c r="H5343">
        <v>140</v>
      </c>
      <c r="J5343" t="s">
        <v>17</v>
      </c>
      <c r="L5343" s="1"/>
      <c r="N5343" s="1"/>
      <c r="V5343" t="str">
        <f>"45000"</f>
        <v>45000</v>
      </c>
      <c r="W5343">
        <v>0</v>
      </c>
      <c r="X5343">
        <v>0</v>
      </c>
    </row>
    <row r="5344" spans="1:24" x14ac:dyDescent="0.25">
      <c r="A5344" t="str">
        <f>""</f>
        <v/>
      </c>
      <c r="B5344" s="1"/>
      <c r="H5344">
        <v>140</v>
      </c>
      <c r="J5344" t="s">
        <v>17</v>
      </c>
      <c r="L5344" s="1"/>
      <c r="N5344" s="1"/>
      <c r="V5344" t="str">
        <f>"45000"</f>
        <v>45000</v>
      </c>
      <c r="W5344">
        <v>0</v>
      </c>
      <c r="X5344">
        <v>0</v>
      </c>
    </row>
    <row r="5345" spans="1:24" ht="15" customHeight="1" x14ac:dyDescent="0.25">
      <c r="A5345" t="str">
        <f>""</f>
        <v/>
      </c>
      <c r="B5345" s="1"/>
      <c r="H5345">
        <v>22.8</v>
      </c>
      <c r="J5345" t="s">
        <v>23</v>
      </c>
      <c r="L5345" s="1"/>
      <c r="N5345" s="1"/>
      <c r="V5345" t="str">
        <f>"69280"</f>
        <v>69280</v>
      </c>
      <c r="W5345">
        <v>0</v>
      </c>
      <c r="X5345">
        <v>0</v>
      </c>
    </row>
    <row r="5346" spans="1:24" x14ac:dyDescent="0.25">
      <c r="A5346" t="str">
        <f>""</f>
        <v/>
      </c>
      <c r="B5346" s="1"/>
      <c r="H5346">
        <v>120</v>
      </c>
      <c r="J5346" t="s">
        <v>15</v>
      </c>
      <c r="L5346" s="1"/>
      <c r="N5346" s="1"/>
      <c r="V5346" t="str">
        <f>"59200"</f>
        <v>59200</v>
      </c>
      <c r="W5346">
        <v>0</v>
      </c>
      <c r="X5346">
        <v>34.799999999999997</v>
      </c>
    </row>
    <row r="5347" spans="1:24" ht="15" customHeight="1" x14ac:dyDescent="0.25">
      <c r="A5347" t="str">
        <f>""</f>
        <v/>
      </c>
      <c r="B5347" s="1"/>
      <c r="H5347">
        <v>55.16</v>
      </c>
      <c r="J5347" t="s">
        <v>19</v>
      </c>
      <c r="L5347" s="1"/>
      <c r="N5347" s="1"/>
      <c r="V5347" t="str">
        <f>"35044"</f>
        <v>35044</v>
      </c>
      <c r="W5347">
        <v>14.89</v>
      </c>
      <c r="X5347">
        <v>0</v>
      </c>
    </row>
    <row r="5348" spans="1:24" ht="15" customHeight="1" x14ac:dyDescent="0.25">
      <c r="A5348" t="str">
        <f>""</f>
        <v/>
      </c>
      <c r="B5348" s="1"/>
      <c r="H5348">
        <v>177.72</v>
      </c>
      <c r="J5348" t="s">
        <v>21</v>
      </c>
      <c r="L5348" s="1"/>
      <c r="V5348" t="str">
        <f>"77184"</f>
        <v>77184</v>
      </c>
      <c r="W5348">
        <v>0</v>
      </c>
      <c r="X5348">
        <v>0</v>
      </c>
    </row>
    <row r="5349" spans="1:24" ht="15" customHeight="1" x14ac:dyDescent="0.25">
      <c r="A5349" t="str">
        <f>""</f>
        <v/>
      </c>
      <c r="B5349" s="1"/>
      <c r="H5349">
        <v>149.97999999999999</v>
      </c>
      <c r="L5349" s="1"/>
      <c r="N5349" s="1"/>
      <c r="V5349" t="str">
        <f>"77184"</f>
        <v>77184</v>
      </c>
      <c r="W5349">
        <v>0</v>
      </c>
      <c r="X5349">
        <v>0</v>
      </c>
    </row>
    <row r="5350" spans="1:24" ht="15" customHeight="1" x14ac:dyDescent="0.25">
      <c r="A5350" t="str">
        <f>""</f>
        <v/>
      </c>
      <c r="B5350" s="1"/>
      <c r="H5350">
        <v>163.6</v>
      </c>
      <c r="J5350" t="s">
        <v>22</v>
      </c>
      <c r="L5350" s="1"/>
      <c r="N5350" s="1"/>
      <c r="V5350" t="str">
        <f>"67118"</f>
        <v>67118</v>
      </c>
      <c r="W5350">
        <v>0</v>
      </c>
      <c r="X5350">
        <v>13.09</v>
      </c>
    </row>
    <row r="5351" spans="1:24" ht="15" customHeight="1" x14ac:dyDescent="0.25">
      <c r="A5351" t="str">
        <f>""</f>
        <v/>
      </c>
      <c r="B5351" s="1"/>
      <c r="H5351">
        <v>31</v>
      </c>
      <c r="L5351" s="1"/>
      <c r="N5351" s="1"/>
      <c r="V5351" t="str">
        <f>"77184"</f>
        <v>77184</v>
      </c>
      <c r="W5351">
        <v>0</v>
      </c>
      <c r="X5351">
        <v>0</v>
      </c>
    </row>
    <row r="5352" spans="1:24" x14ac:dyDescent="0.25">
      <c r="A5352" t="str">
        <f>""</f>
        <v/>
      </c>
      <c r="B5352" s="1"/>
      <c r="H5352">
        <v>114.06</v>
      </c>
      <c r="J5352" t="s">
        <v>17</v>
      </c>
      <c r="L5352" s="1"/>
      <c r="N5352" s="1"/>
      <c r="V5352" t="str">
        <f>"44700"</f>
        <v>44700</v>
      </c>
      <c r="W5352">
        <v>0</v>
      </c>
      <c r="X5352">
        <v>0</v>
      </c>
    </row>
    <row r="5353" spans="1:24" ht="15" customHeight="1" x14ac:dyDescent="0.25">
      <c r="A5353" t="str">
        <f>""</f>
        <v/>
      </c>
      <c r="B5353" s="1"/>
      <c r="H5353">
        <v>98</v>
      </c>
      <c r="L5353" s="1"/>
      <c r="N5353" s="1"/>
      <c r="V5353" t="str">
        <f>"77184"</f>
        <v>77184</v>
      </c>
      <c r="W5353">
        <v>0</v>
      </c>
      <c r="X5353">
        <v>0</v>
      </c>
    </row>
    <row r="5354" spans="1:24" x14ac:dyDescent="0.25">
      <c r="A5354" t="str">
        <f>""</f>
        <v/>
      </c>
      <c r="B5354" s="1"/>
      <c r="H5354">
        <v>122.09</v>
      </c>
      <c r="J5354" t="s">
        <v>16</v>
      </c>
      <c r="L5354" s="1"/>
      <c r="N5354" s="1"/>
      <c r="V5354" t="str">
        <f>"59000"</f>
        <v>59000</v>
      </c>
      <c r="W5354">
        <v>0</v>
      </c>
      <c r="X5354">
        <v>0</v>
      </c>
    </row>
    <row r="5355" spans="1:24" x14ac:dyDescent="0.25">
      <c r="A5355" t="str">
        <f>""</f>
        <v/>
      </c>
      <c r="B5355" s="1"/>
      <c r="H5355">
        <v>140</v>
      </c>
      <c r="J5355" t="s">
        <v>16</v>
      </c>
      <c r="L5355" s="1"/>
      <c r="N5355" s="1"/>
      <c r="V5355" t="str">
        <f>"75116"</f>
        <v>75116</v>
      </c>
      <c r="W5355">
        <v>0</v>
      </c>
      <c r="X5355">
        <v>0</v>
      </c>
    </row>
    <row r="5356" spans="1:24" ht="15" customHeight="1" x14ac:dyDescent="0.25">
      <c r="A5356" t="str">
        <f>""</f>
        <v/>
      </c>
      <c r="B5356" s="1"/>
      <c r="H5356">
        <v>29.59</v>
      </c>
      <c r="J5356" t="s">
        <v>22</v>
      </c>
      <c r="L5356" s="1"/>
      <c r="N5356" s="1"/>
      <c r="V5356" t="str">
        <f>"13006"</f>
        <v>13006</v>
      </c>
      <c r="W5356">
        <v>0</v>
      </c>
      <c r="X5356">
        <v>0</v>
      </c>
    </row>
    <row r="5357" spans="1:24" x14ac:dyDescent="0.25">
      <c r="A5357" t="str">
        <f>""</f>
        <v/>
      </c>
      <c r="B5357" s="1"/>
      <c r="H5357">
        <v>140</v>
      </c>
      <c r="J5357" t="s">
        <v>16</v>
      </c>
      <c r="L5357" s="1"/>
      <c r="N5357" s="1"/>
      <c r="V5357" t="str">
        <f>"75019"</f>
        <v>75019</v>
      </c>
      <c r="W5357">
        <v>0</v>
      </c>
      <c r="X5357">
        <v>0</v>
      </c>
    </row>
    <row r="5358" spans="1:24" ht="15" customHeight="1" x14ac:dyDescent="0.25">
      <c r="A5358" t="str">
        <f>""</f>
        <v/>
      </c>
      <c r="B5358" s="1"/>
      <c r="H5358">
        <v>70</v>
      </c>
      <c r="J5358" t="s">
        <v>22</v>
      </c>
      <c r="L5358" s="1"/>
      <c r="N5358" s="1"/>
      <c r="V5358" t="str">
        <f>"59287"</f>
        <v>59287</v>
      </c>
      <c r="W5358">
        <v>0</v>
      </c>
      <c r="X5358">
        <v>0</v>
      </c>
    </row>
    <row r="5359" spans="1:24" ht="15" customHeight="1" x14ac:dyDescent="0.25">
      <c r="A5359" t="str">
        <f>""</f>
        <v/>
      </c>
      <c r="B5359" s="1"/>
      <c r="H5359">
        <v>140</v>
      </c>
      <c r="J5359" t="s">
        <v>23</v>
      </c>
      <c r="L5359" s="1"/>
      <c r="N5359" s="1"/>
      <c r="V5359" t="str">
        <f>"98000"</f>
        <v>98000</v>
      </c>
      <c r="W5359">
        <v>0</v>
      </c>
      <c r="X5359">
        <v>0</v>
      </c>
    </row>
    <row r="5360" spans="1:24" ht="15" customHeight="1" x14ac:dyDescent="0.25">
      <c r="A5360" t="str">
        <f>""</f>
        <v/>
      </c>
      <c r="B5360" s="1"/>
      <c r="H5360">
        <v>215.12</v>
      </c>
      <c r="J5360" t="s">
        <v>20</v>
      </c>
      <c r="L5360" s="1"/>
      <c r="N5360" s="1"/>
      <c r="V5360" t="str">
        <f>"59770"</f>
        <v>59770</v>
      </c>
      <c r="W5360">
        <v>40.869999999999997</v>
      </c>
      <c r="X5360">
        <v>0</v>
      </c>
    </row>
    <row r="5361" spans="1:24" x14ac:dyDescent="0.25">
      <c r="A5361" t="str">
        <f>""</f>
        <v/>
      </c>
      <c r="B5361" s="1"/>
      <c r="H5361">
        <v>170.88</v>
      </c>
      <c r="J5361" t="s">
        <v>18</v>
      </c>
      <c r="L5361" s="1"/>
      <c r="N5361" s="1"/>
      <c r="V5361" t="str">
        <f>"76700"</f>
        <v>76700</v>
      </c>
      <c r="W5361">
        <v>0</v>
      </c>
      <c r="X5361">
        <v>0</v>
      </c>
    </row>
    <row r="5362" spans="1:24" ht="15" customHeight="1" x14ac:dyDescent="0.25">
      <c r="A5362" t="str">
        <f>""</f>
        <v/>
      </c>
      <c r="B5362" s="1"/>
      <c r="J5362" t="s">
        <v>23</v>
      </c>
      <c r="L5362" s="1"/>
      <c r="N5362" s="1"/>
      <c r="V5362" t="str">
        <f>"60100"</f>
        <v>60100</v>
      </c>
      <c r="W5362">
        <v>0</v>
      </c>
      <c r="X5362">
        <v>0</v>
      </c>
    </row>
    <row r="5363" spans="1:24" ht="15" customHeight="1" x14ac:dyDescent="0.25">
      <c r="A5363" t="str">
        <f>""</f>
        <v/>
      </c>
      <c r="B5363" s="1"/>
      <c r="H5363">
        <v>136.19999999999999</v>
      </c>
      <c r="J5363" t="s">
        <v>22</v>
      </c>
      <c r="L5363" s="1"/>
      <c r="N5363" s="1"/>
      <c r="V5363" t="str">
        <f>"75016"</f>
        <v>75016</v>
      </c>
      <c r="W5363">
        <v>0</v>
      </c>
      <c r="X5363">
        <v>0</v>
      </c>
    </row>
    <row r="5364" spans="1:24" ht="15" customHeight="1" x14ac:dyDescent="0.25">
      <c r="A5364" t="str">
        <f>""</f>
        <v/>
      </c>
      <c r="B5364" s="1"/>
      <c r="H5364">
        <v>170.4</v>
      </c>
      <c r="J5364" t="s">
        <v>23</v>
      </c>
      <c r="L5364" s="1"/>
      <c r="V5364" t="str">
        <f>"38420"</f>
        <v>38420</v>
      </c>
      <c r="W5364">
        <v>0</v>
      </c>
      <c r="X5364">
        <v>0</v>
      </c>
    </row>
    <row r="5365" spans="1:24" ht="15" customHeight="1" x14ac:dyDescent="0.25">
      <c r="A5365" t="str">
        <f>""</f>
        <v/>
      </c>
      <c r="B5365" s="1"/>
      <c r="H5365">
        <v>183.98</v>
      </c>
      <c r="J5365" t="s">
        <v>23</v>
      </c>
      <c r="L5365" s="1"/>
      <c r="N5365" s="1"/>
      <c r="V5365" t="str">
        <f>"45190"</f>
        <v>45190</v>
      </c>
      <c r="W5365">
        <v>0</v>
      </c>
      <c r="X5365">
        <v>0</v>
      </c>
    </row>
    <row r="5366" spans="1:24" ht="15" customHeight="1" x14ac:dyDescent="0.25">
      <c r="A5366" t="str">
        <f>""</f>
        <v/>
      </c>
      <c r="B5366" s="1"/>
      <c r="H5366">
        <v>151</v>
      </c>
      <c r="J5366" t="s">
        <v>23</v>
      </c>
      <c r="L5366" s="1"/>
      <c r="N5366" s="1"/>
      <c r="V5366" t="str">
        <f>"57930"</f>
        <v>57930</v>
      </c>
      <c r="W5366">
        <v>0</v>
      </c>
      <c r="X5366">
        <v>0</v>
      </c>
    </row>
    <row r="5367" spans="1:24" ht="15" customHeight="1" x14ac:dyDescent="0.25">
      <c r="A5367" t="str">
        <f>""</f>
        <v/>
      </c>
      <c r="B5367" s="1"/>
      <c r="H5367">
        <v>202.33</v>
      </c>
      <c r="J5367" t="s">
        <v>22</v>
      </c>
      <c r="L5367" s="1"/>
      <c r="V5367" t="str">
        <f>"75015"</f>
        <v>75015</v>
      </c>
      <c r="W5367">
        <v>0</v>
      </c>
      <c r="X5367">
        <v>0</v>
      </c>
    </row>
    <row r="5368" spans="1:24" ht="15" customHeight="1" x14ac:dyDescent="0.25">
      <c r="A5368" t="str">
        <f>""</f>
        <v/>
      </c>
      <c r="B5368" s="1"/>
      <c r="H5368">
        <v>22.5</v>
      </c>
      <c r="J5368" t="s">
        <v>22</v>
      </c>
      <c r="L5368" s="1"/>
      <c r="V5368" t="str">
        <f>"70000"</f>
        <v>70000</v>
      </c>
      <c r="W5368">
        <v>0</v>
      </c>
      <c r="X5368">
        <v>0</v>
      </c>
    </row>
    <row r="5369" spans="1:24" x14ac:dyDescent="0.25">
      <c r="A5369" t="str">
        <f>""</f>
        <v/>
      </c>
      <c r="B5369" s="1"/>
      <c r="H5369">
        <v>52.5</v>
      </c>
      <c r="J5369" t="s">
        <v>15</v>
      </c>
      <c r="L5369" s="1"/>
      <c r="N5369" s="1"/>
      <c r="V5369" t="str">
        <f>"92600"</f>
        <v>92600</v>
      </c>
      <c r="W5369">
        <v>0</v>
      </c>
      <c r="X5369">
        <v>0</v>
      </c>
    </row>
    <row r="5370" spans="1:24" x14ac:dyDescent="0.25">
      <c r="A5370" t="str">
        <f>""</f>
        <v/>
      </c>
      <c r="B5370" s="1"/>
      <c r="H5370">
        <v>52.5</v>
      </c>
      <c r="J5370" t="s">
        <v>15</v>
      </c>
      <c r="L5370" s="1"/>
      <c r="N5370" s="1"/>
      <c r="V5370" t="str">
        <f>"31200"</f>
        <v>31200</v>
      </c>
      <c r="W5370">
        <v>0</v>
      </c>
      <c r="X5370">
        <v>0</v>
      </c>
    </row>
    <row r="5371" spans="1:24" ht="15" customHeight="1" x14ac:dyDescent="0.25">
      <c r="A5371" t="str">
        <f>""</f>
        <v/>
      </c>
      <c r="B5371" s="1"/>
      <c r="H5371">
        <v>17</v>
      </c>
      <c r="J5371" t="s">
        <v>22</v>
      </c>
      <c r="L5371" s="1"/>
      <c r="N5371" s="1"/>
      <c r="V5371" t="str">
        <f>"67000"</f>
        <v>67000</v>
      </c>
      <c r="W5371">
        <v>0</v>
      </c>
      <c r="X5371">
        <v>1.36</v>
      </c>
    </row>
    <row r="5372" spans="1:24" ht="15" customHeight="1" x14ac:dyDescent="0.25">
      <c r="A5372" t="str">
        <f>""</f>
        <v/>
      </c>
      <c r="B5372" s="1"/>
      <c r="H5372">
        <v>151</v>
      </c>
      <c r="J5372" t="s">
        <v>22</v>
      </c>
      <c r="L5372" s="1"/>
      <c r="N5372" s="1"/>
      <c r="V5372" t="str">
        <f>"06560"</f>
        <v>06560</v>
      </c>
      <c r="W5372">
        <v>0</v>
      </c>
      <c r="X5372">
        <v>0</v>
      </c>
    </row>
    <row r="5373" spans="1:24" x14ac:dyDescent="0.25">
      <c r="A5373" t="str">
        <f>""</f>
        <v/>
      </c>
      <c r="B5373" s="1"/>
      <c r="H5373">
        <v>140</v>
      </c>
      <c r="J5373" t="s">
        <v>17</v>
      </c>
      <c r="L5373" s="1"/>
      <c r="N5373" s="1"/>
      <c r="V5373" t="str">
        <f>"38510"</f>
        <v>38510</v>
      </c>
      <c r="W5373">
        <v>0</v>
      </c>
      <c r="X5373">
        <v>0</v>
      </c>
    </row>
    <row r="5374" spans="1:24" x14ac:dyDescent="0.25">
      <c r="A5374" t="str">
        <f>""</f>
        <v/>
      </c>
      <c r="B5374" s="1"/>
      <c r="H5374">
        <v>151</v>
      </c>
      <c r="J5374" t="s">
        <v>17</v>
      </c>
      <c r="L5374" s="1"/>
      <c r="N5374" s="1"/>
      <c r="V5374" t="str">
        <f>"67800"</f>
        <v>67800</v>
      </c>
      <c r="W5374">
        <v>0</v>
      </c>
      <c r="X5374">
        <v>0</v>
      </c>
    </row>
    <row r="5375" spans="1:24" x14ac:dyDescent="0.25">
      <c r="A5375" t="str">
        <f>""</f>
        <v/>
      </c>
      <c r="B5375" s="1"/>
      <c r="H5375">
        <v>180</v>
      </c>
      <c r="J5375" t="s">
        <v>17</v>
      </c>
      <c r="L5375" s="1"/>
      <c r="V5375" t="str">
        <f>"75007"</f>
        <v>75007</v>
      </c>
      <c r="W5375">
        <v>0</v>
      </c>
      <c r="X5375">
        <v>0</v>
      </c>
    </row>
    <row r="5376" spans="1:24" x14ac:dyDescent="0.25">
      <c r="A5376" t="str">
        <f>""</f>
        <v/>
      </c>
      <c r="B5376" s="1"/>
      <c r="H5376">
        <v>180</v>
      </c>
      <c r="J5376" t="s">
        <v>16</v>
      </c>
      <c r="L5376" s="1"/>
      <c r="N5376" s="1"/>
      <c r="V5376" t="str">
        <f>"92150"</f>
        <v>92150</v>
      </c>
      <c r="W5376">
        <v>0</v>
      </c>
      <c r="X5376">
        <v>0</v>
      </c>
    </row>
    <row r="5377" spans="1:24" ht="15" customHeight="1" x14ac:dyDescent="0.25">
      <c r="A5377" t="str">
        <f>""</f>
        <v/>
      </c>
      <c r="B5377" s="1"/>
      <c r="H5377">
        <v>50</v>
      </c>
      <c r="J5377" t="s">
        <v>22</v>
      </c>
      <c r="L5377" s="1"/>
      <c r="V5377" t="str">
        <f>"44840"</f>
        <v>44840</v>
      </c>
      <c r="W5377">
        <v>0</v>
      </c>
      <c r="X5377">
        <v>0</v>
      </c>
    </row>
    <row r="5378" spans="1:24" x14ac:dyDescent="0.25">
      <c r="A5378" t="str">
        <f>""</f>
        <v/>
      </c>
      <c r="B5378" s="1"/>
      <c r="H5378">
        <v>70</v>
      </c>
      <c r="J5378" t="s">
        <v>17</v>
      </c>
      <c r="L5378" s="1"/>
      <c r="N5378" s="1"/>
      <c r="V5378" t="str">
        <f>"13751"</f>
        <v>13751</v>
      </c>
      <c r="W5378">
        <v>0</v>
      </c>
      <c r="X5378">
        <v>0</v>
      </c>
    </row>
    <row r="5379" spans="1:24" x14ac:dyDescent="0.25">
      <c r="A5379" t="str">
        <f>""</f>
        <v/>
      </c>
      <c r="B5379" s="1"/>
      <c r="H5379">
        <v>151</v>
      </c>
      <c r="J5379" t="s">
        <v>18</v>
      </c>
      <c r="L5379" s="1"/>
      <c r="N5379" s="1"/>
      <c r="V5379" t="str">
        <f>"62970"</f>
        <v>62970</v>
      </c>
      <c r="W5379">
        <v>0</v>
      </c>
      <c r="X5379">
        <v>0</v>
      </c>
    </row>
    <row r="5380" spans="1:24" ht="15" customHeight="1" x14ac:dyDescent="0.25">
      <c r="A5380" t="str">
        <f>""</f>
        <v/>
      </c>
      <c r="B5380" s="1"/>
      <c r="H5380">
        <v>140</v>
      </c>
      <c r="J5380" t="s">
        <v>23</v>
      </c>
      <c r="L5380" s="1"/>
      <c r="N5380" s="1"/>
      <c r="V5380" t="str">
        <f>"79110"</f>
        <v>79110</v>
      </c>
      <c r="W5380">
        <v>0</v>
      </c>
      <c r="X5380">
        <v>0</v>
      </c>
    </row>
    <row r="5381" spans="1:24" ht="15" customHeight="1" x14ac:dyDescent="0.25">
      <c r="A5381" t="str">
        <f>""</f>
        <v/>
      </c>
      <c r="B5381" s="1"/>
      <c r="H5381">
        <v>140</v>
      </c>
      <c r="J5381" t="s">
        <v>23</v>
      </c>
      <c r="L5381" s="1"/>
      <c r="N5381" s="1"/>
      <c r="V5381" t="str">
        <f>"17000"</f>
        <v>17000</v>
      </c>
      <c r="W5381">
        <v>0</v>
      </c>
      <c r="X5381">
        <v>0</v>
      </c>
    </row>
    <row r="5382" spans="1:24" ht="15" customHeight="1" x14ac:dyDescent="0.25">
      <c r="A5382" t="str">
        <f>""</f>
        <v/>
      </c>
      <c r="B5382" s="1"/>
      <c r="H5382">
        <v>140</v>
      </c>
      <c r="J5382" t="s">
        <v>22</v>
      </c>
      <c r="L5382" s="1"/>
      <c r="N5382" s="1"/>
      <c r="V5382" t="str">
        <f>"62231"</f>
        <v>62231</v>
      </c>
      <c r="W5382">
        <v>0</v>
      </c>
      <c r="X5382">
        <v>26.6</v>
      </c>
    </row>
    <row r="5383" spans="1:24" ht="15" customHeight="1" x14ac:dyDescent="0.25">
      <c r="A5383" t="str">
        <f>""</f>
        <v/>
      </c>
      <c r="B5383" s="1"/>
      <c r="H5383">
        <v>140</v>
      </c>
      <c r="J5383" t="s">
        <v>22</v>
      </c>
      <c r="L5383" s="1"/>
      <c r="N5383" s="1"/>
      <c r="V5383" t="str">
        <f>"92350"</f>
        <v>92350</v>
      </c>
      <c r="W5383">
        <v>0</v>
      </c>
      <c r="X5383">
        <v>0</v>
      </c>
    </row>
    <row r="5384" spans="1:24" ht="15" customHeight="1" x14ac:dyDescent="0.25">
      <c r="A5384" t="str">
        <f>""</f>
        <v/>
      </c>
      <c r="B5384" s="1"/>
      <c r="H5384">
        <v>22.8</v>
      </c>
      <c r="J5384" t="s">
        <v>22</v>
      </c>
      <c r="L5384" s="1"/>
      <c r="N5384" s="1"/>
      <c r="V5384" t="str">
        <f>"92350"</f>
        <v>92350</v>
      </c>
      <c r="W5384">
        <v>0</v>
      </c>
      <c r="X5384">
        <v>0</v>
      </c>
    </row>
    <row r="5385" spans="1:24" ht="15" customHeight="1" x14ac:dyDescent="0.25">
      <c r="A5385" t="str">
        <f>""</f>
        <v/>
      </c>
      <c r="B5385" s="1"/>
      <c r="H5385">
        <v>90.99</v>
      </c>
      <c r="J5385" t="s">
        <v>22</v>
      </c>
      <c r="L5385" s="1"/>
      <c r="V5385" t="str">
        <f>"69100"</f>
        <v>69100</v>
      </c>
      <c r="W5385">
        <v>0</v>
      </c>
      <c r="X5385">
        <v>0</v>
      </c>
    </row>
    <row r="5386" spans="1:24" ht="15" customHeight="1" x14ac:dyDescent="0.25">
      <c r="A5386" t="str">
        <f>""</f>
        <v/>
      </c>
      <c r="B5386" s="1"/>
      <c r="H5386">
        <v>22.5</v>
      </c>
      <c r="J5386" t="s">
        <v>22</v>
      </c>
      <c r="L5386" s="1"/>
      <c r="N5386" s="1"/>
      <c r="V5386" t="str">
        <f>"75007"</f>
        <v>75007</v>
      </c>
      <c r="W5386">
        <v>0</v>
      </c>
      <c r="X5386">
        <v>0</v>
      </c>
    </row>
    <row r="5387" spans="1:24" ht="15" customHeight="1" x14ac:dyDescent="0.25">
      <c r="A5387" t="str">
        <f>""</f>
        <v/>
      </c>
      <c r="B5387" s="1"/>
      <c r="H5387">
        <v>250</v>
      </c>
      <c r="J5387" t="s">
        <v>22</v>
      </c>
      <c r="L5387" s="1"/>
      <c r="N5387" s="1"/>
      <c r="V5387" t="str">
        <f>"92000"</f>
        <v>92000</v>
      </c>
      <c r="W5387">
        <v>0</v>
      </c>
      <c r="X5387">
        <v>0</v>
      </c>
    </row>
    <row r="5388" spans="1:24" ht="15" customHeight="1" x14ac:dyDescent="0.25">
      <c r="A5388" t="str">
        <f>""</f>
        <v/>
      </c>
      <c r="B5388" s="1"/>
      <c r="H5388">
        <v>40</v>
      </c>
      <c r="J5388" t="s">
        <v>23</v>
      </c>
      <c r="L5388" s="1"/>
      <c r="N5388" s="1"/>
      <c r="V5388" t="str">
        <f>"67000"</f>
        <v>67000</v>
      </c>
      <c r="W5388">
        <v>0</v>
      </c>
      <c r="X5388">
        <v>3.2</v>
      </c>
    </row>
    <row r="5389" spans="1:24" ht="15" customHeight="1" x14ac:dyDescent="0.25">
      <c r="A5389" t="str">
        <f>""</f>
        <v/>
      </c>
      <c r="B5389" s="1"/>
      <c r="H5389">
        <v>139.53</v>
      </c>
      <c r="J5389" t="s">
        <v>23</v>
      </c>
      <c r="L5389" s="1"/>
      <c r="V5389" t="str">
        <f>"78100"</f>
        <v>78100</v>
      </c>
      <c r="W5389">
        <v>0</v>
      </c>
      <c r="X5389">
        <v>0</v>
      </c>
    </row>
    <row r="5390" spans="1:24" ht="15" customHeight="1" x14ac:dyDescent="0.25">
      <c r="A5390" t="str">
        <f>""</f>
        <v/>
      </c>
      <c r="B5390" s="1"/>
      <c r="H5390">
        <v>183.98</v>
      </c>
      <c r="J5390" t="s">
        <v>22</v>
      </c>
      <c r="L5390" s="1"/>
      <c r="N5390" s="1"/>
      <c r="V5390" t="str">
        <f>"14000"</f>
        <v>14000</v>
      </c>
      <c r="W5390">
        <v>0</v>
      </c>
      <c r="X5390">
        <v>31.28</v>
      </c>
    </row>
    <row r="5391" spans="1:24" ht="15" customHeight="1" x14ac:dyDescent="0.25">
      <c r="A5391" t="str">
        <f>""</f>
        <v/>
      </c>
      <c r="B5391" s="1"/>
      <c r="H5391">
        <v>180</v>
      </c>
      <c r="J5391" t="s">
        <v>23</v>
      </c>
      <c r="L5391" s="1"/>
      <c r="N5391" s="1"/>
      <c r="V5391" t="str">
        <f>"14000"</f>
        <v>14000</v>
      </c>
      <c r="W5391">
        <v>0</v>
      </c>
      <c r="X5391">
        <v>30.6</v>
      </c>
    </row>
    <row r="5392" spans="1:24" ht="15" customHeight="1" x14ac:dyDescent="0.25">
      <c r="A5392" t="str">
        <f>""</f>
        <v/>
      </c>
      <c r="B5392" s="1"/>
      <c r="H5392">
        <v>81.02</v>
      </c>
      <c r="J5392" t="s">
        <v>23</v>
      </c>
      <c r="L5392" s="1"/>
      <c r="N5392" s="1"/>
      <c r="V5392" t="str">
        <f>"14000"</f>
        <v>14000</v>
      </c>
      <c r="W5392">
        <v>0</v>
      </c>
      <c r="X5392">
        <v>0</v>
      </c>
    </row>
    <row r="5393" spans="1:24" ht="15" customHeight="1" x14ac:dyDescent="0.25">
      <c r="A5393" t="str">
        <f>""</f>
        <v/>
      </c>
      <c r="B5393" s="1"/>
      <c r="H5393">
        <v>47.69</v>
      </c>
      <c r="J5393" t="s">
        <v>23</v>
      </c>
      <c r="L5393" s="1"/>
      <c r="N5393" s="1"/>
      <c r="V5393" t="str">
        <f>"73000"</f>
        <v>73000</v>
      </c>
      <c r="W5393">
        <v>0</v>
      </c>
      <c r="X5393">
        <v>0</v>
      </c>
    </row>
    <row r="5394" spans="1:24" ht="15" customHeight="1" x14ac:dyDescent="0.25">
      <c r="A5394" t="str">
        <f>""</f>
        <v/>
      </c>
      <c r="B5394" s="1"/>
      <c r="H5394">
        <v>16</v>
      </c>
      <c r="J5394" t="s">
        <v>23</v>
      </c>
      <c r="L5394" s="1"/>
      <c r="V5394" t="str">
        <f>"98000"</f>
        <v>98000</v>
      </c>
      <c r="W5394">
        <v>0</v>
      </c>
      <c r="X5394">
        <v>0</v>
      </c>
    </row>
    <row r="5395" spans="1:24" ht="15" customHeight="1" x14ac:dyDescent="0.25">
      <c r="A5395" t="str">
        <f>""</f>
        <v/>
      </c>
      <c r="B5395" s="1"/>
      <c r="H5395">
        <v>40</v>
      </c>
      <c r="J5395" t="s">
        <v>23</v>
      </c>
      <c r="L5395" s="1"/>
      <c r="V5395" t="str">
        <f>"13127"</f>
        <v>13127</v>
      </c>
      <c r="W5395">
        <v>0</v>
      </c>
      <c r="X5395">
        <v>0</v>
      </c>
    </row>
    <row r="5396" spans="1:24" ht="15" customHeight="1" x14ac:dyDescent="0.25">
      <c r="A5396" t="str">
        <f>""</f>
        <v/>
      </c>
      <c r="B5396" s="1"/>
      <c r="H5396">
        <v>70</v>
      </c>
      <c r="J5396" t="s">
        <v>22</v>
      </c>
      <c r="L5396" s="1"/>
      <c r="N5396" s="1"/>
      <c r="V5396" t="str">
        <f>"89100"</f>
        <v>89100</v>
      </c>
      <c r="W5396">
        <v>0</v>
      </c>
      <c r="X5396">
        <v>8.4</v>
      </c>
    </row>
    <row r="5397" spans="1:24" ht="15" customHeight="1" x14ac:dyDescent="0.25">
      <c r="A5397" t="str">
        <f>""</f>
        <v/>
      </c>
      <c r="B5397" s="1"/>
      <c r="H5397">
        <v>70</v>
      </c>
      <c r="J5397" t="s">
        <v>22</v>
      </c>
      <c r="L5397" s="1"/>
      <c r="N5397" s="1"/>
      <c r="V5397" t="str">
        <f>"89100"</f>
        <v>89100</v>
      </c>
      <c r="W5397">
        <v>0</v>
      </c>
      <c r="X5397">
        <v>8.4</v>
      </c>
    </row>
    <row r="5398" spans="1:24" ht="15" customHeight="1" x14ac:dyDescent="0.25">
      <c r="A5398" t="str">
        <f>""</f>
        <v/>
      </c>
      <c r="B5398" s="1"/>
      <c r="H5398">
        <v>400</v>
      </c>
      <c r="J5398" t="s">
        <v>22</v>
      </c>
      <c r="L5398" s="1"/>
      <c r="N5398" s="1"/>
      <c r="V5398" t="str">
        <f>"83190"</f>
        <v>83190</v>
      </c>
      <c r="W5398">
        <v>0</v>
      </c>
      <c r="X5398">
        <v>0</v>
      </c>
    </row>
    <row r="5399" spans="1:24" ht="15" customHeight="1" x14ac:dyDescent="0.25">
      <c r="A5399" t="str">
        <f>""</f>
        <v/>
      </c>
      <c r="B5399" s="1"/>
      <c r="H5399">
        <v>156.65</v>
      </c>
      <c r="J5399" t="s">
        <v>20</v>
      </c>
      <c r="L5399" s="1"/>
      <c r="N5399" s="1"/>
      <c r="V5399" t="str">
        <f>"57155"</f>
        <v>57155</v>
      </c>
      <c r="W5399">
        <v>39.159999999999997</v>
      </c>
      <c r="X5399">
        <v>0</v>
      </c>
    </row>
    <row r="5400" spans="1:24" ht="15" customHeight="1" x14ac:dyDescent="0.25">
      <c r="A5400" t="str">
        <f>""</f>
        <v/>
      </c>
      <c r="B5400" s="1"/>
      <c r="H5400">
        <v>180</v>
      </c>
      <c r="J5400" t="s">
        <v>23</v>
      </c>
      <c r="L5400" s="1"/>
      <c r="N5400" s="1"/>
      <c r="V5400" t="str">
        <f>"51470"</f>
        <v>51470</v>
      </c>
      <c r="W5400">
        <v>0</v>
      </c>
      <c r="X5400">
        <v>45</v>
      </c>
    </row>
    <row r="5401" spans="1:24" ht="15" customHeight="1" x14ac:dyDescent="0.25">
      <c r="A5401" t="str">
        <f>""</f>
        <v/>
      </c>
      <c r="B5401" s="1"/>
      <c r="H5401">
        <v>70</v>
      </c>
      <c r="J5401" t="s">
        <v>23</v>
      </c>
      <c r="L5401" s="1"/>
      <c r="N5401" s="1"/>
      <c r="V5401" t="str">
        <f>"83190"</f>
        <v>83190</v>
      </c>
      <c r="W5401">
        <v>0</v>
      </c>
      <c r="X5401">
        <v>0</v>
      </c>
    </row>
    <row r="5402" spans="1:24" x14ac:dyDescent="0.25">
      <c r="A5402" t="str">
        <f>""</f>
        <v/>
      </c>
      <c r="B5402" s="1"/>
      <c r="H5402">
        <v>151</v>
      </c>
      <c r="J5402" t="s">
        <v>17</v>
      </c>
      <c r="L5402" s="1"/>
      <c r="V5402" t="str">
        <f>"69441"</f>
        <v>69441</v>
      </c>
      <c r="W5402">
        <v>0</v>
      </c>
      <c r="X5402">
        <v>0</v>
      </c>
    </row>
    <row r="5403" spans="1:24" ht="15" customHeight="1" x14ac:dyDescent="0.25">
      <c r="A5403" t="str">
        <f>""</f>
        <v/>
      </c>
      <c r="B5403" s="1"/>
      <c r="H5403">
        <v>7.68</v>
      </c>
      <c r="J5403" t="s">
        <v>23</v>
      </c>
      <c r="L5403" s="1"/>
      <c r="N5403" s="1"/>
      <c r="V5403" t="str">
        <f>"37210"</f>
        <v>37210</v>
      </c>
      <c r="W5403">
        <v>0</v>
      </c>
      <c r="X5403">
        <v>1.61</v>
      </c>
    </row>
    <row r="5404" spans="1:24" ht="15" customHeight="1" x14ac:dyDescent="0.25">
      <c r="A5404" t="str">
        <f>""</f>
        <v/>
      </c>
      <c r="B5404" s="1"/>
      <c r="H5404">
        <v>186</v>
      </c>
      <c r="J5404" t="s">
        <v>20</v>
      </c>
      <c r="L5404" s="1"/>
      <c r="N5404" s="1"/>
      <c r="V5404" t="str">
        <f>"91160"</f>
        <v>91160</v>
      </c>
      <c r="W5404">
        <v>0</v>
      </c>
      <c r="X5404">
        <v>0</v>
      </c>
    </row>
    <row r="5405" spans="1:24" ht="15" customHeight="1" x14ac:dyDescent="0.25">
      <c r="A5405" t="str">
        <f>""</f>
        <v/>
      </c>
      <c r="B5405" s="1"/>
      <c r="H5405">
        <v>18.8</v>
      </c>
      <c r="J5405" t="s">
        <v>23</v>
      </c>
      <c r="L5405" s="1"/>
      <c r="N5405" s="1"/>
      <c r="V5405" t="str">
        <f>"50200"</f>
        <v>50200</v>
      </c>
      <c r="W5405">
        <v>0</v>
      </c>
      <c r="X5405">
        <v>3.2</v>
      </c>
    </row>
    <row r="5406" spans="1:24" ht="15" customHeight="1" x14ac:dyDescent="0.25">
      <c r="A5406" t="str">
        <f>""</f>
        <v/>
      </c>
      <c r="B5406" s="1"/>
      <c r="H5406">
        <v>140</v>
      </c>
      <c r="J5406" t="s">
        <v>23</v>
      </c>
      <c r="L5406" s="1"/>
      <c r="N5406" s="1"/>
      <c r="V5406" t="str">
        <f>"69800"</f>
        <v>69800</v>
      </c>
      <c r="W5406">
        <v>0</v>
      </c>
      <c r="X5406">
        <v>0</v>
      </c>
    </row>
    <row r="5407" spans="1:24" ht="15" customHeight="1" x14ac:dyDescent="0.25">
      <c r="A5407" t="str">
        <f>""</f>
        <v/>
      </c>
      <c r="B5407" s="1"/>
      <c r="H5407">
        <v>28.5</v>
      </c>
      <c r="J5407" t="s">
        <v>19</v>
      </c>
      <c r="L5407" s="1"/>
      <c r="N5407" s="1"/>
      <c r="V5407" t="str">
        <f>"94547"</f>
        <v>94547</v>
      </c>
      <c r="W5407">
        <v>0</v>
      </c>
      <c r="X5407">
        <v>0</v>
      </c>
    </row>
    <row r="5408" spans="1:24" ht="15" customHeight="1" x14ac:dyDescent="0.25">
      <c r="A5408" t="str">
        <f>""</f>
        <v/>
      </c>
      <c r="B5408" s="1"/>
      <c r="H5408">
        <v>33</v>
      </c>
      <c r="J5408" t="s">
        <v>22</v>
      </c>
      <c r="L5408" s="1"/>
      <c r="N5408" s="1"/>
      <c r="V5408" t="str">
        <f>"70000"</f>
        <v>70000</v>
      </c>
      <c r="W5408">
        <v>0</v>
      </c>
      <c r="X5408">
        <v>0</v>
      </c>
    </row>
    <row r="5409" spans="1:24" ht="15" customHeight="1" x14ac:dyDescent="0.25">
      <c r="A5409" t="str">
        <f>""</f>
        <v/>
      </c>
      <c r="B5409" s="1"/>
      <c r="H5409">
        <v>25</v>
      </c>
      <c r="J5409" t="s">
        <v>22</v>
      </c>
      <c r="L5409" s="1"/>
      <c r="N5409" s="1"/>
      <c r="V5409" t="str">
        <f>"69200"</f>
        <v>69200</v>
      </c>
      <c r="W5409">
        <v>0</v>
      </c>
      <c r="X5409">
        <v>0</v>
      </c>
    </row>
    <row r="5410" spans="1:24" ht="15" customHeight="1" x14ac:dyDescent="0.25">
      <c r="A5410" t="str">
        <f>""</f>
        <v/>
      </c>
      <c r="B5410" s="1"/>
      <c r="H5410">
        <v>25</v>
      </c>
      <c r="J5410" t="s">
        <v>22</v>
      </c>
      <c r="L5410" s="1"/>
      <c r="N5410" s="1"/>
      <c r="V5410" t="str">
        <f>"69200"</f>
        <v>69200</v>
      </c>
      <c r="W5410">
        <v>0</v>
      </c>
      <c r="X5410">
        <v>0</v>
      </c>
    </row>
    <row r="5411" spans="1:24" ht="15" customHeight="1" x14ac:dyDescent="0.25">
      <c r="A5411" t="str">
        <f>""</f>
        <v/>
      </c>
      <c r="B5411" s="1"/>
      <c r="H5411">
        <v>50.84</v>
      </c>
      <c r="J5411" t="s">
        <v>19</v>
      </c>
      <c r="L5411" s="1"/>
      <c r="N5411" s="1"/>
      <c r="V5411" t="str">
        <f>"92000"</f>
        <v>92000</v>
      </c>
      <c r="W5411">
        <v>0</v>
      </c>
      <c r="X5411">
        <v>0</v>
      </c>
    </row>
    <row r="5412" spans="1:24" ht="15" customHeight="1" x14ac:dyDescent="0.25">
      <c r="A5412" t="str">
        <f>""</f>
        <v/>
      </c>
      <c r="B5412" s="1"/>
      <c r="H5412">
        <v>50.84</v>
      </c>
      <c r="J5412" t="s">
        <v>19</v>
      </c>
      <c r="L5412" s="1"/>
      <c r="N5412" s="1"/>
      <c r="V5412" t="str">
        <f>"92000"</f>
        <v>92000</v>
      </c>
      <c r="W5412">
        <v>0</v>
      </c>
      <c r="X5412">
        <v>0</v>
      </c>
    </row>
    <row r="5413" spans="1:24" ht="15" customHeight="1" x14ac:dyDescent="0.25">
      <c r="A5413" t="str">
        <f>""</f>
        <v/>
      </c>
      <c r="B5413" s="1"/>
      <c r="H5413">
        <v>109.06</v>
      </c>
      <c r="J5413" t="s">
        <v>23</v>
      </c>
      <c r="L5413" s="1"/>
      <c r="N5413" s="1"/>
      <c r="V5413" t="str">
        <f>"88100"</f>
        <v>88100</v>
      </c>
      <c r="W5413">
        <v>0</v>
      </c>
      <c r="X5413">
        <v>8.7200000000000006</v>
      </c>
    </row>
    <row r="5414" spans="1:24" ht="15" customHeight="1" x14ac:dyDescent="0.25">
      <c r="A5414" t="str">
        <f>""</f>
        <v/>
      </c>
      <c r="B5414" s="1"/>
      <c r="H5414">
        <v>173.44</v>
      </c>
      <c r="J5414" t="s">
        <v>22</v>
      </c>
      <c r="L5414" s="1"/>
      <c r="N5414" s="1"/>
      <c r="V5414" t="str">
        <f>"45120"</f>
        <v>45120</v>
      </c>
      <c r="W5414">
        <v>0</v>
      </c>
      <c r="X5414">
        <v>67.64</v>
      </c>
    </row>
    <row r="5415" spans="1:24" ht="15" customHeight="1" x14ac:dyDescent="0.25">
      <c r="A5415" t="str">
        <f>""</f>
        <v/>
      </c>
      <c r="B5415" s="1"/>
      <c r="H5415">
        <v>50.84</v>
      </c>
      <c r="J5415" t="s">
        <v>19</v>
      </c>
      <c r="L5415" s="1"/>
      <c r="N5415" s="1"/>
      <c r="V5415" t="str">
        <f>"92000"</f>
        <v>92000</v>
      </c>
      <c r="W5415">
        <v>0</v>
      </c>
      <c r="X5415">
        <v>0</v>
      </c>
    </row>
    <row r="5416" spans="1:24" ht="15" customHeight="1" x14ac:dyDescent="0.25">
      <c r="A5416" t="str">
        <f>""</f>
        <v/>
      </c>
      <c r="B5416" s="1"/>
      <c r="H5416">
        <v>50.84</v>
      </c>
      <c r="J5416" t="s">
        <v>19</v>
      </c>
      <c r="L5416" s="1"/>
      <c r="N5416" s="1"/>
      <c r="V5416" t="str">
        <f>"92000"</f>
        <v>92000</v>
      </c>
      <c r="W5416">
        <v>0</v>
      </c>
      <c r="X5416">
        <v>0</v>
      </c>
    </row>
    <row r="5417" spans="1:24" x14ac:dyDescent="0.25">
      <c r="A5417" t="str">
        <f>""</f>
        <v/>
      </c>
      <c r="B5417" s="1"/>
      <c r="H5417">
        <v>52.5</v>
      </c>
      <c r="J5417" t="s">
        <v>15</v>
      </c>
      <c r="L5417" s="1"/>
      <c r="N5417" s="1"/>
      <c r="V5417" t="str">
        <f>"83600"</f>
        <v>83600</v>
      </c>
      <c r="W5417">
        <v>0</v>
      </c>
      <c r="X5417">
        <v>0</v>
      </c>
    </row>
    <row r="5418" spans="1:24" x14ac:dyDescent="0.25">
      <c r="A5418" t="str">
        <f>""</f>
        <v/>
      </c>
      <c r="B5418" s="1"/>
      <c r="H5418">
        <v>52.5</v>
      </c>
      <c r="J5418" t="s">
        <v>15</v>
      </c>
      <c r="L5418" s="1"/>
      <c r="N5418" s="1"/>
      <c r="V5418" t="str">
        <f>"38100"</f>
        <v>38100</v>
      </c>
      <c r="W5418">
        <v>0</v>
      </c>
      <c r="X5418">
        <v>0</v>
      </c>
    </row>
    <row r="5419" spans="1:24" x14ac:dyDescent="0.25">
      <c r="A5419" t="str">
        <f>""</f>
        <v/>
      </c>
      <c r="B5419" s="1"/>
      <c r="H5419">
        <v>52.5</v>
      </c>
      <c r="J5419" t="s">
        <v>16</v>
      </c>
      <c r="L5419" s="1"/>
      <c r="N5419" s="1"/>
      <c r="V5419" t="str">
        <f>"67400"</f>
        <v>67400</v>
      </c>
      <c r="W5419">
        <v>15.23</v>
      </c>
      <c r="X5419">
        <v>0</v>
      </c>
    </row>
    <row r="5420" spans="1:24" x14ac:dyDescent="0.25">
      <c r="A5420" t="str">
        <f>""</f>
        <v/>
      </c>
      <c r="B5420" s="1"/>
      <c r="H5420">
        <v>52.5</v>
      </c>
      <c r="J5420" t="s">
        <v>15</v>
      </c>
      <c r="L5420" s="1"/>
      <c r="N5420" s="1"/>
      <c r="V5420" t="str">
        <f>"13013"</f>
        <v>13013</v>
      </c>
      <c r="W5420">
        <v>0</v>
      </c>
      <c r="X5420">
        <v>0</v>
      </c>
    </row>
    <row r="5421" spans="1:24" x14ac:dyDescent="0.25">
      <c r="A5421" t="str">
        <f>""</f>
        <v/>
      </c>
      <c r="B5421" s="1"/>
      <c r="H5421">
        <v>52.5</v>
      </c>
      <c r="J5421" t="s">
        <v>15</v>
      </c>
      <c r="L5421" s="1"/>
      <c r="N5421" s="1"/>
      <c r="V5421" t="str">
        <f>"59280"</f>
        <v>59280</v>
      </c>
      <c r="W5421">
        <v>0</v>
      </c>
      <c r="X5421">
        <v>0</v>
      </c>
    </row>
    <row r="5422" spans="1:24" x14ac:dyDescent="0.25">
      <c r="A5422" t="str">
        <f>""</f>
        <v/>
      </c>
      <c r="B5422" s="1"/>
      <c r="H5422">
        <v>52.5</v>
      </c>
      <c r="J5422" t="s">
        <v>15</v>
      </c>
      <c r="L5422" s="1"/>
      <c r="N5422" s="1"/>
      <c r="V5422" t="str">
        <f>"62400"</f>
        <v>62400</v>
      </c>
      <c r="W5422">
        <v>0</v>
      </c>
      <c r="X5422">
        <v>0</v>
      </c>
    </row>
    <row r="5423" spans="1:24" x14ac:dyDescent="0.25">
      <c r="A5423" t="str">
        <f>""</f>
        <v/>
      </c>
      <c r="B5423" s="1"/>
      <c r="H5423">
        <v>52.5</v>
      </c>
      <c r="J5423" t="s">
        <v>15</v>
      </c>
      <c r="L5423" s="1"/>
      <c r="N5423" s="1"/>
      <c r="V5423" t="str">
        <f>"33150"</f>
        <v>33150</v>
      </c>
      <c r="W5423">
        <v>0</v>
      </c>
      <c r="X5423">
        <v>0</v>
      </c>
    </row>
    <row r="5424" spans="1:24" ht="15" customHeight="1" x14ac:dyDescent="0.25">
      <c r="A5424" t="str">
        <f>""</f>
        <v/>
      </c>
      <c r="B5424" s="1"/>
      <c r="H5424">
        <v>30</v>
      </c>
      <c r="J5424" t="s">
        <v>23</v>
      </c>
      <c r="L5424" s="1"/>
      <c r="N5424" s="1"/>
      <c r="V5424" t="str">
        <f>"69120"</f>
        <v>69120</v>
      </c>
      <c r="W5424">
        <v>0</v>
      </c>
      <c r="X5424">
        <v>0</v>
      </c>
    </row>
    <row r="5425" spans="1:24" ht="15" customHeight="1" x14ac:dyDescent="0.25">
      <c r="A5425" t="str">
        <f>""</f>
        <v/>
      </c>
      <c r="B5425" s="1"/>
      <c r="H5425">
        <v>140</v>
      </c>
      <c r="J5425" t="s">
        <v>22</v>
      </c>
      <c r="L5425" s="1"/>
      <c r="N5425" s="1"/>
      <c r="V5425" t="str">
        <f>"59000"</f>
        <v>59000</v>
      </c>
      <c r="W5425">
        <v>0</v>
      </c>
      <c r="X5425">
        <v>0</v>
      </c>
    </row>
    <row r="5426" spans="1:24" ht="15" customHeight="1" x14ac:dyDescent="0.25">
      <c r="A5426" t="str">
        <f>""</f>
        <v/>
      </c>
      <c r="B5426" s="1"/>
      <c r="H5426">
        <v>68.3</v>
      </c>
      <c r="J5426" t="s">
        <v>22</v>
      </c>
      <c r="L5426" s="1"/>
      <c r="N5426" s="1"/>
      <c r="V5426" t="str">
        <f>"61400"</f>
        <v>61400</v>
      </c>
      <c r="W5426">
        <v>0</v>
      </c>
      <c r="X5426">
        <v>11.61</v>
      </c>
    </row>
    <row r="5427" spans="1:24" ht="15" customHeight="1" x14ac:dyDescent="0.25">
      <c r="A5427" t="str">
        <f>""</f>
        <v/>
      </c>
      <c r="B5427" s="1"/>
      <c r="H5427">
        <v>140</v>
      </c>
      <c r="J5427" t="s">
        <v>23</v>
      </c>
      <c r="L5427" s="1"/>
      <c r="N5427" s="1"/>
      <c r="V5427" t="str">
        <f>"10800"</f>
        <v>10800</v>
      </c>
      <c r="W5427">
        <v>0</v>
      </c>
      <c r="X5427">
        <v>16.8</v>
      </c>
    </row>
    <row r="5428" spans="1:24" ht="15" customHeight="1" x14ac:dyDescent="0.25">
      <c r="A5428" t="str">
        <f>""</f>
        <v/>
      </c>
      <c r="B5428" s="1"/>
      <c r="H5428">
        <v>129.26</v>
      </c>
      <c r="J5428" t="s">
        <v>19</v>
      </c>
      <c r="L5428" s="1"/>
      <c r="N5428" s="1"/>
      <c r="V5428" t="str">
        <f>"62200"</f>
        <v>62200</v>
      </c>
      <c r="W5428">
        <v>24.56</v>
      </c>
      <c r="X5428">
        <v>0</v>
      </c>
    </row>
    <row r="5429" spans="1:24" ht="15" customHeight="1" x14ac:dyDescent="0.25">
      <c r="A5429" t="str">
        <f>""</f>
        <v/>
      </c>
      <c r="B5429" s="1"/>
      <c r="H5429">
        <v>55.16</v>
      </c>
      <c r="J5429" t="s">
        <v>19</v>
      </c>
      <c r="L5429" s="1"/>
      <c r="N5429" s="1"/>
      <c r="V5429" t="str">
        <f>"93013"</f>
        <v>93013</v>
      </c>
      <c r="W5429">
        <v>0</v>
      </c>
      <c r="X5429">
        <v>0</v>
      </c>
    </row>
    <row r="5430" spans="1:24" ht="15" customHeight="1" x14ac:dyDescent="0.25">
      <c r="A5430" t="str">
        <f>""</f>
        <v/>
      </c>
      <c r="B5430" s="1"/>
      <c r="H5430">
        <v>19.649999999999999</v>
      </c>
      <c r="J5430" t="s">
        <v>19</v>
      </c>
      <c r="L5430" s="1"/>
      <c r="N5430" s="1"/>
      <c r="V5430" t="str">
        <f>"38300"</f>
        <v>38300</v>
      </c>
      <c r="W5430">
        <v>5.31</v>
      </c>
      <c r="X5430">
        <v>0</v>
      </c>
    </row>
    <row r="5431" spans="1:24" x14ac:dyDescent="0.25">
      <c r="A5431" t="str">
        <f>""</f>
        <v/>
      </c>
      <c r="B5431" s="1"/>
      <c r="H5431">
        <v>23.4</v>
      </c>
      <c r="J5431" t="s">
        <v>17</v>
      </c>
      <c r="L5431" s="1"/>
      <c r="N5431" s="1"/>
      <c r="V5431" t="str">
        <f>"38230"</f>
        <v>38230</v>
      </c>
      <c r="W5431">
        <v>0</v>
      </c>
      <c r="X5431">
        <v>0</v>
      </c>
    </row>
    <row r="5432" spans="1:24" ht="15" customHeight="1" x14ac:dyDescent="0.25">
      <c r="A5432" t="str">
        <f>""</f>
        <v/>
      </c>
      <c r="B5432" s="1"/>
      <c r="H5432">
        <v>20</v>
      </c>
      <c r="L5432" s="1"/>
      <c r="N5432" s="1"/>
      <c r="V5432" t="str">
        <f>"77184"</f>
        <v>77184</v>
      </c>
      <c r="W5432">
        <v>0</v>
      </c>
      <c r="X5432">
        <v>0</v>
      </c>
    </row>
    <row r="5433" spans="1:24" ht="15" customHeight="1" x14ac:dyDescent="0.25">
      <c r="A5433" t="str">
        <f>""</f>
        <v/>
      </c>
      <c r="B5433" s="1"/>
      <c r="H5433">
        <v>20</v>
      </c>
      <c r="L5433" s="1"/>
      <c r="N5433" s="1"/>
      <c r="V5433" t="str">
        <f>"77184"</f>
        <v>77184</v>
      </c>
      <c r="W5433">
        <v>0</v>
      </c>
      <c r="X5433">
        <v>0</v>
      </c>
    </row>
    <row r="5434" spans="1:24" ht="15" customHeight="1" x14ac:dyDescent="0.25">
      <c r="A5434" t="str">
        <f>""</f>
        <v/>
      </c>
      <c r="B5434" s="1"/>
      <c r="H5434">
        <v>20</v>
      </c>
      <c r="L5434" s="1"/>
      <c r="N5434" s="1"/>
      <c r="V5434" t="str">
        <f>"77184"</f>
        <v>77184</v>
      </c>
      <c r="W5434">
        <v>0</v>
      </c>
      <c r="X5434">
        <v>0</v>
      </c>
    </row>
    <row r="5435" spans="1:24" ht="15" customHeight="1" x14ac:dyDescent="0.25">
      <c r="A5435" t="str">
        <f>""</f>
        <v/>
      </c>
      <c r="B5435" s="1"/>
      <c r="H5435">
        <v>20</v>
      </c>
      <c r="L5435" s="1"/>
      <c r="N5435" s="1"/>
      <c r="V5435" t="str">
        <f>"77184"</f>
        <v>77184</v>
      </c>
      <c r="W5435">
        <v>0</v>
      </c>
      <c r="X5435">
        <v>0</v>
      </c>
    </row>
    <row r="5436" spans="1:24" x14ac:dyDescent="0.25">
      <c r="A5436" t="str">
        <f>""</f>
        <v/>
      </c>
      <c r="B5436" s="1"/>
      <c r="H5436">
        <v>151</v>
      </c>
      <c r="J5436" t="s">
        <v>16</v>
      </c>
      <c r="L5436" s="1"/>
      <c r="N5436" s="1"/>
      <c r="V5436" t="str">
        <f>"69100"</f>
        <v>69100</v>
      </c>
      <c r="W5436">
        <v>77.010000000000005</v>
      </c>
      <c r="X5436">
        <v>0</v>
      </c>
    </row>
    <row r="5437" spans="1:24" ht="15" customHeight="1" x14ac:dyDescent="0.25">
      <c r="A5437" t="str">
        <f>""</f>
        <v/>
      </c>
      <c r="B5437" s="1"/>
      <c r="H5437">
        <v>137.01</v>
      </c>
      <c r="J5437" t="s">
        <v>19</v>
      </c>
      <c r="L5437" s="1"/>
      <c r="N5437" s="1"/>
      <c r="V5437" t="str">
        <f>"72300"</f>
        <v>72300</v>
      </c>
      <c r="W5437">
        <v>28.77</v>
      </c>
      <c r="X5437">
        <v>0</v>
      </c>
    </row>
    <row r="5438" spans="1:24" ht="15" customHeight="1" x14ac:dyDescent="0.25">
      <c r="A5438" t="str">
        <f>""</f>
        <v/>
      </c>
      <c r="B5438" s="1"/>
      <c r="H5438">
        <v>146.31</v>
      </c>
      <c r="J5438" t="s">
        <v>22</v>
      </c>
      <c r="L5438" s="1"/>
      <c r="N5438" s="1"/>
      <c r="V5438" t="str">
        <f>"25000"</f>
        <v>25000</v>
      </c>
      <c r="W5438">
        <v>0</v>
      </c>
      <c r="X5438">
        <v>17.559999999999999</v>
      </c>
    </row>
    <row r="5439" spans="1:24" ht="15" customHeight="1" x14ac:dyDescent="0.25">
      <c r="A5439" t="str">
        <f>""</f>
        <v/>
      </c>
      <c r="B5439" s="1"/>
      <c r="H5439">
        <v>137.43</v>
      </c>
      <c r="J5439" t="s">
        <v>19</v>
      </c>
      <c r="L5439" s="1"/>
      <c r="N5439" s="1"/>
      <c r="V5439" t="str">
        <f>"14200"</f>
        <v>14200</v>
      </c>
      <c r="W5439">
        <v>70.08</v>
      </c>
      <c r="X5439">
        <v>0</v>
      </c>
    </row>
    <row r="5440" spans="1:24" ht="15" customHeight="1" x14ac:dyDescent="0.25">
      <c r="A5440" t="str">
        <f>""</f>
        <v/>
      </c>
      <c r="B5440" s="1"/>
      <c r="H5440">
        <v>29.59</v>
      </c>
      <c r="J5440" t="s">
        <v>22</v>
      </c>
      <c r="L5440" s="1"/>
      <c r="N5440" s="1"/>
      <c r="V5440" t="str">
        <f>"92400"</f>
        <v>92400</v>
      </c>
      <c r="W5440">
        <v>0</v>
      </c>
      <c r="X5440">
        <v>0</v>
      </c>
    </row>
    <row r="5441" spans="1:24" ht="15" customHeight="1" x14ac:dyDescent="0.25">
      <c r="A5441" t="str">
        <f>""</f>
        <v/>
      </c>
      <c r="B5441" s="1"/>
      <c r="H5441">
        <v>2065.0100000000002</v>
      </c>
      <c r="J5441" t="s">
        <v>20</v>
      </c>
      <c r="L5441" s="1"/>
      <c r="N5441" s="1"/>
      <c r="V5441" t="str">
        <f>"40280"</f>
        <v>40280</v>
      </c>
      <c r="W5441">
        <v>433.65</v>
      </c>
      <c r="X5441">
        <v>0</v>
      </c>
    </row>
    <row r="5442" spans="1:24" ht="15" customHeight="1" x14ac:dyDescent="0.25">
      <c r="A5442" t="str">
        <f>""</f>
        <v/>
      </c>
      <c r="B5442" s="1"/>
      <c r="H5442">
        <v>180</v>
      </c>
      <c r="J5442" t="s">
        <v>23</v>
      </c>
      <c r="L5442" s="1"/>
      <c r="N5442" s="1"/>
      <c r="V5442" t="str">
        <f>"62320"</f>
        <v>62320</v>
      </c>
      <c r="W5442">
        <v>0</v>
      </c>
      <c r="X5442">
        <v>0</v>
      </c>
    </row>
    <row r="5443" spans="1:24" ht="15" customHeight="1" x14ac:dyDescent="0.25">
      <c r="A5443" t="str">
        <f>""</f>
        <v/>
      </c>
      <c r="B5443" s="1"/>
      <c r="H5443">
        <v>151</v>
      </c>
      <c r="J5443" t="s">
        <v>22</v>
      </c>
      <c r="L5443" s="1"/>
      <c r="N5443" s="1"/>
      <c r="V5443" t="str">
        <f>"06560"</f>
        <v>06560</v>
      </c>
      <c r="W5443">
        <v>0</v>
      </c>
      <c r="X5443">
        <v>0</v>
      </c>
    </row>
    <row r="5444" spans="1:24" ht="15" customHeight="1" x14ac:dyDescent="0.25">
      <c r="A5444" t="str">
        <f>""</f>
        <v/>
      </c>
      <c r="B5444" s="1"/>
      <c r="H5444">
        <v>151</v>
      </c>
      <c r="J5444" t="s">
        <v>23</v>
      </c>
      <c r="L5444" s="1"/>
      <c r="N5444" s="1"/>
      <c r="V5444" t="str">
        <f>"06560"</f>
        <v>06560</v>
      </c>
      <c r="W5444">
        <v>0</v>
      </c>
      <c r="X5444">
        <v>0</v>
      </c>
    </row>
    <row r="5445" spans="1:24" ht="15" customHeight="1" x14ac:dyDescent="0.25">
      <c r="A5445" t="str">
        <f>""</f>
        <v/>
      </c>
      <c r="B5445" s="1"/>
      <c r="H5445">
        <v>189.52</v>
      </c>
      <c r="J5445" t="s">
        <v>23</v>
      </c>
      <c r="L5445" s="1"/>
      <c r="N5445" s="1"/>
      <c r="V5445" t="str">
        <f>"21000"</f>
        <v>21000</v>
      </c>
      <c r="W5445">
        <v>0</v>
      </c>
      <c r="X5445">
        <v>22.74</v>
      </c>
    </row>
    <row r="5446" spans="1:24" ht="15" customHeight="1" x14ac:dyDescent="0.25">
      <c r="A5446" t="str">
        <f>""</f>
        <v/>
      </c>
      <c r="B5446" s="1"/>
      <c r="H5446">
        <v>49.08</v>
      </c>
      <c r="J5446" t="s">
        <v>19</v>
      </c>
      <c r="L5446" s="1"/>
      <c r="N5446" s="1"/>
      <c r="V5446" t="str">
        <f>"22600"</f>
        <v>22600</v>
      </c>
      <c r="W5446">
        <v>19.14</v>
      </c>
      <c r="X5446">
        <v>0</v>
      </c>
    </row>
    <row r="5447" spans="1:24" ht="15" customHeight="1" x14ac:dyDescent="0.25">
      <c r="A5447" t="str">
        <f>""</f>
        <v/>
      </c>
      <c r="B5447" s="1"/>
      <c r="H5447">
        <v>151</v>
      </c>
      <c r="J5447" t="s">
        <v>23</v>
      </c>
      <c r="L5447" s="1"/>
      <c r="V5447" t="str">
        <f>"93410"</f>
        <v>93410</v>
      </c>
      <c r="W5447">
        <v>0</v>
      </c>
      <c r="X5447">
        <v>0</v>
      </c>
    </row>
    <row r="5448" spans="1:24" ht="15" customHeight="1" x14ac:dyDescent="0.25">
      <c r="A5448" t="str">
        <f>""</f>
        <v/>
      </c>
      <c r="B5448" s="1"/>
      <c r="H5448">
        <v>140</v>
      </c>
      <c r="J5448" t="s">
        <v>23</v>
      </c>
      <c r="L5448" s="1"/>
      <c r="N5448" s="1"/>
      <c r="V5448" t="str">
        <f>"34220"</f>
        <v>34220</v>
      </c>
      <c r="W5448">
        <v>0</v>
      </c>
      <c r="X5448">
        <v>39.200000000000003</v>
      </c>
    </row>
    <row r="5449" spans="1:24" ht="15" customHeight="1" x14ac:dyDescent="0.25">
      <c r="A5449" t="str">
        <f>""</f>
        <v/>
      </c>
      <c r="B5449" s="1"/>
      <c r="H5449">
        <v>60.2</v>
      </c>
      <c r="J5449" t="s">
        <v>22</v>
      </c>
      <c r="L5449" s="1"/>
      <c r="N5449" s="1"/>
      <c r="V5449" t="str">
        <f>"75014"</f>
        <v>75014</v>
      </c>
      <c r="W5449">
        <v>0</v>
      </c>
      <c r="X5449">
        <v>0</v>
      </c>
    </row>
    <row r="5450" spans="1:24" x14ac:dyDescent="0.25">
      <c r="A5450" t="str">
        <f>""</f>
        <v/>
      </c>
      <c r="B5450" s="1"/>
      <c r="H5450">
        <v>122.09</v>
      </c>
      <c r="J5450" t="s">
        <v>18</v>
      </c>
      <c r="L5450" s="1"/>
      <c r="N5450" s="1"/>
      <c r="V5450" t="str">
        <f>"11100"</f>
        <v>11100</v>
      </c>
      <c r="W5450">
        <v>0</v>
      </c>
      <c r="X5450">
        <v>0</v>
      </c>
    </row>
    <row r="5451" spans="1:24" ht="15" customHeight="1" x14ac:dyDescent="0.25">
      <c r="A5451" t="str">
        <f>""</f>
        <v/>
      </c>
      <c r="B5451" s="1"/>
      <c r="H5451">
        <v>31.6</v>
      </c>
      <c r="L5451" s="1"/>
      <c r="N5451" s="1"/>
      <c r="V5451" t="str">
        <f>"77184"</f>
        <v>77184</v>
      </c>
      <c r="W5451">
        <v>0</v>
      </c>
      <c r="X5451">
        <v>0</v>
      </c>
    </row>
    <row r="5452" spans="1:24" ht="15" customHeight="1" x14ac:dyDescent="0.25">
      <c r="A5452" t="str">
        <f>""</f>
        <v/>
      </c>
      <c r="B5452" s="1"/>
      <c r="H5452">
        <v>151</v>
      </c>
      <c r="J5452" t="s">
        <v>20</v>
      </c>
      <c r="L5452" s="1"/>
      <c r="N5452" s="1"/>
      <c r="V5452" t="str">
        <f>"76130"</f>
        <v>76130</v>
      </c>
      <c r="W5452">
        <v>25.67</v>
      </c>
      <c r="X5452">
        <v>0</v>
      </c>
    </row>
    <row r="5453" spans="1:24" ht="15" customHeight="1" x14ac:dyDescent="0.25">
      <c r="A5453" t="str">
        <f>""</f>
        <v/>
      </c>
      <c r="B5453" s="1"/>
      <c r="H5453">
        <v>84.5</v>
      </c>
      <c r="L5453" s="1"/>
      <c r="N5453" s="1"/>
      <c r="V5453" t="str">
        <f>"77184"</f>
        <v>77184</v>
      </c>
      <c r="W5453">
        <v>0</v>
      </c>
      <c r="X5453">
        <v>0</v>
      </c>
    </row>
    <row r="5454" spans="1:24" ht="15" customHeight="1" x14ac:dyDescent="0.25">
      <c r="A5454" t="str">
        <f>""</f>
        <v/>
      </c>
      <c r="B5454" s="1"/>
      <c r="H5454">
        <v>160.61000000000001</v>
      </c>
      <c r="J5454" t="s">
        <v>19</v>
      </c>
      <c r="L5454" s="1"/>
      <c r="N5454" s="1"/>
      <c r="V5454" t="str">
        <f>"69007"</f>
        <v>69007</v>
      </c>
      <c r="W5454">
        <v>43.36</v>
      </c>
      <c r="X5454">
        <v>0</v>
      </c>
    </row>
    <row r="5455" spans="1:24" ht="15" customHeight="1" x14ac:dyDescent="0.25">
      <c r="A5455" t="str">
        <f>""</f>
        <v/>
      </c>
      <c r="B5455" s="1"/>
      <c r="H5455">
        <v>24.2</v>
      </c>
      <c r="J5455" t="s">
        <v>20</v>
      </c>
      <c r="L5455" s="1"/>
      <c r="N5455" s="1"/>
      <c r="V5455" t="str">
        <f>"84700"</f>
        <v>84700</v>
      </c>
      <c r="W5455">
        <v>7.02</v>
      </c>
      <c r="X5455">
        <v>0</v>
      </c>
    </row>
    <row r="5456" spans="1:24" ht="15" customHeight="1" x14ac:dyDescent="0.25">
      <c r="A5456" t="str">
        <f>""</f>
        <v/>
      </c>
      <c r="B5456" s="1"/>
      <c r="H5456">
        <v>10</v>
      </c>
      <c r="L5456" s="1"/>
      <c r="N5456" s="1"/>
      <c r="V5456" t="str">
        <f>"77184"</f>
        <v>77184</v>
      </c>
      <c r="W5456">
        <v>0</v>
      </c>
      <c r="X5456">
        <v>0</v>
      </c>
    </row>
    <row r="5457" spans="1:24" ht="15" customHeight="1" x14ac:dyDescent="0.25">
      <c r="A5457" t="str">
        <f>""</f>
        <v/>
      </c>
      <c r="B5457" s="1"/>
      <c r="H5457">
        <v>10</v>
      </c>
      <c r="L5457" s="1"/>
      <c r="N5457" s="1"/>
      <c r="V5457" t="str">
        <f>"77184"</f>
        <v>77184</v>
      </c>
      <c r="W5457">
        <v>0</v>
      </c>
      <c r="X5457">
        <v>0</v>
      </c>
    </row>
    <row r="5458" spans="1:24" ht="15" customHeight="1" x14ac:dyDescent="0.25">
      <c r="A5458" t="str">
        <f>""</f>
        <v/>
      </c>
      <c r="B5458" s="1"/>
      <c r="H5458">
        <v>140</v>
      </c>
      <c r="J5458" t="s">
        <v>23</v>
      </c>
      <c r="L5458" s="1"/>
      <c r="N5458" s="1"/>
      <c r="V5458" t="str">
        <f>"35235"</f>
        <v>35235</v>
      </c>
      <c r="W5458">
        <v>0</v>
      </c>
      <c r="X5458">
        <v>37.799999999999997</v>
      </c>
    </row>
    <row r="5459" spans="1:24" ht="15" customHeight="1" x14ac:dyDescent="0.25">
      <c r="A5459" t="str">
        <f>""</f>
        <v/>
      </c>
      <c r="B5459" s="1"/>
      <c r="H5459">
        <v>137.05000000000001</v>
      </c>
      <c r="J5459" t="s">
        <v>22</v>
      </c>
      <c r="L5459" s="1"/>
      <c r="N5459" s="1"/>
      <c r="V5459" t="str">
        <f>"13115"</f>
        <v>13115</v>
      </c>
      <c r="W5459">
        <v>0</v>
      </c>
      <c r="X5459">
        <v>26.04</v>
      </c>
    </row>
    <row r="5460" spans="1:24" ht="15" customHeight="1" x14ac:dyDescent="0.25">
      <c r="A5460" t="str">
        <f>""</f>
        <v/>
      </c>
      <c r="B5460" s="1"/>
      <c r="H5460">
        <v>137.05000000000001</v>
      </c>
      <c r="J5460" t="s">
        <v>22</v>
      </c>
      <c r="L5460" s="1"/>
      <c r="N5460" s="1"/>
      <c r="V5460" t="str">
        <f>"13115"</f>
        <v>13115</v>
      </c>
      <c r="W5460">
        <v>0</v>
      </c>
      <c r="X5460">
        <v>26.04</v>
      </c>
    </row>
    <row r="5461" spans="1:24" ht="15" customHeight="1" x14ac:dyDescent="0.25">
      <c r="A5461" t="str">
        <f>""</f>
        <v/>
      </c>
      <c r="B5461" s="1"/>
      <c r="H5461">
        <v>137.05000000000001</v>
      </c>
      <c r="J5461" t="s">
        <v>22</v>
      </c>
      <c r="L5461" s="1"/>
      <c r="N5461" s="1"/>
      <c r="V5461" t="str">
        <f>"13115"</f>
        <v>13115</v>
      </c>
      <c r="W5461">
        <v>0</v>
      </c>
      <c r="X5461">
        <v>26.04</v>
      </c>
    </row>
    <row r="5462" spans="1:24" ht="15" customHeight="1" x14ac:dyDescent="0.25">
      <c r="A5462" t="str">
        <f>""</f>
        <v/>
      </c>
      <c r="B5462" s="1"/>
      <c r="H5462">
        <v>55.34</v>
      </c>
      <c r="J5462" t="s">
        <v>20</v>
      </c>
      <c r="L5462" s="1"/>
      <c r="N5462" s="1"/>
      <c r="V5462" t="str">
        <f>"94410"</f>
        <v>94410</v>
      </c>
      <c r="W5462">
        <v>0</v>
      </c>
      <c r="X5462">
        <v>0</v>
      </c>
    </row>
    <row r="5463" spans="1:24" ht="15" customHeight="1" x14ac:dyDescent="0.25">
      <c r="A5463" t="str">
        <f>""</f>
        <v/>
      </c>
      <c r="B5463" s="1"/>
      <c r="H5463">
        <v>151</v>
      </c>
      <c r="J5463" t="s">
        <v>20</v>
      </c>
      <c r="L5463" s="1"/>
      <c r="V5463" t="str">
        <f>"59500"</f>
        <v>59500</v>
      </c>
      <c r="W5463">
        <v>0</v>
      </c>
      <c r="X5463">
        <v>0</v>
      </c>
    </row>
    <row r="5464" spans="1:24" ht="15" customHeight="1" x14ac:dyDescent="0.25">
      <c r="A5464" t="str">
        <f>""</f>
        <v/>
      </c>
      <c r="B5464" s="1"/>
      <c r="H5464">
        <v>151.93</v>
      </c>
      <c r="J5464" t="s">
        <v>19</v>
      </c>
      <c r="L5464" s="1"/>
      <c r="N5464" s="1"/>
      <c r="V5464" t="str">
        <f>"54300"</f>
        <v>54300</v>
      </c>
      <c r="W5464">
        <v>37.979999999999997</v>
      </c>
      <c r="X5464">
        <v>0</v>
      </c>
    </row>
    <row r="5465" spans="1:24" ht="15" customHeight="1" x14ac:dyDescent="0.25">
      <c r="A5465" t="str">
        <f>""</f>
        <v/>
      </c>
      <c r="B5465" s="1"/>
      <c r="H5465">
        <v>140</v>
      </c>
      <c r="J5465" t="s">
        <v>23</v>
      </c>
      <c r="L5465" s="1"/>
      <c r="N5465" s="1"/>
      <c r="V5465" t="str">
        <f>"80100"</f>
        <v>80100</v>
      </c>
      <c r="W5465">
        <v>0</v>
      </c>
      <c r="X5465">
        <v>0</v>
      </c>
    </row>
    <row r="5466" spans="1:24" ht="15" customHeight="1" x14ac:dyDescent="0.25">
      <c r="A5466" t="str">
        <f>""</f>
        <v/>
      </c>
      <c r="B5466" s="1"/>
      <c r="H5466">
        <v>55.16</v>
      </c>
      <c r="J5466" t="s">
        <v>19</v>
      </c>
      <c r="L5466" s="1"/>
      <c r="N5466" s="1"/>
      <c r="V5466" t="str">
        <f>"26000"</f>
        <v>26000</v>
      </c>
      <c r="W5466">
        <v>14.89</v>
      </c>
      <c r="X5466">
        <v>0</v>
      </c>
    </row>
    <row r="5467" spans="1:24" ht="15" customHeight="1" x14ac:dyDescent="0.25">
      <c r="A5467" t="str">
        <f>""</f>
        <v/>
      </c>
      <c r="B5467" s="1"/>
      <c r="H5467">
        <v>137.43</v>
      </c>
      <c r="J5467" t="s">
        <v>19</v>
      </c>
      <c r="L5467" s="1"/>
      <c r="N5467" s="1"/>
      <c r="V5467" t="str">
        <f>"73200"</f>
        <v>73200</v>
      </c>
      <c r="W5467">
        <v>37.11</v>
      </c>
      <c r="X5467">
        <v>0</v>
      </c>
    </row>
    <row r="5468" spans="1:24" ht="15" customHeight="1" x14ac:dyDescent="0.25">
      <c r="A5468" t="str">
        <f>""</f>
        <v/>
      </c>
      <c r="B5468" s="1"/>
      <c r="H5468">
        <v>20.23</v>
      </c>
      <c r="J5468" t="s">
        <v>19</v>
      </c>
      <c r="L5468" s="1"/>
      <c r="N5468" s="1"/>
      <c r="V5468" t="str">
        <f>"73200"</f>
        <v>73200</v>
      </c>
      <c r="W5468">
        <v>5.46</v>
      </c>
      <c r="X5468">
        <v>0</v>
      </c>
    </row>
    <row r="5469" spans="1:24" ht="15" customHeight="1" x14ac:dyDescent="0.25">
      <c r="A5469" t="str">
        <f>""</f>
        <v/>
      </c>
      <c r="B5469" s="1"/>
      <c r="H5469">
        <v>49.08</v>
      </c>
      <c r="J5469" t="s">
        <v>19</v>
      </c>
      <c r="L5469" s="1"/>
      <c r="N5469" s="1"/>
      <c r="V5469" t="str">
        <f>"56920"</f>
        <v>56920</v>
      </c>
      <c r="W5469">
        <v>13.25</v>
      </c>
      <c r="X5469">
        <v>0</v>
      </c>
    </row>
    <row r="5470" spans="1:24" ht="15" customHeight="1" x14ac:dyDescent="0.25">
      <c r="A5470" t="str">
        <f>""</f>
        <v/>
      </c>
      <c r="B5470" s="1"/>
      <c r="H5470">
        <v>49.08</v>
      </c>
      <c r="J5470" t="s">
        <v>20</v>
      </c>
      <c r="L5470" s="1"/>
      <c r="N5470" s="1"/>
      <c r="V5470" t="str">
        <f>"56920"</f>
        <v>56920</v>
      </c>
      <c r="W5470">
        <v>13.25</v>
      </c>
      <c r="X5470">
        <v>0</v>
      </c>
    </row>
    <row r="5471" spans="1:24" ht="15" customHeight="1" x14ac:dyDescent="0.25">
      <c r="A5471" t="str">
        <f>""</f>
        <v/>
      </c>
      <c r="B5471" s="1"/>
      <c r="H5471">
        <v>49.08</v>
      </c>
      <c r="J5471" t="s">
        <v>19</v>
      </c>
      <c r="L5471" s="1"/>
      <c r="N5471" s="1"/>
      <c r="V5471" t="str">
        <f>"22600"</f>
        <v>22600</v>
      </c>
      <c r="W5471">
        <v>19.14</v>
      </c>
      <c r="X5471">
        <v>0</v>
      </c>
    </row>
    <row r="5472" spans="1:24" ht="15" customHeight="1" x14ac:dyDescent="0.25">
      <c r="A5472" t="str">
        <f>""</f>
        <v/>
      </c>
      <c r="B5472" s="1"/>
      <c r="H5472">
        <v>20.23</v>
      </c>
      <c r="J5472" t="s">
        <v>20</v>
      </c>
      <c r="L5472" s="1"/>
      <c r="N5472" s="1"/>
      <c r="V5472" t="str">
        <f>"95716"</f>
        <v>95716</v>
      </c>
      <c r="W5472">
        <v>5.87</v>
      </c>
      <c r="X5472">
        <v>0</v>
      </c>
    </row>
    <row r="5473" spans="1:24" ht="15" customHeight="1" x14ac:dyDescent="0.25">
      <c r="A5473" t="str">
        <f>""</f>
        <v/>
      </c>
      <c r="B5473" s="1"/>
      <c r="H5473">
        <v>153.81</v>
      </c>
      <c r="J5473" t="s">
        <v>19</v>
      </c>
      <c r="L5473" s="1"/>
      <c r="N5473" s="1"/>
      <c r="V5473" t="str">
        <f>"68520"</f>
        <v>68520</v>
      </c>
      <c r="W5473">
        <v>44.6</v>
      </c>
      <c r="X5473">
        <v>0</v>
      </c>
    </row>
    <row r="5474" spans="1:24" ht="15" customHeight="1" x14ac:dyDescent="0.25">
      <c r="A5474" t="str">
        <f>""</f>
        <v/>
      </c>
      <c r="B5474" s="1"/>
      <c r="H5474">
        <v>22.62</v>
      </c>
      <c r="J5474" t="s">
        <v>20</v>
      </c>
      <c r="L5474" s="1"/>
      <c r="N5474" s="1"/>
      <c r="V5474" t="str">
        <f>"45400"</f>
        <v>45400</v>
      </c>
      <c r="W5474">
        <v>4.75</v>
      </c>
      <c r="X5474">
        <v>0</v>
      </c>
    </row>
    <row r="5475" spans="1:24" ht="15" customHeight="1" x14ac:dyDescent="0.25">
      <c r="A5475" t="str">
        <f>""</f>
        <v/>
      </c>
      <c r="B5475" s="1"/>
      <c r="H5475">
        <v>183.38</v>
      </c>
      <c r="J5475" t="s">
        <v>23</v>
      </c>
      <c r="L5475" s="1"/>
      <c r="N5475" s="1"/>
      <c r="V5475" t="str">
        <f>"67960"</f>
        <v>67960</v>
      </c>
      <c r="W5475">
        <v>0</v>
      </c>
      <c r="X5475">
        <v>14.67</v>
      </c>
    </row>
    <row r="5476" spans="1:24" ht="15" customHeight="1" x14ac:dyDescent="0.25">
      <c r="A5476" t="str">
        <f>""</f>
        <v/>
      </c>
      <c r="B5476" s="1"/>
      <c r="H5476">
        <v>99.5</v>
      </c>
      <c r="L5476" s="1"/>
      <c r="N5476" s="1"/>
      <c r="V5476" t="str">
        <f>"77184"</f>
        <v>77184</v>
      </c>
      <c r="W5476">
        <v>0</v>
      </c>
      <c r="X5476">
        <v>0</v>
      </c>
    </row>
    <row r="5477" spans="1:24" ht="15" customHeight="1" x14ac:dyDescent="0.25">
      <c r="A5477" t="str">
        <f>""</f>
        <v/>
      </c>
      <c r="B5477" s="1"/>
      <c r="H5477">
        <v>84.5</v>
      </c>
      <c r="L5477" s="1"/>
      <c r="N5477" s="1"/>
      <c r="V5477" t="str">
        <f>"77184"</f>
        <v>77184</v>
      </c>
      <c r="W5477">
        <v>0</v>
      </c>
      <c r="X5477">
        <v>0</v>
      </c>
    </row>
    <row r="5478" spans="1:24" x14ac:dyDescent="0.25">
      <c r="A5478" t="str">
        <f>""</f>
        <v/>
      </c>
      <c r="B5478" s="1"/>
      <c r="H5478">
        <v>73.34</v>
      </c>
      <c r="J5478" t="s">
        <v>16</v>
      </c>
      <c r="L5478" s="1"/>
      <c r="N5478" s="1"/>
      <c r="V5478" t="str">
        <f>"83600"</f>
        <v>83600</v>
      </c>
      <c r="W5478">
        <v>0</v>
      </c>
      <c r="X5478">
        <v>0</v>
      </c>
    </row>
    <row r="5479" spans="1:24" ht="15" customHeight="1" x14ac:dyDescent="0.25">
      <c r="A5479" t="str">
        <f>""</f>
        <v/>
      </c>
      <c r="B5479" s="1"/>
      <c r="H5479">
        <v>153.52000000000001</v>
      </c>
      <c r="J5479" t="s">
        <v>20</v>
      </c>
      <c r="L5479" s="1"/>
      <c r="N5479" s="1"/>
      <c r="V5479" t="str">
        <f>"69003"</f>
        <v>69003</v>
      </c>
      <c r="W5479">
        <v>41.45</v>
      </c>
      <c r="X5479">
        <v>0</v>
      </c>
    </row>
    <row r="5480" spans="1:24" ht="15" customHeight="1" x14ac:dyDescent="0.25">
      <c r="A5480" t="str">
        <f>""</f>
        <v/>
      </c>
      <c r="B5480" s="1"/>
      <c r="H5480">
        <v>75.16</v>
      </c>
      <c r="J5480" t="s">
        <v>19</v>
      </c>
      <c r="L5480" s="1"/>
      <c r="N5480" s="1"/>
      <c r="V5480" t="str">
        <f>"44700"</f>
        <v>44700</v>
      </c>
      <c r="W5480">
        <v>20.29</v>
      </c>
      <c r="X5480">
        <v>0</v>
      </c>
    </row>
    <row r="5481" spans="1:24" ht="15" customHeight="1" x14ac:dyDescent="0.25">
      <c r="A5481" t="str">
        <f>""</f>
        <v/>
      </c>
      <c r="B5481" s="1"/>
      <c r="H5481">
        <v>183.68</v>
      </c>
      <c r="J5481" t="s">
        <v>19</v>
      </c>
      <c r="L5481" s="1"/>
      <c r="N5481" s="1"/>
      <c r="V5481" t="str">
        <f>"67089"</f>
        <v>67089</v>
      </c>
      <c r="W5481">
        <v>53.27</v>
      </c>
      <c r="X5481">
        <v>0</v>
      </c>
    </row>
    <row r="5482" spans="1:24" ht="15" customHeight="1" x14ac:dyDescent="0.25">
      <c r="A5482" t="str">
        <f>""</f>
        <v/>
      </c>
      <c r="B5482" s="1"/>
      <c r="H5482">
        <v>69.7</v>
      </c>
      <c r="J5482" t="s">
        <v>20</v>
      </c>
      <c r="L5482" s="1"/>
      <c r="N5482" s="1"/>
      <c r="V5482" t="str">
        <f>"67300"</f>
        <v>67300</v>
      </c>
      <c r="W5482">
        <v>20.21</v>
      </c>
      <c r="X5482">
        <v>0</v>
      </c>
    </row>
    <row r="5483" spans="1:24" ht="15" customHeight="1" x14ac:dyDescent="0.25">
      <c r="A5483" t="str">
        <f>""</f>
        <v/>
      </c>
      <c r="B5483" s="1"/>
      <c r="H5483">
        <v>33.35</v>
      </c>
      <c r="J5483" t="s">
        <v>20</v>
      </c>
      <c r="L5483" s="1"/>
      <c r="N5483" s="1"/>
      <c r="V5483" t="str">
        <f>"51150"</f>
        <v>51150</v>
      </c>
      <c r="W5483">
        <v>8.34</v>
      </c>
      <c r="X5483">
        <v>0</v>
      </c>
    </row>
    <row r="5484" spans="1:24" ht="15" customHeight="1" x14ac:dyDescent="0.25">
      <c r="A5484" t="str">
        <f>""</f>
        <v/>
      </c>
      <c r="B5484" s="1"/>
      <c r="H5484">
        <v>180</v>
      </c>
      <c r="L5484" s="1"/>
      <c r="N5484" s="1"/>
      <c r="V5484" t="str">
        <f>"77184"</f>
        <v>77184</v>
      </c>
      <c r="W5484">
        <v>0</v>
      </c>
      <c r="X5484">
        <v>0</v>
      </c>
    </row>
    <row r="5485" spans="1:24" ht="15" customHeight="1" x14ac:dyDescent="0.25">
      <c r="A5485" t="str">
        <f>""</f>
        <v/>
      </c>
      <c r="B5485" s="1"/>
      <c r="H5485">
        <v>162</v>
      </c>
      <c r="J5485" t="s">
        <v>19</v>
      </c>
      <c r="L5485" s="1"/>
      <c r="N5485" s="1"/>
      <c r="V5485" t="str">
        <f>"75008"</f>
        <v>75008</v>
      </c>
      <c r="W5485">
        <v>0</v>
      </c>
      <c r="X5485">
        <v>0</v>
      </c>
    </row>
    <row r="5486" spans="1:24" ht="15" customHeight="1" x14ac:dyDescent="0.25">
      <c r="A5486" t="str">
        <f>""</f>
        <v/>
      </c>
      <c r="B5486" s="1"/>
      <c r="H5486">
        <v>143.57</v>
      </c>
      <c r="J5486" t="s">
        <v>20</v>
      </c>
      <c r="L5486" s="1"/>
      <c r="N5486" s="1"/>
      <c r="V5486" t="str">
        <f>"14000"</f>
        <v>14000</v>
      </c>
      <c r="W5486">
        <v>24.41</v>
      </c>
      <c r="X5486">
        <v>0</v>
      </c>
    </row>
    <row r="5487" spans="1:24" ht="15" customHeight="1" x14ac:dyDescent="0.25">
      <c r="A5487" t="str">
        <f>""</f>
        <v/>
      </c>
      <c r="B5487" s="1"/>
      <c r="H5487">
        <v>50</v>
      </c>
      <c r="L5487" s="1"/>
      <c r="N5487" s="1"/>
      <c r="V5487" t="str">
        <f t="shared" ref="V5487:V5492" si="17">"44240"</f>
        <v>44240</v>
      </c>
      <c r="W5487">
        <v>0</v>
      </c>
      <c r="X5487">
        <v>0</v>
      </c>
    </row>
    <row r="5488" spans="1:24" ht="15" customHeight="1" x14ac:dyDescent="0.25">
      <c r="A5488" t="str">
        <f>""</f>
        <v/>
      </c>
      <c r="B5488" s="1"/>
      <c r="H5488">
        <v>29.89</v>
      </c>
      <c r="L5488" s="1"/>
      <c r="N5488" s="1"/>
      <c r="V5488" t="str">
        <f t="shared" si="17"/>
        <v>44240</v>
      </c>
      <c r="W5488">
        <v>0</v>
      </c>
      <c r="X5488">
        <v>0</v>
      </c>
    </row>
    <row r="5489" spans="1:24" ht="15" customHeight="1" x14ac:dyDescent="0.25">
      <c r="A5489" t="str">
        <f>""</f>
        <v/>
      </c>
      <c r="B5489" s="1"/>
      <c r="H5489">
        <v>22.5</v>
      </c>
      <c r="L5489" s="1"/>
      <c r="N5489" s="1"/>
      <c r="V5489" t="str">
        <f t="shared" si="17"/>
        <v>44240</v>
      </c>
      <c r="W5489">
        <v>0</v>
      </c>
      <c r="X5489">
        <v>0</v>
      </c>
    </row>
    <row r="5490" spans="1:24" ht="15" customHeight="1" x14ac:dyDescent="0.25">
      <c r="A5490" t="str">
        <f>""</f>
        <v/>
      </c>
      <c r="B5490" s="1"/>
      <c r="H5490">
        <v>31.6</v>
      </c>
      <c r="L5490" s="1"/>
      <c r="N5490" s="1"/>
      <c r="V5490" t="str">
        <f t="shared" si="17"/>
        <v>44240</v>
      </c>
      <c r="W5490">
        <v>0</v>
      </c>
      <c r="X5490">
        <v>0</v>
      </c>
    </row>
    <row r="5491" spans="1:24" ht="15" customHeight="1" x14ac:dyDescent="0.25">
      <c r="A5491" t="str">
        <f>""</f>
        <v/>
      </c>
      <c r="B5491" s="1"/>
      <c r="H5491">
        <v>55</v>
      </c>
      <c r="L5491" s="1"/>
      <c r="N5491" s="1"/>
      <c r="V5491" t="str">
        <f t="shared" si="17"/>
        <v>44240</v>
      </c>
      <c r="W5491">
        <v>0</v>
      </c>
      <c r="X5491">
        <v>0</v>
      </c>
    </row>
    <row r="5492" spans="1:24" ht="15" customHeight="1" x14ac:dyDescent="0.25">
      <c r="A5492" t="str">
        <f>""</f>
        <v/>
      </c>
      <c r="B5492" s="1"/>
      <c r="H5492">
        <v>187.92</v>
      </c>
      <c r="L5492" s="1"/>
      <c r="N5492" s="1"/>
      <c r="V5492" t="str">
        <f t="shared" si="17"/>
        <v>44240</v>
      </c>
      <c r="W5492">
        <v>0</v>
      </c>
      <c r="X5492">
        <v>0</v>
      </c>
    </row>
    <row r="5493" spans="1:24" ht="15" customHeight="1" x14ac:dyDescent="0.25">
      <c r="A5493" t="str">
        <f>""</f>
        <v/>
      </c>
      <c r="B5493" s="1"/>
      <c r="H5493">
        <v>175.82</v>
      </c>
      <c r="J5493" t="s">
        <v>21</v>
      </c>
      <c r="L5493" s="1"/>
      <c r="V5493" t="str">
        <f>"77184"</f>
        <v>77184</v>
      </c>
      <c r="W5493">
        <v>0</v>
      </c>
      <c r="X5493">
        <v>0</v>
      </c>
    </row>
    <row r="5494" spans="1:24" ht="15" customHeight="1" x14ac:dyDescent="0.25">
      <c r="A5494" t="str">
        <f>""</f>
        <v/>
      </c>
      <c r="B5494" s="1"/>
      <c r="H5494">
        <v>859.89</v>
      </c>
      <c r="J5494" t="s">
        <v>19</v>
      </c>
      <c r="L5494" s="1"/>
      <c r="N5494" s="1"/>
      <c r="V5494" t="str">
        <f>"95150"</f>
        <v>95150</v>
      </c>
      <c r="W5494">
        <v>0</v>
      </c>
      <c r="X5494">
        <v>0</v>
      </c>
    </row>
    <row r="5495" spans="1:24" ht="15" customHeight="1" x14ac:dyDescent="0.25">
      <c r="A5495" t="str">
        <f>""</f>
        <v/>
      </c>
      <c r="B5495" s="1"/>
      <c r="J5495" t="s">
        <v>20</v>
      </c>
      <c r="L5495" s="1"/>
      <c r="N5495" s="1"/>
      <c r="V5495" t="str">
        <f>"75013"</f>
        <v>75013</v>
      </c>
      <c r="W5495">
        <v>0</v>
      </c>
      <c r="X5495">
        <v>0</v>
      </c>
    </row>
    <row r="5496" spans="1:24" x14ac:dyDescent="0.25">
      <c r="A5496" t="str">
        <f>""</f>
        <v/>
      </c>
      <c r="B5496" s="1"/>
      <c r="H5496">
        <v>180</v>
      </c>
      <c r="J5496" t="s">
        <v>18</v>
      </c>
      <c r="L5496" s="1"/>
      <c r="N5496" s="1"/>
      <c r="V5496" t="str">
        <f>"35500"</f>
        <v>35500</v>
      </c>
      <c r="W5496">
        <v>0</v>
      </c>
      <c r="X5496">
        <v>0</v>
      </c>
    </row>
    <row r="5497" spans="1:24" ht="15" customHeight="1" x14ac:dyDescent="0.25">
      <c r="A5497" t="str">
        <f>""</f>
        <v/>
      </c>
      <c r="B5497" s="1"/>
      <c r="H5497">
        <v>149.63</v>
      </c>
      <c r="J5497" t="s">
        <v>19</v>
      </c>
      <c r="L5497" s="1"/>
      <c r="N5497" s="1"/>
      <c r="V5497" t="str">
        <f>"67850"</f>
        <v>67850</v>
      </c>
      <c r="W5497">
        <v>43.39</v>
      </c>
      <c r="X5497">
        <v>0</v>
      </c>
    </row>
    <row r="5498" spans="1:24" ht="15" customHeight="1" x14ac:dyDescent="0.25">
      <c r="A5498" t="str">
        <f>""</f>
        <v/>
      </c>
      <c r="B5498" s="1"/>
      <c r="H5498">
        <v>84.5</v>
      </c>
      <c r="L5498" s="1"/>
      <c r="N5498" s="1"/>
      <c r="V5498" t="str">
        <f>"77184"</f>
        <v>77184</v>
      </c>
      <c r="W5498">
        <v>0</v>
      </c>
      <c r="X5498">
        <v>0</v>
      </c>
    </row>
    <row r="5499" spans="1:24" ht="15" customHeight="1" x14ac:dyDescent="0.25">
      <c r="A5499" t="str">
        <f>""</f>
        <v/>
      </c>
      <c r="B5499" s="1"/>
      <c r="H5499">
        <v>170</v>
      </c>
      <c r="L5499" s="1"/>
      <c r="N5499" s="1"/>
      <c r="V5499" t="str">
        <f>"77184"</f>
        <v>77184</v>
      </c>
      <c r="W5499">
        <v>0</v>
      </c>
      <c r="X5499">
        <v>0</v>
      </c>
    </row>
    <row r="5500" spans="1:24" ht="15" customHeight="1" x14ac:dyDescent="0.25">
      <c r="A5500" t="str">
        <f>""</f>
        <v/>
      </c>
      <c r="B5500" s="1"/>
      <c r="H5500">
        <v>171</v>
      </c>
      <c r="L5500" s="1"/>
      <c r="N5500" s="1"/>
      <c r="V5500" t="str">
        <f>"77184"</f>
        <v>77184</v>
      </c>
      <c r="W5500">
        <v>0</v>
      </c>
      <c r="X5500">
        <v>0</v>
      </c>
    </row>
    <row r="5501" spans="1:24" ht="15" customHeight="1" x14ac:dyDescent="0.25">
      <c r="A5501" t="str">
        <f>""</f>
        <v/>
      </c>
      <c r="B5501" s="1"/>
      <c r="H5501">
        <v>171</v>
      </c>
      <c r="L5501" s="1"/>
      <c r="N5501" s="1"/>
      <c r="V5501" t="str">
        <f>"77184"</f>
        <v>77184</v>
      </c>
      <c r="W5501">
        <v>0</v>
      </c>
      <c r="X5501">
        <v>0</v>
      </c>
    </row>
    <row r="5502" spans="1:24" ht="15" customHeight="1" x14ac:dyDescent="0.25">
      <c r="A5502" t="str">
        <f>""</f>
        <v/>
      </c>
      <c r="B5502" s="1"/>
      <c r="H5502">
        <v>171</v>
      </c>
      <c r="L5502" s="1"/>
      <c r="N5502" s="1"/>
      <c r="V5502" t="str">
        <f>"77184"</f>
        <v>77184</v>
      </c>
      <c r="W5502">
        <v>0</v>
      </c>
      <c r="X5502">
        <v>0</v>
      </c>
    </row>
    <row r="5503" spans="1:24" ht="15" customHeight="1" x14ac:dyDescent="0.25">
      <c r="A5503" t="str">
        <f>""</f>
        <v/>
      </c>
      <c r="B5503" s="1"/>
      <c r="H5503">
        <v>172.87</v>
      </c>
      <c r="J5503" t="s">
        <v>20</v>
      </c>
      <c r="L5503" s="1"/>
      <c r="N5503" s="1"/>
      <c r="V5503" t="str">
        <f>"20000"</f>
        <v>20000</v>
      </c>
      <c r="W5503">
        <v>50.13</v>
      </c>
      <c r="X5503">
        <v>0</v>
      </c>
    </row>
    <row r="5504" spans="1:24" ht="15" customHeight="1" x14ac:dyDescent="0.25">
      <c r="A5504" t="str">
        <f>""</f>
        <v/>
      </c>
      <c r="B5504" s="1"/>
      <c r="H5504">
        <v>84.5</v>
      </c>
      <c r="L5504" s="1"/>
      <c r="N5504" s="1"/>
      <c r="V5504" t="str">
        <f>"77184"</f>
        <v>77184</v>
      </c>
      <c r="W5504">
        <v>0</v>
      </c>
      <c r="X5504">
        <v>0</v>
      </c>
    </row>
    <row r="5505" spans="1:24" ht="15" customHeight="1" x14ac:dyDescent="0.25">
      <c r="A5505" t="str">
        <f>""</f>
        <v/>
      </c>
      <c r="B5505" s="1"/>
      <c r="H5505">
        <v>84.5</v>
      </c>
      <c r="L5505" s="1"/>
      <c r="N5505" s="1"/>
      <c r="V5505" t="str">
        <f>"77184"</f>
        <v>77184</v>
      </c>
      <c r="W5505">
        <v>0</v>
      </c>
      <c r="X5505">
        <v>0</v>
      </c>
    </row>
    <row r="5506" spans="1:24" ht="15" customHeight="1" x14ac:dyDescent="0.25">
      <c r="A5506" t="str">
        <f>""</f>
        <v/>
      </c>
      <c r="B5506" s="1"/>
      <c r="H5506">
        <v>84.5</v>
      </c>
      <c r="L5506" s="1"/>
      <c r="N5506" s="1"/>
      <c r="V5506" t="str">
        <f>"77184"</f>
        <v>77184</v>
      </c>
      <c r="W5506">
        <v>0</v>
      </c>
      <c r="X5506">
        <v>0</v>
      </c>
    </row>
    <row r="5507" spans="1:24" ht="15" customHeight="1" x14ac:dyDescent="0.25">
      <c r="A5507" t="str">
        <f>""</f>
        <v/>
      </c>
      <c r="B5507" s="1"/>
      <c r="H5507">
        <v>40</v>
      </c>
      <c r="J5507" t="s">
        <v>23</v>
      </c>
      <c r="L5507" s="1"/>
      <c r="N5507" s="1"/>
      <c r="V5507" t="str">
        <f>"76700"</f>
        <v>76700</v>
      </c>
      <c r="W5507">
        <v>0</v>
      </c>
      <c r="X5507">
        <v>6.8</v>
      </c>
    </row>
    <row r="5508" spans="1:24" ht="15" customHeight="1" x14ac:dyDescent="0.25">
      <c r="A5508" t="str">
        <f>""</f>
        <v/>
      </c>
      <c r="B5508" s="1"/>
      <c r="H5508">
        <v>40</v>
      </c>
      <c r="J5508" t="s">
        <v>23</v>
      </c>
      <c r="L5508" s="1"/>
      <c r="N5508" s="1"/>
      <c r="V5508" t="str">
        <f>"95003"</f>
        <v>95003</v>
      </c>
      <c r="W5508">
        <v>0</v>
      </c>
      <c r="X5508">
        <v>0</v>
      </c>
    </row>
    <row r="5509" spans="1:24" ht="15" customHeight="1" x14ac:dyDescent="0.25">
      <c r="A5509" t="str">
        <f>""</f>
        <v/>
      </c>
      <c r="B5509" s="1"/>
      <c r="H5509">
        <v>139</v>
      </c>
      <c r="L5509" s="1"/>
      <c r="N5509" s="1"/>
      <c r="V5509" t="str">
        <f>"77184"</f>
        <v>77184</v>
      </c>
      <c r="W5509">
        <v>0</v>
      </c>
      <c r="X5509">
        <v>0</v>
      </c>
    </row>
    <row r="5510" spans="1:24" ht="15" customHeight="1" x14ac:dyDescent="0.25">
      <c r="A5510" t="str">
        <f>""</f>
        <v/>
      </c>
      <c r="B5510" s="1"/>
      <c r="H5510">
        <v>157</v>
      </c>
      <c r="L5510" s="1"/>
      <c r="N5510" s="1"/>
      <c r="V5510" t="str">
        <f>"77184"</f>
        <v>77184</v>
      </c>
      <c r="W5510">
        <v>0</v>
      </c>
      <c r="X5510">
        <v>0</v>
      </c>
    </row>
    <row r="5511" spans="1:24" ht="15" customHeight="1" x14ac:dyDescent="0.25">
      <c r="A5511" t="str">
        <f>""</f>
        <v/>
      </c>
      <c r="B5511" s="1"/>
      <c r="H5511">
        <v>170</v>
      </c>
      <c r="J5511" t="s">
        <v>19</v>
      </c>
      <c r="L5511" s="1"/>
      <c r="N5511" s="1"/>
      <c r="V5511" t="str">
        <f>"06190"</f>
        <v>06190</v>
      </c>
      <c r="W5511">
        <v>51</v>
      </c>
      <c r="X5511">
        <v>0</v>
      </c>
    </row>
    <row r="5512" spans="1:24" ht="15" customHeight="1" x14ac:dyDescent="0.25">
      <c r="A5512" t="str">
        <f>""</f>
        <v/>
      </c>
      <c r="B5512" s="1"/>
      <c r="H5512">
        <v>149.79</v>
      </c>
      <c r="J5512" t="s">
        <v>20</v>
      </c>
      <c r="L5512" s="1"/>
      <c r="N5512" s="1"/>
      <c r="V5512" t="str">
        <f>"34500"</f>
        <v>34500</v>
      </c>
      <c r="W5512">
        <v>58.42</v>
      </c>
      <c r="X5512">
        <v>0</v>
      </c>
    </row>
    <row r="5513" spans="1:24" ht="15" customHeight="1" x14ac:dyDescent="0.25">
      <c r="A5513" t="str">
        <f>""</f>
        <v/>
      </c>
      <c r="B5513" s="1"/>
      <c r="H5513">
        <v>138.12</v>
      </c>
      <c r="J5513" t="s">
        <v>20</v>
      </c>
      <c r="L5513" s="1"/>
      <c r="N5513" s="1"/>
      <c r="V5513" t="str">
        <f>"44600"</f>
        <v>44600</v>
      </c>
      <c r="W5513">
        <v>37.29</v>
      </c>
      <c r="X5513">
        <v>0</v>
      </c>
    </row>
    <row r="5514" spans="1:24" ht="15" customHeight="1" x14ac:dyDescent="0.25">
      <c r="A5514" t="str">
        <f>""</f>
        <v/>
      </c>
      <c r="B5514" s="1"/>
      <c r="H5514">
        <v>97.28</v>
      </c>
      <c r="J5514" t="s">
        <v>20</v>
      </c>
      <c r="L5514" s="1"/>
      <c r="N5514" s="1"/>
      <c r="V5514" t="str">
        <f>"68550"</f>
        <v>68550</v>
      </c>
      <c r="W5514">
        <v>28.21</v>
      </c>
      <c r="X5514">
        <v>0</v>
      </c>
    </row>
    <row r="5515" spans="1:24" ht="15" customHeight="1" x14ac:dyDescent="0.25">
      <c r="A5515" t="str">
        <f>""</f>
        <v/>
      </c>
      <c r="B5515" s="1"/>
      <c r="H5515">
        <v>197.98</v>
      </c>
      <c r="J5515" t="s">
        <v>23</v>
      </c>
      <c r="L5515" s="1"/>
      <c r="N5515" s="1"/>
      <c r="V5515" t="str">
        <f>"68740"</f>
        <v>68740</v>
      </c>
      <c r="W5515">
        <v>0</v>
      </c>
      <c r="X5515">
        <v>15.84</v>
      </c>
    </row>
    <row r="5516" spans="1:24" ht="15" customHeight="1" x14ac:dyDescent="0.25">
      <c r="A5516" t="str">
        <f>""</f>
        <v/>
      </c>
      <c r="B5516" s="1"/>
      <c r="H5516">
        <v>86.34</v>
      </c>
      <c r="J5516" t="s">
        <v>20</v>
      </c>
      <c r="L5516" s="1"/>
      <c r="N5516" s="1"/>
      <c r="V5516" t="str">
        <f>"74500"</f>
        <v>74500</v>
      </c>
      <c r="W5516">
        <v>23.31</v>
      </c>
      <c r="X5516">
        <v>0</v>
      </c>
    </row>
    <row r="5517" spans="1:24" ht="15" customHeight="1" x14ac:dyDescent="0.25">
      <c r="A5517" t="str">
        <f>""</f>
        <v/>
      </c>
      <c r="B5517" s="1"/>
      <c r="H5517">
        <v>32.85</v>
      </c>
      <c r="J5517" t="s">
        <v>19</v>
      </c>
      <c r="L5517" s="1"/>
      <c r="N5517" s="1"/>
      <c r="V5517" t="str">
        <f>"13006"</f>
        <v>13006</v>
      </c>
      <c r="W5517">
        <v>9.5299999999999994</v>
      </c>
      <c r="X5517">
        <v>0</v>
      </c>
    </row>
    <row r="5518" spans="1:24" ht="15" customHeight="1" x14ac:dyDescent="0.25">
      <c r="A5518" t="str">
        <f>""</f>
        <v/>
      </c>
      <c r="B5518" s="1"/>
      <c r="H5518">
        <v>52.52</v>
      </c>
      <c r="J5518" t="s">
        <v>20</v>
      </c>
      <c r="L5518" s="1"/>
      <c r="N5518" s="1"/>
      <c r="V5518" t="str">
        <f>"31100"</f>
        <v>31100</v>
      </c>
      <c r="W5518">
        <v>11.55</v>
      </c>
      <c r="X5518">
        <v>0</v>
      </c>
    </row>
    <row r="5519" spans="1:24" ht="15" customHeight="1" x14ac:dyDescent="0.25">
      <c r="A5519" t="str">
        <f>""</f>
        <v/>
      </c>
      <c r="B5519" s="1"/>
      <c r="H5519">
        <v>28.62</v>
      </c>
      <c r="J5519" t="s">
        <v>20</v>
      </c>
      <c r="L5519" s="1"/>
      <c r="N5519" s="1"/>
      <c r="V5519" t="str">
        <f>"83400"</f>
        <v>83400</v>
      </c>
      <c r="W5519">
        <v>8.59</v>
      </c>
      <c r="X5519">
        <v>0</v>
      </c>
    </row>
    <row r="5520" spans="1:24" ht="15" customHeight="1" x14ac:dyDescent="0.25">
      <c r="A5520" t="str">
        <f>""</f>
        <v/>
      </c>
      <c r="B5520" s="1"/>
      <c r="H5520">
        <v>138.12</v>
      </c>
      <c r="J5520" t="s">
        <v>20</v>
      </c>
      <c r="L5520" s="1"/>
      <c r="N5520" s="1"/>
      <c r="V5520" t="str">
        <f>"33220"</f>
        <v>33220</v>
      </c>
      <c r="W5520">
        <v>29.01</v>
      </c>
      <c r="X5520">
        <v>0</v>
      </c>
    </row>
    <row r="5521" spans="1:24" ht="15" customHeight="1" x14ac:dyDescent="0.25">
      <c r="A5521" t="str">
        <f>""</f>
        <v/>
      </c>
      <c r="B5521" s="1"/>
      <c r="H5521">
        <v>69.400000000000006</v>
      </c>
      <c r="J5521" t="s">
        <v>19</v>
      </c>
      <c r="L5521" s="1"/>
      <c r="N5521" s="1"/>
      <c r="V5521" t="str">
        <f>"06560"</f>
        <v>06560</v>
      </c>
      <c r="W5521">
        <v>20.82</v>
      </c>
      <c r="X5521">
        <v>0</v>
      </c>
    </row>
    <row r="5522" spans="1:24" ht="15" customHeight="1" x14ac:dyDescent="0.25">
      <c r="A5522" t="str">
        <f>""</f>
        <v/>
      </c>
      <c r="B5522" s="1"/>
      <c r="H5522">
        <v>28.02</v>
      </c>
      <c r="J5522" t="s">
        <v>20</v>
      </c>
      <c r="L5522" s="1"/>
      <c r="N5522" s="1"/>
      <c r="V5522" t="str">
        <f>"74100"</f>
        <v>74100</v>
      </c>
      <c r="W5522">
        <v>7.57</v>
      </c>
      <c r="X5522">
        <v>0</v>
      </c>
    </row>
    <row r="5523" spans="1:24" ht="15" customHeight="1" x14ac:dyDescent="0.25">
      <c r="A5523" t="str">
        <f>""</f>
        <v/>
      </c>
      <c r="B5523" s="1"/>
      <c r="H5523">
        <v>138.12</v>
      </c>
      <c r="J5523" t="s">
        <v>20</v>
      </c>
      <c r="L5523" s="1"/>
      <c r="N5523" s="1"/>
      <c r="V5523" t="str">
        <f>"45140"</f>
        <v>45140</v>
      </c>
      <c r="W5523">
        <v>29.01</v>
      </c>
      <c r="X5523">
        <v>0</v>
      </c>
    </row>
    <row r="5524" spans="1:24" ht="15" customHeight="1" x14ac:dyDescent="0.25">
      <c r="A5524" t="str">
        <f>""</f>
        <v/>
      </c>
      <c r="B5524" s="1"/>
      <c r="H5524">
        <v>137.59</v>
      </c>
      <c r="J5524" t="s">
        <v>20</v>
      </c>
      <c r="L5524" s="1"/>
      <c r="N5524" s="1"/>
      <c r="V5524" t="str">
        <f>"75014"</f>
        <v>75014</v>
      </c>
      <c r="W5524">
        <v>0</v>
      </c>
      <c r="X5524">
        <v>0</v>
      </c>
    </row>
    <row r="5525" spans="1:24" ht="15" customHeight="1" x14ac:dyDescent="0.25">
      <c r="A5525" t="str">
        <f>""</f>
        <v/>
      </c>
      <c r="B5525" s="1"/>
      <c r="H5525">
        <v>107.6</v>
      </c>
      <c r="J5525" t="s">
        <v>19</v>
      </c>
      <c r="L5525" s="1"/>
      <c r="N5525" s="1"/>
      <c r="V5525" t="str">
        <f>"75014"</f>
        <v>75014</v>
      </c>
      <c r="W5525">
        <v>0</v>
      </c>
      <c r="X5525">
        <v>0</v>
      </c>
    </row>
    <row r="5526" spans="1:24" ht="15" customHeight="1" x14ac:dyDescent="0.25">
      <c r="A5526" t="str">
        <f>""</f>
        <v/>
      </c>
      <c r="B5526" s="1"/>
      <c r="H5526">
        <v>55.34</v>
      </c>
      <c r="J5526" t="s">
        <v>20</v>
      </c>
      <c r="L5526" s="1"/>
      <c r="N5526" s="1"/>
      <c r="V5526" t="str">
        <f>"60410"</f>
        <v>60410</v>
      </c>
      <c r="W5526">
        <v>10.51</v>
      </c>
      <c r="X5526">
        <v>0</v>
      </c>
    </row>
    <row r="5527" spans="1:24" ht="15" customHeight="1" x14ac:dyDescent="0.25">
      <c r="A5527" t="str">
        <f>""</f>
        <v/>
      </c>
      <c r="B5527" s="1"/>
      <c r="H5527">
        <v>155</v>
      </c>
      <c r="L5527" s="1"/>
      <c r="N5527" s="1"/>
      <c r="V5527" t="str">
        <f>"44240"</f>
        <v>44240</v>
      </c>
      <c r="W5527">
        <v>0</v>
      </c>
      <c r="X5527">
        <v>0</v>
      </c>
    </row>
    <row r="5528" spans="1:24" ht="15" customHeight="1" x14ac:dyDescent="0.25">
      <c r="A5528" t="str">
        <f>""</f>
        <v/>
      </c>
      <c r="B5528" s="1"/>
      <c r="H5528">
        <v>156.19999999999999</v>
      </c>
      <c r="L5528" s="1"/>
      <c r="N5528" s="1"/>
      <c r="V5528" t="str">
        <f>"77184"</f>
        <v>77184</v>
      </c>
      <c r="W5528">
        <v>0</v>
      </c>
      <c r="X5528">
        <v>0</v>
      </c>
    </row>
    <row r="5529" spans="1:24" ht="15" customHeight="1" x14ac:dyDescent="0.25">
      <c r="A5529" t="str">
        <f>""</f>
        <v/>
      </c>
      <c r="B5529" s="1"/>
      <c r="H5529">
        <v>25.6</v>
      </c>
      <c r="L5529" s="1"/>
      <c r="N5529" s="1"/>
      <c r="V5529" t="str">
        <f>"77184"</f>
        <v>77184</v>
      </c>
      <c r="W5529">
        <v>0</v>
      </c>
      <c r="X5529">
        <v>0</v>
      </c>
    </row>
    <row r="5530" spans="1:24" ht="15" customHeight="1" x14ac:dyDescent="0.25">
      <c r="A5530" t="str">
        <f>""</f>
        <v/>
      </c>
      <c r="B5530" s="1"/>
      <c r="H5530">
        <v>35</v>
      </c>
      <c r="J5530" t="s">
        <v>23</v>
      </c>
      <c r="L5530" s="1"/>
      <c r="N5530" s="1"/>
      <c r="V5530" t="str">
        <f>"27200"</f>
        <v>27200</v>
      </c>
      <c r="W5530">
        <v>0</v>
      </c>
      <c r="X5530">
        <v>5.95</v>
      </c>
    </row>
    <row r="5531" spans="1:24" ht="15" customHeight="1" x14ac:dyDescent="0.25">
      <c r="A5531" t="str">
        <f>""</f>
        <v/>
      </c>
      <c r="B5531" s="1"/>
      <c r="H5531">
        <v>19.649999999999999</v>
      </c>
      <c r="J5531" t="s">
        <v>19</v>
      </c>
      <c r="L5531" s="1"/>
      <c r="N5531" s="1"/>
      <c r="V5531" t="str">
        <f>"75014"</f>
        <v>75014</v>
      </c>
      <c r="W5531">
        <v>0</v>
      </c>
      <c r="X5531">
        <v>0</v>
      </c>
    </row>
    <row r="5532" spans="1:24" ht="15" customHeight="1" x14ac:dyDescent="0.25">
      <c r="A5532" t="str">
        <f>""</f>
        <v/>
      </c>
      <c r="B5532" s="1"/>
      <c r="H5532">
        <v>19.649999999999999</v>
      </c>
      <c r="J5532" t="s">
        <v>19</v>
      </c>
      <c r="L5532" s="1"/>
      <c r="N5532" s="1"/>
      <c r="V5532" t="str">
        <f>"75014"</f>
        <v>75014</v>
      </c>
      <c r="W5532">
        <v>0</v>
      </c>
      <c r="X5532">
        <v>0</v>
      </c>
    </row>
    <row r="5533" spans="1:24" ht="15" customHeight="1" x14ac:dyDescent="0.25">
      <c r="A5533" t="str">
        <f>""</f>
        <v/>
      </c>
      <c r="B5533" s="1"/>
      <c r="H5533">
        <v>97.28</v>
      </c>
      <c r="J5533" t="s">
        <v>20</v>
      </c>
      <c r="L5533" s="1"/>
      <c r="N5533" s="1"/>
      <c r="V5533" t="str">
        <f>"68000"</f>
        <v>68000</v>
      </c>
      <c r="W5533">
        <v>28.21</v>
      </c>
      <c r="X5533">
        <v>0</v>
      </c>
    </row>
    <row r="5534" spans="1:24" ht="15" customHeight="1" x14ac:dyDescent="0.25">
      <c r="A5534" t="str">
        <f>""</f>
        <v/>
      </c>
      <c r="B5534" s="1"/>
      <c r="H5534">
        <v>75.38</v>
      </c>
      <c r="J5534" t="s">
        <v>20</v>
      </c>
      <c r="L5534" s="1"/>
      <c r="N5534" s="1"/>
      <c r="V5534" t="str">
        <f>"94400"</f>
        <v>94400</v>
      </c>
      <c r="W5534">
        <v>0</v>
      </c>
      <c r="X5534">
        <v>0</v>
      </c>
    </row>
    <row r="5535" spans="1:24" ht="15" customHeight="1" x14ac:dyDescent="0.25">
      <c r="A5535" t="str">
        <f>""</f>
        <v/>
      </c>
      <c r="B5535" s="1"/>
      <c r="H5535">
        <v>126.65</v>
      </c>
      <c r="J5535" t="s">
        <v>20</v>
      </c>
      <c r="L5535" s="1"/>
      <c r="N5535" s="1"/>
      <c r="V5535" t="str">
        <f>"67280"</f>
        <v>67280</v>
      </c>
      <c r="W5535">
        <v>36.729999999999997</v>
      </c>
      <c r="X5535">
        <v>0</v>
      </c>
    </row>
    <row r="5536" spans="1:24" ht="15" customHeight="1" x14ac:dyDescent="0.25">
      <c r="A5536" t="str">
        <f>""</f>
        <v/>
      </c>
      <c r="B5536" s="1"/>
      <c r="H5536">
        <v>151</v>
      </c>
      <c r="J5536" t="s">
        <v>23</v>
      </c>
      <c r="L5536" s="1"/>
      <c r="N5536" s="1"/>
      <c r="V5536" t="str">
        <f>"75010"</f>
        <v>75010</v>
      </c>
      <c r="W5536">
        <v>0</v>
      </c>
      <c r="X5536">
        <v>0</v>
      </c>
    </row>
    <row r="5537" spans="1:24" ht="15" customHeight="1" x14ac:dyDescent="0.25">
      <c r="A5537" t="str">
        <f>""</f>
        <v/>
      </c>
      <c r="B5537" s="1"/>
      <c r="H5537">
        <v>126.48</v>
      </c>
      <c r="L5537" s="1"/>
      <c r="N5537" s="1"/>
      <c r="V5537" t="str">
        <f>"77184"</f>
        <v>77184</v>
      </c>
      <c r="W5537">
        <v>0</v>
      </c>
      <c r="X5537">
        <v>0</v>
      </c>
    </row>
    <row r="5538" spans="1:24" ht="15" customHeight="1" x14ac:dyDescent="0.25">
      <c r="A5538" t="str">
        <f>""</f>
        <v/>
      </c>
      <c r="B5538" s="1"/>
      <c r="H5538">
        <v>140</v>
      </c>
      <c r="J5538" t="s">
        <v>22</v>
      </c>
      <c r="L5538" s="1"/>
      <c r="N5538" s="1"/>
      <c r="V5538" t="str">
        <f>"94550"</f>
        <v>94550</v>
      </c>
      <c r="W5538">
        <v>0</v>
      </c>
      <c r="X5538">
        <v>0</v>
      </c>
    </row>
    <row r="5539" spans="1:24" ht="15" customHeight="1" x14ac:dyDescent="0.25">
      <c r="A5539" t="str">
        <f>""</f>
        <v/>
      </c>
      <c r="B5539" s="1"/>
      <c r="H5539">
        <v>180</v>
      </c>
      <c r="J5539" t="s">
        <v>22</v>
      </c>
      <c r="L5539" s="1"/>
      <c r="N5539" s="1"/>
      <c r="V5539" t="str">
        <f>"67600"</f>
        <v>67600</v>
      </c>
      <c r="W5539">
        <v>0</v>
      </c>
      <c r="X5539">
        <v>14.4</v>
      </c>
    </row>
    <row r="5540" spans="1:24" ht="15" customHeight="1" x14ac:dyDescent="0.25">
      <c r="A5540" t="str">
        <f>""</f>
        <v/>
      </c>
      <c r="B5540" s="1"/>
      <c r="H5540">
        <v>33.35</v>
      </c>
      <c r="J5540" t="s">
        <v>19</v>
      </c>
      <c r="L5540" s="1"/>
      <c r="N5540" s="1"/>
      <c r="V5540" t="str">
        <f>"75008"</f>
        <v>75008</v>
      </c>
      <c r="W5540">
        <v>0</v>
      </c>
      <c r="X5540">
        <v>0</v>
      </c>
    </row>
    <row r="5541" spans="1:24" ht="15" customHeight="1" x14ac:dyDescent="0.25">
      <c r="A5541" t="str">
        <f>""</f>
        <v/>
      </c>
      <c r="B5541" s="1"/>
      <c r="H5541">
        <v>130.24</v>
      </c>
      <c r="J5541" t="s">
        <v>20</v>
      </c>
      <c r="L5541" s="1"/>
      <c r="N5541" s="1"/>
      <c r="V5541" t="str">
        <f>"75010"</f>
        <v>75010</v>
      </c>
      <c r="W5541">
        <v>0</v>
      </c>
      <c r="X5541">
        <v>0</v>
      </c>
    </row>
    <row r="5542" spans="1:24" ht="15" customHeight="1" x14ac:dyDescent="0.25">
      <c r="A5542" t="str">
        <f>""</f>
        <v/>
      </c>
      <c r="B5542" s="1"/>
      <c r="H5542">
        <v>23.12</v>
      </c>
      <c r="J5542" t="s">
        <v>19</v>
      </c>
      <c r="L5542" s="1"/>
      <c r="N5542" s="1"/>
      <c r="V5542" t="str">
        <f>"37400"</f>
        <v>37400</v>
      </c>
      <c r="W5542">
        <v>4.8600000000000003</v>
      </c>
      <c r="X5542">
        <v>0</v>
      </c>
    </row>
    <row r="5543" spans="1:24" ht="15" customHeight="1" x14ac:dyDescent="0.25">
      <c r="A5543" t="str">
        <f>""</f>
        <v/>
      </c>
      <c r="B5543" s="1"/>
      <c r="H5543">
        <v>22.62</v>
      </c>
      <c r="J5543" t="s">
        <v>19</v>
      </c>
      <c r="L5543" s="1"/>
      <c r="N5543" s="1"/>
      <c r="V5543" t="str">
        <f>"52800"</f>
        <v>52800</v>
      </c>
      <c r="W5543">
        <v>5.43</v>
      </c>
      <c r="X5543">
        <v>0</v>
      </c>
    </row>
    <row r="5544" spans="1:24" ht="15" customHeight="1" x14ac:dyDescent="0.25">
      <c r="A5544" t="str">
        <f>""</f>
        <v/>
      </c>
      <c r="B5544" s="1"/>
      <c r="H5544">
        <v>103.06</v>
      </c>
      <c r="J5544" t="s">
        <v>19</v>
      </c>
      <c r="L5544" s="1"/>
      <c r="N5544" s="1"/>
      <c r="V5544" t="str">
        <f>"25510"</f>
        <v>25510</v>
      </c>
      <c r="W5544">
        <v>24.73</v>
      </c>
      <c r="X5544">
        <v>0</v>
      </c>
    </row>
    <row r="5545" spans="1:24" ht="15" customHeight="1" x14ac:dyDescent="0.25">
      <c r="A5545" t="str">
        <f>""</f>
        <v/>
      </c>
      <c r="B5545" s="1"/>
      <c r="H5545">
        <v>137.22999999999999</v>
      </c>
      <c r="J5545" t="s">
        <v>19</v>
      </c>
      <c r="L5545" s="1"/>
      <c r="N5545" s="1"/>
      <c r="V5545" t="str">
        <f>"88000"</f>
        <v>88000</v>
      </c>
      <c r="W5545">
        <v>39.799999999999997</v>
      </c>
      <c r="X5545">
        <v>0</v>
      </c>
    </row>
    <row r="5546" spans="1:24" ht="15" customHeight="1" x14ac:dyDescent="0.25">
      <c r="A5546" t="str">
        <f>""</f>
        <v/>
      </c>
      <c r="B5546" s="1"/>
      <c r="H5546">
        <v>75.14</v>
      </c>
      <c r="J5546" t="s">
        <v>20</v>
      </c>
      <c r="L5546" s="1"/>
      <c r="N5546" s="1"/>
      <c r="V5546" t="str">
        <f>"34560"</f>
        <v>34560</v>
      </c>
      <c r="W5546">
        <v>29.3</v>
      </c>
      <c r="X5546">
        <v>0</v>
      </c>
    </row>
    <row r="5547" spans="1:24" ht="15" customHeight="1" x14ac:dyDescent="0.25">
      <c r="A5547" t="str">
        <f>""</f>
        <v/>
      </c>
      <c r="B5547" s="1"/>
      <c r="H5547">
        <v>19.8</v>
      </c>
      <c r="J5547" t="s">
        <v>19</v>
      </c>
      <c r="L5547" s="1"/>
      <c r="N5547" s="1"/>
      <c r="V5547" t="str">
        <f>"54000"</f>
        <v>54000</v>
      </c>
      <c r="W5547">
        <v>4.95</v>
      </c>
      <c r="X5547">
        <v>0</v>
      </c>
    </row>
    <row r="5548" spans="1:24" ht="15" customHeight="1" x14ac:dyDescent="0.25">
      <c r="A5548" t="str">
        <f>""</f>
        <v/>
      </c>
      <c r="B5548" s="1"/>
      <c r="H5548">
        <v>140</v>
      </c>
      <c r="J5548" t="s">
        <v>22</v>
      </c>
      <c r="L5548" s="1"/>
      <c r="N5548" s="1"/>
      <c r="V5548" t="str">
        <f>"67230"</f>
        <v>67230</v>
      </c>
      <c r="W5548">
        <v>0</v>
      </c>
      <c r="X5548">
        <v>11.2</v>
      </c>
    </row>
    <row r="5549" spans="1:24" ht="15" customHeight="1" x14ac:dyDescent="0.25">
      <c r="A5549" t="str">
        <f>""</f>
        <v/>
      </c>
      <c r="B5549" s="1"/>
      <c r="H5549">
        <v>116.85</v>
      </c>
      <c r="J5549" t="s">
        <v>20</v>
      </c>
      <c r="L5549" s="1"/>
      <c r="N5549" s="1"/>
      <c r="V5549" t="str">
        <f>"85130"</f>
        <v>85130</v>
      </c>
      <c r="W5549">
        <v>31.55</v>
      </c>
      <c r="X5549">
        <v>0</v>
      </c>
    </row>
    <row r="5550" spans="1:24" ht="15" customHeight="1" x14ac:dyDescent="0.25">
      <c r="A5550" t="str">
        <f>""</f>
        <v/>
      </c>
      <c r="B5550" s="1"/>
      <c r="H5550">
        <v>137.01</v>
      </c>
      <c r="J5550" t="s">
        <v>20</v>
      </c>
      <c r="L5550" s="1"/>
      <c r="N5550" s="1"/>
      <c r="V5550" t="str">
        <f>"57410"</f>
        <v>57410</v>
      </c>
      <c r="W5550">
        <v>39.729999999999997</v>
      </c>
      <c r="X5550">
        <v>0</v>
      </c>
    </row>
    <row r="5551" spans="1:24" ht="15" customHeight="1" x14ac:dyDescent="0.25">
      <c r="A5551" t="str">
        <f>""</f>
        <v/>
      </c>
      <c r="B5551" s="1"/>
      <c r="H5551">
        <v>404</v>
      </c>
      <c r="L5551" s="1"/>
      <c r="N5551" s="1"/>
      <c r="V5551" t="str">
        <f>"77184"</f>
        <v>77184</v>
      </c>
      <c r="W5551">
        <v>0</v>
      </c>
      <c r="X5551">
        <v>0</v>
      </c>
    </row>
    <row r="5552" spans="1:24" ht="15" customHeight="1" x14ac:dyDescent="0.25">
      <c r="A5552" t="str">
        <f>""</f>
        <v/>
      </c>
      <c r="B5552" s="1"/>
      <c r="H5552">
        <v>150</v>
      </c>
      <c r="L5552" s="1"/>
      <c r="N5552" s="1"/>
      <c r="V5552" t="str">
        <f>"77184"</f>
        <v>77184</v>
      </c>
      <c r="W5552">
        <v>0</v>
      </c>
      <c r="X5552">
        <v>0</v>
      </c>
    </row>
    <row r="5553" spans="1:24" ht="15" customHeight="1" x14ac:dyDescent="0.25">
      <c r="A5553" t="str">
        <f>""</f>
        <v/>
      </c>
      <c r="B5553" s="1"/>
      <c r="H5553">
        <v>137</v>
      </c>
      <c r="L5553" s="1"/>
      <c r="N5553" s="1"/>
      <c r="V5553" t="str">
        <f>"77184"</f>
        <v>77184</v>
      </c>
      <c r="W5553">
        <v>0</v>
      </c>
      <c r="X5553">
        <v>0</v>
      </c>
    </row>
    <row r="5554" spans="1:24" ht="15" customHeight="1" x14ac:dyDescent="0.25">
      <c r="A5554" t="str">
        <f>""</f>
        <v/>
      </c>
      <c r="B5554" s="1"/>
      <c r="H5554">
        <v>120.29</v>
      </c>
      <c r="J5554" t="s">
        <v>20</v>
      </c>
      <c r="L5554" s="1"/>
      <c r="N5554" s="1"/>
      <c r="V5554" t="str">
        <f>"777170"</f>
        <v>777170</v>
      </c>
      <c r="W5554">
        <v>0</v>
      </c>
      <c r="X5554">
        <v>0</v>
      </c>
    </row>
    <row r="5555" spans="1:24" ht="15" customHeight="1" x14ac:dyDescent="0.25">
      <c r="A5555" t="str">
        <f>""</f>
        <v/>
      </c>
      <c r="B5555" s="1"/>
      <c r="H5555">
        <v>126.65</v>
      </c>
      <c r="J5555" t="s">
        <v>19</v>
      </c>
      <c r="L5555" s="1"/>
      <c r="N5555" s="1"/>
      <c r="V5555" t="str">
        <f>"67230"</f>
        <v>67230</v>
      </c>
      <c r="W5555">
        <v>36.729999999999997</v>
      </c>
      <c r="X5555">
        <v>0</v>
      </c>
    </row>
    <row r="5556" spans="1:24" ht="15" customHeight="1" x14ac:dyDescent="0.25">
      <c r="A5556" t="str">
        <f>""</f>
        <v/>
      </c>
      <c r="B5556" s="1"/>
      <c r="H5556">
        <v>130</v>
      </c>
      <c r="J5556" t="s">
        <v>20</v>
      </c>
      <c r="L5556" s="1"/>
      <c r="N5556" s="1"/>
      <c r="V5556" t="str">
        <f>"73800"</f>
        <v>73800</v>
      </c>
      <c r="W5556">
        <v>35.1</v>
      </c>
      <c r="X5556">
        <v>0</v>
      </c>
    </row>
    <row r="5557" spans="1:24" ht="15" customHeight="1" x14ac:dyDescent="0.25">
      <c r="A5557" t="str">
        <f>""</f>
        <v/>
      </c>
      <c r="B5557" s="1"/>
      <c r="H5557">
        <v>128.94</v>
      </c>
      <c r="L5557" s="1"/>
      <c r="N5557" s="1"/>
      <c r="V5557" t="str">
        <f>"77184"</f>
        <v>77184</v>
      </c>
      <c r="W5557">
        <v>0</v>
      </c>
      <c r="X5557">
        <v>0</v>
      </c>
    </row>
    <row r="5558" spans="1:24" ht="15" customHeight="1" x14ac:dyDescent="0.25">
      <c r="A5558" t="str">
        <f>""</f>
        <v/>
      </c>
      <c r="B5558" s="1"/>
      <c r="H5558">
        <v>26.6</v>
      </c>
      <c r="L5558" s="1"/>
      <c r="N5558" s="1"/>
      <c r="V5558" t="str">
        <f>"77184"</f>
        <v>77184</v>
      </c>
      <c r="W5558">
        <v>0</v>
      </c>
      <c r="X5558">
        <v>0</v>
      </c>
    </row>
    <row r="5559" spans="1:24" ht="15" customHeight="1" x14ac:dyDescent="0.25">
      <c r="A5559" t="str">
        <f>""</f>
        <v/>
      </c>
      <c r="B5559" s="1"/>
      <c r="H5559">
        <v>35.03</v>
      </c>
      <c r="L5559" s="1"/>
      <c r="N5559" s="1"/>
      <c r="V5559" t="str">
        <f>"77184"</f>
        <v>77184</v>
      </c>
      <c r="W5559">
        <v>0</v>
      </c>
      <c r="X5559">
        <v>0</v>
      </c>
    </row>
    <row r="5560" spans="1:24" ht="15" customHeight="1" x14ac:dyDescent="0.25">
      <c r="A5560" t="str">
        <f>""</f>
        <v/>
      </c>
      <c r="B5560" s="1"/>
      <c r="H5560">
        <v>31.6</v>
      </c>
      <c r="L5560" s="1"/>
      <c r="N5560" s="1"/>
      <c r="V5560" t="str">
        <f>"77184"</f>
        <v>77184</v>
      </c>
      <c r="W5560">
        <v>0</v>
      </c>
      <c r="X5560">
        <v>0</v>
      </c>
    </row>
    <row r="5561" spans="1:24" ht="15" customHeight="1" x14ac:dyDescent="0.25">
      <c r="A5561" t="str">
        <f>""</f>
        <v/>
      </c>
      <c r="B5561" s="1"/>
      <c r="H5561">
        <v>250</v>
      </c>
      <c r="J5561" t="s">
        <v>23</v>
      </c>
      <c r="L5561" s="1"/>
      <c r="N5561" s="1"/>
      <c r="V5561" t="str">
        <f>"94200"</f>
        <v>94200</v>
      </c>
      <c r="W5561">
        <v>0</v>
      </c>
      <c r="X5561">
        <v>0</v>
      </c>
    </row>
    <row r="5562" spans="1:24" ht="15" customHeight="1" x14ac:dyDescent="0.25">
      <c r="A5562" t="str">
        <f>""</f>
        <v/>
      </c>
      <c r="B5562" s="1"/>
      <c r="H5562">
        <v>171.88</v>
      </c>
      <c r="J5562" t="s">
        <v>20</v>
      </c>
      <c r="L5562" s="1"/>
      <c r="N5562" s="1"/>
      <c r="V5562" t="str">
        <f>"74140"</f>
        <v>74140</v>
      </c>
      <c r="W5562">
        <v>46.41</v>
      </c>
      <c r="X5562">
        <v>0</v>
      </c>
    </row>
    <row r="5563" spans="1:24" ht="15" customHeight="1" x14ac:dyDescent="0.25">
      <c r="A5563" t="str">
        <f>""</f>
        <v/>
      </c>
      <c r="B5563" s="1"/>
      <c r="H5563">
        <v>125.78</v>
      </c>
      <c r="J5563" t="s">
        <v>20</v>
      </c>
      <c r="L5563" s="1"/>
      <c r="N5563" s="1"/>
      <c r="V5563" t="str">
        <f>"03210"</f>
        <v>03210</v>
      </c>
      <c r="W5563">
        <v>36.479999999999997</v>
      </c>
      <c r="X5563">
        <v>0</v>
      </c>
    </row>
    <row r="5564" spans="1:24" ht="15" customHeight="1" x14ac:dyDescent="0.25">
      <c r="A5564" t="str">
        <f>""</f>
        <v/>
      </c>
      <c r="B5564" s="1"/>
      <c r="J5564" t="s">
        <v>20</v>
      </c>
      <c r="L5564" s="1"/>
      <c r="N5564" s="1"/>
      <c r="V5564" t="str">
        <f>"30320"</f>
        <v>30320</v>
      </c>
      <c r="W5564">
        <v>0</v>
      </c>
      <c r="X5564">
        <v>0</v>
      </c>
    </row>
    <row r="5565" spans="1:24" ht="15" customHeight="1" x14ac:dyDescent="0.25">
      <c r="A5565" t="str">
        <f>""</f>
        <v/>
      </c>
      <c r="B5565" s="1"/>
      <c r="H5565">
        <v>172.93</v>
      </c>
      <c r="J5565" t="s">
        <v>23</v>
      </c>
      <c r="L5565" s="1"/>
      <c r="N5565" s="1"/>
      <c r="V5565" t="str">
        <f>"34500"</f>
        <v>34500</v>
      </c>
      <c r="W5565">
        <v>0</v>
      </c>
      <c r="X5565">
        <v>48.42</v>
      </c>
    </row>
    <row r="5566" spans="1:24" ht="15" customHeight="1" x14ac:dyDescent="0.25">
      <c r="A5566" t="str">
        <f>""</f>
        <v/>
      </c>
      <c r="B5566" s="1"/>
      <c r="H5566">
        <v>180</v>
      </c>
      <c r="J5566" t="s">
        <v>23</v>
      </c>
      <c r="L5566" s="1"/>
      <c r="N5566" s="1"/>
      <c r="V5566" t="str">
        <f>"34500"</f>
        <v>34500</v>
      </c>
      <c r="W5566">
        <v>0</v>
      </c>
      <c r="X5566">
        <v>50.4</v>
      </c>
    </row>
    <row r="5567" spans="1:24" ht="15" customHeight="1" x14ac:dyDescent="0.25">
      <c r="A5567" t="str">
        <f>""</f>
        <v/>
      </c>
      <c r="B5567" s="1"/>
      <c r="H5567">
        <v>289</v>
      </c>
      <c r="J5567" t="s">
        <v>23</v>
      </c>
      <c r="L5567" s="1"/>
      <c r="N5567" s="1"/>
      <c r="V5567" t="str">
        <f>"34500"</f>
        <v>34500</v>
      </c>
      <c r="W5567">
        <v>0</v>
      </c>
      <c r="X5567">
        <v>80.92</v>
      </c>
    </row>
    <row r="5568" spans="1:24" x14ac:dyDescent="0.25">
      <c r="A5568" t="str">
        <f>""</f>
        <v/>
      </c>
      <c r="B5568" s="1"/>
      <c r="H5568">
        <v>194.98</v>
      </c>
      <c r="J5568" t="s">
        <v>16</v>
      </c>
      <c r="L5568" s="1"/>
      <c r="N5568" s="1"/>
      <c r="V5568" t="str">
        <f>"94743"</f>
        <v>94743</v>
      </c>
      <c r="W5568">
        <v>0</v>
      </c>
      <c r="X5568">
        <v>0</v>
      </c>
    </row>
    <row r="5569" spans="1:24" ht="15" customHeight="1" x14ac:dyDescent="0.25">
      <c r="A5569" t="str">
        <f>""</f>
        <v/>
      </c>
      <c r="B5569" s="1"/>
      <c r="H5569">
        <v>123.63</v>
      </c>
      <c r="J5569" t="s">
        <v>20</v>
      </c>
      <c r="L5569" s="1"/>
      <c r="N5569" s="1"/>
      <c r="V5569" t="str">
        <f>"30000"</f>
        <v>30000</v>
      </c>
      <c r="W5569">
        <v>48.22</v>
      </c>
      <c r="X5569">
        <v>0</v>
      </c>
    </row>
    <row r="5570" spans="1:24" ht="15" customHeight="1" x14ac:dyDescent="0.25">
      <c r="A5570" t="str">
        <f>""</f>
        <v/>
      </c>
      <c r="B5570" s="1"/>
      <c r="H5570">
        <v>131.72</v>
      </c>
      <c r="J5570" t="s">
        <v>20</v>
      </c>
      <c r="L5570" s="1"/>
      <c r="N5570" s="1"/>
      <c r="V5570" t="str">
        <f>"34000"</f>
        <v>34000</v>
      </c>
      <c r="W5570">
        <v>51.37</v>
      </c>
      <c r="X5570">
        <v>0</v>
      </c>
    </row>
    <row r="5571" spans="1:24" ht="15" customHeight="1" x14ac:dyDescent="0.25">
      <c r="A5571" t="str">
        <f>""</f>
        <v/>
      </c>
      <c r="B5571" s="1"/>
      <c r="H5571">
        <v>188.92</v>
      </c>
      <c r="J5571" t="s">
        <v>23</v>
      </c>
      <c r="L5571" s="1"/>
      <c r="N5571" s="1"/>
      <c r="V5571" t="str">
        <f>"76410"</f>
        <v>76410</v>
      </c>
      <c r="W5571">
        <v>0</v>
      </c>
      <c r="X5571">
        <v>32.119999999999997</v>
      </c>
    </row>
    <row r="5572" spans="1:24" ht="15" customHeight="1" x14ac:dyDescent="0.25">
      <c r="A5572" t="str">
        <f>""</f>
        <v/>
      </c>
      <c r="B5572" s="1"/>
      <c r="H5572">
        <v>55.14</v>
      </c>
      <c r="J5572" t="s">
        <v>19</v>
      </c>
      <c r="L5572" s="1"/>
      <c r="N5572" s="1"/>
      <c r="V5572" t="str">
        <f>"14500"</f>
        <v>14500</v>
      </c>
      <c r="W5572">
        <v>9.3699999999999992</v>
      </c>
      <c r="X5572">
        <v>0</v>
      </c>
    </row>
    <row r="5573" spans="1:24" ht="15" customHeight="1" x14ac:dyDescent="0.25">
      <c r="A5573" t="str">
        <f>""</f>
        <v/>
      </c>
      <c r="B5573" s="1"/>
      <c r="H5573">
        <v>0.36</v>
      </c>
      <c r="J5573" t="s">
        <v>20</v>
      </c>
      <c r="L5573" s="1"/>
      <c r="N5573" s="1"/>
      <c r="V5573" t="str">
        <f>"76000"</f>
        <v>76000</v>
      </c>
      <c r="W5573">
        <v>0.06</v>
      </c>
      <c r="X5573">
        <v>0</v>
      </c>
    </row>
    <row r="5574" spans="1:24" ht="15" customHeight="1" x14ac:dyDescent="0.25">
      <c r="A5574" t="str">
        <f>""</f>
        <v/>
      </c>
      <c r="B5574" s="1"/>
      <c r="H5574">
        <v>174.41</v>
      </c>
      <c r="J5574" t="s">
        <v>20</v>
      </c>
      <c r="L5574" s="1"/>
      <c r="N5574" s="1"/>
      <c r="V5574" t="str">
        <f>"94310"</f>
        <v>94310</v>
      </c>
      <c r="W5574">
        <v>0</v>
      </c>
      <c r="X5574">
        <v>0</v>
      </c>
    </row>
    <row r="5575" spans="1:24" ht="15" customHeight="1" x14ac:dyDescent="0.25">
      <c r="A5575" t="str">
        <f>""</f>
        <v/>
      </c>
      <c r="B5575" s="1"/>
      <c r="H5575">
        <v>38.770000000000003</v>
      </c>
      <c r="J5575" t="s">
        <v>23</v>
      </c>
      <c r="L5575" s="1"/>
      <c r="N5575" s="1"/>
      <c r="V5575" t="str">
        <f>"75020"</f>
        <v>75020</v>
      </c>
      <c r="W5575">
        <v>0</v>
      </c>
      <c r="X5575">
        <v>0</v>
      </c>
    </row>
    <row r="5576" spans="1:24" ht="15" customHeight="1" x14ac:dyDescent="0.25">
      <c r="A5576" t="str">
        <f>""</f>
        <v/>
      </c>
      <c r="B5576" s="1"/>
      <c r="H5576">
        <v>140</v>
      </c>
      <c r="J5576" t="s">
        <v>23</v>
      </c>
      <c r="L5576" s="1"/>
      <c r="N5576" s="1"/>
      <c r="V5576" t="str">
        <f>"01600"</f>
        <v>01600</v>
      </c>
      <c r="W5576">
        <v>0</v>
      </c>
      <c r="X5576">
        <v>0</v>
      </c>
    </row>
    <row r="5577" spans="1:24" x14ac:dyDescent="0.25">
      <c r="A5577" t="str">
        <f>""</f>
        <v/>
      </c>
      <c r="B5577" s="1"/>
      <c r="H5577">
        <v>148.66</v>
      </c>
      <c r="J5577" t="s">
        <v>15</v>
      </c>
      <c r="L5577" s="1"/>
      <c r="N5577" s="1"/>
      <c r="V5577" t="str">
        <f>"75116"</f>
        <v>75116</v>
      </c>
      <c r="W5577">
        <v>0</v>
      </c>
      <c r="X5577">
        <v>0</v>
      </c>
    </row>
    <row r="5578" spans="1:24" ht="15" customHeight="1" x14ac:dyDescent="0.25">
      <c r="A5578" t="str">
        <f>""</f>
        <v/>
      </c>
      <c r="B5578" s="1"/>
      <c r="H5578">
        <v>200</v>
      </c>
      <c r="J5578" t="s">
        <v>19</v>
      </c>
      <c r="L5578" s="1"/>
      <c r="N5578" s="1"/>
      <c r="V5578" t="str">
        <f>"69002"</f>
        <v>69002</v>
      </c>
      <c r="W5578">
        <v>54</v>
      </c>
      <c r="X5578">
        <v>0</v>
      </c>
    </row>
    <row r="5579" spans="1:24" ht="15" customHeight="1" x14ac:dyDescent="0.25">
      <c r="A5579" t="str">
        <f>""</f>
        <v/>
      </c>
      <c r="B5579" s="1"/>
      <c r="H5579">
        <v>100</v>
      </c>
      <c r="J5579" t="s">
        <v>20</v>
      </c>
      <c r="L5579" s="1"/>
      <c r="N5579" s="1"/>
      <c r="V5579" t="str">
        <f>"31830"</f>
        <v>31830</v>
      </c>
      <c r="W5579">
        <v>22</v>
      </c>
      <c r="X5579">
        <v>0</v>
      </c>
    </row>
    <row r="5580" spans="1:24" ht="15" customHeight="1" x14ac:dyDescent="0.25">
      <c r="A5580" t="str">
        <f>""</f>
        <v/>
      </c>
      <c r="B5580" s="1"/>
      <c r="H5580">
        <v>160</v>
      </c>
      <c r="L5580" s="1"/>
      <c r="N5580" s="1"/>
      <c r="V5580" t="str">
        <f>"77184"</f>
        <v>77184</v>
      </c>
      <c r="W5580">
        <v>0</v>
      </c>
      <c r="X5580">
        <v>0</v>
      </c>
    </row>
    <row r="5581" spans="1:24" ht="15" customHeight="1" x14ac:dyDescent="0.25">
      <c r="A5581" t="str">
        <f>""</f>
        <v/>
      </c>
      <c r="B5581" s="1"/>
      <c r="H5581">
        <v>251</v>
      </c>
      <c r="J5581" t="s">
        <v>22</v>
      </c>
      <c r="L5581" s="1"/>
      <c r="N5581" s="1"/>
      <c r="V5581" t="str">
        <f>"14150"</f>
        <v>14150</v>
      </c>
      <c r="W5581">
        <v>0</v>
      </c>
      <c r="X5581">
        <v>0</v>
      </c>
    </row>
    <row r="5582" spans="1:24" ht="15" customHeight="1" x14ac:dyDescent="0.25">
      <c r="A5582" t="str">
        <f>""</f>
        <v/>
      </c>
      <c r="B5582" s="1"/>
      <c r="H5582">
        <v>55.14</v>
      </c>
      <c r="J5582" t="s">
        <v>19</v>
      </c>
      <c r="L5582" s="1"/>
      <c r="N5582" s="1"/>
      <c r="V5582" t="str">
        <f>"75010"</f>
        <v>75010</v>
      </c>
      <c r="W5582">
        <v>0</v>
      </c>
      <c r="X5582">
        <v>0</v>
      </c>
    </row>
    <row r="5583" spans="1:24" ht="15" customHeight="1" x14ac:dyDescent="0.25">
      <c r="A5583" t="str">
        <f>""</f>
        <v/>
      </c>
      <c r="B5583" s="1"/>
      <c r="H5583">
        <v>130.19999999999999</v>
      </c>
      <c r="J5583" t="s">
        <v>20</v>
      </c>
      <c r="L5583" s="1"/>
      <c r="N5583" s="1"/>
      <c r="V5583" t="str">
        <f>"72300"</f>
        <v>72300</v>
      </c>
      <c r="W5583">
        <v>27.34</v>
      </c>
      <c r="X5583">
        <v>0</v>
      </c>
    </row>
    <row r="5584" spans="1:24" ht="15" customHeight="1" x14ac:dyDescent="0.25">
      <c r="A5584" t="str">
        <f>""</f>
        <v/>
      </c>
      <c r="B5584" s="1"/>
      <c r="H5584">
        <v>0.68</v>
      </c>
      <c r="J5584" t="s">
        <v>20</v>
      </c>
      <c r="L5584" s="1"/>
      <c r="N5584" s="1"/>
      <c r="V5584" t="str">
        <f>"49130"</f>
        <v>49130</v>
      </c>
      <c r="W5584">
        <v>0.18</v>
      </c>
      <c r="X5584">
        <v>0</v>
      </c>
    </row>
    <row r="5585" spans="1:24" ht="15" customHeight="1" x14ac:dyDescent="0.25">
      <c r="A5585" t="str">
        <f>""</f>
        <v/>
      </c>
      <c r="B5585" s="1"/>
      <c r="H5585">
        <v>27.65</v>
      </c>
      <c r="J5585" t="s">
        <v>20</v>
      </c>
      <c r="L5585" s="1"/>
      <c r="N5585" s="1"/>
      <c r="V5585" t="str">
        <f>"57505"</f>
        <v>57505</v>
      </c>
      <c r="W5585">
        <v>6.91</v>
      </c>
      <c r="X5585">
        <v>0</v>
      </c>
    </row>
    <row r="5586" spans="1:24" ht="15" customHeight="1" x14ac:dyDescent="0.25">
      <c r="A5586" t="str">
        <f>""</f>
        <v/>
      </c>
      <c r="B5586" s="1"/>
      <c r="H5586">
        <v>70</v>
      </c>
      <c r="J5586" t="s">
        <v>22</v>
      </c>
      <c r="L5586" s="1"/>
      <c r="V5586" t="str">
        <f>"62180"</f>
        <v>62180</v>
      </c>
      <c r="W5586">
        <v>0</v>
      </c>
      <c r="X5586">
        <v>0</v>
      </c>
    </row>
    <row r="5587" spans="1:24" ht="15" customHeight="1" x14ac:dyDescent="0.25">
      <c r="A5587" t="str">
        <f>""</f>
        <v/>
      </c>
      <c r="B5587" s="1"/>
      <c r="H5587">
        <v>140</v>
      </c>
      <c r="J5587" t="s">
        <v>22</v>
      </c>
      <c r="L5587" s="1"/>
      <c r="N5587" s="1"/>
      <c r="V5587" t="str">
        <f>"67960"</f>
        <v>67960</v>
      </c>
      <c r="W5587">
        <v>0</v>
      </c>
      <c r="X5587">
        <v>11.2</v>
      </c>
    </row>
    <row r="5588" spans="1:24" ht="15" customHeight="1" x14ac:dyDescent="0.25">
      <c r="A5588" t="str">
        <f>""</f>
        <v/>
      </c>
      <c r="B5588" s="1"/>
      <c r="H5588">
        <v>22.8</v>
      </c>
      <c r="L5588" s="1"/>
      <c r="N5588" s="1"/>
      <c r="V5588" t="str">
        <f>"44240"</f>
        <v>44240</v>
      </c>
      <c r="W5588">
        <v>0</v>
      </c>
      <c r="X5588">
        <v>0</v>
      </c>
    </row>
    <row r="5589" spans="1:24" ht="15" customHeight="1" x14ac:dyDescent="0.25">
      <c r="A5589" t="str">
        <f>""</f>
        <v/>
      </c>
      <c r="B5589" s="1"/>
      <c r="H5589">
        <v>22.8</v>
      </c>
      <c r="L5589" s="1"/>
      <c r="N5589" s="1"/>
      <c r="V5589" t="str">
        <f>"44240"</f>
        <v>44240</v>
      </c>
      <c r="W5589">
        <v>0</v>
      </c>
      <c r="X5589">
        <v>0</v>
      </c>
    </row>
    <row r="5590" spans="1:24" x14ac:dyDescent="0.25">
      <c r="A5590" t="str">
        <f>""</f>
        <v/>
      </c>
      <c r="B5590" s="1"/>
      <c r="H5590">
        <v>55</v>
      </c>
      <c r="J5590" t="s">
        <v>18</v>
      </c>
      <c r="L5590" s="1"/>
      <c r="N5590" s="1"/>
      <c r="V5590" t="str">
        <f>"69800"</f>
        <v>69800</v>
      </c>
      <c r="W5590">
        <v>0</v>
      </c>
      <c r="X5590">
        <v>0</v>
      </c>
    </row>
    <row r="5591" spans="1:24" ht="15" customHeight="1" x14ac:dyDescent="0.25">
      <c r="A5591" t="str">
        <f>""</f>
        <v/>
      </c>
      <c r="B5591" s="1"/>
      <c r="H5591">
        <v>29.89</v>
      </c>
      <c r="J5591" t="s">
        <v>22</v>
      </c>
      <c r="L5591" s="1"/>
      <c r="V5591" t="str">
        <f>"62600"</f>
        <v>62600</v>
      </c>
      <c r="W5591">
        <v>0</v>
      </c>
      <c r="X5591">
        <v>0</v>
      </c>
    </row>
    <row r="5592" spans="1:24" ht="15" customHeight="1" x14ac:dyDescent="0.25">
      <c r="A5592" t="str">
        <f>""</f>
        <v/>
      </c>
      <c r="B5592" s="1"/>
      <c r="H5592">
        <v>35</v>
      </c>
      <c r="J5592" t="s">
        <v>22</v>
      </c>
      <c r="L5592" s="1"/>
      <c r="V5592" t="str">
        <f>"44000"</f>
        <v>44000</v>
      </c>
      <c r="W5592">
        <v>0</v>
      </c>
      <c r="X5592">
        <v>0</v>
      </c>
    </row>
    <row r="5593" spans="1:24" ht="15" customHeight="1" x14ac:dyDescent="0.25">
      <c r="A5593" t="str">
        <f>""</f>
        <v/>
      </c>
      <c r="B5593" s="1"/>
      <c r="H5593">
        <v>154.38999999999999</v>
      </c>
      <c r="J5593" t="s">
        <v>19</v>
      </c>
      <c r="L5593" s="1"/>
      <c r="N5593" s="1"/>
      <c r="V5593" t="str">
        <f>"63100"</f>
        <v>63100</v>
      </c>
      <c r="W5593">
        <v>44.77</v>
      </c>
      <c r="X5593">
        <v>0</v>
      </c>
    </row>
    <row r="5594" spans="1:24" ht="15" customHeight="1" x14ac:dyDescent="0.25">
      <c r="A5594" t="str">
        <f>""</f>
        <v/>
      </c>
      <c r="B5594" s="1"/>
      <c r="H5594">
        <v>55.34</v>
      </c>
      <c r="J5594" t="s">
        <v>20</v>
      </c>
      <c r="L5594" s="1"/>
      <c r="N5594" s="1"/>
      <c r="V5594" t="str">
        <f>"49100"</f>
        <v>49100</v>
      </c>
      <c r="W5594">
        <v>14.94</v>
      </c>
      <c r="X5594">
        <v>0</v>
      </c>
    </row>
    <row r="5595" spans="1:24" ht="15" customHeight="1" x14ac:dyDescent="0.25">
      <c r="A5595" t="str">
        <f>""</f>
        <v/>
      </c>
      <c r="B5595" s="1"/>
      <c r="H5595">
        <v>170.32</v>
      </c>
      <c r="J5595" t="s">
        <v>22</v>
      </c>
      <c r="L5595" s="1"/>
      <c r="N5595" s="1"/>
      <c r="V5595" t="str">
        <f>"30000"</f>
        <v>30000</v>
      </c>
      <c r="W5595">
        <v>0</v>
      </c>
      <c r="X5595">
        <v>47.69</v>
      </c>
    </row>
    <row r="5596" spans="1:24" ht="15" customHeight="1" x14ac:dyDescent="0.25">
      <c r="A5596" t="str">
        <f>""</f>
        <v/>
      </c>
      <c r="B5596" s="1"/>
      <c r="H5596">
        <v>40</v>
      </c>
      <c r="J5596" t="s">
        <v>22</v>
      </c>
      <c r="L5596" s="1"/>
      <c r="N5596" s="1"/>
      <c r="V5596" t="str">
        <f>"76290"</f>
        <v>76290</v>
      </c>
      <c r="W5596">
        <v>0</v>
      </c>
      <c r="X5596">
        <v>6.8</v>
      </c>
    </row>
    <row r="5597" spans="1:24" ht="15" customHeight="1" x14ac:dyDescent="0.25">
      <c r="A5597" t="str">
        <f>""</f>
        <v/>
      </c>
      <c r="B5597" s="1"/>
      <c r="H5597">
        <v>198</v>
      </c>
      <c r="L5597" s="1"/>
      <c r="N5597" s="1"/>
      <c r="V5597" t="str">
        <f>"77184"</f>
        <v>77184</v>
      </c>
      <c r="W5597">
        <v>0</v>
      </c>
      <c r="X5597">
        <v>0</v>
      </c>
    </row>
    <row r="5598" spans="1:24" ht="15" customHeight="1" x14ac:dyDescent="0.25">
      <c r="A5598" t="str">
        <f>""</f>
        <v/>
      </c>
      <c r="B5598" s="1"/>
      <c r="H5598">
        <v>157.84</v>
      </c>
      <c r="J5598" t="s">
        <v>20</v>
      </c>
      <c r="L5598" s="1"/>
      <c r="N5598" s="1"/>
      <c r="V5598" t="str">
        <f>"94290"</f>
        <v>94290</v>
      </c>
      <c r="W5598">
        <v>0</v>
      </c>
      <c r="X5598">
        <v>0</v>
      </c>
    </row>
    <row r="5599" spans="1:24" ht="15" customHeight="1" x14ac:dyDescent="0.25">
      <c r="A5599" t="str">
        <f>""</f>
        <v/>
      </c>
      <c r="B5599" s="1"/>
      <c r="H5599">
        <v>80.400000000000006</v>
      </c>
      <c r="J5599" t="s">
        <v>23</v>
      </c>
      <c r="L5599" s="1"/>
      <c r="N5599" s="1"/>
      <c r="V5599" t="str">
        <f>"94420"</f>
        <v>94420</v>
      </c>
      <c r="W5599">
        <v>0</v>
      </c>
      <c r="X5599">
        <v>0</v>
      </c>
    </row>
    <row r="5600" spans="1:24" ht="15" customHeight="1" x14ac:dyDescent="0.25">
      <c r="A5600" t="str">
        <f>""</f>
        <v/>
      </c>
      <c r="B5600" s="1"/>
      <c r="H5600">
        <v>50</v>
      </c>
      <c r="J5600" t="s">
        <v>19</v>
      </c>
      <c r="L5600" s="1"/>
      <c r="N5600" s="1"/>
      <c r="V5600" t="str">
        <f>"59132"</f>
        <v>59132</v>
      </c>
      <c r="W5600">
        <v>9.5</v>
      </c>
      <c r="X5600">
        <v>0</v>
      </c>
    </row>
    <row r="5601" spans="1:24" ht="15" customHeight="1" x14ac:dyDescent="0.25">
      <c r="A5601" t="str">
        <f>""</f>
        <v/>
      </c>
      <c r="B5601" s="1"/>
      <c r="H5601">
        <v>266.73</v>
      </c>
      <c r="J5601" t="s">
        <v>22</v>
      </c>
      <c r="L5601" s="1"/>
      <c r="N5601" s="1"/>
      <c r="V5601" t="str">
        <f>"75008"</f>
        <v>75008</v>
      </c>
      <c r="W5601">
        <v>0</v>
      </c>
      <c r="X5601">
        <v>0</v>
      </c>
    </row>
    <row r="5602" spans="1:24" ht="15" customHeight="1" x14ac:dyDescent="0.25">
      <c r="A5602" t="str">
        <f>""</f>
        <v/>
      </c>
      <c r="B5602" s="1"/>
      <c r="H5602">
        <v>140</v>
      </c>
      <c r="J5602" t="s">
        <v>22</v>
      </c>
      <c r="L5602" s="1"/>
      <c r="V5602" t="str">
        <f>"10280"</f>
        <v>10280</v>
      </c>
      <c r="W5602">
        <v>0</v>
      </c>
      <c r="X5602">
        <v>0</v>
      </c>
    </row>
    <row r="5603" spans="1:24" ht="15" customHeight="1" x14ac:dyDescent="0.25">
      <c r="A5603" t="str">
        <f>""</f>
        <v/>
      </c>
      <c r="B5603" s="1"/>
      <c r="H5603">
        <v>153.44999999999999</v>
      </c>
      <c r="J5603" t="s">
        <v>19</v>
      </c>
      <c r="L5603" s="1"/>
      <c r="N5603" s="1"/>
      <c r="V5603" t="str">
        <f>"73000"</f>
        <v>73000</v>
      </c>
      <c r="W5603">
        <v>41.43</v>
      </c>
      <c r="X5603">
        <v>0</v>
      </c>
    </row>
    <row r="5604" spans="1:24" ht="15" customHeight="1" x14ac:dyDescent="0.25">
      <c r="A5604" t="str">
        <f>""</f>
        <v/>
      </c>
      <c r="B5604" s="1"/>
      <c r="H5604">
        <v>19.8</v>
      </c>
      <c r="J5604" t="s">
        <v>19</v>
      </c>
      <c r="L5604" s="1"/>
      <c r="N5604" s="1"/>
      <c r="V5604" t="str">
        <f>"62300"</f>
        <v>62300</v>
      </c>
      <c r="W5604">
        <v>3.76</v>
      </c>
      <c r="X5604">
        <v>0</v>
      </c>
    </row>
    <row r="5605" spans="1:24" ht="15" customHeight="1" x14ac:dyDescent="0.25">
      <c r="A5605" t="str">
        <f>""</f>
        <v/>
      </c>
      <c r="B5605" s="1"/>
      <c r="H5605">
        <v>188.25</v>
      </c>
      <c r="J5605" t="s">
        <v>20</v>
      </c>
      <c r="L5605" s="1"/>
      <c r="N5605" s="1"/>
      <c r="V5605" t="str">
        <f>"83470"</f>
        <v>83470</v>
      </c>
      <c r="W5605">
        <v>56.48</v>
      </c>
      <c r="X5605">
        <v>0</v>
      </c>
    </row>
    <row r="5606" spans="1:24" x14ac:dyDescent="0.25">
      <c r="A5606" t="str">
        <f>""</f>
        <v/>
      </c>
      <c r="B5606" s="1"/>
      <c r="H5606">
        <v>181</v>
      </c>
      <c r="J5606" t="s">
        <v>18</v>
      </c>
      <c r="L5606" s="1"/>
      <c r="N5606" s="1"/>
      <c r="V5606" t="str">
        <f>"20600"</f>
        <v>20600</v>
      </c>
      <c r="W5606">
        <v>0</v>
      </c>
      <c r="X5606">
        <v>0</v>
      </c>
    </row>
    <row r="5607" spans="1:24" ht="15" customHeight="1" x14ac:dyDescent="0.25">
      <c r="A5607" t="str">
        <f>""</f>
        <v/>
      </c>
      <c r="B5607" s="1"/>
      <c r="H5607">
        <v>184.91</v>
      </c>
      <c r="J5607" t="s">
        <v>22</v>
      </c>
      <c r="L5607" s="1"/>
      <c r="N5607" s="1"/>
      <c r="V5607" t="str">
        <f>"59000"</f>
        <v>59000</v>
      </c>
      <c r="W5607">
        <v>0</v>
      </c>
      <c r="X5607">
        <v>0</v>
      </c>
    </row>
    <row r="5608" spans="1:24" ht="15" customHeight="1" x14ac:dyDescent="0.25">
      <c r="A5608" t="str">
        <f>""</f>
        <v/>
      </c>
      <c r="B5608" s="1"/>
      <c r="H5608">
        <v>72.86</v>
      </c>
      <c r="J5608" t="s">
        <v>22</v>
      </c>
      <c r="L5608" s="1"/>
      <c r="N5608" s="1"/>
      <c r="V5608" t="str">
        <f>"13015"</f>
        <v>13015</v>
      </c>
      <c r="W5608">
        <v>0</v>
      </c>
      <c r="X5608">
        <v>0</v>
      </c>
    </row>
    <row r="5609" spans="1:24" ht="15" customHeight="1" x14ac:dyDescent="0.25">
      <c r="A5609" t="str">
        <f>""</f>
        <v/>
      </c>
      <c r="B5609" s="1"/>
      <c r="H5609">
        <v>40</v>
      </c>
      <c r="J5609" t="s">
        <v>20</v>
      </c>
      <c r="L5609" s="1"/>
      <c r="N5609" s="1"/>
      <c r="V5609" t="str">
        <f>"75016"</f>
        <v>75016</v>
      </c>
      <c r="W5609">
        <v>0</v>
      </c>
      <c r="X5609">
        <v>0</v>
      </c>
    </row>
    <row r="5610" spans="1:24" ht="15" customHeight="1" x14ac:dyDescent="0.25">
      <c r="A5610" t="str">
        <f>""</f>
        <v/>
      </c>
      <c r="B5610" s="1"/>
      <c r="H5610">
        <v>200.72</v>
      </c>
      <c r="J5610" t="s">
        <v>19</v>
      </c>
      <c r="L5610" s="1"/>
      <c r="N5610" s="1"/>
      <c r="V5610" t="str">
        <f>"25200"</f>
        <v>25200</v>
      </c>
      <c r="W5610">
        <v>48.17</v>
      </c>
      <c r="X5610">
        <v>0</v>
      </c>
    </row>
    <row r="5611" spans="1:24" ht="15" customHeight="1" x14ac:dyDescent="0.25">
      <c r="A5611" t="str">
        <f>""</f>
        <v/>
      </c>
      <c r="B5611" s="1"/>
      <c r="H5611">
        <v>37.92</v>
      </c>
      <c r="J5611" t="s">
        <v>20</v>
      </c>
      <c r="L5611" s="1"/>
      <c r="N5611" s="1"/>
      <c r="V5611" t="str">
        <f>"64140"</f>
        <v>64140</v>
      </c>
      <c r="W5611">
        <v>7.96</v>
      </c>
      <c r="X5611">
        <v>0</v>
      </c>
    </row>
    <row r="5612" spans="1:24" ht="15" customHeight="1" x14ac:dyDescent="0.25">
      <c r="A5612" t="str">
        <f>""</f>
        <v/>
      </c>
      <c r="B5612" s="1"/>
      <c r="H5612">
        <v>18.36</v>
      </c>
      <c r="J5612" t="s">
        <v>20</v>
      </c>
      <c r="L5612" s="1"/>
      <c r="N5612" s="1"/>
      <c r="V5612" t="str">
        <f>"80100"</f>
        <v>80100</v>
      </c>
      <c r="W5612">
        <v>3.49</v>
      </c>
      <c r="X5612">
        <v>0</v>
      </c>
    </row>
    <row r="5613" spans="1:24" ht="15" customHeight="1" x14ac:dyDescent="0.25">
      <c r="A5613" t="str">
        <f>""</f>
        <v/>
      </c>
      <c r="B5613" s="1"/>
      <c r="H5613">
        <v>154.59</v>
      </c>
      <c r="J5613" t="s">
        <v>20</v>
      </c>
      <c r="L5613" s="1"/>
      <c r="N5613" s="1"/>
      <c r="V5613" t="str">
        <f>"75004"</f>
        <v>75004</v>
      </c>
      <c r="W5613">
        <v>0</v>
      </c>
      <c r="X5613">
        <v>0</v>
      </c>
    </row>
    <row r="5614" spans="1:24" ht="15" customHeight="1" x14ac:dyDescent="0.25">
      <c r="A5614" t="str">
        <f>""</f>
        <v/>
      </c>
      <c r="B5614" s="1"/>
      <c r="H5614">
        <v>209.56</v>
      </c>
      <c r="J5614" t="s">
        <v>19</v>
      </c>
      <c r="L5614" s="1"/>
      <c r="N5614" s="1"/>
      <c r="V5614" t="str">
        <f>"69005"</f>
        <v>69005</v>
      </c>
      <c r="W5614">
        <v>56.58</v>
      </c>
      <c r="X5614">
        <v>0</v>
      </c>
    </row>
    <row r="5615" spans="1:24" ht="15" customHeight="1" x14ac:dyDescent="0.25">
      <c r="A5615" t="str">
        <f>""</f>
        <v/>
      </c>
      <c r="B5615" s="1"/>
      <c r="H5615">
        <v>33.35</v>
      </c>
      <c r="J5615" t="s">
        <v>20</v>
      </c>
      <c r="L5615" s="1"/>
      <c r="N5615" s="1"/>
      <c r="V5615" t="str">
        <f>"69005"</f>
        <v>69005</v>
      </c>
      <c r="W5615">
        <v>9</v>
      </c>
      <c r="X5615">
        <v>0</v>
      </c>
    </row>
    <row r="5616" spans="1:24" ht="15" customHeight="1" x14ac:dyDescent="0.25">
      <c r="A5616" t="str">
        <f>""</f>
        <v/>
      </c>
      <c r="B5616" s="1"/>
      <c r="H5616">
        <v>135</v>
      </c>
      <c r="L5616" s="1"/>
      <c r="N5616" s="1"/>
      <c r="V5616" t="str">
        <f>"77184"</f>
        <v>77184</v>
      </c>
      <c r="W5616">
        <v>0</v>
      </c>
      <c r="X5616">
        <v>0</v>
      </c>
    </row>
    <row r="5617" spans="1:24" ht="15" customHeight="1" x14ac:dyDescent="0.25">
      <c r="A5617" t="str">
        <f>""</f>
        <v/>
      </c>
      <c r="B5617" s="1"/>
      <c r="H5617">
        <v>40</v>
      </c>
      <c r="J5617" t="s">
        <v>23</v>
      </c>
      <c r="L5617" s="1"/>
      <c r="V5617" t="str">
        <f>"06000"</f>
        <v>06000</v>
      </c>
      <c r="W5617">
        <v>0</v>
      </c>
      <c r="X5617">
        <v>0</v>
      </c>
    </row>
    <row r="5618" spans="1:24" ht="15" customHeight="1" x14ac:dyDescent="0.25">
      <c r="A5618" t="str">
        <f>""</f>
        <v/>
      </c>
      <c r="B5618" s="1"/>
      <c r="H5618">
        <v>55.14</v>
      </c>
      <c r="J5618" t="s">
        <v>19</v>
      </c>
      <c r="L5618" s="1"/>
      <c r="N5618" s="1"/>
      <c r="V5618" t="str">
        <f>"14790"</f>
        <v>14790</v>
      </c>
      <c r="W5618">
        <v>9.3699999999999992</v>
      </c>
      <c r="X5618">
        <v>0</v>
      </c>
    </row>
    <row r="5619" spans="1:24" ht="15" customHeight="1" x14ac:dyDescent="0.25">
      <c r="A5619" t="str">
        <f>""</f>
        <v/>
      </c>
      <c r="B5619" s="1"/>
      <c r="H5619">
        <v>137.01</v>
      </c>
      <c r="J5619" t="s">
        <v>20</v>
      </c>
      <c r="L5619" s="1"/>
      <c r="N5619" s="1"/>
      <c r="V5619" t="str">
        <f>"75008"</f>
        <v>75008</v>
      </c>
      <c r="W5619">
        <v>0</v>
      </c>
      <c r="X5619">
        <v>0</v>
      </c>
    </row>
    <row r="5620" spans="1:24" ht="15" customHeight="1" x14ac:dyDescent="0.25">
      <c r="A5620" t="str">
        <f>""</f>
        <v/>
      </c>
      <c r="B5620" s="1"/>
      <c r="H5620">
        <v>131.97999999999999</v>
      </c>
      <c r="J5620" t="s">
        <v>20</v>
      </c>
      <c r="L5620" s="1"/>
      <c r="N5620" s="1"/>
      <c r="V5620" t="str">
        <f>"79500"</f>
        <v>79500</v>
      </c>
      <c r="W5620">
        <v>27.72</v>
      </c>
      <c r="X5620">
        <v>0</v>
      </c>
    </row>
    <row r="5621" spans="1:24" ht="15" customHeight="1" x14ac:dyDescent="0.25">
      <c r="A5621" t="str">
        <f>""</f>
        <v/>
      </c>
      <c r="B5621" s="1"/>
      <c r="H5621">
        <v>69.34</v>
      </c>
      <c r="J5621" t="s">
        <v>20</v>
      </c>
      <c r="L5621" s="1"/>
      <c r="N5621" s="1"/>
      <c r="V5621" t="str">
        <f>"53000"</f>
        <v>53000</v>
      </c>
      <c r="W5621">
        <v>18.72</v>
      </c>
      <c r="X5621">
        <v>0</v>
      </c>
    </row>
    <row r="5622" spans="1:24" ht="15" customHeight="1" x14ac:dyDescent="0.25">
      <c r="A5622" t="str">
        <f>""</f>
        <v/>
      </c>
      <c r="B5622" s="1"/>
      <c r="H5622">
        <v>40</v>
      </c>
      <c r="J5622" t="s">
        <v>19</v>
      </c>
      <c r="L5622" s="1"/>
      <c r="N5622" s="1"/>
      <c r="V5622" t="str">
        <f>"84140"</f>
        <v>84140</v>
      </c>
      <c r="W5622">
        <v>11.6</v>
      </c>
      <c r="X5622">
        <v>0</v>
      </c>
    </row>
    <row r="5623" spans="1:24" ht="15" customHeight="1" x14ac:dyDescent="0.25">
      <c r="A5623" t="str">
        <f>""</f>
        <v/>
      </c>
      <c r="B5623" s="1"/>
      <c r="H5623">
        <v>43.44</v>
      </c>
      <c r="J5623" t="s">
        <v>19</v>
      </c>
      <c r="L5623" s="1"/>
      <c r="N5623" s="1"/>
      <c r="V5623" t="str">
        <f>"54300"</f>
        <v>54300</v>
      </c>
      <c r="W5623">
        <v>10.86</v>
      </c>
      <c r="X5623">
        <v>0</v>
      </c>
    </row>
    <row r="5624" spans="1:24" ht="15" customHeight="1" x14ac:dyDescent="0.25">
      <c r="A5624" t="str">
        <f>""</f>
        <v/>
      </c>
      <c r="B5624" s="1"/>
      <c r="H5624">
        <v>55.34</v>
      </c>
      <c r="J5624" t="s">
        <v>19</v>
      </c>
      <c r="L5624" s="1"/>
      <c r="N5624" s="1"/>
      <c r="V5624" t="str">
        <f>"75008"</f>
        <v>75008</v>
      </c>
      <c r="W5624">
        <v>0</v>
      </c>
      <c r="X5624">
        <v>0</v>
      </c>
    </row>
    <row r="5625" spans="1:24" ht="15" customHeight="1" x14ac:dyDescent="0.25">
      <c r="A5625" t="str">
        <f>""</f>
        <v/>
      </c>
      <c r="B5625" s="1"/>
      <c r="H5625">
        <v>97.61</v>
      </c>
      <c r="J5625" t="s">
        <v>20</v>
      </c>
      <c r="L5625" s="1"/>
      <c r="N5625" s="1"/>
      <c r="V5625" t="str">
        <f>"13015"</f>
        <v>13015</v>
      </c>
      <c r="W5625">
        <v>28.31</v>
      </c>
      <c r="X5625">
        <v>0</v>
      </c>
    </row>
    <row r="5626" spans="1:24" ht="15" customHeight="1" x14ac:dyDescent="0.25">
      <c r="A5626" t="str">
        <f>""</f>
        <v/>
      </c>
      <c r="B5626" s="1"/>
      <c r="H5626">
        <v>137.01</v>
      </c>
      <c r="J5626" t="s">
        <v>20</v>
      </c>
      <c r="L5626" s="1"/>
      <c r="N5626" s="1"/>
      <c r="V5626" t="str">
        <f>"68000"</f>
        <v>68000</v>
      </c>
      <c r="W5626">
        <v>39.729999999999997</v>
      </c>
      <c r="X5626">
        <v>0</v>
      </c>
    </row>
    <row r="5627" spans="1:24" ht="15" customHeight="1" x14ac:dyDescent="0.25">
      <c r="A5627" t="str">
        <f>""</f>
        <v/>
      </c>
      <c r="B5627" s="1"/>
      <c r="H5627">
        <v>131.49</v>
      </c>
      <c r="J5627" t="s">
        <v>20</v>
      </c>
      <c r="L5627" s="1"/>
      <c r="N5627" s="1"/>
      <c r="V5627" t="str">
        <f>"08200"</f>
        <v>08200</v>
      </c>
      <c r="W5627">
        <v>24.98</v>
      </c>
      <c r="X5627">
        <v>0</v>
      </c>
    </row>
    <row r="5628" spans="1:24" ht="15" customHeight="1" x14ac:dyDescent="0.25">
      <c r="A5628" t="str">
        <f>""</f>
        <v/>
      </c>
      <c r="B5628" s="1"/>
      <c r="H5628">
        <v>71.08</v>
      </c>
      <c r="J5628" t="s">
        <v>20</v>
      </c>
      <c r="L5628" s="1"/>
      <c r="N5628" s="1"/>
      <c r="V5628" t="str">
        <f>"45100"</f>
        <v>45100</v>
      </c>
      <c r="W5628">
        <v>14.93</v>
      </c>
      <c r="X5628">
        <v>0</v>
      </c>
    </row>
    <row r="5629" spans="1:24" x14ac:dyDescent="0.25">
      <c r="A5629" t="str">
        <f>""</f>
        <v/>
      </c>
      <c r="B5629" s="1"/>
      <c r="H5629">
        <v>29.59</v>
      </c>
      <c r="J5629" t="s">
        <v>18</v>
      </c>
      <c r="L5629" s="1"/>
      <c r="V5629" t="str">
        <f>"30200"</f>
        <v>30200</v>
      </c>
      <c r="W5629">
        <v>0</v>
      </c>
      <c r="X5629">
        <v>0</v>
      </c>
    </row>
    <row r="5630" spans="1:24" ht="15" customHeight="1" x14ac:dyDescent="0.25">
      <c r="A5630" t="str">
        <f>""</f>
        <v/>
      </c>
      <c r="B5630" s="1"/>
      <c r="H5630">
        <v>29.59</v>
      </c>
      <c r="J5630" t="s">
        <v>22</v>
      </c>
      <c r="L5630" s="1"/>
      <c r="N5630" s="1"/>
      <c r="V5630" t="str">
        <f>"69006"</f>
        <v>69006</v>
      </c>
      <c r="W5630">
        <v>0</v>
      </c>
      <c r="X5630">
        <v>0</v>
      </c>
    </row>
    <row r="5631" spans="1:24" ht="15" customHeight="1" x14ac:dyDescent="0.25">
      <c r="A5631" t="str">
        <f>""</f>
        <v/>
      </c>
      <c r="B5631" s="1"/>
      <c r="H5631">
        <v>29.59</v>
      </c>
      <c r="J5631" t="s">
        <v>22</v>
      </c>
      <c r="L5631" s="1"/>
      <c r="N5631" s="1"/>
      <c r="V5631" t="str">
        <f>"69006"</f>
        <v>69006</v>
      </c>
      <c r="W5631">
        <v>0</v>
      </c>
      <c r="X5631">
        <v>0</v>
      </c>
    </row>
    <row r="5632" spans="1:24" ht="15" customHeight="1" x14ac:dyDescent="0.25">
      <c r="A5632" t="str">
        <f>""</f>
        <v/>
      </c>
      <c r="B5632" s="1"/>
      <c r="H5632">
        <v>114.38</v>
      </c>
      <c r="J5632" t="s">
        <v>23</v>
      </c>
      <c r="L5632" s="1"/>
      <c r="N5632" s="1"/>
      <c r="V5632" t="str">
        <f>"06000"</f>
        <v>06000</v>
      </c>
      <c r="W5632">
        <v>0</v>
      </c>
      <c r="X5632">
        <v>0</v>
      </c>
    </row>
    <row r="5633" spans="1:24" x14ac:dyDescent="0.25">
      <c r="A5633" t="str">
        <f>""</f>
        <v/>
      </c>
      <c r="B5633" s="1"/>
      <c r="H5633">
        <v>53.2</v>
      </c>
      <c r="J5633" t="s">
        <v>18</v>
      </c>
      <c r="L5633" s="1"/>
      <c r="N5633" s="1"/>
      <c r="V5633" t="str">
        <f>"44000"</f>
        <v>44000</v>
      </c>
      <c r="W5633">
        <v>0</v>
      </c>
      <c r="X5633">
        <v>0</v>
      </c>
    </row>
    <row r="5634" spans="1:24" ht="15" customHeight="1" x14ac:dyDescent="0.25">
      <c r="A5634" t="str">
        <f>""</f>
        <v/>
      </c>
      <c r="B5634" s="1"/>
      <c r="H5634">
        <v>69.540000000000006</v>
      </c>
      <c r="J5634" t="s">
        <v>20</v>
      </c>
      <c r="L5634" s="1"/>
      <c r="N5634" s="1"/>
      <c r="V5634" t="str">
        <f>"56440"</f>
        <v>56440</v>
      </c>
      <c r="W5634">
        <v>18.78</v>
      </c>
      <c r="X5634">
        <v>0</v>
      </c>
    </row>
    <row r="5635" spans="1:24" ht="15" customHeight="1" x14ac:dyDescent="0.25">
      <c r="A5635" t="str">
        <f>""</f>
        <v/>
      </c>
      <c r="B5635" s="1"/>
      <c r="H5635">
        <v>140.91999999999999</v>
      </c>
      <c r="J5635" t="s">
        <v>20</v>
      </c>
      <c r="L5635" s="1"/>
      <c r="N5635" s="1"/>
      <c r="V5635" t="str">
        <f>"49000"</f>
        <v>49000</v>
      </c>
      <c r="W5635">
        <v>38.049999999999997</v>
      </c>
      <c r="X5635">
        <v>0</v>
      </c>
    </row>
    <row r="5636" spans="1:24" ht="15" customHeight="1" x14ac:dyDescent="0.25">
      <c r="A5636" t="str">
        <f>""</f>
        <v/>
      </c>
      <c r="B5636" s="1"/>
      <c r="H5636">
        <v>69.39</v>
      </c>
      <c r="J5636" t="s">
        <v>19</v>
      </c>
      <c r="L5636" s="1"/>
      <c r="N5636" s="1"/>
      <c r="V5636" t="str">
        <f>"59550"</f>
        <v>59550</v>
      </c>
      <c r="W5636">
        <v>13.18</v>
      </c>
      <c r="X5636">
        <v>0</v>
      </c>
    </row>
    <row r="5637" spans="1:24" ht="15" customHeight="1" x14ac:dyDescent="0.25">
      <c r="A5637" t="str">
        <f>""</f>
        <v/>
      </c>
      <c r="B5637" s="1"/>
      <c r="H5637">
        <v>120.29</v>
      </c>
      <c r="J5637" t="s">
        <v>20</v>
      </c>
      <c r="L5637" s="1"/>
      <c r="N5637" s="1"/>
      <c r="V5637" t="str">
        <f>"02110"</f>
        <v>02110</v>
      </c>
      <c r="W5637">
        <v>22.86</v>
      </c>
      <c r="X5637">
        <v>0</v>
      </c>
    </row>
    <row r="5638" spans="1:24" ht="15" customHeight="1" x14ac:dyDescent="0.25">
      <c r="A5638" t="str">
        <f>""</f>
        <v/>
      </c>
      <c r="B5638" s="1"/>
      <c r="H5638">
        <v>151</v>
      </c>
      <c r="J5638" t="s">
        <v>20</v>
      </c>
      <c r="L5638" s="1"/>
      <c r="N5638" s="1"/>
      <c r="V5638" t="str">
        <f>"38290"</f>
        <v>38290</v>
      </c>
      <c r="W5638">
        <v>40.770000000000003</v>
      </c>
      <c r="X5638">
        <v>0</v>
      </c>
    </row>
    <row r="5639" spans="1:24" ht="15" customHeight="1" x14ac:dyDescent="0.25">
      <c r="A5639" t="str">
        <f>""</f>
        <v/>
      </c>
      <c r="B5639" s="1"/>
      <c r="H5639">
        <v>290.64999999999998</v>
      </c>
      <c r="J5639" t="s">
        <v>22</v>
      </c>
      <c r="L5639" s="1"/>
      <c r="N5639" s="1"/>
      <c r="V5639" t="str">
        <f>"59287"</f>
        <v>59287</v>
      </c>
      <c r="W5639">
        <v>0</v>
      </c>
      <c r="X5639">
        <v>0</v>
      </c>
    </row>
    <row r="5640" spans="1:24" ht="15" customHeight="1" x14ac:dyDescent="0.25">
      <c r="A5640" t="str">
        <f>""</f>
        <v/>
      </c>
      <c r="B5640" s="1"/>
      <c r="H5640">
        <v>137.59</v>
      </c>
      <c r="J5640" t="s">
        <v>19</v>
      </c>
      <c r="L5640" s="1"/>
      <c r="N5640" s="1"/>
      <c r="V5640" t="str">
        <f>"75014"</f>
        <v>75014</v>
      </c>
      <c r="W5640">
        <v>0</v>
      </c>
      <c r="X5640">
        <v>0</v>
      </c>
    </row>
    <row r="5641" spans="1:24" ht="15" customHeight="1" x14ac:dyDescent="0.25">
      <c r="A5641" t="str">
        <f>""</f>
        <v/>
      </c>
      <c r="B5641" s="1"/>
      <c r="H5641">
        <v>30</v>
      </c>
      <c r="J5641" t="s">
        <v>20</v>
      </c>
      <c r="L5641" s="1"/>
      <c r="N5641" s="1"/>
      <c r="V5641" t="str">
        <f>"78000"</f>
        <v>78000</v>
      </c>
      <c r="W5641">
        <v>0</v>
      </c>
      <c r="X5641">
        <v>0</v>
      </c>
    </row>
    <row r="5642" spans="1:24" ht="15" customHeight="1" x14ac:dyDescent="0.25">
      <c r="A5642" t="str">
        <f>""</f>
        <v/>
      </c>
      <c r="B5642" s="1"/>
      <c r="H5642">
        <v>218.08</v>
      </c>
      <c r="J5642" t="s">
        <v>23</v>
      </c>
      <c r="L5642" s="1"/>
      <c r="N5642" s="1"/>
      <c r="V5642" t="str">
        <f>"69780"</f>
        <v>69780</v>
      </c>
      <c r="W5642">
        <v>0</v>
      </c>
      <c r="X5642">
        <v>0</v>
      </c>
    </row>
    <row r="5643" spans="1:24" ht="15" customHeight="1" x14ac:dyDescent="0.25">
      <c r="A5643" t="str">
        <f>""</f>
        <v/>
      </c>
      <c r="B5643" s="1"/>
      <c r="H5643">
        <v>198.09</v>
      </c>
      <c r="J5643" t="s">
        <v>19</v>
      </c>
      <c r="L5643" s="1"/>
      <c r="N5643" s="1"/>
      <c r="V5643" t="str">
        <f>"75019"</f>
        <v>75019</v>
      </c>
      <c r="W5643">
        <v>0</v>
      </c>
      <c r="X5643">
        <v>0</v>
      </c>
    </row>
    <row r="5644" spans="1:24" ht="15" customHeight="1" x14ac:dyDescent="0.25">
      <c r="A5644" t="str">
        <f>""</f>
        <v/>
      </c>
      <c r="B5644" s="1"/>
      <c r="H5644">
        <v>139.91</v>
      </c>
      <c r="J5644" t="s">
        <v>20</v>
      </c>
      <c r="L5644" s="1"/>
      <c r="N5644" s="1"/>
      <c r="V5644" t="str">
        <f>"13127"</f>
        <v>13127</v>
      </c>
      <c r="W5644">
        <v>40.57</v>
      </c>
      <c r="X5644">
        <v>0</v>
      </c>
    </row>
    <row r="5645" spans="1:24" ht="15" customHeight="1" x14ac:dyDescent="0.25">
      <c r="A5645" t="str">
        <f>""</f>
        <v/>
      </c>
      <c r="B5645" s="1"/>
      <c r="H5645">
        <v>142.12</v>
      </c>
      <c r="J5645" t="s">
        <v>23</v>
      </c>
      <c r="L5645" s="1"/>
      <c r="V5645" t="str">
        <f>"75009"</f>
        <v>75009</v>
      </c>
      <c r="W5645">
        <v>0</v>
      </c>
      <c r="X5645">
        <v>0</v>
      </c>
    </row>
    <row r="5646" spans="1:24" ht="15" customHeight="1" x14ac:dyDescent="0.25">
      <c r="A5646" t="str">
        <f>""</f>
        <v/>
      </c>
      <c r="B5646" s="1"/>
      <c r="H5646">
        <v>250</v>
      </c>
      <c r="J5646" t="s">
        <v>23</v>
      </c>
      <c r="L5646" s="1"/>
      <c r="N5646" s="1"/>
      <c r="V5646" t="str">
        <f>"67110"</f>
        <v>67110</v>
      </c>
      <c r="W5646">
        <v>0</v>
      </c>
      <c r="X5646">
        <v>20</v>
      </c>
    </row>
    <row r="5647" spans="1:24" ht="15" customHeight="1" x14ac:dyDescent="0.25">
      <c r="A5647" t="str">
        <f>""</f>
        <v/>
      </c>
      <c r="B5647" s="1"/>
      <c r="H5647">
        <v>161.25</v>
      </c>
      <c r="J5647" t="s">
        <v>23</v>
      </c>
      <c r="L5647" s="1"/>
      <c r="N5647" s="1"/>
      <c r="V5647" t="str">
        <f>"83320"</f>
        <v>83320</v>
      </c>
      <c r="W5647">
        <v>0</v>
      </c>
      <c r="X5647">
        <v>33.86</v>
      </c>
    </row>
    <row r="5648" spans="1:24" ht="15" customHeight="1" x14ac:dyDescent="0.25">
      <c r="A5648" t="str">
        <f>""</f>
        <v/>
      </c>
      <c r="B5648" s="1"/>
      <c r="H5648">
        <v>140</v>
      </c>
      <c r="J5648" t="s">
        <v>23</v>
      </c>
      <c r="L5648" s="1"/>
      <c r="N5648" s="1"/>
      <c r="V5648" t="str">
        <f>"78004"</f>
        <v>78004</v>
      </c>
      <c r="W5648">
        <v>0</v>
      </c>
      <c r="X5648">
        <v>0</v>
      </c>
    </row>
    <row r="5649" spans="1:24" ht="15" customHeight="1" x14ac:dyDescent="0.25">
      <c r="A5649" t="str">
        <f>""</f>
        <v/>
      </c>
      <c r="B5649" s="1"/>
      <c r="H5649">
        <v>153.44999999999999</v>
      </c>
      <c r="J5649" t="s">
        <v>20</v>
      </c>
      <c r="L5649" s="1"/>
      <c r="N5649" s="1"/>
      <c r="V5649" t="str">
        <f>"86320"</f>
        <v>86320</v>
      </c>
      <c r="W5649">
        <v>32.22</v>
      </c>
      <c r="X5649">
        <v>0</v>
      </c>
    </row>
    <row r="5650" spans="1:24" ht="15" customHeight="1" x14ac:dyDescent="0.25">
      <c r="A5650" t="str">
        <f>""</f>
        <v/>
      </c>
      <c r="B5650" s="1"/>
      <c r="H5650">
        <v>143.51</v>
      </c>
      <c r="J5650" t="s">
        <v>19</v>
      </c>
      <c r="L5650" s="1"/>
      <c r="N5650" s="1"/>
      <c r="V5650" t="str">
        <f>"61250"</f>
        <v>61250</v>
      </c>
      <c r="W5650">
        <v>24.4</v>
      </c>
      <c r="X5650">
        <v>0</v>
      </c>
    </row>
    <row r="5651" spans="1:24" ht="15" customHeight="1" x14ac:dyDescent="0.25">
      <c r="A5651" t="str">
        <f>""</f>
        <v/>
      </c>
      <c r="B5651" s="1"/>
      <c r="H5651">
        <v>180</v>
      </c>
      <c r="J5651" t="s">
        <v>22</v>
      </c>
      <c r="L5651" s="1"/>
      <c r="N5651" s="1"/>
      <c r="V5651" t="str">
        <f>"13001"</f>
        <v>13001</v>
      </c>
      <c r="W5651">
        <v>0</v>
      </c>
      <c r="X5651">
        <v>0</v>
      </c>
    </row>
    <row r="5652" spans="1:24" ht="15" customHeight="1" x14ac:dyDescent="0.25">
      <c r="A5652" t="str">
        <f>""</f>
        <v/>
      </c>
      <c r="B5652" s="1"/>
      <c r="H5652">
        <v>140</v>
      </c>
      <c r="J5652" t="s">
        <v>22</v>
      </c>
      <c r="L5652" s="1"/>
      <c r="N5652" s="1"/>
      <c r="V5652" t="str">
        <f>"89230"</f>
        <v>89230</v>
      </c>
      <c r="W5652">
        <v>0</v>
      </c>
      <c r="X5652">
        <v>16.8</v>
      </c>
    </row>
    <row r="5653" spans="1:24" ht="15" customHeight="1" x14ac:dyDescent="0.25">
      <c r="A5653" t="str">
        <f>""</f>
        <v/>
      </c>
      <c r="B5653" s="1"/>
      <c r="H5653">
        <v>70</v>
      </c>
      <c r="J5653" t="s">
        <v>23</v>
      </c>
      <c r="L5653" s="1"/>
      <c r="V5653" t="str">
        <f>"77380"</f>
        <v>77380</v>
      </c>
      <c r="W5653">
        <v>0</v>
      </c>
      <c r="X5653">
        <v>0</v>
      </c>
    </row>
    <row r="5654" spans="1:24" ht="15" customHeight="1" x14ac:dyDescent="0.25">
      <c r="A5654" t="str">
        <f>""</f>
        <v/>
      </c>
      <c r="B5654" s="1"/>
      <c r="H5654">
        <v>151</v>
      </c>
      <c r="J5654" t="s">
        <v>23</v>
      </c>
      <c r="L5654" s="1"/>
      <c r="V5654" t="str">
        <f>"21600"</f>
        <v>21600</v>
      </c>
      <c r="W5654">
        <v>0</v>
      </c>
      <c r="X5654">
        <v>0</v>
      </c>
    </row>
    <row r="5655" spans="1:24" ht="15" customHeight="1" x14ac:dyDescent="0.25">
      <c r="A5655" t="str">
        <f>""</f>
        <v/>
      </c>
      <c r="B5655" s="1"/>
      <c r="H5655">
        <v>216.12</v>
      </c>
      <c r="J5655" t="s">
        <v>23</v>
      </c>
      <c r="L5655" s="1"/>
      <c r="N5655" s="1"/>
      <c r="V5655" t="str">
        <f>"59300"</f>
        <v>59300</v>
      </c>
      <c r="W5655">
        <v>0</v>
      </c>
      <c r="X5655">
        <v>0</v>
      </c>
    </row>
    <row r="5656" spans="1:24" ht="15" customHeight="1" x14ac:dyDescent="0.25">
      <c r="A5656" t="str">
        <f>""</f>
        <v/>
      </c>
      <c r="B5656" s="1"/>
      <c r="H5656">
        <v>151</v>
      </c>
      <c r="J5656" t="s">
        <v>23</v>
      </c>
      <c r="L5656" s="1"/>
      <c r="V5656" t="str">
        <f>"69120"</f>
        <v>69120</v>
      </c>
      <c r="W5656">
        <v>0</v>
      </c>
      <c r="X5656">
        <v>0</v>
      </c>
    </row>
    <row r="5657" spans="1:24" ht="15" customHeight="1" x14ac:dyDescent="0.25">
      <c r="A5657" t="str">
        <f>""</f>
        <v/>
      </c>
      <c r="B5657" s="1"/>
      <c r="H5657">
        <v>62.6</v>
      </c>
      <c r="J5657" t="s">
        <v>23</v>
      </c>
      <c r="L5657" s="1"/>
      <c r="N5657" s="1"/>
      <c r="V5657" t="str">
        <f>"24100"</f>
        <v>24100</v>
      </c>
      <c r="W5657">
        <v>0</v>
      </c>
      <c r="X5657">
        <v>10.64</v>
      </c>
    </row>
    <row r="5658" spans="1:24" ht="15" customHeight="1" x14ac:dyDescent="0.25">
      <c r="A5658" t="str">
        <f>""</f>
        <v/>
      </c>
      <c r="B5658" s="1"/>
      <c r="H5658">
        <v>180</v>
      </c>
      <c r="J5658" t="s">
        <v>23</v>
      </c>
      <c r="L5658" s="1"/>
      <c r="N5658" s="1"/>
      <c r="V5658" t="str">
        <f>"50000"</f>
        <v>50000</v>
      </c>
      <c r="W5658">
        <v>0</v>
      </c>
      <c r="X5658">
        <v>30.6</v>
      </c>
    </row>
    <row r="5659" spans="1:24" ht="15" customHeight="1" x14ac:dyDescent="0.25">
      <c r="A5659" t="str">
        <f>""</f>
        <v/>
      </c>
      <c r="B5659" s="1"/>
      <c r="H5659">
        <v>66.3</v>
      </c>
      <c r="J5659" t="s">
        <v>22</v>
      </c>
      <c r="L5659" s="1"/>
      <c r="N5659" s="1"/>
      <c r="V5659" t="str">
        <f>"60410"</f>
        <v>60410</v>
      </c>
      <c r="W5659">
        <v>0</v>
      </c>
      <c r="X5659">
        <v>12.6</v>
      </c>
    </row>
    <row r="5660" spans="1:24" ht="15" customHeight="1" x14ac:dyDescent="0.25">
      <c r="A5660" t="str">
        <f>""</f>
        <v/>
      </c>
      <c r="B5660" s="1"/>
      <c r="H5660">
        <v>140</v>
      </c>
      <c r="J5660" t="s">
        <v>22</v>
      </c>
      <c r="L5660" s="1"/>
      <c r="N5660" s="1"/>
      <c r="V5660" t="str">
        <f>"55000"</f>
        <v>55000</v>
      </c>
      <c r="W5660">
        <v>0</v>
      </c>
      <c r="X5660">
        <v>35</v>
      </c>
    </row>
    <row r="5661" spans="1:24" ht="15" customHeight="1" x14ac:dyDescent="0.25">
      <c r="A5661" t="str">
        <f>""</f>
        <v/>
      </c>
      <c r="B5661" s="1"/>
      <c r="H5661">
        <v>70</v>
      </c>
      <c r="J5661" t="s">
        <v>23</v>
      </c>
      <c r="L5661" s="1"/>
      <c r="N5661" s="1"/>
      <c r="V5661" t="str">
        <f>"02000"</f>
        <v>02000</v>
      </c>
      <c r="W5661">
        <v>0</v>
      </c>
      <c r="X5661">
        <v>0</v>
      </c>
    </row>
    <row r="5662" spans="1:24" ht="15" customHeight="1" x14ac:dyDescent="0.25">
      <c r="A5662" t="str">
        <f>""</f>
        <v/>
      </c>
      <c r="B5662" s="1"/>
      <c r="H5662">
        <v>86.34</v>
      </c>
      <c r="J5662" t="s">
        <v>20</v>
      </c>
      <c r="L5662" s="1"/>
      <c r="N5662" s="1"/>
      <c r="V5662" t="str">
        <f>"67200"</f>
        <v>67200</v>
      </c>
      <c r="W5662">
        <v>25.04</v>
      </c>
      <c r="X5662">
        <v>0</v>
      </c>
    </row>
    <row r="5663" spans="1:24" ht="15" customHeight="1" x14ac:dyDescent="0.25">
      <c r="A5663" t="str">
        <f>""</f>
        <v/>
      </c>
      <c r="B5663" s="1"/>
      <c r="H5663">
        <v>25</v>
      </c>
      <c r="J5663" t="s">
        <v>22</v>
      </c>
      <c r="L5663" s="1"/>
      <c r="V5663" t="str">
        <f>"70000"</f>
        <v>70000</v>
      </c>
      <c r="W5663">
        <v>0</v>
      </c>
      <c r="X5663">
        <v>0</v>
      </c>
    </row>
    <row r="5664" spans="1:24" ht="15" customHeight="1" x14ac:dyDescent="0.25">
      <c r="A5664" t="str">
        <f>""</f>
        <v/>
      </c>
      <c r="B5664" s="1"/>
      <c r="H5664">
        <v>40</v>
      </c>
      <c r="J5664" t="s">
        <v>23</v>
      </c>
      <c r="L5664" s="1"/>
      <c r="N5664" s="1"/>
      <c r="V5664" t="str">
        <f>"64600"</f>
        <v>64600</v>
      </c>
      <c r="W5664">
        <v>0</v>
      </c>
      <c r="X5664">
        <v>6.8</v>
      </c>
    </row>
    <row r="5665" spans="1:24" ht="15" customHeight="1" x14ac:dyDescent="0.25">
      <c r="A5665" t="str">
        <f>""</f>
        <v/>
      </c>
      <c r="B5665" s="1"/>
      <c r="H5665">
        <v>35</v>
      </c>
      <c r="J5665" t="s">
        <v>22</v>
      </c>
      <c r="L5665" s="1"/>
      <c r="V5665" t="str">
        <f>"69200"</f>
        <v>69200</v>
      </c>
      <c r="W5665">
        <v>0</v>
      </c>
      <c r="X5665">
        <v>0</v>
      </c>
    </row>
    <row r="5666" spans="1:24" ht="15" customHeight="1" x14ac:dyDescent="0.25">
      <c r="A5666" t="str">
        <f>""</f>
        <v/>
      </c>
      <c r="B5666" s="1"/>
      <c r="H5666">
        <v>275</v>
      </c>
      <c r="J5666" t="s">
        <v>22</v>
      </c>
      <c r="L5666" s="1"/>
      <c r="N5666" s="1"/>
      <c r="V5666" t="str">
        <f>"69200"</f>
        <v>69200</v>
      </c>
      <c r="W5666">
        <v>0</v>
      </c>
      <c r="X5666">
        <v>0</v>
      </c>
    </row>
    <row r="5667" spans="1:24" ht="15" customHeight="1" x14ac:dyDescent="0.25">
      <c r="A5667" t="str">
        <f>""</f>
        <v/>
      </c>
      <c r="B5667" s="1"/>
      <c r="H5667">
        <v>180</v>
      </c>
      <c r="J5667" t="s">
        <v>22</v>
      </c>
      <c r="L5667" s="1"/>
      <c r="N5667" s="1"/>
      <c r="V5667" t="str">
        <f>"62500"</f>
        <v>62500</v>
      </c>
      <c r="W5667">
        <v>0</v>
      </c>
      <c r="X5667">
        <v>0</v>
      </c>
    </row>
    <row r="5668" spans="1:24" x14ac:dyDescent="0.25">
      <c r="A5668" t="str">
        <f>""</f>
        <v/>
      </c>
      <c r="B5668" s="1"/>
      <c r="H5668">
        <v>52.5</v>
      </c>
      <c r="J5668" t="s">
        <v>15</v>
      </c>
      <c r="L5668" s="1"/>
      <c r="N5668" s="1"/>
      <c r="V5668" t="str">
        <f>"69003"</f>
        <v>69003</v>
      </c>
      <c r="W5668">
        <v>0</v>
      </c>
      <c r="X5668">
        <v>0</v>
      </c>
    </row>
    <row r="5669" spans="1:24" x14ac:dyDescent="0.25">
      <c r="A5669" t="str">
        <f>""</f>
        <v/>
      </c>
      <c r="B5669" s="1"/>
      <c r="H5669">
        <v>52.5</v>
      </c>
      <c r="J5669" t="s">
        <v>15</v>
      </c>
      <c r="L5669" s="1"/>
      <c r="N5669" s="1"/>
      <c r="V5669" t="str">
        <f>"33150"</f>
        <v>33150</v>
      </c>
      <c r="W5669">
        <v>0</v>
      </c>
      <c r="X5669">
        <v>0</v>
      </c>
    </row>
    <row r="5670" spans="1:24" ht="15" customHeight="1" x14ac:dyDescent="0.25">
      <c r="A5670" t="str">
        <f>""</f>
        <v/>
      </c>
      <c r="B5670" s="1"/>
      <c r="H5670">
        <v>140</v>
      </c>
      <c r="J5670" t="s">
        <v>22</v>
      </c>
      <c r="L5670" s="1"/>
      <c r="N5670" s="1"/>
      <c r="V5670" t="str">
        <f>"02700"</f>
        <v>02700</v>
      </c>
      <c r="W5670">
        <v>0</v>
      </c>
      <c r="X5670">
        <v>0</v>
      </c>
    </row>
    <row r="5671" spans="1:24" ht="15" customHeight="1" x14ac:dyDescent="0.25">
      <c r="A5671" t="str">
        <f>""</f>
        <v/>
      </c>
      <c r="B5671" s="1"/>
      <c r="H5671">
        <v>563.23</v>
      </c>
      <c r="J5671" t="s">
        <v>20</v>
      </c>
      <c r="L5671" s="1"/>
      <c r="N5671" s="1"/>
      <c r="V5671" t="str">
        <f>"44350"</f>
        <v>44350</v>
      </c>
      <c r="W5671">
        <v>152.07</v>
      </c>
      <c r="X5671">
        <v>0</v>
      </c>
    </row>
    <row r="5672" spans="1:24" ht="15" customHeight="1" x14ac:dyDescent="0.25">
      <c r="A5672" t="str">
        <f>""</f>
        <v/>
      </c>
      <c r="B5672" s="1"/>
      <c r="H5672">
        <v>32.85</v>
      </c>
      <c r="J5672" t="s">
        <v>19</v>
      </c>
      <c r="L5672" s="1"/>
      <c r="N5672" s="1"/>
      <c r="V5672" t="str">
        <f>"62200"</f>
        <v>62200</v>
      </c>
      <c r="W5672">
        <v>6.24</v>
      </c>
      <c r="X5672">
        <v>0</v>
      </c>
    </row>
    <row r="5673" spans="1:24" ht="15" customHeight="1" x14ac:dyDescent="0.25">
      <c r="A5673" t="str">
        <f>""</f>
        <v/>
      </c>
      <c r="B5673" s="1"/>
      <c r="H5673">
        <v>180</v>
      </c>
      <c r="J5673" t="s">
        <v>22</v>
      </c>
      <c r="L5673" s="1"/>
      <c r="N5673" s="1"/>
      <c r="V5673" t="str">
        <f>"61400"</f>
        <v>61400</v>
      </c>
      <c r="W5673">
        <v>0</v>
      </c>
      <c r="X5673">
        <v>30.6</v>
      </c>
    </row>
    <row r="5674" spans="1:24" ht="15" customHeight="1" x14ac:dyDescent="0.25">
      <c r="A5674" t="str">
        <f>""</f>
        <v/>
      </c>
      <c r="B5674" s="1"/>
      <c r="H5674">
        <v>151</v>
      </c>
      <c r="J5674" t="s">
        <v>22</v>
      </c>
      <c r="L5674" s="1"/>
      <c r="N5674" s="1"/>
      <c r="V5674" t="str">
        <f>"77170"</f>
        <v>77170</v>
      </c>
      <c r="W5674">
        <v>0</v>
      </c>
      <c r="X5674">
        <v>0</v>
      </c>
    </row>
    <row r="5675" spans="1:24" ht="15" customHeight="1" x14ac:dyDescent="0.25">
      <c r="A5675" t="str">
        <f>""</f>
        <v/>
      </c>
      <c r="B5675" s="1"/>
      <c r="H5675">
        <v>33.450000000000003</v>
      </c>
      <c r="J5675" t="s">
        <v>20</v>
      </c>
      <c r="L5675" s="1"/>
      <c r="N5675" s="1"/>
      <c r="V5675" t="str">
        <f>"29690"</f>
        <v>29690</v>
      </c>
      <c r="W5675">
        <v>13.05</v>
      </c>
      <c r="X5675">
        <v>0</v>
      </c>
    </row>
    <row r="5676" spans="1:24" ht="15" customHeight="1" x14ac:dyDescent="0.25">
      <c r="A5676" t="str">
        <f>""</f>
        <v/>
      </c>
      <c r="B5676" s="1"/>
      <c r="H5676">
        <v>19.649999999999999</v>
      </c>
      <c r="J5676" t="s">
        <v>19</v>
      </c>
      <c r="L5676" s="1"/>
      <c r="N5676" s="1"/>
      <c r="V5676" t="str">
        <f>"38300"</f>
        <v>38300</v>
      </c>
      <c r="W5676">
        <v>5.31</v>
      </c>
      <c r="X5676">
        <v>0</v>
      </c>
    </row>
    <row r="5677" spans="1:24" ht="15" customHeight="1" x14ac:dyDescent="0.25">
      <c r="A5677" t="str">
        <f>""</f>
        <v/>
      </c>
      <c r="B5677" s="1"/>
      <c r="H5677">
        <v>193.58</v>
      </c>
      <c r="J5677" t="s">
        <v>23</v>
      </c>
      <c r="L5677" s="1"/>
      <c r="N5677" s="1"/>
      <c r="V5677" t="str">
        <f>"84850"</f>
        <v>84850</v>
      </c>
      <c r="W5677">
        <v>0</v>
      </c>
      <c r="X5677">
        <v>0</v>
      </c>
    </row>
    <row r="5678" spans="1:24" x14ac:dyDescent="0.25">
      <c r="A5678" t="str">
        <f>""</f>
        <v/>
      </c>
      <c r="B5678" s="1"/>
      <c r="H5678">
        <v>23.4</v>
      </c>
      <c r="J5678" t="s">
        <v>15</v>
      </c>
      <c r="L5678" s="1"/>
      <c r="N5678" s="1"/>
      <c r="V5678" t="str">
        <f>"38300"</f>
        <v>38300</v>
      </c>
      <c r="W5678">
        <v>0</v>
      </c>
      <c r="X5678">
        <v>0</v>
      </c>
    </row>
    <row r="5679" spans="1:24" x14ac:dyDescent="0.25">
      <c r="A5679" t="str">
        <f>""</f>
        <v/>
      </c>
      <c r="B5679" s="1"/>
      <c r="H5679">
        <v>80</v>
      </c>
      <c r="J5679" t="s">
        <v>17</v>
      </c>
      <c r="L5679" s="1"/>
      <c r="N5679" s="1"/>
      <c r="V5679" t="str">
        <f>"51100"</f>
        <v>51100</v>
      </c>
      <c r="W5679">
        <v>0</v>
      </c>
      <c r="X5679">
        <v>0</v>
      </c>
    </row>
    <row r="5680" spans="1:24" x14ac:dyDescent="0.25">
      <c r="A5680" t="str">
        <f>""</f>
        <v/>
      </c>
      <c r="B5680" s="1"/>
      <c r="H5680">
        <v>151</v>
      </c>
      <c r="J5680" t="s">
        <v>15</v>
      </c>
      <c r="L5680" s="1"/>
      <c r="N5680" s="1"/>
      <c r="V5680" t="str">
        <f>"67500"</f>
        <v>67500</v>
      </c>
      <c r="W5680">
        <v>0</v>
      </c>
      <c r="X5680">
        <v>0</v>
      </c>
    </row>
    <row r="5681" spans="1:24" x14ac:dyDescent="0.25">
      <c r="A5681" t="str">
        <f>""</f>
        <v/>
      </c>
      <c r="B5681" s="1"/>
      <c r="H5681">
        <v>151</v>
      </c>
      <c r="J5681" t="s">
        <v>15</v>
      </c>
      <c r="L5681" s="1"/>
      <c r="N5681" s="1"/>
      <c r="V5681" t="str">
        <f>"54230"</f>
        <v>54230</v>
      </c>
      <c r="W5681">
        <v>37.75</v>
      </c>
      <c r="X5681">
        <v>0</v>
      </c>
    </row>
    <row r="5682" spans="1:24" ht="15" customHeight="1" x14ac:dyDescent="0.25">
      <c r="A5682" t="str">
        <f>""</f>
        <v/>
      </c>
      <c r="B5682" s="1"/>
      <c r="H5682">
        <v>184.19</v>
      </c>
      <c r="J5682" t="s">
        <v>19</v>
      </c>
      <c r="L5682" s="1"/>
      <c r="N5682" s="1"/>
      <c r="V5682" t="str">
        <f>"16380"</f>
        <v>16380</v>
      </c>
      <c r="W5682">
        <v>38.68</v>
      </c>
      <c r="X5682">
        <v>0</v>
      </c>
    </row>
    <row r="5683" spans="1:24" ht="15" customHeight="1" x14ac:dyDescent="0.25">
      <c r="A5683" t="str">
        <f>""</f>
        <v/>
      </c>
      <c r="B5683" s="1"/>
      <c r="H5683">
        <v>140</v>
      </c>
      <c r="J5683" t="s">
        <v>23</v>
      </c>
      <c r="L5683" s="1"/>
      <c r="N5683" s="1"/>
      <c r="V5683" t="str">
        <f>"75006"</f>
        <v>75006</v>
      </c>
      <c r="W5683">
        <v>0</v>
      </c>
      <c r="X5683">
        <v>0</v>
      </c>
    </row>
    <row r="5684" spans="1:24" ht="15" customHeight="1" x14ac:dyDescent="0.25">
      <c r="A5684" t="str">
        <f>""</f>
        <v/>
      </c>
      <c r="B5684" s="1"/>
      <c r="H5684">
        <v>29.59</v>
      </c>
      <c r="J5684" t="s">
        <v>22</v>
      </c>
      <c r="L5684" s="1"/>
      <c r="N5684" s="1"/>
      <c r="V5684" t="str">
        <f>"92400"</f>
        <v>92400</v>
      </c>
      <c r="W5684">
        <v>0</v>
      </c>
      <c r="X5684">
        <v>0</v>
      </c>
    </row>
    <row r="5685" spans="1:24" x14ac:dyDescent="0.25">
      <c r="A5685" t="str">
        <f>""</f>
        <v/>
      </c>
      <c r="B5685" s="1"/>
      <c r="H5685">
        <v>32</v>
      </c>
      <c r="J5685" t="s">
        <v>17</v>
      </c>
      <c r="L5685" s="1"/>
      <c r="N5685" s="1"/>
      <c r="V5685" t="str">
        <f>"57000"</f>
        <v>57000</v>
      </c>
      <c r="W5685">
        <v>0</v>
      </c>
      <c r="X5685">
        <v>0</v>
      </c>
    </row>
    <row r="5686" spans="1:24" ht="15" customHeight="1" x14ac:dyDescent="0.25">
      <c r="A5686" t="str">
        <f>""</f>
        <v/>
      </c>
      <c r="B5686" s="1"/>
      <c r="H5686">
        <v>40</v>
      </c>
      <c r="J5686" t="s">
        <v>23</v>
      </c>
      <c r="L5686" s="1"/>
      <c r="N5686" s="1"/>
      <c r="V5686" t="str">
        <f>"94800"</f>
        <v>94800</v>
      </c>
      <c r="W5686">
        <v>0</v>
      </c>
      <c r="X5686">
        <v>0</v>
      </c>
    </row>
    <row r="5687" spans="1:24" ht="15" customHeight="1" x14ac:dyDescent="0.25">
      <c r="A5687" t="str">
        <f>""</f>
        <v/>
      </c>
      <c r="B5687" s="1"/>
      <c r="H5687">
        <v>151</v>
      </c>
      <c r="J5687" t="s">
        <v>22</v>
      </c>
      <c r="L5687" s="1"/>
      <c r="N5687" s="1"/>
      <c r="V5687" t="str">
        <f>"06560"</f>
        <v>06560</v>
      </c>
      <c r="W5687">
        <v>0</v>
      </c>
      <c r="X5687">
        <v>0</v>
      </c>
    </row>
    <row r="5688" spans="1:24" ht="15" customHeight="1" x14ac:dyDescent="0.25">
      <c r="A5688" t="str">
        <f>""</f>
        <v/>
      </c>
      <c r="B5688" s="1"/>
      <c r="H5688">
        <v>140</v>
      </c>
      <c r="J5688" t="s">
        <v>23</v>
      </c>
      <c r="L5688" s="1"/>
      <c r="N5688" s="1"/>
      <c r="V5688" t="str">
        <f>"63760"</f>
        <v>63760</v>
      </c>
      <c r="W5688">
        <v>0</v>
      </c>
      <c r="X5688">
        <v>16.8</v>
      </c>
    </row>
    <row r="5689" spans="1:24" ht="15" customHeight="1" x14ac:dyDescent="0.25">
      <c r="A5689" t="str">
        <f>""</f>
        <v/>
      </c>
      <c r="B5689" s="1"/>
      <c r="H5689">
        <v>195.25</v>
      </c>
      <c r="J5689" t="s">
        <v>22</v>
      </c>
      <c r="L5689" s="1"/>
      <c r="N5689" s="1"/>
      <c r="V5689" t="str">
        <f>"75014"</f>
        <v>75014</v>
      </c>
      <c r="W5689">
        <v>0</v>
      </c>
      <c r="X5689">
        <v>0</v>
      </c>
    </row>
    <row r="5690" spans="1:24" ht="15" customHeight="1" x14ac:dyDescent="0.25">
      <c r="A5690" t="str">
        <f>""</f>
        <v/>
      </c>
      <c r="B5690" s="1"/>
      <c r="H5690">
        <v>58.2</v>
      </c>
      <c r="J5690" t="s">
        <v>22</v>
      </c>
      <c r="L5690" s="1"/>
      <c r="N5690" s="1"/>
      <c r="V5690" t="str">
        <f>"75014"</f>
        <v>75014</v>
      </c>
      <c r="W5690">
        <v>0</v>
      </c>
      <c r="X5690">
        <v>0</v>
      </c>
    </row>
    <row r="5691" spans="1:24" ht="15" customHeight="1" x14ac:dyDescent="0.25">
      <c r="A5691" t="str">
        <f>""</f>
        <v/>
      </c>
      <c r="B5691" s="1"/>
      <c r="H5691">
        <v>119</v>
      </c>
      <c r="J5691" t="s">
        <v>22</v>
      </c>
      <c r="L5691" s="1"/>
      <c r="N5691" s="1"/>
      <c r="V5691" t="str">
        <f>"75016"</f>
        <v>75016</v>
      </c>
      <c r="W5691">
        <v>0</v>
      </c>
      <c r="X5691">
        <v>0</v>
      </c>
    </row>
    <row r="5692" spans="1:24" ht="15" customHeight="1" x14ac:dyDescent="0.25">
      <c r="A5692" t="str">
        <f>""</f>
        <v/>
      </c>
      <c r="B5692" s="1"/>
      <c r="H5692">
        <v>134.57</v>
      </c>
      <c r="J5692" t="s">
        <v>19</v>
      </c>
      <c r="L5692" s="1"/>
      <c r="N5692" s="1"/>
      <c r="V5692" t="str">
        <f>"72000"</f>
        <v>72000</v>
      </c>
      <c r="W5692">
        <v>28.26</v>
      </c>
      <c r="X5692">
        <v>0</v>
      </c>
    </row>
    <row r="5693" spans="1:24" ht="15" customHeight="1" x14ac:dyDescent="0.25">
      <c r="A5693" t="str">
        <f>""</f>
        <v/>
      </c>
      <c r="B5693" s="1"/>
      <c r="H5693">
        <v>29.59</v>
      </c>
      <c r="J5693" t="s">
        <v>22</v>
      </c>
      <c r="L5693" s="1"/>
      <c r="N5693" s="1"/>
      <c r="V5693" t="str">
        <f>"06730"</f>
        <v>06730</v>
      </c>
      <c r="W5693">
        <v>0</v>
      </c>
      <c r="X5693">
        <v>0</v>
      </c>
    </row>
    <row r="5694" spans="1:24" x14ac:dyDescent="0.25">
      <c r="A5694" t="str">
        <f>""</f>
        <v/>
      </c>
      <c r="B5694" s="1"/>
      <c r="H5694">
        <v>140</v>
      </c>
      <c r="J5694" t="s">
        <v>18</v>
      </c>
      <c r="L5694" s="1"/>
      <c r="N5694" s="1"/>
      <c r="V5694" t="str">
        <f>"92500"</f>
        <v>92500</v>
      </c>
      <c r="W5694">
        <v>0</v>
      </c>
      <c r="X5694">
        <v>0</v>
      </c>
    </row>
    <row r="5695" spans="1:24" ht="15" customHeight="1" x14ac:dyDescent="0.25">
      <c r="A5695" t="str">
        <f>""</f>
        <v/>
      </c>
      <c r="B5695" s="1"/>
      <c r="H5695">
        <v>399.54</v>
      </c>
      <c r="J5695" t="s">
        <v>20</v>
      </c>
      <c r="L5695" s="1"/>
      <c r="N5695" s="1"/>
      <c r="V5695" t="str">
        <f>"79260"</f>
        <v>79260</v>
      </c>
      <c r="W5695">
        <v>83.9</v>
      </c>
      <c r="X5695">
        <v>0</v>
      </c>
    </row>
    <row r="5696" spans="1:24" ht="15" customHeight="1" x14ac:dyDescent="0.25">
      <c r="A5696" t="str">
        <f>""</f>
        <v/>
      </c>
      <c r="B5696" s="1"/>
      <c r="H5696">
        <v>84.5</v>
      </c>
      <c r="L5696" s="1"/>
      <c r="N5696" s="1"/>
      <c r="V5696" t="str">
        <f>"77184"</f>
        <v>77184</v>
      </c>
      <c r="W5696">
        <v>0</v>
      </c>
      <c r="X5696">
        <v>0</v>
      </c>
    </row>
    <row r="5697" spans="1:24" ht="15" customHeight="1" x14ac:dyDescent="0.25">
      <c r="A5697" t="str">
        <f>""</f>
        <v/>
      </c>
      <c r="B5697" s="1"/>
      <c r="H5697">
        <v>174.26</v>
      </c>
      <c r="J5697" t="s">
        <v>19</v>
      </c>
      <c r="L5697" s="1"/>
      <c r="N5697" s="1"/>
      <c r="V5697" t="str">
        <f>"75009"</f>
        <v>75009</v>
      </c>
      <c r="W5697">
        <v>0</v>
      </c>
      <c r="X5697">
        <v>0</v>
      </c>
    </row>
    <row r="5698" spans="1:24" ht="15" customHeight="1" x14ac:dyDescent="0.25">
      <c r="A5698" t="str">
        <f>""</f>
        <v/>
      </c>
      <c r="B5698" s="1"/>
      <c r="H5698">
        <v>174.26</v>
      </c>
      <c r="J5698" t="s">
        <v>19</v>
      </c>
      <c r="L5698" s="1"/>
      <c r="N5698" s="1"/>
      <c r="V5698" t="str">
        <f>"75008"</f>
        <v>75008</v>
      </c>
      <c r="W5698">
        <v>0</v>
      </c>
      <c r="X5698">
        <v>0</v>
      </c>
    </row>
    <row r="5699" spans="1:24" ht="15" customHeight="1" x14ac:dyDescent="0.25">
      <c r="A5699" t="str">
        <f>""</f>
        <v/>
      </c>
      <c r="B5699" s="1"/>
      <c r="H5699">
        <v>870</v>
      </c>
      <c r="J5699" t="s">
        <v>19</v>
      </c>
      <c r="L5699" s="1"/>
      <c r="N5699" s="1"/>
      <c r="V5699" t="str">
        <f>"13790"</f>
        <v>13790</v>
      </c>
      <c r="W5699">
        <v>635.1</v>
      </c>
      <c r="X5699">
        <v>0</v>
      </c>
    </row>
    <row r="5700" spans="1:24" ht="15" customHeight="1" x14ac:dyDescent="0.25">
      <c r="A5700" t="str">
        <f>""</f>
        <v/>
      </c>
      <c r="B5700" s="1"/>
      <c r="H5700">
        <v>220.98</v>
      </c>
      <c r="J5700" t="s">
        <v>20</v>
      </c>
      <c r="L5700" s="1"/>
      <c r="N5700" s="1"/>
      <c r="V5700" t="str">
        <f>"54950"</f>
        <v>54950</v>
      </c>
      <c r="W5700">
        <v>55.25</v>
      </c>
      <c r="X5700">
        <v>0</v>
      </c>
    </row>
    <row r="5701" spans="1:24" ht="15" customHeight="1" x14ac:dyDescent="0.25">
      <c r="A5701" t="str">
        <f>""</f>
        <v/>
      </c>
      <c r="B5701" s="1"/>
      <c r="H5701">
        <v>154.03</v>
      </c>
      <c r="J5701" t="s">
        <v>19</v>
      </c>
      <c r="L5701" s="1"/>
      <c r="N5701" s="1"/>
      <c r="V5701" t="str">
        <f>"42160"</f>
        <v>42160</v>
      </c>
      <c r="W5701">
        <v>41.59</v>
      </c>
      <c r="X5701">
        <v>0</v>
      </c>
    </row>
    <row r="5702" spans="1:24" ht="15" customHeight="1" x14ac:dyDescent="0.25">
      <c r="A5702" t="str">
        <f>""</f>
        <v/>
      </c>
      <c r="B5702" s="1"/>
      <c r="H5702">
        <v>435.96</v>
      </c>
      <c r="J5702" t="s">
        <v>23</v>
      </c>
      <c r="L5702" s="1"/>
      <c r="N5702" s="1"/>
      <c r="V5702" t="str">
        <f>"21850"</f>
        <v>21850</v>
      </c>
      <c r="W5702">
        <v>0</v>
      </c>
      <c r="X5702">
        <v>52.32</v>
      </c>
    </row>
    <row r="5703" spans="1:24" ht="15" customHeight="1" x14ac:dyDescent="0.25">
      <c r="A5703" t="str">
        <f>""</f>
        <v/>
      </c>
      <c r="B5703" s="1"/>
      <c r="H5703">
        <v>171.28</v>
      </c>
      <c r="J5703" t="s">
        <v>19</v>
      </c>
      <c r="L5703" s="1"/>
      <c r="N5703" s="1"/>
      <c r="V5703" t="str">
        <f>"60950"</f>
        <v>60950</v>
      </c>
      <c r="W5703">
        <v>32.54</v>
      </c>
      <c r="X5703">
        <v>0</v>
      </c>
    </row>
    <row r="5704" spans="1:24" ht="15" customHeight="1" x14ac:dyDescent="0.25">
      <c r="A5704" t="str">
        <f>""</f>
        <v/>
      </c>
      <c r="B5704" s="1"/>
      <c r="H5704">
        <v>55.16</v>
      </c>
      <c r="J5704" t="s">
        <v>19</v>
      </c>
      <c r="L5704" s="1"/>
      <c r="N5704" s="1"/>
      <c r="V5704" t="str">
        <f>"26000"</f>
        <v>26000</v>
      </c>
      <c r="W5704">
        <v>14.89</v>
      </c>
      <c r="X5704">
        <v>0</v>
      </c>
    </row>
    <row r="5705" spans="1:24" ht="15" customHeight="1" x14ac:dyDescent="0.25">
      <c r="A5705" t="str">
        <f>""</f>
        <v/>
      </c>
      <c r="B5705" s="1"/>
      <c r="H5705">
        <v>55.16</v>
      </c>
      <c r="J5705" t="s">
        <v>19</v>
      </c>
      <c r="L5705" s="1"/>
      <c r="N5705" s="1"/>
      <c r="V5705" t="str">
        <f>"73200"</f>
        <v>73200</v>
      </c>
      <c r="W5705">
        <v>14.89</v>
      </c>
      <c r="X5705">
        <v>0</v>
      </c>
    </row>
    <row r="5706" spans="1:24" ht="15" customHeight="1" x14ac:dyDescent="0.25">
      <c r="A5706" t="str">
        <f>""</f>
        <v/>
      </c>
      <c r="B5706" s="1"/>
      <c r="H5706">
        <v>20.23</v>
      </c>
      <c r="J5706" t="s">
        <v>19</v>
      </c>
      <c r="L5706" s="1"/>
      <c r="N5706" s="1"/>
      <c r="V5706" t="str">
        <f>"14200"</f>
        <v>14200</v>
      </c>
      <c r="W5706">
        <v>3.44</v>
      </c>
      <c r="X5706">
        <v>0</v>
      </c>
    </row>
    <row r="5707" spans="1:24" ht="15" customHeight="1" x14ac:dyDescent="0.25">
      <c r="A5707" t="str">
        <f>""</f>
        <v/>
      </c>
      <c r="B5707" s="1"/>
      <c r="H5707">
        <v>49.08</v>
      </c>
      <c r="J5707" t="s">
        <v>19</v>
      </c>
      <c r="L5707" s="1"/>
      <c r="N5707" s="1"/>
      <c r="V5707" t="str">
        <f>"56920"</f>
        <v>56920</v>
      </c>
      <c r="W5707">
        <v>13.25</v>
      </c>
      <c r="X5707">
        <v>0</v>
      </c>
    </row>
    <row r="5708" spans="1:24" ht="15" customHeight="1" x14ac:dyDescent="0.25">
      <c r="A5708" t="str">
        <f>""</f>
        <v/>
      </c>
      <c r="B5708" s="1"/>
      <c r="H5708">
        <v>49.08</v>
      </c>
      <c r="J5708" t="s">
        <v>19</v>
      </c>
      <c r="L5708" s="1"/>
      <c r="N5708" s="1"/>
      <c r="V5708" t="str">
        <f>"56920"</f>
        <v>56920</v>
      </c>
      <c r="W5708">
        <v>13.25</v>
      </c>
      <c r="X5708">
        <v>0</v>
      </c>
    </row>
    <row r="5709" spans="1:24" ht="15" customHeight="1" x14ac:dyDescent="0.25">
      <c r="A5709" t="str">
        <f>""</f>
        <v/>
      </c>
      <c r="B5709" s="1"/>
      <c r="H5709">
        <v>49.08</v>
      </c>
      <c r="J5709" t="s">
        <v>19</v>
      </c>
      <c r="L5709" s="1"/>
      <c r="N5709" s="1"/>
      <c r="V5709" t="str">
        <f>"56920"</f>
        <v>56920</v>
      </c>
      <c r="W5709">
        <v>13.25</v>
      </c>
      <c r="X5709">
        <v>0</v>
      </c>
    </row>
    <row r="5710" spans="1:24" ht="15" customHeight="1" x14ac:dyDescent="0.25">
      <c r="A5710" t="str">
        <f>""</f>
        <v/>
      </c>
      <c r="B5710" s="1"/>
      <c r="H5710">
        <v>193.58</v>
      </c>
      <c r="J5710" t="s">
        <v>22</v>
      </c>
      <c r="L5710" s="1"/>
      <c r="N5710" s="1"/>
      <c r="V5710" t="str">
        <f>"84000"</f>
        <v>84000</v>
      </c>
      <c r="W5710">
        <v>0</v>
      </c>
      <c r="X5710">
        <v>36.78</v>
      </c>
    </row>
    <row r="5711" spans="1:24" ht="15" customHeight="1" x14ac:dyDescent="0.25">
      <c r="A5711" t="str">
        <f>""</f>
        <v/>
      </c>
      <c r="B5711" s="1"/>
      <c r="H5711">
        <v>34.24</v>
      </c>
      <c r="J5711" t="s">
        <v>22</v>
      </c>
      <c r="L5711" s="1"/>
      <c r="N5711" s="1"/>
      <c r="V5711" t="str">
        <f>"75013"</f>
        <v>75013</v>
      </c>
      <c r="W5711">
        <v>0</v>
      </c>
      <c r="X5711">
        <v>0</v>
      </c>
    </row>
    <row r="5712" spans="1:24" ht="15" customHeight="1" x14ac:dyDescent="0.25">
      <c r="A5712" t="str">
        <f>""</f>
        <v/>
      </c>
      <c r="B5712" s="1"/>
      <c r="H5712">
        <v>65.8</v>
      </c>
      <c r="J5712" t="s">
        <v>20</v>
      </c>
      <c r="L5712" s="1"/>
      <c r="N5712" s="1"/>
      <c r="V5712" t="str">
        <f>"67120"</f>
        <v>67120</v>
      </c>
      <c r="W5712">
        <v>19.079999999999998</v>
      </c>
      <c r="X5712">
        <v>0</v>
      </c>
    </row>
    <row r="5713" spans="1:24" ht="15" customHeight="1" x14ac:dyDescent="0.25">
      <c r="A5713" t="str">
        <f>""</f>
        <v/>
      </c>
      <c r="B5713" s="1"/>
      <c r="H5713">
        <v>151</v>
      </c>
      <c r="J5713" t="s">
        <v>23</v>
      </c>
      <c r="L5713" s="1"/>
      <c r="N5713" s="1"/>
      <c r="V5713" t="str">
        <f>"13006"</f>
        <v>13006</v>
      </c>
      <c r="W5713">
        <v>0</v>
      </c>
      <c r="X5713">
        <v>69.459999999999994</v>
      </c>
    </row>
    <row r="5714" spans="1:24" ht="15" customHeight="1" x14ac:dyDescent="0.25">
      <c r="A5714" t="str">
        <f>""</f>
        <v/>
      </c>
      <c r="B5714" s="1"/>
      <c r="H5714">
        <v>174.85</v>
      </c>
      <c r="J5714" t="s">
        <v>22</v>
      </c>
      <c r="L5714" s="1"/>
      <c r="N5714" s="1"/>
      <c r="V5714" t="str">
        <f>"25400"</f>
        <v>25400</v>
      </c>
      <c r="W5714">
        <v>0</v>
      </c>
      <c r="X5714">
        <v>20.98</v>
      </c>
    </row>
    <row r="5715" spans="1:24" ht="15" customHeight="1" x14ac:dyDescent="0.25">
      <c r="A5715" t="str">
        <f>""</f>
        <v/>
      </c>
      <c r="B5715" s="1"/>
      <c r="H5715">
        <v>140</v>
      </c>
      <c r="J5715" t="s">
        <v>22</v>
      </c>
      <c r="L5715" s="1"/>
      <c r="N5715" s="1"/>
      <c r="V5715" t="str">
        <f>"27290"</f>
        <v>27290</v>
      </c>
      <c r="W5715">
        <v>0</v>
      </c>
      <c r="X5715">
        <v>23.8</v>
      </c>
    </row>
    <row r="5716" spans="1:24" x14ac:dyDescent="0.25">
      <c r="A5716" t="str">
        <f>""</f>
        <v/>
      </c>
      <c r="B5716" s="1"/>
      <c r="J5716" t="s">
        <v>16</v>
      </c>
      <c r="L5716" s="1"/>
      <c r="N5716" s="1"/>
      <c r="V5716" t="str">
        <f>"59800"</f>
        <v>59800</v>
      </c>
      <c r="W5716">
        <v>0</v>
      </c>
      <c r="X5716">
        <v>0</v>
      </c>
    </row>
    <row r="5717" spans="1:24" ht="15" customHeight="1" x14ac:dyDescent="0.25">
      <c r="A5717" t="str">
        <f>""</f>
        <v/>
      </c>
      <c r="B5717" s="1"/>
      <c r="H5717">
        <v>84.5</v>
      </c>
      <c r="L5717" s="1"/>
      <c r="N5717" s="1"/>
      <c r="V5717" t="str">
        <f>"77184"</f>
        <v>77184</v>
      </c>
      <c r="W5717">
        <v>0</v>
      </c>
      <c r="X5717">
        <v>0</v>
      </c>
    </row>
    <row r="5718" spans="1:24" ht="15" customHeight="1" x14ac:dyDescent="0.25">
      <c r="A5718" t="str">
        <f>""</f>
        <v/>
      </c>
      <c r="B5718" s="1"/>
      <c r="H5718">
        <v>180</v>
      </c>
      <c r="J5718" t="s">
        <v>22</v>
      </c>
      <c r="L5718" s="1"/>
      <c r="N5718" s="1"/>
      <c r="V5718" t="str">
        <f>"62600"</f>
        <v>62600</v>
      </c>
      <c r="W5718">
        <v>0</v>
      </c>
      <c r="X5718">
        <v>0</v>
      </c>
    </row>
    <row r="5719" spans="1:24" ht="15" customHeight="1" x14ac:dyDescent="0.25">
      <c r="A5719" t="str">
        <f>""</f>
        <v/>
      </c>
      <c r="B5719" s="1"/>
      <c r="H5719">
        <v>26.6</v>
      </c>
      <c r="J5719" t="s">
        <v>22</v>
      </c>
      <c r="L5719" s="1"/>
      <c r="N5719" s="1"/>
      <c r="V5719" t="str">
        <f>"34120"</f>
        <v>34120</v>
      </c>
      <c r="W5719">
        <v>0</v>
      </c>
      <c r="X5719">
        <v>14.63</v>
      </c>
    </row>
    <row r="5720" spans="1:24" ht="15" customHeight="1" x14ac:dyDescent="0.25">
      <c r="A5720" t="str">
        <f>""</f>
        <v/>
      </c>
      <c r="B5720" s="1"/>
      <c r="H5720">
        <v>12</v>
      </c>
      <c r="J5720" t="s">
        <v>19</v>
      </c>
      <c r="L5720" s="1"/>
      <c r="N5720" s="1"/>
      <c r="V5720" t="str">
        <f>"88100"</f>
        <v>88100</v>
      </c>
      <c r="W5720">
        <v>0</v>
      </c>
      <c r="X5720">
        <v>0</v>
      </c>
    </row>
    <row r="5721" spans="1:24" ht="15" customHeight="1" x14ac:dyDescent="0.25">
      <c r="A5721" t="str">
        <f>""</f>
        <v/>
      </c>
      <c r="B5721" s="1"/>
      <c r="H5721">
        <v>60</v>
      </c>
      <c r="J5721" t="s">
        <v>20</v>
      </c>
      <c r="L5721" s="1"/>
      <c r="N5721" s="1"/>
      <c r="V5721" t="str">
        <f>"31670"</f>
        <v>31670</v>
      </c>
      <c r="W5721">
        <v>13.2</v>
      </c>
      <c r="X5721">
        <v>0</v>
      </c>
    </row>
    <row r="5722" spans="1:24" ht="15" customHeight="1" x14ac:dyDescent="0.25">
      <c r="A5722" t="str">
        <f>""</f>
        <v/>
      </c>
      <c r="B5722" s="1"/>
      <c r="H5722">
        <v>151</v>
      </c>
      <c r="J5722" t="s">
        <v>20</v>
      </c>
      <c r="L5722" s="1"/>
      <c r="N5722" s="1"/>
      <c r="V5722" t="str">
        <f>"94150"</f>
        <v>94150</v>
      </c>
      <c r="W5722">
        <v>0</v>
      </c>
      <c r="X5722">
        <v>0</v>
      </c>
    </row>
    <row r="5723" spans="1:24" ht="15" customHeight="1" x14ac:dyDescent="0.25">
      <c r="A5723" t="str">
        <f>""</f>
        <v/>
      </c>
      <c r="B5723" s="1"/>
      <c r="H5723">
        <v>180</v>
      </c>
      <c r="L5723" s="1"/>
      <c r="N5723" s="1"/>
      <c r="V5723" t="str">
        <f>"77184"</f>
        <v>77184</v>
      </c>
      <c r="W5723">
        <v>0</v>
      </c>
      <c r="X5723">
        <v>0</v>
      </c>
    </row>
    <row r="5724" spans="1:24" ht="15" customHeight="1" x14ac:dyDescent="0.25">
      <c r="A5724" t="str">
        <f>""</f>
        <v/>
      </c>
      <c r="B5724" s="1"/>
      <c r="H5724">
        <v>140</v>
      </c>
      <c r="L5724" s="1"/>
      <c r="N5724" s="1"/>
      <c r="V5724" t="str">
        <f>"77184"</f>
        <v>77184</v>
      </c>
      <c r="W5724">
        <v>0</v>
      </c>
      <c r="X5724">
        <v>0</v>
      </c>
    </row>
    <row r="5725" spans="1:24" ht="15" customHeight="1" x14ac:dyDescent="0.25">
      <c r="A5725" t="str">
        <f>""</f>
        <v/>
      </c>
      <c r="B5725" s="1"/>
      <c r="H5725">
        <v>143.57</v>
      </c>
      <c r="J5725" t="s">
        <v>20</v>
      </c>
      <c r="L5725" s="1"/>
      <c r="N5725" s="1"/>
      <c r="V5725" t="str">
        <f>"14000"</f>
        <v>14000</v>
      </c>
      <c r="W5725">
        <v>24.41</v>
      </c>
      <c r="X5725">
        <v>0</v>
      </c>
    </row>
    <row r="5726" spans="1:24" ht="15" customHeight="1" x14ac:dyDescent="0.25">
      <c r="A5726" t="str">
        <f>""</f>
        <v/>
      </c>
      <c r="B5726" s="1"/>
      <c r="H5726">
        <v>34</v>
      </c>
      <c r="L5726" s="1"/>
      <c r="N5726" s="1"/>
      <c r="V5726" t="str">
        <f>"44240"</f>
        <v>44240</v>
      </c>
      <c r="W5726">
        <v>0</v>
      </c>
      <c r="X5726">
        <v>0</v>
      </c>
    </row>
    <row r="5727" spans="1:24" ht="15" customHeight="1" x14ac:dyDescent="0.25">
      <c r="A5727" t="str">
        <f>""</f>
        <v/>
      </c>
      <c r="B5727" s="1"/>
      <c r="H5727">
        <v>22.5</v>
      </c>
      <c r="L5727" s="1"/>
      <c r="N5727" s="1"/>
      <c r="V5727" t="str">
        <f>"44240"</f>
        <v>44240</v>
      </c>
      <c r="W5727">
        <v>0</v>
      </c>
      <c r="X5727">
        <v>0</v>
      </c>
    </row>
    <row r="5728" spans="1:24" ht="15" customHeight="1" x14ac:dyDescent="0.25">
      <c r="A5728" t="str">
        <f>""</f>
        <v/>
      </c>
      <c r="B5728" s="1"/>
      <c r="H5728">
        <v>223.17</v>
      </c>
      <c r="L5728" s="1"/>
      <c r="N5728" s="1"/>
      <c r="V5728" t="str">
        <f>"44240"</f>
        <v>44240</v>
      </c>
      <c r="W5728">
        <v>0</v>
      </c>
      <c r="X5728">
        <v>0</v>
      </c>
    </row>
    <row r="5729" spans="1:24" ht="15" customHeight="1" x14ac:dyDescent="0.25">
      <c r="A5729" t="str">
        <f>""</f>
        <v/>
      </c>
      <c r="B5729" s="1"/>
      <c r="H5729">
        <v>187.33</v>
      </c>
      <c r="J5729" t="s">
        <v>19</v>
      </c>
      <c r="L5729" s="1"/>
      <c r="N5729" s="1"/>
      <c r="V5729" t="str">
        <f>"62740"</f>
        <v>62740</v>
      </c>
      <c r="W5729">
        <v>35.590000000000003</v>
      </c>
      <c r="X5729">
        <v>0</v>
      </c>
    </row>
    <row r="5730" spans="1:24" ht="15" customHeight="1" x14ac:dyDescent="0.25">
      <c r="A5730" t="str">
        <f>""</f>
        <v/>
      </c>
      <c r="B5730" s="1"/>
      <c r="H5730">
        <v>15.8</v>
      </c>
      <c r="J5730" t="s">
        <v>19</v>
      </c>
      <c r="L5730" s="1"/>
      <c r="N5730" s="1"/>
      <c r="V5730" t="str">
        <f>"88250"</f>
        <v>88250</v>
      </c>
      <c r="W5730">
        <v>4.58</v>
      </c>
      <c r="X5730">
        <v>0</v>
      </c>
    </row>
    <row r="5731" spans="1:24" ht="15" customHeight="1" x14ac:dyDescent="0.25">
      <c r="A5731" t="str">
        <f>""</f>
        <v/>
      </c>
      <c r="B5731" s="1"/>
      <c r="H5731">
        <v>25</v>
      </c>
      <c r="L5731" s="1"/>
      <c r="N5731" s="1"/>
      <c r="V5731" t="str">
        <f>"77184"</f>
        <v>77184</v>
      </c>
      <c r="W5731">
        <v>0</v>
      </c>
      <c r="X5731">
        <v>0</v>
      </c>
    </row>
    <row r="5732" spans="1:24" ht="15" customHeight="1" x14ac:dyDescent="0.25">
      <c r="A5732" t="str">
        <f>""</f>
        <v/>
      </c>
      <c r="B5732" s="1"/>
      <c r="H5732">
        <v>139</v>
      </c>
      <c r="L5732" s="1"/>
      <c r="N5732" s="1"/>
      <c r="V5732" t="str">
        <f>"77184"</f>
        <v>77184</v>
      </c>
      <c r="W5732">
        <v>0</v>
      </c>
      <c r="X5732">
        <v>0</v>
      </c>
    </row>
    <row r="5733" spans="1:24" ht="15" customHeight="1" x14ac:dyDescent="0.25">
      <c r="A5733" t="str">
        <f>""</f>
        <v/>
      </c>
      <c r="B5733" s="1"/>
      <c r="H5733">
        <v>68</v>
      </c>
      <c r="L5733" s="1"/>
      <c r="N5733" s="1"/>
      <c r="V5733" t="str">
        <f>"77184"</f>
        <v>77184</v>
      </c>
      <c r="W5733">
        <v>0</v>
      </c>
      <c r="X5733">
        <v>0</v>
      </c>
    </row>
    <row r="5734" spans="1:24" ht="15" customHeight="1" x14ac:dyDescent="0.25">
      <c r="A5734" t="str">
        <f>""</f>
        <v/>
      </c>
      <c r="B5734" s="1"/>
      <c r="H5734">
        <v>60</v>
      </c>
      <c r="J5734" t="s">
        <v>23</v>
      </c>
      <c r="L5734" s="1"/>
      <c r="N5734" s="1"/>
      <c r="V5734" t="str">
        <f>"67000"</f>
        <v>67000</v>
      </c>
      <c r="W5734">
        <v>0</v>
      </c>
      <c r="X5734">
        <v>4.8</v>
      </c>
    </row>
    <row r="5735" spans="1:24" ht="15" customHeight="1" x14ac:dyDescent="0.25">
      <c r="A5735" t="str">
        <f>""</f>
        <v/>
      </c>
      <c r="B5735" s="1"/>
      <c r="H5735">
        <v>330</v>
      </c>
      <c r="L5735" s="1"/>
      <c r="N5735" s="1"/>
      <c r="V5735" t="str">
        <f>"77184"</f>
        <v>77184</v>
      </c>
      <c r="W5735">
        <v>0</v>
      </c>
      <c r="X5735">
        <v>0</v>
      </c>
    </row>
    <row r="5736" spans="1:24" x14ac:dyDescent="0.25">
      <c r="A5736" t="str">
        <f>""</f>
        <v/>
      </c>
      <c r="B5736" s="1"/>
      <c r="H5736">
        <v>18.8</v>
      </c>
      <c r="J5736" t="s">
        <v>16</v>
      </c>
      <c r="L5736" s="1"/>
      <c r="N5736" s="1"/>
      <c r="V5736" t="str">
        <f>"56920"</f>
        <v>56920</v>
      </c>
      <c r="W5736">
        <v>5.08</v>
      </c>
      <c r="X5736">
        <v>0</v>
      </c>
    </row>
    <row r="5737" spans="1:24" ht="15" customHeight="1" x14ac:dyDescent="0.25">
      <c r="A5737" t="str">
        <f>""</f>
        <v/>
      </c>
      <c r="B5737" s="1"/>
      <c r="H5737">
        <v>180</v>
      </c>
      <c r="J5737" t="s">
        <v>20</v>
      </c>
      <c r="L5737" s="1"/>
      <c r="N5737" s="1"/>
      <c r="V5737" t="str">
        <f>"69150"</f>
        <v>69150</v>
      </c>
      <c r="W5737">
        <v>48.6</v>
      </c>
      <c r="X5737">
        <v>0</v>
      </c>
    </row>
    <row r="5738" spans="1:24" ht="15" customHeight="1" x14ac:dyDescent="0.25">
      <c r="A5738" t="str">
        <f>""</f>
        <v/>
      </c>
      <c r="B5738" s="1"/>
      <c r="H5738">
        <v>150</v>
      </c>
      <c r="L5738" s="1"/>
      <c r="N5738" s="1"/>
      <c r="V5738" t="str">
        <f>"77184"</f>
        <v>77184</v>
      </c>
      <c r="W5738">
        <v>0</v>
      </c>
      <c r="X5738">
        <v>0</v>
      </c>
    </row>
    <row r="5739" spans="1:24" ht="15" customHeight="1" x14ac:dyDescent="0.25">
      <c r="A5739" t="str">
        <f>""</f>
        <v/>
      </c>
      <c r="B5739" s="1"/>
      <c r="H5739">
        <v>170</v>
      </c>
      <c r="L5739" s="1"/>
      <c r="N5739" s="1"/>
      <c r="V5739" t="str">
        <f>"77184"</f>
        <v>77184</v>
      </c>
      <c r="W5739">
        <v>0</v>
      </c>
      <c r="X5739">
        <v>0</v>
      </c>
    </row>
    <row r="5740" spans="1:24" ht="15" customHeight="1" x14ac:dyDescent="0.25">
      <c r="A5740" t="str">
        <f>""</f>
        <v/>
      </c>
      <c r="B5740" s="1"/>
      <c r="H5740">
        <v>171</v>
      </c>
      <c r="L5740" s="1"/>
      <c r="N5740" s="1"/>
      <c r="V5740" t="str">
        <f>"77184"</f>
        <v>77184</v>
      </c>
      <c r="W5740">
        <v>0</v>
      </c>
      <c r="X5740">
        <v>0</v>
      </c>
    </row>
    <row r="5741" spans="1:24" ht="15" customHeight="1" x14ac:dyDescent="0.25">
      <c r="A5741" t="str">
        <f>""</f>
        <v/>
      </c>
      <c r="B5741" s="1"/>
      <c r="J5741" t="s">
        <v>20</v>
      </c>
      <c r="L5741" s="1"/>
      <c r="N5741" s="1"/>
      <c r="V5741" t="str">
        <f>"77000"</f>
        <v>77000</v>
      </c>
      <c r="W5741">
        <v>0</v>
      </c>
      <c r="X5741">
        <v>0</v>
      </c>
    </row>
    <row r="5742" spans="1:24" x14ac:dyDescent="0.25">
      <c r="A5742" t="str">
        <f>""</f>
        <v/>
      </c>
      <c r="B5742" s="1"/>
      <c r="H5742">
        <v>86.54</v>
      </c>
      <c r="J5742" t="s">
        <v>15</v>
      </c>
      <c r="L5742" s="1"/>
      <c r="N5742" s="1"/>
      <c r="V5742" t="str">
        <f>"50640"</f>
        <v>50640</v>
      </c>
      <c r="W5742">
        <v>0</v>
      </c>
      <c r="X5742">
        <v>0</v>
      </c>
    </row>
    <row r="5743" spans="1:24" x14ac:dyDescent="0.25">
      <c r="A5743" t="str">
        <f>""</f>
        <v/>
      </c>
      <c r="B5743" s="1"/>
      <c r="H5743">
        <v>184.06</v>
      </c>
      <c r="J5743" t="s">
        <v>18</v>
      </c>
      <c r="L5743" s="1"/>
      <c r="N5743" s="1"/>
      <c r="V5743" t="str">
        <f>"34000"</f>
        <v>34000</v>
      </c>
      <c r="W5743">
        <v>0</v>
      </c>
      <c r="X5743">
        <v>0</v>
      </c>
    </row>
    <row r="5744" spans="1:24" ht="15" customHeight="1" x14ac:dyDescent="0.25">
      <c r="A5744" t="str">
        <f>""</f>
        <v/>
      </c>
      <c r="B5744" s="1"/>
      <c r="H5744">
        <v>151</v>
      </c>
      <c r="J5744" t="s">
        <v>23</v>
      </c>
      <c r="L5744" s="1"/>
      <c r="N5744" s="1"/>
      <c r="V5744" t="str">
        <f>"76600"</f>
        <v>76600</v>
      </c>
      <c r="W5744">
        <v>0</v>
      </c>
      <c r="X5744">
        <v>25.67</v>
      </c>
    </row>
    <row r="5745" spans="1:24" ht="15" customHeight="1" x14ac:dyDescent="0.25">
      <c r="A5745" t="str">
        <f>""</f>
        <v/>
      </c>
      <c r="B5745" s="1"/>
      <c r="H5745">
        <v>189</v>
      </c>
      <c r="L5745" s="1"/>
      <c r="N5745" s="1"/>
      <c r="V5745" t="str">
        <f>"77184"</f>
        <v>77184</v>
      </c>
      <c r="W5745">
        <v>0</v>
      </c>
      <c r="X5745">
        <v>0</v>
      </c>
    </row>
    <row r="5746" spans="1:24" ht="15" customHeight="1" x14ac:dyDescent="0.25">
      <c r="A5746" t="str">
        <f>""</f>
        <v/>
      </c>
      <c r="B5746" s="1"/>
      <c r="H5746">
        <v>197</v>
      </c>
      <c r="L5746" s="1"/>
      <c r="N5746" s="1"/>
      <c r="V5746" t="str">
        <f>"77184"</f>
        <v>77184</v>
      </c>
      <c r="W5746">
        <v>0</v>
      </c>
      <c r="X5746">
        <v>0</v>
      </c>
    </row>
    <row r="5747" spans="1:24" ht="15" customHeight="1" x14ac:dyDescent="0.25">
      <c r="A5747" t="str">
        <f>""</f>
        <v/>
      </c>
      <c r="B5747" s="1"/>
      <c r="H5747">
        <v>84.5</v>
      </c>
      <c r="L5747" s="1"/>
      <c r="N5747" s="1"/>
      <c r="V5747" t="str">
        <f>"77184"</f>
        <v>77184</v>
      </c>
      <c r="W5747">
        <v>0</v>
      </c>
      <c r="X5747">
        <v>0</v>
      </c>
    </row>
    <row r="5748" spans="1:24" ht="15" customHeight="1" x14ac:dyDescent="0.25">
      <c r="A5748" t="str">
        <f>""</f>
        <v/>
      </c>
      <c r="B5748" s="1"/>
      <c r="H5748">
        <v>79</v>
      </c>
      <c r="J5748" t="s">
        <v>19</v>
      </c>
      <c r="L5748" s="1"/>
      <c r="N5748" s="1"/>
      <c r="V5748" t="str">
        <f>"06190"</f>
        <v>06190</v>
      </c>
      <c r="W5748">
        <v>23.7</v>
      </c>
      <c r="X5748">
        <v>0</v>
      </c>
    </row>
    <row r="5749" spans="1:24" ht="15" customHeight="1" x14ac:dyDescent="0.25">
      <c r="A5749" t="str">
        <f>""</f>
        <v/>
      </c>
      <c r="B5749" s="1"/>
      <c r="J5749" t="s">
        <v>20</v>
      </c>
      <c r="L5749" s="1"/>
      <c r="N5749" s="1"/>
      <c r="V5749" t="str">
        <f>"06190"</f>
        <v>06190</v>
      </c>
      <c r="W5749">
        <v>0</v>
      </c>
      <c r="X5749">
        <v>0</v>
      </c>
    </row>
    <row r="5750" spans="1:24" ht="15" customHeight="1" x14ac:dyDescent="0.25">
      <c r="A5750" t="str">
        <f>""</f>
        <v/>
      </c>
      <c r="B5750" s="1"/>
      <c r="H5750">
        <v>67.25</v>
      </c>
      <c r="J5750" t="s">
        <v>19</v>
      </c>
      <c r="L5750" s="1"/>
      <c r="N5750" s="1"/>
      <c r="V5750" t="str">
        <f>"68200"</f>
        <v>68200</v>
      </c>
      <c r="W5750">
        <v>19.5</v>
      </c>
      <c r="X5750">
        <v>0</v>
      </c>
    </row>
    <row r="5751" spans="1:24" ht="15" customHeight="1" x14ac:dyDescent="0.25">
      <c r="A5751" t="str">
        <f>""</f>
        <v/>
      </c>
      <c r="B5751" s="1"/>
      <c r="H5751">
        <v>198.23</v>
      </c>
      <c r="J5751" t="s">
        <v>20</v>
      </c>
      <c r="L5751" s="1"/>
      <c r="N5751" s="1"/>
      <c r="V5751" t="str">
        <f>"62170"</f>
        <v>62170</v>
      </c>
      <c r="W5751">
        <v>37.659999999999997</v>
      </c>
      <c r="X5751">
        <v>0</v>
      </c>
    </row>
    <row r="5752" spans="1:24" ht="15" customHeight="1" x14ac:dyDescent="0.25">
      <c r="A5752" t="str">
        <f>""</f>
        <v/>
      </c>
      <c r="B5752" s="1"/>
      <c r="H5752">
        <v>36.369999999999997</v>
      </c>
      <c r="J5752" t="s">
        <v>19</v>
      </c>
      <c r="L5752" s="1"/>
      <c r="N5752" s="1"/>
      <c r="V5752" t="str">
        <f>"18000"</f>
        <v>18000</v>
      </c>
      <c r="W5752">
        <v>7.64</v>
      </c>
      <c r="X5752">
        <v>0</v>
      </c>
    </row>
    <row r="5753" spans="1:24" ht="15" customHeight="1" x14ac:dyDescent="0.25">
      <c r="A5753" t="str">
        <f>""</f>
        <v/>
      </c>
      <c r="B5753" s="1"/>
      <c r="H5753">
        <v>137.59</v>
      </c>
      <c r="J5753" t="s">
        <v>19</v>
      </c>
      <c r="L5753" s="1"/>
      <c r="N5753" s="1"/>
      <c r="V5753" t="str">
        <f>"75014"</f>
        <v>75014</v>
      </c>
      <c r="W5753">
        <v>0</v>
      </c>
      <c r="X5753">
        <v>0</v>
      </c>
    </row>
    <row r="5754" spans="1:24" ht="15" customHeight="1" x14ac:dyDescent="0.25">
      <c r="A5754" t="str">
        <f>""</f>
        <v/>
      </c>
      <c r="B5754" s="1"/>
      <c r="H5754">
        <v>107.6</v>
      </c>
      <c r="J5754" t="s">
        <v>19</v>
      </c>
      <c r="L5754" s="1"/>
      <c r="N5754" s="1"/>
      <c r="V5754" t="str">
        <f>"75014"</f>
        <v>75014</v>
      </c>
      <c r="W5754">
        <v>0</v>
      </c>
      <c r="X5754">
        <v>0</v>
      </c>
    </row>
    <row r="5755" spans="1:24" ht="15" customHeight="1" x14ac:dyDescent="0.25">
      <c r="A5755" t="str">
        <f>""</f>
        <v/>
      </c>
      <c r="B5755" s="1"/>
      <c r="H5755">
        <v>53.38</v>
      </c>
      <c r="J5755" t="s">
        <v>20</v>
      </c>
      <c r="L5755" s="1"/>
      <c r="N5755" s="1"/>
      <c r="V5755" t="str">
        <f>"75014"</f>
        <v>75014</v>
      </c>
      <c r="W5755">
        <v>0</v>
      </c>
      <c r="X5755">
        <v>0</v>
      </c>
    </row>
    <row r="5756" spans="1:24" ht="15" customHeight="1" x14ac:dyDescent="0.25">
      <c r="A5756" t="str">
        <f>""</f>
        <v/>
      </c>
      <c r="B5756" s="1"/>
      <c r="H5756">
        <v>120.29</v>
      </c>
      <c r="J5756" t="s">
        <v>20</v>
      </c>
      <c r="L5756" s="1"/>
      <c r="N5756" s="1"/>
      <c r="V5756" t="str">
        <f>"62780"</f>
        <v>62780</v>
      </c>
      <c r="W5756">
        <v>22.86</v>
      </c>
      <c r="X5756">
        <v>0</v>
      </c>
    </row>
    <row r="5757" spans="1:24" ht="15" customHeight="1" x14ac:dyDescent="0.25">
      <c r="A5757" t="str">
        <f>""</f>
        <v/>
      </c>
      <c r="B5757" s="1"/>
      <c r="H5757">
        <v>120.29</v>
      </c>
      <c r="J5757" t="s">
        <v>19</v>
      </c>
      <c r="L5757" s="1"/>
      <c r="N5757" s="1"/>
      <c r="V5757" t="str">
        <f>"62170"</f>
        <v>62170</v>
      </c>
      <c r="W5757">
        <v>22.86</v>
      </c>
      <c r="X5757">
        <v>0</v>
      </c>
    </row>
    <row r="5758" spans="1:24" ht="15" customHeight="1" x14ac:dyDescent="0.25">
      <c r="A5758" t="str">
        <f>""</f>
        <v/>
      </c>
      <c r="B5758" s="1"/>
      <c r="H5758">
        <v>18.350000000000001</v>
      </c>
      <c r="J5758" t="s">
        <v>19</v>
      </c>
      <c r="L5758" s="1"/>
      <c r="N5758" s="1"/>
      <c r="V5758" t="str">
        <f>"59380"</f>
        <v>59380</v>
      </c>
      <c r="W5758">
        <v>3.49</v>
      </c>
      <c r="X5758">
        <v>0</v>
      </c>
    </row>
    <row r="5759" spans="1:24" ht="15" customHeight="1" x14ac:dyDescent="0.25">
      <c r="A5759" t="str">
        <f>""</f>
        <v/>
      </c>
      <c r="B5759" s="1"/>
      <c r="H5759">
        <v>158.11000000000001</v>
      </c>
      <c r="L5759" s="1"/>
      <c r="N5759" s="1"/>
      <c r="V5759" t="str">
        <f>"44240"</f>
        <v>44240</v>
      </c>
      <c r="W5759">
        <v>0</v>
      </c>
      <c r="X5759">
        <v>0</v>
      </c>
    </row>
    <row r="5760" spans="1:24" ht="15" customHeight="1" x14ac:dyDescent="0.25">
      <c r="A5760" t="str">
        <f>""</f>
        <v/>
      </c>
      <c r="B5760" s="1"/>
      <c r="H5760">
        <v>136.97999999999999</v>
      </c>
      <c r="L5760" s="1"/>
      <c r="N5760" s="1"/>
      <c r="V5760" t="str">
        <f>"77184"</f>
        <v>77184</v>
      </c>
      <c r="W5760">
        <v>0</v>
      </c>
      <c r="X5760">
        <v>0</v>
      </c>
    </row>
    <row r="5761" spans="1:24" ht="15" customHeight="1" x14ac:dyDescent="0.25">
      <c r="A5761" t="str">
        <f>""</f>
        <v/>
      </c>
      <c r="B5761" s="1"/>
      <c r="H5761">
        <v>27</v>
      </c>
      <c r="J5761" t="s">
        <v>22</v>
      </c>
      <c r="L5761" s="1"/>
      <c r="N5761" s="1"/>
      <c r="V5761" t="str">
        <f>"44350"</f>
        <v>44350</v>
      </c>
      <c r="W5761">
        <v>0</v>
      </c>
      <c r="X5761">
        <v>0</v>
      </c>
    </row>
    <row r="5762" spans="1:24" ht="15" customHeight="1" x14ac:dyDescent="0.25">
      <c r="A5762" t="str">
        <f>""</f>
        <v/>
      </c>
      <c r="B5762" s="1"/>
      <c r="H5762">
        <v>233.58</v>
      </c>
      <c r="J5762" t="s">
        <v>22</v>
      </c>
      <c r="L5762" s="1"/>
      <c r="N5762" s="1"/>
      <c r="V5762" t="str">
        <f>"44350"</f>
        <v>44350</v>
      </c>
      <c r="W5762">
        <v>0</v>
      </c>
      <c r="X5762">
        <v>0</v>
      </c>
    </row>
    <row r="5763" spans="1:24" ht="15" customHeight="1" x14ac:dyDescent="0.25">
      <c r="A5763" t="str">
        <f>""</f>
        <v/>
      </c>
      <c r="B5763" s="1"/>
      <c r="H5763">
        <v>151</v>
      </c>
      <c r="J5763" t="s">
        <v>23</v>
      </c>
      <c r="L5763" s="1"/>
      <c r="N5763" s="1"/>
      <c r="V5763" t="str">
        <f>"14000"</f>
        <v>14000</v>
      </c>
      <c r="W5763">
        <v>0</v>
      </c>
      <c r="X5763">
        <v>25.67</v>
      </c>
    </row>
    <row r="5764" spans="1:24" ht="15" customHeight="1" x14ac:dyDescent="0.25">
      <c r="A5764" t="str">
        <f>""</f>
        <v/>
      </c>
      <c r="B5764" s="1"/>
      <c r="H5764">
        <v>129.06</v>
      </c>
      <c r="L5764" s="1"/>
      <c r="N5764" s="1"/>
      <c r="V5764" t="str">
        <f>"77184"</f>
        <v>77184</v>
      </c>
      <c r="W5764">
        <v>0</v>
      </c>
      <c r="X5764">
        <v>0</v>
      </c>
    </row>
    <row r="5765" spans="1:24" ht="15" customHeight="1" x14ac:dyDescent="0.25">
      <c r="A5765" t="str">
        <f>""</f>
        <v/>
      </c>
      <c r="B5765" s="1"/>
      <c r="H5765">
        <v>70</v>
      </c>
      <c r="L5765" s="1"/>
      <c r="N5765" s="1"/>
      <c r="V5765" t="str">
        <f>"77184"</f>
        <v>77184</v>
      </c>
      <c r="W5765">
        <v>0</v>
      </c>
      <c r="X5765">
        <v>0</v>
      </c>
    </row>
    <row r="5766" spans="1:24" ht="15" customHeight="1" x14ac:dyDescent="0.25">
      <c r="A5766" t="str">
        <f>""</f>
        <v/>
      </c>
      <c r="B5766" s="1"/>
      <c r="H5766">
        <v>95.02</v>
      </c>
      <c r="L5766" s="1"/>
      <c r="N5766" s="1"/>
      <c r="V5766" t="str">
        <f>"77184"</f>
        <v>77184</v>
      </c>
      <c r="W5766">
        <v>0</v>
      </c>
      <c r="X5766">
        <v>0</v>
      </c>
    </row>
    <row r="5767" spans="1:24" ht="15" customHeight="1" x14ac:dyDescent="0.25">
      <c r="A5767" t="str">
        <f>""</f>
        <v/>
      </c>
      <c r="B5767" s="1"/>
      <c r="H5767">
        <v>55.34</v>
      </c>
      <c r="J5767" t="s">
        <v>19</v>
      </c>
      <c r="L5767" s="1"/>
      <c r="N5767" s="1"/>
      <c r="V5767" t="str">
        <f>"77173"</f>
        <v>77173</v>
      </c>
      <c r="W5767">
        <v>0</v>
      </c>
      <c r="X5767">
        <v>0</v>
      </c>
    </row>
    <row r="5768" spans="1:24" ht="15" customHeight="1" x14ac:dyDescent="0.25">
      <c r="A5768" t="str">
        <f>""</f>
        <v/>
      </c>
      <c r="B5768" s="1"/>
      <c r="H5768">
        <v>19.649999999999999</v>
      </c>
      <c r="J5768" t="s">
        <v>19</v>
      </c>
      <c r="L5768" s="1"/>
      <c r="N5768" s="1"/>
      <c r="V5768" t="str">
        <f t="shared" ref="V5768:V5774" si="18">"75014"</f>
        <v>75014</v>
      </c>
      <c r="W5768">
        <v>0</v>
      </c>
      <c r="X5768">
        <v>0</v>
      </c>
    </row>
    <row r="5769" spans="1:24" ht="15" customHeight="1" x14ac:dyDescent="0.25">
      <c r="A5769" t="str">
        <f>""</f>
        <v/>
      </c>
      <c r="B5769" s="1"/>
      <c r="H5769">
        <v>19.649999999999999</v>
      </c>
      <c r="J5769" t="s">
        <v>19</v>
      </c>
      <c r="L5769" s="1"/>
      <c r="N5769" s="1"/>
      <c r="V5769" t="str">
        <f t="shared" si="18"/>
        <v>75014</v>
      </c>
      <c r="W5769">
        <v>0</v>
      </c>
      <c r="X5769">
        <v>0</v>
      </c>
    </row>
    <row r="5770" spans="1:24" ht="15" customHeight="1" x14ac:dyDescent="0.25">
      <c r="A5770" t="str">
        <f>""</f>
        <v/>
      </c>
      <c r="B5770" s="1"/>
      <c r="H5770">
        <v>19.649999999999999</v>
      </c>
      <c r="J5770" t="s">
        <v>19</v>
      </c>
      <c r="L5770" s="1"/>
      <c r="N5770" s="1"/>
      <c r="V5770" t="str">
        <f t="shared" si="18"/>
        <v>75014</v>
      </c>
      <c r="W5770">
        <v>0</v>
      </c>
      <c r="X5770">
        <v>0</v>
      </c>
    </row>
    <row r="5771" spans="1:24" ht="15" customHeight="1" x14ac:dyDescent="0.25">
      <c r="A5771" t="str">
        <f>""</f>
        <v/>
      </c>
      <c r="B5771" s="1"/>
      <c r="H5771">
        <v>19.649999999999999</v>
      </c>
      <c r="J5771" t="s">
        <v>19</v>
      </c>
      <c r="L5771" s="1"/>
      <c r="N5771" s="1"/>
      <c r="V5771" t="str">
        <f t="shared" si="18"/>
        <v>75014</v>
      </c>
      <c r="W5771">
        <v>0</v>
      </c>
      <c r="X5771">
        <v>0</v>
      </c>
    </row>
    <row r="5772" spans="1:24" ht="15" customHeight="1" x14ac:dyDescent="0.25">
      <c r="A5772" t="str">
        <f>""</f>
        <v/>
      </c>
      <c r="B5772" s="1"/>
      <c r="H5772">
        <v>19.649999999999999</v>
      </c>
      <c r="J5772" t="s">
        <v>19</v>
      </c>
      <c r="L5772" s="1"/>
      <c r="N5772" s="1"/>
      <c r="V5772" t="str">
        <f t="shared" si="18"/>
        <v>75014</v>
      </c>
      <c r="W5772">
        <v>0</v>
      </c>
      <c r="X5772">
        <v>0</v>
      </c>
    </row>
    <row r="5773" spans="1:24" ht="15" customHeight="1" x14ac:dyDescent="0.25">
      <c r="A5773" t="str">
        <f>""</f>
        <v/>
      </c>
      <c r="B5773" s="1"/>
      <c r="H5773">
        <v>19.649999999999999</v>
      </c>
      <c r="J5773" t="s">
        <v>19</v>
      </c>
      <c r="L5773" s="1"/>
      <c r="N5773" s="1"/>
      <c r="V5773" t="str">
        <f t="shared" si="18"/>
        <v>75014</v>
      </c>
      <c r="W5773">
        <v>0</v>
      </c>
      <c r="X5773">
        <v>0</v>
      </c>
    </row>
    <row r="5774" spans="1:24" ht="15" customHeight="1" x14ac:dyDescent="0.25">
      <c r="A5774" t="str">
        <f>""</f>
        <v/>
      </c>
      <c r="B5774" s="1"/>
      <c r="H5774">
        <v>19.649999999999999</v>
      </c>
      <c r="J5774" t="s">
        <v>19</v>
      </c>
      <c r="L5774" s="1"/>
      <c r="N5774" s="1"/>
      <c r="V5774" t="str">
        <f t="shared" si="18"/>
        <v>75014</v>
      </c>
      <c r="W5774">
        <v>0</v>
      </c>
      <c r="X5774">
        <v>0</v>
      </c>
    </row>
    <row r="5775" spans="1:24" ht="15" customHeight="1" x14ac:dyDescent="0.25">
      <c r="A5775" t="str">
        <f>""</f>
        <v/>
      </c>
      <c r="B5775" s="1"/>
      <c r="H5775">
        <v>55.36</v>
      </c>
      <c r="J5775" t="s">
        <v>20</v>
      </c>
      <c r="L5775" s="1"/>
      <c r="N5775" s="1"/>
      <c r="V5775" t="str">
        <f>"27200"</f>
        <v>27200</v>
      </c>
      <c r="W5775">
        <v>9.41</v>
      </c>
      <c r="X5775">
        <v>0</v>
      </c>
    </row>
    <row r="5776" spans="1:24" ht="15" customHeight="1" x14ac:dyDescent="0.25">
      <c r="A5776" t="str">
        <f>""</f>
        <v/>
      </c>
      <c r="B5776" s="1"/>
      <c r="H5776">
        <v>173.22</v>
      </c>
      <c r="J5776" t="s">
        <v>19</v>
      </c>
      <c r="L5776" s="1"/>
      <c r="N5776" s="1"/>
      <c r="V5776" t="str">
        <f>"08000"</f>
        <v>08000</v>
      </c>
      <c r="W5776">
        <v>32.909999999999997</v>
      </c>
      <c r="X5776">
        <v>0</v>
      </c>
    </row>
    <row r="5777" spans="1:24" ht="15" customHeight="1" x14ac:dyDescent="0.25">
      <c r="A5777" t="str">
        <f>""</f>
        <v/>
      </c>
      <c r="B5777" s="1"/>
      <c r="H5777">
        <v>94.79</v>
      </c>
      <c r="J5777" t="s">
        <v>22</v>
      </c>
      <c r="L5777" s="1"/>
      <c r="N5777" s="1"/>
      <c r="V5777" t="str">
        <f>"62740"</f>
        <v>62740</v>
      </c>
      <c r="W5777">
        <v>0</v>
      </c>
      <c r="X5777">
        <v>0</v>
      </c>
    </row>
    <row r="5778" spans="1:24" ht="15" customHeight="1" x14ac:dyDescent="0.25">
      <c r="A5778" t="str">
        <f>""</f>
        <v/>
      </c>
      <c r="B5778" s="1"/>
      <c r="H5778">
        <v>240</v>
      </c>
      <c r="L5778" s="1"/>
      <c r="N5778" s="1"/>
      <c r="V5778" t="str">
        <f>"77184"</f>
        <v>77184</v>
      </c>
      <c r="W5778">
        <v>0</v>
      </c>
      <c r="X5778">
        <v>0</v>
      </c>
    </row>
    <row r="5779" spans="1:24" ht="15" customHeight="1" x14ac:dyDescent="0.25">
      <c r="A5779" t="str">
        <f>""</f>
        <v/>
      </c>
      <c r="B5779" s="1"/>
      <c r="H5779">
        <v>157.32</v>
      </c>
      <c r="L5779" s="1"/>
      <c r="N5779" s="1"/>
      <c r="V5779" t="str">
        <f>"77184"</f>
        <v>77184</v>
      </c>
      <c r="W5779">
        <v>0</v>
      </c>
      <c r="X5779">
        <v>0</v>
      </c>
    </row>
    <row r="5780" spans="1:24" ht="15" customHeight="1" x14ac:dyDescent="0.25">
      <c r="A5780" t="str">
        <f>""</f>
        <v/>
      </c>
      <c r="B5780" s="1"/>
      <c r="H5780">
        <v>190.59</v>
      </c>
      <c r="L5780" s="1"/>
      <c r="N5780" s="1"/>
      <c r="V5780" t="str">
        <f>"77184"</f>
        <v>77184</v>
      </c>
      <c r="W5780">
        <v>0</v>
      </c>
      <c r="X5780">
        <v>0</v>
      </c>
    </row>
    <row r="5781" spans="1:24" ht="15" customHeight="1" x14ac:dyDescent="0.25">
      <c r="A5781" t="str">
        <f>""</f>
        <v/>
      </c>
      <c r="B5781" s="1"/>
      <c r="H5781">
        <v>180</v>
      </c>
      <c r="J5781" t="s">
        <v>22</v>
      </c>
      <c r="L5781" s="1"/>
      <c r="N5781" s="1"/>
      <c r="V5781" t="str">
        <f>"94550"</f>
        <v>94550</v>
      </c>
      <c r="W5781">
        <v>0</v>
      </c>
      <c r="X5781">
        <v>0</v>
      </c>
    </row>
    <row r="5782" spans="1:24" ht="15" customHeight="1" x14ac:dyDescent="0.25">
      <c r="A5782" t="str">
        <f>""</f>
        <v/>
      </c>
      <c r="B5782" s="1"/>
      <c r="H5782">
        <v>186.48</v>
      </c>
      <c r="J5782" t="s">
        <v>22</v>
      </c>
      <c r="L5782" s="1"/>
      <c r="N5782" s="1"/>
      <c r="V5782" t="str">
        <f>"21230"</f>
        <v>21230</v>
      </c>
      <c r="W5782">
        <v>0</v>
      </c>
      <c r="X5782">
        <v>22.38</v>
      </c>
    </row>
    <row r="5783" spans="1:24" ht="15" customHeight="1" x14ac:dyDescent="0.25">
      <c r="A5783" t="str">
        <f>""</f>
        <v/>
      </c>
      <c r="B5783" s="1"/>
      <c r="H5783">
        <v>120.29</v>
      </c>
      <c r="J5783" t="s">
        <v>19</v>
      </c>
      <c r="L5783" s="1"/>
      <c r="N5783" s="1"/>
      <c r="V5783" t="str">
        <f>"37400"</f>
        <v>37400</v>
      </c>
      <c r="W5783">
        <v>25.26</v>
      </c>
      <c r="X5783">
        <v>0</v>
      </c>
    </row>
    <row r="5784" spans="1:24" ht="15" customHeight="1" x14ac:dyDescent="0.25">
      <c r="A5784" t="str">
        <f>""</f>
        <v/>
      </c>
      <c r="B5784" s="1"/>
      <c r="H5784">
        <v>185.87</v>
      </c>
      <c r="J5784" t="s">
        <v>19</v>
      </c>
      <c r="L5784" s="1"/>
      <c r="N5784" s="1"/>
      <c r="V5784" t="str">
        <f>"86510"</f>
        <v>86510</v>
      </c>
      <c r="W5784">
        <v>39.03</v>
      </c>
      <c r="X5784">
        <v>0</v>
      </c>
    </row>
    <row r="5785" spans="1:24" ht="15" customHeight="1" x14ac:dyDescent="0.25">
      <c r="A5785" t="str">
        <f>""</f>
        <v/>
      </c>
      <c r="B5785" s="1"/>
      <c r="H5785">
        <v>194.52</v>
      </c>
      <c r="J5785" t="s">
        <v>20</v>
      </c>
      <c r="L5785" s="1"/>
      <c r="N5785" s="1"/>
      <c r="V5785" t="str">
        <f>"01000"</f>
        <v>01000</v>
      </c>
      <c r="W5785">
        <v>52.52</v>
      </c>
      <c r="X5785">
        <v>0</v>
      </c>
    </row>
    <row r="5786" spans="1:24" ht="15" customHeight="1" x14ac:dyDescent="0.25">
      <c r="A5786" t="str">
        <f>""</f>
        <v/>
      </c>
      <c r="B5786" s="1"/>
      <c r="H5786">
        <v>186.47</v>
      </c>
      <c r="J5786" t="s">
        <v>19</v>
      </c>
      <c r="L5786" s="1"/>
      <c r="N5786" s="1"/>
      <c r="V5786" t="str">
        <f>"38300"</f>
        <v>38300</v>
      </c>
      <c r="W5786">
        <v>50.35</v>
      </c>
      <c r="X5786">
        <v>0</v>
      </c>
    </row>
    <row r="5787" spans="1:24" ht="15" customHeight="1" x14ac:dyDescent="0.25">
      <c r="A5787" t="str">
        <f>""</f>
        <v/>
      </c>
      <c r="B5787" s="1"/>
      <c r="H5787">
        <v>221.36</v>
      </c>
      <c r="J5787" t="s">
        <v>19</v>
      </c>
      <c r="L5787" s="1"/>
      <c r="N5787" s="1"/>
      <c r="V5787" t="str">
        <f>"75017"</f>
        <v>75017</v>
      </c>
      <c r="W5787">
        <v>0</v>
      </c>
      <c r="X5787">
        <v>0</v>
      </c>
    </row>
    <row r="5788" spans="1:24" ht="15" customHeight="1" x14ac:dyDescent="0.25">
      <c r="A5788" t="str">
        <f>""</f>
        <v/>
      </c>
      <c r="B5788" s="1"/>
      <c r="H5788">
        <v>142.99</v>
      </c>
      <c r="J5788" t="s">
        <v>20</v>
      </c>
      <c r="L5788" s="1"/>
      <c r="N5788" s="1"/>
      <c r="V5788" t="str">
        <f>"73000"</f>
        <v>73000</v>
      </c>
      <c r="W5788">
        <v>38.61</v>
      </c>
      <c r="X5788">
        <v>0</v>
      </c>
    </row>
    <row r="5789" spans="1:24" ht="15" customHeight="1" x14ac:dyDescent="0.25">
      <c r="A5789" t="str">
        <f>""</f>
        <v/>
      </c>
      <c r="B5789" s="1"/>
      <c r="H5789">
        <v>19.8</v>
      </c>
      <c r="J5789" t="s">
        <v>19</v>
      </c>
      <c r="L5789" s="1"/>
      <c r="N5789" s="1"/>
      <c r="V5789" t="str">
        <f>"56330"</f>
        <v>56330</v>
      </c>
      <c r="W5789">
        <v>5.35</v>
      </c>
      <c r="X5789">
        <v>0</v>
      </c>
    </row>
    <row r="5790" spans="1:24" ht="15" customHeight="1" x14ac:dyDescent="0.25">
      <c r="A5790" t="str">
        <f>""</f>
        <v/>
      </c>
      <c r="B5790" s="1"/>
      <c r="H5790">
        <v>172</v>
      </c>
      <c r="L5790" s="1"/>
      <c r="N5790" s="1"/>
      <c r="V5790" t="str">
        <f>"77184"</f>
        <v>77184</v>
      </c>
      <c r="W5790">
        <v>0</v>
      </c>
      <c r="X5790">
        <v>0</v>
      </c>
    </row>
    <row r="5791" spans="1:24" ht="15" customHeight="1" x14ac:dyDescent="0.25">
      <c r="A5791" t="str">
        <f>""</f>
        <v/>
      </c>
      <c r="B5791" s="1"/>
      <c r="H5791">
        <v>5.6</v>
      </c>
      <c r="J5791" t="s">
        <v>20</v>
      </c>
      <c r="L5791" s="1"/>
      <c r="N5791" s="1"/>
      <c r="V5791" t="str">
        <f>"26000"</f>
        <v>26000</v>
      </c>
      <c r="W5791">
        <v>1.51</v>
      </c>
      <c r="X5791">
        <v>0</v>
      </c>
    </row>
    <row r="5792" spans="1:24" ht="15" customHeight="1" x14ac:dyDescent="0.25">
      <c r="A5792" t="str">
        <f>""</f>
        <v/>
      </c>
      <c r="B5792" s="1"/>
      <c r="H5792">
        <v>1.51</v>
      </c>
      <c r="J5792" t="s">
        <v>19</v>
      </c>
      <c r="L5792" s="1"/>
      <c r="N5792" s="1"/>
      <c r="V5792" t="str">
        <f>"94405"</f>
        <v>94405</v>
      </c>
      <c r="W5792">
        <v>0</v>
      </c>
      <c r="X5792">
        <v>0</v>
      </c>
    </row>
    <row r="5793" spans="1:24" ht="15" customHeight="1" x14ac:dyDescent="0.25">
      <c r="A5793" t="str">
        <f>""</f>
        <v/>
      </c>
      <c r="B5793" s="1"/>
      <c r="H5793">
        <v>22.33</v>
      </c>
      <c r="J5793" t="s">
        <v>20</v>
      </c>
      <c r="L5793" s="1"/>
      <c r="N5793" s="1"/>
      <c r="V5793" t="str">
        <f>"14000"</f>
        <v>14000</v>
      </c>
      <c r="W5793">
        <v>3.8</v>
      </c>
      <c r="X5793">
        <v>0</v>
      </c>
    </row>
    <row r="5794" spans="1:24" ht="15" customHeight="1" x14ac:dyDescent="0.25">
      <c r="A5794" t="str">
        <f>""</f>
        <v/>
      </c>
      <c r="B5794" s="1"/>
      <c r="H5794">
        <v>5.12</v>
      </c>
      <c r="J5794" t="s">
        <v>19</v>
      </c>
      <c r="L5794" s="1"/>
      <c r="N5794" s="1"/>
      <c r="V5794" t="str">
        <f>"59150"</f>
        <v>59150</v>
      </c>
      <c r="W5794">
        <v>0.97</v>
      </c>
      <c r="X5794">
        <v>0</v>
      </c>
    </row>
    <row r="5795" spans="1:24" ht="15" customHeight="1" x14ac:dyDescent="0.25">
      <c r="A5795" t="str">
        <f>""</f>
        <v/>
      </c>
      <c r="B5795" s="1"/>
      <c r="H5795">
        <v>0.01</v>
      </c>
      <c r="J5795" t="s">
        <v>20</v>
      </c>
      <c r="L5795" s="1"/>
      <c r="N5795" s="1"/>
      <c r="V5795" t="str">
        <f>"60000"</f>
        <v>60000</v>
      </c>
      <c r="W5795">
        <v>0</v>
      </c>
      <c r="X5795">
        <v>0</v>
      </c>
    </row>
    <row r="5796" spans="1:24" ht="15" customHeight="1" x14ac:dyDescent="0.25">
      <c r="A5796" t="str">
        <f>""</f>
        <v/>
      </c>
      <c r="B5796" s="1"/>
      <c r="H5796">
        <v>183.87</v>
      </c>
      <c r="J5796" t="s">
        <v>22</v>
      </c>
      <c r="L5796" s="1"/>
      <c r="N5796" s="1"/>
      <c r="V5796" t="str">
        <f>"78190"</f>
        <v>78190</v>
      </c>
      <c r="W5796">
        <v>0</v>
      </c>
      <c r="X5796">
        <v>0</v>
      </c>
    </row>
    <row r="5797" spans="1:24" ht="15" customHeight="1" x14ac:dyDescent="0.25">
      <c r="A5797" t="str">
        <f>""</f>
        <v/>
      </c>
      <c r="B5797" s="1"/>
      <c r="H5797">
        <v>544.80999999999995</v>
      </c>
      <c r="J5797" t="s">
        <v>23</v>
      </c>
      <c r="L5797" s="1"/>
      <c r="N5797" s="1"/>
      <c r="V5797" t="str">
        <f>"26000"</f>
        <v>26000</v>
      </c>
      <c r="W5797">
        <v>0</v>
      </c>
      <c r="X5797">
        <v>0</v>
      </c>
    </row>
    <row r="5798" spans="1:24" ht="15" customHeight="1" x14ac:dyDescent="0.25">
      <c r="A5798" t="str">
        <f>""</f>
        <v/>
      </c>
      <c r="B5798" s="1"/>
      <c r="H5798">
        <v>180</v>
      </c>
      <c r="J5798" t="s">
        <v>22</v>
      </c>
      <c r="L5798" s="1"/>
      <c r="N5798" s="1"/>
      <c r="V5798" t="str">
        <f>"34500"</f>
        <v>34500</v>
      </c>
      <c r="W5798">
        <v>0</v>
      </c>
      <c r="X5798">
        <v>50.4</v>
      </c>
    </row>
    <row r="5799" spans="1:24" ht="15" customHeight="1" x14ac:dyDescent="0.25">
      <c r="A5799" t="str">
        <f>""</f>
        <v/>
      </c>
      <c r="B5799" s="1"/>
      <c r="H5799">
        <v>28.46</v>
      </c>
      <c r="J5799" t="s">
        <v>20</v>
      </c>
      <c r="L5799" s="1"/>
      <c r="N5799" s="1"/>
      <c r="V5799" t="str">
        <f>"84120"</f>
        <v>84120</v>
      </c>
      <c r="W5799">
        <v>8.25</v>
      </c>
      <c r="X5799">
        <v>0</v>
      </c>
    </row>
    <row r="5800" spans="1:24" ht="15" customHeight="1" x14ac:dyDescent="0.25">
      <c r="A5800" t="str">
        <f>""</f>
        <v/>
      </c>
      <c r="B5800" s="1"/>
      <c r="H5800">
        <v>123.04</v>
      </c>
      <c r="J5800" t="s">
        <v>20</v>
      </c>
      <c r="L5800" s="1"/>
      <c r="N5800" s="1"/>
      <c r="V5800" t="str">
        <f>"18000"</f>
        <v>18000</v>
      </c>
      <c r="W5800">
        <v>25.84</v>
      </c>
      <c r="X5800">
        <v>0</v>
      </c>
    </row>
    <row r="5801" spans="1:24" ht="15" customHeight="1" x14ac:dyDescent="0.25">
      <c r="A5801" t="str">
        <f>""</f>
        <v/>
      </c>
      <c r="B5801" s="1"/>
      <c r="H5801">
        <v>36.89</v>
      </c>
      <c r="J5801" t="s">
        <v>22</v>
      </c>
      <c r="L5801" s="1"/>
      <c r="N5801" s="1"/>
      <c r="V5801" t="str">
        <f>"54000"</f>
        <v>54000</v>
      </c>
      <c r="W5801">
        <v>0</v>
      </c>
      <c r="X5801">
        <v>9.2200000000000006</v>
      </c>
    </row>
    <row r="5802" spans="1:24" ht="15" customHeight="1" x14ac:dyDescent="0.25">
      <c r="A5802" t="str">
        <f>""</f>
        <v/>
      </c>
      <c r="B5802" s="1"/>
      <c r="H5802">
        <v>8.36</v>
      </c>
      <c r="J5802" t="s">
        <v>20</v>
      </c>
      <c r="L5802" s="1"/>
      <c r="N5802" s="1"/>
      <c r="V5802" t="str">
        <f>"16250"</f>
        <v>16250</v>
      </c>
      <c r="W5802">
        <v>1.76</v>
      </c>
      <c r="X5802">
        <v>0</v>
      </c>
    </row>
    <row r="5803" spans="1:24" ht="15" customHeight="1" x14ac:dyDescent="0.25">
      <c r="A5803" t="str">
        <f>""</f>
        <v/>
      </c>
      <c r="B5803" s="1"/>
      <c r="H5803">
        <v>28.26</v>
      </c>
      <c r="J5803" t="s">
        <v>19</v>
      </c>
      <c r="L5803" s="1"/>
      <c r="N5803" s="1"/>
      <c r="V5803" t="str">
        <f>"75009"</f>
        <v>75009</v>
      </c>
      <c r="W5803">
        <v>0</v>
      </c>
      <c r="X5803">
        <v>0</v>
      </c>
    </row>
    <row r="5804" spans="1:24" ht="15" customHeight="1" x14ac:dyDescent="0.25">
      <c r="A5804" t="str">
        <f>""</f>
        <v/>
      </c>
      <c r="B5804" s="1"/>
      <c r="H5804">
        <v>33.630000000000003</v>
      </c>
      <c r="L5804" s="1"/>
      <c r="N5804" s="1"/>
      <c r="V5804" t="str">
        <f>"77184"</f>
        <v>77184</v>
      </c>
      <c r="W5804">
        <v>0</v>
      </c>
      <c r="X5804">
        <v>0</v>
      </c>
    </row>
    <row r="5805" spans="1:24" ht="15" customHeight="1" x14ac:dyDescent="0.25">
      <c r="A5805" t="str">
        <f>""</f>
        <v/>
      </c>
      <c r="B5805" s="1"/>
      <c r="H5805">
        <v>107.72</v>
      </c>
      <c r="J5805" t="s">
        <v>19</v>
      </c>
      <c r="L5805" s="1"/>
      <c r="N5805" s="1"/>
      <c r="V5805" t="str">
        <f>"13790"</f>
        <v>13790</v>
      </c>
      <c r="W5805">
        <v>31.24</v>
      </c>
      <c r="X5805">
        <v>0</v>
      </c>
    </row>
    <row r="5806" spans="1:24" ht="15" customHeight="1" x14ac:dyDescent="0.25">
      <c r="A5806" t="str">
        <f>""</f>
        <v/>
      </c>
      <c r="B5806" s="1"/>
      <c r="H5806">
        <v>107.72</v>
      </c>
      <c r="J5806" t="s">
        <v>19</v>
      </c>
      <c r="L5806" s="1"/>
      <c r="N5806" s="1"/>
      <c r="V5806" t="str">
        <f>"13790"</f>
        <v>13790</v>
      </c>
      <c r="W5806">
        <v>31.24</v>
      </c>
      <c r="X5806">
        <v>0</v>
      </c>
    </row>
    <row r="5807" spans="1:24" ht="15" customHeight="1" x14ac:dyDescent="0.25">
      <c r="A5807" t="str">
        <f>""</f>
        <v/>
      </c>
      <c r="B5807" s="1"/>
      <c r="H5807">
        <v>139.19999999999999</v>
      </c>
      <c r="J5807" t="s">
        <v>20</v>
      </c>
      <c r="L5807" s="1"/>
      <c r="N5807" s="1"/>
      <c r="V5807" t="str">
        <f>"66000"</f>
        <v>66000</v>
      </c>
      <c r="W5807">
        <v>54.29</v>
      </c>
      <c r="X5807">
        <v>0</v>
      </c>
    </row>
    <row r="5808" spans="1:24" ht="15" customHeight="1" x14ac:dyDescent="0.25">
      <c r="A5808" t="str">
        <f>""</f>
        <v/>
      </c>
      <c r="B5808" s="1"/>
      <c r="H5808">
        <v>139.91</v>
      </c>
      <c r="J5808" t="s">
        <v>20</v>
      </c>
      <c r="L5808" s="1"/>
      <c r="N5808" s="1"/>
      <c r="V5808" t="str">
        <f>"54500"</f>
        <v>54500</v>
      </c>
      <c r="W5808">
        <v>34.979999999999997</v>
      </c>
      <c r="X5808">
        <v>0</v>
      </c>
    </row>
    <row r="5809" spans="1:24" x14ac:dyDescent="0.25">
      <c r="A5809" t="str">
        <f>""</f>
        <v/>
      </c>
      <c r="B5809" s="1"/>
      <c r="H5809">
        <v>151</v>
      </c>
      <c r="J5809" t="s">
        <v>16</v>
      </c>
      <c r="L5809" s="1"/>
      <c r="N5809" s="1"/>
      <c r="V5809" t="str">
        <f>"60330"</f>
        <v>60330</v>
      </c>
      <c r="W5809">
        <v>0</v>
      </c>
      <c r="X5809">
        <v>0</v>
      </c>
    </row>
    <row r="5810" spans="1:24" ht="15" customHeight="1" x14ac:dyDescent="0.25">
      <c r="A5810" t="str">
        <f>""</f>
        <v/>
      </c>
      <c r="B5810" s="1"/>
      <c r="H5810">
        <v>119.94</v>
      </c>
      <c r="J5810" t="s">
        <v>22</v>
      </c>
      <c r="L5810" s="1"/>
      <c r="N5810" s="1"/>
      <c r="V5810" t="str">
        <f>"75010"</f>
        <v>75010</v>
      </c>
      <c r="W5810">
        <v>0</v>
      </c>
      <c r="X5810">
        <v>0</v>
      </c>
    </row>
    <row r="5811" spans="1:24" ht="15" customHeight="1" x14ac:dyDescent="0.25">
      <c r="A5811" t="str">
        <f>""</f>
        <v/>
      </c>
      <c r="B5811" s="1"/>
      <c r="H5811">
        <v>190.58</v>
      </c>
      <c r="J5811" t="s">
        <v>22</v>
      </c>
      <c r="L5811" s="1"/>
      <c r="V5811" t="str">
        <f>"75010"</f>
        <v>75010</v>
      </c>
      <c r="W5811">
        <v>0</v>
      </c>
      <c r="X5811">
        <v>0</v>
      </c>
    </row>
    <row r="5812" spans="1:24" ht="15" customHeight="1" x14ac:dyDescent="0.25">
      <c r="A5812" t="str">
        <f>""</f>
        <v/>
      </c>
      <c r="B5812" s="1"/>
      <c r="H5812">
        <v>60</v>
      </c>
      <c r="L5812" s="1"/>
      <c r="N5812" s="1"/>
      <c r="V5812" t="str">
        <f>"44240"</f>
        <v>44240</v>
      </c>
      <c r="W5812">
        <v>0</v>
      </c>
      <c r="X5812">
        <v>0</v>
      </c>
    </row>
    <row r="5813" spans="1:24" ht="15" customHeight="1" x14ac:dyDescent="0.25">
      <c r="A5813" t="str">
        <f>""</f>
        <v/>
      </c>
      <c r="B5813" s="1"/>
      <c r="H5813">
        <v>198.98</v>
      </c>
      <c r="J5813" t="s">
        <v>20</v>
      </c>
      <c r="L5813" s="1"/>
      <c r="N5813" s="1"/>
      <c r="V5813" t="str">
        <f>"56520"</f>
        <v>56520</v>
      </c>
      <c r="W5813">
        <v>53.72</v>
      </c>
      <c r="X5813">
        <v>0</v>
      </c>
    </row>
    <row r="5814" spans="1:24" ht="15" customHeight="1" x14ac:dyDescent="0.25">
      <c r="A5814" t="str">
        <f>""</f>
        <v/>
      </c>
      <c r="B5814" s="1"/>
      <c r="H5814">
        <v>173.44</v>
      </c>
      <c r="J5814" t="s">
        <v>23</v>
      </c>
      <c r="L5814" s="1"/>
      <c r="N5814" s="1"/>
      <c r="V5814" t="str">
        <f>"68120"</f>
        <v>68120</v>
      </c>
      <c r="W5814">
        <v>0</v>
      </c>
      <c r="X5814">
        <v>13.88</v>
      </c>
    </row>
    <row r="5815" spans="1:24" ht="15" customHeight="1" x14ac:dyDescent="0.25">
      <c r="A5815" t="str">
        <f>""</f>
        <v/>
      </c>
      <c r="B5815" s="1"/>
      <c r="H5815">
        <v>100.42</v>
      </c>
      <c r="J5815" t="s">
        <v>20</v>
      </c>
      <c r="L5815" s="1"/>
      <c r="N5815" s="1"/>
      <c r="V5815" t="str">
        <f>"19100"</f>
        <v>19100</v>
      </c>
      <c r="W5815">
        <v>29.12</v>
      </c>
      <c r="X5815">
        <v>0</v>
      </c>
    </row>
    <row r="5816" spans="1:24" ht="15" customHeight="1" x14ac:dyDescent="0.25">
      <c r="A5816" t="str">
        <f>""</f>
        <v/>
      </c>
      <c r="B5816" s="1"/>
      <c r="H5816">
        <v>199.39</v>
      </c>
      <c r="J5816" t="s">
        <v>20</v>
      </c>
      <c r="L5816" s="1"/>
      <c r="N5816" s="1"/>
      <c r="V5816" t="str">
        <f>"69124"</f>
        <v>69124</v>
      </c>
      <c r="W5816">
        <v>53.84</v>
      </c>
      <c r="X5816">
        <v>0</v>
      </c>
    </row>
    <row r="5817" spans="1:24" ht="15" customHeight="1" x14ac:dyDescent="0.25">
      <c r="A5817" t="str">
        <f>""</f>
        <v/>
      </c>
      <c r="B5817" s="1"/>
      <c r="H5817">
        <v>40</v>
      </c>
      <c r="J5817" t="s">
        <v>20</v>
      </c>
      <c r="L5817" s="1"/>
      <c r="N5817" s="1"/>
      <c r="V5817" t="str">
        <f>"62182"</f>
        <v>62182</v>
      </c>
      <c r="W5817">
        <v>7.6</v>
      </c>
      <c r="X5817">
        <v>0</v>
      </c>
    </row>
    <row r="5818" spans="1:24" ht="15" customHeight="1" x14ac:dyDescent="0.25">
      <c r="A5818" t="str">
        <f>""</f>
        <v/>
      </c>
      <c r="B5818" s="1"/>
      <c r="H5818">
        <v>120.65</v>
      </c>
      <c r="J5818" t="s">
        <v>19</v>
      </c>
      <c r="L5818" s="1"/>
      <c r="N5818" s="1"/>
      <c r="V5818" t="str">
        <f>"63100"</f>
        <v>63100</v>
      </c>
      <c r="W5818">
        <v>34.99</v>
      </c>
      <c r="X5818">
        <v>0</v>
      </c>
    </row>
    <row r="5819" spans="1:24" ht="15" customHeight="1" x14ac:dyDescent="0.25">
      <c r="A5819" t="str">
        <f>""</f>
        <v/>
      </c>
      <c r="B5819" s="1"/>
      <c r="H5819">
        <v>40</v>
      </c>
      <c r="J5819" t="s">
        <v>20</v>
      </c>
      <c r="L5819" s="1"/>
      <c r="N5819" s="1"/>
      <c r="V5819" t="str">
        <f>"13010"</f>
        <v>13010</v>
      </c>
      <c r="W5819">
        <v>11.6</v>
      </c>
      <c r="X5819">
        <v>0</v>
      </c>
    </row>
    <row r="5820" spans="1:24" ht="15" customHeight="1" x14ac:dyDescent="0.25">
      <c r="A5820" t="str">
        <f>""</f>
        <v/>
      </c>
      <c r="B5820" s="1"/>
      <c r="H5820">
        <v>40</v>
      </c>
      <c r="J5820" t="s">
        <v>20</v>
      </c>
      <c r="L5820" s="1"/>
      <c r="N5820" s="1"/>
      <c r="V5820" t="str">
        <f>"13009"</f>
        <v>13009</v>
      </c>
      <c r="W5820">
        <v>11.6</v>
      </c>
      <c r="X5820">
        <v>0</v>
      </c>
    </row>
    <row r="5821" spans="1:24" ht="15" customHeight="1" x14ac:dyDescent="0.25">
      <c r="A5821" t="str">
        <f>""</f>
        <v/>
      </c>
      <c r="B5821" s="1"/>
      <c r="H5821">
        <v>129.59</v>
      </c>
      <c r="J5821" t="s">
        <v>20</v>
      </c>
      <c r="L5821" s="1"/>
      <c r="N5821" s="1"/>
      <c r="V5821" t="str">
        <f>"19100"</f>
        <v>19100</v>
      </c>
      <c r="W5821">
        <v>37.58</v>
      </c>
      <c r="X5821">
        <v>0</v>
      </c>
    </row>
    <row r="5822" spans="1:24" ht="15" customHeight="1" x14ac:dyDescent="0.25">
      <c r="A5822" t="str">
        <f>""</f>
        <v/>
      </c>
      <c r="B5822" s="1"/>
      <c r="H5822">
        <v>129.59</v>
      </c>
      <c r="J5822" t="s">
        <v>20</v>
      </c>
      <c r="L5822" s="1"/>
      <c r="N5822" s="1"/>
      <c r="V5822" t="str">
        <f>"19100"</f>
        <v>19100</v>
      </c>
      <c r="W5822">
        <v>37.58</v>
      </c>
      <c r="X5822">
        <v>0</v>
      </c>
    </row>
    <row r="5823" spans="1:24" ht="15" customHeight="1" x14ac:dyDescent="0.25">
      <c r="A5823" t="str">
        <f>""</f>
        <v/>
      </c>
      <c r="B5823" s="1"/>
      <c r="H5823">
        <v>134.91999999999999</v>
      </c>
      <c r="J5823" t="s">
        <v>20</v>
      </c>
      <c r="L5823" s="1"/>
      <c r="N5823" s="1"/>
      <c r="V5823" t="str">
        <f>"19100"</f>
        <v>19100</v>
      </c>
      <c r="W5823">
        <v>39.130000000000003</v>
      </c>
      <c r="X5823">
        <v>0</v>
      </c>
    </row>
    <row r="5824" spans="1:24" ht="15" customHeight="1" x14ac:dyDescent="0.25">
      <c r="A5824" t="str">
        <f>""</f>
        <v/>
      </c>
      <c r="B5824" s="1"/>
      <c r="H5824">
        <v>55.07</v>
      </c>
      <c r="J5824" t="s">
        <v>20</v>
      </c>
      <c r="L5824" s="1"/>
      <c r="N5824" s="1"/>
      <c r="V5824" t="str">
        <f>"62100"</f>
        <v>62100</v>
      </c>
      <c r="W5824">
        <v>10.46</v>
      </c>
      <c r="X5824">
        <v>0</v>
      </c>
    </row>
    <row r="5825" spans="1:24" ht="15" customHeight="1" x14ac:dyDescent="0.25">
      <c r="A5825" t="str">
        <f>""</f>
        <v/>
      </c>
      <c r="B5825" s="1"/>
      <c r="H5825">
        <v>151</v>
      </c>
      <c r="J5825" t="s">
        <v>23</v>
      </c>
      <c r="L5825" s="1"/>
      <c r="N5825" s="1"/>
      <c r="V5825" t="str">
        <f>"76600"</f>
        <v>76600</v>
      </c>
      <c r="W5825">
        <v>0</v>
      </c>
      <c r="X5825">
        <v>25.67</v>
      </c>
    </row>
    <row r="5826" spans="1:24" ht="15" customHeight="1" x14ac:dyDescent="0.25">
      <c r="A5826" t="str">
        <f>""</f>
        <v/>
      </c>
      <c r="B5826" s="1"/>
      <c r="H5826">
        <v>40</v>
      </c>
      <c r="J5826" t="s">
        <v>22</v>
      </c>
      <c r="L5826" s="1"/>
      <c r="N5826" s="1"/>
      <c r="V5826" t="str">
        <f>"76290"</f>
        <v>76290</v>
      </c>
      <c r="W5826">
        <v>0</v>
      </c>
      <c r="X5826">
        <v>6.8</v>
      </c>
    </row>
    <row r="5827" spans="1:24" ht="15" customHeight="1" x14ac:dyDescent="0.25">
      <c r="A5827" t="str">
        <f>""</f>
        <v/>
      </c>
      <c r="B5827" s="1"/>
      <c r="H5827">
        <v>171</v>
      </c>
      <c r="L5827" s="1"/>
      <c r="N5827" s="1"/>
      <c r="V5827" t="str">
        <f>"77184"</f>
        <v>77184</v>
      </c>
      <c r="W5827">
        <v>0</v>
      </c>
      <c r="X5827">
        <v>0</v>
      </c>
    </row>
    <row r="5828" spans="1:24" x14ac:dyDescent="0.25">
      <c r="A5828" t="str">
        <f>""</f>
        <v/>
      </c>
      <c r="B5828" s="1"/>
      <c r="H5828">
        <v>40</v>
      </c>
      <c r="J5828" t="s">
        <v>16</v>
      </c>
      <c r="L5828" s="1"/>
      <c r="N5828" s="1"/>
      <c r="V5828" t="str">
        <f>"77184"</f>
        <v>77184</v>
      </c>
      <c r="W5828">
        <v>6.8</v>
      </c>
      <c r="X5828">
        <v>0</v>
      </c>
    </row>
    <row r="5829" spans="1:24" ht="15" customHeight="1" x14ac:dyDescent="0.25">
      <c r="A5829" t="str">
        <f>""</f>
        <v/>
      </c>
      <c r="B5829" s="1"/>
      <c r="H5829">
        <v>19.8</v>
      </c>
      <c r="J5829" t="s">
        <v>19</v>
      </c>
      <c r="L5829" s="1"/>
      <c r="N5829" s="1"/>
      <c r="V5829" t="str">
        <f>"60300"</f>
        <v>60300</v>
      </c>
      <c r="W5829">
        <v>3.76</v>
      </c>
      <c r="X5829">
        <v>0</v>
      </c>
    </row>
    <row r="5830" spans="1:24" ht="15" customHeight="1" x14ac:dyDescent="0.25">
      <c r="A5830" t="str">
        <f>""</f>
        <v/>
      </c>
      <c r="B5830" s="1"/>
      <c r="H5830">
        <v>19.8</v>
      </c>
      <c r="J5830" t="s">
        <v>19</v>
      </c>
      <c r="L5830" s="1"/>
      <c r="N5830" s="1"/>
      <c r="V5830" t="str">
        <f>"62380"</f>
        <v>62380</v>
      </c>
      <c r="W5830">
        <v>3.76</v>
      </c>
      <c r="X5830">
        <v>0</v>
      </c>
    </row>
    <row r="5831" spans="1:24" ht="15" customHeight="1" x14ac:dyDescent="0.25">
      <c r="A5831" t="str">
        <f>""</f>
        <v/>
      </c>
      <c r="B5831" s="1"/>
      <c r="H5831">
        <v>25.8</v>
      </c>
      <c r="J5831" t="s">
        <v>20</v>
      </c>
      <c r="L5831" s="1"/>
      <c r="N5831" s="1"/>
      <c r="V5831" t="str">
        <f>"59960"</f>
        <v>59960</v>
      </c>
      <c r="W5831">
        <v>4.9000000000000004</v>
      </c>
      <c r="X5831">
        <v>0</v>
      </c>
    </row>
    <row r="5832" spans="1:24" ht="15" customHeight="1" x14ac:dyDescent="0.25">
      <c r="A5832" t="str">
        <f>""</f>
        <v/>
      </c>
      <c r="B5832" s="1"/>
      <c r="H5832">
        <v>20.03</v>
      </c>
      <c r="J5832" t="s">
        <v>19</v>
      </c>
      <c r="L5832" s="1"/>
      <c r="N5832" s="1"/>
      <c r="V5832" t="str">
        <f>"67000"</f>
        <v>67000</v>
      </c>
      <c r="W5832">
        <v>5.81</v>
      </c>
      <c r="X5832">
        <v>0</v>
      </c>
    </row>
    <row r="5833" spans="1:24" ht="15" customHeight="1" x14ac:dyDescent="0.25">
      <c r="A5833" t="str">
        <f>""</f>
        <v/>
      </c>
      <c r="B5833" s="1"/>
      <c r="H5833">
        <v>151</v>
      </c>
      <c r="J5833" t="s">
        <v>22</v>
      </c>
      <c r="L5833" s="1"/>
      <c r="N5833" s="1"/>
      <c r="V5833" t="str">
        <f>"69005"</f>
        <v>69005</v>
      </c>
      <c r="W5833">
        <v>0</v>
      </c>
      <c r="X5833">
        <v>0</v>
      </c>
    </row>
    <row r="5834" spans="1:24" ht="15" customHeight="1" x14ac:dyDescent="0.25">
      <c r="A5834" t="str">
        <f>""</f>
        <v/>
      </c>
      <c r="B5834" s="1"/>
      <c r="H5834">
        <v>70</v>
      </c>
      <c r="J5834" t="s">
        <v>20</v>
      </c>
      <c r="L5834" s="1"/>
      <c r="N5834" s="1"/>
      <c r="V5834" t="str">
        <f>"34170"</f>
        <v>34170</v>
      </c>
      <c r="W5834">
        <v>27.3</v>
      </c>
      <c r="X5834">
        <v>0</v>
      </c>
    </row>
    <row r="5835" spans="1:24" ht="15" customHeight="1" x14ac:dyDescent="0.25">
      <c r="A5835" t="str">
        <f>""</f>
        <v/>
      </c>
      <c r="B5835" s="1"/>
      <c r="H5835">
        <v>37.85</v>
      </c>
      <c r="J5835" t="s">
        <v>19</v>
      </c>
      <c r="L5835" s="1"/>
      <c r="N5835" s="1"/>
      <c r="V5835" t="str">
        <f>"01500"</f>
        <v>01500</v>
      </c>
      <c r="W5835">
        <v>10.220000000000001</v>
      </c>
      <c r="X5835">
        <v>0</v>
      </c>
    </row>
    <row r="5836" spans="1:24" ht="15" customHeight="1" x14ac:dyDescent="0.25">
      <c r="A5836" t="str">
        <f>""</f>
        <v/>
      </c>
      <c r="B5836" s="1"/>
      <c r="H5836">
        <v>51.61</v>
      </c>
      <c r="J5836" t="s">
        <v>20</v>
      </c>
      <c r="L5836" s="1"/>
      <c r="N5836" s="1"/>
      <c r="V5836" t="str">
        <f>"45100"</f>
        <v>45100</v>
      </c>
      <c r="W5836">
        <v>10.84</v>
      </c>
      <c r="X5836">
        <v>0</v>
      </c>
    </row>
    <row r="5837" spans="1:24" ht="15" customHeight="1" x14ac:dyDescent="0.25">
      <c r="A5837" t="str">
        <f>""</f>
        <v/>
      </c>
      <c r="B5837" s="1"/>
      <c r="H5837">
        <v>75.34</v>
      </c>
      <c r="J5837" t="s">
        <v>20</v>
      </c>
      <c r="L5837" s="1"/>
      <c r="N5837" s="1"/>
      <c r="V5837" t="str">
        <f>"68127"</f>
        <v>68127</v>
      </c>
      <c r="W5837">
        <v>21.85</v>
      </c>
      <c r="X5837">
        <v>0</v>
      </c>
    </row>
    <row r="5838" spans="1:24" ht="15" customHeight="1" x14ac:dyDescent="0.25">
      <c r="A5838" t="str">
        <f>""</f>
        <v/>
      </c>
      <c r="B5838" s="1"/>
      <c r="H5838">
        <v>80</v>
      </c>
      <c r="J5838" t="s">
        <v>19</v>
      </c>
      <c r="L5838" s="1"/>
      <c r="N5838" s="1"/>
      <c r="V5838" t="str">
        <f>"69003"</f>
        <v>69003</v>
      </c>
      <c r="W5838">
        <v>21.6</v>
      </c>
      <c r="X5838">
        <v>0</v>
      </c>
    </row>
    <row r="5839" spans="1:24" ht="15" customHeight="1" x14ac:dyDescent="0.25">
      <c r="A5839" t="str">
        <f>""</f>
        <v/>
      </c>
      <c r="B5839" s="1"/>
      <c r="H5839">
        <v>220</v>
      </c>
      <c r="J5839" t="s">
        <v>22</v>
      </c>
      <c r="L5839" s="1"/>
      <c r="N5839" s="1"/>
      <c r="V5839" t="str">
        <f>"13015"</f>
        <v>13015</v>
      </c>
      <c r="W5839">
        <v>0</v>
      </c>
      <c r="X5839">
        <v>0</v>
      </c>
    </row>
    <row r="5840" spans="1:24" ht="15" customHeight="1" x14ac:dyDescent="0.25">
      <c r="A5840" t="str">
        <f>""</f>
        <v/>
      </c>
      <c r="B5840" s="1"/>
      <c r="H5840">
        <v>55.14</v>
      </c>
      <c r="J5840" t="s">
        <v>20</v>
      </c>
      <c r="L5840" s="1"/>
      <c r="N5840" s="1"/>
      <c r="V5840" t="str">
        <f>"59810"</f>
        <v>59810</v>
      </c>
      <c r="W5840">
        <v>10.48</v>
      </c>
      <c r="X5840">
        <v>0</v>
      </c>
    </row>
    <row r="5841" spans="1:24" ht="15" customHeight="1" x14ac:dyDescent="0.25">
      <c r="A5841" t="str">
        <f>""</f>
        <v/>
      </c>
      <c r="B5841" s="1"/>
      <c r="H5841">
        <v>185.14</v>
      </c>
      <c r="J5841" t="s">
        <v>19</v>
      </c>
      <c r="L5841" s="1"/>
      <c r="N5841" s="1"/>
      <c r="V5841" t="str">
        <f>"59605"</f>
        <v>59605</v>
      </c>
      <c r="W5841">
        <v>35.18</v>
      </c>
      <c r="X5841">
        <v>0</v>
      </c>
    </row>
    <row r="5842" spans="1:24" ht="15" customHeight="1" x14ac:dyDescent="0.25">
      <c r="A5842" t="str">
        <f>""</f>
        <v/>
      </c>
      <c r="B5842" s="1"/>
      <c r="H5842">
        <v>33.35</v>
      </c>
      <c r="J5842" t="s">
        <v>19</v>
      </c>
      <c r="L5842" s="1"/>
      <c r="N5842" s="1"/>
      <c r="V5842" t="str">
        <f>"13100"</f>
        <v>13100</v>
      </c>
      <c r="W5842">
        <v>9.67</v>
      </c>
      <c r="X5842">
        <v>0</v>
      </c>
    </row>
    <row r="5843" spans="1:24" ht="15" customHeight="1" x14ac:dyDescent="0.25">
      <c r="A5843" t="str">
        <f>""</f>
        <v/>
      </c>
      <c r="B5843" s="1"/>
      <c r="H5843">
        <v>33.35</v>
      </c>
      <c r="J5843" t="s">
        <v>19</v>
      </c>
      <c r="L5843" s="1"/>
      <c r="N5843" s="1"/>
      <c r="V5843" t="str">
        <f>"69005"</f>
        <v>69005</v>
      </c>
      <c r="W5843">
        <v>9</v>
      </c>
      <c r="X5843">
        <v>0</v>
      </c>
    </row>
    <row r="5844" spans="1:24" ht="15" customHeight="1" x14ac:dyDescent="0.25">
      <c r="A5844" t="str">
        <f>""</f>
        <v/>
      </c>
      <c r="B5844" s="1"/>
      <c r="H5844">
        <v>134</v>
      </c>
      <c r="L5844" s="1"/>
      <c r="N5844" s="1"/>
      <c r="V5844" t="str">
        <f>"77184"</f>
        <v>77184</v>
      </c>
      <c r="W5844">
        <v>0</v>
      </c>
      <c r="X5844">
        <v>0</v>
      </c>
    </row>
    <row r="5845" spans="1:24" ht="15" customHeight="1" x14ac:dyDescent="0.25">
      <c r="A5845" t="str">
        <f>""</f>
        <v/>
      </c>
      <c r="B5845" s="1"/>
      <c r="H5845">
        <v>131.97999999999999</v>
      </c>
      <c r="J5845" t="s">
        <v>20</v>
      </c>
      <c r="L5845" s="1"/>
      <c r="N5845" s="1"/>
      <c r="V5845" t="str">
        <f>"17000"</f>
        <v>17000</v>
      </c>
      <c r="W5845">
        <v>27.72</v>
      </c>
      <c r="X5845">
        <v>0</v>
      </c>
    </row>
    <row r="5846" spans="1:24" ht="15" customHeight="1" x14ac:dyDescent="0.25">
      <c r="A5846" t="str">
        <f>""</f>
        <v/>
      </c>
      <c r="B5846" s="1"/>
      <c r="H5846">
        <v>19.8</v>
      </c>
      <c r="J5846" t="s">
        <v>20</v>
      </c>
      <c r="L5846" s="1"/>
      <c r="N5846" s="1"/>
      <c r="V5846" t="str">
        <f>"35590"</f>
        <v>35590</v>
      </c>
      <c r="W5846">
        <v>5.35</v>
      </c>
      <c r="X5846">
        <v>0</v>
      </c>
    </row>
    <row r="5847" spans="1:24" ht="15" customHeight="1" x14ac:dyDescent="0.25">
      <c r="A5847" t="str">
        <f>""</f>
        <v/>
      </c>
      <c r="B5847" s="1"/>
      <c r="H5847">
        <v>86.34</v>
      </c>
      <c r="J5847" t="s">
        <v>20</v>
      </c>
      <c r="L5847" s="1"/>
      <c r="N5847" s="1"/>
      <c r="V5847" t="str">
        <f>"75002"</f>
        <v>75002</v>
      </c>
      <c r="W5847">
        <v>0</v>
      </c>
      <c r="X5847">
        <v>0</v>
      </c>
    </row>
    <row r="5848" spans="1:24" ht="15" customHeight="1" x14ac:dyDescent="0.25">
      <c r="A5848" t="str">
        <f>""</f>
        <v/>
      </c>
      <c r="B5848" s="1"/>
      <c r="H5848">
        <v>55.14</v>
      </c>
      <c r="J5848" t="s">
        <v>19</v>
      </c>
      <c r="L5848" s="1"/>
      <c r="N5848" s="1"/>
      <c r="V5848" t="str">
        <f>"06000"</f>
        <v>06000</v>
      </c>
      <c r="W5848">
        <v>16.54</v>
      </c>
      <c r="X5848">
        <v>0</v>
      </c>
    </row>
    <row r="5849" spans="1:24" ht="15" customHeight="1" x14ac:dyDescent="0.25">
      <c r="A5849" t="str">
        <f>""</f>
        <v/>
      </c>
      <c r="B5849" s="1"/>
      <c r="H5849">
        <v>172.08</v>
      </c>
      <c r="J5849" t="s">
        <v>23</v>
      </c>
      <c r="L5849" s="1"/>
      <c r="N5849" s="1"/>
      <c r="V5849" t="str">
        <f>"45120"</f>
        <v>45120</v>
      </c>
      <c r="W5849">
        <v>0</v>
      </c>
      <c r="X5849">
        <v>0</v>
      </c>
    </row>
    <row r="5850" spans="1:24" ht="15" customHeight="1" x14ac:dyDescent="0.25">
      <c r="A5850" t="str">
        <f>""</f>
        <v/>
      </c>
      <c r="B5850" s="1"/>
      <c r="H5850">
        <v>20.2</v>
      </c>
      <c r="J5850" t="s">
        <v>20</v>
      </c>
      <c r="L5850" s="1"/>
      <c r="N5850" s="1"/>
      <c r="V5850" t="str">
        <f>"89470"</f>
        <v>89470</v>
      </c>
      <c r="W5850">
        <v>4.8499999999999996</v>
      </c>
      <c r="X5850">
        <v>0</v>
      </c>
    </row>
    <row r="5851" spans="1:24" ht="15" customHeight="1" x14ac:dyDescent="0.25">
      <c r="A5851" t="str">
        <f>""</f>
        <v/>
      </c>
      <c r="B5851" s="1"/>
      <c r="H5851">
        <v>183.25</v>
      </c>
      <c r="J5851" t="s">
        <v>20</v>
      </c>
      <c r="L5851" s="1"/>
      <c r="N5851" s="1"/>
      <c r="V5851" t="str">
        <f>"64000"</f>
        <v>64000</v>
      </c>
      <c r="W5851">
        <v>38.479999999999997</v>
      </c>
      <c r="X5851">
        <v>0</v>
      </c>
    </row>
    <row r="5852" spans="1:24" ht="15" customHeight="1" x14ac:dyDescent="0.25">
      <c r="A5852" t="str">
        <f>""</f>
        <v/>
      </c>
      <c r="B5852" s="1"/>
      <c r="H5852">
        <v>70</v>
      </c>
      <c r="J5852" t="s">
        <v>22</v>
      </c>
      <c r="L5852" s="1"/>
      <c r="N5852" s="1"/>
      <c r="V5852" t="str">
        <f>"59287"</f>
        <v>59287</v>
      </c>
      <c r="W5852">
        <v>0</v>
      </c>
      <c r="X5852">
        <v>0</v>
      </c>
    </row>
    <row r="5853" spans="1:24" ht="15" customHeight="1" x14ac:dyDescent="0.25">
      <c r="A5853" t="str">
        <f>""</f>
        <v/>
      </c>
      <c r="B5853" s="1"/>
      <c r="H5853">
        <v>151</v>
      </c>
      <c r="J5853" t="s">
        <v>20</v>
      </c>
      <c r="L5853" s="1"/>
      <c r="N5853" s="1"/>
      <c r="V5853" t="str">
        <f>"69003"</f>
        <v>69003</v>
      </c>
      <c r="W5853">
        <v>40.770000000000003</v>
      </c>
      <c r="X5853">
        <v>0</v>
      </c>
    </row>
    <row r="5854" spans="1:24" ht="15" customHeight="1" x14ac:dyDescent="0.25">
      <c r="A5854" t="str">
        <f>""</f>
        <v/>
      </c>
      <c r="B5854" s="1"/>
      <c r="H5854">
        <v>164.02</v>
      </c>
      <c r="J5854" t="s">
        <v>22</v>
      </c>
      <c r="L5854" s="1"/>
      <c r="V5854" t="str">
        <f>"69230"</f>
        <v>69230</v>
      </c>
      <c r="W5854">
        <v>0</v>
      </c>
      <c r="X5854">
        <v>0</v>
      </c>
    </row>
    <row r="5855" spans="1:24" ht="15" customHeight="1" x14ac:dyDescent="0.25">
      <c r="A5855" t="str">
        <f>""</f>
        <v/>
      </c>
      <c r="B5855" s="1"/>
      <c r="H5855">
        <v>140</v>
      </c>
      <c r="J5855" t="s">
        <v>22</v>
      </c>
      <c r="L5855" s="1"/>
      <c r="N5855" s="1"/>
      <c r="V5855" t="str">
        <f>"80000"</f>
        <v>80000</v>
      </c>
      <c r="W5855">
        <v>0</v>
      </c>
      <c r="X5855">
        <v>26.6</v>
      </c>
    </row>
    <row r="5856" spans="1:24" ht="15" customHeight="1" x14ac:dyDescent="0.25">
      <c r="A5856" t="str">
        <f>""</f>
        <v/>
      </c>
      <c r="B5856" s="1"/>
      <c r="H5856">
        <v>35</v>
      </c>
      <c r="L5856" s="1"/>
      <c r="N5856" s="1"/>
      <c r="V5856" t="str">
        <f>"77184"</f>
        <v>77184</v>
      </c>
      <c r="W5856">
        <v>0</v>
      </c>
      <c r="X5856">
        <v>0</v>
      </c>
    </row>
    <row r="5857" spans="1:24" ht="15" customHeight="1" x14ac:dyDescent="0.25">
      <c r="A5857" t="str">
        <f>""</f>
        <v/>
      </c>
      <c r="B5857" s="1"/>
      <c r="H5857">
        <v>186.98</v>
      </c>
      <c r="J5857" t="s">
        <v>23</v>
      </c>
      <c r="L5857" s="1"/>
      <c r="N5857" s="1"/>
      <c r="V5857" t="str">
        <f>"39140"</f>
        <v>39140</v>
      </c>
      <c r="W5857">
        <v>0</v>
      </c>
      <c r="X5857">
        <v>0</v>
      </c>
    </row>
    <row r="5858" spans="1:24" ht="15" customHeight="1" x14ac:dyDescent="0.25">
      <c r="A5858" t="str">
        <f>""</f>
        <v/>
      </c>
      <c r="B5858" s="1"/>
      <c r="H5858">
        <v>140</v>
      </c>
      <c r="J5858" t="s">
        <v>23</v>
      </c>
      <c r="L5858" s="1"/>
      <c r="N5858" s="1"/>
      <c r="V5858" t="str">
        <f>"06740"</f>
        <v>06740</v>
      </c>
      <c r="W5858">
        <v>0</v>
      </c>
      <c r="X5858">
        <v>29.4</v>
      </c>
    </row>
    <row r="5859" spans="1:24" ht="15" customHeight="1" x14ac:dyDescent="0.25">
      <c r="A5859" t="str">
        <f>""</f>
        <v/>
      </c>
      <c r="B5859" s="1"/>
      <c r="H5859">
        <v>140</v>
      </c>
      <c r="J5859" t="s">
        <v>23</v>
      </c>
      <c r="L5859" s="1"/>
      <c r="V5859" t="str">
        <f>"13400"</f>
        <v>13400</v>
      </c>
      <c r="W5859">
        <v>0</v>
      </c>
      <c r="X5859">
        <v>0</v>
      </c>
    </row>
    <row r="5860" spans="1:24" ht="15" customHeight="1" x14ac:dyDescent="0.25">
      <c r="A5860" t="str">
        <f>""</f>
        <v/>
      </c>
      <c r="B5860" s="1"/>
      <c r="H5860">
        <v>183.98</v>
      </c>
      <c r="J5860" t="s">
        <v>23</v>
      </c>
      <c r="L5860" s="1"/>
      <c r="N5860" s="1"/>
      <c r="V5860" t="str">
        <f>"14000"</f>
        <v>14000</v>
      </c>
      <c r="W5860">
        <v>0</v>
      </c>
      <c r="X5860">
        <v>31.28</v>
      </c>
    </row>
    <row r="5861" spans="1:24" ht="15" customHeight="1" x14ac:dyDescent="0.25">
      <c r="A5861" t="str">
        <f>""</f>
        <v/>
      </c>
      <c r="B5861" s="1"/>
      <c r="H5861">
        <v>69.56</v>
      </c>
      <c r="J5861" t="s">
        <v>19</v>
      </c>
      <c r="L5861" s="1"/>
      <c r="N5861" s="1"/>
      <c r="V5861" t="str">
        <f>"61250"</f>
        <v>61250</v>
      </c>
      <c r="W5861">
        <v>11.83</v>
      </c>
      <c r="X5861">
        <v>0</v>
      </c>
    </row>
    <row r="5862" spans="1:24" ht="15" customHeight="1" x14ac:dyDescent="0.25">
      <c r="A5862" t="str">
        <f>""</f>
        <v/>
      </c>
      <c r="B5862" s="1"/>
      <c r="H5862">
        <v>110.91</v>
      </c>
      <c r="J5862" t="s">
        <v>22</v>
      </c>
      <c r="L5862" s="1"/>
      <c r="V5862" t="str">
        <f>"13127"</f>
        <v>13127</v>
      </c>
      <c r="W5862">
        <v>0</v>
      </c>
      <c r="X5862">
        <v>0</v>
      </c>
    </row>
    <row r="5863" spans="1:24" ht="15" customHeight="1" x14ac:dyDescent="0.25">
      <c r="A5863" t="str">
        <f>""</f>
        <v/>
      </c>
      <c r="B5863" s="1"/>
      <c r="H5863">
        <v>69</v>
      </c>
      <c r="J5863" t="s">
        <v>23</v>
      </c>
      <c r="L5863" s="1"/>
      <c r="V5863" t="str">
        <f>"05220"</f>
        <v>05220</v>
      </c>
      <c r="W5863">
        <v>0</v>
      </c>
      <c r="X5863">
        <v>0</v>
      </c>
    </row>
    <row r="5864" spans="1:24" ht="15" customHeight="1" x14ac:dyDescent="0.25">
      <c r="A5864" t="str">
        <f>""</f>
        <v/>
      </c>
      <c r="B5864" s="1"/>
      <c r="H5864">
        <v>180</v>
      </c>
      <c r="J5864" t="s">
        <v>23</v>
      </c>
      <c r="L5864" s="1"/>
      <c r="N5864" s="1"/>
      <c r="V5864" t="str">
        <f>"41220"</f>
        <v>41220</v>
      </c>
      <c r="W5864">
        <v>0</v>
      </c>
      <c r="X5864">
        <v>37.799999999999997</v>
      </c>
    </row>
    <row r="5865" spans="1:24" ht="15" customHeight="1" x14ac:dyDescent="0.25">
      <c r="A5865" t="str">
        <f>""</f>
        <v/>
      </c>
      <c r="B5865" s="1"/>
      <c r="H5865">
        <v>72.790000000000006</v>
      </c>
      <c r="J5865" t="s">
        <v>23</v>
      </c>
      <c r="L5865" s="1"/>
      <c r="N5865" s="1"/>
      <c r="V5865" t="str">
        <f>"13127"</f>
        <v>13127</v>
      </c>
      <c r="W5865">
        <v>0</v>
      </c>
      <c r="X5865">
        <v>0</v>
      </c>
    </row>
    <row r="5866" spans="1:24" ht="15" customHeight="1" x14ac:dyDescent="0.25">
      <c r="A5866" t="str">
        <f>""</f>
        <v/>
      </c>
      <c r="B5866" s="1"/>
      <c r="H5866">
        <v>25</v>
      </c>
      <c r="J5866" t="s">
        <v>23</v>
      </c>
      <c r="L5866" s="1"/>
      <c r="N5866" s="1"/>
      <c r="V5866" t="str">
        <f>"63000"</f>
        <v>63000</v>
      </c>
      <c r="W5866">
        <v>0</v>
      </c>
      <c r="X5866">
        <v>3</v>
      </c>
    </row>
    <row r="5867" spans="1:24" ht="15" customHeight="1" x14ac:dyDescent="0.25">
      <c r="A5867" t="str">
        <f>""</f>
        <v/>
      </c>
      <c r="B5867" s="1"/>
      <c r="H5867">
        <v>290</v>
      </c>
      <c r="J5867" t="s">
        <v>23</v>
      </c>
      <c r="L5867" s="1"/>
      <c r="N5867" s="1"/>
      <c r="V5867" t="str">
        <f>"35065"</f>
        <v>35065</v>
      </c>
      <c r="W5867">
        <v>0</v>
      </c>
      <c r="X5867">
        <v>0</v>
      </c>
    </row>
    <row r="5868" spans="1:24" ht="15" customHeight="1" x14ac:dyDescent="0.25">
      <c r="A5868" t="str">
        <f>""</f>
        <v/>
      </c>
      <c r="B5868" s="1"/>
      <c r="H5868">
        <v>16.8</v>
      </c>
      <c r="J5868" t="s">
        <v>22</v>
      </c>
      <c r="L5868" s="1"/>
      <c r="N5868" s="1"/>
      <c r="V5868" t="str">
        <f>"54600"</f>
        <v>54600</v>
      </c>
      <c r="W5868">
        <v>0</v>
      </c>
      <c r="X5868">
        <v>4.2</v>
      </c>
    </row>
    <row r="5869" spans="1:24" ht="15" customHeight="1" x14ac:dyDescent="0.25">
      <c r="A5869" t="str">
        <f>""</f>
        <v/>
      </c>
      <c r="B5869" s="1"/>
      <c r="H5869">
        <v>40</v>
      </c>
      <c r="J5869" t="s">
        <v>22</v>
      </c>
      <c r="L5869" s="1"/>
      <c r="N5869" s="1"/>
      <c r="V5869" t="str">
        <f>"63800"</f>
        <v>63800</v>
      </c>
      <c r="W5869">
        <v>0</v>
      </c>
      <c r="X5869">
        <v>4.8</v>
      </c>
    </row>
    <row r="5870" spans="1:24" ht="15" customHeight="1" x14ac:dyDescent="0.25">
      <c r="A5870" t="str">
        <f>""</f>
        <v/>
      </c>
      <c r="B5870" s="1"/>
      <c r="H5870">
        <v>17.399999999999999</v>
      </c>
      <c r="J5870" t="s">
        <v>22</v>
      </c>
      <c r="L5870" s="1"/>
      <c r="N5870" s="1"/>
      <c r="V5870" t="str">
        <f>"69200"</f>
        <v>69200</v>
      </c>
      <c r="W5870">
        <v>0</v>
      </c>
      <c r="X5870">
        <v>0</v>
      </c>
    </row>
    <row r="5871" spans="1:24" ht="15" customHeight="1" x14ac:dyDescent="0.25">
      <c r="A5871" t="str">
        <f>""</f>
        <v/>
      </c>
      <c r="B5871" s="1"/>
      <c r="H5871">
        <v>171.25</v>
      </c>
      <c r="J5871" t="s">
        <v>22</v>
      </c>
      <c r="L5871" s="1"/>
      <c r="N5871" s="1"/>
      <c r="V5871" t="str">
        <f>"37540"</f>
        <v>37540</v>
      </c>
      <c r="W5871">
        <v>0</v>
      </c>
      <c r="X5871">
        <v>46.24</v>
      </c>
    </row>
    <row r="5872" spans="1:24" x14ac:dyDescent="0.25">
      <c r="A5872" t="str">
        <f>""</f>
        <v/>
      </c>
      <c r="B5872" s="1"/>
      <c r="H5872">
        <v>52.5</v>
      </c>
      <c r="J5872" t="s">
        <v>15</v>
      </c>
      <c r="L5872" s="1"/>
      <c r="N5872" s="1"/>
      <c r="V5872" t="str">
        <f>"84000"</f>
        <v>84000</v>
      </c>
      <c r="W5872">
        <v>0</v>
      </c>
      <c r="X5872">
        <v>0</v>
      </c>
    </row>
    <row r="5873" spans="1:24" x14ac:dyDescent="0.25">
      <c r="A5873" t="str">
        <f>""</f>
        <v/>
      </c>
      <c r="B5873" s="1"/>
      <c r="H5873">
        <v>52.5</v>
      </c>
      <c r="J5873" t="s">
        <v>15</v>
      </c>
      <c r="L5873" s="1"/>
      <c r="N5873" s="1"/>
      <c r="V5873" t="str">
        <f>"69100"</f>
        <v>69100</v>
      </c>
      <c r="W5873">
        <v>0</v>
      </c>
      <c r="X5873">
        <v>0</v>
      </c>
    </row>
    <row r="5874" spans="1:24" ht="15" customHeight="1" x14ac:dyDescent="0.25">
      <c r="A5874" t="str">
        <f>""</f>
        <v/>
      </c>
      <c r="B5874" s="1"/>
      <c r="H5874">
        <v>40.93</v>
      </c>
      <c r="J5874" t="s">
        <v>22</v>
      </c>
      <c r="L5874" s="1"/>
      <c r="V5874" t="str">
        <f>"61100"</f>
        <v>61100</v>
      </c>
      <c r="W5874">
        <v>0</v>
      </c>
      <c r="X5874">
        <v>0</v>
      </c>
    </row>
    <row r="5875" spans="1:24" ht="15" customHeight="1" x14ac:dyDescent="0.25">
      <c r="A5875" t="str">
        <f>""</f>
        <v/>
      </c>
      <c r="B5875" s="1"/>
      <c r="H5875">
        <v>150</v>
      </c>
      <c r="J5875" t="s">
        <v>22</v>
      </c>
      <c r="L5875" s="1"/>
      <c r="N5875" s="1"/>
      <c r="V5875" t="str">
        <f>"83600"</f>
        <v>83600</v>
      </c>
      <c r="W5875">
        <v>0</v>
      </c>
      <c r="X5875">
        <v>0</v>
      </c>
    </row>
    <row r="5876" spans="1:24" ht="15" customHeight="1" x14ac:dyDescent="0.25">
      <c r="A5876" t="str">
        <f>""</f>
        <v/>
      </c>
      <c r="B5876" s="1"/>
      <c r="H5876">
        <v>70</v>
      </c>
      <c r="J5876" t="s">
        <v>22</v>
      </c>
      <c r="L5876" s="1"/>
      <c r="N5876" s="1"/>
      <c r="V5876" t="str">
        <f>"13001"</f>
        <v>13001</v>
      </c>
      <c r="W5876">
        <v>0</v>
      </c>
      <c r="X5876">
        <v>0</v>
      </c>
    </row>
    <row r="5877" spans="1:24" ht="15" customHeight="1" x14ac:dyDescent="0.25">
      <c r="A5877" t="str">
        <f>""</f>
        <v/>
      </c>
      <c r="B5877" s="1"/>
      <c r="H5877">
        <v>55.16</v>
      </c>
      <c r="J5877" t="s">
        <v>19</v>
      </c>
      <c r="L5877" s="1"/>
      <c r="N5877" s="1"/>
      <c r="V5877" t="str">
        <f>"93013"</f>
        <v>93013</v>
      </c>
      <c r="W5877">
        <v>0</v>
      </c>
      <c r="X5877">
        <v>0</v>
      </c>
    </row>
    <row r="5878" spans="1:24" ht="15" customHeight="1" x14ac:dyDescent="0.25">
      <c r="A5878" t="str">
        <f>""</f>
        <v/>
      </c>
      <c r="B5878" s="1"/>
      <c r="H5878">
        <v>155.37</v>
      </c>
      <c r="J5878" t="s">
        <v>19</v>
      </c>
      <c r="L5878" s="1"/>
      <c r="N5878" s="1"/>
      <c r="V5878" t="str">
        <f>"22600"</f>
        <v>22600</v>
      </c>
      <c r="W5878">
        <v>60.59</v>
      </c>
      <c r="X5878">
        <v>0</v>
      </c>
    </row>
    <row r="5879" spans="1:24" ht="15" customHeight="1" x14ac:dyDescent="0.25">
      <c r="A5879" t="str">
        <f>""</f>
        <v/>
      </c>
      <c r="B5879" s="1"/>
      <c r="H5879">
        <v>19.649999999999999</v>
      </c>
      <c r="J5879" t="s">
        <v>19</v>
      </c>
      <c r="L5879" s="1"/>
      <c r="N5879" s="1"/>
      <c r="V5879" t="str">
        <f>"38110"</f>
        <v>38110</v>
      </c>
      <c r="W5879">
        <v>5.31</v>
      </c>
      <c r="X5879">
        <v>0</v>
      </c>
    </row>
    <row r="5880" spans="1:24" ht="15" customHeight="1" x14ac:dyDescent="0.25">
      <c r="A5880" t="str">
        <f>""</f>
        <v/>
      </c>
      <c r="B5880" s="1"/>
      <c r="H5880">
        <v>19.649999999999999</v>
      </c>
      <c r="J5880" t="s">
        <v>19</v>
      </c>
      <c r="L5880" s="1"/>
      <c r="N5880" s="1"/>
      <c r="V5880" t="str">
        <f>"07800"</f>
        <v>07800</v>
      </c>
      <c r="W5880">
        <v>5.31</v>
      </c>
      <c r="X5880">
        <v>0</v>
      </c>
    </row>
    <row r="5881" spans="1:24" ht="15" customHeight="1" x14ac:dyDescent="0.25">
      <c r="A5881" t="str">
        <f>""</f>
        <v/>
      </c>
      <c r="B5881" s="1"/>
      <c r="H5881">
        <v>19.649999999999999</v>
      </c>
      <c r="J5881" t="s">
        <v>19</v>
      </c>
      <c r="L5881" s="1"/>
      <c r="N5881" s="1"/>
      <c r="V5881" t="str">
        <f>"38300"</f>
        <v>38300</v>
      </c>
      <c r="W5881">
        <v>5.31</v>
      </c>
      <c r="X5881">
        <v>0</v>
      </c>
    </row>
    <row r="5882" spans="1:24" ht="15" customHeight="1" x14ac:dyDescent="0.25">
      <c r="A5882" t="str">
        <f>""</f>
        <v/>
      </c>
      <c r="B5882" s="1"/>
      <c r="H5882">
        <v>137.80000000000001</v>
      </c>
      <c r="J5882" t="s">
        <v>23</v>
      </c>
      <c r="L5882" s="1"/>
      <c r="N5882" s="1"/>
      <c r="V5882" t="str">
        <f>"05000"</f>
        <v>05000</v>
      </c>
      <c r="W5882">
        <v>0</v>
      </c>
      <c r="X5882">
        <v>0</v>
      </c>
    </row>
    <row r="5883" spans="1:24" ht="15" customHeight="1" x14ac:dyDescent="0.25">
      <c r="A5883" t="str">
        <f>""</f>
        <v/>
      </c>
      <c r="B5883" s="1"/>
      <c r="H5883">
        <v>29.59</v>
      </c>
      <c r="J5883" t="s">
        <v>23</v>
      </c>
      <c r="L5883" s="1"/>
      <c r="N5883" s="1"/>
      <c r="V5883" t="str">
        <f>"06340"</f>
        <v>06340</v>
      </c>
      <c r="W5883">
        <v>0</v>
      </c>
      <c r="X5883">
        <v>6.21</v>
      </c>
    </row>
    <row r="5884" spans="1:24" x14ac:dyDescent="0.25">
      <c r="A5884" t="str">
        <f>""</f>
        <v/>
      </c>
      <c r="B5884" s="1"/>
      <c r="H5884">
        <v>151</v>
      </c>
      <c r="J5884" t="s">
        <v>15</v>
      </c>
      <c r="L5884" s="1"/>
      <c r="N5884" s="1"/>
      <c r="V5884" t="str">
        <f>"21300"</f>
        <v>21300</v>
      </c>
      <c r="W5884">
        <v>0</v>
      </c>
      <c r="X5884">
        <v>0</v>
      </c>
    </row>
    <row r="5885" spans="1:24" ht="15" customHeight="1" x14ac:dyDescent="0.25">
      <c r="A5885" t="str">
        <f>""</f>
        <v/>
      </c>
      <c r="B5885" s="1"/>
      <c r="H5885">
        <v>242.46</v>
      </c>
      <c r="J5885" t="s">
        <v>22</v>
      </c>
      <c r="L5885" s="1"/>
      <c r="N5885" s="1"/>
      <c r="V5885" t="str">
        <f>"26000"</f>
        <v>26000</v>
      </c>
      <c r="W5885">
        <v>0</v>
      </c>
      <c r="X5885">
        <v>0</v>
      </c>
    </row>
    <row r="5886" spans="1:24" ht="15" customHeight="1" x14ac:dyDescent="0.25">
      <c r="A5886" t="str">
        <f>""</f>
        <v/>
      </c>
      <c r="B5886" s="1"/>
      <c r="H5886">
        <v>19.8</v>
      </c>
      <c r="J5886" t="s">
        <v>19</v>
      </c>
      <c r="L5886" s="1"/>
      <c r="N5886" s="1"/>
      <c r="V5886" t="str">
        <f>"16340"</f>
        <v>16340</v>
      </c>
      <c r="W5886">
        <v>4.16</v>
      </c>
      <c r="X5886">
        <v>0</v>
      </c>
    </row>
    <row r="5887" spans="1:24" ht="15" customHeight="1" x14ac:dyDescent="0.25">
      <c r="A5887" t="str">
        <f>""</f>
        <v/>
      </c>
      <c r="B5887" s="1"/>
      <c r="H5887">
        <v>109.73</v>
      </c>
      <c r="J5887" t="s">
        <v>23</v>
      </c>
      <c r="L5887" s="1"/>
      <c r="N5887" s="1"/>
      <c r="V5887" t="str">
        <f>"50260"</f>
        <v>50260</v>
      </c>
      <c r="W5887">
        <v>0</v>
      </c>
      <c r="X5887">
        <v>18.649999999999999</v>
      </c>
    </row>
    <row r="5888" spans="1:24" ht="15" customHeight="1" x14ac:dyDescent="0.25">
      <c r="A5888" t="str">
        <f>""</f>
        <v/>
      </c>
      <c r="B5888" s="1"/>
      <c r="H5888">
        <v>40</v>
      </c>
      <c r="J5888" t="s">
        <v>23</v>
      </c>
      <c r="L5888" s="1"/>
      <c r="V5888" t="str">
        <f>"92000"</f>
        <v>92000</v>
      </c>
      <c r="W5888">
        <v>0</v>
      </c>
      <c r="X5888">
        <v>0</v>
      </c>
    </row>
    <row r="5889" spans="1:24" x14ac:dyDescent="0.25">
      <c r="A5889" t="str">
        <f>""</f>
        <v/>
      </c>
      <c r="B5889" s="1"/>
      <c r="H5889">
        <v>153.66</v>
      </c>
      <c r="J5889" t="s">
        <v>15</v>
      </c>
      <c r="L5889" s="1"/>
      <c r="N5889" s="1"/>
      <c r="V5889" t="str">
        <f>"06320"</f>
        <v>06320</v>
      </c>
      <c r="W5889">
        <v>0</v>
      </c>
      <c r="X5889">
        <v>0</v>
      </c>
    </row>
    <row r="5890" spans="1:24" ht="15" customHeight="1" x14ac:dyDescent="0.25">
      <c r="A5890" t="str">
        <f>""</f>
        <v/>
      </c>
      <c r="B5890" s="1"/>
      <c r="H5890">
        <v>151</v>
      </c>
      <c r="J5890" t="s">
        <v>22</v>
      </c>
      <c r="L5890" s="1"/>
      <c r="N5890" s="1"/>
      <c r="V5890" t="str">
        <f>"06560"</f>
        <v>06560</v>
      </c>
      <c r="W5890">
        <v>0</v>
      </c>
      <c r="X5890">
        <v>0</v>
      </c>
    </row>
    <row r="5891" spans="1:24" ht="15" customHeight="1" x14ac:dyDescent="0.25">
      <c r="A5891" t="str">
        <f>""</f>
        <v/>
      </c>
      <c r="B5891" s="1"/>
      <c r="H5891">
        <v>25</v>
      </c>
      <c r="L5891" s="1"/>
      <c r="N5891" s="1"/>
      <c r="V5891" t="str">
        <f>"77184"</f>
        <v>77184</v>
      </c>
      <c r="W5891">
        <v>0</v>
      </c>
      <c r="X5891">
        <v>0</v>
      </c>
    </row>
    <row r="5892" spans="1:24" ht="15" customHeight="1" x14ac:dyDescent="0.25">
      <c r="A5892" t="str">
        <f>""</f>
        <v/>
      </c>
      <c r="B5892" s="1"/>
      <c r="H5892">
        <v>25</v>
      </c>
      <c r="L5892" s="1"/>
      <c r="N5892" s="1"/>
      <c r="V5892" t="str">
        <f>"77184"</f>
        <v>77184</v>
      </c>
      <c r="W5892">
        <v>0</v>
      </c>
      <c r="X5892">
        <v>0</v>
      </c>
    </row>
    <row r="5893" spans="1:24" ht="15" customHeight="1" x14ac:dyDescent="0.25">
      <c r="A5893" t="str">
        <f>""</f>
        <v/>
      </c>
      <c r="B5893" s="1"/>
      <c r="H5893">
        <v>10</v>
      </c>
      <c r="L5893" s="1"/>
      <c r="N5893" s="1"/>
      <c r="V5893" t="str">
        <f>"77184"</f>
        <v>77184</v>
      </c>
      <c r="W5893">
        <v>0</v>
      </c>
      <c r="X5893">
        <v>0</v>
      </c>
    </row>
    <row r="5894" spans="1:24" ht="15" customHeight="1" x14ac:dyDescent="0.25">
      <c r="A5894" t="str">
        <f>""</f>
        <v/>
      </c>
      <c r="B5894" s="1"/>
      <c r="H5894">
        <v>151</v>
      </c>
      <c r="J5894" t="s">
        <v>22</v>
      </c>
      <c r="L5894" s="1"/>
      <c r="N5894" s="1"/>
      <c r="V5894" t="str">
        <f>"75008"</f>
        <v>75008</v>
      </c>
      <c r="W5894">
        <v>0</v>
      </c>
      <c r="X5894">
        <v>0</v>
      </c>
    </row>
    <row r="5895" spans="1:24" ht="15" customHeight="1" x14ac:dyDescent="0.25">
      <c r="A5895" t="str">
        <f>""</f>
        <v/>
      </c>
      <c r="B5895" s="1"/>
      <c r="H5895">
        <v>58.2</v>
      </c>
      <c r="J5895" t="s">
        <v>22</v>
      </c>
      <c r="L5895" s="1"/>
      <c r="N5895" s="1"/>
      <c r="V5895" t="str">
        <f>"75014"</f>
        <v>75014</v>
      </c>
      <c r="W5895">
        <v>0</v>
      </c>
      <c r="X5895">
        <v>0</v>
      </c>
    </row>
    <row r="5896" spans="1:24" ht="15" customHeight="1" x14ac:dyDescent="0.25">
      <c r="A5896" t="str">
        <f>""</f>
        <v/>
      </c>
      <c r="B5896" s="1"/>
      <c r="H5896">
        <v>151</v>
      </c>
      <c r="J5896" t="s">
        <v>23</v>
      </c>
      <c r="L5896" s="1"/>
      <c r="V5896" t="str">
        <f>"75019"</f>
        <v>75019</v>
      </c>
      <c r="W5896">
        <v>0</v>
      </c>
      <c r="X5896">
        <v>0</v>
      </c>
    </row>
    <row r="5897" spans="1:24" ht="15" customHeight="1" x14ac:dyDescent="0.25">
      <c r="A5897" t="str">
        <f>""</f>
        <v/>
      </c>
      <c r="B5897" s="1"/>
      <c r="H5897">
        <v>180</v>
      </c>
      <c r="J5897" t="s">
        <v>23</v>
      </c>
      <c r="L5897" s="1"/>
      <c r="N5897" s="1"/>
      <c r="V5897" t="str">
        <f>"57130"</f>
        <v>57130</v>
      </c>
      <c r="W5897">
        <v>0</v>
      </c>
      <c r="X5897">
        <v>82.8</v>
      </c>
    </row>
    <row r="5898" spans="1:24" ht="15" customHeight="1" x14ac:dyDescent="0.25">
      <c r="A5898" t="str">
        <f>""</f>
        <v/>
      </c>
      <c r="B5898" s="1"/>
      <c r="H5898">
        <v>84.5</v>
      </c>
      <c r="L5898" s="1"/>
      <c r="N5898" s="1"/>
      <c r="V5898" t="str">
        <f>"77184"</f>
        <v>77184</v>
      </c>
      <c r="W5898">
        <v>0</v>
      </c>
      <c r="X5898">
        <v>0</v>
      </c>
    </row>
    <row r="5899" spans="1:24" ht="15" customHeight="1" x14ac:dyDescent="0.25">
      <c r="A5899" t="str">
        <f>""</f>
        <v/>
      </c>
      <c r="B5899" s="1"/>
      <c r="H5899">
        <v>154.38999999999999</v>
      </c>
      <c r="J5899" t="s">
        <v>19</v>
      </c>
      <c r="L5899" s="1"/>
      <c r="N5899" s="1"/>
      <c r="V5899" t="str">
        <f>"69002"</f>
        <v>69002</v>
      </c>
      <c r="W5899">
        <v>41.69</v>
      </c>
      <c r="X5899">
        <v>0</v>
      </c>
    </row>
    <row r="5900" spans="1:24" ht="15" customHeight="1" x14ac:dyDescent="0.25">
      <c r="A5900" t="str">
        <f>""</f>
        <v/>
      </c>
      <c r="B5900" s="1"/>
      <c r="H5900">
        <v>20.23</v>
      </c>
      <c r="J5900" t="s">
        <v>19</v>
      </c>
      <c r="L5900" s="1"/>
      <c r="N5900" s="1"/>
      <c r="V5900" t="str">
        <f>"26000"</f>
        <v>26000</v>
      </c>
      <c r="W5900">
        <v>5.46</v>
      </c>
      <c r="X5900">
        <v>0</v>
      </c>
    </row>
    <row r="5901" spans="1:24" ht="15" customHeight="1" x14ac:dyDescent="0.25">
      <c r="A5901" t="str">
        <f>""</f>
        <v/>
      </c>
      <c r="B5901" s="1"/>
      <c r="H5901">
        <v>20.23</v>
      </c>
      <c r="J5901" t="s">
        <v>20</v>
      </c>
      <c r="L5901" s="1"/>
      <c r="N5901" s="1"/>
      <c r="V5901" t="str">
        <f>"35044"</f>
        <v>35044</v>
      </c>
      <c r="W5901">
        <v>5.46</v>
      </c>
      <c r="X5901">
        <v>0</v>
      </c>
    </row>
    <row r="5902" spans="1:24" ht="15" customHeight="1" x14ac:dyDescent="0.25">
      <c r="A5902" t="str">
        <f>""</f>
        <v/>
      </c>
      <c r="B5902" s="1"/>
      <c r="H5902">
        <v>40</v>
      </c>
      <c r="J5902" t="s">
        <v>19</v>
      </c>
      <c r="L5902" s="1"/>
      <c r="N5902" s="1"/>
      <c r="V5902" t="str">
        <f>"68520"</f>
        <v>68520</v>
      </c>
      <c r="W5902">
        <v>11.6</v>
      </c>
      <c r="X5902">
        <v>0</v>
      </c>
    </row>
    <row r="5903" spans="1:24" ht="15" customHeight="1" x14ac:dyDescent="0.25">
      <c r="A5903" t="str">
        <f>""</f>
        <v/>
      </c>
      <c r="B5903" s="1"/>
      <c r="H5903">
        <v>180</v>
      </c>
      <c r="J5903" t="s">
        <v>23</v>
      </c>
      <c r="L5903" s="1"/>
      <c r="N5903" s="1"/>
      <c r="V5903" t="str">
        <f>"33600"</f>
        <v>33600</v>
      </c>
      <c r="W5903">
        <v>0</v>
      </c>
      <c r="X5903">
        <v>30.6</v>
      </c>
    </row>
    <row r="5904" spans="1:24" ht="15" customHeight="1" x14ac:dyDescent="0.25">
      <c r="A5904" t="str">
        <f>""</f>
        <v/>
      </c>
      <c r="B5904" s="1"/>
      <c r="H5904">
        <v>98.41</v>
      </c>
      <c r="L5904" s="1"/>
      <c r="N5904" s="1"/>
      <c r="V5904" t="str">
        <f>"77184"</f>
        <v>77184</v>
      </c>
      <c r="W5904">
        <v>0</v>
      </c>
      <c r="X5904">
        <v>0</v>
      </c>
    </row>
    <row r="5905" spans="1:24" ht="15" customHeight="1" x14ac:dyDescent="0.25">
      <c r="A5905" t="str">
        <f>""</f>
        <v/>
      </c>
      <c r="B5905" s="1"/>
      <c r="H5905">
        <v>40</v>
      </c>
      <c r="J5905" t="s">
        <v>19</v>
      </c>
      <c r="L5905" s="1"/>
      <c r="N5905" s="1"/>
      <c r="V5905" t="str">
        <f>"77230"</f>
        <v>77230</v>
      </c>
      <c r="W5905">
        <v>0</v>
      </c>
      <c r="X5905">
        <v>0</v>
      </c>
    </row>
    <row r="5906" spans="1:24" ht="15" customHeight="1" x14ac:dyDescent="0.25">
      <c r="A5906" t="str">
        <f>""</f>
        <v/>
      </c>
      <c r="B5906" s="1"/>
      <c r="H5906">
        <v>121.89</v>
      </c>
      <c r="J5906" t="s">
        <v>20</v>
      </c>
      <c r="L5906" s="1"/>
      <c r="N5906" s="1"/>
      <c r="V5906" t="str">
        <f>"44430"</f>
        <v>44430</v>
      </c>
      <c r="W5906">
        <v>32.909999999999997</v>
      </c>
      <c r="X5906">
        <v>0</v>
      </c>
    </row>
    <row r="5907" spans="1:24" ht="15" customHeight="1" x14ac:dyDescent="0.25">
      <c r="A5907" t="str">
        <f>""</f>
        <v/>
      </c>
      <c r="B5907" s="1"/>
      <c r="H5907">
        <v>12</v>
      </c>
      <c r="J5907" t="s">
        <v>19</v>
      </c>
      <c r="L5907" s="1"/>
      <c r="V5907" t="str">
        <f>"88100"</f>
        <v>88100</v>
      </c>
      <c r="W5907">
        <v>0</v>
      </c>
      <c r="X5907">
        <v>0</v>
      </c>
    </row>
    <row r="5908" spans="1:24" ht="15" customHeight="1" x14ac:dyDescent="0.25">
      <c r="A5908" t="str">
        <f>""</f>
        <v/>
      </c>
      <c r="B5908" s="1"/>
      <c r="H5908">
        <v>140</v>
      </c>
      <c r="J5908" t="s">
        <v>22</v>
      </c>
      <c r="L5908" s="1"/>
      <c r="N5908" s="1"/>
      <c r="V5908" t="str">
        <f>"76700"</f>
        <v>76700</v>
      </c>
      <c r="W5908">
        <v>0</v>
      </c>
      <c r="X5908">
        <v>23.8</v>
      </c>
    </row>
    <row r="5909" spans="1:24" ht="15" customHeight="1" x14ac:dyDescent="0.25">
      <c r="A5909" t="str">
        <f>""</f>
        <v/>
      </c>
      <c r="B5909" s="1"/>
      <c r="H5909">
        <v>140</v>
      </c>
      <c r="J5909" t="s">
        <v>20</v>
      </c>
      <c r="L5909" s="1"/>
      <c r="N5909" s="1"/>
      <c r="V5909" t="str">
        <f>"79400"</f>
        <v>79400</v>
      </c>
      <c r="W5909">
        <v>29.4</v>
      </c>
      <c r="X5909">
        <v>0</v>
      </c>
    </row>
    <row r="5910" spans="1:24" ht="15" customHeight="1" x14ac:dyDescent="0.25">
      <c r="A5910" t="str">
        <f>""</f>
        <v/>
      </c>
      <c r="B5910" s="1"/>
      <c r="H5910">
        <v>40</v>
      </c>
      <c r="J5910" t="s">
        <v>20</v>
      </c>
      <c r="L5910" s="1"/>
      <c r="N5910" s="1"/>
      <c r="V5910" t="str">
        <f>"76000"</f>
        <v>76000</v>
      </c>
      <c r="W5910">
        <v>6.8</v>
      </c>
      <c r="X5910">
        <v>0</v>
      </c>
    </row>
    <row r="5911" spans="1:24" ht="15" customHeight="1" x14ac:dyDescent="0.25">
      <c r="A5911" t="str">
        <f>""</f>
        <v/>
      </c>
      <c r="B5911" s="1"/>
      <c r="H5911">
        <v>28.62</v>
      </c>
      <c r="J5911" t="s">
        <v>19</v>
      </c>
      <c r="L5911" s="1"/>
      <c r="N5911" s="1"/>
      <c r="V5911" t="str">
        <f>"69110"</f>
        <v>69110</v>
      </c>
      <c r="W5911">
        <v>7.73</v>
      </c>
      <c r="X5911">
        <v>0</v>
      </c>
    </row>
    <row r="5912" spans="1:24" ht="15" customHeight="1" x14ac:dyDescent="0.25">
      <c r="A5912" t="str">
        <f>""</f>
        <v/>
      </c>
      <c r="B5912" s="1"/>
      <c r="H5912">
        <v>50</v>
      </c>
      <c r="L5912" s="1"/>
      <c r="N5912" s="1"/>
      <c r="V5912" t="str">
        <f>"44240"</f>
        <v>44240</v>
      </c>
      <c r="W5912">
        <v>0</v>
      </c>
      <c r="X5912">
        <v>0</v>
      </c>
    </row>
    <row r="5913" spans="1:24" ht="15" customHeight="1" x14ac:dyDescent="0.25">
      <c r="A5913" t="str">
        <f>""</f>
        <v/>
      </c>
      <c r="B5913" s="1"/>
      <c r="H5913">
        <v>31.6</v>
      </c>
      <c r="L5913" s="1"/>
      <c r="N5913" s="1"/>
      <c r="V5913" t="str">
        <f>"44240"</f>
        <v>44240</v>
      </c>
      <c r="W5913">
        <v>0</v>
      </c>
      <c r="X5913">
        <v>0</v>
      </c>
    </row>
    <row r="5914" spans="1:24" ht="15" customHeight="1" x14ac:dyDescent="0.25">
      <c r="A5914" t="str">
        <f>""</f>
        <v/>
      </c>
      <c r="B5914" s="1"/>
      <c r="H5914">
        <v>28</v>
      </c>
      <c r="L5914" s="1"/>
      <c r="N5914" s="1"/>
      <c r="V5914" t="str">
        <f>"44240"</f>
        <v>44240</v>
      </c>
      <c r="W5914">
        <v>0</v>
      </c>
      <c r="X5914">
        <v>0</v>
      </c>
    </row>
    <row r="5915" spans="1:24" ht="15" customHeight="1" x14ac:dyDescent="0.25">
      <c r="A5915" t="str">
        <f>""</f>
        <v/>
      </c>
      <c r="B5915" s="1"/>
      <c r="H5915">
        <v>57</v>
      </c>
      <c r="L5915" s="1"/>
      <c r="N5915" s="1"/>
      <c r="V5915" t="str">
        <f>"77184"</f>
        <v>77184</v>
      </c>
      <c r="W5915">
        <v>0</v>
      </c>
      <c r="X5915">
        <v>0</v>
      </c>
    </row>
    <row r="5916" spans="1:24" ht="15" customHeight="1" x14ac:dyDescent="0.25">
      <c r="A5916" t="str">
        <f>""</f>
        <v/>
      </c>
      <c r="B5916" s="1"/>
      <c r="H5916">
        <v>151</v>
      </c>
      <c r="J5916" t="s">
        <v>22</v>
      </c>
      <c r="L5916" s="1"/>
      <c r="N5916" s="1"/>
      <c r="V5916" t="str">
        <f>"37540"</f>
        <v>37540</v>
      </c>
      <c r="W5916">
        <v>0</v>
      </c>
      <c r="X5916">
        <v>18.12</v>
      </c>
    </row>
    <row r="5917" spans="1:24" ht="15" customHeight="1" x14ac:dyDescent="0.25">
      <c r="A5917" t="str">
        <f>""</f>
        <v/>
      </c>
      <c r="B5917" s="1"/>
      <c r="H5917">
        <v>1000</v>
      </c>
      <c r="L5917" s="1"/>
      <c r="N5917" s="1"/>
      <c r="V5917" t="str">
        <f t="shared" ref="V5917:V5922" si="19">"77184"</f>
        <v>77184</v>
      </c>
      <c r="W5917">
        <v>0</v>
      </c>
      <c r="X5917">
        <v>0</v>
      </c>
    </row>
    <row r="5918" spans="1:24" ht="15" customHeight="1" x14ac:dyDescent="0.25">
      <c r="A5918" t="str">
        <f>""</f>
        <v/>
      </c>
      <c r="B5918" s="1"/>
      <c r="H5918">
        <v>156</v>
      </c>
      <c r="L5918" s="1"/>
      <c r="N5918" s="1"/>
      <c r="V5918" t="str">
        <f t="shared" si="19"/>
        <v>77184</v>
      </c>
      <c r="W5918">
        <v>0</v>
      </c>
      <c r="X5918">
        <v>0</v>
      </c>
    </row>
    <row r="5919" spans="1:24" ht="15" customHeight="1" x14ac:dyDescent="0.25">
      <c r="A5919" t="str">
        <f>""</f>
        <v/>
      </c>
      <c r="B5919" s="1"/>
      <c r="H5919">
        <v>84.5</v>
      </c>
      <c r="L5919" s="1"/>
      <c r="N5919" s="1"/>
      <c r="V5919" t="str">
        <f t="shared" si="19"/>
        <v>77184</v>
      </c>
      <c r="W5919">
        <v>0</v>
      </c>
      <c r="X5919">
        <v>0</v>
      </c>
    </row>
    <row r="5920" spans="1:24" ht="15" customHeight="1" x14ac:dyDescent="0.25">
      <c r="A5920" t="str">
        <f>""</f>
        <v/>
      </c>
      <c r="B5920" s="1"/>
      <c r="H5920">
        <v>150</v>
      </c>
      <c r="L5920" s="1"/>
      <c r="N5920" s="1"/>
      <c r="V5920" t="str">
        <f t="shared" si="19"/>
        <v>77184</v>
      </c>
      <c r="W5920">
        <v>0</v>
      </c>
      <c r="X5920">
        <v>0</v>
      </c>
    </row>
    <row r="5921" spans="1:24" ht="15" customHeight="1" x14ac:dyDescent="0.25">
      <c r="A5921" t="str">
        <f>""</f>
        <v/>
      </c>
      <c r="B5921" s="1"/>
      <c r="H5921">
        <v>140</v>
      </c>
      <c r="L5921" s="1"/>
      <c r="N5921" s="1"/>
      <c r="V5921" t="str">
        <f t="shared" si="19"/>
        <v>77184</v>
      </c>
      <c r="W5921">
        <v>0</v>
      </c>
      <c r="X5921">
        <v>0</v>
      </c>
    </row>
    <row r="5922" spans="1:24" ht="15" customHeight="1" x14ac:dyDescent="0.25">
      <c r="A5922" t="str">
        <f>""</f>
        <v/>
      </c>
      <c r="B5922" s="1"/>
      <c r="H5922">
        <v>84.96</v>
      </c>
      <c r="L5922" s="1"/>
      <c r="N5922" s="1"/>
      <c r="V5922" t="str">
        <f t="shared" si="19"/>
        <v>77184</v>
      </c>
      <c r="W5922">
        <v>0</v>
      </c>
      <c r="X5922">
        <v>0</v>
      </c>
    </row>
    <row r="5923" spans="1:24" x14ac:dyDescent="0.25">
      <c r="A5923" t="str">
        <f>""</f>
        <v/>
      </c>
      <c r="B5923" s="1"/>
      <c r="H5923">
        <v>120</v>
      </c>
      <c r="J5923" t="s">
        <v>17</v>
      </c>
      <c r="L5923" s="1"/>
      <c r="N5923" s="1"/>
      <c r="V5923" t="str">
        <f>"68920"</f>
        <v>68920</v>
      </c>
      <c r="W5923">
        <v>0</v>
      </c>
      <c r="X5923">
        <v>0</v>
      </c>
    </row>
    <row r="5924" spans="1:24" ht="15" customHeight="1" x14ac:dyDescent="0.25">
      <c r="A5924" t="str">
        <f>""</f>
        <v/>
      </c>
      <c r="B5924" s="1"/>
      <c r="H5924">
        <v>181</v>
      </c>
      <c r="J5924" t="s">
        <v>19</v>
      </c>
      <c r="L5924" s="1"/>
      <c r="N5924" s="1"/>
      <c r="V5924" t="str">
        <f>"06190"</f>
        <v>06190</v>
      </c>
      <c r="W5924">
        <v>54.3</v>
      </c>
      <c r="X5924">
        <v>0</v>
      </c>
    </row>
    <row r="5925" spans="1:24" ht="15" customHeight="1" x14ac:dyDescent="0.25">
      <c r="A5925" t="str">
        <f>""</f>
        <v/>
      </c>
      <c r="B5925" s="1"/>
      <c r="H5925">
        <v>92</v>
      </c>
      <c r="J5925" t="s">
        <v>22</v>
      </c>
      <c r="L5925" s="1"/>
      <c r="N5925" s="1"/>
      <c r="V5925" t="str">
        <f>"06190"</f>
        <v>06190</v>
      </c>
      <c r="W5925">
        <v>0</v>
      </c>
      <c r="X5925">
        <v>27.6</v>
      </c>
    </row>
    <row r="5926" spans="1:24" ht="15" customHeight="1" x14ac:dyDescent="0.25">
      <c r="A5926" t="str">
        <f>""</f>
        <v/>
      </c>
      <c r="B5926" s="1"/>
      <c r="H5926">
        <v>97.28</v>
      </c>
      <c r="J5926" t="s">
        <v>20</v>
      </c>
      <c r="L5926" s="1"/>
      <c r="N5926" s="1"/>
      <c r="V5926" t="str">
        <f>"68740"</f>
        <v>68740</v>
      </c>
      <c r="W5926">
        <v>28.21</v>
      </c>
      <c r="X5926">
        <v>0</v>
      </c>
    </row>
    <row r="5927" spans="1:24" ht="15" customHeight="1" x14ac:dyDescent="0.25">
      <c r="A5927" t="str">
        <f>""</f>
        <v/>
      </c>
      <c r="B5927" s="1"/>
      <c r="H5927">
        <v>127.55</v>
      </c>
      <c r="J5927" t="s">
        <v>19</v>
      </c>
      <c r="L5927" s="1"/>
      <c r="N5927" s="1"/>
      <c r="V5927" t="str">
        <f>"67000"</f>
        <v>67000</v>
      </c>
      <c r="W5927">
        <v>36.99</v>
      </c>
      <c r="X5927">
        <v>0</v>
      </c>
    </row>
    <row r="5928" spans="1:24" ht="15" customHeight="1" x14ac:dyDescent="0.25">
      <c r="A5928" t="str">
        <f>""</f>
        <v/>
      </c>
      <c r="B5928" s="1"/>
      <c r="H5928">
        <v>87.12</v>
      </c>
      <c r="J5928" t="s">
        <v>19</v>
      </c>
      <c r="L5928" s="1"/>
      <c r="V5928" t="str">
        <f>"49000"</f>
        <v>49000</v>
      </c>
      <c r="W5928">
        <v>0</v>
      </c>
      <c r="X5928">
        <v>0</v>
      </c>
    </row>
    <row r="5929" spans="1:24" ht="15" customHeight="1" x14ac:dyDescent="0.25">
      <c r="A5929" t="str">
        <f>""</f>
        <v/>
      </c>
      <c r="B5929" s="1"/>
      <c r="H5929">
        <v>55.14</v>
      </c>
      <c r="J5929" t="s">
        <v>19</v>
      </c>
      <c r="L5929" s="1"/>
      <c r="N5929" s="1"/>
      <c r="V5929" t="str">
        <f>"76430"</f>
        <v>76430</v>
      </c>
      <c r="W5929">
        <v>9.3699999999999992</v>
      </c>
      <c r="X5929">
        <v>0</v>
      </c>
    </row>
    <row r="5930" spans="1:24" ht="15" customHeight="1" x14ac:dyDescent="0.25">
      <c r="A5930" t="str">
        <f>""</f>
        <v/>
      </c>
      <c r="B5930" s="1"/>
      <c r="H5930">
        <v>86.75</v>
      </c>
      <c r="J5930" t="s">
        <v>19</v>
      </c>
      <c r="L5930" s="1"/>
      <c r="N5930" s="1"/>
      <c r="V5930" t="str">
        <f>"79000"</f>
        <v>79000</v>
      </c>
      <c r="W5930">
        <v>18.22</v>
      </c>
      <c r="X5930">
        <v>0</v>
      </c>
    </row>
    <row r="5931" spans="1:24" ht="15" customHeight="1" x14ac:dyDescent="0.25">
      <c r="A5931" t="str">
        <f>""</f>
        <v/>
      </c>
      <c r="B5931" s="1"/>
      <c r="H5931">
        <v>59.72</v>
      </c>
      <c r="J5931" t="s">
        <v>19</v>
      </c>
      <c r="L5931" s="1"/>
      <c r="N5931" s="1"/>
      <c r="V5931" t="str">
        <f>"79000"</f>
        <v>79000</v>
      </c>
      <c r="W5931">
        <v>12.54</v>
      </c>
      <c r="X5931">
        <v>0</v>
      </c>
    </row>
    <row r="5932" spans="1:24" ht="15" customHeight="1" x14ac:dyDescent="0.25">
      <c r="A5932" t="str">
        <f>""</f>
        <v/>
      </c>
      <c r="B5932" s="1"/>
      <c r="H5932">
        <v>28.62</v>
      </c>
      <c r="J5932" t="s">
        <v>20</v>
      </c>
      <c r="L5932" s="1"/>
      <c r="N5932" s="1"/>
      <c r="V5932" t="str">
        <f>"07700"</f>
        <v>07700</v>
      </c>
      <c r="W5932">
        <v>7.73</v>
      </c>
      <c r="X5932">
        <v>0</v>
      </c>
    </row>
    <row r="5933" spans="1:24" ht="15" customHeight="1" x14ac:dyDescent="0.25">
      <c r="A5933" t="str">
        <f>""</f>
        <v/>
      </c>
      <c r="B5933" s="1"/>
      <c r="H5933">
        <v>126.65</v>
      </c>
      <c r="J5933" t="s">
        <v>20</v>
      </c>
      <c r="L5933" s="1"/>
      <c r="N5933" s="1"/>
      <c r="V5933" t="str">
        <f>"44300"</f>
        <v>44300</v>
      </c>
      <c r="W5933">
        <v>34.200000000000003</v>
      </c>
      <c r="X5933">
        <v>0</v>
      </c>
    </row>
    <row r="5934" spans="1:24" ht="15" customHeight="1" x14ac:dyDescent="0.25">
      <c r="A5934" t="str">
        <f>""</f>
        <v/>
      </c>
      <c r="B5934" s="1"/>
      <c r="H5934">
        <v>132.88</v>
      </c>
      <c r="J5934" t="s">
        <v>19</v>
      </c>
      <c r="L5934" s="1"/>
      <c r="N5934" s="1"/>
      <c r="V5934" t="str">
        <f>"67000"</f>
        <v>67000</v>
      </c>
      <c r="W5934">
        <v>38.54</v>
      </c>
      <c r="X5934">
        <v>0</v>
      </c>
    </row>
    <row r="5935" spans="1:24" ht="15" customHeight="1" x14ac:dyDescent="0.25">
      <c r="A5935" t="str">
        <f>""</f>
        <v/>
      </c>
      <c r="B5935" s="1"/>
      <c r="H5935">
        <v>212.34</v>
      </c>
      <c r="J5935" t="s">
        <v>19</v>
      </c>
      <c r="L5935" s="1"/>
      <c r="N5935" s="1"/>
      <c r="V5935" t="str">
        <f>"25000"</f>
        <v>25000</v>
      </c>
      <c r="W5935">
        <v>50.96</v>
      </c>
      <c r="X5935">
        <v>0</v>
      </c>
    </row>
    <row r="5936" spans="1:24" ht="15" customHeight="1" x14ac:dyDescent="0.25">
      <c r="A5936" t="str">
        <f>""</f>
        <v/>
      </c>
      <c r="B5936" s="1"/>
      <c r="H5936">
        <v>70</v>
      </c>
      <c r="J5936" t="s">
        <v>20</v>
      </c>
      <c r="L5936" s="1"/>
      <c r="N5936" s="1"/>
      <c r="V5936" t="str">
        <f>"35480"</f>
        <v>35480</v>
      </c>
      <c r="W5936">
        <v>18.899999999999999</v>
      </c>
      <c r="X5936">
        <v>0</v>
      </c>
    </row>
    <row r="5937" spans="1:24" ht="15" customHeight="1" x14ac:dyDescent="0.25">
      <c r="A5937" t="str">
        <f>""</f>
        <v/>
      </c>
      <c r="B5937" s="1"/>
      <c r="H5937">
        <v>4.54</v>
      </c>
      <c r="J5937" t="s">
        <v>19</v>
      </c>
      <c r="L5937" s="1"/>
      <c r="N5937" s="1"/>
      <c r="V5937" t="str">
        <f>"56330"</f>
        <v>56330</v>
      </c>
      <c r="W5937">
        <v>1.23</v>
      </c>
      <c r="X5937">
        <v>0</v>
      </c>
    </row>
    <row r="5938" spans="1:24" ht="15" customHeight="1" x14ac:dyDescent="0.25">
      <c r="A5938" t="str">
        <f>""</f>
        <v/>
      </c>
      <c r="B5938" s="1"/>
      <c r="H5938">
        <v>75.27</v>
      </c>
      <c r="J5938" t="s">
        <v>20</v>
      </c>
      <c r="L5938" s="1"/>
      <c r="N5938" s="1"/>
      <c r="V5938" t="str">
        <f>"59800"</f>
        <v>59800</v>
      </c>
      <c r="W5938">
        <v>14.3</v>
      </c>
      <c r="X5938">
        <v>0</v>
      </c>
    </row>
    <row r="5939" spans="1:24" ht="15" customHeight="1" x14ac:dyDescent="0.25">
      <c r="A5939" t="str">
        <f>""</f>
        <v/>
      </c>
      <c r="B5939" s="1"/>
      <c r="H5939">
        <v>250</v>
      </c>
      <c r="J5939" t="s">
        <v>23</v>
      </c>
      <c r="L5939" s="1"/>
      <c r="N5939" s="1"/>
      <c r="V5939" t="str">
        <f>"59540"</f>
        <v>59540</v>
      </c>
      <c r="W5939">
        <v>0</v>
      </c>
      <c r="X5939">
        <v>0</v>
      </c>
    </row>
    <row r="5940" spans="1:24" ht="15" customHeight="1" x14ac:dyDescent="0.25">
      <c r="A5940" t="str">
        <f>""</f>
        <v/>
      </c>
      <c r="B5940" s="1"/>
      <c r="H5940">
        <v>299.08</v>
      </c>
      <c r="J5940" t="s">
        <v>23</v>
      </c>
      <c r="L5940" s="1"/>
      <c r="N5940" s="1"/>
      <c r="V5940" t="str">
        <f>"13120"</f>
        <v>13120</v>
      </c>
      <c r="W5940">
        <v>0</v>
      </c>
      <c r="X5940">
        <v>56.83</v>
      </c>
    </row>
    <row r="5941" spans="1:24" ht="15" customHeight="1" x14ac:dyDescent="0.25">
      <c r="A5941" t="str">
        <f>""</f>
        <v/>
      </c>
      <c r="B5941" s="1"/>
      <c r="H5941">
        <v>170</v>
      </c>
      <c r="J5941" t="s">
        <v>20</v>
      </c>
      <c r="L5941" s="1"/>
      <c r="N5941" s="1"/>
      <c r="V5941" t="str">
        <f>"61300"</f>
        <v>61300</v>
      </c>
      <c r="W5941">
        <v>28.9</v>
      </c>
      <c r="X5941">
        <v>0</v>
      </c>
    </row>
    <row r="5942" spans="1:24" ht="15" customHeight="1" x14ac:dyDescent="0.25">
      <c r="A5942" t="str">
        <f>""</f>
        <v/>
      </c>
      <c r="B5942" s="1"/>
      <c r="H5942">
        <v>50</v>
      </c>
      <c r="J5942" t="s">
        <v>20</v>
      </c>
      <c r="L5942" s="1"/>
      <c r="N5942" s="1"/>
      <c r="V5942" t="str">
        <f>"02100"</f>
        <v>02100</v>
      </c>
      <c r="W5942">
        <v>9.5</v>
      </c>
      <c r="X5942">
        <v>0</v>
      </c>
    </row>
    <row r="5943" spans="1:24" ht="15" customHeight="1" x14ac:dyDescent="0.25">
      <c r="A5943" t="str">
        <f>""</f>
        <v/>
      </c>
      <c r="B5943" s="1"/>
      <c r="H5943">
        <v>68.3</v>
      </c>
      <c r="L5943" s="1"/>
      <c r="N5943" s="1"/>
      <c r="V5943" t="str">
        <f>"77184"</f>
        <v>77184</v>
      </c>
      <c r="W5943">
        <v>0</v>
      </c>
      <c r="X5943">
        <v>0</v>
      </c>
    </row>
    <row r="5944" spans="1:24" ht="15" customHeight="1" x14ac:dyDescent="0.25">
      <c r="A5944" t="str">
        <f>""</f>
        <v/>
      </c>
      <c r="B5944" s="1"/>
      <c r="H5944">
        <v>138.12</v>
      </c>
      <c r="J5944" t="s">
        <v>19</v>
      </c>
      <c r="L5944" s="1"/>
      <c r="N5944" s="1"/>
      <c r="V5944" t="str">
        <f>"51100"</f>
        <v>51100</v>
      </c>
      <c r="W5944">
        <v>34.53</v>
      </c>
      <c r="X5944">
        <v>0</v>
      </c>
    </row>
    <row r="5945" spans="1:24" ht="15" customHeight="1" x14ac:dyDescent="0.25">
      <c r="A5945" t="str">
        <f>""</f>
        <v/>
      </c>
      <c r="B5945" s="1"/>
      <c r="H5945">
        <v>153.81</v>
      </c>
      <c r="J5945" t="s">
        <v>19</v>
      </c>
      <c r="L5945" s="1"/>
      <c r="N5945" s="1"/>
      <c r="V5945" t="str">
        <f>"75008"</f>
        <v>75008</v>
      </c>
      <c r="W5945">
        <v>0</v>
      </c>
      <c r="X5945">
        <v>0</v>
      </c>
    </row>
    <row r="5946" spans="1:24" ht="15" customHeight="1" x14ac:dyDescent="0.25">
      <c r="A5946" t="str">
        <f>""</f>
        <v/>
      </c>
      <c r="B5946" s="1"/>
      <c r="H5946">
        <v>19.649999999999999</v>
      </c>
      <c r="J5946" t="s">
        <v>19</v>
      </c>
      <c r="L5946" s="1"/>
      <c r="N5946" s="1"/>
      <c r="V5946" t="str">
        <f>"75014"</f>
        <v>75014</v>
      </c>
      <c r="W5946">
        <v>0</v>
      </c>
      <c r="X5946">
        <v>0</v>
      </c>
    </row>
    <row r="5947" spans="1:24" ht="15" customHeight="1" x14ac:dyDescent="0.25">
      <c r="A5947" t="str">
        <f>""</f>
        <v/>
      </c>
      <c r="B5947" s="1"/>
      <c r="H5947">
        <v>19.649999999999999</v>
      </c>
      <c r="J5947" t="s">
        <v>20</v>
      </c>
      <c r="L5947" s="1"/>
      <c r="N5947" s="1"/>
      <c r="V5947" t="str">
        <f>"75014"</f>
        <v>75014</v>
      </c>
      <c r="W5947">
        <v>0</v>
      </c>
      <c r="X5947">
        <v>0</v>
      </c>
    </row>
    <row r="5948" spans="1:24" ht="15" customHeight="1" x14ac:dyDescent="0.25">
      <c r="A5948" t="str">
        <f>""</f>
        <v/>
      </c>
      <c r="B5948" s="1"/>
      <c r="H5948">
        <v>19.649999999999999</v>
      </c>
      <c r="J5948" t="s">
        <v>20</v>
      </c>
      <c r="L5948" s="1"/>
      <c r="N5948" s="1"/>
      <c r="V5948" t="str">
        <f>"75014"</f>
        <v>75014</v>
      </c>
      <c r="W5948">
        <v>0</v>
      </c>
      <c r="X5948">
        <v>0</v>
      </c>
    </row>
    <row r="5949" spans="1:24" ht="15" customHeight="1" x14ac:dyDescent="0.25">
      <c r="A5949" t="str">
        <f>""</f>
        <v/>
      </c>
      <c r="B5949" s="1"/>
      <c r="H5949">
        <v>19.649999999999999</v>
      </c>
      <c r="J5949" t="s">
        <v>19</v>
      </c>
      <c r="L5949" s="1"/>
      <c r="N5949" s="1"/>
      <c r="V5949" t="str">
        <f>"75014"</f>
        <v>75014</v>
      </c>
      <c r="W5949">
        <v>0</v>
      </c>
      <c r="X5949">
        <v>0</v>
      </c>
    </row>
    <row r="5950" spans="1:24" ht="15" customHeight="1" x14ac:dyDescent="0.25">
      <c r="A5950" t="str">
        <f>""</f>
        <v/>
      </c>
      <c r="B5950" s="1"/>
      <c r="H5950">
        <v>154.21</v>
      </c>
      <c r="J5950" t="s">
        <v>19</v>
      </c>
      <c r="L5950" s="1"/>
      <c r="N5950" s="1"/>
      <c r="V5950" t="str">
        <f>"75002"</f>
        <v>75002</v>
      </c>
      <c r="W5950">
        <v>0</v>
      </c>
      <c r="X5950">
        <v>0</v>
      </c>
    </row>
    <row r="5951" spans="1:24" ht="15" customHeight="1" x14ac:dyDescent="0.25">
      <c r="A5951" t="str">
        <f>""</f>
        <v/>
      </c>
      <c r="B5951" s="1"/>
      <c r="H5951">
        <v>103.06</v>
      </c>
      <c r="J5951" t="s">
        <v>20</v>
      </c>
      <c r="L5951" s="1"/>
      <c r="N5951" s="1"/>
      <c r="V5951" t="str">
        <f>"25350"</f>
        <v>25350</v>
      </c>
      <c r="W5951">
        <v>24.73</v>
      </c>
      <c r="X5951">
        <v>0</v>
      </c>
    </row>
    <row r="5952" spans="1:24" ht="15" customHeight="1" x14ac:dyDescent="0.25">
      <c r="A5952" t="str">
        <f>""</f>
        <v/>
      </c>
      <c r="B5952" s="1"/>
      <c r="H5952">
        <v>40</v>
      </c>
      <c r="J5952" t="s">
        <v>22</v>
      </c>
      <c r="L5952" s="1"/>
      <c r="N5952" s="1"/>
      <c r="V5952" t="str">
        <f>"62740"</f>
        <v>62740</v>
      </c>
      <c r="W5952">
        <v>0</v>
      </c>
      <c r="X5952">
        <v>0</v>
      </c>
    </row>
    <row r="5953" spans="1:24" ht="15" customHeight="1" x14ac:dyDescent="0.25">
      <c r="A5953" t="str">
        <f>""</f>
        <v/>
      </c>
      <c r="B5953" s="1"/>
      <c r="H5953">
        <v>29.89</v>
      </c>
      <c r="J5953" t="s">
        <v>23</v>
      </c>
      <c r="L5953" s="1"/>
      <c r="N5953" s="1"/>
      <c r="V5953" t="str">
        <f>"62740"</f>
        <v>62740</v>
      </c>
      <c r="W5953">
        <v>0</v>
      </c>
      <c r="X5953">
        <v>0</v>
      </c>
    </row>
    <row r="5954" spans="1:24" ht="15" customHeight="1" x14ac:dyDescent="0.25">
      <c r="A5954" t="str">
        <f>""</f>
        <v/>
      </c>
      <c r="B5954" s="1"/>
      <c r="H5954">
        <v>80.400000000000006</v>
      </c>
      <c r="J5954" t="s">
        <v>23</v>
      </c>
      <c r="L5954" s="1"/>
      <c r="V5954" t="str">
        <f>"75010"</f>
        <v>75010</v>
      </c>
      <c r="W5954">
        <v>0</v>
      </c>
      <c r="X5954">
        <v>0</v>
      </c>
    </row>
    <row r="5955" spans="1:24" ht="15" customHeight="1" x14ac:dyDescent="0.25">
      <c r="A5955" t="str">
        <f>""</f>
        <v/>
      </c>
      <c r="B5955" s="1"/>
      <c r="H5955">
        <v>84.5</v>
      </c>
      <c r="L5955" s="1"/>
      <c r="N5955" s="1"/>
      <c r="V5955" t="str">
        <f>"77184"</f>
        <v>77184</v>
      </c>
      <c r="W5955">
        <v>0</v>
      </c>
      <c r="X5955">
        <v>0</v>
      </c>
    </row>
    <row r="5956" spans="1:24" ht="15" customHeight="1" x14ac:dyDescent="0.25">
      <c r="A5956" t="str">
        <f>""</f>
        <v/>
      </c>
      <c r="B5956" s="1"/>
      <c r="H5956">
        <v>116.56</v>
      </c>
      <c r="J5956" t="s">
        <v>23</v>
      </c>
      <c r="L5956" s="1"/>
      <c r="N5956" s="1"/>
      <c r="V5956" t="str">
        <f>"57050"</f>
        <v>57050</v>
      </c>
      <c r="W5956">
        <v>0</v>
      </c>
      <c r="X5956">
        <v>29.14</v>
      </c>
    </row>
    <row r="5957" spans="1:24" ht="15" customHeight="1" x14ac:dyDescent="0.25">
      <c r="A5957" t="str">
        <f>""</f>
        <v/>
      </c>
      <c r="B5957" s="1"/>
      <c r="H5957">
        <v>211.93</v>
      </c>
      <c r="J5957" t="s">
        <v>19</v>
      </c>
      <c r="L5957" s="1"/>
      <c r="N5957" s="1"/>
      <c r="V5957" t="str">
        <f>"62000"</f>
        <v>62000</v>
      </c>
      <c r="W5957">
        <v>40.270000000000003</v>
      </c>
      <c r="X5957">
        <v>0</v>
      </c>
    </row>
    <row r="5958" spans="1:24" ht="15" customHeight="1" x14ac:dyDescent="0.25">
      <c r="A5958" t="str">
        <f>""</f>
        <v/>
      </c>
      <c r="B5958" s="1"/>
      <c r="H5958">
        <v>40</v>
      </c>
      <c r="J5958" t="s">
        <v>19</v>
      </c>
      <c r="L5958" s="1"/>
      <c r="N5958" s="1"/>
      <c r="V5958" t="str">
        <f>"59270"</f>
        <v>59270</v>
      </c>
      <c r="W5958">
        <v>7.6</v>
      </c>
      <c r="X5958">
        <v>0</v>
      </c>
    </row>
    <row r="5959" spans="1:24" ht="15" customHeight="1" x14ac:dyDescent="0.25">
      <c r="A5959" t="str">
        <f>""</f>
        <v/>
      </c>
      <c r="B5959" s="1"/>
      <c r="H5959">
        <v>33.35</v>
      </c>
      <c r="J5959" t="s">
        <v>19</v>
      </c>
      <c r="L5959" s="1"/>
      <c r="N5959" s="1"/>
      <c r="V5959" t="str">
        <f>"60100"</f>
        <v>60100</v>
      </c>
      <c r="W5959">
        <v>6.34</v>
      </c>
      <c r="X5959">
        <v>0</v>
      </c>
    </row>
    <row r="5960" spans="1:24" ht="15" customHeight="1" x14ac:dyDescent="0.25">
      <c r="A5960" t="str">
        <f>""</f>
        <v/>
      </c>
      <c r="B5960" s="1"/>
      <c r="H5960">
        <v>19.8</v>
      </c>
      <c r="J5960" t="s">
        <v>19</v>
      </c>
      <c r="L5960" s="1"/>
      <c r="N5960" s="1"/>
      <c r="V5960" t="str">
        <f>"54000"</f>
        <v>54000</v>
      </c>
      <c r="W5960">
        <v>4.95</v>
      </c>
      <c r="X5960">
        <v>0</v>
      </c>
    </row>
    <row r="5961" spans="1:24" ht="15" customHeight="1" x14ac:dyDescent="0.25">
      <c r="A5961" t="str">
        <f>""</f>
        <v/>
      </c>
      <c r="B5961" s="1"/>
      <c r="H5961">
        <v>26</v>
      </c>
      <c r="L5961" s="1"/>
      <c r="N5961" s="1"/>
      <c r="V5961" t="str">
        <f>"77184"</f>
        <v>77184</v>
      </c>
      <c r="W5961">
        <v>0</v>
      </c>
      <c r="X5961">
        <v>0</v>
      </c>
    </row>
    <row r="5962" spans="1:24" ht="15" customHeight="1" x14ac:dyDescent="0.25">
      <c r="A5962" t="str">
        <f>""</f>
        <v/>
      </c>
      <c r="B5962" s="1"/>
      <c r="H5962">
        <v>32</v>
      </c>
      <c r="L5962" s="1"/>
      <c r="N5962" s="1"/>
      <c r="V5962" t="str">
        <f>"77184"</f>
        <v>77184</v>
      </c>
      <c r="W5962">
        <v>0</v>
      </c>
      <c r="X5962">
        <v>0</v>
      </c>
    </row>
    <row r="5963" spans="1:24" ht="15" customHeight="1" x14ac:dyDescent="0.25">
      <c r="A5963" t="str">
        <f>""</f>
        <v/>
      </c>
      <c r="B5963" s="1"/>
      <c r="H5963">
        <v>26.6</v>
      </c>
      <c r="L5963" s="1"/>
      <c r="N5963" s="1"/>
      <c r="V5963" t="str">
        <f>"77184"</f>
        <v>77184</v>
      </c>
      <c r="W5963">
        <v>0</v>
      </c>
      <c r="X5963">
        <v>0</v>
      </c>
    </row>
    <row r="5964" spans="1:24" ht="15" customHeight="1" x14ac:dyDescent="0.25">
      <c r="A5964" t="str">
        <f>""</f>
        <v/>
      </c>
      <c r="B5964" s="1"/>
      <c r="H5964">
        <v>1259.45</v>
      </c>
      <c r="J5964" t="s">
        <v>20</v>
      </c>
      <c r="L5964" s="1"/>
      <c r="N5964" s="1"/>
      <c r="V5964" t="str">
        <f>"02000"</f>
        <v>02000</v>
      </c>
      <c r="W5964">
        <v>239.3</v>
      </c>
      <c r="X5964">
        <v>0</v>
      </c>
    </row>
    <row r="5965" spans="1:24" ht="15" customHeight="1" x14ac:dyDescent="0.25">
      <c r="A5965" t="str">
        <f>""</f>
        <v/>
      </c>
      <c r="B5965" s="1"/>
      <c r="H5965">
        <v>75.34</v>
      </c>
      <c r="J5965" t="s">
        <v>19</v>
      </c>
      <c r="L5965" s="1"/>
      <c r="N5965" s="1"/>
      <c r="V5965" t="str">
        <f>"06140"</f>
        <v>06140</v>
      </c>
      <c r="W5965">
        <v>22.6</v>
      </c>
      <c r="X5965">
        <v>0</v>
      </c>
    </row>
    <row r="5966" spans="1:24" ht="15" customHeight="1" x14ac:dyDescent="0.25">
      <c r="A5966" t="str">
        <f>""</f>
        <v/>
      </c>
      <c r="B5966" s="1"/>
      <c r="H5966">
        <v>22.33</v>
      </c>
      <c r="J5966" t="s">
        <v>20</v>
      </c>
      <c r="L5966" s="1"/>
      <c r="N5966" s="1"/>
      <c r="V5966" t="str">
        <f>"14200"</f>
        <v>14200</v>
      </c>
      <c r="W5966">
        <v>3.8</v>
      </c>
      <c r="X5966">
        <v>0</v>
      </c>
    </row>
    <row r="5967" spans="1:24" ht="15" customHeight="1" x14ac:dyDescent="0.25">
      <c r="A5967" t="str">
        <f>""</f>
        <v/>
      </c>
      <c r="B5967" s="1"/>
      <c r="H5967">
        <v>160</v>
      </c>
      <c r="J5967" t="s">
        <v>23</v>
      </c>
      <c r="L5967" s="1"/>
      <c r="N5967" s="1"/>
      <c r="V5967" t="str">
        <f>"76600"</f>
        <v>76600</v>
      </c>
      <c r="W5967">
        <v>0</v>
      </c>
      <c r="X5967">
        <v>0</v>
      </c>
    </row>
    <row r="5968" spans="1:24" ht="15" customHeight="1" x14ac:dyDescent="0.25">
      <c r="A5968" t="str">
        <f>""</f>
        <v/>
      </c>
      <c r="B5968" s="1"/>
      <c r="H5968">
        <v>55.14</v>
      </c>
      <c r="J5968" t="s">
        <v>20</v>
      </c>
      <c r="L5968" s="1"/>
      <c r="N5968" s="1"/>
      <c r="V5968" t="str">
        <f>"13009"</f>
        <v>13009</v>
      </c>
      <c r="W5968">
        <v>15.99</v>
      </c>
      <c r="X5968">
        <v>0</v>
      </c>
    </row>
    <row r="5969" spans="1:24" ht="15" customHeight="1" x14ac:dyDescent="0.25">
      <c r="A5969" t="str">
        <f>""</f>
        <v/>
      </c>
      <c r="B5969" s="1"/>
      <c r="H5969">
        <v>141.65</v>
      </c>
      <c r="J5969" t="s">
        <v>20</v>
      </c>
      <c r="L5969" s="1"/>
      <c r="N5969" s="1"/>
      <c r="V5969" t="str">
        <f>"67720"</f>
        <v>67720</v>
      </c>
      <c r="W5969">
        <v>41.08</v>
      </c>
      <c r="X5969">
        <v>0</v>
      </c>
    </row>
    <row r="5970" spans="1:24" ht="15" customHeight="1" x14ac:dyDescent="0.25">
      <c r="A5970" t="str">
        <f>""</f>
        <v/>
      </c>
      <c r="B5970" s="1"/>
      <c r="H5970">
        <v>55.14</v>
      </c>
      <c r="J5970" t="s">
        <v>20</v>
      </c>
      <c r="L5970" s="1"/>
      <c r="N5970" s="1"/>
      <c r="V5970" t="str">
        <f>"75010"</f>
        <v>75010</v>
      </c>
      <c r="W5970">
        <v>0</v>
      </c>
      <c r="X5970">
        <v>0</v>
      </c>
    </row>
    <row r="5971" spans="1:24" ht="15" customHeight="1" x14ac:dyDescent="0.25">
      <c r="A5971" t="str">
        <f>""</f>
        <v/>
      </c>
      <c r="B5971" s="1"/>
      <c r="H5971">
        <v>25</v>
      </c>
      <c r="J5971" t="s">
        <v>22</v>
      </c>
      <c r="L5971" s="1"/>
      <c r="N5971" s="1"/>
      <c r="V5971" t="str">
        <f>"75010"</f>
        <v>75010</v>
      </c>
      <c r="W5971">
        <v>0</v>
      </c>
      <c r="X5971">
        <v>0</v>
      </c>
    </row>
    <row r="5972" spans="1:24" ht="15" customHeight="1" x14ac:dyDescent="0.25">
      <c r="A5972" t="str">
        <f>""</f>
        <v/>
      </c>
      <c r="B5972" s="1"/>
      <c r="H5972">
        <v>133.06</v>
      </c>
      <c r="L5972" s="1"/>
      <c r="N5972" s="1"/>
      <c r="V5972" t="str">
        <f>"44240"</f>
        <v>44240</v>
      </c>
      <c r="W5972">
        <v>0</v>
      </c>
      <c r="X5972">
        <v>0</v>
      </c>
    </row>
    <row r="5973" spans="1:24" ht="15" customHeight="1" x14ac:dyDescent="0.25">
      <c r="A5973" t="str">
        <f>""</f>
        <v/>
      </c>
      <c r="B5973" s="1"/>
      <c r="H5973">
        <v>132.01</v>
      </c>
      <c r="J5973" t="s">
        <v>20</v>
      </c>
      <c r="L5973" s="1"/>
      <c r="N5973" s="1"/>
      <c r="V5973" t="str">
        <f>"59740"</f>
        <v>59740</v>
      </c>
      <c r="W5973">
        <v>25.08</v>
      </c>
      <c r="X5973">
        <v>0</v>
      </c>
    </row>
    <row r="5974" spans="1:24" ht="15" customHeight="1" x14ac:dyDescent="0.25">
      <c r="A5974" t="str">
        <f>""</f>
        <v/>
      </c>
      <c r="B5974" s="1"/>
      <c r="H5974">
        <v>100.42</v>
      </c>
      <c r="J5974" t="s">
        <v>19</v>
      </c>
      <c r="L5974" s="1"/>
      <c r="N5974" s="1"/>
      <c r="V5974" t="str">
        <f>"19100"</f>
        <v>19100</v>
      </c>
      <c r="W5974">
        <v>29.12</v>
      </c>
      <c r="X5974">
        <v>0</v>
      </c>
    </row>
    <row r="5975" spans="1:24" ht="15" customHeight="1" x14ac:dyDescent="0.25">
      <c r="A5975" t="str">
        <f>""</f>
        <v/>
      </c>
      <c r="B5975" s="1"/>
      <c r="H5975">
        <v>190.58</v>
      </c>
      <c r="J5975" t="s">
        <v>23</v>
      </c>
      <c r="L5975" s="1"/>
      <c r="V5975" t="str">
        <f>"59175"</f>
        <v>59175</v>
      </c>
      <c r="W5975">
        <v>0</v>
      </c>
      <c r="X5975">
        <v>0</v>
      </c>
    </row>
    <row r="5976" spans="1:24" ht="15" customHeight="1" x14ac:dyDescent="0.25">
      <c r="A5976" t="str">
        <f>""</f>
        <v/>
      </c>
      <c r="B5976" s="1"/>
      <c r="H5976">
        <v>37.19</v>
      </c>
      <c r="L5976" s="1"/>
      <c r="N5976" s="1"/>
      <c r="V5976" t="str">
        <f>"77184"</f>
        <v>77184</v>
      </c>
      <c r="W5976">
        <v>0</v>
      </c>
      <c r="X5976">
        <v>0</v>
      </c>
    </row>
    <row r="5977" spans="1:24" ht="15" customHeight="1" x14ac:dyDescent="0.25">
      <c r="A5977" t="str">
        <f>""</f>
        <v/>
      </c>
      <c r="B5977" s="1"/>
      <c r="H5977">
        <v>145.71</v>
      </c>
      <c r="J5977" t="s">
        <v>19</v>
      </c>
      <c r="L5977" s="1"/>
      <c r="N5977" s="1"/>
      <c r="V5977" t="str">
        <f>"60200"</f>
        <v>60200</v>
      </c>
      <c r="W5977">
        <v>27.68</v>
      </c>
      <c r="X5977">
        <v>0</v>
      </c>
    </row>
    <row r="5978" spans="1:24" ht="15" customHeight="1" x14ac:dyDescent="0.25">
      <c r="A5978" t="str">
        <f>""</f>
        <v/>
      </c>
      <c r="B5978" s="1"/>
      <c r="H5978">
        <v>19.8</v>
      </c>
      <c r="J5978" t="s">
        <v>20</v>
      </c>
      <c r="L5978" s="1"/>
      <c r="N5978" s="1"/>
      <c r="V5978" t="str">
        <f>"59260"</f>
        <v>59260</v>
      </c>
      <c r="W5978">
        <v>3.76</v>
      </c>
      <c r="X5978">
        <v>0</v>
      </c>
    </row>
    <row r="5979" spans="1:24" ht="15" customHeight="1" x14ac:dyDescent="0.25">
      <c r="A5979" t="str">
        <f>""</f>
        <v/>
      </c>
      <c r="B5979" s="1"/>
      <c r="H5979">
        <v>70</v>
      </c>
      <c r="J5979" t="s">
        <v>20</v>
      </c>
      <c r="L5979" s="1"/>
      <c r="N5979" s="1"/>
      <c r="V5979" t="str">
        <f>"68110"</f>
        <v>68110</v>
      </c>
      <c r="W5979">
        <v>20.3</v>
      </c>
      <c r="X5979">
        <v>0</v>
      </c>
    </row>
    <row r="5980" spans="1:24" ht="15" customHeight="1" x14ac:dyDescent="0.25">
      <c r="A5980" t="str">
        <f>""</f>
        <v/>
      </c>
      <c r="B5980" s="1"/>
      <c r="H5980">
        <v>19.8</v>
      </c>
      <c r="J5980" t="s">
        <v>19</v>
      </c>
      <c r="L5980" s="1"/>
      <c r="N5980" s="1"/>
      <c r="V5980" t="str">
        <f>"94190"</f>
        <v>94190</v>
      </c>
      <c r="W5980">
        <v>0</v>
      </c>
      <c r="X5980">
        <v>0</v>
      </c>
    </row>
    <row r="5981" spans="1:24" ht="15" customHeight="1" x14ac:dyDescent="0.25">
      <c r="A5981" t="str">
        <f>""</f>
        <v/>
      </c>
      <c r="B5981" s="1"/>
      <c r="H5981">
        <v>69.709999999999994</v>
      </c>
      <c r="J5981" t="s">
        <v>20</v>
      </c>
      <c r="L5981" s="1"/>
      <c r="N5981" s="1"/>
      <c r="V5981" t="str">
        <f>"14150"</f>
        <v>14150</v>
      </c>
      <c r="W5981">
        <v>11.85</v>
      </c>
      <c r="X5981">
        <v>0</v>
      </c>
    </row>
    <row r="5982" spans="1:24" ht="15" customHeight="1" x14ac:dyDescent="0.25">
      <c r="A5982" t="str">
        <f>""</f>
        <v/>
      </c>
      <c r="B5982" s="1"/>
      <c r="H5982">
        <v>55.14</v>
      </c>
      <c r="J5982" t="s">
        <v>20</v>
      </c>
      <c r="L5982" s="1"/>
      <c r="N5982" s="1"/>
      <c r="V5982" t="str">
        <f>"60880"</f>
        <v>60880</v>
      </c>
      <c r="W5982">
        <v>10.48</v>
      </c>
      <c r="X5982">
        <v>0</v>
      </c>
    </row>
    <row r="5983" spans="1:24" ht="15" customHeight="1" x14ac:dyDescent="0.25">
      <c r="A5983" t="str">
        <f>""</f>
        <v/>
      </c>
      <c r="B5983" s="1"/>
      <c r="H5983">
        <v>40</v>
      </c>
      <c r="J5983" t="s">
        <v>22</v>
      </c>
      <c r="L5983" s="1"/>
      <c r="N5983" s="1"/>
      <c r="V5983" t="str">
        <f>"13008"</f>
        <v>13008</v>
      </c>
      <c r="W5983">
        <v>0</v>
      </c>
      <c r="X5983">
        <v>0</v>
      </c>
    </row>
    <row r="5984" spans="1:24" ht="15" customHeight="1" x14ac:dyDescent="0.25">
      <c r="A5984" t="str">
        <f>""</f>
        <v/>
      </c>
      <c r="B5984" s="1"/>
      <c r="H5984">
        <v>149.58000000000001</v>
      </c>
      <c r="J5984" t="s">
        <v>20</v>
      </c>
      <c r="L5984" s="1"/>
      <c r="N5984" s="1"/>
      <c r="V5984" t="str">
        <f>"76400"</f>
        <v>76400</v>
      </c>
      <c r="W5984">
        <v>25.43</v>
      </c>
      <c r="X5984">
        <v>0</v>
      </c>
    </row>
    <row r="5985" spans="1:24" ht="15" customHeight="1" x14ac:dyDescent="0.25">
      <c r="A5985" t="str">
        <f>""</f>
        <v/>
      </c>
      <c r="B5985" s="1"/>
      <c r="H5985">
        <v>154.01</v>
      </c>
      <c r="J5985" t="s">
        <v>20</v>
      </c>
      <c r="L5985" s="1"/>
      <c r="N5985" s="1"/>
      <c r="V5985" t="str">
        <f>"35540"</f>
        <v>35540</v>
      </c>
      <c r="W5985">
        <v>41.58</v>
      </c>
      <c r="X5985">
        <v>0</v>
      </c>
    </row>
    <row r="5986" spans="1:24" ht="15" customHeight="1" x14ac:dyDescent="0.25">
      <c r="A5986" t="str">
        <f>""</f>
        <v/>
      </c>
      <c r="B5986" s="1"/>
      <c r="H5986">
        <v>220.51</v>
      </c>
      <c r="J5986" t="s">
        <v>19</v>
      </c>
      <c r="L5986" s="1"/>
      <c r="N5986" s="1"/>
      <c r="V5986" t="str">
        <f>"69005"</f>
        <v>69005</v>
      </c>
      <c r="W5986">
        <v>59.54</v>
      </c>
      <c r="X5986">
        <v>0</v>
      </c>
    </row>
    <row r="5987" spans="1:24" ht="15" customHeight="1" x14ac:dyDescent="0.25">
      <c r="A5987" t="str">
        <f>""</f>
        <v/>
      </c>
      <c r="B5987" s="1"/>
      <c r="H5987">
        <v>140</v>
      </c>
      <c r="J5987" t="s">
        <v>23</v>
      </c>
      <c r="L5987" s="1"/>
      <c r="N5987" s="1"/>
      <c r="V5987" t="str">
        <f>"59700"</f>
        <v>59700</v>
      </c>
      <c r="W5987">
        <v>0</v>
      </c>
      <c r="X5987">
        <v>0</v>
      </c>
    </row>
    <row r="5988" spans="1:24" ht="15" customHeight="1" x14ac:dyDescent="0.25">
      <c r="A5988" t="str">
        <f>""</f>
        <v/>
      </c>
      <c r="B5988" s="1"/>
      <c r="H5988">
        <v>71.900000000000006</v>
      </c>
      <c r="J5988" t="s">
        <v>23</v>
      </c>
      <c r="L5988" s="1"/>
      <c r="N5988" s="1"/>
      <c r="V5988" t="str">
        <f>"88000"</f>
        <v>88000</v>
      </c>
      <c r="W5988">
        <v>0</v>
      </c>
      <c r="X5988">
        <v>0</v>
      </c>
    </row>
    <row r="5989" spans="1:24" ht="15" customHeight="1" x14ac:dyDescent="0.25">
      <c r="A5989" t="str">
        <f>""</f>
        <v/>
      </c>
      <c r="B5989" s="1"/>
      <c r="H5989">
        <v>183.98</v>
      </c>
      <c r="J5989" t="s">
        <v>23</v>
      </c>
      <c r="L5989" s="1"/>
      <c r="N5989" s="1"/>
      <c r="V5989" t="str">
        <f>"80080"</f>
        <v>80080</v>
      </c>
      <c r="W5989">
        <v>0</v>
      </c>
      <c r="X5989">
        <v>34.96</v>
      </c>
    </row>
    <row r="5990" spans="1:24" ht="15" customHeight="1" x14ac:dyDescent="0.25">
      <c r="A5990" t="str">
        <f>""</f>
        <v/>
      </c>
      <c r="B5990" s="1"/>
      <c r="H5990">
        <v>133</v>
      </c>
      <c r="L5990" s="1"/>
      <c r="N5990" s="1"/>
      <c r="V5990" t="str">
        <f>"77184"</f>
        <v>77184</v>
      </c>
      <c r="W5990">
        <v>0</v>
      </c>
      <c r="X5990">
        <v>0</v>
      </c>
    </row>
    <row r="5991" spans="1:24" ht="15" customHeight="1" x14ac:dyDescent="0.25">
      <c r="A5991" t="str">
        <f>""</f>
        <v/>
      </c>
      <c r="B5991" s="1"/>
      <c r="H5991">
        <v>124</v>
      </c>
      <c r="L5991" s="1"/>
      <c r="N5991" s="1"/>
      <c r="V5991" t="str">
        <f>"77184"</f>
        <v>77184</v>
      </c>
      <c r="W5991">
        <v>0</v>
      </c>
      <c r="X5991">
        <v>0</v>
      </c>
    </row>
    <row r="5992" spans="1:24" ht="15" customHeight="1" x14ac:dyDescent="0.25">
      <c r="A5992" t="str">
        <f>""</f>
        <v/>
      </c>
      <c r="B5992" s="1"/>
      <c r="H5992">
        <v>75.34</v>
      </c>
      <c r="J5992" t="s">
        <v>19</v>
      </c>
      <c r="L5992" s="1"/>
      <c r="N5992" s="1"/>
      <c r="V5992" t="str">
        <f>"84380"</f>
        <v>84380</v>
      </c>
      <c r="W5992">
        <v>0</v>
      </c>
      <c r="X5992">
        <v>0</v>
      </c>
    </row>
    <row r="5993" spans="1:24" ht="15" customHeight="1" x14ac:dyDescent="0.25">
      <c r="A5993" t="str">
        <f>""</f>
        <v/>
      </c>
      <c r="B5993" s="1"/>
      <c r="H5993">
        <v>29.59</v>
      </c>
      <c r="J5993" t="s">
        <v>22</v>
      </c>
      <c r="L5993" s="1"/>
      <c r="N5993" s="1"/>
      <c r="V5993" t="str">
        <f>"69006"</f>
        <v>69006</v>
      </c>
      <c r="W5993">
        <v>0</v>
      </c>
      <c r="X5993">
        <v>0</v>
      </c>
    </row>
    <row r="5994" spans="1:24" ht="15" customHeight="1" x14ac:dyDescent="0.25">
      <c r="A5994" t="str">
        <f>""</f>
        <v/>
      </c>
      <c r="B5994" s="1"/>
      <c r="H5994">
        <v>379.59</v>
      </c>
      <c r="J5994" t="s">
        <v>19</v>
      </c>
      <c r="L5994" s="1"/>
      <c r="N5994" s="1"/>
      <c r="V5994" t="str">
        <f>"77290"</f>
        <v>77290</v>
      </c>
      <c r="W5994">
        <v>0</v>
      </c>
      <c r="X5994">
        <v>0</v>
      </c>
    </row>
    <row r="5995" spans="1:24" ht="15" customHeight="1" x14ac:dyDescent="0.25">
      <c r="A5995" t="str">
        <f>""</f>
        <v/>
      </c>
      <c r="B5995" s="1"/>
      <c r="H5995">
        <v>136.85</v>
      </c>
      <c r="J5995" t="s">
        <v>19</v>
      </c>
      <c r="L5995" s="1"/>
      <c r="N5995" s="1"/>
      <c r="V5995" t="str">
        <f>"49250"</f>
        <v>49250</v>
      </c>
      <c r="W5995">
        <v>36.950000000000003</v>
      </c>
      <c r="X5995">
        <v>0</v>
      </c>
    </row>
    <row r="5996" spans="1:24" ht="15" customHeight="1" x14ac:dyDescent="0.25">
      <c r="A5996" t="str">
        <f>""</f>
        <v/>
      </c>
      <c r="B5996" s="1"/>
      <c r="H5996">
        <v>20.2</v>
      </c>
      <c r="J5996" t="s">
        <v>20</v>
      </c>
      <c r="L5996" s="1"/>
      <c r="N5996" s="1"/>
      <c r="V5996" t="str">
        <f>"88000"</f>
        <v>88000</v>
      </c>
      <c r="W5996">
        <v>5.86</v>
      </c>
      <c r="X5996">
        <v>0</v>
      </c>
    </row>
    <row r="5997" spans="1:24" ht="15" customHeight="1" x14ac:dyDescent="0.25">
      <c r="A5997" t="str">
        <f>""</f>
        <v/>
      </c>
      <c r="B5997" s="1"/>
      <c r="H5997">
        <v>65</v>
      </c>
      <c r="J5997" t="s">
        <v>20</v>
      </c>
      <c r="L5997" s="1"/>
      <c r="N5997" s="1"/>
      <c r="V5997" t="str">
        <f>"49124"</f>
        <v>49124</v>
      </c>
      <c r="W5997">
        <v>17.55</v>
      </c>
      <c r="X5997">
        <v>0</v>
      </c>
    </row>
    <row r="5998" spans="1:24" ht="15" customHeight="1" x14ac:dyDescent="0.25">
      <c r="A5998" t="str">
        <f>""</f>
        <v/>
      </c>
      <c r="B5998" s="1"/>
      <c r="H5998">
        <v>67.25</v>
      </c>
      <c r="J5998" t="s">
        <v>20</v>
      </c>
      <c r="L5998" s="1"/>
      <c r="N5998" s="1"/>
      <c r="V5998" t="str">
        <f>"64000"</f>
        <v>64000</v>
      </c>
      <c r="W5998">
        <v>14.12</v>
      </c>
      <c r="X5998">
        <v>0</v>
      </c>
    </row>
    <row r="5999" spans="1:24" ht="15" customHeight="1" x14ac:dyDescent="0.25">
      <c r="A5999" t="str">
        <f>""</f>
        <v/>
      </c>
      <c r="B5999" s="1"/>
      <c r="H5999">
        <v>151</v>
      </c>
      <c r="J5999" t="s">
        <v>23</v>
      </c>
      <c r="L5999" s="1"/>
      <c r="N5999" s="1"/>
      <c r="V5999" t="str">
        <f>"67860"</f>
        <v>67860</v>
      </c>
      <c r="W5999">
        <v>0</v>
      </c>
      <c r="X5999">
        <v>0</v>
      </c>
    </row>
    <row r="6000" spans="1:24" ht="15" customHeight="1" x14ac:dyDescent="0.25">
      <c r="A6000" t="str">
        <f>""</f>
        <v/>
      </c>
      <c r="B6000" s="1"/>
      <c r="H6000">
        <v>25.6</v>
      </c>
      <c r="J6000" t="s">
        <v>23</v>
      </c>
      <c r="L6000" s="1"/>
      <c r="N6000" s="1"/>
      <c r="V6000" t="str">
        <f>"85500"</f>
        <v>85500</v>
      </c>
      <c r="W6000">
        <v>0</v>
      </c>
      <c r="X6000">
        <v>0</v>
      </c>
    </row>
    <row r="6001" spans="1:24" ht="15" customHeight="1" x14ac:dyDescent="0.25">
      <c r="A6001" t="str">
        <f>""</f>
        <v/>
      </c>
      <c r="B6001" s="1"/>
      <c r="H6001">
        <v>136.33000000000001</v>
      </c>
      <c r="J6001" t="s">
        <v>19</v>
      </c>
      <c r="L6001" s="1"/>
      <c r="N6001" s="1"/>
      <c r="V6001" t="str">
        <f>"44000"</f>
        <v>44000</v>
      </c>
      <c r="W6001">
        <v>36.81</v>
      </c>
      <c r="X6001">
        <v>0</v>
      </c>
    </row>
    <row r="6002" spans="1:24" ht="15" customHeight="1" x14ac:dyDescent="0.25">
      <c r="A6002" t="str">
        <f>""</f>
        <v/>
      </c>
      <c r="B6002" s="1"/>
      <c r="H6002">
        <v>161.25</v>
      </c>
      <c r="J6002" t="s">
        <v>23</v>
      </c>
      <c r="L6002" s="1"/>
      <c r="N6002" s="1"/>
      <c r="V6002" t="str">
        <f>"83320"</f>
        <v>83320</v>
      </c>
      <c r="W6002">
        <v>0</v>
      </c>
      <c r="X6002">
        <v>33.86</v>
      </c>
    </row>
    <row r="6003" spans="1:24" ht="15" customHeight="1" x14ac:dyDescent="0.25">
      <c r="A6003" t="str">
        <f>""</f>
        <v/>
      </c>
      <c r="B6003" s="1"/>
      <c r="H6003">
        <v>70</v>
      </c>
      <c r="J6003" t="s">
        <v>22</v>
      </c>
      <c r="L6003" s="1"/>
      <c r="N6003" s="1"/>
      <c r="V6003" t="str">
        <f>"78125"</f>
        <v>78125</v>
      </c>
      <c r="W6003">
        <v>0</v>
      </c>
      <c r="X6003">
        <v>0</v>
      </c>
    </row>
    <row r="6004" spans="1:24" ht="15" customHeight="1" x14ac:dyDescent="0.25">
      <c r="A6004" t="str">
        <f>""</f>
        <v/>
      </c>
      <c r="B6004" s="1"/>
      <c r="H6004">
        <v>70</v>
      </c>
      <c r="J6004" t="s">
        <v>22</v>
      </c>
      <c r="L6004" s="1"/>
      <c r="V6004" t="str">
        <f>"89470"</f>
        <v>89470</v>
      </c>
      <c r="W6004">
        <v>0</v>
      </c>
      <c r="X6004">
        <v>0</v>
      </c>
    </row>
    <row r="6005" spans="1:24" ht="15" customHeight="1" x14ac:dyDescent="0.25">
      <c r="A6005" t="str">
        <f>""</f>
        <v/>
      </c>
      <c r="B6005" s="1"/>
      <c r="H6005">
        <v>173.64</v>
      </c>
      <c r="J6005" t="s">
        <v>19</v>
      </c>
      <c r="L6005" s="1"/>
      <c r="N6005" s="1"/>
      <c r="V6005" t="str">
        <f>"38400"</f>
        <v>38400</v>
      </c>
      <c r="W6005">
        <v>46.88</v>
      </c>
      <c r="X6005">
        <v>0</v>
      </c>
    </row>
    <row r="6006" spans="1:24" ht="15" customHeight="1" x14ac:dyDescent="0.25">
      <c r="A6006" t="str">
        <f>""</f>
        <v/>
      </c>
      <c r="B6006" s="1"/>
      <c r="H6006">
        <v>180</v>
      </c>
      <c r="J6006" t="s">
        <v>23</v>
      </c>
      <c r="L6006" s="1"/>
      <c r="V6006" t="str">
        <f>"83190"</f>
        <v>83190</v>
      </c>
      <c r="W6006">
        <v>0</v>
      </c>
      <c r="X6006">
        <v>0</v>
      </c>
    </row>
    <row r="6007" spans="1:24" ht="15" customHeight="1" x14ac:dyDescent="0.25">
      <c r="A6007" t="str">
        <f>""</f>
        <v/>
      </c>
      <c r="B6007" s="1"/>
      <c r="H6007">
        <v>73.599999999999994</v>
      </c>
      <c r="J6007" t="s">
        <v>23</v>
      </c>
      <c r="L6007" s="1"/>
      <c r="N6007" s="1"/>
      <c r="V6007" t="str">
        <f>"24100"</f>
        <v>24100</v>
      </c>
      <c r="W6007">
        <v>0</v>
      </c>
      <c r="X6007">
        <v>12.51</v>
      </c>
    </row>
    <row r="6008" spans="1:24" ht="15" customHeight="1" x14ac:dyDescent="0.25">
      <c r="A6008" t="str">
        <f>""</f>
        <v/>
      </c>
      <c r="B6008" s="1"/>
      <c r="H6008">
        <v>25</v>
      </c>
      <c r="J6008" t="s">
        <v>23</v>
      </c>
      <c r="L6008" s="1"/>
      <c r="N6008" s="1"/>
      <c r="V6008" t="str">
        <f>"63118"</f>
        <v>63118</v>
      </c>
      <c r="W6008">
        <v>0</v>
      </c>
      <c r="X6008">
        <v>3</v>
      </c>
    </row>
    <row r="6009" spans="1:24" ht="15" customHeight="1" x14ac:dyDescent="0.25">
      <c r="A6009" t="str">
        <f>""</f>
        <v/>
      </c>
      <c r="B6009" s="1"/>
      <c r="H6009">
        <v>140.72</v>
      </c>
      <c r="J6009" t="s">
        <v>22</v>
      </c>
      <c r="L6009" s="1"/>
      <c r="N6009" s="1"/>
      <c r="V6009" t="str">
        <f>"68290"</f>
        <v>68290</v>
      </c>
      <c r="W6009">
        <v>0</v>
      </c>
      <c r="X6009">
        <v>11.26</v>
      </c>
    </row>
    <row r="6010" spans="1:24" ht="15" customHeight="1" x14ac:dyDescent="0.25">
      <c r="A6010" t="str">
        <f>""</f>
        <v/>
      </c>
      <c r="B6010" s="1"/>
      <c r="H6010">
        <v>70</v>
      </c>
      <c r="J6010" t="s">
        <v>23</v>
      </c>
      <c r="L6010" s="1"/>
      <c r="N6010" s="1"/>
      <c r="V6010" t="str">
        <f>"86000"</f>
        <v>86000</v>
      </c>
      <c r="W6010">
        <v>0</v>
      </c>
      <c r="X6010">
        <v>14.7</v>
      </c>
    </row>
    <row r="6011" spans="1:24" ht="15" customHeight="1" x14ac:dyDescent="0.25">
      <c r="A6011" t="str">
        <f>""</f>
        <v/>
      </c>
      <c r="B6011" s="1"/>
      <c r="H6011">
        <v>18.8</v>
      </c>
      <c r="J6011" t="s">
        <v>22</v>
      </c>
      <c r="L6011" s="1"/>
      <c r="N6011" s="1"/>
      <c r="V6011" t="str">
        <f>"85700"</f>
        <v>85700</v>
      </c>
      <c r="W6011">
        <v>0</v>
      </c>
      <c r="X6011">
        <v>5.08</v>
      </c>
    </row>
    <row r="6012" spans="1:24" ht="15" customHeight="1" x14ac:dyDescent="0.25">
      <c r="A6012" t="str">
        <f>""</f>
        <v/>
      </c>
      <c r="B6012" s="1"/>
      <c r="H6012">
        <v>25</v>
      </c>
      <c r="J6012" t="s">
        <v>22</v>
      </c>
      <c r="L6012" s="1"/>
      <c r="V6012" t="str">
        <f>"70000"</f>
        <v>70000</v>
      </c>
      <c r="W6012">
        <v>0</v>
      </c>
      <c r="X6012">
        <v>0</v>
      </c>
    </row>
    <row r="6013" spans="1:24" ht="15" customHeight="1" x14ac:dyDescent="0.25">
      <c r="A6013" t="str">
        <f>""</f>
        <v/>
      </c>
      <c r="B6013" s="1"/>
      <c r="H6013">
        <v>92</v>
      </c>
      <c r="J6013" t="s">
        <v>22</v>
      </c>
      <c r="L6013" s="1"/>
      <c r="N6013" s="1"/>
      <c r="V6013" t="str">
        <f>"06190"</f>
        <v>06190</v>
      </c>
      <c r="W6013">
        <v>0</v>
      </c>
      <c r="X6013">
        <v>27.6</v>
      </c>
    </row>
    <row r="6014" spans="1:24" ht="15" customHeight="1" x14ac:dyDescent="0.25">
      <c r="A6014" t="str">
        <f>""</f>
        <v/>
      </c>
      <c r="B6014" s="1"/>
      <c r="H6014">
        <v>151</v>
      </c>
      <c r="J6014" t="s">
        <v>22</v>
      </c>
      <c r="L6014" s="1"/>
      <c r="V6014" t="str">
        <f>"10200"</f>
        <v>10200</v>
      </c>
      <c r="W6014">
        <v>0</v>
      </c>
      <c r="X6014">
        <v>0</v>
      </c>
    </row>
    <row r="6015" spans="1:24" x14ac:dyDescent="0.25">
      <c r="A6015" t="str">
        <f>""</f>
        <v/>
      </c>
      <c r="B6015" s="1"/>
      <c r="H6015">
        <v>52.5</v>
      </c>
      <c r="J6015" t="s">
        <v>15</v>
      </c>
      <c r="L6015" s="1"/>
      <c r="N6015" s="1"/>
      <c r="V6015" t="str">
        <f>"69003"</f>
        <v>69003</v>
      </c>
      <c r="W6015">
        <v>0</v>
      </c>
      <c r="X6015">
        <v>0</v>
      </c>
    </row>
    <row r="6016" spans="1:24" x14ac:dyDescent="0.25">
      <c r="A6016" t="str">
        <f>""</f>
        <v/>
      </c>
      <c r="B6016" s="1"/>
      <c r="H6016">
        <v>52.5</v>
      </c>
      <c r="J6016" t="s">
        <v>15</v>
      </c>
      <c r="L6016" s="1"/>
      <c r="N6016" s="1"/>
      <c r="V6016" t="str">
        <f>"93000"</f>
        <v>93000</v>
      </c>
      <c r="W6016">
        <v>0</v>
      </c>
      <c r="X6016">
        <v>0</v>
      </c>
    </row>
    <row r="6017" spans="1:24" x14ac:dyDescent="0.25">
      <c r="A6017" t="str">
        <f>""</f>
        <v/>
      </c>
      <c r="B6017" s="1"/>
      <c r="H6017">
        <v>52.5</v>
      </c>
      <c r="J6017" t="s">
        <v>15</v>
      </c>
      <c r="L6017" s="1"/>
      <c r="N6017" s="1"/>
      <c r="V6017" t="str">
        <f>"14000"</f>
        <v>14000</v>
      </c>
      <c r="W6017">
        <v>0</v>
      </c>
      <c r="X6017">
        <v>0</v>
      </c>
    </row>
    <row r="6018" spans="1:24" ht="15" customHeight="1" x14ac:dyDescent="0.25">
      <c r="A6018" t="str">
        <f>""</f>
        <v/>
      </c>
      <c r="B6018" s="1"/>
      <c r="H6018">
        <v>140</v>
      </c>
      <c r="J6018" t="s">
        <v>22</v>
      </c>
      <c r="L6018" s="1"/>
      <c r="N6018" s="1"/>
      <c r="V6018" t="str">
        <f>"69520"</f>
        <v>69520</v>
      </c>
      <c r="W6018">
        <v>0</v>
      </c>
      <c r="X6018">
        <v>0</v>
      </c>
    </row>
    <row r="6019" spans="1:24" ht="15" customHeight="1" x14ac:dyDescent="0.25">
      <c r="A6019" t="str">
        <f>""</f>
        <v/>
      </c>
      <c r="B6019" s="1"/>
      <c r="H6019">
        <v>124.94</v>
      </c>
      <c r="J6019" t="s">
        <v>22</v>
      </c>
      <c r="L6019" s="1"/>
      <c r="N6019" s="1"/>
      <c r="V6019" t="str">
        <f>"77140"</f>
        <v>77140</v>
      </c>
      <c r="W6019">
        <v>0</v>
      </c>
      <c r="X6019">
        <v>0</v>
      </c>
    </row>
    <row r="6020" spans="1:24" ht="15" customHeight="1" x14ac:dyDescent="0.25">
      <c r="A6020" t="str">
        <f>""</f>
        <v/>
      </c>
      <c r="B6020" s="1"/>
      <c r="H6020">
        <v>184.02</v>
      </c>
      <c r="J6020" t="s">
        <v>23</v>
      </c>
      <c r="L6020" s="1"/>
      <c r="N6020" s="1"/>
      <c r="V6020" t="str">
        <f>"93320"</f>
        <v>93320</v>
      </c>
      <c r="W6020">
        <v>0</v>
      </c>
      <c r="X6020">
        <v>0</v>
      </c>
    </row>
    <row r="6021" spans="1:24" ht="15" customHeight="1" x14ac:dyDescent="0.25">
      <c r="A6021" t="str">
        <f>""</f>
        <v/>
      </c>
      <c r="B6021" s="1"/>
      <c r="H6021">
        <v>70</v>
      </c>
      <c r="J6021" t="s">
        <v>22</v>
      </c>
      <c r="L6021" s="1"/>
      <c r="V6021" t="str">
        <f>"75009"</f>
        <v>75009</v>
      </c>
      <c r="W6021">
        <v>0</v>
      </c>
      <c r="X6021">
        <v>0</v>
      </c>
    </row>
    <row r="6022" spans="1:24" ht="15" customHeight="1" x14ac:dyDescent="0.25">
      <c r="A6022" t="str">
        <f>""</f>
        <v/>
      </c>
      <c r="B6022" s="1"/>
      <c r="H6022">
        <v>86.54</v>
      </c>
      <c r="J6022" t="s">
        <v>19</v>
      </c>
      <c r="L6022" s="1"/>
      <c r="N6022" s="1"/>
      <c r="V6022" t="str">
        <f>"56920"</f>
        <v>56920</v>
      </c>
      <c r="W6022">
        <v>23.37</v>
      </c>
      <c r="X6022">
        <v>0</v>
      </c>
    </row>
    <row r="6023" spans="1:24" ht="15" customHeight="1" x14ac:dyDescent="0.25">
      <c r="A6023" t="str">
        <f>""</f>
        <v/>
      </c>
      <c r="B6023" s="1"/>
      <c r="H6023">
        <v>180</v>
      </c>
      <c r="L6023" s="1"/>
      <c r="V6023" t="str">
        <f>"77184"</f>
        <v>77184</v>
      </c>
      <c r="W6023">
        <v>0</v>
      </c>
      <c r="X6023">
        <v>0</v>
      </c>
    </row>
    <row r="6024" spans="1:24" ht="15" customHeight="1" x14ac:dyDescent="0.25">
      <c r="A6024" t="str">
        <f>""</f>
        <v/>
      </c>
      <c r="B6024" s="1"/>
      <c r="H6024">
        <v>180</v>
      </c>
      <c r="J6024" t="s">
        <v>22</v>
      </c>
      <c r="L6024" s="1"/>
      <c r="V6024" t="str">
        <f>"59155"</f>
        <v>59155</v>
      </c>
      <c r="W6024">
        <v>0</v>
      </c>
      <c r="X6024">
        <v>0</v>
      </c>
    </row>
    <row r="6025" spans="1:24" ht="15" customHeight="1" x14ac:dyDescent="0.25">
      <c r="A6025" t="str">
        <f>""</f>
        <v/>
      </c>
      <c r="B6025" s="1"/>
      <c r="H6025">
        <v>140</v>
      </c>
      <c r="J6025" t="s">
        <v>23</v>
      </c>
      <c r="L6025" s="1"/>
      <c r="N6025" s="1"/>
      <c r="V6025" t="str">
        <f>"52000"</f>
        <v>52000</v>
      </c>
      <c r="W6025">
        <v>0</v>
      </c>
      <c r="X6025">
        <v>16.8</v>
      </c>
    </row>
    <row r="6026" spans="1:24" ht="15" customHeight="1" x14ac:dyDescent="0.25">
      <c r="A6026" t="str">
        <f>""</f>
        <v/>
      </c>
      <c r="B6026" s="1"/>
      <c r="H6026">
        <v>70</v>
      </c>
      <c r="J6026" t="s">
        <v>22</v>
      </c>
      <c r="L6026" s="1"/>
      <c r="N6026" s="1"/>
      <c r="V6026" t="str">
        <f>"01000"</f>
        <v>01000</v>
      </c>
      <c r="W6026">
        <v>0</v>
      </c>
      <c r="X6026">
        <v>18.899999999999999</v>
      </c>
    </row>
    <row r="6027" spans="1:24" ht="15" customHeight="1" x14ac:dyDescent="0.25">
      <c r="A6027" t="str">
        <f>""</f>
        <v/>
      </c>
      <c r="B6027" s="1"/>
      <c r="H6027">
        <v>151</v>
      </c>
      <c r="J6027" t="s">
        <v>23</v>
      </c>
      <c r="L6027" s="1"/>
      <c r="V6027" t="str">
        <f>"76110"</f>
        <v>76110</v>
      </c>
      <c r="W6027">
        <v>0</v>
      </c>
      <c r="X6027">
        <v>0</v>
      </c>
    </row>
    <row r="6028" spans="1:24" ht="15" customHeight="1" x14ac:dyDescent="0.25">
      <c r="A6028" t="str">
        <f>""</f>
        <v/>
      </c>
      <c r="B6028" s="1"/>
      <c r="H6028">
        <v>146.31</v>
      </c>
      <c r="J6028" t="s">
        <v>23</v>
      </c>
      <c r="L6028" s="1"/>
      <c r="N6028" s="1"/>
      <c r="V6028" t="str">
        <f>"25000"</f>
        <v>25000</v>
      </c>
      <c r="W6028">
        <v>0</v>
      </c>
      <c r="X6028">
        <v>17.559999999999999</v>
      </c>
    </row>
    <row r="6029" spans="1:24" ht="15" customHeight="1" x14ac:dyDescent="0.25">
      <c r="A6029" t="str">
        <f>""</f>
        <v/>
      </c>
      <c r="B6029" s="1"/>
      <c r="H6029">
        <v>70</v>
      </c>
      <c r="J6029" t="s">
        <v>23</v>
      </c>
      <c r="L6029" s="1"/>
      <c r="N6029" s="1"/>
      <c r="V6029" t="str">
        <f>"51100"</f>
        <v>51100</v>
      </c>
      <c r="W6029">
        <v>0</v>
      </c>
      <c r="X6029">
        <v>17.5</v>
      </c>
    </row>
    <row r="6030" spans="1:24" ht="15" customHeight="1" x14ac:dyDescent="0.25">
      <c r="A6030" t="str">
        <f>""</f>
        <v/>
      </c>
      <c r="B6030" s="1"/>
      <c r="H6030">
        <v>28.02</v>
      </c>
      <c r="J6030" t="s">
        <v>20</v>
      </c>
      <c r="L6030" s="1"/>
      <c r="N6030" s="1"/>
      <c r="V6030" t="str">
        <f>"60290"</f>
        <v>60290</v>
      </c>
      <c r="W6030">
        <v>13.45</v>
      </c>
      <c r="X6030">
        <v>0</v>
      </c>
    </row>
    <row r="6031" spans="1:24" ht="15" customHeight="1" x14ac:dyDescent="0.25">
      <c r="A6031" t="str">
        <f>""</f>
        <v/>
      </c>
      <c r="B6031" s="1"/>
      <c r="H6031">
        <v>151</v>
      </c>
      <c r="J6031" t="s">
        <v>23</v>
      </c>
      <c r="L6031" s="1"/>
      <c r="N6031" s="1"/>
      <c r="V6031" t="str">
        <f>"06560"</f>
        <v>06560</v>
      </c>
      <c r="W6031">
        <v>0</v>
      </c>
      <c r="X6031">
        <v>0</v>
      </c>
    </row>
    <row r="6032" spans="1:24" ht="15" customHeight="1" x14ac:dyDescent="0.25">
      <c r="A6032" t="str">
        <f>""</f>
        <v/>
      </c>
      <c r="B6032" s="1"/>
      <c r="H6032">
        <v>10</v>
      </c>
      <c r="L6032" s="1"/>
      <c r="N6032" s="1"/>
      <c r="V6032" t="str">
        <f>"77184"</f>
        <v>77184</v>
      </c>
      <c r="W6032">
        <v>0</v>
      </c>
      <c r="X6032">
        <v>0</v>
      </c>
    </row>
    <row r="6033" spans="1:24" ht="15" customHeight="1" x14ac:dyDescent="0.25">
      <c r="A6033" t="str">
        <f>""</f>
        <v/>
      </c>
      <c r="B6033" s="1"/>
      <c r="H6033">
        <v>25</v>
      </c>
      <c r="L6033" s="1"/>
      <c r="N6033" s="1"/>
      <c r="V6033" t="str">
        <f>"77184"</f>
        <v>77184</v>
      </c>
      <c r="W6033">
        <v>0</v>
      </c>
      <c r="X6033">
        <v>0</v>
      </c>
    </row>
    <row r="6034" spans="1:24" ht="15" customHeight="1" x14ac:dyDescent="0.25">
      <c r="A6034" t="str">
        <f>""</f>
        <v/>
      </c>
      <c r="B6034" s="1"/>
      <c r="H6034">
        <v>10</v>
      </c>
      <c r="L6034" s="1"/>
      <c r="N6034" s="1"/>
      <c r="V6034" t="str">
        <f>"77184"</f>
        <v>77184</v>
      </c>
      <c r="W6034">
        <v>0</v>
      </c>
      <c r="X6034">
        <v>0</v>
      </c>
    </row>
    <row r="6035" spans="1:24" ht="15" customHeight="1" x14ac:dyDescent="0.25">
      <c r="A6035" t="str">
        <f>""</f>
        <v/>
      </c>
      <c r="B6035" s="1"/>
      <c r="H6035">
        <v>57</v>
      </c>
      <c r="J6035" t="s">
        <v>23</v>
      </c>
      <c r="L6035" s="1"/>
      <c r="N6035" s="1"/>
      <c r="V6035" t="str">
        <f>"36250"</f>
        <v>36250</v>
      </c>
      <c r="W6035">
        <v>0</v>
      </c>
      <c r="X6035">
        <v>0</v>
      </c>
    </row>
    <row r="6036" spans="1:24" x14ac:dyDescent="0.25">
      <c r="A6036" t="str">
        <f>""</f>
        <v/>
      </c>
      <c r="B6036" s="1"/>
      <c r="H6036">
        <v>23.4</v>
      </c>
      <c r="J6036" t="s">
        <v>15</v>
      </c>
      <c r="L6036" s="1"/>
      <c r="N6036" s="1"/>
      <c r="V6036" t="str">
        <f>"38110"</f>
        <v>38110</v>
      </c>
      <c r="W6036">
        <v>0</v>
      </c>
      <c r="X6036">
        <v>0</v>
      </c>
    </row>
    <row r="6037" spans="1:24" ht="15" customHeight="1" x14ac:dyDescent="0.25">
      <c r="A6037" t="str">
        <f>""</f>
        <v/>
      </c>
      <c r="B6037" s="1"/>
      <c r="H6037">
        <v>10</v>
      </c>
      <c r="L6037" s="1"/>
      <c r="N6037" s="1"/>
      <c r="V6037" t="str">
        <f>"77184"</f>
        <v>77184</v>
      </c>
      <c r="W6037">
        <v>0</v>
      </c>
      <c r="X6037">
        <v>0</v>
      </c>
    </row>
    <row r="6038" spans="1:24" ht="15" customHeight="1" x14ac:dyDescent="0.25">
      <c r="A6038" t="str">
        <f>""</f>
        <v/>
      </c>
      <c r="B6038" s="1"/>
      <c r="H6038">
        <v>140</v>
      </c>
      <c r="J6038" t="s">
        <v>23</v>
      </c>
      <c r="L6038" s="1"/>
      <c r="N6038" s="1"/>
      <c r="V6038" t="str">
        <f>"06560"</f>
        <v>06560</v>
      </c>
      <c r="W6038">
        <v>0</v>
      </c>
      <c r="X6038">
        <v>29.4</v>
      </c>
    </row>
    <row r="6039" spans="1:24" ht="15" customHeight="1" x14ac:dyDescent="0.25">
      <c r="A6039" t="str">
        <f>""</f>
        <v/>
      </c>
      <c r="B6039" s="1"/>
      <c r="H6039">
        <v>25</v>
      </c>
      <c r="J6039" t="s">
        <v>23</v>
      </c>
      <c r="L6039" s="1"/>
      <c r="N6039" s="1"/>
      <c r="V6039" t="str">
        <f>"75004"</f>
        <v>75004</v>
      </c>
      <c r="W6039">
        <v>0</v>
      </c>
      <c r="X6039">
        <v>0</v>
      </c>
    </row>
    <row r="6040" spans="1:24" ht="15" customHeight="1" x14ac:dyDescent="0.25">
      <c r="A6040" t="str">
        <f>""</f>
        <v/>
      </c>
      <c r="B6040" s="1"/>
      <c r="H6040">
        <v>33.119999999999997</v>
      </c>
      <c r="J6040" t="s">
        <v>23</v>
      </c>
      <c r="L6040" s="1"/>
      <c r="N6040" s="1"/>
      <c r="V6040" t="str">
        <f>"14000"</f>
        <v>14000</v>
      </c>
      <c r="W6040">
        <v>0</v>
      </c>
      <c r="X6040">
        <v>5.63</v>
      </c>
    </row>
    <row r="6041" spans="1:24" ht="15" customHeight="1" x14ac:dyDescent="0.25">
      <c r="A6041" t="str">
        <f>""</f>
        <v/>
      </c>
      <c r="B6041" s="1"/>
      <c r="H6041">
        <v>49.08</v>
      </c>
      <c r="J6041" t="s">
        <v>19</v>
      </c>
      <c r="L6041" s="1"/>
      <c r="N6041" s="1"/>
      <c r="V6041" t="str">
        <f>"56920"</f>
        <v>56920</v>
      </c>
      <c r="W6041">
        <v>13.25</v>
      </c>
      <c r="X6041">
        <v>0</v>
      </c>
    </row>
    <row r="6042" spans="1:24" ht="15" customHeight="1" x14ac:dyDescent="0.25">
      <c r="A6042" t="str">
        <f>""</f>
        <v/>
      </c>
      <c r="B6042" s="1"/>
      <c r="H6042">
        <v>151</v>
      </c>
      <c r="J6042" t="s">
        <v>22</v>
      </c>
      <c r="L6042" s="1"/>
      <c r="N6042" s="1"/>
      <c r="V6042" t="str">
        <f>"75013"</f>
        <v>75013</v>
      </c>
      <c r="W6042">
        <v>0</v>
      </c>
      <c r="X6042">
        <v>0</v>
      </c>
    </row>
    <row r="6043" spans="1:24" ht="15" customHeight="1" x14ac:dyDescent="0.25">
      <c r="A6043" t="str">
        <f>""</f>
        <v/>
      </c>
      <c r="B6043" s="1"/>
      <c r="H6043">
        <v>84.5</v>
      </c>
      <c r="L6043" s="1"/>
      <c r="N6043" s="1"/>
      <c r="V6043" t="str">
        <f>"77184"</f>
        <v>77184</v>
      </c>
      <c r="W6043">
        <v>0</v>
      </c>
      <c r="X6043">
        <v>0</v>
      </c>
    </row>
    <row r="6044" spans="1:24" ht="15" customHeight="1" x14ac:dyDescent="0.25">
      <c r="A6044" t="str">
        <f>""</f>
        <v/>
      </c>
      <c r="B6044" s="1"/>
      <c r="H6044">
        <v>17</v>
      </c>
      <c r="J6044" t="s">
        <v>22</v>
      </c>
      <c r="L6044" s="1"/>
      <c r="N6044" s="1"/>
      <c r="V6044" t="str">
        <f>"54000"</f>
        <v>54000</v>
      </c>
      <c r="W6044">
        <v>0</v>
      </c>
      <c r="X6044">
        <v>4.25</v>
      </c>
    </row>
    <row r="6045" spans="1:24" ht="15" customHeight="1" x14ac:dyDescent="0.25">
      <c r="A6045" t="str">
        <f>""</f>
        <v/>
      </c>
      <c r="B6045" s="1"/>
      <c r="H6045">
        <v>151</v>
      </c>
      <c r="J6045" t="s">
        <v>22</v>
      </c>
      <c r="L6045" s="1"/>
      <c r="N6045" s="1"/>
      <c r="V6045" t="str">
        <f>"94150"</f>
        <v>94150</v>
      </c>
      <c r="W6045">
        <v>0</v>
      </c>
      <c r="X6045">
        <v>0</v>
      </c>
    </row>
    <row r="6046" spans="1:24" ht="15" customHeight="1" x14ac:dyDescent="0.25">
      <c r="A6046" t="str">
        <f>""</f>
        <v/>
      </c>
      <c r="B6046" s="1"/>
      <c r="H6046">
        <v>188.27</v>
      </c>
      <c r="J6046" t="s">
        <v>19</v>
      </c>
      <c r="L6046" s="1"/>
      <c r="N6046" s="1"/>
      <c r="V6046" t="str">
        <f>"83990"</f>
        <v>83990</v>
      </c>
      <c r="W6046">
        <v>56.48</v>
      </c>
      <c r="X6046">
        <v>0</v>
      </c>
    </row>
    <row r="6047" spans="1:24" ht="15" customHeight="1" x14ac:dyDescent="0.25">
      <c r="A6047" t="str">
        <f>""</f>
        <v/>
      </c>
      <c r="B6047" s="1"/>
      <c r="H6047">
        <v>55.16</v>
      </c>
      <c r="J6047" t="s">
        <v>20</v>
      </c>
      <c r="L6047" s="1"/>
      <c r="N6047" s="1"/>
      <c r="V6047" t="str">
        <f>"44000"</f>
        <v>44000</v>
      </c>
      <c r="W6047">
        <v>14.89</v>
      </c>
      <c r="X6047">
        <v>0</v>
      </c>
    </row>
    <row r="6048" spans="1:24" ht="15" customHeight="1" x14ac:dyDescent="0.25">
      <c r="A6048" t="str">
        <f>""</f>
        <v/>
      </c>
      <c r="B6048" s="1"/>
      <c r="H6048">
        <v>12</v>
      </c>
      <c r="J6048" t="s">
        <v>19</v>
      </c>
      <c r="L6048" s="1"/>
      <c r="N6048" s="1"/>
      <c r="V6048" t="str">
        <f>"57400"</f>
        <v>57400</v>
      </c>
      <c r="W6048">
        <v>0</v>
      </c>
      <c r="X6048">
        <v>0</v>
      </c>
    </row>
    <row r="6049" spans="1:24" ht="15" customHeight="1" x14ac:dyDescent="0.25">
      <c r="A6049" t="str">
        <f>""</f>
        <v/>
      </c>
      <c r="B6049" s="1"/>
      <c r="H6049">
        <v>183.04</v>
      </c>
      <c r="J6049" t="s">
        <v>23</v>
      </c>
      <c r="L6049" s="1"/>
      <c r="N6049" s="1"/>
      <c r="V6049" t="str">
        <f>"74200"</f>
        <v>74200</v>
      </c>
      <c r="W6049">
        <v>0</v>
      </c>
      <c r="X6049">
        <v>0</v>
      </c>
    </row>
    <row r="6050" spans="1:24" ht="15" customHeight="1" x14ac:dyDescent="0.25">
      <c r="A6050" t="str">
        <f>""</f>
        <v/>
      </c>
      <c r="B6050" s="1"/>
      <c r="H6050">
        <v>143.57</v>
      </c>
      <c r="J6050" t="s">
        <v>19</v>
      </c>
      <c r="L6050" s="1"/>
      <c r="N6050" s="1"/>
      <c r="V6050" t="str">
        <f>"14000"</f>
        <v>14000</v>
      </c>
      <c r="W6050">
        <v>24.41</v>
      </c>
      <c r="X6050">
        <v>0</v>
      </c>
    </row>
    <row r="6051" spans="1:24" ht="15" customHeight="1" x14ac:dyDescent="0.25">
      <c r="A6051" t="str">
        <f>""</f>
        <v/>
      </c>
      <c r="B6051" s="1"/>
      <c r="H6051">
        <v>28</v>
      </c>
      <c r="L6051" s="1"/>
      <c r="N6051" s="1"/>
      <c r="V6051" t="str">
        <f>"44240"</f>
        <v>44240</v>
      </c>
      <c r="W6051">
        <v>0</v>
      </c>
      <c r="X6051">
        <v>0</v>
      </c>
    </row>
    <row r="6052" spans="1:24" ht="15" customHeight="1" x14ac:dyDescent="0.25">
      <c r="A6052" t="str">
        <f>""</f>
        <v/>
      </c>
      <c r="B6052" s="1"/>
      <c r="H6052">
        <v>158</v>
      </c>
      <c r="L6052" s="1"/>
      <c r="N6052" s="1"/>
      <c r="V6052" t="str">
        <f>"77184"</f>
        <v>77184</v>
      </c>
      <c r="W6052">
        <v>0</v>
      </c>
      <c r="X6052">
        <v>0</v>
      </c>
    </row>
    <row r="6053" spans="1:24" ht="15" customHeight="1" x14ac:dyDescent="0.25">
      <c r="A6053" t="str">
        <f>""</f>
        <v/>
      </c>
      <c r="B6053" s="1"/>
      <c r="H6053">
        <v>32</v>
      </c>
      <c r="J6053" t="s">
        <v>23</v>
      </c>
      <c r="L6053" s="1"/>
      <c r="N6053" s="1"/>
      <c r="V6053" t="str">
        <f>"67000"</f>
        <v>67000</v>
      </c>
      <c r="W6053">
        <v>0</v>
      </c>
      <c r="X6053">
        <v>2.56</v>
      </c>
    </row>
    <row r="6054" spans="1:24" x14ac:dyDescent="0.25">
      <c r="A6054" t="str">
        <f>""</f>
        <v/>
      </c>
      <c r="B6054" s="1"/>
      <c r="H6054">
        <v>18.8</v>
      </c>
      <c r="J6054" t="s">
        <v>16</v>
      </c>
      <c r="L6054" s="1"/>
      <c r="N6054" s="1"/>
      <c r="V6054" t="str">
        <f>"56920"</f>
        <v>56920</v>
      </c>
      <c r="W6054">
        <v>0</v>
      </c>
      <c r="X6054">
        <v>3.57</v>
      </c>
    </row>
    <row r="6055" spans="1:24" ht="15" customHeight="1" x14ac:dyDescent="0.25">
      <c r="A6055" t="str">
        <f>""</f>
        <v/>
      </c>
      <c r="B6055" s="1"/>
      <c r="H6055">
        <v>55.26</v>
      </c>
      <c r="J6055" t="s">
        <v>20</v>
      </c>
      <c r="L6055" s="1"/>
      <c r="N6055" s="1"/>
      <c r="V6055" t="str">
        <f>"53000"</f>
        <v>53000</v>
      </c>
      <c r="W6055">
        <v>14.92</v>
      </c>
      <c r="X6055">
        <v>0</v>
      </c>
    </row>
    <row r="6056" spans="1:24" ht="15" customHeight="1" x14ac:dyDescent="0.25">
      <c r="A6056" t="str">
        <f>""</f>
        <v/>
      </c>
      <c r="B6056" s="1"/>
      <c r="H6056">
        <v>140</v>
      </c>
      <c r="J6056" t="s">
        <v>22</v>
      </c>
      <c r="L6056" s="1"/>
      <c r="N6056" s="1"/>
      <c r="V6056" t="str">
        <f>"13001"</f>
        <v>13001</v>
      </c>
      <c r="W6056">
        <v>0</v>
      </c>
      <c r="X6056">
        <v>26.6</v>
      </c>
    </row>
    <row r="6057" spans="1:24" ht="15" customHeight="1" x14ac:dyDescent="0.25">
      <c r="A6057" t="str">
        <f>""</f>
        <v/>
      </c>
      <c r="B6057" s="1"/>
      <c r="H6057">
        <v>222</v>
      </c>
      <c r="L6057" s="1"/>
      <c r="N6057" s="1"/>
      <c r="V6057" t="str">
        <f>"77184"</f>
        <v>77184</v>
      </c>
      <c r="W6057">
        <v>0</v>
      </c>
      <c r="X6057">
        <v>0</v>
      </c>
    </row>
    <row r="6058" spans="1:24" ht="15" customHeight="1" x14ac:dyDescent="0.25">
      <c r="A6058" t="str">
        <f>""</f>
        <v/>
      </c>
      <c r="B6058" s="1"/>
      <c r="H6058">
        <v>31</v>
      </c>
      <c r="L6058" s="1"/>
      <c r="N6058" s="1"/>
      <c r="V6058" t="str">
        <f>"77184"</f>
        <v>77184</v>
      </c>
      <c r="W6058">
        <v>0</v>
      </c>
      <c r="X6058">
        <v>0</v>
      </c>
    </row>
    <row r="6059" spans="1:24" ht="15" customHeight="1" x14ac:dyDescent="0.25">
      <c r="A6059" t="str">
        <f>""</f>
        <v/>
      </c>
      <c r="B6059" s="1"/>
      <c r="H6059">
        <v>83</v>
      </c>
      <c r="J6059" t="s">
        <v>19</v>
      </c>
      <c r="L6059" s="1"/>
      <c r="N6059" s="1"/>
      <c r="V6059" t="str">
        <f>"06190"</f>
        <v>06190</v>
      </c>
      <c r="W6059">
        <v>24.9</v>
      </c>
      <c r="X6059">
        <v>0</v>
      </c>
    </row>
    <row r="6060" spans="1:24" ht="15" customHeight="1" x14ac:dyDescent="0.25">
      <c r="A6060" t="str">
        <f>""</f>
        <v/>
      </c>
      <c r="B6060" s="1"/>
      <c r="H6060">
        <v>149.79</v>
      </c>
      <c r="J6060" t="s">
        <v>19</v>
      </c>
      <c r="L6060" s="1"/>
      <c r="N6060" s="1"/>
      <c r="V6060" t="str">
        <f>"34500"</f>
        <v>34500</v>
      </c>
      <c r="W6060">
        <v>58.42</v>
      </c>
      <c r="X6060">
        <v>0</v>
      </c>
    </row>
    <row r="6061" spans="1:24" ht="15" customHeight="1" x14ac:dyDescent="0.25">
      <c r="A6061" t="str">
        <f>""</f>
        <v/>
      </c>
      <c r="B6061" s="1"/>
      <c r="H6061">
        <v>55.16</v>
      </c>
      <c r="J6061" t="s">
        <v>19</v>
      </c>
      <c r="L6061" s="1"/>
      <c r="N6061" s="1"/>
      <c r="V6061" t="str">
        <f>"75018"</f>
        <v>75018</v>
      </c>
      <c r="W6061">
        <v>0</v>
      </c>
      <c r="X6061">
        <v>0</v>
      </c>
    </row>
    <row r="6062" spans="1:24" ht="15" customHeight="1" x14ac:dyDescent="0.25">
      <c r="A6062" t="str">
        <f>""</f>
        <v/>
      </c>
      <c r="B6062" s="1"/>
      <c r="H6062">
        <v>136.97999999999999</v>
      </c>
      <c r="J6062" t="s">
        <v>19</v>
      </c>
      <c r="L6062" s="1"/>
      <c r="N6062" s="1"/>
      <c r="V6062" t="str">
        <f>"69800"</f>
        <v>69800</v>
      </c>
      <c r="W6062">
        <v>36.979999999999997</v>
      </c>
      <c r="X6062">
        <v>0</v>
      </c>
    </row>
    <row r="6063" spans="1:24" ht="15" customHeight="1" x14ac:dyDescent="0.25">
      <c r="A6063" t="str">
        <f>""</f>
        <v/>
      </c>
      <c r="B6063" s="1"/>
      <c r="H6063">
        <v>18.350000000000001</v>
      </c>
      <c r="J6063" t="s">
        <v>19</v>
      </c>
      <c r="L6063" s="1"/>
      <c r="N6063" s="1"/>
      <c r="V6063" t="str">
        <f>"59380"</f>
        <v>59380</v>
      </c>
      <c r="W6063">
        <v>3.49</v>
      </c>
      <c r="X6063">
        <v>0</v>
      </c>
    </row>
    <row r="6064" spans="1:24" ht="15" customHeight="1" x14ac:dyDescent="0.25">
      <c r="A6064" t="str">
        <f>""</f>
        <v/>
      </c>
      <c r="B6064" s="1"/>
      <c r="H6064">
        <v>164.25</v>
      </c>
      <c r="L6064" s="1"/>
      <c r="N6064" s="1"/>
      <c r="V6064" t="str">
        <f>"44240"</f>
        <v>44240</v>
      </c>
      <c r="W6064">
        <v>0</v>
      </c>
      <c r="X6064">
        <v>0</v>
      </c>
    </row>
    <row r="6065" spans="1:24" ht="15" customHeight="1" x14ac:dyDescent="0.25">
      <c r="A6065" t="str">
        <f>""</f>
        <v/>
      </c>
      <c r="B6065" s="1"/>
      <c r="H6065">
        <v>129</v>
      </c>
      <c r="L6065" s="1"/>
      <c r="N6065" s="1"/>
      <c r="V6065" t="str">
        <f>"44240"</f>
        <v>44240</v>
      </c>
      <c r="W6065">
        <v>0</v>
      </c>
      <c r="X6065">
        <v>0</v>
      </c>
    </row>
    <row r="6066" spans="1:24" ht="15" customHeight="1" x14ac:dyDescent="0.25">
      <c r="A6066" t="str">
        <f>""</f>
        <v/>
      </c>
      <c r="B6066" s="1"/>
      <c r="H6066">
        <v>84.5</v>
      </c>
      <c r="L6066" s="1"/>
      <c r="N6066" s="1"/>
      <c r="V6066" t="str">
        <f>"77184"</f>
        <v>77184</v>
      </c>
      <c r="W6066">
        <v>0</v>
      </c>
      <c r="X6066">
        <v>0</v>
      </c>
    </row>
    <row r="6067" spans="1:24" ht="15" customHeight="1" x14ac:dyDescent="0.25">
      <c r="A6067" t="str">
        <f>""</f>
        <v/>
      </c>
      <c r="B6067" s="1"/>
      <c r="H6067">
        <v>137.59</v>
      </c>
      <c r="J6067" t="s">
        <v>19</v>
      </c>
      <c r="L6067" s="1"/>
      <c r="N6067" s="1"/>
      <c r="V6067" t="str">
        <f>"75014"</f>
        <v>75014</v>
      </c>
      <c r="W6067">
        <v>0</v>
      </c>
      <c r="X6067">
        <v>0</v>
      </c>
    </row>
    <row r="6068" spans="1:24" ht="15" customHeight="1" x14ac:dyDescent="0.25">
      <c r="A6068" t="str">
        <f>""</f>
        <v/>
      </c>
      <c r="B6068" s="1"/>
      <c r="H6068">
        <v>138.12</v>
      </c>
      <c r="J6068" t="s">
        <v>19</v>
      </c>
      <c r="L6068" s="1"/>
      <c r="N6068" s="1"/>
      <c r="V6068" t="str">
        <f>"64600"</f>
        <v>64600</v>
      </c>
      <c r="W6068">
        <v>29.01</v>
      </c>
      <c r="X6068">
        <v>0</v>
      </c>
    </row>
    <row r="6069" spans="1:24" ht="15" customHeight="1" x14ac:dyDescent="0.25">
      <c r="A6069" t="str">
        <f>""</f>
        <v/>
      </c>
      <c r="B6069" s="1"/>
      <c r="H6069">
        <v>86.54</v>
      </c>
      <c r="J6069" t="s">
        <v>19</v>
      </c>
      <c r="L6069" s="1"/>
      <c r="N6069" s="1"/>
      <c r="V6069" t="str">
        <f>"14000"</f>
        <v>14000</v>
      </c>
      <c r="W6069">
        <v>14.71</v>
      </c>
      <c r="X6069">
        <v>0</v>
      </c>
    </row>
    <row r="6070" spans="1:24" ht="15" customHeight="1" x14ac:dyDescent="0.25">
      <c r="A6070" t="str">
        <f>""</f>
        <v/>
      </c>
      <c r="B6070" s="1"/>
      <c r="H6070">
        <v>1002.99</v>
      </c>
      <c r="J6070" t="s">
        <v>22</v>
      </c>
      <c r="L6070" s="1"/>
      <c r="N6070" s="1"/>
      <c r="V6070" t="str">
        <f>"94110"</f>
        <v>94110</v>
      </c>
      <c r="W6070">
        <v>0</v>
      </c>
      <c r="X6070">
        <v>0</v>
      </c>
    </row>
    <row r="6071" spans="1:24" ht="15" customHeight="1" x14ac:dyDescent="0.25">
      <c r="A6071" t="str">
        <f>""</f>
        <v/>
      </c>
      <c r="B6071" s="1"/>
      <c r="H6071">
        <v>185.87</v>
      </c>
      <c r="J6071" t="s">
        <v>19</v>
      </c>
      <c r="L6071" s="1"/>
      <c r="N6071" s="1"/>
      <c r="V6071" t="str">
        <f>"86510"</f>
        <v>86510</v>
      </c>
      <c r="W6071">
        <v>39.03</v>
      </c>
      <c r="X6071">
        <v>0</v>
      </c>
    </row>
    <row r="6072" spans="1:24" ht="15" customHeight="1" x14ac:dyDescent="0.25">
      <c r="A6072" t="str">
        <f>""</f>
        <v/>
      </c>
      <c r="B6072" s="1"/>
      <c r="H6072">
        <v>126.65</v>
      </c>
      <c r="J6072" t="s">
        <v>19</v>
      </c>
      <c r="L6072" s="1"/>
      <c r="N6072" s="1"/>
      <c r="V6072" t="str">
        <f>"67600"</f>
        <v>67600</v>
      </c>
      <c r="W6072">
        <v>36.729999999999997</v>
      </c>
      <c r="X6072">
        <v>0</v>
      </c>
    </row>
    <row r="6073" spans="1:24" ht="15" customHeight="1" x14ac:dyDescent="0.25">
      <c r="A6073" t="str">
        <f>""</f>
        <v/>
      </c>
      <c r="B6073" s="1"/>
      <c r="H6073">
        <v>105</v>
      </c>
      <c r="L6073" s="1"/>
      <c r="N6073" s="1"/>
      <c r="V6073" t="str">
        <f>"77184"</f>
        <v>77184</v>
      </c>
      <c r="W6073">
        <v>0</v>
      </c>
      <c r="X6073">
        <v>0</v>
      </c>
    </row>
    <row r="6074" spans="1:24" ht="15" customHeight="1" x14ac:dyDescent="0.25">
      <c r="A6074" t="str">
        <f>""</f>
        <v/>
      </c>
      <c r="B6074" s="1"/>
      <c r="H6074">
        <v>39.25</v>
      </c>
      <c r="J6074" t="s">
        <v>20</v>
      </c>
      <c r="L6074" s="1"/>
      <c r="N6074" s="1"/>
      <c r="V6074" t="str">
        <f>"62600"</f>
        <v>62600</v>
      </c>
      <c r="W6074">
        <v>7.46</v>
      </c>
      <c r="X6074">
        <v>0</v>
      </c>
    </row>
    <row r="6075" spans="1:24" ht="15" customHeight="1" x14ac:dyDescent="0.25">
      <c r="A6075" t="str">
        <f>""</f>
        <v/>
      </c>
      <c r="B6075" s="1"/>
      <c r="H6075">
        <v>18.350000000000001</v>
      </c>
      <c r="J6075" t="s">
        <v>19</v>
      </c>
      <c r="L6075" s="1"/>
      <c r="N6075" s="1"/>
      <c r="V6075" t="str">
        <f>"59270"</f>
        <v>59270</v>
      </c>
      <c r="W6075">
        <v>3.49</v>
      </c>
      <c r="X6075">
        <v>0</v>
      </c>
    </row>
    <row r="6076" spans="1:24" ht="15" customHeight="1" x14ac:dyDescent="0.25">
      <c r="A6076" t="str">
        <f>""</f>
        <v/>
      </c>
      <c r="B6076" s="1"/>
      <c r="H6076">
        <v>164.26</v>
      </c>
      <c r="J6076" t="s">
        <v>20</v>
      </c>
      <c r="L6076" s="1"/>
      <c r="N6076" s="1"/>
      <c r="V6076" t="str">
        <f>"92400"</f>
        <v>92400</v>
      </c>
      <c r="W6076">
        <v>0</v>
      </c>
      <c r="X6076">
        <v>0</v>
      </c>
    </row>
    <row r="6077" spans="1:24" ht="15" customHeight="1" x14ac:dyDescent="0.25">
      <c r="A6077" t="str">
        <f>""</f>
        <v/>
      </c>
      <c r="B6077" s="1"/>
      <c r="H6077">
        <v>142.01</v>
      </c>
      <c r="J6077" t="s">
        <v>19</v>
      </c>
      <c r="L6077" s="1"/>
      <c r="N6077" s="1"/>
      <c r="V6077" t="str">
        <f>"30320"</f>
        <v>30320</v>
      </c>
      <c r="W6077">
        <v>55.38</v>
      </c>
      <c r="X6077">
        <v>0</v>
      </c>
    </row>
    <row r="6078" spans="1:24" ht="15" customHeight="1" x14ac:dyDescent="0.25">
      <c r="A6078" t="str">
        <f>""</f>
        <v/>
      </c>
      <c r="B6078" s="1"/>
      <c r="H6078">
        <v>19.89</v>
      </c>
      <c r="J6078" t="s">
        <v>19</v>
      </c>
      <c r="L6078" s="1"/>
      <c r="N6078" s="1"/>
      <c r="V6078" t="str">
        <f>"06560"</f>
        <v>06560</v>
      </c>
      <c r="W6078">
        <v>5.97</v>
      </c>
      <c r="X6078">
        <v>0</v>
      </c>
    </row>
    <row r="6079" spans="1:24" ht="15" customHeight="1" x14ac:dyDescent="0.25">
      <c r="A6079" t="str">
        <f>""</f>
        <v/>
      </c>
      <c r="B6079" s="1"/>
      <c r="H6079">
        <v>19.89</v>
      </c>
      <c r="J6079" t="s">
        <v>19</v>
      </c>
      <c r="L6079" s="1"/>
      <c r="N6079" s="1"/>
      <c r="V6079" t="str">
        <f>"06560"</f>
        <v>06560</v>
      </c>
      <c r="W6079">
        <v>5.97</v>
      </c>
      <c r="X6079">
        <v>0</v>
      </c>
    </row>
    <row r="6080" spans="1:24" ht="15" customHeight="1" x14ac:dyDescent="0.25">
      <c r="A6080" t="str">
        <f>""</f>
        <v/>
      </c>
      <c r="B6080" s="1"/>
      <c r="H6080">
        <v>82.33</v>
      </c>
      <c r="J6080" t="s">
        <v>20</v>
      </c>
      <c r="L6080" s="1"/>
      <c r="N6080" s="1"/>
      <c r="V6080" t="str">
        <f>"60000"</f>
        <v>60000</v>
      </c>
      <c r="W6080">
        <v>15.64</v>
      </c>
      <c r="X6080">
        <v>0</v>
      </c>
    </row>
    <row r="6081" spans="1:24" ht="15" customHeight="1" x14ac:dyDescent="0.25">
      <c r="A6081" t="str">
        <f>""</f>
        <v/>
      </c>
      <c r="B6081" s="1"/>
      <c r="H6081">
        <v>86.75</v>
      </c>
      <c r="J6081" t="s">
        <v>20</v>
      </c>
      <c r="L6081" s="1"/>
      <c r="N6081" s="1"/>
      <c r="V6081" t="str">
        <f>"44700"</f>
        <v>44700</v>
      </c>
      <c r="W6081">
        <v>23.42</v>
      </c>
      <c r="X6081">
        <v>0</v>
      </c>
    </row>
    <row r="6082" spans="1:24" ht="15" customHeight="1" x14ac:dyDescent="0.25">
      <c r="A6082" t="str">
        <f>""</f>
        <v/>
      </c>
      <c r="B6082" s="1"/>
      <c r="H6082">
        <v>19.649999999999999</v>
      </c>
      <c r="J6082" t="s">
        <v>20</v>
      </c>
      <c r="L6082" s="1"/>
      <c r="N6082" s="1"/>
      <c r="V6082" t="str">
        <f>"26000"</f>
        <v>26000</v>
      </c>
      <c r="W6082">
        <v>5.31</v>
      </c>
      <c r="X6082">
        <v>0</v>
      </c>
    </row>
    <row r="6083" spans="1:24" ht="15" customHeight="1" x14ac:dyDescent="0.25">
      <c r="A6083" t="str">
        <f>""</f>
        <v/>
      </c>
      <c r="B6083" s="1"/>
      <c r="H6083">
        <v>31</v>
      </c>
      <c r="L6083" s="1"/>
      <c r="N6083" s="1"/>
      <c r="V6083" t="str">
        <f>"77184"</f>
        <v>77184</v>
      </c>
      <c r="W6083">
        <v>0</v>
      </c>
      <c r="X6083">
        <v>0</v>
      </c>
    </row>
    <row r="6084" spans="1:24" ht="15" customHeight="1" x14ac:dyDescent="0.25">
      <c r="A6084" t="str">
        <f>""</f>
        <v/>
      </c>
      <c r="B6084" s="1"/>
      <c r="H6084">
        <v>173.69</v>
      </c>
      <c r="J6084" t="s">
        <v>22</v>
      </c>
      <c r="L6084" s="1"/>
      <c r="N6084" s="1"/>
      <c r="V6084" t="str">
        <f>"59154"</f>
        <v>59154</v>
      </c>
      <c r="W6084">
        <v>0</v>
      </c>
      <c r="X6084">
        <v>0</v>
      </c>
    </row>
    <row r="6085" spans="1:24" ht="15" customHeight="1" x14ac:dyDescent="0.25">
      <c r="A6085" t="str">
        <f>""</f>
        <v/>
      </c>
      <c r="B6085" s="1"/>
      <c r="H6085">
        <v>140</v>
      </c>
      <c r="J6085" t="s">
        <v>23</v>
      </c>
      <c r="L6085" s="1"/>
      <c r="N6085" s="1"/>
      <c r="V6085" t="str">
        <f>"27520"</f>
        <v>27520</v>
      </c>
      <c r="W6085">
        <v>23.8</v>
      </c>
      <c r="X6085">
        <v>0</v>
      </c>
    </row>
    <row r="6086" spans="1:24" ht="15" customHeight="1" x14ac:dyDescent="0.25">
      <c r="A6086" t="str">
        <f>""</f>
        <v/>
      </c>
      <c r="B6086" s="1"/>
      <c r="H6086">
        <v>180</v>
      </c>
      <c r="J6086" t="s">
        <v>22</v>
      </c>
      <c r="L6086" s="1"/>
      <c r="N6086" s="1"/>
      <c r="V6086" t="str">
        <f>"75010"</f>
        <v>75010</v>
      </c>
      <c r="W6086">
        <v>0</v>
      </c>
      <c r="X6086">
        <v>0</v>
      </c>
    </row>
    <row r="6087" spans="1:24" ht="15" customHeight="1" x14ac:dyDescent="0.25">
      <c r="A6087" t="str">
        <f>""</f>
        <v/>
      </c>
      <c r="B6087" s="1"/>
      <c r="H6087">
        <v>158.88</v>
      </c>
      <c r="J6087" t="s">
        <v>19</v>
      </c>
      <c r="L6087" s="1"/>
      <c r="N6087" s="1"/>
      <c r="V6087" t="str">
        <f>"65290"</f>
        <v>65290</v>
      </c>
      <c r="W6087">
        <v>34.950000000000003</v>
      </c>
      <c r="X6087">
        <v>0</v>
      </c>
    </row>
    <row r="6088" spans="1:24" ht="15" customHeight="1" x14ac:dyDescent="0.25">
      <c r="A6088" t="str">
        <f>""</f>
        <v/>
      </c>
      <c r="B6088" s="1"/>
      <c r="H6088">
        <v>18.350000000000001</v>
      </c>
      <c r="J6088" t="s">
        <v>20</v>
      </c>
      <c r="L6088" s="1"/>
      <c r="N6088" s="1"/>
      <c r="V6088" t="str">
        <f>"68110"</f>
        <v>68110</v>
      </c>
      <c r="W6088">
        <v>5.32</v>
      </c>
      <c r="X6088">
        <v>0</v>
      </c>
    </row>
    <row r="6089" spans="1:24" ht="15" customHeight="1" x14ac:dyDescent="0.25">
      <c r="A6089" t="str">
        <f>""</f>
        <v/>
      </c>
      <c r="B6089" s="1"/>
      <c r="H6089">
        <v>40</v>
      </c>
      <c r="J6089" t="s">
        <v>19</v>
      </c>
      <c r="L6089" s="1"/>
      <c r="N6089" s="1"/>
      <c r="V6089" t="str">
        <f>"59890"</f>
        <v>59890</v>
      </c>
      <c r="W6089">
        <v>7.6</v>
      </c>
      <c r="X6089">
        <v>0</v>
      </c>
    </row>
    <row r="6090" spans="1:24" x14ac:dyDescent="0.25">
      <c r="A6090" t="str">
        <f>""</f>
        <v/>
      </c>
      <c r="B6090" s="1"/>
      <c r="H6090">
        <v>140</v>
      </c>
      <c r="J6090" t="s">
        <v>15</v>
      </c>
      <c r="L6090" s="1"/>
      <c r="N6090" s="1"/>
      <c r="V6090" t="str">
        <f>"76700"</f>
        <v>76700</v>
      </c>
      <c r="W6090">
        <v>0</v>
      </c>
      <c r="X6090">
        <v>0</v>
      </c>
    </row>
    <row r="6091" spans="1:24" ht="15" customHeight="1" x14ac:dyDescent="0.25">
      <c r="A6091" t="str">
        <f>""</f>
        <v/>
      </c>
      <c r="B6091" s="1"/>
      <c r="H6091">
        <v>40</v>
      </c>
      <c r="J6091" t="s">
        <v>19</v>
      </c>
      <c r="L6091" s="1"/>
      <c r="N6091" s="1"/>
      <c r="V6091" t="str">
        <f>"59230"</f>
        <v>59230</v>
      </c>
      <c r="W6091">
        <v>7.6</v>
      </c>
      <c r="X6091">
        <v>0</v>
      </c>
    </row>
    <row r="6092" spans="1:24" ht="15" customHeight="1" x14ac:dyDescent="0.25">
      <c r="A6092" t="str">
        <f>""</f>
        <v/>
      </c>
      <c r="B6092" s="1"/>
      <c r="H6092">
        <v>120.29</v>
      </c>
      <c r="J6092" t="s">
        <v>20</v>
      </c>
      <c r="L6092" s="1"/>
      <c r="N6092" s="1"/>
      <c r="V6092" t="str">
        <f>"53600"</f>
        <v>53600</v>
      </c>
      <c r="W6092">
        <v>32.479999999999997</v>
      </c>
      <c r="X6092">
        <v>0</v>
      </c>
    </row>
    <row r="6093" spans="1:24" ht="15" customHeight="1" x14ac:dyDescent="0.25">
      <c r="A6093" t="str">
        <f>""</f>
        <v/>
      </c>
      <c r="B6093" s="1"/>
      <c r="H6093">
        <v>400</v>
      </c>
      <c r="J6093" t="s">
        <v>23</v>
      </c>
      <c r="L6093" s="1"/>
      <c r="N6093" s="1"/>
      <c r="V6093" t="str">
        <f>"69005"</f>
        <v>69005</v>
      </c>
      <c r="W6093">
        <v>0</v>
      </c>
      <c r="X6093">
        <v>0</v>
      </c>
    </row>
    <row r="6094" spans="1:24" ht="15" customHeight="1" x14ac:dyDescent="0.25">
      <c r="A6094" t="str">
        <f>""</f>
        <v/>
      </c>
      <c r="B6094" s="1"/>
      <c r="H6094">
        <v>153.44999999999999</v>
      </c>
      <c r="J6094" t="s">
        <v>19</v>
      </c>
      <c r="L6094" s="1"/>
      <c r="N6094" s="1"/>
      <c r="V6094" t="str">
        <f>"73000"</f>
        <v>73000</v>
      </c>
      <c r="W6094">
        <v>41.43</v>
      </c>
      <c r="X6094">
        <v>0</v>
      </c>
    </row>
    <row r="6095" spans="1:24" ht="15" customHeight="1" x14ac:dyDescent="0.25">
      <c r="A6095" t="str">
        <f>""</f>
        <v/>
      </c>
      <c r="B6095" s="1"/>
      <c r="H6095">
        <v>186.91</v>
      </c>
      <c r="J6095" t="s">
        <v>19</v>
      </c>
      <c r="L6095" s="1"/>
      <c r="N6095" s="1"/>
      <c r="V6095" t="str">
        <f>"73000"</f>
        <v>73000</v>
      </c>
      <c r="W6095">
        <v>50.47</v>
      </c>
      <c r="X6095">
        <v>0</v>
      </c>
    </row>
    <row r="6096" spans="1:24" ht="15" customHeight="1" x14ac:dyDescent="0.25">
      <c r="A6096" t="str">
        <f>""</f>
        <v/>
      </c>
      <c r="B6096" s="1"/>
      <c r="H6096">
        <v>178.25</v>
      </c>
      <c r="J6096" t="s">
        <v>20</v>
      </c>
      <c r="L6096" s="1"/>
      <c r="N6096" s="1"/>
      <c r="V6096" t="str">
        <f>"41700"</f>
        <v>41700</v>
      </c>
      <c r="W6096">
        <v>37.43</v>
      </c>
      <c r="X6096">
        <v>0</v>
      </c>
    </row>
    <row r="6097" spans="1:24" ht="15" customHeight="1" x14ac:dyDescent="0.25">
      <c r="A6097" t="str">
        <f>""</f>
        <v/>
      </c>
      <c r="B6097" s="1"/>
      <c r="H6097">
        <v>120.85</v>
      </c>
      <c r="J6097" t="s">
        <v>20</v>
      </c>
      <c r="L6097" s="1"/>
      <c r="N6097" s="1"/>
      <c r="V6097" t="str">
        <f>"41100"</f>
        <v>41100</v>
      </c>
      <c r="W6097">
        <v>25.38</v>
      </c>
      <c r="X6097">
        <v>0</v>
      </c>
    </row>
    <row r="6098" spans="1:24" ht="15" customHeight="1" x14ac:dyDescent="0.25">
      <c r="A6098" t="str">
        <f>""</f>
        <v/>
      </c>
      <c r="B6098" s="1"/>
      <c r="H6098">
        <v>211.53</v>
      </c>
      <c r="J6098" t="s">
        <v>23</v>
      </c>
      <c r="L6098" s="1"/>
      <c r="N6098" s="1"/>
      <c r="V6098" t="str">
        <f>"38150"</f>
        <v>38150</v>
      </c>
      <c r="W6098">
        <v>0</v>
      </c>
      <c r="X6098">
        <v>0</v>
      </c>
    </row>
    <row r="6099" spans="1:24" x14ac:dyDescent="0.25">
      <c r="A6099" t="str">
        <f>""</f>
        <v/>
      </c>
      <c r="B6099" s="1"/>
      <c r="H6099">
        <v>122.09</v>
      </c>
      <c r="J6099" t="s">
        <v>18</v>
      </c>
      <c r="L6099" s="1"/>
      <c r="N6099" s="1"/>
      <c r="V6099" t="str">
        <f>"19200"</f>
        <v>19200</v>
      </c>
      <c r="W6099">
        <v>0</v>
      </c>
      <c r="X6099">
        <v>0</v>
      </c>
    </row>
    <row r="6100" spans="1:24" ht="15" customHeight="1" x14ac:dyDescent="0.25">
      <c r="A6100" t="str">
        <f>""</f>
        <v/>
      </c>
      <c r="B6100" s="1"/>
      <c r="H6100">
        <v>148.93</v>
      </c>
      <c r="J6100" t="s">
        <v>20</v>
      </c>
      <c r="L6100" s="1"/>
      <c r="N6100" s="1"/>
      <c r="V6100" t="str">
        <f>"75012"</f>
        <v>75012</v>
      </c>
      <c r="W6100">
        <v>0</v>
      </c>
      <c r="X6100">
        <v>0</v>
      </c>
    </row>
    <row r="6101" spans="1:24" ht="15" customHeight="1" x14ac:dyDescent="0.25">
      <c r="A6101" t="str">
        <f>""</f>
        <v/>
      </c>
      <c r="B6101" s="1"/>
      <c r="H6101">
        <v>40</v>
      </c>
      <c r="J6101" t="s">
        <v>23</v>
      </c>
      <c r="L6101" s="1"/>
      <c r="N6101" s="1"/>
      <c r="V6101" t="str">
        <f>"38300"</f>
        <v>38300</v>
      </c>
      <c r="W6101">
        <v>0</v>
      </c>
      <c r="X6101">
        <v>0</v>
      </c>
    </row>
    <row r="6102" spans="1:24" ht="15" customHeight="1" x14ac:dyDescent="0.25">
      <c r="A6102" t="str">
        <f>""</f>
        <v/>
      </c>
      <c r="B6102" s="1"/>
      <c r="H6102">
        <v>172.73</v>
      </c>
      <c r="J6102" t="s">
        <v>23</v>
      </c>
      <c r="L6102" s="1"/>
      <c r="N6102" s="1"/>
      <c r="V6102" t="str">
        <f>"49000"</f>
        <v>49000</v>
      </c>
      <c r="W6102">
        <v>0</v>
      </c>
      <c r="X6102">
        <v>0</v>
      </c>
    </row>
    <row r="6103" spans="1:24" ht="15" customHeight="1" x14ac:dyDescent="0.25">
      <c r="A6103" t="str">
        <f>""</f>
        <v/>
      </c>
      <c r="B6103" s="1"/>
      <c r="H6103">
        <v>147</v>
      </c>
      <c r="L6103" s="1"/>
      <c r="N6103" s="1"/>
      <c r="V6103" t="str">
        <f>"77184"</f>
        <v>77184</v>
      </c>
      <c r="W6103">
        <v>0</v>
      </c>
      <c r="X6103">
        <v>0</v>
      </c>
    </row>
    <row r="6104" spans="1:24" ht="15" customHeight="1" x14ac:dyDescent="0.25">
      <c r="A6104" t="str">
        <f>""</f>
        <v/>
      </c>
      <c r="B6104" s="1"/>
      <c r="H6104">
        <v>131.97999999999999</v>
      </c>
      <c r="J6104" t="s">
        <v>20</v>
      </c>
      <c r="L6104" s="1"/>
      <c r="N6104" s="1"/>
      <c r="V6104" t="str">
        <f>"17100"</f>
        <v>17100</v>
      </c>
      <c r="W6104">
        <v>27.72</v>
      </c>
      <c r="X6104">
        <v>0</v>
      </c>
    </row>
    <row r="6105" spans="1:24" ht="15" customHeight="1" x14ac:dyDescent="0.25">
      <c r="A6105" t="str">
        <f>""</f>
        <v/>
      </c>
      <c r="B6105" s="1"/>
      <c r="H6105">
        <v>131.97999999999999</v>
      </c>
      <c r="J6105" t="s">
        <v>20</v>
      </c>
      <c r="L6105" s="1"/>
      <c r="N6105" s="1"/>
      <c r="V6105" t="str">
        <f>"17400"</f>
        <v>17400</v>
      </c>
      <c r="W6105">
        <v>27.72</v>
      </c>
      <c r="X6105">
        <v>0</v>
      </c>
    </row>
    <row r="6106" spans="1:24" ht="15" customHeight="1" x14ac:dyDescent="0.25">
      <c r="A6106" t="str">
        <f>""</f>
        <v/>
      </c>
      <c r="B6106" s="1"/>
      <c r="H6106">
        <v>131.97999999999999</v>
      </c>
      <c r="J6106" t="s">
        <v>20</v>
      </c>
      <c r="L6106" s="1"/>
      <c r="N6106" s="1"/>
      <c r="V6106" t="str">
        <f>"17000"</f>
        <v>17000</v>
      </c>
      <c r="W6106">
        <v>27.72</v>
      </c>
      <c r="X6106">
        <v>0</v>
      </c>
    </row>
    <row r="6107" spans="1:24" x14ac:dyDescent="0.25">
      <c r="A6107" t="str">
        <f>""</f>
        <v/>
      </c>
      <c r="B6107" s="1"/>
      <c r="J6107" t="s">
        <v>16</v>
      </c>
      <c r="L6107" s="1"/>
      <c r="N6107" s="1"/>
      <c r="V6107" t="str">
        <f>"34400"</f>
        <v>34400</v>
      </c>
      <c r="W6107">
        <v>0</v>
      </c>
      <c r="X6107">
        <v>0</v>
      </c>
    </row>
    <row r="6108" spans="1:24" ht="15" customHeight="1" x14ac:dyDescent="0.25">
      <c r="A6108" t="str">
        <f>""</f>
        <v/>
      </c>
      <c r="B6108" s="1"/>
      <c r="H6108">
        <v>40</v>
      </c>
      <c r="J6108" t="s">
        <v>20</v>
      </c>
      <c r="L6108" s="1"/>
      <c r="N6108" s="1"/>
      <c r="V6108" t="str">
        <f>"69009"</f>
        <v>69009</v>
      </c>
      <c r="W6108">
        <v>10.8</v>
      </c>
      <c r="X6108">
        <v>0</v>
      </c>
    </row>
    <row r="6109" spans="1:24" ht="15" customHeight="1" x14ac:dyDescent="0.25">
      <c r="A6109" t="str">
        <f>""</f>
        <v/>
      </c>
      <c r="B6109" s="1"/>
      <c r="H6109">
        <v>8.07</v>
      </c>
      <c r="J6109" t="s">
        <v>20</v>
      </c>
      <c r="L6109" s="1"/>
      <c r="N6109" s="1"/>
      <c r="V6109" t="str">
        <f>"69124"</f>
        <v>69124</v>
      </c>
      <c r="W6109">
        <v>2.1800000000000002</v>
      </c>
      <c r="X6109">
        <v>0</v>
      </c>
    </row>
    <row r="6110" spans="1:24" ht="15" customHeight="1" x14ac:dyDescent="0.25">
      <c r="A6110" t="str">
        <f>""</f>
        <v/>
      </c>
      <c r="B6110" s="1"/>
      <c r="H6110">
        <v>7.99</v>
      </c>
      <c r="J6110" t="s">
        <v>20</v>
      </c>
      <c r="L6110" s="1"/>
      <c r="N6110" s="1"/>
      <c r="V6110" t="str">
        <f>"34970"</f>
        <v>34970</v>
      </c>
      <c r="W6110">
        <v>3.12</v>
      </c>
      <c r="X6110">
        <v>0</v>
      </c>
    </row>
    <row r="6111" spans="1:24" ht="15" customHeight="1" x14ac:dyDescent="0.25">
      <c r="A6111" t="str">
        <f>""</f>
        <v/>
      </c>
      <c r="B6111" s="1"/>
      <c r="H6111">
        <v>30</v>
      </c>
      <c r="J6111" t="s">
        <v>20</v>
      </c>
      <c r="L6111" s="1"/>
      <c r="N6111" s="1"/>
      <c r="V6111" t="str">
        <f>"75012"</f>
        <v>75012</v>
      </c>
      <c r="W6111">
        <v>0</v>
      </c>
      <c r="X6111">
        <v>0</v>
      </c>
    </row>
    <row r="6112" spans="1:24" ht="15" customHeight="1" x14ac:dyDescent="0.25">
      <c r="A6112" t="str">
        <f>""</f>
        <v/>
      </c>
      <c r="B6112" s="1"/>
      <c r="H6112">
        <v>30</v>
      </c>
      <c r="J6112" t="s">
        <v>19</v>
      </c>
      <c r="L6112" s="1"/>
      <c r="N6112" s="1"/>
      <c r="V6112" t="str">
        <f>"92200"</f>
        <v>92200</v>
      </c>
      <c r="W6112">
        <v>0</v>
      </c>
      <c r="X6112">
        <v>0</v>
      </c>
    </row>
    <row r="6113" spans="1:24" ht="15" customHeight="1" x14ac:dyDescent="0.25">
      <c r="A6113" t="str">
        <f>""</f>
        <v/>
      </c>
      <c r="B6113" s="1"/>
      <c r="H6113">
        <v>159</v>
      </c>
      <c r="J6113" t="s">
        <v>22</v>
      </c>
      <c r="L6113" s="1"/>
      <c r="N6113" s="1"/>
      <c r="V6113" t="str">
        <f>"30300"</f>
        <v>30300</v>
      </c>
      <c r="W6113">
        <v>0</v>
      </c>
      <c r="X6113">
        <v>62.01</v>
      </c>
    </row>
    <row r="6114" spans="1:24" ht="15" customHeight="1" x14ac:dyDescent="0.25">
      <c r="A6114" t="str">
        <f>""</f>
        <v/>
      </c>
      <c r="B6114" s="1"/>
      <c r="H6114">
        <v>154.30000000000001</v>
      </c>
      <c r="J6114" t="s">
        <v>22</v>
      </c>
      <c r="L6114" s="1"/>
      <c r="N6114" s="1"/>
      <c r="V6114" t="str">
        <f>"14000"</f>
        <v>14000</v>
      </c>
      <c r="W6114">
        <v>0</v>
      </c>
      <c r="X6114">
        <v>26.23</v>
      </c>
    </row>
    <row r="6115" spans="1:24" ht="15" customHeight="1" x14ac:dyDescent="0.25">
      <c r="A6115" t="str">
        <f>""</f>
        <v/>
      </c>
      <c r="B6115" s="1"/>
      <c r="H6115">
        <v>199.92</v>
      </c>
      <c r="J6115" t="s">
        <v>22</v>
      </c>
      <c r="L6115" s="1"/>
      <c r="N6115" s="1"/>
      <c r="V6115" t="str">
        <f>"38420"</f>
        <v>38420</v>
      </c>
      <c r="W6115">
        <v>0</v>
      </c>
      <c r="X6115">
        <v>0</v>
      </c>
    </row>
    <row r="6116" spans="1:24" ht="15" customHeight="1" x14ac:dyDescent="0.25">
      <c r="A6116" t="str">
        <f>""</f>
        <v/>
      </c>
      <c r="B6116" s="1"/>
      <c r="H6116">
        <v>180</v>
      </c>
      <c r="J6116" t="s">
        <v>22</v>
      </c>
      <c r="L6116" s="1"/>
      <c r="V6116" t="str">
        <f>"42230"</f>
        <v>42230</v>
      </c>
      <c r="W6116">
        <v>0</v>
      </c>
      <c r="X6116">
        <v>0</v>
      </c>
    </row>
    <row r="6117" spans="1:24" ht="15" customHeight="1" x14ac:dyDescent="0.25">
      <c r="A6117" t="str">
        <f>""</f>
        <v/>
      </c>
      <c r="B6117" s="1"/>
      <c r="H6117">
        <v>36.89</v>
      </c>
      <c r="J6117" t="s">
        <v>22</v>
      </c>
      <c r="L6117" s="1"/>
      <c r="V6117" t="str">
        <f>"69002"</f>
        <v>69002</v>
      </c>
      <c r="W6117">
        <v>0</v>
      </c>
      <c r="X6117">
        <v>0</v>
      </c>
    </row>
    <row r="6118" spans="1:24" ht="15" customHeight="1" x14ac:dyDescent="0.25">
      <c r="A6118" t="str">
        <f>""</f>
        <v/>
      </c>
      <c r="B6118" s="1"/>
      <c r="H6118">
        <v>40</v>
      </c>
      <c r="J6118" t="s">
        <v>23</v>
      </c>
      <c r="L6118" s="1"/>
      <c r="N6118" s="1"/>
      <c r="V6118" t="str">
        <f>"67000"</f>
        <v>67000</v>
      </c>
      <c r="W6118">
        <v>0</v>
      </c>
      <c r="X6118">
        <v>3.2</v>
      </c>
    </row>
    <row r="6119" spans="1:24" ht="15" customHeight="1" x14ac:dyDescent="0.25">
      <c r="A6119" t="str">
        <f>""</f>
        <v/>
      </c>
      <c r="B6119" s="1"/>
      <c r="H6119">
        <v>40</v>
      </c>
      <c r="J6119" t="s">
        <v>22</v>
      </c>
      <c r="L6119" s="1"/>
      <c r="V6119" t="str">
        <f>"69120"</f>
        <v>69120</v>
      </c>
      <c r="W6119">
        <v>0</v>
      </c>
      <c r="X6119">
        <v>0</v>
      </c>
    </row>
    <row r="6120" spans="1:24" ht="15" customHeight="1" x14ac:dyDescent="0.25">
      <c r="A6120" t="str">
        <f>""</f>
        <v/>
      </c>
      <c r="B6120" s="1"/>
      <c r="H6120">
        <v>110.91</v>
      </c>
      <c r="J6120" t="s">
        <v>22</v>
      </c>
      <c r="L6120" s="1"/>
      <c r="V6120" t="str">
        <f>"13856"</f>
        <v>13856</v>
      </c>
      <c r="W6120">
        <v>0</v>
      </c>
      <c r="X6120">
        <v>0</v>
      </c>
    </row>
    <row r="6121" spans="1:24" ht="15" customHeight="1" x14ac:dyDescent="0.25">
      <c r="A6121" t="str">
        <f>""</f>
        <v/>
      </c>
      <c r="B6121" s="1"/>
      <c r="H6121">
        <v>40</v>
      </c>
      <c r="J6121" t="s">
        <v>23</v>
      </c>
      <c r="L6121" s="1"/>
      <c r="N6121" s="1"/>
      <c r="V6121" t="str">
        <f>"84140"</f>
        <v>84140</v>
      </c>
      <c r="W6121">
        <v>0</v>
      </c>
      <c r="X6121">
        <v>7.6</v>
      </c>
    </row>
    <row r="6122" spans="1:24" ht="15" customHeight="1" x14ac:dyDescent="0.25">
      <c r="A6122" t="str">
        <f>""</f>
        <v/>
      </c>
      <c r="B6122" s="1"/>
      <c r="H6122">
        <v>180</v>
      </c>
      <c r="J6122" t="s">
        <v>23</v>
      </c>
      <c r="L6122" s="1"/>
      <c r="N6122" s="1"/>
      <c r="V6122" t="str">
        <f>"30000"</f>
        <v>30000</v>
      </c>
      <c r="W6122">
        <v>0</v>
      </c>
      <c r="X6122">
        <v>0</v>
      </c>
    </row>
    <row r="6123" spans="1:24" ht="15" customHeight="1" x14ac:dyDescent="0.25">
      <c r="A6123" t="str">
        <f>""</f>
        <v/>
      </c>
      <c r="B6123" s="1"/>
      <c r="H6123">
        <v>33</v>
      </c>
      <c r="J6123" t="s">
        <v>23</v>
      </c>
      <c r="L6123" s="1"/>
      <c r="V6123" t="str">
        <f>"34000"</f>
        <v>34000</v>
      </c>
      <c r="W6123">
        <v>0</v>
      </c>
      <c r="X6123">
        <v>0</v>
      </c>
    </row>
    <row r="6124" spans="1:24" ht="15" customHeight="1" x14ac:dyDescent="0.25">
      <c r="A6124" t="str">
        <f>""</f>
        <v/>
      </c>
      <c r="B6124" s="1"/>
      <c r="H6124">
        <v>26.6</v>
      </c>
      <c r="J6124" t="s">
        <v>22</v>
      </c>
      <c r="L6124" s="1"/>
      <c r="N6124" s="1"/>
      <c r="V6124" t="str">
        <f>"06000"</f>
        <v>06000</v>
      </c>
      <c r="W6124">
        <v>0</v>
      </c>
      <c r="X6124">
        <v>5.59</v>
      </c>
    </row>
    <row r="6125" spans="1:24" ht="15" customHeight="1" x14ac:dyDescent="0.25">
      <c r="A6125" t="str">
        <f>""</f>
        <v/>
      </c>
      <c r="B6125" s="1"/>
      <c r="H6125">
        <v>151</v>
      </c>
      <c r="L6125" s="1"/>
      <c r="V6125" t="str">
        <f>"69380"</f>
        <v>69380</v>
      </c>
      <c r="W6125">
        <v>0</v>
      </c>
      <c r="X6125">
        <v>0</v>
      </c>
    </row>
    <row r="6126" spans="1:24" ht="15" customHeight="1" x14ac:dyDescent="0.25">
      <c r="A6126" t="str">
        <f>""</f>
        <v/>
      </c>
      <c r="B6126" s="1"/>
      <c r="H6126">
        <v>136.65</v>
      </c>
      <c r="J6126" t="s">
        <v>20</v>
      </c>
      <c r="L6126" s="1"/>
      <c r="N6126" s="1"/>
      <c r="V6126" t="str">
        <f>"75010"</f>
        <v>75010</v>
      </c>
      <c r="W6126">
        <v>0</v>
      </c>
      <c r="X6126">
        <v>0</v>
      </c>
    </row>
    <row r="6127" spans="1:24" ht="15" customHeight="1" x14ac:dyDescent="0.25">
      <c r="A6127" t="str">
        <f>""</f>
        <v/>
      </c>
      <c r="B6127" s="1"/>
      <c r="H6127">
        <v>92</v>
      </c>
      <c r="J6127" t="s">
        <v>22</v>
      </c>
      <c r="L6127" s="1"/>
      <c r="N6127" s="1"/>
      <c r="V6127" t="str">
        <f>"85700"</f>
        <v>85700</v>
      </c>
      <c r="W6127">
        <v>0</v>
      </c>
      <c r="X6127">
        <v>0</v>
      </c>
    </row>
    <row r="6128" spans="1:24" x14ac:dyDescent="0.25">
      <c r="A6128" t="str">
        <f>""</f>
        <v/>
      </c>
      <c r="B6128" s="1"/>
      <c r="H6128">
        <v>151</v>
      </c>
      <c r="J6128" t="s">
        <v>16</v>
      </c>
      <c r="L6128" s="1"/>
      <c r="V6128" t="str">
        <f>"91160"</f>
        <v>91160</v>
      </c>
      <c r="W6128">
        <v>0</v>
      </c>
      <c r="X6128">
        <v>0</v>
      </c>
    </row>
    <row r="6129" spans="1:24" ht="15" customHeight="1" x14ac:dyDescent="0.25">
      <c r="A6129" t="str">
        <f>""</f>
        <v/>
      </c>
      <c r="B6129" s="1"/>
      <c r="H6129">
        <v>29.09</v>
      </c>
      <c r="J6129" t="s">
        <v>22</v>
      </c>
      <c r="L6129" s="1"/>
      <c r="N6129" s="1"/>
      <c r="V6129" t="str">
        <f>"69150"</f>
        <v>69150</v>
      </c>
      <c r="W6129">
        <v>0</v>
      </c>
      <c r="X6129">
        <v>0</v>
      </c>
    </row>
    <row r="6130" spans="1:24" ht="15" customHeight="1" x14ac:dyDescent="0.25">
      <c r="A6130" t="str">
        <f>""</f>
        <v/>
      </c>
      <c r="B6130" s="1"/>
      <c r="H6130">
        <v>27</v>
      </c>
      <c r="J6130" t="s">
        <v>22</v>
      </c>
      <c r="L6130" s="1"/>
      <c r="N6130" s="1"/>
      <c r="V6130" t="str">
        <f>"06190"</f>
        <v>06190</v>
      </c>
      <c r="W6130">
        <v>0</v>
      </c>
      <c r="X6130">
        <v>8.1</v>
      </c>
    </row>
    <row r="6131" spans="1:24" ht="15" customHeight="1" x14ac:dyDescent="0.25">
      <c r="A6131" t="str">
        <f>""</f>
        <v/>
      </c>
      <c r="B6131" s="1"/>
      <c r="H6131">
        <v>70</v>
      </c>
      <c r="J6131" t="s">
        <v>23</v>
      </c>
      <c r="L6131" s="1"/>
      <c r="N6131" s="1"/>
      <c r="V6131" t="str">
        <f>"62200"</f>
        <v>62200</v>
      </c>
      <c r="W6131">
        <v>0</v>
      </c>
      <c r="X6131">
        <v>0</v>
      </c>
    </row>
    <row r="6132" spans="1:24" x14ac:dyDescent="0.25">
      <c r="A6132" t="str">
        <f>""</f>
        <v/>
      </c>
      <c r="B6132" s="1"/>
      <c r="H6132">
        <v>52.5</v>
      </c>
      <c r="J6132" t="s">
        <v>15</v>
      </c>
      <c r="L6132" s="1"/>
      <c r="N6132" s="1"/>
      <c r="V6132" t="str">
        <f>"95100"</f>
        <v>95100</v>
      </c>
      <c r="W6132">
        <v>0</v>
      </c>
      <c r="X6132">
        <v>0</v>
      </c>
    </row>
    <row r="6133" spans="1:24" x14ac:dyDescent="0.25">
      <c r="A6133" t="str">
        <f>""</f>
        <v/>
      </c>
      <c r="B6133" s="1"/>
      <c r="H6133">
        <v>52.5</v>
      </c>
      <c r="J6133" t="s">
        <v>15</v>
      </c>
      <c r="L6133" s="1"/>
      <c r="N6133" s="1"/>
      <c r="V6133" t="str">
        <f>"06200"</f>
        <v>06200</v>
      </c>
      <c r="W6133">
        <v>0</v>
      </c>
      <c r="X6133">
        <v>0</v>
      </c>
    </row>
    <row r="6134" spans="1:24" x14ac:dyDescent="0.25">
      <c r="A6134" t="str">
        <f>""</f>
        <v/>
      </c>
      <c r="B6134" s="1"/>
      <c r="H6134">
        <v>52.5</v>
      </c>
      <c r="J6134" t="s">
        <v>15</v>
      </c>
      <c r="L6134" s="1"/>
      <c r="N6134" s="1"/>
      <c r="V6134" t="str">
        <f>"65000"</f>
        <v>65000</v>
      </c>
      <c r="W6134">
        <v>11.55</v>
      </c>
      <c r="X6134">
        <v>0</v>
      </c>
    </row>
    <row r="6135" spans="1:24" x14ac:dyDescent="0.25">
      <c r="A6135" t="str">
        <f>""</f>
        <v/>
      </c>
      <c r="B6135" s="1"/>
      <c r="H6135">
        <v>100</v>
      </c>
      <c r="J6135" t="s">
        <v>17</v>
      </c>
      <c r="L6135" s="1"/>
      <c r="V6135" t="str">
        <f>"44240"</f>
        <v>44240</v>
      </c>
      <c r="W6135">
        <v>0</v>
      </c>
      <c r="X6135">
        <v>0</v>
      </c>
    </row>
    <row r="6136" spans="1:24" ht="15" customHeight="1" x14ac:dyDescent="0.25">
      <c r="A6136" t="str">
        <f>""</f>
        <v/>
      </c>
      <c r="B6136" s="1"/>
      <c r="H6136">
        <v>40</v>
      </c>
      <c r="J6136" t="s">
        <v>20</v>
      </c>
      <c r="L6136" s="1"/>
      <c r="N6136" s="1"/>
      <c r="V6136" t="str">
        <f>"92500"</f>
        <v>92500</v>
      </c>
      <c r="W6136">
        <v>0</v>
      </c>
      <c r="X6136">
        <v>0</v>
      </c>
    </row>
    <row r="6137" spans="1:24" x14ac:dyDescent="0.25">
      <c r="A6137" t="str">
        <f>""</f>
        <v/>
      </c>
      <c r="B6137" s="1"/>
      <c r="H6137">
        <v>23.4</v>
      </c>
      <c r="J6137" t="s">
        <v>15</v>
      </c>
      <c r="L6137" s="1"/>
      <c r="N6137" s="1"/>
      <c r="V6137" t="str">
        <f>"07800"</f>
        <v>07800</v>
      </c>
      <c r="W6137">
        <v>0</v>
      </c>
      <c r="X6137">
        <v>0</v>
      </c>
    </row>
    <row r="6138" spans="1:24" ht="15" customHeight="1" x14ac:dyDescent="0.25">
      <c r="A6138" t="str">
        <f>""</f>
        <v/>
      </c>
      <c r="B6138" s="1"/>
      <c r="H6138">
        <v>20</v>
      </c>
      <c r="L6138" s="1"/>
      <c r="N6138" s="1"/>
      <c r="V6138" t="str">
        <f>"77184"</f>
        <v>77184</v>
      </c>
      <c r="W6138">
        <v>0</v>
      </c>
      <c r="X6138">
        <v>0</v>
      </c>
    </row>
    <row r="6139" spans="1:24" ht="15" customHeight="1" x14ac:dyDescent="0.25">
      <c r="A6139" t="str">
        <f>""</f>
        <v/>
      </c>
      <c r="B6139" s="1"/>
      <c r="H6139">
        <v>55.51</v>
      </c>
      <c r="J6139" t="s">
        <v>19</v>
      </c>
      <c r="L6139" s="1"/>
      <c r="N6139" s="1"/>
      <c r="V6139" t="str">
        <f>"16340"</f>
        <v>16340</v>
      </c>
      <c r="W6139">
        <v>11.66</v>
      </c>
      <c r="X6139">
        <v>0</v>
      </c>
    </row>
    <row r="6140" spans="1:24" ht="15" customHeight="1" x14ac:dyDescent="0.25">
      <c r="A6140" t="str">
        <f>""</f>
        <v/>
      </c>
      <c r="B6140" s="1"/>
      <c r="H6140">
        <v>151</v>
      </c>
      <c r="J6140" t="s">
        <v>23</v>
      </c>
      <c r="L6140" s="1"/>
      <c r="N6140" s="1"/>
      <c r="V6140" t="str">
        <f>"06560"</f>
        <v>06560</v>
      </c>
      <c r="W6140">
        <v>0</v>
      </c>
      <c r="X6140">
        <v>0</v>
      </c>
    </row>
    <row r="6141" spans="1:24" ht="15" customHeight="1" x14ac:dyDescent="0.25">
      <c r="A6141" t="str">
        <f>""</f>
        <v/>
      </c>
      <c r="B6141" s="1"/>
      <c r="H6141">
        <v>84.5</v>
      </c>
      <c r="L6141" s="1"/>
      <c r="N6141" s="1"/>
      <c r="V6141" t="str">
        <f>"77184"</f>
        <v>77184</v>
      </c>
      <c r="W6141">
        <v>0</v>
      </c>
      <c r="X6141">
        <v>0</v>
      </c>
    </row>
    <row r="6142" spans="1:24" ht="15" customHeight="1" x14ac:dyDescent="0.25">
      <c r="A6142" t="str">
        <f>""</f>
        <v/>
      </c>
      <c r="B6142" s="1"/>
      <c r="H6142">
        <v>60.2</v>
      </c>
      <c r="J6142" t="s">
        <v>23</v>
      </c>
      <c r="L6142" s="1"/>
      <c r="N6142" s="1"/>
      <c r="V6142" t="str">
        <f>"53000"</f>
        <v>53000</v>
      </c>
      <c r="W6142">
        <v>0</v>
      </c>
      <c r="X6142">
        <v>0</v>
      </c>
    </row>
    <row r="6143" spans="1:24" x14ac:dyDescent="0.25">
      <c r="A6143" t="str">
        <f>""</f>
        <v/>
      </c>
      <c r="B6143" s="1"/>
      <c r="H6143">
        <v>114.52</v>
      </c>
      <c r="J6143" t="s">
        <v>17</v>
      </c>
      <c r="L6143" s="1"/>
      <c r="N6143" s="1"/>
      <c r="V6143" t="str">
        <f>"63100"</f>
        <v>63100</v>
      </c>
      <c r="W6143">
        <v>0</v>
      </c>
      <c r="X6143">
        <v>0</v>
      </c>
    </row>
    <row r="6144" spans="1:24" x14ac:dyDescent="0.25">
      <c r="A6144" t="str">
        <f>""</f>
        <v/>
      </c>
      <c r="B6144" s="1"/>
      <c r="H6144">
        <v>34.6</v>
      </c>
      <c r="J6144" t="s">
        <v>16</v>
      </c>
      <c r="L6144" s="1"/>
      <c r="N6144" s="1"/>
      <c r="V6144" t="str">
        <f>"77184"</f>
        <v>77184</v>
      </c>
      <c r="W6144">
        <v>0</v>
      </c>
      <c r="X6144">
        <v>0</v>
      </c>
    </row>
    <row r="6145" spans="1:24" ht="15" customHeight="1" x14ac:dyDescent="0.25">
      <c r="A6145" t="str">
        <f>""</f>
        <v/>
      </c>
      <c r="B6145" s="1"/>
      <c r="H6145">
        <v>180</v>
      </c>
      <c r="J6145" t="s">
        <v>23</v>
      </c>
      <c r="L6145" s="1"/>
      <c r="N6145" s="1"/>
      <c r="V6145" t="str">
        <f>"44000"</f>
        <v>44000</v>
      </c>
      <c r="W6145">
        <v>0</v>
      </c>
      <c r="X6145">
        <v>48.6</v>
      </c>
    </row>
    <row r="6146" spans="1:24" ht="15" customHeight="1" x14ac:dyDescent="0.25">
      <c r="A6146" t="str">
        <f>""</f>
        <v/>
      </c>
      <c r="B6146" s="1"/>
      <c r="H6146">
        <v>75.16</v>
      </c>
      <c r="J6146" t="s">
        <v>19</v>
      </c>
      <c r="L6146" s="1"/>
      <c r="N6146" s="1"/>
      <c r="V6146" t="str">
        <f>"26000"</f>
        <v>26000</v>
      </c>
      <c r="W6146">
        <v>20.29</v>
      </c>
      <c r="X6146">
        <v>0</v>
      </c>
    </row>
    <row r="6147" spans="1:24" ht="15" customHeight="1" x14ac:dyDescent="0.25">
      <c r="A6147" t="str">
        <f>""</f>
        <v/>
      </c>
      <c r="B6147" s="1"/>
      <c r="J6147" t="s">
        <v>20</v>
      </c>
      <c r="L6147" s="1"/>
      <c r="N6147" s="1"/>
      <c r="V6147" t="str">
        <f>"25600"</f>
        <v>25600</v>
      </c>
      <c r="W6147">
        <v>0</v>
      </c>
      <c r="X6147">
        <v>0</v>
      </c>
    </row>
    <row r="6148" spans="1:24" ht="15" customHeight="1" x14ac:dyDescent="0.25">
      <c r="A6148" t="str">
        <f>""</f>
        <v/>
      </c>
      <c r="B6148" s="1"/>
      <c r="H6148">
        <v>8</v>
      </c>
      <c r="J6148" t="s">
        <v>22</v>
      </c>
      <c r="L6148" s="1"/>
      <c r="V6148" t="str">
        <f>"73200"</f>
        <v>73200</v>
      </c>
      <c r="W6148">
        <v>0</v>
      </c>
      <c r="X6148">
        <v>0</v>
      </c>
    </row>
    <row r="6149" spans="1:24" ht="15" customHeight="1" x14ac:dyDescent="0.25">
      <c r="A6149" t="str">
        <f>""</f>
        <v/>
      </c>
      <c r="B6149" s="1"/>
      <c r="H6149">
        <v>160.38999999999999</v>
      </c>
      <c r="J6149" t="s">
        <v>23</v>
      </c>
      <c r="L6149" s="1"/>
      <c r="N6149" s="1"/>
      <c r="V6149" t="str">
        <f>"69280"</f>
        <v>69280</v>
      </c>
      <c r="W6149">
        <v>0</v>
      </c>
      <c r="X6149">
        <v>0</v>
      </c>
    </row>
    <row r="6150" spans="1:24" x14ac:dyDescent="0.25">
      <c r="A6150" t="str">
        <f>""</f>
        <v/>
      </c>
      <c r="B6150" s="1"/>
      <c r="H6150">
        <v>140</v>
      </c>
      <c r="J6150" t="s">
        <v>18</v>
      </c>
      <c r="L6150" s="1"/>
      <c r="N6150" s="1"/>
      <c r="V6150" t="str">
        <f>"25480"</f>
        <v>25480</v>
      </c>
      <c r="W6150">
        <v>0</v>
      </c>
      <c r="X6150">
        <v>0</v>
      </c>
    </row>
    <row r="6151" spans="1:24" ht="15" customHeight="1" x14ac:dyDescent="0.25">
      <c r="A6151" t="str">
        <f>""</f>
        <v/>
      </c>
      <c r="B6151" s="1"/>
      <c r="H6151">
        <v>31</v>
      </c>
      <c r="L6151" s="1"/>
      <c r="N6151" s="1"/>
      <c r="V6151" t="str">
        <f>"44240"</f>
        <v>44240</v>
      </c>
      <c r="W6151">
        <v>0</v>
      </c>
      <c r="X6151">
        <v>0</v>
      </c>
    </row>
    <row r="6152" spans="1:24" ht="15" customHeight="1" x14ac:dyDescent="0.25">
      <c r="A6152" t="str">
        <f>""</f>
        <v/>
      </c>
      <c r="B6152" s="1"/>
      <c r="H6152">
        <v>171</v>
      </c>
      <c r="L6152" s="1"/>
      <c r="N6152" s="1"/>
      <c r="V6152" t="str">
        <f>"77184"</f>
        <v>77184</v>
      </c>
      <c r="W6152">
        <v>0</v>
      </c>
      <c r="X6152">
        <v>0</v>
      </c>
    </row>
    <row r="6153" spans="1:24" ht="15" customHeight="1" x14ac:dyDescent="0.25">
      <c r="A6153" t="str">
        <f>""</f>
        <v/>
      </c>
      <c r="B6153" s="1"/>
      <c r="H6153">
        <v>171</v>
      </c>
      <c r="L6153" s="1"/>
      <c r="N6153" s="1"/>
      <c r="V6153" t="str">
        <f>"77184"</f>
        <v>77184</v>
      </c>
      <c r="W6153">
        <v>0</v>
      </c>
      <c r="X6153">
        <v>0</v>
      </c>
    </row>
    <row r="6154" spans="1:24" ht="15" customHeight="1" x14ac:dyDescent="0.25">
      <c r="A6154" t="str">
        <f>""</f>
        <v/>
      </c>
      <c r="B6154" s="1"/>
      <c r="H6154">
        <v>40</v>
      </c>
      <c r="J6154" t="s">
        <v>23</v>
      </c>
      <c r="L6154" s="1"/>
      <c r="N6154" s="1"/>
      <c r="V6154" t="str">
        <f>"45000"</f>
        <v>45000</v>
      </c>
      <c r="W6154">
        <v>0</v>
      </c>
      <c r="X6154">
        <v>0</v>
      </c>
    </row>
    <row r="6155" spans="1:24" ht="15" customHeight="1" x14ac:dyDescent="0.25">
      <c r="A6155" t="str">
        <f>""</f>
        <v/>
      </c>
      <c r="B6155" s="1"/>
      <c r="H6155">
        <v>139.19999999999999</v>
      </c>
      <c r="J6155" t="s">
        <v>20</v>
      </c>
      <c r="L6155" s="1"/>
      <c r="N6155" s="1"/>
      <c r="V6155" t="str">
        <f>"56100"</f>
        <v>56100</v>
      </c>
      <c r="W6155">
        <v>37.58</v>
      </c>
      <c r="X6155">
        <v>0</v>
      </c>
    </row>
    <row r="6156" spans="1:24" ht="15" customHeight="1" x14ac:dyDescent="0.25">
      <c r="A6156" t="str">
        <f>""</f>
        <v/>
      </c>
      <c r="B6156" s="1"/>
      <c r="H6156">
        <v>201</v>
      </c>
      <c r="J6156" t="s">
        <v>23</v>
      </c>
      <c r="L6156" s="1"/>
      <c r="N6156" s="1"/>
      <c r="V6156" t="str">
        <f>"38100"</f>
        <v>38100</v>
      </c>
      <c r="W6156">
        <v>0</v>
      </c>
      <c r="X6156">
        <v>0</v>
      </c>
    </row>
    <row r="6157" spans="1:24" ht="15" customHeight="1" x14ac:dyDescent="0.25">
      <c r="A6157" t="str">
        <f>""</f>
        <v/>
      </c>
      <c r="B6157" s="1"/>
      <c r="H6157">
        <v>219</v>
      </c>
      <c r="L6157" s="1"/>
      <c r="N6157" s="1"/>
      <c r="V6157" t="str">
        <f>"77184"</f>
        <v>77184</v>
      </c>
      <c r="W6157">
        <v>0</v>
      </c>
      <c r="X6157">
        <v>0</v>
      </c>
    </row>
    <row r="6158" spans="1:24" ht="15" customHeight="1" x14ac:dyDescent="0.25">
      <c r="A6158" t="str">
        <f>""</f>
        <v/>
      </c>
      <c r="B6158" s="1"/>
      <c r="H6158">
        <v>133</v>
      </c>
      <c r="L6158" s="1"/>
      <c r="N6158" s="1"/>
      <c r="V6158" t="str">
        <f>"77184"</f>
        <v>77184</v>
      </c>
      <c r="W6158">
        <v>0</v>
      </c>
      <c r="X6158">
        <v>0</v>
      </c>
    </row>
    <row r="6159" spans="1:24" ht="15" customHeight="1" x14ac:dyDescent="0.25">
      <c r="A6159" t="str">
        <f>""</f>
        <v/>
      </c>
      <c r="B6159" s="1"/>
      <c r="H6159">
        <v>137.59</v>
      </c>
      <c r="J6159" t="s">
        <v>20</v>
      </c>
      <c r="L6159" s="1"/>
      <c r="N6159" s="1"/>
      <c r="V6159" t="str">
        <f>"69800"</f>
        <v>69800</v>
      </c>
      <c r="W6159">
        <v>37.15</v>
      </c>
      <c r="X6159">
        <v>0</v>
      </c>
    </row>
    <row r="6160" spans="1:24" ht="15" customHeight="1" x14ac:dyDescent="0.25">
      <c r="A6160" t="str">
        <f>""</f>
        <v/>
      </c>
      <c r="B6160" s="1"/>
      <c r="H6160">
        <v>55.16</v>
      </c>
      <c r="J6160" t="s">
        <v>20</v>
      </c>
      <c r="L6160" s="1"/>
      <c r="N6160" s="1"/>
      <c r="V6160" t="str">
        <f>"29260"</f>
        <v>29260</v>
      </c>
      <c r="W6160">
        <v>21.51</v>
      </c>
      <c r="X6160">
        <v>0</v>
      </c>
    </row>
    <row r="6161" spans="1:24" ht="15" customHeight="1" x14ac:dyDescent="0.25">
      <c r="A6161" t="str">
        <f>""</f>
        <v/>
      </c>
      <c r="B6161" s="1"/>
      <c r="H6161">
        <v>107.6</v>
      </c>
      <c r="J6161" t="s">
        <v>19</v>
      </c>
      <c r="L6161" s="1"/>
      <c r="N6161" s="1"/>
      <c r="V6161" t="str">
        <f>"75014"</f>
        <v>75014</v>
      </c>
      <c r="W6161">
        <v>0</v>
      </c>
      <c r="X6161">
        <v>0</v>
      </c>
    </row>
    <row r="6162" spans="1:24" ht="15" customHeight="1" x14ac:dyDescent="0.25">
      <c r="A6162" t="str">
        <f>""</f>
        <v/>
      </c>
      <c r="B6162" s="1"/>
      <c r="H6162">
        <v>174.15</v>
      </c>
      <c r="J6162" t="s">
        <v>19</v>
      </c>
      <c r="L6162" s="1"/>
      <c r="N6162" s="1"/>
      <c r="V6162" t="str">
        <f>"67000"</f>
        <v>67000</v>
      </c>
      <c r="W6162">
        <v>50.5</v>
      </c>
      <c r="X6162">
        <v>0</v>
      </c>
    </row>
    <row r="6163" spans="1:24" ht="15" customHeight="1" x14ac:dyDescent="0.25">
      <c r="A6163" t="str">
        <f>""</f>
        <v/>
      </c>
      <c r="B6163" s="1"/>
      <c r="H6163">
        <v>117.8</v>
      </c>
      <c r="L6163" s="1"/>
      <c r="N6163" s="1"/>
      <c r="V6163" t="str">
        <f>"44240"</f>
        <v>44240</v>
      </c>
      <c r="W6163">
        <v>0</v>
      </c>
      <c r="X6163">
        <v>0</v>
      </c>
    </row>
    <row r="6164" spans="1:24" ht="15" customHeight="1" x14ac:dyDescent="0.25">
      <c r="A6164" t="str">
        <f>""</f>
        <v/>
      </c>
      <c r="B6164" s="1"/>
      <c r="H6164">
        <v>180</v>
      </c>
      <c r="J6164" t="s">
        <v>23</v>
      </c>
      <c r="L6164" s="1"/>
      <c r="N6164" s="1"/>
      <c r="V6164" t="str">
        <f>"59400"</f>
        <v>59400</v>
      </c>
      <c r="W6164">
        <v>0</v>
      </c>
      <c r="X6164">
        <v>0</v>
      </c>
    </row>
    <row r="6165" spans="1:24" ht="15" customHeight="1" x14ac:dyDescent="0.25">
      <c r="A6165" t="str">
        <f>""</f>
        <v/>
      </c>
      <c r="B6165" s="1"/>
      <c r="H6165">
        <v>13</v>
      </c>
      <c r="J6165" t="s">
        <v>20</v>
      </c>
      <c r="L6165" s="1"/>
      <c r="N6165" s="1"/>
      <c r="V6165" t="str">
        <f>"83190"</f>
        <v>83190</v>
      </c>
      <c r="W6165">
        <v>0</v>
      </c>
      <c r="X6165">
        <v>0</v>
      </c>
    </row>
    <row r="6166" spans="1:24" ht="15" customHeight="1" x14ac:dyDescent="0.25">
      <c r="A6166" t="str">
        <f>""</f>
        <v/>
      </c>
      <c r="B6166" s="1"/>
      <c r="H6166">
        <v>140</v>
      </c>
      <c r="J6166" t="s">
        <v>23</v>
      </c>
      <c r="L6166" s="1"/>
      <c r="N6166" s="1"/>
      <c r="V6166" t="str">
        <f>"69330"</f>
        <v>69330</v>
      </c>
      <c r="W6166">
        <v>0</v>
      </c>
      <c r="X6166">
        <v>0</v>
      </c>
    </row>
    <row r="6167" spans="1:24" ht="15" customHeight="1" x14ac:dyDescent="0.25">
      <c r="A6167" t="str">
        <f>""</f>
        <v/>
      </c>
      <c r="B6167" s="1"/>
      <c r="H6167">
        <v>19.649999999999999</v>
      </c>
      <c r="J6167" t="s">
        <v>19</v>
      </c>
      <c r="L6167" s="1"/>
      <c r="N6167" s="1"/>
      <c r="V6167" t="str">
        <f>"75014"</f>
        <v>75014</v>
      </c>
      <c r="W6167">
        <v>0</v>
      </c>
      <c r="X6167">
        <v>0</v>
      </c>
    </row>
    <row r="6168" spans="1:24" ht="15" customHeight="1" x14ac:dyDescent="0.25">
      <c r="A6168" t="str">
        <f>""</f>
        <v/>
      </c>
      <c r="B6168" s="1"/>
      <c r="H6168">
        <v>19.649999999999999</v>
      </c>
      <c r="J6168" t="s">
        <v>19</v>
      </c>
      <c r="L6168" s="1"/>
      <c r="N6168" s="1"/>
      <c r="V6168" t="str">
        <f>"75014"</f>
        <v>75014</v>
      </c>
      <c r="W6168">
        <v>0</v>
      </c>
      <c r="X6168">
        <v>0</v>
      </c>
    </row>
    <row r="6169" spans="1:24" ht="15" customHeight="1" x14ac:dyDescent="0.25">
      <c r="A6169" t="str">
        <f>""</f>
        <v/>
      </c>
      <c r="B6169" s="1"/>
      <c r="H6169">
        <v>19.649999999999999</v>
      </c>
      <c r="J6169" t="s">
        <v>19</v>
      </c>
      <c r="L6169" s="1"/>
      <c r="N6169" s="1"/>
      <c r="V6169" t="str">
        <f>"75014"</f>
        <v>75014</v>
      </c>
      <c r="W6169">
        <v>0</v>
      </c>
      <c r="X6169">
        <v>0</v>
      </c>
    </row>
    <row r="6170" spans="1:24" ht="15" customHeight="1" x14ac:dyDescent="0.25">
      <c r="A6170" t="str">
        <f>""</f>
        <v/>
      </c>
      <c r="B6170" s="1"/>
      <c r="H6170">
        <v>19.649999999999999</v>
      </c>
      <c r="J6170" t="s">
        <v>19</v>
      </c>
      <c r="L6170" s="1"/>
      <c r="N6170" s="1"/>
      <c r="V6170" t="str">
        <f>"75014"</f>
        <v>75014</v>
      </c>
      <c r="W6170">
        <v>0</v>
      </c>
      <c r="X6170">
        <v>0</v>
      </c>
    </row>
    <row r="6171" spans="1:24" ht="15" customHeight="1" x14ac:dyDescent="0.25">
      <c r="A6171" t="str">
        <f>""</f>
        <v/>
      </c>
      <c r="B6171" s="1"/>
      <c r="H6171">
        <v>19.649999999999999</v>
      </c>
      <c r="J6171" t="s">
        <v>19</v>
      </c>
      <c r="L6171" s="1"/>
      <c r="N6171" s="1"/>
      <c r="V6171" t="str">
        <f>"75014"</f>
        <v>75014</v>
      </c>
      <c r="W6171">
        <v>0</v>
      </c>
      <c r="X6171">
        <v>0</v>
      </c>
    </row>
    <row r="6172" spans="1:24" ht="15" customHeight="1" x14ac:dyDescent="0.25">
      <c r="A6172" t="str">
        <f>""</f>
        <v/>
      </c>
      <c r="B6172" s="1"/>
      <c r="H6172">
        <v>55.26</v>
      </c>
      <c r="J6172" t="s">
        <v>20</v>
      </c>
      <c r="L6172" s="1"/>
      <c r="N6172" s="1"/>
      <c r="V6172" t="str">
        <f>"62220"</f>
        <v>62220</v>
      </c>
      <c r="W6172">
        <v>10.5</v>
      </c>
      <c r="X6172">
        <v>0</v>
      </c>
    </row>
    <row r="6173" spans="1:24" ht="15" customHeight="1" x14ac:dyDescent="0.25">
      <c r="A6173" t="str">
        <f>""</f>
        <v/>
      </c>
      <c r="B6173" s="1"/>
      <c r="J6173" t="s">
        <v>20</v>
      </c>
      <c r="L6173" s="1"/>
      <c r="N6173" s="1"/>
      <c r="V6173" t="str">
        <f>"39700"</f>
        <v>39700</v>
      </c>
      <c r="W6173">
        <v>0</v>
      </c>
      <c r="X6173">
        <v>0</v>
      </c>
    </row>
    <row r="6174" spans="1:24" ht="15" customHeight="1" x14ac:dyDescent="0.25">
      <c r="A6174" t="str">
        <f>""</f>
        <v/>
      </c>
      <c r="B6174" s="1"/>
      <c r="H6174">
        <v>55.31</v>
      </c>
      <c r="J6174" t="s">
        <v>19</v>
      </c>
      <c r="L6174" s="1"/>
      <c r="N6174" s="1"/>
      <c r="V6174" t="str">
        <f>"62180"</f>
        <v>62180</v>
      </c>
      <c r="W6174">
        <v>10.51</v>
      </c>
      <c r="X6174">
        <v>0</v>
      </c>
    </row>
    <row r="6175" spans="1:24" ht="15" customHeight="1" x14ac:dyDescent="0.25">
      <c r="A6175" t="str">
        <f>""</f>
        <v/>
      </c>
      <c r="B6175" s="1"/>
      <c r="H6175">
        <v>148</v>
      </c>
      <c r="L6175" s="1"/>
      <c r="N6175" s="1"/>
      <c r="V6175" t="str">
        <f>"77184"</f>
        <v>77184</v>
      </c>
      <c r="W6175">
        <v>0</v>
      </c>
      <c r="X6175">
        <v>0</v>
      </c>
    </row>
    <row r="6176" spans="1:24" ht="15" customHeight="1" x14ac:dyDescent="0.25">
      <c r="A6176" t="str">
        <f>""</f>
        <v/>
      </c>
      <c r="B6176" s="1"/>
      <c r="H6176">
        <v>67.25</v>
      </c>
      <c r="J6176" t="s">
        <v>19</v>
      </c>
      <c r="L6176" s="1"/>
      <c r="N6176" s="1"/>
      <c r="V6176" t="str">
        <f>"02570"</f>
        <v>02570</v>
      </c>
      <c r="W6176">
        <v>12.78</v>
      </c>
      <c r="X6176">
        <v>0</v>
      </c>
    </row>
    <row r="6177" spans="1:24" ht="15" customHeight="1" x14ac:dyDescent="0.25">
      <c r="A6177" t="str">
        <f>""</f>
        <v/>
      </c>
      <c r="B6177" s="1"/>
      <c r="H6177">
        <v>194.79</v>
      </c>
      <c r="J6177" t="s">
        <v>20</v>
      </c>
      <c r="L6177" s="1"/>
      <c r="N6177" s="1"/>
      <c r="V6177" t="str">
        <f>"76590"</f>
        <v>76590</v>
      </c>
      <c r="W6177">
        <v>33.11</v>
      </c>
      <c r="X6177">
        <v>0</v>
      </c>
    </row>
    <row r="6178" spans="1:24" ht="15" customHeight="1" x14ac:dyDescent="0.25">
      <c r="A6178" t="str">
        <f>""</f>
        <v/>
      </c>
      <c r="B6178" s="1"/>
      <c r="H6178">
        <v>140</v>
      </c>
      <c r="J6178" t="s">
        <v>22</v>
      </c>
      <c r="L6178" s="1"/>
      <c r="N6178" s="1"/>
      <c r="V6178" t="str">
        <f>"54000"</f>
        <v>54000</v>
      </c>
      <c r="W6178">
        <v>0</v>
      </c>
      <c r="X6178">
        <v>35</v>
      </c>
    </row>
    <row r="6179" spans="1:24" ht="15" customHeight="1" x14ac:dyDescent="0.25">
      <c r="A6179" t="str">
        <f>""</f>
        <v/>
      </c>
      <c r="B6179" s="1"/>
      <c r="H6179">
        <v>28.26</v>
      </c>
      <c r="J6179" t="s">
        <v>19</v>
      </c>
      <c r="L6179" s="1"/>
      <c r="N6179" s="1"/>
      <c r="V6179" t="str">
        <f>"75009"</f>
        <v>75009</v>
      </c>
      <c r="W6179">
        <v>0</v>
      </c>
      <c r="X6179">
        <v>0</v>
      </c>
    </row>
    <row r="6180" spans="1:24" ht="15" customHeight="1" x14ac:dyDescent="0.25">
      <c r="A6180" t="str">
        <f>""</f>
        <v/>
      </c>
      <c r="B6180" s="1"/>
      <c r="H6180">
        <v>151</v>
      </c>
      <c r="J6180" t="s">
        <v>23</v>
      </c>
      <c r="L6180" s="1"/>
      <c r="N6180" s="1"/>
      <c r="V6180" t="str">
        <f>"25200"</f>
        <v>25200</v>
      </c>
      <c r="W6180">
        <v>0</v>
      </c>
      <c r="X6180">
        <v>0</v>
      </c>
    </row>
    <row r="6181" spans="1:24" ht="15" customHeight="1" x14ac:dyDescent="0.25">
      <c r="A6181" t="str">
        <f>""</f>
        <v/>
      </c>
      <c r="B6181" s="1"/>
      <c r="H6181">
        <v>300</v>
      </c>
      <c r="L6181" s="1"/>
      <c r="N6181" s="1"/>
      <c r="V6181" t="str">
        <f>"77184"</f>
        <v>77184</v>
      </c>
      <c r="W6181">
        <v>0</v>
      </c>
      <c r="X6181">
        <v>0</v>
      </c>
    </row>
    <row r="6182" spans="1:24" ht="15" customHeight="1" x14ac:dyDescent="0.25">
      <c r="A6182" t="str">
        <f>""</f>
        <v/>
      </c>
      <c r="B6182" s="1"/>
      <c r="H6182">
        <v>109.45</v>
      </c>
      <c r="J6182" t="s">
        <v>20</v>
      </c>
      <c r="L6182" s="1"/>
      <c r="N6182" s="1"/>
      <c r="V6182" t="str">
        <f>"35133"</f>
        <v>35133</v>
      </c>
      <c r="W6182">
        <v>29.55</v>
      </c>
      <c r="X6182">
        <v>0</v>
      </c>
    </row>
    <row r="6183" spans="1:24" ht="15" customHeight="1" x14ac:dyDescent="0.25">
      <c r="A6183" t="str">
        <f>""</f>
        <v/>
      </c>
      <c r="B6183" s="1"/>
      <c r="H6183">
        <v>156.4</v>
      </c>
      <c r="J6183" t="s">
        <v>23</v>
      </c>
      <c r="L6183" s="1"/>
      <c r="N6183" s="1"/>
      <c r="V6183" t="str">
        <f>"62600"</f>
        <v>62600</v>
      </c>
      <c r="W6183">
        <v>0</v>
      </c>
      <c r="X6183">
        <v>0</v>
      </c>
    </row>
    <row r="6184" spans="1:24" ht="15" customHeight="1" x14ac:dyDescent="0.25">
      <c r="A6184" t="str">
        <f>""</f>
        <v/>
      </c>
      <c r="B6184" s="1"/>
      <c r="H6184">
        <v>140</v>
      </c>
      <c r="J6184" t="s">
        <v>22</v>
      </c>
      <c r="L6184" s="1"/>
      <c r="N6184" s="1"/>
      <c r="V6184" t="str">
        <f>"68120"</f>
        <v>68120</v>
      </c>
      <c r="W6184">
        <v>0</v>
      </c>
      <c r="X6184">
        <v>11.2</v>
      </c>
    </row>
    <row r="6185" spans="1:24" ht="15" customHeight="1" x14ac:dyDescent="0.25">
      <c r="A6185" t="str">
        <f>""</f>
        <v/>
      </c>
      <c r="B6185" s="1"/>
      <c r="H6185">
        <v>180</v>
      </c>
      <c r="J6185" t="s">
        <v>22</v>
      </c>
      <c r="L6185" s="1"/>
      <c r="V6185" t="str">
        <f>"59890"</f>
        <v>59890</v>
      </c>
      <c r="W6185">
        <v>0</v>
      </c>
      <c r="X6185">
        <v>0</v>
      </c>
    </row>
    <row r="6186" spans="1:24" ht="15" customHeight="1" x14ac:dyDescent="0.25">
      <c r="A6186" t="str">
        <f>""</f>
        <v/>
      </c>
      <c r="B6186" s="1"/>
      <c r="H6186">
        <v>126.75</v>
      </c>
      <c r="J6186" t="s">
        <v>20</v>
      </c>
      <c r="L6186" s="1"/>
      <c r="N6186" s="1"/>
      <c r="V6186" t="str">
        <f>"28500"</f>
        <v>28500</v>
      </c>
      <c r="W6186">
        <v>26.62</v>
      </c>
      <c r="X6186">
        <v>0</v>
      </c>
    </row>
    <row r="6187" spans="1:24" ht="15" customHeight="1" x14ac:dyDescent="0.25">
      <c r="A6187" t="str">
        <f>""</f>
        <v/>
      </c>
      <c r="B6187" s="1"/>
      <c r="H6187">
        <v>100.8</v>
      </c>
      <c r="J6187" t="s">
        <v>20</v>
      </c>
      <c r="L6187" s="1"/>
      <c r="N6187" s="1"/>
      <c r="V6187" t="str">
        <f>"19100"</f>
        <v>19100</v>
      </c>
      <c r="W6187">
        <v>29.23</v>
      </c>
      <c r="X6187">
        <v>0</v>
      </c>
    </row>
    <row r="6188" spans="1:24" ht="15" customHeight="1" x14ac:dyDescent="0.25">
      <c r="A6188" t="str">
        <f>""</f>
        <v/>
      </c>
      <c r="B6188" s="1"/>
      <c r="H6188">
        <v>149.97999999999999</v>
      </c>
      <c r="J6188" t="s">
        <v>23</v>
      </c>
      <c r="L6188" s="1"/>
      <c r="N6188" s="1"/>
      <c r="V6188" t="str">
        <f>"59777"</f>
        <v>59777</v>
      </c>
      <c r="W6188">
        <v>0</v>
      </c>
      <c r="X6188">
        <v>0</v>
      </c>
    </row>
    <row r="6189" spans="1:24" ht="15" customHeight="1" x14ac:dyDescent="0.25">
      <c r="A6189" t="str">
        <f>""</f>
        <v/>
      </c>
      <c r="B6189" s="1"/>
      <c r="H6189">
        <v>19.8</v>
      </c>
      <c r="J6189" t="s">
        <v>19</v>
      </c>
      <c r="L6189" s="1"/>
      <c r="N6189" s="1"/>
      <c r="V6189" t="str">
        <f>"62380"</f>
        <v>62380</v>
      </c>
      <c r="W6189">
        <v>3.76</v>
      </c>
      <c r="X6189">
        <v>0</v>
      </c>
    </row>
    <row r="6190" spans="1:24" ht="15" customHeight="1" x14ac:dyDescent="0.25">
      <c r="A6190" t="str">
        <f>""</f>
        <v/>
      </c>
      <c r="B6190" s="1"/>
      <c r="H6190">
        <v>19.8</v>
      </c>
      <c r="J6190" t="s">
        <v>19</v>
      </c>
      <c r="L6190" s="1"/>
      <c r="N6190" s="1"/>
      <c r="V6190" t="str">
        <f>"62300"</f>
        <v>62300</v>
      </c>
      <c r="W6190">
        <v>3.76</v>
      </c>
      <c r="X6190">
        <v>0</v>
      </c>
    </row>
    <row r="6191" spans="1:24" ht="15" customHeight="1" x14ac:dyDescent="0.25">
      <c r="A6191" t="str">
        <f>""</f>
        <v/>
      </c>
      <c r="B6191" s="1"/>
      <c r="H6191">
        <v>120.65</v>
      </c>
      <c r="J6191" t="s">
        <v>20</v>
      </c>
      <c r="L6191" s="1"/>
      <c r="N6191" s="1"/>
      <c r="V6191" t="str">
        <f>"29620"</f>
        <v>29620</v>
      </c>
      <c r="W6191">
        <v>47.05</v>
      </c>
      <c r="X6191">
        <v>0</v>
      </c>
    </row>
    <row r="6192" spans="1:24" ht="15" customHeight="1" x14ac:dyDescent="0.25">
      <c r="A6192" t="str">
        <f>""</f>
        <v/>
      </c>
      <c r="B6192" s="1"/>
      <c r="H6192">
        <v>188.25</v>
      </c>
      <c r="J6192" t="s">
        <v>20</v>
      </c>
      <c r="L6192" s="1"/>
      <c r="N6192" s="1"/>
      <c r="V6192" t="str">
        <f>"83170"</f>
        <v>83170</v>
      </c>
      <c r="W6192">
        <v>56.48</v>
      </c>
      <c r="X6192">
        <v>0</v>
      </c>
    </row>
    <row r="6193" spans="1:24" ht="15" customHeight="1" x14ac:dyDescent="0.25">
      <c r="A6193" t="str">
        <f>""</f>
        <v/>
      </c>
      <c r="B6193" s="1"/>
      <c r="H6193">
        <v>217</v>
      </c>
      <c r="L6193" s="1"/>
      <c r="N6193" s="1"/>
      <c r="V6193" t="str">
        <f>"77184"</f>
        <v>77184</v>
      </c>
      <c r="W6193">
        <v>0</v>
      </c>
      <c r="X6193">
        <v>0</v>
      </c>
    </row>
    <row r="6194" spans="1:24" ht="15" customHeight="1" x14ac:dyDescent="0.25">
      <c r="A6194" t="str">
        <f>""</f>
        <v/>
      </c>
      <c r="B6194" s="1"/>
      <c r="H6194">
        <v>71.819999999999993</v>
      </c>
      <c r="J6194" t="s">
        <v>23</v>
      </c>
      <c r="L6194" s="1"/>
      <c r="N6194" s="1"/>
      <c r="V6194" t="str">
        <f>"74600"</f>
        <v>74600</v>
      </c>
      <c r="W6194">
        <v>0</v>
      </c>
      <c r="X6194">
        <v>0</v>
      </c>
    </row>
    <row r="6195" spans="1:24" ht="15" customHeight="1" x14ac:dyDescent="0.25">
      <c r="A6195" t="str">
        <f>""</f>
        <v/>
      </c>
      <c r="B6195" s="1"/>
      <c r="H6195">
        <v>87.25</v>
      </c>
      <c r="J6195" t="s">
        <v>22</v>
      </c>
      <c r="L6195" s="1"/>
      <c r="V6195" t="str">
        <f>"06000"</f>
        <v>06000</v>
      </c>
      <c r="W6195">
        <v>0</v>
      </c>
      <c r="X6195">
        <v>0</v>
      </c>
    </row>
    <row r="6196" spans="1:24" ht="15" customHeight="1" x14ac:dyDescent="0.25">
      <c r="A6196" t="str">
        <f>""</f>
        <v/>
      </c>
      <c r="B6196" s="1"/>
      <c r="H6196">
        <v>29.59</v>
      </c>
      <c r="J6196" t="s">
        <v>22</v>
      </c>
      <c r="L6196" s="1"/>
      <c r="N6196" s="1"/>
      <c r="V6196" t="str">
        <f>"69006"</f>
        <v>69006</v>
      </c>
      <c r="W6196">
        <v>0</v>
      </c>
      <c r="X6196">
        <v>0</v>
      </c>
    </row>
    <row r="6197" spans="1:24" ht="15" customHeight="1" x14ac:dyDescent="0.25">
      <c r="A6197" t="str">
        <f>""</f>
        <v/>
      </c>
      <c r="B6197" s="1"/>
      <c r="H6197">
        <v>70</v>
      </c>
      <c r="J6197" t="s">
        <v>22</v>
      </c>
      <c r="L6197" s="1"/>
      <c r="N6197" s="1"/>
      <c r="V6197" t="str">
        <f>"59287"</f>
        <v>59287</v>
      </c>
      <c r="W6197">
        <v>0</v>
      </c>
      <c r="X6197">
        <v>0</v>
      </c>
    </row>
    <row r="6198" spans="1:24" ht="15" customHeight="1" x14ac:dyDescent="0.25">
      <c r="A6198" t="str">
        <f>""</f>
        <v/>
      </c>
      <c r="B6198" s="1"/>
      <c r="H6198">
        <v>137.59</v>
      </c>
      <c r="J6198" t="s">
        <v>19</v>
      </c>
      <c r="L6198" s="1"/>
      <c r="N6198" s="1"/>
      <c r="V6198" t="str">
        <f>"75014"</f>
        <v>75014</v>
      </c>
      <c r="W6198">
        <v>0</v>
      </c>
      <c r="X6198">
        <v>0</v>
      </c>
    </row>
    <row r="6199" spans="1:24" ht="15" customHeight="1" x14ac:dyDescent="0.25">
      <c r="A6199" t="str">
        <f>""</f>
        <v/>
      </c>
      <c r="B6199" s="1"/>
      <c r="H6199">
        <v>30</v>
      </c>
      <c r="J6199" t="s">
        <v>19</v>
      </c>
      <c r="L6199" s="1"/>
      <c r="N6199" s="1"/>
      <c r="V6199" t="str">
        <f>"92200"</f>
        <v>92200</v>
      </c>
      <c r="W6199">
        <v>0</v>
      </c>
      <c r="X6199">
        <v>0</v>
      </c>
    </row>
    <row r="6200" spans="1:24" ht="15" customHeight="1" x14ac:dyDescent="0.25">
      <c r="A6200" t="str">
        <f>""</f>
        <v/>
      </c>
      <c r="B6200" s="1"/>
      <c r="H6200">
        <v>1251.95</v>
      </c>
      <c r="J6200" t="s">
        <v>20</v>
      </c>
      <c r="L6200" s="1"/>
      <c r="V6200" t="str">
        <f>"78220"</f>
        <v>78220</v>
      </c>
      <c r="W6200">
        <v>0</v>
      </c>
      <c r="X6200">
        <v>0</v>
      </c>
    </row>
    <row r="6201" spans="1:24" ht="15" customHeight="1" x14ac:dyDescent="0.25">
      <c r="A6201" t="str">
        <f>""</f>
        <v/>
      </c>
      <c r="B6201" s="1"/>
      <c r="H6201">
        <v>187.92</v>
      </c>
      <c r="J6201" t="s">
        <v>23</v>
      </c>
      <c r="L6201" s="1"/>
      <c r="N6201" s="1"/>
      <c r="V6201" t="str">
        <f>"74940"</f>
        <v>74940</v>
      </c>
      <c r="W6201">
        <v>0</v>
      </c>
      <c r="X6201">
        <v>0</v>
      </c>
    </row>
    <row r="6202" spans="1:24" ht="15" customHeight="1" x14ac:dyDescent="0.25">
      <c r="A6202" t="str">
        <f>""</f>
        <v/>
      </c>
      <c r="B6202" s="1"/>
      <c r="H6202">
        <v>151</v>
      </c>
      <c r="J6202" t="s">
        <v>23</v>
      </c>
      <c r="L6202" s="1"/>
      <c r="N6202" s="1"/>
      <c r="V6202" t="str">
        <f>"91000"</f>
        <v>91000</v>
      </c>
      <c r="W6202">
        <v>0</v>
      </c>
      <c r="X6202">
        <v>0</v>
      </c>
    </row>
    <row r="6203" spans="1:24" ht="15" customHeight="1" x14ac:dyDescent="0.25">
      <c r="A6203" t="str">
        <f>""</f>
        <v/>
      </c>
      <c r="B6203" s="1"/>
      <c r="H6203">
        <v>40</v>
      </c>
      <c r="J6203" t="s">
        <v>22</v>
      </c>
      <c r="L6203" s="1"/>
      <c r="N6203" s="1"/>
      <c r="V6203" t="str">
        <f>"67000"</f>
        <v>67000</v>
      </c>
      <c r="W6203">
        <v>0</v>
      </c>
      <c r="X6203">
        <v>3.2</v>
      </c>
    </row>
    <row r="6204" spans="1:24" ht="15" customHeight="1" x14ac:dyDescent="0.25">
      <c r="A6204" t="str">
        <f>""</f>
        <v/>
      </c>
      <c r="B6204" s="1"/>
      <c r="H6204">
        <v>180</v>
      </c>
      <c r="J6204" t="s">
        <v>22</v>
      </c>
      <c r="L6204" s="1"/>
      <c r="N6204" s="1"/>
      <c r="V6204" t="str">
        <f>"06400"</f>
        <v>06400</v>
      </c>
      <c r="W6204">
        <v>0</v>
      </c>
      <c r="X6204">
        <v>0</v>
      </c>
    </row>
    <row r="6205" spans="1:24" ht="15" customHeight="1" x14ac:dyDescent="0.25">
      <c r="A6205" t="str">
        <f>""</f>
        <v/>
      </c>
      <c r="B6205" s="1"/>
      <c r="H6205">
        <v>70</v>
      </c>
      <c r="J6205" t="s">
        <v>22</v>
      </c>
      <c r="L6205" s="1"/>
      <c r="V6205" t="str">
        <f>"21800"</f>
        <v>21800</v>
      </c>
      <c r="W6205">
        <v>0</v>
      </c>
      <c r="X6205">
        <v>0</v>
      </c>
    </row>
    <row r="6206" spans="1:24" ht="15" customHeight="1" x14ac:dyDescent="0.25">
      <c r="A6206" t="str">
        <f>""</f>
        <v/>
      </c>
      <c r="B6206" s="1"/>
      <c r="H6206">
        <v>94.79</v>
      </c>
      <c r="J6206" t="s">
        <v>22</v>
      </c>
      <c r="L6206" s="1"/>
      <c r="V6206" t="str">
        <f>"13127"</f>
        <v>13127</v>
      </c>
      <c r="W6206">
        <v>0</v>
      </c>
      <c r="X6206">
        <v>0</v>
      </c>
    </row>
    <row r="6207" spans="1:24" ht="15" customHeight="1" x14ac:dyDescent="0.25">
      <c r="A6207" t="str">
        <f>""</f>
        <v/>
      </c>
      <c r="B6207" s="1"/>
      <c r="H6207">
        <v>180</v>
      </c>
      <c r="J6207" t="s">
        <v>23</v>
      </c>
      <c r="L6207" s="1"/>
      <c r="V6207" t="str">
        <f>"13115"</f>
        <v>13115</v>
      </c>
      <c r="W6207">
        <v>0</v>
      </c>
      <c r="X6207">
        <v>0</v>
      </c>
    </row>
    <row r="6208" spans="1:24" ht="15" customHeight="1" x14ac:dyDescent="0.25">
      <c r="A6208" t="str">
        <f>""</f>
        <v/>
      </c>
      <c r="B6208" s="1"/>
      <c r="H6208">
        <v>40</v>
      </c>
      <c r="J6208" t="s">
        <v>23</v>
      </c>
      <c r="L6208" s="1"/>
      <c r="V6208" t="str">
        <f>"13300"</f>
        <v>13300</v>
      </c>
      <c r="W6208">
        <v>0</v>
      </c>
      <c r="X6208">
        <v>0</v>
      </c>
    </row>
    <row r="6209" spans="1:24" ht="15" customHeight="1" x14ac:dyDescent="0.25">
      <c r="A6209" t="str">
        <f>""</f>
        <v/>
      </c>
      <c r="B6209" s="1"/>
      <c r="H6209">
        <v>140</v>
      </c>
      <c r="J6209" t="s">
        <v>23</v>
      </c>
      <c r="L6209" s="1"/>
      <c r="N6209" s="1"/>
      <c r="V6209" t="str">
        <f>"30100"</f>
        <v>30100</v>
      </c>
      <c r="W6209">
        <v>0</v>
      </c>
      <c r="X6209">
        <v>0</v>
      </c>
    </row>
    <row r="6210" spans="1:24" ht="15" customHeight="1" x14ac:dyDescent="0.25">
      <c r="A6210" t="str">
        <f>""</f>
        <v/>
      </c>
      <c r="B6210" s="1"/>
      <c r="H6210">
        <v>40</v>
      </c>
      <c r="J6210" t="s">
        <v>23</v>
      </c>
      <c r="L6210" s="1"/>
      <c r="V6210" t="str">
        <f>"66000"</f>
        <v>66000</v>
      </c>
      <c r="W6210">
        <v>0</v>
      </c>
      <c r="X6210">
        <v>0</v>
      </c>
    </row>
    <row r="6211" spans="1:24" x14ac:dyDescent="0.25">
      <c r="A6211" t="str">
        <f>""</f>
        <v/>
      </c>
      <c r="B6211" s="1"/>
      <c r="H6211">
        <v>52.5</v>
      </c>
      <c r="J6211" t="s">
        <v>15</v>
      </c>
      <c r="L6211" s="1"/>
      <c r="N6211" s="1"/>
      <c r="V6211" t="str">
        <f>"69700"</f>
        <v>69700</v>
      </c>
      <c r="W6211">
        <v>0</v>
      </c>
      <c r="X6211">
        <v>0</v>
      </c>
    </row>
    <row r="6212" spans="1:24" x14ac:dyDescent="0.25">
      <c r="A6212" t="str">
        <f>""</f>
        <v/>
      </c>
      <c r="B6212" s="1"/>
      <c r="H6212">
        <v>52.5</v>
      </c>
      <c r="J6212" t="s">
        <v>15</v>
      </c>
      <c r="L6212" s="1"/>
      <c r="N6212" s="1"/>
      <c r="V6212" t="str">
        <f>"38100"</f>
        <v>38100</v>
      </c>
      <c r="W6212">
        <v>0</v>
      </c>
      <c r="X6212">
        <v>0</v>
      </c>
    </row>
    <row r="6213" spans="1:24" x14ac:dyDescent="0.25">
      <c r="A6213" t="str">
        <f>""</f>
        <v/>
      </c>
      <c r="B6213" s="1"/>
      <c r="H6213">
        <v>52.5</v>
      </c>
      <c r="J6213" t="s">
        <v>15</v>
      </c>
      <c r="L6213" s="1"/>
      <c r="N6213" s="1"/>
      <c r="V6213" t="str">
        <f>"69003"</f>
        <v>69003</v>
      </c>
      <c r="W6213">
        <v>0</v>
      </c>
      <c r="X6213">
        <v>0</v>
      </c>
    </row>
    <row r="6214" spans="1:24" x14ac:dyDescent="0.25">
      <c r="A6214" t="str">
        <f>""</f>
        <v/>
      </c>
      <c r="B6214" s="1"/>
      <c r="H6214">
        <v>52.5</v>
      </c>
      <c r="J6214" t="s">
        <v>15</v>
      </c>
      <c r="L6214" s="1"/>
      <c r="N6214" s="1"/>
      <c r="V6214" t="str">
        <f>"44100"</f>
        <v>44100</v>
      </c>
      <c r="W6214">
        <v>0</v>
      </c>
      <c r="X6214">
        <v>0</v>
      </c>
    </row>
    <row r="6215" spans="1:24" x14ac:dyDescent="0.25">
      <c r="A6215" t="str">
        <f>""</f>
        <v/>
      </c>
      <c r="B6215" s="1"/>
      <c r="H6215">
        <v>52.5</v>
      </c>
      <c r="J6215" t="s">
        <v>15</v>
      </c>
      <c r="L6215" s="1"/>
      <c r="N6215" s="1"/>
      <c r="V6215" t="str">
        <f>"69120"</f>
        <v>69120</v>
      </c>
      <c r="W6215">
        <v>0</v>
      </c>
      <c r="X6215">
        <v>0</v>
      </c>
    </row>
    <row r="6216" spans="1:24" ht="15" customHeight="1" x14ac:dyDescent="0.25">
      <c r="A6216" t="str">
        <f>""</f>
        <v/>
      </c>
      <c r="B6216" s="1"/>
      <c r="H6216">
        <v>30.11</v>
      </c>
      <c r="J6216" t="s">
        <v>22</v>
      </c>
      <c r="L6216" s="1"/>
      <c r="V6216" t="str">
        <f>"77140"</f>
        <v>77140</v>
      </c>
      <c r="W6216">
        <v>0</v>
      </c>
      <c r="X6216">
        <v>0</v>
      </c>
    </row>
    <row r="6217" spans="1:24" ht="15" customHeight="1" x14ac:dyDescent="0.25">
      <c r="A6217" t="str">
        <f>""</f>
        <v/>
      </c>
      <c r="B6217" s="1"/>
      <c r="H6217">
        <v>18.8</v>
      </c>
      <c r="J6217" t="s">
        <v>22</v>
      </c>
      <c r="L6217" s="1"/>
      <c r="N6217" s="1"/>
      <c r="V6217" t="str">
        <f>"45400"</f>
        <v>45400</v>
      </c>
      <c r="W6217">
        <v>0</v>
      </c>
      <c r="X6217">
        <v>5.08</v>
      </c>
    </row>
    <row r="6218" spans="1:24" x14ac:dyDescent="0.25">
      <c r="A6218" t="str">
        <f>""</f>
        <v/>
      </c>
      <c r="B6218" s="1"/>
      <c r="H6218">
        <v>184.06</v>
      </c>
      <c r="J6218" t="s">
        <v>18</v>
      </c>
      <c r="L6218" s="1"/>
      <c r="N6218" s="1"/>
      <c r="V6218" t="str">
        <f>"44000"</f>
        <v>44000</v>
      </c>
      <c r="W6218">
        <v>0</v>
      </c>
      <c r="X6218">
        <v>0</v>
      </c>
    </row>
    <row r="6219" spans="1:24" ht="15" customHeight="1" x14ac:dyDescent="0.25">
      <c r="A6219" t="str">
        <f>""</f>
        <v/>
      </c>
      <c r="B6219" s="1"/>
      <c r="H6219">
        <v>40</v>
      </c>
      <c r="J6219" t="s">
        <v>22</v>
      </c>
      <c r="L6219" s="1"/>
      <c r="N6219" s="1"/>
      <c r="V6219" t="str">
        <f>"67000"</f>
        <v>67000</v>
      </c>
      <c r="W6219">
        <v>0</v>
      </c>
      <c r="X6219">
        <v>3.2</v>
      </c>
    </row>
    <row r="6220" spans="1:24" ht="15" customHeight="1" x14ac:dyDescent="0.25">
      <c r="A6220" t="str">
        <f>""</f>
        <v/>
      </c>
      <c r="B6220" s="1"/>
      <c r="H6220">
        <v>37.93</v>
      </c>
      <c r="J6220" t="s">
        <v>22</v>
      </c>
      <c r="L6220" s="1"/>
      <c r="N6220" s="1"/>
      <c r="V6220" t="str">
        <f>"69280"</f>
        <v>69280</v>
      </c>
      <c r="W6220">
        <v>0</v>
      </c>
      <c r="X6220">
        <v>0</v>
      </c>
    </row>
    <row r="6221" spans="1:24" x14ac:dyDescent="0.25">
      <c r="A6221" t="str">
        <f>""</f>
        <v/>
      </c>
      <c r="B6221" s="1"/>
      <c r="H6221">
        <v>193.63</v>
      </c>
      <c r="J6221" t="s">
        <v>15</v>
      </c>
      <c r="L6221" s="1"/>
      <c r="N6221" s="1"/>
      <c r="V6221" t="str">
        <f>"06200"</f>
        <v>06200</v>
      </c>
      <c r="W6221">
        <v>0</v>
      </c>
      <c r="X6221">
        <v>0</v>
      </c>
    </row>
    <row r="6222" spans="1:24" ht="15" customHeight="1" x14ac:dyDescent="0.25">
      <c r="A6222" t="str">
        <f>""</f>
        <v/>
      </c>
      <c r="B6222" s="1"/>
      <c r="H6222">
        <v>250</v>
      </c>
      <c r="J6222" t="s">
        <v>23</v>
      </c>
      <c r="L6222" s="1"/>
      <c r="N6222" s="1"/>
      <c r="V6222" t="str">
        <f>"50100"</f>
        <v>50100</v>
      </c>
      <c r="W6222">
        <v>0</v>
      </c>
      <c r="X6222">
        <v>42.5</v>
      </c>
    </row>
    <row r="6223" spans="1:24" ht="15" customHeight="1" x14ac:dyDescent="0.25">
      <c r="A6223" t="str">
        <f>""</f>
        <v/>
      </c>
      <c r="B6223" s="1"/>
      <c r="H6223">
        <v>151</v>
      </c>
      <c r="J6223" t="s">
        <v>22</v>
      </c>
      <c r="L6223" s="1"/>
      <c r="N6223" s="1"/>
      <c r="V6223" t="str">
        <f>"75013"</f>
        <v>75013</v>
      </c>
      <c r="W6223">
        <v>0</v>
      </c>
      <c r="X6223">
        <v>0</v>
      </c>
    </row>
    <row r="6224" spans="1:24" ht="15" customHeight="1" x14ac:dyDescent="0.25">
      <c r="A6224" t="str">
        <f>""</f>
        <v/>
      </c>
      <c r="B6224" s="1"/>
      <c r="H6224">
        <v>88.38</v>
      </c>
      <c r="L6224" s="1"/>
      <c r="N6224" s="1"/>
      <c r="V6224" t="str">
        <f>"77184"</f>
        <v>77184</v>
      </c>
      <c r="W6224">
        <v>0</v>
      </c>
      <c r="X6224">
        <v>0</v>
      </c>
    </row>
    <row r="6225" spans="1:24" x14ac:dyDescent="0.25">
      <c r="A6225" t="str">
        <f>""</f>
        <v/>
      </c>
      <c r="B6225" s="1"/>
      <c r="H6225">
        <v>151</v>
      </c>
      <c r="J6225" t="s">
        <v>15</v>
      </c>
      <c r="L6225" s="1"/>
      <c r="N6225" s="1"/>
      <c r="V6225" t="str">
        <f>"69800"</f>
        <v>69800</v>
      </c>
      <c r="W6225">
        <v>0</v>
      </c>
      <c r="X6225">
        <v>0</v>
      </c>
    </row>
    <row r="6226" spans="1:24" ht="15" customHeight="1" x14ac:dyDescent="0.25">
      <c r="A6226" t="str">
        <f>""</f>
        <v/>
      </c>
      <c r="B6226" s="1"/>
      <c r="H6226">
        <v>170.88</v>
      </c>
      <c r="J6226" t="s">
        <v>20</v>
      </c>
      <c r="L6226" s="1"/>
      <c r="N6226" s="1"/>
      <c r="V6226" t="str">
        <f>"42100"</f>
        <v>42100</v>
      </c>
      <c r="W6226">
        <v>46.14</v>
      </c>
      <c r="X6226">
        <v>0</v>
      </c>
    </row>
    <row r="6227" spans="1:24" ht="15" customHeight="1" x14ac:dyDescent="0.25">
      <c r="A6227" t="str">
        <f>""</f>
        <v/>
      </c>
      <c r="B6227" s="1"/>
      <c r="H6227">
        <v>175.82</v>
      </c>
      <c r="J6227" t="s">
        <v>21</v>
      </c>
      <c r="L6227" s="1"/>
      <c r="V6227" t="str">
        <f>"77184"</f>
        <v>77184</v>
      </c>
      <c r="W6227">
        <v>0</v>
      </c>
      <c r="X6227">
        <v>0</v>
      </c>
    </row>
    <row r="6228" spans="1:24" ht="15" customHeight="1" x14ac:dyDescent="0.25">
      <c r="A6228" t="str">
        <f>""</f>
        <v/>
      </c>
      <c r="B6228" s="1"/>
      <c r="H6228">
        <v>102.88</v>
      </c>
      <c r="J6228" t="s">
        <v>20</v>
      </c>
      <c r="L6228" s="1"/>
      <c r="N6228" s="1"/>
      <c r="V6228" t="str">
        <f>"80400"</f>
        <v>80400</v>
      </c>
      <c r="W6228">
        <v>19.55</v>
      </c>
      <c r="X6228">
        <v>0</v>
      </c>
    </row>
    <row r="6229" spans="1:24" ht="15" customHeight="1" x14ac:dyDescent="0.25">
      <c r="A6229" t="str">
        <f>""</f>
        <v/>
      </c>
      <c r="B6229" s="1"/>
      <c r="H6229">
        <v>11</v>
      </c>
      <c r="L6229" s="1"/>
      <c r="N6229" s="1"/>
      <c r="V6229" t="str">
        <f>"77184"</f>
        <v>77184</v>
      </c>
      <c r="W6229">
        <v>0</v>
      </c>
      <c r="X6229">
        <v>0</v>
      </c>
    </row>
    <row r="6230" spans="1:24" x14ac:dyDescent="0.25">
      <c r="A6230" t="str">
        <f>""</f>
        <v/>
      </c>
      <c r="B6230" s="1"/>
      <c r="H6230">
        <v>40</v>
      </c>
      <c r="J6230" t="s">
        <v>16</v>
      </c>
      <c r="L6230" s="1"/>
      <c r="N6230" s="1"/>
      <c r="V6230" t="str">
        <f>"77184"</f>
        <v>77184</v>
      </c>
      <c r="W6230">
        <v>0</v>
      </c>
      <c r="X6230">
        <v>0</v>
      </c>
    </row>
    <row r="6231" spans="1:24" ht="15" customHeight="1" x14ac:dyDescent="0.25">
      <c r="A6231" t="str">
        <f>""</f>
        <v/>
      </c>
      <c r="B6231" s="1"/>
      <c r="H6231">
        <v>70.36</v>
      </c>
      <c r="L6231" s="1"/>
      <c r="N6231" s="1"/>
      <c r="V6231" t="str">
        <f>"77184"</f>
        <v>77184</v>
      </c>
      <c r="W6231">
        <v>0</v>
      </c>
      <c r="X6231">
        <v>0</v>
      </c>
    </row>
    <row r="6232" spans="1:24" x14ac:dyDescent="0.25">
      <c r="A6232" t="str">
        <f>""</f>
        <v/>
      </c>
      <c r="B6232" s="1"/>
      <c r="H6232">
        <v>184.06</v>
      </c>
      <c r="J6232" t="s">
        <v>16</v>
      </c>
      <c r="L6232" s="1"/>
      <c r="N6232" s="1"/>
      <c r="V6232" t="str">
        <f>"80000"</f>
        <v>80000</v>
      </c>
      <c r="W6232">
        <v>0</v>
      </c>
      <c r="X6232">
        <v>0</v>
      </c>
    </row>
    <row r="6233" spans="1:24" ht="15" customHeight="1" x14ac:dyDescent="0.25">
      <c r="A6233" t="str">
        <f>""</f>
        <v/>
      </c>
      <c r="B6233" s="1"/>
      <c r="H6233">
        <v>184.19</v>
      </c>
      <c r="J6233" t="s">
        <v>19</v>
      </c>
      <c r="L6233" s="1"/>
      <c r="N6233" s="1"/>
      <c r="V6233" t="str">
        <f>"75009"</f>
        <v>75009</v>
      </c>
      <c r="W6233">
        <v>0</v>
      </c>
      <c r="X6233">
        <v>0</v>
      </c>
    </row>
    <row r="6234" spans="1:24" ht="15" customHeight="1" x14ac:dyDescent="0.25">
      <c r="A6234" t="str">
        <f>""</f>
        <v/>
      </c>
      <c r="B6234" s="1"/>
      <c r="H6234">
        <v>140</v>
      </c>
      <c r="J6234" t="s">
        <v>23</v>
      </c>
      <c r="L6234" s="1"/>
      <c r="N6234" s="1"/>
      <c r="V6234" t="str">
        <f>"13007"</f>
        <v>13007</v>
      </c>
      <c r="W6234">
        <v>0</v>
      </c>
      <c r="X6234">
        <v>26.6</v>
      </c>
    </row>
    <row r="6235" spans="1:24" x14ac:dyDescent="0.25">
      <c r="A6235" t="str">
        <f>""</f>
        <v/>
      </c>
      <c r="B6235" s="1"/>
      <c r="H6235">
        <v>180</v>
      </c>
      <c r="J6235" t="s">
        <v>18</v>
      </c>
      <c r="L6235" s="1"/>
      <c r="N6235" s="1"/>
      <c r="V6235" t="str">
        <f>"92110"</f>
        <v>92110</v>
      </c>
      <c r="W6235">
        <v>0</v>
      </c>
      <c r="X6235">
        <v>0</v>
      </c>
    </row>
    <row r="6236" spans="1:24" ht="15" customHeight="1" x14ac:dyDescent="0.25">
      <c r="A6236" t="str">
        <f>""</f>
        <v/>
      </c>
      <c r="B6236" s="1"/>
      <c r="H6236">
        <v>19.649999999999999</v>
      </c>
      <c r="J6236" t="s">
        <v>19</v>
      </c>
      <c r="L6236" s="1"/>
      <c r="N6236" s="1"/>
      <c r="V6236" t="str">
        <f>"75014"</f>
        <v>75014</v>
      </c>
      <c r="W6236">
        <v>0</v>
      </c>
      <c r="X6236">
        <v>0</v>
      </c>
    </row>
    <row r="6237" spans="1:24" ht="15" customHeight="1" x14ac:dyDescent="0.25">
      <c r="A6237" t="str">
        <f>""</f>
        <v/>
      </c>
      <c r="B6237" s="1"/>
      <c r="H6237">
        <v>5.5</v>
      </c>
      <c r="J6237" t="s">
        <v>19</v>
      </c>
      <c r="L6237" s="1"/>
      <c r="N6237" s="1"/>
      <c r="V6237" t="str">
        <f>"76390"</f>
        <v>76390</v>
      </c>
      <c r="W6237">
        <v>0.94</v>
      </c>
      <c r="X6237">
        <v>0</v>
      </c>
    </row>
    <row r="6238" spans="1:24" ht="15" customHeight="1" x14ac:dyDescent="0.25">
      <c r="A6238" t="str">
        <f>""</f>
        <v/>
      </c>
      <c r="B6238" s="1"/>
      <c r="H6238">
        <v>20</v>
      </c>
      <c r="J6238" t="s">
        <v>23</v>
      </c>
      <c r="L6238" s="1"/>
      <c r="N6238" s="1"/>
      <c r="V6238" t="str">
        <f>"69124"</f>
        <v>69124</v>
      </c>
      <c r="W6238">
        <v>0</v>
      </c>
      <c r="X6238">
        <v>0</v>
      </c>
    </row>
    <row r="6239" spans="1:24" x14ac:dyDescent="0.25">
      <c r="A6239" t="str">
        <f>""</f>
        <v/>
      </c>
      <c r="B6239" s="1"/>
      <c r="H6239">
        <v>134.93</v>
      </c>
      <c r="J6239" t="s">
        <v>16</v>
      </c>
      <c r="L6239" s="1"/>
      <c r="N6239" s="1"/>
      <c r="V6239" t="str">
        <f>"35680"</f>
        <v>35680</v>
      </c>
      <c r="W6239">
        <v>0</v>
      </c>
      <c r="X6239">
        <v>0</v>
      </c>
    </row>
    <row r="6240" spans="1:24" ht="15" customHeight="1" x14ac:dyDescent="0.25">
      <c r="A6240" t="str">
        <f>""</f>
        <v/>
      </c>
      <c r="B6240" s="1"/>
      <c r="H6240">
        <v>151</v>
      </c>
      <c r="J6240" t="s">
        <v>22</v>
      </c>
      <c r="L6240" s="1"/>
      <c r="N6240" s="1"/>
      <c r="V6240" t="str">
        <f>"25042"</f>
        <v>25042</v>
      </c>
      <c r="W6240">
        <v>0</v>
      </c>
      <c r="X6240">
        <v>0</v>
      </c>
    </row>
    <row r="6241" spans="1:24" ht="15" customHeight="1" x14ac:dyDescent="0.25">
      <c r="A6241" t="str">
        <f>""</f>
        <v/>
      </c>
      <c r="B6241" s="1"/>
      <c r="H6241">
        <v>120.85</v>
      </c>
      <c r="J6241" t="s">
        <v>20</v>
      </c>
      <c r="L6241" s="1"/>
      <c r="N6241" s="1"/>
      <c r="V6241" t="str">
        <f>"57370"</f>
        <v>57370</v>
      </c>
      <c r="W6241">
        <v>30.21</v>
      </c>
      <c r="X6241">
        <v>0</v>
      </c>
    </row>
    <row r="6242" spans="1:24" ht="15" customHeight="1" x14ac:dyDescent="0.25">
      <c r="A6242" t="str">
        <f>""</f>
        <v/>
      </c>
      <c r="B6242" s="1"/>
      <c r="H6242">
        <v>38</v>
      </c>
      <c r="J6242" t="s">
        <v>20</v>
      </c>
      <c r="L6242" s="1"/>
      <c r="N6242" s="1"/>
      <c r="V6242" t="str">
        <f>"45000"</f>
        <v>45000</v>
      </c>
      <c r="W6242">
        <v>7.98</v>
      </c>
      <c r="X6242">
        <v>0</v>
      </c>
    </row>
    <row r="6243" spans="1:24" ht="15" customHeight="1" x14ac:dyDescent="0.25">
      <c r="A6243" t="str">
        <f>""</f>
        <v/>
      </c>
      <c r="B6243" s="1"/>
      <c r="H6243">
        <v>157</v>
      </c>
      <c r="L6243" s="1"/>
      <c r="N6243" s="1"/>
      <c r="V6243" t="str">
        <f>"77184"</f>
        <v>77184</v>
      </c>
      <c r="W6243">
        <v>0</v>
      </c>
      <c r="X6243">
        <v>0</v>
      </c>
    </row>
    <row r="6244" spans="1:24" ht="15" customHeight="1" x14ac:dyDescent="0.25">
      <c r="A6244" t="str">
        <f>""</f>
        <v/>
      </c>
      <c r="B6244" s="1"/>
      <c r="H6244">
        <v>177</v>
      </c>
      <c r="L6244" s="1"/>
      <c r="N6244" s="1"/>
      <c r="V6244" t="str">
        <f>"77184"</f>
        <v>77184</v>
      </c>
      <c r="W6244">
        <v>0</v>
      </c>
      <c r="X6244">
        <v>0</v>
      </c>
    </row>
    <row r="6245" spans="1:24" ht="15" customHeight="1" x14ac:dyDescent="0.25">
      <c r="A6245" t="str">
        <f>""</f>
        <v/>
      </c>
      <c r="B6245" s="1"/>
      <c r="J6245" t="s">
        <v>20</v>
      </c>
      <c r="L6245" s="1"/>
      <c r="N6245" s="1"/>
      <c r="V6245" t="str">
        <f>"94150"</f>
        <v>94150</v>
      </c>
      <c r="W6245">
        <v>0</v>
      </c>
      <c r="X6245">
        <v>0</v>
      </c>
    </row>
    <row r="6246" spans="1:24" ht="15" customHeight="1" x14ac:dyDescent="0.25">
      <c r="A6246" t="str">
        <f>""</f>
        <v/>
      </c>
      <c r="B6246" s="1"/>
      <c r="H6246">
        <v>28.26</v>
      </c>
      <c r="J6246" t="s">
        <v>19</v>
      </c>
      <c r="L6246" s="1"/>
      <c r="N6246" s="1"/>
      <c r="V6246" t="str">
        <f>"75009"</f>
        <v>75009</v>
      </c>
      <c r="W6246">
        <v>0</v>
      </c>
      <c r="X6246">
        <v>0</v>
      </c>
    </row>
    <row r="6247" spans="1:24" ht="15" customHeight="1" x14ac:dyDescent="0.25">
      <c r="A6247" t="str">
        <f>""</f>
        <v/>
      </c>
      <c r="B6247" s="1"/>
      <c r="H6247">
        <v>40</v>
      </c>
      <c r="J6247" t="s">
        <v>23</v>
      </c>
      <c r="L6247" s="1"/>
      <c r="N6247" s="1"/>
      <c r="V6247" t="str">
        <f>"05190"</f>
        <v>05190</v>
      </c>
      <c r="W6247">
        <v>0</v>
      </c>
      <c r="X6247">
        <v>0</v>
      </c>
    </row>
    <row r="6248" spans="1:24" x14ac:dyDescent="0.25">
      <c r="A6248" t="str">
        <f>""</f>
        <v/>
      </c>
      <c r="B6248" s="1"/>
      <c r="H6248">
        <v>122.09</v>
      </c>
      <c r="J6248" t="s">
        <v>18</v>
      </c>
      <c r="L6248" s="1"/>
      <c r="N6248" s="1"/>
      <c r="V6248" t="str">
        <f>"38170"</f>
        <v>38170</v>
      </c>
      <c r="W6248">
        <v>0</v>
      </c>
      <c r="X6248">
        <v>0</v>
      </c>
    </row>
    <row r="6249" spans="1:24" x14ac:dyDescent="0.25">
      <c r="A6249" t="str">
        <f>""</f>
        <v/>
      </c>
      <c r="B6249" s="1"/>
      <c r="H6249">
        <v>40</v>
      </c>
      <c r="J6249" t="s">
        <v>16</v>
      </c>
      <c r="L6249" s="1"/>
      <c r="N6249" s="1"/>
      <c r="V6249" t="str">
        <f>"34430"</f>
        <v>34430</v>
      </c>
      <c r="W6249">
        <v>15.6</v>
      </c>
      <c r="X6249">
        <v>0</v>
      </c>
    </row>
    <row r="6250" spans="1:24" x14ac:dyDescent="0.25">
      <c r="A6250" t="str">
        <f>""</f>
        <v/>
      </c>
      <c r="B6250" s="1"/>
      <c r="H6250">
        <v>140</v>
      </c>
      <c r="J6250" t="s">
        <v>16</v>
      </c>
      <c r="L6250" s="1"/>
      <c r="N6250" s="1"/>
      <c r="V6250" t="str">
        <f>"76000"</f>
        <v>76000</v>
      </c>
      <c r="W6250">
        <v>0</v>
      </c>
      <c r="X6250">
        <v>0</v>
      </c>
    </row>
    <row r="6251" spans="1:24" ht="15" customHeight="1" x14ac:dyDescent="0.25">
      <c r="A6251" t="str">
        <f>""</f>
        <v/>
      </c>
      <c r="B6251" s="1"/>
      <c r="H6251">
        <v>250</v>
      </c>
      <c r="J6251" t="s">
        <v>22</v>
      </c>
      <c r="L6251" s="1"/>
      <c r="N6251" s="1"/>
      <c r="V6251" t="str">
        <f>"67500"</f>
        <v>67500</v>
      </c>
      <c r="W6251">
        <v>0</v>
      </c>
      <c r="X6251">
        <v>20</v>
      </c>
    </row>
    <row r="6252" spans="1:24" ht="15" customHeight="1" x14ac:dyDescent="0.25">
      <c r="A6252" t="str">
        <f>""</f>
        <v/>
      </c>
      <c r="B6252" s="1"/>
      <c r="H6252">
        <v>189.48</v>
      </c>
      <c r="J6252" t="s">
        <v>20</v>
      </c>
      <c r="L6252" s="1"/>
      <c r="N6252" s="1"/>
      <c r="V6252" t="str">
        <f>"72000"</f>
        <v>72000</v>
      </c>
      <c r="W6252">
        <v>39.79</v>
      </c>
      <c r="X6252">
        <v>0</v>
      </c>
    </row>
    <row r="6253" spans="1:24" ht="15" customHeight="1" x14ac:dyDescent="0.25">
      <c r="A6253" t="str">
        <f>""</f>
        <v/>
      </c>
      <c r="B6253" s="1"/>
      <c r="H6253">
        <v>739.52</v>
      </c>
      <c r="J6253" t="s">
        <v>22</v>
      </c>
      <c r="L6253" s="1"/>
      <c r="N6253" s="1"/>
      <c r="V6253" t="str">
        <f>"44980"</f>
        <v>44980</v>
      </c>
      <c r="W6253">
        <v>0</v>
      </c>
      <c r="X6253">
        <v>0</v>
      </c>
    </row>
    <row r="6254" spans="1:24" ht="15" customHeight="1" x14ac:dyDescent="0.25">
      <c r="A6254" t="str">
        <f>""</f>
        <v/>
      </c>
      <c r="B6254" s="1"/>
      <c r="H6254">
        <v>20</v>
      </c>
      <c r="J6254" t="s">
        <v>22</v>
      </c>
      <c r="L6254" s="1"/>
      <c r="N6254" s="1"/>
      <c r="V6254" t="str">
        <f>"68270"</f>
        <v>68270</v>
      </c>
      <c r="W6254">
        <v>0</v>
      </c>
      <c r="X6254">
        <v>1.6</v>
      </c>
    </row>
    <row r="6255" spans="1:24" ht="15" customHeight="1" x14ac:dyDescent="0.25">
      <c r="A6255" t="str">
        <f>""</f>
        <v/>
      </c>
      <c r="B6255" s="1"/>
      <c r="H6255">
        <v>151</v>
      </c>
      <c r="J6255" t="s">
        <v>23</v>
      </c>
      <c r="L6255" s="1"/>
      <c r="N6255" s="1"/>
      <c r="V6255" t="str">
        <f>"67230"</f>
        <v>67230</v>
      </c>
      <c r="W6255">
        <v>0</v>
      </c>
      <c r="X6255">
        <v>12.08</v>
      </c>
    </row>
    <row r="6256" spans="1:24" ht="15" customHeight="1" x14ac:dyDescent="0.25">
      <c r="A6256" t="str">
        <f>""</f>
        <v/>
      </c>
      <c r="B6256" s="1"/>
      <c r="H6256">
        <v>70</v>
      </c>
      <c r="J6256" t="s">
        <v>23</v>
      </c>
      <c r="L6256" s="1"/>
      <c r="N6256" s="1"/>
      <c r="V6256" t="str">
        <f>"26200"</f>
        <v>26200</v>
      </c>
      <c r="W6256">
        <v>0</v>
      </c>
      <c r="X6256">
        <v>0</v>
      </c>
    </row>
    <row r="6257" spans="1:24" ht="15" customHeight="1" x14ac:dyDescent="0.25">
      <c r="A6257" t="str">
        <f>""</f>
        <v/>
      </c>
      <c r="B6257" s="1"/>
      <c r="H6257">
        <v>40</v>
      </c>
      <c r="J6257" t="s">
        <v>23</v>
      </c>
      <c r="L6257" s="1"/>
      <c r="N6257" s="1"/>
      <c r="V6257" t="str">
        <f>"61250"</f>
        <v>61250</v>
      </c>
      <c r="W6257">
        <v>0</v>
      </c>
      <c r="X6257">
        <v>6.8</v>
      </c>
    </row>
    <row r="6258" spans="1:24" x14ac:dyDescent="0.25">
      <c r="A6258" t="str">
        <f>""</f>
        <v/>
      </c>
      <c r="B6258" s="1"/>
      <c r="H6258">
        <v>180</v>
      </c>
      <c r="J6258" t="s">
        <v>18</v>
      </c>
      <c r="L6258" s="1"/>
      <c r="N6258" s="1"/>
      <c r="V6258" t="str">
        <f>"14120"</f>
        <v>14120</v>
      </c>
      <c r="W6258">
        <v>0</v>
      </c>
      <c r="X6258">
        <v>0</v>
      </c>
    </row>
    <row r="6259" spans="1:24" ht="15" customHeight="1" x14ac:dyDescent="0.25">
      <c r="A6259" t="str">
        <f>""</f>
        <v/>
      </c>
      <c r="B6259" s="1"/>
      <c r="H6259">
        <v>180</v>
      </c>
      <c r="L6259" s="1"/>
      <c r="N6259" s="1"/>
      <c r="V6259" t="str">
        <f>"77184"</f>
        <v>77184</v>
      </c>
      <c r="W6259">
        <v>0</v>
      </c>
      <c r="X6259">
        <v>0</v>
      </c>
    </row>
    <row r="6260" spans="1:24" ht="15" customHeight="1" x14ac:dyDescent="0.25">
      <c r="A6260" t="str">
        <f>""</f>
        <v/>
      </c>
      <c r="B6260" s="1"/>
      <c r="H6260">
        <v>180</v>
      </c>
      <c r="J6260" t="s">
        <v>22</v>
      </c>
      <c r="L6260" s="1"/>
      <c r="V6260" t="str">
        <f>"59175"</f>
        <v>59175</v>
      </c>
      <c r="W6260">
        <v>0</v>
      </c>
      <c r="X6260">
        <v>0</v>
      </c>
    </row>
    <row r="6261" spans="1:24" ht="15" customHeight="1" x14ac:dyDescent="0.25">
      <c r="A6261" t="str">
        <f>""</f>
        <v/>
      </c>
      <c r="B6261" s="1"/>
      <c r="J6261" t="s">
        <v>23</v>
      </c>
      <c r="L6261" s="1"/>
      <c r="V6261" t="str">
        <f>"30200"</f>
        <v>30200</v>
      </c>
      <c r="W6261">
        <v>0</v>
      </c>
      <c r="X6261">
        <v>0</v>
      </c>
    </row>
    <row r="6262" spans="1:24" ht="15" customHeight="1" x14ac:dyDescent="0.25">
      <c r="A6262" t="str">
        <f>""</f>
        <v/>
      </c>
      <c r="B6262" s="1"/>
      <c r="J6262" t="s">
        <v>8</v>
      </c>
      <c r="V6262" t="str">
        <f>""</f>
        <v/>
      </c>
      <c r="W6262">
        <v>0</v>
      </c>
      <c r="X6262">
        <v>0</v>
      </c>
    </row>
    <row r="6263" spans="1:24" ht="15" customHeight="1" x14ac:dyDescent="0.25">
      <c r="A6263" t="str">
        <f>""</f>
        <v/>
      </c>
      <c r="B6263" s="1"/>
      <c r="J6263" t="s">
        <v>8</v>
      </c>
      <c r="V6263" t="str">
        <f>""</f>
        <v/>
      </c>
      <c r="W6263">
        <v>0</v>
      </c>
      <c r="X6263">
        <v>0</v>
      </c>
    </row>
    <row r="6264" spans="1:24" ht="15" customHeight="1" x14ac:dyDescent="0.25">
      <c r="A6264" t="str">
        <f>""</f>
        <v/>
      </c>
      <c r="B6264" s="1"/>
      <c r="H6264">
        <v>46.34</v>
      </c>
      <c r="J6264" t="s">
        <v>20</v>
      </c>
      <c r="L6264" s="1"/>
      <c r="V6264" t="str">
        <f>"77184"</f>
        <v>77184</v>
      </c>
      <c r="W6264">
        <v>0</v>
      </c>
      <c r="X6264">
        <v>0</v>
      </c>
    </row>
    <row r="6265" spans="1:24" ht="15" customHeight="1" x14ac:dyDescent="0.25">
      <c r="A6265" t="str">
        <f>""</f>
        <v/>
      </c>
      <c r="B6265" s="1"/>
      <c r="H6265">
        <v>33</v>
      </c>
      <c r="J6265" t="s">
        <v>22</v>
      </c>
      <c r="L6265" s="1"/>
      <c r="N6265" s="1"/>
      <c r="V6265" t="str">
        <f>"51150"</f>
        <v>51150</v>
      </c>
      <c r="W6265">
        <v>0</v>
      </c>
      <c r="X6265">
        <v>8.25</v>
      </c>
    </row>
    <row r="6266" spans="1:24" ht="15" customHeight="1" x14ac:dyDescent="0.25">
      <c r="A6266" t="str">
        <f>""</f>
        <v/>
      </c>
      <c r="B6266" s="1"/>
      <c r="H6266">
        <v>186.73</v>
      </c>
      <c r="L6266" s="1"/>
      <c r="V6266" t="str">
        <f>"77184"</f>
        <v>77184</v>
      </c>
      <c r="W6266">
        <v>0</v>
      </c>
      <c r="X6266">
        <v>0</v>
      </c>
    </row>
    <row r="6267" spans="1:24" ht="15" customHeight="1" x14ac:dyDescent="0.25">
      <c r="A6267" t="str">
        <f>""</f>
        <v/>
      </c>
      <c r="B6267" s="1"/>
      <c r="H6267">
        <v>40.93</v>
      </c>
      <c r="J6267" t="s">
        <v>22</v>
      </c>
      <c r="L6267" s="1"/>
      <c r="V6267" t="str">
        <f>"50100"</f>
        <v>50100</v>
      </c>
      <c r="W6267">
        <v>0</v>
      </c>
      <c r="X6267">
        <v>0</v>
      </c>
    </row>
    <row r="6268" spans="1:24" ht="15" customHeight="1" x14ac:dyDescent="0.25">
      <c r="A6268" t="str">
        <f>""</f>
        <v/>
      </c>
      <c r="B6268" s="1"/>
      <c r="H6268">
        <v>180</v>
      </c>
      <c r="J6268" t="s">
        <v>22</v>
      </c>
      <c r="L6268" s="1"/>
      <c r="N6268" s="1"/>
      <c r="V6268" t="str">
        <f>"14000"</f>
        <v>14000</v>
      </c>
      <c r="W6268">
        <v>0</v>
      </c>
      <c r="X6268">
        <v>0</v>
      </c>
    </row>
    <row r="6269" spans="1:24" ht="15" customHeight="1" x14ac:dyDescent="0.25">
      <c r="A6269" t="str">
        <f>""</f>
        <v/>
      </c>
      <c r="B6269" s="1"/>
      <c r="H6269">
        <v>40</v>
      </c>
      <c r="J6269" t="s">
        <v>23</v>
      </c>
      <c r="L6269" s="1"/>
      <c r="V6269" t="str">
        <f>"30000"</f>
        <v>30000</v>
      </c>
      <c r="W6269">
        <v>0</v>
      </c>
      <c r="X6269">
        <v>0</v>
      </c>
    </row>
    <row r="6270" spans="1:24" ht="15" customHeight="1" x14ac:dyDescent="0.25">
      <c r="A6270" t="str">
        <f>""</f>
        <v/>
      </c>
      <c r="B6270" s="1"/>
      <c r="H6270">
        <v>180</v>
      </c>
      <c r="J6270" t="s">
        <v>22</v>
      </c>
      <c r="L6270" s="1"/>
      <c r="V6270" t="str">
        <f>"13001"</f>
        <v>13001</v>
      </c>
      <c r="W6270">
        <v>0</v>
      </c>
      <c r="X6270">
        <v>0</v>
      </c>
    </row>
    <row r="6271" spans="1:24" ht="15" customHeight="1" x14ac:dyDescent="0.25">
      <c r="A6271" t="str">
        <f>""</f>
        <v/>
      </c>
      <c r="B6271" s="1"/>
      <c r="H6271">
        <v>110.91</v>
      </c>
      <c r="J6271" t="s">
        <v>22</v>
      </c>
      <c r="L6271" s="1"/>
      <c r="V6271" t="str">
        <f>"13127"</f>
        <v>13127</v>
      </c>
      <c r="W6271">
        <v>0</v>
      </c>
      <c r="X6271">
        <v>0</v>
      </c>
    </row>
    <row r="6272" spans="1:24" ht="15" customHeight="1" x14ac:dyDescent="0.25">
      <c r="A6272" t="str">
        <f>""</f>
        <v/>
      </c>
      <c r="B6272" s="1"/>
      <c r="H6272">
        <v>195.02</v>
      </c>
      <c r="J6272" t="s">
        <v>22</v>
      </c>
      <c r="L6272" s="1"/>
      <c r="N6272" s="1"/>
      <c r="V6272" t="str">
        <f>"65600"</f>
        <v>65600</v>
      </c>
      <c r="W6272">
        <v>0</v>
      </c>
      <c r="X6272">
        <v>0</v>
      </c>
    </row>
    <row r="6273" spans="1:24" ht="15" customHeight="1" x14ac:dyDescent="0.25">
      <c r="A6273" t="str">
        <f>""</f>
        <v/>
      </c>
      <c r="B6273" s="1"/>
      <c r="H6273">
        <v>173.44</v>
      </c>
      <c r="J6273" t="s">
        <v>22</v>
      </c>
      <c r="L6273" s="1"/>
      <c r="N6273" s="1"/>
      <c r="V6273" t="str">
        <f>"51150"</f>
        <v>51150</v>
      </c>
      <c r="W6273">
        <v>0</v>
      </c>
      <c r="X6273">
        <v>43.36</v>
      </c>
    </row>
    <row r="6274" spans="1:24" ht="15" customHeight="1" x14ac:dyDescent="0.25">
      <c r="A6274" t="str">
        <f>""</f>
        <v/>
      </c>
      <c r="B6274" s="1"/>
      <c r="H6274">
        <v>19.399999999999999</v>
      </c>
      <c r="J6274" t="s">
        <v>22</v>
      </c>
      <c r="L6274" s="1"/>
      <c r="V6274" t="str">
        <f>"27300"</f>
        <v>27300</v>
      </c>
      <c r="W6274">
        <v>0</v>
      </c>
      <c r="X6274">
        <v>0</v>
      </c>
    </row>
    <row r="6275" spans="1:24" ht="15" customHeight="1" x14ac:dyDescent="0.25">
      <c r="A6275" t="str">
        <f>""</f>
        <v/>
      </c>
      <c r="B6275" s="1"/>
      <c r="H6275">
        <v>170.88</v>
      </c>
      <c r="J6275" t="s">
        <v>23</v>
      </c>
      <c r="L6275" s="1"/>
      <c r="N6275" s="1"/>
      <c r="V6275" t="str">
        <f>"86360"</f>
        <v>86360</v>
      </c>
      <c r="W6275">
        <v>0</v>
      </c>
      <c r="X6275">
        <v>0</v>
      </c>
    </row>
    <row r="6276" spans="1:24" ht="15" customHeight="1" x14ac:dyDescent="0.25">
      <c r="A6276" t="str">
        <f>""</f>
        <v/>
      </c>
      <c r="B6276" s="1"/>
      <c r="H6276">
        <v>160</v>
      </c>
      <c r="J6276" t="s">
        <v>23</v>
      </c>
      <c r="L6276" s="1"/>
      <c r="N6276" s="1"/>
      <c r="V6276" t="str">
        <f>"13002"</f>
        <v>13002</v>
      </c>
      <c r="W6276">
        <v>0</v>
      </c>
      <c r="X6276">
        <v>0</v>
      </c>
    </row>
    <row r="6277" spans="1:24" ht="15" customHeight="1" x14ac:dyDescent="0.25">
      <c r="A6277" t="str">
        <f>""</f>
        <v/>
      </c>
      <c r="B6277" s="1"/>
      <c r="H6277">
        <v>140</v>
      </c>
      <c r="J6277" t="s">
        <v>23</v>
      </c>
      <c r="L6277" s="1"/>
      <c r="N6277" s="1"/>
      <c r="V6277" t="str">
        <f>"57815"</f>
        <v>57815</v>
      </c>
      <c r="W6277">
        <v>0</v>
      </c>
      <c r="X6277">
        <v>0</v>
      </c>
    </row>
    <row r="6278" spans="1:24" x14ac:dyDescent="0.25">
      <c r="A6278" t="str">
        <f>""</f>
        <v/>
      </c>
      <c r="B6278" s="1"/>
      <c r="H6278">
        <v>192.47</v>
      </c>
      <c r="J6278" t="s">
        <v>17</v>
      </c>
      <c r="L6278" s="1"/>
      <c r="N6278" s="1"/>
      <c r="V6278" t="str">
        <f>"51000"</f>
        <v>51000</v>
      </c>
      <c r="W6278">
        <v>0</v>
      </c>
      <c r="X6278">
        <v>0</v>
      </c>
    </row>
    <row r="6279" spans="1:24" x14ac:dyDescent="0.25">
      <c r="A6279" t="str">
        <f>""</f>
        <v/>
      </c>
      <c r="B6279" s="1"/>
      <c r="H6279">
        <v>192.47</v>
      </c>
      <c r="J6279" t="s">
        <v>15</v>
      </c>
      <c r="L6279" s="1"/>
      <c r="N6279" s="1"/>
      <c r="V6279" t="str">
        <f>"51000"</f>
        <v>51000</v>
      </c>
      <c r="W6279">
        <v>0</v>
      </c>
      <c r="X6279">
        <v>0</v>
      </c>
    </row>
    <row r="6280" spans="1:24" ht="15" customHeight="1" x14ac:dyDescent="0.25">
      <c r="A6280" t="str">
        <f>""</f>
        <v/>
      </c>
      <c r="B6280" s="1"/>
      <c r="H6280">
        <v>34</v>
      </c>
      <c r="J6280" t="s">
        <v>22</v>
      </c>
      <c r="L6280" s="1"/>
      <c r="N6280" s="1"/>
      <c r="V6280" t="str">
        <f>"85700"</f>
        <v>85700</v>
      </c>
      <c r="W6280">
        <v>0</v>
      </c>
      <c r="X6280">
        <v>0</v>
      </c>
    </row>
    <row r="6281" spans="1:24" ht="15" customHeight="1" x14ac:dyDescent="0.25">
      <c r="A6281" t="str">
        <f>""</f>
        <v/>
      </c>
      <c r="B6281" s="1"/>
      <c r="H6281">
        <v>22.5</v>
      </c>
      <c r="J6281" t="s">
        <v>22</v>
      </c>
      <c r="L6281" s="1"/>
      <c r="V6281" t="str">
        <f>"70000"</f>
        <v>70000</v>
      </c>
      <c r="W6281">
        <v>0</v>
      </c>
      <c r="X6281">
        <v>0</v>
      </c>
    </row>
    <row r="6282" spans="1:24" ht="15" customHeight="1" x14ac:dyDescent="0.25">
      <c r="A6282" t="str">
        <f>""</f>
        <v/>
      </c>
      <c r="B6282" s="1"/>
      <c r="H6282">
        <v>201.85</v>
      </c>
      <c r="J6282" t="s">
        <v>23</v>
      </c>
      <c r="L6282" s="1"/>
      <c r="V6282" t="str">
        <f>"84130"</f>
        <v>84130</v>
      </c>
      <c r="W6282">
        <v>0</v>
      </c>
      <c r="X6282">
        <v>0</v>
      </c>
    </row>
    <row r="6283" spans="1:24" ht="15" customHeight="1" x14ac:dyDescent="0.25">
      <c r="A6283" t="str">
        <f>""</f>
        <v/>
      </c>
      <c r="B6283" s="1"/>
      <c r="H6283">
        <v>64</v>
      </c>
      <c r="J6283" t="s">
        <v>22</v>
      </c>
      <c r="L6283" s="1"/>
      <c r="N6283" s="1"/>
      <c r="V6283" t="str">
        <f>"06190"</f>
        <v>06190</v>
      </c>
      <c r="W6283">
        <v>0</v>
      </c>
      <c r="X6283">
        <v>19.2</v>
      </c>
    </row>
    <row r="6284" spans="1:24" ht="15" customHeight="1" x14ac:dyDescent="0.25">
      <c r="A6284" t="str">
        <f>""</f>
        <v/>
      </c>
      <c r="B6284" s="1"/>
      <c r="H6284">
        <v>30</v>
      </c>
      <c r="J6284" t="s">
        <v>22</v>
      </c>
      <c r="L6284" s="1"/>
      <c r="N6284" s="1"/>
      <c r="V6284" t="str">
        <f>"69120"</f>
        <v>69120</v>
      </c>
      <c r="W6284">
        <v>0</v>
      </c>
      <c r="X6284">
        <v>0</v>
      </c>
    </row>
    <row r="6285" spans="1:24" ht="15" customHeight="1" x14ac:dyDescent="0.25">
      <c r="A6285" t="str">
        <f>""</f>
        <v/>
      </c>
      <c r="B6285" s="1"/>
      <c r="H6285">
        <v>30</v>
      </c>
      <c r="J6285" t="s">
        <v>22</v>
      </c>
      <c r="L6285" s="1"/>
      <c r="N6285" s="1"/>
      <c r="V6285" t="str">
        <f>"69120"</f>
        <v>69120</v>
      </c>
      <c r="W6285">
        <v>0</v>
      </c>
      <c r="X6285">
        <v>0</v>
      </c>
    </row>
    <row r="6286" spans="1:24" ht="15" customHeight="1" x14ac:dyDescent="0.25">
      <c r="A6286" t="str">
        <f>""</f>
        <v/>
      </c>
      <c r="B6286" s="1"/>
      <c r="H6286">
        <v>180</v>
      </c>
      <c r="J6286" t="s">
        <v>23</v>
      </c>
      <c r="L6286" s="1"/>
      <c r="N6286" s="1"/>
      <c r="V6286" t="str">
        <f>"62320"</f>
        <v>62320</v>
      </c>
      <c r="W6286">
        <v>0</v>
      </c>
      <c r="X6286">
        <v>0</v>
      </c>
    </row>
    <row r="6287" spans="1:24" ht="15" customHeight="1" x14ac:dyDescent="0.25">
      <c r="A6287" t="str">
        <f>""</f>
        <v/>
      </c>
      <c r="B6287" s="1"/>
      <c r="H6287">
        <v>151</v>
      </c>
      <c r="J6287" t="s">
        <v>23</v>
      </c>
      <c r="L6287" s="1"/>
      <c r="N6287" s="1"/>
      <c r="V6287" t="str">
        <f>"06560"</f>
        <v>06560</v>
      </c>
      <c r="W6287">
        <v>0</v>
      </c>
      <c r="X6287">
        <v>0</v>
      </c>
    </row>
    <row r="6288" spans="1:24" ht="15" customHeight="1" x14ac:dyDescent="0.25">
      <c r="A6288" t="str">
        <f>""</f>
        <v/>
      </c>
      <c r="B6288" s="1"/>
      <c r="H6288">
        <v>34.72</v>
      </c>
      <c r="J6288" t="s">
        <v>23</v>
      </c>
      <c r="L6288" s="1"/>
      <c r="V6288" t="str">
        <f>"60200"</f>
        <v>60200</v>
      </c>
      <c r="W6288">
        <v>0</v>
      </c>
      <c r="X6288">
        <v>0</v>
      </c>
    </row>
    <row r="6289" spans="1:24" ht="15" customHeight="1" x14ac:dyDescent="0.25">
      <c r="A6289" t="str">
        <f>""</f>
        <v/>
      </c>
      <c r="B6289" s="1"/>
      <c r="H6289">
        <v>28.26</v>
      </c>
      <c r="J6289" t="s">
        <v>19</v>
      </c>
      <c r="L6289" s="1"/>
      <c r="N6289" s="1"/>
      <c r="V6289" t="str">
        <f>"25300"</f>
        <v>25300</v>
      </c>
      <c r="W6289">
        <v>0</v>
      </c>
      <c r="X6289">
        <v>0</v>
      </c>
    </row>
    <row r="6290" spans="1:24" ht="15" customHeight="1" x14ac:dyDescent="0.25">
      <c r="A6290" t="str">
        <f>""</f>
        <v/>
      </c>
      <c r="B6290" s="1"/>
      <c r="H6290">
        <v>103.75</v>
      </c>
      <c r="J6290" t="s">
        <v>20</v>
      </c>
      <c r="L6290" s="1"/>
      <c r="N6290" s="1"/>
      <c r="V6290" t="str">
        <f>"60610"</f>
        <v>60610</v>
      </c>
      <c r="W6290">
        <v>19.71</v>
      </c>
      <c r="X6290">
        <v>0</v>
      </c>
    </row>
    <row r="6291" spans="1:24" ht="15" customHeight="1" x14ac:dyDescent="0.25">
      <c r="A6291" t="str">
        <f>""</f>
        <v/>
      </c>
      <c r="B6291" s="1"/>
      <c r="H6291">
        <v>15</v>
      </c>
      <c r="J6291" t="s">
        <v>22</v>
      </c>
      <c r="L6291" s="1"/>
      <c r="V6291" t="str">
        <f>"93013"</f>
        <v>93013</v>
      </c>
      <c r="W6291">
        <v>0</v>
      </c>
      <c r="X6291">
        <v>0</v>
      </c>
    </row>
    <row r="6292" spans="1:24" ht="15" customHeight="1" x14ac:dyDescent="0.25">
      <c r="A6292" t="str">
        <f>""</f>
        <v/>
      </c>
      <c r="B6292" s="1"/>
      <c r="H6292">
        <v>151</v>
      </c>
      <c r="J6292" t="s">
        <v>23</v>
      </c>
      <c r="L6292" s="1"/>
      <c r="N6292" s="1"/>
      <c r="V6292" t="str">
        <f>"29270"</f>
        <v>29270</v>
      </c>
      <c r="W6292">
        <v>0</v>
      </c>
      <c r="X6292">
        <v>0</v>
      </c>
    </row>
    <row r="6293" spans="1:24" x14ac:dyDescent="0.25">
      <c r="A6293" t="str">
        <f>""</f>
        <v/>
      </c>
      <c r="B6293" s="1"/>
      <c r="H6293">
        <v>67.64</v>
      </c>
      <c r="J6293" t="s">
        <v>16</v>
      </c>
      <c r="L6293" s="1"/>
      <c r="N6293" s="1"/>
      <c r="V6293" t="str">
        <f>"78280"</f>
        <v>78280</v>
      </c>
      <c r="W6293">
        <v>0</v>
      </c>
      <c r="X6293">
        <v>0</v>
      </c>
    </row>
    <row r="6294" spans="1:24" ht="15" customHeight="1" x14ac:dyDescent="0.25">
      <c r="A6294" t="str">
        <f>""</f>
        <v/>
      </c>
      <c r="B6294" s="1"/>
      <c r="H6294">
        <v>75</v>
      </c>
      <c r="L6294" s="1"/>
      <c r="N6294" s="1"/>
      <c r="V6294" t="str">
        <f>"77184"</f>
        <v>77184</v>
      </c>
      <c r="W6294">
        <v>0</v>
      </c>
      <c r="X6294">
        <v>0</v>
      </c>
    </row>
    <row r="6295" spans="1:24" ht="15" customHeight="1" x14ac:dyDescent="0.25">
      <c r="A6295" t="str">
        <f>""</f>
        <v/>
      </c>
      <c r="B6295" s="1"/>
      <c r="H6295">
        <v>22.8</v>
      </c>
      <c r="L6295" s="1"/>
      <c r="N6295" s="1"/>
      <c r="V6295" t="str">
        <f>"44240"</f>
        <v>44240</v>
      </c>
      <c r="W6295">
        <v>0</v>
      </c>
      <c r="X6295">
        <v>0</v>
      </c>
    </row>
    <row r="6296" spans="1:24" ht="15" customHeight="1" x14ac:dyDescent="0.25">
      <c r="A6296" t="str">
        <f>""</f>
        <v/>
      </c>
      <c r="B6296" s="1"/>
      <c r="H6296">
        <v>140</v>
      </c>
      <c r="J6296" t="s">
        <v>23</v>
      </c>
      <c r="L6296" s="1"/>
      <c r="N6296" s="1"/>
      <c r="V6296" t="str">
        <f>"22000"</f>
        <v>22000</v>
      </c>
      <c r="W6296">
        <v>0</v>
      </c>
      <c r="X6296">
        <v>0</v>
      </c>
    </row>
    <row r="6297" spans="1:24" ht="15" customHeight="1" x14ac:dyDescent="0.25">
      <c r="A6297" t="str">
        <f>""</f>
        <v/>
      </c>
      <c r="B6297" s="1"/>
      <c r="J6297" t="s">
        <v>20</v>
      </c>
      <c r="L6297" s="1"/>
      <c r="V6297" t="str">
        <f>"77170"</f>
        <v>77170</v>
      </c>
      <c r="W6297">
        <v>0</v>
      </c>
      <c r="X6297">
        <v>0</v>
      </c>
    </row>
    <row r="6298" spans="1:24" ht="15" customHeight="1" x14ac:dyDescent="0.25">
      <c r="A6298" t="str">
        <f>""</f>
        <v/>
      </c>
      <c r="B6298" s="1"/>
      <c r="H6298">
        <v>13</v>
      </c>
      <c r="J6298" t="s">
        <v>20</v>
      </c>
      <c r="L6298" s="1"/>
      <c r="N6298" s="1"/>
      <c r="V6298" t="str">
        <f>"83190"</f>
        <v>83190</v>
      </c>
      <c r="W6298">
        <v>0</v>
      </c>
      <c r="X6298">
        <v>0</v>
      </c>
    </row>
    <row r="6299" spans="1:24" ht="15" customHeight="1" x14ac:dyDescent="0.25">
      <c r="A6299" t="str">
        <f>""</f>
        <v/>
      </c>
      <c r="B6299" s="1"/>
      <c r="H6299">
        <v>148.04</v>
      </c>
      <c r="L6299" s="1"/>
      <c r="N6299" s="1"/>
      <c r="V6299" t="str">
        <f>"77184"</f>
        <v>77184</v>
      </c>
      <c r="W6299">
        <v>0</v>
      </c>
      <c r="X6299">
        <v>0</v>
      </c>
    </row>
    <row r="6300" spans="1:24" ht="15" customHeight="1" x14ac:dyDescent="0.25">
      <c r="A6300" t="str">
        <f>""</f>
        <v/>
      </c>
      <c r="B6300" s="1"/>
      <c r="H6300">
        <v>190</v>
      </c>
      <c r="J6300" t="s">
        <v>22</v>
      </c>
      <c r="L6300" s="1"/>
      <c r="N6300" s="1"/>
      <c r="V6300" t="str">
        <f>"06210"</f>
        <v>06210</v>
      </c>
      <c r="W6300">
        <v>0</v>
      </c>
      <c r="X6300">
        <v>0</v>
      </c>
    </row>
    <row r="6301" spans="1:24" ht="15" customHeight="1" x14ac:dyDescent="0.25">
      <c r="A6301" t="str">
        <f>""</f>
        <v/>
      </c>
      <c r="B6301" s="1"/>
      <c r="H6301">
        <v>52.4</v>
      </c>
      <c r="L6301" s="1"/>
      <c r="N6301" s="1"/>
      <c r="V6301" t="str">
        <f>"77184"</f>
        <v>77184</v>
      </c>
      <c r="W6301">
        <v>0</v>
      </c>
      <c r="X6301">
        <v>0</v>
      </c>
    </row>
    <row r="6302" spans="1:24" x14ac:dyDescent="0.25">
      <c r="A6302" t="str">
        <f>""</f>
        <v/>
      </c>
      <c r="B6302" s="1"/>
      <c r="H6302">
        <v>149.58000000000001</v>
      </c>
      <c r="J6302" t="s">
        <v>17</v>
      </c>
      <c r="L6302" s="1"/>
      <c r="N6302" s="1"/>
      <c r="V6302" t="str">
        <f>"13270"</f>
        <v>13270</v>
      </c>
      <c r="W6302">
        <v>0</v>
      </c>
      <c r="X6302">
        <v>0</v>
      </c>
    </row>
    <row r="6303" spans="1:24" ht="15" customHeight="1" x14ac:dyDescent="0.25">
      <c r="A6303" t="str">
        <f>""</f>
        <v/>
      </c>
      <c r="B6303" s="1"/>
      <c r="H6303">
        <v>21.09</v>
      </c>
      <c r="J6303" t="s">
        <v>19</v>
      </c>
      <c r="L6303" s="1"/>
      <c r="N6303" s="1"/>
      <c r="V6303" t="str">
        <f>"94250"</f>
        <v>94250</v>
      </c>
      <c r="W6303">
        <v>0</v>
      </c>
      <c r="X6303">
        <v>0</v>
      </c>
    </row>
    <row r="6304" spans="1:24" ht="15" customHeight="1" x14ac:dyDescent="0.25">
      <c r="A6304" t="str">
        <f>""</f>
        <v/>
      </c>
      <c r="B6304" s="1"/>
      <c r="H6304">
        <v>1.46</v>
      </c>
      <c r="J6304" t="s">
        <v>20</v>
      </c>
      <c r="L6304" s="1"/>
      <c r="N6304" s="1"/>
      <c r="V6304" t="str">
        <f>"69266"</f>
        <v>69266</v>
      </c>
      <c r="W6304">
        <v>0.39</v>
      </c>
      <c r="X6304">
        <v>0</v>
      </c>
    </row>
    <row r="6305" spans="1:24" ht="15" customHeight="1" x14ac:dyDescent="0.25">
      <c r="A6305" t="str">
        <f>""</f>
        <v/>
      </c>
      <c r="B6305" s="1"/>
      <c r="H6305">
        <v>151</v>
      </c>
      <c r="J6305" t="s">
        <v>23</v>
      </c>
      <c r="L6305" s="1"/>
      <c r="N6305" s="1"/>
      <c r="V6305" t="str">
        <f>"45400"</f>
        <v>45400</v>
      </c>
      <c r="W6305">
        <v>0</v>
      </c>
      <c r="X6305">
        <v>0</v>
      </c>
    </row>
    <row r="6306" spans="1:24" ht="15" customHeight="1" x14ac:dyDescent="0.25">
      <c r="A6306" t="str">
        <f>""</f>
        <v/>
      </c>
      <c r="B6306" s="1"/>
      <c r="H6306">
        <v>40</v>
      </c>
      <c r="J6306" t="s">
        <v>23</v>
      </c>
      <c r="L6306" s="1"/>
      <c r="N6306" s="1"/>
      <c r="V6306" t="str">
        <f>"14790"</f>
        <v>14790</v>
      </c>
      <c r="W6306">
        <v>0</v>
      </c>
      <c r="X6306">
        <v>6.8</v>
      </c>
    </row>
    <row r="6307" spans="1:24" ht="15" customHeight="1" x14ac:dyDescent="0.25">
      <c r="A6307" t="str">
        <f>""</f>
        <v/>
      </c>
      <c r="B6307" s="1"/>
      <c r="H6307">
        <v>55.14</v>
      </c>
      <c r="J6307" t="s">
        <v>20</v>
      </c>
      <c r="L6307" s="1"/>
      <c r="N6307" s="1"/>
      <c r="V6307" t="str">
        <f>"72000"</f>
        <v>72000</v>
      </c>
      <c r="W6307">
        <v>11.58</v>
      </c>
      <c r="X6307">
        <v>0</v>
      </c>
    </row>
    <row r="6308" spans="1:24" ht="15" customHeight="1" x14ac:dyDescent="0.25">
      <c r="A6308" t="str">
        <f>""</f>
        <v/>
      </c>
      <c r="B6308" s="1"/>
      <c r="J6308" t="s">
        <v>20</v>
      </c>
      <c r="L6308" s="1"/>
      <c r="N6308" s="1"/>
      <c r="V6308" t="str">
        <f>"04000"</f>
        <v>04000</v>
      </c>
      <c r="W6308">
        <v>0</v>
      </c>
      <c r="X6308">
        <v>0</v>
      </c>
    </row>
    <row r="6309" spans="1:24" ht="15" customHeight="1" x14ac:dyDescent="0.25">
      <c r="A6309" t="str">
        <f>""</f>
        <v/>
      </c>
      <c r="B6309" s="1"/>
      <c r="H6309">
        <v>22.6</v>
      </c>
      <c r="J6309" t="s">
        <v>22</v>
      </c>
      <c r="L6309" s="1"/>
      <c r="N6309" s="1"/>
      <c r="V6309" t="str">
        <f>"54000"</f>
        <v>54000</v>
      </c>
      <c r="W6309">
        <v>0</v>
      </c>
      <c r="X6309">
        <v>0</v>
      </c>
    </row>
    <row r="6310" spans="1:24" ht="15" customHeight="1" x14ac:dyDescent="0.25">
      <c r="A6310" t="str">
        <f>""</f>
        <v/>
      </c>
      <c r="B6310" s="1"/>
      <c r="H6310">
        <v>105</v>
      </c>
      <c r="L6310" s="1"/>
      <c r="N6310" s="1"/>
      <c r="V6310" t="str">
        <f>"77184"</f>
        <v>77184</v>
      </c>
      <c r="W6310">
        <v>0</v>
      </c>
      <c r="X6310">
        <v>0</v>
      </c>
    </row>
    <row r="6311" spans="1:24" ht="15" customHeight="1" x14ac:dyDescent="0.25">
      <c r="A6311" t="str">
        <f>""</f>
        <v/>
      </c>
      <c r="B6311" s="1"/>
      <c r="H6311">
        <v>70</v>
      </c>
      <c r="J6311" t="s">
        <v>23</v>
      </c>
      <c r="L6311" s="1"/>
      <c r="N6311" s="1"/>
      <c r="V6311" t="str">
        <f>"72000"</f>
        <v>72000</v>
      </c>
      <c r="W6311">
        <v>0</v>
      </c>
      <c r="X6311">
        <v>0</v>
      </c>
    </row>
    <row r="6312" spans="1:24" ht="15" customHeight="1" x14ac:dyDescent="0.25">
      <c r="A6312" t="str">
        <f>""</f>
        <v/>
      </c>
      <c r="B6312" s="1"/>
      <c r="H6312">
        <v>140</v>
      </c>
      <c r="J6312" t="s">
        <v>22</v>
      </c>
      <c r="L6312" s="1"/>
      <c r="N6312" s="1"/>
      <c r="V6312" t="str">
        <f>"06000"</f>
        <v>06000</v>
      </c>
      <c r="W6312">
        <v>0</v>
      </c>
      <c r="X6312">
        <v>0</v>
      </c>
    </row>
    <row r="6313" spans="1:24" ht="15" customHeight="1" x14ac:dyDescent="0.25">
      <c r="A6313" t="str">
        <f>""</f>
        <v/>
      </c>
      <c r="B6313" s="1"/>
      <c r="H6313">
        <v>10</v>
      </c>
      <c r="J6313" t="s">
        <v>23</v>
      </c>
      <c r="L6313" s="1"/>
      <c r="N6313" s="1"/>
      <c r="V6313" t="str">
        <f>"88200"</f>
        <v>88200</v>
      </c>
      <c r="W6313">
        <v>0</v>
      </c>
      <c r="X6313">
        <v>0</v>
      </c>
    </row>
    <row r="6314" spans="1:24" ht="15" customHeight="1" x14ac:dyDescent="0.25">
      <c r="A6314" t="str">
        <f>""</f>
        <v/>
      </c>
      <c r="B6314" s="1"/>
      <c r="H6314">
        <v>151</v>
      </c>
      <c r="J6314" t="s">
        <v>22</v>
      </c>
      <c r="L6314" s="1"/>
      <c r="N6314" s="1"/>
      <c r="V6314" t="str">
        <f>"67000"</f>
        <v>67000</v>
      </c>
      <c r="W6314">
        <v>0</v>
      </c>
      <c r="X6314">
        <v>0</v>
      </c>
    </row>
    <row r="6315" spans="1:24" ht="15" customHeight="1" x14ac:dyDescent="0.25">
      <c r="A6315" t="str">
        <f>""</f>
        <v/>
      </c>
      <c r="B6315" s="1"/>
      <c r="H6315">
        <v>140</v>
      </c>
      <c r="J6315" t="s">
        <v>23</v>
      </c>
      <c r="L6315" s="1"/>
      <c r="V6315" t="str">
        <f>"59710"</f>
        <v>59710</v>
      </c>
      <c r="W6315">
        <v>0</v>
      </c>
      <c r="X6315">
        <v>0</v>
      </c>
    </row>
    <row r="6316" spans="1:24" ht="15" customHeight="1" x14ac:dyDescent="0.25">
      <c r="A6316" t="str">
        <f>""</f>
        <v/>
      </c>
      <c r="B6316" s="1"/>
      <c r="H6316">
        <v>22.5</v>
      </c>
      <c r="J6316" t="s">
        <v>22</v>
      </c>
      <c r="L6316" s="1"/>
      <c r="N6316" s="1"/>
      <c r="V6316" t="str">
        <f>"75007"</f>
        <v>75007</v>
      </c>
      <c r="W6316">
        <v>0</v>
      </c>
      <c r="X6316">
        <v>0</v>
      </c>
    </row>
    <row r="6317" spans="1:24" ht="15" customHeight="1" x14ac:dyDescent="0.25">
      <c r="A6317" t="str">
        <f>""</f>
        <v/>
      </c>
      <c r="B6317" s="1"/>
      <c r="H6317">
        <v>40.25</v>
      </c>
      <c r="J6317" t="s">
        <v>22</v>
      </c>
      <c r="L6317" s="1"/>
      <c r="N6317" s="1"/>
      <c r="V6317" t="str">
        <f>"94230"</f>
        <v>94230</v>
      </c>
      <c r="W6317">
        <v>0</v>
      </c>
      <c r="X6317">
        <v>0</v>
      </c>
    </row>
    <row r="6318" spans="1:24" ht="15" customHeight="1" x14ac:dyDescent="0.25">
      <c r="A6318" t="str">
        <f>""</f>
        <v/>
      </c>
      <c r="B6318" s="1"/>
      <c r="H6318">
        <v>151</v>
      </c>
      <c r="J6318" t="s">
        <v>22</v>
      </c>
      <c r="L6318" s="1"/>
      <c r="V6318" t="str">
        <f>"75003"</f>
        <v>75003</v>
      </c>
      <c r="W6318">
        <v>0</v>
      </c>
      <c r="X6318">
        <v>0</v>
      </c>
    </row>
    <row r="6319" spans="1:24" x14ac:dyDescent="0.25">
      <c r="A6319" t="str">
        <f>""</f>
        <v/>
      </c>
      <c r="B6319" s="1"/>
      <c r="H6319">
        <v>220.28</v>
      </c>
      <c r="J6319" t="s">
        <v>16</v>
      </c>
      <c r="L6319" s="1"/>
      <c r="N6319" s="1"/>
      <c r="V6319" t="str">
        <f>"93600"</f>
        <v>93600</v>
      </c>
      <c r="W6319">
        <v>0</v>
      </c>
      <c r="X6319">
        <v>0</v>
      </c>
    </row>
    <row r="6320" spans="1:24" ht="15" customHeight="1" x14ac:dyDescent="0.25">
      <c r="A6320" t="str">
        <f>""</f>
        <v/>
      </c>
      <c r="B6320" s="1"/>
      <c r="H6320">
        <v>220</v>
      </c>
      <c r="J6320" t="s">
        <v>23</v>
      </c>
      <c r="L6320" s="1"/>
      <c r="N6320" s="1"/>
      <c r="V6320" t="str">
        <f>"64250"</f>
        <v>64250</v>
      </c>
      <c r="W6320">
        <v>0</v>
      </c>
      <c r="X6320">
        <v>46.2</v>
      </c>
    </row>
    <row r="6321" spans="1:24" ht="15" customHeight="1" x14ac:dyDescent="0.25">
      <c r="A6321" t="str">
        <f>""</f>
        <v/>
      </c>
      <c r="B6321" s="1"/>
      <c r="H6321">
        <v>794.44</v>
      </c>
      <c r="J6321" t="s">
        <v>22</v>
      </c>
      <c r="L6321" s="1"/>
      <c r="N6321" s="1"/>
      <c r="V6321" t="str">
        <f>"13625"</f>
        <v>13625</v>
      </c>
      <c r="W6321">
        <v>0</v>
      </c>
      <c r="X6321">
        <v>0</v>
      </c>
    </row>
    <row r="6322" spans="1:24" ht="15" customHeight="1" x14ac:dyDescent="0.25">
      <c r="A6322" t="str">
        <f>""</f>
        <v/>
      </c>
      <c r="B6322" s="1"/>
      <c r="H6322">
        <v>58.2</v>
      </c>
      <c r="J6322" t="s">
        <v>22</v>
      </c>
      <c r="L6322" s="1"/>
      <c r="V6322" t="str">
        <f>"66000"</f>
        <v>66000</v>
      </c>
      <c r="W6322">
        <v>0</v>
      </c>
      <c r="X6322">
        <v>0</v>
      </c>
    </row>
    <row r="6323" spans="1:24" ht="15" customHeight="1" x14ac:dyDescent="0.25">
      <c r="A6323" t="str">
        <f>""</f>
        <v/>
      </c>
      <c r="B6323" s="1"/>
      <c r="H6323">
        <v>180</v>
      </c>
      <c r="J6323" t="s">
        <v>22</v>
      </c>
      <c r="L6323" s="1"/>
      <c r="V6323" t="str">
        <f>"34000"</f>
        <v>34000</v>
      </c>
      <c r="W6323">
        <v>0</v>
      </c>
      <c r="X6323">
        <v>0</v>
      </c>
    </row>
    <row r="6324" spans="1:24" x14ac:dyDescent="0.25">
      <c r="A6324" t="str">
        <f>""</f>
        <v/>
      </c>
      <c r="B6324" s="1"/>
      <c r="H6324">
        <v>52.5</v>
      </c>
      <c r="J6324" t="s">
        <v>15</v>
      </c>
      <c r="L6324" s="1"/>
      <c r="N6324" s="1"/>
      <c r="V6324" t="str">
        <f>"45000"</f>
        <v>45000</v>
      </c>
      <c r="W6324">
        <v>0</v>
      </c>
      <c r="X6324">
        <v>0</v>
      </c>
    </row>
    <row r="6325" spans="1:24" x14ac:dyDescent="0.25">
      <c r="A6325" t="str">
        <f>""</f>
        <v/>
      </c>
      <c r="B6325" s="1"/>
      <c r="H6325">
        <v>52.5</v>
      </c>
      <c r="J6325" t="s">
        <v>15</v>
      </c>
      <c r="L6325" s="1"/>
      <c r="N6325" s="1"/>
      <c r="V6325" t="str">
        <f>"59100"</f>
        <v>59100</v>
      </c>
      <c r="W6325">
        <v>9.98</v>
      </c>
      <c r="X6325">
        <v>0</v>
      </c>
    </row>
    <row r="6326" spans="1:24" x14ac:dyDescent="0.25">
      <c r="A6326" t="str">
        <f>""</f>
        <v/>
      </c>
      <c r="B6326" s="1"/>
      <c r="H6326">
        <v>23.4</v>
      </c>
      <c r="J6326" t="s">
        <v>17</v>
      </c>
      <c r="L6326" s="1"/>
      <c r="N6326" s="1"/>
      <c r="V6326" t="str">
        <f>"38230"</f>
        <v>38230</v>
      </c>
      <c r="W6326">
        <v>0</v>
      </c>
      <c r="X6326">
        <v>0</v>
      </c>
    </row>
    <row r="6327" spans="1:24" ht="15" customHeight="1" x14ac:dyDescent="0.25">
      <c r="A6327" t="str">
        <f>""</f>
        <v/>
      </c>
      <c r="B6327" s="1"/>
      <c r="H6327">
        <v>165.52</v>
      </c>
      <c r="J6327" t="s">
        <v>22</v>
      </c>
      <c r="L6327" s="1"/>
      <c r="N6327" s="1"/>
      <c r="V6327" t="str">
        <f>"13011"</f>
        <v>13011</v>
      </c>
      <c r="W6327">
        <v>0</v>
      </c>
      <c r="X6327">
        <v>0</v>
      </c>
    </row>
    <row r="6328" spans="1:24" ht="15" customHeight="1" x14ac:dyDescent="0.25">
      <c r="A6328" t="str">
        <f>""</f>
        <v/>
      </c>
      <c r="B6328" s="1"/>
      <c r="H6328">
        <v>250</v>
      </c>
      <c r="J6328" t="s">
        <v>23</v>
      </c>
      <c r="L6328" s="1"/>
      <c r="V6328" t="str">
        <f>"50000"</f>
        <v>50000</v>
      </c>
      <c r="W6328">
        <v>0</v>
      </c>
      <c r="X6328">
        <v>0</v>
      </c>
    </row>
    <row r="6329" spans="1:24" ht="15" customHeight="1" x14ac:dyDescent="0.25">
      <c r="A6329" t="str">
        <f>""</f>
        <v/>
      </c>
      <c r="B6329" s="1"/>
      <c r="H6329">
        <v>180</v>
      </c>
      <c r="J6329" t="s">
        <v>23</v>
      </c>
      <c r="L6329" s="1"/>
      <c r="N6329" s="1"/>
      <c r="V6329" t="str">
        <f>"76430"</f>
        <v>76430</v>
      </c>
      <c r="W6329">
        <v>0</v>
      </c>
      <c r="X6329">
        <v>0</v>
      </c>
    </row>
    <row r="6330" spans="1:24" ht="15" customHeight="1" x14ac:dyDescent="0.25">
      <c r="A6330" t="str">
        <f>""</f>
        <v/>
      </c>
      <c r="B6330" s="1"/>
      <c r="H6330">
        <v>180</v>
      </c>
      <c r="J6330" t="s">
        <v>23</v>
      </c>
      <c r="L6330" s="1"/>
      <c r="V6330" t="str">
        <f>"69003"</f>
        <v>69003</v>
      </c>
      <c r="W6330">
        <v>0</v>
      </c>
      <c r="X6330">
        <v>0</v>
      </c>
    </row>
    <row r="6331" spans="1:24" x14ac:dyDescent="0.25">
      <c r="A6331" t="str">
        <f>""</f>
        <v/>
      </c>
      <c r="B6331" s="1"/>
      <c r="H6331">
        <v>180</v>
      </c>
      <c r="J6331" t="s">
        <v>18</v>
      </c>
      <c r="L6331" s="1"/>
      <c r="N6331" s="1"/>
      <c r="V6331" t="str">
        <f>"94220"</f>
        <v>94220</v>
      </c>
      <c r="W6331">
        <v>0</v>
      </c>
      <c r="X6331">
        <v>0</v>
      </c>
    </row>
    <row r="6332" spans="1:24" ht="15" customHeight="1" x14ac:dyDescent="0.25">
      <c r="A6332" t="str">
        <f>""</f>
        <v/>
      </c>
      <c r="B6332" s="1"/>
      <c r="H6332">
        <v>25</v>
      </c>
      <c r="J6332" t="s">
        <v>23</v>
      </c>
      <c r="L6332" s="1"/>
      <c r="N6332" s="1"/>
      <c r="V6332" t="str">
        <f>"74500"</f>
        <v>74500</v>
      </c>
      <c r="W6332">
        <v>0</v>
      </c>
      <c r="X6332">
        <v>0</v>
      </c>
    </row>
    <row r="6333" spans="1:24" ht="15" customHeight="1" x14ac:dyDescent="0.25">
      <c r="A6333" t="str">
        <f>""</f>
        <v/>
      </c>
      <c r="B6333" s="1"/>
      <c r="H6333">
        <v>140</v>
      </c>
      <c r="J6333" t="s">
        <v>20</v>
      </c>
      <c r="L6333" s="1"/>
      <c r="V6333" t="str">
        <f>"89200"</f>
        <v>89200</v>
      </c>
      <c r="W6333">
        <v>0</v>
      </c>
      <c r="X6333">
        <v>0</v>
      </c>
    </row>
    <row r="6334" spans="1:24" x14ac:dyDescent="0.25">
      <c r="A6334" t="str">
        <f>""</f>
        <v/>
      </c>
      <c r="B6334" s="1"/>
      <c r="H6334">
        <v>180</v>
      </c>
      <c r="J6334" t="s">
        <v>15</v>
      </c>
      <c r="L6334" s="1"/>
      <c r="N6334" s="1"/>
      <c r="V6334" t="str">
        <f>"88000"</f>
        <v>88000</v>
      </c>
      <c r="W6334">
        <v>0</v>
      </c>
      <c r="X6334">
        <v>0</v>
      </c>
    </row>
    <row r="6335" spans="1:24" ht="15" customHeight="1" x14ac:dyDescent="0.25">
      <c r="A6335" t="str">
        <f>""</f>
        <v/>
      </c>
      <c r="B6335" s="1"/>
      <c r="H6335">
        <v>20</v>
      </c>
      <c r="J6335" t="s">
        <v>20</v>
      </c>
      <c r="L6335" s="1"/>
      <c r="N6335" s="1"/>
      <c r="V6335" t="str">
        <f>"82000"</f>
        <v>82000</v>
      </c>
      <c r="W6335">
        <v>0</v>
      </c>
      <c r="X6335">
        <v>0</v>
      </c>
    </row>
    <row r="6336" spans="1:24" ht="15" customHeight="1" x14ac:dyDescent="0.25">
      <c r="A6336" t="str">
        <f>""</f>
        <v/>
      </c>
      <c r="B6336" s="1"/>
      <c r="H6336">
        <v>401.19</v>
      </c>
      <c r="J6336" t="s">
        <v>19</v>
      </c>
      <c r="L6336" s="1"/>
      <c r="V6336" t="str">
        <f>"67230"</f>
        <v>67230</v>
      </c>
      <c r="W6336">
        <v>0</v>
      </c>
      <c r="X6336">
        <v>0</v>
      </c>
    </row>
    <row r="6337" spans="1:24" ht="15" customHeight="1" x14ac:dyDescent="0.25">
      <c r="A6337" t="str">
        <f>""</f>
        <v/>
      </c>
      <c r="B6337" s="1"/>
      <c r="H6337">
        <v>32</v>
      </c>
      <c r="J6337" t="s">
        <v>22</v>
      </c>
      <c r="L6337" s="1"/>
      <c r="V6337" t="str">
        <f>"49000"</f>
        <v>49000</v>
      </c>
      <c r="W6337">
        <v>0</v>
      </c>
      <c r="X6337">
        <v>0</v>
      </c>
    </row>
    <row r="6338" spans="1:24" x14ac:dyDescent="0.25">
      <c r="A6338" t="str">
        <f>""</f>
        <v/>
      </c>
      <c r="B6338" s="1"/>
      <c r="H6338">
        <v>250</v>
      </c>
      <c r="J6338" t="s">
        <v>16</v>
      </c>
      <c r="L6338" s="1"/>
      <c r="V6338" t="str">
        <f>"75010"</f>
        <v>75010</v>
      </c>
      <c r="W6338">
        <v>0</v>
      </c>
      <c r="X6338">
        <v>0</v>
      </c>
    </row>
    <row r="6339" spans="1:24" ht="15" customHeight="1" x14ac:dyDescent="0.25">
      <c r="A6339" t="str">
        <f>""</f>
        <v/>
      </c>
      <c r="B6339" s="1"/>
      <c r="H6339">
        <v>185.14</v>
      </c>
      <c r="J6339" t="s">
        <v>20</v>
      </c>
      <c r="L6339" s="1"/>
      <c r="N6339" s="1"/>
      <c r="V6339" t="str">
        <f>"94380"</f>
        <v>94380</v>
      </c>
      <c r="W6339">
        <v>0</v>
      </c>
      <c r="X6339">
        <v>0</v>
      </c>
    </row>
    <row r="6340" spans="1:24" ht="15" customHeight="1" x14ac:dyDescent="0.25">
      <c r="A6340" t="str">
        <f>""</f>
        <v/>
      </c>
      <c r="B6340" s="1"/>
      <c r="H6340">
        <v>29.89</v>
      </c>
      <c r="J6340" t="s">
        <v>23</v>
      </c>
      <c r="L6340" s="1"/>
      <c r="V6340" t="str">
        <f>"62600"</f>
        <v>62600</v>
      </c>
      <c r="W6340">
        <v>0</v>
      </c>
      <c r="X6340">
        <v>0</v>
      </c>
    </row>
    <row r="6341" spans="1:24" ht="15" customHeight="1" x14ac:dyDescent="0.25">
      <c r="A6341" t="str">
        <f>""</f>
        <v/>
      </c>
      <c r="B6341" s="1"/>
      <c r="H6341">
        <v>72.400000000000006</v>
      </c>
      <c r="J6341" t="s">
        <v>23</v>
      </c>
      <c r="L6341" s="1"/>
      <c r="N6341" s="1"/>
      <c r="V6341" t="str">
        <f>"45100"</f>
        <v>45100</v>
      </c>
      <c r="W6341">
        <v>0</v>
      </c>
      <c r="X6341">
        <v>0</v>
      </c>
    </row>
    <row r="6342" spans="1:24" ht="15" customHeight="1" x14ac:dyDescent="0.25">
      <c r="A6342" t="str">
        <f>""</f>
        <v/>
      </c>
      <c r="B6342" s="1"/>
      <c r="H6342">
        <v>55.14</v>
      </c>
      <c r="J6342" t="s">
        <v>20</v>
      </c>
      <c r="L6342" s="1"/>
      <c r="N6342" s="1"/>
      <c r="V6342" t="str">
        <f>"34430"</f>
        <v>34430</v>
      </c>
      <c r="W6342">
        <v>0</v>
      </c>
      <c r="X6342">
        <v>0</v>
      </c>
    </row>
    <row r="6343" spans="1:24" x14ac:dyDescent="0.25">
      <c r="A6343" t="str">
        <f>""</f>
        <v/>
      </c>
      <c r="B6343" s="1"/>
      <c r="H6343">
        <v>74.25</v>
      </c>
      <c r="J6343" t="s">
        <v>18</v>
      </c>
      <c r="L6343" s="1"/>
      <c r="N6343" s="1"/>
      <c r="V6343" t="str">
        <f>"83490"</f>
        <v>83490</v>
      </c>
      <c r="W6343">
        <v>0</v>
      </c>
      <c r="X6343">
        <v>0</v>
      </c>
    </row>
    <row r="6344" spans="1:24" ht="15" customHeight="1" x14ac:dyDescent="0.25">
      <c r="A6344" t="str">
        <f>""</f>
        <v/>
      </c>
      <c r="B6344" s="1"/>
      <c r="J6344" t="s">
        <v>8</v>
      </c>
      <c r="V6344" t="str">
        <f>""</f>
        <v/>
      </c>
      <c r="W6344">
        <v>0</v>
      </c>
      <c r="X6344">
        <v>0</v>
      </c>
    </row>
    <row r="6345" spans="1:24" ht="15" customHeight="1" x14ac:dyDescent="0.25">
      <c r="A6345" t="str">
        <f>""</f>
        <v/>
      </c>
      <c r="B6345" s="1"/>
      <c r="H6345">
        <v>68</v>
      </c>
      <c r="J6345" t="s">
        <v>23</v>
      </c>
      <c r="L6345" s="1"/>
      <c r="N6345" s="1"/>
      <c r="V6345" t="str">
        <f>"93600"</f>
        <v>93600</v>
      </c>
      <c r="W6345">
        <v>0</v>
      </c>
      <c r="X6345">
        <v>0</v>
      </c>
    </row>
    <row r="6346" spans="1:24" ht="15" customHeight="1" x14ac:dyDescent="0.25">
      <c r="A6346" t="str">
        <f>""</f>
        <v/>
      </c>
      <c r="B6346" s="1"/>
      <c r="H6346">
        <v>22.8</v>
      </c>
      <c r="J6346" t="s">
        <v>22</v>
      </c>
      <c r="L6346" s="1"/>
      <c r="N6346" s="1"/>
      <c r="V6346" t="str">
        <f>"92350"</f>
        <v>92350</v>
      </c>
      <c r="W6346">
        <v>0</v>
      </c>
      <c r="X6346">
        <v>0</v>
      </c>
    </row>
    <row r="6347" spans="1:24" ht="15" customHeight="1" x14ac:dyDescent="0.25">
      <c r="A6347" t="str">
        <f>""</f>
        <v/>
      </c>
      <c r="B6347" s="1"/>
      <c r="H6347">
        <v>40</v>
      </c>
      <c r="J6347" t="s">
        <v>23</v>
      </c>
      <c r="L6347" s="1"/>
      <c r="N6347" s="1"/>
      <c r="V6347" t="str">
        <f>"78530"</f>
        <v>78530</v>
      </c>
      <c r="W6347">
        <v>0</v>
      </c>
      <c r="X6347">
        <v>0</v>
      </c>
    </row>
    <row r="6348" spans="1:24" ht="15" customHeight="1" x14ac:dyDescent="0.25">
      <c r="A6348" t="str">
        <f>""</f>
        <v/>
      </c>
      <c r="B6348" s="1"/>
      <c r="H6348">
        <v>196.98</v>
      </c>
      <c r="J6348" t="s">
        <v>23</v>
      </c>
      <c r="L6348" s="1"/>
      <c r="N6348" s="1"/>
      <c r="V6348" t="str">
        <f>"59530"</f>
        <v>59530</v>
      </c>
      <c r="W6348">
        <v>0</v>
      </c>
      <c r="X6348">
        <v>37.43</v>
      </c>
    </row>
    <row r="6349" spans="1:24" ht="15" customHeight="1" x14ac:dyDescent="0.25">
      <c r="A6349" t="str">
        <f>""</f>
        <v/>
      </c>
      <c r="B6349" s="1"/>
      <c r="H6349">
        <v>29.89</v>
      </c>
      <c r="J6349" t="s">
        <v>22</v>
      </c>
      <c r="L6349" s="1"/>
      <c r="N6349" s="1"/>
      <c r="V6349" t="str">
        <f>"39500"</f>
        <v>39500</v>
      </c>
      <c r="W6349">
        <v>0</v>
      </c>
      <c r="X6349">
        <v>0</v>
      </c>
    </row>
    <row r="6350" spans="1:24" ht="15" customHeight="1" x14ac:dyDescent="0.25">
      <c r="A6350" t="str">
        <f>""</f>
        <v/>
      </c>
      <c r="B6350" s="1"/>
      <c r="H6350">
        <v>25</v>
      </c>
      <c r="J6350" t="s">
        <v>23</v>
      </c>
      <c r="L6350" s="1"/>
      <c r="N6350" s="1"/>
      <c r="V6350" t="str">
        <f>"95701"</f>
        <v>95701</v>
      </c>
      <c r="W6350">
        <v>0</v>
      </c>
      <c r="X6350">
        <v>0</v>
      </c>
    </row>
    <row r="6351" spans="1:24" ht="15" customHeight="1" x14ac:dyDescent="0.25">
      <c r="A6351" t="str">
        <f>""</f>
        <v/>
      </c>
      <c r="B6351" s="1"/>
      <c r="H6351">
        <v>140</v>
      </c>
      <c r="J6351" t="s">
        <v>23</v>
      </c>
      <c r="L6351" s="1"/>
      <c r="N6351" s="1"/>
      <c r="V6351" t="str">
        <f>"59242"</f>
        <v>59242</v>
      </c>
      <c r="W6351">
        <v>0</v>
      </c>
      <c r="X6351">
        <v>0</v>
      </c>
    </row>
    <row r="6352" spans="1:24" ht="15" customHeight="1" x14ac:dyDescent="0.25">
      <c r="A6352" t="str">
        <f>""</f>
        <v/>
      </c>
      <c r="B6352" s="1"/>
      <c r="H6352">
        <v>141.25</v>
      </c>
      <c r="J6352" t="s">
        <v>23</v>
      </c>
      <c r="L6352" s="1"/>
      <c r="N6352" s="1"/>
      <c r="V6352" t="str">
        <f>"41000"</f>
        <v>41000</v>
      </c>
      <c r="W6352">
        <v>0</v>
      </c>
      <c r="X6352">
        <v>0</v>
      </c>
    </row>
    <row r="6353" spans="1:24" ht="15" customHeight="1" x14ac:dyDescent="0.25">
      <c r="A6353" t="str">
        <f>""</f>
        <v/>
      </c>
      <c r="B6353" s="1"/>
      <c r="H6353">
        <v>140</v>
      </c>
      <c r="J6353" t="s">
        <v>22</v>
      </c>
      <c r="L6353" s="1"/>
      <c r="N6353" s="1"/>
      <c r="V6353" t="str">
        <f>"49430"</f>
        <v>49430</v>
      </c>
      <c r="W6353">
        <v>0</v>
      </c>
      <c r="X6353">
        <v>0</v>
      </c>
    </row>
    <row r="6354" spans="1:24" ht="15" customHeight="1" x14ac:dyDescent="0.25">
      <c r="A6354" t="str">
        <f>""</f>
        <v/>
      </c>
      <c r="B6354" s="1"/>
      <c r="H6354">
        <v>84.5</v>
      </c>
      <c r="J6354" t="s">
        <v>22</v>
      </c>
      <c r="L6354" s="1"/>
      <c r="N6354" s="1"/>
      <c r="V6354" t="str">
        <f>"78125"</f>
        <v>78125</v>
      </c>
      <c r="W6354">
        <v>0</v>
      </c>
      <c r="X6354">
        <v>0</v>
      </c>
    </row>
    <row r="6355" spans="1:24" ht="15" customHeight="1" x14ac:dyDescent="0.25">
      <c r="A6355" t="str">
        <f>""</f>
        <v/>
      </c>
      <c r="B6355" s="1"/>
      <c r="H6355">
        <v>124</v>
      </c>
      <c r="L6355" s="1"/>
      <c r="V6355" t="str">
        <f>"77184"</f>
        <v>77184</v>
      </c>
      <c r="W6355">
        <v>0</v>
      </c>
      <c r="X6355">
        <v>0</v>
      </c>
    </row>
    <row r="6356" spans="1:24" ht="15" customHeight="1" x14ac:dyDescent="0.25">
      <c r="A6356" t="str">
        <f>""</f>
        <v/>
      </c>
      <c r="B6356" s="1"/>
      <c r="H6356">
        <v>216.12</v>
      </c>
      <c r="J6356" t="s">
        <v>23</v>
      </c>
      <c r="L6356" s="1"/>
      <c r="V6356" t="str">
        <f>"59790"</f>
        <v>59790</v>
      </c>
      <c r="W6356">
        <v>0</v>
      </c>
      <c r="X6356">
        <v>0</v>
      </c>
    </row>
    <row r="6357" spans="1:24" ht="15" customHeight="1" x14ac:dyDescent="0.25">
      <c r="A6357" t="str">
        <f>""</f>
        <v/>
      </c>
      <c r="B6357" s="1"/>
      <c r="H6357">
        <v>151</v>
      </c>
      <c r="J6357" t="s">
        <v>22</v>
      </c>
      <c r="L6357" s="1"/>
      <c r="V6357" t="str">
        <f>"69120"</f>
        <v>69120</v>
      </c>
      <c r="W6357">
        <v>0</v>
      </c>
      <c r="X6357">
        <v>0</v>
      </c>
    </row>
    <row r="6358" spans="1:24" ht="15" customHeight="1" x14ac:dyDescent="0.25">
      <c r="A6358" t="str">
        <f>""</f>
        <v/>
      </c>
      <c r="B6358" s="1"/>
      <c r="H6358">
        <v>151</v>
      </c>
      <c r="J6358" t="s">
        <v>22</v>
      </c>
      <c r="L6358" s="1"/>
      <c r="N6358" s="1"/>
      <c r="V6358" t="str">
        <f>"06000"</f>
        <v>06000</v>
      </c>
      <c r="W6358">
        <v>0</v>
      </c>
      <c r="X6358">
        <v>31.71</v>
      </c>
    </row>
    <row r="6359" spans="1:24" ht="15" customHeight="1" x14ac:dyDescent="0.25">
      <c r="A6359" t="str">
        <f>""</f>
        <v/>
      </c>
      <c r="B6359" s="1"/>
      <c r="H6359">
        <v>70</v>
      </c>
      <c r="J6359" t="s">
        <v>23</v>
      </c>
      <c r="L6359" s="1"/>
      <c r="N6359" s="1"/>
      <c r="V6359" t="str">
        <f>"83190"</f>
        <v>83190</v>
      </c>
      <c r="W6359">
        <v>0</v>
      </c>
      <c r="X6359">
        <v>14.7</v>
      </c>
    </row>
    <row r="6360" spans="1:24" ht="15" customHeight="1" x14ac:dyDescent="0.25">
      <c r="A6360" t="str">
        <f>""</f>
        <v/>
      </c>
      <c r="B6360" s="1"/>
      <c r="H6360">
        <v>180</v>
      </c>
      <c r="J6360" t="s">
        <v>22</v>
      </c>
      <c r="L6360" s="1"/>
      <c r="N6360" s="1"/>
      <c r="V6360" t="str">
        <f>"21300"</f>
        <v>21300</v>
      </c>
      <c r="W6360">
        <v>0</v>
      </c>
      <c r="X6360">
        <v>21.6</v>
      </c>
    </row>
    <row r="6361" spans="1:24" ht="15" customHeight="1" x14ac:dyDescent="0.25">
      <c r="A6361" t="str">
        <f>""</f>
        <v/>
      </c>
      <c r="B6361" s="1"/>
      <c r="H6361">
        <v>140</v>
      </c>
      <c r="J6361" t="s">
        <v>23</v>
      </c>
      <c r="L6361" s="1"/>
      <c r="N6361" s="1"/>
      <c r="V6361" t="str">
        <f>"51480"</f>
        <v>51480</v>
      </c>
      <c r="W6361">
        <v>0</v>
      </c>
      <c r="X6361">
        <v>35</v>
      </c>
    </row>
    <row r="6362" spans="1:24" ht="15" customHeight="1" x14ac:dyDescent="0.25">
      <c r="A6362" t="str">
        <f>""</f>
        <v/>
      </c>
      <c r="B6362" s="1"/>
      <c r="H6362">
        <v>40</v>
      </c>
      <c r="J6362" t="s">
        <v>22</v>
      </c>
      <c r="L6362" s="1"/>
      <c r="V6362" t="str">
        <f>"69800"</f>
        <v>69800</v>
      </c>
      <c r="W6362">
        <v>0</v>
      </c>
      <c r="X6362">
        <v>0</v>
      </c>
    </row>
    <row r="6363" spans="1:24" ht="15" customHeight="1" x14ac:dyDescent="0.25">
      <c r="A6363" t="str">
        <f>""</f>
        <v/>
      </c>
      <c r="B6363" s="1"/>
      <c r="H6363">
        <v>38.03</v>
      </c>
      <c r="J6363" t="s">
        <v>23</v>
      </c>
      <c r="L6363" s="1"/>
      <c r="N6363" s="1"/>
      <c r="V6363" t="str">
        <f>"06600"</f>
        <v>06600</v>
      </c>
      <c r="W6363">
        <v>0</v>
      </c>
      <c r="X6363">
        <v>0</v>
      </c>
    </row>
    <row r="6364" spans="1:24" ht="15" customHeight="1" x14ac:dyDescent="0.25">
      <c r="A6364" t="str">
        <f>""</f>
        <v/>
      </c>
      <c r="B6364" s="1"/>
      <c r="H6364">
        <v>26</v>
      </c>
      <c r="J6364" t="s">
        <v>22</v>
      </c>
      <c r="L6364" s="1"/>
      <c r="V6364" t="str">
        <f>"74500"</f>
        <v>74500</v>
      </c>
      <c r="W6364">
        <v>0</v>
      </c>
      <c r="X6364">
        <v>0</v>
      </c>
    </row>
    <row r="6365" spans="1:24" ht="15" customHeight="1" x14ac:dyDescent="0.25">
      <c r="A6365" t="str">
        <f>""</f>
        <v/>
      </c>
      <c r="B6365" s="1"/>
      <c r="H6365">
        <v>196.4</v>
      </c>
      <c r="J6365" t="s">
        <v>20</v>
      </c>
      <c r="L6365" s="1"/>
      <c r="N6365" s="1"/>
      <c r="V6365" t="str">
        <f>"62000"</f>
        <v>62000</v>
      </c>
      <c r="W6365">
        <v>37.32</v>
      </c>
      <c r="X6365">
        <v>0</v>
      </c>
    </row>
    <row r="6366" spans="1:24" ht="15" customHeight="1" x14ac:dyDescent="0.25">
      <c r="A6366" t="str">
        <f>""</f>
        <v/>
      </c>
      <c r="B6366" s="1"/>
      <c r="H6366">
        <v>164.02</v>
      </c>
      <c r="J6366" t="s">
        <v>22</v>
      </c>
      <c r="L6366" s="1"/>
      <c r="N6366" s="1"/>
      <c r="V6366" t="str">
        <f>"98000"</f>
        <v>98000</v>
      </c>
      <c r="W6366">
        <v>0</v>
      </c>
      <c r="X6366">
        <v>0</v>
      </c>
    </row>
    <row r="6367" spans="1:24" ht="15" customHeight="1" x14ac:dyDescent="0.25">
      <c r="A6367" t="str">
        <f>""</f>
        <v/>
      </c>
      <c r="B6367" s="1"/>
      <c r="H6367">
        <v>75.5</v>
      </c>
      <c r="J6367" t="s">
        <v>22</v>
      </c>
      <c r="L6367" s="1"/>
      <c r="N6367" s="1"/>
      <c r="V6367" t="str">
        <f>"54000"</f>
        <v>54000</v>
      </c>
      <c r="W6367">
        <v>0</v>
      </c>
      <c r="X6367">
        <v>18.88</v>
      </c>
    </row>
    <row r="6368" spans="1:24" ht="15" customHeight="1" x14ac:dyDescent="0.25">
      <c r="A6368" t="str">
        <f>""</f>
        <v/>
      </c>
      <c r="B6368" s="1"/>
      <c r="H6368">
        <v>34</v>
      </c>
      <c r="J6368" t="s">
        <v>22</v>
      </c>
      <c r="L6368" s="1"/>
      <c r="N6368" s="1"/>
      <c r="V6368" t="str">
        <f>"85700"</f>
        <v>85700</v>
      </c>
      <c r="W6368">
        <v>0</v>
      </c>
      <c r="X6368">
        <v>0</v>
      </c>
    </row>
    <row r="6369" spans="1:24" ht="15" customHeight="1" x14ac:dyDescent="0.25">
      <c r="A6369" t="str">
        <f>""</f>
        <v/>
      </c>
      <c r="B6369" s="1"/>
      <c r="H6369">
        <v>22.5</v>
      </c>
      <c r="J6369" t="s">
        <v>22</v>
      </c>
      <c r="L6369" s="1"/>
      <c r="V6369" t="str">
        <f>"70000"</f>
        <v>70000</v>
      </c>
      <c r="W6369">
        <v>0</v>
      </c>
      <c r="X6369">
        <v>0</v>
      </c>
    </row>
    <row r="6370" spans="1:24" ht="15" customHeight="1" x14ac:dyDescent="0.25">
      <c r="A6370" t="str">
        <f>""</f>
        <v/>
      </c>
      <c r="B6370" s="1"/>
      <c r="H6370">
        <v>140</v>
      </c>
      <c r="J6370" t="s">
        <v>22</v>
      </c>
      <c r="L6370" s="1"/>
      <c r="N6370" s="1"/>
      <c r="V6370" t="str">
        <f>"45120"</f>
        <v>45120</v>
      </c>
      <c r="W6370">
        <v>0</v>
      </c>
      <c r="X6370">
        <v>54.6</v>
      </c>
    </row>
    <row r="6371" spans="1:24" ht="15" customHeight="1" x14ac:dyDescent="0.25">
      <c r="A6371" t="str">
        <f>""</f>
        <v/>
      </c>
      <c r="B6371" s="1"/>
      <c r="H6371">
        <v>29.4</v>
      </c>
      <c r="J6371" t="s">
        <v>22</v>
      </c>
      <c r="L6371" s="1"/>
      <c r="N6371" s="1"/>
      <c r="V6371" t="str">
        <f>"72310"</f>
        <v>72310</v>
      </c>
      <c r="W6371">
        <v>0</v>
      </c>
      <c r="X6371">
        <v>0</v>
      </c>
    </row>
    <row r="6372" spans="1:24" ht="15" customHeight="1" x14ac:dyDescent="0.25">
      <c r="A6372" t="str">
        <f>""</f>
        <v/>
      </c>
      <c r="B6372" s="1"/>
      <c r="H6372">
        <v>114.37</v>
      </c>
      <c r="J6372" t="s">
        <v>22</v>
      </c>
      <c r="L6372" s="1"/>
      <c r="N6372" s="1"/>
      <c r="V6372" t="str">
        <f>"79000"</f>
        <v>79000</v>
      </c>
      <c r="W6372">
        <v>0</v>
      </c>
      <c r="X6372">
        <v>0</v>
      </c>
    </row>
    <row r="6373" spans="1:24" ht="15" customHeight="1" x14ac:dyDescent="0.25">
      <c r="A6373" t="str">
        <f>""</f>
        <v/>
      </c>
      <c r="B6373" s="1"/>
      <c r="H6373">
        <v>50.84</v>
      </c>
      <c r="J6373" t="s">
        <v>19</v>
      </c>
      <c r="L6373" s="1"/>
      <c r="N6373" s="1"/>
      <c r="V6373" t="str">
        <f>"92000"</f>
        <v>92000</v>
      </c>
      <c r="W6373">
        <v>0</v>
      </c>
      <c r="X6373">
        <v>0</v>
      </c>
    </row>
    <row r="6374" spans="1:24" x14ac:dyDescent="0.25">
      <c r="A6374" t="str">
        <f>""</f>
        <v/>
      </c>
      <c r="B6374" s="1"/>
      <c r="H6374">
        <v>52.5</v>
      </c>
      <c r="J6374" t="s">
        <v>15</v>
      </c>
      <c r="L6374" s="1"/>
      <c r="N6374" s="1"/>
      <c r="V6374" t="str">
        <f>"69003"</f>
        <v>69003</v>
      </c>
      <c r="W6374">
        <v>0</v>
      </c>
      <c r="X6374">
        <v>0</v>
      </c>
    </row>
    <row r="6375" spans="1:24" x14ac:dyDescent="0.25">
      <c r="A6375" t="str">
        <f>""</f>
        <v/>
      </c>
      <c r="B6375" s="1"/>
      <c r="H6375">
        <v>52.5</v>
      </c>
      <c r="J6375" t="s">
        <v>15</v>
      </c>
      <c r="L6375" s="1"/>
      <c r="N6375" s="1"/>
      <c r="V6375" t="str">
        <f>"38100"</f>
        <v>38100</v>
      </c>
      <c r="W6375">
        <v>14.18</v>
      </c>
      <c r="X6375">
        <v>0</v>
      </c>
    </row>
    <row r="6376" spans="1:24" x14ac:dyDescent="0.25">
      <c r="A6376" t="str">
        <f>""</f>
        <v/>
      </c>
      <c r="B6376" s="1"/>
      <c r="H6376">
        <v>52.5</v>
      </c>
      <c r="J6376" t="s">
        <v>15</v>
      </c>
      <c r="L6376" s="1"/>
      <c r="N6376" s="1"/>
      <c r="V6376" t="str">
        <f>"91130"</f>
        <v>91130</v>
      </c>
      <c r="W6376">
        <v>0</v>
      </c>
      <c r="X6376">
        <v>0</v>
      </c>
    </row>
    <row r="6377" spans="1:24" x14ac:dyDescent="0.25">
      <c r="A6377" t="str">
        <f>""</f>
        <v/>
      </c>
      <c r="B6377" s="1"/>
      <c r="H6377">
        <v>52.5</v>
      </c>
      <c r="J6377" t="s">
        <v>15</v>
      </c>
      <c r="L6377" s="1"/>
      <c r="N6377" s="1"/>
      <c r="V6377" t="str">
        <f>"26000"</f>
        <v>26000</v>
      </c>
      <c r="W6377">
        <v>0</v>
      </c>
      <c r="X6377">
        <v>0</v>
      </c>
    </row>
    <row r="6378" spans="1:24" ht="15" customHeight="1" x14ac:dyDescent="0.25">
      <c r="A6378" t="str">
        <f>""</f>
        <v/>
      </c>
      <c r="B6378" s="1"/>
      <c r="H6378">
        <v>34.08</v>
      </c>
      <c r="J6378" t="s">
        <v>22</v>
      </c>
      <c r="L6378" s="1"/>
      <c r="N6378" s="1"/>
      <c r="V6378" t="str">
        <f>"69520"</f>
        <v>69520</v>
      </c>
      <c r="W6378">
        <v>0</v>
      </c>
      <c r="X6378">
        <v>0</v>
      </c>
    </row>
    <row r="6379" spans="1:24" ht="15" customHeight="1" x14ac:dyDescent="0.25">
      <c r="A6379" t="str">
        <f>""</f>
        <v/>
      </c>
      <c r="B6379" s="1"/>
      <c r="H6379">
        <v>163</v>
      </c>
      <c r="J6379" t="s">
        <v>22</v>
      </c>
      <c r="L6379" s="1"/>
      <c r="N6379" s="1"/>
      <c r="V6379" t="str">
        <f>"77140"</f>
        <v>77140</v>
      </c>
      <c r="W6379">
        <v>0</v>
      </c>
      <c r="X6379">
        <v>0</v>
      </c>
    </row>
    <row r="6380" spans="1:24" ht="15" customHeight="1" x14ac:dyDescent="0.25">
      <c r="A6380" t="str">
        <f>""</f>
        <v/>
      </c>
      <c r="B6380" s="1"/>
      <c r="H6380">
        <v>163.98</v>
      </c>
      <c r="J6380" t="s">
        <v>22</v>
      </c>
      <c r="L6380" s="1"/>
      <c r="N6380" s="1"/>
      <c r="V6380" t="str">
        <f>"77140"</f>
        <v>77140</v>
      </c>
      <c r="W6380">
        <v>0</v>
      </c>
      <c r="X6380">
        <v>0</v>
      </c>
    </row>
    <row r="6381" spans="1:24" ht="15" customHeight="1" x14ac:dyDescent="0.25">
      <c r="A6381" t="str">
        <f>""</f>
        <v/>
      </c>
      <c r="B6381" s="1"/>
      <c r="H6381">
        <v>30</v>
      </c>
      <c r="J6381" t="s">
        <v>22</v>
      </c>
      <c r="L6381" s="1"/>
      <c r="N6381" s="1"/>
      <c r="V6381" t="str">
        <f>"69120"</f>
        <v>69120</v>
      </c>
      <c r="W6381">
        <v>0</v>
      </c>
      <c r="X6381">
        <v>0</v>
      </c>
    </row>
    <row r="6382" spans="1:24" ht="15" customHeight="1" x14ac:dyDescent="0.25">
      <c r="A6382" t="str">
        <f>""</f>
        <v/>
      </c>
      <c r="B6382" s="1"/>
      <c r="H6382">
        <v>141.02000000000001</v>
      </c>
      <c r="J6382" t="s">
        <v>23</v>
      </c>
      <c r="L6382" s="1"/>
      <c r="N6382" s="1"/>
      <c r="V6382" t="str">
        <f>"63000"</f>
        <v>63000</v>
      </c>
      <c r="W6382">
        <v>0</v>
      </c>
      <c r="X6382">
        <v>16.920000000000002</v>
      </c>
    </row>
    <row r="6383" spans="1:24" ht="15" customHeight="1" x14ac:dyDescent="0.25">
      <c r="A6383" t="str">
        <f>""</f>
        <v/>
      </c>
      <c r="B6383" s="1"/>
      <c r="H6383">
        <v>151</v>
      </c>
      <c r="J6383" t="s">
        <v>22</v>
      </c>
      <c r="L6383" s="1"/>
      <c r="N6383" s="1"/>
      <c r="V6383" t="str">
        <f>"77170"</f>
        <v>77170</v>
      </c>
      <c r="W6383">
        <v>0</v>
      </c>
      <c r="X6383">
        <v>0</v>
      </c>
    </row>
    <row r="6384" spans="1:24" ht="15" customHeight="1" x14ac:dyDescent="0.25">
      <c r="A6384" t="str">
        <f>""</f>
        <v/>
      </c>
      <c r="B6384" s="1"/>
      <c r="H6384">
        <v>34.24</v>
      </c>
      <c r="J6384" t="s">
        <v>22</v>
      </c>
      <c r="L6384" s="1"/>
      <c r="N6384" s="1"/>
      <c r="V6384" t="str">
        <f>"93290"</f>
        <v>93290</v>
      </c>
      <c r="W6384">
        <v>0</v>
      </c>
      <c r="X6384">
        <v>0</v>
      </c>
    </row>
    <row r="6385" spans="1:24" ht="15" customHeight="1" x14ac:dyDescent="0.25">
      <c r="A6385" t="str">
        <f>""</f>
        <v/>
      </c>
      <c r="B6385" s="1"/>
      <c r="H6385">
        <v>151.26</v>
      </c>
      <c r="J6385" t="s">
        <v>23</v>
      </c>
      <c r="L6385" s="1"/>
      <c r="N6385" s="1"/>
      <c r="V6385" t="str">
        <f>"94120"</f>
        <v>94120</v>
      </c>
      <c r="W6385">
        <v>0</v>
      </c>
      <c r="X6385">
        <v>0</v>
      </c>
    </row>
    <row r="6386" spans="1:24" ht="15" customHeight="1" x14ac:dyDescent="0.25">
      <c r="A6386" t="str">
        <f>""</f>
        <v/>
      </c>
      <c r="B6386" s="1"/>
      <c r="H6386">
        <v>19.649999999999999</v>
      </c>
      <c r="J6386" t="s">
        <v>19</v>
      </c>
      <c r="L6386" s="1"/>
      <c r="N6386" s="1"/>
      <c r="V6386" t="str">
        <f>"38110"</f>
        <v>38110</v>
      </c>
      <c r="W6386">
        <v>5.31</v>
      </c>
      <c r="X6386">
        <v>0</v>
      </c>
    </row>
    <row r="6387" spans="1:24" ht="15" customHeight="1" x14ac:dyDescent="0.25">
      <c r="A6387" t="str">
        <f>""</f>
        <v/>
      </c>
      <c r="B6387" s="1"/>
      <c r="H6387">
        <v>180</v>
      </c>
      <c r="L6387" s="1"/>
      <c r="N6387" s="1"/>
      <c r="V6387" t="str">
        <f>"77184"</f>
        <v>77184</v>
      </c>
      <c r="W6387">
        <v>0</v>
      </c>
      <c r="X6387">
        <v>0</v>
      </c>
    </row>
    <row r="6388" spans="1:24" ht="15" customHeight="1" x14ac:dyDescent="0.25">
      <c r="A6388" t="str">
        <f>""</f>
        <v/>
      </c>
      <c r="B6388" s="1"/>
      <c r="H6388">
        <v>171.33</v>
      </c>
      <c r="J6388" t="s">
        <v>23</v>
      </c>
      <c r="L6388" s="1"/>
      <c r="N6388" s="1"/>
      <c r="V6388" t="str">
        <f>"44240"</f>
        <v>44240</v>
      </c>
      <c r="W6388">
        <v>0</v>
      </c>
      <c r="X6388">
        <v>46.26</v>
      </c>
    </row>
    <row r="6389" spans="1:24" ht="15" customHeight="1" x14ac:dyDescent="0.25">
      <c r="A6389" t="str">
        <f>""</f>
        <v/>
      </c>
      <c r="B6389" s="1"/>
      <c r="H6389">
        <v>136.72</v>
      </c>
      <c r="J6389" t="s">
        <v>19</v>
      </c>
      <c r="L6389" s="1"/>
      <c r="N6389" s="1"/>
      <c r="V6389" t="str">
        <f>"16380"</f>
        <v>16380</v>
      </c>
      <c r="W6389">
        <v>28.71</v>
      </c>
      <c r="X6389">
        <v>0</v>
      </c>
    </row>
    <row r="6390" spans="1:24" ht="15" customHeight="1" x14ac:dyDescent="0.25">
      <c r="A6390" t="str">
        <f>""</f>
        <v/>
      </c>
      <c r="B6390" s="1"/>
      <c r="H6390">
        <v>184.19</v>
      </c>
      <c r="J6390" t="s">
        <v>19</v>
      </c>
      <c r="L6390" s="1"/>
      <c r="N6390" s="1"/>
      <c r="V6390" t="str">
        <f>"16380"</f>
        <v>16380</v>
      </c>
      <c r="W6390">
        <v>38.68</v>
      </c>
      <c r="X6390">
        <v>0</v>
      </c>
    </row>
    <row r="6391" spans="1:24" ht="15" customHeight="1" x14ac:dyDescent="0.25">
      <c r="A6391" t="str">
        <f>""</f>
        <v/>
      </c>
      <c r="B6391" s="1"/>
      <c r="H6391">
        <v>126.65</v>
      </c>
      <c r="J6391" t="s">
        <v>20</v>
      </c>
      <c r="L6391" s="1"/>
      <c r="N6391" s="1"/>
      <c r="V6391" t="str">
        <f>"35131"</f>
        <v>35131</v>
      </c>
      <c r="W6391">
        <v>34.200000000000003</v>
      </c>
      <c r="X6391">
        <v>0</v>
      </c>
    </row>
    <row r="6392" spans="1:24" ht="15" customHeight="1" x14ac:dyDescent="0.25">
      <c r="A6392" t="str">
        <f>""</f>
        <v/>
      </c>
      <c r="B6392" s="1"/>
      <c r="H6392">
        <v>154.38999999999999</v>
      </c>
      <c r="J6392" t="s">
        <v>19</v>
      </c>
      <c r="L6392" s="1"/>
      <c r="N6392" s="1"/>
      <c r="V6392" t="str">
        <f>"44000"</f>
        <v>44000</v>
      </c>
      <c r="W6392">
        <v>41.69</v>
      </c>
      <c r="X6392">
        <v>0</v>
      </c>
    </row>
    <row r="6393" spans="1:24" ht="15" customHeight="1" x14ac:dyDescent="0.25">
      <c r="A6393" t="str">
        <f>""</f>
        <v/>
      </c>
      <c r="B6393" s="1"/>
      <c r="H6393">
        <v>129</v>
      </c>
      <c r="J6393" t="s">
        <v>23</v>
      </c>
      <c r="L6393" s="1"/>
      <c r="N6393" s="1"/>
      <c r="V6393" t="str">
        <f>"94600"</f>
        <v>94600</v>
      </c>
      <c r="W6393">
        <v>0</v>
      </c>
      <c r="X6393">
        <v>0</v>
      </c>
    </row>
    <row r="6394" spans="1:24" ht="15" customHeight="1" x14ac:dyDescent="0.25">
      <c r="A6394" t="str">
        <f>""</f>
        <v/>
      </c>
      <c r="B6394" s="1"/>
      <c r="H6394">
        <v>36.119999999999997</v>
      </c>
      <c r="J6394" t="s">
        <v>23</v>
      </c>
      <c r="L6394" s="1"/>
      <c r="N6394" s="1"/>
      <c r="V6394" t="str">
        <f>"28000"</f>
        <v>28000</v>
      </c>
      <c r="W6394">
        <v>0</v>
      </c>
      <c r="X6394">
        <v>0</v>
      </c>
    </row>
    <row r="6395" spans="1:24" ht="15" customHeight="1" x14ac:dyDescent="0.25">
      <c r="A6395" t="str">
        <f>""</f>
        <v/>
      </c>
      <c r="B6395" s="1"/>
      <c r="H6395">
        <v>73</v>
      </c>
      <c r="J6395" t="s">
        <v>19</v>
      </c>
      <c r="L6395" s="1"/>
      <c r="N6395" s="1"/>
      <c r="V6395" t="str">
        <f>"13790"</f>
        <v>13790</v>
      </c>
      <c r="W6395">
        <v>37.229999999999997</v>
      </c>
      <c r="X6395">
        <v>0</v>
      </c>
    </row>
    <row r="6396" spans="1:24" ht="15" customHeight="1" x14ac:dyDescent="0.25">
      <c r="A6396" t="str">
        <f>""</f>
        <v/>
      </c>
      <c r="B6396" s="1"/>
      <c r="H6396">
        <v>40</v>
      </c>
      <c r="J6396" t="s">
        <v>22</v>
      </c>
      <c r="L6396" s="1"/>
      <c r="N6396" s="1"/>
      <c r="V6396" t="str">
        <f>"92400"</f>
        <v>92400</v>
      </c>
      <c r="W6396">
        <v>0</v>
      </c>
      <c r="X6396">
        <v>0</v>
      </c>
    </row>
    <row r="6397" spans="1:24" ht="15" customHeight="1" x14ac:dyDescent="0.25">
      <c r="A6397" t="str">
        <f>""</f>
        <v/>
      </c>
      <c r="B6397" s="1"/>
      <c r="H6397">
        <v>29.59</v>
      </c>
      <c r="J6397" t="s">
        <v>22</v>
      </c>
      <c r="L6397" s="1"/>
      <c r="V6397" t="str">
        <f>"92400"</f>
        <v>92400</v>
      </c>
      <c r="W6397">
        <v>0</v>
      </c>
      <c r="X6397">
        <v>0</v>
      </c>
    </row>
    <row r="6398" spans="1:24" ht="15" customHeight="1" x14ac:dyDescent="0.25">
      <c r="A6398" t="str">
        <f>""</f>
        <v/>
      </c>
      <c r="B6398" s="1"/>
      <c r="H6398">
        <v>210</v>
      </c>
      <c r="J6398" t="s">
        <v>20</v>
      </c>
      <c r="L6398" s="1"/>
      <c r="N6398" s="1"/>
      <c r="V6398" t="str">
        <f>"94150"</f>
        <v>94150</v>
      </c>
      <c r="W6398">
        <v>0</v>
      </c>
      <c r="X6398">
        <v>0</v>
      </c>
    </row>
    <row r="6399" spans="1:24" ht="15" customHeight="1" x14ac:dyDescent="0.25">
      <c r="A6399" t="str">
        <f>""</f>
        <v/>
      </c>
      <c r="B6399" s="1"/>
      <c r="H6399">
        <v>180</v>
      </c>
      <c r="J6399" t="s">
        <v>22</v>
      </c>
      <c r="L6399" s="1"/>
      <c r="N6399" s="1"/>
      <c r="V6399" t="str">
        <f>"62320"</f>
        <v>62320</v>
      </c>
      <c r="W6399">
        <v>0</v>
      </c>
      <c r="X6399">
        <v>0</v>
      </c>
    </row>
    <row r="6400" spans="1:24" ht="15" customHeight="1" x14ac:dyDescent="0.25">
      <c r="A6400" t="str">
        <f>""</f>
        <v/>
      </c>
      <c r="B6400" s="1"/>
      <c r="H6400">
        <v>151</v>
      </c>
      <c r="J6400" t="s">
        <v>22</v>
      </c>
      <c r="L6400" s="1"/>
      <c r="N6400" s="1"/>
      <c r="V6400" t="str">
        <f>"06560"</f>
        <v>06560</v>
      </c>
      <c r="W6400">
        <v>0</v>
      </c>
      <c r="X6400">
        <v>0</v>
      </c>
    </row>
    <row r="6401" spans="1:24" ht="15" customHeight="1" x14ac:dyDescent="0.25">
      <c r="A6401" t="str">
        <f>""</f>
        <v/>
      </c>
      <c r="B6401" s="1"/>
      <c r="H6401">
        <v>151</v>
      </c>
      <c r="J6401" t="s">
        <v>22</v>
      </c>
      <c r="L6401" s="1"/>
      <c r="N6401" s="1"/>
      <c r="V6401" t="str">
        <f>"06560"</f>
        <v>06560</v>
      </c>
      <c r="W6401">
        <v>0</v>
      </c>
      <c r="X6401">
        <v>0</v>
      </c>
    </row>
    <row r="6402" spans="1:24" ht="15" customHeight="1" x14ac:dyDescent="0.25">
      <c r="A6402" t="str">
        <f>""</f>
        <v/>
      </c>
      <c r="B6402" s="1"/>
      <c r="H6402">
        <v>151</v>
      </c>
      <c r="J6402" t="s">
        <v>22</v>
      </c>
      <c r="L6402" s="1"/>
      <c r="N6402" s="1"/>
      <c r="V6402" t="str">
        <f>"06560"</f>
        <v>06560</v>
      </c>
      <c r="W6402">
        <v>0</v>
      </c>
      <c r="X6402">
        <v>0</v>
      </c>
    </row>
    <row r="6403" spans="1:24" ht="15" customHeight="1" x14ac:dyDescent="0.25">
      <c r="A6403" t="str">
        <f>""</f>
        <v/>
      </c>
      <c r="B6403" s="1"/>
      <c r="H6403">
        <v>151</v>
      </c>
      <c r="J6403" t="s">
        <v>22</v>
      </c>
      <c r="L6403" s="1"/>
      <c r="N6403" s="1"/>
      <c r="V6403" t="str">
        <f>"06560"</f>
        <v>06560</v>
      </c>
      <c r="W6403">
        <v>0</v>
      </c>
      <c r="X6403">
        <v>0</v>
      </c>
    </row>
    <row r="6404" spans="1:24" ht="15" customHeight="1" x14ac:dyDescent="0.25">
      <c r="A6404" t="str">
        <f>""</f>
        <v/>
      </c>
      <c r="B6404" s="1"/>
      <c r="H6404">
        <v>10</v>
      </c>
      <c r="L6404" s="1"/>
      <c r="N6404" s="1"/>
      <c r="V6404" t="str">
        <f>"77184"</f>
        <v>77184</v>
      </c>
      <c r="W6404">
        <v>0</v>
      </c>
      <c r="X6404">
        <v>0</v>
      </c>
    </row>
    <row r="6405" spans="1:24" ht="15" customHeight="1" x14ac:dyDescent="0.25">
      <c r="A6405" t="str">
        <f>""</f>
        <v/>
      </c>
      <c r="B6405" s="1"/>
      <c r="H6405">
        <v>164.02</v>
      </c>
      <c r="J6405" t="s">
        <v>22</v>
      </c>
      <c r="L6405" s="1"/>
      <c r="N6405" s="1"/>
      <c r="V6405" t="str">
        <f>"75008"</f>
        <v>75008</v>
      </c>
      <c r="W6405">
        <v>0</v>
      </c>
      <c r="X6405">
        <v>0</v>
      </c>
    </row>
    <row r="6406" spans="1:24" ht="15" customHeight="1" x14ac:dyDescent="0.25">
      <c r="A6406" t="str">
        <f>""</f>
        <v/>
      </c>
      <c r="B6406" s="1"/>
      <c r="H6406">
        <v>139.62</v>
      </c>
      <c r="J6406" t="s">
        <v>23</v>
      </c>
      <c r="L6406" s="1"/>
      <c r="N6406" s="1"/>
      <c r="V6406" t="str">
        <f>"34980"</f>
        <v>34980</v>
      </c>
      <c r="W6406">
        <v>0</v>
      </c>
      <c r="X6406">
        <v>39.090000000000003</v>
      </c>
    </row>
    <row r="6407" spans="1:24" ht="15" customHeight="1" x14ac:dyDescent="0.25">
      <c r="A6407" t="str">
        <f>""</f>
        <v/>
      </c>
      <c r="B6407" s="1"/>
      <c r="H6407">
        <v>70</v>
      </c>
      <c r="J6407" t="s">
        <v>23</v>
      </c>
      <c r="L6407" s="1"/>
      <c r="N6407" s="1"/>
      <c r="V6407" t="str">
        <f>"38460"</f>
        <v>38460</v>
      </c>
      <c r="W6407">
        <v>0</v>
      </c>
      <c r="X6407">
        <v>0</v>
      </c>
    </row>
    <row r="6408" spans="1:24" ht="15" customHeight="1" x14ac:dyDescent="0.25">
      <c r="A6408" t="str">
        <f>""</f>
        <v/>
      </c>
      <c r="B6408" s="1"/>
      <c r="H6408">
        <v>178.29</v>
      </c>
      <c r="J6408" t="s">
        <v>22</v>
      </c>
      <c r="L6408" s="1"/>
      <c r="N6408" s="1"/>
      <c r="V6408" t="str">
        <f>"69003"</f>
        <v>69003</v>
      </c>
      <c r="W6408">
        <v>0</v>
      </c>
      <c r="X6408">
        <v>0</v>
      </c>
    </row>
    <row r="6409" spans="1:24" ht="15" customHeight="1" x14ac:dyDescent="0.25">
      <c r="A6409" t="str">
        <f>""</f>
        <v/>
      </c>
      <c r="B6409" s="1"/>
      <c r="H6409">
        <v>31.6</v>
      </c>
      <c r="L6409" s="1"/>
      <c r="N6409" s="1"/>
      <c r="V6409" t="str">
        <f>"77184"</f>
        <v>77184</v>
      </c>
      <c r="W6409">
        <v>0</v>
      </c>
      <c r="X6409">
        <v>0</v>
      </c>
    </row>
    <row r="6410" spans="1:24" ht="15" customHeight="1" x14ac:dyDescent="0.25">
      <c r="A6410" t="str">
        <f>""</f>
        <v/>
      </c>
      <c r="B6410" s="1"/>
      <c r="H6410">
        <v>140</v>
      </c>
      <c r="J6410" t="s">
        <v>22</v>
      </c>
      <c r="L6410" s="1"/>
      <c r="N6410" s="1"/>
      <c r="V6410" t="str">
        <f>"30750"</f>
        <v>30750</v>
      </c>
      <c r="W6410">
        <v>0</v>
      </c>
      <c r="X6410">
        <v>39.200000000000003</v>
      </c>
    </row>
    <row r="6411" spans="1:24" ht="15" customHeight="1" x14ac:dyDescent="0.25">
      <c r="A6411" t="str">
        <f>""</f>
        <v/>
      </c>
      <c r="B6411" s="1"/>
      <c r="H6411">
        <v>160.61000000000001</v>
      </c>
      <c r="J6411" t="s">
        <v>19</v>
      </c>
      <c r="L6411" s="1"/>
      <c r="N6411" s="1"/>
      <c r="V6411" t="str">
        <f>"69007"</f>
        <v>69007</v>
      </c>
      <c r="W6411">
        <v>43.36</v>
      </c>
      <c r="X6411">
        <v>0</v>
      </c>
    </row>
    <row r="6412" spans="1:24" ht="15" customHeight="1" x14ac:dyDescent="0.25">
      <c r="A6412" t="str">
        <f>""</f>
        <v/>
      </c>
      <c r="B6412" s="1"/>
      <c r="H6412">
        <v>205</v>
      </c>
      <c r="J6412" t="s">
        <v>22</v>
      </c>
      <c r="L6412" s="1"/>
      <c r="N6412" s="1"/>
      <c r="V6412" t="str">
        <f>"69002"</f>
        <v>69002</v>
      </c>
      <c r="W6412">
        <v>0</v>
      </c>
      <c r="X6412">
        <v>0</v>
      </c>
    </row>
    <row r="6413" spans="1:24" ht="15" customHeight="1" x14ac:dyDescent="0.25">
      <c r="A6413" t="str">
        <f>""</f>
        <v/>
      </c>
      <c r="B6413" s="1"/>
      <c r="H6413">
        <v>17</v>
      </c>
      <c r="J6413" t="s">
        <v>23</v>
      </c>
      <c r="L6413" s="1"/>
      <c r="N6413" s="1"/>
      <c r="V6413" t="str">
        <f>"67000"</f>
        <v>67000</v>
      </c>
      <c r="W6413">
        <v>0</v>
      </c>
      <c r="X6413">
        <v>1.36</v>
      </c>
    </row>
    <row r="6414" spans="1:24" ht="15" customHeight="1" x14ac:dyDescent="0.25">
      <c r="A6414" t="str">
        <f>""</f>
        <v/>
      </c>
      <c r="B6414" s="1"/>
      <c r="H6414">
        <v>164.02</v>
      </c>
      <c r="J6414" t="s">
        <v>23</v>
      </c>
      <c r="L6414" s="1"/>
      <c r="N6414" s="1"/>
      <c r="V6414" t="str">
        <f>"50240"</f>
        <v>50240</v>
      </c>
      <c r="W6414">
        <v>0</v>
      </c>
      <c r="X6414">
        <v>27.88</v>
      </c>
    </row>
    <row r="6415" spans="1:24" x14ac:dyDescent="0.25">
      <c r="A6415" t="str">
        <f>""</f>
        <v/>
      </c>
      <c r="B6415" s="1"/>
      <c r="H6415">
        <v>124</v>
      </c>
      <c r="J6415" t="s">
        <v>16</v>
      </c>
      <c r="L6415" s="1"/>
      <c r="N6415" s="1"/>
      <c r="V6415" t="str">
        <f>"77184"</f>
        <v>77184</v>
      </c>
      <c r="W6415">
        <v>0</v>
      </c>
      <c r="X6415">
        <v>0</v>
      </c>
    </row>
    <row r="6416" spans="1:24" ht="15" customHeight="1" x14ac:dyDescent="0.25">
      <c r="A6416" t="str">
        <f>""</f>
        <v/>
      </c>
      <c r="B6416" s="1"/>
      <c r="H6416">
        <v>121.89</v>
      </c>
      <c r="J6416" t="s">
        <v>20</v>
      </c>
      <c r="L6416" s="1"/>
      <c r="N6416" s="1"/>
      <c r="V6416" t="str">
        <f>"49730"</f>
        <v>49730</v>
      </c>
      <c r="W6416">
        <v>32.909999999999997</v>
      </c>
      <c r="X6416">
        <v>0</v>
      </c>
    </row>
    <row r="6417" spans="1:24" ht="15" customHeight="1" x14ac:dyDescent="0.25">
      <c r="A6417" t="str">
        <f>""</f>
        <v/>
      </c>
      <c r="B6417" s="1"/>
      <c r="H6417">
        <v>20.23</v>
      </c>
      <c r="J6417" t="s">
        <v>19</v>
      </c>
      <c r="L6417" s="1"/>
      <c r="N6417" s="1"/>
      <c r="V6417" t="str">
        <f>"42160"</f>
        <v>42160</v>
      </c>
      <c r="W6417">
        <v>5.46</v>
      </c>
      <c r="X6417">
        <v>0</v>
      </c>
    </row>
    <row r="6418" spans="1:24" ht="15" customHeight="1" x14ac:dyDescent="0.25">
      <c r="A6418" t="str">
        <f>""</f>
        <v/>
      </c>
      <c r="B6418" s="1"/>
      <c r="H6418">
        <v>154.03</v>
      </c>
      <c r="J6418" t="s">
        <v>19</v>
      </c>
      <c r="L6418" s="1"/>
      <c r="N6418" s="1"/>
      <c r="V6418" t="str">
        <f>"42160"</f>
        <v>42160</v>
      </c>
      <c r="W6418">
        <v>41.59</v>
      </c>
      <c r="X6418">
        <v>0</v>
      </c>
    </row>
    <row r="6419" spans="1:24" x14ac:dyDescent="0.25">
      <c r="A6419" t="str">
        <f>""</f>
        <v/>
      </c>
      <c r="B6419" s="1"/>
      <c r="H6419">
        <v>250</v>
      </c>
      <c r="J6419" t="s">
        <v>16</v>
      </c>
      <c r="L6419" s="1"/>
      <c r="N6419" s="1"/>
      <c r="V6419" t="str">
        <f>"83400"</f>
        <v>83400</v>
      </c>
      <c r="W6419">
        <v>0</v>
      </c>
      <c r="X6419">
        <v>0</v>
      </c>
    </row>
    <row r="6420" spans="1:24" ht="15" customHeight="1" x14ac:dyDescent="0.25">
      <c r="A6420" t="str">
        <f>""</f>
        <v/>
      </c>
      <c r="B6420" s="1"/>
      <c r="H6420">
        <v>79.400000000000006</v>
      </c>
      <c r="J6420" t="s">
        <v>23</v>
      </c>
      <c r="L6420" s="1"/>
      <c r="N6420" s="1"/>
      <c r="V6420" t="str">
        <f>"45120"</f>
        <v>45120</v>
      </c>
      <c r="W6420">
        <v>0</v>
      </c>
      <c r="X6420">
        <v>30.97</v>
      </c>
    </row>
    <row r="6421" spans="1:24" ht="15" customHeight="1" x14ac:dyDescent="0.25">
      <c r="A6421" t="str">
        <f>""</f>
        <v/>
      </c>
      <c r="B6421" s="1"/>
      <c r="H6421">
        <v>137.43</v>
      </c>
      <c r="J6421" t="s">
        <v>19</v>
      </c>
      <c r="L6421" s="1"/>
      <c r="N6421" s="1"/>
      <c r="V6421" t="str">
        <f>"26000"</f>
        <v>26000</v>
      </c>
      <c r="W6421">
        <v>37.11</v>
      </c>
      <c r="X6421">
        <v>0</v>
      </c>
    </row>
    <row r="6422" spans="1:24" ht="15" customHeight="1" x14ac:dyDescent="0.25">
      <c r="A6422" t="str">
        <f>""</f>
        <v/>
      </c>
      <c r="B6422" s="1"/>
      <c r="H6422">
        <v>55.16</v>
      </c>
      <c r="J6422" t="s">
        <v>19</v>
      </c>
      <c r="L6422" s="1"/>
      <c r="N6422" s="1"/>
      <c r="V6422" t="str">
        <f>"26000"</f>
        <v>26000</v>
      </c>
      <c r="W6422">
        <v>14.89</v>
      </c>
      <c r="X6422">
        <v>0</v>
      </c>
    </row>
    <row r="6423" spans="1:24" ht="15" customHeight="1" x14ac:dyDescent="0.25">
      <c r="A6423" t="str">
        <f>""</f>
        <v/>
      </c>
      <c r="B6423" s="1"/>
      <c r="H6423">
        <v>20.23</v>
      </c>
      <c r="J6423" t="s">
        <v>19</v>
      </c>
      <c r="L6423" s="1"/>
      <c r="N6423" s="1"/>
      <c r="V6423" t="str">
        <f>"87000"</f>
        <v>87000</v>
      </c>
      <c r="W6423">
        <v>5.87</v>
      </c>
      <c r="X6423">
        <v>0</v>
      </c>
    </row>
    <row r="6424" spans="1:24" ht="15" customHeight="1" x14ac:dyDescent="0.25">
      <c r="A6424" t="str">
        <f>""</f>
        <v/>
      </c>
      <c r="B6424" s="1"/>
      <c r="H6424">
        <v>114.65</v>
      </c>
      <c r="J6424" t="s">
        <v>20</v>
      </c>
      <c r="L6424" s="1"/>
      <c r="N6424" s="1"/>
      <c r="V6424" t="str">
        <f>"42160"</f>
        <v>42160</v>
      </c>
      <c r="W6424">
        <v>30.96</v>
      </c>
      <c r="X6424">
        <v>0</v>
      </c>
    </row>
    <row r="6425" spans="1:24" ht="15" customHeight="1" x14ac:dyDescent="0.25">
      <c r="A6425" t="str">
        <f>""</f>
        <v/>
      </c>
      <c r="B6425" s="1"/>
      <c r="H6425">
        <v>137.01</v>
      </c>
      <c r="J6425" t="s">
        <v>20</v>
      </c>
      <c r="L6425" s="1"/>
      <c r="N6425" s="1"/>
      <c r="V6425" t="str">
        <f>"66130"</f>
        <v>66130</v>
      </c>
      <c r="W6425">
        <v>53.43</v>
      </c>
      <c r="X6425">
        <v>0</v>
      </c>
    </row>
    <row r="6426" spans="1:24" x14ac:dyDescent="0.25">
      <c r="A6426" t="str">
        <f>""</f>
        <v/>
      </c>
      <c r="B6426" s="1"/>
      <c r="H6426">
        <v>183.04</v>
      </c>
      <c r="J6426" t="s">
        <v>15</v>
      </c>
      <c r="L6426" s="1"/>
      <c r="N6426" s="1"/>
      <c r="V6426" t="str">
        <f>"38510"</f>
        <v>38510</v>
      </c>
      <c r="W6426">
        <v>0</v>
      </c>
      <c r="X6426">
        <v>0</v>
      </c>
    </row>
    <row r="6427" spans="1:24" ht="15" customHeight="1" x14ac:dyDescent="0.25">
      <c r="A6427" t="str">
        <f>""</f>
        <v/>
      </c>
      <c r="B6427" s="1"/>
      <c r="H6427">
        <v>40</v>
      </c>
      <c r="J6427" t="s">
        <v>23</v>
      </c>
      <c r="L6427" s="1"/>
      <c r="N6427" s="1"/>
      <c r="V6427" t="str">
        <f>"60200"</f>
        <v>60200</v>
      </c>
      <c r="W6427">
        <v>0</v>
      </c>
      <c r="X6427">
        <v>0</v>
      </c>
    </row>
    <row r="6428" spans="1:24" ht="15" customHeight="1" x14ac:dyDescent="0.25">
      <c r="A6428" t="str">
        <f>""</f>
        <v/>
      </c>
      <c r="B6428" s="1"/>
      <c r="H6428">
        <v>42.96</v>
      </c>
      <c r="J6428" t="s">
        <v>23</v>
      </c>
      <c r="L6428" s="1"/>
      <c r="N6428" s="1"/>
      <c r="V6428" t="str">
        <f>"35510"</f>
        <v>35510</v>
      </c>
      <c r="W6428">
        <v>0</v>
      </c>
      <c r="X6428">
        <v>0</v>
      </c>
    </row>
    <row r="6429" spans="1:24" ht="15" customHeight="1" x14ac:dyDescent="0.25">
      <c r="A6429" t="str">
        <f>""</f>
        <v/>
      </c>
      <c r="B6429" s="1"/>
      <c r="H6429">
        <v>239.58</v>
      </c>
      <c r="J6429" t="s">
        <v>23</v>
      </c>
      <c r="L6429" s="1"/>
      <c r="N6429" s="1"/>
      <c r="V6429" t="str">
        <f>"13821"</f>
        <v>13821</v>
      </c>
      <c r="W6429">
        <v>0</v>
      </c>
      <c r="X6429">
        <v>45.52</v>
      </c>
    </row>
    <row r="6430" spans="1:24" ht="15" customHeight="1" x14ac:dyDescent="0.25">
      <c r="A6430" t="str">
        <f>""</f>
        <v/>
      </c>
      <c r="B6430" s="1"/>
      <c r="H6430">
        <v>40</v>
      </c>
      <c r="J6430" t="s">
        <v>23</v>
      </c>
      <c r="L6430" s="1"/>
      <c r="N6430" s="1"/>
      <c r="V6430" t="str">
        <f>"75002"</f>
        <v>75002</v>
      </c>
      <c r="W6430">
        <v>0</v>
      </c>
      <c r="X6430">
        <v>0</v>
      </c>
    </row>
    <row r="6431" spans="1:24" ht="15" customHeight="1" x14ac:dyDescent="0.25">
      <c r="A6431" t="str">
        <f>""</f>
        <v/>
      </c>
      <c r="B6431" s="1"/>
      <c r="H6431">
        <v>40</v>
      </c>
      <c r="J6431" t="s">
        <v>19</v>
      </c>
      <c r="L6431" s="1"/>
      <c r="N6431" s="1"/>
      <c r="V6431" t="str">
        <f>"68520"</f>
        <v>68520</v>
      </c>
      <c r="W6431">
        <v>11.6</v>
      </c>
      <c r="X6431">
        <v>0</v>
      </c>
    </row>
    <row r="6432" spans="1:24" ht="15" customHeight="1" x14ac:dyDescent="0.25">
      <c r="A6432" t="str">
        <f>""</f>
        <v/>
      </c>
      <c r="B6432" s="1"/>
      <c r="H6432">
        <v>56.51</v>
      </c>
      <c r="J6432" t="s">
        <v>20</v>
      </c>
      <c r="L6432" s="1"/>
      <c r="N6432" s="1"/>
      <c r="V6432" t="str">
        <f>"75009"</f>
        <v>75009</v>
      </c>
      <c r="W6432">
        <v>0</v>
      </c>
      <c r="X6432">
        <v>0</v>
      </c>
    </row>
    <row r="6433" spans="1:24" ht="15" customHeight="1" x14ac:dyDescent="0.25">
      <c r="A6433" t="str">
        <f>""</f>
        <v/>
      </c>
      <c r="B6433" s="1"/>
      <c r="H6433">
        <v>37.53</v>
      </c>
      <c r="J6433" t="s">
        <v>20</v>
      </c>
      <c r="L6433" s="1"/>
      <c r="N6433" s="1"/>
      <c r="V6433" t="str">
        <f>"88350"</f>
        <v>88350</v>
      </c>
      <c r="W6433">
        <v>10.88</v>
      </c>
      <c r="X6433">
        <v>0</v>
      </c>
    </row>
    <row r="6434" spans="1:24" ht="15" customHeight="1" x14ac:dyDescent="0.25">
      <c r="A6434" t="str">
        <f>""</f>
        <v/>
      </c>
      <c r="B6434" s="1"/>
      <c r="H6434">
        <v>84.5</v>
      </c>
      <c r="L6434" s="1"/>
      <c r="N6434" s="1"/>
      <c r="V6434" t="str">
        <f>"77184"</f>
        <v>77184</v>
      </c>
      <c r="W6434">
        <v>0</v>
      </c>
      <c r="X6434">
        <v>0</v>
      </c>
    </row>
    <row r="6435" spans="1:24" ht="15" customHeight="1" x14ac:dyDescent="0.25">
      <c r="A6435" t="str">
        <f>""</f>
        <v/>
      </c>
      <c r="B6435" s="1"/>
      <c r="H6435">
        <v>84.5</v>
      </c>
      <c r="L6435" s="1"/>
      <c r="N6435" s="1"/>
      <c r="V6435" t="str">
        <f>"77184"</f>
        <v>77184</v>
      </c>
      <c r="W6435">
        <v>0</v>
      </c>
      <c r="X6435">
        <v>0</v>
      </c>
    </row>
    <row r="6436" spans="1:24" ht="15" customHeight="1" x14ac:dyDescent="0.25">
      <c r="A6436" t="str">
        <f>""</f>
        <v/>
      </c>
      <c r="B6436" s="1"/>
      <c r="H6436">
        <v>121.8</v>
      </c>
      <c r="L6436" s="1"/>
      <c r="N6436" s="1"/>
      <c r="V6436" t="str">
        <f>"77184"</f>
        <v>77184</v>
      </c>
      <c r="W6436">
        <v>0</v>
      </c>
      <c r="X6436">
        <v>0</v>
      </c>
    </row>
    <row r="6437" spans="1:24" ht="15" customHeight="1" x14ac:dyDescent="0.25">
      <c r="A6437" t="str">
        <f>""</f>
        <v/>
      </c>
      <c r="B6437" s="1"/>
      <c r="H6437">
        <v>140</v>
      </c>
      <c r="J6437" t="s">
        <v>22</v>
      </c>
      <c r="L6437" s="1"/>
      <c r="N6437" s="1"/>
      <c r="V6437" t="str">
        <f>"59980"</f>
        <v>59980</v>
      </c>
      <c r="W6437">
        <v>0</v>
      </c>
      <c r="X6437">
        <v>0</v>
      </c>
    </row>
    <row r="6438" spans="1:24" ht="15" customHeight="1" x14ac:dyDescent="0.25">
      <c r="A6438" t="str">
        <f>""</f>
        <v/>
      </c>
      <c r="B6438" s="1"/>
      <c r="H6438">
        <v>171.88</v>
      </c>
      <c r="L6438" s="1"/>
      <c r="N6438" s="1"/>
      <c r="V6438" t="str">
        <f>"77184"</f>
        <v>77184</v>
      </c>
      <c r="W6438">
        <v>0</v>
      </c>
      <c r="X6438">
        <v>0</v>
      </c>
    </row>
    <row r="6439" spans="1:24" ht="15" customHeight="1" x14ac:dyDescent="0.25">
      <c r="A6439" t="str">
        <f>""</f>
        <v/>
      </c>
      <c r="B6439" s="1"/>
      <c r="H6439">
        <v>31.4</v>
      </c>
      <c r="J6439" t="s">
        <v>20</v>
      </c>
      <c r="L6439" s="1"/>
      <c r="N6439" s="1"/>
      <c r="V6439" t="str">
        <f>"59777"</f>
        <v>59777</v>
      </c>
      <c r="W6439">
        <v>5.97</v>
      </c>
      <c r="X6439">
        <v>0</v>
      </c>
    </row>
    <row r="6440" spans="1:24" ht="15" customHeight="1" x14ac:dyDescent="0.25">
      <c r="A6440" t="str">
        <f>""</f>
        <v/>
      </c>
      <c r="B6440" s="1"/>
      <c r="H6440">
        <v>143.44999999999999</v>
      </c>
      <c r="J6440" t="s">
        <v>20</v>
      </c>
      <c r="L6440" s="1"/>
      <c r="N6440" s="1"/>
      <c r="V6440" t="str">
        <f>"34500"</f>
        <v>34500</v>
      </c>
      <c r="W6440">
        <v>55.95</v>
      </c>
      <c r="X6440">
        <v>0</v>
      </c>
    </row>
    <row r="6441" spans="1:24" ht="15" customHeight="1" x14ac:dyDescent="0.25">
      <c r="A6441" t="str">
        <f>""</f>
        <v/>
      </c>
      <c r="B6441" s="1"/>
      <c r="H6441">
        <v>129.19999999999999</v>
      </c>
      <c r="J6441" t="s">
        <v>19</v>
      </c>
      <c r="L6441" s="1"/>
      <c r="N6441" s="1"/>
      <c r="V6441" t="str">
        <f>"62740"</f>
        <v>62740</v>
      </c>
      <c r="W6441">
        <v>24.55</v>
      </c>
      <c r="X6441">
        <v>0</v>
      </c>
    </row>
    <row r="6442" spans="1:24" ht="15" customHeight="1" x14ac:dyDescent="0.25">
      <c r="A6442" t="str">
        <f>""</f>
        <v/>
      </c>
      <c r="B6442" s="1"/>
      <c r="H6442">
        <v>28.62</v>
      </c>
      <c r="J6442" t="s">
        <v>19</v>
      </c>
      <c r="L6442" s="1"/>
      <c r="N6442" s="1"/>
      <c r="V6442" t="str">
        <f>"69110"</f>
        <v>69110</v>
      </c>
      <c r="W6442">
        <v>7.73</v>
      </c>
      <c r="X6442">
        <v>0</v>
      </c>
    </row>
    <row r="6443" spans="1:24" ht="15" customHeight="1" x14ac:dyDescent="0.25">
      <c r="A6443" t="str">
        <f>""</f>
        <v/>
      </c>
      <c r="B6443" s="1"/>
      <c r="H6443">
        <v>31</v>
      </c>
      <c r="L6443" s="1"/>
      <c r="N6443" s="1"/>
      <c r="V6443" t="str">
        <f>"44240"</f>
        <v>44240</v>
      </c>
      <c r="W6443">
        <v>0</v>
      </c>
      <c r="X6443">
        <v>0</v>
      </c>
    </row>
    <row r="6444" spans="1:24" ht="15" customHeight="1" x14ac:dyDescent="0.25">
      <c r="A6444" t="str">
        <f>""</f>
        <v/>
      </c>
      <c r="B6444" s="1"/>
      <c r="H6444">
        <v>31</v>
      </c>
      <c r="L6444" s="1"/>
      <c r="N6444" s="1"/>
      <c r="V6444" t="str">
        <f>"44240"</f>
        <v>44240</v>
      </c>
      <c r="W6444">
        <v>0</v>
      </c>
      <c r="X6444">
        <v>0</v>
      </c>
    </row>
    <row r="6445" spans="1:24" ht="15" customHeight="1" x14ac:dyDescent="0.25">
      <c r="A6445" t="str">
        <f>""</f>
        <v/>
      </c>
      <c r="B6445" s="1"/>
      <c r="H6445">
        <v>34</v>
      </c>
      <c r="L6445" s="1"/>
      <c r="N6445" s="1"/>
      <c r="V6445" t="str">
        <f>"44240"</f>
        <v>44240</v>
      </c>
      <c r="W6445">
        <v>0</v>
      </c>
      <c r="X6445">
        <v>0</v>
      </c>
    </row>
    <row r="6446" spans="1:24" ht="15" customHeight="1" x14ac:dyDescent="0.25">
      <c r="A6446" t="str">
        <f>""</f>
        <v/>
      </c>
      <c r="B6446" s="1"/>
      <c r="H6446">
        <v>22.8</v>
      </c>
      <c r="L6446" s="1"/>
      <c r="N6446" s="1"/>
      <c r="V6446" t="str">
        <f>"44240"</f>
        <v>44240</v>
      </c>
      <c r="W6446">
        <v>0</v>
      </c>
      <c r="X6446">
        <v>0</v>
      </c>
    </row>
    <row r="6447" spans="1:24" ht="15" customHeight="1" x14ac:dyDescent="0.25">
      <c r="A6447" t="str">
        <f>""</f>
        <v/>
      </c>
      <c r="B6447" s="1"/>
      <c r="H6447">
        <v>31</v>
      </c>
      <c r="L6447" s="1"/>
      <c r="N6447" s="1"/>
      <c r="V6447" t="str">
        <f>"44240"</f>
        <v>44240</v>
      </c>
      <c r="W6447">
        <v>0</v>
      </c>
      <c r="X6447">
        <v>0</v>
      </c>
    </row>
    <row r="6448" spans="1:24" ht="15" customHeight="1" x14ac:dyDescent="0.25">
      <c r="A6448" t="str">
        <f>""</f>
        <v/>
      </c>
      <c r="B6448" s="1"/>
      <c r="H6448">
        <v>40</v>
      </c>
      <c r="J6448" t="s">
        <v>19</v>
      </c>
      <c r="L6448" s="1"/>
      <c r="N6448" s="1"/>
      <c r="V6448" t="str">
        <f>"62740"</f>
        <v>62740</v>
      </c>
      <c r="W6448">
        <v>7.6</v>
      </c>
      <c r="X6448">
        <v>0</v>
      </c>
    </row>
    <row r="6449" spans="1:24" ht="15" customHeight="1" x14ac:dyDescent="0.25">
      <c r="A6449" t="str">
        <f>""</f>
        <v/>
      </c>
      <c r="B6449" s="1"/>
      <c r="H6449">
        <v>40</v>
      </c>
      <c r="J6449" t="s">
        <v>19</v>
      </c>
      <c r="L6449" s="1"/>
      <c r="N6449" s="1"/>
      <c r="V6449" t="str">
        <f>"62740"</f>
        <v>62740</v>
      </c>
      <c r="W6449">
        <v>7.6</v>
      </c>
      <c r="X6449">
        <v>0</v>
      </c>
    </row>
    <row r="6450" spans="1:24" ht="15" customHeight="1" x14ac:dyDescent="0.25">
      <c r="A6450" t="str">
        <f>""</f>
        <v/>
      </c>
      <c r="B6450" s="1"/>
      <c r="H6450">
        <v>58.2</v>
      </c>
      <c r="L6450" s="1"/>
      <c r="N6450" s="1"/>
      <c r="V6450" t="str">
        <f>"77184"</f>
        <v>77184</v>
      </c>
      <c r="W6450">
        <v>0</v>
      </c>
      <c r="X6450">
        <v>0</v>
      </c>
    </row>
    <row r="6451" spans="1:24" ht="15" customHeight="1" x14ac:dyDescent="0.25">
      <c r="A6451" t="str">
        <f>""</f>
        <v/>
      </c>
      <c r="B6451" s="1"/>
      <c r="H6451">
        <v>22</v>
      </c>
      <c r="J6451" t="s">
        <v>22</v>
      </c>
      <c r="L6451" s="1"/>
      <c r="N6451" s="1"/>
      <c r="V6451" t="str">
        <f>"67100"</f>
        <v>67100</v>
      </c>
      <c r="W6451">
        <v>0</v>
      </c>
      <c r="X6451">
        <v>1.76</v>
      </c>
    </row>
    <row r="6452" spans="1:24" ht="15" customHeight="1" x14ac:dyDescent="0.25">
      <c r="A6452" t="str">
        <f>""</f>
        <v/>
      </c>
      <c r="B6452" s="1"/>
      <c r="H6452">
        <v>25</v>
      </c>
      <c r="J6452" t="s">
        <v>22</v>
      </c>
      <c r="L6452" s="1"/>
      <c r="N6452" s="1"/>
      <c r="V6452" t="str">
        <f>"67000"</f>
        <v>67000</v>
      </c>
      <c r="W6452">
        <v>0</v>
      </c>
      <c r="X6452">
        <v>2</v>
      </c>
    </row>
    <row r="6453" spans="1:24" ht="15" customHeight="1" x14ac:dyDescent="0.25">
      <c r="A6453" t="str">
        <f>""</f>
        <v/>
      </c>
      <c r="B6453" s="1"/>
      <c r="H6453">
        <v>110.92</v>
      </c>
      <c r="J6453" t="s">
        <v>23</v>
      </c>
      <c r="L6453" s="1"/>
      <c r="N6453" s="1"/>
      <c r="V6453" t="str">
        <f>"48100"</f>
        <v>48100</v>
      </c>
      <c r="W6453">
        <v>0</v>
      </c>
      <c r="X6453">
        <v>31.06</v>
      </c>
    </row>
    <row r="6454" spans="1:24" ht="15" customHeight="1" x14ac:dyDescent="0.25">
      <c r="A6454" t="str">
        <f>""</f>
        <v/>
      </c>
      <c r="B6454" s="1"/>
      <c r="H6454">
        <v>140</v>
      </c>
      <c r="J6454" t="s">
        <v>23</v>
      </c>
      <c r="L6454" s="1"/>
      <c r="N6454" s="1"/>
      <c r="V6454" t="str">
        <f>"34670"</f>
        <v>34670</v>
      </c>
      <c r="W6454">
        <v>0</v>
      </c>
      <c r="X6454">
        <v>39.200000000000003</v>
      </c>
    </row>
    <row r="6455" spans="1:24" ht="15" customHeight="1" x14ac:dyDescent="0.25">
      <c r="A6455" t="str">
        <f>""</f>
        <v/>
      </c>
      <c r="B6455" s="1"/>
      <c r="H6455">
        <v>84.5</v>
      </c>
      <c r="L6455" s="1"/>
      <c r="N6455" s="1"/>
      <c r="V6455" t="str">
        <f>"77184"</f>
        <v>77184</v>
      </c>
      <c r="W6455">
        <v>0</v>
      </c>
      <c r="X6455">
        <v>0</v>
      </c>
    </row>
    <row r="6456" spans="1:24" ht="15" customHeight="1" x14ac:dyDescent="0.25">
      <c r="A6456" t="str">
        <f>""</f>
        <v/>
      </c>
      <c r="B6456" s="1"/>
      <c r="H6456">
        <v>108</v>
      </c>
      <c r="L6456" s="1"/>
      <c r="N6456" s="1"/>
      <c r="V6456" t="str">
        <f>"77184"</f>
        <v>77184</v>
      </c>
      <c r="W6456">
        <v>0</v>
      </c>
      <c r="X6456">
        <v>0</v>
      </c>
    </row>
    <row r="6457" spans="1:24" ht="15" customHeight="1" x14ac:dyDescent="0.25">
      <c r="A6457" t="str">
        <f>""</f>
        <v/>
      </c>
      <c r="B6457" s="1"/>
      <c r="H6457">
        <v>84.5</v>
      </c>
      <c r="L6457" s="1"/>
      <c r="N6457" s="1"/>
      <c r="V6457" t="str">
        <f>"77184"</f>
        <v>77184</v>
      </c>
      <c r="W6457">
        <v>0</v>
      </c>
      <c r="X6457">
        <v>0</v>
      </c>
    </row>
    <row r="6458" spans="1:24" ht="15" customHeight="1" x14ac:dyDescent="0.25">
      <c r="A6458" t="str">
        <f>""</f>
        <v/>
      </c>
      <c r="B6458" s="1"/>
      <c r="H6458">
        <v>156</v>
      </c>
      <c r="L6458" s="1"/>
      <c r="N6458" s="1"/>
      <c r="V6458" t="str">
        <f>"77184"</f>
        <v>77184</v>
      </c>
      <c r="W6458">
        <v>0</v>
      </c>
      <c r="X6458">
        <v>0</v>
      </c>
    </row>
    <row r="6459" spans="1:24" ht="15" customHeight="1" x14ac:dyDescent="0.25">
      <c r="A6459" t="str">
        <f>""</f>
        <v/>
      </c>
      <c r="B6459" s="1"/>
      <c r="H6459">
        <v>18.350000000000001</v>
      </c>
      <c r="J6459" t="s">
        <v>19</v>
      </c>
      <c r="L6459" s="1"/>
      <c r="N6459" s="1"/>
      <c r="V6459" t="str">
        <f>"14000"</f>
        <v>14000</v>
      </c>
      <c r="W6459">
        <v>3.12</v>
      </c>
      <c r="X6459">
        <v>0</v>
      </c>
    </row>
    <row r="6460" spans="1:24" ht="15" customHeight="1" x14ac:dyDescent="0.25">
      <c r="A6460" t="str">
        <f>""</f>
        <v/>
      </c>
      <c r="B6460" s="1"/>
      <c r="H6460">
        <v>80</v>
      </c>
      <c r="J6460" t="s">
        <v>23</v>
      </c>
      <c r="L6460" s="1"/>
      <c r="N6460" s="1"/>
      <c r="V6460" t="str">
        <f>"76570"</f>
        <v>76570</v>
      </c>
      <c r="W6460">
        <v>0</v>
      </c>
      <c r="X6460">
        <v>13.6</v>
      </c>
    </row>
    <row r="6461" spans="1:24" ht="15" customHeight="1" x14ac:dyDescent="0.25">
      <c r="A6461" t="str">
        <f>""</f>
        <v/>
      </c>
      <c r="B6461" s="1"/>
      <c r="H6461">
        <v>180</v>
      </c>
      <c r="J6461" t="s">
        <v>23</v>
      </c>
      <c r="L6461" s="1"/>
      <c r="N6461" s="1"/>
      <c r="V6461" t="str">
        <f>"44000"</f>
        <v>44000</v>
      </c>
      <c r="W6461">
        <v>0</v>
      </c>
      <c r="X6461">
        <v>0</v>
      </c>
    </row>
    <row r="6462" spans="1:24" ht="15" customHeight="1" x14ac:dyDescent="0.25">
      <c r="A6462" t="str">
        <f>""</f>
        <v/>
      </c>
      <c r="B6462" s="1"/>
      <c r="H6462">
        <v>132.05000000000001</v>
      </c>
      <c r="J6462" t="s">
        <v>22</v>
      </c>
      <c r="L6462" s="1"/>
      <c r="N6462" s="1"/>
      <c r="V6462" t="str">
        <f>"13001"</f>
        <v>13001</v>
      </c>
      <c r="W6462">
        <v>0</v>
      </c>
      <c r="X6462">
        <v>25.09</v>
      </c>
    </row>
    <row r="6463" spans="1:24" ht="15" customHeight="1" x14ac:dyDescent="0.25">
      <c r="A6463" t="str">
        <f>""</f>
        <v/>
      </c>
      <c r="B6463" s="1"/>
      <c r="H6463">
        <v>183.98</v>
      </c>
      <c r="J6463" t="s">
        <v>20</v>
      </c>
      <c r="L6463" s="1"/>
      <c r="N6463" s="1"/>
      <c r="V6463" t="str">
        <f>"94000"</f>
        <v>94000</v>
      </c>
      <c r="W6463">
        <v>0</v>
      </c>
      <c r="X6463">
        <v>0</v>
      </c>
    </row>
    <row r="6464" spans="1:24" x14ac:dyDescent="0.25">
      <c r="A6464" t="str">
        <f>""</f>
        <v/>
      </c>
      <c r="B6464" s="1"/>
      <c r="H6464">
        <v>184.06</v>
      </c>
      <c r="J6464" t="s">
        <v>18</v>
      </c>
      <c r="L6464" s="1"/>
      <c r="N6464" s="1"/>
      <c r="V6464" t="str">
        <f>"80000"</f>
        <v>80000</v>
      </c>
      <c r="W6464">
        <v>0</v>
      </c>
      <c r="X6464">
        <v>0</v>
      </c>
    </row>
    <row r="6465" spans="1:24" ht="15" customHeight="1" x14ac:dyDescent="0.25">
      <c r="A6465" t="str">
        <f>""</f>
        <v/>
      </c>
      <c r="B6465" s="1"/>
      <c r="H6465">
        <v>137.35</v>
      </c>
      <c r="J6465" t="s">
        <v>20</v>
      </c>
      <c r="L6465" s="1"/>
      <c r="N6465" s="1"/>
      <c r="V6465" t="str">
        <f>"94100"</f>
        <v>94100</v>
      </c>
      <c r="W6465">
        <v>0</v>
      </c>
      <c r="X6465">
        <v>0</v>
      </c>
    </row>
    <row r="6466" spans="1:24" ht="15" customHeight="1" x14ac:dyDescent="0.25">
      <c r="A6466" t="str">
        <f>""</f>
        <v/>
      </c>
      <c r="B6466" s="1"/>
      <c r="H6466">
        <v>84.5</v>
      </c>
      <c r="L6466" s="1"/>
      <c r="N6466" s="1"/>
      <c r="V6466" t="str">
        <f>"77184"</f>
        <v>77184</v>
      </c>
      <c r="W6466">
        <v>0</v>
      </c>
      <c r="X6466">
        <v>0</v>
      </c>
    </row>
    <row r="6467" spans="1:24" ht="15" customHeight="1" x14ac:dyDescent="0.25">
      <c r="A6467" t="str">
        <f>""</f>
        <v/>
      </c>
      <c r="B6467" s="1"/>
      <c r="H6467">
        <v>171.33</v>
      </c>
      <c r="L6467" s="1"/>
      <c r="N6467" s="1"/>
      <c r="V6467" t="str">
        <f>"77184"</f>
        <v>77184</v>
      </c>
      <c r="W6467">
        <v>0</v>
      </c>
      <c r="X6467">
        <v>0</v>
      </c>
    </row>
    <row r="6468" spans="1:24" ht="15" customHeight="1" x14ac:dyDescent="0.25">
      <c r="A6468" t="str">
        <f>""</f>
        <v/>
      </c>
      <c r="B6468" s="1"/>
      <c r="H6468">
        <v>149.97999999999999</v>
      </c>
      <c r="L6468" s="1"/>
      <c r="N6468" s="1"/>
      <c r="V6468" t="str">
        <f>"77184"</f>
        <v>77184</v>
      </c>
      <c r="W6468">
        <v>0</v>
      </c>
      <c r="X6468">
        <v>0</v>
      </c>
    </row>
    <row r="6469" spans="1:24" ht="15" customHeight="1" x14ac:dyDescent="0.25">
      <c r="A6469" t="str">
        <f>""</f>
        <v/>
      </c>
      <c r="B6469" s="1"/>
      <c r="H6469">
        <v>164.8</v>
      </c>
      <c r="J6469" t="s">
        <v>23</v>
      </c>
      <c r="L6469" s="1"/>
      <c r="N6469" s="1"/>
      <c r="V6469" t="str">
        <f>"60880"</f>
        <v>60880</v>
      </c>
      <c r="W6469">
        <v>0</v>
      </c>
      <c r="X6469">
        <v>0</v>
      </c>
    </row>
    <row r="6470" spans="1:24" x14ac:dyDescent="0.25">
      <c r="A6470" t="str">
        <f>""</f>
        <v/>
      </c>
      <c r="B6470" s="1"/>
      <c r="H6470">
        <v>149.79</v>
      </c>
      <c r="J6470" t="s">
        <v>18</v>
      </c>
      <c r="L6470" s="1"/>
      <c r="N6470" s="1"/>
      <c r="V6470" t="str">
        <f>"34290"</f>
        <v>34290</v>
      </c>
      <c r="W6470">
        <v>0</v>
      </c>
      <c r="X6470">
        <v>0</v>
      </c>
    </row>
    <row r="6471" spans="1:24" ht="15" customHeight="1" x14ac:dyDescent="0.25">
      <c r="A6471" t="str">
        <f>""</f>
        <v/>
      </c>
      <c r="B6471" s="1"/>
      <c r="H6471">
        <v>220</v>
      </c>
      <c r="L6471" s="1"/>
      <c r="N6471" s="1"/>
      <c r="V6471" t="str">
        <f>"77184"</f>
        <v>77184</v>
      </c>
      <c r="W6471">
        <v>0</v>
      </c>
      <c r="X6471">
        <v>0</v>
      </c>
    </row>
    <row r="6472" spans="1:24" ht="15" customHeight="1" x14ac:dyDescent="0.25">
      <c r="A6472" t="str">
        <f>""</f>
        <v/>
      </c>
      <c r="B6472" s="1"/>
      <c r="H6472">
        <v>106</v>
      </c>
      <c r="L6472" s="1"/>
      <c r="N6472" s="1"/>
      <c r="V6472" t="str">
        <f>"77184"</f>
        <v>77184</v>
      </c>
      <c r="W6472">
        <v>0</v>
      </c>
      <c r="X6472">
        <v>0</v>
      </c>
    </row>
    <row r="6473" spans="1:24" ht="15" customHeight="1" x14ac:dyDescent="0.25">
      <c r="A6473" t="str">
        <f>""</f>
        <v/>
      </c>
      <c r="B6473" s="1"/>
      <c r="H6473">
        <v>181</v>
      </c>
      <c r="L6473" s="1"/>
      <c r="N6473" s="1"/>
      <c r="V6473" t="str">
        <f>"77184"</f>
        <v>77184</v>
      </c>
      <c r="W6473">
        <v>0</v>
      </c>
      <c r="X6473">
        <v>0</v>
      </c>
    </row>
    <row r="6474" spans="1:24" ht="15" customHeight="1" x14ac:dyDescent="0.25">
      <c r="A6474" t="str">
        <f>""</f>
        <v/>
      </c>
      <c r="B6474" s="1"/>
      <c r="H6474">
        <v>126</v>
      </c>
      <c r="L6474" s="1"/>
      <c r="N6474" s="1"/>
      <c r="V6474" t="str">
        <f>"77184"</f>
        <v>77184</v>
      </c>
      <c r="W6474">
        <v>0</v>
      </c>
      <c r="X6474">
        <v>0</v>
      </c>
    </row>
    <row r="6475" spans="1:24" ht="15" customHeight="1" x14ac:dyDescent="0.25">
      <c r="A6475" t="str">
        <f>""</f>
        <v/>
      </c>
      <c r="B6475" s="1"/>
      <c r="H6475">
        <v>55</v>
      </c>
      <c r="L6475" s="1"/>
      <c r="N6475" s="1"/>
      <c r="V6475" t="str">
        <f>"77184"</f>
        <v>77184</v>
      </c>
      <c r="W6475">
        <v>0</v>
      </c>
      <c r="X6475">
        <v>0</v>
      </c>
    </row>
    <row r="6476" spans="1:24" ht="15" customHeight="1" x14ac:dyDescent="0.25">
      <c r="A6476" t="str">
        <f>""</f>
        <v/>
      </c>
      <c r="B6476" s="1"/>
      <c r="H6476">
        <v>201.08</v>
      </c>
      <c r="J6476" t="s">
        <v>23</v>
      </c>
      <c r="L6476" s="1"/>
      <c r="N6476" s="1"/>
      <c r="V6476" t="str">
        <f>"02130"</f>
        <v>02130</v>
      </c>
      <c r="W6476">
        <v>0</v>
      </c>
      <c r="X6476">
        <v>0</v>
      </c>
    </row>
    <row r="6477" spans="1:24" ht="15" customHeight="1" x14ac:dyDescent="0.25">
      <c r="A6477" t="str">
        <f>""</f>
        <v/>
      </c>
      <c r="B6477" s="1"/>
      <c r="H6477">
        <v>70</v>
      </c>
      <c r="J6477" t="s">
        <v>23</v>
      </c>
      <c r="L6477" s="1"/>
      <c r="N6477" s="1"/>
      <c r="V6477" t="str">
        <f>"13800"</f>
        <v>13800</v>
      </c>
      <c r="W6477">
        <v>0</v>
      </c>
      <c r="X6477">
        <v>13.3</v>
      </c>
    </row>
    <row r="6478" spans="1:24" ht="15" customHeight="1" x14ac:dyDescent="0.25">
      <c r="A6478" t="str">
        <f>""</f>
        <v/>
      </c>
      <c r="B6478" s="1"/>
      <c r="H6478">
        <v>83</v>
      </c>
      <c r="J6478" t="s">
        <v>23</v>
      </c>
      <c r="L6478" s="1"/>
      <c r="N6478" s="1"/>
      <c r="V6478" t="str">
        <f>"57200"</f>
        <v>57200</v>
      </c>
      <c r="W6478">
        <v>0</v>
      </c>
      <c r="X6478">
        <v>20.75</v>
      </c>
    </row>
    <row r="6479" spans="1:24" ht="15" customHeight="1" x14ac:dyDescent="0.25">
      <c r="A6479" t="str">
        <f>""</f>
        <v/>
      </c>
      <c r="B6479" s="1"/>
      <c r="H6479">
        <v>138.12</v>
      </c>
      <c r="J6479" t="s">
        <v>20</v>
      </c>
      <c r="L6479" s="1"/>
      <c r="N6479" s="1"/>
      <c r="V6479" t="str">
        <f>"35920"</f>
        <v>35920</v>
      </c>
      <c r="W6479">
        <v>37.29</v>
      </c>
      <c r="X6479">
        <v>0</v>
      </c>
    </row>
    <row r="6480" spans="1:24" ht="15" customHeight="1" x14ac:dyDescent="0.25">
      <c r="A6480" t="str">
        <f>""</f>
        <v/>
      </c>
      <c r="B6480" s="1"/>
      <c r="H6480">
        <v>126.65</v>
      </c>
      <c r="J6480" t="s">
        <v>20</v>
      </c>
      <c r="L6480" s="1"/>
      <c r="N6480" s="1"/>
      <c r="V6480" t="str">
        <f>"76700"</f>
        <v>76700</v>
      </c>
      <c r="W6480">
        <v>21.53</v>
      </c>
      <c r="X6480">
        <v>0</v>
      </c>
    </row>
    <row r="6481" spans="1:24" ht="15" customHeight="1" x14ac:dyDescent="0.25">
      <c r="A6481" t="str">
        <f>""</f>
        <v/>
      </c>
      <c r="B6481" s="1"/>
      <c r="H6481">
        <v>120.29</v>
      </c>
      <c r="J6481" t="s">
        <v>20</v>
      </c>
      <c r="L6481" s="1"/>
      <c r="N6481" s="1"/>
      <c r="V6481" t="str">
        <f>"10000"</f>
        <v>10000</v>
      </c>
      <c r="W6481">
        <v>28.87</v>
      </c>
      <c r="X6481">
        <v>0</v>
      </c>
    </row>
    <row r="6482" spans="1:24" ht="15" customHeight="1" x14ac:dyDescent="0.25">
      <c r="A6482" t="str">
        <f>""</f>
        <v/>
      </c>
      <c r="B6482" s="1"/>
      <c r="H6482">
        <v>96.1</v>
      </c>
      <c r="J6482" t="s">
        <v>20</v>
      </c>
      <c r="L6482" s="1"/>
      <c r="N6482" s="1"/>
      <c r="V6482" t="str">
        <f>"84000"</f>
        <v>84000</v>
      </c>
      <c r="W6482">
        <v>27.87</v>
      </c>
      <c r="X6482">
        <v>0</v>
      </c>
    </row>
    <row r="6483" spans="1:24" ht="15" customHeight="1" x14ac:dyDescent="0.25">
      <c r="A6483" t="str">
        <f>""</f>
        <v/>
      </c>
      <c r="B6483" s="1"/>
      <c r="H6483">
        <v>52.52</v>
      </c>
      <c r="J6483" t="s">
        <v>20</v>
      </c>
      <c r="L6483" s="1"/>
      <c r="N6483" s="1"/>
      <c r="V6483" t="str">
        <f>"31100"</f>
        <v>31100</v>
      </c>
      <c r="W6483">
        <v>11.55</v>
      </c>
      <c r="X6483">
        <v>0</v>
      </c>
    </row>
    <row r="6484" spans="1:24" ht="15" customHeight="1" x14ac:dyDescent="0.25">
      <c r="A6484" t="str">
        <f>""</f>
        <v/>
      </c>
      <c r="B6484" s="1"/>
      <c r="H6484">
        <v>97.48</v>
      </c>
      <c r="J6484" t="s">
        <v>20</v>
      </c>
      <c r="L6484" s="1"/>
      <c r="N6484" s="1"/>
      <c r="V6484" t="str">
        <f>"45120"</f>
        <v>45120</v>
      </c>
      <c r="W6484">
        <v>20.47</v>
      </c>
      <c r="X6484">
        <v>0</v>
      </c>
    </row>
    <row r="6485" spans="1:24" ht="15" customHeight="1" x14ac:dyDescent="0.25">
      <c r="A6485" t="str">
        <f>""</f>
        <v/>
      </c>
      <c r="B6485" s="1"/>
      <c r="H6485">
        <v>138.12</v>
      </c>
      <c r="J6485" t="s">
        <v>20</v>
      </c>
      <c r="L6485" s="1"/>
      <c r="N6485" s="1"/>
      <c r="V6485" t="str">
        <f>"31800"</f>
        <v>31800</v>
      </c>
      <c r="W6485">
        <v>30.39</v>
      </c>
      <c r="X6485">
        <v>0</v>
      </c>
    </row>
    <row r="6486" spans="1:24" ht="15" customHeight="1" x14ac:dyDescent="0.25">
      <c r="A6486" t="str">
        <f>""</f>
        <v/>
      </c>
      <c r="B6486" s="1"/>
      <c r="H6486">
        <v>69.599999999999994</v>
      </c>
      <c r="J6486" t="s">
        <v>19</v>
      </c>
      <c r="L6486" s="1"/>
      <c r="N6486" s="1"/>
      <c r="V6486" t="str">
        <f>"06560"</f>
        <v>06560</v>
      </c>
      <c r="W6486">
        <v>20.88</v>
      </c>
      <c r="X6486">
        <v>0</v>
      </c>
    </row>
    <row r="6487" spans="1:24" ht="15" customHeight="1" x14ac:dyDescent="0.25">
      <c r="A6487" t="str">
        <f>""</f>
        <v/>
      </c>
      <c r="B6487" s="1"/>
      <c r="H6487">
        <v>107.6</v>
      </c>
      <c r="J6487" t="s">
        <v>19</v>
      </c>
      <c r="L6487" s="1"/>
      <c r="N6487" s="1"/>
      <c r="V6487" t="str">
        <f>"75014"</f>
        <v>75014</v>
      </c>
      <c r="W6487">
        <v>0</v>
      </c>
      <c r="X6487">
        <v>0</v>
      </c>
    </row>
    <row r="6488" spans="1:24" ht="15" customHeight="1" x14ac:dyDescent="0.25">
      <c r="A6488" t="str">
        <f>""</f>
        <v/>
      </c>
      <c r="B6488" s="1"/>
      <c r="H6488">
        <v>173.25</v>
      </c>
      <c r="J6488" t="s">
        <v>20</v>
      </c>
      <c r="L6488" s="1"/>
      <c r="N6488" s="1"/>
      <c r="V6488" t="str">
        <f>"44240"</f>
        <v>44240</v>
      </c>
      <c r="W6488">
        <v>46.78</v>
      </c>
      <c r="X6488">
        <v>0</v>
      </c>
    </row>
    <row r="6489" spans="1:24" ht="15" customHeight="1" x14ac:dyDescent="0.25">
      <c r="A6489" t="str">
        <f>""</f>
        <v/>
      </c>
      <c r="B6489" s="1"/>
      <c r="H6489">
        <v>126.65</v>
      </c>
      <c r="J6489" t="s">
        <v>20</v>
      </c>
      <c r="L6489" s="1"/>
      <c r="N6489" s="1"/>
      <c r="V6489" t="str">
        <f>"67270"</f>
        <v>67270</v>
      </c>
      <c r="W6489">
        <v>36.729999999999997</v>
      </c>
      <c r="X6489">
        <v>0</v>
      </c>
    </row>
    <row r="6490" spans="1:24" ht="15" customHeight="1" x14ac:dyDescent="0.25">
      <c r="A6490" t="str">
        <f>""</f>
        <v/>
      </c>
      <c r="B6490" s="1"/>
      <c r="H6490">
        <v>55.36</v>
      </c>
      <c r="J6490" t="s">
        <v>19</v>
      </c>
      <c r="L6490" s="1"/>
      <c r="N6490" s="1"/>
      <c r="V6490" t="str">
        <f>"11000"</f>
        <v>11000</v>
      </c>
      <c r="W6490">
        <v>21.59</v>
      </c>
      <c r="X6490">
        <v>0</v>
      </c>
    </row>
    <row r="6491" spans="1:24" ht="15" customHeight="1" x14ac:dyDescent="0.25">
      <c r="A6491" t="str">
        <f>""</f>
        <v/>
      </c>
      <c r="B6491" s="1"/>
      <c r="H6491">
        <v>174.15</v>
      </c>
      <c r="J6491" t="s">
        <v>20</v>
      </c>
      <c r="L6491" s="1"/>
      <c r="N6491" s="1"/>
      <c r="V6491" t="str">
        <f>"67000"</f>
        <v>67000</v>
      </c>
      <c r="W6491">
        <v>50.5</v>
      </c>
      <c r="X6491">
        <v>0</v>
      </c>
    </row>
    <row r="6492" spans="1:24" ht="15" customHeight="1" x14ac:dyDescent="0.25">
      <c r="A6492" t="str">
        <f>""</f>
        <v/>
      </c>
      <c r="B6492" s="1"/>
      <c r="H6492">
        <v>53.38</v>
      </c>
      <c r="J6492" t="s">
        <v>19</v>
      </c>
      <c r="L6492" s="1"/>
      <c r="N6492" s="1"/>
      <c r="V6492" t="str">
        <f>"75014"</f>
        <v>75014</v>
      </c>
      <c r="W6492">
        <v>0</v>
      </c>
      <c r="X6492">
        <v>0</v>
      </c>
    </row>
    <row r="6493" spans="1:24" ht="15" customHeight="1" x14ac:dyDescent="0.25">
      <c r="A6493" t="str">
        <f>""</f>
        <v/>
      </c>
      <c r="B6493" s="1"/>
      <c r="H6493">
        <v>40</v>
      </c>
      <c r="J6493" t="s">
        <v>20</v>
      </c>
      <c r="L6493" s="1"/>
      <c r="N6493" s="1"/>
      <c r="V6493" t="str">
        <f>"28000"</f>
        <v>28000</v>
      </c>
      <c r="W6493">
        <v>8.4</v>
      </c>
      <c r="X6493">
        <v>0</v>
      </c>
    </row>
    <row r="6494" spans="1:24" ht="15" customHeight="1" x14ac:dyDescent="0.25">
      <c r="A6494" t="str">
        <f>""</f>
        <v/>
      </c>
      <c r="B6494" s="1"/>
      <c r="H6494">
        <v>200</v>
      </c>
      <c r="J6494" t="s">
        <v>19</v>
      </c>
      <c r="L6494" s="1"/>
      <c r="N6494" s="1"/>
      <c r="V6494" t="str">
        <f>"69002"</f>
        <v>69002</v>
      </c>
      <c r="W6494">
        <v>54</v>
      </c>
      <c r="X6494">
        <v>0</v>
      </c>
    </row>
    <row r="6495" spans="1:24" ht="15" customHeight="1" x14ac:dyDescent="0.25">
      <c r="A6495" t="str">
        <f>""</f>
        <v/>
      </c>
      <c r="B6495" s="1"/>
      <c r="H6495">
        <v>151</v>
      </c>
      <c r="J6495" t="s">
        <v>22</v>
      </c>
      <c r="L6495" s="1"/>
      <c r="N6495" s="1"/>
      <c r="V6495" t="str">
        <f>"14000"</f>
        <v>14000</v>
      </c>
      <c r="W6495">
        <v>0</v>
      </c>
      <c r="X6495">
        <v>25.67</v>
      </c>
    </row>
    <row r="6496" spans="1:24" ht="15" customHeight="1" x14ac:dyDescent="0.25">
      <c r="A6496" t="str">
        <f>""</f>
        <v/>
      </c>
      <c r="B6496" s="1"/>
      <c r="H6496">
        <v>70</v>
      </c>
      <c r="J6496" t="s">
        <v>22</v>
      </c>
      <c r="L6496" s="1"/>
      <c r="N6496" s="1"/>
      <c r="V6496" t="str">
        <f>"37400"</f>
        <v>37400</v>
      </c>
      <c r="W6496">
        <v>0</v>
      </c>
      <c r="X6496">
        <v>8.4</v>
      </c>
    </row>
    <row r="6497" spans="1:24" x14ac:dyDescent="0.25">
      <c r="A6497" t="str">
        <f>""</f>
        <v/>
      </c>
      <c r="B6497" s="1"/>
      <c r="H6497">
        <v>172.66</v>
      </c>
      <c r="J6497" t="s">
        <v>17</v>
      </c>
      <c r="L6497" s="1"/>
      <c r="N6497" s="1"/>
      <c r="V6497" t="str">
        <f>"44700"</f>
        <v>44700</v>
      </c>
      <c r="W6497">
        <v>0</v>
      </c>
      <c r="X6497">
        <v>0</v>
      </c>
    </row>
    <row r="6498" spans="1:24" ht="15" customHeight="1" x14ac:dyDescent="0.25">
      <c r="A6498" t="str">
        <f>""</f>
        <v/>
      </c>
      <c r="B6498" s="1"/>
      <c r="H6498">
        <v>19.649999999999999</v>
      </c>
      <c r="J6498" t="s">
        <v>19</v>
      </c>
      <c r="L6498" s="1"/>
      <c r="N6498" s="1"/>
      <c r="V6498" t="str">
        <f>"75014"</f>
        <v>75014</v>
      </c>
      <c r="W6498">
        <v>0</v>
      </c>
      <c r="X6498">
        <v>0</v>
      </c>
    </row>
    <row r="6499" spans="1:24" ht="15" customHeight="1" x14ac:dyDescent="0.25">
      <c r="A6499" t="str">
        <f>""</f>
        <v/>
      </c>
      <c r="B6499" s="1"/>
      <c r="H6499">
        <v>416.43</v>
      </c>
      <c r="L6499" s="1"/>
      <c r="N6499" s="1"/>
      <c r="V6499" t="str">
        <f>"77184"</f>
        <v>77184</v>
      </c>
      <c r="W6499">
        <v>0</v>
      </c>
      <c r="X6499">
        <v>0</v>
      </c>
    </row>
    <row r="6500" spans="1:24" ht="15" customHeight="1" x14ac:dyDescent="0.25">
      <c r="A6500" t="str">
        <f>""</f>
        <v/>
      </c>
      <c r="B6500" s="1"/>
      <c r="H6500">
        <v>115</v>
      </c>
      <c r="L6500" s="1"/>
      <c r="N6500" s="1"/>
      <c r="V6500" t="str">
        <f>"77184"</f>
        <v>77184</v>
      </c>
      <c r="W6500">
        <v>0</v>
      </c>
      <c r="X6500">
        <v>0</v>
      </c>
    </row>
    <row r="6501" spans="1:24" ht="15" customHeight="1" x14ac:dyDescent="0.25">
      <c r="A6501" t="str">
        <f>""</f>
        <v/>
      </c>
      <c r="B6501" s="1"/>
      <c r="H6501">
        <v>160.97999999999999</v>
      </c>
      <c r="L6501" s="1"/>
      <c r="N6501" s="1"/>
      <c r="V6501" t="str">
        <f>"77184"</f>
        <v>77184</v>
      </c>
      <c r="W6501">
        <v>0</v>
      </c>
      <c r="X6501">
        <v>0</v>
      </c>
    </row>
    <row r="6502" spans="1:24" ht="15" customHeight="1" x14ac:dyDescent="0.25">
      <c r="A6502" t="str">
        <f>""</f>
        <v/>
      </c>
      <c r="B6502" s="1"/>
      <c r="H6502">
        <v>115.22</v>
      </c>
      <c r="J6502" t="s">
        <v>19</v>
      </c>
      <c r="L6502" s="1"/>
      <c r="N6502" s="1"/>
      <c r="V6502" t="str">
        <f>"14000"</f>
        <v>14000</v>
      </c>
      <c r="W6502">
        <v>19.59</v>
      </c>
      <c r="X6502">
        <v>0</v>
      </c>
    </row>
    <row r="6503" spans="1:24" ht="15" customHeight="1" x14ac:dyDescent="0.25">
      <c r="A6503" t="str">
        <f>""</f>
        <v/>
      </c>
      <c r="B6503" s="1"/>
      <c r="H6503">
        <v>19.649999999999999</v>
      </c>
      <c r="J6503" t="s">
        <v>19</v>
      </c>
      <c r="L6503" s="1"/>
      <c r="N6503" s="1"/>
      <c r="V6503" t="str">
        <f t="shared" ref="V6503:V6509" si="20">"75014"</f>
        <v>75014</v>
      </c>
      <c r="W6503">
        <v>0</v>
      </c>
      <c r="X6503">
        <v>0</v>
      </c>
    </row>
    <row r="6504" spans="1:24" ht="15" customHeight="1" x14ac:dyDescent="0.25">
      <c r="A6504" t="str">
        <f>""</f>
        <v/>
      </c>
      <c r="B6504" s="1"/>
      <c r="H6504">
        <v>19.649999999999999</v>
      </c>
      <c r="J6504" t="s">
        <v>19</v>
      </c>
      <c r="L6504" s="1"/>
      <c r="N6504" s="1"/>
      <c r="V6504" t="str">
        <f t="shared" si="20"/>
        <v>75014</v>
      </c>
      <c r="W6504">
        <v>0</v>
      </c>
      <c r="X6504">
        <v>0</v>
      </c>
    </row>
    <row r="6505" spans="1:24" ht="15" customHeight="1" x14ac:dyDescent="0.25">
      <c r="A6505" t="str">
        <f>""</f>
        <v/>
      </c>
      <c r="B6505" s="1"/>
      <c r="H6505">
        <v>19.649999999999999</v>
      </c>
      <c r="J6505" t="s">
        <v>19</v>
      </c>
      <c r="L6505" s="1"/>
      <c r="N6505" s="1"/>
      <c r="V6505" t="str">
        <f t="shared" si="20"/>
        <v>75014</v>
      </c>
      <c r="W6505">
        <v>0</v>
      </c>
      <c r="X6505">
        <v>0</v>
      </c>
    </row>
    <row r="6506" spans="1:24" ht="15" customHeight="1" x14ac:dyDescent="0.25">
      <c r="A6506" t="str">
        <f>""</f>
        <v/>
      </c>
      <c r="B6506" s="1"/>
      <c r="H6506">
        <v>19.649999999999999</v>
      </c>
      <c r="J6506" t="s">
        <v>20</v>
      </c>
      <c r="L6506" s="1"/>
      <c r="N6506" s="1"/>
      <c r="V6506" t="str">
        <f t="shared" si="20"/>
        <v>75014</v>
      </c>
      <c r="W6506">
        <v>0</v>
      </c>
      <c r="X6506">
        <v>0</v>
      </c>
    </row>
    <row r="6507" spans="1:24" ht="15" customHeight="1" x14ac:dyDescent="0.25">
      <c r="A6507" t="str">
        <f>""</f>
        <v/>
      </c>
      <c r="B6507" s="1"/>
      <c r="H6507">
        <v>19.649999999999999</v>
      </c>
      <c r="J6507" t="s">
        <v>19</v>
      </c>
      <c r="L6507" s="1"/>
      <c r="N6507" s="1"/>
      <c r="V6507" t="str">
        <f t="shared" si="20"/>
        <v>75014</v>
      </c>
      <c r="W6507">
        <v>0</v>
      </c>
      <c r="X6507">
        <v>0</v>
      </c>
    </row>
    <row r="6508" spans="1:24" ht="15" customHeight="1" x14ac:dyDescent="0.25">
      <c r="A6508" t="str">
        <f>""</f>
        <v/>
      </c>
      <c r="B6508" s="1"/>
      <c r="H6508">
        <v>19.649999999999999</v>
      </c>
      <c r="J6508" t="s">
        <v>19</v>
      </c>
      <c r="L6508" s="1"/>
      <c r="N6508" s="1"/>
      <c r="V6508" t="str">
        <f t="shared" si="20"/>
        <v>75014</v>
      </c>
      <c r="W6508">
        <v>0</v>
      </c>
      <c r="X6508">
        <v>0</v>
      </c>
    </row>
    <row r="6509" spans="1:24" ht="15" customHeight="1" x14ac:dyDescent="0.25">
      <c r="A6509" t="str">
        <f>""</f>
        <v/>
      </c>
      <c r="B6509" s="1"/>
      <c r="H6509">
        <v>19.649999999999999</v>
      </c>
      <c r="J6509" t="s">
        <v>19</v>
      </c>
      <c r="L6509" s="1"/>
      <c r="N6509" s="1"/>
      <c r="V6509" t="str">
        <f t="shared" si="20"/>
        <v>75014</v>
      </c>
      <c r="W6509">
        <v>0</v>
      </c>
      <c r="X6509">
        <v>0</v>
      </c>
    </row>
    <row r="6510" spans="1:24" ht="15" customHeight="1" x14ac:dyDescent="0.25">
      <c r="A6510" t="str">
        <f>""</f>
        <v/>
      </c>
      <c r="B6510" s="1"/>
      <c r="H6510">
        <v>33.35</v>
      </c>
      <c r="J6510" t="s">
        <v>20</v>
      </c>
      <c r="L6510" s="1"/>
      <c r="N6510" s="1"/>
      <c r="V6510" t="str">
        <f>"51100"</f>
        <v>51100</v>
      </c>
      <c r="W6510">
        <v>8.34</v>
      </c>
      <c r="X6510">
        <v>0</v>
      </c>
    </row>
    <row r="6511" spans="1:24" ht="15" customHeight="1" x14ac:dyDescent="0.25">
      <c r="A6511" t="str">
        <f>""</f>
        <v/>
      </c>
      <c r="B6511" s="1"/>
      <c r="H6511">
        <v>201.8</v>
      </c>
      <c r="J6511" t="s">
        <v>20</v>
      </c>
      <c r="L6511" s="1"/>
      <c r="N6511" s="1"/>
      <c r="V6511" t="str">
        <f>"94000"</f>
        <v>94000</v>
      </c>
      <c r="W6511">
        <v>0</v>
      </c>
      <c r="X6511">
        <v>0</v>
      </c>
    </row>
    <row r="6512" spans="1:24" ht="15" customHeight="1" x14ac:dyDescent="0.25">
      <c r="A6512" t="str">
        <f>""</f>
        <v/>
      </c>
      <c r="B6512" s="1"/>
      <c r="H6512">
        <v>120.29</v>
      </c>
      <c r="J6512" t="s">
        <v>19</v>
      </c>
      <c r="L6512" s="1"/>
      <c r="N6512" s="1"/>
      <c r="V6512" t="str">
        <f>"67000"</f>
        <v>67000</v>
      </c>
      <c r="W6512">
        <v>34.880000000000003</v>
      </c>
      <c r="X6512">
        <v>0</v>
      </c>
    </row>
    <row r="6513" spans="1:24" ht="15" customHeight="1" x14ac:dyDescent="0.25">
      <c r="A6513" t="str">
        <f>""</f>
        <v/>
      </c>
      <c r="B6513" s="1"/>
      <c r="H6513">
        <v>32.85</v>
      </c>
      <c r="J6513" t="s">
        <v>20</v>
      </c>
      <c r="L6513" s="1"/>
      <c r="N6513" s="1"/>
      <c r="V6513" t="str">
        <f>"29800"</f>
        <v>29800</v>
      </c>
      <c r="W6513">
        <v>12.81</v>
      </c>
      <c r="X6513">
        <v>0</v>
      </c>
    </row>
    <row r="6514" spans="1:24" ht="15" customHeight="1" x14ac:dyDescent="0.25">
      <c r="A6514" t="str">
        <f>""</f>
        <v/>
      </c>
      <c r="B6514" s="1"/>
      <c r="H6514">
        <v>105</v>
      </c>
      <c r="J6514" t="s">
        <v>23</v>
      </c>
      <c r="L6514" s="1"/>
      <c r="N6514" s="1"/>
      <c r="V6514" t="str">
        <f>"76420"</f>
        <v>76420</v>
      </c>
      <c r="W6514">
        <v>0</v>
      </c>
      <c r="X6514">
        <v>17.850000000000001</v>
      </c>
    </row>
    <row r="6515" spans="1:24" ht="15" customHeight="1" x14ac:dyDescent="0.25">
      <c r="A6515" t="str">
        <f>""</f>
        <v/>
      </c>
      <c r="B6515" s="1"/>
      <c r="H6515">
        <v>180</v>
      </c>
      <c r="J6515" t="s">
        <v>22</v>
      </c>
      <c r="L6515" s="1"/>
      <c r="N6515" s="1"/>
      <c r="V6515" t="str">
        <f>"38300"</f>
        <v>38300</v>
      </c>
      <c r="W6515">
        <v>0</v>
      </c>
      <c r="X6515">
        <v>0</v>
      </c>
    </row>
    <row r="6516" spans="1:24" ht="15" customHeight="1" x14ac:dyDescent="0.25">
      <c r="A6516" t="str">
        <f>""</f>
        <v/>
      </c>
      <c r="B6516" s="1"/>
      <c r="H6516">
        <v>138.12</v>
      </c>
      <c r="J6516" t="s">
        <v>20</v>
      </c>
      <c r="L6516" s="1"/>
      <c r="N6516" s="1"/>
      <c r="V6516" t="str">
        <f>"69150"</f>
        <v>69150</v>
      </c>
      <c r="W6516">
        <v>37.29</v>
      </c>
      <c r="X6516">
        <v>0</v>
      </c>
    </row>
    <row r="6517" spans="1:24" ht="15" customHeight="1" x14ac:dyDescent="0.25">
      <c r="A6517" t="str">
        <f>""</f>
        <v/>
      </c>
      <c r="B6517" s="1"/>
      <c r="H6517">
        <v>103.06</v>
      </c>
      <c r="J6517" t="s">
        <v>19</v>
      </c>
      <c r="L6517" s="1"/>
      <c r="N6517" s="1"/>
      <c r="V6517" t="str">
        <f>"25370"</f>
        <v>25370</v>
      </c>
      <c r="W6517">
        <v>24.73</v>
      </c>
      <c r="X6517">
        <v>0</v>
      </c>
    </row>
    <row r="6518" spans="1:24" ht="15" customHeight="1" x14ac:dyDescent="0.25">
      <c r="A6518" t="str">
        <f>""</f>
        <v/>
      </c>
      <c r="B6518" s="1"/>
      <c r="H6518">
        <v>137.74</v>
      </c>
      <c r="J6518" t="s">
        <v>20</v>
      </c>
      <c r="L6518" s="1"/>
      <c r="N6518" s="1"/>
      <c r="V6518" t="str">
        <f>"13008"</f>
        <v>13008</v>
      </c>
      <c r="W6518">
        <v>39.94</v>
      </c>
      <c r="X6518">
        <v>0</v>
      </c>
    </row>
    <row r="6519" spans="1:24" ht="15" customHeight="1" x14ac:dyDescent="0.25">
      <c r="A6519" t="str">
        <f>""</f>
        <v/>
      </c>
      <c r="B6519" s="1"/>
      <c r="H6519">
        <v>153.77000000000001</v>
      </c>
      <c r="J6519" t="s">
        <v>19</v>
      </c>
      <c r="L6519" s="1"/>
      <c r="N6519" s="1"/>
      <c r="V6519" t="str">
        <f>"14000"</f>
        <v>14000</v>
      </c>
      <c r="W6519">
        <v>26.14</v>
      </c>
      <c r="X6519">
        <v>0</v>
      </c>
    </row>
    <row r="6520" spans="1:24" ht="15" customHeight="1" x14ac:dyDescent="0.25">
      <c r="A6520" t="str">
        <f>""</f>
        <v/>
      </c>
      <c r="B6520" s="1"/>
      <c r="H6520">
        <v>129.91999999999999</v>
      </c>
      <c r="J6520" t="s">
        <v>20</v>
      </c>
      <c r="L6520" s="1"/>
      <c r="N6520" s="1"/>
      <c r="V6520" t="str">
        <f>"76600"</f>
        <v>76600</v>
      </c>
      <c r="W6520">
        <v>22.09</v>
      </c>
      <c r="X6520">
        <v>0</v>
      </c>
    </row>
    <row r="6521" spans="1:24" ht="15" customHeight="1" x14ac:dyDescent="0.25">
      <c r="A6521" t="str">
        <f>""</f>
        <v/>
      </c>
      <c r="B6521" s="1"/>
      <c r="H6521">
        <v>141.71</v>
      </c>
      <c r="J6521" t="s">
        <v>19</v>
      </c>
      <c r="L6521" s="1"/>
      <c r="N6521" s="1"/>
      <c r="V6521" t="str">
        <f>"44840"</f>
        <v>44840</v>
      </c>
      <c r="W6521">
        <v>38.26</v>
      </c>
      <c r="X6521">
        <v>0</v>
      </c>
    </row>
    <row r="6522" spans="1:24" ht="15" customHeight="1" x14ac:dyDescent="0.25">
      <c r="A6522" t="str">
        <f>""</f>
        <v/>
      </c>
      <c r="B6522" s="1"/>
      <c r="H6522">
        <v>136.65</v>
      </c>
      <c r="J6522" t="s">
        <v>19</v>
      </c>
      <c r="L6522" s="1"/>
      <c r="N6522" s="1"/>
      <c r="V6522" t="str">
        <f>"67230"</f>
        <v>67230</v>
      </c>
      <c r="W6522">
        <v>39.630000000000003</v>
      </c>
      <c r="X6522">
        <v>0</v>
      </c>
    </row>
    <row r="6523" spans="1:24" ht="15" customHeight="1" x14ac:dyDescent="0.25">
      <c r="A6523" t="str">
        <f>""</f>
        <v/>
      </c>
      <c r="B6523" s="1"/>
      <c r="H6523">
        <v>84.5</v>
      </c>
      <c r="L6523" s="1"/>
      <c r="N6523" s="1"/>
      <c r="V6523" t="str">
        <f>"77184"</f>
        <v>77184</v>
      </c>
      <c r="W6523">
        <v>0</v>
      </c>
      <c r="X6523">
        <v>0</v>
      </c>
    </row>
    <row r="6524" spans="1:24" ht="15" customHeight="1" x14ac:dyDescent="0.25">
      <c r="A6524" t="str">
        <f>""</f>
        <v/>
      </c>
      <c r="B6524" s="1"/>
      <c r="H6524">
        <v>143.25</v>
      </c>
      <c r="J6524" t="s">
        <v>20</v>
      </c>
      <c r="L6524" s="1"/>
      <c r="N6524" s="1"/>
      <c r="V6524" t="str">
        <f>"27000"</f>
        <v>27000</v>
      </c>
      <c r="W6524">
        <v>24.35</v>
      </c>
      <c r="X6524">
        <v>0</v>
      </c>
    </row>
    <row r="6525" spans="1:24" ht="15" customHeight="1" x14ac:dyDescent="0.25">
      <c r="A6525" t="str">
        <f>""</f>
        <v/>
      </c>
      <c r="B6525" s="1"/>
      <c r="H6525">
        <v>171.81</v>
      </c>
      <c r="J6525" t="s">
        <v>19</v>
      </c>
      <c r="L6525" s="1"/>
      <c r="N6525" s="1"/>
      <c r="V6525" t="str">
        <f>"25200"</f>
        <v>25200</v>
      </c>
      <c r="W6525">
        <v>41.23</v>
      </c>
      <c r="X6525">
        <v>0</v>
      </c>
    </row>
    <row r="6526" spans="1:24" ht="15" customHeight="1" x14ac:dyDescent="0.25">
      <c r="A6526" t="str">
        <f>""</f>
        <v/>
      </c>
      <c r="B6526" s="1"/>
      <c r="H6526">
        <v>183.25</v>
      </c>
      <c r="J6526" t="s">
        <v>19</v>
      </c>
      <c r="L6526" s="1"/>
      <c r="N6526" s="1"/>
      <c r="V6526" t="str">
        <f>"51130"</f>
        <v>51130</v>
      </c>
      <c r="W6526">
        <v>45.81</v>
      </c>
      <c r="X6526">
        <v>0</v>
      </c>
    </row>
    <row r="6527" spans="1:24" ht="15" customHeight="1" x14ac:dyDescent="0.25">
      <c r="A6527" t="str">
        <f>""</f>
        <v/>
      </c>
      <c r="B6527" s="1"/>
      <c r="H6527">
        <v>19.8</v>
      </c>
      <c r="J6527" t="s">
        <v>19</v>
      </c>
      <c r="L6527" s="1"/>
      <c r="N6527" s="1"/>
      <c r="V6527" t="str">
        <f>"67230"</f>
        <v>67230</v>
      </c>
      <c r="W6527">
        <v>5.74</v>
      </c>
      <c r="X6527">
        <v>0</v>
      </c>
    </row>
    <row r="6528" spans="1:24" ht="15" customHeight="1" x14ac:dyDescent="0.25">
      <c r="A6528" t="str">
        <f>""</f>
        <v/>
      </c>
      <c r="B6528" s="1"/>
      <c r="H6528">
        <v>67.25</v>
      </c>
      <c r="J6528" t="s">
        <v>20</v>
      </c>
      <c r="L6528" s="1"/>
      <c r="N6528" s="1"/>
      <c r="V6528" t="str">
        <f>"13270"</f>
        <v>13270</v>
      </c>
      <c r="W6528">
        <v>19.5</v>
      </c>
      <c r="X6528">
        <v>0</v>
      </c>
    </row>
    <row r="6529" spans="1:24" ht="15" customHeight="1" x14ac:dyDescent="0.25">
      <c r="A6529" t="str">
        <f>""</f>
        <v/>
      </c>
      <c r="B6529" s="1"/>
      <c r="H6529">
        <v>140</v>
      </c>
      <c r="J6529" t="s">
        <v>22</v>
      </c>
      <c r="L6529" s="1"/>
      <c r="N6529" s="1"/>
      <c r="V6529" t="str">
        <f>"45000"</f>
        <v>45000</v>
      </c>
      <c r="W6529">
        <v>0</v>
      </c>
      <c r="X6529">
        <v>0</v>
      </c>
    </row>
    <row r="6530" spans="1:24" ht="15" customHeight="1" x14ac:dyDescent="0.25">
      <c r="A6530" t="str">
        <f>""</f>
        <v/>
      </c>
      <c r="B6530" s="1"/>
      <c r="H6530">
        <v>198.02</v>
      </c>
      <c r="J6530" t="s">
        <v>20</v>
      </c>
      <c r="L6530" s="1"/>
      <c r="N6530" s="1"/>
      <c r="V6530" t="str">
        <f>"59161"</f>
        <v>59161</v>
      </c>
      <c r="W6530">
        <v>37.619999999999997</v>
      </c>
      <c r="X6530">
        <v>0</v>
      </c>
    </row>
    <row r="6531" spans="1:24" ht="15" customHeight="1" x14ac:dyDescent="0.25">
      <c r="A6531" t="str">
        <f>""</f>
        <v/>
      </c>
      <c r="B6531" s="1"/>
      <c r="H6531">
        <v>170.88</v>
      </c>
      <c r="J6531" t="s">
        <v>19</v>
      </c>
      <c r="L6531" s="1"/>
      <c r="N6531" s="1"/>
      <c r="V6531" t="str">
        <f>"59160"</f>
        <v>59160</v>
      </c>
      <c r="W6531">
        <v>32.47</v>
      </c>
      <c r="X6531">
        <v>0</v>
      </c>
    </row>
    <row r="6532" spans="1:24" x14ac:dyDescent="0.25">
      <c r="A6532" t="str">
        <f>""</f>
        <v/>
      </c>
      <c r="B6532" s="1"/>
      <c r="H6532">
        <v>151</v>
      </c>
      <c r="J6532" t="s">
        <v>18</v>
      </c>
      <c r="L6532" s="1"/>
      <c r="N6532" s="1"/>
      <c r="V6532" t="str">
        <f>"63100"</f>
        <v>63100</v>
      </c>
      <c r="W6532">
        <v>0</v>
      </c>
      <c r="X6532">
        <v>0</v>
      </c>
    </row>
    <row r="6533" spans="1:24" ht="15" customHeight="1" x14ac:dyDescent="0.25">
      <c r="A6533" t="str">
        <f>""</f>
        <v/>
      </c>
      <c r="B6533" s="1"/>
      <c r="H6533">
        <v>42.96</v>
      </c>
      <c r="L6533" s="1"/>
      <c r="N6533" s="1"/>
      <c r="V6533" t="str">
        <f>"77184"</f>
        <v>77184</v>
      </c>
      <c r="W6533">
        <v>0</v>
      </c>
      <c r="X6533">
        <v>0</v>
      </c>
    </row>
    <row r="6534" spans="1:24" ht="15" customHeight="1" x14ac:dyDescent="0.25">
      <c r="A6534" t="str">
        <f>""</f>
        <v/>
      </c>
      <c r="B6534" s="1"/>
      <c r="H6534">
        <v>42.03</v>
      </c>
      <c r="L6534" s="1"/>
      <c r="N6534" s="1"/>
      <c r="V6534" t="str">
        <f>"77184"</f>
        <v>77184</v>
      </c>
      <c r="W6534">
        <v>0</v>
      </c>
      <c r="X6534">
        <v>0</v>
      </c>
    </row>
    <row r="6535" spans="1:24" ht="15" customHeight="1" x14ac:dyDescent="0.25">
      <c r="A6535" t="str">
        <f>""</f>
        <v/>
      </c>
      <c r="B6535" s="1"/>
      <c r="H6535">
        <v>162.72999999999999</v>
      </c>
      <c r="L6535" s="1"/>
      <c r="N6535" s="1"/>
      <c r="V6535" t="str">
        <f>"77184"</f>
        <v>77184</v>
      </c>
      <c r="W6535">
        <v>0</v>
      </c>
      <c r="X6535">
        <v>0</v>
      </c>
    </row>
    <row r="6536" spans="1:24" ht="15" customHeight="1" x14ac:dyDescent="0.25">
      <c r="A6536" t="str">
        <f>""</f>
        <v/>
      </c>
      <c r="B6536" s="1"/>
      <c r="H6536">
        <v>151</v>
      </c>
      <c r="L6536" s="1"/>
      <c r="N6536" s="1"/>
      <c r="V6536" t="str">
        <f>"77184"</f>
        <v>77184</v>
      </c>
      <c r="W6536">
        <v>0</v>
      </c>
      <c r="X6536">
        <v>0</v>
      </c>
    </row>
    <row r="6537" spans="1:24" ht="15" customHeight="1" x14ac:dyDescent="0.25">
      <c r="A6537" t="str">
        <f>""</f>
        <v/>
      </c>
      <c r="B6537" s="1"/>
      <c r="H6537">
        <v>367.19</v>
      </c>
      <c r="J6537" t="s">
        <v>20</v>
      </c>
      <c r="L6537" s="1"/>
      <c r="N6537" s="1"/>
      <c r="V6537" t="str">
        <f>"38200"</f>
        <v>38200</v>
      </c>
      <c r="W6537">
        <v>99.14</v>
      </c>
      <c r="X6537">
        <v>0</v>
      </c>
    </row>
    <row r="6538" spans="1:24" ht="15" customHeight="1" x14ac:dyDescent="0.25">
      <c r="A6538" t="str">
        <f>""</f>
        <v/>
      </c>
      <c r="B6538" s="1"/>
      <c r="H6538">
        <v>40</v>
      </c>
      <c r="J6538" t="s">
        <v>19</v>
      </c>
      <c r="L6538" s="1"/>
      <c r="N6538" s="1"/>
      <c r="V6538" t="str">
        <f>"61110"</f>
        <v>61110</v>
      </c>
      <c r="W6538">
        <v>6.8</v>
      </c>
      <c r="X6538">
        <v>0</v>
      </c>
    </row>
    <row r="6539" spans="1:24" ht="15" customHeight="1" x14ac:dyDescent="0.25">
      <c r="A6539" t="str">
        <f>""</f>
        <v/>
      </c>
      <c r="B6539" s="1"/>
      <c r="H6539">
        <v>196.4</v>
      </c>
      <c r="J6539" t="s">
        <v>20</v>
      </c>
      <c r="L6539" s="1"/>
      <c r="N6539" s="1"/>
      <c r="V6539" t="str">
        <f>"67920"</f>
        <v>67920</v>
      </c>
      <c r="W6539">
        <v>56.96</v>
      </c>
      <c r="X6539">
        <v>0</v>
      </c>
    </row>
    <row r="6540" spans="1:24" ht="15" customHeight="1" x14ac:dyDescent="0.25">
      <c r="A6540" t="str">
        <f>""</f>
        <v/>
      </c>
      <c r="B6540" s="1"/>
      <c r="H6540">
        <v>55.34</v>
      </c>
      <c r="J6540" t="s">
        <v>19</v>
      </c>
      <c r="L6540" s="1"/>
      <c r="N6540" s="1"/>
      <c r="V6540" t="str">
        <f>"06140"</f>
        <v>06140</v>
      </c>
      <c r="W6540">
        <v>16.600000000000001</v>
      </c>
      <c r="X6540">
        <v>0</v>
      </c>
    </row>
    <row r="6541" spans="1:24" ht="15" customHeight="1" x14ac:dyDescent="0.25">
      <c r="A6541" t="str">
        <f>""</f>
        <v/>
      </c>
      <c r="B6541" s="1"/>
      <c r="H6541">
        <v>16.8</v>
      </c>
      <c r="J6541" t="s">
        <v>20</v>
      </c>
      <c r="L6541" s="1"/>
      <c r="N6541" s="1"/>
      <c r="V6541" t="str">
        <f>"74290"</f>
        <v>74290</v>
      </c>
      <c r="W6541">
        <v>4.54</v>
      </c>
      <c r="X6541">
        <v>0</v>
      </c>
    </row>
    <row r="6542" spans="1:24" ht="15" customHeight="1" x14ac:dyDescent="0.25">
      <c r="A6542" t="str">
        <f>""</f>
        <v/>
      </c>
      <c r="B6542" s="1"/>
      <c r="H6542">
        <v>55.34</v>
      </c>
      <c r="J6542" t="s">
        <v>19</v>
      </c>
      <c r="L6542" s="1"/>
      <c r="N6542" s="1"/>
      <c r="V6542" t="str">
        <f>"30320"</f>
        <v>30320</v>
      </c>
      <c r="W6542">
        <v>21.58</v>
      </c>
      <c r="X6542">
        <v>0</v>
      </c>
    </row>
    <row r="6543" spans="1:24" ht="15" customHeight="1" x14ac:dyDescent="0.25">
      <c r="A6543" t="str">
        <f>""</f>
        <v/>
      </c>
      <c r="B6543" s="1"/>
      <c r="H6543">
        <v>75.28</v>
      </c>
      <c r="J6543" t="s">
        <v>20</v>
      </c>
      <c r="L6543" s="1"/>
      <c r="N6543" s="1"/>
      <c r="V6543" t="str">
        <f>"29200"</f>
        <v>29200</v>
      </c>
      <c r="W6543">
        <v>29.36</v>
      </c>
      <c r="X6543">
        <v>0</v>
      </c>
    </row>
    <row r="6544" spans="1:24" ht="15" customHeight="1" x14ac:dyDescent="0.25">
      <c r="A6544" t="str">
        <f>""</f>
        <v/>
      </c>
      <c r="B6544" s="1"/>
      <c r="H6544">
        <v>144.19999999999999</v>
      </c>
      <c r="J6544" t="s">
        <v>20</v>
      </c>
      <c r="L6544" s="1"/>
      <c r="N6544" s="1"/>
      <c r="V6544" t="str">
        <f>"25200"</f>
        <v>25200</v>
      </c>
      <c r="W6544">
        <v>34.61</v>
      </c>
      <c r="X6544">
        <v>0</v>
      </c>
    </row>
    <row r="6545" spans="1:24" ht="15" customHeight="1" x14ac:dyDescent="0.25">
      <c r="A6545" t="str">
        <f>""</f>
        <v/>
      </c>
      <c r="B6545" s="1"/>
      <c r="H6545">
        <v>144.19999999999999</v>
      </c>
      <c r="J6545" t="s">
        <v>20</v>
      </c>
      <c r="L6545" s="1"/>
      <c r="N6545" s="1"/>
      <c r="V6545" t="str">
        <f>"25000"</f>
        <v>25000</v>
      </c>
      <c r="W6545">
        <v>34.61</v>
      </c>
      <c r="X6545">
        <v>0</v>
      </c>
    </row>
    <row r="6546" spans="1:24" ht="15" customHeight="1" x14ac:dyDescent="0.25">
      <c r="A6546" t="str">
        <f>""</f>
        <v/>
      </c>
      <c r="B6546" s="1"/>
      <c r="H6546">
        <v>19.8</v>
      </c>
      <c r="J6546" t="s">
        <v>19</v>
      </c>
      <c r="L6546" s="1"/>
      <c r="N6546" s="1"/>
      <c r="V6546" t="str">
        <f>"35113"</f>
        <v>35113</v>
      </c>
      <c r="W6546">
        <v>5.35</v>
      </c>
      <c r="X6546">
        <v>0</v>
      </c>
    </row>
    <row r="6547" spans="1:24" ht="15" customHeight="1" x14ac:dyDescent="0.25">
      <c r="A6547" t="str">
        <f>""</f>
        <v/>
      </c>
      <c r="B6547" s="1"/>
      <c r="H6547">
        <v>109.07</v>
      </c>
      <c r="J6547" t="s">
        <v>20</v>
      </c>
      <c r="L6547" s="1"/>
      <c r="N6547" s="1"/>
      <c r="V6547" t="str">
        <f>"13014"</f>
        <v>13014</v>
      </c>
      <c r="W6547">
        <v>31.63</v>
      </c>
      <c r="X6547">
        <v>0</v>
      </c>
    </row>
    <row r="6548" spans="1:24" ht="15" customHeight="1" x14ac:dyDescent="0.25">
      <c r="A6548" t="str">
        <f>""</f>
        <v/>
      </c>
      <c r="B6548" s="1"/>
      <c r="H6548">
        <v>185.8</v>
      </c>
      <c r="J6548" t="s">
        <v>20</v>
      </c>
      <c r="L6548" s="1"/>
      <c r="N6548" s="1"/>
      <c r="V6548" t="str">
        <f>"13450"</f>
        <v>13450</v>
      </c>
      <c r="W6548">
        <v>53.88</v>
      </c>
      <c r="X6548">
        <v>0</v>
      </c>
    </row>
    <row r="6549" spans="1:24" ht="15" customHeight="1" x14ac:dyDescent="0.25">
      <c r="A6549" t="str">
        <f>""</f>
        <v/>
      </c>
      <c r="B6549" s="1"/>
      <c r="H6549">
        <v>70</v>
      </c>
      <c r="J6549" t="s">
        <v>23</v>
      </c>
      <c r="L6549" s="1"/>
      <c r="N6549" s="1"/>
      <c r="V6549" t="str">
        <f>"44370"</f>
        <v>44370</v>
      </c>
      <c r="W6549">
        <v>0</v>
      </c>
      <c r="X6549">
        <v>0</v>
      </c>
    </row>
    <row r="6550" spans="1:24" ht="15" customHeight="1" x14ac:dyDescent="0.25">
      <c r="A6550" t="str">
        <f>""</f>
        <v/>
      </c>
      <c r="B6550" s="1"/>
      <c r="H6550">
        <v>151</v>
      </c>
      <c r="J6550" t="s">
        <v>22</v>
      </c>
      <c r="L6550" s="1"/>
      <c r="N6550" s="1"/>
      <c r="V6550" t="str">
        <f>"37140"</f>
        <v>37140</v>
      </c>
      <c r="W6550">
        <v>0</v>
      </c>
      <c r="X6550">
        <v>0</v>
      </c>
    </row>
    <row r="6551" spans="1:24" ht="15" customHeight="1" x14ac:dyDescent="0.25">
      <c r="A6551" t="str">
        <f>""</f>
        <v/>
      </c>
      <c r="B6551" s="1"/>
      <c r="H6551">
        <v>59.54</v>
      </c>
      <c r="J6551" t="s">
        <v>19</v>
      </c>
      <c r="L6551" s="1"/>
      <c r="N6551" s="1"/>
      <c r="V6551" t="str">
        <f>"29200"</f>
        <v>29200</v>
      </c>
      <c r="W6551">
        <v>23.22</v>
      </c>
      <c r="X6551">
        <v>0</v>
      </c>
    </row>
    <row r="6552" spans="1:24" ht="15" customHeight="1" x14ac:dyDescent="0.25">
      <c r="A6552" t="str">
        <f>""</f>
        <v/>
      </c>
      <c r="B6552" s="1"/>
      <c r="H6552">
        <v>102.7</v>
      </c>
      <c r="J6552" t="s">
        <v>20</v>
      </c>
      <c r="L6552" s="1"/>
      <c r="N6552" s="1"/>
      <c r="V6552" t="str">
        <f>"13103"</f>
        <v>13103</v>
      </c>
      <c r="W6552">
        <v>29.78</v>
      </c>
      <c r="X6552">
        <v>0</v>
      </c>
    </row>
    <row r="6553" spans="1:24" ht="15" customHeight="1" x14ac:dyDescent="0.25">
      <c r="A6553" t="str">
        <f>""</f>
        <v/>
      </c>
      <c r="B6553" s="1"/>
      <c r="H6553">
        <v>85.35</v>
      </c>
      <c r="J6553" t="s">
        <v>20</v>
      </c>
      <c r="L6553" s="1"/>
      <c r="N6553" s="1"/>
      <c r="V6553" t="str">
        <f>"80005"</f>
        <v>80005</v>
      </c>
      <c r="W6553">
        <v>16.22</v>
      </c>
      <c r="X6553">
        <v>0</v>
      </c>
    </row>
    <row r="6554" spans="1:24" ht="15" customHeight="1" x14ac:dyDescent="0.25">
      <c r="A6554" t="str">
        <f>""</f>
        <v/>
      </c>
      <c r="B6554" s="1"/>
      <c r="H6554">
        <v>120.85</v>
      </c>
      <c r="J6554" t="s">
        <v>20</v>
      </c>
      <c r="L6554" s="1"/>
      <c r="N6554" s="1"/>
      <c r="V6554" t="str">
        <f>"61200"</f>
        <v>61200</v>
      </c>
      <c r="W6554">
        <v>20.54</v>
      </c>
      <c r="X6554">
        <v>0</v>
      </c>
    </row>
    <row r="6555" spans="1:24" ht="15" customHeight="1" x14ac:dyDescent="0.25">
      <c r="A6555" t="str">
        <f>""</f>
        <v/>
      </c>
      <c r="B6555" s="1"/>
      <c r="H6555">
        <v>51.6</v>
      </c>
      <c r="J6555" t="s">
        <v>20</v>
      </c>
      <c r="L6555" s="1"/>
      <c r="N6555" s="1"/>
      <c r="V6555" t="str">
        <f>"02100"</f>
        <v>02100</v>
      </c>
      <c r="W6555">
        <v>9.8000000000000007</v>
      </c>
      <c r="X6555">
        <v>0</v>
      </c>
    </row>
    <row r="6556" spans="1:24" ht="15" customHeight="1" x14ac:dyDescent="0.25">
      <c r="A6556" t="str">
        <f>""</f>
        <v/>
      </c>
      <c r="B6556" s="1"/>
      <c r="H6556">
        <v>129.06</v>
      </c>
      <c r="L6556" s="1"/>
      <c r="N6556" s="1"/>
      <c r="V6556" t="str">
        <f>"77184"</f>
        <v>77184</v>
      </c>
      <c r="W6556">
        <v>0</v>
      </c>
      <c r="X6556">
        <v>0</v>
      </c>
    </row>
    <row r="6557" spans="1:24" ht="15" customHeight="1" x14ac:dyDescent="0.25">
      <c r="A6557" t="str">
        <f>""</f>
        <v/>
      </c>
      <c r="B6557" s="1"/>
      <c r="H6557">
        <v>234</v>
      </c>
      <c r="J6557" t="s">
        <v>22</v>
      </c>
      <c r="L6557" s="1"/>
      <c r="N6557" s="1"/>
      <c r="V6557" t="str">
        <f>"14150"</f>
        <v>14150</v>
      </c>
      <c r="W6557">
        <v>0</v>
      </c>
      <c r="X6557">
        <v>0</v>
      </c>
    </row>
    <row r="6558" spans="1:24" ht="15" customHeight="1" x14ac:dyDescent="0.25">
      <c r="A6558" t="str">
        <f>""</f>
        <v/>
      </c>
      <c r="B6558" s="1"/>
      <c r="H6558">
        <v>130.19999999999999</v>
      </c>
      <c r="J6558" t="s">
        <v>20</v>
      </c>
      <c r="L6558" s="1"/>
      <c r="N6558" s="1"/>
      <c r="V6558" t="str">
        <f>"26320"</f>
        <v>26320</v>
      </c>
      <c r="W6558">
        <v>35.15</v>
      </c>
      <c r="X6558">
        <v>0</v>
      </c>
    </row>
    <row r="6559" spans="1:24" ht="15" customHeight="1" x14ac:dyDescent="0.25">
      <c r="A6559" t="str">
        <f>""</f>
        <v/>
      </c>
      <c r="B6559" s="1"/>
      <c r="H6559">
        <v>132.26</v>
      </c>
      <c r="J6559" t="s">
        <v>20</v>
      </c>
      <c r="L6559" s="1"/>
      <c r="N6559" s="1"/>
      <c r="V6559" t="str">
        <f>"14150"</f>
        <v>14150</v>
      </c>
      <c r="W6559">
        <v>22.48</v>
      </c>
      <c r="X6559">
        <v>0</v>
      </c>
    </row>
    <row r="6560" spans="1:24" ht="15" customHeight="1" x14ac:dyDescent="0.25">
      <c r="A6560" t="str">
        <f>""</f>
        <v/>
      </c>
      <c r="B6560" s="1"/>
      <c r="H6560">
        <v>137.01</v>
      </c>
      <c r="J6560" t="s">
        <v>20</v>
      </c>
      <c r="L6560" s="1"/>
      <c r="N6560" s="1"/>
      <c r="V6560" t="str">
        <f>"59374"</f>
        <v>59374</v>
      </c>
      <c r="W6560">
        <v>26.03</v>
      </c>
      <c r="X6560">
        <v>0</v>
      </c>
    </row>
    <row r="6561" spans="1:24" ht="15" customHeight="1" x14ac:dyDescent="0.25">
      <c r="A6561" t="str">
        <f>""</f>
        <v/>
      </c>
      <c r="B6561" s="1"/>
      <c r="H6561">
        <v>32.46</v>
      </c>
      <c r="J6561" t="s">
        <v>20</v>
      </c>
      <c r="L6561" s="1"/>
      <c r="N6561" s="1"/>
      <c r="V6561" t="str">
        <f>"49070"</f>
        <v>49070</v>
      </c>
      <c r="W6561">
        <v>8.76</v>
      </c>
      <c r="X6561">
        <v>0</v>
      </c>
    </row>
    <row r="6562" spans="1:24" ht="15" customHeight="1" x14ac:dyDescent="0.25">
      <c r="A6562" t="str">
        <f>""</f>
        <v/>
      </c>
      <c r="B6562" s="1"/>
      <c r="H6562">
        <v>315</v>
      </c>
      <c r="L6562" s="1"/>
      <c r="N6562" s="1"/>
      <c r="V6562" t="str">
        <f>"77184"</f>
        <v>77184</v>
      </c>
      <c r="W6562">
        <v>0</v>
      </c>
      <c r="X6562">
        <v>0</v>
      </c>
    </row>
    <row r="6563" spans="1:24" ht="15" customHeight="1" x14ac:dyDescent="0.25">
      <c r="A6563" t="str">
        <f>""</f>
        <v/>
      </c>
      <c r="B6563" s="1"/>
      <c r="H6563">
        <v>80</v>
      </c>
      <c r="J6563" t="s">
        <v>19</v>
      </c>
      <c r="L6563" s="1"/>
      <c r="N6563" s="1"/>
      <c r="V6563" t="str">
        <f>"45000"</f>
        <v>45000</v>
      </c>
      <c r="W6563">
        <v>16.8</v>
      </c>
      <c r="X6563">
        <v>0</v>
      </c>
    </row>
    <row r="6564" spans="1:24" ht="15" customHeight="1" x14ac:dyDescent="0.25">
      <c r="A6564" t="str">
        <f>""</f>
        <v/>
      </c>
      <c r="B6564" s="1"/>
      <c r="H6564">
        <v>250</v>
      </c>
      <c r="J6564" t="s">
        <v>22</v>
      </c>
      <c r="L6564" s="1"/>
      <c r="V6564" t="str">
        <f>"44000"</f>
        <v>44000</v>
      </c>
      <c r="W6564">
        <v>0</v>
      </c>
      <c r="X6564">
        <v>0</v>
      </c>
    </row>
    <row r="6565" spans="1:24" ht="15" customHeight="1" x14ac:dyDescent="0.25">
      <c r="A6565" t="str">
        <f>""</f>
        <v/>
      </c>
      <c r="B6565" s="1"/>
      <c r="H6565">
        <v>82.64</v>
      </c>
      <c r="J6565" t="s">
        <v>20</v>
      </c>
      <c r="L6565" s="1"/>
      <c r="N6565" s="1"/>
      <c r="V6565" t="str">
        <f>"69120"</f>
        <v>69120</v>
      </c>
      <c r="W6565">
        <v>22.31</v>
      </c>
      <c r="X6565">
        <v>0</v>
      </c>
    </row>
    <row r="6566" spans="1:24" ht="15" customHeight="1" x14ac:dyDescent="0.25">
      <c r="A6566" t="str">
        <f>""</f>
        <v/>
      </c>
      <c r="B6566" s="1"/>
      <c r="H6566">
        <v>55.34</v>
      </c>
      <c r="J6566" t="s">
        <v>20</v>
      </c>
      <c r="L6566" s="1"/>
      <c r="N6566" s="1"/>
      <c r="V6566" t="str">
        <f>"94400"</f>
        <v>94400</v>
      </c>
      <c r="W6566">
        <v>0</v>
      </c>
      <c r="X6566">
        <v>0</v>
      </c>
    </row>
    <row r="6567" spans="1:24" ht="15" customHeight="1" x14ac:dyDescent="0.25">
      <c r="A6567" t="str">
        <f>""</f>
        <v/>
      </c>
      <c r="B6567" s="1"/>
      <c r="H6567">
        <v>40</v>
      </c>
      <c r="J6567" t="s">
        <v>20</v>
      </c>
      <c r="L6567" s="1"/>
      <c r="N6567" s="1"/>
      <c r="V6567" t="str">
        <f>"44323"</f>
        <v>44323</v>
      </c>
      <c r="W6567">
        <v>10.8</v>
      </c>
      <c r="X6567">
        <v>0</v>
      </c>
    </row>
    <row r="6568" spans="1:24" ht="15" customHeight="1" x14ac:dyDescent="0.25">
      <c r="A6568" t="str">
        <f>""</f>
        <v/>
      </c>
      <c r="B6568" s="1"/>
      <c r="H6568">
        <v>40</v>
      </c>
      <c r="J6568" t="s">
        <v>20</v>
      </c>
      <c r="L6568" s="1"/>
      <c r="N6568" s="1"/>
      <c r="V6568" t="str">
        <f>"33300"</f>
        <v>33300</v>
      </c>
      <c r="W6568">
        <v>8.4</v>
      </c>
      <c r="X6568">
        <v>0</v>
      </c>
    </row>
    <row r="6569" spans="1:24" ht="15" customHeight="1" x14ac:dyDescent="0.25">
      <c r="A6569" t="str">
        <f>""</f>
        <v/>
      </c>
      <c r="B6569" s="1"/>
      <c r="H6569">
        <v>190.21</v>
      </c>
      <c r="J6569" t="s">
        <v>20</v>
      </c>
      <c r="L6569" s="1"/>
      <c r="N6569" s="1"/>
      <c r="V6569" t="str">
        <f>"69300"</f>
        <v>69300</v>
      </c>
      <c r="W6569">
        <v>51.36</v>
      </c>
      <c r="X6569">
        <v>0</v>
      </c>
    </row>
    <row r="6570" spans="1:24" ht="15" customHeight="1" x14ac:dyDescent="0.25">
      <c r="A6570" t="str">
        <f>""</f>
        <v/>
      </c>
      <c r="B6570" s="1"/>
      <c r="H6570">
        <v>3.42</v>
      </c>
      <c r="J6570" t="s">
        <v>19</v>
      </c>
      <c r="L6570" s="1"/>
      <c r="N6570" s="1"/>
      <c r="V6570" t="str">
        <f>"50690"</f>
        <v>50690</v>
      </c>
      <c r="W6570">
        <v>0.57999999999999996</v>
      </c>
      <c r="X6570">
        <v>0</v>
      </c>
    </row>
    <row r="6571" spans="1:24" ht="15" customHeight="1" x14ac:dyDescent="0.25">
      <c r="A6571" t="str">
        <f>""</f>
        <v/>
      </c>
      <c r="B6571" s="1"/>
      <c r="H6571">
        <v>19.8</v>
      </c>
      <c r="J6571" t="s">
        <v>20</v>
      </c>
      <c r="L6571" s="1"/>
      <c r="N6571" s="1"/>
      <c r="V6571" t="str">
        <f>"86220"</f>
        <v>86220</v>
      </c>
      <c r="W6571">
        <v>4.16</v>
      </c>
      <c r="X6571">
        <v>0</v>
      </c>
    </row>
    <row r="6572" spans="1:24" ht="15" customHeight="1" x14ac:dyDescent="0.25">
      <c r="A6572" t="str">
        <f>""</f>
        <v/>
      </c>
      <c r="B6572" s="1"/>
      <c r="H6572">
        <v>151</v>
      </c>
      <c r="J6572" t="s">
        <v>23</v>
      </c>
      <c r="L6572" s="1"/>
      <c r="N6572" s="1"/>
      <c r="V6572" t="str">
        <f>"66000"</f>
        <v>66000</v>
      </c>
      <c r="W6572">
        <v>0</v>
      </c>
      <c r="X6572">
        <v>42.28</v>
      </c>
    </row>
    <row r="6573" spans="1:24" ht="15" customHeight="1" x14ac:dyDescent="0.25">
      <c r="A6573" t="str">
        <f>""</f>
        <v/>
      </c>
      <c r="B6573" s="1"/>
      <c r="H6573">
        <v>137.80000000000001</v>
      </c>
      <c r="J6573" t="s">
        <v>22</v>
      </c>
      <c r="L6573" s="1"/>
      <c r="N6573" s="1"/>
      <c r="V6573" t="str">
        <f>"59260"</f>
        <v>59260</v>
      </c>
      <c r="W6573">
        <v>0</v>
      </c>
      <c r="X6573">
        <v>0</v>
      </c>
    </row>
    <row r="6574" spans="1:24" ht="15" customHeight="1" x14ac:dyDescent="0.25">
      <c r="A6574" t="str">
        <f>""</f>
        <v/>
      </c>
      <c r="B6574" s="1"/>
      <c r="H6574">
        <v>171</v>
      </c>
      <c r="L6574" s="1"/>
      <c r="N6574" s="1"/>
      <c r="V6574" t="str">
        <f>"77184"</f>
        <v>77184</v>
      </c>
      <c r="W6574">
        <v>0</v>
      </c>
      <c r="X6574">
        <v>0</v>
      </c>
    </row>
    <row r="6575" spans="1:24" ht="15" customHeight="1" x14ac:dyDescent="0.25">
      <c r="A6575" t="str">
        <f>""</f>
        <v/>
      </c>
      <c r="B6575" s="1"/>
      <c r="H6575">
        <v>19.8</v>
      </c>
      <c r="J6575" t="s">
        <v>19</v>
      </c>
      <c r="L6575" s="1"/>
      <c r="N6575" s="1"/>
      <c r="V6575" t="str">
        <f>"62500"</f>
        <v>62500</v>
      </c>
      <c r="W6575">
        <v>3.76</v>
      </c>
      <c r="X6575">
        <v>0</v>
      </c>
    </row>
    <row r="6576" spans="1:24" ht="15" customHeight="1" x14ac:dyDescent="0.25">
      <c r="A6576" t="str">
        <f>""</f>
        <v/>
      </c>
      <c r="B6576" s="1"/>
      <c r="H6576">
        <v>19.8</v>
      </c>
      <c r="J6576" t="s">
        <v>20</v>
      </c>
      <c r="L6576" s="1"/>
      <c r="N6576" s="1"/>
      <c r="V6576" t="str">
        <f>"60290"</f>
        <v>60290</v>
      </c>
      <c r="W6576">
        <v>3.76</v>
      </c>
      <c r="X6576">
        <v>0</v>
      </c>
    </row>
    <row r="6577" spans="1:24" ht="15" customHeight="1" x14ac:dyDescent="0.25">
      <c r="A6577" t="str">
        <f>""</f>
        <v/>
      </c>
      <c r="B6577" s="1"/>
      <c r="H6577">
        <v>19.8</v>
      </c>
      <c r="J6577" t="s">
        <v>19</v>
      </c>
      <c r="L6577" s="1"/>
      <c r="N6577" s="1"/>
      <c r="V6577" t="str">
        <f>"62380"</f>
        <v>62380</v>
      </c>
      <c r="W6577">
        <v>3.76</v>
      </c>
      <c r="X6577">
        <v>0</v>
      </c>
    </row>
    <row r="6578" spans="1:24" ht="15" customHeight="1" x14ac:dyDescent="0.25">
      <c r="A6578" t="str">
        <f>""</f>
        <v/>
      </c>
      <c r="B6578" s="1"/>
      <c r="H6578">
        <v>25.8</v>
      </c>
      <c r="J6578" t="s">
        <v>19</v>
      </c>
      <c r="L6578" s="1"/>
      <c r="N6578" s="1"/>
      <c r="V6578" t="str">
        <f>"38590"</f>
        <v>38590</v>
      </c>
      <c r="W6578">
        <v>6.97</v>
      </c>
      <c r="X6578">
        <v>0</v>
      </c>
    </row>
    <row r="6579" spans="1:24" ht="15" customHeight="1" x14ac:dyDescent="0.25">
      <c r="A6579" t="str">
        <f>""</f>
        <v/>
      </c>
      <c r="B6579" s="1"/>
      <c r="H6579">
        <v>25.8</v>
      </c>
      <c r="J6579" t="s">
        <v>20</v>
      </c>
      <c r="L6579" s="1"/>
      <c r="N6579" s="1"/>
      <c r="V6579" t="str">
        <f>"38590"</f>
        <v>38590</v>
      </c>
      <c r="W6579">
        <v>6.97</v>
      </c>
      <c r="X6579">
        <v>0</v>
      </c>
    </row>
    <row r="6580" spans="1:24" x14ac:dyDescent="0.25">
      <c r="A6580" t="str">
        <f>""</f>
        <v/>
      </c>
      <c r="B6580" s="1"/>
      <c r="H6580">
        <v>120</v>
      </c>
      <c r="J6580" t="s">
        <v>15</v>
      </c>
      <c r="L6580" s="1"/>
      <c r="N6580" s="1"/>
      <c r="V6580" t="str">
        <f>"59200"</f>
        <v>59200</v>
      </c>
      <c r="W6580">
        <v>0</v>
      </c>
      <c r="X6580">
        <v>34.799999999999997</v>
      </c>
    </row>
    <row r="6581" spans="1:24" ht="15" customHeight="1" x14ac:dyDescent="0.25">
      <c r="A6581" t="str">
        <f>""</f>
        <v/>
      </c>
      <c r="B6581" s="1"/>
      <c r="H6581">
        <v>151</v>
      </c>
      <c r="J6581" t="s">
        <v>22</v>
      </c>
      <c r="L6581" s="1"/>
      <c r="N6581" s="1"/>
      <c r="V6581" t="str">
        <f>"69005"</f>
        <v>69005</v>
      </c>
      <c r="W6581">
        <v>0</v>
      </c>
      <c r="X6581">
        <v>0</v>
      </c>
    </row>
    <row r="6582" spans="1:24" ht="15" customHeight="1" x14ac:dyDescent="0.25">
      <c r="A6582" t="str">
        <f>""</f>
        <v/>
      </c>
      <c r="B6582" s="1"/>
      <c r="H6582">
        <v>143.99</v>
      </c>
      <c r="J6582" t="s">
        <v>20</v>
      </c>
      <c r="L6582" s="1"/>
      <c r="N6582" s="1"/>
      <c r="V6582" t="str">
        <f>"45100"</f>
        <v>45100</v>
      </c>
      <c r="W6582">
        <v>30.24</v>
      </c>
      <c r="X6582">
        <v>0</v>
      </c>
    </row>
    <row r="6583" spans="1:24" ht="15" customHeight="1" x14ac:dyDescent="0.25">
      <c r="A6583" t="str">
        <f>""</f>
        <v/>
      </c>
      <c r="B6583" s="1"/>
      <c r="H6583">
        <v>120.29</v>
      </c>
      <c r="J6583" t="s">
        <v>19</v>
      </c>
      <c r="L6583" s="1"/>
      <c r="N6583" s="1"/>
      <c r="V6583" t="str">
        <f>"01500"</f>
        <v>01500</v>
      </c>
      <c r="W6583">
        <v>32.479999999999997</v>
      </c>
      <c r="X6583">
        <v>0</v>
      </c>
    </row>
    <row r="6584" spans="1:24" ht="15" customHeight="1" x14ac:dyDescent="0.25">
      <c r="A6584" t="str">
        <f>""</f>
        <v/>
      </c>
      <c r="B6584" s="1"/>
      <c r="H6584">
        <v>24.35</v>
      </c>
      <c r="J6584" t="s">
        <v>20</v>
      </c>
      <c r="L6584" s="1"/>
      <c r="N6584" s="1"/>
      <c r="V6584" t="str">
        <f>"59193"</f>
        <v>59193</v>
      </c>
      <c r="W6584">
        <v>4.63</v>
      </c>
      <c r="X6584">
        <v>0</v>
      </c>
    </row>
    <row r="6585" spans="1:24" ht="15" customHeight="1" x14ac:dyDescent="0.25">
      <c r="A6585" t="str">
        <f>""</f>
        <v/>
      </c>
      <c r="B6585" s="1"/>
      <c r="H6585">
        <v>201.52</v>
      </c>
      <c r="J6585" t="s">
        <v>22</v>
      </c>
      <c r="L6585" s="1"/>
      <c r="N6585" s="1"/>
      <c r="V6585" t="str">
        <f>"59000"</f>
        <v>59000</v>
      </c>
      <c r="W6585">
        <v>0</v>
      </c>
      <c r="X6585">
        <v>0</v>
      </c>
    </row>
    <row r="6586" spans="1:24" ht="15" customHeight="1" x14ac:dyDescent="0.25">
      <c r="A6586" t="str">
        <f>""</f>
        <v/>
      </c>
      <c r="B6586" s="1"/>
      <c r="H6586">
        <v>137</v>
      </c>
      <c r="L6586" s="1"/>
      <c r="N6586" s="1"/>
      <c r="V6586" t="str">
        <f>"77184"</f>
        <v>77184</v>
      </c>
      <c r="W6586">
        <v>0</v>
      </c>
      <c r="X6586">
        <v>0</v>
      </c>
    </row>
    <row r="6587" spans="1:24" ht="15" customHeight="1" x14ac:dyDescent="0.25">
      <c r="A6587" t="str">
        <f>""</f>
        <v/>
      </c>
      <c r="B6587" s="1"/>
      <c r="H6587">
        <v>139</v>
      </c>
      <c r="L6587" s="1"/>
      <c r="N6587" s="1"/>
      <c r="V6587" t="str">
        <f>"77184"</f>
        <v>77184</v>
      </c>
      <c r="W6587">
        <v>0</v>
      </c>
      <c r="X6587">
        <v>0</v>
      </c>
    </row>
    <row r="6588" spans="1:24" ht="15" customHeight="1" x14ac:dyDescent="0.25">
      <c r="A6588" t="str">
        <f>""</f>
        <v/>
      </c>
      <c r="B6588" s="1"/>
      <c r="H6588">
        <v>127.01</v>
      </c>
      <c r="J6588" t="s">
        <v>20</v>
      </c>
      <c r="L6588" s="1"/>
      <c r="N6588" s="1"/>
      <c r="V6588" t="str">
        <f>"34270"</f>
        <v>34270</v>
      </c>
      <c r="W6588">
        <v>49.53</v>
      </c>
      <c r="X6588">
        <v>0</v>
      </c>
    </row>
    <row r="6589" spans="1:24" ht="15" customHeight="1" x14ac:dyDescent="0.25">
      <c r="A6589" t="str">
        <f>""</f>
        <v/>
      </c>
      <c r="B6589" s="1"/>
      <c r="H6589">
        <v>55.22</v>
      </c>
      <c r="J6589" t="s">
        <v>20</v>
      </c>
      <c r="L6589" s="1"/>
      <c r="N6589" s="1"/>
      <c r="V6589" t="str">
        <f>"86100"</f>
        <v>86100</v>
      </c>
      <c r="W6589">
        <v>11.6</v>
      </c>
      <c r="X6589">
        <v>0</v>
      </c>
    </row>
    <row r="6590" spans="1:24" ht="15" customHeight="1" x14ac:dyDescent="0.25">
      <c r="A6590" t="str">
        <f>""</f>
        <v/>
      </c>
      <c r="B6590" s="1"/>
      <c r="H6590">
        <v>33.35</v>
      </c>
      <c r="J6590" t="s">
        <v>19</v>
      </c>
      <c r="L6590" s="1"/>
      <c r="N6590" s="1"/>
      <c r="V6590" t="str">
        <f>"69005"</f>
        <v>69005</v>
      </c>
      <c r="W6590">
        <v>9</v>
      </c>
      <c r="X6590">
        <v>0</v>
      </c>
    </row>
    <row r="6591" spans="1:24" ht="15" customHeight="1" x14ac:dyDescent="0.25">
      <c r="A6591" t="str">
        <f>""</f>
        <v/>
      </c>
      <c r="B6591" s="1"/>
      <c r="H6591">
        <v>33.35</v>
      </c>
      <c r="J6591" t="s">
        <v>19</v>
      </c>
      <c r="L6591" s="1"/>
      <c r="N6591" s="1"/>
      <c r="V6591" t="str">
        <f>"69005"</f>
        <v>69005</v>
      </c>
      <c r="W6591">
        <v>9</v>
      </c>
      <c r="X6591">
        <v>0</v>
      </c>
    </row>
    <row r="6592" spans="1:24" ht="15" customHeight="1" x14ac:dyDescent="0.25">
      <c r="A6592" t="str">
        <f>""</f>
        <v/>
      </c>
      <c r="B6592" s="1"/>
      <c r="H6592">
        <v>22.53</v>
      </c>
      <c r="J6592" t="s">
        <v>20</v>
      </c>
      <c r="L6592" s="1"/>
      <c r="N6592" s="1"/>
      <c r="V6592" t="str">
        <f>"62700"</f>
        <v>62700</v>
      </c>
      <c r="W6592">
        <v>4.28</v>
      </c>
      <c r="X6592">
        <v>0</v>
      </c>
    </row>
    <row r="6593" spans="1:24" ht="15" customHeight="1" x14ac:dyDescent="0.25">
      <c r="A6593" t="str">
        <f>""</f>
        <v/>
      </c>
      <c r="B6593" s="1"/>
      <c r="H6593">
        <v>311.14999999999998</v>
      </c>
      <c r="J6593" t="s">
        <v>23</v>
      </c>
      <c r="L6593" s="1"/>
      <c r="N6593" s="1"/>
      <c r="V6593" t="str">
        <f>"74150"</f>
        <v>74150</v>
      </c>
      <c r="W6593">
        <v>0</v>
      </c>
      <c r="X6593">
        <v>0</v>
      </c>
    </row>
    <row r="6594" spans="1:24" ht="15" customHeight="1" x14ac:dyDescent="0.25">
      <c r="A6594" t="str">
        <f>""</f>
        <v/>
      </c>
      <c r="B6594" s="1"/>
      <c r="H6594">
        <v>25</v>
      </c>
      <c r="J6594" t="s">
        <v>22</v>
      </c>
      <c r="L6594" s="1"/>
      <c r="N6594" s="1"/>
      <c r="V6594" t="str">
        <f>"94100"</f>
        <v>94100</v>
      </c>
      <c r="W6594">
        <v>0</v>
      </c>
      <c r="X6594">
        <v>0</v>
      </c>
    </row>
    <row r="6595" spans="1:24" ht="15" customHeight="1" x14ac:dyDescent="0.25">
      <c r="A6595" t="str">
        <f>""</f>
        <v/>
      </c>
      <c r="B6595" s="1"/>
      <c r="H6595">
        <v>1136.45</v>
      </c>
      <c r="J6595" t="s">
        <v>20</v>
      </c>
      <c r="L6595" s="1"/>
      <c r="N6595" s="1"/>
      <c r="V6595" t="str">
        <f>"92130"</f>
        <v>92130</v>
      </c>
      <c r="W6595">
        <v>0</v>
      </c>
      <c r="X6595">
        <v>0</v>
      </c>
    </row>
    <row r="6596" spans="1:24" ht="15" customHeight="1" x14ac:dyDescent="0.25">
      <c r="A6596" t="str">
        <f>""</f>
        <v/>
      </c>
      <c r="B6596" s="1"/>
      <c r="H6596">
        <v>33.25</v>
      </c>
      <c r="J6596" t="s">
        <v>19</v>
      </c>
      <c r="L6596" s="1"/>
      <c r="N6596" s="1"/>
      <c r="V6596" t="str">
        <f>"84380"</f>
        <v>84380</v>
      </c>
      <c r="W6596">
        <v>9.64</v>
      </c>
      <c r="X6596">
        <v>0</v>
      </c>
    </row>
    <row r="6597" spans="1:24" ht="15" customHeight="1" x14ac:dyDescent="0.25">
      <c r="A6597" t="str">
        <f>""</f>
        <v/>
      </c>
      <c r="B6597" s="1"/>
      <c r="H6597">
        <v>184.92</v>
      </c>
      <c r="J6597" t="s">
        <v>20</v>
      </c>
      <c r="L6597" s="1"/>
      <c r="N6597" s="1"/>
      <c r="V6597" t="str">
        <f>"80000"</f>
        <v>80000</v>
      </c>
      <c r="W6597">
        <v>35.130000000000003</v>
      </c>
      <c r="X6597">
        <v>0</v>
      </c>
    </row>
    <row r="6598" spans="1:24" ht="15" customHeight="1" x14ac:dyDescent="0.25">
      <c r="A6598" t="str">
        <f>""</f>
        <v/>
      </c>
      <c r="B6598" s="1"/>
      <c r="H6598">
        <v>18.350000000000001</v>
      </c>
      <c r="J6598" t="s">
        <v>19</v>
      </c>
      <c r="L6598" s="1"/>
      <c r="N6598" s="1"/>
      <c r="V6598" t="str">
        <f>"84140"</f>
        <v>84140</v>
      </c>
      <c r="W6598">
        <v>5.32</v>
      </c>
      <c r="X6598">
        <v>0</v>
      </c>
    </row>
    <row r="6599" spans="1:24" ht="15" customHeight="1" x14ac:dyDescent="0.25">
      <c r="A6599" t="str">
        <f>""</f>
        <v/>
      </c>
      <c r="B6599" s="1"/>
      <c r="H6599">
        <v>18.350000000000001</v>
      </c>
      <c r="J6599" t="s">
        <v>19</v>
      </c>
      <c r="L6599" s="1"/>
      <c r="N6599" s="1"/>
      <c r="V6599" t="str">
        <f>"84140"</f>
        <v>84140</v>
      </c>
      <c r="W6599">
        <v>5.32</v>
      </c>
      <c r="X6599">
        <v>0</v>
      </c>
    </row>
    <row r="6600" spans="1:24" ht="15" customHeight="1" x14ac:dyDescent="0.25">
      <c r="A6600" t="str">
        <f>""</f>
        <v/>
      </c>
      <c r="B6600" s="1"/>
      <c r="H6600">
        <v>55.34</v>
      </c>
      <c r="J6600" t="s">
        <v>19</v>
      </c>
      <c r="L6600" s="1"/>
      <c r="N6600" s="1"/>
      <c r="V6600" t="str">
        <f>"75008"</f>
        <v>75008</v>
      </c>
      <c r="W6600">
        <v>0</v>
      </c>
      <c r="X6600">
        <v>0</v>
      </c>
    </row>
    <row r="6601" spans="1:24" ht="15" customHeight="1" x14ac:dyDescent="0.25">
      <c r="A6601" t="str">
        <f>""</f>
        <v/>
      </c>
      <c r="B6601" s="1"/>
      <c r="H6601">
        <v>131.49</v>
      </c>
      <c r="J6601" t="s">
        <v>20</v>
      </c>
      <c r="L6601" s="1"/>
      <c r="N6601" s="1"/>
      <c r="V6601" t="str">
        <f>"08200"</f>
        <v>08200</v>
      </c>
      <c r="W6601">
        <v>24.98</v>
      </c>
      <c r="X6601">
        <v>0</v>
      </c>
    </row>
    <row r="6602" spans="1:24" ht="15" customHeight="1" x14ac:dyDescent="0.25">
      <c r="A6602" t="str">
        <f>""</f>
        <v/>
      </c>
      <c r="B6602" s="1"/>
      <c r="H6602">
        <v>153.44999999999999</v>
      </c>
      <c r="J6602" t="s">
        <v>19</v>
      </c>
      <c r="L6602" s="1"/>
      <c r="N6602" s="1"/>
      <c r="V6602" t="str">
        <f>"92078"</f>
        <v>92078</v>
      </c>
      <c r="W6602">
        <v>0</v>
      </c>
      <c r="X6602">
        <v>0</v>
      </c>
    </row>
    <row r="6603" spans="1:24" ht="15" customHeight="1" x14ac:dyDescent="0.25">
      <c r="A6603" t="str">
        <f>""</f>
        <v/>
      </c>
      <c r="B6603" s="1"/>
      <c r="H6603">
        <v>30</v>
      </c>
      <c r="J6603" t="s">
        <v>20</v>
      </c>
      <c r="L6603" s="1"/>
      <c r="N6603" s="1"/>
      <c r="V6603" t="str">
        <f>"94700"</f>
        <v>94700</v>
      </c>
      <c r="W6603">
        <v>0</v>
      </c>
      <c r="X6603">
        <v>0</v>
      </c>
    </row>
    <row r="6604" spans="1:24" ht="15" customHeight="1" x14ac:dyDescent="0.25">
      <c r="A6604" t="str">
        <f>""</f>
        <v/>
      </c>
      <c r="B6604" s="1"/>
      <c r="H6604">
        <v>140</v>
      </c>
      <c r="J6604" t="s">
        <v>23</v>
      </c>
      <c r="L6604" s="1"/>
      <c r="N6604" s="1"/>
      <c r="V6604" t="str">
        <f>"59700"</f>
        <v>59700</v>
      </c>
      <c r="W6604">
        <v>0</v>
      </c>
      <c r="X6604">
        <v>0</v>
      </c>
    </row>
    <row r="6605" spans="1:24" ht="15" customHeight="1" x14ac:dyDescent="0.25">
      <c r="A6605" t="str">
        <f>""</f>
        <v/>
      </c>
      <c r="B6605" s="1"/>
      <c r="H6605">
        <v>86.34</v>
      </c>
      <c r="J6605" t="s">
        <v>20</v>
      </c>
      <c r="L6605" s="1"/>
      <c r="N6605" s="1"/>
      <c r="V6605" t="str">
        <f>"84350"</f>
        <v>84350</v>
      </c>
      <c r="W6605">
        <v>25.04</v>
      </c>
      <c r="X6605">
        <v>0</v>
      </c>
    </row>
    <row r="6606" spans="1:24" ht="15" customHeight="1" x14ac:dyDescent="0.25">
      <c r="A6606" t="str">
        <f>""</f>
        <v/>
      </c>
      <c r="B6606" s="1"/>
      <c r="H6606">
        <v>130.06</v>
      </c>
      <c r="J6606" t="s">
        <v>20</v>
      </c>
      <c r="L6606" s="1"/>
      <c r="N6606" s="1"/>
      <c r="V6606" t="str">
        <f>"91360"</f>
        <v>91360</v>
      </c>
      <c r="W6606">
        <v>0</v>
      </c>
      <c r="X6606">
        <v>0</v>
      </c>
    </row>
    <row r="6607" spans="1:24" ht="15" customHeight="1" x14ac:dyDescent="0.25">
      <c r="A6607" t="str">
        <f>""</f>
        <v/>
      </c>
      <c r="B6607" s="1"/>
      <c r="H6607">
        <v>30</v>
      </c>
      <c r="J6607" t="s">
        <v>20</v>
      </c>
      <c r="L6607" s="1"/>
      <c r="N6607" s="1"/>
      <c r="V6607" t="str">
        <f>"75012"</f>
        <v>75012</v>
      </c>
      <c r="W6607">
        <v>0</v>
      </c>
      <c r="X6607">
        <v>0</v>
      </c>
    </row>
    <row r="6608" spans="1:24" ht="15" customHeight="1" x14ac:dyDescent="0.25">
      <c r="A6608" t="str">
        <f>""</f>
        <v/>
      </c>
      <c r="B6608" s="1"/>
      <c r="H6608">
        <v>193</v>
      </c>
      <c r="J6608" t="s">
        <v>22</v>
      </c>
      <c r="L6608" s="1"/>
      <c r="N6608" s="1"/>
      <c r="V6608" t="str">
        <f>"80000"</f>
        <v>80000</v>
      </c>
      <c r="W6608">
        <v>0</v>
      </c>
      <c r="X6608">
        <v>36.67</v>
      </c>
    </row>
    <row r="6609" spans="1:24" ht="15" customHeight="1" x14ac:dyDescent="0.25">
      <c r="A6609" t="str">
        <f>""</f>
        <v/>
      </c>
      <c r="B6609" s="1"/>
      <c r="H6609">
        <v>40</v>
      </c>
      <c r="J6609" t="s">
        <v>22</v>
      </c>
      <c r="L6609" s="1"/>
      <c r="N6609" s="1"/>
      <c r="V6609" t="str">
        <f>"76220"</f>
        <v>76220</v>
      </c>
      <c r="W6609">
        <v>0</v>
      </c>
      <c r="X6609">
        <v>6.8</v>
      </c>
    </row>
    <row r="6610" spans="1:24" ht="15" customHeight="1" x14ac:dyDescent="0.25">
      <c r="A6610" t="str">
        <f>""</f>
        <v/>
      </c>
      <c r="B6610" s="1"/>
      <c r="H6610">
        <v>40</v>
      </c>
      <c r="J6610" t="s">
        <v>20</v>
      </c>
      <c r="L6610" s="1"/>
      <c r="N6610" s="1"/>
      <c r="V6610" t="str">
        <f>"06300"</f>
        <v>06300</v>
      </c>
      <c r="W6610">
        <v>12</v>
      </c>
      <c r="X6610">
        <v>0</v>
      </c>
    </row>
    <row r="6611" spans="1:24" ht="15" customHeight="1" x14ac:dyDescent="0.25">
      <c r="A6611" t="str">
        <f>""</f>
        <v/>
      </c>
      <c r="B6611" s="1"/>
      <c r="H6611">
        <v>73.34</v>
      </c>
      <c r="J6611" t="s">
        <v>23</v>
      </c>
      <c r="L6611" s="1"/>
      <c r="V6611" t="str">
        <f>"30200"</f>
        <v>30200</v>
      </c>
      <c r="W6611">
        <v>0</v>
      </c>
      <c r="X6611">
        <v>0</v>
      </c>
    </row>
    <row r="6612" spans="1:24" ht="15" customHeight="1" x14ac:dyDescent="0.25">
      <c r="A6612" t="str">
        <f>""</f>
        <v/>
      </c>
      <c r="B6612" s="1"/>
      <c r="H6612">
        <v>10</v>
      </c>
      <c r="J6612" t="s">
        <v>20</v>
      </c>
      <c r="L6612" s="1"/>
      <c r="N6612" s="1"/>
      <c r="V6612" t="str">
        <f>"77184"</f>
        <v>77184</v>
      </c>
      <c r="W6612">
        <v>2.1</v>
      </c>
      <c r="X6612">
        <v>0</v>
      </c>
    </row>
    <row r="6613" spans="1:24" ht="15" customHeight="1" x14ac:dyDescent="0.25">
      <c r="A6613" t="str">
        <f>""</f>
        <v/>
      </c>
      <c r="B6613" s="1"/>
      <c r="H6613">
        <v>267.04000000000002</v>
      </c>
      <c r="J6613" t="s">
        <v>23</v>
      </c>
      <c r="L6613" s="1"/>
      <c r="N6613" s="1"/>
      <c r="V6613" t="str">
        <f>"01600"</f>
        <v>01600</v>
      </c>
      <c r="W6613">
        <v>0</v>
      </c>
      <c r="X6613">
        <v>0</v>
      </c>
    </row>
    <row r="6614" spans="1:24" ht="15" customHeight="1" x14ac:dyDescent="0.25">
      <c r="A6614" t="str">
        <f>""</f>
        <v/>
      </c>
      <c r="B6614" s="1"/>
      <c r="H6614">
        <v>154.30000000000001</v>
      </c>
      <c r="J6614" t="s">
        <v>22</v>
      </c>
      <c r="L6614" s="1"/>
      <c r="N6614" s="1"/>
      <c r="V6614" t="str">
        <f>"14000"</f>
        <v>14000</v>
      </c>
      <c r="W6614">
        <v>0</v>
      </c>
      <c r="X6614">
        <v>0</v>
      </c>
    </row>
    <row r="6615" spans="1:24" ht="15" customHeight="1" x14ac:dyDescent="0.25">
      <c r="A6615" t="str">
        <f>""</f>
        <v/>
      </c>
      <c r="B6615" s="1"/>
      <c r="H6615">
        <v>235.78</v>
      </c>
      <c r="L6615" s="1"/>
      <c r="V6615" t="str">
        <f>"77184"</f>
        <v>77184</v>
      </c>
      <c r="W6615">
        <v>0</v>
      </c>
      <c r="X6615">
        <v>0</v>
      </c>
    </row>
    <row r="6616" spans="1:24" ht="15" customHeight="1" x14ac:dyDescent="0.25">
      <c r="A6616" t="str">
        <f>""</f>
        <v/>
      </c>
      <c r="B6616" s="1"/>
      <c r="H6616">
        <v>193.63</v>
      </c>
      <c r="J6616" t="s">
        <v>22</v>
      </c>
      <c r="L6616" s="1"/>
      <c r="N6616" s="1"/>
      <c r="V6616" t="str">
        <f>"37520"</f>
        <v>37520</v>
      </c>
      <c r="W6616">
        <v>0</v>
      </c>
      <c r="X6616">
        <v>0</v>
      </c>
    </row>
    <row r="6617" spans="1:24" ht="15" customHeight="1" x14ac:dyDescent="0.25">
      <c r="A6617" t="str">
        <f>""</f>
        <v/>
      </c>
      <c r="B6617" s="1"/>
      <c r="H6617">
        <v>40</v>
      </c>
      <c r="J6617" t="s">
        <v>22</v>
      </c>
      <c r="L6617" s="1"/>
      <c r="N6617" s="1"/>
      <c r="V6617" t="str">
        <f>"06220"</f>
        <v>06220</v>
      </c>
      <c r="W6617">
        <v>0</v>
      </c>
      <c r="X6617">
        <v>12</v>
      </c>
    </row>
    <row r="6618" spans="1:24" ht="15" customHeight="1" x14ac:dyDescent="0.25">
      <c r="A6618" t="str">
        <f>""</f>
        <v/>
      </c>
      <c r="B6618" s="1"/>
      <c r="H6618">
        <v>140</v>
      </c>
      <c r="J6618" t="s">
        <v>23</v>
      </c>
      <c r="L6618" s="1"/>
      <c r="N6618" s="1"/>
      <c r="V6618" t="str">
        <f>"56360"</f>
        <v>56360</v>
      </c>
      <c r="W6618">
        <v>0</v>
      </c>
      <c r="X6618">
        <v>0</v>
      </c>
    </row>
    <row r="6619" spans="1:24" ht="15" customHeight="1" x14ac:dyDescent="0.25">
      <c r="A6619" t="str">
        <f>""</f>
        <v/>
      </c>
      <c r="B6619" s="1"/>
      <c r="H6619">
        <v>70</v>
      </c>
      <c r="J6619" t="s">
        <v>22</v>
      </c>
      <c r="L6619" s="1"/>
      <c r="N6619" s="1"/>
      <c r="V6619" t="str">
        <f>"59110"</f>
        <v>59110</v>
      </c>
      <c r="W6619">
        <v>0</v>
      </c>
      <c r="X6619">
        <v>0</v>
      </c>
    </row>
    <row r="6620" spans="1:24" ht="15" customHeight="1" x14ac:dyDescent="0.25">
      <c r="A6620" t="str">
        <f>""</f>
        <v/>
      </c>
      <c r="B6620" s="1"/>
      <c r="H6620">
        <v>183.98</v>
      </c>
      <c r="J6620" t="s">
        <v>22</v>
      </c>
      <c r="L6620" s="1"/>
      <c r="N6620" s="1"/>
      <c r="V6620" t="str">
        <f>"14000"</f>
        <v>14000</v>
      </c>
      <c r="W6620">
        <v>0</v>
      </c>
      <c r="X6620">
        <v>31.28</v>
      </c>
    </row>
    <row r="6621" spans="1:24" ht="15" customHeight="1" x14ac:dyDescent="0.25">
      <c r="A6621" t="str">
        <f>""</f>
        <v/>
      </c>
      <c r="B6621" s="1"/>
      <c r="H6621">
        <v>183.98</v>
      </c>
      <c r="J6621" t="s">
        <v>23</v>
      </c>
      <c r="L6621" s="1"/>
      <c r="N6621" s="1"/>
      <c r="V6621" t="str">
        <f>"14000"</f>
        <v>14000</v>
      </c>
      <c r="W6621">
        <v>0</v>
      </c>
      <c r="X6621">
        <v>31.28</v>
      </c>
    </row>
    <row r="6622" spans="1:24" ht="15" customHeight="1" x14ac:dyDescent="0.25">
      <c r="A6622" t="str">
        <f>""</f>
        <v/>
      </c>
      <c r="B6622" s="1"/>
      <c r="H6622">
        <v>94.79</v>
      </c>
      <c r="J6622" t="s">
        <v>22</v>
      </c>
      <c r="L6622" s="1"/>
      <c r="V6622" t="str">
        <f>"13127"</f>
        <v>13127</v>
      </c>
      <c r="W6622">
        <v>0</v>
      </c>
      <c r="X6622">
        <v>0</v>
      </c>
    </row>
    <row r="6623" spans="1:24" ht="15" customHeight="1" x14ac:dyDescent="0.25">
      <c r="A6623" t="str">
        <f>""</f>
        <v/>
      </c>
      <c r="B6623" s="1"/>
      <c r="H6623">
        <v>250</v>
      </c>
      <c r="J6623" t="s">
        <v>23</v>
      </c>
      <c r="L6623" s="1"/>
      <c r="V6623" t="str">
        <f>"05220"</f>
        <v>05220</v>
      </c>
      <c r="W6623">
        <v>0</v>
      </c>
      <c r="X6623">
        <v>0</v>
      </c>
    </row>
    <row r="6624" spans="1:24" ht="15" customHeight="1" x14ac:dyDescent="0.25">
      <c r="A6624" t="str">
        <f>""</f>
        <v/>
      </c>
      <c r="B6624" s="1"/>
      <c r="H6624">
        <v>151</v>
      </c>
      <c r="J6624" t="s">
        <v>23</v>
      </c>
      <c r="L6624" s="1"/>
      <c r="N6624" s="1"/>
      <c r="V6624" t="str">
        <f>"69800"</f>
        <v>69800</v>
      </c>
      <c r="W6624">
        <v>0</v>
      </c>
      <c r="X6624">
        <v>40.770000000000003</v>
      </c>
    </row>
    <row r="6625" spans="1:24" ht="15" customHeight="1" x14ac:dyDescent="0.25">
      <c r="A6625" t="str">
        <f>""</f>
        <v/>
      </c>
      <c r="B6625" s="1"/>
      <c r="H6625">
        <v>180</v>
      </c>
      <c r="J6625" t="s">
        <v>22</v>
      </c>
      <c r="L6625" s="1"/>
      <c r="N6625" s="1"/>
      <c r="V6625" t="str">
        <f>"63120"</f>
        <v>63120</v>
      </c>
      <c r="W6625">
        <v>0</v>
      </c>
      <c r="X6625">
        <v>21.6</v>
      </c>
    </row>
    <row r="6626" spans="1:24" ht="15" customHeight="1" x14ac:dyDescent="0.25">
      <c r="A6626" t="str">
        <f>""</f>
        <v/>
      </c>
      <c r="B6626" s="1"/>
      <c r="H6626">
        <v>218.63</v>
      </c>
      <c r="J6626" t="s">
        <v>22</v>
      </c>
      <c r="L6626" s="1"/>
      <c r="N6626" s="1"/>
      <c r="V6626" t="str">
        <f>"38300"</f>
        <v>38300</v>
      </c>
      <c r="W6626">
        <v>0</v>
      </c>
      <c r="X6626">
        <v>0</v>
      </c>
    </row>
    <row r="6627" spans="1:24" ht="15" customHeight="1" x14ac:dyDescent="0.25">
      <c r="A6627" t="str">
        <f>""</f>
        <v/>
      </c>
      <c r="B6627" s="1"/>
      <c r="H6627">
        <v>944.69</v>
      </c>
      <c r="J6627" t="s">
        <v>23</v>
      </c>
      <c r="L6627" s="1"/>
      <c r="N6627" s="1"/>
      <c r="V6627" t="str">
        <f>"38200"</f>
        <v>38200</v>
      </c>
      <c r="W6627">
        <v>0</v>
      </c>
      <c r="X6627">
        <v>0</v>
      </c>
    </row>
    <row r="6628" spans="1:24" ht="15" customHeight="1" x14ac:dyDescent="0.25">
      <c r="A6628" t="str">
        <f>""</f>
        <v/>
      </c>
      <c r="B6628" s="1"/>
      <c r="H6628">
        <v>128.4</v>
      </c>
      <c r="J6628" t="s">
        <v>23</v>
      </c>
      <c r="L6628" s="1"/>
      <c r="V6628" t="str">
        <f>"98000"</f>
        <v>98000</v>
      </c>
      <c r="W6628">
        <v>0</v>
      </c>
      <c r="X6628">
        <v>0</v>
      </c>
    </row>
    <row r="6629" spans="1:24" ht="15" customHeight="1" x14ac:dyDescent="0.25">
      <c r="A6629" t="str">
        <f>""</f>
        <v/>
      </c>
      <c r="B6629" s="1"/>
      <c r="H6629">
        <v>103.3</v>
      </c>
      <c r="J6629" t="s">
        <v>23</v>
      </c>
      <c r="L6629" s="1"/>
      <c r="N6629" s="1"/>
      <c r="V6629" t="str">
        <f>"51220"</f>
        <v>51220</v>
      </c>
      <c r="W6629">
        <v>0</v>
      </c>
      <c r="X6629">
        <v>25.82</v>
      </c>
    </row>
    <row r="6630" spans="1:24" ht="15" customHeight="1" x14ac:dyDescent="0.25">
      <c r="A6630" t="str">
        <f>""</f>
        <v/>
      </c>
      <c r="B6630" s="1"/>
      <c r="H6630">
        <v>109.06</v>
      </c>
      <c r="J6630" t="s">
        <v>22</v>
      </c>
      <c r="L6630" s="1"/>
      <c r="N6630" s="1"/>
      <c r="V6630" t="str">
        <f>"57000"</f>
        <v>57000</v>
      </c>
      <c r="W6630">
        <v>0</v>
      </c>
      <c r="X6630">
        <v>27.26</v>
      </c>
    </row>
    <row r="6631" spans="1:24" x14ac:dyDescent="0.25">
      <c r="A6631" t="str">
        <f>""</f>
        <v/>
      </c>
      <c r="B6631" s="1"/>
      <c r="H6631">
        <v>155.36000000000001</v>
      </c>
      <c r="J6631" t="s">
        <v>18</v>
      </c>
      <c r="L6631" s="1"/>
      <c r="N6631" s="1"/>
      <c r="V6631" t="str">
        <f>"18000"</f>
        <v>18000</v>
      </c>
      <c r="W6631">
        <v>0</v>
      </c>
      <c r="X6631">
        <v>0</v>
      </c>
    </row>
    <row r="6632" spans="1:24" ht="15" customHeight="1" x14ac:dyDescent="0.25">
      <c r="A6632" t="str">
        <f>""</f>
        <v/>
      </c>
      <c r="B6632" s="1"/>
      <c r="H6632">
        <v>160</v>
      </c>
      <c r="J6632" t="s">
        <v>20</v>
      </c>
      <c r="L6632" s="1"/>
      <c r="N6632" s="1"/>
      <c r="V6632" t="str">
        <f>"77140"</f>
        <v>77140</v>
      </c>
      <c r="W6632">
        <v>0</v>
      </c>
      <c r="X6632">
        <v>0</v>
      </c>
    </row>
    <row r="6633" spans="1:24" ht="15" customHeight="1" x14ac:dyDescent="0.25">
      <c r="A6633" t="str">
        <f>""</f>
        <v/>
      </c>
      <c r="B6633" s="1"/>
      <c r="H6633">
        <v>40</v>
      </c>
      <c r="J6633" t="s">
        <v>23</v>
      </c>
      <c r="L6633" s="1"/>
      <c r="N6633" s="1"/>
      <c r="V6633" t="str">
        <f>"64320"</f>
        <v>64320</v>
      </c>
      <c r="W6633">
        <v>0</v>
      </c>
      <c r="X6633">
        <v>6.8</v>
      </c>
    </row>
    <row r="6634" spans="1:24" x14ac:dyDescent="0.25">
      <c r="A6634" t="str">
        <f>""</f>
        <v/>
      </c>
      <c r="B6634" s="1"/>
      <c r="H6634">
        <v>52.5</v>
      </c>
      <c r="J6634" t="s">
        <v>15</v>
      </c>
      <c r="L6634" s="1"/>
      <c r="N6634" s="1"/>
      <c r="V6634" t="str">
        <f>"59000"</f>
        <v>59000</v>
      </c>
      <c r="W6634">
        <v>0</v>
      </c>
      <c r="X6634">
        <v>0</v>
      </c>
    </row>
    <row r="6635" spans="1:24" x14ac:dyDescent="0.25">
      <c r="A6635" t="str">
        <f>""</f>
        <v/>
      </c>
      <c r="B6635" s="1"/>
      <c r="H6635">
        <v>52.5</v>
      </c>
      <c r="J6635" t="s">
        <v>15</v>
      </c>
      <c r="L6635" s="1"/>
      <c r="N6635" s="1"/>
      <c r="V6635" t="str">
        <f>"13013"</f>
        <v>13013</v>
      </c>
      <c r="W6635">
        <v>0</v>
      </c>
      <c r="X6635">
        <v>0</v>
      </c>
    </row>
    <row r="6636" spans="1:24" x14ac:dyDescent="0.25">
      <c r="A6636" t="str">
        <f>""</f>
        <v/>
      </c>
      <c r="B6636" s="1"/>
      <c r="H6636">
        <v>52.5</v>
      </c>
      <c r="J6636" t="s">
        <v>15</v>
      </c>
      <c r="L6636" s="1"/>
      <c r="N6636" s="1"/>
      <c r="V6636" t="str">
        <f>"68200"</f>
        <v>68200</v>
      </c>
      <c r="W6636">
        <v>15.23</v>
      </c>
      <c r="X6636">
        <v>0</v>
      </c>
    </row>
    <row r="6637" spans="1:24" x14ac:dyDescent="0.25">
      <c r="A6637" t="str">
        <f>""</f>
        <v/>
      </c>
      <c r="B6637" s="1"/>
      <c r="H6637">
        <v>52.5</v>
      </c>
      <c r="J6637" t="s">
        <v>15</v>
      </c>
      <c r="L6637" s="1"/>
      <c r="N6637" s="1"/>
      <c r="V6637" t="str">
        <f>"30000"</f>
        <v>30000</v>
      </c>
      <c r="W6637">
        <v>0</v>
      </c>
      <c r="X6637">
        <v>0</v>
      </c>
    </row>
    <row r="6638" spans="1:24" x14ac:dyDescent="0.25">
      <c r="A6638" t="str">
        <f>""</f>
        <v/>
      </c>
      <c r="B6638" s="1"/>
      <c r="H6638">
        <v>52.5</v>
      </c>
      <c r="J6638" t="s">
        <v>15</v>
      </c>
      <c r="L6638" s="1"/>
      <c r="N6638" s="1"/>
      <c r="V6638" t="str">
        <f>"33150"</f>
        <v>33150</v>
      </c>
      <c r="W6638">
        <v>0</v>
      </c>
      <c r="X6638">
        <v>0</v>
      </c>
    </row>
    <row r="6639" spans="1:24" ht="15" customHeight="1" x14ac:dyDescent="0.25">
      <c r="A6639" t="str">
        <f>""</f>
        <v/>
      </c>
      <c r="B6639" s="1"/>
      <c r="H6639">
        <v>5.4</v>
      </c>
      <c r="J6639" t="s">
        <v>20</v>
      </c>
      <c r="L6639" s="1"/>
      <c r="N6639" s="1"/>
      <c r="V6639" t="str">
        <f>"01000"</f>
        <v>01000</v>
      </c>
      <c r="W6639">
        <v>1.46</v>
      </c>
      <c r="X6639">
        <v>0</v>
      </c>
    </row>
    <row r="6640" spans="1:24" ht="15" customHeight="1" x14ac:dyDescent="0.25">
      <c r="A6640" t="str">
        <f>""</f>
        <v/>
      </c>
      <c r="B6640" s="1"/>
      <c r="H6640">
        <v>151</v>
      </c>
      <c r="J6640" t="s">
        <v>22</v>
      </c>
      <c r="L6640" s="1"/>
      <c r="N6640" s="1"/>
      <c r="V6640" t="str">
        <f>"77170"</f>
        <v>77170</v>
      </c>
      <c r="W6640">
        <v>0</v>
      </c>
      <c r="X6640">
        <v>0</v>
      </c>
    </row>
    <row r="6641" spans="1:24" ht="15" customHeight="1" x14ac:dyDescent="0.25">
      <c r="A6641" t="str">
        <f>""</f>
        <v/>
      </c>
      <c r="B6641" s="1"/>
      <c r="H6641">
        <v>160</v>
      </c>
      <c r="J6641" t="s">
        <v>23</v>
      </c>
      <c r="L6641" s="1"/>
      <c r="N6641" s="1"/>
      <c r="V6641" t="str">
        <f>"54700"</f>
        <v>54700</v>
      </c>
      <c r="W6641">
        <v>0</v>
      </c>
      <c r="X6641">
        <v>40</v>
      </c>
    </row>
    <row r="6642" spans="1:24" ht="15" customHeight="1" x14ac:dyDescent="0.25">
      <c r="A6642" t="str">
        <f>""</f>
        <v/>
      </c>
      <c r="B6642" s="1"/>
      <c r="H6642">
        <v>19.8</v>
      </c>
      <c r="J6642" t="s">
        <v>19</v>
      </c>
      <c r="L6642" s="1"/>
      <c r="N6642" s="1"/>
      <c r="V6642" t="str">
        <f>"62200"</f>
        <v>62200</v>
      </c>
      <c r="W6642">
        <v>3.76</v>
      </c>
      <c r="X6642">
        <v>0</v>
      </c>
    </row>
    <row r="6643" spans="1:24" ht="15" customHeight="1" x14ac:dyDescent="0.25">
      <c r="A6643" t="str">
        <f>""</f>
        <v/>
      </c>
      <c r="B6643" s="1"/>
      <c r="H6643">
        <v>151</v>
      </c>
      <c r="J6643" t="s">
        <v>22</v>
      </c>
      <c r="L6643" s="1"/>
      <c r="N6643" s="1"/>
      <c r="V6643" t="str">
        <f>"85000"</f>
        <v>85000</v>
      </c>
      <c r="W6643">
        <v>0</v>
      </c>
      <c r="X6643">
        <v>0</v>
      </c>
    </row>
    <row r="6644" spans="1:24" ht="15" customHeight="1" x14ac:dyDescent="0.25">
      <c r="A6644" t="str">
        <f>""</f>
        <v/>
      </c>
      <c r="B6644" s="1"/>
      <c r="H6644">
        <v>189.79</v>
      </c>
      <c r="J6644" t="s">
        <v>19</v>
      </c>
      <c r="L6644" s="1"/>
      <c r="N6644" s="1"/>
      <c r="V6644" t="str">
        <f>"63120"</f>
        <v>63120</v>
      </c>
      <c r="W6644">
        <v>55.04</v>
      </c>
      <c r="X6644">
        <v>0</v>
      </c>
    </row>
    <row r="6645" spans="1:24" ht="15" customHeight="1" x14ac:dyDescent="0.25">
      <c r="A6645" t="str">
        <f>""</f>
        <v/>
      </c>
      <c r="B6645" s="1"/>
      <c r="H6645">
        <v>55.16</v>
      </c>
      <c r="J6645" t="s">
        <v>19</v>
      </c>
      <c r="L6645" s="1"/>
      <c r="N6645" s="1"/>
      <c r="V6645" t="str">
        <f>"93013"</f>
        <v>93013</v>
      </c>
      <c r="W6645">
        <v>0</v>
      </c>
      <c r="X6645">
        <v>0</v>
      </c>
    </row>
    <row r="6646" spans="1:24" ht="15" customHeight="1" x14ac:dyDescent="0.25">
      <c r="A6646" t="str">
        <f>""</f>
        <v/>
      </c>
      <c r="B6646" s="1"/>
      <c r="H6646">
        <v>19.649999999999999</v>
      </c>
      <c r="J6646" t="s">
        <v>19</v>
      </c>
      <c r="L6646" s="1"/>
      <c r="N6646" s="1"/>
      <c r="V6646" t="str">
        <f>"38110"</f>
        <v>38110</v>
      </c>
      <c r="W6646">
        <v>5.31</v>
      </c>
      <c r="X6646">
        <v>0</v>
      </c>
    </row>
    <row r="6647" spans="1:24" ht="15" customHeight="1" x14ac:dyDescent="0.25">
      <c r="A6647" t="str">
        <f>""</f>
        <v/>
      </c>
      <c r="B6647" s="1"/>
      <c r="H6647">
        <v>68.3</v>
      </c>
      <c r="J6647" t="s">
        <v>23</v>
      </c>
      <c r="L6647" s="1"/>
      <c r="N6647" s="1"/>
      <c r="V6647" t="str">
        <f>"45160"</f>
        <v>45160</v>
      </c>
      <c r="W6647">
        <v>0</v>
      </c>
      <c r="X6647">
        <v>0</v>
      </c>
    </row>
    <row r="6648" spans="1:24" ht="15" customHeight="1" x14ac:dyDescent="0.25">
      <c r="A6648" t="str">
        <f>""</f>
        <v/>
      </c>
      <c r="B6648" s="1"/>
      <c r="H6648">
        <v>31.24</v>
      </c>
      <c r="J6648" t="s">
        <v>23</v>
      </c>
      <c r="L6648" s="1"/>
      <c r="N6648" s="1"/>
      <c r="V6648" t="str">
        <f>"60200"</f>
        <v>60200</v>
      </c>
      <c r="W6648">
        <v>0</v>
      </c>
      <c r="X6648">
        <v>0</v>
      </c>
    </row>
    <row r="6649" spans="1:24" x14ac:dyDescent="0.25">
      <c r="A6649" t="str">
        <f>""</f>
        <v/>
      </c>
      <c r="B6649" s="1"/>
      <c r="H6649">
        <v>23.4</v>
      </c>
      <c r="J6649" t="s">
        <v>15</v>
      </c>
      <c r="L6649" s="1"/>
      <c r="N6649" s="1"/>
      <c r="V6649" t="str">
        <f>"38110"</f>
        <v>38110</v>
      </c>
      <c r="W6649">
        <v>0</v>
      </c>
      <c r="X6649">
        <v>0</v>
      </c>
    </row>
    <row r="6650" spans="1:24" x14ac:dyDescent="0.25">
      <c r="A6650" t="str">
        <f>""</f>
        <v/>
      </c>
      <c r="B6650" s="1"/>
      <c r="H6650">
        <v>23.4</v>
      </c>
      <c r="J6650" t="s">
        <v>15</v>
      </c>
      <c r="L6650" s="1"/>
      <c r="N6650" s="1"/>
      <c r="V6650" t="str">
        <f>"38230"</f>
        <v>38230</v>
      </c>
      <c r="W6650">
        <v>0</v>
      </c>
      <c r="X6650">
        <v>0</v>
      </c>
    </row>
    <row r="6651" spans="1:24" ht="15" customHeight="1" x14ac:dyDescent="0.25">
      <c r="A6651" t="str">
        <f>""</f>
        <v/>
      </c>
      <c r="B6651" s="1"/>
      <c r="H6651">
        <v>181</v>
      </c>
      <c r="J6651" t="s">
        <v>22</v>
      </c>
      <c r="L6651" s="1"/>
      <c r="N6651" s="1"/>
      <c r="V6651" t="str">
        <f>"90400"</f>
        <v>90400</v>
      </c>
      <c r="W6651">
        <v>0</v>
      </c>
      <c r="X6651">
        <v>52.49</v>
      </c>
    </row>
    <row r="6652" spans="1:24" ht="15" customHeight="1" x14ac:dyDescent="0.25">
      <c r="A6652" t="str">
        <f>""</f>
        <v/>
      </c>
      <c r="B6652" s="1"/>
      <c r="H6652">
        <v>20</v>
      </c>
      <c r="L6652" s="1"/>
      <c r="N6652" s="1"/>
      <c r="V6652" t="str">
        <f>"77184"</f>
        <v>77184</v>
      </c>
      <c r="W6652">
        <v>0</v>
      </c>
      <c r="X6652">
        <v>0</v>
      </c>
    </row>
    <row r="6653" spans="1:24" ht="15" customHeight="1" x14ac:dyDescent="0.25">
      <c r="A6653" t="str">
        <f>""</f>
        <v/>
      </c>
      <c r="B6653" s="1"/>
      <c r="H6653">
        <v>126.4</v>
      </c>
      <c r="J6653" t="s">
        <v>23</v>
      </c>
      <c r="L6653" s="1"/>
      <c r="N6653" s="1"/>
      <c r="V6653" t="str">
        <f>"03800"</f>
        <v>03800</v>
      </c>
      <c r="W6653">
        <v>0</v>
      </c>
      <c r="X6653">
        <v>15.17</v>
      </c>
    </row>
    <row r="6654" spans="1:24" ht="15" customHeight="1" x14ac:dyDescent="0.25">
      <c r="A6654" t="str">
        <f>""</f>
        <v/>
      </c>
      <c r="B6654" s="1"/>
      <c r="H6654">
        <v>28.17</v>
      </c>
      <c r="J6654" t="s">
        <v>20</v>
      </c>
      <c r="L6654" s="1"/>
      <c r="N6654" s="1"/>
      <c r="V6654" t="str">
        <f>"75005"</f>
        <v>75005</v>
      </c>
      <c r="W6654">
        <v>0</v>
      </c>
      <c r="X6654">
        <v>0</v>
      </c>
    </row>
    <row r="6655" spans="1:24" ht="15" customHeight="1" x14ac:dyDescent="0.25">
      <c r="A6655" t="str">
        <f>""</f>
        <v/>
      </c>
      <c r="B6655" s="1"/>
      <c r="H6655">
        <v>146.31</v>
      </c>
      <c r="J6655" t="s">
        <v>22</v>
      </c>
      <c r="L6655" s="1"/>
      <c r="N6655" s="1"/>
      <c r="V6655" t="str">
        <f>"25000"</f>
        <v>25000</v>
      </c>
      <c r="W6655">
        <v>0</v>
      </c>
      <c r="X6655">
        <v>17.559999999999999</v>
      </c>
    </row>
    <row r="6656" spans="1:24" ht="15" customHeight="1" x14ac:dyDescent="0.25">
      <c r="A6656" t="str">
        <f>""</f>
        <v/>
      </c>
      <c r="B6656" s="1"/>
      <c r="H6656">
        <v>55.16</v>
      </c>
      <c r="J6656" t="s">
        <v>19</v>
      </c>
      <c r="L6656" s="1"/>
      <c r="N6656" s="1"/>
      <c r="V6656" t="str">
        <f>"21160"</f>
        <v>21160</v>
      </c>
      <c r="W6656">
        <v>13.24</v>
      </c>
      <c r="X6656">
        <v>0</v>
      </c>
    </row>
    <row r="6657" spans="1:24" ht="15" customHeight="1" x14ac:dyDescent="0.25">
      <c r="A6657" t="str">
        <f>""</f>
        <v/>
      </c>
      <c r="B6657" s="1"/>
      <c r="H6657">
        <v>151</v>
      </c>
      <c r="J6657" t="s">
        <v>23</v>
      </c>
      <c r="L6657" s="1"/>
      <c r="N6657" s="1"/>
      <c r="V6657" t="str">
        <f>"06560"</f>
        <v>06560</v>
      </c>
      <c r="W6657">
        <v>0</v>
      </c>
      <c r="X6657">
        <v>0</v>
      </c>
    </row>
    <row r="6658" spans="1:24" ht="15" customHeight="1" x14ac:dyDescent="0.25">
      <c r="A6658" t="str">
        <f>""</f>
        <v/>
      </c>
      <c r="B6658" s="1"/>
      <c r="H6658">
        <v>140</v>
      </c>
      <c r="J6658" t="s">
        <v>22</v>
      </c>
      <c r="L6658" s="1"/>
      <c r="N6658" s="1"/>
      <c r="V6658" t="str">
        <f>"84130"</f>
        <v>84130</v>
      </c>
      <c r="W6658">
        <v>0</v>
      </c>
      <c r="X6658">
        <v>26.6</v>
      </c>
    </row>
    <row r="6659" spans="1:24" ht="15" customHeight="1" x14ac:dyDescent="0.25">
      <c r="A6659" t="str">
        <f>""</f>
        <v/>
      </c>
      <c r="B6659" s="1"/>
      <c r="H6659">
        <v>58.35</v>
      </c>
      <c r="J6659" t="s">
        <v>19</v>
      </c>
      <c r="L6659" s="1"/>
      <c r="N6659" s="1"/>
      <c r="V6659" t="str">
        <f>"56920"</f>
        <v>56920</v>
      </c>
      <c r="W6659">
        <v>15.75</v>
      </c>
      <c r="X6659">
        <v>0</v>
      </c>
    </row>
    <row r="6660" spans="1:24" ht="15" customHeight="1" x14ac:dyDescent="0.25">
      <c r="A6660" t="str">
        <f>""</f>
        <v/>
      </c>
      <c r="B6660" s="1"/>
      <c r="H6660">
        <v>234.12</v>
      </c>
      <c r="J6660" t="s">
        <v>23</v>
      </c>
      <c r="L6660" s="1"/>
      <c r="N6660" s="1"/>
      <c r="V6660" t="str">
        <f>"14740"</f>
        <v>14740</v>
      </c>
      <c r="W6660">
        <v>0</v>
      </c>
      <c r="X6660">
        <v>0</v>
      </c>
    </row>
    <row r="6661" spans="1:24" x14ac:dyDescent="0.25">
      <c r="A6661" t="str">
        <f>""</f>
        <v/>
      </c>
      <c r="B6661" s="1"/>
      <c r="H6661">
        <v>103.6</v>
      </c>
      <c r="J6661" t="s">
        <v>18</v>
      </c>
      <c r="L6661" s="1"/>
      <c r="N6661" s="1"/>
      <c r="V6661" t="str">
        <f>"68200"</f>
        <v>68200</v>
      </c>
      <c r="W6661">
        <v>0</v>
      </c>
      <c r="X6661">
        <v>0</v>
      </c>
    </row>
    <row r="6662" spans="1:24" ht="15" customHeight="1" x14ac:dyDescent="0.25">
      <c r="A6662" t="str">
        <f>""</f>
        <v/>
      </c>
      <c r="B6662" s="1"/>
      <c r="H6662">
        <v>151</v>
      </c>
      <c r="J6662" t="s">
        <v>23</v>
      </c>
      <c r="L6662" s="1"/>
      <c r="N6662" s="1"/>
      <c r="V6662" t="str">
        <f>"92800"</f>
        <v>92800</v>
      </c>
      <c r="W6662">
        <v>0</v>
      </c>
      <c r="X6662">
        <v>0</v>
      </c>
    </row>
    <row r="6663" spans="1:24" ht="15" customHeight="1" x14ac:dyDescent="0.25">
      <c r="A6663" t="str">
        <f>""</f>
        <v/>
      </c>
      <c r="B6663" s="1"/>
      <c r="H6663">
        <v>53.52</v>
      </c>
      <c r="J6663" t="s">
        <v>19</v>
      </c>
      <c r="L6663" s="1"/>
      <c r="N6663" s="1"/>
      <c r="V6663" t="str">
        <f>"69125"</f>
        <v>69125</v>
      </c>
      <c r="W6663">
        <v>14.45</v>
      </c>
      <c r="X6663">
        <v>0</v>
      </c>
    </row>
    <row r="6664" spans="1:24" ht="15" customHeight="1" x14ac:dyDescent="0.25">
      <c r="A6664" t="str">
        <f>""</f>
        <v/>
      </c>
      <c r="B6664" s="1"/>
      <c r="H6664">
        <v>31</v>
      </c>
      <c r="L6664" s="1"/>
      <c r="N6664" s="1"/>
      <c r="V6664" t="str">
        <f>"77184"</f>
        <v>77184</v>
      </c>
      <c r="W6664">
        <v>0</v>
      </c>
      <c r="X6664">
        <v>0</v>
      </c>
    </row>
    <row r="6665" spans="1:24" ht="15" customHeight="1" x14ac:dyDescent="0.25">
      <c r="A6665" t="str">
        <f>""</f>
        <v/>
      </c>
      <c r="B6665" s="1"/>
      <c r="H6665">
        <v>10</v>
      </c>
      <c r="L6665" s="1"/>
      <c r="N6665" s="1"/>
      <c r="V6665" t="str">
        <f>"77184"</f>
        <v>77184</v>
      </c>
      <c r="W6665">
        <v>0</v>
      </c>
      <c r="X6665">
        <v>0</v>
      </c>
    </row>
    <row r="6666" spans="1:24" ht="15" customHeight="1" x14ac:dyDescent="0.25">
      <c r="A6666" t="str">
        <f>""</f>
        <v/>
      </c>
      <c r="B6666" s="1"/>
      <c r="H6666">
        <v>10</v>
      </c>
      <c r="L6666" s="1"/>
      <c r="N6666" s="1"/>
      <c r="V6666" t="str">
        <f>"77184"</f>
        <v>77184</v>
      </c>
      <c r="W6666">
        <v>0</v>
      </c>
      <c r="X6666">
        <v>0</v>
      </c>
    </row>
    <row r="6667" spans="1:24" ht="15" customHeight="1" x14ac:dyDescent="0.25">
      <c r="A6667" t="str">
        <f>""</f>
        <v/>
      </c>
      <c r="B6667" s="1"/>
      <c r="H6667">
        <v>14.6</v>
      </c>
      <c r="J6667" t="s">
        <v>23</v>
      </c>
      <c r="L6667" s="1"/>
      <c r="N6667" s="1"/>
      <c r="V6667" t="str">
        <f>"34000"</f>
        <v>34000</v>
      </c>
      <c r="W6667">
        <v>0</v>
      </c>
      <c r="X6667">
        <v>4.09</v>
      </c>
    </row>
    <row r="6668" spans="1:24" ht="15" customHeight="1" x14ac:dyDescent="0.25">
      <c r="A6668" t="str">
        <f>""</f>
        <v/>
      </c>
      <c r="B6668" s="1"/>
      <c r="H6668">
        <v>19.8</v>
      </c>
      <c r="J6668" t="s">
        <v>19</v>
      </c>
      <c r="L6668" s="1"/>
      <c r="N6668" s="1"/>
      <c r="V6668" t="str">
        <f>"69002"</f>
        <v>69002</v>
      </c>
      <c r="W6668">
        <v>5.35</v>
      </c>
      <c r="X6668">
        <v>0</v>
      </c>
    </row>
    <row r="6669" spans="1:24" ht="15" customHeight="1" x14ac:dyDescent="0.25">
      <c r="A6669" t="str">
        <f>""</f>
        <v/>
      </c>
      <c r="B6669" s="1"/>
      <c r="H6669">
        <v>151.93</v>
      </c>
      <c r="J6669" t="s">
        <v>19</v>
      </c>
      <c r="L6669" s="1"/>
      <c r="N6669" s="1"/>
      <c r="V6669" t="str">
        <f>"54300"</f>
        <v>54300</v>
      </c>
      <c r="W6669">
        <v>37.979999999999997</v>
      </c>
      <c r="X6669">
        <v>0</v>
      </c>
    </row>
    <row r="6670" spans="1:24" ht="15" customHeight="1" x14ac:dyDescent="0.25">
      <c r="A6670" t="str">
        <f>""</f>
        <v/>
      </c>
      <c r="B6670" s="1"/>
      <c r="H6670">
        <v>20.23</v>
      </c>
      <c r="J6670" t="s">
        <v>19</v>
      </c>
      <c r="L6670" s="1"/>
      <c r="N6670" s="1"/>
      <c r="V6670" t="str">
        <f>"93013"</f>
        <v>93013</v>
      </c>
      <c r="W6670">
        <v>0</v>
      </c>
      <c r="X6670">
        <v>0</v>
      </c>
    </row>
    <row r="6671" spans="1:24" ht="15" customHeight="1" x14ac:dyDescent="0.25">
      <c r="A6671" t="str">
        <f>""</f>
        <v/>
      </c>
      <c r="B6671" s="1"/>
      <c r="H6671">
        <v>20.23</v>
      </c>
      <c r="J6671" t="s">
        <v>19</v>
      </c>
      <c r="L6671" s="1"/>
      <c r="N6671" s="1"/>
      <c r="V6671" t="str">
        <f>"87000"</f>
        <v>87000</v>
      </c>
      <c r="W6671">
        <v>5.87</v>
      </c>
      <c r="X6671">
        <v>0</v>
      </c>
    </row>
    <row r="6672" spans="1:24" ht="15" customHeight="1" x14ac:dyDescent="0.25">
      <c r="A6672" t="str">
        <f>""</f>
        <v/>
      </c>
      <c r="B6672" s="1"/>
      <c r="H6672">
        <v>20.23</v>
      </c>
      <c r="J6672" t="s">
        <v>19</v>
      </c>
      <c r="L6672" s="1"/>
      <c r="N6672" s="1"/>
      <c r="V6672" t="str">
        <f>"73200"</f>
        <v>73200</v>
      </c>
      <c r="W6672">
        <v>5.46</v>
      </c>
      <c r="X6672">
        <v>0</v>
      </c>
    </row>
    <row r="6673" spans="1:24" ht="15" customHeight="1" x14ac:dyDescent="0.25">
      <c r="A6673" t="str">
        <f>""</f>
        <v/>
      </c>
      <c r="B6673" s="1"/>
      <c r="H6673">
        <v>70</v>
      </c>
      <c r="J6673" t="s">
        <v>23</v>
      </c>
      <c r="L6673" s="1"/>
      <c r="N6673" s="1"/>
      <c r="V6673" t="str">
        <f>"57370"</f>
        <v>57370</v>
      </c>
      <c r="W6673">
        <v>0</v>
      </c>
      <c r="X6673">
        <v>17.5</v>
      </c>
    </row>
    <row r="6674" spans="1:24" ht="15" customHeight="1" x14ac:dyDescent="0.25">
      <c r="A6674" t="str">
        <f>""</f>
        <v/>
      </c>
      <c r="B6674" s="1"/>
      <c r="H6674">
        <v>180</v>
      </c>
      <c r="J6674" t="s">
        <v>23</v>
      </c>
      <c r="L6674" s="1"/>
      <c r="N6674" s="1"/>
      <c r="V6674" t="str">
        <f>"75013"</f>
        <v>75013</v>
      </c>
      <c r="W6674">
        <v>0</v>
      </c>
      <c r="X6674">
        <v>0</v>
      </c>
    </row>
    <row r="6675" spans="1:24" ht="15" customHeight="1" x14ac:dyDescent="0.25">
      <c r="A6675" t="str">
        <f>""</f>
        <v/>
      </c>
      <c r="B6675" s="1"/>
      <c r="H6675">
        <v>55.34</v>
      </c>
      <c r="J6675" t="s">
        <v>20</v>
      </c>
      <c r="L6675" s="1"/>
      <c r="N6675" s="1"/>
      <c r="V6675" t="str">
        <f>"29000"</f>
        <v>29000</v>
      </c>
      <c r="W6675">
        <v>21.58</v>
      </c>
      <c r="X6675">
        <v>0</v>
      </c>
    </row>
    <row r="6676" spans="1:24" ht="15" customHeight="1" x14ac:dyDescent="0.25">
      <c r="A6676" t="str">
        <f>""</f>
        <v/>
      </c>
      <c r="B6676" s="1"/>
      <c r="H6676">
        <v>53.52</v>
      </c>
      <c r="J6676" t="s">
        <v>20</v>
      </c>
      <c r="L6676" s="1"/>
      <c r="N6676" s="1"/>
      <c r="V6676" t="str">
        <f>"93500 "</f>
        <v xml:space="preserve">93500 </v>
      </c>
      <c r="W6676">
        <v>0</v>
      </c>
      <c r="X6676">
        <v>0</v>
      </c>
    </row>
    <row r="6677" spans="1:24" ht="15" customHeight="1" x14ac:dyDescent="0.25">
      <c r="A6677" t="str">
        <f>""</f>
        <v/>
      </c>
      <c r="B6677" s="1"/>
      <c r="H6677">
        <v>38.76</v>
      </c>
      <c r="J6677" t="s">
        <v>19</v>
      </c>
      <c r="L6677" s="1"/>
      <c r="N6677" s="1"/>
      <c r="V6677" t="str">
        <f>"75013"</f>
        <v>75013</v>
      </c>
      <c r="W6677">
        <v>0</v>
      </c>
      <c r="X6677">
        <v>0</v>
      </c>
    </row>
    <row r="6678" spans="1:24" ht="15" customHeight="1" x14ac:dyDescent="0.25">
      <c r="A6678" t="str">
        <f>""</f>
        <v/>
      </c>
      <c r="B6678" s="1"/>
      <c r="H6678">
        <v>40</v>
      </c>
      <c r="J6678" t="s">
        <v>22</v>
      </c>
      <c r="L6678" s="1"/>
      <c r="N6678" s="1"/>
      <c r="V6678" t="str">
        <f>"77183"</f>
        <v>77183</v>
      </c>
      <c r="W6678">
        <v>0</v>
      </c>
      <c r="X6678">
        <v>0</v>
      </c>
    </row>
    <row r="6679" spans="1:24" ht="15" customHeight="1" x14ac:dyDescent="0.25">
      <c r="A6679" t="str">
        <f>""</f>
        <v/>
      </c>
      <c r="B6679" s="1"/>
      <c r="J6679" t="s">
        <v>23</v>
      </c>
      <c r="L6679" s="1"/>
      <c r="V6679" t="str">
        <f>"93200"</f>
        <v>93200</v>
      </c>
      <c r="W6679">
        <v>0</v>
      </c>
      <c r="X6679">
        <v>0</v>
      </c>
    </row>
    <row r="6680" spans="1:24" ht="15" customHeight="1" x14ac:dyDescent="0.25">
      <c r="A6680" t="str">
        <f>""</f>
        <v/>
      </c>
      <c r="B6680" s="1"/>
      <c r="H6680">
        <v>55</v>
      </c>
      <c r="J6680" t="s">
        <v>20</v>
      </c>
      <c r="L6680" s="1"/>
      <c r="N6680" s="1"/>
      <c r="V6680" t="str">
        <f>"47400"</f>
        <v>47400</v>
      </c>
      <c r="W6680">
        <v>11.55</v>
      </c>
      <c r="X6680">
        <v>0</v>
      </c>
    </row>
    <row r="6681" spans="1:24" ht="15" customHeight="1" x14ac:dyDescent="0.25">
      <c r="A6681" t="str">
        <f>""</f>
        <v/>
      </c>
      <c r="B6681" s="1"/>
      <c r="H6681">
        <v>90</v>
      </c>
      <c r="L6681" s="1"/>
      <c r="N6681" s="1"/>
      <c r="V6681" t="str">
        <f>"77184"</f>
        <v>77184</v>
      </c>
      <c r="W6681">
        <v>0</v>
      </c>
      <c r="X6681">
        <v>0</v>
      </c>
    </row>
    <row r="6682" spans="1:24" ht="15" customHeight="1" x14ac:dyDescent="0.25">
      <c r="A6682" t="str">
        <f>""</f>
        <v/>
      </c>
      <c r="B6682" s="1"/>
      <c r="H6682">
        <v>44</v>
      </c>
      <c r="J6682" t="s">
        <v>23</v>
      </c>
      <c r="L6682" s="1"/>
      <c r="N6682" s="1"/>
      <c r="V6682" t="str">
        <f>"34400"</f>
        <v>34400</v>
      </c>
      <c r="W6682">
        <v>0</v>
      </c>
      <c r="X6682">
        <v>12.32</v>
      </c>
    </row>
    <row r="6683" spans="1:24" ht="15" customHeight="1" x14ac:dyDescent="0.25">
      <c r="A6683" t="str">
        <f>""</f>
        <v/>
      </c>
      <c r="B6683" s="1"/>
      <c r="H6683">
        <v>267.95999999999998</v>
      </c>
      <c r="J6683" t="s">
        <v>19</v>
      </c>
      <c r="L6683" s="1"/>
      <c r="N6683" s="1"/>
      <c r="V6683" t="str">
        <f>"13008"</f>
        <v>13008</v>
      </c>
      <c r="W6683">
        <v>77.709999999999994</v>
      </c>
      <c r="X6683">
        <v>0</v>
      </c>
    </row>
    <row r="6684" spans="1:24" ht="15" customHeight="1" x14ac:dyDescent="0.25">
      <c r="A6684" t="str">
        <f>""</f>
        <v/>
      </c>
      <c r="B6684" s="1"/>
      <c r="H6684">
        <v>12</v>
      </c>
      <c r="J6684" t="s">
        <v>20</v>
      </c>
      <c r="L6684" s="1"/>
      <c r="N6684" s="1"/>
      <c r="V6684" t="str">
        <f>"54000"</f>
        <v>54000</v>
      </c>
      <c r="W6684">
        <v>3</v>
      </c>
      <c r="X6684">
        <v>0</v>
      </c>
    </row>
    <row r="6685" spans="1:24" ht="15" customHeight="1" x14ac:dyDescent="0.25">
      <c r="A6685" t="str">
        <f>""</f>
        <v/>
      </c>
      <c r="B6685" s="1"/>
      <c r="H6685">
        <v>250</v>
      </c>
      <c r="J6685" t="s">
        <v>23</v>
      </c>
      <c r="L6685" s="1"/>
      <c r="N6685" s="1"/>
      <c r="V6685" t="str">
        <f>"14100"</f>
        <v>14100</v>
      </c>
      <c r="W6685">
        <v>0</v>
      </c>
      <c r="X6685">
        <v>42.5</v>
      </c>
    </row>
    <row r="6686" spans="1:24" x14ac:dyDescent="0.25">
      <c r="A6686" t="str">
        <f>""</f>
        <v/>
      </c>
      <c r="B6686" s="1"/>
      <c r="H6686">
        <v>67.64</v>
      </c>
      <c r="J6686" t="s">
        <v>18</v>
      </c>
      <c r="L6686" s="1"/>
      <c r="N6686" s="1"/>
      <c r="V6686" t="str">
        <f>"94150"</f>
        <v>94150</v>
      </c>
      <c r="W6686">
        <v>0</v>
      </c>
      <c r="X6686">
        <v>0</v>
      </c>
    </row>
    <row r="6687" spans="1:24" ht="15" customHeight="1" x14ac:dyDescent="0.25">
      <c r="A6687" t="str">
        <f>""</f>
        <v/>
      </c>
      <c r="B6687" s="1"/>
      <c r="H6687">
        <v>70</v>
      </c>
      <c r="J6687" t="s">
        <v>20</v>
      </c>
      <c r="L6687" s="1"/>
      <c r="N6687" s="1"/>
      <c r="V6687" t="str">
        <f>"72000"</f>
        <v>72000</v>
      </c>
      <c r="W6687">
        <v>14.7</v>
      </c>
      <c r="X6687">
        <v>0</v>
      </c>
    </row>
    <row r="6688" spans="1:24" ht="15" customHeight="1" x14ac:dyDescent="0.25">
      <c r="A6688" t="str">
        <f>""</f>
        <v/>
      </c>
      <c r="B6688" s="1"/>
      <c r="H6688">
        <v>57</v>
      </c>
      <c r="L6688" s="1"/>
      <c r="N6688" s="1"/>
      <c r="V6688" t="str">
        <f>"77184"</f>
        <v>77184</v>
      </c>
      <c r="W6688">
        <v>0</v>
      </c>
      <c r="X6688">
        <v>0</v>
      </c>
    </row>
    <row r="6689" spans="1:24" ht="15" customHeight="1" x14ac:dyDescent="0.25">
      <c r="A6689" t="str">
        <f>""</f>
        <v/>
      </c>
      <c r="B6689" s="1"/>
      <c r="H6689">
        <v>201.98</v>
      </c>
      <c r="J6689" t="s">
        <v>20</v>
      </c>
      <c r="L6689" s="1"/>
      <c r="N6689" s="1"/>
      <c r="V6689" t="str">
        <f>"29690"</f>
        <v>29690</v>
      </c>
      <c r="W6689">
        <v>78.77</v>
      </c>
      <c r="X6689">
        <v>0</v>
      </c>
    </row>
    <row r="6690" spans="1:24" ht="15" customHeight="1" x14ac:dyDescent="0.25">
      <c r="A6690" t="str">
        <f>""</f>
        <v/>
      </c>
      <c r="B6690" s="1"/>
      <c r="H6690">
        <v>84.5</v>
      </c>
      <c r="L6690" s="1"/>
      <c r="N6690" s="1"/>
      <c r="V6690" t="str">
        <f>"77184"</f>
        <v>77184</v>
      </c>
      <c r="W6690">
        <v>0</v>
      </c>
      <c r="X6690">
        <v>0</v>
      </c>
    </row>
    <row r="6691" spans="1:24" ht="15" customHeight="1" x14ac:dyDescent="0.25">
      <c r="A6691" t="str">
        <f>""</f>
        <v/>
      </c>
      <c r="B6691" s="1"/>
      <c r="H6691">
        <v>156</v>
      </c>
      <c r="L6691" s="1"/>
      <c r="N6691" s="1"/>
      <c r="V6691" t="str">
        <f>"77184"</f>
        <v>77184</v>
      </c>
      <c r="W6691">
        <v>0</v>
      </c>
      <c r="X6691">
        <v>0</v>
      </c>
    </row>
    <row r="6692" spans="1:24" ht="15" customHeight="1" x14ac:dyDescent="0.25">
      <c r="A6692" t="str">
        <f>""</f>
        <v/>
      </c>
      <c r="B6692" s="1"/>
      <c r="H6692">
        <v>156</v>
      </c>
      <c r="L6692" s="1"/>
      <c r="N6692" s="1"/>
      <c r="V6692" t="str">
        <f>"77184"</f>
        <v>77184</v>
      </c>
      <c r="W6692">
        <v>0</v>
      </c>
      <c r="X6692">
        <v>0</v>
      </c>
    </row>
    <row r="6693" spans="1:24" ht="15" customHeight="1" x14ac:dyDescent="0.25">
      <c r="A6693" t="str">
        <f>""</f>
        <v/>
      </c>
      <c r="B6693" s="1"/>
      <c r="H6693">
        <v>157</v>
      </c>
      <c r="L6693" s="1"/>
      <c r="N6693" s="1"/>
      <c r="V6693" t="str">
        <f>"77184"</f>
        <v>77184</v>
      </c>
      <c r="W6693">
        <v>0</v>
      </c>
      <c r="X6693">
        <v>0</v>
      </c>
    </row>
    <row r="6694" spans="1:24" ht="15" customHeight="1" x14ac:dyDescent="0.25">
      <c r="A6694" t="str">
        <f>""</f>
        <v/>
      </c>
      <c r="B6694" s="1"/>
      <c r="H6694">
        <v>18.350000000000001</v>
      </c>
      <c r="J6694" t="s">
        <v>19</v>
      </c>
      <c r="L6694" s="1"/>
      <c r="N6694" s="1"/>
      <c r="V6694" t="str">
        <f>"62740"</f>
        <v>62740</v>
      </c>
      <c r="W6694">
        <v>3.49</v>
      </c>
      <c r="X6694">
        <v>0</v>
      </c>
    </row>
    <row r="6695" spans="1:24" ht="15" customHeight="1" x14ac:dyDescent="0.25">
      <c r="A6695" t="str">
        <f>""</f>
        <v/>
      </c>
      <c r="B6695" s="1"/>
      <c r="H6695">
        <v>188.25</v>
      </c>
      <c r="J6695" t="s">
        <v>20</v>
      </c>
      <c r="L6695" s="1"/>
      <c r="N6695" s="1"/>
      <c r="V6695" t="str">
        <f>"94200"</f>
        <v>94200</v>
      </c>
      <c r="W6695">
        <v>0</v>
      </c>
      <c r="X6695">
        <v>0</v>
      </c>
    </row>
    <row r="6696" spans="1:24" ht="15" customHeight="1" x14ac:dyDescent="0.25">
      <c r="A6696" t="str">
        <f>""</f>
        <v/>
      </c>
      <c r="B6696" s="1"/>
      <c r="H6696">
        <v>151</v>
      </c>
      <c r="J6696" t="s">
        <v>20</v>
      </c>
      <c r="L6696" s="1"/>
      <c r="N6696" s="1"/>
      <c r="V6696" t="str">
        <f>"70270"</f>
        <v>70270</v>
      </c>
      <c r="W6696">
        <v>36.24</v>
      </c>
      <c r="X6696">
        <v>0</v>
      </c>
    </row>
    <row r="6697" spans="1:24" ht="15" customHeight="1" x14ac:dyDescent="0.25">
      <c r="A6697" t="str">
        <f>""</f>
        <v/>
      </c>
      <c r="B6697" s="1"/>
      <c r="H6697">
        <v>70</v>
      </c>
      <c r="J6697" t="s">
        <v>23</v>
      </c>
      <c r="L6697" s="1"/>
      <c r="N6697" s="1"/>
      <c r="V6697" t="str">
        <f>"35650"</f>
        <v>35650</v>
      </c>
      <c r="W6697">
        <v>0</v>
      </c>
      <c r="X6697">
        <v>0</v>
      </c>
    </row>
    <row r="6698" spans="1:24" ht="15" customHeight="1" x14ac:dyDescent="0.25">
      <c r="A6698" t="str">
        <f>""</f>
        <v/>
      </c>
      <c r="B6698" s="1"/>
      <c r="H6698">
        <v>163.02000000000001</v>
      </c>
      <c r="J6698" t="s">
        <v>23</v>
      </c>
      <c r="L6698" s="1"/>
      <c r="N6698" s="1"/>
      <c r="V6698" t="str">
        <f>"76700"</f>
        <v>76700</v>
      </c>
      <c r="W6698">
        <v>0</v>
      </c>
      <c r="X6698">
        <v>27.71</v>
      </c>
    </row>
    <row r="6699" spans="1:24" ht="15" customHeight="1" x14ac:dyDescent="0.25">
      <c r="A6699" t="str">
        <f>""</f>
        <v/>
      </c>
      <c r="B6699" s="1"/>
      <c r="H6699">
        <v>22</v>
      </c>
      <c r="L6699" s="1"/>
      <c r="N6699" s="1"/>
      <c r="V6699" t="str">
        <f>"77184"</f>
        <v>77184</v>
      </c>
      <c r="W6699">
        <v>0</v>
      </c>
      <c r="X6699">
        <v>0</v>
      </c>
    </row>
    <row r="6700" spans="1:24" ht="15" customHeight="1" x14ac:dyDescent="0.25">
      <c r="A6700" t="str">
        <f>""</f>
        <v/>
      </c>
      <c r="B6700" s="1"/>
      <c r="H6700">
        <v>25</v>
      </c>
      <c r="J6700" t="s">
        <v>22</v>
      </c>
      <c r="L6700" s="1"/>
      <c r="N6700" s="1"/>
      <c r="V6700" t="str">
        <f>"60490"</f>
        <v>60490</v>
      </c>
      <c r="W6700">
        <v>0</v>
      </c>
      <c r="X6700">
        <v>0</v>
      </c>
    </row>
    <row r="6701" spans="1:24" ht="15" customHeight="1" x14ac:dyDescent="0.25">
      <c r="A6701" t="str">
        <f>""</f>
        <v/>
      </c>
      <c r="B6701" s="1"/>
      <c r="H6701">
        <v>140</v>
      </c>
      <c r="J6701" t="s">
        <v>22</v>
      </c>
      <c r="L6701" s="1"/>
      <c r="N6701" s="1"/>
      <c r="V6701" t="str">
        <f>"37140"</f>
        <v>37140</v>
      </c>
      <c r="W6701">
        <v>0</v>
      </c>
      <c r="X6701">
        <v>54.6</v>
      </c>
    </row>
    <row r="6702" spans="1:24" ht="15" customHeight="1" x14ac:dyDescent="0.25">
      <c r="A6702" t="str">
        <f>""</f>
        <v/>
      </c>
      <c r="B6702" s="1"/>
      <c r="H6702">
        <v>164.3</v>
      </c>
      <c r="J6702" t="s">
        <v>22</v>
      </c>
      <c r="L6702" s="1"/>
      <c r="N6702" s="1"/>
      <c r="V6702" t="str">
        <f>"06100"</f>
        <v>06100</v>
      </c>
      <c r="W6702">
        <v>0</v>
      </c>
      <c r="X6702">
        <v>34.5</v>
      </c>
    </row>
    <row r="6703" spans="1:24" ht="15" customHeight="1" x14ac:dyDescent="0.25">
      <c r="A6703" t="str">
        <f>""</f>
        <v/>
      </c>
      <c r="B6703" s="1"/>
      <c r="H6703">
        <v>127</v>
      </c>
      <c r="J6703" t="s">
        <v>22</v>
      </c>
      <c r="L6703" s="1"/>
      <c r="N6703" s="1"/>
      <c r="V6703" t="str">
        <f>"06100"</f>
        <v>06100</v>
      </c>
      <c r="W6703">
        <v>0</v>
      </c>
      <c r="X6703">
        <v>26.67</v>
      </c>
    </row>
    <row r="6704" spans="1:24" ht="15" customHeight="1" x14ac:dyDescent="0.25">
      <c r="A6704" t="str">
        <f>""</f>
        <v/>
      </c>
      <c r="B6704" s="1"/>
      <c r="H6704">
        <v>131.65</v>
      </c>
      <c r="J6704" t="s">
        <v>19</v>
      </c>
      <c r="L6704" s="1"/>
      <c r="N6704" s="1"/>
      <c r="V6704" t="str">
        <f>"59380"</f>
        <v>59380</v>
      </c>
      <c r="W6704">
        <v>25.01</v>
      </c>
      <c r="X6704">
        <v>0</v>
      </c>
    </row>
    <row r="6705" spans="1:24" ht="15" customHeight="1" x14ac:dyDescent="0.25">
      <c r="A6705" t="str">
        <f>""</f>
        <v/>
      </c>
      <c r="B6705" s="1"/>
      <c r="H6705">
        <v>197.55</v>
      </c>
      <c r="J6705" t="s">
        <v>19</v>
      </c>
      <c r="L6705" s="1"/>
      <c r="N6705" s="1"/>
      <c r="V6705" t="str">
        <f>"13006"</f>
        <v>13006</v>
      </c>
      <c r="W6705">
        <v>57.29</v>
      </c>
      <c r="X6705">
        <v>0</v>
      </c>
    </row>
    <row r="6706" spans="1:24" ht="15" customHeight="1" x14ac:dyDescent="0.25">
      <c r="A6706" t="str">
        <f>""</f>
        <v/>
      </c>
      <c r="B6706" s="1"/>
      <c r="H6706">
        <v>96.1</v>
      </c>
      <c r="J6706" t="s">
        <v>20</v>
      </c>
      <c r="L6706" s="1"/>
      <c r="N6706" s="1"/>
      <c r="V6706" t="str">
        <f>"62954"</f>
        <v>62954</v>
      </c>
      <c r="W6706">
        <v>18.260000000000002</v>
      </c>
      <c r="X6706">
        <v>0</v>
      </c>
    </row>
    <row r="6707" spans="1:24" ht="15" customHeight="1" x14ac:dyDescent="0.25">
      <c r="A6707" t="str">
        <f>""</f>
        <v/>
      </c>
      <c r="B6707" s="1"/>
      <c r="H6707">
        <v>59.72</v>
      </c>
      <c r="J6707" t="s">
        <v>19</v>
      </c>
      <c r="L6707" s="1"/>
      <c r="N6707" s="1"/>
      <c r="V6707" t="str">
        <f>"79000"</f>
        <v>79000</v>
      </c>
      <c r="W6707">
        <v>12.54</v>
      </c>
      <c r="X6707">
        <v>0</v>
      </c>
    </row>
    <row r="6708" spans="1:24" ht="15" customHeight="1" x14ac:dyDescent="0.25">
      <c r="A6708" t="str">
        <f>""</f>
        <v/>
      </c>
      <c r="B6708" s="1"/>
      <c r="H6708">
        <v>300.20999999999998</v>
      </c>
      <c r="J6708" t="s">
        <v>20</v>
      </c>
      <c r="L6708" s="1"/>
      <c r="N6708" s="1"/>
      <c r="V6708" t="str">
        <f>"34500"</f>
        <v>34500</v>
      </c>
      <c r="W6708">
        <v>117.08</v>
      </c>
      <c r="X6708">
        <v>0</v>
      </c>
    </row>
    <row r="6709" spans="1:24" ht="15" customHeight="1" x14ac:dyDescent="0.25">
      <c r="A6709" t="str">
        <f>""</f>
        <v/>
      </c>
      <c r="B6709" s="1"/>
      <c r="H6709">
        <v>86.27</v>
      </c>
      <c r="J6709" t="s">
        <v>20</v>
      </c>
      <c r="L6709" s="1"/>
      <c r="N6709" s="1"/>
      <c r="V6709" t="str">
        <f>"67490"</f>
        <v>67490</v>
      </c>
      <c r="W6709">
        <v>25.02</v>
      </c>
      <c r="X6709">
        <v>0</v>
      </c>
    </row>
    <row r="6710" spans="1:24" ht="15" customHeight="1" x14ac:dyDescent="0.25">
      <c r="A6710" t="str">
        <f>""</f>
        <v/>
      </c>
      <c r="B6710" s="1"/>
      <c r="H6710">
        <v>136.97999999999999</v>
      </c>
      <c r="J6710" t="s">
        <v>19</v>
      </c>
      <c r="L6710" s="1"/>
      <c r="N6710" s="1"/>
      <c r="V6710" t="str">
        <f>"69800"</f>
        <v>69800</v>
      </c>
      <c r="W6710">
        <v>36.979999999999997</v>
      </c>
      <c r="X6710">
        <v>0</v>
      </c>
    </row>
    <row r="6711" spans="1:24" ht="15" customHeight="1" x14ac:dyDescent="0.25">
      <c r="A6711" t="str">
        <f>""</f>
        <v/>
      </c>
      <c r="B6711" s="1"/>
      <c r="H6711">
        <v>136.97999999999999</v>
      </c>
      <c r="J6711" t="s">
        <v>19</v>
      </c>
      <c r="L6711" s="1"/>
      <c r="N6711" s="1"/>
      <c r="V6711" t="str">
        <f>"69800"</f>
        <v>69800</v>
      </c>
      <c r="W6711">
        <v>36.979999999999997</v>
      </c>
      <c r="X6711">
        <v>0</v>
      </c>
    </row>
    <row r="6712" spans="1:24" ht="15" customHeight="1" x14ac:dyDescent="0.25">
      <c r="A6712" t="str">
        <f>""</f>
        <v/>
      </c>
      <c r="B6712" s="1"/>
      <c r="H6712">
        <v>75.34</v>
      </c>
      <c r="J6712" t="s">
        <v>20</v>
      </c>
      <c r="L6712" s="1"/>
      <c r="N6712" s="1"/>
      <c r="V6712" t="str">
        <f>"76380"</f>
        <v>76380</v>
      </c>
      <c r="W6712">
        <v>12.81</v>
      </c>
      <c r="X6712">
        <v>0</v>
      </c>
    </row>
    <row r="6713" spans="1:24" ht="15" customHeight="1" x14ac:dyDescent="0.25">
      <c r="A6713" t="str">
        <f>""</f>
        <v/>
      </c>
      <c r="B6713" s="1"/>
      <c r="H6713">
        <v>126.4</v>
      </c>
      <c r="J6713" t="s">
        <v>23</v>
      </c>
      <c r="L6713" s="1"/>
      <c r="N6713" s="1"/>
      <c r="V6713" t="str">
        <f>"62730"</f>
        <v>62730</v>
      </c>
      <c r="W6713">
        <v>0</v>
      </c>
      <c r="X6713">
        <v>0</v>
      </c>
    </row>
    <row r="6714" spans="1:24" ht="15" customHeight="1" x14ac:dyDescent="0.25">
      <c r="A6714" t="str">
        <f>""</f>
        <v/>
      </c>
      <c r="B6714" s="1"/>
      <c r="H6714">
        <v>180</v>
      </c>
      <c r="J6714" t="s">
        <v>22</v>
      </c>
      <c r="L6714" s="1"/>
      <c r="N6714" s="1"/>
      <c r="V6714" t="str">
        <f>"37400"</f>
        <v>37400</v>
      </c>
      <c r="W6714">
        <v>0</v>
      </c>
      <c r="X6714">
        <v>21.6</v>
      </c>
    </row>
    <row r="6715" spans="1:24" ht="15" customHeight="1" x14ac:dyDescent="0.25">
      <c r="A6715" t="str">
        <f>""</f>
        <v/>
      </c>
      <c r="B6715" s="1"/>
      <c r="H6715">
        <v>19.649999999999999</v>
      </c>
      <c r="J6715" t="s">
        <v>19</v>
      </c>
      <c r="L6715" s="1"/>
      <c r="N6715" s="1"/>
      <c r="V6715" t="str">
        <f>"75014"</f>
        <v>75014</v>
      </c>
      <c r="W6715">
        <v>0</v>
      </c>
      <c r="X6715">
        <v>0</v>
      </c>
    </row>
    <row r="6716" spans="1:24" ht="15" customHeight="1" x14ac:dyDescent="0.25">
      <c r="A6716" t="str">
        <f>""</f>
        <v/>
      </c>
      <c r="B6716" s="1"/>
      <c r="H6716">
        <v>19.649999999999999</v>
      </c>
      <c r="J6716" t="s">
        <v>20</v>
      </c>
      <c r="L6716" s="1"/>
      <c r="N6716" s="1"/>
      <c r="V6716" t="str">
        <f>"75014"</f>
        <v>75014</v>
      </c>
      <c r="W6716">
        <v>0</v>
      </c>
      <c r="X6716">
        <v>0</v>
      </c>
    </row>
    <row r="6717" spans="1:24" ht="15" customHeight="1" x14ac:dyDescent="0.25">
      <c r="A6717" t="str">
        <f>""</f>
        <v/>
      </c>
      <c r="B6717" s="1"/>
      <c r="H6717">
        <v>19.649999999999999</v>
      </c>
      <c r="J6717" t="s">
        <v>19</v>
      </c>
      <c r="L6717" s="1"/>
      <c r="N6717" s="1"/>
      <c r="V6717" t="str">
        <f>"75014"</f>
        <v>75014</v>
      </c>
      <c r="W6717">
        <v>0</v>
      </c>
      <c r="X6717">
        <v>0</v>
      </c>
    </row>
    <row r="6718" spans="1:24" ht="15" customHeight="1" x14ac:dyDescent="0.25">
      <c r="A6718" t="str">
        <f>""</f>
        <v/>
      </c>
      <c r="B6718" s="1"/>
      <c r="H6718">
        <v>19.649999999999999</v>
      </c>
      <c r="J6718" t="s">
        <v>19</v>
      </c>
      <c r="L6718" s="1"/>
      <c r="N6718" s="1"/>
      <c r="V6718" t="str">
        <f>"75014"</f>
        <v>75014</v>
      </c>
      <c r="W6718">
        <v>0</v>
      </c>
      <c r="X6718">
        <v>0</v>
      </c>
    </row>
    <row r="6719" spans="1:24" ht="15" customHeight="1" x14ac:dyDescent="0.25">
      <c r="A6719" t="str">
        <f>""</f>
        <v/>
      </c>
      <c r="B6719" s="1"/>
      <c r="H6719">
        <v>137.59</v>
      </c>
      <c r="J6719" t="s">
        <v>19</v>
      </c>
      <c r="L6719" s="1"/>
      <c r="N6719" s="1"/>
      <c r="V6719" t="str">
        <f>"75014"</f>
        <v>75014</v>
      </c>
      <c r="W6719">
        <v>0</v>
      </c>
      <c r="X6719">
        <v>0</v>
      </c>
    </row>
    <row r="6720" spans="1:24" ht="15" customHeight="1" x14ac:dyDescent="0.25">
      <c r="A6720" t="str">
        <f>""</f>
        <v/>
      </c>
      <c r="B6720" s="1"/>
      <c r="H6720">
        <v>124.95</v>
      </c>
      <c r="J6720" t="s">
        <v>20</v>
      </c>
      <c r="L6720" s="1"/>
      <c r="N6720" s="1"/>
      <c r="V6720" t="str">
        <f>"76120"</f>
        <v>76120</v>
      </c>
      <c r="W6720">
        <v>21.24</v>
      </c>
      <c r="X6720">
        <v>0</v>
      </c>
    </row>
    <row r="6721" spans="1:24" ht="15" customHeight="1" x14ac:dyDescent="0.25">
      <c r="A6721" t="str">
        <f>""</f>
        <v/>
      </c>
      <c r="B6721" s="1"/>
      <c r="H6721">
        <v>87.12</v>
      </c>
      <c r="J6721" t="s">
        <v>19</v>
      </c>
      <c r="L6721" s="1"/>
      <c r="V6721" t="str">
        <f>"49080"</f>
        <v>49080</v>
      </c>
      <c r="W6721">
        <v>0</v>
      </c>
      <c r="X6721">
        <v>0</v>
      </c>
    </row>
    <row r="6722" spans="1:24" ht="15" customHeight="1" x14ac:dyDescent="0.25">
      <c r="A6722" t="str">
        <f>""</f>
        <v/>
      </c>
      <c r="B6722" s="1"/>
      <c r="H6722">
        <v>156.57</v>
      </c>
      <c r="J6722" t="s">
        <v>19</v>
      </c>
      <c r="L6722" s="1"/>
      <c r="N6722" s="1"/>
      <c r="V6722" t="str">
        <f>"14000"</f>
        <v>14000</v>
      </c>
      <c r="W6722">
        <v>26.62</v>
      </c>
      <c r="X6722">
        <v>0</v>
      </c>
    </row>
    <row r="6723" spans="1:24" ht="15" customHeight="1" x14ac:dyDescent="0.25">
      <c r="A6723" t="str">
        <f>""</f>
        <v/>
      </c>
      <c r="B6723" s="1"/>
      <c r="H6723">
        <v>40</v>
      </c>
      <c r="J6723" t="s">
        <v>22</v>
      </c>
      <c r="L6723" s="1"/>
      <c r="N6723" s="1"/>
      <c r="V6723" t="str">
        <f>"62740"</f>
        <v>62740</v>
      </c>
      <c r="W6723">
        <v>0</v>
      </c>
      <c r="X6723">
        <v>0</v>
      </c>
    </row>
    <row r="6724" spans="1:24" x14ac:dyDescent="0.25">
      <c r="A6724" t="str">
        <f>""</f>
        <v/>
      </c>
      <c r="B6724" s="1"/>
      <c r="H6724">
        <v>170.5</v>
      </c>
      <c r="J6724" t="s">
        <v>16</v>
      </c>
      <c r="L6724" s="1"/>
      <c r="N6724" s="1"/>
      <c r="V6724" t="str">
        <f>"94782"</f>
        <v>94782</v>
      </c>
      <c r="W6724">
        <v>0</v>
      </c>
      <c r="X6724">
        <v>46.04</v>
      </c>
    </row>
    <row r="6725" spans="1:24" ht="15" customHeight="1" x14ac:dyDescent="0.25">
      <c r="A6725" t="str">
        <f>""</f>
        <v/>
      </c>
      <c r="B6725" s="1"/>
      <c r="H6725">
        <v>250</v>
      </c>
      <c r="J6725" t="s">
        <v>22</v>
      </c>
      <c r="L6725" s="1"/>
      <c r="N6725" s="1"/>
      <c r="V6725" t="str">
        <f>"79330"</f>
        <v>79330</v>
      </c>
      <c r="W6725">
        <v>0</v>
      </c>
      <c r="X6725">
        <v>30</v>
      </c>
    </row>
    <row r="6726" spans="1:24" ht="15" customHeight="1" x14ac:dyDescent="0.25">
      <c r="A6726" t="str">
        <f>""</f>
        <v/>
      </c>
      <c r="B6726" s="1"/>
      <c r="H6726">
        <v>103.06</v>
      </c>
      <c r="J6726" t="s">
        <v>20</v>
      </c>
      <c r="L6726" s="1"/>
      <c r="N6726" s="1"/>
      <c r="V6726" t="str">
        <f>"25570"</f>
        <v>25570</v>
      </c>
      <c r="W6726">
        <v>24.73</v>
      </c>
      <c r="X6726">
        <v>0</v>
      </c>
    </row>
    <row r="6727" spans="1:24" ht="15" customHeight="1" x14ac:dyDescent="0.25">
      <c r="A6727" t="str">
        <f>""</f>
        <v/>
      </c>
      <c r="B6727" s="1"/>
      <c r="H6727">
        <v>103.06</v>
      </c>
      <c r="J6727" t="s">
        <v>20</v>
      </c>
      <c r="L6727" s="1"/>
      <c r="N6727" s="1"/>
      <c r="V6727" t="str">
        <f>"25530"</f>
        <v>25530</v>
      </c>
      <c r="W6727">
        <v>24.73</v>
      </c>
      <c r="X6727">
        <v>0</v>
      </c>
    </row>
    <row r="6728" spans="1:24" ht="15" customHeight="1" x14ac:dyDescent="0.25">
      <c r="A6728" t="str">
        <f>""</f>
        <v/>
      </c>
      <c r="B6728" s="1"/>
      <c r="H6728">
        <v>98.42</v>
      </c>
      <c r="J6728" t="s">
        <v>20</v>
      </c>
      <c r="L6728" s="1"/>
      <c r="N6728" s="1"/>
      <c r="V6728" t="str">
        <f>"34980"</f>
        <v>34980</v>
      </c>
      <c r="W6728">
        <v>38.380000000000003</v>
      </c>
      <c r="X6728">
        <v>0</v>
      </c>
    </row>
    <row r="6729" spans="1:24" ht="15" customHeight="1" x14ac:dyDescent="0.25">
      <c r="A6729" t="str">
        <f>""</f>
        <v/>
      </c>
      <c r="B6729" s="1"/>
      <c r="H6729">
        <v>106.2</v>
      </c>
      <c r="J6729" t="s">
        <v>23</v>
      </c>
      <c r="L6729" s="1"/>
      <c r="N6729" s="1"/>
      <c r="V6729" t="str">
        <f>"60500"</f>
        <v>60500</v>
      </c>
      <c r="W6729">
        <v>0</v>
      </c>
      <c r="X6729">
        <v>0</v>
      </c>
    </row>
    <row r="6730" spans="1:24" ht="15" customHeight="1" x14ac:dyDescent="0.25">
      <c r="A6730" t="str">
        <f>""</f>
        <v/>
      </c>
      <c r="B6730" s="1"/>
      <c r="H6730">
        <v>151</v>
      </c>
      <c r="J6730" t="s">
        <v>23</v>
      </c>
      <c r="L6730" s="1"/>
      <c r="N6730" s="1"/>
      <c r="V6730" t="str">
        <f>"27160"</f>
        <v>27160</v>
      </c>
      <c r="W6730">
        <v>0</v>
      </c>
      <c r="X6730">
        <v>25.67</v>
      </c>
    </row>
    <row r="6731" spans="1:24" ht="15" customHeight="1" x14ac:dyDescent="0.25">
      <c r="A6731" t="str">
        <f>""</f>
        <v/>
      </c>
      <c r="B6731" s="1"/>
      <c r="H6731">
        <v>136.65</v>
      </c>
      <c r="J6731" t="s">
        <v>19</v>
      </c>
      <c r="L6731" s="1"/>
      <c r="N6731" s="1"/>
      <c r="V6731" t="str">
        <f>"51130"</f>
        <v>51130</v>
      </c>
      <c r="W6731">
        <v>34.159999999999997</v>
      </c>
      <c r="X6731">
        <v>0</v>
      </c>
    </row>
    <row r="6732" spans="1:24" ht="15" customHeight="1" x14ac:dyDescent="0.25">
      <c r="A6732" t="str">
        <f>""</f>
        <v/>
      </c>
      <c r="B6732" s="1"/>
      <c r="H6732">
        <v>75.34</v>
      </c>
      <c r="J6732" t="s">
        <v>20</v>
      </c>
      <c r="L6732" s="1"/>
      <c r="N6732" s="1"/>
      <c r="V6732" t="str">
        <f>"59282"</f>
        <v>59282</v>
      </c>
      <c r="W6732">
        <v>14.31</v>
      </c>
      <c r="X6732">
        <v>0</v>
      </c>
    </row>
    <row r="6733" spans="1:24" ht="15" customHeight="1" x14ac:dyDescent="0.25">
      <c r="A6733" t="str">
        <f>""</f>
        <v/>
      </c>
      <c r="B6733" s="1"/>
      <c r="H6733">
        <v>36.119999999999997</v>
      </c>
      <c r="L6733" s="1"/>
      <c r="N6733" s="1"/>
      <c r="V6733" t="str">
        <f>"77184"</f>
        <v>77184</v>
      </c>
      <c r="W6733">
        <v>0</v>
      </c>
      <c r="X6733">
        <v>0</v>
      </c>
    </row>
    <row r="6734" spans="1:24" ht="15" customHeight="1" x14ac:dyDescent="0.25">
      <c r="A6734" t="str">
        <f>""</f>
        <v/>
      </c>
      <c r="B6734" s="1"/>
      <c r="H6734">
        <v>31</v>
      </c>
      <c r="L6734" s="1"/>
      <c r="N6734" s="1"/>
      <c r="V6734" t="str">
        <f>"77184"</f>
        <v>77184</v>
      </c>
      <c r="W6734">
        <v>0</v>
      </c>
      <c r="X6734">
        <v>0</v>
      </c>
    </row>
    <row r="6735" spans="1:24" ht="15" customHeight="1" x14ac:dyDescent="0.25">
      <c r="A6735" t="str">
        <f>""</f>
        <v/>
      </c>
      <c r="B6735" s="1"/>
      <c r="H6735">
        <v>169</v>
      </c>
      <c r="L6735" s="1"/>
      <c r="N6735" s="1"/>
      <c r="V6735" t="str">
        <f>"77184"</f>
        <v>77184</v>
      </c>
      <c r="W6735">
        <v>0</v>
      </c>
      <c r="X6735">
        <v>0</v>
      </c>
    </row>
    <row r="6736" spans="1:24" x14ac:dyDescent="0.25">
      <c r="A6736" t="str">
        <f>""</f>
        <v/>
      </c>
      <c r="B6736" s="1"/>
      <c r="H6736">
        <v>149.58000000000001</v>
      </c>
      <c r="J6736" t="s">
        <v>15</v>
      </c>
      <c r="L6736" s="1"/>
      <c r="N6736" s="1"/>
      <c r="V6736" t="str">
        <f>"13751"</f>
        <v>13751</v>
      </c>
      <c r="W6736">
        <v>0</v>
      </c>
      <c r="X6736">
        <v>0</v>
      </c>
    </row>
    <row r="6737" spans="1:24" ht="15" customHeight="1" x14ac:dyDescent="0.25">
      <c r="A6737" t="str">
        <f>""</f>
        <v/>
      </c>
      <c r="B6737" s="1"/>
      <c r="H6737">
        <v>39</v>
      </c>
      <c r="L6737" s="1"/>
      <c r="N6737" s="1"/>
      <c r="V6737" t="str">
        <f>"77184"</f>
        <v>77184</v>
      </c>
      <c r="W6737">
        <v>0</v>
      </c>
      <c r="X6737">
        <v>0</v>
      </c>
    </row>
    <row r="6738" spans="1:24" ht="15" customHeight="1" x14ac:dyDescent="0.25">
      <c r="A6738" t="str">
        <f>""</f>
        <v/>
      </c>
      <c r="B6738" s="1"/>
      <c r="H6738">
        <v>31</v>
      </c>
      <c r="L6738" s="1"/>
      <c r="N6738" s="1"/>
      <c r="V6738" t="str">
        <f>"77184"</f>
        <v>77184</v>
      </c>
      <c r="W6738">
        <v>0</v>
      </c>
      <c r="X6738">
        <v>0</v>
      </c>
    </row>
    <row r="6739" spans="1:24" x14ac:dyDescent="0.25">
      <c r="A6739" t="str">
        <f>""</f>
        <v/>
      </c>
      <c r="B6739" s="1"/>
      <c r="H6739">
        <v>147.46</v>
      </c>
      <c r="J6739" t="s">
        <v>18</v>
      </c>
      <c r="L6739" s="1"/>
      <c r="N6739" s="1"/>
      <c r="V6739" t="str">
        <f>"22000"</f>
        <v>22000</v>
      </c>
      <c r="W6739">
        <v>0</v>
      </c>
      <c r="X6739">
        <v>0</v>
      </c>
    </row>
    <row r="6740" spans="1:24" ht="15" customHeight="1" x14ac:dyDescent="0.25">
      <c r="A6740" t="str">
        <f>""</f>
        <v/>
      </c>
      <c r="B6740" s="1"/>
      <c r="H6740">
        <v>145.97999999999999</v>
      </c>
      <c r="J6740" t="s">
        <v>20</v>
      </c>
      <c r="L6740" s="1"/>
      <c r="N6740" s="1"/>
      <c r="V6740" t="str">
        <f>"51160"</f>
        <v>51160</v>
      </c>
      <c r="W6740">
        <v>36.5</v>
      </c>
      <c r="X6740">
        <v>0</v>
      </c>
    </row>
    <row r="6741" spans="1:24" ht="15" customHeight="1" x14ac:dyDescent="0.25">
      <c r="A6741" t="str">
        <f>""</f>
        <v/>
      </c>
      <c r="B6741" s="1"/>
      <c r="H6741">
        <v>375.3</v>
      </c>
      <c r="J6741" t="s">
        <v>20</v>
      </c>
      <c r="L6741" s="1"/>
      <c r="N6741" s="1"/>
      <c r="V6741" t="str">
        <f>"75002"</f>
        <v>75002</v>
      </c>
      <c r="W6741">
        <v>0</v>
      </c>
      <c r="X6741">
        <v>0</v>
      </c>
    </row>
    <row r="6742" spans="1:24" ht="15" customHeight="1" x14ac:dyDescent="0.25">
      <c r="A6742" t="str">
        <f>""</f>
        <v/>
      </c>
      <c r="B6742" s="1"/>
      <c r="H6742">
        <v>4.58</v>
      </c>
      <c r="J6742" t="s">
        <v>20</v>
      </c>
      <c r="L6742" s="1"/>
      <c r="N6742" s="1"/>
      <c r="V6742" t="str">
        <f>"57200"</f>
        <v>57200</v>
      </c>
      <c r="W6742">
        <v>1.1499999999999999</v>
      </c>
      <c r="X6742">
        <v>0</v>
      </c>
    </row>
    <row r="6743" spans="1:24" ht="15" customHeight="1" x14ac:dyDescent="0.25">
      <c r="A6743" t="str">
        <f>""</f>
        <v/>
      </c>
      <c r="B6743" s="1"/>
      <c r="H6743">
        <v>140</v>
      </c>
      <c r="J6743" t="s">
        <v>23</v>
      </c>
      <c r="L6743" s="1"/>
      <c r="N6743" s="1"/>
      <c r="V6743" t="str">
        <f>"77210"</f>
        <v>77210</v>
      </c>
      <c r="W6743">
        <v>0</v>
      </c>
      <c r="X6743">
        <v>0</v>
      </c>
    </row>
    <row r="6744" spans="1:24" x14ac:dyDescent="0.25">
      <c r="A6744" t="str">
        <f>""</f>
        <v/>
      </c>
      <c r="B6744" s="1"/>
      <c r="H6744">
        <v>250</v>
      </c>
      <c r="J6744" t="s">
        <v>18</v>
      </c>
      <c r="L6744" s="1"/>
      <c r="N6744" s="1"/>
      <c r="V6744" t="str">
        <f>"14740"</f>
        <v>14740</v>
      </c>
      <c r="W6744">
        <v>0</v>
      </c>
      <c r="X6744">
        <v>0</v>
      </c>
    </row>
    <row r="6745" spans="1:24" ht="15" customHeight="1" x14ac:dyDescent="0.25">
      <c r="A6745" t="str">
        <f>""</f>
        <v/>
      </c>
      <c r="B6745" s="1"/>
      <c r="H6745">
        <v>367.19</v>
      </c>
      <c r="J6745" t="s">
        <v>20</v>
      </c>
      <c r="L6745" s="1"/>
      <c r="N6745" s="1"/>
      <c r="V6745" t="str">
        <f>"38150"</f>
        <v>38150</v>
      </c>
      <c r="W6745">
        <v>99.14</v>
      </c>
      <c r="X6745">
        <v>0</v>
      </c>
    </row>
    <row r="6746" spans="1:24" ht="15" customHeight="1" x14ac:dyDescent="0.25">
      <c r="A6746" t="str">
        <f>""</f>
        <v/>
      </c>
      <c r="B6746" s="1"/>
      <c r="H6746">
        <v>110.45</v>
      </c>
      <c r="J6746" t="s">
        <v>19</v>
      </c>
      <c r="L6746" s="1"/>
      <c r="N6746" s="1"/>
      <c r="V6746" t="str">
        <f>"44327"</f>
        <v>44327</v>
      </c>
      <c r="W6746">
        <v>29.82</v>
      </c>
      <c r="X6746">
        <v>0</v>
      </c>
    </row>
    <row r="6747" spans="1:24" ht="15" customHeight="1" x14ac:dyDescent="0.25">
      <c r="A6747" t="str">
        <f>""</f>
        <v/>
      </c>
      <c r="B6747" s="1"/>
      <c r="H6747">
        <v>19.8</v>
      </c>
      <c r="J6747" t="s">
        <v>19</v>
      </c>
      <c r="L6747" s="1"/>
      <c r="N6747" s="1"/>
      <c r="V6747" t="str">
        <f>"44300"</f>
        <v>44300</v>
      </c>
      <c r="W6747">
        <v>5.35</v>
      </c>
      <c r="X6747">
        <v>0</v>
      </c>
    </row>
    <row r="6748" spans="1:24" ht="15" customHeight="1" x14ac:dyDescent="0.25">
      <c r="A6748" t="str">
        <f>""</f>
        <v/>
      </c>
      <c r="B6748" s="1"/>
      <c r="H6748">
        <v>183.25</v>
      </c>
      <c r="J6748" t="s">
        <v>19</v>
      </c>
      <c r="L6748" s="1"/>
      <c r="N6748" s="1"/>
      <c r="V6748" t="str">
        <f>"91120"</f>
        <v>91120</v>
      </c>
      <c r="W6748">
        <v>0</v>
      </c>
      <c r="X6748">
        <v>0</v>
      </c>
    </row>
    <row r="6749" spans="1:24" ht="15" customHeight="1" x14ac:dyDescent="0.25">
      <c r="A6749" t="str">
        <f>""</f>
        <v/>
      </c>
      <c r="B6749" s="1"/>
      <c r="H6749">
        <v>8.07</v>
      </c>
      <c r="J6749" t="s">
        <v>20</v>
      </c>
      <c r="L6749" s="1"/>
      <c r="N6749" s="1"/>
      <c r="V6749" t="str">
        <f>"44200"</f>
        <v>44200</v>
      </c>
      <c r="W6749">
        <v>2.1800000000000002</v>
      </c>
      <c r="X6749">
        <v>0</v>
      </c>
    </row>
    <row r="6750" spans="1:24" ht="15" customHeight="1" x14ac:dyDescent="0.25">
      <c r="A6750" t="str">
        <f>""</f>
        <v/>
      </c>
      <c r="B6750" s="1"/>
      <c r="H6750">
        <v>120.85</v>
      </c>
      <c r="J6750" t="s">
        <v>20</v>
      </c>
      <c r="L6750" s="1"/>
      <c r="N6750" s="1"/>
      <c r="V6750" t="str">
        <f>"59310"</f>
        <v>59310</v>
      </c>
      <c r="W6750">
        <v>22.96</v>
      </c>
      <c r="X6750">
        <v>0</v>
      </c>
    </row>
    <row r="6751" spans="1:24" ht="15" customHeight="1" x14ac:dyDescent="0.25">
      <c r="A6751" t="str">
        <f>""</f>
        <v/>
      </c>
      <c r="B6751" s="1"/>
      <c r="H6751">
        <v>180</v>
      </c>
      <c r="J6751" t="s">
        <v>20</v>
      </c>
      <c r="L6751" s="1"/>
      <c r="N6751" s="1"/>
      <c r="V6751" t="str">
        <f>"62220"</f>
        <v>62220</v>
      </c>
      <c r="W6751">
        <v>34.200000000000003</v>
      </c>
      <c r="X6751">
        <v>0</v>
      </c>
    </row>
    <row r="6752" spans="1:24" ht="15" customHeight="1" x14ac:dyDescent="0.25">
      <c r="A6752" t="str">
        <f>""</f>
        <v/>
      </c>
      <c r="B6752" s="1"/>
      <c r="H6752">
        <v>90</v>
      </c>
      <c r="L6752" s="1"/>
      <c r="N6752" s="1"/>
      <c r="V6752" t="str">
        <f>"77184"</f>
        <v>77184</v>
      </c>
      <c r="W6752">
        <v>0</v>
      </c>
      <c r="X6752">
        <v>0</v>
      </c>
    </row>
    <row r="6753" spans="1:24" ht="15" customHeight="1" x14ac:dyDescent="0.25">
      <c r="A6753" t="str">
        <f>""</f>
        <v/>
      </c>
      <c r="B6753" s="1"/>
      <c r="H6753">
        <v>250</v>
      </c>
      <c r="J6753" t="s">
        <v>23</v>
      </c>
      <c r="L6753" s="1"/>
      <c r="N6753" s="1"/>
      <c r="V6753" t="str">
        <f>"37250"</f>
        <v>37250</v>
      </c>
      <c r="W6753">
        <v>0</v>
      </c>
      <c r="X6753">
        <v>0</v>
      </c>
    </row>
    <row r="6754" spans="1:24" ht="15" customHeight="1" x14ac:dyDescent="0.25">
      <c r="A6754" t="str">
        <f>""</f>
        <v/>
      </c>
      <c r="B6754" s="1"/>
      <c r="H6754">
        <v>198.98</v>
      </c>
      <c r="J6754" t="s">
        <v>23</v>
      </c>
      <c r="L6754" s="1"/>
      <c r="N6754" s="1"/>
      <c r="V6754" t="str">
        <f>"02200"</f>
        <v>02200</v>
      </c>
      <c r="W6754">
        <v>0</v>
      </c>
      <c r="X6754">
        <v>0</v>
      </c>
    </row>
    <row r="6755" spans="1:24" ht="15" customHeight="1" x14ac:dyDescent="0.25">
      <c r="A6755" t="str">
        <f>""</f>
        <v/>
      </c>
      <c r="B6755" s="1"/>
      <c r="H6755">
        <v>183.61</v>
      </c>
      <c r="J6755" t="s">
        <v>20</v>
      </c>
      <c r="L6755" s="1"/>
      <c r="N6755" s="1"/>
      <c r="V6755" t="str">
        <f>"72000"</f>
        <v>72000</v>
      </c>
      <c r="W6755">
        <v>38.56</v>
      </c>
      <c r="X6755">
        <v>0</v>
      </c>
    </row>
    <row r="6756" spans="1:24" ht="15" customHeight="1" x14ac:dyDescent="0.25">
      <c r="A6756" t="str">
        <f>""</f>
        <v/>
      </c>
      <c r="B6756" s="1"/>
      <c r="H6756">
        <v>130.19999999999999</v>
      </c>
      <c r="J6756" t="s">
        <v>20</v>
      </c>
      <c r="L6756" s="1"/>
      <c r="N6756" s="1"/>
      <c r="V6756" t="str">
        <f>"59262"</f>
        <v>59262</v>
      </c>
      <c r="W6756">
        <v>24.74</v>
      </c>
      <c r="X6756">
        <v>0</v>
      </c>
    </row>
    <row r="6757" spans="1:24" ht="15" customHeight="1" x14ac:dyDescent="0.25">
      <c r="A6757" t="str">
        <f>""</f>
        <v/>
      </c>
      <c r="B6757" s="1"/>
      <c r="H6757">
        <v>147.65</v>
      </c>
      <c r="J6757" t="s">
        <v>20</v>
      </c>
      <c r="L6757" s="1"/>
      <c r="N6757" s="1"/>
      <c r="V6757" t="str">
        <f>"67300"</f>
        <v>67300</v>
      </c>
      <c r="W6757">
        <v>42.82</v>
      </c>
      <c r="X6757">
        <v>0</v>
      </c>
    </row>
    <row r="6758" spans="1:24" ht="15" customHeight="1" x14ac:dyDescent="0.25">
      <c r="A6758" t="str">
        <f>""</f>
        <v/>
      </c>
      <c r="B6758" s="1"/>
      <c r="H6758">
        <v>154.38999999999999</v>
      </c>
      <c r="J6758" t="s">
        <v>20</v>
      </c>
      <c r="L6758" s="1"/>
      <c r="N6758" s="1"/>
      <c r="V6758" t="str">
        <f>"73102"</f>
        <v>73102</v>
      </c>
      <c r="W6758">
        <v>41.69</v>
      </c>
      <c r="X6758">
        <v>0</v>
      </c>
    </row>
    <row r="6759" spans="1:24" ht="15" customHeight="1" x14ac:dyDescent="0.25">
      <c r="A6759" t="str">
        <f>""</f>
        <v/>
      </c>
      <c r="B6759" s="1"/>
      <c r="H6759">
        <v>180</v>
      </c>
      <c r="J6759" t="s">
        <v>23</v>
      </c>
      <c r="L6759" s="1"/>
      <c r="N6759" s="1"/>
      <c r="V6759" t="str">
        <f>"68360"</f>
        <v>68360</v>
      </c>
      <c r="W6759">
        <v>0</v>
      </c>
      <c r="X6759">
        <v>14.4</v>
      </c>
    </row>
    <row r="6760" spans="1:24" ht="15" customHeight="1" x14ac:dyDescent="0.25">
      <c r="A6760" t="str">
        <f>""</f>
        <v/>
      </c>
      <c r="B6760" s="1"/>
      <c r="H6760">
        <v>22.5</v>
      </c>
      <c r="L6760" s="1"/>
      <c r="N6760" s="1"/>
      <c r="V6760" t="str">
        <f>"44240"</f>
        <v>44240</v>
      </c>
      <c r="W6760">
        <v>0</v>
      </c>
      <c r="X6760">
        <v>0</v>
      </c>
    </row>
    <row r="6761" spans="1:24" ht="15" customHeight="1" x14ac:dyDescent="0.25">
      <c r="A6761" t="str">
        <f>""</f>
        <v/>
      </c>
      <c r="B6761" s="1"/>
      <c r="H6761">
        <v>50</v>
      </c>
      <c r="L6761" s="1"/>
      <c r="N6761" s="1"/>
      <c r="V6761" t="str">
        <f>"44240"</f>
        <v>44240</v>
      </c>
      <c r="W6761">
        <v>0</v>
      </c>
      <c r="X6761">
        <v>0</v>
      </c>
    </row>
    <row r="6762" spans="1:24" ht="15" customHeight="1" x14ac:dyDescent="0.25">
      <c r="A6762" t="str">
        <f>""</f>
        <v/>
      </c>
      <c r="B6762" s="1"/>
      <c r="H6762">
        <v>105.75</v>
      </c>
      <c r="J6762" t="s">
        <v>20</v>
      </c>
      <c r="L6762" s="1"/>
      <c r="N6762" s="1"/>
      <c r="V6762" t="str">
        <f>"19100"</f>
        <v>19100</v>
      </c>
      <c r="W6762">
        <v>30.67</v>
      </c>
      <c r="X6762">
        <v>0</v>
      </c>
    </row>
    <row r="6763" spans="1:24" ht="15" customHeight="1" x14ac:dyDescent="0.25">
      <c r="A6763" t="str">
        <f>""</f>
        <v/>
      </c>
      <c r="B6763" s="1"/>
      <c r="H6763">
        <v>268.02999999999997</v>
      </c>
      <c r="J6763" t="s">
        <v>19</v>
      </c>
      <c r="L6763" s="1"/>
      <c r="N6763" s="1"/>
      <c r="V6763" t="str">
        <f>"65290"</f>
        <v>65290</v>
      </c>
      <c r="W6763">
        <v>58.97</v>
      </c>
      <c r="X6763">
        <v>0</v>
      </c>
    </row>
    <row r="6764" spans="1:24" ht="15" customHeight="1" x14ac:dyDescent="0.25">
      <c r="A6764" t="str">
        <f>""</f>
        <v/>
      </c>
      <c r="B6764" s="1"/>
      <c r="H6764">
        <v>40</v>
      </c>
      <c r="J6764" t="s">
        <v>20</v>
      </c>
      <c r="L6764" s="1"/>
      <c r="N6764" s="1"/>
      <c r="V6764" t="str">
        <f>"75847"</f>
        <v>75847</v>
      </c>
      <c r="W6764">
        <v>0</v>
      </c>
      <c r="X6764">
        <v>0</v>
      </c>
    </row>
    <row r="6765" spans="1:24" ht="15" customHeight="1" x14ac:dyDescent="0.25">
      <c r="A6765" t="str">
        <f>""</f>
        <v/>
      </c>
      <c r="B6765" s="1"/>
      <c r="H6765">
        <v>0.6</v>
      </c>
      <c r="J6765" t="s">
        <v>20</v>
      </c>
      <c r="L6765" s="1"/>
      <c r="N6765" s="1"/>
      <c r="V6765" t="str">
        <f>"35520"</f>
        <v>35520</v>
      </c>
      <c r="W6765">
        <v>0.65</v>
      </c>
      <c r="X6765">
        <v>0</v>
      </c>
    </row>
    <row r="6766" spans="1:24" ht="15" customHeight="1" x14ac:dyDescent="0.25">
      <c r="A6766" t="str">
        <f>""</f>
        <v/>
      </c>
      <c r="B6766" s="1"/>
      <c r="H6766">
        <v>102.68</v>
      </c>
      <c r="J6766" t="s">
        <v>20</v>
      </c>
      <c r="L6766" s="1"/>
      <c r="N6766" s="1"/>
      <c r="V6766" t="str">
        <f>"44690"</f>
        <v>44690</v>
      </c>
      <c r="W6766">
        <v>27.72</v>
      </c>
      <c r="X6766">
        <v>0</v>
      </c>
    </row>
    <row r="6767" spans="1:24" ht="15" customHeight="1" x14ac:dyDescent="0.25">
      <c r="A6767" t="str">
        <f>""</f>
        <v/>
      </c>
      <c r="B6767" s="1"/>
      <c r="H6767">
        <v>40.6</v>
      </c>
      <c r="L6767" s="1"/>
      <c r="N6767" s="1"/>
      <c r="V6767" t="str">
        <f>"77184"</f>
        <v>77184</v>
      </c>
      <c r="W6767">
        <v>0</v>
      </c>
      <c r="X6767">
        <v>0</v>
      </c>
    </row>
    <row r="6768" spans="1:24" ht="15" customHeight="1" x14ac:dyDescent="0.25">
      <c r="A6768" t="str">
        <f>""</f>
        <v/>
      </c>
      <c r="B6768" s="1"/>
      <c r="H6768">
        <v>120.65</v>
      </c>
      <c r="J6768" t="s">
        <v>20</v>
      </c>
      <c r="L6768" s="1"/>
      <c r="N6768" s="1"/>
      <c r="V6768" t="str">
        <f>"54000"</f>
        <v>54000</v>
      </c>
      <c r="W6768">
        <v>30.16</v>
      </c>
      <c r="X6768">
        <v>0</v>
      </c>
    </row>
    <row r="6769" spans="1:24" ht="15" customHeight="1" x14ac:dyDescent="0.25">
      <c r="A6769" t="str">
        <f>""</f>
        <v/>
      </c>
      <c r="B6769" s="1"/>
      <c r="H6769">
        <v>0.55000000000000004</v>
      </c>
      <c r="J6769" t="s">
        <v>20</v>
      </c>
      <c r="L6769" s="1"/>
      <c r="N6769" s="1"/>
      <c r="V6769" t="str">
        <f>"35000"</f>
        <v>35000</v>
      </c>
      <c r="W6769">
        <v>0.15</v>
      </c>
      <c r="X6769">
        <v>0</v>
      </c>
    </row>
    <row r="6770" spans="1:24" ht="15" customHeight="1" x14ac:dyDescent="0.25">
      <c r="A6770" t="str">
        <f>""</f>
        <v/>
      </c>
      <c r="B6770" s="1"/>
      <c r="H6770">
        <v>137.22999999999999</v>
      </c>
      <c r="J6770" t="s">
        <v>20</v>
      </c>
      <c r="L6770" s="1"/>
      <c r="N6770" s="1"/>
      <c r="V6770" t="str">
        <f>"44980"</f>
        <v>44980</v>
      </c>
      <c r="W6770">
        <v>37.049999999999997</v>
      </c>
      <c r="X6770">
        <v>0</v>
      </c>
    </row>
    <row r="6771" spans="1:24" ht="15" customHeight="1" x14ac:dyDescent="0.25">
      <c r="A6771" t="str">
        <f>""</f>
        <v/>
      </c>
      <c r="B6771" s="1"/>
      <c r="H6771">
        <v>127.59</v>
      </c>
      <c r="J6771" t="s">
        <v>19</v>
      </c>
      <c r="L6771" s="1"/>
      <c r="N6771" s="1"/>
      <c r="V6771" t="str">
        <f>"35000"</f>
        <v>35000</v>
      </c>
      <c r="W6771">
        <v>34.450000000000003</v>
      </c>
      <c r="X6771">
        <v>0</v>
      </c>
    </row>
    <row r="6772" spans="1:24" ht="15" customHeight="1" x14ac:dyDescent="0.25">
      <c r="A6772" t="str">
        <f>""</f>
        <v/>
      </c>
      <c r="B6772" s="1"/>
      <c r="H6772">
        <v>19.8</v>
      </c>
      <c r="J6772" t="s">
        <v>19</v>
      </c>
      <c r="L6772" s="1"/>
      <c r="N6772" s="1"/>
      <c r="V6772" t="str">
        <f>"62380"</f>
        <v>62380</v>
      </c>
      <c r="W6772">
        <v>3.76</v>
      </c>
      <c r="X6772">
        <v>0</v>
      </c>
    </row>
    <row r="6773" spans="1:24" ht="15" customHeight="1" x14ac:dyDescent="0.25">
      <c r="A6773" t="str">
        <f>""</f>
        <v/>
      </c>
      <c r="B6773" s="1"/>
      <c r="H6773">
        <v>19.8</v>
      </c>
      <c r="J6773" t="s">
        <v>20</v>
      </c>
      <c r="L6773" s="1"/>
      <c r="N6773" s="1"/>
      <c r="V6773" t="str">
        <f>"67100"</f>
        <v>67100</v>
      </c>
      <c r="W6773">
        <v>5.74</v>
      </c>
      <c r="X6773">
        <v>0</v>
      </c>
    </row>
    <row r="6774" spans="1:24" ht="15" customHeight="1" x14ac:dyDescent="0.25">
      <c r="A6774" t="str">
        <f>""</f>
        <v/>
      </c>
      <c r="B6774" s="1"/>
      <c r="H6774">
        <v>70</v>
      </c>
      <c r="J6774" t="s">
        <v>22</v>
      </c>
      <c r="L6774" s="1"/>
      <c r="V6774" t="str">
        <f>"13200"</f>
        <v>13200</v>
      </c>
      <c r="W6774">
        <v>0</v>
      </c>
      <c r="X6774">
        <v>0</v>
      </c>
    </row>
    <row r="6775" spans="1:24" ht="15" customHeight="1" x14ac:dyDescent="0.25">
      <c r="A6775" t="str">
        <f>""</f>
        <v/>
      </c>
      <c r="B6775" s="1"/>
      <c r="H6775">
        <v>201</v>
      </c>
      <c r="J6775" t="s">
        <v>20</v>
      </c>
      <c r="L6775" s="1"/>
      <c r="N6775" s="1"/>
      <c r="V6775" t="str">
        <f>"38000"</f>
        <v>38000</v>
      </c>
      <c r="W6775">
        <v>54.27</v>
      </c>
      <c r="X6775">
        <v>0</v>
      </c>
    </row>
    <row r="6776" spans="1:24" ht="15" customHeight="1" x14ac:dyDescent="0.25">
      <c r="A6776" t="str">
        <f>""</f>
        <v/>
      </c>
      <c r="B6776" s="1"/>
      <c r="H6776">
        <v>70</v>
      </c>
      <c r="J6776" t="s">
        <v>23</v>
      </c>
      <c r="L6776" s="1"/>
      <c r="N6776" s="1"/>
      <c r="V6776" t="str">
        <f>"13270"</f>
        <v>13270</v>
      </c>
      <c r="W6776">
        <v>0</v>
      </c>
      <c r="X6776">
        <v>0</v>
      </c>
    </row>
    <row r="6777" spans="1:24" ht="15" customHeight="1" x14ac:dyDescent="0.25">
      <c r="A6777" t="str">
        <f>""</f>
        <v/>
      </c>
      <c r="B6777" s="1"/>
      <c r="H6777">
        <v>180</v>
      </c>
      <c r="J6777" t="s">
        <v>22</v>
      </c>
      <c r="L6777" s="1"/>
      <c r="N6777" s="1"/>
      <c r="V6777" t="str">
        <f>"73000"</f>
        <v>73000</v>
      </c>
      <c r="W6777">
        <v>0</v>
      </c>
      <c r="X6777">
        <v>0</v>
      </c>
    </row>
    <row r="6778" spans="1:24" ht="15" customHeight="1" x14ac:dyDescent="0.25">
      <c r="A6778" t="str">
        <f>""</f>
        <v/>
      </c>
      <c r="B6778" s="1"/>
      <c r="H6778">
        <v>144.26</v>
      </c>
      <c r="J6778" t="s">
        <v>20</v>
      </c>
      <c r="L6778" s="1"/>
      <c r="N6778" s="1"/>
      <c r="V6778" t="str">
        <f>"50370"</f>
        <v>50370</v>
      </c>
      <c r="W6778">
        <v>24.52</v>
      </c>
      <c r="X6778">
        <v>0</v>
      </c>
    </row>
    <row r="6779" spans="1:24" ht="15" customHeight="1" x14ac:dyDescent="0.25">
      <c r="A6779" t="str">
        <f>""</f>
        <v/>
      </c>
      <c r="B6779" s="1"/>
      <c r="H6779">
        <v>151</v>
      </c>
      <c r="J6779" t="s">
        <v>22</v>
      </c>
      <c r="L6779" s="1"/>
      <c r="N6779" s="1"/>
      <c r="V6779" t="str">
        <f>"76700"</f>
        <v>76700</v>
      </c>
      <c r="W6779">
        <v>0</v>
      </c>
      <c r="X6779">
        <v>25.67</v>
      </c>
    </row>
    <row r="6780" spans="1:24" ht="15" customHeight="1" x14ac:dyDescent="0.25">
      <c r="A6780" t="str">
        <f>""</f>
        <v/>
      </c>
      <c r="B6780" s="1"/>
      <c r="H6780">
        <v>164.05</v>
      </c>
      <c r="J6780" t="s">
        <v>22</v>
      </c>
      <c r="L6780" s="1"/>
      <c r="N6780" s="1"/>
      <c r="V6780" t="str">
        <f>"59000"</f>
        <v>59000</v>
      </c>
      <c r="W6780">
        <v>0</v>
      </c>
      <c r="X6780">
        <v>0</v>
      </c>
    </row>
    <row r="6781" spans="1:24" ht="15" customHeight="1" x14ac:dyDescent="0.25">
      <c r="A6781" t="str">
        <f>""</f>
        <v/>
      </c>
      <c r="B6781" s="1"/>
      <c r="H6781">
        <v>164</v>
      </c>
      <c r="L6781" s="1"/>
      <c r="N6781" s="1"/>
      <c r="V6781" t="str">
        <f>"77184"</f>
        <v>77184</v>
      </c>
      <c r="W6781">
        <v>0</v>
      </c>
      <c r="X6781">
        <v>0</v>
      </c>
    </row>
    <row r="6782" spans="1:24" ht="15" customHeight="1" x14ac:dyDescent="0.25">
      <c r="A6782" t="str">
        <f>""</f>
        <v/>
      </c>
      <c r="B6782" s="1"/>
      <c r="H6782">
        <v>40</v>
      </c>
      <c r="J6782" t="s">
        <v>20</v>
      </c>
      <c r="L6782" s="1"/>
      <c r="N6782" s="1"/>
      <c r="V6782" t="str">
        <f>"80000"</f>
        <v>80000</v>
      </c>
      <c r="W6782">
        <v>7.6</v>
      </c>
      <c r="X6782">
        <v>0</v>
      </c>
    </row>
    <row r="6783" spans="1:24" ht="15" customHeight="1" x14ac:dyDescent="0.25">
      <c r="A6783" t="str">
        <f>""</f>
        <v/>
      </c>
      <c r="B6783" s="1"/>
      <c r="H6783">
        <v>33.35</v>
      </c>
      <c r="J6783" t="s">
        <v>19</v>
      </c>
      <c r="L6783" s="1"/>
      <c r="N6783" s="1"/>
      <c r="V6783" t="str">
        <f>"13100"</f>
        <v>13100</v>
      </c>
      <c r="W6783">
        <v>9.67</v>
      </c>
      <c r="X6783">
        <v>0</v>
      </c>
    </row>
    <row r="6784" spans="1:24" ht="15" customHeight="1" x14ac:dyDescent="0.25">
      <c r="A6784" t="str">
        <f>""</f>
        <v/>
      </c>
      <c r="B6784" s="1"/>
      <c r="H6784">
        <v>138.16</v>
      </c>
      <c r="J6784" t="s">
        <v>19</v>
      </c>
      <c r="L6784" s="1"/>
      <c r="N6784" s="1"/>
      <c r="V6784" t="str">
        <f>"69005"</f>
        <v>69005</v>
      </c>
      <c r="W6784">
        <v>37.299999999999997</v>
      </c>
      <c r="X6784">
        <v>0</v>
      </c>
    </row>
    <row r="6785" spans="1:24" ht="15" customHeight="1" x14ac:dyDescent="0.25">
      <c r="A6785" t="str">
        <f>""</f>
        <v/>
      </c>
      <c r="B6785" s="1"/>
      <c r="H6785">
        <v>40</v>
      </c>
      <c r="J6785" t="s">
        <v>20</v>
      </c>
      <c r="L6785" s="1"/>
      <c r="N6785" s="1"/>
      <c r="V6785" t="str">
        <f>"44300"</f>
        <v>44300</v>
      </c>
      <c r="W6785">
        <v>10.8</v>
      </c>
      <c r="X6785">
        <v>0</v>
      </c>
    </row>
    <row r="6786" spans="1:24" ht="15" customHeight="1" x14ac:dyDescent="0.25">
      <c r="A6786" t="str">
        <f>""</f>
        <v/>
      </c>
      <c r="B6786" s="1"/>
      <c r="H6786">
        <v>97.82</v>
      </c>
      <c r="J6786" t="s">
        <v>23</v>
      </c>
      <c r="L6786" s="1"/>
      <c r="N6786" s="1"/>
      <c r="V6786" t="str">
        <f>"42000"</f>
        <v>42000</v>
      </c>
      <c r="W6786">
        <v>0</v>
      </c>
      <c r="X6786">
        <v>0</v>
      </c>
    </row>
    <row r="6787" spans="1:24" ht="15" customHeight="1" x14ac:dyDescent="0.25">
      <c r="A6787" t="str">
        <f>""</f>
        <v/>
      </c>
      <c r="B6787" s="1"/>
      <c r="H6787">
        <v>131.97999999999999</v>
      </c>
      <c r="J6787" t="s">
        <v>20</v>
      </c>
      <c r="L6787" s="1"/>
      <c r="N6787" s="1"/>
      <c r="V6787" t="str">
        <f>"17000"</f>
        <v>17000</v>
      </c>
      <c r="W6787">
        <v>27.72</v>
      </c>
      <c r="X6787">
        <v>0</v>
      </c>
    </row>
    <row r="6788" spans="1:24" ht="15" customHeight="1" x14ac:dyDescent="0.25">
      <c r="A6788" t="str">
        <f>""</f>
        <v/>
      </c>
      <c r="B6788" s="1"/>
      <c r="H6788">
        <v>103.06</v>
      </c>
      <c r="J6788" t="s">
        <v>19</v>
      </c>
      <c r="L6788" s="1"/>
      <c r="N6788" s="1"/>
      <c r="V6788" t="str">
        <f>"06000"</f>
        <v>06000</v>
      </c>
      <c r="W6788">
        <v>30.92</v>
      </c>
      <c r="X6788">
        <v>0</v>
      </c>
    </row>
    <row r="6789" spans="1:24" ht="15" customHeight="1" x14ac:dyDescent="0.25">
      <c r="A6789" t="str">
        <f>""</f>
        <v/>
      </c>
      <c r="B6789" s="1"/>
      <c r="H6789">
        <v>43.44</v>
      </c>
      <c r="J6789" t="s">
        <v>19</v>
      </c>
      <c r="L6789" s="1"/>
      <c r="N6789" s="1"/>
      <c r="V6789" t="str">
        <f>"06000"</f>
        <v>06000</v>
      </c>
      <c r="W6789">
        <v>13.03</v>
      </c>
      <c r="X6789">
        <v>0</v>
      </c>
    </row>
    <row r="6790" spans="1:24" ht="15" customHeight="1" x14ac:dyDescent="0.25">
      <c r="A6790" t="str">
        <f>""</f>
        <v/>
      </c>
      <c r="B6790" s="1"/>
      <c r="J6790" t="s">
        <v>20</v>
      </c>
      <c r="L6790" s="1"/>
      <c r="N6790" s="1"/>
      <c r="V6790" t="str">
        <f>"60000"</f>
        <v>60000</v>
      </c>
      <c r="W6790">
        <v>0</v>
      </c>
      <c r="X6790">
        <v>0</v>
      </c>
    </row>
    <row r="6791" spans="1:24" ht="15" customHeight="1" x14ac:dyDescent="0.25">
      <c r="A6791" t="str">
        <f>""</f>
        <v/>
      </c>
      <c r="B6791" s="1"/>
      <c r="H6791">
        <v>114</v>
      </c>
      <c r="J6791" t="s">
        <v>23</v>
      </c>
      <c r="L6791" s="1"/>
      <c r="N6791" s="1"/>
      <c r="V6791" t="str">
        <f>"14220"</f>
        <v>14220</v>
      </c>
      <c r="W6791">
        <v>0</v>
      </c>
      <c r="X6791">
        <v>19.38</v>
      </c>
    </row>
    <row r="6792" spans="1:24" ht="15" customHeight="1" x14ac:dyDescent="0.25">
      <c r="A6792" t="str">
        <f>""</f>
        <v/>
      </c>
      <c r="B6792" s="1"/>
      <c r="H6792">
        <v>379.59</v>
      </c>
      <c r="J6792" t="s">
        <v>19</v>
      </c>
      <c r="L6792" s="1"/>
      <c r="N6792" s="1"/>
      <c r="V6792" t="str">
        <f>"77290"</f>
        <v>77290</v>
      </c>
      <c r="W6792">
        <v>0</v>
      </c>
      <c r="X6792">
        <v>0</v>
      </c>
    </row>
    <row r="6793" spans="1:24" ht="15" customHeight="1" x14ac:dyDescent="0.25">
      <c r="A6793" t="str">
        <f>""</f>
        <v/>
      </c>
      <c r="B6793" s="1"/>
      <c r="H6793">
        <v>70.5</v>
      </c>
      <c r="J6793" t="s">
        <v>23</v>
      </c>
      <c r="L6793" s="1"/>
      <c r="N6793" s="1"/>
      <c r="V6793" t="str">
        <f>"37400"</f>
        <v>37400</v>
      </c>
      <c r="W6793">
        <v>0</v>
      </c>
      <c r="X6793">
        <v>0</v>
      </c>
    </row>
    <row r="6794" spans="1:24" x14ac:dyDescent="0.25">
      <c r="A6794" t="str">
        <f>""</f>
        <v/>
      </c>
      <c r="B6794" s="1"/>
      <c r="H6794">
        <v>53.2</v>
      </c>
      <c r="J6794" t="s">
        <v>15</v>
      </c>
      <c r="L6794" s="1"/>
      <c r="N6794" s="1"/>
      <c r="V6794" t="str">
        <f>"92200"</f>
        <v>92200</v>
      </c>
      <c r="W6794">
        <v>0</v>
      </c>
      <c r="X6794">
        <v>0</v>
      </c>
    </row>
    <row r="6795" spans="1:24" ht="15" customHeight="1" x14ac:dyDescent="0.25">
      <c r="A6795" t="str">
        <f>""</f>
        <v/>
      </c>
      <c r="B6795" s="1"/>
      <c r="H6795">
        <v>1.46</v>
      </c>
      <c r="J6795" t="s">
        <v>20</v>
      </c>
      <c r="L6795" s="1"/>
      <c r="N6795" s="1"/>
      <c r="V6795" t="str">
        <f>"94400"</f>
        <v>94400</v>
      </c>
      <c r="W6795">
        <v>0</v>
      </c>
      <c r="X6795">
        <v>0</v>
      </c>
    </row>
    <row r="6796" spans="1:24" ht="15" customHeight="1" x14ac:dyDescent="0.25">
      <c r="A6796" t="str">
        <f>""</f>
        <v/>
      </c>
      <c r="B6796" s="1"/>
      <c r="H6796">
        <v>137.59</v>
      </c>
      <c r="J6796" t="s">
        <v>20</v>
      </c>
      <c r="L6796" s="1"/>
      <c r="N6796" s="1"/>
      <c r="V6796" t="str">
        <f>"77930"</f>
        <v>77930</v>
      </c>
      <c r="W6796">
        <v>0</v>
      </c>
      <c r="X6796">
        <v>0</v>
      </c>
    </row>
    <row r="6797" spans="1:24" ht="15" customHeight="1" x14ac:dyDescent="0.25">
      <c r="A6797" t="str">
        <f>""</f>
        <v/>
      </c>
      <c r="B6797" s="1"/>
      <c r="H6797">
        <v>30</v>
      </c>
      <c r="J6797" t="s">
        <v>19</v>
      </c>
      <c r="L6797" s="1"/>
      <c r="N6797" s="1"/>
      <c r="V6797" t="str">
        <f>"92200"</f>
        <v>92200</v>
      </c>
      <c r="W6797">
        <v>0</v>
      </c>
      <c r="X6797">
        <v>0</v>
      </c>
    </row>
    <row r="6798" spans="1:24" ht="15" customHeight="1" x14ac:dyDescent="0.25">
      <c r="A6798" t="str">
        <f>""</f>
        <v/>
      </c>
      <c r="B6798" s="1"/>
      <c r="H6798">
        <v>23.12</v>
      </c>
      <c r="J6798" t="s">
        <v>20</v>
      </c>
      <c r="L6798" s="1"/>
      <c r="N6798" s="1"/>
      <c r="V6798" t="str">
        <f>"69520"</f>
        <v>69520</v>
      </c>
      <c r="W6798">
        <v>6.24</v>
      </c>
      <c r="X6798">
        <v>0</v>
      </c>
    </row>
    <row r="6799" spans="1:24" ht="15" customHeight="1" x14ac:dyDescent="0.25">
      <c r="A6799" t="str">
        <f>""</f>
        <v/>
      </c>
      <c r="B6799" s="1"/>
      <c r="J6799" t="s">
        <v>8</v>
      </c>
      <c r="V6799" t="str">
        <f>""</f>
        <v/>
      </c>
      <c r="W6799">
        <v>0</v>
      </c>
      <c r="X6799">
        <v>0</v>
      </c>
    </row>
    <row r="6800" spans="1:24" ht="15" customHeight="1" x14ac:dyDescent="0.25">
      <c r="A6800" t="str">
        <f>""</f>
        <v/>
      </c>
      <c r="B6800" s="1"/>
      <c r="H6800">
        <v>53.07</v>
      </c>
      <c r="J6800" t="s">
        <v>20</v>
      </c>
      <c r="L6800" s="1"/>
      <c r="V6800" t="str">
        <f>"77184"</f>
        <v>77184</v>
      </c>
      <c r="W6800">
        <v>0</v>
      </c>
      <c r="X6800">
        <v>0</v>
      </c>
    </row>
    <row r="6801" spans="1:24" ht="15" customHeight="1" x14ac:dyDescent="0.25">
      <c r="A6801" t="str">
        <f>""</f>
        <v/>
      </c>
      <c r="B6801" s="1"/>
      <c r="H6801">
        <v>140</v>
      </c>
      <c r="J6801" t="s">
        <v>23</v>
      </c>
      <c r="L6801" s="1"/>
      <c r="N6801" s="1"/>
      <c r="V6801" t="str">
        <f>"74960"</f>
        <v>74960</v>
      </c>
      <c r="W6801">
        <v>0</v>
      </c>
      <c r="X6801">
        <v>37.799999999999997</v>
      </c>
    </row>
    <row r="6802" spans="1:24" ht="15" customHeight="1" x14ac:dyDescent="0.25">
      <c r="A6802" t="str">
        <f>""</f>
        <v/>
      </c>
      <c r="B6802" s="1"/>
      <c r="H6802">
        <v>193.2</v>
      </c>
      <c r="J6802" t="s">
        <v>22</v>
      </c>
      <c r="L6802" s="1"/>
      <c r="N6802" s="1"/>
      <c r="V6802" t="str">
        <f>"71200"</f>
        <v>71200</v>
      </c>
      <c r="W6802">
        <v>0</v>
      </c>
      <c r="X6802">
        <v>0</v>
      </c>
    </row>
    <row r="6803" spans="1:24" ht="15" customHeight="1" x14ac:dyDescent="0.25">
      <c r="A6803" t="str">
        <f>""</f>
        <v/>
      </c>
      <c r="B6803" s="1"/>
      <c r="H6803">
        <v>29.89</v>
      </c>
      <c r="J6803" t="s">
        <v>22</v>
      </c>
      <c r="L6803" s="1"/>
      <c r="N6803" s="1"/>
      <c r="V6803" t="str">
        <f>"39500"</f>
        <v>39500</v>
      </c>
      <c r="W6803">
        <v>0</v>
      </c>
      <c r="X6803">
        <v>0</v>
      </c>
    </row>
    <row r="6804" spans="1:24" ht="15" customHeight="1" x14ac:dyDescent="0.25">
      <c r="A6804" t="str">
        <f>""</f>
        <v/>
      </c>
      <c r="B6804" s="1"/>
      <c r="H6804">
        <v>40</v>
      </c>
      <c r="J6804" t="s">
        <v>22</v>
      </c>
      <c r="L6804" s="1"/>
      <c r="N6804" s="1"/>
      <c r="V6804" t="str">
        <f>"57175"</f>
        <v>57175</v>
      </c>
      <c r="W6804">
        <v>0</v>
      </c>
      <c r="X6804">
        <v>10</v>
      </c>
    </row>
    <row r="6805" spans="1:24" ht="15" customHeight="1" x14ac:dyDescent="0.25">
      <c r="A6805" t="str">
        <f>""</f>
        <v/>
      </c>
      <c r="B6805" s="1"/>
      <c r="H6805">
        <v>180</v>
      </c>
      <c r="J6805" t="s">
        <v>22</v>
      </c>
      <c r="L6805" s="1"/>
      <c r="V6805" t="str">
        <f>"69100"</f>
        <v>69100</v>
      </c>
      <c r="W6805">
        <v>0</v>
      </c>
      <c r="X6805">
        <v>0</v>
      </c>
    </row>
    <row r="6806" spans="1:24" ht="15" customHeight="1" x14ac:dyDescent="0.25">
      <c r="A6806" t="str">
        <f>""</f>
        <v/>
      </c>
      <c r="B6806" s="1"/>
      <c r="H6806">
        <v>70</v>
      </c>
      <c r="J6806" t="s">
        <v>23</v>
      </c>
      <c r="L6806" s="1"/>
      <c r="V6806" t="str">
        <f>"84220"</f>
        <v>84220</v>
      </c>
      <c r="W6806">
        <v>0</v>
      </c>
      <c r="X6806">
        <v>0</v>
      </c>
    </row>
    <row r="6807" spans="1:24" ht="15" customHeight="1" x14ac:dyDescent="0.25">
      <c r="A6807" t="str">
        <f>""</f>
        <v/>
      </c>
      <c r="B6807" s="1"/>
      <c r="H6807">
        <v>171.88</v>
      </c>
      <c r="J6807" t="s">
        <v>23</v>
      </c>
      <c r="L6807" s="1"/>
      <c r="N6807" s="1"/>
      <c r="V6807" t="str">
        <f>"28000"</f>
        <v>28000</v>
      </c>
      <c r="W6807">
        <v>0</v>
      </c>
      <c r="X6807">
        <v>0</v>
      </c>
    </row>
    <row r="6808" spans="1:24" ht="15" customHeight="1" x14ac:dyDescent="0.25">
      <c r="A6808" t="str">
        <f>""</f>
        <v/>
      </c>
      <c r="B6808" s="1"/>
      <c r="H6808">
        <v>180</v>
      </c>
      <c r="J6808" t="s">
        <v>23</v>
      </c>
      <c r="L6808" s="1"/>
      <c r="N6808" s="1"/>
      <c r="V6808" t="str">
        <f>"14000"</f>
        <v>14000</v>
      </c>
      <c r="W6808">
        <v>0</v>
      </c>
      <c r="X6808">
        <v>30.6</v>
      </c>
    </row>
    <row r="6809" spans="1:24" ht="15" customHeight="1" x14ac:dyDescent="0.25">
      <c r="A6809" t="str">
        <f>""</f>
        <v/>
      </c>
      <c r="B6809" s="1"/>
      <c r="H6809">
        <v>136.65</v>
      </c>
      <c r="J6809" t="s">
        <v>20</v>
      </c>
      <c r="L6809" s="1"/>
      <c r="N6809" s="1"/>
      <c r="V6809" t="str">
        <f>"74500"</f>
        <v>74500</v>
      </c>
      <c r="W6809">
        <v>36.9</v>
      </c>
      <c r="X6809">
        <v>0</v>
      </c>
    </row>
    <row r="6810" spans="1:24" ht="15" customHeight="1" x14ac:dyDescent="0.25">
      <c r="A6810" t="str">
        <f>""</f>
        <v/>
      </c>
      <c r="B6810" s="1"/>
      <c r="H6810">
        <v>137.01</v>
      </c>
      <c r="J6810" t="s">
        <v>19</v>
      </c>
      <c r="L6810" s="1"/>
      <c r="N6810" s="1"/>
      <c r="V6810" t="str">
        <f>"44600"</f>
        <v>44600</v>
      </c>
      <c r="W6810">
        <v>67.13</v>
      </c>
      <c r="X6810">
        <v>0</v>
      </c>
    </row>
    <row r="6811" spans="1:24" ht="15" customHeight="1" x14ac:dyDescent="0.25">
      <c r="A6811" t="str">
        <f>""</f>
        <v/>
      </c>
      <c r="B6811" s="1"/>
      <c r="H6811">
        <v>70</v>
      </c>
      <c r="J6811" t="s">
        <v>22</v>
      </c>
      <c r="L6811" s="1"/>
      <c r="N6811" s="1"/>
      <c r="V6811" t="str">
        <f>"21600"</f>
        <v>21600</v>
      </c>
      <c r="W6811">
        <v>0</v>
      </c>
      <c r="X6811">
        <v>8.4</v>
      </c>
    </row>
    <row r="6812" spans="1:24" ht="15" customHeight="1" x14ac:dyDescent="0.25">
      <c r="A6812" t="str">
        <f>""</f>
        <v/>
      </c>
      <c r="B6812" s="1"/>
      <c r="H6812">
        <v>110.91</v>
      </c>
      <c r="J6812" t="s">
        <v>22</v>
      </c>
      <c r="L6812" s="1"/>
      <c r="V6812" t="str">
        <f>"13127"</f>
        <v>13127</v>
      </c>
      <c r="W6812">
        <v>0</v>
      </c>
      <c r="X6812">
        <v>0</v>
      </c>
    </row>
    <row r="6813" spans="1:24" ht="15" customHeight="1" x14ac:dyDescent="0.25">
      <c r="A6813" t="str">
        <f>""</f>
        <v/>
      </c>
      <c r="B6813" s="1"/>
      <c r="H6813">
        <v>125.26</v>
      </c>
      <c r="J6813" t="s">
        <v>19</v>
      </c>
      <c r="L6813" s="1"/>
      <c r="N6813" s="1"/>
      <c r="V6813" t="str">
        <f>"38400"</f>
        <v>38400</v>
      </c>
      <c r="W6813">
        <v>33.82</v>
      </c>
      <c r="X6813">
        <v>0</v>
      </c>
    </row>
    <row r="6814" spans="1:24" ht="15" customHeight="1" x14ac:dyDescent="0.25">
      <c r="A6814" t="str">
        <f>""</f>
        <v/>
      </c>
      <c r="B6814" s="1"/>
      <c r="H6814">
        <v>250</v>
      </c>
      <c r="J6814" t="s">
        <v>23</v>
      </c>
      <c r="L6814" s="1"/>
      <c r="N6814" s="1"/>
      <c r="V6814" t="str">
        <f>"13002"</f>
        <v>13002</v>
      </c>
      <c r="W6814">
        <v>0</v>
      </c>
      <c r="X6814">
        <v>0</v>
      </c>
    </row>
    <row r="6815" spans="1:24" x14ac:dyDescent="0.25">
      <c r="A6815" t="str">
        <f>""</f>
        <v/>
      </c>
      <c r="B6815" s="1"/>
      <c r="H6815">
        <v>140</v>
      </c>
      <c r="J6815" t="s">
        <v>16</v>
      </c>
      <c r="L6815" s="1"/>
      <c r="N6815" s="1"/>
      <c r="V6815" t="str">
        <f>"34130"</f>
        <v>34130</v>
      </c>
      <c r="W6815">
        <v>0</v>
      </c>
      <c r="X6815">
        <v>40.6</v>
      </c>
    </row>
    <row r="6816" spans="1:24" ht="15" customHeight="1" x14ac:dyDescent="0.25">
      <c r="A6816" t="str">
        <f>""</f>
        <v/>
      </c>
      <c r="B6816" s="1"/>
      <c r="H6816">
        <v>157.32</v>
      </c>
      <c r="J6816" t="s">
        <v>23</v>
      </c>
      <c r="L6816" s="1"/>
      <c r="N6816" s="1"/>
      <c r="V6816" t="str">
        <f>"69230"</f>
        <v>69230</v>
      </c>
      <c r="W6816">
        <v>0</v>
      </c>
      <c r="X6816">
        <v>0</v>
      </c>
    </row>
    <row r="6817" spans="1:24" ht="15" customHeight="1" x14ac:dyDescent="0.25">
      <c r="A6817" t="str">
        <f>""</f>
        <v/>
      </c>
      <c r="B6817" s="1"/>
      <c r="H6817">
        <v>180</v>
      </c>
      <c r="J6817" t="s">
        <v>23</v>
      </c>
      <c r="L6817" s="1"/>
      <c r="N6817" s="1"/>
      <c r="V6817" t="str">
        <f>"67900"</f>
        <v>67900</v>
      </c>
      <c r="W6817">
        <v>0</v>
      </c>
      <c r="X6817">
        <v>14.4</v>
      </c>
    </row>
    <row r="6818" spans="1:24" ht="15" customHeight="1" x14ac:dyDescent="0.25">
      <c r="A6818" t="str">
        <f>""</f>
        <v/>
      </c>
      <c r="B6818" s="1"/>
      <c r="H6818">
        <v>70</v>
      </c>
      <c r="J6818" t="s">
        <v>22</v>
      </c>
      <c r="L6818" s="1"/>
      <c r="N6818" s="1"/>
      <c r="V6818" t="str">
        <f>"68290"</f>
        <v>68290</v>
      </c>
      <c r="W6818">
        <v>0</v>
      </c>
      <c r="X6818">
        <v>5.6</v>
      </c>
    </row>
    <row r="6819" spans="1:24" ht="15" customHeight="1" x14ac:dyDescent="0.25">
      <c r="A6819" t="str">
        <f>""</f>
        <v/>
      </c>
      <c r="B6819" s="1"/>
      <c r="H6819">
        <v>180</v>
      </c>
      <c r="J6819" t="s">
        <v>23</v>
      </c>
      <c r="L6819" s="1"/>
      <c r="N6819" s="1"/>
      <c r="V6819" t="str">
        <f>"02400"</f>
        <v>02400</v>
      </c>
      <c r="W6819">
        <v>0</v>
      </c>
      <c r="X6819">
        <v>0</v>
      </c>
    </row>
    <row r="6820" spans="1:24" ht="15" customHeight="1" x14ac:dyDescent="0.25">
      <c r="A6820" t="str">
        <f>""</f>
        <v/>
      </c>
      <c r="B6820" s="1"/>
      <c r="H6820">
        <v>70</v>
      </c>
      <c r="J6820" t="s">
        <v>22</v>
      </c>
      <c r="L6820" s="1"/>
      <c r="N6820" s="1"/>
      <c r="V6820" t="str">
        <f>"68290"</f>
        <v>68290</v>
      </c>
      <c r="W6820">
        <v>0</v>
      </c>
      <c r="X6820">
        <v>5.6</v>
      </c>
    </row>
    <row r="6821" spans="1:24" ht="15" customHeight="1" x14ac:dyDescent="0.25">
      <c r="A6821" t="str">
        <f>""</f>
        <v/>
      </c>
      <c r="B6821" s="1"/>
      <c r="H6821">
        <v>80.88</v>
      </c>
      <c r="J6821" t="s">
        <v>20</v>
      </c>
      <c r="L6821" s="1"/>
      <c r="N6821" s="1"/>
      <c r="V6821" t="str">
        <f>"75012"</f>
        <v>75012</v>
      </c>
      <c r="W6821">
        <v>0</v>
      </c>
      <c r="X6821">
        <v>0</v>
      </c>
    </row>
    <row r="6822" spans="1:24" ht="15" customHeight="1" x14ac:dyDescent="0.25">
      <c r="A6822" t="str">
        <f>""</f>
        <v/>
      </c>
      <c r="B6822" s="1"/>
      <c r="H6822">
        <v>25</v>
      </c>
      <c r="J6822" t="s">
        <v>22</v>
      </c>
      <c r="L6822" s="1"/>
      <c r="N6822" s="1"/>
      <c r="V6822" t="str">
        <f>"69150"</f>
        <v>69150</v>
      </c>
      <c r="W6822">
        <v>0</v>
      </c>
      <c r="X6822">
        <v>0</v>
      </c>
    </row>
    <row r="6823" spans="1:24" ht="15" customHeight="1" x14ac:dyDescent="0.25">
      <c r="A6823" t="str">
        <f>""</f>
        <v/>
      </c>
      <c r="B6823" s="1"/>
      <c r="H6823">
        <v>201</v>
      </c>
      <c r="J6823" t="s">
        <v>22</v>
      </c>
      <c r="L6823" s="1"/>
      <c r="N6823" s="1"/>
      <c r="V6823" t="str">
        <f>"38000"</f>
        <v>38000</v>
      </c>
      <c r="W6823">
        <v>0</v>
      </c>
      <c r="X6823">
        <v>54.27</v>
      </c>
    </row>
    <row r="6824" spans="1:24" ht="15" customHeight="1" x14ac:dyDescent="0.25">
      <c r="A6824" t="str">
        <f>""</f>
        <v/>
      </c>
      <c r="B6824" s="1"/>
      <c r="H6824">
        <v>50.84</v>
      </c>
      <c r="J6824" t="s">
        <v>19</v>
      </c>
      <c r="L6824" s="1"/>
      <c r="N6824" s="1"/>
      <c r="V6824" t="str">
        <f>"92000"</f>
        <v>92000</v>
      </c>
      <c r="W6824">
        <v>0</v>
      </c>
      <c r="X6824">
        <v>0</v>
      </c>
    </row>
    <row r="6825" spans="1:24" x14ac:dyDescent="0.25">
      <c r="A6825" t="str">
        <f>""</f>
        <v/>
      </c>
      <c r="B6825" s="1"/>
      <c r="H6825">
        <v>52.5</v>
      </c>
      <c r="J6825" t="s">
        <v>15</v>
      </c>
      <c r="L6825" s="1"/>
      <c r="N6825" s="1"/>
      <c r="V6825" t="str">
        <f>"13800"</f>
        <v>13800</v>
      </c>
      <c r="W6825">
        <v>0</v>
      </c>
      <c r="X6825">
        <v>0</v>
      </c>
    </row>
    <row r="6826" spans="1:24" x14ac:dyDescent="0.25">
      <c r="A6826" t="str">
        <f>""</f>
        <v/>
      </c>
      <c r="B6826" s="1"/>
      <c r="H6826">
        <v>52.5</v>
      </c>
      <c r="J6826" t="s">
        <v>15</v>
      </c>
      <c r="L6826" s="1"/>
      <c r="N6826" s="1"/>
      <c r="V6826" t="str">
        <f>"69003"</f>
        <v>69003</v>
      </c>
      <c r="W6826">
        <v>0</v>
      </c>
      <c r="X6826">
        <v>0</v>
      </c>
    </row>
    <row r="6827" spans="1:24" x14ac:dyDescent="0.25">
      <c r="A6827" t="str">
        <f>""</f>
        <v/>
      </c>
      <c r="B6827" s="1"/>
      <c r="H6827">
        <v>52.5</v>
      </c>
      <c r="J6827" t="s">
        <v>15</v>
      </c>
      <c r="L6827" s="1"/>
      <c r="N6827" s="1"/>
      <c r="V6827" t="str">
        <f>"71100"</f>
        <v>71100</v>
      </c>
      <c r="W6827">
        <v>0</v>
      </c>
      <c r="X6827">
        <v>0</v>
      </c>
    </row>
    <row r="6828" spans="1:24" ht="15" customHeight="1" x14ac:dyDescent="0.25">
      <c r="A6828" t="str">
        <f>""</f>
        <v/>
      </c>
      <c r="B6828" s="1"/>
      <c r="H6828">
        <v>250</v>
      </c>
      <c r="J6828" t="s">
        <v>23</v>
      </c>
      <c r="L6828" s="1"/>
      <c r="N6828" s="1"/>
      <c r="V6828" t="str">
        <f>"38520"</f>
        <v>38520</v>
      </c>
      <c r="W6828">
        <v>0</v>
      </c>
      <c r="X6828">
        <v>0</v>
      </c>
    </row>
    <row r="6829" spans="1:24" ht="15" customHeight="1" x14ac:dyDescent="0.25">
      <c r="A6829" t="str">
        <f>""</f>
        <v/>
      </c>
      <c r="B6829" s="1"/>
      <c r="H6829">
        <v>140</v>
      </c>
      <c r="J6829" t="s">
        <v>22</v>
      </c>
      <c r="L6829" s="1"/>
      <c r="N6829" s="1"/>
      <c r="V6829" t="str">
        <f>"44000"</f>
        <v>44000</v>
      </c>
      <c r="W6829">
        <v>0</v>
      </c>
      <c r="X6829">
        <v>37.799999999999997</v>
      </c>
    </row>
    <row r="6830" spans="1:24" ht="15" customHeight="1" x14ac:dyDescent="0.25">
      <c r="A6830" t="str">
        <f>""</f>
        <v/>
      </c>
      <c r="B6830" s="1"/>
      <c r="H6830">
        <v>151</v>
      </c>
      <c r="J6830" t="s">
        <v>22</v>
      </c>
      <c r="L6830" s="1"/>
      <c r="N6830" s="1"/>
      <c r="V6830" t="str">
        <f>"77000"</f>
        <v>77000</v>
      </c>
      <c r="W6830">
        <v>0</v>
      </c>
      <c r="X6830">
        <v>0</v>
      </c>
    </row>
    <row r="6831" spans="1:24" ht="15" customHeight="1" x14ac:dyDescent="0.25">
      <c r="A6831" t="str">
        <f>""</f>
        <v/>
      </c>
      <c r="B6831" s="1"/>
      <c r="H6831">
        <v>110.58</v>
      </c>
      <c r="J6831" t="s">
        <v>19</v>
      </c>
      <c r="L6831" s="1"/>
      <c r="N6831" s="1"/>
      <c r="V6831" t="str">
        <f>"84200"</f>
        <v>84200</v>
      </c>
      <c r="W6831">
        <v>32.07</v>
      </c>
      <c r="X6831">
        <v>0</v>
      </c>
    </row>
    <row r="6832" spans="1:24" ht="15" customHeight="1" x14ac:dyDescent="0.25">
      <c r="A6832" t="str">
        <f>""</f>
        <v/>
      </c>
      <c r="B6832" s="1"/>
      <c r="H6832">
        <v>19.649999999999999</v>
      </c>
      <c r="J6832" t="s">
        <v>19</v>
      </c>
      <c r="L6832" s="1"/>
      <c r="N6832" s="1"/>
      <c r="V6832" t="str">
        <f>"07800"</f>
        <v>07800</v>
      </c>
      <c r="W6832">
        <v>5.31</v>
      </c>
      <c r="X6832">
        <v>0</v>
      </c>
    </row>
    <row r="6833" spans="1:24" ht="15" customHeight="1" x14ac:dyDescent="0.25">
      <c r="A6833" t="str">
        <f>""</f>
        <v/>
      </c>
      <c r="B6833" s="1"/>
      <c r="H6833">
        <v>19.649999999999999</v>
      </c>
      <c r="J6833" t="s">
        <v>19</v>
      </c>
      <c r="L6833" s="1"/>
      <c r="N6833" s="1"/>
      <c r="V6833" t="str">
        <f>"07800"</f>
        <v>07800</v>
      </c>
      <c r="W6833">
        <v>5.31</v>
      </c>
      <c r="X6833">
        <v>0</v>
      </c>
    </row>
    <row r="6834" spans="1:24" ht="15" customHeight="1" x14ac:dyDescent="0.25">
      <c r="A6834" t="str">
        <f>""</f>
        <v/>
      </c>
      <c r="B6834" s="1"/>
      <c r="H6834">
        <v>40</v>
      </c>
      <c r="J6834" t="s">
        <v>22</v>
      </c>
      <c r="L6834" s="1"/>
      <c r="V6834" t="str">
        <f>"27400"</f>
        <v>27400</v>
      </c>
      <c r="W6834">
        <v>0</v>
      </c>
      <c r="X6834">
        <v>0</v>
      </c>
    </row>
    <row r="6835" spans="1:24" ht="15" customHeight="1" x14ac:dyDescent="0.25">
      <c r="A6835" t="str">
        <f>""</f>
        <v/>
      </c>
      <c r="B6835" s="1"/>
      <c r="H6835">
        <v>184.19</v>
      </c>
      <c r="J6835" t="s">
        <v>19</v>
      </c>
      <c r="L6835" s="1"/>
      <c r="N6835" s="1"/>
      <c r="V6835" t="str">
        <f>"16380"</f>
        <v>16380</v>
      </c>
      <c r="W6835">
        <v>38.68</v>
      </c>
      <c r="X6835">
        <v>0</v>
      </c>
    </row>
    <row r="6836" spans="1:24" ht="15" customHeight="1" x14ac:dyDescent="0.25">
      <c r="A6836" t="str">
        <f>""</f>
        <v/>
      </c>
      <c r="B6836" s="1"/>
      <c r="H6836">
        <v>153.15</v>
      </c>
      <c r="J6836" t="s">
        <v>19</v>
      </c>
      <c r="L6836" s="1"/>
      <c r="N6836" s="1"/>
      <c r="V6836" t="str">
        <f>"44000"</f>
        <v>44000</v>
      </c>
      <c r="W6836">
        <v>41.35</v>
      </c>
      <c r="X6836">
        <v>0</v>
      </c>
    </row>
    <row r="6837" spans="1:24" ht="15" customHeight="1" x14ac:dyDescent="0.25">
      <c r="A6837" t="str">
        <f>""</f>
        <v/>
      </c>
      <c r="B6837" s="1"/>
      <c r="H6837">
        <v>151</v>
      </c>
      <c r="J6837" t="s">
        <v>23</v>
      </c>
      <c r="L6837" s="1"/>
      <c r="N6837" s="1"/>
      <c r="V6837" t="str">
        <f>"75847"</f>
        <v>75847</v>
      </c>
      <c r="W6837">
        <v>0</v>
      </c>
      <c r="X6837">
        <v>0</v>
      </c>
    </row>
    <row r="6838" spans="1:24" ht="15" customHeight="1" x14ac:dyDescent="0.25">
      <c r="A6838" t="str">
        <f>""</f>
        <v/>
      </c>
      <c r="B6838" s="1"/>
      <c r="H6838">
        <v>151</v>
      </c>
      <c r="J6838" t="s">
        <v>23</v>
      </c>
      <c r="L6838" s="1"/>
      <c r="N6838" s="1"/>
      <c r="V6838" t="str">
        <f>"06560"</f>
        <v>06560</v>
      </c>
      <c r="W6838">
        <v>0</v>
      </c>
      <c r="X6838">
        <v>0</v>
      </c>
    </row>
    <row r="6839" spans="1:24" ht="15" customHeight="1" x14ac:dyDescent="0.25">
      <c r="A6839" t="str">
        <f>""</f>
        <v/>
      </c>
      <c r="B6839" s="1"/>
      <c r="H6839">
        <v>151</v>
      </c>
      <c r="J6839" t="s">
        <v>23</v>
      </c>
      <c r="L6839" s="1"/>
      <c r="N6839" s="1"/>
      <c r="V6839" t="str">
        <f>"06560"</f>
        <v>06560</v>
      </c>
      <c r="W6839">
        <v>0</v>
      </c>
      <c r="X6839">
        <v>0</v>
      </c>
    </row>
    <row r="6840" spans="1:24" ht="15" customHeight="1" x14ac:dyDescent="0.25">
      <c r="A6840" t="str">
        <f>""</f>
        <v/>
      </c>
      <c r="B6840" s="1"/>
      <c r="H6840">
        <v>140</v>
      </c>
      <c r="J6840" t="s">
        <v>22</v>
      </c>
      <c r="L6840" s="1"/>
      <c r="N6840" s="1"/>
      <c r="V6840" t="str">
        <f>"76410"</f>
        <v>76410</v>
      </c>
      <c r="W6840">
        <v>0</v>
      </c>
      <c r="X6840">
        <v>23.8</v>
      </c>
    </row>
    <row r="6841" spans="1:24" ht="15" customHeight="1" x14ac:dyDescent="0.25">
      <c r="A6841" t="str">
        <f>""</f>
        <v/>
      </c>
      <c r="B6841" s="1"/>
      <c r="H6841">
        <v>53.52</v>
      </c>
      <c r="J6841" t="s">
        <v>19</v>
      </c>
      <c r="L6841" s="1"/>
      <c r="N6841" s="1"/>
      <c r="V6841" t="str">
        <f>"94547"</f>
        <v>94547</v>
      </c>
      <c r="W6841">
        <v>0</v>
      </c>
      <c r="X6841">
        <v>0</v>
      </c>
    </row>
    <row r="6842" spans="1:24" ht="15" customHeight="1" x14ac:dyDescent="0.25">
      <c r="A6842" t="str">
        <f>""</f>
        <v/>
      </c>
      <c r="B6842" s="1"/>
      <c r="H6842">
        <v>53.52</v>
      </c>
      <c r="J6842" t="s">
        <v>19</v>
      </c>
      <c r="L6842" s="1"/>
      <c r="N6842" s="1"/>
      <c r="V6842" t="str">
        <f>"94547"</f>
        <v>94547</v>
      </c>
      <c r="W6842">
        <v>0</v>
      </c>
      <c r="X6842">
        <v>0</v>
      </c>
    </row>
    <row r="6843" spans="1:24" ht="15" customHeight="1" x14ac:dyDescent="0.25">
      <c r="A6843" t="str">
        <f>""</f>
        <v/>
      </c>
      <c r="B6843" s="1"/>
      <c r="H6843">
        <v>22.8</v>
      </c>
      <c r="J6843" t="s">
        <v>22</v>
      </c>
      <c r="L6843" s="1"/>
      <c r="V6843" t="str">
        <f>"42160"</f>
        <v>42160</v>
      </c>
      <c r="W6843">
        <v>0</v>
      </c>
      <c r="X6843">
        <v>0</v>
      </c>
    </row>
    <row r="6844" spans="1:24" ht="15" customHeight="1" x14ac:dyDescent="0.25">
      <c r="A6844" t="str">
        <f>""</f>
        <v/>
      </c>
      <c r="B6844" s="1"/>
      <c r="H6844">
        <v>35</v>
      </c>
      <c r="L6844" s="1"/>
      <c r="N6844" s="1"/>
      <c r="V6844" t="str">
        <f>"77184"</f>
        <v>77184</v>
      </c>
      <c r="W6844">
        <v>0</v>
      </c>
      <c r="X6844">
        <v>0</v>
      </c>
    </row>
    <row r="6845" spans="1:24" ht="15" customHeight="1" x14ac:dyDescent="0.25">
      <c r="A6845" t="str">
        <f>""</f>
        <v/>
      </c>
      <c r="B6845" s="1"/>
      <c r="H6845">
        <v>36.17</v>
      </c>
      <c r="J6845" t="s">
        <v>19</v>
      </c>
      <c r="L6845" s="1"/>
      <c r="N6845" s="1"/>
      <c r="V6845" t="str">
        <f>"13008"</f>
        <v>13008</v>
      </c>
      <c r="W6845">
        <v>10.49</v>
      </c>
      <c r="X6845">
        <v>0</v>
      </c>
    </row>
    <row r="6846" spans="1:24" ht="15" customHeight="1" x14ac:dyDescent="0.25">
      <c r="A6846" t="str">
        <f>""</f>
        <v/>
      </c>
      <c r="B6846" s="1"/>
      <c r="H6846">
        <v>40</v>
      </c>
      <c r="J6846" t="s">
        <v>22</v>
      </c>
      <c r="L6846" s="1"/>
      <c r="N6846" s="1"/>
      <c r="V6846" t="str">
        <f>"13115"</f>
        <v>13115</v>
      </c>
      <c r="W6846">
        <v>0</v>
      </c>
      <c r="X6846">
        <v>7.6</v>
      </c>
    </row>
    <row r="6847" spans="1:24" ht="15" customHeight="1" x14ac:dyDescent="0.25">
      <c r="A6847" t="str">
        <f>""</f>
        <v/>
      </c>
      <c r="B6847" s="1"/>
      <c r="H6847">
        <v>40</v>
      </c>
      <c r="J6847" t="s">
        <v>20</v>
      </c>
      <c r="L6847" s="1"/>
      <c r="N6847" s="1"/>
      <c r="V6847" t="str">
        <f>"38000"</f>
        <v>38000</v>
      </c>
      <c r="W6847">
        <v>10.8</v>
      </c>
      <c r="X6847">
        <v>0</v>
      </c>
    </row>
    <row r="6848" spans="1:24" ht="15" customHeight="1" x14ac:dyDescent="0.25">
      <c r="A6848" t="str">
        <f>""</f>
        <v/>
      </c>
      <c r="B6848" s="1"/>
      <c r="H6848">
        <v>55.16</v>
      </c>
      <c r="J6848" t="s">
        <v>19</v>
      </c>
      <c r="L6848" s="1"/>
      <c r="N6848" s="1"/>
      <c r="V6848" t="str">
        <f>"73200"</f>
        <v>73200</v>
      </c>
      <c r="W6848">
        <v>14.89</v>
      </c>
      <c r="X6848">
        <v>0</v>
      </c>
    </row>
    <row r="6849" spans="1:24" ht="15" customHeight="1" x14ac:dyDescent="0.25">
      <c r="A6849" t="str">
        <f>""</f>
        <v/>
      </c>
      <c r="B6849" s="1"/>
      <c r="H6849">
        <v>20.23</v>
      </c>
      <c r="J6849" t="s">
        <v>19</v>
      </c>
      <c r="L6849" s="1"/>
      <c r="N6849" s="1"/>
      <c r="V6849" t="str">
        <f>"75018"</f>
        <v>75018</v>
      </c>
      <c r="W6849">
        <v>0</v>
      </c>
      <c r="X6849">
        <v>0</v>
      </c>
    </row>
    <row r="6850" spans="1:24" ht="15" customHeight="1" x14ac:dyDescent="0.25">
      <c r="A6850" t="str">
        <f>""</f>
        <v/>
      </c>
      <c r="B6850" s="1"/>
      <c r="H6850">
        <v>180</v>
      </c>
      <c r="J6850" t="s">
        <v>23</v>
      </c>
      <c r="L6850" s="1"/>
      <c r="N6850" s="1"/>
      <c r="V6850" t="str">
        <f>"14100"</f>
        <v>14100</v>
      </c>
      <c r="W6850">
        <v>0</v>
      </c>
      <c r="X6850">
        <v>30.6</v>
      </c>
    </row>
    <row r="6851" spans="1:24" ht="15" customHeight="1" x14ac:dyDescent="0.25">
      <c r="A6851" t="str">
        <f>""</f>
        <v/>
      </c>
      <c r="B6851" s="1"/>
      <c r="H6851">
        <v>180</v>
      </c>
      <c r="J6851" t="s">
        <v>23</v>
      </c>
      <c r="L6851" s="1"/>
      <c r="N6851" s="1"/>
      <c r="V6851" t="str">
        <f>"34740"</f>
        <v>34740</v>
      </c>
      <c r="W6851">
        <v>0</v>
      </c>
      <c r="X6851">
        <v>50.4</v>
      </c>
    </row>
    <row r="6852" spans="1:24" ht="15" customHeight="1" x14ac:dyDescent="0.25">
      <c r="A6852" t="str">
        <f>""</f>
        <v/>
      </c>
      <c r="B6852" s="1"/>
      <c r="H6852">
        <v>140</v>
      </c>
      <c r="J6852" t="s">
        <v>23</v>
      </c>
      <c r="L6852" s="1"/>
      <c r="N6852" s="1"/>
      <c r="V6852" t="str">
        <f>"45650"</f>
        <v>45650</v>
      </c>
      <c r="W6852">
        <v>0</v>
      </c>
      <c r="X6852">
        <v>54.6</v>
      </c>
    </row>
    <row r="6853" spans="1:24" ht="15" customHeight="1" x14ac:dyDescent="0.25">
      <c r="A6853" t="str">
        <f>""</f>
        <v/>
      </c>
      <c r="B6853" s="1"/>
      <c r="H6853">
        <v>84.5</v>
      </c>
      <c r="L6853" s="1"/>
      <c r="N6853" s="1"/>
      <c r="V6853" t="str">
        <f>"77184"</f>
        <v>77184</v>
      </c>
      <c r="W6853">
        <v>0</v>
      </c>
      <c r="X6853">
        <v>0</v>
      </c>
    </row>
    <row r="6854" spans="1:24" ht="15" customHeight="1" x14ac:dyDescent="0.25">
      <c r="A6854" t="str">
        <f>""</f>
        <v/>
      </c>
      <c r="B6854" s="1"/>
      <c r="H6854">
        <v>84.5</v>
      </c>
      <c r="L6854" s="1"/>
      <c r="N6854" s="1"/>
      <c r="V6854" t="str">
        <f>"77184"</f>
        <v>77184</v>
      </c>
      <c r="W6854">
        <v>0</v>
      </c>
      <c r="X6854">
        <v>0</v>
      </c>
    </row>
    <row r="6855" spans="1:24" ht="15" customHeight="1" x14ac:dyDescent="0.25">
      <c r="A6855" t="str">
        <f>""</f>
        <v/>
      </c>
      <c r="B6855" s="1"/>
      <c r="H6855">
        <v>66.2</v>
      </c>
      <c r="L6855" s="1"/>
      <c r="N6855" s="1"/>
      <c r="V6855" t="str">
        <f>"77184"</f>
        <v>77184</v>
      </c>
      <c r="W6855">
        <v>0</v>
      </c>
      <c r="X6855">
        <v>0</v>
      </c>
    </row>
    <row r="6856" spans="1:24" ht="15" customHeight="1" x14ac:dyDescent="0.25">
      <c r="A6856" t="str">
        <f>""</f>
        <v/>
      </c>
      <c r="B6856" s="1"/>
      <c r="H6856">
        <v>17</v>
      </c>
      <c r="J6856" t="s">
        <v>22</v>
      </c>
      <c r="L6856" s="1"/>
      <c r="V6856" t="str">
        <f>"88100"</f>
        <v>88100</v>
      </c>
      <c r="W6856">
        <v>0</v>
      </c>
      <c r="X6856">
        <v>0</v>
      </c>
    </row>
    <row r="6857" spans="1:24" ht="15" customHeight="1" x14ac:dyDescent="0.25">
      <c r="A6857" t="str">
        <f>""</f>
        <v/>
      </c>
      <c r="B6857" s="1"/>
      <c r="H6857">
        <v>191.09</v>
      </c>
      <c r="J6857" t="s">
        <v>20</v>
      </c>
      <c r="L6857" s="1"/>
      <c r="N6857" s="1"/>
      <c r="V6857" t="str">
        <f>"34000"</f>
        <v>34000</v>
      </c>
      <c r="W6857">
        <v>74.53</v>
      </c>
      <c r="X6857">
        <v>0</v>
      </c>
    </row>
    <row r="6858" spans="1:24" x14ac:dyDescent="0.25">
      <c r="A6858" t="str">
        <f>""</f>
        <v/>
      </c>
      <c r="B6858" s="1"/>
      <c r="H6858">
        <v>100</v>
      </c>
      <c r="J6858" t="s">
        <v>16</v>
      </c>
      <c r="L6858" s="1"/>
      <c r="N6858" s="1"/>
      <c r="V6858" t="str">
        <f>"25870"</f>
        <v>25870</v>
      </c>
      <c r="W6858">
        <v>0</v>
      </c>
      <c r="X6858">
        <v>0</v>
      </c>
    </row>
    <row r="6859" spans="1:24" ht="15" customHeight="1" x14ac:dyDescent="0.25">
      <c r="A6859" t="str">
        <f>""</f>
        <v/>
      </c>
      <c r="B6859" s="1"/>
      <c r="H6859">
        <v>370.47</v>
      </c>
      <c r="J6859" t="s">
        <v>20</v>
      </c>
      <c r="L6859" s="1"/>
      <c r="N6859" s="1"/>
      <c r="V6859" t="str">
        <f>"49380"</f>
        <v>49380</v>
      </c>
      <c r="W6859">
        <v>100.03</v>
      </c>
      <c r="X6859">
        <v>0</v>
      </c>
    </row>
    <row r="6860" spans="1:24" ht="15" customHeight="1" x14ac:dyDescent="0.25">
      <c r="A6860" t="str">
        <f>""</f>
        <v/>
      </c>
      <c r="B6860" s="1"/>
      <c r="H6860">
        <v>29.89</v>
      </c>
      <c r="L6860" s="1"/>
      <c r="N6860" s="1"/>
      <c r="V6860" t="str">
        <f>"44240"</f>
        <v>44240</v>
      </c>
      <c r="W6860">
        <v>0</v>
      </c>
      <c r="X6860">
        <v>0</v>
      </c>
    </row>
    <row r="6861" spans="1:24" ht="15" customHeight="1" x14ac:dyDescent="0.25">
      <c r="A6861" t="str">
        <f>""</f>
        <v/>
      </c>
      <c r="B6861" s="1"/>
      <c r="J6861" t="s">
        <v>20</v>
      </c>
      <c r="L6861" s="1"/>
      <c r="N6861" s="1"/>
      <c r="V6861" t="str">
        <f>"94700"</f>
        <v>94700</v>
      </c>
      <c r="W6861">
        <v>0</v>
      </c>
      <c r="X6861">
        <v>0</v>
      </c>
    </row>
    <row r="6862" spans="1:24" ht="15" customHeight="1" x14ac:dyDescent="0.25">
      <c r="A6862" t="str">
        <f>""</f>
        <v/>
      </c>
      <c r="B6862" s="1"/>
      <c r="H6862">
        <v>324.41000000000003</v>
      </c>
      <c r="J6862" t="s">
        <v>20</v>
      </c>
      <c r="L6862" s="1"/>
      <c r="N6862" s="1"/>
      <c r="V6862" t="str">
        <f>"75019"</f>
        <v>75019</v>
      </c>
      <c r="W6862">
        <v>0</v>
      </c>
      <c r="X6862">
        <v>0</v>
      </c>
    </row>
    <row r="6863" spans="1:24" ht="15" customHeight="1" x14ac:dyDescent="0.25">
      <c r="A6863" t="str">
        <f>""</f>
        <v/>
      </c>
      <c r="B6863" s="1"/>
      <c r="H6863">
        <v>220</v>
      </c>
      <c r="J6863" t="s">
        <v>19</v>
      </c>
      <c r="L6863" s="1"/>
      <c r="N6863" s="1"/>
      <c r="V6863" t="str">
        <f>"06190"</f>
        <v>06190</v>
      </c>
      <c r="W6863">
        <v>66</v>
      </c>
      <c r="X6863">
        <v>0</v>
      </c>
    </row>
    <row r="6864" spans="1:24" ht="15" customHeight="1" x14ac:dyDescent="0.25">
      <c r="A6864" t="str">
        <f>""</f>
        <v/>
      </c>
      <c r="B6864" s="1"/>
      <c r="H6864">
        <v>138.12</v>
      </c>
      <c r="J6864" t="s">
        <v>20</v>
      </c>
      <c r="L6864" s="1"/>
      <c r="N6864" s="1"/>
      <c r="V6864" t="str">
        <f>"12000"</f>
        <v>12000</v>
      </c>
      <c r="W6864">
        <v>30.39</v>
      </c>
      <c r="X6864">
        <v>0</v>
      </c>
    </row>
    <row r="6865" spans="1:24" ht="15" customHeight="1" x14ac:dyDescent="0.25">
      <c r="A6865" t="str">
        <f>""</f>
        <v/>
      </c>
      <c r="B6865" s="1"/>
      <c r="H6865">
        <v>28.62</v>
      </c>
      <c r="J6865" t="s">
        <v>20</v>
      </c>
      <c r="L6865" s="1"/>
      <c r="N6865" s="1"/>
      <c r="V6865" t="str">
        <f>"69007"</f>
        <v>69007</v>
      </c>
      <c r="W6865">
        <v>7.73</v>
      </c>
      <c r="X6865">
        <v>0</v>
      </c>
    </row>
    <row r="6866" spans="1:24" ht="15" customHeight="1" x14ac:dyDescent="0.25">
      <c r="A6866" t="str">
        <f>""</f>
        <v/>
      </c>
      <c r="B6866" s="1"/>
      <c r="H6866">
        <v>149.79</v>
      </c>
      <c r="J6866" t="s">
        <v>19</v>
      </c>
      <c r="L6866" s="1"/>
      <c r="N6866" s="1"/>
      <c r="V6866" t="str">
        <f>"34500"</f>
        <v>34500</v>
      </c>
      <c r="W6866">
        <v>58.42</v>
      </c>
      <c r="X6866">
        <v>0</v>
      </c>
    </row>
    <row r="6867" spans="1:24" ht="15" customHeight="1" x14ac:dyDescent="0.25">
      <c r="A6867" t="str">
        <f>""</f>
        <v/>
      </c>
      <c r="B6867" s="1"/>
      <c r="H6867">
        <v>149.79</v>
      </c>
      <c r="J6867" t="s">
        <v>19</v>
      </c>
      <c r="L6867" s="1"/>
      <c r="N6867" s="1"/>
      <c r="V6867" t="str">
        <f>"34500"</f>
        <v>34500</v>
      </c>
      <c r="W6867">
        <v>58.42</v>
      </c>
      <c r="X6867">
        <v>0</v>
      </c>
    </row>
    <row r="6868" spans="1:24" ht="15" customHeight="1" x14ac:dyDescent="0.25">
      <c r="A6868" t="str">
        <f>""</f>
        <v/>
      </c>
      <c r="B6868" s="1"/>
      <c r="H6868">
        <v>136.91999999999999</v>
      </c>
      <c r="J6868" t="s">
        <v>19</v>
      </c>
      <c r="L6868" s="1"/>
      <c r="N6868" s="1"/>
      <c r="V6868" t="str">
        <f>"74190"</f>
        <v>74190</v>
      </c>
      <c r="W6868">
        <v>36.97</v>
      </c>
      <c r="X6868">
        <v>0</v>
      </c>
    </row>
    <row r="6869" spans="1:24" ht="15" customHeight="1" x14ac:dyDescent="0.25">
      <c r="A6869" t="str">
        <f>""</f>
        <v/>
      </c>
      <c r="B6869" s="1"/>
      <c r="H6869">
        <v>107.6</v>
      </c>
      <c r="J6869" t="s">
        <v>20</v>
      </c>
      <c r="L6869" s="1"/>
      <c r="N6869" s="1"/>
      <c r="V6869" t="str">
        <f>"75014"</f>
        <v>75014</v>
      </c>
      <c r="W6869">
        <v>0</v>
      </c>
      <c r="X6869">
        <v>0</v>
      </c>
    </row>
    <row r="6870" spans="1:24" ht="15" customHeight="1" x14ac:dyDescent="0.25">
      <c r="A6870" t="str">
        <f>""</f>
        <v/>
      </c>
      <c r="B6870" s="1"/>
      <c r="H6870">
        <v>107.6</v>
      </c>
      <c r="J6870" t="s">
        <v>19</v>
      </c>
      <c r="L6870" s="1"/>
      <c r="N6870" s="1"/>
      <c r="V6870" t="str">
        <f>"75014"</f>
        <v>75014</v>
      </c>
      <c r="W6870">
        <v>0</v>
      </c>
      <c r="X6870">
        <v>0</v>
      </c>
    </row>
    <row r="6871" spans="1:24" ht="15" customHeight="1" x14ac:dyDescent="0.25">
      <c r="A6871" t="str">
        <f>""</f>
        <v/>
      </c>
      <c r="B6871" s="1"/>
      <c r="H6871">
        <v>126.65</v>
      </c>
      <c r="J6871" t="s">
        <v>20</v>
      </c>
      <c r="L6871" s="1"/>
      <c r="N6871" s="1"/>
      <c r="V6871" t="str">
        <f>"56300"</f>
        <v>56300</v>
      </c>
      <c r="W6871">
        <v>34.200000000000003</v>
      </c>
      <c r="X6871">
        <v>0</v>
      </c>
    </row>
    <row r="6872" spans="1:24" ht="15" customHeight="1" x14ac:dyDescent="0.25">
      <c r="A6872" t="str">
        <f>""</f>
        <v/>
      </c>
      <c r="B6872" s="1"/>
      <c r="H6872">
        <v>53.38</v>
      </c>
      <c r="J6872" t="s">
        <v>19</v>
      </c>
      <c r="L6872" s="1"/>
      <c r="N6872" s="1"/>
      <c r="V6872" t="str">
        <f>"75014"</f>
        <v>75014</v>
      </c>
      <c r="W6872">
        <v>0</v>
      </c>
      <c r="X6872">
        <v>0</v>
      </c>
    </row>
    <row r="6873" spans="1:24" ht="15" customHeight="1" x14ac:dyDescent="0.25">
      <c r="A6873" t="str">
        <f>""</f>
        <v/>
      </c>
      <c r="B6873" s="1"/>
      <c r="H6873">
        <v>75.34</v>
      </c>
      <c r="J6873" t="s">
        <v>20</v>
      </c>
      <c r="L6873" s="1"/>
      <c r="N6873" s="1"/>
      <c r="V6873" t="str">
        <f>"54700"</f>
        <v>54700</v>
      </c>
      <c r="W6873">
        <v>18.84</v>
      </c>
      <c r="X6873">
        <v>0</v>
      </c>
    </row>
    <row r="6874" spans="1:24" ht="15" customHeight="1" x14ac:dyDescent="0.25">
      <c r="A6874" t="str">
        <f>""</f>
        <v/>
      </c>
      <c r="B6874" s="1"/>
      <c r="H6874">
        <v>59.27</v>
      </c>
      <c r="L6874" s="1"/>
      <c r="N6874" s="1"/>
      <c r="V6874" t="str">
        <f>"44240"</f>
        <v>44240</v>
      </c>
      <c r="W6874">
        <v>0</v>
      </c>
      <c r="X6874">
        <v>0</v>
      </c>
    </row>
    <row r="6875" spans="1:24" x14ac:dyDescent="0.25">
      <c r="A6875" t="str">
        <f>""</f>
        <v/>
      </c>
      <c r="B6875" s="1"/>
      <c r="H6875">
        <v>171.28</v>
      </c>
      <c r="J6875" t="s">
        <v>18</v>
      </c>
      <c r="L6875" s="1"/>
      <c r="N6875" s="1"/>
      <c r="V6875" t="str">
        <f>"35220"</f>
        <v>35220</v>
      </c>
      <c r="W6875">
        <v>0</v>
      </c>
      <c r="X6875">
        <v>0</v>
      </c>
    </row>
    <row r="6876" spans="1:24" ht="15" customHeight="1" x14ac:dyDescent="0.25">
      <c r="A6876" t="str">
        <f>""</f>
        <v/>
      </c>
      <c r="B6876" s="1"/>
      <c r="H6876">
        <v>183.98</v>
      </c>
      <c r="J6876" t="s">
        <v>20</v>
      </c>
      <c r="L6876" s="1"/>
      <c r="N6876" s="1"/>
      <c r="V6876" t="str">
        <f>"11100"</f>
        <v>11100</v>
      </c>
      <c r="W6876">
        <v>71.75</v>
      </c>
      <c r="X6876">
        <v>0</v>
      </c>
    </row>
    <row r="6877" spans="1:24" ht="15" customHeight="1" x14ac:dyDescent="0.25">
      <c r="A6877" t="str">
        <f>""</f>
        <v/>
      </c>
      <c r="B6877" s="1"/>
      <c r="H6877">
        <v>156.57</v>
      </c>
      <c r="J6877" t="s">
        <v>19</v>
      </c>
      <c r="L6877" s="1"/>
      <c r="N6877" s="1"/>
      <c r="V6877" t="str">
        <f>"14000"</f>
        <v>14000</v>
      </c>
      <c r="W6877">
        <v>26.62</v>
      </c>
      <c r="X6877">
        <v>0</v>
      </c>
    </row>
    <row r="6878" spans="1:24" ht="15" customHeight="1" x14ac:dyDescent="0.25">
      <c r="A6878" t="str">
        <f>""</f>
        <v/>
      </c>
      <c r="B6878" s="1"/>
      <c r="H6878">
        <v>19.649999999999999</v>
      </c>
      <c r="J6878" t="s">
        <v>19</v>
      </c>
      <c r="L6878" s="1"/>
      <c r="N6878" s="1"/>
      <c r="V6878" t="str">
        <f t="shared" ref="V6878:V6884" si="21">"75014"</f>
        <v>75014</v>
      </c>
      <c r="W6878">
        <v>0</v>
      </c>
      <c r="X6878">
        <v>0</v>
      </c>
    </row>
    <row r="6879" spans="1:24" ht="15" customHeight="1" x14ac:dyDescent="0.25">
      <c r="A6879" t="str">
        <f>""</f>
        <v/>
      </c>
      <c r="B6879" s="1"/>
      <c r="H6879">
        <v>137.59</v>
      </c>
      <c r="J6879" t="s">
        <v>19</v>
      </c>
      <c r="L6879" s="1"/>
      <c r="N6879" s="1"/>
      <c r="V6879" t="str">
        <f t="shared" si="21"/>
        <v>75014</v>
      </c>
      <c r="W6879">
        <v>0</v>
      </c>
      <c r="X6879">
        <v>0</v>
      </c>
    </row>
    <row r="6880" spans="1:24" ht="15" customHeight="1" x14ac:dyDescent="0.25">
      <c r="A6880" t="str">
        <f>""</f>
        <v/>
      </c>
      <c r="B6880" s="1"/>
      <c r="H6880">
        <v>19.649999999999999</v>
      </c>
      <c r="J6880" t="s">
        <v>19</v>
      </c>
      <c r="L6880" s="1"/>
      <c r="N6880" s="1"/>
      <c r="V6880" t="str">
        <f t="shared" si="21"/>
        <v>75014</v>
      </c>
      <c r="W6880">
        <v>0</v>
      </c>
      <c r="X6880">
        <v>0</v>
      </c>
    </row>
    <row r="6881" spans="1:24" ht="15" customHeight="1" x14ac:dyDescent="0.25">
      <c r="A6881" t="str">
        <f>""</f>
        <v/>
      </c>
      <c r="B6881" s="1"/>
      <c r="H6881">
        <v>19.649999999999999</v>
      </c>
      <c r="J6881" t="s">
        <v>19</v>
      </c>
      <c r="L6881" s="1"/>
      <c r="N6881" s="1"/>
      <c r="V6881" t="str">
        <f t="shared" si="21"/>
        <v>75014</v>
      </c>
      <c r="W6881">
        <v>0</v>
      </c>
      <c r="X6881">
        <v>0</v>
      </c>
    </row>
    <row r="6882" spans="1:24" ht="15" customHeight="1" x14ac:dyDescent="0.25">
      <c r="A6882" t="str">
        <f>""</f>
        <v/>
      </c>
      <c r="B6882" s="1"/>
      <c r="H6882">
        <v>19.649999999999999</v>
      </c>
      <c r="J6882" t="s">
        <v>19</v>
      </c>
      <c r="L6882" s="1"/>
      <c r="N6882" s="1"/>
      <c r="V6882" t="str">
        <f t="shared" si="21"/>
        <v>75014</v>
      </c>
      <c r="W6882">
        <v>0</v>
      </c>
      <c r="X6882">
        <v>0</v>
      </c>
    </row>
    <row r="6883" spans="1:24" ht="15" customHeight="1" x14ac:dyDescent="0.25">
      <c r="A6883" t="str">
        <f>""</f>
        <v/>
      </c>
      <c r="B6883" s="1"/>
      <c r="H6883">
        <v>19.649999999999999</v>
      </c>
      <c r="J6883" t="s">
        <v>19</v>
      </c>
      <c r="L6883" s="1"/>
      <c r="N6883" s="1"/>
      <c r="V6883" t="str">
        <f t="shared" si="21"/>
        <v>75014</v>
      </c>
      <c r="W6883">
        <v>0</v>
      </c>
      <c r="X6883">
        <v>0</v>
      </c>
    </row>
    <row r="6884" spans="1:24" ht="15" customHeight="1" x14ac:dyDescent="0.25">
      <c r="A6884" t="str">
        <f>""</f>
        <v/>
      </c>
      <c r="B6884" s="1"/>
      <c r="H6884">
        <v>19.649999999999999</v>
      </c>
      <c r="J6884" t="s">
        <v>19</v>
      </c>
      <c r="L6884" s="1"/>
      <c r="N6884" s="1"/>
      <c r="V6884" t="str">
        <f t="shared" si="21"/>
        <v>75014</v>
      </c>
      <c r="W6884">
        <v>0</v>
      </c>
      <c r="X6884">
        <v>0</v>
      </c>
    </row>
    <row r="6885" spans="1:24" ht="15" customHeight="1" x14ac:dyDescent="0.25">
      <c r="A6885" t="str">
        <f>""</f>
        <v/>
      </c>
      <c r="B6885" s="1"/>
      <c r="H6885">
        <v>156.96</v>
      </c>
      <c r="J6885" t="s">
        <v>19</v>
      </c>
      <c r="L6885" s="1"/>
      <c r="N6885" s="1"/>
      <c r="V6885" t="str">
        <f>"14000"</f>
        <v>14000</v>
      </c>
      <c r="W6885">
        <v>26.68</v>
      </c>
      <c r="X6885">
        <v>0</v>
      </c>
    </row>
    <row r="6886" spans="1:24" ht="15" customHeight="1" x14ac:dyDescent="0.25">
      <c r="A6886" t="str">
        <f>""</f>
        <v/>
      </c>
      <c r="B6886" s="1"/>
      <c r="H6886">
        <v>67.25</v>
      </c>
      <c r="J6886" t="s">
        <v>20</v>
      </c>
      <c r="L6886" s="1"/>
      <c r="N6886" s="1"/>
      <c r="V6886" t="str">
        <f>"57690"</f>
        <v>57690</v>
      </c>
      <c r="W6886">
        <v>16.809999999999999</v>
      </c>
      <c r="X6886">
        <v>0</v>
      </c>
    </row>
    <row r="6887" spans="1:24" ht="15" customHeight="1" x14ac:dyDescent="0.25">
      <c r="A6887" t="str">
        <f>""</f>
        <v/>
      </c>
      <c r="B6887" s="1"/>
      <c r="H6887">
        <v>80.400000000000006</v>
      </c>
      <c r="J6887" t="s">
        <v>23</v>
      </c>
      <c r="L6887" s="1"/>
      <c r="V6887" t="str">
        <f>"75010"</f>
        <v>75010</v>
      </c>
      <c r="W6887">
        <v>0</v>
      </c>
      <c r="X6887">
        <v>0</v>
      </c>
    </row>
    <row r="6888" spans="1:24" ht="15" customHeight="1" x14ac:dyDescent="0.25">
      <c r="A6888" t="str">
        <f>""</f>
        <v/>
      </c>
      <c r="B6888" s="1"/>
      <c r="H6888">
        <v>120.29</v>
      </c>
      <c r="J6888" t="s">
        <v>20</v>
      </c>
      <c r="L6888" s="1"/>
      <c r="N6888" s="1"/>
      <c r="V6888" t="str">
        <f>"63820"</f>
        <v>63820</v>
      </c>
      <c r="W6888">
        <v>34.880000000000003</v>
      </c>
      <c r="X6888">
        <v>0</v>
      </c>
    </row>
    <row r="6889" spans="1:24" ht="15" customHeight="1" x14ac:dyDescent="0.25">
      <c r="A6889" t="str">
        <f>""</f>
        <v/>
      </c>
      <c r="B6889" s="1"/>
      <c r="H6889">
        <v>120.29</v>
      </c>
      <c r="J6889" t="s">
        <v>20</v>
      </c>
      <c r="L6889" s="1"/>
      <c r="N6889" s="1"/>
      <c r="V6889" t="str">
        <f>"60230"</f>
        <v>60230</v>
      </c>
      <c r="W6889">
        <v>22.86</v>
      </c>
      <c r="X6889">
        <v>0</v>
      </c>
    </row>
    <row r="6890" spans="1:24" ht="15" customHeight="1" x14ac:dyDescent="0.25">
      <c r="A6890" t="str">
        <f>""</f>
        <v/>
      </c>
      <c r="B6890" s="1"/>
      <c r="H6890">
        <v>31</v>
      </c>
      <c r="L6890" s="1"/>
      <c r="N6890" s="1"/>
      <c r="V6890" t="str">
        <f>"77184"</f>
        <v>77184</v>
      </c>
      <c r="W6890">
        <v>0</v>
      </c>
      <c r="X6890">
        <v>0</v>
      </c>
    </row>
    <row r="6891" spans="1:24" ht="15" customHeight="1" x14ac:dyDescent="0.25">
      <c r="A6891" t="str">
        <f>""</f>
        <v/>
      </c>
      <c r="B6891" s="1"/>
      <c r="H6891">
        <v>32.65</v>
      </c>
      <c r="L6891" s="1"/>
      <c r="N6891" s="1"/>
      <c r="V6891" t="str">
        <f>"77184"</f>
        <v>77184</v>
      </c>
      <c r="W6891">
        <v>0</v>
      </c>
      <c r="X6891">
        <v>0</v>
      </c>
    </row>
    <row r="6892" spans="1:24" ht="15" customHeight="1" x14ac:dyDescent="0.25">
      <c r="A6892" t="str">
        <f>""</f>
        <v/>
      </c>
      <c r="B6892" s="1"/>
      <c r="H6892">
        <v>148.78</v>
      </c>
      <c r="J6892" t="s">
        <v>19</v>
      </c>
      <c r="L6892" s="1"/>
      <c r="N6892" s="1"/>
      <c r="V6892" t="str">
        <f>"75010"</f>
        <v>75010</v>
      </c>
      <c r="W6892">
        <v>0</v>
      </c>
      <c r="X6892">
        <v>0</v>
      </c>
    </row>
    <row r="6893" spans="1:24" ht="15" customHeight="1" x14ac:dyDescent="0.25">
      <c r="A6893" t="str">
        <f>""</f>
        <v/>
      </c>
      <c r="B6893" s="1"/>
      <c r="H6893">
        <v>5.12</v>
      </c>
      <c r="J6893" t="s">
        <v>19</v>
      </c>
      <c r="L6893" s="1"/>
      <c r="N6893" s="1"/>
      <c r="V6893" t="str">
        <f>"69007"</f>
        <v>69007</v>
      </c>
      <c r="W6893">
        <v>1.38</v>
      </c>
      <c r="X6893">
        <v>0</v>
      </c>
    </row>
    <row r="6894" spans="1:24" ht="15" customHeight="1" x14ac:dyDescent="0.25">
      <c r="A6894" t="str">
        <f>""</f>
        <v/>
      </c>
      <c r="B6894" s="1"/>
      <c r="H6894">
        <v>149.63</v>
      </c>
      <c r="J6894" t="s">
        <v>20</v>
      </c>
      <c r="L6894" s="1"/>
      <c r="N6894" s="1"/>
      <c r="V6894" t="str">
        <f>"84120"</f>
        <v>84120</v>
      </c>
      <c r="W6894">
        <v>43.39</v>
      </c>
      <c r="X6894">
        <v>0</v>
      </c>
    </row>
    <row r="6895" spans="1:24" ht="15" customHeight="1" x14ac:dyDescent="0.25">
      <c r="A6895" t="str">
        <f>""</f>
        <v/>
      </c>
      <c r="B6895" s="1"/>
      <c r="H6895">
        <v>31.6</v>
      </c>
      <c r="L6895" s="1"/>
      <c r="N6895" s="1"/>
      <c r="V6895" t="str">
        <f>"77184"</f>
        <v>77184</v>
      </c>
      <c r="W6895">
        <v>0</v>
      </c>
      <c r="X6895">
        <v>0</v>
      </c>
    </row>
    <row r="6896" spans="1:24" ht="15" customHeight="1" x14ac:dyDescent="0.25">
      <c r="A6896" t="str">
        <f>""</f>
        <v/>
      </c>
      <c r="B6896" s="1"/>
      <c r="H6896">
        <v>184.02</v>
      </c>
      <c r="J6896" t="s">
        <v>19</v>
      </c>
      <c r="L6896" s="1"/>
      <c r="N6896" s="1"/>
      <c r="V6896" t="str">
        <f>"49130"</f>
        <v>49130</v>
      </c>
      <c r="W6896">
        <v>49.69</v>
      </c>
      <c r="X6896">
        <v>0</v>
      </c>
    </row>
    <row r="6897" spans="1:24" ht="15" customHeight="1" x14ac:dyDescent="0.25">
      <c r="A6897" t="str">
        <f>""</f>
        <v/>
      </c>
      <c r="B6897" s="1"/>
      <c r="H6897">
        <v>86.54</v>
      </c>
      <c r="J6897" t="s">
        <v>20</v>
      </c>
      <c r="L6897" s="1"/>
      <c r="N6897" s="1"/>
      <c r="V6897" t="str">
        <f>"75009"</f>
        <v>75009</v>
      </c>
      <c r="W6897">
        <v>0</v>
      </c>
      <c r="X6897">
        <v>0</v>
      </c>
    </row>
    <row r="6898" spans="1:24" ht="15" customHeight="1" x14ac:dyDescent="0.25">
      <c r="A6898" t="str">
        <f>""</f>
        <v/>
      </c>
      <c r="B6898" s="1"/>
      <c r="H6898">
        <v>28.26</v>
      </c>
      <c r="J6898" t="s">
        <v>19</v>
      </c>
      <c r="L6898" s="1"/>
      <c r="N6898" s="1"/>
      <c r="V6898" t="str">
        <f>"77290"</f>
        <v>77290</v>
      </c>
      <c r="W6898">
        <v>0</v>
      </c>
      <c r="X6898">
        <v>0</v>
      </c>
    </row>
    <row r="6899" spans="1:24" ht="15" customHeight="1" x14ac:dyDescent="0.25">
      <c r="A6899" t="str">
        <f>""</f>
        <v/>
      </c>
      <c r="B6899" s="1"/>
      <c r="H6899">
        <v>5.12</v>
      </c>
      <c r="J6899" t="s">
        <v>19</v>
      </c>
      <c r="L6899" s="1"/>
      <c r="N6899" s="1"/>
      <c r="V6899" t="str">
        <f>"59150"</f>
        <v>59150</v>
      </c>
      <c r="W6899">
        <v>0.97</v>
      </c>
      <c r="X6899">
        <v>0</v>
      </c>
    </row>
    <row r="6900" spans="1:24" ht="15" customHeight="1" x14ac:dyDescent="0.25">
      <c r="A6900" t="str">
        <f>""</f>
        <v/>
      </c>
      <c r="B6900" s="1"/>
      <c r="H6900">
        <v>180</v>
      </c>
      <c r="J6900" t="s">
        <v>22</v>
      </c>
      <c r="L6900" s="1"/>
      <c r="N6900" s="1"/>
      <c r="V6900" t="str">
        <f>"34500"</f>
        <v>34500</v>
      </c>
      <c r="W6900">
        <v>0</v>
      </c>
      <c r="X6900">
        <v>50.4</v>
      </c>
    </row>
    <row r="6901" spans="1:24" ht="15" customHeight="1" x14ac:dyDescent="0.25">
      <c r="A6901" t="str">
        <f>""</f>
        <v/>
      </c>
      <c r="B6901" s="1"/>
      <c r="H6901">
        <v>140</v>
      </c>
      <c r="J6901" t="s">
        <v>22</v>
      </c>
      <c r="L6901" s="1"/>
      <c r="N6901" s="1"/>
      <c r="V6901" t="str">
        <f>"34500"</f>
        <v>34500</v>
      </c>
      <c r="W6901">
        <v>0</v>
      </c>
      <c r="X6901">
        <v>39.200000000000003</v>
      </c>
    </row>
    <row r="6902" spans="1:24" x14ac:dyDescent="0.25">
      <c r="A6902" t="str">
        <f>""</f>
        <v/>
      </c>
      <c r="B6902" s="1"/>
      <c r="H6902">
        <v>250</v>
      </c>
      <c r="J6902" t="s">
        <v>16</v>
      </c>
      <c r="L6902" s="1"/>
      <c r="N6902" s="1"/>
      <c r="V6902" t="str">
        <f>"75010"</f>
        <v>75010</v>
      </c>
      <c r="W6902">
        <v>0</v>
      </c>
      <c r="X6902">
        <v>42.5</v>
      </c>
    </row>
    <row r="6903" spans="1:24" ht="15" customHeight="1" x14ac:dyDescent="0.25">
      <c r="A6903" t="str">
        <f>""</f>
        <v/>
      </c>
      <c r="B6903" s="1"/>
      <c r="H6903">
        <v>83.05</v>
      </c>
      <c r="J6903" t="s">
        <v>23</v>
      </c>
      <c r="L6903" s="1"/>
      <c r="V6903" t="str">
        <f>"38400"</f>
        <v>38400</v>
      </c>
      <c r="W6903">
        <v>0</v>
      </c>
      <c r="X6903">
        <v>0</v>
      </c>
    </row>
    <row r="6904" spans="1:24" ht="15" customHeight="1" x14ac:dyDescent="0.25">
      <c r="A6904" t="str">
        <f>""</f>
        <v/>
      </c>
      <c r="B6904" s="1"/>
      <c r="H6904">
        <v>19.649999999999999</v>
      </c>
      <c r="J6904" t="s">
        <v>20</v>
      </c>
      <c r="L6904" s="1"/>
      <c r="N6904" s="1"/>
      <c r="V6904" t="str">
        <f>"84300"</f>
        <v>84300</v>
      </c>
      <c r="W6904">
        <v>5.7</v>
      </c>
      <c r="X6904">
        <v>0</v>
      </c>
    </row>
    <row r="6905" spans="1:24" ht="15" customHeight="1" x14ac:dyDescent="0.25">
      <c r="A6905" t="str">
        <f>""</f>
        <v/>
      </c>
      <c r="B6905" s="1"/>
      <c r="H6905">
        <v>55.34</v>
      </c>
      <c r="J6905" t="s">
        <v>20</v>
      </c>
      <c r="L6905" s="1"/>
      <c r="N6905" s="1"/>
      <c r="V6905" t="str">
        <f>"37600"</f>
        <v>37600</v>
      </c>
      <c r="W6905">
        <v>11.62</v>
      </c>
      <c r="X6905">
        <v>0</v>
      </c>
    </row>
    <row r="6906" spans="1:24" ht="15" customHeight="1" x14ac:dyDescent="0.25">
      <c r="A6906" t="str">
        <f>""</f>
        <v/>
      </c>
      <c r="B6906" s="1"/>
      <c r="H6906">
        <v>8.36</v>
      </c>
      <c r="J6906" t="s">
        <v>20</v>
      </c>
      <c r="L6906" s="1"/>
      <c r="N6906" s="1"/>
      <c r="V6906" t="str">
        <f>"79100"</f>
        <v>79100</v>
      </c>
      <c r="W6906">
        <v>1.76</v>
      </c>
      <c r="X6906">
        <v>0</v>
      </c>
    </row>
    <row r="6907" spans="1:24" ht="15" customHeight="1" x14ac:dyDescent="0.25">
      <c r="A6907" t="str">
        <f>""</f>
        <v/>
      </c>
      <c r="B6907" s="1"/>
      <c r="H6907">
        <v>83</v>
      </c>
      <c r="J6907" t="s">
        <v>20</v>
      </c>
      <c r="L6907" s="1"/>
      <c r="N6907" s="1"/>
      <c r="V6907" t="str">
        <f>"13200"</f>
        <v>13200</v>
      </c>
      <c r="W6907">
        <v>24.07</v>
      </c>
      <c r="X6907">
        <v>0</v>
      </c>
    </row>
    <row r="6908" spans="1:24" ht="15" customHeight="1" x14ac:dyDescent="0.25">
      <c r="A6908" t="str">
        <f>""</f>
        <v/>
      </c>
      <c r="B6908" s="1"/>
      <c r="H6908">
        <v>33.35</v>
      </c>
      <c r="J6908" t="s">
        <v>20</v>
      </c>
      <c r="L6908" s="1"/>
      <c r="N6908" s="1"/>
      <c r="V6908" t="str">
        <f>"60100"</f>
        <v>60100</v>
      </c>
      <c r="W6908">
        <v>6.34</v>
      </c>
      <c r="X6908">
        <v>0</v>
      </c>
    </row>
    <row r="6909" spans="1:24" ht="15" customHeight="1" x14ac:dyDescent="0.25">
      <c r="A6909" t="str">
        <f>""</f>
        <v/>
      </c>
      <c r="B6909" s="1"/>
      <c r="H6909">
        <v>72.400000000000006</v>
      </c>
      <c r="J6909" t="s">
        <v>20</v>
      </c>
      <c r="L6909" s="1"/>
      <c r="N6909" s="1"/>
      <c r="V6909" t="str">
        <f>"59156"</f>
        <v>59156</v>
      </c>
      <c r="W6909">
        <v>13.76</v>
      </c>
      <c r="X6909">
        <v>0</v>
      </c>
    </row>
    <row r="6910" spans="1:24" ht="15" customHeight="1" x14ac:dyDescent="0.25">
      <c r="A6910" t="str">
        <f>""</f>
        <v/>
      </c>
      <c r="B6910" s="1"/>
      <c r="H6910">
        <v>55.14</v>
      </c>
      <c r="J6910" t="s">
        <v>19</v>
      </c>
      <c r="L6910" s="1"/>
      <c r="N6910" s="1"/>
      <c r="V6910" t="str">
        <f>"75010"</f>
        <v>75010</v>
      </c>
      <c r="W6910">
        <v>0</v>
      </c>
      <c r="X6910">
        <v>0</v>
      </c>
    </row>
    <row r="6911" spans="1:24" ht="15" customHeight="1" x14ac:dyDescent="0.25">
      <c r="A6911" t="str">
        <f>""</f>
        <v/>
      </c>
      <c r="B6911" s="1"/>
      <c r="H6911">
        <v>139.19999999999999</v>
      </c>
      <c r="J6911" t="s">
        <v>20</v>
      </c>
      <c r="L6911" s="1"/>
      <c r="N6911" s="1"/>
      <c r="V6911" t="str">
        <f>"92816"</f>
        <v>92816</v>
      </c>
      <c r="W6911">
        <v>0</v>
      </c>
      <c r="X6911">
        <v>0</v>
      </c>
    </row>
    <row r="6912" spans="1:24" ht="15" customHeight="1" x14ac:dyDescent="0.25">
      <c r="A6912" t="str">
        <f>""</f>
        <v/>
      </c>
      <c r="B6912" s="1"/>
      <c r="H6912">
        <v>18.350000000000001</v>
      </c>
      <c r="J6912" t="s">
        <v>20</v>
      </c>
      <c r="L6912" s="1"/>
      <c r="N6912" s="1"/>
      <c r="V6912" t="str">
        <f>"37000"</f>
        <v>37000</v>
      </c>
      <c r="W6912">
        <v>3.85</v>
      </c>
      <c r="X6912">
        <v>0</v>
      </c>
    </row>
    <row r="6913" spans="1:24" ht="15" customHeight="1" x14ac:dyDescent="0.25">
      <c r="A6913" t="str">
        <f>""</f>
        <v/>
      </c>
      <c r="B6913" s="1"/>
      <c r="H6913">
        <v>55.34</v>
      </c>
      <c r="J6913" t="s">
        <v>19</v>
      </c>
      <c r="L6913" s="1"/>
      <c r="N6913" s="1"/>
      <c r="V6913" t="str">
        <f>"14150"</f>
        <v>14150</v>
      </c>
      <c r="W6913">
        <v>9.41</v>
      </c>
      <c r="X6913">
        <v>0</v>
      </c>
    </row>
    <row r="6914" spans="1:24" ht="15" customHeight="1" x14ac:dyDescent="0.25">
      <c r="A6914" t="str">
        <f>""</f>
        <v/>
      </c>
      <c r="B6914" s="1"/>
      <c r="H6914">
        <v>199.78</v>
      </c>
      <c r="J6914" t="s">
        <v>19</v>
      </c>
      <c r="L6914" s="1"/>
      <c r="N6914" s="1"/>
      <c r="V6914" t="str">
        <f>"14150"</f>
        <v>14150</v>
      </c>
      <c r="W6914">
        <v>33.96</v>
      </c>
      <c r="X6914">
        <v>0</v>
      </c>
    </row>
    <row r="6915" spans="1:24" ht="15" customHeight="1" x14ac:dyDescent="0.25">
      <c r="A6915" t="str">
        <f>""</f>
        <v/>
      </c>
      <c r="B6915" s="1"/>
      <c r="H6915">
        <v>0.42</v>
      </c>
      <c r="J6915" t="s">
        <v>20</v>
      </c>
      <c r="L6915" s="1"/>
      <c r="N6915" s="1"/>
      <c r="V6915" t="str">
        <f>"25460"</f>
        <v>25460</v>
      </c>
      <c r="W6915">
        <v>0.1</v>
      </c>
      <c r="X6915">
        <v>0</v>
      </c>
    </row>
    <row r="6916" spans="1:24" ht="15" customHeight="1" x14ac:dyDescent="0.25">
      <c r="A6916" t="str">
        <f>""</f>
        <v/>
      </c>
      <c r="B6916" s="1"/>
      <c r="H6916">
        <v>153.44999999999999</v>
      </c>
      <c r="J6916" t="s">
        <v>20</v>
      </c>
      <c r="L6916" s="1"/>
      <c r="N6916" s="1"/>
      <c r="V6916" t="str">
        <f>"74540"</f>
        <v>74540</v>
      </c>
      <c r="W6916">
        <v>41.43</v>
      </c>
      <c r="X6916">
        <v>0</v>
      </c>
    </row>
    <row r="6917" spans="1:24" ht="15" customHeight="1" x14ac:dyDescent="0.25">
      <c r="A6917" t="str">
        <f>""</f>
        <v/>
      </c>
      <c r="B6917" s="1"/>
      <c r="H6917">
        <v>1.23</v>
      </c>
      <c r="J6917" t="s">
        <v>19</v>
      </c>
      <c r="L6917" s="1"/>
      <c r="N6917" s="1"/>
      <c r="V6917" t="str">
        <f>"02000"</f>
        <v>02000</v>
      </c>
      <c r="W6917">
        <v>0.23</v>
      </c>
      <c r="X6917">
        <v>0</v>
      </c>
    </row>
    <row r="6918" spans="1:24" ht="15" customHeight="1" x14ac:dyDescent="0.25">
      <c r="A6918" t="str">
        <f>""</f>
        <v/>
      </c>
      <c r="B6918" s="1"/>
      <c r="H6918">
        <v>94.79</v>
      </c>
      <c r="L6918" s="1"/>
      <c r="N6918" s="1"/>
      <c r="V6918" t="str">
        <f>"44240"</f>
        <v>44240</v>
      </c>
      <c r="W6918">
        <v>0</v>
      </c>
      <c r="X6918">
        <v>0</v>
      </c>
    </row>
    <row r="6919" spans="1:24" ht="15" customHeight="1" x14ac:dyDescent="0.25">
      <c r="A6919" t="str">
        <f>""</f>
        <v/>
      </c>
      <c r="B6919" s="1"/>
      <c r="H6919">
        <v>40</v>
      </c>
      <c r="J6919" t="s">
        <v>23</v>
      </c>
      <c r="L6919" s="1"/>
      <c r="N6919" s="1"/>
      <c r="V6919" t="str">
        <f>"49000"</f>
        <v>49000</v>
      </c>
      <c r="W6919">
        <v>0</v>
      </c>
      <c r="X6919">
        <v>0</v>
      </c>
    </row>
    <row r="6920" spans="1:24" x14ac:dyDescent="0.25">
      <c r="A6920" t="str">
        <f>""</f>
        <v/>
      </c>
      <c r="B6920" s="1"/>
      <c r="H6920">
        <v>40</v>
      </c>
      <c r="J6920" t="s">
        <v>16</v>
      </c>
      <c r="L6920" s="1"/>
      <c r="N6920" s="1"/>
      <c r="V6920" t="str">
        <f>"34430"</f>
        <v>34430</v>
      </c>
      <c r="W6920">
        <v>0</v>
      </c>
      <c r="X6920">
        <v>12</v>
      </c>
    </row>
    <row r="6921" spans="1:24" ht="15" customHeight="1" x14ac:dyDescent="0.25">
      <c r="A6921" t="str">
        <f>""</f>
        <v/>
      </c>
      <c r="B6921" s="1"/>
      <c r="H6921">
        <v>189.93</v>
      </c>
      <c r="J6921" t="s">
        <v>20</v>
      </c>
      <c r="L6921" s="1"/>
      <c r="N6921" s="1"/>
      <c r="V6921" t="str">
        <f>"92400"</f>
        <v>92400</v>
      </c>
      <c r="W6921">
        <v>0</v>
      </c>
      <c r="X6921">
        <v>0</v>
      </c>
    </row>
    <row r="6922" spans="1:24" ht="15" customHeight="1" x14ac:dyDescent="0.25">
      <c r="A6922" t="str">
        <f>""</f>
        <v/>
      </c>
      <c r="B6922" s="1"/>
      <c r="H6922">
        <v>143.25</v>
      </c>
      <c r="J6922" t="s">
        <v>19</v>
      </c>
      <c r="L6922" s="1"/>
      <c r="N6922" s="1"/>
      <c r="V6922" t="str">
        <f>"77550"</f>
        <v>77550</v>
      </c>
      <c r="W6922">
        <v>0</v>
      </c>
      <c r="X6922">
        <v>0</v>
      </c>
    </row>
    <row r="6923" spans="1:24" ht="15" customHeight="1" x14ac:dyDescent="0.25">
      <c r="A6923" t="str">
        <f>""</f>
        <v/>
      </c>
      <c r="B6923" s="1"/>
      <c r="H6923">
        <v>214.6</v>
      </c>
      <c r="J6923" t="s">
        <v>19</v>
      </c>
      <c r="L6923" s="1"/>
      <c r="N6923" s="1"/>
      <c r="V6923" t="str">
        <f>"75015"</f>
        <v>75015</v>
      </c>
      <c r="W6923">
        <v>0</v>
      </c>
      <c r="X6923">
        <v>0</v>
      </c>
    </row>
    <row r="6924" spans="1:24" ht="15" customHeight="1" x14ac:dyDescent="0.25">
      <c r="A6924" t="str">
        <f>""</f>
        <v/>
      </c>
      <c r="B6924" s="1"/>
      <c r="H6924">
        <v>120.29</v>
      </c>
      <c r="J6924" t="s">
        <v>20</v>
      </c>
      <c r="L6924" s="1"/>
      <c r="N6924" s="1"/>
      <c r="V6924" t="str">
        <f>"63100"</f>
        <v>63100</v>
      </c>
      <c r="W6924">
        <v>34.880000000000003</v>
      </c>
      <c r="X6924">
        <v>0</v>
      </c>
    </row>
    <row r="6925" spans="1:24" ht="15" customHeight="1" x14ac:dyDescent="0.25">
      <c r="A6925" t="str">
        <f>""</f>
        <v/>
      </c>
      <c r="B6925" s="1"/>
      <c r="H6925">
        <v>40</v>
      </c>
      <c r="J6925" t="s">
        <v>20</v>
      </c>
      <c r="L6925" s="1"/>
      <c r="N6925" s="1"/>
      <c r="V6925" t="str">
        <f>"13010"</f>
        <v>13010</v>
      </c>
      <c r="W6925">
        <v>11.6</v>
      </c>
      <c r="X6925">
        <v>0</v>
      </c>
    </row>
    <row r="6926" spans="1:24" ht="15" customHeight="1" x14ac:dyDescent="0.25">
      <c r="A6926" t="str">
        <f>""</f>
        <v/>
      </c>
      <c r="B6926" s="1"/>
      <c r="H6926">
        <v>55</v>
      </c>
      <c r="L6926" s="1"/>
      <c r="N6926" s="1"/>
      <c r="V6926" t="str">
        <f>"77184"</f>
        <v>77184</v>
      </c>
      <c r="W6926">
        <v>0</v>
      </c>
      <c r="X6926">
        <v>0</v>
      </c>
    </row>
    <row r="6927" spans="1:24" x14ac:dyDescent="0.25">
      <c r="A6927" t="str">
        <f>""</f>
        <v/>
      </c>
      <c r="B6927" s="1"/>
      <c r="H6927">
        <v>40</v>
      </c>
      <c r="J6927" t="s">
        <v>16</v>
      </c>
      <c r="L6927" s="1"/>
      <c r="V6927" t="str">
        <f>"77184"</f>
        <v>77184</v>
      </c>
      <c r="W6927">
        <v>0</v>
      </c>
      <c r="X6927">
        <v>0</v>
      </c>
    </row>
    <row r="6928" spans="1:24" ht="15" customHeight="1" x14ac:dyDescent="0.25">
      <c r="A6928" t="str">
        <f>""</f>
        <v/>
      </c>
      <c r="B6928" s="1"/>
      <c r="H6928">
        <v>19.8</v>
      </c>
      <c r="J6928" t="s">
        <v>19</v>
      </c>
      <c r="L6928" s="1"/>
      <c r="N6928" s="1"/>
      <c r="V6928" t="str">
        <f>"62500"</f>
        <v>62500</v>
      </c>
      <c r="W6928">
        <v>3.76</v>
      </c>
      <c r="X6928">
        <v>0</v>
      </c>
    </row>
    <row r="6929" spans="1:24" ht="15" customHeight="1" x14ac:dyDescent="0.25">
      <c r="A6929" t="str">
        <f>""</f>
        <v/>
      </c>
      <c r="B6929" s="1"/>
      <c r="H6929">
        <v>40</v>
      </c>
      <c r="J6929" t="s">
        <v>20</v>
      </c>
      <c r="L6929" s="1"/>
      <c r="N6929" s="1"/>
      <c r="V6929" t="str">
        <f>"57600"</f>
        <v>57600</v>
      </c>
      <c r="W6929">
        <v>10</v>
      </c>
      <c r="X6929">
        <v>0</v>
      </c>
    </row>
    <row r="6930" spans="1:24" ht="15" customHeight="1" x14ac:dyDescent="0.25">
      <c r="A6930" t="str">
        <f>""</f>
        <v/>
      </c>
      <c r="B6930" s="1"/>
      <c r="H6930">
        <v>141.65</v>
      </c>
      <c r="J6930" t="s">
        <v>19</v>
      </c>
      <c r="L6930" s="1"/>
      <c r="N6930" s="1"/>
      <c r="V6930" t="str">
        <f>"83170"</f>
        <v>83170</v>
      </c>
      <c r="W6930">
        <v>42.5</v>
      </c>
      <c r="X6930">
        <v>0</v>
      </c>
    </row>
    <row r="6931" spans="1:24" ht="15" customHeight="1" x14ac:dyDescent="0.25">
      <c r="A6931" t="str">
        <f>""</f>
        <v/>
      </c>
      <c r="B6931" s="1"/>
      <c r="H6931">
        <v>168.95</v>
      </c>
      <c r="J6931" t="s">
        <v>20</v>
      </c>
      <c r="L6931" s="1"/>
      <c r="N6931" s="1"/>
      <c r="V6931" t="str">
        <f>"91400"</f>
        <v>91400</v>
      </c>
      <c r="W6931">
        <v>0</v>
      </c>
      <c r="X6931">
        <v>0</v>
      </c>
    </row>
    <row r="6932" spans="1:24" ht="15" customHeight="1" x14ac:dyDescent="0.25">
      <c r="A6932" t="str">
        <f>""</f>
        <v/>
      </c>
      <c r="B6932" s="1"/>
      <c r="H6932">
        <v>150</v>
      </c>
      <c r="J6932" t="s">
        <v>20</v>
      </c>
      <c r="L6932" s="1"/>
      <c r="N6932" s="1"/>
      <c r="V6932" t="str">
        <f>"45000"</f>
        <v>45000</v>
      </c>
      <c r="W6932">
        <v>31.5</v>
      </c>
      <c r="X6932">
        <v>0</v>
      </c>
    </row>
    <row r="6933" spans="1:24" ht="15" customHeight="1" x14ac:dyDescent="0.25">
      <c r="A6933" t="str">
        <f>""</f>
        <v/>
      </c>
      <c r="B6933" s="1"/>
      <c r="H6933">
        <v>668</v>
      </c>
      <c r="J6933" t="s">
        <v>22</v>
      </c>
      <c r="L6933" s="1"/>
      <c r="N6933" s="1"/>
      <c r="V6933" t="str">
        <f>"59000"</f>
        <v>59000</v>
      </c>
      <c r="W6933">
        <v>0</v>
      </c>
      <c r="X6933">
        <v>0</v>
      </c>
    </row>
    <row r="6934" spans="1:24" ht="15" customHeight="1" x14ac:dyDescent="0.25">
      <c r="A6934" t="str">
        <f>""</f>
        <v/>
      </c>
      <c r="B6934" s="1"/>
      <c r="H6934">
        <v>151</v>
      </c>
      <c r="J6934" t="s">
        <v>20</v>
      </c>
      <c r="L6934" s="1"/>
      <c r="N6934" s="1"/>
      <c r="V6934" t="str">
        <f>"92200"</f>
        <v>92200</v>
      </c>
      <c r="W6934">
        <v>0</v>
      </c>
      <c r="X6934">
        <v>0</v>
      </c>
    </row>
    <row r="6935" spans="1:24" ht="15" customHeight="1" x14ac:dyDescent="0.25">
      <c r="A6935" t="str">
        <f>""</f>
        <v/>
      </c>
      <c r="B6935" s="1"/>
      <c r="H6935">
        <v>194</v>
      </c>
      <c r="J6935" t="s">
        <v>22</v>
      </c>
      <c r="L6935" s="1"/>
      <c r="N6935" s="1"/>
      <c r="V6935" t="str">
        <f>"77184"</f>
        <v>77184</v>
      </c>
      <c r="W6935">
        <v>0</v>
      </c>
      <c r="X6935">
        <v>0</v>
      </c>
    </row>
    <row r="6936" spans="1:24" ht="15" customHeight="1" x14ac:dyDescent="0.25">
      <c r="A6936" t="str">
        <f>""</f>
        <v/>
      </c>
      <c r="B6936" s="1"/>
      <c r="H6936">
        <v>53.82</v>
      </c>
      <c r="J6936" t="s">
        <v>19</v>
      </c>
      <c r="L6936" s="1"/>
      <c r="N6936" s="1"/>
      <c r="V6936" t="str">
        <f>"78190"</f>
        <v>78190</v>
      </c>
      <c r="W6936">
        <v>0</v>
      </c>
      <c r="X6936">
        <v>0</v>
      </c>
    </row>
    <row r="6937" spans="1:24" ht="15" customHeight="1" x14ac:dyDescent="0.25">
      <c r="A6937" t="str">
        <f>""</f>
        <v/>
      </c>
      <c r="B6937" s="1"/>
      <c r="H6937">
        <v>33.35</v>
      </c>
      <c r="J6937" t="s">
        <v>19</v>
      </c>
      <c r="L6937" s="1"/>
      <c r="N6937" s="1"/>
      <c r="V6937" t="str">
        <f>"69005"</f>
        <v>69005</v>
      </c>
      <c r="W6937">
        <v>9</v>
      </c>
      <c r="X6937">
        <v>0</v>
      </c>
    </row>
    <row r="6938" spans="1:24" ht="15" customHeight="1" x14ac:dyDescent="0.25">
      <c r="A6938" t="str">
        <f>""</f>
        <v/>
      </c>
      <c r="B6938" s="1"/>
      <c r="H6938">
        <v>33.25</v>
      </c>
      <c r="J6938" t="s">
        <v>19</v>
      </c>
      <c r="L6938" s="1"/>
      <c r="N6938" s="1"/>
      <c r="V6938" t="str">
        <f>"84380"</f>
        <v>84380</v>
      </c>
      <c r="W6938">
        <v>9.64</v>
      </c>
      <c r="X6938">
        <v>0</v>
      </c>
    </row>
    <row r="6939" spans="1:24" ht="15" customHeight="1" x14ac:dyDescent="0.25">
      <c r="A6939" t="str">
        <f>""</f>
        <v/>
      </c>
      <c r="B6939" s="1"/>
      <c r="H6939">
        <v>69.34</v>
      </c>
      <c r="J6939" t="s">
        <v>20</v>
      </c>
      <c r="L6939" s="1"/>
      <c r="N6939" s="1"/>
      <c r="V6939" t="str">
        <f>"14310"</f>
        <v>14310</v>
      </c>
      <c r="W6939">
        <v>11.79</v>
      </c>
      <c r="X6939">
        <v>0</v>
      </c>
    </row>
    <row r="6940" spans="1:24" ht="15" customHeight="1" x14ac:dyDescent="0.25">
      <c r="A6940" t="str">
        <f>""</f>
        <v/>
      </c>
      <c r="B6940" s="1"/>
      <c r="H6940">
        <v>14.6</v>
      </c>
      <c r="J6940" t="s">
        <v>20</v>
      </c>
      <c r="L6940" s="1"/>
      <c r="N6940" s="1"/>
      <c r="V6940" t="str">
        <f>"62000"</f>
        <v>62000</v>
      </c>
      <c r="W6940">
        <v>2.77</v>
      </c>
      <c r="X6940">
        <v>0</v>
      </c>
    </row>
    <row r="6941" spans="1:24" ht="15" customHeight="1" x14ac:dyDescent="0.25">
      <c r="A6941" t="str">
        <f>""</f>
        <v/>
      </c>
      <c r="B6941" s="1"/>
      <c r="H6941">
        <v>1671.25</v>
      </c>
      <c r="J6941" t="s">
        <v>20</v>
      </c>
      <c r="L6941" s="1"/>
      <c r="N6941" s="1"/>
      <c r="V6941" t="str">
        <f>"31150"</f>
        <v>31150</v>
      </c>
      <c r="W6941">
        <v>367.68</v>
      </c>
      <c r="X6941">
        <v>0</v>
      </c>
    </row>
    <row r="6942" spans="1:24" ht="15" customHeight="1" x14ac:dyDescent="0.25">
      <c r="A6942" t="str">
        <f>""</f>
        <v/>
      </c>
      <c r="B6942" s="1"/>
      <c r="H6942">
        <v>40</v>
      </c>
      <c r="J6942" t="s">
        <v>23</v>
      </c>
      <c r="L6942" s="1"/>
      <c r="N6942" s="1"/>
      <c r="V6942" t="str">
        <f>"27400"</f>
        <v>27400</v>
      </c>
      <c r="W6942">
        <v>0</v>
      </c>
      <c r="X6942">
        <v>6.8</v>
      </c>
    </row>
    <row r="6943" spans="1:24" ht="15" customHeight="1" x14ac:dyDescent="0.25">
      <c r="A6943" t="str">
        <f>""</f>
        <v/>
      </c>
      <c r="B6943" s="1"/>
      <c r="H6943">
        <v>36.369999999999997</v>
      </c>
      <c r="J6943" t="s">
        <v>20</v>
      </c>
      <c r="L6943" s="1"/>
      <c r="N6943" s="1"/>
      <c r="V6943" t="str">
        <f>"60617"</f>
        <v>60617</v>
      </c>
      <c r="W6943">
        <v>6.91</v>
      </c>
      <c r="X6943">
        <v>0</v>
      </c>
    </row>
    <row r="6944" spans="1:24" ht="15" customHeight="1" x14ac:dyDescent="0.25">
      <c r="A6944" t="str">
        <f>""</f>
        <v/>
      </c>
      <c r="B6944" s="1"/>
      <c r="H6944">
        <v>290.64999999999998</v>
      </c>
      <c r="J6944" t="s">
        <v>22</v>
      </c>
      <c r="L6944" s="1"/>
      <c r="N6944" s="1"/>
      <c r="V6944" t="str">
        <f>"59287"</f>
        <v>59287</v>
      </c>
      <c r="W6944">
        <v>0</v>
      </c>
      <c r="X6944">
        <v>0</v>
      </c>
    </row>
    <row r="6945" spans="1:24" ht="15" customHeight="1" x14ac:dyDescent="0.25">
      <c r="A6945" t="str">
        <f>""</f>
        <v/>
      </c>
      <c r="B6945" s="1"/>
      <c r="H6945">
        <v>30</v>
      </c>
      <c r="J6945" t="s">
        <v>19</v>
      </c>
      <c r="L6945" s="1"/>
      <c r="N6945" s="1"/>
      <c r="V6945" t="str">
        <f>"92200"</f>
        <v>92200</v>
      </c>
      <c r="W6945">
        <v>0</v>
      </c>
      <c r="X6945">
        <v>0</v>
      </c>
    </row>
    <row r="6946" spans="1:24" ht="15" customHeight="1" x14ac:dyDescent="0.25">
      <c r="A6946" t="str">
        <f>""</f>
        <v/>
      </c>
      <c r="B6946" s="1"/>
      <c r="H6946">
        <v>140</v>
      </c>
      <c r="J6946" t="s">
        <v>23</v>
      </c>
      <c r="L6946" s="1"/>
      <c r="N6946" s="1"/>
      <c r="V6946" t="str">
        <f>"76133"</f>
        <v>76133</v>
      </c>
      <c r="W6946">
        <v>0</v>
      </c>
      <c r="X6946">
        <v>0</v>
      </c>
    </row>
    <row r="6947" spans="1:24" ht="15" customHeight="1" x14ac:dyDescent="0.25">
      <c r="A6947" t="str">
        <f>""</f>
        <v/>
      </c>
      <c r="B6947" s="1"/>
      <c r="H6947">
        <v>40</v>
      </c>
      <c r="J6947" t="s">
        <v>22</v>
      </c>
      <c r="L6947" s="1"/>
      <c r="V6947" t="str">
        <f>"77190"</f>
        <v>77190</v>
      </c>
      <c r="W6947">
        <v>0</v>
      </c>
      <c r="X6947">
        <v>0</v>
      </c>
    </row>
    <row r="6948" spans="1:24" ht="15" customHeight="1" x14ac:dyDescent="0.25">
      <c r="A6948" t="str">
        <f>""</f>
        <v/>
      </c>
      <c r="B6948" s="1"/>
      <c r="H6948">
        <v>140</v>
      </c>
      <c r="J6948" t="s">
        <v>23</v>
      </c>
      <c r="L6948" s="1"/>
      <c r="N6948" s="1"/>
      <c r="V6948" t="str">
        <f>"73270"</f>
        <v>73270</v>
      </c>
      <c r="W6948">
        <v>0</v>
      </c>
      <c r="X6948">
        <v>37.799999999999997</v>
      </c>
    </row>
    <row r="6949" spans="1:24" ht="15" customHeight="1" x14ac:dyDescent="0.25">
      <c r="A6949" t="str">
        <f>""</f>
        <v/>
      </c>
      <c r="B6949" s="1"/>
      <c r="H6949">
        <v>161.25</v>
      </c>
      <c r="J6949" t="s">
        <v>23</v>
      </c>
      <c r="L6949" s="1"/>
      <c r="N6949" s="1"/>
      <c r="V6949" t="str">
        <f>"83320"</f>
        <v>83320</v>
      </c>
      <c r="W6949">
        <v>0</v>
      </c>
      <c r="X6949">
        <v>0</v>
      </c>
    </row>
    <row r="6950" spans="1:24" ht="15" customHeight="1" x14ac:dyDescent="0.25">
      <c r="A6950" t="str">
        <f>""</f>
        <v/>
      </c>
      <c r="B6950" s="1"/>
      <c r="H6950">
        <v>227</v>
      </c>
      <c r="J6950" t="s">
        <v>23</v>
      </c>
      <c r="L6950" s="1"/>
      <c r="V6950" t="str">
        <f>"01100"</f>
        <v>01100</v>
      </c>
      <c r="W6950">
        <v>0</v>
      </c>
      <c r="X6950">
        <v>0</v>
      </c>
    </row>
    <row r="6951" spans="1:24" ht="15" customHeight="1" x14ac:dyDescent="0.25">
      <c r="A6951" t="str">
        <f>""</f>
        <v/>
      </c>
      <c r="B6951" s="1"/>
      <c r="H6951">
        <v>151</v>
      </c>
      <c r="J6951" t="s">
        <v>23</v>
      </c>
      <c r="L6951" s="1"/>
      <c r="N6951" s="1"/>
      <c r="V6951" t="str">
        <f>"51300"</f>
        <v>51300</v>
      </c>
      <c r="W6951">
        <v>0</v>
      </c>
      <c r="X6951">
        <v>0</v>
      </c>
    </row>
    <row r="6952" spans="1:24" ht="15" customHeight="1" x14ac:dyDescent="0.25">
      <c r="A6952" t="str">
        <f>""</f>
        <v/>
      </c>
      <c r="B6952" s="1"/>
      <c r="H6952">
        <v>70</v>
      </c>
      <c r="J6952" t="s">
        <v>21</v>
      </c>
      <c r="L6952" s="1"/>
      <c r="N6952" s="1"/>
      <c r="V6952" t="str">
        <f>"77184"</f>
        <v>77184</v>
      </c>
      <c r="W6952">
        <v>18.899999999999999</v>
      </c>
      <c r="X6952">
        <v>0</v>
      </c>
    </row>
    <row r="6953" spans="1:24" ht="15" customHeight="1" x14ac:dyDescent="0.25">
      <c r="A6953" t="str">
        <f>""</f>
        <v/>
      </c>
      <c r="B6953" s="1"/>
      <c r="H6953">
        <v>40</v>
      </c>
      <c r="J6953" t="s">
        <v>22</v>
      </c>
      <c r="L6953" s="1"/>
      <c r="V6953" t="str">
        <f>"75009"</f>
        <v>75009</v>
      </c>
      <c r="W6953">
        <v>0</v>
      </c>
      <c r="X6953">
        <v>0</v>
      </c>
    </row>
    <row r="6954" spans="1:24" ht="15" customHeight="1" x14ac:dyDescent="0.25">
      <c r="A6954" t="str">
        <f>""</f>
        <v/>
      </c>
      <c r="B6954" s="1"/>
      <c r="H6954">
        <v>180</v>
      </c>
      <c r="J6954" t="s">
        <v>23</v>
      </c>
      <c r="L6954" s="1"/>
      <c r="N6954" s="1"/>
      <c r="V6954" t="str">
        <f>"77290"</f>
        <v>77290</v>
      </c>
      <c r="W6954">
        <v>0</v>
      </c>
      <c r="X6954">
        <v>0</v>
      </c>
    </row>
    <row r="6955" spans="1:24" ht="15" customHeight="1" x14ac:dyDescent="0.25">
      <c r="A6955" t="str">
        <f>""</f>
        <v/>
      </c>
      <c r="B6955" s="1"/>
      <c r="H6955">
        <v>80</v>
      </c>
      <c r="J6955" t="s">
        <v>23</v>
      </c>
      <c r="L6955" s="1"/>
      <c r="N6955" s="1"/>
      <c r="V6955" t="str">
        <f>"49100"</f>
        <v>49100</v>
      </c>
      <c r="W6955">
        <v>0</v>
      </c>
      <c r="X6955">
        <v>21.6</v>
      </c>
    </row>
    <row r="6956" spans="1:24" ht="15" customHeight="1" x14ac:dyDescent="0.25">
      <c r="A6956" t="str">
        <f>""</f>
        <v/>
      </c>
      <c r="B6956" s="1"/>
      <c r="H6956">
        <v>21.22</v>
      </c>
      <c r="J6956" t="s">
        <v>23</v>
      </c>
      <c r="L6956" s="1"/>
      <c r="V6956" t="str">
        <f>"21000"</f>
        <v>21000</v>
      </c>
      <c r="W6956">
        <v>0</v>
      </c>
      <c r="X6956">
        <v>0</v>
      </c>
    </row>
    <row r="6957" spans="1:24" ht="15" customHeight="1" x14ac:dyDescent="0.25">
      <c r="A6957" t="str">
        <f>""</f>
        <v/>
      </c>
      <c r="B6957" s="1"/>
      <c r="H6957">
        <v>32.78</v>
      </c>
      <c r="J6957" t="s">
        <v>23</v>
      </c>
      <c r="L6957" s="1"/>
      <c r="V6957" t="str">
        <f>"03000"</f>
        <v>03000</v>
      </c>
      <c r="W6957">
        <v>0</v>
      </c>
      <c r="X6957">
        <v>0</v>
      </c>
    </row>
    <row r="6958" spans="1:24" ht="15" customHeight="1" x14ac:dyDescent="0.25">
      <c r="A6958" t="str">
        <f>""</f>
        <v/>
      </c>
      <c r="B6958" s="1"/>
      <c r="H6958">
        <v>70</v>
      </c>
      <c r="J6958" t="s">
        <v>22</v>
      </c>
      <c r="L6958" s="1"/>
      <c r="V6958" t="str">
        <f>"66000"</f>
        <v>66000</v>
      </c>
      <c r="W6958">
        <v>0</v>
      </c>
      <c r="X6958">
        <v>0</v>
      </c>
    </row>
    <row r="6959" spans="1:24" ht="15" customHeight="1" x14ac:dyDescent="0.25">
      <c r="A6959" t="str">
        <f>""</f>
        <v/>
      </c>
      <c r="B6959" s="1"/>
      <c r="H6959">
        <v>181.89</v>
      </c>
      <c r="J6959" t="s">
        <v>23</v>
      </c>
      <c r="L6959" s="1"/>
      <c r="N6959" s="1"/>
      <c r="V6959" t="str">
        <f>"68000"</f>
        <v>68000</v>
      </c>
      <c r="W6959">
        <v>0</v>
      </c>
      <c r="X6959">
        <v>14.55</v>
      </c>
    </row>
    <row r="6960" spans="1:24" ht="15" customHeight="1" x14ac:dyDescent="0.25">
      <c r="A6960" t="str">
        <f>""</f>
        <v/>
      </c>
      <c r="B6960" s="1"/>
      <c r="H6960">
        <v>20.23</v>
      </c>
      <c r="J6960" t="s">
        <v>19</v>
      </c>
      <c r="L6960" s="1"/>
      <c r="N6960" s="1"/>
      <c r="V6960" t="str">
        <f>"94547"</f>
        <v>94547</v>
      </c>
      <c r="W6960">
        <v>0</v>
      </c>
      <c r="X6960">
        <v>0</v>
      </c>
    </row>
    <row r="6961" spans="1:24" ht="15" customHeight="1" x14ac:dyDescent="0.25">
      <c r="A6961" t="str">
        <f>""</f>
        <v/>
      </c>
      <c r="B6961" s="1"/>
      <c r="H6961">
        <v>32.6</v>
      </c>
      <c r="J6961" t="s">
        <v>22</v>
      </c>
      <c r="L6961" s="1"/>
      <c r="N6961" s="1"/>
      <c r="V6961" t="str">
        <f>"88000"</f>
        <v>88000</v>
      </c>
      <c r="W6961">
        <v>0</v>
      </c>
      <c r="X6961">
        <v>2.61</v>
      </c>
    </row>
    <row r="6962" spans="1:24" ht="15" customHeight="1" x14ac:dyDescent="0.25">
      <c r="A6962" t="str">
        <f>""</f>
        <v/>
      </c>
      <c r="B6962" s="1"/>
      <c r="H6962">
        <v>34.71</v>
      </c>
      <c r="J6962" t="s">
        <v>23</v>
      </c>
      <c r="L6962" s="1"/>
      <c r="V6962" t="str">
        <f>"30000"</f>
        <v>30000</v>
      </c>
      <c r="W6962">
        <v>0</v>
      </c>
      <c r="X6962">
        <v>0</v>
      </c>
    </row>
    <row r="6963" spans="1:24" ht="15" customHeight="1" x14ac:dyDescent="0.25">
      <c r="A6963" t="str">
        <f>""</f>
        <v/>
      </c>
      <c r="B6963" s="1"/>
      <c r="H6963">
        <v>40</v>
      </c>
      <c r="J6963" t="s">
        <v>22</v>
      </c>
      <c r="L6963" s="1"/>
      <c r="V6963" t="str">
        <f>"70000"</f>
        <v>70000</v>
      </c>
      <c r="W6963">
        <v>0</v>
      </c>
      <c r="X6963">
        <v>0</v>
      </c>
    </row>
    <row r="6964" spans="1:24" ht="15" customHeight="1" x14ac:dyDescent="0.25">
      <c r="A6964" t="str">
        <f>""</f>
        <v/>
      </c>
      <c r="B6964" s="1"/>
      <c r="H6964">
        <v>140</v>
      </c>
      <c r="J6964" t="s">
        <v>23</v>
      </c>
      <c r="L6964" s="1"/>
      <c r="N6964" s="1"/>
      <c r="V6964" t="str">
        <f>"33300"</f>
        <v>33300</v>
      </c>
      <c r="W6964">
        <v>0</v>
      </c>
      <c r="X6964">
        <v>23.8</v>
      </c>
    </row>
    <row r="6965" spans="1:24" ht="15" customHeight="1" x14ac:dyDescent="0.25">
      <c r="A6965" t="str">
        <f>""</f>
        <v/>
      </c>
      <c r="B6965" s="1"/>
      <c r="H6965">
        <v>180</v>
      </c>
      <c r="J6965" t="s">
        <v>22</v>
      </c>
      <c r="L6965" s="1"/>
      <c r="N6965" s="1"/>
      <c r="V6965" t="str">
        <f>"45120"</f>
        <v>45120</v>
      </c>
      <c r="W6965">
        <v>0</v>
      </c>
      <c r="X6965">
        <v>70.2</v>
      </c>
    </row>
    <row r="6966" spans="1:24" ht="15" customHeight="1" x14ac:dyDescent="0.25">
      <c r="A6966" t="str">
        <f>""</f>
        <v/>
      </c>
      <c r="B6966" s="1"/>
      <c r="H6966">
        <v>201</v>
      </c>
      <c r="J6966" t="s">
        <v>22</v>
      </c>
      <c r="L6966" s="1"/>
      <c r="N6966" s="1"/>
      <c r="V6966" t="str">
        <f>"38000"</f>
        <v>38000</v>
      </c>
      <c r="W6966">
        <v>0</v>
      </c>
      <c r="X6966">
        <v>54.27</v>
      </c>
    </row>
    <row r="6967" spans="1:24" x14ac:dyDescent="0.25">
      <c r="A6967" t="str">
        <f>""</f>
        <v/>
      </c>
      <c r="B6967" s="1"/>
      <c r="H6967">
        <v>52.5</v>
      </c>
      <c r="J6967" t="s">
        <v>15</v>
      </c>
      <c r="L6967" s="1"/>
      <c r="N6967" s="1"/>
      <c r="V6967" t="str">
        <f>"69003"</f>
        <v>69003</v>
      </c>
      <c r="W6967">
        <v>0</v>
      </c>
      <c r="X6967">
        <v>0</v>
      </c>
    </row>
    <row r="6968" spans="1:24" x14ac:dyDescent="0.25">
      <c r="A6968" t="str">
        <f>""</f>
        <v/>
      </c>
      <c r="B6968" s="1"/>
      <c r="H6968">
        <v>52.5</v>
      </c>
      <c r="J6968" t="s">
        <v>15</v>
      </c>
      <c r="L6968" s="1"/>
      <c r="N6968" s="1"/>
      <c r="V6968" t="str">
        <f>"37000"</f>
        <v>37000</v>
      </c>
      <c r="W6968">
        <v>0</v>
      </c>
      <c r="X6968">
        <v>0</v>
      </c>
    </row>
    <row r="6969" spans="1:24" ht="15" customHeight="1" x14ac:dyDescent="0.25">
      <c r="A6969" t="str">
        <f>""</f>
        <v/>
      </c>
      <c r="B6969" s="1"/>
      <c r="H6969">
        <v>70</v>
      </c>
      <c r="J6969" t="s">
        <v>22</v>
      </c>
      <c r="L6969" s="1"/>
      <c r="N6969" s="1"/>
      <c r="V6969" t="str">
        <f>"45140"</f>
        <v>45140</v>
      </c>
      <c r="W6969">
        <v>0</v>
      </c>
      <c r="X6969">
        <v>18.899999999999999</v>
      </c>
    </row>
    <row r="6970" spans="1:24" ht="15" customHeight="1" x14ac:dyDescent="0.25">
      <c r="A6970" t="str">
        <f>""</f>
        <v/>
      </c>
      <c r="B6970" s="1"/>
      <c r="H6970">
        <v>30</v>
      </c>
      <c r="J6970" t="s">
        <v>22</v>
      </c>
      <c r="L6970" s="1"/>
      <c r="N6970" s="1"/>
      <c r="V6970" t="str">
        <f>"69120"</f>
        <v>69120</v>
      </c>
      <c r="W6970">
        <v>0</v>
      </c>
      <c r="X6970">
        <v>0</v>
      </c>
    </row>
    <row r="6971" spans="1:24" ht="15" customHeight="1" x14ac:dyDescent="0.25">
      <c r="A6971" t="str">
        <f>""</f>
        <v/>
      </c>
      <c r="B6971" s="1"/>
      <c r="H6971">
        <v>70</v>
      </c>
      <c r="J6971" t="s">
        <v>22</v>
      </c>
      <c r="L6971" s="1"/>
      <c r="V6971" t="str">
        <f>"75009"</f>
        <v>75009</v>
      </c>
      <c r="W6971">
        <v>0</v>
      </c>
      <c r="X6971">
        <v>0</v>
      </c>
    </row>
    <row r="6972" spans="1:24" ht="15" customHeight="1" x14ac:dyDescent="0.25">
      <c r="A6972" t="str">
        <f>""</f>
        <v/>
      </c>
      <c r="B6972" s="1"/>
      <c r="H6972">
        <v>140</v>
      </c>
      <c r="J6972" t="s">
        <v>22</v>
      </c>
      <c r="L6972" s="1"/>
      <c r="N6972" s="1"/>
      <c r="V6972" t="str">
        <f>"61400"</f>
        <v>61400</v>
      </c>
      <c r="W6972">
        <v>0</v>
      </c>
      <c r="X6972">
        <v>23.8</v>
      </c>
    </row>
    <row r="6973" spans="1:24" ht="15" customHeight="1" x14ac:dyDescent="0.25">
      <c r="A6973" t="str">
        <f>""</f>
        <v/>
      </c>
      <c r="B6973" s="1"/>
      <c r="H6973">
        <v>137</v>
      </c>
      <c r="J6973" t="s">
        <v>23</v>
      </c>
      <c r="L6973" s="1"/>
      <c r="N6973" s="1"/>
      <c r="V6973" t="str">
        <f>"44570"</f>
        <v>44570</v>
      </c>
      <c r="W6973">
        <v>0</v>
      </c>
      <c r="X6973">
        <v>0</v>
      </c>
    </row>
    <row r="6974" spans="1:24" ht="15" customHeight="1" x14ac:dyDescent="0.25">
      <c r="A6974" t="str">
        <f>""</f>
        <v/>
      </c>
      <c r="B6974" s="1"/>
      <c r="H6974">
        <v>50.84</v>
      </c>
      <c r="J6974" t="s">
        <v>20</v>
      </c>
      <c r="L6974" s="1"/>
      <c r="N6974" s="1"/>
      <c r="V6974" t="str">
        <f>"92000"</f>
        <v>92000</v>
      </c>
      <c r="W6974">
        <v>0</v>
      </c>
      <c r="X6974">
        <v>0</v>
      </c>
    </row>
    <row r="6975" spans="1:24" ht="15" customHeight="1" x14ac:dyDescent="0.25">
      <c r="A6975" t="str">
        <f>""</f>
        <v/>
      </c>
      <c r="B6975" s="1"/>
      <c r="H6975">
        <v>50.84</v>
      </c>
      <c r="J6975" t="s">
        <v>19</v>
      </c>
      <c r="L6975" s="1"/>
      <c r="N6975" s="1"/>
      <c r="V6975" t="str">
        <f>"92000"</f>
        <v>92000</v>
      </c>
      <c r="W6975">
        <v>0</v>
      </c>
      <c r="X6975">
        <v>0</v>
      </c>
    </row>
    <row r="6976" spans="1:24" ht="15" customHeight="1" x14ac:dyDescent="0.25">
      <c r="A6976" t="str">
        <f>""</f>
        <v/>
      </c>
      <c r="B6976" s="1"/>
      <c r="H6976">
        <v>75.16</v>
      </c>
      <c r="J6976" t="s">
        <v>19</v>
      </c>
      <c r="L6976" s="1"/>
      <c r="N6976" s="1"/>
      <c r="V6976" t="str">
        <f>"93013"</f>
        <v>93013</v>
      </c>
      <c r="W6976">
        <v>0</v>
      </c>
      <c r="X6976">
        <v>0</v>
      </c>
    </row>
    <row r="6977" spans="1:24" ht="15" customHeight="1" x14ac:dyDescent="0.25">
      <c r="A6977" t="str">
        <f>""</f>
        <v/>
      </c>
      <c r="B6977" s="1"/>
      <c r="H6977">
        <v>325</v>
      </c>
      <c r="J6977" t="s">
        <v>22</v>
      </c>
      <c r="L6977" s="1"/>
      <c r="V6977" t="str">
        <f>"50570"</f>
        <v>50570</v>
      </c>
      <c r="W6977">
        <v>0</v>
      </c>
      <c r="X6977">
        <v>0</v>
      </c>
    </row>
    <row r="6978" spans="1:24" ht="15" customHeight="1" x14ac:dyDescent="0.25">
      <c r="A6978" t="str">
        <f>""</f>
        <v/>
      </c>
      <c r="B6978" s="1"/>
      <c r="H6978">
        <v>36.89</v>
      </c>
      <c r="J6978" t="s">
        <v>22</v>
      </c>
      <c r="L6978" s="1"/>
      <c r="N6978" s="1"/>
      <c r="V6978" t="str">
        <f>"63500"</f>
        <v>63500</v>
      </c>
      <c r="W6978">
        <v>0</v>
      </c>
      <c r="X6978">
        <v>4.43</v>
      </c>
    </row>
    <row r="6979" spans="1:24" ht="15" customHeight="1" x14ac:dyDescent="0.25">
      <c r="A6979" t="str">
        <f>""</f>
        <v/>
      </c>
      <c r="B6979" s="1"/>
      <c r="H6979">
        <v>140</v>
      </c>
      <c r="J6979" t="s">
        <v>23</v>
      </c>
      <c r="L6979" s="1"/>
      <c r="V6979" t="str">
        <f>"75008"</f>
        <v>75008</v>
      </c>
      <c r="W6979">
        <v>0</v>
      </c>
      <c r="X6979">
        <v>0</v>
      </c>
    </row>
    <row r="6980" spans="1:24" ht="15" customHeight="1" x14ac:dyDescent="0.25">
      <c r="A6980" t="str">
        <f>""</f>
        <v/>
      </c>
      <c r="B6980" s="1"/>
      <c r="H6980">
        <v>38.25</v>
      </c>
      <c r="J6980" t="s">
        <v>22</v>
      </c>
      <c r="L6980" s="1"/>
      <c r="N6980" s="1"/>
      <c r="V6980" t="str">
        <f>"39400"</f>
        <v>39400</v>
      </c>
      <c r="W6980">
        <v>0</v>
      </c>
      <c r="X6980">
        <v>0</v>
      </c>
    </row>
    <row r="6981" spans="1:24" ht="15" customHeight="1" x14ac:dyDescent="0.25">
      <c r="A6981" t="str">
        <f>""</f>
        <v/>
      </c>
      <c r="B6981" s="1"/>
      <c r="H6981">
        <v>151</v>
      </c>
      <c r="J6981" t="s">
        <v>22</v>
      </c>
      <c r="L6981" s="1"/>
      <c r="N6981" s="1"/>
      <c r="V6981" t="str">
        <f>"06560"</f>
        <v>06560</v>
      </c>
      <c r="W6981">
        <v>0</v>
      </c>
      <c r="X6981">
        <v>0</v>
      </c>
    </row>
    <row r="6982" spans="1:24" ht="15" customHeight="1" x14ac:dyDescent="0.25">
      <c r="A6982" t="str">
        <f>""</f>
        <v/>
      </c>
      <c r="B6982" s="1"/>
      <c r="H6982">
        <v>151</v>
      </c>
      <c r="J6982" t="s">
        <v>23</v>
      </c>
      <c r="L6982" s="1"/>
      <c r="N6982" s="1"/>
      <c r="V6982" t="str">
        <f>"06560"</f>
        <v>06560</v>
      </c>
      <c r="W6982">
        <v>0</v>
      </c>
      <c r="X6982">
        <v>0</v>
      </c>
    </row>
    <row r="6983" spans="1:24" ht="15" customHeight="1" x14ac:dyDescent="0.25">
      <c r="A6983" t="str">
        <f>""</f>
        <v/>
      </c>
      <c r="B6983" s="1"/>
      <c r="H6983">
        <v>151</v>
      </c>
      <c r="J6983" t="s">
        <v>22</v>
      </c>
      <c r="L6983" s="1"/>
      <c r="N6983" s="1"/>
      <c r="V6983" t="str">
        <f>"06560"</f>
        <v>06560</v>
      </c>
      <c r="W6983">
        <v>0</v>
      </c>
      <c r="X6983">
        <v>0</v>
      </c>
    </row>
    <row r="6984" spans="1:24" ht="15" customHeight="1" x14ac:dyDescent="0.25">
      <c r="A6984" t="str">
        <f>""</f>
        <v/>
      </c>
      <c r="B6984" s="1"/>
      <c r="H6984">
        <v>151</v>
      </c>
      <c r="J6984" t="s">
        <v>23</v>
      </c>
      <c r="L6984" s="1"/>
      <c r="N6984" s="1"/>
      <c r="V6984" t="str">
        <f>"06560"</f>
        <v>06560</v>
      </c>
      <c r="W6984">
        <v>0</v>
      </c>
      <c r="X6984">
        <v>0</v>
      </c>
    </row>
    <row r="6985" spans="1:24" ht="15" customHeight="1" x14ac:dyDescent="0.25">
      <c r="A6985" t="str">
        <f>""</f>
        <v/>
      </c>
      <c r="B6985" s="1"/>
      <c r="H6985">
        <v>40</v>
      </c>
      <c r="J6985" t="s">
        <v>23</v>
      </c>
      <c r="L6985" s="1"/>
      <c r="N6985" s="1"/>
      <c r="V6985" t="str">
        <f>"38430"</f>
        <v>38430</v>
      </c>
      <c r="W6985">
        <v>0</v>
      </c>
      <c r="X6985">
        <v>0</v>
      </c>
    </row>
    <row r="6986" spans="1:24" ht="15" customHeight="1" x14ac:dyDescent="0.25">
      <c r="A6986" t="str">
        <f>""</f>
        <v/>
      </c>
      <c r="B6986" s="1"/>
      <c r="H6986">
        <v>10</v>
      </c>
      <c r="L6986" s="1"/>
      <c r="N6986" s="1"/>
      <c r="V6986" t="str">
        <f>"77184"</f>
        <v>77184</v>
      </c>
      <c r="W6986">
        <v>0</v>
      </c>
      <c r="X6986">
        <v>0</v>
      </c>
    </row>
    <row r="6987" spans="1:24" ht="15" customHeight="1" x14ac:dyDescent="0.25">
      <c r="A6987" t="str">
        <f>""</f>
        <v/>
      </c>
      <c r="B6987" s="1"/>
      <c r="H6987">
        <v>10</v>
      </c>
      <c r="L6987" s="1"/>
      <c r="N6987" s="1"/>
      <c r="V6987" t="str">
        <f>"77184"</f>
        <v>77184</v>
      </c>
      <c r="W6987">
        <v>0</v>
      </c>
      <c r="X6987">
        <v>0</v>
      </c>
    </row>
    <row r="6988" spans="1:24" ht="15" customHeight="1" x14ac:dyDescent="0.25">
      <c r="A6988" t="str">
        <f>""</f>
        <v/>
      </c>
      <c r="B6988" s="1"/>
      <c r="H6988">
        <v>171.53</v>
      </c>
      <c r="J6988" t="s">
        <v>23</v>
      </c>
      <c r="L6988" s="1"/>
      <c r="N6988" s="1"/>
      <c r="V6988" t="str">
        <f>"34280"</f>
        <v>34280</v>
      </c>
      <c r="W6988">
        <v>0</v>
      </c>
      <c r="X6988">
        <v>48.03</v>
      </c>
    </row>
    <row r="6989" spans="1:24" ht="15" customHeight="1" x14ac:dyDescent="0.25">
      <c r="A6989" t="str">
        <f>""</f>
        <v/>
      </c>
      <c r="B6989" s="1"/>
      <c r="H6989">
        <v>1390.69</v>
      </c>
      <c r="J6989" t="s">
        <v>23</v>
      </c>
      <c r="L6989" s="1"/>
      <c r="N6989" s="1"/>
      <c r="V6989" t="str">
        <f>"94700"</f>
        <v>94700</v>
      </c>
      <c r="W6989">
        <v>0</v>
      </c>
      <c r="X6989">
        <v>0</v>
      </c>
    </row>
    <row r="6990" spans="1:24" ht="15" customHeight="1" x14ac:dyDescent="0.25">
      <c r="A6990" t="str">
        <f>""</f>
        <v/>
      </c>
      <c r="B6990" s="1"/>
      <c r="H6990">
        <v>151</v>
      </c>
      <c r="J6990" t="s">
        <v>23</v>
      </c>
      <c r="L6990" s="1"/>
      <c r="N6990" s="1"/>
      <c r="V6990" t="str">
        <f>"13510"</f>
        <v>13510</v>
      </c>
      <c r="W6990">
        <v>0</v>
      </c>
      <c r="X6990">
        <v>0</v>
      </c>
    </row>
    <row r="6991" spans="1:24" ht="15" customHeight="1" x14ac:dyDescent="0.25">
      <c r="A6991" t="str">
        <f>""</f>
        <v/>
      </c>
      <c r="B6991" s="1"/>
      <c r="H6991">
        <v>31.6</v>
      </c>
      <c r="L6991" s="1"/>
      <c r="N6991" s="1"/>
      <c r="V6991" t="str">
        <f>"77184"</f>
        <v>77184</v>
      </c>
      <c r="W6991">
        <v>0</v>
      </c>
      <c r="X6991">
        <v>0</v>
      </c>
    </row>
    <row r="6992" spans="1:24" ht="15" customHeight="1" x14ac:dyDescent="0.25">
      <c r="A6992" t="str">
        <f>""</f>
        <v/>
      </c>
      <c r="B6992" s="1"/>
      <c r="H6992">
        <v>140</v>
      </c>
      <c r="J6992" t="s">
        <v>20</v>
      </c>
      <c r="L6992" s="1"/>
      <c r="N6992" s="1"/>
      <c r="V6992" t="str">
        <f>"13200"</f>
        <v>13200</v>
      </c>
      <c r="W6992">
        <v>40.6</v>
      </c>
      <c r="X6992">
        <v>0</v>
      </c>
    </row>
    <row r="6993" spans="1:24" x14ac:dyDescent="0.25">
      <c r="A6993" t="str">
        <f>""</f>
        <v/>
      </c>
      <c r="B6993" s="1"/>
      <c r="H6993">
        <v>160.28</v>
      </c>
      <c r="J6993" t="s">
        <v>15</v>
      </c>
      <c r="L6993" s="1"/>
      <c r="N6993" s="1"/>
      <c r="V6993" t="str">
        <f>"63100"</f>
        <v>63100</v>
      </c>
      <c r="W6993">
        <v>0</v>
      </c>
      <c r="X6993">
        <v>0</v>
      </c>
    </row>
    <row r="6994" spans="1:24" ht="15" customHeight="1" x14ac:dyDescent="0.25">
      <c r="A6994" t="str">
        <f>""</f>
        <v/>
      </c>
      <c r="B6994" s="1"/>
      <c r="H6994">
        <v>126.65</v>
      </c>
      <c r="J6994" t="s">
        <v>20</v>
      </c>
      <c r="L6994" s="1"/>
      <c r="N6994" s="1"/>
      <c r="V6994" t="str">
        <f>"29690"</f>
        <v>29690</v>
      </c>
      <c r="W6994">
        <v>49.39</v>
      </c>
      <c r="X6994">
        <v>0</v>
      </c>
    </row>
    <row r="6995" spans="1:24" ht="15" customHeight="1" x14ac:dyDescent="0.25">
      <c r="A6995" t="str">
        <f>""</f>
        <v/>
      </c>
      <c r="B6995" s="1"/>
      <c r="H6995">
        <v>55.16</v>
      </c>
      <c r="J6995" t="s">
        <v>19</v>
      </c>
      <c r="L6995" s="1"/>
      <c r="N6995" s="1"/>
      <c r="V6995" t="str">
        <f>"87000"</f>
        <v>87000</v>
      </c>
      <c r="W6995">
        <v>16</v>
      </c>
      <c r="X6995">
        <v>0</v>
      </c>
    </row>
    <row r="6996" spans="1:24" ht="15" customHeight="1" x14ac:dyDescent="0.25">
      <c r="A6996" t="str">
        <f>""</f>
        <v/>
      </c>
      <c r="B6996" s="1"/>
      <c r="H6996">
        <v>55.16</v>
      </c>
      <c r="J6996" t="s">
        <v>19</v>
      </c>
      <c r="L6996" s="1"/>
      <c r="N6996" s="1"/>
      <c r="V6996" t="str">
        <f>"26000"</f>
        <v>26000</v>
      </c>
      <c r="W6996">
        <v>14.89</v>
      </c>
      <c r="X6996">
        <v>0</v>
      </c>
    </row>
    <row r="6997" spans="1:24" ht="15" customHeight="1" x14ac:dyDescent="0.25">
      <c r="A6997" t="str">
        <f>""</f>
        <v/>
      </c>
      <c r="B6997" s="1"/>
      <c r="H6997">
        <v>20.23</v>
      </c>
      <c r="J6997" t="s">
        <v>19</v>
      </c>
      <c r="L6997" s="1"/>
      <c r="N6997" s="1"/>
      <c r="V6997" t="str">
        <f>"87000"</f>
        <v>87000</v>
      </c>
      <c r="W6997">
        <v>5.87</v>
      </c>
      <c r="X6997">
        <v>0</v>
      </c>
    </row>
    <row r="6998" spans="1:24" ht="15" customHeight="1" x14ac:dyDescent="0.25">
      <c r="A6998" t="str">
        <f>""</f>
        <v/>
      </c>
      <c r="B6998" s="1"/>
      <c r="H6998">
        <v>104.2</v>
      </c>
      <c r="J6998" t="s">
        <v>22</v>
      </c>
      <c r="L6998" s="1"/>
      <c r="N6998" s="1"/>
      <c r="V6998" t="str">
        <f>"84000"</f>
        <v>84000</v>
      </c>
      <c r="W6998">
        <v>0</v>
      </c>
      <c r="X6998">
        <v>19.8</v>
      </c>
    </row>
    <row r="6999" spans="1:24" ht="15" customHeight="1" x14ac:dyDescent="0.25">
      <c r="A6999" t="str">
        <f>""</f>
        <v/>
      </c>
      <c r="B6999" s="1"/>
      <c r="H6999">
        <v>151</v>
      </c>
      <c r="J6999" t="s">
        <v>22</v>
      </c>
      <c r="L6999" s="1"/>
      <c r="N6999" s="1"/>
      <c r="V6999" t="str">
        <f>"75013"</f>
        <v>75013</v>
      </c>
      <c r="W6999">
        <v>0</v>
      </c>
      <c r="X6999">
        <v>0</v>
      </c>
    </row>
    <row r="7000" spans="1:24" ht="15" customHeight="1" x14ac:dyDescent="0.25">
      <c r="A7000" t="str">
        <f>""</f>
        <v/>
      </c>
      <c r="B7000" s="1"/>
      <c r="H7000">
        <v>151</v>
      </c>
      <c r="J7000" t="s">
        <v>22</v>
      </c>
      <c r="L7000" s="1"/>
      <c r="N7000" s="1"/>
      <c r="V7000" t="str">
        <f>"75013"</f>
        <v>75013</v>
      </c>
      <c r="W7000">
        <v>0</v>
      </c>
      <c r="X7000">
        <v>0</v>
      </c>
    </row>
    <row r="7001" spans="1:24" ht="15" customHeight="1" x14ac:dyDescent="0.25">
      <c r="A7001" t="str">
        <f>""</f>
        <v/>
      </c>
      <c r="B7001" s="1"/>
      <c r="H7001">
        <v>69.34</v>
      </c>
      <c r="J7001" t="s">
        <v>19</v>
      </c>
      <c r="L7001" s="1"/>
      <c r="N7001" s="1"/>
      <c r="V7001" t="str">
        <f>"51320"</f>
        <v>51320</v>
      </c>
      <c r="W7001">
        <v>17.34</v>
      </c>
      <c r="X7001">
        <v>0</v>
      </c>
    </row>
    <row r="7002" spans="1:24" ht="15" customHeight="1" x14ac:dyDescent="0.25">
      <c r="A7002" t="str">
        <f>""</f>
        <v/>
      </c>
      <c r="B7002" s="1"/>
      <c r="H7002">
        <v>22.62</v>
      </c>
      <c r="J7002" t="s">
        <v>19</v>
      </c>
      <c r="L7002" s="1"/>
      <c r="N7002" s="1"/>
      <c r="V7002" t="str">
        <f>"25300"</f>
        <v>25300</v>
      </c>
      <c r="W7002">
        <v>0</v>
      </c>
      <c r="X7002">
        <v>0</v>
      </c>
    </row>
    <row r="7003" spans="1:24" ht="15" customHeight="1" x14ac:dyDescent="0.25">
      <c r="A7003" t="str">
        <f>""</f>
        <v/>
      </c>
      <c r="B7003" s="1"/>
      <c r="H7003">
        <v>180</v>
      </c>
      <c r="J7003" t="s">
        <v>23</v>
      </c>
      <c r="L7003" s="1"/>
      <c r="V7003" t="str">
        <f>"84700"</f>
        <v>84700</v>
      </c>
      <c r="W7003">
        <v>0</v>
      </c>
      <c r="X7003">
        <v>0</v>
      </c>
    </row>
    <row r="7004" spans="1:24" ht="15" customHeight="1" x14ac:dyDescent="0.25">
      <c r="A7004" t="str">
        <f>""</f>
        <v/>
      </c>
      <c r="B7004" s="1"/>
      <c r="H7004">
        <v>366.96</v>
      </c>
      <c r="J7004" t="s">
        <v>20</v>
      </c>
      <c r="L7004" s="1"/>
      <c r="N7004" s="1"/>
      <c r="V7004" t="str">
        <f>"94400"</f>
        <v>94400</v>
      </c>
      <c r="W7004">
        <v>0</v>
      </c>
      <c r="X7004">
        <v>0</v>
      </c>
    </row>
    <row r="7005" spans="1:24" ht="15" customHeight="1" x14ac:dyDescent="0.25">
      <c r="A7005" t="str">
        <f>""</f>
        <v/>
      </c>
      <c r="B7005" s="1"/>
      <c r="H7005">
        <v>17</v>
      </c>
      <c r="J7005" t="s">
        <v>22</v>
      </c>
      <c r="L7005" s="1"/>
      <c r="N7005" s="1"/>
      <c r="V7005" t="str">
        <f>"57200"</f>
        <v>57200</v>
      </c>
      <c r="W7005">
        <v>0</v>
      </c>
      <c r="X7005">
        <v>4.25</v>
      </c>
    </row>
    <row r="7006" spans="1:24" x14ac:dyDescent="0.25">
      <c r="A7006" t="str">
        <f>""</f>
        <v/>
      </c>
      <c r="B7006" s="1"/>
      <c r="H7006">
        <v>151</v>
      </c>
      <c r="J7006" t="s">
        <v>17</v>
      </c>
      <c r="L7006" s="1"/>
      <c r="N7006" s="1"/>
      <c r="V7006" t="str">
        <f>"67800"</f>
        <v>67800</v>
      </c>
      <c r="W7006">
        <v>0</v>
      </c>
      <c r="X7006">
        <v>0</v>
      </c>
    </row>
    <row r="7007" spans="1:24" x14ac:dyDescent="0.25">
      <c r="A7007" t="str">
        <f>""</f>
        <v/>
      </c>
      <c r="B7007" s="1"/>
      <c r="H7007">
        <v>151</v>
      </c>
      <c r="J7007" t="s">
        <v>15</v>
      </c>
      <c r="L7007" s="1"/>
      <c r="N7007" s="1"/>
      <c r="V7007" t="str">
        <f>"69800"</f>
        <v>69800</v>
      </c>
      <c r="W7007">
        <v>0</v>
      </c>
      <c r="X7007">
        <v>0</v>
      </c>
    </row>
    <row r="7008" spans="1:24" ht="15" customHeight="1" x14ac:dyDescent="0.25">
      <c r="A7008" t="str">
        <f>""</f>
        <v/>
      </c>
      <c r="B7008" s="1"/>
      <c r="H7008">
        <v>133.66999999999999</v>
      </c>
      <c r="J7008" t="s">
        <v>21</v>
      </c>
      <c r="L7008" s="1"/>
      <c r="V7008" t="str">
        <f>"77184"</f>
        <v>77184</v>
      </c>
      <c r="W7008">
        <v>0</v>
      </c>
      <c r="X7008">
        <v>0</v>
      </c>
    </row>
    <row r="7009" spans="1:24" x14ac:dyDescent="0.25">
      <c r="A7009" t="str">
        <f>""</f>
        <v/>
      </c>
      <c r="B7009" s="1"/>
      <c r="H7009">
        <v>140</v>
      </c>
      <c r="J7009" t="s">
        <v>16</v>
      </c>
      <c r="L7009" s="1"/>
      <c r="N7009" s="1"/>
      <c r="V7009" t="str">
        <f>"91090"</f>
        <v>91090</v>
      </c>
      <c r="W7009">
        <v>0</v>
      </c>
      <c r="X7009">
        <v>33.6</v>
      </c>
    </row>
    <row r="7010" spans="1:24" ht="15" customHeight="1" x14ac:dyDescent="0.25">
      <c r="A7010" t="str">
        <f>""</f>
        <v/>
      </c>
      <c r="B7010" s="1"/>
      <c r="H7010">
        <v>22.8</v>
      </c>
      <c r="L7010" s="1"/>
      <c r="N7010" s="1"/>
      <c r="V7010" t="str">
        <f>"44240"</f>
        <v>44240</v>
      </c>
      <c r="W7010">
        <v>0</v>
      </c>
      <c r="X7010">
        <v>0</v>
      </c>
    </row>
    <row r="7011" spans="1:24" ht="15" customHeight="1" x14ac:dyDescent="0.25">
      <c r="A7011" t="str">
        <f>""</f>
        <v/>
      </c>
      <c r="B7011" s="1"/>
      <c r="H7011">
        <v>155.22</v>
      </c>
      <c r="J7011" t="s">
        <v>20</v>
      </c>
      <c r="L7011" s="1"/>
      <c r="N7011" s="1"/>
      <c r="V7011" t="str">
        <f>"14032"</f>
        <v>14032</v>
      </c>
      <c r="W7011">
        <v>26.39</v>
      </c>
      <c r="X7011">
        <v>0</v>
      </c>
    </row>
    <row r="7012" spans="1:24" ht="15" customHeight="1" x14ac:dyDescent="0.25">
      <c r="A7012" t="str">
        <f>""</f>
        <v/>
      </c>
      <c r="B7012" s="1"/>
      <c r="H7012">
        <v>222</v>
      </c>
      <c r="J7012" t="s">
        <v>23</v>
      </c>
      <c r="L7012" s="1"/>
      <c r="N7012" s="1"/>
      <c r="V7012" t="str">
        <f>"62660"</f>
        <v>62660</v>
      </c>
      <c r="W7012">
        <v>0</v>
      </c>
      <c r="X7012">
        <v>0</v>
      </c>
    </row>
    <row r="7013" spans="1:24" ht="15" customHeight="1" x14ac:dyDescent="0.25">
      <c r="A7013" t="str">
        <f>""</f>
        <v/>
      </c>
      <c r="B7013" s="1"/>
      <c r="H7013">
        <v>84.5</v>
      </c>
      <c r="L7013" s="1"/>
      <c r="N7013" s="1"/>
      <c r="V7013" t="str">
        <f>"77184"</f>
        <v>77184</v>
      </c>
      <c r="W7013">
        <v>0</v>
      </c>
      <c r="X7013">
        <v>0</v>
      </c>
    </row>
    <row r="7014" spans="1:24" ht="15" customHeight="1" x14ac:dyDescent="0.25">
      <c r="A7014" t="str">
        <f>""</f>
        <v/>
      </c>
      <c r="B7014" s="1"/>
      <c r="H7014">
        <v>84.5</v>
      </c>
      <c r="L7014" s="1"/>
      <c r="N7014" s="1"/>
      <c r="V7014" t="str">
        <f>"77184"</f>
        <v>77184</v>
      </c>
      <c r="W7014">
        <v>0</v>
      </c>
      <c r="X7014">
        <v>0</v>
      </c>
    </row>
    <row r="7015" spans="1:24" ht="15" customHeight="1" x14ac:dyDescent="0.25">
      <c r="A7015" t="str">
        <f>""</f>
        <v/>
      </c>
      <c r="B7015" s="1"/>
      <c r="H7015">
        <v>140</v>
      </c>
      <c r="J7015" t="s">
        <v>23</v>
      </c>
      <c r="L7015" s="1"/>
      <c r="N7015" s="1"/>
      <c r="V7015" t="str">
        <f>"35132"</f>
        <v>35132</v>
      </c>
      <c r="W7015">
        <v>0</v>
      </c>
      <c r="X7015">
        <v>0</v>
      </c>
    </row>
    <row r="7016" spans="1:24" x14ac:dyDescent="0.25">
      <c r="A7016" t="str">
        <f>""</f>
        <v/>
      </c>
      <c r="B7016" s="1"/>
      <c r="H7016">
        <v>40.799999999999997</v>
      </c>
      <c r="J7016" t="s">
        <v>16</v>
      </c>
      <c r="L7016" s="1"/>
      <c r="N7016" s="1"/>
      <c r="V7016" t="str">
        <f>"69300"</f>
        <v>69300</v>
      </c>
      <c r="W7016">
        <v>11.02</v>
      </c>
      <c r="X7016">
        <v>0</v>
      </c>
    </row>
    <row r="7017" spans="1:24" ht="15" customHeight="1" x14ac:dyDescent="0.25">
      <c r="A7017" t="str">
        <f>""</f>
        <v/>
      </c>
      <c r="B7017" s="1"/>
      <c r="H7017">
        <v>141.85</v>
      </c>
      <c r="J7017" t="s">
        <v>19</v>
      </c>
      <c r="L7017" s="1"/>
      <c r="N7017" s="1"/>
      <c r="V7017" t="str">
        <f>"59380"</f>
        <v>59380</v>
      </c>
      <c r="W7017">
        <v>26.95</v>
      </c>
      <c r="X7017">
        <v>0</v>
      </c>
    </row>
    <row r="7018" spans="1:24" ht="15" customHeight="1" x14ac:dyDescent="0.25">
      <c r="A7018" t="str">
        <f>""</f>
        <v/>
      </c>
      <c r="B7018" s="1"/>
      <c r="H7018">
        <v>86.27</v>
      </c>
      <c r="J7018" t="s">
        <v>20</v>
      </c>
      <c r="L7018" s="1"/>
      <c r="N7018" s="1"/>
      <c r="V7018" t="str">
        <f>"34070"</f>
        <v>34070</v>
      </c>
      <c r="W7018">
        <v>33.65</v>
      </c>
      <c r="X7018">
        <v>0</v>
      </c>
    </row>
    <row r="7019" spans="1:24" ht="15" customHeight="1" x14ac:dyDescent="0.25">
      <c r="A7019" t="str">
        <f>""</f>
        <v/>
      </c>
      <c r="B7019" s="1"/>
      <c r="H7019">
        <v>136.97999999999999</v>
      </c>
      <c r="J7019" t="s">
        <v>19</v>
      </c>
      <c r="L7019" s="1"/>
      <c r="N7019" s="1"/>
      <c r="V7019" t="str">
        <f>"69800"</f>
        <v>69800</v>
      </c>
      <c r="W7019">
        <v>36.979999999999997</v>
      </c>
      <c r="X7019">
        <v>0</v>
      </c>
    </row>
    <row r="7020" spans="1:24" ht="15" customHeight="1" x14ac:dyDescent="0.25">
      <c r="A7020" t="str">
        <f>""</f>
        <v/>
      </c>
      <c r="B7020" s="1"/>
      <c r="H7020">
        <v>53.38</v>
      </c>
      <c r="J7020" t="s">
        <v>20</v>
      </c>
      <c r="L7020" s="1"/>
      <c r="N7020" s="1"/>
      <c r="V7020" t="str">
        <f>"75014"</f>
        <v>75014</v>
      </c>
      <c r="W7020">
        <v>0</v>
      </c>
      <c r="X7020">
        <v>0</v>
      </c>
    </row>
    <row r="7021" spans="1:24" ht="15" customHeight="1" x14ac:dyDescent="0.25">
      <c r="A7021" t="str">
        <f>""</f>
        <v/>
      </c>
      <c r="B7021" s="1"/>
      <c r="H7021">
        <v>55.34</v>
      </c>
      <c r="J7021" t="s">
        <v>19</v>
      </c>
      <c r="L7021" s="1"/>
      <c r="N7021" s="1"/>
      <c r="V7021" t="str">
        <f>"08350"</f>
        <v>08350</v>
      </c>
      <c r="W7021">
        <v>10.51</v>
      </c>
      <c r="X7021">
        <v>0</v>
      </c>
    </row>
    <row r="7022" spans="1:24" ht="15" customHeight="1" x14ac:dyDescent="0.25">
      <c r="A7022" t="str">
        <f>""</f>
        <v/>
      </c>
      <c r="B7022" s="1"/>
      <c r="H7022">
        <v>40</v>
      </c>
      <c r="J7022" t="s">
        <v>19</v>
      </c>
      <c r="L7022" s="1"/>
      <c r="N7022" s="1"/>
      <c r="V7022" t="str">
        <f>"59380"</f>
        <v>59380</v>
      </c>
      <c r="W7022">
        <v>7.6</v>
      </c>
      <c r="X7022">
        <v>0</v>
      </c>
    </row>
    <row r="7023" spans="1:24" ht="15" customHeight="1" x14ac:dyDescent="0.25">
      <c r="A7023" t="str">
        <f>""</f>
        <v/>
      </c>
      <c r="B7023" s="1"/>
      <c r="H7023">
        <v>180</v>
      </c>
      <c r="J7023" t="s">
        <v>23</v>
      </c>
      <c r="L7023" s="1"/>
      <c r="N7023" s="1"/>
      <c r="V7023" t="str">
        <f>"59540"</f>
        <v>59540</v>
      </c>
      <c r="W7023">
        <v>0</v>
      </c>
      <c r="X7023">
        <v>0</v>
      </c>
    </row>
    <row r="7024" spans="1:24" x14ac:dyDescent="0.25">
      <c r="A7024" t="str">
        <f>""</f>
        <v/>
      </c>
      <c r="B7024" s="1"/>
      <c r="J7024" t="s">
        <v>18</v>
      </c>
      <c r="L7024" s="1"/>
      <c r="N7024" s="1"/>
      <c r="V7024" t="str">
        <f>"35220"</f>
        <v>35220</v>
      </c>
      <c r="W7024">
        <v>0</v>
      </c>
      <c r="X7024">
        <v>0</v>
      </c>
    </row>
    <row r="7025" spans="1:24" ht="15" customHeight="1" x14ac:dyDescent="0.25">
      <c r="A7025" t="str">
        <f>""</f>
        <v/>
      </c>
      <c r="B7025" s="1"/>
      <c r="H7025">
        <v>40</v>
      </c>
      <c r="J7025" t="s">
        <v>20</v>
      </c>
      <c r="L7025" s="1"/>
      <c r="N7025" s="1"/>
      <c r="V7025" t="str">
        <f>"61100"</f>
        <v>61100</v>
      </c>
      <c r="W7025">
        <v>6.8</v>
      </c>
      <c r="X7025">
        <v>0</v>
      </c>
    </row>
    <row r="7026" spans="1:24" ht="15" customHeight="1" x14ac:dyDescent="0.25">
      <c r="A7026" t="str">
        <f>""</f>
        <v/>
      </c>
      <c r="B7026" s="1"/>
      <c r="H7026">
        <v>19.649999999999999</v>
      </c>
      <c r="J7026" t="s">
        <v>19</v>
      </c>
      <c r="L7026" s="1"/>
      <c r="N7026" s="1"/>
      <c r="V7026" t="str">
        <f>"75014"</f>
        <v>75014</v>
      </c>
      <c r="W7026">
        <v>0</v>
      </c>
      <c r="X7026">
        <v>0</v>
      </c>
    </row>
    <row r="7027" spans="1:24" ht="15" customHeight="1" x14ac:dyDescent="0.25">
      <c r="A7027" t="str">
        <f>""</f>
        <v/>
      </c>
      <c r="B7027" s="1"/>
      <c r="H7027">
        <v>19.649999999999999</v>
      </c>
      <c r="J7027" t="s">
        <v>19</v>
      </c>
      <c r="L7027" s="1"/>
      <c r="N7027" s="1"/>
      <c r="V7027" t="str">
        <f>"75014"</f>
        <v>75014</v>
      </c>
      <c r="W7027">
        <v>0</v>
      </c>
      <c r="X7027">
        <v>0</v>
      </c>
    </row>
    <row r="7028" spans="1:24" ht="15" customHeight="1" x14ac:dyDescent="0.25">
      <c r="A7028" t="str">
        <f>""</f>
        <v/>
      </c>
      <c r="B7028" s="1"/>
      <c r="H7028">
        <v>156.57</v>
      </c>
      <c r="J7028" t="s">
        <v>19</v>
      </c>
      <c r="L7028" s="1"/>
      <c r="N7028" s="1"/>
      <c r="V7028" t="str">
        <f>"14000"</f>
        <v>14000</v>
      </c>
      <c r="W7028">
        <v>26.62</v>
      </c>
      <c r="X7028">
        <v>0</v>
      </c>
    </row>
    <row r="7029" spans="1:24" ht="15" customHeight="1" x14ac:dyDescent="0.25">
      <c r="A7029" t="str">
        <f>""</f>
        <v/>
      </c>
      <c r="B7029" s="1"/>
      <c r="H7029">
        <v>192.65</v>
      </c>
      <c r="L7029" s="1"/>
      <c r="N7029" s="1"/>
      <c r="V7029" t="str">
        <f>"77184"</f>
        <v>77184</v>
      </c>
      <c r="W7029">
        <v>0</v>
      </c>
      <c r="X7029">
        <v>0</v>
      </c>
    </row>
    <row r="7030" spans="1:24" ht="15" customHeight="1" x14ac:dyDescent="0.25">
      <c r="A7030" t="str">
        <f>""</f>
        <v/>
      </c>
      <c r="B7030" s="1"/>
      <c r="H7030">
        <v>40</v>
      </c>
      <c r="J7030" t="s">
        <v>23</v>
      </c>
      <c r="L7030" s="1"/>
      <c r="N7030" s="1"/>
      <c r="V7030" t="str">
        <f>"06000"</f>
        <v>06000</v>
      </c>
      <c r="W7030">
        <v>0</v>
      </c>
      <c r="X7030">
        <v>8.4</v>
      </c>
    </row>
    <row r="7031" spans="1:24" ht="15" customHeight="1" x14ac:dyDescent="0.25">
      <c r="A7031" t="str">
        <f>""</f>
        <v/>
      </c>
      <c r="B7031" s="1"/>
      <c r="H7031">
        <v>181</v>
      </c>
      <c r="J7031" t="s">
        <v>20</v>
      </c>
      <c r="L7031" s="1"/>
      <c r="N7031" s="1"/>
      <c r="V7031" t="str">
        <f>"13100"</f>
        <v>13100</v>
      </c>
      <c r="W7031">
        <v>52.49</v>
      </c>
      <c r="X7031">
        <v>0</v>
      </c>
    </row>
    <row r="7032" spans="1:24" ht="15" customHeight="1" x14ac:dyDescent="0.25">
      <c r="A7032" t="str">
        <f>""</f>
        <v/>
      </c>
      <c r="B7032" s="1"/>
      <c r="H7032">
        <v>55.34</v>
      </c>
      <c r="J7032" t="s">
        <v>20</v>
      </c>
      <c r="L7032" s="1"/>
      <c r="N7032" s="1"/>
      <c r="V7032" t="str">
        <f>"45000"</f>
        <v>45000</v>
      </c>
      <c r="W7032">
        <v>11.62</v>
      </c>
      <c r="X7032">
        <v>0</v>
      </c>
    </row>
    <row r="7033" spans="1:24" ht="15" customHeight="1" x14ac:dyDescent="0.25">
      <c r="A7033" t="str">
        <f>""</f>
        <v/>
      </c>
      <c r="B7033" s="1"/>
      <c r="H7033">
        <v>53.8</v>
      </c>
      <c r="L7033" s="1"/>
      <c r="N7033" s="1"/>
      <c r="V7033" t="str">
        <f>"77184"</f>
        <v>77184</v>
      </c>
      <c r="W7033">
        <v>0</v>
      </c>
      <c r="X7033">
        <v>0</v>
      </c>
    </row>
    <row r="7034" spans="1:24" ht="15" customHeight="1" x14ac:dyDescent="0.25">
      <c r="A7034" t="str">
        <f>""</f>
        <v/>
      </c>
      <c r="B7034" s="1"/>
      <c r="H7034">
        <v>20</v>
      </c>
      <c r="L7034" s="1"/>
      <c r="N7034" s="1"/>
      <c r="V7034" t="str">
        <f>"77184"</f>
        <v>77184</v>
      </c>
      <c r="W7034">
        <v>0</v>
      </c>
      <c r="X7034">
        <v>0</v>
      </c>
    </row>
    <row r="7035" spans="1:24" ht="15" customHeight="1" x14ac:dyDescent="0.25">
      <c r="A7035" t="str">
        <f>""</f>
        <v/>
      </c>
      <c r="B7035" s="1"/>
      <c r="H7035">
        <v>32.65</v>
      </c>
      <c r="L7035" s="1"/>
      <c r="N7035" s="1"/>
      <c r="V7035" t="str">
        <f>"77184"</f>
        <v>77184</v>
      </c>
      <c r="W7035">
        <v>0</v>
      </c>
      <c r="X7035">
        <v>0</v>
      </c>
    </row>
    <row r="7036" spans="1:24" ht="15" customHeight="1" x14ac:dyDescent="0.25">
      <c r="A7036" t="str">
        <f>""</f>
        <v/>
      </c>
      <c r="B7036" s="1"/>
      <c r="H7036">
        <v>26</v>
      </c>
      <c r="L7036" s="1"/>
      <c r="N7036" s="1"/>
      <c r="V7036" t="str">
        <f>"77184"</f>
        <v>77184</v>
      </c>
      <c r="W7036">
        <v>0</v>
      </c>
      <c r="X7036">
        <v>0</v>
      </c>
    </row>
    <row r="7037" spans="1:24" ht="15" customHeight="1" x14ac:dyDescent="0.25">
      <c r="A7037" t="str">
        <f>""</f>
        <v/>
      </c>
      <c r="B7037" s="1"/>
      <c r="H7037">
        <v>160.97999999999999</v>
      </c>
      <c r="J7037" t="s">
        <v>20</v>
      </c>
      <c r="L7037" s="1"/>
      <c r="N7037" s="1"/>
      <c r="V7037" t="str">
        <f>"59493"</f>
        <v>59493</v>
      </c>
      <c r="W7037">
        <v>30.59</v>
      </c>
      <c r="X7037">
        <v>0</v>
      </c>
    </row>
    <row r="7038" spans="1:24" ht="15" customHeight="1" x14ac:dyDescent="0.25">
      <c r="A7038" t="str">
        <f>""</f>
        <v/>
      </c>
      <c r="B7038" s="1"/>
      <c r="H7038">
        <v>18.350000000000001</v>
      </c>
      <c r="J7038" t="s">
        <v>20</v>
      </c>
      <c r="L7038" s="1"/>
      <c r="N7038" s="1"/>
      <c r="V7038" t="str">
        <f>"22190"</f>
        <v>22190</v>
      </c>
      <c r="W7038">
        <v>7.16</v>
      </c>
      <c r="X7038">
        <v>0</v>
      </c>
    </row>
    <row r="7039" spans="1:24" ht="15" customHeight="1" x14ac:dyDescent="0.25">
      <c r="A7039" t="str">
        <f>""</f>
        <v/>
      </c>
      <c r="B7039" s="1"/>
      <c r="H7039">
        <v>400</v>
      </c>
      <c r="J7039" t="s">
        <v>22</v>
      </c>
      <c r="L7039" s="1"/>
      <c r="N7039" s="1"/>
      <c r="V7039" t="str">
        <f>"54000"</f>
        <v>54000</v>
      </c>
      <c r="W7039">
        <v>0</v>
      </c>
      <c r="X7039">
        <v>100</v>
      </c>
    </row>
    <row r="7040" spans="1:24" ht="15" customHeight="1" x14ac:dyDescent="0.25">
      <c r="A7040" t="str">
        <f>""</f>
        <v/>
      </c>
      <c r="B7040" s="1"/>
      <c r="H7040">
        <v>19.89</v>
      </c>
      <c r="J7040" t="s">
        <v>19</v>
      </c>
      <c r="L7040" s="1"/>
      <c r="N7040" s="1"/>
      <c r="V7040" t="str">
        <f>"06560"</f>
        <v>06560</v>
      </c>
      <c r="W7040">
        <v>5.97</v>
      </c>
      <c r="X7040">
        <v>0</v>
      </c>
    </row>
    <row r="7041" spans="1:24" ht="15" customHeight="1" x14ac:dyDescent="0.25">
      <c r="A7041" t="str">
        <f>""</f>
        <v/>
      </c>
      <c r="B7041" s="1"/>
      <c r="H7041">
        <v>69.599999999999994</v>
      </c>
      <c r="J7041" t="s">
        <v>19</v>
      </c>
      <c r="L7041" s="1"/>
      <c r="N7041" s="1"/>
      <c r="V7041" t="str">
        <f>"75006"</f>
        <v>75006</v>
      </c>
      <c r="W7041">
        <v>0</v>
      </c>
      <c r="X7041">
        <v>0</v>
      </c>
    </row>
    <row r="7042" spans="1:24" ht="15" customHeight="1" x14ac:dyDescent="0.25">
      <c r="A7042" t="str">
        <f>""</f>
        <v/>
      </c>
      <c r="B7042" s="1"/>
      <c r="H7042">
        <v>180.98</v>
      </c>
      <c r="J7042" t="s">
        <v>20</v>
      </c>
      <c r="L7042" s="1"/>
      <c r="N7042" s="1"/>
      <c r="V7042" t="str">
        <f>"13117"</f>
        <v>13117</v>
      </c>
      <c r="W7042">
        <v>52.48</v>
      </c>
      <c r="X7042">
        <v>0</v>
      </c>
    </row>
    <row r="7043" spans="1:24" ht="15" customHeight="1" x14ac:dyDescent="0.25">
      <c r="A7043" t="str">
        <f>""</f>
        <v/>
      </c>
      <c r="B7043" s="1"/>
      <c r="H7043">
        <v>425.78</v>
      </c>
      <c r="J7043" t="s">
        <v>20</v>
      </c>
      <c r="L7043" s="1"/>
      <c r="N7043" s="1"/>
      <c r="V7043" t="str">
        <f>"16120"</f>
        <v>16120</v>
      </c>
      <c r="W7043">
        <v>89.41</v>
      </c>
      <c r="X7043">
        <v>0</v>
      </c>
    </row>
    <row r="7044" spans="1:24" ht="15" customHeight="1" x14ac:dyDescent="0.25">
      <c r="A7044" t="str">
        <f>""</f>
        <v/>
      </c>
      <c r="B7044" s="1"/>
      <c r="H7044">
        <v>250</v>
      </c>
      <c r="J7044" t="s">
        <v>23</v>
      </c>
      <c r="L7044" s="1"/>
      <c r="N7044" s="1"/>
      <c r="V7044" t="str">
        <f>"91630"</f>
        <v>91630</v>
      </c>
      <c r="W7044">
        <v>0</v>
      </c>
      <c r="X7044">
        <v>0</v>
      </c>
    </row>
    <row r="7045" spans="1:24" ht="15" customHeight="1" x14ac:dyDescent="0.25">
      <c r="A7045" t="str">
        <f>""</f>
        <v/>
      </c>
      <c r="B7045" s="1"/>
      <c r="H7045">
        <v>70</v>
      </c>
      <c r="J7045" t="s">
        <v>23</v>
      </c>
      <c r="L7045" s="1"/>
      <c r="N7045" s="1"/>
      <c r="V7045" t="str">
        <f>"35000"</f>
        <v>35000</v>
      </c>
      <c r="W7045">
        <v>0</v>
      </c>
      <c r="X7045">
        <v>0</v>
      </c>
    </row>
    <row r="7046" spans="1:24" ht="15" customHeight="1" x14ac:dyDescent="0.25">
      <c r="A7046" t="str">
        <f>""</f>
        <v/>
      </c>
      <c r="B7046" s="1"/>
      <c r="H7046">
        <v>183.98</v>
      </c>
      <c r="J7046" t="s">
        <v>19</v>
      </c>
      <c r="L7046" s="1"/>
      <c r="N7046" s="1"/>
      <c r="V7046" t="str">
        <f>"44115"</f>
        <v>44115</v>
      </c>
      <c r="W7046">
        <v>49.67</v>
      </c>
      <c r="X7046">
        <v>0</v>
      </c>
    </row>
    <row r="7047" spans="1:24" ht="15" customHeight="1" x14ac:dyDescent="0.25">
      <c r="A7047" t="str">
        <f>""</f>
        <v/>
      </c>
      <c r="B7047" s="1"/>
      <c r="H7047">
        <v>250</v>
      </c>
      <c r="J7047" t="s">
        <v>23</v>
      </c>
      <c r="L7047" s="1"/>
      <c r="N7047" s="1"/>
      <c r="V7047" t="str">
        <f>"14150"</f>
        <v>14150</v>
      </c>
      <c r="W7047">
        <v>0</v>
      </c>
      <c r="X7047">
        <v>0</v>
      </c>
    </row>
    <row r="7048" spans="1:24" ht="15" customHeight="1" x14ac:dyDescent="0.25">
      <c r="A7048" t="str">
        <f>""</f>
        <v/>
      </c>
      <c r="B7048" s="1"/>
      <c r="H7048">
        <v>126.65</v>
      </c>
      <c r="J7048" t="s">
        <v>20</v>
      </c>
      <c r="L7048" s="1"/>
      <c r="N7048" s="1"/>
      <c r="V7048" t="str">
        <f>"67230"</f>
        <v>67230</v>
      </c>
      <c r="W7048">
        <v>36.729999999999997</v>
      </c>
      <c r="X7048">
        <v>0</v>
      </c>
    </row>
    <row r="7049" spans="1:24" ht="15" customHeight="1" x14ac:dyDescent="0.25">
      <c r="A7049" t="str">
        <f>""</f>
        <v/>
      </c>
      <c r="B7049" s="1"/>
      <c r="H7049">
        <v>70</v>
      </c>
      <c r="J7049" t="s">
        <v>22</v>
      </c>
      <c r="L7049" s="1"/>
      <c r="V7049" t="str">
        <f>"62180"</f>
        <v>62180</v>
      </c>
      <c r="W7049">
        <v>0</v>
      </c>
      <c r="X7049">
        <v>0</v>
      </c>
    </row>
    <row r="7050" spans="1:24" ht="15" customHeight="1" x14ac:dyDescent="0.25">
      <c r="A7050" t="str">
        <f>""</f>
        <v/>
      </c>
      <c r="B7050" s="1"/>
      <c r="H7050">
        <v>140</v>
      </c>
      <c r="J7050" t="s">
        <v>22</v>
      </c>
      <c r="L7050" s="1"/>
      <c r="N7050" s="1"/>
      <c r="V7050" t="str">
        <f>"67960"</f>
        <v>67960</v>
      </c>
      <c r="W7050">
        <v>0</v>
      </c>
      <c r="X7050">
        <v>11.2</v>
      </c>
    </row>
    <row r="7051" spans="1:24" ht="15" customHeight="1" x14ac:dyDescent="0.25">
      <c r="A7051" t="str">
        <f>""</f>
        <v/>
      </c>
      <c r="B7051" s="1"/>
      <c r="H7051">
        <v>100.42</v>
      </c>
      <c r="J7051" t="s">
        <v>20</v>
      </c>
      <c r="L7051" s="1"/>
      <c r="N7051" s="1"/>
      <c r="V7051" t="str">
        <f>"19100"</f>
        <v>19100</v>
      </c>
      <c r="W7051">
        <v>29.12</v>
      </c>
      <c r="X7051">
        <v>0</v>
      </c>
    </row>
    <row r="7052" spans="1:24" ht="15" customHeight="1" x14ac:dyDescent="0.25">
      <c r="A7052" t="str">
        <f>""</f>
        <v/>
      </c>
      <c r="B7052" s="1"/>
      <c r="H7052">
        <v>100.8</v>
      </c>
      <c r="J7052" t="s">
        <v>20</v>
      </c>
      <c r="L7052" s="1"/>
      <c r="N7052" s="1"/>
      <c r="V7052" t="str">
        <f>"19100"</f>
        <v>19100</v>
      </c>
      <c r="W7052">
        <v>29.23</v>
      </c>
      <c r="X7052">
        <v>0</v>
      </c>
    </row>
    <row r="7053" spans="1:24" ht="15" customHeight="1" x14ac:dyDescent="0.25">
      <c r="A7053" t="str">
        <f>""</f>
        <v/>
      </c>
      <c r="B7053" s="1"/>
      <c r="H7053">
        <v>367.19</v>
      </c>
      <c r="J7053" t="s">
        <v>20</v>
      </c>
      <c r="L7053" s="1"/>
      <c r="N7053" s="1"/>
      <c r="V7053" t="str">
        <f>"69560"</f>
        <v>69560</v>
      </c>
      <c r="W7053">
        <v>99.14</v>
      </c>
      <c r="X7053">
        <v>0</v>
      </c>
    </row>
    <row r="7054" spans="1:24" ht="15" customHeight="1" x14ac:dyDescent="0.25">
      <c r="A7054" t="str">
        <f>""</f>
        <v/>
      </c>
      <c r="B7054" s="1"/>
      <c r="H7054">
        <v>35</v>
      </c>
      <c r="J7054" t="s">
        <v>22</v>
      </c>
      <c r="L7054" s="1"/>
      <c r="N7054" s="1"/>
      <c r="V7054" t="str">
        <f>"44000"</f>
        <v>44000</v>
      </c>
      <c r="W7054">
        <v>0</v>
      </c>
      <c r="X7054">
        <v>0</v>
      </c>
    </row>
    <row r="7055" spans="1:24" ht="15" customHeight="1" x14ac:dyDescent="0.25">
      <c r="A7055" t="str">
        <f>""</f>
        <v/>
      </c>
      <c r="B7055" s="1"/>
      <c r="H7055">
        <v>86.54</v>
      </c>
      <c r="J7055" t="s">
        <v>20</v>
      </c>
      <c r="L7055" s="1"/>
      <c r="N7055" s="1"/>
      <c r="V7055" t="str">
        <f>"14650"</f>
        <v>14650</v>
      </c>
      <c r="W7055">
        <v>14.71</v>
      </c>
      <c r="X7055">
        <v>0</v>
      </c>
    </row>
    <row r="7056" spans="1:24" ht="15" customHeight="1" x14ac:dyDescent="0.25">
      <c r="A7056" t="str">
        <f>""</f>
        <v/>
      </c>
      <c r="B7056" s="1"/>
      <c r="H7056">
        <v>19.8</v>
      </c>
      <c r="J7056" t="s">
        <v>20</v>
      </c>
      <c r="L7056" s="1"/>
      <c r="N7056" s="1"/>
      <c r="V7056" t="str">
        <f>"92069"</f>
        <v>92069</v>
      </c>
      <c r="W7056">
        <v>0</v>
      </c>
      <c r="X7056">
        <v>0</v>
      </c>
    </row>
    <row r="7057" spans="1:24" ht="15" customHeight="1" x14ac:dyDescent="0.25">
      <c r="A7057" t="str">
        <f>""</f>
        <v/>
      </c>
      <c r="B7057" s="1"/>
      <c r="H7057">
        <v>120.29</v>
      </c>
      <c r="J7057" t="s">
        <v>20</v>
      </c>
      <c r="L7057" s="1"/>
      <c r="N7057" s="1"/>
      <c r="V7057" t="str">
        <f>"86036"</f>
        <v>86036</v>
      </c>
      <c r="W7057">
        <v>25.26</v>
      </c>
      <c r="X7057">
        <v>0</v>
      </c>
    </row>
    <row r="7058" spans="1:24" ht="15" customHeight="1" x14ac:dyDescent="0.25">
      <c r="A7058" t="str">
        <f>""</f>
        <v/>
      </c>
      <c r="B7058" s="1"/>
      <c r="H7058">
        <v>40</v>
      </c>
      <c r="J7058" t="s">
        <v>20</v>
      </c>
      <c r="L7058" s="1"/>
      <c r="N7058" s="1"/>
      <c r="V7058" t="str">
        <f>"33300"</f>
        <v>33300</v>
      </c>
      <c r="W7058">
        <v>8.4</v>
      </c>
      <c r="X7058">
        <v>0</v>
      </c>
    </row>
    <row r="7059" spans="1:24" ht="15" customHeight="1" x14ac:dyDescent="0.25">
      <c r="A7059" t="str">
        <f>""</f>
        <v/>
      </c>
      <c r="B7059" s="1"/>
      <c r="H7059">
        <v>40</v>
      </c>
      <c r="J7059" t="s">
        <v>19</v>
      </c>
      <c r="L7059" s="1"/>
      <c r="N7059" s="1"/>
      <c r="V7059" t="str">
        <f>"44000"</f>
        <v>44000</v>
      </c>
      <c r="W7059">
        <v>10.8</v>
      </c>
      <c r="X7059">
        <v>0</v>
      </c>
    </row>
    <row r="7060" spans="1:24" ht="15" customHeight="1" x14ac:dyDescent="0.25">
      <c r="A7060" t="str">
        <f>""</f>
        <v/>
      </c>
      <c r="B7060" s="1"/>
      <c r="H7060">
        <v>151</v>
      </c>
      <c r="J7060" t="s">
        <v>23</v>
      </c>
      <c r="L7060" s="1"/>
      <c r="N7060" s="1"/>
      <c r="V7060" t="str">
        <f>"74360"</f>
        <v>74360</v>
      </c>
      <c r="W7060">
        <v>0</v>
      </c>
      <c r="X7060">
        <v>0</v>
      </c>
    </row>
    <row r="7061" spans="1:24" ht="15" customHeight="1" x14ac:dyDescent="0.25">
      <c r="A7061" t="str">
        <f>""</f>
        <v/>
      </c>
      <c r="B7061" s="1"/>
      <c r="H7061">
        <v>140</v>
      </c>
      <c r="J7061" t="s">
        <v>20</v>
      </c>
      <c r="L7061" s="1"/>
      <c r="N7061" s="1"/>
      <c r="V7061" t="str">
        <f>"07350"</f>
        <v>07350</v>
      </c>
      <c r="W7061">
        <v>37.799999999999997</v>
      </c>
      <c r="X7061">
        <v>0</v>
      </c>
    </row>
    <row r="7062" spans="1:24" x14ac:dyDescent="0.25">
      <c r="A7062" t="str">
        <f>""</f>
        <v/>
      </c>
      <c r="B7062" s="1"/>
      <c r="H7062">
        <v>284</v>
      </c>
      <c r="J7062" t="s">
        <v>17</v>
      </c>
      <c r="L7062" s="1"/>
      <c r="N7062" s="1"/>
      <c r="V7062" t="str">
        <f>"94150"</f>
        <v>94150</v>
      </c>
      <c r="W7062">
        <v>0</v>
      </c>
      <c r="X7062">
        <v>0</v>
      </c>
    </row>
    <row r="7063" spans="1:24" ht="15" customHeight="1" x14ac:dyDescent="0.25">
      <c r="A7063" t="str">
        <f>""</f>
        <v/>
      </c>
      <c r="B7063" s="1"/>
      <c r="H7063">
        <v>125</v>
      </c>
      <c r="L7063" s="1"/>
      <c r="N7063" s="1"/>
      <c r="V7063" t="str">
        <f>"77184"</f>
        <v>77184</v>
      </c>
      <c r="W7063">
        <v>0</v>
      </c>
      <c r="X7063">
        <v>0</v>
      </c>
    </row>
    <row r="7064" spans="1:24" ht="15" customHeight="1" x14ac:dyDescent="0.25">
      <c r="A7064" t="str">
        <f>""</f>
        <v/>
      </c>
      <c r="B7064" s="1"/>
      <c r="H7064">
        <v>3.23</v>
      </c>
      <c r="J7064" t="s">
        <v>19</v>
      </c>
      <c r="L7064" s="1"/>
      <c r="N7064" s="1"/>
      <c r="V7064" t="str">
        <f>"13103"</f>
        <v>13103</v>
      </c>
      <c r="W7064">
        <v>0.94</v>
      </c>
      <c r="X7064">
        <v>0</v>
      </c>
    </row>
    <row r="7065" spans="1:24" ht="15" customHeight="1" x14ac:dyDescent="0.25">
      <c r="A7065" t="str">
        <f>""</f>
        <v/>
      </c>
      <c r="B7065" s="1"/>
      <c r="H7065">
        <v>203.61</v>
      </c>
      <c r="J7065" t="s">
        <v>20</v>
      </c>
      <c r="L7065" s="1"/>
      <c r="N7065" s="1"/>
      <c r="V7065" t="str">
        <f>"25000"</f>
        <v>25000</v>
      </c>
      <c r="W7065">
        <v>48.87</v>
      </c>
      <c r="X7065">
        <v>0</v>
      </c>
    </row>
    <row r="7066" spans="1:24" ht="15" customHeight="1" x14ac:dyDescent="0.25">
      <c r="A7066" t="str">
        <f>""</f>
        <v/>
      </c>
      <c r="B7066" s="1"/>
      <c r="H7066">
        <v>140</v>
      </c>
      <c r="J7066" t="s">
        <v>23</v>
      </c>
      <c r="L7066" s="1"/>
      <c r="N7066" s="1"/>
      <c r="V7066" t="str">
        <f>"59770"</f>
        <v>59770</v>
      </c>
      <c r="W7066">
        <v>0</v>
      </c>
      <c r="X7066">
        <v>0</v>
      </c>
    </row>
    <row r="7067" spans="1:24" ht="15" customHeight="1" x14ac:dyDescent="0.25">
      <c r="A7067" t="str">
        <f>""</f>
        <v/>
      </c>
      <c r="B7067" s="1"/>
      <c r="H7067">
        <v>40</v>
      </c>
      <c r="J7067" t="s">
        <v>23</v>
      </c>
      <c r="L7067" s="1"/>
      <c r="N7067" s="1"/>
      <c r="V7067" t="str">
        <f>"02190"</f>
        <v>02190</v>
      </c>
      <c r="W7067">
        <v>0</v>
      </c>
      <c r="X7067">
        <v>0</v>
      </c>
    </row>
    <row r="7068" spans="1:24" ht="15" customHeight="1" x14ac:dyDescent="0.25">
      <c r="A7068" t="str">
        <f>""</f>
        <v/>
      </c>
      <c r="B7068" s="1"/>
      <c r="H7068">
        <v>76.92</v>
      </c>
      <c r="J7068" t="s">
        <v>22</v>
      </c>
      <c r="L7068" s="1"/>
      <c r="N7068" s="1"/>
      <c r="V7068" t="str">
        <f>"59287"</f>
        <v>59287</v>
      </c>
      <c r="W7068">
        <v>0</v>
      </c>
      <c r="X7068">
        <v>0</v>
      </c>
    </row>
    <row r="7069" spans="1:24" x14ac:dyDescent="0.25">
      <c r="A7069" t="str">
        <f>""</f>
        <v/>
      </c>
      <c r="B7069" s="1"/>
      <c r="H7069">
        <v>69.540000000000006</v>
      </c>
      <c r="J7069" t="s">
        <v>15</v>
      </c>
      <c r="L7069" s="1"/>
      <c r="N7069" s="1"/>
      <c r="V7069" t="str">
        <f>"14000"</f>
        <v>14000</v>
      </c>
      <c r="W7069">
        <v>0</v>
      </c>
      <c r="X7069">
        <v>0</v>
      </c>
    </row>
    <row r="7070" spans="1:24" ht="15" customHeight="1" x14ac:dyDescent="0.25">
      <c r="A7070" t="str">
        <f>""</f>
        <v/>
      </c>
      <c r="B7070" s="1"/>
      <c r="H7070">
        <v>139.22</v>
      </c>
      <c r="J7070" t="s">
        <v>19</v>
      </c>
      <c r="L7070" s="1"/>
      <c r="N7070" s="1"/>
      <c r="V7070" t="str">
        <f>"69230"</f>
        <v>69230</v>
      </c>
      <c r="W7070">
        <v>37.590000000000003</v>
      </c>
      <c r="X7070">
        <v>0</v>
      </c>
    </row>
    <row r="7071" spans="1:24" ht="15" customHeight="1" x14ac:dyDescent="0.25">
      <c r="A7071" t="str">
        <f>""</f>
        <v/>
      </c>
      <c r="B7071" s="1"/>
      <c r="H7071">
        <v>75.14</v>
      </c>
      <c r="J7071" t="s">
        <v>20</v>
      </c>
      <c r="L7071" s="1"/>
      <c r="N7071" s="1"/>
      <c r="V7071" t="str">
        <f>"83170"</f>
        <v>83170</v>
      </c>
      <c r="W7071">
        <v>22.54</v>
      </c>
      <c r="X7071">
        <v>0</v>
      </c>
    </row>
    <row r="7072" spans="1:24" ht="15" customHeight="1" x14ac:dyDescent="0.25">
      <c r="A7072" t="str">
        <f>""</f>
        <v/>
      </c>
      <c r="B7072" s="1"/>
      <c r="H7072">
        <v>190.41</v>
      </c>
      <c r="J7072" t="s">
        <v>19</v>
      </c>
      <c r="L7072" s="1"/>
      <c r="N7072" s="1"/>
      <c r="V7072" t="str">
        <f>"75019"</f>
        <v>75019</v>
      </c>
      <c r="W7072">
        <v>0</v>
      </c>
      <c r="X7072">
        <v>0</v>
      </c>
    </row>
    <row r="7073" spans="1:24" ht="15" customHeight="1" x14ac:dyDescent="0.25">
      <c r="A7073" t="str">
        <f>""</f>
        <v/>
      </c>
      <c r="B7073" s="1"/>
      <c r="H7073">
        <v>220</v>
      </c>
      <c r="J7073" t="s">
        <v>23</v>
      </c>
      <c r="L7073" s="1"/>
      <c r="N7073" s="1"/>
      <c r="V7073" t="str">
        <f>"93100"</f>
        <v>93100</v>
      </c>
      <c r="W7073">
        <v>0</v>
      </c>
      <c r="X7073">
        <v>0</v>
      </c>
    </row>
    <row r="7074" spans="1:24" ht="15" customHeight="1" x14ac:dyDescent="0.25">
      <c r="A7074" t="str">
        <f>""</f>
        <v/>
      </c>
      <c r="B7074" s="1"/>
      <c r="H7074">
        <v>22.5</v>
      </c>
      <c r="J7074" t="s">
        <v>22</v>
      </c>
      <c r="L7074" s="1"/>
      <c r="N7074" s="1"/>
      <c r="V7074" t="str">
        <f>"51000"</f>
        <v>51000</v>
      </c>
      <c r="W7074">
        <v>0</v>
      </c>
      <c r="X7074">
        <v>5.63</v>
      </c>
    </row>
    <row r="7075" spans="1:24" ht="15" customHeight="1" x14ac:dyDescent="0.25">
      <c r="A7075" t="str">
        <f>""</f>
        <v/>
      </c>
      <c r="B7075" s="1"/>
      <c r="H7075">
        <v>90.99</v>
      </c>
      <c r="J7075" t="s">
        <v>22</v>
      </c>
      <c r="L7075" s="1"/>
      <c r="V7075" t="str">
        <f>"69100"</f>
        <v>69100</v>
      </c>
      <c r="W7075">
        <v>0</v>
      </c>
      <c r="X7075">
        <v>0</v>
      </c>
    </row>
    <row r="7076" spans="1:24" ht="15" customHeight="1" x14ac:dyDescent="0.25">
      <c r="A7076" t="str">
        <f>""</f>
        <v/>
      </c>
      <c r="B7076" s="1"/>
      <c r="H7076">
        <v>186.4</v>
      </c>
      <c r="J7076" t="s">
        <v>22</v>
      </c>
      <c r="L7076" s="1"/>
      <c r="V7076" t="str">
        <f>"92210"</f>
        <v>92210</v>
      </c>
      <c r="W7076">
        <v>0</v>
      </c>
      <c r="X7076">
        <v>0</v>
      </c>
    </row>
    <row r="7077" spans="1:24" ht="15" customHeight="1" x14ac:dyDescent="0.25">
      <c r="A7077" t="str">
        <f>""</f>
        <v/>
      </c>
      <c r="B7077" s="1"/>
      <c r="H7077">
        <v>70</v>
      </c>
      <c r="J7077" t="s">
        <v>22</v>
      </c>
      <c r="L7077" s="1"/>
      <c r="V7077" t="str">
        <f>"71500"</f>
        <v>71500</v>
      </c>
      <c r="W7077">
        <v>0</v>
      </c>
      <c r="X7077">
        <v>0</v>
      </c>
    </row>
    <row r="7078" spans="1:24" ht="15" customHeight="1" x14ac:dyDescent="0.25">
      <c r="A7078" t="str">
        <f>""</f>
        <v/>
      </c>
      <c r="B7078" s="1"/>
      <c r="H7078">
        <v>70</v>
      </c>
      <c r="J7078" t="s">
        <v>23</v>
      </c>
      <c r="L7078" s="1"/>
      <c r="N7078" s="1"/>
      <c r="V7078" t="str">
        <f>"83190"</f>
        <v>83190</v>
      </c>
      <c r="W7078">
        <v>0</v>
      </c>
      <c r="X7078">
        <v>14.7</v>
      </c>
    </row>
    <row r="7079" spans="1:24" ht="15" customHeight="1" x14ac:dyDescent="0.25">
      <c r="A7079" t="str">
        <f>""</f>
        <v/>
      </c>
      <c r="B7079" s="1"/>
      <c r="H7079">
        <v>78.92</v>
      </c>
      <c r="J7079" t="s">
        <v>23</v>
      </c>
      <c r="L7079" s="1"/>
      <c r="V7079" t="str">
        <f>"34920"</f>
        <v>34920</v>
      </c>
      <c r="W7079">
        <v>0</v>
      </c>
      <c r="X7079">
        <v>0</v>
      </c>
    </row>
    <row r="7080" spans="1:24" x14ac:dyDescent="0.25">
      <c r="A7080" t="str">
        <f>""</f>
        <v/>
      </c>
      <c r="B7080" s="1"/>
      <c r="H7080">
        <v>140</v>
      </c>
      <c r="J7080" t="s">
        <v>16</v>
      </c>
      <c r="L7080" s="1"/>
      <c r="N7080" s="1"/>
      <c r="V7080" t="str">
        <f>"34130"</f>
        <v>34130</v>
      </c>
      <c r="W7080">
        <v>54.6</v>
      </c>
      <c r="X7080">
        <v>0</v>
      </c>
    </row>
    <row r="7081" spans="1:24" ht="15" customHeight="1" x14ac:dyDescent="0.25">
      <c r="A7081" t="str">
        <f>""</f>
        <v/>
      </c>
      <c r="B7081" s="1"/>
      <c r="H7081">
        <v>25</v>
      </c>
      <c r="J7081" t="s">
        <v>23</v>
      </c>
      <c r="L7081" s="1"/>
      <c r="N7081" s="1"/>
      <c r="V7081" t="str">
        <f>"56560"</f>
        <v>56560</v>
      </c>
      <c r="W7081">
        <v>0</v>
      </c>
      <c r="X7081">
        <v>0</v>
      </c>
    </row>
    <row r="7082" spans="1:24" x14ac:dyDescent="0.25">
      <c r="A7082" t="str">
        <f>""</f>
        <v/>
      </c>
      <c r="B7082" s="1"/>
      <c r="H7082">
        <v>121.14</v>
      </c>
      <c r="J7082" t="s">
        <v>18</v>
      </c>
      <c r="L7082" s="1"/>
      <c r="N7082" s="1"/>
      <c r="V7082" t="str">
        <f>"59000"</f>
        <v>59000</v>
      </c>
      <c r="W7082">
        <v>0</v>
      </c>
      <c r="X7082">
        <v>0</v>
      </c>
    </row>
    <row r="7083" spans="1:24" ht="15" customHeight="1" x14ac:dyDescent="0.25">
      <c r="A7083" t="str">
        <f>""</f>
        <v/>
      </c>
      <c r="B7083" s="1"/>
      <c r="H7083">
        <v>151</v>
      </c>
      <c r="J7083" t="s">
        <v>23</v>
      </c>
      <c r="L7083" s="1"/>
      <c r="V7083" t="str">
        <f>"17300"</f>
        <v>17300</v>
      </c>
      <c r="W7083">
        <v>0</v>
      </c>
      <c r="X7083">
        <v>0</v>
      </c>
    </row>
    <row r="7084" spans="1:24" ht="15" customHeight="1" x14ac:dyDescent="0.25">
      <c r="A7084" t="str">
        <f>""</f>
        <v/>
      </c>
      <c r="B7084" s="1"/>
      <c r="H7084">
        <v>28.5</v>
      </c>
      <c r="J7084" t="s">
        <v>19</v>
      </c>
      <c r="L7084" s="1"/>
      <c r="N7084" s="1"/>
      <c r="V7084" t="str">
        <f>"69125"</f>
        <v>69125</v>
      </c>
      <c r="W7084">
        <v>7.7</v>
      </c>
      <c r="X7084">
        <v>0</v>
      </c>
    </row>
    <row r="7085" spans="1:24" ht="15" customHeight="1" x14ac:dyDescent="0.25">
      <c r="A7085" t="str">
        <f>""</f>
        <v/>
      </c>
      <c r="B7085" s="1"/>
      <c r="H7085">
        <v>25</v>
      </c>
      <c r="J7085" t="s">
        <v>22</v>
      </c>
      <c r="L7085" s="1"/>
      <c r="V7085" t="str">
        <f>"70000"</f>
        <v>70000</v>
      </c>
      <c r="W7085">
        <v>0</v>
      </c>
      <c r="X7085">
        <v>0</v>
      </c>
    </row>
    <row r="7086" spans="1:24" ht="15" customHeight="1" x14ac:dyDescent="0.25">
      <c r="A7086" t="str">
        <f>""</f>
        <v/>
      </c>
      <c r="B7086" s="1"/>
      <c r="H7086">
        <v>22.5</v>
      </c>
      <c r="J7086" t="s">
        <v>22</v>
      </c>
      <c r="L7086" s="1"/>
      <c r="V7086" t="str">
        <f>"70000"</f>
        <v>70000</v>
      </c>
      <c r="W7086">
        <v>0</v>
      </c>
      <c r="X7086">
        <v>0</v>
      </c>
    </row>
    <row r="7087" spans="1:24" ht="15" customHeight="1" x14ac:dyDescent="0.25">
      <c r="A7087" t="str">
        <f>""</f>
        <v/>
      </c>
      <c r="B7087" s="1"/>
      <c r="H7087">
        <v>22.5</v>
      </c>
      <c r="J7087" t="s">
        <v>22</v>
      </c>
      <c r="L7087" s="1"/>
      <c r="N7087" s="1"/>
      <c r="V7087" t="str">
        <f>"70000"</f>
        <v>70000</v>
      </c>
      <c r="W7087">
        <v>0</v>
      </c>
      <c r="X7087">
        <v>2.7</v>
      </c>
    </row>
    <row r="7088" spans="1:24" ht="15" customHeight="1" x14ac:dyDescent="0.25">
      <c r="A7088" t="str">
        <f>""</f>
        <v/>
      </c>
      <c r="B7088" s="1"/>
      <c r="H7088">
        <v>151</v>
      </c>
      <c r="J7088" t="s">
        <v>22</v>
      </c>
      <c r="L7088" s="1"/>
      <c r="V7088" t="str">
        <f>"14110"</f>
        <v>14110</v>
      </c>
      <c r="W7088">
        <v>0</v>
      </c>
      <c r="X7088">
        <v>0</v>
      </c>
    </row>
    <row r="7089" spans="1:24" x14ac:dyDescent="0.25">
      <c r="A7089" t="str">
        <f>""</f>
        <v/>
      </c>
      <c r="B7089" s="1"/>
      <c r="H7089">
        <v>52.5</v>
      </c>
      <c r="J7089" t="s">
        <v>15</v>
      </c>
      <c r="L7089" s="1"/>
      <c r="N7089" s="1"/>
      <c r="V7089" t="str">
        <f>"76600"</f>
        <v>76600</v>
      </c>
      <c r="W7089">
        <v>0</v>
      </c>
      <c r="X7089">
        <v>0</v>
      </c>
    </row>
    <row r="7090" spans="1:24" x14ac:dyDescent="0.25">
      <c r="A7090" t="str">
        <f>""</f>
        <v/>
      </c>
      <c r="B7090" s="1"/>
      <c r="H7090">
        <v>52.5</v>
      </c>
      <c r="J7090" t="s">
        <v>15</v>
      </c>
      <c r="L7090" s="1"/>
      <c r="N7090" s="1"/>
      <c r="V7090" t="str">
        <f>"69003"</f>
        <v>69003</v>
      </c>
      <c r="W7090">
        <v>0</v>
      </c>
      <c r="X7090">
        <v>0</v>
      </c>
    </row>
    <row r="7091" spans="1:24" x14ac:dyDescent="0.25">
      <c r="A7091" t="str">
        <f>""</f>
        <v/>
      </c>
      <c r="B7091" s="1"/>
      <c r="H7091">
        <v>52.5</v>
      </c>
      <c r="J7091" t="s">
        <v>15</v>
      </c>
      <c r="L7091" s="1"/>
      <c r="N7091" s="1"/>
      <c r="V7091" t="str">
        <f>"84120"</f>
        <v>84120</v>
      </c>
      <c r="W7091">
        <v>0</v>
      </c>
      <c r="X7091">
        <v>0</v>
      </c>
    </row>
    <row r="7092" spans="1:24" x14ac:dyDescent="0.25">
      <c r="A7092" t="str">
        <f>""</f>
        <v/>
      </c>
      <c r="B7092" s="1"/>
      <c r="H7092">
        <v>52.5</v>
      </c>
      <c r="J7092" t="s">
        <v>15</v>
      </c>
      <c r="L7092" s="1"/>
      <c r="N7092" s="1"/>
      <c r="V7092" t="str">
        <f>"84000"</f>
        <v>84000</v>
      </c>
      <c r="W7092">
        <v>0</v>
      </c>
      <c r="X7092">
        <v>0</v>
      </c>
    </row>
    <row r="7093" spans="1:24" x14ac:dyDescent="0.25">
      <c r="A7093" t="str">
        <f>""</f>
        <v/>
      </c>
      <c r="B7093" s="1"/>
      <c r="H7093">
        <v>52.5</v>
      </c>
      <c r="J7093" t="s">
        <v>15</v>
      </c>
      <c r="L7093" s="1"/>
      <c r="N7093" s="1"/>
      <c r="V7093" t="str">
        <f>"69120"</f>
        <v>69120</v>
      </c>
      <c r="W7093">
        <v>0</v>
      </c>
      <c r="X7093">
        <v>0</v>
      </c>
    </row>
    <row r="7094" spans="1:24" x14ac:dyDescent="0.25">
      <c r="A7094" t="str">
        <f>""</f>
        <v/>
      </c>
      <c r="B7094" s="1"/>
      <c r="H7094">
        <v>52.5</v>
      </c>
      <c r="J7094" t="s">
        <v>15</v>
      </c>
      <c r="L7094" s="1"/>
      <c r="N7094" s="1"/>
      <c r="V7094" t="str">
        <f>"69100"</f>
        <v>69100</v>
      </c>
      <c r="W7094">
        <v>0</v>
      </c>
      <c r="X7094">
        <v>0</v>
      </c>
    </row>
    <row r="7095" spans="1:24" ht="15" customHeight="1" x14ac:dyDescent="0.25">
      <c r="A7095" t="str">
        <f>""</f>
        <v/>
      </c>
      <c r="B7095" s="1"/>
      <c r="H7095">
        <v>25</v>
      </c>
      <c r="J7095" t="s">
        <v>23</v>
      </c>
      <c r="L7095" s="1"/>
      <c r="N7095" s="1"/>
      <c r="V7095" t="str">
        <f>"94120"</f>
        <v>94120</v>
      </c>
      <c r="W7095">
        <v>0</v>
      </c>
      <c r="X7095">
        <v>0</v>
      </c>
    </row>
    <row r="7096" spans="1:24" ht="15" customHeight="1" x14ac:dyDescent="0.25">
      <c r="A7096" t="str">
        <f>""</f>
        <v/>
      </c>
      <c r="B7096" s="1"/>
      <c r="H7096">
        <v>140</v>
      </c>
      <c r="J7096" t="s">
        <v>22</v>
      </c>
      <c r="L7096" s="1"/>
      <c r="N7096" s="1"/>
      <c r="V7096" t="str">
        <f>"93290"</f>
        <v>93290</v>
      </c>
      <c r="W7096">
        <v>0</v>
      </c>
      <c r="X7096">
        <v>0</v>
      </c>
    </row>
    <row r="7097" spans="1:24" ht="15" customHeight="1" x14ac:dyDescent="0.25">
      <c r="A7097" t="str">
        <f>""</f>
        <v/>
      </c>
      <c r="B7097" s="1"/>
      <c r="H7097">
        <v>55.16</v>
      </c>
      <c r="J7097" t="s">
        <v>19</v>
      </c>
      <c r="L7097" s="1"/>
      <c r="N7097" s="1"/>
      <c r="V7097" t="str">
        <f>"93013"</f>
        <v>93013</v>
      </c>
      <c r="W7097">
        <v>0</v>
      </c>
      <c r="X7097">
        <v>0</v>
      </c>
    </row>
    <row r="7098" spans="1:24" x14ac:dyDescent="0.25">
      <c r="A7098" t="str">
        <f>""</f>
        <v/>
      </c>
      <c r="B7098" s="1"/>
      <c r="H7098">
        <v>23.4</v>
      </c>
      <c r="J7098" t="s">
        <v>17</v>
      </c>
      <c r="L7098" s="1"/>
      <c r="N7098" s="1"/>
      <c r="V7098" t="str">
        <f>"38230"</f>
        <v>38230</v>
      </c>
      <c r="W7098">
        <v>0</v>
      </c>
      <c r="X7098">
        <v>0</v>
      </c>
    </row>
    <row r="7099" spans="1:24" ht="15" customHeight="1" x14ac:dyDescent="0.25">
      <c r="A7099" t="str">
        <f>""</f>
        <v/>
      </c>
      <c r="B7099" s="1"/>
      <c r="H7099">
        <v>19.8</v>
      </c>
      <c r="J7099" t="s">
        <v>19</v>
      </c>
      <c r="L7099" s="1"/>
      <c r="N7099" s="1"/>
      <c r="V7099" t="str">
        <f>"16380"</f>
        <v>16380</v>
      </c>
      <c r="W7099">
        <v>4.16</v>
      </c>
      <c r="X7099">
        <v>0</v>
      </c>
    </row>
    <row r="7100" spans="1:24" x14ac:dyDescent="0.25">
      <c r="A7100" t="str">
        <f>""</f>
        <v/>
      </c>
      <c r="B7100" s="1"/>
      <c r="H7100">
        <v>55</v>
      </c>
      <c r="J7100" t="s">
        <v>16</v>
      </c>
      <c r="L7100" s="1"/>
      <c r="N7100" s="1"/>
      <c r="V7100" t="str">
        <f>"51100"</f>
        <v>51100</v>
      </c>
      <c r="W7100">
        <v>13.75</v>
      </c>
      <c r="X7100">
        <v>0</v>
      </c>
    </row>
    <row r="7101" spans="1:24" ht="15" customHeight="1" x14ac:dyDescent="0.25">
      <c r="A7101" t="str">
        <f>""</f>
        <v/>
      </c>
      <c r="B7101" s="1"/>
      <c r="H7101">
        <v>55.36</v>
      </c>
      <c r="J7101" t="s">
        <v>20</v>
      </c>
      <c r="L7101" s="1"/>
      <c r="N7101" s="1"/>
      <c r="V7101" t="str">
        <f>"50400"</f>
        <v>50400</v>
      </c>
      <c r="W7101">
        <v>9.41</v>
      </c>
      <c r="X7101">
        <v>0</v>
      </c>
    </row>
    <row r="7102" spans="1:24" ht="15" customHeight="1" x14ac:dyDescent="0.25">
      <c r="A7102" t="str">
        <f>""</f>
        <v/>
      </c>
      <c r="B7102" s="1"/>
      <c r="H7102">
        <v>149.83000000000001</v>
      </c>
      <c r="J7102" t="s">
        <v>23</v>
      </c>
      <c r="L7102" s="1"/>
      <c r="N7102" s="1"/>
      <c r="V7102" t="str">
        <f>"39000"</f>
        <v>39000</v>
      </c>
      <c r="W7102">
        <v>0</v>
      </c>
      <c r="X7102">
        <v>0</v>
      </c>
    </row>
    <row r="7103" spans="1:24" ht="15" customHeight="1" x14ac:dyDescent="0.25">
      <c r="A7103" t="str">
        <f>""</f>
        <v/>
      </c>
      <c r="B7103" s="1"/>
      <c r="H7103">
        <v>55.16</v>
      </c>
      <c r="J7103" t="s">
        <v>19</v>
      </c>
      <c r="L7103" s="1"/>
      <c r="N7103" s="1"/>
      <c r="V7103" t="str">
        <f>"21160"</f>
        <v>21160</v>
      </c>
      <c r="W7103">
        <v>13.24</v>
      </c>
      <c r="X7103">
        <v>0</v>
      </c>
    </row>
    <row r="7104" spans="1:24" ht="15" customHeight="1" x14ac:dyDescent="0.25">
      <c r="A7104" t="str">
        <f>""</f>
        <v/>
      </c>
      <c r="B7104" s="1"/>
      <c r="H7104">
        <v>31</v>
      </c>
      <c r="L7104" s="1"/>
      <c r="N7104" s="1"/>
      <c r="V7104" t="str">
        <f>"77184"</f>
        <v>77184</v>
      </c>
      <c r="W7104">
        <v>0</v>
      </c>
      <c r="X7104">
        <v>0</v>
      </c>
    </row>
    <row r="7105" spans="1:24" ht="15" customHeight="1" x14ac:dyDescent="0.25">
      <c r="A7105" t="str">
        <f>""</f>
        <v/>
      </c>
      <c r="B7105" s="1"/>
      <c r="H7105">
        <v>126.4</v>
      </c>
      <c r="J7105" t="s">
        <v>23</v>
      </c>
      <c r="L7105" s="1"/>
      <c r="N7105" s="1"/>
      <c r="V7105" t="str">
        <f>"50440"</f>
        <v>50440</v>
      </c>
      <c r="W7105">
        <v>0</v>
      </c>
      <c r="X7105">
        <v>21.49</v>
      </c>
    </row>
    <row r="7106" spans="1:24" ht="15" customHeight="1" x14ac:dyDescent="0.25">
      <c r="A7106" t="str">
        <f>""</f>
        <v/>
      </c>
      <c r="B7106" s="1"/>
      <c r="H7106">
        <v>82.8</v>
      </c>
      <c r="L7106" s="1"/>
      <c r="N7106" s="1"/>
      <c r="V7106" t="str">
        <f>"77184"</f>
        <v>77184</v>
      </c>
      <c r="W7106">
        <v>0</v>
      </c>
      <c r="X7106">
        <v>0</v>
      </c>
    </row>
    <row r="7107" spans="1:24" ht="15" customHeight="1" x14ac:dyDescent="0.25">
      <c r="A7107" t="str">
        <f>""</f>
        <v/>
      </c>
      <c r="B7107" s="1"/>
      <c r="H7107">
        <v>31</v>
      </c>
      <c r="L7107" s="1"/>
      <c r="N7107" s="1"/>
      <c r="V7107" t="str">
        <f>"77184"</f>
        <v>77184</v>
      </c>
      <c r="W7107">
        <v>0</v>
      </c>
      <c r="X7107">
        <v>0</v>
      </c>
    </row>
    <row r="7108" spans="1:24" x14ac:dyDescent="0.25">
      <c r="A7108" t="str">
        <f>""</f>
        <v/>
      </c>
      <c r="B7108" s="1"/>
      <c r="H7108">
        <v>163.08000000000001</v>
      </c>
      <c r="J7108" t="s">
        <v>15</v>
      </c>
      <c r="L7108" s="1"/>
      <c r="N7108" s="1"/>
      <c r="V7108" t="str">
        <f>"63100"</f>
        <v>63100</v>
      </c>
      <c r="W7108">
        <v>0</v>
      </c>
      <c r="X7108">
        <v>0</v>
      </c>
    </row>
    <row r="7109" spans="1:24" ht="15" customHeight="1" x14ac:dyDescent="0.25">
      <c r="A7109" t="str">
        <f>""</f>
        <v/>
      </c>
      <c r="B7109" s="1"/>
      <c r="H7109">
        <v>180</v>
      </c>
      <c r="J7109" t="s">
        <v>23</v>
      </c>
      <c r="L7109" s="1"/>
      <c r="N7109" s="1"/>
      <c r="V7109" t="str">
        <f>"25000"</f>
        <v>25000</v>
      </c>
      <c r="W7109">
        <v>0</v>
      </c>
      <c r="X7109">
        <v>21.6</v>
      </c>
    </row>
    <row r="7110" spans="1:24" ht="15" customHeight="1" x14ac:dyDescent="0.25">
      <c r="A7110" t="str">
        <f>""</f>
        <v/>
      </c>
      <c r="B7110" s="1"/>
      <c r="H7110">
        <v>91</v>
      </c>
      <c r="J7110" t="s">
        <v>22</v>
      </c>
      <c r="L7110" s="1"/>
      <c r="N7110" s="1"/>
      <c r="V7110" t="str">
        <f>"70000"</f>
        <v>70000</v>
      </c>
      <c r="W7110">
        <v>0</v>
      </c>
      <c r="X7110">
        <v>0</v>
      </c>
    </row>
    <row r="7111" spans="1:24" ht="15" customHeight="1" x14ac:dyDescent="0.25">
      <c r="A7111" t="str">
        <f>""</f>
        <v/>
      </c>
      <c r="B7111" s="1"/>
      <c r="H7111">
        <v>75.16</v>
      </c>
      <c r="J7111" t="s">
        <v>19</v>
      </c>
      <c r="L7111" s="1"/>
      <c r="N7111" s="1"/>
      <c r="V7111" t="str">
        <f>"87000"</f>
        <v>87000</v>
      </c>
      <c r="W7111">
        <v>21.8</v>
      </c>
      <c r="X7111">
        <v>0</v>
      </c>
    </row>
    <row r="7112" spans="1:24" ht="15" customHeight="1" x14ac:dyDescent="0.25">
      <c r="A7112" t="str">
        <f>""</f>
        <v/>
      </c>
      <c r="B7112" s="1"/>
      <c r="H7112">
        <v>49.08</v>
      </c>
      <c r="J7112" t="s">
        <v>19</v>
      </c>
      <c r="L7112" s="1"/>
      <c r="N7112" s="1"/>
      <c r="V7112" t="str">
        <f>"56920"</f>
        <v>56920</v>
      </c>
      <c r="W7112">
        <v>13.25</v>
      </c>
      <c r="X7112">
        <v>0</v>
      </c>
    </row>
    <row r="7113" spans="1:24" ht="15" customHeight="1" x14ac:dyDescent="0.25">
      <c r="A7113" t="str">
        <f>""</f>
        <v/>
      </c>
      <c r="B7113" s="1"/>
      <c r="H7113">
        <v>180</v>
      </c>
      <c r="J7113" t="s">
        <v>23</v>
      </c>
      <c r="L7113" s="1"/>
      <c r="N7113" s="1"/>
      <c r="V7113" t="str">
        <f>"60680"</f>
        <v>60680</v>
      </c>
      <c r="W7113">
        <v>0</v>
      </c>
      <c r="X7113">
        <v>0</v>
      </c>
    </row>
    <row r="7114" spans="1:24" x14ac:dyDescent="0.25">
      <c r="A7114" t="str">
        <f>""</f>
        <v/>
      </c>
      <c r="B7114" s="1"/>
      <c r="H7114">
        <v>151</v>
      </c>
      <c r="J7114" t="s">
        <v>17</v>
      </c>
      <c r="L7114" s="1"/>
      <c r="N7114" s="1"/>
      <c r="V7114" t="str">
        <f>"67800"</f>
        <v>67800</v>
      </c>
      <c r="W7114">
        <v>0</v>
      </c>
      <c r="X7114">
        <v>0</v>
      </c>
    </row>
    <row r="7115" spans="1:24" ht="15" customHeight="1" x14ac:dyDescent="0.25">
      <c r="A7115" t="str">
        <f>""</f>
        <v/>
      </c>
      <c r="B7115" s="1"/>
      <c r="H7115">
        <v>40</v>
      </c>
      <c r="J7115" t="s">
        <v>20</v>
      </c>
      <c r="L7115" s="1"/>
      <c r="N7115" s="1"/>
      <c r="V7115" t="str">
        <f>"02190"</f>
        <v>02190</v>
      </c>
      <c r="W7115">
        <v>7.6</v>
      </c>
      <c r="X7115">
        <v>0</v>
      </c>
    </row>
    <row r="7116" spans="1:24" ht="15" customHeight="1" x14ac:dyDescent="0.25">
      <c r="A7116" t="str">
        <f>""</f>
        <v/>
      </c>
      <c r="B7116" s="1"/>
      <c r="H7116">
        <v>28</v>
      </c>
      <c r="L7116" s="1"/>
      <c r="N7116" s="1"/>
      <c r="V7116" t="str">
        <f>"44240"</f>
        <v>44240</v>
      </c>
      <c r="W7116">
        <v>0</v>
      </c>
      <c r="X7116">
        <v>0</v>
      </c>
    </row>
    <row r="7117" spans="1:24" ht="15" customHeight="1" x14ac:dyDescent="0.25">
      <c r="A7117" t="str">
        <f>""</f>
        <v/>
      </c>
      <c r="B7117" s="1"/>
      <c r="H7117">
        <v>175.82</v>
      </c>
      <c r="L7117" s="1"/>
      <c r="N7117" s="1"/>
      <c r="V7117" t="str">
        <f>"77184"</f>
        <v>77184</v>
      </c>
      <c r="W7117">
        <v>0</v>
      </c>
      <c r="X7117">
        <v>0</v>
      </c>
    </row>
    <row r="7118" spans="1:24" ht="15" customHeight="1" x14ac:dyDescent="0.25">
      <c r="A7118" t="str">
        <f>""</f>
        <v/>
      </c>
      <c r="B7118" s="1"/>
      <c r="H7118">
        <v>205.94</v>
      </c>
      <c r="J7118" t="s">
        <v>19</v>
      </c>
      <c r="L7118" s="1"/>
      <c r="N7118" s="1"/>
      <c r="V7118" t="str">
        <f>"75013"</f>
        <v>75013</v>
      </c>
      <c r="W7118">
        <v>0</v>
      </c>
      <c r="X7118">
        <v>0</v>
      </c>
    </row>
    <row r="7119" spans="1:24" ht="15" customHeight="1" x14ac:dyDescent="0.25">
      <c r="A7119" t="str">
        <f>""</f>
        <v/>
      </c>
      <c r="B7119" s="1"/>
      <c r="H7119">
        <v>40</v>
      </c>
      <c r="J7119" t="s">
        <v>22</v>
      </c>
      <c r="L7119" s="1"/>
      <c r="N7119" s="1"/>
      <c r="V7119" t="str">
        <f>"69340"</f>
        <v>69340</v>
      </c>
      <c r="W7119">
        <v>0</v>
      </c>
      <c r="X7119">
        <v>0</v>
      </c>
    </row>
    <row r="7120" spans="1:24" ht="15" customHeight="1" x14ac:dyDescent="0.25">
      <c r="A7120" t="str">
        <f>""</f>
        <v/>
      </c>
      <c r="B7120" s="1"/>
      <c r="H7120">
        <v>144.99</v>
      </c>
      <c r="J7120" t="s">
        <v>20</v>
      </c>
      <c r="L7120" s="1"/>
      <c r="N7120" s="1"/>
      <c r="V7120" t="str">
        <f>"29490"</f>
        <v>29490</v>
      </c>
      <c r="W7120">
        <v>56.55</v>
      </c>
      <c r="X7120">
        <v>0</v>
      </c>
    </row>
    <row r="7121" spans="1:24" ht="15" customHeight="1" x14ac:dyDescent="0.25">
      <c r="A7121" t="str">
        <f>""</f>
        <v/>
      </c>
      <c r="B7121" s="1"/>
      <c r="H7121">
        <v>140</v>
      </c>
      <c r="J7121" t="s">
        <v>22</v>
      </c>
      <c r="L7121" s="1"/>
      <c r="V7121" t="str">
        <f>"68250"</f>
        <v>68250</v>
      </c>
      <c r="W7121">
        <v>0</v>
      </c>
      <c r="X7121">
        <v>0</v>
      </c>
    </row>
    <row r="7122" spans="1:24" ht="15" customHeight="1" x14ac:dyDescent="0.25">
      <c r="A7122" t="str">
        <f>""</f>
        <v/>
      </c>
      <c r="B7122" s="1"/>
      <c r="H7122">
        <v>55.34</v>
      </c>
      <c r="J7122" t="s">
        <v>20</v>
      </c>
      <c r="L7122" s="1"/>
      <c r="N7122" s="1"/>
      <c r="V7122" t="str">
        <f>"83310"</f>
        <v>83310</v>
      </c>
      <c r="W7122">
        <v>16.600000000000001</v>
      </c>
      <c r="X7122">
        <v>0</v>
      </c>
    </row>
    <row r="7123" spans="1:24" ht="15" customHeight="1" x14ac:dyDescent="0.25">
      <c r="A7123" t="str">
        <f>""</f>
        <v/>
      </c>
      <c r="B7123" s="1"/>
      <c r="H7123">
        <v>33.58</v>
      </c>
      <c r="J7123" t="s">
        <v>20</v>
      </c>
      <c r="L7123" s="1"/>
      <c r="N7123" s="1"/>
      <c r="V7123" t="str">
        <f>"13009"</f>
        <v>13009</v>
      </c>
      <c r="W7123">
        <v>9.74</v>
      </c>
      <c r="X7123">
        <v>0</v>
      </c>
    </row>
    <row r="7124" spans="1:24" ht="15" customHeight="1" x14ac:dyDescent="0.25">
      <c r="A7124" t="str">
        <f>""</f>
        <v/>
      </c>
      <c r="B7124" s="1"/>
      <c r="H7124">
        <v>107.6</v>
      </c>
      <c r="J7124" t="s">
        <v>19</v>
      </c>
      <c r="L7124" s="1"/>
      <c r="N7124" s="1"/>
      <c r="V7124" t="str">
        <f>"75014"</f>
        <v>75014</v>
      </c>
      <c r="W7124">
        <v>0</v>
      </c>
      <c r="X7124">
        <v>0</v>
      </c>
    </row>
    <row r="7125" spans="1:24" ht="15" customHeight="1" x14ac:dyDescent="0.25">
      <c r="A7125" t="str">
        <f>""</f>
        <v/>
      </c>
      <c r="B7125" s="1"/>
      <c r="H7125">
        <v>104.1</v>
      </c>
      <c r="L7125" s="1"/>
      <c r="N7125" s="1"/>
      <c r="V7125" t="str">
        <f>"44240"</f>
        <v>44240</v>
      </c>
      <c r="W7125">
        <v>0</v>
      </c>
      <c r="X7125">
        <v>0</v>
      </c>
    </row>
    <row r="7126" spans="1:24" ht="15" customHeight="1" x14ac:dyDescent="0.25">
      <c r="A7126" t="str">
        <f>""</f>
        <v/>
      </c>
      <c r="B7126" s="1"/>
      <c r="J7126" t="s">
        <v>20</v>
      </c>
      <c r="L7126" s="1"/>
      <c r="N7126" s="1"/>
      <c r="V7126" t="str">
        <f>"69800"</f>
        <v>69800</v>
      </c>
      <c r="W7126">
        <v>0</v>
      </c>
      <c r="X7126">
        <v>0</v>
      </c>
    </row>
    <row r="7127" spans="1:24" x14ac:dyDescent="0.25">
      <c r="A7127" t="str">
        <f>""</f>
        <v/>
      </c>
      <c r="B7127" s="1"/>
      <c r="H7127">
        <v>70</v>
      </c>
      <c r="J7127" t="s">
        <v>17</v>
      </c>
      <c r="L7127" s="1"/>
      <c r="N7127" s="1"/>
      <c r="V7127" t="str">
        <f>"79280"</f>
        <v>79280</v>
      </c>
      <c r="W7127">
        <v>0</v>
      </c>
      <c r="X7127">
        <v>0</v>
      </c>
    </row>
    <row r="7128" spans="1:24" ht="15" customHeight="1" x14ac:dyDescent="0.25">
      <c r="A7128" t="str">
        <f>""</f>
        <v/>
      </c>
      <c r="B7128" s="1"/>
      <c r="H7128">
        <v>19.649999999999999</v>
      </c>
      <c r="J7128" t="s">
        <v>19</v>
      </c>
      <c r="L7128" s="1"/>
      <c r="N7128" s="1"/>
      <c r="V7128" t="str">
        <f>"75014"</f>
        <v>75014</v>
      </c>
      <c r="W7128">
        <v>0</v>
      </c>
      <c r="X7128">
        <v>0</v>
      </c>
    </row>
    <row r="7129" spans="1:24" ht="15" customHeight="1" x14ac:dyDescent="0.25">
      <c r="A7129" t="str">
        <f>""</f>
        <v/>
      </c>
      <c r="B7129" s="1"/>
      <c r="H7129">
        <v>84.5</v>
      </c>
      <c r="L7129" s="1"/>
      <c r="N7129" s="1"/>
      <c r="V7129" t="str">
        <f>"77184"</f>
        <v>77184</v>
      </c>
      <c r="W7129">
        <v>0</v>
      </c>
      <c r="X7129">
        <v>0</v>
      </c>
    </row>
    <row r="7130" spans="1:24" ht="15" customHeight="1" x14ac:dyDescent="0.25">
      <c r="A7130" t="str">
        <f>""</f>
        <v/>
      </c>
      <c r="B7130" s="1"/>
      <c r="H7130">
        <v>19.649999999999999</v>
      </c>
      <c r="J7130" t="s">
        <v>19</v>
      </c>
      <c r="L7130" s="1"/>
      <c r="N7130" s="1"/>
      <c r="V7130" t="str">
        <f>"75014"</f>
        <v>75014</v>
      </c>
      <c r="W7130">
        <v>0</v>
      </c>
      <c r="X7130">
        <v>0</v>
      </c>
    </row>
    <row r="7131" spans="1:24" ht="15" customHeight="1" x14ac:dyDescent="0.25">
      <c r="A7131" t="str">
        <f>""</f>
        <v/>
      </c>
      <c r="B7131" s="1"/>
      <c r="H7131">
        <v>33.6</v>
      </c>
      <c r="J7131" t="s">
        <v>22</v>
      </c>
      <c r="L7131" s="1"/>
      <c r="V7131" t="str">
        <f>"62740"</f>
        <v>62740</v>
      </c>
      <c r="W7131">
        <v>0</v>
      </c>
      <c r="X7131">
        <v>0</v>
      </c>
    </row>
    <row r="7132" spans="1:24" ht="15" customHeight="1" x14ac:dyDescent="0.25">
      <c r="A7132" t="str">
        <f>""</f>
        <v/>
      </c>
      <c r="B7132" s="1"/>
      <c r="H7132">
        <v>129.82</v>
      </c>
      <c r="J7132" t="s">
        <v>20</v>
      </c>
      <c r="L7132" s="1"/>
      <c r="N7132" s="1"/>
      <c r="V7132" t="str">
        <f>"93100"</f>
        <v>93100</v>
      </c>
      <c r="W7132">
        <v>0</v>
      </c>
      <c r="X7132">
        <v>0</v>
      </c>
    </row>
    <row r="7133" spans="1:24" ht="15" customHeight="1" x14ac:dyDescent="0.25">
      <c r="A7133" t="str">
        <f>""</f>
        <v/>
      </c>
      <c r="B7133" s="1"/>
      <c r="H7133">
        <v>50</v>
      </c>
      <c r="J7133" t="s">
        <v>23</v>
      </c>
      <c r="L7133" s="1"/>
      <c r="N7133" s="1"/>
      <c r="V7133" t="str">
        <f>"74110"</f>
        <v>74110</v>
      </c>
      <c r="W7133">
        <v>0</v>
      </c>
      <c r="X7133">
        <v>0</v>
      </c>
    </row>
    <row r="7134" spans="1:24" ht="15" customHeight="1" x14ac:dyDescent="0.25">
      <c r="A7134" t="str">
        <f>""</f>
        <v/>
      </c>
      <c r="B7134" s="1"/>
      <c r="H7134">
        <v>32</v>
      </c>
      <c r="L7134" s="1"/>
      <c r="N7134" s="1"/>
      <c r="V7134" t="str">
        <f>"77184"</f>
        <v>77184</v>
      </c>
      <c r="W7134">
        <v>0</v>
      </c>
      <c r="X7134">
        <v>0</v>
      </c>
    </row>
    <row r="7135" spans="1:24" ht="15" customHeight="1" x14ac:dyDescent="0.25">
      <c r="A7135" t="str">
        <f>""</f>
        <v/>
      </c>
      <c r="B7135" s="1"/>
      <c r="H7135">
        <v>33.6</v>
      </c>
      <c r="J7135" t="s">
        <v>23</v>
      </c>
      <c r="L7135" s="1"/>
      <c r="N7135" s="1"/>
      <c r="V7135" t="str">
        <f>"62000"</f>
        <v>62000</v>
      </c>
      <c r="W7135">
        <v>0</v>
      </c>
      <c r="X7135">
        <v>0</v>
      </c>
    </row>
    <row r="7136" spans="1:24" ht="15" customHeight="1" x14ac:dyDescent="0.25">
      <c r="A7136" t="str">
        <f>""</f>
        <v/>
      </c>
      <c r="B7136" s="1"/>
      <c r="H7136">
        <v>25</v>
      </c>
      <c r="J7136" t="s">
        <v>22</v>
      </c>
      <c r="L7136" s="1"/>
      <c r="N7136" s="1"/>
      <c r="V7136" t="str">
        <f>"78190"</f>
        <v>78190</v>
      </c>
      <c r="W7136">
        <v>0</v>
      </c>
      <c r="X7136">
        <v>0</v>
      </c>
    </row>
    <row r="7137" spans="1:24" ht="15" customHeight="1" x14ac:dyDescent="0.25">
      <c r="A7137" t="str">
        <f>""</f>
        <v/>
      </c>
      <c r="B7137" s="1"/>
      <c r="H7137">
        <v>37.24</v>
      </c>
      <c r="J7137" t="s">
        <v>22</v>
      </c>
      <c r="L7137" s="1"/>
      <c r="N7137" s="1"/>
      <c r="V7137" t="str">
        <f>"54000"</f>
        <v>54000</v>
      </c>
      <c r="W7137">
        <v>0</v>
      </c>
      <c r="X7137">
        <v>9.31</v>
      </c>
    </row>
    <row r="7138" spans="1:24" ht="15" customHeight="1" x14ac:dyDescent="0.25">
      <c r="A7138" t="str">
        <f>""</f>
        <v/>
      </c>
      <c r="B7138" s="1"/>
      <c r="H7138">
        <v>1.25</v>
      </c>
      <c r="J7138" t="s">
        <v>20</v>
      </c>
      <c r="L7138" s="1"/>
      <c r="N7138" s="1"/>
      <c r="V7138" t="str">
        <f>"67100"</f>
        <v>67100</v>
      </c>
      <c r="W7138">
        <v>0.36</v>
      </c>
      <c r="X7138">
        <v>0</v>
      </c>
    </row>
    <row r="7139" spans="1:24" ht="15" customHeight="1" x14ac:dyDescent="0.25">
      <c r="A7139" t="str">
        <f>""</f>
        <v/>
      </c>
      <c r="B7139" s="1"/>
      <c r="H7139">
        <v>166.52</v>
      </c>
      <c r="L7139" s="1"/>
      <c r="N7139" s="1"/>
      <c r="V7139" t="str">
        <f>"77184"</f>
        <v>77184</v>
      </c>
      <c r="W7139">
        <v>0</v>
      </c>
      <c r="X7139">
        <v>0</v>
      </c>
    </row>
    <row r="7140" spans="1:24" x14ac:dyDescent="0.25">
      <c r="A7140" t="str">
        <f>""</f>
        <v/>
      </c>
      <c r="B7140" s="1"/>
      <c r="H7140">
        <v>1503.29</v>
      </c>
      <c r="J7140" t="s">
        <v>18</v>
      </c>
      <c r="L7140" s="1"/>
      <c r="N7140" s="1"/>
      <c r="V7140" t="str">
        <f>"27230"</f>
        <v>27230</v>
      </c>
      <c r="W7140">
        <v>0</v>
      </c>
      <c r="X7140">
        <v>0</v>
      </c>
    </row>
    <row r="7141" spans="1:24" ht="15" customHeight="1" x14ac:dyDescent="0.25">
      <c r="A7141" t="str">
        <f>""</f>
        <v/>
      </c>
      <c r="B7141" s="1"/>
      <c r="H7141">
        <v>107.72</v>
      </c>
      <c r="J7141" t="s">
        <v>19</v>
      </c>
      <c r="L7141" s="1"/>
      <c r="N7141" s="1"/>
      <c r="V7141" t="str">
        <f>"13790"</f>
        <v>13790</v>
      </c>
      <c r="W7141">
        <v>31.24</v>
      </c>
      <c r="X7141">
        <v>0</v>
      </c>
    </row>
    <row r="7142" spans="1:24" ht="15" customHeight="1" x14ac:dyDescent="0.25">
      <c r="A7142" t="str">
        <f>""</f>
        <v/>
      </c>
      <c r="B7142" s="1"/>
      <c r="H7142">
        <v>80</v>
      </c>
      <c r="J7142" t="s">
        <v>20</v>
      </c>
      <c r="L7142" s="1"/>
      <c r="N7142" s="1"/>
      <c r="V7142" t="str">
        <f>"50000"</f>
        <v>50000</v>
      </c>
      <c r="W7142">
        <v>13.6</v>
      </c>
      <c r="X7142">
        <v>0</v>
      </c>
    </row>
    <row r="7143" spans="1:24" ht="15" customHeight="1" x14ac:dyDescent="0.25">
      <c r="A7143" t="str">
        <f>""</f>
        <v/>
      </c>
      <c r="B7143" s="1"/>
      <c r="H7143">
        <v>30.58</v>
      </c>
      <c r="J7143" t="s">
        <v>23</v>
      </c>
      <c r="L7143" s="1"/>
      <c r="V7143" t="str">
        <f>"39100"</f>
        <v>39100</v>
      </c>
      <c r="W7143">
        <v>0</v>
      </c>
      <c r="X7143">
        <v>0</v>
      </c>
    </row>
    <row r="7144" spans="1:24" ht="15" customHeight="1" x14ac:dyDescent="0.25">
      <c r="A7144" t="str">
        <f>""</f>
        <v/>
      </c>
      <c r="B7144" s="1"/>
      <c r="H7144">
        <v>47.73</v>
      </c>
      <c r="L7144" s="1"/>
      <c r="N7144" s="1"/>
      <c r="V7144" t="str">
        <f>"59810"</f>
        <v>59810</v>
      </c>
      <c r="W7144">
        <v>0</v>
      </c>
      <c r="X7144">
        <v>0</v>
      </c>
    </row>
    <row r="7145" spans="1:24" ht="15" customHeight="1" x14ac:dyDescent="0.25">
      <c r="A7145" t="str">
        <f>""</f>
        <v/>
      </c>
      <c r="B7145" s="1"/>
      <c r="H7145">
        <v>25.8</v>
      </c>
      <c r="J7145" t="s">
        <v>19</v>
      </c>
      <c r="L7145" s="1"/>
      <c r="N7145" s="1"/>
      <c r="V7145" t="str">
        <f>"38590"</f>
        <v>38590</v>
      </c>
      <c r="W7145">
        <v>6.97</v>
      </c>
      <c r="X7145">
        <v>0</v>
      </c>
    </row>
    <row r="7146" spans="1:24" ht="15" customHeight="1" x14ac:dyDescent="0.25">
      <c r="A7146" t="str">
        <f>""</f>
        <v/>
      </c>
      <c r="B7146" s="1"/>
      <c r="H7146">
        <v>120.29</v>
      </c>
      <c r="J7146" t="s">
        <v>20</v>
      </c>
      <c r="L7146" s="1"/>
      <c r="N7146" s="1"/>
      <c r="V7146" t="str">
        <f>"29870"</f>
        <v>29870</v>
      </c>
      <c r="W7146">
        <v>46.91</v>
      </c>
      <c r="X7146">
        <v>0</v>
      </c>
    </row>
    <row r="7147" spans="1:24" ht="15" customHeight="1" x14ac:dyDescent="0.25">
      <c r="A7147" t="str">
        <f>""</f>
        <v/>
      </c>
      <c r="B7147" s="1"/>
      <c r="H7147">
        <v>1142.9000000000001</v>
      </c>
      <c r="J7147" t="s">
        <v>20</v>
      </c>
      <c r="L7147" s="1"/>
      <c r="N7147" s="1"/>
      <c r="V7147" t="str">
        <f>"94150"</f>
        <v>94150</v>
      </c>
      <c r="W7147">
        <v>0</v>
      </c>
      <c r="X7147">
        <v>0</v>
      </c>
    </row>
    <row r="7148" spans="1:24" ht="15" customHeight="1" x14ac:dyDescent="0.25">
      <c r="A7148" t="str">
        <f>""</f>
        <v/>
      </c>
      <c r="B7148" s="1"/>
      <c r="H7148">
        <v>153.52000000000001</v>
      </c>
      <c r="J7148" t="s">
        <v>19</v>
      </c>
      <c r="L7148" s="1"/>
      <c r="N7148" s="1"/>
      <c r="V7148" t="str">
        <f>"76700"</f>
        <v>76700</v>
      </c>
      <c r="W7148">
        <v>26.1</v>
      </c>
      <c r="X7148">
        <v>0</v>
      </c>
    </row>
    <row r="7149" spans="1:24" x14ac:dyDescent="0.25">
      <c r="A7149" t="str">
        <f>""</f>
        <v/>
      </c>
      <c r="B7149" s="1"/>
      <c r="H7149">
        <v>140</v>
      </c>
      <c r="J7149" t="s">
        <v>18</v>
      </c>
      <c r="L7149" s="1"/>
      <c r="N7149" s="1"/>
      <c r="V7149" t="str">
        <f>"73000"</f>
        <v>73000</v>
      </c>
      <c r="W7149">
        <v>0</v>
      </c>
      <c r="X7149">
        <v>0</v>
      </c>
    </row>
    <row r="7150" spans="1:24" x14ac:dyDescent="0.25">
      <c r="A7150" t="str">
        <f>""</f>
        <v/>
      </c>
      <c r="B7150" s="1"/>
      <c r="H7150">
        <v>145.19999999999999</v>
      </c>
      <c r="J7150" t="s">
        <v>15</v>
      </c>
      <c r="L7150" s="1"/>
      <c r="N7150" s="1"/>
      <c r="V7150" t="str">
        <f>"75009"</f>
        <v>75009</v>
      </c>
      <c r="W7150">
        <v>0</v>
      </c>
      <c r="X7150">
        <v>0</v>
      </c>
    </row>
    <row r="7151" spans="1:24" ht="15" customHeight="1" x14ac:dyDescent="0.25">
      <c r="A7151" t="str">
        <f>""</f>
        <v/>
      </c>
      <c r="B7151" s="1"/>
      <c r="H7151">
        <v>39.43</v>
      </c>
      <c r="J7151" t="s">
        <v>20</v>
      </c>
      <c r="L7151" s="1"/>
      <c r="N7151" s="1"/>
      <c r="V7151" t="str">
        <f>"59310"</f>
        <v>59310</v>
      </c>
      <c r="W7151">
        <v>7.49</v>
      </c>
      <c r="X7151">
        <v>0</v>
      </c>
    </row>
    <row r="7152" spans="1:24" ht="15" customHeight="1" x14ac:dyDescent="0.25">
      <c r="A7152" t="str">
        <f>""</f>
        <v/>
      </c>
      <c r="B7152" s="1"/>
      <c r="H7152">
        <v>86.34</v>
      </c>
      <c r="J7152" t="s">
        <v>20</v>
      </c>
      <c r="L7152" s="1"/>
      <c r="N7152" s="1"/>
      <c r="V7152" t="str">
        <f>"84370"</f>
        <v>84370</v>
      </c>
      <c r="W7152">
        <v>25.04</v>
      </c>
      <c r="X7152">
        <v>0</v>
      </c>
    </row>
    <row r="7153" spans="1:24" ht="15" customHeight="1" x14ac:dyDescent="0.25">
      <c r="A7153" t="str">
        <f>""</f>
        <v/>
      </c>
      <c r="B7153" s="1"/>
      <c r="H7153">
        <v>126.65</v>
      </c>
      <c r="J7153" t="s">
        <v>20</v>
      </c>
      <c r="L7153" s="1"/>
      <c r="N7153" s="1"/>
      <c r="V7153" t="str">
        <f>"69500"</f>
        <v>69500</v>
      </c>
      <c r="W7153">
        <v>34.200000000000003</v>
      </c>
      <c r="X7153">
        <v>0</v>
      </c>
    </row>
    <row r="7154" spans="1:24" ht="15" customHeight="1" x14ac:dyDescent="0.25">
      <c r="A7154" t="str">
        <f>""</f>
        <v/>
      </c>
      <c r="B7154" s="1"/>
      <c r="H7154">
        <v>180</v>
      </c>
      <c r="J7154" t="s">
        <v>21</v>
      </c>
      <c r="L7154" s="1"/>
      <c r="N7154" s="1"/>
      <c r="V7154" t="str">
        <f>"77184"</f>
        <v>77184</v>
      </c>
      <c r="W7154">
        <v>104.4</v>
      </c>
      <c r="X7154">
        <v>0</v>
      </c>
    </row>
    <row r="7155" spans="1:24" ht="15" customHeight="1" x14ac:dyDescent="0.25">
      <c r="A7155" t="str">
        <f>""</f>
        <v/>
      </c>
      <c r="B7155" s="1"/>
      <c r="H7155">
        <v>140</v>
      </c>
      <c r="J7155" t="s">
        <v>22</v>
      </c>
      <c r="L7155" s="1"/>
      <c r="V7155" t="str">
        <f>"89000"</f>
        <v>89000</v>
      </c>
      <c r="W7155">
        <v>0</v>
      </c>
      <c r="X7155">
        <v>0</v>
      </c>
    </row>
    <row r="7156" spans="1:24" ht="15" customHeight="1" x14ac:dyDescent="0.25">
      <c r="A7156" t="str">
        <f>""</f>
        <v/>
      </c>
      <c r="B7156" s="1"/>
      <c r="H7156">
        <v>140</v>
      </c>
      <c r="J7156" t="s">
        <v>23</v>
      </c>
      <c r="L7156" s="1"/>
      <c r="V7156" t="str">
        <f>"92160"</f>
        <v>92160</v>
      </c>
      <c r="W7156">
        <v>0</v>
      </c>
      <c r="X7156">
        <v>0</v>
      </c>
    </row>
    <row r="7157" spans="1:24" ht="15" customHeight="1" x14ac:dyDescent="0.25">
      <c r="A7157" t="str">
        <f>""</f>
        <v/>
      </c>
      <c r="B7157" s="1"/>
      <c r="H7157">
        <v>153</v>
      </c>
      <c r="J7157" t="s">
        <v>22</v>
      </c>
      <c r="L7157" s="1"/>
      <c r="N7157" s="1"/>
      <c r="V7157" t="str">
        <f>"14000"</f>
        <v>14000</v>
      </c>
      <c r="W7157">
        <v>0</v>
      </c>
      <c r="X7157">
        <v>0</v>
      </c>
    </row>
    <row r="7158" spans="1:24" ht="15" customHeight="1" x14ac:dyDescent="0.25">
      <c r="A7158" t="str">
        <f>""</f>
        <v/>
      </c>
      <c r="B7158" s="1"/>
      <c r="H7158">
        <v>70</v>
      </c>
      <c r="J7158" t="s">
        <v>22</v>
      </c>
      <c r="L7158" s="1"/>
      <c r="N7158" s="1"/>
      <c r="V7158" t="str">
        <f>"37520"</f>
        <v>37520</v>
      </c>
      <c r="W7158">
        <v>0</v>
      </c>
      <c r="X7158">
        <v>0</v>
      </c>
    </row>
    <row r="7159" spans="1:24" ht="15" customHeight="1" x14ac:dyDescent="0.25">
      <c r="A7159" t="str">
        <f>""</f>
        <v/>
      </c>
      <c r="B7159" s="1"/>
      <c r="H7159">
        <v>140.46</v>
      </c>
      <c r="J7159" t="s">
        <v>23</v>
      </c>
      <c r="L7159" s="1"/>
      <c r="V7159" t="str">
        <f>"69007"</f>
        <v>69007</v>
      </c>
      <c r="W7159">
        <v>0</v>
      </c>
      <c r="X7159">
        <v>0</v>
      </c>
    </row>
    <row r="7160" spans="1:24" ht="15" customHeight="1" x14ac:dyDescent="0.25">
      <c r="A7160" t="str">
        <f>""</f>
        <v/>
      </c>
      <c r="B7160" s="1"/>
      <c r="H7160">
        <v>22.5</v>
      </c>
      <c r="J7160" t="s">
        <v>23</v>
      </c>
      <c r="L7160" s="1"/>
      <c r="N7160" s="1"/>
      <c r="V7160" t="str">
        <f>"75007"</f>
        <v>75007</v>
      </c>
      <c r="W7160">
        <v>0</v>
      </c>
      <c r="X7160">
        <v>0</v>
      </c>
    </row>
    <row r="7161" spans="1:24" ht="15" customHeight="1" x14ac:dyDescent="0.25">
      <c r="A7161" t="str">
        <f>""</f>
        <v/>
      </c>
      <c r="B7161" s="1"/>
      <c r="H7161">
        <v>100</v>
      </c>
      <c r="J7161" t="s">
        <v>23</v>
      </c>
      <c r="L7161" s="1"/>
      <c r="N7161" s="1"/>
      <c r="V7161" t="str">
        <f>"80000"</f>
        <v>80000</v>
      </c>
      <c r="W7161">
        <v>0</v>
      </c>
      <c r="X7161">
        <v>19</v>
      </c>
    </row>
    <row r="7162" spans="1:24" ht="15" customHeight="1" x14ac:dyDescent="0.25">
      <c r="A7162" t="str">
        <f>""</f>
        <v/>
      </c>
      <c r="B7162" s="1"/>
      <c r="H7162">
        <v>183.98</v>
      </c>
      <c r="J7162" t="s">
        <v>22</v>
      </c>
      <c r="L7162" s="1"/>
      <c r="N7162" s="1"/>
      <c r="V7162" t="str">
        <f>"31300"</f>
        <v>31300</v>
      </c>
      <c r="W7162">
        <v>0</v>
      </c>
      <c r="X7162">
        <v>0</v>
      </c>
    </row>
    <row r="7163" spans="1:24" x14ac:dyDescent="0.25">
      <c r="A7163" t="str">
        <f>""</f>
        <v/>
      </c>
      <c r="B7163" s="1"/>
      <c r="H7163">
        <v>99.01</v>
      </c>
      <c r="J7163" t="s">
        <v>16</v>
      </c>
      <c r="L7163" s="1"/>
      <c r="N7163" s="1"/>
      <c r="V7163" t="str">
        <f>"67400"</f>
        <v>67400</v>
      </c>
      <c r="W7163">
        <v>0</v>
      </c>
      <c r="X7163">
        <v>0</v>
      </c>
    </row>
    <row r="7164" spans="1:24" ht="15" customHeight="1" x14ac:dyDescent="0.25">
      <c r="A7164" t="str">
        <f>""</f>
        <v/>
      </c>
      <c r="B7164" s="1"/>
      <c r="J7164" t="s">
        <v>20</v>
      </c>
      <c r="L7164" s="1"/>
      <c r="N7164" s="1"/>
      <c r="V7164" t="str">
        <f>"94360"</f>
        <v>94360</v>
      </c>
      <c r="W7164">
        <v>0</v>
      </c>
      <c r="X7164">
        <v>0</v>
      </c>
    </row>
    <row r="7165" spans="1:24" ht="15" customHeight="1" x14ac:dyDescent="0.25">
      <c r="A7165" t="str">
        <f>""</f>
        <v/>
      </c>
      <c r="B7165" s="1"/>
      <c r="H7165">
        <v>174.92</v>
      </c>
      <c r="J7165" t="s">
        <v>23</v>
      </c>
      <c r="L7165" s="1"/>
      <c r="N7165" s="1"/>
      <c r="V7165" t="str">
        <f>"84000"</f>
        <v>84000</v>
      </c>
      <c r="W7165">
        <v>0</v>
      </c>
      <c r="X7165">
        <v>0</v>
      </c>
    </row>
    <row r="7166" spans="1:24" ht="15" customHeight="1" x14ac:dyDescent="0.25">
      <c r="A7166" t="str">
        <f>""</f>
        <v/>
      </c>
      <c r="B7166" s="1"/>
      <c r="H7166">
        <v>19.399999999999999</v>
      </c>
      <c r="J7166" t="s">
        <v>22</v>
      </c>
      <c r="L7166" s="1"/>
      <c r="V7166" t="str">
        <f>"27300"</f>
        <v>27300</v>
      </c>
      <c r="W7166">
        <v>0</v>
      </c>
      <c r="X7166">
        <v>0</v>
      </c>
    </row>
    <row r="7167" spans="1:24" ht="15" customHeight="1" x14ac:dyDescent="0.25">
      <c r="A7167" t="str">
        <f>""</f>
        <v/>
      </c>
      <c r="B7167" s="1"/>
      <c r="H7167">
        <v>19.399999999999999</v>
      </c>
      <c r="J7167" t="s">
        <v>23</v>
      </c>
      <c r="L7167" s="1"/>
      <c r="V7167" t="str">
        <f>"27300"</f>
        <v>27300</v>
      </c>
      <c r="W7167">
        <v>0</v>
      </c>
      <c r="X7167">
        <v>0</v>
      </c>
    </row>
    <row r="7168" spans="1:24" ht="15" customHeight="1" x14ac:dyDescent="0.25">
      <c r="A7168" t="str">
        <f>""</f>
        <v/>
      </c>
      <c r="B7168" s="1"/>
      <c r="H7168">
        <v>8.43</v>
      </c>
      <c r="J7168" t="s">
        <v>23</v>
      </c>
      <c r="L7168" s="1"/>
      <c r="V7168" t="str">
        <f>"75008"</f>
        <v>75008</v>
      </c>
      <c r="W7168">
        <v>0</v>
      </c>
      <c r="X7168">
        <v>0</v>
      </c>
    </row>
    <row r="7169" spans="1:24" ht="15" customHeight="1" x14ac:dyDescent="0.25">
      <c r="A7169" t="str">
        <f>""</f>
        <v/>
      </c>
      <c r="B7169" s="1"/>
      <c r="H7169">
        <v>40</v>
      </c>
      <c r="J7169" t="s">
        <v>23</v>
      </c>
      <c r="L7169" s="1"/>
      <c r="N7169" s="1"/>
      <c r="V7169" t="str">
        <f>"67000"</f>
        <v>67000</v>
      </c>
      <c r="W7169">
        <v>0</v>
      </c>
      <c r="X7169">
        <v>3.2</v>
      </c>
    </row>
    <row r="7170" spans="1:24" ht="15" customHeight="1" x14ac:dyDescent="0.25">
      <c r="A7170" t="str">
        <f>""</f>
        <v/>
      </c>
      <c r="B7170" s="1"/>
      <c r="H7170">
        <v>18.8</v>
      </c>
      <c r="J7170" t="s">
        <v>22</v>
      </c>
      <c r="L7170" s="1"/>
      <c r="N7170" s="1"/>
      <c r="V7170" t="str">
        <f>"85700"</f>
        <v>85700</v>
      </c>
      <c r="W7170">
        <v>0</v>
      </c>
      <c r="X7170">
        <v>5.08</v>
      </c>
    </row>
    <row r="7171" spans="1:24" ht="15" customHeight="1" x14ac:dyDescent="0.25">
      <c r="A7171" t="str">
        <f>""</f>
        <v/>
      </c>
      <c r="B7171" s="1"/>
      <c r="H7171">
        <v>40</v>
      </c>
      <c r="J7171" t="s">
        <v>22</v>
      </c>
      <c r="L7171" s="1"/>
      <c r="V7171" t="str">
        <f>"70000"</f>
        <v>70000</v>
      </c>
      <c r="W7171">
        <v>0</v>
      </c>
      <c r="X7171">
        <v>0</v>
      </c>
    </row>
    <row r="7172" spans="1:24" ht="15" customHeight="1" x14ac:dyDescent="0.25">
      <c r="A7172" t="str">
        <f>""</f>
        <v/>
      </c>
      <c r="B7172" s="1"/>
      <c r="H7172">
        <v>22.5</v>
      </c>
      <c r="J7172" t="s">
        <v>22</v>
      </c>
      <c r="L7172" s="1"/>
      <c r="V7172" t="str">
        <f>"70000"</f>
        <v>70000</v>
      </c>
      <c r="W7172">
        <v>0</v>
      </c>
      <c r="X7172">
        <v>0</v>
      </c>
    </row>
    <row r="7173" spans="1:24" ht="15" customHeight="1" x14ac:dyDescent="0.25">
      <c r="A7173" t="str">
        <f>""</f>
        <v/>
      </c>
      <c r="B7173" s="1"/>
      <c r="H7173">
        <v>22.5</v>
      </c>
      <c r="J7173" t="s">
        <v>22</v>
      </c>
      <c r="L7173" s="1"/>
      <c r="V7173" t="str">
        <f>"70000"</f>
        <v>70000</v>
      </c>
      <c r="W7173">
        <v>0</v>
      </c>
      <c r="X7173">
        <v>0</v>
      </c>
    </row>
    <row r="7174" spans="1:24" ht="15" customHeight="1" x14ac:dyDescent="0.25">
      <c r="A7174" t="str">
        <f>""</f>
        <v/>
      </c>
      <c r="B7174" s="1"/>
      <c r="H7174">
        <v>17.399999999999999</v>
      </c>
      <c r="J7174" t="s">
        <v>23</v>
      </c>
      <c r="L7174" s="1"/>
      <c r="N7174" s="1"/>
      <c r="V7174" t="str">
        <f>"69200"</f>
        <v>69200</v>
      </c>
      <c r="W7174">
        <v>0</v>
      </c>
      <c r="X7174">
        <v>0</v>
      </c>
    </row>
    <row r="7175" spans="1:24" x14ac:dyDescent="0.25">
      <c r="A7175" t="str">
        <f>""</f>
        <v/>
      </c>
      <c r="B7175" s="1"/>
      <c r="H7175">
        <v>52.5</v>
      </c>
      <c r="J7175" t="s">
        <v>15</v>
      </c>
      <c r="L7175" s="1"/>
      <c r="N7175" s="1"/>
      <c r="V7175" t="str">
        <f>"77100"</f>
        <v>77100</v>
      </c>
      <c r="W7175">
        <v>0</v>
      </c>
      <c r="X7175">
        <v>0</v>
      </c>
    </row>
    <row r="7176" spans="1:24" x14ac:dyDescent="0.25">
      <c r="A7176" t="str">
        <f>""</f>
        <v/>
      </c>
      <c r="B7176" s="1"/>
      <c r="H7176">
        <v>52.5</v>
      </c>
      <c r="J7176" t="s">
        <v>15</v>
      </c>
      <c r="L7176" s="1"/>
      <c r="N7176" s="1"/>
      <c r="V7176" t="str">
        <f>"84100"</f>
        <v>84100</v>
      </c>
      <c r="W7176">
        <v>0</v>
      </c>
      <c r="X7176">
        <v>0</v>
      </c>
    </row>
    <row r="7177" spans="1:24" x14ac:dyDescent="0.25">
      <c r="A7177" t="str">
        <f>""</f>
        <v/>
      </c>
      <c r="B7177" s="1"/>
      <c r="H7177">
        <v>52.5</v>
      </c>
      <c r="J7177" t="s">
        <v>15</v>
      </c>
      <c r="L7177" s="1"/>
      <c r="N7177" s="1"/>
      <c r="V7177" t="str">
        <f>"22000"</f>
        <v>22000</v>
      </c>
      <c r="W7177">
        <v>0</v>
      </c>
      <c r="X7177">
        <v>0</v>
      </c>
    </row>
    <row r="7178" spans="1:24" x14ac:dyDescent="0.25">
      <c r="A7178" t="str">
        <f>""</f>
        <v/>
      </c>
      <c r="B7178" s="1"/>
      <c r="H7178">
        <v>52.5</v>
      </c>
      <c r="J7178" t="s">
        <v>15</v>
      </c>
      <c r="L7178" s="1"/>
      <c r="N7178" s="1"/>
      <c r="V7178" t="str">
        <f>"26500"</f>
        <v>26500</v>
      </c>
      <c r="W7178">
        <v>0</v>
      </c>
      <c r="X7178">
        <v>0</v>
      </c>
    </row>
    <row r="7179" spans="1:24" ht="15" customHeight="1" x14ac:dyDescent="0.25">
      <c r="A7179" t="str">
        <f>""</f>
        <v/>
      </c>
      <c r="B7179" s="1"/>
      <c r="H7179">
        <v>162</v>
      </c>
      <c r="J7179" t="s">
        <v>23</v>
      </c>
      <c r="L7179" s="1"/>
      <c r="N7179" s="1"/>
      <c r="V7179" t="str">
        <f>"59287"</f>
        <v>59287</v>
      </c>
      <c r="W7179">
        <v>0</v>
      </c>
      <c r="X7179">
        <v>0</v>
      </c>
    </row>
    <row r="7180" spans="1:24" ht="15" customHeight="1" x14ac:dyDescent="0.25">
      <c r="A7180" t="str">
        <f>""</f>
        <v/>
      </c>
      <c r="B7180" s="1"/>
      <c r="H7180">
        <v>180</v>
      </c>
      <c r="J7180" t="s">
        <v>23</v>
      </c>
      <c r="L7180" s="1"/>
      <c r="V7180" t="str">
        <f>"34800"</f>
        <v>34800</v>
      </c>
      <c r="W7180">
        <v>0</v>
      </c>
      <c r="X7180">
        <v>0</v>
      </c>
    </row>
    <row r="7181" spans="1:24" x14ac:dyDescent="0.25">
      <c r="A7181" t="str">
        <f>""</f>
        <v/>
      </c>
      <c r="B7181" s="1"/>
      <c r="H7181">
        <v>23.4</v>
      </c>
      <c r="J7181" t="s">
        <v>15</v>
      </c>
      <c r="L7181" s="1"/>
      <c r="N7181" s="1"/>
      <c r="V7181" t="str">
        <f>"07800"</f>
        <v>07800</v>
      </c>
      <c r="W7181">
        <v>0</v>
      </c>
      <c r="X7181">
        <v>0</v>
      </c>
    </row>
    <row r="7182" spans="1:24" x14ac:dyDescent="0.25">
      <c r="A7182" t="str">
        <f>""</f>
        <v/>
      </c>
      <c r="B7182" s="1"/>
      <c r="H7182">
        <v>23.4</v>
      </c>
      <c r="J7182" t="s">
        <v>15</v>
      </c>
      <c r="L7182" s="1"/>
      <c r="N7182" s="1"/>
      <c r="V7182" t="str">
        <f>"38300"</f>
        <v>38300</v>
      </c>
      <c r="W7182">
        <v>0</v>
      </c>
      <c r="X7182">
        <v>0</v>
      </c>
    </row>
    <row r="7183" spans="1:24" x14ac:dyDescent="0.25">
      <c r="A7183" t="str">
        <f>""</f>
        <v/>
      </c>
      <c r="B7183" s="1"/>
      <c r="H7183">
        <v>181</v>
      </c>
      <c r="J7183" t="s">
        <v>17</v>
      </c>
      <c r="L7183" s="1"/>
      <c r="N7183" s="1"/>
      <c r="V7183" t="str">
        <f>"51100"</f>
        <v>51100</v>
      </c>
      <c r="W7183">
        <v>0</v>
      </c>
      <c r="X7183">
        <v>0</v>
      </c>
    </row>
    <row r="7184" spans="1:24" x14ac:dyDescent="0.25">
      <c r="A7184" t="str">
        <f>""</f>
        <v/>
      </c>
      <c r="B7184" s="1"/>
      <c r="H7184">
        <v>32</v>
      </c>
      <c r="J7184" t="s">
        <v>17</v>
      </c>
      <c r="L7184" s="1"/>
      <c r="N7184" s="1"/>
      <c r="V7184" t="str">
        <f>"08200"</f>
        <v>08200</v>
      </c>
      <c r="W7184">
        <v>0</v>
      </c>
      <c r="X7184">
        <v>0</v>
      </c>
    </row>
    <row r="7185" spans="1:24" x14ac:dyDescent="0.25">
      <c r="A7185" t="str">
        <f>""</f>
        <v/>
      </c>
      <c r="B7185" s="1"/>
      <c r="J7185" t="s">
        <v>18</v>
      </c>
      <c r="L7185" s="1"/>
      <c r="N7185" s="1"/>
      <c r="V7185" t="str">
        <f>"78193"</f>
        <v>78193</v>
      </c>
      <c r="W7185">
        <v>0</v>
      </c>
      <c r="X7185">
        <v>0</v>
      </c>
    </row>
    <row r="7186" spans="1:24" x14ac:dyDescent="0.25">
      <c r="A7186" t="str">
        <f>""</f>
        <v/>
      </c>
      <c r="B7186" s="1"/>
      <c r="H7186">
        <v>74.33</v>
      </c>
      <c r="J7186" t="s">
        <v>18</v>
      </c>
      <c r="L7186" s="1"/>
      <c r="N7186" s="1"/>
      <c r="V7186" t="str">
        <f>"33700"</f>
        <v>33700</v>
      </c>
      <c r="W7186">
        <v>0</v>
      </c>
      <c r="X7186">
        <v>0</v>
      </c>
    </row>
    <row r="7187" spans="1:24" ht="15" customHeight="1" x14ac:dyDescent="0.25">
      <c r="A7187" t="str">
        <f>""</f>
        <v/>
      </c>
      <c r="B7187" s="1"/>
      <c r="H7187">
        <v>159</v>
      </c>
      <c r="J7187" t="s">
        <v>23</v>
      </c>
      <c r="L7187" s="1"/>
      <c r="N7187" s="1"/>
      <c r="V7187" t="str">
        <f>"17390"</f>
        <v>17390</v>
      </c>
      <c r="W7187">
        <v>0</v>
      </c>
      <c r="X7187">
        <v>33.39</v>
      </c>
    </row>
    <row r="7188" spans="1:24" ht="15" customHeight="1" x14ac:dyDescent="0.25">
      <c r="A7188" t="str">
        <f>""</f>
        <v/>
      </c>
      <c r="B7188" s="1"/>
      <c r="H7188">
        <v>140</v>
      </c>
      <c r="J7188" t="s">
        <v>22</v>
      </c>
      <c r="L7188" s="1"/>
      <c r="N7188" s="1"/>
      <c r="V7188" t="str">
        <f>"44000"</f>
        <v>44000</v>
      </c>
      <c r="W7188">
        <v>0</v>
      </c>
      <c r="X7188">
        <v>0</v>
      </c>
    </row>
    <row r="7189" spans="1:24" ht="15" customHeight="1" x14ac:dyDescent="0.25">
      <c r="A7189" t="str">
        <f>""</f>
        <v/>
      </c>
      <c r="B7189" s="1"/>
      <c r="H7189">
        <v>180</v>
      </c>
      <c r="J7189" t="s">
        <v>22</v>
      </c>
      <c r="L7189" s="1"/>
      <c r="V7189" t="str">
        <f>"27000"</f>
        <v>27000</v>
      </c>
      <c r="W7189">
        <v>0</v>
      </c>
      <c r="X7189">
        <v>0</v>
      </c>
    </row>
    <row r="7190" spans="1:24" x14ac:dyDescent="0.25">
      <c r="A7190" t="str">
        <f>""</f>
        <v/>
      </c>
      <c r="B7190" s="1"/>
      <c r="H7190">
        <v>23.4</v>
      </c>
      <c r="J7190" t="s">
        <v>17</v>
      </c>
      <c r="L7190" s="1"/>
      <c r="N7190" s="1"/>
      <c r="V7190" t="str">
        <f>"38230"</f>
        <v>38230</v>
      </c>
      <c r="W7190">
        <v>0</v>
      </c>
      <c r="X7190">
        <v>0</v>
      </c>
    </row>
    <row r="7191" spans="1:24" ht="15" customHeight="1" x14ac:dyDescent="0.25">
      <c r="A7191" t="str">
        <f>""</f>
        <v/>
      </c>
      <c r="B7191" s="1"/>
      <c r="J7191" t="s">
        <v>20</v>
      </c>
      <c r="L7191" s="1"/>
      <c r="N7191" s="1"/>
      <c r="V7191" t="str">
        <f>"05000"</f>
        <v>05000</v>
      </c>
      <c r="W7191">
        <v>0</v>
      </c>
      <c r="X7191">
        <v>0</v>
      </c>
    </row>
    <row r="7192" spans="1:24" ht="15" customHeight="1" x14ac:dyDescent="0.25">
      <c r="A7192" t="str">
        <f>""</f>
        <v/>
      </c>
      <c r="B7192" s="1"/>
      <c r="H7192">
        <v>180</v>
      </c>
      <c r="J7192" t="s">
        <v>22</v>
      </c>
      <c r="L7192" s="1"/>
      <c r="N7192" s="1"/>
      <c r="V7192" t="str">
        <f>"53000"</f>
        <v>53000</v>
      </c>
      <c r="W7192">
        <v>0</v>
      </c>
      <c r="X7192">
        <v>0</v>
      </c>
    </row>
    <row r="7193" spans="1:24" ht="15" customHeight="1" x14ac:dyDescent="0.25">
      <c r="A7193" t="str">
        <f>""</f>
        <v/>
      </c>
      <c r="B7193" s="1"/>
      <c r="H7193">
        <v>140</v>
      </c>
      <c r="J7193" t="s">
        <v>22</v>
      </c>
      <c r="L7193" s="1"/>
      <c r="N7193" s="1"/>
      <c r="V7193" t="str">
        <f>"14790"</f>
        <v>14790</v>
      </c>
      <c r="W7193">
        <v>0</v>
      </c>
      <c r="X7193">
        <v>23.8</v>
      </c>
    </row>
    <row r="7194" spans="1:24" ht="15" customHeight="1" x14ac:dyDescent="0.25">
      <c r="A7194" t="str">
        <f>""</f>
        <v/>
      </c>
      <c r="B7194" s="1"/>
      <c r="H7194">
        <v>26.6</v>
      </c>
      <c r="J7194" t="s">
        <v>22</v>
      </c>
      <c r="L7194" s="1"/>
      <c r="N7194" s="1"/>
      <c r="V7194" t="str">
        <f>"38190"</f>
        <v>38190</v>
      </c>
      <c r="W7194">
        <v>0</v>
      </c>
      <c r="X7194">
        <v>0</v>
      </c>
    </row>
    <row r="7195" spans="1:24" x14ac:dyDescent="0.25">
      <c r="A7195" t="str">
        <f>""</f>
        <v/>
      </c>
      <c r="B7195" s="1"/>
      <c r="H7195">
        <v>151</v>
      </c>
      <c r="J7195" t="s">
        <v>15</v>
      </c>
      <c r="L7195" s="1"/>
      <c r="N7195" s="1"/>
      <c r="V7195" t="str">
        <f>"69800"</f>
        <v>69800</v>
      </c>
      <c r="W7195">
        <v>0</v>
      </c>
      <c r="X7195">
        <v>0</v>
      </c>
    </row>
    <row r="7196" spans="1:24" ht="15" customHeight="1" x14ac:dyDescent="0.25">
      <c r="A7196" t="str">
        <f>""</f>
        <v/>
      </c>
      <c r="B7196" s="1"/>
      <c r="H7196">
        <v>16</v>
      </c>
      <c r="L7196" s="1"/>
      <c r="N7196" s="1"/>
      <c r="V7196" t="str">
        <f>"77184"</f>
        <v>77184</v>
      </c>
      <c r="W7196">
        <v>0</v>
      </c>
      <c r="X7196">
        <v>0</v>
      </c>
    </row>
    <row r="7197" spans="1:24" x14ac:dyDescent="0.25">
      <c r="A7197" t="str">
        <f>""</f>
        <v/>
      </c>
      <c r="B7197" s="1"/>
      <c r="H7197">
        <v>140</v>
      </c>
      <c r="J7197" t="s">
        <v>17</v>
      </c>
      <c r="L7197" s="1"/>
      <c r="N7197" s="1"/>
      <c r="V7197" t="str">
        <f>"50230"</f>
        <v>50230</v>
      </c>
      <c r="W7197">
        <v>0</v>
      </c>
      <c r="X7197">
        <v>0</v>
      </c>
    </row>
    <row r="7198" spans="1:24" x14ac:dyDescent="0.25">
      <c r="A7198" t="str">
        <f>""</f>
        <v/>
      </c>
      <c r="B7198" s="1"/>
      <c r="H7198">
        <v>122.09</v>
      </c>
      <c r="J7198" t="s">
        <v>16</v>
      </c>
      <c r="L7198" s="1"/>
      <c r="V7198" t="str">
        <f>"83300"</f>
        <v>83300</v>
      </c>
      <c r="W7198">
        <v>0</v>
      </c>
      <c r="X7198">
        <v>0</v>
      </c>
    </row>
    <row r="7199" spans="1:24" ht="15" customHeight="1" x14ac:dyDescent="0.25">
      <c r="A7199" t="str">
        <f>""</f>
        <v/>
      </c>
      <c r="B7199" s="1"/>
      <c r="H7199">
        <v>60</v>
      </c>
      <c r="L7199" s="1"/>
      <c r="N7199" s="1"/>
      <c r="V7199" t="str">
        <f>"77184"</f>
        <v>77184</v>
      </c>
      <c r="W7199">
        <v>0</v>
      </c>
      <c r="X7199">
        <v>0</v>
      </c>
    </row>
    <row r="7200" spans="1:24" ht="15" customHeight="1" x14ac:dyDescent="0.25">
      <c r="A7200" t="str">
        <f>""</f>
        <v/>
      </c>
      <c r="B7200" s="1"/>
      <c r="H7200">
        <v>140</v>
      </c>
      <c r="J7200" t="s">
        <v>23</v>
      </c>
      <c r="L7200" s="1"/>
      <c r="N7200" s="1"/>
      <c r="V7200" t="str">
        <f>"83600"</f>
        <v>83600</v>
      </c>
      <c r="W7200">
        <v>0</v>
      </c>
      <c r="X7200">
        <v>0</v>
      </c>
    </row>
    <row r="7201" spans="1:24" ht="15" customHeight="1" x14ac:dyDescent="0.25">
      <c r="A7201" t="str">
        <f>""</f>
        <v/>
      </c>
      <c r="B7201" s="1"/>
      <c r="H7201">
        <v>194.79</v>
      </c>
      <c r="J7201" t="s">
        <v>20</v>
      </c>
      <c r="L7201" s="1"/>
      <c r="N7201" s="1"/>
      <c r="V7201" t="str">
        <f>"67100"</f>
        <v>67100</v>
      </c>
      <c r="W7201">
        <v>56.49</v>
      </c>
      <c r="X7201">
        <v>0</v>
      </c>
    </row>
    <row r="7202" spans="1:24" x14ac:dyDescent="0.25">
      <c r="A7202" t="str">
        <f>""</f>
        <v/>
      </c>
      <c r="B7202" s="1"/>
      <c r="H7202">
        <v>180</v>
      </c>
      <c r="J7202" t="s">
        <v>15</v>
      </c>
      <c r="L7202" s="1"/>
      <c r="N7202" s="1"/>
      <c r="V7202" t="str">
        <f>"79000"</f>
        <v>79000</v>
      </c>
      <c r="W7202">
        <v>0</v>
      </c>
      <c r="X7202">
        <v>0</v>
      </c>
    </row>
    <row r="7203" spans="1:24" x14ac:dyDescent="0.25">
      <c r="A7203" t="str">
        <f>""</f>
        <v/>
      </c>
      <c r="B7203" s="1"/>
      <c r="H7203">
        <v>181</v>
      </c>
      <c r="J7203" t="s">
        <v>15</v>
      </c>
      <c r="L7203" s="1"/>
      <c r="N7203" s="1"/>
      <c r="V7203" t="str">
        <f>"44800"</f>
        <v>44800</v>
      </c>
      <c r="W7203">
        <v>0</v>
      </c>
      <c r="X7203">
        <v>0</v>
      </c>
    </row>
    <row r="7204" spans="1:24" ht="15" customHeight="1" x14ac:dyDescent="0.25">
      <c r="A7204" t="str">
        <f>""</f>
        <v/>
      </c>
      <c r="B7204" s="1"/>
      <c r="H7204">
        <v>84.5</v>
      </c>
      <c r="L7204" s="1"/>
      <c r="N7204" s="1"/>
      <c r="V7204" t="str">
        <f>"77184"</f>
        <v>77184</v>
      </c>
      <c r="W7204">
        <v>0</v>
      </c>
      <c r="X7204">
        <v>0</v>
      </c>
    </row>
    <row r="7205" spans="1:24" ht="15" customHeight="1" x14ac:dyDescent="0.25">
      <c r="A7205" t="str">
        <f>""</f>
        <v/>
      </c>
      <c r="B7205" s="1"/>
      <c r="H7205">
        <v>72.400000000000006</v>
      </c>
      <c r="L7205" s="1"/>
      <c r="N7205" s="1"/>
      <c r="V7205" t="str">
        <f>"77184"</f>
        <v>77184</v>
      </c>
      <c r="W7205">
        <v>0</v>
      </c>
      <c r="X7205">
        <v>0</v>
      </c>
    </row>
    <row r="7206" spans="1:24" ht="15" customHeight="1" x14ac:dyDescent="0.25">
      <c r="A7206" t="str">
        <f>""</f>
        <v/>
      </c>
      <c r="B7206" s="1"/>
      <c r="J7206" t="s">
        <v>20</v>
      </c>
      <c r="L7206" s="1"/>
      <c r="N7206" s="1"/>
      <c r="V7206" t="str">
        <f>"87280"</f>
        <v>87280</v>
      </c>
      <c r="W7206">
        <v>0</v>
      </c>
      <c r="X7206">
        <v>0</v>
      </c>
    </row>
    <row r="7207" spans="1:24" ht="15" customHeight="1" x14ac:dyDescent="0.25">
      <c r="A7207" t="str">
        <f>""</f>
        <v/>
      </c>
      <c r="B7207" s="1"/>
      <c r="H7207">
        <v>236.58</v>
      </c>
      <c r="J7207" t="s">
        <v>22</v>
      </c>
      <c r="L7207" s="1"/>
      <c r="N7207" s="1"/>
      <c r="V7207" t="str">
        <f>"67600"</f>
        <v>67600</v>
      </c>
      <c r="W7207">
        <v>0</v>
      </c>
      <c r="X7207">
        <v>18.93</v>
      </c>
    </row>
    <row r="7208" spans="1:24" ht="15" customHeight="1" x14ac:dyDescent="0.25">
      <c r="A7208" t="str">
        <f>""</f>
        <v/>
      </c>
      <c r="B7208" s="1"/>
      <c r="H7208">
        <v>25.6</v>
      </c>
      <c r="J7208" t="s">
        <v>22</v>
      </c>
      <c r="L7208" s="1"/>
      <c r="N7208" s="1"/>
      <c r="V7208" t="str">
        <f>"45000"</f>
        <v>45000</v>
      </c>
      <c r="W7208">
        <v>0</v>
      </c>
      <c r="X7208">
        <v>0</v>
      </c>
    </row>
    <row r="7209" spans="1:24" ht="15" customHeight="1" x14ac:dyDescent="0.25">
      <c r="A7209" t="str">
        <f>""</f>
        <v/>
      </c>
      <c r="B7209" s="1"/>
      <c r="H7209">
        <v>107.72</v>
      </c>
      <c r="J7209" t="s">
        <v>19</v>
      </c>
      <c r="L7209" s="1"/>
      <c r="N7209" s="1"/>
      <c r="V7209" t="str">
        <f>"13790"</f>
        <v>13790</v>
      </c>
      <c r="W7209">
        <v>31.24</v>
      </c>
      <c r="X7209">
        <v>0</v>
      </c>
    </row>
    <row r="7210" spans="1:24" ht="15" customHeight="1" x14ac:dyDescent="0.25">
      <c r="A7210" t="str">
        <f>""</f>
        <v/>
      </c>
      <c r="B7210" s="1"/>
      <c r="H7210">
        <v>27.2</v>
      </c>
      <c r="J7210" t="s">
        <v>23</v>
      </c>
      <c r="L7210" s="1"/>
      <c r="N7210" s="1"/>
      <c r="V7210" t="str">
        <f>"75009"</f>
        <v>75009</v>
      </c>
      <c r="W7210">
        <v>0</v>
      </c>
      <c r="X7210">
        <v>0</v>
      </c>
    </row>
    <row r="7211" spans="1:24" ht="15" customHeight="1" x14ac:dyDescent="0.25">
      <c r="A7211" t="str">
        <f>""</f>
        <v/>
      </c>
      <c r="B7211" s="1"/>
      <c r="H7211">
        <v>70</v>
      </c>
      <c r="J7211" t="s">
        <v>23</v>
      </c>
      <c r="L7211" s="1"/>
      <c r="N7211" s="1"/>
      <c r="V7211" t="str">
        <f>"62600"</f>
        <v>62600</v>
      </c>
      <c r="W7211">
        <v>0</v>
      </c>
      <c r="X7211">
        <v>0</v>
      </c>
    </row>
    <row r="7212" spans="1:24" ht="15" customHeight="1" x14ac:dyDescent="0.25">
      <c r="A7212" t="str">
        <f>""</f>
        <v/>
      </c>
      <c r="B7212" s="1"/>
      <c r="H7212">
        <v>35</v>
      </c>
      <c r="J7212" t="s">
        <v>22</v>
      </c>
      <c r="L7212" s="1"/>
      <c r="N7212" s="1"/>
      <c r="V7212" t="str">
        <f>"44600"</f>
        <v>44600</v>
      </c>
      <c r="W7212">
        <v>0</v>
      </c>
      <c r="X7212">
        <v>0</v>
      </c>
    </row>
    <row r="7213" spans="1:24" ht="15" customHeight="1" x14ac:dyDescent="0.25">
      <c r="A7213" t="str">
        <f>""</f>
        <v/>
      </c>
      <c r="B7213" s="1"/>
      <c r="H7213">
        <v>80.430000000000007</v>
      </c>
      <c r="J7213" t="s">
        <v>20</v>
      </c>
      <c r="L7213" s="1"/>
      <c r="N7213" s="1"/>
      <c r="V7213" t="str">
        <f>"29000"</f>
        <v>29000</v>
      </c>
      <c r="W7213">
        <v>31.37</v>
      </c>
      <c r="X7213">
        <v>0</v>
      </c>
    </row>
    <row r="7214" spans="1:24" ht="15" customHeight="1" x14ac:dyDescent="0.25">
      <c r="A7214" t="str">
        <f>""</f>
        <v/>
      </c>
      <c r="B7214" s="1"/>
      <c r="H7214">
        <v>120.85</v>
      </c>
      <c r="J7214" t="s">
        <v>20</v>
      </c>
      <c r="L7214" s="1"/>
      <c r="N7214" s="1"/>
      <c r="V7214" t="str">
        <f>"13290"</f>
        <v>13290</v>
      </c>
      <c r="W7214">
        <v>35.049999999999997</v>
      </c>
      <c r="X7214">
        <v>0</v>
      </c>
    </row>
    <row r="7215" spans="1:24" ht="15" customHeight="1" x14ac:dyDescent="0.25">
      <c r="A7215" t="str">
        <f>""</f>
        <v/>
      </c>
      <c r="B7215" s="1"/>
      <c r="H7215">
        <v>132.26</v>
      </c>
      <c r="J7215" t="s">
        <v>19</v>
      </c>
      <c r="L7215" s="1"/>
      <c r="N7215" s="1"/>
      <c r="V7215" t="str">
        <f>"50690"</f>
        <v>50690</v>
      </c>
      <c r="W7215">
        <v>22.48</v>
      </c>
      <c r="X7215">
        <v>0</v>
      </c>
    </row>
    <row r="7216" spans="1:24" ht="15" customHeight="1" x14ac:dyDescent="0.25">
      <c r="A7216" t="str">
        <f>""</f>
        <v/>
      </c>
      <c r="B7216" s="1"/>
      <c r="H7216">
        <v>201</v>
      </c>
      <c r="J7216" t="s">
        <v>22</v>
      </c>
      <c r="L7216" s="1"/>
      <c r="V7216" t="str">
        <f>"30100"</f>
        <v>30100</v>
      </c>
      <c r="W7216">
        <v>0</v>
      </c>
      <c r="X7216">
        <v>0</v>
      </c>
    </row>
    <row r="7217" spans="1:24" ht="15" customHeight="1" x14ac:dyDescent="0.25">
      <c r="A7217" t="str">
        <f>""</f>
        <v/>
      </c>
      <c r="B7217" s="1"/>
      <c r="H7217">
        <v>151</v>
      </c>
      <c r="J7217" t="s">
        <v>23</v>
      </c>
      <c r="L7217" s="1"/>
      <c r="N7217" s="1"/>
      <c r="V7217" t="str">
        <f>"67100"</f>
        <v>67100</v>
      </c>
      <c r="W7217">
        <v>0</v>
      </c>
      <c r="X7217">
        <v>0</v>
      </c>
    </row>
    <row r="7218" spans="1:24" ht="15" customHeight="1" x14ac:dyDescent="0.25">
      <c r="A7218" t="str">
        <f>""</f>
        <v/>
      </c>
      <c r="B7218" s="1"/>
      <c r="H7218">
        <v>58.55</v>
      </c>
      <c r="J7218" t="s">
        <v>19</v>
      </c>
      <c r="L7218" s="1"/>
      <c r="N7218" s="1"/>
      <c r="V7218" t="str">
        <f>"44000"</f>
        <v>44000</v>
      </c>
      <c r="W7218">
        <v>15.81</v>
      </c>
      <c r="X7218">
        <v>0</v>
      </c>
    </row>
    <row r="7219" spans="1:24" ht="15" customHeight="1" x14ac:dyDescent="0.25">
      <c r="A7219" t="str">
        <f>""</f>
        <v/>
      </c>
      <c r="B7219" s="1"/>
      <c r="H7219">
        <v>183.38</v>
      </c>
      <c r="J7219" t="s">
        <v>22</v>
      </c>
      <c r="L7219" s="1"/>
      <c r="N7219" s="1"/>
      <c r="V7219" t="str">
        <f>"49130"</f>
        <v>49130</v>
      </c>
      <c r="W7219">
        <v>0</v>
      </c>
      <c r="X7219">
        <v>0</v>
      </c>
    </row>
    <row r="7220" spans="1:24" x14ac:dyDescent="0.25">
      <c r="A7220" t="str">
        <f>""</f>
        <v/>
      </c>
      <c r="B7220" s="1"/>
      <c r="H7220">
        <v>197.34</v>
      </c>
      <c r="J7220" t="s">
        <v>18</v>
      </c>
      <c r="L7220" s="1"/>
      <c r="N7220" s="1"/>
      <c r="V7220" t="str">
        <f>"75013"</f>
        <v>75013</v>
      </c>
      <c r="W7220">
        <v>0</v>
      </c>
      <c r="X7220">
        <v>0</v>
      </c>
    </row>
    <row r="7221" spans="1:24" ht="15" customHeight="1" x14ac:dyDescent="0.25">
      <c r="A7221" t="str">
        <f>""</f>
        <v/>
      </c>
      <c r="B7221" s="1"/>
      <c r="H7221">
        <v>33.35</v>
      </c>
      <c r="J7221" t="s">
        <v>19</v>
      </c>
      <c r="L7221" s="1"/>
      <c r="N7221" s="1"/>
      <c r="V7221" t="str">
        <f>"69005"</f>
        <v>69005</v>
      </c>
      <c r="W7221">
        <v>9</v>
      </c>
      <c r="X7221">
        <v>0</v>
      </c>
    </row>
    <row r="7222" spans="1:24" ht="15" customHeight="1" x14ac:dyDescent="0.25">
      <c r="A7222" t="str">
        <f>""</f>
        <v/>
      </c>
      <c r="B7222" s="1"/>
      <c r="H7222">
        <v>30</v>
      </c>
      <c r="J7222" t="s">
        <v>20</v>
      </c>
      <c r="L7222" s="1"/>
      <c r="V7222" t="str">
        <f>"76000"</f>
        <v>76000</v>
      </c>
      <c r="W7222">
        <v>0</v>
      </c>
      <c r="X7222">
        <v>0</v>
      </c>
    </row>
    <row r="7223" spans="1:24" x14ac:dyDescent="0.25">
      <c r="A7223" t="str">
        <f>""</f>
        <v/>
      </c>
      <c r="B7223" s="1"/>
      <c r="H7223">
        <v>134</v>
      </c>
      <c r="J7223" t="s">
        <v>18</v>
      </c>
      <c r="L7223" s="1"/>
      <c r="N7223" s="1"/>
      <c r="V7223" t="str">
        <f>"75014"</f>
        <v>75014</v>
      </c>
      <c r="W7223">
        <v>0</v>
      </c>
      <c r="X7223">
        <v>0</v>
      </c>
    </row>
    <row r="7224" spans="1:24" ht="15" customHeight="1" x14ac:dyDescent="0.25">
      <c r="A7224" t="str">
        <f>""</f>
        <v/>
      </c>
      <c r="B7224" s="1"/>
      <c r="H7224">
        <v>29.89</v>
      </c>
      <c r="J7224" t="s">
        <v>22</v>
      </c>
      <c r="L7224" s="1"/>
      <c r="V7224" t="str">
        <f>"39500"</f>
        <v>39500</v>
      </c>
      <c r="W7224">
        <v>0</v>
      </c>
      <c r="X7224">
        <v>0</v>
      </c>
    </row>
    <row r="7225" spans="1:24" ht="15" customHeight="1" x14ac:dyDescent="0.25">
      <c r="A7225" t="str">
        <f>""</f>
        <v/>
      </c>
      <c r="B7225" s="1"/>
      <c r="H7225">
        <v>180</v>
      </c>
      <c r="J7225" t="s">
        <v>22</v>
      </c>
      <c r="L7225" s="1"/>
      <c r="V7225" t="str">
        <f>"42230"</f>
        <v>42230</v>
      </c>
      <c r="W7225">
        <v>0</v>
      </c>
      <c r="X7225">
        <v>0</v>
      </c>
    </row>
    <row r="7226" spans="1:24" ht="15" customHeight="1" x14ac:dyDescent="0.25">
      <c r="A7226" t="str">
        <f>""</f>
        <v/>
      </c>
      <c r="B7226" s="1"/>
      <c r="H7226">
        <v>70</v>
      </c>
      <c r="J7226" t="s">
        <v>23</v>
      </c>
      <c r="L7226" s="1"/>
      <c r="V7226" t="str">
        <f>"98000"</f>
        <v>98000</v>
      </c>
      <c r="W7226">
        <v>0</v>
      </c>
      <c r="X7226">
        <v>0</v>
      </c>
    </row>
    <row r="7227" spans="1:24" ht="15" customHeight="1" x14ac:dyDescent="0.25">
      <c r="A7227" t="str">
        <f>""</f>
        <v/>
      </c>
      <c r="B7227" s="1"/>
      <c r="H7227">
        <v>70</v>
      </c>
      <c r="J7227" t="s">
        <v>22</v>
      </c>
      <c r="L7227" s="1"/>
      <c r="N7227" s="1"/>
      <c r="V7227" t="str">
        <f>"21500"</f>
        <v>21500</v>
      </c>
      <c r="W7227">
        <v>0</v>
      </c>
      <c r="X7227">
        <v>8.4</v>
      </c>
    </row>
    <row r="7228" spans="1:24" ht="15" customHeight="1" x14ac:dyDescent="0.25">
      <c r="A7228" t="str">
        <f>""</f>
        <v/>
      </c>
      <c r="B7228" s="1"/>
      <c r="H7228">
        <v>62.1</v>
      </c>
      <c r="J7228" t="s">
        <v>23</v>
      </c>
      <c r="L7228" s="1"/>
      <c r="V7228" t="str">
        <f>"77380"</f>
        <v>77380</v>
      </c>
      <c r="W7228">
        <v>0</v>
      </c>
      <c r="X7228">
        <v>0</v>
      </c>
    </row>
    <row r="7229" spans="1:24" ht="15" customHeight="1" x14ac:dyDescent="0.25">
      <c r="A7229" t="str">
        <f>""</f>
        <v/>
      </c>
      <c r="B7229" s="1"/>
      <c r="H7229">
        <v>184.6</v>
      </c>
      <c r="J7229" t="s">
        <v>23</v>
      </c>
      <c r="L7229" s="1"/>
      <c r="N7229" s="1"/>
      <c r="V7229" t="str">
        <f>"64230"</f>
        <v>64230</v>
      </c>
      <c r="W7229">
        <v>0</v>
      </c>
      <c r="X7229">
        <v>0</v>
      </c>
    </row>
    <row r="7230" spans="1:24" ht="15" customHeight="1" x14ac:dyDescent="0.25">
      <c r="A7230" t="str">
        <f>""</f>
        <v/>
      </c>
      <c r="B7230" s="1"/>
      <c r="H7230">
        <v>151</v>
      </c>
      <c r="J7230" t="s">
        <v>22</v>
      </c>
      <c r="L7230" s="1"/>
      <c r="V7230" t="str">
        <f>"69120"</f>
        <v>69120</v>
      </c>
      <c r="W7230">
        <v>0</v>
      </c>
      <c r="X7230">
        <v>0</v>
      </c>
    </row>
    <row r="7231" spans="1:24" ht="15" customHeight="1" x14ac:dyDescent="0.25">
      <c r="A7231" t="str">
        <f>""</f>
        <v/>
      </c>
      <c r="B7231" s="1"/>
      <c r="H7231">
        <v>26.6</v>
      </c>
      <c r="J7231" t="s">
        <v>22</v>
      </c>
      <c r="L7231" s="1"/>
      <c r="V7231" t="str">
        <f>"06000"</f>
        <v>06000</v>
      </c>
      <c r="W7231">
        <v>0</v>
      </c>
      <c r="X7231">
        <v>0</v>
      </c>
    </row>
    <row r="7232" spans="1:24" ht="15" customHeight="1" x14ac:dyDescent="0.25">
      <c r="A7232" t="str">
        <f>""</f>
        <v/>
      </c>
      <c r="B7232" s="1"/>
      <c r="H7232">
        <v>19.399999999999999</v>
      </c>
      <c r="J7232" t="s">
        <v>22</v>
      </c>
      <c r="L7232" s="1"/>
      <c r="V7232" t="str">
        <f>"27300"</f>
        <v>27300</v>
      </c>
      <c r="W7232">
        <v>0</v>
      </c>
      <c r="X7232">
        <v>0</v>
      </c>
    </row>
    <row r="7233" spans="1:24" x14ac:dyDescent="0.25">
      <c r="A7233" t="str">
        <f>""</f>
        <v/>
      </c>
      <c r="B7233" s="1"/>
      <c r="H7233">
        <v>52.5</v>
      </c>
      <c r="J7233" t="s">
        <v>15</v>
      </c>
      <c r="L7233" s="1"/>
      <c r="N7233" s="1"/>
      <c r="V7233" t="str">
        <f>"13003"</f>
        <v>13003</v>
      </c>
      <c r="W7233">
        <v>0</v>
      </c>
      <c r="X7233">
        <v>0</v>
      </c>
    </row>
    <row r="7234" spans="1:24" x14ac:dyDescent="0.25">
      <c r="A7234" t="str">
        <f>""</f>
        <v/>
      </c>
      <c r="B7234" s="1"/>
      <c r="H7234">
        <v>52.5</v>
      </c>
      <c r="J7234" t="s">
        <v>15</v>
      </c>
      <c r="L7234" s="1"/>
      <c r="N7234" s="1"/>
      <c r="V7234" t="str">
        <f>"13012"</f>
        <v>13012</v>
      </c>
      <c r="W7234">
        <v>0</v>
      </c>
      <c r="X7234">
        <v>0</v>
      </c>
    </row>
    <row r="7235" spans="1:24" x14ac:dyDescent="0.25">
      <c r="A7235" t="str">
        <f>""</f>
        <v/>
      </c>
      <c r="B7235" s="1"/>
      <c r="H7235">
        <v>52.5</v>
      </c>
      <c r="J7235" t="s">
        <v>15</v>
      </c>
      <c r="L7235" s="1"/>
      <c r="N7235" s="1"/>
      <c r="V7235" t="str">
        <f>"69003"</f>
        <v>69003</v>
      </c>
      <c r="W7235">
        <v>0</v>
      </c>
      <c r="X7235">
        <v>0</v>
      </c>
    </row>
    <row r="7236" spans="1:24" x14ac:dyDescent="0.25">
      <c r="A7236" t="str">
        <f>""</f>
        <v/>
      </c>
      <c r="B7236" s="1"/>
      <c r="H7236">
        <v>70</v>
      </c>
      <c r="J7236" t="s">
        <v>16</v>
      </c>
      <c r="L7236" s="1"/>
      <c r="N7236" s="1"/>
      <c r="V7236" t="str">
        <f>"37210"</f>
        <v>37210</v>
      </c>
      <c r="W7236">
        <v>0</v>
      </c>
      <c r="X7236">
        <v>18.899999999999999</v>
      </c>
    </row>
    <row r="7237" spans="1:24" ht="15" customHeight="1" x14ac:dyDescent="0.25">
      <c r="A7237" t="str">
        <f>""</f>
        <v/>
      </c>
      <c r="B7237" s="1"/>
      <c r="H7237">
        <v>180</v>
      </c>
      <c r="J7237" t="s">
        <v>22</v>
      </c>
      <c r="L7237" s="1"/>
      <c r="V7237" t="str">
        <f>"59155"</f>
        <v>59155</v>
      </c>
      <c r="W7237">
        <v>0</v>
      </c>
      <c r="X7237">
        <v>0</v>
      </c>
    </row>
    <row r="7238" spans="1:24" ht="15" customHeight="1" x14ac:dyDescent="0.25">
      <c r="A7238" t="str">
        <f>""</f>
        <v/>
      </c>
      <c r="B7238" s="1"/>
      <c r="H7238">
        <v>151</v>
      </c>
      <c r="J7238" t="s">
        <v>22</v>
      </c>
      <c r="L7238" s="1"/>
      <c r="N7238" s="1"/>
      <c r="V7238" t="str">
        <f>"06560"</f>
        <v>06560</v>
      </c>
      <c r="W7238">
        <v>0</v>
      </c>
      <c r="X7238">
        <v>0</v>
      </c>
    </row>
    <row r="7239" spans="1:24" x14ac:dyDescent="0.25">
      <c r="A7239" t="str">
        <f>""</f>
        <v/>
      </c>
      <c r="B7239" s="1"/>
      <c r="H7239">
        <v>140</v>
      </c>
      <c r="J7239" t="s">
        <v>16</v>
      </c>
      <c r="L7239" s="1"/>
      <c r="N7239" s="1"/>
      <c r="V7239" t="str">
        <f>"92500"</f>
        <v>92500</v>
      </c>
      <c r="W7239">
        <v>0</v>
      </c>
      <c r="X7239">
        <v>0</v>
      </c>
    </row>
    <row r="7240" spans="1:24" ht="15" customHeight="1" x14ac:dyDescent="0.25">
      <c r="A7240" t="str">
        <f>""</f>
        <v/>
      </c>
      <c r="B7240" s="1"/>
      <c r="H7240">
        <v>26.6</v>
      </c>
      <c r="L7240" s="1"/>
      <c r="N7240" s="1"/>
      <c r="V7240" t="str">
        <f>"77184"</f>
        <v>77184</v>
      </c>
      <c r="W7240">
        <v>0</v>
      </c>
      <c r="X7240">
        <v>0</v>
      </c>
    </row>
    <row r="7241" spans="1:24" ht="15" customHeight="1" x14ac:dyDescent="0.25">
      <c r="A7241" t="str">
        <f>""</f>
        <v/>
      </c>
      <c r="B7241" s="1"/>
      <c r="H7241">
        <v>180</v>
      </c>
      <c r="J7241" t="s">
        <v>23</v>
      </c>
      <c r="L7241" s="1"/>
      <c r="N7241" s="1"/>
      <c r="V7241" t="str">
        <f>"34400"</f>
        <v>34400</v>
      </c>
      <c r="W7241">
        <v>0</v>
      </c>
      <c r="X7241">
        <v>70.2</v>
      </c>
    </row>
    <row r="7242" spans="1:24" x14ac:dyDescent="0.25">
      <c r="A7242" t="str">
        <f>""</f>
        <v/>
      </c>
      <c r="B7242" s="1"/>
      <c r="H7242">
        <v>180</v>
      </c>
      <c r="J7242" t="s">
        <v>18</v>
      </c>
      <c r="L7242" s="1"/>
      <c r="N7242" s="1"/>
      <c r="V7242" t="str">
        <f>"13851"</f>
        <v>13851</v>
      </c>
      <c r="W7242">
        <v>0</v>
      </c>
      <c r="X7242">
        <v>0</v>
      </c>
    </row>
    <row r="7243" spans="1:24" ht="15" customHeight="1" x14ac:dyDescent="0.25">
      <c r="A7243" t="str">
        <f>""</f>
        <v/>
      </c>
      <c r="B7243" s="1"/>
      <c r="H7243">
        <v>151</v>
      </c>
      <c r="J7243" t="s">
        <v>22</v>
      </c>
      <c r="L7243" s="1"/>
      <c r="V7243" t="str">
        <f>"67089"</f>
        <v>67089</v>
      </c>
      <c r="W7243">
        <v>0</v>
      </c>
      <c r="X7243">
        <v>0</v>
      </c>
    </row>
    <row r="7244" spans="1:24" ht="15" customHeight="1" x14ac:dyDescent="0.25">
      <c r="A7244" t="str">
        <f>""</f>
        <v/>
      </c>
      <c r="B7244" s="1"/>
      <c r="H7244">
        <v>25</v>
      </c>
      <c r="L7244" s="1"/>
      <c r="N7244" s="1"/>
      <c r="V7244" t="str">
        <f>"77184"</f>
        <v>77184</v>
      </c>
      <c r="W7244">
        <v>0</v>
      </c>
      <c r="X7244">
        <v>0</v>
      </c>
    </row>
    <row r="7245" spans="1:24" ht="15" customHeight="1" x14ac:dyDescent="0.25">
      <c r="A7245" t="str">
        <f>""</f>
        <v/>
      </c>
      <c r="B7245" s="1"/>
      <c r="H7245">
        <v>29</v>
      </c>
      <c r="J7245" t="s">
        <v>23</v>
      </c>
      <c r="L7245" s="1"/>
      <c r="N7245" s="1"/>
      <c r="V7245" t="str">
        <f>"67000"</f>
        <v>67000</v>
      </c>
      <c r="W7245">
        <v>0</v>
      </c>
      <c r="X7245">
        <v>2.3199999999999998</v>
      </c>
    </row>
    <row r="7246" spans="1:24" ht="15" customHeight="1" x14ac:dyDescent="0.25">
      <c r="A7246" t="str">
        <f>""</f>
        <v/>
      </c>
      <c r="B7246" s="1"/>
      <c r="H7246">
        <v>170</v>
      </c>
      <c r="L7246" s="1"/>
      <c r="N7246" s="1"/>
      <c r="V7246" t="str">
        <f>"77184"</f>
        <v>77184</v>
      </c>
      <c r="W7246">
        <v>0</v>
      </c>
      <c r="X7246">
        <v>0</v>
      </c>
    </row>
    <row r="7247" spans="1:24" x14ac:dyDescent="0.25">
      <c r="A7247" t="str">
        <f>""</f>
        <v/>
      </c>
      <c r="B7247" s="1"/>
      <c r="H7247">
        <v>151</v>
      </c>
      <c r="J7247" t="s">
        <v>18</v>
      </c>
      <c r="L7247" s="1"/>
      <c r="N7247" s="1"/>
      <c r="V7247" t="str">
        <f>"69000"</f>
        <v>69000</v>
      </c>
      <c r="W7247">
        <v>0</v>
      </c>
      <c r="X7247">
        <v>0</v>
      </c>
    </row>
    <row r="7248" spans="1:24" ht="15" customHeight="1" x14ac:dyDescent="0.25">
      <c r="A7248" t="str">
        <f>""</f>
        <v/>
      </c>
      <c r="B7248" s="1"/>
      <c r="H7248">
        <v>120</v>
      </c>
      <c r="L7248" s="1"/>
      <c r="N7248" s="1"/>
      <c r="V7248" t="str">
        <f>"77184"</f>
        <v>77184</v>
      </c>
      <c r="W7248">
        <v>0</v>
      </c>
      <c r="X7248">
        <v>0</v>
      </c>
    </row>
    <row r="7249" spans="1:24" ht="15" customHeight="1" x14ac:dyDescent="0.25">
      <c r="A7249" t="str">
        <f>""</f>
        <v/>
      </c>
      <c r="B7249" s="1"/>
      <c r="H7249">
        <v>149</v>
      </c>
      <c r="L7249" s="1"/>
      <c r="N7249" s="1"/>
      <c r="V7249" t="str">
        <f>"77184"</f>
        <v>77184</v>
      </c>
      <c r="W7249">
        <v>0</v>
      </c>
      <c r="X7249">
        <v>0</v>
      </c>
    </row>
    <row r="7250" spans="1:24" ht="15" customHeight="1" x14ac:dyDescent="0.25">
      <c r="A7250" t="str">
        <f>""</f>
        <v/>
      </c>
      <c r="B7250" s="1"/>
      <c r="H7250">
        <v>126</v>
      </c>
      <c r="L7250" s="1"/>
      <c r="N7250" s="1"/>
      <c r="V7250" t="str">
        <f>"77184"</f>
        <v>77184</v>
      </c>
      <c r="W7250">
        <v>0</v>
      </c>
      <c r="X7250">
        <v>0</v>
      </c>
    </row>
    <row r="7251" spans="1:24" x14ac:dyDescent="0.25">
      <c r="A7251" t="str">
        <f>""</f>
        <v/>
      </c>
      <c r="B7251" s="1"/>
      <c r="H7251">
        <v>145.97999999999999</v>
      </c>
      <c r="J7251" t="s">
        <v>16</v>
      </c>
      <c r="L7251" s="1"/>
      <c r="N7251" s="1"/>
      <c r="V7251" t="str">
        <f>"60000"</f>
        <v>60000</v>
      </c>
      <c r="W7251">
        <v>27.74</v>
      </c>
      <c r="X7251">
        <v>0</v>
      </c>
    </row>
    <row r="7252" spans="1:24" x14ac:dyDescent="0.25">
      <c r="A7252" t="str">
        <f>""</f>
        <v/>
      </c>
      <c r="B7252" s="1"/>
      <c r="H7252">
        <v>70</v>
      </c>
      <c r="J7252" t="s">
        <v>15</v>
      </c>
      <c r="L7252" s="1"/>
      <c r="N7252" s="1"/>
      <c r="V7252" t="str">
        <f>"79000"</f>
        <v>79000</v>
      </c>
      <c r="W7252">
        <v>0</v>
      </c>
      <c r="X7252">
        <v>0</v>
      </c>
    </row>
    <row r="7253" spans="1:24" x14ac:dyDescent="0.25">
      <c r="A7253" t="str">
        <f>""</f>
        <v/>
      </c>
      <c r="B7253" s="1"/>
      <c r="H7253">
        <v>180</v>
      </c>
      <c r="J7253" t="s">
        <v>18</v>
      </c>
      <c r="L7253" s="1"/>
      <c r="N7253" s="1"/>
      <c r="V7253" t="str">
        <f>"75017"</f>
        <v>75017</v>
      </c>
      <c r="W7253">
        <v>0</v>
      </c>
      <c r="X7253">
        <v>0</v>
      </c>
    </row>
    <row r="7254" spans="1:24" ht="15" customHeight="1" x14ac:dyDescent="0.25">
      <c r="A7254" t="str">
        <f>""</f>
        <v/>
      </c>
      <c r="B7254" s="1"/>
      <c r="H7254">
        <v>33.630000000000003</v>
      </c>
      <c r="L7254" s="1"/>
      <c r="N7254" s="1"/>
      <c r="V7254" t="str">
        <f>"77184"</f>
        <v>77184</v>
      </c>
      <c r="W7254">
        <v>0</v>
      </c>
      <c r="X7254">
        <v>0</v>
      </c>
    </row>
    <row r="7255" spans="1:24" x14ac:dyDescent="0.25">
      <c r="A7255" t="str">
        <f>""</f>
        <v/>
      </c>
      <c r="B7255" s="1"/>
      <c r="H7255">
        <v>151</v>
      </c>
      <c r="J7255" t="s">
        <v>16</v>
      </c>
      <c r="L7255" s="1"/>
      <c r="V7255" t="str">
        <f>"94150"</f>
        <v>94150</v>
      </c>
      <c r="W7255">
        <v>0</v>
      </c>
      <c r="X7255">
        <v>0</v>
      </c>
    </row>
    <row r="7256" spans="1:24" x14ac:dyDescent="0.25">
      <c r="A7256" t="str">
        <f>""</f>
        <v/>
      </c>
      <c r="B7256" s="1"/>
      <c r="J7256" t="s">
        <v>18</v>
      </c>
      <c r="L7256" s="1"/>
      <c r="N7256" s="1"/>
      <c r="V7256" t="str">
        <f>"93400 "</f>
        <v xml:space="preserve">93400 </v>
      </c>
      <c r="W7256">
        <v>0</v>
      </c>
      <c r="X7256">
        <v>0</v>
      </c>
    </row>
    <row r="7257" spans="1:24" x14ac:dyDescent="0.25">
      <c r="A7257" t="str">
        <f>""</f>
        <v/>
      </c>
      <c r="B7257" s="1"/>
      <c r="H7257">
        <v>200</v>
      </c>
      <c r="J7257" t="s">
        <v>15</v>
      </c>
      <c r="L7257" s="1"/>
      <c r="N7257" s="1"/>
      <c r="V7257" t="str">
        <f>"80400"</f>
        <v>80400</v>
      </c>
      <c r="W7257">
        <v>0</v>
      </c>
      <c r="X7257">
        <v>0</v>
      </c>
    </row>
    <row r="7258" spans="1:24" x14ac:dyDescent="0.25">
      <c r="A7258" t="str">
        <f>""</f>
        <v/>
      </c>
      <c r="B7258" s="1"/>
      <c r="H7258">
        <v>145.19999999999999</v>
      </c>
      <c r="J7258" t="s">
        <v>17</v>
      </c>
      <c r="L7258" s="1"/>
      <c r="N7258" s="1"/>
      <c r="V7258" t="str">
        <f>"92400"</f>
        <v>92400</v>
      </c>
      <c r="W7258">
        <v>0</v>
      </c>
      <c r="X7258">
        <v>0</v>
      </c>
    </row>
    <row r="7259" spans="1:24" ht="15" customHeight="1" x14ac:dyDescent="0.25">
      <c r="A7259" t="str">
        <f>""</f>
        <v/>
      </c>
      <c r="B7259" s="1"/>
      <c r="H7259">
        <v>40</v>
      </c>
      <c r="J7259" t="s">
        <v>22</v>
      </c>
      <c r="L7259" s="1"/>
      <c r="V7259" t="str">
        <f>"06000"</f>
        <v>06000</v>
      </c>
      <c r="W7259">
        <v>0</v>
      </c>
      <c r="X7259">
        <v>0</v>
      </c>
    </row>
    <row r="7260" spans="1:24" ht="15" customHeight="1" x14ac:dyDescent="0.25">
      <c r="A7260" t="str">
        <f>""</f>
        <v/>
      </c>
      <c r="B7260" s="1"/>
      <c r="H7260">
        <v>75.34</v>
      </c>
      <c r="J7260" t="s">
        <v>19</v>
      </c>
      <c r="L7260" s="1"/>
      <c r="N7260" s="1"/>
      <c r="V7260" t="str">
        <f>"84380"</f>
        <v>84380</v>
      </c>
      <c r="W7260">
        <v>0</v>
      </c>
      <c r="X7260">
        <v>0</v>
      </c>
    </row>
    <row r="7261" spans="1:24" ht="15" customHeight="1" x14ac:dyDescent="0.25">
      <c r="A7261" t="str">
        <f>""</f>
        <v/>
      </c>
      <c r="B7261" s="1"/>
      <c r="H7261">
        <v>20</v>
      </c>
      <c r="J7261" t="s">
        <v>23</v>
      </c>
      <c r="L7261" s="1"/>
      <c r="N7261" s="1"/>
      <c r="V7261" t="str">
        <f>"06510"</f>
        <v>06510</v>
      </c>
      <c r="W7261">
        <v>0</v>
      </c>
      <c r="X7261">
        <v>0</v>
      </c>
    </row>
    <row r="7262" spans="1:24" ht="15" customHeight="1" x14ac:dyDescent="0.25">
      <c r="A7262" t="str">
        <f>""</f>
        <v/>
      </c>
      <c r="B7262" s="1"/>
      <c r="H7262">
        <v>180</v>
      </c>
      <c r="J7262" t="s">
        <v>23</v>
      </c>
      <c r="L7262" s="1"/>
      <c r="N7262" s="1"/>
      <c r="V7262" t="str">
        <f>"57600"</f>
        <v>57600</v>
      </c>
      <c r="W7262">
        <v>0</v>
      </c>
      <c r="X7262">
        <v>0</v>
      </c>
    </row>
    <row r="7263" spans="1:24" x14ac:dyDescent="0.25">
      <c r="A7263" t="str">
        <f>""</f>
        <v/>
      </c>
      <c r="B7263" s="1"/>
      <c r="H7263">
        <v>74.25</v>
      </c>
      <c r="J7263" t="s">
        <v>16</v>
      </c>
      <c r="L7263" s="1"/>
      <c r="N7263" s="1"/>
      <c r="V7263" t="str">
        <f>"37300"</f>
        <v>37300</v>
      </c>
      <c r="W7263">
        <v>15.59</v>
      </c>
      <c r="X7263">
        <v>0</v>
      </c>
    </row>
    <row r="7264" spans="1:24" ht="15" customHeight="1" x14ac:dyDescent="0.25">
      <c r="A7264" t="str">
        <f>""</f>
        <v/>
      </c>
      <c r="B7264" s="1"/>
      <c r="H7264">
        <v>90.99</v>
      </c>
      <c r="J7264" t="s">
        <v>22</v>
      </c>
      <c r="L7264" s="1"/>
      <c r="V7264" t="str">
        <f>"69100"</f>
        <v>69100</v>
      </c>
      <c r="W7264">
        <v>0</v>
      </c>
      <c r="X7264">
        <v>0</v>
      </c>
    </row>
    <row r="7265" spans="1:24" ht="15" customHeight="1" x14ac:dyDescent="0.25">
      <c r="A7265" t="str">
        <f>""</f>
        <v/>
      </c>
      <c r="B7265" s="1"/>
      <c r="H7265">
        <v>16</v>
      </c>
      <c r="J7265" t="s">
        <v>23</v>
      </c>
      <c r="L7265" s="1"/>
      <c r="V7265" t="str">
        <f>"98000"</f>
        <v>98000</v>
      </c>
      <c r="W7265">
        <v>0</v>
      </c>
      <c r="X7265">
        <v>0</v>
      </c>
    </row>
    <row r="7266" spans="1:24" ht="15" customHeight="1" x14ac:dyDescent="0.25">
      <c r="A7266" t="str">
        <f>""</f>
        <v/>
      </c>
      <c r="B7266" s="1"/>
      <c r="H7266">
        <v>140</v>
      </c>
      <c r="J7266" t="s">
        <v>23</v>
      </c>
      <c r="L7266" s="1"/>
      <c r="N7266" s="1"/>
      <c r="V7266" t="str">
        <f>"18390"</f>
        <v>18390</v>
      </c>
      <c r="W7266">
        <v>0</v>
      </c>
      <c r="X7266">
        <v>37.799999999999997</v>
      </c>
    </row>
    <row r="7267" spans="1:24" ht="15" customHeight="1" x14ac:dyDescent="0.25">
      <c r="A7267" t="str">
        <f>""</f>
        <v/>
      </c>
      <c r="B7267" s="1"/>
      <c r="H7267">
        <v>198.98</v>
      </c>
      <c r="J7267" t="s">
        <v>22</v>
      </c>
      <c r="L7267" s="1"/>
      <c r="V7267" t="str">
        <f>"13127"</f>
        <v>13127</v>
      </c>
      <c r="W7267">
        <v>0</v>
      </c>
      <c r="X7267">
        <v>0</v>
      </c>
    </row>
    <row r="7268" spans="1:24" ht="15" customHeight="1" x14ac:dyDescent="0.25">
      <c r="A7268" t="str">
        <f>""</f>
        <v/>
      </c>
      <c r="B7268" s="1"/>
      <c r="H7268">
        <v>94.79</v>
      </c>
      <c r="J7268" t="s">
        <v>22</v>
      </c>
      <c r="L7268" s="1"/>
      <c r="V7268" t="str">
        <f>"13127"</f>
        <v>13127</v>
      </c>
      <c r="W7268">
        <v>0</v>
      </c>
      <c r="X7268">
        <v>0</v>
      </c>
    </row>
    <row r="7269" spans="1:24" ht="15" customHeight="1" x14ac:dyDescent="0.25">
      <c r="A7269" t="str">
        <f>""</f>
        <v/>
      </c>
      <c r="B7269" s="1"/>
      <c r="H7269">
        <v>151.33000000000001</v>
      </c>
      <c r="J7269" t="s">
        <v>23</v>
      </c>
      <c r="L7269" s="1"/>
      <c r="V7269" t="str">
        <f>"54670"</f>
        <v>54670</v>
      </c>
      <c r="W7269">
        <v>0</v>
      </c>
      <c r="X7269">
        <v>0</v>
      </c>
    </row>
    <row r="7270" spans="1:24" ht="15" customHeight="1" x14ac:dyDescent="0.25">
      <c r="A7270" t="str">
        <f>""</f>
        <v/>
      </c>
      <c r="B7270" s="1"/>
      <c r="H7270">
        <v>180</v>
      </c>
      <c r="J7270" t="s">
        <v>23</v>
      </c>
      <c r="L7270" s="1"/>
      <c r="N7270" s="1"/>
      <c r="V7270" t="str">
        <f>"68650"</f>
        <v>68650</v>
      </c>
      <c r="W7270">
        <v>0</v>
      </c>
      <c r="X7270">
        <v>14.4</v>
      </c>
    </row>
    <row r="7271" spans="1:24" ht="15" customHeight="1" x14ac:dyDescent="0.25">
      <c r="A7271" t="str">
        <f>""</f>
        <v/>
      </c>
      <c r="B7271" s="1"/>
      <c r="H7271">
        <v>109.06</v>
      </c>
      <c r="J7271" t="s">
        <v>22</v>
      </c>
      <c r="L7271" s="1"/>
      <c r="N7271" s="1"/>
      <c r="V7271" t="str">
        <f>"88000"</f>
        <v>88000</v>
      </c>
      <c r="W7271">
        <v>0</v>
      </c>
      <c r="X7271">
        <v>8.7200000000000006</v>
      </c>
    </row>
    <row r="7272" spans="1:24" ht="15" customHeight="1" x14ac:dyDescent="0.25">
      <c r="A7272" t="str">
        <f>""</f>
        <v/>
      </c>
      <c r="B7272" s="1"/>
      <c r="H7272">
        <v>159.4</v>
      </c>
      <c r="J7272" t="s">
        <v>23</v>
      </c>
      <c r="L7272" s="1"/>
      <c r="V7272" t="str">
        <f>"69480"</f>
        <v>69480</v>
      </c>
      <c r="W7272">
        <v>0</v>
      </c>
      <c r="X7272">
        <v>0</v>
      </c>
    </row>
    <row r="7273" spans="1:24" x14ac:dyDescent="0.25">
      <c r="A7273" t="str">
        <f>""</f>
        <v/>
      </c>
      <c r="B7273" s="1"/>
      <c r="H7273">
        <v>52.5</v>
      </c>
      <c r="J7273" t="s">
        <v>15</v>
      </c>
      <c r="L7273" s="1"/>
      <c r="N7273" s="1"/>
      <c r="V7273" t="str">
        <f>"93700"</f>
        <v>93700</v>
      </c>
      <c r="W7273">
        <v>0</v>
      </c>
      <c r="X7273">
        <v>0</v>
      </c>
    </row>
    <row r="7274" spans="1:24" ht="15" customHeight="1" x14ac:dyDescent="0.25">
      <c r="A7274" t="str">
        <f>""</f>
        <v/>
      </c>
      <c r="B7274" s="1"/>
      <c r="H7274">
        <v>140</v>
      </c>
      <c r="J7274" t="s">
        <v>23</v>
      </c>
      <c r="L7274" s="1"/>
      <c r="V7274" t="str">
        <f>"60200"</f>
        <v>60200</v>
      </c>
      <c r="W7274">
        <v>0</v>
      </c>
      <c r="X7274">
        <v>0</v>
      </c>
    </row>
    <row r="7275" spans="1:24" x14ac:dyDescent="0.25">
      <c r="A7275" t="str">
        <f>""</f>
        <v/>
      </c>
      <c r="B7275" s="1"/>
      <c r="H7275">
        <v>23.4</v>
      </c>
      <c r="J7275" t="s">
        <v>15</v>
      </c>
      <c r="L7275" s="1"/>
      <c r="N7275" s="1"/>
      <c r="V7275" t="str">
        <f>"38300"</f>
        <v>38300</v>
      </c>
      <c r="W7275">
        <v>0</v>
      </c>
      <c r="X7275">
        <v>0</v>
      </c>
    </row>
    <row r="7276" spans="1:24" x14ac:dyDescent="0.25">
      <c r="A7276" t="str">
        <f>""</f>
        <v/>
      </c>
      <c r="B7276" s="1"/>
      <c r="H7276">
        <v>32</v>
      </c>
      <c r="J7276" t="s">
        <v>15</v>
      </c>
      <c r="L7276" s="1"/>
      <c r="N7276" s="1"/>
      <c r="V7276" t="str">
        <f>"08200"</f>
        <v>08200</v>
      </c>
      <c r="W7276">
        <v>0</v>
      </c>
      <c r="X7276">
        <v>0</v>
      </c>
    </row>
    <row r="7277" spans="1:24" ht="15" customHeight="1" x14ac:dyDescent="0.25">
      <c r="A7277" t="str">
        <f>""</f>
        <v/>
      </c>
      <c r="B7277" s="1"/>
      <c r="H7277">
        <v>40</v>
      </c>
      <c r="J7277" t="s">
        <v>22</v>
      </c>
      <c r="L7277" s="1"/>
      <c r="N7277" s="1"/>
      <c r="V7277" t="str">
        <f>"67000"</f>
        <v>67000</v>
      </c>
      <c r="W7277">
        <v>0</v>
      </c>
      <c r="X7277">
        <v>3.2</v>
      </c>
    </row>
    <row r="7278" spans="1:24" ht="15" customHeight="1" x14ac:dyDescent="0.25">
      <c r="A7278" t="str">
        <f>""</f>
        <v/>
      </c>
      <c r="B7278" s="1"/>
      <c r="H7278">
        <v>180</v>
      </c>
      <c r="J7278" t="s">
        <v>23</v>
      </c>
      <c r="L7278" s="1"/>
      <c r="N7278" s="1"/>
      <c r="V7278" t="str">
        <f>"62320"</f>
        <v>62320</v>
      </c>
      <c r="W7278">
        <v>0</v>
      </c>
      <c r="X7278">
        <v>0</v>
      </c>
    </row>
    <row r="7279" spans="1:24" ht="15" customHeight="1" x14ac:dyDescent="0.25">
      <c r="A7279" t="str">
        <f>""</f>
        <v/>
      </c>
      <c r="B7279" s="1"/>
      <c r="H7279">
        <v>151</v>
      </c>
      <c r="J7279" t="s">
        <v>22</v>
      </c>
      <c r="L7279" s="1"/>
      <c r="N7279" s="1"/>
      <c r="V7279" t="str">
        <f>"06560"</f>
        <v>06560</v>
      </c>
      <c r="W7279">
        <v>0</v>
      </c>
      <c r="X7279">
        <v>0</v>
      </c>
    </row>
    <row r="7280" spans="1:24" ht="15" customHeight="1" x14ac:dyDescent="0.25">
      <c r="A7280" t="str">
        <f>""</f>
        <v/>
      </c>
      <c r="B7280" s="1"/>
      <c r="H7280">
        <v>151</v>
      </c>
      <c r="J7280" t="s">
        <v>22</v>
      </c>
      <c r="L7280" s="1"/>
      <c r="N7280" s="1"/>
      <c r="V7280" t="str">
        <f>"06560"</f>
        <v>06560</v>
      </c>
      <c r="W7280">
        <v>0</v>
      </c>
      <c r="X7280">
        <v>0</v>
      </c>
    </row>
    <row r="7281" spans="1:24" ht="15" customHeight="1" x14ac:dyDescent="0.25">
      <c r="A7281" t="str">
        <f>""</f>
        <v/>
      </c>
      <c r="B7281" s="1"/>
      <c r="H7281">
        <v>70</v>
      </c>
      <c r="J7281" t="s">
        <v>22</v>
      </c>
      <c r="L7281" s="1"/>
      <c r="V7281" t="str">
        <f>"01000"</f>
        <v>01000</v>
      </c>
      <c r="W7281">
        <v>0</v>
      </c>
      <c r="X7281">
        <v>0</v>
      </c>
    </row>
    <row r="7282" spans="1:24" ht="15" customHeight="1" x14ac:dyDescent="0.25">
      <c r="A7282" t="str">
        <f>""</f>
        <v/>
      </c>
      <c r="B7282" s="1"/>
      <c r="H7282">
        <v>140</v>
      </c>
      <c r="J7282" t="s">
        <v>22</v>
      </c>
      <c r="L7282" s="1"/>
      <c r="N7282" s="1"/>
      <c r="V7282" t="str">
        <f>"56400"</f>
        <v>56400</v>
      </c>
      <c r="W7282">
        <v>0</v>
      </c>
      <c r="X7282">
        <v>0</v>
      </c>
    </row>
    <row r="7283" spans="1:24" x14ac:dyDescent="0.25">
      <c r="A7283" t="str">
        <f>""</f>
        <v/>
      </c>
      <c r="B7283" s="1"/>
      <c r="H7283">
        <v>180</v>
      </c>
      <c r="J7283" t="s">
        <v>16</v>
      </c>
      <c r="L7283" s="1"/>
      <c r="N7283" s="1"/>
      <c r="V7283" t="str">
        <f>"13290"</f>
        <v>13290</v>
      </c>
      <c r="W7283">
        <v>0</v>
      </c>
      <c r="X7283">
        <v>0</v>
      </c>
    </row>
    <row r="7284" spans="1:24" ht="15" customHeight="1" x14ac:dyDescent="0.25">
      <c r="A7284" t="str">
        <f>""</f>
        <v/>
      </c>
      <c r="B7284" s="1"/>
      <c r="H7284">
        <v>140.19999999999999</v>
      </c>
      <c r="J7284" t="s">
        <v>23</v>
      </c>
      <c r="L7284" s="1"/>
      <c r="N7284" s="1"/>
      <c r="V7284" t="str">
        <f>"06150"</f>
        <v>06150</v>
      </c>
      <c r="W7284">
        <v>0</v>
      </c>
      <c r="X7284">
        <v>0</v>
      </c>
    </row>
    <row r="7285" spans="1:24" ht="15" customHeight="1" x14ac:dyDescent="0.25">
      <c r="A7285" t="str">
        <f>""</f>
        <v/>
      </c>
      <c r="B7285" s="1"/>
      <c r="H7285">
        <v>55.05</v>
      </c>
      <c r="J7285" t="s">
        <v>20</v>
      </c>
      <c r="L7285" s="1"/>
      <c r="N7285" s="1"/>
      <c r="V7285" t="str">
        <f>"76220"</f>
        <v>76220</v>
      </c>
      <c r="W7285">
        <v>9.36</v>
      </c>
      <c r="X7285">
        <v>0</v>
      </c>
    </row>
    <row r="7286" spans="1:24" ht="15" customHeight="1" x14ac:dyDescent="0.25">
      <c r="A7286" t="str">
        <f>""</f>
        <v/>
      </c>
      <c r="B7286" s="1"/>
      <c r="H7286">
        <v>90</v>
      </c>
      <c r="J7286" t="s">
        <v>20</v>
      </c>
      <c r="L7286" s="1"/>
      <c r="V7286" t="str">
        <f>"77170"</f>
        <v>77170</v>
      </c>
      <c r="W7286">
        <v>0</v>
      </c>
      <c r="X7286">
        <v>0</v>
      </c>
    </row>
    <row r="7287" spans="1:24" ht="15" customHeight="1" x14ac:dyDescent="0.25">
      <c r="A7287" t="str">
        <f>""</f>
        <v/>
      </c>
      <c r="B7287" s="1"/>
      <c r="H7287">
        <v>151</v>
      </c>
      <c r="J7287" t="s">
        <v>22</v>
      </c>
      <c r="L7287" s="1"/>
      <c r="V7287" t="str">
        <f>"25510"</f>
        <v>25510</v>
      </c>
      <c r="W7287">
        <v>0</v>
      </c>
      <c r="X7287">
        <v>0</v>
      </c>
    </row>
    <row r="7288" spans="1:24" x14ac:dyDescent="0.25">
      <c r="A7288" t="str">
        <f>""</f>
        <v/>
      </c>
      <c r="B7288" s="1"/>
      <c r="H7288">
        <v>67</v>
      </c>
      <c r="J7288" t="s">
        <v>16</v>
      </c>
      <c r="L7288" s="1"/>
      <c r="N7288" s="1"/>
      <c r="V7288" t="str">
        <f>"67230"</f>
        <v>67230</v>
      </c>
      <c r="W7288">
        <v>19.43</v>
      </c>
      <c r="X7288">
        <v>0</v>
      </c>
    </row>
    <row r="7289" spans="1:24" x14ac:dyDescent="0.25">
      <c r="A7289" t="str">
        <f>""</f>
        <v/>
      </c>
      <c r="B7289" s="1"/>
      <c r="H7289">
        <v>140</v>
      </c>
      <c r="J7289" t="s">
        <v>18</v>
      </c>
      <c r="L7289" s="1"/>
      <c r="N7289" s="1"/>
      <c r="V7289" t="str">
        <f>"76000"</f>
        <v>76000</v>
      </c>
      <c r="W7289">
        <v>0</v>
      </c>
      <c r="X7289">
        <v>0</v>
      </c>
    </row>
    <row r="7290" spans="1:24" x14ac:dyDescent="0.25">
      <c r="A7290" t="str">
        <f>""</f>
        <v/>
      </c>
      <c r="B7290" s="1"/>
      <c r="H7290">
        <v>33.119999999999997</v>
      </c>
      <c r="J7290" t="s">
        <v>18</v>
      </c>
      <c r="L7290" s="1"/>
      <c r="N7290" s="1"/>
      <c r="V7290" t="str">
        <f>"75002"</f>
        <v>75002</v>
      </c>
      <c r="W7290">
        <v>0</v>
      </c>
      <c r="X7290">
        <v>0</v>
      </c>
    </row>
    <row r="7291" spans="1:24" ht="15" customHeight="1" x14ac:dyDescent="0.25">
      <c r="A7291" t="str">
        <f>""</f>
        <v/>
      </c>
      <c r="B7291" s="1"/>
      <c r="J7291" t="s">
        <v>8</v>
      </c>
      <c r="V7291" t="str">
        <f>""</f>
        <v/>
      </c>
      <c r="W7291">
        <v>0</v>
      </c>
      <c r="X7291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0000"/>
  <sheetViews>
    <sheetView tabSelected="1" zoomScaleNormal="100" workbookViewId="0">
      <selection activeCell="E2" sqref="E2"/>
    </sheetView>
  </sheetViews>
  <sheetFormatPr baseColWidth="10" defaultRowHeight="18.75" x14ac:dyDescent="0.3"/>
  <cols>
    <col min="1" max="4" width="11.42578125" style="33"/>
    <col min="5" max="5" width="13.140625" style="45" customWidth="1"/>
    <col min="6" max="9" width="11.42578125" style="41" customWidth="1"/>
    <col min="10" max="10" width="9.42578125" style="41" customWidth="1"/>
    <col min="11" max="15" width="11.42578125" style="41"/>
    <col min="16" max="16" width="9.42578125" style="41" customWidth="1"/>
    <col min="17" max="17" width="11.42578125" style="41"/>
    <col min="18" max="16384" width="11.42578125" style="33"/>
  </cols>
  <sheetData>
    <row r="1" spans="1:18" ht="56.25" x14ac:dyDescent="0.2">
      <c r="A1" s="32" t="s">
        <v>14</v>
      </c>
      <c r="B1" s="32" t="s">
        <v>44</v>
      </c>
      <c r="C1" s="32" t="s">
        <v>9</v>
      </c>
      <c r="D1" s="32" t="s">
        <v>10</v>
      </c>
      <c r="E1" s="43" t="s">
        <v>47</v>
      </c>
      <c r="F1" s="13" t="s">
        <v>32</v>
      </c>
      <c r="G1" s="14" t="s">
        <v>30</v>
      </c>
      <c r="H1" s="14" t="s">
        <v>28</v>
      </c>
      <c r="I1" s="14" t="s">
        <v>31</v>
      </c>
      <c r="J1" s="14" t="s">
        <v>25</v>
      </c>
      <c r="K1" s="15" t="s">
        <v>35</v>
      </c>
      <c r="L1" s="13" t="s">
        <v>27</v>
      </c>
      <c r="M1" s="14" t="s">
        <v>30</v>
      </c>
      <c r="N1" s="14" t="s">
        <v>28</v>
      </c>
      <c r="O1" s="14" t="s">
        <v>31</v>
      </c>
      <c r="P1" s="14" t="s">
        <v>29</v>
      </c>
      <c r="Q1" s="15" t="s">
        <v>35</v>
      </c>
    </row>
    <row r="2" spans="1:18" x14ac:dyDescent="0.3">
      <c r="A2" s="34" t="str">
        <f>base!J2</f>
        <v>RM</v>
      </c>
      <c r="B2" s="34" t="str">
        <f>base!V2</f>
        <v>14000</v>
      </c>
      <c r="C2" s="35">
        <v>14</v>
      </c>
      <c r="D2" s="36">
        <f>base!H2</f>
        <v>180</v>
      </c>
      <c r="E2" s="44">
        <f>IF(base!X2=0,"",IF(LEFT($A2,1)="R",$D2*VLOOKUP($C2,Coût_Dpmnt,3,0),IF(OR(LEFT($A2,1)="L",LEFT($A2,1)="D"),$D2*VLOOKUP($C2,Coût_Dpmnt,2,0),"")))</f>
        <v>30.6</v>
      </c>
      <c r="F2" s="16">
        <f>base!W2</f>
        <v>0</v>
      </c>
      <c r="G2" s="11">
        <f t="shared" ref="G2:G65" si="0">F2/D2</f>
        <v>0</v>
      </c>
      <c r="H2" s="11">
        <f t="shared" ref="H2:H65" si="1">VLOOKUP(C2,tout_cout_traction,2,FALSE)*D2</f>
        <v>30.6</v>
      </c>
      <c r="I2" s="11">
        <f t="shared" ref="I2:I65" si="2">H2/D2</f>
        <v>0.17</v>
      </c>
      <c r="J2" s="12">
        <f t="shared" ref="J2:J65" si="3">F2-H2</f>
        <v>-30.6</v>
      </c>
      <c r="K2" s="17" t="str">
        <f>IF(H2=F2,"Pas d'écart",IF(H2&lt;F2,"Ecart positif",IF(H2&gt;F2,"Ecart négatif")))</f>
        <v>Ecart négatif</v>
      </c>
      <c r="L2" s="16">
        <f>base!X2</f>
        <v>30.6</v>
      </c>
      <c r="M2" s="11">
        <f t="shared" ref="M2:M65" si="4">L2/D2</f>
        <v>0.17</v>
      </c>
      <c r="N2" s="11">
        <f t="shared" ref="N2:N65" si="5">VLOOKUP(C2,tout_cout_traction,3,FALSE)*D2</f>
        <v>30.6</v>
      </c>
      <c r="O2" s="11">
        <f t="shared" ref="O2:O65" si="6">N2/D2</f>
        <v>0.17</v>
      </c>
      <c r="P2" s="12">
        <f t="shared" ref="P2:P65" si="7">L2-N2</f>
        <v>0</v>
      </c>
      <c r="Q2" s="17" t="str">
        <f>IF(N2=L2,"Pas d'écart",IF(N2&lt;L2,"Ecart positif",IF(N2&gt;L2,"Ecart négatif")))</f>
        <v>Pas d'écart</v>
      </c>
    </row>
    <row r="3" spans="1:18" x14ac:dyDescent="0.3">
      <c r="A3" s="34">
        <f>base!J3</f>
        <v>0</v>
      </c>
      <c r="B3" s="34" t="str">
        <f>base!V3</f>
        <v>77184</v>
      </c>
      <c r="C3" s="37">
        <v>77</v>
      </c>
      <c r="D3" s="36">
        <f>base!H3</f>
        <v>120</v>
      </c>
      <c r="E3" s="44"/>
      <c r="F3" s="16">
        <f>base!W3</f>
        <v>0</v>
      </c>
      <c r="G3" s="11">
        <f t="shared" si="0"/>
        <v>0</v>
      </c>
      <c r="H3" s="11">
        <f t="shared" si="1"/>
        <v>0</v>
      </c>
      <c r="I3" s="11">
        <f t="shared" si="2"/>
        <v>0</v>
      </c>
      <c r="J3" s="12">
        <f t="shared" si="3"/>
        <v>0</v>
      </c>
      <c r="K3" s="17" t="str">
        <f t="shared" ref="K3:K66" si="8">IF(H3=F3,"Pas d'écart",IF(H3&lt;F3,"Ecart positif",IF(H3&gt;F3,"Ecart négatif")))</f>
        <v>Pas d'écart</v>
      </c>
      <c r="L3" s="16">
        <f>base!X3</f>
        <v>0</v>
      </c>
      <c r="M3" s="11">
        <f t="shared" si="4"/>
        <v>0</v>
      </c>
      <c r="N3" s="11">
        <f t="shared" si="5"/>
        <v>0</v>
      </c>
      <c r="O3" s="11">
        <f t="shared" si="6"/>
        <v>0</v>
      </c>
      <c r="P3" s="12">
        <f t="shared" si="7"/>
        <v>0</v>
      </c>
      <c r="Q3" s="17" t="str">
        <f t="shared" ref="Q3:Q66" si="9">IF(N3=L3,"Pas d'écart",IF(N3&lt;L3,"Ecart positif",IF(N3&gt;L3,"Ecart négatif")))</f>
        <v>Pas d'écart</v>
      </c>
      <c r="R3" s="38"/>
    </row>
    <row r="4" spans="1:18" x14ac:dyDescent="0.3">
      <c r="A4" s="34" t="str">
        <f>base!J4</f>
        <v>RM</v>
      </c>
      <c r="B4" s="34" t="str">
        <f>base!V4</f>
        <v>59650</v>
      </c>
      <c r="C4" s="37">
        <v>59</v>
      </c>
      <c r="D4" s="36">
        <f>base!H4</f>
        <v>140</v>
      </c>
      <c r="E4" s="44"/>
      <c r="F4" s="16">
        <f>base!W4</f>
        <v>0</v>
      </c>
      <c r="G4" s="11">
        <f t="shared" si="0"/>
        <v>0</v>
      </c>
      <c r="H4" s="11">
        <f t="shared" si="1"/>
        <v>26.6</v>
      </c>
      <c r="I4" s="11">
        <f t="shared" si="2"/>
        <v>0.19</v>
      </c>
      <c r="J4" s="12">
        <f t="shared" si="3"/>
        <v>-26.6</v>
      </c>
      <c r="K4" s="17" t="str">
        <f t="shared" si="8"/>
        <v>Ecart négatif</v>
      </c>
      <c r="L4" s="16">
        <f>base!X4</f>
        <v>0</v>
      </c>
      <c r="M4" s="11">
        <f t="shared" si="4"/>
        <v>0</v>
      </c>
      <c r="N4" s="11">
        <f t="shared" si="5"/>
        <v>0</v>
      </c>
      <c r="O4" s="11">
        <f t="shared" si="6"/>
        <v>0</v>
      </c>
      <c r="P4" s="12">
        <f t="shared" si="7"/>
        <v>0</v>
      </c>
      <c r="Q4" s="17" t="str">
        <f t="shared" si="9"/>
        <v>Pas d'écart</v>
      </c>
      <c r="R4" s="38"/>
    </row>
    <row r="5" spans="1:18" x14ac:dyDescent="0.3">
      <c r="A5" s="34" t="str">
        <f>base!J5</f>
        <v>RS</v>
      </c>
      <c r="B5" s="34" t="str">
        <f>base!V5</f>
        <v>59223</v>
      </c>
      <c r="C5" s="37">
        <v>59</v>
      </c>
      <c r="D5" s="36">
        <f>base!H5</f>
        <v>201</v>
      </c>
      <c r="E5" s="44"/>
      <c r="F5" s="16">
        <f>base!W5</f>
        <v>0</v>
      </c>
      <c r="G5" s="11">
        <f t="shared" si="0"/>
        <v>0</v>
      </c>
      <c r="H5" s="11">
        <f t="shared" si="1"/>
        <v>38.19</v>
      </c>
      <c r="I5" s="11">
        <f t="shared" si="2"/>
        <v>0.19</v>
      </c>
      <c r="J5" s="12">
        <f t="shared" si="3"/>
        <v>-38.19</v>
      </c>
      <c r="K5" s="17" t="str">
        <f t="shared" si="8"/>
        <v>Ecart négatif</v>
      </c>
      <c r="L5" s="16">
        <f>base!X5</f>
        <v>38.19</v>
      </c>
      <c r="M5" s="11">
        <f t="shared" si="4"/>
        <v>0.19</v>
      </c>
      <c r="N5" s="11">
        <f t="shared" si="5"/>
        <v>0</v>
      </c>
      <c r="O5" s="11">
        <f t="shared" si="6"/>
        <v>0</v>
      </c>
      <c r="P5" s="12">
        <f t="shared" si="7"/>
        <v>38.19</v>
      </c>
      <c r="Q5" s="17" t="str">
        <f t="shared" si="9"/>
        <v>Ecart positif</v>
      </c>
      <c r="R5" s="39"/>
    </row>
    <row r="6" spans="1:18" x14ac:dyDescent="0.3">
      <c r="A6" s="34" t="str">
        <f>base!J6</f>
        <v>RM</v>
      </c>
      <c r="B6" s="34" t="str">
        <f>base!V6</f>
        <v>67118</v>
      </c>
      <c r="C6" s="37">
        <v>67</v>
      </c>
      <c r="D6" s="36">
        <f>base!H6</f>
        <v>108.12</v>
      </c>
      <c r="E6" s="44"/>
      <c r="F6" s="16">
        <f>base!W6</f>
        <v>0</v>
      </c>
      <c r="G6" s="11">
        <f t="shared" si="0"/>
        <v>0</v>
      </c>
      <c r="H6" s="11">
        <f t="shared" si="1"/>
        <v>31.354800000000001</v>
      </c>
      <c r="I6" s="11">
        <f t="shared" si="2"/>
        <v>0.28999999999999998</v>
      </c>
      <c r="J6" s="12">
        <f t="shared" si="3"/>
        <v>-31.354800000000001</v>
      </c>
      <c r="K6" s="17" t="str">
        <f t="shared" si="8"/>
        <v>Ecart négatif</v>
      </c>
      <c r="L6" s="16">
        <f>base!X6</f>
        <v>0</v>
      </c>
      <c r="M6" s="11">
        <f t="shared" si="4"/>
        <v>0</v>
      </c>
      <c r="N6" s="11">
        <f t="shared" si="5"/>
        <v>8.6496000000000013</v>
      </c>
      <c r="O6" s="11">
        <f t="shared" si="6"/>
        <v>0.08</v>
      </c>
      <c r="P6" s="12">
        <f t="shared" si="7"/>
        <v>-8.6496000000000013</v>
      </c>
      <c r="Q6" s="17" t="str">
        <f t="shared" si="9"/>
        <v>Ecart négatif</v>
      </c>
      <c r="R6" s="38"/>
    </row>
    <row r="7" spans="1:18" x14ac:dyDescent="0.3">
      <c r="A7" s="34" t="str">
        <f>base!J7</f>
        <v>LS</v>
      </c>
      <c r="B7" s="34" t="str">
        <f>base!V7</f>
        <v>76300</v>
      </c>
      <c r="C7" s="37">
        <v>56</v>
      </c>
      <c r="D7" s="36">
        <f>base!H7</f>
        <v>75.16</v>
      </c>
      <c r="E7" s="44"/>
      <c r="F7" s="16">
        <f>base!W7</f>
        <v>12.78</v>
      </c>
      <c r="G7" s="11">
        <f t="shared" si="0"/>
        <v>0.17003725385843535</v>
      </c>
      <c r="H7" s="11">
        <f t="shared" si="1"/>
        <v>20.293199999999999</v>
      </c>
      <c r="I7" s="11">
        <f t="shared" si="2"/>
        <v>0.27</v>
      </c>
      <c r="J7" s="12">
        <f t="shared" si="3"/>
        <v>-7.5131999999999994</v>
      </c>
      <c r="K7" s="17" t="str">
        <f t="shared" si="8"/>
        <v>Ecart négatif</v>
      </c>
      <c r="L7" s="16">
        <f>base!X7</f>
        <v>0</v>
      </c>
      <c r="M7" s="11">
        <f t="shared" si="4"/>
        <v>0</v>
      </c>
      <c r="N7" s="11">
        <f t="shared" si="5"/>
        <v>0</v>
      </c>
      <c r="O7" s="11">
        <f t="shared" si="6"/>
        <v>0</v>
      </c>
      <c r="P7" s="12">
        <f t="shared" si="7"/>
        <v>0</v>
      </c>
      <c r="Q7" s="17" t="str">
        <f t="shared" si="9"/>
        <v>Pas d'écart</v>
      </c>
      <c r="R7" s="38"/>
    </row>
    <row r="8" spans="1:18" x14ac:dyDescent="0.3">
      <c r="A8" s="34" t="str">
        <f>base!J8</f>
        <v>RM</v>
      </c>
      <c r="B8" s="34" t="str">
        <f>base!V8</f>
        <v>14000</v>
      </c>
      <c r="C8" s="37">
        <v>14</v>
      </c>
      <c r="D8" s="36">
        <f>base!H8</f>
        <v>153.97999999999999</v>
      </c>
      <c r="E8" s="44"/>
      <c r="F8" s="16">
        <f>base!W8</f>
        <v>0</v>
      </c>
      <c r="G8" s="11">
        <f t="shared" si="0"/>
        <v>0</v>
      </c>
      <c r="H8" s="11">
        <f t="shared" si="1"/>
        <v>26.176600000000001</v>
      </c>
      <c r="I8" s="11">
        <f t="shared" si="2"/>
        <v>0.17</v>
      </c>
      <c r="J8" s="12">
        <f t="shared" si="3"/>
        <v>-26.176600000000001</v>
      </c>
      <c r="K8" s="17" t="str">
        <f t="shared" si="8"/>
        <v>Ecart négatif</v>
      </c>
      <c r="L8" s="16">
        <f>base!X8</f>
        <v>26.18</v>
      </c>
      <c r="M8" s="11">
        <f t="shared" si="4"/>
        <v>0.17002208078971295</v>
      </c>
      <c r="N8" s="11">
        <f t="shared" si="5"/>
        <v>26.176600000000001</v>
      </c>
      <c r="O8" s="11">
        <f t="shared" si="6"/>
        <v>0.17</v>
      </c>
      <c r="P8" s="12">
        <f t="shared" si="7"/>
        <v>3.3999999999991815E-3</v>
      </c>
      <c r="Q8" s="17" t="str">
        <f t="shared" si="9"/>
        <v>Ecart positif</v>
      </c>
      <c r="R8" s="38"/>
    </row>
    <row r="9" spans="1:18" x14ac:dyDescent="0.3">
      <c r="A9" s="34" t="str">
        <f>base!J9</f>
        <v>RM</v>
      </c>
      <c r="B9" s="34" t="str">
        <f>base!V9</f>
        <v>14000</v>
      </c>
      <c r="C9" s="37">
        <v>14</v>
      </c>
      <c r="D9" s="36">
        <f>base!H9</f>
        <v>180</v>
      </c>
      <c r="E9" s="44"/>
      <c r="F9" s="16">
        <f>base!W9</f>
        <v>0</v>
      </c>
      <c r="G9" s="11">
        <f t="shared" si="0"/>
        <v>0</v>
      </c>
      <c r="H9" s="11">
        <f t="shared" si="1"/>
        <v>30.6</v>
      </c>
      <c r="I9" s="11">
        <f t="shared" si="2"/>
        <v>0.17</v>
      </c>
      <c r="J9" s="12">
        <f t="shared" si="3"/>
        <v>-30.6</v>
      </c>
      <c r="K9" s="17" t="str">
        <f t="shared" si="8"/>
        <v>Ecart négatif</v>
      </c>
      <c r="L9" s="16">
        <f>base!X9</f>
        <v>0</v>
      </c>
      <c r="M9" s="11">
        <f t="shared" si="4"/>
        <v>0</v>
      </c>
      <c r="N9" s="11">
        <f t="shared" si="5"/>
        <v>30.6</v>
      </c>
      <c r="O9" s="11">
        <f t="shared" si="6"/>
        <v>0.17</v>
      </c>
      <c r="P9" s="12">
        <f t="shared" si="7"/>
        <v>-30.6</v>
      </c>
      <c r="Q9" s="17" t="str">
        <f t="shared" si="9"/>
        <v>Ecart négatif</v>
      </c>
      <c r="R9" s="38"/>
    </row>
    <row r="10" spans="1:18" x14ac:dyDescent="0.3">
      <c r="A10" s="34" t="str">
        <f>base!J10</f>
        <v>LM</v>
      </c>
      <c r="B10" s="34" t="str">
        <f>base!V10</f>
        <v>61250</v>
      </c>
      <c r="C10" s="37">
        <v>17</v>
      </c>
      <c r="D10" s="36">
        <f>base!H10</f>
        <v>69.56</v>
      </c>
      <c r="E10" s="44"/>
      <c r="F10" s="16">
        <f>base!W10</f>
        <v>11.83</v>
      </c>
      <c r="G10" s="11">
        <f t="shared" si="0"/>
        <v>0.17006900517538814</v>
      </c>
      <c r="H10" s="11">
        <f t="shared" si="1"/>
        <v>14.6076</v>
      </c>
      <c r="I10" s="11">
        <f t="shared" si="2"/>
        <v>0.21</v>
      </c>
      <c r="J10" s="12">
        <f t="shared" si="3"/>
        <v>-2.7775999999999996</v>
      </c>
      <c r="K10" s="17" t="str">
        <f t="shared" si="8"/>
        <v>Ecart négatif</v>
      </c>
      <c r="L10" s="16">
        <f>base!X10</f>
        <v>0</v>
      </c>
      <c r="M10" s="11">
        <f t="shared" si="4"/>
        <v>0</v>
      </c>
      <c r="N10" s="11">
        <f t="shared" si="5"/>
        <v>11.825200000000001</v>
      </c>
      <c r="O10" s="11">
        <f t="shared" si="6"/>
        <v>0.17</v>
      </c>
      <c r="P10" s="12">
        <f t="shared" si="7"/>
        <v>-11.825200000000001</v>
      </c>
      <c r="Q10" s="17" t="str">
        <f t="shared" si="9"/>
        <v>Ecart négatif</v>
      </c>
      <c r="R10" s="38"/>
    </row>
    <row r="11" spans="1:18" x14ac:dyDescent="0.3">
      <c r="A11" s="34" t="str">
        <f>base!J11</f>
        <v>RM</v>
      </c>
      <c r="B11" s="34" t="str">
        <f>base!V11</f>
        <v>21320</v>
      </c>
      <c r="C11" s="37">
        <v>21</v>
      </c>
      <c r="D11" s="36">
        <f>base!H11</f>
        <v>70</v>
      </c>
      <c r="E11" s="44"/>
      <c r="F11" s="16">
        <f>base!W11</f>
        <v>0</v>
      </c>
      <c r="G11" s="11">
        <f t="shared" si="0"/>
        <v>0</v>
      </c>
      <c r="H11" s="11">
        <f t="shared" si="1"/>
        <v>16.8</v>
      </c>
      <c r="I11" s="11">
        <f t="shared" si="2"/>
        <v>0.24000000000000002</v>
      </c>
      <c r="J11" s="12">
        <f t="shared" si="3"/>
        <v>-16.8</v>
      </c>
      <c r="K11" s="17" t="str">
        <f t="shared" si="8"/>
        <v>Ecart négatif</v>
      </c>
      <c r="L11" s="16">
        <f>base!X11</f>
        <v>8.4</v>
      </c>
      <c r="M11" s="11">
        <f t="shared" si="4"/>
        <v>0.12000000000000001</v>
      </c>
      <c r="N11" s="11">
        <f t="shared" si="5"/>
        <v>8.4</v>
      </c>
      <c r="O11" s="11">
        <f t="shared" si="6"/>
        <v>0.12000000000000001</v>
      </c>
      <c r="P11" s="12">
        <f t="shared" si="7"/>
        <v>0</v>
      </c>
      <c r="Q11" s="17" t="str">
        <f t="shared" si="9"/>
        <v>Pas d'écart</v>
      </c>
      <c r="R11" s="38"/>
    </row>
    <row r="12" spans="1:18" x14ac:dyDescent="0.3">
      <c r="A12" s="34" t="str">
        <f>base!J12</f>
        <v>RM</v>
      </c>
      <c r="B12" s="34" t="str">
        <f>base!V12</f>
        <v>71000</v>
      </c>
      <c r="C12" s="37">
        <v>71</v>
      </c>
      <c r="D12" s="36">
        <f>base!H12</f>
        <v>70</v>
      </c>
      <c r="E12" s="44"/>
      <c r="F12" s="16">
        <f>base!W12</f>
        <v>0</v>
      </c>
      <c r="G12" s="11">
        <f t="shared" si="0"/>
        <v>0</v>
      </c>
      <c r="H12" s="11">
        <f t="shared" si="1"/>
        <v>18.900000000000002</v>
      </c>
      <c r="I12" s="11">
        <f t="shared" si="2"/>
        <v>0.27</v>
      </c>
      <c r="J12" s="12">
        <f t="shared" si="3"/>
        <v>-18.900000000000002</v>
      </c>
      <c r="K12" s="17" t="str">
        <f t="shared" si="8"/>
        <v>Ecart négatif</v>
      </c>
      <c r="L12" s="16">
        <f>base!X12</f>
        <v>0</v>
      </c>
      <c r="M12" s="11">
        <f t="shared" si="4"/>
        <v>0</v>
      </c>
      <c r="N12" s="11">
        <f t="shared" si="5"/>
        <v>0</v>
      </c>
      <c r="O12" s="11">
        <f t="shared" si="6"/>
        <v>0</v>
      </c>
      <c r="P12" s="12">
        <f t="shared" si="7"/>
        <v>0</v>
      </c>
      <c r="Q12" s="17" t="str">
        <f t="shared" si="9"/>
        <v>Pas d'écart</v>
      </c>
      <c r="R12" s="38"/>
    </row>
    <row r="13" spans="1:18" x14ac:dyDescent="0.3">
      <c r="A13" s="34" t="str">
        <f>base!J13</f>
        <v>RM</v>
      </c>
      <c r="B13" s="34" t="str">
        <f>base!V13</f>
        <v>77380</v>
      </c>
      <c r="C13" s="37">
        <v>77</v>
      </c>
      <c r="D13" s="36">
        <f>base!H13</f>
        <v>70</v>
      </c>
      <c r="E13" s="44"/>
      <c r="F13" s="16">
        <f>base!W13</f>
        <v>0</v>
      </c>
      <c r="G13" s="11">
        <f t="shared" si="0"/>
        <v>0</v>
      </c>
      <c r="H13" s="11">
        <f t="shared" si="1"/>
        <v>0</v>
      </c>
      <c r="I13" s="11">
        <f t="shared" si="2"/>
        <v>0</v>
      </c>
      <c r="J13" s="12">
        <f t="shared" si="3"/>
        <v>0</v>
      </c>
      <c r="K13" s="17" t="str">
        <f t="shared" si="8"/>
        <v>Pas d'écart</v>
      </c>
      <c r="L13" s="16">
        <f>base!X13</f>
        <v>0</v>
      </c>
      <c r="M13" s="11">
        <f t="shared" si="4"/>
        <v>0</v>
      </c>
      <c r="N13" s="11">
        <f t="shared" si="5"/>
        <v>0</v>
      </c>
      <c r="O13" s="11">
        <f t="shared" si="6"/>
        <v>0</v>
      </c>
      <c r="P13" s="12">
        <f t="shared" si="7"/>
        <v>0</v>
      </c>
      <c r="Q13" s="17" t="str">
        <f t="shared" si="9"/>
        <v>Pas d'écart</v>
      </c>
    </row>
    <row r="14" spans="1:18" x14ac:dyDescent="0.3">
      <c r="A14" s="34" t="str">
        <f>base!J14</f>
        <v>RS</v>
      </c>
      <c r="B14" s="34" t="str">
        <f>base!V14</f>
        <v>33700</v>
      </c>
      <c r="C14" s="37">
        <v>33</v>
      </c>
      <c r="D14" s="36">
        <f>base!H14</f>
        <v>74.33</v>
      </c>
      <c r="E14" s="44"/>
      <c r="F14" s="16">
        <f>base!W14</f>
        <v>0</v>
      </c>
      <c r="G14" s="11">
        <f t="shared" si="0"/>
        <v>0</v>
      </c>
      <c r="H14" s="11">
        <f t="shared" si="1"/>
        <v>15.609299999999999</v>
      </c>
      <c r="I14" s="11">
        <f t="shared" si="2"/>
        <v>0.21</v>
      </c>
      <c r="J14" s="12">
        <f t="shared" si="3"/>
        <v>-15.609299999999999</v>
      </c>
      <c r="K14" s="17" t="str">
        <f t="shared" si="8"/>
        <v>Ecart négatif</v>
      </c>
      <c r="L14" s="16">
        <f>base!X14</f>
        <v>12.64</v>
      </c>
      <c r="M14" s="11">
        <f t="shared" si="4"/>
        <v>0.17005246872057045</v>
      </c>
      <c r="N14" s="11">
        <f t="shared" si="5"/>
        <v>12.636100000000001</v>
      </c>
      <c r="O14" s="11">
        <f t="shared" si="6"/>
        <v>0.17</v>
      </c>
      <c r="P14" s="12">
        <f t="shared" si="7"/>
        <v>3.8999999999997925E-3</v>
      </c>
      <c r="Q14" s="17" t="str">
        <f t="shared" si="9"/>
        <v>Ecart positif</v>
      </c>
      <c r="R14" s="38"/>
    </row>
    <row r="15" spans="1:18" x14ac:dyDescent="0.3">
      <c r="A15" s="34" t="str">
        <f>base!J15</f>
        <v>RS</v>
      </c>
      <c r="B15" s="34" t="str">
        <f>base!V15</f>
        <v>49000</v>
      </c>
      <c r="C15" s="37">
        <v>49</v>
      </c>
      <c r="D15" s="36">
        <f>base!H15</f>
        <v>80</v>
      </c>
      <c r="E15" s="44"/>
      <c r="F15" s="16">
        <f>base!W15</f>
        <v>0</v>
      </c>
      <c r="G15" s="11">
        <f t="shared" si="0"/>
        <v>0</v>
      </c>
      <c r="H15" s="11">
        <f t="shared" si="1"/>
        <v>21.6</v>
      </c>
      <c r="I15" s="11">
        <f t="shared" si="2"/>
        <v>0.27</v>
      </c>
      <c r="J15" s="12">
        <f t="shared" si="3"/>
        <v>-21.6</v>
      </c>
      <c r="K15" s="17" t="str">
        <f t="shared" si="8"/>
        <v>Ecart négatif</v>
      </c>
      <c r="L15" s="16">
        <f>base!X15</f>
        <v>21.6</v>
      </c>
      <c r="M15" s="11">
        <f t="shared" si="4"/>
        <v>0.27</v>
      </c>
      <c r="N15" s="11">
        <f t="shared" si="5"/>
        <v>0</v>
      </c>
      <c r="O15" s="11">
        <f t="shared" si="6"/>
        <v>0</v>
      </c>
      <c r="P15" s="12">
        <f t="shared" si="7"/>
        <v>21.6</v>
      </c>
      <c r="Q15" s="17" t="str">
        <f t="shared" si="9"/>
        <v>Ecart positif</v>
      </c>
    </row>
    <row r="16" spans="1:18" x14ac:dyDescent="0.3">
      <c r="A16" s="34" t="str">
        <f>base!J16</f>
        <v>RS</v>
      </c>
      <c r="B16" s="34" t="str">
        <f>base!V16</f>
        <v>14123</v>
      </c>
      <c r="C16" s="37">
        <v>14</v>
      </c>
      <c r="D16" s="36">
        <f>base!H16</f>
        <v>180</v>
      </c>
      <c r="E16" s="44"/>
      <c r="F16" s="16">
        <f>base!W16</f>
        <v>0</v>
      </c>
      <c r="G16" s="11">
        <f t="shared" si="0"/>
        <v>0</v>
      </c>
      <c r="H16" s="11">
        <f t="shared" si="1"/>
        <v>30.6</v>
      </c>
      <c r="I16" s="11">
        <f t="shared" si="2"/>
        <v>0.17</v>
      </c>
      <c r="J16" s="12">
        <f t="shared" si="3"/>
        <v>-30.6</v>
      </c>
      <c r="K16" s="17" t="str">
        <f t="shared" si="8"/>
        <v>Ecart négatif</v>
      </c>
      <c r="L16" s="16">
        <f>base!X16</f>
        <v>0</v>
      </c>
      <c r="M16" s="11">
        <f t="shared" si="4"/>
        <v>0</v>
      </c>
      <c r="N16" s="11">
        <f t="shared" si="5"/>
        <v>30.6</v>
      </c>
      <c r="O16" s="11">
        <f t="shared" si="6"/>
        <v>0.17</v>
      </c>
      <c r="P16" s="12">
        <f t="shared" si="7"/>
        <v>-30.6</v>
      </c>
      <c r="Q16" s="17" t="str">
        <f t="shared" si="9"/>
        <v>Ecart négatif</v>
      </c>
    </row>
    <row r="17" spans="1:18" x14ac:dyDescent="0.3">
      <c r="A17" s="34" t="str">
        <f>base!J17</f>
        <v>RS</v>
      </c>
      <c r="B17" s="34" t="str">
        <f>base!V17</f>
        <v>27000</v>
      </c>
      <c r="C17" s="37">
        <v>27</v>
      </c>
      <c r="D17" s="36">
        <f>base!H17</f>
        <v>151</v>
      </c>
      <c r="E17" s="44"/>
      <c r="F17" s="16">
        <f>base!W17</f>
        <v>0</v>
      </c>
      <c r="G17" s="11">
        <f t="shared" si="0"/>
        <v>0</v>
      </c>
      <c r="H17" s="11">
        <f t="shared" si="1"/>
        <v>25.67</v>
      </c>
      <c r="I17" s="11">
        <f t="shared" si="2"/>
        <v>0.17</v>
      </c>
      <c r="J17" s="12">
        <f t="shared" si="3"/>
        <v>-25.67</v>
      </c>
      <c r="K17" s="17" t="str">
        <f t="shared" si="8"/>
        <v>Ecart négatif</v>
      </c>
      <c r="L17" s="16">
        <f>base!X17</f>
        <v>25.67</v>
      </c>
      <c r="M17" s="11">
        <f t="shared" si="4"/>
        <v>0.17</v>
      </c>
      <c r="N17" s="11">
        <f t="shared" si="5"/>
        <v>25.67</v>
      </c>
      <c r="O17" s="11">
        <f t="shared" si="6"/>
        <v>0.17</v>
      </c>
      <c r="P17" s="12">
        <f t="shared" si="7"/>
        <v>0</v>
      </c>
      <c r="Q17" s="17" t="str">
        <f t="shared" si="9"/>
        <v>Pas d'écart</v>
      </c>
      <c r="R17" s="38"/>
    </row>
    <row r="18" spans="1:18" x14ac:dyDescent="0.3">
      <c r="A18" s="34" t="str">
        <f>base!J18</f>
        <v>RM</v>
      </c>
      <c r="B18" s="34" t="str">
        <f>base!V18</f>
        <v>48000</v>
      </c>
      <c r="C18" s="37">
        <v>48</v>
      </c>
      <c r="D18" s="36">
        <f>base!H18</f>
        <v>140</v>
      </c>
      <c r="E18" s="44"/>
      <c r="F18" s="16">
        <f>base!W18</f>
        <v>0</v>
      </c>
      <c r="G18" s="11">
        <f t="shared" si="0"/>
        <v>0</v>
      </c>
      <c r="H18" s="11">
        <f t="shared" si="1"/>
        <v>54.6</v>
      </c>
      <c r="I18" s="11">
        <f t="shared" si="2"/>
        <v>0.39</v>
      </c>
      <c r="J18" s="12">
        <f t="shared" si="3"/>
        <v>-54.6</v>
      </c>
      <c r="K18" s="17" t="str">
        <f t="shared" si="8"/>
        <v>Ecart négatif</v>
      </c>
      <c r="L18" s="16">
        <f>base!X18</f>
        <v>0</v>
      </c>
      <c r="M18" s="11">
        <f t="shared" si="4"/>
        <v>0</v>
      </c>
      <c r="N18" s="11">
        <f t="shared" si="5"/>
        <v>39.200000000000003</v>
      </c>
      <c r="O18" s="11">
        <f t="shared" si="6"/>
        <v>0.28000000000000003</v>
      </c>
      <c r="P18" s="12">
        <f t="shared" si="7"/>
        <v>-39.200000000000003</v>
      </c>
      <c r="Q18" s="17" t="str">
        <f t="shared" si="9"/>
        <v>Ecart négatif</v>
      </c>
    </row>
    <row r="19" spans="1:18" x14ac:dyDescent="0.3">
      <c r="A19" s="34" t="str">
        <f>base!J19</f>
        <v>RS</v>
      </c>
      <c r="B19" s="34" t="str">
        <f>base!V19</f>
        <v>50000</v>
      </c>
      <c r="C19" s="37">
        <v>50</v>
      </c>
      <c r="D19" s="36">
        <f>base!H19</f>
        <v>149.26</v>
      </c>
      <c r="E19" s="44"/>
      <c r="F19" s="16">
        <f>base!W19</f>
        <v>0</v>
      </c>
      <c r="G19" s="11">
        <f t="shared" si="0"/>
        <v>0</v>
      </c>
      <c r="H19" s="11">
        <f t="shared" si="1"/>
        <v>25.374200000000002</v>
      </c>
      <c r="I19" s="11">
        <f t="shared" si="2"/>
        <v>0.17</v>
      </c>
      <c r="J19" s="12">
        <f t="shared" si="3"/>
        <v>-25.374200000000002</v>
      </c>
      <c r="K19" s="17" t="str">
        <f t="shared" si="8"/>
        <v>Ecart négatif</v>
      </c>
      <c r="L19" s="16">
        <f>base!X19</f>
        <v>25.37</v>
      </c>
      <c r="M19" s="11">
        <f t="shared" si="4"/>
        <v>0.16997186118183039</v>
      </c>
      <c r="N19" s="11">
        <f t="shared" si="5"/>
        <v>25.374200000000002</v>
      </c>
      <c r="O19" s="11">
        <f t="shared" si="6"/>
        <v>0.17</v>
      </c>
      <c r="P19" s="12">
        <f t="shared" si="7"/>
        <v>-4.2000000000008697E-3</v>
      </c>
      <c r="Q19" s="17" t="str">
        <f t="shared" si="9"/>
        <v>Ecart négatif</v>
      </c>
      <c r="R19" s="38"/>
    </row>
    <row r="20" spans="1:18" x14ac:dyDescent="0.3">
      <c r="A20" s="34" t="str">
        <f>base!J20</f>
        <v>LS</v>
      </c>
      <c r="B20" s="34" t="str">
        <f>base!V20</f>
        <v>75004</v>
      </c>
      <c r="C20" s="37">
        <v>75</v>
      </c>
      <c r="D20" s="36">
        <f>base!H20</f>
        <v>131.69</v>
      </c>
      <c r="E20" s="44"/>
      <c r="F20" s="16">
        <f>base!W20</f>
        <v>0</v>
      </c>
      <c r="G20" s="11">
        <f t="shared" si="0"/>
        <v>0</v>
      </c>
      <c r="H20" s="11">
        <f t="shared" si="1"/>
        <v>0</v>
      </c>
      <c r="I20" s="11">
        <f t="shared" si="2"/>
        <v>0</v>
      </c>
      <c r="J20" s="12">
        <f t="shared" si="3"/>
        <v>0</v>
      </c>
      <c r="K20" s="17" t="str">
        <f t="shared" si="8"/>
        <v>Pas d'écart</v>
      </c>
      <c r="L20" s="16">
        <f>base!X20</f>
        <v>0</v>
      </c>
      <c r="M20" s="11">
        <f t="shared" si="4"/>
        <v>0</v>
      </c>
      <c r="N20" s="11">
        <f t="shared" si="5"/>
        <v>0</v>
      </c>
      <c r="O20" s="11">
        <f t="shared" si="6"/>
        <v>0</v>
      </c>
      <c r="P20" s="12">
        <f t="shared" si="7"/>
        <v>0</v>
      </c>
      <c r="Q20" s="17" t="str">
        <f t="shared" si="9"/>
        <v>Pas d'écart</v>
      </c>
    </row>
    <row r="21" spans="1:18" x14ac:dyDescent="0.3">
      <c r="A21" s="34" t="str">
        <f>base!J21</f>
        <v>RM</v>
      </c>
      <c r="B21" s="34" t="str">
        <f>base!V21</f>
        <v>70000</v>
      </c>
      <c r="C21" s="37">
        <v>70</v>
      </c>
      <c r="D21" s="36">
        <f>base!H21</f>
        <v>25</v>
      </c>
      <c r="E21" s="44"/>
      <c r="F21" s="16">
        <f>base!W21</f>
        <v>0</v>
      </c>
      <c r="G21" s="11">
        <f t="shared" si="0"/>
        <v>0</v>
      </c>
      <c r="H21" s="11">
        <f t="shared" si="1"/>
        <v>6</v>
      </c>
      <c r="I21" s="11">
        <f t="shared" si="2"/>
        <v>0.24</v>
      </c>
      <c r="J21" s="12">
        <f t="shared" si="3"/>
        <v>-6</v>
      </c>
      <c r="K21" s="17" t="str">
        <f t="shared" si="8"/>
        <v>Ecart négatif</v>
      </c>
      <c r="L21" s="16">
        <f>base!X21</f>
        <v>0</v>
      </c>
      <c r="M21" s="11">
        <f t="shared" si="4"/>
        <v>0</v>
      </c>
      <c r="N21" s="11">
        <f t="shared" si="5"/>
        <v>3</v>
      </c>
      <c r="O21" s="11">
        <f t="shared" si="6"/>
        <v>0.12</v>
      </c>
      <c r="P21" s="12">
        <f t="shared" si="7"/>
        <v>-3</v>
      </c>
      <c r="Q21" s="17" t="str">
        <f t="shared" si="9"/>
        <v>Ecart négatif</v>
      </c>
    </row>
    <row r="22" spans="1:18" x14ac:dyDescent="0.3">
      <c r="A22" s="34" t="str">
        <f>base!J22</f>
        <v>RM</v>
      </c>
      <c r="B22" s="34" t="str">
        <f>base!V22</f>
        <v>70000</v>
      </c>
      <c r="C22" s="37">
        <v>70</v>
      </c>
      <c r="D22" s="36">
        <f>base!H22</f>
        <v>25</v>
      </c>
      <c r="E22" s="44"/>
      <c r="F22" s="16">
        <f>base!W22</f>
        <v>0</v>
      </c>
      <c r="G22" s="11">
        <f t="shared" si="0"/>
        <v>0</v>
      </c>
      <c r="H22" s="11">
        <f t="shared" si="1"/>
        <v>6</v>
      </c>
      <c r="I22" s="11">
        <f t="shared" si="2"/>
        <v>0.24</v>
      </c>
      <c r="J22" s="12">
        <f t="shared" si="3"/>
        <v>-6</v>
      </c>
      <c r="K22" s="17" t="str">
        <f t="shared" si="8"/>
        <v>Ecart négatif</v>
      </c>
      <c r="L22" s="16">
        <f>base!X22</f>
        <v>0</v>
      </c>
      <c r="M22" s="11">
        <f t="shared" si="4"/>
        <v>0</v>
      </c>
      <c r="N22" s="11">
        <f t="shared" si="5"/>
        <v>3</v>
      </c>
      <c r="O22" s="11">
        <f t="shared" si="6"/>
        <v>0.12</v>
      </c>
      <c r="P22" s="12">
        <f t="shared" si="7"/>
        <v>-3</v>
      </c>
      <c r="Q22" s="17" t="str">
        <f t="shared" si="9"/>
        <v>Ecart négatif</v>
      </c>
    </row>
    <row r="23" spans="1:18" x14ac:dyDescent="0.3">
      <c r="A23" s="34" t="str">
        <f>base!J23</f>
        <v>LM</v>
      </c>
      <c r="B23" s="34" t="str">
        <f>base!V23</f>
        <v>92000</v>
      </c>
      <c r="C23" s="37">
        <v>92</v>
      </c>
      <c r="D23" s="36">
        <f>base!H23</f>
        <v>50.84</v>
      </c>
      <c r="E23" s="44"/>
      <c r="F23" s="16">
        <f>base!W23</f>
        <v>0</v>
      </c>
      <c r="G23" s="11">
        <f t="shared" si="0"/>
        <v>0</v>
      </c>
      <c r="H23" s="11">
        <f t="shared" si="1"/>
        <v>0</v>
      </c>
      <c r="I23" s="11">
        <f t="shared" si="2"/>
        <v>0</v>
      </c>
      <c r="J23" s="12">
        <f t="shared" si="3"/>
        <v>0</v>
      </c>
      <c r="K23" s="17" t="str">
        <f t="shared" si="8"/>
        <v>Pas d'écart</v>
      </c>
      <c r="L23" s="16">
        <f>base!X23</f>
        <v>0</v>
      </c>
      <c r="M23" s="11">
        <f t="shared" si="4"/>
        <v>0</v>
      </c>
      <c r="N23" s="11">
        <f t="shared" si="5"/>
        <v>0</v>
      </c>
      <c r="O23" s="11">
        <f t="shared" si="6"/>
        <v>0</v>
      </c>
      <c r="P23" s="12">
        <f t="shared" si="7"/>
        <v>0</v>
      </c>
      <c r="Q23" s="17" t="str">
        <f t="shared" si="9"/>
        <v>Pas d'écart</v>
      </c>
    </row>
    <row r="24" spans="1:18" x14ac:dyDescent="0.3">
      <c r="A24" s="34" t="str">
        <f>base!J24</f>
        <v>LM</v>
      </c>
      <c r="B24" s="34" t="str">
        <f>base!V24</f>
        <v>92000</v>
      </c>
      <c r="C24" s="37">
        <v>92</v>
      </c>
      <c r="D24" s="36">
        <f>base!H24</f>
        <v>50.84</v>
      </c>
      <c r="E24" s="44"/>
      <c r="F24" s="16">
        <f>base!W24</f>
        <v>0</v>
      </c>
      <c r="G24" s="11">
        <f t="shared" si="0"/>
        <v>0</v>
      </c>
      <c r="H24" s="11">
        <f t="shared" si="1"/>
        <v>0</v>
      </c>
      <c r="I24" s="11">
        <f t="shared" si="2"/>
        <v>0</v>
      </c>
      <c r="J24" s="12">
        <f t="shared" si="3"/>
        <v>0</v>
      </c>
      <c r="K24" s="17" t="str">
        <f t="shared" si="8"/>
        <v>Pas d'écart</v>
      </c>
      <c r="L24" s="16">
        <f>base!X24</f>
        <v>0</v>
      </c>
      <c r="M24" s="11">
        <f t="shared" si="4"/>
        <v>0</v>
      </c>
      <c r="N24" s="11">
        <f t="shared" si="5"/>
        <v>0</v>
      </c>
      <c r="O24" s="11">
        <f t="shared" si="6"/>
        <v>0</v>
      </c>
      <c r="P24" s="12">
        <f t="shared" si="7"/>
        <v>0</v>
      </c>
      <c r="Q24" s="17" t="str">
        <f t="shared" si="9"/>
        <v>Pas d'écart</v>
      </c>
    </row>
    <row r="25" spans="1:18" x14ac:dyDescent="0.3">
      <c r="A25" s="34" t="str">
        <f>base!J25</f>
        <v>RM</v>
      </c>
      <c r="B25" s="34" t="str">
        <f>base!V25</f>
        <v>34000</v>
      </c>
      <c r="C25" s="37">
        <v>34</v>
      </c>
      <c r="D25" s="36">
        <f>base!H25</f>
        <v>135.85</v>
      </c>
      <c r="E25" s="44"/>
      <c r="F25" s="16">
        <f>base!W25</f>
        <v>0</v>
      </c>
      <c r="G25" s="11">
        <f t="shared" si="0"/>
        <v>0</v>
      </c>
      <c r="H25" s="11">
        <f t="shared" si="1"/>
        <v>52.981499999999997</v>
      </c>
      <c r="I25" s="11">
        <f t="shared" si="2"/>
        <v>0.39</v>
      </c>
      <c r="J25" s="12">
        <f t="shared" si="3"/>
        <v>-52.981499999999997</v>
      </c>
      <c r="K25" s="17" t="str">
        <f t="shared" si="8"/>
        <v>Ecart négatif</v>
      </c>
      <c r="L25" s="16">
        <f>base!X25</f>
        <v>38.04</v>
      </c>
      <c r="M25" s="11">
        <f t="shared" si="4"/>
        <v>0.28001472211998529</v>
      </c>
      <c r="N25" s="11">
        <f t="shared" si="5"/>
        <v>38.038000000000004</v>
      </c>
      <c r="O25" s="11">
        <f t="shared" si="6"/>
        <v>0.28000000000000003</v>
      </c>
      <c r="P25" s="12">
        <f t="shared" si="7"/>
        <v>1.9999999999953388E-3</v>
      </c>
      <c r="Q25" s="17" t="str">
        <f t="shared" si="9"/>
        <v>Ecart positif</v>
      </c>
      <c r="R25" s="38"/>
    </row>
    <row r="26" spans="1:18" x14ac:dyDescent="0.3">
      <c r="A26" s="34" t="str">
        <f>base!J26</f>
        <v>RS</v>
      </c>
      <c r="B26" s="34" t="str">
        <f>base!V26</f>
        <v>69200</v>
      </c>
      <c r="C26" s="37">
        <v>69</v>
      </c>
      <c r="D26" s="36">
        <f>base!H26</f>
        <v>25</v>
      </c>
      <c r="E26" s="44"/>
      <c r="F26" s="16">
        <f>base!W26</f>
        <v>0</v>
      </c>
      <c r="G26" s="11">
        <f t="shared" si="0"/>
        <v>0</v>
      </c>
      <c r="H26" s="11">
        <f t="shared" si="1"/>
        <v>6.75</v>
      </c>
      <c r="I26" s="11">
        <f t="shared" si="2"/>
        <v>0.27</v>
      </c>
      <c r="J26" s="12">
        <f t="shared" si="3"/>
        <v>-6.75</v>
      </c>
      <c r="K26" s="17" t="str">
        <f t="shared" si="8"/>
        <v>Ecart négatif</v>
      </c>
      <c r="L26" s="16">
        <f>base!X26</f>
        <v>0</v>
      </c>
      <c r="M26" s="11">
        <f t="shared" si="4"/>
        <v>0</v>
      </c>
      <c r="N26" s="11">
        <f t="shared" si="5"/>
        <v>0</v>
      </c>
      <c r="O26" s="11">
        <f t="shared" si="6"/>
        <v>0</v>
      </c>
      <c r="P26" s="12">
        <f t="shared" si="7"/>
        <v>0</v>
      </c>
      <c r="Q26" s="17" t="str">
        <f t="shared" si="9"/>
        <v>Pas d'écart</v>
      </c>
    </row>
    <row r="27" spans="1:18" x14ac:dyDescent="0.3">
      <c r="A27" s="34" t="str">
        <f>base!J27</f>
        <v>RS</v>
      </c>
      <c r="B27" s="34" t="str">
        <f>base!V27</f>
        <v>36130</v>
      </c>
      <c r="C27" s="37">
        <v>36</v>
      </c>
      <c r="D27" s="36">
        <f>base!H27</f>
        <v>40</v>
      </c>
      <c r="E27" s="44"/>
      <c r="F27" s="16">
        <f>base!W27</f>
        <v>0</v>
      </c>
      <c r="G27" s="11">
        <f t="shared" si="0"/>
        <v>0</v>
      </c>
      <c r="H27" s="11">
        <f t="shared" si="1"/>
        <v>8.4</v>
      </c>
      <c r="I27" s="11">
        <f t="shared" si="2"/>
        <v>0.21000000000000002</v>
      </c>
      <c r="J27" s="12">
        <f t="shared" si="3"/>
        <v>-8.4</v>
      </c>
      <c r="K27" s="17" t="str">
        <f t="shared" si="8"/>
        <v>Ecart négatif</v>
      </c>
      <c r="L27" s="16">
        <f>base!X27</f>
        <v>4.8</v>
      </c>
      <c r="M27" s="11">
        <f t="shared" si="4"/>
        <v>0.12</v>
      </c>
      <c r="N27" s="11">
        <f t="shared" si="5"/>
        <v>4.8</v>
      </c>
      <c r="O27" s="11">
        <f t="shared" si="6"/>
        <v>0.12</v>
      </c>
      <c r="P27" s="12">
        <f t="shared" si="7"/>
        <v>0</v>
      </c>
      <c r="Q27" s="17" t="str">
        <f t="shared" si="9"/>
        <v>Pas d'écart</v>
      </c>
      <c r="R27" s="38"/>
    </row>
    <row r="28" spans="1:18" x14ac:dyDescent="0.3">
      <c r="A28" s="34" t="str">
        <f>base!J28</f>
        <v>DLM</v>
      </c>
      <c r="B28" s="34" t="str">
        <f>base!V28</f>
        <v>69003</v>
      </c>
      <c r="C28" s="37">
        <v>69</v>
      </c>
      <c r="D28" s="36">
        <f>base!H28</f>
        <v>52.5</v>
      </c>
      <c r="E28" s="44"/>
      <c r="F28" s="16">
        <f>base!W28</f>
        <v>0</v>
      </c>
      <c r="G28" s="11">
        <f t="shared" si="0"/>
        <v>0</v>
      </c>
      <c r="H28" s="11">
        <f t="shared" si="1"/>
        <v>14.175000000000001</v>
      </c>
      <c r="I28" s="11">
        <f t="shared" si="2"/>
        <v>0.27</v>
      </c>
      <c r="J28" s="12">
        <f t="shared" si="3"/>
        <v>-14.175000000000001</v>
      </c>
      <c r="K28" s="17" t="str">
        <f t="shared" si="8"/>
        <v>Ecart négatif</v>
      </c>
      <c r="L28" s="16">
        <f>base!X28</f>
        <v>0</v>
      </c>
      <c r="M28" s="11">
        <f t="shared" si="4"/>
        <v>0</v>
      </c>
      <c r="N28" s="11">
        <f t="shared" si="5"/>
        <v>0</v>
      </c>
      <c r="O28" s="11">
        <f t="shared" si="6"/>
        <v>0</v>
      </c>
      <c r="P28" s="12">
        <f t="shared" si="7"/>
        <v>0</v>
      </c>
      <c r="Q28" s="17" t="str">
        <f t="shared" si="9"/>
        <v>Pas d'écart</v>
      </c>
    </row>
    <row r="29" spans="1:18" x14ac:dyDescent="0.3">
      <c r="A29" s="34" t="str">
        <f>base!J29</f>
        <v>DLM</v>
      </c>
      <c r="B29" s="34" t="str">
        <f>base!V29</f>
        <v>10000</v>
      </c>
      <c r="C29" s="37">
        <v>10</v>
      </c>
      <c r="D29" s="36">
        <f>base!H29</f>
        <v>52.5</v>
      </c>
      <c r="E29" s="44"/>
      <c r="F29" s="16">
        <f>base!W29</f>
        <v>0</v>
      </c>
      <c r="G29" s="11">
        <f t="shared" si="0"/>
        <v>0</v>
      </c>
      <c r="H29" s="11">
        <f t="shared" si="1"/>
        <v>12.075000000000001</v>
      </c>
      <c r="I29" s="11">
        <f t="shared" si="2"/>
        <v>0.23</v>
      </c>
      <c r="J29" s="12">
        <f t="shared" si="3"/>
        <v>-12.075000000000001</v>
      </c>
      <c r="K29" s="17" t="str">
        <f t="shared" si="8"/>
        <v>Ecart négatif</v>
      </c>
      <c r="L29" s="16">
        <f>base!X29</f>
        <v>0</v>
      </c>
      <c r="M29" s="11">
        <f t="shared" si="4"/>
        <v>0</v>
      </c>
      <c r="N29" s="11">
        <f t="shared" si="5"/>
        <v>6.3</v>
      </c>
      <c r="O29" s="11">
        <f t="shared" si="6"/>
        <v>0.12</v>
      </c>
      <c r="P29" s="12">
        <f t="shared" si="7"/>
        <v>-6.3</v>
      </c>
      <c r="Q29" s="17" t="str">
        <f t="shared" si="9"/>
        <v>Ecart négatif</v>
      </c>
    </row>
    <row r="30" spans="1:18" x14ac:dyDescent="0.3">
      <c r="A30" s="34" t="str">
        <f>base!J30</f>
        <v>DLM</v>
      </c>
      <c r="B30" s="34" t="str">
        <f>base!V30</f>
        <v>26000</v>
      </c>
      <c r="C30" s="37">
        <v>26</v>
      </c>
      <c r="D30" s="36">
        <f>base!H30</f>
        <v>52.5</v>
      </c>
      <c r="E30" s="44"/>
      <c r="F30" s="16">
        <f>base!W30</f>
        <v>0</v>
      </c>
      <c r="G30" s="11">
        <f t="shared" si="0"/>
        <v>0</v>
      </c>
      <c r="H30" s="11">
        <f t="shared" si="1"/>
        <v>14.175000000000001</v>
      </c>
      <c r="I30" s="11">
        <f t="shared" si="2"/>
        <v>0.27</v>
      </c>
      <c r="J30" s="12">
        <f t="shared" si="3"/>
        <v>-14.175000000000001</v>
      </c>
      <c r="K30" s="17" t="str">
        <f t="shared" si="8"/>
        <v>Ecart négatif</v>
      </c>
      <c r="L30" s="16">
        <f>base!X30</f>
        <v>0</v>
      </c>
      <c r="M30" s="11">
        <f t="shared" si="4"/>
        <v>0</v>
      </c>
      <c r="N30" s="11">
        <f t="shared" si="5"/>
        <v>0</v>
      </c>
      <c r="O30" s="11">
        <f t="shared" si="6"/>
        <v>0</v>
      </c>
      <c r="P30" s="12">
        <f t="shared" si="7"/>
        <v>0</v>
      </c>
      <c r="Q30" s="17" t="str">
        <f t="shared" si="9"/>
        <v>Pas d'écart</v>
      </c>
    </row>
    <row r="31" spans="1:18" x14ac:dyDescent="0.3">
      <c r="A31" s="34" t="str">
        <f>base!J31</f>
        <v>RM</v>
      </c>
      <c r="B31" s="34" t="str">
        <f>base!V31</f>
        <v>77184</v>
      </c>
      <c r="C31" s="37">
        <v>77</v>
      </c>
      <c r="D31" s="36">
        <f>base!H31</f>
        <v>165</v>
      </c>
      <c r="E31" s="44"/>
      <c r="F31" s="16">
        <f>base!W31</f>
        <v>0</v>
      </c>
      <c r="G31" s="11">
        <f t="shared" si="0"/>
        <v>0</v>
      </c>
      <c r="H31" s="11">
        <f t="shared" si="1"/>
        <v>0</v>
      </c>
      <c r="I31" s="11">
        <f t="shared" si="2"/>
        <v>0</v>
      </c>
      <c r="J31" s="12">
        <f t="shared" si="3"/>
        <v>0</v>
      </c>
      <c r="K31" s="17" t="str">
        <f t="shared" si="8"/>
        <v>Pas d'écart</v>
      </c>
      <c r="L31" s="16">
        <f>base!X31</f>
        <v>0</v>
      </c>
      <c r="M31" s="11">
        <f t="shared" si="4"/>
        <v>0</v>
      </c>
      <c r="N31" s="11">
        <f t="shared" si="5"/>
        <v>0</v>
      </c>
      <c r="O31" s="11">
        <f t="shared" si="6"/>
        <v>0</v>
      </c>
      <c r="P31" s="12">
        <f t="shared" si="7"/>
        <v>0</v>
      </c>
      <c r="Q31" s="17" t="str">
        <f t="shared" si="9"/>
        <v>Pas d'écart</v>
      </c>
    </row>
    <row r="32" spans="1:18" x14ac:dyDescent="0.3">
      <c r="A32" s="34" t="str">
        <f>base!J32</f>
        <v>RS</v>
      </c>
      <c r="B32" s="34" t="str">
        <f>base!V32</f>
        <v>95870</v>
      </c>
      <c r="C32" s="37">
        <v>95</v>
      </c>
      <c r="D32" s="36">
        <f>base!H32</f>
        <v>40</v>
      </c>
      <c r="E32" s="44"/>
      <c r="F32" s="16">
        <f>base!W32</f>
        <v>0</v>
      </c>
      <c r="G32" s="11">
        <f t="shared" si="0"/>
        <v>0</v>
      </c>
      <c r="H32" s="11">
        <f t="shared" si="1"/>
        <v>0</v>
      </c>
      <c r="I32" s="11">
        <f t="shared" si="2"/>
        <v>0</v>
      </c>
      <c r="J32" s="12">
        <f t="shared" si="3"/>
        <v>0</v>
      </c>
      <c r="K32" s="17" t="str">
        <f t="shared" si="8"/>
        <v>Pas d'écart</v>
      </c>
      <c r="L32" s="16">
        <f>base!X32</f>
        <v>0</v>
      </c>
      <c r="M32" s="11">
        <f t="shared" si="4"/>
        <v>0</v>
      </c>
      <c r="N32" s="11">
        <f t="shared" si="5"/>
        <v>0</v>
      </c>
      <c r="O32" s="11">
        <f t="shared" si="6"/>
        <v>0</v>
      </c>
      <c r="P32" s="12">
        <f t="shared" si="7"/>
        <v>0</v>
      </c>
      <c r="Q32" s="17" t="str">
        <f t="shared" si="9"/>
        <v>Pas d'écart</v>
      </c>
    </row>
    <row r="33" spans="1:18" x14ac:dyDescent="0.3">
      <c r="A33" s="34" t="str">
        <f>base!J33</f>
        <v>RM</v>
      </c>
      <c r="B33" s="34" t="str">
        <f>base!V33</f>
        <v>75011</v>
      </c>
      <c r="C33" s="37">
        <v>75</v>
      </c>
      <c r="D33" s="36">
        <f>base!H33</f>
        <v>32.6</v>
      </c>
      <c r="E33" s="44"/>
      <c r="F33" s="16">
        <f>base!W33</f>
        <v>0</v>
      </c>
      <c r="G33" s="11">
        <f t="shared" si="0"/>
        <v>0</v>
      </c>
      <c r="H33" s="11">
        <f t="shared" si="1"/>
        <v>0</v>
      </c>
      <c r="I33" s="11">
        <f t="shared" si="2"/>
        <v>0</v>
      </c>
      <c r="J33" s="12">
        <f t="shared" si="3"/>
        <v>0</v>
      </c>
      <c r="K33" s="17" t="str">
        <f t="shared" si="8"/>
        <v>Pas d'écart</v>
      </c>
      <c r="L33" s="16">
        <f>base!X33</f>
        <v>0</v>
      </c>
      <c r="M33" s="11">
        <f t="shared" si="4"/>
        <v>0</v>
      </c>
      <c r="N33" s="11">
        <f t="shared" si="5"/>
        <v>0</v>
      </c>
      <c r="O33" s="11">
        <f t="shared" si="6"/>
        <v>0</v>
      </c>
      <c r="P33" s="12">
        <f t="shared" si="7"/>
        <v>0</v>
      </c>
      <c r="Q33" s="17" t="str">
        <f t="shared" si="9"/>
        <v>Pas d'écart</v>
      </c>
    </row>
    <row r="34" spans="1:18" x14ac:dyDescent="0.3">
      <c r="A34" s="34" t="str">
        <f>base!J34</f>
        <v>RM</v>
      </c>
      <c r="B34" s="34" t="str">
        <f>base!V34</f>
        <v>93290</v>
      </c>
      <c r="C34" s="37">
        <v>93</v>
      </c>
      <c r="D34" s="36">
        <f>base!H34</f>
        <v>35.36</v>
      </c>
      <c r="E34" s="44"/>
      <c r="F34" s="16">
        <f>base!W34</f>
        <v>0</v>
      </c>
      <c r="G34" s="11">
        <f t="shared" si="0"/>
        <v>0</v>
      </c>
      <c r="H34" s="11">
        <f t="shared" si="1"/>
        <v>0</v>
      </c>
      <c r="I34" s="11">
        <f t="shared" si="2"/>
        <v>0</v>
      </c>
      <c r="J34" s="12">
        <f t="shared" si="3"/>
        <v>0</v>
      </c>
      <c r="K34" s="17" t="str">
        <f t="shared" si="8"/>
        <v>Pas d'écart</v>
      </c>
      <c r="L34" s="16">
        <f>base!X34</f>
        <v>0</v>
      </c>
      <c r="M34" s="11">
        <f t="shared" si="4"/>
        <v>0</v>
      </c>
      <c r="N34" s="11">
        <f t="shared" si="5"/>
        <v>0</v>
      </c>
      <c r="O34" s="11">
        <f t="shared" si="6"/>
        <v>0</v>
      </c>
      <c r="P34" s="12">
        <f t="shared" si="7"/>
        <v>0</v>
      </c>
      <c r="Q34" s="17" t="str">
        <f t="shared" si="9"/>
        <v>Pas d'écart</v>
      </c>
    </row>
    <row r="35" spans="1:18" x14ac:dyDescent="0.3">
      <c r="A35" s="34" t="str">
        <f>base!J35</f>
        <v>LM</v>
      </c>
      <c r="B35" s="34" t="str">
        <f>base!V35</f>
        <v>93013</v>
      </c>
      <c r="C35" s="37">
        <v>93</v>
      </c>
      <c r="D35" s="36">
        <f>base!H35</f>
        <v>55.16</v>
      </c>
      <c r="E35" s="44"/>
      <c r="F35" s="16">
        <f>base!W35</f>
        <v>0</v>
      </c>
      <c r="G35" s="11">
        <f t="shared" si="0"/>
        <v>0</v>
      </c>
      <c r="H35" s="11">
        <f t="shared" si="1"/>
        <v>0</v>
      </c>
      <c r="I35" s="11">
        <f t="shared" si="2"/>
        <v>0</v>
      </c>
      <c r="J35" s="12">
        <f t="shared" si="3"/>
        <v>0</v>
      </c>
      <c r="K35" s="17" t="str">
        <f t="shared" si="8"/>
        <v>Pas d'écart</v>
      </c>
      <c r="L35" s="16">
        <f>base!X35</f>
        <v>0</v>
      </c>
      <c r="M35" s="11">
        <f t="shared" si="4"/>
        <v>0</v>
      </c>
      <c r="N35" s="11">
        <f t="shared" si="5"/>
        <v>0</v>
      </c>
      <c r="O35" s="11">
        <f t="shared" si="6"/>
        <v>0</v>
      </c>
      <c r="P35" s="12">
        <f t="shared" si="7"/>
        <v>0</v>
      </c>
      <c r="Q35" s="17" t="str">
        <f t="shared" si="9"/>
        <v>Pas d'écart</v>
      </c>
    </row>
    <row r="36" spans="1:18" x14ac:dyDescent="0.3">
      <c r="A36" s="34" t="str">
        <f>base!J36</f>
        <v>LM</v>
      </c>
      <c r="B36" s="34" t="str">
        <f>base!V36</f>
        <v>93013</v>
      </c>
      <c r="C36" s="37">
        <v>93</v>
      </c>
      <c r="D36" s="36">
        <f>base!H36</f>
        <v>55.16</v>
      </c>
      <c r="E36" s="44"/>
      <c r="F36" s="16">
        <f>base!W36</f>
        <v>0</v>
      </c>
      <c r="G36" s="11">
        <f t="shared" si="0"/>
        <v>0</v>
      </c>
      <c r="H36" s="11">
        <f t="shared" si="1"/>
        <v>0</v>
      </c>
      <c r="I36" s="11">
        <f t="shared" si="2"/>
        <v>0</v>
      </c>
      <c r="J36" s="12">
        <f t="shared" si="3"/>
        <v>0</v>
      </c>
      <c r="K36" s="17" t="str">
        <f t="shared" si="8"/>
        <v>Pas d'écart</v>
      </c>
      <c r="L36" s="16">
        <f>base!X36</f>
        <v>0</v>
      </c>
      <c r="M36" s="11">
        <f t="shared" si="4"/>
        <v>0</v>
      </c>
      <c r="N36" s="11">
        <f t="shared" si="5"/>
        <v>0</v>
      </c>
      <c r="O36" s="11">
        <f t="shared" si="6"/>
        <v>0</v>
      </c>
      <c r="P36" s="12">
        <f t="shared" si="7"/>
        <v>0</v>
      </c>
      <c r="Q36" s="17" t="str">
        <f t="shared" si="9"/>
        <v>Pas d'écart</v>
      </c>
    </row>
    <row r="37" spans="1:18" x14ac:dyDescent="0.3">
      <c r="A37" s="34" t="str">
        <f>base!J37</f>
        <v>LM</v>
      </c>
      <c r="B37" s="34" t="str">
        <f>base!V37</f>
        <v>22210</v>
      </c>
      <c r="C37" s="37">
        <v>11</v>
      </c>
      <c r="D37" s="36">
        <f>base!H37</f>
        <v>155.37</v>
      </c>
      <c r="E37" s="44"/>
      <c r="F37" s="16">
        <f>base!W37</f>
        <v>60.59</v>
      </c>
      <c r="G37" s="11">
        <f t="shared" si="0"/>
        <v>0.38997232412949734</v>
      </c>
      <c r="H37" s="11">
        <f t="shared" si="1"/>
        <v>55.933199999999999</v>
      </c>
      <c r="I37" s="11">
        <f t="shared" si="2"/>
        <v>0.36</v>
      </c>
      <c r="J37" s="12">
        <f t="shared" si="3"/>
        <v>4.656800000000004</v>
      </c>
      <c r="K37" s="17" t="str">
        <f t="shared" si="8"/>
        <v>Ecart positif</v>
      </c>
      <c r="L37" s="16">
        <f>base!X37</f>
        <v>0</v>
      </c>
      <c r="M37" s="11">
        <f t="shared" si="4"/>
        <v>0</v>
      </c>
      <c r="N37" s="11">
        <f t="shared" si="5"/>
        <v>43.503600000000006</v>
      </c>
      <c r="O37" s="11">
        <f t="shared" si="6"/>
        <v>0.28000000000000003</v>
      </c>
      <c r="P37" s="12">
        <f t="shared" si="7"/>
        <v>-43.503600000000006</v>
      </c>
      <c r="Q37" s="17" t="str">
        <f t="shared" si="9"/>
        <v>Ecart négatif</v>
      </c>
    </row>
    <row r="38" spans="1:18" x14ac:dyDescent="0.3">
      <c r="A38" s="34" t="str">
        <f>base!J38</f>
        <v>LM</v>
      </c>
      <c r="B38" s="34" t="str">
        <f>base!V38</f>
        <v>77183</v>
      </c>
      <c r="C38" s="37">
        <v>77</v>
      </c>
      <c r="D38" s="36">
        <f>base!H38</f>
        <v>180</v>
      </c>
      <c r="E38" s="44"/>
      <c r="F38" s="16">
        <f>base!W38</f>
        <v>0</v>
      </c>
      <c r="G38" s="11">
        <f t="shared" si="0"/>
        <v>0</v>
      </c>
      <c r="H38" s="11">
        <f t="shared" si="1"/>
        <v>0</v>
      </c>
      <c r="I38" s="11">
        <f t="shared" si="2"/>
        <v>0</v>
      </c>
      <c r="J38" s="12">
        <f t="shared" si="3"/>
        <v>0</v>
      </c>
      <c r="K38" s="17" t="str">
        <f t="shared" si="8"/>
        <v>Pas d'écart</v>
      </c>
      <c r="L38" s="16">
        <f>base!X38</f>
        <v>0</v>
      </c>
      <c r="M38" s="11">
        <f t="shared" si="4"/>
        <v>0</v>
      </c>
      <c r="N38" s="11">
        <f t="shared" si="5"/>
        <v>0</v>
      </c>
      <c r="O38" s="11">
        <f t="shared" si="6"/>
        <v>0</v>
      </c>
      <c r="P38" s="12">
        <f t="shared" si="7"/>
        <v>0</v>
      </c>
      <c r="Q38" s="17" t="str">
        <f t="shared" si="9"/>
        <v>Pas d'écart</v>
      </c>
    </row>
    <row r="39" spans="1:18" x14ac:dyDescent="0.3">
      <c r="A39" s="34" t="str">
        <f>base!J39</f>
        <v>LM</v>
      </c>
      <c r="B39" s="34" t="str">
        <f>base!V39</f>
        <v>56920</v>
      </c>
      <c r="C39" s="37">
        <v>25</v>
      </c>
      <c r="D39" s="36">
        <f>base!H39</f>
        <v>0.01</v>
      </c>
      <c r="E39" s="44"/>
      <c r="F39" s="16">
        <f>base!W39</f>
        <v>0</v>
      </c>
      <c r="G39" s="11">
        <f t="shared" si="0"/>
        <v>0</v>
      </c>
      <c r="H39" s="11">
        <f t="shared" si="1"/>
        <v>2.3999999999999998E-3</v>
      </c>
      <c r="I39" s="11">
        <f t="shared" si="2"/>
        <v>0.23999999999999996</v>
      </c>
      <c r="J39" s="12">
        <f t="shared" si="3"/>
        <v>-2.3999999999999998E-3</v>
      </c>
      <c r="K39" s="17" t="str">
        <f t="shared" si="8"/>
        <v>Ecart négatif</v>
      </c>
      <c r="L39" s="16">
        <f>base!X39</f>
        <v>0</v>
      </c>
      <c r="M39" s="11">
        <f t="shared" si="4"/>
        <v>0</v>
      </c>
      <c r="N39" s="11">
        <f t="shared" si="5"/>
        <v>1.1999999999999999E-3</v>
      </c>
      <c r="O39" s="11">
        <f t="shared" si="6"/>
        <v>0.11999999999999998</v>
      </c>
      <c r="P39" s="12">
        <f t="shared" si="7"/>
        <v>-1.1999999999999999E-3</v>
      </c>
      <c r="Q39" s="17" t="str">
        <f t="shared" si="9"/>
        <v>Ecart négatif</v>
      </c>
    </row>
    <row r="40" spans="1:18" x14ac:dyDescent="0.3">
      <c r="A40" s="34" t="str">
        <f>base!J40</f>
        <v>RS</v>
      </c>
      <c r="B40" s="34" t="str">
        <f>base!V40</f>
        <v>13008</v>
      </c>
      <c r="C40" s="37">
        <v>13</v>
      </c>
      <c r="D40" s="36">
        <f>base!H40</f>
        <v>145</v>
      </c>
      <c r="E40" s="44"/>
      <c r="F40" s="16">
        <f>base!W40</f>
        <v>0</v>
      </c>
      <c r="G40" s="11">
        <f t="shared" si="0"/>
        <v>0</v>
      </c>
      <c r="H40" s="11">
        <f t="shared" si="1"/>
        <v>42.05</v>
      </c>
      <c r="I40" s="11">
        <f t="shared" si="2"/>
        <v>0.28999999999999998</v>
      </c>
      <c r="J40" s="12">
        <f t="shared" si="3"/>
        <v>-42.05</v>
      </c>
      <c r="K40" s="17" t="str">
        <f t="shared" si="8"/>
        <v>Ecart négatif</v>
      </c>
      <c r="L40" s="16">
        <f>base!X40</f>
        <v>27.55</v>
      </c>
      <c r="M40" s="11">
        <f t="shared" si="4"/>
        <v>0.19</v>
      </c>
      <c r="N40" s="11">
        <f t="shared" si="5"/>
        <v>27.55</v>
      </c>
      <c r="O40" s="11">
        <f t="shared" si="6"/>
        <v>0.19</v>
      </c>
      <c r="P40" s="12">
        <f t="shared" si="7"/>
        <v>0</v>
      </c>
      <c r="Q40" s="17" t="str">
        <f t="shared" si="9"/>
        <v>Pas d'écart</v>
      </c>
      <c r="R40" s="38"/>
    </row>
    <row r="41" spans="1:18" x14ac:dyDescent="0.3">
      <c r="A41" s="34">
        <f>base!J41</f>
        <v>0</v>
      </c>
      <c r="B41" s="34" t="str">
        <f>base!V41</f>
        <v>77184</v>
      </c>
      <c r="C41" s="37">
        <v>77</v>
      </c>
      <c r="D41" s="36">
        <f>base!H41</f>
        <v>20</v>
      </c>
      <c r="E41" s="44"/>
      <c r="F41" s="16">
        <f>base!W41</f>
        <v>0</v>
      </c>
      <c r="G41" s="11">
        <f t="shared" si="0"/>
        <v>0</v>
      </c>
      <c r="H41" s="11">
        <f t="shared" si="1"/>
        <v>0</v>
      </c>
      <c r="I41" s="11">
        <f t="shared" si="2"/>
        <v>0</v>
      </c>
      <c r="J41" s="12">
        <f t="shared" si="3"/>
        <v>0</v>
      </c>
      <c r="K41" s="17" t="str">
        <f t="shared" si="8"/>
        <v>Pas d'écart</v>
      </c>
      <c r="L41" s="16">
        <f>base!X41</f>
        <v>0</v>
      </c>
      <c r="M41" s="11">
        <f t="shared" si="4"/>
        <v>0</v>
      </c>
      <c r="N41" s="11">
        <f t="shared" si="5"/>
        <v>0</v>
      </c>
      <c r="O41" s="11">
        <f t="shared" si="6"/>
        <v>0</v>
      </c>
      <c r="P41" s="12">
        <f t="shared" si="7"/>
        <v>0</v>
      </c>
      <c r="Q41" s="17" t="str">
        <f t="shared" si="9"/>
        <v>Pas d'écart</v>
      </c>
    </row>
    <row r="42" spans="1:18" x14ac:dyDescent="0.3">
      <c r="A42" s="34" t="str">
        <f>base!J42</f>
        <v>DLS</v>
      </c>
      <c r="B42" s="34" t="str">
        <f>base!V42</f>
        <v>30204</v>
      </c>
      <c r="C42" s="37">
        <v>30</v>
      </c>
      <c r="D42" s="36">
        <f>base!H42</f>
        <v>198</v>
      </c>
      <c r="E42" s="44"/>
      <c r="F42" s="16">
        <f>base!W42</f>
        <v>0</v>
      </c>
      <c r="G42" s="11">
        <f t="shared" si="0"/>
        <v>0</v>
      </c>
      <c r="H42" s="11">
        <f t="shared" si="1"/>
        <v>77.22</v>
      </c>
      <c r="I42" s="11">
        <f t="shared" si="2"/>
        <v>0.39</v>
      </c>
      <c r="J42" s="12">
        <f t="shared" si="3"/>
        <v>-77.22</v>
      </c>
      <c r="K42" s="17" t="str">
        <f t="shared" si="8"/>
        <v>Ecart négatif</v>
      </c>
      <c r="L42" s="16">
        <f>base!X42</f>
        <v>0</v>
      </c>
      <c r="M42" s="11">
        <f t="shared" si="4"/>
        <v>0</v>
      </c>
      <c r="N42" s="11">
        <f t="shared" si="5"/>
        <v>55.440000000000005</v>
      </c>
      <c r="O42" s="11">
        <f t="shared" si="6"/>
        <v>0.28000000000000003</v>
      </c>
      <c r="P42" s="12">
        <f t="shared" si="7"/>
        <v>-55.440000000000005</v>
      </c>
      <c r="Q42" s="17" t="str">
        <f t="shared" si="9"/>
        <v>Ecart négatif</v>
      </c>
    </row>
    <row r="43" spans="1:18" x14ac:dyDescent="0.3">
      <c r="A43" s="34" t="str">
        <f>base!J43</f>
        <v>LM</v>
      </c>
      <c r="B43" s="34" t="str">
        <f>base!V43</f>
        <v>16380</v>
      </c>
      <c r="C43" s="37">
        <v>89</v>
      </c>
      <c r="D43" s="36">
        <f>base!H43</f>
        <v>36.54</v>
      </c>
      <c r="E43" s="44"/>
      <c r="F43" s="16">
        <f>base!W43</f>
        <v>7.67</v>
      </c>
      <c r="G43" s="11">
        <f t="shared" si="0"/>
        <v>0.20990695128626163</v>
      </c>
      <c r="H43" s="11">
        <f t="shared" si="1"/>
        <v>8.4041999999999994</v>
      </c>
      <c r="I43" s="11">
        <f t="shared" si="2"/>
        <v>0.22999999999999998</v>
      </c>
      <c r="J43" s="12">
        <f t="shared" si="3"/>
        <v>-0.73419999999999952</v>
      </c>
      <c r="K43" s="17" t="str">
        <f t="shared" si="8"/>
        <v>Ecart négatif</v>
      </c>
      <c r="L43" s="16">
        <f>base!X43</f>
        <v>0</v>
      </c>
      <c r="M43" s="11">
        <f t="shared" si="4"/>
        <v>0</v>
      </c>
      <c r="N43" s="11">
        <f t="shared" si="5"/>
        <v>4.3847999999999994</v>
      </c>
      <c r="O43" s="11">
        <f t="shared" si="6"/>
        <v>0.11999999999999998</v>
      </c>
      <c r="P43" s="12">
        <f t="shared" si="7"/>
        <v>-4.3847999999999994</v>
      </c>
      <c r="Q43" s="17" t="str">
        <f t="shared" si="9"/>
        <v>Ecart négatif</v>
      </c>
    </row>
    <row r="44" spans="1:18" x14ac:dyDescent="0.3">
      <c r="A44" s="34" t="str">
        <f>base!J44</f>
        <v>LM</v>
      </c>
      <c r="B44" s="34" t="str">
        <f>base!V44</f>
        <v>16380</v>
      </c>
      <c r="C44" s="37">
        <v>57</v>
      </c>
      <c r="D44" s="36">
        <f>base!H44</f>
        <v>1.23</v>
      </c>
      <c r="E44" s="44"/>
      <c r="F44" s="16">
        <f>base!W44</f>
        <v>0.26</v>
      </c>
      <c r="G44" s="11">
        <f t="shared" si="0"/>
        <v>0.21138211382113822</v>
      </c>
      <c r="H44" s="11">
        <f t="shared" si="1"/>
        <v>0.29519999999999996</v>
      </c>
      <c r="I44" s="11">
        <f t="shared" si="2"/>
        <v>0.23999999999999996</v>
      </c>
      <c r="J44" s="12">
        <f t="shared" si="3"/>
        <v>-3.5199999999999954E-2</v>
      </c>
      <c r="K44" s="17" t="str">
        <f t="shared" si="8"/>
        <v>Ecart négatif</v>
      </c>
      <c r="L44" s="16">
        <f>base!X44</f>
        <v>0</v>
      </c>
      <c r="M44" s="11">
        <f t="shared" si="4"/>
        <v>0</v>
      </c>
      <c r="N44" s="11">
        <f t="shared" si="5"/>
        <v>0.3075</v>
      </c>
      <c r="O44" s="11">
        <f t="shared" si="6"/>
        <v>0.25</v>
      </c>
      <c r="P44" s="12">
        <f t="shared" si="7"/>
        <v>-0.3075</v>
      </c>
      <c r="Q44" s="17" t="str">
        <f t="shared" si="9"/>
        <v>Ecart négatif</v>
      </c>
    </row>
    <row r="45" spans="1:18" x14ac:dyDescent="0.3">
      <c r="A45" s="34" t="str">
        <f>base!J45</f>
        <v>LM</v>
      </c>
      <c r="B45" s="34" t="str">
        <f>base!V45</f>
        <v>14200</v>
      </c>
      <c r="C45" s="37">
        <v>34</v>
      </c>
      <c r="D45" s="36">
        <f>base!H45</f>
        <v>55.16</v>
      </c>
      <c r="E45" s="44"/>
      <c r="F45" s="16">
        <f>base!W45</f>
        <v>9.3800000000000008</v>
      </c>
      <c r="G45" s="11">
        <f t="shared" si="0"/>
        <v>0.17005076142131983</v>
      </c>
      <c r="H45" s="11">
        <f t="shared" si="1"/>
        <v>21.5124</v>
      </c>
      <c r="I45" s="11">
        <f t="shared" si="2"/>
        <v>0.39</v>
      </c>
      <c r="J45" s="12">
        <f t="shared" si="3"/>
        <v>-12.132399999999999</v>
      </c>
      <c r="K45" s="17" t="str">
        <f t="shared" si="8"/>
        <v>Ecart négatif</v>
      </c>
      <c r="L45" s="16">
        <f>base!X45</f>
        <v>0</v>
      </c>
      <c r="M45" s="11">
        <f t="shared" si="4"/>
        <v>0</v>
      </c>
      <c r="N45" s="11">
        <f t="shared" si="5"/>
        <v>15.444800000000001</v>
      </c>
      <c r="O45" s="11">
        <f t="shared" si="6"/>
        <v>0.28000000000000003</v>
      </c>
      <c r="P45" s="12">
        <f t="shared" si="7"/>
        <v>-15.444800000000001</v>
      </c>
      <c r="Q45" s="17" t="str">
        <f t="shared" si="9"/>
        <v>Ecart négatif</v>
      </c>
    </row>
    <row r="46" spans="1:18" x14ac:dyDescent="0.3">
      <c r="A46" s="34" t="str">
        <f>base!J46</f>
        <v>LM</v>
      </c>
      <c r="B46" s="34" t="str">
        <f>base!V46</f>
        <v>69200</v>
      </c>
      <c r="C46" s="37">
        <v>59</v>
      </c>
      <c r="D46" s="36">
        <f>base!H46</f>
        <v>120.29</v>
      </c>
      <c r="E46" s="44"/>
      <c r="F46" s="16">
        <f>base!W46</f>
        <v>32.479999999999997</v>
      </c>
      <c r="G46" s="11">
        <f t="shared" si="0"/>
        <v>0.27001413251309331</v>
      </c>
      <c r="H46" s="11">
        <f t="shared" si="1"/>
        <v>22.8551</v>
      </c>
      <c r="I46" s="11">
        <f t="shared" si="2"/>
        <v>0.19</v>
      </c>
      <c r="J46" s="12">
        <f t="shared" si="3"/>
        <v>9.6248999999999967</v>
      </c>
      <c r="K46" s="17" t="str">
        <f t="shared" si="8"/>
        <v>Ecart positif</v>
      </c>
      <c r="L46" s="16">
        <f>base!X46</f>
        <v>0</v>
      </c>
      <c r="M46" s="11">
        <f t="shared" si="4"/>
        <v>0</v>
      </c>
      <c r="N46" s="11">
        <f t="shared" si="5"/>
        <v>0</v>
      </c>
      <c r="O46" s="11">
        <f t="shared" si="6"/>
        <v>0</v>
      </c>
      <c r="P46" s="12">
        <f t="shared" si="7"/>
        <v>0</v>
      </c>
      <c r="Q46" s="17" t="str">
        <f t="shared" si="9"/>
        <v>Pas d'écart</v>
      </c>
    </row>
    <row r="47" spans="1:18" x14ac:dyDescent="0.3">
      <c r="A47" s="34" t="str">
        <f>base!J47</f>
        <v>LM</v>
      </c>
      <c r="B47" s="34" t="str">
        <f>base!V47</f>
        <v>13790</v>
      </c>
      <c r="C47" s="37">
        <v>88</v>
      </c>
      <c r="D47" s="36">
        <f>base!H47</f>
        <v>73</v>
      </c>
      <c r="E47" s="44"/>
      <c r="F47" s="16">
        <f>base!W47</f>
        <v>37.229999999999997</v>
      </c>
      <c r="G47" s="11">
        <f t="shared" si="0"/>
        <v>0.51</v>
      </c>
      <c r="H47" s="11">
        <f t="shared" si="1"/>
        <v>20.440000000000001</v>
      </c>
      <c r="I47" s="11">
        <f t="shared" si="2"/>
        <v>0.28000000000000003</v>
      </c>
      <c r="J47" s="12">
        <f t="shared" si="3"/>
        <v>16.789999999999996</v>
      </c>
      <c r="K47" s="17" t="str">
        <f t="shared" si="8"/>
        <v>Ecart positif</v>
      </c>
      <c r="L47" s="16">
        <f>base!X47</f>
        <v>0</v>
      </c>
      <c r="M47" s="11">
        <f t="shared" si="4"/>
        <v>0</v>
      </c>
      <c r="N47" s="11">
        <f t="shared" si="5"/>
        <v>5.84</v>
      </c>
      <c r="O47" s="11">
        <f t="shared" si="6"/>
        <v>0.08</v>
      </c>
      <c r="P47" s="12">
        <f t="shared" si="7"/>
        <v>-5.84</v>
      </c>
      <c r="Q47" s="17" t="str">
        <f t="shared" si="9"/>
        <v>Ecart négatif</v>
      </c>
    </row>
    <row r="48" spans="1:18" x14ac:dyDescent="0.3">
      <c r="A48" s="34" t="str">
        <f>base!J48</f>
        <v>RM</v>
      </c>
      <c r="B48" s="34" t="str">
        <f>base!V48</f>
        <v>76600</v>
      </c>
      <c r="C48" s="37">
        <v>76</v>
      </c>
      <c r="D48" s="36">
        <f>base!H48</f>
        <v>151</v>
      </c>
      <c r="E48" s="44"/>
      <c r="F48" s="16">
        <f>base!W48</f>
        <v>0</v>
      </c>
      <c r="G48" s="11">
        <f t="shared" si="0"/>
        <v>0</v>
      </c>
      <c r="H48" s="11">
        <f t="shared" si="1"/>
        <v>25.67</v>
      </c>
      <c r="I48" s="11">
        <f t="shared" si="2"/>
        <v>0.17</v>
      </c>
      <c r="J48" s="12">
        <f t="shared" si="3"/>
        <v>-25.67</v>
      </c>
      <c r="K48" s="17" t="str">
        <f t="shared" si="8"/>
        <v>Ecart négatif</v>
      </c>
      <c r="L48" s="16">
        <f>base!X48</f>
        <v>25.67</v>
      </c>
      <c r="M48" s="11">
        <f t="shared" si="4"/>
        <v>0.17</v>
      </c>
      <c r="N48" s="11">
        <f t="shared" si="5"/>
        <v>25.67</v>
      </c>
      <c r="O48" s="11">
        <f t="shared" si="6"/>
        <v>0.17</v>
      </c>
      <c r="P48" s="12">
        <f t="shared" si="7"/>
        <v>0</v>
      </c>
      <c r="Q48" s="17" t="str">
        <f t="shared" si="9"/>
        <v>Pas d'écart</v>
      </c>
      <c r="R48" s="38"/>
    </row>
    <row r="49" spans="1:18" x14ac:dyDescent="0.3">
      <c r="A49" s="34" t="str">
        <f>base!J49</f>
        <v>RM</v>
      </c>
      <c r="B49" s="34" t="str">
        <f>base!V49</f>
        <v>92400</v>
      </c>
      <c r="C49" s="37">
        <v>92</v>
      </c>
      <c r="D49" s="36">
        <f>base!H49</f>
        <v>29.59</v>
      </c>
      <c r="E49" s="44"/>
      <c r="F49" s="16">
        <f>base!W49</f>
        <v>0</v>
      </c>
      <c r="G49" s="11">
        <f t="shared" si="0"/>
        <v>0</v>
      </c>
      <c r="H49" s="11">
        <f t="shared" si="1"/>
        <v>0</v>
      </c>
      <c r="I49" s="11">
        <f t="shared" si="2"/>
        <v>0</v>
      </c>
      <c r="J49" s="12">
        <f t="shared" si="3"/>
        <v>0</v>
      </c>
      <c r="K49" s="17" t="str">
        <f t="shared" si="8"/>
        <v>Pas d'écart</v>
      </c>
      <c r="L49" s="16">
        <f>base!X49</f>
        <v>0</v>
      </c>
      <c r="M49" s="11">
        <f t="shared" si="4"/>
        <v>0</v>
      </c>
      <c r="N49" s="11">
        <f t="shared" si="5"/>
        <v>0</v>
      </c>
      <c r="O49" s="11">
        <f t="shared" si="6"/>
        <v>0</v>
      </c>
      <c r="P49" s="12">
        <f t="shared" si="7"/>
        <v>0</v>
      </c>
      <c r="Q49" s="17" t="str">
        <f t="shared" si="9"/>
        <v>Pas d'écart</v>
      </c>
    </row>
    <row r="50" spans="1:18" x14ac:dyDescent="0.3">
      <c r="A50" s="34" t="str">
        <f>base!J50</f>
        <v>RS</v>
      </c>
      <c r="B50" s="34" t="str">
        <f>base!V50</f>
        <v>74190</v>
      </c>
      <c r="C50" s="37">
        <v>74</v>
      </c>
      <c r="D50" s="36">
        <f>base!H50</f>
        <v>425</v>
      </c>
      <c r="E50" s="44"/>
      <c r="F50" s="16">
        <f>base!W50</f>
        <v>0</v>
      </c>
      <c r="G50" s="11">
        <f t="shared" si="0"/>
        <v>0</v>
      </c>
      <c r="H50" s="11">
        <f t="shared" si="1"/>
        <v>110.5</v>
      </c>
      <c r="I50" s="11">
        <f t="shared" si="2"/>
        <v>0.26</v>
      </c>
      <c r="J50" s="12">
        <f t="shared" si="3"/>
        <v>-110.5</v>
      </c>
      <c r="K50" s="17" t="str">
        <f t="shared" si="8"/>
        <v>Ecart négatif</v>
      </c>
      <c r="L50" s="16">
        <f>base!X50</f>
        <v>0</v>
      </c>
      <c r="M50" s="11">
        <f t="shared" si="4"/>
        <v>0</v>
      </c>
      <c r="N50" s="11">
        <f t="shared" si="5"/>
        <v>0</v>
      </c>
      <c r="O50" s="11">
        <f t="shared" si="6"/>
        <v>0</v>
      </c>
      <c r="P50" s="12">
        <f t="shared" si="7"/>
        <v>0</v>
      </c>
      <c r="Q50" s="17" t="str">
        <f t="shared" si="9"/>
        <v>Pas d'écart</v>
      </c>
    </row>
    <row r="51" spans="1:18" x14ac:dyDescent="0.3">
      <c r="A51" s="34" t="str">
        <f>base!J51</f>
        <v>RS</v>
      </c>
      <c r="B51" s="34" t="str">
        <f>base!V51</f>
        <v>62320</v>
      </c>
      <c r="C51" s="37">
        <v>62</v>
      </c>
      <c r="D51" s="36">
        <f>base!H51</f>
        <v>180</v>
      </c>
      <c r="E51" s="44"/>
      <c r="F51" s="16">
        <f>base!W51</f>
        <v>0</v>
      </c>
      <c r="G51" s="11">
        <f t="shared" si="0"/>
        <v>0</v>
      </c>
      <c r="H51" s="11">
        <f t="shared" si="1"/>
        <v>34.200000000000003</v>
      </c>
      <c r="I51" s="11">
        <f t="shared" si="2"/>
        <v>0.19</v>
      </c>
      <c r="J51" s="12">
        <f t="shared" si="3"/>
        <v>-34.200000000000003</v>
      </c>
      <c r="K51" s="17" t="str">
        <f t="shared" si="8"/>
        <v>Ecart négatif</v>
      </c>
      <c r="L51" s="16">
        <f>base!X51</f>
        <v>0</v>
      </c>
      <c r="M51" s="11">
        <f t="shared" si="4"/>
        <v>0</v>
      </c>
      <c r="N51" s="11">
        <f t="shared" si="5"/>
        <v>0</v>
      </c>
      <c r="O51" s="11">
        <f t="shared" si="6"/>
        <v>0</v>
      </c>
      <c r="P51" s="12">
        <f t="shared" si="7"/>
        <v>0</v>
      </c>
      <c r="Q51" s="17" t="str">
        <f t="shared" si="9"/>
        <v>Pas d'écart</v>
      </c>
    </row>
    <row r="52" spans="1:18" x14ac:dyDescent="0.3">
      <c r="A52" s="34" t="str">
        <f>base!J52</f>
        <v>RS</v>
      </c>
      <c r="B52" s="34" t="str">
        <f>base!V52</f>
        <v>06560</v>
      </c>
      <c r="C52" s="37">
        <v>6</v>
      </c>
      <c r="D52" s="36">
        <f>base!H52</f>
        <v>151</v>
      </c>
      <c r="E52" s="44"/>
      <c r="F52" s="16">
        <f>base!W52</f>
        <v>0</v>
      </c>
      <c r="G52" s="11">
        <f t="shared" si="0"/>
        <v>0</v>
      </c>
      <c r="H52" s="11">
        <f t="shared" si="1"/>
        <v>45.3</v>
      </c>
      <c r="I52" s="11">
        <f t="shared" si="2"/>
        <v>0.3</v>
      </c>
      <c r="J52" s="12">
        <f t="shared" si="3"/>
        <v>-45.3</v>
      </c>
      <c r="K52" s="17" t="str">
        <f t="shared" si="8"/>
        <v>Ecart négatif</v>
      </c>
      <c r="L52" s="16">
        <f>base!X52</f>
        <v>0</v>
      </c>
      <c r="M52" s="11">
        <f t="shared" si="4"/>
        <v>0</v>
      </c>
      <c r="N52" s="11">
        <f t="shared" si="5"/>
        <v>31.709999999999997</v>
      </c>
      <c r="O52" s="11">
        <f t="shared" si="6"/>
        <v>0.21</v>
      </c>
      <c r="P52" s="12">
        <f t="shared" si="7"/>
        <v>-31.709999999999997</v>
      </c>
      <c r="Q52" s="17" t="str">
        <f t="shared" si="9"/>
        <v>Ecart négatif</v>
      </c>
    </row>
    <row r="53" spans="1:18" x14ac:dyDescent="0.3">
      <c r="A53" s="34" t="str">
        <f>base!J53</f>
        <v>RS</v>
      </c>
      <c r="B53" s="34" t="str">
        <f>base!V53</f>
        <v>06560</v>
      </c>
      <c r="C53" s="37">
        <v>6</v>
      </c>
      <c r="D53" s="36">
        <f>base!H53</f>
        <v>151</v>
      </c>
      <c r="E53" s="44"/>
      <c r="F53" s="16">
        <f>base!W53</f>
        <v>0</v>
      </c>
      <c r="G53" s="11">
        <f t="shared" si="0"/>
        <v>0</v>
      </c>
      <c r="H53" s="11">
        <f t="shared" si="1"/>
        <v>45.3</v>
      </c>
      <c r="I53" s="11">
        <f t="shared" si="2"/>
        <v>0.3</v>
      </c>
      <c r="J53" s="12">
        <f t="shared" si="3"/>
        <v>-45.3</v>
      </c>
      <c r="K53" s="17" t="str">
        <f t="shared" si="8"/>
        <v>Ecart négatif</v>
      </c>
      <c r="L53" s="16">
        <f>base!X53</f>
        <v>0</v>
      </c>
      <c r="M53" s="11">
        <f t="shared" si="4"/>
        <v>0</v>
      </c>
      <c r="N53" s="11">
        <f t="shared" si="5"/>
        <v>31.709999999999997</v>
      </c>
      <c r="O53" s="11">
        <f t="shared" si="6"/>
        <v>0.21</v>
      </c>
      <c r="P53" s="12">
        <f t="shared" si="7"/>
        <v>-31.709999999999997</v>
      </c>
      <c r="Q53" s="17" t="str">
        <f t="shared" si="9"/>
        <v>Ecart négatif</v>
      </c>
    </row>
    <row r="54" spans="1:18" x14ac:dyDescent="0.3">
      <c r="A54" s="34" t="str">
        <f>base!J54</f>
        <v>RM</v>
      </c>
      <c r="B54" s="34" t="str">
        <f>base!V54</f>
        <v>06560</v>
      </c>
      <c r="C54" s="37">
        <v>6</v>
      </c>
      <c r="D54" s="36">
        <f>base!H54</f>
        <v>151</v>
      </c>
      <c r="E54" s="44"/>
      <c r="F54" s="16">
        <f>base!W54</f>
        <v>0</v>
      </c>
      <c r="G54" s="11">
        <f t="shared" si="0"/>
        <v>0</v>
      </c>
      <c r="H54" s="11">
        <f t="shared" si="1"/>
        <v>45.3</v>
      </c>
      <c r="I54" s="11">
        <f t="shared" si="2"/>
        <v>0.3</v>
      </c>
      <c r="J54" s="12">
        <f t="shared" si="3"/>
        <v>-45.3</v>
      </c>
      <c r="K54" s="17" t="str">
        <f t="shared" si="8"/>
        <v>Ecart négatif</v>
      </c>
      <c r="L54" s="16">
        <f>base!X54</f>
        <v>0</v>
      </c>
      <c r="M54" s="11">
        <f t="shared" si="4"/>
        <v>0</v>
      </c>
      <c r="N54" s="11">
        <f t="shared" si="5"/>
        <v>31.709999999999997</v>
      </c>
      <c r="O54" s="11">
        <f t="shared" si="6"/>
        <v>0.21</v>
      </c>
      <c r="P54" s="12">
        <f t="shared" si="7"/>
        <v>-31.709999999999997</v>
      </c>
      <c r="Q54" s="17" t="str">
        <f t="shared" si="9"/>
        <v>Ecart négatif</v>
      </c>
    </row>
    <row r="55" spans="1:18" x14ac:dyDescent="0.3">
      <c r="A55" s="34" t="str">
        <f>base!J55</f>
        <v>RM</v>
      </c>
      <c r="B55" s="34" t="str">
        <f>base!V55</f>
        <v>06560</v>
      </c>
      <c r="C55" s="37">
        <v>6</v>
      </c>
      <c r="D55" s="36">
        <f>base!H55</f>
        <v>151</v>
      </c>
      <c r="E55" s="44"/>
      <c r="F55" s="16">
        <f>base!W55</f>
        <v>0</v>
      </c>
      <c r="G55" s="11">
        <f t="shared" si="0"/>
        <v>0</v>
      </c>
      <c r="H55" s="11">
        <f t="shared" si="1"/>
        <v>45.3</v>
      </c>
      <c r="I55" s="11">
        <f t="shared" si="2"/>
        <v>0.3</v>
      </c>
      <c r="J55" s="12">
        <f t="shared" si="3"/>
        <v>-45.3</v>
      </c>
      <c r="K55" s="17" t="str">
        <f t="shared" si="8"/>
        <v>Ecart négatif</v>
      </c>
      <c r="L55" s="16">
        <f>base!X55</f>
        <v>0</v>
      </c>
      <c r="M55" s="11">
        <f t="shared" si="4"/>
        <v>0</v>
      </c>
      <c r="N55" s="11">
        <f t="shared" si="5"/>
        <v>31.709999999999997</v>
      </c>
      <c r="O55" s="11">
        <f t="shared" si="6"/>
        <v>0.21</v>
      </c>
      <c r="P55" s="12">
        <f t="shared" si="7"/>
        <v>-31.709999999999997</v>
      </c>
      <c r="Q55" s="17" t="str">
        <f t="shared" si="9"/>
        <v>Ecart négatif</v>
      </c>
    </row>
    <row r="56" spans="1:18" x14ac:dyDescent="0.3">
      <c r="A56" s="34" t="str">
        <f>base!J56</f>
        <v>RS</v>
      </c>
      <c r="B56" s="34" t="str">
        <f>base!V56</f>
        <v>38540</v>
      </c>
      <c r="C56" s="37">
        <v>38</v>
      </c>
      <c r="D56" s="36">
        <f>base!H56</f>
        <v>140</v>
      </c>
      <c r="E56" s="44"/>
      <c r="F56" s="16">
        <f>base!W56</f>
        <v>0</v>
      </c>
      <c r="G56" s="11">
        <f t="shared" si="0"/>
        <v>0</v>
      </c>
      <c r="H56" s="11">
        <f t="shared" si="1"/>
        <v>37.800000000000004</v>
      </c>
      <c r="I56" s="11">
        <f t="shared" si="2"/>
        <v>0.27</v>
      </c>
      <c r="J56" s="12">
        <f t="shared" si="3"/>
        <v>-37.800000000000004</v>
      </c>
      <c r="K56" s="17" t="str">
        <f t="shared" si="8"/>
        <v>Ecart négatif</v>
      </c>
      <c r="L56" s="16">
        <f>base!X56</f>
        <v>0</v>
      </c>
      <c r="M56" s="11">
        <f t="shared" si="4"/>
        <v>0</v>
      </c>
      <c r="N56" s="11">
        <f t="shared" si="5"/>
        <v>0</v>
      </c>
      <c r="O56" s="11">
        <f t="shared" si="6"/>
        <v>0</v>
      </c>
      <c r="P56" s="12">
        <f t="shared" si="7"/>
        <v>0</v>
      </c>
      <c r="Q56" s="17" t="str">
        <f t="shared" si="9"/>
        <v>Pas d'écart</v>
      </c>
    </row>
    <row r="57" spans="1:18" x14ac:dyDescent="0.3">
      <c r="A57" s="34" t="str">
        <f>base!J57</f>
        <v>RS</v>
      </c>
      <c r="B57" s="34" t="str">
        <f>base!V57</f>
        <v>04200</v>
      </c>
      <c r="C57" s="37">
        <v>4</v>
      </c>
      <c r="D57" s="36">
        <f>base!H57</f>
        <v>151</v>
      </c>
      <c r="E57" s="44"/>
      <c r="F57" s="16">
        <f>base!W57</f>
        <v>0</v>
      </c>
      <c r="G57" s="11">
        <f t="shared" si="0"/>
        <v>0</v>
      </c>
      <c r="H57" s="11">
        <f t="shared" si="1"/>
        <v>43.79</v>
      </c>
      <c r="I57" s="11">
        <f t="shared" si="2"/>
        <v>0.28999999999999998</v>
      </c>
      <c r="J57" s="12">
        <f t="shared" si="3"/>
        <v>-43.79</v>
      </c>
      <c r="K57" s="17" t="str">
        <f t="shared" si="8"/>
        <v>Ecart négatif</v>
      </c>
      <c r="L57" s="16">
        <f>base!X57</f>
        <v>28.69</v>
      </c>
      <c r="M57" s="11">
        <f t="shared" si="4"/>
        <v>0.19</v>
      </c>
      <c r="N57" s="11">
        <f t="shared" si="5"/>
        <v>28.69</v>
      </c>
      <c r="O57" s="11">
        <f t="shared" si="6"/>
        <v>0.19</v>
      </c>
      <c r="P57" s="12">
        <f t="shared" si="7"/>
        <v>0</v>
      </c>
      <c r="Q57" s="17" t="str">
        <f t="shared" si="9"/>
        <v>Pas d'écart</v>
      </c>
      <c r="R57" s="38"/>
    </row>
    <row r="58" spans="1:18" x14ac:dyDescent="0.3">
      <c r="A58" s="34" t="str">
        <f>base!J58</f>
        <v>LM</v>
      </c>
      <c r="B58" s="34" t="str">
        <f>base!V58</f>
        <v>22600</v>
      </c>
      <c r="C58" s="37">
        <v>60</v>
      </c>
      <c r="D58" s="36">
        <f>base!H58</f>
        <v>49.08</v>
      </c>
      <c r="E58" s="44"/>
      <c r="F58" s="16">
        <f>base!W58</f>
        <v>19.14</v>
      </c>
      <c r="G58" s="11">
        <f t="shared" si="0"/>
        <v>0.38997555012224944</v>
      </c>
      <c r="H58" s="11">
        <f t="shared" si="1"/>
        <v>9.3252000000000006</v>
      </c>
      <c r="I58" s="11">
        <f t="shared" si="2"/>
        <v>0.19000000000000003</v>
      </c>
      <c r="J58" s="12">
        <f t="shared" si="3"/>
        <v>9.8148</v>
      </c>
      <c r="K58" s="17" t="str">
        <f t="shared" si="8"/>
        <v>Ecart positif</v>
      </c>
      <c r="L58" s="16">
        <f>base!X58</f>
        <v>0</v>
      </c>
      <c r="M58" s="11">
        <f t="shared" si="4"/>
        <v>0</v>
      </c>
      <c r="N58" s="11">
        <f t="shared" si="5"/>
        <v>0</v>
      </c>
      <c r="O58" s="11">
        <f t="shared" si="6"/>
        <v>0</v>
      </c>
      <c r="P58" s="12">
        <f t="shared" si="7"/>
        <v>0</v>
      </c>
      <c r="Q58" s="17" t="str">
        <f t="shared" si="9"/>
        <v>Pas d'écart</v>
      </c>
    </row>
    <row r="59" spans="1:18" x14ac:dyDescent="0.3">
      <c r="A59" s="34" t="str">
        <f>base!J59</f>
        <v>RS</v>
      </c>
      <c r="B59" s="34" t="str">
        <f>base!V59</f>
        <v>88100</v>
      </c>
      <c r="C59" s="37">
        <v>88</v>
      </c>
      <c r="D59" s="36">
        <f>base!H59</f>
        <v>109.06</v>
      </c>
      <c r="E59" s="44"/>
      <c r="F59" s="16">
        <f>base!W59</f>
        <v>0</v>
      </c>
      <c r="G59" s="11">
        <f t="shared" si="0"/>
        <v>0</v>
      </c>
      <c r="H59" s="11">
        <f t="shared" si="1"/>
        <v>30.536800000000003</v>
      </c>
      <c r="I59" s="11">
        <f t="shared" si="2"/>
        <v>0.28000000000000003</v>
      </c>
      <c r="J59" s="12">
        <f t="shared" si="3"/>
        <v>-30.536800000000003</v>
      </c>
      <c r="K59" s="17" t="str">
        <f t="shared" si="8"/>
        <v>Ecart négatif</v>
      </c>
      <c r="L59" s="16">
        <f>base!X59</f>
        <v>8.7200000000000006</v>
      </c>
      <c r="M59" s="11">
        <f t="shared" si="4"/>
        <v>7.9955987529800113E-2</v>
      </c>
      <c r="N59" s="11">
        <f t="shared" si="5"/>
        <v>8.7248000000000001</v>
      </c>
      <c r="O59" s="11">
        <f t="shared" si="6"/>
        <v>0.08</v>
      </c>
      <c r="P59" s="12">
        <f t="shared" si="7"/>
        <v>-4.7999999999994714E-3</v>
      </c>
      <c r="Q59" s="17" t="str">
        <f t="shared" si="9"/>
        <v>Ecart négatif</v>
      </c>
      <c r="R59" s="38"/>
    </row>
    <row r="60" spans="1:18" x14ac:dyDescent="0.3">
      <c r="A60" s="34" t="str">
        <f>base!J60</f>
        <v>DLS</v>
      </c>
      <c r="B60" s="34" t="str">
        <f>base!V60</f>
        <v>11100</v>
      </c>
      <c r="C60" s="37">
        <v>11</v>
      </c>
      <c r="D60" s="36">
        <f>base!H60</f>
        <v>122.09</v>
      </c>
      <c r="E60" s="44"/>
      <c r="F60" s="16">
        <f>base!W60</f>
        <v>0</v>
      </c>
      <c r="G60" s="11">
        <f t="shared" si="0"/>
        <v>0</v>
      </c>
      <c r="H60" s="11">
        <f t="shared" si="1"/>
        <v>43.952399999999997</v>
      </c>
      <c r="I60" s="11">
        <f t="shared" si="2"/>
        <v>0.36</v>
      </c>
      <c r="J60" s="12">
        <f t="shared" si="3"/>
        <v>-43.952399999999997</v>
      </c>
      <c r="K60" s="17" t="str">
        <f t="shared" si="8"/>
        <v>Ecart négatif</v>
      </c>
      <c r="L60" s="16">
        <f>base!X60</f>
        <v>0</v>
      </c>
      <c r="M60" s="11">
        <f t="shared" si="4"/>
        <v>0</v>
      </c>
      <c r="N60" s="11">
        <f t="shared" si="5"/>
        <v>34.185200000000002</v>
      </c>
      <c r="O60" s="11">
        <f t="shared" si="6"/>
        <v>0.28000000000000003</v>
      </c>
      <c r="P60" s="12">
        <f t="shared" si="7"/>
        <v>-34.185200000000002</v>
      </c>
      <c r="Q60" s="17" t="str">
        <f t="shared" si="9"/>
        <v>Ecart négatif</v>
      </c>
    </row>
    <row r="61" spans="1:18" x14ac:dyDescent="0.3">
      <c r="A61" s="34" t="str">
        <f>base!J61</f>
        <v>RM</v>
      </c>
      <c r="B61" s="34" t="str">
        <f>base!V61</f>
        <v>34500</v>
      </c>
      <c r="C61" s="37">
        <v>34</v>
      </c>
      <c r="D61" s="36">
        <f>base!H61</f>
        <v>180</v>
      </c>
      <c r="E61" s="44"/>
      <c r="F61" s="16">
        <f>base!W61</f>
        <v>0</v>
      </c>
      <c r="G61" s="11">
        <f t="shared" si="0"/>
        <v>0</v>
      </c>
      <c r="H61" s="11">
        <f t="shared" si="1"/>
        <v>70.2</v>
      </c>
      <c r="I61" s="11">
        <f t="shared" si="2"/>
        <v>0.39</v>
      </c>
      <c r="J61" s="12">
        <f t="shared" si="3"/>
        <v>-70.2</v>
      </c>
      <c r="K61" s="17" t="str">
        <f t="shared" si="8"/>
        <v>Ecart négatif</v>
      </c>
      <c r="L61" s="16">
        <f>base!X61</f>
        <v>0</v>
      </c>
      <c r="M61" s="11">
        <f t="shared" si="4"/>
        <v>0</v>
      </c>
      <c r="N61" s="11">
        <f t="shared" si="5"/>
        <v>50.400000000000006</v>
      </c>
      <c r="O61" s="11">
        <f t="shared" si="6"/>
        <v>0.28000000000000003</v>
      </c>
      <c r="P61" s="12">
        <f t="shared" si="7"/>
        <v>-50.400000000000006</v>
      </c>
      <c r="Q61" s="17" t="str">
        <f t="shared" si="9"/>
        <v>Ecart négatif</v>
      </c>
    </row>
    <row r="62" spans="1:18" x14ac:dyDescent="0.3">
      <c r="A62" s="34" t="str">
        <f>base!J62</f>
        <v>LS</v>
      </c>
      <c r="B62" s="34" t="str">
        <f>base!V62</f>
        <v>92230</v>
      </c>
      <c r="C62" s="37">
        <v>92</v>
      </c>
      <c r="D62" s="36">
        <f>base!H62</f>
        <v>12</v>
      </c>
      <c r="E62" s="44"/>
      <c r="F62" s="16">
        <f>base!W62</f>
        <v>0</v>
      </c>
      <c r="G62" s="11">
        <f t="shared" si="0"/>
        <v>0</v>
      </c>
      <c r="H62" s="11">
        <f t="shared" si="1"/>
        <v>0</v>
      </c>
      <c r="I62" s="11">
        <f t="shared" si="2"/>
        <v>0</v>
      </c>
      <c r="J62" s="12">
        <f t="shared" si="3"/>
        <v>0</v>
      </c>
      <c r="K62" s="17" t="str">
        <f t="shared" si="8"/>
        <v>Pas d'écart</v>
      </c>
      <c r="L62" s="16">
        <f>base!X62</f>
        <v>0</v>
      </c>
      <c r="M62" s="11">
        <f t="shared" si="4"/>
        <v>0</v>
      </c>
      <c r="N62" s="11">
        <f t="shared" si="5"/>
        <v>0</v>
      </c>
      <c r="O62" s="11">
        <f t="shared" si="6"/>
        <v>0</v>
      </c>
      <c r="P62" s="12">
        <f t="shared" si="7"/>
        <v>0</v>
      </c>
      <c r="Q62" s="17" t="str">
        <f t="shared" si="9"/>
        <v>Pas d'écart</v>
      </c>
    </row>
    <row r="63" spans="1:18" x14ac:dyDescent="0.3">
      <c r="A63" s="34">
        <f>base!J63</f>
        <v>0</v>
      </c>
      <c r="B63" s="34" t="str">
        <f>base!V63</f>
        <v>77184</v>
      </c>
      <c r="C63" s="37">
        <v>77</v>
      </c>
      <c r="D63" s="36">
        <f>base!H63</f>
        <v>84.5</v>
      </c>
      <c r="E63" s="44"/>
      <c r="F63" s="16">
        <f>base!W63</f>
        <v>0</v>
      </c>
      <c r="G63" s="11">
        <f t="shared" si="0"/>
        <v>0</v>
      </c>
      <c r="H63" s="11">
        <f t="shared" si="1"/>
        <v>0</v>
      </c>
      <c r="I63" s="11">
        <f t="shared" si="2"/>
        <v>0</v>
      </c>
      <c r="J63" s="12">
        <f t="shared" si="3"/>
        <v>0</v>
      </c>
      <c r="K63" s="17" t="str">
        <f t="shared" si="8"/>
        <v>Pas d'écart</v>
      </c>
      <c r="L63" s="16">
        <f>base!X63</f>
        <v>0</v>
      </c>
      <c r="M63" s="11">
        <f t="shared" si="4"/>
        <v>0</v>
      </c>
      <c r="N63" s="11">
        <f t="shared" si="5"/>
        <v>0</v>
      </c>
      <c r="O63" s="11">
        <f t="shared" si="6"/>
        <v>0</v>
      </c>
      <c r="P63" s="12">
        <f t="shared" si="7"/>
        <v>0</v>
      </c>
      <c r="Q63" s="17" t="str">
        <f t="shared" si="9"/>
        <v>Pas d'écart</v>
      </c>
    </row>
    <row r="64" spans="1:18" x14ac:dyDescent="0.3">
      <c r="A64" s="34">
        <f>base!J64</f>
        <v>0</v>
      </c>
      <c r="B64" s="34" t="str">
        <f>base!V64</f>
        <v>77184</v>
      </c>
      <c r="C64" s="37">
        <v>77</v>
      </c>
      <c r="D64" s="36">
        <f>base!H64</f>
        <v>31</v>
      </c>
      <c r="E64" s="44"/>
      <c r="F64" s="16">
        <f>base!W64</f>
        <v>0</v>
      </c>
      <c r="G64" s="11">
        <f t="shared" si="0"/>
        <v>0</v>
      </c>
      <c r="H64" s="11">
        <f t="shared" si="1"/>
        <v>0</v>
      </c>
      <c r="I64" s="11">
        <f t="shared" si="2"/>
        <v>0</v>
      </c>
      <c r="J64" s="12">
        <f t="shared" si="3"/>
        <v>0</v>
      </c>
      <c r="K64" s="17" t="str">
        <f t="shared" si="8"/>
        <v>Pas d'écart</v>
      </c>
      <c r="L64" s="16">
        <f>base!X64</f>
        <v>0</v>
      </c>
      <c r="M64" s="11">
        <f t="shared" si="4"/>
        <v>0</v>
      </c>
      <c r="N64" s="11">
        <f t="shared" si="5"/>
        <v>0</v>
      </c>
      <c r="O64" s="11">
        <f t="shared" si="6"/>
        <v>0</v>
      </c>
      <c r="P64" s="12">
        <f t="shared" si="7"/>
        <v>0</v>
      </c>
      <c r="Q64" s="17" t="str">
        <f t="shared" si="9"/>
        <v>Pas d'écart</v>
      </c>
    </row>
    <row r="65" spans="1:18" x14ac:dyDescent="0.3">
      <c r="A65" s="34">
        <f>base!J65</f>
        <v>0</v>
      </c>
      <c r="B65" s="34" t="str">
        <f>base!V65</f>
        <v>77184</v>
      </c>
      <c r="C65" s="37">
        <v>77</v>
      </c>
      <c r="D65" s="36">
        <f>base!H65</f>
        <v>35.659999999999997</v>
      </c>
      <c r="E65" s="44"/>
      <c r="F65" s="16">
        <f>base!W65</f>
        <v>0</v>
      </c>
      <c r="G65" s="11">
        <f t="shared" si="0"/>
        <v>0</v>
      </c>
      <c r="H65" s="11">
        <f t="shared" si="1"/>
        <v>0</v>
      </c>
      <c r="I65" s="11">
        <f t="shared" si="2"/>
        <v>0</v>
      </c>
      <c r="J65" s="12">
        <f t="shared" si="3"/>
        <v>0</v>
      </c>
      <c r="K65" s="17" t="str">
        <f t="shared" si="8"/>
        <v>Pas d'écart</v>
      </c>
      <c r="L65" s="16">
        <f>base!X65</f>
        <v>0</v>
      </c>
      <c r="M65" s="11">
        <f t="shared" si="4"/>
        <v>0</v>
      </c>
      <c r="N65" s="11">
        <f t="shared" si="5"/>
        <v>0</v>
      </c>
      <c r="O65" s="11">
        <f t="shared" si="6"/>
        <v>0</v>
      </c>
      <c r="P65" s="12">
        <f t="shared" si="7"/>
        <v>0</v>
      </c>
      <c r="Q65" s="17" t="str">
        <f t="shared" si="9"/>
        <v>Pas d'écart</v>
      </c>
    </row>
    <row r="66" spans="1:18" x14ac:dyDescent="0.3">
      <c r="A66" s="34" t="str">
        <f>base!J66</f>
        <v>RS</v>
      </c>
      <c r="B66" s="34" t="str">
        <f>base!V66</f>
        <v>68000</v>
      </c>
      <c r="C66" s="37">
        <v>68</v>
      </c>
      <c r="D66" s="36">
        <f>base!H66</f>
        <v>201.98</v>
      </c>
      <c r="E66" s="44"/>
      <c r="F66" s="16">
        <f>base!W66</f>
        <v>0</v>
      </c>
      <c r="G66" s="11">
        <f t="shared" ref="G66:G129" si="10">F66/D66</f>
        <v>0</v>
      </c>
      <c r="H66" s="11">
        <f t="shared" ref="H66:H129" si="11">VLOOKUP(C66,tout_cout_traction,2,FALSE)*D66</f>
        <v>58.57419999999999</v>
      </c>
      <c r="I66" s="11">
        <f t="shared" ref="I66:I129" si="12">H66/D66</f>
        <v>0.28999999999999998</v>
      </c>
      <c r="J66" s="12">
        <f t="shared" ref="J66:J129" si="13">F66-H66</f>
        <v>-58.57419999999999</v>
      </c>
      <c r="K66" s="17" t="str">
        <f t="shared" si="8"/>
        <v>Ecart négatif</v>
      </c>
      <c r="L66" s="16">
        <f>base!X66</f>
        <v>16.16</v>
      </c>
      <c r="M66" s="11">
        <f t="shared" ref="M66:M129" si="14">L66/D66</f>
        <v>8.0007921576393706E-2</v>
      </c>
      <c r="N66" s="11">
        <f t="shared" ref="N66:N129" si="15">VLOOKUP(C66,tout_cout_traction,3,FALSE)*D66</f>
        <v>16.1584</v>
      </c>
      <c r="O66" s="11">
        <f t="shared" ref="O66:O129" si="16">N66/D66</f>
        <v>0.08</v>
      </c>
      <c r="P66" s="12">
        <f t="shared" ref="P66:P129" si="17">L66-N66</f>
        <v>1.5999999999998238E-3</v>
      </c>
      <c r="Q66" s="17" t="str">
        <f t="shared" si="9"/>
        <v>Ecart positif</v>
      </c>
      <c r="R66" s="38"/>
    </row>
    <row r="67" spans="1:18" x14ac:dyDescent="0.3">
      <c r="A67" s="34" t="str">
        <f>base!J67</f>
        <v>RM</v>
      </c>
      <c r="B67" s="34" t="str">
        <f>base!V67</f>
        <v>50300</v>
      </c>
      <c r="C67" s="37">
        <v>50</v>
      </c>
      <c r="D67" s="36">
        <f>base!H67</f>
        <v>132</v>
      </c>
      <c r="E67" s="44"/>
      <c r="F67" s="16">
        <f>base!W67</f>
        <v>0</v>
      </c>
      <c r="G67" s="11">
        <f t="shared" si="10"/>
        <v>0</v>
      </c>
      <c r="H67" s="11">
        <f t="shared" si="11"/>
        <v>22.44</v>
      </c>
      <c r="I67" s="11">
        <f t="shared" si="12"/>
        <v>0.17</v>
      </c>
      <c r="J67" s="12">
        <f t="shared" si="13"/>
        <v>-22.44</v>
      </c>
      <c r="K67" s="17" t="str">
        <f t="shared" ref="K67:K130" si="18">IF(H67=F67,"Pas d'écart",IF(H67&lt;F67,"Ecart positif",IF(H67&gt;F67,"Ecart négatif")))</f>
        <v>Ecart négatif</v>
      </c>
      <c r="L67" s="16">
        <f>base!X67</f>
        <v>22.44</v>
      </c>
      <c r="M67" s="11">
        <f t="shared" si="14"/>
        <v>0.17</v>
      </c>
      <c r="N67" s="11">
        <f t="shared" si="15"/>
        <v>22.44</v>
      </c>
      <c r="O67" s="11">
        <f t="shared" si="16"/>
        <v>0.17</v>
      </c>
      <c r="P67" s="12">
        <f t="shared" si="17"/>
        <v>0</v>
      </c>
      <c r="Q67" s="17" t="str">
        <f t="shared" ref="Q67:Q130" si="19">IF(N67=L67,"Pas d'écart",IF(N67&lt;L67,"Ecart positif",IF(N67&gt;L67,"Ecart négatif")))</f>
        <v>Pas d'écart</v>
      </c>
      <c r="R67" s="38"/>
    </row>
    <row r="68" spans="1:18" x14ac:dyDescent="0.3">
      <c r="A68" s="34" t="str">
        <f>base!J68</f>
        <v>RM</v>
      </c>
      <c r="B68" s="34" t="str">
        <f>base!V68</f>
        <v>13115</v>
      </c>
      <c r="C68" s="37">
        <v>13</v>
      </c>
      <c r="D68" s="36">
        <f>base!H68</f>
        <v>137.05000000000001</v>
      </c>
      <c r="E68" s="44"/>
      <c r="F68" s="16">
        <f>base!W68</f>
        <v>0</v>
      </c>
      <c r="G68" s="11">
        <f t="shared" si="10"/>
        <v>0</v>
      </c>
      <c r="H68" s="11">
        <f t="shared" si="11"/>
        <v>39.744500000000002</v>
      </c>
      <c r="I68" s="11">
        <f t="shared" si="12"/>
        <v>0.28999999999999998</v>
      </c>
      <c r="J68" s="12">
        <f t="shared" si="13"/>
        <v>-39.744500000000002</v>
      </c>
      <c r="K68" s="17" t="str">
        <f t="shared" si="18"/>
        <v>Ecart négatif</v>
      </c>
      <c r="L68" s="16">
        <f>base!X68</f>
        <v>26.04</v>
      </c>
      <c r="M68" s="11">
        <f t="shared" si="14"/>
        <v>0.19000364830353883</v>
      </c>
      <c r="N68" s="11">
        <f t="shared" si="15"/>
        <v>26.039500000000004</v>
      </c>
      <c r="O68" s="11">
        <f t="shared" si="16"/>
        <v>0.19</v>
      </c>
      <c r="P68" s="12">
        <f t="shared" si="17"/>
        <v>4.99999999995282E-4</v>
      </c>
      <c r="Q68" s="17" t="str">
        <f t="shared" si="19"/>
        <v>Ecart positif</v>
      </c>
      <c r="R68" s="38"/>
    </row>
    <row r="69" spans="1:18" x14ac:dyDescent="0.3">
      <c r="A69" s="34" t="str">
        <f>base!J69</f>
        <v>RM</v>
      </c>
      <c r="B69" s="34" t="str">
        <f>base!V69</f>
        <v>13115</v>
      </c>
      <c r="C69" s="37">
        <v>13</v>
      </c>
      <c r="D69" s="36">
        <f>base!H69</f>
        <v>137.05000000000001</v>
      </c>
      <c r="E69" s="44"/>
      <c r="F69" s="16">
        <f>base!W69</f>
        <v>0</v>
      </c>
      <c r="G69" s="11">
        <f t="shared" si="10"/>
        <v>0</v>
      </c>
      <c r="H69" s="11">
        <f t="shared" si="11"/>
        <v>39.744500000000002</v>
      </c>
      <c r="I69" s="11">
        <f t="shared" si="12"/>
        <v>0.28999999999999998</v>
      </c>
      <c r="J69" s="12">
        <f t="shared" si="13"/>
        <v>-39.744500000000002</v>
      </c>
      <c r="K69" s="17" t="str">
        <f t="shared" si="18"/>
        <v>Ecart négatif</v>
      </c>
      <c r="L69" s="16">
        <f>base!X69</f>
        <v>26.04</v>
      </c>
      <c r="M69" s="11">
        <f t="shared" si="14"/>
        <v>0.19000364830353883</v>
      </c>
      <c r="N69" s="11">
        <f t="shared" si="15"/>
        <v>26.039500000000004</v>
      </c>
      <c r="O69" s="11">
        <f t="shared" si="16"/>
        <v>0.19</v>
      </c>
      <c r="P69" s="12">
        <f t="shared" si="17"/>
        <v>4.99999999995282E-4</v>
      </c>
      <c r="Q69" s="17" t="str">
        <f t="shared" si="19"/>
        <v>Ecart positif</v>
      </c>
      <c r="R69" s="38"/>
    </row>
    <row r="70" spans="1:18" x14ac:dyDescent="0.3">
      <c r="A70" s="34" t="str">
        <f>base!J70</f>
        <v>RM</v>
      </c>
      <c r="B70" s="34" t="str">
        <f>base!V70</f>
        <v>13115</v>
      </c>
      <c r="C70" s="37">
        <v>13</v>
      </c>
      <c r="D70" s="36">
        <f>base!H70</f>
        <v>137.05000000000001</v>
      </c>
      <c r="E70" s="44"/>
      <c r="F70" s="16">
        <f>base!W70</f>
        <v>0</v>
      </c>
      <c r="G70" s="11">
        <f t="shared" si="10"/>
        <v>0</v>
      </c>
      <c r="H70" s="11">
        <f t="shared" si="11"/>
        <v>39.744500000000002</v>
      </c>
      <c r="I70" s="11">
        <f t="shared" si="12"/>
        <v>0.28999999999999998</v>
      </c>
      <c r="J70" s="12">
        <f t="shared" si="13"/>
        <v>-39.744500000000002</v>
      </c>
      <c r="K70" s="17" t="str">
        <f t="shared" si="18"/>
        <v>Ecart négatif</v>
      </c>
      <c r="L70" s="16">
        <f>base!X70</f>
        <v>26.04</v>
      </c>
      <c r="M70" s="11">
        <f t="shared" si="14"/>
        <v>0.19000364830353883</v>
      </c>
      <c r="N70" s="11">
        <f t="shared" si="15"/>
        <v>26.039500000000004</v>
      </c>
      <c r="O70" s="11">
        <f t="shared" si="16"/>
        <v>0.19</v>
      </c>
      <c r="P70" s="12">
        <f t="shared" si="17"/>
        <v>4.99999999995282E-4</v>
      </c>
      <c r="Q70" s="17" t="str">
        <f t="shared" si="19"/>
        <v>Ecart positif</v>
      </c>
      <c r="R70" s="38"/>
    </row>
    <row r="71" spans="1:18" x14ac:dyDescent="0.3">
      <c r="A71" s="34" t="str">
        <f>base!J71</f>
        <v>LS</v>
      </c>
      <c r="B71" s="34" t="str">
        <f>base!V71</f>
        <v>83260</v>
      </c>
      <c r="C71" s="37">
        <v>13</v>
      </c>
      <c r="D71" s="36">
        <f>base!H71</f>
        <v>142.78</v>
      </c>
      <c r="E71" s="44"/>
      <c r="F71" s="16">
        <f>base!W71</f>
        <v>42.83</v>
      </c>
      <c r="G71" s="11">
        <f t="shared" si="10"/>
        <v>0.2999719848718308</v>
      </c>
      <c r="H71" s="11">
        <f t="shared" si="11"/>
        <v>41.406199999999998</v>
      </c>
      <c r="I71" s="11">
        <f t="shared" si="12"/>
        <v>0.28999999999999998</v>
      </c>
      <c r="J71" s="12">
        <f t="shared" si="13"/>
        <v>1.4238</v>
      </c>
      <c r="K71" s="17" t="str">
        <f t="shared" si="18"/>
        <v>Ecart positif</v>
      </c>
      <c r="L71" s="16">
        <f>base!X71</f>
        <v>0</v>
      </c>
      <c r="M71" s="11">
        <f t="shared" si="14"/>
        <v>0</v>
      </c>
      <c r="N71" s="11">
        <f t="shared" si="15"/>
        <v>27.1282</v>
      </c>
      <c r="O71" s="11">
        <f t="shared" si="16"/>
        <v>0.19</v>
      </c>
      <c r="P71" s="12">
        <f t="shared" si="17"/>
        <v>-27.1282</v>
      </c>
      <c r="Q71" s="17" t="str">
        <f t="shared" si="19"/>
        <v>Ecart négatif</v>
      </c>
    </row>
    <row r="72" spans="1:18" x14ac:dyDescent="0.3">
      <c r="A72" s="34" t="str">
        <f>base!J72</f>
        <v>LS</v>
      </c>
      <c r="B72" s="34" t="str">
        <f>base!V72</f>
        <v>78300</v>
      </c>
      <c r="C72" s="37">
        <v>78</v>
      </c>
      <c r="D72" s="36">
        <f>base!H72</f>
        <v>55.34</v>
      </c>
      <c r="E72" s="44"/>
      <c r="F72" s="16">
        <f>base!W72</f>
        <v>0</v>
      </c>
      <c r="G72" s="11">
        <f t="shared" si="10"/>
        <v>0</v>
      </c>
      <c r="H72" s="11">
        <f t="shared" si="11"/>
        <v>0</v>
      </c>
      <c r="I72" s="11">
        <f t="shared" si="12"/>
        <v>0</v>
      </c>
      <c r="J72" s="12">
        <f t="shared" si="13"/>
        <v>0</v>
      </c>
      <c r="K72" s="17" t="str">
        <f t="shared" si="18"/>
        <v>Pas d'écart</v>
      </c>
      <c r="L72" s="16">
        <f>base!X72</f>
        <v>0</v>
      </c>
      <c r="M72" s="11">
        <f t="shared" si="14"/>
        <v>0</v>
      </c>
      <c r="N72" s="11">
        <f t="shared" si="15"/>
        <v>0</v>
      </c>
      <c r="O72" s="11">
        <f t="shared" si="16"/>
        <v>0</v>
      </c>
      <c r="P72" s="12">
        <f t="shared" si="17"/>
        <v>0</v>
      </c>
      <c r="Q72" s="17" t="str">
        <f t="shared" si="19"/>
        <v>Pas d'écart</v>
      </c>
    </row>
    <row r="73" spans="1:18" x14ac:dyDescent="0.3">
      <c r="A73" s="34" t="str">
        <f>base!J73</f>
        <v>RM</v>
      </c>
      <c r="B73" s="34" t="str">
        <f>base!V73</f>
        <v>56520</v>
      </c>
      <c r="C73" s="37">
        <v>56</v>
      </c>
      <c r="D73" s="36">
        <f>base!H73</f>
        <v>140</v>
      </c>
      <c r="E73" s="44"/>
      <c r="F73" s="16">
        <f>base!W73</f>
        <v>0</v>
      </c>
      <c r="G73" s="11">
        <f t="shared" si="10"/>
        <v>0</v>
      </c>
      <c r="H73" s="11">
        <f t="shared" si="11"/>
        <v>37.800000000000004</v>
      </c>
      <c r="I73" s="11">
        <f t="shared" si="12"/>
        <v>0.27</v>
      </c>
      <c r="J73" s="12">
        <f t="shared" si="13"/>
        <v>-37.800000000000004</v>
      </c>
      <c r="K73" s="17" t="str">
        <f t="shared" si="18"/>
        <v>Ecart négatif</v>
      </c>
      <c r="L73" s="16">
        <f>base!X73</f>
        <v>0</v>
      </c>
      <c r="M73" s="11">
        <f t="shared" si="14"/>
        <v>0</v>
      </c>
      <c r="N73" s="11">
        <f t="shared" si="15"/>
        <v>0</v>
      </c>
      <c r="O73" s="11">
        <f t="shared" si="16"/>
        <v>0</v>
      </c>
      <c r="P73" s="12">
        <f t="shared" si="17"/>
        <v>0</v>
      </c>
      <c r="Q73" s="17" t="str">
        <f t="shared" si="19"/>
        <v>Pas d'écart</v>
      </c>
    </row>
    <row r="74" spans="1:18" x14ac:dyDescent="0.3">
      <c r="A74" s="34" t="str">
        <f>base!J74</f>
        <v>LM</v>
      </c>
      <c r="B74" s="34" t="str">
        <f>base!V74</f>
        <v>87000</v>
      </c>
      <c r="C74" s="37">
        <v>35</v>
      </c>
      <c r="D74" s="36">
        <f>base!H74</f>
        <v>55.16</v>
      </c>
      <c r="E74" s="44"/>
      <c r="F74" s="16">
        <f>base!W74</f>
        <v>16</v>
      </c>
      <c r="G74" s="11">
        <f t="shared" si="10"/>
        <v>0.29006526468455407</v>
      </c>
      <c r="H74" s="11">
        <f t="shared" si="11"/>
        <v>14.8932</v>
      </c>
      <c r="I74" s="11">
        <f t="shared" si="12"/>
        <v>0.27</v>
      </c>
      <c r="J74" s="12">
        <f t="shared" si="13"/>
        <v>1.1067999999999998</v>
      </c>
      <c r="K74" s="17" t="str">
        <f t="shared" si="18"/>
        <v>Ecart positif</v>
      </c>
      <c r="L74" s="16">
        <f>base!X74</f>
        <v>0</v>
      </c>
      <c r="M74" s="11">
        <f t="shared" si="14"/>
        <v>0</v>
      </c>
      <c r="N74" s="11">
        <f t="shared" si="15"/>
        <v>0</v>
      </c>
      <c r="O74" s="11">
        <f t="shared" si="16"/>
        <v>0</v>
      </c>
      <c r="P74" s="12">
        <f t="shared" si="17"/>
        <v>0</v>
      </c>
      <c r="Q74" s="17" t="str">
        <f t="shared" si="19"/>
        <v>Pas d'écart</v>
      </c>
    </row>
    <row r="75" spans="1:18" x14ac:dyDescent="0.3">
      <c r="A75" s="34" t="str">
        <f>base!J75</f>
        <v>LM</v>
      </c>
      <c r="B75" s="34" t="str">
        <f>base!V75</f>
        <v>73200</v>
      </c>
      <c r="C75" s="37">
        <v>34</v>
      </c>
      <c r="D75" s="36">
        <f>base!H75</f>
        <v>55.16</v>
      </c>
      <c r="E75" s="44"/>
      <c r="F75" s="16">
        <f>base!W75</f>
        <v>14.89</v>
      </c>
      <c r="G75" s="11">
        <f t="shared" si="10"/>
        <v>0.26994198694706312</v>
      </c>
      <c r="H75" s="11">
        <f t="shared" si="11"/>
        <v>21.5124</v>
      </c>
      <c r="I75" s="11">
        <f t="shared" si="12"/>
        <v>0.39</v>
      </c>
      <c r="J75" s="12">
        <f t="shared" si="13"/>
        <v>-6.622399999999999</v>
      </c>
      <c r="K75" s="17" t="str">
        <f t="shared" si="18"/>
        <v>Ecart négatif</v>
      </c>
      <c r="L75" s="16">
        <f>base!X75</f>
        <v>0</v>
      </c>
      <c r="M75" s="11">
        <f t="shared" si="14"/>
        <v>0</v>
      </c>
      <c r="N75" s="11">
        <f t="shared" si="15"/>
        <v>15.444800000000001</v>
      </c>
      <c r="O75" s="11">
        <f t="shared" si="16"/>
        <v>0.28000000000000003</v>
      </c>
      <c r="P75" s="12">
        <f t="shared" si="17"/>
        <v>-15.444800000000001</v>
      </c>
      <c r="Q75" s="17" t="str">
        <f t="shared" si="19"/>
        <v>Ecart négatif</v>
      </c>
    </row>
    <row r="76" spans="1:18" x14ac:dyDescent="0.3">
      <c r="A76" s="34" t="str">
        <f>base!J76</f>
        <v>LM</v>
      </c>
      <c r="B76" s="34" t="str">
        <f>base!V76</f>
        <v>75018</v>
      </c>
      <c r="C76" s="37">
        <v>75</v>
      </c>
      <c r="D76" s="36">
        <f>base!H76</f>
        <v>20.23</v>
      </c>
      <c r="E76" s="44"/>
      <c r="F76" s="16">
        <f>base!W76</f>
        <v>0</v>
      </c>
      <c r="G76" s="11">
        <f t="shared" si="10"/>
        <v>0</v>
      </c>
      <c r="H76" s="11">
        <f t="shared" si="11"/>
        <v>0</v>
      </c>
      <c r="I76" s="11">
        <f t="shared" si="12"/>
        <v>0</v>
      </c>
      <c r="J76" s="12">
        <f t="shared" si="13"/>
        <v>0</v>
      </c>
      <c r="K76" s="17" t="str">
        <f t="shared" si="18"/>
        <v>Pas d'écart</v>
      </c>
      <c r="L76" s="16">
        <f>base!X76</f>
        <v>0</v>
      </c>
      <c r="M76" s="11">
        <f t="shared" si="14"/>
        <v>0</v>
      </c>
      <c r="N76" s="11">
        <f t="shared" si="15"/>
        <v>0</v>
      </c>
      <c r="O76" s="11">
        <f t="shared" si="16"/>
        <v>0</v>
      </c>
      <c r="P76" s="12">
        <f t="shared" si="17"/>
        <v>0</v>
      </c>
      <c r="Q76" s="17" t="str">
        <f t="shared" si="19"/>
        <v>Pas d'écart</v>
      </c>
    </row>
    <row r="77" spans="1:18" x14ac:dyDescent="0.3">
      <c r="A77" s="34" t="str">
        <f>base!J77</f>
        <v>LM</v>
      </c>
      <c r="B77" s="34" t="str">
        <f>base!V77</f>
        <v>75018</v>
      </c>
      <c r="C77" s="37">
        <v>75</v>
      </c>
      <c r="D77" s="36">
        <f>base!H77</f>
        <v>20.23</v>
      </c>
      <c r="E77" s="44"/>
      <c r="F77" s="16">
        <f>base!W77</f>
        <v>0</v>
      </c>
      <c r="G77" s="11">
        <f t="shared" si="10"/>
        <v>0</v>
      </c>
      <c r="H77" s="11">
        <f t="shared" si="11"/>
        <v>0</v>
      </c>
      <c r="I77" s="11">
        <f t="shared" si="12"/>
        <v>0</v>
      </c>
      <c r="J77" s="12">
        <f t="shared" si="13"/>
        <v>0</v>
      </c>
      <c r="K77" s="17" t="str">
        <f t="shared" si="18"/>
        <v>Pas d'écart</v>
      </c>
      <c r="L77" s="16">
        <f>base!X77</f>
        <v>0</v>
      </c>
      <c r="M77" s="11">
        <f t="shared" si="14"/>
        <v>0</v>
      </c>
      <c r="N77" s="11">
        <f t="shared" si="15"/>
        <v>0</v>
      </c>
      <c r="O77" s="11">
        <f t="shared" si="16"/>
        <v>0</v>
      </c>
      <c r="P77" s="12">
        <f t="shared" si="17"/>
        <v>0</v>
      </c>
      <c r="Q77" s="17" t="str">
        <f t="shared" si="19"/>
        <v>Pas d'écart</v>
      </c>
    </row>
    <row r="78" spans="1:18" x14ac:dyDescent="0.3">
      <c r="A78" s="34" t="str">
        <f>base!J78</f>
        <v>LM</v>
      </c>
      <c r="B78" s="34" t="str">
        <f>base!V78</f>
        <v>42160</v>
      </c>
      <c r="C78" s="37">
        <v>84</v>
      </c>
      <c r="D78" s="36">
        <f>base!H78</f>
        <v>114.65</v>
      </c>
      <c r="E78" s="44"/>
      <c r="F78" s="16">
        <f>base!W78</f>
        <v>30.96</v>
      </c>
      <c r="G78" s="11">
        <f t="shared" si="10"/>
        <v>0.2700392498909725</v>
      </c>
      <c r="H78" s="11">
        <f t="shared" si="11"/>
        <v>33.2485</v>
      </c>
      <c r="I78" s="11">
        <f t="shared" si="12"/>
        <v>0.28999999999999998</v>
      </c>
      <c r="J78" s="12">
        <f t="shared" si="13"/>
        <v>-2.2884999999999991</v>
      </c>
      <c r="K78" s="17" t="str">
        <f t="shared" si="18"/>
        <v>Ecart négatif</v>
      </c>
      <c r="L78" s="16">
        <f>base!X78</f>
        <v>0</v>
      </c>
      <c r="M78" s="11">
        <f t="shared" si="14"/>
        <v>0</v>
      </c>
      <c r="N78" s="11">
        <f t="shared" si="15"/>
        <v>21.7835</v>
      </c>
      <c r="O78" s="11">
        <f t="shared" si="16"/>
        <v>0.19</v>
      </c>
      <c r="P78" s="12">
        <f t="shared" si="17"/>
        <v>-21.7835</v>
      </c>
      <c r="Q78" s="17" t="str">
        <f t="shared" si="19"/>
        <v>Ecart négatif</v>
      </c>
    </row>
    <row r="79" spans="1:18" x14ac:dyDescent="0.3">
      <c r="A79" s="34" t="str">
        <f>base!J79</f>
        <v>LS</v>
      </c>
      <c r="B79" s="34" t="str">
        <f>base!V79</f>
        <v>62200</v>
      </c>
      <c r="C79" s="37">
        <v>49</v>
      </c>
      <c r="D79" s="36">
        <f>base!H79</f>
        <v>24.2</v>
      </c>
      <c r="E79" s="44"/>
      <c r="F79" s="16">
        <f>base!W79</f>
        <v>4.5999999999999996</v>
      </c>
      <c r="G79" s="11">
        <f t="shared" si="10"/>
        <v>0.19008264462809915</v>
      </c>
      <c r="H79" s="11">
        <f t="shared" si="11"/>
        <v>6.5339999999999998</v>
      </c>
      <c r="I79" s="11">
        <f t="shared" si="12"/>
        <v>0.27</v>
      </c>
      <c r="J79" s="12">
        <f t="shared" si="13"/>
        <v>-1.9340000000000002</v>
      </c>
      <c r="K79" s="17" t="str">
        <f t="shared" si="18"/>
        <v>Ecart négatif</v>
      </c>
      <c r="L79" s="16">
        <f>base!X79</f>
        <v>0</v>
      </c>
      <c r="M79" s="11">
        <f t="shared" si="14"/>
        <v>0</v>
      </c>
      <c r="N79" s="11">
        <f t="shared" si="15"/>
        <v>0</v>
      </c>
      <c r="O79" s="11">
        <f t="shared" si="16"/>
        <v>0</v>
      </c>
      <c r="P79" s="12">
        <f t="shared" si="17"/>
        <v>0</v>
      </c>
      <c r="Q79" s="17" t="str">
        <f t="shared" si="19"/>
        <v>Pas d'écart</v>
      </c>
    </row>
    <row r="80" spans="1:18" x14ac:dyDescent="0.3">
      <c r="A80" s="34" t="str">
        <f>base!J80</f>
        <v>RS</v>
      </c>
      <c r="B80" s="34" t="str">
        <f>base!V80</f>
        <v>73200</v>
      </c>
      <c r="C80" s="37">
        <v>73</v>
      </c>
      <c r="D80" s="36">
        <f>base!H80</f>
        <v>165</v>
      </c>
      <c r="E80" s="44"/>
      <c r="F80" s="16">
        <f>base!W80</f>
        <v>0</v>
      </c>
      <c r="G80" s="11">
        <f t="shared" si="10"/>
        <v>0</v>
      </c>
      <c r="H80" s="11">
        <f t="shared" si="11"/>
        <v>44.550000000000004</v>
      </c>
      <c r="I80" s="11">
        <f t="shared" si="12"/>
        <v>0.27</v>
      </c>
      <c r="J80" s="12">
        <f t="shared" si="13"/>
        <v>-44.550000000000004</v>
      </c>
      <c r="K80" s="17" t="str">
        <f t="shared" si="18"/>
        <v>Ecart négatif</v>
      </c>
      <c r="L80" s="16">
        <f>base!X80</f>
        <v>0</v>
      </c>
      <c r="M80" s="11">
        <f t="shared" si="14"/>
        <v>0</v>
      </c>
      <c r="N80" s="11">
        <f t="shared" si="15"/>
        <v>0</v>
      </c>
      <c r="O80" s="11">
        <f t="shared" si="16"/>
        <v>0</v>
      </c>
      <c r="P80" s="12">
        <f t="shared" si="17"/>
        <v>0</v>
      </c>
      <c r="Q80" s="17" t="str">
        <f t="shared" si="19"/>
        <v>Pas d'écart</v>
      </c>
    </row>
    <row r="81" spans="1:18" x14ac:dyDescent="0.3">
      <c r="A81" s="34" t="str">
        <f>base!J81</f>
        <v>LM</v>
      </c>
      <c r="B81" s="34" t="str">
        <f>base!V81</f>
        <v>51320</v>
      </c>
      <c r="C81" s="37">
        <v>6</v>
      </c>
      <c r="D81" s="36">
        <f>base!H81</f>
        <v>69.34</v>
      </c>
      <c r="E81" s="44"/>
      <c r="F81" s="16">
        <f>base!W81</f>
        <v>17.34</v>
      </c>
      <c r="G81" s="11">
        <f t="shared" si="10"/>
        <v>0.25007210845111044</v>
      </c>
      <c r="H81" s="11">
        <f t="shared" si="11"/>
        <v>20.802</v>
      </c>
      <c r="I81" s="11">
        <f t="shared" si="12"/>
        <v>0.3</v>
      </c>
      <c r="J81" s="12">
        <f t="shared" si="13"/>
        <v>-3.4619999999999997</v>
      </c>
      <c r="K81" s="17" t="str">
        <f t="shared" si="18"/>
        <v>Ecart négatif</v>
      </c>
      <c r="L81" s="16">
        <f>base!X81</f>
        <v>0</v>
      </c>
      <c r="M81" s="11">
        <f t="shared" si="14"/>
        <v>0</v>
      </c>
      <c r="N81" s="11">
        <f t="shared" si="15"/>
        <v>14.561400000000001</v>
      </c>
      <c r="O81" s="11">
        <f t="shared" si="16"/>
        <v>0.21</v>
      </c>
      <c r="P81" s="12">
        <f t="shared" si="17"/>
        <v>-14.561400000000001</v>
      </c>
      <c r="Q81" s="17" t="str">
        <f t="shared" si="19"/>
        <v>Ecart négatif</v>
      </c>
    </row>
    <row r="82" spans="1:18" x14ac:dyDescent="0.3">
      <c r="A82" s="34" t="str">
        <f>base!J82</f>
        <v>LS</v>
      </c>
      <c r="B82" s="34" t="str">
        <f>base!V82</f>
        <v>56650</v>
      </c>
      <c r="C82" s="37">
        <v>63</v>
      </c>
      <c r="D82" s="36">
        <f>base!H82</f>
        <v>55.34</v>
      </c>
      <c r="E82" s="44"/>
      <c r="F82" s="16">
        <f>base!W82</f>
        <v>14.94</v>
      </c>
      <c r="G82" s="11">
        <f t="shared" si="10"/>
        <v>0.26996747379833752</v>
      </c>
      <c r="H82" s="11">
        <f t="shared" si="11"/>
        <v>16.0486</v>
      </c>
      <c r="I82" s="11">
        <f t="shared" si="12"/>
        <v>0.28999999999999998</v>
      </c>
      <c r="J82" s="12">
        <f t="shared" si="13"/>
        <v>-1.1086000000000009</v>
      </c>
      <c r="K82" s="17" t="str">
        <f t="shared" si="18"/>
        <v>Ecart négatif</v>
      </c>
      <c r="L82" s="16">
        <f>base!X82</f>
        <v>0</v>
      </c>
      <c r="M82" s="11">
        <f t="shared" si="14"/>
        <v>0</v>
      </c>
      <c r="N82" s="11">
        <f t="shared" si="15"/>
        <v>6.6408000000000005</v>
      </c>
      <c r="O82" s="11">
        <f t="shared" si="16"/>
        <v>0.12</v>
      </c>
      <c r="P82" s="12">
        <f t="shared" si="17"/>
        <v>-6.6408000000000005</v>
      </c>
      <c r="Q82" s="17" t="str">
        <f t="shared" si="19"/>
        <v>Ecart négatif</v>
      </c>
    </row>
    <row r="83" spans="1:18" x14ac:dyDescent="0.3">
      <c r="A83" s="34" t="str">
        <f>base!J83</f>
        <v>LM</v>
      </c>
      <c r="B83" s="34" t="str">
        <f>base!V83</f>
        <v>92000</v>
      </c>
      <c r="C83" s="37">
        <v>92</v>
      </c>
      <c r="D83" s="36">
        <f>base!H83</f>
        <v>208.21</v>
      </c>
      <c r="E83" s="44"/>
      <c r="F83" s="16">
        <f>base!W83</f>
        <v>0</v>
      </c>
      <c r="G83" s="11">
        <f t="shared" si="10"/>
        <v>0</v>
      </c>
      <c r="H83" s="11">
        <f t="shared" si="11"/>
        <v>0</v>
      </c>
      <c r="I83" s="11">
        <f t="shared" si="12"/>
        <v>0</v>
      </c>
      <c r="J83" s="12">
        <f t="shared" si="13"/>
        <v>0</v>
      </c>
      <c r="K83" s="17" t="str">
        <f t="shared" si="18"/>
        <v>Pas d'écart</v>
      </c>
      <c r="L83" s="16">
        <f>base!X83</f>
        <v>0</v>
      </c>
      <c r="M83" s="11">
        <f t="shared" si="14"/>
        <v>0</v>
      </c>
      <c r="N83" s="11">
        <f t="shared" si="15"/>
        <v>0</v>
      </c>
      <c r="O83" s="11">
        <f t="shared" si="16"/>
        <v>0</v>
      </c>
      <c r="P83" s="12">
        <f t="shared" si="17"/>
        <v>0</v>
      </c>
      <c r="Q83" s="17" t="str">
        <f t="shared" si="19"/>
        <v>Pas d'écart</v>
      </c>
    </row>
    <row r="84" spans="1:18" x14ac:dyDescent="0.3">
      <c r="A84" s="34" t="str">
        <f>base!J84</f>
        <v>LS</v>
      </c>
      <c r="B84" s="34" t="str">
        <f>base!V84</f>
        <v>68390</v>
      </c>
      <c r="C84" s="37">
        <v>83</v>
      </c>
      <c r="D84" s="36">
        <f>base!H84</f>
        <v>43.44</v>
      </c>
      <c r="E84" s="44"/>
      <c r="F84" s="16">
        <f>base!W84</f>
        <v>12.6</v>
      </c>
      <c r="G84" s="11">
        <f t="shared" si="10"/>
        <v>0.29005524861878451</v>
      </c>
      <c r="H84" s="11">
        <f t="shared" si="11"/>
        <v>13.031999999999998</v>
      </c>
      <c r="I84" s="11">
        <f t="shared" si="12"/>
        <v>0.3</v>
      </c>
      <c r="J84" s="12">
        <f t="shared" si="13"/>
        <v>-0.43199999999999861</v>
      </c>
      <c r="K84" s="17" t="str">
        <f t="shared" si="18"/>
        <v>Ecart négatif</v>
      </c>
      <c r="L84" s="16">
        <f>base!X84</f>
        <v>0</v>
      </c>
      <c r="M84" s="11">
        <f t="shared" si="14"/>
        <v>0</v>
      </c>
      <c r="N84" s="11">
        <f t="shared" si="15"/>
        <v>9.122399999999999</v>
      </c>
      <c r="O84" s="11">
        <f t="shared" si="16"/>
        <v>0.21</v>
      </c>
      <c r="P84" s="12">
        <f t="shared" si="17"/>
        <v>-9.122399999999999</v>
      </c>
      <c r="Q84" s="17" t="str">
        <f t="shared" si="19"/>
        <v>Ecart négatif</v>
      </c>
    </row>
    <row r="85" spans="1:18" x14ac:dyDescent="0.3">
      <c r="A85" s="34" t="str">
        <f>base!J85</f>
        <v>LS</v>
      </c>
      <c r="B85" s="34" t="str">
        <f>base!V85</f>
        <v>44000</v>
      </c>
      <c r="C85" s="37">
        <v>62</v>
      </c>
      <c r="D85" s="36">
        <f>base!H85</f>
        <v>2.19</v>
      </c>
      <c r="E85" s="44"/>
      <c r="F85" s="16">
        <f>base!W85</f>
        <v>0.59</v>
      </c>
      <c r="G85" s="11">
        <f t="shared" si="10"/>
        <v>0.26940639269406391</v>
      </c>
      <c r="H85" s="11">
        <f t="shared" si="11"/>
        <v>0.41609999999999997</v>
      </c>
      <c r="I85" s="11">
        <f t="shared" si="12"/>
        <v>0.19</v>
      </c>
      <c r="J85" s="12">
        <f t="shared" si="13"/>
        <v>0.1739</v>
      </c>
      <c r="K85" s="17" t="str">
        <f t="shared" si="18"/>
        <v>Ecart positif</v>
      </c>
      <c r="L85" s="16">
        <f>base!X85</f>
        <v>0</v>
      </c>
      <c r="M85" s="11">
        <f t="shared" si="14"/>
        <v>0</v>
      </c>
      <c r="N85" s="11">
        <f t="shared" si="15"/>
        <v>0</v>
      </c>
      <c r="O85" s="11">
        <f t="shared" si="16"/>
        <v>0</v>
      </c>
      <c r="P85" s="12">
        <f t="shared" si="17"/>
        <v>0</v>
      </c>
      <c r="Q85" s="17" t="str">
        <f t="shared" si="19"/>
        <v>Pas d'écart</v>
      </c>
    </row>
    <row r="86" spans="1:18" x14ac:dyDescent="0.3">
      <c r="A86" s="34" t="str">
        <f>base!J86</f>
        <v>RM</v>
      </c>
      <c r="B86" s="34" t="str">
        <f>base!V86</f>
        <v>77183</v>
      </c>
      <c r="C86" s="37">
        <v>77</v>
      </c>
      <c r="D86" s="36">
        <f>base!H86</f>
        <v>180</v>
      </c>
      <c r="E86" s="44"/>
      <c r="F86" s="16">
        <f>base!W86</f>
        <v>0</v>
      </c>
      <c r="G86" s="11">
        <f t="shared" si="10"/>
        <v>0</v>
      </c>
      <c r="H86" s="11">
        <f t="shared" si="11"/>
        <v>0</v>
      </c>
      <c r="I86" s="11">
        <f t="shared" si="12"/>
        <v>0</v>
      </c>
      <c r="J86" s="12">
        <f t="shared" si="13"/>
        <v>0</v>
      </c>
      <c r="K86" s="17" t="str">
        <f t="shared" si="18"/>
        <v>Pas d'écart</v>
      </c>
      <c r="L86" s="16">
        <f>base!X86</f>
        <v>0</v>
      </c>
      <c r="M86" s="11">
        <f t="shared" si="14"/>
        <v>0</v>
      </c>
      <c r="N86" s="11">
        <f t="shared" si="15"/>
        <v>0</v>
      </c>
      <c r="O86" s="11">
        <f t="shared" si="16"/>
        <v>0</v>
      </c>
      <c r="P86" s="12">
        <f t="shared" si="17"/>
        <v>0</v>
      </c>
      <c r="Q86" s="17" t="str">
        <f t="shared" si="19"/>
        <v>Pas d'écart</v>
      </c>
    </row>
    <row r="87" spans="1:18" x14ac:dyDescent="0.3">
      <c r="A87" s="34" t="str">
        <f>base!J87</f>
        <v>RS</v>
      </c>
      <c r="B87" s="34" t="str">
        <f>base!V87</f>
        <v>14100</v>
      </c>
      <c r="C87" s="37">
        <v>14</v>
      </c>
      <c r="D87" s="36">
        <f>base!H87</f>
        <v>70</v>
      </c>
      <c r="E87" s="44"/>
      <c r="F87" s="16">
        <f>base!W87</f>
        <v>0</v>
      </c>
      <c r="G87" s="11">
        <f t="shared" si="10"/>
        <v>0</v>
      </c>
      <c r="H87" s="11">
        <f t="shared" si="11"/>
        <v>11.9</v>
      </c>
      <c r="I87" s="11">
        <f t="shared" si="12"/>
        <v>0.17</v>
      </c>
      <c r="J87" s="12">
        <f t="shared" si="13"/>
        <v>-11.9</v>
      </c>
      <c r="K87" s="17" t="str">
        <f t="shared" si="18"/>
        <v>Ecart négatif</v>
      </c>
      <c r="L87" s="16">
        <f>base!X87</f>
        <v>11.9</v>
      </c>
      <c r="M87" s="11">
        <f t="shared" si="14"/>
        <v>0.17</v>
      </c>
      <c r="N87" s="11">
        <f t="shared" si="15"/>
        <v>11.9</v>
      </c>
      <c r="O87" s="11">
        <f t="shared" si="16"/>
        <v>0.17</v>
      </c>
      <c r="P87" s="12">
        <f t="shared" si="17"/>
        <v>0</v>
      </c>
      <c r="Q87" s="17" t="str">
        <f t="shared" si="19"/>
        <v>Pas d'écart</v>
      </c>
    </row>
    <row r="88" spans="1:18" x14ac:dyDescent="0.3">
      <c r="A88" s="34" t="str">
        <f>base!J88</f>
        <v>RS</v>
      </c>
      <c r="B88" s="34" t="str">
        <f>base!V88</f>
        <v>31770</v>
      </c>
      <c r="C88" s="37">
        <v>31</v>
      </c>
      <c r="D88" s="36">
        <f>base!H88</f>
        <v>90</v>
      </c>
      <c r="E88" s="44"/>
      <c r="F88" s="16">
        <f>base!W88</f>
        <v>0</v>
      </c>
      <c r="G88" s="11">
        <f t="shared" si="10"/>
        <v>0</v>
      </c>
      <c r="H88" s="11">
        <f t="shared" si="11"/>
        <v>17.100000000000001</v>
      </c>
      <c r="I88" s="11">
        <f t="shared" si="12"/>
        <v>0.19</v>
      </c>
      <c r="J88" s="12">
        <f t="shared" si="13"/>
        <v>-17.100000000000001</v>
      </c>
      <c r="K88" s="17" t="str">
        <f t="shared" si="18"/>
        <v>Ecart négatif</v>
      </c>
      <c r="L88" s="16">
        <f>base!X88</f>
        <v>19.8</v>
      </c>
      <c r="M88" s="11">
        <f t="shared" si="14"/>
        <v>0.22</v>
      </c>
      <c r="N88" s="11">
        <f t="shared" si="15"/>
        <v>23.400000000000002</v>
      </c>
      <c r="O88" s="11">
        <f t="shared" si="16"/>
        <v>0.26</v>
      </c>
      <c r="P88" s="12">
        <f t="shared" si="17"/>
        <v>-3.6000000000000014</v>
      </c>
      <c r="Q88" s="17" t="str">
        <f t="shared" si="19"/>
        <v>Ecart négatif</v>
      </c>
    </row>
    <row r="89" spans="1:18" x14ac:dyDescent="0.3">
      <c r="A89" s="34" t="str">
        <f>base!J89</f>
        <v>RM</v>
      </c>
      <c r="B89" s="34" t="str">
        <f>base!V89</f>
        <v>34400</v>
      </c>
      <c r="C89" s="37">
        <v>34</v>
      </c>
      <c r="D89" s="36">
        <f>base!H89</f>
        <v>140</v>
      </c>
      <c r="E89" s="44"/>
      <c r="F89" s="16">
        <f>base!W89</f>
        <v>0</v>
      </c>
      <c r="G89" s="11">
        <f t="shared" si="10"/>
        <v>0</v>
      </c>
      <c r="H89" s="11">
        <f t="shared" si="11"/>
        <v>54.6</v>
      </c>
      <c r="I89" s="11">
        <f t="shared" si="12"/>
        <v>0.39</v>
      </c>
      <c r="J89" s="12">
        <f t="shared" si="13"/>
        <v>-54.6</v>
      </c>
      <c r="K89" s="17" t="str">
        <f t="shared" si="18"/>
        <v>Ecart négatif</v>
      </c>
      <c r="L89" s="16">
        <f>base!X89</f>
        <v>39.200000000000003</v>
      </c>
      <c r="M89" s="11">
        <f t="shared" si="14"/>
        <v>0.28000000000000003</v>
      </c>
      <c r="N89" s="11">
        <f t="shared" si="15"/>
        <v>39.200000000000003</v>
      </c>
      <c r="O89" s="11">
        <f t="shared" si="16"/>
        <v>0.28000000000000003</v>
      </c>
      <c r="P89" s="12">
        <f t="shared" si="17"/>
        <v>0</v>
      </c>
      <c r="Q89" s="17" t="str">
        <f t="shared" si="19"/>
        <v>Pas d'écart</v>
      </c>
      <c r="R89" s="38"/>
    </row>
    <row r="90" spans="1:18" x14ac:dyDescent="0.3">
      <c r="A90" s="34" t="str">
        <f>base!J90</f>
        <v>LM</v>
      </c>
      <c r="B90" s="34" t="str">
        <f>base!V90</f>
        <v>67300</v>
      </c>
      <c r="C90" s="37">
        <v>25</v>
      </c>
      <c r="D90" s="36">
        <f>base!H90</f>
        <v>69.34</v>
      </c>
      <c r="E90" s="44"/>
      <c r="F90" s="16">
        <f>base!W90</f>
        <v>20.11</v>
      </c>
      <c r="G90" s="11">
        <f t="shared" si="10"/>
        <v>0.29002019036631088</v>
      </c>
      <c r="H90" s="11">
        <f t="shared" si="11"/>
        <v>16.6416</v>
      </c>
      <c r="I90" s="11">
        <f t="shared" si="12"/>
        <v>0.24</v>
      </c>
      <c r="J90" s="12">
        <f t="shared" si="13"/>
        <v>3.468399999999999</v>
      </c>
      <c r="K90" s="17" t="str">
        <f t="shared" si="18"/>
        <v>Ecart positif</v>
      </c>
      <c r="L90" s="16">
        <f>base!X90</f>
        <v>0</v>
      </c>
      <c r="M90" s="11">
        <f t="shared" si="14"/>
        <v>0</v>
      </c>
      <c r="N90" s="11">
        <f t="shared" si="15"/>
        <v>8.3208000000000002</v>
      </c>
      <c r="O90" s="11">
        <f t="shared" si="16"/>
        <v>0.12</v>
      </c>
      <c r="P90" s="12">
        <f t="shared" si="17"/>
        <v>-8.3208000000000002</v>
      </c>
      <c r="Q90" s="17" t="str">
        <f t="shared" si="19"/>
        <v>Ecart négatif</v>
      </c>
    </row>
    <row r="91" spans="1:18" x14ac:dyDescent="0.3">
      <c r="A91" s="34" t="str">
        <f>base!J91</f>
        <v>LS</v>
      </c>
      <c r="B91" s="34" t="str">
        <f>base!V91</f>
        <v>14150</v>
      </c>
      <c r="C91" s="37">
        <v>83</v>
      </c>
      <c r="D91" s="36">
        <f>base!H91</f>
        <v>2.1800000000000002</v>
      </c>
      <c r="E91" s="44"/>
      <c r="F91" s="16">
        <f>base!W91</f>
        <v>0.37</v>
      </c>
      <c r="G91" s="11">
        <f t="shared" si="10"/>
        <v>0.16972477064220182</v>
      </c>
      <c r="H91" s="11">
        <f t="shared" si="11"/>
        <v>0.65400000000000003</v>
      </c>
      <c r="I91" s="11">
        <f t="shared" si="12"/>
        <v>0.3</v>
      </c>
      <c r="J91" s="12">
        <f t="shared" si="13"/>
        <v>-0.28400000000000003</v>
      </c>
      <c r="K91" s="17" t="str">
        <f t="shared" si="18"/>
        <v>Ecart négatif</v>
      </c>
      <c r="L91" s="16">
        <f>base!X91</f>
        <v>0</v>
      </c>
      <c r="M91" s="11">
        <f t="shared" si="14"/>
        <v>0</v>
      </c>
      <c r="N91" s="11">
        <f t="shared" si="15"/>
        <v>0.45780000000000004</v>
      </c>
      <c r="O91" s="11">
        <f t="shared" si="16"/>
        <v>0.21</v>
      </c>
      <c r="P91" s="12">
        <f t="shared" si="17"/>
        <v>-0.45780000000000004</v>
      </c>
      <c r="Q91" s="17" t="str">
        <f t="shared" si="19"/>
        <v>Ecart négatif</v>
      </c>
    </row>
    <row r="92" spans="1:18" x14ac:dyDescent="0.3">
      <c r="A92" s="34" t="str">
        <f>base!J92</f>
        <v>LM</v>
      </c>
      <c r="B92" s="34" t="str">
        <f>base!V92</f>
        <v>57000</v>
      </c>
      <c r="C92" s="37">
        <v>25</v>
      </c>
      <c r="D92" s="36">
        <f>base!H92</f>
        <v>12</v>
      </c>
      <c r="E92" s="44"/>
      <c r="F92" s="16">
        <f>base!W92</f>
        <v>3</v>
      </c>
      <c r="G92" s="11">
        <f t="shared" si="10"/>
        <v>0.25</v>
      </c>
      <c r="H92" s="11">
        <f t="shared" si="11"/>
        <v>2.88</v>
      </c>
      <c r="I92" s="11">
        <f t="shared" si="12"/>
        <v>0.24</v>
      </c>
      <c r="J92" s="12">
        <f t="shared" si="13"/>
        <v>0.12000000000000011</v>
      </c>
      <c r="K92" s="17" t="str">
        <f t="shared" si="18"/>
        <v>Ecart positif</v>
      </c>
      <c r="L92" s="16">
        <f>base!X92</f>
        <v>0</v>
      </c>
      <c r="M92" s="11">
        <f t="shared" si="14"/>
        <v>0</v>
      </c>
      <c r="N92" s="11">
        <f t="shared" si="15"/>
        <v>1.44</v>
      </c>
      <c r="O92" s="11">
        <f t="shared" si="16"/>
        <v>0.12</v>
      </c>
      <c r="P92" s="12">
        <f t="shared" si="17"/>
        <v>-1.44</v>
      </c>
      <c r="Q92" s="17" t="str">
        <f t="shared" si="19"/>
        <v>Ecart négatif</v>
      </c>
    </row>
    <row r="93" spans="1:18" x14ac:dyDescent="0.3">
      <c r="A93" s="34" t="str">
        <f>base!J93</f>
        <v>RM</v>
      </c>
      <c r="B93" s="34" t="str">
        <f>base!V93</f>
        <v>37600</v>
      </c>
      <c r="C93" s="37">
        <v>37</v>
      </c>
      <c r="D93" s="36">
        <f>base!H93</f>
        <v>250</v>
      </c>
      <c r="E93" s="44"/>
      <c r="F93" s="16">
        <f>base!W93</f>
        <v>0</v>
      </c>
      <c r="G93" s="11">
        <f t="shared" si="10"/>
        <v>0</v>
      </c>
      <c r="H93" s="11">
        <f t="shared" si="11"/>
        <v>47.5</v>
      </c>
      <c r="I93" s="11">
        <f t="shared" si="12"/>
        <v>0.19</v>
      </c>
      <c r="J93" s="12">
        <f t="shared" si="13"/>
        <v>-47.5</v>
      </c>
      <c r="K93" s="17" t="str">
        <f t="shared" si="18"/>
        <v>Ecart négatif</v>
      </c>
      <c r="L93" s="16">
        <f>base!X93</f>
        <v>30</v>
      </c>
      <c r="M93" s="11">
        <f t="shared" si="14"/>
        <v>0.12</v>
      </c>
      <c r="N93" s="11">
        <f t="shared" si="15"/>
        <v>30</v>
      </c>
      <c r="O93" s="11">
        <f t="shared" si="16"/>
        <v>0.12</v>
      </c>
      <c r="P93" s="12">
        <f t="shared" si="17"/>
        <v>0</v>
      </c>
      <c r="Q93" s="17" t="str">
        <f t="shared" si="19"/>
        <v>Pas d'écart</v>
      </c>
      <c r="R93" s="38"/>
    </row>
    <row r="94" spans="1:18" x14ac:dyDescent="0.3">
      <c r="A94" s="34" t="str">
        <f>base!J94</f>
        <v>LS</v>
      </c>
      <c r="B94" s="34" t="str">
        <f>base!V94</f>
        <v>29600</v>
      </c>
      <c r="C94" s="37">
        <v>27</v>
      </c>
      <c r="D94" s="36">
        <f>base!H94</f>
        <v>0.1</v>
      </c>
      <c r="E94" s="44"/>
      <c r="F94" s="16">
        <f>base!W94</f>
        <v>0.04</v>
      </c>
      <c r="G94" s="11">
        <f t="shared" si="10"/>
        <v>0.39999999999999997</v>
      </c>
      <c r="H94" s="11">
        <f t="shared" si="11"/>
        <v>1.7000000000000001E-2</v>
      </c>
      <c r="I94" s="11">
        <f t="shared" si="12"/>
        <v>0.17</v>
      </c>
      <c r="J94" s="12">
        <f t="shared" si="13"/>
        <v>2.3E-2</v>
      </c>
      <c r="K94" s="17" t="str">
        <f t="shared" si="18"/>
        <v>Ecart positif</v>
      </c>
      <c r="L94" s="16">
        <f>base!X94</f>
        <v>0</v>
      </c>
      <c r="M94" s="11">
        <f t="shared" si="14"/>
        <v>0</v>
      </c>
      <c r="N94" s="11">
        <f t="shared" si="15"/>
        <v>1.7000000000000001E-2</v>
      </c>
      <c r="O94" s="11">
        <f t="shared" si="16"/>
        <v>0.17</v>
      </c>
      <c r="P94" s="12">
        <f t="shared" si="17"/>
        <v>-1.7000000000000001E-2</v>
      </c>
      <c r="Q94" s="17" t="str">
        <f t="shared" si="19"/>
        <v>Ecart négatif</v>
      </c>
    </row>
    <row r="95" spans="1:18" x14ac:dyDescent="0.3">
      <c r="A95" s="34" t="str">
        <f>base!J95</f>
        <v>RS</v>
      </c>
      <c r="B95" s="34" t="str">
        <f>base!V95</f>
        <v>72470</v>
      </c>
      <c r="C95" s="37">
        <v>72</v>
      </c>
      <c r="D95" s="36">
        <f>base!H95</f>
        <v>30</v>
      </c>
      <c r="E95" s="44"/>
      <c r="F95" s="16">
        <f>base!W95</f>
        <v>0</v>
      </c>
      <c r="G95" s="11">
        <f t="shared" si="10"/>
        <v>0</v>
      </c>
      <c r="H95" s="11">
        <f t="shared" si="11"/>
        <v>6.3</v>
      </c>
      <c r="I95" s="11">
        <f t="shared" si="12"/>
        <v>0.21</v>
      </c>
      <c r="J95" s="12">
        <f t="shared" si="13"/>
        <v>-6.3</v>
      </c>
      <c r="K95" s="17" t="str">
        <f t="shared" si="18"/>
        <v>Ecart négatif</v>
      </c>
      <c r="L95" s="16">
        <f>base!X95</f>
        <v>3.6</v>
      </c>
      <c r="M95" s="11">
        <f t="shared" si="14"/>
        <v>0.12000000000000001</v>
      </c>
      <c r="N95" s="11">
        <f t="shared" si="15"/>
        <v>3.5999999999999996</v>
      </c>
      <c r="O95" s="11">
        <f t="shared" si="16"/>
        <v>0.11999999999999998</v>
      </c>
      <c r="P95" s="12">
        <f t="shared" si="17"/>
        <v>0</v>
      </c>
      <c r="Q95" s="17" t="str">
        <f t="shared" si="19"/>
        <v>Pas d'écart</v>
      </c>
      <c r="R95" s="38"/>
    </row>
    <row r="96" spans="1:18" x14ac:dyDescent="0.3">
      <c r="A96" s="34" t="str">
        <f>base!J96</f>
        <v>LS</v>
      </c>
      <c r="B96" s="34" t="str">
        <f>base!V96</f>
        <v>75012</v>
      </c>
      <c r="C96" s="37">
        <v>75</v>
      </c>
      <c r="D96" s="36">
        <f>base!H96</f>
        <v>186.98</v>
      </c>
      <c r="E96" s="44"/>
      <c r="F96" s="16">
        <f>base!W96</f>
        <v>0</v>
      </c>
      <c r="G96" s="11">
        <f t="shared" si="10"/>
        <v>0</v>
      </c>
      <c r="H96" s="11">
        <f t="shared" si="11"/>
        <v>0</v>
      </c>
      <c r="I96" s="11">
        <f t="shared" si="12"/>
        <v>0</v>
      </c>
      <c r="J96" s="12">
        <f t="shared" si="13"/>
        <v>0</v>
      </c>
      <c r="K96" s="17" t="str">
        <f t="shared" si="18"/>
        <v>Pas d'écart</v>
      </c>
      <c r="L96" s="16">
        <f>base!X96</f>
        <v>0</v>
      </c>
      <c r="M96" s="11">
        <f t="shared" si="14"/>
        <v>0</v>
      </c>
      <c r="N96" s="11">
        <f t="shared" si="15"/>
        <v>0</v>
      </c>
      <c r="O96" s="11">
        <f t="shared" si="16"/>
        <v>0</v>
      </c>
      <c r="P96" s="12">
        <f t="shared" si="17"/>
        <v>0</v>
      </c>
      <c r="Q96" s="17" t="str">
        <f t="shared" si="19"/>
        <v>Pas d'écart</v>
      </c>
    </row>
    <row r="97" spans="1:17" x14ac:dyDescent="0.3">
      <c r="A97" s="34">
        <f>base!J97</f>
        <v>0</v>
      </c>
      <c r="B97" s="34" t="str">
        <f>base!V97</f>
        <v>77184</v>
      </c>
      <c r="C97" s="37">
        <v>77</v>
      </c>
      <c r="D97" s="36">
        <f>base!H97</f>
        <v>31.6</v>
      </c>
      <c r="E97" s="44"/>
      <c r="F97" s="16">
        <f>base!W97</f>
        <v>0</v>
      </c>
      <c r="G97" s="11">
        <f t="shared" si="10"/>
        <v>0</v>
      </c>
      <c r="H97" s="11">
        <f t="shared" si="11"/>
        <v>0</v>
      </c>
      <c r="I97" s="11">
        <f t="shared" si="12"/>
        <v>0</v>
      </c>
      <c r="J97" s="12">
        <f t="shared" si="13"/>
        <v>0</v>
      </c>
      <c r="K97" s="17" t="str">
        <f t="shared" si="18"/>
        <v>Pas d'écart</v>
      </c>
      <c r="L97" s="16">
        <f>base!X97</f>
        <v>0</v>
      </c>
      <c r="M97" s="11">
        <f t="shared" si="14"/>
        <v>0</v>
      </c>
      <c r="N97" s="11">
        <f t="shared" si="15"/>
        <v>0</v>
      </c>
      <c r="O97" s="11">
        <f t="shared" si="16"/>
        <v>0</v>
      </c>
      <c r="P97" s="12">
        <f t="shared" si="17"/>
        <v>0</v>
      </c>
      <c r="Q97" s="17" t="str">
        <f t="shared" si="19"/>
        <v>Pas d'écart</v>
      </c>
    </row>
    <row r="98" spans="1:17" x14ac:dyDescent="0.3">
      <c r="A98" s="34">
        <f>base!J98</f>
        <v>0</v>
      </c>
      <c r="B98" s="34" t="str">
        <f>base!V98</f>
        <v>77184</v>
      </c>
      <c r="C98" s="37">
        <v>77</v>
      </c>
      <c r="D98" s="36">
        <f>base!H98</f>
        <v>25</v>
      </c>
      <c r="E98" s="44"/>
      <c r="F98" s="16">
        <f>base!W98</f>
        <v>0</v>
      </c>
      <c r="G98" s="11">
        <f t="shared" si="10"/>
        <v>0</v>
      </c>
      <c r="H98" s="11">
        <f t="shared" si="11"/>
        <v>0</v>
      </c>
      <c r="I98" s="11">
        <f t="shared" si="12"/>
        <v>0</v>
      </c>
      <c r="J98" s="12">
        <f t="shared" si="13"/>
        <v>0</v>
      </c>
      <c r="K98" s="17" t="str">
        <f t="shared" si="18"/>
        <v>Pas d'écart</v>
      </c>
      <c r="L98" s="16">
        <f>base!X98</f>
        <v>0</v>
      </c>
      <c r="M98" s="11">
        <f t="shared" si="14"/>
        <v>0</v>
      </c>
      <c r="N98" s="11">
        <f t="shared" si="15"/>
        <v>0</v>
      </c>
      <c r="O98" s="11">
        <f t="shared" si="16"/>
        <v>0</v>
      </c>
      <c r="P98" s="12">
        <f t="shared" si="17"/>
        <v>0</v>
      </c>
      <c r="Q98" s="17" t="str">
        <f t="shared" si="19"/>
        <v>Pas d'écart</v>
      </c>
    </row>
    <row r="99" spans="1:17" x14ac:dyDescent="0.3">
      <c r="A99" s="34">
        <f>base!J99</f>
        <v>0</v>
      </c>
      <c r="B99" s="34" t="str">
        <f>base!V99</f>
        <v>77184</v>
      </c>
      <c r="C99" s="37">
        <v>77</v>
      </c>
      <c r="D99" s="36">
        <f>base!H99</f>
        <v>37.19</v>
      </c>
      <c r="E99" s="44"/>
      <c r="F99" s="16">
        <f>base!W99</f>
        <v>0</v>
      </c>
      <c r="G99" s="11">
        <f t="shared" si="10"/>
        <v>0</v>
      </c>
      <c r="H99" s="11">
        <f t="shared" si="11"/>
        <v>0</v>
      </c>
      <c r="I99" s="11">
        <f t="shared" si="12"/>
        <v>0</v>
      </c>
      <c r="J99" s="12">
        <f t="shared" si="13"/>
        <v>0</v>
      </c>
      <c r="K99" s="17" t="str">
        <f t="shared" si="18"/>
        <v>Pas d'écart</v>
      </c>
      <c r="L99" s="16">
        <f>base!X99</f>
        <v>0</v>
      </c>
      <c r="M99" s="11">
        <f t="shared" si="14"/>
        <v>0</v>
      </c>
      <c r="N99" s="11">
        <f t="shared" si="15"/>
        <v>0</v>
      </c>
      <c r="O99" s="11">
        <f t="shared" si="16"/>
        <v>0</v>
      </c>
      <c r="P99" s="12">
        <f t="shared" si="17"/>
        <v>0</v>
      </c>
      <c r="Q99" s="17" t="str">
        <f t="shared" si="19"/>
        <v>Pas d'écart</v>
      </c>
    </row>
    <row r="100" spans="1:17" x14ac:dyDescent="0.3">
      <c r="A100" s="34">
        <f>base!J100</f>
        <v>0</v>
      </c>
      <c r="B100" s="34" t="str">
        <f>base!V100</f>
        <v>77184</v>
      </c>
      <c r="C100" s="37">
        <v>77</v>
      </c>
      <c r="D100" s="36">
        <f>base!H100</f>
        <v>105</v>
      </c>
      <c r="E100" s="44"/>
      <c r="F100" s="16">
        <f>base!W100</f>
        <v>0</v>
      </c>
      <c r="G100" s="11">
        <f t="shared" si="10"/>
        <v>0</v>
      </c>
      <c r="H100" s="11">
        <f t="shared" si="11"/>
        <v>0</v>
      </c>
      <c r="I100" s="11">
        <f t="shared" si="12"/>
        <v>0</v>
      </c>
      <c r="J100" s="12">
        <f t="shared" si="13"/>
        <v>0</v>
      </c>
      <c r="K100" s="17" t="str">
        <f t="shared" si="18"/>
        <v>Pas d'écart</v>
      </c>
      <c r="L100" s="16">
        <f>base!X100</f>
        <v>0</v>
      </c>
      <c r="M100" s="11">
        <f t="shared" si="14"/>
        <v>0</v>
      </c>
      <c r="N100" s="11">
        <f t="shared" si="15"/>
        <v>0</v>
      </c>
      <c r="O100" s="11">
        <f t="shared" si="16"/>
        <v>0</v>
      </c>
      <c r="P100" s="12">
        <f t="shared" si="17"/>
        <v>0</v>
      </c>
      <c r="Q100" s="17" t="str">
        <f t="shared" si="19"/>
        <v>Pas d'écart</v>
      </c>
    </row>
    <row r="101" spans="1:17" x14ac:dyDescent="0.3">
      <c r="A101" s="34">
        <f>base!J101</f>
        <v>0</v>
      </c>
      <c r="B101" s="34" t="str">
        <f>base!V101</f>
        <v>77184</v>
      </c>
      <c r="C101" s="37">
        <v>77</v>
      </c>
      <c r="D101" s="36">
        <f>base!H101</f>
        <v>125</v>
      </c>
      <c r="E101" s="44"/>
      <c r="F101" s="16">
        <f>base!W101</f>
        <v>0</v>
      </c>
      <c r="G101" s="11">
        <f t="shared" si="10"/>
        <v>0</v>
      </c>
      <c r="H101" s="11">
        <f t="shared" si="11"/>
        <v>0</v>
      </c>
      <c r="I101" s="11">
        <f t="shared" si="12"/>
        <v>0</v>
      </c>
      <c r="J101" s="12">
        <f t="shared" si="13"/>
        <v>0</v>
      </c>
      <c r="K101" s="17" t="str">
        <f t="shared" si="18"/>
        <v>Pas d'écart</v>
      </c>
      <c r="L101" s="16">
        <f>base!X101</f>
        <v>0</v>
      </c>
      <c r="M101" s="11">
        <f t="shared" si="14"/>
        <v>0</v>
      </c>
      <c r="N101" s="11">
        <f t="shared" si="15"/>
        <v>0</v>
      </c>
      <c r="O101" s="11">
        <f t="shared" si="16"/>
        <v>0</v>
      </c>
      <c r="P101" s="12">
        <f t="shared" si="17"/>
        <v>0</v>
      </c>
      <c r="Q101" s="17" t="str">
        <f t="shared" si="19"/>
        <v>Pas d'écart</v>
      </c>
    </row>
    <row r="102" spans="1:17" x14ac:dyDescent="0.3">
      <c r="A102" s="34">
        <f>base!J102</f>
        <v>0</v>
      </c>
      <c r="B102" s="34" t="str">
        <f>base!V102</f>
        <v>77184</v>
      </c>
      <c r="C102" s="37">
        <v>77</v>
      </c>
      <c r="D102" s="36">
        <f>base!H102</f>
        <v>68</v>
      </c>
      <c r="E102" s="44"/>
      <c r="F102" s="16">
        <f>base!W102</f>
        <v>0</v>
      </c>
      <c r="G102" s="11">
        <f t="shared" si="10"/>
        <v>0</v>
      </c>
      <c r="H102" s="11">
        <f t="shared" si="11"/>
        <v>0</v>
      </c>
      <c r="I102" s="11">
        <f t="shared" si="12"/>
        <v>0</v>
      </c>
      <c r="J102" s="12">
        <f t="shared" si="13"/>
        <v>0</v>
      </c>
      <c r="K102" s="17" t="str">
        <f t="shared" si="18"/>
        <v>Pas d'écart</v>
      </c>
      <c r="L102" s="16">
        <f>base!X102</f>
        <v>0</v>
      </c>
      <c r="M102" s="11">
        <f t="shared" si="14"/>
        <v>0</v>
      </c>
      <c r="N102" s="11">
        <f t="shared" si="15"/>
        <v>0</v>
      </c>
      <c r="O102" s="11">
        <f t="shared" si="16"/>
        <v>0</v>
      </c>
      <c r="P102" s="12">
        <f t="shared" si="17"/>
        <v>0</v>
      </c>
      <c r="Q102" s="17" t="str">
        <f t="shared" si="19"/>
        <v>Pas d'écart</v>
      </c>
    </row>
    <row r="103" spans="1:17" x14ac:dyDescent="0.3">
      <c r="A103" s="34">
        <f>base!J103</f>
        <v>0</v>
      </c>
      <c r="B103" s="34" t="str">
        <f>base!V103</f>
        <v>77184</v>
      </c>
      <c r="C103" s="37">
        <v>77</v>
      </c>
      <c r="D103" s="36">
        <f>base!H103</f>
        <v>68</v>
      </c>
      <c r="E103" s="44"/>
      <c r="F103" s="16">
        <f>base!W103</f>
        <v>0</v>
      </c>
      <c r="G103" s="11">
        <f t="shared" si="10"/>
        <v>0</v>
      </c>
      <c r="H103" s="11">
        <f t="shared" si="11"/>
        <v>0</v>
      </c>
      <c r="I103" s="11">
        <f t="shared" si="12"/>
        <v>0</v>
      </c>
      <c r="J103" s="12">
        <f t="shared" si="13"/>
        <v>0</v>
      </c>
      <c r="K103" s="17" t="str">
        <f t="shared" si="18"/>
        <v>Pas d'écart</v>
      </c>
      <c r="L103" s="16">
        <f>base!X103</f>
        <v>0</v>
      </c>
      <c r="M103" s="11">
        <f t="shared" si="14"/>
        <v>0</v>
      </c>
      <c r="N103" s="11">
        <f t="shared" si="15"/>
        <v>0</v>
      </c>
      <c r="O103" s="11">
        <f t="shared" si="16"/>
        <v>0</v>
      </c>
      <c r="P103" s="12">
        <f t="shared" si="17"/>
        <v>0</v>
      </c>
      <c r="Q103" s="17" t="str">
        <f t="shared" si="19"/>
        <v>Pas d'écart</v>
      </c>
    </row>
    <row r="104" spans="1:17" x14ac:dyDescent="0.3">
      <c r="A104" s="34" t="str">
        <f>base!J104</f>
        <v>LS</v>
      </c>
      <c r="B104" s="34" t="str">
        <f>base!V104</f>
        <v>59272</v>
      </c>
      <c r="C104" s="37">
        <v>19</v>
      </c>
      <c r="D104" s="36">
        <f>base!H104</f>
        <v>173.01</v>
      </c>
      <c r="E104" s="44"/>
      <c r="F104" s="16">
        <f>base!W104</f>
        <v>32.869999999999997</v>
      </c>
      <c r="G104" s="11">
        <f t="shared" si="10"/>
        <v>0.18998901797583953</v>
      </c>
      <c r="H104" s="11">
        <f t="shared" si="11"/>
        <v>50.172899999999991</v>
      </c>
      <c r="I104" s="11">
        <f t="shared" si="12"/>
        <v>0.28999999999999998</v>
      </c>
      <c r="J104" s="12">
        <f t="shared" si="13"/>
        <v>-17.302899999999994</v>
      </c>
      <c r="K104" s="17" t="str">
        <f t="shared" si="18"/>
        <v>Ecart négatif</v>
      </c>
      <c r="L104" s="16">
        <f>base!X104</f>
        <v>0</v>
      </c>
      <c r="M104" s="11">
        <f t="shared" si="14"/>
        <v>0</v>
      </c>
      <c r="N104" s="11">
        <f t="shared" si="15"/>
        <v>20.761199999999999</v>
      </c>
      <c r="O104" s="11">
        <f t="shared" si="16"/>
        <v>0.12</v>
      </c>
      <c r="P104" s="12">
        <f t="shared" si="17"/>
        <v>-20.761199999999999</v>
      </c>
      <c r="Q104" s="17" t="str">
        <f t="shared" si="19"/>
        <v>Ecart négatif</v>
      </c>
    </row>
    <row r="105" spans="1:17" x14ac:dyDescent="0.3">
      <c r="A105" s="34">
        <f>base!J105</f>
        <v>0</v>
      </c>
      <c r="B105" s="34" t="str">
        <f>base!V105</f>
        <v>77184</v>
      </c>
      <c r="C105" s="37">
        <v>77</v>
      </c>
      <c r="D105" s="36">
        <f>base!H105</f>
        <v>84.5</v>
      </c>
      <c r="E105" s="44"/>
      <c r="F105" s="16">
        <f>base!W105</f>
        <v>0</v>
      </c>
      <c r="G105" s="11">
        <f t="shared" si="10"/>
        <v>0</v>
      </c>
      <c r="H105" s="11">
        <f t="shared" si="11"/>
        <v>0</v>
      </c>
      <c r="I105" s="11">
        <f t="shared" si="12"/>
        <v>0</v>
      </c>
      <c r="J105" s="12">
        <f t="shared" si="13"/>
        <v>0</v>
      </c>
      <c r="K105" s="17" t="str">
        <f t="shared" si="18"/>
        <v>Pas d'écart</v>
      </c>
      <c r="L105" s="16">
        <f>base!X105</f>
        <v>0</v>
      </c>
      <c r="M105" s="11">
        <f t="shared" si="14"/>
        <v>0</v>
      </c>
      <c r="N105" s="11">
        <f t="shared" si="15"/>
        <v>0</v>
      </c>
      <c r="O105" s="11">
        <f t="shared" si="16"/>
        <v>0</v>
      </c>
      <c r="P105" s="12">
        <f t="shared" si="17"/>
        <v>0</v>
      </c>
      <c r="Q105" s="17" t="str">
        <f t="shared" si="19"/>
        <v>Pas d'écart</v>
      </c>
    </row>
    <row r="106" spans="1:17" x14ac:dyDescent="0.3">
      <c r="A106" s="34">
        <f>base!J106</f>
        <v>0</v>
      </c>
      <c r="B106" s="34" t="str">
        <f>base!V106</f>
        <v>77184</v>
      </c>
      <c r="C106" s="37">
        <v>77</v>
      </c>
      <c r="D106" s="36">
        <f>base!H106</f>
        <v>70.36</v>
      </c>
      <c r="E106" s="44"/>
      <c r="F106" s="16">
        <f>base!W106</f>
        <v>0</v>
      </c>
      <c r="G106" s="11">
        <f t="shared" si="10"/>
        <v>0</v>
      </c>
      <c r="H106" s="11">
        <f t="shared" si="11"/>
        <v>0</v>
      </c>
      <c r="I106" s="11">
        <f t="shared" si="12"/>
        <v>0</v>
      </c>
      <c r="J106" s="12">
        <f t="shared" si="13"/>
        <v>0</v>
      </c>
      <c r="K106" s="17" t="str">
        <f t="shared" si="18"/>
        <v>Pas d'écart</v>
      </c>
      <c r="L106" s="16">
        <f>base!X106</f>
        <v>0</v>
      </c>
      <c r="M106" s="11">
        <f t="shared" si="14"/>
        <v>0</v>
      </c>
      <c r="N106" s="11">
        <f t="shared" si="15"/>
        <v>0</v>
      </c>
      <c r="O106" s="11">
        <f t="shared" si="16"/>
        <v>0</v>
      </c>
      <c r="P106" s="12">
        <f t="shared" si="17"/>
        <v>0</v>
      </c>
      <c r="Q106" s="17" t="str">
        <f t="shared" si="19"/>
        <v>Pas d'écart</v>
      </c>
    </row>
    <row r="107" spans="1:17" x14ac:dyDescent="0.3">
      <c r="A107" s="34">
        <f>base!J107</f>
        <v>0</v>
      </c>
      <c r="B107" s="34" t="str">
        <f>base!V107</f>
        <v>77184</v>
      </c>
      <c r="C107" s="37">
        <v>77</v>
      </c>
      <c r="D107" s="36">
        <f>base!H107</f>
        <v>156</v>
      </c>
      <c r="E107" s="44"/>
      <c r="F107" s="16">
        <f>base!W107</f>
        <v>0</v>
      </c>
      <c r="G107" s="11">
        <f t="shared" si="10"/>
        <v>0</v>
      </c>
      <c r="H107" s="11">
        <f t="shared" si="11"/>
        <v>0</v>
      </c>
      <c r="I107" s="11">
        <f t="shared" si="12"/>
        <v>0</v>
      </c>
      <c r="J107" s="12">
        <f t="shared" si="13"/>
        <v>0</v>
      </c>
      <c r="K107" s="17" t="str">
        <f t="shared" si="18"/>
        <v>Pas d'écart</v>
      </c>
      <c r="L107" s="16">
        <f>base!X107</f>
        <v>0</v>
      </c>
      <c r="M107" s="11">
        <f t="shared" si="14"/>
        <v>0</v>
      </c>
      <c r="N107" s="11">
        <f t="shared" si="15"/>
        <v>0</v>
      </c>
      <c r="O107" s="11">
        <f t="shared" si="16"/>
        <v>0</v>
      </c>
      <c r="P107" s="12">
        <f t="shared" si="17"/>
        <v>0</v>
      </c>
      <c r="Q107" s="17" t="str">
        <f t="shared" si="19"/>
        <v>Pas d'écart</v>
      </c>
    </row>
    <row r="108" spans="1:17" x14ac:dyDescent="0.3">
      <c r="A108" s="34">
        <f>base!J108</f>
        <v>0</v>
      </c>
      <c r="B108" s="34" t="str">
        <f>base!V108</f>
        <v>77184</v>
      </c>
      <c r="C108" s="37">
        <v>77</v>
      </c>
      <c r="D108" s="36">
        <f>base!H108</f>
        <v>171</v>
      </c>
      <c r="E108" s="44"/>
      <c r="F108" s="16">
        <f>base!W108</f>
        <v>0</v>
      </c>
      <c r="G108" s="11">
        <f t="shared" si="10"/>
        <v>0</v>
      </c>
      <c r="H108" s="11">
        <f t="shared" si="11"/>
        <v>0</v>
      </c>
      <c r="I108" s="11">
        <f t="shared" si="12"/>
        <v>0</v>
      </c>
      <c r="J108" s="12">
        <f t="shared" si="13"/>
        <v>0</v>
      </c>
      <c r="K108" s="17" t="str">
        <f t="shared" si="18"/>
        <v>Pas d'écart</v>
      </c>
      <c r="L108" s="16">
        <f>base!X108</f>
        <v>0</v>
      </c>
      <c r="M108" s="11">
        <f t="shared" si="14"/>
        <v>0</v>
      </c>
      <c r="N108" s="11">
        <f t="shared" si="15"/>
        <v>0</v>
      </c>
      <c r="O108" s="11">
        <f t="shared" si="16"/>
        <v>0</v>
      </c>
      <c r="P108" s="12">
        <f t="shared" si="17"/>
        <v>0</v>
      </c>
      <c r="Q108" s="17" t="str">
        <f t="shared" si="19"/>
        <v>Pas d'écart</v>
      </c>
    </row>
    <row r="109" spans="1:17" x14ac:dyDescent="0.3">
      <c r="A109" s="34" t="str">
        <f>base!J109</f>
        <v>LM</v>
      </c>
      <c r="B109" s="34" t="str">
        <f>base!V109</f>
        <v>14000</v>
      </c>
      <c r="C109" s="37">
        <v>19</v>
      </c>
      <c r="D109" s="36">
        <f>base!H109</f>
        <v>18.350000000000001</v>
      </c>
      <c r="E109" s="44"/>
      <c r="F109" s="16">
        <f>base!W109</f>
        <v>3.12</v>
      </c>
      <c r="G109" s="11">
        <f t="shared" si="10"/>
        <v>0.17002724795640325</v>
      </c>
      <c r="H109" s="11">
        <f t="shared" si="11"/>
        <v>5.3215000000000003</v>
      </c>
      <c r="I109" s="11">
        <f t="shared" si="12"/>
        <v>0.28999999999999998</v>
      </c>
      <c r="J109" s="12">
        <f t="shared" si="13"/>
        <v>-2.2015000000000002</v>
      </c>
      <c r="K109" s="17" t="str">
        <f t="shared" si="18"/>
        <v>Ecart négatif</v>
      </c>
      <c r="L109" s="16">
        <f>base!X109</f>
        <v>0</v>
      </c>
      <c r="M109" s="11">
        <f t="shared" si="14"/>
        <v>0</v>
      </c>
      <c r="N109" s="11">
        <f t="shared" si="15"/>
        <v>2.202</v>
      </c>
      <c r="O109" s="11">
        <f t="shared" si="16"/>
        <v>0.11999999999999998</v>
      </c>
      <c r="P109" s="12">
        <f t="shared" si="17"/>
        <v>-2.202</v>
      </c>
      <c r="Q109" s="17" t="str">
        <f t="shared" si="19"/>
        <v>Ecart négatif</v>
      </c>
    </row>
    <row r="110" spans="1:17" x14ac:dyDescent="0.3">
      <c r="A110" s="34" t="str">
        <f>base!J110</f>
        <v>LS</v>
      </c>
      <c r="B110" s="34" t="str">
        <f>base!V110</f>
        <v>62138</v>
      </c>
      <c r="C110" s="37">
        <v>83</v>
      </c>
      <c r="D110" s="36">
        <f>base!H110</f>
        <v>108.01</v>
      </c>
      <c r="E110" s="44"/>
      <c r="F110" s="16">
        <f>base!W110</f>
        <v>20.52</v>
      </c>
      <c r="G110" s="11">
        <f t="shared" si="10"/>
        <v>0.18998240903620034</v>
      </c>
      <c r="H110" s="11">
        <f t="shared" si="11"/>
        <v>32.402999999999999</v>
      </c>
      <c r="I110" s="11">
        <f t="shared" si="12"/>
        <v>0.3</v>
      </c>
      <c r="J110" s="12">
        <f t="shared" si="13"/>
        <v>-11.882999999999999</v>
      </c>
      <c r="K110" s="17" t="str">
        <f t="shared" si="18"/>
        <v>Ecart négatif</v>
      </c>
      <c r="L110" s="16">
        <f>base!X110</f>
        <v>0</v>
      </c>
      <c r="M110" s="11">
        <f t="shared" si="14"/>
        <v>0</v>
      </c>
      <c r="N110" s="11">
        <f t="shared" si="15"/>
        <v>22.682100000000002</v>
      </c>
      <c r="O110" s="11">
        <f t="shared" si="16"/>
        <v>0.21000000000000002</v>
      </c>
      <c r="P110" s="12">
        <f t="shared" si="17"/>
        <v>-22.682100000000002</v>
      </c>
      <c r="Q110" s="17" t="str">
        <f t="shared" si="19"/>
        <v>Ecart négatif</v>
      </c>
    </row>
    <row r="111" spans="1:17" x14ac:dyDescent="0.3">
      <c r="A111" s="34" t="str">
        <f>base!J111</f>
        <v>LS</v>
      </c>
      <c r="B111" s="34" t="str">
        <f>base!V111</f>
        <v>62138</v>
      </c>
      <c r="C111" s="37">
        <v>57</v>
      </c>
      <c r="D111" s="36">
        <f>base!H111</f>
        <v>47.93</v>
      </c>
      <c r="E111" s="44"/>
      <c r="F111" s="16">
        <f>base!W111</f>
        <v>9.11</v>
      </c>
      <c r="G111" s="11">
        <f t="shared" si="10"/>
        <v>0.19006885040684329</v>
      </c>
      <c r="H111" s="11">
        <f t="shared" si="11"/>
        <v>11.5032</v>
      </c>
      <c r="I111" s="11">
        <f t="shared" si="12"/>
        <v>0.24</v>
      </c>
      <c r="J111" s="12">
        <f t="shared" si="13"/>
        <v>-2.3932000000000002</v>
      </c>
      <c r="K111" s="17" t="str">
        <f t="shared" si="18"/>
        <v>Ecart négatif</v>
      </c>
      <c r="L111" s="16">
        <f>base!X111</f>
        <v>0</v>
      </c>
      <c r="M111" s="11">
        <f t="shared" si="14"/>
        <v>0</v>
      </c>
      <c r="N111" s="11">
        <f t="shared" si="15"/>
        <v>11.9825</v>
      </c>
      <c r="O111" s="11">
        <f t="shared" si="16"/>
        <v>0.25</v>
      </c>
      <c r="P111" s="12">
        <f t="shared" si="17"/>
        <v>-11.9825</v>
      </c>
      <c r="Q111" s="17" t="str">
        <f t="shared" si="19"/>
        <v>Ecart négatif</v>
      </c>
    </row>
    <row r="112" spans="1:17" x14ac:dyDescent="0.3">
      <c r="A112" s="34" t="str">
        <f>base!J112</f>
        <v>RS</v>
      </c>
      <c r="B112" s="34" t="str">
        <f>base!V112</f>
        <v>27930</v>
      </c>
      <c r="C112" s="37">
        <v>27</v>
      </c>
      <c r="D112" s="36">
        <f>base!H112</f>
        <v>70</v>
      </c>
      <c r="E112" s="44"/>
      <c r="F112" s="16">
        <f>base!W112</f>
        <v>0</v>
      </c>
      <c r="G112" s="11">
        <f t="shared" si="10"/>
        <v>0</v>
      </c>
      <c r="H112" s="11">
        <f t="shared" si="11"/>
        <v>11.9</v>
      </c>
      <c r="I112" s="11">
        <f t="shared" si="12"/>
        <v>0.17</v>
      </c>
      <c r="J112" s="12">
        <f t="shared" si="13"/>
        <v>-11.9</v>
      </c>
      <c r="K112" s="17" t="str">
        <f t="shared" si="18"/>
        <v>Ecart négatif</v>
      </c>
      <c r="L112" s="16">
        <f>base!X112</f>
        <v>11.9</v>
      </c>
      <c r="M112" s="11">
        <f t="shared" si="14"/>
        <v>0.17</v>
      </c>
      <c r="N112" s="11">
        <f t="shared" si="15"/>
        <v>11.9</v>
      </c>
      <c r="O112" s="11">
        <f t="shared" si="16"/>
        <v>0.17</v>
      </c>
      <c r="P112" s="12">
        <f t="shared" si="17"/>
        <v>0</v>
      </c>
      <c r="Q112" s="17" t="str">
        <f t="shared" si="19"/>
        <v>Pas d'écart</v>
      </c>
    </row>
    <row r="113" spans="1:18" x14ac:dyDescent="0.3">
      <c r="A113" s="34" t="str">
        <f>base!J113</f>
        <v>RS</v>
      </c>
      <c r="B113" s="34" t="str">
        <f>base!V113</f>
        <v>94700</v>
      </c>
      <c r="C113" s="37">
        <v>94</v>
      </c>
      <c r="D113" s="36">
        <f>base!H113</f>
        <v>151</v>
      </c>
      <c r="E113" s="44"/>
      <c r="F113" s="16">
        <f>base!W113</f>
        <v>0</v>
      </c>
      <c r="G113" s="11">
        <f t="shared" si="10"/>
        <v>0</v>
      </c>
      <c r="H113" s="11">
        <f t="shared" si="11"/>
        <v>0</v>
      </c>
      <c r="I113" s="11">
        <f t="shared" si="12"/>
        <v>0</v>
      </c>
      <c r="J113" s="12">
        <f t="shared" si="13"/>
        <v>0</v>
      </c>
      <c r="K113" s="17" t="str">
        <f t="shared" si="18"/>
        <v>Pas d'écart</v>
      </c>
      <c r="L113" s="16">
        <f>base!X113</f>
        <v>0</v>
      </c>
      <c r="M113" s="11">
        <f t="shared" si="14"/>
        <v>0</v>
      </c>
      <c r="N113" s="11">
        <f t="shared" si="15"/>
        <v>0</v>
      </c>
      <c r="O113" s="11">
        <f t="shared" si="16"/>
        <v>0</v>
      </c>
      <c r="P113" s="12">
        <f t="shared" si="17"/>
        <v>0</v>
      </c>
      <c r="Q113" s="17" t="str">
        <f t="shared" si="19"/>
        <v>Pas d'écart</v>
      </c>
    </row>
    <row r="114" spans="1:18" x14ac:dyDescent="0.3">
      <c r="A114" s="34" t="str">
        <f>base!J114</f>
        <v>RS</v>
      </c>
      <c r="B114" s="34" t="str">
        <f>base!V114</f>
        <v>72000</v>
      </c>
      <c r="C114" s="37">
        <v>72</v>
      </c>
      <c r="D114" s="36">
        <f>base!H114</f>
        <v>140</v>
      </c>
      <c r="E114" s="44"/>
      <c r="F114" s="16">
        <f>base!W114</f>
        <v>0</v>
      </c>
      <c r="G114" s="11">
        <f t="shared" si="10"/>
        <v>0</v>
      </c>
      <c r="H114" s="11">
        <f t="shared" si="11"/>
        <v>29.4</v>
      </c>
      <c r="I114" s="11">
        <f t="shared" si="12"/>
        <v>0.21</v>
      </c>
      <c r="J114" s="12">
        <f t="shared" si="13"/>
        <v>-29.4</v>
      </c>
      <c r="K114" s="17" t="str">
        <f t="shared" si="18"/>
        <v>Ecart négatif</v>
      </c>
      <c r="L114" s="16">
        <f>base!X114</f>
        <v>16.8</v>
      </c>
      <c r="M114" s="11">
        <f t="shared" si="14"/>
        <v>0.12000000000000001</v>
      </c>
      <c r="N114" s="11">
        <f t="shared" si="15"/>
        <v>16.8</v>
      </c>
      <c r="O114" s="11">
        <f t="shared" si="16"/>
        <v>0.12000000000000001</v>
      </c>
      <c r="P114" s="12">
        <f t="shared" si="17"/>
        <v>0</v>
      </c>
      <c r="Q114" s="17" t="str">
        <f t="shared" si="19"/>
        <v>Pas d'écart</v>
      </c>
      <c r="R114" s="38"/>
    </row>
    <row r="115" spans="1:18" x14ac:dyDescent="0.3">
      <c r="A115" s="34" t="str">
        <f>base!J115</f>
        <v>RS</v>
      </c>
      <c r="B115" s="34" t="str">
        <f>base!V115</f>
        <v>38100</v>
      </c>
      <c r="C115" s="37">
        <v>38</v>
      </c>
      <c r="D115" s="36">
        <f>base!H115</f>
        <v>151</v>
      </c>
      <c r="E115" s="44"/>
      <c r="F115" s="16">
        <f>base!W115</f>
        <v>0</v>
      </c>
      <c r="G115" s="11">
        <f t="shared" si="10"/>
        <v>0</v>
      </c>
      <c r="H115" s="11">
        <f t="shared" si="11"/>
        <v>40.770000000000003</v>
      </c>
      <c r="I115" s="11">
        <f t="shared" si="12"/>
        <v>0.27</v>
      </c>
      <c r="J115" s="12">
        <f t="shared" si="13"/>
        <v>-40.770000000000003</v>
      </c>
      <c r="K115" s="17" t="str">
        <f t="shared" si="18"/>
        <v>Ecart négatif</v>
      </c>
      <c r="L115" s="16">
        <f>base!X115</f>
        <v>0</v>
      </c>
      <c r="M115" s="11">
        <f t="shared" si="14"/>
        <v>0</v>
      </c>
      <c r="N115" s="11">
        <f t="shared" si="15"/>
        <v>0</v>
      </c>
      <c r="O115" s="11">
        <f t="shared" si="16"/>
        <v>0</v>
      </c>
      <c r="P115" s="12">
        <f t="shared" si="17"/>
        <v>0</v>
      </c>
      <c r="Q115" s="17" t="str">
        <f t="shared" si="19"/>
        <v>Pas d'écart</v>
      </c>
    </row>
    <row r="116" spans="1:18" x14ac:dyDescent="0.3">
      <c r="A116" s="34">
        <f>base!J116</f>
        <v>0</v>
      </c>
      <c r="B116" s="34" t="str">
        <f>base!V116</f>
        <v>77184</v>
      </c>
      <c r="C116" s="37">
        <v>77</v>
      </c>
      <c r="D116" s="36">
        <f>base!H116</f>
        <v>147</v>
      </c>
      <c r="E116" s="44"/>
      <c r="F116" s="16">
        <f>base!W116</f>
        <v>0</v>
      </c>
      <c r="G116" s="11">
        <f t="shared" si="10"/>
        <v>0</v>
      </c>
      <c r="H116" s="11">
        <f t="shared" si="11"/>
        <v>0</v>
      </c>
      <c r="I116" s="11">
        <f t="shared" si="12"/>
        <v>0</v>
      </c>
      <c r="J116" s="12">
        <f t="shared" si="13"/>
        <v>0</v>
      </c>
      <c r="K116" s="17" t="str">
        <f t="shared" si="18"/>
        <v>Pas d'écart</v>
      </c>
      <c r="L116" s="16">
        <f>base!X116</f>
        <v>0</v>
      </c>
      <c r="M116" s="11">
        <f t="shared" si="14"/>
        <v>0</v>
      </c>
      <c r="N116" s="11">
        <f t="shared" si="15"/>
        <v>0</v>
      </c>
      <c r="O116" s="11">
        <f t="shared" si="16"/>
        <v>0</v>
      </c>
      <c r="P116" s="12">
        <f t="shared" si="17"/>
        <v>0</v>
      </c>
      <c r="Q116" s="17" t="str">
        <f t="shared" si="19"/>
        <v>Pas d'écart</v>
      </c>
    </row>
    <row r="117" spans="1:18" x14ac:dyDescent="0.3">
      <c r="A117" s="34">
        <f>base!J117</f>
        <v>0</v>
      </c>
      <c r="B117" s="34" t="str">
        <f>base!V117</f>
        <v>77184</v>
      </c>
      <c r="C117" s="37">
        <v>77</v>
      </c>
      <c r="D117" s="36">
        <f>base!H117</f>
        <v>84.5</v>
      </c>
      <c r="E117" s="44"/>
      <c r="F117" s="16">
        <f>base!W117</f>
        <v>0</v>
      </c>
      <c r="G117" s="11">
        <f t="shared" si="10"/>
        <v>0</v>
      </c>
      <c r="H117" s="11">
        <f t="shared" si="11"/>
        <v>0</v>
      </c>
      <c r="I117" s="11">
        <f t="shared" si="12"/>
        <v>0</v>
      </c>
      <c r="J117" s="12">
        <f t="shared" si="13"/>
        <v>0</v>
      </c>
      <c r="K117" s="17" t="str">
        <f t="shared" si="18"/>
        <v>Pas d'écart</v>
      </c>
      <c r="L117" s="16">
        <f>base!X117</f>
        <v>0</v>
      </c>
      <c r="M117" s="11">
        <f t="shared" si="14"/>
        <v>0</v>
      </c>
      <c r="N117" s="11">
        <f t="shared" si="15"/>
        <v>0</v>
      </c>
      <c r="O117" s="11">
        <f t="shared" si="16"/>
        <v>0</v>
      </c>
      <c r="P117" s="12">
        <f t="shared" si="17"/>
        <v>0</v>
      </c>
      <c r="Q117" s="17" t="str">
        <f t="shared" si="19"/>
        <v>Pas d'écart</v>
      </c>
    </row>
    <row r="118" spans="1:18" x14ac:dyDescent="0.3">
      <c r="A118" s="34">
        <f>base!J118</f>
        <v>0</v>
      </c>
      <c r="B118" s="34" t="str">
        <f>base!V118</f>
        <v>77184</v>
      </c>
      <c r="C118" s="37">
        <v>77</v>
      </c>
      <c r="D118" s="36">
        <f>base!H118</f>
        <v>122.2</v>
      </c>
      <c r="E118" s="44"/>
      <c r="F118" s="16">
        <f>base!W118</f>
        <v>0</v>
      </c>
      <c r="G118" s="11">
        <f t="shared" si="10"/>
        <v>0</v>
      </c>
      <c r="H118" s="11">
        <f t="shared" si="11"/>
        <v>0</v>
      </c>
      <c r="I118" s="11">
        <f t="shared" si="12"/>
        <v>0</v>
      </c>
      <c r="J118" s="12">
        <f t="shared" si="13"/>
        <v>0</v>
      </c>
      <c r="K118" s="17" t="str">
        <f t="shared" si="18"/>
        <v>Pas d'écart</v>
      </c>
      <c r="L118" s="16">
        <f>base!X118</f>
        <v>0</v>
      </c>
      <c r="M118" s="11">
        <f t="shared" si="14"/>
        <v>0</v>
      </c>
      <c r="N118" s="11">
        <f t="shared" si="15"/>
        <v>0</v>
      </c>
      <c r="O118" s="11">
        <f t="shared" si="16"/>
        <v>0</v>
      </c>
      <c r="P118" s="12">
        <f t="shared" si="17"/>
        <v>0</v>
      </c>
      <c r="Q118" s="17" t="str">
        <f t="shared" si="19"/>
        <v>Pas d'écart</v>
      </c>
    </row>
    <row r="119" spans="1:18" x14ac:dyDescent="0.3">
      <c r="A119" s="34">
        <f>base!J119</f>
        <v>0</v>
      </c>
      <c r="B119" s="34" t="str">
        <f>base!V119</f>
        <v>77184</v>
      </c>
      <c r="C119" s="37">
        <v>77</v>
      </c>
      <c r="D119" s="36">
        <f>base!H119</f>
        <v>69</v>
      </c>
      <c r="E119" s="44"/>
      <c r="F119" s="16">
        <f>base!W119</f>
        <v>0</v>
      </c>
      <c r="G119" s="11">
        <f t="shared" si="10"/>
        <v>0</v>
      </c>
      <c r="H119" s="11">
        <f t="shared" si="11"/>
        <v>0</v>
      </c>
      <c r="I119" s="11">
        <f t="shared" si="12"/>
        <v>0</v>
      </c>
      <c r="J119" s="12">
        <f t="shared" si="13"/>
        <v>0</v>
      </c>
      <c r="K119" s="17" t="str">
        <f t="shared" si="18"/>
        <v>Pas d'écart</v>
      </c>
      <c r="L119" s="16">
        <f>base!X119</f>
        <v>0</v>
      </c>
      <c r="M119" s="11">
        <f t="shared" si="14"/>
        <v>0</v>
      </c>
      <c r="N119" s="11">
        <f t="shared" si="15"/>
        <v>0</v>
      </c>
      <c r="O119" s="11">
        <f t="shared" si="16"/>
        <v>0</v>
      </c>
      <c r="P119" s="12">
        <f t="shared" si="17"/>
        <v>0</v>
      </c>
      <c r="Q119" s="17" t="str">
        <f t="shared" si="19"/>
        <v>Pas d'écart</v>
      </c>
    </row>
    <row r="120" spans="1:18" x14ac:dyDescent="0.3">
      <c r="A120" s="34">
        <f>base!J120</f>
        <v>0</v>
      </c>
      <c r="B120" s="34" t="str">
        <f>base!V120</f>
        <v>77184</v>
      </c>
      <c r="C120" s="37">
        <v>77</v>
      </c>
      <c r="D120" s="36">
        <f>base!H120</f>
        <v>180</v>
      </c>
      <c r="E120" s="44"/>
      <c r="F120" s="16">
        <f>base!W120</f>
        <v>0</v>
      </c>
      <c r="G120" s="11">
        <f t="shared" si="10"/>
        <v>0</v>
      </c>
      <c r="H120" s="11">
        <f t="shared" si="11"/>
        <v>0</v>
      </c>
      <c r="I120" s="11">
        <f t="shared" si="12"/>
        <v>0</v>
      </c>
      <c r="J120" s="12">
        <f t="shared" si="13"/>
        <v>0</v>
      </c>
      <c r="K120" s="17" t="str">
        <f t="shared" si="18"/>
        <v>Pas d'écart</v>
      </c>
      <c r="L120" s="16">
        <f>base!X120</f>
        <v>0</v>
      </c>
      <c r="M120" s="11">
        <f t="shared" si="14"/>
        <v>0</v>
      </c>
      <c r="N120" s="11">
        <f t="shared" si="15"/>
        <v>0</v>
      </c>
      <c r="O120" s="11">
        <f t="shared" si="16"/>
        <v>0</v>
      </c>
      <c r="P120" s="12">
        <f t="shared" si="17"/>
        <v>0</v>
      </c>
      <c r="Q120" s="17" t="str">
        <f t="shared" si="19"/>
        <v>Pas d'écart</v>
      </c>
    </row>
    <row r="121" spans="1:18" x14ac:dyDescent="0.3">
      <c r="A121" s="34">
        <f>base!J121</f>
        <v>0</v>
      </c>
      <c r="B121" s="34" t="str">
        <f>base!V121</f>
        <v>77184</v>
      </c>
      <c r="C121" s="37">
        <v>77</v>
      </c>
      <c r="D121" s="36">
        <f>base!H121</f>
        <v>125</v>
      </c>
      <c r="E121" s="44"/>
      <c r="F121" s="16">
        <f>base!W121</f>
        <v>0</v>
      </c>
      <c r="G121" s="11">
        <f t="shared" si="10"/>
        <v>0</v>
      </c>
      <c r="H121" s="11">
        <f t="shared" si="11"/>
        <v>0</v>
      </c>
      <c r="I121" s="11">
        <f t="shared" si="12"/>
        <v>0</v>
      </c>
      <c r="J121" s="12">
        <f t="shared" si="13"/>
        <v>0</v>
      </c>
      <c r="K121" s="17" t="str">
        <f t="shared" si="18"/>
        <v>Pas d'écart</v>
      </c>
      <c r="L121" s="16">
        <f>base!X121</f>
        <v>0</v>
      </c>
      <c r="M121" s="11">
        <f t="shared" si="14"/>
        <v>0</v>
      </c>
      <c r="N121" s="11">
        <f t="shared" si="15"/>
        <v>0</v>
      </c>
      <c r="O121" s="11">
        <f t="shared" si="16"/>
        <v>0</v>
      </c>
      <c r="P121" s="12">
        <f t="shared" si="17"/>
        <v>0</v>
      </c>
      <c r="Q121" s="17" t="str">
        <f t="shared" si="19"/>
        <v>Pas d'écart</v>
      </c>
    </row>
    <row r="122" spans="1:18" x14ac:dyDescent="0.3">
      <c r="A122" s="34">
        <f>base!J122</f>
        <v>0</v>
      </c>
      <c r="B122" s="34" t="str">
        <f>base!V122</f>
        <v>77184</v>
      </c>
      <c r="C122" s="37">
        <v>77</v>
      </c>
      <c r="D122" s="36">
        <f>base!H122</f>
        <v>111</v>
      </c>
      <c r="E122" s="44"/>
      <c r="F122" s="16">
        <f>base!W122</f>
        <v>0</v>
      </c>
      <c r="G122" s="11">
        <f t="shared" si="10"/>
        <v>0</v>
      </c>
      <c r="H122" s="11">
        <f t="shared" si="11"/>
        <v>0</v>
      </c>
      <c r="I122" s="11">
        <f t="shared" si="12"/>
        <v>0</v>
      </c>
      <c r="J122" s="12">
        <f t="shared" si="13"/>
        <v>0</v>
      </c>
      <c r="K122" s="17" t="str">
        <f t="shared" si="18"/>
        <v>Pas d'écart</v>
      </c>
      <c r="L122" s="16">
        <f>base!X122</f>
        <v>0</v>
      </c>
      <c r="M122" s="11">
        <f t="shared" si="14"/>
        <v>0</v>
      </c>
      <c r="N122" s="11">
        <f t="shared" si="15"/>
        <v>0</v>
      </c>
      <c r="O122" s="11">
        <f t="shared" si="16"/>
        <v>0</v>
      </c>
      <c r="P122" s="12">
        <f t="shared" si="17"/>
        <v>0</v>
      </c>
      <c r="Q122" s="17" t="str">
        <f t="shared" si="19"/>
        <v>Pas d'écart</v>
      </c>
    </row>
    <row r="123" spans="1:18" x14ac:dyDescent="0.3">
      <c r="A123" s="34">
        <f>base!J123</f>
        <v>0</v>
      </c>
      <c r="B123" s="34" t="str">
        <f>base!V123</f>
        <v>77184</v>
      </c>
      <c r="C123" s="37">
        <v>77</v>
      </c>
      <c r="D123" s="36">
        <f>base!H123</f>
        <v>183</v>
      </c>
      <c r="E123" s="44"/>
      <c r="F123" s="16">
        <f>base!W123</f>
        <v>0</v>
      </c>
      <c r="G123" s="11">
        <f t="shared" si="10"/>
        <v>0</v>
      </c>
      <c r="H123" s="11">
        <f t="shared" si="11"/>
        <v>0</v>
      </c>
      <c r="I123" s="11">
        <f t="shared" si="12"/>
        <v>0</v>
      </c>
      <c r="J123" s="12">
        <f t="shared" si="13"/>
        <v>0</v>
      </c>
      <c r="K123" s="17" t="str">
        <f t="shared" si="18"/>
        <v>Pas d'écart</v>
      </c>
      <c r="L123" s="16">
        <f>base!X123</f>
        <v>0</v>
      </c>
      <c r="M123" s="11">
        <f t="shared" si="14"/>
        <v>0</v>
      </c>
      <c r="N123" s="11">
        <f t="shared" si="15"/>
        <v>0</v>
      </c>
      <c r="O123" s="11">
        <f t="shared" si="16"/>
        <v>0</v>
      </c>
      <c r="P123" s="12">
        <f t="shared" si="17"/>
        <v>0</v>
      </c>
      <c r="Q123" s="17" t="str">
        <f t="shared" si="19"/>
        <v>Pas d'écart</v>
      </c>
    </row>
    <row r="124" spans="1:18" x14ac:dyDescent="0.3">
      <c r="A124" s="34">
        <f>base!J124</f>
        <v>0</v>
      </c>
      <c r="B124" s="34" t="str">
        <f>base!V124</f>
        <v>77184</v>
      </c>
      <c r="C124" s="37">
        <v>77</v>
      </c>
      <c r="D124" s="36">
        <f>base!H124</f>
        <v>36.119999999999997</v>
      </c>
      <c r="E124" s="44"/>
      <c r="F124" s="16">
        <f>base!W124</f>
        <v>0</v>
      </c>
      <c r="G124" s="11">
        <f t="shared" si="10"/>
        <v>0</v>
      </c>
      <c r="H124" s="11">
        <f t="shared" si="11"/>
        <v>0</v>
      </c>
      <c r="I124" s="11">
        <f t="shared" si="12"/>
        <v>0</v>
      </c>
      <c r="J124" s="12">
        <f t="shared" si="13"/>
        <v>0</v>
      </c>
      <c r="K124" s="17" t="str">
        <f t="shared" si="18"/>
        <v>Pas d'écart</v>
      </c>
      <c r="L124" s="16">
        <f>base!X124</f>
        <v>0</v>
      </c>
      <c r="M124" s="11">
        <f t="shared" si="14"/>
        <v>0</v>
      </c>
      <c r="N124" s="11">
        <f t="shared" si="15"/>
        <v>0</v>
      </c>
      <c r="O124" s="11">
        <f t="shared" si="16"/>
        <v>0</v>
      </c>
      <c r="P124" s="12">
        <f t="shared" si="17"/>
        <v>0</v>
      </c>
      <c r="Q124" s="17" t="str">
        <f t="shared" si="19"/>
        <v>Pas d'écart</v>
      </c>
    </row>
    <row r="125" spans="1:18" x14ac:dyDescent="0.3">
      <c r="A125" s="34">
        <f>base!J125</f>
        <v>0</v>
      </c>
      <c r="B125" s="34" t="str">
        <f>base!V125</f>
        <v>77184</v>
      </c>
      <c r="C125" s="37">
        <v>77</v>
      </c>
      <c r="D125" s="36">
        <f>base!H125</f>
        <v>31.6</v>
      </c>
      <c r="E125" s="44"/>
      <c r="F125" s="16">
        <f>base!W125</f>
        <v>0</v>
      </c>
      <c r="G125" s="11">
        <f t="shared" si="10"/>
        <v>0</v>
      </c>
      <c r="H125" s="11">
        <f t="shared" si="11"/>
        <v>0</v>
      </c>
      <c r="I125" s="11">
        <f t="shared" si="12"/>
        <v>0</v>
      </c>
      <c r="J125" s="12">
        <f t="shared" si="13"/>
        <v>0</v>
      </c>
      <c r="K125" s="17" t="str">
        <f t="shared" si="18"/>
        <v>Pas d'écart</v>
      </c>
      <c r="L125" s="16">
        <f>base!X125</f>
        <v>0</v>
      </c>
      <c r="M125" s="11">
        <f t="shared" si="14"/>
        <v>0</v>
      </c>
      <c r="N125" s="11">
        <f t="shared" si="15"/>
        <v>0</v>
      </c>
      <c r="O125" s="11">
        <f t="shared" si="16"/>
        <v>0</v>
      </c>
      <c r="P125" s="12">
        <f t="shared" si="17"/>
        <v>0</v>
      </c>
      <c r="Q125" s="17" t="str">
        <f t="shared" si="19"/>
        <v>Pas d'écart</v>
      </c>
    </row>
    <row r="126" spans="1:18" x14ac:dyDescent="0.3">
      <c r="A126" s="34" t="str">
        <f>base!J126</f>
        <v>DLM</v>
      </c>
      <c r="B126" s="34" t="str">
        <f>base!V126</f>
        <v>82000</v>
      </c>
      <c r="C126" s="37">
        <v>82</v>
      </c>
      <c r="D126" s="36">
        <f>base!H126</f>
        <v>120</v>
      </c>
      <c r="E126" s="44"/>
      <c r="F126" s="16">
        <f>base!W126</f>
        <v>0</v>
      </c>
      <c r="G126" s="11">
        <f t="shared" si="10"/>
        <v>0</v>
      </c>
      <c r="H126" s="11">
        <f t="shared" si="11"/>
        <v>26.4</v>
      </c>
      <c r="I126" s="11">
        <f t="shared" si="12"/>
        <v>0.22</v>
      </c>
      <c r="J126" s="12">
        <f t="shared" si="13"/>
        <v>-26.4</v>
      </c>
      <c r="K126" s="17" t="str">
        <f t="shared" si="18"/>
        <v>Ecart négatif</v>
      </c>
      <c r="L126" s="16">
        <f>base!X126</f>
        <v>34.799999999999997</v>
      </c>
      <c r="M126" s="11">
        <f t="shared" si="14"/>
        <v>0.28999999999999998</v>
      </c>
      <c r="N126" s="11">
        <f t="shared" si="15"/>
        <v>31.200000000000003</v>
      </c>
      <c r="O126" s="11">
        <f t="shared" si="16"/>
        <v>0.26</v>
      </c>
      <c r="P126" s="12">
        <f t="shared" si="17"/>
        <v>3.5999999999999943</v>
      </c>
      <c r="Q126" s="17" t="str">
        <f t="shared" si="19"/>
        <v>Ecart positif</v>
      </c>
    </row>
    <row r="127" spans="1:18" x14ac:dyDescent="0.3">
      <c r="A127" s="34" t="str">
        <f>base!J127</f>
        <v>LM</v>
      </c>
      <c r="B127" s="34" t="str">
        <f>base!V127</f>
        <v>06190</v>
      </c>
      <c r="C127" s="37">
        <v>49</v>
      </c>
      <c r="D127" s="36">
        <f>base!H127</f>
        <v>92</v>
      </c>
      <c r="E127" s="44"/>
      <c r="F127" s="16">
        <f>base!W127</f>
        <v>27.6</v>
      </c>
      <c r="G127" s="11">
        <f t="shared" si="10"/>
        <v>0.3</v>
      </c>
      <c r="H127" s="11">
        <f t="shared" si="11"/>
        <v>24.840000000000003</v>
      </c>
      <c r="I127" s="11">
        <f t="shared" si="12"/>
        <v>0.27</v>
      </c>
      <c r="J127" s="12">
        <f t="shared" si="13"/>
        <v>2.759999999999998</v>
      </c>
      <c r="K127" s="17" t="str">
        <f t="shared" si="18"/>
        <v>Ecart positif</v>
      </c>
      <c r="L127" s="16">
        <f>base!X127</f>
        <v>0</v>
      </c>
      <c r="M127" s="11">
        <f t="shared" si="14"/>
        <v>0</v>
      </c>
      <c r="N127" s="11">
        <f t="shared" si="15"/>
        <v>0</v>
      </c>
      <c r="O127" s="11">
        <f t="shared" si="16"/>
        <v>0</v>
      </c>
      <c r="P127" s="12">
        <f t="shared" si="17"/>
        <v>0</v>
      </c>
      <c r="Q127" s="17" t="str">
        <f t="shared" si="19"/>
        <v>Pas d'écart</v>
      </c>
    </row>
    <row r="128" spans="1:18" x14ac:dyDescent="0.3">
      <c r="A128" s="34" t="str">
        <f>base!J128</f>
        <v>LM</v>
      </c>
      <c r="B128" s="34" t="str">
        <f>base!V128</f>
        <v>06190</v>
      </c>
      <c r="C128" s="37">
        <v>13</v>
      </c>
      <c r="D128" s="36">
        <f>base!H128</f>
        <v>325</v>
      </c>
      <c r="E128" s="44"/>
      <c r="F128" s="16">
        <f>base!W128</f>
        <v>97.5</v>
      </c>
      <c r="G128" s="11">
        <f t="shared" si="10"/>
        <v>0.3</v>
      </c>
      <c r="H128" s="11">
        <f t="shared" si="11"/>
        <v>94.25</v>
      </c>
      <c r="I128" s="11">
        <f t="shared" si="12"/>
        <v>0.28999999999999998</v>
      </c>
      <c r="J128" s="12">
        <f t="shared" si="13"/>
        <v>3.25</v>
      </c>
      <c r="K128" s="17" t="str">
        <f t="shared" si="18"/>
        <v>Ecart positif</v>
      </c>
      <c r="L128" s="16">
        <f>base!X128</f>
        <v>0</v>
      </c>
      <c r="M128" s="11">
        <f t="shared" si="14"/>
        <v>0</v>
      </c>
      <c r="N128" s="11">
        <f t="shared" si="15"/>
        <v>61.75</v>
      </c>
      <c r="O128" s="11">
        <f t="shared" si="16"/>
        <v>0.19</v>
      </c>
      <c r="P128" s="12">
        <f t="shared" si="17"/>
        <v>-61.75</v>
      </c>
      <c r="Q128" s="17" t="str">
        <f t="shared" si="19"/>
        <v>Ecart négatif</v>
      </c>
    </row>
    <row r="129" spans="1:18" x14ac:dyDescent="0.3">
      <c r="A129" s="34" t="str">
        <f>base!J129</f>
        <v>RS</v>
      </c>
      <c r="B129" s="34" t="str">
        <f>base!V129</f>
        <v>06190</v>
      </c>
      <c r="C129" s="37">
        <v>6</v>
      </c>
      <c r="D129" s="36">
        <f>base!H129</f>
        <v>0</v>
      </c>
      <c r="E129" s="44"/>
      <c r="F129" s="16">
        <f>base!W129</f>
        <v>0</v>
      </c>
      <c r="G129" s="11" t="e">
        <f t="shared" si="10"/>
        <v>#DIV/0!</v>
      </c>
      <c r="H129" s="11">
        <f t="shared" si="11"/>
        <v>0</v>
      </c>
      <c r="I129" s="11" t="e">
        <f t="shared" si="12"/>
        <v>#DIV/0!</v>
      </c>
      <c r="J129" s="12">
        <f t="shared" si="13"/>
        <v>0</v>
      </c>
      <c r="K129" s="17" t="str">
        <f t="shared" si="18"/>
        <v>Pas d'écart</v>
      </c>
      <c r="L129" s="16">
        <f>base!X129</f>
        <v>0</v>
      </c>
      <c r="M129" s="11" t="e">
        <f t="shared" si="14"/>
        <v>#DIV/0!</v>
      </c>
      <c r="N129" s="11">
        <f t="shared" si="15"/>
        <v>0</v>
      </c>
      <c r="O129" s="11" t="e">
        <f t="shared" si="16"/>
        <v>#DIV/0!</v>
      </c>
      <c r="P129" s="12">
        <f t="shared" si="17"/>
        <v>0</v>
      </c>
      <c r="Q129" s="17" t="str">
        <f t="shared" si="19"/>
        <v>Pas d'écart</v>
      </c>
    </row>
    <row r="130" spans="1:18" x14ac:dyDescent="0.3">
      <c r="A130" s="34" t="str">
        <f>base!J130</f>
        <v>RS</v>
      </c>
      <c r="B130" s="34" t="str">
        <f>base!V130</f>
        <v>06600</v>
      </c>
      <c r="C130" s="37">
        <v>6</v>
      </c>
      <c r="D130" s="36">
        <f>base!H130</f>
        <v>135.80000000000001</v>
      </c>
      <c r="E130" s="44"/>
      <c r="F130" s="16">
        <f>base!W130</f>
        <v>0</v>
      </c>
      <c r="G130" s="11">
        <f t="shared" ref="G130:G193" si="20">F130/D130</f>
        <v>0</v>
      </c>
      <c r="H130" s="11">
        <f t="shared" ref="H130:H193" si="21">VLOOKUP(C130,tout_cout_traction,2,FALSE)*D130</f>
        <v>40.74</v>
      </c>
      <c r="I130" s="11">
        <f t="shared" ref="I130:I193" si="22">H130/D130</f>
        <v>0.3</v>
      </c>
      <c r="J130" s="12">
        <f t="shared" ref="J130:J193" si="23">F130-H130</f>
        <v>-40.74</v>
      </c>
      <c r="K130" s="17" t="str">
        <f t="shared" si="18"/>
        <v>Ecart négatif</v>
      </c>
      <c r="L130" s="16">
        <f>base!X130</f>
        <v>28.52</v>
      </c>
      <c r="M130" s="11">
        <f t="shared" ref="M130:M193" si="24">L130/D130</f>
        <v>0.21001472754050071</v>
      </c>
      <c r="N130" s="11">
        <f t="shared" ref="N130:N193" si="25">VLOOKUP(C130,tout_cout_traction,3,FALSE)*D130</f>
        <v>28.518000000000001</v>
      </c>
      <c r="O130" s="11">
        <f t="shared" ref="O130:O193" si="26">N130/D130</f>
        <v>0.21</v>
      </c>
      <c r="P130" s="12">
        <f t="shared" ref="P130:P193" si="27">L130-N130</f>
        <v>1.9999999999988916E-3</v>
      </c>
      <c r="Q130" s="17" t="str">
        <f t="shared" si="19"/>
        <v>Ecart positif</v>
      </c>
      <c r="R130" s="38"/>
    </row>
    <row r="131" spans="1:18" x14ac:dyDescent="0.3">
      <c r="A131" s="34" t="str">
        <f>base!J131</f>
        <v>RS</v>
      </c>
      <c r="B131" s="34" t="str">
        <f>base!V131</f>
        <v>08600</v>
      </c>
      <c r="C131" s="37">
        <v>8</v>
      </c>
      <c r="D131" s="36">
        <f>base!H131</f>
        <v>123.2</v>
      </c>
      <c r="E131" s="44"/>
      <c r="F131" s="16">
        <f>base!W131</f>
        <v>0</v>
      </c>
      <c r="G131" s="11">
        <f t="shared" si="20"/>
        <v>0</v>
      </c>
      <c r="H131" s="11">
        <f t="shared" si="21"/>
        <v>22.175999999999998</v>
      </c>
      <c r="I131" s="11">
        <f t="shared" si="22"/>
        <v>0.18</v>
      </c>
      <c r="J131" s="12">
        <f t="shared" si="23"/>
        <v>-22.175999999999998</v>
      </c>
      <c r="K131" s="17" t="str">
        <f t="shared" ref="K131:K194" si="28">IF(H131=F131,"Pas d'écart",IF(H131&lt;F131,"Ecart positif",IF(H131&gt;F131,"Ecart négatif")))</f>
        <v>Ecart négatif</v>
      </c>
      <c r="L131" s="16">
        <f>base!X131</f>
        <v>0</v>
      </c>
      <c r="M131" s="11">
        <f t="shared" si="24"/>
        <v>0</v>
      </c>
      <c r="N131" s="11">
        <f t="shared" si="25"/>
        <v>0</v>
      </c>
      <c r="O131" s="11">
        <f t="shared" si="26"/>
        <v>0</v>
      </c>
      <c r="P131" s="12">
        <f t="shared" si="27"/>
        <v>0</v>
      </c>
      <c r="Q131" s="17" t="str">
        <f t="shared" ref="Q131:Q194" si="29">IF(N131=L131,"Pas d'écart",IF(N131&lt;L131,"Ecart positif",IF(N131&gt;L131,"Ecart négatif")))</f>
        <v>Pas d'écart</v>
      </c>
    </row>
    <row r="132" spans="1:18" x14ac:dyDescent="0.3">
      <c r="A132" s="34" t="str">
        <f>base!J132</f>
        <v>RM</v>
      </c>
      <c r="B132" s="34" t="str">
        <f>base!V132</f>
        <v>06100</v>
      </c>
      <c r="C132" s="37">
        <v>6</v>
      </c>
      <c r="D132" s="36">
        <f>base!H132</f>
        <v>164.3</v>
      </c>
      <c r="E132" s="44"/>
      <c r="F132" s="16">
        <f>base!W132</f>
        <v>0</v>
      </c>
      <c r="G132" s="11">
        <f t="shared" si="20"/>
        <v>0</v>
      </c>
      <c r="H132" s="11">
        <f t="shared" si="21"/>
        <v>49.29</v>
      </c>
      <c r="I132" s="11">
        <f t="shared" si="22"/>
        <v>0.3</v>
      </c>
      <c r="J132" s="12">
        <f t="shared" si="23"/>
        <v>-49.29</v>
      </c>
      <c r="K132" s="17" t="str">
        <f t="shared" si="28"/>
        <v>Ecart négatif</v>
      </c>
      <c r="L132" s="16">
        <f>base!X132</f>
        <v>34.5</v>
      </c>
      <c r="M132" s="11">
        <f t="shared" si="24"/>
        <v>0.20998174071819839</v>
      </c>
      <c r="N132" s="11">
        <f t="shared" si="25"/>
        <v>34.503</v>
      </c>
      <c r="O132" s="11">
        <f t="shared" si="26"/>
        <v>0.21</v>
      </c>
      <c r="P132" s="12">
        <f t="shared" si="27"/>
        <v>-3.0000000000001137E-3</v>
      </c>
      <c r="Q132" s="17" t="str">
        <f t="shared" si="29"/>
        <v>Ecart négatif</v>
      </c>
      <c r="R132" s="38"/>
    </row>
    <row r="133" spans="1:18" x14ac:dyDescent="0.3">
      <c r="A133" s="34" t="str">
        <f>base!J133</f>
        <v>LS</v>
      </c>
      <c r="B133" s="34" t="str">
        <f>base!V133</f>
        <v>60000</v>
      </c>
      <c r="C133" s="37">
        <v>69</v>
      </c>
      <c r="D133" s="36">
        <f>base!H133</f>
        <v>141.65</v>
      </c>
      <c r="E133" s="44"/>
      <c r="F133" s="16">
        <f>base!W133</f>
        <v>26.91</v>
      </c>
      <c r="G133" s="11">
        <f t="shared" si="20"/>
        <v>0.18997529121073067</v>
      </c>
      <c r="H133" s="11">
        <f t="shared" si="21"/>
        <v>38.245500000000007</v>
      </c>
      <c r="I133" s="11">
        <f t="shared" si="22"/>
        <v>0.27</v>
      </c>
      <c r="J133" s="12">
        <f t="shared" si="23"/>
        <v>-11.335500000000007</v>
      </c>
      <c r="K133" s="17" t="str">
        <f t="shared" si="28"/>
        <v>Ecart négatif</v>
      </c>
      <c r="L133" s="16">
        <f>base!X133</f>
        <v>0</v>
      </c>
      <c r="M133" s="11">
        <f t="shared" si="24"/>
        <v>0</v>
      </c>
      <c r="N133" s="11">
        <f t="shared" si="25"/>
        <v>0</v>
      </c>
      <c r="O133" s="11">
        <f t="shared" si="26"/>
        <v>0</v>
      </c>
      <c r="P133" s="12">
        <f t="shared" si="27"/>
        <v>0</v>
      </c>
      <c r="Q133" s="17" t="str">
        <f t="shared" si="29"/>
        <v>Pas d'écart</v>
      </c>
    </row>
    <row r="134" spans="1:18" x14ac:dyDescent="0.3">
      <c r="A134" s="34" t="str">
        <f>base!J134</f>
        <v>LS</v>
      </c>
      <c r="B134" s="34" t="str">
        <f>base!V134</f>
        <v>76290</v>
      </c>
      <c r="C134" s="37">
        <v>17</v>
      </c>
      <c r="D134" s="36">
        <f>base!H134</f>
        <v>97.48</v>
      </c>
      <c r="E134" s="44"/>
      <c r="F134" s="16">
        <f>base!W134</f>
        <v>16.57</v>
      </c>
      <c r="G134" s="11">
        <f t="shared" si="20"/>
        <v>0.16998358637669264</v>
      </c>
      <c r="H134" s="11">
        <f t="shared" si="21"/>
        <v>20.470800000000001</v>
      </c>
      <c r="I134" s="11">
        <f t="shared" si="22"/>
        <v>0.21</v>
      </c>
      <c r="J134" s="12">
        <f t="shared" si="23"/>
        <v>-3.9008000000000003</v>
      </c>
      <c r="K134" s="17" t="str">
        <f t="shared" si="28"/>
        <v>Ecart négatif</v>
      </c>
      <c r="L134" s="16">
        <f>base!X134</f>
        <v>0</v>
      </c>
      <c r="M134" s="11">
        <f t="shared" si="24"/>
        <v>0</v>
      </c>
      <c r="N134" s="11">
        <f t="shared" si="25"/>
        <v>16.5716</v>
      </c>
      <c r="O134" s="11">
        <f t="shared" si="26"/>
        <v>0.16999999999999998</v>
      </c>
      <c r="P134" s="12">
        <f t="shared" si="27"/>
        <v>-16.5716</v>
      </c>
      <c r="Q134" s="17" t="str">
        <f t="shared" si="29"/>
        <v>Ecart négatif</v>
      </c>
    </row>
    <row r="135" spans="1:18" x14ac:dyDescent="0.3">
      <c r="A135" s="34" t="str">
        <f>base!J135</f>
        <v>LM</v>
      </c>
      <c r="B135" s="34" t="str">
        <f>base!V135</f>
        <v>34500</v>
      </c>
      <c r="C135" s="37">
        <v>59</v>
      </c>
      <c r="D135" s="36">
        <f>base!H135</f>
        <v>149.79</v>
      </c>
      <c r="E135" s="44"/>
      <c r="F135" s="16">
        <f>base!W135</f>
        <v>58.42</v>
      </c>
      <c r="G135" s="11">
        <f t="shared" si="20"/>
        <v>0.39001268442486148</v>
      </c>
      <c r="H135" s="11">
        <f t="shared" si="21"/>
        <v>28.460099999999997</v>
      </c>
      <c r="I135" s="11">
        <f t="shared" si="22"/>
        <v>0.19</v>
      </c>
      <c r="J135" s="12">
        <f t="shared" si="23"/>
        <v>29.959900000000005</v>
      </c>
      <c r="K135" s="17" t="str">
        <f t="shared" si="28"/>
        <v>Ecart positif</v>
      </c>
      <c r="L135" s="16">
        <f>base!X135</f>
        <v>0</v>
      </c>
      <c r="M135" s="11">
        <f t="shared" si="24"/>
        <v>0</v>
      </c>
      <c r="N135" s="11">
        <f t="shared" si="25"/>
        <v>0</v>
      </c>
      <c r="O135" s="11">
        <f t="shared" si="26"/>
        <v>0</v>
      </c>
      <c r="P135" s="12">
        <f t="shared" si="27"/>
        <v>0</v>
      </c>
      <c r="Q135" s="17" t="str">
        <f t="shared" si="29"/>
        <v>Pas d'écart</v>
      </c>
    </row>
    <row r="136" spans="1:18" x14ac:dyDescent="0.3">
      <c r="A136" s="34" t="str">
        <f>base!J136</f>
        <v>LS</v>
      </c>
      <c r="B136" s="34" t="str">
        <f>base!V136</f>
        <v>34070</v>
      </c>
      <c r="C136" s="37">
        <v>88</v>
      </c>
      <c r="D136" s="36">
        <f>base!H136</f>
        <v>138.12</v>
      </c>
      <c r="E136" s="44"/>
      <c r="F136" s="16">
        <f>base!W136</f>
        <v>53.87</v>
      </c>
      <c r="G136" s="11">
        <f t="shared" si="20"/>
        <v>0.39002316825948447</v>
      </c>
      <c r="H136" s="11">
        <f t="shared" si="21"/>
        <v>38.673600000000008</v>
      </c>
      <c r="I136" s="11">
        <f t="shared" si="22"/>
        <v>0.28000000000000003</v>
      </c>
      <c r="J136" s="12">
        <f t="shared" si="23"/>
        <v>15.19639999999999</v>
      </c>
      <c r="K136" s="17" t="str">
        <f t="shared" si="28"/>
        <v>Ecart positif</v>
      </c>
      <c r="L136" s="16">
        <f>base!X136</f>
        <v>0</v>
      </c>
      <c r="M136" s="11">
        <f t="shared" si="24"/>
        <v>0</v>
      </c>
      <c r="N136" s="11">
        <f t="shared" si="25"/>
        <v>11.0496</v>
      </c>
      <c r="O136" s="11">
        <f t="shared" si="26"/>
        <v>0.08</v>
      </c>
      <c r="P136" s="12">
        <f t="shared" si="27"/>
        <v>-11.0496</v>
      </c>
      <c r="Q136" s="17" t="str">
        <f t="shared" si="29"/>
        <v>Ecart négatif</v>
      </c>
    </row>
    <row r="137" spans="1:18" x14ac:dyDescent="0.3">
      <c r="A137" s="34" t="str">
        <f>base!J137</f>
        <v>LS</v>
      </c>
      <c r="B137" s="34" t="str">
        <f>base!V137</f>
        <v>67270</v>
      </c>
      <c r="C137" s="37">
        <v>16</v>
      </c>
      <c r="D137" s="36">
        <f>base!H137</f>
        <v>126.65</v>
      </c>
      <c r="E137" s="44"/>
      <c r="F137" s="16">
        <f>base!W137</f>
        <v>36.729999999999997</v>
      </c>
      <c r="G137" s="11">
        <f t="shared" si="20"/>
        <v>0.29001184366363991</v>
      </c>
      <c r="H137" s="11">
        <f t="shared" si="21"/>
        <v>26.596499999999999</v>
      </c>
      <c r="I137" s="11">
        <f t="shared" si="22"/>
        <v>0.21</v>
      </c>
      <c r="J137" s="12">
        <f t="shared" si="23"/>
        <v>10.133499999999998</v>
      </c>
      <c r="K137" s="17" t="str">
        <f t="shared" si="28"/>
        <v>Ecart positif</v>
      </c>
      <c r="L137" s="16">
        <f>base!X137</f>
        <v>0</v>
      </c>
      <c r="M137" s="11">
        <f t="shared" si="24"/>
        <v>0</v>
      </c>
      <c r="N137" s="11">
        <f t="shared" si="25"/>
        <v>21.530500000000004</v>
      </c>
      <c r="O137" s="11">
        <f t="shared" si="26"/>
        <v>0.17</v>
      </c>
      <c r="P137" s="12">
        <f t="shared" si="27"/>
        <v>-21.530500000000004</v>
      </c>
      <c r="Q137" s="17" t="str">
        <f t="shared" si="29"/>
        <v>Ecart négatif</v>
      </c>
    </row>
    <row r="138" spans="1:18" x14ac:dyDescent="0.3">
      <c r="A138" s="34" t="str">
        <f>base!J138</f>
        <v>LS</v>
      </c>
      <c r="B138" s="34" t="str">
        <f>base!V138</f>
        <v>64121</v>
      </c>
      <c r="C138" s="37">
        <v>59</v>
      </c>
      <c r="D138" s="36">
        <f>base!H138</f>
        <v>59.53</v>
      </c>
      <c r="E138" s="44"/>
      <c r="F138" s="16">
        <f>base!W138</f>
        <v>12.5</v>
      </c>
      <c r="G138" s="11">
        <f t="shared" si="20"/>
        <v>0.20997816227112379</v>
      </c>
      <c r="H138" s="11">
        <f t="shared" si="21"/>
        <v>11.310700000000001</v>
      </c>
      <c r="I138" s="11">
        <f t="shared" si="22"/>
        <v>0.19</v>
      </c>
      <c r="J138" s="12">
        <f t="shared" si="23"/>
        <v>1.1892999999999994</v>
      </c>
      <c r="K138" s="17" t="str">
        <f t="shared" si="28"/>
        <v>Ecart positif</v>
      </c>
      <c r="L138" s="16">
        <f>base!X138</f>
        <v>0</v>
      </c>
      <c r="M138" s="11">
        <f t="shared" si="24"/>
        <v>0</v>
      </c>
      <c r="N138" s="11">
        <f t="shared" si="25"/>
        <v>0</v>
      </c>
      <c r="O138" s="11">
        <f t="shared" si="26"/>
        <v>0</v>
      </c>
      <c r="P138" s="12">
        <f t="shared" si="27"/>
        <v>0</v>
      </c>
      <c r="Q138" s="17" t="str">
        <f t="shared" si="29"/>
        <v>Pas d'écart</v>
      </c>
    </row>
    <row r="139" spans="1:18" x14ac:dyDescent="0.3">
      <c r="A139" s="34" t="str">
        <f>base!J139</f>
        <v>LS</v>
      </c>
      <c r="B139" s="34" t="str">
        <f>base!V139</f>
        <v>64121</v>
      </c>
      <c r="C139" s="37">
        <v>88</v>
      </c>
      <c r="D139" s="36">
        <f>base!H139</f>
        <v>59.53</v>
      </c>
      <c r="E139" s="44"/>
      <c r="F139" s="16">
        <f>base!W139</f>
        <v>12.5</v>
      </c>
      <c r="G139" s="11">
        <f t="shared" si="20"/>
        <v>0.20997816227112379</v>
      </c>
      <c r="H139" s="11">
        <f t="shared" si="21"/>
        <v>16.668400000000002</v>
      </c>
      <c r="I139" s="11">
        <f t="shared" si="22"/>
        <v>0.28000000000000003</v>
      </c>
      <c r="J139" s="12">
        <f t="shared" si="23"/>
        <v>-4.1684000000000019</v>
      </c>
      <c r="K139" s="17" t="str">
        <f t="shared" si="28"/>
        <v>Ecart négatif</v>
      </c>
      <c r="L139" s="16">
        <f>base!X139</f>
        <v>0</v>
      </c>
      <c r="M139" s="11">
        <f t="shared" si="24"/>
        <v>0</v>
      </c>
      <c r="N139" s="11">
        <f t="shared" si="25"/>
        <v>4.7624000000000004</v>
      </c>
      <c r="O139" s="11">
        <f t="shared" si="26"/>
        <v>0.08</v>
      </c>
      <c r="P139" s="12">
        <f t="shared" si="27"/>
        <v>-4.7624000000000004</v>
      </c>
      <c r="Q139" s="17" t="str">
        <f t="shared" si="29"/>
        <v>Ecart négatif</v>
      </c>
    </row>
    <row r="140" spans="1:18" x14ac:dyDescent="0.3">
      <c r="A140" s="34" t="str">
        <f>base!J140</f>
        <v>LM</v>
      </c>
      <c r="B140" s="34" t="str">
        <f>base!V140</f>
        <v>13006</v>
      </c>
      <c r="C140" s="37">
        <v>13</v>
      </c>
      <c r="D140" s="36">
        <f>base!H140</f>
        <v>40</v>
      </c>
      <c r="E140" s="44"/>
      <c r="F140" s="16">
        <f>base!W140</f>
        <v>11.6</v>
      </c>
      <c r="G140" s="11">
        <f t="shared" si="20"/>
        <v>0.28999999999999998</v>
      </c>
      <c r="H140" s="11">
        <f t="shared" si="21"/>
        <v>11.6</v>
      </c>
      <c r="I140" s="11">
        <f t="shared" si="22"/>
        <v>0.28999999999999998</v>
      </c>
      <c r="J140" s="12">
        <f t="shared" si="23"/>
        <v>0</v>
      </c>
      <c r="K140" s="17" t="str">
        <f t="shared" si="28"/>
        <v>Pas d'écart</v>
      </c>
      <c r="L140" s="16">
        <f>base!X140</f>
        <v>0</v>
      </c>
      <c r="M140" s="11">
        <f t="shared" si="24"/>
        <v>0</v>
      </c>
      <c r="N140" s="11">
        <f t="shared" si="25"/>
        <v>7.6</v>
      </c>
      <c r="O140" s="11">
        <f t="shared" si="26"/>
        <v>0.19</v>
      </c>
      <c r="P140" s="12">
        <f t="shared" si="27"/>
        <v>-7.6</v>
      </c>
      <c r="Q140" s="17" t="str">
        <f t="shared" si="29"/>
        <v>Ecart négatif</v>
      </c>
    </row>
    <row r="141" spans="1:18" x14ac:dyDescent="0.3">
      <c r="A141" s="34" t="str">
        <f>base!J141</f>
        <v>LS</v>
      </c>
      <c r="B141" s="34" t="str">
        <f>base!V141</f>
        <v>89100</v>
      </c>
      <c r="C141" s="37">
        <v>60</v>
      </c>
      <c r="D141" s="36">
        <f>base!H141</f>
        <v>33.35</v>
      </c>
      <c r="E141" s="44"/>
      <c r="F141" s="16">
        <f>base!W141</f>
        <v>8</v>
      </c>
      <c r="G141" s="11">
        <f t="shared" si="20"/>
        <v>0.23988005997001499</v>
      </c>
      <c r="H141" s="11">
        <f t="shared" si="21"/>
        <v>6.3365</v>
      </c>
      <c r="I141" s="11">
        <f t="shared" si="22"/>
        <v>0.19</v>
      </c>
      <c r="J141" s="12">
        <f t="shared" si="23"/>
        <v>1.6635</v>
      </c>
      <c r="K141" s="17" t="str">
        <f t="shared" si="28"/>
        <v>Ecart positif</v>
      </c>
      <c r="L141" s="16">
        <f>base!X141</f>
        <v>0</v>
      </c>
      <c r="M141" s="11">
        <f t="shared" si="24"/>
        <v>0</v>
      </c>
      <c r="N141" s="11">
        <f t="shared" si="25"/>
        <v>0</v>
      </c>
      <c r="O141" s="11">
        <f t="shared" si="26"/>
        <v>0</v>
      </c>
      <c r="P141" s="12">
        <f t="shared" si="27"/>
        <v>0</v>
      </c>
      <c r="Q141" s="17" t="str">
        <f t="shared" si="29"/>
        <v>Pas d'écart</v>
      </c>
    </row>
    <row r="142" spans="1:18" x14ac:dyDescent="0.3">
      <c r="A142" s="34" t="str">
        <f>base!J142</f>
        <v>LS</v>
      </c>
      <c r="B142" s="34" t="str">
        <f>base!V142</f>
        <v>34500</v>
      </c>
      <c r="C142" s="37">
        <v>88</v>
      </c>
      <c r="D142" s="36">
        <f>base!H142</f>
        <v>143.44999999999999</v>
      </c>
      <c r="E142" s="44"/>
      <c r="F142" s="16">
        <f>base!W142</f>
        <v>55.95</v>
      </c>
      <c r="G142" s="11">
        <f t="shared" si="20"/>
        <v>0.3900313698152667</v>
      </c>
      <c r="H142" s="11">
        <f t="shared" si="21"/>
        <v>40.166000000000004</v>
      </c>
      <c r="I142" s="11">
        <f t="shared" si="22"/>
        <v>0.28000000000000003</v>
      </c>
      <c r="J142" s="12">
        <f t="shared" si="23"/>
        <v>15.783999999999999</v>
      </c>
      <c r="K142" s="17" t="str">
        <f t="shared" si="28"/>
        <v>Ecart positif</v>
      </c>
      <c r="L142" s="16">
        <f>base!X142</f>
        <v>0</v>
      </c>
      <c r="M142" s="11">
        <f t="shared" si="24"/>
        <v>0</v>
      </c>
      <c r="N142" s="11">
        <f t="shared" si="25"/>
        <v>11.475999999999999</v>
      </c>
      <c r="O142" s="11">
        <f t="shared" si="26"/>
        <v>0.08</v>
      </c>
      <c r="P142" s="12">
        <f t="shared" si="27"/>
        <v>-11.475999999999999</v>
      </c>
      <c r="Q142" s="17" t="str">
        <f t="shared" si="29"/>
        <v>Ecart négatif</v>
      </c>
    </row>
    <row r="143" spans="1:18" x14ac:dyDescent="0.3">
      <c r="A143" s="34" t="str">
        <f>base!J143</f>
        <v>LM</v>
      </c>
      <c r="B143" s="34" t="str">
        <f>base!V143</f>
        <v>34500</v>
      </c>
      <c r="C143" s="37">
        <v>49</v>
      </c>
      <c r="D143" s="36">
        <f>base!H143</f>
        <v>143.51</v>
      </c>
      <c r="E143" s="44"/>
      <c r="F143" s="16">
        <f>base!W143</f>
        <v>55.97</v>
      </c>
      <c r="G143" s="11">
        <f t="shared" si="20"/>
        <v>0.39000766497108219</v>
      </c>
      <c r="H143" s="11">
        <f t="shared" si="21"/>
        <v>38.747700000000002</v>
      </c>
      <c r="I143" s="11">
        <f t="shared" si="22"/>
        <v>0.27</v>
      </c>
      <c r="J143" s="12">
        <f t="shared" si="23"/>
        <v>17.222299999999997</v>
      </c>
      <c r="K143" s="17" t="str">
        <f t="shared" si="28"/>
        <v>Ecart positif</v>
      </c>
      <c r="L143" s="16">
        <f>base!X143</f>
        <v>0</v>
      </c>
      <c r="M143" s="11">
        <f t="shared" si="24"/>
        <v>0</v>
      </c>
      <c r="N143" s="11">
        <f t="shared" si="25"/>
        <v>0</v>
      </c>
      <c r="O143" s="11">
        <f t="shared" si="26"/>
        <v>0</v>
      </c>
      <c r="P143" s="12">
        <f t="shared" si="27"/>
        <v>0</v>
      </c>
      <c r="Q143" s="17" t="str">
        <f t="shared" si="29"/>
        <v>Pas d'écart</v>
      </c>
    </row>
    <row r="144" spans="1:18" x14ac:dyDescent="0.3">
      <c r="A144" s="34" t="str">
        <f>base!J144</f>
        <v>LS</v>
      </c>
      <c r="B144" s="34" t="str">
        <f>base!V144</f>
        <v>75014</v>
      </c>
      <c r="C144" s="37">
        <v>75</v>
      </c>
      <c r="D144" s="36">
        <f>base!H144</f>
        <v>107.6</v>
      </c>
      <c r="E144" s="44"/>
      <c r="F144" s="16">
        <f>base!W144</f>
        <v>0</v>
      </c>
      <c r="G144" s="11">
        <f t="shared" si="20"/>
        <v>0</v>
      </c>
      <c r="H144" s="11">
        <f t="shared" si="21"/>
        <v>0</v>
      </c>
      <c r="I144" s="11">
        <f t="shared" si="22"/>
        <v>0</v>
      </c>
      <c r="J144" s="12">
        <f t="shared" si="23"/>
        <v>0</v>
      </c>
      <c r="K144" s="17" t="str">
        <f t="shared" si="28"/>
        <v>Pas d'écart</v>
      </c>
      <c r="L144" s="16">
        <f>base!X144</f>
        <v>0</v>
      </c>
      <c r="M144" s="11">
        <f t="shared" si="24"/>
        <v>0</v>
      </c>
      <c r="N144" s="11">
        <f t="shared" si="25"/>
        <v>0</v>
      </c>
      <c r="O144" s="11">
        <f t="shared" si="26"/>
        <v>0</v>
      </c>
      <c r="P144" s="12">
        <f t="shared" si="27"/>
        <v>0</v>
      </c>
      <c r="Q144" s="17" t="str">
        <f t="shared" si="29"/>
        <v>Pas d'écart</v>
      </c>
    </row>
    <row r="145" spans="1:18" x14ac:dyDescent="0.3">
      <c r="A145" s="34" t="str">
        <f>base!J145</f>
        <v>LM</v>
      </c>
      <c r="B145" s="34" t="str">
        <f>base!V145</f>
        <v>67000</v>
      </c>
      <c r="C145" s="37">
        <v>84</v>
      </c>
      <c r="D145" s="36">
        <f>base!H145</f>
        <v>55.14</v>
      </c>
      <c r="E145" s="44"/>
      <c r="F145" s="16">
        <f>base!W145</f>
        <v>15.99</v>
      </c>
      <c r="G145" s="11">
        <f t="shared" si="20"/>
        <v>0.28998911860718174</v>
      </c>
      <c r="H145" s="11">
        <f t="shared" si="21"/>
        <v>15.990599999999999</v>
      </c>
      <c r="I145" s="11">
        <f t="shared" si="22"/>
        <v>0.28999999999999998</v>
      </c>
      <c r="J145" s="12">
        <f t="shared" si="23"/>
        <v>-5.9999999999860165E-4</v>
      </c>
      <c r="K145" s="17" t="str">
        <f t="shared" si="28"/>
        <v>Ecart négatif</v>
      </c>
      <c r="L145" s="16">
        <f>base!X145</f>
        <v>0</v>
      </c>
      <c r="M145" s="11">
        <f t="shared" si="24"/>
        <v>0</v>
      </c>
      <c r="N145" s="11">
        <f t="shared" si="25"/>
        <v>10.476599999999999</v>
      </c>
      <c r="O145" s="11">
        <f t="shared" si="26"/>
        <v>0.19</v>
      </c>
      <c r="P145" s="12">
        <f t="shared" si="27"/>
        <v>-10.476599999999999</v>
      </c>
      <c r="Q145" s="17" t="str">
        <f t="shared" si="29"/>
        <v>Ecart négatif</v>
      </c>
    </row>
    <row r="146" spans="1:18" x14ac:dyDescent="0.3">
      <c r="A146" s="34" t="str">
        <f>base!J146</f>
        <v>LS</v>
      </c>
      <c r="B146" s="34" t="str">
        <f>base!V146</f>
        <v>75014</v>
      </c>
      <c r="C146" s="37">
        <v>75</v>
      </c>
      <c r="D146" s="36">
        <f>base!H146</f>
        <v>53.38</v>
      </c>
      <c r="E146" s="44"/>
      <c r="F146" s="16">
        <f>base!W146</f>
        <v>0</v>
      </c>
      <c r="G146" s="11">
        <f t="shared" si="20"/>
        <v>0</v>
      </c>
      <c r="H146" s="11">
        <f t="shared" si="21"/>
        <v>0</v>
      </c>
      <c r="I146" s="11">
        <f t="shared" si="22"/>
        <v>0</v>
      </c>
      <c r="J146" s="12">
        <f t="shared" si="23"/>
        <v>0</v>
      </c>
      <c r="K146" s="17" t="str">
        <f t="shared" si="28"/>
        <v>Pas d'écart</v>
      </c>
      <c r="L146" s="16">
        <f>base!X146</f>
        <v>0</v>
      </c>
      <c r="M146" s="11">
        <f t="shared" si="24"/>
        <v>0</v>
      </c>
      <c r="N146" s="11">
        <f t="shared" si="25"/>
        <v>0</v>
      </c>
      <c r="O146" s="11">
        <f t="shared" si="26"/>
        <v>0</v>
      </c>
      <c r="P146" s="12">
        <f t="shared" si="27"/>
        <v>0</v>
      </c>
      <c r="Q146" s="17" t="str">
        <f t="shared" si="29"/>
        <v>Pas d'écart</v>
      </c>
    </row>
    <row r="147" spans="1:18" x14ac:dyDescent="0.3">
      <c r="A147" s="34" t="str">
        <f>base!J147</f>
        <v>LM</v>
      </c>
      <c r="B147" s="34" t="str">
        <f>base!V147</f>
        <v>75014</v>
      </c>
      <c r="C147" s="37">
        <v>75</v>
      </c>
      <c r="D147" s="36">
        <f>base!H147</f>
        <v>53.38</v>
      </c>
      <c r="E147" s="44"/>
      <c r="F147" s="16">
        <f>base!W147</f>
        <v>0</v>
      </c>
      <c r="G147" s="11">
        <f t="shared" si="20"/>
        <v>0</v>
      </c>
      <c r="H147" s="11">
        <f t="shared" si="21"/>
        <v>0</v>
      </c>
      <c r="I147" s="11">
        <f t="shared" si="22"/>
        <v>0</v>
      </c>
      <c r="J147" s="12">
        <f t="shared" si="23"/>
        <v>0</v>
      </c>
      <c r="K147" s="17" t="str">
        <f t="shared" si="28"/>
        <v>Pas d'écart</v>
      </c>
      <c r="L147" s="16">
        <f>base!X147</f>
        <v>0</v>
      </c>
      <c r="M147" s="11">
        <f t="shared" si="24"/>
        <v>0</v>
      </c>
      <c r="N147" s="11">
        <f t="shared" si="25"/>
        <v>0</v>
      </c>
      <c r="O147" s="11">
        <f t="shared" si="26"/>
        <v>0</v>
      </c>
      <c r="P147" s="12">
        <f t="shared" si="27"/>
        <v>0</v>
      </c>
      <c r="Q147" s="17" t="str">
        <f t="shared" si="29"/>
        <v>Pas d'écart</v>
      </c>
    </row>
    <row r="148" spans="1:18" x14ac:dyDescent="0.3">
      <c r="A148" s="34" t="str">
        <f>base!J148</f>
        <v>LM</v>
      </c>
      <c r="B148" s="34" t="str">
        <f>base!V148</f>
        <v>75014</v>
      </c>
      <c r="C148" s="37">
        <v>75</v>
      </c>
      <c r="D148" s="36">
        <f>base!H148</f>
        <v>53.38</v>
      </c>
      <c r="E148" s="44"/>
      <c r="F148" s="16">
        <f>base!W148</f>
        <v>0</v>
      </c>
      <c r="G148" s="11">
        <f t="shared" si="20"/>
        <v>0</v>
      </c>
      <c r="H148" s="11">
        <f t="shared" si="21"/>
        <v>0</v>
      </c>
      <c r="I148" s="11">
        <f t="shared" si="22"/>
        <v>0</v>
      </c>
      <c r="J148" s="12">
        <f t="shared" si="23"/>
        <v>0</v>
      </c>
      <c r="K148" s="17" t="str">
        <f t="shared" si="28"/>
        <v>Pas d'écart</v>
      </c>
      <c r="L148" s="16">
        <f>base!X148</f>
        <v>0</v>
      </c>
      <c r="M148" s="11">
        <f t="shared" si="24"/>
        <v>0</v>
      </c>
      <c r="N148" s="11">
        <f t="shared" si="25"/>
        <v>0</v>
      </c>
      <c r="O148" s="11">
        <f t="shared" si="26"/>
        <v>0</v>
      </c>
      <c r="P148" s="12">
        <f t="shared" si="27"/>
        <v>0</v>
      </c>
      <c r="Q148" s="17" t="str">
        <f t="shared" si="29"/>
        <v>Pas d'écart</v>
      </c>
    </row>
    <row r="149" spans="1:18" x14ac:dyDescent="0.3">
      <c r="A149" s="34">
        <f>base!J149</f>
        <v>0</v>
      </c>
      <c r="B149" s="34" t="str">
        <f>base!V149</f>
        <v>44240</v>
      </c>
      <c r="C149" s="37">
        <v>44</v>
      </c>
      <c r="D149" s="36">
        <f>base!H149</f>
        <v>113</v>
      </c>
      <c r="E149" s="44"/>
      <c r="F149" s="16">
        <f>base!W149</f>
        <v>0</v>
      </c>
      <c r="G149" s="11">
        <f t="shared" si="20"/>
        <v>0</v>
      </c>
      <c r="H149" s="11">
        <f t="shared" si="21"/>
        <v>30.51</v>
      </c>
      <c r="I149" s="11">
        <f t="shared" si="22"/>
        <v>0.27</v>
      </c>
      <c r="J149" s="12">
        <f t="shared" si="23"/>
        <v>-30.51</v>
      </c>
      <c r="K149" s="17" t="str">
        <f t="shared" si="28"/>
        <v>Ecart négatif</v>
      </c>
      <c r="L149" s="16">
        <f>base!X149</f>
        <v>0</v>
      </c>
      <c r="M149" s="11">
        <f t="shared" si="24"/>
        <v>0</v>
      </c>
      <c r="N149" s="11">
        <f t="shared" si="25"/>
        <v>0</v>
      </c>
      <c r="O149" s="11">
        <f t="shared" si="26"/>
        <v>0</v>
      </c>
      <c r="P149" s="12">
        <f t="shared" si="27"/>
        <v>0</v>
      </c>
      <c r="Q149" s="17" t="str">
        <f t="shared" si="29"/>
        <v>Pas d'écart</v>
      </c>
    </row>
    <row r="150" spans="1:18" x14ac:dyDescent="0.3">
      <c r="A150" s="34">
        <f>base!J150</f>
        <v>0</v>
      </c>
      <c r="B150" s="34" t="str">
        <f>base!V150</f>
        <v>44240</v>
      </c>
      <c r="C150" s="37">
        <v>44</v>
      </c>
      <c r="D150" s="36">
        <f>base!H150</f>
        <v>93</v>
      </c>
      <c r="E150" s="44"/>
      <c r="F150" s="16">
        <f>base!W150</f>
        <v>0</v>
      </c>
      <c r="G150" s="11">
        <f t="shared" si="20"/>
        <v>0</v>
      </c>
      <c r="H150" s="11">
        <f t="shared" si="21"/>
        <v>25.110000000000003</v>
      </c>
      <c r="I150" s="11">
        <f t="shared" si="22"/>
        <v>0.27</v>
      </c>
      <c r="J150" s="12">
        <f t="shared" si="23"/>
        <v>-25.110000000000003</v>
      </c>
      <c r="K150" s="17" t="str">
        <f t="shared" si="28"/>
        <v>Ecart négatif</v>
      </c>
      <c r="L150" s="16">
        <f>base!X150</f>
        <v>0</v>
      </c>
      <c r="M150" s="11">
        <f t="shared" si="24"/>
        <v>0</v>
      </c>
      <c r="N150" s="11">
        <f t="shared" si="25"/>
        <v>0</v>
      </c>
      <c r="O150" s="11">
        <f t="shared" si="26"/>
        <v>0</v>
      </c>
      <c r="P150" s="12">
        <f t="shared" si="27"/>
        <v>0</v>
      </c>
      <c r="Q150" s="17" t="str">
        <f t="shared" si="29"/>
        <v>Pas d'écart</v>
      </c>
    </row>
    <row r="151" spans="1:18" x14ac:dyDescent="0.3">
      <c r="A151" s="34" t="str">
        <f>base!J151</f>
        <v>RS</v>
      </c>
      <c r="B151" s="34" t="str">
        <f>base!V151</f>
        <v>62400</v>
      </c>
      <c r="C151" s="37">
        <v>62</v>
      </c>
      <c r="D151" s="36">
        <f>base!H151</f>
        <v>250</v>
      </c>
      <c r="E151" s="44"/>
      <c r="F151" s="16">
        <f>base!W151</f>
        <v>0</v>
      </c>
      <c r="G151" s="11">
        <f t="shared" si="20"/>
        <v>0</v>
      </c>
      <c r="H151" s="11">
        <f t="shared" si="21"/>
        <v>47.5</v>
      </c>
      <c r="I151" s="11">
        <f t="shared" si="22"/>
        <v>0.19</v>
      </c>
      <c r="J151" s="12">
        <f t="shared" si="23"/>
        <v>-47.5</v>
      </c>
      <c r="K151" s="17" t="str">
        <f t="shared" si="28"/>
        <v>Ecart négatif</v>
      </c>
      <c r="L151" s="16">
        <f>base!X151</f>
        <v>0</v>
      </c>
      <c r="M151" s="11">
        <f t="shared" si="24"/>
        <v>0</v>
      </c>
      <c r="N151" s="11">
        <f t="shared" si="25"/>
        <v>0</v>
      </c>
      <c r="O151" s="11">
        <f t="shared" si="26"/>
        <v>0</v>
      </c>
      <c r="P151" s="12">
        <f t="shared" si="27"/>
        <v>0</v>
      </c>
      <c r="Q151" s="17" t="str">
        <f t="shared" si="29"/>
        <v>Pas d'écart</v>
      </c>
    </row>
    <row r="152" spans="1:18" x14ac:dyDescent="0.3">
      <c r="A152" s="34" t="str">
        <f>base!J152</f>
        <v>RS</v>
      </c>
      <c r="B152" s="34" t="str">
        <f>base!V152</f>
        <v>69410</v>
      </c>
      <c r="C152" s="37">
        <v>69</v>
      </c>
      <c r="D152" s="36">
        <f>base!H152</f>
        <v>1266.6300000000001</v>
      </c>
      <c r="E152" s="44"/>
      <c r="F152" s="16">
        <f>base!W152</f>
        <v>0</v>
      </c>
      <c r="G152" s="11">
        <f t="shared" si="20"/>
        <v>0</v>
      </c>
      <c r="H152" s="11">
        <f t="shared" si="21"/>
        <v>341.99010000000004</v>
      </c>
      <c r="I152" s="11">
        <f t="shared" si="22"/>
        <v>0.27</v>
      </c>
      <c r="J152" s="12">
        <f t="shared" si="23"/>
        <v>-341.99010000000004</v>
      </c>
      <c r="K152" s="17" t="str">
        <f t="shared" si="28"/>
        <v>Ecart négatif</v>
      </c>
      <c r="L152" s="16">
        <f>base!X152</f>
        <v>341.99</v>
      </c>
      <c r="M152" s="11">
        <f t="shared" si="24"/>
        <v>0.2699999210503462</v>
      </c>
      <c r="N152" s="11">
        <f t="shared" si="25"/>
        <v>0</v>
      </c>
      <c r="O152" s="11">
        <f t="shared" si="26"/>
        <v>0</v>
      </c>
      <c r="P152" s="12">
        <f t="shared" si="27"/>
        <v>341.99</v>
      </c>
      <c r="Q152" s="17" t="str">
        <f t="shared" si="29"/>
        <v>Ecart positif</v>
      </c>
      <c r="R152" s="38"/>
    </row>
    <row r="153" spans="1:18" x14ac:dyDescent="0.3">
      <c r="A153" s="34" t="str">
        <f>base!J153</f>
        <v>RM</v>
      </c>
      <c r="B153" s="34" t="str">
        <f>base!V153</f>
        <v>14000</v>
      </c>
      <c r="C153" s="37">
        <v>14</v>
      </c>
      <c r="D153" s="36">
        <f>base!H153</f>
        <v>151</v>
      </c>
      <c r="E153" s="44"/>
      <c r="F153" s="16">
        <f>base!W153</f>
        <v>0</v>
      </c>
      <c r="G153" s="11">
        <f t="shared" si="20"/>
        <v>0</v>
      </c>
      <c r="H153" s="11">
        <f t="shared" si="21"/>
        <v>25.67</v>
      </c>
      <c r="I153" s="11">
        <f t="shared" si="22"/>
        <v>0.17</v>
      </c>
      <c r="J153" s="12">
        <f t="shared" si="23"/>
        <v>-25.67</v>
      </c>
      <c r="K153" s="17" t="str">
        <f t="shared" si="28"/>
        <v>Ecart négatif</v>
      </c>
      <c r="L153" s="16">
        <f>base!X153</f>
        <v>25.67</v>
      </c>
      <c r="M153" s="11">
        <f t="shared" si="24"/>
        <v>0.17</v>
      </c>
      <c r="N153" s="11">
        <f t="shared" si="25"/>
        <v>25.67</v>
      </c>
      <c r="O153" s="11">
        <f t="shared" si="26"/>
        <v>0.17</v>
      </c>
      <c r="P153" s="12">
        <f t="shared" si="27"/>
        <v>0</v>
      </c>
      <c r="Q153" s="17" t="str">
        <f t="shared" si="29"/>
        <v>Pas d'écart</v>
      </c>
      <c r="R153" s="38"/>
    </row>
    <row r="154" spans="1:18" x14ac:dyDescent="0.3">
      <c r="A154" s="34" t="str">
        <f>base!J154</f>
        <v>RS</v>
      </c>
      <c r="B154" s="34" t="str">
        <f>base!V154</f>
        <v>14460</v>
      </c>
      <c r="C154" s="37">
        <v>14</v>
      </c>
      <c r="D154" s="36">
        <f>base!H154</f>
        <v>40</v>
      </c>
      <c r="E154" s="44"/>
      <c r="F154" s="16">
        <f>base!W154</f>
        <v>0</v>
      </c>
      <c r="G154" s="11">
        <f t="shared" si="20"/>
        <v>0</v>
      </c>
      <c r="H154" s="11">
        <f t="shared" si="21"/>
        <v>6.8000000000000007</v>
      </c>
      <c r="I154" s="11">
        <f t="shared" si="22"/>
        <v>0.17</v>
      </c>
      <c r="J154" s="12">
        <f t="shared" si="23"/>
        <v>-6.8000000000000007</v>
      </c>
      <c r="K154" s="17" t="str">
        <f t="shared" si="28"/>
        <v>Ecart négatif</v>
      </c>
      <c r="L154" s="16">
        <f>base!X154</f>
        <v>6.8</v>
      </c>
      <c r="M154" s="11">
        <f t="shared" si="24"/>
        <v>0.16999999999999998</v>
      </c>
      <c r="N154" s="11">
        <f t="shared" si="25"/>
        <v>6.8000000000000007</v>
      </c>
      <c r="O154" s="11">
        <f t="shared" si="26"/>
        <v>0.17</v>
      </c>
      <c r="P154" s="12">
        <f t="shared" si="27"/>
        <v>0</v>
      </c>
      <c r="Q154" s="17" t="str">
        <f t="shared" si="29"/>
        <v>Pas d'écart</v>
      </c>
    </row>
    <row r="155" spans="1:18" x14ac:dyDescent="0.3">
      <c r="A155" s="34" t="str">
        <f>base!J155</f>
        <v>RS</v>
      </c>
      <c r="B155" s="34" t="str">
        <f>base!V155</f>
        <v>14790</v>
      </c>
      <c r="C155" s="37">
        <v>14</v>
      </c>
      <c r="D155" s="36">
        <f>base!H155</f>
        <v>40</v>
      </c>
      <c r="E155" s="44"/>
      <c r="F155" s="16">
        <f>base!W155</f>
        <v>0</v>
      </c>
      <c r="G155" s="11">
        <f t="shared" si="20"/>
        <v>0</v>
      </c>
      <c r="H155" s="11">
        <f t="shared" si="21"/>
        <v>6.8000000000000007</v>
      </c>
      <c r="I155" s="11">
        <f t="shared" si="22"/>
        <v>0.17</v>
      </c>
      <c r="J155" s="12">
        <f t="shared" si="23"/>
        <v>-6.8000000000000007</v>
      </c>
      <c r="K155" s="17" t="str">
        <f t="shared" si="28"/>
        <v>Ecart négatif</v>
      </c>
      <c r="L155" s="16">
        <f>base!X155</f>
        <v>6.8</v>
      </c>
      <c r="M155" s="11">
        <f t="shared" si="24"/>
        <v>0.16999999999999998</v>
      </c>
      <c r="N155" s="11">
        <f t="shared" si="25"/>
        <v>6.8000000000000007</v>
      </c>
      <c r="O155" s="11">
        <f t="shared" si="26"/>
        <v>0.17</v>
      </c>
      <c r="P155" s="12">
        <f t="shared" si="27"/>
        <v>0</v>
      </c>
      <c r="Q155" s="17" t="str">
        <f t="shared" si="29"/>
        <v>Pas d'écart</v>
      </c>
    </row>
    <row r="156" spans="1:18" x14ac:dyDescent="0.3">
      <c r="A156" s="34" t="str">
        <f>base!J156</f>
        <v>RM</v>
      </c>
      <c r="B156" s="34" t="str">
        <f>base!V156</f>
        <v>37400</v>
      </c>
      <c r="C156" s="37">
        <v>37</v>
      </c>
      <c r="D156" s="36">
        <f>base!H156</f>
        <v>143.4</v>
      </c>
      <c r="E156" s="44"/>
      <c r="F156" s="16">
        <f>base!W156</f>
        <v>0</v>
      </c>
      <c r="G156" s="11">
        <f t="shared" si="20"/>
        <v>0</v>
      </c>
      <c r="H156" s="11">
        <f t="shared" si="21"/>
        <v>27.246000000000002</v>
      </c>
      <c r="I156" s="11">
        <f t="shared" si="22"/>
        <v>0.19</v>
      </c>
      <c r="J156" s="12">
        <f t="shared" si="23"/>
        <v>-27.246000000000002</v>
      </c>
      <c r="K156" s="17" t="str">
        <f t="shared" si="28"/>
        <v>Ecart négatif</v>
      </c>
      <c r="L156" s="16">
        <f>base!X156</f>
        <v>0</v>
      </c>
      <c r="M156" s="11">
        <f t="shared" si="24"/>
        <v>0</v>
      </c>
      <c r="N156" s="11">
        <f t="shared" si="25"/>
        <v>17.207999999999998</v>
      </c>
      <c r="O156" s="11">
        <f t="shared" si="26"/>
        <v>0.11999999999999998</v>
      </c>
      <c r="P156" s="12">
        <f t="shared" si="27"/>
        <v>-17.207999999999998</v>
      </c>
      <c r="Q156" s="17" t="str">
        <f t="shared" si="29"/>
        <v>Ecart négatif</v>
      </c>
    </row>
    <row r="157" spans="1:18" x14ac:dyDescent="0.3">
      <c r="A157" s="34" t="str">
        <f>base!J157</f>
        <v>DLM</v>
      </c>
      <c r="B157" s="34" t="str">
        <f>base!V157</f>
        <v>44800</v>
      </c>
      <c r="C157" s="37">
        <v>44</v>
      </c>
      <c r="D157" s="36">
        <f>base!H157</f>
        <v>181</v>
      </c>
      <c r="E157" s="44"/>
      <c r="F157" s="16">
        <f>base!W157</f>
        <v>0</v>
      </c>
      <c r="G157" s="11">
        <f t="shared" si="20"/>
        <v>0</v>
      </c>
      <c r="H157" s="11">
        <f t="shared" si="21"/>
        <v>48.870000000000005</v>
      </c>
      <c r="I157" s="11">
        <f t="shared" si="22"/>
        <v>0.27</v>
      </c>
      <c r="J157" s="12">
        <f t="shared" si="23"/>
        <v>-48.870000000000005</v>
      </c>
      <c r="K157" s="17" t="str">
        <f t="shared" si="28"/>
        <v>Ecart négatif</v>
      </c>
      <c r="L157" s="16">
        <f>base!X157</f>
        <v>0</v>
      </c>
      <c r="M157" s="11">
        <f t="shared" si="24"/>
        <v>0</v>
      </c>
      <c r="N157" s="11">
        <f t="shared" si="25"/>
        <v>0</v>
      </c>
      <c r="O157" s="11">
        <f t="shared" si="26"/>
        <v>0</v>
      </c>
      <c r="P157" s="12">
        <f t="shared" si="27"/>
        <v>0</v>
      </c>
      <c r="Q157" s="17" t="str">
        <f t="shared" si="29"/>
        <v>Pas d'écart</v>
      </c>
    </row>
    <row r="158" spans="1:18" x14ac:dyDescent="0.3">
      <c r="A158" s="34" t="str">
        <f>base!J158</f>
        <v>LM</v>
      </c>
      <c r="B158" s="34" t="str">
        <f>base!V158</f>
        <v>75014</v>
      </c>
      <c r="C158" s="37">
        <v>75</v>
      </c>
      <c r="D158" s="36">
        <f>base!H158</f>
        <v>19.649999999999999</v>
      </c>
      <c r="E158" s="44"/>
      <c r="F158" s="16">
        <f>base!W158</f>
        <v>0</v>
      </c>
      <c r="G158" s="11">
        <f t="shared" si="20"/>
        <v>0</v>
      </c>
      <c r="H158" s="11">
        <f t="shared" si="21"/>
        <v>0</v>
      </c>
      <c r="I158" s="11">
        <f t="shared" si="22"/>
        <v>0</v>
      </c>
      <c r="J158" s="12">
        <f t="shared" si="23"/>
        <v>0</v>
      </c>
      <c r="K158" s="17" t="str">
        <f t="shared" si="28"/>
        <v>Pas d'écart</v>
      </c>
      <c r="L158" s="16">
        <f>base!X158</f>
        <v>0</v>
      </c>
      <c r="M158" s="11">
        <f t="shared" si="24"/>
        <v>0</v>
      </c>
      <c r="N158" s="11">
        <f t="shared" si="25"/>
        <v>0</v>
      </c>
      <c r="O158" s="11">
        <f t="shared" si="26"/>
        <v>0</v>
      </c>
      <c r="P158" s="12">
        <f t="shared" si="27"/>
        <v>0</v>
      </c>
      <c r="Q158" s="17" t="str">
        <f t="shared" si="29"/>
        <v>Pas d'écart</v>
      </c>
    </row>
    <row r="159" spans="1:18" x14ac:dyDescent="0.3">
      <c r="A159" s="34" t="str">
        <f>base!J159</f>
        <v>LM</v>
      </c>
      <c r="B159" s="34" t="str">
        <f>base!V159</f>
        <v>75014</v>
      </c>
      <c r="C159" s="37">
        <v>75</v>
      </c>
      <c r="D159" s="36">
        <f>base!H159</f>
        <v>19.649999999999999</v>
      </c>
      <c r="E159" s="44"/>
      <c r="F159" s="16">
        <f>base!W159</f>
        <v>0</v>
      </c>
      <c r="G159" s="11">
        <f t="shared" si="20"/>
        <v>0</v>
      </c>
      <c r="H159" s="11">
        <f t="shared" si="21"/>
        <v>0</v>
      </c>
      <c r="I159" s="11">
        <f t="shared" si="22"/>
        <v>0</v>
      </c>
      <c r="J159" s="12">
        <f t="shared" si="23"/>
        <v>0</v>
      </c>
      <c r="K159" s="17" t="str">
        <f t="shared" si="28"/>
        <v>Pas d'écart</v>
      </c>
      <c r="L159" s="16">
        <f>base!X159</f>
        <v>0</v>
      </c>
      <c r="M159" s="11">
        <f t="shared" si="24"/>
        <v>0</v>
      </c>
      <c r="N159" s="11">
        <f t="shared" si="25"/>
        <v>0</v>
      </c>
      <c r="O159" s="11">
        <f t="shared" si="26"/>
        <v>0</v>
      </c>
      <c r="P159" s="12">
        <f t="shared" si="27"/>
        <v>0</v>
      </c>
      <c r="Q159" s="17" t="str">
        <f t="shared" si="29"/>
        <v>Pas d'écart</v>
      </c>
    </row>
    <row r="160" spans="1:18" x14ac:dyDescent="0.3">
      <c r="A160" s="34" t="str">
        <f>base!J160</f>
        <v>LM</v>
      </c>
      <c r="B160" s="34" t="str">
        <f>base!V160</f>
        <v>75014</v>
      </c>
      <c r="C160" s="37">
        <v>75</v>
      </c>
      <c r="D160" s="36">
        <f>base!H160</f>
        <v>19.649999999999999</v>
      </c>
      <c r="E160" s="44"/>
      <c r="F160" s="16">
        <f>base!W160</f>
        <v>0</v>
      </c>
      <c r="G160" s="11">
        <f t="shared" si="20"/>
        <v>0</v>
      </c>
      <c r="H160" s="11">
        <f t="shared" si="21"/>
        <v>0</v>
      </c>
      <c r="I160" s="11">
        <f t="shared" si="22"/>
        <v>0</v>
      </c>
      <c r="J160" s="12">
        <f t="shared" si="23"/>
        <v>0</v>
      </c>
      <c r="K160" s="17" t="str">
        <f t="shared" si="28"/>
        <v>Pas d'écart</v>
      </c>
      <c r="L160" s="16">
        <f>base!X160</f>
        <v>0</v>
      </c>
      <c r="M160" s="11">
        <f t="shared" si="24"/>
        <v>0</v>
      </c>
      <c r="N160" s="11">
        <f t="shared" si="25"/>
        <v>0</v>
      </c>
      <c r="O160" s="11">
        <f t="shared" si="26"/>
        <v>0</v>
      </c>
      <c r="P160" s="12">
        <f t="shared" si="27"/>
        <v>0</v>
      </c>
      <c r="Q160" s="17" t="str">
        <f t="shared" si="29"/>
        <v>Pas d'écart</v>
      </c>
    </row>
    <row r="161" spans="1:17" x14ac:dyDescent="0.3">
      <c r="A161" s="34" t="str">
        <f>base!J161</f>
        <v>LM</v>
      </c>
      <c r="B161" s="34" t="str">
        <f>base!V161</f>
        <v>75014</v>
      </c>
      <c r="C161" s="37">
        <v>75</v>
      </c>
      <c r="D161" s="36">
        <f>base!H161</f>
        <v>19.649999999999999</v>
      </c>
      <c r="E161" s="44"/>
      <c r="F161" s="16">
        <f>base!W161</f>
        <v>0</v>
      </c>
      <c r="G161" s="11">
        <f t="shared" si="20"/>
        <v>0</v>
      </c>
      <c r="H161" s="11">
        <f t="shared" si="21"/>
        <v>0</v>
      </c>
      <c r="I161" s="11">
        <f t="shared" si="22"/>
        <v>0</v>
      </c>
      <c r="J161" s="12">
        <f t="shared" si="23"/>
        <v>0</v>
      </c>
      <c r="K161" s="17" t="str">
        <f t="shared" si="28"/>
        <v>Pas d'écart</v>
      </c>
      <c r="L161" s="16">
        <f>base!X161</f>
        <v>0</v>
      </c>
      <c r="M161" s="11">
        <f t="shared" si="24"/>
        <v>0</v>
      </c>
      <c r="N161" s="11">
        <f t="shared" si="25"/>
        <v>0</v>
      </c>
      <c r="O161" s="11">
        <f t="shared" si="26"/>
        <v>0</v>
      </c>
      <c r="P161" s="12">
        <f t="shared" si="27"/>
        <v>0</v>
      </c>
      <c r="Q161" s="17" t="str">
        <f t="shared" si="29"/>
        <v>Pas d'écart</v>
      </c>
    </row>
    <row r="162" spans="1:17" x14ac:dyDescent="0.3">
      <c r="A162" s="34" t="str">
        <f>base!J162</f>
        <v>LM</v>
      </c>
      <c r="B162" s="34" t="str">
        <f>base!V162</f>
        <v>75014</v>
      </c>
      <c r="C162" s="37">
        <v>75</v>
      </c>
      <c r="D162" s="36">
        <f>base!H162</f>
        <v>19.649999999999999</v>
      </c>
      <c r="E162" s="44"/>
      <c r="F162" s="16">
        <f>base!W162</f>
        <v>0</v>
      </c>
      <c r="G162" s="11">
        <f t="shared" si="20"/>
        <v>0</v>
      </c>
      <c r="H162" s="11">
        <f t="shared" si="21"/>
        <v>0</v>
      </c>
      <c r="I162" s="11">
        <f t="shared" si="22"/>
        <v>0</v>
      </c>
      <c r="J162" s="12">
        <f t="shared" si="23"/>
        <v>0</v>
      </c>
      <c r="K162" s="17" t="str">
        <f t="shared" si="28"/>
        <v>Pas d'écart</v>
      </c>
      <c r="L162" s="16">
        <f>base!X162</f>
        <v>0</v>
      </c>
      <c r="M162" s="11">
        <f t="shared" si="24"/>
        <v>0</v>
      </c>
      <c r="N162" s="11">
        <f t="shared" si="25"/>
        <v>0</v>
      </c>
      <c r="O162" s="11">
        <f t="shared" si="26"/>
        <v>0</v>
      </c>
      <c r="P162" s="12">
        <f t="shared" si="27"/>
        <v>0</v>
      </c>
      <c r="Q162" s="17" t="str">
        <f t="shared" si="29"/>
        <v>Pas d'écart</v>
      </c>
    </row>
    <row r="163" spans="1:17" x14ac:dyDescent="0.3">
      <c r="A163" s="34" t="str">
        <f>base!J163</f>
        <v>LM</v>
      </c>
      <c r="B163" s="34" t="str">
        <f>base!V163</f>
        <v>75014</v>
      </c>
      <c r="C163" s="37">
        <v>75</v>
      </c>
      <c r="D163" s="36">
        <f>base!H163</f>
        <v>19.649999999999999</v>
      </c>
      <c r="E163" s="44"/>
      <c r="F163" s="16">
        <f>base!W163</f>
        <v>0</v>
      </c>
      <c r="G163" s="11">
        <f t="shared" si="20"/>
        <v>0</v>
      </c>
      <c r="H163" s="11">
        <f t="shared" si="21"/>
        <v>0</v>
      </c>
      <c r="I163" s="11">
        <f t="shared" si="22"/>
        <v>0</v>
      </c>
      <c r="J163" s="12">
        <f t="shared" si="23"/>
        <v>0</v>
      </c>
      <c r="K163" s="17" t="str">
        <f t="shared" si="28"/>
        <v>Pas d'écart</v>
      </c>
      <c r="L163" s="16">
        <f>base!X163</f>
        <v>0</v>
      </c>
      <c r="M163" s="11">
        <f t="shared" si="24"/>
        <v>0</v>
      </c>
      <c r="N163" s="11">
        <f t="shared" si="25"/>
        <v>0</v>
      </c>
      <c r="O163" s="11">
        <f t="shared" si="26"/>
        <v>0</v>
      </c>
      <c r="P163" s="12">
        <f t="shared" si="27"/>
        <v>0</v>
      </c>
      <c r="Q163" s="17" t="str">
        <f t="shared" si="29"/>
        <v>Pas d'écart</v>
      </c>
    </row>
    <row r="164" spans="1:17" x14ac:dyDescent="0.3">
      <c r="A164" s="34" t="str">
        <f>base!J164</f>
        <v>LM</v>
      </c>
      <c r="B164" s="34" t="str">
        <f>base!V164</f>
        <v>75014</v>
      </c>
      <c r="C164" s="37">
        <v>75</v>
      </c>
      <c r="D164" s="36">
        <f>base!H164</f>
        <v>19.649999999999999</v>
      </c>
      <c r="E164" s="44"/>
      <c r="F164" s="16">
        <f>base!W164</f>
        <v>0</v>
      </c>
      <c r="G164" s="11">
        <f t="shared" si="20"/>
        <v>0</v>
      </c>
      <c r="H164" s="11">
        <f t="shared" si="21"/>
        <v>0</v>
      </c>
      <c r="I164" s="11">
        <f t="shared" si="22"/>
        <v>0</v>
      </c>
      <c r="J164" s="12">
        <f t="shared" si="23"/>
        <v>0</v>
      </c>
      <c r="K164" s="17" t="str">
        <f t="shared" si="28"/>
        <v>Pas d'écart</v>
      </c>
      <c r="L164" s="16">
        <f>base!X164</f>
        <v>0</v>
      </c>
      <c r="M164" s="11">
        <f t="shared" si="24"/>
        <v>0</v>
      </c>
      <c r="N164" s="11">
        <f t="shared" si="25"/>
        <v>0</v>
      </c>
      <c r="O164" s="11">
        <f t="shared" si="26"/>
        <v>0</v>
      </c>
      <c r="P164" s="12">
        <f t="shared" si="27"/>
        <v>0</v>
      </c>
      <c r="Q164" s="17" t="str">
        <f t="shared" si="29"/>
        <v>Pas d'écart</v>
      </c>
    </row>
    <row r="165" spans="1:17" x14ac:dyDescent="0.3">
      <c r="A165" s="34" t="str">
        <f>base!J165</f>
        <v>LS</v>
      </c>
      <c r="B165" s="34" t="str">
        <f>base!V165</f>
        <v>75017</v>
      </c>
      <c r="C165" s="37">
        <v>75</v>
      </c>
      <c r="D165" s="36">
        <f>base!H165</f>
        <v>55.21</v>
      </c>
      <c r="E165" s="44"/>
      <c r="F165" s="16">
        <f>base!W165</f>
        <v>0</v>
      </c>
      <c r="G165" s="11">
        <f t="shared" si="20"/>
        <v>0</v>
      </c>
      <c r="H165" s="11">
        <f t="shared" si="21"/>
        <v>0</v>
      </c>
      <c r="I165" s="11">
        <f t="shared" si="22"/>
        <v>0</v>
      </c>
      <c r="J165" s="12">
        <f t="shared" si="23"/>
        <v>0</v>
      </c>
      <c r="K165" s="17" t="str">
        <f t="shared" si="28"/>
        <v>Pas d'écart</v>
      </c>
      <c r="L165" s="16">
        <f>base!X165</f>
        <v>0</v>
      </c>
      <c r="M165" s="11">
        <f t="shared" si="24"/>
        <v>0</v>
      </c>
      <c r="N165" s="11">
        <f t="shared" si="25"/>
        <v>0</v>
      </c>
      <c r="O165" s="11">
        <f t="shared" si="26"/>
        <v>0</v>
      </c>
      <c r="P165" s="12">
        <f t="shared" si="27"/>
        <v>0</v>
      </c>
      <c r="Q165" s="17" t="str">
        <f t="shared" si="29"/>
        <v>Pas d'écart</v>
      </c>
    </row>
    <row r="166" spans="1:17" x14ac:dyDescent="0.3">
      <c r="A166" s="34" t="str">
        <f>base!J166</f>
        <v>LS</v>
      </c>
      <c r="B166" s="34" t="str">
        <f>base!V166</f>
        <v>14000</v>
      </c>
      <c r="C166" s="37">
        <v>57</v>
      </c>
      <c r="D166" s="36">
        <f>base!H166</f>
        <v>45</v>
      </c>
      <c r="E166" s="44"/>
      <c r="F166" s="16">
        <f>base!W166</f>
        <v>7.65</v>
      </c>
      <c r="G166" s="11">
        <f t="shared" si="20"/>
        <v>0.17</v>
      </c>
      <c r="H166" s="11">
        <f t="shared" si="21"/>
        <v>10.799999999999999</v>
      </c>
      <c r="I166" s="11">
        <f t="shared" si="22"/>
        <v>0.23999999999999996</v>
      </c>
      <c r="J166" s="12">
        <f t="shared" si="23"/>
        <v>-3.1499999999999986</v>
      </c>
      <c r="K166" s="17" t="str">
        <f t="shared" si="28"/>
        <v>Ecart négatif</v>
      </c>
      <c r="L166" s="16">
        <f>base!X166</f>
        <v>0</v>
      </c>
      <c r="M166" s="11">
        <f t="shared" si="24"/>
        <v>0</v>
      </c>
      <c r="N166" s="11">
        <f t="shared" si="25"/>
        <v>11.25</v>
      </c>
      <c r="O166" s="11">
        <f t="shared" si="26"/>
        <v>0.25</v>
      </c>
      <c r="P166" s="12">
        <f t="shared" si="27"/>
        <v>-11.25</v>
      </c>
      <c r="Q166" s="17" t="str">
        <f t="shared" si="29"/>
        <v>Ecart négatif</v>
      </c>
    </row>
    <row r="167" spans="1:17" x14ac:dyDescent="0.3">
      <c r="A167" s="34" t="str">
        <f>base!J167</f>
        <v>LS</v>
      </c>
      <c r="B167" s="34" t="str">
        <f>base!V167</f>
        <v>42110</v>
      </c>
      <c r="C167" s="37">
        <v>83</v>
      </c>
      <c r="D167" s="36">
        <f>base!H167</f>
        <v>141.65</v>
      </c>
      <c r="E167" s="44"/>
      <c r="F167" s="16">
        <f>base!W167</f>
        <v>38.25</v>
      </c>
      <c r="G167" s="11">
        <f t="shared" si="20"/>
        <v>0.27003176844334625</v>
      </c>
      <c r="H167" s="11">
        <f t="shared" si="21"/>
        <v>42.494999999999997</v>
      </c>
      <c r="I167" s="11">
        <f t="shared" si="22"/>
        <v>0.3</v>
      </c>
      <c r="J167" s="12">
        <f t="shared" si="23"/>
        <v>-4.2449999999999974</v>
      </c>
      <c r="K167" s="17" t="str">
        <f t="shared" si="28"/>
        <v>Ecart négatif</v>
      </c>
      <c r="L167" s="16">
        <f>base!X167</f>
        <v>0</v>
      </c>
      <c r="M167" s="11">
        <f t="shared" si="24"/>
        <v>0</v>
      </c>
      <c r="N167" s="11">
        <f t="shared" si="25"/>
        <v>29.746500000000001</v>
      </c>
      <c r="O167" s="11">
        <f t="shared" si="26"/>
        <v>0.21</v>
      </c>
      <c r="P167" s="12">
        <f t="shared" si="27"/>
        <v>-29.746500000000001</v>
      </c>
      <c r="Q167" s="17" t="str">
        <f t="shared" si="29"/>
        <v>Ecart négatif</v>
      </c>
    </row>
    <row r="168" spans="1:17" x14ac:dyDescent="0.3">
      <c r="A168" s="34" t="str">
        <f>base!J168</f>
        <v>RM</v>
      </c>
      <c r="B168" s="34" t="str">
        <f>base!V168</f>
        <v>62740</v>
      </c>
      <c r="C168" s="37">
        <v>62</v>
      </c>
      <c r="D168" s="36">
        <f>base!H168</f>
        <v>140.72</v>
      </c>
      <c r="E168" s="44"/>
      <c r="F168" s="16">
        <f>base!W168</f>
        <v>0</v>
      </c>
      <c r="G168" s="11">
        <f t="shared" si="20"/>
        <v>0</v>
      </c>
      <c r="H168" s="11">
        <f t="shared" si="21"/>
        <v>26.736799999999999</v>
      </c>
      <c r="I168" s="11">
        <f t="shared" si="22"/>
        <v>0.19</v>
      </c>
      <c r="J168" s="12">
        <f t="shared" si="23"/>
        <v>-26.736799999999999</v>
      </c>
      <c r="K168" s="17" t="str">
        <f t="shared" si="28"/>
        <v>Ecart négatif</v>
      </c>
      <c r="L168" s="16">
        <f>base!X168</f>
        <v>0</v>
      </c>
      <c r="M168" s="11">
        <f t="shared" si="24"/>
        <v>0</v>
      </c>
      <c r="N168" s="11">
        <f t="shared" si="25"/>
        <v>0</v>
      </c>
      <c r="O168" s="11">
        <f t="shared" si="26"/>
        <v>0</v>
      </c>
      <c r="P168" s="12">
        <f t="shared" si="27"/>
        <v>0</v>
      </c>
      <c r="Q168" s="17" t="str">
        <f t="shared" si="29"/>
        <v>Pas d'écart</v>
      </c>
    </row>
    <row r="169" spans="1:17" x14ac:dyDescent="0.3">
      <c r="A169" s="34" t="str">
        <f>base!J169</f>
        <v>RM</v>
      </c>
      <c r="B169" s="34" t="str">
        <f>base!V169</f>
        <v>62740</v>
      </c>
      <c r="C169" s="37">
        <v>62</v>
      </c>
      <c r="D169" s="36">
        <f>base!H169</f>
        <v>25</v>
      </c>
      <c r="E169" s="44"/>
      <c r="F169" s="16">
        <f>base!W169</f>
        <v>0</v>
      </c>
      <c r="G169" s="11">
        <f t="shared" si="20"/>
        <v>0</v>
      </c>
      <c r="H169" s="11">
        <f t="shared" si="21"/>
        <v>4.75</v>
      </c>
      <c r="I169" s="11">
        <f t="shared" si="22"/>
        <v>0.19</v>
      </c>
      <c r="J169" s="12">
        <f t="shared" si="23"/>
        <v>-4.75</v>
      </c>
      <c r="K169" s="17" t="str">
        <f t="shared" si="28"/>
        <v>Ecart négatif</v>
      </c>
      <c r="L169" s="16">
        <f>base!X169</f>
        <v>0</v>
      </c>
      <c r="M169" s="11">
        <f t="shared" si="24"/>
        <v>0</v>
      </c>
      <c r="N169" s="11">
        <f t="shared" si="25"/>
        <v>0</v>
      </c>
      <c r="O169" s="11">
        <f t="shared" si="26"/>
        <v>0</v>
      </c>
      <c r="P169" s="12">
        <f t="shared" si="27"/>
        <v>0</v>
      </c>
      <c r="Q169" s="17" t="str">
        <f t="shared" si="29"/>
        <v>Pas d'écart</v>
      </c>
    </row>
    <row r="170" spans="1:17" x14ac:dyDescent="0.3">
      <c r="A170" s="34" t="str">
        <f>base!J170</f>
        <v>RM</v>
      </c>
      <c r="B170" s="34" t="str">
        <f>base!V170</f>
        <v>62740</v>
      </c>
      <c r="C170" s="37">
        <v>62</v>
      </c>
      <c r="D170" s="36">
        <f>base!H170</f>
        <v>32.6</v>
      </c>
      <c r="E170" s="44"/>
      <c r="F170" s="16">
        <f>base!W170</f>
        <v>0</v>
      </c>
      <c r="G170" s="11">
        <f t="shared" si="20"/>
        <v>0</v>
      </c>
      <c r="H170" s="11">
        <f t="shared" si="21"/>
        <v>6.194</v>
      </c>
      <c r="I170" s="11">
        <f t="shared" si="22"/>
        <v>0.19</v>
      </c>
      <c r="J170" s="12">
        <f t="shared" si="23"/>
        <v>-6.194</v>
      </c>
      <c r="K170" s="17" t="str">
        <f t="shared" si="28"/>
        <v>Ecart négatif</v>
      </c>
      <c r="L170" s="16">
        <f>base!X170</f>
        <v>0</v>
      </c>
      <c r="M170" s="11">
        <f t="shared" si="24"/>
        <v>0</v>
      </c>
      <c r="N170" s="11">
        <f t="shared" si="25"/>
        <v>0</v>
      </c>
      <c r="O170" s="11">
        <f t="shared" si="26"/>
        <v>0</v>
      </c>
      <c r="P170" s="12">
        <f t="shared" si="27"/>
        <v>0</v>
      </c>
      <c r="Q170" s="17" t="str">
        <f t="shared" si="29"/>
        <v>Pas d'écart</v>
      </c>
    </row>
    <row r="171" spans="1:17" x14ac:dyDescent="0.3">
      <c r="A171" s="34">
        <f>base!J171</f>
        <v>0</v>
      </c>
      <c r="B171" s="34" t="str">
        <f>base!V171</f>
        <v>77184</v>
      </c>
      <c r="C171" s="37">
        <v>77</v>
      </c>
      <c r="D171" s="36">
        <f>base!H171</f>
        <v>140</v>
      </c>
      <c r="E171" s="44"/>
      <c r="F171" s="16">
        <f>base!W171</f>
        <v>0</v>
      </c>
      <c r="G171" s="11">
        <f t="shared" si="20"/>
        <v>0</v>
      </c>
      <c r="H171" s="11">
        <f t="shared" si="21"/>
        <v>0</v>
      </c>
      <c r="I171" s="11">
        <f t="shared" si="22"/>
        <v>0</v>
      </c>
      <c r="J171" s="12">
        <f t="shared" si="23"/>
        <v>0</v>
      </c>
      <c r="K171" s="17" t="str">
        <f t="shared" si="28"/>
        <v>Pas d'écart</v>
      </c>
      <c r="L171" s="16">
        <f>base!X171</f>
        <v>0</v>
      </c>
      <c r="M171" s="11">
        <f t="shared" si="24"/>
        <v>0</v>
      </c>
      <c r="N171" s="11">
        <f t="shared" si="25"/>
        <v>0</v>
      </c>
      <c r="O171" s="11">
        <f t="shared" si="26"/>
        <v>0</v>
      </c>
      <c r="P171" s="12">
        <f t="shared" si="27"/>
        <v>0</v>
      </c>
      <c r="Q171" s="17" t="str">
        <f t="shared" si="29"/>
        <v>Pas d'écart</v>
      </c>
    </row>
    <row r="172" spans="1:17" x14ac:dyDescent="0.3">
      <c r="A172" s="34" t="str">
        <f>base!J172</f>
        <v>LS</v>
      </c>
      <c r="B172" s="34" t="str">
        <f>base!V172</f>
        <v>13008</v>
      </c>
      <c r="C172" s="37">
        <v>13</v>
      </c>
      <c r="D172" s="36">
        <f>base!H172</f>
        <v>0</v>
      </c>
      <c r="E172" s="44"/>
      <c r="F172" s="16">
        <f>base!W172</f>
        <v>0</v>
      </c>
      <c r="G172" s="11" t="e">
        <f t="shared" si="20"/>
        <v>#DIV/0!</v>
      </c>
      <c r="H172" s="11">
        <f t="shared" si="21"/>
        <v>0</v>
      </c>
      <c r="I172" s="11" t="e">
        <f t="shared" si="22"/>
        <v>#DIV/0!</v>
      </c>
      <c r="J172" s="12">
        <f t="shared" si="23"/>
        <v>0</v>
      </c>
      <c r="K172" s="17" t="str">
        <f t="shared" si="28"/>
        <v>Pas d'écart</v>
      </c>
      <c r="L172" s="16">
        <f>base!X172</f>
        <v>0</v>
      </c>
      <c r="M172" s="11" t="e">
        <f t="shared" si="24"/>
        <v>#DIV/0!</v>
      </c>
      <c r="N172" s="11">
        <f t="shared" si="25"/>
        <v>0</v>
      </c>
      <c r="O172" s="11" t="e">
        <f t="shared" si="26"/>
        <v>#DIV/0!</v>
      </c>
      <c r="P172" s="12">
        <f t="shared" si="27"/>
        <v>0</v>
      </c>
      <c r="Q172" s="17" t="str">
        <f t="shared" si="29"/>
        <v>Pas d'écart</v>
      </c>
    </row>
    <row r="173" spans="1:17" x14ac:dyDescent="0.3">
      <c r="A173" s="34">
        <f>base!J173</f>
        <v>0</v>
      </c>
      <c r="B173" s="34" t="str">
        <f>base!V173</f>
        <v>77184</v>
      </c>
      <c r="C173" s="37">
        <v>77</v>
      </c>
      <c r="D173" s="36">
        <f>base!H173</f>
        <v>190.59</v>
      </c>
      <c r="E173" s="44"/>
      <c r="F173" s="16">
        <f>base!W173</f>
        <v>0</v>
      </c>
      <c r="G173" s="11">
        <f t="shared" si="20"/>
        <v>0</v>
      </c>
      <c r="H173" s="11">
        <f t="shared" si="21"/>
        <v>0</v>
      </c>
      <c r="I173" s="11">
        <f t="shared" si="22"/>
        <v>0</v>
      </c>
      <c r="J173" s="12">
        <f t="shared" si="23"/>
        <v>0</v>
      </c>
      <c r="K173" s="17" t="str">
        <f t="shared" si="28"/>
        <v>Pas d'écart</v>
      </c>
      <c r="L173" s="16">
        <f>base!X173</f>
        <v>0</v>
      </c>
      <c r="M173" s="11">
        <f t="shared" si="24"/>
        <v>0</v>
      </c>
      <c r="N173" s="11">
        <f t="shared" si="25"/>
        <v>0</v>
      </c>
      <c r="O173" s="11">
        <f t="shared" si="26"/>
        <v>0</v>
      </c>
      <c r="P173" s="12">
        <f t="shared" si="27"/>
        <v>0</v>
      </c>
      <c r="Q173" s="17" t="str">
        <f t="shared" si="29"/>
        <v>Pas d'écart</v>
      </c>
    </row>
    <row r="174" spans="1:17" x14ac:dyDescent="0.3">
      <c r="A174" s="34" t="str">
        <f>base!J174</f>
        <v>LM</v>
      </c>
      <c r="B174" s="34" t="str">
        <f>base!V174</f>
        <v>62600</v>
      </c>
      <c r="C174" s="37">
        <v>25</v>
      </c>
      <c r="D174" s="36">
        <f>base!H174</f>
        <v>139.19999999999999</v>
      </c>
      <c r="E174" s="44"/>
      <c r="F174" s="16">
        <f>base!W174</f>
        <v>26.45</v>
      </c>
      <c r="G174" s="11">
        <f t="shared" si="20"/>
        <v>0.19001436781609196</v>
      </c>
      <c r="H174" s="11">
        <f t="shared" si="21"/>
        <v>33.407999999999994</v>
      </c>
      <c r="I174" s="11">
        <f t="shared" si="22"/>
        <v>0.24</v>
      </c>
      <c r="J174" s="12">
        <f t="shared" si="23"/>
        <v>-6.9579999999999949</v>
      </c>
      <c r="K174" s="17" t="str">
        <f t="shared" si="28"/>
        <v>Ecart négatif</v>
      </c>
      <c r="L174" s="16">
        <f>base!X174</f>
        <v>0</v>
      </c>
      <c r="M174" s="11">
        <f t="shared" si="24"/>
        <v>0</v>
      </c>
      <c r="N174" s="11">
        <f t="shared" si="25"/>
        <v>16.703999999999997</v>
      </c>
      <c r="O174" s="11">
        <f t="shared" si="26"/>
        <v>0.12</v>
      </c>
      <c r="P174" s="12">
        <f t="shared" si="27"/>
        <v>-16.703999999999997</v>
      </c>
      <c r="Q174" s="17" t="str">
        <f t="shared" si="29"/>
        <v>Ecart négatif</v>
      </c>
    </row>
    <row r="175" spans="1:17" x14ac:dyDescent="0.3">
      <c r="A175" s="34" t="str">
        <f>base!J175</f>
        <v>LM</v>
      </c>
      <c r="B175" s="34" t="str">
        <f>base!V175</f>
        <v>62600</v>
      </c>
      <c r="C175" s="37">
        <v>83</v>
      </c>
      <c r="D175" s="36">
        <f>base!H175</f>
        <v>139.19999999999999</v>
      </c>
      <c r="E175" s="44"/>
      <c r="F175" s="16">
        <f>base!W175</f>
        <v>26.45</v>
      </c>
      <c r="G175" s="11">
        <f t="shared" si="20"/>
        <v>0.19001436781609196</v>
      </c>
      <c r="H175" s="11">
        <f t="shared" si="21"/>
        <v>41.76</v>
      </c>
      <c r="I175" s="11">
        <f t="shared" si="22"/>
        <v>0.3</v>
      </c>
      <c r="J175" s="12">
        <f t="shared" si="23"/>
        <v>-15.309999999999999</v>
      </c>
      <c r="K175" s="17" t="str">
        <f t="shared" si="28"/>
        <v>Ecart négatif</v>
      </c>
      <c r="L175" s="16">
        <f>base!X175</f>
        <v>0</v>
      </c>
      <c r="M175" s="11">
        <f t="shared" si="24"/>
        <v>0</v>
      </c>
      <c r="N175" s="11">
        <f t="shared" si="25"/>
        <v>29.231999999999996</v>
      </c>
      <c r="O175" s="11">
        <f t="shared" si="26"/>
        <v>0.21</v>
      </c>
      <c r="P175" s="12">
        <f t="shared" si="27"/>
        <v>-29.231999999999996</v>
      </c>
      <c r="Q175" s="17" t="str">
        <f t="shared" si="29"/>
        <v>Ecart négatif</v>
      </c>
    </row>
    <row r="176" spans="1:17" x14ac:dyDescent="0.3">
      <c r="A176" s="34" t="str">
        <f>base!J176</f>
        <v>LS</v>
      </c>
      <c r="B176" s="34" t="str">
        <f>base!V176</f>
        <v>34980</v>
      </c>
      <c r="C176" s="37">
        <v>89</v>
      </c>
      <c r="D176" s="36">
        <f>base!H176</f>
        <v>131.65</v>
      </c>
      <c r="E176" s="44"/>
      <c r="F176" s="16">
        <f>base!W176</f>
        <v>51.34</v>
      </c>
      <c r="G176" s="11">
        <f t="shared" si="20"/>
        <v>0.38997341435624766</v>
      </c>
      <c r="H176" s="11">
        <f t="shared" si="21"/>
        <v>30.279500000000002</v>
      </c>
      <c r="I176" s="11">
        <f t="shared" si="22"/>
        <v>0.23</v>
      </c>
      <c r="J176" s="12">
        <f t="shared" si="23"/>
        <v>21.060500000000001</v>
      </c>
      <c r="K176" s="17" t="str">
        <f t="shared" si="28"/>
        <v>Ecart positif</v>
      </c>
      <c r="L176" s="16">
        <f>base!X176</f>
        <v>0</v>
      </c>
      <c r="M176" s="11">
        <f t="shared" si="24"/>
        <v>0</v>
      </c>
      <c r="N176" s="11">
        <f t="shared" si="25"/>
        <v>15.798</v>
      </c>
      <c r="O176" s="11">
        <f t="shared" si="26"/>
        <v>0.12</v>
      </c>
      <c r="P176" s="12">
        <f t="shared" si="27"/>
        <v>-15.798</v>
      </c>
      <c r="Q176" s="17" t="str">
        <f t="shared" si="29"/>
        <v>Ecart négatif</v>
      </c>
    </row>
    <row r="177" spans="1:18" x14ac:dyDescent="0.3">
      <c r="A177" s="34" t="str">
        <f>base!J177</f>
        <v>LS</v>
      </c>
      <c r="B177" s="34" t="str">
        <f>base!V177</f>
        <v>80000</v>
      </c>
      <c r="C177" s="37">
        <v>82</v>
      </c>
      <c r="D177" s="36">
        <f>base!H177</f>
        <v>125</v>
      </c>
      <c r="E177" s="44"/>
      <c r="F177" s="16">
        <f>base!W177</f>
        <v>23.75</v>
      </c>
      <c r="G177" s="11">
        <f t="shared" si="20"/>
        <v>0.19</v>
      </c>
      <c r="H177" s="11">
        <f t="shared" si="21"/>
        <v>27.5</v>
      </c>
      <c r="I177" s="11">
        <f t="shared" si="22"/>
        <v>0.22</v>
      </c>
      <c r="J177" s="12">
        <f t="shared" si="23"/>
        <v>-3.75</v>
      </c>
      <c r="K177" s="17" t="str">
        <f t="shared" si="28"/>
        <v>Ecart négatif</v>
      </c>
      <c r="L177" s="16">
        <f>base!X177</f>
        <v>0</v>
      </c>
      <c r="M177" s="11">
        <f t="shared" si="24"/>
        <v>0</v>
      </c>
      <c r="N177" s="11">
        <f t="shared" si="25"/>
        <v>32.5</v>
      </c>
      <c r="O177" s="11">
        <f t="shared" si="26"/>
        <v>0.26</v>
      </c>
      <c r="P177" s="12">
        <f t="shared" si="27"/>
        <v>-32.5</v>
      </c>
      <c r="Q177" s="17" t="str">
        <f t="shared" si="29"/>
        <v>Ecart négatif</v>
      </c>
    </row>
    <row r="178" spans="1:18" x14ac:dyDescent="0.3">
      <c r="A178" s="34" t="str">
        <f>base!J178</f>
        <v>RS</v>
      </c>
      <c r="B178" s="34" t="str">
        <f>base!V178</f>
        <v>59159</v>
      </c>
      <c r="C178" s="37">
        <v>59</v>
      </c>
      <c r="D178" s="36">
        <f>base!H178</f>
        <v>151</v>
      </c>
      <c r="E178" s="44"/>
      <c r="F178" s="16">
        <f>base!W178</f>
        <v>0</v>
      </c>
      <c r="G178" s="11">
        <f t="shared" si="20"/>
        <v>0</v>
      </c>
      <c r="H178" s="11">
        <f t="shared" si="21"/>
        <v>28.69</v>
      </c>
      <c r="I178" s="11">
        <f t="shared" si="22"/>
        <v>0.19</v>
      </c>
      <c r="J178" s="12">
        <f t="shared" si="23"/>
        <v>-28.69</v>
      </c>
      <c r="K178" s="17" t="str">
        <f t="shared" si="28"/>
        <v>Ecart négatif</v>
      </c>
      <c r="L178" s="16">
        <f>base!X178</f>
        <v>0</v>
      </c>
      <c r="M178" s="11">
        <f t="shared" si="24"/>
        <v>0</v>
      </c>
      <c r="N178" s="11">
        <f t="shared" si="25"/>
        <v>0</v>
      </c>
      <c r="O178" s="11">
        <f t="shared" si="26"/>
        <v>0</v>
      </c>
      <c r="P178" s="12">
        <f t="shared" si="27"/>
        <v>0</v>
      </c>
      <c r="Q178" s="17" t="str">
        <f t="shared" si="29"/>
        <v>Pas d'écart</v>
      </c>
    </row>
    <row r="179" spans="1:18" x14ac:dyDescent="0.3">
      <c r="A179" s="34" t="str">
        <f>base!J179</f>
        <v>LS</v>
      </c>
      <c r="B179" s="34" t="str">
        <f>base!V179</f>
        <v>57200</v>
      </c>
      <c r="C179" s="37">
        <v>67</v>
      </c>
      <c r="D179" s="36">
        <f>base!H179</f>
        <v>55.36</v>
      </c>
      <c r="E179" s="44"/>
      <c r="F179" s="16">
        <f>base!W179</f>
        <v>13.84</v>
      </c>
      <c r="G179" s="11">
        <f t="shared" si="20"/>
        <v>0.25</v>
      </c>
      <c r="H179" s="11">
        <f t="shared" si="21"/>
        <v>16.054399999999998</v>
      </c>
      <c r="I179" s="11">
        <f t="shared" si="22"/>
        <v>0.28999999999999998</v>
      </c>
      <c r="J179" s="12">
        <f t="shared" si="23"/>
        <v>-2.2143999999999977</v>
      </c>
      <c r="K179" s="17" t="str">
        <f t="shared" si="28"/>
        <v>Ecart négatif</v>
      </c>
      <c r="L179" s="16">
        <f>base!X179</f>
        <v>0</v>
      </c>
      <c r="M179" s="11">
        <f t="shared" si="24"/>
        <v>0</v>
      </c>
      <c r="N179" s="11">
        <f t="shared" si="25"/>
        <v>4.4287999999999998</v>
      </c>
      <c r="O179" s="11">
        <f t="shared" si="26"/>
        <v>0.08</v>
      </c>
      <c r="P179" s="12">
        <f t="shared" si="27"/>
        <v>-4.4287999999999998</v>
      </c>
      <c r="Q179" s="17" t="str">
        <f t="shared" si="29"/>
        <v>Ecart négatif</v>
      </c>
    </row>
    <row r="180" spans="1:18" x14ac:dyDescent="0.3">
      <c r="A180" s="34">
        <f>base!J180</f>
        <v>0</v>
      </c>
      <c r="B180" s="34" t="str">
        <f>base!V180</f>
        <v>77184</v>
      </c>
      <c r="C180" s="37">
        <v>77</v>
      </c>
      <c r="D180" s="36">
        <f>base!H180</f>
        <v>84.5</v>
      </c>
      <c r="E180" s="44"/>
      <c r="F180" s="16">
        <f>base!W180</f>
        <v>0</v>
      </c>
      <c r="G180" s="11">
        <f t="shared" si="20"/>
        <v>0</v>
      </c>
      <c r="H180" s="11">
        <f t="shared" si="21"/>
        <v>0</v>
      </c>
      <c r="I180" s="11">
        <f t="shared" si="22"/>
        <v>0</v>
      </c>
      <c r="J180" s="12">
        <f t="shared" si="23"/>
        <v>0</v>
      </c>
      <c r="K180" s="17" t="str">
        <f t="shared" si="28"/>
        <v>Pas d'écart</v>
      </c>
      <c r="L180" s="16">
        <f>base!X180</f>
        <v>0</v>
      </c>
      <c r="M180" s="11">
        <f t="shared" si="24"/>
        <v>0</v>
      </c>
      <c r="N180" s="11">
        <f t="shared" si="25"/>
        <v>0</v>
      </c>
      <c r="O180" s="11">
        <f t="shared" si="26"/>
        <v>0</v>
      </c>
      <c r="P180" s="12">
        <f t="shared" si="27"/>
        <v>0</v>
      </c>
      <c r="Q180" s="17" t="str">
        <f t="shared" si="29"/>
        <v>Pas d'écart</v>
      </c>
    </row>
    <row r="181" spans="1:18" x14ac:dyDescent="0.3">
      <c r="A181" s="34">
        <f>base!J181</f>
        <v>0</v>
      </c>
      <c r="B181" s="34" t="str">
        <f>base!V181</f>
        <v>77184</v>
      </c>
      <c r="C181" s="37">
        <v>77</v>
      </c>
      <c r="D181" s="36">
        <f>base!H181</f>
        <v>172</v>
      </c>
      <c r="E181" s="44"/>
      <c r="F181" s="16">
        <f>base!W181</f>
        <v>0</v>
      </c>
      <c r="G181" s="11">
        <f t="shared" si="20"/>
        <v>0</v>
      </c>
      <c r="H181" s="11">
        <f t="shared" si="21"/>
        <v>0</v>
      </c>
      <c r="I181" s="11">
        <f t="shared" si="22"/>
        <v>0</v>
      </c>
      <c r="J181" s="12">
        <f t="shared" si="23"/>
        <v>0</v>
      </c>
      <c r="K181" s="17" t="str">
        <f t="shared" si="28"/>
        <v>Pas d'écart</v>
      </c>
      <c r="L181" s="16">
        <f>base!X181</f>
        <v>0</v>
      </c>
      <c r="M181" s="11">
        <f t="shared" si="24"/>
        <v>0</v>
      </c>
      <c r="N181" s="11">
        <f t="shared" si="25"/>
        <v>0</v>
      </c>
      <c r="O181" s="11">
        <f t="shared" si="26"/>
        <v>0</v>
      </c>
      <c r="P181" s="12">
        <f t="shared" si="27"/>
        <v>0</v>
      </c>
      <c r="Q181" s="17" t="str">
        <f t="shared" si="29"/>
        <v>Pas d'écart</v>
      </c>
    </row>
    <row r="182" spans="1:18" x14ac:dyDescent="0.3">
      <c r="A182" s="34">
        <f>base!J182</f>
        <v>0</v>
      </c>
      <c r="B182" s="34" t="str">
        <f>base!V182</f>
        <v>77184</v>
      </c>
      <c r="C182" s="37">
        <v>77</v>
      </c>
      <c r="D182" s="36">
        <f>base!H182</f>
        <v>172</v>
      </c>
      <c r="E182" s="44"/>
      <c r="F182" s="16">
        <f>base!W182</f>
        <v>0</v>
      </c>
      <c r="G182" s="11">
        <f t="shared" si="20"/>
        <v>0</v>
      </c>
      <c r="H182" s="11">
        <f t="shared" si="21"/>
        <v>0</v>
      </c>
      <c r="I182" s="11">
        <f t="shared" si="22"/>
        <v>0</v>
      </c>
      <c r="J182" s="12">
        <f t="shared" si="23"/>
        <v>0</v>
      </c>
      <c r="K182" s="17" t="str">
        <f t="shared" si="28"/>
        <v>Pas d'écart</v>
      </c>
      <c r="L182" s="16">
        <f>base!X182</f>
        <v>0</v>
      </c>
      <c r="M182" s="11">
        <f t="shared" si="24"/>
        <v>0</v>
      </c>
      <c r="N182" s="11">
        <f t="shared" si="25"/>
        <v>0</v>
      </c>
      <c r="O182" s="11">
        <f t="shared" si="26"/>
        <v>0</v>
      </c>
      <c r="P182" s="12">
        <f t="shared" si="27"/>
        <v>0</v>
      </c>
      <c r="Q182" s="17" t="str">
        <f t="shared" si="29"/>
        <v>Pas d'écart</v>
      </c>
    </row>
    <row r="183" spans="1:18" x14ac:dyDescent="0.3">
      <c r="A183" s="34" t="str">
        <f>base!J183</f>
        <v>RM</v>
      </c>
      <c r="B183" s="34" t="str">
        <f>base!V183</f>
        <v>67230</v>
      </c>
      <c r="C183" s="37">
        <v>67</v>
      </c>
      <c r="D183" s="36">
        <f>base!H183</f>
        <v>25</v>
      </c>
      <c r="E183" s="44"/>
      <c r="F183" s="16">
        <f>base!W183</f>
        <v>0</v>
      </c>
      <c r="G183" s="11">
        <f t="shared" si="20"/>
        <v>0</v>
      </c>
      <c r="H183" s="11">
        <f t="shared" si="21"/>
        <v>7.2499999999999991</v>
      </c>
      <c r="I183" s="11">
        <f t="shared" si="22"/>
        <v>0.28999999999999998</v>
      </c>
      <c r="J183" s="12">
        <f t="shared" si="23"/>
        <v>-7.2499999999999991</v>
      </c>
      <c r="K183" s="17" t="str">
        <f t="shared" si="28"/>
        <v>Ecart négatif</v>
      </c>
      <c r="L183" s="16">
        <f>base!X183</f>
        <v>0</v>
      </c>
      <c r="M183" s="11">
        <f t="shared" si="24"/>
        <v>0</v>
      </c>
      <c r="N183" s="11">
        <f t="shared" si="25"/>
        <v>2</v>
      </c>
      <c r="O183" s="11">
        <f t="shared" si="26"/>
        <v>0.08</v>
      </c>
      <c r="P183" s="12">
        <f t="shared" si="27"/>
        <v>-2</v>
      </c>
      <c r="Q183" s="17" t="str">
        <f t="shared" si="29"/>
        <v>Ecart négatif</v>
      </c>
    </row>
    <row r="184" spans="1:18" x14ac:dyDescent="0.3">
      <c r="A184" s="34" t="str">
        <f>base!J184</f>
        <v>LM</v>
      </c>
      <c r="B184" s="34" t="str">
        <f>base!V184</f>
        <v>78340</v>
      </c>
      <c r="C184" s="37">
        <v>78</v>
      </c>
      <c r="D184" s="36">
        <f>base!H184</f>
        <v>138.12</v>
      </c>
      <c r="E184" s="44"/>
      <c r="F184" s="16">
        <f>base!W184</f>
        <v>0</v>
      </c>
      <c r="G184" s="11">
        <f t="shared" si="20"/>
        <v>0</v>
      </c>
      <c r="H184" s="11">
        <f t="shared" si="21"/>
        <v>0</v>
      </c>
      <c r="I184" s="11">
        <f t="shared" si="22"/>
        <v>0</v>
      </c>
      <c r="J184" s="12">
        <f t="shared" si="23"/>
        <v>0</v>
      </c>
      <c r="K184" s="17" t="str">
        <f t="shared" si="28"/>
        <v>Pas d'écart</v>
      </c>
      <c r="L184" s="16">
        <f>base!X184</f>
        <v>0</v>
      </c>
      <c r="M184" s="11">
        <f t="shared" si="24"/>
        <v>0</v>
      </c>
      <c r="N184" s="11">
        <f t="shared" si="25"/>
        <v>0</v>
      </c>
      <c r="O184" s="11">
        <f t="shared" si="26"/>
        <v>0</v>
      </c>
      <c r="P184" s="12">
        <f t="shared" si="27"/>
        <v>0</v>
      </c>
      <c r="Q184" s="17" t="str">
        <f t="shared" si="29"/>
        <v>Pas d'écart</v>
      </c>
    </row>
    <row r="185" spans="1:18" x14ac:dyDescent="0.3">
      <c r="A185" s="34">
        <f>base!J185</f>
        <v>0</v>
      </c>
      <c r="B185" s="34" t="str">
        <f>base!V185</f>
        <v>77184</v>
      </c>
      <c r="C185" s="37">
        <v>77</v>
      </c>
      <c r="D185" s="36">
        <f>base!H185</f>
        <v>84.5</v>
      </c>
      <c r="E185" s="44"/>
      <c r="F185" s="16">
        <f>base!W185</f>
        <v>0</v>
      </c>
      <c r="G185" s="11">
        <f t="shared" si="20"/>
        <v>0</v>
      </c>
      <c r="H185" s="11">
        <f t="shared" si="21"/>
        <v>0</v>
      </c>
      <c r="I185" s="11">
        <f t="shared" si="22"/>
        <v>0</v>
      </c>
      <c r="J185" s="12">
        <f t="shared" si="23"/>
        <v>0</v>
      </c>
      <c r="K185" s="17" t="str">
        <f t="shared" si="28"/>
        <v>Pas d'écart</v>
      </c>
      <c r="L185" s="16">
        <f>base!X185</f>
        <v>0</v>
      </c>
      <c r="M185" s="11">
        <f t="shared" si="24"/>
        <v>0</v>
      </c>
      <c r="N185" s="11">
        <f t="shared" si="25"/>
        <v>0</v>
      </c>
      <c r="O185" s="11">
        <f t="shared" si="26"/>
        <v>0</v>
      </c>
      <c r="P185" s="12">
        <f t="shared" si="27"/>
        <v>0</v>
      </c>
      <c r="Q185" s="17" t="str">
        <f t="shared" si="29"/>
        <v>Pas d'écart</v>
      </c>
    </row>
    <row r="186" spans="1:18" x14ac:dyDescent="0.3">
      <c r="A186" s="34" t="str">
        <f>base!J186</f>
        <v>RS</v>
      </c>
      <c r="B186" s="34" t="str">
        <f>base!V186</f>
        <v>92200</v>
      </c>
      <c r="C186" s="37">
        <v>92</v>
      </c>
      <c r="D186" s="36">
        <f>base!H186</f>
        <v>220</v>
      </c>
      <c r="E186" s="44"/>
      <c r="F186" s="16">
        <f>base!W186</f>
        <v>0</v>
      </c>
      <c r="G186" s="11">
        <f t="shared" si="20"/>
        <v>0</v>
      </c>
      <c r="H186" s="11">
        <f t="shared" si="21"/>
        <v>0</v>
      </c>
      <c r="I186" s="11">
        <f t="shared" si="22"/>
        <v>0</v>
      </c>
      <c r="J186" s="12">
        <f t="shared" si="23"/>
        <v>0</v>
      </c>
      <c r="K186" s="17" t="str">
        <f t="shared" si="28"/>
        <v>Pas d'écart</v>
      </c>
      <c r="L186" s="16">
        <f>base!X186</f>
        <v>0</v>
      </c>
      <c r="M186" s="11">
        <f t="shared" si="24"/>
        <v>0</v>
      </c>
      <c r="N186" s="11">
        <f t="shared" si="25"/>
        <v>0</v>
      </c>
      <c r="O186" s="11">
        <f t="shared" si="26"/>
        <v>0</v>
      </c>
      <c r="P186" s="12">
        <f t="shared" si="27"/>
        <v>0</v>
      </c>
      <c r="Q186" s="17" t="str">
        <f t="shared" si="29"/>
        <v>Pas d'écart</v>
      </c>
    </row>
    <row r="187" spans="1:18" x14ac:dyDescent="0.3">
      <c r="A187" s="34" t="str">
        <f>base!J187</f>
        <v>RM</v>
      </c>
      <c r="B187" s="34" t="str">
        <f>base!V187</f>
        <v>62000</v>
      </c>
      <c r="C187" s="37">
        <v>62</v>
      </c>
      <c r="D187" s="36">
        <f>base!H187</f>
        <v>180</v>
      </c>
      <c r="E187" s="44"/>
      <c r="F187" s="16">
        <f>base!W187</f>
        <v>0</v>
      </c>
      <c r="G187" s="11">
        <f t="shared" si="20"/>
        <v>0</v>
      </c>
      <c r="H187" s="11">
        <f t="shared" si="21"/>
        <v>34.200000000000003</v>
      </c>
      <c r="I187" s="11">
        <f t="shared" si="22"/>
        <v>0.19</v>
      </c>
      <c r="J187" s="12">
        <f t="shared" si="23"/>
        <v>-34.200000000000003</v>
      </c>
      <c r="K187" s="17" t="str">
        <f t="shared" si="28"/>
        <v>Ecart négatif</v>
      </c>
      <c r="L187" s="16">
        <f>base!X187</f>
        <v>0</v>
      </c>
      <c r="M187" s="11">
        <f t="shared" si="24"/>
        <v>0</v>
      </c>
      <c r="N187" s="11">
        <f t="shared" si="25"/>
        <v>0</v>
      </c>
      <c r="O187" s="11">
        <f t="shared" si="26"/>
        <v>0</v>
      </c>
      <c r="P187" s="12">
        <f t="shared" si="27"/>
        <v>0</v>
      </c>
      <c r="Q187" s="17" t="str">
        <f t="shared" si="29"/>
        <v>Pas d'écart</v>
      </c>
    </row>
    <row r="188" spans="1:18" x14ac:dyDescent="0.3">
      <c r="A188" s="34" t="str">
        <f>base!J188</f>
        <v>RS</v>
      </c>
      <c r="B188" s="34" t="str">
        <f>base!V188</f>
        <v>62740</v>
      </c>
      <c r="C188" s="37">
        <v>62</v>
      </c>
      <c r="D188" s="36">
        <f>base!H188</f>
        <v>40</v>
      </c>
      <c r="E188" s="44"/>
      <c r="F188" s="16">
        <f>base!W188</f>
        <v>0</v>
      </c>
      <c r="G188" s="11">
        <f t="shared" si="20"/>
        <v>0</v>
      </c>
      <c r="H188" s="11">
        <f t="shared" si="21"/>
        <v>7.6</v>
      </c>
      <c r="I188" s="11">
        <f t="shared" si="22"/>
        <v>0.19</v>
      </c>
      <c r="J188" s="12">
        <f t="shared" si="23"/>
        <v>-7.6</v>
      </c>
      <c r="K188" s="17" t="str">
        <f t="shared" si="28"/>
        <v>Ecart négatif</v>
      </c>
      <c r="L188" s="16">
        <f>base!X188</f>
        <v>0</v>
      </c>
      <c r="M188" s="11">
        <f t="shared" si="24"/>
        <v>0</v>
      </c>
      <c r="N188" s="11">
        <f t="shared" si="25"/>
        <v>0</v>
      </c>
      <c r="O188" s="11">
        <f t="shared" si="26"/>
        <v>0</v>
      </c>
      <c r="P188" s="12">
        <f t="shared" si="27"/>
        <v>0</v>
      </c>
      <c r="Q188" s="17" t="str">
        <f t="shared" si="29"/>
        <v>Pas d'écart</v>
      </c>
    </row>
    <row r="189" spans="1:18" x14ac:dyDescent="0.3">
      <c r="A189" s="34" t="str">
        <f>base!J189</f>
        <v>LM</v>
      </c>
      <c r="B189" s="34" t="str">
        <f>base!V189</f>
        <v>59150</v>
      </c>
      <c r="C189" s="37">
        <v>34</v>
      </c>
      <c r="D189" s="36">
        <f>base!H189</f>
        <v>5.12</v>
      </c>
      <c r="E189" s="44"/>
      <c r="F189" s="16">
        <f>base!W189</f>
        <v>0.97</v>
      </c>
      <c r="G189" s="11">
        <f t="shared" si="20"/>
        <v>0.189453125</v>
      </c>
      <c r="H189" s="11">
        <f t="shared" si="21"/>
        <v>1.9968000000000001</v>
      </c>
      <c r="I189" s="11">
        <f t="shared" si="22"/>
        <v>0.39</v>
      </c>
      <c r="J189" s="12">
        <f t="shared" si="23"/>
        <v>-1.0268000000000002</v>
      </c>
      <c r="K189" s="17" t="str">
        <f t="shared" si="28"/>
        <v>Ecart négatif</v>
      </c>
      <c r="L189" s="16">
        <f>base!X189</f>
        <v>0</v>
      </c>
      <c r="M189" s="11">
        <f t="shared" si="24"/>
        <v>0</v>
      </c>
      <c r="N189" s="11">
        <f t="shared" si="25"/>
        <v>1.4336000000000002</v>
      </c>
      <c r="O189" s="11">
        <f t="shared" si="26"/>
        <v>0.28000000000000003</v>
      </c>
      <c r="P189" s="12">
        <f t="shared" si="27"/>
        <v>-1.4336000000000002</v>
      </c>
      <c r="Q189" s="17" t="str">
        <f t="shared" si="29"/>
        <v>Ecart négatif</v>
      </c>
    </row>
    <row r="190" spans="1:18" x14ac:dyDescent="0.3">
      <c r="A190" s="34" t="str">
        <f>base!J190</f>
        <v>LS</v>
      </c>
      <c r="B190" s="34" t="str">
        <f>base!V190</f>
        <v>44980</v>
      </c>
      <c r="C190" s="37">
        <v>49</v>
      </c>
      <c r="D190" s="36">
        <f>base!H190</f>
        <v>746.27</v>
      </c>
      <c r="E190" s="44"/>
      <c r="F190" s="16">
        <f>base!W190</f>
        <v>201.49</v>
      </c>
      <c r="G190" s="11">
        <f t="shared" si="20"/>
        <v>0.2699961140069948</v>
      </c>
      <c r="H190" s="11">
        <f t="shared" si="21"/>
        <v>201.49290000000002</v>
      </c>
      <c r="I190" s="11">
        <f t="shared" si="22"/>
        <v>0.27</v>
      </c>
      <c r="J190" s="12">
        <f t="shared" si="23"/>
        <v>-2.9000000000110049E-3</v>
      </c>
      <c r="K190" s="17" t="str">
        <f t="shared" si="28"/>
        <v>Ecart négatif</v>
      </c>
      <c r="L190" s="16">
        <f>base!X190</f>
        <v>0</v>
      </c>
      <c r="M190" s="11">
        <f t="shared" si="24"/>
        <v>0</v>
      </c>
      <c r="N190" s="11">
        <f t="shared" si="25"/>
        <v>0</v>
      </c>
      <c r="O190" s="11">
        <f t="shared" si="26"/>
        <v>0</v>
      </c>
      <c r="P190" s="12">
        <f t="shared" si="27"/>
        <v>0</v>
      </c>
      <c r="Q190" s="17" t="str">
        <f t="shared" si="29"/>
        <v>Pas d'écart</v>
      </c>
    </row>
    <row r="191" spans="1:18" x14ac:dyDescent="0.3">
      <c r="A191" s="34" t="str">
        <f>base!J191</f>
        <v>RS</v>
      </c>
      <c r="B191" s="34" t="str">
        <f>base!V191</f>
        <v>49100</v>
      </c>
      <c r="C191" s="37">
        <v>49</v>
      </c>
      <c r="D191" s="36">
        <f>base!H191</f>
        <v>53.4</v>
      </c>
      <c r="E191" s="44"/>
      <c r="F191" s="16">
        <f>base!W191</f>
        <v>0</v>
      </c>
      <c r="G191" s="11">
        <f t="shared" si="20"/>
        <v>0</v>
      </c>
      <c r="H191" s="11">
        <f t="shared" si="21"/>
        <v>14.418000000000001</v>
      </c>
      <c r="I191" s="11">
        <f t="shared" si="22"/>
        <v>0.27</v>
      </c>
      <c r="J191" s="12">
        <f t="shared" si="23"/>
        <v>-14.418000000000001</v>
      </c>
      <c r="K191" s="17" t="str">
        <f t="shared" si="28"/>
        <v>Ecart négatif</v>
      </c>
      <c r="L191" s="16">
        <f>base!X191</f>
        <v>14.42</v>
      </c>
      <c r="M191" s="11">
        <f t="shared" si="24"/>
        <v>0.27003745318352063</v>
      </c>
      <c r="N191" s="11">
        <f t="shared" si="25"/>
        <v>0</v>
      </c>
      <c r="O191" s="11">
        <f t="shared" si="26"/>
        <v>0</v>
      </c>
      <c r="P191" s="12">
        <f t="shared" si="27"/>
        <v>14.42</v>
      </c>
      <c r="Q191" s="17" t="str">
        <f t="shared" si="29"/>
        <v>Ecart positif</v>
      </c>
      <c r="R191" s="38"/>
    </row>
    <row r="192" spans="1:18" x14ac:dyDescent="0.3">
      <c r="A192" s="34" t="str">
        <f>base!J192</f>
        <v>RM</v>
      </c>
      <c r="B192" s="34" t="str">
        <f>base!V192</f>
        <v>34500</v>
      </c>
      <c r="C192" s="37">
        <v>34</v>
      </c>
      <c r="D192" s="36">
        <f>base!H192</f>
        <v>180</v>
      </c>
      <c r="E192" s="44"/>
      <c r="F192" s="16">
        <f>base!W192</f>
        <v>0</v>
      </c>
      <c r="G192" s="11">
        <f t="shared" si="20"/>
        <v>0</v>
      </c>
      <c r="H192" s="11">
        <f t="shared" si="21"/>
        <v>70.2</v>
      </c>
      <c r="I192" s="11">
        <f t="shared" si="22"/>
        <v>0.39</v>
      </c>
      <c r="J192" s="12">
        <f t="shared" si="23"/>
        <v>-70.2</v>
      </c>
      <c r="K192" s="17" t="str">
        <f t="shared" si="28"/>
        <v>Ecart négatif</v>
      </c>
      <c r="L192" s="16">
        <f>base!X192</f>
        <v>0</v>
      </c>
      <c r="M192" s="11">
        <f t="shared" si="24"/>
        <v>0</v>
      </c>
      <c r="N192" s="11">
        <f t="shared" si="25"/>
        <v>50.400000000000006</v>
      </c>
      <c r="O192" s="11">
        <f t="shared" si="26"/>
        <v>0.28000000000000003</v>
      </c>
      <c r="P192" s="12">
        <f t="shared" si="27"/>
        <v>-50.400000000000006</v>
      </c>
      <c r="Q192" s="17" t="str">
        <f t="shared" si="29"/>
        <v>Ecart négatif</v>
      </c>
    </row>
    <row r="193" spans="1:18" x14ac:dyDescent="0.3">
      <c r="A193" s="34" t="str">
        <f>base!J193</f>
        <v>RS</v>
      </c>
      <c r="B193" s="34" t="str">
        <f>base!V193</f>
        <v>34500</v>
      </c>
      <c r="C193" s="37">
        <v>34</v>
      </c>
      <c r="D193" s="36">
        <f>base!H193</f>
        <v>180</v>
      </c>
      <c r="E193" s="44"/>
      <c r="F193" s="16">
        <f>base!W193</f>
        <v>0</v>
      </c>
      <c r="G193" s="11">
        <f t="shared" si="20"/>
        <v>0</v>
      </c>
      <c r="H193" s="11">
        <f t="shared" si="21"/>
        <v>70.2</v>
      </c>
      <c r="I193" s="11">
        <f t="shared" si="22"/>
        <v>0.39</v>
      </c>
      <c r="J193" s="12">
        <f t="shared" si="23"/>
        <v>-70.2</v>
      </c>
      <c r="K193" s="17" t="str">
        <f t="shared" si="28"/>
        <v>Ecart négatif</v>
      </c>
      <c r="L193" s="16">
        <f>base!X193</f>
        <v>50.4</v>
      </c>
      <c r="M193" s="11">
        <f t="shared" si="24"/>
        <v>0.27999999999999997</v>
      </c>
      <c r="N193" s="11">
        <f t="shared" si="25"/>
        <v>50.400000000000006</v>
      </c>
      <c r="O193" s="11">
        <f t="shared" si="26"/>
        <v>0.28000000000000003</v>
      </c>
      <c r="P193" s="12">
        <f t="shared" si="27"/>
        <v>0</v>
      </c>
      <c r="Q193" s="17" t="str">
        <f t="shared" si="29"/>
        <v>Pas d'écart</v>
      </c>
      <c r="R193" s="38"/>
    </row>
    <row r="194" spans="1:18" x14ac:dyDescent="0.3">
      <c r="A194" s="34" t="str">
        <f>base!J194</f>
        <v>RM</v>
      </c>
      <c r="B194" s="34" t="str">
        <f>base!V194</f>
        <v>69007</v>
      </c>
      <c r="C194" s="37">
        <v>69</v>
      </c>
      <c r="D194" s="36">
        <f>base!H194</f>
        <v>195.32</v>
      </c>
      <c r="E194" s="44"/>
      <c r="F194" s="16">
        <f>base!W194</f>
        <v>0</v>
      </c>
      <c r="G194" s="11">
        <f t="shared" ref="G194:G257" si="30">F194/D194</f>
        <v>0</v>
      </c>
      <c r="H194" s="11">
        <f t="shared" ref="H194:H257" si="31">VLOOKUP(C194,tout_cout_traction,2,FALSE)*D194</f>
        <v>52.736400000000003</v>
      </c>
      <c r="I194" s="11">
        <f t="shared" ref="I194:I257" si="32">H194/D194</f>
        <v>0.27</v>
      </c>
      <c r="J194" s="12">
        <f t="shared" ref="J194:J257" si="33">F194-H194</f>
        <v>-52.736400000000003</v>
      </c>
      <c r="K194" s="17" t="str">
        <f t="shared" si="28"/>
        <v>Ecart négatif</v>
      </c>
      <c r="L194" s="16">
        <f>base!X194</f>
        <v>0</v>
      </c>
      <c r="M194" s="11">
        <f t="shared" ref="M194:M257" si="34">L194/D194</f>
        <v>0</v>
      </c>
      <c r="N194" s="11">
        <f t="shared" ref="N194:N257" si="35">VLOOKUP(C194,tout_cout_traction,3,FALSE)*D194</f>
        <v>0</v>
      </c>
      <c r="O194" s="11">
        <f t="shared" ref="O194:O257" si="36">N194/D194</f>
        <v>0</v>
      </c>
      <c r="P194" s="12">
        <f t="shared" ref="P194:P257" si="37">L194-N194</f>
        <v>0</v>
      </c>
      <c r="Q194" s="17" t="str">
        <f t="shared" si="29"/>
        <v>Pas d'écart</v>
      </c>
    </row>
    <row r="195" spans="1:18" x14ac:dyDescent="0.3">
      <c r="A195" s="34" t="str">
        <f>base!J195</f>
        <v>LM</v>
      </c>
      <c r="B195" s="34" t="str">
        <f>base!V195</f>
        <v>44327</v>
      </c>
      <c r="C195" s="37">
        <v>25</v>
      </c>
      <c r="D195" s="36">
        <f>base!H195</f>
        <v>107.88</v>
      </c>
      <c r="E195" s="44"/>
      <c r="F195" s="16">
        <f>base!W195</f>
        <v>29.13</v>
      </c>
      <c r="G195" s="11">
        <f t="shared" si="30"/>
        <v>0.2700222469410456</v>
      </c>
      <c r="H195" s="11">
        <f t="shared" si="31"/>
        <v>25.891199999999998</v>
      </c>
      <c r="I195" s="11">
        <f t="shared" si="32"/>
        <v>0.24</v>
      </c>
      <c r="J195" s="12">
        <f t="shared" si="33"/>
        <v>3.2388000000000012</v>
      </c>
      <c r="K195" s="17" t="str">
        <f t="shared" ref="K195:K258" si="38">IF(H195=F195,"Pas d'écart",IF(H195&lt;F195,"Ecart positif",IF(H195&gt;F195,"Ecart négatif")))</f>
        <v>Ecart positif</v>
      </c>
      <c r="L195" s="16">
        <f>base!X195</f>
        <v>0</v>
      </c>
      <c r="M195" s="11">
        <f t="shared" si="34"/>
        <v>0</v>
      </c>
      <c r="N195" s="11">
        <f t="shared" si="35"/>
        <v>12.945599999999999</v>
      </c>
      <c r="O195" s="11">
        <f t="shared" si="36"/>
        <v>0.12</v>
      </c>
      <c r="P195" s="12">
        <f t="shared" si="37"/>
        <v>-12.945599999999999</v>
      </c>
      <c r="Q195" s="17" t="str">
        <f t="shared" ref="Q195:Q258" si="39">IF(N195=L195,"Pas d'écart",IF(N195&lt;L195,"Ecart positif",IF(N195&gt;L195,"Ecart négatif")))</f>
        <v>Ecart négatif</v>
      </c>
    </row>
    <row r="196" spans="1:18" x14ac:dyDescent="0.3">
      <c r="A196" s="34" t="str">
        <f>base!J196</f>
        <v>LM</v>
      </c>
      <c r="B196" s="34" t="str">
        <f>base!V196</f>
        <v>44360</v>
      </c>
      <c r="C196" s="37">
        <v>76</v>
      </c>
      <c r="D196" s="36">
        <f>base!H196</f>
        <v>137.01</v>
      </c>
      <c r="E196" s="44"/>
      <c r="F196" s="16">
        <f>base!W196</f>
        <v>36.99</v>
      </c>
      <c r="G196" s="11">
        <f t="shared" si="30"/>
        <v>0.26998029340924024</v>
      </c>
      <c r="H196" s="11">
        <f t="shared" si="31"/>
        <v>23.291699999999999</v>
      </c>
      <c r="I196" s="11">
        <f t="shared" si="32"/>
        <v>0.17</v>
      </c>
      <c r="J196" s="12">
        <f t="shared" si="33"/>
        <v>13.698300000000003</v>
      </c>
      <c r="K196" s="17" t="str">
        <f t="shared" si="38"/>
        <v>Ecart positif</v>
      </c>
      <c r="L196" s="16">
        <f>base!X196</f>
        <v>0</v>
      </c>
      <c r="M196" s="11">
        <f t="shared" si="34"/>
        <v>0</v>
      </c>
      <c r="N196" s="11">
        <f t="shared" si="35"/>
        <v>23.291699999999999</v>
      </c>
      <c r="O196" s="11">
        <f t="shared" si="36"/>
        <v>0.17</v>
      </c>
      <c r="P196" s="12">
        <f t="shared" si="37"/>
        <v>-23.291699999999999</v>
      </c>
      <c r="Q196" s="17" t="str">
        <f t="shared" si="39"/>
        <v>Ecart négatif</v>
      </c>
    </row>
    <row r="197" spans="1:18" x14ac:dyDescent="0.3">
      <c r="A197" s="34" t="str">
        <f>base!J197</f>
        <v>LS</v>
      </c>
      <c r="B197" s="34" t="str">
        <f>base!V197</f>
        <v>80000</v>
      </c>
      <c r="C197" s="37">
        <v>84</v>
      </c>
      <c r="D197" s="36">
        <f>base!H197</f>
        <v>85.35</v>
      </c>
      <c r="E197" s="44"/>
      <c r="F197" s="16">
        <f>base!W197</f>
        <v>16.22</v>
      </c>
      <c r="G197" s="11">
        <f t="shared" si="30"/>
        <v>0.19004100761570006</v>
      </c>
      <c r="H197" s="11">
        <f t="shared" si="31"/>
        <v>24.751499999999997</v>
      </c>
      <c r="I197" s="11">
        <f t="shared" si="32"/>
        <v>0.28999999999999998</v>
      </c>
      <c r="J197" s="12">
        <f t="shared" si="33"/>
        <v>-8.5314999999999976</v>
      </c>
      <c r="K197" s="17" t="str">
        <f t="shared" si="38"/>
        <v>Ecart négatif</v>
      </c>
      <c r="L197" s="16">
        <f>base!X197</f>
        <v>0</v>
      </c>
      <c r="M197" s="11">
        <f t="shared" si="34"/>
        <v>0</v>
      </c>
      <c r="N197" s="11">
        <f t="shared" si="35"/>
        <v>16.2165</v>
      </c>
      <c r="O197" s="11">
        <f t="shared" si="36"/>
        <v>0.19</v>
      </c>
      <c r="P197" s="12">
        <f t="shared" si="37"/>
        <v>-16.2165</v>
      </c>
      <c r="Q197" s="17" t="str">
        <f t="shared" si="39"/>
        <v>Ecart négatif</v>
      </c>
    </row>
    <row r="198" spans="1:18" x14ac:dyDescent="0.3">
      <c r="A198" s="34" t="str">
        <f>base!J198</f>
        <v>RM</v>
      </c>
      <c r="B198" s="34" t="str">
        <f>base!V198</f>
        <v>37140</v>
      </c>
      <c r="C198" s="37">
        <v>37</v>
      </c>
      <c r="D198" s="36">
        <f>base!H198</f>
        <v>151</v>
      </c>
      <c r="E198" s="44"/>
      <c r="F198" s="16">
        <f>base!W198</f>
        <v>0</v>
      </c>
      <c r="G198" s="11">
        <f t="shared" si="30"/>
        <v>0</v>
      </c>
      <c r="H198" s="11">
        <f t="shared" si="31"/>
        <v>28.69</v>
      </c>
      <c r="I198" s="11">
        <f t="shared" si="32"/>
        <v>0.19</v>
      </c>
      <c r="J198" s="12">
        <f t="shared" si="33"/>
        <v>-28.69</v>
      </c>
      <c r="K198" s="17" t="str">
        <f t="shared" si="38"/>
        <v>Ecart négatif</v>
      </c>
      <c r="L198" s="16">
        <f>base!X198</f>
        <v>0</v>
      </c>
      <c r="M198" s="11">
        <f t="shared" si="34"/>
        <v>0</v>
      </c>
      <c r="N198" s="11">
        <f t="shared" si="35"/>
        <v>18.12</v>
      </c>
      <c r="O198" s="11">
        <f t="shared" si="36"/>
        <v>0.12000000000000001</v>
      </c>
      <c r="P198" s="12">
        <f t="shared" si="37"/>
        <v>-18.12</v>
      </c>
      <c r="Q198" s="17" t="str">
        <f t="shared" si="39"/>
        <v>Ecart négatif</v>
      </c>
    </row>
    <row r="199" spans="1:18" x14ac:dyDescent="0.3">
      <c r="A199" s="34" t="str">
        <f>base!J199</f>
        <v>LS</v>
      </c>
      <c r="B199" s="34" t="str">
        <f>base!V199</f>
        <v>59000</v>
      </c>
      <c r="C199" s="37">
        <v>59</v>
      </c>
      <c r="D199" s="36">
        <f>base!H199</f>
        <v>83.27</v>
      </c>
      <c r="E199" s="44"/>
      <c r="F199" s="16">
        <f>base!W199</f>
        <v>15.82</v>
      </c>
      <c r="G199" s="11">
        <f t="shared" si="30"/>
        <v>0.18998438813498261</v>
      </c>
      <c r="H199" s="11">
        <f t="shared" si="31"/>
        <v>15.821299999999999</v>
      </c>
      <c r="I199" s="11">
        <f t="shared" si="32"/>
        <v>0.19</v>
      </c>
      <c r="J199" s="12">
        <f t="shared" si="33"/>
        <v>-1.2999999999987466E-3</v>
      </c>
      <c r="K199" s="17" t="str">
        <f t="shared" si="38"/>
        <v>Ecart négatif</v>
      </c>
      <c r="L199" s="16">
        <f>base!X199</f>
        <v>0</v>
      </c>
      <c r="M199" s="11">
        <f t="shared" si="34"/>
        <v>0</v>
      </c>
      <c r="N199" s="11">
        <f t="shared" si="35"/>
        <v>0</v>
      </c>
      <c r="O199" s="11">
        <f t="shared" si="36"/>
        <v>0</v>
      </c>
      <c r="P199" s="12">
        <f t="shared" si="37"/>
        <v>0</v>
      </c>
      <c r="Q199" s="17" t="str">
        <f t="shared" si="39"/>
        <v>Pas d'écart</v>
      </c>
    </row>
    <row r="200" spans="1:18" x14ac:dyDescent="0.3">
      <c r="A200" s="34" t="str">
        <f>base!J200</f>
        <v>LM</v>
      </c>
      <c r="B200" s="34" t="str">
        <f>base!V200</f>
        <v>75014</v>
      </c>
      <c r="C200" s="37">
        <v>75</v>
      </c>
      <c r="D200" s="36">
        <f>base!H200</f>
        <v>53.38</v>
      </c>
      <c r="E200" s="44"/>
      <c r="F200" s="16">
        <f>base!W200</f>
        <v>0</v>
      </c>
      <c r="G200" s="11">
        <f t="shared" si="30"/>
        <v>0</v>
      </c>
      <c r="H200" s="11">
        <f t="shared" si="31"/>
        <v>0</v>
      </c>
      <c r="I200" s="11">
        <f t="shared" si="32"/>
        <v>0</v>
      </c>
      <c r="J200" s="12">
        <f t="shared" si="33"/>
        <v>0</v>
      </c>
      <c r="K200" s="17" t="str">
        <f t="shared" si="38"/>
        <v>Pas d'écart</v>
      </c>
      <c r="L200" s="16">
        <f>base!X200</f>
        <v>0</v>
      </c>
      <c r="M200" s="11">
        <f t="shared" si="34"/>
        <v>0</v>
      </c>
      <c r="N200" s="11">
        <f t="shared" si="35"/>
        <v>0</v>
      </c>
      <c r="O200" s="11">
        <f t="shared" si="36"/>
        <v>0</v>
      </c>
      <c r="P200" s="12">
        <f t="shared" si="37"/>
        <v>0</v>
      </c>
      <c r="Q200" s="17" t="str">
        <f t="shared" si="39"/>
        <v>Pas d'écart</v>
      </c>
    </row>
    <row r="201" spans="1:18" x14ac:dyDescent="0.3">
      <c r="A201" s="34" t="str">
        <f>base!J201</f>
        <v>LS</v>
      </c>
      <c r="B201" s="34" t="str">
        <f>base!V201</f>
        <v>78420</v>
      </c>
      <c r="C201" s="37">
        <v>78</v>
      </c>
      <c r="D201" s="36">
        <f>base!H201</f>
        <v>7.99</v>
      </c>
      <c r="E201" s="44"/>
      <c r="F201" s="16">
        <f>base!W201</f>
        <v>0</v>
      </c>
      <c r="G201" s="11">
        <f t="shared" si="30"/>
        <v>0</v>
      </c>
      <c r="H201" s="11">
        <f t="shared" si="31"/>
        <v>0</v>
      </c>
      <c r="I201" s="11">
        <f t="shared" si="32"/>
        <v>0</v>
      </c>
      <c r="J201" s="12">
        <f t="shared" si="33"/>
        <v>0</v>
      </c>
      <c r="K201" s="17" t="str">
        <f t="shared" si="38"/>
        <v>Pas d'écart</v>
      </c>
      <c r="L201" s="16">
        <f>base!X201</f>
        <v>0</v>
      </c>
      <c r="M201" s="11">
        <f t="shared" si="34"/>
        <v>0</v>
      </c>
      <c r="N201" s="11">
        <f t="shared" si="35"/>
        <v>0</v>
      </c>
      <c r="O201" s="11">
        <f t="shared" si="36"/>
        <v>0</v>
      </c>
      <c r="P201" s="12">
        <f t="shared" si="37"/>
        <v>0</v>
      </c>
      <c r="Q201" s="17" t="str">
        <f t="shared" si="39"/>
        <v>Pas d'écart</v>
      </c>
    </row>
    <row r="202" spans="1:18" x14ac:dyDescent="0.3">
      <c r="A202" s="34" t="str">
        <f>base!J202</f>
        <v>LS</v>
      </c>
      <c r="B202" s="34" t="str">
        <f>base!V202</f>
        <v>57310</v>
      </c>
      <c r="C202" s="37">
        <v>59</v>
      </c>
      <c r="D202" s="36">
        <f>base!H202</f>
        <v>76.73</v>
      </c>
      <c r="E202" s="44"/>
      <c r="F202" s="16">
        <f>base!W202</f>
        <v>19.18</v>
      </c>
      <c r="G202" s="11">
        <f t="shared" si="30"/>
        <v>0.24996741821973151</v>
      </c>
      <c r="H202" s="11">
        <f t="shared" si="31"/>
        <v>14.578700000000001</v>
      </c>
      <c r="I202" s="11">
        <f t="shared" si="32"/>
        <v>0.19</v>
      </c>
      <c r="J202" s="12">
        <f t="shared" si="33"/>
        <v>4.6012999999999984</v>
      </c>
      <c r="K202" s="17" t="str">
        <f t="shared" si="38"/>
        <v>Ecart positif</v>
      </c>
      <c r="L202" s="16">
        <f>base!X202</f>
        <v>0</v>
      </c>
      <c r="M202" s="11">
        <f t="shared" si="34"/>
        <v>0</v>
      </c>
      <c r="N202" s="11">
        <f t="shared" si="35"/>
        <v>0</v>
      </c>
      <c r="O202" s="11">
        <f t="shared" si="36"/>
        <v>0</v>
      </c>
      <c r="P202" s="12">
        <f t="shared" si="37"/>
        <v>0</v>
      </c>
      <c r="Q202" s="17" t="str">
        <f t="shared" si="39"/>
        <v>Pas d'écart</v>
      </c>
    </row>
    <row r="203" spans="1:18" x14ac:dyDescent="0.3">
      <c r="A203" s="34" t="str">
        <f>base!J203</f>
        <v>LS</v>
      </c>
      <c r="B203" s="34" t="str">
        <f>base!V203</f>
        <v>74000</v>
      </c>
      <c r="C203" s="37">
        <v>59</v>
      </c>
      <c r="D203" s="36">
        <f>base!H203</f>
        <v>57.2</v>
      </c>
      <c r="E203" s="44"/>
      <c r="F203" s="16">
        <f>base!W203</f>
        <v>15.44</v>
      </c>
      <c r="G203" s="11">
        <f t="shared" si="30"/>
        <v>0.2699300699300699</v>
      </c>
      <c r="H203" s="11">
        <f t="shared" si="31"/>
        <v>10.868</v>
      </c>
      <c r="I203" s="11">
        <f t="shared" si="32"/>
        <v>0.19</v>
      </c>
      <c r="J203" s="12">
        <f t="shared" si="33"/>
        <v>4.5719999999999992</v>
      </c>
      <c r="K203" s="17" t="str">
        <f t="shared" si="38"/>
        <v>Ecart positif</v>
      </c>
      <c r="L203" s="16">
        <f>base!X203</f>
        <v>0</v>
      </c>
      <c r="M203" s="11">
        <f t="shared" si="34"/>
        <v>0</v>
      </c>
      <c r="N203" s="11">
        <f t="shared" si="35"/>
        <v>0</v>
      </c>
      <c r="O203" s="11">
        <f t="shared" si="36"/>
        <v>0</v>
      </c>
      <c r="P203" s="12">
        <f t="shared" si="37"/>
        <v>0</v>
      </c>
      <c r="Q203" s="17" t="str">
        <f t="shared" si="39"/>
        <v>Pas d'écart</v>
      </c>
    </row>
    <row r="204" spans="1:18" x14ac:dyDescent="0.3">
      <c r="A204" s="34">
        <f>base!J204</f>
        <v>0</v>
      </c>
      <c r="B204" s="34" t="str">
        <f>base!V204</f>
        <v>77184</v>
      </c>
      <c r="C204" s="37">
        <v>77</v>
      </c>
      <c r="D204" s="36">
        <f>base!H204</f>
        <v>31</v>
      </c>
      <c r="E204" s="44"/>
      <c r="F204" s="16">
        <f>base!W204</f>
        <v>0</v>
      </c>
      <c r="G204" s="11">
        <f t="shared" si="30"/>
        <v>0</v>
      </c>
      <c r="H204" s="11">
        <f t="shared" si="31"/>
        <v>0</v>
      </c>
      <c r="I204" s="11">
        <f t="shared" si="32"/>
        <v>0</v>
      </c>
      <c r="J204" s="12">
        <f t="shared" si="33"/>
        <v>0</v>
      </c>
      <c r="K204" s="17" t="str">
        <f t="shared" si="38"/>
        <v>Pas d'écart</v>
      </c>
      <c r="L204" s="16">
        <f>base!X204</f>
        <v>0</v>
      </c>
      <c r="M204" s="11">
        <f t="shared" si="34"/>
        <v>0</v>
      </c>
      <c r="N204" s="11">
        <f t="shared" si="35"/>
        <v>0</v>
      </c>
      <c r="O204" s="11">
        <f t="shared" si="36"/>
        <v>0</v>
      </c>
      <c r="P204" s="12">
        <f t="shared" si="37"/>
        <v>0</v>
      </c>
      <c r="Q204" s="17" t="str">
        <f t="shared" si="39"/>
        <v>Pas d'écart</v>
      </c>
    </row>
    <row r="205" spans="1:18" x14ac:dyDescent="0.3">
      <c r="A205" s="34">
        <f>base!J205</f>
        <v>0</v>
      </c>
      <c r="B205" s="34" t="str">
        <f>base!V205</f>
        <v>77184</v>
      </c>
      <c r="C205" s="37">
        <v>77</v>
      </c>
      <c r="D205" s="36">
        <f>base!H205</f>
        <v>35.659999999999997</v>
      </c>
      <c r="E205" s="44"/>
      <c r="F205" s="16">
        <f>base!W205</f>
        <v>0</v>
      </c>
      <c r="G205" s="11">
        <f t="shared" si="30"/>
        <v>0</v>
      </c>
      <c r="H205" s="11">
        <f t="shared" si="31"/>
        <v>0</v>
      </c>
      <c r="I205" s="11">
        <f t="shared" si="32"/>
        <v>0</v>
      </c>
      <c r="J205" s="12">
        <f t="shared" si="33"/>
        <v>0</v>
      </c>
      <c r="K205" s="17" t="str">
        <f t="shared" si="38"/>
        <v>Pas d'écart</v>
      </c>
      <c r="L205" s="16">
        <f>base!X205</f>
        <v>0</v>
      </c>
      <c r="M205" s="11">
        <f t="shared" si="34"/>
        <v>0</v>
      </c>
      <c r="N205" s="11">
        <f t="shared" si="35"/>
        <v>0</v>
      </c>
      <c r="O205" s="11">
        <f t="shared" si="36"/>
        <v>0</v>
      </c>
      <c r="P205" s="12">
        <f t="shared" si="37"/>
        <v>0</v>
      </c>
      <c r="Q205" s="17" t="str">
        <f t="shared" si="39"/>
        <v>Pas d'écart</v>
      </c>
    </row>
    <row r="206" spans="1:18" x14ac:dyDescent="0.3">
      <c r="A206" s="34" t="str">
        <f>base!J206</f>
        <v>RM</v>
      </c>
      <c r="B206" s="34" t="str">
        <f>base!V206</f>
        <v>75001</v>
      </c>
      <c r="C206" s="37">
        <v>75</v>
      </c>
      <c r="D206" s="36">
        <f>base!H206</f>
        <v>19.399999999999999</v>
      </c>
      <c r="E206" s="44"/>
      <c r="F206" s="16">
        <f>base!W206</f>
        <v>0</v>
      </c>
      <c r="G206" s="11">
        <f t="shared" si="30"/>
        <v>0</v>
      </c>
      <c r="H206" s="11">
        <f t="shared" si="31"/>
        <v>0</v>
      </c>
      <c r="I206" s="11">
        <f t="shared" si="32"/>
        <v>0</v>
      </c>
      <c r="J206" s="12">
        <f t="shared" si="33"/>
        <v>0</v>
      </c>
      <c r="K206" s="17" t="str">
        <f t="shared" si="38"/>
        <v>Pas d'écart</v>
      </c>
      <c r="L206" s="16">
        <f>base!X206</f>
        <v>0</v>
      </c>
      <c r="M206" s="11">
        <f t="shared" si="34"/>
        <v>0</v>
      </c>
      <c r="N206" s="11">
        <f t="shared" si="35"/>
        <v>0</v>
      </c>
      <c r="O206" s="11">
        <f t="shared" si="36"/>
        <v>0</v>
      </c>
      <c r="P206" s="12">
        <f t="shared" si="37"/>
        <v>0</v>
      </c>
      <c r="Q206" s="17" t="str">
        <f t="shared" si="39"/>
        <v>Pas d'écart</v>
      </c>
    </row>
    <row r="207" spans="1:18" x14ac:dyDescent="0.3">
      <c r="A207" s="34" t="str">
        <f>base!J207</f>
        <v>LS</v>
      </c>
      <c r="B207" s="34" t="str">
        <f>base!V207</f>
        <v>67230</v>
      </c>
      <c r="C207" s="37">
        <v>63</v>
      </c>
      <c r="D207" s="36">
        <f>base!H207</f>
        <v>183.61</v>
      </c>
      <c r="E207" s="44"/>
      <c r="F207" s="16">
        <f>base!W207</f>
        <v>53.25</v>
      </c>
      <c r="G207" s="11">
        <f t="shared" si="30"/>
        <v>0.29001688361200367</v>
      </c>
      <c r="H207" s="11">
        <f t="shared" si="31"/>
        <v>53.246900000000004</v>
      </c>
      <c r="I207" s="11">
        <f t="shared" si="32"/>
        <v>0.28999999999999998</v>
      </c>
      <c r="J207" s="12">
        <f t="shared" si="33"/>
        <v>3.0999999999963279E-3</v>
      </c>
      <c r="K207" s="17" t="str">
        <f t="shared" si="38"/>
        <v>Ecart positif</v>
      </c>
      <c r="L207" s="16">
        <f>base!X207</f>
        <v>0</v>
      </c>
      <c r="M207" s="11">
        <f t="shared" si="34"/>
        <v>0</v>
      </c>
      <c r="N207" s="11">
        <f t="shared" si="35"/>
        <v>22.033200000000001</v>
      </c>
      <c r="O207" s="11">
        <f t="shared" si="36"/>
        <v>0.12</v>
      </c>
      <c r="P207" s="12">
        <f t="shared" si="37"/>
        <v>-22.033200000000001</v>
      </c>
      <c r="Q207" s="17" t="str">
        <f t="shared" si="39"/>
        <v>Ecart négatif</v>
      </c>
    </row>
    <row r="208" spans="1:18" x14ac:dyDescent="0.3">
      <c r="A208" s="34" t="str">
        <f>base!J208</f>
        <v>LM</v>
      </c>
      <c r="B208" s="34" t="str">
        <f>base!V208</f>
        <v>55270</v>
      </c>
      <c r="C208" s="37">
        <v>29</v>
      </c>
      <c r="D208" s="36">
        <f>base!H208</f>
        <v>185.01</v>
      </c>
      <c r="E208" s="44"/>
      <c r="F208" s="16">
        <f>base!W208</f>
        <v>46.25</v>
      </c>
      <c r="G208" s="11">
        <f t="shared" si="30"/>
        <v>0.24998648721690719</v>
      </c>
      <c r="H208" s="11">
        <f t="shared" si="31"/>
        <v>72.153899999999993</v>
      </c>
      <c r="I208" s="11">
        <f t="shared" si="32"/>
        <v>0.38999999999999996</v>
      </c>
      <c r="J208" s="12">
        <f t="shared" si="33"/>
        <v>-25.903899999999993</v>
      </c>
      <c r="K208" s="17" t="str">
        <f t="shared" si="38"/>
        <v>Ecart négatif</v>
      </c>
      <c r="L208" s="16">
        <f>base!X208</f>
        <v>0</v>
      </c>
      <c r="M208" s="11">
        <f t="shared" si="34"/>
        <v>0</v>
      </c>
      <c r="N208" s="11">
        <f t="shared" si="35"/>
        <v>22.201199999999996</v>
      </c>
      <c r="O208" s="11">
        <f t="shared" si="36"/>
        <v>0.11999999999999998</v>
      </c>
      <c r="P208" s="12">
        <f t="shared" si="37"/>
        <v>-22.201199999999996</v>
      </c>
      <c r="Q208" s="17" t="str">
        <f t="shared" si="39"/>
        <v>Ecart négatif</v>
      </c>
    </row>
    <row r="209" spans="1:17" x14ac:dyDescent="0.3">
      <c r="A209" s="34" t="str">
        <f>base!J209</f>
        <v>LS</v>
      </c>
      <c r="B209" s="34" t="str">
        <f>base!V209</f>
        <v>02200</v>
      </c>
      <c r="C209" s="37">
        <v>79</v>
      </c>
      <c r="D209" s="36">
        <f>base!H209</f>
        <v>197.51</v>
      </c>
      <c r="E209" s="44"/>
      <c r="F209" s="16">
        <f>base!W209</f>
        <v>37.53</v>
      </c>
      <c r="G209" s="11">
        <f t="shared" si="30"/>
        <v>0.19001569540782748</v>
      </c>
      <c r="H209" s="11">
        <f t="shared" si="31"/>
        <v>41.4771</v>
      </c>
      <c r="I209" s="11">
        <f t="shared" si="32"/>
        <v>0.21000000000000002</v>
      </c>
      <c r="J209" s="12">
        <f t="shared" si="33"/>
        <v>-3.9470999999999989</v>
      </c>
      <c r="K209" s="17" t="str">
        <f t="shared" si="38"/>
        <v>Ecart négatif</v>
      </c>
      <c r="L209" s="16">
        <f>base!X209</f>
        <v>0</v>
      </c>
      <c r="M209" s="11">
        <f t="shared" si="34"/>
        <v>0</v>
      </c>
      <c r="N209" s="11">
        <f t="shared" si="35"/>
        <v>23.701199999999996</v>
      </c>
      <c r="O209" s="11">
        <f t="shared" si="36"/>
        <v>0.11999999999999998</v>
      </c>
      <c r="P209" s="12">
        <f t="shared" si="37"/>
        <v>-23.701199999999996</v>
      </c>
      <c r="Q209" s="17" t="str">
        <f t="shared" si="39"/>
        <v>Ecart négatif</v>
      </c>
    </row>
    <row r="210" spans="1:17" x14ac:dyDescent="0.3">
      <c r="A210" s="34" t="str">
        <f>base!J210</f>
        <v>LS</v>
      </c>
      <c r="B210" s="34" t="str">
        <f>base!V210</f>
        <v>25400</v>
      </c>
      <c r="C210" s="37">
        <v>76</v>
      </c>
      <c r="D210" s="36">
        <f>base!H210</f>
        <v>130.19999999999999</v>
      </c>
      <c r="E210" s="44"/>
      <c r="F210" s="16">
        <f>base!W210</f>
        <v>31.25</v>
      </c>
      <c r="G210" s="11">
        <f t="shared" si="30"/>
        <v>0.24001536098310294</v>
      </c>
      <c r="H210" s="11">
        <f t="shared" si="31"/>
        <v>22.134</v>
      </c>
      <c r="I210" s="11">
        <f t="shared" si="32"/>
        <v>0.17</v>
      </c>
      <c r="J210" s="12">
        <f t="shared" si="33"/>
        <v>9.1159999999999997</v>
      </c>
      <c r="K210" s="17" t="str">
        <f t="shared" si="38"/>
        <v>Ecart positif</v>
      </c>
      <c r="L210" s="16">
        <f>base!X210</f>
        <v>0</v>
      </c>
      <c r="M210" s="11">
        <f t="shared" si="34"/>
        <v>0</v>
      </c>
      <c r="N210" s="11">
        <f t="shared" si="35"/>
        <v>22.134</v>
      </c>
      <c r="O210" s="11">
        <f t="shared" si="36"/>
        <v>0.17</v>
      </c>
      <c r="P210" s="12">
        <f t="shared" si="37"/>
        <v>-22.134</v>
      </c>
      <c r="Q210" s="17" t="str">
        <f t="shared" si="39"/>
        <v>Ecart négatif</v>
      </c>
    </row>
    <row r="211" spans="1:17" x14ac:dyDescent="0.3">
      <c r="A211" s="34">
        <f>base!J211</f>
        <v>0</v>
      </c>
      <c r="B211" s="34" t="str">
        <f>base!V211</f>
        <v>77184</v>
      </c>
      <c r="C211" s="37">
        <v>77</v>
      </c>
      <c r="D211" s="36">
        <f>base!H211</f>
        <v>360</v>
      </c>
      <c r="E211" s="44"/>
      <c r="F211" s="16">
        <f>base!W211</f>
        <v>0</v>
      </c>
      <c r="G211" s="11">
        <f t="shared" si="30"/>
        <v>0</v>
      </c>
      <c r="H211" s="11">
        <f t="shared" si="31"/>
        <v>0</v>
      </c>
      <c r="I211" s="11">
        <f t="shared" si="32"/>
        <v>0</v>
      </c>
      <c r="J211" s="12">
        <f t="shared" si="33"/>
        <v>0</v>
      </c>
      <c r="K211" s="17" t="str">
        <f t="shared" si="38"/>
        <v>Pas d'écart</v>
      </c>
      <c r="L211" s="16">
        <f>base!X211</f>
        <v>0</v>
      </c>
      <c r="M211" s="11">
        <f t="shared" si="34"/>
        <v>0</v>
      </c>
      <c r="N211" s="11">
        <f t="shared" si="35"/>
        <v>0</v>
      </c>
      <c r="O211" s="11">
        <f t="shared" si="36"/>
        <v>0</v>
      </c>
      <c r="P211" s="12">
        <f t="shared" si="37"/>
        <v>0</v>
      </c>
      <c r="Q211" s="17" t="str">
        <f t="shared" si="39"/>
        <v>Pas d'écart</v>
      </c>
    </row>
    <row r="212" spans="1:17" x14ac:dyDescent="0.3">
      <c r="A212" s="34">
        <f>base!J212</f>
        <v>0</v>
      </c>
      <c r="B212" s="34" t="str">
        <f>base!V212</f>
        <v>44240</v>
      </c>
      <c r="C212" s="37">
        <v>44</v>
      </c>
      <c r="D212" s="36">
        <f>base!H212</f>
        <v>31.6</v>
      </c>
      <c r="E212" s="44"/>
      <c r="F212" s="16">
        <f>base!W212</f>
        <v>0</v>
      </c>
      <c r="G212" s="11">
        <f t="shared" si="30"/>
        <v>0</v>
      </c>
      <c r="H212" s="11">
        <f t="shared" si="31"/>
        <v>8.5320000000000018</v>
      </c>
      <c r="I212" s="11">
        <f t="shared" si="32"/>
        <v>0.27</v>
      </c>
      <c r="J212" s="12">
        <f t="shared" si="33"/>
        <v>-8.5320000000000018</v>
      </c>
      <c r="K212" s="17" t="str">
        <f t="shared" si="38"/>
        <v>Ecart négatif</v>
      </c>
      <c r="L212" s="16">
        <f>base!X212</f>
        <v>0</v>
      </c>
      <c r="M212" s="11">
        <f t="shared" si="34"/>
        <v>0</v>
      </c>
      <c r="N212" s="11">
        <f t="shared" si="35"/>
        <v>0</v>
      </c>
      <c r="O212" s="11">
        <f t="shared" si="36"/>
        <v>0</v>
      </c>
      <c r="P212" s="12">
        <f t="shared" si="37"/>
        <v>0</v>
      </c>
      <c r="Q212" s="17" t="str">
        <f t="shared" si="39"/>
        <v>Pas d'écart</v>
      </c>
    </row>
    <row r="213" spans="1:17" x14ac:dyDescent="0.3">
      <c r="A213" s="34" t="str">
        <f>base!J213</f>
        <v>LS</v>
      </c>
      <c r="B213" s="34" t="str">
        <f>base!V213</f>
        <v>68270</v>
      </c>
      <c r="C213" s="37">
        <v>68</v>
      </c>
      <c r="D213" s="36">
        <f>base!H213</f>
        <v>0</v>
      </c>
      <c r="E213" s="44"/>
      <c r="F213" s="16">
        <f>base!W213</f>
        <v>0</v>
      </c>
      <c r="G213" s="11" t="e">
        <f t="shared" si="30"/>
        <v>#DIV/0!</v>
      </c>
      <c r="H213" s="11">
        <f t="shared" si="31"/>
        <v>0</v>
      </c>
      <c r="I213" s="11" t="e">
        <f t="shared" si="32"/>
        <v>#DIV/0!</v>
      </c>
      <c r="J213" s="12">
        <f t="shared" si="33"/>
        <v>0</v>
      </c>
      <c r="K213" s="17" t="str">
        <f t="shared" si="38"/>
        <v>Pas d'écart</v>
      </c>
      <c r="L213" s="16">
        <f>base!X213</f>
        <v>0</v>
      </c>
      <c r="M213" s="11" t="e">
        <f t="shared" si="34"/>
        <v>#DIV/0!</v>
      </c>
      <c r="N213" s="11">
        <f t="shared" si="35"/>
        <v>0</v>
      </c>
      <c r="O213" s="11" t="e">
        <f t="shared" si="36"/>
        <v>#DIV/0!</v>
      </c>
      <c r="P213" s="12">
        <f t="shared" si="37"/>
        <v>0</v>
      </c>
      <c r="Q213" s="17" t="str">
        <f t="shared" si="39"/>
        <v>Pas d'écart</v>
      </c>
    </row>
    <row r="214" spans="1:17" x14ac:dyDescent="0.3">
      <c r="A214" s="34" t="str">
        <f>base!J214</f>
        <v>DLS</v>
      </c>
      <c r="B214" s="34" t="str">
        <f>base!V214</f>
        <v>56100</v>
      </c>
      <c r="C214" s="37">
        <v>56</v>
      </c>
      <c r="D214" s="36">
        <f>base!H214</f>
        <v>0</v>
      </c>
      <c r="E214" s="44"/>
      <c r="F214" s="16">
        <f>base!W214</f>
        <v>0</v>
      </c>
      <c r="G214" s="11" t="e">
        <f t="shared" si="30"/>
        <v>#DIV/0!</v>
      </c>
      <c r="H214" s="11">
        <f t="shared" si="31"/>
        <v>0</v>
      </c>
      <c r="I214" s="11" t="e">
        <f t="shared" si="32"/>
        <v>#DIV/0!</v>
      </c>
      <c r="J214" s="12">
        <f t="shared" si="33"/>
        <v>0</v>
      </c>
      <c r="K214" s="17" t="str">
        <f t="shared" si="38"/>
        <v>Pas d'écart</v>
      </c>
      <c r="L214" s="16">
        <f>base!X214</f>
        <v>0</v>
      </c>
      <c r="M214" s="11" t="e">
        <f t="shared" si="34"/>
        <v>#DIV/0!</v>
      </c>
      <c r="N214" s="11">
        <f t="shared" si="35"/>
        <v>0</v>
      </c>
      <c r="O214" s="11" t="e">
        <f t="shared" si="36"/>
        <v>#DIV/0!</v>
      </c>
      <c r="P214" s="12">
        <f t="shared" si="37"/>
        <v>0</v>
      </c>
      <c r="Q214" s="17" t="str">
        <f t="shared" si="39"/>
        <v>Pas d'écart</v>
      </c>
    </row>
    <row r="215" spans="1:17" x14ac:dyDescent="0.3">
      <c r="A215" s="34" t="str">
        <f>base!J215</f>
        <v>LM</v>
      </c>
      <c r="B215" s="34" t="str">
        <f>base!V215</f>
        <v>62182</v>
      </c>
      <c r="C215" s="37">
        <v>62</v>
      </c>
      <c r="D215" s="36">
        <f>base!H215</f>
        <v>40</v>
      </c>
      <c r="E215" s="44"/>
      <c r="F215" s="16">
        <f>base!W215</f>
        <v>7.6</v>
      </c>
      <c r="G215" s="11">
        <f t="shared" si="30"/>
        <v>0.19</v>
      </c>
      <c r="H215" s="11">
        <f t="shared" si="31"/>
        <v>7.6</v>
      </c>
      <c r="I215" s="11">
        <f t="shared" si="32"/>
        <v>0.19</v>
      </c>
      <c r="J215" s="12">
        <f t="shared" si="33"/>
        <v>0</v>
      </c>
      <c r="K215" s="17" t="str">
        <f t="shared" si="38"/>
        <v>Pas d'écart</v>
      </c>
      <c r="L215" s="16">
        <f>base!X215</f>
        <v>0</v>
      </c>
      <c r="M215" s="11">
        <f t="shared" si="34"/>
        <v>0</v>
      </c>
      <c r="N215" s="11">
        <f t="shared" si="35"/>
        <v>0</v>
      </c>
      <c r="O215" s="11">
        <f t="shared" si="36"/>
        <v>0</v>
      </c>
      <c r="P215" s="12">
        <f t="shared" si="37"/>
        <v>0</v>
      </c>
      <c r="Q215" s="17" t="str">
        <f t="shared" si="39"/>
        <v>Pas d'écart</v>
      </c>
    </row>
    <row r="216" spans="1:17" x14ac:dyDescent="0.3">
      <c r="A216" s="34" t="str">
        <f>base!J216</f>
        <v>LS</v>
      </c>
      <c r="B216" s="34" t="str">
        <f>base!V216</f>
        <v>61200</v>
      </c>
      <c r="C216" s="37">
        <v>8</v>
      </c>
      <c r="D216" s="36">
        <f>base!H216</f>
        <v>55.14</v>
      </c>
      <c r="E216" s="44"/>
      <c r="F216" s="16">
        <f>base!W216</f>
        <v>9.3699999999999992</v>
      </c>
      <c r="G216" s="11">
        <f t="shared" si="30"/>
        <v>0.16993108451215086</v>
      </c>
      <c r="H216" s="11">
        <f t="shared" si="31"/>
        <v>9.9252000000000002</v>
      </c>
      <c r="I216" s="11">
        <f t="shared" si="32"/>
        <v>0.18</v>
      </c>
      <c r="J216" s="12">
        <f t="shared" si="33"/>
        <v>-0.55520000000000103</v>
      </c>
      <c r="K216" s="17" t="str">
        <f t="shared" si="38"/>
        <v>Ecart négatif</v>
      </c>
      <c r="L216" s="16">
        <f>base!X216</f>
        <v>0</v>
      </c>
      <c r="M216" s="11">
        <f t="shared" si="34"/>
        <v>0</v>
      </c>
      <c r="N216" s="11">
        <f t="shared" si="35"/>
        <v>0</v>
      </c>
      <c r="O216" s="11">
        <f t="shared" si="36"/>
        <v>0</v>
      </c>
      <c r="P216" s="12">
        <f t="shared" si="37"/>
        <v>0</v>
      </c>
      <c r="Q216" s="17" t="str">
        <f t="shared" si="39"/>
        <v>Pas d'écart</v>
      </c>
    </row>
    <row r="217" spans="1:17" x14ac:dyDescent="0.3">
      <c r="A217" s="34" t="str">
        <f>base!J217</f>
        <v>LS</v>
      </c>
      <c r="B217" s="34" t="str">
        <f>base!V217</f>
        <v>19100</v>
      </c>
      <c r="C217" s="37">
        <v>50</v>
      </c>
      <c r="D217" s="36">
        <f>base!H217</f>
        <v>100.42</v>
      </c>
      <c r="E217" s="44"/>
      <c r="F217" s="16">
        <f>base!W217</f>
        <v>29.12</v>
      </c>
      <c r="G217" s="11">
        <f t="shared" si="30"/>
        <v>0.28998207528380804</v>
      </c>
      <c r="H217" s="11">
        <f t="shared" si="31"/>
        <v>17.071400000000001</v>
      </c>
      <c r="I217" s="11">
        <f t="shared" si="32"/>
        <v>0.17</v>
      </c>
      <c r="J217" s="12">
        <f t="shared" si="33"/>
        <v>12.0486</v>
      </c>
      <c r="K217" s="17" t="str">
        <f t="shared" si="38"/>
        <v>Ecart positif</v>
      </c>
      <c r="L217" s="16">
        <f>base!X217</f>
        <v>0</v>
      </c>
      <c r="M217" s="11">
        <f t="shared" si="34"/>
        <v>0</v>
      </c>
      <c r="N217" s="11">
        <f t="shared" si="35"/>
        <v>17.071400000000001</v>
      </c>
      <c r="O217" s="11">
        <f t="shared" si="36"/>
        <v>0.17</v>
      </c>
      <c r="P217" s="12">
        <f t="shared" si="37"/>
        <v>-17.071400000000001</v>
      </c>
      <c r="Q217" s="17" t="str">
        <f t="shared" si="39"/>
        <v>Ecart négatif</v>
      </c>
    </row>
    <row r="218" spans="1:17" x14ac:dyDescent="0.3">
      <c r="A218" s="34" t="str">
        <f>base!J218</f>
        <v>RS</v>
      </c>
      <c r="B218" s="34" t="str">
        <f>base!V218</f>
        <v>06281</v>
      </c>
      <c r="C218" s="37">
        <v>6</v>
      </c>
      <c r="D218" s="36">
        <f>base!H218</f>
        <v>33.119999999999997</v>
      </c>
      <c r="E218" s="44"/>
      <c r="F218" s="16">
        <f>base!W218</f>
        <v>0</v>
      </c>
      <c r="G218" s="11">
        <f t="shared" si="30"/>
        <v>0</v>
      </c>
      <c r="H218" s="11">
        <f t="shared" si="31"/>
        <v>9.9359999999999982</v>
      </c>
      <c r="I218" s="11">
        <f t="shared" si="32"/>
        <v>0.3</v>
      </c>
      <c r="J218" s="12">
        <f t="shared" si="33"/>
        <v>-9.9359999999999982</v>
      </c>
      <c r="K218" s="17" t="str">
        <f t="shared" si="38"/>
        <v>Ecart négatif</v>
      </c>
      <c r="L218" s="16">
        <f>base!X218</f>
        <v>0</v>
      </c>
      <c r="M218" s="11">
        <f t="shared" si="34"/>
        <v>0</v>
      </c>
      <c r="N218" s="11">
        <f t="shared" si="35"/>
        <v>6.9551999999999996</v>
      </c>
      <c r="O218" s="11">
        <f t="shared" si="36"/>
        <v>0.21</v>
      </c>
      <c r="P218" s="12">
        <f t="shared" si="37"/>
        <v>-6.9551999999999996</v>
      </c>
      <c r="Q218" s="17" t="str">
        <f t="shared" si="39"/>
        <v>Ecart négatif</v>
      </c>
    </row>
    <row r="219" spans="1:17" x14ac:dyDescent="0.3">
      <c r="A219" s="34" t="str">
        <f>base!J219</f>
        <v>RS</v>
      </c>
      <c r="B219" s="34" t="str">
        <f>base!V219</f>
        <v>22370</v>
      </c>
      <c r="C219" s="37">
        <v>22</v>
      </c>
      <c r="D219" s="36">
        <f>base!H219</f>
        <v>70</v>
      </c>
      <c r="E219" s="44"/>
      <c r="F219" s="16">
        <f>base!W219</f>
        <v>0</v>
      </c>
      <c r="G219" s="11">
        <f t="shared" si="30"/>
        <v>0</v>
      </c>
      <c r="H219" s="11">
        <f t="shared" si="31"/>
        <v>26.6</v>
      </c>
      <c r="I219" s="11">
        <f t="shared" si="32"/>
        <v>0.38</v>
      </c>
      <c r="J219" s="12">
        <f t="shared" si="33"/>
        <v>-26.6</v>
      </c>
      <c r="K219" s="17" t="str">
        <f t="shared" si="38"/>
        <v>Ecart négatif</v>
      </c>
      <c r="L219" s="16">
        <f>base!X219</f>
        <v>0</v>
      </c>
      <c r="M219" s="11">
        <f t="shared" si="34"/>
        <v>0</v>
      </c>
      <c r="N219" s="11">
        <f t="shared" si="35"/>
        <v>8.4</v>
      </c>
      <c r="O219" s="11">
        <f t="shared" si="36"/>
        <v>0.12000000000000001</v>
      </c>
      <c r="P219" s="12">
        <f t="shared" si="37"/>
        <v>-8.4</v>
      </c>
      <c r="Q219" s="17" t="str">
        <f t="shared" si="39"/>
        <v>Ecart négatif</v>
      </c>
    </row>
    <row r="220" spans="1:17" x14ac:dyDescent="0.3">
      <c r="A220" s="34" t="str">
        <f>base!J220</f>
        <v>LS</v>
      </c>
      <c r="B220" s="34" t="str">
        <f>base!V220</f>
        <v>57600</v>
      </c>
      <c r="C220" s="37">
        <v>57</v>
      </c>
      <c r="D220" s="36">
        <f>base!H220</f>
        <v>0</v>
      </c>
      <c r="E220" s="44"/>
      <c r="F220" s="16">
        <f>base!W220</f>
        <v>0</v>
      </c>
      <c r="G220" s="11" t="e">
        <f t="shared" si="30"/>
        <v>#DIV/0!</v>
      </c>
      <c r="H220" s="11">
        <f t="shared" si="31"/>
        <v>0</v>
      </c>
      <c r="I220" s="11" t="e">
        <f t="shared" si="32"/>
        <v>#DIV/0!</v>
      </c>
      <c r="J220" s="12">
        <f t="shared" si="33"/>
        <v>0</v>
      </c>
      <c r="K220" s="17" t="str">
        <f t="shared" si="38"/>
        <v>Pas d'écart</v>
      </c>
      <c r="L220" s="16">
        <f>base!X220</f>
        <v>0</v>
      </c>
      <c r="M220" s="11" t="e">
        <f t="shared" si="34"/>
        <v>#DIV/0!</v>
      </c>
      <c r="N220" s="11">
        <f t="shared" si="35"/>
        <v>0</v>
      </c>
      <c r="O220" s="11" t="e">
        <f t="shared" si="36"/>
        <v>#DIV/0!</v>
      </c>
      <c r="P220" s="12">
        <f t="shared" si="37"/>
        <v>0</v>
      </c>
      <c r="Q220" s="17" t="str">
        <f t="shared" si="39"/>
        <v>Pas d'écart</v>
      </c>
    </row>
    <row r="221" spans="1:17" x14ac:dyDescent="0.3">
      <c r="A221" s="34">
        <f>base!J221</f>
        <v>0</v>
      </c>
      <c r="B221" s="34" t="str">
        <f>base!V221</f>
        <v>77184</v>
      </c>
      <c r="C221" s="37">
        <v>77</v>
      </c>
      <c r="D221" s="36">
        <f>base!H221</f>
        <v>171</v>
      </c>
      <c r="E221" s="44"/>
      <c r="F221" s="16">
        <f>base!W221</f>
        <v>0</v>
      </c>
      <c r="G221" s="11">
        <f t="shared" si="30"/>
        <v>0</v>
      </c>
      <c r="H221" s="11">
        <f t="shared" si="31"/>
        <v>0</v>
      </c>
      <c r="I221" s="11">
        <f t="shared" si="32"/>
        <v>0</v>
      </c>
      <c r="J221" s="12">
        <f t="shared" si="33"/>
        <v>0</v>
      </c>
      <c r="K221" s="17" t="str">
        <f t="shared" si="38"/>
        <v>Pas d'écart</v>
      </c>
      <c r="L221" s="16">
        <f>base!X221</f>
        <v>0</v>
      </c>
      <c r="M221" s="11">
        <f t="shared" si="34"/>
        <v>0</v>
      </c>
      <c r="N221" s="11">
        <f t="shared" si="35"/>
        <v>0</v>
      </c>
      <c r="O221" s="11">
        <f t="shared" si="36"/>
        <v>0</v>
      </c>
      <c r="P221" s="12">
        <f t="shared" si="37"/>
        <v>0</v>
      </c>
      <c r="Q221" s="17" t="str">
        <f t="shared" si="39"/>
        <v>Pas d'écart</v>
      </c>
    </row>
    <row r="222" spans="1:17" x14ac:dyDescent="0.3">
      <c r="A222" s="34" t="str">
        <f>base!J222</f>
        <v>RM</v>
      </c>
      <c r="B222" s="34" t="str">
        <f>base!V222</f>
        <v>13006</v>
      </c>
      <c r="C222" s="37">
        <v>13</v>
      </c>
      <c r="D222" s="36">
        <f>base!H222</f>
        <v>211</v>
      </c>
      <c r="E222" s="44"/>
      <c r="F222" s="16">
        <f>base!W222</f>
        <v>0</v>
      </c>
      <c r="G222" s="11">
        <f t="shared" si="30"/>
        <v>0</v>
      </c>
      <c r="H222" s="11">
        <f t="shared" si="31"/>
        <v>61.19</v>
      </c>
      <c r="I222" s="11">
        <f t="shared" si="32"/>
        <v>0.28999999999999998</v>
      </c>
      <c r="J222" s="12">
        <f t="shared" si="33"/>
        <v>-61.19</v>
      </c>
      <c r="K222" s="17" t="str">
        <f t="shared" si="38"/>
        <v>Ecart négatif</v>
      </c>
      <c r="L222" s="16">
        <f>base!X222</f>
        <v>0</v>
      </c>
      <c r="M222" s="11">
        <f t="shared" si="34"/>
        <v>0</v>
      </c>
      <c r="N222" s="11">
        <f t="shared" si="35"/>
        <v>40.090000000000003</v>
      </c>
      <c r="O222" s="11">
        <f t="shared" si="36"/>
        <v>0.19000000000000003</v>
      </c>
      <c r="P222" s="12">
        <f t="shared" si="37"/>
        <v>-40.090000000000003</v>
      </c>
      <c r="Q222" s="17" t="str">
        <f t="shared" si="39"/>
        <v>Ecart négatif</v>
      </c>
    </row>
    <row r="223" spans="1:17" x14ac:dyDescent="0.3">
      <c r="A223" s="34" t="str">
        <f>base!J223</f>
        <v>LM</v>
      </c>
      <c r="B223" s="34" t="str">
        <f>base!V223</f>
        <v>76530</v>
      </c>
      <c r="C223" s="37">
        <v>90</v>
      </c>
      <c r="D223" s="36">
        <f>base!H223</f>
        <v>183.25</v>
      </c>
      <c r="E223" s="44"/>
      <c r="F223" s="16">
        <f>base!W223</f>
        <v>31.15</v>
      </c>
      <c r="G223" s="11">
        <f t="shared" si="30"/>
        <v>0.1699863574351978</v>
      </c>
      <c r="H223" s="11">
        <f t="shared" si="31"/>
        <v>53.142499999999998</v>
      </c>
      <c r="I223" s="11">
        <f t="shared" si="32"/>
        <v>0.28999999999999998</v>
      </c>
      <c r="J223" s="12">
        <f t="shared" si="33"/>
        <v>-21.9925</v>
      </c>
      <c r="K223" s="17" t="str">
        <f t="shared" si="38"/>
        <v>Ecart négatif</v>
      </c>
      <c r="L223" s="16">
        <f>base!X223</f>
        <v>0</v>
      </c>
      <c r="M223" s="11">
        <f t="shared" si="34"/>
        <v>0</v>
      </c>
      <c r="N223" s="11">
        <f t="shared" si="35"/>
        <v>14.66</v>
      </c>
      <c r="O223" s="11">
        <f t="shared" si="36"/>
        <v>0.08</v>
      </c>
      <c r="P223" s="12">
        <f t="shared" si="37"/>
        <v>-14.66</v>
      </c>
      <c r="Q223" s="17" t="str">
        <f t="shared" si="39"/>
        <v>Ecart négatif</v>
      </c>
    </row>
    <row r="224" spans="1:17" x14ac:dyDescent="0.3">
      <c r="A224" s="34" t="str">
        <f>base!J224</f>
        <v>LS</v>
      </c>
      <c r="B224" s="34" t="str">
        <f>base!V224</f>
        <v>72240</v>
      </c>
      <c r="C224" s="37">
        <v>25</v>
      </c>
      <c r="D224" s="36">
        <f>base!H224</f>
        <v>19.8</v>
      </c>
      <c r="E224" s="44"/>
      <c r="F224" s="16">
        <f>base!W224</f>
        <v>4.16</v>
      </c>
      <c r="G224" s="11">
        <f t="shared" si="30"/>
        <v>0.21010101010101009</v>
      </c>
      <c r="H224" s="11">
        <f t="shared" si="31"/>
        <v>4.7519999999999998</v>
      </c>
      <c r="I224" s="11">
        <f t="shared" si="32"/>
        <v>0.24</v>
      </c>
      <c r="J224" s="12">
        <f t="shared" si="33"/>
        <v>-0.59199999999999964</v>
      </c>
      <c r="K224" s="17" t="str">
        <f t="shared" si="38"/>
        <v>Ecart négatif</v>
      </c>
      <c r="L224" s="16">
        <f>base!X224</f>
        <v>0</v>
      </c>
      <c r="M224" s="11">
        <f t="shared" si="34"/>
        <v>0</v>
      </c>
      <c r="N224" s="11">
        <f t="shared" si="35"/>
        <v>2.3759999999999999</v>
      </c>
      <c r="O224" s="11">
        <f t="shared" si="36"/>
        <v>0.12</v>
      </c>
      <c r="P224" s="12">
        <f t="shared" si="37"/>
        <v>-2.3759999999999999</v>
      </c>
      <c r="Q224" s="17" t="str">
        <f t="shared" si="39"/>
        <v>Ecart négatif</v>
      </c>
    </row>
    <row r="225" spans="1:18" x14ac:dyDescent="0.3">
      <c r="A225" s="34" t="str">
        <f>base!J225</f>
        <v>LM</v>
      </c>
      <c r="B225" s="34" t="str">
        <f>base!V225</f>
        <v>60290</v>
      </c>
      <c r="C225" s="37">
        <v>21</v>
      </c>
      <c r="D225" s="36">
        <f>base!H225</f>
        <v>19.8</v>
      </c>
      <c r="E225" s="44"/>
      <c r="F225" s="16">
        <f>base!W225</f>
        <v>3.76</v>
      </c>
      <c r="G225" s="11">
        <f t="shared" si="30"/>
        <v>0.18989898989898987</v>
      </c>
      <c r="H225" s="11">
        <f t="shared" si="31"/>
        <v>4.7519999999999998</v>
      </c>
      <c r="I225" s="11">
        <f t="shared" si="32"/>
        <v>0.24</v>
      </c>
      <c r="J225" s="12">
        <f t="shared" si="33"/>
        <v>-0.99199999999999999</v>
      </c>
      <c r="K225" s="17" t="str">
        <f t="shared" si="38"/>
        <v>Ecart négatif</v>
      </c>
      <c r="L225" s="16">
        <f>base!X225</f>
        <v>0</v>
      </c>
      <c r="M225" s="11">
        <f t="shared" si="34"/>
        <v>0</v>
      </c>
      <c r="N225" s="11">
        <f t="shared" si="35"/>
        <v>2.3759999999999999</v>
      </c>
      <c r="O225" s="11">
        <f t="shared" si="36"/>
        <v>0.12</v>
      </c>
      <c r="P225" s="12">
        <f t="shared" si="37"/>
        <v>-2.3759999999999999</v>
      </c>
      <c r="Q225" s="17" t="str">
        <f t="shared" si="39"/>
        <v>Ecart négatif</v>
      </c>
    </row>
    <row r="226" spans="1:18" x14ac:dyDescent="0.3">
      <c r="A226" s="34" t="str">
        <f>base!J226</f>
        <v>LS</v>
      </c>
      <c r="B226" s="34" t="str">
        <f>base!V226</f>
        <v>94290</v>
      </c>
      <c r="C226" s="37">
        <v>94</v>
      </c>
      <c r="D226" s="36">
        <f>base!H226</f>
        <v>157.84</v>
      </c>
      <c r="E226" s="44"/>
      <c r="F226" s="16">
        <f>base!W226</f>
        <v>0</v>
      </c>
      <c r="G226" s="11">
        <f t="shared" si="30"/>
        <v>0</v>
      </c>
      <c r="H226" s="11">
        <f t="shared" si="31"/>
        <v>0</v>
      </c>
      <c r="I226" s="11">
        <f t="shared" si="32"/>
        <v>0</v>
      </c>
      <c r="J226" s="12">
        <f t="shared" si="33"/>
        <v>0</v>
      </c>
      <c r="K226" s="17" t="str">
        <f t="shared" si="38"/>
        <v>Pas d'écart</v>
      </c>
      <c r="L226" s="16">
        <f>base!X226</f>
        <v>0</v>
      </c>
      <c r="M226" s="11">
        <f t="shared" si="34"/>
        <v>0</v>
      </c>
      <c r="N226" s="11">
        <f t="shared" si="35"/>
        <v>0</v>
      </c>
      <c r="O226" s="11">
        <f t="shared" si="36"/>
        <v>0</v>
      </c>
      <c r="P226" s="12">
        <f t="shared" si="37"/>
        <v>0</v>
      </c>
      <c r="Q226" s="17" t="str">
        <f t="shared" si="39"/>
        <v>Pas d'écart</v>
      </c>
    </row>
    <row r="227" spans="1:18" x14ac:dyDescent="0.3">
      <c r="A227" s="34" t="str">
        <f>base!J227</f>
        <v>LS</v>
      </c>
      <c r="B227" s="34" t="str">
        <f>base!V227</f>
        <v>29610</v>
      </c>
      <c r="C227" s="37">
        <v>53</v>
      </c>
      <c r="D227" s="36">
        <f>base!H227</f>
        <v>18.350000000000001</v>
      </c>
      <c r="E227" s="44"/>
      <c r="F227" s="16">
        <f>base!W227</f>
        <v>7.16</v>
      </c>
      <c r="G227" s="11">
        <f t="shared" si="30"/>
        <v>0.39019073569482288</v>
      </c>
      <c r="H227" s="11">
        <f t="shared" si="31"/>
        <v>4.9545000000000003</v>
      </c>
      <c r="I227" s="11">
        <f t="shared" si="32"/>
        <v>0.27</v>
      </c>
      <c r="J227" s="12">
        <f t="shared" si="33"/>
        <v>2.2054999999999998</v>
      </c>
      <c r="K227" s="17" t="str">
        <f t="shared" si="38"/>
        <v>Ecart positif</v>
      </c>
      <c r="L227" s="16">
        <f>base!X227</f>
        <v>0</v>
      </c>
      <c r="M227" s="11">
        <f t="shared" si="34"/>
        <v>0</v>
      </c>
      <c r="N227" s="11">
        <f t="shared" si="35"/>
        <v>0</v>
      </c>
      <c r="O227" s="11">
        <f t="shared" si="36"/>
        <v>0</v>
      </c>
      <c r="P227" s="12">
        <f t="shared" si="37"/>
        <v>0</v>
      </c>
      <c r="Q227" s="17" t="str">
        <f t="shared" si="39"/>
        <v>Pas d'écart</v>
      </c>
    </row>
    <row r="228" spans="1:18" x14ac:dyDescent="0.3">
      <c r="A228" s="34" t="str">
        <f>base!J228</f>
        <v>LM</v>
      </c>
      <c r="B228" s="34" t="str">
        <f>base!V228</f>
        <v>69003</v>
      </c>
      <c r="C228" s="37">
        <v>69</v>
      </c>
      <c r="D228" s="36">
        <f>base!H228</f>
        <v>80</v>
      </c>
      <c r="E228" s="44"/>
      <c r="F228" s="16">
        <f>base!W228</f>
        <v>21.6</v>
      </c>
      <c r="G228" s="11">
        <f t="shared" si="30"/>
        <v>0.27</v>
      </c>
      <c r="H228" s="11">
        <f t="shared" si="31"/>
        <v>21.6</v>
      </c>
      <c r="I228" s="11">
        <f t="shared" si="32"/>
        <v>0.27</v>
      </c>
      <c r="J228" s="12">
        <f t="shared" si="33"/>
        <v>0</v>
      </c>
      <c r="K228" s="17" t="str">
        <f t="shared" si="38"/>
        <v>Pas d'écart</v>
      </c>
      <c r="L228" s="16">
        <f>base!X228</f>
        <v>0</v>
      </c>
      <c r="M228" s="11">
        <f t="shared" si="34"/>
        <v>0</v>
      </c>
      <c r="N228" s="11">
        <f t="shared" si="35"/>
        <v>0</v>
      </c>
      <c r="O228" s="11">
        <f t="shared" si="36"/>
        <v>0</v>
      </c>
      <c r="P228" s="12">
        <f t="shared" si="37"/>
        <v>0</v>
      </c>
      <c r="Q228" s="17" t="str">
        <f t="shared" si="39"/>
        <v>Pas d'écart</v>
      </c>
    </row>
    <row r="229" spans="1:18" x14ac:dyDescent="0.3">
      <c r="A229" s="34" t="str">
        <f>base!J229</f>
        <v>RS</v>
      </c>
      <c r="B229" s="34" t="str">
        <f>base!V229</f>
        <v>77000</v>
      </c>
      <c r="C229" s="37">
        <v>77</v>
      </c>
      <c r="D229" s="36">
        <f>base!H229</f>
        <v>140</v>
      </c>
      <c r="E229" s="44"/>
      <c r="F229" s="16">
        <f>base!W229</f>
        <v>0</v>
      </c>
      <c r="G229" s="11">
        <f t="shared" si="30"/>
        <v>0</v>
      </c>
      <c r="H229" s="11">
        <f t="shared" si="31"/>
        <v>0</v>
      </c>
      <c r="I229" s="11">
        <f t="shared" si="32"/>
        <v>0</v>
      </c>
      <c r="J229" s="12">
        <f t="shared" si="33"/>
        <v>0</v>
      </c>
      <c r="K229" s="17" t="str">
        <f t="shared" si="38"/>
        <v>Pas d'écart</v>
      </c>
      <c r="L229" s="16">
        <f>base!X229</f>
        <v>0</v>
      </c>
      <c r="M229" s="11">
        <f t="shared" si="34"/>
        <v>0</v>
      </c>
      <c r="N229" s="11">
        <f t="shared" si="35"/>
        <v>0</v>
      </c>
      <c r="O229" s="11">
        <f t="shared" si="36"/>
        <v>0</v>
      </c>
      <c r="P229" s="12">
        <f t="shared" si="37"/>
        <v>0</v>
      </c>
      <c r="Q229" s="17" t="str">
        <f t="shared" si="39"/>
        <v>Pas d'écart</v>
      </c>
    </row>
    <row r="230" spans="1:18" x14ac:dyDescent="0.3">
      <c r="A230" s="34" t="str">
        <f>base!J230</f>
        <v>LS</v>
      </c>
      <c r="B230" s="34" t="str">
        <f>base!V230</f>
        <v>51130</v>
      </c>
      <c r="C230" s="37">
        <v>51</v>
      </c>
      <c r="D230" s="36">
        <f>base!H230</f>
        <v>180</v>
      </c>
      <c r="E230" s="44"/>
      <c r="F230" s="16">
        <f>base!W230</f>
        <v>45</v>
      </c>
      <c r="G230" s="11">
        <f t="shared" si="30"/>
        <v>0.25</v>
      </c>
      <c r="H230" s="11">
        <f t="shared" si="31"/>
        <v>45</v>
      </c>
      <c r="I230" s="11">
        <f t="shared" si="32"/>
        <v>0.25</v>
      </c>
      <c r="J230" s="12">
        <f t="shared" si="33"/>
        <v>0</v>
      </c>
      <c r="K230" s="17" t="str">
        <f t="shared" si="38"/>
        <v>Pas d'écart</v>
      </c>
      <c r="L230" s="16">
        <f>base!X230</f>
        <v>0</v>
      </c>
      <c r="M230" s="11">
        <f t="shared" si="34"/>
        <v>0</v>
      </c>
      <c r="N230" s="11">
        <f t="shared" si="35"/>
        <v>45</v>
      </c>
      <c r="O230" s="11">
        <f t="shared" si="36"/>
        <v>0.25</v>
      </c>
      <c r="P230" s="12">
        <f t="shared" si="37"/>
        <v>-45</v>
      </c>
      <c r="Q230" s="17" t="str">
        <f t="shared" si="39"/>
        <v>Ecart négatif</v>
      </c>
    </row>
    <row r="231" spans="1:18" x14ac:dyDescent="0.3">
      <c r="A231" s="34">
        <f>base!J231</f>
        <v>0</v>
      </c>
      <c r="B231" s="34" t="str">
        <f>base!V231</f>
        <v>77184</v>
      </c>
      <c r="C231" s="37">
        <v>77</v>
      </c>
      <c r="D231" s="36">
        <f>base!H231</f>
        <v>106</v>
      </c>
      <c r="E231" s="44"/>
      <c r="F231" s="16">
        <f>base!W231</f>
        <v>0</v>
      </c>
      <c r="G231" s="11">
        <f t="shared" si="30"/>
        <v>0</v>
      </c>
      <c r="H231" s="11">
        <f t="shared" si="31"/>
        <v>0</v>
      </c>
      <c r="I231" s="11">
        <f t="shared" si="32"/>
        <v>0</v>
      </c>
      <c r="J231" s="12">
        <f t="shared" si="33"/>
        <v>0</v>
      </c>
      <c r="K231" s="17" t="str">
        <f t="shared" si="38"/>
        <v>Pas d'écart</v>
      </c>
      <c r="L231" s="16">
        <f>base!X231</f>
        <v>0</v>
      </c>
      <c r="M231" s="11">
        <f t="shared" si="34"/>
        <v>0</v>
      </c>
      <c r="N231" s="11">
        <f t="shared" si="35"/>
        <v>0</v>
      </c>
      <c r="O231" s="11">
        <f t="shared" si="36"/>
        <v>0</v>
      </c>
      <c r="P231" s="12">
        <f t="shared" si="37"/>
        <v>0</v>
      </c>
      <c r="Q231" s="17" t="str">
        <f t="shared" si="39"/>
        <v>Pas d'écart</v>
      </c>
    </row>
    <row r="232" spans="1:18" x14ac:dyDescent="0.3">
      <c r="A232" s="34" t="str">
        <f>base!J232</f>
        <v>RM</v>
      </c>
      <c r="B232" s="34" t="str">
        <f>base!V232</f>
        <v>68270</v>
      </c>
      <c r="C232" s="37">
        <v>68</v>
      </c>
      <c r="D232" s="36">
        <f>base!H232</f>
        <v>20</v>
      </c>
      <c r="E232" s="44"/>
      <c r="F232" s="16">
        <f>base!W232</f>
        <v>0</v>
      </c>
      <c r="G232" s="11">
        <f t="shared" si="30"/>
        <v>0</v>
      </c>
      <c r="H232" s="11">
        <f t="shared" si="31"/>
        <v>5.8</v>
      </c>
      <c r="I232" s="11">
        <f t="shared" si="32"/>
        <v>0.28999999999999998</v>
      </c>
      <c r="J232" s="12">
        <f t="shared" si="33"/>
        <v>-5.8</v>
      </c>
      <c r="K232" s="17" t="str">
        <f t="shared" si="38"/>
        <v>Ecart négatif</v>
      </c>
      <c r="L232" s="16">
        <f>base!X232</f>
        <v>1.6</v>
      </c>
      <c r="M232" s="11">
        <f t="shared" si="34"/>
        <v>0.08</v>
      </c>
      <c r="N232" s="11">
        <f t="shared" si="35"/>
        <v>1.6</v>
      </c>
      <c r="O232" s="11">
        <f t="shared" si="36"/>
        <v>0.08</v>
      </c>
      <c r="P232" s="12">
        <f t="shared" si="37"/>
        <v>0</v>
      </c>
      <c r="Q232" s="17" t="str">
        <f t="shared" si="39"/>
        <v>Pas d'écart</v>
      </c>
      <c r="R232" s="38"/>
    </row>
    <row r="233" spans="1:18" x14ac:dyDescent="0.3">
      <c r="A233" s="34" t="str">
        <f>base!J233</f>
        <v>LM</v>
      </c>
      <c r="B233" s="34" t="str">
        <f>base!V233</f>
        <v>25200</v>
      </c>
      <c r="C233" s="37">
        <v>1</v>
      </c>
      <c r="D233" s="36">
        <f>base!H233</f>
        <v>144.19999999999999</v>
      </c>
      <c r="E233" s="44"/>
      <c r="F233" s="16">
        <f>base!W233</f>
        <v>34.61</v>
      </c>
      <c r="G233" s="11">
        <f t="shared" si="30"/>
        <v>0.24001386962552013</v>
      </c>
      <c r="H233" s="11">
        <f t="shared" si="31"/>
        <v>37.491999999999997</v>
      </c>
      <c r="I233" s="11">
        <f t="shared" si="32"/>
        <v>0.26</v>
      </c>
      <c r="J233" s="12">
        <f t="shared" si="33"/>
        <v>-2.8819999999999979</v>
      </c>
      <c r="K233" s="17" t="str">
        <f t="shared" si="38"/>
        <v>Ecart négatif</v>
      </c>
      <c r="L233" s="16">
        <f>base!X233</f>
        <v>0</v>
      </c>
      <c r="M233" s="11">
        <f t="shared" si="34"/>
        <v>0</v>
      </c>
      <c r="N233" s="11">
        <f t="shared" si="35"/>
        <v>0</v>
      </c>
      <c r="O233" s="11">
        <f t="shared" si="36"/>
        <v>0</v>
      </c>
      <c r="P233" s="12">
        <f t="shared" si="37"/>
        <v>0</v>
      </c>
      <c r="Q233" s="17" t="str">
        <f t="shared" si="39"/>
        <v>Pas d'écart</v>
      </c>
    </row>
    <row r="234" spans="1:18" x14ac:dyDescent="0.3">
      <c r="A234" s="34" t="str">
        <f>base!J234</f>
        <v>LS</v>
      </c>
      <c r="B234" s="34" t="str">
        <f>base!V234</f>
        <v>76300</v>
      </c>
      <c r="C234" s="37">
        <v>63</v>
      </c>
      <c r="D234" s="36">
        <f>base!H234</f>
        <v>62.4</v>
      </c>
      <c r="E234" s="44"/>
      <c r="F234" s="16">
        <f>base!W234</f>
        <v>10.61</v>
      </c>
      <c r="G234" s="11">
        <f t="shared" si="30"/>
        <v>0.17003205128205129</v>
      </c>
      <c r="H234" s="11">
        <f t="shared" si="31"/>
        <v>18.096</v>
      </c>
      <c r="I234" s="11">
        <f t="shared" si="32"/>
        <v>0.29000000000000004</v>
      </c>
      <c r="J234" s="12">
        <f t="shared" si="33"/>
        <v>-7.4860000000000007</v>
      </c>
      <c r="K234" s="17" t="str">
        <f t="shared" si="38"/>
        <v>Ecart négatif</v>
      </c>
      <c r="L234" s="16">
        <f>base!X234</f>
        <v>0</v>
      </c>
      <c r="M234" s="11">
        <f t="shared" si="34"/>
        <v>0</v>
      </c>
      <c r="N234" s="11">
        <f t="shared" si="35"/>
        <v>7.4879999999999995</v>
      </c>
      <c r="O234" s="11">
        <f t="shared" si="36"/>
        <v>0.12</v>
      </c>
      <c r="P234" s="12">
        <f t="shared" si="37"/>
        <v>-7.4879999999999995</v>
      </c>
      <c r="Q234" s="17" t="str">
        <f t="shared" si="39"/>
        <v>Ecart négatif</v>
      </c>
    </row>
    <row r="235" spans="1:18" x14ac:dyDescent="0.3">
      <c r="A235" s="34" t="str">
        <f>base!J235</f>
        <v>LS</v>
      </c>
      <c r="B235" s="34" t="str">
        <f>base!V235</f>
        <v>14000</v>
      </c>
      <c r="C235" s="37">
        <v>35</v>
      </c>
      <c r="D235" s="36">
        <f>base!H235</f>
        <v>69.540000000000006</v>
      </c>
      <c r="E235" s="44"/>
      <c r="F235" s="16">
        <f>base!W235</f>
        <v>11.82</v>
      </c>
      <c r="G235" s="11">
        <f t="shared" si="30"/>
        <v>0.16997411561691111</v>
      </c>
      <c r="H235" s="11">
        <f t="shared" si="31"/>
        <v>18.775800000000004</v>
      </c>
      <c r="I235" s="11">
        <f t="shared" si="32"/>
        <v>0.27</v>
      </c>
      <c r="J235" s="12">
        <f t="shared" si="33"/>
        <v>-6.9558000000000035</v>
      </c>
      <c r="K235" s="17" t="str">
        <f t="shared" si="38"/>
        <v>Ecart négatif</v>
      </c>
      <c r="L235" s="16">
        <f>base!X235</f>
        <v>0</v>
      </c>
      <c r="M235" s="11">
        <f t="shared" si="34"/>
        <v>0</v>
      </c>
      <c r="N235" s="11">
        <f t="shared" si="35"/>
        <v>0</v>
      </c>
      <c r="O235" s="11">
        <f t="shared" si="36"/>
        <v>0</v>
      </c>
      <c r="P235" s="12">
        <f t="shared" si="37"/>
        <v>0</v>
      </c>
      <c r="Q235" s="17" t="str">
        <f t="shared" si="39"/>
        <v>Pas d'écart</v>
      </c>
    </row>
    <row r="236" spans="1:18" x14ac:dyDescent="0.3">
      <c r="A236" s="34" t="str">
        <f>base!J236</f>
        <v>LS</v>
      </c>
      <c r="B236" s="34" t="str">
        <f>base!V236</f>
        <v>79402</v>
      </c>
      <c r="C236" s="37">
        <v>89</v>
      </c>
      <c r="D236" s="36">
        <f>base!H236</f>
        <v>136.72</v>
      </c>
      <c r="E236" s="44"/>
      <c r="F236" s="16">
        <f>base!W236</f>
        <v>28.71</v>
      </c>
      <c r="G236" s="11">
        <f t="shared" si="30"/>
        <v>0.20999122293739028</v>
      </c>
      <c r="H236" s="11">
        <f t="shared" si="31"/>
        <v>31.445600000000002</v>
      </c>
      <c r="I236" s="11">
        <f t="shared" si="32"/>
        <v>0.23</v>
      </c>
      <c r="J236" s="12">
        <f t="shared" si="33"/>
        <v>-2.7356000000000016</v>
      </c>
      <c r="K236" s="17" t="str">
        <f t="shared" si="38"/>
        <v>Ecart négatif</v>
      </c>
      <c r="L236" s="16">
        <f>base!X236</f>
        <v>0</v>
      </c>
      <c r="M236" s="11">
        <f t="shared" si="34"/>
        <v>0</v>
      </c>
      <c r="N236" s="11">
        <f t="shared" si="35"/>
        <v>16.406399999999998</v>
      </c>
      <c r="O236" s="11">
        <f t="shared" si="36"/>
        <v>0.11999999999999998</v>
      </c>
      <c r="P236" s="12">
        <f t="shared" si="37"/>
        <v>-16.406399999999998</v>
      </c>
      <c r="Q236" s="17" t="str">
        <f t="shared" si="39"/>
        <v>Ecart négatif</v>
      </c>
    </row>
    <row r="237" spans="1:18" x14ac:dyDescent="0.3">
      <c r="A237" s="34" t="str">
        <f>base!J237</f>
        <v>LM</v>
      </c>
      <c r="B237" s="34" t="str">
        <f>base!V237</f>
        <v>13100</v>
      </c>
      <c r="C237" s="37">
        <v>59</v>
      </c>
      <c r="D237" s="36">
        <f>base!H237</f>
        <v>33.35</v>
      </c>
      <c r="E237" s="44"/>
      <c r="F237" s="16">
        <f>base!W237</f>
        <v>9.67</v>
      </c>
      <c r="G237" s="11">
        <f t="shared" si="30"/>
        <v>0.2899550224887556</v>
      </c>
      <c r="H237" s="11">
        <f t="shared" si="31"/>
        <v>6.3365</v>
      </c>
      <c r="I237" s="11">
        <f t="shared" si="32"/>
        <v>0.19</v>
      </c>
      <c r="J237" s="12">
        <f t="shared" si="33"/>
        <v>3.3334999999999999</v>
      </c>
      <c r="K237" s="17" t="str">
        <f t="shared" si="38"/>
        <v>Ecart positif</v>
      </c>
      <c r="L237" s="16">
        <f>base!X237</f>
        <v>0</v>
      </c>
      <c r="M237" s="11">
        <f t="shared" si="34"/>
        <v>0</v>
      </c>
      <c r="N237" s="11">
        <f t="shared" si="35"/>
        <v>0</v>
      </c>
      <c r="O237" s="11">
        <f t="shared" si="36"/>
        <v>0</v>
      </c>
      <c r="P237" s="12">
        <f t="shared" si="37"/>
        <v>0</v>
      </c>
      <c r="Q237" s="17" t="str">
        <f t="shared" si="39"/>
        <v>Pas d'écart</v>
      </c>
    </row>
    <row r="238" spans="1:18" x14ac:dyDescent="0.3">
      <c r="A238" s="34" t="str">
        <f>base!J238</f>
        <v>LM</v>
      </c>
      <c r="B238" s="34" t="str">
        <f>base!V238</f>
        <v>69005</v>
      </c>
      <c r="C238" s="37">
        <v>49</v>
      </c>
      <c r="D238" s="36">
        <f>base!H238</f>
        <v>209.56</v>
      </c>
      <c r="E238" s="44"/>
      <c r="F238" s="16">
        <f>base!W238</f>
        <v>56.58</v>
      </c>
      <c r="G238" s="11">
        <f t="shared" si="30"/>
        <v>0.26999427371635809</v>
      </c>
      <c r="H238" s="11">
        <f t="shared" si="31"/>
        <v>56.581200000000003</v>
      </c>
      <c r="I238" s="11">
        <f t="shared" si="32"/>
        <v>0.27</v>
      </c>
      <c r="J238" s="12">
        <f t="shared" si="33"/>
        <v>-1.2000000000043087E-3</v>
      </c>
      <c r="K238" s="17" t="str">
        <f t="shared" si="38"/>
        <v>Ecart négatif</v>
      </c>
      <c r="L238" s="16">
        <f>base!X238</f>
        <v>0</v>
      </c>
      <c r="M238" s="11">
        <f t="shared" si="34"/>
        <v>0</v>
      </c>
      <c r="N238" s="11">
        <f t="shared" si="35"/>
        <v>0</v>
      </c>
      <c r="O238" s="11">
        <f t="shared" si="36"/>
        <v>0</v>
      </c>
      <c r="P238" s="12">
        <f t="shared" si="37"/>
        <v>0</v>
      </c>
      <c r="Q238" s="17" t="str">
        <f t="shared" si="39"/>
        <v>Pas d'écart</v>
      </c>
    </row>
    <row r="239" spans="1:18" x14ac:dyDescent="0.3">
      <c r="A239" s="34" t="str">
        <f>base!J239</f>
        <v>LM</v>
      </c>
      <c r="B239" s="34" t="str">
        <f>base!V239</f>
        <v>69005</v>
      </c>
      <c r="C239" s="37">
        <v>69</v>
      </c>
      <c r="D239" s="36">
        <f>base!H239</f>
        <v>33.35</v>
      </c>
      <c r="E239" s="44"/>
      <c r="F239" s="16">
        <f>base!W239</f>
        <v>9</v>
      </c>
      <c r="G239" s="11">
        <f t="shared" si="30"/>
        <v>0.26986506746626687</v>
      </c>
      <c r="H239" s="11">
        <f t="shared" si="31"/>
        <v>9.0045000000000002</v>
      </c>
      <c r="I239" s="11">
        <f t="shared" si="32"/>
        <v>0.27</v>
      </c>
      <c r="J239" s="12">
        <f t="shared" si="33"/>
        <v>-4.5000000000001705E-3</v>
      </c>
      <c r="K239" s="17" t="str">
        <f t="shared" si="38"/>
        <v>Ecart négatif</v>
      </c>
      <c r="L239" s="16">
        <f>base!X239</f>
        <v>0</v>
      </c>
      <c r="M239" s="11">
        <f t="shared" si="34"/>
        <v>0</v>
      </c>
      <c r="N239" s="11">
        <f t="shared" si="35"/>
        <v>0</v>
      </c>
      <c r="O239" s="11">
        <f t="shared" si="36"/>
        <v>0</v>
      </c>
      <c r="P239" s="12">
        <f t="shared" si="37"/>
        <v>0</v>
      </c>
      <c r="Q239" s="17" t="str">
        <f t="shared" si="39"/>
        <v>Pas d'écart</v>
      </c>
    </row>
    <row r="240" spans="1:18" x14ac:dyDescent="0.3">
      <c r="A240" s="34" t="str">
        <f>base!J240</f>
        <v>LM</v>
      </c>
      <c r="B240" s="34" t="str">
        <f>base!V240</f>
        <v>69005</v>
      </c>
      <c r="C240" s="37">
        <v>63</v>
      </c>
      <c r="D240" s="36">
        <f>base!H240</f>
        <v>33.35</v>
      </c>
      <c r="E240" s="44"/>
      <c r="F240" s="16">
        <f>base!W240</f>
        <v>9</v>
      </c>
      <c r="G240" s="11">
        <f t="shared" si="30"/>
        <v>0.26986506746626687</v>
      </c>
      <c r="H240" s="11">
        <f t="shared" si="31"/>
        <v>9.6715</v>
      </c>
      <c r="I240" s="11">
        <f t="shared" si="32"/>
        <v>0.28999999999999998</v>
      </c>
      <c r="J240" s="12">
        <f t="shared" si="33"/>
        <v>-0.67149999999999999</v>
      </c>
      <c r="K240" s="17" t="str">
        <f t="shared" si="38"/>
        <v>Ecart négatif</v>
      </c>
      <c r="L240" s="16">
        <f>base!X240</f>
        <v>0</v>
      </c>
      <c r="M240" s="11">
        <f t="shared" si="34"/>
        <v>0</v>
      </c>
      <c r="N240" s="11">
        <f t="shared" si="35"/>
        <v>4.0019999999999998</v>
      </c>
      <c r="O240" s="11">
        <f t="shared" si="36"/>
        <v>0.11999999999999998</v>
      </c>
      <c r="P240" s="12">
        <f t="shared" si="37"/>
        <v>-4.0019999999999998</v>
      </c>
      <c r="Q240" s="17" t="str">
        <f t="shared" si="39"/>
        <v>Ecart négatif</v>
      </c>
    </row>
    <row r="241" spans="1:17" x14ac:dyDescent="0.3">
      <c r="A241" s="34" t="str">
        <f>base!J241</f>
        <v>LM</v>
      </c>
      <c r="B241" s="34" t="str">
        <f>base!V241</f>
        <v>69005</v>
      </c>
      <c r="C241" s="37">
        <v>2</v>
      </c>
      <c r="D241" s="36">
        <f>base!H241</f>
        <v>33.35</v>
      </c>
      <c r="E241" s="44"/>
      <c r="F241" s="16">
        <f>base!W241</f>
        <v>9</v>
      </c>
      <c r="G241" s="11">
        <f t="shared" si="30"/>
        <v>0.26986506746626687</v>
      </c>
      <c r="H241" s="11">
        <f t="shared" si="31"/>
        <v>6.0030000000000001</v>
      </c>
      <c r="I241" s="11">
        <f t="shared" si="32"/>
        <v>0.18</v>
      </c>
      <c r="J241" s="12">
        <f t="shared" si="33"/>
        <v>2.9969999999999999</v>
      </c>
      <c r="K241" s="17" t="str">
        <f t="shared" si="38"/>
        <v>Ecart positif</v>
      </c>
      <c r="L241" s="16">
        <f>base!X241</f>
        <v>0</v>
      </c>
      <c r="M241" s="11">
        <f t="shared" si="34"/>
        <v>0</v>
      </c>
      <c r="N241" s="11">
        <f t="shared" si="35"/>
        <v>0</v>
      </c>
      <c r="O241" s="11">
        <f t="shared" si="36"/>
        <v>0</v>
      </c>
      <c r="P241" s="12">
        <f t="shared" si="37"/>
        <v>0</v>
      </c>
      <c r="Q241" s="17" t="str">
        <f t="shared" si="39"/>
        <v>Pas d'écart</v>
      </c>
    </row>
    <row r="242" spans="1:17" x14ac:dyDescent="0.3">
      <c r="A242" s="34" t="str">
        <f>base!J242</f>
        <v>RS</v>
      </c>
      <c r="B242" s="34" t="str">
        <f>base!V242</f>
        <v>07000</v>
      </c>
      <c r="C242" s="37">
        <v>7</v>
      </c>
      <c r="D242" s="36">
        <f>base!H242</f>
        <v>94.3</v>
      </c>
      <c r="E242" s="44"/>
      <c r="F242" s="16">
        <f>base!W242</f>
        <v>0</v>
      </c>
      <c r="G242" s="11">
        <f t="shared" si="30"/>
        <v>0</v>
      </c>
      <c r="H242" s="11">
        <f t="shared" si="31"/>
        <v>25.461000000000002</v>
      </c>
      <c r="I242" s="11">
        <f t="shared" si="32"/>
        <v>0.27</v>
      </c>
      <c r="J242" s="12">
        <f t="shared" si="33"/>
        <v>-25.461000000000002</v>
      </c>
      <c r="K242" s="17" t="str">
        <f t="shared" si="38"/>
        <v>Ecart négatif</v>
      </c>
      <c r="L242" s="16">
        <f>base!X242</f>
        <v>0</v>
      </c>
      <c r="M242" s="11">
        <f t="shared" si="34"/>
        <v>0</v>
      </c>
      <c r="N242" s="11">
        <f t="shared" si="35"/>
        <v>0</v>
      </c>
      <c r="O242" s="11">
        <f t="shared" si="36"/>
        <v>0</v>
      </c>
      <c r="P242" s="12">
        <f t="shared" si="37"/>
        <v>0</v>
      </c>
      <c r="Q242" s="17" t="str">
        <f t="shared" si="39"/>
        <v>Pas d'écart</v>
      </c>
    </row>
    <row r="243" spans="1:17" x14ac:dyDescent="0.3">
      <c r="A243" s="34">
        <f>base!J243</f>
        <v>0</v>
      </c>
      <c r="B243" s="34" t="str">
        <f>base!V243</f>
        <v>77184</v>
      </c>
      <c r="C243" s="37">
        <v>77</v>
      </c>
      <c r="D243" s="36">
        <f>base!H243</f>
        <v>114</v>
      </c>
      <c r="E243" s="44"/>
      <c r="F243" s="16">
        <f>base!W243</f>
        <v>0</v>
      </c>
      <c r="G243" s="11">
        <f t="shared" si="30"/>
        <v>0</v>
      </c>
      <c r="H243" s="11">
        <f t="shared" si="31"/>
        <v>0</v>
      </c>
      <c r="I243" s="11">
        <f t="shared" si="32"/>
        <v>0</v>
      </c>
      <c r="J243" s="12">
        <f t="shared" si="33"/>
        <v>0</v>
      </c>
      <c r="K243" s="17" t="str">
        <f t="shared" si="38"/>
        <v>Pas d'écart</v>
      </c>
      <c r="L243" s="16">
        <f>base!X243</f>
        <v>0</v>
      </c>
      <c r="M243" s="11">
        <f t="shared" si="34"/>
        <v>0</v>
      </c>
      <c r="N243" s="11">
        <f t="shared" si="35"/>
        <v>0</v>
      </c>
      <c r="O243" s="11">
        <f t="shared" si="36"/>
        <v>0</v>
      </c>
      <c r="P243" s="12">
        <f t="shared" si="37"/>
        <v>0</v>
      </c>
      <c r="Q243" s="17" t="str">
        <f t="shared" si="39"/>
        <v>Pas d'écart</v>
      </c>
    </row>
    <row r="244" spans="1:17" x14ac:dyDescent="0.3">
      <c r="A244" s="34">
        <f>base!J244</f>
        <v>0</v>
      </c>
      <c r="B244" s="34" t="str">
        <f>base!V244</f>
        <v>77184</v>
      </c>
      <c r="C244" s="37">
        <v>77</v>
      </c>
      <c r="D244" s="36">
        <f>base!H244</f>
        <v>244</v>
      </c>
      <c r="E244" s="44"/>
      <c r="F244" s="16">
        <f>base!W244</f>
        <v>0</v>
      </c>
      <c r="G244" s="11">
        <f t="shared" si="30"/>
        <v>0</v>
      </c>
      <c r="H244" s="11">
        <f t="shared" si="31"/>
        <v>0</v>
      </c>
      <c r="I244" s="11">
        <f t="shared" si="32"/>
        <v>0</v>
      </c>
      <c r="J244" s="12">
        <f t="shared" si="33"/>
        <v>0</v>
      </c>
      <c r="K244" s="17" t="str">
        <f t="shared" si="38"/>
        <v>Pas d'écart</v>
      </c>
      <c r="L244" s="16">
        <f>base!X244</f>
        <v>0</v>
      </c>
      <c r="M244" s="11">
        <f t="shared" si="34"/>
        <v>0</v>
      </c>
      <c r="N244" s="11">
        <f t="shared" si="35"/>
        <v>0</v>
      </c>
      <c r="O244" s="11">
        <f t="shared" si="36"/>
        <v>0</v>
      </c>
      <c r="P244" s="12">
        <f t="shared" si="37"/>
        <v>0</v>
      </c>
      <c r="Q244" s="17" t="str">
        <f t="shared" si="39"/>
        <v>Pas d'écart</v>
      </c>
    </row>
    <row r="245" spans="1:17" x14ac:dyDescent="0.3">
      <c r="A245" s="34">
        <f>base!J245</f>
        <v>0</v>
      </c>
      <c r="B245" s="34" t="str">
        <f>base!V245</f>
        <v>77184</v>
      </c>
      <c r="C245" s="37">
        <v>77</v>
      </c>
      <c r="D245" s="36">
        <f>base!H245</f>
        <v>187</v>
      </c>
      <c r="E245" s="44"/>
      <c r="F245" s="16">
        <f>base!W245</f>
        <v>0</v>
      </c>
      <c r="G245" s="11">
        <f t="shared" si="30"/>
        <v>0</v>
      </c>
      <c r="H245" s="11">
        <f t="shared" si="31"/>
        <v>0</v>
      </c>
      <c r="I245" s="11">
        <f t="shared" si="32"/>
        <v>0</v>
      </c>
      <c r="J245" s="12">
        <f t="shared" si="33"/>
        <v>0</v>
      </c>
      <c r="K245" s="17" t="str">
        <f t="shared" si="38"/>
        <v>Pas d'écart</v>
      </c>
      <c r="L245" s="16">
        <f>base!X245</f>
        <v>0</v>
      </c>
      <c r="M245" s="11">
        <f t="shared" si="34"/>
        <v>0</v>
      </c>
      <c r="N245" s="11">
        <f t="shared" si="35"/>
        <v>0</v>
      </c>
      <c r="O245" s="11">
        <f t="shared" si="36"/>
        <v>0</v>
      </c>
      <c r="P245" s="12">
        <f t="shared" si="37"/>
        <v>0</v>
      </c>
      <c r="Q245" s="17" t="str">
        <f t="shared" si="39"/>
        <v>Pas d'écart</v>
      </c>
    </row>
    <row r="246" spans="1:17" x14ac:dyDescent="0.3">
      <c r="A246" s="34" t="str">
        <f>base!J246</f>
        <v>LS</v>
      </c>
      <c r="B246" s="34" t="str">
        <f>base!V246</f>
        <v>79700</v>
      </c>
      <c r="C246" s="37">
        <v>16</v>
      </c>
      <c r="D246" s="36">
        <f>base!H246</f>
        <v>139.19999999999999</v>
      </c>
      <c r="E246" s="44"/>
      <c r="F246" s="16">
        <f>base!W246</f>
        <v>29.23</v>
      </c>
      <c r="G246" s="11">
        <f t="shared" si="30"/>
        <v>0.20998563218390806</v>
      </c>
      <c r="H246" s="11">
        <f t="shared" si="31"/>
        <v>29.231999999999996</v>
      </c>
      <c r="I246" s="11">
        <f t="shared" si="32"/>
        <v>0.21</v>
      </c>
      <c r="J246" s="12">
        <f t="shared" si="33"/>
        <v>-1.9999999999953388E-3</v>
      </c>
      <c r="K246" s="17" t="str">
        <f t="shared" si="38"/>
        <v>Ecart négatif</v>
      </c>
      <c r="L246" s="16">
        <f>base!X246</f>
        <v>0</v>
      </c>
      <c r="M246" s="11">
        <f t="shared" si="34"/>
        <v>0</v>
      </c>
      <c r="N246" s="11">
        <f t="shared" si="35"/>
        <v>23.664000000000001</v>
      </c>
      <c r="O246" s="11">
        <f t="shared" si="36"/>
        <v>0.17</v>
      </c>
      <c r="P246" s="12">
        <f t="shared" si="37"/>
        <v>-23.664000000000001</v>
      </c>
      <c r="Q246" s="17" t="str">
        <f t="shared" si="39"/>
        <v>Ecart négatif</v>
      </c>
    </row>
    <row r="247" spans="1:17" x14ac:dyDescent="0.3">
      <c r="A247" s="34" t="str">
        <f>base!J247</f>
        <v>LM</v>
      </c>
      <c r="B247" s="34" t="str">
        <f>base!V247</f>
        <v>06000</v>
      </c>
      <c r="C247" s="37">
        <v>59</v>
      </c>
      <c r="D247" s="36">
        <f>base!H247</f>
        <v>55.14</v>
      </c>
      <c r="E247" s="44"/>
      <c r="F247" s="16">
        <f>base!W247</f>
        <v>16.54</v>
      </c>
      <c r="G247" s="11">
        <f t="shared" si="30"/>
        <v>0.29996372869060572</v>
      </c>
      <c r="H247" s="11">
        <f t="shared" si="31"/>
        <v>10.476599999999999</v>
      </c>
      <c r="I247" s="11">
        <f t="shared" si="32"/>
        <v>0.19</v>
      </c>
      <c r="J247" s="12">
        <f t="shared" si="33"/>
        <v>6.0633999999999997</v>
      </c>
      <c r="K247" s="17" t="str">
        <f t="shared" si="38"/>
        <v>Ecart positif</v>
      </c>
      <c r="L247" s="16">
        <f>base!X247</f>
        <v>0</v>
      </c>
      <c r="M247" s="11">
        <f t="shared" si="34"/>
        <v>0</v>
      </c>
      <c r="N247" s="11">
        <f t="shared" si="35"/>
        <v>0</v>
      </c>
      <c r="O247" s="11">
        <f t="shared" si="36"/>
        <v>0</v>
      </c>
      <c r="P247" s="12">
        <f t="shared" si="37"/>
        <v>0</v>
      </c>
      <c r="Q247" s="17" t="str">
        <f t="shared" si="39"/>
        <v>Pas d'écart</v>
      </c>
    </row>
    <row r="248" spans="1:17" x14ac:dyDescent="0.3">
      <c r="A248" s="34" t="str">
        <f>base!J248</f>
        <v>LM</v>
      </c>
      <c r="B248" s="34" t="str">
        <f>base!V248</f>
        <v>80450</v>
      </c>
      <c r="C248" s="37">
        <v>59</v>
      </c>
      <c r="D248" s="36">
        <f>base!H248</f>
        <v>18.36</v>
      </c>
      <c r="E248" s="44"/>
      <c r="F248" s="16">
        <f>base!W248</f>
        <v>3.49</v>
      </c>
      <c r="G248" s="11">
        <f t="shared" si="30"/>
        <v>0.19008714596949894</v>
      </c>
      <c r="H248" s="11">
        <f t="shared" si="31"/>
        <v>3.4883999999999999</v>
      </c>
      <c r="I248" s="11">
        <f t="shared" si="32"/>
        <v>0.19</v>
      </c>
      <c r="J248" s="12">
        <f t="shared" si="33"/>
        <v>1.6000000000002679E-3</v>
      </c>
      <c r="K248" s="17" t="str">
        <f t="shared" si="38"/>
        <v>Ecart positif</v>
      </c>
      <c r="L248" s="16">
        <f>base!X248</f>
        <v>0</v>
      </c>
      <c r="M248" s="11">
        <f t="shared" si="34"/>
        <v>0</v>
      </c>
      <c r="N248" s="11">
        <f t="shared" si="35"/>
        <v>0</v>
      </c>
      <c r="O248" s="11">
        <f t="shared" si="36"/>
        <v>0</v>
      </c>
      <c r="P248" s="12">
        <f t="shared" si="37"/>
        <v>0</v>
      </c>
      <c r="Q248" s="17" t="str">
        <f t="shared" si="39"/>
        <v>Pas d'écart</v>
      </c>
    </row>
    <row r="249" spans="1:17" x14ac:dyDescent="0.3">
      <c r="A249" s="34" t="str">
        <f>base!J249</f>
        <v>RM</v>
      </c>
      <c r="B249" s="34" t="str">
        <f>base!V249</f>
        <v>69006</v>
      </c>
      <c r="C249" s="37">
        <v>69</v>
      </c>
      <c r="D249" s="36">
        <f>base!H249</f>
        <v>29.59</v>
      </c>
      <c r="E249" s="44"/>
      <c r="F249" s="16">
        <f>base!W249</f>
        <v>0</v>
      </c>
      <c r="G249" s="11">
        <f t="shared" si="30"/>
        <v>0</v>
      </c>
      <c r="H249" s="11">
        <f t="shared" si="31"/>
        <v>7.9893000000000001</v>
      </c>
      <c r="I249" s="11">
        <f t="shared" si="32"/>
        <v>0.27</v>
      </c>
      <c r="J249" s="12">
        <f t="shared" si="33"/>
        <v>-7.9893000000000001</v>
      </c>
      <c r="K249" s="17" t="str">
        <f t="shared" si="38"/>
        <v>Ecart négatif</v>
      </c>
      <c r="L249" s="16">
        <f>base!X249</f>
        <v>0</v>
      </c>
      <c r="M249" s="11">
        <f t="shared" si="34"/>
        <v>0</v>
      </c>
      <c r="N249" s="11">
        <f t="shared" si="35"/>
        <v>0</v>
      </c>
      <c r="O249" s="11">
        <f t="shared" si="36"/>
        <v>0</v>
      </c>
      <c r="P249" s="12">
        <f t="shared" si="37"/>
        <v>0</v>
      </c>
      <c r="Q249" s="17" t="str">
        <f t="shared" si="39"/>
        <v>Pas d'écart</v>
      </c>
    </row>
    <row r="250" spans="1:17" x14ac:dyDescent="0.3">
      <c r="A250" s="34" t="str">
        <f>base!J250</f>
        <v>RM</v>
      </c>
      <c r="B250" s="34" t="str">
        <f>base!V250</f>
        <v>69006</v>
      </c>
      <c r="C250" s="37">
        <v>69</v>
      </c>
      <c r="D250" s="36">
        <f>base!H250</f>
        <v>29.59</v>
      </c>
      <c r="E250" s="44"/>
      <c r="F250" s="16">
        <f>base!W250</f>
        <v>0</v>
      </c>
      <c r="G250" s="11">
        <f t="shared" si="30"/>
        <v>0</v>
      </c>
      <c r="H250" s="11">
        <f t="shared" si="31"/>
        <v>7.9893000000000001</v>
      </c>
      <c r="I250" s="11">
        <f t="shared" si="32"/>
        <v>0.27</v>
      </c>
      <c r="J250" s="12">
        <f t="shared" si="33"/>
        <v>-7.9893000000000001</v>
      </c>
      <c r="K250" s="17" t="str">
        <f t="shared" si="38"/>
        <v>Ecart négatif</v>
      </c>
      <c r="L250" s="16">
        <f>base!X250</f>
        <v>0</v>
      </c>
      <c r="M250" s="11">
        <f t="shared" si="34"/>
        <v>0</v>
      </c>
      <c r="N250" s="11">
        <f t="shared" si="35"/>
        <v>0</v>
      </c>
      <c r="O250" s="11">
        <f t="shared" si="36"/>
        <v>0</v>
      </c>
      <c r="P250" s="12">
        <f t="shared" si="37"/>
        <v>0</v>
      </c>
      <c r="Q250" s="17" t="str">
        <f t="shared" si="39"/>
        <v>Pas d'écart</v>
      </c>
    </row>
    <row r="251" spans="1:17" x14ac:dyDescent="0.3">
      <c r="A251" s="34" t="str">
        <f>base!J251</f>
        <v>LS</v>
      </c>
      <c r="B251" s="34" t="str">
        <f>base!V251</f>
        <v>30310</v>
      </c>
      <c r="C251" s="37">
        <v>59</v>
      </c>
      <c r="D251" s="36">
        <f>base!H251</f>
        <v>55.14</v>
      </c>
      <c r="E251" s="44"/>
      <c r="F251" s="16">
        <f>base!W251</f>
        <v>21.5</v>
      </c>
      <c r="G251" s="11">
        <f t="shared" si="30"/>
        <v>0.38991657598839319</v>
      </c>
      <c r="H251" s="11">
        <f t="shared" si="31"/>
        <v>10.476599999999999</v>
      </c>
      <c r="I251" s="11">
        <f t="shared" si="32"/>
        <v>0.19</v>
      </c>
      <c r="J251" s="12">
        <f t="shared" si="33"/>
        <v>11.023400000000001</v>
      </c>
      <c r="K251" s="17" t="str">
        <f t="shared" si="38"/>
        <v>Ecart positif</v>
      </c>
      <c r="L251" s="16">
        <f>base!X251</f>
        <v>0</v>
      </c>
      <c r="M251" s="11">
        <f t="shared" si="34"/>
        <v>0</v>
      </c>
      <c r="N251" s="11">
        <f t="shared" si="35"/>
        <v>0</v>
      </c>
      <c r="O251" s="11">
        <f t="shared" si="36"/>
        <v>0</v>
      </c>
      <c r="P251" s="12">
        <f t="shared" si="37"/>
        <v>0</v>
      </c>
      <c r="Q251" s="17" t="str">
        <f t="shared" si="39"/>
        <v>Pas d'écart</v>
      </c>
    </row>
    <row r="252" spans="1:17" x14ac:dyDescent="0.3">
      <c r="A252" s="34" t="str">
        <f>base!J252</f>
        <v>LS</v>
      </c>
      <c r="B252" s="34" t="str">
        <f>base!V252</f>
        <v>69002</v>
      </c>
      <c r="C252" s="37">
        <v>69</v>
      </c>
      <c r="D252" s="36">
        <f>base!H252</f>
        <v>30</v>
      </c>
      <c r="E252" s="44"/>
      <c r="F252" s="16">
        <f>base!W252</f>
        <v>8.1</v>
      </c>
      <c r="G252" s="11">
        <f t="shared" si="30"/>
        <v>0.26999999999999996</v>
      </c>
      <c r="H252" s="11">
        <f t="shared" si="31"/>
        <v>8.1000000000000014</v>
      </c>
      <c r="I252" s="11">
        <f t="shared" si="32"/>
        <v>0.27000000000000007</v>
      </c>
      <c r="J252" s="12">
        <f t="shared" si="33"/>
        <v>0</v>
      </c>
      <c r="K252" s="17" t="str">
        <f t="shared" si="38"/>
        <v>Pas d'écart</v>
      </c>
      <c r="L252" s="16">
        <f>base!X252</f>
        <v>0</v>
      </c>
      <c r="M252" s="11">
        <f t="shared" si="34"/>
        <v>0</v>
      </c>
      <c r="N252" s="11">
        <f t="shared" si="35"/>
        <v>0</v>
      </c>
      <c r="O252" s="11">
        <f t="shared" si="36"/>
        <v>0</v>
      </c>
      <c r="P252" s="12">
        <f t="shared" si="37"/>
        <v>0</v>
      </c>
      <c r="Q252" s="17" t="str">
        <f t="shared" si="39"/>
        <v>Pas d'écart</v>
      </c>
    </row>
    <row r="253" spans="1:17" x14ac:dyDescent="0.3">
      <c r="A253" s="34" t="str">
        <f>base!J253</f>
        <v>LM</v>
      </c>
      <c r="B253" s="34" t="str">
        <f>base!V253</f>
        <v>92200</v>
      </c>
      <c r="C253" s="37">
        <v>92</v>
      </c>
      <c r="D253" s="36">
        <f>base!H253</f>
        <v>30</v>
      </c>
      <c r="E253" s="44"/>
      <c r="F253" s="16">
        <f>base!W253</f>
        <v>0</v>
      </c>
      <c r="G253" s="11">
        <f t="shared" si="30"/>
        <v>0</v>
      </c>
      <c r="H253" s="11">
        <f t="shared" si="31"/>
        <v>0</v>
      </c>
      <c r="I253" s="11">
        <f t="shared" si="32"/>
        <v>0</v>
      </c>
      <c r="J253" s="12">
        <f t="shared" si="33"/>
        <v>0</v>
      </c>
      <c r="K253" s="17" t="str">
        <f t="shared" si="38"/>
        <v>Pas d'écart</v>
      </c>
      <c r="L253" s="16">
        <f>base!X253</f>
        <v>0</v>
      </c>
      <c r="M253" s="11">
        <f t="shared" si="34"/>
        <v>0</v>
      </c>
      <c r="N253" s="11">
        <f t="shared" si="35"/>
        <v>0</v>
      </c>
      <c r="O253" s="11">
        <f t="shared" si="36"/>
        <v>0</v>
      </c>
      <c r="P253" s="12">
        <f t="shared" si="37"/>
        <v>0</v>
      </c>
      <c r="Q253" s="17" t="str">
        <f t="shared" si="39"/>
        <v>Pas d'écart</v>
      </c>
    </row>
    <row r="254" spans="1:17" x14ac:dyDescent="0.3">
      <c r="A254" s="34" t="str">
        <f>base!J254</f>
        <v>LM</v>
      </c>
      <c r="B254" s="34" t="str">
        <f>base!V254</f>
        <v>92200</v>
      </c>
      <c r="C254" s="37">
        <v>92</v>
      </c>
      <c r="D254" s="36">
        <f>base!H254</f>
        <v>30</v>
      </c>
      <c r="E254" s="44"/>
      <c r="F254" s="16">
        <f>base!W254</f>
        <v>0</v>
      </c>
      <c r="G254" s="11">
        <f t="shared" si="30"/>
        <v>0</v>
      </c>
      <c r="H254" s="11">
        <f t="shared" si="31"/>
        <v>0</v>
      </c>
      <c r="I254" s="11">
        <f t="shared" si="32"/>
        <v>0</v>
      </c>
      <c r="J254" s="12">
        <f t="shared" si="33"/>
        <v>0</v>
      </c>
      <c r="K254" s="17" t="str">
        <f t="shared" si="38"/>
        <v>Pas d'écart</v>
      </c>
      <c r="L254" s="16">
        <f>base!X254</f>
        <v>0</v>
      </c>
      <c r="M254" s="11">
        <f t="shared" si="34"/>
        <v>0</v>
      </c>
      <c r="N254" s="11">
        <f t="shared" si="35"/>
        <v>0</v>
      </c>
      <c r="O254" s="11">
        <f t="shared" si="36"/>
        <v>0</v>
      </c>
      <c r="P254" s="12">
        <f t="shared" si="37"/>
        <v>0</v>
      </c>
      <c r="Q254" s="17" t="str">
        <f t="shared" si="39"/>
        <v>Pas d'écart</v>
      </c>
    </row>
    <row r="255" spans="1:17" x14ac:dyDescent="0.3">
      <c r="A255" s="34" t="str">
        <f>base!J255</f>
        <v>RS</v>
      </c>
      <c r="B255" s="34" t="str">
        <f>base!V255</f>
        <v>17400</v>
      </c>
      <c r="C255" s="37">
        <v>17</v>
      </c>
      <c r="D255" s="36">
        <f>base!H255</f>
        <v>140</v>
      </c>
      <c r="E255" s="44"/>
      <c r="F255" s="16">
        <f>base!W255</f>
        <v>0</v>
      </c>
      <c r="G255" s="11">
        <f t="shared" si="30"/>
        <v>0</v>
      </c>
      <c r="H255" s="11">
        <f t="shared" si="31"/>
        <v>29.4</v>
      </c>
      <c r="I255" s="11">
        <f t="shared" si="32"/>
        <v>0.21</v>
      </c>
      <c r="J255" s="12">
        <f t="shared" si="33"/>
        <v>-29.4</v>
      </c>
      <c r="K255" s="17" t="str">
        <f t="shared" si="38"/>
        <v>Ecart négatif</v>
      </c>
      <c r="L255" s="16">
        <f>base!X255</f>
        <v>0</v>
      </c>
      <c r="M255" s="11">
        <f t="shared" si="34"/>
        <v>0</v>
      </c>
      <c r="N255" s="11">
        <f t="shared" si="35"/>
        <v>23.8</v>
      </c>
      <c r="O255" s="11">
        <f t="shared" si="36"/>
        <v>0.17</v>
      </c>
      <c r="P255" s="12">
        <f t="shared" si="37"/>
        <v>-23.8</v>
      </c>
      <c r="Q255" s="17" t="str">
        <f t="shared" si="39"/>
        <v>Ecart négatif</v>
      </c>
    </row>
    <row r="256" spans="1:17" x14ac:dyDescent="0.3">
      <c r="A256" s="34" t="str">
        <f>base!J256</f>
        <v>LS</v>
      </c>
      <c r="B256" s="34" t="str">
        <f>base!V256</f>
        <v>69002</v>
      </c>
      <c r="C256" s="37">
        <v>59</v>
      </c>
      <c r="D256" s="36">
        <f>base!H256</f>
        <v>7.99</v>
      </c>
      <c r="E256" s="44"/>
      <c r="F256" s="16">
        <f>base!W256</f>
        <v>2.16</v>
      </c>
      <c r="G256" s="11">
        <f t="shared" si="30"/>
        <v>0.27033792240300375</v>
      </c>
      <c r="H256" s="11">
        <f t="shared" si="31"/>
        <v>1.5181</v>
      </c>
      <c r="I256" s="11">
        <f t="shared" si="32"/>
        <v>0.19</v>
      </c>
      <c r="J256" s="12">
        <f t="shared" si="33"/>
        <v>0.64190000000000014</v>
      </c>
      <c r="K256" s="17" t="str">
        <f t="shared" si="38"/>
        <v>Ecart positif</v>
      </c>
      <c r="L256" s="16">
        <f>base!X256</f>
        <v>0</v>
      </c>
      <c r="M256" s="11">
        <f t="shared" si="34"/>
        <v>0</v>
      </c>
      <c r="N256" s="11">
        <f t="shared" si="35"/>
        <v>0</v>
      </c>
      <c r="O256" s="11">
        <f t="shared" si="36"/>
        <v>0</v>
      </c>
      <c r="P256" s="12">
        <f t="shared" si="37"/>
        <v>0</v>
      </c>
      <c r="Q256" s="17" t="str">
        <f t="shared" si="39"/>
        <v>Pas d'écart</v>
      </c>
    </row>
    <row r="257" spans="1:18" x14ac:dyDescent="0.3">
      <c r="A257" s="34">
        <f>base!J257</f>
        <v>0</v>
      </c>
      <c r="B257" s="34" t="str">
        <f>base!V257</f>
        <v>77184</v>
      </c>
      <c r="C257" s="37">
        <v>77</v>
      </c>
      <c r="D257" s="36">
        <f>base!H257</f>
        <v>35</v>
      </c>
      <c r="E257" s="44"/>
      <c r="F257" s="16">
        <f>base!W257</f>
        <v>0</v>
      </c>
      <c r="G257" s="11">
        <f t="shared" si="30"/>
        <v>0</v>
      </c>
      <c r="H257" s="11">
        <f t="shared" si="31"/>
        <v>0</v>
      </c>
      <c r="I257" s="11">
        <f t="shared" si="32"/>
        <v>0</v>
      </c>
      <c r="J257" s="12">
        <f t="shared" si="33"/>
        <v>0</v>
      </c>
      <c r="K257" s="17" t="str">
        <f t="shared" si="38"/>
        <v>Pas d'écart</v>
      </c>
      <c r="L257" s="16">
        <f>base!X257</f>
        <v>0</v>
      </c>
      <c r="M257" s="11">
        <f t="shared" si="34"/>
        <v>0</v>
      </c>
      <c r="N257" s="11">
        <f t="shared" si="35"/>
        <v>0</v>
      </c>
      <c r="O257" s="11">
        <f t="shared" si="36"/>
        <v>0</v>
      </c>
      <c r="P257" s="12">
        <f t="shared" si="37"/>
        <v>0</v>
      </c>
      <c r="Q257" s="17" t="str">
        <f t="shared" si="39"/>
        <v>Pas d'écart</v>
      </c>
    </row>
    <row r="258" spans="1:18" x14ac:dyDescent="0.3">
      <c r="A258" s="34">
        <f>base!J258</f>
        <v>0</v>
      </c>
      <c r="B258" s="34" t="str">
        <f>base!V258</f>
        <v>77184</v>
      </c>
      <c r="C258" s="37">
        <v>77</v>
      </c>
      <c r="D258" s="36">
        <f>base!H258</f>
        <v>140</v>
      </c>
      <c r="E258" s="44"/>
      <c r="F258" s="16">
        <f>base!W258</f>
        <v>0</v>
      </c>
      <c r="G258" s="11">
        <f t="shared" ref="G258:G321" si="40">F258/D258</f>
        <v>0</v>
      </c>
      <c r="H258" s="11">
        <f t="shared" ref="H258:H321" si="41">VLOOKUP(C258,tout_cout_traction,2,FALSE)*D258</f>
        <v>0</v>
      </c>
      <c r="I258" s="11">
        <f t="shared" ref="I258:I321" si="42">H258/D258</f>
        <v>0</v>
      </c>
      <c r="J258" s="12">
        <f t="shared" ref="J258:J321" si="43">F258-H258</f>
        <v>0</v>
      </c>
      <c r="K258" s="17" t="str">
        <f t="shared" si="38"/>
        <v>Pas d'écart</v>
      </c>
      <c r="L258" s="16">
        <f>base!X258</f>
        <v>0</v>
      </c>
      <c r="M258" s="11">
        <f t="shared" ref="M258:M321" si="44">L258/D258</f>
        <v>0</v>
      </c>
      <c r="N258" s="11">
        <f t="shared" ref="N258:N321" si="45">VLOOKUP(C258,tout_cout_traction,3,FALSE)*D258</f>
        <v>0</v>
      </c>
      <c r="O258" s="11">
        <f t="shared" ref="O258:O321" si="46">N258/D258</f>
        <v>0</v>
      </c>
      <c r="P258" s="12">
        <f t="shared" ref="P258:P321" si="47">L258-N258</f>
        <v>0</v>
      </c>
      <c r="Q258" s="17" t="str">
        <f t="shared" si="39"/>
        <v>Pas d'écart</v>
      </c>
    </row>
    <row r="259" spans="1:18" x14ac:dyDescent="0.3">
      <c r="A259" s="34" t="str">
        <f>base!J259</f>
        <v>RS</v>
      </c>
      <c r="B259" s="34" t="str">
        <f>base!V259</f>
        <v>91070</v>
      </c>
      <c r="C259" s="37">
        <v>91</v>
      </c>
      <c r="D259" s="36">
        <f>base!H259</f>
        <v>107.5</v>
      </c>
      <c r="E259" s="44"/>
      <c r="F259" s="16">
        <f>base!W259</f>
        <v>0</v>
      </c>
      <c r="G259" s="11">
        <f t="shared" si="40"/>
        <v>0</v>
      </c>
      <c r="H259" s="11">
        <f t="shared" si="41"/>
        <v>0</v>
      </c>
      <c r="I259" s="11">
        <f t="shared" si="42"/>
        <v>0</v>
      </c>
      <c r="J259" s="12">
        <f t="shared" si="43"/>
        <v>0</v>
      </c>
      <c r="K259" s="17" t="str">
        <f t="shared" ref="K259:K322" si="48">IF(H259=F259,"Pas d'écart",IF(H259&lt;F259,"Ecart positif",IF(H259&gt;F259,"Ecart négatif")))</f>
        <v>Pas d'écart</v>
      </c>
      <c r="L259" s="16">
        <f>base!X259</f>
        <v>0</v>
      </c>
      <c r="M259" s="11">
        <f t="shared" si="44"/>
        <v>0</v>
      </c>
      <c r="N259" s="11">
        <f t="shared" si="45"/>
        <v>0</v>
      </c>
      <c r="O259" s="11">
        <f t="shared" si="46"/>
        <v>0</v>
      </c>
      <c r="P259" s="12">
        <f t="shared" si="47"/>
        <v>0</v>
      </c>
      <c r="Q259" s="17" t="str">
        <f t="shared" ref="Q259:Q322" si="49">IF(N259=L259,"Pas d'écart",IF(N259&lt;L259,"Ecart positif",IF(N259&gt;L259,"Ecart négatif")))</f>
        <v>Pas d'écart</v>
      </c>
    </row>
    <row r="260" spans="1:18" x14ac:dyDescent="0.3">
      <c r="A260" s="34" t="str">
        <f>base!J260</f>
        <v>RM</v>
      </c>
      <c r="B260" s="34" t="str">
        <f>base!V260</f>
        <v>57175</v>
      </c>
      <c r="C260" s="37">
        <v>57</v>
      </c>
      <c r="D260" s="36">
        <f>base!H260</f>
        <v>40</v>
      </c>
      <c r="E260" s="44"/>
      <c r="F260" s="16">
        <f>base!W260</f>
        <v>0</v>
      </c>
      <c r="G260" s="11">
        <f t="shared" si="40"/>
        <v>0</v>
      </c>
      <c r="H260" s="11">
        <f t="shared" si="41"/>
        <v>9.6</v>
      </c>
      <c r="I260" s="11">
        <f t="shared" si="42"/>
        <v>0.24</v>
      </c>
      <c r="J260" s="12">
        <f t="shared" si="43"/>
        <v>-9.6</v>
      </c>
      <c r="K260" s="17" t="str">
        <f t="shared" si="48"/>
        <v>Ecart négatif</v>
      </c>
      <c r="L260" s="16">
        <f>base!X260</f>
        <v>10</v>
      </c>
      <c r="M260" s="11">
        <f t="shared" si="44"/>
        <v>0.25</v>
      </c>
      <c r="N260" s="11">
        <f t="shared" si="45"/>
        <v>10</v>
      </c>
      <c r="O260" s="11">
        <f t="shared" si="46"/>
        <v>0.25</v>
      </c>
      <c r="P260" s="12">
        <f t="shared" si="47"/>
        <v>0</v>
      </c>
      <c r="Q260" s="17" t="str">
        <f t="shared" si="49"/>
        <v>Pas d'écart</v>
      </c>
    </row>
    <row r="261" spans="1:18" x14ac:dyDescent="0.3">
      <c r="A261" s="34" t="str">
        <f>base!J261</f>
        <v>RS</v>
      </c>
      <c r="B261" s="34" t="str">
        <f>base!V261</f>
        <v>75009</v>
      </c>
      <c r="C261" s="37">
        <v>75</v>
      </c>
      <c r="D261" s="36">
        <f>base!H261</f>
        <v>6</v>
      </c>
      <c r="E261" s="44"/>
      <c r="F261" s="16">
        <f>base!W261</f>
        <v>0</v>
      </c>
      <c r="G261" s="11">
        <f t="shared" si="40"/>
        <v>0</v>
      </c>
      <c r="H261" s="11">
        <f t="shared" si="41"/>
        <v>0</v>
      </c>
      <c r="I261" s="11">
        <f t="shared" si="42"/>
        <v>0</v>
      </c>
      <c r="J261" s="12">
        <f t="shared" si="43"/>
        <v>0</v>
      </c>
      <c r="K261" s="17" t="str">
        <f t="shared" si="48"/>
        <v>Pas d'écart</v>
      </c>
      <c r="L261" s="16">
        <f>base!X261</f>
        <v>0</v>
      </c>
      <c r="M261" s="11">
        <f t="shared" si="44"/>
        <v>0</v>
      </c>
      <c r="N261" s="11">
        <f t="shared" si="45"/>
        <v>0</v>
      </c>
      <c r="O261" s="11">
        <f t="shared" si="46"/>
        <v>0</v>
      </c>
      <c r="P261" s="12">
        <f t="shared" si="47"/>
        <v>0</v>
      </c>
      <c r="Q261" s="17" t="str">
        <f t="shared" si="49"/>
        <v>Pas d'écart</v>
      </c>
    </row>
    <row r="262" spans="1:18" x14ac:dyDescent="0.3">
      <c r="A262" s="34" t="str">
        <f>base!J262</f>
        <v>RS</v>
      </c>
      <c r="B262" s="34" t="str">
        <f>base!V262</f>
        <v>75014</v>
      </c>
      <c r="C262" s="37">
        <v>75</v>
      </c>
      <c r="D262" s="36">
        <f>base!H262</f>
        <v>40</v>
      </c>
      <c r="E262" s="44"/>
      <c r="F262" s="16">
        <f>base!W262</f>
        <v>0</v>
      </c>
      <c r="G262" s="11">
        <f t="shared" si="40"/>
        <v>0</v>
      </c>
      <c r="H262" s="11">
        <f t="shared" si="41"/>
        <v>0</v>
      </c>
      <c r="I262" s="11">
        <f t="shared" si="42"/>
        <v>0</v>
      </c>
      <c r="J262" s="12">
        <f t="shared" si="43"/>
        <v>0</v>
      </c>
      <c r="K262" s="17" t="str">
        <f t="shared" si="48"/>
        <v>Pas d'écart</v>
      </c>
      <c r="L262" s="16">
        <f>base!X262</f>
        <v>0</v>
      </c>
      <c r="M262" s="11">
        <f t="shared" si="44"/>
        <v>0</v>
      </c>
      <c r="N262" s="11">
        <f t="shared" si="45"/>
        <v>0</v>
      </c>
      <c r="O262" s="11">
        <f t="shared" si="46"/>
        <v>0</v>
      </c>
      <c r="P262" s="12">
        <f t="shared" si="47"/>
        <v>0</v>
      </c>
      <c r="Q262" s="17" t="str">
        <f t="shared" si="49"/>
        <v>Pas d'écart</v>
      </c>
    </row>
    <row r="263" spans="1:18" x14ac:dyDescent="0.3">
      <c r="A263" s="34" t="str">
        <f>base!J263</f>
        <v>RS</v>
      </c>
      <c r="B263" s="34" t="str">
        <f>base!V263</f>
        <v>15800</v>
      </c>
      <c r="C263" s="37">
        <v>15</v>
      </c>
      <c r="D263" s="36">
        <f>base!H263</f>
        <v>140</v>
      </c>
      <c r="E263" s="44"/>
      <c r="F263" s="16">
        <f>base!W263</f>
        <v>0</v>
      </c>
      <c r="G263" s="11">
        <f t="shared" si="40"/>
        <v>0</v>
      </c>
      <c r="H263" s="11">
        <f t="shared" si="41"/>
        <v>40.599999999999994</v>
      </c>
      <c r="I263" s="11">
        <f t="shared" si="42"/>
        <v>0.28999999999999998</v>
      </c>
      <c r="J263" s="12">
        <f t="shared" si="43"/>
        <v>-40.599999999999994</v>
      </c>
      <c r="K263" s="17" t="str">
        <f t="shared" si="48"/>
        <v>Ecart négatif</v>
      </c>
      <c r="L263" s="16">
        <f>base!X263</f>
        <v>0</v>
      </c>
      <c r="M263" s="11">
        <f t="shared" si="44"/>
        <v>0</v>
      </c>
      <c r="N263" s="11">
        <f t="shared" si="45"/>
        <v>16.8</v>
      </c>
      <c r="O263" s="11">
        <f t="shared" si="46"/>
        <v>0.12000000000000001</v>
      </c>
      <c r="P263" s="12">
        <f t="shared" si="47"/>
        <v>-16.8</v>
      </c>
      <c r="Q263" s="17" t="str">
        <f t="shared" si="49"/>
        <v>Ecart négatif</v>
      </c>
    </row>
    <row r="264" spans="1:18" x14ac:dyDescent="0.3">
      <c r="A264" s="34" t="str">
        <f>base!J264</f>
        <v>RM</v>
      </c>
      <c r="B264" s="34" t="str">
        <f>base!V264</f>
        <v>14000</v>
      </c>
      <c r="C264" s="37">
        <v>14</v>
      </c>
      <c r="D264" s="36">
        <f>base!H264</f>
        <v>184.02</v>
      </c>
      <c r="E264" s="44"/>
      <c r="F264" s="16">
        <f>base!W264</f>
        <v>0</v>
      </c>
      <c r="G264" s="11">
        <f t="shared" si="40"/>
        <v>0</v>
      </c>
      <c r="H264" s="11">
        <f t="shared" si="41"/>
        <v>31.283400000000004</v>
      </c>
      <c r="I264" s="11">
        <f t="shared" si="42"/>
        <v>0.17</v>
      </c>
      <c r="J264" s="12">
        <f t="shared" si="43"/>
        <v>-31.283400000000004</v>
      </c>
      <c r="K264" s="17" t="str">
        <f t="shared" si="48"/>
        <v>Ecart négatif</v>
      </c>
      <c r="L264" s="16">
        <f>base!X264</f>
        <v>31.28</v>
      </c>
      <c r="M264" s="11">
        <f t="shared" si="44"/>
        <v>0.16998152374741876</v>
      </c>
      <c r="N264" s="11">
        <f t="shared" si="45"/>
        <v>31.283400000000004</v>
      </c>
      <c r="O264" s="11">
        <f t="shared" si="46"/>
        <v>0.17</v>
      </c>
      <c r="P264" s="12">
        <f t="shared" si="47"/>
        <v>-3.4000000000027342E-3</v>
      </c>
      <c r="Q264" s="17" t="str">
        <f t="shared" si="49"/>
        <v>Ecart négatif</v>
      </c>
      <c r="R264" s="38"/>
    </row>
    <row r="265" spans="1:18" x14ac:dyDescent="0.3">
      <c r="A265" s="34" t="str">
        <f>base!J265</f>
        <v>LM</v>
      </c>
      <c r="B265" s="34" t="str">
        <f>base!V265</f>
        <v>61250</v>
      </c>
      <c r="C265" s="37">
        <v>59</v>
      </c>
      <c r="D265" s="36">
        <f>base!H265</f>
        <v>200.31</v>
      </c>
      <c r="E265" s="44"/>
      <c r="F265" s="16">
        <f>base!W265</f>
        <v>34.049999999999997</v>
      </c>
      <c r="G265" s="11">
        <f t="shared" si="40"/>
        <v>0.16998652089261643</v>
      </c>
      <c r="H265" s="11">
        <f t="shared" si="41"/>
        <v>38.058900000000001</v>
      </c>
      <c r="I265" s="11">
        <f t="shared" si="42"/>
        <v>0.19</v>
      </c>
      <c r="J265" s="12">
        <f t="shared" si="43"/>
        <v>-4.0089000000000041</v>
      </c>
      <c r="K265" s="17" t="str">
        <f t="shared" si="48"/>
        <v>Ecart négatif</v>
      </c>
      <c r="L265" s="16">
        <f>base!X265</f>
        <v>0</v>
      </c>
      <c r="M265" s="11">
        <f t="shared" si="44"/>
        <v>0</v>
      </c>
      <c r="N265" s="11">
        <f t="shared" si="45"/>
        <v>0</v>
      </c>
      <c r="O265" s="11">
        <f t="shared" si="46"/>
        <v>0</v>
      </c>
      <c r="P265" s="12">
        <f t="shared" si="47"/>
        <v>0</v>
      </c>
      <c r="Q265" s="17" t="str">
        <f t="shared" si="49"/>
        <v>Pas d'écart</v>
      </c>
    </row>
    <row r="266" spans="1:18" x14ac:dyDescent="0.3">
      <c r="A266" s="34" t="str">
        <f>base!J266</f>
        <v>RM</v>
      </c>
      <c r="B266" s="34" t="str">
        <f>base!V266</f>
        <v>91470</v>
      </c>
      <c r="C266" s="37">
        <v>91</v>
      </c>
      <c r="D266" s="36">
        <f>base!H266</f>
        <v>163.98</v>
      </c>
      <c r="E266" s="44"/>
      <c r="F266" s="16">
        <f>base!W266</f>
        <v>0</v>
      </c>
      <c r="G266" s="11">
        <f t="shared" si="40"/>
        <v>0</v>
      </c>
      <c r="H266" s="11">
        <f t="shared" si="41"/>
        <v>0</v>
      </c>
      <c r="I266" s="11">
        <f t="shared" si="42"/>
        <v>0</v>
      </c>
      <c r="J266" s="12">
        <f t="shared" si="43"/>
        <v>0</v>
      </c>
      <c r="K266" s="17" t="str">
        <f t="shared" si="48"/>
        <v>Pas d'écart</v>
      </c>
      <c r="L266" s="16">
        <f>base!X266</f>
        <v>0</v>
      </c>
      <c r="M266" s="11">
        <f t="shared" si="44"/>
        <v>0</v>
      </c>
      <c r="N266" s="11">
        <f t="shared" si="45"/>
        <v>0</v>
      </c>
      <c r="O266" s="11">
        <f t="shared" si="46"/>
        <v>0</v>
      </c>
      <c r="P266" s="12">
        <f t="shared" si="47"/>
        <v>0</v>
      </c>
      <c r="Q266" s="17" t="str">
        <f t="shared" si="49"/>
        <v>Pas d'écart</v>
      </c>
    </row>
    <row r="267" spans="1:18" x14ac:dyDescent="0.3">
      <c r="A267" s="34" t="str">
        <f>base!J267</f>
        <v>RS</v>
      </c>
      <c r="B267" s="34" t="str">
        <f>base!V267</f>
        <v>77380</v>
      </c>
      <c r="C267" s="37">
        <v>77</v>
      </c>
      <c r="D267" s="36">
        <f>base!H267</f>
        <v>62.1</v>
      </c>
      <c r="E267" s="44"/>
      <c r="F267" s="16">
        <f>base!W267</f>
        <v>0</v>
      </c>
      <c r="G267" s="11">
        <f t="shared" si="40"/>
        <v>0</v>
      </c>
      <c r="H267" s="11">
        <f t="shared" si="41"/>
        <v>0</v>
      </c>
      <c r="I267" s="11">
        <f t="shared" si="42"/>
        <v>0</v>
      </c>
      <c r="J267" s="12">
        <f t="shared" si="43"/>
        <v>0</v>
      </c>
      <c r="K267" s="17" t="str">
        <f t="shared" si="48"/>
        <v>Pas d'écart</v>
      </c>
      <c r="L267" s="16">
        <f>base!X267</f>
        <v>0</v>
      </c>
      <c r="M267" s="11">
        <f t="shared" si="44"/>
        <v>0</v>
      </c>
      <c r="N267" s="11">
        <f t="shared" si="45"/>
        <v>0</v>
      </c>
      <c r="O267" s="11">
        <f t="shared" si="46"/>
        <v>0</v>
      </c>
      <c r="P267" s="12">
        <f t="shared" si="47"/>
        <v>0</v>
      </c>
      <c r="Q267" s="17" t="str">
        <f t="shared" si="49"/>
        <v>Pas d'écart</v>
      </c>
    </row>
    <row r="268" spans="1:18" x14ac:dyDescent="0.3">
      <c r="A268" s="34" t="str">
        <f>base!J268</f>
        <v>RS</v>
      </c>
      <c r="B268" s="34" t="str">
        <f>base!V268</f>
        <v>44120</v>
      </c>
      <c r="C268" s="37">
        <v>44</v>
      </c>
      <c r="D268" s="36">
        <f>base!H268</f>
        <v>140</v>
      </c>
      <c r="E268" s="44"/>
      <c r="F268" s="16">
        <f>base!W268</f>
        <v>0</v>
      </c>
      <c r="G268" s="11">
        <f t="shared" si="40"/>
        <v>0</v>
      </c>
      <c r="H268" s="11">
        <f t="shared" si="41"/>
        <v>37.800000000000004</v>
      </c>
      <c r="I268" s="11">
        <f t="shared" si="42"/>
        <v>0.27</v>
      </c>
      <c r="J268" s="12">
        <f t="shared" si="43"/>
        <v>-37.800000000000004</v>
      </c>
      <c r="K268" s="17" t="str">
        <f t="shared" si="48"/>
        <v>Ecart négatif</v>
      </c>
      <c r="L268" s="16">
        <f>base!X268</f>
        <v>0</v>
      </c>
      <c r="M268" s="11">
        <f t="shared" si="44"/>
        <v>0</v>
      </c>
      <c r="N268" s="11">
        <f t="shared" si="45"/>
        <v>0</v>
      </c>
      <c r="O268" s="11">
        <f t="shared" si="46"/>
        <v>0</v>
      </c>
      <c r="P268" s="12">
        <f t="shared" si="47"/>
        <v>0</v>
      </c>
      <c r="Q268" s="17" t="str">
        <f t="shared" si="49"/>
        <v>Pas d'écart</v>
      </c>
    </row>
    <row r="269" spans="1:18" x14ac:dyDescent="0.3">
      <c r="A269" s="34" t="str">
        <f>base!J269</f>
        <v>RS</v>
      </c>
      <c r="B269" s="34" t="str">
        <f>base!V269</f>
        <v>06570</v>
      </c>
      <c r="C269" s="37">
        <v>6</v>
      </c>
      <c r="D269" s="36">
        <f>base!H269</f>
        <v>110.91</v>
      </c>
      <c r="E269" s="44"/>
      <c r="F269" s="16">
        <f>base!W269</f>
        <v>0</v>
      </c>
      <c r="G269" s="11">
        <f t="shared" si="40"/>
        <v>0</v>
      </c>
      <c r="H269" s="11">
        <f t="shared" si="41"/>
        <v>33.272999999999996</v>
      </c>
      <c r="I269" s="11">
        <f t="shared" si="42"/>
        <v>0.3</v>
      </c>
      <c r="J269" s="12">
        <f t="shared" si="43"/>
        <v>-33.272999999999996</v>
      </c>
      <c r="K269" s="17" t="str">
        <f t="shared" si="48"/>
        <v>Ecart négatif</v>
      </c>
      <c r="L269" s="16">
        <f>base!X269</f>
        <v>23.29</v>
      </c>
      <c r="M269" s="11">
        <f t="shared" si="44"/>
        <v>0.2099900820485078</v>
      </c>
      <c r="N269" s="11">
        <f t="shared" si="45"/>
        <v>23.2911</v>
      </c>
      <c r="O269" s="11">
        <f t="shared" si="46"/>
        <v>0.21000000000000002</v>
      </c>
      <c r="P269" s="12">
        <f t="shared" si="47"/>
        <v>-1.1000000000009891E-3</v>
      </c>
      <c r="Q269" s="17" t="str">
        <f t="shared" si="49"/>
        <v>Ecart négatif</v>
      </c>
      <c r="R269" s="38"/>
    </row>
    <row r="270" spans="1:18" x14ac:dyDescent="0.3">
      <c r="A270" s="34" t="str">
        <f>base!J270</f>
        <v>RM</v>
      </c>
      <c r="B270" s="34" t="str">
        <f>base!V270</f>
        <v>34500</v>
      </c>
      <c r="C270" s="37">
        <v>34</v>
      </c>
      <c r="D270" s="36">
        <f>base!H270</f>
        <v>180</v>
      </c>
      <c r="E270" s="44"/>
      <c r="F270" s="16">
        <f>base!W270</f>
        <v>0</v>
      </c>
      <c r="G270" s="11">
        <f t="shared" si="40"/>
        <v>0</v>
      </c>
      <c r="H270" s="11">
        <f t="shared" si="41"/>
        <v>70.2</v>
      </c>
      <c r="I270" s="11">
        <f t="shared" si="42"/>
        <v>0.39</v>
      </c>
      <c r="J270" s="12">
        <f t="shared" si="43"/>
        <v>-70.2</v>
      </c>
      <c r="K270" s="17" t="str">
        <f t="shared" si="48"/>
        <v>Ecart négatif</v>
      </c>
      <c r="L270" s="16">
        <f>base!X270</f>
        <v>0</v>
      </c>
      <c r="M270" s="11">
        <f t="shared" si="44"/>
        <v>0</v>
      </c>
      <c r="N270" s="11">
        <f t="shared" si="45"/>
        <v>50.400000000000006</v>
      </c>
      <c r="O270" s="11">
        <f t="shared" si="46"/>
        <v>0.28000000000000003</v>
      </c>
      <c r="P270" s="12">
        <f t="shared" si="47"/>
        <v>-50.400000000000006</v>
      </c>
      <c r="Q270" s="17" t="str">
        <f t="shared" si="49"/>
        <v>Ecart négatif</v>
      </c>
    </row>
    <row r="271" spans="1:18" x14ac:dyDescent="0.3">
      <c r="A271" s="34" t="str">
        <f>base!J271</f>
        <v>RS</v>
      </c>
      <c r="B271" s="34" t="str">
        <f>base!V271</f>
        <v>83190</v>
      </c>
      <c r="C271" s="37">
        <v>83</v>
      </c>
      <c r="D271" s="36">
        <f>base!H271</f>
        <v>70</v>
      </c>
      <c r="E271" s="44"/>
      <c r="F271" s="16">
        <f>base!W271</f>
        <v>0</v>
      </c>
      <c r="G271" s="11">
        <f t="shared" si="40"/>
        <v>0</v>
      </c>
      <c r="H271" s="11">
        <f t="shared" si="41"/>
        <v>21</v>
      </c>
      <c r="I271" s="11">
        <f t="shared" si="42"/>
        <v>0.3</v>
      </c>
      <c r="J271" s="12">
        <f t="shared" si="43"/>
        <v>-21</v>
      </c>
      <c r="K271" s="17" t="str">
        <f t="shared" si="48"/>
        <v>Ecart négatif</v>
      </c>
      <c r="L271" s="16">
        <f>base!X271</f>
        <v>0</v>
      </c>
      <c r="M271" s="11">
        <f t="shared" si="44"/>
        <v>0</v>
      </c>
      <c r="N271" s="11">
        <f t="shared" si="45"/>
        <v>14.7</v>
      </c>
      <c r="O271" s="11">
        <f t="shared" si="46"/>
        <v>0.21</v>
      </c>
      <c r="P271" s="12">
        <f t="shared" si="47"/>
        <v>-14.7</v>
      </c>
      <c r="Q271" s="17" t="str">
        <f t="shared" si="49"/>
        <v>Ecart négatif</v>
      </c>
    </row>
    <row r="272" spans="1:18" x14ac:dyDescent="0.3">
      <c r="A272" s="34" t="str">
        <f>base!J272</f>
        <v>RM</v>
      </c>
      <c r="B272" s="34" t="str">
        <f>base!V272</f>
        <v>63100</v>
      </c>
      <c r="C272" s="37">
        <v>63</v>
      </c>
      <c r="D272" s="36">
        <f>base!H272</f>
        <v>80.599999999999994</v>
      </c>
      <c r="E272" s="44"/>
      <c r="F272" s="16">
        <f>base!W272</f>
        <v>0</v>
      </c>
      <c r="G272" s="11">
        <f t="shared" si="40"/>
        <v>0</v>
      </c>
      <c r="H272" s="11">
        <f t="shared" si="41"/>
        <v>23.373999999999995</v>
      </c>
      <c r="I272" s="11">
        <f t="shared" si="42"/>
        <v>0.28999999999999998</v>
      </c>
      <c r="J272" s="12">
        <f t="shared" si="43"/>
        <v>-23.373999999999995</v>
      </c>
      <c r="K272" s="17" t="str">
        <f t="shared" si="48"/>
        <v>Ecart négatif</v>
      </c>
      <c r="L272" s="16">
        <f>base!X272</f>
        <v>0</v>
      </c>
      <c r="M272" s="11">
        <f t="shared" si="44"/>
        <v>0</v>
      </c>
      <c r="N272" s="11">
        <f t="shared" si="45"/>
        <v>9.6719999999999988</v>
      </c>
      <c r="O272" s="11">
        <f t="shared" si="46"/>
        <v>0.12</v>
      </c>
      <c r="P272" s="12">
        <f t="shared" si="47"/>
        <v>-9.6719999999999988</v>
      </c>
      <c r="Q272" s="17" t="str">
        <f t="shared" si="49"/>
        <v>Ecart négatif</v>
      </c>
    </row>
    <row r="273" spans="1:18" x14ac:dyDescent="0.3">
      <c r="A273" s="34" t="str">
        <f>base!J273</f>
        <v>DRM</v>
      </c>
      <c r="B273" s="34" t="str">
        <f>base!V273</f>
        <v>69441</v>
      </c>
      <c r="C273" s="37">
        <v>69</v>
      </c>
      <c r="D273" s="36">
        <f>base!H273</f>
        <v>151</v>
      </c>
      <c r="E273" s="44"/>
      <c r="F273" s="16">
        <f>base!W273</f>
        <v>0</v>
      </c>
      <c r="G273" s="11">
        <f t="shared" si="40"/>
        <v>0</v>
      </c>
      <c r="H273" s="11">
        <f t="shared" si="41"/>
        <v>40.770000000000003</v>
      </c>
      <c r="I273" s="11">
        <f t="shared" si="42"/>
        <v>0.27</v>
      </c>
      <c r="J273" s="12">
        <f t="shared" si="43"/>
        <v>-40.770000000000003</v>
      </c>
      <c r="K273" s="17" t="str">
        <f t="shared" si="48"/>
        <v>Ecart négatif</v>
      </c>
      <c r="L273" s="16">
        <f>base!X273</f>
        <v>0</v>
      </c>
      <c r="M273" s="11">
        <f t="shared" si="44"/>
        <v>0</v>
      </c>
      <c r="N273" s="11">
        <f t="shared" si="45"/>
        <v>0</v>
      </c>
      <c r="O273" s="11">
        <f t="shared" si="46"/>
        <v>0</v>
      </c>
      <c r="P273" s="12">
        <f t="shared" si="47"/>
        <v>0</v>
      </c>
      <c r="Q273" s="17" t="str">
        <f t="shared" si="49"/>
        <v>Pas d'écart</v>
      </c>
    </row>
    <row r="274" spans="1:18" x14ac:dyDescent="0.3">
      <c r="A274" s="34" t="str">
        <f>base!J274</f>
        <v>RM</v>
      </c>
      <c r="B274" s="34" t="str">
        <f>base!V274</f>
        <v>75007</v>
      </c>
      <c r="C274" s="37">
        <v>75</v>
      </c>
      <c r="D274" s="36">
        <f>base!H274</f>
        <v>50</v>
      </c>
      <c r="E274" s="44"/>
      <c r="F274" s="16">
        <f>base!W274</f>
        <v>0</v>
      </c>
      <c r="G274" s="11">
        <f t="shared" si="40"/>
        <v>0</v>
      </c>
      <c r="H274" s="11">
        <f t="shared" si="41"/>
        <v>0</v>
      </c>
      <c r="I274" s="11">
        <f t="shared" si="42"/>
        <v>0</v>
      </c>
      <c r="J274" s="12">
        <f t="shared" si="43"/>
        <v>0</v>
      </c>
      <c r="K274" s="17" t="str">
        <f t="shared" si="48"/>
        <v>Pas d'écart</v>
      </c>
      <c r="L274" s="16">
        <f>base!X274</f>
        <v>0</v>
      </c>
      <c r="M274" s="11">
        <f t="shared" si="44"/>
        <v>0</v>
      </c>
      <c r="N274" s="11">
        <f t="shared" si="45"/>
        <v>0</v>
      </c>
      <c r="O274" s="11">
        <f t="shared" si="46"/>
        <v>0</v>
      </c>
      <c r="P274" s="12">
        <f t="shared" si="47"/>
        <v>0</v>
      </c>
      <c r="Q274" s="17" t="str">
        <f t="shared" si="49"/>
        <v>Pas d'écart</v>
      </c>
    </row>
    <row r="275" spans="1:18" x14ac:dyDescent="0.3">
      <c r="A275" s="34" t="str">
        <f>base!J275</f>
        <v>RM</v>
      </c>
      <c r="B275" s="34" t="str">
        <f>base!V275</f>
        <v>56560</v>
      </c>
      <c r="C275" s="37">
        <v>56</v>
      </c>
      <c r="D275" s="36">
        <f>base!H275</f>
        <v>101</v>
      </c>
      <c r="E275" s="44"/>
      <c r="F275" s="16">
        <f>base!W275</f>
        <v>0</v>
      </c>
      <c r="G275" s="11">
        <f t="shared" si="40"/>
        <v>0</v>
      </c>
      <c r="H275" s="11">
        <f t="shared" si="41"/>
        <v>27.270000000000003</v>
      </c>
      <c r="I275" s="11">
        <f t="shared" si="42"/>
        <v>0.27</v>
      </c>
      <c r="J275" s="12">
        <f t="shared" si="43"/>
        <v>-27.270000000000003</v>
      </c>
      <c r="K275" s="17" t="str">
        <f t="shared" si="48"/>
        <v>Ecart négatif</v>
      </c>
      <c r="L275" s="16">
        <f>base!X275</f>
        <v>0</v>
      </c>
      <c r="M275" s="11">
        <f t="shared" si="44"/>
        <v>0</v>
      </c>
      <c r="N275" s="11">
        <f t="shared" si="45"/>
        <v>0</v>
      </c>
      <c r="O275" s="11">
        <f t="shared" si="46"/>
        <v>0</v>
      </c>
      <c r="P275" s="12">
        <f t="shared" si="47"/>
        <v>0</v>
      </c>
      <c r="Q275" s="17" t="str">
        <f t="shared" si="49"/>
        <v>Pas d'écart</v>
      </c>
    </row>
    <row r="276" spans="1:18" x14ac:dyDescent="0.3">
      <c r="A276" s="34" t="str">
        <f>base!J276</f>
        <v>RM</v>
      </c>
      <c r="B276" s="34" t="str">
        <f>base!V276</f>
        <v>57000</v>
      </c>
      <c r="C276" s="37">
        <v>57</v>
      </c>
      <c r="D276" s="36">
        <f>base!H276</f>
        <v>183.98</v>
      </c>
      <c r="E276" s="44"/>
      <c r="F276" s="16">
        <f>base!W276</f>
        <v>0</v>
      </c>
      <c r="G276" s="11">
        <f t="shared" si="40"/>
        <v>0</v>
      </c>
      <c r="H276" s="11">
        <f t="shared" si="41"/>
        <v>44.155199999999994</v>
      </c>
      <c r="I276" s="11">
        <f t="shared" si="42"/>
        <v>0.24</v>
      </c>
      <c r="J276" s="12">
        <f t="shared" si="43"/>
        <v>-44.155199999999994</v>
      </c>
      <c r="K276" s="17" t="str">
        <f t="shared" si="48"/>
        <v>Ecart négatif</v>
      </c>
      <c r="L276" s="16">
        <f>base!X276</f>
        <v>46</v>
      </c>
      <c r="M276" s="11">
        <f t="shared" si="44"/>
        <v>0.25002717686705078</v>
      </c>
      <c r="N276" s="11">
        <f t="shared" si="45"/>
        <v>45.994999999999997</v>
      </c>
      <c r="O276" s="11">
        <f t="shared" si="46"/>
        <v>0.25</v>
      </c>
      <c r="P276" s="12">
        <f t="shared" si="47"/>
        <v>5.000000000002558E-3</v>
      </c>
      <c r="Q276" s="17" t="str">
        <f t="shared" si="49"/>
        <v>Ecart positif</v>
      </c>
      <c r="R276" s="38"/>
    </row>
    <row r="277" spans="1:18" x14ac:dyDescent="0.3">
      <c r="A277" s="34" t="str">
        <f>base!J277</f>
        <v>RM</v>
      </c>
      <c r="B277" s="34" t="str">
        <f>base!V277</f>
        <v>04800</v>
      </c>
      <c r="C277" s="37">
        <v>4</v>
      </c>
      <c r="D277" s="36">
        <f>base!H277</f>
        <v>40</v>
      </c>
      <c r="E277" s="44"/>
      <c r="F277" s="16">
        <f>base!W277</f>
        <v>0</v>
      </c>
      <c r="G277" s="11">
        <f t="shared" si="40"/>
        <v>0</v>
      </c>
      <c r="H277" s="11">
        <f t="shared" si="41"/>
        <v>11.6</v>
      </c>
      <c r="I277" s="11">
        <f t="shared" si="42"/>
        <v>0.28999999999999998</v>
      </c>
      <c r="J277" s="12">
        <f t="shared" si="43"/>
        <v>-11.6</v>
      </c>
      <c r="K277" s="17" t="str">
        <f t="shared" si="48"/>
        <v>Ecart négatif</v>
      </c>
      <c r="L277" s="16">
        <f>base!X277</f>
        <v>0</v>
      </c>
      <c r="M277" s="11">
        <f t="shared" si="44"/>
        <v>0</v>
      </c>
      <c r="N277" s="11">
        <f t="shared" si="45"/>
        <v>7.6</v>
      </c>
      <c r="O277" s="11">
        <f t="shared" si="46"/>
        <v>0.19</v>
      </c>
      <c r="P277" s="12">
        <f t="shared" si="47"/>
        <v>-7.6</v>
      </c>
      <c r="Q277" s="17" t="str">
        <f t="shared" si="49"/>
        <v>Ecart négatif</v>
      </c>
    </row>
    <row r="278" spans="1:18" x14ac:dyDescent="0.3">
      <c r="A278" s="34" t="str">
        <f>base!J278</f>
        <v>RS</v>
      </c>
      <c r="B278" s="34" t="str">
        <f>base!V278</f>
        <v>04800</v>
      </c>
      <c r="C278" s="37">
        <v>4</v>
      </c>
      <c r="D278" s="36">
        <f>base!H278</f>
        <v>160.04</v>
      </c>
      <c r="E278" s="44"/>
      <c r="F278" s="16">
        <f>base!W278</f>
        <v>0</v>
      </c>
      <c r="G278" s="11">
        <f t="shared" si="40"/>
        <v>0</v>
      </c>
      <c r="H278" s="11">
        <f t="shared" si="41"/>
        <v>46.411599999999993</v>
      </c>
      <c r="I278" s="11">
        <f t="shared" si="42"/>
        <v>0.28999999999999998</v>
      </c>
      <c r="J278" s="12">
        <f t="shared" si="43"/>
        <v>-46.411599999999993</v>
      </c>
      <c r="K278" s="17" t="str">
        <f t="shared" si="48"/>
        <v>Ecart négatif</v>
      </c>
      <c r="L278" s="16">
        <f>base!X278</f>
        <v>0</v>
      </c>
      <c r="M278" s="11">
        <f t="shared" si="44"/>
        <v>0</v>
      </c>
      <c r="N278" s="11">
        <f t="shared" si="45"/>
        <v>30.407599999999999</v>
      </c>
      <c r="O278" s="11">
        <f t="shared" si="46"/>
        <v>0.19</v>
      </c>
      <c r="P278" s="12">
        <f t="shared" si="47"/>
        <v>-30.407599999999999</v>
      </c>
      <c r="Q278" s="17" t="str">
        <f t="shared" si="49"/>
        <v>Ecart négatif</v>
      </c>
    </row>
    <row r="279" spans="1:18" x14ac:dyDescent="0.3">
      <c r="A279" s="34" t="str">
        <f>base!J279</f>
        <v>RS</v>
      </c>
      <c r="B279" s="34" t="str">
        <f>base!V279</f>
        <v>54200</v>
      </c>
      <c r="C279" s="37">
        <v>54</v>
      </c>
      <c r="D279" s="36">
        <f>base!H279</f>
        <v>66.3</v>
      </c>
      <c r="E279" s="44"/>
      <c r="F279" s="16">
        <f>base!W279</f>
        <v>0</v>
      </c>
      <c r="G279" s="11">
        <f t="shared" si="40"/>
        <v>0</v>
      </c>
      <c r="H279" s="11">
        <f t="shared" si="41"/>
        <v>16.574999999999999</v>
      </c>
      <c r="I279" s="11">
        <f t="shared" si="42"/>
        <v>0.25</v>
      </c>
      <c r="J279" s="12">
        <f t="shared" si="43"/>
        <v>-16.574999999999999</v>
      </c>
      <c r="K279" s="17" t="str">
        <f t="shared" si="48"/>
        <v>Ecart négatif</v>
      </c>
      <c r="L279" s="16">
        <f>base!X279</f>
        <v>16.57</v>
      </c>
      <c r="M279" s="11">
        <f t="shared" si="44"/>
        <v>0.24992458521870289</v>
      </c>
      <c r="N279" s="11">
        <f t="shared" si="45"/>
        <v>16.574999999999999</v>
      </c>
      <c r="O279" s="11">
        <f t="shared" si="46"/>
        <v>0.25</v>
      </c>
      <c r="P279" s="12">
        <f t="shared" si="47"/>
        <v>-4.9999999999990052E-3</v>
      </c>
      <c r="Q279" s="17" t="str">
        <f t="shared" si="49"/>
        <v>Ecart négatif</v>
      </c>
      <c r="R279" s="38"/>
    </row>
    <row r="280" spans="1:18" x14ac:dyDescent="0.3">
      <c r="A280" s="34" t="str">
        <f>base!J280</f>
        <v>LM</v>
      </c>
      <c r="B280" s="34" t="str">
        <f>base!V280</f>
        <v>92000</v>
      </c>
      <c r="C280" s="37">
        <v>92</v>
      </c>
      <c r="D280" s="36">
        <f>base!H280</f>
        <v>50.84</v>
      </c>
      <c r="E280" s="44"/>
      <c r="F280" s="16">
        <f>base!W280</f>
        <v>0</v>
      </c>
      <c r="G280" s="11">
        <f t="shared" si="40"/>
        <v>0</v>
      </c>
      <c r="H280" s="11">
        <f t="shared" si="41"/>
        <v>0</v>
      </c>
      <c r="I280" s="11">
        <f t="shared" si="42"/>
        <v>0</v>
      </c>
      <c r="J280" s="12">
        <f t="shared" si="43"/>
        <v>0</v>
      </c>
      <c r="K280" s="17" t="str">
        <f t="shared" si="48"/>
        <v>Pas d'écart</v>
      </c>
      <c r="L280" s="16">
        <f>base!X280</f>
        <v>0</v>
      </c>
      <c r="M280" s="11">
        <f t="shared" si="44"/>
        <v>0</v>
      </c>
      <c r="N280" s="11">
        <f t="shared" si="45"/>
        <v>0</v>
      </c>
      <c r="O280" s="11">
        <f t="shared" si="46"/>
        <v>0</v>
      </c>
      <c r="P280" s="12">
        <f t="shared" si="47"/>
        <v>0</v>
      </c>
      <c r="Q280" s="17" t="str">
        <f t="shared" si="49"/>
        <v>Pas d'écart</v>
      </c>
    </row>
    <row r="281" spans="1:18" x14ac:dyDescent="0.3">
      <c r="A281" s="34" t="str">
        <f>base!J281</f>
        <v>LM</v>
      </c>
      <c r="B281" s="34" t="str">
        <f>base!V281</f>
        <v>92000</v>
      </c>
      <c r="C281" s="37">
        <v>92</v>
      </c>
      <c r="D281" s="36">
        <f>base!H281</f>
        <v>50.84</v>
      </c>
      <c r="E281" s="44"/>
      <c r="F281" s="16">
        <f>base!W281</f>
        <v>0</v>
      </c>
      <c r="G281" s="11">
        <f t="shared" si="40"/>
        <v>0</v>
      </c>
      <c r="H281" s="11">
        <f t="shared" si="41"/>
        <v>0</v>
      </c>
      <c r="I281" s="11">
        <f t="shared" si="42"/>
        <v>0</v>
      </c>
      <c r="J281" s="12">
        <f t="shared" si="43"/>
        <v>0</v>
      </c>
      <c r="K281" s="17" t="str">
        <f t="shared" si="48"/>
        <v>Pas d'écart</v>
      </c>
      <c r="L281" s="16">
        <f>base!X281</f>
        <v>0</v>
      </c>
      <c r="M281" s="11">
        <f t="shared" si="44"/>
        <v>0</v>
      </c>
      <c r="N281" s="11">
        <f t="shared" si="45"/>
        <v>0</v>
      </c>
      <c r="O281" s="11">
        <f t="shared" si="46"/>
        <v>0</v>
      </c>
      <c r="P281" s="12">
        <f t="shared" si="47"/>
        <v>0</v>
      </c>
      <c r="Q281" s="17" t="str">
        <f t="shared" si="49"/>
        <v>Pas d'écart</v>
      </c>
    </row>
    <row r="282" spans="1:18" x14ac:dyDescent="0.3">
      <c r="A282" s="34" t="str">
        <f>base!J282</f>
        <v>RS</v>
      </c>
      <c r="B282" s="34" t="str">
        <f>base!V282</f>
        <v>45120</v>
      </c>
      <c r="C282" s="37">
        <v>45</v>
      </c>
      <c r="D282" s="36">
        <f>base!H282</f>
        <v>140</v>
      </c>
      <c r="E282" s="44"/>
      <c r="F282" s="16">
        <f>base!W282</f>
        <v>0</v>
      </c>
      <c r="G282" s="11">
        <f t="shared" si="40"/>
        <v>0</v>
      </c>
      <c r="H282" s="11">
        <f t="shared" si="41"/>
        <v>29.4</v>
      </c>
      <c r="I282" s="11">
        <f t="shared" si="42"/>
        <v>0.21</v>
      </c>
      <c r="J282" s="12">
        <f t="shared" si="43"/>
        <v>-29.4</v>
      </c>
      <c r="K282" s="17" t="str">
        <f t="shared" si="48"/>
        <v>Ecart négatif</v>
      </c>
      <c r="L282" s="16">
        <f>base!X282</f>
        <v>54.6</v>
      </c>
      <c r="M282" s="11">
        <f t="shared" si="44"/>
        <v>0.39</v>
      </c>
      <c r="N282" s="11">
        <f t="shared" si="45"/>
        <v>16.8</v>
      </c>
      <c r="O282" s="11">
        <f t="shared" si="46"/>
        <v>0.12000000000000001</v>
      </c>
      <c r="P282" s="12">
        <f t="shared" si="47"/>
        <v>37.799999999999997</v>
      </c>
      <c r="Q282" s="17" t="str">
        <f t="shared" si="49"/>
        <v>Ecart positif</v>
      </c>
      <c r="R282" s="38"/>
    </row>
    <row r="283" spans="1:18" x14ac:dyDescent="0.3">
      <c r="A283" s="34" t="str">
        <f>base!J283</f>
        <v>RS</v>
      </c>
      <c r="B283" s="34" t="str">
        <f>base!V283</f>
        <v>51470</v>
      </c>
      <c r="C283" s="37">
        <v>51</v>
      </c>
      <c r="D283" s="36">
        <f>base!H283</f>
        <v>15.8</v>
      </c>
      <c r="E283" s="44"/>
      <c r="F283" s="16">
        <f>base!W283</f>
        <v>0</v>
      </c>
      <c r="G283" s="11">
        <f t="shared" si="40"/>
        <v>0</v>
      </c>
      <c r="H283" s="11">
        <f t="shared" si="41"/>
        <v>3.95</v>
      </c>
      <c r="I283" s="11">
        <f t="shared" si="42"/>
        <v>0.25</v>
      </c>
      <c r="J283" s="12">
        <f t="shared" si="43"/>
        <v>-3.95</v>
      </c>
      <c r="K283" s="17" t="str">
        <f t="shared" si="48"/>
        <v>Ecart négatif</v>
      </c>
      <c r="L283" s="16">
        <f>base!X283</f>
        <v>3.95</v>
      </c>
      <c r="M283" s="11">
        <f t="shared" si="44"/>
        <v>0.25</v>
      </c>
      <c r="N283" s="11">
        <f t="shared" si="45"/>
        <v>3.95</v>
      </c>
      <c r="O283" s="11">
        <f t="shared" si="46"/>
        <v>0.25</v>
      </c>
      <c r="P283" s="12">
        <f t="shared" si="47"/>
        <v>0</v>
      </c>
      <c r="Q283" s="17" t="str">
        <f t="shared" si="49"/>
        <v>Pas d'écart</v>
      </c>
      <c r="R283" s="38"/>
    </row>
    <row r="284" spans="1:18" x14ac:dyDescent="0.3">
      <c r="A284" s="34" t="str">
        <f>base!J284</f>
        <v>RM</v>
      </c>
      <c r="B284" s="34" t="str">
        <f>base!V284</f>
        <v>62200</v>
      </c>
      <c r="C284" s="37">
        <v>62</v>
      </c>
      <c r="D284" s="36">
        <f>base!H284</f>
        <v>70</v>
      </c>
      <c r="E284" s="44"/>
      <c r="F284" s="16">
        <f>base!W284</f>
        <v>0</v>
      </c>
      <c r="G284" s="11">
        <f t="shared" si="40"/>
        <v>0</v>
      </c>
      <c r="H284" s="11">
        <f t="shared" si="41"/>
        <v>13.3</v>
      </c>
      <c r="I284" s="11">
        <f t="shared" si="42"/>
        <v>0.19</v>
      </c>
      <c r="J284" s="12">
        <f t="shared" si="43"/>
        <v>-13.3</v>
      </c>
      <c r="K284" s="17" t="str">
        <f t="shared" si="48"/>
        <v>Ecart négatif</v>
      </c>
      <c r="L284" s="16">
        <f>base!X284</f>
        <v>0</v>
      </c>
      <c r="M284" s="11">
        <f t="shared" si="44"/>
        <v>0</v>
      </c>
      <c r="N284" s="11">
        <f t="shared" si="45"/>
        <v>0</v>
      </c>
      <c r="O284" s="11">
        <f t="shared" si="46"/>
        <v>0</v>
      </c>
      <c r="P284" s="12">
        <f t="shared" si="47"/>
        <v>0</v>
      </c>
      <c r="Q284" s="17" t="str">
        <f t="shared" si="49"/>
        <v>Pas d'écart</v>
      </c>
    </row>
    <row r="285" spans="1:18" x14ac:dyDescent="0.3">
      <c r="A285" s="34" t="str">
        <f>base!J285</f>
        <v>RS</v>
      </c>
      <c r="B285" s="34" t="str">
        <f>base!V285</f>
        <v>75010</v>
      </c>
      <c r="C285" s="37">
        <v>75</v>
      </c>
      <c r="D285" s="36">
        <f>base!H285</f>
        <v>235.57</v>
      </c>
      <c r="E285" s="44"/>
      <c r="F285" s="16">
        <f>base!W285</f>
        <v>0</v>
      </c>
      <c r="G285" s="11">
        <f t="shared" si="40"/>
        <v>0</v>
      </c>
      <c r="H285" s="11">
        <f t="shared" si="41"/>
        <v>0</v>
      </c>
      <c r="I285" s="11">
        <f t="shared" si="42"/>
        <v>0</v>
      </c>
      <c r="J285" s="12">
        <f t="shared" si="43"/>
        <v>0</v>
      </c>
      <c r="K285" s="17" t="str">
        <f t="shared" si="48"/>
        <v>Pas d'écart</v>
      </c>
      <c r="L285" s="16">
        <f>base!X285</f>
        <v>0</v>
      </c>
      <c r="M285" s="11">
        <f t="shared" si="44"/>
        <v>0</v>
      </c>
      <c r="N285" s="11">
        <f t="shared" si="45"/>
        <v>0</v>
      </c>
      <c r="O285" s="11">
        <f t="shared" si="46"/>
        <v>0</v>
      </c>
      <c r="P285" s="12">
        <f t="shared" si="47"/>
        <v>0</v>
      </c>
      <c r="Q285" s="17" t="str">
        <f t="shared" si="49"/>
        <v>Pas d'écart</v>
      </c>
    </row>
    <row r="286" spans="1:18" x14ac:dyDescent="0.3">
      <c r="A286" s="34" t="str">
        <f>base!J286</f>
        <v>LS</v>
      </c>
      <c r="B286" s="34" t="str">
        <f>base!V286</f>
        <v>47160</v>
      </c>
      <c r="C286" s="37">
        <v>59</v>
      </c>
      <c r="D286" s="36">
        <f>base!H286</f>
        <v>28.62</v>
      </c>
      <c r="E286" s="44"/>
      <c r="F286" s="16">
        <f>base!W286</f>
        <v>22.61</v>
      </c>
      <c r="G286" s="11">
        <f t="shared" si="40"/>
        <v>0.79000698812019565</v>
      </c>
      <c r="H286" s="11">
        <f t="shared" si="41"/>
        <v>5.4378000000000002</v>
      </c>
      <c r="I286" s="11">
        <f t="shared" si="42"/>
        <v>0.19</v>
      </c>
      <c r="J286" s="12">
        <f t="shared" si="43"/>
        <v>17.1722</v>
      </c>
      <c r="K286" s="17" t="str">
        <f t="shared" si="48"/>
        <v>Ecart positif</v>
      </c>
      <c r="L286" s="16">
        <f>base!X286</f>
        <v>0</v>
      </c>
      <c r="M286" s="11">
        <f t="shared" si="44"/>
        <v>0</v>
      </c>
      <c r="N286" s="11">
        <f t="shared" si="45"/>
        <v>0</v>
      </c>
      <c r="O286" s="11">
        <f t="shared" si="46"/>
        <v>0</v>
      </c>
      <c r="P286" s="12">
        <f t="shared" si="47"/>
        <v>0</v>
      </c>
      <c r="Q286" s="17" t="str">
        <f t="shared" si="49"/>
        <v>Pas d'écart</v>
      </c>
    </row>
    <row r="287" spans="1:18" x14ac:dyDescent="0.3">
      <c r="A287" s="34" t="str">
        <f>base!J287</f>
        <v>DLM</v>
      </c>
      <c r="B287" s="34" t="str">
        <f>base!V287</f>
        <v>38000</v>
      </c>
      <c r="C287" s="37">
        <v>38</v>
      </c>
      <c r="D287" s="36">
        <f>base!H287</f>
        <v>52.5</v>
      </c>
      <c r="E287" s="44"/>
      <c r="F287" s="16">
        <f>base!W287</f>
        <v>0</v>
      </c>
      <c r="G287" s="11">
        <f t="shared" si="40"/>
        <v>0</v>
      </c>
      <c r="H287" s="11">
        <f t="shared" si="41"/>
        <v>14.175000000000001</v>
      </c>
      <c r="I287" s="11">
        <f t="shared" si="42"/>
        <v>0.27</v>
      </c>
      <c r="J287" s="12">
        <f t="shared" si="43"/>
        <v>-14.175000000000001</v>
      </c>
      <c r="K287" s="17" t="str">
        <f t="shared" si="48"/>
        <v>Ecart négatif</v>
      </c>
      <c r="L287" s="16">
        <f>base!X287</f>
        <v>0</v>
      </c>
      <c r="M287" s="11">
        <f t="shared" si="44"/>
        <v>0</v>
      </c>
      <c r="N287" s="11">
        <f t="shared" si="45"/>
        <v>0</v>
      </c>
      <c r="O287" s="11">
        <f t="shared" si="46"/>
        <v>0</v>
      </c>
      <c r="P287" s="12">
        <f t="shared" si="47"/>
        <v>0</v>
      </c>
      <c r="Q287" s="17" t="str">
        <f t="shared" si="49"/>
        <v>Pas d'écart</v>
      </c>
    </row>
    <row r="288" spans="1:18" x14ac:dyDescent="0.3">
      <c r="A288" s="34" t="str">
        <f>base!J288</f>
        <v>DLM</v>
      </c>
      <c r="B288" s="34" t="str">
        <f>base!V288</f>
        <v>33153</v>
      </c>
      <c r="C288" s="37">
        <v>33</v>
      </c>
      <c r="D288" s="36">
        <f>base!H288</f>
        <v>52.5</v>
      </c>
      <c r="E288" s="44"/>
      <c r="F288" s="16">
        <f>base!W288</f>
        <v>0</v>
      </c>
      <c r="G288" s="11">
        <f t="shared" si="40"/>
        <v>0</v>
      </c>
      <c r="H288" s="11">
        <f t="shared" si="41"/>
        <v>11.025</v>
      </c>
      <c r="I288" s="11">
        <f t="shared" si="42"/>
        <v>0.21000000000000002</v>
      </c>
      <c r="J288" s="12">
        <f t="shared" si="43"/>
        <v>-11.025</v>
      </c>
      <c r="K288" s="17" t="str">
        <f t="shared" si="48"/>
        <v>Ecart négatif</v>
      </c>
      <c r="L288" s="16">
        <f>base!X288</f>
        <v>0</v>
      </c>
      <c r="M288" s="11">
        <f t="shared" si="44"/>
        <v>0</v>
      </c>
      <c r="N288" s="11">
        <f t="shared" si="45"/>
        <v>8.9250000000000007</v>
      </c>
      <c r="O288" s="11">
        <f t="shared" si="46"/>
        <v>0.17</v>
      </c>
      <c r="P288" s="12">
        <f t="shared" si="47"/>
        <v>-8.9250000000000007</v>
      </c>
      <c r="Q288" s="17" t="str">
        <f t="shared" si="49"/>
        <v>Ecart négatif</v>
      </c>
    </row>
    <row r="289" spans="1:18" x14ac:dyDescent="0.3">
      <c r="A289" s="34" t="str">
        <f>base!J289</f>
        <v>DLM</v>
      </c>
      <c r="B289" s="34" t="str">
        <f>base!V289</f>
        <v>01000</v>
      </c>
      <c r="C289" s="37">
        <v>1</v>
      </c>
      <c r="D289" s="36">
        <f>base!H289</f>
        <v>52.5</v>
      </c>
      <c r="E289" s="44"/>
      <c r="F289" s="16">
        <f>base!W289</f>
        <v>0</v>
      </c>
      <c r="G289" s="11">
        <f t="shared" si="40"/>
        <v>0</v>
      </c>
      <c r="H289" s="11">
        <f t="shared" si="41"/>
        <v>13.65</v>
      </c>
      <c r="I289" s="11">
        <f t="shared" si="42"/>
        <v>0.26</v>
      </c>
      <c r="J289" s="12">
        <f t="shared" si="43"/>
        <v>-13.65</v>
      </c>
      <c r="K289" s="17" t="str">
        <f t="shared" si="48"/>
        <v>Ecart négatif</v>
      </c>
      <c r="L289" s="16">
        <f>base!X289</f>
        <v>0</v>
      </c>
      <c r="M289" s="11">
        <f t="shared" si="44"/>
        <v>0</v>
      </c>
      <c r="N289" s="11">
        <f t="shared" si="45"/>
        <v>0</v>
      </c>
      <c r="O289" s="11">
        <f t="shared" si="46"/>
        <v>0</v>
      </c>
      <c r="P289" s="12">
        <f t="shared" si="47"/>
        <v>0</v>
      </c>
      <c r="Q289" s="17" t="str">
        <f t="shared" si="49"/>
        <v>Pas d'écart</v>
      </c>
    </row>
    <row r="290" spans="1:18" x14ac:dyDescent="0.3">
      <c r="A290" s="34" t="str">
        <f>base!J290</f>
        <v>RM</v>
      </c>
      <c r="B290" s="34" t="str">
        <f>base!V290</f>
        <v>62600</v>
      </c>
      <c r="C290" s="37">
        <v>62</v>
      </c>
      <c r="D290" s="36">
        <f>base!H290</f>
        <v>44</v>
      </c>
      <c r="E290" s="44"/>
      <c r="F290" s="16">
        <f>base!W290</f>
        <v>0</v>
      </c>
      <c r="G290" s="11">
        <f t="shared" si="40"/>
        <v>0</v>
      </c>
      <c r="H290" s="11">
        <f t="shared" si="41"/>
        <v>8.36</v>
      </c>
      <c r="I290" s="11">
        <f t="shared" si="42"/>
        <v>0.18999999999999997</v>
      </c>
      <c r="J290" s="12">
        <f t="shared" si="43"/>
        <v>-8.36</v>
      </c>
      <c r="K290" s="17" t="str">
        <f t="shared" si="48"/>
        <v>Ecart négatif</v>
      </c>
      <c r="L290" s="16">
        <f>base!X290</f>
        <v>8.36</v>
      </c>
      <c r="M290" s="11">
        <f t="shared" si="44"/>
        <v>0.18999999999999997</v>
      </c>
      <c r="N290" s="11">
        <f t="shared" si="45"/>
        <v>0</v>
      </c>
      <c r="O290" s="11">
        <f t="shared" si="46"/>
        <v>0</v>
      </c>
      <c r="P290" s="12">
        <f t="shared" si="47"/>
        <v>8.36</v>
      </c>
      <c r="Q290" s="17" t="str">
        <f t="shared" si="49"/>
        <v>Ecart positif</v>
      </c>
      <c r="R290" s="38"/>
    </row>
    <row r="291" spans="1:18" x14ac:dyDescent="0.3">
      <c r="A291" s="34" t="str">
        <f>base!J291</f>
        <v>RS</v>
      </c>
      <c r="B291" s="34" t="str">
        <f>base!V291</f>
        <v>27400</v>
      </c>
      <c r="C291" s="37">
        <v>27</v>
      </c>
      <c r="D291" s="36">
        <f>base!H291</f>
        <v>396.2</v>
      </c>
      <c r="E291" s="44"/>
      <c r="F291" s="16">
        <f>base!W291</f>
        <v>0</v>
      </c>
      <c r="G291" s="11">
        <f t="shared" si="40"/>
        <v>0</v>
      </c>
      <c r="H291" s="11">
        <f t="shared" si="41"/>
        <v>67.353999999999999</v>
      </c>
      <c r="I291" s="11">
        <f t="shared" si="42"/>
        <v>0.17</v>
      </c>
      <c r="J291" s="12">
        <f t="shared" si="43"/>
        <v>-67.353999999999999</v>
      </c>
      <c r="K291" s="17" t="str">
        <f t="shared" si="48"/>
        <v>Ecart négatif</v>
      </c>
      <c r="L291" s="16">
        <f>base!X291</f>
        <v>0</v>
      </c>
      <c r="M291" s="11">
        <f t="shared" si="44"/>
        <v>0</v>
      </c>
      <c r="N291" s="11">
        <f t="shared" si="45"/>
        <v>67.353999999999999</v>
      </c>
      <c r="O291" s="11">
        <f t="shared" si="46"/>
        <v>0.17</v>
      </c>
      <c r="P291" s="12">
        <f t="shared" si="47"/>
        <v>-67.353999999999999</v>
      </c>
      <c r="Q291" s="17" t="str">
        <f t="shared" si="49"/>
        <v>Ecart négatif</v>
      </c>
    </row>
    <row r="292" spans="1:18" x14ac:dyDescent="0.3">
      <c r="A292" s="34" t="str">
        <f>base!J292</f>
        <v>RM</v>
      </c>
      <c r="B292" s="34" t="str">
        <f>base!V292</f>
        <v>75004</v>
      </c>
      <c r="C292" s="37">
        <v>75</v>
      </c>
      <c r="D292" s="36">
        <f>base!H292</f>
        <v>140</v>
      </c>
      <c r="E292" s="44"/>
      <c r="F292" s="16">
        <f>base!W292</f>
        <v>0</v>
      </c>
      <c r="G292" s="11">
        <f t="shared" si="40"/>
        <v>0</v>
      </c>
      <c r="H292" s="11">
        <f t="shared" si="41"/>
        <v>0</v>
      </c>
      <c r="I292" s="11">
        <f t="shared" si="42"/>
        <v>0</v>
      </c>
      <c r="J292" s="12">
        <f t="shared" si="43"/>
        <v>0</v>
      </c>
      <c r="K292" s="17" t="str">
        <f t="shared" si="48"/>
        <v>Pas d'écart</v>
      </c>
      <c r="L292" s="16">
        <f>base!X292</f>
        <v>0</v>
      </c>
      <c r="M292" s="11">
        <f t="shared" si="44"/>
        <v>0</v>
      </c>
      <c r="N292" s="11">
        <f t="shared" si="45"/>
        <v>0</v>
      </c>
      <c r="O292" s="11">
        <f t="shared" si="46"/>
        <v>0</v>
      </c>
      <c r="P292" s="12">
        <f t="shared" si="47"/>
        <v>0</v>
      </c>
      <c r="Q292" s="17" t="str">
        <f t="shared" si="49"/>
        <v>Pas d'écart</v>
      </c>
    </row>
    <row r="293" spans="1:18" x14ac:dyDescent="0.3">
      <c r="A293" s="34" t="str">
        <f>base!J293</f>
        <v>RS</v>
      </c>
      <c r="B293" s="34" t="str">
        <f>base!V293</f>
        <v>38170</v>
      </c>
      <c r="C293" s="37">
        <v>38</v>
      </c>
      <c r="D293" s="36">
        <f>base!H293</f>
        <v>126</v>
      </c>
      <c r="E293" s="44"/>
      <c r="F293" s="16">
        <f>base!W293</f>
        <v>0</v>
      </c>
      <c r="G293" s="11">
        <f t="shared" si="40"/>
        <v>0</v>
      </c>
      <c r="H293" s="11">
        <f t="shared" si="41"/>
        <v>34.020000000000003</v>
      </c>
      <c r="I293" s="11">
        <f t="shared" si="42"/>
        <v>0.27</v>
      </c>
      <c r="J293" s="12">
        <f t="shared" si="43"/>
        <v>-34.020000000000003</v>
      </c>
      <c r="K293" s="17" t="str">
        <f t="shared" si="48"/>
        <v>Ecart négatif</v>
      </c>
      <c r="L293" s="16">
        <f>base!X293</f>
        <v>0</v>
      </c>
      <c r="M293" s="11">
        <f t="shared" si="44"/>
        <v>0</v>
      </c>
      <c r="N293" s="11">
        <f t="shared" si="45"/>
        <v>0</v>
      </c>
      <c r="O293" s="11">
        <f t="shared" si="46"/>
        <v>0</v>
      </c>
      <c r="P293" s="12">
        <f t="shared" si="47"/>
        <v>0</v>
      </c>
      <c r="Q293" s="17" t="str">
        <f t="shared" si="49"/>
        <v>Pas d'écart</v>
      </c>
    </row>
    <row r="294" spans="1:18" x14ac:dyDescent="0.3">
      <c r="A294" s="34" t="str">
        <f>base!J294</f>
        <v>LM</v>
      </c>
      <c r="B294" s="34" t="str">
        <f>base!V294</f>
        <v>62200</v>
      </c>
      <c r="C294" s="37">
        <v>59</v>
      </c>
      <c r="D294" s="36">
        <f>base!H294</f>
        <v>32.85</v>
      </c>
      <c r="E294" s="44"/>
      <c r="F294" s="16">
        <f>base!W294</f>
        <v>6.24</v>
      </c>
      <c r="G294" s="11">
        <f t="shared" si="40"/>
        <v>0.18995433789954339</v>
      </c>
      <c r="H294" s="11">
        <f t="shared" si="41"/>
        <v>6.2415000000000003</v>
      </c>
      <c r="I294" s="11">
        <f t="shared" si="42"/>
        <v>0.19</v>
      </c>
      <c r="J294" s="12">
        <f t="shared" si="43"/>
        <v>-1.5000000000000568E-3</v>
      </c>
      <c r="K294" s="17" t="str">
        <f t="shared" si="48"/>
        <v>Ecart négatif</v>
      </c>
      <c r="L294" s="16">
        <f>base!X294</f>
        <v>0</v>
      </c>
      <c r="M294" s="11">
        <f t="shared" si="44"/>
        <v>0</v>
      </c>
      <c r="N294" s="11">
        <f t="shared" si="45"/>
        <v>0</v>
      </c>
      <c r="O294" s="11">
        <f t="shared" si="46"/>
        <v>0</v>
      </c>
      <c r="P294" s="12">
        <f t="shared" si="47"/>
        <v>0</v>
      </c>
      <c r="Q294" s="17" t="str">
        <f t="shared" si="49"/>
        <v>Pas d'écart</v>
      </c>
    </row>
    <row r="295" spans="1:18" x14ac:dyDescent="0.3">
      <c r="A295" s="34" t="str">
        <f>base!J295</f>
        <v>RM</v>
      </c>
      <c r="B295" s="34" t="str">
        <f>base!V295</f>
        <v>93000</v>
      </c>
      <c r="C295" s="37">
        <v>93</v>
      </c>
      <c r="D295" s="36">
        <f>base!H295</f>
        <v>1249.6600000000001</v>
      </c>
      <c r="E295" s="44"/>
      <c r="F295" s="16">
        <f>base!W295</f>
        <v>0</v>
      </c>
      <c r="G295" s="11">
        <f t="shared" si="40"/>
        <v>0</v>
      </c>
      <c r="H295" s="11">
        <f t="shared" si="41"/>
        <v>0</v>
      </c>
      <c r="I295" s="11">
        <f t="shared" si="42"/>
        <v>0</v>
      </c>
      <c r="J295" s="12">
        <f t="shared" si="43"/>
        <v>0</v>
      </c>
      <c r="K295" s="17" t="str">
        <f t="shared" si="48"/>
        <v>Pas d'écart</v>
      </c>
      <c r="L295" s="16">
        <f>base!X295</f>
        <v>0</v>
      </c>
      <c r="M295" s="11">
        <f t="shared" si="44"/>
        <v>0</v>
      </c>
      <c r="N295" s="11">
        <f t="shared" si="45"/>
        <v>0</v>
      </c>
      <c r="O295" s="11">
        <f t="shared" si="46"/>
        <v>0</v>
      </c>
      <c r="P295" s="12">
        <f t="shared" si="47"/>
        <v>0</v>
      </c>
      <c r="Q295" s="17" t="str">
        <f t="shared" si="49"/>
        <v>Pas d'écart</v>
      </c>
    </row>
    <row r="296" spans="1:18" x14ac:dyDescent="0.3">
      <c r="A296" s="34" t="str">
        <f>base!J296</f>
        <v>RS</v>
      </c>
      <c r="B296" s="34" t="str">
        <f>base!V296</f>
        <v>22130</v>
      </c>
      <c r="C296" s="37">
        <v>22</v>
      </c>
      <c r="D296" s="36">
        <f>base!H296</f>
        <v>151</v>
      </c>
      <c r="E296" s="44"/>
      <c r="F296" s="16">
        <f>base!W296</f>
        <v>0</v>
      </c>
      <c r="G296" s="11">
        <f t="shared" si="40"/>
        <v>0</v>
      </c>
      <c r="H296" s="11">
        <f t="shared" si="41"/>
        <v>57.38</v>
      </c>
      <c r="I296" s="11">
        <f t="shared" si="42"/>
        <v>0.38</v>
      </c>
      <c r="J296" s="12">
        <f t="shared" si="43"/>
        <v>-57.38</v>
      </c>
      <c r="K296" s="17" t="str">
        <f t="shared" si="48"/>
        <v>Ecart négatif</v>
      </c>
      <c r="L296" s="16">
        <f>base!X296</f>
        <v>0</v>
      </c>
      <c r="M296" s="11">
        <f t="shared" si="44"/>
        <v>0</v>
      </c>
      <c r="N296" s="11">
        <f t="shared" si="45"/>
        <v>18.12</v>
      </c>
      <c r="O296" s="11">
        <f t="shared" si="46"/>
        <v>0.12000000000000001</v>
      </c>
      <c r="P296" s="12">
        <f t="shared" si="47"/>
        <v>-18.12</v>
      </c>
      <c r="Q296" s="17" t="str">
        <f t="shared" si="49"/>
        <v>Ecart négatif</v>
      </c>
    </row>
    <row r="297" spans="1:18" x14ac:dyDescent="0.3">
      <c r="A297" s="34" t="str">
        <f>base!J297</f>
        <v>RM</v>
      </c>
      <c r="B297" s="34" t="str">
        <f>base!V297</f>
        <v>45400</v>
      </c>
      <c r="C297" s="37">
        <v>45</v>
      </c>
      <c r="D297" s="36">
        <f>base!H297</f>
        <v>18.8</v>
      </c>
      <c r="E297" s="44"/>
      <c r="F297" s="16">
        <f>base!W297</f>
        <v>0</v>
      </c>
      <c r="G297" s="11">
        <f t="shared" si="40"/>
        <v>0</v>
      </c>
      <c r="H297" s="11">
        <f t="shared" si="41"/>
        <v>3.948</v>
      </c>
      <c r="I297" s="11">
        <f t="shared" si="42"/>
        <v>0.21</v>
      </c>
      <c r="J297" s="12">
        <f t="shared" si="43"/>
        <v>-3.948</v>
      </c>
      <c r="K297" s="17" t="str">
        <f t="shared" si="48"/>
        <v>Ecart négatif</v>
      </c>
      <c r="L297" s="16">
        <f>base!X297</f>
        <v>5.08</v>
      </c>
      <c r="M297" s="11">
        <f t="shared" si="44"/>
        <v>0.27021276595744681</v>
      </c>
      <c r="N297" s="11">
        <f t="shared" si="45"/>
        <v>2.2559999999999998</v>
      </c>
      <c r="O297" s="11">
        <f t="shared" si="46"/>
        <v>0.11999999999999998</v>
      </c>
      <c r="P297" s="12">
        <f t="shared" si="47"/>
        <v>2.8240000000000003</v>
      </c>
      <c r="Q297" s="17" t="str">
        <f t="shared" si="49"/>
        <v>Ecart positif</v>
      </c>
      <c r="R297" s="38"/>
    </row>
    <row r="298" spans="1:18" x14ac:dyDescent="0.3">
      <c r="A298" s="34" t="str">
        <f>base!J298</f>
        <v>LM</v>
      </c>
      <c r="B298" s="34" t="str">
        <f>base!V298</f>
        <v>56920</v>
      </c>
      <c r="C298" s="37">
        <v>59</v>
      </c>
      <c r="D298" s="36">
        <f>base!H298</f>
        <v>155.37</v>
      </c>
      <c r="E298" s="44"/>
      <c r="F298" s="16">
        <f>base!W298</f>
        <v>41.95</v>
      </c>
      <c r="G298" s="11">
        <f t="shared" si="40"/>
        <v>0.2700006436248954</v>
      </c>
      <c r="H298" s="11">
        <f t="shared" si="41"/>
        <v>29.520300000000002</v>
      </c>
      <c r="I298" s="11">
        <f t="shared" si="42"/>
        <v>0.19</v>
      </c>
      <c r="J298" s="12">
        <f t="shared" si="43"/>
        <v>12.4297</v>
      </c>
      <c r="K298" s="17" t="str">
        <f t="shared" si="48"/>
        <v>Ecart positif</v>
      </c>
      <c r="L298" s="16">
        <f>base!X298</f>
        <v>0</v>
      </c>
      <c r="M298" s="11">
        <f t="shared" si="44"/>
        <v>0</v>
      </c>
      <c r="N298" s="11">
        <f t="shared" si="45"/>
        <v>0</v>
      </c>
      <c r="O298" s="11">
        <f t="shared" si="46"/>
        <v>0</v>
      </c>
      <c r="P298" s="12">
        <f t="shared" si="47"/>
        <v>0</v>
      </c>
      <c r="Q298" s="17" t="str">
        <f t="shared" si="49"/>
        <v>Pas d'écart</v>
      </c>
    </row>
    <row r="299" spans="1:18" x14ac:dyDescent="0.3">
      <c r="A299" s="34" t="str">
        <f>base!J299</f>
        <v>LM</v>
      </c>
      <c r="B299" s="34" t="str">
        <f>base!V299</f>
        <v>38300</v>
      </c>
      <c r="C299" s="37">
        <v>59</v>
      </c>
      <c r="D299" s="36">
        <f>base!H299</f>
        <v>19.649999999999999</v>
      </c>
      <c r="E299" s="44"/>
      <c r="F299" s="16">
        <f>base!W299</f>
        <v>5.31</v>
      </c>
      <c r="G299" s="11">
        <f t="shared" si="40"/>
        <v>0.27022900763358776</v>
      </c>
      <c r="H299" s="11">
        <f t="shared" si="41"/>
        <v>3.7334999999999998</v>
      </c>
      <c r="I299" s="11">
        <f t="shared" si="42"/>
        <v>0.19</v>
      </c>
      <c r="J299" s="12">
        <f t="shared" si="43"/>
        <v>1.5764999999999998</v>
      </c>
      <c r="K299" s="17" t="str">
        <f t="shared" si="48"/>
        <v>Ecart positif</v>
      </c>
      <c r="L299" s="16">
        <f>base!X299</f>
        <v>0</v>
      </c>
      <c r="M299" s="11">
        <f t="shared" si="44"/>
        <v>0</v>
      </c>
      <c r="N299" s="11">
        <f t="shared" si="45"/>
        <v>0</v>
      </c>
      <c r="O299" s="11">
        <f t="shared" si="46"/>
        <v>0</v>
      </c>
      <c r="P299" s="12">
        <f t="shared" si="47"/>
        <v>0</v>
      </c>
      <c r="Q299" s="17" t="str">
        <f t="shared" si="49"/>
        <v>Pas d'écart</v>
      </c>
    </row>
    <row r="300" spans="1:18" x14ac:dyDescent="0.3">
      <c r="A300" s="34" t="str">
        <f>base!J300</f>
        <v>LM</v>
      </c>
      <c r="B300" s="34" t="str">
        <f>base!V300</f>
        <v>38230</v>
      </c>
      <c r="C300" s="37">
        <v>59</v>
      </c>
      <c r="D300" s="36">
        <f>base!H300</f>
        <v>19.649999999999999</v>
      </c>
      <c r="E300" s="44"/>
      <c r="F300" s="16">
        <f>base!W300</f>
        <v>5.31</v>
      </c>
      <c r="G300" s="11">
        <f t="shared" si="40"/>
        <v>0.27022900763358776</v>
      </c>
      <c r="H300" s="11">
        <f t="shared" si="41"/>
        <v>3.7334999999999998</v>
      </c>
      <c r="I300" s="11">
        <f t="shared" si="42"/>
        <v>0.19</v>
      </c>
      <c r="J300" s="12">
        <f t="shared" si="43"/>
        <v>1.5764999999999998</v>
      </c>
      <c r="K300" s="17" t="str">
        <f t="shared" si="48"/>
        <v>Ecart positif</v>
      </c>
      <c r="L300" s="16">
        <f>base!X300</f>
        <v>0</v>
      </c>
      <c r="M300" s="11">
        <f t="shared" si="44"/>
        <v>0</v>
      </c>
      <c r="N300" s="11">
        <f t="shared" si="45"/>
        <v>0</v>
      </c>
      <c r="O300" s="11">
        <f t="shared" si="46"/>
        <v>0</v>
      </c>
      <c r="P300" s="12">
        <f t="shared" si="47"/>
        <v>0</v>
      </c>
      <c r="Q300" s="17" t="str">
        <f t="shared" si="49"/>
        <v>Pas d'écart</v>
      </c>
    </row>
    <row r="301" spans="1:18" x14ac:dyDescent="0.3">
      <c r="A301" s="34" t="str">
        <f>base!J301</f>
        <v>RM</v>
      </c>
      <c r="B301" s="34" t="str">
        <f>base!V301</f>
        <v>63500</v>
      </c>
      <c r="C301" s="37">
        <v>63</v>
      </c>
      <c r="D301" s="36">
        <f>base!H301</f>
        <v>180</v>
      </c>
      <c r="E301" s="44"/>
      <c r="F301" s="16">
        <f>base!W301</f>
        <v>0</v>
      </c>
      <c r="G301" s="11">
        <f t="shared" si="40"/>
        <v>0</v>
      </c>
      <c r="H301" s="11">
        <f t="shared" si="41"/>
        <v>52.199999999999996</v>
      </c>
      <c r="I301" s="11">
        <f t="shared" si="42"/>
        <v>0.28999999999999998</v>
      </c>
      <c r="J301" s="12">
        <f t="shared" si="43"/>
        <v>-52.199999999999996</v>
      </c>
      <c r="K301" s="17" t="str">
        <f t="shared" si="48"/>
        <v>Ecart négatif</v>
      </c>
      <c r="L301" s="16">
        <f>base!X301</f>
        <v>0</v>
      </c>
      <c r="M301" s="11">
        <f t="shared" si="44"/>
        <v>0</v>
      </c>
      <c r="N301" s="11">
        <f t="shared" si="45"/>
        <v>21.599999999999998</v>
      </c>
      <c r="O301" s="11">
        <f t="shared" si="46"/>
        <v>0.11999999999999998</v>
      </c>
      <c r="P301" s="12">
        <f t="shared" si="47"/>
        <v>-21.599999999999998</v>
      </c>
      <c r="Q301" s="17" t="str">
        <f t="shared" si="49"/>
        <v>Ecart négatif</v>
      </c>
    </row>
    <row r="302" spans="1:18" x14ac:dyDescent="0.3">
      <c r="A302" s="34">
        <f>base!J302</f>
        <v>0</v>
      </c>
      <c r="B302" s="34" t="str">
        <f>base!V302</f>
        <v>77184</v>
      </c>
      <c r="C302" s="37">
        <v>77</v>
      </c>
      <c r="D302" s="36">
        <f>base!H302</f>
        <v>140</v>
      </c>
      <c r="E302" s="44"/>
      <c r="F302" s="16">
        <f>base!W302</f>
        <v>0</v>
      </c>
      <c r="G302" s="11">
        <f t="shared" si="40"/>
        <v>0</v>
      </c>
      <c r="H302" s="11">
        <f t="shared" si="41"/>
        <v>0</v>
      </c>
      <c r="I302" s="11">
        <f t="shared" si="42"/>
        <v>0</v>
      </c>
      <c r="J302" s="12">
        <f t="shared" si="43"/>
        <v>0</v>
      </c>
      <c r="K302" s="17" t="str">
        <f t="shared" si="48"/>
        <v>Pas d'écart</v>
      </c>
      <c r="L302" s="16">
        <f>base!X302</f>
        <v>0</v>
      </c>
      <c r="M302" s="11">
        <f t="shared" si="44"/>
        <v>0</v>
      </c>
      <c r="N302" s="11">
        <f t="shared" si="45"/>
        <v>0</v>
      </c>
      <c r="O302" s="11">
        <f t="shared" si="46"/>
        <v>0</v>
      </c>
      <c r="P302" s="12">
        <f t="shared" si="47"/>
        <v>0</v>
      </c>
      <c r="Q302" s="17" t="str">
        <f t="shared" si="49"/>
        <v>Pas d'écart</v>
      </c>
    </row>
    <row r="303" spans="1:18" x14ac:dyDescent="0.3">
      <c r="A303" s="34" t="str">
        <f>base!J303</f>
        <v>LM</v>
      </c>
      <c r="B303" s="34" t="str">
        <f>base!V303</f>
        <v>45330</v>
      </c>
      <c r="C303" s="37">
        <v>59</v>
      </c>
      <c r="D303" s="36">
        <f>base!H303</f>
        <v>136.65</v>
      </c>
      <c r="E303" s="44"/>
      <c r="F303" s="16">
        <f>base!W303</f>
        <v>28.7</v>
      </c>
      <c r="G303" s="11">
        <f t="shared" si="40"/>
        <v>0.21002561287961946</v>
      </c>
      <c r="H303" s="11">
        <f t="shared" si="41"/>
        <v>25.9635</v>
      </c>
      <c r="I303" s="11">
        <f t="shared" si="42"/>
        <v>0.19</v>
      </c>
      <c r="J303" s="12">
        <f t="shared" si="43"/>
        <v>2.7364999999999995</v>
      </c>
      <c r="K303" s="17" t="str">
        <f t="shared" si="48"/>
        <v>Ecart positif</v>
      </c>
      <c r="L303" s="16">
        <f>base!X303</f>
        <v>0</v>
      </c>
      <c r="M303" s="11">
        <f t="shared" si="44"/>
        <v>0</v>
      </c>
      <c r="N303" s="11">
        <f t="shared" si="45"/>
        <v>0</v>
      </c>
      <c r="O303" s="11">
        <f t="shared" si="46"/>
        <v>0</v>
      </c>
      <c r="P303" s="12">
        <f t="shared" si="47"/>
        <v>0</v>
      </c>
      <c r="Q303" s="17" t="str">
        <f t="shared" si="49"/>
        <v>Pas d'écart</v>
      </c>
    </row>
    <row r="304" spans="1:18" x14ac:dyDescent="0.3">
      <c r="A304" s="34" t="str">
        <f>base!J304</f>
        <v>DLM</v>
      </c>
      <c r="B304" s="34" t="str">
        <f>base!V304</f>
        <v>44000</v>
      </c>
      <c r="C304" s="37">
        <v>44</v>
      </c>
      <c r="D304" s="36">
        <f>base!H304</f>
        <v>140</v>
      </c>
      <c r="E304" s="44"/>
      <c r="F304" s="16">
        <f>base!W304</f>
        <v>0</v>
      </c>
      <c r="G304" s="11">
        <f t="shared" si="40"/>
        <v>0</v>
      </c>
      <c r="H304" s="11">
        <f t="shared" si="41"/>
        <v>37.800000000000004</v>
      </c>
      <c r="I304" s="11">
        <f t="shared" si="42"/>
        <v>0.27</v>
      </c>
      <c r="J304" s="12">
        <f t="shared" si="43"/>
        <v>-37.800000000000004</v>
      </c>
      <c r="K304" s="17" t="str">
        <f t="shared" si="48"/>
        <v>Ecart négatif</v>
      </c>
      <c r="L304" s="16">
        <f>base!X304</f>
        <v>0</v>
      </c>
      <c r="M304" s="11">
        <f t="shared" si="44"/>
        <v>0</v>
      </c>
      <c r="N304" s="11">
        <f t="shared" si="45"/>
        <v>0</v>
      </c>
      <c r="O304" s="11">
        <f t="shared" si="46"/>
        <v>0</v>
      </c>
      <c r="P304" s="12">
        <f t="shared" si="47"/>
        <v>0</v>
      </c>
      <c r="Q304" s="17" t="str">
        <f t="shared" si="49"/>
        <v>Pas d'écart</v>
      </c>
    </row>
    <row r="305" spans="1:17" x14ac:dyDescent="0.3">
      <c r="A305" s="34" t="str">
        <f>base!J305</f>
        <v>LM</v>
      </c>
      <c r="B305" s="34" t="str">
        <f>base!V305</f>
        <v>16340</v>
      </c>
      <c r="C305" s="37">
        <v>59</v>
      </c>
      <c r="D305" s="36">
        <f>base!H305</f>
        <v>19.8</v>
      </c>
      <c r="E305" s="44"/>
      <c r="F305" s="16">
        <f>base!W305</f>
        <v>4.16</v>
      </c>
      <c r="G305" s="11">
        <f t="shared" si="40"/>
        <v>0.21010101010101009</v>
      </c>
      <c r="H305" s="11">
        <f t="shared" si="41"/>
        <v>3.762</v>
      </c>
      <c r="I305" s="11">
        <f t="shared" si="42"/>
        <v>0.19</v>
      </c>
      <c r="J305" s="12">
        <f t="shared" si="43"/>
        <v>0.39800000000000013</v>
      </c>
      <c r="K305" s="17" t="str">
        <f t="shared" si="48"/>
        <v>Ecart positif</v>
      </c>
      <c r="L305" s="16">
        <f>base!X305</f>
        <v>0</v>
      </c>
      <c r="M305" s="11">
        <f t="shared" si="44"/>
        <v>0</v>
      </c>
      <c r="N305" s="11">
        <f t="shared" si="45"/>
        <v>0</v>
      </c>
      <c r="O305" s="11">
        <f t="shared" si="46"/>
        <v>0</v>
      </c>
      <c r="P305" s="12">
        <f t="shared" si="47"/>
        <v>0</v>
      </c>
      <c r="Q305" s="17" t="str">
        <f t="shared" si="49"/>
        <v>Pas d'écart</v>
      </c>
    </row>
    <row r="306" spans="1:17" x14ac:dyDescent="0.3">
      <c r="A306" s="34" t="str">
        <f>base!J306</f>
        <v>RS</v>
      </c>
      <c r="B306" s="34" t="str">
        <f>base!V306</f>
        <v>75002</v>
      </c>
      <c r="C306" s="37">
        <v>75</v>
      </c>
      <c r="D306" s="36">
        <f>base!H306</f>
        <v>40</v>
      </c>
      <c r="E306" s="44"/>
      <c r="F306" s="16">
        <f>base!W306</f>
        <v>0</v>
      </c>
      <c r="G306" s="11">
        <f t="shared" si="40"/>
        <v>0</v>
      </c>
      <c r="H306" s="11">
        <f t="shared" si="41"/>
        <v>0</v>
      </c>
      <c r="I306" s="11">
        <f t="shared" si="42"/>
        <v>0</v>
      </c>
      <c r="J306" s="12">
        <f t="shared" si="43"/>
        <v>0</v>
      </c>
      <c r="K306" s="17" t="str">
        <f t="shared" si="48"/>
        <v>Pas d'écart</v>
      </c>
      <c r="L306" s="16">
        <f>base!X306</f>
        <v>0</v>
      </c>
      <c r="M306" s="11">
        <f t="shared" si="44"/>
        <v>0</v>
      </c>
      <c r="N306" s="11">
        <f t="shared" si="45"/>
        <v>0</v>
      </c>
      <c r="O306" s="11">
        <f t="shared" si="46"/>
        <v>0</v>
      </c>
      <c r="P306" s="12">
        <f t="shared" si="47"/>
        <v>0</v>
      </c>
      <c r="Q306" s="17" t="str">
        <f t="shared" si="49"/>
        <v>Pas d'écart</v>
      </c>
    </row>
    <row r="307" spans="1:17" x14ac:dyDescent="0.3">
      <c r="A307" s="34" t="str">
        <f>base!J307</f>
        <v>RS</v>
      </c>
      <c r="B307" s="34" t="str">
        <f>base!V307</f>
        <v>06560</v>
      </c>
      <c r="C307" s="37">
        <v>6</v>
      </c>
      <c r="D307" s="36">
        <f>base!H307</f>
        <v>151</v>
      </c>
      <c r="E307" s="44"/>
      <c r="F307" s="16">
        <f>base!W307</f>
        <v>0</v>
      </c>
      <c r="G307" s="11">
        <f t="shared" si="40"/>
        <v>0</v>
      </c>
      <c r="H307" s="11">
        <f t="shared" si="41"/>
        <v>45.3</v>
      </c>
      <c r="I307" s="11">
        <f t="shared" si="42"/>
        <v>0.3</v>
      </c>
      <c r="J307" s="12">
        <f t="shared" si="43"/>
        <v>-45.3</v>
      </c>
      <c r="K307" s="17" t="str">
        <f t="shared" si="48"/>
        <v>Ecart négatif</v>
      </c>
      <c r="L307" s="16">
        <f>base!X307</f>
        <v>0</v>
      </c>
      <c r="M307" s="11">
        <f t="shared" si="44"/>
        <v>0</v>
      </c>
      <c r="N307" s="11">
        <f t="shared" si="45"/>
        <v>31.709999999999997</v>
      </c>
      <c r="O307" s="11">
        <f t="shared" si="46"/>
        <v>0.21</v>
      </c>
      <c r="P307" s="12">
        <f t="shared" si="47"/>
        <v>-31.709999999999997</v>
      </c>
      <c r="Q307" s="17" t="str">
        <f t="shared" si="49"/>
        <v>Ecart négatif</v>
      </c>
    </row>
    <row r="308" spans="1:17" x14ac:dyDescent="0.3">
      <c r="A308" s="34" t="str">
        <f>base!J308</f>
        <v>RS</v>
      </c>
      <c r="B308" s="34" t="str">
        <f>base!V308</f>
        <v>06560</v>
      </c>
      <c r="C308" s="37">
        <v>6</v>
      </c>
      <c r="D308" s="36">
        <f>base!H308</f>
        <v>151</v>
      </c>
      <c r="E308" s="44"/>
      <c r="F308" s="16">
        <f>base!W308</f>
        <v>0</v>
      </c>
      <c r="G308" s="11">
        <f t="shared" si="40"/>
        <v>0</v>
      </c>
      <c r="H308" s="11">
        <f t="shared" si="41"/>
        <v>45.3</v>
      </c>
      <c r="I308" s="11">
        <f t="shared" si="42"/>
        <v>0.3</v>
      </c>
      <c r="J308" s="12">
        <f t="shared" si="43"/>
        <v>-45.3</v>
      </c>
      <c r="K308" s="17" t="str">
        <f t="shared" si="48"/>
        <v>Ecart négatif</v>
      </c>
      <c r="L308" s="16">
        <f>base!X308</f>
        <v>0</v>
      </c>
      <c r="M308" s="11">
        <f t="shared" si="44"/>
        <v>0</v>
      </c>
      <c r="N308" s="11">
        <f t="shared" si="45"/>
        <v>31.709999999999997</v>
      </c>
      <c r="O308" s="11">
        <f t="shared" si="46"/>
        <v>0.21</v>
      </c>
      <c r="P308" s="12">
        <f t="shared" si="47"/>
        <v>-31.709999999999997</v>
      </c>
      <c r="Q308" s="17" t="str">
        <f t="shared" si="49"/>
        <v>Ecart négatif</v>
      </c>
    </row>
    <row r="309" spans="1:17" x14ac:dyDescent="0.3">
      <c r="A309" s="34" t="str">
        <f>base!J309</f>
        <v>RS</v>
      </c>
      <c r="B309" s="34" t="str">
        <f>base!V309</f>
        <v>06560</v>
      </c>
      <c r="C309" s="37">
        <v>6</v>
      </c>
      <c r="D309" s="36">
        <f>base!H309</f>
        <v>151</v>
      </c>
      <c r="E309" s="44"/>
      <c r="F309" s="16">
        <f>base!W309</f>
        <v>0</v>
      </c>
      <c r="G309" s="11">
        <f t="shared" si="40"/>
        <v>0</v>
      </c>
      <c r="H309" s="11">
        <f t="shared" si="41"/>
        <v>45.3</v>
      </c>
      <c r="I309" s="11">
        <f t="shared" si="42"/>
        <v>0.3</v>
      </c>
      <c r="J309" s="12">
        <f t="shared" si="43"/>
        <v>-45.3</v>
      </c>
      <c r="K309" s="17" t="str">
        <f t="shared" si="48"/>
        <v>Ecart négatif</v>
      </c>
      <c r="L309" s="16">
        <f>base!X309</f>
        <v>0</v>
      </c>
      <c r="M309" s="11">
        <f t="shared" si="44"/>
        <v>0</v>
      </c>
      <c r="N309" s="11">
        <f t="shared" si="45"/>
        <v>31.709999999999997</v>
      </c>
      <c r="O309" s="11">
        <f t="shared" si="46"/>
        <v>0.21</v>
      </c>
      <c r="P309" s="12">
        <f t="shared" si="47"/>
        <v>-31.709999999999997</v>
      </c>
      <c r="Q309" s="17" t="str">
        <f t="shared" si="49"/>
        <v>Ecart négatif</v>
      </c>
    </row>
    <row r="310" spans="1:17" x14ac:dyDescent="0.3">
      <c r="A310" s="34">
        <f>base!J310</f>
        <v>0</v>
      </c>
      <c r="B310" s="34" t="str">
        <f>base!V310</f>
        <v>77184</v>
      </c>
      <c r="C310" s="37">
        <v>77</v>
      </c>
      <c r="D310" s="36">
        <f>base!H310</f>
        <v>32</v>
      </c>
      <c r="E310" s="44"/>
      <c r="F310" s="16">
        <f>base!W310</f>
        <v>0</v>
      </c>
      <c r="G310" s="11">
        <f t="shared" si="40"/>
        <v>0</v>
      </c>
      <c r="H310" s="11">
        <f t="shared" si="41"/>
        <v>0</v>
      </c>
      <c r="I310" s="11">
        <f t="shared" si="42"/>
        <v>0</v>
      </c>
      <c r="J310" s="12">
        <f t="shared" si="43"/>
        <v>0</v>
      </c>
      <c r="K310" s="17" t="str">
        <f t="shared" si="48"/>
        <v>Pas d'écart</v>
      </c>
      <c r="L310" s="16">
        <f>base!X310</f>
        <v>0</v>
      </c>
      <c r="M310" s="11">
        <f t="shared" si="44"/>
        <v>0</v>
      </c>
      <c r="N310" s="11">
        <f t="shared" si="45"/>
        <v>0</v>
      </c>
      <c r="O310" s="11">
        <f t="shared" si="46"/>
        <v>0</v>
      </c>
      <c r="P310" s="12">
        <f t="shared" si="47"/>
        <v>0</v>
      </c>
      <c r="Q310" s="17" t="str">
        <f t="shared" si="49"/>
        <v>Pas d'écart</v>
      </c>
    </row>
    <row r="311" spans="1:17" x14ac:dyDescent="0.3">
      <c r="A311" s="34">
        <f>base!J311</f>
        <v>0</v>
      </c>
      <c r="B311" s="34" t="str">
        <f>base!V311</f>
        <v>77184</v>
      </c>
      <c r="C311" s="37">
        <v>77</v>
      </c>
      <c r="D311" s="36">
        <f>base!H311</f>
        <v>50</v>
      </c>
      <c r="E311" s="44"/>
      <c r="F311" s="16">
        <f>base!W311</f>
        <v>0</v>
      </c>
      <c r="G311" s="11">
        <f t="shared" si="40"/>
        <v>0</v>
      </c>
      <c r="H311" s="11">
        <f t="shared" si="41"/>
        <v>0</v>
      </c>
      <c r="I311" s="11">
        <f t="shared" si="42"/>
        <v>0</v>
      </c>
      <c r="J311" s="12">
        <f t="shared" si="43"/>
        <v>0</v>
      </c>
      <c r="K311" s="17" t="str">
        <f t="shared" si="48"/>
        <v>Pas d'écart</v>
      </c>
      <c r="L311" s="16">
        <f>base!X311</f>
        <v>0</v>
      </c>
      <c r="M311" s="11">
        <f t="shared" si="44"/>
        <v>0</v>
      </c>
      <c r="N311" s="11">
        <f t="shared" si="45"/>
        <v>0</v>
      </c>
      <c r="O311" s="11">
        <f t="shared" si="46"/>
        <v>0</v>
      </c>
      <c r="P311" s="12">
        <f t="shared" si="47"/>
        <v>0</v>
      </c>
      <c r="Q311" s="17" t="str">
        <f t="shared" si="49"/>
        <v>Pas d'écart</v>
      </c>
    </row>
    <row r="312" spans="1:17" x14ac:dyDescent="0.3">
      <c r="A312" s="34" t="str">
        <f>base!J312</f>
        <v>RS</v>
      </c>
      <c r="B312" s="34" t="str">
        <f>base!V312</f>
        <v>94220</v>
      </c>
      <c r="C312" s="37">
        <v>94</v>
      </c>
      <c r="D312" s="36">
        <f>base!H312</f>
        <v>180</v>
      </c>
      <c r="E312" s="44"/>
      <c r="F312" s="16">
        <f>base!W312</f>
        <v>0</v>
      </c>
      <c r="G312" s="11">
        <f t="shared" si="40"/>
        <v>0</v>
      </c>
      <c r="H312" s="11">
        <f t="shared" si="41"/>
        <v>0</v>
      </c>
      <c r="I312" s="11">
        <f t="shared" si="42"/>
        <v>0</v>
      </c>
      <c r="J312" s="12">
        <f t="shared" si="43"/>
        <v>0</v>
      </c>
      <c r="K312" s="17" t="str">
        <f t="shared" si="48"/>
        <v>Pas d'écart</v>
      </c>
      <c r="L312" s="16">
        <f>base!X312</f>
        <v>0</v>
      </c>
      <c r="M312" s="11">
        <f t="shared" si="44"/>
        <v>0</v>
      </c>
      <c r="N312" s="11">
        <f t="shared" si="45"/>
        <v>0</v>
      </c>
      <c r="O312" s="11">
        <f t="shared" si="46"/>
        <v>0</v>
      </c>
      <c r="P312" s="12">
        <f t="shared" si="47"/>
        <v>0</v>
      </c>
      <c r="Q312" s="17" t="str">
        <f t="shared" si="49"/>
        <v>Pas d'écart</v>
      </c>
    </row>
    <row r="313" spans="1:17" x14ac:dyDescent="0.3">
      <c r="A313" s="34" t="str">
        <f>base!J313</f>
        <v>LM</v>
      </c>
      <c r="B313" s="34" t="str">
        <f>base!V313</f>
        <v>56920</v>
      </c>
      <c r="C313" s="37">
        <v>13</v>
      </c>
      <c r="D313" s="36">
        <f>base!H313</f>
        <v>58.35</v>
      </c>
      <c r="E313" s="44"/>
      <c r="F313" s="16">
        <f>base!W313</f>
        <v>15.75</v>
      </c>
      <c r="G313" s="11">
        <f t="shared" si="40"/>
        <v>0.26992287917737789</v>
      </c>
      <c r="H313" s="11">
        <f t="shared" si="41"/>
        <v>16.921499999999998</v>
      </c>
      <c r="I313" s="11">
        <f t="shared" si="42"/>
        <v>0.28999999999999998</v>
      </c>
      <c r="J313" s="12">
        <f t="shared" si="43"/>
        <v>-1.1714999999999982</v>
      </c>
      <c r="K313" s="17" t="str">
        <f t="shared" si="48"/>
        <v>Ecart négatif</v>
      </c>
      <c r="L313" s="16">
        <f>base!X313</f>
        <v>0</v>
      </c>
      <c r="M313" s="11">
        <f t="shared" si="44"/>
        <v>0</v>
      </c>
      <c r="N313" s="11">
        <f t="shared" si="45"/>
        <v>11.086500000000001</v>
      </c>
      <c r="O313" s="11">
        <f t="shared" si="46"/>
        <v>0.19</v>
      </c>
      <c r="P313" s="12">
        <f t="shared" si="47"/>
        <v>-11.086500000000001</v>
      </c>
      <c r="Q313" s="17" t="str">
        <f t="shared" si="49"/>
        <v>Ecart négatif</v>
      </c>
    </row>
    <row r="314" spans="1:17" x14ac:dyDescent="0.3">
      <c r="A314" s="34" t="str">
        <f>base!J314</f>
        <v>RS</v>
      </c>
      <c r="B314" s="34" t="str">
        <f>base!V314</f>
        <v>75014</v>
      </c>
      <c r="C314" s="37">
        <v>75</v>
      </c>
      <c r="D314" s="36">
        <f>base!H314</f>
        <v>195.25</v>
      </c>
      <c r="E314" s="44"/>
      <c r="F314" s="16">
        <f>base!W314</f>
        <v>0</v>
      </c>
      <c r="G314" s="11">
        <f t="shared" si="40"/>
        <v>0</v>
      </c>
      <c r="H314" s="11">
        <f t="shared" si="41"/>
        <v>0</v>
      </c>
      <c r="I314" s="11">
        <f t="shared" si="42"/>
        <v>0</v>
      </c>
      <c r="J314" s="12">
        <f t="shared" si="43"/>
        <v>0</v>
      </c>
      <c r="K314" s="17" t="str">
        <f t="shared" si="48"/>
        <v>Pas d'écart</v>
      </c>
      <c r="L314" s="16">
        <f>base!X314</f>
        <v>0</v>
      </c>
      <c r="M314" s="11">
        <f t="shared" si="44"/>
        <v>0</v>
      </c>
      <c r="N314" s="11">
        <f t="shared" si="45"/>
        <v>0</v>
      </c>
      <c r="O314" s="11">
        <f t="shared" si="46"/>
        <v>0</v>
      </c>
      <c r="P314" s="12">
        <f t="shared" si="47"/>
        <v>0</v>
      </c>
      <c r="Q314" s="17" t="str">
        <f t="shared" si="49"/>
        <v>Pas d'écart</v>
      </c>
    </row>
    <row r="315" spans="1:17" x14ac:dyDescent="0.3">
      <c r="A315" s="34" t="str">
        <f>base!J315</f>
        <v>LS</v>
      </c>
      <c r="B315" s="34" t="str">
        <f>base!V315</f>
        <v>91400</v>
      </c>
      <c r="C315" s="37">
        <v>67</v>
      </c>
      <c r="D315" s="36">
        <f>base!H315</f>
        <v>120.29</v>
      </c>
      <c r="E315" s="44"/>
      <c r="F315" s="16">
        <f>base!W315</f>
        <v>40.9</v>
      </c>
      <c r="G315" s="11">
        <f t="shared" si="40"/>
        <v>0.34001163854019451</v>
      </c>
      <c r="H315" s="11">
        <f t="shared" si="41"/>
        <v>34.884099999999997</v>
      </c>
      <c r="I315" s="11">
        <f t="shared" si="42"/>
        <v>0.28999999999999998</v>
      </c>
      <c r="J315" s="12">
        <f t="shared" si="43"/>
        <v>6.015900000000002</v>
      </c>
      <c r="K315" s="17" t="str">
        <f t="shared" si="48"/>
        <v>Ecart positif</v>
      </c>
      <c r="L315" s="16">
        <f>base!X315</f>
        <v>0</v>
      </c>
      <c r="M315" s="11">
        <f t="shared" si="44"/>
        <v>0</v>
      </c>
      <c r="N315" s="11">
        <f t="shared" si="45"/>
        <v>9.6232000000000006</v>
      </c>
      <c r="O315" s="11">
        <f t="shared" si="46"/>
        <v>0.08</v>
      </c>
      <c r="P315" s="12">
        <f t="shared" si="47"/>
        <v>-9.6232000000000006</v>
      </c>
      <c r="Q315" s="17" t="str">
        <f t="shared" si="49"/>
        <v>Ecart négatif</v>
      </c>
    </row>
    <row r="316" spans="1:17" x14ac:dyDescent="0.3">
      <c r="A316" s="34" t="str">
        <f>base!J316</f>
        <v>LM</v>
      </c>
      <c r="B316" s="34" t="str">
        <f>base!V316</f>
        <v>94547</v>
      </c>
      <c r="C316" s="37">
        <v>94</v>
      </c>
      <c r="D316" s="36">
        <f>base!H316</f>
        <v>53.52</v>
      </c>
      <c r="E316" s="44"/>
      <c r="F316" s="16">
        <f>base!W316</f>
        <v>0</v>
      </c>
      <c r="G316" s="11">
        <f t="shared" si="40"/>
        <v>0</v>
      </c>
      <c r="H316" s="11">
        <f t="shared" si="41"/>
        <v>0</v>
      </c>
      <c r="I316" s="11">
        <f t="shared" si="42"/>
        <v>0</v>
      </c>
      <c r="J316" s="12">
        <f t="shared" si="43"/>
        <v>0</v>
      </c>
      <c r="K316" s="17" t="str">
        <f t="shared" si="48"/>
        <v>Pas d'écart</v>
      </c>
      <c r="L316" s="16">
        <f>base!X316</f>
        <v>0</v>
      </c>
      <c r="M316" s="11">
        <f t="shared" si="44"/>
        <v>0</v>
      </c>
      <c r="N316" s="11">
        <f t="shared" si="45"/>
        <v>0</v>
      </c>
      <c r="O316" s="11">
        <f t="shared" si="46"/>
        <v>0</v>
      </c>
      <c r="P316" s="12">
        <f t="shared" si="47"/>
        <v>0</v>
      </c>
      <c r="Q316" s="17" t="str">
        <f t="shared" si="49"/>
        <v>Pas d'écart</v>
      </c>
    </row>
    <row r="317" spans="1:17" x14ac:dyDescent="0.3">
      <c r="A317" s="34">
        <f>base!J317</f>
        <v>0</v>
      </c>
      <c r="B317" s="34" t="str">
        <f>base!V317</f>
        <v>77184</v>
      </c>
      <c r="C317" s="37">
        <v>77</v>
      </c>
      <c r="D317" s="36">
        <f>base!H317</f>
        <v>31</v>
      </c>
      <c r="E317" s="44"/>
      <c r="F317" s="16">
        <f>base!W317</f>
        <v>0</v>
      </c>
      <c r="G317" s="11">
        <f t="shared" si="40"/>
        <v>0</v>
      </c>
      <c r="H317" s="11">
        <f t="shared" si="41"/>
        <v>0</v>
      </c>
      <c r="I317" s="11">
        <f t="shared" si="42"/>
        <v>0</v>
      </c>
      <c r="J317" s="12">
        <f t="shared" si="43"/>
        <v>0</v>
      </c>
      <c r="K317" s="17" t="str">
        <f t="shared" si="48"/>
        <v>Pas d'écart</v>
      </c>
      <c r="L317" s="16">
        <f>base!X317</f>
        <v>0</v>
      </c>
      <c r="M317" s="11">
        <f t="shared" si="44"/>
        <v>0</v>
      </c>
      <c r="N317" s="11">
        <f t="shared" si="45"/>
        <v>0</v>
      </c>
      <c r="O317" s="11">
        <f t="shared" si="46"/>
        <v>0</v>
      </c>
      <c r="P317" s="12">
        <f t="shared" si="47"/>
        <v>0</v>
      </c>
      <c r="Q317" s="17" t="str">
        <f t="shared" si="49"/>
        <v>Pas d'écart</v>
      </c>
    </row>
    <row r="318" spans="1:17" x14ac:dyDescent="0.3">
      <c r="A318" s="34" t="str">
        <f>base!J318</f>
        <v>RM</v>
      </c>
      <c r="B318" s="34" t="str">
        <f>base!V318</f>
        <v>69002</v>
      </c>
      <c r="C318" s="37">
        <v>69</v>
      </c>
      <c r="D318" s="36">
        <f>base!H318</f>
        <v>205</v>
      </c>
      <c r="E318" s="44"/>
      <c r="F318" s="16">
        <f>base!W318</f>
        <v>0</v>
      </c>
      <c r="G318" s="11">
        <f t="shared" si="40"/>
        <v>0</v>
      </c>
      <c r="H318" s="11">
        <f t="shared" si="41"/>
        <v>55.35</v>
      </c>
      <c r="I318" s="11">
        <f t="shared" si="42"/>
        <v>0.27</v>
      </c>
      <c r="J318" s="12">
        <f t="shared" si="43"/>
        <v>-55.35</v>
      </c>
      <c r="K318" s="17" t="str">
        <f t="shared" si="48"/>
        <v>Ecart négatif</v>
      </c>
      <c r="L318" s="16">
        <f>base!X318</f>
        <v>0</v>
      </c>
      <c r="M318" s="11">
        <f t="shared" si="44"/>
        <v>0</v>
      </c>
      <c r="N318" s="11">
        <f t="shared" si="45"/>
        <v>0</v>
      </c>
      <c r="O318" s="11">
        <f t="shared" si="46"/>
        <v>0</v>
      </c>
      <c r="P318" s="12">
        <f t="shared" si="47"/>
        <v>0</v>
      </c>
      <c r="Q318" s="17" t="str">
        <f t="shared" si="49"/>
        <v>Pas d'écart</v>
      </c>
    </row>
    <row r="319" spans="1:17" x14ac:dyDescent="0.3">
      <c r="A319" s="34" t="str">
        <f>base!J319</f>
        <v>DLM</v>
      </c>
      <c r="B319" s="34" t="str">
        <f>base!V319</f>
        <v>63100</v>
      </c>
      <c r="C319" s="37">
        <v>63</v>
      </c>
      <c r="D319" s="36">
        <f>base!H319</f>
        <v>108.52</v>
      </c>
      <c r="E319" s="44"/>
      <c r="F319" s="16">
        <f>base!W319</f>
        <v>0</v>
      </c>
      <c r="G319" s="11">
        <f t="shared" si="40"/>
        <v>0</v>
      </c>
      <c r="H319" s="11">
        <f t="shared" si="41"/>
        <v>31.470799999999997</v>
      </c>
      <c r="I319" s="11">
        <f t="shared" si="42"/>
        <v>0.28999999999999998</v>
      </c>
      <c r="J319" s="12">
        <f t="shared" si="43"/>
        <v>-31.470799999999997</v>
      </c>
      <c r="K319" s="17" t="str">
        <f t="shared" si="48"/>
        <v>Ecart négatif</v>
      </c>
      <c r="L319" s="16">
        <f>base!X319</f>
        <v>0</v>
      </c>
      <c r="M319" s="11">
        <f t="shared" si="44"/>
        <v>0</v>
      </c>
      <c r="N319" s="11">
        <f t="shared" si="45"/>
        <v>13.022399999999999</v>
      </c>
      <c r="O319" s="11">
        <f t="shared" si="46"/>
        <v>0.12</v>
      </c>
      <c r="P319" s="12">
        <f t="shared" si="47"/>
        <v>-13.022399999999999</v>
      </c>
      <c r="Q319" s="17" t="str">
        <f t="shared" si="49"/>
        <v>Ecart négatif</v>
      </c>
    </row>
    <row r="320" spans="1:17" x14ac:dyDescent="0.3">
      <c r="A320" s="34">
        <f>base!J320</f>
        <v>0</v>
      </c>
      <c r="B320" s="34" t="str">
        <f>base!V320</f>
        <v>77184</v>
      </c>
      <c r="C320" s="37">
        <v>77</v>
      </c>
      <c r="D320" s="36">
        <f>base!H320</f>
        <v>10</v>
      </c>
      <c r="E320" s="44"/>
      <c r="F320" s="16">
        <f>base!W320</f>
        <v>0</v>
      </c>
      <c r="G320" s="11">
        <f t="shared" si="40"/>
        <v>0</v>
      </c>
      <c r="H320" s="11">
        <f t="shared" si="41"/>
        <v>0</v>
      </c>
      <c r="I320" s="11">
        <f t="shared" si="42"/>
        <v>0</v>
      </c>
      <c r="J320" s="12">
        <f t="shared" si="43"/>
        <v>0</v>
      </c>
      <c r="K320" s="17" t="str">
        <f t="shared" si="48"/>
        <v>Pas d'écart</v>
      </c>
      <c r="L320" s="16">
        <f>base!X320</f>
        <v>0</v>
      </c>
      <c r="M320" s="11">
        <f t="shared" si="44"/>
        <v>0</v>
      </c>
      <c r="N320" s="11">
        <f t="shared" si="45"/>
        <v>0</v>
      </c>
      <c r="O320" s="11">
        <f t="shared" si="46"/>
        <v>0</v>
      </c>
      <c r="P320" s="12">
        <f t="shared" si="47"/>
        <v>0</v>
      </c>
      <c r="Q320" s="17" t="str">
        <f t="shared" si="49"/>
        <v>Pas d'écart</v>
      </c>
    </row>
    <row r="321" spans="1:18" x14ac:dyDescent="0.3">
      <c r="A321" s="34" t="str">
        <f>base!J321</f>
        <v>DRS</v>
      </c>
      <c r="B321" s="34" t="str">
        <f>base!V321</f>
        <v>34530</v>
      </c>
      <c r="C321" s="37">
        <v>34</v>
      </c>
      <c r="D321" s="36">
        <f>base!H321</f>
        <v>190.63</v>
      </c>
      <c r="E321" s="44"/>
      <c r="F321" s="16">
        <f>base!W321</f>
        <v>0</v>
      </c>
      <c r="G321" s="11">
        <f t="shared" si="40"/>
        <v>0</v>
      </c>
      <c r="H321" s="11">
        <f t="shared" si="41"/>
        <v>74.345699999999994</v>
      </c>
      <c r="I321" s="11">
        <f t="shared" si="42"/>
        <v>0.38999999999999996</v>
      </c>
      <c r="J321" s="12">
        <f t="shared" si="43"/>
        <v>-74.345699999999994</v>
      </c>
      <c r="K321" s="17" t="str">
        <f t="shared" si="48"/>
        <v>Ecart négatif</v>
      </c>
      <c r="L321" s="16">
        <f>base!X321</f>
        <v>0</v>
      </c>
      <c r="M321" s="11">
        <f t="shared" si="44"/>
        <v>0</v>
      </c>
      <c r="N321" s="11">
        <f t="shared" si="45"/>
        <v>53.376400000000004</v>
      </c>
      <c r="O321" s="11">
        <f t="shared" si="46"/>
        <v>0.28000000000000003</v>
      </c>
      <c r="P321" s="12">
        <f t="shared" si="47"/>
        <v>-53.376400000000004</v>
      </c>
      <c r="Q321" s="17" t="str">
        <f t="shared" si="49"/>
        <v>Ecart négatif</v>
      </c>
    </row>
    <row r="322" spans="1:18" x14ac:dyDescent="0.3">
      <c r="A322" s="34" t="str">
        <f>base!J322</f>
        <v>RM</v>
      </c>
      <c r="B322" s="34" t="str">
        <f>base!V322</f>
        <v>13115</v>
      </c>
      <c r="C322" s="37">
        <v>13</v>
      </c>
      <c r="D322" s="36">
        <f>base!H322</f>
        <v>137.05000000000001</v>
      </c>
      <c r="E322" s="44"/>
      <c r="F322" s="16">
        <f>base!W322</f>
        <v>0</v>
      </c>
      <c r="G322" s="11">
        <f t="shared" ref="G322:G385" si="50">F322/D322</f>
        <v>0</v>
      </c>
      <c r="H322" s="11">
        <f t="shared" ref="H322:H385" si="51">VLOOKUP(C322,tout_cout_traction,2,FALSE)*D322</f>
        <v>39.744500000000002</v>
      </c>
      <c r="I322" s="11">
        <f t="shared" ref="I322:I385" si="52">H322/D322</f>
        <v>0.28999999999999998</v>
      </c>
      <c r="J322" s="12">
        <f t="shared" ref="J322:J385" si="53">F322-H322</f>
        <v>-39.744500000000002</v>
      </c>
      <c r="K322" s="17" t="str">
        <f t="shared" si="48"/>
        <v>Ecart négatif</v>
      </c>
      <c r="L322" s="16">
        <f>base!X322</f>
        <v>26.04</v>
      </c>
      <c r="M322" s="11">
        <f t="shared" ref="M322:M385" si="54">L322/D322</f>
        <v>0.19000364830353883</v>
      </c>
      <c r="N322" s="11">
        <f t="shared" ref="N322:N385" si="55">VLOOKUP(C322,tout_cout_traction,3,FALSE)*D322</f>
        <v>26.039500000000004</v>
      </c>
      <c r="O322" s="11">
        <f t="shared" ref="O322:O385" si="56">N322/D322</f>
        <v>0.19</v>
      </c>
      <c r="P322" s="12">
        <f t="shared" ref="P322:P385" si="57">L322-N322</f>
        <v>4.99999999995282E-4</v>
      </c>
      <c r="Q322" s="17" t="str">
        <f t="shared" si="49"/>
        <v>Ecart positif</v>
      </c>
      <c r="R322" s="38"/>
    </row>
    <row r="323" spans="1:18" x14ac:dyDescent="0.3">
      <c r="A323" s="34" t="str">
        <f>base!J323</f>
        <v>RS</v>
      </c>
      <c r="B323" s="34" t="str">
        <f>base!V323</f>
        <v>13115</v>
      </c>
      <c r="C323" s="37">
        <v>13</v>
      </c>
      <c r="D323" s="36">
        <f>base!H323</f>
        <v>137.05000000000001</v>
      </c>
      <c r="E323" s="44"/>
      <c r="F323" s="16">
        <f>base!W323</f>
        <v>0</v>
      </c>
      <c r="G323" s="11">
        <f t="shared" si="50"/>
        <v>0</v>
      </c>
      <c r="H323" s="11">
        <f t="shared" si="51"/>
        <v>39.744500000000002</v>
      </c>
      <c r="I323" s="11">
        <f t="shared" si="52"/>
        <v>0.28999999999999998</v>
      </c>
      <c r="J323" s="12">
        <f t="shared" si="53"/>
        <v>-39.744500000000002</v>
      </c>
      <c r="K323" s="17" t="str">
        <f t="shared" ref="K323:K386" si="58">IF(H323=F323,"Pas d'écart",IF(H323&lt;F323,"Ecart positif",IF(H323&gt;F323,"Ecart négatif")))</f>
        <v>Ecart négatif</v>
      </c>
      <c r="L323" s="16">
        <f>base!X323</f>
        <v>26.04</v>
      </c>
      <c r="M323" s="11">
        <f t="shared" si="54"/>
        <v>0.19000364830353883</v>
      </c>
      <c r="N323" s="11">
        <f t="shared" si="55"/>
        <v>26.039500000000004</v>
      </c>
      <c r="O323" s="11">
        <f t="shared" si="56"/>
        <v>0.19</v>
      </c>
      <c r="P323" s="12">
        <f t="shared" si="57"/>
        <v>4.99999999995282E-4</v>
      </c>
      <c r="Q323" s="17" t="str">
        <f t="shared" ref="Q323:Q386" si="59">IF(N323=L323,"Pas d'écart",IF(N323&lt;L323,"Ecart positif",IF(N323&gt;L323,"Ecart négatif")))</f>
        <v>Ecart positif</v>
      </c>
      <c r="R323" s="38"/>
    </row>
    <row r="324" spans="1:18" x14ac:dyDescent="0.3">
      <c r="A324" s="34" t="str">
        <f>base!J324</f>
        <v>LM</v>
      </c>
      <c r="B324" s="34" t="str">
        <f>base!V324</f>
        <v>13008</v>
      </c>
      <c r="C324" s="37">
        <v>14</v>
      </c>
      <c r="D324" s="36">
        <f>base!H324</f>
        <v>36.590000000000003</v>
      </c>
      <c r="E324" s="44"/>
      <c r="F324" s="16">
        <f>base!W324</f>
        <v>10.61</v>
      </c>
      <c r="G324" s="11">
        <f t="shared" si="50"/>
        <v>0.28996993714129538</v>
      </c>
      <c r="H324" s="11">
        <f t="shared" si="51"/>
        <v>6.2203000000000008</v>
      </c>
      <c r="I324" s="11">
        <f t="shared" si="52"/>
        <v>0.17</v>
      </c>
      <c r="J324" s="12">
        <f t="shared" si="53"/>
        <v>4.3896999999999986</v>
      </c>
      <c r="K324" s="17" t="str">
        <f t="shared" si="58"/>
        <v>Ecart positif</v>
      </c>
      <c r="L324" s="16">
        <f>base!X324</f>
        <v>0</v>
      </c>
      <c r="M324" s="11">
        <f t="shared" si="54"/>
        <v>0</v>
      </c>
      <c r="N324" s="11">
        <f t="shared" si="55"/>
        <v>6.2203000000000008</v>
      </c>
      <c r="O324" s="11">
        <f t="shared" si="56"/>
        <v>0.17</v>
      </c>
      <c r="P324" s="12">
        <f t="shared" si="57"/>
        <v>-6.2203000000000008</v>
      </c>
      <c r="Q324" s="17" t="str">
        <f t="shared" si="59"/>
        <v>Ecart négatif</v>
      </c>
    </row>
    <row r="325" spans="1:18" x14ac:dyDescent="0.3">
      <c r="A325" s="34" t="str">
        <f>base!J325</f>
        <v>LS</v>
      </c>
      <c r="B325" s="34" t="str">
        <f>base!V325</f>
        <v>06000</v>
      </c>
      <c r="C325" s="37">
        <v>6</v>
      </c>
      <c r="D325" s="36">
        <f>base!H325</f>
        <v>40</v>
      </c>
      <c r="E325" s="44"/>
      <c r="F325" s="16">
        <f>base!W325</f>
        <v>12</v>
      </c>
      <c r="G325" s="11">
        <f t="shared" si="50"/>
        <v>0.3</v>
      </c>
      <c r="H325" s="11">
        <f t="shared" si="51"/>
        <v>12</v>
      </c>
      <c r="I325" s="11">
        <f t="shared" si="52"/>
        <v>0.3</v>
      </c>
      <c r="J325" s="12">
        <f t="shared" si="53"/>
        <v>0</v>
      </c>
      <c r="K325" s="17" t="str">
        <f t="shared" si="58"/>
        <v>Pas d'écart</v>
      </c>
      <c r="L325" s="16">
        <f>base!X325</f>
        <v>0</v>
      </c>
      <c r="M325" s="11">
        <f t="shared" si="54"/>
        <v>0</v>
      </c>
      <c r="N325" s="11">
        <f t="shared" si="55"/>
        <v>8.4</v>
      </c>
      <c r="O325" s="11">
        <f t="shared" si="56"/>
        <v>0.21000000000000002</v>
      </c>
      <c r="P325" s="12">
        <f t="shared" si="57"/>
        <v>-8.4</v>
      </c>
      <c r="Q325" s="17" t="str">
        <f t="shared" si="59"/>
        <v>Ecart négatif</v>
      </c>
    </row>
    <row r="326" spans="1:18" x14ac:dyDescent="0.3">
      <c r="A326" s="34" t="str">
        <f>base!J326</f>
        <v>RS</v>
      </c>
      <c r="B326" s="34" t="str">
        <f>base!V326</f>
        <v>14380</v>
      </c>
      <c r="C326" s="37">
        <v>14</v>
      </c>
      <c r="D326" s="36">
        <f>base!H326</f>
        <v>180</v>
      </c>
      <c r="E326" s="44"/>
      <c r="F326" s="16">
        <f>base!W326</f>
        <v>0</v>
      </c>
      <c r="G326" s="11">
        <f t="shared" si="50"/>
        <v>0</v>
      </c>
      <c r="H326" s="11">
        <f t="shared" si="51"/>
        <v>30.6</v>
      </c>
      <c r="I326" s="11">
        <f t="shared" si="52"/>
        <v>0.17</v>
      </c>
      <c r="J326" s="12">
        <f t="shared" si="53"/>
        <v>-30.6</v>
      </c>
      <c r="K326" s="17" t="str">
        <f t="shared" si="58"/>
        <v>Ecart négatif</v>
      </c>
      <c r="L326" s="16">
        <f>base!X326</f>
        <v>30.6</v>
      </c>
      <c r="M326" s="11">
        <f t="shared" si="54"/>
        <v>0.17</v>
      </c>
      <c r="N326" s="11">
        <f t="shared" si="55"/>
        <v>30.6</v>
      </c>
      <c r="O326" s="11">
        <f t="shared" si="56"/>
        <v>0.17</v>
      </c>
      <c r="P326" s="12">
        <f t="shared" si="57"/>
        <v>0</v>
      </c>
      <c r="Q326" s="17" t="str">
        <f t="shared" si="59"/>
        <v>Pas d'écart</v>
      </c>
    </row>
    <row r="327" spans="1:18" x14ac:dyDescent="0.3">
      <c r="A327" s="34" t="str">
        <f>base!J327</f>
        <v>RS</v>
      </c>
      <c r="B327" s="34" t="str">
        <f>base!V327</f>
        <v>76600</v>
      </c>
      <c r="C327" s="37">
        <v>76</v>
      </c>
      <c r="D327" s="36">
        <f>base!H327</f>
        <v>70</v>
      </c>
      <c r="E327" s="44"/>
      <c r="F327" s="16">
        <f>base!W327</f>
        <v>0</v>
      </c>
      <c r="G327" s="11">
        <f t="shared" si="50"/>
        <v>0</v>
      </c>
      <c r="H327" s="11">
        <f t="shared" si="51"/>
        <v>11.9</v>
      </c>
      <c r="I327" s="11">
        <f t="shared" si="52"/>
        <v>0.17</v>
      </c>
      <c r="J327" s="12">
        <f t="shared" si="53"/>
        <v>-11.9</v>
      </c>
      <c r="K327" s="17" t="str">
        <f t="shared" si="58"/>
        <v>Ecart négatif</v>
      </c>
      <c r="L327" s="16">
        <f>base!X327</f>
        <v>0</v>
      </c>
      <c r="M327" s="11">
        <f t="shared" si="54"/>
        <v>0</v>
      </c>
      <c r="N327" s="11">
        <f t="shared" si="55"/>
        <v>11.9</v>
      </c>
      <c r="O327" s="11">
        <f t="shared" si="56"/>
        <v>0.17</v>
      </c>
      <c r="P327" s="12">
        <f t="shared" si="57"/>
        <v>-11.9</v>
      </c>
      <c r="Q327" s="17" t="str">
        <f t="shared" si="59"/>
        <v>Ecart négatif</v>
      </c>
    </row>
    <row r="328" spans="1:18" x14ac:dyDescent="0.3">
      <c r="A328" s="34" t="str">
        <f>base!J328</f>
        <v>LS</v>
      </c>
      <c r="B328" s="34" t="str">
        <f>base!V328</f>
        <v>59280</v>
      </c>
      <c r="C328" s="37">
        <v>69</v>
      </c>
      <c r="D328" s="36">
        <f>base!H328</f>
        <v>446.76</v>
      </c>
      <c r="E328" s="44"/>
      <c r="F328" s="16">
        <f>base!W328</f>
        <v>84.88</v>
      </c>
      <c r="G328" s="11">
        <f t="shared" si="50"/>
        <v>0.18999015131166622</v>
      </c>
      <c r="H328" s="11">
        <f t="shared" si="51"/>
        <v>120.62520000000001</v>
      </c>
      <c r="I328" s="11">
        <f t="shared" si="52"/>
        <v>0.27</v>
      </c>
      <c r="J328" s="12">
        <f t="shared" si="53"/>
        <v>-35.745200000000011</v>
      </c>
      <c r="K328" s="17" t="str">
        <f t="shared" si="58"/>
        <v>Ecart négatif</v>
      </c>
      <c r="L328" s="16">
        <f>base!X328</f>
        <v>0</v>
      </c>
      <c r="M328" s="11">
        <f t="shared" si="54"/>
        <v>0</v>
      </c>
      <c r="N328" s="11">
        <f t="shared" si="55"/>
        <v>0</v>
      </c>
      <c r="O328" s="11">
        <f t="shared" si="56"/>
        <v>0</v>
      </c>
      <c r="P328" s="12">
        <f t="shared" si="57"/>
        <v>0</v>
      </c>
      <c r="Q328" s="17" t="str">
        <f t="shared" si="59"/>
        <v>Pas d'écart</v>
      </c>
    </row>
    <row r="329" spans="1:18" x14ac:dyDescent="0.3">
      <c r="A329" s="34" t="str">
        <f>base!J329</f>
        <v>LM</v>
      </c>
      <c r="B329" s="34" t="str">
        <f>base!V329</f>
        <v>87000</v>
      </c>
      <c r="C329" s="37">
        <v>13</v>
      </c>
      <c r="D329" s="36">
        <f>base!H329</f>
        <v>55.16</v>
      </c>
      <c r="E329" s="44"/>
      <c r="F329" s="16">
        <f>base!W329</f>
        <v>16</v>
      </c>
      <c r="G329" s="11">
        <f t="shared" si="50"/>
        <v>0.29006526468455407</v>
      </c>
      <c r="H329" s="11">
        <f t="shared" si="51"/>
        <v>15.996399999999998</v>
      </c>
      <c r="I329" s="11">
        <f t="shared" si="52"/>
        <v>0.28999999999999998</v>
      </c>
      <c r="J329" s="12">
        <f t="shared" si="53"/>
        <v>3.6000000000022681E-3</v>
      </c>
      <c r="K329" s="17" t="str">
        <f t="shared" si="58"/>
        <v>Ecart positif</v>
      </c>
      <c r="L329" s="16">
        <f>base!X329</f>
        <v>0</v>
      </c>
      <c r="M329" s="11">
        <f t="shared" si="54"/>
        <v>0</v>
      </c>
      <c r="N329" s="11">
        <f t="shared" si="55"/>
        <v>10.480399999999999</v>
      </c>
      <c r="O329" s="11">
        <f t="shared" si="56"/>
        <v>0.19</v>
      </c>
      <c r="P329" s="12">
        <f t="shared" si="57"/>
        <v>-10.480399999999999</v>
      </c>
      <c r="Q329" s="17" t="str">
        <f t="shared" si="59"/>
        <v>Ecart négatif</v>
      </c>
    </row>
    <row r="330" spans="1:18" x14ac:dyDescent="0.3">
      <c r="A330" s="34" t="str">
        <f>base!J330</f>
        <v>LM</v>
      </c>
      <c r="B330" s="34" t="str">
        <f>base!V330</f>
        <v>71380</v>
      </c>
      <c r="C330" s="37">
        <v>67</v>
      </c>
      <c r="D330" s="36">
        <f>base!H330</f>
        <v>20.23</v>
      </c>
      <c r="E330" s="44"/>
      <c r="F330" s="16">
        <f>base!W330</f>
        <v>5.46</v>
      </c>
      <c r="G330" s="11">
        <f t="shared" si="50"/>
        <v>0.26989619377162627</v>
      </c>
      <c r="H330" s="11">
        <f t="shared" si="51"/>
        <v>5.8666999999999998</v>
      </c>
      <c r="I330" s="11">
        <f t="shared" si="52"/>
        <v>0.28999999999999998</v>
      </c>
      <c r="J330" s="12">
        <f t="shared" si="53"/>
        <v>-0.40669999999999984</v>
      </c>
      <c r="K330" s="17" t="str">
        <f t="shared" si="58"/>
        <v>Ecart négatif</v>
      </c>
      <c r="L330" s="16">
        <f>base!X330</f>
        <v>0</v>
      </c>
      <c r="M330" s="11">
        <f t="shared" si="54"/>
        <v>0</v>
      </c>
      <c r="N330" s="11">
        <f t="shared" si="55"/>
        <v>1.6184000000000001</v>
      </c>
      <c r="O330" s="11">
        <f t="shared" si="56"/>
        <v>0.08</v>
      </c>
      <c r="P330" s="12">
        <f t="shared" si="57"/>
        <v>-1.6184000000000001</v>
      </c>
      <c r="Q330" s="17" t="str">
        <f t="shared" si="59"/>
        <v>Ecart négatif</v>
      </c>
    </row>
    <row r="331" spans="1:18" x14ac:dyDescent="0.3">
      <c r="A331" s="34" t="str">
        <f>base!J331</f>
        <v>LM</v>
      </c>
      <c r="B331" s="34" t="str">
        <f>base!V331</f>
        <v>75018</v>
      </c>
      <c r="C331" s="37">
        <v>75</v>
      </c>
      <c r="D331" s="36">
        <f>base!H331</f>
        <v>20.23</v>
      </c>
      <c r="E331" s="44"/>
      <c r="F331" s="16">
        <f>base!W331</f>
        <v>0</v>
      </c>
      <c r="G331" s="11">
        <f t="shared" si="50"/>
        <v>0</v>
      </c>
      <c r="H331" s="11">
        <f t="shared" si="51"/>
        <v>0</v>
      </c>
      <c r="I331" s="11">
        <f t="shared" si="52"/>
        <v>0</v>
      </c>
      <c r="J331" s="12">
        <f t="shared" si="53"/>
        <v>0</v>
      </c>
      <c r="K331" s="17" t="str">
        <f t="shared" si="58"/>
        <v>Pas d'écart</v>
      </c>
      <c r="L331" s="16">
        <f>base!X331</f>
        <v>0</v>
      </c>
      <c r="M331" s="11">
        <f t="shared" si="54"/>
        <v>0</v>
      </c>
      <c r="N331" s="11">
        <f t="shared" si="55"/>
        <v>0</v>
      </c>
      <c r="O331" s="11">
        <f t="shared" si="56"/>
        <v>0</v>
      </c>
      <c r="P331" s="12">
        <f t="shared" si="57"/>
        <v>0</v>
      </c>
      <c r="Q331" s="17" t="str">
        <f t="shared" si="59"/>
        <v>Pas d'écart</v>
      </c>
    </row>
    <row r="332" spans="1:18" x14ac:dyDescent="0.3">
      <c r="A332" s="34" t="str">
        <f>base!J332</f>
        <v>LM</v>
      </c>
      <c r="B332" s="34" t="str">
        <f>base!V332</f>
        <v>56920</v>
      </c>
      <c r="C332" s="37">
        <v>59</v>
      </c>
      <c r="D332" s="36">
        <f>base!H332</f>
        <v>49.08</v>
      </c>
      <c r="E332" s="44"/>
      <c r="F332" s="16">
        <f>base!W332</f>
        <v>13.25</v>
      </c>
      <c r="G332" s="11">
        <f t="shared" si="50"/>
        <v>0.26996740016299919</v>
      </c>
      <c r="H332" s="11">
        <f t="shared" si="51"/>
        <v>9.3252000000000006</v>
      </c>
      <c r="I332" s="11">
        <f t="shared" si="52"/>
        <v>0.19000000000000003</v>
      </c>
      <c r="J332" s="12">
        <f t="shared" si="53"/>
        <v>3.9247999999999994</v>
      </c>
      <c r="K332" s="17" t="str">
        <f t="shared" si="58"/>
        <v>Ecart positif</v>
      </c>
      <c r="L332" s="16">
        <f>base!X332</f>
        <v>0</v>
      </c>
      <c r="M332" s="11">
        <f t="shared" si="54"/>
        <v>0</v>
      </c>
      <c r="N332" s="11">
        <f t="shared" si="55"/>
        <v>0</v>
      </c>
      <c r="O332" s="11">
        <f t="shared" si="56"/>
        <v>0</v>
      </c>
      <c r="P332" s="12">
        <f t="shared" si="57"/>
        <v>0</v>
      </c>
      <c r="Q332" s="17" t="str">
        <f t="shared" si="59"/>
        <v>Pas d'écart</v>
      </c>
    </row>
    <row r="333" spans="1:18" x14ac:dyDescent="0.3">
      <c r="A333" s="34" t="str">
        <f>base!J333</f>
        <v>RS</v>
      </c>
      <c r="B333" s="34" t="str">
        <f>base!V333</f>
        <v>84380</v>
      </c>
      <c r="C333" s="37">
        <v>84</v>
      </c>
      <c r="D333" s="36">
        <f>base!H333</f>
        <v>104.2</v>
      </c>
      <c r="E333" s="44"/>
      <c r="F333" s="16">
        <f>base!W333</f>
        <v>0</v>
      </c>
      <c r="G333" s="11">
        <f t="shared" si="50"/>
        <v>0</v>
      </c>
      <c r="H333" s="11">
        <f t="shared" si="51"/>
        <v>30.218</v>
      </c>
      <c r="I333" s="11">
        <f t="shared" si="52"/>
        <v>0.28999999999999998</v>
      </c>
      <c r="J333" s="12">
        <f t="shared" si="53"/>
        <v>-30.218</v>
      </c>
      <c r="K333" s="17" t="str">
        <f t="shared" si="58"/>
        <v>Ecart négatif</v>
      </c>
      <c r="L333" s="16">
        <f>base!X333</f>
        <v>19.8</v>
      </c>
      <c r="M333" s="11">
        <f t="shared" si="54"/>
        <v>0.19001919385796545</v>
      </c>
      <c r="N333" s="11">
        <f t="shared" si="55"/>
        <v>19.798000000000002</v>
      </c>
      <c r="O333" s="11">
        <f t="shared" si="56"/>
        <v>0.19</v>
      </c>
      <c r="P333" s="12">
        <f t="shared" si="57"/>
        <v>1.9999999999988916E-3</v>
      </c>
      <c r="Q333" s="17" t="str">
        <f t="shared" si="59"/>
        <v>Ecart positif</v>
      </c>
      <c r="R333" s="38"/>
    </row>
    <row r="334" spans="1:18" x14ac:dyDescent="0.3">
      <c r="A334" s="34" t="str">
        <f>base!J334</f>
        <v>RM</v>
      </c>
      <c r="B334" s="34" t="str">
        <f>base!V334</f>
        <v>14100</v>
      </c>
      <c r="C334" s="37">
        <v>14</v>
      </c>
      <c r="D334" s="36">
        <f>base!H334</f>
        <v>140</v>
      </c>
      <c r="E334" s="44"/>
      <c r="F334" s="16">
        <f>base!W334</f>
        <v>0</v>
      </c>
      <c r="G334" s="11">
        <f t="shared" si="50"/>
        <v>0</v>
      </c>
      <c r="H334" s="11">
        <f t="shared" si="51"/>
        <v>23.8</v>
      </c>
      <c r="I334" s="11">
        <f t="shared" si="52"/>
        <v>0.17</v>
      </c>
      <c r="J334" s="12">
        <f t="shared" si="53"/>
        <v>-23.8</v>
      </c>
      <c r="K334" s="17" t="str">
        <f t="shared" si="58"/>
        <v>Ecart négatif</v>
      </c>
      <c r="L334" s="16">
        <f>base!X334</f>
        <v>23.8</v>
      </c>
      <c r="M334" s="11">
        <f t="shared" si="54"/>
        <v>0.17</v>
      </c>
      <c r="N334" s="11">
        <f t="shared" si="55"/>
        <v>23.8</v>
      </c>
      <c r="O334" s="11">
        <f t="shared" si="56"/>
        <v>0.17</v>
      </c>
      <c r="P334" s="12">
        <f t="shared" si="57"/>
        <v>0</v>
      </c>
      <c r="Q334" s="17" t="str">
        <f t="shared" si="59"/>
        <v>Pas d'écart</v>
      </c>
    </row>
    <row r="335" spans="1:18" x14ac:dyDescent="0.3">
      <c r="A335" s="34" t="str">
        <f>base!J335</f>
        <v>RM</v>
      </c>
      <c r="B335" s="34" t="str">
        <f>base!V335</f>
        <v>27290</v>
      </c>
      <c r="C335" s="37">
        <v>27</v>
      </c>
      <c r="D335" s="36">
        <f>base!H335</f>
        <v>28.12</v>
      </c>
      <c r="E335" s="44"/>
      <c r="F335" s="16">
        <f>base!W335</f>
        <v>0</v>
      </c>
      <c r="G335" s="11">
        <f t="shared" si="50"/>
        <v>0</v>
      </c>
      <c r="H335" s="11">
        <f t="shared" si="51"/>
        <v>4.7804000000000002</v>
      </c>
      <c r="I335" s="11">
        <f t="shared" si="52"/>
        <v>0.17</v>
      </c>
      <c r="J335" s="12">
        <f t="shared" si="53"/>
        <v>-4.7804000000000002</v>
      </c>
      <c r="K335" s="17" t="str">
        <f t="shared" si="58"/>
        <v>Ecart négatif</v>
      </c>
      <c r="L335" s="16">
        <f>base!X335</f>
        <v>4.78</v>
      </c>
      <c r="M335" s="11">
        <f t="shared" si="54"/>
        <v>0.16998577524893316</v>
      </c>
      <c r="N335" s="11">
        <f t="shared" si="55"/>
        <v>4.7804000000000002</v>
      </c>
      <c r="O335" s="11">
        <f t="shared" si="56"/>
        <v>0.17</v>
      </c>
      <c r="P335" s="12">
        <f t="shared" si="57"/>
        <v>-3.9999999999995595E-4</v>
      </c>
      <c r="Q335" s="17" t="str">
        <f t="shared" si="59"/>
        <v>Ecart négatif</v>
      </c>
      <c r="R335" s="38"/>
    </row>
    <row r="336" spans="1:18" x14ac:dyDescent="0.3">
      <c r="A336" s="34" t="str">
        <f>base!J336</f>
        <v>LS</v>
      </c>
      <c r="B336" s="34" t="str">
        <f>base!V336</f>
        <v>84000</v>
      </c>
      <c r="C336" s="37">
        <v>11</v>
      </c>
      <c r="D336" s="36">
        <f>base!H336</f>
        <v>366.96</v>
      </c>
      <c r="E336" s="44"/>
      <c r="F336" s="16">
        <f>base!W336</f>
        <v>106.42</v>
      </c>
      <c r="G336" s="11">
        <f t="shared" si="50"/>
        <v>0.29000436014824504</v>
      </c>
      <c r="H336" s="11">
        <f t="shared" si="51"/>
        <v>132.10559999999998</v>
      </c>
      <c r="I336" s="11">
        <f t="shared" si="52"/>
        <v>0.36</v>
      </c>
      <c r="J336" s="12">
        <f t="shared" si="53"/>
        <v>-25.68559999999998</v>
      </c>
      <c r="K336" s="17" t="str">
        <f t="shared" si="58"/>
        <v>Ecart négatif</v>
      </c>
      <c r="L336" s="16">
        <f>base!X336</f>
        <v>0</v>
      </c>
      <c r="M336" s="11">
        <f t="shared" si="54"/>
        <v>0</v>
      </c>
      <c r="N336" s="11">
        <f t="shared" si="55"/>
        <v>102.7488</v>
      </c>
      <c r="O336" s="11">
        <f t="shared" si="56"/>
        <v>0.28000000000000003</v>
      </c>
      <c r="P336" s="12">
        <f t="shared" si="57"/>
        <v>-102.7488</v>
      </c>
      <c r="Q336" s="17" t="str">
        <f t="shared" si="59"/>
        <v>Ecart négatif</v>
      </c>
    </row>
    <row r="337" spans="1:17" x14ac:dyDescent="0.3">
      <c r="A337" s="34">
        <f>base!J337</f>
        <v>0</v>
      </c>
      <c r="B337" s="34" t="str">
        <f>base!V337</f>
        <v>77184</v>
      </c>
      <c r="C337" s="37">
        <v>77</v>
      </c>
      <c r="D337" s="36">
        <f>base!H337</f>
        <v>84.5</v>
      </c>
      <c r="E337" s="44"/>
      <c r="F337" s="16">
        <f>base!W337</f>
        <v>0</v>
      </c>
      <c r="G337" s="11">
        <f t="shared" si="50"/>
        <v>0</v>
      </c>
      <c r="H337" s="11">
        <f t="shared" si="51"/>
        <v>0</v>
      </c>
      <c r="I337" s="11">
        <f t="shared" si="52"/>
        <v>0</v>
      </c>
      <c r="J337" s="12">
        <f t="shared" si="53"/>
        <v>0</v>
      </c>
      <c r="K337" s="17" t="str">
        <f t="shared" si="58"/>
        <v>Pas d'écart</v>
      </c>
      <c r="L337" s="16">
        <f>base!X337</f>
        <v>0</v>
      </c>
      <c r="M337" s="11">
        <f t="shared" si="54"/>
        <v>0</v>
      </c>
      <c r="N337" s="11">
        <f t="shared" si="55"/>
        <v>0</v>
      </c>
      <c r="O337" s="11">
        <f t="shared" si="56"/>
        <v>0</v>
      </c>
      <c r="P337" s="12">
        <f t="shared" si="57"/>
        <v>0</v>
      </c>
      <c r="Q337" s="17" t="str">
        <f t="shared" si="59"/>
        <v>Pas d'écart</v>
      </c>
    </row>
    <row r="338" spans="1:17" x14ac:dyDescent="0.3">
      <c r="A338" s="34">
        <f>base!J338</f>
        <v>0</v>
      </c>
      <c r="B338" s="34" t="str">
        <f>base!V338</f>
        <v>77184</v>
      </c>
      <c r="C338" s="37">
        <v>77</v>
      </c>
      <c r="D338" s="36">
        <f>base!H338</f>
        <v>144.6</v>
      </c>
      <c r="E338" s="44"/>
      <c r="F338" s="16">
        <f>base!W338</f>
        <v>0</v>
      </c>
      <c r="G338" s="11">
        <f t="shared" si="50"/>
        <v>0</v>
      </c>
      <c r="H338" s="11">
        <f t="shared" si="51"/>
        <v>0</v>
      </c>
      <c r="I338" s="11">
        <f t="shared" si="52"/>
        <v>0</v>
      </c>
      <c r="J338" s="12">
        <f t="shared" si="53"/>
        <v>0</v>
      </c>
      <c r="K338" s="17" t="str">
        <f t="shared" si="58"/>
        <v>Pas d'écart</v>
      </c>
      <c r="L338" s="16">
        <f>base!X338</f>
        <v>0</v>
      </c>
      <c r="M338" s="11">
        <f t="shared" si="54"/>
        <v>0</v>
      </c>
      <c r="N338" s="11">
        <f t="shared" si="55"/>
        <v>0</v>
      </c>
      <c r="O338" s="11">
        <f t="shared" si="56"/>
        <v>0</v>
      </c>
      <c r="P338" s="12">
        <f t="shared" si="57"/>
        <v>0</v>
      </c>
      <c r="Q338" s="17" t="str">
        <f t="shared" si="59"/>
        <v>Pas d'écart</v>
      </c>
    </row>
    <row r="339" spans="1:17" x14ac:dyDescent="0.3">
      <c r="A339" s="34">
        <f>base!J339</f>
        <v>0</v>
      </c>
      <c r="B339" s="34" t="str">
        <f>base!V339</f>
        <v>77184</v>
      </c>
      <c r="C339" s="37">
        <v>77</v>
      </c>
      <c r="D339" s="36">
        <f>base!H339</f>
        <v>65</v>
      </c>
      <c r="E339" s="44"/>
      <c r="F339" s="16">
        <f>base!W339</f>
        <v>0</v>
      </c>
      <c r="G339" s="11">
        <f t="shared" si="50"/>
        <v>0</v>
      </c>
      <c r="H339" s="11">
        <f t="shared" si="51"/>
        <v>0</v>
      </c>
      <c r="I339" s="11">
        <f t="shared" si="52"/>
        <v>0</v>
      </c>
      <c r="J339" s="12">
        <f t="shared" si="53"/>
        <v>0</v>
      </c>
      <c r="K339" s="17" t="str">
        <f t="shared" si="58"/>
        <v>Pas d'écart</v>
      </c>
      <c r="L339" s="16">
        <f>base!X339</f>
        <v>0</v>
      </c>
      <c r="M339" s="11">
        <f t="shared" si="54"/>
        <v>0</v>
      </c>
      <c r="N339" s="11">
        <f t="shared" si="55"/>
        <v>0</v>
      </c>
      <c r="O339" s="11">
        <f t="shared" si="56"/>
        <v>0</v>
      </c>
      <c r="P339" s="12">
        <f t="shared" si="57"/>
        <v>0</v>
      </c>
      <c r="Q339" s="17" t="str">
        <f t="shared" si="59"/>
        <v>Pas d'écart</v>
      </c>
    </row>
    <row r="340" spans="1:17" x14ac:dyDescent="0.3">
      <c r="A340" s="34">
        <f>base!J340</f>
        <v>0</v>
      </c>
      <c r="B340" s="34" t="str">
        <f>base!V340</f>
        <v>77184</v>
      </c>
      <c r="C340" s="37">
        <v>77</v>
      </c>
      <c r="D340" s="36">
        <f>base!H340</f>
        <v>106.8</v>
      </c>
      <c r="E340" s="44"/>
      <c r="F340" s="16">
        <f>base!W340</f>
        <v>0</v>
      </c>
      <c r="G340" s="11">
        <f t="shared" si="50"/>
        <v>0</v>
      </c>
      <c r="H340" s="11">
        <f t="shared" si="51"/>
        <v>0</v>
      </c>
      <c r="I340" s="11">
        <f t="shared" si="52"/>
        <v>0</v>
      </c>
      <c r="J340" s="12">
        <f t="shared" si="53"/>
        <v>0</v>
      </c>
      <c r="K340" s="17" t="str">
        <f t="shared" si="58"/>
        <v>Pas d'écart</v>
      </c>
      <c r="L340" s="16">
        <f>base!X340</f>
        <v>0</v>
      </c>
      <c r="M340" s="11">
        <f t="shared" si="54"/>
        <v>0</v>
      </c>
      <c r="N340" s="11">
        <f t="shared" si="55"/>
        <v>0</v>
      </c>
      <c r="O340" s="11">
        <f t="shared" si="56"/>
        <v>0</v>
      </c>
      <c r="P340" s="12">
        <f t="shared" si="57"/>
        <v>0</v>
      </c>
      <c r="Q340" s="17" t="str">
        <f t="shared" si="59"/>
        <v>Pas d'écart</v>
      </c>
    </row>
    <row r="341" spans="1:17" x14ac:dyDescent="0.3">
      <c r="A341" s="34" t="str">
        <f>base!J341</f>
        <v>LM</v>
      </c>
      <c r="B341" s="34" t="str">
        <f>base!V341</f>
        <v>67300</v>
      </c>
      <c r="C341" s="37">
        <v>50</v>
      </c>
      <c r="D341" s="36">
        <f>base!H341</f>
        <v>69.7</v>
      </c>
      <c r="E341" s="44"/>
      <c r="F341" s="16">
        <f>base!W341</f>
        <v>20.21</v>
      </c>
      <c r="G341" s="11">
        <f t="shared" si="50"/>
        <v>0.28995695839311336</v>
      </c>
      <c r="H341" s="11">
        <f t="shared" si="51"/>
        <v>11.849000000000002</v>
      </c>
      <c r="I341" s="11">
        <f t="shared" si="52"/>
        <v>0.17</v>
      </c>
      <c r="J341" s="12">
        <f t="shared" si="53"/>
        <v>8.3609999999999989</v>
      </c>
      <c r="K341" s="17" t="str">
        <f t="shared" si="58"/>
        <v>Ecart positif</v>
      </c>
      <c r="L341" s="16">
        <f>base!X341</f>
        <v>0</v>
      </c>
      <c r="M341" s="11">
        <f t="shared" si="54"/>
        <v>0</v>
      </c>
      <c r="N341" s="11">
        <f t="shared" si="55"/>
        <v>11.849000000000002</v>
      </c>
      <c r="O341" s="11">
        <f t="shared" si="56"/>
        <v>0.17</v>
      </c>
      <c r="P341" s="12">
        <f t="shared" si="57"/>
        <v>-11.849000000000002</v>
      </c>
      <c r="Q341" s="17" t="str">
        <f t="shared" si="59"/>
        <v>Ecart négatif</v>
      </c>
    </row>
    <row r="342" spans="1:17" x14ac:dyDescent="0.3">
      <c r="A342" s="34">
        <f>base!J342</f>
        <v>0</v>
      </c>
      <c r="B342" s="34" t="str">
        <f>base!V342</f>
        <v>44240</v>
      </c>
      <c r="C342" s="37">
        <v>44</v>
      </c>
      <c r="D342" s="36">
        <f>base!H342</f>
        <v>31</v>
      </c>
      <c r="E342" s="44"/>
      <c r="F342" s="16">
        <f>base!W342</f>
        <v>0</v>
      </c>
      <c r="G342" s="11">
        <f t="shared" si="50"/>
        <v>0</v>
      </c>
      <c r="H342" s="11">
        <f t="shared" si="51"/>
        <v>8.370000000000001</v>
      </c>
      <c r="I342" s="11">
        <f t="shared" si="52"/>
        <v>0.27</v>
      </c>
      <c r="J342" s="12">
        <f t="shared" si="53"/>
        <v>-8.370000000000001</v>
      </c>
      <c r="K342" s="17" t="str">
        <f t="shared" si="58"/>
        <v>Ecart négatif</v>
      </c>
      <c r="L342" s="16">
        <f>base!X342</f>
        <v>0</v>
      </c>
      <c r="M342" s="11">
        <f t="shared" si="54"/>
        <v>0</v>
      </c>
      <c r="N342" s="11">
        <f t="shared" si="55"/>
        <v>0</v>
      </c>
      <c r="O342" s="11">
        <f t="shared" si="56"/>
        <v>0</v>
      </c>
      <c r="P342" s="12">
        <f t="shared" si="57"/>
        <v>0</v>
      </c>
      <c r="Q342" s="17" t="str">
        <f t="shared" si="59"/>
        <v>Pas d'écart</v>
      </c>
    </row>
    <row r="343" spans="1:17" x14ac:dyDescent="0.3">
      <c r="A343" s="34">
        <f>base!J343</f>
        <v>0</v>
      </c>
      <c r="B343" s="34" t="str">
        <f>base!V343</f>
        <v>44240</v>
      </c>
      <c r="C343" s="37">
        <v>44</v>
      </c>
      <c r="D343" s="36">
        <f>base!H343</f>
        <v>31</v>
      </c>
      <c r="E343" s="44"/>
      <c r="F343" s="16">
        <f>base!W343</f>
        <v>0</v>
      </c>
      <c r="G343" s="11">
        <f t="shared" si="50"/>
        <v>0</v>
      </c>
      <c r="H343" s="11">
        <f t="shared" si="51"/>
        <v>8.370000000000001</v>
      </c>
      <c r="I343" s="11">
        <f t="shared" si="52"/>
        <v>0.27</v>
      </c>
      <c r="J343" s="12">
        <f t="shared" si="53"/>
        <v>-8.370000000000001</v>
      </c>
      <c r="K343" s="17" t="str">
        <f t="shared" si="58"/>
        <v>Ecart négatif</v>
      </c>
      <c r="L343" s="16">
        <f>base!X343</f>
        <v>0</v>
      </c>
      <c r="M343" s="11">
        <f t="shared" si="54"/>
        <v>0</v>
      </c>
      <c r="N343" s="11">
        <f t="shared" si="55"/>
        <v>0</v>
      </c>
      <c r="O343" s="11">
        <f t="shared" si="56"/>
        <v>0</v>
      </c>
      <c r="P343" s="12">
        <f t="shared" si="57"/>
        <v>0</v>
      </c>
      <c r="Q343" s="17" t="str">
        <f t="shared" si="59"/>
        <v>Pas d'écart</v>
      </c>
    </row>
    <row r="344" spans="1:17" x14ac:dyDescent="0.3">
      <c r="A344" s="34">
        <f>base!J344</f>
        <v>0</v>
      </c>
      <c r="B344" s="34" t="str">
        <f>base!V344</f>
        <v>44240</v>
      </c>
      <c r="C344" s="37">
        <v>44</v>
      </c>
      <c r="D344" s="36">
        <f>base!H344</f>
        <v>31.6</v>
      </c>
      <c r="E344" s="44"/>
      <c r="F344" s="16">
        <f>base!W344</f>
        <v>0</v>
      </c>
      <c r="G344" s="11">
        <f t="shared" si="50"/>
        <v>0</v>
      </c>
      <c r="H344" s="11">
        <f t="shared" si="51"/>
        <v>8.5320000000000018</v>
      </c>
      <c r="I344" s="11">
        <f t="shared" si="52"/>
        <v>0.27</v>
      </c>
      <c r="J344" s="12">
        <f t="shared" si="53"/>
        <v>-8.5320000000000018</v>
      </c>
      <c r="K344" s="17" t="str">
        <f t="shared" si="58"/>
        <v>Ecart négatif</v>
      </c>
      <c r="L344" s="16">
        <f>base!X344</f>
        <v>0</v>
      </c>
      <c r="M344" s="11">
        <f t="shared" si="54"/>
        <v>0</v>
      </c>
      <c r="N344" s="11">
        <f t="shared" si="55"/>
        <v>0</v>
      </c>
      <c r="O344" s="11">
        <f t="shared" si="56"/>
        <v>0</v>
      </c>
      <c r="P344" s="12">
        <f t="shared" si="57"/>
        <v>0</v>
      </c>
      <c r="Q344" s="17" t="str">
        <f t="shared" si="59"/>
        <v>Pas d'écart</v>
      </c>
    </row>
    <row r="345" spans="1:17" x14ac:dyDescent="0.3">
      <c r="A345" s="34">
        <f>base!J345</f>
        <v>0</v>
      </c>
      <c r="B345" s="34" t="str">
        <f>base!V345</f>
        <v>44240</v>
      </c>
      <c r="C345" s="37">
        <v>44</v>
      </c>
      <c r="D345" s="36">
        <f>base!H345</f>
        <v>31</v>
      </c>
      <c r="E345" s="44"/>
      <c r="F345" s="16">
        <f>base!W345</f>
        <v>0</v>
      </c>
      <c r="G345" s="11">
        <f t="shared" si="50"/>
        <v>0</v>
      </c>
      <c r="H345" s="11">
        <f t="shared" si="51"/>
        <v>8.370000000000001</v>
      </c>
      <c r="I345" s="11">
        <f t="shared" si="52"/>
        <v>0.27</v>
      </c>
      <c r="J345" s="12">
        <f t="shared" si="53"/>
        <v>-8.370000000000001</v>
      </c>
      <c r="K345" s="17" t="str">
        <f t="shared" si="58"/>
        <v>Ecart négatif</v>
      </c>
      <c r="L345" s="16">
        <f>base!X345</f>
        <v>0</v>
      </c>
      <c r="M345" s="11">
        <f t="shared" si="54"/>
        <v>0</v>
      </c>
      <c r="N345" s="11">
        <f t="shared" si="55"/>
        <v>0</v>
      </c>
      <c r="O345" s="11">
        <f t="shared" si="56"/>
        <v>0</v>
      </c>
      <c r="P345" s="12">
        <f t="shared" si="57"/>
        <v>0</v>
      </c>
      <c r="Q345" s="17" t="str">
        <f t="shared" si="59"/>
        <v>Pas d'écart</v>
      </c>
    </row>
    <row r="346" spans="1:17" x14ac:dyDescent="0.3">
      <c r="A346" s="34">
        <f>base!J346</f>
        <v>0</v>
      </c>
      <c r="B346" s="34" t="str">
        <f>base!V346</f>
        <v>77184</v>
      </c>
      <c r="C346" s="37">
        <v>77</v>
      </c>
      <c r="D346" s="36">
        <f>base!H346</f>
        <v>150</v>
      </c>
      <c r="E346" s="44"/>
      <c r="F346" s="16">
        <f>base!W346</f>
        <v>0</v>
      </c>
      <c r="G346" s="11">
        <f t="shared" si="50"/>
        <v>0</v>
      </c>
      <c r="H346" s="11">
        <f t="shared" si="51"/>
        <v>0</v>
      </c>
      <c r="I346" s="11">
        <f t="shared" si="52"/>
        <v>0</v>
      </c>
      <c r="J346" s="12">
        <f t="shared" si="53"/>
        <v>0</v>
      </c>
      <c r="K346" s="17" t="str">
        <f t="shared" si="58"/>
        <v>Pas d'écart</v>
      </c>
      <c r="L346" s="16">
        <f>base!X346</f>
        <v>0</v>
      </c>
      <c r="M346" s="11">
        <f t="shared" si="54"/>
        <v>0</v>
      </c>
      <c r="N346" s="11">
        <f t="shared" si="55"/>
        <v>0</v>
      </c>
      <c r="O346" s="11">
        <f t="shared" si="56"/>
        <v>0</v>
      </c>
      <c r="P346" s="12">
        <f t="shared" si="57"/>
        <v>0</v>
      </c>
      <c r="Q346" s="17" t="str">
        <f t="shared" si="59"/>
        <v>Pas d'écart</v>
      </c>
    </row>
    <row r="347" spans="1:17" x14ac:dyDescent="0.3">
      <c r="A347" s="34">
        <f>base!J347</f>
        <v>0</v>
      </c>
      <c r="B347" s="34" t="str">
        <f>base!V347</f>
        <v>77184</v>
      </c>
      <c r="C347" s="37">
        <v>77</v>
      </c>
      <c r="D347" s="36">
        <f>base!H347</f>
        <v>150</v>
      </c>
      <c r="E347" s="44"/>
      <c r="F347" s="16">
        <f>base!W347</f>
        <v>0</v>
      </c>
      <c r="G347" s="11">
        <f t="shared" si="50"/>
        <v>0</v>
      </c>
      <c r="H347" s="11">
        <f t="shared" si="51"/>
        <v>0</v>
      </c>
      <c r="I347" s="11">
        <f t="shared" si="52"/>
        <v>0</v>
      </c>
      <c r="J347" s="12">
        <f t="shared" si="53"/>
        <v>0</v>
      </c>
      <c r="K347" s="17" t="str">
        <f t="shared" si="58"/>
        <v>Pas d'écart</v>
      </c>
      <c r="L347" s="16">
        <f>base!X347</f>
        <v>0</v>
      </c>
      <c r="M347" s="11">
        <f t="shared" si="54"/>
        <v>0</v>
      </c>
      <c r="N347" s="11">
        <f t="shared" si="55"/>
        <v>0</v>
      </c>
      <c r="O347" s="11">
        <f t="shared" si="56"/>
        <v>0</v>
      </c>
      <c r="P347" s="12">
        <f t="shared" si="57"/>
        <v>0</v>
      </c>
      <c r="Q347" s="17" t="str">
        <f t="shared" si="59"/>
        <v>Pas d'écart</v>
      </c>
    </row>
    <row r="348" spans="1:17" x14ac:dyDescent="0.3">
      <c r="A348" s="34">
        <f>base!J348</f>
        <v>0</v>
      </c>
      <c r="B348" s="34" t="str">
        <f>base!V348</f>
        <v>77184</v>
      </c>
      <c r="C348" s="37">
        <v>77</v>
      </c>
      <c r="D348" s="36">
        <f>base!H348</f>
        <v>84.5</v>
      </c>
      <c r="E348" s="44"/>
      <c r="F348" s="16">
        <f>base!W348</f>
        <v>0</v>
      </c>
      <c r="G348" s="11">
        <f t="shared" si="50"/>
        <v>0</v>
      </c>
      <c r="H348" s="11">
        <f t="shared" si="51"/>
        <v>0</v>
      </c>
      <c r="I348" s="11">
        <f t="shared" si="52"/>
        <v>0</v>
      </c>
      <c r="J348" s="12">
        <f t="shared" si="53"/>
        <v>0</v>
      </c>
      <c r="K348" s="17" t="str">
        <f t="shared" si="58"/>
        <v>Pas d'écart</v>
      </c>
      <c r="L348" s="16">
        <f>base!X348</f>
        <v>0</v>
      </c>
      <c r="M348" s="11">
        <f t="shared" si="54"/>
        <v>0</v>
      </c>
      <c r="N348" s="11">
        <f t="shared" si="55"/>
        <v>0</v>
      </c>
      <c r="O348" s="11">
        <f t="shared" si="56"/>
        <v>0</v>
      </c>
      <c r="P348" s="12">
        <f t="shared" si="57"/>
        <v>0</v>
      </c>
      <c r="Q348" s="17" t="str">
        <f t="shared" si="59"/>
        <v>Pas d'écart</v>
      </c>
    </row>
    <row r="349" spans="1:17" x14ac:dyDescent="0.3">
      <c r="A349" s="34" t="str">
        <f>base!J349</f>
        <v>LS</v>
      </c>
      <c r="B349" s="34" t="str">
        <f>base!V349</f>
        <v xml:space="preserve">75014    </v>
      </c>
      <c r="C349" s="37">
        <v>75</v>
      </c>
      <c r="D349" s="36">
        <f>base!H349</f>
        <v>59.68</v>
      </c>
      <c r="E349" s="44"/>
      <c r="F349" s="16">
        <f>base!W349</f>
        <v>0</v>
      </c>
      <c r="G349" s="11">
        <f t="shared" si="50"/>
        <v>0</v>
      </c>
      <c r="H349" s="11">
        <f t="shared" si="51"/>
        <v>0</v>
      </c>
      <c r="I349" s="11">
        <f t="shared" si="52"/>
        <v>0</v>
      </c>
      <c r="J349" s="12">
        <f t="shared" si="53"/>
        <v>0</v>
      </c>
      <c r="K349" s="17" t="str">
        <f t="shared" si="58"/>
        <v>Pas d'écart</v>
      </c>
      <c r="L349" s="16">
        <f>base!X349</f>
        <v>0</v>
      </c>
      <c r="M349" s="11">
        <f t="shared" si="54"/>
        <v>0</v>
      </c>
      <c r="N349" s="11">
        <f t="shared" si="55"/>
        <v>0</v>
      </c>
      <c r="O349" s="11">
        <f t="shared" si="56"/>
        <v>0</v>
      </c>
      <c r="P349" s="12">
        <f t="shared" si="57"/>
        <v>0</v>
      </c>
      <c r="Q349" s="17" t="str">
        <f t="shared" si="59"/>
        <v>Pas d'écart</v>
      </c>
    </row>
    <row r="350" spans="1:17" x14ac:dyDescent="0.3">
      <c r="A350" s="34" t="str">
        <f>base!J350</f>
        <v>LS</v>
      </c>
      <c r="B350" s="34" t="str">
        <f>base!V350</f>
        <v>33140</v>
      </c>
      <c r="C350" s="37">
        <v>44</v>
      </c>
      <c r="D350" s="36">
        <f>base!H350</f>
        <v>47</v>
      </c>
      <c r="E350" s="44"/>
      <c r="F350" s="16">
        <f>base!W350</f>
        <v>9.8699999999999992</v>
      </c>
      <c r="G350" s="11">
        <f t="shared" si="50"/>
        <v>0.21</v>
      </c>
      <c r="H350" s="11">
        <f t="shared" si="51"/>
        <v>12.690000000000001</v>
      </c>
      <c r="I350" s="11">
        <f t="shared" si="52"/>
        <v>0.27</v>
      </c>
      <c r="J350" s="12">
        <f t="shared" si="53"/>
        <v>-2.8200000000000021</v>
      </c>
      <c r="K350" s="17" t="str">
        <f t="shared" si="58"/>
        <v>Ecart négatif</v>
      </c>
      <c r="L350" s="16">
        <f>base!X350</f>
        <v>0</v>
      </c>
      <c r="M350" s="11">
        <f t="shared" si="54"/>
        <v>0</v>
      </c>
      <c r="N350" s="11">
        <f t="shared" si="55"/>
        <v>0</v>
      </c>
      <c r="O350" s="11">
        <f t="shared" si="56"/>
        <v>0</v>
      </c>
      <c r="P350" s="12">
        <f t="shared" si="57"/>
        <v>0</v>
      </c>
      <c r="Q350" s="17" t="str">
        <f t="shared" si="59"/>
        <v>Pas d'écart</v>
      </c>
    </row>
    <row r="351" spans="1:17" x14ac:dyDescent="0.3">
      <c r="A351" s="34" t="str">
        <f>base!J351</f>
        <v>RS</v>
      </c>
      <c r="B351" s="34" t="str">
        <f>base!V351</f>
        <v>75016</v>
      </c>
      <c r="C351" s="37">
        <v>75</v>
      </c>
      <c r="D351" s="36">
        <f>base!H351</f>
        <v>33.65</v>
      </c>
      <c r="E351" s="44"/>
      <c r="F351" s="16">
        <f>base!W351</f>
        <v>0</v>
      </c>
      <c r="G351" s="11">
        <f t="shared" si="50"/>
        <v>0</v>
      </c>
      <c r="H351" s="11">
        <f t="shared" si="51"/>
        <v>0</v>
      </c>
      <c r="I351" s="11">
        <f t="shared" si="52"/>
        <v>0</v>
      </c>
      <c r="J351" s="12">
        <f t="shared" si="53"/>
        <v>0</v>
      </c>
      <c r="K351" s="17" t="str">
        <f t="shared" si="58"/>
        <v>Pas d'écart</v>
      </c>
      <c r="L351" s="16">
        <f>base!X351</f>
        <v>0</v>
      </c>
      <c r="M351" s="11">
        <f t="shared" si="54"/>
        <v>0</v>
      </c>
      <c r="N351" s="11">
        <f t="shared" si="55"/>
        <v>0</v>
      </c>
      <c r="O351" s="11">
        <f t="shared" si="56"/>
        <v>0</v>
      </c>
      <c r="P351" s="12">
        <f t="shared" si="57"/>
        <v>0</v>
      </c>
      <c r="Q351" s="17" t="str">
        <f t="shared" si="59"/>
        <v>Pas d'écart</v>
      </c>
    </row>
    <row r="352" spans="1:17" x14ac:dyDescent="0.3">
      <c r="A352" s="34">
        <f>base!J352</f>
        <v>0</v>
      </c>
      <c r="B352" s="34" t="str">
        <f>base!V352</f>
        <v>77184</v>
      </c>
      <c r="C352" s="37">
        <v>77</v>
      </c>
      <c r="D352" s="36">
        <f>base!H352</f>
        <v>151</v>
      </c>
      <c r="E352" s="44"/>
      <c r="F352" s="16">
        <f>base!W352</f>
        <v>0</v>
      </c>
      <c r="G352" s="11">
        <f t="shared" si="50"/>
        <v>0</v>
      </c>
      <c r="H352" s="11">
        <f t="shared" si="51"/>
        <v>0</v>
      </c>
      <c r="I352" s="11">
        <f t="shared" si="52"/>
        <v>0</v>
      </c>
      <c r="J352" s="12">
        <f t="shared" si="53"/>
        <v>0</v>
      </c>
      <c r="K352" s="17" t="str">
        <f t="shared" si="58"/>
        <v>Pas d'écart</v>
      </c>
      <c r="L352" s="16">
        <f>base!X352</f>
        <v>0</v>
      </c>
      <c r="M352" s="11">
        <f t="shared" si="54"/>
        <v>0</v>
      </c>
      <c r="N352" s="11">
        <f t="shared" si="55"/>
        <v>0</v>
      </c>
      <c r="O352" s="11">
        <f t="shared" si="56"/>
        <v>0</v>
      </c>
      <c r="P352" s="12">
        <f t="shared" si="57"/>
        <v>0</v>
      </c>
      <c r="Q352" s="17" t="str">
        <f t="shared" si="59"/>
        <v>Pas d'écart</v>
      </c>
    </row>
    <row r="353" spans="1:18" x14ac:dyDescent="0.3">
      <c r="A353" s="34" t="str">
        <f>base!J353</f>
        <v>RM</v>
      </c>
      <c r="B353" s="34" t="str">
        <f>base!V353</f>
        <v>60230</v>
      </c>
      <c r="C353" s="37">
        <v>60</v>
      </c>
      <c r="D353" s="36">
        <f>base!H353</f>
        <v>40</v>
      </c>
      <c r="E353" s="44"/>
      <c r="F353" s="16">
        <f>base!W353</f>
        <v>0</v>
      </c>
      <c r="G353" s="11">
        <f t="shared" si="50"/>
        <v>0</v>
      </c>
      <c r="H353" s="11">
        <f t="shared" si="51"/>
        <v>7.6</v>
      </c>
      <c r="I353" s="11">
        <f t="shared" si="52"/>
        <v>0.19</v>
      </c>
      <c r="J353" s="12">
        <f t="shared" si="53"/>
        <v>-7.6</v>
      </c>
      <c r="K353" s="17" t="str">
        <f t="shared" si="58"/>
        <v>Ecart négatif</v>
      </c>
      <c r="L353" s="16">
        <f>base!X353</f>
        <v>0</v>
      </c>
      <c r="M353" s="11">
        <f t="shared" si="54"/>
        <v>0</v>
      </c>
      <c r="N353" s="11">
        <f t="shared" si="55"/>
        <v>0</v>
      </c>
      <c r="O353" s="11">
        <f t="shared" si="56"/>
        <v>0</v>
      </c>
      <c r="P353" s="12">
        <f t="shared" si="57"/>
        <v>0</v>
      </c>
      <c r="Q353" s="17" t="str">
        <f t="shared" si="59"/>
        <v>Pas d'écart</v>
      </c>
    </row>
    <row r="354" spans="1:18" x14ac:dyDescent="0.3">
      <c r="A354" s="34">
        <f>base!J354</f>
        <v>0</v>
      </c>
      <c r="B354" s="34" t="str">
        <f>base!V354</f>
        <v>77184</v>
      </c>
      <c r="C354" s="37">
        <v>77</v>
      </c>
      <c r="D354" s="36">
        <f>base!H354</f>
        <v>179</v>
      </c>
      <c r="E354" s="44"/>
      <c r="F354" s="16">
        <f>base!W354</f>
        <v>0</v>
      </c>
      <c r="G354" s="11">
        <f t="shared" si="50"/>
        <v>0</v>
      </c>
      <c r="H354" s="11">
        <f t="shared" si="51"/>
        <v>0</v>
      </c>
      <c r="I354" s="11">
        <f t="shared" si="52"/>
        <v>0</v>
      </c>
      <c r="J354" s="12">
        <f t="shared" si="53"/>
        <v>0</v>
      </c>
      <c r="K354" s="17" t="str">
        <f t="shared" si="58"/>
        <v>Pas d'écart</v>
      </c>
      <c r="L354" s="16">
        <f>base!X354</f>
        <v>0</v>
      </c>
      <c r="M354" s="11">
        <f t="shared" si="54"/>
        <v>0</v>
      </c>
      <c r="N354" s="11">
        <f t="shared" si="55"/>
        <v>0</v>
      </c>
      <c r="O354" s="11">
        <f t="shared" si="56"/>
        <v>0</v>
      </c>
      <c r="P354" s="12">
        <f t="shared" si="57"/>
        <v>0</v>
      </c>
      <c r="Q354" s="17" t="str">
        <f t="shared" si="59"/>
        <v>Pas d'écart</v>
      </c>
    </row>
    <row r="355" spans="1:18" x14ac:dyDescent="0.3">
      <c r="A355" s="34">
        <f>base!J355</f>
        <v>0</v>
      </c>
      <c r="B355" s="34" t="str">
        <f>base!V355</f>
        <v>77184</v>
      </c>
      <c r="C355" s="37">
        <v>77</v>
      </c>
      <c r="D355" s="36">
        <f>base!H355</f>
        <v>194</v>
      </c>
      <c r="E355" s="44"/>
      <c r="F355" s="16">
        <f>base!W355</f>
        <v>0</v>
      </c>
      <c r="G355" s="11">
        <f t="shared" si="50"/>
        <v>0</v>
      </c>
      <c r="H355" s="11">
        <f t="shared" si="51"/>
        <v>0</v>
      </c>
      <c r="I355" s="11">
        <f t="shared" si="52"/>
        <v>0</v>
      </c>
      <c r="J355" s="12">
        <f t="shared" si="53"/>
        <v>0</v>
      </c>
      <c r="K355" s="17" t="str">
        <f t="shared" si="58"/>
        <v>Pas d'écart</v>
      </c>
      <c r="L355" s="16">
        <f>base!X355</f>
        <v>0</v>
      </c>
      <c r="M355" s="11">
        <f t="shared" si="54"/>
        <v>0</v>
      </c>
      <c r="N355" s="11">
        <f t="shared" si="55"/>
        <v>0</v>
      </c>
      <c r="O355" s="11">
        <f t="shared" si="56"/>
        <v>0</v>
      </c>
      <c r="P355" s="12">
        <f t="shared" si="57"/>
        <v>0</v>
      </c>
      <c r="Q355" s="17" t="str">
        <f t="shared" si="59"/>
        <v>Pas d'écart</v>
      </c>
    </row>
    <row r="356" spans="1:18" x14ac:dyDescent="0.3">
      <c r="A356" s="34">
        <f>base!J356</f>
        <v>0</v>
      </c>
      <c r="B356" s="34" t="str">
        <f>base!V356</f>
        <v>77184</v>
      </c>
      <c r="C356" s="37">
        <v>77</v>
      </c>
      <c r="D356" s="36">
        <f>base!H356</f>
        <v>22</v>
      </c>
      <c r="E356" s="44"/>
      <c r="F356" s="16">
        <f>base!W356</f>
        <v>0</v>
      </c>
      <c r="G356" s="11">
        <f t="shared" si="50"/>
        <v>0</v>
      </c>
      <c r="H356" s="11">
        <f t="shared" si="51"/>
        <v>0</v>
      </c>
      <c r="I356" s="11">
        <f t="shared" si="52"/>
        <v>0</v>
      </c>
      <c r="J356" s="12">
        <f t="shared" si="53"/>
        <v>0</v>
      </c>
      <c r="K356" s="17" t="str">
        <f t="shared" si="58"/>
        <v>Pas d'écart</v>
      </c>
      <c r="L356" s="16">
        <f>base!X356</f>
        <v>0</v>
      </c>
      <c r="M356" s="11">
        <f t="shared" si="54"/>
        <v>0</v>
      </c>
      <c r="N356" s="11">
        <f t="shared" si="55"/>
        <v>0</v>
      </c>
      <c r="O356" s="11">
        <f t="shared" si="56"/>
        <v>0</v>
      </c>
      <c r="P356" s="12">
        <f t="shared" si="57"/>
        <v>0</v>
      </c>
      <c r="Q356" s="17" t="str">
        <f t="shared" si="59"/>
        <v>Pas d'écart</v>
      </c>
    </row>
    <row r="357" spans="1:18" x14ac:dyDescent="0.3">
      <c r="A357" s="34">
        <f>base!J357</f>
        <v>0</v>
      </c>
      <c r="B357" s="34" t="str">
        <f>base!V357</f>
        <v>77184</v>
      </c>
      <c r="C357" s="37">
        <v>77</v>
      </c>
      <c r="D357" s="36">
        <f>base!H357</f>
        <v>31</v>
      </c>
      <c r="E357" s="44"/>
      <c r="F357" s="16">
        <f>base!W357</f>
        <v>0</v>
      </c>
      <c r="G357" s="11">
        <f t="shared" si="50"/>
        <v>0</v>
      </c>
      <c r="H357" s="11">
        <f t="shared" si="51"/>
        <v>0</v>
      </c>
      <c r="I357" s="11">
        <f t="shared" si="52"/>
        <v>0</v>
      </c>
      <c r="J357" s="12">
        <f t="shared" si="53"/>
        <v>0</v>
      </c>
      <c r="K357" s="17" t="str">
        <f t="shared" si="58"/>
        <v>Pas d'écart</v>
      </c>
      <c r="L357" s="16">
        <f>base!X357</f>
        <v>0</v>
      </c>
      <c r="M357" s="11">
        <f t="shared" si="54"/>
        <v>0</v>
      </c>
      <c r="N357" s="11">
        <f t="shared" si="55"/>
        <v>0</v>
      </c>
      <c r="O357" s="11">
        <f t="shared" si="56"/>
        <v>0</v>
      </c>
      <c r="P357" s="12">
        <f t="shared" si="57"/>
        <v>0</v>
      </c>
      <c r="Q357" s="17" t="str">
        <f t="shared" si="59"/>
        <v>Pas d'écart</v>
      </c>
    </row>
    <row r="358" spans="1:18" x14ac:dyDescent="0.3">
      <c r="A358" s="34" t="str">
        <f>base!J358</f>
        <v>RS</v>
      </c>
      <c r="B358" s="34" t="str">
        <f>base!V358</f>
        <v>62300</v>
      </c>
      <c r="C358" s="37">
        <v>62</v>
      </c>
      <c r="D358" s="36">
        <f>base!H358</f>
        <v>250</v>
      </c>
      <c r="E358" s="44"/>
      <c r="F358" s="16">
        <f>base!W358</f>
        <v>0</v>
      </c>
      <c r="G358" s="11">
        <f t="shared" si="50"/>
        <v>0</v>
      </c>
      <c r="H358" s="11">
        <f t="shared" si="51"/>
        <v>47.5</v>
      </c>
      <c r="I358" s="11">
        <f t="shared" si="52"/>
        <v>0.19</v>
      </c>
      <c r="J358" s="12">
        <f t="shared" si="53"/>
        <v>-47.5</v>
      </c>
      <c r="K358" s="17" t="str">
        <f t="shared" si="58"/>
        <v>Ecart négatif</v>
      </c>
      <c r="L358" s="16">
        <f>base!X358</f>
        <v>0</v>
      </c>
      <c r="M358" s="11">
        <f t="shared" si="54"/>
        <v>0</v>
      </c>
      <c r="N358" s="11">
        <f t="shared" si="55"/>
        <v>0</v>
      </c>
      <c r="O358" s="11">
        <f t="shared" si="56"/>
        <v>0</v>
      </c>
      <c r="P358" s="12">
        <f t="shared" si="57"/>
        <v>0</v>
      </c>
      <c r="Q358" s="17" t="str">
        <f t="shared" si="59"/>
        <v>Pas d'écart</v>
      </c>
    </row>
    <row r="359" spans="1:18" x14ac:dyDescent="0.3">
      <c r="A359" s="34" t="str">
        <f>base!J359</f>
        <v>RM</v>
      </c>
      <c r="B359" s="34" t="str">
        <f>base!V359</f>
        <v>08350</v>
      </c>
      <c r="C359" s="37">
        <v>8</v>
      </c>
      <c r="D359" s="36">
        <f>base!H359</f>
        <v>70</v>
      </c>
      <c r="E359" s="44"/>
      <c r="F359" s="16">
        <f>base!W359</f>
        <v>0</v>
      </c>
      <c r="G359" s="11">
        <f t="shared" si="50"/>
        <v>0</v>
      </c>
      <c r="H359" s="11">
        <f t="shared" si="51"/>
        <v>12.6</v>
      </c>
      <c r="I359" s="11">
        <f t="shared" si="52"/>
        <v>0.18</v>
      </c>
      <c r="J359" s="12">
        <f t="shared" si="53"/>
        <v>-12.6</v>
      </c>
      <c r="K359" s="17" t="str">
        <f t="shared" si="58"/>
        <v>Ecart négatif</v>
      </c>
      <c r="L359" s="16">
        <f>base!X359</f>
        <v>0</v>
      </c>
      <c r="M359" s="11">
        <f t="shared" si="54"/>
        <v>0</v>
      </c>
      <c r="N359" s="11">
        <f t="shared" si="55"/>
        <v>0</v>
      </c>
      <c r="O359" s="11">
        <f t="shared" si="56"/>
        <v>0</v>
      </c>
      <c r="P359" s="12">
        <f t="shared" si="57"/>
        <v>0</v>
      </c>
      <c r="Q359" s="17" t="str">
        <f t="shared" si="59"/>
        <v>Pas d'écart</v>
      </c>
    </row>
    <row r="360" spans="1:18" x14ac:dyDescent="0.3">
      <c r="A360" s="34" t="str">
        <f>base!J360</f>
        <v>LS</v>
      </c>
      <c r="B360" s="34" t="str">
        <f>base!V360</f>
        <v>88000</v>
      </c>
      <c r="C360" s="37">
        <v>89</v>
      </c>
      <c r="D360" s="36">
        <f>base!H360</f>
        <v>120.35</v>
      </c>
      <c r="E360" s="44"/>
      <c r="F360" s="16">
        <f>base!W360</f>
        <v>34.9</v>
      </c>
      <c r="G360" s="11">
        <f t="shared" si="50"/>
        <v>0.28998753635230579</v>
      </c>
      <c r="H360" s="11">
        <f t="shared" si="51"/>
        <v>27.680499999999999</v>
      </c>
      <c r="I360" s="11">
        <f t="shared" si="52"/>
        <v>0.23</v>
      </c>
      <c r="J360" s="12">
        <f t="shared" si="53"/>
        <v>7.2195</v>
      </c>
      <c r="K360" s="17" t="str">
        <f t="shared" si="58"/>
        <v>Ecart positif</v>
      </c>
      <c r="L360" s="16">
        <f>base!X360</f>
        <v>0</v>
      </c>
      <c r="M360" s="11">
        <f t="shared" si="54"/>
        <v>0</v>
      </c>
      <c r="N360" s="11">
        <f t="shared" si="55"/>
        <v>14.441999999999998</v>
      </c>
      <c r="O360" s="11">
        <f t="shared" si="56"/>
        <v>0.12</v>
      </c>
      <c r="P360" s="12">
        <f t="shared" si="57"/>
        <v>-14.441999999999998</v>
      </c>
      <c r="Q360" s="17" t="str">
        <f t="shared" si="59"/>
        <v>Ecart négatif</v>
      </c>
    </row>
    <row r="361" spans="1:18" x14ac:dyDescent="0.3">
      <c r="A361" s="34" t="str">
        <f>base!J361</f>
        <v>LS</v>
      </c>
      <c r="B361" s="34" t="str">
        <f>base!V361</f>
        <v>30200</v>
      </c>
      <c r="C361" s="37">
        <v>35</v>
      </c>
      <c r="D361" s="36">
        <f>base!H361</f>
        <v>120.85</v>
      </c>
      <c r="E361" s="44"/>
      <c r="F361" s="16">
        <f>base!W361</f>
        <v>47.13</v>
      </c>
      <c r="G361" s="11">
        <f t="shared" si="50"/>
        <v>0.38998758791890775</v>
      </c>
      <c r="H361" s="11">
        <f t="shared" si="51"/>
        <v>32.6295</v>
      </c>
      <c r="I361" s="11">
        <f t="shared" si="52"/>
        <v>0.27</v>
      </c>
      <c r="J361" s="12">
        <f t="shared" si="53"/>
        <v>14.500500000000002</v>
      </c>
      <c r="K361" s="17" t="str">
        <f t="shared" si="58"/>
        <v>Ecart positif</v>
      </c>
      <c r="L361" s="16">
        <f>base!X361</f>
        <v>0</v>
      </c>
      <c r="M361" s="11">
        <f t="shared" si="54"/>
        <v>0</v>
      </c>
      <c r="N361" s="11">
        <f t="shared" si="55"/>
        <v>0</v>
      </c>
      <c r="O361" s="11">
        <f t="shared" si="56"/>
        <v>0</v>
      </c>
      <c r="P361" s="12">
        <f t="shared" si="57"/>
        <v>0</v>
      </c>
      <c r="Q361" s="17" t="str">
        <f t="shared" si="59"/>
        <v>Pas d'écart</v>
      </c>
    </row>
    <row r="362" spans="1:18" x14ac:dyDescent="0.3">
      <c r="A362" s="34" t="str">
        <f>base!J362</f>
        <v>LM</v>
      </c>
      <c r="B362" s="34" t="str">
        <f>base!V362</f>
        <v>86510</v>
      </c>
      <c r="C362" s="37">
        <v>26</v>
      </c>
      <c r="D362" s="36">
        <f>base!H362</f>
        <v>126.72</v>
      </c>
      <c r="E362" s="44"/>
      <c r="F362" s="16">
        <f>base!W362</f>
        <v>26.61</v>
      </c>
      <c r="G362" s="11">
        <f t="shared" si="50"/>
        <v>0.2099905303030303</v>
      </c>
      <c r="H362" s="11">
        <f t="shared" si="51"/>
        <v>34.214400000000005</v>
      </c>
      <c r="I362" s="11">
        <f t="shared" si="52"/>
        <v>0.27</v>
      </c>
      <c r="J362" s="12">
        <f t="shared" si="53"/>
        <v>-7.6044000000000054</v>
      </c>
      <c r="K362" s="17" t="str">
        <f t="shared" si="58"/>
        <v>Ecart négatif</v>
      </c>
      <c r="L362" s="16">
        <f>base!X362</f>
        <v>0</v>
      </c>
      <c r="M362" s="11">
        <f t="shared" si="54"/>
        <v>0</v>
      </c>
      <c r="N362" s="11">
        <f t="shared" si="55"/>
        <v>0</v>
      </c>
      <c r="O362" s="11">
        <f t="shared" si="56"/>
        <v>0</v>
      </c>
      <c r="P362" s="12">
        <f t="shared" si="57"/>
        <v>0</v>
      </c>
      <c r="Q362" s="17" t="str">
        <f t="shared" si="59"/>
        <v>Pas d'écart</v>
      </c>
    </row>
    <row r="363" spans="1:18" x14ac:dyDescent="0.3">
      <c r="A363" s="34" t="str">
        <f>base!J363</f>
        <v>LM</v>
      </c>
      <c r="B363" s="34" t="str">
        <f>base!V363</f>
        <v>75014</v>
      </c>
      <c r="C363" s="37">
        <v>75</v>
      </c>
      <c r="D363" s="36">
        <f>base!H363</f>
        <v>137.59</v>
      </c>
      <c r="E363" s="44"/>
      <c r="F363" s="16">
        <f>base!W363</f>
        <v>0</v>
      </c>
      <c r="G363" s="11">
        <f t="shared" si="50"/>
        <v>0</v>
      </c>
      <c r="H363" s="11">
        <f t="shared" si="51"/>
        <v>0</v>
      </c>
      <c r="I363" s="11">
        <f t="shared" si="52"/>
        <v>0</v>
      </c>
      <c r="J363" s="12">
        <f t="shared" si="53"/>
        <v>0</v>
      </c>
      <c r="K363" s="17" t="str">
        <f t="shared" si="58"/>
        <v>Pas d'écart</v>
      </c>
      <c r="L363" s="16">
        <f>base!X363</f>
        <v>0</v>
      </c>
      <c r="M363" s="11">
        <f t="shared" si="54"/>
        <v>0</v>
      </c>
      <c r="N363" s="11">
        <f t="shared" si="55"/>
        <v>0</v>
      </c>
      <c r="O363" s="11">
        <f t="shared" si="56"/>
        <v>0</v>
      </c>
      <c r="P363" s="12">
        <f t="shared" si="57"/>
        <v>0</v>
      </c>
      <c r="Q363" s="17" t="str">
        <f t="shared" si="59"/>
        <v>Pas d'écart</v>
      </c>
    </row>
    <row r="364" spans="1:18" x14ac:dyDescent="0.3">
      <c r="A364" s="34" t="str">
        <f>base!J364</f>
        <v>LS</v>
      </c>
      <c r="B364" s="34" t="str">
        <f>base!V364</f>
        <v>40990</v>
      </c>
      <c r="C364" s="37">
        <v>76</v>
      </c>
      <c r="D364" s="36">
        <f>base!H364</f>
        <v>138.12</v>
      </c>
      <c r="E364" s="44"/>
      <c r="F364" s="16">
        <f>base!W364</f>
        <v>29.01</v>
      </c>
      <c r="G364" s="11">
        <f t="shared" si="50"/>
        <v>0.21003475238922675</v>
      </c>
      <c r="H364" s="11">
        <f t="shared" si="51"/>
        <v>23.480400000000003</v>
      </c>
      <c r="I364" s="11">
        <f t="shared" si="52"/>
        <v>0.17</v>
      </c>
      <c r="J364" s="12">
        <f t="shared" si="53"/>
        <v>5.5295999999999985</v>
      </c>
      <c r="K364" s="17" t="str">
        <f t="shared" si="58"/>
        <v>Ecart positif</v>
      </c>
      <c r="L364" s="16">
        <f>base!X364</f>
        <v>0</v>
      </c>
      <c r="M364" s="11">
        <f t="shared" si="54"/>
        <v>0</v>
      </c>
      <c r="N364" s="11">
        <f t="shared" si="55"/>
        <v>23.480400000000003</v>
      </c>
      <c r="O364" s="11">
        <f t="shared" si="56"/>
        <v>0.17</v>
      </c>
      <c r="P364" s="12">
        <f t="shared" si="57"/>
        <v>-23.480400000000003</v>
      </c>
      <c r="Q364" s="17" t="str">
        <f t="shared" si="59"/>
        <v>Ecart négatif</v>
      </c>
    </row>
    <row r="365" spans="1:18" x14ac:dyDescent="0.3">
      <c r="A365" s="34" t="str">
        <f>base!J365</f>
        <v>LS</v>
      </c>
      <c r="B365" s="34" t="str">
        <f>base!V365</f>
        <v>59160</v>
      </c>
      <c r="C365" s="37">
        <v>13</v>
      </c>
      <c r="D365" s="36">
        <f>base!H365</f>
        <v>107.82</v>
      </c>
      <c r="E365" s="44"/>
      <c r="F365" s="16">
        <f>base!W365</f>
        <v>20.49</v>
      </c>
      <c r="G365" s="11">
        <f t="shared" si="50"/>
        <v>0.19003895381190875</v>
      </c>
      <c r="H365" s="11">
        <f t="shared" si="51"/>
        <v>31.267799999999998</v>
      </c>
      <c r="I365" s="11">
        <f t="shared" si="52"/>
        <v>0.28999999999999998</v>
      </c>
      <c r="J365" s="12">
        <f t="shared" si="53"/>
        <v>-10.777799999999999</v>
      </c>
      <c r="K365" s="17" t="str">
        <f t="shared" si="58"/>
        <v>Ecart négatif</v>
      </c>
      <c r="L365" s="16">
        <f>base!X365</f>
        <v>0</v>
      </c>
      <c r="M365" s="11">
        <f t="shared" si="54"/>
        <v>0</v>
      </c>
      <c r="N365" s="11">
        <f t="shared" si="55"/>
        <v>20.485799999999998</v>
      </c>
      <c r="O365" s="11">
        <f t="shared" si="56"/>
        <v>0.19</v>
      </c>
      <c r="P365" s="12">
        <f t="shared" si="57"/>
        <v>-20.485799999999998</v>
      </c>
      <c r="Q365" s="17" t="str">
        <f t="shared" si="59"/>
        <v>Ecart négatif</v>
      </c>
    </row>
    <row r="366" spans="1:18" x14ac:dyDescent="0.3">
      <c r="A366" s="34" t="str">
        <f>base!J366</f>
        <v>LM</v>
      </c>
      <c r="B366" s="34" t="str">
        <f>base!V366</f>
        <v>59380</v>
      </c>
      <c r="C366" s="37">
        <v>76</v>
      </c>
      <c r="D366" s="36">
        <f>base!H366</f>
        <v>18.350000000000001</v>
      </c>
      <c r="E366" s="44"/>
      <c r="F366" s="16">
        <f>base!W366</f>
        <v>3.49</v>
      </c>
      <c r="G366" s="11">
        <f t="shared" si="50"/>
        <v>0.19019073569482289</v>
      </c>
      <c r="H366" s="11">
        <f t="shared" si="51"/>
        <v>3.1195000000000004</v>
      </c>
      <c r="I366" s="11">
        <f t="shared" si="52"/>
        <v>0.17</v>
      </c>
      <c r="J366" s="12">
        <f t="shared" si="53"/>
        <v>0.37049999999999983</v>
      </c>
      <c r="K366" s="17" t="str">
        <f t="shared" si="58"/>
        <v>Ecart positif</v>
      </c>
      <c r="L366" s="16">
        <f>base!X366</f>
        <v>0</v>
      </c>
      <c r="M366" s="11">
        <f t="shared" si="54"/>
        <v>0</v>
      </c>
      <c r="N366" s="11">
        <f t="shared" si="55"/>
        <v>3.1195000000000004</v>
      </c>
      <c r="O366" s="11">
        <f t="shared" si="56"/>
        <v>0.17</v>
      </c>
      <c r="P366" s="12">
        <f t="shared" si="57"/>
        <v>-3.1195000000000004</v>
      </c>
      <c r="Q366" s="17" t="str">
        <f t="shared" si="59"/>
        <v>Ecart négatif</v>
      </c>
    </row>
    <row r="367" spans="1:18" x14ac:dyDescent="0.3">
      <c r="A367" s="34" t="str">
        <f>base!J367</f>
        <v>RS</v>
      </c>
      <c r="B367" s="34" t="str">
        <f>base!V367</f>
        <v>61300</v>
      </c>
      <c r="C367" s="37">
        <v>61</v>
      </c>
      <c r="D367" s="36">
        <f>base!H367</f>
        <v>170</v>
      </c>
      <c r="E367" s="44"/>
      <c r="F367" s="16">
        <f>base!W367</f>
        <v>0</v>
      </c>
      <c r="G367" s="11">
        <f t="shared" si="50"/>
        <v>0</v>
      </c>
      <c r="H367" s="11">
        <f t="shared" si="51"/>
        <v>28.900000000000002</v>
      </c>
      <c r="I367" s="11">
        <f t="shared" si="52"/>
        <v>0.17</v>
      </c>
      <c r="J367" s="12">
        <f t="shared" si="53"/>
        <v>-28.900000000000002</v>
      </c>
      <c r="K367" s="17" t="str">
        <f t="shared" si="58"/>
        <v>Ecart négatif</v>
      </c>
      <c r="L367" s="16">
        <f>base!X367</f>
        <v>28.9</v>
      </c>
      <c r="M367" s="11">
        <f t="shared" si="54"/>
        <v>0.16999999999999998</v>
      </c>
      <c r="N367" s="11">
        <f t="shared" si="55"/>
        <v>28.900000000000002</v>
      </c>
      <c r="O367" s="11">
        <f t="shared" si="56"/>
        <v>0.17</v>
      </c>
      <c r="P367" s="12">
        <f t="shared" si="57"/>
        <v>0</v>
      </c>
      <c r="Q367" s="17" t="str">
        <f t="shared" si="59"/>
        <v>Pas d'écart</v>
      </c>
    </row>
    <row r="368" spans="1:18" x14ac:dyDescent="0.3">
      <c r="A368" s="34" t="str">
        <f>base!J368</f>
        <v>RS</v>
      </c>
      <c r="B368" s="34" t="str">
        <f>base!V368</f>
        <v>14000</v>
      </c>
      <c r="C368" s="37">
        <v>14</v>
      </c>
      <c r="D368" s="36">
        <f>base!H368</f>
        <v>151</v>
      </c>
      <c r="E368" s="44"/>
      <c r="F368" s="16">
        <f>base!W368</f>
        <v>0</v>
      </c>
      <c r="G368" s="11">
        <f t="shared" si="50"/>
        <v>0</v>
      </c>
      <c r="H368" s="11">
        <f t="shared" si="51"/>
        <v>25.67</v>
      </c>
      <c r="I368" s="11">
        <f t="shared" si="52"/>
        <v>0.17</v>
      </c>
      <c r="J368" s="12">
        <f t="shared" si="53"/>
        <v>-25.67</v>
      </c>
      <c r="K368" s="17" t="str">
        <f t="shared" si="58"/>
        <v>Ecart négatif</v>
      </c>
      <c r="L368" s="16">
        <f>base!X368</f>
        <v>25.67</v>
      </c>
      <c r="M368" s="11">
        <f t="shared" si="54"/>
        <v>0.17</v>
      </c>
      <c r="N368" s="11">
        <f t="shared" si="55"/>
        <v>25.67</v>
      </c>
      <c r="O368" s="11">
        <f t="shared" si="56"/>
        <v>0.17</v>
      </c>
      <c r="P368" s="12">
        <f t="shared" si="57"/>
        <v>0</v>
      </c>
      <c r="Q368" s="17" t="str">
        <f t="shared" si="59"/>
        <v>Pas d'écart</v>
      </c>
      <c r="R368" s="38"/>
    </row>
    <row r="369" spans="1:17" x14ac:dyDescent="0.3">
      <c r="A369" s="34" t="str">
        <f>base!J369</f>
        <v>RS</v>
      </c>
      <c r="B369" s="34" t="str">
        <f>base!V369</f>
        <v>14000</v>
      </c>
      <c r="C369" s="37">
        <v>14</v>
      </c>
      <c r="D369" s="36">
        <f>base!H369</f>
        <v>180</v>
      </c>
      <c r="E369" s="44"/>
      <c r="F369" s="16">
        <f>base!W369</f>
        <v>0</v>
      </c>
      <c r="G369" s="11">
        <f t="shared" si="50"/>
        <v>0</v>
      </c>
      <c r="H369" s="11">
        <f t="shared" si="51"/>
        <v>30.6</v>
      </c>
      <c r="I369" s="11">
        <f t="shared" si="52"/>
        <v>0.17</v>
      </c>
      <c r="J369" s="12">
        <f t="shared" si="53"/>
        <v>-30.6</v>
      </c>
      <c r="K369" s="17" t="str">
        <f t="shared" si="58"/>
        <v>Ecart négatif</v>
      </c>
      <c r="L369" s="16">
        <f>base!X369</f>
        <v>30.6</v>
      </c>
      <c r="M369" s="11">
        <f t="shared" si="54"/>
        <v>0.17</v>
      </c>
      <c r="N369" s="11">
        <f t="shared" si="55"/>
        <v>30.6</v>
      </c>
      <c r="O369" s="11">
        <f t="shared" si="56"/>
        <v>0.17</v>
      </c>
      <c r="P369" s="12">
        <f t="shared" si="57"/>
        <v>0</v>
      </c>
      <c r="Q369" s="17" t="str">
        <f t="shared" si="59"/>
        <v>Pas d'écart</v>
      </c>
    </row>
    <row r="370" spans="1:17" x14ac:dyDescent="0.3">
      <c r="A370" s="34" t="str">
        <f>base!J370</f>
        <v>LM</v>
      </c>
      <c r="B370" s="34" t="str">
        <f>base!V370</f>
        <v>75014</v>
      </c>
      <c r="C370" s="37">
        <v>75</v>
      </c>
      <c r="D370" s="36">
        <f>base!H370</f>
        <v>19.649999999999999</v>
      </c>
      <c r="E370" s="44"/>
      <c r="F370" s="16">
        <f>base!W370</f>
        <v>0</v>
      </c>
      <c r="G370" s="11">
        <f t="shared" si="50"/>
        <v>0</v>
      </c>
      <c r="H370" s="11">
        <f t="shared" si="51"/>
        <v>0</v>
      </c>
      <c r="I370" s="11">
        <f t="shared" si="52"/>
        <v>0</v>
      </c>
      <c r="J370" s="12">
        <f t="shared" si="53"/>
        <v>0</v>
      </c>
      <c r="K370" s="17" t="str">
        <f t="shared" si="58"/>
        <v>Pas d'écart</v>
      </c>
      <c r="L370" s="16">
        <f>base!X370</f>
        <v>0</v>
      </c>
      <c r="M370" s="11">
        <f t="shared" si="54"/>
        <v>0</v>
      </c>
      <c r="N370" s="11">
        <f t="shared" si="55"/>
        <v>0</v>
      </c>
      <c r="O370" s="11">
        <f t="shared" si="56"/>
        <v>0</v>
      </c>
      <c r="P370" s="12">
        <f t="shared" si="57"/>
        <v>0</v>
      </c>
      <c r="Q370" s="17" t="str">
        <f t="shared" si="59"/>
        <v>Pas d'écart</v>
      </c>
    </row>
    <row r="371" spans="1:17" x14ac:dyDescent="0.3">
      <c r="A371" s="34" t="str">
        <f>base!J371</f>
        <v>LS</v>
      </c>
      <c r="B371" s="34" t="str">
        <f>base!V371</f>
        <v>07270</v>
      </c>
      <c r="C371" s="37">
        <v>13</v>
      </c>
      <c r="D371" s="36">
        <f>base!H371</f>
        <v>54.61</v>
      </c>
      <c r="E371" s="44"/>
      <c r="F371" s="16">
        <f>base!W371</f>
        <v>14.74</v>
      </c>
      <c r="G371" s="11">
        <f t="shared" si="50"/>
        <v>0.26991393517670759</v>
      </c>
      <c r="H371" s="11">
        <f t="shared" si="51"/>
        <v>15.836899999999998</v>
      </c>
      <c r="I371" s="11">
        <f t="shared" si="52"/>
        <v>0.28999999999999998</v>
      </c>
      <c r="J371" s="12">
        <f t="shared" si="53"/>
        <v>-1.096899999999998</v>
      </c>
      <c r="K371" s="17" t="str">
        <f t="shared" si="58"/>
        <v>Ecart négatif</v>
      </c>
      <c r="L371" s="16">
        <f>base!X371</f>
        <v>0</v>
      </c>
      <c r="M371" s="11">
        <f t="shared" si="54"/>
        <v>0</v>
      </c>
      <c r="N371" s="11">
        <f t="shared" si="55"/>
        <v>10.3759</v>
      </c>
      <c r="O371" s="11">
        <f t="shared" si="56"/>
        <v>0.19</v>
      </c>
      <c r="P371" s="12">
        <f t="shared" si="57"/>
        <v>-10.3759</v>
      </c>
      <c r="Q371" s="17" t="str">
        <f t="shared" si="59"/>
        <v>Ecart négatif</v>
      </c>
    </row>
    <row r="372" spans="1:17" x14ac:dyDescent="0.3">
      <c r="A372" s="34" t="str">
        <f>base!J372</f>
        <v>LM</v>
      </c>
      <c r="B372" s="34" t="str">
        <f>base!V372</f>
        <v>98000</v>
      </c>
      <c r="C372" s="37">
        <v>76</v>
      </c>
      <c r="D372" s="36">
        <f>base!H372</f>
        <v>27.05</v>
      </c>
      <c r="E372" s="44"/>
      <c r="F372" s="16">
        <f>base!W372</f>
        <v>8.1199999999999992</v>
      </c>
      <c r="G372" s="11">
        <f t="shared" si="50"/>
        <v>0.30018484288354896</v>
      </c>
      <c r="H372" s="11">
        <f t="shared" si="51"/>
        <v>4.5985000000000005</v>
      </c>
      <c r="I372" s="11">
        <f t="shared" si="52"/>
        <v>0.17</v>
      </c>
      <c r="J372" s="12">
        <f t="shared" si="53"/>
        <v>3.5214999999999987</v>
      </c>
      <c r="K372" s="17" t="str">
        <f t="shared" si="58"/>
        <v>Ecart positif</v>
      </c>
      <c r="L372" s="16">
        <f>base!X372</f>
        <v>0</v>
      </c>
      <c r="M372" s="11">
        <f t="shared" si="54"/>
        <v>0</v>
      </c>
      <c r="N372" s="11">
        <f t="shared" si="55"/>
        <v>4.5985000000000005</v>
      </c>
      <c r="O372" s="11">
        <f t="shared" si="56"/>
        <v>0.17</v>
      </c>
      <c r="P372" s="12">
        <f t="shared" si="57"/>
        <v>-4.5985000000000005</v>
      </c>
      <c r="Q372" s="17" t="str">
        <f t="shared" si="59"/>
        <v>Ecart négatif</v>
      </c>
    </row>
    <row r="373" spans="1:17" x14ac:dyDescent="0.3">
      <c r="A373" s="34" t="str">
        <f>base!J373</f>
        <v>LM</v>
      </c>
      <c r="B373" s="34" t="str">
        <f>base!V373</f>
        <v>98000</v>
      </c>
      <c r="C373" s="37">
        <v>59</v>
      </c>
      <c r="D373" s="36">
        <f>base!H373</f>
        <v>27.05</v>
      </c>
      <c r="E373" s="44"/>
      <c r="F373" s="16">
        <f>base!W373</f>
        <v>8.1199999999999992</v>
      </c>
      <c r="G373" s="11">
        <f t="shared" si="50"/>
        <v>0.30018484288354896</v>
      </c>
      <c r="H373" s="11">
        <f t="shared" si="51"/>
        <v>5.1395</v>
      </c>
      <c r="I373" s="11">
        <f t="shared" si="52"/>
        <v>0.19</v>
      </c>
      <c r="J373" s="12">
        <f t="shared" si="53"/>
        <v>2.9804999999999993</v>
      </c>
      <c r="K373" s="17" t="str">
        <f t="shared" si="58"/>
        <v>Ecart positif</v>
      </c>
      <c r="L373" s="16">
        <f>base!X373</f>
        <v>0</v>
      </c>
      <c r="M373" s="11">
        <f t="shared" si="54"/>
        <v>0</v>
      </c>
      <c r="N373" s="11">
        <f t="shared" si="55"/>
        <v>0</v>
      </c>
      <c r="O373" s="11">
        <f t="shared" si="56"/>
        <v>0</v>
      </c>
      <c r="P373" s="12">
        <f t="shared" si="57"/>
        <v>0</v>
      </c>
      <c r="Q373" s="17" t="str">
        <f t="shared" si="59"/>
        <v>Pas d'écart</v>
      </c>
    </row>
    <row r="374" spans="1:17" x14ac:dyDescent="0.3">
      <c r="A374" s="34" t="str">
        <f>base!J374</f>
        <v>LM</v>
      </c>
      <c r="B374" s="34" t="str">
        <f>base!V374</f>
        <v>75009</v>
      </c>
      <c r="C374" s="37">
        <v>75</v>
      </c>
      <c r="D374" s="36">
        <f>base!H374</f>
        <v>141.65</v>
      </c>
      <c r="E374" s="44"/>
      <c r="F374" s="16">
        <f>base!W374</f>
        <v>0</v>
      </c>
      <c r="G374" s="11">
        <f t="shared" si="50"/>
        <v>0</v>
      </c>
      <c r="H374" s="11">
        <f t="shared" si="51"/>
        <v>0</v>
      </c>
      <c r="I374" s="11">
        <f t="shared" si="52"/>
        <v>0</v>
      </c>
      <c r="J374" s="12">
        <f t="shared" si="53"/>
        <v>0</v>
      </c>
      <c r="K374" s="17" t="str">
        <f t="shared" si="58"/>
        <v>Pas d'écart</v>
      </c>
      <c r="L374" s="16">
        <f>base!X374</f>
        <v>0</v>
      </c>
      <c r="M374" s="11">
        <f t="shared" si="54"/>
        <v>0</v>
      </c>
      <c r="N374" s="11">
        <f t="shared" si="55"/>
        <v>0</v>
      </c>
      <c r="O374" s="11">
        <f t="shared" si="56"/>
        <v>0</v>
      </c>
      <c r="P374" s="12">
        <f t="shared" si="57"/>
        <v>0</v>
      </c>
      <c r="Q374" s="17" t="str">
        <f t="shared" si="59"/>
        <v>Pas d'écart</v>
      </c>
    </row>
    <row r="375" spans="1:17" x14ac:dyDescent="0.3">
      <c r="A375" s="34" t="str">
        <f>base!J375</f>
        <v>LM</v>
      </c>
      <c r="B375" s="34" t="str">
        <f>base!V375</f>
        <v>75014</v>
      </c>
      <c r="C375" s="37">
        <v>75</v>
      </c>
      <c r="D375" s="36">
        <f>base!H375</f>
        <v>19.649999999999999</v>
      </c>
      <c r="E375" s="44"/>
      <c r="F375" s="16">
        <f>base!W375</f>
        <v>0</v>
      </c>
      <c r="G375" s="11">
        <f t="shared" si="50"/>
        <v>0</v>
      </c>
      <c r="H375" s="11">
        <f t="shared" si="51"/>
        <v>0</v>
      </c>
      <c r="I375" s="11">
        <f t="shared" si="52"/>
        <v>0</v>
      </c>
      <c r="J375" s="12">
        <f t="shared" si="53"/>
        <v>0</v>
      </c>
      <c r="K375" s="17" t="str">
        <f t="shared" si="58"/>
        <v>Pas d'écart</v>
      </c>
      <c r="L375" s="16">
        <f>base!X375</f>
        <v>0</v>
      </c>
      <c r="M375" s="11">
        <f t="shared" si="54"/>
        <v>0</v>
      </c>
      <c r="N375" s="11">
        <f t="shared" si="55"/>
        <v>0</v>
      </c>
      <c r="O375" s="11">
        <f t="shared" si="56"/>
        <v>0</v>
      </c>
      <c r="P375" s="12">
        <f t="shared" si="57"/>
        <v>0</v>
      </c>
      <c r="Q375" s="17" t="str">
        <f t="shared" si="59"/>
        <v>Pas d'écart</v>
      </c>
    </row>
    <row r="376" spans="1:17" x14ac:dyDescent="0.3">
      <c r="A376" s="34" t="str">
        <f>base!J376</f>
        <v>LM</v>
      </c>
      <c r="B376" s="34" t="str">
        <f>base!V376</f>
        <v>75014</v>
      </c>
      <c r="C376" s="37">
        <v>75</v>
      </c>
      <c r="D376" s="36">
        <f>base!H376</f>
        <v>19.649999999999999</v>
      </c>
      <c r="E376" s="44"/>
      <c r="F376" s="16">
        <f>base!W376</f>
        <v>0</v>
      </c>
      <c r="G376" s="11">
        <f t="shared" si="50"/>
        <v>0</v>
      </c>
      <c r="H376" s="11">
        <f t="shared" si="51"/>
        <v>0</v>
      </c>
      <c r="I376" s="11">
        <f t="shared" si="52"/>
        <v>0</v>
      </c>
      <c r="J376" s="12">
        <f t="shared" si="53"/>
        <v>0</v>
      </c>
      <c r="K376" s="17" t="str">
        <f t="shared" si="58"/>
        <v>Pas d'écart</v>
      </c>
      <c r="L376" s="16">
        <f>base!X376</f>
        <v>0</v>
      </c>
      <c r="M376" s="11">
        <f t="shared" si="54"/>
        <v>0</v>
      </c>
      <c r="N376" s="11">
        <f t="shared" si="55"/>
        <v>0</v>
      </c>
      <c r="O376" s="11">
        <f t="shared" si="56"/>
        <v>0</v>
      </c>
      <c r="P376" s="12">
        <f t="shared" si="57"/>
        <v>0</v>
      </c>
      <c r="Q376" s="17" t="str">
        <f t="shared" si="59"/>
        <v>Pas d'écart</v>
      </c>
    </row>
    <row r="377" spans="1:17" x14ac:dyDescent="0.3">
      <c r="A377" s="34" t="str">
        <f>base!J377</f>
        <v>LM</v>
      </c>
      <c r="B377" s="34" t="str">
        <f>base!V377</f>
        <v>75014</v>
      </c>
      <c r="C377" s="37">
        <v>75</v>
      </c>
      <c r="D377" s="36">
        <f>base!H377</f>
        <v>19.649999999999999</v>
      </c>
      <c r="E377" s="44"/>
      <c r="F377" s="16">
        <f>base!W377</f>
        <v>0</v>
      </c>
      <c r="G377" s="11">
        <f t="shared" si="50"/>
        <v>0</v>
      </c>
      <c r="H377" s="11">
        <f t="shared" si="51"/>
        <v>0</v>
      </c>
      <c r="I377" s="11">
        <f t="shared" si="52"/>
        <v>0</v>
      </c>
      <c r="J377" s="12">
        <f t="shared" si="53"/>
        <v>0</v>
      </c>
      <c r="K377" s="17" t="str">
        <f t="shared" si="58"/>
        <v>Pas d'écart</v>
      </c>
      <c r="L377" s="16">
        <f>base!X377</f>
        <v>0</v>
      </c>
      <c r="M377" s="11">
        <f t="shared" si="54"/>
        <v>0</v>
      </c>
      <c r="N377" s="11">
        <f t="shared" si="55"/>
        <v>0</v>
      </c>
      <c r="O377" s="11">
        <f t="shared" si="56"/>
        <v>0</v>
      </c>
      <c r="P377" s="12">
        <f t="shared" si="57"/>
        <v>0</v>
      </c>
      <c r="Q377" s="17" t="str">
        <f t="shared" si="59"/>
        <v>Pas d'écart</v>
      </c>
    </row>
    <row r="378" spans="1:17" x14ac:dyDescent="0.3">
      <c r="A378" s="34" t="str">
        <f>base!J378</f>
        <v>LM</v>
      </c>
      <c r="B378" s="34" t="str">
        <f>base!V378</f>
        <v>75014</v>
      </c>
      <c r="C378" s="37">
        <v>75</v>
      </c>
      <c r="D378" s="36">
        <f>base!H378</f>
        <v>19.649999999999999</v>
      </c>
      <c r="E378" s="44"/>
      <c r="F378" s="16">
        <f>base!W378</f>
        <v>0</v>
      </c>
      <c r="G378" s="11">
        <f t="shared" si="50"/>
        <v>0</v>
      </c>
      <c r="H378" s="11">
        <f t="shared" si="51"/>
        <v>0</v>
      </c>
      <c r="I378" s="11">
        <f t="shared" si="52"/>
        <v>0</v>
      </c>
      <c r="J378" s="12">
        <f t="shared" si="53"/>
        <v>0</v>
      </c>
      <c r="K378" s="17" t="str">
        <f t="shared" si="58"/>
        <v>Pas d'écart</v>
      </c>
      <c r="L378" s="16">
        <f>base!X378</f>
        <v>0</v>
      </c>
      <c r="M378" s="11">
        <f t="shared" si="54"/>
        <v>0</v>
      </c>
      <c r="N378" s="11">
        <f t="shared" si="55"/>
        <v>0</v>
      </c>
      <c r="O378" s="11">
        <f t="shared" si="56"/>
        <v>0</v>
      </c>
      <c r="P378" s="12">
        <f t="shared" si="57"/>
        <v>0</v>
      </c>
      <c r="Q378" s="17" t="str">
        <f t="shared" si="59"/>
        <v>Pas d'écart</v>
      </c>
    </row>
    <row r="379" spans="1:17" x14ac:dyDescent="0.3">
      <c r="A379" s="34" t="str">
        <f>base!J379</f>
        <v>LM</v>
      </c>
      <c r="B379" s="34" t="str">
        <f>base!V379</f>
        <v>75014</v>
      </c>
      <c r="C379" s="37">
        <v>75</v>
      </c>
      <c r="D379" s="36">
        <f>base!H379</f>
        <v>19.649999999999999</v>
      </c>
      <c r="E379" s="44"/>
      <c r="F379" s="16">
        <f>base!W379</f>
        <v>0</v>
      </c>
      <c r="G379" s="11">
        <f t="shared" si="50"/>
        <v>0</v>
      </c>
      <c r="H379" s="11">
        <f t="shared" si="51"/>
        <v>0</v>
      </c>
      <c r="I379" s="11">
        <f t="shared" si="52"/>
        <v>0</v>
      </c>
      <c r="J379" s="12">
        <f t="shared" si="53"/>
        <v>0</v>
      </c>
      <c r="K379" s="17" t="str">
        <f t="shared" si="58"/>
        <v>Pas d'écart</v>
      </c>
      <c r="L379" s="16">
        <f>base!X379</f>
        <v>0</v>
      </c>
      <c r="M379" s="11">
        <f t="shared" si="54"/>
        <v>0</v>
      </c>
      <c r="N379" s="11">
        <f t="shared" si="55"/>
        <v>0</v>
      </c>
      <c r="O379" s="11">
        <f t="shared" si="56"/>
        <v>0</v>
      </c>
      <c r="P379" s="12">
        <f t="shared" si="57"/>
        <v>0</v>
      </c>
      <c r="Q379" s="17" t="str">
        <f t="shared" si="59"/>
        <v>Pas d'écart</v>
      </c>
    </row>
    <row r="380" spans="1:17" x14ac:dyDescent="0.3">
      <c r="A380" s="34" t="str">
        <f>base!J380</f>
        <v>LM</v>
      </c>
      <c r="B380" s="34" t="str">
        <f>base!V380</f>
        <v>75014</v>
      </c>
      <c r="C380" s="37">
        <v>75</v>
      </c>
      <c r="D380" s="36">
        <f>base!H380</f>
        <v>19.649999999999999</v>
      </c>
      <c r="E380" s="44"/>
      <c r="F380" s="16">
        <f>base!W380</f>
        <v>0</v>
      </c>
      <c r="G380" s="11">
        <f t="shared" si="50"/>
        <v>0</v>
      </c>
      <c r="H380" s="11">
        <f t="shared" si="51"/>
        <v>0</v>
      </c>
      <c r="I380" s="11">
        <f t="shared" si="52"/>
        <v>0</v>
      </c>
      <c r="J380" s="12">
        <f t="shared" si="53"/>
        <v>0</v>
      </c>
      <c r="K380" s="17" t="str">
        <f t="shared" si="58"/>
        <v>Pas d'écart</v>
      </c>
      <c r="L380" s="16">
        <f>base!X380</f>
        <v>0</v>
      </c>
      <c r="M380" s="11">
        <f t="shared" si="54"/>
        <v>0</v>
      </c>
      <c r="N380" s="11">
        <f t="shared" si="55"/>
        <v>0</v>
      </c>
      <c r="O380" s="11">
        <f t="shared" si="56"/>
        <v>0</v>
      </c>
      <c r="P380" s="12">
        <f t="shared" si="57"/>
        <v>0</v>
      </c>
      <c r="Q380" s="17" t="str">
        <f t="shared" si="59"/>
        <v>Pas d'écart</v>
      </c>
    </row>
    <row r="381" spans="1:17" x14ac:dyDescent="0.3">
      <c r="A381" s="34" t="str">
        <f>base!J381</f>
        <v>LM</v>
      </c>
      <c r="B381" s="34" t="str">
        <f>base!V381</f>
        <v>64600</v>
      </c>
      <c r="C381" s="37">
        <v>59</v>
      </c>
      <c r="D381" s="36">
        <f>base!H381</f>
        <v>86.27</v>
      </c>
      <c r="E381" s="44"/>
      <c r="F381" s="16">
        <f>base!W381</f>
        <v>18.12</v>
      </c>
      <c r="G381" s="11">
        <f t="shared" si="50"/>
        <v>0.21003825199953635</v>
      </c>
      <c r="H381" s="11">
        <f t="shared" si="51"/>
        <v>16.391300000000001</v>
      </c>
      <c r="I381" s="11">
        <f t="shared" si="52"/>
        <v>0.19000000000000003</v>
      </c>
      <c r="J381" s="12">
        <f t="shared" si="53"/>
        <v>1.7286999999999999</v>
      </c>
      <c r="K381" s="17" t="str">
        <f t="shared" si="58"/>
        <v>Ecart positif</v>
      </c>
      <c r="L381" s="16">
        <f>base!X381</f>
        <v>0</v>
      </c>
      <c r="M381" s="11">
        <f t="shared" si="54"/>
        <v>0</v>
      </c>
      <c r="N381" s="11">
        <f t="shared" si="55"/>
        <v>0</v>
      </c>
      <c r="O381" s="11">
        <f t="shared" si="56"/>
        <v>0</v>
      </c>
      <c r="P381" s="12">
        <f t="shared" si="57"/>
        <v>0</v>
      </c>
      <c r="Q381" s="17" t="str">
        <f t="shared" si="59"/>
        <v>Pas d'écart</v>
      </c>
    </row>
    <row r="382" spans="1:17" x14ac:dyDescent="0.3">
      <c r="A382" s="34" t="str">
        <f>base!J382</f>
        <v>LS</v>
      </c>
      <c r="B382" s="34" t="str">
        <f>base!V382</f>
        <v>88100</v>
      </c>
      <c r="C382" s="37">
        <v>59</v>
      </c>
      <c r="D382" s="36">
        <f>base!H382</f>
        <v>120.29</v>
      </c>
      <c r="E382" s="44"/>
      <c r="F382" s="16">
        <f>base!W382</f>
        <v>34.880000000000003</v>
      </c>
      <c r="G382" s="11">
        <f t="shared" si="50"/>
        <v>0.28996591570371605</v>
      </c>
      <c r="H382" s="11">
        <f t="shared" si="51"/>
        <v>22.8551</v>
      </c>
      <c r="I382" s="11">
        <f t="shared" si="52"/>
        <v>0.19</v>
      </c>
      <c r="J382" s="12">
        <f t="shared" si="53"/>
        <v>12.024900000000002</v>
      </c>
      <c r="K382" s="17" t="str">
        <f t="shared" si="58"/>
        <v>Ecart positif</v>
      </c>
      <c r="L382" s="16">
        <f>base!X382</f>
        <v>0</v>
      </c>
      <c r="M382" s="11">
        <f t="shared" si="54"/>
        <v>0</v>
      </c>
      <c r="N382" s="11">
        <f t="shared" si="55"/>
        <v>0</v>
      </c>
      <c r="O382" s="11">
        <f t="shared" si="56"/>
        <v>0</v>
      </c>
      <c r="P382" s="12">
        <f t="shared" si="57"/>
        <v>0</v>
      </c>
      <c r="Q382" s="17" t="str">
        <f t="shared" si="59"/>
        <v>Pas d'écart</v>
      </c>
    </row>
    <row r="383" spans="1:17" x14ac:dyDescent="0.3">
      <c r="A383" s="34" t="str">
        <f>base!J383</f>
        <v>RM</v>
      </c>
      <c r="B383" s="34" t="str">
        <f>base!V383</f>
        <v>62740</v>
      </c>
      <c r="C383" s="37">
        <v>62</v>
      </c>
      <c r="D383" s="36">
        <f>base!H383</f>
        <v>29.89</v>
      </c>
      <c r="E383" s="44"/>
      <c r="F383" s="16">
        <f>base!W383</f>
        <v>0</v>
      </c>
      <c r="G383" s="11">
        <f t="shared" si="50"/>
        <v>0</v>
      </c>
      <c r="H383" s="11">
        <f t="shared" si="51"/>
        <v>5.6791</v>
      </c>
      <c r="I383" s="11">
        <f t="shared" si="52"/>
        <v>0.19</v>
      </c>
      <c r="J383" s="12">
        <f t="shared" si="53"/>
        <v>-5.6791</v>
      </c>
      <c r="K383" s="17" t="str">
        <f t="shared" si="58"/>
        <v>Ecart négatif</v>
      </c>
      <c r="L383" s="16">
        <f>base!X383</f>
        <v>0</v>
      </c>
      <c r="M383" s="11">
        <f t="shared" si="54"/>
        <v>0</v>
      </c>
      <c r="N383" s="11">
        <f t="shared" si="55"/>
        <v>0</v>
      </c>
      <c r="O383" s="11">
        <f t="shared" si="56"/>
        <v>0</v>
      </c>
      <c r="P383" s="12">
        <f t="shared" si="57"/>
        <v>0</v>
      </c>
      <c r="Q383" s="17" t="str">
        <f t="shared" si="59"/>
        <v>Pas d'écart</v>
      </c>
    </row>
    <row r="384" spans="1:17" x14ac:dyDescent="0.3">
      <c r="A384" s="34" t="str">
        <f>base!J384</f>
        <v>RM</v>
      </c>
      <c r="B384" s="34" t="str">
        <f>base!V384</f>
        <v>94110</v>
      </c>
      <c r="C384" s="37">
        <v>94</v>
      </c>
      <c r="D384" s="36">
        <f>base!H384</f>
        <v>883.29</v>
      </c>
      <c r="E384" s="44"/>
      <c r="F384" s="16">
        <f>base!W384</f>
        <v>0</v>
      </c>
      <c r="G384" s="11">
        <f t="shared" si="50"/>
        <v>0</v>
      </c>
      <c r="H384" s="11">
        <f t="shared" si="51"/>
        <v>0</v>
      </c>
      <c r="I384" s="11">
        <f t="shared" si="52"/>
        <v>0</v>
      </c>
      <c r="J384" s="12">
        <f t="shared" si="53"/>
        <v>0</v>
      </c>
      <c r="K384" s="17" t="str">
        <f t="shared" si="58"/>
        <v>Pas d'écart</v>
      </c>
      <c r="L384" s="16">
        <f>base!X384</f>
        <v>0</v>
      </c>
      <c r="M384" s="11">
        <f t="shared" si="54"/>
        <v>0</v>
      </c>
      <c r="N384" s="11">
        <f t="shared" si="55"/>
        <v>0</v>
      </c>
      <c r="O384" s="11">
        <f t="shared" si="56"/>
        <v>0</v>
      </c>
      <c r="P384" s="12">
        <f t="shared" si="57"/>
        <v>0</v>
      </c>
      <c r="Q384" s="17" t="str">
        <f t="shared" si="59"/>
        <v>Pas d'écart</v>
      </c>
    </row>
    <row r="385" spans="1:18" x14ac:dyDescent="0.3">
      <c r="A385" s="34" t="str">
        <f>base!J385</f>
        <v>LM</v>
      </c>
      <c r="B385" s="34" t="str">
        <f>base!V385</f>
        <v>17350</v>
      </c>
      <c r="C385" s="37">
        <v>59</v>
      </c>
      <c r="D385" s="36">
        <f>base!H385</f>
        <v>30</v>
      </c>
      <c r="E385" s="44"/>
      <c r="F385" s="16">
        <f>base!W385</f>
        <v>0</v>
      </c>
      <c r="G385" s="11">
        <f t="shared" si="50"/>
        <v>0</v>
      </c>
      <c r="H385" s="11">
        <f t="shared" si="51"/>
        <v>5.7</v>
      </c>
      <c r="I385" s="11">
        <f t="shared" si="52"/>
        <v>0.19</v>
      </c>
      <c r="J385" s="12">
        <f t="shared" si="53"/>
        <v>-5.7</v>
      </c>
      <c r="K385" s="17" t="str">
        <f t="shared" si="58"/>
        <v>Ecart négatif</v>
      </c>
      <c r="L385" s="16">
        <f>base!X385</f>
        <v>0</v>
      </c>
      <c r="M385" s="11">
        <f t="shared" si="54"/>
        <v>0</v>
      </c>
      <c r="N385" s="11">
        <f t="shared" si="55"/>
        <v>0</v>
      </c>
      <c r="O385" s="11">
        <f t="shared" si="56"/>
        <v>0</v>
      </c>
      <c r="P385" s="12">
        <f t="shared" si="57"/>
        <v>0</v>
      </c>
      <c r="Q385" s="17" t="str">
        <f t="shared" si="59"/>
        <v>Pas d'écart</v>
      </c>
    </row>
    <row r="386" spans="1:18" x14ac:dyDescent="0.3">
      <c r="A386" s="34">
        <f>base!J386</f>
        <v>0</v>
      </c>
      <c r="B386" s="34" t="str">
        <f>base!V386</f>
        <v>77184</v>
      </c>
      <c r="C386" s="37">
        <v>77</v>
      </c>
      <c r="D386" s="36">
        <f>base!H386</f>
        <v>38.9</v>
      </c>
      <c r="E386" s="44"/>
      <c r="F386" s="16">
        <f>base!W386</f>
        <v>0</v>
      </c>
      <c r="G386" s="11">
        <f t="shared" ref="G386:G449" si="60">F386/D386</f>
        <v>0</v>
      </c>
      <c r="H386" s="11">
        <f t="shared" ref="H386:H449" si="61">VLOOKUP(C386,tout_cout_traction,2,FALSE)*D386</f>
        <v>0</v>
      </c>
      <c r="I386" s="11">
        <f t="shared" ref="I386:I449" si="62">H386/D386</f>
        <v>0</v>
      </c>
      <c r="J386" s="12">
        <f t="shared" ref="J386:J449" si="63">F386-H386</f>
        <v>0</v>
      </c>
      <c r="K386" s="17" t="str">
        <f t="shared" si="58"/>
        <v>Pas d'écart</v>
      </c>
      <c r="L386" s="16">
        <f>base!X386</f>
        <v>0</v>
      </c>
      <c r="M386" s="11">
        <f t="shared" ref="M386:M449" si="64">L386/D386</f>
        <v>0</v>
      </c>
      <c r="N386" s="11">
        <f t="shared" ref="N386:N449" si="65">VLOOKUP(C386,tout_cout_traction,3,FALSE)*D386</f>
        <v>0</v>
      </c>
      <c r="O386" s="11">
        <f t="shared" ref="O386:O449" si="66">N386/D386</f>
        <v>0</v>
      </c>
      <c r="P386" s="12">
        <f t="shared" ref="P386:P449" si="67">L386-N386</f>
        <v>0</v>
      </c>
      <c r="Q386" s="17" t="str">
        <f t="shared" si="59"/>
        <v>Pas d'écart</v>
      </c>
    </row>
    <row r="387" spans="1:18" x14ac:dyDescent="0.3">
      <c r="A387" s="34" t="str">
        <f>base!J387</f>
        <v>RS</v>
      </c>
      <c r="B387" s="34" t="str">
        <f>base!V387</f>
        <v>59150</v>
      </c>
      <c r="C387" s="37">
        <v>59</v>
      </c>
      <c r="D387" s="36">
        <f>base!H387</f>
        <v>40</v>
      </c>
      <c r="E387" s="44"/>
      <c r="F387" s="16">
        <f>base!W387</f>
        <v>0</v>
      </c>
      <c r="G387" s="11">
        <f t="shared" si="60"/>
        <v>0</v>
      </c>
      <c r="H387" s="11">
        <f t="shared" si="61"/>
        <v>7.6</v>
      </c>
      <c r="I387" s="11">
        <f t="shared" si="62"/>
        <v>0.19</v>
      </c>
      <c r="J387" s="12">
        <f t="shared" si="63"/>
        <v>-7.6</v>
      </c>
      <c r="K387" s="17" t="str">
        <f t="shared" ref="K387:K450" si="68">IF(H387=F387,"Pas d'écart",IF(H387&lt;F387,"Ecart positif",IF(H387&gt;F387,"Ecart négatif")))</f>
        <v>Ecart négatif</v>
      </c>
      <c r="L387" s="16">
        <f>base!X387</f>
        <v>0</v>
      </c>
      <c r="M387" s="11">
        <f t="shared" si="64"/>
        <v>0</v>
      </c>
      <c r="N387" s="11">
        <f t="shared" si="65"/>
        <v>0</v>
      </c>
      <c r="O387" s="11">
        <f t="shared" si="66"/>
        <v>0</v>
      </c>
      <c r="P387" s="12">
        <f t="shared" si="67"/>
        <v>0</v>
      </c>
      <c r="Q387" s="17" t="str">
        <f t="shared" ref="Q387:Q450" si="69">IF(N387=L387,"Pas d'écart",IF(N387&lt;L387,"Ecart positif",IF(N387&gt;L387,"Ecart négatif")))</f>
        <v>Pas d'écart</v>
      </c>
    </row>
    <row r="388" spans="1:18" x14ac:dyDescent="0.3">
      <c r="A388" s="34" t="str">
        <f>base!J388</f>
        <v>RM</v>
      </c>
      <c r="B388" s="34" t="str">
        <f>base!V388</f>
        <v>34980</v>
      </c>
      <c r="C388" s="37">
        <v>34</v>
      </c>
      <c r="D388" s="36">
        <f>base!H388</f>
        <v>151</v>
      </c>
      <c r="E388" s="44"/>
      <c r="F388" s="16">
        <f>base!W388</f>
        <v>0</v>
      </c>
      <c r="G388" s="11">
        <f t="shared" si="60"/>
        <v>0</v>
      </c>
      <c r="H388" s="11">
        <f t="shared" si="61"/>
        <v>58.89</v>
      </c>
      <c r="I388" s="11">
        <f t="shared" si="62"/>
        <v>0.39</v>
      </c>
      <c r="J388" s="12">
        <f t="shared" si="63"/>
        <v>-58.89</v>
      </c>
      <c r="K388" s="17" t="str">
        <f t="shared" si="68"/>
        <v>Ecart négatif</v>
      </c>
      <c r="L388" s="16">
        <f>base!X388</f>
        <v>42.28</v>
      </c>
      <c r="M388" s="11">
        <f t="shared" si="64"/>
        <v>0.28000000000000003</v>
      </c>
      <c r="N388" s="11">
        <f t="shared" si="65"/>
        <v>42.28</v>
      </c>
      <c r="O388" s="11">
        <f t="shared" si="66"/>
        <v>0.28000000000000003</v>
      </c>
      <c r="P388" s="12">
        <f t="shared" si="67"/>
        <v>0</v>
      </c>
      <c r="Q388" s="17" t="str">
        <f t="shared" si="69"/>
        <v>Pas d'écart</v>
      </c>
      <c r="R388" s="38"/>
    </row>
    <row r="389" spans="1:18" x14ac:dyDescent="0.3">
      <c r="A389" s="34" t="str">
        <f>base!J389</f>
        <v>LS</v>
      </c>
      <c r="B389" s="34" t="str">
        <f>base!V389</f>
        <v>62600</v>
      </c>
      <c r="C389" s="37">
        <v>59</v>
      </c>
      <c r="D389" s="36">
        <f>base!H389</f>
        <v>140.53</v>
      </c>
      <c r="E389" s="44"/>
      <c r="F389" s="16">
        <f>base!W389</f>
        <v>26.7</v>
      </c>
      <c r="G389" s="11">
        <f t="shared" si="60"/>
        <v>0.18999501885718351</v>
      </c>
      <c r="H389" s="11">
        <f t="shared" si="61"/>
        <v>26.700700000000001</v>
      </c>
      <c r="I389" s="11">
        <f t="shared" si="62"/>
        <v>0.19</v>
      </c>
      <c r="J389" s="12">
        <f t="shared" si="63"/>
        <v>-7.0000000000192131E-4</v>
      </c>
      <c r="K389" s="17" t="str">
        <f t="shared" si="68"/>
        <v>Ecart négatif</v>
      </c>
      <c r="L389" s="16">
        <f>base!X389</f>
        <v>0</v>
      </c>
      <c r="M389" s="11">
        <f t="shared" si="64"/>
        <v>0</v>
      </c>
      <c r="N389" s="11">
        <f t="shared" si="65"/>
        <v>0</v>
      </c>
      <c r="O389" s="11">
        <f t="shared" si="66"/>
        <v>0</v>
      </c>
      <c r="P389" s="12">
        <f t="shared" si="67"/>
        <v>0</v>
      </c>
      <c r="Q389" s="17" t="str">
        <f t="shared" si="69"/>
        <v>Pas d'écart</v>
      </c>
    </row>
    <row r="390" spans="1:18" x14ac:dyDescent="0.3">
      <c r="A390" s="34" t="str">
        <f>base!J390</f>
        <v>LS</v>
      </c>
      <c r="B390" s="34" t="str">
        <f>base!V390</f>
        <v>75012</v>
      </c>
      <c r="C390" s="37">
        <v>75</v>
      </c>
      <c r="D390" s="36">
        <f>base!H390</f>
        <v>127.01</v>
      </c>
      <c r="E390" s="44"/>
      <c r="F390" s="16">
        <f>base!W390</f>
        <v>0</v>
      </c>
      <c r="G390" s="11">
        <f t="shared" si="60"/>
        <v>0</v>
      </c>
      <c r="H390" s="11">
        <f t="shared" si="61"/>
        <v>0</v>
      </c>
      <c r="I390" s="11">
        <f t="shared" si="62"/>
        <v>0</v>
      </c>
      <c r="J390" s="12">
        <f t="shared" si="63"/>
        <v>0</v>
      </c>
      <c r="K390" s="17" t="str">
        <f t="shared" si="68"/>
        <v>Pas d'écart</v>
      </c>
      <c r="L390" s="16">
        <f>base!X390</f>
        <v>0</v>
      </c>
      <c r="M390" s="11">
        <f t="shared" si="64"/>
        <v>0</v>
      </c>
      <c r="N390" s="11">
        <f t="shared" si="65"/>
        <v>0</v>
      </c>
      <c r="O390" s="11">
        <f t="shared" si="66"/>
        <v>0</v>
      </c>
      <c r="P390" s="12">
        <f t="shared" si="67"/>
        <v>0</v>
      </c>
      <c r="Q390" s="17" t="str">
        <f t="shared" si="69"/>
        <v>Pas d'écart</v>
      </c>
    </row>
    <row r="391" spans="1:18" x14ac:dyDescent="0.3">
      <c r="A391" s="34" t="str">
        <f>base!J391</f>
        <v>LS</v>
      </c>
      <c r="B391" s="34" t="str">
        <f>base!V391</f>
        <v>57050</v>
      </c>
      <c r="C391" s="37">
        <v>59</v>
      </c>
      <c r="D391" s="36">
        <f>base!H391</f>
        <v>34.590000000000003</v>
      </c>
      <c r="E391" s="44"/>
      <c r="F391" s="16">
        <f>base!W391</f>
        <v>8.65</v>
      </c>
      <c r="G391" s="11">
        <f t="shared" si="60"/>
        <v>0.25007227522405318</v>
      </c>
      <c r="H391" s="11">
        <f t="shared" si="61"/>
        <v>6.5721000000000007</v>
      </c>
      <c r="I391" s="11">
        <f t="shared" si="62"/>
        <v>0.19</v>
      </c>
      <c r="J391" s="12">
        <f t="shared" si="63"/>
        <v>2.0778999999999996</v>
      </c>
      <c r="K391" s="17" t="str">
        <f t="shared" si="68"/>
        <v>Ecart positif</v>
      </c>
      <c r="L391" s="16">
        <f>base!X391</f>
        <v>0</v>
      </c>
      <c r="M391" s="11">
        <f t="shared" si="64"/>
        <v>0</v>
      </c>
      <c r="N391" s="11">
        <f t="shared" si="65"/>
        <v>0</v>
      </c>
      <c r="O391" s="11">
        <f t="shared" si="66"/>
        <v>0</v>
      </c>
      <c r="P391" s="12">
        <f t="shared" si="67"/>
        <v>0</v>
      </c>
      <c r="Q391" s="17" t="str">
        <f t="shared" si="69"/>
        <v>Pas d'écart</v>
      </c>
    </row>
    <row r="392" spans="1:18" x14ac:dyDescent="0.3">
      <c r="A392" s="34" t="str">
        <f>base!J392</f>
        <v>LM</v>
      </c>
      <c r="B392" s="34" t="str">
        <f>base!V392</f>
        <v>52800</v>
      </c>
      <c r="C392" s="37">
        <v>67</v>
      </c>
      <c r="D392" s="36">
        <f>base!H392</f>
        <v>22.62</v>
      </c>
      <c r="E392" s="44"/>
      <c r="F392" s="16">
        <f>base!W392</f>
        <v>5.43</v>
      </c>
      <c r="G392" s="11">
        <f t="shared" si="60"/>
        <v>0.24005305039787797</v>
      </c>
      <c r="H392" s="11">
        <f t="shared" si="61"/>
        <v>6.5598000000000001</v>
      </c>
      <c r="I392" s="11">
        <f t="shared" si="62"/>
        <v>0.28999999999999998</v>
      </c>
      <c r="J392" s="12">
        <f t="shared" si="63"/>
        <v>-1.1298000000000004</v>
      </c>
      <c r="K392" s="17" t="str">
        <f t="shared" si="68"/>
        <v>Ecart négatif</v>
      </c>
      <c r="L392" s="16">
        <f>base!X392</f>
        <v>0</v>
      </c>
      <c r="M392" s="11">
        <f t="shared" si="64"/>
        <v>0</v>
      </c>
      <c r="N392" s="11">
        <f t="shared" si="65"/>
        <v>1.8096000000000001</v>
      </c>
      <c r="O392" s="11">
        <f t="shared" si="66"/>
        <v>0.08</v>
      </c>
      <c r="P392" s="12">
        <f t="shared" si="67"/>
        <v>-1.8096000000000001</v>
      </c>
      <c r="Q392" s="17" t="str">
        <f t="shared" si="69"/>
        <v>Ecart négatif</v>
      </c>
    </row>
    <row r="393" spans="1:18" x14ac:dyDescent="0.3">
      <c r="A393" s="34" t="str">
        <f>base!J393</f>
        <v>LM</v>
      </c>
      <c r="B393" s="34" t="str">
        <f>base!V393</f>
        <v>62180</v>
      </c>
      <c r="C393" s="37">
        <v>59</v>
      </c>
      <c r="D393" s="36">
        <f>base!H393</f>
        <v>55.31</v>
      </c>
      <c r="E393" s="44"/>
      <c r="F393" s="16">
        <f>base!W393</f>
        <v>10.51</v>
      </c>
      <c r="G393" s="11">
        <f t="shared" si="60"/>
        <v>0.19001988790453805</v>
      </c>
      <c r="H393" s="11">
        <f t="shared" si="61"/>
        <v>10.508900000000001</v>
      </c>
      <c r="I393" s="11">
        <f t="shared" si="62"/>
        <v>0.19</v>
      </c>
      <c r="J393" s="12">
        <f t="shared" si="63"/>
        <v>1.0999999999992127E-3</v>
      </c>
      <c r="K393" s="17" t="str">
        <f t="shared" si="68"/>
        <v>Ecart positif</v>
      </c>
      <c r="L393" s="16">
        <f>base!X393</f>
        <v>0</v>
      </c>
      <c r="M393" s="11">
        <f t="shared" si="64"/>
        <v>0</v>
      </c>
      <c r="N393" s="11">
        <f t="shared" si="65"/>
        <v>0</v>
      </c>
      <c r="O393" s="11">
        <f t="shared" si="66"/>
        <v>0</v>
      </c>
      <c r="P393" s="12">
        <f t="shared" si="67"/>
        <v>0</v>
      </c>
      <c r="Q393" s="17" t="str">
        <f t="shared" si="69"/>
        <v>Pas d'écart</v>
      </c>
    </row>
    <row r="394" spans="1:18" x14ac:dyDescent="0.3">
      <c r="A394" s="34" t="str">
        <f>base!J394</f>
        <v>LS</v>
      </c>
      <c r="B394" s="34" t="str">
        <f>base!V394</f>
        <v>79010</v>
      </c>
      <c r="C394" s="37">
        <v>14</v>
      </c>
      <c r="D394" s="36">
        <f>base!H394</f>
        <v>138.12</v>
      </c>
      <c r="E394" s="44"/>
      <c r="F394" s="16">
        <f>base!W394</f>
        <v>29.01</v>
      </c>
      <c r="G394" s="11">
        <f t="shared" si="60"/>
        <v>0.21003475238922675</v>
      </c>
      <c r="H394" s="11">
        <f t="shared" si="61"/>
        <v>23.480400000000003</v>
      </c>
      <c r="I394" s="11">
        <f t="shared" si="62"/>
        <v>0.17</v>
      </c>
      <c r="J394" s="12">
        <f t="shared" si="63"/>
        <v>5.5295999999999985</v>
      </c>
      <c r="K394" s="17" t="str">
        <f t="shared" si="68"/>
        <v>Ecart positif</v>
      </c>
      <c r="L394" s="16">
        <f>base!X394</f>
        <v>0</v>
      </c>
      <c r="M394" s="11">
        <f t="shared" si="64"/>
        <v>0</v>
      </c>
      <c r="N394" s="11">
        <f t="shared" si="65"/>
        <v>23.480400000000003</v>
      </c>
      <c r="O394" s="11">
        <f t="shared" si="66"/>
        <v>0.17</v>
      </c>
      <c r="P394" s="12">
        <f t="shared" si="67"/>
        <v>-23.480400000000003</v>
      </c>
      <c r="Q394" s="17" t="str">
        <f t="shared" si="69"/>
        <v>Ecart négatif</v>
      </c>
    </row>
    <row r="395" spans="1:18" x14ac:dyDescent="0.3">
      <c r="A395" s="34" t="str">
        <f>base!J395</f>
        <v>DLS</v>
      </c>
      <c r="B395" s="34" t="str">
        <f>base!V395</f>
        <v>59650</v>
      </c>
      <c r="C395" s="37">
        <v>59</v>
      </c>
      <c r="D395" s="36">
        <f>base!H395</f>
        <v>185.6</v>
      </c>
      <c r="E395" s="44"/>
      <c r="F395" s="16">
        <f>base!W395</f>
        <v>35.26</v>
      </c>
      <c r="G395" s="11">
        <f t="shared" si="60"/>
        <v>0.18997844827586208</v>
      </c>
      <c r="H395" s="11">
        <f t="shared" si="61"/>
        <v>35.263999999999996</v>
      </c>
      <c r="I395" s="11">
        <f t="shared" si="62"/>
        <v>0.18999999999999997</v>
      </c>
      <c r="J395" s="12">
        <f t="shared" si="63"/>
        <v>-3.9999999999977831E-3</v>
      </c>
      <c r="K395" s="17" t="str">
        <f t="shared" si="68"/>
        <v>Ecart négatif</v>
      </c>
      <c r="L395" s="16">
        <f>base!X395</f>
        <v>0</v>
      </c>
      <c r="M395" s="11">
        <f t="shared" si="64"/>
        <v>0</v>
      </c>
      <c r="N395" s="11">
        <f t="shared" si="65"/>
        <v>0</v>
      </c>
      <c r="O395" s="11">
        <f t="shared" si="66"/>
        <v>0</v>
      </c>
      <c r="P395" s="12">
        <f t="shared" si="67"/>
        <v>0</v>
      </c>
      <c r="Q395" s="17" t="str">
        <f t="shared" si="69"/>
        <v>Pas d'écart</v>
      </c>
    </row>
    <row r="396" spans="1:18" x14ac:dyDescent="0.3">
      <c r="A396" s="34" t="str">
        <f>base!J396</f>
        <v>LS</v>
      </c>
      <c r="B396" s="34" t="str">
        <f>base!V396</f>
        <v>25620</v>
      </c>
      <c r="C396" s="37">
        <v>14</v>
      </c>
      <c r="D396" s="36">
        <f>base!H396</f>
        <v>158.81</v>
      </c>
      <c r="E396" s="44"/>
      <c r="F396" s="16">
        <f>base!W396</f>
        <v>38.11</v>
      </c>
      <c r="G396" s="11">
        <f t="shared" si="60"/>
        <v>0.23997229393615011</v>
      </c>
      <c r="H396" s="11">
        <f t="shared" si="61"/>
        <v>26.997700000000002</v>
      </c>
      <c r="I396" s="11">
        <f t="shared" si="62"/>
        <v>0.17</v>
      </c>
      <c r="J396" s="12">
        <f t="shared" si="63"/>
        <v>11.112299999999998</v>
      </c>
      <c r="K396" s="17" t="str">
        <f t="shared" si="68"/>
        <v>Ecart positif</v>
      </c>
      <c r="L396" s="16">
        <f>base!X396</f>
        <v>0</v>
      </c>
      <c r="M396" s="11">
        <f t="shared" si="64"/>
        <v>0</v>
      </c>
      <c r="N396" s="11">
        <f t="shared" si="65"/>
        <v>26.997700000000002</v>
      </c>
      <c r="O396" s="11">
        <f t="shared" si="66"/>
        <v>0.17</v>
      </c>
      <c r="P396" s="12">
        <f t="shared" si="67"/>
        <v>-26.997700000000002</v>
      </c>
      <c r="Q396" s="17" t="str">
        <f t="shared" si="69"/>
        <v>Ecart négatif</v>
      </c>
    </row>
    <row r="397" spans="1:18" x14ac:dyDescent="0.3">
      <c r="A397" s="34" t="str">
        <f>base!J397</f>
        <v>LS</v>
      </c>
      <c r="B397" s="34" t="str">
        <f>base!V397</f>
        <v>13742</v>
      </c>
      <c r="C397" s="37">
        <v>14</v>
      </c>
      <c r="D397" s="36">
        <f>base!H397</f>
        <v>55.14</v>
      </c>
      <c r="E397" s="44"/>
      <c r="F397" s="16">
        <f>base!W397</f>
        <v>15.99</v>
      </c>
      <c r="G397" s="11">
        <f t="shared" si="60"/>
        <v>0.28998911860718174</v>
      </c>
      <c r="H397" s="11">
        <f t="shared" si="61"/>
        <v>9.373800000000001</v>
      </c>
      <c r="I397" s="11">
        <f t="shared" si="62"/>
        <v>0.17</v>
      </c>
      <c r="J397" s="12">
        <f t="shared" si="63"/>
        <v>6.6161999999999992</v>
      </c>
      <c r="K397" s="17" t="str">
        <f t="shared" si="68"/>
        <v>Ecart positif</v>
      </c>
      <c r="L397" s="16">
        <f>base!X397</f>
        <v>0</v>
      </c>
      <c r="M397" s="11">
        <f t="shared" si="64"/>
        <v>0</v>
      </c>
      <c r="N397" s="11">
        <f t="shared" si="65"/>
        <v>9.373800000000001</v>
      </c>
      <c r="O397" s="11">
        <f t="shared" si="66"/>
        <v>0.17</v>
      </c>
      <c r="P397" s="12">
        <f t="shared" si="67"/>
        <v>-9.373800000000001</v>
      </c>
      <c r="Q397" s="17" t="str">
        <f t="shared" si="69"/>
        <v>Ecart négatif</v>
      </c>
    </row>
    <row r="398" spans="1:18" x14ac:dyDescent="0.3">
      <c r="A398" s="34">
        <f>base!J398</f>
        <v>0</v>
      </c>
      <c r="B398" s="34" t="str">
        <f>base!V398</f>
        <v>77184</v>
      </c>
      <c r="C398" s="37">
        <v>77</v>
      </c>
      <c r="D398" s="36">
        <f>base!H398</f>
        <v>28</v>
      </c>
      <c r="E398" s="44"/>
      <c r="F398" s="16">
        <f>base!W398</f>
        <v>0</v>
      </c>
      <c r="G398" s="11">
        <f t="shared" si="60"/>
        <v>0</v>
      </c>
      <c r="H398" s="11">
        <f t="shared" si="61"/>
        <v>0</v>
      </c>
      <c r="I398" s="11">
        <f t="shared" si="62"/>
        <v>0</v>
      </c>
      <c r="J398" s="12">
        <f t="shared" si="63"/>
        <v>0</v>
      </c>
      <c r="K398" s="17" t="str">
        <f t="shared" si="68"/>
        <v>Pas d'écart</v>
      </c>
      <c r="L398" s="16">
        <f>base!X398</f>
        <v>0</v>
      </c>
      <c r="M398" s="11">
        <f t="shared" si="64"/>
        <v>0</v>
      </c>
      <c r="N398" s="11">
        <f t="shared" si="65"/>
        <v>0</v>
      </c>
      <c r="O398" s="11">
        <f t="shared" si="66"/>
        <v>0</v>
      </c>
      <c r="P398" s="12">
        <f t="shared" si="67"/>
        <v>0</v>
      </c>
      <c r="Q398" s="17" t="str">
        <f t="shared" si="69"/>
        <v>Pas d'écart</v>
      </c>
    </row>
    <row r="399" spans="1:18" x14ac:dyDescent="0.3">
      <c r="A399" s="34">
        <f>base!J399</f>
        <v>0</v>
      </c>
      <c r="B399" s="34" t="str">
        <f>base!V399</f>
        <v>77184</v>
      </c>
      <c r="C399" s="37">
        <v>77</v>
      </c>
      <c r="D399" s="36">
        <f>base!H399</f>
        <v>50</v>
      </c>
      <c r="E399" s="44"/>
      <c r="F399" s="16">
        <f>base!W399</f>
        <v>0</v>
      </c>
      <c r="G399" s="11">
        <f t="shared" si="60"/>
        <v>0</v>
      </c>
      <c r="H399" s="11">
        <f t="shared" si="61"/>
        <v>0</v>
      </c>
      <c r="I399" s="11">
        <f t="shared" si="62"/>
        <v>0</v>
      </c>
      <c r="J399" s="12">
        <f t="shared" si="63"/>
        <v>0</v>
      </c>
      <c r="K399" s="17" t="str">
        <f t="shared" si="68"/>
        <v>Pas d'écart</v>
      </c>
      <c r="L399" s="16">
        <f>base!X399</f>
        <v>0</v>
      </c>
      <c r="M399" s="11">
        <f t="shared" si="64"/>
        <v>0</v>
      </c>
      <c r="N399" s="11">
        <f t="shared" si="65"/>
        <v>0</v>
      </c>
      <c r="O399" s="11">
        <f t="shared" si="66"/>
        <v>0</v>
      </c>
      <c r="P399" s="12">
        <f t="shared" si="67"/>
        <v>0</v>
      </c>
      <c r="Q399" s="17" t="str">
        <f t="shared" si="69"/>
        <v>Pas d'écart</v>
      </c>
    </row>
    <row r="400" spans="1:18" x14ac:dyDescent="0.3">
      <c r="A400" s="34" t="str">
        <f>base!J400</f>
        <v>LS</v>
      </c>
      <c r="B400" s="34" t="str">
        <f>base!V400</f>
        <v>79300</v>
      </c>
      <c r="C400" s="37">
        <v>14</v>
      </c>
      <c r="D400" s="36">
        <f>base!H400</f>
        <v>0.3</v>
      </c>
      <c r="E400" s="44"/>
      <c r="F400" s="16">
        <f>base!W400</f>
        <v>0.06</v>
      </c>
      <c r="G400" s="11">
        <f t="shared" si="60"/>
        <v>0.2</v>
      </c>
      <c r="H400" s="11">
        <f t="shared" si="61"/>
        <v>5.1000000000000004E-2</v>
      </c>
      <c r="I400" s="11">
        <f t="shared" si="62"/>
        <v>0.17</v>
      </c>
      <c r="J400" s="12">
        <f t="shared" si="63"/>
        <v>8.9999999999999941E-3</v>
      </c>
      <c r="K400" s="17" t="str">
        <f t="shared" si="68"/>
        <v>Ecart positif</v>
      </c>
      <c r="L400" s="16">
        <f>base!X400</f>
        <v>0</v>
      </c>
      <c r="M400" s="11">
        <f t="shared" si="64"/>
        <v>0</v>
      </c>
      <c r="N400" s="11">
        <f t="shared" si="65"/>
        <v>5.1000000000000004E-2</v>
      </c>
      <c r="O400" s="11">
        <f t="shared" si="66"/>
        <v>0.17</v>
      </c>
      <c r="P400" s="12">
        <f t="shared" si="67"/>
        <v>-5.1000000000000004E-2</v>
      </c>
      <c r="Q400" s="17" t="str">
        <f t="shared" si="69"/>
        <v>Ecart négatif</v>
      </c>
    </row>
    <row r="401" spans="1:18" x14ac:dyDescent="0.3">
      <c r="A401" s="34" t="str">
        <f>base!J401</f>
        <v>LS</v>
      </c>
      <c r="B401" s="34" t="str">
        <f>base!V401</f>
        <v>51100</v>
      </c>
      <c r="C401" s="37">
        <v>57</v>
      </c>
      <c r="D401" s="36">
        <f>base!H401</f>
        <v>114</v>
      </c>
      <c r="E401" s="44"/>
      <c r="F401" s="16">
        <f>base!W401</f>
        <v>28.5</v>
      </c>
      <c r="G401" s="11">
        <f t="shared" si="60"/>
        <v>0.25</v>
      </c>
      <c r="H401" s="11">
        <f t="shared" si="61"/>
        <v>27.36</v>
      </c>
      <c r="I401" s="11">
        <f t="shared" si="62"/>
        <v>0.24</v>
      </c>
      <c r="J401" s="12">
        <f t="shared" si="63"/>
        <v>1.1400000000000006</v>
      </c>
      <c r="K401" s="17" t="str">
        <f t="shared" si="68"/>
        <v>Ecart positif</v>
      </c>
      <c r="L401" s="16">
        <f>base!X401</f>
        <v>0</v>
      </c>
      <c r="M401" s="11">
        <f t="shared" si="64"/>
        <v>0</v>
      </c>
      <c r="N401" s="11">
        <f t="shared" si="65"/>
        <v>28.5</v>
      </c>
      <c r="O401" s="11">
        <f t="shared" si="66"/>
        <v>0.25</v>
      </c>
      <c r="P401" s="12">
        <f t="shared" si="67"/>
        <v>-28.5</v>
      </c>
      <c r="Q401" s="17" t="str">
        <f t="shared" si="69"/>
        <v>Ecart négatif</v>
      </c>
    </row>
    <row r="402" spans="1:18" x14ac:dyDescent="0.3">
      <c r="A402" s="34" t="str">
        <f>base!J402</f>
        <v>RM</v>
      </c>
      <c r="B402" s="34" t="str">
        <f>base!V402</f>
        <v>59400</v>
      </c>
      <c r="C402" s="37">
        <v>59</v>
      </c>
      <c r="D402" s="36">
        <f>base!H402</f>
        <v>35</v>
      </c>
      <c r="E402" s="44"/>
      <c r="F402" s="16">
        <f>base!W402</f>
        <v>0</v>
      </c>
      <c r="G402" s="11">
        <f t="shared" si="60"/>
        <v>0</v>
      </c>
      <c r="H402" s="11">
        <f t="shared" si="61"/>
        <v>6.65</v>
      </c>
      <c r="I402" s="11">
        <f t="shared" si="62"/>
        <v>0.19</v>
      </c>
      <c r="J402" s="12">
        <f t="shared" si="63"/>
        <v>-6.65</v>
      </c>
      <c r="K402" s="17" t="str">
        <f t="shared" si="68"/>
        <v>Ecart négatif</v>
      </c>
      <c r="L402" s="16">
        <f>base!X402</f>
        <v>0</v>
      </c>
      <c r="M402" s="11">
        <f t="shared" si="64"/>
        <v>0</v>
      </c>
      <c r="N402" s="11">
        <f t="shared" si="65"/>
        <v>0</v>
      </c>
      <c r="O402" s="11">
        <f t="shared" si="66"/>
        <v>0</v>
      </c>
      <c r="P402" s="12">
        <f t="shared" si="67"/>
        <v>0</v>
      </c>
      <c r="Q402" s="17" t="str">
        <f t="shared" si="69"/>
        <v>Pas d'écart</v>
      </c>
    </row>
    <row r="403" spans="1:18" x14ac:dyDescent="0.3">
      <c r="A403" s="34" t="str">
        <f>base!J403</f>
        <v>LM</v>
      </c>
      <c r="B403" s="34" t="str">
        <f>base!V403</f>
        <v>94405</v>
      </c>
      <c r="C403" s="37">
        <v>94</v>
      </c>
      <c r="D403" s="36">
        <f>base!H403</f>
        <v>1.51</v>
      </c>
      <c r="E403" s="44"/>
      <c r="F403" s="16">
        <f>base!W403</f>
        <v>0</v>
      </c>
      <c r="G403" s="11">
        <f t="shared" si="60"/>
        <v>0</v>
      </c>
      <c r="H403" s="11">
        <f t="shared" si="61"/>
        <v>0</v>
      </c>
      <c r="I403" s="11">
        <f t="shared" si="62"/>
        <v>0</v>
      </c>
      <c r="J403" s="12">
        <f t="shared" si="63"/>
        <v>0</v>
      </c>
      <c r="K403" s="17" t="str">
        <f t="shared" si="68"/>
        <v>Pas d'écart</v>
      </c>
      <c r="L403" s="16">
        <f>base!X403</f>
        <v>0</v>
      </c>
      <c r="M403" s="11">
        <f t="shared" si="64"/>
        <v>0</v>
      </c>
      <c r="N403" s="11">
        <f t="shared" si="65"/>
        <v>0</v>
      </c>
      <c r="O403" s="11">
        <f t="shared" si="66"/>
        <v>0</v>
      </c>
      <c r="P403" s="12">
        <f t="shared" si="67"/>
        <v>0</v>
      </c>
      <c r="Q403" s="17" t="str">
        <f t="shared" si="69"/>
        <v>Pas d'écart</v>
      </c>
    </row>
    <row r="404" spans="1:18" x14ac:dyDescent="0.3">
      <c r="A404" s="34" t="str">
        <f>base!J404</f>
        <v>LS</v>
      </c>
      <c r="B404" s="34" t="str">
        <f>base!V404</f>
        <v>56330</v>
      </c>
      <c r="C404" s="37">
        <v>56</v>
      </c>
      <c r="D404" s="36">
        <f>base!H404</f>
        <v>55.34</v>
      </c>
      <c r="E404" s="44"/>
      <c r="F404" s="16">
        <f>base!W404</f>
        <v>14.94</v>
      </c>
      <c r="G404" s="11">
        <f t="shared" si="60"/>
        <v>0.26996747379833752</v>
      </c>
      <c r="H404" s="11">
        <f t="shared" si="61"/>
        <v>14.941800000000002</v>
      </c>
      <c r="I404" s="11">
        <f t="shared" si="62"/>
        <v>0.27</v>
      </c>
      <c r="J404" s="12">
        <f t="shared" si="63"/>
        <v>-1.8000000000029104E-3</v>
      </c>
      <c r="K404" s="17" t="str">
        <f t="shared" si="68"/>
        <v>Ecart négatif</v>
      </c>
      <c r="L404" s="16">
        <f>base!X404</f>
        <v>0</v>
      </c>
      <c r="M404" s="11">
        <f t="shared" si="64"/>
        <v>0</v>
      </c>
      <c r="N404" s="11">
        <f t="shared" si="65"/>
        <v>0</v>
      </c>
      <c r="O404" s="11">
        <f t="shared" si="66"/>
        <v>0</v>
      </c>
      <c r="P404" s="12">
        <f t="shared" si="67"/>
        <v>0</v>
      </c>
      <c r="Q404" s="17" t="str">
        <f t="shared" si="69"/>
        <v>Pas d'écart</v>
      </c>
    </row>
    <row r="405" spans="1:18" x14ac:dyDescent="0.3">
      <c r="A405" s="34" t="str">
        <f>base!J405</f>
        <v>RM</v>
      </c>
      <c r="B405" s="34" t="str">
        <f>base!V405</f>
        <v>34500</v>
      </c>
      <c r="C405" s="37">
        <v>34</v>
      </c>
      <c r="D405" s="36">
        <f>base!H405</f>
        <v>140</v>
      </c>
      <c r="E405" s="44"/>
      <c r="F405" s="16">
        <f>base!W405</f>
        <v>0</v>
      </c>
      <c r="G405" s="11">
        <f t="shared" si="60"/>
        <v>0</v>
      </c>
      <c r="H405" s="11">
        <f t="shared" si="61"/>
        <v>54.6</v>
      </c>
      <c r="I405" s="11">
        <f t="shared" si="62"/>
        <v>0.39</v>
      </c>
      <c r="J405" s="12">
        <f t="shared" si="63"/>
        <v>-54.6</v>
      </c>
      <c r="K405" s="17" t="str">
        <f t="shared" si="68"/>
        <v>Ecart négatif</v>
      </c>
      <c r="L405" s="16">
        <f>base!X405</f>
        <v>39.200000000000003</v>
      </c>
      <c r="M405" s="11">
        <f t="shared" si="64"/>
        <v>0.28000000000000003</v>
      </c>
      <c r="N405" s="11">
        <f t="shared" si="65"/>
        <v>39.200000000000003</v>
      </c>
      <c r="O405" s="11">
        <f t="shared" si="66"/>
        <v>0.28000000000000003</v>
      </c>
      <c r="P405" s="12">
        <f t="shared" si="67"/>
        <v>0</v>
      </c>
      <c r="Q405" s="17" t="str">
        <f t="shared" si="69"/>
        <v>Pas d'écart</v>
      </c>
      <c r="R405" s="38"/>
    </row>
    <row r="406" spans="1:18" x14ac:dyDescent="0.3">
      <c r="A406" s="34" t="str">
        <f>base!J406</f>
        <v>DRS</v>
      </c>
      <c r="B406" s="34" t="str">
        <f>base!V406</f>
        <v>34500</v>
      </c>
      <c r="C406" s="37">
        <v>34</v>
      </c>
      <c r="D406" s="36">
        <f>base!H406</f>
        <v>109.06</v>
      </c>
      <c r="E406" s="44"/>
      <c r="F406" s="16">
        <f>base!W406</f>
        <v>0</v>
      </c>
      <c r="G406" s="11">
        <f t="shared" si="60"/>
        <v>0</v>
      </c>
      <c r="H406" s="11">
        <f t="shared" si="61"/>
        <v>42.5334</v>
      </c>
      <c r="I406" s="11">
        <f t="shared" si="62"/>
        <v>0.39</v>
      </c>
      <c r="J406" s="12">
        <f t="shared" si="63"/>
        <v>-42.5334</v>
      </c>
      <c r="K406" s="17" t="str">
        <f t="shared" si="68"/>
        <v>Ecart négatif</v>
      </c>
      <c r="L406" s="16">
        <f>base!X406</f>
        <v>0</v>
      </c>
      <c r="M406" s="11">
        <f t="shared" si="64"/>
        <v>0</v>
      </c>
      <c r="N406" s="11">
        <f t="shared" si="65"/>
        <v>30.536800000000003</v>
      </c>
      <c r="O406" s="11">
        <f t="shared" si="66"/>
        <v>0.28000000000000003</v>
      </c>
      <c r="P406" s="12">
        <f t="shared" si="67"/>
        <v>-30.536800000000003</v>
      </c>
      <c r="Q406" s="17" t="str">
        <f t="shared" si="69"/>
        <v>Ecart négatif</v>
      </c>
    </row>
    <row r="407" spans="1:18" x14ac:dyDescent="0.3">
      <c r="A407" s="34" t="str">
        <f>base!J407</f>
        <v>LS</v>
      </c>
      <c r="B407" s="34" t="str">
        <f>base!V407</f>
        <v>13014</v>
      </c>
      <c r="C407" s="37">
        <v>14</v>
      </c>
      <c r="D407" s="36">
        <f>base!H407</f>
        <v>34.119999999999997</v>
      </c>
      <c r="E407" s="44"/>
      <c r="F407" s="16">
        <f>base!W407</f>
        <v>9.89</v>
      </c>
      <c r="G407" s="11">
        <f t="shared" si="60"/>
        <v>0.28985932004689335</v>
      </c>
      <c r="H407" s="11">
        <f t="shared" si="61"/>
        <v>5.8003999999999998</v>
      </c>
      <c r="I407" s="11">
        <f t="shared" si="62"/>
        <v>0.17</v>
      </c>
      <c r="J407" s="12">
        <f t="shared" si="63"/>
        <v>4.0896000000000008</v>
      </c>
      <c r="K407" s="17" t="str">
        <f t="shared" si="68"/>
        <v>Ecart positif</v>
      </c>
      <c r="L407" s="16">
        <f>base!X407</f>
        <v>0</v>
      </c>
      <c r="M407" s="11">
        <f t="shared" si="64"/>
        <v>0</v>
      </c>
      <c r="N407" s="11">
        <f t="shared" si="65"/>
        <v>5.8003999999999998</v>
      </c>
      <c r="O407" s="11">
        <f t="shared" si="66"/>
        <v>0.17</v>
      </c>
      <c r="P407" s="12">
        <f t="shared" si="67"/>
        <v>-5.8003999999999998</v>
      </c>
      <c r="Q407" s="17" t="str">
        <f t="shared" si="69"/>
        <v>Ecart négatif</v>
      </c>
    </row>
    <row r="408" spans="1:18" x14ac:dyDescent="0.3">
      <c r="A408" s="34" t="str">
        <f>base!J408</f>
        <v>LM</v>
      </c>
      <c r="B408" s="34" t="str">
        <f>base!V408</f>
        <v>69124</v>
      </c>
      <c r="C408" s="37">
        <v>14</v>
      </c>
      <c r="D408" s="36">
        <f>base!H408</f>
        <v>199.39</v>
      </c>
      <c r="E408" s="44"/>
      <c r="F408" s="16">
        <f>base!W408</f>
        <v>53.84</v>
      </c>
      <c r="G408" s="11">
        <f t="shared" si="60"/>
        <v>0.27002357189427756</v>
      </c>
      <c r="H408" s="11">
        <f t="shared" si="61"/>
        <v>33.896300000000004</v>
      </c>
      <c r="I408" s="11">
        <f t="shared" si="62"/>
        <v>0.17000000000000004</v>
      </c>
      <c r="J408" s="12">
        <f t="shared" si="63"/>
        <v>19.9437</v>
      </c>
      <c r="K408" s="17" t="str">
        <f t="shared" si="68"/>
        <v>Ecart positif</v>
      </c>
      <c r="L408" s="16">
        <f>base!X408</f>
        <v>0</v>
      </c>
      <c r="M408" s="11">
        <f t="shared" si="64"/>
        <v>0</v>
      </c>
      <c r="N408" s="11">
        <f t="shared" si="65"/>
        <v>33.896300000000004</v>
      </c>
      <c r="O408" s="11">
        <f t="shared" si="66"/>
        <v>0.17000000000000004</v>
      </c>
      <c r="P408" s="12">
        <f t="shared" si="67"/>
        <v>-33.896300000000004</v>
      </c>
      <c r="Q408" s="17" t="str">
        <f t="shared" si="69"/>
        <v>Ecart négatif</v>
      </c>
    </row>
    <row r="409" spans="1:18" x14ac:dyDescent="0.3">
      <c r="A409" s="34" t="str">
        <f>base!J409</f>
        <v>RM</v>
      </c>
      <c r="B409" s="34" t="str">
        <f>base!V409</f>
        <v>54000</v>
      </c>
      <c r="C409" s="37">
        <v>54</v>
      </c>
      <c r="D409" s="36">
        <f>base!H409</f>
        <v>250</v>
      </c>
      <c r="E409" s="44"/>
      <c r="F409" s="16">
        <f>base!W409</f>
        <v>0</v>
      </c>
      <c r="G409" s="11">
        <f t="shared" si="60"/>
        <v>0</v>
      </c>
      <c r="H409" s="11">
        <f t="shared" si="61"/>
        <v>62.5</v>
      </c>
      <c r="I409" s="11">
        <f t="shared" si="62"/>
        <v>0.25</v>
      </c>
      <c r="J409" s="12">
        <f t="shared" si="63"/>
        <v>-62.5</v>
      </c>
      <c r="K409" s="17" t="str">
        <f t="shared" si="68"/>
        <v>Ecart négatif</v>
      </c>
      <c r="L409" s="16">
        <f>base!X409</f>
        <v>62.5</v>
      </c>
      <c r="M409" s="11">
        <f t="shared" si="64"/>
        <v>0.25</v>
      </c>
      <c r="N409" s="11">
        <f t="shared" si="65"/>
        <v>62.5</v>
      </c>
      <c r="O409" s="11">
        <f t="shared" si="66"/>
        <v>0.25</v>
      </c>
      <c r="P409" s="12">
        <f t="shared" si="67"/>
        <v>0</v>
      </c>
      <c r="Q409" s="17" t="str">
        <f t="shared" si="69"/>
        <v>Pas d'écart</v>
      </c>
    </row>
    <row r="410" spans="1:18" x14ac:dyDescent="0.3">
      <c r="A410" s="34" t="str">
        <f>base!J410</f>
        <v>LS</v>
      </c>
      <c r="B410" s="34" t="str">
        <f>base!V410</f>
        <v>06560</v>
      </c>
      <c r="C410" s="37">
        <v>2</v>
      </c>
      <c r="D410" s="36">
        <f>base!H410</f>
        <v>19.89</v>
      </c>
      <c r="E410" s="44"/>
      <c r="F410" s="16">
        <f>base!W410</f>
        <v>5.97</v>
      </c>
      <c r="G410" s="11">
        <f t="shared" si="60"/>
        <v>0.30015082956259426</v>
      </c>
      <c r="H410" s="11">
        <f t="shared" si="61"/>
        <v>3.5802</v>
      </c>
      <c r="I410" s="11">
        <f t="shared" si="62"/>
        <v>0.18</v>
      </c>
      <c r="J410" s="12">
        <f t="shared" si="63"/>
        <v>2.3897999999999997</v>
      </c>
      <c r="K410" s="17" t="str">
        <f t="shared" si="68"/>
        <v>Ecart positif</v>
      </c>
      <c r="L410" s="16">
        <f>base!X410</f>
        <v>0</v>
      </c>
      <c r="M410" s="11">
        <f t="shared" si="64"/>
        <v>0</v>
      </c>
      <c r="N410" s="11">
        <f t="shared" si="65"/>
        <v>0</v>
      </c>
      <c r="O410" s="11">
        <f t="shared" si="66"/>
        <v>0</v>
      </c>
      <c r="P410" s="12">
        <f t="shared" si="67"/>
        <v>0</v>
      </c>
      <c r="Q410" s="17" t="str">
        <f t="shared" si="69"/>
        <v>Pas d'écart</v>
      </c>
    </row>
    <row r="411" spans="1:18" x14ac:dyDescent="0.3">
      <c r="A411" s="34" t="str">
        <f>base!J411</f>
        <v>LM</v>
      </c>
      <c r="B411" s="34" t="str">
        <f>base!V411</f>
        <v>06560</v>
      </c>
      <c r="C411" s="37">
        <v>59</v>
      </c>
      <c r="D411" s="36">
        <f>base!H411</f>
        <v>19.89</v>
      </c>
      <c r="E411" s="44"/>
      <c r="F411" s="16">
        <f>base!W411</f>
        <v>5.97</v>
      </c>
      <c r="G411" s="11">
        <f t="shared" si="60"/>
        <v>0.30015082956259426</v>
      </c>
      <c r="H411" s="11">
        <f t="shared" si="61"/>
        <v>3.7791000000000001</v>
      </c>
      <c r="I411" s="11">
        <f t="shared" si="62"/>
        <v>0.19</v>
      </c>
      <c r="J411" s="12">
        <f t="shared" si="63"/>
        <v>2.1908999999999996</v>
      </c>
      <c r="K411" s="17" t="str">
        <f t="shared" si="68"/>
        <v>Ecart positif</v>
      </c>
      <c r="L411" s="16">
        <f>base!X411</f>
        <v>0</v>
      </c>
      <c r="M411" s="11">
        <f t="shared" si="64"/>
        <v>0</v>
      </c>
      <c r="N411" s="11">
        <f t="shared" si="65"/>
        <v>0</v>
      </c>
      <c r="O411" s="11">
        <f t="shared" si="66"/>
        <v>0</v>
      </c>
      <c r="P411" s="12">
        <f t="shared" si="67"/>
        <v>0</v>
      </c>
      <c r="Q411" s="17" t="str">
        <f t="shared" si="69"/>
        <v>Pas d'écart</v>
      </c>
    </row>
    <row r="412" spans="1:18" x14ac:dyDescent="0.3">
      <c r="A412" s="34" t="str">
        <f>base!J412</f>
        <v>LM</v>
      </c>
      <c r="B412" s="34" t="str">
        <f>base!V412</f>
        <v>76290</v>
      </c>
      <c r="C412" s="37">
        <v>61</v>
      </c>
      <c r="D412" s="36">
        <f>base!H412</f>
        <v>153.52000000000001</v>
      </c>
      <c r="E412" s="44"/>
      <c r="F412" s="16">
        <f>base!W412</f>
        <v>26.1</v>
      </c>
      <c r="G412" s="11">
        <f t="shared" si="60"/>
        <v>0.17001042209484107</v>
      </c>
      <c r="H412" s="11">
        <f t="shared" si="61"/>
        <v>26.098400000000005</v>
      </c>
      <c r="I412" s="11">
        <f t="shared" si="62"/>
        <v>0.17</v>
      </c>
      <c r="J412" s="12">
        <f t="shared" si="63"/>
        <v>1.5999999999962711E-3</v>
      </c>
      <c r="K412" s="17" t="str">
        <f t="shared" si="68"/>
        <v>Ecart positif</v>
      </c>
      <c r="L412" s="16">
        <f>base!X412</f>
        <v>0</v>
      </c>
      <c r="M412" s="11">
        <f t="shared" si="64"/>
        <v>0</v>
      </c>
      <c r="N412" s="11">
        <f t="shared" si="65"/>
        <v>26.098400000000005</v>
      </c>
      <c r="O412" s="11">
        <f t="shared" si="66"/>
        <v>0.17</v>
      </c>
      <c r="P412" s="12">
        <f t="shared" si="67"/>
        <v>-26.098400000000005</v>
      </c>
      <c r="Q412" s="17" t="str">
        <f t="shared" si="69"/>
        <v>Ecart négatif</v>
      </c>
    </row>
    <row r="413" spans="1:18" x14ac:dyDescent="0.3">
      <c r="A413" s="34" t="str">
        <f>base!J413</f>
        <v>LM</v>
      </c>
      <c r="B413" s="34" t="str">
        <f>base!V413</f>
        <v>75010</v>
      </c>
      <c r="C413" s="37">
        <v>75</v>
      </c>
      <c r="D413" s="36">
        <f>base!H413</f>
        <v>148.78</v>
      </c>
      <c r="E413" s="44"/>
      <c r="F413" s="16">
        <f>base!W413</f>
        <v>0</v>
      </c>
      <c r="G413" s="11">
        <f t="shared" si="60"/>
        <v>0</v>
      </c>
      <c r="H413" s="11">
        <f t="shared" si="61"/>
        <v>0</v>
      </c>
      <c r="I413" s="11">
        <f t="shared" si="62"/>
        <v>0</v>
      </c>
      <c r="J413" s="12">
        <f t="shared" si="63"/>
        <v>0</v>
      </c>
      <c r="K413" s="17" t="str">
        <f t="shared" si="68"/>
        <v>Pas d'écart</v>
      </c>
      <c r="L413" s="16">
        <f>base!X413</f>
        <v>0</v>
      </c>
      <c r="M413" s="11">
        <f t="shared" si="64"/>
        <v>0</v>
      </c>
      <c r="N413" s="11">
        <f t="shared" si="65"/>
        <v>0</v>
      </c>
      <c r="O413" s="11">
        <f t="shared" si="66"/>
        <v>0</v>
      </c>
      <c r="P413" s="12">
        <f t="shared" si="67"/>
        <v>0</v>
      </c>
      <c r="Q413" s="17" t="str">
        <f t="shared" si="69"/>
        <v>Pas d'écart</v>
      </c>
    </row>
    <row r="414" spans="1:18" x14ac:dyDescent="0.3">
      <c r="A414" s="34" t="str">
        <f>base!J414</f>
        <v>LM</v>
      </c>
      <c r="B414" s="34" t="str">
        <f>base!V414</f>
        <v>75010</v>
      </c>
      <c r="C414" s="37">
        <v>75</v>
      </c>
      <c r="D414" s="36">
        <f>base!H414</f>
        <v>55.14</v>
      </c>
      <c r="E414" s="44"/>
      <c r="F414" s="16">
        <f>base!W414</f>
        <v>0</v>
      </c>
      <c r="G414" s="11">
        <f t="shared" si="60"/>
        <v>0</v>
      </c>
      <c r="H414" s="11">
        <f t="shared" si="61"/>
        <v>0</v>
      </c>
      <c r="I414" s="11">
        <f t="shared" si="62"/>
        <v>0</v>
      </c>
      <c r="J414" s="12">
        <f t="shared" si="63"/>
        <v>0</v>
      </c>
      <c r="K414" s="17" t="str">
        <f t="shared" si="68"/>
        <v>Pas d'écart</v>
      </c>
      <c r="L414" s="16">
        <f>base!X414</f>
        <v>0</v>
      </c>
      <c r="M414" s="11">
        <f t="shared" si="64"/>
        <v>0</v>
      </c>
      <c r="N414" s="11">
        <f t="shared" si="65"/>
        <v>0</v>
      </c>
      <c r="O414" s="11">
        <f t="shared" si="66"/>
        <v>0</v>
      </c>
      <c r="P414" s="12">
        <f t="shared" si="67"/>
        <v>0</v>
      </c>
      <c r="Q414" s="17" t="str">
        <f t="shared" si="69"/>
        <v>Pas d'écart</v>
      </c>
    </row>
    <row r="415" spans="1:18" x14ac:dyDescent="0.3">
      <c r="A415" s="34" t="str">
        <f>base!J415</f>
        <v>LS</v>
      </c>
      <c r="B415" s="34" t="str">
        <f>base!V415</f>
        <v>59269</v>
      </c>
      <c r="C415" s="37">
        <v>14</v>
      </c>
      <c r="D415" s="36">
        <f>base!H415</f>
        <v>120.65</v>
      </c>
      <c r="E415" s="44"/>
      <c r="F415" s="16">
        <f>base!W415</f>
        <v>22.92</v>
      </c>
      <c r="G415" s="11">
        <f t="shared" si="60"/>
        <v>0.18997099046829674</v>
      </c>
      <c r="H415" s="11">
        <f t="shared" si="61"/>
        <v>20.510500000000004</v>
      </c>
      <c r="I415" s="11">
        <f t="shared" si="62"/>
        <v>0.17</v>
      </c>
      <c r="J415" s="12">
        <f t="shared" si="63"/>
        <v>2.4094999999999978</v>
      </c>
      <c r="K415" s="17" t="str">
        <f t="shared" si="68"/>
        <v>Ecart positif</v>
      </c>
      <c r="L415" s="16">
        <f>base!X415</f>
        <v>0</v>
      </c>
      <c r="M415" s="11">
        <f t="shared" si="64"/>
        <v>0</v>
      </c>
      <c r="N415" s="11">
        <f t="shared" si="65"/>
        <v>20.510500000000004</v>
      </c>
      <c r="O415" s="11">
        <f t="shared" si="66"/>
        <v>0.17</v>
      </c>
      <c r="P415" s="12">
        <f t="shared" si="67"/>
        <v>-20.510500000000004</v>
      </c>
      <c r="Q415" s="17" t="str">
        <f t="shared" si="69"/>
        <v>Ecart négatif</v>
      </c>
    </row>
    <row r="416" spans="1:18" x14ac:dyDescent="0.3">
      <c r="A416" s="34">
        <f>base!J416</f>
        <v>0</v>
      </c>
      <c r="B416" s="34" t="str">
        <f>base!V416</f>
        <v>44240</v>
      </c>
      <c r="C416" s="37">
        <v>44</v>
      </c>
      <c r="D416" s="36">
        <f>base!H416</f>
        <v>25.3</v>
      </c>
      <c r="E416" s="44"/>
      <c r="F416" s="16">
        <f>base!W416</f>
        <v>0</v>
      </c>
      <c r="G416" s="11">
        <f t="shared" si="60"/>
        <v>0</v>
      </c>
      <c r="H416" s="11">
        <f t="shared" si="61"/>
        <v>6.8310000000000004</v>
      </c>
      <c r="I416" s="11">
        <f t="shared" si="62"/>
        <v>0.27</v>
      </c>
      <c r="J416" s="12">
        <f t="shared" si="63"/>
        <v>-6.8310000000000004</v>
      </c>
      <c r="K416" s="17" t="str">
        <f t="shared" si="68"/>
        <v>Ecart négatif</v>
      </c>
      <c r="L416" s="16">
        <f>base!X416</f>
        <v>0</v>
      </c>
      <c r="M416" s="11">
        <f t="shared" si="64"/>
        <v>0</v>
      </c>
      <c r="N416" s="11">
        <f t="shared" si="65"/>
        <v>0</v>
      </c>
      <c r="O416" s="11">
        <f t="shared" si="66"/>
        <v>0</v>
      </c>
      <c r="P416" s="12">
        <f t="shared" si="67"/>
        <v>0</v>
      </c>
      <c r="Q416" s="17" t="str">
        <f t="shared" si="69"/>
        <v>Pas d'écart</v>
      </c>
    </row>
    <row r="417" spans="1:17" x14ac:dyDescent="0.3">
      <c r="A417" s="34" t="str">
        <f>base!J417</f>
        <v>DRS</v>
      </c>
      <c r="B417" s="34" t="str">
        <f>base!V417</f>
        <v>59127</v>
      </c>
      <c r="C417" s="37">
        <v>59</v>
      </c>
      <c r="D417" s="36">
        <f>base!H417</f>
        <v>151</v>
      </c>
      <c r="E417" s="44"/>
      <c r="F417" s="16">
        <f>base!W417</f>
        <v>0</v>
      </c>
      <c r="G417" s="11">
        <f t="shared" si="60"/>
        <v>0</v>
      </c>
      <c r="H417" s="11">
        <f t="shared" si="61"/>
        <v>28.69</v>
      </c>
      <c r="I417" s="11">
        <f t="shared" si="62"/>
        <v>0.19</v>
      </c>
      <c r="J417" s="12">
        <f t="shared" si="63"/>
        <v>-28.69</v>
      </c>
      <c r="K417" s="17" t="str">
        <f t="shared" si="68"/>
        <v>Ecart négatif</v>
      </c>
      <c r="L417" s="16">
        <f>base!X417</f>
        <v>0</v>
      </c>
      <c r="M417" s="11">
        <f t="shared" si="64"/>
        <v>0</v>
      </c>
      <c r="N417" s="11">
        <f t="shared" si="65"/>
        <v>0</v>
      </c>
      <c r="O417" s="11">
        <f t="shared" si="66"/>
        <v>0</v>
      </c>
      <c r="P417" s="12">
        <f t="shared" si="67"/>
        <v>0</v>
      </c>
      <c r="Q417" s="17" t="str">
        <f t="shared" si="69"/>
        <v>Pas d'écart</v>
      </c>
    </row>
    <row r="418" spans="1:17" x14ac:dyDescent="0.3">
      <c r="A418" s="34" t="str">
        <f>base!J418</f>
        <v>LS</v>
      </c>
      <c r="B418" s="34" t="str">
        <f>base!V418</f>
        <v>80000</v>
      </c>
      <c r="C418" s="37">
        <v>14</v>
      </c>
      <c r="D418" s="36">
        <f>base!H418</f>
        <v>151</v>
      </c>
      <c r="E418" s="44"/>
      <c r="F418" s="16">
        <f>base!W418</f>
        <v>28.69</v>
      </c>
      <c r="G418" s="11">
        <f t="shared" si="60"/>
        <v>0.19</v>
      </c>
      <c r="H418" s="11">
        <f t="shared" si="61"/>
        <v>25.67</v>
      </c>
      <c r="I418" s="11">
        <f t="shared" si="62"/>
        <v>0.17</v>
      </c>
      <c r="J418" s="12">
        <f t="shared" si="63"/>
        <v>3.0199999999999996</v>
      </c>
      <c r="K418" s="17" t="str">
        <f t="shared" si="68"/>
        <v>Ecart positif</v>
      </c>
      <c r="L418" s="16">
        <f>base!X418</f>
        <v>0</v>
      </c>
      <c r="M418" s="11">
        <f t="shared" si="64"/>
        <v>0</v>
      </c>
      <c r="N418" s="11">
        <f t="shared" si="65"/>
        <v>25.67</v>
      </c>
      <c r="O418" s="11">
        <f t="shared" si="66"/>
        <v>0.17</v>
      </c>
      <c r="P418" s="12">
        <f t="shared" si="67"/>
        <v>-25.67</v>
      </c>
      <c r="Q418" s="17" t="str">
        <f t="shared" si="69"/>
        <v>Ecart négatif</v>
      </c>
    </row>
    <row r="419" spans="1:17" x14ac:dyDescent="0.3">
      <c r="A419" s="34" t="str">
        <f>base!J419</f>
        <v>RM</v>
      </c>
      <c r="B419" s="34" t="str">
        <f>base!V419</f>
        <v>44600</v>
      </c>
      <c r="C419" s="37">
        <v>44</v>
      </c>
      <c r="D419" s="36">
        <f>base!H419</f>
        <v>250</v>
      </c>
      <c r="E419" s="44"/>
      <c r="F419" s="16">
        <f>base!W419</f>
        <v>0</v>
      </c>
      <c r="G419" s="11">
        <f t="shared" si="60"/>
        <v>0</v>
      </c>
      <c r="H419" s="11">
        <f t="shared" si="61"/>
        <v>67.5</v>
      </c>
      <c r="I419" s="11">
        <f t="shared" si="62"/>
        <v>0.27</v>
      </c>
      <c r="J419" s="12">
        <f t="shared" si="63"/>
        <v>-67.5</v>
      </c>
      <c r="K419" s="17" t="str">
        <f t="shared" si="68"/>
        <v>Ecart négatif</v>
      </c>
      <c r="L419" s="16">
        <f>base!X419</f>
        <v>0</v>
      </c>
      <c r="M419" s="11">
        <f t="shared" si="64"/>
        <v>0</v>
      </c>
      <c r="N419" s="11">
        <f t="shared" si="65"/>
        <v>0</v>
      </c>
      <c r="O419" s="11">
        <f t="shared" si="66"/>
        <v>0</v>
      </c>
      <c r="P419" s="12">
        <f t="shared" si="67"/>
        <v>0</v>
      </c>
      <c r="Q419" s="17" t="str">
        <f t="shared" si="69"/>
        <v>Pas d'écart</v>
      </c>
    </row>
    <row r="420" spans="1:17" x14ac:dyDescent="0.3">
      <c r="A420" s="34" t="str">
        <f>base!J420</f>
        <v>RS</v>
      </c>
      <c r="B420" s="34" t="str">
        <f>base!V420</f>
        <v>77183</v>
      </c>
      <c r="C420" s="37">
        <v>77</v>
      </c>
      <c r="D420" s="36">
        <f>base!H420</f>
        <v>953.5</v>
      </c>
      <c r="E420" s="44"/>
      <c r="F420" s="16">
        <f>base!W420</f>
        <v>0</v>
      </c>
      <c r="G420" s="11">
        <f t="shared" si="60"/>
        <v>0</v>
      </c>
      <c r="H420" s="11">
        <f t="shared" si="61"/>
        <v>0</v>
      </c>
      <c r="I420" s="11">
        <f t="shared" si="62"/>
        <v>0</v>
      </c>
      <c r="J420" s="12">
        <f t="shared" si="63"/>
        <v>0</v>
      </c>
      <c r="K420" s="17" t="str">
        <f t="shared" si="68"/>
        <v>Pas d'écart</v>
      </c>
      <c r="L420" s="16">
        <f>base!X420</f>
        <v>0</v>
      </c>
      <c r="M420" s="11">
        <f t="shared" si="64"/>
        <v>0</v>
      </c>
      <c r="N420" s="11">
        <f t="shared" si="65"/>
        <v>0</v>
      </c>
      <c r="O420" s="11">
        <f t="shared" si="66"/>
        <v>0</v>
      </c>
      <c r="P420" s="12">
        <f t="shared" si="67"/>
        <v>0</v>
      </c>
      <c r="Q420" s="17" t="str">
        <f t="shared" si="69"/>
        <v>Pas d'écart</v>
      </c>
    </row>
    <row r="421" spans="1:17" x14ac:dyDescent="0.3">
      <c r="A421" s="34" t="str">
        <f>base!J421</f>
        <v>LM</v>
      </c>
      <c r="B421" s="34" t="str">
        <f>base!V421</f>
        <v>62380</v>
      </c>
      <c r="C421" s="37">
        <v>69</v>
      </c>
      <c r="D421" s="36">
        <f>base!H421</f>
        <v>180.19</v>
      </c>
      <c r="E421" s="44"/>
      <c r="F421" s="16">
        <f>base!W421</f>
        <v>34.24</v>
      </c>
      <c r="G421" s="11">
        <f t="shared" si="60"/>
        <v>0.19002164382041181</v>
      </c>
      <c r="H421" s="11">
        <f t="shared" si="61"/>
        <v>48.651299999999999</v>
      </c>
      <c r="I421" s="11">
        <f t="shared" si="62"/>
        <v>0.27</v>
      </c>
      <c r="J421" s="12">
        <f t="shared" si="63"/>
        <v>-14.411299999999997</v>
      </c>
      <c r="K421" s="17" t="str">
        <f t="shared" si="68"/>
        <v>Ecart négatif</v>
      </c>
      <c r="L421" s="16">
        <f>base!X421</f>
        <v>0</v>
      </c>
      <c r="M421" s="11">
        <f t="shared" si="64"/>
        <v>0</v>
      </c>
      <c r="N421" s="11">
        <f t="shared" si="65"/>
        <v>0</v>
      </c>
      <c r="O421" s="11">
        <f t="shared" si="66"/>
        <v>0</v>
      </c>
      <c r="P421" s="12">
        <f t="shared" si="67"/>
        <v>0</v>
      </c>
      <c r="Q421" s="17" t="str">
        <f t="shared" si="69"/>
        <v>Pas d'écart</v>
      </c>
    </row>
    <row r="422" spans="1:17" x14ac:dyDescent="0.3">
      <c r="A422" s="34" t="str">
        <f>base!J422</f>
        <v>LS</v>
      </c>
      <c r="B422" s="34" t="str">
        <f>base!V422</f>
        <v>50440</v>
      </c>
      <c r="C422" s="37">
        <v>62</v>
      </c>
      <c r="D422" s="36">
        <f>base!H422</f>
        <v>126.65</v>
      </c>
      <c r="E422" s="44"/>
      <c r="F422" s="16">
        <f>base!W422</f>
        <v>21.53</v>
      </c>
      <c r="G422" s="11">
        <f t="shared" si="60"/>
        <v>0.16999605211212002</v>
      </c>
      <c r="H422" s="11">
        <f t="shared" si="61"/>
        <v>24.063500000000001</v>
      </c>
      <c r="I422" s="11">
        <f t="shared" si="62"/>
        <v>0.19</v>
      </c>
      <c r="J422" s="12">
        <f t="shared" si="63"/>
        <v>-2.5335000000000001</v>
      </c>
      <c r="K422" s="17" t="str">
        <f t="shared" si="68"/>
        <v>Ecart négatif</v>
      </c>
      <c r="L422" s="16">
        <f>base!X422</f>
        <v>0</v>
      </c>
      <c r="M422" s="11">
        <f t="shared" si="64"/>
        <v>0</v>
      </c>
      <c r="N422" s="11">
        <f t="shared" si="65"/>
        <v>0</v>
      </c>
      <c r="O422" s="11">
        <f t="shared" si="66"/>
        <v>0</v>
      </c>
      <c r="P422" s="12">
        <f t="shared" si="67"/>
        <v>0</v>
      </c>
      <c r="Q422" s="17" t="str">
        <f t="shared" si="69"/>
        <v>Pas d'écart</v>
      </c>
    </row>
    <row r="423" spans="1:17" x14ac:dyDescent="0.3">
      <c r="A423" s="34" t="str">
        <f>base!J423</f>
        <v>LS</v>
      </c>
      <c r="B423" s="34" t="str">
        <f>base!V423</f>
        <v>59175</v>
      </c>
      <c r="C423" s="37">
        <v>62</v>
      </c>
      <c r="D423" s="36">
        <f>base!H423</f>
        <v>139.19999999999999</v>
      </c>
      <c r="E423" s="44"/>
      <c r="F423" s="16">
        <f>base!W423</f>
        <v>26.45</v>
      </c>
      <c r="G423" s="11">
        <f t="shared" si="60"/>
        <v>0.19001436781609196</v>
      </c>
      <c r="H423" s="11">
        <f t="shared" si="61"/>
        <v>26.447999999999997</v>
      </c>
      <c r="I423" s="11">
        <f t="shared" si="62"/>
        <v>0.19</v>
      </c>
      <c r="J423" s="12">
        <f t="shared" si="63"/>
        <v>2.0000000000024443E-3</v>
      </c>
      <c r="K423" s="17" t="str">
        <f t="shared" si="68"/>
        <v>Ecart positif</v>
      </c>
      <c r="L423" s="16">
        <f>base!X423</f>
        <v>0</v>
      </c>
      <c r="M423" s="11">
        <f t="shared" si="64"/>
        <v>0</v>
      </c>
      <c r="N423" s="11">
        <f t="shared" si="65"/>
        <v>0</v>
      </c>
      <c r="O423" s="11">
        <f t="shared" si="66"/>
        <v>0</v>
      </c>
      <c r="P423" s="12">
        <f t="shared" si="67"/>
        <v>0</v>
      </c>
      <c r="Q423" s="17" t="str">
        <f t="shared" si="69"/>
        <v>Pas d'écart</v>
      </c>
    </row>
    <row r="424" spans="1:17" x14ac:dyDescent="0.3">
      <c r="A424" s="34">
        <f>base!J424</f>
        <v>0</v>
      </c>
      <c r="B424" s="34" t="str">
        <f>base!V424</f>
        <v>77184</v>
      </c>
      <c r="C424" s="37">
        <v>77</v>
      </c>
      <c r="D424" s="36">
        <f>base!H424</f>
        <v>171</v>
      </c>
      <c r="E424" s="44"/>
      <c r="F424" s="16">
        <f>base!W424</f>
        <v>0</v>
      </c>
      <c r="G424" s="11">
        <f t="shared" si="60"/>
        <v>0</v>
      </c>
      <c r="H424" s="11">
        <f t="shared" si="61"/>
        <v>0</v>
      </c>
      <c r="I424" s="11">
        <f t="shared" si="62"/>
        <v>0</v>
      </c>
      <c r="J424" s="12">
        <f t="shared" si="63"/>
        <v>0</v>
      </c>
      <c r="K424" s="17" t="str">
        <f t="shared" si="68"/>
        <v>Pas d'écart</v>
      </c>
      <c r="L424" s="16">
        <f>base!X424</f>
        <v>0</v>
      </c>
      <c r="M424" s="11">
        <f t="shared" si="64"/>
        <v>0</v>
      </c>
      <c r="N424" s="11">
        <f t="shared" si="65"/>
        <v>0</v>
      </c>
      <c r="O424" s="11">
        <f t="shared" si="66"/>
        <v>0</v>
      </c>
      <c r="P424" s="12">
        <f t="shared" si="67"/>
        <v>0</v>
      </c>
      <c r="Q424" s="17" t="str">
        <f t="shared" si="69"/>
        <v>Pas d'écart</v>
      </c>
    </row>
    <row r="425" spans="1:17" x14ac:dyDescent="0.3">
      <c r="A425" s="34">
        <f>base!J425</f>
        <v>0</v>
      </c>
      <c r="B425" s="34" t="str">
        <f>base!V425</f>
        <v>77184</v>
      </c>
      <c r="C425" s="37">
        <v>77</v>
      </c>
      <c r="D425" s="36">
        <f>base!H425</f>
        <v>171</v>
      </c>
      <c r="E425" s="44"/>
      <c r="F425" s="16">
        <f>base!W425</f>
        <v>0</v>
      </c>
      <c r="G425" s="11">
        <f t="shared" si="60"/>
        <v>0</v>
      </c>
      <c r="H425" s="11">
        <f t="shared" si="61"/>
        <v>0</v>
      </c>
      <c r="I425" s="11">
        <f t="shared" si="62"/>
        <v>0</v>
      </c>
      <c r="J425" s="12">
        <f t="shared" si="63"/>
        <v>0</v>
      </c>
      <c r="K425" s="17" t="str">
        <f t="shared" si="68"/>
        <v>Pas d'écart</v>
      </c>
      <c r="L425" s="16">
        <f>base!X425</f>
        <v>0</v>
      </c>
      <c r="M425" s="11">
        <f t="shared" si="64"/>
        <v>0</v>
      </c>
      <c r="N425" s="11">
        <f t="shared" si="65"/>
        <v>0</v>
      </c>
      <c r="O425" s="11">
        <f t="shared" si="66"/>
        <v>0</v>
      </c>
      <c r="P425" s="12">
        <f t="shared" si="67"/>
        <v>0</v>
      </c>
      <c r="Q425" s="17" t="str">
        <f t="shared" si="69"/>
        <v>Pas d'écart</v>
      </c>
    </row>
    <row r="426" spans="1:17" x14ac:dyDescent="0.3">
      <c r="A426" s="34" t="str">
        <f>base!J426</f>
        <v>RS</v>
      </c>
      <c r="B426" s="34" t="str">
        <f>base!V426</f>
        <v>44800</v>
      </c>
      <c r="C426" s="37">
        <v>44</v>
      </c>
      <c r="D426" s="36">
        <f>base!H426</f>
        <v>70</v>
      </c>
      <c r="E426" s="44"/>
      <c r="F426" s="16">
        <f>base!W426</f>
        <v>0</v>
      </c>
      <c r="G426" s="11">
        <f t="shared" si="60"/>
        <v>0</v>
      </c>
      <c r="H426" s="11">
        <f t="shared" si="61"/>
        <v>18.900000000000002</v>
      </c>
      <c r="I426" s="11">
        <f t="shared" si="62"/>
        <v>0.27</v>
      </c>
      <c r="J426" s="12">
        <f t="shared" si="63"/>
        <v>-18.900000000000002</v>
      </c>
      <c r="K426" s="17" t="str">
        <f t="shared" si="68"/>
        <v>Ecart négatif</v>
      </c>
      <c r="L426" s="16">
        <f>base!X426</f>
        <v>0</v>
      </c>
      <c r="M426" s="11">
        <f t="shared" si="64"/>
        <v>0</v>
      </c>
      <c r="N426" s="11">
        <f t="shared" si="65"/>
        <v>0</v>
      </c>
      <c r="O426" s="11">
        <f t="shared" si="66"/>
        <v>0</v>
      </c>
      <c r="P426" s="12">
        <f t="shared" si="67"/>
        <v>0</v>
      </c>
      <c r="Q426" s="17" t="str">
        <f t="shared" si="69"/>
        <v>Pas d'écart</v>
      </c>
    </row>
    <row r="427" spans="1:17" x14ac:dyDescent="0.3">
      <c r="A427" s="34" t="str">
        <f>base!J427</f>
        <v>DLS</v>
      </c>
      <c r="B427" s="34" t="str">
        <f>base!V427</f>
        <v>76700</v>
      </c>
      <c r="C427" s="37">
        <v>76</v>
      </c>
      <c r="D427" s="36">
        <f>base!H427</f>
        <v>170.88</v>
      </c>
      <c r="E427" s="44"/>
      <c r="F427" s="16">
        <f>base!W427</f>
        <v>0</v>
      </c>
      <c r="G427" s="11">
        <f t="shared" si="60"/>
        <v>0</v>
      </c>
      <c r="H427" s="11">
        <f t="shared" si="61"/>
        <v>29.049600000000002</v>
      </c>
      <c r="I427" s="11">
        <f t="shared" si="62"/>
        <v>0.17</v>
      </c>
      <c r="J427" s="12">
        <f t="shared" si="63"/>
        <v>-29.049600000000002</v>
      </c>
      <c r="K427" s="17" t="str">
        <f t="shared" si="68"/>
        <v>Ecart négatif</v>
      </c>
      <c r="L427" s="16">
        <f>base!X427</f>
        <v>0</v>
      </c>
      <c r="M427" s="11">
        <f t="shared" si="64"/>
        <v>0</v>
      </c>
      <c r="N427" s="11">
        <f t="shared" si="65"/>
        <v>29.049600000000002</v>
      </c>
      <c r="O427" s="11">
        <f t="shared" si="66"/>
        <v>0.17</v>
      </c>
      <c r="P427" s="12">
        <f t="shared" si="67"/>
        <v>-29.049600000000002</v>
      </c>
      <c r="Q427" s="17" t="str">
        <f t="shared" si="69"/>
        <v>Ecart négatif</v>
      </c>
    </row>
    <row r="428" spans="1:17" x14ac:dyDescent="0.3">
      <c r="A428" s="34" t="str">
        <f>base!J428</f>
        <v>LM</v>
      </c>
      <c r="B428" s="34" t="str">
        <f>base!V428</f>
        <v>44980</v>
      </c>
      <c r="C428" s="37">
        <v>50</v>
      </c>
      <c r="D428" s="36">
        <f>base!H428</f>
        <v>1236.3</v>
      </c>
      <c r="E428" s="44"/>
      <c r="F428" s="16">
        <f>base!W428</f>
        <v>333.8</v>
      </c>
      <c r="G428" s="11">
        <f t="shared" si="60"/>
        <v>0.26999919113483783</v>
      </c>
      <c r="H428" s="11">
        <f t="shared" si="61"/>
        <v>210.17100000000002</v>
      </c>
      <c r="I428" s="11">
        <f t="shared" si="62"/>
        <v>0.17</v>
      </c>
      <c r="J428" s="12">
        <f t="shared" si="63"/>
        <v>123.62899999999999</v>
      </c>
      <c r="K428" s="17" t="str">
        <f t="shared" si="68"/>
        <v>Ecart positif</v>
      </c>
      <c r="L428" s="16">
        <f>base!X428</f>
        <v>0</v>
      </c>
      <c r="M428" s="11">
        <f t="shared" si="64"/>
        <v>0</v>
      </c>
      <c r="N428" s="11">
        <f t="shared" si="65"/>
        <v>210.17100000000002</v>
      </c>
      <c r="O428" s="11">
        <f t="shared" si="66"/>
        <v>0.17</v>
      </c>
      <c r="P428" s="12">
        <f t="shared" si="67"/>
        <v>-210.17100000000002</v>
      </c>
      <c r="Q428" s="17" t="str">
        <f t="shared" si="69"/>
        <v>Ecart négatif</v>
      </c>
    </row>
    <row r="429" spans="1:17" x14ac:dyDescent="0.3">
      <c r="A429" s="34" t="str">
        <f>base!J429</f>
        <v>RS</v>
      </c>
      <c r="B429" s="34" t="str">
        <f>base!V429</f>
        <v>67100</v>
      </c>
      <c r="C429" s="37">
        <v>67</v>
      </c>
      <c r="D429" s="36">
        <f>base!H429</f>
        <v>151</v>
      </c>
      <c r="E429" s="44"/>
      <c r="F429" s="16">
        <f>base!W429</f>
        <v>0</v>
      </c>
      <c r="G429" s="11">
        <f t="shared" si="60"/>
        <v>0</v>
      </c>
      <c r="H429" s="11">
        <f t="shared" si="61"/>
        <v>43.79</v>
      </c>
      <c r="I429" s="11">
        <f t="shared" si="62"/>
        <v>0.28999999999999998</v>
      </c>
      <c r="J429" s="12">
        <f t="shared" si="63"/>
        <v>-43.79</v>
      </c>
      <c r="K429" s="17" t="str">
        <f t="shared" si="68"/>
        <v>Ecart négatif</v>
      </c>
      <c r="L429" s="16">
        <f>base!X429</f>
        <v>0</v>
      </c>
      <c r="M429" s="11">
        <f t="shared" si="64"/>
        <v>0</v>
      </c>
      <c r="N429" s="11">
        <f t="shared" si="65"/>
        <v>12.08</v>
      </c>
      <c r="O429" s="11">
        <f t="shared" si="66"/>
        <v>0.08</v>
      </c>
      <c r="P429" s="12">
        <f t="shared" si="67"/>
        <v>-12.08</v>
      </c>
      <c r="Q429" s="17" t="str">
        <f t="shared" si="69"/>
        <v>Ecart négatif</v>
      </c>
    </row>
    <row r="430" spans="1:17" x14ac:dyDescent="0.3">
      <c r="A430" s="34" t="str">
        <f>base!J430</f>
        <v>LM</v>
      </c>
      <c r="B430" s="34" t="str">
        <f>base!V430</f>
        <v>62380</v>
      </c>
      <c r="C430" s="37">
        <v>62</v>
      </c>
      <c r="D430" s="36">
        <f>base!H430</f>
        <v>19.8</v>
      </c>
      <c r="E430" s="44"/>
      <c r="F430" s="16">
        <f>base!W430</f>
        <v>3.76</v>
      </c>
      <c r="G430" s="11">
        <f t="shared" si="60"/>
        <v>0.18989898989898987</v>
      </c>
      <c r="H430" s="11">
        <f t="shared" si="61"/>
        <v>3.762</v>
      </c>
      <c r="I430" s="11">
        <f t="shared" si="62"/>
        <v>0.19</v>
      </c>
      <c r="J430" s="12">
        <f t="shared" si="63"/>
        <v>-2.0000000000002238E-3</v>
      </c>
      <c r="K430" s="17" t="str">
        <f t="shared" si="68"/>
        <v>Ecart négatif</v>
      </c>
      <c r="L430" s="16">
        <f>base!X430</f>
        <v>0</v>
      </c>
      <c r="M430" s="11">
        <f t="shared" si="64"/>
        <v>0</v>
      </c>
      <c r="N430" s="11">
        <f t="shared" si="65"/>
        <v>0</v>
      </c>
      <c r="O430" s="11">
        <f t="shared" si="66"/>
        <v>0</v>
      </c>
      <c r="P430" s="12">
        <f t="shared" si="67"/>
        <v>0</v>
      </c>
      <c r="Q430" s="17" t="str">
        <f t="shared" si="69"/>
        <v>Pas d'écart</v>
      </c>
    </row>
    <row r="431" spans="1:17" x14ac:dyDescent="0.3">
      <c r="A431" s="34" t="str">
        <f>base!J431</f>
        <v>LS</v>
      </c>
      <c r="B431" s="34" t="str">
        <f>base!V431</f>
        <v>94290</v>
      </c>
      <c r="C431" s="37">
        <v>94</v>
      </c>
      <c r="D431" s="36">
        <f>base!H431</f>
        <v>146</v>
      </c>
      <c r="E431" s="44"/>
      <c r="F431" s="16">
        <f>base!W431</f>
        <v>0</v>
      </c>
      <c r="G431" s="11">
        <f t="shared" si="60"/>
        <v>0</v>
      </c>
      <c r="H431" s="11">
        <f t="shared" si="61"/>
        <v>0</v>
      </c>
      <c r="I431" s="11">
        <f t="shared" si="62"/>
        <v>0</v>
      </c>
      <c r="J431" s="12">
        <f t="shared" si="63"/>
        <v>0</v>
      </c>
      <c r="K431" s="17" t="str">
        <f t="shared" si="68"/>
        <v>Pas d'écart</v>
      </c>
      <c r="L431" s="16">
        <f>base!X431</f>
        <v>0</v>
      </c>
      <c r="M431" s="11">
        <f t="shared" si="64"/>
        <v>0</v>
      </c>
      <c r="N431" s="11">
        <f t="shared" si="65"/>
        <v>0</v>
      </c>
      <c r="O431" s="11">
        <f t="shared" si="66"/>
        <v>0</v>
      </c>
      <c r="P431" s="12">
        <f t="shared" si="67"/>
        <v>0</v>
      </c>
      <c r="Q431" s="17" t="str">
        <f t="shared" si="69"/>
        <v>Pas d'écart</v>
      </c>
    </row>
    <row r="432" spans="1:17" x14ac:dyDescent="0.3">
      <c r="A432" s="34" t="str">
        <f>base!J432</f>
        <v>LS</v>
      </c>
      <c r="B432" s="34" t="str">
        <f>base!V432</f>
        <v>94190</v>
      </c>
      <c r="C432" s="37">
        <v>94</v>
      </c>
      <c r="D432" s="36">
        <f>base!H432</f>
        <v>19.8</v>
      </c>
      <c r="E432" s="44"/>
      <c r="F432" s="16">
        <f>base!W432</f>
        <v>0</v>
      </c>
      <c r="G432" s="11">
        <f t="shared" si="60"/>
        <v>0</v>
      </c>
      <c r="H432" s="11">
        <f t="shared" si="61"/>
        <v>0</v>
      </c>
      <c r="I432" s="11">
        <f t="shared" si="62"/>
        <v>0</v>
      </c>
      <c r="J432" s="12">
        <f t="shared" si="63"/>
        <v>0</v>
      </c>
      <c r="K432" s="17" t="str">
        <f t="shared" si="68"/>
        <v>Pas d'écart</v>
      </c>
      <c r="L432" s="16">
        <f>base!X432</f>
        <v>0</v>
      </c>
      <c r="M432" s="11">
        <f t="shared" si="64"/>
        <v>0</v>
      </c>
      <c r="N432" s="11">
        <f t="shared" si="65"/>
        <v>0</v>
      </c>
      <c r="O432" s="11">
        <f t="shared" si="66"/>
        <v>0</v>
      </c>
      <c r="P432" s="12">
        <f t="shared" si="67"/>
        <v>0</v>
      </c>
      <c r="Q432" s="17" t="str">
        <f t="shared" si="69"/>
        <v>Pas d'écart</v>
      </c>
    </row>
    <row r="433" spans="1:17" x14ac:dyDescent="0.3">
      <c r="A433" s="34" t="str">
        <f>base!J433</f>
        <v>LM</v>
      </c>
      <c r="B433" s="34" t="str">
        <f>base!V433</f>
        <v>83170</v>
      </c>
      <c r="C433" s="37">
        <v>61</v>
      </c>
      <c r="D433" s="36">
        <f>base!H433</f>
        <v>188.25</v>
      </c>
      <c r="E433" s="44"/>
      <c r="F433" s="16">
        <f>base!W433</f>
        <v>56.48</v>
      </c>
      <c r="G433" s="11">
        <f t="shared" si="60"/>
        <v>0.30002656042496678</v>
      </c>
      <c r="H433" s="11">
        <f t="shared" si="61"/>
        <v>32.002500000000005</v>
      </c>
      <c r="I433" s="11">
        <f t="shared" si="62"/>
        <v>0.17</v>
      </c>
      <c r="J433" s="12">
        <f t="shared" si="63"/>
        <v>24.477499999999992</v>
      </c>
      <c r="K433" s="17" t="str">
        <f t="shared" si="68"/>
        <v>Ecart positif</v>
      </c>
      <c r="L433" s="16">
        <f>base!X433</f>
        <v>0</v>
      </c>
      <c r="M433" s="11">
        <f t="shared" si="64"/>
        <v>0</v>
      </c>
      <c r="N433" s="11">
        <f t="shared" si="65"/>
        <v>32.002500000000005</v>
      </c>
      <c r="O433" s="11">
        <f t="shared" si="66"/>
        <v>0.17</v>
      </c>
      <c r="P433" s="12">
        <f t="shared" si="67"/>
        <v>-32.002500000000005</v>
      </c>
      <c r="Q433" s="17" t="str">
        <f t="shared" si="69"/>
        <v>Ecart négatif</v>
      </c>
    </row>
    <row r="434" spans="1:17" x14ac:dyDescent="0.3">
      <c r="A434" s="34">
        <f>base!J434</f>
        <v>0</v>
      </c>
      <c r="B434" s="34" t="str">
        <f>base!V434</f>
        <v>77184</v>
      </c>
      <c r="C434" s="37">
        <v>77</v>
      </c>
      <c r="D434" s="36">
        <f>base!H434</f>
        <v>139</v>
      </c>
      <c r="E434" s="44"/>
      <c r="F434" s="16">
        <f>base!W434</f>
        <v>0</v>
      </c>
      <c r="G434" s="11">
        <f t="shared" si="60"/>
        <v>0</v>
      </c>
      <c r="H434" s="11">
        <f t="shared" si="61"/>
        <v>0</v>
      </c>
      <c r="I434" s="11">
        <f t="shared" si="62"/>
        <v>0</v>
      </c>
      <c r="J434" s="12">
        <f t="shared" si="63"/>
        <v>0</v>
      </c>
      <c r="K434" s="17" t="str">
        <f t="shared" si="68"/>
        <v>Pas d'écart</v>
      </c>
      <c r="L434" s="16">
        <f>base!X434</f>
        <v>0</v>
      </c>
      <c r="M434" s="11">
        <f t="shared" si="64"/>
        <v>0</v>
      </c>
      <c r="N434" s="11">
        <f t="shared" si="65"/>
        <v>0</v>
      </c>
      <c r="O434" s="11">
        <f t="shared" si="66"/>
        <v>0</v>
      </c>
      <c r="P434" s="12">
        <f t="shared" si="67"/>
        <v>0</v>
      </c>
      <c r="Q434" s="17" t="str">
        <f t="shared" si="69"/>
        <v>Pas d'écart</v>
      </c>
    </row>
    <row r="435" spans="1:17" x14ac:dyDescent="0.3">
      <c r="A435" s="34" t="str">
        <f>base!J435</f>
        <v>LS</v>
      </c>
      <c r="B435" s="34" t="str">
        <f>base!V435</f>
        <v>77990</v>
      </c>
      <c r="C435" s="37">
        <v>77</v>
      </c>
      <c r="D435" s="36">
        <f>base!H435</f>
        <v>183.98</v>
      </c>
      <c r="E435" s="44"/>
      <c r="F435" s="16">
        <f>base!W435</f>
        <v>0</v>
      </c>
      <c r="G435" s="11">
        <f t="shared" si="60"/>
        <v>0</v>
      </c>
      <c r="H435" s="11">
        <f t="shared" si="61"/>
        <v>0</v>
      </c>
      <c r="I435" s="11">
        <f t="shared" si="62"/>
        <v>0</v>
      </c>
      <c r="J435" s="12">
        <f t="shared" si="63"/>
        <v>0</v>
      </c>
      <c r="K435" s="17" t="str">
        <f t="shared" si="68"/>
        <v>Pas d'écart</v>
      </c>
      <c r="L435" s="16">
        <f>base!X435</f>
        <v>0</v>
      </c>
      <c r="M435" s="11">
        <f t="shared" si="64"/>
        <v>0</v>
      </c>
      <c r="N435" s="11">
        <f t="shared" si="65"/>
        <v>0</v>
      </c>
      <c r="O435" s="11">
        <f t="shared" si="66"/>
        <v>0</v>
      </c>
      <c r="P435" s="12">
        <f t="shared" si="67"/>
        <v>0</v>
      </c>
      <c r="Q435" s="17" t="str">
        <f t="shared" si="69"/>
        <v>Pas d'écart</v>
      </c>
    </row>
    <row r="436" spans="1:17" x14ac:dyDescent="0.3">
      <c r="A436" s="34" t="str">
        <f>base!J436</f>
        <v>LS</v>
      </c>
      <c r="B436" s="34" t="str">
        <f>base!V436</f>
        <v>27202</v>
      </c>
      <c r="C436" s="37">
        <v>1</v>
      </c>
      <c r="D436" s="36">
        <f>base!H436</f>
        <v>131.85</v>
      </c>
      <c r="E436" s="44"/>
      <c r="F436" s="16">
        <f>base!W436</f>
        <v>22.41</v>
      </c>
      <c r="G436" s="11">
        <f t="shared" si="60"/>
        <v>0.16996587030716725</v>
      </c>
      <c r="H436" s="11">
        <f t="shared" si="61"/>
        <v>34.280999999999999</v>
      </c>
      <c r="I436" s="11">
        <f t="shared" si="62"/>
        <v>0.26</v>
      </c>
      <c r="J436" s="12">
        <f t="shared" si="63"/>
        <v>-11.870999999999999</v>
      </c>
      <c r="K436" s="17" t="str">
        <f t="shared" si="68"/>
        <v>Ecart négatif</v>
      </c>
      <c r="L436" s="16">
        <f>base!X436</f>
        <v>0</v>
      </c>
      <c r="M436" s="11">
        <f t="shared" si="64"/>
        <v>0</v>
      </c>
      <c r="N436" s="11">
        <f t="shared" si="65"/>
        <v>0</v>
      </c>
      <c r="O436" s="11">
        <f t="shared" si="66"/>
        <v>0</v>
      </c>
      <c r="P436" s="12">
        <f t="shared" si="67"/>
        <v>0</v>
      </c>
      <c r="Q436" s="17" t="str">
        <f t="shared" si="69"/>
        <v>Pas d'écart</v>
      </c>
    </row>
    <row r="437" spans="1:17" x14ac:dyDescent="0.3">
      <c r="A437" s="34" t="str">
        <f>base!J437</f>
        <v>LM</v>
      </c>
      <c r="B437" s="34" t="str">
        <f>base!V437</f>
        <v>56450</v>
      </c>
      <c r="C437" s="37">
        <v>60</v>
      </c>
      <c r="D437" s="36">
        <f>base!H437</f>
        <v>19.8</v>
      </c>
      <c r="E437" s="44"/>
      <c r="F437" s="16">
        <f>base!W437</f>
        <v>5.35</v>
      </c>
      <c r="G437" s="11">
        <f t="shared" si="60"/>
        <v>0.27020202020202017</v>
      </c>
      <c r="H437" s="11">
        <f t="shared" si="61"/>
        <v>3.762</v>
      </c>
      <c r="I437" s="11">
        <f t="shared" si="62"/>
        <v>0.19</v>
      </c>
      <c r="J437" s="12">
        <f t="shared" si="63"/>
        <v>1.5879999999999996</v>
      </c>
      <c r="K437" s="17" t="str">
        <f t="shared" si="68"/>
        <v>Ecart positif</v>
      </c>
      <c r="L437" s="16">
        <f>base!X437</f>
        <v>0</v>
      </c>
      <c r="M437" s="11">
        <f t="shared" si="64"/>
        <v>0</v>
      </c>
      <c r="N437" s="11">
        <f t="shared" si="65"/>
        <v>0</v>
      </c>
      <c r="O437" s="11">
        <f t="shared" si="66"/>
        <v>0</v>
      </c>
      <c r="P437" s="12">
        <f t="shared" si="67"/>
        <v>0</v>
      </c>
      <c r="Q437" s="17" t="str">
        <f t="shared" si="69"/>
        <v>Pas d'écart</v>
      </c>
    </row>
    <row r="438" spans="1:17" x14ac:dyDescent="0.3">
      <c r="A438" s="34" t="str">
        <f>base!J438</f>
        <v>LM</v>
      </c>
      <c r="B438" s="34" t="str">
        <f>base!V438</f>
        <v>69005</v>
      </c>
      <c r="C438" s="37">
        <v>14</v>
      </c>
      <c r="D438" s="36">
        <f>base!H438</f>
        <v>138.16</v>
      </c>
      <c r="E438" s="44"/>
      <c r="F438" s="16">
        <f>base!W438</f>
        <v>37.299999999999997</v>
      </c>
      <c r="G438" s="11">
        <f t="shared" si="60"/>
        <v>0.26997683844817599</v>
      </c>
      <c r="H438" s="11">
        <f t="shared" si="61"/>
        <v>23.487200000000001</v>
      </c>
      <c r="I438" s="11">
        <f t="shared" si="62"/>
        <v>0.17</v>
      </c>
      <c r="J438" s="12">
        <f t="shared" si="63"/>
        <v>13.812799999999996</v>
      </c>
      <c r="K438" s="17" t="str">
        <f t="shared" si="68"/>
        <v>Ecart positif</v>
      </c>
      <c r="L438" s="16">
        <f>base!X438</f>
        <v>0</v>
      </c>
      <c r="M438" s="11">
        <f t="shared" si="64"/>
        <v>0</v>
      </c>
      <c r="N438" s="11">
        <f t="shared" si="65"/>
        <v>23.487200000000001</v>
      </c>
      <c r="O438" s="11">
        <f t="shared" si="66"/>
        <v>0.17</v>
      </c>
      <c r="P438" s="12">
        <f t="shared" si="67"/>
        <v>-23.487200000000001</v>
      </c>
      <c r="Q438" s="17" t="str">
        <f t="shared" si="69"/>
        <v>Ecart négatif</v>
      </c>
    </row>
    <row r="439" spans="1:17" x14ac:dyDescent="0.3">
      <c r="A439" s="34" t="str">
        <f>base!J439</f>
        <v>LM</v>
      </c>
      <c r="B439" s="34" t="str">
        <f>base!V439</f>
        <v>69005</v>
      </c>
      <c r="C439" s="37">
        <v>79</v>
      </c>
      <c r="D439" s="36">
        <f>base!H439</f>
        <v>33.35</v>
      </c>
      <c r="E439" s="44"/>
      <c r="F439" s="16">
        <f>base!W439</f>
        <v>9</v>
      </c>
      <c r="G439" s="11">
        <f t="shared" si="60"/>
        <v>0.26986506746626687</v>
      </c>
      <c r="H439" s="11">
        <f t="shared" si="61"/>
        <v>7.0034999999999998</v>
      </c>
      <c r="I439" s="11">
        <f t="shared" si="62"/>
        <v>0.21</v>
      </c>
      <c r="J439" s="12">
        <f t="shared" si="63"/>
        <v>1.9965000000000002</v>
      </c>
      <c r="K439" s="17" t="str">
        <f t="shared" si="68"/>
        <v>Ecart positif</v>
      </c>
      <c r="L439" s="16">
        <f>base!X439</f>
        <v>0</v>
      </c>
      <c r="M439" s="11">
        <f t="shared" si="64"/>
        <v>0</v>
      </c>
      <c r="N439" s="11">
        <f t="shared" si="65"/>
        <v>4.0019999999999998</v>
      </c>
      <c r="O439" s="11">
        <f t="shared" si="66"/>
        <v>0.11999999999999998</v>
      </c>
      <c r="P439" s="12">
        <f t="shared" si="67"/>
        <v>-4.0019999999999998</v>
      </c>
      <c r="Q439" s="17" t="str">
        <f t="shared" si="69"/>
        <v>Ecart négatif</v>
      </c>
    </row>
    <row r="440" spans="1:17" x14ac:dyDescent="0.3">
      <c r="A440" s="34" t="str">
        <f>base!J440</f>
        <v>LM</v>
      </c>
      <c r="B440" s="34" t="str">
        <f>base!V440</f>
        <v>69005</v>
      </c>
      <c r="C440" s="37">
        <v>59</v>
      </c>
      <c r="D440" s="36">
        <f>base!H440</f>
        <v>33.35</v>
      </c>
      <c r="E440" s="44"/>
      <c r="F440" s="16">
        <f>base!W440</f>
        <v>9</v>
      </c>
      <c r="G440" s="11">
        <f t="shared" si="60"/>
        <v>0.26986506746626687</v>
      </c>
      <c r="H440" s="11">
        <f t="shared" si="61"/>
        <v>6.3365</v>
      </c>
      <c r="I440" s="11">
        <f t="shared" si="62"/>
        <v>0.19</v>
      </c>
      <c r="J440" s="12">
        <f t="shared" si="63"/>
        <v>2.6635</v>
      </c>
      <c r="K440" s="17" t="str">
        <f t="shared" si="68"/>
        <v>Ecart positif</v>
      </c>
      <c r="L440" s="16">
        <f>base!X440</f>
        <v>0</v>
      </c>
      <c r="M440" s="11">
        <f t="shared" si="64"/>
        <v>0</v>
      </c>
      <c r="N440" s="11">
        <f t="shared" si="65"/>
        <v>0</v>
      </c>
      <c r="O440" s="11">
        <f t="shared" si="66"/>
        <v>0</v>
      </c>
      <c r="P440" s="12">
        <f t="shared" si="67"/>
        <v>0</v>
      </c>
      <c r="Q440" s="17" t="str">
        <f t="shared" si="69"/>
        <v>Pas d'écart</v>
      </c>
    </row>
    <row r="441" spans="1:17" x14ac:dyDescent="0.3">
      <c r="A441" s="34" t="str">
        <f>base!J441</f>
        <v>RS</v>
      </c>
      <c r="B441" s="34" t="str">
        <f>base!V441</f>
        <v>59000</v>
      </c>
      <c r="C441" s="37">
        <v>59</v>
      </c>
      <c r="D441" s="36">
        <f>base!H441</f>
        <v>140</v>
      </c>
      <c r="E441" s="44"/>
      <c r="F441" s="16">
        <f>base!W441</f>
        <v>0</v>
      </c>
      <c r="G441" s="11">
        <f t="shared" si="60"/>
        <v>0</v>
      </c>
      <c r="H441" s="11">
        <f t="shared" si="61"/>
        <v>26.6</v>
      </c>
      <c r="I441" s="11">
        <f t="shared" si="62"/>
        <v>0.19</v>
      </c>
      <c r="J441" s="12">
        <f t="shared" si="63"/>
        <v>-26.6</v>
      </c>
      <c r="K441" s="17" t="str">
        <f t="shared" si="68"/>
        <v>Ecart négatif</v>
      </c>
      <c r="L441" s="16">
        <f>base!X441</f>
        <v>0</v>
      </c>
      <c r="M441" s="11">
        <f t="shared" si="64"/>
        <v>0</v>
      </c>
      <c r="N441" s="11">
        <f t="shared" si="65"/>
        <v>0</v>
      </c>
      <c r="O441" s="11">
        <f t="shared" si="66"/>
        <v>0</v>
      </c>
      <c r="P441" s="12">
        <f t="shared" si="67"/>
        <v>0</v>
      </c>
      <c r="Q441" s="17" t="str">
        <f t="shared" si="69"/>
        <v>Pas d'écart</v>
      </c>
    </row>
    <row r="442" spans="1:17" x14ac:dyDescent="0.3">
      <c r="A442" s="34" t="str">
        <f>base!J442</f>
        <v>RS</v>
      </c>
      <c r="B442" s="34" t="str">
        <f>base!V442</f>
        <v>26000</v>
      </c>
      <c r="C442" s="37">
        <v>26</v>
      </c>
      <c r="D442" s="36">
        <f>base!H442</f>
        <v>70</v>
      </c>
      <c r="E442" s="44"/>
      <c r="F442" s="16">
        <f>base!W442</f>
        <v>0</v>
      </c>
      <c r="G442" s="11">
        <f t="shared" si="60"/>
        <v>0</v>
      </c>
      <c r="H442" s="11">
        <f t="shared" si="61"/>
        <v>18.900000000000002</v>
      </c>
      <c r="I442" s="11">
        <f t="shared" si="62"/>
        <v>0.27</v>
      </c>
      <c r="J442" s="12">
        <f t="shared" si="63"/>
        <v>-18.900000000000002</v>
      </c>
      <c r="K442" s="17" t="str">
        <f t="shared" si="68"/>
        <v>Ecart négatif</v>
      </c>
      <c r="L442" s="16">
        <f>base!X442</f>
        <v>0</v>
      </c>
      <c r="M442" s="11">
        <f t="shared" si="64"/>
        <v>0</v>
      </c>
      <c r="N442" s="11">
        <f t="shared" si="65"/>
        <v>0</v>
      </c>
      <c r="O442" s="11">
        <f t="shared" si="66"/>
        <v>0</v>
      </c>
      <c r="P442" s="12">
        <f t="shared" si="67"/>
        <v>0</v>
      </c>
      <c r="Q442" s="17" t="str">
        <f t="shared" si="69"/>
        <v>Pas d'écart</v>
      </c>
    </row>
    <row r="443" spans="1:17" x14ac:dyDescent="0.3">
      <c r="A443" s="34" t="str">
        <f>base!J443</f>
        <v>RM</v>
      </c>
      <c r="B443" s="34" t="str">
        <f>base!V443</f>
        <v>44550</v>
      </c>
      <c r="C443" s="37">
        <v>44</v>
      </c>
      <c r="D443" s="36">
        <f>base!H443</f>
        <v>71.819999999999993</v>
      </c>
      <c r="E443" s="44"/>
      <c r="F443" s="16">
        <f>base!W443</f>
        <v>0</v>
      </c>
      <c r="G443" s="11">
        <f t="shared" si="60"/>
        <v>0</v>
      </c>
      <c r="H443" s="11">
        <f t="shared" si="61"/>
        <v>19.391400000000001</v>
      </c>
      <c r="I443" s="11">
        <f t="shared" si="62"/>
        <v>0.27</v>
      </c>
      <c r="J443" s="12">
        <f t="shared" si="63"/>
        <v>-19.391400000000001</v>
      </c>
      <c r="K443" s="17" t="str">
        <f t="shared" si="68"/>
        <v>Ecart négatif</v>
      </c>
      <c r="L443" s="16">
        <f>base!X443</f>
        <v>0</v>
      </c>
      <c r="M443" s="11">
        <f t="shared" si="64"/>
        <v>0</v>
      </c>
      <c r="N443" s="11">
        <f t="shared" si="65"/>
        <v>0</v>
      </c>
      <c r="O443" s="11">
        <f t="shared" si="66"/>
        <v>0</v>
      </c>
      <c r="P443" s="12">
        <f t="shared" si="67"/>
        <v>0</v>
      </c>
      <c r="Q443" s="17" t="str">
        <f t="shared" si="69"/>
        <v>Pas d'écart</v>
      </c>
    </row>
    <row r="444" spans="1:17" x14ac:dyDescent="0.3">
      <c r="A444" s="34" t="str">
        <f>base!J444</f>
        <v>DRS</v>
      </c>
      <c r="B444" s="34" t="str">
        <f>base!V444</f>
        <v>77184</v>
      </c>
      <c r="C444" s="37">
        <v>77</v>
      </c>
      <c r="D444" s="36">
        <f>base!H444</f>
        <v>140.46</v>
      </c>
      <c r="E444" s="44"/>
      <c r="F444" s="16">
        <f>base!W444</f>
        <v>0</v>
      </c>
      <c r="G444" s="11">
        <f t="shared" si="60"/>
        <v>0</v>
      </c>
      <c r="H444" s="11">
        <f t="shared" si="61"/>
        <v>0</v>
      </c>
      <c r="I444" s="11">
        <f t="shared" si="62"/>
        <v>0</v>
      </c>
      <c r="J444" s="12">
        <f t="shared" si="63"/>
        <v>0</v>
      </c>
      <c r="K444" s="17" t="str">
        <f t="shared" si="68"/>
        <v>Pas d'écart</v>
      </c>
      <c r="L444" s="16">
        <f>base!X444</f>
        <v>0</v>
      </c>
      <c r="M444" s="11">
        <f t="shared" si="64"/>
        <v>0</v>
      </c>
      <c r="N444" s="11">
        <f t="shared" si="65"/>
        <v>0</v>
      </c>
      <c r="O444" s="11">
        <f t="shared" si="66"/>
        <v>0</v>
      </c>
      <c r="P444" s="12">
        <f t="shared" si="67"/>
        <v>0</v>
      </c>
      <c r="Q444" s="17" t="str">
        <f t="shared" si="69"/>
        <v>Pas d'écart</v>
      </c>
    </row>
    <row r="445" spans="1:17" x14ac:dyDescent="0.3">
      <c r="A445" s="34" t="str">
        <f>base!J445</f>
        <v>LS</v>
      </c>
      <c r="B445" s="34" t="str">
        <f>base!V445</f>
        <v>30120</v>
      </c>
      <c r="C445" s="37">
        <v>57</v>
      </c>
      <c r="D445" s="36">
        <f>base!H445</f>
        <v>55.14</v>
      </c>
      <c r="E445" s="44"/>
      <c r="F445" s="16">
        <f>base!W445</f>
        <v>21.5</v>
      </c>
      <c r="G445" s="11">
        <f t="shared" si="60"/>
        <v>0.38991657598839319</v>
      </c>
      <c r="H445" s="11">
        <f t="shared" si="61"/>
        <v>13.233599999999999</v>
      </c>
      <c r="I445" s="11">
        <f t="shared" si="62"/>
        <v>0.24</v>
      </c>
      <c r="J445" s="12">
        <f t="shared" si="63"/>
        <v>8.2664000000000009</v>
      </c>
      <c r="K445" s="17" t="str">
        <f t="shared" si="68"/>
        <v>Ecart positif</v>
      </c>
      <c r="L445" s="16">
        <f>base!X445</f>
        <v>0</v>
      </c>
      <c r="M445" s="11">
        <f t="shared" si="64"/>
        <v>0</v>
      </c>
      <c r="N445" s="11">
        <f t="shared" si="65"/>
        <v>13.785</v>
      </c>
      <c r="O445" s="11">
        <f t="shared" si="66"/>
        <v>0.25</v>
      </c>
      <c r="P445" s="12">
        <f t="shared" si="67"/>
        <v>-13.785</v>
      </c>
      <c r="Q445" s="17" t="str">
        <f t="shared" si="69"/>
        <v>Ecart négatif</v>
      </c>
    </row>
    <row r="446" spans="1:17" x14ac:dyDescent="0.3">
      <c r="A446" s="34" t="str">
        <f>base!J446</f>
        <v>LM</v>
      </c>
      <c r="B446" s="34" t="str">
        <f>base!V446</f>
        <v>06000</v>
      </c>
      <c r="C446" s="37">
        <v>54</v>
      </c>
      <c r="D446" s="36">
        <f>base!H446</f>
        <v>129.19999999999999</v>
      </c>
      <c r="E446" s="44"/>
      <c r="F446" s="16">
        <f>base!W446</f>
        <v>38.76</v>
      </c>
      <c r="G446" s="11">
        <f t="shared" si="60"/>
        <v>0.3</v>
      </c>
      <c r="H446" s="11">
        <f t="shared" si="61"/>
        <v>32.299999999999997</v>
      </c>
      <c r="I446" s="11">
        <f t="shared" si="62"/>
        <v>0.25</v>
      </c>
      <c r="J446" s="12">
        <f t="shared" si="63"/>
        <v>6.4600000000000009</v>
      </c>
      <c r="K446" s="17" t="str">
        <f t="shared" si="68"/>
        <v>Ecart positif</v>
      </c>
      <c r="L446" s="16">
        <f>base!X446</f>
        <v>0</v>
      </c>
      <c r="M446" s="11">
        <f t="shared" si="64"/>
        <v>0</v>
      </c>
      <c r="N446" s="11">
        <f t="shared" si="65"/>
        <v>32.299999999999997</v>
      </c>
      <c r="O446" s="11">
        <f t="shared" si="66"/>
        <v>0.25</v>
      </c>
      <c r="P446" s="12">
        <f t="shared" si="67"/>
        <v>-32.299999999999997</v>
      </c>
      <c r="Q446" s="17" t="str">
        <f t="shared" si="69"/>
        <v>Ecart négatif</v>
      </c>
    </row>
    <row r="447" spans="1:17" x14ac:dyDescent="0.3">
      <c r="A447" s="34" t="str">
        <f>base!J447</f>
        <v>LM</v>
      </c>
      <c r="B447" s="34" t="str">
        <f>base!V447</f>
        <v>06000</v>
      </c>
      <c r="C447" s="37">
        <v>57</v>
      </c>
      <c r="D447" s="36">
        <f>base!H447</f>
        <v>43.44</v>
      </c>
      <c r="E447" s="44"/>
      <c r="F447" s="16">
        <f>base!W447</f>
        <v>13.03</v>
      </c>
      <c r="G447" s="11">
        <f t="shared" si="60"/>
        <v>0.29995395948434622</v>
      </c>
      <c r="H447" s="11">
        <f t="shared" si="61"/>
        <v>10.425599999999999</v>
      </c>
      <c r="I447" s="11">
        <f t="shared" si="62"/>
        <v>0.24</v>
      </c>
      <c r="J447" s="12">
        <f t="shared" si="63"/>
        <v>2.6044</v>
      </c>
      <c r="K447" s="17" t="str">
        <f t="shared" si="68"/>
        <v>Ecart positif</v>
      </c>
      <c r="L447" s="16">
        <f>base!X447</f>
        <v>0</v>
      </c>
      <c r="M447" s="11">
        <f t="shared" si="64"/>
        <v>0</v>
      </c>
      <c r="N447" s="11">
        <f t="shared" si="65"/>
        <v>10.86</v>
      </c>
      <c r="O447" s="11">
        <f t="shared" si="66"/>
        <v>0.25</v>
      </c>
      <c r="P447" s="12">
        <f t="shared" si="67"/>
        <v>-10.86</v>
      </c>
      <c r="Q447" s="17" t="str">
        <f t="shared" si="69"/>
        <v>Ecart négatif</v>
      </c>
    </row>
    <row r="448" spans="1:17" x14ac:dyDescent="0.3">
      <c r="A448" s="34" t="str">
        <f>base!J448</f>
        <v>LS</v>
      </c>
      <c r="B448" s="34" t="str">
        <f>base!V448</f>
        <v>73120</v>
      </c>
      <c r="C448" s="37">
        <v>73</v>
      </c>
      <c r="D448" s="36">
        <f>base!H448</f>
        <v>140</v>
      </c>
      <c r="E448" s="44"/>
      <c r="F448" s="16">
        <f>base!W448</f>
        <v>37.799999999999997</v>
      </c>
      <c r="G448" s="11">
        <f t="shared" si="60"/>
        <v>0.26999999999999996</v>
      </c>
      <c r="H448" s="11">
        <f t="shared" si="61"/>
        <v>37.800000000000004</v>
      </c>
      <c r="I448" s="11">
        <f t="shared" si="62"/>
        <v>0.27</v>
      </c>
      <c r="J448" s="12">
        <f t="shared" si="63"/>
        <v>0</v>
      </c>
      <c r="K448" s="17" t="str">
        <f t="shared" si="68"/>
        <v>Pas d'écart</v>
      </c>
      <c r="L448" s="16">
        <f>base!X448</f>
        <v>0</v>
      </c>
      <c r="M448" s="11">
        <f t="shared" si="64"/>
        <v>0</v>
      </c>
      <c r="N448" s="11">
        <f t="shared" si="65"/>
        <v>0</v>
      </c>
      <c r="O448" s="11">
        <f t="shared" si="66"/>
        <v>0</v>
      </c>
      <c r="P448" s="12">
        <f t="shared" si="67"/>
        <v>0</v>
      </c>
      <c r="Q448" s="17" t="str">
        <f t="shared" si="69"/>
        <v>Pas d'écart</v>
      </c>
    </row>
    <row r="449" spans="1:18" x14ac:dyDescent="0.3">
      <c r="A449" s="34" t="str">
        <f>base!J449</f>
        <v>LS</v>
      </c>
      <c r="B449" s="34" t="str">
        <f>base!V449</f>
        <v>57600</v>
      </c>
      <c r="C449" s="37">
        <v>55</v>
      </c>
      <c r="D449" s="36">
        <f>base!H449</f>
        <v>537.55999999999995</v>
      </c>
      <c r="E449" s="44"/>
      <c r="F449" s="16">
        <f>base!W449</f>
        <v>134.38999999999999</v>
      </c>
      <c r="G449" s="11">
        <f t="shared" si="60"/>
        <v>0.25</v>
      </c>
      <c r="H449" s="11">
        <f t="shared" si="61"/>
        <v>134.38999999999999</v>
      </c>
      <c r="I449" s="11">
        <f t="shared" si="62"/>
        <v>0.25</v>
      </c>
      <c r="J449" s="12">
        <f t="shared" si="63"/>
        <v>0</v>
      </c>
      <c r="K449" s="17" t="str">
        <f t="shared" si="68"/>
        <v>Pas d'écart</v>
      </c>
      <c r="L449" s="16">
        <f>base!X449</f>
        <v>0</v>
      </c>
      <c r="M449" s="11">
        <f t="shared" si="64"/>
        <v>0</v>
      </c>
      <c r="N449" s="11">
        <f t="shared" si="65"/>
        <v>134.38999999999999</v>
      </c>
      <c r="O449" s="11">
        <f t="shared" si="66"/>
        <v>0.25</v>
      </c>
      <c r="P449" s="12">
        <f t="shared" si="67"/>
        <v>-134.38999999999999</v>
      </c>
      <c r="Q449" s="17" t="str">
        <f t="shared" si="69"/>
        <v>Ecart négatif</v>
      </c>
    </row>
    <row r="450" spans="1:18" x14ac:dyDescent="0.3">
      <c r="A450" s="34" t="str">
        <f>base!J450</f>
        <v>LS</v>
      </c>
      <c r="B450" s="34" t="str">
        <f>base!V450</f>
        <v>94800</v>
      </c>
      <c r="C450" s="37">
        <v>94</v>
      </c>
      <c r="D450" s="36">
        <f>base!H450</f>
        <v>40</v>
      </c>
      <c r="E450" s="44"/>
      <c r="F450" s="16">
        <f>base!W450</f>
        <v>0</v>
      </c>
      <c r="G450" s="11">
        <f t="shared" ref="G450:G513" si="70">F450/D450</f>
        <v>0</v>
      </c>
      <c r="H450" s="11">
        <f t="shared" ref="H450:H513" si="71">VLOOKUP(C450,tout_cout_traction,2,FALSE)*D450</f>
        <v>0</v>
      </c>
      <c r="I450" s="11">
        <f t="shared" ref="I450:I513" si="72">H450/D450</f>
        <v>0</v>
      </c>
      <c r="J450" s="12">
        <f t="shared" ref="J450:J513" si="73">F450-H450</f>
        <v>0</v>
      </c>
      <c r="K450" s="17" t="str">
        <f t="shared" si="68"/>
        <v>Pas d'écart</v>
      </c>
      <c r="L450" s="16">
        <f>base!X450</f>
        <v>0</v>
      </c>
      <c r="M450" s="11">
        <f t="shared" ref="M450:M513" si="74">L450/D450</f>
        <v>0</v>
      </c>
      <c r="N450" s="11">
        <f t="shared" ref="N450:N513" si="75">VLOOKUP(C450,tout_cout_traction,3,FALSE)*D450</f>
        <v>0</v>
      </c>
      <c r="O450" s="11">
        <f t="shared" ref="O450:O513" si="76">N450/D450</f>
        <v>0</v>
      </c>
      <c r="P450" s="12">
        <f t="shared" ref="P450:P513" si="77">L450-N450</f>
        <v>0</v>
      </c>
      <c r="Q450" s="17" t="str">
        <f t="shared" si="69"/>
        <v>Pas d'écart</v>
      </c>
    </row>
    <row r="451" spans="1:18" x14ac:dyDescent="0.3">
      <c r="A451" s="34" t="str">
        <f>base!J451</f>
        <v>DRS</v>
      </c>
      <c r="B451" s="34" t="str">
        <f>base!V451</f>
        <v>44480</v>
      </c>
      <c r="C451" s="37">
        <v>44</v>
      </c>
      <c r="D451" s="36">
        <f>base!H451</f>
        <v>201.01</v>
      </c>
      <c r="E451" s="44"/>
      <c r="F451" s="16">
        <f>base!W451</f>
        <v>0</v>
      </c>
      <c r="G451" s="11">
        <f t="shared" si="70"/>
        <v>0</v>
      </c>
      <c r="H451" s="11">
        <f t="shared" si="71"/>
        <v>54.2727</v>
      </c>
      <c r="I451" s="11">
        <f t="shared" si="72"/>
        <v>0.27</v>
      </c>
      <c r="J451" s="12">
        <f t="shared" si="73"/>
        <v>-54.2727</v>
      </c>
      <c r="K451" s="17" t="str">
        <f t="shared" ref="K451:K514" si="78">IF(H451=F451,"Pas d'écart",IF(H451&lt;F451,"Ecart positif",IF(H451&gt;F451,"Ecart négatif")))</f>
        <v>Ecart négatif</v>
      </c>
      <c r="L451" s="16">
        <f>base!X451</f>
        <v>0</v>
      </c>
      <c r="M451" s="11">
        <f t="shared" si="74"/>
        <v>0</v>
      </c>
      <c r="N451" s="11">
        <f t="shared" si="75"/>
        <v>0</v>
      </c>
      <c r="O451" s="11">
        <f t="shared" si="76"/>
        <v>0</v>
      </c>
      <c r="P451" s="12">
        <f t="shared" si="77"/>
        <v>0</v>
      </c>
      <c r="Q451" s="17" t="str">
        <f t="shared" ref="Q451:Q514" si="79">IF(N451=L451,"Pas d'écart",IF(N451&lt;L451,"Ecart positif",IF(N451&gt;L451,"Ecart négatif")))</f>
        <v>Pas d'écart</v>
      </c>
    </row>
    <row r="452" spans="1:18" x14ac:dyDescent="0.3">
      <c r="A452" s="34" t="str">
        <f>base!J452</f>
        <v>LS</v>
      </c>
      <c r="B452" s="34" t="str">
        <f>base!V452</f>
        <v>92200</v>
      </c>
      <c r="C452" s="37">
        <v>92</v>
      </c>
      <c r="D452" s="36">
        <f>base!H452</f>
        <v>30</v>
      </c>
      <c r="E452" s="44"/>
      <c r="F452" s="16">
        <f>base!W452</f>
        <v>0</v>
      </c>
      <c r="G452" s="11">
        <f t="shared" si="70"/>
        <v>0</v>
      </c>
      <c r="H452" s="11">
        <f t="shared" si="71"/>
        <v>0</v>
      </c>
      <c r="I452" s="11">
        <f t="shared" si="72"/>
        <v>0</v>
      </c>
      <c r="J452" s="12">
        <f t="shared" si="73"/>
        <v>0</v>
      </c>
      <c r="K452" s="17" t="str">
        <f t="shared" si="78"/>
        <v>Pas d'écart</v>
      </c>
      <c r="L452" s="16">
        <f>base!X452</f>
        <v>0</v>
      </c>
      <c r="M452" s="11">
        <f t="shared" si="74"/>
        <v>0</v>
      </c>
      <c r="N452" s="11">
        <f t="shared" si="75"/>
        <v>0</v>
      </c>
      <c r="O452" s="11">
        <f t="shared" si="76"/>
        <v>0</v>
      </c>
      <c r="P452" s="12">
        <f t="shared" si="77"/>
        <v>0</v>
      </c>
      <c r="Q452" s="17" t="str">
        <f t="shared" si="79"/>
        <v>Pas d'écart</v>
      </c>
    </row>
    <row r="453" spans="1:18" x14ac:dyDescent="0.3">
      <c r="A453" s="34" t="str">
        <f>base!J453</f>
        <v>RS</v>
      </c>
      <c r="B453" s="34" t="str">
        <f>base!V453</f>
        <v>50100</v>
      </c>
      <c r="C453" s="37">
        <v>50</v>
      </c>
      <c r="D453" s="36">
        <f>base!H453</f>
        <v>151</v>
      </c>
      <c r="E453" s="44"/>
      <c r="F453" s="16">
        <f>base!W453</f>
        <v>0</v>
      </c>
      <c r="G453" s="11">
        <f t="shared" si="70"/>
        <v>0</v>
      </c>
      <c r="H453" s="11">
        <f t="shared" si="71"/>
        <v>25.67</v>
      </c>
      <c r="I453" s="11">
        <f t="shared" si="72"/>
        <v>0.17</v>
      </c>
      <c r="J453" s="12">
        <f t="shared" si="73"/>
        <v>-25.67</v>
      </c>
      <c r="K453" s="17" t="str">
        <f t="shared" si="78"/>
        <v>Ecart négatif</v>
      </c>
      <c r="L453" s="16">
        <f>base!X453</f>
        <v>25.67</v>
      </c>
      <c r="M453" s="11">
        <f t="shared" si="74"/>
        <v>0.17</v>
      </c>
      <c r="N453" s="11">
        <f t="shared" si="75"/>
        <v>25.67</v>
      </c>
      <c r="O453" s="11">
        <f t="shared" si="76"/>
        <v>0.17</v>
      </c>
      <c r="P453" s="12">
        <f t="shared" si="77"/>
        <v>0</v>
      </c>
      <c r="Q453" s="17" t="str">
        <f t="shared" si="79"/>
        <v>Pas d'écart</v>
      </c>
      <c r="R453" s="38"/>
    </row>
    <row r="454" spans="1:18" x14ac:dyDescent="0.3">
      <c r="A454" s="34" t="str">
        <f>base!J454</f>
        <v>LS</v>
      </c>
      <c r="B454" s="34" t="str">
        <f>base!V454</f>
        <v>69780</v>
      </c>
      <c r="C454" s="37">
        <v>54</v>
      </c>
      <c r="D454" s="36">
        <f>base!H454</f>
        <v>172.73</v>
      </c>
      <c r="E454" s="44"/>
      <c r="F454" s="16">
        <f>base!W454</f>
        <v>46.64</v>
      </c>
      <c r="G454" s="11">
        <f t="shared" si="70"/>
        <v>0.27001678920859146</v>
      </c>
      <c r="H454" s="11">
        <f t="shared" si="71"/>
        <v>43.182499999999997</v>
      </c>
      <c r="I454" s="11">
        <f t="shared" si="72"/>
        <v>0.25</v>
      </c>
      <c r="J454" s="12">
        <f t="shared" si="73"/>
        <v>3.4575000000000031</v>
      </c>
      <c r="K454" s="17" t="str">
        <f t="shared" si="78"/>
        <v>Ecart positif</v>
      </c>
      <c r="L454" s="16">
        <f>base!X454</f>
        <v>0</v>
      </c>
      <c r="M454" s="11">
        <f t="shared" si="74"/>
        <v>0</v>
      </c>
      <c r="N454" s="11">
        <f t="shared" si="75"/>
        <v>43.182499999999997</v>
      </c>
      <c r="O454" s="11">
        <f t="shared" si="76"/>
        <v>0.25</v>
      </c>
      <c r="P454" s="12">
        <f t="shared" si="77"/>
        <v>-43.182499999999997</v>
      </c>
      <c r="Q454" s="17" t="str">
        <f t="shared" si="79"/>
        <v>Ecart négatif</v>
      </c>
    </row>
    <row r="455" spans="1:18" x14ac:dyDescent="0.3">
      <c r="A455" s="34" t="str">
        <f>base!J455</f>
        <v>RS</v>
      </c>
      <c r="B455" s="34" t="str">
        <f>base!V455</f>
        <v>26000</v>
      </c>
      <c r="C455" s="37">
        <v>26</v>
      </c>
      <c r="D455" s="36">
        <f>base!H455</f>
        <v>425</v>
      </c>
      <c r="E455" s="44"/>
      <c r="F455" s="16">
        <f>base!W455</f>
        <v>0</v>
      </c>
      <c r="G455" s="11">
        <f t="shared" si="70"/>
        <v>0</v>
      </c>
      <c r="H455" s="11">
        <f t="shared" si="71"/>
        <v>114.75000000000001</v>
      </c>
      <c r="I455" s="11">
        <f t="shared" si="72"/>
        <v>0.27</v>
      </c>
      <c r="J455" s="12">
        <f t="shared" si="73"/>
        <v>-114.75000000000001</v>
      </c>
      <c r="K455" s="17" t="str">
        <f t="shared" si="78"/>
        <v>Ecart négatif</v>
      </c>
      <c r="L455" s="16">
        <f>base!X455</f>
        <v>0</v>
      </c>
      <c r="M455" s="11">
        <f t="shared" si="74"/>
        <v>0</v>
      </c>
      <c r="N455" s="11">
        <f t="shared" si="75"/>
        <v>0</v>
      </c>
      <c r="O455" s="11">
        <f t="shared" si="76"/>
        <v>0</v>
      </c>
      <c r="P455" s="12">
        <f t="shared" si="77"/>
        <v>0</v>
      </c>
      <c r="Q455" s="17" t="str">
        <f t="shared" si="79"/>
        <v>Pas d'écart</v>
      </c>
    </row>
    <row r="456" spans="1:18" x14ac:dyDescent="0.3">
      <c r="A456" s="34" t="str">
        <f>base!J456</f>
        <v>RS</v>
      </c>
      <c r="B456" s="34" t="str">
        <f>base!V456</f>
        <v>69007</v>
      </c>
      <c r="C456" s="37">
        <v>69</v>
      </c>
      <c r="D456" s="36">
        <f>base!H456</f>
        <v>106.4</v>
      </c>
      <c r="E456" s="44"/>
      <c r="F456" s="16">
        <f>base!W456</f>
        <v>0</v>
      </c>
      <c r="G456" s="11">
        <f t="shared" si="70"/>
        <v>0</v>
      </c>
      <c r="H456" s="11">
        <f t="shared" si="71"/>
        <v>28.728000000000005</v>
      </c>
      <c r="I456" s="11">
        <f t="shared" si="72"/>
        <v>0.27</v>
      </c>
      <c r="J456" s="12">
        <f t="shared" si="73"/>
        <v>-28.728000000000005</v>
      </c>
      <c r="K456" s="17" t="str">
        <f t="shared" si="78"/>
        <v>Ecart négatif</v>
      </c>
      <c r="L456" s="16">
        <f>base!X456</f>
        <v>0</v>
      </c>
      <c r="M456" s="11">
        <f t="shared" si="74"/>
        <v>0</v>
      </c>
      <c r="N456" s="11">
        <f t="shared" si="75"/>
        <v>0</v>
      </c>
      <c r="O456" s="11">
        <f t="shared" si="76"/>
        <v>0</v>
      </c>
      <c r="P456" s="12">
        <f t="shared" si="77"/>
        <v>0</v>
      </c>
      <c r="Q456" s="17" t="str">
        <f t="shared" si="79"/>
        <v>Pas d'écart</v>
      </c>
    </row>
    <row r="457" spans="1:18" x14ac:dyDescent="0.3">
      <c r="A457" s="34" t="str">
        <f>base!J457</f>
        <v>RM</v>
      </c>
      <c r="B457" s="34" t="str">
        <f>base!V457</f>
        <v>57175</v>
      </c>
      <c r="C457" s="37">
        <v>57</v>
      </c>
      <c r="D457" s="36">
        <f>base!H457</f>
        <v>37.19</v>
      </c>
      <c r="E457" s="44"/>
      <c r="F457" s="16">
        <f>base!W457</f>
        <v>0</v>
      </c>
      <c r="G457" s="11">
        <f t="shared" si="70"/>
        <v>0</v>
      </c>
      <c r="H457" s="11">
        <f t="shared" si="71"/>
        <v>8.9255999999999993</v>
      </c>
      <c r="I457" s="11">
        <f t="shared" si="72"/>
        <v>0.24</v>
      </c>
      <c r="J457" s="12">
        <f t="shared" si="73"/>
        <v>-8.9255999999999993</v>
      </c>
      <c r="K457" s="17" t="str">
        <f t="shared" si="78"/>
        <v>Ecart négatif</v>
      </c>
      <c r="L457" s="16">
        <f>base!X457</f>
        <v>9.3000000000000007</v>
      </c>
      <c r="M457" s="11">
        <f t="shared" si="74"/>
        <v>0.25006722237160528</v>
      </c>
      <c r="N457" s="11">
        <f t="shared" si="75"/>
        <v>9.2974999999999994</v>
      </c>
      <c r="O457" s="11">
        <f t="shared" si="76"/>
        <v>0.25</v>
      </c>
      <c r="P457" s="12">
        <f t="shared" si="77"/>
        <v>2.500000000001279E-3</v>
      </c>
      <c r="Q457" s="17" t="str">
        <f t="shared" si="79"/>
        <v>Ecart positif</v>
      </c>
      <c r="R457" s="38"/>
    </row>
    <row r="458" spans="1:18" x14ac:dyDescent="0.3">
      <c r="A458" s="34" t="str">
        <f>base!J458</f>
        <v>RM</v>
      </c>
      <c r="B458" s="34" t="str">
        <f>base!V458</f>
        <v>51150</v>
      </c>
      <c r="C458" s="37">
        <v>51</v>
      </c>
      <c r="D458" s="36">
        <f>base!H458</f>
        <v>33</v>
      </c>
      <c r="E458" s="44"/>
      <c r="F458" s="16">
        <f>base!W458</f>
        <v>0</v>
      </c>
      <c r="G458" s="11">
        <f t="shared" si="70"/>
        <v>0</v>
      </c>
      <c r="H458" s="11">
        <f t="shared" si="71"/>
        <v>8.25</v>
      </c>
      <c r="I458" s="11">
        <f t="shared" si="72"/>
        <v>0.25</v>
      </c>
      <c r="J458" s="12">
        <f t="shared" si="73"/>
        <v>-8.25</v>
      </c>
      <c r="K458" s="17" t="str">
        <f t="shared" si="78"/>
        <v>Ecart négatif</v>
      </c>
      <c r="L458" s="16">
        <f>base!X458</f>
        <v>8.25</v>
      </c>
      <c r="M458" s="11">
        <f t="shared" si="74"/>
        <v>0.25</v>
      </c>
      <c r="N458" s="11">
        <f t="shared" si="75"/>
        <v>8.25</v>
      </c>
      <c r="O458" s="11">
        <f t="shared" si="76"/>
        <v>0.25</v>
      </c>
      <c r="P458" s="12">
        <f t="shared" si="77"/>
        <v>0</v>
      </c>
      <c r="Q458" s="17" t="str">
        <f t="shared" si="79"/>
        <v>Pas d'écart</v>
      </c>
      <c r="R458" s="38"/>
    </row>
    <row r="459" spans="1:18" x14ac:dyDescent="0.3">
      <c r="A459" s="34" t="str">
        <f>base!J459</f>
        <v>RM</v>
      </c>
      <c r="B459" s="34" t="str">
        <f>base!V459</f>
        <v>13006</v>
      </c>
      <c r="C459" s="37">
        <v>13</v>
      </c>
      <c r="D459" s="36">
        <f>base!H459</f>
        <v>140</v>
      </c>
      <c r="E459" s="44"/>
      <c r="F459" s="16">
        <f>base!W459</f>
        <v>0</v>
      </c>
      <c r="G459" s="11">
        <f t="shared" si="70"/>
        <v>0</v>
      </c>
      <c r="H459" s="11">
        <f t="shared" si="71"/>
        <v>40.599999999999994</v>
      </c>
      <c r="I459" s="11">
        <f t="shared" si="72"/>
        <v>0.28999999999999998</v>
      </c>
      <c r="J459" s="12">
        <f t="shared" si="73"/>
        <v>-40.599999999999994</v>
      </c>
      <c r="K459" s="17" t="str">
        <f t="shared" si="78"/>
        <v>Ecart négatif</v>
      </c>
      <c r="L459" s="16">
        <f>base!X459</f>
        <v>0</v>
      </c>
      <c r="M459" s="11">
        <f t="shared" si="74"/>
        <v>0</v>
      </c>
      <c r="N459" s="11">
        <f t="shared" si="75"/>
        <v>26.6</v>
      </c>
      <c r="O459" s="11">
        <f t="shared" si="76"/>
        <v>0.19</v>
      </c>
      <c r="P459" s="12">
        <f t="shared" si="77"/>
        <v>-26.6</v>
      </c>
      <c r="Q459" s="17" t="str">
        <f t="shared" si="79"/>
        <v>Ecart négatif</v>
      </c>
    </row>
    <row r="460" spans="1:18" x14ac:dyDescent="0.3">
      <c r="A460" s="34" t="str">
        <f>base!J460</f>
        <v>RS</v>
      </c>
      <c r="B460" s="34" t="str">
        <f>base!V460</f>
        <v>69007</v>
      </c>
      <c r="C460" s="37">
        <v>69</v>
      </c>
      <c r="D460" s="36">
        <f>base!H460</f>
        <v>40</v>
      </c>
      <c r="E460" s="44"/>
      <c r="F460" s="16">
        <f>base!W460</f>
        <v>0</v>
      </c>
      <c r="G460" s="11">
        <f t="shared" si="70"/>
        <v>0</v>
      </c>
      <c r="H460" s="11">
        <f t="shared" si="71"/>
        <v>10.8</v>
      </c>
      <c r="I460" s="11">
        <f t="shared" si="72"/>
        <v>0.27</v>
      </c>
      <c r="J460" s="12">
        <f t="shared" si="73"/>
        <v>-10.8</v>
      </c>
      <c r="K460" s="17" t="str">
        <f t="shared" si="78"/>
        <v>Ecart négatif</v>
      </c>
      <c r="L460" s="16">
        <f>base!X460</f>
        <v>0</v>
      </c>
      <c r="M460" s="11">
        <f t="shared" si="74"/>
        <v>0</v>
      </c>
      <c r="N460" s="11">
        <f t="shared" si="75"/>
        <v>0</v>
      </c>
      <c r="O460" s="11">
        <f t="shared" si="76"/>
        <v>0</v>
      </c>
      <c r="P460" s="12">
        <f t="shared" si="77"/>
        <v>0</v>
      </c>
      <c r="Q460" s="17" t="str">
        <f t="shared" si="79"/>
        <v>Pas d'écart</v>
      </c>
    </row>
    <row r="461" spans="1:18" x14ac:dyDescent="0.3">
      <c r="A461" s="34" t="str">
        <f>base!J461</f>
        <v>RM</v>
      </c>
      <c r="B461" s="34" t="str">
        <f>base!V461</f>
        <v>75007</v>
      </c>
      <c r="C461" s="37">
        <v>75</v>
      </c>
      <c r="D461" s="36">
        <f>base!H461</f>
        <v>22.5</v>
      </c>
      <c r="E461" s="44"/>
      <c r="F461" s="16">
        <f>base!W461</f>
        <v>0</v>
      </c>
      <c r="G461" s="11">
        <f t="shared" si="70"/>
        <v>0</v>
      </c>
      <c r="H461" s="11">
        <f t="shared" si="71"/>
        <v>0</v>
      </c>
      <c r="I461" s="11">
        <f t="shared" si="72"/>
        <v>0</v>
      </c>
      <c r="J461" s="12">
        <f t="shared" si="73"/>
        <v>0</v>
      </c>
      <c r="K461" s="17" t="str">
        <f t="shared" si="78"/>
        <v>Pas d'écart</v>
      </c>
      <c r="L461" s="16">
        <f>base!X461</f>
        <v>0</v>
      </c>
      <c r="M461" s="11">
        <f t="shared" si="74"/>
        <v>0</v>
      </c>
      <c r="N461" s="11">
        <f t="shared" si="75"/>
        <v>0</v>
      </c>
      <c r="O461" s="11">
        <f t="shared" si="76"/>
        <v>0</v>
      </c>
      <c r="P461" s="12">
        <f t="shared" si="77"/>
        <v>0</v>
      </c>
      <c r="Q461" s="17" t="str">
        <f t="shared" si="79"/>
        <v>Pas d'écart</v>
      </c>
    </row>
    <row r="462" spans="1:18" x14ac:dyDescent="0.3">
      <c r="A462" s="34" t="str">
        <f>base!J462</f>
        <v>LS</v>
      </c>
      <c r="B462" s="34" t="str">
        <f>base!V462</f>
        <v>14200</v>
      </c>
      <c r="C462" s="37">
        <v>14</v>
      </c>
      <c r="D462" s="36">
        <f>base!H462</f>
        <v>0</v>
      </c>
      <c r="E462" s="44"/>
      <c r="F462" s="16">
        <f>base!W462</f>
        <v>0</v>
      </c>
      <c r="G462" s="11" t="e">
        <f t="shared" si="70"/>
        <v>#DIV/0!</v>
      </c>
      <c r="H462" s="11">
        <f t="shared" si="71"/>
        <v>0</v>
      </c>
      <c r="I462" s="11" t="e">
        <f t="shared" si="72"/>
        <v>#DIV/0!</v>
      </c>
      <c r="J462" s="12">
        <f t="shared" si="73"/>
        <v>0</v>
      </c>
      <c r="K462" s="17" t="str">
        <f t="shared" si="78"/>
        <v>Pas d'écart</v>
      </c>
      <c r="L462" s="16">
        <f>base!X462</f>
        <v>0</v>
      </c>
      <c r="M462" s="11" t="e">
        <f t="shared" si="74"/>
        <v>#DIV/0!</v>
      </c>
      <c r="N462" s="11">
        <f t="shared" si="75"/>
        <v>0</v>
      </c>
      <c r="O462" s="11" t="e">
        <f t="shared" si="76"/>
        <v>#DIV/0!</v>
      </c>
      <c r="P462" s="12">
        <f t="shared" si="77"/>
        <v>0</v>
      </c>
      <c r="Q462" s="17" t="str">
        <f t="shared" si="79"/>
        <v>Pas d'écart</v>
      </c>
    </row>
    <row r="463" spans="1:18" x14ac:dyDescent="0.3">
      <c r="A463" s="34" t="str">
        <f>base!J463</f>
        <v>LM</v>
      </c>
      <c r="B463" s="34" t="str">
        <f>base!V463</f>
        <v>61250</v>
      </c>
      <c r="C463" s="37">
        <v>57</v>
      </c>
      <c r="D463" s="36">
        <f>base!H463</f>
        <v>143.51</v>
      </c>
      <c r="E463" s="44"/>
      <c r="F463" s="16">
        <f>base!W463</f>
        <v>24.4</v>
      </c>
      <c r="G463" s="11">
        <f t="shared" si="70"/>
        <v>0.17002299491324646</v>
      </c>
      <c r="H463" s="11">
        <f t="shared" si="71"/>
        <v>34.442399999999999</v>
      </c>
      <c r="I463" s="11">
        <f t="shared" si="72"/>
        <v>0.24000000000000002</v>
      </c>
      <c r="J463" s="12">
        <f t="shared" si="73"/>
        <v>-10.042400000000001</v>
      </c>
      <c r="K463" s="17" t="str">
        <f t="shared" si="78"/>
        <v>Ecart négatif</v>
      </c>
      <c r="L463" s="16">
        <f>base!X463</f>
        <v>0</v>
      </c>
      <c r="M463" s="11">
        <f t="shared" si="74"/>
        <v>0</v>
      </c>
      <c r="N463" s="11">
        <f t="shared" si="75"/>
        <v>35.877499999999998</v>
      </c>
      <c r="O463" s="11">
        <f t="shared" si="76"/>
        <v>0.25</v>
      </c>
      <c r="P463" s="12">
        <f t="shared" si="77"/>
        <v>-35.877499999999998</v>
      </c>
      <c r="Q463" s="17" t="str">
        <f t="shared" si="79"/>
        <v>Ecart négatif</v>
      </c>
    </row>
    <row r="464" spans="1:18" x14ac:dyDescent="0.3">
      <c r="A464" s="34" t="str">
        <f>base!J464</f>
        <v>RS</v>
      </c>
      <c r="B464" s="34" t="str">
        <f>base!V464</f>
        <v>79390</v>
      </c>
      <c r="C464" s="37">
        <v>79</v>
      </c>
      <c r="D464" s="36">
        <f>base!H464</f>
        <v>151</v>
      </c>
      <c r="E464" s="44"/>
      <c r="F464" s="16">
        <f>base!W464</f>
        <v>0</v>
      </c>
      <c r="G464" s="11">
        <f t="shared" si="70"/>
        <v>0</v>
      </c>
      <c r="H464" s="11">
        <f t="shared" si="71"/>
        <v>31.709999999999997</v>
      </c>
      <c r="I464" s="11">
        <f t="shared" si="72"/>
        <v>0.21</v>
      </c>
      <c r="J464" s="12">
        <f t="shared" si="73"/>
        <v>-31.709999999999997</v>
      </c>
      <c r="K464" s="17" t="str">
        <f t="shared" si="78"/>
        <v>Ecart négatif</v>
      </c>
      <c r="L464" s="16">
        <f>base!X464</f>
        <v>18.12</v>
      </c>
      <c r="M464" s="11">
        <f t="shared" si="74"/>
        <v>0.12000000000000001</v>
      </c>
      <c r="N464" s="11">
        <f t="shared" si="75"/>
        <v>18.12</v>
      </c>
      <c r="O464" s="11">
        <f t="shared" si="76"/>
        <v>0.12000000000000001</v>
      </c>
      <c r="P464" s="12">
        <f t="shared" si="77"/>
        <v>0</v>
      </c>
      <c r="Q464" s="17" t="str">
        <f t="shared" si="79"/>
        <v>Pas d'écart</v>
      </c>
      <c r="R464" s="38"/>
    </row>
    <row r="465" spans="1:18" x14ac:dyDescent="0.3">
      <c r="A465" s="34" t="str">
        <f>base!J465</f>
        <v>RM</v>
      </c>
      <c r="B465" s="34" t="str">
        <f>base!V465</f>
        <v>17000</v>
      </c>
      <c r="C465" s="37">
        <v>17</v>
      </c>
      <c r="D465" s="36">
        <f>base!H465</f>
        <v>165.02</v>
      </c>
      <c r="E465" s="44"/>
      <c r="F465" s="16">
        <f>base!W465</f>
        <v>0</v>
      </c>
      <c r="G465" s="11">
        <f t="shared" si="70"/>
        <v>0</v>
      </c>
      <c r="H465" s="11">
        <f t="shared" si="71"/>
        <v>34.654200000000003</v>
      </c>
      <c r="I465" s="11">
        <f t="shared" si="72"/>
        <v>0.21</v>
      </c>
      <c r="J465" s="12">
        <f t="shared" si="73"/>
        <v>-34.654200000000003</v>
      </c>
      <c r="K465" s="17" t="str">
        <f t="shared" si="78"/>
        <v>Ecart négatif</v>
      </c>
      <c r="L465" s="16">
        <f>base!X465</f>
        <v>0</v>
      </c>
      <c r="M465" s="11">
        <f t="shared" si="74"/>
        <v>0</v>
      </c>
      <c r="N465" s="11">
        <f t="shared" si="75"/>
        <v>28.053400000000003</v>
      </c>
      <c r="O465" s="11">
        <f t="shared" si="76"/>
        <v>0.17</v>
      </c>
      <c r="P465" s="12">
        <f t="shared" si="77"/>
        <v>-28.053400000000003</v>
      </c>
      <c r="Q465" s="17" t="str">
        <f t="shared" si="79"/>
        <v>Ecart négatif</v>
      </c>
    </row>
    <row r="466" spans="1:18" x14ac:dyDescent="0.3">
      <c r="A466" s="34" t="str">
        <f>base!J466</f>
        <v>RS</v>
      </c>
      <c r="B466" s="34" t="str">
        <f>base!V466</f>
        <v>06100</v>
      </c>
      <c r="C466" s="37">
        <v>6</v>
      </c>
      <c r="D466" s="36">
        <f>base!H466</f>
        <v>195.52</v>
      </c>
      <c r="E466" s="44"/>
      <c r="F466" s="16">
        <f>base!W466</f>
        <v>0</v>
      </c>
      <c r="G466" s="11">
        <f t="shared" si="70"/>
        <v>0</v>
      </c>
      <c r="H466" s="11">
        <f t="shared" si="71"/>
        <v>58.655999999999999</v>
      </c>
      <c r="I466" s="11">
        <f t="shared" si="72"/>
        <v>0.3</v>
      </c>
      <c r="J466" s="12">
        <f t="shared" si="73"/>
        <v>-58.655999999999999</v>
      </c>
      <c r="K466" s="17" t="str">
        <f t="shared" si="78"/>
        <v>Ecart négatif</v>
      </c>
      <c r="L466" s="16">
        <f>base!X466</f>
        <v>0</v>
      </c>
      <c r="M466" s="11">
        <f t="shared" si="74"/>
        <v>0</v>
      </c>
      <c r="N466" s="11">
        <f t="shared" si="75"/>
        <v>41.059200000000004</v>
      </c>
      <c r="O466" s="11">
        <f t="shared" si="76"/>
        <v>0.21000000000000002</v>
      </c>
      <c r="P466" s="12">
        <f t="shared" si="77"/>
        <v>-41.059200000000004</v>
      </c>
      <c r="Q466" s="17" t="str">
        <f t="shared" si="79"/>
        <v>Ecart négatif</v>
      </c>
    </row>
    <row r="467" spans="1:18" x14ac:dyDescent="0.3">
      <c r="A467" s="34" t="str">
        <f>base!J467</f>
        <v>RS</v>
      </c>
      <c r="B467" s="34" t="str">
        <f>base!V467</f>
        <v>11310</v>
      </c>
      <c r="C467" s="37">
        <v>11</v>
      </c>
      <c r="D467" s="36">
        <f>base!H467</f>
        <v>140</v>
      </c>
      <c r="E467" s="44"/>
      <c r="F467" s="16">
        <f>base!W467</f>
        <v>0</v>
      </c>
      <c r="G467" s="11">
        <f t="shared" si="70"/>
        <v>0</v>
      </c>
      <c r="H467" s="11">
        <f t="shared" si="71"/>
        <v>50.4</v>
      </c>
      <c r="I467" s="11">
        <f t="shared" si="72"/>
        <v>0.36</v>
      </c>
      <c r="J467" s="12">
        <f t="shared" si="73"/>
        <v>-50.4</v>
      </c>
      <c r="K467" s="17" t="str">
        <f t="shared" si="78"/>
        <v>Ecart négatif</v>
      </c>
      <c r="L467" s="16">
        <f>base!X467</f>
        <v>92.4</v>
      </c>
      <c r="M467" s="11">
        <f t="shared" si="74"/>
        <v>0.66</v>
      </c>
      <c r="N467" s="11">
        <f t="shared" si="75"/>
        <v>39.200000000000003</v>
      </c>
      <c r="O467" s="11">
        <f t="shared" si="76"/>
        <v>0.28000000000000003</v>
      </c>
      <c r="P467" s="12">
        <f t="shared" si="77"/>
        <v>53.2</v>
      </c>
      <c r="Q467" s="17" t="str">
        <f t="shared" si="79"/>
        <v>Ecart positif</v>
      </c>
      <c r="R467" s="38"/>
    </row>
    <row r="468" spans="1:18" x14ac:dyDescent="0.3">
      <c r="A468" s="34" t="str">
        <f>base!J468</f>
        <v>RM</v>
      </c>
      <c r="B468" s="34" t="str">
        <f>base!V468</f>
        <v>55000</v>
      </c>
      <c r="C468" s="37">
        <v>55</v>
      </c>
      <c r="D468" s="36">
        <f>base!H468</f>
        <v>109.06</v>
      </c>
      <c r="E468" s="44"/>
      <c r="F468" s="16">
        <f>base!W468</f>
        <v>0</v>
      </c>
      <c r="G468" s="11">
        <f t="shared" si="70"/>
        <v>0</v>
      </c>
      <c r="H468" s="11">
        <f t="shared" si="71"/>
        <v>27.265000000000001</v>
      </c>
      <c r="I468" s="11">
        <f t="shared" si="72"/>
        <v>0.25</v>
      </c>
      <c r="J468" s="12">
        <f t="shared" si="73"/>
        <v>-27.265000000000001</v>
      </c>
      <c r="K468" s="17" t="str">
        <f t="shared" si="78"/>
        <v>Ecart négatif</v>
      </c>
      <c r="L468" s="16">
        <f>base!X468</f>
        <v>27.26</v>
      </c>
      <c r="M468" s="11">
        <f t="shared" si="74"/>
        <v>0.24995415367687512</v>
      </c>
      <c r="N468" s="11">
        <f t="shared" si="75"/>
        <v>27.265000000000001</v>
      </c>
      <c r="O468" s="11">
        <f t="shared" si="76"/>
        <v>0.25</v>
      </c>
      <c r="P468" s="12">
        <f t="shared" si="77"/>
        <v>-4.9999999999990052E-3</v>
      </c>
      <c r="Q468" s="17" t="str">
        <f t="shared" si="79"/>
        <v>Ecart négatif</v>
      </c>
      <c r="R468" s="38"/>
    </row>
    <row r="469" spans="1:18" x14ac:dyDescent="0.3">
      <c r="A469" s="34" t="str">
        <f>base!J469</f>
        <v>LS</v>
      </c>
      <c r="B469" s="34" t="str">
        <f>base!V469</f>
        <v>69700</v>
      </c>
      <c r="C469" s="37">
        <v>57</v>
      </c>
      <c r="D469" s="36">
        <f>base!H469</f>
        <v>75.34</v>
      </c>
      <c r="E469" s="44"/>
      <c r="F469" s="16">
        <f>base!W469</f>
        <v>20.34</v>
      </c>
      <c r="G469" s="11">
        <f t="shared" si="70"/>
        <v>0.26997610830899921</v>
      </c>
      <c r="H469" s="11">
        <f t="shared" si="71"/>
        <v>18.081600000000002</v>
      </c>
      <c r="I469" s="11">
        <f t="shared" si="72"/>
        <v>0.24000000000000002</v>
      </c>
      <c r="J469" s="12">
        <f t="shared" si="73"/>
        <v>2.2583999999999982</v>
      </c>
      <c r="K469" s="17" t="str">
        <f t="shared" si="78"/>
        <v>Ecart positif</v>
      </c>
      <c r="L469" s="16">
        <f>base!X469</f>
        <v>0</v>
      </c>
      <c r="M469" s="11">
        <f t="shared" si="74"/>
        <v>0</v>
      </c>
      <c r="N469" s="11">
        <f t="shared" si="75"/>
        <v>18.835000000000001</v>
      </c>
      <c r="O469" s="11">
        <f t="shared" si="76"/>
        <v>0.25</v>
      </c>
      <c r="P469" s="12">
        <f t="shared" si="77"/>
        <v>-18.835000000000001</v>
      </c>
      <c r="Q469" s="17" t="str">
        <f t="shared" si="79"/>
        <v>Ecart négatif</v>
      </c>
    </row>
    <row r="470" spans="1:18" x14ac:dyDescent="0.3">
      <c r="A470" s="34" t="str">
        <f>base!J470</f>
        <v>RM</v>
      </c>
      <c r="B470" s="34" t="str">
        <f>base!V470</f>
        <v>98000</v>
      </c>
      <c r="C470" s="37">
        <v>98</v>
      </c>
      <c r="D470" s="36">
        <f>base!H470</f>
        <v>38.54</v>
      </c>
      <c r="E470" s="44"/>
      <c r="F470" s="16">
        <f>base!W470</f>
        <v>0</v>
      </c>
      <c r="G470" s="11">
        <f t="shared" si="70"/>
        <v>0</v>
      </c>
      <c r="H470" s="11">
        <f t="shared" si="71"/>
        <v>10.405800000000001</v>
      </c>
      <c r="I470" s="11">
        <f t="shared" si="72"/>
        <v>0.27</v>
      </c>
      <c r="J470" s="12">
        <f t="shared" si="73"/>
        <v>-10.405800000000001</v>
      </c>
      <c r="K470" s="17" t="str">
        <f t="shared" si="78"/>
        <v>Ecart négatif</v>
      </c>
      <c r="L470" s="16">
        <f>base!X470</f>
        <v>0</v>
      </c>
      <c r="M470" s="11">
        <f t="shared" si="74"/>
        <v>0</v>
      </c>
      <c r="N470" s="11">
        <f t="shared" si="75"/>
        <v>8.093399999999999</v>
      </c>
      <c r="O470" s="11">
        <f t="shared" si="76"/>
        <v>0.21</v>
      </c>
      <c r="P470" s="12">
        <f t="shared" si="77"/>
        <v>-8.093399999999999</v>
      </c>
      <c r="Q470" s="17" t="str">
        <f t="shared" si="79"/>
        <v>Ecart négatif</v>
      </c>
    </row>
    <row r="471" spans="1:18" x14ac:dyDescent="0.3">
      <c r="A471" s="34" t="str">
        <f>base!J471</f>
        <v>RM</v>
      </c>
      <c r="B471" s="34" t="str">
        <f>base!V471</f>
        <v>70000</v>
      </c>
      <c r="C471" s="37">
        <v>70</v>
      </c>
      <c r="D471" s="36">
        <f>base!H471</f>
        <v>37.5</v>
      </c>
      <c r="E471" s="44"/>
      <c r="F471" s="16">
        <f>base!W471</f>
        <v>0</v>
      </c>
      <c r="G471" s="11">
        <f t="shared" si="70"/>
        <v>0</v>
      </c>
      <c r="H471" s="11">
        <f t="shared" si="71"/>
        <v>9</v>
      </c>
      <c r="I471" s="11">
        <f t="shared" si="72"/>
        <v>0.24</v>
      </c>
      <c r="J471" s="12">
        <f t="shared" si="73"/>
        <v>-9</v>
      </c>
      <c r="K471" s="17" t="str">
        <f t="shared" si="78"/>
        <v>Ecart négatif</v>
      </c>
      <c r="L471" s="16">
        <f>base!X471</f>
        <v>0</v>
      </c>
      <c r="M471" s="11">
        <f t="shared" si="74"/>
        <v>0</v>
      </c>
      <c r="N471" s="11">
        <f t="shared" si="75"/>
        <v>4.5</v>
      </c>
      <c r="O471" s="11">
        <f t="shared" si="76"/>
        <v>0.12</v>
      </c>
      <c r="P471" s="12">
        <f t="shared" si="77"/>
        <v>-4.5</v>
      </c>
      <c r="Q471" s="17" t="str">
        <f t="shared" si="79"/>
        <v>Ecart négatif</v>
      </c>
    </row>
    <row r="472" spans="1:18" x14ac:dyDescent="0.3">
      <c r="A472" s="34" t="str">
        <f>base!J472</f>
        <v>RM</v>
      </c>
      <c r="B472" s="34" t="str">
        <f>base!V472</f>
        <v>70000</v>
      </c>
      <c r="C472" s="37">
        <v>70</v>
      </c>
      <c r="D472" s="36">
        <f>base!H472</f>
        <v>138</v>
      </c>
      <c r="E472" s="44"/>
      <c r="F472" s="16">
        <f>base!W472</f>
        <v>0</v>
      </c>
      <c r="G472" s="11">
        <f t="shared" si="70"/>
        <v>0</v>
      </c>
      <c r="H472" s="11">
        <f t="shared" si="71"/>
        <v>33.119999999999997</v>
      </c>
      <c r="I472" s="11">
        <f t="shared" si="72"/>
        <v>0.24</v>
      </c>
      <c r="J472" s="12">
        <f t="shared" si="73"/>
        <v>-33.119999999999997</v>
      </c>
      <c r="K472" s="17" t="str">
        <f t="shared" si="78"/>
        <v>Ecart négatif</v>
      </c>
      <c r="L472" s="16">
        <f>base!X472</f>
        <v>16.559999999999999</v>
      </c>
      <c r="M472" s="11">
        <f t="shared" si="74"/>
        <v>0.12</v>
      </c>
      <c r="N472" s="11">
        <f t="shared" si="75"/>
        <v>16.559999999999999</v>
      </c>
      <c r="O472" s="11">
        <f t="shared" si="76"/>
        <v>0.12</v>
      </c>
      <c r="P472" s="12">
        <f t="shared" si="77"/>
        <v>0</v>
      </c>
      <c r="Q472" s="17" t="str">
        <f t="shared" si="79"/>
        <v>Pas d'écart</v>
      </c>
      <c r="R472" s="38"/>
    </row>
    <row r="473" spans="1:18" x14ac:dyDescent="0.3">
      <c r="A473" s="34" t="str">
        <f>base!J473</f>
        <v>RM</v>
      </c>
      <c r="B473" s="34" t="str">
        <f>base!V473</f>
        <v>70000</v>
      </c>
      <c r="C473" s="37">
        <v>70</v>
      </c>
      <c r="D473" s="36">
        <f>base!H473</f>
        <v>25</v>
      </c>
      <c r="E473" s="44"/>
      <c r="F473" s="16">
        <f>base!W473</f>
        <v>0</v>
      </c>
      <c r="G473" s="11">
        <f t="shared" si="70"/>
        <v>0</v>
      </c>
      <c r="H473" s="11">
        <f t="shared" si="71"/>
        <v>6</v>
      </c>
      <c r="I473" s="11">
        <f t="shared" si="72"/>
        <v>0.24</v>
      </c>
      <c r="J473" s="12">
        <f t="shared" si="73"/>
        <v>-6</v>
      </c>
      <c r="K473" s="17" t="str">
        <f t="shared" si="78"/>
        <v>Ecart négatif</v>
      </c>
      <c r="L473" s="16">
        <f>base!X473</f>
        <v>0</v>
      </c>
      <c r="M473" s="11">
        <f t="shared" si="74"/>
        <v>0</v>
      </c>
      <c r="N473" s="11">
        <f t="shared" si="75"/>
        <v>3</v>
      </c>
      <c r="O473" s="11">
        <f t="shared" si="76"/>
        <v>0.12</v>
      </c>
      <c r="P473" s="12">
        <f t="shared" si="77"/>
        <v>-3</v>
      </c>
      <c r="Q473" s="17" t="str">
        <f t="shared" si="79"/>
        <v>Ecart négatif</v>
      </c>
    </row>
    <row r="474" spans="1:18" x14ac:dyDescent="0.3">
      <c r="A474" s="34" t="str">
        <f>base!J474</f>
        <v>RM</v>
      </c>
      <c r="B474" s="34" t="str">
        <f>base!V474</f>
        <v>63800</v>
      </c>
      <c r="C474" s="37">
        <v>63</v>
      </c>
      <c r="D474" s="36">
        <f>base!H474</f>
        <v>140</v>
      </c>
      <c r="E474" s="44"/>
      <c r="F474" s="16">
        <f>base!W474</f>
        <v>0</v>
      </c>
      <c r="G474" s="11">
        <f t="shared" si="70"/>
        <v>0</v>
      </c>
      <c r="H474" s="11">
        <f t="shared" si="71"/>
        <v>40.599999999999994</v>
      </c>
      <c r="I474" s="11">
        <f t="shared" si="72"/>
        <v>0.28999999999999998</v>
      </c>
      <c r="J474" s="12">
        <f t="shared" si="73"/>
        <v>-40.599999999999994</v>
      </c>
      <c r="K474" s="17" t="str">
        <f t="shared" si="78"/>
        <v>Ecart négatif</v>
      </c>
      <c r="L474" s="16">
        <f>base!X474</f>
        <v>16.8</v>
      </c>
      <c r="M474" s="11">
        <f t="shared" si="74"/>
        <v>0.12000000000000001</v>
      </c>
      <c r="N474" s="11">
        <f t="shared" si="75"/>
        <v>16.8</v>
      </c>
      <c r="O474" s="11">
        <f t="shared" si="76"/>
        <v>0.12000000000000001</v>
      </c>
      <c r="P474" s="12">
        <f t="shared" si="77"/>
        <v>0</v>
      </c>
      <c r="Q474" s="17" t="str">
        <f t="shared" si="79"/>
        <v>Pas d'écart</v>
      </c>
      <c r="R474" s="38"/>
    </row>
    <row r="475" spans="1:18" x14ac:dyDescent="0.3">
      <c r="A475" s="34" t="str">
        <f>base!J475</f>
        <v>RM</v>
      </c>
      <c r="B475" s="34" t="str">
        <f>base!V475</f>
        <v>62200</v>
      </c>
      <c r="C475" s="37">
        <v>62</v>
      </c>
      <c r="D475" s="36">
        <f>base!H475</f>
        <v>70</v>
      </c>
      <c r="E475" s="44"/>
      <c r="F475" s="16">
        <f>base!W475</f>
        <v>0</v>
      </c>
      <c r="G475" s="11">
        <f t="shared" si="70"/>
        <v>0</v>
      </c>
      <c r="H475" s="11">
        <f t="shared" si="71"/>
        <v>13.3</v>
      </c>
      <c r="I475" s="11">
        <f t="shared" si="72"/>
        <v>0.19</v>
      </c>
      <c r="J475" s="12">
        <f t="shared" si="73"/>
        <v>-13.3</v>
      </c>
      <c r="K475" s="17" t="str">
        <f t="shared" si="78"/>
        <v>Ecart négatif</v>
      </c>
      <c r="L475" s="16">
        <f>base!X475</f>
        <v>0</v>
      </c>
      <c r="M475" s="11">
        <f t="shared" si="74"/>
        <v>0</v>
      </c>
      <c r="N475" s="11">
        <f t="shared" si="75"/>
        <v>0</v>
      </c>
      <c r="O475" s="11">
        <f t="shared" si="76"/>
        <v>0</v>
      </c>
      <c r="P475" s="12">
        <f t="shared" si="77"/>
        <v>0</v>
      </c>
      <c r="Q475" s="17" t="str">
        <f t="shared" si="79"/>
        <v>Pas d'écart</v>
      </c>
    </row>
    <row r="476" spans="1:18" x14ac:dyDescent="0.3">
      <c r="A476" s="34" t="str">
        <f>base!J476</f>
        <v>LM</v>
      </c>
      <c r="B476" s="34" t="str">
        <f>base!V476</f>
        <v>92000</v>
      </c>
      <c r="C476" s="37">
        <v>92</v>
      </c>
      <c r="D476" s="36">
        <f>base!H476</f>
        <v>50.84</v>
      </c>
      <c r="E476" s="44"/>
      <c r="F476" s="16">
        <f>base!W476</f>
        <v>0</v>
      </c>
      <c r="G476" s="11">
        <f t="shared" si="70"/>
        <v>0</v>
      </c>
      <c r="H476" s="11">
        <f t="shared" si="71"/>
        <v>0</v>
      </c>
      <c r="I476" s="11">
        <f t="shared" si="72"/>
        <v>0</v>
      </c>
      <c r="J476" s="12">
        <f t="shared" si="73"/>
        <v>0</v>
      </c>
      <c r="K476" s="17" t="str">
        <f t="shared" si="78"/>
        <v>Pas d'écart</v>
      </c>
      <c r="L476" s="16">
        <f>base!X476</f>
        <v>0</v>
      </c>
      <c r="M476" s="11">
        <f t="shared" si="74"/>
        <v>0</v>
      </c>
      <c r="N476" s="11">
        <f t="shared" si="75"/>
        <v>0</v>
      </c>
      <c r="O476" s="11">
        <f t="shared" si="76"/>
        <v>0</v>
      </c>
      <c r="P476" s="12">
        <f t="shared" si="77"/>
        <v>0</v>
      </c>
      <c r="Q476" s="17" t="str">
        <f t="shared" si="79"/>
        <v>Pas d'écart</v>
      </c>
    </row>
    <row r="477" spans="1:18" x14ac:dyDescent="0.3">
      <c r="A477" s="34" t="str">
        <f>base!J477</f>
        <v>DLM</v>
      </c>
      <c r="B477" s="34" t="str">
        <f>base!V477</f>
        <v>69009</v>
      </c>
      <c r="C477" s="37">
        <v>69</v>
      </c>
      <c r="D477" s="36">
        <f>base!H477</f>
        <v>52.5</v>
      </c>
      <c r="E477" s="44"/>
      <c r="F477" s="16">
        <f>base!W477</f>
        <v>14.18</v>
      </c>
      <c r="G477" s="11">
        <f t="shared" si="70"/>
        <v>0.27009523809523811</v>
      </c>
      <c r="H477" s="11">
        <f t="shared" si="71"/>
        <v>14.175000000000001</v>
      </c>
      <c r="I477" s="11">
        <f t="shared" si="72"/>
        <v>0.27</v>
      </c>
      <c r="J477" s="12">
        <f t="shared" si="73"/>
        <v>4.9999999999990052E-3</v>
      </c>
      <c r="K477" s="17" t="str">
        <f t="shared" si="78"/>
        <v>Ecart positif</v>
      </c>
      <c r="L477" s="16">
        <f>base!X477</f>
        <v>0</v>
      </c>
      <c r="M477" s="11">
        <f t="shared" si="74"/>
        <v>0</v>
      </c>
      <c r="N477" s="11">
        <f t="shared" si="75"/>
        <v>0</v>
      </c>
      <c r="O477" s="11">
        <f t="shared" si="76"/>
        <v>0</v>
      </c>
      <c r="P477" s="12">
        <f t="shared" si="77"/>
        <v>0</v>
      </c>
      <c r="Q477" s="17" t="str">
        <f t="shared" si="79"/>
        <v>Pas d'écart</v>
      </c>
    </row>
    <row r="478" spans="1:18" x14ac:dyDescent="0.3">
      <c r="A478" s="34" t="str">
        <f>base!J478</f>
        <v>DLM</v>
      </c>
      <c r="B478" s="34" t="str">
        <f>base!V478</f>
        <v>69009</v>
      </c>
      <c r="C478" s="37">
        <v>69</v>
      </c>
      <c r="D478" s="36">
        <f>base!H478</f>
        <v>52.5</v>
      </c>
      <c r="E478" s="44"/>
      <c r="F478" s="16">
        <f>base!W478</f>
        <v>0</v>
      </c>
      <c r="G478" s="11">
        <f t="shared" si="70"/>
        <v>0</v>
      </c>
      <c r="H478" s="11">
        <f t="shared" si="71"/>
        <v>14.175000000000001</v>
      </c>
      <c r="I478" s="11">
        <f t="shared" si="72"/>
        <v>0.27</v>
      </c>
      <c r="J478" s="12">
        <f t="shared" si="73"/>
        <v>-14.175000000000001</v>
      </c>
      <c r="K478" s="17" t="str">
        <f t="shared" si="78"/>
        <v>Ecart négatif</v>
      </c>
      <c r="L478" s="16">
        <f>base!X478</f>
        <v>0</v>
      </c>
      <c r="M478" s="11">
        <f t="shared" si="74"/>
        <v>0</v>
      </c>
      <c r="N478" s="11">
        <f t="shared" si="75"/>
        <v>0</v>
      </c>
      <c r="O478" s="11">
        <f t="shared" si="76"/>
        <v>0</v>
      </c>
      <c r="P478" s="12">
        <f t="shared" si="77"/>
        <v>0</v>
      </c>
      <c r="Q478" s="17" t="str">
        <f t="shared" si="79"/>
        <v>Pas d'écart</v>
      </c>
    </row>
    <row r="479" spans="1:18" x14ac:dyDescent="0.3">
      <c r="A479" s="34" t="str">
        <f>base!J479</f>
        <v>DLM</v>
      </c>
      <c r="B479" s="34" t="str">
        <f>base!V479</f>
        <v>74000</v>
      </c>
      <c r="C479" s="37">
        <v>74</v>
      </c>
      <c r="D479" s="36">
        <f>base!H479</f>
        <v>52.5</v>
      </c>
      <c r="E479" s="44"/>
      <c r="F479" s="16">
        <f>base!W479</f>
        <v>0</v>
      </c>
      <c r="G479" s="11">
        <f t="shared" si="70"/>
        <v>0</v>
      </c>
      <c r="H479" s="11">
        <f t="shared" si="71"/>
        <v>13.65</v>
      </c>
      <c r="I479" s="11">
        <f t="shared" si="72"/>
        <v>0.26</v>
      </c>
      <c r="J479" s="12">
        <f t="shared" si="73"/>
        <v>-13.65</v>
      </c>
      <c r="K479" s="17" t="str">
        <f t="shared" si="78"/>
        <v>Ecart négatif</v>
      </c>
      <c r="L479" s="16">
        <f>base!X479</f>
        <v>0</v>
      </c>
      <c r="M479" s="11">
        <f t="shared" si="74"/>
        <v>0</v>
      </c>
      <c r="N479" s="11">
        <f t="shared" si="75"/>
        <v>0</v>
      </c>
      <c r="O479" s="11">
        <f t="shared" si="76"/>
        <v>0</v>
      </c>
      <c r="P479" s="12">
        <f t="shared" si="77"/>
        <v>0</v>
      </c>
      <c r="Q479" s="17" t="str">
        <f t="shared" si="79"/>
        <v>Pas d'écart</v>
      </c>
    </row>
    <row r="480" spans="1:18" x14ac:dyDescent="0.3">
      <c r="A480" s="34" t="str">
        <f>base!J480</f>
        <v>DLM</v>
      </c>
      <c r="B480" s="34" t="str">
        <f>base!V480</f>
        <v>54000</v>
      </c>
      <c r="C480" s="37">
        <v>54</v>
      </c>
      <c r="D480" s="36">
        <f>base!H480</f>
        <v>52.5</v>
      </c>
      <c r="E480" s="44"/>
      <c r="F480" s="16">
        <f>base!W480</f>
        <v>0</v>
      </c>
      <c r="G480" s="11">
        <f t="shared" si="70"/>
        <v>0</v>
      </c>
      <c r="H480" s="11">
        <f t="shared" si="71"/>
        <v>13.125</v>
      </c>
      <c r="I480" s="11">
        <f t="shared" si="72"/>
        <v>0.25</v>
      </c>
      <c r="J480" s="12">
        <f t="shared" si="73"/>
        <v>-13.125</v>
      </c>
      <c r="K480" s="17" t="str">
        <f t="shared" si="78"/>
        <v>Ecart négatif</v>
      </c>
      <c r="L480" s="16">
        <f>base!X480</f>
        <v>0</v>
      </c>
      <c r="M480" s="11">
        <f t="shared" si="74"/>
        <v>0</v>
      </c>
      <c r="N480" s="11">
        <f t="shared" si="75"/>
        <v>13.125</v>
      </c>
      <c r="O480" s="11">
        <f t="shared" si="76"/>
        <v>0.25</v>
      </c>
      <c r="P480" s="12">
        <f t="shared" si="77"/>
        <v>-13.125</v>
      </c>
      <c r="Q480" s="17" t="str">
        <f t="shared" si="79"/>
        <v>Ecart négatif</v>
      </c>
    </row>
    <row r="481" spans="1:18" x14ac:dyDescent="0.3">
      <c r="A481" s="34" t="str">
        <f>base!J481</f>
        <v>DLM</v>
      </c>
      <c r="B481" s="34" t="str">
        <f>base!V481</f>
        <v>90000</v>
      </c>
      <c r="C481" s="37">
        <v>90</v>
      </c>
      <c r="D481" s="36">
        <f>base!H481</f>
        <v>52.5</v>
      </c>
      <c r="E481" s="44"/>
      <c r="F481" s="16">
        <f>base!W481</f>
        <v>0</v>
      </c>
      <c r="G481" s="11">
        <f t="shared" si="70"/>
        <v>0</v>
      </c>
      <c r="H481" s="11">
        <f t="shared" si="71"/>
        <v>15.225</v>
      </c>
      <c r="I481" s="11">
        <f t="shared" si="72"/>
        <v>0.28999999999999998</v>
      </c>
      <c r="J481" s="12">
        <f t="shared" si="73"/>
        <v>-15.225</v>
      </c>
      <c r="K481" s="17" t="str">
        <f t="shared" si="78"/>
        <v>Ecart négatif</v>
      </c>
      <c r="L481" s="16">
        <f>base!X481</f>
        <v>0</v>
      </c>
      <c r="M481" s="11">
        <f t="shared" si="74"/>
        <v>0</v>
      </c>
      <c r="N481" s="11">
        <f t="shared" si="75"/>
        <v>4.2</v>
      </c>
      <c r="O481" s="11">
        <f t="shared" si="76"/>
        <v>0.08</v>
      </c>
      <c r="P481" s="12">
        <f t="shared" si="77"/>
        <v>-4.2</v>
      </c>
      <c r="Q481" s="17" t="str">
        <f t="shared" si="79"/>
        <v>Ecart négatif</v>
      </c>
    </row>
    <row r="482" spans="1:18" x14ac:dyDescent="0.3">
      <c r="A482" s="34" t="str">
        <f>base!J482</f>
        <v>RS</v>
      </c>
      <c r="B482" s="34" t="str">
        <f>base!V482</f>
        <v>45400</v>
      </c>
      <c r="C482" s="37">
        <v>45</v>
      </c>
      <c r="D482" s="36">
        <f>base!H482</f>
        <v>149.58000000000001</v>
      </c>
      <c r="E482" s="44"/>
      <c r="F482" s="16">
        <f>base!W482</f>
        <v>0</v>
      </c>
      <c r="G482" s="11">
        <f t="shared" si="70"/>
        <v>0</v>
      </c>
      <c r="H482" s="11">
        <f t="shared" si="71"/>
        <v>31.411800000000003</v>
      </c>
      <c r="I482" s="11">
        <f t="shared" si="72"/>
        <v>0.21</v>
      </c>
      <c r="J482" s="12">
        <f t="shared" si="73"/>
        <v>-31.411800000000003</v>
      </c>
      <c r="K482" s="17" t="str">
        <f t="shared" si="78"/>
        <v>Ecart négatif</v>
      </c>
      <c r="L482" s="16">
        <f>base!X482</f>
        <v>40.39</v>
      </c>
      <c r="M482" s="11">
        <f t="shared" si="74"/>
        <v>0.27002273031153895</v>
      </c>
      <c r="N482" s="11">
        <f t="shared" si="75"/>
        <v>17.9496</v>
      </c>
      <c r="O482" s="11">
        <f t="shared" si="76"/>
        <v>0.12</v>
      </c>
      <c r="P482" s="12">
        <f t="shared" si="77"/>
        <v>22.4404</v>
      </c>
      <c r="Q482" s="17" t="str">
        <f t="shared" si="79"/>
        <v>Ecart positif</v>
      </c>
      <c r="R482" s="38"/>
    </row>
    <row r="483" spans="1:18" x14ac:dyDescent="0.3">
      <c r="A483" s="34" t="str">
        <f>base!J483</f>
        <v>LM</v>
      </c>
      <c r="B483" s="34" t="str">
        <f>base!V483</f>
        <v>62200</v>
      </c>
      <c r="C483" s="37">
        <v>54</v>
      </c>
      <c r="D483" s="36">
        <f>base!H483</f>
        <v>86.6</v>
      </c>
      <c r="E483" s="44"/>
      <c r="F483" s="16">
        <f>base!W483</f>
        <v>16.45</v>
      </c>
      <c r="G483" s="11">
        <f t="shared" si="70"/>
        <v>0.1899538106235566</v>
      </c>
      <c r="H483" s="11">
        <f t="shared" si="71"/>
        <v>21.65</v>
      </c>
      <c r="I483" s="11">
        <f t="shared" si="72"/>
        <v>0.25</v>
      </c>
      <c r="J483" s="12">
        <f t="shared" si="73"/>
        <v>-5.1999999999999993</v>
      </c>
      <c r="K483" s="17" t="str">
        <f t="shared" si="78"/>
        <v>Ecart négatif</v>
      </c>
      <c r="L483" s="16">
        <f>base!X483</f>
        <v>0</v>
      </c>
      <c r="M483" s="11">
        <f t="shared" si="74"/>
        <v>0</v>
      </c>
      <c r="N483" s="11">
        <f t="shared" si="75"/>
        <v>21.65</v>
      </c>
      <c r="O483" s="11">
        <f t="shared" si="76"/>
        <v>0.25</v>
      </c>
      <c r="P483" s="12">
        <f t="shared" si="77"/>
        <v>-21.65</v>
      </c>
      <c r="Q483" s="17" t="str">
        <f t="shared" si="79"/>
        <v>Ecart négatif</v>
      </c>
    </row>
    <row r="484" spans="1:18" x14ac:dyDescent="0.3">
      <c r="A484" s="34" t="str">
        <f>base!J484</f>
        <v>LM</v>
      </c>
      <c r="B484" s="34" t="str">
        <f>base!V484</f>
        <v>93013</v>
      </c>
      <c r="C484" s="37">
        <v>93</v>
      </c>
      <c r="D484" s="36">
        <f>base!H484</f>
        <v>55.16</v>
      </c>
      <c r="E484" s="44"/>
      <c r="F484" s="16">
        <f>base!W484</f>
        <v>0</v>
      </c>
      <c r="G484" s="11">
        <f t="shared" si="70"/>
        <v>0</v>
      </c>
      <c r="H484" s="11">
        <f t="shared" si="71"/>
        <v>0</v>
      </c>
      <c r="I484" s="11">
        <f t="shared" si="72"/>
        <v>0</v>
      </c>
      <c r="J484" s="12">
        <f t="shared" si="73"/>
        <v>0</v>
      </c>
      <c r="K484" s="17" t="str">
        <f t="shared" si="78"/>
        <v>Pas d'écart</v>
      </c>
      <c r="L484" s="16">
        <f>base!X484</f>
        <v>0</v>
      </c>
      <c r="M484" s="11">
        <f t="shared" si="74"/>
        <v>0</v>
      </c>
      <c r="N484" s="11">
        <f t="shared" si="75"/>
        <v>0</v>
      </c>
      <c r="O484" s="11">
        <f t="shared" si="76"/>
        <v>0</v>
      </c>
      <c r="P484" s="12">
        <f t="shared" si="77"/>
        <v>0</v>
      </c>
      <c r="Q484" s="17" t="str">
        <f t="shared" si="79"/>
        <v>Pas d'écart</v>
      </c>
    </row>
    <row r="485" spans="1:18" x14ac:dyDescent="0.3">
      <c r="A485" s="34">
        <f>base!J485</f>
        <v>0</v>
      </c>
      <c r="B485" s="34" t="str">
        <f>base!V485</f>
        <v>77184</v>
      </c>
      <c r="C485" s="37">
        <v>77</v>
      </c>
      <c r="D485" s="36">
        <f>base!H485</f>
        <v>20</v>
      </c>
      <c r="E485" s="44"/>
      <c r="F485" s="16">
        <f>base!W485</f>
        <v>0</v>
      </c>
      <c r="G485" s="11">
        <f t="shared" si="70"/>
        <v>0</v>
      </c>
      <c r="H485" s="11">
        <f t="shared" si="71"/>
        <v>0</v>
      </c>
      <c r="I485" s="11">
        <f t="shared" si="72"/>
        <v>0</v>
      </c>
      <c r="J485" s="12">
        <f t="shared" si="73"/>
        <v>0</v>
      </c>
      <c r="K485" s="17" t="str">
        <f t="shared" si="78"/>
        <v>Pas d'écart</v>
      </c>
      <c r="L485" s="16">
        <f>base!X485</f>
        <v>0</v>
      </c>
      <c r="M485" s="11">
        <f t="shared" si="74"/>
        <v>0</v>
      </c>
      <c r="N485" s="11">
        <f t="shared" si="75"/>
        <v>0</v>
      </c>
      <c r="O485" s="11">
        <f t="shared" si="76"/>
        <v>0</v>
      </c>
      <c r="P485" s="12">
        <f t="shared" si="77"/>
        <v>0</v>
      </c>
      <c r="Q485" s="17" t="str">
        <f t="shared" si="79"/>
        <v>Pas d'écart</v>
      </c>
    </row>
    <row r="486" spans="1:18" x14ac:dyDescent="0.3">
      <c r="A486" s="34">
        <f>base!J486</f>
        <v>0</v>
      </c>
      <c r="B486" s="34" t="str">
        <f>base!V486</f>
        <v>77184</v>
      </c>
      <c r="C486" s="37">
        <v>77</v>
      </c>
      <c r="D486" s="36">
        <f>base!H486</f>
        <v>25</v>
      </c>
      <c r="E486" s="44"/>
      <c r="F486" s="16">
        <f>base!W486</f>
        <v>0</v>
      </c>
      <c r="G486" s="11">
        <f t="shared" si="70"/>
        <v>0</v>
      </c>
      <c r="H486" s="11">
        <f t="shared" si="71"/>
        <v>0</v>
      </c>
      <c r="I486" s="11">
        <f t="shared" si="72"/>
        <v>0</v>
      </c>
      <c r="J486" s="12">
        <f t="shared" si="73"/>
        <v>0</v>
      </c>
      <c r="K486" s="17" t="str">
        <f t="shared" si="78"/>
        <v>Pas d'écart</v>
      </c>
      <c r="L486" s="16">
        <f>base!X486</f>
        <v>0</v>
      </c>
      <c r="M486" s="11">
        <f t="shared" si="74"/>
        <v>0</v>
      </c>
      <c r="N486" s="11">
        <f t="shared" si="75"/>
        <v>0</v>
      </c>
      <c r="O486" s="11">
        <f t="shared" si="76"/>
        <v>0</v>
      </c>
      <c r="P486" s="12">
        <f t="shared" si="77"/>
        <v>0</v>
      </c>
      <c r="Q486" s="17" t="str">
        <f t="shared" si="79"/>
        <v>Pas d'écart</v>
      </c>
    </row>
    <row r="487" spans="1:18" x14ac:dyDescent="0.3">
      <c r="A487" s="34" t="str">
        <f>base!J487</f>
        <v>RS</v>
      </c>
      <c r="B487" s="34" t="str">
        <f>base!V487</f>
        <v>18000</v>
      </c>
      <c r="C487" s="37">
        <v>18</v>
      </c>
      <c r="D487" s="36">
        <f>base!H487</f>
        <v>40</v>
      </c>
      <c r="E487" s="44"/>
      <c r="F487" s="16">
        <f>base!W487</f>
        <v>0</v>
      </c>
      <c r="G487" s="11">
        <f t="shared" si="70"/>
        <v>0</v>
      </c>
      <c r="H487" s="11">
        <f t="shared" si="71"/>
        <v>8.4</v>
      </c>
      <c r="I487" s="11">
        <f t="shared" si="72"/>
        <v>0.21000000000000002</v>
      </c>
      <c r="J487" s="12">
        <f t="shared" si="73"/>
        <v>-8.4</v>
      </c>
      <c r="K487" s="17" t="str">
        <f t="shared" si="78"/>
        <v>Ecart négatif</v>
      </c>
      <c r="L487" s="16">
        <f>base!X487</f>
        <v>10.8</v>
      </c>
      <c r="M487" s="11">
        <f t="shared" si="74"/>
        <v>0.27</v>
      </c>
      <c r="N487" s="11">
        <f t="shared" si="75"/>
        <v>4.8</v>
      </c>
      <c r="O487" s="11">
        <f t="shared" si="76"/>
        <v>0.12</v>
      </c>
      <c r="P487" s="12">
        <f t="shared" si="77"/>
        <v>6.0000000000000009</v>
      </c>
      <c r="Q487" s="17" t="str">
        <f t="shared" si="79"/>
        <v>Ecart positif</v>
      </c>
      <c r="R487" s="38"/>
    </row>
    <row r="488" spans="1:18" x14ac:dyDescent="0.3">
      <c r="A488" s="34" t="str">
        <f>base!J488</f>
        <v>RS</v>
      </c>
      <c r="B488" s="34" t="str">
        <f>base!V488</f>
        <v>37000</v>
      </c>
      <c r="C488" s="37">
        <v>37</v>
      </c>
      <c r="D488" s="36">
        <f>base!H488</f>
        <v>25</v>
      </c>
      <c r="E488" s="44"/>
      <c r="F488" s="16">
        <f>base!W488</f>
        <v>0</v>
      </c>
      <c r="G488" s="11">
        <f t="shared" si="70"/>
        <v>0</v>
      </c>
      <c r="H488" s="11">
        <f t="shared" si="71"/>
        <v>4.75</v>
      </c>
      <c r="I488" s="11">
        <f t="shared" si="72"/>
        <v>0.19</v>
      </c>
      <c r="J488" s="12">
        <f t="shared" si="73"/>
        <v>-4.75</v>
      </c>
      <c r="K488" s="17" t="str">
        <f t="shared" si="78"/>
        <v>Ecart négatif</v>
      </c>
      <c r="L488" s="16">
        <f>base!X488</f>
        <v>0</v>
      </c>
      <c r="M488" s="11">
        <f t="shared" si="74"/>
        <v>0</v>
      </c>
      <c r="N488" s="11">
        <f t="shared" si="75"/>
        <v>3</v>
      </c>
      <c r="O488" s="11">
        <f t="shared" si="76"/>
        <v>0.12</v>
      </c>
      <c r="P488" s="12">
        <f t="shared" si="77"/>
        <v>-3</v>
      </c>
      <c r="Q488" s="17" t="str">
        <f t="shared" si="79"/>
        <v>Ecart négatif</v>
      </c>
    </row>
    <row r="489" spans="1:18" x14ac:dyDescent="0.3">
      <c r="A489" s="34" t="str">
        <f>base!J489</f>
        <v>LS</v>
      </c>
      <c r="B489" s="34" t="str">
        <f>base!V489</f>
        <v>49124</v>
      </c>
      <c r="C489" s="37">
        <v>62</v>
      </c>
      <c r="D489" s="36">
        <f>base!H489</f>
        <v>1162.42</v>
      </c>
      <c r="E489" s="44"/>
      <c r="F489" s="16">
        <f>base!W489</f>
        <v>313.85000000000002</v>
      </c>
      <c r="G489" s="11">
        <f t="shared" si="70"/>
        <v>0.26999707506753151</v>
      </c>
      <c r="H489" s="11">
        <f t="shared" si="71"/>
        <v>220.85980000000001</v>
      </c>
      <c r="I489" s="11">
        <f t="shared" si="72"/>
        <v>0.19</v>
      </c>
      <c r="J489" s="12">
        <f t="shared" si="73"/>
        <v>92.990200000000016</v>
      </c>
      <c r="K489" s="17" t="str">
        <f t="shared" si="78"/>
        <v>Ecart positif</v>
      </c>
      <c r="L489" s="16">
        <f>base!X489</f>
        <v>0</v>
      </c>
      <c r="M489" s="11">
        <f t="shared" si="74"/>
        <v>0</v>
      </c>
      <c r="N489" s="11">
        <f t="shared" si="75"/>
        <v>0</v>
      </c>
      <c r="O489" s="11">
        <f t="shared" si="76"/>
        <v>0</v>
      </c>
      <c r="P489" s="12">
        <f t="shared" si="77"/>
        <v>0</v>
      </c>
      <c r="Q489" s="17" t="str">
        <f t="shared" si="79"/>
        <v>Pas d'écart</v>
      </c>
    </row>
    <row r="490" spans="1:18" x14ac:dyDescent="0.3">
      <c r="A490" s="34" t="str">
        <f>base!J490</f>
        <v>RS</v>
      </c>
      <c r="B490" s="34" t="str">
        <f>base!V490</f>
        <v>42350</v>
      </c>
      <c r="C490" s="37">
        <v>42</v>
      </c>
      <c r="D490" s="36">
        <f>base!H490</f>
        <v>140</v>
      </c>
      <c r="E490" s="44"/>
      <c r="F490" s="16">
        <f>base!W490</f>
        <v>0</v>
      </c>
      <c r="G490" s="11">
        <f t="shared" si="70"/>
        <v>0</v>
      </c>
      <c r="H490" s="11">
        <f t="shared" si="71"/>
        <v>36.4</v>
      </c>
      <c r="I490" s="11">
        <f t="shared" si="72"/>
        <v>0.26</v>
      </c>
      <c r="J490" s="12">
        <f t="shared" si="73"/>
        <v>-36.4</v>
      </c>
      <c r="K490" s="17" t="str">
        <f t="shared" si="78"/>
        <v>Ecart négatif</v>
      </c>
      <c r="L490" s="16">
        <f>base!X490</f>
        <v>0</v>
      </c>
      <c r="M490" s="11">
        <f t="shared" si="74"/>
        <v>0</v>
      </c>
      <c r="N490" s="11">
        <f t="shared" si="75"/>
        <v>0</v>
      </c>
      <c r="O490" s="11">
        <f t="shared" si="76"/>
        <v>0</v>
      </c>
      <c r="P490" s="12">
        <f t="shared" si="77"/>
        <v>0</v>
      </c>
      <c r="Q490" s="17" t="str">
        <f t="shared" si="79"/>
        <v>Pas d'écart</v>
      </c>
    </row>
    <row r="491" spans="1:18" x14ac:dyDescent="0.3">
      <c r="A491" s="34" t="str">
        <f>base!J491</f>
        <v>RS</v>
      </c>
      <c r="B491" s="34" t="str">
        <f>base!V491</f>
        <v>30000</v>
      </c>
      <c r="C491" s="37">
        <v>30</v>
      </c>
      <c r="D491" s="36">
        <f>base!H491</f>
        <v>61.96</v>
      </c>
      <c r="E491" s="44"/>
      <c r="F491" s="16">
        <f>base!W491</f>
        <v>0</v>
      </c>
      <c r="G491" s="11">
        <f t="shared" si="70"/>
        <v>0</v>
      </c>
      <c r="H491" s="11">
        <f t="shared" si="71"/>
        <v>24.164400000000001</v>
      </c>
      <c r="I491" s="11">
        <f t="shared" si="72"/>
        <v>0.39</v>
      </c>
      <c r="J491" s="12">
        <f t="shared" si="73"/>
        <v>-24.164400000000001</v>
      </c>
      <c r="K491" s="17" t="str">
        <f t="shared" si="78"/>
        <v>Ecart négatif</v>
      </c>
      <c r="L491" s="16">
        <f>base!X491</f>
        <v>0</v>
      </c>
      <c r="M491" s="11">
        <f t="shared" si="74"/>
        <v>0</v>
      </c>
      <c r="N491" s="11">
        <f t="shared" si="75"/>
        <v>17.348800000000001</v>
      </c>
      <c r="O491" s="11">
        <f t="shared" si="76"/>
        <v>0.28000000000000003</v>
      </c>
      <c r="P491" s="12">
        <f t="shared" si="77"/>
        <v>-17.348800000000001</v>
      </c>
      <c r="Q491" s="17" t="str">
        <f t="shared" si="79"/>
        <v>Ecart négatif</v>
      </c>
    </row>
    <row r="492" spans="1:18" x14ac:dyDescent="0.3">
      <c r="A492" s="34" t="str">
        <f>base!J492</f>
        <v>RS</v>
      </c>
      <c r="B492" s="34" t="str">
        <f>base!V492</f>
        <v>50570</v>
      </c>
      <c r="C492" s="37">
        <v>50</v>
      </c>
      <c r="D492" s="36">
        <f>base!H492</f>
        <v>250</v>
      </c>
      <c r="E492" s="44"/>
      <c r="F492" s="16">
        <f>base!W492</f>
        <v>0</v>
      </c>
      <c r="G492" s="11">
        <f t="shared" si="70"/>
        <v>0</v>
      </c>
      <c r="H492" s="11">
        <f t="shared" si="71"/>
        <v>42.5</v>
      </c>
      <c r="I492" s="11">
        <f t="shared" si="72"/>
        <v>0.17</v>
      </c>
      <c r="J492" s="12">
        <f t="shared" si="73"/>
        <v>-42.5</v>
      </c>
      <c r="K492" s="17" t="str">
        <f t="shared" si="78"/>
        <v>Ecart négatif</v>
      </c>
      <c r="L492" s="16">
        <f>base!X492</f>
        <v>0</v>
      </c>
      <c r="M492" s="11">
        <f t="shared" si="74"/>
        <v>0</v>
      </c>
      <c r="N492" s="11">
        <f t="shared" si="75"/>
        <v>42.5</v>
      </c>
      <c r="O492" s="11">
        <f t="shared" si="76"/>
        <v>0.17</v>
      </c>
      <c r="P492" s="12">
        <f t="shared" si="77"/>
        <v>-42.5</v>
      </c>
      <c r="Q492" s="17" t="str">
        <f t="shared" si="79"/>
        <v>Ecart négatif</v>
      </c>
    </row>
    <row r="493" spans="1:18" x14ac:dyDescent="0.3">
      <c r="A493" s="34" t="str">
        <f>base!J493</f>
        <v>RM</v>
      </c>
      <c r="B493" s="34" t="str">
        <f>base!V493</f>
        <v>39400</v>
      </c>
      <c r="C493" s="37">
        <v>39</v>
      </c>
      <c r="D493" s="36">
        <f>base!H493</f>
        <v>22.8</v>
      </c>
      <c r="E493" s="44"/>
      <c r="F493" s="16">
        <f>base!W493</f>
        <v>0</v>
      </c>
      <c r="G493" s="11">
        <f t="shared" si="70"/>
        <v>0</v>
      </c>
      <c r="H493" s="11">
        <f t="shared" si="71"/>
        <v>6.1560000000000006</v>
      </c>
      <c r="I493" s="11">
        <f t="shared" si="72"/>
        <v>0.27</v>
      </c>
      <c r="J493" s="12">
        <f t="shared" si="73"/>
        <v>-6.1560000000000006</v>
      </c>
      <c r="K493" s="17" t="str">
        <f t="shared" si="78"/>
        <v>Ecart négatif</v>
      </c>
      <c r="L493" s="16">
        <f>base!X493</f>
        <v>0</v>
      </c>
      <c r="M493" s="11">
        <f t="shared" si="74"/>
        <v>0</v>
      </c>
      <c r="N493" s="11">
        <f t="shared" si="75"/>
        <v>0</v>
      </c>
      <c r="O493" s="11">
        <f t="shared" si="76"/>
        <v>0</v>
      </c>
      <c r="P493" s="12">
        <f t="shared" si="77"/>
        <v>0</v>
      </c>
      <c r="Q493" s="17" t="str">
        <f t="shared" si="79"/>
        <v>Pas d'écart</v>
      </c>
    </row>
    <row r="494" spans="1:18" x14ac:dyDescent="0.3">
      <c r="A494" s="34" t="str">
        <f>base!J494</f>
        <v>RM</v>
      </c>
      <c r="B494" s="34" t="str">
        <f>base!V494</f>
        <v>39400</v>
      </c>
      <c r="C494" s="37">
        <v>39</v>
      </c>
      <c r="D494" s="36">
        <f>base!H494</f>
        <v>22.8</v>
      </c>
      <c r="E494" s="44"/>
      <c r="F494" s="16">
        <f>base!W494</f>
        <v>0</v>
      </c>
      <c r="G494" s="11">
        <f t="shared" si="70"/>
        <v>0</v>
      </c>
      <c r="H494" s="11">
        <f t="shared" si="71"/>
        <v>6.1560000000000006</v>
      </c>
      <c r="I494" s="11">
        <f t="shared" si="72"/>
        <v>0.27</v>
      </c>
      <c r="J494" s="12">
        <f t="shared" si="73"/>
        <v>-6.1560000000000006</v>
      </c>
      <c r="K494" s="17" t="str">
        <f t="shared" si="78"/>
        <v>Ecart négatif</v>
      </c>
      <c r="L494" s="16">
        <f>base!X494</f>
        <v>0</v>
      </c>
      <c r="M494" s="11">
        <f t="shared" si="74"/>
        <v>0</v>
      </c>
      <c r="N494" s="11">
        <f t="shared" si="75"/>
        <v>0</v>
      </c>
      <c r="O494" s="11">
        <f t="shared" si="76"/>
        <v>0</v>
      </c>
      <c r="P494" s="12">
        <f t="shared" si="77"/>
        <v>0</v>
      </c>
      <c r="Q494" s="17" t="str">
        <f t="shared" si="79"/>
        <v>Pas d'écart</v>
      </c>
    </row>
    <row r="495" spans="1:18" x14ac:dyDescent="0.3">
      <c r="A495" s="34" t="str">
        <f>base!J495</f>
        <v>RS</v>
      </c>
      <c r="B495" s="34" t="str">
        <f>base!V495</f>
        <v>13127</v>
      </c>
      <c r="C495" s="37">
        <v>13</v>
      </c>
      <c r="D495" s="36">
        <f>base!H495</f>
        <v>250</v>
      </c>
      <c r="E495" s="44"/>
      <c r="F495" s="16">
        <f>base!W495</f>
        <v>0</v>
      </c>
      <c r="G495" s="11">
        <f t="shared" si="70"/>
        <v>0</v>
      </c>
      <c r="H495" s="11">
        <f t="shared" si="71"/>
        <v>72.5</v>
      </c>
      <c r="I495" s="11">
        <f t="shared" si="72"/>
        <v>0.28999999999999998</v>
      </c>
      <c r="J495" s="12">
        <f t="shared" si="73"/>
        <v>-72.5</v>
      </c>
      <c r="K495" s="17" t="str">
        <f t="shared" si="78"/>
        <v>Ecart négatif</v>
      </c>
      <c r="L495" s="16">
        <f>base!X495</f>
        <v>47.5</v>
      </c>
      <c r="M495" s="11">
        <f t="shared" si="74"/>
        <v>0.19</v>
      </c>
      <c r="N495" s="11">
        <f t="shared" si="75"/>
        <v>47.5</v>
      </c>
      <c r="O495" s="11">
        <f t="shared" si="76"/>
        <v>0.19</v>
      </c>
      <c r="P495" s="12">
        <f t="shared" si="77"/>
        <v>0</v>
      </c>
      <c r="Q495" s="17" t="str">
        <f t="shared" si="79"/>
        <v>Pas d'écart</v>
      </c>
      <c r="R495" s="38"/>
    </row>
    <row r="496" spans="1:18" x14ac:dyDescent="0.3">
      <c r="A496" s="34" t="str">
        <f>base!J496</f>
        <v>DLM</v>
      </c>
      <c r="B496" s="34" t="str">
        <f>base!V496</f>
        <v>57000</v>
      </c>
      <c r="C496" s="37">
        <v>57</v>
      </c>
      <c r="D496" s="36">
        <f>base!H496</f>
        <v>108.32</v>
      </c>
      <c r="E496" s="44"/>
      <c r="F496" s="16">
        <f>base!W496</f>
        <v>0</v>
      </c>
      <c r="G496" s="11">
        <f t="shared" si="70"/>
        <v>0</v>
      </c>
      <c r="H496" s="11">
        <f t="shared" si="71"/>
        <v>25.996799999999997</v>
      </c>
      <c r="I496" s="11">
        <f t="shared" si="72"/>
        <v>0.24</v>
      </c>
      <c r="J496" s="12">
        <f t="shared" si="73"/>
        <v>-25.996799999999997</v>
      </c>
      <c r="K496" s="17" t="str">
        <f t="shared" si="78"/>
        <v>Ecart négatif</v>
      </c>
      <c r="L496" s="16">
        <f>base!X496</f>
        <v>0</v>
      </c>
      <c r="M496" s="11">
        <f t="shared" si="74"/>
        <v>0</v>
      </c>
      <c r="N496" s="11">
        <f t="shared" si="75"/>
        <v>27.08</v>
      </c>
      <c r="O496" s="11">
        <f t="shared" si="76"/>
        <v>0.25</v>
      </c>
      <c r="P496" s="12">
        <f t="shared" si="77"/>
        <v>-27.08</v>
      </c>
      <c r="Q496" s="17" t="str">
        <f t="shared" si="79"/>
        <v>Ecart négatif</v>
      </c>
    </row>
    <row r="497" spans="1:18" x14ac:dyDescent="0.3">
      <c r="A497" s="34" t="str">
        <f>base!J497</f>
        <v>RM</v>
      </c>
      <c r="B497" s="34" t="str">
        <f>base!V497</f>
        <v>06560</v>
      </c>
      <c r="C497" s="37">
        <v>6</v>
      </c>
      <c r="D497" s="36">
        <f>base!H497</f>
        <v>151</v>
      </c>
      <c r="E497" s="44"/>
      <c r="F497" s="16">
        <f>base!W497</f>
        <v>0</v>
      </c>
      <c r="G497" s="11">
        <f t="shared" si="70"/>
        <v>0</v>
      </c>
      <c r="H497" s="11">
        <f t="shared" si="71"/>
        <v>45.3</v>
      </c>
      <c r="I497" s="11">
        <f t="shared" si="72"/>
        <v>0.3</v>
      </c>
      <c r="J497" s="12">
        <f t="shared" si="73"/>
        <v>-45.3</v>
      </c>
      <c r="K497" s="17" t="str">
        <f t="shared" si="78"/>
        <v>Ecart négatif</v>
      </c>
      <c r="L497" s="16">
        <f>base!X497</f>
        <v>0</v>
      </c>
      <c r="M497" s="11">
        <f t="shared" si="74"/>
        <v>0</v>
      </c>
      <c r="N497" s="11">
        <f t="shared" si="75"/>
        <v>31.709999999999997</v>
      </c>
      <c r="O497" s="11">
        <f t="shared" si="76"/>
        <v>0.21</v>
      </c>
      <c r="P497" s="12">
        <f t="shared" si="77"/>
        <v>-31.709999999999997</v>
      </c>
      <c r="Q497" s="17" t="str">
        <f t="shared" si="79"/>
        <v>Ecart négatif</v>
      </c>
    </row>
    <row r="498" spans="1:18" x14ac:dyDescent="0.3">
      <c r="A498" s="34" t="str">
        <f>base!J498</f>
        <v>RM</v>
      </c>
      <c r="B498" s="34" t="str">
        <f>base!V498</f>
        <v>50300</v>
      </c>
      <c r="C498" s="37">
        <v>50</v>
      </c>
      <c r="D498" s="36">
        <f>base!H498</f>
        <v>160</v>
      </c>
      <c r="E498" s="44"/>
      <c r="F498" s="16">
        <f>base!W498</f>
        <v>0</v>
      </c>
      <c r="G498" s="11">
        <f t="shared" si="70"/>
        <v>0</v>
      </c>
      <c r="H498" s="11">
        <f t="shared" si="71"/>
        <v>27.200000000000003</v>
      </c>
      <c r="I498" s="11">
        <f t="shared" si="72"/>
        <v>0.17</v>
      </c>
      <c r="J498" s="12">
        <f t="shared" si="73"/>
        <v>-27.200000000000003</v>
      </c>
      <c r="K498" s="17" t="str">
        <f t="shared" si="78"/>
        <v>Ecart négatif</v>
      </c>
      <c r="L498" s="16">
        <f>base!X498</f>
        <v>27.2</v>
      </c>
      <c r="M498" s="11">
        <f t="shared" si="74"/>
        <v>0.16999999999999998</v>
      </c>
      <c r="N498" s="11">
        <f t="shared" si="75"/>
        <v>27.200000000000003</v>
      </c>
      <c r="O498" s="11">
        <f t="shared" si="76"/>
        <v>0.17</v>
      </c>
      <c r="P498" s="12">
        <f t="shared" si="77"/>
        <v>0</v>
      </c>
      <c r="Q498" s="17" t="str">
        <f t="shared" si="79"/>
        <v>Pas d'écart</v>
      </c>
    </row>
    <row r="499" spans="1:18" x14ac:dyDescent="0.3">
      <c r="A499" s="34">
        <f>base!J499</f>
        <v>0</v>
      </c>
      <c r="B499" s="34" t="str">
        <f>base!V499</f>
        <v>77184</v>
      </c>
      <c r="C499" s="37">
        <v>77</v>
      </c>
      <c r="D499" s="36">
        <f>base!H499</f>
        <v>84.5</v>
      </c>
      <c r="E499" s="44"/>
      <c r="F499" s="16">
        <f>base!W499</f>
        <v>0</v>
      </c>
      <c r="G499" s="11">
        <f t="shared" si="70"/>
        <v>0</v>
      </c>
      <c r="H499" s="11">
        <f t="shared" si="71"/>
        <v>0</v>
      </c>
      <c r="I499" s="11">
        <f t="shared" si="72"/>
        <v>0</v>
      </c>
      <c r="J499" s="12">
        <f t="shared" si="73"/>
        <v>0</v>
      </c>
      <c r="K499" s="17" t="str">
        <f t="shared" si="78"/>
        <v>Pas d'écart</v>
      </c>
      <c r="L499" s="16">
        <f>base!X499</f>
        <v>0</v>
      </c>
      <c r="M499" s="11">
        <f t="shared" si="74"/>
        <v>0</v>
      </c>
      <c r="N499" s="11">
        <f t="shared" si="75"/>
        <v>0</v>
      </c>
      <c r="O499" s="11">
        <f t="shared" si="76"/>
        <v>0</v>
      </c>
      <c r="P499" s="12">
        <f t="shared" si="77"/>
        <v>0</v>
      </c>
      <c r="Q499" s="17" t="str">
        <f t="shared" si="79"/>
        <v>Pas d'écart</v>
      </c>
    </row>
    <row r="500" spans="1:18" x14ac:dyDescent="0.3">
      <c r="A500" s="34">
        <f>base!J500</f>
        <v>0</v>
      </c>
      <c r="B500" s="34" t="str">
        <f>base!V500</f>
        <v>77184</v>
      </c>
      <c r="C500" s="37">
        <v>77</v>
      </c>
      <c r="D500" s="36">
        <f>base!H500</f>
        <v>84.5</v>
      </c>
      <c r="E500" s="44"/>
      <c r="F500" s="16">
        <f>base!W500</f>
        <v>0</v>
      </c>
      <c r="G500" s="11">
        <f t="shared" si="70"/>
        <v>0</v>
      </c>
      <c r="H500" s="11">
        <f t="shared" si="71"/>
        <v>0</v>
      </c>
      <c r="I500" s="11">
        <f t="shared" si="72"/>
        <v>0</v>
      </c>
      <c r="J500" s="12">
        <f t="shared" si="73"/>
        <v>0</v>
      </c>
      <c r="K500" s="17" t="str">
        <f t="shared" si="78"/>
        <v>Pas d'écart</v>
      </c>
      <c r="L500" s="16">
        <f>base!X500</f>
        <v>0</v>
      </c>
      <c r="M500" s="11">
        <f t="shared" si="74"/>
        <v>0</v>
      </c>
      <c r="N500" s="11">
        <f t="shared" si="75"/>
        <v>0</v>
      </c>
      <c r="O500" s="11">
        <f t="shared" si="76"/>
        <v>0</v>
      </c>
      <c r="P500" s="12">
        <f t="shared" si="77"/>
        <v>0</v>
      </c>
      <c r="Q500" s="17" t="str">
        <f t="shared" si="79"/>
        <v>Pas d'écart</v>
      </c>
    </row>
    <row r="501" spans="1:18" x14ac:dyDescent="0.3">
      <c r="A501" s="34">
        <f>base!J501</f>
        <v>0</v>
      </c>
      <c r="B501" s="34" t="str">
        <f>base!V501</f>
        <v>77184</v>
      </c>
      <c r="C501" s="37">
        <v>77</v>
      </c>
      <c r="D501" s="36">
        <f>base!H501</f>
        <v>10</v>
      </c>
      <c r="E501" s="44"/>
      <c r="F501" s="16">
        <f>base!W501</f>
        <v>0</v>
      </c>
      <c r="G501" s="11">
        <f t="shared" si="70"/>
        <v>0</v>
      </c>
      <c r="H501" s="11">
        <f t="shared" si="71"/>
        <v>0</v>
      </c>
      <c r="I501" s="11">
        <f t="shared" si="72"/>
        <v>0</v>
      </c>
      <c r="J501" s="12">
        <f t="shared" si="73"/>
        <v>0</v>
      </c>
      <c r="K501" s="17" t="str">
        <f t="shared" si="78"/>
        <v>Pas d'écart</v>
      </c>
      <c r="L501" s="16">
        <f>base!X501</f>
        <v>0</v>
      </c>
      <c r="M501" s="11">
        <f t="shared" si="74"/>
        <v>0</v>
      </c>
      <c r="N501" s="11">
        <f t="shared" si="75"/>
        <v>0</v>
      </c>
      <c r="O501" s="11">
        <f t="shared" si="76"/>
        <v>0</v>
      </c>
      <c r="P501" s="12">
        <f t="shared" si="77"/>
        <v>0</v>
      </c>
      <c r="Q501" s="17" t="str">
        <f t="shared" si="79"/>
        <v>Pas d'écart</v>
      </c>
    </row>
    <row r="502" spans="1:18" x14ac:dyDescent="0.3">
      <c r="A502" s="34" t="str">
        <f>base!J502</f>
        <v>DLS</v>
      </c>
      <c r="B502" s="34" t="str">
        <f>base!V502</f>
        <v>77184</v>
      </c>
      <c r="C502" s="37">
        <v>77</v>
      </c>
      <c r="D502" s="36">
        <f>base!H502</f>
        <v>34.6</v>
      </c>
      <c r="E502" s="44"/>
      <c r="F502" s="16">
        <f>base!W502</f>
        <v>9.34</v>
      </c>
      <c r="G502" s="11">
        <f t="shared" si="70"/>
        <v>0.26994219653179191</v>
      </c>
      <c r="H502" s="11">
        <f t="shared" si="71"/>
        <v>0</v>
      </c>
      <c r="I502" s="11">
        <f t="shared" si="72"/>
        <v>0</v>
      </c>
      <c r="J502" s="12">
        <f t="shared" si="73"/>
        <v>9.34</v>
      </c>
      <c r="K502" s="17" t="str">
        <f t="shared" si="78"/>
        <v>Ecart positif</v>
      </c>
      <c r="L502" s="16">
        <f>base!X502</f>
        <v>0</v>
      </c>
      <c r="M502" s="11">
        <f t="shared" si="74"/>
        <v>0</v>
      </c>
      <c r="N502" s="11">
        <f t="shared" si="75"/>
        <v>0</v>
      </c>
      <c r="O502" s="11">
        <f t="shared" si="76"/>
        <v>0</v>
      </c>
      <c r="P502" s="12">
        <f t="shared" si="77"/>
        <v>0</v>
      </c>
      <c r="Q502" s="17" t="str">
        <f t="shared" si="79"/>
        <v>Pas d'écart</v>
      </c>
    </row>
    <row r="503" spans="1:18" x14ac:dyDescent="0.3">
      <c r="A503" s="34" t="str">
        <f>base!J503</f>
        <v>RM</v>
      </c>
      <c r="B503" s="34" t="str">
        <f>base!V503</f>
        <v>34980</v>
      </c>
      <c r="C503" s="37">
        <v>34</v>
      </c>
      <c r="D503" s="36">
        <f>base!H503</f>
        <v>139.62</v>
      </c>
      <c r="E503" s="44"/>
      <c r="F503" s="16">
        <f>base!W503</f>
        <v>0</v>
      </c>
      <c r="G503" s="11">
        <f t="shared" si="70"/>
        <v>0</v>
      </c>
      <c r="H503" s="11">
        <f t="shared" si="71"/>
        <v>54.451800000000006</v>
      </c>
      <c r="I503" s="11">
        <f t="shared" si="72"/>
        <v>0.39</v>
      </c>
      <c r="J503" s="12">
        <f t="shared" si="73"/>
        <v>-54.451800000000006</v>
      </c>
      <c r="K503" s="17" t="str">
        <f t="shared" si="78"/>
        <v>Ecart négatif</v>
      </c>
      <c r="L503" s="16">
        <f>base!X503</f>
        <v>39.090000000000003</v>
      </c>
      <c r="M503" s="11">
        <f t="shared" si="74"/>
        <v>0.2799742157284057</v>
      </c>
      <c r="N503" s="11">
        <f t="shared" si="75"/>
        <v>39.093600000000002</v>
      </c>
      <c r="O503" s="11">
        <f t="shared" si="76"/>
        <v>0.28000000000000003</v>
      </c>
      <c r="P503" s="12">
        <f t="shared" si="77"/>
        <v>-3.5999999999987153E-3</v>
      </c>
      <c r="Q503" s="17" t="str">
        <f t="shared" si="79"/>
        <v>Ecart négatif</v>
      </c>
      <c r="R503" s="38"/>
    </row>
    <row r="504" spans="1:18" x14ac:dyDescent="0.3">
      <c r="A504" s="34" t="str">
        <f>base!J504</f>
        <v>LS</v>
      </c>
      <c r="B504" s="34" t="str">
        <f>base!V504</f>
        <v>75012</v>
      </c>
      <c r="C504" s="37">
        <v>75</v>
      </c>
      <c r="D504" s="36">
        <f>base!H504</f>
        <v>59.68</v>
      </c>
      <c r="E504" s="44"/>
      <c r="F504" s="16">
        <f>base!W504</f>
        <v>0</v>
      </c>
      <c r="G504" s="11">
        <f t="shared" si="70"/>
        <v>0</v>
      </c>
      <c r="H504" s="11">
        <f t="shared" si="71"/>
        <v>0</v>
      </c>
      <c r="I504" s="11">
        <f t="shared" si="72"/>
        <v>0</v>
      </c>
      <c r="J504" s="12">
        <f t="shared" si="73"/>
        <v>0</v>
      </c>
      <c r="K504" s="17" t="str">
        <f t="shared" si="78"/>
        <v>Pas d'écart</v>
      </c>
      <c r="L504" s="16">
        <f>base!X504</f>
        <v>0</v>
      </c>
      <c r="M504" s="11">
        <f t="shared" si="74"/>
        <v>0</v>
      </c>
      <c r="N504" s="11">
        <f t="shared" si="75"/>
        <v>0</v>
      </c>
      <c r="O504" s="11">
        <f t="shared" si="76"/>
        <v>0</v>
      </c>
      <c r="P504" s="12">
        <f t="shared" si="77"/>
        <v>0</v>
      </c>
      <c r="Q504" s="17" t="str">
        <f t="shared" si="79"/>
        <v>Pas d'écart</v>
      </c>
    </row>
    <row r="505" spans="1:18" x14ac:dyDescent="0.3">
      <c r="A505" s="34" t="str">
        <f>base!J505</f>
        <v>RM</v>
      </c>
      <c r="B505" s="34" t="str">
        <f>base!V505</f>
        <v>38190</v>
      </c>
      <c r="C505" s="37">
        <v>38</v>
      </c>
      <c r="D505" s="36">
        <f>base!H505</f>
        <v>126.4</v>
      </c>
      <c r="E505" s="44"/>
      <c r="F505" s="16">
        <f>base!W505</f>
        <v>0</v>
      </c>
      <c r="G505" s="11">
        <f t="shared" si="70"/>
        <v>0</v>
      </c>
      <c r="H505" s="11">
        <f t="shared" si="71"/>
        <v>34.128000000000007</v>
      </c>
      <c r="I505" s="11">
        <f t="shared" si="72"/>
        <v>0.27</v>
      </c>
      <c r="J505" s="12">
        <f t="shared" si="73"/>
        <v>-34.128000000000007</v>
      </c>
      <c r="K505" s="17" t="str">
        <f t="shared" si="78"/>
        <v>Ecart négatif</v>
      </c>
      <c r="L505" s="16">
        <f>base!X505</f>
        <v>0</v>
      </c>
      <c r="M505" s="11">
        <f t="shared" si="74"/>
        <v>0</v>
      </c>
      <c r="N505" s="11">
        <f t="shared" si="75"/>
        <v>0</v>
      </c>
      <c r="O505" s="11">
        <f t="shared" si="76"/>
        <v>0</v>
      </c>
      <c r="P505" s="12">
        <f t="shared" si="77"/>
        <v>0</v>
      </c>
      <c r="Q505" s="17" t="str">
        <f t="shared" si="79"/>
        <v>Pas d'écart</v>
      </c>
    </row>
    <row r="506" spans="1:18" x14ac:dyDescent="0.3">
      <c r="A506" s="34" t="str">
        <f>base!J506</f>
        <v>LM</v>
      </c>
      <c r="B506" s="34" t="str">
        <f>base!V506</f>
        <v>35044</v>
      </c>
      <c r="C506" s="37">
        <v>56</v>
      </c>
      <c r="D506" s="36">
        <f>base!H506</f>
        <v>75.16</v>
      </c>
      <c r="E506" s="44"/>
      <c r="F506" s="16">
        <f>base!W506</f>
        <v>20.29</v>
      </c>
      <c r="G506" s="11">
        <f t="shared" si="70"/>
        <v>0.2699574241617882</v>
      </c>
      <c r="H506" s="11">
        <f t="shared" si="71"/>
        <v>20.293199999999999</v>
      </c>
      <c r="I506" s="11">
        <f t="shared" si="72"/>
        <v>0.27</v>
      </c>
      <c r="J506" s="12">
        <f t="shared" si="73"/>
        <v>-3.1999999999996476E-3</v>
      </c>
      <c r="K506" s="17" t="str">
        <f t="shared" si="78"/>
        <v>Ecart négatif</v>
      </c>
      <c r="L506" s="16">
        <f>base!X506</f>
        <v>0</v>
      </c>
      <c r="M506" s="11">
        <f t="shared" si="74"/>
        <v>0</v>
      </c>
      <c r="N506" s="11">
        <f t="shared" si="75"/>
        <v>0</v>
      </c>
      <c r="O506" s="11">
        <f t="shared" si="76"/>
        <v>0</v>
      </c>
      <c r="P506" s="12">
        <f t="shared" si="77"/>
        <v>0</v>
      </c>
      <c r="Q506" s="17" t="str">
        <f t="shared" si="79"/>
        <v>Pas d'écart</v>
      </c>
    </row>
    <row r="507" spans="1:18" x14ac:dyDescent="0.3">
      <c r="A507" s="34" t="str">
        <f>base!J507</f>
        <v>LM</v>
      </c>
      <c r="B507" s="34" t="str">
        <f>base!V507</f>
        <v>14200</v>
      </c>
      <c r="C507" s="37">
        <v>26</v>
      </c>
      <c r="D507" s="36">
        <f>base!H507</f>
        <v>20.23</v>
      </c>
      <c r="E507" s="44"/>
      <c r="F507" s="16">
        <f>base!W507</f>
        <v>3.44</v>
      </c>
      <c r="G507" s="11">
        <f t="shared" si="70"/>
        <v>0.17004448838358871</v>
      </c>
      <c r="H507" s="11">
        <f t="shared" si="71"/>
        <v>5.4621000000000004</v>
      </c>
      <c r="I507" s="11">
        <f t="shared" si="72"/>
        <v>0.27</v>
      </c>
      <c r="J507" s="12">
        <f t="shared" si="73"/>
        <v>-2.0221000000000005</v>
      </c>
      <c r="K507" s="17" t="str">
        <f t="shared" si="78"/>
        <v>Ecart négatif</v>
      </c>
      <c r="L507" s="16">
        <f>base!X507</f>
        <v>0</v>
      </c>
      <c r="M507" s="11">
        <f t="shared" si="74"/>
        <v>0</v>
      </c>
      <c r="N507" s="11">
        <f t="shared" si="75"/>
        <v>0</v>
      </c>
      <c r="O507" s="11">
        <f t="shared" si="76"/>
        <v>0</v>
      </c>
      <c r="P507" s="12">
        <f t="shared" si="77"/>
        <v>0</v>
      </c>
      <c r="Q507" s="17" t="str">
        <f t="shared" si="79"/>
        <v>Pas d'écart</v>
      </c>
    </row>
    <row r="508" spans="1:18" x14ac:dyDescent="0.3">
      <c r="A508" s="34" t="str">
        <f>base!J508</f>
        <v>RS</v>
      </c>
      <c r="B508" s="34" t="str">
        <f>base!V508</f>
        <v>33290</v>
      </c>
      <c r="C508" s="37">
        <v>33</v>
      </c>
      <c r="D508" s="36">
        <f>base!H508</f>
        <v>180</v>
      </c>
      <c r="E508" s="44"/>
      <c r="F508" s="16">
        <f>base!W508</f>
        <v>0</v>
      </c>
      <c r="G508" s="11">
        <f t="shared" si="70"/>
        <v>0</v>
      </c>
      <c r="H508" s="11">
        <f t="shared" si="71"/>
        <v>37.799999999999997</v>
      </c>
      <c r="I508" s="11">
        <f t="shared" si="72"/>
        <v>0.21</v>
      </c>
      <c r="J508" s="12">
        <f t="shared" si="73"/>
        <v>-37.799999999999997</v>
      </c>
      <c r="K508" s="17" t="str">
        <f t="shared" si="78"/>
        <v>Ecart négatif</v>
      </c>
      <c r="L508" s="16">
        <f>base!X508</f>
        <v>30.6</v>
      </c>
      <c r="M508" s="11">
        <f t="shared" si="74"/>
        <v>0.17</v>
      </c>
      <c r="N508" s="11">
        <f t="shared" si="75"/>
        <v>30.6</v>
      </c>
      <c r="O508" s="11">
        <f t="shared" si="76"/>
        <v>0.17</v>
      </c>
      <c r="P508" s="12">
        <f t="shared" si="77"/>
        <v>0</v>
      </c>
      <c r="Q508" s="17" t="str">
        <f t="shared" si="79"/>
        <v>Pas d'écart</v>
      </c>
      <c r="R508" s="38"/>
    </row>
    <row r="509" spans="1:18" x14ac:dyDescent="0.3">
      <c r="A509" s="34" t="str">
        <f>base!J509</f>
        <v>RM</v>
      </c>
      <c r="B509" s="34" t="str">
        <f>base!V509</f>
        <v>14200</v>
      </c>
      <c r="C509" s="37">
        <v>14</v>
      </c>
      <c r="D509" s="36">
        <f>base!H509</f>
        <v>105.6</v>
      </c>
      <c r="E509" s="44"/>
      <c r="F509" s="16">
        <f>base!W509</f>
        <v>0</v>
      </c>
      <c r="G509" s="11">
        <f t="shared" si="70"/>
        <v>0</v>
      </c>
      <c r="H509" s="11">
        <f t="shared" si="71"/>
        <v>17.952000000000002</v>
      </c>
      <c r="I509" s="11">
        <f t="shared" si="72"/>
        <v>0.17</v>
      </c>
      <c r="J509" s="12">
        <f t="shared" si="73"/>
        <v>-17.952000000000002</v>
      </c>
      <c r="K509" s="17" t="str">
        <f t="shared" si="78"/>
        <v>Ecart négatif</v>
      </c>
      <c r="L509" s="16">
        <f>base!X509</f>
        <v>17.95</v>
      </c>
      <c r="M509" s="11">
        <f t="shared" si="74"/>
        <v>0.16998106060606061</v>
      </c>
      <c r="N509" s="11">
        <f t="shared" si="75"/>
        <v>17.952000000000002</v>
      </c>
      <c r="O509" s="11">
        <f t="shared" si="76"/>
        <v>0.17</v>
      </c>
      <c r="P509" s="12">
        <f t="shared" si="77"/>
        <v>-2.0000000000024443E-3</v>
      </c>
      <c r="Q509" s="17" t="str">
        <f t="shared" si="79"/>
        <v>Ecart négatif</v>
      </c>
      <c r="R509" s="38"/>
    </row>
    <row r="510" spans="1:18" x14ac:dyDescent="0.3">
      <c r="A510" s="34" t="str">
        <f>base!J510</f>
        <v>DRS</v>
      </c>
      <c r="B510" s="34" t="str">
        <f>base!V510</f>
        <v>25350</v>
      </c>
      <c r="C510" s="37">
        <v>25</v>
      </c>
      <c r="D510" s="36">
        <f>base!H510</f>
        <v>180.36</v>
      </c>
      <c r="E510" s="44"/>
      <c r="F510" s="16">
        <f>base!W510</f>
        <v>0</v>
      </c>
      <c r="G510" s="11">
        <f t="shared" si="70"/>
        <v>0</v>
      </c>
      <c r="H510" s="11">
        <f t="shared" si="71"/>
        <v>43.2864</v>
      </c>
      <c r="I510" s="11">
        <f t="shared" si="72"/>
        <v>0.24</v>
      </c>
      <c r="J510" s="12">
        <f t="shared" si="73"/>
        <v>-43.2864</v>
      </c>
      <c r="K510" s="17" t="str">
        <f t="shared" si="78"/>
        <v>Ecart négatif</v>
      </c>
      <c r="L510" s="16">
        <f>base!X510</f>
        <v>0</v>
      </c>
      <c r="M510" s="11">
        <f t="shared" si="74"/>
        <v>0</v>
      </c>
      <c r="N510" s="11">
        <f t="shared" si="75"/>
        <v>21.6432</v>
      </c>
      <c r="O510" s="11">
        <f t="shared" si="76"/>
        <v>0.12</v>
      </c>
      <c r="P510" s="12">
        <f t="shared" si="77"/>
        <v>-21.6432</v>
      </c>
      <c r="Q510" s="17" t="str">
        <f t="shared" si="79"/>
        <v>Ecart négatif</v>
      </c>
    </row>
    <row r="511" spans="1:18" x14ac:dyDescent="0.3">
      <c r="A511" s="34" t="str">
        <f>base!J511</f>
        <v>RS</v>
      </c>
      <c r="B511" s="34" t="str">
        <f>base!V511</f>
        <v>45160</v>
      </c>
      <c r="C511" s="37">
        <v>45</v>
      </c>
      <c r="D511" s="36">
        <f>base!H511</f>
        <v>140</v>
      </c>
      <c r="E511" s="44"/>
      <c r="F511" s="16">
        <f>base!W511</f>
        <v>0</v>
      </c>
      <c r="G511" s="11">
        <f t="shared" si="70"/>
        <v>0</v>
      </c>
      <c r="H511" s="11">
        <f t="shared" si="71"/>
        <v>29.4</v>
      </c>
      <c r="I511" s="11">
        <f t="shared" si="72"/>
        <v>0.21</v>
      </c>
      <c r="J511" s="12">
        <f t="shared" si="73"/>
        <v>-29.4</v>
      </c>
      <c r="K511" s="17" t="str">
        <f t="shared" si="78"/>
        <v>Ecart négatif</v>
      </c>
      <c r="L511" s="16">
        <f>base!X511</f>
        <v>0</v>
      </c>
      <c r="M511" s="11">
        <f t="shared" si="74"/>
        <v>0</v>
      </c>
      <c r="N511" s="11">
        <f t="shared" si="75"/>
        <v>16.8</v>
      </c>
      <c r="O511" s="11">
        <f t="shared" si="76"/>
        <v>0.12000000000000001</v>
      </c>
      <c r="P511" s="12">
        <f t="shared" si="77"/>
        <v>-16.8</v>
      </c>
      <c r="Q511" s="17" t="str">
        <f t="shared" si="79"/>
        <v>Ecart négatif</v>
      </c>
    </row>
    <row r="512" spans="1:18" x14ac:dyDescent="0.3">
      <c r="A512" s="34" t="str">
        <f>base!J512</f>
        <v>LM</v>
      </c>
      <c r="B512" s="34" t="str">
        <f>base!V512</f>
        <v>68520</v>
      </c>
      <c r="C512" s="37">
        <v>26</v>
      </c>
      <c r="D512" s="36">
        <f>base!H512</f>
        <v>153.81</v>
      </c>
      <c r="E512" s="44"/>
      <c r="F512" s="16">
        <f>base!W512</f>
        <v>44.6</v>
      </c>
      <c r="G512" s="11">
        <f t="shared" si="70"/>
        <v>0.28996814251349068</v>
      </c>
      <c r="H512" s="11">
        <f t="shared" si="71"/>
        <v>41.528700000000001</v>
      </c>
      <c r="I512" s="11">
        <f t="shared" si="72"/>
        <v>0.27</v>
      </c>
      <c r="J512" s="12">
        <f t="shared" si="73"/>
        <v>3.0713000000000008</v>
      </c>
      <c r="K512" s="17" t="str">
        <f t="shared" si="78"/>
        <v>Ecart positif</v>
      </c>
      <c r="L512" s="16">
        <f>base!X512</f>
        <v>0</v>
      </c>
      <c r="M512" s="11">
        <f t="shared" si="74"/>
        <v>0</v>
      </c>
      <c r="N512" s="11">
        <f t="shared" si="75"/>
        <v>0</v>
      </c>
      <c r="O512" s="11">
        <f t="shared" si="76"/>
        <v>0</v>
      </c>
      <c r="P512" s="12">
        <f t="shared" si="77"/>
        <v>0</v>
      </c>
      <c r="Q512" s="17" t="str">
        <f t="shared" si="79"/>
        <v>Pas d'écart</v>
      </c>
    </row>
    <row r="513" spans="1:18" x14ac:dyDescent="0.3">
      <c r="A513" s="34" t="str">
        <f>base!J513</f>
        <v>LM</v>
      </c>
      <c r="B513" s="34" t="str">
        <f>base!V513</f>
        <v>75013</v>
      </c>
      <c r="C513" s="37">
        <v>75</v>
      </c>
      <c r="D513" s="36">
        <f>base!H513</f>
        <v>38.76</v>
      </c>
      <c r="E513" s="44"/>
      <c r="F513" s="16">
        <f>base!W513</f>
        <v>0</v>
      </c>
      <c r="G513" s="11">
        <f t="shared" si="70"/>
        <v>0</v>
      </c>
      <c r="H513" s="11">
        <f t="shared" si="71"/>
        <v>0</v>
      </c>
      <c r="I513" s="11">
        <f t="shared" si="72"/>
        <v>0</v>
      </c>
      <c r="J513" s="12">
        <f t="shared" si="73"/>
        <v>0</v>
      </c>
      <c r="K513" s="17" t="str">
        <f t="shared" si="78"/>
        <v>Pas d'écart</v>
      </c>
      <c r="L513" s="16">
        <f>base!X513</f>
        <v>0</v>
      </c>
      <c r="M513" s="11">
        <f t="shared" si="74"/>
        <v>0</v>
      </c>
      <c r="N513" s="11">
        <f t="shared" si="75"/>
        <v>0</v>
      </c>
      <c r="O513" s="11">
        <f t="shared" si="76"/>
        <v>0</v>
      </c>
      <c r="P513" s="12">
        <f t="shared" si="77"/>
        <v>0</v>
      </c>
      <c r="Q513" s="17" t="str">
        <f t="shared" si="79"/>
        <v>Pas d'écart</v>
      </c>
    </row>
    <row r="514" spans="1:18" x14ac:dyDescent="0.3">
      <c r="A514" s="34" t="str">
        <f>base!J514</f>
        <v>RM</v>
      </c>
      <c r="B514" s="34" t="str">
        <f>base!V514</f>
        <v>77183</v>
      </c>
      <c r="C514" s="37">
        <v>77</v>
      </c>
      <c r="D514" s="36">
        <f>base!H514</f>
        <v>271.13</v>
      </c>
      <c r="E514" s="44"/>
      <c r="F514" s="16">
        <f>base!W514</f>
        <v>0</v>
      </c>
      <c r="G514" s="11">
        <f t="shared" ref="G514:G577" si="80">F514/D514</f>
        <v>0</v>
      </c>
      <c r="H514" s="11">
        <f t="shared" ref="H514:H577" si="81">VLOOKUP(C514,tout_cout_traction,2,FALSE)*D514</f>
        <v>0</v>
      </c>
      <c r="I514" s="11">
        <f t="shared" ref="I514:I577" si="82">H514/D514</f>
        <v>0</v>
      </c>
      <c r="J514" s="12">
        <f t="shared" ref="J514:J577" si="83">F514-H514</f>
        <v>0</v>
      </c>
      <c r="K514" s="17" t="str">
        <f t="shared" si="78"/>
        <v>Pas d'écart</v>
      </c>
      <c r="L514" s="16">
        <f>base!X514</f>
        <v>0</v>
      </c>
      <c r="M514" s="11">
        <f t="shared" ref="M514:M577" si="84">L514/D514</f>
        <v>0</v>
      </c>
      <c r="N514" s="11">
        <f t="shared" ref="N514:N577" si="85">VLOOKUP(C514,tout_cout_traction,3,FALSE)*D514</f>
        <v>0</v>
      </c>
      <c r="O514" s="11">
        <f t="shared" ref="O514:O577" si="86">N514/D514</f>
        <v>0</v>
      </c>
      <c r="P514" s="12">
        <f t="shared" ref="P514:P577" si="87">L514-N514</f>
        <v>0</v>
      </c>
      <c r="Q514" s="17" t="str">
        <f t="shared" si="79"/>
        <v>Pas d'écart</v>
      </c>
    </row>
    <row r="515" spans="1:18" x14ac:dyDescent="0.3">
      <c r="A515" s="34">
        <f>base!J515</f>
        <v>0</v>
      </c>
      <c r="B515" s="34" t="str">
        <f>base!V515</f>
        <v>77184</v>
      </c>
      <c r="C515" s="37">
        <v>77</v>
      </c>
      <c r="D515" s="36">
        <f>base!H515</f>
        <v>84.5</v>
      </c>
      <c r="E515" s="44"/>
      <c r="F515" s="16">
        <f>base!W515</f>
        <v>0</v>
      </c>
      <c r="G515" s="11">
        <f t="shared" si="80"/>
        <v>0</v>
      </c>
      <c r="H515" s="11">
        <f t="shared" si="81"/>
        <v>0</v>
      </c>
      <c r="I515" s="11">
        <f t="shared" si="82"/>
        <v>0</v>
      </c>
      <c r="J515" s="12">
        <f t="shared" si="83"/>
        <v>0</v>
      </c>
      <c r="K515" s="17" t="str">
        <f t="shared" ref="K515:K578" si="88">IF(H515=F515,"Pas d'écart",IF(H515&lt;F515,"Ecart positif",IF(H515&gt;F515,"Ecart négatif")))</f>
        <v>Pas d'écart</v>
      </c>
      <c r="L515" s="16">
        <f>base!X515</f>
        <v>0</v>
      </c>
      <c r="M515" s="11">
        <f t="shared" si="84"/>
        <v>0</v>
      </c>
      <c r="N515" s="11">
        <f t="shared" si="85"/>
        <v>0</v>
      </c>
      <c r="O515" s="11">
        <f t="shared" si="86"/>
        <v>0</v>
      </c>
      <c r="P515" s="12">
        <f t="shared" si="87"/>
        <v>0</v>
      </c>
      <c r="Q515" s="17" t="str">
        <f t="shared" ref="Q515:Q578" si="89">IF(N515=L515,"Pas d'écart",IF(N515&lt;L515,"Ecart positif",IF(N515&gt;L515,"Ecart négatif")))</f>
        <v>Pas d'écart</v>
      </c>
    </row>
    <row r="516" spans="1:18" x14ac:dyDescent="0.3">
      <c r="A516" s="34">
        <f>base!J516</f>
        <v>0</v>
      </c>
      <c r="B516" s="34" t="str">
        <f>base!V516</f>
        <v>77184</v>
      </c>
      <c r="C516" s="37">
        <v>77</v>
      </c>
      <c r="D516" s="36">
        <f>base!H516</f>
        <v>84.5</v>
      </c>
      <c r="E516" s="44"/>
      <c r="F516" s="16">
        <f>base!W516</f>
        <v>0</v>
      </c>
      <c r="G516" s="11">
        <f t="shared" si="80"/>
        <v>0</v>
      </c>
      <c r="H516" s="11">
        <f t="shared" si="81"/>
        <v>0</v>
      </c>
      <c r="I516" s="11">
        <f t="shared" si="82"/>
        <v>0</v>
      </c>
      <c r="J516" s="12">
        <f t="shared" si="83"/>
        <v>0</v>
      </c>
      <c r="K516" s="17" t="str">
        <f t="shared" si="88"/>
        <v>Pas d'écart</v>
      </c>
      <c r="L516" s="16">
        <f>base!X516</f>
        <v>0</v>
      </c>
      <c r="M516" s="11">
        <f t="shared" si="84"/>
        <v>0</v>
      </c>
      <c r="N516" s="11">
        <f t="shared" si="85"/>
        <v>0</v>
      </c>
      <c r="O516" s="11">
        <f t="shared" si="86"/>
        <v>0</v>
      </c>
      <c r="P516" s="12">
        <f t="shared" si="87"/>
        <v>0</v>
      </c>
      <c r="Q516" s="17" t="str">
        <f t="shared" si="89"/>
        <v>Pas d'écart</v>
      </c>
    </row>
    <row r="517" spans="1:18" x14ac:dyDescent="0.3">
      <c r="A517" s="34">
        <f>base!J517</f>
        <v>0</v>
      </c>
      <c r="B517" s="34" t="str">
        <f>base!V517</f>
        <v>77184</v>
      </c>
      <c r="C517" s="37">
        <v>77</v>
      </c>
      <c r="D517" s="36">
        <f>base!H517</f>
        <v>84.5</v>
      </c>
      <c r="E517" s="44"/>
      <c r="F517" s="16">
        <f>base!W517</f>
        <v>0</v>
      </c>
      <c r="G517" s="11">
        <f t="shared" si="80"/>
        <v>0</v>
      </c>
      <c r="H517" s="11">
        <f t="shared" si="81"/>
        <v>0</v>
      </c>
      <c r="I517" s="11">
        <f t="shared" si="82"/>
        <v>0</v>
      </c>
      <c r="J517" s="12">
        <f t="shared" si="83"/>
        <v>0</v>
      </c>
      <c r="K517" s="17" t="str">
        <f t="shared" si="88"/>
        <v>Pas d'écart</v>
      </c>
      <c r="L517" s="16">
        <f>base!X517</f>
        <v>0</v>
      </c>
      <c r="M517" s="11">
        <f t="shared" si="84"/>
        <v>0</v>
      </c>
      <c r="N517" s="11">
        <f t="shared" si="85"/>
        <v>0</v>
      </c>
      <c r="O517" s="11">
        <f t="shared" si="86"/>
        <v>0</v>
      </c>
      <c r="P517" s="12">
        <f t="shared" si="87"/>
        <v>0</v>
      </c>
      <c r="Q517" s="17" t="str">
        <f t="shared" si="89"/>
        <v>Pas d'écart</v>
      </c>
    </row>
    <row r="518" spans="1:18" x14ac:dyDescent="0.3">
      <c r="A518" s="34" t="str">
        <f>base!J518</f>
        <v>RS</v>
      </c>
      <c r="B518" s="34" t="str">
        <f>base!V518</f>
        <v>54000</v>
      </c>
      <c r="C518" s="37">
        <v>54</v>
      </c>
      <c r="D518" s="36">
        <f>base!H518</f>
        <v>17</v>
      </c>
      <c r="E518" s="44"/>
      <c r="F518" s="16">
        <f>base!W518</f>
        <v>0</v>
      </c>
      <c r="G518" s="11">
        <f t="shared" si="80"/>
        <v>0</v>
      </c>
      <c r="H518" s="11">
        <f t="shared" si="81"/>
        <v>4.25</v>
      </c>
      <c r="I518" s="11">
        <f t="shared" si="82"/>
        <v>0.25</v>
      </c>
      <c r="J518" s="12">
        <f t="shared" si="83"/>
        <v>-4.25</v>
      </c>
      <c r="K518" s="17" t="str">
        <f t="shared" si="88"/>
        <v>Ecart négatif</v>
      </c>
      <c r="L518" s="16">
        <f>base!X518</f>
        <v>4.25</v>
      </c>
      <c r="M518" s="11">
        <f t="shared" si="84"/>
        <v>0.25</v>
      </c>
      <c r="N518" s="11">
        <f t="shared" si="85"/>
        <v>4.25</v>
      </c>
      <c r="O518" s="11">
        <f t="shared" si="86"/>
        <v>0.25</v>
      </c>
      <c r="P518" s="12">
        <f t="shared" si="87"/>
        <v>0</v>
      </c>
      <c r="Q518" s="17" t="str">
        <f t="shared" si="89"/>
        <v>Pas d'écart</v>
      </c>
      <c r="R518" s="38"/>
    </row>
    <row r="519" spans="1:18" x14ac:dyDescent="0.3">
      <c r="A519" s="34" t="str">
        <f>base!J519</f>
        <v>DRM</v>
      </c>
      <c r="B519" s="34" t="str">
        <f>base!V519</f>
        <v>67800</v>
      </c>
      <c r="C519" s="37">
        <v>67</v>
      </c>
      <c r="D519" s="36">
        <f>base!H519</f>
        <v>151</v>
      </c>
      <c r="E519" s="44"/>
      <c r="F519" s="16">
        <f>base!W519</f>
        <v>0</v>
      </c>
      <c r="G519" s="11">
        <f t="shared" si="80"/>
        <v>0</v>
      </c>
      <c r="H519" s="11">
        <f t="shared" si="81"/>
        <v>43.79</v>
      </c>
      <c r="I519" s="11">
        <f t="shared" si="82"/>
        <v>0.28999999999999998</v>
      </c>
      <c r="J519" s="12">
        <f t="shared" si="83"/>
        <v>-43.79</v>
      </c>
      <c r="K519" s="17" t="str">
        <f t="shared" si="88"/>
        <v>Ecart négatif</v>
      </c>
      <c r="L519" s="16">
        <f>base!X519</f>
        <v>0</v>
      </c>
      <c r="M519" s="11">
        <f t="shared" si="84"/>
        <v>0</v>
      </c>
      <c r="N519" s="11">
        <f t="shared" si="85"/>
        <v>12.08</v>
      </c>
      <c r="O519" s="11">
        <f t="shared" si="86"/>
        <v>0.08</v>
      </c>
      <c r="P519" s="12">
        <f t="shared" si="87"/>
        <v>-12.08</v>
      </c>
      <c r="Q519" s="17" t="str">
        <f t="shared" si="89"/>
        <v>Ecart négatif</v>
      </c>
    </row>
    <row r="520" spans="1:18" x14ac:dyDescent="0.3">
      <c r="A520" s="34" t="str">
        <f>base!J520</f>
        <v>RS</v>
      </c>
      <c r="B520" s="34" t="str">
        <f>base!V520</f>
        <v>68800</v>
      </c>
      <c r="C520" s="37">
        <v>68</v>
      </c>
      <c r="D520" s="36">
        <f>base!H520</f>
        <v>151</v>
      </c>
      <c r="E520" s="44"/>
      <c r="F520" s="16">
        <f>base!W520</f>
        <v>0</v>
      </c>
      <c r="G520" s="11">
        <f t="shared" si="80"/>
        <v>0</v>
      </c>
      <c r="H520" s="11">
        <f t="shared" si="81"/>
        <v>43.79</v>
      </c>
      <c r="I520" s="11">
        <f t="shared" si="82"/>
        <v>0.28999999999999998</v>
      </c>
      <c r="J520" s="12">
        <f t="shared" si="83"/>
        <v>-43.79</v>
      </c>
      <c r="K520" s="17" t="str">
        <f t="shared" si="88"/>
        <v>Ecart négatif</v>
      </c>
      <c r="L520" s="16">
        <f>base!X520</f>
        <v>0</v>
      </c>
      <c r="M520" s="11">
        <f t="shared" si="84"/>
        <v>0</v>
      </c>
      <c r="N520" s="11">
        <f t="shared" si="85"/>
        <v>12.08</v>
      </c>
      <c r="O520" s="11">
        <f t="shared" si="86"/>
        <v>0.08</v>
      </c>
      <c r="P520" s="12">
        <f t="shared" si="87"/>
        <v>-12.08</v>
      </c>
      <c r="Q520" s="17" t="str">
        <f t="shared" si="89"/>
        <v>Ecart négatif</v>
      </c>
    </row>
    <row r="521" spans="1:18" x14ac:dyDescent="0.3">
      <c r="A521" s="34">
        <f>base!J521</f>
        <v>0</v>
      </c>
      <c r="B521" s="34" t="str">
        <f>base!V521</f>
        <v>44240</v>
      </c>
      <c r="C521" s="37">
        <v>44</v>
      </c>
      <c r="D521" s="36">
        <f>base!H521</f>
        <v>31</v>
      </c>
      <c r="E521" s="44"/>
      <c r="F521" s="16">
        <f>base!W521</f>
        <v>0</v>
      </c>
      <c r="G521" s="11">
        <f t="shared" si="80"/>
        <v>0</v>
      </c>
      <c r="H521" s="11">
        <f t="shared" si="81"/>
        <v>8.370000000000001</v>
      </c>
      <c r="I521" s="11">
        <f t="shared" si="82"/>
        <v>0.27</v>
      </c>
      <c r="J521" s="12">
        <f t="shared" si="83"/>
        <v>-8.370000000000001</v>
      </c>
      <c r="K521" s="17" t="str">
        <f t="shared" si="88"/>
        <v>Ecart négatif</v>
      </c>
      <c r="L521" s="16">
        <f>base!X521</f>
        <v>0</v>
      </c>
      <c r="M521" s="11">
        <f t="shared" si="84"/>
        <v>0</v>
      </c>
      <c r="N521" s="11">
        <f t="shared" si="85"/>
        <v>0</v>
      </c>
      <c r="O521" s="11">
        <f t="shared" si="86"/>
        <v>0</v>
      </c>
      <c r="P521" s="12">
        <f t="shared" si="87"/>
        <v>0</v>
      </c>
      <c r="Q521" s="17" t="str">
        <f t="shared" si="89"/>
        <v>Pas d'écart</v>
      </c>
    </row>
    <row r="522" spans="1:18" x14ac:dyDescent="0.3">
      <c r="A522" s="34" t="str">
        <f>base!J522</f>
        <v>Metre Aller</v>
      </c>
      <c r="B522" s="34" t="str">
        <f>base!V522</f>
        <v>77184</v>
      </c>
      <c r="C522" s="37">
        <v>77</v>
      </c>
      <c r="D522" s="36">
        <f>base!H522</f>
        <v>173.44</v>
      </c>
      <c r="E522" s="44"/>
      <c r="F522" s="16">
        <f>base!W522</f>
        <v>0</v>
      </c>
      <c r="G522" s="11">
        <f t="shared" si="80"/>
        <v>0</v>
      </c>
      <c r="H522" s="11">
        <f t="shared" si="81"/>
        <v>0</v>
      </c>
      <c r="I522" s="11">
        <f t="shared" si="82"/>
        <v>0</v>
      </c>
      <c r="J522" s="12">
        <f t="shared" si="83"/>
        <v>0</v>
      </c>
      <c r="K522" s="17" t="str">
        <f t="shared" si="88"/>
        <v>Pas d'écart</v>
      </c>
      <c r="L522" s="16">
        <f>base!X522</f>
        <v>0</v>
      </c>
      <c r="M522" s="11">
        <f t="shared" si="84"/>
        <v>0</v>
      </c>
      <c r="N522" s="11">
        <f t="shared" si="85"/>
        <v>0</v>
      </c>
      <c r="O522" s="11">
        <f t="shared" si="86"/>
        <v>0</v>
      </c>
      <c r="P522" s="12">
        <f t="shared" si="87"/>
        <v>0</v>
      </c>
      <c r="Q522" s="17" t="str">
        <f t="shared" si="89"/>
        <v>Pas d'écart</v>
      </c>
    </row>
    <row r="523" spans="1:18" x14ac:dyDescent="0.3">
      <c r="A523" s="34" t="str">
        <f>base!J523</f>
        <v>LM</v>
      </c>
      <c r="B523" s="34" t="str">
        <f>base!V523</f>
        <v>58120</v>
      </c>
      <c r="C523" s="37">
        <v>76</v>
      </c>
      <c r="D523" s="36">
        <f>base!H523</f>
        <v>143.19</v>
      </c>
      <c r="E523" s="44"/>
      <c r="F523" s="16">
        <f>base!W523</f>
        <v>34.369999999999997</v>
      </c>
      <c r="G523" s="11">
        <f t="shared" si="80"/>
        <v>0.24003072840282141</v>
      </c>
      <c r="H523" s="11">
        <f t="shared" si="81"/>
        <v>24.342300000000002</v>
      </c>
      <c r="I523" s="11">
        <f t="shared" si="82"/>
        <v>0.17</v>
      </c>
      <c r="J523" s="12">
        <f t="shared" si="83"/>
        <v>10.027699999999996</v>
      </c>
      <c r="K523" s="17" t="str">
        <f t="shared" si="88"/>
        <v>Ecart positif</v>
      </c>
      <c r="L523" s="16">
        <f>base!X523</f>
        <v>0</v>
      </c>
      <c r="M523" s="11">
        <f t="shared" si="84"/>
        <v>0</v>
      </c>
      <c r="N523" s="11">
        <f t="shared" si="85"/>
        <v>24.342300000000002</v>
      </c>
      <c r="O523" s="11">
        <f t="shared" si="86"/>
        <v>0.17</v>
      </c>
      <c r="P523" s="12">
        <f t="shared" si="87"/>
        <v>-24.342300000000002</v>
      </c>
      <c r="Q523" s="17" t="str">
        <f t="shared" si="89"/>
        <v>Ecart négatif</v>
      </c>
    </row>
    <row r="524" spans="1:18" x14ac:dyDescent="0.3">
      <c r="A524" s="34" t="str">
        <f>base!J524</f>
        <v>RS</v>
      </c>
      <c r="B524" s="34" t="str">
        <f>base!V524</f>
        <v>89150</v>
      </c>
      <c r="C524" s="37">
        <v>89</v>
      </c>
      <c r="D524" s="36">
        <f>base!H524</f>
        <v>160.04</v>
      </c>
      <c r="E524" s="44"/>
      <c r="F524" s="16">
        <f>base!W524</f>
        <v>0</v>
      </c>
      <c r="G524" s="11">
        <f t="shared" si="80"/>
        <v>0</v>
      </c>
      <c r="H524" s="11">
        <f t="shared" si="81"/>
        <v>36.809199999999997</v>
      </c>
      <c r="I524" s="11">
        <f t="shared" si="82"/>
        <v>0.22999999999999998</v>
      </c>
      <c r="J524" s="12">
        <f t="shared" si="83"/>
        <v>-36.809199999999997</v>
      </c>
      <c r="K524" s="17" t="str">
        <f t="shared" si="88"/>
        <v>Ecart négatif</v>
      </c>
      <c r="L524" s="16">
        <f>base!X524</f>
        <v>19.2</v>
      </c>
      <c r="M524" s="11">
        <f t="shared" si="84"/>
        <v>0.11997000749812547</v>
      </c>
      <c r="N524" s="11">
        <f t="shared" si="85"/>
        <v>19.204799999999999</v>
      </c>
      <c r="O524" s="11">
        <f t="shared" si="86"/>
        <v>0.12</v>
      </c>
      <c r="P524" s="12">
        <f t="shared" si="87"/>
        <v>-4.7999999999994714E-3</v>
      </c>
      <c r="Q524" s="17" t="str">
        <f t="shared" si="89"/>
        <v>Ecart négatif</v>
      </c>
      <c r="R524" s="38"/>
    </row>
    <row r="525" spans="1:18" x14ac:dyDescent="0.3">
      <c r="A525" s="34">
        <f>base!J525</f>
        <v>0</v>
      </c>
      <c r="B525" s="34" t="str">
        <f>base!V525</f>
        <v>77184</v>
      </c>
      <c r="C525" s="37">
        <v>77</v>
      </c>
      <c r="D525" s="36">
        <f>base!H525</f>
        <v>170</v>
      </c>
      <c r="E525" s="44"/>
      <c r="F525" s="16">
        <f>base!W525</f>
        <v>0</v>
      </c>
      <c r="G525" s="11">
        <f t="shared" si="80"/>
        <v>0</v>
      </c>
      <c r="H525" s="11">
        <f t="shared" si="81"/>
        <v>0</v>
      </c>
      <c r="I525" s="11">
        <f t="shared" si="82"/>
        <v>0</v>
      </c>
      <c r="J525" s="12">
        <f t="shared" si="83"/>
        <v>0</v>
      </c>
      <c r="K525" s="17" t="str">
        <f t="shared" si="88"/>
        <v>Pas d'écart</v>
      </c>
      <c r="L525" s="16">
        <f>base!X525</f>
        <v>0</v>
      </c>
      <c r="M525" s="11">
        <f t="shared" si="84"/>
        <v>0</v>
      </c>
      <c r="N525" s="11">
        <f t="shared" si="85"/>
        <v>0</v>
      </c>
      <c r="O525" s="11">
        <f t="shared" si="86"/>
        <v>0</v>
      </c>
      <c r="P525" s="12">
        <f t="shared" si="87"/>
        <v>0</v>
      </c>
      <c r="Q525" s="17" t="str">
        <f t="shared" si="89"/>
        <v>Pas d'écart</v>
      </c>
    </row>
    <row r="526" spans="1:18" x14ac:dyDescent="0.3">
      <c r="A526" s="34" t="str">
        <f>base!J526</f>
        <v>RS</v>
      </c>
      <c r="B526" s="34" t="str">
        <f>base!V526</f>
        <v>80800</v>
      </c>
      <c r="C526" s="37">
        <v>80</v>
      </c>
      <c r="D526" s="36">
        <f>base!H526</f>
        <v>122.41</v>
      </c>
      <c r="E526" s="44"/>
      <c r="F526" s="16">
        <f>base!W526</f>
        <v>0</v>
      </c>
      <c r="G526" s="11">
        <f t="shared" si="80"/>
        <v>0</v>
      </c>
      <c r="H526" s="11">
        <f t="shared" si="81"/>
        <v>23.257899999999999</v>
      </c>
      <c r="I526" s="11">
        <f t="shared" si="82"/>
        <v>0.19</v>
      </c>
      <c r="J526" s="12">
        <f t="shared" si="83"/>
        <v>-23.257899999999999</v>
      </c>
      <c r="K526" s="17" t="str">
        <f t="shared" si="88"/>
        <v>Ecart négatif</v>
      </c>
      <c r="L526" s="16">
        <f>base!X526</f>
        <v>0</v>
      </c>
      <c r="M526" s="11">
        <f t="shared" si="84"/>
        <v>0</v>
      </c>
      <c r="N526" s="11">
        <f t="shared" si="85"/>
        <v>0</v>
      </c>
      <c r="O526" s="11">
        <f t="shared" si="86"/>
        <v>0</v>
      </c>
      <c r="P526" s="12">
        <f t="shared" si="87"/>
        <v>0</v>
      </c>
      <c r="Q526" s="17" t="str">
        <f t="shared" si="89"/>
        <v>Pas d'écart</v>
      </c>
    </row>
    <row r="527" spans="1:18" x14ac:dyDescent="0.3">
      <c r="A527" s="34" t="str">
        <f>base!J527</f>
        <v>LS</v>
      </c>
      <c r="B527" s="34" t="str">
        <f>base!V527</f>
        <v>06000</v>
      </c>
      <c r="C527" s="37">
        <v>59</v>
      </c>
      <c r="D527" s="36">
        <f>base!H527</f>
        <v>38.409999999999997</v>
      </c>
      <c r="E527" s="44"/>
      <c r="F527" s="16">
        <f>base!W527</f>
        <v>11.52</v>
      </c>
      <c r="G527" s="11">
        <f t="shared" si="80"/>
        <v>0.29992189533975527</v>
      </c>
      <c r="H527" s="11">
        <f t="shared" si="81"/>
        <v>7.2978999999999994</v>
      </c>
      <c r="I527" s="11">
        <f t="shared" si="82"/>
        <v>0.19</v>
      </c>
      <c r="J527" s="12">
        <f t="shared" si="83"/>
        <v>4.2221000000000002</v>
      </c>
      <c r="K527" s="17" t="str">
        <f t="shared" si="88"/>
        <v>Ecart positif</v>
      </c>
      <c r="L527" s="16">
        <f>base!X527</f>
        <v>0</v>
      </c>
      <c r="M527" s="11">
        <f t="shared" si="84"/>
        <v>0</v>
      </c>
      <c r="N527" s="11">
        <f t="shared" si="85"/>
        <v>0</v>
      </c>
      <c r="O527" s="11">
        <f t="shared" si="86"/>
        <v>0</v>
      </c>
      <c r="P527" s="12">
        <f t="shared" si="87"/>
        <v>0</v>
      </c>
      <c r="Q527" s="17" t="str">
        <f t="shared" si="89"/>
        <v>Pas d'écart</v>
      </c>
    </row>
    <row r="528" spans="1:18" x14ac:dyDescent="0.3">
      <c r="A528" s="34" t="str">
        <f>base!J528</f>
        <v>RS</v>
      </c>
      <c r="B528" s="34" t="str">
        <f>base!V528</f>
        <v>62000</v>
      </c>
      <c r="C528" s="37">
        <v>62</v>
      </c>
      <c r="D528" s="36">
        <f>base!H528</f>
        <v>151</v>
      </c>
      <c r="E528" s="44"/>
      <c r="F528" s="16">
        <f>base!W528</f>
        <v>0</v>
      </c>
      <c r="G528" s="11">
        <f t="shared" si="80"/>
        <v>0</v>
      </c>
      <c r="H528" s="11">
        <f t="shared" si="81"/>
        <v>28.69</v>
      </c>
      <c r="I528" s="11">
        <f t="shared" si="82"/>
        <v>0.19</v>
      </c>
      <c r="J528" s="12">
        <f t="shared" si="83"/>
        <v>-28.69</v>
      </c>
      <c r="K528" s="17" t="str">
        <f t="shared" si="88"/>
        <v>Ecart négatif</v>
      </c>
      <c r="L528" s="16">
        <f>base!X528</f>
        <v>0</v>
      </c>
      <c r="M528" s="11">
        <f t="shared" si="84"/>
        <v>0</v>
      </c>
      <c r="N528" s="11">
        <f t="shared" si="85"/>
        <v>0</v>
      </c>
      <c r="O528" s="11">
        <f t="shared" si="86"/>
        <v>0</v>
      </c>
      <c r="P528" s="12">
        <f t="shared" si="87"/>
        <v>0</v>
      </c>
      <c r="Q528" s="17" t="str">
        <f t="shared" si="89"/>
        <v>Pas d'écart</v>
      </c>
    </row>
    <row r="529" spans="1:17" x14ac:dyDescent="0.3">
      <c r="A529" s="34">
        <f>base!J529</f>
        <v>0</v>
      </c>
      <c r="B529" s="34" t="str">
        <f>base!V529</f>
        <v>77184</v>
      </c>
      <c r="C529" s="37">
        <v>77</v>
      </c>
      <c r="D529" s="36">
        <f>base!H529</f>
        <v>37.19</v>
      </c>
      <c r="E529" s="44"/>
      <c r="F529" s="16">
        <f>base!W529</f>
        <v>0</v>
      </c>
      <c r="G529" s="11">
        <f t="shared" si="80"/>
        <v>0</v>
      </c>
      <c r="H529" s="11">
        <f t="shared" si="81"/>
        <v>0</v>
      </c>
      <c r="I529" s="11">
        <f t="shared" si="82"/>
        <v>0</v>
      </c>
      <c r="J529" s="12">
        <f t="shared" si="83"/>
        <v>0</v>
      </c>
      <c r="K529" s="17" t="str">
        <f t="shared" si="88"/>
        <v>Pas d'écart</v>
      </c>
      <c r="L529" s="16">
        <f>base!X529</f>
        <v>0</v>
      </c>
      <c r="M529" s="11">
        <f t="shared" si="84"/>
        <v>0</v>
      </c>
      <c r="N529" s="11">
        <f t="shared" si="85"/>
        <v>0</v>
      </c>
      <c r="O529" s="11">
        <f t="shared" si="86"/>
        <v>0</v>
      </c>
      <c r="P529" s="12">
        <f t="shared" si="87"/>
        <v>0</v>
      </c>
      <c r="Q529" s="17" t="str">
        <f t="shared" si="89"/>
        <v>Pas d'écart</v>
      </c>
    </row>
    <row r="530" spans="1:17" x14ac:dyDescent="0.3">
      <c r="A530" s="34" t="str">
        <f>base!J530</f>
        <v>DLM</v>
      </c>
      <c r="B530" s="34" t="str">
        <f>base!V530</f>
        <v>82000</v>
      </c>
      <c r="C530" s="37">
        <v>82</v>
      </c>
      <c r="D530" s="36">
        <f>base!H530</f>
        <v>120</v>
      </c>
      <c r="E530" s="44"/>
      <c r="F530" s="16">
        <f>base!W530</f>
        <v>26.4</v>
      </c>
      <c r="G530" s="11">
        <f t="shared" si="80"/>
        <v>0.22</v>
      </c>
      <c r="H530" s="11">
        <f t="shared" si="81"/>
        <v>26.4</v>
      </c>
      <c r="I530" s="11">
        <f t="shared" si="82"/>
        <v>0.22</v>
      </c>
      <c r="J530" s="12">
        <f t="shared" si="83"/>
        <v>0</v>
      </c>
      <c r="K530" s="17" t="str">
        <f t="shared" si="88"/>
        <v>Pas d'écart</v>
      </c>
      <c r="L530" s="16">
        <f>base!X530</f>
        <v>0</v>
      </c>
      <c r="M530" s="11">
        <f t="shared" si="84"/>
        <v>0</v>
      </c>
      <c r="N530" s="11">
        <f t="shared" si="85"/>
        <v>31.200000000000003</v>
      </c>
      <c r="O530" s="11">
        <f t="shared" si="86"/>
        <v>0.26</v>
      </c>
      <c r="P530" s="12">
        <f t="shared" si="87"/>
        <v>-31.200000000000003</v>
      </c>
      <c r="Q530" s="17" t="str">
        <f t="shared" si="89"/>
        <v>Ecart négatif</v>
      </c>
    </row>
    <row r="531" spans="1:17" x14ac:dyDescent="0.3">
      <c r="A531" s="34" t="str">
        <f>base!J531</f>
        <v>LM</v>
      </c>
      <c r="B531" s="34" t="str">
        <f>base!V531</f>
        <v>06190</v>
      </c>
      <c r="C531" s="37">
        <v>14</v>
      </c>
      <c r="D531" s="36">
        <f>base!H531</f>
        <v>181</v>
      </c>
      <c r="E531" s="44"/>
      <c r="F531" s="16">
        <f>base!W531</f>
        <v>54.3</v>
      </c>
      <c r="G531" s="11">
        <f t="shared" si="80"/>
        <v>0.3</v>
      </c>
      <c r="H531" s="11">
        <f t="shared" si="81"/>
        <v>30.770000000000003</v>
      </c>
      <c r="I531" s="11">
        <f t="shared" si="82"/>
        <v>0.17</v>
      </c>
      <c r="J531" s="12">
        <f t="shared" si="83"/>
        <v>23.529999999999994</v>
      </c>
      <c r="K531" s="17" t="str">
        <f t="shared" si="88"/>
        <v>Ecart positif</v>
      </c>
      <c r="L531" s="16">
        <f>base!X531</f>
        <v>0</v>
      </c>
      <c r="M531" s="11">
        <f t="shared" si="84"/>
        <v>0</v>
      </c>
      <c r="N531" s="11">
        <f t="shared" si="85"/>
        <v>30.770000000000003</v>
      </c>
      <c r="O531" s="11">
        <f t="shared" si="86"/>
        <v>0.17</v>
      </c>
      <c r="P531" s="12">
        <f t="shared" si="87"/>
        <v>-30.770000000000003</v>
      </c>
      <c r="Q531" s="17" t="str">
        <f t="shared" si="89"/>
        <v>Ecart négatif</v>
      </c>
    </row>
    <row r="532" spans="1:17" x14ac:dyDescent="0.3">
      <c r="A532" s="34" t="str">
        <f>base!J532</f>
        <v>RM</v>
      </c>
      <c r="B532" s="34" t="str">
        <f>base!V532</f>
        <v>06190</v>
      </c>
      <c r="C532" s="37">
        <v>6</v>
      </c>
      <c r="D532" s="36">
        <f>base!H532</f>
        <v>50</v>
      </c>
      <c r="E532" s="44"/>
      <c r="F532" s="16">
        <f>base!W532</f>
        <v>0</v>
      </c>
      <c r="G532" s="11">
        <f t="shared" si="80"/>
        <v>0</v>
      </c>
      <c r="H532" s="11">
        <f t="shared" si="81"/>
        <v>15</v>
      </c>
      <c r="I532" s="11">
        <f t="shared" si="82"/>
        <v>0.3</v>
      </c>
      <c r="J532" s="12">
        <f t="shared" si="83"/>
        <v>-15</v>
      </c>
      <c r="K532" s="17" t="str">
        <f t="shared" si="88"/>
        <v>Ecart négatif</v>
      </c>
      <c r="L532" s="16">
        <f>base!X532</f>
        <v>15</v>
      </c>
      <c r="M532" s="11">
        <f t="shared" si="84"/>
        <v>0.3</v>
      </c>
      <c r="N532" s="11">
        <f t="shared" si="85"/>
        <v>10.5</v>
      </c>
      <c r="O532" s="11">
        <f t="shared" si="86"/>
        <v>0.21</v>
      </c>
      <c r="P532" s="12">
        <f t="shared" si="87"/>
        <v>4.5</v>
      </c>
      <c r="Q532" s="17" t="str">
        <f t="shared" si="89"/>
        <v>Ecart positif</v>
      </c>
    </row>
    <row r="533" spans="1:17" x14ac:dyDescent="0.3">
      <c r="A533" s="34" t="str">
        <f>base!J533</f>
        <v>RM</v>
      </c>
      <c r="B533" s="34" t="str">
        <f>base!V533</f>
        <v>06190</v>
      </c>
      <c r="C533" s="37">
        <v>6</v>
      </c>
      <c r="D533" s="36">
        <f>base!H533</f>
        <v>90</v>
      </c>
      <c r="E533" s="44"/>
      <c r="F533" s="16">
        <f>base!W533</f>
        <v>0</v>
      </c>
      <c r="G533" s="11">
        <f t="shared" si="80"/>
        <v>0</v>
      </c>
      <c r="H533" s="11">
        <f t="shared" si="81"/>
        <v>27</v>
      </c>
      <c r="I533" s="11">
        <f t="shared" si="82"/>
        <v>0.3</v>
      </c>
      <c r="J533" s="12">
        <f t="shared" si="83"/>
        <v>-27</v>
      </c>
      <c r="K533" s="17" t="str">
        <f t="shared" si="88"/>
        <v>Ecart négatif</v>
      </c>
      <c r="L533" s="16">
        <f>base!X533</f>
        <v>27</v>
      </c>
      <c r="M533" s="11">
        <f t="shared" si="84"/>
        <v>0.3</v>
      </c>
      <c r="N533" s="11">
        <f t="shared" si="85"/>
        <v>18.899999999999999</v>
      </c>
      <c r="O533" s="11">
        <f t="shared" si="86"/>
        <v>0.21</v>
      </c>
      <c r="P533" s="12">
        <f t="shared" si="87"/>
        <v>8.1000000000000014</v>
      </c>
      <c r="Q533" s="17" t="str">
        <f t="shared" si="89"/>
        <v>Ecart positif</v>
      </c>
    </row>
    <row r="534" spans="1:17" x14ac:dyDescent="0.3">
      <c r="A534" s="34" t="str">
        <f>base!J534</f>
        <v>RS</v>
      </c>
      <c r="B534" s="34" t="str">
        <f>base!V534</f>
        <v>68110</v>
      </c>
      <c r="C534" s="37">
        <v>68</v>
      </c>
      <c r="D534" s="36">
        <f>base!H534</f>
        <v>110.91</v>
      </c>
      <c r="E534" s="44"/>
      <c r="F534" s="16">
        <f>base!W534</f>
        <v>0</v>
      </c>
      <c r="G534" s="11">
        <f t="shared" si="80"/>
        <v>0</v>
      </c>
      <c r="H534" s="11">
        <f t="shared" si="81"/>
        <v>32.163899999999998</v>
      </c>
      <c r="I534" s="11">
        <f t="shared" si="82"/>
        <v>0.28999999999999998</v>
      </c>
      <c r="J534" s="12">
        <f t="shared" si="83"/>
        <v>-32.163899999999998</v>
      </c>
      <c r="K534" s="17" t="str">
        <f t="shared" si="88"/>
        <v>Ecart négatif</v>
      </c>
      <c r="L534" s="16">
        <f>base!X534</f>
        <v>0</v>
      </c>
      <c r="M534" s="11">
        <f t="shared" si="84"/>
        <v>0</v>
      </c>
      <c r="N534" s="11">
        <f t="shared" si="85"/>
        <v>8.8727999999999998</v>
      </c>
      <c r="O534" s="11">
        <f t="shared" si="86"/>
        <v>0.08</v>
      </c>
      <c r="P534" s="12">
        <f t="shared" si="87"/>
        <v>-8.8727999999999998</v>
      </c>
      <c r="Q534" s="17" t="str">
        <f t="shared" si="89"/>
        <v>Ecart négatif</v>
      </c>
    </row>
    <row r="535" spans="1:17" x14ac:dyDescent="0.3">
      <c r="A535" s="34" t="str">
        <f>base!J535</f>
        <v>LS</v>
      </c>
      <c r="B535" s="34" t="str">
        <f>base!V535</f>
        <v>68700</v>
      </c>
      <c r="C535" s="37">
        <v>62</v>
      </c>
      <c r="D535" s="36">
        <f>base!H535</f>
        <v>146.49</v>
      </c>
      <c r="E535" s="44"/>
      <c r="F535" s="16">
        <f>base!W535</f>
        <v>42.48</v>
      </c>
      <c r="G535" s="11">
        <f t="shared" si="80"/>
        <v>0.28998566455048125</v>
      </c>
      <c r="H535" s="11">
        <f t="shared" si="81"/>
        <v>27.833100000000002</v>
      </c>
      <c r="I535" s="11">
        <f t="shared" si="82"/>
        <v>0.19</v>
      </c>
      <c r="J535" s="12">
        <f t="shared" si="83"/>
        <v>14.646899999999995</v>
      </c>
      <c r="K535" s="17" t="str">
        <f t="shared" si="88"/>
        <v>Ecart positif</v>
      </c>
      <c r="L535" s="16">
        <f>base!X535</f>
        <v>0</v>
      </c>
      <c r="M535" s="11">
        <f t="shared" si="84"/>
        <v>0</v>
      </c>
      <c r="N535" s="11">
        <f t="shared" si="85"/>
        <v>0</v>
      </c>
      <c r="O535" s="11">
        <f t="shared" si="86"/>
        <v>0</v>
      </c>
      <c r="P535" s="12">
        <f t="shared" si="87"/>
        <v>0</v>
      </c>
      <c r="Q535" s="17" t="str">
        <f t="shared" si="89"/>
        <v>Pas d'écart</v>
      </c>
    </row>
    <row r="536" spans="1:17" x14ac:dyDescent="0.3">
      <c r="A536" s="34" t="str">
        <f>base!J536</f>
        <v>LM</v>
      </c>
      <c r="B536" s="34" t="str">
        <f>base!V536</f>
        <v>34500</v>
      </c>
      <c r="C536" s="37">
        <v>50</v>
      </c>
      <c r="D536" s="36">
        <f>base!H536</f>
        <v>149.79</v>
      </c>
      <c r="E536" s="44"/>
      <c r="F536" s="16">
        <f>base!W536</f>
        <v>58.42</v>
      </c>
      <c r="G536" s="11">
        <f t="shared" si="80"/>
        <v>0.39001268442486148</v>
      </c>
      <c r="H536" s="11">
        <f t="shared" si="81"/>
        <v>25.464300000000001</v>
      </c>
      <c r="I536" s="11">
        <f t="shared" si="82"/>
        <v>0.17</v>
      </c>
      <c r="J536" s="12">
        <f t="shared" si="83"/>
        <v>32.9557</v>
      </c>
      <c r="K536" s="17" t="str">
        <f t="shared" si="88"/>
        <v>Ecart positif</v>
      </c>
      <c r="L536" s="16">
        <f>base!X536</f>
        <v>0</v>
      </c>
      <c r="M536" s="11">
        <f t="shared" si="84"/>
        <v>0</v>
      </c>
      <c r="N536" s="11">
        <f t="shared" si="85"/>
        <v>25.464300000000001</v>
      </c>
      <c r="O536" s="11">
        <f t="shared" si="86"/>
        <v>0.17</v>
      </c>
      <c r="P536" s="12">
        <f t="shared" si="87"/>
        <v>-25.464300000000001</v>
      </c>
      <c r="Q536" s="17" t="str">
        <f t="shared" si="89"/>
        <v>Ecart négatif</v>
      </c>
    </row>
    <row r="537" spans="1:17" x14ac:dyDescent="0.3">
      <c r="A537" s="34" t="str">
        <f>base!J537</f>
        <v>LM</v>
      </c>
      <c r="B537" s="34" t="str">
        <f>base!V537</f>
        <v>75014</v>
      </c>
      <c r="C537" s="37">
        <v>75</v>
      </c>
      <c r="D537" s="36">
        <f>base!H537</f>
        <v>107.6</v>
      </c>
      <c r="E537" s="44"/>
      <c r="F537" s="16">
        <f>base!W537</f>
        <v>0</v>
      </c>
      <c r="G537" s="11">
        <f t="shared" si="80"/>
        <v>0</v>
      </c>
      <c r="H537" s="11">
        <f t="shared" si="81"/>
        <v>0</v>
      </c>
      <c r="I537" s="11">
        <f t="shared" si="82"/>
        <v>0</v>
      </c>
      <c r="J537" s="12">
        <f t="shared" si="83"/>
        <v>0</v>
      </c>
      <c r="K537" s="17" t="str">
        <f t="shared" si="88"/>
        <v>Pas d'écart</v>
      </c>
      <c r="L537" s="16">
        <f>base!X537</f>
        <v>0</v>
      </c>
      <c r="M537" s="11">
        <f t="shared" si="84"/>
        <v>0</v>
      </c>
      <c r="N537" s="11">
        <f t="shared" si="85"/>
        <v>0</v>
      </c>
      <c r="O537" s="11">
        <f t="shared" si="86"/>
        <v>0</v>
      </c>
      <c r="P537" s="12">
        <f t="shared" si="87"/>
        <v>0</v>
      </c>
      <c r="Q537" s="17" t="str">
        <f t="shared" si="89"/>
        <v>Pas d'écart</v>
      </c>
    </row>
    <row r="538" spans="1:17" x14ac:dyDescent="0.3">
      <c r="A538" s="34" t="str">
        <f>base!J538</f>
        <v>LS</v>
      </c>
      <c r="B538" s="34" t="str">
        <f>base!V538</f>
        <v>75014</v>
      </c>
      <c r="C538" s="37">
        <v>75</v>
      </c>
      <c r="D538" s="36">
        <f>base!H538</f>
        <v>53.38</v>
      </c>
      <c r="E538" s="44"/>
      <c r="F538" s="16">
        <f>base!W538</f>
        <v>0</v>
      </c>
      <c r="G538" s="11">
        <f t="shared" si="80"/>
        <v>0</v>
      </c>
      <c r="H538" s="11">
        <f t="shared" si="81"/>
        <v>0</v>
      </c>
      <c r="I538" s="11">
        <f t="shared" si="82"/>
        <v>0</v>
      </c>
      <c r="J538" s="12">
        <f t="shared" si="83"/>
        <v>0</v>
      </c>
      <c r="K538" s="17" t="str">
        <f t="shared" si="88"/>
        <v>Pas d'écart</v>
      </c>
      <c r="L538" s="16">
        <f>base!X538</f>
        <v>0</v>
      </c>
      <c r="M538" s="11">
        <f t="shared" si="84"/>
        <v>0</v>
      </c>
      <c r="N538" s="11">
        <f t="shared" si="85"/>
        <v>0</v>
      </c>
      <c r="O538" s="11">
        <f t="shared" si="86"/>
        <v>0</v>
      </c>
      <c r="P538" s="12">
        <f t="shared" si="87"/>
        <v>0</v>
      </c>
      <c r="Q538" s="17" t="str">
        <f t="shared" si="89"/>
        <v>Pas d'écart</v>
      </c>
    </row>
    <row r="539" spans="1:17" x14ac:dyDescent="0.3">
      <c r="A539" s="34" t="str">
        <f>base!J539</f>
        <v>DRS</v>
      </c>
      <c r="B539" s="34" t="str">
        <f>base!V539</f>
        <v>35680</v>
      </c>
      <c r="C539" s="37">
        <v>35</v>
      </c>
      <c r="D539" s="36">
        <f>base!H539</f>
        <v>0</v>
      </c>
      <c r="E539" s="44"/>
      <c r="F539" s="16">
        <f>base!W539</f>
        <v>0</v>
      </c>
      <c r="G539" s="11" t="e">
        <f t="shared" si="80"/>
        <v>#DIV/0!</v>
      </c>
      <c r="H539" s="11">
        <f t="shared" si="81"/>
        <v>0</v>
      </c>
      <c r="I539" s="11" t="e">
        <f t="shared" si="82"/>
        <v>#DIV/0!</v>
      </c>
      <c r="J539" s="12">
        <f t="shared" si="83"/>
        <v>0</v>
      </c>
      <c r="K539" s="17" t="str">
        <f t="shared" si="88"/>
        <v>Pas d'écart</v>
      </c>
      <c r="L539" s="16">
        <f>base!X539</f>
        <v>0</v>
      </c>
      <c r="M539" s="11" t="e">
        <f t="shared" si="84"/>
        <v>#DIV/0!</v>
      </c>
      <c r="N539" s="11">
        <f t="shared" si="85"/>
        <v>0</v>
      </c>
      <c r="O539" s="11" t="e">
        <f t="shared" si="86"/>
        <v>#DIV/0!</v>
      </c>
      <c r="P539" s="12">
        <f t="shared" si="87"/>
        <v>0</v>
      </c>
      <c r="Q539" s="17" t="str">
        <f t="shared" si="89"/>
        <v>Pas d'écart</v>
      </c>
    </row>
    <row r="540" spans="1:17" x14ac:dyDescent="0.3">
      <c r="A540" s="34">
        <f>base!J540</f>
        <v>0</v>
      </c>
      <c r="B540" s="34" t="str">
        <f>base!V540</f>
        <v>77184</v>
      </c>
      <c r="C540" s="37">
        <v>77</v>
      </c>
      <c r="D540" s="36">
        <f>base!H540</f>
        <v>125</v>
      </c>
      <c r="E540" s="44"/>
      <c r="F540" s="16">
        <f>base!W540</f>
        <v>0</v>
      </c>
      <c r="G540" s="11">
        <f t="shared" si="80"/>
        <v>0</v>
      </c>
      <c r="H540" s="11">
        <f t="shared" si="81"/>
        <v>0</v>
      </c>
      <c r="I540" s="11">
        <f t="shared" si="82"/>
        <v>0</v>
      </c>
      <c r="J540" s="12">
        <f t="shared" si="83"/>
        <v>0</v>
      </c>
      <c r="K540" s="17" t="str">
        <f t="shared" si="88"/>
        <v>Pas d'écart</v>
      </c>
      <c r="L540" s="16">
        <f>base!X540</f>
        <v>0</v>
      </c>
      <c r="M540" s="11">
        <f t="shared" si="84"/>
        <v>0</v>
      </c>
      <c r="N540" s="11">
        <f t="shared" si="85"/>
        <v>0</v>
      </c>
      <c r="O540" s="11">
        <f t="shared" si="86"/>
        <v>0</v>
      </c>
      <c r="P540" s="12">
        <f t="shared" si="87"/>
        <v>0</v>
      </c>
      <c r="Q540" s="17" t="str">
        <f t="shared" si="89"/>
        <v>Pas d'écart</v>
      </c>
    </row>
    <row r="541" spans="1:17" x14ac:dyDescent="0.3">
      <c r="A541" s="34" t="str">
        <f>base!J541</f>
        <v>RM</v>
      </c>
      <c r="B541" s="34" t="str">
        <f>base!V541</f>
        <v>75018</v>
      </c>
      <c r="C541" s="37">
        <v>75</v>
      </c>
      <c r="D541" s="36">
        <f>base!H541</f>
        <v>150</v>
      </c>
      <c r="E541" s="44"/>
      <c r="F541" s="16">
        <f>base!W541</f>
        <v>0</v>
      </c>
      <c r="G541" s="11">
        <f t="shared" si="80"/>
        <v>0</v>
      </c>
      <c r="H541" s="11">
        <f t="shared" si="81"/>
        <v>0</v>
      </c>
      <c r="I541" s="11">
        <f t="shared" si="82"/>
        <v>0</v>
      </c>
      <c r="J541" s="12">
        <f t="shared" si="83"/>
        <v>0</v>
      </c>
      <c r="K541" s="17" t="str">
        <f t="shared" si="88"/>
        <v>Pas d'écart</v>
      </c>
      <c r="L541" s="16">
        <f>base!X541</f>
        <v>0</v>
      </c>
      <c r="M541" s="11">
        <f t="shared" si="84"/>
        <v>0</v>
      </c>
      <c r="N541" s="11">
        <f t="shared" si="85"/>
        <v>0</v>
      </c>
      <c r="O541" s="11">
        <f t="shared" si="86"/>
        <v>0</v>
      </c>
      <c r="P541" s="12">
        <f t="shared" si="87"/>
        <v>0</v>
      </c>
      <c r="Q541" s="17" t="str">
        <f t="shared" si="89"/>
        <v>Pas d'écart</v>
      </c>
    </row>
    <row r="542" spans="1:17" x14ac:dyDescent="0.3">
      <c r="A542" s="34" t="str">
        <f>base!J542</f>
        <v>LM</v>
      </c>
      <c r="B542" s="34" t="str">
        <f>base!V542</f>
        <v>75014</v>
      </c>
      <c r="C542" s="37">
        <v>75</v>
      </c>
      <c r="D542" s="36">
        <f>base!H542</f>
        <v>19.649999999999999</v>
      </c>
      <c r="E542" s="44"/>
      <c r="F542" s="16">
        <f>base!W542</f>
        <v>0</v>
      </c>
      <c r="G542" s="11">
        <f t="shared" si="80"/>
        <v>0</v>
      </c>
      <c r="H542" s="11">
        <f t="shared" si="81"/>
        <v>0</v>
      </c>
      <c r="I542" s="11">
        <f t="shared" si="82"/>
        <v>0</v>
      </c>
      <c r="J542" s="12">
        <f t="shared" si="83"/>
        <v>0</v>
      </c>
      <c r="K542" s="17" t="str">
        <f t="shared" si="88"/>
        <v>Pas d'écart</v>
      </c>
      <c r="L542" s="16">
        <f>base!X542</f>
        <v>0</v>
      </c>
      <c r="M542" s="11">
        <f t="shared" si="84"/>
        <v>0</v>
      </c>
      <c r="N542" s="11">
        <f t="shared" si="85"/>
        <v>0</v>
      </c>
      <c r="O542" s="11">
        <f t="shared" si="86"/>
        <v>0</v>
      </c>
      <c r="P542" s="12">
        <f t="shared" si="87"/>
        <v>0</v>
      </c>
      <c r="Q542" s="17" t="str">
        <f t="shared" si="89"/>
        <v>Pas d'écart</v>
      </c>
    </row>
    <row r="543" spans="1:17" x14ac:dyDescent="0.3">
      <c r="A543" s="34" t="str">
        <f>base!J543</f>
        <v>LM</v>
      </c>
      <c r="B543" s="34" t="str">
        <f>base!V543</f>
        <v>75014</v>
      </c>
      <c r="C543" s="37">
        <v>75</v>
      </c>
      <c r="D543" s="36">
        <f>base!H543</f>
        <v>19.649999999999999</v>
      </c>
      <c r="E543" s="44"/>
      <c r="F543" s="16">
        <f>base!W543</f>
        <v>0</v>
      </c>
      <c r="G543" s="11">
        <f t="shared" si="80"/>
        <v>0</v>
      </c>
      <c r="H543" s="11">
        <f t="shared" si="81"/>
        <v>0</v>
      </c>
      <c r="I543" s="11">
        <f t="shared" si="82"/>
        <v>0</v>
      </c>
      <c r="J543" s="12">
        <f t="shared" si="83"/>
        <v>0</v>
      </c>
      <c r="K543" s="17" t="str">
        <f t="shared" si="88"/>
        <v>Pas d'écart</v>
      </c>
      <c r="L543" s="16">
        <f>base!X543</f>
        <v>0</v>
      </c>
      <c r="M543" s="11">
        <f t="shared" si="84"/>
        <v>0</v>
      </c>
      <c r="N543" s="11">
        <f t="shared" si="85"/>
        <v>0</v>
      </c>
      <c r="O543" s="11">
        <f t="shared" si="86"/>
        <v>0</v>
      </c>
      <c r="P543" s="12">
        <f t="shared" si="87"/>
        <v>0</v>
      </c>
      <c r="Q543" s="17" t="str">
        <f t="shared" si="89"/>
        <v>Pas d'écart</v>
      </c>
    </row>
    <row r="544" spans="1:17" x14ac:dyDescent="0.3">
      <c r="A544" s="34" t="str">
        <f>base!J544</f>
        <v>LM</v>
      </c>
      <c r="B544" s="34" t="str">
        <f>base!V544</f>
        <v>75014</v>
      </c>
      <c r="C544" s="37">
        <v>75</v>
      </c>
      <c r="D544" s="36">
        <f>base!H544</f>
        <v>19.649999999999999</v>
      </c>
      <c r="E544" s="44"/>
      <c r="F544" s="16">
        <f>base!W544</f>
        <v>0</v>
      </c>
      <c r="G544" s="11">
        <f t="shared" si="80"/>
        <v>0</v>
      </c>
      <c r="H544" s="11">
        <f t="shared" si="81"/>
        <v>0</v>
      </c>
      <c r="I544" s="11">
        <f t="shared" si="82"/>
        <v>0</v>
      </c>
      <c r="J544" s="12">
        <f t="shared" si="83"/>
        <v>0</v>
      </c>
      <c r="K544" s="17" t="str">
        <f t="shared" si="88"/>
        <v>Pas d'écart</v>
      </c>
      <c r="L544" s="16">
        <f>base!X544</f>
        <v>0</v>
      </c>
      <c r="M544" s="11">
        <f t="shared" si="84"/>
        <v>0</v>
      </c>
      <c r="N544" s="11">
        <f t="shared" si="85"/>
        <v>0</v>
      </c>
      <c r="O544" s="11">
        <f t="shared" si="86"/>
        <v>0</v>
      </c>
      <c r="P544" s="12">
        <f t="shared" si="87"/>
        <v>0</v>
      </c>
      <c r="Q544" s="17" t="str">
        <f t="shared" si="89"/>
        <v>Pas d'écart</v>
      </c>
    </row>
    <row r="545" spans="1:18" x14ac:dyDescent="0.3">
      <c r="A545" s="34" t="str">
        <f>base!J545</f>
        <v>LS</v>
      </c>
      <c r="B545" s="34" t="str">
        <f>base!V545</f>
        <v>75014</v>
      </c>
      <c r="C545" s="37">
        <v>75</v>
      </c>
      <c r="D545" s="36">
        <f>base!H545</f>
        <v>19.649999999999999</v>
      </c>
      <c r="E545" s="44"/>
      <c r="F545" s="16">
        <f>base!W545</f>
        <v>0</v>
      </c>
      <c r="G545" s="11">
        <f t="shared" si="80"/>
        <v>0</v>
      </c>
      <c r="H545" s="11">
        <f t="shared" si="81"/>
        <v>0</v>
      </c>
      <c r="I545" s="11">
        <f t="shared" si="82"/>
        <v>0</v>
      </c>
      <c r="J545" s="12">
        <f t="shared" si="83"/>
        <v>0</v>
      </c>
      <c r="K545" s="17" t="str">
        <f t="shared" si="88"/>
        <v>Pas d'écart</v>
      </c>
      <c r="L545" s="16">
        <f>base!X545</f>
        <v>0</v>
      </c>
      <c r="M545" s="11">
        <f t="shared" si="84"/>
        <v>0</v>
      </c>
      <c r="N545" s="11">
        <f t="shared" si="85"/>
        <v>0</v>
      </c>
      <c r="O545" s="11">
        <f t="shared" si="86"/>
        <v>0</v>
      </c>
      <c r="P545" s="12">
        <f t="shared" si="87"/>
        <v>0</v>
      </c>
      <c r="Q545" s="17" t="str">
        <f t="shared" si="89"/>
        <v>Pas d'écart</v>
      </c>
    </row>
    <row r="546" spans="1:18" x14ac:dyDescent="0.3">
      <c r="A546" s="34" t="str">
        <f>base!J546</f>
        <v>RM</v>
      </c>
      <c r="B546" s="34" t="str">
        <f>base!V546</f>
        <v>62740</v>
      </c>
      <c r="C546" s="37">
        <v>62</v>
      </c>
      <c r="D546" s="36">
        <f>base!H546</f>
        <v>29.59</v>
      </c>
      <c r="E546" s="44"/>
      <c r="F546" s="16">
        <f>base!W546</f>
        <v>0</v>
      </c>
      <c r="G546" s="11">
        <f t="shared" si="80"/>
        <v>0</v>
      </c>
      <c r="H546" s="11">
        <f t="shared" si="81"/>
        <v>5.6220999999999997</v>
      </c>
      <c r="I546" s="11">
        <f t="shared" si="82"/>
        <v>0.19</v>
      </c>
      <c r="J546" s="12">
        <f t="shared" si="83"/>
        <v>-5.6220999999999997</v>
      </c>
      <c r="K546" s="17" t="str">
        <f t="shared" si="88"/>
        <v>Ecart négatif</v>
      </c>
      <c r="L546" s="16">
        <f>base!X546</f>
        <v>0</v>
      </c>
      <c r="M546" s="11">
        <f t="shared" si="84"/>
        <v>0</v>
      </c>
      <c r="N546" s="11">
        <f t="shared" si="85"/>
        <v>0</v>
      </c>
      <c r="O546" s="11">
        <f t="shared" si="86"/>
        <v>0</v>
      </c>
      <c r="P546" s="12">
        <f t="shared" si="87"/>
        <v>0</v>
      </c>
      <c r="Q546" s="17" t="str">
        <f t="shared" si="89"/>
        <v>Pas d'écart</v>
      </c>
    </row>
    <row r="547" spans="1:18" x14ac:dyDescent="0.3">
      <c r="A547" s="34">
        <f>base!J547</f>
        <v>0</v>
      </c>
      <c r="B547" s="34" t="str">
        <f>base!V547</f>
        <v>77184</v>
      </c>
      <c r="C547" s="37">
        <v>77</v>
      </c>
      <c r="D547" s="36">
        <f>base!H547</f>
        <v>144.68</v>
      </c>
      <c r="E547" s="44"/>
      <c r="F547" s="16">
        <f>base!W547</f>
        <v>0</v>
      </c>
      <c r="G547" s="11">
        <f t="shared" si="80"/>
        <v>0</v>
      </c>
      <c r="H547" s="11">
        <f t="shared" si="81"/>
        <v>0</v>
      </c>
      <c r="I547" s="11">
        <f t="shared" si="82"/>
        <v>0</v>
      </c>
      <c r="J547" s="12">
        <f t="shared" si="83"/>
        <v>0</v>
      </c>
      <c r="K547" s="17" t="str">
        <f t="shared" si="88"/>
        <v>Pas d'écart</v>
      </c>
      <c r="L547" s="16">
        <f>base!X547</f>
        <v>0</v>
      </c>
      <c r="M547" s="11">
        <f t="shared" si="84"/>
        <v>0</v>
      </c>
      <c r="N547" s="11">
        <f t="shared" si="85"/>
        <v>0</v>
      </c>
      <c r="O547" s="11">
        <f t="shared" si="86"/>
        <v>0</v>
      </c>
      <c r="P547" s="12">
        <f t="shared" si="87"/>
        <v>0</v>
      </c>
      <c r="Q547" s="17" t="str">
        <f t="shared" si="89"/>
        <v>Pas d'écart</v>
      </c>
    </row>
    <row r="548" spans="1:18" x14ac:dyDescent="0.3">
      <c r="A548" s="34" t="str">
        <f>base!J548</f>
        <v>LS</v>
      </c>
      <c r="B548" s="34" t="str">
        <f>base!V548</f>
        <v>85000</v>
      </c>
      <c r="C548" s="37">
        <v>14</v>
      </c>
      <c r="D548" s="36">
        <f>base!H548</f>
        <v>138.12</v>
      </c>
      <c r="E548" s="44"/>
      <c r="F548" s="16">
        <f>base!W548</f>
        <v>37.29</v>
      </c>
      <c r="G548" s="11">
        <f t="shared" si="80"/>
        <v>0.26998262380538662</v>
      </c>
      <c r="H548" s="11">
        <f t="shared" si="81"/>
        <v>23.480400000000003</v>
      </c>
      <c r="I548" s="11">
        <f t="shared" si="82"/>
        <v>0.17</v>
      </c>
      <c r="J548" s="12">
        <f t="shared" si="83"/>
        <v>13.809599999999996</v>
      </c>
      <c r="K548" s="17" t="str">
        <f t="shared" si="88"/>
        <v>Ecart positif</v>
      </c>
      <c r="L548" s="16">
        <f>base!X548</f>
        <v>0</v>
      </c>
      <c r="M548" s="11">
        <f t="shared" si="84"/>
        <v>0</v>
      </c>
      <c r="N548" s="11">
        <f t="shared" si="85"/>
        <v>23.480400000000003</v>
      </c>
      <c r="O548" s="11">
        <f t="shared" si="86"/>
        <v>0.17</v>
      </c>
      <c r="P548" s="12">
        <f t="shared" si="87"/>
        <v>-23.480400000000003</v>
      </c>
      <c r="Q548" s="17" t="str">
        <f t="shared" si="89"/>
        <v>Ecart négatif</v>
      </c>
    </row>
    <row r="549" spans="1:18" x14ac:dyDescent="0.3">
      <c r="A549" s="34" t="str">
        <f>base!J549</f>
        <v>LM</v>
      </c>
      <c r="B549" s="34" t="str">
        <f>base!V549</f>
        <v>51130</v>
      </c>
      <c r="C549" s="37">
        <v>61</v>
      </c>
      <c r="D549" s="36">
        <f>base!H549</f>
        <v>136.65</v>
      </c>
      <c r="E549" s="44"/>
      <c r="F549" s="16">
        <f>base!W549</f>
        <v>34.159999999999997</v>
      </c>
      <c r="G549" s="11">
        <f t="shared" si="80"/>
        <v>0.24998170508598605</v>
      </c>
      <c r="H549" s="11">
        <f t="shared" si="81"/>
        <v>23.230500000000003</v>
      </c>
      <c r="I549" s="11">
        <f t="shared" si="82"/>
        <v>0.17</v>
      </c>
      <c r="J549" s="12">
        <f t="shared" si="83"/>
        <v>10.929499999999994</v>
      </c>
      <c r="K549" s="17" t="str">
        <f t="shared" si="88"/>
        <v>Ecart positif</v>
      </c>
      <c r="L549" s="16">
        <f>base!X549</f>
        <v>0</v>
      </c>
      <c r="M549" s="11">
        <f t="shared" si="84"/>
        <v>0</v>
      </c>
      <c r="N549" s="11">
        <f t="shared" si="85"/>
        <v>23.230500000000003</v>
      </c>
      <c r="O549" s="11">
        <f t="shared" si="86"/>
        <v>0.17</v>
      </c>
      <c r="P549" s="12">
        <f t="shared" si="87"/>
        <v>-23.230500000000003</v>
      </c>
      <c r="Q549" s="17" t="str">
        <f t="shared" si="89"/>
        <v>Ecart négatif</v>
      </c>
    </row>
    <row r="550" spans="1:18" x14ac:dyDescent="0.3">
      <c r="A550" s="34" t="str">
        <f>base!J550</f>
        <v>RS</v>
      </c>
      <c r="B550" s="34" t="str">
        <f>base!V550</f>
        <v>50430</v>
      </c>
      <c r="C550" s="37">
        <v>50</v>
      </c>
      <c r="D550" s="36">
        <f>base!H550</f>
        <v>20</v>
      </c>
      <c r="E550" s="44"/>
      <c r="F550" s="16">
        <f>base!W550</f>
        <v>0</v>
      </c>
      <c r="G550" s="11">
        <f t="shared" si="80"/>
        <v>0</v>
      </c>
      <c r="H550" s="11">
        <f t="shared" si="81"/>
        <v>3.4000000000000004</v>
      </c>
      <c r="I550" s="11">
        <f t="shared" si="82"/>
        <v>0.17</v>
      </c>
      <c r="J550" s="12">
        <f t="shared" si="83"/>
        <v>-3.4000000000000004</v>
      </c>
      <c r="K550" s="17" t="str">
        <f t="shared" si="88"/>
        <v>Ecart négatif</v>
      </c>
      <c r="L550" s="16">
        <f>base!X550</f>
        <v>0</v>
      </c>
      <c r="M550" s="11">
        <f t="shared" si="84"/>
        <v>0</v>
      </c>
      <c r="N550" s="11">
        <f t="shared" si="85"/>
        <v>3.4000000000000004</v>
      </c>
      <c r="O550" s="11">
        <f t="shared" si="86"/>
        <v>0.17</v>
      </c>
      <c r="P550" s="12">
        <f t="shared" si="87"/>
        <v>-3.4000000000000004</v>
      </c>
      <c r="Q550" s="17" t="str">
        <f t="shared" si="89"/>
        <v>Ecart négatif</v>
      </c>
    </row>
    <row r="551" spans="1:18" x14ac:dyDescent="0.3">
      <c r="A551" s="34">
        <f>base!J551</f>
        <v>0</v>
      </c>
      <c r="B551" s="34" t="str">
        <f>base!V551</f>
        <v>77184</v>
      </c>
      <c r="C551" s="37">
        <v>77</v>
      </c>
      <c r="D551" s="36">
        <f>base!H551</f>
        <v>85.04</v>
      </c>
      <c r="E551" s="44"/>
      <c r="F551" s="16">
        <f>base!W551</f>
        <v>0</v>
      </c>
      <c r="G551" s="11">
        <f t="shared" si="80"/>
        <v>0</v>
      </c>
      <c r="H551" s="11">
        <f t="shared" si="81"/>
        <v>0</v>
      </c>
      <c r="I551" s="11">
        <f t="shared" si="82"/>
        <v>0</v>
      </c>
      <c r="J551" s="12">
        <f t="shared" si="83"/>
        <v>0</v>
      </c>
      <c r="K551" s="17" t="str">
        <f t="shared" si="88"/>
        <v>Pas d'écart</v>
      </c>
      <c r="L551" s="16">
        <f>base!X551</f>
        <v>0</v>
      </c>
      <c r="M551" s="11">
        <f t="shared" si="84"/>
        <v>0</v>
      </c>
      <c r="N551" s="11">
        <f t="shared" si="85"/>
        <v>0</v>
      </c>
      <c r="O551" s="11">
        <f t="shared" si="86"/>
        <v>0</v>
      </c>
      <c r="P551" s="12">
        <f t="shared" si="87"/>
        <v>0</v>
      </c>
      <c r="Q551" s="17" t="str">
        <f t="shared" si="89"/>
        <v>Pas d'écart</v>
      </c>
    </row>
    <row r="552" spans="1:18" x14ac:dyDescent="0.3">
      <c r="A552" s="34" t="str">
        <f>base!J552</f>
        <v>LS</v>
      </c>
      <c r="B552" s="34" t="str">
        <f>base!V552</f>
        <v>49700</v>
      </c>
      <c r="C552" s="37">
        <v>49</v>
      </c>
      <c r="D552" s="36">
        <f>base!H552</f>
        <v>180</v>
      </c>
      <c r="E552" s="44"/>
      <c r="F552" s="16">
        <f>base!W552</f>
        <v>48.6</v>
      </c>
      <c r="G552" s="11">
        <f t="shared" si="80"/>
        <v>0.27</v>
      </c>
      <c r="H552" s="11">
        <f t="shared" si="81"/>
        <v>48.6</v>
      </c>
      <c r="I552" s="11">
        <f t="shared" si="82"/>
        <v>0.27</v>
      </c>
      <c r="J552" s="12">
        <f t="shared" si="83"/>
        <v>0</v>
      </c>
      <c r="K552" s="17" t="str">
        <f t="shared" si="88"/>
        <v>Pas d'écart</v>
      </c>
      <c r="L552" s="16">
        <f>base!X552</f>
        <v>0</v>
      </c>
      <c r="M552" s="11">
        <f t="shared" si="84"/>
        <v>0</v>
      </c>
      <c r="N552" s="11">
        <f t="shared" si="85"/>
        <v>0</v>
      </c>
      <c r="O552" s="11">
        <f t="shared" si="86"/>
        <v>0</v>
      </c>
      <c r="P552" s="12">
        <f t="shared" si="87"/>
        <v>0</v>
      </c>
      <c r="Q552" s="17" t="str">
        <f t="shared" si="89"/>
        <v>Pas d'écart</v>
      </c>
    </row>
    <row r="553" spans="1:18" x14ac:dyDescent="0.3">
      <c r="A553" s="34" t="str">
        <f>base!J553</f>
        <v>LM</v>
      </c>
      <c r="B553" s="34" t="str">
        <f>base!V553</f>
        <v>06284</v>
      </c>
      <c r="C553" s="37">
        <v>8</v>
      </c>
      <c r="D553" s="36">
        <f>base!H553</f>
        <v>142.01</v>
      </c>
      <c r="E553" s="44"/>
      <c r="F553" s="16">
        <f>base!W553</f>
        <v>42.6</v>
      </c>
      <c r="G553" s="11">
        <f t="shared" si="80"/>
        <v>0.29997887472713192</v>
      </c>
      <c r="H553" s="11">
        <f t="shared" si="81"/>
        <v>25.561799999999998</v>
      </c>
      <c r="I553" s="11">
        <f t="shared" si="82"/>
        <v>0.18</v>
      </c>
      <c r="J553" s="12">
        <f t="shared" si="83"/>
        <v>17.038200000000003</v>
      </c>
      <c r="K553" s="17" t="str">
        <f t="shared" si="88"/>
        <v>Ecart positif</v>
      </c>
      <c r="L553" s="16">
        <f>base!X553</f>
        <v>0</v>
      </c>
      <c r="M553" s="11">
        <f t="shared" si="84"/>
        <v>0</v>
      </c>
      <c r="N553" s="11">
        <f t="shared" si="85"/>
        <v>0</v>
      </c>
      <c r="O553" s="11">
        <f t="shared" si="86"/>
        <v>0</v>
      </c>
      <c r="P553" s="12">
        <f t="shared" si="87"/>
        <v>0</v>
      </c>
      <c r="Q553" s="17" t="str">
        <f t="shared" si="89"/>
        <v>Pas d'écart</v>
      </c>
    </row>
    <row r="554" spans="1:18" x14ac:dyDescent="0.3">
      <c r="A554" s="34" t="str">
        <f>base!J554</f>
        <v>DLS</v>
      </c>
      <c r="B554" s="34" t="str">
        <f>base!V554</f>
        <v>51100</v>
      </c>
      <c r="C554" s="37">
        <v>51</v>
      </c>
      <c r="D554" s="36">
        <f>base!H554</f>
        <v>108.32</v>
      </c>
      <c r="E554" s="44"/>
      <c r="F554" s="16">
        <f>base!W554</f>
        <v>0</v>
      </c>
      <c r="G554" s="11">
        <f t="shared" si="80"/>
        <v>0</v>
      </c>
      <c r="H554" s="11">
        <f t="shared" si="81"/>
        <v>27.08</v>
      </c>
      <c r="I554" s="11">
        <f t="shared" si="82"/>
        <v>0.25</v>
      </c>
      <c r="J554" s="12">
        <f t="shared" si="83"/>
        <v>-27.08</v>
      </c>
      <c r="K554" s="17" t="str">
        <f t="shared" si="88"/>
        <v>Ecart négatif</v>
      </c>
      <c r="L554" s="16">
        <f>base!X554</f>
        <v>0</v>
      </c>
      <c r="M554" s="11">
        <f t="shared" si="84"/>
        <v>0</v>
      </c>
      <c r="N554" s="11">
        <f t="shared" si="85"/>
        <v>27.08</v>
      </c>
      <c r="O554" s="11">
        <f t="shared" si="86"/>
        <v>0.25</v>
      </c>
      <c r="P554" s="12">
        <f t="shared" si="87"/>
        <v>-27.08</v>
      </c>
      <c r="Q554" s="17" t="str">
        <f t="shared" si="89"/>
        <v>Ecart négatif</v>
      </c>
    </row>
    <row r="555" spans="1:18" x14ac:dyDescent="0.3">
      <c r="A555" s="34" t="str">
        <f>base!J555</f>
        <v>LM</v>
      </c>
      <c r="B555" s="34" t="str">
        <f>base!V555</f>
        <v>06560</v>
      </c>
      <c r="C555" s="37">
        <v>59</v>
      </c>
      <c r="D555" s="36">
        <f>base!H555</f>
        <v>19.89</v>
      </c>
      <c r="E555" s="44"/>
      <c r="F555" s="16">
        <f>base!W555</f>
        <v>5.97</v>
      </c>
      <c r="G555" s="11">
        <f t="shared" si="80"/>
        <v>0.30015082956259426</v>
      </c>
      <c r="H555" s="11">
        <f t="shared" si="81"/>
        <v>3.7791000000000001</v>
      </c>
      <c r="I555" s="11">
        <f t="shared" si="82"/>
        <v>0.19</v>
      </c>
      <c r="J555" s="12">
        <f t="shared" si="83"/>
        <v>2.1908999999999996</v>
      </c>
      <c r="K555" s="17" t="str">
        <f t="shared" si="88"/>
        <v>Ecart positif</v>
      </c>
      <c r="L555" s="16">
        <f>base!X555</f>
        <v>0</v>
      </c>
      <c r="M555" s="11">
        <f t="shared" si="84"/>
        <v>0</v>
      </c>
      <c r="N555" s="11">
        <f t="shared" si="85"/>
        <v>0</v>
      </c>
      <c r="O555" s="11">
        <f t="shared" si="86"/>
        <v>0</v>
      </c>
      <c r="P555" s="12">
        <f t="shared" si="87"/>
        <v>0</v>
      </c>
      <c r="Q555" s="17" t="str">
        <f t="shared" si="89"/>
        <v>Pas d'écart</v>
      </c>
    </row>
    <row r="556" spans="1:18" x14ac:dyDescent="0.3">
      <c r="A556" s="34" t="str">
        <f>base!J556</f>
        <v>LS</v>
      </c>
      <c r="B556" s="34" t="str">
        <f>base!V556</f>
        <v>92200</v>
      </c>
      <c r="C556" s="37">
        <v>92</v>
      </c>
      <c r="D556" s="36">
        <f>base!H556</f>
        <v>8.07</v>
      </c>
      <c r="E556" s="44"/>
      <c r="F556" s="16">
        <f>base!W556</f>
        <v>0</v>
      </c>
      <c r="G556" s="11">
        <f t="shared" si="80"/>
        <v>0</v>
      </c>
      <c r="H556" s="11">
        <f t="shared" si="81"/>
        <v>0</v>
      </c>
      <c r="I556" s="11">
        <f t="shared" si="82"/>
        <v>0</v>
      </c>
      <c r="J556" s="12">
        <f t="shared" si="83"/>
        <v>0</v>
      </c>
      <c r="K556" s="17" t="str">
        <f t="shared" si="88"/>
        <v>Pas d'écart</v>
      </c>
      <c r="L556" s="16">
        <f>base!X556</f>
        <v>0</v>
      </c>
      <c r="M556" s="11">
        <f t="shared" si="84"/>
        <v>0</v>
      </c>
      <c r="N556" s="11">
        <f t="shared" si="85"/>
        <v>0</v>
      </c>
      <c r="O556" s="11">
        <f t="shared" si="86"/>
        <v>0</v>
      </c>
      <c r="P556" s="12">
        <f t="shared" si="87"/>
        <v>0</v>
      </c>
      <c r="Q556" s="17" t="str">
        <f t="shared" si="89"/>
        <v>Pas d'écart</v>
      </c>
    </row>
    <row r="557" spans="1:18" x14ac:dyDescent="0.3">
      <c r="A557" s="34" t="str">
        <f>base!J557</f>
        <v>LS</v>
      </c>
      <c r="B557" s="34" t="str">
        <f>base!V557</f>
        <v>51210</v>
      </c>
      <c r="C557" s="37">
        <v>14</v>
      </c>
      <c r="D557" s="36">
        <f>base!H557</f>
        <v>55.14</v>
      </c>
      <c r="E557" s="44"/>
      <c r="F557" s="16">
        <f>base!W557</f>
        <v>13.79</v>
      </c>
      <c r="G557" s="11">
        <f t="shared" si="80"/>
        <v>0.25009067827348563</v>
      </c>
      <c r="H557" s="11">
        <f t="shared" si="81"/>
        <v>9.373800000000001</v>
      </c>
      <c r="I557" s="11">
        <f t="shared" si="82"/>
        <v>0.17</v>
      </c>
      <c r="J557" s="12">
        <f t="shared" si="83"/>
        <v>4.4161999999999981</v>
      </c>
      <c r="K557" s="17" t="str">
        <f t="shared" si="88"/>
        <v>Ecart positif</v>
      </c>
      <c r="L557" s="16">
        <f>base!X557</f>
        <v>0</v>
      </c>
      <c r="M557" s="11">
        <f t="shared" si="84"/>
        <v>0</v>
      </c>
      <c r="N557" s="11">
        <f t="shared" si="85"/>
        <v>9.373800000000001</v>
      </c>
      <c r="O557" s="11">
        <f t="shared" si="86"/>
        <v>0.17</v>
      </c>
      <c r="P557" s="12">
        <f t="shared" si="87"/>
        <v>-9.373800000000001</v>
      </c>
      <c r="Q557" s="17" t="str">
        <f t="shared" si="89"/>
        <v>Ecart négatif</v>
      </c>
    </row>
    <row r="558" spans="1:18" x14ac:dyDescent="0.3">
      <c r="A558" s="34" t="str">
        <f>base!J558</f>
        <v>LM</v>
      </c>
      <c r="B558" s="34" t="str">
        <f>base!V558</f>
        <v>49130</v>
      </c>
      <c r="C558" s="37">
        <v>62</v>
      </c>
      <c r="D558" s="36">
        <f>base!H558</f>
        <v>33.35</v>
      </c>
      <c r="E558" s="44"/>
      <c r="F558" s="16">
        <f>base!W558</f>
        <v>9</v>
      </c>
      <c r="G558" s="11">
        <f t="shared" si="80"/>
        <v>0.26986506746626687</v>
      </c>
      <c r="H558" s="11">
        <f t="shared" si="81"/>
        <v>6.3365</v>
      </c>
      <c r="I558" s="11">
        <f t="shared" si="82"/>
        <v>0.19</v>
      </c>
      <c r="J558" s="12">
        <f t="shared" si="83"/>
        <v>2.6635</v>
      </c>
      <c r="K558" s="17" t="str">
        <f t="shared" si="88"/>
        <v>Ecart positif</v>
      </c>
      <c r="L558" s="16">
        <f>base!X558</f>
        <v>0</v>
      </c>
      <c r="M558" s="11">
        <f t="shared" si="84"/>
        <v>0</v>
      </c>
      <c r="N558" s="11">
        <f t="shared" si="85"/>
        <v>0</v>
      </c>
      <c r="O558" s="11">
        <f t="shared" si="86"/>
        <v>0</v>
      </c>
      <c r="P558" s="12">
        <f t="shared" si="87"/>
        <v>0</v>
      </c>
      <c r="Q558" s="17" t="str">
        <f t="shared" si="89"/>
        <v>Pas d'écart</v>
      </c>
    </row>
    <row r="559" spans="1:18" x14ac:dyDescent="0.3">
      <c r="A559" s="34" t="str">
        <f>base!J559</f>
        <v>RM</v>
      </c>
      <c r="B559" s="34" t="str">
        <f>base!V559</f>
        <v>68520</v>
      </c>
      <c r="C559" s="37">
        <v>68</v>
      </c>
      <c r="D559" s="36">
        <f>base!H559</f>
        <v>40</v>
      </c>
      <c r="E559" s="44"/>
      <c r="F559" s="16">
        <f>base!W559</f>
        <v>0</v>
      </c>
      <c r="G559" s="11">
        <f t="shared" si="80"/>
        <v>0</v>
      </c>
      <c r="H559" s="11">
        <f t="shared" si="81"/>
        <v>11.6</v>
      </c>
      <c r="I559" s="11">
        <f t="shared" si="82"/>
        <v>0.28999999999999998</v>
      </c>
      <c r="J559" s="12">
        <f t="shared" si="83"/>
        <v>-11.6</v>
      </c>
      <c r="K559" s="17" t="str">
        <f t="shared" si="88"/>
        <v>Ecart négatif</v>
      </c>
      <c r="L559" s="16">
        <f>base!X559</f>
        <v>3.2</v>
      </c>
      <c r="M559" s="11">
        <f t="shared" si="84"/>
        <v>0.08</v>
      </c>
      <c r="N559" s="11">
        <f t="shared" si="85"/>
        <v>3.2</v>
      </c>
      <c r="O559" s="11">
        <f t="shared" si="86"/>
        <v>0.08</v>
      </c>
      <c r="P559" s="12">
        <f t="shared" si="87"/>
        <v>0</v>
      </c>
      <c r="Q559" s="17" t="str">
        <f t="shared" si="89"/>
        <v>Pas d'écart</v>
      </c>
      <c r="R559" s="38"/>
    </row>
    <row r="560" spans="1:18" x14ac:dyDescent="0.3">
      <c r="A560" s="34" t="str">
        <f>base!J560</f>
        <v>LS</v>
      </c>
      <c r="B560" s="34" t="str">
        <f>base!V560</f>
        <v>34500</v>
      </c>
      <c r="C560" s="37">
        <v>14</v>
      </c>
      <c r="D560" s="36">
        <f>base!H560</f>
        <v>210.49</v>
      </c>
      <c r="E560" s="44"/>
      <c r="F560" s="16">
        <f>base!W560</f>
        <v>82.09</v>
      </c>
      <c r="G560" s="11">
        <f t="shared" si="80"/>
        <v>0.389994774098532</v>
      </c>
      <c r="H560" s="11">
        <f t="shared" si="81"/>
        <v>35.783300000000004</v>
      </c>
      <c r="I560" s="11">
        <f t="shared" si="82"/>
        <v>0.17</v>
      </c>
      <c r="J560" s="12">
        <f t="shared" si="83"/>
        <v>46.306699999999999</v>
      </c>
      <c r="K560" s="17" t="str">
        <f t="shared" si="88"/>
        <v>Ecart positif</v>
      </c>
      <c r="L560" s="16">
        <f>base!X560</f>
        <v>0</v>
      </c>
      <c r="M560" s="11">
        <f t="shared" si="84"/>
        <v>0</v>
      </c>
      <c r="N560" s="11">
        <f t="shared" si="85"/>
        <v>35.783300000000004</v>
      </c>
      <c r="O560" s="11">
        <f t="shared" si="86"/>
        <v>0.17</v>
      </c>
      <c r="P560" s="12">
        <f t="shared" si="87"/>
        <v>-35.783300000000004</v>
      </c>
      <c r="Q560" s="17" t="str">
        <f t="shared" si="89"/>
        <v>Ecart négatif</v>
      </c>
    </row>
    <row r="561" spans="1:18" x14ac:dyDescent="0.3">
      <c r="A561" s="34" t="str">
        <f>base!J561</f>
        <v>LS</v>
      </c>
      <c r="B561" s="34" t="str">
        <f>base!V561</f>
        <v>64140</v>
      </c>
      <c r="C561" s="37">
        <v>64</v>
      </c>
      <c r="D561" s="36">
        <f>base!H561</f>
        <v>100</v>
      </c>
      <c r="E561" s="44"/>
      <c r="F561" s="16">
        <f>base!W561</f>
        <v>21</v>
      </c>
      <c r="G561" s="11">
        <f t="shared" si="80"/>
        <v>0.21</v>
      </c>
      <c r="H561" s="11">
        <f t="shared" si="81"/>
        <v>21</v>
      </c>
      <c r="I561" s="11">
        <f t="shared" si="82"/>
        <v>0.21</v>
      </c>
      <c r="J561" s="12">
        <f t="shared" si="83"/>
        <v>0</v>
      </c>
      <c r="K561" s="17" t="str">
        <f t="shared" si="88"/>
        <v>Pas d'écart</v>
      </c>
      <c r="L561" s="16">
        <f>base!X561</f>
        <v>0</v>
      </c>
      <c r="M561" s="11">
        <f t="shared" si="84"/>
        <v>0</v>
      </c>
      <c r="N561" s="11">
        <f t="shared" si="85"/>
        <v>17</v>
      </c>
      <c r="O561" s="11">
        <f t="shared" si="86"/>
        <v>0.17</v>
      </c>
      <c r="P561" s="12">
        <f t="shared" si="87"/>
        <v>-17</v>
      </c>
      <c r="Q561" s="17" t="str">
        <f t="shared" si="89"/>
        <v>Ecart négatif</v>
      </c>
    </row>
    <row r="562" spans="1:18" x14ac:dyDescent="0.3">
      <c r="A562" s="34" t="str">
        <f>base!J562</f>
        <v>LS</v>
      </c>
      <c r="B562" s="34" t="str">
        <f>base!V562</f>
        <v>75010</v>
      </c>
      <c r="C562" s="37">
        <v>75</v>
      </c>
      <c r="D562" s="36">
        <f>base!H562</f>
        <v>55.14</v>
      </c>
      <c r="E562" s="44"/>
      <c r="F562" s="16">
        <f>base!W562</f>
        <v>0</v>
      </c>
      <c r="G562" s="11">
        <f t="shared" si="80"/>
        <v>0</v>
      </c>
      <c r="H562" s="11">
        <f t="shared" si="81"/>
        <v>0</v>
      </c>
      <c r="I562" s="11">
        <f t="shared" si="82"/>
        <v>0</v>
      </c>
      <c r="J562" s="12">
        <f t="shared" si="83"/>
        <v>0</v>
      </c>
      <c r="K562" s="17" t="str">
        <f t="shared" si="88"/>
        <v>Pas d'écart</v>
      </c>
      <c r="L562" s="16">
        <f>base!X562</f>
        <v>0</v>
      </c>
      <c r="M562" s="11">
        <f t="shared" si="84"/>
        <v>0</v>
      </c>
      <c r="N562" s="11">
        <f t="shared" si="85"/>
        <v>0</v>
      </c>
      <c r="O562" s="11">
        <f t="shared" si="86"/>
        <v>0</v>
      </c>
      <c r="P562" s="12">
        <f t="shared" si="87"/>
        <v>0</v>
      </c>
      <c r="Q562" s="17" t="str">
        <f t="shared" si="89"/>
        <v>Pas d'écart</v>
      </c>
    </row>
    <row r="563" spans="1:18" x14ac:dyDescent="0.3">
      <c r="A563" s="34" t="str">
        <f>base!J563</f>
        <v>LS</v>
      </c>
      <c r="B563" s="34" t="str">
        <f>base!V563</f>
        <v>91100</v>
      </c>
      <c r="C563" s="37">
        <v>91</v>
      </c>
      <c r="D563" s="36">
        <f>base!H563</f>
        <v>130.19999999999999</v>
      </c>
      <c r="E563" s="44"/>
      <c r="F563" s="16">
        <f>base!W563</f>
        <v>0</v>
      </c>
      <c r="G563" s="11">
        <f t="shared" si="80"/>
        <v>0</v>
      </c>
      <c r="H563" s="11">
        <f t="shared" si="81"/>
        <v>0</v>
      </c>
      <c r="I563" s="11">
        <f t="shared" si="82"/>
        <v>0</v>
      </c>
      <c r="J563" s="12">
        <f t="shared" si="83"/>
        <v>0</v>
      </c>
      <c r="K563" s="17" t="str">
        <f t="shared" si="88"/>
        <v>Pas d'écart</v>
      </c>
      <c r="L563" s="16">
        <f>base!X563</f>
        <v>0</v>
      </c>
      <c r="M563" s="11">
        <f t="shared" si="84"/>
        <v>0</v>
      </c>
      <c r="N563" s="11">
        <f t="shared" si="85"/>
        <v>0</v>
      </c>
      <c r="O563" s="11">
        <f t="shared" si="86"/>
        <v>0</v>
      </c>
      <c r="P563" s="12">
        <f t="shared" si="87"/>
        <v>0</v>
      </c>
      <c r="Q563" s="17" t="str">
        <f t="shared" si="89"/>
        <v>Pas d'écart</v>
      </c>
    </row>
    <row r="564" spans="1:18" x14ac:dyDescent="0.3">
      <c r="A564" s="34" t="str">
        <f>base!J564</f>
        <v>RM</v>
      </c>
      <c r="B564" s="34" t="str">
        <f>base!V564</f>
        <v>69002</v>
      </c>
      <c r="C564" s="37">
        <v>69</v>
      </c>
      <c r="D564" s="36">
        <f>base!H564</f>
        <v>225</v>
      </c>
      <c r="E564" s="44"/>
      <c r="F564" s="16">
        <f>base!W564</f>
        <v>0</v>
      </c>
      <c r="G564" s="11">
        <f t="shared" si="80"/>
        <v>0</v>
      </c>
      <c r="H564" s="11">
        <f t="shared" si="81"/>
        <v>60.750000000000007</v>
      </c>
      <c r="I564" s="11">
        <f t="shared" si="82"/>
        <v>0.27</v>
      </c>
      <c r="J564" s="12">
        <f t="shared" si="83"/>
        <v>-60.750000000000007</v>
      </c>
      <c r="K564" s="17" t="str">
        <f t="shared" si="88"/>
        <v>Ecart négatif</v>
      </c>
      <c r="L564" s="16">
        <f>base!X564</f>
        <v>60.75</v>
      </c>
      <c r="M564" s="11">
        <f t="shared" si="84"/>
        <v>0.27</v>
      </c>
      <c r="N564" s="11">
        <f t="shared" si="85"/>
        <v>0</v>
      </c>
      <c r="O564" s="11">
        <f t="shared" si="86"/>
        <v>0</v>
      </c>
      <c r="P564" s="12">
        <f t="shared" si="87"/>
        <v>60.75</v>
      </c>
      <c r="Q564" s="17" t="str">
        <f t="shared" si="89"/>
        <v>Ecart positif</v>
      </c>
      <c r="R564" s="38"/>
    </row>
    <row r="565" spans="1:18" x14ac:dyDescent="0.3">
      <c r="A565" s="34" t="str">
        <f>base!J565</f>
        <v>DLS</v>
      </c>
      <c r="B565" s="34" t="str">
        <f>base!V565</f>
        <v>77184</v>
      </c>
      <c r="C565" s="37">
        <v>77</v>
      </c>
      <c r="D565" s="36">
        <f>base!H565</f>
        <v>120</v>
      </c>
      <c r="E565" s="44"/>
      <c r="F565" s="16">
        <f>base!W565</f>
        <v>32.4</v>
      </c>
      <c r="G565" s="11">
        <f t="shared" si="80"/>
        <v>0.26999999999999996</v>
      </c>
      <c r="H565" s="11">
        <f t="shared" si="81"/>
        <v>0</v>
      </c>
      <c r="I565" s="11">
        <f t="shared" si="82"/>
        <v>0</v>
      </c>
      <c r="J565" s="12">
        <f t="shared" si="83"/>
        <v>32.4</v>
      </c>
      <c r="K565" s="17" t="str">
        <f t="shared" si="88"/>
        <v>Ecart positif</v>
      </c>
      <c r="L565" s="16">
        <f>base!X565</f>
        <v>0</v>
      </c>
      <c r="M565" s="11">
        <f t="shared" si="84"/>
        <v>0</v>
      </c>
      <c r="N565" s="11">
        <f t="shared" si="85"/>
        <v>0</v>
      </c>
      <c r="O565" s="11">
        <f t="shared" si="86"/>
        <v>0</v>
      </c>
      <c r="P565" s="12">
        <f t="shared" si="87"/>
        <v>0</v>
      </c>
      <c r="Q565" s="17" t="str">
        <f t="shared" si="89"/>
        <v>Pas d'écart</v>
      </c>
    </row>
    <row r="566" spans="1:18" x14ac:dyDescent="0.3">
      <c r="A566" s="34">
        <f>base!J566</f>
        <v>0</v>
      </c>
      <c r="B566" s="34" t="str">
        <f>base!V566</f>
        <v>44240</v>
      </c>
      <c r="C566" s="37">
        <v>44</v>
      </c>
      <c r="D566" s="36">
        <f>base!H566</f>
        <v>31</v>
      </c>
      <c r="E566" s="44"/>
      <c r="F566" s="16">
        <f>base!W566</f>
        <v>0</v>
      </c>
      <c r="G566" s="11">
        <f t="shared" si="80"/>
        <v>0</v>
      </c>
      <c r="H566" s="11">
        <f t="shared" si="81"/>
        <v>8.370000000000001</v>
      </c>
      <c r="I566" s="11">
        <f t="shared" si="82"/>
        <v>0.27</v>
      </c>
      <c r="J566" s="12">
        <f t="shared" si="83"/>
        <v>-8.370000000000001</v>
      </c>
      <c r="K566" s="17" t="str">
        <f t="shared" si="88"/>
        <v>Ecart négatif</v>
      </c>
      <c r="L566" s="16">
        <f>base!X566</f>
        <v>0</v>
      </c>
      <c r="M566" s="11">
        <f t="shared" si="84"/>
        <v>0</v>
      </c>
      <c r="N566" s="11">
        <f t="shared" si="85"/>
        <v>0</v>
      </c>
      <c r="O566" s="11">
        <f t="shared" si="86"/>
        <v>0</v>
      </c>
      <c r="P566" s="12">
        <f t="shared" si="87"/>
        <v>0</v>
      </c>
      <c r="Q566" s="17" t="str">
        <f t="shared" si="89"/>
        <v>Pas d'écart</v>
      </c>
    </row>
    <row r="567" spans="1:18" x14ac:dyDescent="0.3">
      <c r="A567" s="34">
        <f>base!J567</f>
        <v>0</v>
      </c>
      <c r="B567" s="34" t="str">
        <f>base!V567</f>
        <v>44240</v>
      </c>
      <c r="C567" s="37">
        <v>44</v>
      </c>
      <c r="D567" s="36">
        <f>base!H567</f>
        <v>133.06</v>
      </c>
      <c r="E567" s="44"/>
      <c r="F567" s="16">
        <f>base!W567</f>
        <v>0</v>
      </c>
      <c r="G567" s="11">
        <f t="shared" si="80"/>
        <v>0</v>
      </c>
      <c r="H567" s="11">
        <f t="shared" si="81"/>
        <v>35.926200000000001</v>
      </c>
      <c r="I567" s="11">
        <f t="shared" si="82"/>
        <v>0.27</v>
      </c>
      <c r="J567" s="12">
        <f t="shared" si="83"/>
        <v>-35.926200000000001</v>
      </c>
      <c r="K567" s="17" t="str">
        <f t="shared" si="88"/>
        <v>Ecart négatif</v>
      </c>
      <c r="L567" s="16">
        <f>base!X567</f>
        <v>0</v>
      </c>
      <c r="M567" s="11">
        <f t="shared" si="84"/>
        <v>0</v>
      </c>
      <c r="N567" s="11">
        <f t="shared" si="85"/>
        <v>0</v>
      </c>
      <c r="O567" s="11">
        <f t="shared" si="86"/>
        <v>0</v>
      </c>
      <c r="P567" s="12">
        <f t="shared" si="87"/>
        <v>0</v>
      </c>
      <c r="Q567" s="17" t="str">
        <f t="shared" si="89"/>
        <v>Pas d'écart</v>
      </c>
    </row>
    <row r="568" spans="1:18" x14ac:dyDescent="0.3">
      <c r="A568" s="34" t="str">
        <f>base!J568</f>
        <v>LM</v>
      </c>
      <c r="B568" s="34" t="str">
        <f>base!V568</f>
        <v>75015</v>
      </c>
      <c r="C568" s="37">
        <v>75</v>
      </c>
      <c r="D568" s="36">
        <f>base!H568</f>
        <v>214.6</v>
      </c>
      <c r="E568" s="44"/>
      <c r="F568" s="16">
        <f>base!W568</f>
        <v>0</v>
      </c>
      <c r="G568" s="11">
        <f t="shared" si="80"/>
        <v>0</v>
      </c>
      <c r="H568" s="11">
        <f t="shared" si="81"/>
        <v>0</v>
      </c>
      <c r="I568" s="11">
        <f t="shared" si="82"/>
        <v>0</v>
      </c>
      <c r="J568" s="12">
        <f t="shared" si="83"/>
        <v>0</v>
      </c>
      <c r="K568" s="17" t="str">
        <f t="shared" si="88"/>
        <v>Pas d'écart</v>
      </c>
      <c r="L568" s="16">
        <f>base!X568</f>
        <v>0</v>
      </c>
      <c r="M568" s="11">
        <f t="shared" si="84"/>
        <v>0</v>
      </c>
      <c r="N568" s="11">
        <f t="shared" si="85"/>
        <v>0</v>
      </c>
      <c r="O568" s="11">
        <f t="shared" si="86"/>
        <v>0</v>
      </c>
      <c r="P568" s="12">
        <f t="shared" si="87"/>
        <v>0</v>
      </c>
      <c r="Q568" s="17" t="str">
        <f t="shared" si="89"/>
        <v>Pas d'écart</v>
      </c>
    </row>
    <row r="569" spans="1:18" x14ac:dyDescent="0.3">
      <c r="A569" s="34">
        <f>base!J569</f>
        <v>0</v>
      </c>
      <c r="B569" s="34" t="str">
        <f>base!V569</f>
        <v>77184</v>
      </c>
      <c r="C569" s="37">
        <v>77</v>
      </c>
      <c r="D569" s="36">
        <f>base!H569</f>
        <v>171</v>
      </c>
      <c r="E569" s="44"/>
      <c r="F569" s="16">
        <f>base!W569</f>
        <v>0</v>
      </c>
      <c r="G569" s="11">
        <f t="shared" si="80"/>
        <v>0</v>
      </c>
      <c r="H569" s="11">
        <f t="shared" si="81"/>
        <v>0</v>
      </c>
      <c r="I569" s="11">
        <f t="shared" si="82"/>
        <v>0</v>
      </c>
      <c r="J569" s="12">
        <f t="shared" si="83"/>
        <v>0</v>
      </c>
      <c r="K569" s="17" t="str">
        <f t="shared" si="88"/>
        <v>Pas d'écart</v>
      </c>
      <c r="L569" s="16">
        <f>base!X569</f>
        <v>0</v>
      </c>
      <c r="M569" s="11">
        <f t="shared" si="84"/>
        <v>0</v>
      </c>
      <c r="N569" s="11">
        <f t="shared" si="85"/>
        <v>0</v>
      </c>
      <c r="O569" s="11">
        <f t="shared" si="86"/>
        <v>0</v>
      </c>
      <c r="P569" s="12">
        <f t="shared" si="87"/>
        <v>0</v>
      </c>
      <c r="Q569" s="17" t="str">
        <f t="shared" si="89"/>
        <v>Pas d'écart</v>
      </c>
    </row>
    <row r="570" spans="1:18" x14ac:dyDescent="0.3">
      <c r="A570" s="34" t="str">
        <f>base!J570</f>
        <v>LM</v>
      </c>
      <c r="B570" s="34" t="str">
        <f>base!V570</f>
        <v>38590</v>
      </c>
      <c r="C570" s="37">
        <v>14</v>
      </c>
      <c r="D570" s="36">
        <f>base!H570</f>
        <v>25.8</v>
      </c>
      <c r="E570" s="44"/>
      <c r="F570" s="16">
        <f>base!W570</f>
        <v>6.97</v>
      </c>
      <c r="G570" s="11">
        <f t="shared" si="80"/>
        <v>0.27015503875968988</v>
      </c>
      <c r="H570" s="11">
        <f t="shared" si="81"/>
        <v>4.3860000000000001</v>
      </c>
      <c r="I570" s="11">
        <f t="shared" si="82"/>
        <v>0.17</v>
      </c>
      <c r="J570" s="12">
        <f t="shared" si="83"/>
        <v>2.5839999999999996</v>
      </c>
      <c r="K570" s="17" t="str">
        <f t="shared" si="88"/>
        <v>Ecart positif</v>
      </c>
      <c r="L570" s="16">
        <f>base!X570</f>
        <v>0</v>
      </c>
      <c r="M570" s="11">
        <f t="shared" si="84"/>
        <v>0</v>
      </c>
      <c r="N570" s="11">
        <f t="shared" si="85"/>
        <v>4.3860000000000001</v>
      </c>
      <c r="O570" s="11">
        <f t="shared" si="86"/>
        <v>0.17</v>
      </c>
      <c r="P570" s="12">
        <f t="shared" si="87"/>
        <v>-4.3860000000000001</v>
      </c>
      <c r="Q570" s="17" t="str">
        <f t="shared" si="89"/>
        <v>Ecart négatif</v>
      </c>
    </row>
    <row r="571" spans="1:18" x14ac:dyDescent="0.3">
      <c r="A571" s="34" t="str">
        <f>base!J571</f>
        <v>RM</v>
      </c>
      <c r="B571" s="34" t="str">
        <f>base!V571</f>
        <v>44980</v>
      </c>
      <c r="C571" s="37">
        <v>44</v>
      </c>
      <c r="D571" s="36">
        <f>base!H571</f>
        <v>1614.26</v>
      </c>
      <c r="E571" s="44"/>
      <c r="F571" s="16">
        <f>base!W571</f>
        <v>0</v>
      </c>
      <c r="G571" s="11">
        <f t="shared" si="80"/>
        <v>0</v>
      </c>
      <c r="H571" s="11">
        <f t="shared" si="81"/>
        <v>435.85020000000003</v>
      </c>
      <c r="I571" s="11">
        <f t="shared" si="82"/>
        <v>0.27</v>
      </c>
      <c r="J571" s="12">
        <f t="shared" si="83"/>
        <v>-435.85020000000003</v>
      </c>
      <c r="K571" s="17" t="str">
        <f t="shared" si="88"/>
        <v>Ecart négatif</v>
      </c>
      <c r="L571" s="16">
        <f>base!X571</f>
        <v>0</v>
      </c>
      <c r="M571" s="11">
        <f t="shared" si="84"/>
        <v>0</v>
      </c>
      <c r="N571" s="11">
        <f t="shared" si="85"/>
        <v>0</v>
      </c>
      <c r="O571" s="11">
        <f t="shared" si="86"/>
        <v>0</v>
      </c>
      <c r="P571" s="12">
        <f t="shared" si="87"/>
        <v>0</v>
      </c>
      <c r="Q571" s="17" t="str">
        <f t="shared" si="89"/>
        <v>Pas d'écart</v>
      </c>
    </row>
    <row r="572" spans="1:18" x14ac:dyDescent="0.3">
      <c r="A572" s="34" t="str">
        <f>base!J572</f>
        <v>LM</v>
      </c>
      <c r="B572" s="34" t="str">
        <f>base!V572</f>
        <v>91300</v>
      </c>
      <c r="C572" s="37">
        <v>91</v>
      </c>
      <c r="D572" s="36">
        <f>base!H572</f>
        <v>151</v>
      </c>
      <c r="E572" s="44"/>
      <c r="F572" s="16">
        <f>base!W572</f>
        <v>0</v>
      </c>
      <c r="G572" s="11">
        <f t="shared" si="80"/>
        <v>0</v>
      </c>
      <c r="H572" s="11">
        <f t="shared" si="81"/>
        <v>0</v>
      </c>
      <c r="I572" s="11">
        <f t="shared" si="82"/>
        <v>0</v>
      </c>
      <c r="J572" s="12">
        <f t="shared" si="83"/>
        <v>0</v>
      </c>
      <c r="K572" s="17" t="str">
        <f t="shared" si="88"/>
        <v>Pas d'écart</v>
      </c>
      <c r="L572" s="16">
        <f>base!X572</f>
        <v>0</v>
      </c>
      <c r="M572" s="11">
        <f t="shared" si="84"/>
        <v>0</v>
      </c>
      <c r="N572" s="11">
        <f t="shared" si="85"/>
        <v>0</v>
      </c>
      <c r="O572" s="11">
        <f t="shared" si="86"/>
        <v>0</v>
      </c>
      <c r="P572" s="12">
        <f t="shared" si="87"/>
        <v>0</v>
      </c>
      <c r="Q572" s="17" t="str">
        <f t="shared" si="89"/>
        <v>Pas d'écart</v>
      </c>
    </row>
    <row r="573" spans="1:18" x14ac:dyDescent="0.3">
      <c r="A573" s="34" t="str">
        <f>base!J573</f>
        <v>DLS</v>
      </c>
      <c r="B573" s="34" t="str">
        <f>base!V573</f>
        <v>75012</v>
      </c>
      <c r="C573" s="37">
        <v>75</v>
      </c>
      <c r="D573" s="36">
        <f>base!H573</f>
        <v>197.34</v>
      </c>
      <c r="E573" s="44"/>
      <c r="F573" s="16">
        <f>base!W573</f>
        <v>0</v>
      </c>
      <c r="G573" s="11">
        <f t="shared" si="80"/>
        <v>0</v>
      </c>
      <c r="H573" s="11">
        <f t="shared" si="81"/>
        <v>0</v>
      </c>
      <c r="I573" s="11">
        <f t="shared" si="82"/>
        <v>0</v>
      </c>
      <c r="J573" s="12">
        <f t="shared" si="83"/>
        <v>0</v>
      </c>
      <c r="K573" s="17" t="str">
        <f t="shared" si="88"/>
        <v>Pas d'écart</v>
      </c>
      <c r="L573" s="16">
        <f>base!X573</f>
        <v>0</v>
      </c>
      <c r="M573" s="11">
        <f t="shared" si="84"/>
        <v>0</v>
      </c>
      <c r="N573" s="11">
        <f t="shared" si="85"/>
        <v>0</v>
      </c>
      <c r="O573" s="11">
        <f t="shared" si="86"/>
        <v>0</v>
      </c>
      <c r="P573" s="12">
        <f t="shared" si="87"/>
        <v>0</v>
      </c>
      <c r="Q573" s="17" t="str">
        <f t="shared" si="89"/>
        <v>Pas d'écart</v>
      </c>
    </row>
    <row r="574" spans="1:18" x14ac:dyDescent="0.3">
      <c r="A574" s="34" t="str">
        <f>base!J574</f>
        <v>RM</v>
      </c>
      <c r="B574" s="34" t="str">
        <f>base!V574</f>
        <v>35042</v>
      </c>
      <c r="C574" s="37">
        <v>35</v>
      </c>
      <c r="D574" s="36">
        <f>base!H574</f>
        <v>62</v>
      </c>
      <c r="E574" s="44"/>
      <c r="F574" s="16">
        <f>base!W574</f>
        <v>0</v>
      </c>
      <c r="G574" s="11">
        <f t="shared" si="80"/>
        <v>0</v>
      </c>
      <c r="H574" s="11">
        <f t="shared" si="81"/>
        <v>16.740000000000002</v>
      </c>
      <c r="I574" s="11">
        <f t="shared" si="82"/>
        <v>0.27</v>
      </c>
      <c r="J574" s="12">
        <f t="shared" si="83"/>
        <v>-16.740000000000002</v>
      </c>
      <c r="K574" s="17" t="str">
        <f t="shared" si="88"/>
        <v>Ecart négatif</v>
      </c>
      <c r="L574" s="16">
        <f>base!X574</f>
        <v>0</v>
      </c>
      <c r="M574" s="11">
        <f t="shared" si="84"/>
        <v>0</v>
      </c>
      <c r="N574" s="11">
        <f t="shared" si="85"/>
        <v>0</v>
      </c>
      <c r="O574" s="11">
        <f t="shared" si="86"/>
        <v>0</v>
      </c>
      <c r="P574" s="12">
        <f t="shared" si="87"/>
        <v>0</v>
      </c>
      <c r="Q574" s="17" t="str">
        <f t="shared" si="89"/>
        <v>Pas d'écart</v>
      </c>
    </row>
    <row r="575" spans="1:18" x14ac:dyDescent="0.3">
      <c r="A575" s="34" t="str">
        <f>base!J575</f>
        <v>LM</v>
      </c>
      <c r="B575" s="34" t="str">
        <f>base!V575</f>
        <v>75017</v>
      </c>
      <c r="C575" s="37">
        <v>75</v>
      </c>
      <c r="D575" s="36">
        <f>base!H575</f>
        <v>3.67</v>
      </c>
      <c r="E575" s="44"/>
      <c r="F575" s="16">
        <f>base!W575</f>
        <v>0</v>
      </c>
      <c r="G575" s="11">
        <f t="shared" si="80"/>
        <v>0</v>
      </c>
      <c r="H575" s="11">
        <f t="shared" si="81"/>
        <v>0</v>
      </c>
      <c r="I575" s="11">
        <f t="shared" si="82"/>
        <v>0</v>
      </c>
      <c r="J575" s="12">
        <f t="shared" si="83"/>
        <v>0</v>
      </c>
      <c r="K575" s="17" t="str">
        <f t="shared" si="88"/>
        <v>Pas d'écart</v>
      </c>
      <c r="L575" s="16">
        <f>base!X575</f>
        <v>0</v>
      </c>
      <c r="M575" s="11">
        <f t="shared" si="84"/>
        <v>0</v>
      </c>
      <c r="N575" s="11">
        <f t="shared" si="85"/>
        <v>0</v>
      </c>
      <c r="O575" s="11">
        <f t="shared" si="86"/>
        <v>0</v>
      </c>
      <c r="P575" s="12">
        <f t="shared" si="87"/>
        <v>0</v>
      </c>
      <c r="Q575" s="17" t="str">
        <f t="shared" si="89"/>
        <v>Pas d'écart</v>
      </c>
    </row>
    <row r="576" spans="1:18" x14ac:dyDescent="0.3">
      <c r="A576" s="34" t="str">
        <f>base!J576</f>
        <v>RM</v>
      </c>
      <c r="B576" s="34" t="str">
        <f>base!V576</f>
        <v>76700</v>
      </c>
      <c r="C576" s="37">
        <v>76</v>
      </c>
      <c r="D576" s="36">
        <f>base!H576</f>
        <v>151</v>
      </c>
      <c r="E576" s="44"/>
      <c r="F576" s="16">
        <f>base!W576</f>
        <v>0</v>
      </c>
      <c r="G576" s="11">
        <f t="shared" si="80"/>
        <v>0</v>
      </c>
      <c r="H576" s="11">
        <f t="shared" si="81"/>
        <v>25.67</v>
      </c>
      <c r="I576" s="11">
        <f t="shared" si="82"/>
        <v>0.17</v>
      </c>
      <c r="J576" s="12">
        <f t="shared" si="83"/>
        <v>-25.67</v>
      </c>
      <c r="K576" s="17" t="str">
        <f t="shared" si="88"/>
        <v>Ecart négatif</v>
      </c>
      <c r="L576" s="16">
        <f>base!X576</f>
        <v>25.67</v>
      </c>
      <c r="M576" s="11">
        <f t="shared" si="84"/>
        <v>0.17</v>
      </c>
      <c r="N576" s="11">
        <f t="shared" si="85"/>
        <v>25.67</v>
      </c>
      <c r="O576" s="11">
        <f t="shared" si="86"/>
        <v>0.17</v>
      </c>
      <c r="P576" s="12">
        <f t="shared" si="87"/>
        <v>0</v>
      </c>
      <c r="Q576" s="17" t="str">
        <f t="shared" si="89"/>
        <v>Pas d'écart</v>
      </c>
      <c r="R576" s="38"/>
    </row>
    <row r="577" spans="1:17" x14ac:dyDescent="0.3">
      <c r="A577" s="34" t="str">
        <f>base!J577</f>
        <v>LM</v>
      </c>
      <c r="B577" s="34" t="str">
        <f>base!V577</f>
        <v>80400</v>
      </c>
      <c r="C577" s="37">
        <v>80</v>
      </c>
      <c r="D577" s="36">
        <f>base!H577</f>
        <v>140</v>
      </c>
      <c r="E577" s="44"/>
      <c r="F577" s="16">
        <f>base!W577</f>
        <v>26.6</v>
      </c>
      <c r="G577" s="11">
        <f t="shared" si="80"/>
        <v>0.19</v>
      </c>
      <c r="H577" s="11">
        <f t="shared" si="81"/>
        <v>26.6</v>
      </c>
      <c r="I577" s="11">
        <f t="shared" si="82"/>
        <v>0.19</v>
      </c>
      <c r="J577" s="12">
        <f t="shared" si="83"/>
        <v>0</v>
      </c>
      <c r="K577" s="17" t="str">
        <f t="shared" si="88"/>
        <v>Pas d'écart</v>
      </c>
      <c r="L577" s="16">
        <f>base!X577</f>
        <v>0</v>
      </c>
      <c r="M577" s="11">
        <f t="shared" si="84"/>
        <v>0</v>
      </c>
      <c r="N577" s="11">
        <f t="shared" si="85"/>
        <v>0</v>
      </c>
      <c r="O577" s="11">
        <f t="shared" si="86"/>
        <v>0</v>
      </c>
      <c r="P577" s="12">
        <f t="shared" si="87"/>
        <v>0</v>
      </c>
      <c r="Q577" s="17" t="str">
        <f t="shared" si="89"/>
        <v>Pas d'écart</v>
      </c>
    </row>
    <row r="578" spans="1:17" x14ac:dyDescent="0.3">
      <c r="A578" s="34" t="str">
        <f>base!J578</f>
        <v>LM</v>
      </c>
      <c r="B578" s="34" t="str">
        <f>base!V578</f>
        <v>69005</v>
      </c>
      <c r="C578" s="37">
        <v>62</v>
      </c>
      <c r="D578" s="36">
        <f>base!H578</f>
        <v>138.16</v>
      </c>
      <c r="E578" s="44"/>
      <c r="F578" s="16">
        <f>base!W578</f>
        <v>37.299999999999997</v>
      </c>
      <c r="G578" s="11">
        <f t="shared" ref="G578:G641" si="90">F578/D578</f>
        <v>0.26997683844817599</v>
      </c>
      <c r="H578" s="11">
        <f t="shared" ref="H578:H641" si="91">VLOOKUP(C578,tout_cout_traction,2,FALSE)*D578</f>
        <v>26.250399999999999</v>
      </c>
      <c r="I578" s="11">
        <f t="shared" ref="I578:I641" si="92">H578/D578</f>
        <v>0.19</v>
      </c>
      <c r="J578" s="12">
        <f t="shared" ref="J578:J641" si="93">F578-H578</f>
        <v>11.049599999999998</v>
      </c>
      <c r="K578" s="17" t="str">
        <f t="shared" si="88"/>
        <v>Ecart positif</v>
      </c>
      <c r="L578" s="16">
        <f>base!X578</f>
        <v>0</v>
      </c>
      <c r="M578" s="11">
        <f t="shared" ref="M578:M641" si="94">L578/D578</f>
        <v>0</v>
      </c>
      <c r="N578" s="11">
        <f t="shared" ref="N578:N641" si="95">VLOOKUP(C578,tout_cout_traction,3,FALSE)*D578</f>
        <v>0</v>
      </c>
      <c r="O578" s="11">
        <f t="shared" ref="O578:O641" si="96">N578/D578</f>
        <v>0</v>
      </c>
      <c r="P578" s="12">
        <f t="shared" ref="P578:P641" si="97">L578-N578</f>
        <v>0</v>
      </c>
      <c r="Q578" s="17" t="str">
        <f t="shared" si="89"/>
        <v>Pas d'écart</v>
      </c>
    </row>
    <row r="579" spans="1:17" x14ac:dyDescent="0.3">
      <c r="A579" s="34" t="str">
        <f>base!J579</f>
        <v>LM</v>
      </c>
      <c r="B579" s="34" t="str">
        <f>base!V579</f>
        <v>69005</v>
      </c>
      <c r="C579" s="37">
        <v>14</v>
      </c>
      <c r="D579" s="36">
        <f>base!H579</f>
        <v>33.35</v>
      </c>
      <c r="E579" s="44"/>
      <c r="F579" s="16">
        <f>base!W579</f>
        <v>9</v>
      </c>
      <c r="G579" s="11">
        <f t="shared" si="90"/>
        <v>0.26986506746626687</v>
      </c>
      <c r="H579" s="11">
        <f t="shared" si="91"/>
        <v>5.6695000000000002</v>
      </c>
      <c r="I579" s="11">
        <f t="shared" si="92"/>
        <v>0.17</v>
      </c>
      <c r="J579" s="12">
        <f t="shared" si="93"/>
        <v>3.3304999999999998</v>
      </c>
      <c r="K579" s="17" t="str">
        <f t="shared" ref="K579:K642" si="98">IF(H579=F579,"Pas d'écart",IF(H579&lt;F579,"Ecart positif",IF(H579&gt;F579,"Ecart négatif")))</f>
        <v>Ecart positif</v>
      </c>
      <c r="L579" s="16">
        <f>base!X579</f>
        <v>0</v>
      </c>
      <c r="M579" s="11">
        <f t="shared" si="94"/>
        <v>0</v>
      </c>
      <c r="N579" s="11">
        <f t="shared" si="95"/>
        <v>5.6695000000000002</v>
      </c>
      <c r="O579" s="11">
        <f t="shared" si="96"/>
        <v>0.17</v>
      </c>
      <c r="P579" s="12">
        <f t="shared" si="97"/>
        <v>-5.6695000000000002</v>
      </c>
      <c r="Q579" s="17" t="str">
        <f t="shared" ref="Q579:Q642" si="99">IF(N579=L579,"Pas d'écart",IF(N579&lt;L579,"Ecart positif",IF(N579&gt;L579,"Ecart négatif")))</f>
        <v>Ecart négatif</v>
      </c>
    </row>
    <row r="580" spans="1:17" x14ac:dyDescent="0.3">
      <c r="A580" s="34" t="str">
        <f>base!J580</f>
        <v>RS</v>
      </c>
      <c r="B580" s="34" t="str">
        <f>base!V580</f>
        <v>61450</v>
      </c>
      <c r="C580" s="37">
        <v>61</v>
      </c>
      <c r="D580" s="36">
        <f>base!H580</f>
        <v>250</v>
      </c>
      <c r="E580" s="44"/>
      <c r="F580" s="16">
        <f>base!W580</f>
        <v>0</v>
      </c>
      <c r="G580" s="11">
        <f t="shared" si="90"/>
        <v>0</v>
      </c>
      <c r="H580" s="11">
        <f t="shared" si="91"/>
        <v>42.5</v>
      </c>
      <c r="I580" s="11">
        <f t="shared" si="92"/>
        <v>0.17</v>
      </c>
      <c r="J580" s="12">
        <f t="shared" si="93"/>
        <v>-42.5</v>
      </c>
      <c r="K580" s="17" t="str">
        <f t="shared" si="98"/>
        <v>Ecart négatif</v>
      </c>
      <c r="L580" s="16">
        <f>base!X580</f>
        <v>0</v>
      </c>
      <c r="M580" s="11">
        <f t="shared" si="94"/>
        <v>0</v>
      </c>
      <c r="N580" s="11">
        <f t="shared" si="95"/>
        <v>42.5</v>
      </c>
      <c r="O580" s="11">
        <f t="shared" si="96"/>
        <v>0.17</v>
      </c>
      <c r="P580" s="12">
        <f t="shared" si="97"/>
        <v>-42.5</v>
      </c>
      <c r="Q580" s="17" t="str">
        <f t="shared" si="99"/>
        <v>Ecart négatif</v>
      </c>
    </row>
    <row r="581" spans="1:17" x14ac:dyDescent="0.3">
      <c r="A581" s="34" t="str">
        <f>base!J581</f>
        <v>LS</v>
      </c>
      <c r="B581" s="34" t="str">
        <f>base!V581</f>
        <v>79400</v>
      </c>
      <c r="C581" s="37">
        <v>14</v>
      </c>
      <c r="D581" s="36">
        <f>base!H581</f>
        <v>131.97999999999999</v>
      </c>
      <c r="E581" s="44"/>
      <c r="F581" s="16">
        <f>base!W581</f>
        <v>27.72</v>
      </c>
      <c r="G581" s="11">
        <f t="shared" si="90"/>
        <v>0.21003182300348539</v>
      </c>
      <c r="H581" s="11">
        <f t="shared" si="91"/>
        <v>22.436599999999999</v>
      </c>
      <c r="I581" s="11">
        <f t="shared" si="92"/>
        <v>0.17</v>
      </c>
      <c r="J581" s="12">
        <f t="shared" si="93"/>
        <v>5.2834000000000003</v>
      </c>
      <c r="K581" s="17" t="str">
        <f t="shared" si="98"/>
        <v>Ecart positif</v>
      </c>
      <c r="L581" s="16">
        <f>base!X581</f>
        <v>0</v>
      </c>
      <c r="M581" s="11">
        <f t="shared" si="94"/>
        <v>0</v>
      </c>
      <c r="N581" s="11">
        <f t="shared" si="95"/>
        <v>22.436599999999999</v>
      </c>
      <c r="O581" s="11">
        <f t="shared" si="96"/>
        <v>0.17</v>
      </c>
      <c r="P581" s="12">
        <f t="shared" si="97"/>
        <v>-22.436599999999999</v>
      </c>
      <c r="Q581" s="17" t="str">
        <f t="shared" si="99"/>
        <v>Ecart négatif</v>
      </c>
    </row>
    <row r="582" spans="1:17" x14ac:dyDescent="0.3">
      <c r="A582" s="34" t="str">
        <f>base!J582</f>
        <v>LM</v>
      </c>
      <c r="B582" s="34" t="str">
        <f>base!V582</f>
        <v>59225</v>
      </c>
      <c r="C582" s="37">
        <v>62</v>
      </c>
      <c r="D582" s="36">
        <f>base!H582</f>
        <v>104.85</v>
      </c>
      <c r="E582" s="44"/>
      <c r="F582" s="16">
        <f>base!W582</f>
        <v>19.920000000000002</v>
      </c>
      <c r="G582" s="11">
        <f t="shared" si="90"/>
        <v>0.18998569384835481</v>
      </c>
      <c r="H582" s="11">
        <f t="shared" si="91"/>
        <v>19.921499999999998</v>
      </c>
      <c r="I582" s="11">
        <f t="shared" si="92"/>
        <v>0.19</v>
      </c>
      <c r="J582" s="12">
        <f t="shared" si="93"/>
        <v>-1.4999999999965041E-3</v>
      </c>
      <c r="K582" s="17" t="str">
        <f t="shared" si="98"/>
        <v>Ecart négatif</v>
      </c>
      <c r="L582" s="16">
        <f>base!X582</f>
        <v>0</v>
      </c>
      <c r="M582" s="11">
        <f t="shared" si="94"/>
        <v>0</v>
      </c>
      <c r="N582" s="11">
        <f t="shared" si="95"/>
        <v>0</v>
      </c>
      <c r="O582" s="11">
        <f t="shared" si="96"/>
        <v>0</v>
      </c>
      <c r="P582" s="12">
        <f t="shared" si="97"/>
        <v>0</v>
      </c>
      <c r="Q582" s="17" t="str">
        <f t="shared" si="99"/>
        <v>Pas d'écart</v>
      </c>
    </row>
    <row r="583" spans="1:17" x14ac:dyDescent="0.3">
      <c r="A583" s="34" t="str">
        <f>base!J583</f>
        <v>LS</v>
      </c>
      <c r="B583" s="34" t="str">
        <f>base!V583</f>
        <v>26216</v>
      </c>
      <c r="C583" s="37">
        <v>14</v>
      </c>
      <c r="D583" s="36">
        <f>base!H583</f>
        <v>3.42</v>
      </c>
      <c r="E583" s="44"/>
      <c r="F583" s="16">
        <f>base!W583</f>
        <v>0.92</v>
      </c>
      <c r="G583" s="11">
        <f t="shared" si="90"/>
        <v>0.26900584795321641</v>
      </c>
      <c r="H583" s="11">
        <f t="shared" si="91"/>
        <v>0.58140000000000003</v>
      </c>
      <c r="I583" s="11">
        <f t="shared" si="92"/>
        <v>0.17</v>
      </c>
      <c r="J583" s="12">
        <f t="shared" si="93"/>
        <v>0.33860000000000001</v>
      </c>
      <c r="K583" s="17" t="str">
        <f t="shared" si="98"/>
        <v>Ecart positif</v>
      </c>
      <c r="L583" s="16">
        <f>base!X583</f>
        <v>0</v>
      </c>
      <c r="M583" s="11">
        <f t="shared" si="94"/>
        <v>0</v>
      </c>
      <c r="N583" s="11">
        <f t="shared" si="95"/>
        <v>0.58140000000000003</v>
      </c>
      <c r="O583" s="11">
        <f t="shared" si="96"/>
        <v>0.17</v>
      </c>
      <c r="P583" s="12">
        <f t="shared" si="97"/>
        <v>-0.58140000000000003</v>
      </c>
      <c r="Q583" s="17" t="str">
        <f t="shared" si="99"/>
        <v>Ecart négatif</v>
      </c>
    </row>
    <row r="584" spans="1:17" x14ac:dyDescent="0.3">
      <c r="A584" s="34" t="str">
        <f>base!J584</f>
        <v>RS</v>
      </c>
      <c r="B584" s="34" t="str">
        <f>base!V584</f>
        <v>17300</v>
      </c>
      <c r="C584" s="37">
        <v>17</v>
      </c>
      <c r="D584" s="36">
        <f>base!H584</f>
        <v>140</v>
      </c>
      <c r="E584" s="44"/>
      <c r="F584" s="16">
        <f>base!W584</f>
        <v>0</v>
      </c>
      <c r="G584" s="11">
        <f t="shared" si="90"/>
        <v>0</v>
      </c>
      <c r="H584" s="11">
        <f t="shared" si="91"/>
        <v>29.4</v>
      </c>
      <c r="I584" s="11">
        <f t="shared" si="92"/>
        <v>0.21</v>
      </c>
      <c r="J584" s="12">
        <f t="shared" si="93"/>
        <v>-29.4</v>
      </c>
      <c r="K584" s="17" t="str">
        <f t="shared" si="98"/>
        <v>Ecart négatif</v>
      </c>
      <c r="L584" s="16">
        <f>base!X584</f>
        <v>0</v>
      </c>
      <c r="M584" s="11">
        <f t="shared" si="94"/>
        <v>0</v>
      </c>
      <c r="N584" s="11">
        <f t="shared" si="95"/>
        <v>23.8</v>
      </c>
      <c r="O584" s="11">
        <f t="shared" si="96"/>
        <v>0.17</v>
      </c>
      <c r="P584" s="12">
        <f t="shared" si="97"/>
        <v>-23.8</v>
      </c>
      <c r="Q584" s="17" t="str">
        <f t="shared" si="99"/>
        <v>Ecart négatif</v>
      </c>
    </row>
    <row r="585" spans="1:17" x14ac:dyDescent="0.3">
      <c r="A585" s="34" t="str">
        <f>base!J585</f>
        <v>LM</v>
      </c>
      <c r="B585" s="34" t="str">
        <f>base!V585</f>
        <v>92200</v>
      </c>
      <c r="C585" s="37">
        <v>92</v>
      </c>
      <c r="D585" s="36">
        <f>base!H585</f>
        <v>30</v>
      </c>
      <c r="E585" s="44"/>
      <c r="F585" s="16">
        <f>base!W585</f>
        <v>0</v>
      </c>
      <c r="G585" s="11">
        <f t="shared" si="90"/>
        <v>0</v>
      </c>
      <c r="H585" s="11">
        <f t="shared" si="91"/>
        <v>0</v>
      </c>
      <c r="I585" s="11">
        <f t="shared" si="92"/>
        <v>0</v>
      </c>
      <c r="J585" s="12">
        <f t="shared" si="93"/>
        <v>0</v>
      </c>
      <c r="K585" s="17" t="str">
        <f t="shared" si="98"/>
        <v>Pas d'écart</v>
      </c>
      <c r="L585" s="16">
        <f>base!X585</f>
        <v>0</v>
      </c>
      <c r="M585" s="11">
        <f t="shared" si="94"/>
        <v>0</v>
      </c>
      <c r="N585" s="11">
        <f t="shared" si="95"/>
        <v>0</v>
      </c>
      <c r="O585" s="11">
        <f t="shared" si="96"/>
        <v>0</v>
      </c>
      <c r="P585" s="12">
        <f t="shared" si="97"/>
        <v>0</v>
      </c>
      <c r="Q585" s="17" t="str">
        <f t="shared" si="99"/>
        <v>Pas d'écart</v>
      </c>
    </row>
    <row r="586" spans="1:17" x14ac:dyDescent="0.3">
      <c r="A586" s="34" t="str">
        <f>base!J586</f>
        <v>LM</v>
      </c>
      <c r="B586" s="34" t="str">
        <f>base!V586</f>
        <v>75019</v>
      </c>
      <c r="C586" s="37">
        <v>75</v>
      </c>
      <c r="D586" s="36">
        <f>base!H586</f>
        <v>136.82</v>
      </c>
      <c r="E586" s="44"/>
      <c r="F586" s="16">
        <f>base!W586</f>
        <v>0</v>
      </c>
      <c r="G586" s="11">
        <f t="shared" si="90"/>
        <v>0</v>
      </c>
      <c r="H586" s="11">
        <f t="shared" si="91"/>
        <v>0</v>
      </c>
      <c r="I586" s="11">
        <f t="shared" si="92"/>
        <v>0</v>
      </c>
      <c r="J586" s="12">
        <f t="shared" si="93"/>
        <v>0</v>
      </c>
      <c r="K586" s="17" t="str">
        <f t="shared" si="98"/>
        <v>Pas d'écart</v>
      </c>
      <c r="L586" s="16">
        <f>base!X586</f>
        <v>0</v>
      </c>
      <c r="M586" s="11">
        <f t="shared" si="94"/>
        <v>0</v>
      </c>
      <c r="N586" s="11">
        <f t="shared" si="95"/>
        <v>0</v>
      </c>
      <c r="O586" s="11">
        <f t="shared" si="96"/>
        <v>0</v>
      </c>
      <c r="P586" s="12">
        <f t="shared" si="97"/>
        <v>0</v>
      </c>
      <c r="Q586" s="17" t="str">
        <f t="shared" si="99"/>
        <v>Pas d'écart</v>
      </c>
    </row>
    <row r="587" spans="1:17" x14ac:dyDescent="0.3">
      <c r="A587" s="34">
        <f>base!J587</f>
        <v>0</v>
      </c>
      <c r="B587" s="34" t="str">
        <f>base!V587</f>
        <v>77184</v>
      </c>
      <c r="C587" s="37">
        <v>77</v>
      </c>
      <c r="D587" s="36">
        <f>base!H587</f>
        <v>360</v>
      </c>
      <c r="E587" s="44"/>
      <c r="F587" s="16">
        <f>base!W587</f>
        <v>0</v>
      </c>
      <c r="G587" s="11">
        <f t="shared" si="90"/>
        <v>0</v>
      </c>
      <c r="H587" s="11">
        <f t="shared" si="91"/>
        <v>0</v>
      </c>
      <c r="I587" s="11">
        <f t="shared" si="92"/>
        <v>0</v>
      </c>
      <c r="J587" s="12">
        <f t="shared" si="93"/>
        <v>0</v>
      </c>
      <c r="K587" s="17" t="str">
        <f t="shared" si="98"/>
        <v>Pas d'écart</v>
      </c>
      <c r="L587" s="16">
        <f>base!X587</f>
        <v>0</v>
      </c>
      <c r="M587" s="11">
        <f t="shared" si="94"/>
        <v>0</v>
      </c>
      <c r="N587" s="11">
        <f t="shared" si="95"/>
        <v>0</v>
      </c>
      <c r="O587" s="11">
        <f t="shared" si="96"/>
        <v>0</v>
      </c>
      <c r="P587" s="12">
        <f t="shared" si="97"/>
        <v>0</v>
      </c>
      <c r="Q587" s="17" t="str">
        <f t="shared" si="99"/>
        <v>Pas d'écart</v>
      </c>
    </row>
    <row r="588" spans="1:17" x14ac:dyDescent="0.3">
      <c r="A588" s="34" t="str">
        <f>base!J588</f>
        <v>RS</v>
      </c>
      <c r="B588" s="34" t="str">
        <f>base!V588</f>
        <v>71200</v>
      </c>
      <c r="C588" s="37">
        <v>71</v>
      </c>
      <c r="D588" s="36">
        <f>base!H588</f>
        <v>220.02</v>
      </c>
      <c r="E588" s="44"/>
      <c r="F588" s="16">
        <f>base!W588</f>
        <v>0</v>
      </c>
      <c r="G588" s="11">
        <f t="shared" si="90"/>
        <v>0</v>
      </c>
      <c r="H588" s="11">
        <f t="shared" si="91"/>
        <v>59.405400000000007</v>
      </c>
      <c r="I588" s="11">
        <f t="shared" si="92"/>
        <v>0.27</v>
      </c>
      <c r="J588" s="12">
        <f t="shared" si="93"/>
        <v>-59.405400000000007</v>
      </c>
      <c r="K588" s="17" t="str">
        <f t="shared" si="98"/>
        <v>Ecart négatif</v>
      </c>
      <c r="L588" s="16">
        <f>base!X588</f>
        <v>0</v>
      </c>
      <c r="M588" s="11">
        <f t="shared" si="94"/>
        <v>0</v>
      </c>
      <c r="N588" s="11">
        <f t="shared" si="95"/>
        <v>0</v>
      </c>
      <c r="O588" s="11">
        <f t="shared" si="96"/>
        <v>0</v>
      </c>
      <c r="P588" s="12">
        <f t="shared" si="97"/>
        <v>0</v>
      </c>
      <c r="Q588" s="17" t="str">
        <f t="shared" si="99"/>
        <v>Pas d'écart</v>
      </c>
    </row>
    <row r="589" spans="1:17" x14ac:dyDescent="0.3">
      <c r="A589" s="34" t="str">
        <f>base!J589</f>
        <v>RS</v>
      </c>
      <c r="B589" s="34" t="str">
        <f>base!V589</f>
        <v>57175</v>
      </c>
      <c r="C589" s="37">
        <v>57</v>
      </c>
      <c r="D589" s="36">
        <f>base!H589</f>
        <v>250</v>
      </c>
      <c r="E589" s="44"/>
      <c r="F589" s="16">
        <f>base!W589</f>
        <v>0</v>
      </c>
      <c r="G589" s="11">
        <f t="shared" si="90"/>
        <v>0</v>
      </c>
      <c r="H589" s="11">
        <f t="shared" si="91"/>
        <v>60</v>
      </c>
      <c r="I589" s="11">
        <f t="shared" si="92"/>
        <v>0.24</v>
      </c>
      <c r="J589" s="12">
        <f t="shared" si="93"/>
        <v>-60</v>
      </c>
      <c r="K589" s="17" t="str">
        <f t="shared" si="98"/>
        <v>Ecart négatif</v>
      </c>
      <c r="L589" s="16">
        <f>base!X589</f>
        <v>62.5</v>
      </c>
      <c r="M589" s="11">
        <f t="shared" si="94"/>
        <v>0.25</v>
      </c>
      <c r="N589" s="11">
        <f t="shared" si="95"/>
        <v>62.5</v>
      </c>
      <c r="O589" s="11">
        <f t="shared" si="96"/>
        <v>0.25</v>
      </c>
      <c r="P589" s="12">
        <f t="shared" si="97"/>
        <v>0</v>
      </c>
      <c r="Q589" s="17" t="str">
        <f t="shared" si="99"/>
        <v>Pas d'écart</v>
      </c>
    </row>
    <row r="590" spans="1:17" x14ac:dyDescent="0.3">
      <c r="A590" s="34" t="str">
        <f>base!J590</f>
        <v>RS</v>
      </c>
      <c r="B590" s="34" t="str">
        <f>base!V590</f>
        <v>62820</v>
      </c>
      <c r="C590" s="37">
        <v>62</v>
      </c>
      <c r="D590" s="36">
        <f>base!H590</f>
        <v>250</v>
      </c>
      <c r="E590" s="44"/>
      <c r="F590" s="16">
        <f>base!W590</f>
        <v>0</v>
      </c>
      <c r="G590" s="11">
        <f t="shared" si="90"/>
        <v>0</v>
      </c>
      <c r="H590" s="11">
        <f t="shared" si="91"/>
        <v>47.5</v>
      </c>
      <c r="I590" s="11">
        <f t="shared" si="92"/>
        <v>0.19</v>
      </c>
      <c r="J590" s="12">
        <f t="shared" si="93"/>
        <v>-47.5</v>
      </c>
      <c r="K590" s="17" t="str">
        <f t="shared" si="98"/>
        <v>Ecart négatif</v>
      </c>
      <c r="L590" s="16">
        <f>base!X590</f>
        <v>0</v>
      </c>
      <c r="M590" s="11">
        <f t="shared" si="94"/>
        <v>0</v>
      </c>
      <c r="N590" s="11">
        <f t="shared" si="95"/>
        <v>0</v>
      </c>
      <c r="O590" s="11">
        <f t="shared" si="96"/>
        <v>0</v>
      </c>
      <c r="P590" s="12">
        <f t="shared" si="97"/>
        <v>0</v>
      </c>
      <c r="Q590" s="17" t="str">
        <f t="shared" si="99"/>
        <v>Pas d'écart</v>
      </c>
    </row>
    <row r="591" spans="1:17" x14ac:dyDescent="0.3">
      <c r="A591" s="34" t="str">
        <f>base!J591</f>
        <v>LM</v>
      </c>
      <c r="B591" s="34" t="str">
        <f>base!V591</f>
        <v>75001</v>
      </c>
      <c r="C591" s="37">
        <v>75</v>
      </c>
      <c r="D591" s="36">
        <f>base!H591</f>
        <v>195.28</v>
      </c>
      <c r="E591" s="44"/>
      <c r="F591" s="16">
        <f>base!W591</f>
        <v>0</v>
      </c>
      <c r="G591" s="11">
        <f t="shared" si="90"/>
        <v>0</v>
      </c>
      <c r="H591" s="11">
        <f t="shared" si="91"/>
        <v>0</v>
      </c>
      <c r="I591" s="11">
        <f t="shared" si="92"/>
        <v>0</v>
      </c>
      <c r="J591" s="12">
        <f t="shared" si="93"/>
        <v>0</v>
      </c>
      <c r="K591" s="17" t="str">
        <f t="shared" si="98"/>
        <v>Pas d'écart</v>
      </c>
      <c r="L591" s="16">
        <f>base!X591</f>
        <v>0</v>
      </c>
      <c r="M591" s="11">
        <f t="shared" si="94"/>
        <v>0</v>
      </c>
      <c r="N591" s="11">
        <f t="shared" si="95"/>
        <v>0</v>
      </c>
      <c r="O591" s="11">
        <f t="shared" si="96"/>
        <v>0</v>
      </c>
      <c r="P591" s="12">
        <f t="shared" si="97"/>
        <v>0</v>
      </c>
      <c r="Q591" s="17" t="str">
        <f t="shared" si="99"/>
        <v>Pas d'écart</v>
      </c>
    </row>
    <row r="592" spans="1:17" x14ac:dyDescent="0.3">
      <c r="A592" s="34" t="str">
        <f>base!J592</f>
        <v>RM</v>
      </c>
      <c r="B592" s="34" t="str">
        <f>base!V592</f>
        <v>13008</v>
      </c>
      <c r="C592" s="37">
        <v>13</v>
      </c>
      <c r="D592" s="36">
        <f>base!H592</f>
        <v>201</v>
      </c>
      <c r="E592" s="44"/>
      <c r="F592" s="16">
        <f>base!W592</f>
        <v>0</v>
      </c>
      <c r="G592" s="11">
        <f t="shared" si="90"/>
        <v>0</v>
      </c>
      <c r="H592" s="11">
        <f t="shared" si="91"/>
        <v>58.29</v>
      </c>
      <c r="I592" s="11">
        <f t="shared" si="92"/>
        <v>0.28999999999999998</v>
      </c>
      <c r="J592" s="12">
        <f t="shared" si="93"/>
        <v>-58.29</v>
      </c>
      <c r="K592" s="17" t="str">
        <f t="shared" si="98"/>
        <v>Ecart négatif</v>
      </c>
      <c r="L592" s="16">
        <f>base!X592</f>
        <v>0</v>
      </c>
      <c r="M592" s="11">
        <f t="shared" si="94"/>
        <v>0</v>
      </c>
      <c r="N592" s="11">
        <f t="shared" si="95"/>
        <v>38.19</v>
      </c>
      <c r="O592" s="11">
        <f t="shared" si="96"/>
        <v>0.19</v>
      </c>
      <c r="P592" s="12">
        <f t="shared" si="97"/>
        <v>-38.19</v>
      </c>
      <c r="Q592" s="17" t="str">
        <f t="shared" si="99"/>
        <v>Ecart négatif</v>
      </c>
    </row>
    <row r="593" spans="1:18" x14ac:dyDescent="0.3">
      <c r="A593" s="34" t="str">
        <f>base!J593</f>
        <v>RM</v>
      </c>
      <c r="B593" s="34" t="str">
        <f>base!V593</f>
        <v>14000</v>
      </c>
      <c r="C593" s="37">
        <v>14</v>
      </c>
      <c r="D593" s="36">
        <f>base!H593</f>
        <v>153.97999999999999</v>
      </c>
      <c r="E593" s="44"/>
      <c r="F593" s="16">
        <f>base!W593</f>
        <v>0</v>
      </c>
      <c r="G593" s="11">
        <f t="shared" si="90"/>
        <v>0</v>
      </c>
      <c r="H593" s="11">
        <f t="shared" si="91"/>
        <v>26.176600000000001</v>
      </c>
      <c r="I593" s="11">
        <f t="shared" si="92"/>
        <v>0.17</v>
      </c>
      <c r="J593" s="12">
        <f t="shared" si="93"/>
        <v>-26.176600000000001</v>
      </c>
      <c r="K593" s="17" t="str">
        <f t="shared" si="98"/>
        <v>Ecart négatif</v>
      </c>
      <c r="L593" s="16">
        <f>base!X593</f>
        <v>26.18</v>
      </c>
      <c r="M593" s="11">
        <f t="shared" si="94"/>
        <v>0.17002208078971295</v>
      </c>
      <c r="N593" s="11">
        <f t="shared" si="95"/>
        <v>26.176600000000001</v>
      </c>
      <c r="O593" s="11">
        <f t="shared" si="96"/>
        <v>0.17</v>
      </c>
      <c r="P593" s="12">
        <f t="shared" si="97"/>
        <v>3.3999999999991815E-3</v>
      </c>
      <c r="Q593" s="17" t="str">
        <f t="shared" si="99"/>
        <v>Ecart positif</v>
      </c>
      <c r="R593" s="38"/>
    </row>
    <row r="594" spans="1:18" x14ac:dyDescent="0.3">
      <c r="A594" s="34" t="str">
        <f>base!J594</f>
        <v>RS</v>
      </c>
      <c r="B594" s="34" t="str">
        <f>base!V594</f>
        <v>98000</v>
      </c>
      <c r="C594" s="37">
        <v>98</v>
      </c>
      <c r="D594" s="36">
        <f>base!H594</f>
        <v>16</v>
      </c>
      <c r="E594" s="44"/>
      <c r="F594" s="16">
        <f>base!W594</f>
        <v>0</v>
      </c>
      <c r="G594" s="11">
        <f t="shared" si="90"/>
        <v>0</v>
      </c>
      <c r="H594" s="11">
        <f t="shared" si="91"/>
        <v>4.32</v>
      </c>
      <c r="I594" s="11">
        <f t="shared" si="92"/>
        <v>0.27</v>
      </c>
      <c r="J594" s="12">
        <f t="shared" si="93"/>
        <v>-4.32</v>
      </c>
      <c r="K594" s="17" t="str">
        <f t="shared" si="98"/>
        <v>Ecart négatif</v>
      </c>
      <c r="L594" s="16">
        <f>base!X594</f>
        <v>0</v>
      </c>
      <c r="M594" s="11">
        <f t="shared" si="94"/>
        <v>0</v>
      </c>
      <c r="N594" s="11">
        <f t="shared" si="95"/>
        <v>3.36</v>
      </c>
      <c r="O594" s="11">
        <f t="shared" si="96"/>
        <v>0.21</v>
      </c>
      <c r="P594" s="12">
        <f t="shared" si="97"/>
        <v>-3.36</v>
      </c>
      <c r="Q594" s="17" t="str">
        <f t="shared" si="99"/>
        <v>Ecart négatif</v>
      </c>
    </row>
    <row r="595" spans="1:18" x14ac:dyDescent="0.3">
      <c r="A595" s="34" t="str">
        <f>base!J595</f>
        <v>RS</v>
      </c>
      <c r="B595" s="34" t="str">
        <f>base!V595</f>
        <v>57370</v>
      </c>
      <c r="C595" s="37">
        <v>57</v>
      </c>
      <c r="D595" s="36">
        <f>base!H595</f>
        <v>70</v>
      </c>
      <c r="E595" s="44"/>
      <c r="F595" s="16">
        <f>base!W595</f>
        <v>0</v>
      </c>
      <c r="G595" s="11">
        <f t="shared" si="90"/>
        <v>0</v>
      </c>
      <c r="H595" s="11">
        <f t="shared" si="91"/>
        <v>16.8</v>
      </c>
      <c r="I595" s="11">
        <f t="shared" si="92"/>
        <v>0.24000000000000002</v>
      </c>
      <c r="J595" s="12">
        <f t="shared" si="93"/>
        <v>-16.8</v>
      </c>
      <c r="K595" s="17" t="str">
        <f t="shared" si="98"/>
        <v>Ecart négatif</v>
      </c>
      <c r="L595" s="16">
        <f>base!X595</f>
        <v>0</v>
      </c>
      <c r="M595" s="11">
        <f t="shared" si="94"/>
        <v>0</v>
      </c>
      <c r="N595" s="11">
        <f t="shared" si="95"/>
        <v>17.5</v>
      </c>
      <c r="O595" s="11">
        <f t="shared" si="96"/>
        <v>0.25</v>
      </c>
      <c r="P595" s="12">
        <f t="shared" si="97"/>
        <v>-17.5</v>
      </c>
      <c r="Q595" s="17" t="str">
        <f t="shared" si="99"/>
        <v>Ecart négatif</v>
      </c>
    </row>
    <row r="596" spans="1:18" x14ac:dyDescent="0.3">
      <c r="A596" s="34" t="str">
        <f>base!J596</f>
        <v>RM</v>
      </c>
      <c r="B596" s="34" t="str">
        <f>base!V596</f>
        <v>21170</v>
      </c>
      <c r="C596" s="37">
        <v>21</v>
      </c>
      <c r="D596" s="36">
        <f>base!H596</f>
        <v>70</v>
      </c>
      <c r="E596" s="44"/>
      <c r="F596" s="16">
        <f>base!W596</f>
        <v>0</v>
      </c>
      <c r="G596" s="11">
        <f t="shared" si="90"/>
        <v>0</v>
      </c>
      <c r="H596" s="11">
        <f t="shared" si="91"/>
        <v>16.8</v>
      </c>
      <c r="I596" s="11">
        <f t="shared" si="92"/>
        <v>0.24000000000000002</v>
      </c>
      <c r="J596" s="12">
        <f t="shared" si="93"/>
        <v>-16.8</v>
      </c>
      <c r="K596" s="17" t="str">
        <f t="shared" si="98"/>
        <v>Ecart négatif</v>
      </c>
      <c r="L596" s="16">
        <f>base!X596</f>
        <v>0</v>
      </c>
      <c r="M596" s="11">
        <f t="shared" si="94"/>
        <v>0</v>
      </c>
      <c r="N596" s="11">
        <f t="shared" si="95"/>
        <v>8.4</v>
      </c>
      <c r="O596" s="11">
        <f t="shared" si="96"/>
        <v>0.12000000000000001</v>
      </c>
      <c r="P596" s="12">
        <f t="shared" si="97"/>
        <v>-8.4</v>
      </c>
      <c r="Q596" s="17" t="str">
        <f t="shared" si="99"/>
        <v>Ecart négatif</v>
      </c>
    </row>
    <row r="597" spans="1:18" x14ac:dyDescent="0.3">
      <c r="A597" s="34" t="str">
        <f>base!J597</f>
        <v>RM</v>
      </c>
      <c r="B597" s="34" t="str">
        <f>base!V597</f>
        <v>27000</v>
      </c>
      <c r="C597" s="37">
        <v>27</v>
      </c>
      <c r="D597" s="36">
        <f>base!H597</f>
        <v>151</v>
      </c>
      <c r="E597" s="44"/>
      <c r="F597" s="16">
        <f>base!W597</f>
        <v>0</v>
      </c>
      <c r="G597" s="11">
        <f t="shared" si="90"/>
        <v>0</v>
      </c>
      <c r="H597" s="11">
        <f t="shared" si="91"/>
        <v>25.67</v>
      </c>
      <c r="I597" s="11">
        <f t="shared" si="92"/>
        <v>0.17</v>
      </c>
      <c r="J597" s="12">
        <f t="shared" si="93"/>
        <v>-25.67</v>
      </c>
      <c r="K597" s="17" t="str">
        <f t="shared" si="98"/>
        <v>Ecart négatif</v>
      </c>
      <c r="L597" s="16">
        <f>base!X597</f>
        <v>25.67</v>
      </c>
      <c r="M597" s="11">
        <f t="shared" si="94"/>
        <v>0.17</v>
      </c>
      <c r="N597" s="11">
        <f t="shared" si="95"/>
        <v>25.67</v>
      </c>
      <c r="O597" s="11">
        <f t="shared" si="96"/>
        <v>0.17</v>
      </c>
      <c r="P597" s="12">
        <f t="shared" si="97"/>
        <v>0</v>
      </c>
      <c r="Q597" s="17" t="str">
        <f t="shared" si="99"/>
        <v>Pas d'écart</v>
      </c>
      <c r="R597" s="38"/>
    </row>
    <row r="598" spans="1:18" x14ac:dyDescent="0.3">
      <c r="A598" s="34" t="str">
        <f>base!J598</f>
        <v>RS</v>
      </c>
      <c r="B598" s="34" t="str">
        <f>base!V598</f>
        <v>61800</v>
      </c>
      <c r="C598" s="37">
        <v>61</v>
      </c>
      <c r="D598" s="36">
        <f>base!H598</f>
        <v>140</v>
      </c>
      <c r="E598" s="44"/>
      <c r="F598" s="16">
        <f>base!W598</f>
        <v>0</v>
      </c>
      <c r="G598" s="11">
        <f t="shared" si="90"/>
        <v>0</v>
      </c>
      <c r="H598" s="11">
        <f t="shared" si="91"/>
        <v>23.8</v>
      </c>
      <c r="I598" s="11">
        <f t="shared" si="92"/>
        <v>0.17</v>
      </c>
      <c r="J598" s="12">
        <f t="shared" si="93"/>
        <v>-23.8</v>
      </c>
      <c r="K598" s="17" t="str">
        <f t="shared" si="98"/>
        <v>Ecart négatif</v>
      </c>
      <c r="L598" s="16">
        <f>base!X598</f>
        <v>0</v>
      </c>
      <c r="M598" s="11">
        <f t="shared" si="94"/>
        <v>0</v>
      </c>
      <c r="N598" s="11">
        <f t="shared" si="95"/>
        <v>23.8</v>
      </c>
      <c r="O598" s="11">
        <f t="shared" si="96"/>
        <v>0.17</v>
      </c>
      <c r="P598" s="12">
        <f t="shared" si="97"/>
        <v>-23.8</v>
      </c>
      <c r="Q598" s="17" t="str">
        <f t="shared" si="99"/>
        <v>Ecart négatif</v>
      </c>
    </row>
    <row r="599" spans="1:18" x14ac:dyDescent="0.3">
      <c r="A599" s="34" t="str">
        <f>base!J599</f>
        <v>RM</v>
      </c>
      <c r="B599" s="34" t="str">
        <f>base!V599</f>
        <v>85700</v>
      </c>
      <c r="C599" s="37">
        <v>85</v>
      </c>
      <c r="D599" s="36">
        <f>base!H599</f>
        <v>34</v>
      </c>
      <c r="E599" s="44"/>
      <c r="F599" s="16">
        <f>base!W599</f>
        <v>0</v>
      </c>
      <c r="G599" s="11">
        <f t="shared" si="90"/>
        <v>0</v>
      </c>
      <c r="H599" s="11">
        <f t="shared" si="91"/>
        <v>9.18</v>
      </c>
      <c r="I599" s="11">
        <f t="shared" si="92"/>
        <v>0.27</v>
      </c>
      <c r="J599" s="12">
        <f t="shared" si="93"/>
        <v>-9.18</v>
      </c>
      <c r="K599" s="17" t="str">
        <f t="shared" si="98"/>
        <v>Ecart négatif</v>
      </c>
      <c r="L599" s="16">
        <f>base!X599</f>
        <v>0</v>
      </c>
      <c r="M599" s="11">
        <f t="shared" si="94"/>
        <v>0</v>
      </c>
      <c r="N599" s="11">
        <f t="shared" si="95"/>
        <v>0</v>
      </c>
      <c r="O599" s="11">
        <f t="shared" si="96"/>
        <v>0</v>
      </c>
      <c r="P599" s="12">
        <f t="shared" si="97"/>
        <v>0</v>
      </c>
      <c r="Q599" s="17" t="str">
        <f t="shared" si="99"/>
        <v>Pas d'écart</v>
      </c>
    </row>
    <row r="600" spans="1:18" x14ac:dyDescent="0.3">
      <c r="A600" s="34" t="str">
        <f>base!J600</f>
        <v>RS</v>
      </c>
      <c r="B600" s="34" t="str">
        <f>base!V600</f>
        <v>59211</v>
      </c>
      <c r="C600" s="37">
        <v>59</v>
      </c>
      <c r="D600" s="36">
        <f>base!H600</f>
        <v>196.98</v>
      </c>
      <c r="E600" s="44"/>
      <c r="F600" s="16">
        <f>base!W600</f>
        <v>0</v>
      </c>
      <c r="G600" s="11">
        <f t="shared" si="90"/>
        <v>0</v>
      </c>
      <c r="H600" s="11">
        <f t="shared" si="91"/>
        <v>37.426200000000001</v>
      </c>
      <c r="I600" s="11">
        <f t="shared" si="92"/>
        <v>0.19000000000000003</v>
      </c>
      <c r="J600" s="12">
        <f t="shared" si="93"/>
        <v>-37.426200000000001</v>
      </c>
      <c r="K600" s="17" t="str">
        <f t="shared" si="98"/>
        <v>Ecart négatif</v>
      </c>
      <c r="L600" s="16">
        <f>base!X600</f>
        <v>0</v>
      </c>
      <c r="M600" s="11">
        <f t="shared" si="94"/>
        <v>0</v>
      </c>
      <c r="N600" s="11">
        <f t="shared" si="95"/>
        <v>0</v>
      </c>
      <c r="O600" s="11">
        <f t="shared" si="96"/>
        <v>0</v>
      </c>
      <c r="P600" s="12">
        <f t="shared" si="97"/>
        <v>0</v>
      </c>
      <c r="Q600" s="17" t="str">
        <f t="shared" si="99"/>
        <v>Pas d'écart</v>
      </c>
    </row>
    <row r="601" spans="1:18" x14ac:dyDescent="0.3">
      <c r="A601" s="34" t="str">
        <f>base!J601</f>
        <v>RM</v>
      </c>
      <c r="B601" s="34" t="str">
        <f>base!V601</f>
        <v>70000</v>
      </c>
      <c r="C601" s="37">
        <v>70</v>
      </c>
      <c r="D601" s="36">
        <f>base!H601</f>
        <v>22.5</v>
      </c>
      <c r="E601" s="44"/>
      <c r="F601" s="16">
        <f>base!W601</f>
        <v>0</v>
      </c>
      <c r="G601" s="11">
        <f t="shared" si="90"/>
        <v>0</v>
      </c>
      <c r="H601" s="11">
        <f t="shared" si="91"/>
        <v>5.3999999999999995</v>
      </c>
      <c r="I601" s="11">
        <f t="shared" si="92"/>
        <v>0.23999999999999996</v>
      </c>
      <c r="J601" s="12">
        <f t="shared" si="93"/>
        <v>-5.3999999999999995</v>
      </c>
      <c r="K601" s="17" t="str">
        <f t="shared" si="98"/>
        <v>Ecart négatif</v>
      </c>
      <c r="L601" s="16">
        <f>base!X601</f>
        <v>0</v>
      </c>
      <c r="M601" s="11">
        <f t="shared" si="94"/>
        <v>0</v>
      </c>
      <c r="N601" s="11">
        <f t="shared" si="95"/>
        <v>2.6999999999999997</v>
      </c>
      <c r="O601" s="11">
        <f t="shared" si="96"/>
        <v>0.11999999999999998</v>
      </c>
      <c r="P601" s="12">
        <f t="shared" si="97"/>
        <v>-2.6999999999999997</v>
      </c>
      <c r="Q601" s="17" t="str">
        <f t="shared" si="99"/>
        <v>Ecart négatif</v>
      </c>
    </row>
    <row r="602" spans="1:18" x14ac:dyDescent="0.3">
      <c r="A602" s="34" t="str">
        <f>base!J602</f>
        <v>RS</v>
      </c>
      <c r="B602" s="34" t="str">
        <f>base!V602</f>
        <v>06300</v>
      </c>
      <c r="C602" s="37">
        <v>6</v>
      </c>
      <c r="D602" s="36">
        <f>base!H602</f>
        <v>90.1</v>
      </c>
      <c r="E602" s="44"/>
      <c r="F602" s="16">
        <f>base!W602</f>
        <v>0</v>
      </c>
      <c r="G602" s="11">
        <f t="shared" si="90"/>
        <v>0</v>
      </c>
      <c r="H602" s="11">
        <f t="shared" si="91"/>
        <v>27.029999999999998</v>
      </c>
      <c r="I602" s="11">
        <f t="shared" si="92"/>
        <v>0.3</v>
      </c>
      <c r="J602" s="12">
        <f t="shared" si="93"/>
        <v>-27.029999999999998</v>
      </c>
      <c r="K602" s="17" t="str">
        <f t="shared" si="98"/>
        <v>Ecart négatif</v>
      </c>
      <c r="L602" s="16">
        <f>base!X602</f>
        <v>18.920000000000002</v>
      </c>
      <c r="M602" s="11">
        <f t="shared" si="94"/>
        <v>0.20998890122086575</v>
      </c>
      <c r="N602" s="11">
        <f t="shared" si="95"/>
        <v>18.920999999999999</v>
      </c>
      <c r="O602" s="11">
        <f t="shared" si="96"/>
        <v>0.21000000000000002</v>
      </c>
      <c r="P602" s="12">
        <f t="shared" si="97"/>
        <v>-9.9999999999766942E-4</v>
      </c>
      <c r="Q602" s="17" t="str">
        <f t="shared" si="99"/>
        <v>Ecart négatif</v>
      </c>
      <c r="R602" s="38"/>
    </row>
    <row r="603" spans="1:18" x14ac:dyDescent="0.3">
      <c r="A603" s="34" t="str">
        <f>base!J603</f>
        <v>RM</v>
      </c>
      <c r="B603" s="34" t="str">
        <f>base!V603</f>
        <v>38000</v>
      </c>
      <c r="C603" s="37">
        <v>38</v>
      </c>
      <c r="D603" s="36">
        <f>base!H603</f>
        <v>80</v>
      </c>
      <c r="E603" s="44"/>
      <c r="F603" s="16">
        <f>base!W603</f>
        <v>0</v>
      </c>
      <c r="G603" s="11">
        <f t="shared" si="90"/>
        <v>0</v>
      </c>
      <c r="H603" s="11">
        <f t="shared" si="91"/>
        <v>21.6</v>
      </c>
      <c r="I603" s="11">
        <f t="shared" si="92"/>
        <v>0.27</v>
      </c>
      <c r="J603" s="12">
        <f t="shared" si="93"/>
        <v>-21.6</v>
      </c>
      <c r="K603" s="17" t="str">
        <f t="shared" si="98"/>
        <v>Ecart négatif</v>
      </c>
      <c r="L603" s="16">
        <f>base!X603</f>
        <v>21.6</v>
      </c>
      <c r="M603" s="11">
        <f t="shared" si="94"/>
        <v>0.27</v>
      </c>
      <c r="N603" s="11">
        <f t="shared" si="95"/>
        <v>0</v>
      </c>
      <c r="O603" s="11">
        <f t="shared" si="96"/>
        <v>0</v>
      </c>
      <c r="P603" s="12">
        <f t="shared" si="97"/>
        <v>21.6</v>
      </c>
      <c r="Q603" s="17" t="str">
        <f t="shared" si="99"/>
        <v>Ecart positif</v>
      </c>
    </row>
    <row r="604" spans="1:18" x14ac:dyDescent="0.3">
      <c r="A604" s="34" t="str">
        <f>base!J604</f>
        <v>DLM</v>
      </c>
      <c r="B604" s="34" t="str">
        <f>base!V604</f>
        <v>69003</v>
      </c>
      <c r="C604" s="37">
        <v>69</v>
      </c>
      <c r="D604" s="36">
        <f>base!H604</f>
        <v>52.5</v>
      </c>
      <c r="E604" s="44"/>
      <c r="F604" s="16">
        <f>base!W604</f>
        <v>0</v>
      </c>
      <c r="G604" s="11">
        <f t="shared" si="90"/>
        <v>0</v>
      </c>
      <c r="H604" s="11">
        <f t="shared" si="91"/>
        <v>14.175000000000001</v>
      </c>
      <c r="I604" s="11">
        <f t="shared" si="92"/>
        <v>0.27</v>
      </c>
      <c r="J604" s="12">
        <f t="shared" si="93"/>
        <v>-14.175000000000001</v>
      </c>
      <c r="K604" s="17" t="str">
        <f t="shared" si="98"/>
        <v>Ecart négatif</v>
      </c>
      <c r="L604" s="16">
        <f>base!X604</f>
        <v>0</v>
      </c>
      <c r="M604" s="11">
        <f t="shared" si="94"/>
        <v>0</v>
      </c>
      <c r="N604" s="11">
        <f t="shared" si="95"/>
        <v>0</v>
      </c>
      <c r="O604" s="11">
        <f t="shared" si="96"/>
        <v>0</v>
      </c>
      <c r="P604" s="12">
        <f t="shared" si="97"/>
        <v>0</v>
      </c>
      <c r="Q604" s="17" t="str">
        <f t="shared" si="99"/>
        <v>Pas d'écart</v>
      </c>
    </row>
    <row r="605" spans="1:18" x14ac:dyDescent="0.3">
      <c r="A605" s="34" t="str">
        <f>base!J605</f>
        <v>DLM</v>
      </c>
      <c r="B605" s="34" t="str">
        <f>base!V605</f>
        <v>68200</v>
      </c>
      <c r="C605" s="37">
        <v>68</v>
      </c>
      <c r="D605" s="36">
        <f>base!H605</f>
        <v>52.5</v>
      </c>
      <c r="E605" s="44"/>
      <c r="F605" s="16">
        <f>base!W605</f>
        <v>0</v>
      </c>
      <c r="G605" s="11">
        <f t="shared" si="90"/>
        <v>0</v>
      </c>
      <c r="H605" s="11">
        <f t="shared" si="91"/>
        <v>15.225</v>
      </c>
      <c r="I605" s="11">
        <f t="shared" si="92"/>
        <v>0.28999999999999998</v>
      </c>
      <c r="J605" s="12">
        <f t="shared" si="93"/>
        <v>-15.225</v>
      </c>
      <c r="K605" s="17" t="str">
        <f t="shared" si="98"/>
        <v>Ecart négatif</v>
      </c>
      <c r="L605" s="16">
        <f>base!X605</f>
        <v>0</v>
      </c>
      <c r="M605" s="11">
        <f t="shared" si="94"/>
        <v>0</v>
      </c>
      <c r="N605" s="11">
        <f t="shared" si="95"/>
        <v>4.2</v>
      </c>
      <c r="O605" s="11">
        <f t="shared" si="96"/>
        <v>0.08</v>
      </c>
      <c r="P605" s="12">
        <f t="shared" si="97"/>
        <v>-4.2</v>
      </c>
      <c r="Q605" s="17" t="str">
        <f t="shared" si="99"/>
        <v>Ecart négatif</v>
      </c>
    </row>
    <row r="606" spans="1:18" x14ac:dyDescent="0.3">
      <c r="A606" s="34" t="str">
        <f>base!J606</f>
        <v>DLM</v>
      </c>
      <c r="B606" s="34" t="str">
        <f>base!V606</f>
        <v>24000</v>
      </c>
      <c r="C606" s="37">
        <v>24</v>
      </c>
      <c r="D606" s="36">
        <f>base!H606</f>
        <v>52.5</v>
      </c>
      <c r="E606" s="44"/>
      <c r="F606" s="16">
        <f>base!W606</f>
        <v>0</v>
      </c>
      <c r="G606" s="11">
        <f t="shared" si="90"/>
        <v>0</v>
      </c>
      <c r="H606" s="11">
        <f t="shared" si="91"/>
        <v>11.025</v>
      </c>
      <c r="I606" s="11">
        <f t="shared" si="92"/>
        <v>0.21000000000000002</v>
      </c>
      <c r="J606" s="12">
        <f t="shared" si="93"/>
        <v>-11.025</v>
      </c>
      <c r="K606" s="17" t="str">
        <f t="shared" si="98"/>
        <v>Ecart négatif</v>
      </c>
      <c r="L606" s="16">
        <f>base!X606</f>
        <v>0</v>
      </c>
      <c r="M606" s="11">
        <f t="shared" si="94"/>
        <v>0</v>
      </c>
      <c r="N606" s="11">
        <f t="shared" si="95"/>
        <v>8.9250000000000007</v>
      </c>
      <c r="O606" s="11">
        <f t="shared" si="96"/>
        <v>0.17</v>
      </c>
      <c r="P606" s="12">
        <f t="shared" si="97"/>
        <v>-8.9250000000000007</v>
      </c>
      <c r="Q606" s="17" t="str">
        <f t="shared" si="99"/>
        <v>Ecart négatif</v>
      </c>
    </row>
    <row r="607" spans="1:18" x14ac:dyDescent="0.3">
      <c r="A607" s="34" t="str">
        <f>base!J607</f>
        <v>DLM</v>
      </c>
      <c r="B607" s="34" t="str">
        <f>base!V607</f>
        <v>38200</v>
      </c>
      <c r="C607" s="37">
        <v>38</v>
      </c>
      <c r="D607" s="36">
        <f>base!H607</f>
        <v>52.5</v>
      </c>
      <c r="E607" s="44"/>
      <c r="F607" s="16">
        <f>base!W607</f>
        <v>0</v>
      </c>
      <c r="G607" s="11">
        <f t="shared" si="90"/>
        <v>0</v>
      </c>
      <c r="H607" s="11">
        <f t="shared" si="91"/>
        <v>14.175000000000001</v>
      </c>
      <c r="I607" s="11">
        <f t="shared" si="92"/>
        <v>0.27</v>
      </c>
      <c r="J607" s="12">
        <f t="shared" si="93"/>
        <v>-14.175000000000001</v>
      </c>
      <c r="K607" s="17" t="str">
        <f t="shared" si="98"/>
        <v>Ecart négatif</v>
      </c>
      <c r="L607" s="16">
        <f>base!X607</f>
        <v>0</v>
      </c>
      <c r="M607" s="11">
        <f t="shared" si="94"/>
        <v>0</v>
      </c>
      <c r="N607" s="11">
        <f t="shared" si="95"/>
        <v>0</v>
      </c>
      <c r="O607" s="11">
        <f t="shared" si="96"/>
        <v>0</v>
      </c>
      <c r="P607" s="12">
        <f t="shared" si="97"/>
        <v>0</v>
      </c>
      <c r="Q607" s="17" t="str">
        <f t="shared" si="99"/>
        <v>Pas d'écart</v>
      </c>
    </row>
    <row r="608" spans="1:18" x14ac:dyDescent="0.3">
      <c r="A608" s="34" t="str">
        <f>base!J608</f>
        <v>DLM</v>
      </c>
      <c r="B608" s="34" t="str">
        <f>base!V608</f>
        <v>83300</v>
      </c>
      <c r="C608" s="37">
        <v>83</v>
      </c>
      <c r="D608" s="36">
        <f>base!H608</f>
        <v>52.5</v>
      </c>
      <c r="E608" s="44"/>
      <c r="F608" s="16">
        <f>base!W608</f>
        <v>0</v>
      </c>
      <c r="G608" s="11">
        <f t="shared" si="90"/>
        <v>0</v>
      </c>
      <c r="H608" s="11">
        <f t="shared" si="91"/>
        <v>15.75</v>
      </c>
      <c r="I608" s="11">
        <f t="shared" si="92"/>
        <v>0.3</v>
      </c>
      <c r="J608" s="12">
        <f t="shared" si="93"/>
        <v>-15.75</v>
      </c>
      <c r="K608" s="17" t="str">
        <f t="shared" si="98"/>
        <v>Ecart négatif</v>
      </c>
      <c r="L608" s="16">
        <f>base!X608</f>
        <v>0</v>
      </c>
      <c r="M608" s="11">
        <f t="shared" si="94"/>
        <v>0</v>
      </c>
      <c r="N608" s="11">
        <f t="shared" si="95"/>
        <v>11.025</v>
      </c>
      <c r="O608" s="11">
        <f t="shared" si="96"/>
        <v>0.21000000000000002</v>
      </c>
      <c r="P608" s="12">
        <f t="shared" si="97"/>
        <v>-11.025</v>
      </c>
      <c r="Q608" s="17" t="str">
        <f t="shared" si="99"/>
        <v>Ecart négatif</v>
      </c>
    </row>
    <row r="609" spans="1:17" x14ac:dyDescent="0.3">
      <c r="A609" s="34" t="str">
        <f>base!J609</f>
        <v>DLM</v>
      </c>
      <c r="B609" s="34" t="str">
        <f>base!V609</f>
        <v>69003</v>
      </c>
      <c r="C609" s="37">
        <v>69</v>
      </c>
      <c r="D609" s="36">
        <f>base!H609</f>
        <v>52.5</v>
      </c>
      <c r="E609" s="44"/>
      <c r="F609" s="16">
        <f>base!W609</f>
        <v>0</v>
      </c>
      <c r="G609" s="11">
        <f t="shared" si="90"/>
        <v>0</v>
      </c>
      <c r="H609" s="11">
        <f t="shared" si="91"/>
        <v>14.175000000000001</v>
      </c>
      <c r="I609" s="11">
        <f t="shared" si="92"/>
        <v>0.27</v>
      </c>
      <c r="J609" s="12">
        <f t="shared" si="93"/>
        <v>-14.175000000000001</v>
      </c>
      <c r="K609" s="17" t="str">
        <f t="shared" si="98"/>
        <v>Ecart négatif</v>
      </c>
      <c r="L609" s="16">
        <f>base!X609</f>
        <v>0</v>
      </c>
      <c r="M609" s="11">
        <f t="shared" si="94"/>
        <v>0</v>
      </c>
      <c r="N609" s="11">
        <f t="shared" si="95"/>
        <v>0</v>
      </c>
      <c r="O609" s="11">
        <f t="shared" si="96"/>
        <v>0</v>
      </c>
      <c r="P609" s="12">
        <f t="shared" si="97"/>
        <v>0</v>
      </c>
      <c r="Q609" s="17" t="str">
        <f t="shared" si="99"/>
        <v>Pas d'écart</v>
      </c>
    </row>
    <row r="610" spans="1:17" x14ac:dyDescent="0.3">
      <c r="A610" s="34" t="str">
        <f>base!J610</f>
        <v>RM</v>
      </c>
      <c r="B610" s="34" t="str">
        <f>base!V610</f>
        <v>77184</v>
      </c>
      <c r="C610" s="37">
        <v>77</v>
      </c>
      <c r="D610" s="36">
        <f>base!H610</f>
        <v>25</v>
      </c>
      <c r="E610" s="44"/>
      <c r="F610" s="16">
        <f>base!W610</f>
        <v>0</v>
      </c>
      <c r="G610" s="11">
        <f t="shared" si="90"/>
        <v>0</v>
      </c>
      <c r="H610" s="11">
        <f t="shared" si="91"/>
        <v>0</v>
      </c>
      <c r="I610" s="11">
        <f t="shared" si="92"/>
        <v>0</v>
      </c>
      <c r="J610" s="12">
        <f t="shared" si="93"/>
        <v>0</v>
      </c>
      <c r="K610" s="17" t="str">
        <f t="shared" si="98"/>
        <v>Pas d'écart</v>
      </c>
      <c r="L610" s="16">
        <f>base!X610</f>
        <v>0</v>
      </c>
      <c r="M610" s="11">
        <f t="shared" si="94"/>
        <v>0</v>
      </c>
      <c r="N610" s="11">
        <f t="shared" si="95"/>
        <v>0</v>
      </c>
      <c r="O610" s="11">
        <f t="shared" si="96"/>
        <v>0</v>
      </c>
      <c r="P610" s="12">
        <f t="shared" si="97"/>
        <v>0</v>
      </c>
      <c r="Q610" s="17" t="str">
        <f t="shared" si="99"/>
        <v>Pas d'écart</v>
      </c>
    </row>
    <row r="611" spans="1:17" x14ac:dyDescent="0.3">
      <c r="A611" s="34" t="str">
        <f>base!J611</f>
        <v>RM</v>
      </c>
      <c r="B611" s="34" t="str">
        <f>base!V611</f>
        <v>61100</v>
      </c>
      <c r="C611" s="37">
        <v>61</v>
      </c>
      <c r="D611" s="36">
        <f>base!H611</f>
        <v>140</v>
      </c>
      <c r="E611" s="44"/>
      <c r="F611" s="16">
        <f>base!W611</f>
        <v>0</v>
      </c>
      <c r="G611" s="11">
        <f t="shared" si="90"/>
        <v>0</v>
      </c>
      <c r="H611" s="11">
        <f t="shared" si="91"/>
        <v>23.8</v>
      </c>
      <c r="I611" s="11">
        <f t="shared" si="92"/>
        <v>0.17</v>
      </c>
      <c r="J611" s="12">
        <f t="shared" si="93"/>
        <v>-23.8</v>
      </c>
      <c r="K611" s="17" t="str">
        <f t="shared" si="98"/>
        <v>Ecart négatif</v>
      </c>
      <c r="L611" s="16">
        <f>base!X611</f>
        <v>0</v>
      </c>
      <c r="M611" s="11">
        <f t="shared" si="94"/>
        <v>0</v>
      </c>
      <c r="N611" s="11">
        <f t="shared" si="95"/>
        <v>23.8</v>
      </c>
      <c r="O611" s="11">
        <f t="shared" si="96"/>
        <v>0.17</v>
      </c>
      <c r="P611" s="12">
        <f t="shared" si="97"/>
        <v>-23.8</v>
      </c>
      <c r="Q611" s="17" t="str">
        <f t="shared" si="99"/>
        <v>Ecart négatif</v>
      </c>
    </row>
    <row r="612" spans="1:17" x14ac:dyDescent="0.3">
      <c r="A612" s="34" t="str">
        <f>base!J612</f>
        <v>RS</v>
      </c>
      <c r="B612" s="34" t="str">
        <f>base!V612</f>
        <v>35270</v>
      </c>
      <c r="C612" s="37">
        <v>35</v>
      </c>
      <c r="D612" s="36">
        <f>base!H612</f>
        <v>70</v>
      </c>
      <c r="E612" s="44"/>
      <c r="F612" s="16">
        <f>base!W612</f>
        <v>0</v>
      </c>
      <c r="G612" s="11">
        <f t="shared" si="90"/>
        <v>0</v>
      </c>
      <c r="H612" s="11">
        <f t="shared" si="91"/>
        <v>18.900000000000002</v>
      </c>
      <c r="I612" s="11">
        <f t="shared" si="92"/>
        <v>0.27</v>
      </c>
      <c r="J612" s="12">
        <f t="shared" si="93"/>
        <v>-18.900000000000002</v>
      </c>
      <c r="K612" s="17" t="str">
        <f t="shared" si="98"/>
        <v>Ecart négatif</v>
      </c>
      <c r="L612" s="16">
        <f>base!X612</f>
        <v>0</v>
      </c>
      <c r="M612" s="11">
        <f t="shared" si="94"/>
        <v>0</v>
      </c>
      <c r="N612" s="11">
        <f t="shared" si="95"/>
        <v>0</v>
      </c>
      <c r="O612" s="11">
        <f t="shared" si="96"/>
        <v>0</v>
      </c>
      <c r="P612" s="12">
        <f t="shared" si="97"/>
        <v>0</v>
      </c>
      <c r="Q612" s="17" t="str">
        <f t="shared" si="99"/>
        <v>Pas d'écart</v>
      </c>
    </row>
    <row r="613" spans="1:17" x14ac:dyDescent="0.3">
      <c r="A613" s="34" t="str">
        <f>base!J613</f>
        <v>LM</v>
      </c>
      <c r="B613" s="34" t="str">
        <f>base!V613</f>
        <v>56920</v>
      </c>
      <c r="C613" s="37">
        <v>76</v>
      </c>
      <c r="D613" s="36">
        <f>base!H613</f>
        <v>103.62</v>
      </c>
      <c r="E613" s="44"/>
      <c r="F613" s="16">
        <f>base!W613</f>
        <v>27.98</v>
      </c>
      <c r="G613" s="11">
        <f t="shared" si="90"/>
        <v>0.27002509168114264</v>
      </c>
      <c r="H613" s="11">
        <f t="shared" si="91"/>
        <v>17.615400000000001</v>
      </c>
      <c r="I613" s="11">
        <f t="shared" si="92"/>
        <v>0.17</v>
      </c>
      <c r="J613" s="12">
        <f t="shared" si="93"/>
        <v>10.364599999999999</v>
      </c>
      <c r="K613" s="17" t="str">
        <f t="shared" si="98"/>
        <v>Ecart positif</v>
      </c>
      <c r="L613" s="16">
        <f>base!X613</f>
        <v>0</v>
      </c>
      <c r="M613" s="11">
        <f t="shared" si="94"/>
        <v>0</v>
      </c>
      <c r="N613" s="11">
        <f t="shared" si="95"/>
        <v>17.615400000000001</v>
      </c>
      <c r="O613" s="11">
        <f t="shared" si="96"/>
        <v>0.17</v>
      </c>
      <c r="P613" s="12">
        <f t="shared" si="97"/>
        <v>-17.615400000000001</v>
      </c>
      <c r="Q613" s="17" t="str">
        <f t="shared" si="99"/>
        <v>Ecart négatif</v>
      </c>
    </row>
    <row r="614" spans="1:17" x14ac:dyDescent="0.3">
      <c r="A614" s="34" t="str">
        <f>base!J614</f>
        <v>LM</v>
      </c>
      <c r="B614" s="34" t="str">
        <f>base!V614</f>
        <v>38110</v>
      </c>
      <c r="C614" s="37">
        <v>61</v>
      </c>
      <c r="D614" s="36">
        <f>base!H614</f>
        <v>19.649999999999999</v>
      </c>
      <c r="E614" s="44"/>
      <c r="F614" s="16">
        <f>base!W614</f>
        <v>5.31</v>
      </c>
      <c r="G614" s="11">
        <f t="shared" si="90"/>
        <v>0.27022900763358776</v>
      </c>
      <c r="H614" s="11">
        <f t="shared" si="91"/>
        <v>3.3405</v>
      </c>
      <c r="I614" s="11">
        <f t="shared" si="92"/>
        <v>0.17</v>
      </c>
      <c r="J614" s="12">
        <f t="shared" si="93"/>
        <v>1.9694999999999996</v>
      </c>
      <c r="K614" s="17" t="str">
        <f t="shared" si="98"/>
        <v>Ecart positif</v>
      </c>
      <c r="L614" s="16">
        <f>base!X614</f>
        <v>0</v>
      </c>
      <c r="M614" s="11">
        <f t="shared" si="94"/>
        <v>0</v>
      </c>
      <c r="N614" s="11">
        <f t="shared" si="95"/>
        <v>3.3405</v>
      </c>
      <c r="O614" s="11">
        <f t="shared" si="96"/>
        <v>0.17</v>
      </c>
      <c r="P614" s="12">
        <f t="shared" si="97"/>
        <v>-3.3405</v>
      </c>
      <c r="Q614" s="17" t="str">
        <f t="shared" si="99"/>
        <v>Ecart négatif</v>
      </c>
    </row>
    <row r="615" spans="1:17" x14ac:dyDescent="0.3">
      <c r="A615" s="34" t="str">
        <f>base!J615</f>
        <v>RS</v>
      </c>
      <c r="B615" s="34" t="str">
        <f>base!V615</f>
        <v>59160</v>
      </c>
      <c r="C615" s="37">
        <v>59</v>
      </c>
      <c r="D615" s="36">
        <f>base!H615</f>
        <v>136.4</v>
      </c>
      <c r="E615" s="44"/>
      <c r="F615" s="16">
        <f>base!W615</f>
        <v>0</v>
      </c>
      <c r="G615" s="11">
        <f t="shared" si="90"/>
        <v>0</v>
      </c>
      <c r="H615" s="11">
        <f t="shared" si="91"/>
        <v>25.916</v>
      </c>
      <c r="I615" s="11">
        <f t="shared" si="92"/>
        <v>0.19</v>
      </c>
      <c r="J615" s="12">
        <f t="shared" si="93"/>
        <v>-25.916</v>
      </c>
      <c r="K615" s="17" t="str">
        <f t="shared" si="98"/>
        <v>Ecart négatif</v>
      </c>
      <c r="L615" s="16">
        <f>base!X615</f>
        <v>0</v>
      </c>
      <c r="M615" s="11">
        <f t="shared" si="94"/>
        <v>0</v>
      </c>
      <c r="N615" s="11">
        <f t="shared" si="95"/>
        <v>0</v>
      </c>
      <c r="O615" s="11">
        <f t="shared" si="96"/>
        <v>0</v>
      </c>
      <c r="P615" s="12">
        <f t="shared" si="97"/>
        <v>0</v>
      </c>
      <c r="Q615" s="17" t="str">
        <f t="shared" si="99"/>
        <v>Pas d'écart</v>
      </c>
    </row>
    <row r="616" spans="1:17" x14ac:dyDescent="0.3">
      <c r="A616" s="34" t="str">
        <f>base!J616</f>
        <v>RM</v>
      </c>
      <c r="B616" s="34" t="str">
        <f>base!V616</f>
        <v>27300</v>
      </c>
      <c r="C616" s="37">
        <v>27</v>
      </c>
      <c r="D616" s="36">
        <f>base!H616</f>
        <v>24.8</v>
      </c>
      <c r="E616" s="44"/>
      <c r="F616" s="16">
        <f>base!W616</f>
        <v>0</v>
      </c>
      <c r="G616" s="11">
        <f t="shared" si="90"/>
        <v>0</v>
      </c>
      <c r="H616" s="11">
        <f t="shared" si="91"/>
        <v>4.2160000000000002</v>
      </c>
      <c r="I616" s="11">
        <f t="shared" si="92"/>
        <v>0.17</v>
      </c>
      <c r="J616" s="12">
        <f t="shared" si="93"/>
        <v>-4.2160000000000002</v>
      </c>
      <c r="K616" s="17" t="str">
        <f t="shared" si="98"/>
        <v>Ecart négatif</v>
      </c>
      <c r="L616" s="16">
        <f>base!X616</f>
        <v>0</v>
      </c>
      <c r="M616" s="11">
        <f t="shared" si="94"/>
        <v>0</v>
      </c>
      <c r="N616" s="11">
        <f t="shared" si="95"/>
        <v>4.2160000000000002</v>
      </c>
      <c r="O616" s="11">
        <f t="shared" si="96"/>
        <v>0.17</v>
      </c>
      <c r="P616" s="12">
        <f t="shared" si="97"/>
        <v>-4.2160000000000002</v>
      </c>
      <c r="Q616" s="17" t="str">
        <f t="shared" si="99"/>
        <v>Ecart négatif</v>
      </c>
    </row>
    <row r="617" spans="1:17" x14ac:dyDescent="0.3">
      <c r="A617" s="34">
        <f>base!J617</f>
        <v>0</v>
      </c>
      <c r="B617" s="34" t="str">
        <f>base!V617</f>
        <v>77184</v>
      </c>
      <c r="C617" s="37">
        <v>77</v>
      </c>
      <c r="D617" s="36">
        <f>base!H617</f>
        <v>20</v>
      </c>
      <c r="E617" s="44"/>
      <c r="F617" s="16">
        <f>base!W617</f>
        <v>0</v>
      </c>
      <c r="G617" s="11">
        <f t="shared" si="90"/>
        <v>0</v>
      </c>
      <c r="H617" s="11">
        <f t="shared" si="91"/>
        <v>0</v>
      </c>
      <c r="I617" s="11">
        <f t="shared" si="92"/>
        <v>0</v>
      </c>
      <c r="J617" s="12">
        <f t="shared" si="93"/>
        <v>0</v>
      </c>
      <c r="K617" s="17" t="str">
        <f t="shared" si="98"/>
        <v>Pas d'écart</v>
      </c>
      <c r="L617" s="16">
        <f>base!X617</f>
        <v>0</v>
      </c>
      <c r="M617" s="11">
        <f t="shared" si="94"/>
        <v>0</v>
      </c>
      <c r="N617" s="11">
        <f t="shared" si="95"/>
        <v>0</v>
      </c>
      <c r="O617" s="11">
        <f t="shared" si="96"/>
        <v>0</v>
      </c>
      <c r="P617" s="12">
        <f t="shared" si="97"/>
        <v>0</v>
      </c>
      <c r="Q617" s="17" t="str">
        <f t="shared" si="99"/>
        <v>Pas d'écart</v>
      </c>
    </row>
    <row r="618" spans="1:17" x14ac:dyDescent="0.3">
      <c r="A618" s="34">
        <f>base!J618</f>
        <v>0</v>
      </c>
      <c r="B618" s="34" t="str">
        <f>base!V618</f>
        <v>77184</v>
      </c>
      <c r="C618" s="37">
        <v>77</v>
      </c>
      <c r="D618" s="36">
        <f>base!H618</f>
        <v>20</v>
      </c>
      <c r="E618" s="44"/>
      <c r="F618" s="16">
        <f>base!W618</f>
        <v>0</v>
      </c>
      <c r="G618" s="11">
        <f t="shared" si="90"/>
        <v>0</v>
      </c>
      <c r="H618" s="11">
        <f t="shared" si="91"/>
        <v>0</v>
      </c>
      <c r="I618" s="11">
        <f t="shared" si="92"/>
        <v>0</v>
      </c>
      <c r="J618" s="12">
        <f t="shared" si="93"/>
        <v>0</v>
      </c>
      <c r="K618" s="17" t="str">
        <f t="shared" si="98"/>
        <v>Pas d'écart</v>
      </c>
      <c r="L618" s="16">
        <f>base!X618</f>
        <v>0</v>
      </c>
      <c r="M618" s="11">
        <f t="shared" si="94"/>
        <v>0</v>
      </c>
      <c r="N618" s="11">
        <f t="shared" si="95"/>
        <v>0</v>
      </c>
      <c r="O618" s="11">
        <f t="shared" si="96"/>
        <v>0</v>
      </c>
      <c r="P618" s="12">
        <f t="shared" si="97"/>
        <v>0</v>
      </c>
      <c r="Q618" s="17" t="str">
        <f t="shared" si="99"/>
        <v>Pas d'écart</v>
      </c>
    </row>
    <row r="619" spans="1:17" x14ac:dyDescent="0.3">
      <c r="A619" s="34" t="str">
        <f>base!J619</f>
        <v>DLS</v>
      </c>
      <c r="B619" s="34" t="str">
        <f>base!V619</f>
        <v>44000</v>
      </c>
      <c r="C619" s="37">
        <v>44</v>
      </c>
      <c r="D619" s="36">
        <f>base!H619</f>
        <v>184.06</v>
      </c>
      <c r="E619" s="44"/>
      <c r="F619" s="16">
        <f>base!W619</f>
        <v>0</v>
      </c>
      <c r="G619" s="11">
        <f t="shared" si="90"/>
        <v>0</v>
      </c>
      <c r="H619" s="11">
        <f t="shared" si="91"/>
        <v>49.696200000000005</v>
      </c>
      <c r="I619" s="11">
        <f t="shared" si="92"/>
        <v>0.27</v>
      </c>
      <c r="J619" s="12">
        <f t="shared" si="93"/>
        <v>-49.696200000000005</v>
      </c>
      <c r="K619" s="17" t="str">
        <f t="shared" si="98"/>
        <v>Ecart négatif</v>
      </c>
      <c r="L619" s="16">
        <f>base!X619</f>
        <v>0</v>
      </c>
      <c r="M619" s="11">
        <f t="shared" si="94"/>
        <v>0</v>
      </c>
      <c r="N619" s="11">
        <f t="shared" si="95"/>
        <v>0</v>
      </c>
      <c r="O619" s="11">
        <f t="shared" si="96"/>
        <v>0</v>
      </c>
      <c r="P619" s="12">
        <f t="shared" si="97"/>
        <v>0</v>
      </c>
      <c r="Q619" s="17" t="str">
        <f t="shared" si="99"/>
        <v>Pas d'écart</v>
      </c>
    </row>
    <row r="620" spans="1:17" x14ac:dyDescent="0.3">
      <c r="A620" s="34" t="str">
        <f>base!J620</f>
        <v>RM</v>
      </c>
      <c r="B620" s="34" t="str">
        <f>base!V620</f>
        <v>06560</v>
      </c>
      <c r="C620" s="37">
        <v>6</v>
      </c>
      <c r="D620" s="36">
        <f>base!H620</f>
        <v>151</v>
      </c>
      <c r="E620" s="44"/>
      <c r="F620" s="16">
        <f>base!W620</f>
        <v>0</v>
      </c>
      <c r="G620" s="11">
        <f t="shared" si="90"/>
        <v>0</v>
      </c>
      <c r="H620" s="11">
        <f t="shared" si="91"/>
        <v>45.3</v>
      </c>
      <c r="I620" s="11">
        <f t="shared" si="92"/>
        <v>0.3</v>
      </c>
      <c r="J620" s="12">
        <f t="shared" si="93"/>
        <v>-45.3</v>
      </c>
      <c r="K620" s="17" t="str">
        <f t="shared" si="98"/>
        <v>Ecart négatif</v>
      </c>
      <c r="L620" s="16">
        <f>base!X620</f>
        <v>0</v>
      </c>
      <c r="M620" s="11">
        <f t="shared" si="94"/>
        <v>0</v>
      </c>
      <c r="N620" s="11">
        <f t="shared" si="95"/>
        <v>31.709999999999997</v>
      </c>
      <c r="O620" s="11">
        <f t="shared" si="96"/>
        <v>0.21</v>
      </c>
      <c r="P620" s="12">
        <f t="shared" si="97"/>
        <v>-31.709999999999997</v>
      </c>
      <c r="Q620" s="17" t="str">
        <f t="shared" si="99"/>
        <v>Ecart négatif</v>
      </c>
    </row>
    <row r="621" spans="1:17" x14ac:dyDescent="0.3">
      <c r="A621" s="34" t="str">
        <f>base!J621</f>
        <v>RM</v>
      </c>
      <c r="B621" s="34" t="str">
        <f>base!V621</f>
        <v>06560</v>
      </c>
      <c r="C621" s="37">
        <v>6</v>
      </c>
      <c r="D621" s="36">
        <f>base!H621</f>
        <v>151</v>
      </c>
      <c r="E621" s="44"/>
      <c r="F621" s="16">
        <f>base!W621</f>
        <v>0</v>
      </c>
      <c r="G621" s="11">
        <f t="shared" si="90"/>
        <v>0</v>
      </c>
      <c r="H621" s="11">
        <f t="shared" si="91"/>
        <v>45.3</v>
      </c>
      <c r="I621" s="11">
        <f t="shared" si="92"/>
        <v>0.3</v>
      </c>
      <c r="J621" s="12">
        <f t="shared" si="93"/>
        <v>-45.3</v>
      </c>
      <c r="K621" s="17" t="str">
        <f t="shared" si="98"/>
        <v>Ecart négatif</v>
      </c>
      <c r="L621" s="16">
        <f>base!X621</f>
        <v>0</v>
      </c>
      <c r="M621" s="11">
        <f t="shared" si="94"/>
        <v>0</v>
      </c>
      <c r="N621" s="11">
        <f t="shared" si="95"/>
        <v>31.709999999999997</v>
      </c>
      <c r="O621" s="11">
        <f t="shared" si="96"/>
        <v>0.21</v>
      </c>
      <c r="P621" s="12">
        <f t="shared" si="97"/>
        <v>-31.709999999999997</v>
      </c>
      <c r="Q621" s="17" t="str">
        <f t="shared" si="99"/>
        <v>Ecart négatif</v>
      </c>
    </row>
    <row r="622" spans="1:17" x14ac:dyDescent="0.3">
      <c r="A622" s="34" t="str">
        <f>base!J622</f>
        <v>RM</v>
      </c>
      <c r="B622" s="34" t="str">
        <f>base!V622</f>
        <v>06560</v>
      </c>
      <c r="C622" s="37">
        <v>6</v>
      </c>
      <c r="D622" s="36">
        <f>base!H622</f>
        <v>151</v>
      </c>
      <c r="E622" s="44"/>
      <c r="F622" s="16">
        <f>base!W622</f>
        <v>0</v>
      </c>
      <c r="G622" s="11">
        <f t="shared" si="90"/>
        <v>0</v>
      </c>
      <c r="H622" s="11">
        <f t="shared" si="91"/>
        <v>45.3</v>
      </c>
      <c r="I622" s="11">
        <f t="shared" si="92"/>
        <v>0.3</v>
      </c>
      <c r="J622" s="12">
        <f t="shared" si="93"/>
        <v>-45.3</v>
      </c>
      <c r="K622" s="17" t="str">
        <f t="shared" si="98"/>
        <v>Ecart négatif</v>
      </c>
      <c r="L622" s="16">
        <f>base!X622</f>
        <v>0</v>
      </c>
      <c r="M622" s="11">
        <f t="shared" si="94"/>
        <v>0</v>
      </c>
      <c r="N622" s="11">
        <f t="shared" si="95"/>
        <v>31.709999999999997</v>
      </c>
      <c r="O622" s="11">
        <f t="shared" si="96"/>
        <v>0.21</v>
      </c>
      <c r="P622" s="12">
        <f t="shared" si="97"/>
        <v>-31.709999999999997</v>
      </c>
      <c r="Q622" s="17" t="str">
        <f t="shared" si="99"/>
        <v>Ecart négatif</v>
      </c>
    </row>
    <row r="623" spans="1:17" x14ac:dyDescent="0.3">
      <c r="A623" s="34" t="str">
        <f>base!J623</f>
        <v>RM</v>
      </c>
      <c r="B623" s="34" t="str">
        <f>base!V623</f>
        <v>06560</v>
      </c>
      <c r="C623" s="37">
        <v>6</v>
      </c>
      <c r="D623" s="36">
        <f>base!H623</f>
        <v>151</v>
      </c>
      <c r="E623" s="44"/>
      <c r="F623" s="16">
        <f>base!W623</f>
        <v>0</v>
      </c>
      <c r="G623" s="11">
        <f t="shared" si="90"/>
        <v>0</v>
      </c>
      <c r="H623" s="11">
        <f t="shared" si="91"/>
        <v>45.3</v>
      </c>
      <c r="I623" s="11">
        <f t="shared" si="92"/>
        <v>0.3</v>
      </c>
      <c r="J623" s="12">
        <f t="shared" si="93"/>
        <v>-45.3</v>
      </c>
      <c r="K623" s="17" t="str">
        <f t="shared" si="98"/>
        <v>Ecart négatif</v>
      </c>
      <c r="L623" s="16">
        <f>base!X623</f>
        <v>0</v>
      </c>
      <c r="M623" s="11">
        <f t="shared" si="94"/>
        <v>0</v>
      </c>
      <c r="N623" s="11">
        <f t="shared" si="95"/>
        <v>31.709999999999997</v>
      </c>
      <c r="O623" s="11">
        <f t="shared" si="96"/>
        <v>0.21</v>
      </c>
      <c r="P623" s="12">
        <f t="shared" si="97"/>
        <v>-31.709999999999997</v>
      </c>
      <c r="Q623" s="17" t="str">
        <f t="shared" si="99"/>
        <v>Ecart négatif</v>
      </c>
    </row>
    <row r="624" spans="1:17" x14ac:dyDescent="0.3">
      <c r="A624" s="34" t="str">
        <f>base!J624</f>
        <v>RM</v>
      </c>
      <c r="B624" s="34" t="str">
        <f>base!V624</f>
        <v>06560</v>
      </c>
      <c r="C624" s="37">
        <v>6</v>
      </c>
      <c r="D624" s="36">
        <f>base!H624</f>
        <v>151</v>
      </c>
      <c r="E624" s="44"/>
      <c r="F624" s="16">
        <f>base!W624</f>
        <v>0</v>
      </c>
      <c r="G624" s="11">
        <f t="shared" si="90"/>
        <v>0</v>
      </c>
      <c r="H624" s="11">
        <f t="shared" si="91"/>
        <v>45.3</v>
      </c>
      <c r="I624" s="11">
        <f t="shared" si="92"/>
        <v>0.3</v>
      </c>
      <c r="J624" s="12">
        <f t="shared" si="93"/>
        <v>-45.3</v>
      </c>
      <c r="K624" s="17" t="str">
        <f t="shared" si="98"/>
        <v>Ecart négatif</v>
      </c>
      <c r="L624" s="16">
        <f>base!X624</f>
        <v>0</v>
      </c>
      <c r="M624" s="11">
        <f t="shared" si="94"/>
        <v>0</v>
      </c>
      <c r="N624" s="11">
        <f t="shared" si="95"/>
        <v>31.709999999999997</v>
      </c>
      <c r="O624" s="11">
        <f t="shared" si="96"/>
        <v>0.21</v>
      </c>
      <c r="P624" s="12">
        <f t="shared" si="97"/>
        <v>-31.709999999999997</v>
      </c>
      <c r="Q624" s="17" t="str">
        <f t="shared" si="99"/>
        <v>Ecart négatif</v>
      </c>
    </row>
    <row r="625" spans="1:18" x14ac:dyDescent="0.3">
      <c r="A625" s="34" t="str">
        <f>base!J625</f>
        <v>RM</v>
      </c>
      <c r="B625" s="34" t="str">
        <f>base!V625</f>
        <v>06560</v>
      </c>
      <c r="C625" s="37">
        <v>6</v>
      </c>
      <c r="D625" s="36">
        <f>base!H625</f>
        <v>151</v>
      </c>
      <c r="E625" s="44"/>
      <c r="F625" s="16">
        <f>base!W625</f>
        <v>0</v>
      </c>
      <c r="G625" s="11">
        <f t="shared" si="90"/>
        <v>0</v>
      </c>
      <c r="H625" s="11">
        <f t="shared" si="91"/>
        <v>45.3</v>
      </c>
      <c r="I625" s="11">
        <f t="shared" si="92"/>
        <v>0.3</v>
      </c>
      <c r="J625" s="12">
        <f t="shared" si="93"/>
        <v>-45.3</v>
      </c>
      <c r="K625" s="17" t="str">
        <f t="shared" si="98"/>
        <v>Ecart négatif</v>
      </c>
      <c r="L625" s="16">
        <f>base!X625</f>
        <v>0</v>
      </c>
      <c r="M625" s="11">
        <f t="shared" si="94"/>
        <v>0</v>
      </c>
      <c r="N625" s="11">
        <f t="shared" si="95"/>
        <v>31.709999999999997</v>
      </c>
      <c r="O625" s="11">
        <f t="shared" si="96"/>
        <v>0.21</v>
      </c>
      <c r="P625" s="12">
        <f t="shared" si="97"/>
        <v>-31.709999999999997</v>
      </c>
      <c r="Q625" s="17" t="str">
        <f t="shared" si="99"/>
        <v>Ecart négatif</v>
      </c>
    </row>
    <row r="626" spans="1:18" x14ac:dyDescent="0.3">
      <c r="A626" s="34" t="str">
        <f>base!J626</f>
        <v>DLM</v>
      </c>
      <c r="B626" s="34" t="str">
        <f>base!V626</f>
        <v>45000</v>
      </c>
      <c r="C626" s="37">
        <v>45</v>
      </c>
      <c r="D626" s="36">
        <f>base!H626</f>
        <v>140</v>
      </c>
      <c r="E626" s="44"/>
      <c r="F626" s="16">
        <f>base!W626</f>
        <v>0</v>
      </c>
      <c r="G626" s="11">
        <f t="shared" si="90"/>
        <v>0</v>
      </c>
      <c r="H626" s="11">
        <f t="shared" si="91"/>
        <v>29.4</v>
      </c>
      <c r="I626" s="11">
        <f t="shared" si="92"/>
        <v>0.21</v>
      </c>
      <c r="J626" s="12">
        <f t="shared" si="93"/>
        <v>-29.4</v>
      </c>
      <c r="K626" s="17" t="str">
        <f t="shared" si="98"/>
        <v>Ecart négatif</v>
      </c>
      <c r="L626" s="16">
        <f>base!X626</f>
        <v>0</v>
      </c>
      <c r="M626" s="11">
        <f t="shared" si="94"/>
        <v>0</v>
      </c>
      <c r="N626" s="11">
        <f t="shared" si="95"/>
        <v>16.8</v>
      </c>
      <c r="O626" s="11">
        <f t="shared" si="96"/>
        <v>0.12000000000000001</v>
      </c>
      <c r="P626" s="12">
        <f t="shared" si="97"/>
        <v>-16.8</v>
      </c>
      <c r="Q626" s="17" t="str">
        <f t="shared" si="99"/>
        <v>Ecart négatif</v>
      </c>
    </row>
    <row r="627" spans="1:18" x14ac:dyDescent="0.3">
      <c r="A627" s="34" t="str">
        <f>base!J627</f>
        <v>RS</v>
      </c>
      <c r="B627" s="34" t="str">
        <f>base!V627</f>
        <v>44260</v>
      </c>
      <c r="C627" s="37">
        <v>44</v>
      </c>
      <c r="D627" s="36">
        <f>base!H627</f>
        <v>180</v>
      </c>
      <c r="E627" s="44"/>
      <c r="F627" s="16">
        <f>base!W627</f>
        <v>0</v>
      </c>
      <c r="G627" s="11">
        <f t="shared" si="90"/>
        <v>0</v>
      </c>
      <c r="H627" s="11">
        <f t="shared" si="91"/>
        <v>48.6</v>
      </c>
      <c r="I627" s="11">
        <f t="shared" si="92"/>
        <v>0.27</v>
      </c>
      <c r="J627" s="12">
        <f t="shared" si="93"/>
        <v>-48.6</v>
      </c>
      <c r="K627" s="17" t="str">
        <f t="shared" si="98"/>
        <v>Ecart négatif</v>
      </c>
      <c r="L627" s="16">
        <f>base!X627</f>
        <v>48.6</v>
      </c>
      <c r="M627" s="11">
        <f t="shared" si="94"/>
        <v>0.27</v>
      </c>
      <c r="N627" s="11">
        <f t="shared" si="95"/>
        <v>0</v>
      </c>
      <c r="O627" s="11">
        <f t="shared" si="96"/>
        <v>0</v>
      </c>
      <c r="P627" s="12">
        <f t="shared" si="97"/>
        <v>48.6</v>
      </c>
      <c r="Q627" s="17" t="str">
        <f t="shared" si="99"/>
        <v>Ecart positif</v>
      </c>
    </row>
    <row r="628" spans="1:18" x14ac:dyDescent="0.3">
      <c r="A628" s="34" t="str">
        <f>base!J628</f>
        <v>RS</v>
      </c>
      <c r="B628" s="34" t="str">
        <f>base!V628</f>
        <v>72470</v>
      </c>
      <c r="C628" s="37">
        <v>72</v>
      </c>
      <c r="D628" s="36">
        <f>base!H628</f>
        <v>180</v>
      </c>
      <c r="E628" s="44"/>
      <c r="F628" s="16">
        <f>base!W628</f>
        <v>0</v>
      </c>
      <c r="G628" s="11">
        <f t="shared" si="90"/>
        <v>0</v>
      </c>
      <c r="H628" s="11">
        <f t="shared" si="91"/>
        <v>37.799999999999997</v>
      </c>
      <c r="I628" s="11">
        <f t="shared" si="92"/>
        <v>0.21</v>
      </c>
      <c r="J628" s="12">
        <f t="shared" si="93"/>
        <v>-37.799999999999997</v>
      </c>
      <c r="K628" s="17" t="str">
        <f t="shared" si="98"/>
        <v>Ecart négatif</v>
      </c>
      <c r="L628" s="16">
        <f>base!X628</f>
        <v>70.2</v>
      </c>
      <c r="M628" s="11">
        <f t="shared" si="94"/>
        <v>0.39</v>
      </c>
      <c r="N628" s="11">
        <f t="shared" si="95"/>
        <v>21.599999999999998</v>
      </c>
      <c r="O628" s="11">
        <f t="shared" si="96"/>
        <v>0.11999999999999998</v>
      </c>
      <c r="P628" s="12">
        <f t="shared" si="97"/>
        <v>48.600000000000009</v>
      </c>
      <c r="Q628" s="17" t="str">
        <f t="shared" si="99"/>
        <v>Ecart positif</v>
      </c>
      <c r="R628" s="38"/>
    </row>
    <row r="629" spans="1:18" x14ac:dyDescent="0.3">
      <c r="A629" s="34" t="str">
        <f>base!J629</f>
        <v>DLS</v>
      </c>
      <c r="B629" s="34" t="str">
        <f>base!V629</f>
        <v>77184</v>
      </c>
      <c r="C629" s="37">
        <v>77</v>
      </c>
      <c r="D629" s="36">
        <f>base!H629</f>
        <v>124</v>
      </c>
      <c r="E629" s="44"/>
      <c r="F629" s="16">
        <f>base!W629</f>
        <v>21.08</v>
      </c>
      <c r="G629" s="11">
        <f t="shared" si="90"/>
        <v>0.16999999999999998</v>
      </c>
      <c r="H629" s="11">
        <f t="shared" si="91"/>
        <v>0</v>
      </c>
      <c r="I629" s="11">
        <f t="shared" si="92"/>
        <v>0</v>
      </c>
      <c r="J629" s="12">
        <f t="shared" si="93"/>
        <v>21.08</v>
      </c>
      <c r="K629" s="17" t="str">
        <f t="shared" si="98"/>
        <v>Ecart positif</v>
      </c>
      <c r="L629" s="16">
        <f>base!X629</f>
        <v>0</v>
      </c>
      <c r="M629" s="11">
        <f t="shared" si="94"/>
        <v>0</v>
      </c>
      <c r="N629" s="11">
        <f t="shared" si="95"/>
        <v>0</v>
      </c>
      <c r="O629" s="11">
        <f t="shared" si="96"/>
        <v>0</v>
      </c>
      <c r="P629" s="12">
        <f t="shared" si="97"/>
        <v>0</v>
      </c>
      <c r="Q629" s="17" t="str">
        <f t="shared" si="99"/>
        <v>Pas d'écart</v>
      </c>
    </row>
    <row r="630" spans="1:18" x14ac:dyDescent="0.3">
      <c r="A630" s="34" t="str">
        <f>base!J630</f>
        <v>LS</v>
      </c>
      <c r="B630" s="34" t="str">
        <f>base!V630</f>
        <v>75010</v>
      </c>
      <c r="C630" s="37">
        <v>75</v>
      </c>
      <c r="D630" s="36">
        <f>base!H630</f>
        <v>141.25</v>
      </c>
      <c r="E630" s="44"/>
      <c r="F630" s="16">
        <f>base!W630</f>
        <v>0</v>
      </c>
      <c r="G630" s="11">
        <f t="shared" si="90"/>
        <v>0</v>
      </c>
      <c r="H630" s="11">
        <f t="shared" si="91"/>
        <v>0</v>
      </c>
      <c r="I630" s="11">
        <f t="shared" si="92"/>
        <v>0</v>
      </c>
      <c r="J630" s="12">
        <f t="shared" si="93"/>
        <v>0</v>
      </c>
      <c r="K630" s="17" t="str">
        <f t="shared" si="98"/>
        <v>Pas d'écart</v>
      </c>
      <c r="L630" s="16">
        <f>base!X630</f>
        <v>0</v>
      </c>
      <c r="M630" s="11">
        <f t="shared" si="94"/>
        <v>0</v>
      </c>
      <c r="N630" s="11">
        <f t="shared" si="95"/>
        <v>0</v>
      </c>
      <c r="O630" s="11">
        <f t="shared" si="96"/>
        <v>0</v>
      </c>
      <c r="P630" s="12">
        <f t="shared" si="97"/>
        <v>0</v>
      </c>
      <c r="Q630" s="17" t="str">
        <f t="shared" si="99"/>
        <v>Pas d'écart</v>
      </c>
    </row>
    <row r="631" spans="1:18" x14ac:dyDescent="0.3">
      <c r="A631" s="34" t="str">
        <f>base!J631</f>
        <v>RM</v>
      </c>
      <c r="B631" s="34" t="str">
        <f>base!V631</f>
        <v>56400</v>
      </c>
      <c r="C631" s="37">
        <v>56</v>
      </c>
      <c r="D631" s="36">
        <f>base!H631</f>
        <v>173.44</v>
      </c>
      <c r="E631" s="44"/>
      <c r="F631" s="16">
        <f>base!W631</f>
        <v>0</v>
      </c>
      <c r="G631" s="11">
        <f t="shared" si="90"/>
        <v>0</v>
      </c>
      <c r="H631" s="11">
        <f t="shared" si="91"/>
        <v>46.828800000000001</v>
      </c>
      <c r="I631" s="11">
        <f t="shared" si="92"/>
        <v>0.27</v>
      </c>
      <c r="J631" s="12">
        <f t="shared" si="93"/>
        <v>-46.828800000000001</v>
      </c>
      <c r="K631" s="17" t="str">
        <f t="shared" si="98"/>
        <v>Ecart négatif</v>
      </c>
      <c r="L631" s="16">
        <f>base!X631</f>
        <v>0</v>
      </c>
      <c r="M631" s="11">
        <f t="shared" si="94"/>
        <v>0</v>
      </c>
      <c r="N631" s="11">
        <f t="shared" si="95"/>
        <v>0</v>
      </c>
      <c r="O631" s="11">
        <f t="shared" si="96"/>
        <v>0</v>
      </c>
      <c r="P631" s="12">
        <f t="shared" si="97"/>
        <v>0</v>
      </c>
      <c r="Q631" s="17" t="str">
        <f t="shared" si="99"/>
        <v>Pas d'écart</v>
      </c>
    </row>
    <row r="632" spans="1:18" x14ac:dyDescent="0.3">
      <c r="A632" s="34" t="str">
        <f>base!J632</f>
        <v>RM</v>
      </c>
      <c r="B632" s="34" t="str">
        <f>base!V632</f>
        <v>62200</v>
      </c>
      <c r="C632" s="37">
        <v>62</v>
      </c>
      <c r="D632" s="36">
        <f>base!H632</f>
        <v>70</v>
      </c>
      <c r="E632" s="44"/>
      <c r="F632" s="16">
        <f>base!W632</f>
        <v>0</v>
      </c>
      <c r="G632" s="11">
        <f t="shared" si="90"/>
        <v>0</v>
      </c>
      <c r="H632" s="11">
        <f t="shared" si="91"/>
        <v>13.3</v>
      </c>
      <c r="I632" s="11">
        <f t="shared" si="92"/>
        <v>0.19</v>
      </c>
      <c r="J632" s="12">
        <f t="shared" si="93"/>
        <v>-13.3</v>
      </c>
      <c r="K632" s="17" t="str">
        <f t="shared" si="98"/>
        <v>Ecart négatif</v>
      </c>
      <c r="L632" s="16">
        <f>base!X632</f>
        <v>0</v>
      </c>
      <c r="M632" s="11">
        <f t="shared" si="94"/>
        <v>0</v>
      </c>
      <c r="N632" s="11">
        <f t="shared" si="95"/>
        <v>0</v>
      </c>
      <c r="O632" s="11">
        <f t="shared" si="96"/>
        <v>0</v>
      </c>
      <c r="P632" s="12">
        <f t="shared" si="97"/>
        <v>0</v>
      </c>
      <c r="Q632" s="17" t="str">
        <f t="shared" si="99"/>
        <v>Pas d'écart</v>
      </c>
    </row>
    <row r="633" spans="1:18" x14ac:dyDescent="0.3">
      <c r="A633" s="34" t="str">
        <f>base!J633</f>
        <v>LM</v>
      </c>
      <c r="B633" s="34" t="str">
        <f>base!V633</f>
        <v>87000</v>
      </c>
      <c r="C633" s="37">
        <v>76</v>
      </c>
      <c r="D633" s="36">
        <f>base!H633</f>
        <v>55.16</v>
      </c>
      <c r="E633" s="44"/>
      <c r="F633" s="16">
        <f>base!W633</f>
        <v>16</v>
      </c>
      <c r="G633" s="11">
        <f t="shared" si="90"/>
        <v>0.29006526468455407</v>
      </c>
      <c r="H633" s="11">
        <f t="shared" si="91"/>
        <v>9.3772000000000002</v>
      </c>
      <c r="I633" s="11">
        <f t="shared" si="92"/>
        <v>0.17</v>
      </c>
      <c r="J633" s="12">
        <f t="shared" si="93"/>
        <v>6.6227999999999998</v>
      </c>
      <c r="K633" s="17" t="str">
        <f t="shared" si="98"/>
        <v>Ecart positif</v>
      </c>
      <c r="L633" s="16">
        <f>base!X633</f>
        <v>0</v>
      </c>
      <c r="M633" s="11">
        <f t="shared" si="94"/>
        <v>0</v>
      </c>
      <c r="N633" s="11">
        <f t="shared" si="95"/>
        <v>9.3772000000000002</v>
      </c>
      <c r="O633" s="11">
        <f t="shared" si="96"/>
        <v>0.17</v>
      </c>
      <c r="P633" s="12">
        <f t="shared" si="97"/>
        <v>-9.3772000000000002</v>
      </c>
      <c r="Q633" s="17" t="str">
        <f t="shared" si="99"/>
        <v>Ecart négatif</v>
      </c>
    </row>
    <row r="634" spans="1:18" x14ac:dyDescent="0.3">
      <c r="A634" s="34" t="str">
        <f>base!J634</f>
        <v>RS</v>
      </c>
      <c r="B634" s="34" t="str">
        <f>base!V634</f>
        <v>76570</v>
      </c>
      <c r="C634" s="37">
        <v>76</v>
      </c>
      <c r="D634" s="36">
        <f>base!H634</f>
        <v>180</v>
      </c>
      <c r="E634" s="44"/>
      <c r="F634" s="16">
        <f>base!W634</f>
        <v>0</v>
      </c>
      <c r="G634" s="11">
        <f t="shared" si="90"/>
        <v>0</v>
      </c>
      <c r="H634" s="11">
        <f t="shared" si="91"/>
        <v>30.6</v>
      </c>
      <c r="I634" s="11">
        <f t="shared" si="92"/>
        <v>0.17</v>
      </c>
      <c r="J634" s="12">
        <f t="shared" si="93"/>
        <v>-30.6</v>
      </c>
      <c r="K634" s="17" t="str">
        <f t="shared" si="98"/>
        <v>Ecart négatif</v>
      </c>
      <c r="L634" s="16">
        <f>base!X634</f>
        <v>30.6</v>
      </c>
      <c r="M634" s="11">
        <f t="shared" si="94"/>
        <v>0.17</v>
      </c>
      <c r="N634" s="11">
        <f t="shared" si="95"/>
        <v>30.6</v>
      </c>
      <c r="O634" s="11">
        <f t="shared" si="96"/>
        <v>0.17</v>
      </c>
      <c r="P634" s="12">
        <f t="shared" si="97"/>
        <v>0</v>
      </c>
      <c r="Q634" s="17" t="str">
        <f t="shared" si="99"/>
        <v>Pas d'écart</v>
      </c>
    </row>
    <row r="635" spans="1:18" x14ac:dyDescent="0.3">
      <c r="A635" s="34" t="str">
        <f>base!J635</f>
        <v>RM</v>
      </c>
      <c r="B635" s="34" t="str">
        <f>base!V635</f>
        <v>14200</v>
      </c>
      <c r="C635" s="37">
        <v>14</v>
      </c>
      <c r="D635" s="36">
        <f>base!H635</f>
        <v>105.6</v>
      </c>
      <c r="E635" s="44"/>
      <c r="F635" s="16">
        <f>base!W635</f>
        <v>0</v>
      </c>
      <c r="G635" s="11">
        <f t="shared" si="90"/>
        <v>0</v>
      </c>
      <c r="H635" s="11">
        <f t="shared" si="91"/>
        <v>17.952000000000002</v>
      </c>
      <c r="I635" s="11">
        <f t="shared" si="92"/>
        <v>0.17</v>
      </c>
      <c r="J635" s="12">
        <f t="shared" si="93"/>
        <v>-17.952000000000002</v>
      </c>
      <c r="K635" s="17" t="str">
        <f t="shared" si="98"/>
        <v>Ecart négatif</v>
      </c>
      <c r="L635" s="16">
        <f>base!X635</f>
        <v>17.95</v>
      </c>
      <c r="M635" s="11">
        <f t="shared" si="94"/>
        <v>0.16998106060606061</v>
      </c>
      <c r="N635" s="11">
        <f t="shared" si="95"/>
        <v>17.952000000000002</v>
      </c>
      <c r="O635" s="11">
        <f t="shared" si="96"/>
        <v>0.17</v>
      </c>
      <c r="P635" s="12">
        <f t="shared" si="97"/>
        <v>-2.0000000000024443E-3</v>
      </c>
      <c r="Q635" s="17" t="str">
        <f t="shared" si="99"/>
        <v>Ecart négatif</v>
      </c>
      <c r="R635" s="38"/>
    </row>
    <row r="636" spans="1:18" x14ac:dyDescent="0.3">
      <c r="A636" s="34" t="str">
        <f>base!J636</f>
        <v>RS</v>
      </c>
      <c r="B636" s="34" t="str">
        <f>base!V636</f>
        <v>76700</v>
      </c>
      <c r="C636" s="37">
        <v>76</v>
      </c>
      <c r="D636" s="36">
        <f>base!H636</f>
        <v>180</v>
      </c>
      <c r="E636" s="44"/>
      <c r="F636" s="16">
        <f>base!W636</f>
        <v>0</v>
      </c>
      <c r="G636" s="11">
        <f t="shared" si="90"/>
        <v>0</v>
      </c>
      <c r="H636" s="11">
        <f t="shared" si="91"/>
        <v>30.6</v>
      </c>
      <c r="I636" s="11">
        <f t="shared" si="92"/>
        <v>0.17</v>
      </c>
      <c r="J636" s="12">
        <f t="shared" si="93"/>
        <v>-30.6</v>
      </c>
      <c r="K636" s="17" t="str">
        <f t="shared" si="98"/>
        <v>Ecart négatif</v>
      </c>
      <c r="L636" s="16">
        <f>base!X636</f>
        <v>30.6</v>
      </c>
      <c r="M636" s="11">
        <f t="shared" si="94"/>
        <v>0.17</v>
      </c>
      <c r="N636" s="11">
        <f t="shared" si="95"/>
        <v>30.6</v>
      </c>
      <c r="O636" s="11">
        <f t="shared" si="96"/>
        <v>0.17</v>
      </c>
      <c r="P636" s="12">
        <f t="shared" si="97"/>
        <v>0</v>
      </c>
      <c r="Q636" s="17" t="str">
        <f t="shared" si="99"/>
        <v>Pas d'écart</v>
      </c>
    </row>
    <row r="637" spans="1:18" x14ac:dyDescent="0.3">
      <c r="A637" s="34" t="str">
        <f>base!J637</f>
        <v>RM</v>
      </c>
      <c r="B637" s="34" t="str">
        <f>base!V637</f>
        <v>68390</v>
      </c>
      <c r="C637" s="37">
        <v>68</v>
      </c>
      <c r="D637" s="36">
        <f>base!H637</f>
        <v>40</v>
      </c>
      <c r="E637" s="44"/>
      <c r="F637" s="16">
        <f>base!W637</f>
        <v>0</v>
      </c>
      <c r="G637" s="11">
        <f t="shared" si="90"/>
        <v>0</v>
      </c>
      <c r="H637" s="11">
        <f t="shared" si="91"/>
        <v>11.6</v>
      </c>
      <c r="I637" s="11">
        <f t="shared" si="92"/>
        <v>0.28999999999999998</v>
      </c>
      <c r="J637" s="12">
        <f t="shared" si="93"/>
        <v>-11.6</v>
      </c>
      <c r="K637" s="17" t="str">
        <f t="shared" si="98"/>
        <v>Ecart négatif</v>
      </c>
      <c r="L637" s="16">
        <f>base!X637</f>
        <v>3.2</v>
      </c>
      <c r="M637" s="11">
        <f t="shared" si="94"/>
        <v>0.08</v>
      </c>
      <c r="N637" s="11">
        <f t="shared" si="95"/>
        <v>3.2</v>
      </c>
      <c r="O637" s="11">
        <f t="shared" si="96"/>
        <v>0.08</v>
      </c>
      <c r="P637" s="12">
        <f t="shared" si="97"/>
        <v>0</v>
      </c>
      <c r="Q637" s="17" t="str">
        <f t="shared" si="99"/>
        <v>Pas d'écart</v>
      </c>
      <c r="R637" s="38"/>
    </row>
    <row r="638" spans="1:18" x14ac:dyDescent="0.3">
      <c r="A638" s="34" t="str">
        <f>base!J638</f>
        <v>DLS</v>
      </c>
      <c r="B638" s="34" t="str">
        <f>base!V638</f>
        <v>59800</v>
      </c>
      <c r="C638" s="37">
        <v>59</v>
      </c>
      <c r="D638" s="36">
        <f>base!H638</f>
        <v>124.8</v>
      </c>
      <c r="E638" s="44"/>
      <c r="F638" s="16">
        <f>base!W638</f>
        <v>0</v>
      </c>
      <c r="G638" s="11">
        <f t="shared" si="90"/>
        <v>0</v>
      </c>
      <c r="H638" s="11">
        <f t="shared" si="91"/>
        <v>23.712</v>
      </c>
      <c r="I638" s="11">
        <f t="shared" si="92"/>
        <v>0.19</v>
      </c>
      <c r="J638" s="12">
        <f t="shared" si="93"/>
        <v>-23.712</v>
      </c>
      <c r="K638" s="17" t="str">
        <f t="shared" si="98"/>
        <v>Ecart négatif</v>
      </c>
      <c r="L638" s="16">
        <f>base!X638</f>
        <v>48.67</v>
      </c>
      <c r="M638" s="11">
        <f t="shared" si="94"/>
        <v>0.38998397435897436</v>
      </c>
      <c r="N638" s="11">
        <f t="shared" si="95"/>
        <v>0</v>
      </c>
      <c r="O638" s="11">
        <f t="shared" si="96"/>
        <v>0</v>
      </c>
      <c r="P638" s="12">
        <f t="shared" si="97"/>
        <v>48.67</v>
      </c>
      <c r="Q638" s="17" t="str">
        <f t="shared" si="99"/>
        <v>Ecart positif</v>
      </c>
    </row>
    <row r="639" spans="1:18" x14ac:dyDescent="0.3">
      <c r="A639" s="34">
        <f>base!J639</f>
        <v>0</v>
      </c>
      <c r="B639" s="34" t="str">
        <f>base!V639</f>
        <v>77184</v>
      </c>
      <c r="C639" s="37">
        <v>77</v>
      </c>
      <c r="D639" s="36">
        <f>base!H639</f>
        <v>84.5</v>
      </c>
      <c r="E639" s="44"/>
      <c r="F639" s="16">
        <f>base!W639</f>
        <v>0</v>
      </c>
      <c r="G639" s="11">
        <f t="shared" si="90"/>
        <v>0</v>
      </c>
      <c r="H639" s="11">
        <f t="shared" si="91"/>
        <v>0</v>
      </c>
      <c r="I639" s="11">
        <f t="shared" si="92"/>
        <v>0</v>
      </c>
      <c r="J639" s="12">
        <f t="shared" si="93"/>
        <v>0</v>
      </c>
      <c r="K639" s="17" t="str">
        <f t="shared" si="98"/>
        <v>Pas d'écart</v>
      </c>
      <c r="L639" s="16">
        <f>base!X639</f>
        <v>0</v>
      </c>
      <c r="M639" s="11">
        <f t="shared" si="94"/>
        <v>0</v>
      </c>
      <c r="N639" s="11">
        <f t="shared" si="95"/>
        <v>0</v>
      </c>
      <c r="O639" s="11">
        <f t="shared" si="96"/>
        <v>0</v>
      </c>
      <c r="P639" s="12">
        <f t="shared" si="97"/>
        <v>0</v>
      </c>
      <c r="Q639" s="17" t="str">
        <f t="shared" si="99"/>
        <v>Pas d'écart</v>
      </c>
    </row>
    <row r="640" spans="1:18" x14ac:dyDescent="0.3">
      <c r="A640" s="34" t="str">
        <f>base!J640</f>
        <v>RS</v>
      </c>
      <c r="B640" s="34" t="str">
        <f>base!V640</f>
        <v>55000</v>
      </c>
      <c r="C640" s="37">
        <v>55</v>
      </c>
      <c r="D640" s="36">
        <f>base!H640</f>
        <v>17</v>
      </c>
      <c r="E640" s="44"/>
      <c r="F640" s="16">
        <f>base!W640</f>
        <v>0</v>
      </c>
      <c r="G640" s="11">
        <f t="shared" si="90"/>
        <v>0</v>
      </c>
      <c r="H640" s="11">
        <f t="shared" si="91"/>
        <v>4.25</v>
      </c>
      <c r="I640" s="11">
        <f t="shared" si="92"/>
        <v>0.25</v>
      </c>
      <c r="J640" s="12">
        <f t="shared" si="93"/>
        <v>-4.25</v>
      </c>
      <c r="K640" s="17" t="str">
        <f t="shared" si="98"/>
        <v>Ecart négatif</v>
      </c>
      <c r="L640" s="16">
        <f>base!X640</f>
        <v>4.25</v>
      </c>
      <c r="M640" s="11">
        <f t="shared" si="94"/>
        <v>0.25</v>
      </c>
      <c r="N640" s="11">
        <f t="shared" si="95"/>
        <v>4.25</v>
      </c>
      <c r="O640" s="11">
        <f t="shared" si="96"/>
        <v>0.25</v>
      </c>
      <c r="P640" s="12">
        <f t="shared" si="97"/>
        <v>0</v>
      </c>
      <c r="Q640" s="17" t="str">
        <f t="shared" si="99"/>
        <v>Pas d'écart</v>
      </c>
      <c r="R640" s="38"/>
    </row>
    <row r="641" spans="1:18" x14ac:dyDescent="0.3">
      <c r="A641" s="34" t="str">
        <f>base!J641</f>
        <v>DLS</v>
      </c>
      <c r="B641" s="34" t="str">
        <f>base!V641</f>
        <v>83600</v>
      </c>
      <c r="C641" s="37">
        <v>83</v>
      </c>
      <c r="D641" s="36">
        <f>base!H641</f>
        <v>73.34</v>
      </c>
      <c r="E641" s="44"/>
      <c r="F641" s="16">
        <f>base!W641</f>
        <v>22</v>
      </c>
      <c r="G641" s="11">
        <f t="shared" si="90"/>
        <v>0.29997272975184075</v>
      </c>
      <c r="H641" s="11">
        <f t="shared" si="91"/>
        <v>22.001999999999999</v>
      </c>
      <c r="I641" s="11">
        <f t="shared" si="92"/>
        <v>0.3</v>
      </c>
      <c r="J641" s="12">
        <f t="shared" si="93"/>
        <v>-1.9999999999988916E-3</v>
      </c>
      <c r="K641" s="17" t="str">
        <f t="shared" si="98"/>
        <v>Ecart négatif</v>
      </c>
      <c r="L641" s="16">
        <f>base!X641</f>
        <v>0</v>
      </c>
      <c r="M641" s="11">
        <f t="shared" si="94"/>
        <v>0</v>
      </c>
      <c r="N641" s="11">
        <f t="shared" si="95"/>
        <v>15.401400000000001</v>
      </c>
      <c r="O641" s="11">
        <f t="shared" si="96"/>
        <v>0.21</v>
      </c>
      <c r="P641" s="12">
        <f t="shared" si="97"/>
        <v>-15.401400000000001</v>
      </c>
      <c r="Q641" s="17" t="str">
        <f t="shared" si="99"/>
        <v>Ecart négatif</v>
      </c>
    </row>
    <row r="642" spans="1:18" x14ac:dyDescent="0.3">
      <c r="A642" s="34" t="str">
        <f>base!J642</f>
        <v>RM</v>
      </c>
      <c r="B642" s="34" t="str">
        <f>base!V642</f>
        <v>37600</v>
      </c>
      <c r="C642" s="37">
        <v>37</v>
      </c>
      <c r="D642" s="36">
        <f>base!H642</f>
        <v>70</v>
      </c>
      <c r="E642" s="44"/>
      <c r="F642" s="16">
        <f>base!W642</f>
        <v>0</v>
      </c>
      <c r="G642" s="11">
        <f t="shared" ref="G642:G705" si="100">F642/D642</f>
        <v>0</v>
      </c>
      <c r="H642" s="11">
        <f t="shared" ref="H642:H705" si="101">VLOOKUP(C642,tout_cout_traction,2,FALSE)*D642</f>
        <v>13.3</v>
      </c>
      <c r="I642" s="11">
        <f t="shared" ref="I642:I705" si="102">H642/D642</f>
        <v>0.19</v>
      </c>
      <c r="J642" s="12">
        <f t="shared" ref="J642:J705" si="103">F642-H642</f>
        <v>-13.3</v>
      </c>
      <c r="K642" s="17" t="str">
        <f t="shared" si="98"/>
        <v>Ecart négatif</v>
      </c>
      <c r="L642" s="16">
        <f>base!X642</f>
        <v>8.4</v>
      </c>
      <c r="M642" s="11">
        <f t="shared" ref="M642:M705" si="104">L642/D642</f>
        <v>0.12000000000000001</v>
      </c>
      <c r="N642" s="11">
        <f t="shared" ref="N642:N705" si="105">VLOOKUP(C642,tout_cout_traction,3,FALSE)*D642</f>
        <v>8.4</v>
      </c>
      <c r="O642" s="11">
        <f t="shared" ref="O642:O705" si="106">N642/D642</f>
        <v>0.12000000000000001</v>
      </c>
      <c r="P642" s="12">
        <f t="shared" ref="P642:P705" si="107">L642-N642</f>
        <v>0</v>
      </c>
      <c r="Q642" s="17" t="str">
        <f t="shared" si="99"/>
        <v>Pas d'écart</v>
      </c>
      <c r="R642" s="38"/>
    </row>
    <row r="643" spans="1:18" x14ac:dyDescent="0.3">
      <c r="A643" s="34">
        <f>base!J643</f>
        <v>0</v>
      </c>
      <c r="B643" s="34" t="str">
        <f>base!V643</f>
        <v>44240</v>
      </c>
      <c r="C643" s="37">
        <v>44</v>
      </c>
      <c r="D643" s="36">
        <f>base!H643</f>
        <v>140</v>
      </c>
      <c r="E643" s="44"/>
      <c r="F643" s="16">
        <f>base!W643</f>
        <v>0</v>
      </c>
      <c r="G643" s="11">
        <f t="shared" si="100"/>
        <v>0</v>
      </c>
      <c r="H643" s="11">
        <f t="shared" si="101"/>
        <v>37.800000000000004</v>
      </c>
      <c r="I643" s="11">
        <f t="shared" si="102"/>
        <v>0.27</v>
      </c>
      <c r="J643" s="12">
        <f t="shared" si="103"/>
        <v>-37.800000000000004</v>
      </c>
      <c r="K643" s="17" t="str">
        <f t="shared" ref="K643:K706" si="108">IF(H643=F643,"Pas d'écart",IF(H643&lt;F643,"Ecart positif",IF(H643&gt;F643,"Ecart négatif")))</f>
        <v>Ecart négatif</v>
      </c>
      <c r="L643" s="16">
        <f>base!X643</f>
        <v>0</v>
      </c>
      <c r="M643" s="11">
        <f t="shared" si="104"/>
        <v>0</v>
      </c>
      <c r="N643" s="11">
        <f t="shared" si="105"/>
        <v>0</v>
      </c>
      <c r="O643" s="11">
        <f t="shared" si="106"/>
        <v>0</v>
      </c>
      <c r="P643" s="12">
        <f t="shared" si="107"/>
        <v>0</v>
      </c>
      <c r="Q643" s="17" t="str">
        <f t="shared" ref="Q643:Q706" si="109">IF(N643=L643,"Pas d'écart",IF(N643&lt;L643,"Ecart positif",IF(N643&gt;L643,"Ecart négatif")))</f>
        <v>Pas d'écart</v>
      </c>
    </row>
    <row r="644" spans="1:18" x14ac:dyDescent="0.3">
      <c r="A644" s="34" t="str">
        <f>base!J644</f>
        <v>RS</v>
      </c>
      <c r="B644" s="34" t="str">
        <f>base!V644</f>
        <v>60490</v>
      </c>
      <c r="C644" s="37">
        <v>60</v>
      </c>
      <c r="D644" s="36">
        <f>base!H644</f>
        <v>25</v>
      </c>
      <c r="E644" s="44"/>
      <c r="F644" s="16">
        <f>base!W644</f>
        <v>0</v>
      </c>
      <c r="G644" s="11">
        <f t="shared" si="100"/>
        <v>0</v>
      </c>
      <c r="H644" s="11">
        <f t="shared" si="101"/>
        <v>4.75</v>
      </c>
      <c r="I644" s="11">
        <f t="shared" si="102"/>
        <v>0.19</v>
      </c>
      <c r="J644" s="12">
        <f t="shared" si="103"/>
        <v>-4.75</v>
      </c>
      <c r="K644" s="17" t="str">
        <f t="shared" si="108"/>
        <v>Ecart négatif</v>
      </c>
      <c r="L644" s="16">
        <f>base!X644</f>
        <v>0</v>
      </c>
      <c r="M644" s="11">
        <f t="shared" si="104"/>
        <v>0</v>
      </c>
      <c r="N644" s="11">
        <f t="shared" si="105"/>
        <v>0</v>
      </c>
      <c r="O644" s="11">
        <f t="shared" si="106"/>
        <v>0</v>
      </c>
      <c r="P644" s="12">
        <f t="shared" si="107"/>
        <v>0</v>
      </c>
      <c r="Q644" s="17" t="str">
        <f t="shared" si="109"/>
        <v>Pas d'écart</v>
      </c>
    </row>
    <row r="645" spans="1:18" x14ac:dyDescent="0.3">
      <c r="A645" s="34">
        <f>base!J645</f>
        <v>0</v>
      </c>
      <c r="B645" s="34" t="str">
        <f>base!V645</f>
        <v>77184</v>
      </c>
      <c r="C645" s="37">
        <v>77</v>
      </c>
      <c r="D645" s="36">
        <f>base!H645</f>
        <v>171</v>
      </c>
      <c r="E645" s="44"/>
      <c r="F645" s="16">
        <f>base!W645</f>
        <v>0</v>
      </c>
      <c r="G645" s="11">
        <f t="shared" si="100"/>
        <v>0</v>
      </c>
      <c r="H645" s="11">
        <f t="shared" si="101"/>
        <v>0</v>
      </c>
      <c r="I645" s="11">
        <f t="shared" si="102"/>
        <v>0</v>
      </c>
      <c r="J645" s="12">
        <f t="shared" si="103"/>
        <v>0</v>
      </c>
      <c r="K645" s="17" t="str">
        <f t="shared" si="108"/>
        <v>Pas d'écart</v>
      </c>
      <c r="L645" s="16">
        <f>base!X645</f>
        <v>0</v>
      </c>
      <c r="M645" s="11">
        <f t="shared" si="104"/>
        <v>0</v>
      </c>
      <c r="N645" s="11">
        <f t="shared" si="105"/>
        <v>0</v>
      </c>
      <c r="O645" s="11">
        <f t="shared" si="106"/>
        <v>0</v>
      </c>
      <c r="P645" s="12">
        <f t="shared" si="107"/>
        <v>0</v>
      </c>
      <c r="Q645" s="17" t="str">
        <f t="shared" si="109"/>
        <v>Pas d'écart</v>
      </c>
    </row>
    <row r="646" spans="1:18" x14ac:dyDescent="0.3">
      <c r="A646" s="34" t="str">
        <f>base!J646</f>
        <v>DRM</v>
      </c>
      <c r="B646" s="34" t="str">
        <f>base!V646</f>
        <v>88000</v>
      </c>
      <c r="C646" s="37">
        <v>88</v>
      </c>
      <c r="D646" s="36">
        <f>base!H646</f>
        <v>180</v>
      </c>
      <c r="E646" s="44"/>
      <c r="F646" s="16">
        <f>base!W646</f>
        <v>0</v>
      </c>
      <c r="G646" s="11">
        <f t="shared" si="100"/>
        <v>0</v>
      </c>
      <c r="H646" s="11">
        <f t="shared" si="101"/>
        <v>50.400000000000006</v>
      </c>
      <c r="I646" s="11">
        <f t="shared" si="102"/>
        <v>0.28000000000000003</v>
      </c>
      <c r="J646" s="12">
        <f t="shared" si="103"/>
        <v>-50.400000000000006</v>
      </c>
      <c r="K646" s="17" t="str">
        <f t="shared" si="108"/>
        <v>Ecart négatif</v>
      </c>
      <c r="L646" s="16">
        <f>base!X646</f>
        <v>0</v>
      </c>
      <c r="M646" s="11">
        <f t="shared" si="104"/>
        <v>0</v>
      </c>
      <c r="N646" s="11">
        <f t="shared" si="105"/>
        <v>14.4</v>
      </c>
      <c r="O646" s="11">
        <f t="shared" si="106"/>
        <v>0.08</v>
      </c>
      <c r="P646" s="12">
        <f t="shared" si="107"/>
        <v>-14.4</v>
      </c>
      <c r="Q646" s="17" t="str">
        <f t="shared" si="109"/>
        <v>Ecart négatif</v>
      </c>
    </row>
    <row r="647" spans="1:18" x14ac:dyDescent="0.3">
      <c r="A647" s="34">
        <f>base!J647</f>
        <v>0</v>
      </c>
      <c r="B647" s="34" t="str">
        <f>base!V647</f>
        <v>77184</v>
      </c>
      <c r="C647" s="37">
        <v>77</v>
      </c>
      <c r="D647" s="36">
        <f>base!H647</f>
        <v>121</v>
      </c>
      <c r="E647" s="44"/>
      <c r="F647" s="16">
        <f>base!W647</f>
        <v>0</v>
      </c>
      <c r="G647" s="11">
        <f t="shared" si="100"/>
        <v>0</v>
      </c>
      <c r="H647" s="11">
        <f t="shared" si="101"/>
        <v>0</v>
      </c>
      <c r="I647" s="11">
        <f t="shared" si="102"/>
        <v>0</v>
      </c>
      <c r="J647" s="12">
        <f t="shared" si="103"/>
        <v>0</v>
      </c>
      <c r="K647" s="17" t="str">
        <f t="shared" si="108"/>
        <v>Pas d'écart</v>
      </c>
      <c r="L647" s="16">
        <f>base!X647</f>
        <v>0</v>
      </c>
      <c r="M647" s="11">
        <f t="shared" si="104"/>
        <v>0</v>
      </c>
      <c r="N647" s="11">
        <f t="shared" si="105"/>
        <v>0</v>
      </c>
      <c r="O647" s="11">
        <f t="shared" si="106"/>
        <v>0</v>
      </c>
      <c r="P647" s="12">
        <f t="shared" si="107"/>
        <v>0</v>
      </c>
      <c r="Q647" s="17" t="str">
        <f t="shared" si="109"/>
        <v>Pas d'écart</v>
      </c>
    </row>
    <row r="648" spans="1:18" x14ac:dyDescent="0.3">
      <c r="A648" s="34">
        <f>base!J648</f>
        <v>0</v>
      </c>
      <c r="B648" s="34" t="str">
        <f>base!V648</f>
        <v>77184</v>
      </c>
      <c r="C648" s="37">
        <v>77</v>
      </c>
      <c r="D648" s="36">
        <f>base!H648</f>
        <v>69.5</v>
      </c>
      <c r="E648" s="44"/>
      <c r="F648" s="16">
        <f>base!W648</f>
        <v>0</v>
      </c>
      <c r="G648" s="11">
        <f t="shared" si="100"/>
        <v>0</v>
      </c>
      <c r="H648" s="11">
        <f t="shared" si="101"/>
        <v>0</v>
      </c>
      <c r="I648" s="11">
        <f t="shared" si="102"/>
        <v>0</v>
      </c>
      <c r="J648" s="12">
        <f t="shared" si="103"/>
        <v>0</v>
      </c>
      <c r="K648" s="17" t="str">
        <f t="shared" si="108"/>
        <v>Pas d'écart</v>
      </c>
      <c r="L648" s="16">
        <f>base!X648</f>
        <v>0</v>
      </c>
      <c r="M648" s="11">
        <f t="shared" si="104"/>
        <v>0</v>
      </c>
      <c r="N648" s="11">
        <f t="shared" si="105"/>
        <v>0</v>
      </c>
      <c r="O648" s="11">
        <f t="shared" si="106"/>
        <v>0</v>
      </c>
      <c r="P648" s="12">
        <f t="shared" si="107"/>
        <v>0</v>
      </c>
      <c r="Q648" s="17" t="str">
        <f t="shared" si="109"/>
        <v>Pas d'écart</v>
      </c>
    </row>
    <row r="649" spans="1:18" x14ac:dyDescent="0.3">
      <c r="A649" s="34" t="str">
        <f>base!J649</f>
        <v>RM</v>
      </c>
      <c r="B649" s="34" t="str">
        <f>base!V649</f>
        <v>06190</v>
      </c>
      <c r="C649" s="37">
        <v>6</v>
      </c>
      <c r="D649" s="36">
        <f>base!H649</f>
        <v>50</v>
      </c>
      <c r="E649" s="44"/>
      <c r="F649" s="16">
        <f>base!W649</f>
        <v>0</v>
      </c>
      <c r="G649" s="11">
        <f t="shared" si="100"/>
        <v>0</v>
      </c>
      <c r="H649" s="11">
        <f t="shared" si="101"/>
        <v>15</v>
      </c>
      <c r="I649" s="11">
        <f t="shared" si="102"/>
        <v>0.3</v>
      </c>
      <c r="J649" s="12">
        <f t="shared" si="103"/>
        <v>-15</v>
      </c>
      <c r="K649" s="17" t="str">
        <f t="shared" si="108"/>
        <v>Ecart négatif</v>
      </c>
      <c r="L649" s="16">
        <f>base!X649</f>
        <v>15</v>
      </c>
      <c r="M649" s="11">
        <f t="shared" si="104"/>
        <v>0.3</v>
      </c>
      <c r="N649" s="11">
        <f t="shared" si="105"/>
        <v>10.5</v>
      </c>
      <c r="O649" s="11">
        <f t="shared" si="106"/>
        <v>0.21</v>
      </c>
      <c r="P649" s="12">
        <f t="shared" si="107"/>
        <v>4.5</v>
      </c>
      <c r="Q649" s="17" t="str">
        <f t="shared" si="109"/>
        <v>Ecart positif</v>
      </c>
    </row>
    <row r="650" spans="1:18" x14ac:dyDescent="0.3">
      <c r="A650" s="34" t="str">
        <f>base!J650</f>
        <v>LM</v>
      </c>
      <c r="B650" s="34" t="str">
        <f>base!V650</f>
        <v>51100</v>
      </c>
      <c r="C650" s="37">
        <v>14</v>
      </c>
      <c r="D650" s="36">
        <f>base!H650</f>
        <v>86.27</v>
      </c>
      <c r="E650" s="44"/>
      <c r="F650" s="16">
        <f>base!W650</f>
        <v>21.57</v>
      </c>
      <c r="G650" s="11">
        <f t="shared" si="100"/>
        <v>0.25002897878752756</v>
      </c>
      <c r="H650" s="11">
        <f t="shared" si="101"/>
        <v>14.665900000000001</v>
      </c>
      <c r="I650" s="11">
        <f t="shared" si="102"/>
        <v>0.17</v>
      </c>
      <c r="J650" s="12">
        <f t="shared" si="103"/>
        <v>6.9040999999999997</v>
      </c>
      <c r="K650" s="17" t="str">
        <f t="shared" si="108"/>
        <v>Ecart positif</v>
      </c>
      <c r="L650" s="16">
        <f>base!X650</f>
        <v>0</v>
      </c>
      <c r="M650" s="11">
        <f t="shared" si="104"/>
        <v>0</v>
      </c>
      <c r="N650" s="11">
        <f t="shared" si="105"/>
        <v>14.665900000000001</v>
      </c>
      <c r="O650" s="11">
        <f t="shared" si="106"/>
        <v>0.17</v>
      </c>
      <c r="P650" s="12">
        <f t="shared" si="107"/>
        <v>-14.665900000000001</v>
      </c>
      <c r="Q650" s="17" t="str">
        <f t="shared" si="109"/>
        <v>Ecart négatif</v>
      </c>
    </row>
    <row r="651" spans="1:18" x14ac:dyDescent="0.3">
      <c r="A651" s="34" t="str">
        <f>base!J651</f>
        <v>LS</v>
      </c>
      <c r="B651" s="34" t="str">
        <f>base!V651</f>
        <v>64121</v>
      </c>
      <c r="C651" s="37">
        <v>14</v>
      </c>
      <c r="D651" s="36">
        <f>base!H651</f>
        <v>59.53</v>
      </c>
      <c r="E651" s="44"/>
      <c r="F651" s="16">
        <f>base!W651</f>
        <v>12.5</v>
      </c>
      <c r="G651" s="11">
        <f t="shared" si="100"/>
        <v>0.20997816227112379</v>
      </c>
      <c r="H651" s="11">
        <f t="shared" si="101"/>
        <v>10.120100000000001</v>
      </c>
      <c r="I651" s="11">
        <f t="shared" si="102"/>
        <v>0.17</v>
      </c>
      <c r="J651" s="12">
        <f t="shared" si="103"/>
        <v>2.3798999999999992</v>
      </c>
      <c r="K651" s="17" t="str">
        <f t="shared" si="108"/>
        <v>Ecart positif</v>
      </c>
      <c r="L651" s="16">
        <f>base!X651</f>
        <v>0</v>
      </c>
      <c r="M651" s="11">
        <f t="shared" si="104"/>
        <v>0</v>
      </c>
      <c r="N651" s="11">
        <f t="shared" si="105"/>
        <v>10.120100000000001</v>
      </c>
      <c r="O651" s="11">
        <f t="shared" si="106"/>
        <v>0.17</v>
      </c>
      <c r="P651" s="12">
        <f t="shared" si="107"/>
        <v>-10.120100000000001</v>
      </c>
      <c r="Q651" s="17" t="str">
        <f t="shared" si="109"/>
        <v>Ecart négatif</v>
      </c>
    </row>
    <row r="652" spans="1:18" x14ac:dyDescent="0.3">
      <c r="A652" s="34" t="str">
        <f>base!J652</f>
        <v>LS</v>
      </c>
      <c r="B652" s="34" t="str">
        <f>base!V652</f>
        <v>62970</v>
      </c>
      <c r="C652" s="37">
        <v>14</v>
      </c>
      <c r="D652" s="36">
        <f>base!H652</f>
        <v>120.4</v>
      </c>
      <c r="E652" s="44"/>
      <c r="F652" s="16">
        <f>base!W652</f>
        <v>22.88</v>
      </c>
      <c r="G652" s="11">
        <f t="shared" si="100"/>
        <v>0.1900332225913621</v>
      </c>
      <c r="H652" s="11">
        <f t="shared" si="101"/>
        <v>20.468000000000004</v>
      </c>
      <c r="I652" s="11">
        <f t="shared" si="102"/>
        <v>0.17</v>
      </c>
      <c r="J652" s="12">
        <f t="shared" si="103"/>
        <v>2.4119999999999955</v>
      </c>
      <c r="K652" s="17" t="str">
        <f t="shared" si="108"/>
        <v>Ecart positif</v>
      </c>
      <c r="L652" s="16">
        <f>base!X652</f>
        <v>0</v>
      </c>
      <c r="M652" s="11">
        <f t="shared" si="104"/>
        <v>0</v>
      </c>
      <c r="N652" s="11">
        <f t="shared" si="105"/>
        <v>20.468000000000004</v>
      </c>
      <c r="O652" s="11">
        <f t="shared" si="106"/>
        <v>0.17</v>
      </c>
      <c r="P652" s="12">
        <f t="shared" si="107"/>
        <v>-20.468000000000004</v>
      </c>
      <c r="Q652" s="17" t="str">
        <f t="shared" si="109"/>
        <v>Ecart négatif</v>
      </c>
    </row>
    <row r="653" spans="1:18" x14ac:dyDescent="0.3">
      <c r="A653" s="34" t="str">
        <f>base!J653</f>
        <v>LM</v>
      </c>
      <c r="B653" s="34" t="str">
        <f>base!V653</f>
        <v>13006</v>
      </c>
      <c r="C653" s="37">
        <v>76</v>
      </c>
      <c r="D653" s="36">
        <f>base!H653</f>
        <v>19.8</v>
      </c>
      <c r="E653" s="44"/>
      <c r="F653" s="16">
        <f>base!W653</f>
        <v>5.74</v>
      </c>
      <c r="G653" s="11">
        <f t="shared" si="100"/>
        <v>0.28989898989898988</v>
      </c>
      <c r="H653" s="11">
        <f t="shared" si="101"/>
        <v>3.3660000000000005</v>
      </c>
      <c r="I653" s="11">
        <f t="shared" si="102"/>
        <v>0.17</v>
      </c>
      <c r="J653" s="12">
        <f t="shared" si="103"/>
        <v>2.3739999999999997</v>
      </c>
      <c r="K653" s="17" t="str">
        <f t="shared" si="108"/>
        <v>Ecart positif</v>
      </c>
      <c r="L653" s="16">
        <f>base!X653</f>
        <v>0</v>
      </c>
      <c r="M653" s="11">
        <f t="shared" si="104"/>
        <v>0</v>
      </c>
      <c r="N653" s="11">
        <f t="shared" si="105"/>
        <v>3.3660000000000005</v>
      </c>
      <c r="O653" s="11">
        <f t="shared" si="106"/>
        <v>0.17</v>
      </c>
      <c r="P653" s="12">
        <f t="shared" si="107"/>
        <v>-3.3660000000000005</v>
      </c>
      <c r="Q653" s="17" t="str">
        <f t="shared" si="109"/>
        <v>Ecart négatif</v>
      </c>
    </row>
    <row r="654" spans="1:18" x14ac:dyDescent="0.3">
      <c r="A654" s="34" t="str">
        <f>base!J654</f>
        <v>LM</v>
      </c>
      <c r="B654" s="34" t="str">
        <f>base!V654</f>
        <v>75014</v>
      </c>
      <c r="C654" s="37">
        <v>75</v>
      </c>
      <c r="D654" s="36">
        <f>base!H654</f>
        <v>107.6</v>
      </c>
      <c r="E654" s="44"/>
      <c r="F654" s="16">
        <f>base!W654</f>
        <v>0</v>
      </c>
      <c r="G654" s="11">
        <f t="shared" si="100"/>
        <v>0</v>
      </c>
      <c r="H654" s="11">
        <f t="shared" si="101"/>
        <v>0</v>
      </c>
      <c r="I654" s="11">
        <f t="shared" si="102"/>
        <v>0</v>
      </c>
      <c r="J654" s="12">
        <f t="shared" si="103"/>
        <v>0</v>
      </c>
      <c r="K654" s="17" t="str">
        <f t="shared" si="108"/>
        <v>Pas d'écart</v>
      </c>
      <c r="L654" s="16">
        <f>base!X654</f>
        <v>0</v>
      </c>
      <c r="M654" s="11">
        <f t="shared" si="104"/>
        <v>0</v>
      </c>
      <c r="N654" s="11">
        <f t="shared" si="105"/>
        <v>0</v>
      </c>
      <c r="O654" s="11">
        <f t="shared" si="106"/>
        <v>0</v>
      </c>
      <c r="P654" s="12">
        <f t="shared" si="107"/>
        <v>0</v>
      </c>
      <c r="Q654" s="17" t="str">
        <f t="shared" si="109"/>
        <v>Pas d'écart</v>
      </c>
    </row>
    <row r="655" spans="1:18" x14ac:dyDescent="0.3">
      <c r="A655" s="34" t="str">
        <f>base!J655</f>
        <v>LM</v>
      </c>
      <c r="B655" s="34" t="str">
        <f>base!V655</f>
        <v>67000</v>
      </c>
      <c r="C655" s="37">
        <v>14</v>
      </c>
      <c r="D655" s="36">
        <f>base!H655</f>
        <v>55.14</v>
      </c>
      <c r="E655" s="44"/>
      <c r="F655" s="16">
        <f>base!W655</f>
        <v>15.99</v>
      </c>
      <c r="G655" s="11">
        <f t="shared" si="100"/>
        <v>0.28998911860718174</v>
      </c>
      <c r="H655" s="11">
        <f t="shared" si="101"/>
        <v>9.373800000000001</v>
      </c>
      <c r="I655" s="11">
        <f t="shared" si="102"/>
        <v>0.17</v>
      </c>
      <c r="J655" s="12">
        <f t="shared" si="103"/>
        <v>6.6161999999999992</v>
      </c>
      <c r="K655" s="17" t="str">
        <f t="shared" si="108"/>
        <v>Ecart positif</v>
      </c>
      <c r="L655" s="16">
        <f>base!X655</f>
        <v>0</v>
      </c>
      <c r="M655" s="11">
        <f t="shared" si="104"/>
        <v>0</v>
      </c>
      <c r="N655" s="11">
        <f t="shared" si="105"/>
        <v>9.373800000000001</v>
      </c>
      <c r="O655" s="11">
        <f t="shared" si="106"/>
        <v>0.17</v>
      </c>
      <c r="P655" s="12">
        <f t="shared" si="107"/>
        <v>-9.373800000000001</v>
      </c>
      <c r="Q655" s="17" t="str">
        <f t="shared" si="109"/>
        <v>Ecart négatif</v>
      </c>
    </row>
    <row r="656" spans="1:18" x14ac:dyDescent="0.3">
      <c r="A656" s="34" t="str">
        <f>base!J656</f>
        <v>LM</v>
      </c>
      <c r="B656" s="34" t="str">
        <f>base!V656</f>
        <v>69800</v>
      </c>
      <c r="C656" s="37">
        <v>14</v>
      </c>
      <c r="D656" s="36">
        <f>base!H656</f>
        <v>136.97999999999999</v>
      </c>
      <c r="E656" s="44"/>
      <c r="F656" s="16">
        <f>base!W656</f>
        <v>36.979999999999997</v>
      </c>
      <c r="G656" s="11">
        <f t="shared" si="100"/>
        <v>0.26996641845524894</v>
      </c>
      <c r="H656" s="11">
        <f t="shared" si="101"/>
        <v>23.2866</v>
      </c>
      <c r="I656" s="11">
        <f t="shared" si="102"/>
        <v>0.17</v>
      </c>
      <c r="J656" s="12">
        <f t="shared" si="103"/>
        <v>13.693399999999997</v>
      </c>
      <c r="K656" s="17" t="str">
        <f t="shared" si="108"/>
        <v>Ecart positif</v>
      </c>
      <c r="L656" s="16">
        <f>base!X656</f>
        <v>0</v>
      </c>
      <c r="M656" s="11">
        <f t="shared" si="104"/>
        <v>0</v>
      </c>
      <c r="N656" s="11">
        <f t="shared" si="105"/>
        <v>23.2866</v>
      </c>
      <c r="O656" s="11">
        <f t="shared" si="106"/>
        <v>0.17</v>
      </c>
      <c r="P656" s="12">
        <f t="shared" si="107"/>
        <v>-23.2866</v>
      </c>
      <c r="Q656" s="17" t="str">
        <f t="shared" si="109"/>
        <v>Ecart négatif</v>
      </c>
    </row>
    <row r="657" spans="1:18" x14ac:dyDescent="0.3">
      <c r="A657" s="34">
        <f>base!J657</f>
        <v>0</v>
      </c>
      <c r="B657" s="34" t="str">
        <f>base!V657</f>
        <v>44240</v>
      </c>
      <c r="C657" s="37">
        <v>44</v>
      </c>
      <c r="D657" s="36">
        <f>base!H657</f>
        <v>156.4</v>
      </c>
      <c r="E657" s="44"/>
      <c r="F657" s="16">
        <f>base!W657</f>
        <v>0</v>
      </c>
      <c r="G657" s="11">
        <f t="shared" si="100"/>
        <v>0</v>
      </c>
      <c r="H657" s="11">
        <f t="shared" si="101"/>
        <v>42.228000000000002</v>
      </c>
      <c r="I657" s="11">
        <f t="shared" si="102"/>
        <v>0.27</v>
      </c>
      <c r="J657" s="12">
        <f t="shared" si="103"/>
        <v>-42.228000000000002</v>
      </c>
      <c r="K657" s="17" t="str">
        <f t="shared" si="108"/>
        <v>Ecart négatif</v>
      </c>
      <c r="L657" s="16">
        <f>base!X657</f>
        <v>0</v>
      </c>
      <c r="M657" s="11">
        <f t="shared" si="104"/>
        <v>0</v>
      </c>
      <c r="N657" s="11">
        <f t="shared" si="105"/>
        <v>0</v>
      </c>
      <c r="O657" s="11">
        <f t="shared" si="106"/>
        <v>0</v>
      </c>
      <c r="P657" s="12">
        <f t="shared" si="107"/>
        <v>0</v>
      </c>
      <c r="Q657" s="17" t="str">
        <f t="shared" si="109"/>
        <v>Pas d'écart</v>
      </c>
    </row>
    <row r="658" spans="1:18" x14ac:dyDescent="0.3">
      <c r="A658" s="34">
        <f>base!J658</f>
        <v>0</v>
      </c>
      <c r="B658" s="34" t="str">
        <f>base!V658</f>
        <v>77184</v>
      </c>
      <c r="C658" s="37">
        <v>77</v>
      </c>
      <c r="D658" s="36">
        <f>base!H658</f>
        <v>157.37</v>
      </c>
      <c r="E658" s="44"/>
      <c r="F658" s="16">
        <f>base!W658</f>
        <v>0</v>
      </c>
      <c r="G658" s="11">
        <f t="shared" si="100"/>
        <v>0</v>
      </c>
      <c r="H658" s="11">
        <f t="shared" si="101"/>
        <v>0</v>
      </c>
      <c r="I658" s="11">
        <f t="shared" si="102"/>
        <v>0</v>
      </c>
      <c r="J658" s="12">
        <f t="shared" si="103"/>
        <v>0</v>
      </c>
      <c r="K658" s="17" t="str">
        <f t="shared" si="108"/>
        <v>Pas d'écart</v>
      </c>
      <c r="L658" s="16">
        <f>base!X658</f>
        <v>0</v>
      </c>
      <c r="M658" s="11">
        <f t="shared" si="104"/>
        <v>0</v>
      </c>
      <c r="N658" s="11">
        <f t="shared" si="105"/>
        <v>0</v>
      </c>
      <c r="O658" s="11">
        <f t="shared" si="106"/>
        <v>0</v>
      </c>
      <c r="P658" s="12">
        <f t="shared" si="107"/>
        <v>0</v>
      </c>
      <c r="Q658" s="17" t="str">
        <f t="shared" si="109"/>
        <v>Pas d'écart</v>
      </c>
    </row>
    <row r="659" spans="1:18" x14ac:dyDescent="0.3">
      <c r="A659" s="34" t="str">
        <f>base!J659</f>
        <v>LM</v>
      </c>
      <c r="B659" s="34" t="str">
        <f>base!V659</f>
        <v>75014</v>
      </c>
      <c r="C659" s="37">
        <v>75</v>
      </c>
      <c r="D659" s="36">
        <f>base!H659</f>
        <v>19.649999999999999</v>
      </c>
      <c r="E659" s="44"/>
      <c r="F659" s="16">
        <f>base!W659</f>
        <v>0</v>
      </c>
      <c r="G659" s="11">
        <f t="shared" si="100"/>
        <v>0</v>
      </c>
      <c r="H659" s="11">
        <f t="shared" si="101"/>
        <v>0</v>
      </c>
      <c r="I659" s="11">
        <f t="shared" si="102"/>
        <v>0</v>
      </c>
      <c r="J659" s="12">
        <f t="shared" si="103"/>
        <v>0</v>
      </c>
      <c r="K659" s="17" t="str">
        <f t="shared" si="108"/>
        <v>Pas d'écart</v>
      </c>
      <c r="L659" s="16">
        <f>base!X659</f>
        <v>0</v>
      </c>
      <c r="M659" s="11">
        <f t="shared" si="104"/>
        <v>0</v>
      </c>
      <c r="N659" s="11">
        <f t="shared" si="105"/>
        <v>0</v>
      </c>
      <c r="O659" s="11">
        <f t="shared" si="106"/>
        <v>0</v>
      </c>
      <c r="P659" s="12">
        <f t="shared" si="107"/>
        <v>0</v>
      </c>
      <c r="Q659" s="17" t="str">
        <f t="shared" si="109"/>
        <v>Pas d'écart</v>
      </c>
    </row>
    <row r="660" spans="1:18" x14ac:dyDescent="0.3">
      <c r="A660" s="34" t="str">
        <f>base!J660</f>
        <v>LS</v>
      </c>
      <c r="B660" s="34" t="str">
        <f>base!V660</f>
        <v>63100</v>
      </c>
      <c r="C660" s="37">
        <v>14</v>
      </c>
      <c r="D660" s="36">
        <f>base!H660</f>
        <v>138.12</v>
      </c>
      <c r="E660" s="44"/>
      <c r="F660" s="16">
        <f>base!W660</f>
        <v>40.049999999999997</v>
      </c>
      <c r="G660" s="11">
        <f t="shared" si="100"/>
        <v>0.28996524761077319</v>
      </c>
      <c r="H660" s="11">
        <f t="shared" si="101"/>
        <v>23.480400000000003</v>
      </c>
      <c r="I660" s="11">
        <f t="shared" si="102"/>
        <v>0.17</v>
      </c>
      <c r="J660" s="12">
        <f t="shared" si="103"/>
        <v>16.569599999999994</v>
      </c>
      <c r="K660" s="17" t="str">
        <f t="shared" si="108"/>
        <v>Ecart positif</v>
      </c>
      <c r="L660" s="16">
        <f>base!X660</f>
        <v>0</v>
      </c>
      <c r="M660" s="11">
        <f t="shared" si="104"/>
        <v>0</v>
      </c>
      <c r="N660" s="11">
        <f t="shared" si="105"/>
        <v>23.480400000000003</v>
      </c>
      <c r="O660" s="11">
        <f t="shared" si="106"/>
        <v>0.17</v>
      </c>
      <c r="P660" s="12">
        <f t="shared" si="107"/>
        <v>-23.480400000000003</v>
      </c>
      <c r="Q660" s="17" t="str">
        <f t="shared" si="109"/>
        <v>Ecart négatif</v>
      </c>
    </row>
    <row r="661" spans="1:18" x14ac:dyDescent="0.3">
      <c r="A661" s="34" t="str">
        <f>base!J661</f>
        <v>RM</v>
      </c>
      <c r="B661" s="34" t="str">
        <f>base!V661</f>
        <v>62740</v>
      </c>
      <c r="C661" s="37">
        <v>62</v>
      </c>
      <c r="D661" s="36">
        <f>base!H661</f>
        <v>25</v>
      </c>
      <c r="E661" s="44"/>
      <c r="F661" s="16">
        <f>base!W661</f>
        <v>0</v>
      </c>
      <c r="G661" s="11">
        <f t="shared" si="100"/>
        <v>0</v>
      </c>
      <c r="H661" s="11">
        <f t="shared" si="101"/>
        <v>4.75</v>
      </c>
      <c r="I661" s="11">
        <f t="shared" si="102"/>
        <v>0.19</v>
      </c>
      <c r="J661" s="12">
        <f t="shared" si="103"/>
        <v>-4.75</v>
      </c>
      <c r="K661" s="17" t="str">
        <f t="shared" si="108"/>
        <v>Ecart négatif</v>
      </c>
      <c r="L661" s="16">
        <f>base!X661</f>
        <v>0</v>
      </c>
      <c r="M661" s="11">
        <f t="shared" si="104"/>
        <v>0</v>
      </c>
      <c r="N661" s="11">
        <f t="shared" si="105"/>
        <v>0</v>
      </c>
      <c r="O661" s="11">
        <f t="shared" si="106"/>
        <v>0</v>
      </c>
      <c r="P661" s="12">
        <f t="shared" si="107"/>
        <v>0</v>
      </c>
      <c r="Q661" s="17" t="str">
        <f t="shared" si="109"/>
        <v>Pas d'écart</v>
      </c>
    </row>
    <row r="662" spans="1:18" x14ac:dyDescent="0.3">
      <c r="A662" s="34" t="str">
        <f>base!J662</f>
        <v>LS</v>
      </c>
      <c r="B662" s="34" t="str">
        <f>base!V662</f>
        <v>93000</v>
      </c>
      <c r="C662" s="37">
        <v>93</v>
      </c>
      <c r="D662" s="36">
        <f>base!H662</f>
        <v>138.12</v>
      </c>
      <c r="E662" s="44"/>
      <c r="F662" s="16">
        <f>base!W662</f>
        <v>0</v>
      </c>
      <c r="G662" s="11">
        <f t="shared" si="100"/>
        <v>0</v>
      </c>
      <c r="H662" s="11">
        <f t="shared" si="101"/>
        <v>0</v>
      </c>
      <c r="I662" s="11">
        <f t="shared" si="102"/>
        <v>0</v>
      </c>
      <c r="J662" s="12">
        <f t="shared" si="103"/>
        <v>0</v>
      </c>
      <c r="K662" s="17" t="str">
        <f t="shared" si="108"/>
        <v>Pas d'écart</v>
      </c>
      <c r="L662" s="16">
        <f>base!X662</f>
        <v>0</v>
      </c>
      <c r="M662" s="11">
        <f t="shared" si="104"/>
        <v>0</v>
      </c>
      <c r="N662" s="11">
        <f t="shared" si="105"/>
        <v>0</v>
      </c>
      <c r="O662" s="11">
        <f t="shared" si="106"/>
        <v>0</v>
      </c>
      <c r="P662" s="12">
        <f t="shared" si="107"/>
        <v>0</v>
      </c>
      <c r="Q662" s="17" t="str">
        <f t="shared" si="109"/>
        <v>Pas d'écart</v>
      </c>
    </row>
    <row r="663" spans="1:18" x14ac:dyDescent="0.3">
      <c r="A663" s="34" t="str">
        <f>base!J663</f>
        <v>LS</v>
      </c>
      <c r="B663" s="34" t="str">
        <f>base!V663</f>
        <v>71100</v>
      </c>
      <c r="C663" s="37">
        <v>14</v>
      </c>
      <c r="D663" s="36">
        <f>base!H663</f>
        <v>55.14</v>
      </c>
      <c r="E663" s="44"/>
      <c r="F663" s="16">
        <f>base!W663</f>
        <v>14.89</v>
      </c>
      <c r="G663" s="11">
        <f t="shared" si="100"/>
        <v>0.27003989844033371</v>
      </c>
      <c r="H663" s="11">
        <f t="shared" si="101"/>
        <v>9.373800000000001</v>
      </c>
      <c r="I663" s="11">
        <f t="shared" si="102"/>
        <v>0.17</v>
      </c>
      <c r="J663" s="12">
        <f t="shared" si="103"/>
        <v>5.5161999999999995</v>
      </c>
      <c r="K663" s="17" t="str">
        <f t="shared" si="108"/>
        <v>Ecart positif</v>
      </c>
      <c r="L663" s="16">
        <f>base!X663</f>
        <v>0</v>
      </c>
      <c r="M663" s="11">
        <f t="shared" si="104"/>
        <v>0</v>
      </c>
      <c r="N663" s="11">
        <f t="shared" si="105"/>
        <v>9.373800000000001</v>
      </c>
      <c r="O663" s="11">
        <f t="shared" si="106"/>
        <v>0.17</v>
      </c>
      <c r="P663" s="12">
        <f t="shared" si="107"/>
        <v>-9.373800000000001</v>
      </c>
      <c r="Q663" s="17" t="str">
        <f t="shared" si="109"/>
        <v>Ecart négatif</v>
      </c>
    </row>
    <row r="664" spans="1:18" x14ac:dyDescent="0.3">
      <c r="A664" s="34" t="str">
        <f>base!J664</f>
        <v>LM</v>
      </c>
      <c r="B664" s="34" t="str">
        <f>base!V664</f>
        <v>78340</v>
      </c>
      <c r="C664" s="37">
        <v>78</v>
      </c>
      <c r="D664" s="36">
        <f>base!H664</f>
        <v>86.12</v>
      </c>
      <c r="E664" s="44"/>
      <c r="F664" s="16">
        <f>base!W664</f>
        <v>0</v>
      </c>
      <c r="G664" s="11">
        <f t="shared" si="100"/>
        <v>0</v>
      </c>
      <c r="H664" s="11">
        <f t="shared" si="101"/>
        <v>0</v>
      </c>
      <c r="I664" s="11">
        <f t="shared" si="102"/>
        <v>0</v>
      </c>
      <c r="J664" s="12">
        <f t="shared" si="103"/>
        <v>0</v>
      </c>
      <c r="K664" s="17" t="str">
        <f t="shared" si="108"/>
        <v>Pas d'écart</v>
      </c>
      <c r="L664" s="16">
        <f>base!X664</f>
        <v>0</v>
      </c>
      <c r="M664" s="11">
        <f t="shared" si="104"/>
        <v>0</v>
      </c>
      <c r="N664" s="11">
        <f t="shared" si="105"/>
        <v>0</v>
      </c>
      <c r="O664" s="11">
        <f t="shared" si="106"/>
        <v>0</v>
      </c>
      <c r="P664" s="12">
        <f t="shared" si="107"/>
        <v>0</v>
      </c>
      <c r="Q664" s="17" t="str">
        <f t="shared" si="109"/>
        <v>Pas d'écart</v>
      </c>
    </row>
    <row r="665" spans="1:18" x14ac:dyDescent="0.3">
      <c r="A665" s="34">
        <f>base!J665</f>
        <v>0</v>
      </c>
      <c r="B665" s="34" t="str">
        <f>base!V665</f>
        <v>77184</v>
      </c>
      <c r="C665" s="37">
        <v>77</v>
      </c>
      <c r="D665" s="36">
        <f>base!H665</f>
        <v>105</v>
      </c>
      <c r="E665" s="44"/>
      <c r="F665" s="16">
        <f>base!W665</f>
        <v>0</v>
      </c>
      <c r="G665" s="11">
        <f t="shared" si="100"/>
        <v>0</v>
      </c>
      <c r="H665" s="11">
        <f t="shared" si="101"/>
        <v>0</v>
      </c>
      <c r="I665" s="11">
        <f t="shared" si="102"/>
        <v>0</v>
      </c>
      <c r="J665" s="12">
        <f t="shared" si="103"/>
        <v>0</v>
      </c>
      <c r="K665" s="17" t="str">
        <f t="shared" si="108"/>
        <v>Pas d'écart</v>
      </c>
      <c r="L665" s="16">
        <f>base!X665</f>
        <v>0</v>
      </c>
      <c r="M665" s="11">
        <f t="shared" si="104"/>
        <v>0</v>
      </c>
      <c r="N665" s="11">
        <f t="shared" si="105"/>
        <v>0</v>
      </c>
      <c r="O665" s="11">
        <f t="shared" si="106"/>
        <v>0</v>
      </c>
      <c r="P665" s="12">
        <f t="shared" si="107"/>
        <v>0</v>
      </c>
      <c r="Q665" s="17" t="str">
        <f t="shared" si="109"/>
        <v>Pas d'écart</v>
      </c>
    </row>
    <row r="666" spans="1:18" x14ac:dyDescent="0.3">
      <c r="A666" s="34">
        <f>base!J666</f>
        <v>0</v>
      </c>
      <c r="B666" s="34" t="str">
        <f>base!V666</f>
        <v>77184</v>
      </c>
      <c r="C666" s="37">
        <v>77</v>
      </c>
      <c r="D666" s="36">
        <f>base!H666</f>
        <v>170</v>
      </c>
      <c r="E666" s="44"/>
      <c r="F666" s="16">
        <f>base!W666</f>
        <v>0</v>
      </c>
      <c r="G666" s="11">
        <f t="shared" si="100"/>
        <v>0</v>
      </c>
      <c r="H666" s="11">
        <f t="shared" si="101"/>
        <v>0</v>
      </c>
      <c r="I666" s="11">
        <f t="shared" si="102"/>
        <v>0</v>
      </c>
      <c r="J666" s="12">
        <f t="shared" si="103"/>
        <v>0</v>
      </c>
      <c r="K666" s="17" t="str">
        <f t="shared" si="108"/>
        <v>Pas d'écart</v>
      </c>
      <c r="L666" s="16">
        <f>base!X666</f>
        <v>0</v>
      </c>
      <c r="M666" s="11">
        <f t="shared" si="104"/>
        <v>0</v>
      </c>
      <c r="N666" s="11">
        <f t="shared" si="105"/>
        <v>0</v>
      </c>
      <c r="O666" s="11">
        <f t="shared" si="106"/>
        <v>0</v>
      </c>
      <c r="P666" s="12">
        <f t="shared" si="107"/>
        <v>0</v>
      </c>
      <c r="Q666" s="17" t="str">
        <f t="shared" si="109"/>
        <v>Pas d'écart</v>
      </c>
    </row>
    <row r="667" spans="1:18" x14ac:dyDescent="0.3">
      <c r="A667" s="34" t="str">
        <f>base!J667</f>
        <v>RM</v>
      </c>
      <c r="B667" s="34" t="str">
        <f>base!V667</f>
        <v>62000</v>
      </c>
      <c r="C667" s="37">
        <v>62</v>
      </c>
      <c r="D667" s="36">
        <f>base!H667</f>
        <v>35.840000000000003</v>
      </c>
      <c r="E667" s="44"/>
      <c r="F667" s="16">
        <f>base!W667</f>
        <v>0</v>
      </c>
      <c r="G667" s="11">
        <f t="shared" si="100"/>
        <v>0</v>
      </c>
      <c r="H667" s="11">
        <f t="shared" si="101"/>
        <v>6.8096000000000005</v>
      </c>
      <c r="I667" s="11">
        <f t="shared" si="102"/>
        <v>0.19</v>
      </c>
      <c r="J667" s="12">
        <f t="shared" si="103"/>
        <v>-6.8096000000000005</v>
      </c>
      <c r="K667" s="17" t="str">
        <f t="shared" si="108"/>
        <v>Ecart négatif</v>
      </c>
      <c r="L667" s="16">
        <f>base!X667</f>
        <v>0</v>
      </c>
      <c r="M667" s="11">
        <f t="shared" si="104"/>
        <v>0</v>
      </c>
      <c r="N667" s="11">
        <f t="shared" si="105"/>
        <v>0</v>
      </c>
      <c r="O667" s="11">
        <f t="shared" si="106"/>
        <v>0</v>
      </c>
      <c r="P667" s="12">
        <f t="shared" si="107"/>
        <v>0</v>
      </c>
      <c r="Q667" s="17" t="str">
        <f t="shared" si="109"/>
        <v>Pas d'écart</v>
      </c>
    </row>
    <row r="668" spans="1:18" x14ac:dyDescent="0.3">
      <c r="A668" s="34" t="str">
        <f>base!J668</f>
        <v>RM</v>
      </c>
      <c r="B668" s="34" t="str">
        <f>base!V668</f>
        <v>77160</v>
      </c>
      <c r="C668" s="37">
        <v>77</v>
      </c>
      <c r="D668" s="36">
        <f>base!H668</f>
        <v>299</v>
      </c>
      <c r="E668" s="44"/>
      <c r="F668" s="16">
        <f>base!W668</f>
        <v>0</v>
      </c>
      <c r="G668" s="11">
        <f t="shared" si="100"/>
        <v>0</v>
      </c>
      <c r="H668" s="11">
        <f t="shared" si="101"/>
        <v>0</v>
      </c>
      <c r="I668" s="11">
        <f t="shared" si="102"/>
        <v>0</v>
      </c>
      <c r="J668" s="12">
        <f t="shared" si="103"/>
        <v>0</v>
      </c>
      <c r="K668" s="17" t="str">
        <f t="shared" si="108"/>
        <v>Pas d'écart</v>
      </c>
      <c r="L668" s="16">
        <f>base!X668</f>
        <v>0</v>
      </c>
      <c r="M668" s="11">
        <f t="shared" si="104"/>
        <v>0</v>
      </c>
      <c r="N668" s="11">
        <f t="shared" si="105"/>
        <v>0</v>
      </c>
      <c r="O668" s="11">
        <f t="shared" si="106"/>
        <v>0</v>
      </c>
      <c r="P668" s="12">
        <f t="shared" si="107"/>
        <v>0</v>
      </c>
      <c r="Q668" s="17" t="str">
        <f t="shared" si="109"/>
        <v>Pas d'écart</v>
      </c>
    </row>
    <row r="669" spans="1:18" x14ac:dyDescent="0.3">
      <c r="A669" s="34" t="str">
        <f>base!J669</f>
        <v>LM</v>
      </c>
      <c r="B669" s="34" t="str">
        <f>base!V669</f>
        <v>76220</v>
      </c>
      <c r="C669" s="37">
        <v>76</v>
      </c>
      <c r="D669" s="36">
        <f>base!H669</f>
        <v>40</v>
      </c>
      <c r="E669" s="44"/>
      <c r="F669" s="16">
        <f>base!W669</f>
        <v>6.8</v>
      </c>
      <c r="G669" s="11">
        <f t="shared" si="100"/>
        <v>0.16999999999999998</v>
      </c>
      <c r="H669" s="11">
        <f t="shared" si="101"/>
        <v>6.8000000000000007</v>
      </c>
      <c r="I669" s="11">
        <f t="shared" si="102"/>
        <v>0.17</v>
      </c>
      <c r="J669" s="12">
        <f t="shared" si="103"/>
        <v>0</v>
      </c>
      <c r="K669" s="17" t="str">
        <f t="shared" si="108"/>
        <v>Pas d'écart</v>
      </c>
      <c r="L669" s="16">
        <f>base!X669</f>
        <v>0</v>
      </c>
      <c r="M669" s="11">
        <f t="shared" si="104"/>
        <v>0</v>
      </c>
      <c r="N669" s="11">
        <f t="shared" si="105"/>
        <v>6.8000000000000007</v>
      </c>
      <c r="O669" s="11">
        <f t="shared" si="106"/>
        <v>0.17</v>
      </c>
      <c r="P669" s="12">
        <f t="shared" si="107"/>
        <v>-6.8000000000000007</v>
      </c>
      <c r="Q669" s="17" t="str">
        <f t="shared" si="109"/>
        <v>Ecart négatif</v>
      </c>
    </row>
    <row r="670" spans="1:18" x14ac:dyDescent="0.3">
      <c r="A670" s="34" t="str">
        <f>base!J670</f>
        <v>RM</v>
      </c>
      <c r="B670" s="34" t="str">
        <f>base!V670</f>
        <v>35290</v>
      </c>
      <c r="C670" s="37">
        <v>35</v>
      </c>
      <c r="D670" s="36">
        <f>base!H670</f>
        <v>36.119999999999997</v>
      </c>
      <c r="E670" s="44"/>
      <c r="F670" s="16">
        <f>base!W670</f>
        <v>0</v>
      </c>
      <c r="G670" s="11">
        <f t="shared" si="100"/>
        <v>0</v>
      </c>
      <c r="H670" s="11">
        <f t="shared" si="101"/>
        <v>9.7523999999999997</v>
      </c>
      <c r="I670" s="11">
        <f t="shared" si="102"/>
        <v>0.27</v>
      </c>
      <c r="J670" s="12">
        <f t="shared" si="103"/>
        <v>-9.7523999999999997</v>
      </c>
      <c r="K670" s="17" t="str">
        <f t="shared" si="108"/>
        <v>Ecart négatif</v>
      </c>
      <c r="L670" s="16">
        <f>base!X670</f>
        <v>0</v>
      </c>
      <c r="M670" s="11">
        <f t="shared" si="104"/>
        <v>0</v>
      </c>
      <c r="N670" s="11">
        <f t="shared" si="105"/>
        <v>0</v>
      </c>
      <c r="O670" s="11">
        <f t="shared" si="106"/>
        <v>0</v>
      </c>
      <c r="P670" s="12">
        <f t="shared" si="107"/>
        <v>0</v>
      </c>
      <c r="Q670" s="17" t="str">
        <f t="shared" si="109"/>
        <v>Pas d'écart</v>
      </c>
    </row>
    <row r="671" spans="1:18" x14ac:dyDescent="0.3">
      <c r="A671" s="34" t="str">
        <f>base!J671</f>
        <v>LM</v>
      </c>
      <c r="B671" s="34" t="str">
        <f>base!V671</f>
        <v>95240</v>
      </c>
      <c r="C671" s="37">
        <v>95</v>
      </c>
      <c r="D671" s="36">
        <f>base!H671</f>
        <v>36.85</v>
      </c>
      <c r="E671" s="44"/>
      <c r="F671" s="16">
        <f>base!W671</f>
        <v>0</v>
      </c>
      <c r="G671" s="11">
        <f t="shared" si="100"/>
        <v>0</v>
      </c>
      <c r="H671" s="11">
        <f t="shared" si="101"/>
        <v>0</v>
      </c>
      <c r="I671" s="11">
        <f t="shared" si="102"/>
        <v>0</v>
      </c>
      <c r="J671" s="12">
        <f t="shared" si="103"/>
        <v>0</v>
      </c>
      <c r="K671" s="17" t="str">
        <f t="shared" si="108"/>
        <v>Pas d'écart</v>
      </c>
      <c r="L671" s="16">
        <f>base!X671</f>
        <v>0</v>
      </c>
      <c r="M671" s="11">
        <f t="shared" si="104"/>
        <v>0</v>
      </c>
      <c r="N671" s="11">
        <f t="shared" si="105"/>
        <v>0</v>
      </c>
      <c r="O671" s="11">
        <f t="shared" si="106"/>
        <v>0</v>
      </c>
      <c r="P671" s="12">
        <f t="shared" si="107"/>
        <v>0</v>
      </c>
      <c r="Q671" s="17" t="str">
        <f t="shared" si="109"/>
        <v>Pas d'écart</v>
      </c>
    </row>
    <row r="672" spans="1:18" x14ac:dyDescent="0.3">
      <c r="A672" s="34" t="str">
        <f>base!J672</f>
        <v>RS</v>
      </c>
      <c r="B672" s="34" t="str">
        <f>base!V672</f>
        <v>34500</v>
      </c>
      <c r="C672" s="37">
        <v>34</v>
      </c>
      <c r="D672" s="36">
        <f>base!H672</f>
        <v>180</v>
      </c>
      <c r="E672" s="44"/>
      <c r="F672" s="16">
        <f>base!W672</f>
        <v>0</v>
      </c>
      <c r="G672" s="11">
        <f t="shared" si="100"/>
        <v>0</v>
      </c>
      <c r="H672" s="11">
        <f t="shared" si="101"/>
        <v>70.2</v>
      </c>
      <c r="I672" s="11">
        <f t="shared" si="102"/>
        <v>0.39</v>
      </c>
      <c r="J672" s="12">
        <f t="shared" si="103"/>
        <v>-70.2</v>
      </c>
      <c r="K672" s="17" t="str">
        <f t="shared" si="108"/>
        <v>Ecart négatif</v>
      </c>
      <c r="L672" s="16">
        <f>base!X672</f>
        <v>50.4</v>
      </c>
      <c r="M672" s="11">
        <f t="shared" si="104"/>
        <v>0.27999999999999997</v>
      </c>
      <c r="N672" s="11">
        <f t="shared" si="105"/>
        <v>50.400000000000006</v>
      </c>
      <c r="O672" s="11">
        <f t="shared" si="106"/>
        <v>0.28000000000000003</v>
      </c>
      <c r="P672" s="12">
        <f t="shared" si="107"/>
        <v>0</v>
      </c>
      <c r="Q672" s="17" t="str">
        <f t="shared" si="109"/>
        <v>Pas d'écart</v>
      </c>
      <c r="R672" s="38"/>
    </row>
    <row r="673" spans="1:18" x14ac:dyDescent="0.3">
      <c r="A673" s="34" t="str">
        <f>base!J673</f>
        <v>LS</v>
      </c>
      <c r="B673" s="34" t="str">
        <f>base!V673</f>
        <v>30000</v>
      </c>
      <c r="C673" s="37">
        <v>14</v>
      </c>
      <c r="D673" s="36">
        <f>base!H673</f>
        <v>123.63</v>
      </c>
      <c r="E673" s="44"/>
      <c r="F673" s="16">
        <f>base!W673</f>
        <v>48.22</v>
      </c>
      <c r="G673" s="11">
        <f t="shared" si="100"/>
        <v>0.39003478120197366</v>
      </c>
      <c r="H673" s="11">
        <f t="shared" si="101"/>
        <v>21.017099999999999</v>
      </c>
      <c r="I673" s="11">
        <f t="shared" si="102"/>
        <v>0.17</v>
      </c>
      <c r="J673" s="12">
        <f t="shared" si="103"/>
        <v>27.2029</v>
      </c>
      <c r="K673" s="17" t="str">
        <f t="shared" si="108"/>
        <v>Ecart positif</v>
      </c>
      <c r="L673" s="16">
        <f>base!X673</f>
        <v>0</v>
      </c>
      <c r="M673" s="11">
        <f t="shared" si="104"/>
        <v>0</v>
      </c>
      <c r="N673" s="11">
        <f t="shared" si="105"/>
        <v>21.017099999999999</v>
      </c>
      <c r="O673" s="11">
        <f t="shared" si="106"/>
        <v>0.17</v>
      </c>
      <c r="P673" s="12">
        <f t="shared" si="107"/>
        <v>-21.017099999999999</v>
      </c>
      <c r="Q673" s="17" t="str">
        <f t="shared" si="109"/>
        <v>Ecart négatif</v>
      </c>
    </row>
    <row r="674" spans="1:18" x14ac:dyDescent="0.3">
      <c r="A674" s="34" t="str">
        <f>base!J674</f>
        <v>LS</v>
      </c>
      <c r="B674" s="34" t="str">
        <f>base!V674</f>
        <v>21000</v>
      </c>
      <c r="C674" s="37">
        <v>14</v>
      </c>
      <c r="D674" s="36">
        <f>base!H674</f>
        <v>86.27</v>
      </c>
      <c r="E674" s="44"/>
      <c r="F674" s="16">
        <f>base!W674</f>
        <v>20.7</v>
      </c>
      <c r="G674" s="11">
        <f t="shared" si="100"/>
        <v>0.23994436072794714</v>
      </c>
      <c r="H674" s="11">
        <f t="shared" si="101"/>
        <v>14.665900000000001</v>
      </c>
      <c r="I674" s="11">
        <f t="shared" si="102"/>
        <v>0.17</v>
      </c>
      <c r="J674" s="12">
        <f t="shared" si="103"/>
        <v>6.0340999999999987</v>
      </c>
      <c r="K674" s="17" t="str">
        <f t="shared" si="108"/>
        <v>Ecart positif</v>
      </c>
      <c r="L674" s="16">
        <f>base!X674</f>
        <v>0</v>
      </c>
      <c r="M674" s="11">
        <f t="shared" si="104"/>
        <v>0</v>
      </c>
      <c r="N674" s="11">
        <f t="shared" si="105"/>
        <v>14.665900000000001</v>
      </c>
      <c r="O674" s="11">
        <f t="shared" si="106"/>
        <v>0.17</v>
      </c>
      <c r="P674" s="12">
        <f t="shared" si="107"/>
        <v>-14.665900000000001</v>
      </c>
      <c r="Q674" s="17" t="str">
        <f t="shared" si="109"/>
        <v>Ecart négatif</v>
      </c>
    </row>
    <row r="675" spans="1:18" x14ac:dyDescent="0.3">
      <c r="A675" s="34" t="str">
        <f>base!J675</f>
        <v>LS</v>
      </c>
      <c r="B675" s="34" t="str">
        <f>base!V675</f>
        <v>11700</v>
      </c>
      <c r="C675" s="37">
        <v>14</v>
      </c>
      <c r="D675" s="36">
        <f>base!H675</f>
        <v>120.85</v>
      </c>
      <c r="E675" s="44"/>
      <c r="F675" s="16">
        <f>base!W675</f>
        <v>0</v>
      </c>
      <c r="G675" s="11">
        <f t="shared" si="100"/>
        <v>0</v>
      </c>
      <c r="H675" s="11">
        <f t="shared" si="101"/>
        <v>20.544499999999999</v>
      </c>
      <c r="I675" s="11">
        <f t="shared" si="102"/>
        <v>0.17</v>
      </c>
      <c r="J675" s="12">
        <f t="shared" si="103"/>
        <v>-20.544499999999999</v>
      </c>
      <c r="K675" s="17" t="str">
        <f t="shared" si="108"/>
        <v>Ecart négatif</v>
      </c>
      <c r="L675" s="16">
        <f>base!X675</f>
        <v>0</v>
      </c>
      <c r="M675" s="11">
        <f t="shared" si="104"/>
        <v>0</v>
      </c>
      <c r="N675" s="11">
        <f t="shared" si="105"/>
        <v>20.544499999999999</v>
      </c>
      <c r="O675" s="11">
        <f t="shared" si="106"/>
        <v>0.17</v>
      </c>
      <c r="P675" s="12">
        <f t="shared" si="107"/>
        <v>-20.544499999999999</v>
      </c>
      <c r="Q675" s="17" t="str">
        <f t="shared" si="109"/>
        <v>Ecart négatif</v>
      </c>
    </row>
    <row r="676" spans="1:18" x14ac:dyDescent="0.3">
      <c r="A676" s="34" t="str">
        <f>base!J676</f>
        <v>LS</v>
      </c>
      <c r="B676" s="34" t="str">
        <f>base!V676</f>
        <v>56000</v>
      </c>
      <c r="C676" s="37">
        <v>76</v>
      </c>
      <c r="D676" s="36">
        <f>base!H676</f>
        <v>11.2</v>
      </c>
      <c r="E676" s="44"/>
      <c r="F676" s="16">
        <f>base!W676</f>
        <v>3.02</v>
      </c>
      <c r="G676" s="11">
        <f t="shared" si="100"/>
        <v>0.26964285714285718</v>
      </c>
      <c r="H676" s="11">
        <f t="shared" si="101"/>
        <v>1.9039999999999999</v>
      </c>
      <c r="I676" s="11">
        <f t="shared" si="102"/>
        <v>0.17</v>
      </c>
      <c r="J676" s="12">
        <f t="shared" si="103"/>
        <v>1.1160000000000001</v>
      </c>
      <c r="K676" s="17" t="str">
        <f t="shared" si="108"/>
        <v>Ecart positif</v>
      </c>
      <c r="L676" s="16">
        <f>base!X676</f>
        <v>0</v>
      </c>
      <c r="M676" s="11">
        <f t="shared" si="104"/>
        <v>0</v>
      </c>
      <c r="N676" s="11">
        <f t="shared" si="105"/>
        <v>1.9039999999999999</v>
      </c>
      <c r="O676" s="11">
        <f t="shared" si="106"/>
        <v>0.17</v>
      </c>
      <c r="P676" s="12">
        <f t="shared" si="107"/>
        <v>-1.9039999999999999</v>
      </c>
      <c r="Q676" s="17" t="str">
        <f t="shared" si="109"/>
        <v>Ecart négatif</v>
      </c>
    </row>
    <row r="677" spans="1:18" x14ac:dyDescent="0.3">
      <c r="A677" s="34" t="str">
        <f>base!J677</f>
        <v>LM</v>
      </c>
      <c r="B677" s="34" t="str">
        <f>base!V677</f>
        <v>80140</v>
      </c>
      <c r="C677" s="37">
        <v>76</v>
      </c>
      <c r="D677" s="36">
        <f>base!H677</f>
        <v>171.25</v>
      </c>
      <c r="E677" s="44"/>
      <c r="F677" s="16">
        <f>base!W677</f>
        <v>32.54</v>
      </c>
      <c r="G677" s="11">
        <f t="shared" si="100"/>
        <v>0.19001459854014599</v>
      </c>
      <c r="H677" s="11">
        <f t="shared" si="101"/>
        <v>29.112500000000001</v>
      </c>
      <c r="I677" s="11">
        <f t="shared" si="102"/>
        <v>0.17</v>
      </c>
      <c r="J677" s="12">
        <f t="shared" si="103"/>
        <v>3.4274999999999984</v>
      </c>
      <c r="K677" s="17" t="str">
        <f t="shared" si="108"/>
        <v>Ecart positif</v>
      </c>
      <c r="L677" s="16">
        <f>base!X677</f>
        <v>0</v>
      </c>
      <c r="M677" s="11">
        <f t="shared" si="104"/>
        <v>0</v>
      </c>
      <c r="N677" s="11">
        <f t="shared" si="105"/>
        <v>29.112500000000001</v>
      </c>
      <c r="O677" s="11">
        <f t="shared" si="106"/>
        <v>0.17</v>
      </c>
      <c r="P677" s="12">
        <f t="shared" si="107"/>
        <v>-29.112500000000001</v>
      </c>
      <c r="Q677" s="17" t="str">
        <f t="shared" si="109"/>
        <v>Ecart négatif</v>
      </c>
    </row>
    <row r="678" spans="1:18" x14ac:dyDescent="0.3">
      <c r="A678" s="34" t="str">
        <f>base!J678</f>
        <v>RM</v>
      </c>
      <c r="B678" s="34" t="str">
        <f>base!V678</f>
        <v>14150</v>
      </c>
      <c r="C678" s="37">
        <v>14</v>
      </c>
      <c r="D678" s="36">
        <f>base!H678</f>
        <v>206.24</v>
      </c>
      <c r="E678" s="44"/>
      <c r="F678" s="16">
        <f>base!W678</f>
        <v>0</v>
      </c>
      <c r="G678" s="11">
        <f t="shared" si="100"/>
        <v>0</v>
      </c>
      <c r="H678" s="11">
        <f t="shared" si="101"/>
        <v>35.060800000000008</v>
      </c>
      <c r="I678" s="11">
        <f t="shared" si="102"/>
        <v>0.17000000000000004</v>
      </c>
      <c r="J678" s="12">
        <f t="shared" si="103"/>
        <v>-35.060800000000008</v>
      </c>
      <c r="K678" s="17" t="str">
        <f t="shared" si="108"/>
        <v>Ecart négatif</v>
      </c>
      <c r="L678" s="16">
        <f>base!X678</f>
        <v>0</v>
      </c>
      <c r="M678" s="11">
        <f t="shared" si="104"/>
        <v>0</v>
      </c>
      <c r="N678" s="11">
        <f t="shared" si="105"/>
        <v>35.060800000000008</v>
      </c>
      <c r="O678" s="11">
        <f t="shared" si="106"/>
        <v>0.17000000000000004</v>
      </c>
      <c r="P678" s="12">
        <f t="shared" si="107"/>
        <v>-35.060800000000008</v>
      </c>
      <c r="Q678" s="17" t="str">
        <f t="shared" si="109"/>
        <v>Ecart négatif</v>
      </c>
    </row>
    <row r="679" spans="1:18" x14ac:dyDescent="0.3">
      <c r="A679" s="34" t="str">
        <f>base!J679</f>
        <v>LS</v>
      </c>
      <c r="B679" s="34" t="str">
        <f>base!V679</f>
        <v>67200</v>
      </c>
      <c r="C679" s="37">
        <v>27</v>
      </c>
      <c r="D679" s="36">
        <f>base!H679</f>
        <v>55.14</v>
      </c>
      <c r="E679" s="44"/>
      <c r="F679" s="16">
        <f>base!W679</f>
        <v>15.99</v>
      </c>
      <c r="G679" s="11">
        <f t="shared" si="100"/>
        <v>0.28998911860718174</v>
      </c>
      <c r="H679" s="11">
        <f t="shared" si="101"/>
        <v>9.373800000000001</v>
      </c>
      <c r="I679" s="11">
        <f t="shared" si="102"/>
        <v>0.17</v>
      </c>
      <c r="J679" s="12">
        <f t="shared" si="103"/>
        <v>6.6161999999999992</v>
      </c>
      <c r="K679" s="17" t="str">
        <f t="shared" si="108"/>
        <v>Ecart positif</v>
      </c>
      <c r="L679" s="16">
        <f>base!X679</f>
        <v>0</v>
      </c>
      <c r="M679" s="11">
        <f t="shared" si="104"/>
        <v>0</v>
      </c>
      <c r="N679" s="11">
        <f t="shared" si="105"/>
        <v>9.373800000000001</v>
      </c>
      <c r="O679" s="11">
        <f t="shared" si="106"/>
        <v>0.17</v>
      </c>
      <c r="P679" s="12">
        <f t="shared" si="107"/>
        <v>-9.373800000000001</v>
      </c>
      <c r="Q679" s="17" t="str">
        <f t="shared" si="109"/>
        <v>Ecart négatif</v>
      </c>
    </row>
    <row r="680" spans="1:18" x14ac:dyDescent="0.3">
      <c r="A680" s="34" t="str">
        <f>base!J680</f>
        <v>LS</v>
      </c>
      <c r="B680" s="34" t="str">
        <f>base!V680</f>
        <v>50430</v>
      </c>
      <c r="C680" s="37">
        <v>76</v>
      </c>
      <c r="D680" s="36">
        <f>base!H680</f>
        <v>130.19999999999999</v>
      </c>
      <c r="E680" s="44"/>
      <c r="F680" s="16">
        <f>base!W680</f>
        <v>22.13</v>
      </c>
      <c r="G680" s="11">
        <f t="shared" si="100"/>
        <v>0.16996927803379416</v>
      </c>
      <c r="H680" s="11">
        <f t="shared" si="101"/>
        <v>22.134</v>
      </c>
      <c r="I680" s="11">
        <f t="shared" si="102"/>
        <v>0.17</v>
      </c>
      <c r="J680" s="12">
        <f t="shared" si="103"/>
        <v>-4.0000000000013358E-3</v>
      </c>
      <c r="K680" s="17" t="str">
        <f t="shared" si="108"/>
        <v>Ecart négatif</v>
      </c>
      <c r="L680" s="16">
        <f>base!X680</f>
        <v>0</v>
      </c>
      <c r="M680" s="11">
        <f t="shared" si="104"/>
        <v>0</v>
      </c>
      <c r="N680" s="11">
        <f t="shared" si="105"/>
        <v>22.134</v>
      </c>
      <c r="O680" s="11">
        <f t="shared" si="106"/>
        <v>0.17</v>
      </c>
      <c r="P680" s="12">
        <f t="shared" si="107"/>
        <v>-22.134</v>
      </c>
      <c r="Q680" s="17" t="str">
        <f t="shared" si="109"/>
        <v>Ecart négatif</v>
      </c>
    </row>
    <row r="681" spans="1:18" x14ac:dyDescent="0.3">
      <c r="A681" s="34" t="str">
        <f>base!J681</f>
        <v>LS</v>
      </c>
      <c r="B681" s="34" t="str">
        <f>base!V681</f>
        <v>76600</v>
      </c>
      <c r="C681" s="37">
        <v>76</v>
      </c>
      <c r="D681" s="36">
        <f>base!H681</f>
        <v>0</v>
      </c>
      <c r="E681" s="44"/>
      <c r="F681" s="16">
        <f>base!W681</f>
        <v>0</v>
      </c>
      <c r="G681" s="11" t="e">
        <f t="shared" si="100"/>
        <v>#DIV/0!</v>
      </c>
      <c r="H681" s="11">
        <f t="shared" si="101"/>
        <v>0</v>
      </c>
      <c r="I681" s="11" t="e">
        <f t="shared" si="102"/>
        <v>#DIV/0!</v>
      </c>
      <c r="J681" s="12">
        <f t="shared" si="103"/>
        <v>0</v>
      </c>
      <c r="K681" s="17" t="str">
        <f t="shared" si="108"/>
        <v>Pas d'écart</v>
      </c>
      <c r="L681" s="16">
        <f>base!X681</f>
        <v>0</v>
      </c>
      <c r="M681" s="11" t="e">
        <f t="shared" si="104"/>
        <v>#DIV/0!</v>
      </c>
      <c r="N681" s="11">
        <f t="shared" si="105"/>
        <v>0</v>
      </c>
      <c r="O681" s="11" t="e">
        <f t="shared" si="106"/>
        <v>#DIV/0!</v>
      </c>
      <c r="P681" s="12">
        <f t="shared" si="107"/>
        <v>0</v>
      </c>
      <c r="Q681" s="17" t="str">
        <f t="shared" si="109"/>
        <v>Pas d'écart</v>
      </c>
    </row>
    <row r="682" spans="1:18" x14ac:dyDescent="0.3">
      <c r="A682" s="34" t="str">
        <f>base!J682</f>
        <v>RM</v>
      </c>
      <c r="B682" s="34" t="str">
        <f>base!V682</f>
        <v>44000</v>
      </c>
      <c r="C682" s="37">
        <v>44</v>
      </c>
      <c r="D682" s="36">
        <f>base!H682</f>
        <v>140</v>
      </c>
      <c r="E682" s="44"/>
      <c r="F682" s="16">
        <f>base!W682</f>
        <v>0</v>
      </c>
      <c r="G682" s="11">
        <f t="shared" si="100"/>
        <v>0</v>
      </c>
      <c r="H682" s="11">
        <f t="shared" si="101"/>
        <v>37.800000000000004</v>
      </c>
      <c r="I682" s="11">
        <f t="shared" si="102"/>
        <v>0.27</v>
      </c>
      <c r="J682" s="12">
        <f t="shared" si="103"/>
        <v>-37.800000000000004</v>
      </c>
      <c r="K682" s="17" t="str">
        <f t="shared" si="108"/>
        <v>Ecart négatif</v>
      </c>
      <c r="L682" s="16">
        <f>base!X682</f>
        <v>0</v>
      </c>
      <c r="M682" s="11">
        <f t="shared" si="104"/>
        <v>0</v>
      </c>
      <c r="N682" s="11">
        <f t="shared" si="105"/>
        <v>0</v>
      </c>
      <c r="O682" s="11">
        <f t="shared" si="106"/>
        <v>0</v>
      </c>
      <c r="P682" s="12">
        <f t="shared" si="107"/>
        <v>0</v>
      </c>
      <c r="Q682" s="17" t="str">
        <f t="shared" si="109"/>
        <v>Pas d'écart</v>
      </c>
    </row>
    <row r="683" spans="1:18" x14ac:dyDescent="0.3">
      <c r="A683" s="34" t="str">
        <f>base!J683</f>
        <v>RM</v>
      </c>
      <c r="B683" s="34" t="str">
        <f>base!V683</f>
        <v>68120</v>
      </c>
      <c r="C683" s="37">
        <v>68</v>
      </c>
      <c r="D683" s="36">
        <f>base!H683</f>
        <v>173.44</v>
      </c>
      <c r="E683" s="44"/>
      <c r="F683" s="16">
        <f>base!W683</f>
        <v>0</v>
      </c>
      <c r="G683" s="11">
        <f t="shared" si="100"/>
        <v>0</v>
      </c>
      <c r="H683" s="11">
        <f t="shared" si="101"/>
        <v>50.297599999999996</v>
      </c>
      <c r="I683" s="11">
        <f t="shared" si="102"/>
        <v>0.28999999999999998</v>
      </c>
      <c r="J683" s="12">
        <f t="shared" si="103"/>
        <v>-50.297599999999996</v>
      </c>
      <c r="K683" s="17" t="str">
        <f t="shared" si="108"/>
        <v>Ecart négatif</v>
      </c>
      <c r="L683" s="16">
        <f>base!X683</f>
        <v>13.88</v>
      </c>
      <c r="M683" s="11">
        <f t="shared" si="104"/>
        <v>8.002767527675278E-2</v>
      </c>
      <c r="N683" s="11">
        <f t="shared" si="105"/>
        <v>13.8752</v>
      </c>
      <c r="O683" s="11">
        <f t="shared" si="106"/>
        <v>0.08</v>
      </c>
      <c r="P683" s="12">
        <f t="shared" si="107"/>
        <v>4.8000000000012477E-3</v>
      </c>
      <c r="Q683" s="17" t="str">
        <f t="shared" si="109"/>
        <v>Ecart positif</v>
      </c>
      <c r="R683" s="38"/>
    </row>
    <row r="684" spans="1:18" x14ac:dyDescent="0.3">
      <c r="A684" s="34" t="str">
        <f>base!J684</f>
        <v>LM</v>
      </c>
      <c r="B684" s="34" t="str">
        <f>base!V684</f>
        <v>59148</v>
      </c>
      <c r="C684" s="37">
        <v>27</v>
      </c>
      <c r="D684" s="36">
        <f>base!H684</f>
        <v>148.19</v>
      </c>
      <c r="E684" s="44"/>
      <c r="F684" s="16">
        <f>base!W684</f>
        <v>28.16</v>
      </c>
      <c r="G684" s="11">
        <f t="shared" si="100"/>
        <v>0.19002631756528782</v>
      </c>
      <c r="H684" s="11">
        <f t="shared" si="101"/>
        <v>25.192300000000003</v>
      </c>
      <c r="I684" s="11">
        <f t="shared" si="102"/>
        <v>0.17</v>
      </c>
      <c r="J684" s="12">
        <f t="shared" si="103"/>
        <v>2.9676999999999971</v>
      </c>
      <c r="K684" s="17" t="str">
        <f t="shared" si="108"/>
        <v>Ecart positif</v>
      </c>
      <c r="L684" s="16">
        <f>base!X684</f>
        <v>0</v>
      </c>
      <c r="M684" s="11">
        <f t="shared" si="104"/>
        <v>0</v>
      </c>
      <c r="N684" s="11">
        <f t="shared" si="105"/>
        <v>25.192300000000003</v>
      </c>
      <c r="O684" s="11">
        <f t="shared" si="106"/>
        <v>0.17</v>
      </c>
      <c r="P684" s="12">
        <f t="shared" si="107"/>
        <v>-25.192300000000003</v>
      </c>
      <c r="Q684" s="17" t="str">
        <f t="shared" si="109"/>
        <v>Ecart négatif</v>
      </c>
    </row>
    <row r="685" spans="1:18" x14ac:dyDescent="0.3">
      <c r="A685" s="34">
        <f>base!J685</f>
        <v>0</v>
      </c>
      <c r="B685" s="34" t="str">
        <f>base!V685</f>
        <v>77184</v>
      </c>
      <c r="C685" s="37">
        <v>77</v>
      </c>
      <c r="D685" s="36">
        <f>base!H685</f>
        <v>40.6</v>
      </c>
      <c r="E685" s="44"/>
      <c r="F685" s="16">
        <f>base!W685</f>
        <v>0</v>
      </c>
      <c r="G685" s="11">
        <f t="shared" si="100"/>
        <v>0</v>
      </c>
      <c r="H685" s="11">
        <f t="shared" si="101"/>
        <v>0</v>
      </c>
      <c r="I685" s="11">
        <f t="shared" si="102"/>
        <v>0</v>
      </c>
      <c r="J685" s="12">
        <f t="shared" si="103"/>
        <v>0</v>
      </c>
      <c r="K685" s="17" t="str">
        <f t="shared" si="108"/>
        <v>Pas d'écart</v>
      </c>
      <c r="L685" s="16">
        <f>base!X685</f>
        <v>0</v>
      </c>
      <c r="M685" s="11">
        <f t="shared" si="104"/>
        <v>0</v>
      </c>
      <c r="N685" s="11">
        <f t="shared" si="105"/>
        <v>0</v>
      </c>
      <c r="O685" s="11">
        <f t="shared" si="106"/>
        <v>0</v>
      </c>
      <c r="P685" s="12">
        <f t="shared" si="107"/>
        <v>0</v>
      </c>
      <c r="Q685" s="17" t="str">
        <f t="shared" si="109"/>
        <v>Pas d'écart</v>
      </c>
    </row>
    <row r="686" spans="1:18" x14ac:dyDescent="0.3">
      <c r="A686" s="34">
        <f>base!J686</f>
        <v>0</v>
      </c>
      <c r="B686" s="34" t="str">
        <f>base!V686</f>
        <v>77184</v>
      </c>
      <c r="C686" s="37">
        <v>77</v>
      </c>
      <c r="D686" s="36">
        <f>base!H686</f>
        <v>171</v>
      </c>
      <c r="E686" s="44"/>
      <c r="F686" s="16">
        <f>base!W686</f>
        <v>0</v>
      </c>
      <c r="G686" s="11">
        <f t="shared" si="100"/>
        <v>0</v>
      </c>
      <c r="H686" s="11">
        <f t="shared" si="101"/>
        <v>0</v>
      </c>
      <c r="I686" s="11">
        <f t="shared" si="102"/>
        <v>0</v>
      </c>
      <c r="J686" s="12">
        <f t="shared" si="103"/>
        <v>0</v>
      </c>
      <c r="K686" s="17" t="str">
        <f t="shared" si="108"/>
        <v>Pas d'écart</v>
      </c>
      <c r="L686" s="16">
        <f>base!X686</f>
        <v>0</v>
      </c>
      <c r="M686" s="11">
        <f t="shared" si="104"/>
        <v>0</v>
      </c>
      <c r="N686" s="11">
        <f t="shared" si="105"/>
        <v>0</v>
      </c>
      <c r="O686" s="11">
        <f t="shared" si="106"/>
        <v>0</v>
      </c>
      <c r="P686" s="12">
        <f t="shared" si="107"/>
        <v>0</v>
      </c>
      <c r="Q686" s="17" t="str">
        <f t="shared" si="109"/>
        <v>Pas d'écart</v>
      </c>
    </row>
    <row r="687" spans="1:18" x14ac:dyDescent="0.3">
      <c r="A687" s="34">
        <f>base!J687</f>
        <v>0</v>
      </c>
      <c r="B687" s="34" t="str">
        <f>base!V687</f>
        <v>77184</v>
      </c>
      <c r="C687" s="37">
        <v>77</v>
      </c>
      <c r="D687" s="36">
        <f>base!H687</f>
        <v>171</v>
      </c>
      <c r="E687" s="44"/>
      <c r="F687" s="16">
        <f>base!W687</f>
        <v>0</v>
      </c>
      <c r="G687" s="11">
        <f t="shared" si="100"/>
        <v>0</v>
      </c>
      <c r="H687" s="11">
        <f t="shared" si="101"/>
        <v>0</v>
      </c>
      <c r="I687" s="11">
        <f t="shared" si="102"/>
        <v>0</v>
      </c>
      <c r="J687" s="12">
        <f t="shared" si="103"/>
        <v>0</v>
      </c>
      <c r="K687" s="17" t="str">
        <f t="shared" si="108"/>
        <v>Pas d'écart</v>
      </c>
      <c r="L687" s="16">
        <f>base!X687</f>
        <v>0</v>
      </c>
      <c r="M687" s="11">
        <f t="shared" si="104"/>
        <v>0</v>
      </c>
      <c r="N687" s="11">
        <f t="shared" si="105"/>
        <v>0</v>
      </c>
      <c r="O687" s="11">
        <f t="shared" si="106"/>
        <v>0</v>
      </c>
      <c r="P687" s="12">
        <f t="shared" si="107"/>
        <v>0</v>
      </c>
      <c r="Q687" s="17" t="str">
        <f t="shared" si="109"/>
        <v>Pas d'écart</v>
      </c>
    </row>
    <row r="688" spans="1:18" x14ac:dyDescent="0.3">
      <c r="A688" s="34" t="str">
        <f>base!J688</f>
        <v>RM</v>
      </c>
      <c r="B688" s="34" t="str">
        <f>base!V688</f>
        <v>60290</v>
      </c>
      <c r="C688" s="37">
        <v>60</v>
      </c>
      <c r="D688" s="36">
        <f>base!H688</f>
        <v>27</v>
      </c>
      <c r="E688" s="44"/>
      <c r="F688" s="16">
        <f>base!W688</f>
        <v>0</v>
      </c>
      <c r="G688" s="11">
        <f t="shared" si="100"/>
        <v>0</v>
      </c>
      <c r="H688" s="11">
        <f t="shared" si="101"/>
        <v>5.13</v>
      </c>
      <c r="I688" s="11">
        <f t="shared" si="102"/>
        <v>0.19</v>
      </c>
      <c r="J688" s="12">
        <f t="shared" si="103"/>
        <v>-5.13</v>
      </c>
      <c r="K688" s="17" t="str">
        <f t="shared" si="108"/>
        <v>Ecart négatif</v>
      </c>
      <c r="L688" s="16">
        <f>base!X688</f>
        <v>0</v>
      </c>
      <c r="M688" s="11">
        <f t="shared" si="104"/>
        <v>0</v>
      </c>
      <c r="N688" s="11">
        <f t="shared" si="105"/>
        <v>0</v>
      </c>
      <c r="O688" s="11">
        <f t="shared" si="106"/>
        <v>0</v>
      </c>
      <c r="P688" s="12">
        <f t="shared" si="107"/>
        <v>0</v>
      </c>
      <c r="Q688" s="17" t="str">
        <f t="shared" si="109"/>
        <v>Pas d'écart</v>
      </c>
    </row>
    <row r="689" spans="1:17" x14ac:dyDescent="0.3">
      <c r="A689" s="34" t="str">
        <f>base!J689</f>
        <v>RM</v>
      </c>
      <c r="B689" s="34" t="str">
        <f>base!V689</f>
        <v>69005</v>
      </c>
      <c r="C689" s="37">
        <v>69</v>
      </c>
      <c r="D689" s="36">
        <f>base!H689</f>
        <v>176</v>
      </c>
      <c r="E689" s="44"/>
      <c r="F689" s="16">
        <f>base!W689</f>
        <v>0</v>
      </c>
      <c r="G689" s="11">
        <f t="shared" si="100"/>
        <v>0</v>
      </c>
      <c r="H689" s="11">
        <f t="shared" si="101"/>
        <v>47.52</v>
      </c>
      <c r="I689" s="11">
        <f t="shared" si="102"/>
        <v>0.27</v>
      </c>
      <c r="J689" s="12">
        <f t="shared" si="103"/>
        <v>-47.52</v>
      </c>
      <c r="K689" s="17" t="str">
        <f t="shared" si="108"/>
        <v>Ecart négatif</v>
      </c>
      <c r="L689" s="16">
        <f>base!X689</f>
        <v>0</v>
      </c>
      <c r="M689" s="11">
        <f t="shared" si="104"/>
        <v>0</v>
      </c>
      <c r="N689" s="11">
        <f t="shared" si="105"/>
        <v>0</v>
      </c>
      <c r="O689" s="11">
        <f t="shared" si="106"/>
        <v>0</v>
      </c>
      <c r="P689" s="12">
        <f t="shared" si="107"/>
        <v>0</v>
      </c>
      <c r="Q689" s="17" t="str">
        <f t="shared" si="109"/>
        <v>Pas d'écart</v>
      </c>
    </row>
    <row r="690" spans="1:17" x14ac:dyDescent="0.3">
      <c r="A690" s="34" t="str">
        <f>base!J690</f>
        <v>LS</v>
      </c>
      <c r="B690" s="34" t="str">
        <f>base!V690</f>
        <v>06000</v>
      </c>
      <c r="C690" s="37">
        <v>61</v>
      </c>
      <c r="D690" s="36">
        <f>base!H690</f>
        <v>126.65</v>
      </c>
      <c r="E690" s="44"/>
      <c r="F690" s="16">
        <f>base!W690</f>
        <v>38</v>
      </c>
      <c r="G690" s="11">
        <f t="shared" si="100"/>
        <v>0.30003947887879984</v>
      </c>
      <c r="H690" s="11">
        <f t="shared" si="101"/>
        <v>21.530500000000004</v>
      </c>
      <c r="I690" s="11">
        <f t="shared" si="102"/>
        <v>0.17</v>
      </c>
      <c r="J690" s="12">
        <f t="shared" si="103"/>
        <v>16.469499999999996</v>
      </c>
      <c r="K690" s="17" t="str">
        <f t="shared" si="108"/>
        <v>Ecart positif</v>
      </c>
      <c r="L690" s="16">
        <f>base!X690</f>
        <v>0</v>
      </c>
      <c r="M690" s="11">
        <f t="shared" si="104"/>
        <v>0</v>
      </c>
      <c r="N690" s="11">
        <f t="shared" si="105"/>
        <v>21.530500000000004</v>
      </c>
      <c r="O690" s="11">
        <f t="shared" si="106"/>
        <v>0.17</v>
      </c>
      <c r="P690" s="12">
        <f t="shared" si="107"/>
        <v>-21.530500000000004</v>
      </c>
      <c r="Q690" s="17" t="str">
        <f t="shared" si="109"/>
        <v>Ecart négatif</v>
      </c>
    </row>
    <row r="691" spans="1:17" x14ac:dyDescent="0.3">
      <c r="A691" s="34" t="str">
        <f>base!J691</f>
        <v>LS</v>
      </c>
      <c r="B691" s="34" t="str">
        <f>base!V691</f>
        <v>77000</v>
      </c>
      <c r="C691" s="37">
        <v>77</v>
      </c>
      <c r="D691" s="36">
        <f>base!H691</f>
        <v>121.06</v>
      </c>
      <c r="E691" s="44"/>
      <c r="F691" s="16">
        <f>base!W691</f>
        <v>0</v>
      </c>
      <c r="G691" s="11">
        <f t="shared" si="100"/>
        <v>0</v>
      </c>
      <c r="H691" s="11">
        <f t="shared" si="101"/>
        <v>0</v>
      </c>
      <c r="I691" s="11">
        <f t="shared" si="102"/>
        <v>0</v>
      </c>
      <c r="J691" s="12">
        <f t="shared" si="103"/>
        <v>0</v>
      </c>
      <c r="K691" s="17" t="str">
        <f t="shared" si="108"/>
        <v>Pas d'écart</v>
      </c>
      <c r="L691" s="16">
        <f>base!X691</f>
        <v>0</v>
      </c>
      <c r="M691" s="11">
        <f t="shared" si="104"/>
        <v>0</v>
      </c>
      <c r="N691" s="11">
        <f t="shared" si="105"/>
        <v>0</v>
      </c>
      <c r="O691" s="11">
        <f t="shared" si="106"/>
        <v>0</v>
      </c>
      <c r="P691" s="12">
        <f t="shared" si="107"/>
        <v>0</v>
      </c>
      <c r="Q691" s="17" t="str">
        <f t="shared" si="109"/>
        <v>Pas d'écart</v>
      </c>
    </row>
    <row r="692" spans="1:17" x14ac:dyDescent="0.3">
      <c r="A692" s="34" t="str">
        <f>base!J692</f>
        <v>LS</v>
      </c>
      <c r="B692" s="34" t="str">
        <f>base!V692</f>
        <v>13127</v>
      </c>
      <c r="C692" s="37">
        <v>14</v>
      </c>
      <c r="D692" s="36">
        <f>base!H692</f>
        <v>103.06</v>
      </c>
      <c r="E692" s="44"/>
      <c r="F692" s="16">
        <f>base!W692</f>
        <v>29.89</v>
      </c>
      <c r="G692" s="11">
        <f t="shared" si="100"/>
        <v>0.29002522802251118</v>
      </c>
      <c r="H692" s="11">
        <f t="shared" si="101"/>
        <v>17.520200000000003</v>
      </c>
      <c r="I692" s="11">
        <f t="shared" si="102"/>
        <v>0.17</v>
      </c>
      <c r="J692" s="12">
        <f t="shared" si="103"/>
        <v>12.369799999999998</v>
      </c>
      <c r="K692" s="17" t="str">
        <f t="shared" si="108"/>
        <v>Ecart positif</v>
      </c>
      <c r="L692" s="16">
        <f>base!X692</f>
        <v>0</v>
      </c>
      <c r="M692" s="11">
        <f t="shared" si="104"/>
        <v>0</v>
      </c>
      <c r="N692" s="11">
        <f t="shared" si="105"/>
        <v>17.520200000000003</v>
      </c>
      <c r="O692" s="11">
        <f t="shared" si="106"/>
        <v>0.17</v>
      </c>
      <c r="P692" s="12">
        <f t="shared" si="107"/>
        <v>-17.520200000000003</v>
      </c>
      <c r="Q692" s="17" t="str">
        <f t="shared" si="109"/>
        <v>Ecart négatif</v>
      </c>
    </row>
    <row r="693" spans="1:17" x14ac:dyDescent="0.3">
      <c r="A693" s="34" t="str">
        <f>base!J693</f>
        <v>LS</v>
      </c>
      <c r="B693" s="34" t="str">
        <f>base!V693</f>
        <v>57000</v>
      </c>
      <c r="C693" s="37">
        <v>50</v>
      </c>
      <c r="D693" s="36">
        <f>base!H693</f>
        <v>43.4</v>
      </c>
      <c r="E693" s="44"/>
      <c r="F693" s="16">
        <f>base!W693</f>
        <v>10.85</v>
      </c>
      <c r="G693" s="11">
        <f t="shared" si="100"/>
        <v>0.25</v>
      </c>
      <c r="H693" s="11">
        <f t="shared" si="101"/>
        <v>7.3780000000000001</v>
      </c>
      <c r="I693" s="11">
        <f t="shared" si="102"/>
        <v>0.17</v>
      </c>
      <c r="J693" s="12">
        <f t="shared" si="103"/>
        <v>3.4719999999999995</v>
      </c>
      <c r="K693" s="17" t="str">
        <f t="shared" si="108"/>
        <v>Ecart positif</v>
      </c>
      <c r="L693" s="16">
        <f>base!X693</f>
        <v>0</v>
      </c>
      <c r="M693" s="11">
        <f t="shared" si="104"/>
        <v>0</v>
      </c>
      <c r="N693" s="11">
        <f t="shared" si="105"/>
        <v>7.3780000000000001</v>
      </c>
      <c r="O693" s="11">
        <f t="shared" si="106"/>
        <v>0.17</v>
      </c>
      <c r="P693" s="12">
        <f t="shared" si="107"/>
        <v>-7.3780000000000001</v>
      </c>
      <c r="Q693" s="17" t="str">
        <f t="shared" si="109"/>
        <v>Ecart négatif</v>
      </c>
    </row>
    <row r="694" spans="1:17" x14ac:dyDescent="0.3">
      <c r="A694" s="34" t="str">
        <f>base!J694</f>
        <v>LS</v>
      </c>
      <c r="B694" s="34" t="str">
        <f>base!V694</f>
        <v>45000</v>
      </c>
      <c r="C694" s="37">
        <v>27</v>
      </c>
      <c r="D694" s="36">
        <f>base!H694</f>
        <v>43.44</v>
      </c>
      <c r="E694" s="44"/>
      <c r="F694" s="16">
        <f>base!W694</f>
        <v>9.1199999999999992</v>
      </c>
      <c r="G694" s="11">
        <f t="shared" si="100"/>
        <v>0.20994475138121546</v>
      </c>
      <c r="H694" s="11">
        <f t="shared" si="101"/>
        <v>7.3848000000000003</v>
      </c>
      <c r="I694" s="11">
        <f t="shared" si="102"/>
        <v>0.17</v>
      </c>
      <c r="J694" s="12">
        <f t="shared" si="103"/>
        <v>1.735199999999999</v>
      </c>
      <c r="K694" s="17" t="str">
        <f t="shared" si="108"/>
        <v>Ecart positif</v>
      </c>
      <c r="L694" s="16">
        <f>base!X694</f>
        <v>0</v>
      </c>
      <c r="M694" s="11">
        <f t="shared" si="104"/>
        <v>0</v>
      </c>
      <c r="N694" s="11">
        <f t="shared" si="105"/>
        <v>7.3848000000000003</v>
      </c>
      <c r="O694" s="11">
        <f t="shared" si="106"/>
        <v>0.17</v>
      </c>
      <c r="P694" s="12">
        <f t="shared" si="107"/>
        <v>-7.3848000000000003</v>
      </c>
      <c r="Q694" s="17" t="str">
        <f t="shared" si="109"/>
        <v>Ecart négatif</v>
      </c>
    </row>
    <row r="695" spans="1:17" x14ac:dyDescent="0.3">
      <c r="A695" s="34" t="str">
        <f>base!J695</f>
        <v>LM</v>
      </c>
      <c r="B695" s="34" t="str">
        <f>base!V695</f>
        <v>69005</v>
      </c>
      <c r="C695" s="37">
        <v>14</v>
      </c>
      <c r="D695" s="36">
        <f>base!H695</f>
        <v>33.35</v>
      </c>
      <c r="E695" s="44"/>
      <c r="F695" s="16">
        <f>base!W695</f>
        <v>9</v>
      </c>
      <c r="G695" s="11">
        <f t="shared" si="100"/>
        <v>0.26986506746626687</v>
      </c>
      <c r="H695" s="11">
        <f t="shared" si="101"/>
        <v>5.6695000000000002</v>
      </c>
      <c r="I695" s="11">
        <f t="shared" si="102"/>
        <v>0.17</v>
      </c>
      <c r="J695" s="12">
        <f t="shared" si="103"/>
        <v>3.3304999999999998</v>
      </c>
      <c r="K695" s="17" t="str">
        <f t="shared" si="108"/>
        <v>Ecart positif</v>
      </c>
      <c r="L695" s="16">
        <f>base!X695</f>
        <v>0</v>
      </c>
      <c r="M695" s="11">
        <f t="shared" si="104"/>
        <v>0</v>
      </c>
      <c r="N695" s="11">
        <f t="shared" si="105"/>
        <v>5.6695000000000002</v>
      </c>
      <c r="O695" s="11">
        <f t="shared" si="106"/>
        <v>0.17</v>
      </c>
      <c r="P695" s="12">
        <f t="shared" si="107"/>
        <v>-5.6695000000000002</v>
      </c>
      <c r="Q695" s="17" t="str">
        <f t="shared" si="109"/>
        <v>Ecart négatif</v>
      </c>
    </row>
    <row r="696" spans="1:17" x14ac:dyDescent="0.3">
      <c r="A696" s="34" t="str">
        <f>base!J696</f>
        <v>LM</v>
      </c>
      <c r="B696" s="34" t="str">
        <f>base!V696</f>
        <v>63670</v>
      </c>
      <c r="C696" s="37">
        <v>50</v>
      </c>
      <c r="D696" s="36">
        <f>base!H696</f>
        <v>0.06</v>
      </c>
      <c r="E696" s="44"/>
      <c r="F696" s="16">
        <f>base!W696</f>
        <v>0.02</v>
      </c>
      <c r="G696" s="11">
        <f t="shared" si="100"/>
        <v>0.33333333333333337</v>
      </c>
      <c r="H696" s="11">
        <f t="shared" si="101"/>
        <v>1.0200000000000001E-2</v>
      </c>
      <c r="I696" s="11">
        <f t="shared" si="102"/>
        <v>0.17</v>
      </c>
      <c r="J696" s="12">
        <f t="shared" si="103"/>
        <v>9.7999999999999997E-3</v>
      </c>
      <c r="K696" s="17" t="str">
        <f t="shared" si="108"/>
        <v>Ecart positif</v>
      </c>
      <c r="L696" s="16">
        <f>base!X696</f>
        <v>0</v>
      </c>
      <c r="M696" s="11">
        <f t="shared" si="104"/>
        <v>0</v>
      </c>
      <c r="N696" s="11">
        <f t="shared" si="105"/>
        <v>1.0200000000000001E-2</v>
      </c>
      <c r="O696" s="11">
        <f t="shared" si="106"/>
        <v>0.17</v>
      </c>
      <c r="P696" s="12">
        <f t="shared" si="107"/>
        <v>-1.0200000000000001E-2</v>
      </c>
      <c r="Q696" s="17" t="str">
        <f t="shared" si="109"/>
        <v>Ecart négatif</v>
      </c>
    </row>
    <row r="697" spans="1:17" x14ac:dyDescent="0.3">
      <c r="A697" s="34" t="str">
        <f>base!J697</f>
        <v>LS</v>
      </c>
      <c r="B697" s="34" t="str">
        <f>base!V697</f>
        <v>77420</v>
      </c>
      <c r="C697" s="37">
        <v>77</v>
      </c>
      <c r="D697" s="36">
        <f>base!H697</f>
        <v>201.16</v>
      </c>
      <c r="E697" s="44"/>
      <c r="F697" s="16">
        <f>base!W697</f>
        <v>0</v>
      </c>
      <c r="G697" s="11">
        <f t="shared" si="100"/>
        <v>0</v>
      </c>
      <c r="H697" s="11">
        <f t="shared" si="101"/>
        <v>0</v>
      </c>
      <c r="I697" s="11">
        <f t="shared" si="102"/>
        <v>0</v>
      </c>
      <c r="J697" s="12">
        <f t="shared" si="103"/>
        <v>0</v>
      </c>
      <c r="K697" s="17" t="str">
        <f t="shared" si="108"/>
        <v>Pas d'écart</v>
      </c>
      <c r="L697" s="16">
        <f>base!X697</f>
        <v>0</v>
      </c>
      <c r="M697" s="11">
        <f t="shared" si="104"/>
        <v>0</v>
      </c>
      <c r="N697" s="11">
        <f t="shared" si="105"/>
        <v>0</v>
      </c>
      <c r="O697" s="11">
        <f t="shared" si="106"/>
        <v>0</v>
      </c>
      <c r="P697" s="12">
        <f t="shared" si="107"/>
        <v>0</v>
      </c>
      <c r="Q697" s="17" t="str">
        <f t="shared" si="109"/>
        <v>Pas d'écart</v>
      </c>
    </row>
    <row r="698" spans="1:17" x14ac:dyDescent="0.3">
      <c r="A698" s="34" t="str">
        <f>base!J698</f>
        <v>RS</v>
      </c>
      <c r="B698" s="34" t="str">
        <f>base!V698</f>
        <v>06200</v>
      </c>
      <c r="C698" s="37">
        <v>6</v>
      </c>
      <c r="D698" s="36">
        <f>base!H698</f>
        <v>151</v>
      </c>
      <c r="E698" s="44"/>
      <c r="F698" s="16">
        <f>base!W698</f>
        <v>0</v>
      </c>
      <c r="G698" s="11">
        <f t="shared" si="100"/>
        <v>0</v>
      </c>
      <c r="H698" s="11">
        <f t="shared" si="101"/>
        <v>45.3</v>
      </c>
      <c r="I698" s="11">
        <f t="shared" si="102"/>
        <v>0.3</v>
      </c>
      <c r="J698" s="12">
        <f t="shared" si="103"/>
        <v>-45.3</v>
      </c>
      <c r="K698" s="17" t="str">
        <f t="shared" si="108"/>
        <v>Ecart négatif</v>
      </c>
      <c r="L698" s="16">
        <f>base!X698</f>
        <v>0</v>
      </c>
      <c r="M698" s="11">
        <f t="shared" si="104"/>
        <v>0</v>
      </c>
      <c r="N698" s="11">
        <f t="shared" si="105"/>
        <v>31.709999999999997</v>
      </c>
      <c r="O698" s="11">
        <f t="shared" si="106"/>
        <v>0.21</v>
      </c>
      <c r="P698" s="12">
        <f t="shared" si="107"/>
        <v>-31.709999999999997</v>
      </c>
      <c r="Q698" s="17" t="str">
        <f t="shared" si="109"/>
        <v>Ecart négatif</v>
      </c>
    </row>
    <row r="699" spans="1:17" x14ac:dyDescent="0.3">
      <c r="A699" s="34" t="str">
        <f>base!J699</f>
        <v>LM</v>
      </c>
      <c r="B699" s="34" t="str">
        <f>base!V699</f>
        <v>69800</v>
      </c>
      <c r="C699" s="37">
        <v>59</v>
      </c>
      <c r="D699" s="36">
        <f>base!H699</f>
        <v>8.07</v>
      </c>
      <c r="E699" s="44"/>
      <c r="F699" s="16">
        <f>base!W699</f>
        <v>2.1800000000000002</v>
      </c>
      <c r="G699" s="11">
        <f t="shared" si="100"/>
        <v>0.2701363073110285</v>
      </c>
      <c r="H699" s="11">
        <f t="shared" si="101"/>
        <v>1.5333000000000001</v>
      </c>
      <c r="I699" s="11">
        <f t="shared" si="102"/>
        <v>0.19</v>
      </c>
      <c r="J699" s="12">
        <f t="shared" si="103"/>
        <v>0.64670000000000005</v>
      </c>
      <c r="K699" s="17" t="str">
        <f t="shared" si="108"/>
        <v>Ecart positif</v>
      </c>
      <c r="L699" s="16">
        <f>base!X699</f>
        <v>0</v>
      </c>
      <c r="M699" s="11">
        <f t="shared" si="104"/>
        <v>0</v>
      </c>
      <c r="N699" s="11">
        <f t="shared" si="105"/>
        <v>0</v>
      </c>
      <c r="O699" s="11">
        <f t="shared" si="106"/>
        <v>0</v>
      </c>
      <c r="P699" s="12">
        <f t="shared" si="107"/>
        <v>0</v>
      </c>
      <c r="Q699" s="17" t="str">
        <f t="shared" si="109"/>
        <v>Pas d'écart</v>
      </c>
    </row>
    <row r="700" spans="1:17" x14ac:dyDescent="0.3">
      <c r="A700" s="34" t="str">
        <f>base!J700</f>
        <v>LS</v>
      </c>
      <c r="B700" s="34" t="str">
        <f>base!V700</f>
        <v>76290</v>
      </c>
      <c r="C700" s="37">
        <v>27</v>
      </c>
      <c r="D700" s="36">
        <f>base!H700</f>
        <v>142.78</v>
      </c>
      <c r="E700" s="44"/>
      <c r="F700" s="16">
        <f>base!W700</f>
        <v>24.27</v>
      </c>
      <c r="G700" s="11">
        <f t="shared" si="100"/>
        <v>0.16998179016669002</v>
      </c>
      <c r="H700" s="11">
        <f t="shared" si="101"/>
        <v>24.272600000000001</v>
      </c>
      <c r="I700" s="11">
        <f t="shared" si="102"/>
        <v>0.17</v>
      </c>
      <c r="J700" s="12">
        <f t="shared" si="103"/>
        <v>-2.6000000000010459E-3</v>
      </c>
      <c r="K700" s="17" t="str">
        <f t="shared" si="108"/>
        <v>Ecart négatif</v>
      </c>
      <c r="L700" s="16">
        <f>base!X700</f>
        <v>0</v>
      </c>
      <c r="M700" s="11">
        <f t="shared" si="104"/>
        <v>0</v>
      </c>
      <c r="N700" s="11">
        <f t="shared" si="105"/>
        <v>24.272600000000001</v>
      </c>
      <c r="O700" s="11">
        <f t="shared" si="106"/>
        <v>0.17</v>
      </c>
      <c r="P700" s="12">
        <f t="shared" si="107"/>
        <v>-24.272600000000001</v>
      </c>
      <c r="Q700" s="17" t="str">
        <f t="shared" si="109"/>
        <v>Ecart négatif</v>
      </c>
    </row>
    <row r="701" spans="1:17" x14ac:dyDescent="0.3">
      <c r="A701" s="34" t="str">
        <f>base!J701</f>
        <v>LS</v>
      </c>
      <c r="B701" s="34" t="str">
        <f>base!V701</f>
        <v>59118</v>
      </c>
      <c r="C701" s="37">
        <v>59</v>
      </c>
      <c r="D701" s="36">
        <f>base!H701</f>
        <v>40</v>
      </c>
      <c r="E701" s="44"/>
      <c r="F701" s="16">
        <f>base!W701</f>
        <v>7.6</v>
      </c>
      <c r="G701" s="11">
        <f t="shared" si="100"/>
        <v>0.19</v>
      </c>
      <c r="H701" s="11">
        <f t="shared" si="101"/>
        <v>7.6</v>
      </c>
      <c r="I701" s="11">
        <f t="shared" si="102"/>
        <v>0.19</v>
      </c>
      <c r="J701" s="12">
        <f t="shared" si="103"/>
        <v>0</v>
      </c>
      <c r="K701" s="17" t="str">
        <f t="shared" si="108"/>
        <v>Pas d'écart</v>
      </c>
      <c r="L701" s="16">
        <f>base!X701</f>
        <v>0</v>
      </c>
      <c r="M701" s="11">
        <f t="shared" si="104"/>
        <v>0</v>
      </c>
      <c r="N701" s="11">
        <f t="shared" si="105"/>
        <v>0</v>
      </c>
      <c r="O701" s="11">
        <f t="shared" si="106"/>
        <v>0</v>
      </c>
      <c r="P701" s="12">
        <f t="shared" si="107"/>
        <v>0</v>
      </c>
      <c r="Q701" s="17" t="str">
        <f t="shared" si="109"/>
        <v>Pas d'écart</v>
      </c>
    </row>
    <row r="702" spans="1:17" x14ac:dyDescent="0.3">
      <c r="A702" s="34" t="str">
        <f>base!J702</f>
        <v>RM</v>
      </c>
      <c r="B702" s="34" t="str">
        <f>base!V702</f>
        <v>93100</v>
      </c>
      <c r="C702" s="37">
        <v>93</v>
      </c>
      <c r="D702" s="36">
        <f>base!H702</f>
        <v>1359.17</v>
      </c>
      <c r="E702" s="44"/>
      <c r="F702" s="16">
        <f>base!W702</f>
        <v>0</v>
      </c>
      <c r="G702" s="11">
        <f t="shared" si="100"/>
        <v>0</v>
      </c>
      <c r="H702" s="11">
        <f t="shared" si="101"/>
        <v>0</v>
      </c>
      <c r="I702" s="11">
        <f t="shared" si="102"/>
        <v>0</v>
      </c>
      <c r="J702" s="12">
        <f t="shared" si="103"/>
        <v>0</v>
      </c>
      <c r="K702" s="17" t="str">
        <f t="shared" si="108"/>
        <v>Pas d'écart</v>
      </c>
      <c r="L702" s="16">
        <f>base!X702</f>
        <v>0</v>
      </c>
      <c r="M702" s="11">
        <f t="shared" si="104"/>
        <v>0</v>
      </c>
      <c r="N702" s="11">
        <f t="shared" si="105"/>
        <v>0</v>
      </c>
      <c r="O702" s="11">
        <f t="shared" si="106"/>
        <v>0</v>
      </c>
      <c r="P702" s="12">
        <f t="shared" si="107"/>
        <v>0</v>
      </c>
      <c r="Q702" s="17" t="str">
        <f t="shared" si="109"/>
        <v>Pas d'écart</v>
      </c>
    </row>
    <row r="703" spans="1:17" x14ac:dyDescent="0.3">
      <c r="A703" s="34" t="str">
        <f>base!J703</f>
        <v>RM</v>
      </c>
      <c r="B703" s="34" t="str">
        <f>base!V703</f>
        <v>80000</v>
      </c>
      <c r="C703" s="37">
        <v>80</v>
      </c>
      <c r="D703" s="36">
        <f>base!H703</f>
        <v>140</v>
      </c>
      <c r="E703" s="44"/>
      <c r="F703" s="16">
        <f>base!W703</f>
        <v>0</v>
      </c>
      <c r="G703" s="11">
        <f t="shared" si="100"/>
        <v>0</v>
      </c>
      <c r="H703" s="11">
        <f t="shared" si="101"/>
        <v>26.6</v>
      </c>
      <c r="I703" s="11">
        <f t="shared" si="102"/>
        <v>0.19</v>
      </c>
      <c r="J703" s="12">
        <f t="shared" si="103"/>
        <v>-26.6</v>
      </c>
      <c r="K703" s="17" t="str">
        <f t="shared" si="108"/>
        <v>Ecart négatif</v>
      </c>
      <c r="L703" s="16">
        <f>base!X703</f>
        <v>26.6</v>
      </c>
      <c r="M703" s="11">
        <f t="shared" si="104"/>
        <v>0.19</v>
      </c>
      <c r="N703" s="11">
        <f t="shared" si="105"/>
        <v>0</v>
      </c>
      <c r="O703" s="11">
        <f t="shared" si="106"/>
        <v>0</v>
      </c>
      <c r="P703" s="12">
        <f t="shared" si="107"/>
        <v>26.6</v>
      </c>
      <c r="Q703" s="17" t="str">
        <f t="shared" si="109"/>
        <v>Ecart positif</v>
      </c>
    </row>
    <row r="704" spans="1:17" x14ac:dyDescent="0.3">
      <c r="A704" s="34" t="str">
        <f>base!J704</f>
        <v>RS</v>
      </c>
      <c r="B704" s="34" t="str">
        <f>base!V704</f>
        <v>44480</v>
      </c>
      <c r="C704" s="37">
        <v>44</v>
      </c>
      <c r="D704" s="36">
        <f>base!H704</f>
        <v>180</v>
      </c>
      <c r="E704" s="44"/>
      <c r="F704" s="16">
        <f>base!W704</f>
        <v>0</v>
      </c>
      <c r="G704" s="11">
        <f t="shared" si="100"/>
        <v>0</v>
      </c>
      <c r="H704" s="11">
        <f t="shared" si="101"/>
        <v>48.6</v>
      </c>
      <c r="I704" s="11">
        <f t="shared" si="102"/>
        <v>0.27</v>
      </c>
      <c r="J704" s="12">
        <f t="shared" si="103"/>
        <v>-48.6</v>
      </c>
      <c r="K704" s="17" t="str">
        <f t="shared" si="108"/>
        <v>Ecart négatif</v>
      </c>
      <c r="L704" s="16">
        <f>base!X704</f>
        <v>48.6</v>
      </c>
      <c r="M704" s="11">
        <f t="shared" si="104"/>
        <v>0.27</v>
      </c>
      <c r="N704" s="11">
        <f t="shared" si="105"/>
        <v>0</v>
      </c>
      <c r="O704" s="11">
        <f t="shared" si="106"/>
        <v>0</v>
      </c>
      <c r="P704" s="12">
        <f t="shared" si="107"/>
        <v>48.6</v>
      </c>
      <c r="Q704" s="17" t="str">
        <f t="shared" si="109"/>
        <v>Ecart positif</v>
      </c>
    </row>
    <row r="705" spans="1:18" x14ac:dyDescent="0.3">
      <c r="A705" s="34" t="str">
        <f>base!J705</f>
        <v>LS</v>
      </c>
      <c r="B705" s="34" t="str">
        <f>base!V705</f>
        <v>25200</v>
      </c>
      <c r="C705" s="37">
        <v>14</v>
      </c>
      <c r="D705" s="36">
        <f>base!H705</f>
        <v>679.37</v>
      </c>
      <c r="E705" s="44"/>
      <c r="F705" s="16">
        <f>base!W705</f>
        <v>163.05000000000001</v>
      </c>
      <c r="G705" s="11">
        <f t="shared" si="100"/>
        <v>0.2400017663423466</v>
      </c>
      <c r="H705" s="11">
        <f t="shared" si="101"/>
        <v>115.49290000000001</v>
      </c>
      <c r="I705" s="11">
        <f t="shared" si="102"/>
        <v>0.17</v>
      </c>
      <c r="J705" s="12">
        <f t="shared" si="103"/>
        <v>47.557100000000005</v>
      </c>
      <c r="K705" s="17" t="str">
        <f t="shared" si="108"/>
        <v>Ecart positif</v>
      </c>
      <c r="L705" s="16">
        <f>base!X705</f>
        <v>0</v>
      </c>
      <c r="M705" s="11">
        <f t="shared" si="104"/>
        <v>0</v>
      </c>
      <c r="N705" s="11">
        <f t="shared" si="105"/>
        <v>115.49290000000001</v>
      </c>
      <c r="O705" s="11">
        <f t="shared" si="106"/>
        <v>0.17</v>
      </c>
      <c r="P705" s="12">
        <f t="shared" si="107"/>
        <v>-115.49290000000001</v>
      </c>
      <c r="Q705" s="17" t="str">
        <f t="shared" si="109"/>
        <v>Ecart négatif</v>
      </c>
    </row>
    <row r="706" spans="1:18" x14ac:dyDescent="0.3">
      <c r="A706" s="34" t="str">
        <f>base!J706</f>
        <v>RM</v>
      </c>
      <c r="B706" s="34" t="str">
        <f>base!V706</f>
        <v>94510</v>
      </c>
      <c r="C706" s="37">
        <v>94</v>
      </c>
      <c r="D706" s="36">
        <f>base!H706</f>
        <v>32.54</v>
      </c>
      <c r="E706" s="44"/>
      <c r="F706" s="16">
        <f>base!W706</f>
        <v>0</v>
      </c>
      <c r="G706" s="11">
        <f t="shared" ref="G706:G769" si="110">F706/D706</f>
        <v>0</v>
      </c>
      <c r="H706" s="11">
        <f t="shared" ref="H706:H769" si="111">VLOOKUP(C706,tout_cout_traction,2,FALSE)*D706</f>
        <v>0</v>
      </c>
      <c r="I706" s="11">
        <f t="shared" ref="I706:I769" si="112">H706/D706</f>
        <v>0</v>
      </c>
      <c r="J706" s="12">
        <f t="shared" ref="J706:J769" si="113">F706-H706</f>
        <v>0</v>
      </c>
      <c r="K706" s="17" t="str">
        <f t="shared" si="108"/>
        <v>Pas d'écart</v>
      </c>
      <c r="L706" s="16">
        <f>base!X706</f>
        <v>0</v>
      </c>
      <c r="M706" s="11">
        <f t="shared" ref="M706:M769" si="114">L706/D706</f>
        <v>0</v>
      </c>
      <c r="N706" s="11">
        <f t="shared" ref="N706:N769" si="115">VLOOKUP(C706,tout_cout_traction,3,FALSE)*D706</f>
        <v>0</v>
      </c>
      <c r="O706" s="11">
        <f t="shared" ref="O706:O769" si="116">N706/D706</f>
        <v>0</v>
      </c>
      <c r="P706" s="12">
        <f t="shared" ref="P706:P769" si="117">L706-N706</f>
        <v>0</v>
      </c>
      <c r="Q706" s="17" t="str">
        <f t="shared" si="109"/>
        <v>Pas d'écart</v>
      </c>
    </row>
    <row r="707" spans="1:18" x14ac:dyDescent="0.3">
      <c r="A707" s="34" t="str">
        <f>base!J707</f>
        <v>RS</v>
      </c>
      <c r="B707" s="34" t="str">
        <f>base!V707</f>
        <v>41000</v>
      </c>
      <c r="C707" s="37">
        <v>41</v>
      </c>
      <c r="D707" s="36">
        <f>base!H707</f>
        <v>137.24</v>
      </c>
      <c r="E707" s="44"/>
      <c r="F707" s="16">
        <f>base!W707</f>
        <v>0</v>
      </c>
      <c r="G707" s="11">
        <f t="shared" si="110"/>
        <v>0</v>
      </c>
      <c r="H707" s="11">
        <f t="shared" si="111"/>
        <v>28.820399999999999</v>
      </c>
      <c r="I707" s="11">
        <f t="shared" si="112"/>
        <v>0.21</v>
      </c>
      <c r="J707" s="12">
        <f t="shared" si="113"/>
        <v>-28.820399999999999</v>
      </c>
      <c r="K707" s="17" t="str">
        <f t="shared" ref="K707:K770" si="118">IF(H707=F707,"Pas d'écart",IF(H707&lt;F707,"Ecart positif",IF(H707&gt;F707,"Ecart négatif")))</f>
        <v>Ecart négatif</v>
      </c>
      <c r="L707" s="16">
        <f>base!X707</f>
        <v>0</v>
      </c>
      <c r="M707" s="11">
        <f t="shared" si="114"/>
        <v>0</v>
      </c>
      <c r="N707" s="11">
        <f t="shared" si="115"/>
        <v>16.468800000000002</v>
      </c>
      <c r="O707" s="11">
        <f t="shared" si="116"/>
        <v>0.12000000000000001</v>
      </c>
      <c r="P707" s="12">
        <f t="shared" si="117"/>
        <v>-16.468800000000002</v>
      </c>
      <c r="Q707" s="17" t="str">
        <f t="shared" ref="Q707:Q770" si="119">IF(N707=L707,"Pas d'écart",IF(N707&lt;L707,"Ecart positif",IF(N707&gt;L707,"Ecart négatif")))</f>
        <v>Ecart négatif</v>
      </c>
    </row>
    <row r="708" spans="1:18" x14ac:dyDescent="0.3">
      <c r="A708" s="34" t="str">
        <f>base!J708</f>
        <v>RS</v>
      </c>
      <c r="B708" s="34" t="str">
        <f>base!V708</f>
        <v>83700</v>
      </c>
      <c r="C708" s="37">
        <v>83</v>
      </c>
      <c r="D708" s="36">
        <f>base!H708</f>
        <v>103.86</v>
      </c>
      <c r="E708" s="44"/>
      <c r="F708" s="16">
        <f>base!W708</f>
        <v>0</v>
      </c>
      <c r="G708" s="11">
        <f t="shared" si="110"/>
        <v>0</v>
      </c>
      <c r="H708" s="11">
        <f t="shared" si="111"/>
        <v>31.157999999999998</v>
      </c>
      <c r="I708" s="11">
        <f t="shared" si="112"/>
        <v>0.3</v>
      </c>
      <c r="J708" s="12">
        <f t="shared" si="113"/>
        <v>-31.157999999999998</v>
      </c>
      <c r="K708" s="17" t="str">
        <f t="shared" si="118"/>
        <v>Ecart négatif</v>
      </c>
      <c r="L708" s="16">
        <f>base!X708</f>
        <v>21.81</v>
      </c>
      <c r="M708" s="11">
        <f t="shared" si="114"/>
        <v>0.20999422299248988</v>
      </c>
      <c r="N708" s="11">
        <f t="shared" si="115"/>
        <v>21.810599999999997</v>
      </c>
      <c r="O708" s="11">
        <f t="shared" si="116"/>
        <v>0.20999999999999996</v>
      </c>
      <c r="P708" s="12">
        <f t="shared" si="117"/>
        <v>-5.9999999999860165E-4</v>
      </c>
      <c r="Q708" s="17" t="str">
        <f t="shared" si="119"/>
        <v>Ecart négatif</v>
      </c>
      <c r="R708" s="38"/>
    </row>
    <row r="709" spans="1:18" x14ac:dyDescent="0.3">
      <c r="A709" s="34" t="str">
        <f>base!J709</f>
        <v>RS</v>
      </c>
      <c r="B709" s="34" t="str">
        <f>base!V709</f>
        <v>62200</v>
      </c>
      <c r="C709" s="37">
        <v>62</v>
      </c>
      <c r="D709" s="36">
        <f>base!H709</f>
        <v>130.37</v>
      </c>
      <c r="E709" s="44"/>
      <c r="F709" s="16">
        <f>base!W709</f>
        <v>0</v>
      </c>
      <c r="G709" s="11">
        <f t="shared" si="110"/>
        <v>0</v>
      </c>
      <c r="H709" s="11">
        <f t="shared" si="111"/>
        <v>24.770300000000002</v>
      </c>
      <c r="I709" s="11">
        <f t="shared" si="112"/>
        <v>0.19</v>
      </c>
      <c r="J709" s="12">
        <f t="shared" si="113"/>
        <v>-24.770300000000002</v>
      </c>
      <c r="K709" s="17" t="str">
        <f t="shared" si="118"/>
        <v>Ecart négatif</v>
      </c>
      <c r="L709" s="16">
        <f>base!X709</f>
        <v>0</v>
      </c>
      <c r="M709" s="11">
        <f t="shared" si="114"/>
        <v>0</v>
      </c>
      <c r="N709" s="11">
        <f t="shared" si="115"/>
        <v>0</v>
      </c>
      <c r="O709" s="11">
        <f t="shared" si="116"/>
        <v>0</v>
      </c>
      <c r="P709" s="12">
        <f t="shared" si="117"/>
        <v>0</v>
      </c>
      <c r="Q709" s="17" t="str">
        <f t="shared" si="119"/>
        <v>Pas d'écart</v>
      </c>
    </row>
    <row r="710" spans="1:18" x14ac:dyDescent="0.3">
      <c r="A710" s="34" t="str">
        <f>base!J710</f>
        <v>RM</v>
      </c>
      <c r="B710" s="34" t="str">
        <f>base!V710</f>
        <v>69120</v>
      </c>
      <c r="C710" s="37">
        <v>69</v>
      </c>
      <c r="D710" s="36">
        <f>base!H710</f>
        <v>151</v>
      </c>
      <c r="E710" s="44"/>
      <c r="F710" s="16">
        <f>base!W710</f>
        <v>0</v>
      </c>
      <c r="G710" s="11">
        <f t="shared" si="110"/>
        <v>0</v>
      </c>
      <c r="H710" s="11">
        <f t="shared" si="111"/>
        <v>40.770000000000003</v>
      </c>
      <c r="I710" s="11">
        <f t="shared" si="112"/>
        <v>0.27</v>
      </c>
      <c r="J710" s="12">
        <f t="shared" si="113"/>
        <v>-40.770000000000003</v>
      </c>
      <c r="K710" s="17" t="str">
        <f t="shared" si="118"/>
        <v>Ecart négatif</v>
      </c>
      <c r="L710" s="16">
        <f>base!X710</f>
        <v>0</v>
      </c>
      <c r="M710" s="11">
        <f t="shared" si="114"/>
        <v>0</v>
      </c>
      <c r="N710" s="11">
        <f t="shared" si="115"/>
        <v>0</v>
      </c>
      <c r="O710" s="11">
        <f t="shared" si="116"/>
        <v>0</v>
      </c>
      <c r="P710" s="12">
        <f t="shared" si="117"/>
        <v>0</v>
      </c>
      <c r="Q710" s="17" t="str">
        <f t="shared" si="119"/>
        <v>Pas d'écart</v>
      </c>
    </row>
    <row r="711" spans="1:18" x14ac:dyDescent="0.3">
      <c r="A711" s="34" t="str">
        <f>base!J711</f>
        <v>RS</v>
      </c>
      <c r="B711" s="34" t="str">
        <f>base!V711</f>
        <v>73000</v>
      </c>
      <c r="C711" s="37">
        <v>73</v>
      </c>
      <c r="D711" s="36">
        <f>base!H711</f>
        <v>205</v>
      </c>
      <c r="E711" s="44"/>
      <c r="F711" s="16">
        <f>base!W711</f>
        <v>0</v>
      </c>
      <c r="G711" s="11">
        <f t="shared" si="110"/>
        <v>0</v>
      </c>
      <c r="H711" s="11">
        <f t="shared" si="111"/>
        <v>55.35</v>
      </c>
      <c r="I711" s="11">
        <f t="shared" si="112"/>
        <v>0.27</v>
      </c>
      <c r="J711" s="12">
        <f t="shared" si="113"/>
        <v>-55.35</v>
      </c>
      <c r="K711" s="17" t="str">
        <f t="shared" si="118"/>
        <v>Ecart négatif</v>
      </c>
      <c r="L711" s="16">
        <f>base!X711</f>
        <v>0</v>
      </c>
      <c r="M711" s="11">
        <f t="shared" si="114"/>
        <v>0</v>
      </c>
      <c r="N711" s="11">
        <f t="shared" si="115"/>
        <v>0</v>
      </c>
      <c r="O711" s="11">
        <f t="shared" si="116"/>
        <v>0</v>
      </c>
      <c r="P711" s="12">
        <f t="shared" si="117"/>
        <v>0</v>
      </c>
      <c r="Q711" s="17" t="str">
        <f t="shared" si="119"/>
        <v>Pas d'écart</v>
      </c>
    </row>
    <row r="712" spans="1:18" x14ac:dyDescent="0.3">
      <c r="A712" s="34" t="str">
        <f>base!J712</f>
        <v>RM</v>
      </c>
      <c r="B712" s="34" t="str">
        <f>base!V712</f>
        <v>26000</v>
      </c>
      <c r="C712" s="37">
        <v>26</v>
      </c>
      <c r="D712" s="36">
        <f>base!H712</f>
        <v>25</v>
      </c>
      <c r="E712" s="44"/>
      <c r="F712" s="16">
        <f>base!W712</f>
        <v>0</v>
      </c>
      <c r="G712" s="11">
        <f t="shared" si="110"/>
        <v>0</v>
      </c>
      <c r="H712" s="11">
        <f t="shared" si="111"/>
        <v>6.75</v>
      </c>
      <c r="I712" s="11">
        <f t="shared" si="112"/>
        <v>0.27</v>
      </c>
      <c r="J712" s="12">
        <f t="shared" si="113"/>
        <v>-6.75</v>
      </c>
      <c r="K712" s="17" t="str">
        <f t="shared" si="118"/>
        <v>Ecart négatif</v>
      </c>
      <c r="L712" s="16">
        <f>base!X712</f>
        <v>0</v>
      </c>
      <c r="M712" s="11">
        <f t="shared" si="114"/>
        <v>0</v>
      </c>
      <c r="N712" s="11">
        <f t="shared" si="115"/>
        <v>0</v>
      </c>
      <c r="O712" s="11">
        <f t="shared" si="116"/>
        <v>0</v>
      </c>
      <c r="P712" s="12">
        <f t="shared" si="117"/>
        <v>0</v>
      </c>
      <c r="Q712" s="17" t="str">
        <f t="shared" si="119"/>
        <v>Pas d'écart</v>
      </c>
    </row>
    <row r="713" spans="1:18" x14ac:dyDescent="0.3">
      <c r="A713" s="34" t="str">
        <f>base!J713</f>
        <v>RS</v>
      </c>
      <c r="B713" s="34" t="str">
        <f>base!V713</f>
        <v>63000</v>
      </c>
      <c r="C713" s="37">
        <v>63</v>
      </c>
      <c r="D713" s="36">
        <f>base!H713</f>
        <v>40</v>
      </c>
      <c r="E713" s="44"/>
      <c r="F713" s="16">
        <f>base!W713</f>
        <v>0</v>
      </c>
      <c r="G713" s="11">
        <f t="shared" si="110"/>
        <v>0</v>
      </c>
      <c r="H713" s="11">
        <f t="shared" si="111"/>
        <v>11.6</v>
      </c>
      <c r="I713" s="11">
        <f t="shared" si="112"/>
        <v>0.28999999999999998</v>
      </c>
      <c r="J713" s="12">
        <f t="shared" si="113"/>
        <v>-11.6</v>
      </c>
      <c r="K713" s="17" t="str">
        <f t="shared" si="118"/>
        <v>Ecart négatif</v>
      </c>
      <c r="L713" s="16">
        <f>base!X713</f>
        <v>0</v>
      </c>
      <c r="M713" s="11">
        <f t="shared" si="114"/>
        <v>0</v>
      </c>
      <c r="N713" s="11">
        <f t="shared" si="115"/>
        <v>4.8</v>
      </c>
      <c r="O713" s="11">
        <f t="shared" si="116"/>
        <v>0.12</v>
      </c>
      <c r="P713" s="12">
        <f t="shared" si="117"/>
        <v>-4.8</v>
      </c>
      <c r="Q713" s="17" t="str">
        <f t="shared" si="119"/>
        <v>Ecart négatif</v>
      </c>
    </row>
    <row r="714" spans="1:18" x14ac:dyDescent="0.3">
      <c r="A714" s="34" t="str">
        <f>base!J714</f>
        <v>RM</v>
      </c>
      <c r="B714" s="34" t="str">
        <f>base!V714</f>
        <v>74500</v>
      </c>
      <c r="C714" s="37">
        <v>74</v>
      </c>
      <c r="D714" s="36">
        <f>base!H714</f>
        <v>26</v>
      </c>
      <c r="E714" s="44"/>
      <c r="F714" s="16">
        <f>base!W714</f>
        <v>0</v>
      </c>
      <c r="G714" s="11">
        <f t="shared" si="110"/>
        <v>0</v>
      </c>
      <c r="H714" s="11">
        <f t="shared" si="111"/>
        <v>6.76</v>
      </c>
      <c r="I714" s="11">
        <f t="shared" si="112"/>
        <v>0.26</v>
      </c>
      <c r="J714" s="12">
        <f t="shared" si="113"/>
        <v>-6.76</v>
      </c>
      <c r="K714" s="17" t="str">
        <f t="shared" si="118"/>
        <v>Ecart négatif</v>
      </c>
      <c r="L714" s="16">
        <f>base!X714</f>
        <v>0</v>
      </c>
      <c r="M714" s="11">
        <f t="shared" si="114"/>
        <v>0</v>
      </c>
      <c r="N714" s="11">
        <f t="shared" si="115"/>
        <v>0</v>
      </c>
      <c r="O714" s="11">
        <f t="shared" si="116"/>
        <v>0</v>
      </c>
      <c r="P714" s="12">
        <f t="shared" si="117"/>
        <v>0</v>
      </c>
      <c r="Q714" s="17" t="str">
        <f t="shared" si="119"/>
        <v>Pas d'écart</v>
      </c>
    </row>
    <row r="715" spans="1:18" x14ac:dyDescent="0.3">
      <c r="A715" s="34" t="str">
        <f>base!J715</f>
        <v>RM</v>
      </c>
      <c r="B715" s="34" t="str">
        <f>base!V715</f>
        <v>92737</v>
      </c>
      <c r="C715" s="37">
        <v>92</v>
      </c>
      <c r="D715" s="36">
        <f>base!H715</f>
        <v>10</v>
      </c>
      <c r="E715" s="44"/>
      <c r="F715" s="16">
        <f>base!W715</f>
        <v>0</v>
      </c>
      <c r="G715" s="11">
        <f t="shared" si="110"/>
        <v>0</v>
      </c>
      <c r="H715" s="11">
        <f t="shared" si="111"/>
        <v>0</v>
      </c>
      <c r="I715" s="11">
        <f t="shared" si="112"/>
        <v>0</v>
      </c>
      <c r="J715" s="12">
        <f t="shared" si="113"/>
        <v>0</v>
      </c>
      <c r="K715" s="17" t="str">
        <f t="shared" si="118"/>
        <v>Pas d'écart</v>
      </c>
      <c r="L715" s="16">
        <f>base!X715</f>
        <v>0.8</v>
      </c>
      <c r="M715" s="11">
        <f t="shared" si="114"/>
        <v>0.08</v>
      </c>
      <c r="N715" s="11">
        <f t="shared" si="115"/>
        <v>0</v>
      </c>
      <c r="O715" s="11">
        <f t="shared" si="116"/>
        <v>0</v>
      </c>
      <c r="P715" s="12">
        <f t="shared" si="117"/>
        <v>0.8</v>
      </c>
      <c r="Q715" s="17" t="str">
        <f t="shared" si="119"/>
        <v>Ecart positif</v>
      </c>
      <c r="R715" s="38"/>
    </row>
    <row r="716" spans="1:18" x14ac:dyDescent="0.3">
      <c r="A716" s="34" t="str">
        <f>base!J716</f>
        <v>RM</v>
      </c>
      <c r="B716" s="34" t="str">
        <f>base!V716</f>
        <v>30200</v>
      </c>
      <c r="C716" s="37">
        <v>30</v>
      </c>
      <c r="D716" s="36">
        <f>base!H716</f>
        <v>197.99</v>
      </c>
      <c r="E716" s="44"/>
      <c r="F716" s="16">
        <f>base!W716</f>
        <v>0</v>
      </c>
      <c r="G716" s="11">
        <f t="shared" si="110"/>
        <v>0</v>
      </c>
      <c r="H716" s="11">
        <f t="shared" si="111"/>
        <v>77.216100000000012</v>
      </c>
      <c r="I716" s="11">
        <f t="shared" si="112"/>
        <v>0.39</v>
      </c>
      <c r="J716" s="12">
        <f t="shared" si="113"/>
        <v>-77.216100000000012</v>
      </c>
      <c r="K716" s="17" t="str">
        <f t="shared" si="118"/>
        <v>Ecart négatif</v>
      </c>
      <c r="L716" s="16">
        <f>base!X716</f>
        <v>0</v>
      </c>
      <c r="M716" s="11">
        <f t="shared" si="114"/>
        <v>0</v>
      </c>
      <c r="N716" s="11">
        <f t="shared" si="115"/>
        <v>55.437200000000011</v>
      </c>
      <c r="O716" s="11">
        <f t="shared" si="116"/>
        <v>0.28000000000000003</v>
      </c>
      <c r="P716" s="12">
        <f t="shared" si="117"/>
        <v>-55.437200000000011</v>
      </c>
      <c r="Q716" s="17" t="str">
        <f t="shared" si="119"/>
        <v>Ecart négatif</v>
      </c>
    </row>
    <row r="717" spans="1:18" x14ac:dyDescent="0.3">
      <c r="A717" s="34" t="str">
        <f>base!J717</f>
        <v>RM</v>
      </c>
      <c r="B717" s="34" t="str">
        <f>base!V717</f>
        <v>13001</v>
      </c>
      <c r="C717" s="37">
        <v>13</v>
      </c>
      <c r="D717" s="36">
        <f>base!H717</f>
        <v>390.27</v>
      </c>
      <c r="E717" s="44"/>
      <c r="F717" s="16">
        <f>base!W717</f>
        <v>0</v>
      </c>
      <c r="G717" s="11">
        <f t="shared" si="110"/>
        <v>0</v>
      </c>
      <c r="H717" s="11">
        <f t="shared" si="111"/>
        <v>113.17829999999999</v>
      </c>
      <c r="I717" s="11">
        <f t="shared" si="112"/>
        <v>0.28999999999999998</v>
      </c>
      <c r="J717" s="12">
        <f t="shared" si="113"/>
        <v>-113.17829999999999</v>
      </c>
      <c r="K717" s="17" t="str">
        <f t="shared" si="118"/>
        <v>Ecart négatif</v>
      </c>
      <c r="L717" s="16">
        <f>base!X717</f>
        <v>0</v>
      </c>
      <c r="M717" s="11">
        <f t="shared" si="114"/>
        <v>0</v>
      </c>
      <c r="N717" s="11">
        <f t="shared" si="115"/>
        <v>74.151299999999992</v>
      </c>
      <c r="O717" s="11">
        <f t="shared" si="116"/>
        <v>0.19</v>
      </c>
      <c r="P717" s="12">
        <f t="shared" si="117"/>
        <v>-74.151299999999992</v>
      </c>
      <c r="Q717" s="17" t="str">
        <f t="shared" si="119"/>
        <v>Ecart négatif</v>
      </c>
    </row>
    <row r="718" spans="1:18" x14ac:dyDescent="0.3">
      <c r="A718" s="34" t="str">
        <f>base!J718</f>
        <v>DLM</v>
      </c>
      <c r="B718" s="34" t="str">
        <f>base!V718</f>
        <v>44100</v>
      </c>
      <c r="C718" s="37">
        <v>44</v>
      </c>
      <c r="D718" s="36">
        <f>base!H718</f>
        <v>52.5</v>
      </c>
      <c r="E718" s="44"/>
      <c r="F718" s="16">
        <f>base!W718</f>
        <v>0</v>
      </c>
      <c r="G718" s="11">
        <f t="shared" si="110"/>
        <v>0</v>
      </c>
      <c r="H718" s="11">
        <f t="shared" si="111"/>
        <v>14.175000000000001</v>
      </c>
      <c r="I718" s="11">
        <f t="shared" si="112"/>
        <v>0.27</v>
      </c>
      <c r="J718" s="12">
        <f t="shared" si="113"/>
        <v>-14.175000000000001</v>
      </c>
      <c r="K718" s="17" t="str">
        <f t="shared" si="118"/>
        <v>Ecart négatif</v>
      </c>
      <c r="L718" s="16">
        <f>base!X718</f>
        <v>0</v>
      </c>
      <c r="M718" s="11">
        <f t="shared" si="114"/>
        <v>0</v>
      </c>
      <c r="N718" s="11">
        <f t="shared" si="115"/>
        <v>0</v>
      </c>
      <c r="O718" s="11">
        <f t="shared" si="116"/>
        <v>0</v>
      </c>
      <c r="P718" s="12">
        <f t="shared" si="117"/>
        <v>0</v>
      </c>
      <c r="Q718" s="17" t="str">
        <f t="shared" si="119"/>
        <v>Pas d'écart</v>
      </c>
    </row>
    <row r="719" spans="1:18" x14ac:dyDescent="0.3">
      <c r="A719" s="34" t="str">
        <f>base!J719</f>
        <v>DLM</v>
      </c>
      <c r="B719" s="34" t="str">
        <f>base!V719</f>
        <v>31300</v>
      </c>
      <c r="C719" s="37">
        <v>31</v>
      </c>
      <c r="D719" s="36">
        <f>base!H719</f>
        <v>52.5</v>
      </c>
      <c r="E719" s="44"/>
      <c r="F719" s="16">
        <f>base!W719</f>
        <v>0</v>
      </c>
      <c r="G719" s="11">
        <f t="shared" si="110"/>
        <v>0</v>
      </c>
      <c r="H719" s="11">
        <f t="shared" si="111"/>
        <v>9.9749999999999996</v>
      </c>
      <c r="I719" s="11">
        <f t="shared" si="112"/>
        <v>0.19</v>
      </c>
      <c r="J719" s="12">
        <f t="shared" si="113"/>
        <v>-9.9749999999999996</v>
      </c>
      <c r="K719" s="17" t="str">
        <f t="shared" si="118"/>
        <v>Ecart négatif</v>
      </c>
      <c r="L719" s="16">
        <f>base!X719</f>
        <v>0</v>
      </c>
      <c r="M719" s="11">
        <f t="shared" si="114"/>
        <v>0</v>
      </c>
      <c r="N719" s="11">
        <f t="shared" si="115"/>
        <v>13.65</v>
      </c>
      <c r="O719" s="11">
        <f t="shared" si="116"/>
        <v>0.26</v>
      </c>
      <c r="P719" s="12">
        <f t="shared" si="117"/>
        <v>-13.65</v>
      </c>
      <c r="Q719" s="17" t="str">
        <f t="shared" si="119"/>
        <v>Ecart négatif</v>
      </c>
    </row>
    <row r="720" spans="1:18" x14ac:dyDescent="0.3">
      <c r="A720" s="34" t="str">
        <f>base!J720</f>
        <v>LS</v>
      </c>
      <c r="B720" s="34" t="str">
        <f>base!V720</f>
        <v>94290</v>
      </c>
      <c r="C720" s="37">
        <v>94</v>
      </c>
      <c r="D720" s="36">
        <f>base!H720</f>
        <v>347.22</v>
      </c>
      <c r="E720" s="44"/>
      <c r="F720" s="16">
        <f>base!W720</f>
        <v>0</v>
      </c>
      <c r="G720" s="11">
        <f t="shared" si="110"/>
        <v>0</v>
      </c>
      <c r="H720" s="11">
        <f t="shared" si="111"/>
        <v>0</v>
      </c>
      <c r="I720" s="11">
        <f t="shared" si="112"/>
        <v>0</v>
      </c>
      <c r="J720" s="12">
        <f t="shared" si="113"/>
        <v>0</v>
      </c>
      <c r="K720" s="17" t="str">
        <f t="shared" si="118"/>
        <v>Pas d'écart</v>
      </c>
      <c r="L720" s="16">
        <f>base!X720</f>
        <v>0</v>
      </c>
      <c r="M720" s="11">
        <f t="shared" si="114"/>
        <v>0</v>
      </c>
      <c r="N720" s="11">
        <f t="shared" si="115"/>
        <v>0</v>
      </c>
      <c r="O720" s="11">
        <f t="shared" si="116"/>
        <v>0</v>
      </c>
      <c r="P720" s="12">
        <f t="shared" si="117"/>
        <v>0</v>
      </c>
      <c r="Q720" s="17" t="str">
        <f t="shared" si="119"/>
        <v>Pas d'écart</v>
      </c>
    </row>
    <row r="721" spans="1:18" x14ac:dyDescent="0.3">
      <c r="A721" s="34" t="str">
        <f>base!J721</f>
        <v>RS</v>
      </c>
      <c r="B721" s="34" t="str">
        <f>base!V721</f>
        <v>62119</v>
      </c>
      <c r="C721" s="37">
        <v>62</v>
      </c>
      <c r="D721" s="36">
        <f>base!H721</f>
        <v>70</v>
      </c>
      <c r="E721" s="44"/>
      <c r="F721" s="16">
        <f>base!W721</f>
        <v>0</v>
      </c>
      <c r="G721" s="11">
        <f t="shared" si="110"/>
        <v>0</v>
      </c>
      <c r="H721" s="11">
        <f t="shared" si="111"/>
        <v>13.3</v>
      </c>
      <c r="I721" s="11">
        <f t="shared" si="112"/>
        <v>0.19</v>
      </c>
      <c r="J721" s="12">
        <f t="shared" si="113"/>
        <v>-13.3</v>
      </c>
      <c r="K721" s="17" t="str">
        <f t="shared" si="118"/>
        <v>Ecart négatif</v>
      </c>
      <c r="L721" s="16">
        <f>base!X721</f>
        <v>0</v>
      </c>
      <c r="M721" s="11">
        <f t="shared" si="114"/>
        <v>0</v>
      </c>
      <c r="N721" s="11">
        <f t="shared" si="115"/>
        <v>0</v>
      </c>
      <c r="O721" s="11">
        <f t="shared" si="116"/>
        <v>0</v>
      </c>
      <c r="P721" s="12">
        <f t="shared" si="117"/>
        <v>0</v>
      </c>
      <c r="Q721" s="17" t="str">
        <f t="shared" si="119"/>
        <v>Pas d'écart</v>
      </c>
    </row>
    <row r="722" spans="1:18" x14ac:dyDescent="0.3">
      <c r="A722" s="34" t="str">
        <f>base!J722</f>
        <v>DLM</v>
      </c>
      <c r="B722" s="34" t="str">
        <f>base!V722</f>
        <v>38110</v>
      </c>
      <c r="C722" s="37">
        <v>38</v>
      </c>
      <c r="D722" s="36">
        <f>base!H722</f>
        <v>23.4</v>
      </c>
      <c r="E722" s="44"/>
      <c r="F722" s="16">
        <f>base!W722</f>
        <v>0</v>
      </c>
      <c r="G722" s="11">
        <f t="shared" si="110"/>
        <v>0</v>
      </c>
      <c r="H722" s="11">
        <f t="shared" si="111"/>
        <v>6.3179999999999996</v>
      </c>
      <c r="I722" s="11">
        <f t="shared" si="112"/>
        <v>0.27</v>
      </c>
      <c r="J722" s="12">
        <f t="shared" si="113"/>
        <v>-6.3179999999999996</v>
      </c>
      <c r="K722" s="17" t="str">
        <f t="shared" si="118"/>
        <v>Ecart négatif</v>
      </c>
      <c r="L722" s="16">
        <f>base!X722</f>
        <v>0</v>
      </c>
      <c r="M722" s="11">
        <f t="shared" si="114"/>
        <v>0</v>
      </c>
      <c r="N722" s="11">
        <f t="shared" si="115"/>
        <v>0</v>
      </c>
      <c r="O722" s="11">
        <f t="shared" si="116"/>
        <v>0</v>
      </c>
      <c r="P722" s="12">
        <f t="shared" si="117"/>
        <v>0</v>
      </c>
      <c r="Q722" s="17" t="str">
        <f t="shared" si="119"/>
        <v>Pas d'écart</v>
      </c>
    </row>
    <row r="723" spans="1:18" x14ac:dyDescent="0.3">
      <c r="A723" s="34" t="str">
        <f>base!J723</f>
        <v>RS</v>
      </c>
      <c r="B723" s="34" t="str">
        <f>base!V723</f>
        <v>33000</v>
      </c>
      <c r="C723" s="37">
        <v>33</v>
      </c>
      <c r="D723" s="36">
        <f>base!H723</f>
        <v>151</v>
      </c>
      <c r="E723" s="44"/>
      <c r="F723" s="16">
        <f>base!W723</f>
        <v>0</v>
      </c>
      <c r="G723" s="11">
        <f t="shared" si="110"/>
        <v>0</v>
      </c>
      <c r="H723" s="11">
        <f t="shared" si="111"/>
        <v>31.709999999999997</v>
      </c>
      <c r="I723" s="11">
        <f t="shared" si="112"/>
        <v>0.21</v>
      </c>
      <c r="J723" s="12">
        <f t="shared" si="113"/>
        <v>-31.709999999999997</v>
      </c>
      <c r="K723" s="17" t="str">
        <f t="shared" si="118"/>
        <v>Ecart négatif</v>
      </c>
      <c r="L723" s="16">
        <f>base!X723</f>
        <v>25.67</v>
      </c>
      <c r="M723" s="11">
        <f t="shared" si="114"/>
        <v>0.17</v>
      </c>
      <c r="N723" s="11">
        <f t="shared" si="115"/>
        <v>25.67</v>
      </c>
      <c r="O723" s="11">
        <f t="shared" si="116"/>
        <v>0.17</v>
      </c>
      <c r="P723" s="12">
        <f t="shared" si="117"/>
        <v>0</v>
      </c>
      <c r="Q723" s="17" t="str">
        <f t="shared" si="119"/>
        <v>Pas d'écart</v>
      </c>
      <c r="R723" s="38"/>
    </row>
    <row r="724" spans="1:18" x14ac:dyDescent="0.3">
      <c r="A724" s="34" t="str">
        <f>base!J724</f>
        <v>RM</v>
      </c>
      <c r="B724" s="34" t="str">
        <f>base!V724</f>
        <v>59000</v>
      </c>
      <c r="C724" s="37">
        <v>59</v>
      </c>
      <c r="D724" s="36">
        <f>base!H724</f>
        <v>70</v>
      </c>
      <c r="E724" s="44"/>
      <c r="F724" s="16">
        <f>base!W724</f>
        <v>0</v>
      </c>
      <c r="G724" s="11">
        <f t="shared" si="110"/>
        <v>0</v>
      </c>
      <c r="H724" s="11">
        <f t="shared" si="111"/>
        <v>13.3</v>
      </c>
      <c r="I724" s="11">
        <f t="shared" si="112"/>
        <v>0.19</v>
      </c>
      <c r="J724" s="12">
        <f t="shared" si="113"/>
        <v>-13.3</v>
      </c>
      <c r="K724" s="17" t="str">
        <f t="shared" si="118"/>
        <v>Ecart négatif</v>
      </c>
      <c r="L724" s="16">
        <f>base!X724</f>
        <v>0</v>
      </c>
      <c r="M724" s="11">
        <f t="shared" si="114"/>
        <v>0</v>
      </c>
      <c r="N724" s="11">
        <f t="shared" si="115"/>
        <v>0</v>
      </c>
      <c r="O724" s="11">
        <f t="shared" si="116"/>
        <v>0</v>
      </c>
      <c r="P724" s="12">
        <f t="shared" si="117"/>
        <v>0</v>
      </c>
      <c r="Q724" s="17" t="str">
        <f t="shared" si="119"/>
        <v>Pas d'écart</v>
      </c>
    </row>
    <row r="725" spans="1:18" x14ac:dyDescent="0.3">
      <c r="A725" s="34">
        <f>base!J725</f>
        <v>0</v>
      </c>
      <c r="B725" s="34" t="str">
        <f>base!V725</f>
        <v>77184</v>
      </c>
      <c r="C725" s="37">
        <v>77</v>
      </c>
      <c r="D725" s="36">
        <f>base!H725</f>
        <v>20</v>
      </c>
      <c r="E725" s="44"/>
      <c r="F725" s="16">
        <f>base!W725</f>
        <v>0</v>
      </c>
      <c r="G725" s="11">
        <f t="shared" si="110"/>
        <v>0</v>
      </c>
      <c r="H725" s="11">
        <f t="shared" si="111"/>
        <v>0</v>
      </c>
      <c r="I725" s="11">
        <f t="shared" si="112"/>
        <v>0</v>
      </c>
      <c r="J725" s="12">
        <f t="shared" si="113"/>
        <v>0</v>
      </c>
      <c r="K725" s="17" t="str">
        <f t="shared" si="118"/>
        <v>Pas d'écart</v>
      </c>
      <c r="L725" s="16">
        <f>base!X725</f>
        <v>0</v>
      </c>
      <c r="M725" s="11">
        <f t="shared" si="114"/>
        <v>0</v>
      </c>
      <c r="N725" s="11">
        <f t="shared" si="115"/>
        <v>0</v>
      </c>
      <c r="O725" s="11">
        <f t="shared" si="116"/>
        <v>0</v>
      </c>
      <c r="P725" s="12">
        <f t="shared" si="117"/>
        <v>0</v>
      </c>
      <c r="Q725" s="17" t="str">
        <f t="shared" si="119"/>
        <v>Pas d'écart</v>
      </c>
    </row>
    <row r="726" spans="1:18" x14ac:dyDescent="0.3">
      <c r="A726" s="34" t="str">
        <f>base!J726</f>
        <v>RM</v>
      </c>
      <c r="B726" s="34" t="str">
        <f>base!V726</f>
        <v>06560</v>
      </c>
      <c r="C726" s="37">
        <v>6</v>
      </c>
      <c r="D726" s="36">
        <f>base!H726</f>
        <v>151</v>
      </c>
      <c r="E726" s="44"/>
      <c r="F726" s="16">
        <f>base!W726</f>
        <v>0</v>
      </c>
      <c r="G726" s="11">
        <f t="shared" si="110"/>
        <v>0</v>
      </c>
      <c r="H726" s="11">
        <f t="shared" si="111"/>
        <v>45.3</v>
      </c>
      <c r="I726" s="11">
        <f t="shared" si="112"/>
        <v>0.3</v>
      </c>
      <c r="J726" s="12">
        <f t="shared" si="113"/>
        <v>-45.3</v>
      </c>
      <c r="K726" s="17" t="str">
        <f t="shared" si="118"/>
        <v>Ecart négatif</v>
      </c>
      <c r="L726" s="16">
        <f>base!X726</f>
        <v>0</v>
      </c>
      <c r="M726" s="11">
        <f t="shared" si="114"/>
        <v>0</v>
      </c>
      <c r="N726" s="11">
        <f t="shared" si="115"/>
        <v>31.709999999999997</v>
      </c>
      <c r="O726" s="11">
        <f t="shared" si="116"/>
        <v>0.21</v>
      </c>
      <c r="P726" s="12">
        <f t="shared" si="117"/>
        <v>-31.709999999999997</v>
      </c>
      <c r="Q726" s="17" t="str">
        <f t="shared" si="119"/>
        <v>Ecart négatif</v>
      </c>
    </row>
    <row r="727" spans="1:18" x14ac:dyDescent="0.3">
      <c r="A727" s="34" t="str">
        <f>base!J727</f>
        <v>RM</v>
      </c>
      <c r="B727" s="34" t="str">
        <f>base!V727</f>
        <v>06560</v>
      </c>
      <c r="C727" s="37">
        <v>6</v>
      </c>
      <c r="D727" s="36">
        <f>base!H727</f>
        <v>151</v>
      </c>
      <c r="E727" s="44"/>
      <c r="F727" s="16">
        <f>base!W727</f>
        <v>0</v>
      </c>
      <c r="G727" s="11">
        <f t="shared" si="110"/>
        <v>0</v>
      </c>
      <c r="H727" s="11">
        <f t="shared" si="111"/>
        <v>45.3</v>
      </c>
      <c r="I727" s="11">
        <f t="shared" si="112"/>
        <v>0.3</v>
      </c>
      <c r="J727" s="12">
        <f t="shared" si="113"/>
        <v>-45.3</v>
      </c>
      <c r="K727" s="17" t="str">
        <f t="shared" si="118"/>
        <v>Ecart négatif</v>
      </c>
      <c r="L727" s="16">
        <f>base!X727</f>
        <v>0</v>
      </c>
      <c r="M727" s="11">
        <f t="shared" si="114"/>
        <v>0</v>
      </c>
      <c r="N727" s="11">
        <f t="shared" si="115"/>
        <v>31.709999999999997</v>
      </c>
      <c r="O727" s="11">
        <f t="shared" si="116"/>
        <v>0.21</v>
      </c>
      <c r="P727" s="12">
        <f t="shared" si="117"/>
        <v>-31.709999999999997</v>
      </c>
      <c r="Q727" s="17" t="str">
        <f t="shared" si="119"/>
        <v>Ecart négatif</v>
      </c>
    </row>
    <row r="728" spans="1:18" x14ac:dyDescent="0.3">
      <c r="A728" s="34" t="str">
        <f>base!J728</f>
        <v>RM</v>
      </c>
      <c r="B728" s="34" t="str">
        <f>base!V728</f>
        <v>06560</v>
      </c>
      <c r="C728" s="37">
        <v>6</v>
      </c>
      <c r="D728" s="36">
        <f>base!H728</f>
        <v>151</v>
      </c>
      <c r="E728" s="44"/>
      <c r="F728" s="16">
        <f>base!W728</f>
        <v>0</v>
      </c>
      <c r="G728" s="11">
        <f t="shared" si="110"/>
        <v>0</v>
      </c>
      <c r="H728" s="11">
        <f t="shared" si="111"/>
        <v>45.3</v>
      </c>
      <c r="I728" s="11">
        <f t="shared" si="112"/>
        <v>0.3</v>
      </c>
      <c r="J728" s="12">
        <f t="shared" si="113"/>
        <v>-45.3</v>
      </c>
      <c r="K728" s="17" t="str">
        <f t="shared" si="118"/>
        <v>Ecart négatif</v>
      </c>
      <c r="L728" s="16">
        <f>base!X728</f>
        <v>0</v>
      </c>
      <c r="M728" s="11">
        <f t="shared" si="114"/>
        <v>0</v>
      </c>
      <c r="N728" s="11">
        <f t="shared" si="115"/>
        <v>31.709999999999997</v>
      </c>
      <c r="O728" s="11">
        <f t="shared" si="116"/>
        <v>0.21</v>
      </c>
      <c r="P728" s="12">
        <f t="shared" si="117"/>
        <v>-31.709999999999997</v>
      </c>
      <c r="Q728" s="17" t="str">
        <f t="shared" si="119"/>
        <v>Ecart négatif</v>
      </c>
    </row>
    <row r="729" spans="1:18" x14ac:dyDescent="0.3">
      <c r="A729" s="34" t="str">
        <f>base!J729</f>
        <v>RM</v>
      </c>
      <c r="B729" s="34" t="str">
        <f>base!V729</f>
        <v>06560</v>
      </c>
      <c r="C729" s="37">
        <v>6</v>
      </c>
      <c r="D729" s="36">
        <f>base!H729</f>
        <v>151</v>
      </c>
      <c r="E729" s="44"/>
      <c r="F729" s="16">
        <f>base!W729</f>
        <v>0</v>
      </c>
      <c r="G729" s="11">
        <f t="shared" si="110"/>
        <v>0</v>
      </c>
      <c r="H729" s="11">
        <f t="shared" si="111"/>
        <v>45.3</v>
      </c>
      <c r="I729" s="11">
        <f t="shared" si="112"/>
        <v>0.3</v>
      </c>
      <c r="J729" s="12">
        <f t="shared" si="113"/>
        <v>-45.3</v>
      </c>
      <c r="K729" s="17" t="str">
        <f t="shared" si="118"/>
        <v>Ecart négatif</v>
      </c>
      <c r="L729" s="16">
        <f>base!X729</f>
        <v>0</v>
      </c>
      <c r="M729" s="11">
        <f t="shared" si="114"/>
        <v>0</v>
      </c>
      <c r="N729" s="11">
        <f t="shared" si="115"/>
        <v>31.709999999999997</v>
      </c>
      <c r="O729" s="11">
        <f t="shared" si="116"/>
        <v>0.21</v>
      </c>
      <c r="P729" s="12">
        <f t="shared" si="117"/>
        <v>-31.709999999999997</v>
      </c>
      <c r="Q729" s="17" t="str">
        <f t="shared" si="119"/>
        <v>Ecart négatif</v>
      </c>
    </row>
    <row r="730" spans="1:18" x14ac:dyDescent="0.3">
      <c r="A730" s="34" t="str">
        <f>base!J730</f>
        <v>LM</v>
      </c>
      <c r="B730" s="34" t="str">
        <f>base!V730</f>
        <v>71380</v>
      </c>
      <c r="C730" s="37">
        <v>76</v>
      </c>
      <c r="D730" s="36">
        <f>base!H730</f>
        <v>55.16</v>
      </c>
      <c r="E730" s="44"/>
      <c r="F730" s="16">
        <f>base!W730</f>
        <v>14.89</v>
      </c>
      <c r="G730" s="11">
        <f t="shared" si="110"/>
        <v>0.26994198694706312</v>
      </c>
      <c r="H730" s="11">
        <f t="shared" si="111"/>
        <v>9.3772000000000002</v>
      </c>
      <c r="I730" s="11">
        <f t="shared" si="112"/>
        <v>0.17</v>
      </c>
      <c r="J730" s="12">
        <f t="shared" si="113"/>
        <v>5.5128000000000004</v>
      </c>
      <c r="K730" s="17" t="str">
        <f t="shared" si="118"/>
        <v>Ecart positif</v>
      </c>
      <c r="L730" s="16">
        <f>base!X730</f>
        <v>0</v>
      </c>
      <c r="M730" s="11">
        <f t="shared" si="114"/>
        <v>0</v>
      </c>
      <c r="N730" s="11">
        <f t="shared" si="115"/>
        <v>9.3772000000000002</v>
      </c>
      <c r="O730" s="11">
        <f t="shared" si="116"/>
        <v>0.17</v>
      </c>
      <c r="P730" s="12">
        <f t="shared" si="117"/>
        <v>-9.3772000000000002</v>
      </c>
      <c r="Q730" s="17" t="str">
        <f t="shared" si="119"/>
        <v>Ecart négatif</v>
      </c>
    </row>
    <row r="731" spans="1:18" x14ac:dyDescent="0.3">
      <c r="A731" s="34" t="str">
        <f>base!J731</f>
        <v>RM</v>
      </c>
      <c r="B731" s="34" t="str">
        <f>base!V731</f>
        <v>69280</v>
      </c>
      <c r="C731" s="37">
        <v>69</v>
      </c>
      <c r="D731" s="36">
        <f>base!H731</f>
        <v>37.93</v>
      </c>
      <c r="E731" s="44"/>
      <c r="F731" s="16">
        <f>base!W731</f>
        <v>0</v>
      </c>
      <c r="G731" s="11">
        <f t="shared" si="110"/>
        <v>0</v>
      </c>
      <c r="H731" s="11">
        <f t="shared" si="111"/>
        <v>10.241100000000001</v>
      </c>
      <c r="I731" s="11">
        <f t="shared" si="112"/>
        <v>0.27</v>
      </c>
      <c r="J731" s="12">
        <f t="shared" si="113"/>
        <v>-10.241100000000001</v>
      </c>
      <c r="K731" s="17" t="str">
        <f t="shared" si="118"/>
        <v>Ecart négatif</v>
      </c>
      <c r="L731" s="16">
        <f>base!X731</f>
        <v>0</v>
      </c>
      <c r="M731" s="11">
        <f t="shared" si="114"/>
        <v>0</v>
      </c>
      <c r="N731" s="11">
        <f t="shared" si="115"/>
        <v>0</v>
      </c>
      <c r="O731" s="11">
        <f t="shared" si="116"/>
        <v>0</v>
      </c>
      <c r="P731" s="12">
        <f t="shared" si="117"/>
        <v>0</v>
      </c>
      <c r="Q731" s="17" t="str">
        <f t="shared" si="119"/>
        <v>Pas d'écart</v>
      </c>
    </row>
    <row r="732" spans="1:18" x14ac:dyDescent="0.3">
      <c r="A732" s="34" t="str">
        <f>base!J732</f>
        <v>RM</v>
      </c>
      <c r="B732" s="34" t="str">
        <f>base!V732</f>
        <v>01000</v>
      </c>
      <c r="C732" s="37">
        <v>1</v>
      </c>
      <c r="D732" s="36">
        <f>base!H732</f>
        <v>70</v>
      </c>
      <c r="E732" s="44"/>
      <c r="F732" s="16">
        <f>base!W732</f>
        <v>0</v>
      </c>
      <c r="G732" s="11">
        <f t="shared" si="110"/>
        <v>0</v>
      </c>
      <c r="H732" s="11">
        <f t="shared" si="111"/>
        <v>18.2</v>
      </c>
      <c r="I732" s="11">
        <f t="shared" si="112"/>
        <v>0.26</v>
      </c>
      <c r="J732" s="12">
        <f t="shared" si="113"/>
        <v>-18.2</v>
      </c>
      <c r="K732" s="17" t="str">
        <f t="shared" si="118"/>
        <v>Ecart négatif</v>
      </c>
      <c r="L732" s="16">
        <f>base!X732</f>
        <v>0</v>
      </c>
      <c r="M732" s="11">
        <f t="shared" si="114"/>
        <v>0</v>
      </c>
      <c r="N732" s="11">
        <f t="shared" si="115"/>
        <v>0</v>
      </c>
      <c r="O732" s="11">
        <f t="shared" si="116"/>
        <v>0</v>
      </c>
      <c r="P732" s="12">
        <f t="shared" si="117"/>
        <v>0</v>
      </c>
      <c r="Q732" s="17" t="str">
        <f t="shared" si="119"/>
        <v>Pas d'écart</v>
      </c>
    </row>
    <row r="733" spans="1:18" x14ac:dyDescent="0.3">
      <c r="A733" s="34" t="str">
        <f>base!J733</f>
        <v>LM</v>
      </c>
      <c r="B733" s="34" t="str">
        <f>base!V733</f>
        <v>69002</v>
      </c>
      <c r="C733" s="37">
        <v>27</v>
      </c>
      <c r="D733" s="36">
        <f>base!H733</f>
        <v>331.39</v>
      </c>
      <c r="E733" s="44"/>
      <c r="F733" s="16">
        <f>base!W733</f>
        <v>89.48</v>
      </c>
      <c r="G733" s="11">
        <f t="shared" si="110"/>
        <v>0.27001418268505389</v>
      </c>
      <c r="H733" s="11">
        <f t="shared" si="111"/>
        <v>56.336300000000001</v>
      </c>
      <c r="I733" s="11">
        <f t="shared" si="112"/>
        <v>0.17</v>
      </c>
      <c r="J733" s="12">
        <f t="shared" si="113"/>
        <v>33.143700000000003</v>
      </c>
      <c r="K733" s="17" t="str">
        <f t="shared" si="118"/>
        <v>Ecart positif</v>
      </c>
      <c r="L733" s="16">
        <f>base!X733</f>
        <v>0</v>
      </c>
      <c r="M733" s="11">
        <f t="shared" si="114"/>
        <v>0</v>
      </c>
      <c r="N733" s="11">
        <f t="shared" si="115"/>
        <v>56.336300000000001</v>
      </c>
      <c r="O733" s="11">
        <f t="shared" si="116"/>
        <v>0.17</v>
      </c>
      <c r="P733" s="12">
        <f t="shared" si="117"/>
        <v>-56.336300000000001</v>
      </c>
      <c r="Q733" s="17" t="str">
        <f t="shared" si="119"/>
        <v>Ecart négatif</v>
      </c>
    </row>
    <row r="734" spans="1:18" x14ac:dyDescent="0.3">
      <c r="A734" s="34" t="str">
        <f>base!J734</f>
        <v>LM</v>
      </c>
      <c r="B734" s="34" t="str">
        <f>base!V734</f>
        <v>35044</v>
      </c>
      <c r="C734" s="37">
        <v>62</v>
      </c>
      <c r="D734" s="36">
        <f>base!H734</f>
        <v>55.16</v>
      </c>
      <c r="E734" s="44"/>
      <c r="F734" s="16">
        <f>base!W734</f>
        <v>14.89</v>
      </c>
      <c r="G734" s="11">
        <f t="shared" si="110"/>
        <v>0.26994198694706312</v>
      </c>
      <c r="H734" s="11">
        <f t="shared" si="111"/>
        <v>10.480399999999999</v>
      </c>
      <c r="I734" s="11">
        <f t="shared" si="112"/>
        <v>0.19</v>
      </c>
      <c r="J734" s="12">
        <f t="shared" si="113"/>
        <v>4.4096000000000011</v>
      </c>
      <c r="K734" s="17" t="str">
        <f t="shared" si="118"/>
        <v>Ecart positif</v>
      </c>
      <c r="L734" s="16">
        <f>base!X734</f>
        <v>0</v>
      </c>
      <c r="M734" s="11">
        <f t="shared" si="114"/>
        <v>0</v>
      </c>
      <c r="N734" s="11">
        <f t="shared" si="115"/>
        <v>0</v>
      </c>
      <c r="O734" s="11">
        <f t="shared" si="116"/>
        <v>0</v>
      </c>
      <c r="P734" s="12">
        <f t="shared" si="117"/>
        <v>0</v>
      </c>
      <c r="Q734" s="17" t="str">
        <f t="shared" si="119"/>
        <v>Pas d'écart</v>
      </c>
    </row>
    <row r="735" spans="1:18" x14ac:dyDescent="0.3">
      <c r="A735" s="34" t="str">
        <f>base!J735</f>
        <v>RS</v>
      </c>
      <c r="B735" s="34" t="str">
        <f>base!V735</f>
        <v>84800</v>
      </c>
      <c r="C735" s="37">
        <v>84</v>
      </c>
      <c r="D735" s="36">
        <f>base!H735</f>
        <v>140</v>
      </c>
      <c r="E735" s="44"/>
      <c r="F735" s="16">
        <f>base!W735</f>
        <v>0</v>
      </c>
      <c r="G735" s="11">
        <f t="shared" si="110"/>
        <v>0</v>
      </c>
      <c r="H735" s="11">
        <f t="shared" si="111"/>
        <v>40.599999999999994</v>
      </c>
      <c r="I735" s="11">
        <f t="shared" si="112"/>
        <v>0.28999999999999998</v>
      </c>
      <c r="J735" s="12">
        <f t="shared" si="113"/>
        <v>-40.599999999999994</v>
      </c>
      <c r="K735" s="17" t="str">
        <f t="shared" si="118"/>
        <v>Ecart négatif</v>
      </c>
      <c r="L735" s="16">
        <f>base!X735</f>
        <v>26.6</v>
      </c>
      <c r="M735" s="11">
        <f t="shared" si="114"/>
        <v>0.19</v>
      </c>
      <c r="N735" s="11">
        <f t="shared" si="115"/>
        <v>26.6</v>
      </c>
      <c r="O735" s="11">
        <f t="shared" si="116"/>
        <v>0.19</v>
      </c>
      <c r="P735" s="12">
        <f t="shared" si="117"/>
        <v>0</v>
      </c>
      <c r="Q735" s="17" t="str">
        <f t="shared" si="119"/>
        <v>Pas d'écart</v>
      </c>
      <c r="R735" s="38"/>
    </row>
    <row r="736" spans="1:18" x14ac:dyDescent="0.3">
      <c r="A736" s="34" t="str">
        <f>base!J736</f>
        <v>DLM</v>
      </c>
      <c r="B736" s="34" t="str">
        <f>base!V736</f>
        <v>69800</v>
      </c>
      <c r="C736" s="37">
        <v>69</v>
      </c>
      <c r="D736" s="36">
        <f>base!H736</f>
        <v>151</v>
      </c>
      <c r="E736" s="44"/>
      <c r="F736" s="16">
        <f>base!W736</f>
        <v>0</v>
      </c>
      <c r="G736" s="11">
        <f t="shared" si="110"/>
        <v>0</v>
      </c>
      <c r="H736" s="11">
        <f t="shared" si="111"/>
        <v>40.770000000000003</v>
      </c>
      <c r="I736" s="11">
        <f t="shared" si="112"/>
        <v>0.27</v>
      </c>
      <c r="J736" s="12">
        <f t="shared" si="113"/>
        <v>-40.770000000000003</v>
      </c>
      <c r="K736" s="17" t="str">
        <f t="shared" si="118"/>
        <v>Ecart négatif</v>
      </c>
      <c r="L736" s="16">
        <f>base!X736</f>
        <v>0</v>
      </c>
      <c r="M736" s="11">
        <f t="shared" si="114"/>
        <v>0</v>
      </c>
      <c r="N736" s="11">
        <f t="shared" si="115"/>
        <v>0</v>
      </c>
      <c r="O736" s="11">
        <f t="shared" si="116"/>
        <v>0</v>
      </c>
      <c r="P736" s="12">
        <f t="shared" si="117"/>
        <v>0</v>
      </c>
      <c r="Q736" s="17" t="str">
        <f t="shared" si="119"/>
        <v>Pas d'écart</v>
      </c>
    </row>
    <row r="737" spans="1:17" x14ac:dyDescent="0.3">
      <c r="A737" s="34" t="str">
        <f>base!J737</f>
        <v>DRS</v>
      </c>
      <c r="B737" s="34" t="str">
        <f>base!V737</f>
        <v>21400</v>
      </c>
      <c r="C737" s="37">
        <v>21</v>
      </c>
      <c r="D737" s="36">
        <f>base!H737</f>
        <v>100</v>
      </c>
      <c r="E737" s="44"/>
      <c r="F737" s="16">
        <f>base!W737</f>
        <v>0</v>
      </c>
      <c r="G737" s="11">
        <f t="shared" si="110"/>
        <v>0</v>
      </c>
      <c r="H737" s="11">
        <f t="shared" si="111"/>
        <v>24</v>
      </c>
      <c r="I737" s="11">
        <f t="shared" si="112"/>
        <v>0.24</v>
      </c>
      <c r="J737" s="12">
        <f t="shared" si="113"/>
        <v>-24</v>
      </c>
      <c r="K737" s="17" t="str">
        <f t="shared" si="118"/>
        <v>Ecart négatif</v>
      </c>
      <c r="L737" s="16">
        <f>base!X737</f>
        <v>0</v>
      </c>
      <c r="M737" s="11">
        <f t="shared" si="114"/>
        <v>0</v>
      </c>
      <c r="N737" s="11">
        <f t="shared" si="115"/>
        <v>12</v>
      </c>
      <c r="O737" s="11">
        <f t="shared" si="116"/>
        <v>0.12</v>
      </c>
      <c r="P737" s="12">
        <f t="shared" si="117"/>
        <v>-12</v>
      </c>
      <c r="Q737" s="17" t="str">
        <f t="shared" si="119"/>
        <v>Ecart négatif</v>
      </c>
    </row>
    <row r="738" spans="1:17" x14ac:dyDescent="0.3">
      <c r="A738" s="34" t="str">
        <f>base!J738</f>
        <v>LS</v>
      </c>
      <c r="B738" s="34" t="str">
        <f>base!V738</f>
        <v>80400</v>
      </c>
      <c r="C738" s="37">
        <v>27</v>
      </c>
      <c r="D738" s="36">
        <f>base!H738</f>
        <v>197.98</v>
      </c>
      <c r="E738" s="44"/>
      <c r="F738" s="16">
        <f>base!W738</f>
        <v>37.619999999999997</v>
      </c>
      <c r="G738" s="11">
        <f t="shared" si="110"/>
        <v>0.19001919385796545</v>
      </c>
      <c r="H738" s="11">
        <f t="shared" si="111"/>
        <v>33.656599999999997</v>
      </c>
      <c r="I738" s="11">
        <f t="shared" si="112"/>
        <v>0.16999999999999998</v>
      </c>
      <c r="J738" s="12">
        <f t="shared" si="113"/>
        <v>3.9634</v>
      </c>
      <c r="K738" s="17" t="str">
        <f t="shared" si="118"/>
        <v>Ecart positif</v>
      </c>
      <c r="L738" s="16">
        <f>base!X738</f>
        <v>0</v>
      </c>
      <c r="M738" s="11">
        <f t="shared" si="114"/>
        <v>0</v>
      </c>
      <c r="N738" s="11">
        <f t="shared" si="115"/>
        <v>33.656599999999997</v>
      </c>
      <c r="O738" s="11">
        <f t="shared" si="116"/>
        <v>0.16999999999999998</v>
      </c>
      <c r="P738" s="12">
        <f t="shared" si="117"/>
        <v>-33.656599999999997</v>
      </c>
      <c r="Q738" s="17" t="str">
        <f t="shared" si="119"/>
        <v>Ecart négatif</v>
      </c>
    </row>
    <row r="739" spans="1:17" x14ac:dyDescent="0.3">
      <c r="A739" s="34" t="str">
        <f>base!J739</f>
        <v>DRS</v>
      </c>
      <c r="B739" s="34" t="str">
        <f>base!V739</f>
        <v>06700</v>
      </c>
      <c r="C739" s="37">
        <v>6</v>
      </c>
      <c r="D739" s="36">
        <f>base!H739</f>
        <v>70</v>
      </c>
      <c r="E739" s="44"/>
      <c r="F739" s="16">
        <f>base!W739</f>
        <v>0</v>
      </c>
      <c r="G739" s="11">
        <f t="shared" si="110"/>
        <v>0</v>
      </c>
      <c r="H739" s="11">
        <f t="shared" si="111"/>
        <v>21</v>
      </c>
      <c r="I739" s="11">
        <f t="shared" si="112"/>
        <v>0.3</v>
      </c>
      <c r="J739" s="12">
        <f t="shared" si="113"/>
        <v>-21</v>
      </c>
      <c r="K739" s="17" t="str">
        <f t="shared" si="118"/>
        <v>Ecart négatif</v>
      </c>
      <c r="L739" s="16">
        <f>base!X739</f>
        <v>0</v>
      </c>
      <c r="M739" s="11">
        <f t="shared" si="114"/>
        <v>0</v>
      </c>
      <c r="N739" s="11">
        <f t="shared" si="115"/>
        <v>14.7</v>
      </c>
      <c r="O739" s="11">
        <f t="shared" si="116"/>
        <v>0.21</v>
      </c>
      <c r="P739" s="12">
        <f t="shared" si="117"/>
        <v>-14.7</v>
      </c>
      <c r="Q739" s="17" t="str">
        <f t="shared" si="119"/>
        <v>Ecart négatif</v>
      </c>
    </row>
    <row r="740" spans="1:17" x14ac:dyDescent="0.3">
      <c r="A740" s="34" t="str">
        <f>base!J740</f>
        <v>LS</v>
      </c>
      <c r="B740" s="34" t="str">
        <f>base!V740</f>
        <v>18570</v>
      </c>
      <c r="C740" s="37">
        <v>61</v>
      </c>
      <c r="D740" s="36">
        <f>base!H740</f>
        <v>370.41</v>
      </c>
      <c r="E740" s="44"/>
      <c r="F740" s="16">
        <f>base!W740</f>
        <v>77.790000000000006</v>
      </c>
      <c r="G740" s="11">
        <f t="shared" si="110"/>
        <v>0.21001052887341054</v>
      </c>
      <c r="H740" s="11">
        <f t="shared" si="111"/>
        <v>62.96970000000001</v>
      </c>
      <c r="I740" s="11">
        <f t="shared" si="112"/>
        <v>0.17</v>
      </c>
      <c r="J740" s="12">
        <f t="shared" si="113"/>
        <v>14.820299999999996</v>
      </c>
      <c r="K740" s="17" t="str">
        <f t="shared" si="118"/>
        <v>Ecart positif</v>
      </c>
      <c r="L740" s="16">
        <f>base!X740</f>
        <v>0</v>
      </c>
      <c r="M740" s="11">
        <f t="shared" si="114"/>
        <v>0</v>
      </c>
      <c r="N740" s="11">
        <f t="shared" si="115"/>
        <v>62.96970000000001</v>
      </c>
      <c r="O740" s="11">
        <f t="shared" si="116"/>
        <v>0.17</v>
      </c>
      <c r="P740" s="12">
        <f t="shared" si="117"/>
        <v>-62.96970000000001</v>
      </c>
      <c r="Q740" s="17" t="str">
        <f t="shared" si="119"/>
        <v>Ecart négatif</v>
      </c>
    </row>
    <row r="741" spans="1:17" x14ac:dyDescent="0.3">
      <c r="A741" s="34" t="str">
        <f>base!J741</f>
        <v>DLS</v>
      </c>
      <c r="B741" s="34" t="str">
        <f>base!V741</f>
        <v>77184</v>
      </c>
      <c r="C741" s="37">
        <v>77</v>
      </c>
      <c r="D741" s="36">
        <f>base!H741</f>
        <v>40</v>
      </c>
      <c r="E741" s="44"/>
      <c r="F741" s="16">
        <f>base!W741</f>
        <v>10.8</v>
      </c>
      <c r="G741" s="11">
        <f t="shared" si="110"/>
        <v>0.27</v>
      </c>
      <c r="H741" s="11">
        <f t="shared" si="111"/>
        <v>0</v>
      </c>
      <c r="I741" s="11">
        <f t="shared" si="112"/>
        <v>0</v>
      </c>
      <c r="J741" s="12">
        <f t="shared" si="113"/>
        <v>10.8</v>
      </c>
      <c r="K741" s="17" t="str">
        <f t="shared" si="118"/>
        <v>Ecart positif</v>
      </c>
      <c r="L741" s="16">
        <f>base!X741</f>
        <v>0</v>
      </c>
      <c r="M741" s="11">
        <f t="shared" si="114"/>
        <v>0</v>
      </c>
      <c r="N741" s="11">
        <f t="shared" si="115"/>
        <v>0</v>
      </c>
      <c r="O741" s="11">
        <f t="shared" si="116"/>
        <v>0</v>
      </c>
      <c r="P741" s="12">
        <f t="shared" si="117"/>
        <v>0</v>
      </c>
      <c r="Q741" s="17" t="str">
        <f t="shared" si="119"/>
        <v>Pas d'écart</v>
      </c>
    </row>
    <row r="742" spans="1:17" x14ac:dyDescent="0.3">
      <c r="A742" s="34">
        <f>base!J742</f>
        <v>0</v>
      </c>
      <c r="B742" s="34" t="str">
        <f>base!V742</f>
        <v>77184</v>
      </c>
      <c r="C742" s="37">
        <v>77</v>
      </c>
      <c r="D742" s="36">
        <f>base!H742</f>
        <v>171</v>
      </c>
      <c r="E742" s="44"/>
      <c r="F742" s="16">
        <f>base!W742</f>
        <v>0</v>
      </c>
      <c r="G742" s="11">
        <f t="shared" si="110"/>
        <v>0</v>
      </c>
      <c r="H742" s="11">
        <f t="shared" si="111"/>
        <v>0</v>
      </c>
      <c r="I742" s="11">
        <f t="shared" si="112"/>
        <v>0</v>
      </c>
      <c r="J742" s="12">
        <f t="shared" si="113"/>
        <v>0</v>
      </c>
      <c r="K742" s="17" t="str">
        <f t="shared" si="118"/>
        <v>Pas d'écart</v>
      </c>
      <c r="L742" s="16">
        <f>base!X742</f>
        <v>0</v>
      </c>
      <c r="M742" s="11">
        <f t="shared" si="114"/>
        <v>0</v>
      </c>
      <c r="N742" s="11">
        <f t="shared" si="115"/>
        <v>0</v>
      </c>
      <c r="O742" s="11">
        <f t="shared" si="116"/>
        <v>0</v>
      </c>
      <c r="P742" s="12">
        <f t="shared" si="117"/>
        <v>0</v>
      </c>
      <c r="Q742" s="17" t="str">
        <f t="shared" si="119"/>
        <v>Pas d'écart</v>
      </c>
    </row>
    <row r="743" spans="1:17" x14ac:dyDescent="0.3">
      <c r="A743" s="34" t="str">
        <f>base!J743</f>
        <v>LM</v>
      </c>
      <c r="B743" s="34" t="str">
        <f>base!V743</f>
        <v>62138</v>
      </c>
      <c r="C743" s="37">
        <v>50</v>
      </c>
      <c r="D743" s="36">
        <f>base!H743</f>
        <v>108.01</v>
      </c>
      <c r="E743" s="44"/>
      <c r="F743" s="16">
        <f>base!W743</f>
        <v>20.52</v>
      </c>
      <c r="G743" s="11">
        <f t="shared" si="110"/>
        <v>0.18998240903620034</v>
      </c>
      <c r="H743" s="11">
        <f t="shared" si="111"/>
        <v>18.361700000000003</v>
      </c>
      <c r="I743" s="11">
        <f t="shared" si="112"/>
        <v>0.17</v>
      </c>
      <c r="J743" s="12">
        <f t="shared" si="113"/>
        <v>2.158299999999997</v>
      </c>
      <c r="K743" s="17" t="str">
        <f t="shared" si="118"/>
        <v>Ecart positif</v>
      </c>
      <c r="L743" s="16">
        <f>base!X743</f>
        <v>0</v>
      </c>
      <c r="M743" s="11">
        <f t="shared" si="114"/>
        <v>0</v>
      </c>
      <c r="N743" s="11">
        <f t="shared" si="115"/>
        <v>18.361700000000003</v>
      </c>
      <c r="O743" s="11">
        <f t="shared" si="116"/>
        <v>0.17</v>
      </c>
      <c r="P743" s="12">
        <f t="shared" si="117"/>
        <v>-18.361700000000003</v>
      </c>
      <c r="Q743" s="17" t="str">
        <f t="shared" si="119"/>
        <v>Ecart négatif</v>
      </c>
    </row>
    <row r="744" spans="1:17" x14ac:dyDescent="0.3">
      <c r="A744" s="34">
        <f>base!J744</f>
        <v>0</v>
      </c>
      <c r="B744" s="34" t="str">
        <f>base!V744</f>
        <v>77184</v>
      </c>
      <c r="C744" s="37">
        <v>77</v>
      </c>
      <c r="D744" s="36">
        <f>base!H744</f>
        <v>110</v>
      </c>
      <c r="E744" s="44"/>
      <c r="F744" s="16">
        <f>base!W744</f>
        <v>0</v>
      </c>
      <c r="G744" s="11">
        <f t="shared" si="110"/>
        <v>0</v>
      </c>
      <c r="H744" s="11">
        <f t="shared" si="111"/>
        <v>0</v>
      </c>
      <c r="I744" s="11">
        <f t="shared" si="112"/>
        <v>0</v>
      </c>
      <c r="J744" s="12">
        <f t="shared" si="113"/>
        <v>0</v>
      </c>
      <c r="K744" s="17" t="str">
        <f t="shared" si="118"/>
        <v>Pas d'écart</v>
      </c>
      <c r="L744" s="16">
        <f>base!X744</f>
        <v>0</v>
      </c>
      <c r="M744" s="11">
        <f t="shared" si="114"/>
        <v>0</v>
      </c>
      <c r="N744" s="11">
        <f t="shared" si="115"/>
        <v>0</v>
      </c>
      <c r="O744" s="11">
        <f t="shared" si="116"/>
        <v>0</v>
      </c>
      <c r="P744" s="12">
        <f t="shared" si="117"/>
        <v>0</v>
      </c>
      <c r="Q744" s="17" t="str">
        <f t="shared" si="119"/>
        <v>Pas d'écart</v>
      </c>
    </row>
    <row r="745" spans="1:17" x14ac:dyDescent="0.3">
      <c r="A745" s="34">
        <f>base!J745</f>
        <v>0</v>
      </c>
      <c r="B745" s="34" t="str">
        <f>base!V745</f>
        <v>77184</v>
      </c>
      <c r="C745" s="37">
        <v>77</v>
      </c>
      <c r="D745" s="36">
        <f>base!H745</f>
        <v>22</v>
      </c>
      <c r="E745" s="44"/>
      <c r="F745" s="16">
        <f>base!W745</f>
        <v>0</v>
      </c>
      <c r="G745" s="11">
        <f t="shared" si="110"/>
        <v>0</v>
      </c>
      <c r="H745" s="11">
        <f t="shared" si="111"/>
        <v>0</v>
      </c>
      <c r="I745" s="11">
        <f t="shared" si="112"/>
        <v>0</v>
      </c>
      <c r="J745" s="12">
        <f t="shared" si="113"/>
        <v>0</v>
      </c>
      <c r="K745" s="17" t="str">
        <f t="shared" si="118"/>
        <v>Pas d'écart</v>
      </c>
      <c r="L745" s="16">
        <f>base!X745</f>
        <v>0</v>
      </c>
      <c r="M745" s="11">
        <f t="shared" si="114"/>
        <v>0</v>
      </c>
      <c r="N745" s="11">
        <f t="shared" si="115"/>
        <v>0</v>
      </c>
      <c r="O745" s="11">
        <f t="shared" si="116"/>
        <v>0</v>
      </c>
      <c r="P745" s="12">
        <f t="shared" si="117"/>
        <v>0</v>
      </c>
      <c r="Q745" s="17" t="str">
        <f t="shared" si="119"/>
        <v>Pas d'écart</v>
      </c>
    </row>
    <row r="746" spans="1:17" x14ac:dyDescent="0.3">
      <c r="A746" s="34" t="str">
        <f>base!J746</f>
        <v>LM</v>
      </c>
      <c r="B746" s="34" t="str">
        <f>base!V746</f>
        <v>06190</v>
      </c>
      <c r="C746" s="37">
        <v>6</v>
      </c>
      <c r="D746" s="36">
        <f>base!H746</f>
        <v>50</v>
      </c>
      <c r="E746" s="44"/>
      <c r="F746" s="16">
        <f>base!W746</f>
        <v>15</v>
      </c>
      <c r="G746" s="11">
        <f t="shared" si="110"/>
        <v>0.3</v>
      </c>
      <c r="H746" s="11">
        <f t="shared" si="111"/>
        <v>15</v>
      </c>
      <c r="I746" s="11">
        <f t="shared" si="112"/>
        <v>0.3</v>
      </c>
      <c r="J746" s="12">
        <f t="shared" si="113"/>
        <v>0</v>
      </c>
      <c r="K746" s="17" t="str">
        <f t="shared" si="118"/>
        <v>Pas d'écart</v>
      </c>
      <c r="L746" s="16">
        <f>base!X746</f>
        <v>0</v>
      </c>
      <c r="M746" s="11">
        <f t="shared" si="114"/>
        <v>0</v>
      </c>
      <c r="N746" s="11">
        <f t="shared" si="115"/>
        <v>10.5</v>
      </c>
      <c r="O746" s="11">
        <f t="shared" si="116"/>
        <v>0.21</v>
      </c>
      <c r="P746" s="12">
        <f t="shared" si="117"/>
        <v>-10.5</v>
      </c>
      <c r="Q746" s="17" t="str">
        <f t="shared" si="119"/>
        <v>Ecart négatif</v>
      </c>
    </row>
    <row r="747" spans="1:17" x14ac:dyDescent="0.3">
      <c r="A747" s="34" t="str">
        <f>base!J747</f>
        <v>LS</v>
      </c>
      <c r="B747" s="34" t="str">
        <f>base!V747</f>
        <v>13008</v>
      </c>
      <c r="C747" s="37">
        <v>45</v>
      </c>
      <c r="D747" s="36">
        <f>base!H747</f>
        <v>141.65</v>
      </c>
      <c r="E747" s="44"/>
      <c r="F747" s="16">
        <f>base!W747</f>
        <v>41.08</v>
      </c>
      <c r="G747" s="11">
        <f t="shared" si="110"/>
        <v>0.29001058948111541</v>
      </c>
      <c r="H747" s="11">
        <f t="shared" si="111"/>
        <v>29.746500000000001</v>
      </c>
      <c r="I747" s="11">
        <f t="shared" si="112"/>
        <v>0.21</v>
      </c>
      <c r="J747" s="12">
        <f t="shared" si="113"/>
        <v>11.333499999999997</v>
      </c>
      <c r="K747" s="17" t="str">
        <f t="shared" si="118"/>
        <v>Ecart positif</v>
      </c>
      <c r="L747" s="16">
        <f>base!X747</f>
        <v>0</v>
      </c>
      <c r="M747" s="11">
        <f t="shared" si="114"/>
        <v>0</v>
      </c>
      <c r="N747" s="11">
        <f t="shared" si="115"/>
        <v>16.998000000000001</v>
      </c>
      <c r="O747" s="11">
        <f t="shared" si="116"/>
        <v>0.12000000000000001</v>
      </c>
      <c r="P747" s="12">
        <f t="shared" si="117"/>
        <v>-16.998000000000001</v>
      </c>
      <c r="Q747" s="17" t="str">
        <f t="shared" si="119"/>
        <v>Ecart négatif</v>
      </c>
    </row>
    <row r="748" spans="1:17" x14ac:dyDescent="0.3">
      <c r="A748" s="34" t="str">
        <f>base!J748</f>
        <v>LS</v>
      </c>
      <c r="B748" s="34" t="str">
        <f>base!V748</f>
        <v>13700</v>
      </c>
      <c r="C748" s="37">
        <v>45</v>
      </c>
      <c r="D748" s="36">
        <f>base!H748</f>
        <v>33.450000000000003</v>
      </c>
      <c r="E748" s="44"/>
      <c r="F748" s="16">
        <f>base!W748</f>
        <v>9.6999999999999993</v>
      </c>
      <c r="G748" s="11">
        <f t="shared" si="110"/>
        <v>0.28998505231689081</v>
      </c>
      <c r="H748" s="11">
        <f t="shared" si="111"/>
        <v>7.0245000000000006</v>
      </c>
      <c r="I748" s="11">
        <f t="shared" si="112"/>
        <v>0.21</v>
      </c>
      <c r="J748" s="12">
        <f t="shared" si="113"/>
        <v>2.6754999999999987</v>
      </c>
      <c r="K748" s="17" t="str">
        <f t="shared" si="118"/>
        <v>Ecart positif</v>
      </c>
      <c r="L748" s="16">
        <f>base!X748</f>
        <v>0</v>
      </c>
      <c r="M748" s="11">
        <f t="shared" si="114"/>
        <v>0</v>
      </c>
      <c r="N748" s="11">
        <f t="shared" si="115"/>
        <v>4.0140000000000002</v>
      </c>
      <c r="O748" s="11">
        <f t="shared" si="116"/>
        <v>0.12</v>
      </c>
      <c r="P748" s="12">
        <f t="shared" si="117"/>
        <v>-4.0140000000000002</v>
      </c>
      <c r="Q748" s="17" t="str">
        <f t="shared" si="119"/>
        <v>Ecart négatif</v>
      </c>
    </row>
    <row r="749" spans="1:17" x14ac:dyDescent="0.3">
      <c r="A749" s="34" t="str">
        <f>base!J749</f>
        <v>LM</v>
      </c>
      <c r="B749" s="34" t="str">
        <f>base!V749</f>
        <v>60740</v>
      </c>
      <c r="C749" s="37">
        <v>45</v>
      </c>
      <c r="D749" s="36">
        <f>base!H749</f>
        <v>69.569999999999993</v>
      </c>
      <c r="E749" s="44"/>
      <c r="F749" s="16">
        <f>base!W749</f>
        <v>13.22</v>
      </c>
      <c r="G749" s="11">
        <f t="shared" si="110"/>
        <v>0.19002443582003739</v>
      </c>
      <c r="H749" s="11">
        <f t="shared" si="111"/>
        <v>14.609699999999998</v>
      </c>
      <c r="I749" s="11">
        <f t="shared" si="112"/>
        <v>0.21</v>
      </c>
      <c r="J749" s="12">
        <f t="shared" si="113"/>
        <v>-1.3896999999999977</v>
      </c>
      <c r="K749" s="17" t="str">
        <f t="shared" si="118"/>
        <v>Ecart négatif</v>
      </c>
      <c r="L749" s="16">
        <f>base!X749</f>
        <v>0</v>
      </c>
      <c r="M749" s="11">
        <f t="shared" si="114"/>
        <v>0</v>
      </c>
      <c r="N749" s="11">
        <f t="shared" si="115"/>
        <v>8.348399999999998</v>
      </c>
      <c r="O749" s="11">
        <f t="shared" si="116"/>
        <v>0.11999999999999998</v>
      </c>
      <c r="P749" s="12">
        <f t="shared" si="117"/>
        <v>-8.348399999999998</v>
      </c>
      <c r="Q749" s="17" t="str">
        <f t="shared" si="119"/>
        <v>Ecart négatif</v>
      </c>
    </row>
    <row r="750" spans="1:17" x14ac:dyDescent="0.3">
      <c r="A750" s="34" t="str">
        <f>base!J750</f>
        <v>LS</v>
      </c>
      <c r="B750" s="34" t="str">
        <f>base!V750</f>
        <v>75014</v>
      </c>
      <c r="C750" s="37">
        <v>75</v>
      </c>
      <c r="D750" s="36">
        <f>base!H750</f>
        <v>137.59</v>
      </c>
      <c r="E750" s="44"/>
      <c r="F750" s="16">
        <f>base!W750</f>
        <v>0</v>
      </c>
      <c r="G750" s="11">
        <f t="shared" si="110"/>
        <v>0</v>
      </c>
      <c r="H750" s="11">
        <f t="shared" si="111"/>
        <v>0</v>
      </c>
      <c r="I750" s="11">
        <f t="shared" si="112"/>
        <v>0</v>
      </c>
      <c r="J750" s="12">
        <f t="shared" si="113"/>
        <v>0</v>
      </c>
      <c r="K750" s="17" t="str">
        <f t="shared" si="118"/>
        <v>Pas d'écart</v>
      </c>
      <c r="L750" s="16">
        <f>base!X750</f>
        <v>0</v>
      </c>
      <c r="M750" s="11">
        <f t="shared" si="114"/>
        <v>0</v>
      </c>
      <c r="N750" s="11">
        <f t="shared" si="115"/>
        <v>0</v>
      </c>
      <c r="O750" s="11">
        <f t="shared" si="116"/>
        <v>0</v>
      </c>
      <c r="P750" s="12">
        <f t="shared" si="117"/>
        <v>0</v>
      </c>
      <c r="Q750" s="17" t="str">
        <f t="shared" si="119"/>
        <v>Pas d'écart</v>
      </c>
    </row>
    <row r="751" spans="1:17" x14ac:dyDescent="0.3">
      <c r="A751" s="34" t="str">
        <f>base!J751</f>
        <v>RS</v>
      </c>
      <c r="B751" s="34" t="str">
        <f>base!V751</f>
        <v>93190</v>
      </c>
      <c r="C751" s="37">
        <v>93</v>
      </c>
      <c r="D751" s="36">
        <f>base!H751</f>
        <v>347</v>
      </c>
      <c r="E751" s="44"/>
      <c r="F751" s="16">
        <f>base!W751</f>
        <v>0</v>
      </c>
      <c r="G751" s="11">
        <f t="shared" si="110"/>
        <v>0</v>
      </c>
      <c r="H751" s="11">
        <f t="shared" si="111"/>
        <v>0</v>
      </c>
      <c r="I751" s="11">
        <f t="shared" si="112"/>
        <v>0</v>
      </c>
      <c r="J751" s="12">
        <f t="shared" si="113"/>
        <v>0</v>
      </c>
      <c r="K751" s="17" t="str">
        <f t="shared" si="118"/>
        <v>Pas d'écart</v>
      </c>
      <c r="L751" s="16">
        <f>base!X751</f>
        <v>0</v>
      </c>
      <c r="M751" s="11">
        <f t="shared" si="114"/>
        <v>0</v>
      </c>
      <c r="N751" s="11">
        <f t="shared" si="115"/>
        <v>0</v>
      </c>
      <c r="O751" s="11">
        <f t="shared" si="116"/>
        <v>0</v>
      </c>
      <c r="P751" s="12">
        <f t="shared" si="117"/>
        <v>0</v>
      </c>
      <c r="Q751" s="17" t="str">
        <f t="shared" si="119"/>
        <v>Pas d'écart</v>
      </c>
    </row>
    <row r="752" spans="1:17" x14ac:dyDescent="0.3">
      <c r="A752" s="34">
        <f>base!J752</f>
        <v>0</v>
      </c>
      <c r="B752" s="34" t="str">
        <f>base!V752</f>
        <v>77184</v>
      </c>
      <c r="C752" s="37">
        <v>77</v>
      </c>
      <c r="D752" s="36">
        <f>base!H752</f>
        <v>93</v>
      </c>
      <c r="E752" s="44"/>
      <c r="F752" s="16">
        <f>base!W752</f>
        <v>0</v>
      </c>
      <c r="G752" s="11">
        <f t="shared" si="110"/>
        <v>0</v>
      </c>
      <c r="H752" s="11">
        <f t="shared" si="111"/>
        <v>0</v>
      </c>
      <c r="I752" s="11">
        <f t="shared" si="112"/>
        <v>0</v>
      </c>
      <c r="J752" s="12">
        <f t="shared" si="113"/>
        <v>0</v>
      </c>
      <c r="K752" s="17" t="str">
        <f t="shared" si="118"/>
        <v>Pas d'écart</v>
      </c>
      <c r="L752" s="16">
        <f>base!X752</f>
        <v>0</v>
      </c>
      <c r="M752" s="11">
        <f t="shared" si="114"/>
        <v>0</v>
      </c>
      <c r="N752" s="11">
        <f t="shared" si="115"/>
        <v>0</v>
      </c>
      <c r="O752" s="11">
        <f t="shared" si="116"/>
        <v>0</v>
      </c>
      <c r="P752" s="12">
        <f t="shared" si="117"/>
        <v>0</v>
      </c>
      <c r="Q752" s="17" t="str">
        <f t="shared" si="119"/>
        <v>Pas d'écart</v>
      </c>
    </row>
    <row r="753" spans="1:17" x14ac:dyDescent="0.3">
      <c r="A753" s="34" t="str">
        <f>base!J753</f>
        <v>LM</v>
      </c>
      <c r="B753" s="34" t="str">
        <f>base!V753</f>
        <v>75014</v>
      </c>
      <c r="C753" s="37">
        <v>75</v>
      </c>
      <c r="D753" s="36">
        <f>base!H753</f>
        <v>19.649999999999999</v>
      </c>
      <c r="E753" s="44"/>
      <c r="F753" s="16">
        <f>base!W753</f>
        <v>0</v>
      </c>
      <c r="G753" s="11">
        <f t="shared" si="110"/>
        <v>0</v>
      </c>
      <c r="H753" s="11">
        <f t="shared" si="111"/>
        <v>0</v>
      </c>
      <c r="I753" s="11">
        <f t="shared" si="112"/>
        <v>0</v>
      </c>
      <c r="J753" s="12">
        <f t="shared" si="113"/>
        <v>0</v>
      </c>
      <c r="K753" s="17" t="str">
        <f t="shared" si="118"/>
        <v>Pas d'écart</v>
      </c>
      <c r="L753" s="16">
        <f>base!X753</f>
        <v>0</v>
      </c>
      <c r="M753" s="11">
        <f t="shared" si="114"/>
        <v>0</v>
      </c>
      <c r="N753" s="11">
        <f t="shared" si="115"/>
        <v>0</v>
      </c>
      <c r="O753" s="11">
        <f t="shared" si="116"/>
        <v>0</v>
      </c>
      <c r="P753" s="12">
        <f t="shared" si="117"/>
        <v>0</v>
      </c>
      <c r="Q753" s="17" t="str">
        <f t="shared" si="119"/>
        <v>Pas d'écart</v>
      </c>
    </row>
    <row r="754" spans="1:17" x14ac:dyDescent="0.3">
      <c r="A754" s="34" t="str">
        <f>base!J754</f>
        <v>LM</v>
      </c>
      <c r="B754" s="34" t="str">
        <f>base!V754</f>
        <v>75002</v>
      </c>
      <c r="C754" s="37">
        <v>75</v>
      </c>
      <c r="D754" s="36">
        <f>base!H754</f>
        <v>25</v>
      </c>
      <c r="E754" s="44"/>
      <c r="F754" s="16">
        <f>base!W754</f>
        <v>0</v>
      </c>
      <c r="G754" s="11">
        <f t="shared" si="110"/>
        <v>0</v>
      </c>
      <c r="H754" s="11">
        <f t="shared" si="111"/>
        <v>0</v>
      </c>
      <c r="I754" s="11">
        <f t="shared" si="112"/>
        <v>0</v>
      </c>
      <c r="J754" s="12">
        <f t="shared" si="113"/>
        <v>0</v>
      </c>
      <c r="K754" s="17" t="str">
        <f t="shared" si="118"/>
        <v>Pas d'écart</v>
      </c>
      <c r="L754" s="16">
        <f>base!X754</f>
        <v>0</v>
      </c>
      <c r="M754" s="11">
        <f t="shared" si="114"/>
        <v>0</v>
      </c>
      <c r="N754" s="11">
        <f t="shared" si="115"/>
        <v>0</v>
      </c>
      <c r="O754" s="11">
        <f t="shared" si="116"/>
        <v>0</v>
      </c>
      <c r="P754" s="12">
        <f t="shared" si="117"/>
        <v>0</v>
      </c>
      <c r="Q754" s="17" t="str">
        <f t="shared" si="119"/>
        <v>Pas d'écart</v>
      </c>
    </row>
    <row r="755" spans="1:17" x14ac:dyDescent="0.3">
      <c r="A755" s="34" t="str">
        <f>base!J755</f>
        <v>RM</v>
      </c>
      <c r="B755" s="34" t="str">
        <f>base!V755</f>
        <v>25370</v>
      </c>
      <c r="C755" s="37">
        <v>25</v>
      </c>
      <c r="D755" s="36">
        <f>base!H755</f>
        <v>151</v>
      </c>
      <c r="E755" s="44"/>
      <c r="F755" s="16">
        <f>base!W755</f>
        <v>0</v>
      </c>
      <c r="G755" s="11">
        <f t="shared" si="110"/>
        <v>0</v>
      </c>
      <c r="H755" s="11">
        <f t="shared" si="111"/>
        <v>36.24</v>
      </c>
      <c r="I755" s="11">
        <f t="shared" si="112"/>
        <v>0.24000000000000002</v>
      </c>
      <c r="J755" s="12">
        <f t="shared" si="113"/>
        <v>-36.24</v>
      </c>
      <c r="K755" s="17" t="str">
        <f t="shared" si="118"/>
        <v>Ecart négatif</v>
      </c>
      <c r="L755" s="16">
        <f>base!X755</f>
        <v>0</v>
      </c>
      <c r="M755" s="11">
        <f t="shared" si="114"/>
        <v>0</v>
      </c>
      <c r="N755" s="11">
        <f t="shared" si="115"/>
        <v>18.12</v>
      </c>
      <c r="O755" s="11">
        <f t="shared" si="116"/>
        <v>0.12000000000000001</v>
      </c>
      <c r="P755" s="12">
        <f t="shared" si="117"/>
        <v>-18.12</v>
      </c>
      <c r="Q755" s="17" t="str">
        <f t="shared" si="119"/>
        <v>Ecart négatif</v>
      </c>
    </row>
    <row r="756" spans="1:17" x14ac:dyDescent="0.3">
      <c r="A756" s="34">
        <f>base!J756</f>
        <v>0</v>
      </c>
      <c r="B756" s="34" t="str">
        <f>base!V756</f>
        <v>77184</v>
      </c>
      <c r="C756" s="37">
        <v>77</v>
      </c>
      <c r="D756" s="36">
        <f>base!H756</f>
        <v>33.630000000000003</v>
      </c>
      <c r="E756" s="44"/>
      <c r="F756" s="16">
        <f>base!W756</f>
        <v>0</v>
      </c>
      <c r="G756" s="11">
        <f t="shared" si="110"/>
        <v>0</v>
      </c>
      <c r="H756" s="11">
        <f t="shared" si="111"/>
        <v>0</v>
      </c>
      <c r="I756" s="11">
        <f t="shared" si="112"/>
        <v>0</v>
      </c>
      <c r="J756" s="12">
        <f t="shared" si="113"/>
        <v>0</v>
      </c>
      <c r="K756" s="17" t="str">
        <f t="shared" si="118"/>
        <v>Pas d'écart</v>
      </c>
      <c r="L756" s="16">
        <f>base!X756</f>
        <v>0</v>
      </c>
      <c r="M756" s="11">
        <f t="shared" si="114"/>
        <v>0</v>
      </c>
      <c r="N756" s="11">
        <f t="shared" si="115"/>
        <v>0</v>
      </c>
      <c r="O756" s="11">
        <f t="shared" si="116"/>
        <v>0</v>
      </c>
      <c r="P756" s="12">
        <f t="shared" si="117"/>
        <v>0</v>
      </c>
      <c r="Q756" s="17" t="str">
        <f t="shared" si="119"/>
        <v>Pas d'écart</v>
      </c>
    </row>
    <row r="757" spans="1:17" x14ac:dyDescent="0.3">
      <c r="A757" s="34">
        <f>base!J757</f>
        <v>0</v>
      </c>
      <c r="B757" s="34" t="str">
        <f>base!V757</f>
        <v>77184</v>
      </c>
      <c r="C757" s="37">
        <v>77</v>
      </c>
      <c r="D757" s="36">
        <f>base!H757</f>
        <v>31.6</v>
      </c>
      <c r="E757" s="44"/>
      <c r="F757" s="16">
        <f>base!W757</f>
        <v>0</v>
      </c>
      <c r="G757" s="11">
        <f t="shared" si="110"/>
        <v>0</v>
      </c>
      <c r="H757" s="11">
        <f t="shared" si="111"/>
        <v>0</v>
      </c>
      <c r="I757" s="11">
        <f t="shared" si="112"/>
        <v>0</v>
      </c>
      <c r="J757" s="12">
        <f t="shared" si="113"/>
        <v>0</v>
      </c>
      <c r="K757" s="17" t="str">
        <f t="shared" si="118"/>
        <v>Pas d'écart</v>
      </c>
      <c r="L757" s="16">
        <f>base!X757</f>
        <v>0</v>
      </c>
      <c r="M757" s="11">
        <f t="shared" si="114"/>
        <v>0</v>
      </c>
      <c r="N757" s="11">
        <f t="shared" si="115"/>
        <v>0</v>
      </c>
      <c r="O757" s="11">
        <f t="shared" si="116"/>
        <v>0</v>
      </c>
      <c r="P757" s="12">
        <f t="shared" si="117"/>
        <v>0</v>
      </c>
      <c r="Q757" s="17" t="str">
        <f t="shared" si="119"/>
        <v>Pas d'écart</v>
      </c>
    </row>
    <row r="758" spans="1:17" x14ac:dyDescent="0.3">
      <c r="A758" s="34" t="str">
        <f>base!J758</f>
        <v>LS</v>
      </c>
      <c r="B758" s="34" t="str">
        <f>base!V758</f>
        <v>27340</v>
      </c>
      <c r="C758" s="37">
        <v>45</v>
      </c>
      <c r="D758" s="36">
        <f>base!H758</f>
        <v>120.29</v>
      </c>
      <c r="E758" s="44"/>
      <c r="F758" s="16">
        <f>base!W758</f>
        <v>20.45</v>
      </c>
      <c r="G758" s="11">
        <f t="shared" si="110"/>
        <v>0.17000581927009725</v>
      </c>
      <c r="H758" s="11">
        <f t="shared" si="111"/>
        <v>25.260899999999999</v>
      </c>
      <c r="I758" s="11">
        <f t="shared" si="112"/>
        <v>0.21</v>
      </c>
      <c r="J758" s="12">
        <f t="shared" si="113"/>
        <v>-4.8109000000000002</v>
      </c>
      <c r="K758" s="17" t="str">
        <f t="shared" si="118"/>
        <v>Ecart négatif</v>
      </c>
      <c r="L758" s="16">
        <f>base!X758</f>
        <v>0</v>
      </c>
      <c r="M758" s="11">
        <f t="shared" si="114"/>
        <v>0</v>
      </c>
      <c r="N758" s="11">
        <f t="shared" si="115"/>
        <v>14.434800000000001</v>
      </c>
      <c r="O758" s="11">
        <f t="shared" si="116"/>
        <v>0.12</v>
      </c>
      <c r="P758" s="12">
        <f t="shared" si="117"/>
        <v>-14.434800000000001</v>
      </c>
      <c r="Q758" s="17" t="str">
        <f t="shared" si="119"/>
        <v>Ecart négatif</v>
      </c>
    </row>
    <row r="759" spans="1:17" x14ac:dyDescent="0.3">
      <c r="A759" s="34" t="str">
        <f>base!J759</f>
        <v>LS</v>
      </c>
      <c r="B759" s="34" t="str">
        <f>base!V759</f>
        <v>80000</v>
      </c>
      <c r="C759" s="37">
        <v>50</v>
      </c>
      <c r="D759" s="36">
        <f>base!H759</f>
        <v>153.51</v>
      </c>
      <c r="E759" s="44"/>
      <c r="F759" s="16">
        <f>base!W759</f>
        <v>29.17</v>
      </c>
      <c r="G759" s="11">
        <f t="shared" si="110"/>
        <v>0.19002019412416132</v>
      </c>
      <c r="H759" s="11">
        <f t="shared" si="111"/>
        <v>26.096700000000002</v>
      </c>
      <c r="I759" s="11">
        <f t="shared" si="112"/>
        <v>0.17</v>
      </c>
      <c r="J759" s="12">
        <f t="shared" si="113"/>
        <v>3.0732999999999997</v>
      </c>
      <c r="K759" s="17" t="str">
        <f t="shared" si="118"/>
        <v>Ecart positif</v>
      </c>
      <c r="L759" s="16">
        <f>base!X759</f>
        <v>0</v>
      </c>
      <c r="M759" s="11">
        <f t="shared" si="114"/>
        <v>0</v>
      </c>
      <c r="N759" s="11">
        <f t="shared" si="115"/>
        <v>26.096700000000002</v>
      </c>
      <c r="O759" s="11">
        <f t="shared" si="116"/>
        <v>0.17</v>
      </c>
      <c r="P759" s="12">
        <f t="shared" si="117"/>
        <v>-26.096700000000002</v>
      </c>
      <c r="Q759" s="17" t="str">
        <f t="shared" si="119"/>
        <v>Ecart négatif</v>
      </c>
    </row>
    <row r="760" spans="1:17" x14ac:dyDescent="0.3">
      <c r="A760" s="34" t="str">
        <f>base!J760</f>
        <v>LM</v>
      </c>
      <c r="B760" s="34" t="str">
        <f>base!V760</f>
        <v>75009</v>
      </c>
      <c r="C760" s="37">
        <v>75</v>
      </c>
      <c r="D760" s="36">
        <f>base!H760</f>
        <v>28.26</v>
      </c>
      <c r="E760" s="44"/>
      <c r="F760" s="16">
        <f>base!W760</f>
        <v>0</v>
      </c>
      <c r="G760" s="11">
        <f t="shared" si="110"/>
        <v>0</v>
      </c>
      <c r="H760" s="11">
        <f t="shared" si="111"/>
        <v>0</v>
      </c>
      <c r="I760" s="11">
        <f t="shared" si="112"/>
        <v>0</v>
      </c>
      <c r="J760" s="12">
        <f t="shared" si="113"/>
        <v>0</v>
      </c>
      <c r="K760" s="17" t="str">
        <f t="shared" si="118"/>
        <v>Pas d'écart</v>
      </c>
      <c r="L760" s="16">
        <f>base!X760</f>
        <v>0</v>
      </c>
      <c r="M760" s="11">
        <f t="shared" si="114"/>
        <v>0</v>
      </c>
      <c r="N760" s="11">
        <f t="shared" si="115"/>
        <v>0</v>
      </c>
      <c r="O760" s="11">
        <f t="shared" si="116"/>
        <v>0</v>
      </c>
      <c r="P760" s="12">
        <f t="shared" si="117"/>
        <v>0</v>
      </c>
      <c r="Q760" s="17" t="str">
        <f t="shared" si="119"/>
        <v>Pas d'écart</v>
      </c>
    </row>
    <row r="761" spans="1:17" x14ac:dyDescent="0.3">
      <c r="A761" s="34" t="str">
        <f>base!J761</f>
        <v>LS</v>
      </c>
      <c r="B761" s="34" t="str">
        <f>base!V761</f>
        <v>42000</v>
      </c>
      <c r="C761" s="37">
        <v>76</v>
      </c>
      <c r="D761" s="36">
        <f>base!H761</f>
        <v>40</v>
      </c>
      <c r="E761" s="44"/>
      <c r="F761" s="16">
        <f>base!W761</f>
        <v>10.8</v>
      </c>
      <c r="G761" s="11">
        <f t="shared" si="110"/>
        <v>0.27</v>
      </c>
      <c r="H761" s="11">
        <f t="shared" si="111"/>
        <v>6.8000000000000007</v>
      </c>
      <c r="I761" s="11">
        <f t="shared" si="112"/>
        <v>0.17</v>
      </c>
      <c r="J761" s="12">
        <f t="shared" si="113"/>
        <v>4</v>
      </c>
      <c r="K761" s="17" t="str">
        <f t="shared" si="118"/>
        <v>Ecart positif</v>
      </c>
      <c r="L761" s="16">
        <f>base!X761</f>
        <v>0</v>
      </c>
      <c r="M761" s="11">
        <f t="shared" si="114"/>
        <v>0</v>
      </c>
      <c r="N761" s="11">
        <f t="shared" si="115"/>
        <v>6.8000000000000007</v>
      </c>
      <c r="O761" s="11">
        <f t="shared" si="116"/>
        <v>0.17</v>
      </c>
      <c r="P761" s="12">
        <f t="shared" si="117"/>
        <v>-6.8000000000000007</v>
      </c>
      <c r="Q761" s="17" t="str">
        <f t="shared" si="119"/>
        <v>Ecart négatif</v>
      </c>
    </row>
    <row r="762" spans="1:17" x14ac:dyDescent="0.3">
      <c r="A762" s="34" t="str">
        <f>base!J762</f>
        <v>RS</v>
      </c>
      <c r="B762" s="34" t="str">
        <f>base!V762</f>
        <v>49000</v>
      </c>
      <c r="C762" s="37">
        <v>49</v>
      </c>
      <c r="D762" s="36">
        <f>base!H762</f>
        <v>40</v>
      </c>
      <c r="E762" s="44"/>
      <c r="F762" s="16">
        <f>base!W762</f>
        <v>0</v>
      </c>
      <c r="G762" s="11">
        <f t="shared" si="110"/>
        <v>0</v>
      </c>
      <c r="H762" s="11">
        <f t="shared" si="111"/>
        <v>10.8</v>
      </c>
      <c r="I762" s="11">
        <f t="shared" si="112"/>
        <v>0.27</v>
      </c>
      <c r="J762" s="12">
        <f t="shared" si="113"/>
        <v>-10.8</v>
      </c>
      <c r="K762" s="17" t="str">
        <f t="shared" si="118"/>
        <v>Ecart négatif</v>
      </c>
      <c r="L762" s="16">
        <f>base!X762</f>
        <v>0</v>
      </c>
      <c r="M762" s="11">
        <f t="shared" si="114"/>
        <v>0</v>
      </c>
      <c r="N762" s="11">
        <f t="shared" si="115"/>
        <v>0</v>
      </c>
      <c r="O762" s="11">
        <f t="shared" si="116"/>
        <v>0</v>
      </c>
      <c r="P762" s="12">
        <f t="shared" si="117"/>
        <v>0</v>
      </c>
      <c r="Q762" s="17" t="str">
        <f t="shared" si="119"/>
        <v>Pas d'écart</v>
      </c>
    </row>
    <row r="763" spans="1:17" x14ac:dyDescent="0.3">
      <c r="A763" s="34" t="str">
        <f>base!J763</f>
        <v>DRM</v>
      </c>
      <c r="B763" s="34" t="str">
        <f>base!V763</f>
        <v>76700</v>
      </c>
      <c r="C763" s="37">
        <v>76</v>
      </c>
      <c r="D763" s="36">
        <f>base!H763</f>
        <v>140</v>
      </c>
      <c r="E763" s="44"/>
      <c r="F763" s="16">
        <f>base!W763</f>
        <v>0</v>
      </c>
      <c r="G763" s="11">
        <f t="shared" si="110"/>
        <v>0</v>
      </c>
      <c r="H763" s="11">
        <f t="shared" si="111"/>
        <v>23.8</v>
      </c>
      <c r="I763" s="11">
        <f t="shared" si="112"/>
        <v>0.17</v>
      </c>
      <c r="J763" s="12">
        <f t="shared" si="113"/>
        <v>-23.8</v>
      </c>
      <c r="K763" s="17" t="str">
        <f t="shared" si="118"/>
        <v>Ecart négatif</v>
      </c>
      <c r="L763" s="16">
        <f>base!X763</f>
        <v>0</v>
      </c>
      <c r="M763" s="11">
        <f t="shared" si="114"/>
        <v>0</v>
      </c>
      <c r="N763" s="11">
        <f t="shared" si="115"/>
        <v>23.8</v>
      </c>
      <c r="O763" s="11">
        <f t="shared" si="116"/>
        <v>0.17</v>
      </c>
      <c r="P763" s="12">
        <f t="shared" si="117"/>
        <v>-23.8</v>
      </c>
      <c r="Q763" s="17" t="str">
        <f t="shared" si="119"/>
        <v>Ecart négatif</v>
      </c>
    </row>
    <row r="764" spans="1:17" x14ac:dyDescent="0.3">
      <c r="A764" s="34" t="str">
        <f>base!J764</f>
        <v>LM</v>
      </c>
      <c r="B764" s="34" t="str">
        <f>base!V764</f>
        <v>38590</v>
      </c>
      <c r="C764" s="37">
        <v>60</v>
      </c>
      <c r="D764" s="36">
        <f>base!H764</f>
        <v>25.8</v>
      </c>
      <c r="E764" s="44"/>
      <c r="F764" s="16">
        <f>base!W764</f>
        <v>6.97</v>
      </c>
      <c r="G764" s="11">
        <f t="shared" si="110"/>
        <v>0.27015503875968988</v>
      </c>
      <c r="H764" s="11">
        <f t="shared" si="111"/>
        <v>4.9020000000000001</v>
      </c>
      <c r="I764" s="11">
        <f t="shared" si="112"/>
        <v>0.19</v>
      </c>
      <c r="J764" s="12">
        <f t="shared" si="113"/>
        <v>2.0679999999999996</v>
      </c>
      <c r="K764" s="17" t="str">
        <f t="shared" si="118"/>
        <v>Ecart positif</v>
      </c>
      <c r="L764" s="16">
        <f>base!X764</f>
        <v>0</v>
      </c>
      <c r="M764" s="11">
        <f t="shared" si="114"/>
        <v>0</v>
      </c>
      <c r="N764" s="11">
        <f t="shared" si="115"/>
        <v>0</v>
      </c>
      <c r="O764" s="11">
        <f t="shared" si="116"/>
        <v>0</v>
      </c>
      <c r="P764" s="12">
        <f t="shared" si="117"/>
        <v>0</v>
      </c>
      <c r="Q764" s="17" t="str">
        <f t="shared" si="119"/>
        <v>Pas d'écart</v>
      </c>
    </row>
    <row r="765" spans="1:17" x14ac:dyDescent="0.3">
      <c r="A765" s="34" t="str">
        <f>base!J765</f>
        <v>RM</v>
      </c>
      <c r="B765" s="34" t="str">
        <f>base!V765</f>
        <v>13200</v>
      </c>
      <c r="C765" s="37">
        <v>13</v>
      </c>
      <c r="D765" s="36">
        <f>base!H765</f>
        <v>70</v>
      </c>
      <c r="E765" s="44"/>
      <c r="F765" s="16">
        <f>base!W765</f>
        <v>0</v>
      </c>
      <c r="G765" s="11">
        <f t="shared" si="110"/>
        <v>0</v>
      </c>
      <c r="H765" s="11">
        <f t="shared" si="111"/>
        <v>20.299999999999997</v>
      </c>
      <c r="I765" s="11">
        <f t="shared" si="112"/>
        <v>0.28999999999999998</v>
      </c>
      <c r="J765" s="12">
        <f t="shared" si="113"/>
        <v>-20.299999999999997</v>
      </c>
      <c r="K765" s="17" t="str">
        <f t="shared" si="118"/>
        <v>Ecart négatif</v>
      </c>
      <c r="L765" s="16">
        <f>base!X765</f>
        <v>0</v>
      </c>
      <c r="M765" s="11">
        <f t="shared" si="114"/>
        <v>0</v>
      </c>
      <c r="N765" s="11">
        <f t="shared" si="115"/>
        <v>13.3</v>
      </c>
      <c r="O765" s="11">
        <f t="shared" si="116"/>
        <v>0.19</v>
      </c>
      <c r="P765" s="12">
        <f t="shared" si="117"/>
        <v>-13.3</v>
      </c>
      <c r="Q765" s="17" t="str">
        <f t="shared" si="119"/>
        <v>Ecart négatif</v>
      </c>
    </row>
    <row r="766" spans="1:17" x14ac:dyDescent="0.3">
      <c r="A766" s="34" t="str">
        <f>base!J766</f>
        <v>LS</v>
      </c>
      <c r="B766" s="34" t="str">
        <f>base!V766</f>
        <v>25000</v>
      </c>
      <c r="C766" s="37">
        <v>80</v>
      </c>
      <c r="D766" s="36">
        <f>base!H766</f>
        <v>54.4</v>
      </c>
      <c r="E766" s="44"/>
      <c r="F766" s="16">
        <f>base!W766</f>
        <v>13.06</v>
      </c>
      <c r="G766" s="11">
        <f t="shared" si="110"/>
        <v>0.24007352941176471</v>
      </c>
      <c r="H766" s="11">
        <f t="shared" si="111"/>
        <v>10.336</v>
      </c>
      <c r="I766" s="11">
        <f t="shared" si="112"/>
        <v>0.19</v>
      </c>
      <c r="J766" s="12">
        <f t="shared" si="113"/>
        <v>2.7240000000000002</v>
      </c>
      <c r="K766" s="17" t="str">
        <f t="shared" si="118"/>
        <v>Ecart positif</v>
      </c>
      <c r="L766" s="16">
        <f>base!X766</f>
        <v>0</v>
      </c>
      <c r="M766" s="11">
        <f t="shared" si="114"/>
        <v>0</v>
      </c>
      <c r="N766" s="11">
        <f t="shared" si="115"/>
        <v>0</v>
      </c>
      <c r="O766" s="11">
        <f t="shared" si="116"/>
        <v>0</v>
      </c>
      <c r="P766" s="12">
        <f t="shared" si="117"/>
        <v>0</v>
      </c>
      <c r="Q766" s="17" t="str">
        <f t="shared" si="119"/>
        <v>Pas d'écart</v>
      </c>
    </row>
    <row r="767" spans="1:17" x14ac:dyDescent="0.3">
      <c r="A767" s="34">
        <f>base!J767</f>
        <v>0</v>
      </c>
      <c r="B767" s="34" t="str">
        <f>base!V767</f>
        <v>77184</v>
      </c>
      <c r="C767" s="37">
        <v>77</v>
      </c>
      <c r="D767" s="36">
        <f>base!H767</f>
        <v>27.72</v>
      </c>
      <c r="E767" s="44"/>
      <c r="F767" s="16">
        <f>base!W767</f>
        <v>0</v>
      </c>
      <c r="G767" s="11">
        <f t="shared" si="110"/>
        <v>0</v>
      </c>
      <c r="H767" s="11">
        <f t="shared" si="111"/>
        <v>0</v>
      </c>
      <c r="I767" s="11">
        <f t="shared" si="112"/>
        <v>0</v>
      </c>
      <c r="J767" s="12">
        <f t="shared" si="113"/>
        <v>0</v>
      </c>
      <c r="K767" s="17" t="str">
        <f t="shared" si="118"/>
        <v>Pas d'écart</v>
      </c>
      <c r="L767" s="16">
        <f>base!X767</f>
        <v>0</v>
      </c>
      <c r="M767" s="11">
        <f t="shared" si="114"/>
        <v>0</v>
      </c>
      <c r="N767" s="11">
        <f t="shared" si="115"/>
        <v>0</v>
      </c>
      <c r="O767" s="11">
        <f t="shared" si="116"/>
        <v>0</v>
      </c>
      <c r="P767" s="12">
        <f t="shared" si="117"/>
        <v>0</v>
      </c>
      <c r="Q767" s="17" t="str">
        <f t="shared" si="119"/>
        <v>Pas d'écart</v>
      </c>
    </row>
    <row r="768" spans="1:17" x14ac:dyDescent="0.3">
      <c r="A768" s="34" t="str">
        <f>base!J768</f>
        <v>DLM</v>
      </c>
      <c r="B768" s="34" t="str">
        <f>base!V768</f>
        <v>73000</v>
      </c>
      <c r="C768" s="37">
        <v>73</v>
      </c>
      <c r="D768" s="36">
        <f>base!H768</f>
        <v>173.44</v>
      </c>
      <c r="E768" s="44"/>
      <c r="F768" s="16">
        <f>base!W768</f>
        <v>0</v>
      </c>
      <c r="G768" s="11">
        <f t="shared" si="110"/>
        <v>0</v>
      </c>
      <c r="H768" s="11">
        <f t="shared" si="111"/>
        <v>46.828800000000001</v>
      </c>
      <c r="I768" s="11">
        <f t="shared" si="112"/>
        <v>0.27</v>
      </c>
      <c r="J768" s="12">
        <f t="shared" si="113"/>
        <v>-46.828800000000001</v>
      </c>
      <c r="K768" s="17" t="str">
        <f t="shared" si="118"/>
        <v>Ecart négatif</v>
      </c>
      <c r="L768" s="16">
        <f>base!X768</f>
        <v>0</v>
      </c>
      <c r="M768" s="11">
        <f t="shared" si="114"/>
        <v>0</v>
      </c>
      <c r="N768" s="11">
        <f t="shared" si="115"/>
        <v>0</v>
      </c>
      <c r="O768" s="11">
        <f t="shared" si="116"/>
        <v>0</v>
      </c>
      <c r="P768" s="12">
        <f t="shared" si="117"/>
        <v>0</v>
      </c>
      <c r="Q768" s="17" t="str">
        <f t="shared" si="119"/>
        <v>Pas d'écart</v>
      </c>
    </row>
    <row r="769" spans="1:18" x14ac:dyDescent="0.3">
      <c r="A769" s="34" t="str">
        <f>base!J769</f>
        <v>LM</v>
      </c>
      <c r="B769" s="34" t="str">
        <f>base!V769</f>
        <v>69005</v>
      </c>
      <c r="C769" s="37">
        <v>62</v>
      </c>
      <c r="D769" s="36">
        <f>base!H769</f>
        <v>33.35</v>
      </c>
      <c r="E769" s="44"/>
      <c r="F769" s="16">
        <f>base!W769</f>
        <v>9</v>
      </c>
      <c r="G769" s="11">
        <f t="shared" si="110"/>
        <v>0.26986506746626687</v>
      </c>
      <c r="H769" s="11">
        <f t="shared" si="111"/>
        <v>6.3365</v>
      </c>
      <c r="I769" s="11">
        <f t="shared" si="112"/>
        <v>0.19</v>
      </c>
      <c r="J769" s="12">
        <f t="shared" si="113"/>
        <v>2.6635</v>
      </c>
      <c r="K769" s="17" t="str">
        <f t="shared" si="118"/>
        <v>Ecart positif</v>
      </c>
      <c r="L769" s="16">
        <f>base!X769</f>
        <v>0</v>
      </c>
      <c r="M769" s="11">
        <f t="shared" si="114"/>
        <v>0</v>
      </c>
      <c r="N769" s="11">
        <f t="shared" si="115"/>
        <v>0</v>
      </c>
      <c r="O769" s="11">
        <f t="shared" si="116"/>
        <v>0</v>
      </c>
      <c r="P769" s="12">
        <f t="shared" si="117"/>
        <v>0</v>
      </c>
      <c r="Q769" s="17" t="str">
        <f t="shared" si="119"/>
        <v>Pas d'écart</v>
      </c>
    </row>
    <row r="770" spans="1:18" x14ac:dyDescent="0.3">
      <c r="A770" s="34" t="str">
        <f>base!J770</f>
        <v>RS</v>
      </c>
      <c r="B770" s="34" t="str">
        <f>base!V770</f>
        <v>94270</v>
      </c>
      <c r="C770" s="37">
        <v>94</v>
      </c>
      <c r="D770" s="36">
        <f>base!H770</f>
        <v>88.3</v>
      </c>
      <c r="E770" s="44"/>
      <c r="F770" s="16">
        <f>base!W770</f>
        <v>0</v>
      </c>
      <c r="G770" s="11">
        <f t="shared" ref="G770:G833" si="120">F770/D770</f>
        <v>0</v>
      </c>
      <c r="H770" s="11">
        <f t="shared" ref="H770:H833" si="121">VLOOKUP(C770,tout_cout_traction,2,FALSE)*D770</f>
        <v>0</v>
      </c>
      <c r="I770" s="11">
        <f t="shared" ref="I770:I833" si="122">H770/D770</f>
        <v>0</v>
      </c>
      <c r="J770" s="12">
        <f t="shared" ref="J770:J833" si="123">F770-H770</f>
        <v>0</v>
      </c>
      <c r="K770" s="17" t="str">
        <f t="shared" si="118"/>
        <v>Pas d'écart</v>
      </c>
      <c r="L770" s="16">
        <f>base!X770</f>
        <v>0</v>
      </c>
      <c r="M770" s="11">
        <f t="shared" ref="M770:M833" si="124">L770/D770</f>
        <v>0</v>
      </c>
      <c r="N770" s="11">
        <f t="shared" ref="N770:N833" si="125">VLOOKUP(C770,tout_cout_traction,3,FALSE)*D770</f>
        <v>0</v>
      </c>
      <c r="O770" s="11">
        <f t="shared" ref="O770:O833" si="126">N770/D770</f>
        <v>0</v>
      </c>
      <c r="P770" s="12">
        <f t="shared" ref="P770:P833" si="127">L770-N770</f>
        <v>0</v>
      </c>
      <c r="Q770" s="17" t="str">
        <f t="shared" si="119"/>
        <v>Pas d'écart</v>
      </c>
    </row>
    <row r="771" spans="1:18" x14ac:dyDescent="0.3">
      <c r="A771" s="34" t="str">
        <f>base!J771</f>
        <v>LS</v>
      </c>
      <c r="B771" s="34" t="str">
        <f>base!V771</f>
        <v>50550</v>
      </c>
      <c r="C771" s="37">
        <v>60</v>
      </c>
      <c r="D771" s="36">
        <f>base!H771</f>
        <v>36.17</v>
      </c>
      <c r="E771" s="44"/>
      <c r="F771" s="16">
        <f>base!W771</f>
        <v>6.15</v>
      </c>
      <c r="G771" s="11">
        <f t="shared" si="120"/>
        <v>0.17003041194359966</v>
      </c>
      <c r="H771" s="11">
        <f t="shared" si="121"/>
        <v>6.8723000000000001</v>
      </c>
      <c r="I771" s="11">
        <f t="shared" si="122"/>
        <v>0.19</v>
      </c>
      <c r="J771" s="12">
        <f t="shared" si="123"/>
        <v>-0.72229999999999972</v>
      </c>
      <c r="K771" s="17" t="str">
        <f t="shared" ref="K771:K834" si="128">IF(H771=F771,"Pas d'écart",IF(H771&lt;F771,"Ecart positif",IF(H771&gt;F771,"Ecart négatif")))</f>
        <v>Ecart négatif</v>
      </c>
      <c r="L771" s="16">
        <f>base!X771</f>
        <v>0</v>
      </c>
      <c r="M771" s="11">
        <f t="shared" si="124"/>
        <v>0</v>
      </c>
      <c r="N771" s="11">
        <f t="shared" si="125"/>
        <v>0</v>
      </c>
      <c r="O771" s="11">
        <f t="shared" si="126"/>
        <v>0</v>
      </c>
      <c r="P771" s="12">
        <f t="shared" si="127"/>
        <v>0</v>
      </c>
      <c r="Q771" s="17" t="str">
        <f t="shared" ref="Q771:Q834" si="129">IF(N771=L771,"Pas d'écart",IF(N771&lt;L771,"Ecart positif",IF(N771&gt;L771,"Ecart négatif")))</f>
        <v>Pas d'écart</v>
      </c>
    </row>
    <row r="772" spans="1:18" x14ac:dyDescent="0.3">
      <c r="A772" s="34" t="str">
        <f>base!J772</f>
        <v>DRM</v>
      </c>
      <c r="B772" s="34" t="str">
        <f>base!V772</f>
        <v>92200</v>
      </c>
      <c r="C772" s="37">
        <v>92</v>
      </c>
      <c r="D772" s="36">
        <f>base!H772</f>
        <v>124.04</v>
      </c>
      <c r="E772" s="44"/>
      <c r="F772" s="16">
        <f>base!W772</f>
        <v>0</v>
      </c>
      <c r="G772" s="11">
        <f t="shared" si="120"/>
        <v>0</v>
      </c>
      <c r="H772" s="11">
        <f t="shared" si="121"/>
        <v>0</v>
      </c>
      <c r="I772" s="11">
        <f t="shared" si="122"/>
        <v>0</v>
      </c>
      <c r="J772" s="12">
        <f t="shared" si="123"/>
        <v>0</v>
      </c>
      <c r="K772" s="17" t="str">
        <f t="shared" si="128"/>
        <v>Pas d'écart</v>
      </c>
      <c r="L772" s="16">
        <f>base!X772</f>
        <v>0</v>
      </c>
      <c r="M772" s="11">
        <f t="shared" si="124"/>
        <v>0</v>
      </c>
      <c r="N772" s="11">
        <f t="shared" si="125"/>
        <v>0</v>
      </c>
      <c r="O772" s="11">
        <f t="shared" si="126"/>
        <v>0</v>
      </c>
      <c r="P772" s="12">
        <f t="shared" si="127"/>
        <v>0</v>
      </c>
      <c r="Q772" s="17" t="str">
        <f t="shared" si="129"/>
        <v>Pas d'écart</v>
      </c>
    </row>
    <row r="773" spans="1:18" x14ac:dyDescent="0.3">
      <c r="A773" s="34" t="str">
        <f>base!J773</f>
        <v>RM</v>
      </c>
      <c r="B773" s="34" t="str">
        <f>base!V773</f>
        <v>69006</v>
      </c>
      <c r="C773" s="37">
        <v>69</v>
      </c>
      <c r="D773" s="36">
        <f>base!H773</f>
        <v>225.07</v>
      </c>
      <c r="E773" s="44"/>
      <c r="F773" s="16">
        <f>base!W773</f>
        <v>0</v>
      </c>
      <c r="G773" s="11">
        <f t="shared" si="120"/>
        <v>0</v>
      </c>
      <c r="H773" s="11">
        <f t="shared" si="121"/>
        <v>60.768900000000002</v>
      </c>
      <c r="I773" s="11">
        <f t="shared" si="122"/>
        <v>0.27</v>
      </c>
      <c r="J773" s="12">
        <f t="shared" si="123"/>
        <v>-60.768900000000002</v>
      </c>
      <c r="K773" s="17" t="str">
        <f t="shared" si="128"/>
        <v>Ecart négatif</v>
      </c>
      <c r="L773" s="16">
        <f>base!X773</f>
        <v>0</v>
      </c>
      <c r="M773" s="11">
        <f t="shared" si="124"/>
        <v>0</v>
      </c>
      <c r="N773" s="11">
        <f t="shared" si="125"/>
        <v>0</v>
      </c>
      <c r="O773" s="11">
        <f t="shared" si="126"/>
        <v>0</v>
      </c>
      <c r="P773" s="12">
        <f t="shared" si="127"/>
        <v>0</v>
      </c>
      <c r="Q773" s="17" t="str">
        <f t="shared" si="129"/>
        <v>Pas d'écart</v>
      </c>
    </row>
    <row r="774" spans="1:18" x14ac:dyDescent="0.3">
      <c r="A774" s="34" t="str">
        <f>base!J774</f>
        <v>RM</v>
      </c>
      <c r="B774" s="34" t="str">
        <f>base!V774</f>
        <v>05320</v>
      </c>
      <c r="C774" s="37">
        <v>5</v>
      </c>
      <c r="D774" s="36">
        <f>base!H774</f>
        <v>140</v>
      </c>
      <c r="E774" s="44"/>
      <c r="F774" s="16">
        <f>base!W774</f>
        <v>30</v>
      </c>
      <c r="G774" s="11">
        <f t="shared" si="120"/>
        <v>0.21428571428571427</v>
      </c>
      <c r="H774" s="11">
        <f t="shared" si="121"/>
        <v>40.599999999999994</v>
      </c>
      <c r="I774" s="11">
        <f t="shared" si="122"/>
        <v>0.28999999999999998</v>
      </c>
      <c r="J774" s="12">
        <f t="shared" si="123"/>
        <v>-10.599999999999994</v>
      </c>
      <c r="K774" s="17" t="str">
        <f t="shared" si="128"/>
        <v>Ecart négatif</v>
      </c>
      <c r="L774" s="16">
        <f>base!X774</f>
        <v>0</v>
      </c>
      <c r="M774" s="11">
        <f t="shared" si="124"/>
        <v>0</v>
      </c>
      <c r="N774" s="11">
        <f t="shared" si="125"/>
        <v>26.6</v>
      </c>
      <c r="O774" s="11">
        <f t="shared" si="126"/>
        <v>0.19</v>
      </c>
      <c r="P774" s="12">
        <f t="shared" si="127"/>
        <v>-26.6</v>
      </c>
      <c r="Q774" s="17" t="str">
        <f t="shared" si="129"/>
        <v>Ecart négatif</v>
      </c>
    </row>
    <row r="775" spans="1:18" x14ac:dyDescent="0.3">
      <c r="A775" s="34" t="str">
        <f>base!J775</f>
        <v>RS</v>
      </c>
      <c r="B775" s="34" t="str">
        <f>base!V775</f>
        <v>73200</v>
      </c>
      <c r="C775" s="37">
        <v>73</v>
      </c>
      <c r="D775" s="36">
        <f>base!H775</f>
        <v>219.88</v>
      </c>
      <c r="E775" s="44"/>
      <c r="F775" s="16">
        <f>base!W775</f>
        <v>0</v>
      </c>
      <c r="G775" s="11">
        <f t="shared" si="120"/>
        <v>0</v>
      </c>
      <c r="H775" s="11">
        <f t="shared" si="121"/>
        <v>59.367600000000003</v>
      </c>
      <c r="I775" s="11">
        <f t="shared" si="122"/>
        <v>0.27</v>
      </c>
      <c r="J775" s="12">
        <f t="shared" si="123"/>
        <v>-59.367600000000003</v>
      </c>
      <c r="K775" s="17" t="str">
        <f t="shared" si="128"/>
        <v>Ecart négatif</v>
      </c>
      <c r="L775" s="16">
        <f>base!X775</f>
        <v>0</v>
      </c>
      <c r="M775" s="11">
        <f t="shared" si="124"/>
        <v>0</v>
      </c>
      <c r="N775" s="11">
        <f t="shared" si="125"/>
        <v>0</v>
      </c>
      <c r="O775" s="11">
        <f t="shared" si="126"/>
        <v>0</v>
      </c>
      <c r="P775" s="12">
        <f t="shared" si="127"/>
        <v>0</v>
      </c>
      <c r="Q775" s="17" t="str">
        <f t="shared" si="129"/>
        <v>Pas d'écart</v>
      </c>
    </row>
    <row r="776" spans="1:18" x14ac:dyDescent="0.3">
      <c r="A776" s="34" t="str">
        <f>base!J776</f>
        <v>RM</v>
      </c>
      <c r="B776" s="34" t="str">
        <f>base!V776</f>
        <v>89190</v>
      </c>
      <c r="C776" s="37">
        <v>89</v>
      </c>
      <c r="D776" s="36">
        <f>base!H776</f>
        <v>70</v>
      </c>
      <c r="E776" s="44"/>
      <c r="F776" s="16">
        <f>base!W776</f>
        <v>0</v>
      </c>
      <c r="G776" s="11">
        <f t="shared" si="120"/>
        <v>0</v>
      </c>
      <c r="H776" s="11">
        <f t="shared" si="121"/>
        <v>16.100000000000001</v>
      </c>
      <c r="I776" s="11">
        <f t="shared" si="122"/>
        <v>0.23</v>
      </c>
      <c r="J776" s="12">
        <f t="shared" si="123"/>
        <v>-16.100000000000001</v>
      </c>
      <c r="K776" s="17" t="str">
        <f t="shared" si="128"/>
        <v>Ecart négatif</v>
      </c>
      <c r="L776" s="16">
        <f>base!X776</f>
        <v>8.4</v>
      </c>
      <c r="M776" s="11">
        <f t="shared" si="124"/>
        <v>0.12000000000000001</v>
      </c>
      <c r="N776" s="11">
        <f t="shared" si="125"/>
        <v>8.4</v>
      </c>
      <c r="O776" s="11">
        <f t="shared" si="126"/>
        <v>0.12000000000000001</v>
      </c>
      <c r="P776" s="12">
        <f t="shared" si="127"/>
        <v>0</v>
      </c>
      <c r="Q776" s="17" t="str">
        <f t="shared" si="129"/>
        <v>Pas d'écart</v>
      </c>
      <c r="R776" s="38"/>
    </row>
    <row r="777" spans="1:18" x14ac:dyDescent="0.3">
      <c r="A777" s="34" t="str">
        <f>base!J777</f>
        <v>RM</v>
      </c>
      <c r="B777" s="34" t="str">
        <f>base!V777</f>
        <v>39570</v>
      </c>
      <c r="C777" s="37">
        <v>39</v>
      </c>
      <c r="D777" s="36">
        <f>base!H777</f>
        <v>70</v>
      </c>
      <c r="E777" s="44"/>
      <c r="F777" s="16">
        <f>base!W777</f>
        <v>0</v>
      </c>
      <c r="G777" s="11">
        <f t="shared" si="120"/>
        <v>0</v>
      </c>
      <c r="H777" s="11">
        <f t="shared" si="121"/>
        <v>18.900000000000002</v>
      </c>
      <c r="I777" s="11">
        <f t="shared" si="122"/>
        <v>0.27</v>
      </c>
      <c r="J777" s="12">
        <f t="shared" si="123"/>
        <v>-18.900000000000002</v>
      </c>
      <c r="K777" s="17" t="str">
        <f t="shared" si="128"/>
        <v>Ecart négatif</v>
      </c>
      <c r="L777" s="16">
        <f>base!X777</f>
        <v>0</v>
      </c>
      <c r="M777" s="11">
        <f t="shared" si="124"/>
        <v>0</v>
      </c>
      <c r="N777" s="11">
        <f t="shared" si="125"/>
        <v>0</v>
      </c>
      <c r="O777" s="11">
        <f t="shared" si="126"/>
        <v>0</v>
      </c>
      <c r="P777" s="12">
        <f t="shared" si="127"/>
        <v>0</v>
      </c>
      <c r="Q777" s="17" t="str">
        <f t="shared" si="129"/>
        <v>Pas d'écart</v>
      </c>
    </row>
    <row r="778" spans="1:18" x14ac:dyDescent="0.3">
      <c r="A778" s="34" t="str">
        <f>base!J778</f>
        <v>RS</v>
      </c>
      <c r="B778" s="34" t="str">
        <f>base!V778</f>
        <v>84100</v>
      </c>
      <c r="C778" s="37">
        <v>84</v>
      </c>
      <c r="D778" s="36">
        <f>base!H778</f>
        <v>54.2</v>
      </c>
      <c r="E778" s="44"/>
      <c r="F778" s="16">
        <f>base!W778</f>
        <v>0</v>
      </c>
      <c r="G778" s="11">
        <f t="shared" si="120"/>
        <v>0</v>
      </c>
      <c r="H778" s="11">
        <f t="shared" si="121"/>
        <v>15.718</v>
      </c>
      <c r="I778" s="11">
        <f t="shared" si="122"/>
        <v>0.28999999999999998</v>
      </c>
      <c r="J778" s="12">
        <f t="shared" si="123"/>
        <v>-15.718</v>
      </c>
      <c r="K778" s="17" t="str">
        <f t="shared" si="128"/>
        <v>Ecart négatif</v>
      </c>
      <c r="L778" s="16">
        <f>base!X778</f>
        <v>0</v>
      </c>
      <c r="M778" s="11">
        <f t="shared" si="124"/>
        <v>0</v>
      </c>
      <c r="N778" s="11">
        <f t="shared" si="125"/>
        <v>10.298</v>
      </c>
      <c r="O778" s="11">
        <f t="shared" si="126"/>
        <v>0.19</v>
      </c>
      <c r="P778" s="12">
        <f t="shared" si="127"/>
        <v>-10.298</v>
      </c>
      <c r="Q778" s="17" t="str">
        <f t="shared" si="129"/>
        <v>Ecart négatif</v>
      </c>
    </row>
    <row r="779" spans="1:18" x14ac:dyDescent="0.3">
      <c r="A779" s="34" t="str">
        <f>base!J779</f>
        <v>RM</v>
      </c>
      <c r="B779" s="34" t="str">
        <f>base!V779</f>
        <v>63200</v>
      </c>
      <c r="C779" s="37">
        <v>63</v>
      </c>
      <c r="D779" s="36">
        <f>base!H779</f>
        <v>40</v>
      </c>
      <c r="E779" s="44"/>
      <c r="F779" s="16">
        <f>base!W779</f>
        <v>0</v>
      </c>
      <c r="G779" s="11">
        <f t="shared" si="120"/>
        <v>0</v>
      </c>
      <c r="H779" s="11">
        <f t="shared" si="121"/>
        <v>11.6</v>
      </c>
      <c r="I779" s="11">
        <f t="shared" si="122"/>
        <v>0.28999999999999998</v>
      </c>
      <c r="J779" s="12">
        <f t="shared" si="123"/>
        <v>-11.6</v>
      </c>
      <c r="K779" s="17" t="str">
        <f t="shared" si="128"/>
        <v>Ecart négatif</v>
      </c>
      <c r="L779" s="16">
        <f>base!X779</f>
        <v>0</v>
      </c>
      <c r="M779" s="11">
        <f t="shared" si="124"/>
        <v>0</v>
      </c>
      <c r="N779" s="11">
        <f t="shared" si="125"/>
        <v>4.8</v>
      </c>
      <c r="O779" s="11">
        <f t="shared" si="126"/>
        <v>0.12</v>
      </c>
      <c r="P779" s="12">
        <f t="shared" si="127"/>
        <v>-4.8</v>
      </c>
      <c r="Q779" s="17" t="str">
        <f t="shared" si="129"/>
        <v>Ecart négatif</v>
      </c>
    </row>
    <row r="780" spans="1:18" x14ac:dyDescent="0.3">
      <c r="A780" s="34" t="str">
        <f>base!J780</f>
        <v>RM</v>
      </c>
      <c r="B780" s="34" t="str">
        <f>base!V780</f>
        <v>51150</v>
      </c>
      <c r="C780" s="37">
        <v>51</v>
      </c>
      <c r="D780" s="36">
        <f>base!H780</f>
        <v>140</v>
      </c>
      <c r="E780" s="44"/>
      <c r="F780" s="16">
        <f>base!W780</f>
        <v>0</v>
      </c>
      <c r="G780" s="11">
        <f t="shared" si="120"/>
        <v>0</v>
      </c>
      <c r="H780" s="11">
        <f t="shared" si="121"/>
        <v>35</v>
      </c>
      <c r="I780" s="11">
        <f t="shared" si="122"/>
        <v>0.25</v>
      </c>
      <c r="J780" s="12">
        <f t="shared" si="123"/>
        <v>-35</v>
      </c>
      <c r="K780" s="17" t="str">
        <f t="shared" si="128"/>
        <v>Ecart négatif</v>
      </c>
      <c r="L780" s="16">
        <f>base!X780</f>
        <v>35</v>
      </c>
      <c r="M780" s="11">
        <f t="shared" si="124"/>
        <v>0.25</v>
      </c>
      <c r="N780" s="11">
        <f t="shared" si="125"/>
        <v>35</v>
      </c>
      <c r="O780" s="11">
        <f t="shared" si="126"/>
        <v>0.25</v>
      </c>
      <c r="P780" s="12">
        <f t="shared" si="127"/>
        <v>0</v>
      </c>
      <c r="Q780" s="17" t="str">
        <f t="shared" si="129"/>
        <v>Pas d'écart</v>
      </c>
    </row>
    <row r="781" spans="1:18" x14ac:dyDescent="0.3">
      <c r="A781" s="34" t="str">
        <f>base!J781</f>
        <v>RM</v>
      </c>
      <c r="B781" s="34" t="str">
        <f>base!V781</f>
        <v>55190</v>
      </c>
      <c r="C781" s="37">
        <v>55</v>
      </c>
      <c r="D781" s="36">
        <f>base!H781</f>
        <v>180</v>
      </c>
      <c r="E781" s="44"/>
      <c r="F781" s="16">
        <f>base!W781</f>
        <v>0</v>
      </c>
      <c r="G781" s="11">
        <f t="shared" si="120"/>
        <v>0</v>
      </c>
      <c r="H781" s="11">
        <f t="shared" si="121"/>
        <v>45</v>
      </c>
      <c r="I781" s="11">
        <f t="shared" si="122"/>
        <v>0.25</v>
      </c>
      <c r="J781" s="12">
        <f t="shared" si="123"/>
        <v>-45</v>
      </c>
      <c r="K781" s="17" t="str">
        <f t="shared" si="128"/>
        <v>Ecart négatif</v>
      </c>
      <c r="L781" s="16">
        <f>base!X781</f>
        <v>45</v>
      </c>
      <c r="M781" s="11">
        <f t="shared" si="124"/>
        <v>0.25</v>
      </c>
      <c r="N781" s="11">
        <f t="shared" si="125"/>
        <v>45</v>
      </c>
      <c r="O781" s="11">
        <f t="shared" si="126"/>
        <v>0.25</v>
      </c>
      <c r="P781" s="12">
        <f t="shared" si="127"/>
        <v>0</v>
      </c>
      <c r="Q781" s="17" t="str">
        <f t="shared" si="129"/>
        <v>Pas d'écart</v>
      </c>
    </row>
    <row r="782" spans="1:18" x14ac:dyDescent="0.3">
      <c r="A782" s="34" t="str">
        <f>base!J782</f>
        <v>LS</v>
      </c>
      <c r="B782" s="34" t="str">
        <f>base!V782</f>
        <v>06000</v>
      </c>
      <c r="C782" s="37">
        <v>60</v>
      </c>
      <c r="D782" s="36">
        <f>base!H782</f>
        <v>159.22</v>
      </c>
      <c r="E782" s="44"/>
      <c r="F782" s="16">
        <f>base!W782</f>
        <v>47.77</v>
      </c>
      <c r="G782" s="11">
        <f t="shared" si="120"/>
        <v>0.30002512247205126</v>
      </c>
      <c r="H782" s="11">
        <f t="shared" si="121"/>
        <v>30.251799999999999</v>
      </c>
      <c r="I782" s="11">
        <f t="shared" si="122"/>
        <v>0.19</v>
      </c>
      <c r="J782" s="12">
        <f t="shared" si="123"/>
        <v>17.518200000000004</v>
      </c>
      <c r="K782" s="17" t="str">
        <f t="shared" si="128"/>
        <v>Ecart positif</v>
      </c>
      <c r="L782" s="16">
        <f>base!X782</f>
        <v>0</v>
      </c>
      <c r="M782" s="11">
        <f t="shared" si="124"/>
        <v>0</v>
      </c>
      <c r="N782" s="11">
        <f t="shared" si="125"/>
        <v>0</v>
      </c>
      <c r="O782" s="11">
        <f t="shared" si="126"/>
        <v>0</v>
      </c>
      <c r="P782" s="12">
        <f t="shared" si="127"/>
        <v>0</v>
      </c>
      <c r="Q782" s="17" t="str">
        <f t="shared" si="129"/>
        <v>Pas d'écart</v>
      </c>
    </row>
    <row r="783" spans="1:18" x14ac:dyDescent="0.3">
      <c r="A783" s="34" t="str">
        <f>base!J783</f>
        <v>RM</v>
      </c>
      <c r="B783" s="34" t="str">
        <f>base!V783</f>
        <v>70000</v>
      </c>
      <c r="C783" s="37">
        <v>70</v>
      </c>
      <c r="D783" s="36">
        <f>base!H783</f>
        <v>25</v>
      </c>
      <c r="E783" s="44"/>
      <c r="F783" s="16">
        <f>base!W783</f>
        <v>0</v>
      </c>
      <c r="G783" s="11">
        <f t="shared" si="120"/>
        <v>0</v>
      </c>
      <c r="H783" s="11">
        <f t="shared" si="121"/>
        <v>6</v>
      </c>
      <c r="I783" s="11">
        <f t="shared" si="122"/>
        <v>0.24</v>
      </c>
      <c r="J783" s="12">
        <f t="shared" si="123"/>
        <v>-6</v>
      </c>
      <c r="K783" s="17" t="str">
        <f t="shared" si="128"/>
        <v>Ecart négatif</v>
      </c>
      <c r="L783" s="16">
        <f>base!X783</f>
        <v>0</v>
      </c>
      <c r="M783" s="11">
        <f t="shared" si="124"/>
        <v>0</v>
      </c>
      <c r="N783" s="11">
        <f t="shared" si="125"/>
        <v>3</v>
      </c>
      <c r="O783" s="11">
        <f t="shared" si="126"/>
        <v>0.12</v>
      </c>
      <c r="P783" s="12">
        <f t="shared" si="127"/>
        <v>-3</v>
      </c>
      <c r="Q783" s="17" t="str">
        <f t="shared" si="129"/>
        <v>Ecart négatif</v>
      </c>
    </row>
    <row r="784" spans="1:18" x14ac:dyDescent="0.3">
      <c r="A784" s="34" t="str">
        <f>base!J784</f>
        <v>RM</v>
      </c>
      <c r="B784" s="34" t="str">
        <f>base!V784</f>
        <v>70000</v>
      </c>
      <c r="C784" s="37">
        <v>70</v>
      </c>
      <c r="D784" s="36">
        <f>base!H784</f>
        <v>22.5</v>
      </c>
      <c r="E784" s="44"/>
      <c r="F784" s="16">
        <f>base!W784</f>
        <v>0</v>
      </c>
      <c r="G784" s="11">
        <f t="shared" si="120"/>
        <v>0</v>
      </c>
      <c r="H784" s="11">
        <f t="shared" si="121"/>
        <v>5.3999999999999995</v>
      </c>
      <c r="I784" s="11">
        <f t="shared" si="122"/>
        <v>0.23999999999999996</v>
      </c>
      <c r="J784" s="12">
        <f t="shared" si="123"/>
        <v>-5.3999999999999995</v>
      </c>
      <c r="K784" s="17" t="str">
        <f t="shared" si="128"/>
        <v>Ecart négatif</v>
      </c>
      <c r="L784" s="16">
        <f>base!X784</f>
        <v>0</v>
      </c>
      <c r="M784" s="11">
        <f t="shared" si="124"/>
        <v>0</v>
      </c>
      <c r="N784" s="11">
        <f t="shared" si="125"/>
        <v>2.6999999999999997</v>
      </c>
      <c r="O784" s="11">
        <f t="shared" si="126"/>
        <v>0.11999999999999998</v>
      </c>
      <c r="P784" s="12">
        <f t="shared" si="127"/>
        <v>-2.6999999999999997</v>
      </c>
      <c r="Q784" s="17" t="str">
        <f t="shared" si="129"/>
        <v>Ecart négatif</v>
      </c>
    </row>
    <row r="785" spans="1:18" x14ac:dyDescent="0.3">
      <c r="A785" s="34" t="str">
        <f>base!J785</f>
        <v>DLM</v>
      </c>
      <c r="B785" s="34" t="str">
        <f>base!V785</f>
        <v>69007</v>
      </c>
      <c r="C785" s="37">
        <v>69</v>
      </c>
      <c r="D785" s="36">
        <f>base!H785</f>
        <v>52.5</v>
      </c>
      <c r="E785" s="44"/>
      <c r="F785" s="16">
        <f>base!W785</f>
        <v>0</v>
      </c>
      <c r="G785" s="11">
        <f t="shared" si="120"/>
        <v>0</v>
      </c>
      <c r="H785" s="11">
        <f t="shared" si="121"/>
        <v>14.175000000000001</v>
      </c>
      <c r="I785" s="11">
        <f t="shared" si="122"/>
        <v>0.27</v>
      </c>
      <c r="J785" s="12">
        <f t="shared" si="123"/>
        <v>-14.175000000000001</v>
      </c>
      <c r="K785" s="17" t="str">
        <f t="shared" si="128"/>
        <v>Ecart négatif</v>
      </c>
      <c r="L785" s="16">
        <f>base!X785</f>
        <v>0</v>
      </c>
      <c r="M785" s="11">
        <f t="shared" si="124"/>
        <v>0</v>
      </c>
      <c r="N785" s="11">
        <f t="shared" si="125"/>
        <v>0</v>
      </c>
      <c r="O785" s="11">
        <f t="shared" si="126"/>
        <v>0</v>
      </c>
      <c r="P785" s="12">
        <f t="shared" si="127"/>
        <v>0</v>
      </c>
      <c r="Q785" s="17" t="str">
        <f t="shared" si="129"/>
        <v>Pas d'écart</v>
      </c>
    </row>
    <row r="786" spans="1:18" x14ac:dyDescent="0.3">
      <c r="A786" s="34" t="str">
        <f>base!J786</f>
        <v>RM</v>
      </c>
      <c r="B786" s="34" t="str">
        <f>base!V786</f>
        <v>69200</v>
      </c>
      <c r="C786" s="37">
        <v>69</v>
      </c>
      <c r="D786" s="36">
        <f>base!H786</f>
        <v>83</v>
      </c>
      <c r="E786" s="44"/>
      <c r="F786" s="16">
        <f>base!W786</f>
        <v>0</v>
      </c>
      <c r="G786" s="11">
        <f t="shared" si="120"/>
        <v>0</v>
      </c>
      <c r="H786" s="11">
        <f t="shared" si="121"/>
        <v>22.41</v>
      </c>
      <c r="I786" s="11">
        <f t="shared" si="122"/>
        <v>0.27</v>
      </c>
      <c r="J786" s="12">
        <f t="shared" si="123"/>
        <v>-22.41</v>
      </c>
      <c r="K786" s="17" t="str">
        <f t="shared" si="128"/>
        <v>Ecart négatif</v>
      </c>
      <c r="L786" s="16">
        <f>base!X786</f>
        <v>0</v>
      </c>
      <c r="M786" s="11">
        <f t="shared" si="124"/>
        <v>0</v>
      </c>
      <c r="N786" s="11">
        <f t="shared" si="125"/>
        <v>0</v>
      </c>
      <c r="O786" s="11">
        <f t="shared" si="126"/>
        <v>0</v>
      </c>
      <c r="P786" s="12">
        <f t="shared" si="127"/>
        <v>0</v>
      </c>
      <c r="Q786" s="17" t="str">
        <f t="shared" si="129"/>
        <v>Pas d'écart</v>
      </c>
    </row>
    <row r="787" spans="1:18" x14ac:dyDescent="0.3">
      <c r="A787" s="34" t="str">
        <f>base!J787</f>
        <v>DLS</v>
      </c>
      <c r="B787" s="34" t="str">
        <f>base!V787</f>
        <v>68350</v>
      </c>
      <c r="C787" s="37">
        <v>68</v>
      </c>
      <c r="D787" s="36">
        <f>base!H787</f>
        <v>103.6</v>
      </c>
      <c r="E787" s="44"/>
      <c r="F787" s="16">
        <f>base!W787</f>
        <v>0</v>
      </c>
      <c r="G787" s="11">
        <f t="shared" si="120"/>
        <v>0</v>
      </c>
      <c r="H787" s="11">
        <f t="shared" si="121"/>
        <v>30.043999999999997</v>
      </c>
      <c r="I787" s="11">
        <f t="shared" si="122"/>
        <v>0.28999999999999998</v>
      </c>
      <c r="J787" s="12">
        <f t="shared" si="123"/>
        <v>-30.043999999999997</v>
      </c>
      <c r="K787" s="17" t="str">
        <f t="shared" si="128"/>
        <v>Ecart négatif</v>
      </c>
      <c r="L787" s="16">
        <f>base!X787</f>
        <v>0</v>
      </c>
      <c r="M787" s="11">
        <f t="shared" si="124"/>
        <v>0</v>
      </c>
      <c r="N787" s="11">
        <f t="shared" si="125"/>
        <v>8.2880000000000003</v>
      </c>
      <c r="O787" s="11">
        <f t="shared" si="126"/>
        <v>0.08</v>
      </c>
      <c r="P787" s="12">
        <f t="shared" si="127"/>
        <v>-8.2880000000000003</v>
      </c>
      <c r="Q787" s="17" t="str">
        <f t="shared" si="129"/>
        <v>Ecart négatif</v>
      </c>
    </row>
    <row r="788" spans="1:18" x14ac:dyDescent="0.3">
      <c r="A788" s="34">
        <f>base!J788</f>
        <v>0</v>
      </c>
      <c r="B788" s="34" t="str">
        <f>base!V788</f>
        <v>77184</v>
      </c>
      <c r="C788" s="37">
        <v>77</v>
      </c>
      <c r="D788" s="36">
        <f>base!H788</f>
        <v>69.5</v>
      </c>
      <c r="E788" s="44"/>
      <c r="F788" s="16">
        <f>base!W788</f>
        <v>0</v>
      </c>
      <c r="G788" s="11">
        <f t="shared" si="120"/>
        <v>0</v>
      </c>
      <c r="H788" s="11">
        <f t="shared" si="121"/>
        <v>0</v>
      </c>
      <c r="I788" s="11">
        <f t="shared" si="122"/>
        <v>0</v>
      </c>
      <c r="J788" s="12">
        <f t="shared" si="123"/>
        <v>0</v>
      </c>
      <c r="K788" s="17" t="str">
        <f t="shared" si="128"/>
        <v>Pas d'écart</v>
      </c>
      <c r="L788" s="16">
        <f>base!X788</f>
        <v>0</v>
      </c>
      <c r="M788" s="11">
        <f t="shared" si="124"/>
        <v>0</v>
      </c>
      <c r="N788" s="11">
        <f t="shared" si="125"/>
        <v>0</v>
      </c>
      <c r="O788" s="11">
        <f t="shared" si="126"/>
        <v>0</v>
      </c>
      <c r="P788" s="12">
        <f t="shared" si="127"/>
        <v>0</v>
      </c>
      <c r="Q788" s="17" t="str">
        <f t="shared" si="129"/>
        <v>Pas d'écart</v>
      </c>
    </row>
    <row r="789" spans="1:18" x14ac:dyDescent="0.3">
      <c r="A789" s="34" t="str">
        <f>base!J789</f>
        <v>DRM</v>
      </c>
      <c r="B789" s="34" t="str">
        <f>base!V789</f>
        <v>63100</v>
      </c>
      <c r="C789" s="37">
        <v>63</v>
      </c>
      <c r="D789" s="36">
        <f>base!H789</f>
        <v>108.52</v>
      </c>
      <c r="E789" s="44"/>
      <c r="F789" s="16">
        <f>base!W789</f>
        <v>0</v>
      </c>
      <c r="G789" s="11">
        <f t="shared" si="120"/>
        <v>0</v>
      </c>
      <c r="H789" s="11">
        <f t="shared" si="121"/>
        <v>31.470799999999997</v>
      </c>
      <c r="I789" s="11">
        <f t="shared" si="122"/>
        <v>0.28999999999999998</v>
      </c>
      <c r="J789" s="12">
        <f t="shared" si="123"/>
        <v>-31.470799999999997</v>
      </c>
      <c r="K789" s="17" t="str">
        <f t="shared" si="128"/>
        <v>Ecart négatif</v>
      </c>
      <c r="L789" s="16">
        <f>base!X789</f>
        <v>0</v>
      </c>
      <c r="M789" s="11">
        <f t="shared" si="124"/>
        <v>0</v>
      </c>
      <c r="N789" s="11">
        <f t="shared" si="125"/>
        <v>13.022399999999999</v>
      </c>
      <c r="O789" s="11">
        <f t="shared" si="126"/>
        <v>0.12</v>
      </c>
      <c r="P789" s="12">
        <f t="shared" si="127"/>
        <v>-13.022399999999999</v>
      </c>
      <c r="Q789" s="17" t="str">
        <f t="shared" si="129"/>
        <v>Ecart négatif</v>
      </c>
    </row>
    <row r="790" spans="1:18" x14ac:dyDescent="0.3">
      <c r="A790" s="34" t="str">
        <f>base!J790</f>
        <v>DLM</v>
      </c>
      <c r="B790" s="34" t="str">
        <f>base!V790</f>
        <v>63000</v>
      </c>
      <c r="C790" s="37">
        <v>63</v>
      </c>
      <c r="D790" s="36">
        <f>base!H790</f>
        <v>30</v>
      </c>
      <c r="E790" s="44"/>
      <c r="F790" s="16">
        <f>base!W790</f>
        <v>0</v>
      </c>
      <c r="G790" s="11">
        <f t="shared" si="120"/>
        <v>0</v>
      </c>
      <c r="H790" s="11">
        <f t="shared" si="121"/>
        <v>8.6999999999999993</v>
      </c>
      <c r="I790" s="11">
        <f t="shared" si="122"/>
        <v>0.28999999999999998</v>
      </c>
      <c r="J790" s="12">
        <f t="shared" si="123"/>
        <v>-8.6999999999999993</v>
      </c>
      <c r="K790" s="17" t="str">
        <f t="shared" si="128"/>
        <v>Ecart négatif</v>
      </c>
      <c r="L790" s="16">
        <f>base!X790</f>
        <v>8.6999999999999993</v>
      </c>
      <c r="M790" s="11">
        <f t="shared" si="124"/>
        <v>0.28999999999999998</v>
      </c>
      <c r="N790" s="11">
        <f t="shared" si="125"/>
        <v>3.5999999999999996</v>
      </c>
      <c r="O790" s="11">
        <f t="shared" si="126"/>
        <v>0.11999999999999998</v>
      </c>
      <c r="P790" s="12">
        <f t="shared" si="127"/>
        <v>5.0999999999999996</v>
      </c>
      <c r="Q790" s="17" t="str">
        <f t="shared" si="129"/>
        <v>Ecart positif</v>
      </c>
    </row>
    <row r="791" spans="1:18" x14ac:dyDescent="0.3">
      <c r="A791" s="34" t="str">
        <f>base!J791</f>
        <v>LM</v>
      </c>
      <c r="B791" s="34" t="str">
        <f>base!V791</f>
        <v>73200</v>
      </c>
      <c r="C791" s="37">
        <v>14</v>
      </c>
      <c r="D791" s="36">
        <f>base!H791</f>
        <v>20.23</v>
      </c>
      <c r="E791" s="44"/>
      <c r="F791" s="16">
        <f>base!W791</f>
        <v>5.46</v>
      </c>
      <c r="G791" s="11">
        <f t="shared" si="120"/>
        <v>0.26989619377162627</v>
      </c>
      <c r="H791" s="11">
        <f t="shared" si="121"/>
        <v>3.4391000000000003</v>
      </c>
      <c r="I791" s="11">
        <f t="shared" si="122"/>
        <v>0.17</v>
      </c>
      <c r="J791" s="12">
        <f t="shared" si="123"/>
        <v>2.0208999999999997</v>
      </c>
      <c r="K791" s="17" t="str">
        <f t="shared" si="128"/>
        <v>Ecart positif</v>
      </c>
      <c r="L791" s="16">
        <f>base!X791</f>
        <v>0</v>
      </c>
      <c r="M791" s="11">
        <f t="shared" si="124"/>
        <v>0</v>
      </c>
      <c r="N791" s="11">
        <f t="shared" si="125"/>
        <v>3.4391000000000003</v>
      </c>
      <c r="O791" s="11">
        <f t="shared" si="126"/>
        <v>0.17</v>
      </c>
      <c r="P791" s="12">
        <f t="shared" si="127"/>
        <v>-3.4391000000000003</v>
      </c>
      <c r="Q791" s="17" t="str">
        <f t="shared" si="129"/>
        <v>Ecart négatif</v>
      </c>
    </row>
    <row r="792" spans="1:18" x14ac:dyDescent="0.3">
      <c r="A792" s="34" t="str">
        <f>base!J792</f>
        <v>LM</v>
      </c>
      <c r="B792" s="34" t="str">
        <f>base!V792</f>
        <v>56920</v>
      </c>
      <c r="C792" s="37">
        <v>59</v>
      </c>
      <c r="D792" s="36">
        <f>base!H792</f>
        <v>49.08</v>
      </c>
      <c r="E792" s="44"/>
      <c r="F792" s="16">
        <f>base!W792</f>
        <v>13.25</v>
      </c>
      <c r="G792" s="11">
        <f t="shared" si="120"/>
        <v>0.26996740016299919</v>
      </c>
      <c r="H792" s="11">
        <f t="shared" si="121"/>
        <v>9.3252000000000006</v>
      </c>
      <c r="I792" s="11">
        <f t="shared" si="122"/>
        <v>0.19000000000000003</v>
      </c>
      <c r="J792" s="12">
        <f t="shared" si="123"/>
        <v>3.9247999999999994</v>
      </c>
      <c r="K792" s="17" t="str">
        <f t="shared" si="128"/>
        <v>Ecart positif</v>
      </c>
      <c r="L792" s="16">
        <f>base!X792</f>
        <v>0</v>
      </c>
      <c r="M792" s="11">
        <f t="shared" si="124"/>
        <v>0</v>
      </c>
      <c r="N792" s="11">
        <f t="shared" si="125"/>
        <v>0</v>
      </c>
      <c r="O792" s="11">
        <f t="shared" si="126"/>
        <v>0</v>
      </c>
      <c r="P792" s="12">
        <f t="shared" si="127"/>
        <v>0</v>
      </c>
      <c r="Q792" s="17" t="str">
        <f t="shared" si="129"/>
        <v>Pas d'écart</v>
      </c>
    </row>
    <row r="793" spans="1:18" x14ac:dyDescent="0.3">
      <c r="A793" s="34" t="str">
        <f>base!J793</f>
        <v>RS</v>
      </c>
      <c r="B793" s="34" t="str">
        <f>base!V793</f>
        <v>62600</v>
      </c>
      <c r="C793" s="37">
        <v>62</v>
      </c>
      <c r="D793" s="36">
        <f>base!H793</f>
        <v>140</v>
      </c>
      <c r="E793" s="44"/>
      <c r="F793" s="16">
        <f>base!W793</f>
        <v>0</v>
      </c>
      <c r="G793" s="11">
        <f t="shared" si="120"/>
        <v>0</v>
      </c>
      <c r="H793" s="11">
        <f t="shared" si="121"/>
        <v>26.6</v>
      </c>
      <c r="I793" s="11">
        <f t="shared" si="122"/>
        <v>0.19</v>
      </c>
      <c r="J793" s="12">
        <f t="shared" si="123"/>
        <v>-26.6</v>
      </c>
      <c r="K793" s="17" t="str">
        <f t="shared" si="128"/>
        <v>Ecart négatif</v>
      </c>
      <c r="L793" s="16">
        <f>base!X793</f>
        <v>0</v>
      </c>
      <c r="M793" s="11">
        <f t="shared" si="124"/>
        <v>0</v>
      </c>
      <c r="N793" s="11">
        <f t="shared" si="125"/>
        <v>0</v>
      </c>
      <c r="O793" s="11">
        <f t="shared" si="126"/>
        <v>0</v>
      </c>
      <c r="P793" s="12">
        <f t="shared" si="127"/>
        <v>0</v>
      </c>
      <c r="Q793" s="17" t="str">
        <f t="shared" si="129"/>
        <v>Pas d'écart</v>
      </c>
    </row>
    <row r="794" spans="1:18" x14ac:dyDescent="0.3">
      <c r="A794" s="34" t="str">
        <f>base!J794</f>
        <v>RS</v>
      </c>
      <c r="B794" s="34" t="str">
        <f>base!V794</f>
        <v>57180</v>
      </c>
      <c r="C794" s="37">
        <v>57</v>
      </c>
      <c r="D794" s="36">
        <f>base!H794</f>
        <v>17</v>
      </c>
      <c r="E794" s="44"/>
      <c r="F794" s="16">
        <f>base!W794</f>
        <v>0</v>
      </c>
      <c r="G794" s="11">
        <f t="shared" si="120"/>
        <v>0</v>
      </c>
      <c r="H794" s="11">
        <f t="shared" si="121"/>
        <v>4.08</v>
      </c>
      <c r="I794" s="11">
        <f t="shared" si="122"/>
        <v>0.24</v>
      </c>
      <c r="J794" s="12">
        <f t="shared" si="123"/>
        <v>-4.08</v>
      </c>
      <c r="K794" s="17" t="str">
        <f t="shared" si="128"/>
        <v>Ecart négatif</v>
      </c>
      <c r="L794" s="16">
        <f>base!X794</f>
        <v>4.25</v>
      </c>
      <c r="M794" s="11">
        <f t="shared" si="124"/>
        <v>0.25</v>
      </c>
      <c r="N794" s="11">
        <f t="shared" si="125"/>
        <v>4.25</v>
      </c>
      <c r="O794" s="11">
        <f t="shared" si="126"/>
        <v>0.25</v>
      </c>
      <c r="P794" s="12">
        <f t="shared" si="127"/>
        <v>0</v>
      </c>
      <c r="Q794" s="17" t="str">
        <f t="shared" si="129"/>
        <v>Pas d'écart</v>
      </c>
      <c r="R794" s="38"/>
    </row>
    <row r="795" spans="1:18" x14ac:dyDescent="0.3">
      <c r="A795" s="34" t="str">
        <f>base!J795</f>
        <v>LS</v>
      </c>
      <c r="B795" s="34" t="str">
        <f>base!V795</f>
        <v>76230</v>
      </c>
      <c r="C795" s="37">
        <v>62</v>
      </c>
      <c r="D795" s="36">
        <f>base!H795</f>
        <v>134.18</v>
      </c>
      <c r="E795" s="44"/>
      <c r="F795" s="16">
        <f>base!W795</f>
        <v>22.81</v>
      </c>
      <c r="G795" s="11">
        <f t="shared" si="120"/>
        <v>0.16999552839469367</v>
      </c>
      <c r="H795" s="11">
        <f t="shared" si="121"/>
        <v>25.494200000000003</v>
      </c>
      <c r="I795" s="11">
        <f t="shared" si="122"/>
        <v>0.19</v>
      </c>
      <c r="J795" s="12">
        <f t="shared" si="123"/>
        <v>-2.6842000000000041</v>
      </c>
      <c r="K795" s="17" t="str">
        <f t="shared" si="128"/>
        <v>Ecart négatif</v>
      </c>
      <c r="L795" s="16">
        <f>base!X795</f>
        <v>0</v>
      </c>
      <c r="M795" s="11">
        <f t="shared" si="124"/>
        <v>0</v>
      </c>
      <c r="N795" s="11">
        <f t="shared" si="125"/>
        <v>0</v>
      </c>
      <c r="O795" s="11">
        <f t="shared" si="126"/>
        <v>0</v>
      </c>
      <c r="P795" s="12">
        <f t="shared" si="127"/>
        <v>0</v>
      </c>
      <c r="Q795" s="17" t="str">
        <f t="shared" si="129"/>
        <v>Pas d'écart</v>
      </c>
    </row>
    <row r="796" spans="1:18" x14ac:dyDescent="0.3">
      <c r="A796" s="34">
        <f>base!J796</f>
        <v>0</v>
      </c>
      <c r="B796" s="34" t="str">
        <f>base!V796</f>
        <v>77184</v>
      </c>
      <c r="C796" s="37">
        <v>77</v>
      </c>
      <c r="D796" s="36">
        <f>base!H796</f>
        <v>31.6</v>
      </c>
      <c r="E796" s="44"/>
      <c r="F796" s="16">
        <f>base!W796</f>
        <v>0</v>
      </c>
      <c r="G796" s="11">
        <f t="shared" si="120"/>
        <v>0</v>
      </c>
      <c r="H796" s="11">
        <f t="shared" si="121"/>
        <v>0</v>
      </c>
      <c r="I796" s="11">
        <f t="shared" si="122"/>
        <v>0</v>
      </c>
      <c r="J796" s="12">
        <f t="shared" si="123"/>
        <v>0</v>
      </c>
      <c r="K796" s="17" t="str">
        <f t="shared" si="128"/>
        <v>Pas d'écart</v>
      </c>
      <c r="L796" s="16">
        <f>base!X796</f>
        <v>0</v>
      </c>
      <c r="M796" s="11">
        <f t="shared" si="124"/>
        <v>0</v>
      </c>
      <c r="N796" s="11">
        <f t="shared" si="125"/>
        <v>0</v>
      </c>
      <c r="O796" s="11">
        <f t="shared" si="126"/>
        <v>0</v>
      </c>
      <c r="P796" s="12">
        <f t="shared" si="127"/>
        <v>0</v>
      </c>
      <c r="Q796" s="17" t="str">
        <f t="shared" si="129"/>
        <v>Pas d'écart</v>
      </c>
    </row>
    <row r="797" spans="1:18" x14ac:dyDescent="0.3">
      <c r="A797" s="34">
        <f>base!J797</f>
        <v>0</v>
      </c>
      <c r="B797" s="34" t="str">
        <f>base!V797</f>
        <v>77184</v>
      </c>
      <c r="C797" s="37">
        <v>77</v>
      </c>
      <c r="D797" s="36">
        <f>base!H797</f>
        <v>33.630000000000003</v>
      </c>
      <c r="E797" s="44"/>
      <c r="F797" s="16">
        <f>base!W797</f>
        <v>0</v>
      </c>
      <c r="G797" s="11">
        <f t="shared" si="120"/>
        <v>0</v>
      </c>
      <c r="H797" s="11">
        <f t="shared" si="121"/>
        <v>0</v>
      </c>
      <c r="I797" s="11">
        <f t="shared" si="122"/>
        <v>0</v>
      </c>
      <c r="J797" s="12">
        <f t="shared" si="123"/>
        <v>0</v>
      </c>
      <c r="K797" s="17" t="str">
        <f t="shared" si="128"/>
        <v>Pas d'écart</v>
      </c>
      <c r="L797" s="16">
        <f>base!X797</f>
        <v>0</v>
      </c>
      <c r="M797" s="11">
        <f t="shared" si="124"/>
        <v>0</v>
      </c>
      <c r="N797" s="11">
        <f t="shared" si="125"/>
        <v>0</v>
      </c>
      <c r="O797" s="11">
        <f t="shared" si="126"/>
        <v>0</v>
      </c>
      <c r="P797" s="12">
        <f t="shared" si="127"/>
        <v>0</v>
      </c>
      <c r="Q797" s="17" t="str">
        <f t="shared" si="129"/>
        <v>Pas d'écart</v>
      </c>
    </row>
    <row r="798" spans="1:18" x14ac:dyDescent="0.3">
      <c r="A798" s="34" t="str">
        <f>base!J798</f>
        <v>LM</v>
      </c>
      <c r="B798" s="34" t="str">
        <f>base!V798</f>
        <v>75014</v>
      </c>
      <c r="C798" s="37">
        <v>75</v>
      </c>
      <c r="D798" s="36">
        <f>base!H798</f>
        <v>107.6</v>
      </c>
      <c r="E798" s="44"/>
      <c r="F798" s="16">
        <f>base!W798</f>
        <v>0</v>
      </c>
      <c r="G798" s="11">
        <f t="shared" si="120"/>
        <v>0</v>
      </c>
      <c r="H798" s="11">
        <f t="shared" si="121"/>
        <v>0</v>
      </c>
      <c r="I798" s="11">
        <f t="shared" si="122"/>
        <v>0</v>
      </c>
      <c r="J798" s="12">
        <f t="shared" si="123"/>
        <v>0</v>
      </c>
      <c r="K798" s="17" t="str">
        <f t="shared" si="128"/>
        <v>Pas d'écart</v>
      </c>
      <c r="L798" s="16">
        <f>base!X798</f>
        <v>0</v>
      </c>
      <c r="M798" s="11">
        <f t="shared" si="124"/>
        <v>0</v>
      </c>
      <c r="N798" s="11">
        <f t="shared" si="125"/>
        <v>0</v>
      </c>
      <c r="O798" s="11">
        <f t="shared" si="126"/>
        <v>0</v>
      </c>
      <c r="P798" s="12">
        <f t="shared" si="127"/>
        <v>0</v>
      </c>
      <c r="Q798" s="17" t="str">
        <f t="shared" si="129"/>
        <v>Pas d'écart</v>
      </c>
    </row>
    <row r="799" spans="1:18" x14ac:dyDescent="0.3">
      <c r="A799" s="34" t="str">
        <f>base!J799</f>
        <v>DLS</v>
      </c>
      <c r="B799" s="34" t="str">
        <f>base!V799</f>
        <v>51100</v>
      </c>
      <c r="C799" s="37">
        <v>51</v>
      </c>
      <c r="D799" s="36">
        <f>base!H799</f>
        <v>32</v>
      </c>
      <c r="E799" s="44"/>
      <c r="F799" s="16">
        <f>base!W799</f>
        <v>0</v>
      </c>
      <c r="G799" s="11">
        <f t="shared" si="120"/>
        <v>0</v>
      </c>
      <c r="H799" s="11">
        <f t="shared" si="121"/>
        <v>8</v>
      </c>
      <c r="I799" s="11">
        <f t="shared" si="122"/>
        <v>0.25</v>
      </c>
      <c r="J799" s="12">
        <f t="shared" si="123"/>
        <v>-8</v>
      </c>
      <c r="K799" s="17" t="str">
        <f t="shared" si="128"/>
        <v>Ecart négatif</v>
      </c>
      <c r="L799" s="16">
        <f>base!X799</f>
        <v>0</v>
      </c>
      <c r="M799" s="11">
        <f t="shared" si="124"/>
        <v>0</v>
      </c>
      <c r="N799" s="11">
        <f t="shared" si="125"/>
        <v>8</v>
      </c>
      <c r="O799" s="11">
        <f t="shared" si="126"/>
        <v>0.25</v>
      </c>
      <c r="P799" s="12">
        <f t="shared" si="127"/>
        <v>-8</v>
      </c>
      <c r="Q799" s="17" t="str">
        <f t="shared" si="129"/>
        <v>Ecart négatif</v>
      </c>
    </row>
    <row r="800" spans="1:18" x14ac:dyDescent="0.3">
      <c r="A800" s="34" t="str">
        <f>base!J800</f>
        <v>DLM</v>
      </c>
      <c r="B800" s="34" t="str">
        <f>base!V800</f>
        <v>44800</v>
      </c>
      <c r="C800" s="37">
        <v>44</v>
      </c>
      <c r="D800" s="36">
        <f>base!H800</f>
        <v>172.66</v>
      </c>
      <c r="E800" s="44"/>
      <c r="F800" s="16">
        <f>base!W800</f>
        <v>0</v>
      </c>
      <c r="G800" s="11">
        <f t="shared" si="120"/>
        <v>0</v>
      </c>
      <c r="H800" s="11">
        <f t="shared" si="121"/>
        <v>46.618200000000002</v>
      </c>
      <c r="I800" s="11">
        <f t="shared" si="122"/>
        <v>0.27</v>
      </c>
      <c r="J800" s="12">
        <f t="shared" si="123"/>
        <v>-46.618200000000002</v>
      </c>
      <c r="K800" s="17" t="str">
        <f t="shared" si="128"/>
        <v>Ecart négatif</v>
      </c>
      <c r="L800" s="16">
        <f>base!X800</f>
        <v>0</v>
      </c>
      <c r="M800" s="11">
        <f t="shared" si="124"/>
        <v>0</v>
      </c>
      <c r="N800" s="11">
        <f t="shared" si="125"/>
        <v>0</v>
      </c>
      <c r="O800" s="11">
        <f t="shared" si="126"/>
        <v>0</v>
      </c>
      <c r="P800" s="12">
        <f t="shared" si="127"/>
        <v>0</v>
      </c>
      <c r="Q800" s="17" t="str">
        <f t="shared" si="129"/>
        <v>Pas d'écart</v>
      </c>
    </row>
    <row r="801" spans="1:18" x14ac:dyDescent="0.3">
      <c r="A801" s="34">
        <f>base!J801</f>
        <v>0</v>
      </c>
      <c r="B801" s="34" t="str">
        <f>base!V801</f>
        <v>77184</v>
      </c>
      <c r="C801" s="37">
        <v>77</v>
      </c>
      <c r="D801" s="36">
        <f>base!H801</f>
        <v>84.5</v>
      </c>
      <c r="E801" s="44"/>
      <c r="F801" s="16">
        <f>base!W801</f>
        <v>0</v>
      </c>
      <c r="G801" s="11">
        <f t="shared" si="120"/>
        <v>0</v>
      </c>
      <c r="H801" s="11">
        <f t="shared" si="121"/>
        <v>0</v>
      </c>
      <c r="I801" s="11">
        <f t="shared" si="122"/>
        <v>0</v>
      </c>
      <c r="J801" s="12">
        <f t="shared" si="123"/>
        <v>0</v>
      </c>
      <c r="K801" s="17" t="str">
        <f t="shared" si="128"/>
        <v>Pas d'écart</v>
      </c>
      <c r="L801" s="16">
        <f>base!X801</f>
        <v>0</v>
      </c>
      <c r="M801" s="11">
        <f t="shared" si="124"/>
        <v>0</v>
      </c>
      <c r="N801" s="11">
        <f t="shared" si="125"/>
        <v>0</v>
      </c>
      <c r="O801" s="11">
        <f t="shared" si="126"/>
        <v>0</v>
      </c>
      <c r="P801" s="12">
        <f t="shared" si="127"/>
        <v>0</v>
      </c>
      <c r="Q801" s="17" t="str">
        <f t="shared" si="129"/>
        <v>Pas d'écart</v>
      </c>
    </row>
    <row r="802" spans="1:18" x14ac:dyDescent="0.3">
      <c r="A802" s="34" t="str">
        <f>base!J802</f>
        <v>LS</v>
      </c>
      <c r="B802" s="34" t="str">
        <f>base!V802</f>
        <v>22400</v>
      </c>
      <c r="C802" s="37">
        <v>76</v>
      </c>
      <c r="D802" s="36">
        <f>base!H802</f>
        <v>102.68</v>
      </c>
      <c r="E802" s="44"/>
      <c r="F802" s="16">
        <f>base!W802</f>
        <v>40.049999999999997</v>
      </c>
      <c r="G802" s="11">
        <f t="shared" si="120"/>
        <v>0.39004674717569143</v>
      </c>
      <c r="H802" s="11">
        <f t="shared" si="121"/>
        <v>17.455600000000004</v>
      </c>
      <c r="I802" s="11">
        <f t="shared" si="122"/>
        <v>0.17000000000000004</v>
      </c>
      <c r="J802" s="12">
        <f t="shared" si="123"/>
        <v>22.594399999999993</v>
      </c>
      <c r="K802" s="17" t="str">
        <f t="shared" si="128"/>
        <v>Ecart positif</v>
      </c>
      <c r="L802" s="16">
        <f>base!X802</f>
        <v>0</v>
      </c>
      <c r="M802" s="11">
        <f t="shared" si="124"/>
        <v>0</v>
      </c>
      <c r="N802" s="11">
        <f t="shared" si="125"/>
        <v>17.455600000000004</v>
      </c>
      <c r="O802" s="11">
        <f t="shared" si="126"/>
        <v>0.17000000000000004</v>
      </c>
      <c r="P802" s="12">
        <f t="shared" si="127"/>
        <v>-17.455600000000004</v>
      </c>
      <c r="Q802" s="17" t="str">
        <f t="shared" si="129"/>
        <v>Ecart négatif</v>
      </c>
    </row>
    <row r="803" spans="1:18" x14ac:dyDescent="0.3">
      <c r="A803" s="34">
        <f>base!J803</f>
        <v>0</v>
      </c>
      <c r="B803" s="34" t="str">
        <f>base!V803</f>
        <v>77184</v>
      </c>
      <c r="C803" s="37">
        <v>77</v>
      </c>
      <c r="D803" s="36">
        <f>base!H803</f>
        <v>31.6</v>
      </c>
      <c r="E803" s="44"/>
      <c r="F803" s="16">
        <f>base!W803</f>
        <v>0</v>
      </c>
      <c r="G803" s="11">
        <f t="shared" si="120"/>
        <v>0</v>
      </c>
      <c r="H803" s="11">
        <f t="shared" si="121"/>
        <v>0</v>
      </c>
      <c r="I803" s="11">
        <f t="shared" si="122"/>
        <v>0</v>
      </c>
      <c r="J803" s="12">
        <f t="shared" si="123"/>
        <v>0</v>
      </c>
      <c r="K803" s="17" t="str">
        <f t="shared" si="128"/>
        <v>Pas d'écart</v>
      </c>
      <c r="L803" s="16">
        <f>base!X803</f>
        <v>0</v>
      </c>
      <c r="M803" s="11">
        <f t="shared" si="124"/>
        <v>0</v>
      </c>
      <c r="N803" s="11">
        <f t="shared" si="125"/>
        <v>0</v>
      </c>
      <c r="O803" s="11">
        <f t="shared" si="126"/>
        <v>0</v>
      </c>
      <c r="P803" s="12">
        <f t="shared" si="127"/>
        <v>0</v>
      </c>
      <c r="Q803" s="17" t="str">
        <f t="shared" si="129"/>
        <v>Pas d'écart</v>
      </c>
    </row>
    <row r="804" spans="1:18" x14ac:dyDescent="0.3">
      <c r="A804" s="34" t="str">
        <f>base!J804</f>
        <v>LS</v>
      </c>
      <c r="B804" s="34" t="str">
        <f>base!V804</f>
        <v>57000</v>
      </c>
      <c r="C804" s="37">
        <v>14</v>
      </c>
      <c r="D804" s="36">
        <f>base!H804</f>
        <v>122.94</v>
      </c>
      <c r="E804" s="44"/>
      <c r="F804" s="16">
        <f>base!W804</f>
        <v>30.74</v>
      </c>
      <c r="G804" s="11">
        <f t="shared" si="120"/>
        <v>0.2500406702456483</v>
      </c>
      <c r="H804" s="11">
        <f t="shared" si="121"/>
        <v>20.899800000000003</v>
      </c>
      <c r="I804" s="11">
        <f t="shared" si="122"/>
        <v>0.17</v>
      </c>
      <c r="J804" s="12">
        <f t="shared" si="123"/>
        <v>9.8401999999999958</v>
      </c>
      <c r="K804" s="17" t="str">
        <f t="shared" si="128"/>
        <v>Ecart positif</v>
      </c>
      <c r="L804" s="16">
        <f>base!X804</f>
        <v>0</v>
      </c>
      <c r="M804" s="11">
        <f t="shared" si="124"/>
        <v>0</v>
      </c>
      <c r="N804" s="11">
        <f t="shared" si="125"/>
        <v>20.899800000000003</v>
      </c>
      <c r="O804" s="11">
        <f t="shared" si="126"/>
        <v>0.17</v>
      </c>
      <c r="P804" s="12">
        <f t="shared" si="127"/>
        <v>-20.899800000000003</v>
      </c>
      <c r="Q804" s="17" t="str">
        <f t="shared" si="129"/>
        <v>Ecart négatif</v>
      </c>
    </row>
    <row r="805" spans="1:18" x14ac:dyDescent="0.3">
      <c r="A805" s="34">
        <f>base!J805</f>
        <v>0</v>
      </c>
      <c r="B805" s="34" t="str">
        <f>base!V805</f>
        <v>77184</v>
      </c>
      <c r="C805" s="37">
        <v>77</v>
      </c>
      <c r="D805" s="36">
        <f>base!H805</f>
        <v>40.93</v>
      </c>
      <c r="E805" s="44"/>
      <c r="F805" s="16">
        <f>base!W805</f>
        <v>0</v>
      </c>
      <c r="G805" s="11">
        <f t="shared" si="120"/>
        <v>0</v>
      </c>
      <c r="H805" s="11">
        <f t="shared" si="121"/>
        <v>0</v>
      </c>
      <c r="I805" s="11">
        <f t="shared" si="122"/>
        <v>0</v>
      </c>
      <c r="J805" s="12">
        <f t="shared" si="123"/>
        <v>0</v>
      </c>
      <c r="K805" s="17" t="str">
        <f t="shared" si="128"/>
        <v>Pas d'écart</v>
      </c>
      <c r="L805" s="16">
        <f>base!X805</f>
        <v>0</v>
      </c>
      <c r="M805" s="11">
        <f t="shared" si="124"/>
        <v>0</v>
      </c>
      <c r="N805" s="11">
        <f t="shared" si="125"/>
        <v>0</v>
      </c>
      <c r="O805" s="11">
        <f t="shared" si="126"/>
        <v>0</v>
      </c>
      <c r="P805" s="12">
        <f t="shared" si="127"/>
        <v>0</v>
      </c>
      <c r="Q805" s="17" t="str">
        <f t="shared" si="129"/>
        <v>Pas d'écart</v>
      </c>
    </row>
    <row r="806" spans="1:18" x14ac:dyDescent="0.3">
      <c r="A806" s="34">
        <f>base!J806</f>
        <v>0</v>
      </c>
      <c r="B806" s="34" t="str">
        <f>base!V806</f>
        <v>77184</v>
      </c>
      <c r="C806" s="37">
        <v>77</v>
      </c>
      <c r="D806" s="36">
        <f>base!H806</f>
        <v>146.52000000000001</v>
      </c>
      <c r="E806" s="44"/>
      <c r="F806" s="16">
        <f>base!W806</f>
        <v>0</v>
      </c>
      <c r="G806" s="11">
        <f t="shared" si="120"/>
        <v>0</v>
      </c>
      <c r="H806" s="11">
        <f t="shared" si="121"/>
        <v>0</v>
      </c>
      <c r="I806" s="11">
        <f t="shared" si="122"/>
        <v>0</v>
      </c>
      <c r="J806" s="12">
        <f t="shared" si="123"/>
        <v>0</v>
      </c>
      <c r="K806" s="17" t="str">
        <f t="shared" si="128"/>
        <v>Pas d'écart</v>
      </c>
      <c r="L806" s="16">
        <f>base!X806</f>
        <v>0</v>
      </c>
      <c r="M806" s="11">
        <f t="shared" si="124"/>
        <v>0</v>
      </c>
      <c r="N806" s="11">
        <f t="shared" si="125"/>
        <v>0</v>
      </c>
      <c r="O806" s="11">
        <f t="shared" si="126"/>
        <v>0</v>
      </c>
      <c r="P806" s="12">
        <f t="shared" si="127"/>
        <v>0</v>
      </c>
      <c r="Q806" s="17" t="str">
        <f t="shared" si="129"/>
        <v>Pas d'écart</v>
      </c>
    </row>
    <row r="807" spans="1:18" x14ac:dyDescent="0.3">
      <c r="A807" s="34">
        <f>base!J807</f>
        <v>0</v>
      </c>
      <c r="B807" s="34" t="str">
        <f>base!V807</f>
        <v>77184</v>
      </c>
      <c r="C807" s="37">
        <v>77</v>
      </c>
      <c r="D807" s="36">
        <f>base!H807</f>
        <v>68.3</v>
      </c>
      <c r="E807" s="44"/>
      <c r="F807" s="16">
        <f>base!W807</f>
        <v>0</v>
      </c>
      <c r="G807" s="11">
        <f t="shared" si="120"/>
        <v>0</v>
      </c>
      <c r="H807" s="11">
        <f t="shared" si="121"/>
        <v>0</v>
      </c>
      <c r="I807" s="11">
        <f t="shared" si="122"/>
        <v>0</v>
      </c>
      <c r="J807" s="12">
        <f t="shared" si="123"/>
        <v>0</v>
      </c>
      <c r="K807" s="17" t="str">
        <f t="shared" si="128"/>
        <v>Pas d'écart</v>
      </c>
      <c r="L807" s="16">
        <f>base!X807</f>
        <v>0</v>
      </c>
      <c r="M807" s="11">
        <f t="shared" si="124"/>
        <v>0</v>
      </c>
      <c r="N807" s="11">
        <f t="shared" si="125"/>
        <v>0</v>
      </c>
      <c r="O807" s="11">
        <f t="shared" si="126"/>
        <v>0</v>
      </c>
      <c r="P807" s="12">
        <f t="shared" si="127"/>
        <v>0</v>
      </c>
      <c r="Q807" s="17" t="str">
        <f t="shared" si="129"/>
        <v>Pas d'écart</v>
      </c>
    </row>
    <row r="808" spans="1:18" x14ac:dyDescent="0.3">
      <c r="A808" s="34" t="str">
        <f>base!J808</f>
        <v>LS</v>
      </c>
      <c r="B808" s="34" t="str">
        <f>base!V808</f>
        <v>75009</v>
      </c>
      <c r="C808" s="37">
        <v>75</v>
      </c>
      <c r="D808" s="36">
        <f>base!H808</f>
        <v>20.51</v>
      </c>
      <c r="E808" s="44"/>
      <c r="F808" s="16">
        <f>base!W808</f>
        <v>0</v>
      </c>
      <c r="G808" s="11">
        <f t="shared" si="120"/>
        <v>0</v>
      </c>
      <c r="H808" s="11">
        <f t="shared" si="121"/>
        <v>0</v>
      </c>
      <c r="I808" s="11">
        <f t="shared" si="122"/>
        <v>0</v>
      </c>
      <c r="J808" s="12">
        <f t="shared" si="123"/>
        <v>0</v>
      </c>
      <c r="K808" s="17" t="str">
        <f t="shared" si="128"/>
        <v>Pas d'écart</v>
      </c>
      <c r="L808" s="16">
        <f>base!X808</f>
        <v>0</v>
      </c>
      <c r="M808" s="11">
        <f t="shared" si="124"/>
        <v>0</v>
      </c>
      <c r="N808" s="11">
        <f t="shared" si="125"/>
        <v>0</v>
      </c>
      <c r="O808" s="11">
        <f t="shared" si="126"/>
        <v>0</v>
      </c>
      <c r="P808" s="12">
        <f t="shared" si="127"/>
        <v>0</v>
      </c>
      <c r="Q808" s="17" t="str">
        <f t="shared" si="129"/>
        <v>Pas d'écart</v>
      </c>
    </row>
    <row r="809" spans="1:18" x14ac:dyDescent="0.3">
      <c r="A809" s="34" t="str">
        <f>base!J809</f>
        <v>DLS</v>
      </c>
      <c r="B809" s="34" t="str">
        <f>base!V809</f>
        <v>44240</v>
      </c>
      <c r="C809" s="37">
        <v>44</v>
      </c>
      <c r="D809" s="36">
        <f>base!H809</f>
        <v>151</v>
      </c>
      <c r="E809" s="44"/>
      <c r="F809" s="16">
        <f>base!W809</f>
        <v>40.770000000000003</v>
      </c>
      <c r="G809" s="11">
        <f t="shared" si="120"/>
        <v>0.27</v>
      </c>
      <c r="H809" s="11">
        <f t="shared" si="121"/>
        <v>40.770000000000003</v>
      </c>
      <c r="I809" s="11">
        <f t="shared" si="122"/>
        <v>0.27</v>
      </c>
      <c r="J809" s="12">
        <f t="shared" si="123"/>
        <v>0</v>
      </c>
      <c r="K809" s="17" t="str">
        <f t="shared" si="128"/>
        <v>Pas d'écart</v>
      </c>
      <c r="L809" s="16">
        <f>base!X809</f>
        <v>0</v>
      </c>
      <c r="M809" s="11">
        <f t="shared" si="124"/>
        <v>0</v>
      </c>
      <c r="N809" s="11">
        <f t="shared" si="125"/>
        <v>0</v>
      </c>
      <c r="O809" s="11">
        <f t="shared" si="126"/>
        <v>0</v>
      </c>
      <c r="P809" s="12">
        <f t="shared" si="127"/>
        <v>0</v>
      </c>
      <c r="Q809" s="17" t="str">
        <f t="shared" si="129"/>
        <v>Pas d'écart</v>
      </c>
    </row>
    <row r="810" spans="1:18" x14ac:dyDescent="0.3">
      <c r="A810" s="34" t="str">
        <f>base!J810</f>
        <v>RS</v>
      </c>
      <c r="B810" s="34" t="str">
        <f>base!V810</f>
        <v>62000</v>
      </c>
      <c r="C810" s="37">
        <v>62</v>
      </c>
      <c r="D810" s="36">
        <f>base!H810</f>
        <v>250</v>
      </c>
      <c r="E810" s="44"/>
      <c r="F810" s="16">
        <f>base!W810</f>
        <v>0</v>
      </c>
      <c r="G810" s="11">
        <f t="shared" si="120"/>
        <v>0</v>
      </c>
      <c r="H810" s="11">
        <f t="shared" si="121"/>
        <v>47.5</v>
      </c>
      <c r="I810" s="11">
        <f t="shared" si="122"/>
        <v>0.19</v>
      </c>
      <c r="J810" s="12">
        <f t="shared" si="123"/>
        <v>-47.5</v>
      </c>
      <c r="K810" s="17" t="str">
        <f t="shared" si="128"/>
        <v>Ecart négatif</v>
      </c>
      <c r="L810" s="16">
        <f>base!X810</f>
        <v>0</v>
      </c>
      <c r="M810" s="11">
        <f t="shared" si="124"/>
        <v>0</v>
      </c>
      <c r="N810" s="11">
        <f t="shared" si="125"/>
        <v>0</v>
      </c>
      <c r="O810" s="11">
        <f t="shared" si="126"/>
        <v>0</v>
      </c>
      <c r="P810" s="12">
        <f t="shared" si="127"/>
        <v>0</v>
      </c>
      <c r="Q810" s="17" t="str">
        <f t="shared" si="129"/>
        <v>Pas d'écart</v>
      </c>
    </row>
    <row r="811" spans="1:18" x14ac:dyDescent="0.3">
      <c r="A811" s="34" t="str">
        <f>base!J811</f>
        <v>DRS</v>
      </c>
      <c r="B811" s="34" t="str">
        <f>base!V811</f>
        <v>31240</v>
      </c>
      <c r="C811" s="37">
        <v>31</v>
      </c>
      <c r="D811" s="36">
        <f>base!H811</f>
        <v>131.74</v>
      </c>
      <c r="E811" s="44"/>
      <c r="F811" s="16">
        <f>base!W811</f>
        <v>0</v>
      </c>
      <c r="G811" s="11">
        <f t="shared" si="120"/>
        <v>0</v>
      </c>
      <c r="H811" s="11">
        <f t="shared" si="121"/>
        <v>25.030600000000003</v>
      </c>
      <c r="I811" s="11">
        <f t="shared" si="122"/>
        <v>0.19</v>
      </c>
      <c r="J811" s="12">
        <f t="shared" si="123"/>
        <v>-25.030600000000003</v>
      </c>
      <c r="K811" s="17" t="str">
        <f t="shared" si="128"/>
        <v>Ecart négatif</v>
      </c>
      <c r="L811" s="16">
        <f>base!X811</f>
        <v>0</v>
      </c>
      <c r="M811" s="11">
        <f t="shared" si="124"/>
        <v>0</v>
      </c>
      <c r="N811" s="11">
        <f t="shared" si="125"/>
        <v>34.252400000000002</v>
      </c>
      <c r="O811" s="11">
        <f t="shared" si="126"/>
        <v>0.26</v>
      </c>
      <c r="P811" s="12">
        <f t="shared" si="127"/>
        <v>-34.252400000000002</v>
      </c>
      <c r="Q811" s="17" t="str">
        <f t="shared" si="129"/>
        <v>Ecart négatif</v>
      </c>
    </row>
    <row r="812" spans="1:18" x14ac:dyDescent="0.3">
      <c r="A812" s="34" t="str">
        <f>base!J812</f>
        <v>LM</v>
      </c>
      <c r="B812" s="34" t="str">
        <f>base!V812</f>
        <v>13790</v>
      </c>
      <c r="C812" s="37">
        <v>76</v>
      </c>
      <c r="D812" s="36">
        <f>base!H812</f>
        <v>107.72</v>
      </c>
      <c r="E812" s="44"/>
      <c r="F812" s="16">
        <f>base!W812</f>
        <v>31.24</v>
      </c>
      <c r="G812" s="11">
        <f t="shared" si="120"/>
        <v>0.29001113999257333</v>
      </c>
      <c r="H812" s="11">
        <f t="shared" si="121"/>
        <v>18.3124</v>
      </c>
      <c r="I812" s="11">
        <f t="shared" si="122"/>
        <v>0.17</v>
      </c>
      <c r="J812" s="12">
        <f t="shared" si="123"/>
        <v>12.927599999999998</v>
      </c>
      <c r="K812" s="17" t="str">
        <f t="shared" si="128"/>
        <v>Ecart positif</v>
      </c>
      <c r="L812" s="16">
        <f>base!X812</f>
        <v>0</v>
      </c>
      <c r="M812" s="11">
        <f t="shared" si="124"/>
        <v>0</v>
      </c>
      <c r="N812" s="11">
        <f t="shared" si="125"/>
        <v>18.3124</v>
      </c>
      <c r="O812" s="11">
        <f t="shared" si="126"/>
        <v>0.17</v>
      </c>
      <c r="P812" s="12">
        <f t="shared" si="127"/>
        <v>-18.3124</v>
      </c>
      <c r="Q812" s="17" t="str">
        <f t="shared" si="129"/>
        <v>Ecart négatif</v>
      </c>
    </row>
    <row r="813" spans="1:18" x14ac:dyDescent="0.3">
      <c r="A813" s="34" t="str">
        <f>base!J813</f>
        <v>LS</v>
      </c>
      <c r="B813" s="34" t="str">
        <f>base!V813</f>
        <v>76100</v>
      </c>
      <c r="C813" s="37">
        <v>27</v>
      </c>
      <c r="D813" s="36">
        <f>base!H813</f>
        <v>5.6</v>
      </c>
      <c r="E813" s="44"/>
      <c r="F813" s="16">
        <f>base!W813</f>
        <v>0.95</v>
      </c>
      <c r="G813" s="11">
        <f t="shared" si="120"/>
        <v>0.16964285714285715</v>
      </c>
      <c r="H813" s="11">
        <f t="shared" si="121"/>
        <v>0.95199999999999996</v>
      </c>
      <c r="I813" s="11">
        <f t="shared" si="122"/>
        <v>0.17</v>
      </c>
      <c r="J813" s="12">
        <f t="shared" si="123"/>
        <v>-2.0000000000000018E-3</v>
      </c>
      <c r="K813" s="17" t="str">
        <f t="shared" si="128"/>
        <v>Ecart négatif</v>
      </c>
      <c r="L813" s="16">
        <f>base!X813</f>
        <v>0</v>
      </c>
      <c r="M813" s="11">
        <f t="shared" si="124"/>
        <v>0</v>
      </c>
      <c r="N813" s="11">
        <f t="shared" si="125"/>
        <v>0.95199999999999996</v>
      </c>
      <c r="O813" s="11">
        <f t="shared" si="126"/>
        <v>0.17</v>
      </c>
      <c r="P813" s="12">
        <f t="shared" si="127"/>
        <v>-0.95199999999999996</v>
      </c>
      <c r="Q813" s="17" t="str">
        <f t="shared" si="129"/>
        <v>Ecart négatif</v>
      </c>
    </row>
    <row r="814" spans="1:18" x14ac:dyDescent="0.3">
      <c r="A814" s="34" t="str">
        <f>base!J814</f>
        <v>RM</v>
      </c>
      <c r="B814" s="34" t="str">
        <f>base!V814</f>
        <v>62180</v>
      </c>
      <c r="C814" s="37">
        <v>62</v>
      </c>
      <c r="D814" s="36">
        <f>base!H814</f>
        <v>140</v>
      </c>
      <c r="E814" s="44"/>
      <c r="F814" s="16">
        <f>base!W814</f>
        <v>0</v>
      </c>
      <c r="G814" s="11">
        <f t="shared" si="120"/>
        <v>0</v>
      </c>
      <c r="H814" s="11">
        <f t="shared" si="121"/>
        <v>26.6</v>
      </c>
      <c r="I814" s="11">
        <f t="shared" si="122"/>
        <v>0.19</v>
      </c>
      <c r="J814" s="12">
        <f t="shared" si="123"/>
        <v>-26.6</v>
      </c>
      <c r="K814" s="17" t="str">
        <f t="shared" si="128"/>
        <v>Ecart négatif</v>
      </c>
      <c r="L814" s="16">
        <f>base!X814</f>
        <v>0</v>
      </c>
      <c r="M814" s="11">
        <f t="shared" si="124"/>
        <v>0</v>
      </c>
      <c r="N814" s="11">
        <f t="shared" si="125"/>
        <v>0</v>
      </c>
      <c r="O814" s="11">
        <f t="shared" si="126"/>
        <v>0</v>
      </c>
      <c r="P814" s="12">
        <f t="shared" si="127"/>
        <v>0</v>
      </c>
      <c r="Q814" s="17" t="str">
        <f t="shared" si="129"/>
        <v>Pas d'écart</v>
      </c>
    </row>
    <row r="815" spans="1:18" x14ac:dyDescent="0.3">
      <c r="A815" s="34" t="str">
        <f>base!J815</f>
        <v>RS</v>
      </c>
      <c r="B815" s="34" t="str">
        <f>base!V815</f>
        <v>67850</v>
      </c>
      <c r="C815" s="37">
        <v>67</v>
      </c>
      <c r="D815" s="36">
        <f>base!H815</f>
        <v>153.97999999999999</v>
      </c>
      <c r="E815" s="44"/>
      <c r="F815" s="16">
        <f>base!W815</f>
        <v>0</v>
      </c>
      <c r="G815" s="11">
        <f t="shared" si="120"/>
        <v>0</v>
      </c>
      <c r="H815" s="11">
        <f t="shared" si="121"/>
        <v>44.654199999999996</v>
      </c>
      <c r="I815" s="11">
        <f t="shared" si="122"/>
        <v>0.28999999999999998</v>
      </c>
      <c r="J815" s="12">
        <f t="shared" si="123"/>
        <v>-44.654199999999996</v>
      </c>
      <c r="K815" s="17" t="str">
        <f t="shared" si="128"/>
        <v>Ecart négatif</v>
      </c>
      <c r="L815" s="16">
        <f>base!X815</f>
        <v>12.32</v>
      </c>
      <c r="M815" s="11">
        <f t="shared" si="124"/>
        <v>8.0010390959864924E-2</v>
      </c>
      <c r="N815" s="11">
        <f t="shared" si="125"/>
        <v>12.318399999999999</v>
      </c>
      <c r="O815" s="11">
        <f t="shared" si="126"/>
        <v>0.08</v>
      </c>
      <c r="P815" s="12">
        <f t="shared" si="127"/>
        <v>1.6000000000016001E-3</v>
      </c>
      <c r="Q815" s="17" t="str">
        <f t="shared" si="129"/>
        <v>Ecart positif</v>
      </c>
      <c r="R815" s="38"/>
    </row>
    <row r="816" spans="1:18" x14ac:dyDescent="0.3">
      <c r="A816" s="34" t="str">
        <f>base!J816</f>
        <v>RS</v>
      </c>
      <c r="B816" s="34" t="str">
        <f>base!V816</f>
        <v>62600</v>
      </c>
      <c r="C816" s="37">
        <v>62</v>
      </c>
      <c r="D816" s="36">
        <f>base!H816</f>
        <v>180</v>
      </c>
      <c r="E816" s="44"/>
      <c r="F816" s="16">
        <f>base!W816</f>
        <v>0</v>
      </c>
      <c r="G816" s="11">
        <f t="shared" si="120"/>
        <v>0</v>
      </c>
      <c r="H816" s="11">
        <f t="shared" si="121"/>
        <v>34.200000000000003</v>
      </c>
      <c r="I816" s="11">
        <f t="shared" si="122"/>
        <v>0.19</v>
      </c>
      <c r="J816" s="12">
        <f t="shared" si="123"/>
        <v>-34.200000000000003</v>
      </c>
      <c r="K816" s="17" t="str">
        <f t="shared" si="128"/>
        <v>Ecart négatif</v>
      </c>
      <c r="L816" s="16">
        <f>base!X816</f>
        <v>0</v>
      </c>
      <c r="M816" s="11">
        <f t="shared" si="124"/>
        <v>0</v>
      </c>
      <c r="N816" s="11">
        <f t="shared" si="125"/>
        <v>0</v>
      </c>
      <c r="O816" s="11">
        <f t="shared" si="126"/>
        <v>0</v>
      </c>
      <c r="P816" s="12">
        <f t="shared" si="127"/>
        <v>0</v>
      </c>
      <c r="Q816" s="17" t="str">
        <f t="shared" si="129"/>
        <v>Pas d'écart</v>
      </c>
    </row>
    <row r="817" spans="1:18" x14ac:dyDescent="0.3">
      <c r="A817" s="34" t="str">
        <f>base!J817</f>
        <v>RS</v>
      </c>
      <c r="B817" s="34" t="str">
        <f>base!V817</f>
        <v>75010</v>
      </c>
      <c r="C817" s="37">
        <v>75</v>
      </c>
      <c r="D817" s="36">
        <f>base!H817</f>
        <v>119.94</v>
      </c>
      <c r="E817" s="44"/>
      <c r="F817" s="16">
        <f>base!W817</f>
        <v>0</v>
      </c>
      <c r="G817" s="11">
        <f t="shared" si="120"/>
        <v>0</v>
      </c>
      <c r="H817" s="11">
        <f t="shared" si="121"/>
        <v>0</v>
      </c>
      <c r="I817" s="11">
        <f t="shared" si="122"/>
        <v>0</v>
      </c>
      <c r="J817" s="12">
        <f t="shared" si="123"/>
        <v>0</v>
      </c>
      <c r="K817" s="17" t="str">
        <f t="shared" si="128"/>
        <v>Pas d'écart</v>
      </c>
      <c r="L817" s="16">
        <f>base!X817</f>
        <v>0</v>
      </c>
      <c r="M817" s="11">
        <f t="shared" si="124"/>
        <v>0</v>
      </c>
      <c r="N817" s="11">
        <f t="shared" si="125"/>
        <v>0</v>
      </c>
      <c r="O817" s="11">
        <f t="shared" si="126"/>
        <v>0</v>
      </c>
      <c r="P817" s="12">
        <f t="shared" si="127"/>
        <v>0</v>
      </c>
      <c r="Q817" s="17" t="str">
        <f t="shared" si="129"/>
        <v>Pas d'écart</v>
      </c>
    </row>
    <row r="818" spans="1:18" x14ac:dyDescent="0.3">
      <c r="A818" s="34" t="str">
        <f>base!J818</f>
        <v>RM</v>
      </c>
      <c r="B818" s="34" t="str">
        <f>base!V818</f>
        <v>35470</v>
      </c>
      <c r="C818" s="37">
        <v>35</v>
      </c>
      <c r="D818" s="36">
        <f>base!H818</f>
        <v>201.39</v>
      </c>
      <c r="E818" s="44"/>
      <c r="F818" s="16">
        <f>base!W818</f>
        <v>0</v>
      </c>
      <c r="G818" s="11">
        <f t="shared" si="120"/>
        <v>0</v>
      </c>
      <c r="H818" s="11">
        <f t="shared" si="121"/>
        <v>54.375300000000003</v>
      </c>
      <c r="I818" s="11">
        <f t="shared" si="122"/>
        <v>0.27</v>
      </c>
      <c r="J818" s="12">
        <f t="shared" si="123"/>
        <v>-54.375300000000003</v>
      </c>
      <c r="K818" s="17" t="str">
        <f t="shared" si="128"/>
        <v>Ecart négatif</v>
      </c>
      <c r="L818" s="16">
        <f>base!X818</f>
        <v>0</v>
      </c>
      <c r="M818" s="11">
        <f t="shared" si="124"/>
        <v>0</v>
      </c>
      <c r="N818" s="11">
        <f t="shared" si="125"/>
        <v>0</v>
      </c>
      <c r="O818" s="11">
        <f t="shared" si="126"/>
        <v>0</v>
      </c>
      <c r="P818" s="12">
        <f t="shared" si="127"/>
        <v>0</v>
      </c>
      <c r="Q818" s="17" t="str">
        <f t="shared" si="129"/>
        <v>Pas d'écart</v>
      </c>
    </row>
    <row r="819" spans="1:18" x14ac:dyDescent="0.3">
      <c r="A819" s="34" t="str">
        <f>base!J819</f>
        <v>LM</v>
      </c>
      <c r="B819" s="34" t="str">
        <f>base!V819</f>
        <v>59720</v>
      </c>
      <c r="C819" s="37">
        <v>76</v>
      </c>
      <c r="D819" s="36">
        <f>base!H819</f>
        <v>105.02</v>
      </c>
      <c r="E819" s="44"/>
      <c r="F819" s="16">
        <f>base!W819</f>
        <v>19.95</v>
      </c>
      <c r="G819" s="11">
        <f t="shared" si="120"/>
        <v>0.18996381641592078</v>
      </c>
      <c r="H819" s="11">
        <f t="shared" si="121"/>
        <v>17.853400000000001</v>
      </c>
      <c r="I819" s="11">
        <f t="shared" si="122"/>
        <v>0.17</v>
      </c>
      <c r="J819" s="12">
        <f t="shared" si="123"/>
        <v>2.0965999999999987</v>
      </c>
      <c r="K819" s="17" t="str">
        <f t="shared" si="128"/>
        <v>Ecart positif</v>
      </c>
      <c r="L819" s="16">
        <f>base!X819</f>
        <v>0</v>
      </c>
      <c r="M819" s="11">
        <f t="shared" si="124"/>
        <v>0</v>
      </c>
      <c r="N819" s="11">
        <f t="shared" si="125"/>
        <v>17.853400000000001</v>
      </c>
      <c r="O819" s="11">
        <f t="shared" si="126"/>
        <v>0.17</v>
      </c>
      <c r="P819" s="12">
        <f t="shared" si="127"/>
        <v>-17.853400000000001</v>
      </c>
      <c r="Q819" s="17" t="str">
        <f t="shared" si="129"/>
        <v>Ecart négatif</v>
      </c>
    </row>
    <row r="820" spans="1:18" x14ac:dyDescent="0.3">
      <c r="A820" s="34" t="str">
        <f>base!J820</f>
        <v>LM</v>
      </c>
      <c r="B820" s="34" t="str">
        <f>base!V820</f>
        <v>55270</v>
      </c>
      <c r="C820" s="37">
        <v>76</v>
      </c>
      <c r="D820" s="36">
        <f>base!H820</f>
        <v>19.8</v>
      </c>
      <c r="E820" s="44"/>
      <c r="F820" s="16">
        <f>base!W820</f>
        <v>4.95</v>
      </c>
      <c r="G820" s="11">
        <f t="shared" si="120"/>
        <v>0.25</v>
      </c>
      <c r="H820" s="11">
        <f t="shared" si="121"/>
        <v>3.3660000000000005</v>
      </c>
      <c r="I820" s="11">
        <f t="shared" si="122"/>
        <v>0.17</v>
      </c>
      <c r="J820" s="12">
        <f t="shared" si="123"/>
        <v>1.5839999999999996</v>
      </c>
      <c r="K820" s="17" t="str">
        <f t="shared" si="128"/>
        <v>Ecart positif</v>
      </c>
      <c r="L820" s="16">
        <f>base!X820</f>
        <v>0</v>
      </c>
      <c r="M820" s="11">
        <f t="shared" si="124"/>
        <v>0</v>
      </c>
      <c r="N820" s="11">
        <f t="shared" si="125"/>
        <v>3.3660000000000005</v>
      </c>
      <c r="O820" s="11">
        <f t="shared" si="126"/>
        <v>0.17</v>
      </c>
      <c r="P820" s="12">
        <f t="shared" si="127"/>
        <v>-3.3660000000000005</v>
      </c>
      <c r="Q820" s="17" t="str">
        <f t="shared" si="129"/>
        <v>Ecart négatif</v>
      </c>
    </row>
    <row r="821" spans="1:18" x14ac:dyDescent="0.3">
      <c r="A821" s="34" t="str">
        <f>base!J821</f>
        <v>RS</v>
      </c>
      <c r="B821" s="34" t="str">
        <f>base!V821</f>
        <v>68000</v>
      </c>
      <c r="C821" s="37">
        <v>68</v>
      </c>
      <c r="D821" s="36">
        <f>base!H821</f>
        <v>68.3</v>
      </c>
      <c r="E821" s="44"/>
      <c r="F821" s="16">
        <f>base!W821</f>
        <v>0</v>
      </c>
      <c r="G821" s="11">
        <f t="shared" si="120"/>
        <v>0</v>
      </c>
      <c r="H821" s="11">
        <f t="shared" si="121"/>
        <v>19.806999999999999</v>
      </c>
      <c r="I821" s="11">
        <f t="shared" si="122"/>
        <v>0.28999999999999998</v>
      </c>
      <c r="J821" s="12">
        <f t="shared" si="123"/>
        <v>-19.806999999999999</v>
      </c>
      <c r="K821" s="17" t="str">
        <f t="shared" si="128"/>
        <v>Ecart négatif</v>
      </c>
      <c r="L821" s="16">
        <f>base!X821</f>
        <v>5.46</v>
      </c>
      <c r="M821" s="11">
        <f t="shared" si="124"/>
        <v>7.9941434846266479E-2</v>
      </c>
      <c r="N821" s="11">
        <f t="shared" si="125"/>
        <v>5.4639999999999995</v>
      </c>
      <c r="O821" s="11">
        <f t="shared" si="126"/>
        <v>0.08</v>
      </c>
      <c r="P821" s="12">
        <f t="shared" si="127"/>
        <v>-3.9999999999995595E-3</v>
      </c>
      <c r="Q821" s="17" t="str">
        <f t="shared" si="129"/>
        <v>Ecart négatif</v>
      </c>
      <c r="R821" s="38"/>
    </row>
    <row r="822" spans="1:18" x14ac:dyDescent="0.3">
      <c r="A822" s="34" t="str">
        <f>base!J822</f>
        <v>RM</v>
      </c>
      <c r="B822" s="34" t="str">
        <f>base!V822</f>
        <v>50200</v>
      </c>
      <c r="C822" s="37">
        <v>50</v>
      </c>
      <c r="D822" s="36">
        <f>base!H822</f>
        <v>151</v>
      </c>
      <c r="E822" s="44"/>
      <c r="F822" s="16">
        <f>base!W822</f>
        <v>0</v>
      </c>
      <c r="G822" s="11">
        <f t="shared" si="120"/>
        <v>0</v>
      </c>
      <c r="H822" s="11">
        <f t="shared" si="121"/>
        <v>25.67</v>
      </c>
      <c r="I822" s="11">
        <f t="shared" si="122"/>
        <v>0.17</v>
      </c>
      <c r="J822" s="12">
        <f t="shared" si="123"/>
        <v>-25.67</v>
      </c>
      <c r="K822" s="17" t="str">
        <f t="shared" si="128"/>
        <v>Ecart négatif</v>
      </c>
      <c r="L822" s="16">
        <f>base!X822</f>
        <v>0</v>
      </c>
      <c r="M822" s="11">
        <f t="shared" si="124"/>
        <v>0</v>
      </c>
      <c r="N822" s="11">
        <f t="shared" si="125"/>
        <v>25.67</v>
      </c>
      <c r="O822" s="11">
        <f t="shared" si="126"/>
        <v>0.17</v>
      </c>
      <c r="P822" s="12">
        <f t="shared" si="127"/>
        <v>-25.67</v>
      </c>
      <c r="Q822" s="17" t="str">
        <f t="shared" si="129"/>
        <v>Ecart négatif</v>
      </c>
    </row>
    <row r="823" spans="1:18" x14ac:dyDescent="0.3">
      <c r="A823" s="34" t="str">
        <f>base!J823</f>
        <v>LM</v>
      </c>
      <c r="B823" s="34" t="str">
        <f>base!V823</f>
        <v>69005</v>
      </c>
      <c r="C823" s="37">
        <v>76</v>
      </c>
      <c r="D823" s="36">
        <f>base!H823</f>
        <v>33.35</v>
      </c>
      <c r="E823" s="44"/>
      <c r="F823" s="16">
        <f>base!W823</f>
        <v>9</v>
      </c>
      <c r="G823" s="11">
        <f t="shared" si="120"/>
        <v>0.26986506746626687</v>
      </c>
      <c r="H823" s="11">
        <f t="shared" si="121"/>
        <v>5.6695000000000002</v>
      </c>
      <c r="I823" s="11">
        <f t="shared" si="122"/>
        <v>0.17</v>
      </c>
      <c r="J823" s="12">
        <f t="shared" si="123"/>
        <v>3.3304999999999998</v>
      </c>
      <c r="K823" s="17" t="str">
        <f t="shared" si="128"/>
        <v>Ecart positif</v>
      </c>
      <c r="L823" s="16">
        <f>base!X823</f>
        <v>0</v>
      </c>
      <c r="M823" s="11">
        <f t="shared" si="124"/>
        <v>0</v>
      </c>
      <c r="N823" s="11">
        <f t="shared" si="125"/>
        <v>5.6695000000000002</v>
      </c>
      <c r="O823" s="11">
        <f t="shared" si="126"/>
        <v>0.17</v>
      </c>
      <c r="P823" s="12">
        <f t="shared" si="127"/>
        <v>-5.6695000000000002</v>
      </c>
      <c r="Q823" s="17" t="str">
        <f t="shared" si="129"/>
        <v>Ecart négatif</v>
      </c>
    </row>
    <row r="824" spans="1:18" x14ac:dyDescent="0.3">
      <c r="A824" s="34" t="str">
        <f>base!J824</f>
        <v>LS</v>
      </c>
      <c r="B824" s="34" t="str">
        <f>base!V824</f>
        <v>69005</v>
      </c>
      <c r="C824" s="37">
        <v>76</v>
      </c>
      <c r="D824" s="36">
        <f>base!H824</f>
        <v>33.35</v>
      </c>
      <c r="E824" s="44"/>
      <c r="F824" s="16">
        <f>base!W824</f>
        <v>9</v>
      </c>
      <c r="G824" s="11">
        <f t="shared" si="120"/>
        <v>0.26986506746626687</v>
      </c>
      <c r="H824" s="11">
        <f t="shared" si="121"/>
        <v>5.6695000000000002</v>
      </c>
      <c r="I824" s="11">
        <f t="shared" si="122"/>
        <v>0.17</v>
      </c>
      <c r="J824" s="12">
        <f t="shared" si="123"/>
        <v>3.3304999999999998</v>
      </c>
      <c r="K824" s="17" t="str">
        <f t="shared" si="128"/>
        <v>Ecart positif</v>
      </c>
      <c r="L824" s="16">
        <f>base!X824</f>
        <v>0</v>
      </c>
      <c r="M824" s="11">
        <f t="shared" si="124"/>
        <v>0</v>
      </c>
      <c r="N824" s="11">
        <f t="shared" si="125"/>
        <v>5.6695000000000002</v>
      </c>
      <c r="O824" s="11">
        <f t="shared" si="126"/>
        <v>0.17</v>
      </c>
      <c r="P824" s="12">
        <f t="shared" si="127"/>
        <v>-5.6695000000000002</v>
      </c>
      <c r="Q824" s="17" t="str">
        <f t="shared" si="129"/>
        <v>Ecart négatif</v>
      </c>
    </row>
    <row r="825" spans="1:18" x14ac:dyDescent="0.3">
      <c r="A825" s="34" t="str">
        <f>base!J825</f>
        <v>DLM</v>
      </c>
      <c r="B825" s="34" t="str">
        <f>base!V825</f>
        <v>94150</v>
      </c>
      <c r="C825" s="37">
        <v>94</v>
      </c>
      <c r="D825" s="36">
        <f>base!H825</f>
        <v>284</v>
      </c>
      <c r="E825" s="44"/>
      <c r="F825" s="16">
        <f>base!W825</f>
        <v>0</v>
      </c>
      <c r="G825" s="11">
        <f t="shared" si="120"/>
        <v>0</v>
      </c>
      <c r="H825" s="11">
        <f t="shared" si="121"/>
        <v>0</v>
      </c>
      <c r="I825" s="11">
        <f t="shared" si="122"/>
        <v>0</v>
      </c>
      <c r="J825" s="12">
        <f t="shared" si="123"/>
        <v>0</v>
      </c>
      <c r="K825" s="17" t="str">
        <f t="shared" si="128"/>
        <v>Pas d'écart</v>
      </c>
      <c r="L825" s="16">
        <f>base!X825</f>
        <v>0</v>
      </c>
      <c r="M825" s="11">
        <f t="shared" si="124"/>
        <v>0</v>
      </c>
      <c r="N825" s="11">
        <f t="shared" si="125"/>
        <v>0</v>
      </c>
      <c r="O825" s="11">
        <f t="shared" si="126"/>
        <v>0</v>
      </c>
      <c r="P825" s="12">
        <f t="shared" si="127"/>
        <v>0</v>
      </c>
      <c r="Q825" s="17" t="str">
        <f t="shared" si="129"/>
        <v>Pas d'écart</v>
      </c>
    </row>
    <row r="826" spans="1:18" x14ac:dyDescent="0.3">
      <c r="A826" s="34" t="str">
        <f>base!J826</f>
        <v>RS</v>
      </c>
      <c r="B826" s="34" t="str">
        <f>base!V826</f>
        <v>75015</v>
      </c>
      <c r="C826" s="37">
        <v>75</v>
      </c>
      <c r="D826" s="36">
        <f>base!H826</f>
        <v>202.33</v>
      </c>
      <c r="E826" s="44"/>
      <c r="F826" s="16">
        <f>base!W826</f>
        <v>0</v>
      </c>
      <c r="G826" s="11">
        <f t="shared" si="120"/>
        <v>0</v>
      </c>
      <c r="H826" s="11">
        <f t="shared" si="121"/>
        <v>0</v>
      </c>
      <c r="I826" s="11">
        <f t="shared" si="122"/>
        <v>0</v>
      </c>
      <c r="J826" s="12">
        <f t="shared" si="123"/>
        <v>0</v>
      </c>
      <c r="K826" s="17" t="str">
        <f t="shared" si="128"/>
        <v>Pas d'écart</v>
      </c>
      <c r="L826" s="16">
        <f>base!X826</f>
        <v>0</v>
      </c>
      <c r="M826" s="11">
        <f t="shared" si="124"/>
        <v>0</v>
      </c>
      <c r="N826" s="11">
        <f t="shared" si="125"/>
        <v>0</v>
      </c>
      <c r="O826" s="11">
        <f t="shared" si="126"/>
        <v>0</v>
      </c>
      <c r="P826" s="12">
        <f t="shared" si="127"/>
        <v>0</v>
      </c>
      <c r="Q826" s="17" t="str">
        <f t="shared" si="129"/>
        <v>Pas d'écart</v>
      </c>
    </row>
    <row r="827" spans="1:18" x14ac:dyDescent="0.3">
      <c r="A827" s="34" t="str">
        <f>base!J827</f>
        <v>DRS</v>
      </c>
      <c r="B827" s="34" t="str">
        <f>base!V827</f>
        <v>37550</v>
      </c>
      <c r="C827" s="37">
        <v>37</v>
      </c>
      <c r="D827" s="36">
        <f>base!H827</f>
        <v>67.599999999999994</v>
      </c>
      <c r="E827" s="44"/>
      <c r="F827" s="16">
        <f>base!W827</f>
        <v>0</v>
      </c>
      <c r="G827" s="11">
        <f t="shared" si="120"/>
        <v>0</v>
      </c>
      <c r="H827" s="11">
        <f t="shared" si="121"/>
        <v>12.843999999999999</v>
      </c>
      <c r="I827" s="11">
        <f t="shared" si="122"/>
        <v>0.19</v>
      </c>
      <c r="J827" s="12">
        <f t="shared" si="123"/>
        <v>-12.843999999999999</v>
      </c>
      <c r="K827" s="17" t="str">
        <f t="shared" si="128"/>
        <v>Ecart négatif</v>
      </c>
      <c r="L827" s="16">
        <f>base!X827</f>
        <v>0</v>
      </c>
      <c r="M827" s="11">
        <f t="shared" si="124"/>
        <v>0</v>
      </c>
      <c r="N827" s="11">
        <f t="shared" si="125"/>
        <v>8.1119999999999983</v>
      </c>
      <c r="O827" s="11">
        <f t="shared" si="126"/>
        <v>0.11999999999999998</v>
      </c>
      <c r="P827" s="12">
        <f t="shared" si="127"/>
        <v>-8.1119999999999983</v>
      </c>
      <c r="Q827" s="17" t="str">
        <f t="shared" si="129"/>
        <v>Ecart négatif</v>
      </c>
    </row>
    <row r="828" spans="1:18" x14ac:dyDescent="0.3">
      <c r="A828" s="34">
        <f>base!J828</f>
        <v>0</v>
      </c>
      <c r="B828" s="34" t="str">
        <f>base!V828</f>
        <v>77184</v>
      </c>
      <c r="C828" s="37">
        <v>77</v>
      </c>
      <c r="D828" s="36">
        <f>base!H828</f>
        <v>31</v>
      </c>
      <c r="E828" s="44"/>
      <c r="F828" s="16">
        <f>base!W828</f>
        <v>0</v>
      </c>
      <c r="G828" s="11">
        <f t="shared" si="120"/>
        <v>0</v>
      </c>
      <c r="H828" s="11">
        <f t="shared" si="121"/>
        <v>0</v>
      </c>
      <c r="I828" s="11">
        <f t="shared" si="122"/>
        <v>0</v>
      </c>
      <c r="J828" s="12">
        <f t="shared" si="123"/>
        <v>0</v>
      </c>
      <c r="K828" s="17" t="str">
        <f t="shared" si="128"/>
        <v>Pas d'écart</v>
      </c>
      <c r="L828" s="16">
        <f>base!X828</f>
        <v>0</v>
      </c>
      <c r="M828" s="11">
        <f t="shared" si="124"/>
        <v>0</v>
      </c>
      <c r="N828" s="11">
        <f t="shared" si="125"/>
        <v>0</v>
      </c>
      <c r="O828" s="11">
        <f t="shared" si="126"/>
        <v>0</v>
      </c>
      <c r="P828" s="12">
        <f t="shared" si="127"/>
        <v>0</v>
      </c>
      <c r="Q828" s="17" t="str">
        <f t="shared" si="129"/>
        <v>Pas d'écart</v>
      </c>
    </row>
    <row r="829" spans="1:18" x14ac:dyDescent="0.3">
      <c r="A829" s="34" t="str">
        <f>base!J829</f>
        <v>RM</v>
      </c>
      <c r="B829" s="34" t="str">
        <f>base!V829</f>
        <v>39500</v>
      </c>
      <c r="C829" s="37">
        <v>39</v>
      </c>
      <c r="D829" s="36">
        <f>base!H829</f>
        <v>29.89</v>
      </c>
      <c r="E829" s="44"/>
      <c r="F829" s="16">
        <f>base!W829</f>
        <v>0</v>
      </c>
      <c r="G829" s="11">
        <f t="shared" si="120"/>
        <v>0</v>
      </c>
      <c r="H829" s="11">
        <f t="shared" si="121"/>
        <v>8.0703000000000014</v>
      </c>
      <c r="I829" s="11">
        <f t="shared" si="122"/>
        <v>0.27</v>
      </c>
      <c r="J829" s="12">
        <f t="shared" si="123"/>
        <v>-8.0703000000000014</v>
      </c>
      <c r="K829" s="17" t="str">
        <f t="shared" si="128"/>
        <v>Ecart négatif</v>
      </c>
      <c r="L829" s="16">
        <f>base!X829</f>
        <v>0</v>
      </c>
      <c r="M829" s="11">
        <f t="shared" si="124"/>
        <v>0</v>
      </c>
      <c r="N829" s="11">
        <f t="shared" si="125"/>
        <v>0</v>
      </c>
      <c r="O829" s="11">
        <f t="shared" si="126"/>
        <v>0</v>
      </c>
      <c r="P829" s="12">
        <f t="shared" si="127"/>
        <v>0</v>
      </c>
      <c r="Q829" s="17" t="str">
        <f t="shared" si="129"/>
        <v>Pas d'écart</v>
      </c>
    </row>
    <row r="830" spans="1:18" x14ac:dyDescent="0.3">
      <c r="A830" s="34" t="str">
        <f>base!J830</f>
        <v>RS</v>
      </c>
      <c r="B830" s="34" t="str">
        <f>base!V830</f>
        <v>7013</v>
      </c>
      <c r="C830" s="37">
        <v>70</v>
      </c>
      <c r="D830" s="36">
        <f>base!H830</f>
        <v>151</v>
      </c>
      <c r="E830" s="44"/>
      <c r="F830" s="16">
        <f>base!W830</f>
        <v>0</v>
      </c>
      <c r="G830" s="11">
        <f t="shared" si="120"/>
        <v>0</v>
      </c>
      <c r="H830" s="11">
        <f t="shared" si="121"/>
        <v>36.24</v>
      </c>
      <c r="I830" s="11">
        <f t="shared" si="122"/>
        <v>0.24000000000000002</v>
      </c>
      <c r="J830" s="12">
        <f t="shared" si="123"/>
        <v>-36.24</v>
      </c>
      <c r="K830" s="17" t="str">
        <f t="shared" si="128"/>
        <v>Ecart négatif</v>
      </c>
      <c r="L830" s="16">
        <f>base!X830</f>
        <v>0</v>
      </c>
      <c r="M830" s="11">
        <f t="shared" si="124"/>
        <v>0</v>
      </c>
      <c r="N830" s="11">
        <f t="shared" si="125"/>
        <v>18.12</v>
      </c>
      <c r="O830" s="11">
        <f t="shared" si="126"/>
        <v>0.12000000000000001</v>
      </c>
      <c r="P830" s="12">
        <f t="shared" si="127"/>
        <v>-18.12</v>
      </c>
      <c r="Q830" s="17" t="str">
        <f t="shared" si="129"/>
        <v>Ecart négatif</v>
      </c>
    </row>
    <row r="831" spans="1:18" x14ac:dyDescent="0.3">
      <c r="A831" s="34" t="str">
        <f>base!J831</f>
        <v>RS</v>
      </c>
      <c r="B831" s="34" t="str">
        <f>base!V831</f>
        <v>88500</v>
      </c>
      <c r="C831" s="37">
        <v>88</v>
      </c>
      <c r="D831" s="36">
        <f>base!H831</f>
        <v>140</v>
      </c>
      <c r="E831" s="44"/>
      <c r="F831" s="16">
        <f>base!W831</f>
        <v>0</v>
      </c>
      <c r="G831" s="11">
        <f t="shared" si="120"/>
        <v>0</v>
      </c>
      <c r="H831" s="11">
        <f t="shared" si="121"/>
        <v>39.200000000000003</v>
      </c>
      <c r="I831" s="11">
        <f t="shared" si="122"/>
        <v>0.28000000000000003</v>
      </c>
      <c r="J831" s="12">
        <f t="shared" si="123"/>
        <v>-39.200000000000003</v>
      </c>
      <c r="K831" s="17" t="str">
        <f t="shared" si="128"/>
        <v>Ecart négatif</v>
      </c>
      <c r="L831" s="16">
        <f>base!X831</f>
        <v>11.2</v>
      </c>
      <c r="M831" s="11">
        <f t="shared" si="124"/>
        <v>0.08</v>
      </c>
      <c r="N831" s="11">
        <f t="shared" si="125"/>
        <v>11.200000000000001</v>
      </c>
      <c r="O831" s="11">
        <f t="shared" si="126"/>
        <v>0.08</v>
      </c>
      <c r="P831" s="12">
        <f t="shared" si="127"/>
        <v>0</v>
      </c>
      <c r="Q831" s="17" t="str">
        <f t="shared" si="129"/>
        <v>Pas d'écart</v>
      </c>
      <c r="R831" s="38"/>
    </row>
    <row r="832" spans="1:18" x14ac:dyDescent="0.3">
      <c r="A832" s="34" t="str">
        <f>base!J832</f>
        <v>RS</v>
      </c>
      <c r="B832" s="34" t="str">
        <f>base!V832</f>
        <v>13200</v>
      </c>
      <c r="C832" s="37">
        <v>13</v>
      </c>
      <c r="D832" s="36">
        <f>base!H832</f>
        <v>1149.19</v>
      </c>
      <c r="E832" s="44"/>
      <c r="F832" s="16">
        <f>base!W832</f>
        <v>0</v>
      </c>
      <c r="G832" s="11">
        <f t="shared" si="120"/>
        <v>0</v>
      </c>
      <c r="H832" s="11">
        <f t="shared" si="121"/>
        <v>333.26510000000002</v>
      </c>
      <c r="I832" s="11">
        <f t="shared" si="122"/>
        <v>0.28999999999999998</v>
      </c>
      <c r="J832" s="12">
        <f t="shared" si="123"/>
        <v>-333.26510000000002</v>
      </c>
      <c r="K832" s="17" t="str">
        <f t="shared" si="128"/>
        <v>Ecart négatif</v>
      </c>
      <c r="L832" s="16">
        <f>base!X832</f>
        <v>0</v>
      </c>
      <c r="M832" s="11">
        <f t="shared" si="124"/>
        <v>0</v>
      </c>
      <c r="N832" s="11">
        <f t="shared" si="125"/>
        <v>218.34610000000001</v>
      </c>
      <c r="O832" s="11">
        <f t="shared" si="126"/>
        <v>0.19</v>
      </c>
      <c r="P832" s="12">
        <f t="shared" si="127"/>
        <v>-218.34610000000001</v>
      </c>
      <c r="Q832" s="17" t="str">
        <f t="shared" si="129"/>
        <v>Ecart négatif</v>
      </c>
    </row>
    <row r="833" spans="1:18" x14ac:dyDescent="0.3">
      <c r="A833" s="34" t="str">
        <f>base!J833</f>
        <v>RM</v>
      </c>
      <c r="B833" s="34" t="str">
        <f>base!V833</f>
        <v>54000</v>
      </c>
      <c r="C833" s="37">
        <v>54</v>
      </c>
      <c r="D833" s="36">
        <f>base!H833</f>
        <v>108.12</v>
      </c>
      <c r="E833" s="44"/>
      <c r="F833" s="16">
        <f>base!W833</f>
        <v>0</v>
      </c>
      <c r="G833" s="11">
        <f t="shared" si="120"/>
        <v>0</v>
      </c>
      <c r="H833" s="11">
        <f t="shared" si="121"/>
        <v>27.03</v>
      </c>
      <c r="I833" s="11">
        <f t="shared" si="122"/>
        <v>0.25</v>
      </c>
      <c r="J833" s="12">
        <f t="shared" si="123"/>
        <v>-27.03</v>
      </c>
      <c r="K833" s="17" t="str">
        <f t="shared" si="128"/>
        <v>Ecart négatif</v>
      </c>
      <c r="L833" s="16">
        <f>base!X833</f>
        <v>27.03</v>
      </c>
      <c r="M833" s="11">
        <f t="shared" si="124"/>
        <v>0.25</v>
      </c>
      <c r="N833" s="11">
        <f t="shared" si="125"/>
        <v>27.03</v>
      </c>
      <c r="O833" s="11">
        <f t="shared" si="126"/>
        <v>0.25</v>
      </c>
      <c r="P833" s="12">
        <f t="shared" si="127"/>
        <v>0</v>
      </c>
      <c r="Q833" s="17" t="str">
        <f t="shared" si="129"/>
        <v>Pas d'écart</v>
      </c>
      <c r="R833" s="38"/>
    </row>
    <row r="834" spans="1:18" x14ac:dyDescent="0.3">
      <c r="A834" s="34" t="str">
        <f>base!J834</f>
        <v>RM</v>
      </c>
      <c r="B834" s="34" t="str">
        <f>base!V834</f>
        <v>38000</v>
      </c>
      <c r="C834" s="37">
        <v>38</v>
      </c>
      <c r="D834" s="36">
        <f>base!H834</f>
        <v>201</v>
      </c>
      <c r="E834" s="44"/>
      <c r="F834" s="16">
        <f>base!W834</f>
        <v>0</v>
      </c>
      <c r="G834" s="11">
        <f t="shared" ref="G834:G897" si="130">F834/D834</f>
        <v>0</v>
      </c>
      <c r="H834" s="11">
        <f t="shared" ref="H834:H897" si="131">VLOOKUP(C834,tout_cout_traction,2,FALSE)*D834</f>
        <v>54.27</v>
      </c>
      <c r="I834" s="11">
        <f t="shared" ref="I834:I897" si="132">H834/D834</f>
        <v>0.27</v>
      </c>
      <c r="J834" s="12">
        <f t="shared" ref="J834:J897" si="133">F834-H834</f>
        <v>-54.27</v>
      </c>
      <c r="K834" s="17" t="str">
        <f t="shared" si="128"/>
        <v>Ecart négatif</v>
      </c>
      <c r="L834" s="16">
        <f>base!X834</f>
        <v>54.27</v>
      </c>
      <c r="M834" s="11">
        <f t="shared" ref="M834:M897" si="134">L834/D834</f>
        <v>0.27</v>
      </c>
      <c r="N834" s="11">
        <f t="shared" ref="N834:N897" si="135">VLOOKUP(C834,tout_cout_traction,3,FALSE)*D834</f>
        <v>0</v>
      </c>
      <c r="O834" s="11">
        <f t="shared" ref="O834:O897" si="136">N834/D834</f>
        <v>0</v>
      </c>
      <c r="P834" s="12">
        <f t="shared" ref="P834:P897" si="137">L834-N834</f>
        <v>54.27</v>
      </c>
      <c r="Q834" s="17" t="str">
        <f t="shared" si="129"/>
        <v>Ecart positif</v>
      </c>
      <c r="R834" s="38"/>
    </row>
    <row r="835" spans="1:18" x14ac:dyDescent="0.3">
      <c r="A835" s="34" t="str">
        <f>base!J835</f>
        <v>DLM</v>
      </c>
      <c r="B835" s="34" t="str">
        <f>base!V835</f>
        <v>69003</v>
      </c>
      <c r="C835" s="37">
        <v>69</v>
      </c>
      <c r="D835" s="36">
        <f>base!H835</f>
        <v>52.5</v>
      </c>
      <c r="E835" s="44"/>
      <c r="F835" s="16">
        <f>base!W835</f>
        <v>0</v>
      </c>
      <c r="G835" s="11">
        <f t="shared" si="130"/>
        <v>0</v>
      </c>
      <c r="H835" s="11">
        <f t="shared" si="131"/>
        <v>14.175000000000001</v>
      </c>
      <c r="I835" s="11">
        <f t="shared" si="132"/>
        <v>0.27</v>
      </c>
      <c r="J835" s="12">
        <f t="shared" si="133"/>
        <v>-14.175000000000001</v>
      </c>
      <c r="K835" s="17" t="str">
        <f t="shared" ref="K835:K898" si="138">IF(H835=F835,"Pas d'écart",IF(H835&lt;F835,"Ecart positif",IF(H835&gt;F835,"Ecart négatif")))</f>
        <v>Ecart négatif</v>
      </c>
      <c r="L835" s="16">
        <f>base!X835</f>
        <v>0</v>
      </c>
      <c r="M835" s="11">
        <f t="shared" si="134"/>
        <v>0</v>
      </c>
      <c r="N835" s="11">
        <f t="shared" si="135"/>
        <v>0</v>
      </c>
      <c r="O835" s="11">
        <f t="shared" si="136"/>
        <v>0</v>
      </c>
      <c r="P835" s="12">
        <f t="shared" si="137"/>
        <v>0</v>
      </c>
      <c r="Q835" s="17" t="str">
        <f t="shared" ref="Q835:Q898" si="139">IF(N835=L835,"Pas d'écart",IF(N835&lt;L835,"Ecart positif",IF(N835&gt;L835,"Ecart négatif")))</f>
        <v>Pas d'écart</v>
      </c>
    </row>
    <row r="836" spans="1:18" x14ac:dyDescent="0.3">
      <c r="A836" s="34" t="str">
        <f>base!J836</f>
        <v>RS</v>
      </c>
      <c r="B836" s="34" t="str">
        <f>base!V836</f>
        <v>59287</v>
      </c>
      <c r="C836" s="37">
        <v>59</v>
      </c>
      <c r="D836" s="36">
        <f>base!H836</f>
        <v>160</v>
      </c>
      <c r="E836" s="44"/>
      <c r="F836" s="16">
        <f>base!W836</f>
        <v>0</v>
      </c>
      <c r="G836" s="11">
        <f t="shared" si="130"/>
        <v>0</v>
      </c>
      <c r="H836" s="11">
        <f t="shared" si="131"/>
        <v>30.4</v>
      </c>
      <c r="I836" s="11">
        <f t="shared" si="132"/>
        <v>0.19</v>
      </c>
      <c r="J836" s="12">
        <f t="shared" si="133"/>
        <v>-30.4</v>
      </c>
      <c r="K836" s="17" t="str">
        <f t="shared" si="138"/>
        <v>Ecart négatif</v>
      </c>
      <c r="L836" s="16">
        <f>base!X836</f>
        <v>0</v>
      </c>
      <c r="M836" s="11">
        <f t="shared" si="134"/>
        <v>0</v>
      </c>
      <c r="N836" s="11">
        <f t="shared" si="135"/>
        <v>0</v>
      </c>
      <c r="O836" s="11">
        <f t="shared" si="136"/>
        <v>0</v>
      </c>
      <c r="P836" s="12">
        <f t="shared" si="137"/>
        <v>0</v>
      </c>
      <c r="Q836" s="17" t="str">
        <f t="shared" si="139"/>
        <v>Pas d'écart</v>
      </c>
    </row>
    <row r="837" spans="1:18" x14ac:dyDescent="0.3">
      <c r="A837" s="34" t="str">
        <f>base!J837</f>
        <v>RM</v>
      </c>
      <c r="B837" s="34" t="str">
        <f>base!V837</f>
        <v>10300</v>
      </c>
      <c r="C837" s="37">
        <v>10</v>
      </c>
      <c r="D837" s="36">
        <f>base!H837</f>
        <v>183.98</v>
      </c>
      <c r="E837" s="44"/>
      <c r="F837" s="16">
        <f>base!W837</f>
        <v>0</v>
      </c>
      <c r="G837" s="11">
        <f t="shared" si="130"/>
        <v>0</v>
      </c>
      <c r="H837" s="11">
        <f t="shared" si="131"/>
        <v>42.315399999999997</v>
      </c>
      <c r="I837" s="11">
        <f t="shared" si="132"/>
        <v>0.22999999999999998</v>
      </c>
      <c r="J837" s="12">
        <f t="shared" si="133"/>
        <v>-42.315399999999997</v>
      </c>
      <c r="K837" s="17" t="str">
        <f t="shared" si="138"/>
        <v>Ecart négatif</v>
      </c>
      <c r="L837" s="16">
        <f>base!X837</f>
        <v>22.08</v>
      </c>
      <c r="M837" s="11">
        <f t="shared" si="134"/>
        <v>0.12001304489618436</v>
      </c>
      <c r="N837" s="11">
        <f t="shared" si="135"/>
        <v>22.077599999999997</v>
      </c>
      <c r="O837" s="11">
        <f t="shared" si="136"/>
        <v>0.12</v>
      </c>
      <c r="P837" s="12">
        <f t="shared" si="137"/>
        <v>2.400000000001512E-3</v>
      </c>
      <c r="Q837" s="17" t="str">
        <f t="shared" si="139"/>
        <v>Ecart positif</v>
      </c>
      <c r="R837" s="38"/>
    </row>
    <row r="838" spans="1:18" x14ac:dyDescent="0.3">
      <c r="A838" s="34" t="str">
        <f>base!J838</f>
        <v>RM</v>
      </c>
      <c r="B838" s="34" t="str">
        <f>base!V838</f>
        <v>59000</v>
      </c>
      <c r="C838" s="37">
        <v>59</v>
      </c>
      <c r="D838" s="36">
        <f>base!H838</f>
        <v>180</v>
      </c>
      <c r="E838" s="44"/>
      <c r="F838" s="16">
        <f>base!W838</f>
        <v>0</v>
      </c>
      <c r="G838" s="11">
        <f t="shared" si="130"/>
        <v>0</v>
      </c>
      <c r="H838" s="11">
        <f t="shared" si="131"/>
        <v>34.200000000000003</v>
      </c>
      <c r="I838" s="11">
        <f t="shared" si="132"/>
        <v>0.19</v>
      </c>
      <c r="J838" s="12">
        <f t="shared" si="133"/>
        <v>-34.200000000000003</v>
      </c>
      <c r="K838" s="17" t="str">
        <f t="shared" si="138"/>
        <v>Ecart négatif</v>
      </c>
      <c r="L838" s="16">
        <f>base!X838</f>
        <v>0</v>
      </c>
      <c r="M838" s="11">
        <f t="shared" si="134"/>
        <v>0</v>
      </c>
      <c r="N838" s="11">
        <f t="shared" si="135"/>
        <v>0</v>
      </c>
      <c r="O838" s="11">
        <f t="shared" si="136"/>
        <v>0</v>
      </c>
      <c r="P838" s="12">
        <f t="shared" si="137"/>
        <v>0</v>
      </c>
      <c r="Q838" s="17" t="str">
        <f t="shared" si="139"/>
        <v>Pas d'écart</v>
      </c>
    </row>
    <row r="839" spans="1:18" x14ac:dyDescent="0.3">
      <c r="A839" s="34" t="str">
        <f>base!J839</f>
        <v>DLS</v>
      </c>
      <c r="B839" s="34" t="str">
        <f>base!V839</f>
        <v>49380</v>
      </c>
      <c r="C839" s="37">
        <v>49</v>
      </c>
      <c r="D839" s="36">
        <f>base!H839</f>
        <v>193.58</v>
      </c>
      <c r="E839" s="44"/>
      <c r="F839" s="16">
        <f>base!W839</f>
        <v>0</v>
      </c>
      <c r="G839" s="11">
        <f t="shared" si="130"/>
        <v>0</v>
      </c>
      <c r="H839" s="11">
        <f t="shared" si="131"/>
        <v>52.266600000000004</v>
      </c>
      <c r="I839" s="11">
        <f t="shared" si="132"/>
        <v>0.27</v>
      </c>
      <c r="J839" s="12">
        <f t="shared" si="133"/>
        <v>-52.266600000000004</v>
      </c>
      <c r="K839" s="17" t="str">
        <f t="shared" si="138"/>
        <v>Ecart négatif</v>
      </c>
      <c r="L839" s="16">
        <f>base!X839</f>
        <v>0</v>
      </c>
      <c r="M839" s="11">
        <f t="shared" si="134"/>
        <v>0</v>
      </c>
      <c r="N839" s="11">
        <f t="shared" si="135"/>
        <v>0</v>
      </c>
      <c r="O839" s="11">
        <f t="shared" si="136"/>
        <v>0</v>
      </c>
      <c r="P839" s="12">
        <f t="shared" si="137"/>
        <v>0</v>
      </c>
      <c r="Q839" s="17" t="str">
        <f t="shared" si="139"/>
        <v>Pas d'écart</v>
      </c>
    </row>
    <row r="840" spans="1:18" x14ac:dyDescent="0.3">
      <c r="A840" s="34" t="str">
        <f>base!J840</f>
        <v>DLS</v>
      </c>
      <c r="B840" s="34" t="str">
        <f>base!V840</f>
        <v>35470</v>
      </c>
      <c r="C840" s="37">
        <v>35</v>
      </c>
      <c r="D840" s="36">
        <f>base!H840</f>
        <v>67</v>
      </c>
      <c r="E840" s="44"/>
      <c r="F840" s="16">
        <f>base!W840</f>
        <v>0</v>
      </c>
      <c r="G840" s="11">
        <f t="shared" si="130"/>
        <v>0</v>
      </c>
      <c r="H840" s="11">
        <f t="shared" si="131"/>
        <v>18.09</v>
      </c>
      <c r="I840" s="11">
        <f t="shared" si="132"/>
        <v>0.27</v>
      </c>
      <c r="J840" s="12">
        <f t="shared" si="133"/>
        <v>-18.09</v>
      </c>
      <c r="K840" s="17" t="str">
        <f t="shared" si="138"/>
        <v>Ecart négatif</v>
      </c>
      <c r="L840" s="16">
        <f>base!X840</f>
        <v>11.39</v>
      </c>
      <c r="M840" s="11">
        <f t="shared" si="134"/>
        <v>0.17</v>
      </c>
      <c r="N840" s="11">
        <f t="shared" si="135"/>
        <v>0</v>
      </c>
      <c r="O840" s="11">
        <f t="shared" si="136"/>
        <v>0</v>
      </c>
      <c r="P840" s="12">
        <f t="shared" si="137"/>
        <v>11.39</v>
      </c>
      <c r="Q840" s="17" t="str">
        <f t="shared" si="139"/>
        <v>Ecart positif</v>
      </c>
    </row>
    <row r="841" spans="1:18" x14ac:dyDescent="0.3">
      <c r="A841" s="34" t="str">
        <f>base!J841</f>
        <v>RS</v>
      </c>
      <c r="B841" s="34" t="str">
        <f>base!V841</f>
        <v>62200</v>
      </c>
      <c r="C841" s="37">
        <v>62</v>
      </c>
      <c r="D841" s="36">
        <f>base!H841</f>
        <v>46.8</v>
      </c>
      <c r="E841" s="44"/>
      <c r="F841" s="16">
        <f>base!W841</f>
        <v>0</v>
      </c>
      <c r="G841" s="11">
        <f t="shared" si="130"/>
        <v>0</v>
      </c>
      <c r="H841" s="11">
        <f t="shared" si="131"/>
        <v>8.8919999999999995</v>
      </c>
      <c r="I841" s="11">
        <f t="shared" si="132"/>
        <v>0.19</v>
      </c>
      <c r="J841" s="12">
        <f t="shared" si="133"/>
        <v>-8.8919999999999995</v>
      </c>
      <c r="K841" s="17" t="str">
        <f t="shared" si="138"/>
        <v>Ecart négatif</v>
      </c>
      <c r="L841" s="16">
        <f>base!X841</f>
        <v>0</v>
      </c>
      <c r="M841" s="11">
        <f t="shared" si="134"/>
        <v>0</v>
      </c>
      <c r="N841" s="11">
        <f t="shared" si="135"/>
        <v>0</v>
      </c>
      <c r="O841" s="11">
        <f t="shared" si="136"/>
        <v>0</v>
      </c>
      <c r="P841" s="12">
        <f t="shared" si="137"/>
        <v>0</v>
      </c>
      <c r="Q841" s="17" t="str">
        <f t="shared" si="139"/>
        <v>Pas d'écart</v>
      </c>
    </row>
    <row r="842" spans="1:18" x14ac:dyDescent="0.3">
      <c r="A842" s="34" t="str">
        <f>base!J842</f>
        <v>RM</v>
      </c>
      <c r="B842" s="34" t="str">
        <f>base!V842</f>
        <v>63390</v>
      </c>
      <c r="C842" s="37">
        <v>63</v>
      </c>
      <c r="D842" s="36">
        <f>base!H842</f>
        <v>244.98</v>
      </c>
      <c r="E842" s="44"/>
      <c r="F842" s="16">
        <f>base!W842</f>
        <v>0</v>
      </c>
      <c r="G842" s="11">
        <f t="shared" si="130"/>
        <v>0</v>
      </c>
      <c r="H842" s="11">
        <f t="shared" si="131"/>
        <v>71.044199999999989</v>
      </c>
      <c r="I842" s="11">
        <f t="shared" si="132"/>
        <v>0.28999999999999998</v>
      </c>
      <c r="J842" s="12">
        <f t="shared" si="133"/>
        <v>-71.044199999999989</v>
      </c>
      <c r="K842" s="17" t="str">
        <f t="shared" si="138"/>
        <v>Ecart négatif</v>
      </c>
      <c r="L842" s="16">
        <f>base!X842</f>
        <v>0</v>
      </c>
      <c r="M842" s="11">
        <f t="shared" si="134"/>
        <v>0</v>
      </c>
      <c r="N842" s="11">
        <f t="shared" si="135"/>
        <v>29.397599999999997</v>
      </c>
      <c r="O842" s="11">
        <f t="shared" si="136"/>
        <v>0.12</v>
      </c>
      <c r="P842" s="12">
        <f t="shared" si="137"/>
        <v>-29.397599999999997</v>
      </c>
      <c r="Q842" s="17" t="str">
        <f t="shared" si="139"/>
        <v>Ecart négatif</v>
      </c>
    </row>
    <row r="843" spans="1:18" x14ac:dyDescent="0.3">
      <c r="A843" s="34" t="str">
        <f>base!J843</f>
        <v>DRS</v>
      </c>
      <c r="B843" s="34" t="str">
        <f>base!V843</f>
        <v>92600</v>
      </c>
      <c r="C843" s="37">
        <v>92</v>
      </c>
      <c r="D843" s="36">
        <f>base!H843</f>
        <v>173.49</v>
      </c>
      <c r="E843" s="44"/>
      <c r="F843" s="16">
        <f>base!W843</f>
        <v>0</v>
      </c>
      <c r="G843" s="11">
        <f t="shared" si="130"/>
        <v>0</v>
      </c>
      <c r="H843" s="11">
        <f t="shared" si="131"/>
        <v>0</v>
      </c>
      <c r="I843" s="11">
        <f t="shared" si="132"/>
        <v>0</v>
      </c>
      <c r="J843" s="12">
        <f t="shared" si="133"/>
        <v>0</v>
      </c>
      <c r="K843" s="17" t="str">
        <f t="shared" si="138"/>
        <v>Pas d'écart</v>
      </c>
      <c r="L843" s="16">
        <f>base!X843</f>
        <v>0</v>
      </c>
      <c r="M843" s="11">
        <f t="shared" si="134"/>
        <v>0</v>
      </c>
      <c r="N843" s="11">
        <f t="shared" si="135"/>
        <v>0</v>
      </c>
      <c r="O843" s="11">
        <f t="shared" si="136"/>
        <v>0</v>
      </c>
      <c r="P843" s="12">
        <f t="shared" si="137"/>
        <v>0</v>
      </c>
      <c r="Q843" s="17" t="str">
        <f t="shared" si="139"/>
        <v>Pas d'écart</v>
      </c>
    </row>
    <row r="844" spans="1:18" x14ac:dyDescent="0.3">
      <c r="A844" s="34" t="str">
        <f>base!J844</f>
        <v>RM</v>
      </c>
      <c r="B844" s="34" t="str">
        <f>base!V844</f>
        <v>27000</v>
      </c>
      <c r="C844" s="37">
        <v>27</v>
      </c>
      <c r="D844" s="36">
        <f>base!H844</f>
        <v>180</v>
      </c>
      <c r="E844" s="44"/>
      <c r="F844" s="16">
        <f>base!W844</f>
        <v>0</v>
      </c>
      <c r="G844" s="11">
        <f t="shared" si="130"/>
        <v>0</v>
      </c>
      <c r="H844" s="11">
        <f t="shared" si="131"/>
        <v>30.6</v>
      </c>
      <c r="I844" s="11">
        <f t="shared" si="132"/>
        <v>0.17</v>
      </c>
      <c r="J844" s="12">
        <f t="shared" si="133"/>
        <v>-30.6</v>
      </c>
      <c r="K844" s="17" t="str">
        <f t="shared" si="138"/>
        <v>Ecart négatif</v>
      </c>
      <c r="L844" s="16">
        <f>base!X844</f>
        <v>0</v>
      </c>
      <c r="M844" s="11">
        <f t="shared" si="134"/>
        <v>0</v>
      </c>
      <c r="N844" s="11">
        <f t="shared" si="135"/>
        <v>30.6</v>
      </c>
      <c r="O844" s="11">
        <f t="shared" si="136"/>
        <v>0.17</v>
      </c>
      <c r="P844" s="12">
        <f t="shared" si="137"/>
        <v>-30.6</v>
      </c>
      <c r="Q844" s="17" t="str">
        <f t="shared" si="139"/>
        <v>Ecart négatif</v>
      </c>
    </row>
    <row r="845" spans="1:18" x14ac:dyDescent="0.3">
      <c r="A845" s="34" t="str">
        <f>base!J845</f>
        <v>DLM</v>
      </c>
      <c r="B845" s="34" t="str">
        <f>base!V845</f>
        <v>38110</v>
      </c>
      <c r="C845" s="37">
        <v>38</v>
      </c>
      <c r="D845" s="36">
        <f>base!H845</f>
        <v>23.4</v>
      </c>
      <c r="E845" s="44"/>
      <c r="F845" s="16">
        <f>base!W845</f>
        <v>0</v>
      </c>
      <c r="G845" s="11">
        <f t="shared" si="130"/>
        <v>0</v>
      </c>
      <c r="H845" s="11">
        <f t="shared" si="131"/>
        <v>6.3179999999999996</v>
      </c>
      <c r="I845" s="11">
        <f t="shared" si="132"/>
        <v>0.27</v>
      </c>
      <c r="J845" s="12">
        <f t="shared" si="133"/>
        <v>-6.3179999999999996</v>
      </c>
      <c r="K845" s="17" t="str">
        <f t="shared" si="138"/>
        <v>Ecart négatif</v>
      </c>
      <c r="L845" s="16">
        <f>base!X845</f>
        <v>0</v>
      </c>
      <c r="M845" s="11">
        <f t="shared" si="134"/>
        <v>0</v>
      </c>
      <c r="N845" s="11">
        <f t="shared" si="135"/>
        <v>0</v>
      </c>
      <c r="O845" s="11">
        <f t="shared" si="136"/>
        <v>0</v>
      </c>
      <c r="P845" s="12">
        <f t="shared" si="137"/>
        <v>0</v>
      </c>
      <c r="Q845" s="17" t="str">
        <f t="shared" si="139"/>
        <v>Pas d'écart</v>
      </c>
    </row>
    <row r="846" spans="1:18" x14ac:dyDescent="0.3">
      <c r="A846" s="34" t="str">
        <f>base!J846</f>
        <v>LM</v>
      </c>
      <c r="B846" s="34" t="str">
        <f>base!V846</f>
        <v>25300</v>
      </c>
      <c r="C846" s="37">
        <v>76</v>
      </c>
      <c r="D846" s="36">
        <f>base!H846</f>
        <v>22.62</v>
      </c>
      <c r="E846" s="44"/>
      <c r="F846" s="16">
        <f>base!W846</f>
        <v>0</v>
      </c>
      <c r="G846" s="11">
        <f t="shared" si="130"/>
        <v>0</v>
      </c>
      <c r="H846" s="11">
        <f t="shared" si="131"/>
        <v>3.8454000000000006</v>
      </c>
      <c r="I846" s="11">
        <f t="shared" si="132"/>
        <v>0.17</v>
      </c>
      <c r="J846" s="12">
        <f t="shared" si="133"/>
        <v>-3.8454000000000006</v>
      </c>
      <c r="K846" s="17" t="str">
        <f t="shared" si="138"/>
        <v>Ecart négatif</v>
      </c>
      <c r="L846" s="16">
        <f>base!X846</f>
        <v>0</v>
      </c>
      <c r="M846" s="11">
        <f t="shared" si="134"/>
        <v>0</v>
      </c>
      <c r="N846" s="11">
        <f t="shared" si="135"/>
        <v>3.8454000000000006</v>
      </c>
      <c r="O846" s="11">
        <f t="shared" si="136"/>
        <v>0.17</v>
      </c>
      <c r="P846" s="12">
        <f t="shared" si="137"/>
        <v>-3.8454000000000006</v>
      </c>
      <c r="Q846" s="17" t="str">
        <f t="shared" si="139"/>
        <v>Ecart négatif</v>
      </c>
    </row>
    <row r="847" spans="1:18" x14ac:dyDescent="0.3">
      <c r="A847" s="34" t="str">
        <f>base!J847</f>
        <v>RM</v>
      </c>
      <c r="B847" s="34" t="str">
        <f>base!V847</f>
        <v>88100</v>
      </c>
      <c r="C847" s="37">
        <v>88</v>
      </c>
      <c r="D847" s="36">
        <f>base!H847</f>
        <v>17</v>
      </c>
      <c r="E847" s="44"/>
      <c r="F847" s="16">
        <f>base!W847</f>
        <v>0</v>
      </c>
      <c r="G847" s="11">
        <f t="shared" si="130"/>
        <v>0</v>
      </c>
      <c r="H847" s="11">
        <f t="shared" si="131"/>
        <v>4.7600000000000007</v>
      </c>
      <c r="I847" s="11">
        <f t="shared" si="132"/>
        <v>0.28000000000000003</v>
      </c>
      <c r="J847" s="12">
        <f t="shared" si="133"/>
        <v>-4.7600000000000007</v>
      </c>
      <c r="K847" s="17" t="str">
        <f t="shared" si="138"/>
        <v>Ecart négatif</v>
      </c>
      <c r="L847" s="16">
        <f>base!X847</f>
        <v>0</v>
      </c>
      <c r="M847" s="11">
        <f t="shared" si="134"/>
        <v>0</v>
      </c>
      <c r="N847" s="11">
        <f t="shared" si="135"/>
        <v>1.36</v>
      </c>
      <c r="O847" s="11">
        <f t="shared" si="136"/>
        <v>0.08</v>
      </c>
      <c r="P847" s="12">
        <f t="shared" si="137"/>
        <v>-1.36</v>
      </c>
      <c r="Q847" s="17" t="str">
        <f t="shared" si="139"/>
        <v>Ecart négatif</v>
      </c>
    </row>
    <row r="848" spans="1:18" x14ac:dyDescent="0.3">
      <c r="A848" s="34" t="str">
        <f>base!J848</f>
        <v>RM</v>
      </c>
      <c r="B848" s="34" t="str">
        <f>base!V848</f>
        <v>67100</v>
      </c>
      <c r="C848" s="37">
        <v>67</v>
      </c>
      <c r="D848" s="36">
        <f>base!H848</f>
        <v>29.4</v>
      </c>
      <c r="E848" s="44"/>
      <c r="F848" s="16">
        <f>base!W848</f>
        <v>0</v>
      </c>
      <c r="G848" s="11">
        <f t="shared" si="130"/>
        <v>0</v>
      </c>
      <c r="H848" s="11">
        <f t="shared" si="131"/>
        <v>8.5259999999999998</v>
      </c>
      <c r="I848" s="11">
        <f t="shared" si="132"/>
        <v>0.28999999999999998</v>
      </c>
      <c r="J848" s="12">
        <f t="shared" si="133"/>
        <v>-8.5259999999999998</v>
      </c>
      <c r="K848" s="17" t="str">
        <f t="shared" si="138"/>
        <v>Ecart négatif</v>
      </c>
      <c r="L848" s="16">
        <f>base!X848</f>
        <v>2.35</v>
      </c>
      <c r="M848" s="11">
        <f t="shared" si="134"/>
        <v>7.9931972789115652E-2</v>
      </c>
      <c r="N848" s="11">
        <f t="shared" si="135"/>
        <v>2.3519999999999999</v>
      </c>
      <c r="O848" s="11">
        <f t="shared" si="136"/>
        <v>0.08</v>
      </c>
      <c r="P848" s="12">
        <f t="shared" si="137"/>
        <v>-1.9999999999997797E-3</v>
      </c>
      <c r="Q848" s="17" t="str">
        <f t="shared" si="139"/>
        <v>Ecart négatif</v>
      </c>
      <c r="R848" s="38"/>
    </row>
    <row r="849" spans="1:18" x14ac:dyDescent="0.3">
      <c r="A849" s="34" t="str">
        <f>base!J849</f>
        <v>RS</v>
      </c>
      <c r="B849" s="34" t="str">
        <f>base!V849</f>
        <v>14000</v>
      </c>
      <c r="C849" s="37">
        <v>14</v>
      </c>
      <c r="D849" s="36">
        <f>base!H849</f>
        <v>151</v>
      </c>
      <c r="E849" s="44"/>
      <c r="F849" s="16">
        <f>base!W849</f>
        <v>0</v>
      </c>
      <c r="G849" s="11">
        <f t="shared" si="130"/>
        <v>0</v>
      </c>
      <c r="H849" s="11">
        <f t="shared" si="131"/>
        <v>25.67</v>
      </c>
      <c r="I849" s="11">
        <f t="shared" si="132"/>
        <v>0.17</v>
      </c>
      <c r="J849" s="12">
        <f t="shared" si="133"/>
        <v>-25.67</v>
      </c>
      <c r="K849" s="17" t="str">
        <f t="shared" si="138"/>
        <v>Ecart négatif</v>
      </c>
      <c r="L849" s="16">
        <f>base!X849</f>
        <v>25.67</v>
      </c>
      <c r="M849" s="11">
        <f t="shared" si="134"/>
        <v>0.17</v>
      </c>
      <c r="N849" s="11">
        <f t="shared" si="135"/>
        <v>25.67</v>
      </c>
      <c r="O849" s="11">
        <f t="shared" si="136"/>
        <v>0.17</v>
      </c>
      <c r="P849" s="12">
        <f t="shared" si="137"/>
        <v>0</v>
      </c>
      <c r="Q849" s="17" t="str">
        <f t="shared" si="139"/>
        <v>Pas d'écart</v>
      </c>
      <c r="R849" s="38"/>
    </row>
    <row r="850" spans="1:18" x14ac:dyDescent="0.3">
      <c r="A850" s="34" t="str">
        <f>base!J850</f>
        <v>DRM</v>
      </c>
      <c r="B850" s="34" t="str">
        <f>base!V850</f>
        <v>44700</v>
      </c>
      <c r="C850" s="37">
        <v>44</v>
      </c>
      <c r="D850" s="36">
        <f>base!H850</f>
        <v>172.66</v>
      </c>
      <c r="E850" s="44"/>
      <c r="F850" s="16">
        <f>base!W850</f>
        <v>0</v>
      </c>
      <c r="G850" s="11">
        <f t="shared" si="130"/>
        <v>0</v>
      </c>
      <c r="H850" s="11">
        <f t="shared" si="131"/>
        <v>46.618200000000002</v>
      </c>
      <c r="I850" s="11">
        <f t="shared" si="132"/>
        <v>0.27</v>
      </c>
      <c r="J850" s="12">
        <f t="shared" si="133"/>
        <v>-46.618200000000002</v>
      </c>
      <c r="K850" s="17" t="str">
        <f t="shared" si="138"/>
        <v>Ecart négatif</v>
      </c>
      <c r="L850" s="16">
        <f>base!X850</f>
        <v>0</v>
      </c>
      <c r="M850" s="11">
        <f t="shared" si="134"/>
        <v>0</v>
      </c>
      <c r="N850" s="11">
        <f t="shared" si="135"/>
        <v>0</v>
      </c>
      <c r="O850" s="11">
        <f t="shared" si="136"/>
        <v>0</v>
      </c>
      <c r="P850" s="12">
        <f t="shared" si="137"/>
        <v>0</v>
      </c>
      <c r="Q850" s="17" t="str">
        <f t="shared" si="139"/>
        <v>Pas d'écart</v>
      </c>
    </row>
    <row r="851" spans="1:18" x14ac:dyDescent="0.3">
      <c r="A851" s="34">
        <f>base!J851</f>
        <v>0</v>
      </c>
      <c r="B851" s="34" t="str">
        <f>base!V851</f>
        <v>77184</v>
      </c>
      <c r="C851" s="37">
        <v>77</v>
      </c>
      <c r="D851" s="36">
        <f>base!H851</f>
        <v>68.3</v>
      </c>
      <c r="E851" s="44"/>
      <c r="F851" s="16">
        <f>base!W851</f>
        <v>0</v>
      </c>
      <c r="G851" s="11">
        <f t="shared" si="130"/>
        <v>0</v>
      </c>
      <c r="H851" s="11">
        <f t="shared" si="131"/>
        <v>0</v>
      </c>
      <c r="I851" s="11">
        <f t="shared" si="132"/>
        <v>0</v>
      </c>
      <c r="J851" s="12">
        <f t="shared" si="133"/>
        <v>0</v>
      </c>
      <c r="K851" s="17" t="str">
        <f t="shared" si="138"/>
        <v>Pas d'écart</v>
      </c>
      <c r="L851" s="16">
        <f>base!X851</f>
        <v>0</v>
      </c>
      <c r="M851" s="11">
        <f t="shared" si="134"/>
        <v>0</v>
      </c>
      <c r="N851" s="11">
        <f t="shared" si="135"/>
        <v>0</v>
      </c>
      <c r="O851" s="11">
        <f t="shared" si="136"/>
        <v>0</v>
      </c>
      <c r="P851" s="12">
        <f t="shared" si="137"/>
        <v>0</v>
      </c>
      <c r="Q851" s="17" t="str">
        <f t="shared" si="139"/>
        <v>Pas d'écart</v>
      </c>
    </row>
    <row r="852" spans="1:18" x14ac:dyDescent="0.3">
      <c r="A852" s="34" t="str">
        <f>base!J852</f>
        <v>LM</v>
      </c>
      <c r="B852" s="34" t="str">
        <f>base!V852</f>
        <v>75014</v>
      </c>
      <c r="C852" s="37">
        <v>75</v>
      </c>
      <c r="D852" s="36">
        <f>base!H852</f>
        <v>19.649999999999999</v>
      </c>
      <c r="E852" s="44"/>
      <c r="F852" s="16">
        <f>base!W852</f>
        <v>0</v>
      </c>
      <c r="G852" s="11">
        <f t="shared" si="130"/>
        <v>0</v>
      </c>
      <c r="H852" s="11">
        <f t="shared" si="131"/>
        <v>0</v>
      </c>
      <c r="I852" s="11">
        <f t="shared" si="132"/>
        <v>0</v>
      </c>
      <c r="J852" s="12">
        <f t="shared" si="133"/>
        <v>0</v>
      </c>
      <c r="K852" s="17" t="str">
        <f t="shared" si="138"/>
        <v>Pas d'écart</v>
      </c>
      <c r="L852" s="16">
        <f>base!X852</f>
        <v>0</v>
      </c>
      <c r="M852" s="11">
        <f t="shared" si="134"/>
        <v>0</v>
      </c>
      <c r="N852" s="11">
        <f t="shared" si="135"/>
        <v>0</v>
      </c>
      <c r="O852" s="11">
        <f t="shared" si="136"/>
        <v>0</v>
      </c>
      <c r="P852" s="12">
        <f t="shared" si="137"/>
        <v>0</v>
      </c>
      <c r="Q852" s="17" t="str">
        <f t="shared" si="139"/>
        <v>Pas d'écart</v>
      </c>
    </row>
    <row r="853" spans="1:18" x14ac:dyDescent="0.3">
      <c r="A853" s="34" t="str">
        <f>base!J853</f>
        <v>DRS</v>
      </c>
      <c r="B853" s="34" t="str">
        <f>base!V853</f>
        <v>26130</v>
      </c>
      <c r="C853" s="37">
        <v>26</v>
      </c>
      <c r="D853" s="36">
        <f>base!H853</f>
        <v>170.5</v>
      </c>
      <c r="E853" s="44"/>
      <c r="F853" s="16">
        <f>base!W853</f>
        <v>0</v>
      </c>
      <c r="G853" s="11">
        <f t="shared" si="130"/>
        <v>0</v>
      </c>
      <c r="H853" s="11">
        <f t="shared" si="131"/>
        <v>46.035000000000004</v>
      </c>
      <c r="I853" s="11">
        <f t="shared" si="132"/>
        <v>0.27</v>
      </c>
      <c r="J853" s="12">
        <f t="shared" si="133"/>
        <v>-46.035000000000004</v>
      </c>
      <c r="K853" s="17" t="str">
        <f t="shared" si="138"/>
        <v>Ecart négatif</v>
      </c>
      <c r="L853" s="16">
        <f>base!X853</f>
        <v>0</v>
      </c>
      <c r="M853" s="11">
        <f t="shared" si="134"/>
        <v>0</v>
      </c>
      <c r="N853" s="11">
        <f t="shared" si="135"/>
        <v>0</v>
      </c>
      <c r="O853" s="11">
        <f t="shared" si="136"/>
        <v>0</v>
      </c>
      <c r="P853" s="12">
        <f t="shared" si="137"/>
        <v>0</v>
      </c>
      <c r="Q853" s="17" t="str">
        <f t="shared" si="139"/>
        <v>Pas d'écart</v>
      </c>
    </row>
    <row r="854" spans="1:18" x14ac:dyDescent="0.3">
      <c r="A854" s="34" t="str">
        <f>base!J854</f>
        <v>RS</v>
      </c>
      <c r="B854" s="34" t="str">
        <f>base!V854</f>
        <v>91270</v>
      </c>
      <c r="C854" s="37">
        <v>91</v>
      </c>
      <c r="D854" s="36">
        <f>base!H854</f>
        <v>151</v>
      </c>
      <c r="E854" s="44"/>
      <c r="F854" s="16">
        <f>base!W854</f>
        <v>0</v>
      </c>
      <c r="G854" s="11">
        <f t="shared" si="130"/>
        <v>0</v>
      </c>
      <c r="H854" s="11">
        <f t="shared" si="131"/>
        <v>0</v>
      </c>
      <c r="I854" s="11">
        <f t="shared" si="132"/>
        <v>0</v>
      </c>
      <c r="J854" s="12">
        <f t="shared" si="133"/>
        <v>0</v>
      </c>
      <c r="K854" s="17" t="str">
        <f t="shared" si="138"/>
        <v>Pas d'écart</v>
      </c>
      <c r="L854" s="16">
        <f>base!X854</f>
        <v>0</v>
      </c>
      <c r="M854" s="11">
        <f t="shared" si="134"/>
        <v>0</v>
      </c>
      <c r="N854" s="11">
        <f t="shared" si="135"/>
        <v>0</v>
      </c>
      <c r="O854" s="11">
        <f t="shared" si="136"/>
        <v>0</v>
      </c>
      <c r="P854" s="12">
        <f t="shared" si="137"/>
        <v>0</v>
      </c>
      <c r="Q854" s="17" t="str">
        <f t="shared" si="139"/>
        <v>Pas d'écart</v>
      </c>
    </row>
    <row r="855" spans="1:18" x14ac:dyDescent="0.3">
      <c r="A855" s="34" t="str">
        <f>base!J855</f>
        <v>RM</v>
      </c>
      <c r="B855" s="34" t="str">
        <f>base!V855</f>
        <v>54000</v>
      </c>
      <c r="C855" s="37">
        <v>54</v>
      </c>
      <c r="D855" s="36">
        <f>base!H855</f>
        <v>37.24</v>
      </c>
      <c r="E855" s="44"/>
      <c r="F855" s="16">
        <f>base!W855</f>
        <v>0</v>
      </c>
      <c r="G855" s="11">
        <f t="shared" si="130"/>
        <v>0</v>
      </c>
      <c r="H855" s="11">
        <f t="shared" si="131"/>
        <v>9.31</v>
      </c>
      <c r="I855" s="11">
        <f t="shared" si="132"/>
        <v>0.25</v>
      </c>
      <c r="J855" s="12">
        <f t="shared" si="133"/>
        <v>-9.31</v>
      </c>
      <c r="K855" s="17" t="str">
        <f t="shared" si="138"/>
        <v>Ecart négatif</v>
      </c>
      <c r="L855" s="16">
        <f>base!X855</f>
        <v>0</v>
      </c>
      <c r="M855" s="11">
        <f t="shared" si="134"/>
        <v>0</v>
      </c>
      <c r="N855" s="11">
        <f t="shared" si="135"/>
        <v>9.31</v>
      </c>
      <c r="O855" s="11">
        <f t="shared" si="136"/>
        <v>0.25</v>
      </c>
      <c r="P855" s="12">
        <f t="shared" si="137"/>
        <v>-9.31</v>
      </c>
      <c r="Q855" s="17" t="str">
        <f t="shared" si="139"/>
        <v>Ecart négatif</v>
      </c>
    </row>
    <row r="856" spans="1:18" x14ac:dyDescent="0.3">
      <c r="A856" s="34" t="str">
        <f>base!J856</f>
        <v>LM</v>
      </c>
      <c r="B856" s="34" t="str">
        <f>base!V856</f>
        <v>76600</v>
      </c>
      <c r="C856" s="37">
        <v>27</v>
      </c>
      <c r="D856" s="36">
        <f>base!H856</f>
        <v>151</v>
      </c>
      <c r="E856" s="44"/>
      <c r="F856" s="16">
        <f>base!W856</f>
        <v>25.67</v>
      </c>
      <c r="G856" s="11">
        <f t="shared" si="130"/>
        <v>0.17</v>
      </c>
      <c r="H856" s="11">
        <f t="shared" si="131"/>
        <v>25.67</v>
      </c>
      <c r="I856" s="11">
        <f t="shared" si="132"/>
        <v>0.17</v>
      </c>
      <c r="J856" s="12">
        <f t="shared" si="133"/>
        <v>0</v>
      </c>
      <c r="K856" s="17" t="str">
        <f t="shared" si="138"/>
        <v>Pas d'écart</v>
      </c>
      <c r="L856" s="16">
        <f>base!X856</f>
        <v>0</v>
      </c>
      <c r="M856" s="11">
        <f t="shared" si="134"/>
        <v>0</v>
      </c>
      <c r="N856" s="11">
        <f t="shared" si="135"/>
        <v>25.67</v>
      </c>
      <c r="O856" s="11">
        <f t="shared" si="136"/>
        <v>0.17</v>
      </c>
      <c r="P856" s="12">
        <f t="shared" si="137"/>
        <v>-25.67</v>
      </c>
      <c r="Q856" s="17" t="str">
        <f t="shared" si="139"/>
        <v>Ecart négatif</v>
      </c>
    </row>
    <row r="857" spans="1:18" x14ac:dyDescent="0.3">
      <c r="A857" s="34" t="str">
        <f>base!J857</f>
        <v>LS</v>
      </c>
      <c r="B857" s="34" t="str">
        <f>base!V857</f>
        <v>72000</v>
      </c>
      <c r="C857" s="37">
        <v>76</v>
      </c>
      <c r="D857" s="36">
        <f>base!H857</f>
        <v>28.62</v>
      </c>
      <c r="E857" s="44"/>
      <c r="F857" s="16">
        <f>base!W857</f>
        <v>6.01</v>
      </c>
      <c r="G857" s="11">
        <f t="shared" si="130"/>
        <v>0.20999301187980432</v>
      </c>
      <c r="H857" s="11">
        <f t="shared" si="131"/>
        <v>4.8654000000000002</v>
      </c>
      <c r="I857" s="11">
        <f t="shared" si="132"/>
        <v>0.17</v>
      </c>
      <c r="J857" s="12">
        <f t="shared" si="133"/>
        <v>1.1445999999999996</v>
      </c>
      <c r="K857" s="17" t="str">
        <f t="shared" si="138"/>
        <v>Ecart positif</v>
      </c>
      <c r="L857" s="16">
        <f>base!X857</f>
        <v>0</v>
      </c>
      <c r="M857" s="11">
        <f t="shared" si="134"/>
        <v>0</v>
      </c>
      <c r="N857" s="11">
        <f t="shared" si="135"/>
        <v>4.8654000000000002</v>
      </c>
      <c r="O857" s="11">
        <f t="shared" si="136"/>
        <v>0.17</v>
      </c>
      <c r="P857" s="12">
        <f t="shared" si="137"/>
        <v>-4.8654000000000002</v>
      </c>
      <c r="Q857" s="17" t="str">
        <f t="shared" si="139"/>
        <v>Ecart négatif</v>
      </c>
    </row>
    <row r="858" spans="1:18" x14ac:dyDescent="0.3">
      <c r="A858" s="34" t="str">
        <f>base!J858</f>
        <v>RS</v>
      </c>
      <c r="B858" s="34" t="str">
        <f>base!V858</f>
        <v>75010</v>
      </c>
      <c r="C858" s="37">
        <v>75</v>
      </c>
      <c r="D858" s="36">
        <f>base!H858</f>
        <v>151</v>
      </c>
      <c r="E858" s="44"/>
      <c r="F858" s="16">
        <f>base!W858</f>
        <v>0</v>
      </c>
      <c r="G858" s="11">
        <f t="shared" si="130"/>
        <v>0</v>
      </c>
      <c r="H858" s="11">
        <f t="shared" si="131"/>
        <v>0</v>
      </c>
      <c r="I858" s="11">
        <f t="shared" si="132"/>
        <v>0</v>
      </c>
      <c r="J858" s="12">
        <f t="shared" si="133"/>
        <v>0</v>
      </c>
      <c r="K858" s="17" t="str">
        <f t="shared" si="138"/>
        <v>Pas d'écart</v>
      </c>
      <c r="L858" s="16">
        <f>base!X858</f>
        <v>0</v>
      </c>
      <c r="M858" s="11">
        <f t="shared" si="134"/>
        <v>0</v>
      </c>
      <c r="N858" s="11">
        <f t="shared" si="135"/>
        <v>0</v>
      </c>
      <c r="O858" s="11">
        <f t="shared" si="136"/>
        <v>0</v>
      </c>
      <c r="P858" s="12">
        <f t="shared" si="137"/>
        <v>0</v>
      </c>
      <c r="Q858" s="17" t="str">
        <f t="shared" si="139"/>
        <v>Pas d'écart</v>
      </c>
    </row>
    <row r="859" spans="1:18" x14ac:dyDescent="0.3">
      <c r="A859" s="34" t="str">
        <f>base!J859</f>
        <v>RM</v>
      </c>
      <c r="B859" s="34" t="str">
        <f>base!V859</f>
        <v>34500</v>
      </c>
      <c r="C859" s="37">
        <v>34</v>
      </c>
      <c r="D859" s="36">
        <f>base!H859</f>
        <v>250</v>
      </c>
      <c r="E859" s="44"/>
      <c r="F859" s="16">
        <f>base!W859</f>
        <v>0</v>
      </c>
      <c r="G859" s="11">
        <f t="shared" si="130"/>
        <v>0</v>
      </c>
      <c r="H859" s="11">
        <f t="shared" si="131"/>
        <v>97.5</v>
      </c>
      <c r="I859" s="11">
        <f t="shared" si="132"/>
        <v>0.39</v>
      </c>
      <c r="J859" s="12">
        <f t="shared" si="133"/>
        <v>-97.5</v>
      </c>
      <c r="K859" s="17" t="str">
        <f t="shared" si="138"/>
        <v>Ecart négatif</v>
      </c>
      <c r="L859" s="16">
        <f>base!X859</f>
        <v>0</v>
      </c>
      <c r="M859" s="11">
        <f t="shared" si="134"/>
        <v>0</v>
      </c>
      <c r="N859" s="11">
        <f t="shared" si="135"/>
        <v>70</v>
      </c>
      <c r="O859" s="11">
        <f t="shared" si="136"/>
        <v>0.28000000000000003</v>
      </c>
      <c r="P859" s="12">
        <f t="shared" si="137"/>
        <v>-70</v>
      </c>
      <c r="Q859" s="17" t="str">
        <f t="shared" si="139"/>
        <v>Ecart négatif</v>
      </c>
    </row>
    <row r="860" spans="1:18" x14ac:dyDescent="0.3">
      <c r="A860" s="34" t="str">
        <f>base!J860</f>
        <v>RM</v>
      </c>
      <c r="B860" s="34" t="str">
        <f>base!V860</f>
        <v>13006</v>
      </c>
      <c r="C860" s="37">
        <v>13</v>
      </c>
      <c r="D860" s="36">
        <f>base!H860</f>
        <v>32.6</v>
      </c>
      <c r="E860" s="44"/>
      <c r="F860" s="16">
        <f>base!W860</f>
        <v>0</v>
      </c>
      <c r="G860" s="11">
        <f t="shared" si="130"/>
        <v>0</v>
      </c>
      <c r="H860" s="11">
        <f t="shared" si="131"/>
        <v>9.4540000000000006</v>
      </c>
      <c r="I860" s="11">
        <f t="shared" si="132"/>
        <v>0.28999999999999998</v>
      </c>
      <c r="J860" s="12">
        <f t="shared" si="133"/>
        <v>-9.4540000000000006</v>
      </c>
      <c r="K860" s="17" t="str">
        <f t="shared" si="138"/>
        <v>Ecart négatif</v>
      </c>
      <c r="L860" s="16">
        <f>base!X860</f>
        <v>0</v>
      </c>
      <c r="M860" s="11">
        <f t="shared" si="134"/>
        <v>0</v>
      </c>
      <c r="N860" s="11">
        <f t="shared" si="135"/>
        <v>6.194</v>
      </c>
      <c r="O860" s="11">
        <f t="shared" si="136"/>
        <v>0.19</v>
      </c>
      <c r="P860" s="12">
        <f t="shared" si="137"/>
        <v>-6.194</v>
      </c>
      <c r="Q860" s="17" t="str">
        <f t="shared" si="139"/>
        <v>Ecart négatif</v>
      </c>
    </row>
    <row r="861" spans="1:18" x14ac:dyDescent="0.3">
      <c r="A861" s="34" t="str">
        <f>base!J861</f>
        <v>DLM</v>
      </c>
      <c r="B861" s="34" t="str">
        <f>base!V861</f>
        <v>59200</v>
      </c>
      <c r="C861" s="37">
        <v>59</v>
      </c>
      <c r="D861" s="36">
        <f>base!H861</f>
        <v>120</v>
      </c>
      <c r="E861" s="44"/>
      <c r="F861" s="16">
        <f>base!W861</f>
        <v>22.8</v>
      </c>
      <c r="G861" s="11">
        <f t="shared" si="130"/>
        <v>0.19</v>
      </c>
      <c r="H861" s="11">
        <f t="shared" si="131"/>
        <v>22.8</v>
      </c>
      <c r="I861" s="11">
        <f t="shared" si="132"/>
        <v>0.19</v>
      </c>
      <c r="J861" s="12">
        <f t="shared" si="133"/>
        <v>0</v>
      </c>
      <c r="K861" s="17" t="str">
        <f t="shared" si="138"/>
        <v>Pas d'écart</v>
      </c>
      <c r="L861" s="16">
        <f>base!X861</f>
        <v>0</v>
      </c>
      <c r="M861" s="11">
        <f t="shared" si="134"/>
        <v>0</v>
      </c>
      <c r="N861" s="11">
        <f t="shared" si="135"/>
        <v>0</v>
      </c>
      <c r="O861" s="11">
        <f t="shared" si="136"/>
        <v>0</v>
      </c>
      <c r="P861" s="12">
        <f t="shared" si="137"/>
        <v>0</v>
      </c>
      <c r="Q861" s="17" t="str">
        <f t="shared" si="139"/>
        <v>Pas d'écart</v>
      </c>
    </row>
    <row r="862" spans="1:18" x14ac:dyDescent="0.3">
      <c r="A862" s="34" t="str">
        <f>base!J862</f>
        <v>LM</v>
      </c>
      <c r="B862" s="34" t="str">
        <f>base!V862</f>
        <v>94190</v>
      </c>
      <c r="C862" s="37">
        <v>94</v>
      </c>
      <c r="D862" s="36">
        <f>base!H862</f>
        <v>133.01</v>
      </c>
      <c r="E862" s="44"/>
      <c r="F862" s="16">
        <f>base!W862</f>
        <v>0</v>
      </c>
      <c r="G862" s="11">
        <f t="shared" si="130"/>
        <v>0</v>
      </c>
      <c r="H862" s="11">
        <f t="shared" si="131"/>
        <v>0</v>
      </c>
      <c r="I862" s="11">
        <f t="shared" si="132"/>
        <v>0</v>
      </c>
      <c r="J862" s="12">
        <f t="shared" si="133"/>
        <v>0</v>
      </c>
      <c r="K862" s="17" t="str">
        <f t="shared" si="138"/>
        <v>Pas d'écart</v>
      </c>
      <c r="L862" s="16">
        <f>base!X862</f>
        <v>0</v>
      </c>
      <c r="M862" s="11">
        <f t="shared" si="134"/>
        <v>0</v>
      </c>
      <c r="N862" s="11">
        <f t="shared" si="135"/>
        <v>0</v>
      </c>
      <c r="O862" s="11">
        <f t="shared" si="136"/>
        <v>0</v>
      </c>
      <c r="P862" s="12">
        <f t="shared" si="137"/>
        <v>0</v>
      </c>
      <c r="Q862" s="17" t="str">
        <f t="shared" si="139"/>
        <v>Pas d'écart</v>
      </c>
    </row>
    <row r="863" spans="1:18" x14ac:dyDescent="0.3">
      <c r="A863" s="34" t="str">
        <f>base!J863</f>
        <v>DRS</v>
      </c>
      <c r="B863" s="34" t="str">
        <f>base!V863</f>
        <v>77184</v>
      </c>
      <c r="C863" s="37">
        <v>77</v>
      </c>
      <c r="D863" s="36">
        <f>base!H863</f>
        <v>140</v>
      </c>
      <c r="E863" s="44"/>
      <c r="F863" s="16">
        <f>base!W863</f>
        <v>0</v>
      </c>
      <c r="G863" s="11">
        <f t="shared" si="130"/>
        <v>0</v>
      </c>
      <c r="H863" s="11">
        <f t="shared" si="131"/>
        <v>0</v>
      </c>
      <c r="I863" s="11">
        <f t="shared" si="132"/>
        <v>0</v>
      </c>
      <c r="J863" s="12">
        <f t="shared" si="133"/>
        <v>0</v>
      </c>
      <c r="K863" s="17" t="str">
        <f t="shared" si="138"/>
        <v>Pas d'écart</v>
      </c>
      <c r="L863" s="16">
        <f>base!X863</f>
        <v>0</v>
      </c>
      <c r="M863" s="11">
        <f t="shared" si="134"/>
        <v>0</v>
      </c>
      <c r="N863" s="11">
        <f t="shared" si="135"/>
        <v>0</v>
      </c>
      <c r="O863" s="11">
        <f t="shared" si="136"/>
        <v>0</v>
      </c>
      <c r="P863" s="12">
        <f t="shared" si="137"/>
        <v>0</v>
      </c>
      <c r="Q863" s="17" t="str">
        <f t="shared" si="139"/>
        <v>Pas d'écart</v>
      </c>
    </row>
    <row r="864" spans="1:18" x14ac:dyDescent="0.3">
      <c r="A864" s="34" t="str">
        <f>base!J864</f>
        <v>LM</v>
      </c>
      <c r="B864" s="34" t="str">
        <f>base!V864</f>
        <v>69005</v>
      </c>
      <c r="C864" s="37">
        <v>76</v>
      </c>
      <c r="D864" s="36">
        <f>base!H864</f>
        <v>33.35</v>
      </c>
      <c r="E864" s="44"/>
      <c r="F864" s="16">
        <f>base!W864</f>
        <v>9</v>
      </c>
      <c r="G864" s="11">
        <f t="shared" si="130"/>
        <v>0.26986506746626687</v>
      </c>
      <c r="H864" s="11">
        <f t="shared" si="131"/>
        <v>5.6695000000000002</v>
      </c>
      <c r="I864" s="11">
        <f t="shared" si="132"/>
        <v>0.17</v>
      </c>
      <c r="J864" s="12">
        <f t="shared" si="133"/>
        <v>3.3304999999999998</v>
      </c>
      <c r="K864" s="17" t="str">
        <f t="shared" si="138"/>
        <v>Ecart positif</v>
      </c>
      <c r="L864" s="16">
        <f>base!X864</f>
        <v>0</v>
      </c>
      <c r="M864" s="11">
        <f t="shared" si="134"/>
        <v>0</v>
      </c>
      <c r="N864" s="11">
        <f t="shared" si="135"/>
        <v>5.6695000000000002</v>
      </c>
      <c r="O864" s="11">
        <f t="shared" si="136"/>
        <v>0.17</v>
      </c>
      <c r="P864" s="12">
        <f t="shared" si="137"/>
        <v>-5.6695000000000002</v>
      </c>
      <c r="Q864" s="17" t="str">
        <f t="shared" si="139"/>
        <v>Ecart négatif</v>
      </c>
    </row>
    <row r="865" spans="1:18" x14ac:dyDescent="0.3">
      <c r="A865" s="34" t="str">
        <f>base!J865</f>
        <v>DLS</v>
      </c>
      <c r="B865" s="34" t="str">
        <f>base!V865</f>
        <v>69800</v>
      </c>
      <c r="C865" s="37">
        <v>69</v>
      </c>
      <c r="D865" s="36">
        <f>base!H865</f>
        <v>433.19</v>
      </c>
      <c r="E865" s="44"/>
      <c r="F865" s="16">
        <f>base!W865</f>
        <v>116.96</v>
      </c>
      <c r="G865" s="11">
        <f t="shared" si="130"/>
        <v>0.26999699900736396</v>
      </c>
      <c r="H865" s="11">
        <f t="shared" si="131"/>
        <v>116.96130000000001</v>
      </c>
      <c r="I865" s="11">
        <f t="shared" si="132"/>
        <v>0.27</v>
      </c>
      <c r="J865" s="12">
        <f t="shared" si="133"/>
        <v>-1.3000000000147338E-3</v>
      </c>
      <c r="K865" s="17" t="str">
        <f t="shared" si="138"/>
        <v>Ecart négatif</v>
      </c>
      <c r="L865" s="16">
        <f>base!X865</f>
        <v>0</v>
      </c>
      <c r="M865" s="11">
        <f t="shared" si="134"/>
        <v>0</v>
      </c>
      <c r="N865" s="11">
        <f t="shared" si="135"/>
        <v>0</v>
      </c>
      <c r="O865" s="11">
        <f t="shared" si="136"/>
        <v>0</v>
      </c>
      <c r="P865" s="12">
        <f t="shared" si="137"/>
        <v>0</v>
      </c>
      <c r="Q865" s="17" t="str">
        <f t="shared" si="139"/>
        <v>Pas d'écart</v>
      </c>
    </row>
    <row r="866" spans="1:18" x14ac:dyDescent="0.3">
      <c r="A866" s="34" t="str">
        <f>base!J866</f>
        <v>RS</v>
      </c>
      <c r="B866" s="34" t="str">
        <f>base!V866</f>
        <v>29860</v>
      </c>
      <c r="C866" s="37">
        <v>29</v>
      </c>
      <c r="D866" s="36">
        <f>base!H866</f>
        <v>151</v>
      </c>
      <c r="E866" s="44"/>
      <c r="F866" s="16">
        <f>base!W866</f>
        <v>0</v>
      </c>
      <c r="G866" s="11">
        <f t="shared" si="130"/>
        <v>0</v>
      </c>
      <c r="H866" s="11">
        <f t="shared" si="131"/>
        <v>58.89</v>
      </c>
      <c r="I866" s="11">
        <f t="shared" si="132"/>
        <v>0.39</v>
      </c>
      <c r="J866" s="12">
        <f t="shared" si="133"/>
        <v>-58.89</v>
      </c>
      <c r="K866" s="17" t="str">
        <f t="shared" si="138"/>
        <v>Ecart négatif</v>
      </c>
      <c r="L866" s="16">
        <f>base!X866</f>
        <v>0</v>
      </c>
      <c r="M866" s="11">
        <f t="shared" si="134"/>
        <v>0</v>
      </c>
      <c r="N866" s="11">
        <f t="shared" si="135"/>
        <v>18.12</v>
      </c>
      <c r="O866" s="11">
        <f t="shared" si="136"/>
        <v>0.12000000000000001</v>
      </c>
      <c r="P866" s="12">
        <f t="shared" si="137"/>
        <v>-18.12</v>
      </c>
      <c r="Q866" s="17" t="str">
        <f t="shared" si="139"/>
        <v>Ecart négatif</v>
      </c>
    </row>
    <row r="867" spans="1:18" x14ac:dyDescent="0.3">
      <c r="A867" s="34" t="str">
        <f>base!J867</f>
        <v>RM</v>
      </c>
      <c r="B867" s="34" t="str">
        <f>base!V867</f>
        <v>16270</v>
      </c>
      <c r="C867" s="37">
        <v>16</v>
      </c>
      <c r="D867" s="36">
        <f>base!H867</f>
        <v>151</v>
      </c>
      <c r="E867" s="44"/>
      <c r="F867" s="16">
        <f>base!W867</f>
        <v>0</v>
      </c>
      <c r="G867" s="11">
        <f t="shared" si="130"/>
        <v>0</v>
      </c>
      <c r="H867" s="11">
        <f t="shared" si="131"/>
        <v>31.709999999999997</v>
      </c>
      <c r="I867" s="11">
        <f t="shared" si="132"/>
        <v>0.21</v>
      </c>
      <c r="J867" s="12">
        <f t="shared" si="133"/>
        <v>-31.709999999999997</v>
      </c>
      <c r="K867" s="17" t="str">
        <f t="shared" si="138"/>
        <v>Ecart négatif</v>
      </c>
      <c r="L867" s="16">
        <f>base!X867</f>
        <v>0</v>
      </c>
      <c r="M867" s="11">
        <f t="shared" si="134"/>
        <v>0</v>
      </c>
      <c r="N867" s="11">
        <f t="shared" si="135"/>
        <v>25.67</v>
      </c>
      <c r="O867" s="11">
        <f t="shared" si="136"/>
        <v>0.17</v>
      </c>
      <c r="P867" s="12">
        <f t="shared" si="137"/>
        <v>-25.67</v>
      </c>
      <c r="Q867" s="17" t="str">
        <f t="shared" si="139"/>
        <v>Ecart négatif</v>
      </c>
    </row>
    <row r="868" spans="1:18" x14ac:dyDescent="0.3">
      <c r="A868" s="34" t="str">
        <f>base!J868</f>
        <v>RS</v>
      </c>
      <c r="B868" s="34" t="str">
        <f>base!V868</f>
        <v>01500</v>
      </c>
      <c r="C868" s="37">
        <v>1</v>
      </c>
      <c r="D868" s="36">
        <f>base!H868</f>
        <v>110.2</v>
      </c>
      <c r="E868" s="44"/>
      <c r="F868" s="16">
        <f>base!W868</f>
        <v>0</v>
      </c>
      <c r="G868" s="11">
        <f t="shared" si="130"/>
        <v>0</v>
      </c>
      <c r="H868" s="11">
        <f t="shared" si="131"/>
        <v>28.652000000000001</v>
      </c>
      <c r="I868" s="11">
        <f t="shared" si="132"/>
        <v>0.26</v>
      </c>
      <c r="J868" s="12">
        <f t="shared" si="133"/>
        <v>-28.652000000000001</v>
      </c>
      <c r="K868" s="17" t="str">
        <f t="shared" si="138"/>
        <v>Ecart négatif</v>
      </c>
      <c r="L868" s="16">
        <f>base!X868</f>
        <v>0</v>
      </c>
      <c r="M868" s="11">
        <f t="shared" si="134"/>
        <v>0</v>
      </c>
      <c r="N868" s="11">
        <f t="shared" si="135"/>
        <v>0</v>
      </c>
      <c r="O868" s="11">
        <f t="shared" si="136"/>
        <v>0</v>
      </c>
      <c r="P868" s="12">
        <f t="shared" si="137"/>
        <v>0</v>
      </c>
      <c r="Q868" s="17" t="str">
        <f t="shared" si="139"/>
        <v>Pas d'écart</v>
      </c>
    </row>
    <row r="869" spans="1:18" x14ac:dyDescent="0.3">
      <c r="A869" s="34" t="str">
        <f>base!J869</f>
        <v>RS</v>
      </c>
      <c r="B869" s="34" t="str">
        <f>base!V869</f>
        <v>89160</v>
      </c>
      <c r="C869" s="37">
        <v>89</v>
      </c>
      <c r="D869" s="36">
        <f>base!H869</f>
        <v>80</v>
      </c>
      <c r="E869" s="44"/>
      <c r="F869" s="16">
        <f>base!W869</f>
        <v>0</v>
      </c>
      <c r="G869" s="11">
        <f t="shared" si="130"/>
        <v>0</v>
      </c>
      <c r="H869" s="11">
        <f t="shared" si="131"/>
        <v>18.400000000000002</v>
      </c>
      <c r="I869" s="11">
        <f t="shared" si="132"/>
        <v>0.23000000000000004</v>
      </c>
      <c r="J869" s="12">
        <f t="shared" si="133"/>
        <v>-18.400000000000002</v>
      </c>
      <c r="K869" s="17" t="str">
        <f t="shared" si="138"/>
        <v>Ecart négatif</v>
      </c>
      <c r="L869" s="16">
        <f>base!X869</f>
        <v>0</v>
      </c>
      <c r="M869" s="11">
        <f t="shared" si="134"/>
        <v>0</v>
      </c>
      <c r="N869" s="11">
        <f t="shared" si="135"/>
        <v>9.6</v>
      </c>
      <c r="O869" s="11">
        <f t="shared" si="136"/>
        <v>0.12</v>
      </c>
      <c r="P869" s="12">
        <f t="shared" si="137"/>
        <v>-9.6</v>
      </c>
      <c r="Q869" s="17" t="str">
        <f t="shared" si="139"/>
        <v>Ecart négatif</v>
      </c>
    </row>
    <row r="870" spans="1:18" x14ac:dyDescent="0.3">
      <c r="A870" s="34" t="str">
        <f>base!J870</f>
        <v>RS</v>
      </c>
      <c r="B870" s="34" t="str">
        <f>base!V870</f>
        <v>62410</v>
      </c>
      <c r="C870" s="37">
        <v>62</v>
      </c>
      <c r="D870" s="36">
        <f>base!H870</f>
        <v>163.98</v>
      </c>
      <c r="E870" s="44"/>
      <c r="F870" s="16">
        <f>base!W870</f>
        <v>0</v>
      </c>
      <c r="G870" s="11">
        <f t="shared" si="130"/>
        <v>0</v>
      </c>
      <c r="H870" s="11">
        <f t="shared" si="131"/>
        <v>31.156199999999998</v>
      </c>
      <c r="I870" s="11">
        <f t="shared" si="132"/>
        <v>0.19</v>
      </c>
      <c r="J870" s="12">
        <f t="shared" si="133"/>
        <v>-31.156199999999998</v>
      </c>
      <c r="K870" s="17" t="str">
        <f t="shared" si="138"/>
        <v>Ecart négatif</v>
      </c>
      <c r="L870" s="16">
        <f>base!X870</f>
        <v>0</v>
      </c>
      <c r="M870" s="11">
        <f t="shared" si="134"/>
        <v>0</v>
      </c>
      <c r="N870" s="11">
        <f t="shared" si="135"/>
        <v>0</v>
      </c>
      <c r="O870" s="11">
        <f t="shared" si="136"/>
        <v>0</v>
      </c>
      <c r="P870" s="12">
        <f t="shared" si="137"/>
        <v>0</v>
      </c>
      <c r="Q870" s="17" t="str">
        <f t="shared" si="139"/>
        <v>Pas d'écart</v>
      </c>
    </row>
    <row r="871" spans="1:18" x14ac:dyDescent="0.3">
      <c r="A871" s="34" t="str">
        <f>base!J871</f>
        <v>RM</v>
      </c>
      <c r="B871" s="34" t="str">
        <f>base!V871</f>
        <v>34000</v>
      </c>
      <c r="C871" s="37">
        <v>34</v>
      </c>
      <c r="D871" s="36">
        <f>base!H871</f>
        <v>40</v>
      </c>
      <c r="E871" s="44"/>
      <c r="F871" s="16">
        <f>base!W871</f>
        <v>0</v>
      </c>
      <c r="G871" s="11">
        <f t="shared" si="130"/>
        <v>0</v>
      </c>
      <c r="H871" s="11">
        <f t="shared" si="131"/>
        <v>15.600000000000001</v>
      </c>
      <c r="I871" s="11">
        <f t="shared" si="132"/>
        <v>0.39</v>
      </c>
      <c r="J871" s="12">
        <f t="shared" si="133"/>
        <v>-15.600000000000001</v>
      </c>
      <c r="K871" s="17" t="str">
        <f t="shared" si="138"/>
        <v>Ecart négatif</v>
      </c>
      <c r="L871" s="16">
        <f>base!X871</f>
        <v>0</v>
      </c>
      <c r="M871" s="11">
        <f t="shared" si="134"/>
        <v>0</v>
      </c>
      <c r="N871" s="11">
        <f t="shared" si="135"/>
        <v>11.200000000000001</v>
      </c>
      <c r="O871" s="11">
        <f t="shared" si="136"/>
        <v>0.28000000000000003</v>
      </c>
      <c r="P871" s="12">
        <f t="shared" si="137"/>
        <v>-11.200000000000001</v>
      </c>
      <c r="Q871" s="17" t="str">
        <f t="shared" si="139"/>
        <v>Ecart négatif</v>
      </c>
    </row>
    <row r="872" spans="1:18" x14ac:dyDescent="0.3">
      <c r="A872" s="34" t="str">
        <f>base!J872</f>
        <v>DLS</v>
      </c>
      <c r="B872" s="34" t="str">
        <f>base!V872</f>
        <v>31670</v>
      </c>
      <c r="C872" s="37">
        <v>31</v>
      </c>
      <c r="D872" s="36">
        <f>base!H872</f>
        <v>55</v>
      </c>
      <c r="E872" s="44"/>
      <c r="F872" s="16">
        <f>base!W872</f>
        <v>0</v>
      </c>
      <c r="G872" s="11">
        <f t="shared" si="130"/>
        <v>0</v>
      </c>
      <c r="H872" s="11">
        <f t="shared" si="131"/>
        <v>10.45</v>
      </c>
      <c r="I872" s="11">
        <f t="shared" si="132"/>
        <v>0.18999999999999997</v>
      </c>
      <c r="J872" s="12">
        <f t="shared" si="133"/>
        <v>-10.45</v>
      </c>
      <c r="K872" s="17" t="str">
        <f t="shared" si="138"/>
        <v>Ecart négatif</v>
      </c>
      <c r="L872" s="16">
        <f>base!X872</f>
        <v>0</v>
      </c>
      <c r="M872" s="11">
        <f t="shared" si="134"/>
        <v>0</v>
      </c>
      <c r="N872" s="11">
        <f t="shared" si="135"/>
        <v>14.3</v>
      </c>
      <c r="O872" s="11">
        <f t="shared" si="136"/>
        <v>0.26</v>
      </c>
      <c r="P872" s="12">
        <f t="shared" si="137"/>
        <v>-14.3</v>
      </c>
      <c r="Q872" s="17" t="str">
        <f t="shared" si="139"/>
        <v>Ecart négatif</v>
      </c>
    </row>
    <row r="873" spans="1:18" x14ac:dyDescent="0.3">
      <c r="A873" s="34" t="str">
        <f>base!J873</f>
        <v>DRM</v>
      </c>
      <c r="B873" s="34" t="str">
        <f>base!V873</f>
        <v>38230</v>
      </c>
      <c r="C873" s="37">
        <v>38</v>
      </c>
      <c r="D873" s="36">
        <f>base!H873</f>
        <v>23.4</v>
      </c>
      <c r="E873" s="44"/>
      <c r="F873" s="16">
        <f>base!W873</f>
        <v>0</v>
      </c>
      <c r="G873" s="11">
        <f t="shared" si="130"/>
        <v>0</v>
      </c>
      <c r="H873" s="11">
        <f t="shared" si="131"/>
        <v>6.3179999999999996</v>
      </c>
      <c r="I873" s="11">
        <f t="shared" si="132"/>
        <v>0.27</v>
      </c>
      <c r="J873" s="12">
        <f t="shared" si="133"/>
        <v>-6.3179999999999996</v>
      </c>
      <c r="K873" s="17" t="str">
        <f t="shared" si="138"/>
        <v>Ecart négatif</v>
      </c>
      <c r="L873" s="16">
        <f>base!X873</f>
        <v>0</v>
      </c>
      <c r="M873" s="11">
        <f t="shared" si="134"/>
        <v>0</v>
      </c>
      <c r="N873" s="11">
        <f t="shared" si="135"/>
        <v>0</v>
      </c>
      <c r="O873" s="11">
        <f t="shared" si="136"/>
        <v>0</v>
      </c>
      <c r="P873" s="12">
        <f t="shared" si="137"/>
        <v>0</v>
      </c>
      <c r="Q873" s="17" t="str">
        <f t="shared" si="139"/>
        <v>Pas d'écart</v>
      </c>
    </row>
    <row r="874" spans="1:18" x14ac:dyDescent="0.3">
      <c r="A874" s="34" t="str">
        <f>base!J874</f>
        <v>RM</v>
      </c>
      <c r="B874" s="34" t="str">
        <f>base!V874</f>
        <v>67000</v>
      </c>
      <c r="C874" s="37">
        <v>67</v>
      </c>
      <c r="D874" s="36">
        <f>base!H874</f>
        <v>185.4</v>
      </c>
      <c r="E874" s="44"/>
      <c r="F874" s="16">
        <f>base!W874</f>
        <v>0</v>
      </c>
      <c r="G874" s="11">
        <f t="shared" si="130"/>
        <v>0</v>
      </c>
      <c r="H874" s="11">
        <f t="shared" si="131"/>
        <v>53.765999999999998</v>
      </c>
      <c r="I874" s="11">
        <f t="shared" si="132"/>
        <v>0.28999999999999998</v>
      </c>
      <c r="J874" s="12">
        <f t="shared" si="133"/>
        <v>-53.765999999999998</v>
      </c>
      <c r="K874" s="17" t="str">
        <f t="shared" si="138"/>
        <v>Ecart négatif</v>
      </c>
      <c r="L874" s="16">
        <f>base!X874</f>
        <v>14.83</v>
      </c>
      <c r="M874" s="11">
        <f t="shared" si="134"/>
        <v>7.9989212513484356E-2</v>
      </c>
      <c r="N874" s="11">
        <f t="shared" si="135"/>
        <v>14.832000000000001</v>
      </c>
      <c r="O874" s="11">
        <f t="shared" si="136"/>
        <v>0.08</v>
      </c>
      <c r="P874" s="12">
        <f t="shared" si="137"/>
        <v>-2.0000000000006679E-3</v>
      </c>
      <c r="Q874" s="17" t="str">
        <f t="shared" si="139"/>
        <v>Ecart négatif</v>
      </c>
      <c r="R874" s="38"/>
    </row>
    <row r="875" spans="1:18" x14ac:dyDescent="0.3">
      <c r="A875" s="34" t="str">
        <f>base!J875</f>
        <v>RM</v>
      </c>
      <c r="B875" s="34" t="str">
        <f>base!V875</f>
        <v>62320</v>
      </c>
      <c r="C875" s="37">
        <v>62</v>
      </c>
      <c r="D875" s="36">
        <f>base!H875</f>
        <v>180</v>
      </c>
      <c r="E875" s="44"/>
      <c r="F875" s="16">
        <f>base!W875</f>
        <v>0</v>
      </c>
      <c r="G875" s="11">
        <f t="shared" si="130"/>
        <v>0</v>
      </c>
      <c r="H875" s="11">
        <f t="shared" si="131"/>
        <v>34.200000000000003</v>
      </c>
      <c r="I875" s="11">
        <f t="shared" si="132"/>
        <v>0.19</v>
      </c>
      <c r="J875" s="12">
        <f t="shared" si="133"/>
        <v>-34.200000000000003</v>
      </c>
      <c r="K875" s="17" t="str">
        <f t="shared" si="138"/>
        <v>Ecart négatif</v>
      </c>
      <c r="L875" s="16">
        <f>base!X875</f>
        <v>0</v>
      </c>
      <c r="M875" s="11">
        <f t="shared" si="134"/>
        <v>0</v>
      </c>
      <c r="N875" s="11">
        <f t="shared" si="135"/>
        <v>0</v>
      </c>
      <c r="O875" s="11">
        <f t="shared" si="136"/>
        <v>0</v>
      </c>
      <c r="P875" s="12">
        <f t="shared" si="137"/>
        <v>0</v>
      </c>
      <c r="Q875" s="17" t="str">
        <f t="shared" si="139"/>
        <v>Pas d'écart</v>
      </c>
    </row>
    <row r="876" spans="1:18" x14ac:dyDescent="0.3">
      <c r="A876" s="34" t="str">
        <f>base!J876</f>
        <v>RM</v>
      </c>
      <c r="B876" s="34" t="str">
        <f>base!V876</f>
        <v>44800</v>
      </c>
      <c r="C876" s="37">
        <v>44</v>
      </c>
      <c r="D876" s="36">
        <f>base!H876</f>
        <v>50</v>
      </c>
      <c r="E876" s="44"/>
      <c r="F876" s="16">
        <f>base!W876</f>
        <v>0</v>
      </c>
      <c r="G876" s="11">
        <f t="shared" si="130"/>
        <v>0</v>
      </c>
      <c r="H876" s="11">
        <f t="shared" si="131"/>
        <v>13.5</v>
      </c>
      <c r="I876" s="11">
        <f t="shared" si="132"/>
        <v>0.27</v>
      </c>
      <c r="J876" s="12">
        <f t="shared" si="133"/>
        <v>-13.5</v>
      </c>
      <c r="K876" s="17" t="str">
        <f t="shared" si="138"/>
        <v>Ecart négatif</v>
      </c>
      <c r="L876" s="16">
        <f>base!X876</f>
        <v>0</v>
      </c>
      <c r="M876" s="11">
        <f t="shared" si="134"/>
        <v>0</v>
      </c>
      <c r="N876" s="11">
        <f t="shared" si="135"/>
        <v>0</v>
      </c>
      <c r="O876" s="11">
        <f t="shared" si="136"/>
        <v>0</v>
      </c>
      <c r="P876" s="12">
        <f t="shared" si="137"/>
        <v>0</v>
      </c>
      <c r="Q876" s="17" t="str">
        <f t="shared" si="139"/>
        <v>Pas d'écart</v>
      </c>
    </row>
    <row r="877" spans="1:18" x14ac:dyDescent="0.3">
      <c r="A877" s="34" t="str">
        <f>base!J877</f>
        <v>RS</v>
      </c>
      <c r="B877" s="34" t="str">
        <f>base!V877</f>
        <v>27400</v>
      </c>
      <c r="C877" s="37">
        <v>27</v>
      </c>
      <c r="D877" s="36">
        <f>base!H877</f>
        <v>291.27</v>
      </c>
      <c r="E877" s="44"/>
      <c r="F877" s="16">
        <f>base!W877</f>
        <v>0</v>
      </c>
      <c r="G877" s="11">
        <f t="shared" si="130"/>
        <v>0</v>
      </c>
      <c r="H877" s="11">
        <f t="shared" si="131"/>
        <v>49.515900000000002</v>
      </c>
      <c r="I877" s="11">
        <f t="shared" si="132"/>
        <v>0.17</v>
      </c>
      <c r="J877" s="12">
        <f t="shared" si="133"/>
        <v>-49.515900000000002</v>
      </c>
      <c r="K877" s="17" t="str">
        <f t="shared" si="138"/>
        <v>Ecart négatif</v>
      </c>
      <c r="L877" s="16">
        <f>base!X877</f>
        <v>0</v>
      </c>
      <c r="M877" s="11">
        <f t="shared" si="134"/>
        <v>0</v>
      </c>
      <c r="N877" s="11">
        <f t="shared" si="135"/>
        <v>49.515900000000002</v>
      </c>
      <c r="O877" s="11">
        <f t="shared" si="136"/>
        <v>0.17</v>
      </c>
      <c r="P877" s="12">
        <f t="shared" si="137"/>
        <v>-49.515900000000002</v>
      </c>
      <c r="Q877" s="17" t="str">
        <f t="shared" si="139"/>
        <v>Ecart négatif</v>
      </c>
    </row>
    <row r="878" spans="1:18" x14ac:dyDescent="0.3">
      <c r="A878" s="34" t="str">
        <f>base!J878</f>
        <v>LS</v>
      </c>
      <c r="B878" s="34" t="str">
        <f>base!V878</f>
        <v>89330</v>
      </c>
      <c r="C878" s="37">
        <v>14</v>
      </c>
      <c r="D878" s="36">
        <f>base!H878</f>
        <v>40</v>
      </c>
      <c r="E878" s="44"/>
      <c r="F878" s="16">
        <f>base!W878</f>
        <v>0</v>
      </c>
      <c r="G878" s="11">
        <f t="shared" si="130"/>
        <v>0</v>
      </c>
      <c r="H878" s="11">
        <f t="shared" si="131"/>
        <v>6.8000000000000007</v>
      </c>
      <c r="I878" s="11">
        <f t="shared" si="132"/>
        <v>0.17</v>
      </c>
      <c r="J878" s="12">
        <f t="shared" si="133"/>
        <v>-6.8000000000000007</v>
      </c>
      <c r="K878" s="17" t="str">
        <f t="shared" si="138"/>
        <v>Ecart négatif</v>
      </c>
      <c r="L878" s="16">
        <f>base!X878</f>
        <v>0</v>
      </c>
      <c r="M878" s="11">
        <f t="shared" si="134"/>
        <v>0</v>
      </c>
      <c r="N878" s="11">
        <f t="shared" si="135"/>
        <v>6.8000000000000007</v>
      </c>
      <c r="O878" s="11">
        <f t="shared" si="136"/>
        <v>0.17</v>
      </c>
      <c r="P878" s="12">
        <f t="shared" si="137"/>
        <v>-6.8000000000000007</v>
      </c>
      <c r="Q878" s="17" t="str">
        <f t="shared" si="139"/>
        <v>Ecart négatif</v>
      </c>
    </row>
    <row r="879" spans="1:18" x14ac:dyDescent="0.3">
      <c r="A879" s="34" t="str">
        <f>base!J879</f>
        <v>DLS</v>
      </c>
      <c r="B879" s="34" t="str">
        <f>base!V879</f>
        <v>73000</v>
      </c>
      <c r="C879" s="37">
        <v>73</v>
      </c>
      <c r="D879" s="36">
        <f>base!H879</f>
        <v>122.09</v>
      </c>
      <c r="E879" s="44"/>
      <c r="F879" s="16">
        <f>base!W879</f>
        <v>0</v>
      </c>
      <c r="G879" s="11">
        <f t="shared" si="130"/>
        <v>0</v>
      </c>
      <c r="H879" s="11">
        <f t="shared" si="131"/>
        <v>32.964300000000001</v>
      </c>
      <c r="I879" s="11">
        <f t="shared" si="132"/>
        <v>0.27</v>
      </c>
      <c r="J879" s="12">
        <f t="shared" si="133"/>
        <v>-32.964300000000001</v>
      </c>
      <c r="K879" s="17" t="str">
        <f t="shared" si="138"/>
        <v>Ecart négatif</v>
      </c>
      <c r="L879" s="16">
        <f>base!X879</f>
        <v>0</v>
      </c>
      <c r="M879" s="11">
        <f t="shared" si="134"/>
        <v>0</v>
      </c>
      <c r="N879" s="11">
        <f t="shared" si="135"/>
        <v>0</v>
      </c>
      <c r="O879" s="11">
        <f t="shared" si="136"/>
        <v>0</v>
      </c>
      <c r="P879" s="12">
        <f t="shared" si="137"/>
        <v>0</v>
      </c>
      <c r="Q879" s="17" t="str">
        <f t="shared" si="139"/>
        <v>Pas d'écart</v>
      </c>
    </row>
    <row r="880" spans="1:18" x14ac:dyDescent="0.3">
      <c r="A880" s="34" t="str">
        <f>base!J880</f>
        <v>RM</v>
      </c>
      <c r="B880" s="34" t="str">
        <f>base!V880</f>
        <v>68100</v>
      </c>
      <c r="C880" s="37">
        <v>68</v>
      </c>
      <c r="D880" s="36">
        <f>base!H880</f>
        <v>180</v>
      </c>
      <c r="E880" s="44"/>
      <c r="F880" s="16">
        <f>base!W880</f>
        <v>0</v>
      </c>
      <c r="G880" s="11">
        <f t="shared" si="130"/>
        <v>0</v>
      </c>
      <c r="H880" s="11">
        <f t="shared" si="131"/>
        <v>52.199999999999996</v>
      </c>
      <c r="I880" s="11">
        <f t="shared" si="132"/>
        <v>0.28999999999999998</v>
      </c>
      <c r="J880" s="12">
        <f t="shared" si="133"/>
        <v>-52.199999999999996</v>
      </c>
      <c r="K880" s="17" t="str">
        <f t="shared" si="138"/>
        <v>Ecart négatif</v>
      </c>
      <c r="L880" s="16">
        <f>base!X880</f>
        <v>0</v>
      </c>
      <c r="M880" s="11">
        <f t="shared" si="134"/>
        <v>0</v>
      </c>
      <c r="N880" s="11">
        <f t="shared" si="135"/>
        <v>14.4</v>
      </c>
      <c r="O880" s="11">
        <f t="shared" si="136"/>
        <v>0.08</v>
      </c>
      <c r="P880" s="12">
        <f t="shared" si="137"/>
        <v>-14.4</v>
      </c>
      <c r="Q880" s="17" t="str">
        <f t="shared" si="139"/>
        <v>Ecart négatif</v>
      </c>
    </row>
    <row r="881" spans="1:18" x14ac:dyDescent="0.3">
      <c r="A881" s="34" t="str">
        <f>base!J881</f>
        <v>RS</v>
      </c>
      <c r="B881" s="34" t="str">
        <f>base!V881</f>
        <v>75009</v>
      </c>
      <c r="C881" s="37">
        <v>75</v>
      </c>
      <c r="D881" s="36">
        <f>base!H881</f>
        <v>151</v>
      </c>
      <c r="E881" s="44"/>
      <c r="F881" s="16">
        <f>base!W881</f>
        <v>0</v>
      </c>
      <c r="G881" s="11">
        <f t="shared" si="130"/>
        <v>0</v>
      </c>
      <c r="H881" s="11">
        <f t="shared" si="131"/>
        <v>0</v>
      </c>
      <c r="I881" s="11">
        <f t="shared" si="132"/>
        <v>0</v>
      </c>
      <c r="J881" s="12">
        <f t="shared" si="133"/>
        <v>0</v>
      </c>
      <c r="K881" s="17" t="str">
        <f t="shared" si="138"/>
        <v>Pas d'écart</v>
      </c>
      <c r="L881" s="16">
        <f>base!X881</f>
        <v>0</v>
      </c>
      <c r="M881" s="11">
        <f t="shared" si="134"/>
        <v>0</v>
      </c>
      <c r="N881" s="11">
        <f t="shared" si="135"/>
        <v>0</v>
      </c>
      <c r="O881" s="11">
        <f t="shared" si="136"/>
        <v>0</v>
      </c>
      <c r="P881" s="12">
        <f t="shared" si="137"/>
        <v>0</v>
      </c>
      <c r="Q881" s="17" t="str">
        <f t="shared" si="139"/>
        <v>Pas d'écart</v>
      </c>
    </row>
    <row r="882" spans="1:18" x14ac:dyDescent="0.3">
      <c r="A882" s="34" t="str">
        <f>base!J882</f>
        <v>RS</v>
      </c>
      <c r="B882" s="34" t="str">
        <f>base!V882</f>
        <v>79000</v>
      </c>
      <c r="C882" s="37">
        <v>79</v>
      </c>
      <c r="D882" s="36">
        <f>base!H882</f>
        <v>140</v>
      </c>
      <c r="E882" s="44"/>
      <c r="F882" s="16">
        <f>base!W882</f>
        <v>0</v>
      </c>
      <c r="G882" s="11">
        <f t="shared" si="130"/>
        <v>0</v>
      </c>
      <c r="H882" s="11">
        <f t="shared" si="131"/>
        <v>29.4</v>
      </c>
      <c r="I882" s="11">
        <f t="shared" si="132"/>
        <v>0.21</v>
      </c>
      <c r="J882" s="12">
        <f t="shared" si="133"/>
        <v>-29.4</v>
      </c>
      <c r="K882" s="17" t="str">
        <f t="shared" si="138"/>
        <v>Ecart négatif</v>
      </c>
      <c r="L882" s="16">
        <f>base!X882</f>
        <v>0</v>
      </c>
      <c r="M882" s="11">
        <f t="shared" si="134"/>
        <v>0</v>
      </c>
      <c r="N882" s="11">
        <f t="shared" si="135"/>
        <v>16.8</v>
      </c>
      <c r="O882" s="11">
        <f t="shared" si="136"/>
        <v>0.12000000000000001</v>
      </c>
      <c r="P882" s="12">
        <f t="shared" si="137"/>
        <v>-16.8</v>
      </c>
      <c r="Q882" s="17" t="str">
        <f t="shared" si="139"/>
        <v>Ecart négatif</v>
      </c>
    </row>
    <row r="883" spans="1:18" x14ac:dyDescent="0.3">
      <c r="A883" s="34" t="str">
        <f>base!J883</f>
        <v>Stockage</v>
      </c>
      <c r="B883" s="34" t="str">
        <f>base!V883</f>
        <v/>
      </c>
      <c r="C883" s="40" t="s">
        <v>11</v>
      </c>
      <c r="D883" s="36">
        <f>base!H883</f>
        <v>0</v>
      </c>
      <c r="E883" s="44"/>
      <c r="F883" s="16">
        <f>base!W883</f>
        <v>0</v>
      </c>
      <c r="G883" s="11" t="e">
        <f t="shared" si="130"/>
        <v>#DIV/0!</v>
      </c>
      <c r="H883" s="11" t="e">
        <f t="shared" si="131"/>
        <v>#N/A</v>
      </c>
      <c r="I883" s="11" t="e">
        <f t="shared" si="132"/>
        <v>#N/A</v>
      </c>
      <c r="J883" s="12" t="e">
        <f t="shared" si="133"/>
        <v>#N/A</v>
      </c>
      <c r="K883" s="17" t="e">
        <f t="shared" si="138"/>
        <v>#N/A</v>
      </c>
      <c r="L883" s="16">
        <f>base!X883</f>
        <v>0</v>
      </c>
      <c r="M883" s="11" t="e">
        <f t="shared" si="134"/>
        <v>#DIV/0!</v>
      </c>
      <c r="N883" s="11" t="e">
        <f t="shared" si="135"/>
        <v>#N/A</v>
      </c>
      <c r="O883" s="11" t="e">
        <f t="shared" si="136"/>
        <v>#N/A</v>
      </c>
      <c r="P883" s="12" t="e">
        <f t="shared" si="137"/>
        <v>#N/A</v>
      </c>
      <c r="Q883" s="17" t="e">
        <f t="shared" si="139"/>
        <v>#N/A</v>
      </c>
    </row>
    <row r="884" spans="1:18" x14ac:dyDescent="0.3">
      <c r="A884" s="34" t="str">
        <f>base!J884</f>
        <v>RS</v>
      </c>
      <c r="B884" s="34" t="str">
        <f>base!V884</f>
        <v>63000</v>
      </c>
      <c r="C884" s="37">
        <v>63</v>
      </c>
      <c r="D884" s="36">
        <f>base!H884</f>
        <v>181</v>
      </c>
      <c r="E884" s="44"/>
      <c r="F884" s="16">
        <f>base!W884</f>
        <v>0</v>
      </c>
      <c r="G884" s="11">
        <f t="shared" si="130"/>
        <v>0</v>
      </c>
      <c r="H884" s="11">
        <f t="shared" si="131"/>
        <v>52.489999999999995</v>
      </c>
      <c r="I884" s="11">
        <f t="shared" si="132"/>
        <v>0.28999999999999998</v>
      </c>
      <c r="J884" s="12">
        <f t="shared" si="133"/>
        <v>-52.489999999999995</v>
      </c>
      <c r="K884" s="17" t="str">
        <f t="shared" si="138"/>
        <v>Ecart négatif</v>
      </c>
      <c r="L884" s="16">
        <f>base!X884</f>
        <v>70.59</v>
      </c>
      <c r="M884" s="11">
        <f t="shared" si="134"/>
        <v>0.39</v>
      </c>
      <c r="N884" s="11">
        <f t="shared" si="135"/>
        <v>21.72</v>
      </c>
      <c r="O884" s="11">
        <f t="shared" si="136"/>
        <v>0.12</v>
      </c>
      <c r="P884" s="12">
        <f t="shared" si="137"/>
        <v>48.870000000000005</v>
      </c>
      <c r="Q884" s="17" t="str">
        <f t="shared" si="139"/>
        <v>Ecart positif</v>
      </c>
      <c r="R884" s="38"/>
    </row>
    <row r="885" spans="1:18" x14ac:dyDescent="0.3">
      <c r="A885" s="34" t="str">
        <f>base!J885</f>
        <v>RM</v>
      </c>
      <c r="B885" s="34" t="str">
        <f>base!V885</f>
        <v>77600</v>
      </c>
      <c r="C885" s="37">
        <v>77</v>
      </c>
      <c r="D885" s="36">
        <f>base!H885</f>
        <v>151</v>
      </c>
      <c r="E885" s="44"/>
      <c r="F885" s="16">
        <f>base!W885</f>
        <v>0</v>
      </c>
      <c r="G885" s="11">
        <f t="shared" si="130"/>
        <v>0</v>
      </c>
      <c r="H885" s="11">
        <f t="shared" si="131"/>
        <v>0</v>
      </c>
      <c r="I885" s="11">
        <f t="shared" si="132"/>
        <v>0</v>
      </c>
      <c r="J885" s="12">
        <f t="shared" si="133"/>
        <v>0</v>
      </c>
      <c r="K885" s="17" t="str">
        <f t="shared" si="138"/>
        <v>Pas d'écart</v>
      </c>
      <c r="L885" s="16">
        <f>base!X885</f>
        <v>0</v>
      </c>
      <c r="M885" s="11">
        <f t="shared" si="134"/>
        <v>0</v>
      </c>
      <c r="N885" s="11">
        <f t="shared" si="135"/>
        <v>0</v>
      </c>
      <c r="O885" s="11">
        <f t="shared" si="136"/>
        <v>0</v>
      </c>
      <c r="P885" s="12">
        <f t="shared" si="137"/>
        <v>0</v>
      </c>
      <c r="Q885" s="17" t="str">
        <f t="shared" si="139"/>
        <v>Pas d'écart</v>
      </c>
    </row>
    <row r="886" spans="1:18" x14ac:dyDescent="0.3">
      <c r="A886" s="34" t="str">
        <f>base!J886</f>
        <v>RM</v>
      </c>
      <c r="B886" s="34" t="str">
        <f>base!V886</f>
        <v>39500</v>
      </c>
      <c r="C886" s="37">
        <v>39</v>
      </c>
      <c r="D886" s="36">
        <f>base!H886</f>
        <v>183.43</v>
      </c>
      <c r="E886" s="44"/>
      <c r="F886" s="16">
        <f>base!W886</f>
        <v>0</v>
      </c>
      <c r="G886" s="11">
        <f t="shared" si="130"/>
        <v>0</v>
      </c>
      <c r="H886" s="11">
        <f t="shared" si="131"/>
        <v>49.526100000000007</v>
      </c>
      <c r="I886" s="11">
        <f t="shared" si="132"/>
        <v>0.27</v>
      </c>
      <c r="J886" s="12">
        <f t="shared" si="133"/>
        <v>-49.526100000000007</v>
      </c>
      <c r="K886" s="17" t="str">
        <f t="shared" si="138"/>
        <v>Ecart négatif</v>
      </c>
      <c r="L886" s="16">
        <f>base!X886</f>
        <v>0</v>
      </c>
      <c r="M886" s="11">
        <f t="shared" si="134"/>
        <v>0</v>
      </c>
      <c r="N886" s="11">
        <f t="shared" si="135"/>
        <v>0</v>
      </c>
      <c r="O886" s="11">
        <f t="shared" si="136"/>
        <v>0</v>
      </c>
      <c r="P886" s="12">
        <f t="shared" si="137"/>
        <v>0</v>
      </c>
      <c r="Q886" s="17" t="str">
        <f t="shared" si="139"/>
        <v>Pas d'écart</v>
      </c>
    </row>
    <row r="887" spans="1:18" x14ac:dyDescent="0.3">
      <c r="A887" s="34" t="str">
        <f>base!J887</f>
        <v>RS</v>
      </c>
      <c r="B887" s="34" t="str">
        <f>base!V887</f>
        <v>57175</v>
      </c>
      <c r="C887" s="37">
        <v>57</v>
      </c>
      <c r="D887" s="36">
        <f>base!H887</f>
        <v>40</v>
      </c>
      <c r="E887" s="44"/>
      <c r="F887" s="16">
        <f>base!W887</f>
        <v>0</v>
      </c>
      <c r="G887" s="11">
        <f t="shared" si="130"/>
        <v>0</v>
      </c>
      <c r="H887" s="11">
        <f t="shared" si="131"/>
        <v>9.6</v>
      </c>
      <c r="I887" s="11">
        <f t="shared" si="132"/>
        <v>0.24</v>
      </c>
      <c r="J887" s="12">
        <f t="shared" si="133"/>
        <v>-9.6</v>
      </c>
      <c r="K887" s="17" t="str">
        <f t="shared" si="138"/>
        <v>Ecart négatif</v>
      </c>
      <c r="L887" s="16">
        <f>base!X887</f>
        <v>10</v>
      </c>
      <c r="M887" s="11">
        <f t="shared" si="134"/>
        <v>0.25</v>
      </c>
      <c r="N887" s="11">
        <f t="shared" si="135"/>
        <v>10</v>
      </c>
      <c r="O887" s="11">
        <f t="shared" si="136"/>
        <v>0.25</v>
      </c>
      <c r="P887" s="12">
        <f t="shared" si="137"/>
        <v>0</v>
      </c>
      <c r="Q887" s="17" t="str">
        <f t="shared" si="139"/>
        <v>Pas d'écart</v>
      </c>
    </row>
    <row r="888" spans="1:18" x14ac:dyDescent="0.3">
      <c r="A888" s="34" t="str">
        <f>base!J888</f>
        <v>RM</v>
      </c>
      <c r="B888" s="34" t="str">
        <f>base!V888</f>
        <v>69100</v>
      </c>
      <c r="C888" s="37">
        <v>69</v>
      </c>
      <c r="D888" s="36">
        <f>base!H888</f>
        <v>180</v>
      </c>
      <c r="E888" s="44"/>
      <c r="F888" s="16">
        <f>base!W888</f>
        <v>0</v>
      </c>
      <c r="G888" s="11">
        <f t="shared" si="130"/>
        <v>0</v>
      </c>
      <c r="H888" s="11">
        <f t="shared" si="131"/>
        <v>48.6</v>
      </c>
      <c r="I888" s="11">
        <f t="shared" si="132"/>
        <v>0.27</v>
      </c>
      <c r="J888" s="12">
        <f t="shared" si="133"/>
        <v>-48.6</v>
      </c>
      <c r="K888" s="17" t="str">
        <f t="shared" si="138"/>
        <v>Ecart négatif</v>
      </c>
      <c r="L888" s="16">
        <f>base!X888</f>
        <v>0</v>
      </c>
      <c r="M888" s="11">
        <f t="shared" si="134"/>
        <v>0</v>
      </c>
      <c r="N888" s="11">
        <f t="shared" si="135"/>
        <v>0</v>
      </c>
      <c r="O888" s="11">
        <f t="shared" si="136"/>
        <v>0</v>
      </c>
      <c r="P888" s="12">
        <f t="shared" si="137"/>
        <v>0</v>
      </c>
      <c r="Q888" s="17" t="str">
        <f t="shared" si="139"/>
        <v>Pas d'écart</v>
      </c>
    </row>
    <row r="889" spans="1:18" x14ac:dyDescent="0.3">
      <c r="A889" s="34" t="str">
        <f>base!J889</f>
        <v>RM</v>
      </c>
      <c r="B889" s="34" t="str">
        <f>base!V889</f>
        <v>69100</v>
      </c>
      <c r="C889" s="37">
        <v>69</v>
      </c>
      <c r="D889" s="36">
        <f>base!H889</f>
        <v>90.99</v>
      </c>
      <c r="E889" s="44"/>
      <c r="F889" s="16">
        <f>base!W889</f>
        <v>0</v>
      </c>
      <c r="G889" s="11">
        <f t="shared" si="130"/>
        <v>0</v>
      </c>
      <c r="H889" s="11">
        <f t="shared" si="131"/>
        <v>24.567299999999999</v>
      </c>
      <c r="I889" s="11">
        <f t="shared" si="132"/>
        <v>0.27</v>
      </c>
      <c r="J889" s="12">
        <f t="shared" si="133"/>
        <v>-24.567299999999999</v>
      </c>
      <c r="K889" s="17" t="str">
        <f t="shared" si="138"/>
        <v>Ecart négatif</v>
      </c>
      <c r="L889" s="16">
        <f>base!X889</f>
        <v>0</v>
      </c>
      <c r="M889" s="11">
        <f t="shared" si="134"/>
        <v>0</v>
      </c>
      <c r="N889" s="11">
        <f t="shared" si="135"/>
        <v>0</v>
      </c>
      <c r="O889" s="11">
        <f t="shared" si="136"/>
        <v>0</v>
      </c>
      <c r="P889" s="12">
        <f t="shared" si="137"/>
        <v>0</v>
      </c>
      <c r="Q889" s="17" t="str">
        <f t="shared" si="139"/>
        <v>Pas d'écart</v>
      </c>
    </row>
    <row r="890" spans="1:18" x14ac:dyDescent="0.3">
      <c r="A890" s="34" t="str">
        <f>base!J890</f>
        <v>RM</v>
      </c>
      <c r="B890" s="34" t="str">
        <f>base!V890</f>
        <v>69100</v>
      </c>
      <c r="C890" s="37">
        <v>69</v>
      </c>
      <c r="D890" s="36">
        <f>base!H890</f>
        <v>90.99</v>
      </c>
      <c r="E890" s="44"/>
      <c r="F890" s="16">
        <f>base!W890</f>
        <v>0</v>
      </c>
      <c r="G890" s="11">
        <f t="shared" si="130"/>
        <v>0</v>
      </c>
      <c r="H890" s="11">
        <f t="shared" si="131"/>
        <v>24.567299999999999</v>
      </c>
      <c r="I890" s="11">
        <f t="shared" si="132"/>
        <v>0.27</v>
      </c>
      <c r="J890" s="12">
        <f t="shared" si="133"/>
        <v>-24.567299999999999</v>
      </c>
      <c r="K890" s="17" t="str">
        <f t="shared" si="138"/>
        <v>Ecart négatif</v>
      </c>
      <c r="L890" s="16">
        <f>base!X890</f>
        <v>0</v>
      </c>
      <c r="M890" s="11">
        <f t="shared" si="134"/>
        <v>0</v>
      </c>
      <c r="N890" s="11">
        <f t="shared" si="135"/>
        <v>0</v>
      </c>
      <c r="O890" s="11">
        <f t="shared" si="136"/>
        <v>0</v>
      </c>
      <c r="P890" s="12">
        <f t="shared" si="137"/>
        <v>0</v>
      </c>
      <c r="Q890" s="17" t="str">
        <f t="shared" si="139"/>
        <v>Pas d'écart</v>
      </c>
    </row>
    <row r="891" spans="1:18" x14ac:dyDescent="0.3">
      <c r="A891" s="34" t="str">
        <f>base!J891</f>
        <v>LM</v>
      </c>
      <c r="B891" s="34" t="str">
        <f>base!V891</f>
        <v>14200</v>
      </c>
      <c r="C891" s="37">
        <v>76</v>
      </c>
      <c r="D891" s="36">
        <f>base!H891</f>
        <v>55.16</v>
      </c>
      <c r="E891" s="44"/>
      <c r="F891" s="16">
        <f>base!W891</f>
        <v>9.3800000000000008</v>
      </c>
      <c r="G891" s="11">
        <f t="shared" si="130"/>
        <v>0.17005076142131983</v>
      </c>
      <c r="H891" s="11">
        <f t="shared" si="131"/>
        <v>9.3772000000000002</v>
      </c>
      <c r="I891" s="11">
        <f t="shared" si="132"/>
        <v>0.17</v>
      </c>
      <c r="J891" s="12">
        <f t="shared" si="133"/>
        <v>2.8000000000005798E-3</v>
      </c>
      <c r="K891" s="17" t="str">
        <f t="shared" si="138"/>
        <v>Ecart positif</v>
      </c>
      <c r="L891" s="16">
        <f>base!X891</f>
        <v>0</v>
      </c>
      <c r="M891" s="11">
        <f t="shared" si="134"/>
        <v>0</v>
      </c>
      <c r="N891" s="11">
        <f t="shared" si="135"/>
        <v>9.3772000000000002</v>
      </c>
      <c r="O891" s="11">
        <f t="shared" si="136"/>
        <v>0.17</v>
      </c>
      <c r="P891" s="12">
        <f t="shared" si="137"/>
        <v>-9.3772000000000002</v>
      </c>
      <c r="Q891" s="17" t="str">
        <f t="shared" si="139"/>
        <v>Ecart négatif</v>
      </c>
    </row>
    <row r="892" spans="1:18" x14ac:dyDescent="0.3">
      <c r="A892" s="34" t="str">
        <f>base!J892</f>
        <v>LM</v>
      </c>
      <c r="B892" s="34" t="str">
        <f>base!V892</f>
        <v>14200</v>
      </c>
      <c r="C892" s="37">
        <v>14</v>
      </c>
      <c r="D892" s="36">
        <f>base!H892</f>
        <v>55.16</v>
      </c>
      <c r="E892" s="44"/>
      <c r="F892" s="16">
        <f>base!W892</f>
        <v>9.3800000000000008</v>
      </c>
      <c r="G892" s="11">
        <f t="shared" si="130"/>
        <v>0.17005076142131983</v>
      </c>
      <c r="H892" s="11">
        <f t="shared" si="131"/>
        <v>9.3772000000000002</v>
      </c>
      <c r="I892" s="11">
        <f t="shared" si="132"/>
        <v>0.17</v>
      </c>
      <c r="J892" s="12">
        <f t="shared" si="133"/>
        <v>2.8000000000005798E-3</v>
      </c>
      <c r="K892" s="17" t="str">
        <f t="shared" si="138"/>
        <v>Ecart positif</v>
      </c>
      <c r="L892" s="16">
        <f>base!X892</f>
        <v>0</v>
      </c>
      <c r="M892" s="11">
        <f t="shared" si="134"/>
        <v>0</v>
      </c>
      <c r="N892" s="11">
        <f t="shared" si="135"/>
        <v>9.3772000000000002</v>
      </c>
      <c r="O892" s="11">
        <f t="shared" si="136"/>
        <v>0.17</v>
      </c>
      <c r="P892" s="12">
        <f t="shared" si="137"/>
        <v>-9.3772000000000002</v>
      </c>
      <c r="Q892" s="17" t="str">
        <f t="shared" si="139"/>
        <v>Ecart négatif</v>
      </c>
    </row>
    <row r="893" spans="1:18" x14ac:dyDescent="0.3">
      <c r="A893" s="34" t="str">
        <f>base!J893</f>
        <v>RM</v>
      </c>
      <c r="B893" s="34" t="str">
        <f>base!V893</f>
        <v>14000</v>
      </c>
      <c r="C893" s="37">
        <v>14</v>
      </c>
      <c r="D893" s="36">
        <f>base!H893</f>
        <v>184.02</v>
      </c>
      <c r="E893" s="44"/>
      <c r="F893" s="16">
        <f>base!W893</f>
        <v>0</v>
      </c>
      <c r="G893" s="11">
        <f t="shared" si="130"/>
        <v>0</v>
      </c>
      <c r="H893" s="11">
        <f t="shared" si="131"/>
        <v>31.283400000000004</v>
      </c>
      <c r="I893" s="11">
        <f t="shared" si="132"/>
        <v>0.17</v>
      </c>
      <c r="J893" s="12">
        <f t="shared" si="133"/>
        <v>-31.283400000000004</v>
      </c>
      <c r="K893" s="17" t="str">
        <f t="shared" si="138"/>
        <v>Ecart négatif</v>
      </c>
      <c r="L893" s="16">
        <f>base!X893</f>
        <v>31.28</v>
      </c>
      <c r="M893" s="11">
        <f t="shared" si="134"/>
        <v>0.16998152374741876</v>
      </c>
      <c r="N893" s="11">
        <f t="shared" si="135"/>
        <v>31.283400000000004</v>
      </c>
      <c r="O893" s="11">
        <f t="shared" si="136"/>
        <v>0.17</v>
      </c>
      <c r="P893" s="12">
        <f t="shared" si="137"/>
        <v>-3.4000000000027342E-3</v>
      </c>
      <c r="Q893" s="17" t="str">
        <f t="shared" si="139"/>
        <v>Ecart négatif</v>
      </c>
      <c r="R893" s="38"/>
    </row>
    <row r="894" spans="1:18" x14ac:dyDescent="0.3">
      <c r="A894" s="34" t="str">
        <f>base!J894</f>
        <v>RM</v>
      </c>
      <c r="B894" s="34" t="str">
        <f>base!V894</f>
        <v>67000</v>
      </c>
      <c r="C894" s="37">
        <v>67</v>
      </c>
      <c r="D894" s="36">
        <f>base!H894</f>
        <v>40</v>
      </c>
      <c r="E894" s="44"/>
      <c r="F894" s="16">
        <f>base!W894</f>
        <v>0</v>
      </c>
      <c r="G894" s="11">
        <f t="shared" si="130"/>
        <v>0</v>
      </c>
      <c r="H894" s="11">
        <f t="shared" si="131"/>
        <v>11.6</v>
      </c>
      <c r="I894" s="11">
        <f t="shared" si="132"/>
        <v>0.28999999999999998</v>
      </c>
      <c r="J894" s="12">
        <f t="shared" si="133"/>
        <v>-11.6</v>
      </c>
      <c r="K894" s="17" t="str">
        <f t="shared" si="138"/>
        <v>Ecart négatif</v>
      </c>
      <c r="L894" s="16">
        <f>base!X894</f>
        <v>3.2</v>
      </c>
      <c r="M894" s="11">
        <f t="shared" si="134"/>
        <v>0.08</v>
      </c>
      <c r="N894" s="11">
        <f t="shared" si="135"/>
        <v>3.2</v>
      </c>
      <c r="O894" s="11">
        <f t="shared" si="136"/>
        <v>0.08</v>
      </c>
      <c r="P894" s="12">
        <f t="shared" si="137"/>
        <v>0</v>
      </c>
      <c r="Q894" s="17" t="str">
        <f t="shared" si="139"/>
        <v>Pas d'écart</v>
      </c>
      <c r="R894" s="38"/>
    </row>
    <row r="895" spans="1:18" x14ac:dyDescent="0.3">
      <c r="A895" s="34" t="str">
        <f>base!J895</f>
        <v>RM</v>
      </c>
      <c r="B895" s="34" t="str">
        <f>base!V895</f>
        <v>44600</v>
      </c>
      <c r="C895" s="37">
        <v>44</v>
      </c>
      <c r="D895" s="36">
        <f>base!H895</f>
        <v>40</v>
      </c>
      <c r="E895" s="44"/>
      <c r="F895" s="16">
        <f>base!W895</f>
        <v>0</v>
      </c>
      <c r="G895" s="11">
        <f t="shared" si="130"/>
        <v>0</v>
      </c>
      <c r="H895" s="11">
        <f t="shared" si="131"/>
        <v>10.8</v>
      </c>
      <c r="I895" s="11">
        <f t="shared" si="132"/>
        <v>0.27</v>
      </c>
      <c r="J895" s="12">
        <f t="shared" si="133"/>
        <v>-10.8</v>
      </c>
      <c r="K895" s="17" t="str">
        <f t="shared" si="138"/>
        <v>Ecart négatif</v>
      </c>
      <c r="L895" s="16">
        <f>base!X895</f>
        <v>10.8</v>
      </c>
      <c r="M895" s="11">
        <f t="shared" si="134"/>
        <v>0.27</v>
      </c>
      <c r="N895" s="11">
        <f t="shared" si="135"/>
        <v>0</v>
      </c>
      <c r="O895" s="11">
        <f t="shared" si="136"/>
        <v>0</v>
      </c>
      <c r="P895" s="12">
        <f t="shared" si="137"/>
        <v>10.8</v>
      </c>
      <c r="Q895" s="17" t="str">
        <f t="shared" si="139"/>
        <v>Ecart positif</v>
      </c>
    </row>
    <row r="896" spans="1:18" x14ac:dyDescent="0.3">
      <c r="A896" s="34" t="str">
        <f>base!J896</f>
        <v>RM</v>
      </c>
      <c r="B896" s="34" t="str">
        <f>base!V896</f>
        <v>01190</v>
      </c>
      <c r="C896" s="37">
        <v>1</v>
      </c>
      <c r="D896" s="36">
        <f>base!H896</f>
        <v>163.98</v>
      </c>
      <c r="E896" s="44"/>
      <c r="F896" s="16">
        <f>base!W896</f>
        <v>0</v>
      </c>
      <c r="G896" s="11">
        <f t="shared" si="130"/>
        <v>0</v>
      </c>
      <c r="H896" s="11">
        <f t="shared" si="131"/>
        <v>42.634799999999998</v>
      </c>
      <c r="I896" s="11">
        <f t="shared" si="132"/>
        <v>0.26</v>
      </c>
      <c r="J896" s="12">
        <f t="shared" si="133"/>
        <v>-42.634799999999998</v>
      </c>
      <c r="K896" s="17" t="str">
        <f t="shared" si="138"/>
        <v>Ecart négatif</v>
      </c>
      <c r="L896" s="16">
        <f>base!X896</f>
        <v>0</v>
      </c>
      <c r="M896" s="11">
        <f t="shared" si="134"/>
        <v>0</v>
      </c>
      <c r="N896" s="11">
        <f t="shared" si="135"/>
        <v>0</v>
      </c>
      <c r="O896" s="11">
        <f t="shared" si="136"/>
        <v>0</v>
      </c>
      <c r="P896" s="12">
        <f t="shared" si="137"/>
        <v>0</v>
      </c>
      <c r="Q896" s="17" t="str">
        <f t="shared" si="139"/>
        <v>Pas d'écart</v>
      </c>
    </row>
    <row r="897" spans="1:18" x14ac:dyDescent="0.3">
      <c r="A897" s="34" t="str">
        <f>base!J897</f>
        <v>RM</v>
      </c>
      <c r="B897" s="34" t="str">
        <f>base!V897</f>
        <v>91470</v>
      </c>
      <c r="C897" s="37">
        <v>91</v>
      </c>
      <c r="D897" s="36">
        <f>base!H897</f>
        <v>140</v>
      </c>
      <c r="E897" s="44"/>
      <c r="F897" s="16">
        <f>base!W897</f>
        <v>0</v>
      </c>
      <c r="G897" s="11">
        <f t="shared" si="130"/>
        <v>0</v>
      </c>
      <c r="H897" s="11">
        <f t="shared" si="131"/>
        <v>0</v>
      </c>
      <c r="I897" s="11">
        <f t="shared" si="132"/>
        <v>0</v>
      </c>
      <c r="J897" s="12">
        <f t="shared" si="133"/>
        <v>0</v>
      </c>
      <c r="K897" s="17" t="str">
        <f t="shared" si="138"/>
        <v>Pas d'écart</v>
      </c>
      <c r="L897" s="16">
        <f>base!X897</f>
        <v>0</v>
      </c>
      <c r="M897" s="11">
        <f t="shared" si="134"/>
        <v>0</v>
      </c>
      <c r="N897" s="11">
        <f t="shared" si="135"/>
        <v>0</v>
      </c>
      <c r="O897" s="11">
        <f t="shared" si="136"/>
        <v>0</v>
      </c>
      <c r="P897" s="12">
        <f t="shared" si="137"/>
        <v>0</v>
      </c>
      <c r="Q897" s="17" t="str">
        <f t="shared" si="139"/>
        <v>Pas d'écart</v>
      </c>
    </row>
    <row r="898" spans="1:18" x14ac:dyDescent="0.3">
      <c r="A898" s="34" t="str">
        <f>base!J898</f>
        <v>RS</v>
      </c>
      <c r="B898" s="34" t="str">
        <f>base!V898</f>
        <v>94000</v>
      </c>
      <c r="C898" s="37">
        <v>94</v>
      </c>
      <c r="D898" s="36">
        <f>base!H898</f>
        <v>198.04</v>
      </c>
      <c r="E898" s="44"/>
      <c r="F898" s="16">
        <f>base!W898</f>
        <v>0</v>
      </c>
      <c r="G898" s="11">
        <f t="shared" ref="G898:G961" si="140">F898/D898</f>
        <v>0</v>
      </c>
      <c r="H898" s="11">
        <f t="shared" ref="H898:H961" si="141">VLOOKUP(C898,tout_cout_traction,2,FALSE)*D898</f>
        <v>0</v>
      </c>
      <c r="I898" s="11">
        <f t="shared" ref="I898:I961" si="142">H898/D898</f>
        <v>0</v>
      </c>
      <c r="J898" s="12">
        <f t="shared" ref="J898:J961" si="143">F898-H898</f>
        <v>0</v>
      </c>
      <c r="K898" s="17" t="str">
        <f t="shared" si="138"/>
        <v>Pas d'écart</v>
      </c>
      <c r="L898" s="16">
        <f>base!X898</f>
        <v>0</v>
      </c>
      <c r="M898" s="11">
        <f t="shared" ref="M898:M961" si="144">L898/D898</f>
        <v>0</v>
      </c>
      <c r="N898" s="11">
        <f t="shared" ref="N898:N961" si="145">VLOOKUP(C898,tout_cout_traction,3,FALSE)*D898</f>
        <v>0</v>
      </c>
      <c r="O898" s="11">
        <f t="shared" ref="O898:O961" si="146">N898/D898</f>
        <v>0</v>
      </c>
      <c r="P898" s="12">
        <f t="shared" ref="P898:P961" si="147">L898-N898</f>
        <v>0</v>
      </c>
      <c r="Q898" s="17" t="str">
        <f t="shared" si="139"/>
        <v>Pas d'écart</v>
      </c>
    </row>
    <row r="899" spans="1:18" x14ac:dyDescent="0.3">
      <c r="A899" s="34" t="str">
        <f>base!J899</f>
        <v>RM</v>
      </c>
      <c r="B899" s="34" t="str">
        <f>base!V899</f>
        <v>25250</v>
      </c>
      <c r="C899" s="37">
        <v>25</v>
      </c>
      <c r="D899" s="36">
        <f>base!H899</f>
        <v>70</v>
      </c>
      <c r="E899" s="44"/>
      <c r="F899" s="16">
        <f>base!W899</f>
        <v>0</v>
      </c>
      <c r="G899" s="11">
        <f t="shared" si="140"/>
        <v>0</v>
      </c>
      <c r="H899" s="11">
        <f t="shared" si="141"/>
        <v>16.8</v>
      </c>
      <c r="I899" s="11">
        <f t="shared" si="142"/>
        <v>0.24000000000000002</v>
      </c>
      <c r="J899" s="12">
        <f t="shared" si="143"/>
        <v>-16.8</v>
      </c>
      <c r="K899" s="17" t="str">
        <f t="shared" ref="K899:K962" si="148">IF(H899=F899,"Pas d'écart",IF(H899&lt;F899,"Ecart positif",IF(H899&gt;F899,"Ecart négatif")))</f>
        <v>Ecart négatif</v>
      </c>
      <c r="L899" s="16">
        <f>base!X899</f>
        <v>8.4</v>
      </c>
      <c r="M899" s="11">
        <f t="shared" si="144"/>
        <v>0.12000000000000001</v>
      </c>
      <c r="N899" s="11">
        <f t="shared" si="145"/>
        <v>8.4</v>
      </c>
      <c r="O899" s="11">
        <f t="shared" si="146"/>
        <v>0.12000000000000001</v>
      </c>
      <c r="P899" s="12">
        <f t="shared" si="147"/>
        <v>0</v>
      </c>
      <c r="Q899" s="17" t="str">
        <f t="shared" ref="Q899:Q962" si="149">IF(N899=L899,"Pas d'écart",IF(N899&lt;L899,"Ecart positif",IF(N899&gt;L899,"Ecart négatif")))</f>
        <v>Pas d'écart</v>
      </c>
      <c r="R899" s="38"/>
    </row>
    <row r="900" spans="1:18" x14ac:dyDescent="0.3">
      <c r="A900" s="34" t="str">
        <f>base!J900</f>
        <v>RM</v>
      </c>
      <c r="B900" s="34" t="str">
        <f>base!V900</f>
        <v>25700</v>
      </c>
      <c r="C900" s="37">
        <v>25</v>
      </c>
      <c r="D900" s="36">
        <f>base!H900</f>
        <v>70</v>
      </c>
      <c r="E900" s="44"/>
      <c r="F900" s="16">
        <f>base!W900</f>
        <v>0</v>
      </c>
      <c r="G900" s="11">
        <f t="shared" si="140"/>
        <v>0</v>
      </c>
      <c r="H900" s="11">
        <f t="shared" si="141"/>
        <v>16.8</v>
      </c>
      <c r="I900" s="11">
        <f t="shared" si="142"/>
        <v>0.24000000000000002</v>
      </c>
      <c r="J900" s="12">
        <f t="shared" si="143"/>
        <v>-16.8</v>
      </c>
      <c r="K900" s="17" t="str">
        <f t="shared" si="148"/>
        <v>Ecart négatif</v>
      </c>
      <c r="L900" s="16">
        <f>base!X900</f>
        <v>8.4</v>
      </c>
      <c r="M900" s="11">
        <f t="shared" si="144"/>
        <v>0.12000000000000001</v>
      </c>
      <c r="N900" s="11">
        <f t="shared" si="145"/>
        <v>8.4</v>
      </c>
      <c r="O900" s="11">
        <f t="shared" si="146"/>
        <v>0.12000000000000001</v>
      </c>
      <c r="P900" s="12">
        <f t="shared" si="147"/>
        <v>0</v>
      </c>
      <c r="Q900" s="17" t="str">
        <f t="shared" si="149"/>
        <v>Pas d'écart</v>
      </c>
      <c r="R900" s="38"/>
    </row>
    <row r="901" spans="1:18" x14ac:dyDescent="0.3">
      <c r="A901" s="34" t="str">
        <f>base!J901</f>
        <v>RM</v>
      </c>
      <c r="B901" s="34" t="str">
        <f>base!V901</f>
        <v>77380</v>
      </c>
      <c r="C901" s="37">
        <v>77</v>
      </c>
      <c r="D901" s="36">
        <f>base!H901</f>
        <v>70</v>
      </c>
      <c r="E901" s="44"/>
      <c r="F901" s="16">
        <f>base!W901</f>
        <v>0</v>
      </c>
      <c r="G901" s="11">
        <f t="shared" si="140"/>
        <v>0</v>
      </c>
      <c r="H901" s="11">
        <f t="shared" si="141"/>
        <v>0</v>
      </c>
      <c r="I901" s="11">
        <f t="shared" si="142"/>
        <v>0</v>
      </c>
      <c r="J901" s="12">
        <f t="shared" si="143"/>
        <v>0</v>
      </c>
      <c r="K901" s="17" t="str">
        <f t="shared" si="148"/>
        <v>Pas d'écart</v>
      </c>
      <c r="L901" s="16">
        <f>base!X901</f>
        <v>0</v>
      </c>
      <c r="M901" s="11">
        <f t="shared" si="144"/>
        <v>0</v>
      </c>
      <c r="N901" s="11">
        <f t="shared" si="145"/>
        <v>0</v>
      </c>
      <c r="O901" s="11">
        <f t="shared" si="146"/>
        <v>0</v>
      </c>
      <c r="P901" s="12">
        <f t="shared" si="147"/>
        <v>0</v>
      </c>
      <c r="Q901" s="17" t="str">
        <f t="shared" si="149"/>
        <v>Pas d'écart</v>
      </c>
    </row>
    <row r="902" spans="1:18" x14ac:dyDescent="0.3">
      <c r="A902" s="34" t="str">
        <f>base!J902</f>
        <v>RS</v>
      </c>
      <c r="B902" s="34" t="str">
        <f>base!V902</f>
        <v>62110</v>
      </c>
      <c r="C902" s="37">
        <v>62</v>
      </c>
      <c r="D902" s="36">
        <f>base!H902</f>
        <v>140</v>
      </c>
      <c r="E902" s="44"/>
      <c r="F902" s="16">
        <f>base!W902</f>
        <v>0</v>
      </c>
      <c r="G902" s="11">
        <f t="shared" si="140"/>
        <v>0</v>
      </c>
      <c r="H902" s="11">
        <f t="shared" si="141"/>
        <v>26.6</v>
      </c>
      <c r="I902" s="11">
        <f t="shared" si="142"/>
        <v>0.19</v>
      </c>
      <c r="J902" s="12">
        <f t="shared" si="143"/>
        <v>-26.6</v>
      </c>
      <c r="K902" s="17" t="str">
        <f t="shared" si="148"/>
        <v>Ecart négatif</v>
      </c>
      <c r="L902" s="16">
        <f>base!X902</f>
        <v>0</v>
      </c>
      <c r="M902" s="11">
        <f t="shared" si="144"/>
        <v>0</v>
      </c>
      <c r="N902" s="11">
        <f t="shared" si="145"/>
        <v>0</v>
      </c>
      <c r="O902" s="11">
        <f t="shared" si="146"/>
        <v>0</v>
      </c>
      <c r="P902" s="12">
        <f t="shared" si="147"/>
        <v>0</v>
      </c>
      <c r="Q902" s="17" t="str">
        <f t="shared" si="149"/>
        <v>Pas d'écart</v>
      </c>
    </row>
    <row r="903" spans="1:18" x14ac:dyDescent="0.3">
      <c r="A903" s="34" t="str">
        <f>base!J903</f>
        <v>LM</v>
      </c>
      <c r="B903" s="34" t="str">
        <f>base!V903</f>
        <v>38400</v>
      </c>
      <c r="C903" s="37">
        <v>14</v>
      </c>
      <c r="D903" s="36">
        <f>base!H903</f>
        <v>103.07</v>
      </c>
      <c r="E903" s="44"/>
      <c r="F903" s="16">
        <f>base!W903</f>
        <v>27.83</v>
      </c>
      <c r="G903" s="11">
        <f t="shared" si="140"/>
        <v>0.27001067235859127</v>
      </c>
      <c r="H903" s="11">
        <f t="shared" si="141"/>
        <v>17.521899999999999</v>
      </c>
      <c r="I903" s="11">
        <f t="shared" si="142"/>
        <v>0.17</v>
      </c>
      <c r="J903" s="12">
        <f t="shared" si="143"/>
        <v>10.3081</v>
      </c>
      <c r="K903" s="17" t="str">
        <f t="shared" si="148"/>
        <v>Ecart positif</v>
      </c>
      <c r="L903" s="16">
        <f>base!X903</f>
        <v>0</v>
      </c>
      <c r="M903" s="11">
        <f t="shared" si="144"/>
        <v>0</v>
      </c>
      <c r="N903" s="11">
        <f t="shared" si="145"/>
        <v>17.521899999999999</v>
      </c>
      <c r="O903" s="11">
        <f t="shared" si="146"/>
        <v>0.17</v>
      </c>
      <c r="P903" s="12">
        <f t="shared" si="147"/>
        <v>-17.521899999999999</v>
      </c>
      <c r="Q903" s="17" t="str">
        <f t="shared" si="149"/>
        <v>Ecart négatif</v>
      </c>
    </row>
    <row r="904" spans="1:18" x14ac:dyDescent="0.3">
      <c r="A904" s="34" t="str">
        <f>base!J904</f>
        <v>RM</v>
      </c>
      <c r="B904" s="34" t="str">
        <f>base!V904</f>
        <v>63200</v>
      </c>
      <c r="C904" s="37">
        <v>63</v>
      </c>
      <c r="D904" s="36">
        <f>base!H904</f>
        <v>140</v>
      </c>
      <c r="E904" s="44"/>
      <c r="F904" s="16">
        <f>base!W904</f>
        <v>0</v>
      </c>
      <c r="G904" s="11">
        <f t="shared" si="140"/>
        <v>0</v>
      </c>
      <c r="H904" s="11">
        <f t="shared" si="141"/>
        <v>40.599999999999994</v>
      </c>
      <c r="I904" s="11">
        <f t="shared" si="142"/>
        <v>0.28999999999999998</v>
      </c>
      <c r="J904" s="12">
        <f t="shared" si="143"/>
        <v>-40.599999999999994</v>
      </c>
      <c r="K904" s="17" t="str">
        <f t="shared" si="148"/>
        <v>Ecart négatif</v>
      </c>
      <c r="L904" s="16">
        <f>base!X904</f>
        <v>0</v>
      </c>
      <c r="M904" s="11">
        <f t="shared" si="144"/>
        <v>0</v>
      </c>
      <c r="N904" s="11">
        <f t="shared" si="145"/>
        <v>16.8</v>
      </c>
      <c r="O904" s="11">
        <f t="shared" si="146"/>
        <v>0.12000000000000001</v>
      </c>
      <c r="P904" s="12">
        <f t="shared" si="147"/>
        <v>-16.8</v>
      </c>
      <c r="Q904" s="17" t="str">
        <f t="shared" si="149"/>
        <v>Ecart négatif</v>
      </c>
    </row>
    <row r="905" spans="1:18" x14ac:dyDescent="0.3">
      <c r="A905" s="34" t="str">
        <f>base!J905</f>
        <v>RM</v>
      </c>
      <c r="B905" s="34" t="str">
        <f>base!V905</f>
        <v>55190</v>
      </c>
      <c r="C905" s="37">
        <v>55</v>
      </c>
      <c r="D905" s="36">
        <f>base!H905</f>
        <v>40</v>
      </c>
      <c r="E905" s="44"/>
      <c r="F905" s="16">
        <f>base!W905</f>
        <v>0</v>
      </c>
      <c r="G905" s="11">
        <f t="shared" si="140"/>
        <v>0</v>
      </c>
      <c r="H905" s="11">
        <f t="shared" si="141"/>
        <v>10</v>
      </c>
      <c r="I905" s="11">
        <f t="shared" si="142"/>
        <v>0.25</v>
      </c>
      <c r="J905" s="12">
        <f t="shared" si="143"/>
        <v>-10</v>
      </c>
      <c r="K905" s="17" t="str">
        <f t="shared" si="148"/>
        <v>Ecart négatif</v>
      </c>
      <c r="L905" s="16">
        <f>base!X905</f>
        <v>10</v>
      </c>
      <c r="M905" s="11">
        <f t="shared" si="144"/>
        <v>0.25</v>
      </c>
      <c r="N905" s="11">
        <f t="shared" si="145"/>
        <v>10</v>
      </c>
      <c r="O905" s="11">
        <f t="shared" si="146"/>
        <v>0.25</v>
      </c>
      <c r="P905" s="12">
        <f t="shared" si="147"/>
        <v>0</v>
      </c>
      <c r="Q905" s="17" t="str">
        <f t="shared" si="149"/>
        <v>Pas d'écart</v>
      </c>
    </row>
    <row r="906" spans="1:18" x14ac:dyDescent="0.3">
      <c r="A906" s="34" t="str">
        <f>base!J906</f>
        <v>RM</v>
      </c>
      <c r="B906" s="34" t="str">
        <f>base!V906</f>
        <v>16350</v>
      </c>
      <c r="C906" s="37">
        <v>16</v>
      </c>
      <c r="D906" s="36">
        <f>base!H906</f>
        <v>73.599999999999994</v>
      </c>
      <c r="E906" s="44"/>
      <c r="F906" s="16">
        <f>base!W906</f>
        <v>0</v>
      </c>
      <c r="G906" s="11">
        <f t="shared" si="140"/>
        <v>0</v>
      </c>
      <c r="H906" s="11">
        <f t="shared" si="141"/>
        <v>15.455999999999998</v>
      </c>
      <c r="I906" s="11">
        <f t="shared" si="142"/>
        <v>0.21</v>
      </c>
      <c r="J906" s="12">
        <f t="shared" si="143"/>
        <v>-15.455999999999998</v>
      </c>
      <c r="K906" s="17" t="str">
        <f t="shared" si="148"/>
        <v>Ecart négatif</v>
      </c>
      <c r="L906" s="16">
        <f>base!X906</f>
        <v>12.51</v>
      </c>
      <c r="M906" s="11">
        <f t="shared" si="144"/>
        <v>0.16997282608695652</v>
      </c>
      <c r="N906" s="11">
        <f t="shared" si="145"/>
        <v>12.512</v>
      </c>
      <c r="O906" s="11">
        <f t="shared" si="146"/>
        <v>0.17</v>
      </c>
      <c r="P906" s="12">
        <f t="shared" si="147"/>
        <v>-2.0000000000006679E-3</v>
      </c>
      <c r="Q906" s="17" t="str">
        <f t="shared" si="149"/>
        <v>Ecart négatif</v>
      </c>
      <c r="R906" s="38"/>
    </row>
    <row r="907" spans="1:18" x14ac:dyDescent="0.3">
      <c r="A907" s="34" t="str">
        <f>base!J907</f>
        <v>LM</v>
      </c>
      <c r="B907" s="34" t="str">
        <f>base!V907</f>
        <v>44350</v>
      </c>
      <c r="C907" s="37">
        <v>50</v>
      </c>
      <c r="D907" s="36">
        <f>base!H907</f>
        <v>202.03</v>
      </c>
      <c r="E907" s="44"/>
      <c r="F907" s="16">
        <f>base!W907</f>
        <v>54.55</v>
      </c>
      <c r="G907" s="11">
        <f t="shared" si="140"/>
        <v>0.27000940454387962</v>
      </c>
      <c r="H907" s="11">
        <f t="shared" si="141"/>
        <v>34.345100000000002</v>
      </c>
      <c r="I907" s="11">
        <f t="shared" si="142"/>
        <v>0.17</v>
      </c>
      <c r="J907" s="12">
        <f t="shared" si="143"/>
        <v>20.204899999999995</v>
      </c>
      <c r="K907" s="17" t="str">
        <f t="shared" si="148"/>
        <v>Ecart positif</v>
      </c>
      <c r="L907" s="16">
        <f>base!X907</f>
        <v>0</v>
      </c>
      <c r="M907" s="11">
        <f t="shared" si="144"/>
        <v>0</v>
      </c>
      <c r="N907" s="11">
        <f t="shared" si="145"/>
        <v>34.345100000000002</v>
      </c>
      <c r="O907" s="11">
        <f t="shared" si="146"/>
        <v>0.17</v>
      </c>
      <c r="P907" s="12">
        <f t="shared" si="147"/>
        <v>-34.345100000000002</v>
      </c>
      <c r="Q907" s="17" t="str">
        <f t="shared" si="149"/>
        <v>Ecart négatif</v>
      </c>
    </row>
    <row r="908" spans="1:18" x14ac:dyDescent="0.3">
      <c r="A908" s="34" t="str">
        <f>base!J908</f>
        <v>DRS</v>
      </c>
      <c r="B908" s="34" t="str">
        <f>base!V908</f>
        <v>76140</v>
      </c>
      <c r="C908" s="37">
        <v>76</v>
      </c>
      <c r="D908" s="36">
        <f>base!H908</f>
        <v>405.07</v>
      </c>
      <c r="E908" s="44"/>
      <c r="F908" s="16">
        <f>base!W908</f>
        <v>0</v>
      </c>
      <c r="G908" s="11">
        <f t="shared" si="140"/>
        <v>0</v>
      </c>
      <c r="H908" s="11">
        <f t="shared" si="141"/>
        <v>68.861900000000006</v>
      </c>
      <c r="I908" s="11">
        <f t="shared" si="142"/>
        <v>0.17</v>
      </c>
      <c r="J908" s="12">
        <f t="shared" si="143"/>
        <v>-68.861900000000006</v>
      </c>
      <c r="K908" s="17" t="str">
        <f t="shared" si="148"/>
        <v>Ecart négatif</v>
      </c>
      <c r="L908" s="16">
        <f>base!X908</f>
        <v>0</v>
      </c>
      <c r="M908" s="11">
        <f t="shared" si="144"/>
        <v>0</v>
      </c>
      <c r="N908" s="11">
        <f t="shared" si="145"/>
        <v>68.861900000000006</v>
      </c>
      <c r="O908" s="11">
        <f t="shared" si="146"/>
        <v>0.17</v>
      </c>
      <c r="P908" s="12">
        <f t="shared" si="147"/>
        <v>-68.861900000000006</v>
      </c>
      <c r="Q908" s="17" t="str">
        <f t="shared" si="149"/>
        <v>Ecart négatif</v>
      </c>
    </row>
    <row r="909" spans="1:18" x14ac:dyDescent="0.3">
      <c r="A909" s="34" t="str">
        <f>base!J909</f>
        <v>RM</v>
      </c>
      <c r="B909" s="34" t="str">
        <f>base!V909</f>
        <v>27300</v>
      </c>
      <c r="C909" s="37">
        <v>27</v>
      </c>
      <c r="D909" s="36">
        <f>base!H909</f>
        <v>19.399999999999999</v>
      </c>
      <c r="E909" s="44"/>
      <c r="F909" s="16">
        <f>base!W909</f>
        <v>0</v>
      </c>
      <c r="G909" s="11">
        <f t="shared" si="140"/>
        <v>0</v>
      </c>
      <c r="H909" s="11">
        <f t="shared" si="141"/>
        <v>3.298</v>
      </c>
      <c r="I909" s="11">
        <f t="shared" si="142"/>
        <v>0.17</v>
      </c>
      <c r="J909" s="12">
        <f t="shared" si="143"/>
        <v>-3.298</v>
      </c>
      <c r="K909" s="17" t="str">
        <f t="shared" si="148"/>
        <v>Ecart négatif</v>
      </c>
      <c r="L909" s="16">
        <f>base!X909</f>
        <v>0</v>
      </c>
      <c r="M909" s="11">
        <f t="shared" si="144"/>
        <v>0</v>
      </c>
      <c r="N909" s="11">
        <f t="shared" si="145"/>
        <v>3.298</v>
      </c>
      <c r="O909" s="11">
        <f t="shared" si="146"/>
        <v>0.17</v>
      </c>
      <c r="P909" s="12">
        <f t="shared" si="147"/>
        <v>-3.298</v>
      </c>
      <c r="Q909" s="17" t="str">
        <f t="shared" si="149"/>
        <v>Ecart négatif</v>
      </c>
    </row>
    <row r="910" spans="1:18" x14ac:dyDescent="0.3">
      <c r="A910" s="34" t="str">
        <f>base!J910</f>
        <v>DRS</v>
      </c>
      <c r="B910" s="34" t="str">
        <f>base!V910</f>
        <v>13210</v>
      </c>
      <c r="C910" s="37">
        <v>13</v>
      </c>
      <c r="D910" s="36">
        <f>base!H910</f>
        <v>140</v>
      </c>
      <c r="E910" s="44"/>
      <c r="F910" s="16">
        <f>base!W910</f>
        <v>0</v>
      </c>
      <c r="G910" s="11">
        <f t="shared" si="140"/>
        <v>0</v>
      </c>
      <c r="H910" s="11">
        <f t="shared" si="141"/>
        <v>40.599999999999994</v>
      </c>
      <c r="I910" s="11">
        <f t="shared" si="142"/>
        <v>0.28999999999999998</v>
      </c>
      <c r="J910" s="12">
        <f t="shared" si="143"/>
        <v>-40.599999999999994</v>
      </c>
      <c r="K910" s="17" t="str">
        <f t="shared" si="148"/>
        <v>Ecart négatif</v>
      </c>
      <c r="L910" s="16">
        <f>base!X910</f>
        <v>0</v>
      </c>
      <c r="M910" s="11">
        <f t="shared" si="144"/>
        <v>0</v>
      </c>
      <c r="N910" s="11">
        <f t="shared" si="145"/>
        <v>26.6</v>
      </c>
      <c r="O910" s="11">
        <f t="shared" si="146"/>
        <v>0.19</v>
      </c>
      <c r="P910" s="12">
        <f t="shared" si="147"/>
        <v>-26.6</v>
      </c>
      <c r="Q910" s="17" t="str">
        <f t="shared" si="149"/>
        <v>Ecart négatif</v>
      </c>
    </row>
    <row r="911" spans="1:18" x14ac:dyDescent="0.3">
      <c r="A911" s="34" t="str">
        <f>base!J911</f>
        <v>RS</v>
      </c>
      <c r="B911" s="34" t="str">
        <f>base!V911</f>
        <v>63100</v>
      </c>
      <c r="C911" s="37">
        <v>63</v>
      </c>
      <c r="D911" s="36">
        <f>base!H911</f>
        <v>25</v>
      </c>
      <c r="E911" s="44"/>
      <c r="F911" s="16">
        <f>base!W911</f>
        <v>0</v>
      </c>
      <c r="G911" s="11">
        <f t="shared" si="140"/>
        <v>0</v>
      </c>
      <c r="H911" s="11">
        <f t="shared" si="141"/>
        <v>7.2499999999999991</v>
      </c>
      <c r="I911" s="11">
        <f t="shared" si="142"/>
        <v>0.28999999999999998</v>
      </c>
      <c r="J911" s="12">
        <f t="shared" si="143"/>
        <v>-7.2499999999999991</v>
      </c>
      <c r="K911" s="17" t="str">
        <f t="shared" si="148"/>
        <v>Ecart négatif</v>
      </c>
      <c r="L911" s="16">
        <f>base!X911</f>
        <v>3</v>
      </c>
      <c r="M911" s="11">
        <f t="shared" si="144"/>
        <v>0.12</v>
      </c>
      <c r="N911" s="11">
        <f t="shared" si="145"/>
        <v>3</v>
      </c>
      <c r="O911" s="11">
        <f t="shared" si="146"/>
        <v>0.12</v>
      </c>
      <c r="P911" s="12">
        <f t="shared" si="147"/>
        <v>0</v>
      </c>
      <c r="Q911" s="17" t="str">
        <f t="shared" si="149"/>
        <v>Pas d'écart</v>
      </c>
      <c r="R911" s="38"/>
    </row>
    <row r="912" spans="1:18" x14ac:dyDescent="0.3">
      <c r="A912" s="34" t="str">
        <f>base!J912</f>
        <v>RS</v>
      </c>
      <c r="B912" s="34" t="str">
        <f>base!V912</f>
        <v>83200</v>
      </c>
      <c r="C912" s="37">
        <v>83</v>
      </c>
      <c r="D912" s="36">
        <f>base!H912</f>
        <v>124</v>
      </c>
      <c r="E912" s="44"/>
      <c r="F912" s="16">
        <f>base!W912</f>
        <v>0</v>
      </c>
      <c r="G912" s="11">
        <f t="shared" si="140"/>
        <v>0</v>
      </c>
      <c r="H912" s="11">
        <f t="shared" si="141"/>
        <v>37.199999999999996</v>
      </c>
      <c r="I912" s="11">
        <f t="shared" si="142"/>
        <v>0.3</v>
      </c>
      <c r="J912" s="12">
        <f t="shared" si="143"/>
        <v>-37.199999999999996</v>
      </c>
      <c r="K912" s="17" t="str">
        <f t="shared" si="148"/>
        <v>Ecart négatif</v>
      </c>
      <c r="L912" s="16">
        <f>base!X912</f>
        <v>26.04</v>
      </c>
      <c r="M912" s="11">
        <f t="shared" si="144"/>
        <v>0.21</v>
      </c>
      <c r="N912" s="11">
        <f t="shared" si="145"/>
        <v>26.04</v>
      </c>
      <c r="O912" s="11">
        <f t="shared" si="146"/>
        <v>0.21</v>
      </c>
      <c r="P912" s="12">
        <f t="shared" si="147"/>
        <v>0</v>
      </c>
      <c r="Q912" s="17" t="str">
        <f t="shared" si="149"/>
        <v>Pas d'écart</v>
      </c>
      <c r="R912" s="38"/>
    </row>
    <row r="913" spans="1:18" x14ac:dyDescent="0.3">
      <c r="A913" s="34" t="str">
        <f>base!J913</f>
        <v>RM</v>
      </c>
      <c r="B913" s="34" t="str">
        <f>base!V913</f>
        <v>13003</v>
      </c>
      <c r="C913" s="37">
        <v>13</v>
      </c>
      <c r="D913" s="36">
        <f>base!H913</f>
        <v>157.55000000000001</v>
      </c>
      <c r="E913" s="44"/>
      <c r="F913" s="16">
        <f>base!W913</f>
        <v>0</v>
      </c>
      <c r="G913" s="11">
        <f t="shared" si="140"/>
        <v>0</v>
      </c>
      <c r="H913" s="11">
        <f t="shared" si="141"/>
        <v>45.689500000000002</v>
      </c>
      <c r="I913" s="11">
        <f t="shared" si="142"/>
        <v>0.28999999999999998</v>
      </c>
      <c r="J913" s="12">
        <f t="shared" si="143"/>
        <v>-45.689500000000002</v>
      </c>
      <c r="K913" s="17" t="str">
        <f t="shared" si="148"/>
        <v>Ecart négatif</v>
      </c>
      <c r="L913" s="16">
        <f>base!X913</f>
        <v>29.93</v>
      </c>
      <c r="M913" s="11">
        <f t="shared" si="144"/>
        <v>0.1899714376388448</v>
      </c>
      <c r="N913" s="11">
        <f t="shared" si="145"/>
        <v>29.934500000000003</v>
      </c>
      <c r="O913" s="11">
        <f t="shared" si="146"/>
        <v>0.19</v>
      </c>
      <c r="P913" s="12">
        <f t="shared" si="147"/>
        <v>-4.5000000000037232E-3</v>
      </c>
      <c r="Q913" s="17" t="str">
        <f t="shared" si="149"/>
        <v>Ecart négatif</v>
      </c>
      <c r="R913" s="38"/>
    </row>
    <row r="914" spans="1:18" x14ac:dyDescent="0.3">
      <c r="A914" s="34" t="str">
        <f>base!J914</f>
        <v>DLM</v>
      </c>
      <c r="B914" s="34" t="str">
        <f>base!V914</f>
        <v>37000</v>
      </c>
      <c r="C914" s="37">
        <v>37</v>
      </c>
      <c r="D914" s="36">
        <f>base!H914</f>
        <v>400</v>
      </c>
      <c r="E914" s="44"/>
      <c r="F914" s="16">
        <f>base!W914</f>
        <v>0</v>
      </c>
      <c r="G914" s="11">
        <f t="shared" si="140"/>
        <v>0</v>
      </c>
      <c r="H914" s="11">
        <f t="shared" si="141"/>
        <v>76</v>
      </c>
      <c r="I914" s="11">
        <f t="shared" si="142"/>
        <v>0.19</v>
      </c>
      <c r="J914" s="12">
        <f t="shared" si="143"/>
        <v>-76</v>
      </c>
      <c r="K914" s="17" t="str">
        <f t="shared" si="148"/>
        <v>Ecart négatif</v>
      </c>
      <c r="L914" s="16">
        <f>base!X914</f>
        <v>0</v>
      </c>
      <c r="M914" s="11">
        <f t="shared" si="144"/>
        <v>0</v>
      </c>
      <c r="N914" s="11">
        <f t="shared" si="145"/>
        <v>48</v>
      </c>
      <c r="O914" s="11">
        <f t="shared" si="146"/>
        <v>0.12</v>
      </c>
      <c r="P914" s="12">
        <f t="shared" si="147"/>
        <v>-48</v>
      </c>
      <c r="Q914" s="17" t="str">
        <f t="shared" si="149"/>
        <v>Ecart négatif</v>
      </c>
    </row>
    <row r="915" spans="1:18" x14ac:dyDescent="0.3">
      <c r="A915" s="34" t="str">
        <f>base!J915</f>
        <v>RS</v>
      </c>
      <c r="B915" s="34" t="str">
        <f>base!V915</f>
        <v>57400</v>
      </c>
      <c r="C915" s="37">
        <v>57</v>
      </c>
      <c r="D915" s="36">
        <f>base!H915</f>
        <v>109.06</v>
      </c>
      <c r="E915" s="44"/>
      <c r="F915" s="16">
        <f>base!W915</f>
        <v>0</v>
      </c>
      <c r="G915" s="11">
        <f t="shared" si="140"/>
        <v>0</v>
      </c>
      <c r="H915" s="11">
        <f t="shared" si="141"/>
        <v>26.174399999999999</v>
      </c>
      <c r="I915" s="11">
        <f t="shared" si="142"/>
        <v>0.24</v>
      </c>
      <c r="J915" s="12">
        <f t="shared" si="143"/>
        <v>-26.174399999999999</v>
      </c>
      <c r="K915" s="17" t="str">
        <f t="shared" si="148"/>
        <v>Ecart négatif</v>
      </c>
      <c r="L915" s="16">
        <f>base!X915</f>
        <v>27.26</v>
      </c>
      <c r="M915" s="11">
        <f t="shared" si="144"/>
        <v>0.24995415367687512</v>
      </c>
      <c r="N915" s="11">
        <f t="shared" si="145"/>
        <v>27.265000000000001</v>
      </c>
      <c r="O915" s="11">
        <f t="shared" si="146"/>
        <v>0.25</v>
      </c>
      <c r="P915" s="12">
        <f t="shared" si="147"/>
        <v>-4.9999999999990052E-3</v>
      </c>
      <c r="Q915" s="17" t="str">
        <f t="shared" si="149"/>
        <v>Ecart négatif</v>
      </c>
      <c r="R915" s="38"/>
    </row>
    <row r="916" spans="1:18" x14ac:dyDescent="0.3">
      <c r="A916" s="34" t="str">
        <f>base!J916</f>
        <v>RS</v>
      </c>
      <c r="B916" s="34" t="str">
        <f>base!V916</f>
        <v>53810</v>
      </c>
      <c r="C916" s="37">
        <v>53</v>
      </c>
      <c r="D916" s="36">
        <f>base!H916</f>
        <v>186</v>
      </c>
      <c r="E916" s="44"/>
      <c r="F916" s="16">
        <f>base!W916</f>
        <v>0</v>
      </c>
      <c r="G916" s="11">
        <f t="shared" si="140"/>
        <v>0</v>
      </c>
      <c r="H916" s="11">
        <f t="shared" si="141"/>
        <v>50.220000000000006</v>
      </c>
      <c r="I916" s="11">
        <f t="shared" si="142"/>
        <v>0.27</v>
      </c>
      <c r="J916" s="12">
        <f t="shared" si="143"/>
        <v>-50.220000000000006</v>
      </c>
      <c r="K916" s="17" t="str">
        <f t="shared" si="148"/>
        <v>Ecart négatif</v>
      </c>
      <c r="L916" s="16">
        <f>base!X916</f>
        <v>50.22</v>
      </c>
      <c r="M916" s="11">
        <f t="shared" si="144"/>
        <v>0.27</v>
      </c>
      <c r="N916" s="11">
        <f t="shared" si="145"/>
        <v>0</v>
      </c>
      <c r="O916" s="11">
        <f t="shared" si="146"/>
        <v>0</v>
      </c>
      <c r="P916" s="12">
        <f t="shared" si="147"/>
        <v>50.22</v>
      </c>
      <c r="Q916" s="17" t="str">
        <f t="shared" si="149"/>
        <v>Ecart positif</v>
      </c>
      <c r="R916" s="38"/>
    </row>
    <row r="917" spans="1:18" x14ac:dyDescent="0.3">
      <c r="A917" s="34" t="str">
        <f>base!J917</f>
        <v>RM</v>
      </c>
      <c r="B917" s="34" t="str">
        <f>base!V917</f>
        <v>70000</v>
      </c>
      <c r="C917" s="37">
        <v>70</v>
      </c>
      <c r="D917" s="36">
        <f>base!H917</f>
        <v>22.5</v>
      </c>
      <c r="E917" s="44"/>
      <c r="F917" s="16">
        <f>base!W917</f>
        <v>0</v>
      </c>
      <c r="G917" s="11">
        <f t="shared" si="140"/>
        <v>0</v>
      </c>
      <c r="H917" s="11">
        <f t="shared" si="141"/>
        <v>5.3999999999999995</v>
      </c>
      <c r="I917" s="11">
        <f t="shared" si="142"/>
        <v>0.23999999999999996</v>
      </c>
      <c r="J917" s="12">
        <f t="shared" si="143"/>
        <v>-5.3999999999999995</v>
      </c>
      <c r="K917" s="17" t="str">
        <f t="shared" si="148"/>
        <v>Ecart négatif</v>
      </c>
      <c r="L917" s="16">
        <f>base!X917</f>
        <v>0</v>
      </c>
      <c r="M917" s="11">
        <f t="shared" si="144"/>
        <v>0</v>
      </c>
      <c r="N917" s="11">
        <f t="shared" si="145"/>
        <v>2.6999999999999997</v>
      </c>
      <c r="O917" s="11">
        <f t="shared" si="146"/>
        <v>0.11999999999999998</v>
      </c>
      <c r="P917" s="12">
        <f t="shared" si="147"/>
        <v>-2.6999999999999997</v>
      </c>
      <c r="Q917" s="17" t="str">
        <f t="shared" si="149"/>
        <v>Ecart négatif</v>
      </c>
    </row>
    <row r="918" spans="1:18" x14ac:dyDescent="0.3">
      <c r="A918" s="34" t="str">
        <f>base!J918</f>
        <v>RM</v>
      </c>
      <c r="B918" s="34" t="str">
        <f>base!V918</f>
        <v>70000</v>
      </c>
      <c r="C918" s="37">
        <v>70</v>
      </c>
      <c r="D918" s="36">
        <f>base!H918</f>
        <v>25</v>
      </c>
      <c r="E918" s="44"/>
      <c r="F918" s="16">
        <f>base!W918</f>
        <v>0</v>
      </c>
      <c r="G918" s="11">
        <f t="shared" si="140"/>
        <v>0</v>
      </c>
      <c r="H918" s="11">
        <f t="shared" si="141"/>
        <v>6</v>
      </c>
      <c r="I918" s="11">
        <f t="shared" si="142"/>
        <v>0.24</v>
      </c>
      <c r="J918" s="12">
        <f t="shared" si="143"/>
        <v>-6</v>
      </c>
      <c r="K918" s="17" t="str">
        <f t="shared" si="148"/>
        <v>Ecart négatif</v>
      </c>
      <c r="L918" s="16">
        <f>base!X918</f>
        <v>0</v>
      </c>
      <c r="M918" s="11">
        <f t="shared" si="144"/>
        <v>0</v>
      </c>
      <c r="N918" s="11">
        <f t="shared" si="145"/>
        <v>3</v>
      </c>
      <c r="O918" s="11">
        <f t="shared" si="146"/>
        <v>0.12</v>
      </c>
      <c r="P918" s="12">
        <f t="shared" si="147"/>
        <v>-3</v>
      </c>
      <c r="Q918" s="17" t="str">
        <f t="shared" si="149"/>
        <v>Ecart négatif</v>
      </c>
    </row>
    <row r="919" spans="1:18" x14ac:dyDescent="0.3">
      <c r="A919" s="34" t="str">
        <f>base!J919</f>
        <v>RS</v>
      </c>
      <c r="B919" s="34" t="str">
        <f>base!V919</f>
        <v>87000</v>
      </c>
      <c r="C919" s="37">
        <v>87</v>
      </c>
      <c r="D919" s="36">
        <f>base!H919</f>
        <v>140</v>
      </c>
      <c r="E919" s="44"/>
      <c r="F919" s="16">
        <f>base!W919</f>
        <v>0</v>
      </c>
      <c r="G919" s="11">
        <f t="shared" si="140"/>
        <v>0</v>
      </c>
      <c r="H919" s="11">
        <f t="shared" si="141"/>
        <v>39.200000000000003</v>
      </c>
      <c r="I919" s="11">
        <f t="shared" si="142"/>
        <v>0.28000000000000003</v>
      </c>
      <c r="J919" s="12">
        <f t="shared" si="143"/>
        <v>-39.200000000000003</v>
      </c>
      <c r="K919" s="17" t="str">
        <f t="shared" si="148"/>
        <v>Ecart négatif</v>
      </c>
      <c r="L919" s="16">
        <f>base!X919</f>
        <v>16.8</v>
      </c>
      <c r="M919" s="11">
        <f t="shared" si="144"/>
        <v>0.12000000000000001</v>
      </c>
      <c r="N919" s="11">
        <f t="shared" si="145"/>
        <v>16.8</v>
      </c>
      <c r="O919" s="11">
        <f t="shared" si="146"/>
        <v>0.12000000000000001</v>
      </c>
      <c r="P919" s="12">
        <f t="shared" si="147"/>
        <v>0</v>
      </c>
      <c r="Q919" s="17" t="str">
        <f t="shared" si="149"/>
        <v>Pas d'écart</v>
      </c>
      <c r="R919" s="38"/>
    </row>
    <row r="920" spans="1:18" x14ac:dyDescent="0.3">
      <c r="A920" s="34" t="str">
        <f>base!J920</f>
        <v>RM</v>
      </c>
      <c r="B920" s="34" t="str">
        <f>base!V920</f>
        <v>41000</v>
      </c>
      <c r="C920" s="37">
        <v>41</v>
      </c>
      <c r="D920" s="36">
        <f>base!H920</f>
        <v>40</v>
      </c>
      <c r="E920" s="44"/>
      <c r="F920" s="16">
        <f>base!W920</f>
        <v>0</v>
      </c>
      <c r="G920" s="11">
        <f t="shared" si="140"/>
        <v>0</v>
      </c>
      <c r="H920" s="11">
        <f t="shared" si="141"/>
        <v>8.4</v>
      </c>
      <c r="I920" s="11">
        <f t="shared" si="142"/>
        <v>0.21000000000000002</v>
      </c>
      <c r="J920" s="12">
        <f t="shared" si="143"/>
        <v>-8.4</v>
      </c>
      <c r="K920" s="17" t="str">
        <f t="shared" si="148"/>
        <v>Ecart négatif</v>
      </c>
      <c r="L920" s="16">
        <f>base!X920</f>
        <v>10.8</v>
      </c>
      <c r="M920" s="11">
        <f t="shared" si="144"/>
        <v>0.27</v>
      </c>
      <c r="N920" s="11">
        <f t="shared" si="145"/>
        <v>4.8</v>
      </c>
      <c r="O920" s="11">
        <f t="shared" si="146"/>
        <v>0.12</v>
      </c>
      <c r="P920" s="12">
        <f t="shared" si="147"/>
        <v>6.0000000000000009</v>
      </c>
      <c r="Q920" s="17" t="str">
        <f t="shared" si="149"/>
        <v>Ecart positif</v>
      </c>
      <c r="R920" s="38"/>
    </row>
    <row r="921" spans="1:18" x14ac:dyDescent="0.3">
      <c r="A921" s="34" t="str">
        <f>base!J921</f>
        <v>RS</v>
      </c>
      <c r="B921" s="34" t="str">
        <f>base!V921</f>
        <v>84130</v>
      </c>
      <c r="C921" s="37">
        <v>84</v>
      </c>
      <c r="D921" s="36">
        <f>base!H921</f>
        <v>44</v>
      </c>
      <c r="E921" s="44"/>
      <c r="F921" s="16">
        <f>base!W921</f>
        <v>0</v>
      </c>
      <c r="G921" s="11">
        <f t="shared" si="140"/>
        <v>0</v>
      </c>
      <c r="H921" s="11">
        <f t="shared" si="141"/>
        <v>12.76</v>
      </c>
      <c r="I921" s="11">
        <f t="shared" si="142"/>
        <v>0.28999999999999998</v>
      </c>
      <c r="J921" s="12">
        <f t="shared" si="143"/>
        <v>-12.76</v>
      </c>
      <c r="K921" s="17" t="str">
        <f t="shared" si="148"/>
        <v>Ecart négatif</v>
      </c>
      <c r="L921" s="16">
        <f>base!X921</f>
        <v>0</v>
      </c>
      <c r="M921" s="11">
        <f t="shared" si="144"/>
        <v>0</v>
      </c>
      <c r="N921" s="11">
        <f t="shared" si="145"/>
        <v>8.36</v>
      </c>
      <c r="O921" s="11">
        <f t="shared" si="146"/>
        <v>0.18999999999999997</v>
      </c>
      <c r="P921" s="12">
        <f t="shared" si="147"/>
        <v>-8.36</v>
      </c>
      <c r="Q921" s="17" t="str">
        <f t="shared" si="149"/>
        <v>Ecart négatif</v>
      </c>
    </row>
    <row r="922" spans="1:18" x14ac:dyDescent="0.3">
      <c r="A922" s="34" t="str">
        <f>base!J922</f>
        <v>LS</v>
      </c>
      <c r="B922" s="34" t="str">
        <f>base!V922</f>
        <v>92000</v>
      </c>
      <c r="C922" s="37">
        <v>92</v>
      </c>
      <c r="D922" s="36">
        <f>base!H922</f>
        <v>50.84</v>
      </c>
      <c r="E922" s="44"/>
      <c r="F922" s="16">
        <f>base!W922</f>
        <v>0</v>
      </c>
      <c r="G922" s="11">
        <f t="shared" si="140"/>
        <v>0</v>
      </c>
      <c r="H922" s="11">
        <f t="shared" si="141"/>
        <v>0</v>
      </c>
      <c r="I922" s="11">
        <f t="shared" si="142"/>
        <v>0</v>
      </c>
      <c r="J922" s="12">
        <f t="shared" si="143"/>
        <v>0</v>
      </c>
      <c r="K922" s="17" t="str">
        <f t="shared" si="148"/>
        <v>Pas d'écart</v>
      </c>
      <c r="L922" s="16">
        <f>base!X922</f>
        <v>0</v>
      </c>
      <c r="M922" s="11">
        <f t="shared" si="144"/>
        <v>0</v>
      </c>
      <c r="N922" s="11">
        <f t="shared" si="145"/>
        <v>0</v>
      </c>
      <c r="O922" s="11">
        <f t="shared" si="146"/>
        <v>0</v>
      </c>
      <c r="P922" s="12">
        <f t="shared" si="147"/>
        <v>0</v>
      </c>
      <c r="Q922" s="17" t="str">
        <f t="shared" si="149"/>
        <v>Pas d'écart</v>
      </c>
    </row>
    <row r="923" spans="1:18" x14ac:dyDescent="0.3">
      <c r="A923" s="34" t="str">
        <f>base!J923</f>
        <v>DLM</v>
      </c>
      <c r="B923" s="34" t="str">
        <f>base!V923</f>
        <v>76600</v>
      </c>
      <c r="C923" s="37">
        <v>76</v>
      </c>
      <c r="D923" s="36">
        <f>base!H923</f>
        <v>52.5</v>
      </c>
      <c r="E923" s="44"/>
      <c r="F923" s="16">
        <f>base!W923</f>
        <v>0</v>
      </c>
      <c r="G923" s="11">
        <f t="shared" si="140"/>
        <v>0</v>
      </c>
      <c r="H923" s="11">
        <f t="shared" si="141"/>
        <v>8.9250000000000007</v>
      </c>
      <c r="I923" s="11">
        <f t="shared" si="142"/>
        <v>0.17</v>
      </c>
      <c r="J923" s="12">
        <f t="shared" si="143"/>
        <v>-8.9250000000000007</v>
      </c>
      <c r="K923" s="17" t="str">
        <f t="shared" si="148"/>
        <v>Ecart négatif</v>
      </c>
      <c r="L923" s="16">
        <f>base!X923</f>
        <v>0</v>
      </c>
      <c r="M923" s="11">
        <f t="shared" si="144"/>
        <v>0</v>
      </c>
      <c r="N923" s="11">
        <f t="shared" si="145"/>
        <v>8.9250000000000007</v>
      </c>
      <c r="O923" s="11">
        <f t="shared" si="146"/>
        <v>0.17</v>
      </c>
      <c r="P923" s="12">
        <f t="shared" si="147"/>
        <v>-8.9250000000000007</v>
      </c>
      <c r="Q923" s="17" t="str">
        <f t="shared" si="149"/>
        <v>Ecart négatif</v>
      </c>
    </row>
    <row r="924" spans="1:18" x14ac:dyDescent="0.3">
      <c r="A924" s="34" t="str">
        <f>base!J924</f>
        <v>DLM</v>
      </c>
      <c r="B924" s="34" t="str">
        <f>base!V924</f>
        <v>69009</v>
      </c>
      <c r="C924" s="37">
        <v>69</v>
      </c>
      <c r="D924" s="36">
        <f>base!H924</f>
        <v>52.5</v>
      </c>
      <c r="E924" s="44"/>
      <c r="F924" s="16">
        <f>base!W924</f>
        <v>14.18</v>
      </c>
      <c r="G924" s="11">
        <f t="shared" si="140"/>
        <v>0.27009523809523811</v>
      </c>
      <c r="H924" s="11">
        <f t="shared" si="141"/>
        <v>14.175000000000001</v>
      </c>
      <c r="I924" s="11">
        <f t="shared" si="142"/>
        <v>0.27</v>
      </c>
      <c r="J924" s="12">
        <f t="shared" si="143"/>
        <v>4.9999999999990052E-3</v>
      </c>
      <c r="K924" s="17" t="str">
        <f t="shared" si="148"/>
        <v>Ecart positif</v>
      </c>
      <c r="L924" s="16">
        <f>base!X924</f>
        <v>0</v>
      </c>
      <c r="M924" s="11">
        <f t="shared" si="144"/>
        <v>0</v>
      </c>
      <c r="N924" s="11">
        <f t="shared" si="145"/>
        <v>0</v>
      </c>
      <c r="O924" s="11">
        <f t="shared" si="146"/>
        <v>0</v>
      </c>
      <c r="P924" s="12">
        <f t="shared" si="147"/>
        <v>0</v>
      </c>
      <c r="Q924" s="17" t="str">
        <f t="shared" si="149"/>
        <v>Pas d'écart</v>
      </c>
    </row>
    <row r="925" spans="1:18" x14ac:dyDescent="0.3">
      <c r="A925" s="34" t="str">
        <f>base!J925</f>
        <v>DLS</v>
      </c>
      <c r="B925" s="34" t="str">
        <f>base!V925</f>
        <v>13127</v>
      </c>
      <c r="C925" s="37">
        <v>13</v>
      </c>
      <c r="D925" s="36">
        <f>base!H925</f>
        <v>52.5</v>
      </c>
      <c r="E925" s="44"/>
      <c r="F925" s="16">
        <f>base!W925</f>
        <v>0</v>
      </c>
      <c r="G925" s="11">
        <f t="shared" si="140"/>
        <v>0</v>
      </c>
      <c r="H925" s="11">
        <f t="shared" si="141"/>
        <v>15.225</v>
      </c>
      <c r="I925" s="11">
        <f t="shared" si="142"/>
        <v>0.28999999999999998</v>
      </c>
      <c r="J925" s="12">
        <f t="shared" si="143"/>
        <v>-15.225</v>
      </c>
      <c r="K925" s="17" t="str">
        <f t="shared" si="148"/>
        <v>Ecart négatif</v>
      </c>
      <c r="L925" s="16">
        <f>base!X925</f>
        <v>0</v>
      </c>
      <c r="M925" s="11">
        <f t="shared" si="144"/>
        <v>0</v>
      </c>
      <c r="N925" s="11">
        <f t="shared" si="145"/>
        <v>9.9749999999999996</v>
      </c>
      <c r="O925" s="11">
        <f t="shared" si="146"/>
        <v>0.19</v>
      </c>
      <c r="P925" s="12">
        <f t="shared" si="147"/>
        <v>-9.9749999999999996</v>
      </c>
      <c r="Q925" s="17" t="str">
        <f t="shared" si="149"/>
        <v>Ecart négatif</v>
      </c>
    </row>
    <row r="926" spans="1:18" x14ac:dyDescent="0.3">
      <c r="A926" s="34" t="str">
        <f>base!J926</f>
        <v>RM</v>
      </c>
      <c r="B926" s="34" t="str">
        <f>base!V926</f>
        <v>63450</v>
      </c>
      <c r="C926" s="37">
        <v>63</v>
      </c>
      <c r="D926" s="36">
        <f>base!H926</f>
        <v>140</v>
      </c>
      <c r="E926" s="44"/>
      <c r="F926" s="16">
        <f>base!W926</f>
        <v>0</v>
      </c>
      <c r="G926" s="11">
        <f t="shared" si="140"/>
        <v>0</v>
      </c>
      <c r="H926" s="11">
        <f t="shared" si="141"/>
        <v>40.599999999999994</v>
      </c>
      <c r="I926" s="11">
        <f t="shared" si="142"/>
        <v>0.28999999999999998</v>
      </c>
      <c r="J926" s="12">
        <f t="shared" si="143"/>
        <v>-40.599999999999994</v>
      </c>
      <c r="K926" s="17" t="str">
        <f t="shared" si="148"/>
        <v>Ecart négatif</v>
      </c>
      <c r="L926" s="16">
        <f>base!X926</f>
        <v>16.8</v>
      </c>
      <c r="M926" s="11">
        <f t="shared" si="144"/>
        <v>0.12000000000000001</v>
      </c>
      <c r="N926" s="11">
        <f t="shared" si="145"/>
        <v>16.8</v>
      </c>
      <c r="O926" s="11">
        <f t="shared" si="146"/>
        <v>0.12000000000000001</v>
      </c>
      <c r="P926" s="12">
        <f t="shared" si="147"/>
        <v>0</v>
      </c>
      <c r="Q926" s="17" t="str">
        <f t="shared" si="149"/>
        <v>Pas d'écart</v>
      </c>
      <c r="R926" s="38"/>
    </row>
    <row r="927" spans="1:18" x14ac:dyDescent="0.3">
      <c r="A927" s="34" t="str">
        <f>base!J927</f>
        <v>RM</v>
      </c>
      <c r="B927" s="34" t="str">
        <f>base!V927</f>
        <v>76800</v>
      </c>
      <c r="C927" s="37">
        <v>76</v>
      </c>
      <c r="D927" s="36">
        <f>base!H927</f>
        <v>40</v>
      </c>
      <c r="E927" s="44"/>
      <c r="F927" s="16">
        <f>base!W927</f>
        <v>0</v>
      </c>
      <c r="G927" s="11">
        <f t="shared" si="140"/>
        <v>0</v>
      </c>
      <c r="H927" s="11">
        <f t="shared" si="141"/>
        <v>6.8000000000000007</v>
      </c>
      <c r="I927" s="11">
        <f t="shared" si="142"/>
        <v>0.17</v>
      </c>
      <c r="J927" s="12">
        <f t="shared" si="143"/>
        <v>-6.8000000000000007</v>
      </c>
      <c r="K927" s="17" t="str">
        <f t="shared" si="148"/>
        <v>Ecart négatif</v>
      </c>
      <c r="L927" s="16">
        <f>base!X927</f>
        <v>6.8</v>
      </c>
      <c r="M927" s="11">
        <f t="shared" si="144"/>
        <v>0.16999999999999998</v>
      </c>
      <c r="N927" s="11">
        <f t="shared" si="145"/>
        <v>6.8000000000000007</v>
      </c>
      <c r="O927" s="11">
        <f t="shared" si="146"/>
        <v>0.17</v>
      </c>
      <c r="P927" s="12">
        <f t="shared" si="147"/>
        <v>0</v>
      </c>
      <c r="Q927" s="17" t="str">
        <f t="shared" si="149"/>
        <v>Pas d'écart</v>
      </c>
    </row>
    <row r="928" spans="1:18" x14ac:dyDescent="0.3">
      <c r="A928" s="34" t="str">
        <f>base!J928</f>
        <v>LS</v>
      </c>
      <c r="B928" s="34" t="str">
        <f>base!V928</f>
        <v>94310</v>
      </c>
      <c r="C928" s="37">
        <v>27</v>
      </c>
      <c r="D928" s="36">
        <f>base!H928</f>
        <v>197.99</v>
      </c>
      <c r="E928" s="44"/>
      <c r="F928" s="16">
        <f>base!W928</f>
        <v>95.04</v>
      </c>
      <c r="G928" s="11">
        <f t="shared" si="140"/>
        <v>0.48002424364866914</v>
      </c>
      <c r="H928" s="11">
        <f t="shared" si="141"/>
        <v>33.658300000000004</v>
      </c>
      <c r="I928" s="11">
        <f t="shared" si="142"/>
        <v>0.17</v>
      </c>
      <c r="J928" s="12">
        <f t="shared" si="143"/>
        <v>61.381700000000002</v>
      </c>
      <c r="K928" s="17" t="str">
        <f t="shared" si="148"/>
        <v>Ecart positif</v>
      </c>
      <c r="L928" s="16">
        <f>base!X928</f>
        <v>0</v>
      </c>
      <c r="M928" s="11">
        <f t="shared" si="144"/>
        <v>0</v>
      </c>
      <c r="N928" s="11">
        <f t="shared" si="145"/>
        <v>33.658300000000004</v>
      </c>
      <c r="O928" s="11">
        <f t="shared" si="146"/>
        <v>0.17</v>
      </c>
      <c r="P928" s="12">
        <f t="shared" si="147"/>
        <v>-33.658300000000004</v>
      </c>
      <c r="Q928" s="17" t="str">
        <f t="shared" si="149"/>
        <v>Ecart négatif</v>
      </c>
    </row>
    <row r="929" spans="1:18" x14ac:dyDescent="0.3">
      <c r="A929" s="34" t="str">
        <f>base!J929</f>
        <v>LM</v>
      </c>
      <c r="B929" s="34" t="str">
        <f>base!V929</f>
        <v>92000</v>
      </c>
      <c r="C929" s="37">
        <v>92</v>
      </c>
      <c r="D929" s="36">
        <f>base!H929</f>
        <v>50.84</v>
      </c>
      <c r="E929" s="44"/>
      <c r="F929" s="16">
        <f>base!W929</f>
        <v>0</v>
      </c>
      <c r="G929" s="11">
        <f t="shared" si="140"/>
        <v>0</v>
      </c>
      <c r="H929" s="11">
        <f t="shared" si="141"/>
        <v>0</v>
      </c>
      <c r="I929" s="11">
        <f t="shared" si="142"/>
        <v>0</v>
      </c>
      <c r="J929" s="12">
        <f t="shared" si="143"/>
        <v>0</v>
      </c>
      <c r="K929" s="17" t="str">
        <f t="shared" si="148"/>
        <v>Pas d'écart</v>
      </c>
      <c r="L929" s="16">
        <f>base!X929</f>
        <v>0</v>
      </c>
      <c r="M929" s="11">
        <f t="shared" si="144"/>
        <v>0</v>
      </c>
      <c r="N929" s="11">
        <f t="shared" si="145"/>
        <v>0</v>
      </c>
      <c r="O929" s="11">
        <f t="shared" si="146"/>
        <v>0</v>
      </c>
      <c r="P929" s="12">
        <f t="shared" si="147"/>
        <v>0</v>
      </c>
      <c r="Q929" s="17" t="str">
        <f t="shared" si="149"/>
        <v>Pas d'écart</v>
      </c>
    </row>
    <row r="930" spans="1:18" x14ac:dyDescent="0.3">
      <c r="A930" s="34" t="str">
        <f>base!J930</f>
        <v>LM</v>
      </c>
      <c r="B930" s="34" t="str">
        <f>base!V930</f>
        <v>93013</v>
      </c>
      <c r="C930" s="37">
        <v>93</v>
      </c>
      <c r="D930" s="36">
        <f>base!H930</f>
        <v>55.16</v>
      </c>
      <c r="E930" s="44"/>
      <c r="F930" s="16">
        <f>base!W930</f>
        <v>0</v>
      </c>
      <c r="G930" s="11">
        <f t="shared" si="140"/>
        <v>0</v>
      </c>
      <c r="H930" s="11">
        <f t="shared" si="141"/>
        <v>0</v>
      </c>
      <c r="I930" s="11">
        <f t="shared" si="142"/>
        <v>0</v>
      </c>
      <c r="J930" s="12">
        <f t="shared" si="143"/>
        <v>0</v>
      </c>
      <c r="K930" s="17" t="str">
        <f t="shared" si="148"/>
        <v>Pas d'écart</v>
      </c>
      <c r="L930" s="16">
        <f>base!X930</f>
        <v>0</v>
      </c>
      <c r="M930" s="11">
        <f t="shared" si="144"/>
        <v>0</v>
      </c>
      <c r="N930" s="11">
        <f t="shared" si="145"/>
        <v>0</v>
      </c>
      <c r="O930" s="11">
        <f t="shared" si="146"/>
        <v>0</v>
      </c>
      <c r="P930" s="12">
        <f t="shared" si="147"/>
        <v>0</v>
      </c>
      <c r="Q930" s="17" t="str">
        <f t="shared" si="149"/>
        <v>Pas d'écart</v>
      </c>
    </row>
    <row r="931" spans="1:18" x14ac:dyDescent="0.3">
      <c r="A931" s="34" t="str">
        <f>base!J931</f>
        <v>LM</v>
      </c>
      <c r="B931" s="34" t="str">
        <f>base!V931</f>
        <v>56920</v>
      </c>
      <c r="C931" s="37">
        <v>50</v>
      </c>
      <c r="D931" s="36">
        <f>base!H931</f>
        <v>138.57</v>
      </c>
      <c r="E931" s="44"/>
      <c r="F931" s="16">
        <f>base!W931</f>
        <v>37.409999999999997</v>
      </c>
      <c r="G931" s="11">
        <f t="shared" si="140"/>
        <v>0.26997185537995239</v>
      </c>
      <c r="H931" s="11">
        <f t="shared" si="141"/>
        <v>23.556899999999999</v>
      </c>
      <c r="I931" s="11">
        <f t="shared" si="142"/>
        <v>0.17</v>
      </c>
      <c r="J931" s="12">
        <f t="shared" si="143"/>
        <v>13.853099999999998</v>
      </c>
      <c r="K931" s="17" t="str">
        <f t="shared" si="148"/>
        <v>Ecart positif</v>
      </c>
      <c r="L931" s="16">
        <f>base!X931</f>
        <v>0</v>
      </c>
      <c r="M931" s="11">
        <f t="shared" si="144"/>
        <v>0</v>
      </c>
      <c r="N931" s="11">
        <f t="shared" si="145"/>
        <v>23.556899999999999</v>
      </c>
      <c r="O931" s="11">
        <f t="shared" si="146"/>
        <v>0.17</v>
      </c>
      <c r="P931" s="12">
        <f t="shared" si="147"/>
        <v>-23.556899999999999</v>
      </c>
      <c r="Q931" s="17" t="str">
        <f t="shared" si="149"/>
        <v>Ecart négatif</v>
      </c>
    </row>
    <row r="932" spans="1:18" x14ac:dyDescent="0.3">
      <c r="A932" s="34" t="str">
        <f>base!J932</f>
        <v>DRS</v>
      </c>
      <c r="B932" s="34" t="str">
        <f>base!V932</f>
        <v>94290</v>
      </c>
      <c r="C932" s="37">
        <v>94</v>
      </c>
      <c r="D932" s="36">
        <f>base!H932</f>
        <v>140</v>
      </c>
      <c r="E932" s="44"/>
      <c r="F932" s="16">
        <f>base!W932</f>
        <v>0</v>
      </c>
      <c r="G932" s="11">
        <f t="shared" si="140"/>
        <v>0</v>
      </c>
      <c r="H932" s="11">
        <f t="shared" si="141"/>
        <v>0</v>
      </c>
      <c r="I932" s="11">
        <f t="shared" si="142"/>
        <v>0</v>
      </c>
      <c r="J932" s="12">
        <f t="shared" si="143"/>
        <v>0</v>
      </c>
      <c r="K932" s="17" t="str">
        <f t="shared" si="148"/>
        <v>Pas d'écart</v>
      </c>
      <c r="L932" s="16">
        <f>base!X932</f>
        <v>0</v>
      </c>
      <c r="M932" s="11">
        <f t="shared" si="144"/>
        <v>0</v>
      </c>
      <c r="N932" s="11">
        <f t="shared" si="145"/>
        <v>0</v>
      </c>
      <c r="O932" s="11">
        <f t="shared" si="146"/>
        <v>0</v>
      </c>
      <c r="P932" s="12">
        <f t="shared" si="147"/>
        <v>0</v>
      </c>
      <c r="Q932" s="17" t="str">
        <f t="shared" si="149"/>
        <v>Pas d'écart</v>
      </c>
    </row>
    <row r="933" spans="1:18" x14ac:dyDescent="0.3">
      <c r="A933" s="34" t="str">
        <f>base!J933</f>
        <v>DRM</v>
      </c>
      <c r="B933" s="34" t="str">
        <f>base!V933</f>
        <v>38230</v>
      </c>
      <c r="C933" s="37">
        <v>38</v>
      </c>
      <c r="D933" s="36">
        <f>base!H933</f>
        <v>23.4</v>
      </c>
      <c r="E933" s="44"/>
      <c r="F933" s="16">
        <f>base!W933</f>
        <v>0</v>
      </c>
      <c r="G933" s="11">
        <f t="shared" si="140"/>
        <v>0</v>
      </c>
      <c r="H933" s="11">
        <f t="shared" si="141"/>
        <v>6.3179999999999996</v>
      </c>
      <c r="I933" s="11">
        <f t="shared" si="142"/>
        <v>0.27</v>
      </c>
      <c r="J933" s="12">
        <f t="shared" si="143"/>
        <v>-6.3179999999999996</v>
      </c>
      <c r="K933" s="17" t="str">
        <f t="shared" si="148"/>
        <v>Ecart négatif</v>
      </c>
      <c r="L933" s="16">
        <f>base!X933</f>
        <v>0</v>
      </c>
      <c r="M933" s="11">
        <f t="shared" si="144"/>
        <v>0</v>
      </c>
      <c r="N933" s="11">
        <f t="shared" si="145"/>
        <v>0</v>
      </c>
      <c r="O933" s="11">
        <f t="shared" si="146"/>
        <v>0</v>
      </c>
      <c r="P933" s="12">
        <f t="shared" si="147"/>
        <v>0</v>
      </c>
      <c r="Q933" s="17" t="str">
        <f t="shared" si="149"/>
        <v>Pas d'écart</v>
      </c>
    </row>
    <row r="934" spans="1:18" x14ac:dyDescent="0.3">
      <c r="A934" s="34" t="str">
        <f>base!J934</f>
        <v>RS</v>
      </c>
      <c r="B934" s="34" t="str">
        <f>base!V934</f>
        <v>63500</v>
      </c>
      <c r="C934" s="37">
        <v>63</v>
      </c>
      <c r="D934" s="36">
        <f>base!H934</f>
        <v>40</v>
      </c>
      <c r="E934" s="44"/>
      <c r="F934" s="16">
        <f>base!W934</f>
        <v>0</v>
      </c>
      <c r="G934" s="11">
        <f t="shared" si="140"/>
        <v>0</v>
      </c>
      <c r="H934" s="11">
        <f t="shared" si="141"/>
        <v>11.6</v>
      </c>
      <c r="I934" s="11">
        <f t="shared" si="142"/>
        <v>0.28999999999999998</v>
      </c>
      <c r="J934" s="12">
        <f t="shared" si="143"/>
        <v>-11.6</v>
      </c>
      <c r="K934" s="17" t="str">
        <f t="shared" si="148"/>
        <v>Ecart négatif</v>
      </c>
      <c r="L934" s="16">
        <f>base!X934</f>
        <v>4.8</v>
      </c>
      <c r="M934" s="11">
        <f t="shared" si="144"/>
        <v>0.12</v>
      </c>
      <c r="N934" s="11">
        <f t="shared" si="145"/>
        <v>4.8</v>
      </c>
      <c r="O934" s="11">
        <f t="shared" si="146"/>
        <v>0.12</v>
      </c>
      <c r="P934" s="12">
        <f t="shared" si="147"/>
        <v>0</v>
      </c>
      <c r="Q934" s="17" t="str">
        <f t="shared" si="149"/>
        <v>Pas d'écart</v>
      </c>
      <c r="R934" s="38"/>
    </row>
    <row r="935" spans="1:18" x14ac:dyDescent="0.3">
      <c r="A935" s="34">
        <f>base!J935</f>
        <v>0</v>
      </c>
      <c r="B935" s="34" t="str">
        <f>base!V935</f>
        <v>77184</v>
      </c>
      <c r="C935" s="37">
        <v>77</v>
      </c>
      <c r="D935" s="36">
        <f>base!H935</f>
        <v>180</v>
      </c>
      <c r="E935" s="44"/>
      <c r="F935" s="16">
        <f>base!W935</f>
        <v>0</v>
      </c>
      <c r="G935" s="11">
        <f t="shared" si="140"/>
        <v>0</v>
      </c>
      <c r="H935" s="11">
        <f t="shared" si="141"/>
        <v>0</v>
      </c>
      <c r="I935" s="11">
        <f t="shared" si="142"/>
        <v>0</v>
      </c>
      <c r="J935" s="12">
        <f t="shared" si="143"/>
        <v>0</v>
      </c>
      <c r="K935" s="17" t="str">
        <f t="shared" si="148"/>
        <v>Pas d'écart</v>
      </c>
      <c r="L935" s="16">
        <f>base!X935</f>
        <v>0</v>
      </c>
      <c r="M935" s="11">
        <f t="shared" si="144"/>
        <v>0</v>
      </c>
      <c r="N935" s="11">
        <f t="shared" si="145"/>
        <v>0</v>
      </c>
      <c r="O935" s="11">
        <f t="shared" si="146"/>
        <v>0</v>
      </c>
      <c r="P935" s="12">
        <f t="shared" si="147"/>
        <v>0</v>
      </c>
      <c r="Q935" s="17" t="str">
        <f t="shared" si="149"/>
        <v>Pas d'écart</v>
      </c>
    </row>
    <row r="936" spans="1:18" x14ac:dyDescent="0.3">
      <c r="A936" s="34">
        <f>base!J936</f>
        <v>0</v>
      </c>
      <c r="B936" s="34" t="str">
        <f>base!V936</f>
        <v>77184</v>
      </c>
      <c r="C936" s="37">
        <v>77</v>
      </c>
      <c r="D936" s="36">
        <f>base!H936</f>
        <v>20</v>
      </c>
      <c r="E936" s="44"/>
      <c r="F936" s="16">
        <f>base!W936</f>
        <v>0</v>
      </c>
      <c r="G936" s="11">
        <f t="shared" si="140"/>
        <v>0</v>
      </c>
      <c r="H936" s="11">
        <f t="shared" si="141"/>
        <v>0</v>
      </c>
      <c r="I936" s="11">
        <f t="shared" si="142"/>
        <v>0</v>
      </c>
      <c r="J936" s="12">
        <f t="shared" si="143"/>
        <v>0</v>
      </c>
      <c r="K936" s="17" t="str">
        <f t="shared" si="148"/>
        <v>Pas d'écart</v>
      </c>
      <c r="L936" s="16">
        <f>base!X936</f>
        <v>0</v>
      </c>
      <c r="M936" s="11">
        <f t="shared" si="144"/>
        <v>0</v>
      </c>
      <c r="N936" s="11">
        <f t="shared" si="145"/>
        <v>0</v>
      </c>
      <c r="O936" s="11">
        <f t="shared" si="146"/>
        <v>0</v>
      </c>
      <c r="P936" s="12">
        <f t="shared" si="147"/>
        <v>0</v>
      </c>
      <c r="Q936" s="17" t="str">
        <f t="shared" si="149"/>
        <v>Pas d'écart</v>
      </c>
    </row>
    <row r="937" spans="1:18" x14ac:dyDescent="0.3">
      <c r="A937" s="34" t="str">
        <f>base!J937</f>
        <v>LM</v>
      </c>
      <c r="B937" s="34" t="str">
        <f>base!V937</f>
        <v>69002</v>
      </c>
      <c r="C937" s="37">
        <v>14</v>
      </c>
      <c r="D937" s="36">
        <f>base!H937</f>
        <v>188.33</v>
      </c>
      <c r="E937" s="44"/>
      <c r="F937" s="16">
        <f>base!W937</f>
        <v>50.85</v>
      </c>
      <c r="G937" s="11">
        <f t="shared" si="140"/>
        <v>0.27000477884564328</v>
      </c>
      <c r="H937" s="11">
        <f t="shared" si="141"/>
        <v>32.016100000000002</v>
      </c>
      <c r="I937" s="11">
        <f t="shared" si="142"/>
        <v>0.16999999999999998</v>
      </c>
      <c r="J937" s="12">
        <f t="shared" si="143"/>
        <v>18.8339</v>
      </c>
      <c r="K937" s="17" t="str">
        <f t="shared" si="148"/>
        <v>Ecart positif</v>
      </c>
      <c r="L937" s="16">
        <f>base!X937</f>
        <v>0</v>
      </c>
      <c r="M937" s="11">
        <f t="shared" si="144"/>
        <v>0</v>
      </c>
      <c r="N937" s="11">
        <f t="shared" si="145"/>
        <v>32.016100000000002</v>
      </c>
      <c r="O937" s="11">
        <f t="shared" si="146"/>
        <v>0.16999999999999998</v>
      </c>
      <c r="P937" s="12">
        <f t="shared" si="147"/>
        <v>-32.016100000000002</v>
      </c>
      <c r="Q937" s="17" t="str">
        <f t="shared" si="149"/>
        <v>Ecart négatif</v>
      </c>
    </row>
    <row r="938" spans="1:18" x14ac:dyDescent="0.3">
      <c r="A938" s="34" t="str">
        <f>base!J938</f>
        <v>LM</v>
      </c>
      <c r="B938" s="34" t="str">
        <f>base!V938</f>
        <v>67200</v>
      </c>
      <c r="C938" s="37">
        <v>14</v>
      </c>
      <c r="D938" s="36">
        <f>base!H938</f>
        <v>36.82</v>
      </c>
      <c r="E938" s="44"/>
      <c r="F938" s="16">
        <f>base!W938</f>
        <v>10.68</v>
      </c>
      <c r="G938" s="11">
        <f t="shared" si="140"/>
        <v>0.29005975013579577</v>
      </c>
      <c r="H938" s="11">
        <f t="shared" si="141"/>
        <v>6.2594000000000003</v>
      </c>
      <c r="I938" s="11">
        <f t="shared" si="142"/>
        <v>0.17</v>
      </c>
      <c r="J938" s="12">
        <f t="shared" si="143"/>
        <v>4.4205999999999994</v>
      </c>
      <c r="K938" s="17" t="str">
        <f t="shared" si="148"/>
        <v>Ecart positif</v>
      </c>
      <c r="L938" s="16">
        <f>base!X938</f>
        <v>0</v>
      </c>
      <c r="M938" s="11">
        <f t="shared" si="144"/>
        <v>0</v>
      </c>
      <c r="N938" s="11">
        <f t="shared" si="145"/>
        <v>6.2594000000000003</v>
      </c>
      <c r="O938" s="11">
        <f t="shared" si="146"/>
        <v>0.17</v>
      </c>
      <c r="P938" s="12">
        <f t="shared" si="147"/>
        <v>-6.2594000000000003</v>
      </c>
      <c r="Q938" s="17" t="str">
        <f t="shared" si="149"/>
        <v>Ecart négatif</v>
      </c>
    </row>
    <row r="939" spans="1:18" x14ac:dyDescent="0.3">
      <c r="A939" s="34" t="str">
        <f>base!J939</f>
        <v>LS</v>
      </c>
      <c r="B939" s="34" t="str">
        <f>base!V939</f>
        <v>44200</v>
      </c>
      <c r="C939" s="37">
        <v>14</v>
      </c>
      <c r="D939" s="36">
        <f>base!H939</f>
        <v>153.15</v>
      </c>
      <c r="E939" s="44"/>
      <c r="F939" s="16">
        <f>base!W939</f>
        <v>41.35</v>
      </c>
      <c r="G939" s="11">
        <f t="shared" si="140"/>
        <v>0.26999673522690171</v>
      </c>
      <c r="H939" s="11">
        <f t="shared" si="141"/>
        <v>26.035500000000003</v>
      </c>
      <c r="I939" s="11">
        <f t="shared" si="142"/>
        <v>0.17</v>
      </c>
      <c r="J939" s="12">
        <f t="shared" si="143"/>
        <v>15.314499999999999</v>
      </c>
      <c r="K939" s="17" t="str">
        <f t="shared" si="148"/>
        <v>Ecart positif</v>
      </c>
      <c r="L939" s="16">
        <f>base!X939</f>
        <v>0</v>
      </c>
      <c r="M939" s="11">
        <f t="shared" si="144"/>
        <v>0</v>
      </c>
      <c r="N939" s="11">
        <f t="shared" si="145"/>
        <v>26.035500000000003</v>
      </c>
      <c r="O939" s="11">
        <f t="shared" si="146"/>
        <v>0.17</v>
      </c>
      <c r="P939" s="12">
        <f t="shared" si="147"/>
        <v>-26.035500000000003</v>
      </c>
      <c r="Q939" s="17" t="str">
        <f t="shared" si="149"/>
        <v>Ecart négatif</v>
      </c>
    </row>
    <row r="940" spans="1:18" x14ac:dyDescent="0.3">
      <c r="A940" s="34" t="str">
        <f>base!J940</f>
        <v>LM</v>
      </c>
      <c r="B940" s="34" t="str">
        <f>base!V940</f>
        <v>14200</v>
      </c>
      <c r="C940" s="37">
        <v>14</v>
      </c>
      <c r="D940" s="36">
        <f>base!H940</f>
        <v>75.16</v>
      </c>
      <c r="E940" s="44"/>
      <c r="F940" s="16">
        <f>base!W940</f>
        <v>12.78</v>
      </c>
      <c r="G940" s="11">
        <f t="shared" si="140"/>
        <v>0.17003725385843535</v>
      </c>
      <c r="H940" s="11">
        <f t="shared" si="141"/>
        <v>12.777200000000001</v>
      </c>
      <c r="I940" s="11">
        <f t="shared" si="142"/>
        <v>0.17</v>
      </c>
      <c r="J940" s="12">
        <f t="shared" si="143"/>
        <v>2.7999999999988034E-3</v>
      </c>
      <c r="K940" s="17" t="str">
        <f t="shared" si="148"/>
        <v>Ecart positif</v>
      </c>
      <c r="L940" s="16">
        <f>base!X940</f>
        <v>0</v>
      </c>
      <c r="M940" s="11">
        <f t="shared" si="144"/>
        <v>0</v>
      </c>
      <c r="N940" s="11">
        <f t="shared" si="145"/>
        <v>12.777200000000001</v>
      </c>
      <c r="O940" s="11">
        <f t="shared" si="146"/>
        <v>0.17</v>
      </c>
      <c r="P940" s="12">
        <f t="shared" si="147"/>
        <v>-12.777200000000001</v>
      </c>
      <c r="Q940" s="17" t="str">
        <f t="shared" si="149"/>
        <v>Ecart négatif</v>
      </c>
    </row>
    <row r="941" spans="1:18" x14ac:dyDescent="0.3">
      <c r="A941" s="34" t="str">
        <f>base!J941</f>
        <v>RS</v>
      </c>
      <c r="B941" s="34" t="str">
        <f>base!V941</f>
        <v>44263</v>
      </c>
      <c r="C941" s="37">
        <v>44</v>
      </c>
      <c r="D941" s="36">
        <f>base!H941</f>
        <v>193.58</v>
      </c>
      <c r="E941" s="44"/>
      <c r="F941" s="16">
        <f>base!W941</f>
        <v>0</v>
      </c>
      <c r="G941" s="11">
        <f t="shared" si="140"/>
        <v>0</v>
      </c>
      <c r="H941" s="11">
        <f t="shared" si="141"/>
        <v>52.266600000000004</v>
      </c>
      <c r="I941" s="11">
        <f t="shared" si="142"/>
        <v>0.27</v>
      </c>
      <c r="J941" s="12">
        <f t="shared" si="143"/>
        <v>-52.266600000000004</v>
      </c>
      <c r="K941" s="17" t="str">
        <f t="shared" si="148"/>
        <v>Ecart négatif</v>
      </c>
      <c r="L941" s="16">
        <f>base!X941</f>
        <v>0</v>
      </c>
      <c r="M941" s="11">
        <f t="shared" si="144"/>
        <v>0</v>
      </c>
      <c r="N941" s="11">
        <f t="shared" si="145"/>
        <v>0</v>
      </c>
      <c r="O941" s="11">
        <f t="shared" si="146"/>
        <v>0</v>
      </c>
      <c r="P941" s="12">
        <f t="shared" si="147"/>
        <v>0</v>
      </c>
      <c r="Q941" s="17" t="str">
        <f t="shared" si="149"/>
        <v>Pas d'écart</v>
      </c>
    </row>
    <row r="942" spans="1:18" x14ac:dyDescent="0.3">
      <c r="A942" s="34" t="str">
        <f>base!J942</f>
        <v>RM</v>
      </c>
      <c r="B942" s="34" t="str">
        <f>base!V942</f>
        <v>06560</v>
      </c>
      <c r="C942" s="37">
        <v>6</v>
      </c>
      <c r="D942" s="36">
        <f>base!H942</f>
        <v>151</v>
      </c>
      <c r="E942" s="44"/>
      <c r="F942" s="16">
        <f>base!W942</f>
        <v>0</v>
      </c>
      <c r="G942" s="11">
        <f t="shared" si="140"/>
        <v>0</v>
      </c>
      <c r="H942" s="11">
        <f t="shared" si="141"/>
        <v>45.3</v>
      </c>
      <c r="I942" s="11">
        <f t="shared" si="142"/>
        <v>0.3</v>
      </c>
      <c r="J942" s="12">
        <f t="shared" si="143"/>
        <v>-45.3</v>
      </c>
      <c r="K942" s="17" t="str">
        <f t="shared" si="148"/>
        <v>Ecart négatif</v>
      </c>
      <c r="L942" s="16">
        <f>base!X942</f>
        <v>0</v>
      </c>
      <c r="M942" s="11">
        <f t="shared" si="144"/>
        <v>0</v>
      </c>
      <c r="N942" s="11">
        <f t="shared" si="145"/>
        <v>31.709999999999997</v>
      </c>
      <c r="O942" s="11">
        <f t="shared" si="146"/>
        <v>0.21</v>
      </c>
      <c r="P942" s="12">
        <f t="shared" si="147"/>
        <v>-31.709999999999997</v>
      </c>
      <c r="Q942" s="17" t="str">
        <f t="shared" si="149"/>
        <v>Ecart négatif</v>
      </c>
    </row>
    <row r="943" spans="1:18" x14ac:dyDescent="0.3">
      <c r="A943" s="34" t="str">
        <f>base!J943</f>
        <v>RM</v>
      </c>
      <c r="B943" s="34" t="str">
        <f>base!V943</f>
        <v>06560</v>
      </c>
      <c r="C943" s="37">
        <v>6</v>
      </c>
      <c r="D943" s="36">
        <f>base!H943</f>
        <v>151</v>
      </c>
      <c r="E943" s="44"/>
      <c r="F943" s="16">
        <f>base!W943</f>
        <v>0</v>
      </c>
      <c r="G943" s="11">
        <f t="shared" si="140"/>
        <v>0</v>
      </c>
      <c r="H943" s="11">
        <f t="shared" si="141"/>
        <v>45.3</v>
      </c>
      <c r="I943" s="11">
        <f t="shared" si="142"/>
        <v>0.3</v>
      </c>
      <c r="J943" s="12">
        <f t="shared" si="143"/>
        <v>-45.3</v>
      </c>
      <c r="K943" s="17" t="str">
        <f t="shared" si="148"/>
        <v>Ecart négatif</v>
      </c>
      <c r="L943" s="16">
        <f>base!X943</f>
        <v>0</v>
      </c>
      <c r="M943" s="11">
        <f t="shared" si="144"/>
        <v>0</v>
      </c>
      <c r="N943" s="11">
        <f t="shared" si="145"/>
        <v>31.709999999999997</v>
      </c>
      <c r="O943" s="11">
        <f t="shared" si="146"/>
        <v>0.21</v>
      </c>
      <c r="P943" s="12">
        <f t="shared" si="147"/>
        <v>-31.709999999999997</v>
      </c>
      <c r="Q943" s="17" t="str">
        <f t="shared" si="149"/>
        <v>Ecart négatif</v>
      </c>
    </row>
    <row r="944" spans="1:18" x14ac:dyDescent="0.3">
      <c r="A944" s="34" t="str">
        <f>base!J944</f>
        <v>RM</v>
      </c>
      <c r="B944" s="34" t="str">
        <f>base!V944</f>
        <v>06560</v>
      </c>
      <c r="C944" s="37">
        <v>6</v>
      </c>
      <c r="D944" s="36">
        <f>base!H944</f>
        <v>151</v>
      </c>
      <c r="E944" s="44"/>
      <c r="F944" s="16">
        <f>base!W944</f>
        <v>0</v>
      </c>
      <c r="G944" s="11">
        <f t="shared" si="140"/>
        <v>0</v>
      </c>
      <c r="H944" s="11">
        <f t="shared" si="141"/>
        <v>45.3</v>
      </c>
      <c r="I944" s="11">
        <f t="shared" si="142"/>
        <v>0.3</v>
      </c>
      <c r="J944" s="12">
        <f t="shared" si="143"/>
        <v>-45.3</v>
      </c>
      <c r="K944" s="17" t="str">
        <f t="shared" si="148"/>
        <v>Ecart négatif</v>
      </c>
      <c r="L944" s="16">
        <f>base!X944</f>
        <v>0</v>
      </c>
      <c r="M944" s="11">
        <f t="shared" si="144"/>
        <v>0</v>
      </c>
      <c r="N944" s="11">
        <f t="shared" si="145"/>
        <v>31.709999999999997</v>
      </c>
      <c r="O944" s="11">
        <f t="shared" si="146"/>
        <v>0.21</v>
      </c>
      <c r="P944" s="12">
        <f t="shared" si="147"/>
        <v>-31.709999999999997</v>
      </c>
      <c r="Q944" s="17" t="str">
        <f t="shared" si="149"/>
        <v>Ecart négatif</v>
      </c>
    </row>
    <row r="945" spans="1:18" x14ac:dyDescent="0.3">
      <c r="A945" s="34">
        <f>base!J945</f>
        <v>0</v>
      </c>
      <c r="B945" s="34" t="str">
        <f>base!V945</f>
        <v>77184</v>
      </c>
      <c r="C945" s="37">
        <v>77</v>
      </c>
      <c r="D945" s="36">
        <f>base!H945</f>
        <v>25</v>
      </c>
      <c r="E945" s="44"/>
      <c r="F945" s="16">
        <f>base!W945</f>
        <v>0</v>
      </c>
      <c r="G945" s="11">
        <f t="shared" si="140"/>
        <v>0</v>
      </c>
      <c r="H945" s="11">
        <f t="shared" si="141"/>
        <v>0</v>
      </c>
      <c r="I945" s="11">
        <f t="shared" si="142"/>
        <v>0</v>
      </c>
      <c r="J945" s="12">
        <f t="shared" si="143"/>
        <v>0</v>
      </c>
      <c r="K945" s="17" t="str">
        <f t="shared" si="148"/>
        <v>Pas d'écart</v>
      </c>
      <c r="L945" s="16">
        <f>base!X945</f>
        <v>0</v>
      </c>
      <c r="M945" s="11">
        <f t="shared" si="144"/>
        <v>0</v>
      </c>
      <c r="N945" s="11">
        <f t="shared" si="145"/>
        <v>0</v>
      </c>
      <c r="O945" s="11">
        <f t="shared" si="146"/>
        <v>0</v>
      </c>
      <c r="P945" s="12">
        <f t="shared" si="147"/>
        <v>0</v>
      </c>
      <c r="Q945" s="17" t="str">
        <f t="shared" si="149"/>
        <v>Pas d'écart</v>
      </c>
    </row>
    <row r="946" spans="1:18" x14ac:dyDescent="0.3">
      <c r="A946" s="34" t="str">
        <f>base!J946</f>
        <v>RS</v>
      </c>
      <c r="B946" s="34" t="str">
        <f>base!V946</f>
        <v>69280</v>
      </c>
      <c r="C946" s="37">
        <v>69</v>
      </c>
      <c r="D946" s="36">
        <f>base!H946</f>
        <v>140</v>
      </c>
      <c r="E946" s="44"/>
      <c r="F946" s="16">
        <f>base!W946</f>
        <v>0</v>
      </c>
      <c r="G946" s="11">
        <f t="shared" si="140"/>
        <v>0</v>
      </c>
      <c r="H946" s="11">
        <f t="shared" si="141"/>
        <v>37.800000000000004</v>
      </c>
      <c r="I946" s="11">
        <f t="shared" si="142"/>
        <v>0.27</v>
      </c>
      <c r="J946" s="12">
        <f t="shared" si="143"/>
        <v>-37.800000000000004</v>
      </c>
      <c r="K946" s="17" t="str">
        <f t="shared" si="148"/>
        <v>Ecart négatif</v>
      </c>
      <c r="L946" s="16">
        <f>base!X946</f>
        <v>0</v>
      </c>
      <c r="M946" s="11">
        <f t="shared" si="144"/>
        <v>0</v>
      </c>
      <c r="N946" s="11">
        <f t="shared" si="145"/>
        <v>0</v>
      </c>
      <c r="O946" s="11">
        <f t="shared" si="146"/>
        <v>0</v>
      </c>
      <c r="P946" s="12">
        <f t="shared" si="147"/>
        <v>0</v>
      </c>
      <c r="Q946" s="17" t="str">
        <f t="shared" si="149"/>
        <v>Pas d'écart</v>
      </c>
    </row>
    <row r="947" spans="1:18" x14ac:dyDescent="0.3">
      <c r="A947" s="34" t="str">
        <f>base!J947</f>
        <v>RM</v>
      </c>
      <c r="B947" s="34" t="str">
        <f>base!V947</f>
        <v>69280</v>
      </c>
      <c r="C947" s="37">
        <v>69</v>
      </c>
      <c r="D947" s="36">
        <f>base!H947</f>
        <v>37.93</v>
      </c>
      <c r="E947" s="44"/>
      <c r="F947" s="16">
        <f>base!W947</f>
        <v>0</v>
      </c>
      <c r="G947" s="11">
        <f t="shared" si="140"/>
        <v>0</v>
      </c>
      <c r="H947" s="11">
        <f t="shared" si="141"/>
        <v>10.241100000000001</v>
      </c>
      <c r="I947" s="11">
        <f t="shared" si="142"/>
        <v>0.27</v>
      </c>
      <c r="J947" s="12">
        <f t="shared" si="143"/>
        <v>-10.241100000000001</v>
      </c>
      <c r="K947" s="17" t="str">
        <f t="shared" si="148"/>
        <v>Ecart négatif</v>
      </c>
      <c r="L947" s="16">
        <f>base!X947</f>
        <v>0</v>
      </c>
      <c r="M947" s="11">
        <f t="shared" si="144"/>
        <v>0</v>
      </c>
      <c r="N947" s="11">
        <f t="shared" si="145"/>
        <v>0</v>
      </c>
      <c r="O947" s="11">
        <f t="shared" si="146"/>
        <v>0</v>
      </c>
      <c r="P947" s="12">
        <f t="shared" si="147"/>
        <v>0</v>
      </c>
      <c r="Q947" s="17" t="str">
        <f t="shared" si="149"/>
        <v>Pas d'écart</v>
      </c>
    </row>
    <row r="948" spans="1:18" x14ac:dyDescent="0.3">
      <c r="A948" s="34" t="str">
        <f>base!J948</f>
        <v>RM</v>
      </c>
      <c r="B948" s="34" t="str">
        <f>base!V948</f>
        <v>69003</v>
      </c>
      <c r="C948" s="37">
        <v>69</v>
      </c>
      <c r="D948" s="36">
        <f>base!H948</f>
        <v>70</v>
      </c>
      <c r="E948" s="44"/>
      <c r="F948" s="16">
        <f>base!W948</f>
        <v>0</v>
      </c>
      <c r="G948" s="11">
        <f t="shared" si="140"/>
        <v>0</v>
      </c>
      <c r="H948" s="11">
        <f t="shared" si="141"/>
        <v>18.900000000000002</v>
      </c>
      <c r="I948" s="11">
        <f t="shared" si="142"/>
        <v>0.27</v>
      </c>
      <c r="J948" s="12">
        <f t="shared" si="143"/>
        <v>-18.900000000000002</v>
      </c>
      <c r="K948" s="17" t="str">
        <f t="shared" si="148"/>
        <v>Ecart négatif</v>
      </c>
      <c r="L948" s="16">
        <f>base!X948</f>
        <v>0</v>
      </c>
      <c r="M948" s="11">
        <f t="shared" si="144"/>
        <v>0</v>
      </c>
      <c r="N948" s="11">
        <f t="shared" si="145"/>
        <v>0</v>
      </c>
      <c r="O948" s="11">
        <f t="shared" si="146"/>
        <v>0</v>
      </c>
      <c r="P948" s="12">
        <f t="shared" si="147"/>
        <v>0</v>
      </c>
      <c r="Q948" s="17" t="str">
        <f t="shared" si="149"/>
        <v>Pas d'écart</v>
      </c>
    </row>
    <row r="949" spans="1:18" x14ac:dyDescent="0.3">
      <c r="A949" s="34">
        <f>base!J949</f>
        <v>0</v>
      </c>
      <c r="B949" s="34" t="str">
        <f>base!V949</f>
        <v>77184</v>
      </c>
      <c r="C949" s="37">
        <v>77</v>
      </c>
      <c r="D949" s="36">
        <f>base!H949</f>
        <v>31.6</v>
      </c>
      <c r="E949" s="44"/>
      <c r="F949" s="16">
        <f>base!W949</f>
        <v>0</v>
      </c>
      <c r="G949" s="11">
        <f t="shared" si="140"/>
        <v>0</v>
      </c>
      <c r="H949" s="11">
        <f t="shared" si="141"/>
        <v>0</v>
      </c>
      <c r="I949" s="11">
        <f t="shared" si="142"/>
        <v>0</v>
      </c>
      <c r="J949" s="12">
        <f t="shared" si="143"/>
        <v>0</v>
      </c>
      <c r="K949" s="17" t="str">
        <f t="shared" si="148"/>
        <v>Pas d'écart</v>
      </c>
      <c r="L949" s="16">
        <f>base!X949</f>
        <v>0</v>
      </c>
      <c r="M949" s="11">
        <f t="shared" si="144"/>
        <v>0</v>
      </c>
      <c r="N949" s="11">
        <f t="shared" si="145"/>
        <v>0</v>
      </c>
      <c r="O949" s="11">
        <f t="shared" si="146"/>
        <v>0</v>
      </c>
      <c r="P949" s="12">
        <f t="shared" si="147"/>
        <v>0</v>
      </c>
      <c r="Q949" s="17" t="str">
        <f t="shared" si="149"/>
        <v>Pas d'écart</v>
      </c>
    </row>
    <row r="950" spans="1:18" x14ac:dyDescent="0.3">
      <c r="A950" s="34">
        <f>base!J950</f>
        <v>0</v>
      </c>
      <c r="B950" s="34" t="str">
        <f>base!V950</f>
        <v>77184</v>
      </c>
      <c r="C950" s="37">
        <v>77</v>
      </c>
      <c r="D950" s="36">
        <f>base!H950</f>
        <v>31</v>
      </c>
      <c r="E950" s="44"/>
      <c r="F950" s="16">
        <f>base!W950</f>
        <v>0</v>
      </c>
      <c r="G950" s="11">
        <f t="shared" si="140"/>
        <v>0</v>
      </c>
      <c r="H950" s="11">
        <f t="shared" si="141"/>
        <v>0</v>
      </c>
      <c r="I950" s="11">
        <f t="shared" si="142"/>
        <v>0</v>
      </c>
      <c r="J950" s="12">
        <f t="shared" si="143"/>
        <v>0</v>
      </c>
      <c r="K950" s="17" t="str">
        <f t="shared" si="148"/>
        <v>Pas d'écart</v>
      </c>
      <c r="L950" s="16">
        <f>base!X950</f>
        <v>0</v>
      </c>
      <c r="M950" s="11">
        <f t="shared" si="144"/>
        <v>0</v>
      </c>
      <c r="N950" s="11">
        <f t="shared" si="145"/>
        <v>0</v>
      </c>
      <c r="O950" s="11">
        <f t="shared" si="146"/>
        <v>0</v>
      </c>
      <c r="P950" s="12">
        <f t="shared" si="147"/>
        <v>0</v>
      </c>
      <c r="Q950" s="17" t="str">
        <f t="shared" si="149"/>
        <v>Pas d'écart</v>
      </c>
    </row>
    <row r="951" spans="1:18" x14ac:dyDescent="0.3">
      <c r="A951" s="34">
        <f>base!J951</f>
        <v>0</v>
      </c>
      <c r="B951" s="34" t="str">
        <f>base!V951</f>
        <v>77184</v>
      </c>
      <c r="C951" s="37">
        <v>77</v>
      </c>
      <c r="D951" s="36">
        <f>base!H951</f>
        <v>33.630000000000003</v>
      </c>
      <c r="E951" s="44"/>
      <c r="F951" s="16">
        <f>base!W951</f>
        <v>0</v>
      </c>
      <c r="G951" s="11">
        <f t="shared" si="140"/>
        <v>0</v>
      </c>
      <c r="H951" s="11">
        <f t="shared" si="141"/>
        <v>0</v>
      </c>
      <c r="I951" s="11">
        <f t="shared" si="142"/>
        <v>0</v>
      </c>
      <c r="J951" s="12">
        <f t="shared" si="143"/>
        <v>0</v>
      </c>
      <c r="K951" s="17" t="str">
        <f t="shared" si="148"/>
        <v>Pas d'écart</v>
      </c>
      <c r="L951" s="16">
        <f>base!X951</f>
        <v>0</v>
      </c>
      <c r="M951" s="11">
        <f t="shared" si="144"/>
        <v>0</v>
      </c>
      <c r="N951" s="11">
        <f t="shared" si="145"/>
        <v>0</v>
      </c>
      <c r="O951" s="11">
        <f t="shared" si="146"/>
        <v>0</v>
      </c>
      <c r="P951" s="12">
        <f t="shared" si="147"/>
        <v>0</v>
      </c>
      <c r="Q951" s="17" t="str">
        <f t="shared" si="149"/>
        <v>Pas d'écart</v>
      </c>
    </row>
    <row r="952" spans="1:18" x14ac:dyDescent="0.3">
      <c r="A952" s="34" t="str">
        <f>base!J952</f>
        <v>RM</v>
      </c>
      <c r="B952" s="34" t="str">
        <f>base!V952</f>
        <v>34980</v>
      </c>
      <c r="C952" s="37">
        <v>34</v>
      </c>
      <c r="D952" s="36">
        <f>base!H952</f>
        <v>180</v>
      </c>
      <c r="E952" s="44"/>
      <c r="F952" s="16">
        <f>base!W952</f>
        <v>0</v>
      </c>
      <c r="G952" s="11">
        <f t="shared" si="140"/>
        <v>0</v>
      </c>
      <c r="H952" s="11">
        <f t="shared" si="141"/>
        <v>70.2</v>
      </c>
      <c r="I952" s="11">
        <f t="shared" si="142"/>
        <v>0.39</v>
      </c>
      <c r="J952" s="12">
        <f t="shared" si="143"/>
        <v>-70.2</v>
      </c>
      <c r="K952" s="17" t="str">
        <f t="shared" si="148"/>
        <v>Ecart négatif</v>
      </c>
      <c r="L952" s="16">
        <f>base!X952</f>
        <v>50.4</v>
      </c>
      <c r="M952" s="11">
        <f t="shared" si="144"/>
        <v>0.27999999999999997</v>
      </c>
      <c r="N952" s="11">
        <f t="shared" si="145"/>
        <v>50.400000000000006</v>
      </c>
      <c r="O952" s="11">
        <f t="shared" si="146"/>
        <v>0.28000000000000003</v>
      </c>
      <c r="P952" s="12">
        <f t="shared" si="147"/>
        <v>0</v>
      </c>
      <c r="Q952" s="17" t="str">
        <f t="shared" si="149"/>
        <v>Pas d'écart</v>
      </c>
      <c r="R952" s="38"/>
    </row>
    <row r="953" spans="1:18" x14ac:dyDescent="0.3">
      <c r="A953" s="34" t="str">
        <f>base!J953</f>
        <v>LS</v>
      </c>
      <c r="B953" s="34" t="str">
        <f>base!V953</f>
        <v>77127</v>
      </c>
      <c r="C953" s="37">
        <v>77</v>
      </c>
      <c r="D953" s="36">
        <f>base!H953</f>
        <v>55.36</v>
      </c>
      <c r="E953" s="44"/>
      <c r="F953" s="16">
        <f>base!W953</f>
        <v>0</v>
      </c>
      <c r="G953" s="11">
        <f t="shared" si="140"/>
        <v>0</v>
      </c>
      <c r="H953" s="11">
        <f t="shared" si="141"/>
        <v>0</v>
      </c>
      <c r="I953" s="11">
        <f t="shared" si="142"/>
        <v>0</v>
      </c>
      <c r="J953" s="12">
        <f t="shared" si="143"/>
        <v>0</v>
      </c>
      <c r="K953" s="17" t="str">
        <f t="shared" si="148"/>
        <v>Pas d'écart</v>
      </c>
      <c r="L953" s="16">
        <f>base!X953</f>
        <v>0</v>
      </c>
      <c r="M953" s="11">
        <f t="shared" si="144"/>
        <v>0</v>
      </c>
      <c r="N953" s="11">
        <f t="shared" si="145"/>
        <v>0</v>
      </c>
      <c r="O953" s="11">
        <f t="shared" si="146"/>
        <v>0</v>
      </c>
      <c r="P953" s="12">
        <f t="shared" si="147"/>
        <v>0</v>
      </c>
      <c r="Q953" s="17" t="str">
        <f t="shared" si="149"/>
        <v>Pas d'écart</v>
      </c>
    </row>
    <row r="954" spans="1:18" x14ac:dyDescent="0.3">
      <c r="A954" s="34" t="str">
        <f>base!J954</f>
        <v>DRM</v>
      </c>
      <c r="B954" s="34" t="str">
        <f>base!V954</f>
        <v>63100</v>
      </c>
      <c r="C954" s="37">
        <v>63</v>
      </c>
      <c r="D954" s="36">
        <f>base!H954</f>
        <v>160.28</v>
      </c>
      <c r="E954" s="44"/>
      <c r="F954" s="16">
        <f>base!W954</f>
        <v>0</v>
      </c>
      <c r="G954" s="11">
        <f t="shared" si="140"/>
        <v>0</v>
      </c>
      <c r="H954" s="11">
        <f t="shared" si="141"/>
        <v>46.481199999999994</v>
      </c>
      <c r="I954" s="11">
        <f t="shared" si="142"/>
        <v>0.28999999999999998</v>
      </c>
      <c r="J954" s="12">
        <f t="shared" si="143"/>
        <v>-46.481199999999994</v>
      </c>
      <c r="K954" s="17" t="str">
        <f t="shared" si="148"/>
        <v>Ecart négatif</v>
      </c>
      <c r="L954" s="16">
        <f>base!X954</f>
        <v>0</v>
      </c>
      <c r="M954" s="11">
        <f t="shared" si="144"/>
        <v>0</v>
      </c>
      <c r="N954" s="11">
        <f t="shared" si="145"/>
        <v>19.233599999999999</v>
      </c>
      <c r="O954" s="11">
        <f t="shared" si="146"/>
        <v>0.12</v>
      </c>
      <c r="P954" s="12">
        <f t="shared" si="147"/>
        <v>-19.233599999999999</v>
      </c>
      <c r="Q954" s="17" t="str">
        <f t="shared" si="149"/>
        <v>Ecart négatif</v>
      </c>
    </row>
    <row r="955" spans="1:18" x14ac:dyDescent="0.3">
      <c r="A955" s="34">
        <f>base!J955</f>
        <v>0</v>
      </c>
      <c r="B955" s="34" t="str">
        <f>base!V955</f>
        <v>77184</v>
      </c>
      <c r="C955" s="37">
        <v>77</v>
      </c>
      <c r="D955" s="36">
        <f>base!H955</f>
        <v>10</v>
      </c>
      <c r="E955" s="44"/>
      <c r="F955" s="16">
        <f>base!W955</f>
        <v>0</v>
      </c>
      <c r="G955" s="11">
        <f t="shared" si="140"/>
        <v>0</v>
      </c>
      <c r="H955" s="11">
        <f t="shared" si="141"/>
        <v>0</v>
      </c>
      <c r="I955" s="11">
        <f t="shared" si="142"/>
        <v>0</v>
      </c>
      <c r="J955" s="12">
        <f t="shared" si="143"/>
        <v>0</v>
      </c>
      <c r="K955" s="17" t="str">
        <f t="shared" si="148"/>
        <v>Pas d'écart</v>
      </c>
      <c r="L955" s="16">
        <f>base!X955</f>
        <v>0</v>
      </c>
      <c r="M955" s="11">
        <f t="shared" si="144"/>
        <v>0</v>
      </c>
      <c r="N955" s="11">
        <f t="shared" si="145"/>
        <v>0</v>
      </c>
      <c r="O955" s="11">
        <f t="shared" si="146"/>
        <v>0</v>
      </c>
      <c r="P955" s="12">
        <f t="shared" si="147"/>
        <v>0</v>
      </c>
      <c r="Q955" s="17" t="str">
        <f t="shared" si="149"/>
        <v>Pas d'écart</v>
      </c>
    </row>
    <row r="956" spans="1:18" x14ac:dyDescent="0.3">
      <c r="A956" s="34" t="str">
        <f>base!J956</f>
        <v>LS</v>
      </c>
      <c r="B956" s="34" t="str">
        <f>base!V956</f>
        <v>13003</v>
      </c>
      <c r="C956" s="37">
        <v>89</v>
      </c>
      <c r="D956" s="36">
        <f>base!H956</f>
        <v>149.63</v>
      </c>
      <c r="E956" s="44"/>
      <c r="F956" s="16">
        <f>base!W956</f>
        <v>43.39</v>
      </c>
      <c r="G956" s="11">
        <f t="shared" si="140"/>
        <v>0.28998195549020922</v>
      </c>
      <c r="H956" s="11">
        <f t="shared" si="141"/>
        <v>34.414900000000003</v>
      </c>
      <c r="I956" s="11">
        <f t="shared" si="142"/>
        <v>0.23000000000000004</v>
      </c>
      <c r="J956" s="12">
        <f t="shared" si="143"/>
        <v>8.9750999999999976</v>
      </c>
      <c r="K956" s="17" t="str">
        <f t="shared" si="148"/>
        <v>Ecart positif</v>
      </c>
      <c r="L956" s="16">
        <f>base!X956</f>
        <v>0</v>
      </c>
      <c r="M956" s="11">
        <f t="shared" si="144"/>
        <v>0</v>
      </c>
      <c r="N956" s="11">
        <f t="shared" si="145"/>
        <v>17.9556</v>
      </c>
      <c r="O956" s="11">
        <f t="shared" si="146"/>
        <v>0.12000000000000001</v>
      </c>
      <c r="P956" s="12">
        <f t="shared" si="147"/>
        <v>-17.9556</v>
      </c>
      <c r="Q956" s="17" t="str">
        <f t="shared" si="149"/>
        <v>Ecart négatif</v>
      </c>
    </row>
    <row r="957" spans="1:18" x14ac:dyDescent="0.3">
      <c r="A957" s="34" t="str">
        <f>base!J957</f>
        <v>RM</v>
      </c>
      <c r="B957" s="34" t="str">
        <f>base!V957</f>
        <v>13115</v>
      </c>
      <c r="C957" s="37">
        <v>13</v>
      </c>
      <c r="D957" s="36">
        <f>base!H957</f>
        <v>137.05000000000001</v>
      </c>
      <c r="E957" s="44"/>
      <c r="F957" s="16">
        <f>base!W957</f>
        <v>0</v>
      </c>
      <c r="G957" s="11">
        <f t="shared" si="140"/>
        <v>0</v>
      </c>
      <c r="H957" s="11">
        <f t="shared" si="141"/>
        <v>39.744500000000002</v>
      </c>
      <c r="I957" s="11">
        <f t="shared" si="142"/>
        <v>0.28999999999999998</v>
      </c>
      <c r="J957" s="12">
        <f t="shared" si="143"/>
        <v>-39.744500000000002</v>
      </c>
      <c r="K957" s="17" t="str">
        <f t="shared" si="148"/>
        <v>Ecart négatif</v>
      </c>
      <c r="L957" s="16">
        <f>base!X957</f>
        <v>26.04</v>
      </c>
      <c r="M957" s="11">
        <f t="shared" si="144"/>
        <v>0.19000364830353883</v>
      </c>
      <c r="N957" s="11">
        <f t="shared" si="145"/>
        <v>26.039500000000004</v>
      </c>
      <c r="O957" s="11">
        <f t="shared" si="146"/>
        <v>0.19</v>
      </c>
      <c r="P957" s="12">
        <f t="shared" si="147"/>
        <v>4.99999999995282E-4</v>
      </c>
      <c r="Q957" s="17" t="str">
        <f t="shared" si="149"/>
        <v>Ecart positif</v>
      </c>
      <c r="R957" s="38"/>
    </row>
    <row r="958" spans="1:18" x14ac:dyDescent="0.3">
      <c r="A958" s="34" t="str">
        <f>base!J958</f>
        <v>RS</v>
      </c>
      <c r="B958" s="34" t="str">
        <f>base!V958</f>
        <v>75004</v>
      </c>
      <c r="C958" s="37">
        <v>75</v>
      </c>
      <c r="D958" s="36">
        <f>base!H958</f>
        <v>140</v>
      </c>
      <c r="E958" s="44"/>
      <c r="F958" s="16">
        <f>base!W958</f>
        <v>0</v>
      </c>
      <c r="G958" s="11">
        <f t="shared" si="140"/>
        <v>0</v>
      </c>
      <c r="H958" s="11">
        <f t="shared" si="141"/>
        <v>0</v>
      </c>
      <c r="I958" s="11">
        <f t="shared" si="142"/>
        <v>0</v>
      </c>
      <c r="J958" s="12">
        <f t="shared" si="143"/>
        <v>0</v>
      </c>
      <c r="K958" s="17" t="str">
        <f t="shared" si="148"/>
        <v>Pas d'écart</v>
      </c>
      <c r="L958" s="16">
        <f>base!X958</f>
        <v>0</v>
      </c>
      <c r="M958" s="11">
        <f t="shared" si="144"/>
        <v>0</v>
      </c>
      <c r="N958" s="11">
        <f t="shared" si="145"/>
        <v>0</v>
      </c>
      <c r="O958" s="11">
        <f t="shared" si="146"/>
        <v>0</v>
      </c>
      <c r="P958" s="12">
        <f t="shared" si="147"/>
        <v>0</v>
      </c>
      <c r="Q958" s="17" t="str">
        <f t="shared" si="149"/>
        <v>Pas d'écart</v>
      </c>
    </row>
    <row r="959" spans="1:18" x14ac:dyDescent="0.3">
      <c r="A959" s="34" t="str">
        <f>base!J959</f>
        <v>LM</v>
      </c>
      <c r="B959" s="34" t="str">
        <f>base!V959</f>
        <v>69002</v>
      </c>
      <c r="C959" s="37">
        <v>69</v>
      </c>
      <c r="D959" s="36">
        <f>base!H959</f>
        <v>40</v>
      </c>
      <c r="E959" s="44"/>
      <c r="F959" s="16">
        <f>base!W959</f>
        <v>10.8</v>
      </c>
      <c r="G959" s="11">
        <f t="shared" si="140"/>
        <v>0.27</v>
      </c>
      <c r="H959" s="11">
        <f t="shared" si="141"/>
        <v>10.8</v>
      </c>
      <c r="I959" s="11">
        <f t="shared" si="142"/>
        <v>0.27</v>
      </c>
      <c r="J959" s="12">
        <f t="shared" si="143"/>
        <v>0</v>
      </c>
      <c r="K959" s="17" t="str">
        <f t="shared" si="148"/>
        <v>Pas d'écart</v>
      </c>
      <c r="L959" s="16">
        <f>base!X959</f>
        <v>0</v>
      </c>
      <c r="M959" s="11">
        <f t="shared" si="144"/>
        <v>0</v>
      </c>
      <c r="N959" s="11">
        <f t="shared" si="145"/>
        <v>0</v>
      </c>
      <c r="O959" s="11">
        <f t="shared" si="146"/>
        <v>0</v>
      </c>
      <c r="P959" s="12">
        <f t="shared" si="147"/>
        <v>0</v>
      </c>
      <c r="Q959" s="17" t="str">
        <f t="shared" si="149"/>
        <v>Pas d'écart</v>
      </c>
    </row>
    <row r="960" spans="1:18" x14ac:dyDescent="0.3">
      <c r="A960" s="34" t="str">
        <f>base!J960</f>
        <v>LM</v>
      </c>
      <c r="B960" s="34" t="str">
        <f>base!V960</f>
        <v>06730</v>
      </c>
      <c r="C960" s="37">
        <v>6</v>
      </c>
      <c r="D960" s="36">
        <f>base!H960</f>
        <v>40</v>
      </c>
      <c r="E960" s="44"/>
      <c r="F960" s="16">
        <f>base!W960</f>
        <v>12</v>
      </c>
      <c r="G960" s="11">
        <f t="shared" si="140"/>
        <v>0.3</v>
      </c>
      <c r="H960" s="11">
        <f t="shared" si="141"/>
        <v>12</v>
      </c>
      <c r="I960" s="11">
        <f t="shared" si="142"/>
        <v>0.3</v>
      </c>
      <c r="J960" s="12">
        <f t="shared" si="143"/>
        <v>0</v>
      </c>
      <c r="K960" s="17" t="str">
        <f t="shared" si="148"/>
        <v>Pas d'écart</v>
      </c>
      <c r="L960" s="16">
        <f>base!X960</f>
        <v>0</v>
      </c>
      <c r="M960" s="11">
        <f t="shared" si="144"/>
        <v>0</v>
      </c>
      <c r="N960" s="11">
        <f t="shared" si="145"/>
        <v>8.4</v>
      </c>
      <c r="O960" s="11">
        <f t="shared" si="146"/>
        <v>0.21000000000000002</v>
      </c>
      <c r="P960" s="12">
        <f t="shared" si="147"/>
        <v>-8.4</v>
      </c>
      <c r="Q960" s="17" t="str">
        <f t="shared" si="149"/>
        <v>Ecart négatif</v>
      </c>
    </row>
    <row r="961" spans="1:18" x14ac:dyDescent="0.3">
      <c r="A961" s="34" t="str">
        <f>base!J961</f>
        <v>RM</v>
      </c>
      <c r="B961" s="34" t="str">
        <f>base!V961</f>
        <v>56400</v>
      </c>
      <c r="C961" s="37">
        <v>56</v>
      </c>
      <c r="D961" s="36">
        <f>base!H961</f>
        <v>140</v>
      </c>
      <c r="E961" s="44"/>
      <c r="F961" s="16">
        <f>base!W961</f>
        <v>0</v>
      </c>
      <c r="G961" s="11">
        <f t="shared" si="140"/>
        <v>0</v>
      </c>
      <c r="H961" s="11">
        <f t="shared" si="141"/>
        <v>37.800000000000004</v>
      </c>
      <c r="I961" s="11">
        <f t="shared" si="142"/>
        <v>0.27</v>
      </c>
      <c r="J961" s="12">
        <f t="shared" si="143"/>
        <v>-37.800000000000004</v>
      </c>
      <c r="K961" s="17" t="str">
        <f t="shared" si="148"/>
        <v>Ecart négatif</v>
      </c>
      <c r="L961" s="16">
        <f>base!X961</f>
        <v>0</v>
      </c>
      <c r="M961" s="11">
        <f t="shared" si="144"/>
        <v>0</v>
      </c>
      <c r="N961" s="11">
        <f t="shared" si="145"/>
        <v>0</v>
      </c>
      <c r="O961" s="11">
        <f t="shared" si="146"/>
        <v>0</v>
      </c>
      <c r="P961" s="12">
        <f t="shared" si="147"/>
        <v>0</v>
      </c>
      <c r="Q961" s="17" t="str">
        <f t="shared" si="149"/>
        <v>Pas d'écart</v>
      </c>
    </row>
    <row r="962" spans="1:18" x14ac:dyDescent="0.3">
      <c r="A962" s="34" t="str">
        <f>base!J962</f>
        <v>RM</v>
      </c>
      <c r="B962" s="34" t="str">
        <f>base!V962</f>
        <v>56520</v>
      </c>
      <c r="C962" s="37">
        <v>56</v>
      </c>
      <c r="D962" s="36">
        <f>base!H962</f>
        <v>173.44</v>
      </c>
      <c r="E962" s="44"/>
      <c r="F962" s="16">
        <f>base!W962</f>
        <v>0</v>
      </c>
      <c r="G962" s="11">
        <f t="shared" ref="G962:G1025" si="150">F962/D962</f>
        <v>0</v>
      </c>
      <c r="H962" s="11">
        <f t="shared" ref="H962:H1025" si="151">VLOOKUP(C962,tout_cout_traction,2,FALSE)*D962</f>
        <v>46.828800000000001</v>
      </c>
      <c r="I962" s="11">
        <f t="shared" ref="I962:I1025" si="152">H962/D962</f>
        <v>0.27</v>
      </c>
      <c r="J962" s="12">
        <f t="shared" ref="J962:J1025" si="153">F962-H962</f>
        <v>-46.828800000000001</v>
      </c>
      <c r="K962" s="17" t="str">
        <f t="shared" si="148"/>
        <v>Ecart négatif</v>
      </c>
      <c r="L962" s="16">
        <f>base!X962</f>
        <v>0</v>
      </c>
      <c r="M962" s="11">
        <f t="shared" ref="M962:M1025" si="154">L962/D962</f>
        <v>0</v>
      </c>
      <c r="N962" s="11">
        <f t="shared" ref="N962:N1025" si="155">VLOOKUP(C962,tout_cout_traction,3,FALSE)*D962</f>
        <v>0</v>
      </c>
      <c r="O962" s="11">
        <f t="shared" ref="O962:O1025" si="156">N962/D962</f>
        <v>0</v>
      </c>
      <c r="P962" s="12">
        <f t="shared" ref="P962:P1025" si="157">L962-N962</f>
        <v>0</v>
      </c>
      <c r="Q962" s="17" t="str">
        <f t="shared" si="149"/>
        <v>Pas d'écart</v>
      </c>
    </row>
    <row r="963" spans="1:18" x14ac:dyDescent="0.3">
      <c r="A963" s="34" t="str">
        <f>base!J963</f>
        <v>LS</v>
      </c>
      <c r="B963" s="34" t="str">
        <f>base!V963</f>
        <v>35400</v>
      </c>
      <c r="C963" s="37">
        <v>76</v>
      </c>
      <c r="D963" s="36">
        <f>base!H963</f>
        <v>385.62</v>
      </c>
      <c r="E963" s="44"/>
      <c r="F963" s="16">
        <f>base!W963</f>
        <v>104.12</v>
      </c>
      <c r="G963" s="11">
        <f t="shared" si="150"/>
        <v>0.27000674238888023</v>
      </c>
      <c r="H963" s="11">
        <f t="shared" si="151"/>
        <v>65.555400000000006</v>
      </c>
      <c r="I963" s="11">
        <f t="shared" si="152"/>
        <v>0.17</v>
      </c>
      <c r="J963" s="12">
        <f t="shared" si="153"/>
        <v>38.564599999999999</v>
      </c>
      <c r="K963" s="17" t="str">
        <f t="shared" ref="K963:K1026" si="158">IF(H963=F963,"Pas d'écart",IF(H963&lt;F963,"Ecart positif",IF(H963&gt;F963,"Ecart négatif")))</f>
        <v>Ecart positif</v>
      </c>
      <c r="L963" s="16">
        <f>base!X963</f>
        <v>0</v>
      </c>
      <c r="M963" s="11">
        <f t="shared" si="154"/>
        <v>0</v>
      </c>
      <c r="N963" s="11">
        <f t="shared" si="155"/>
        <v>65.555400000000006</v>
      </c>
      <c r="O963" s="11">
        <f t="shared" si="156"/>
        <v>0.17</v>
      </c>
      <c r="P963" s="12">
        <f t="shared" si="157"/>
        <v>-65.555400000000006</v>
      </c>
      <c r="Q963" s="17" t="str">
        <f t="shared" ref="Q963:Q1026" si="159">IF(N963=L963,"Pas d'écart",IF(N963&lt;L963,"Ecart positif",IF(N963&gt;L963,"Ecart négatif")))</f>
        <v>Ecart négatif</v>
      </c>
    </row>
    <row r="964" spans="1:18" x14ac:dyDescent="0.3">
      <c r="A964" s="34" t="str">
        <f>base!J964</f>
        <v>LM</v>
      </c>
      <c r="B964" s="34" t="str">
        <f>base!V964</f>
        <v>21160</v>
      </c>
      <c r="C964" s="37">
        <v>50</v>
      </c>
      <c r="D964" s="36">
        <f>base!H964</f>
        <v>20.23</v>
      </c>
      <c r="E964" s="44"/>
      <c r="F964" s="16">
        <f>base!W964</f>
        <v>4.8600000000000003</v>
      </c>
      <c r="G964" s="11">
        <f t="shared" si="150"/>
        <v>0.24023727137913989</v>
      </c>
      <c r="H964" s="11">
        <f t="shared" si="151"/>
        <v>3.4391000000000003</v>
      </c>
      <c r="I964" s="11">
        <f t="shared" si="152"/>
        <v>0.17</v>
      </c>
      <c r="J964" s="12">
        <f t="shared" si="153"/>
        <v>1.4209000000000001</v>
      </c>
      <c r="K964" s="17" t="str">
        <f t="shared" si="158"/>
        <v>Ecart positif</v>
      </c>
      <c r="L964" s="16">
        <f>base!X964</f>
        <v>0</v>
      </c>
      <c r="M964" s="11">
        <f t="shared" si="154"/>
        <v>0</v>
      </c>
      <c r="N964" s="11">
        <f t="shared" si="155"/>
        <v>3.4391000000000003</v>
      </c>
      <c r="O964" s="11">
        <f t="shared" si="156"/>
        <v>0.17</v>
      </c>
      <c r="P964" s="12">
        <f t="shared" si="157"/>
        <v>-3.4391000000000003</v>
      </c>
      <c r="Q964" s="17" t="str">
        <f t="shared" si="159"/>
        <v>Ecart négatif</v>
      </c>
    </row>
    <row r="965" spans="1:18" x14ac:dyDescent="0.3">
      <c r="A965" s="34" t="str">
        <f>base!J965</f>
        <v>LM</v>
      </c>
      <c r="B965" s="34" t="str">
        <f>base!V965</f>
        <v>69290</v>
      </c>
      <c r="C965" s="37">
        <v>76</v>
      </c>
      <c r="D965" s="36">
        <f>base!H965</f>
        <v>158.59</v>
      </c>
      <c r="E965" s="44"/>
      <c r="F965" s="16">
        <f>base!W965</f>
        <v>42.82</v>
      </c>
      <c r="G965" s="11">
        <f t="shared" si="150"/>
        <v>0.27000441389747148</v>
      </c>
      <c r="H965" s="11">
        <f t="shared" si="151"/>
        <v>26.960300000000004</v>
      </c>
      <c r="I965" s="11">
        <f t="shared" si="152"/>
        <v>0.17</v>
      </c>
      <c r="J965" s="12">
        <f t="shared" si="153"/>
        <v>15.859699999999997</v>
      </c>
      <c r="K965" s="17" t="str">
        <f t="shared" si="158"/>
        <v>Ecart positif</v>
      </c>
      <c r="L965" s="16">
        <f>base!X965</f>
        <v>0</v>
      </c>
      <c r="M965" s="11">
        <f t="shared" si="154"/>
        <v>0</v>
      </c>
      <c r="N965" s="11">
        <f t="shared" si="155"/>
        <v>26.960300000000004</v>
      </c>
      <c r="O965" s="11">
        <f t="shared" si="156"/>
        <v>0.17</v>
      </c>
      <c r="P965" s="12">
        <f t="shared" si="157"/>
        <v>-26.960300000000004</v>
      </c>
      <c r="Q965" s="17" t="str">
        <f t="shared" si="159"/>
        <v>Ecart négatif</v>
      </c>
    </row>
    <row r="966" spans="1:18" x14ac:dyDescent="0.3">
      <c r="A966" s="34" t="str">
        <f>base!J966</f>
        <v>LM</v>
      </c>
      <c r="B966" s="34" t="str">
        <f>base!V966</f>
        <v>56920</v>
      </c>
      <c r="C966" s="37">
        <v>50</v>
      </c>
      <c r="D966" s="36">
        <f>base!H966</f>
        <v>49.08</v>
      </c>
      <c r="E966" s="44"/>
      <c r="F966" s="16">
        <f>base!W966</f>
        <v>13.25</v>
      </c>
      <c r="G966" s="11">
        <f t="shared" si="150"/>
        <v>0.26996740016299919</v>
      </c>
      <c r="H966" s="11">
        <f t="shared" si="151"/>
        <v>8.3436000000000003</v>
      </c>
      <c r="I966" s="11">
        <f t="shared" si="152"/>
        <v>0.17</v>
      </c>
      <c r="J966" s="12">
        <f t="shared" si="153"/>
        <v>4.9063999999999997</v>
      </c>
      <c r="K966" s="17" t="str">
        <f t="shared" si="158"/>
        <v>Ecart positif</v>
      </c>
      <c r="L966" s="16">
        <f>base!X966</f>
        <v>0</v>
      </c>
      <c r="M966" s="11">
        <f t="shared" si="154"/>
        <v>0</v>
      </c>
      <c r="N966" s="11">
        <f t="shared" si="155"/>
        <v>8.3436000000000003</v>
      </c>
      <c r="O966" s="11">
        <f t="shared" si="156"/>
        <v>0.17</v>
      </c>
      <c r="P966" s="12">
        <f t="shared" si="157"/>
        <v>-8.3436000000000003</v>
      </c>
      <c r="Q966" s="17" t="str">
        <f t="shared" si="159"/>
        <v>Ecart négatif</v>
      </c>
    </row>
    <row r="967" spans="1:18" x14ac:dyDescent="0.3">
      <c r="A967" s="34" t="str">
        <f>base!J967</f>
        <v>LS</v>
      </c>
      <c r="B967" s="34" t="str">
        <f>base!V967</f>
        <v>63590</v>
      </c>
      <c r="C967" s="37">
        <v>21</v>
      </c>
      <c r="D967" s="36">
        <f>base!H967</f>
        <v>141.65</v>
      </c>
      <c r="E967" s="44"/>
      <c r="F967" s="16">
        <f>base!W967</f>
        <v>41.08</v>
      </c>
      <c r="G967" s="11">
        <f t="shared" si="150"/>
        <v>0.29001058948111541</v>
      </c>
      <c r="H967" s="11">
        <f t="shared" si="151"/>
        <v>33.996000000000002</v>
      </c>
      <c r="I967" s="11">
        <f t="shared" si="152"/>
        <v>0.24000000000000002</v>
      </c>
      <c r="J967" s="12">
        <f t="shared" si="153"/>
        <v>7.0839999999999961</v>
      </c>
      <c r="K967" s="17" t="str">
        <f t="shared" si="158"/>
        <v>Ecart positif</v>
      </c>
      <c r="L967" s="16">
        <f>base!X967</f>
        <v>0</v>
      </c>
      <c r="M967" s="11">
        <f t="shared" si="154"/>
        <v>0</v>
      </c>
      <c r="N967" s="11">
        <f t="shared" si="155"/>
        <v>16.998000000000001</v>
      </c>
      <c r="O967" s="11">
        <f t="shared" si="156"/>
        <v>0.12000000000000001</v>
      </c>
      <c r="P967" s="12">
        <f t="shared" si="157"/>
        <v>-16.998000000000001</v>
      </c>
      <c r="Q967" s="17" t="str">
        <f t="shared" si="159"/>
        <v>Ecart négatif</v>
      </c>
    </row>
    <row r="968" spans="1:18" x14ac:dyDescent="0.3">
      <c r="A968" s="34" t="str">
        <f>base!J968</f>
        <v>RS</v>
      </c>
      <c r="B968" s="34" t="str">
        <f>base!V968</f>
        <v>30210</v>
      </c>
      <c r="C968" s="37">
        <v>30</v>
      </c>
      <c r="D968" s="36">
        <f>base!H968</f>
        <v>104.2</v>
      </c>
      <c r="E968" s="44"/>
      <c r="F968" s="16">
        <f>base!W968</f>
        <v>0</v>
      </c>
      <c r="G968" s="11">
        <f t="shared" si="150"/>
        <v>0</v>
      </c>
      <c r="H968" s="11">
        <f t="shared" si="151"/>
        <v>40.638000000000005</v>
      </c>
      <c r="I968" s="11">
        <f t="shared" si="152"/>
        <v>0.39</v>
      </c>
      <c r="J968" s="12">
        <f t="shared" si="153"/>
        <v>-40.638000000000005</v>
      </c>
      <c r="K968" s="17" t="str">
        <f t="shared" si="158"/>
        <v>Ecart négatif</v>
      </c>
      <c r="L968" s="16">
        <f>base!X968</f>
        <v>29.18</v>
      </c>
      <c r="M968" s="11">
        <f t="shared" si="154"/>
        <v>0.28003838771593087</v>
      </c>
      <c r="N968" s="11">
        <f t="shared" si="155"/>
        <v>29.176000000000002</v>
      </c>
      <c r="O968" s="11">
        <f t="shared" si="156"/>
        <v>0.28000000000000003</v>
      </c>
      <c r="P968" s="12">
        <f t="shared" si="157"/>
        <v>3.9999999999977831E-3</v>
      </c>
      <c r="Q968" s="17" t="str">
        <f t="shared" si="159"/>
        <v>Ecart positif</v>
      </c>
      <c r="R968" s="38"/>
    </row>
    <row r="969" spans="1:18" x14ac:dyDescent="0.3">
      <c r="A969" s="34" t="str">
        <f>base!J969</f>
        <v>RS</v>
      </c>
      <c r="B969" s="34" t="str">
        <f>base!V969</f>
        <v>14200</v>
      </c>
      <c r="C969" s="37">
        <v>14</v>
      </c>
      <c r="D969" s="36">
        <f>base!H969</f>
        <v>180</v>
      </c>
      <c r="E969" s="44"/>
      <c r="F969" s="16">
        <f>base!W969</f>
        <v>0</v>
      </c>
      <c r="G969" s="11">
        <f t="shared" si="150"/>
        <v>0</v>
      </c>
      <c r="H969" s="11">
        <f t="shared" si="151"/>
        <v>30.6</v>
      </c>
      <c r="I969" s="11">
        <f t="shared" si="152"/>
        <v>0.17</v>
      </c>
      <c r="J969" s="12">
        <f t="shared" si="153"/>
        <v>-30.6</v>
      </c>
      <c r="K969" s="17" t="str">
        <f t="shared" si="158"/>
        <v>Ecart négatif</v>
      </c>
      <c r="L969" s="16">
        <f>base!X969</f>
        <v>30.6</v>
      </c>
      <c r="M969" s="11">
        <f t="shared" si="154"/>
        <v>0.17</v>
      </c>
      <c r="N969" s="11">
        <f t="shared" si="155"/>
        <v>30.6</v>
      </c>
      <c r="O969" s="11">
        <f t="shared" si="156"/>
        <v>0.17</v>
      </c>
      <c r="P969" s="12">
        <f t="shared" si="157"/>
        <v>0</v>
      </c>
      <c r="Q969" s="17" t="str">
        <f t="shared" si="159"/>
        <v>Pas d'écart</v>
      </c>
    </row>
    <row r="970" spans="1:18" x14ac:dyDescent="0.3">
      <c r="A970" s="34" t="str">
        <f>base!J970</f>
        <v>RM</v>
      </c>
      <c r="B970" s="34" t="str">
        <f>base!V970</f>
        <v>68390</v>
      </c>
      <c r="C970" s="37">
        <v>68</v>
      </c>
      <c r="D970" s="36">
        <f>base!H970</f>
        <v>201.98</v>
      </c>
      <c r="E970" s="44"/>
      <c r="F970" s="16">
        <f>base!W970</f>
        <v>0</v>
      </c>
      <c r="G970" s="11">
        <f t="shared" si="150"/>
        <v>0</v>
      </c>
      <c r="H970" s="11">
        <f t="shared" si="151"/>
        <v>58.57419999999999</v>
      </c>
      <c r="I970" s="11">
        <f t="shared" si="152"/>
        <v>0.28999999999999998</v>
      </c>
      <c r="J970" s="12">
        <f t="shared" si="153"/>
        <v>-58.57419999999999</v>
      </c>
      <c r="K970" s="17" t="str">
        <f t="shared" si="158"/>
        <v>Ecart négatif</v>
      </c>
      <c r="L970" s="16">
        <f>base!X970</f>
        <v>16.16</v>
      </c>
      <c r="M970" s="11">
        <f t="shared" si="154"/>
        <v>8.0007921576393706E-2</v>
      </c>
      <c r="N970" s="11">
        <f t="shared" si="155"/>
        <v>16.1584</v>
      </c>
      <c r="O970" s="11">
        <f t="shared" si="156"/>
        <v>0.08</v>
      </c>
      <c r="P970" s="12">
        <f t="shared" si="157"/>
        <v>1.5999999999998238E-3</v>
      </c>
      <c r="Q970" s="17" t="str">
        <f t="shared" si="159"/>
        <v>Ecart positif</v>
      </c>
      <c r="R970" s="38"/>
    </row>
    <row r="971" spans="1:18" x14ac:dyDescent="0.3">
      <c r="A971" s="34" t="str">
        <f>base!J971</f>
        <v>RM</v>
      </c>
      <c r="B971" s="34" t="str">
        <f>base!V971</f>
        <v>75013</v>
      </c>
      <c r="C971" s="37">
        <v>75</v>
      </c>
      <c r="D971" s="36">
        <f>base!H971</f>
        <v>151</v>
      </c>
      <c r="E971" s="44"/>
      <c r="F971" s="16">
        <f>base!W971</f>
        <v>0</v>
      </c>
      <c r="G971" s="11">
        <f t="shared" si="150"/>
        <v>0</v>
      </c>
      <c r="H971" s="11">
        <f t="shared" si="151"/>
        <v>0</v>
      </c>
      <c r="I971" s="11">
        <f t="shared" si="152"/>
        <v>0</v>
      </c>
      <c r="J971" s="12">
        <f t="shared" si="153"/>
        <v>0</v>
      </c>
      <c r="K971" s="17" t="str">
        <f t="shared" si="158"/>
        <v>Pas d'écart</v>
      </c>
      <c r="L971" s="16">
        <f>base!X971</f>
        <v>0</v>
      </c>
      <c r="M971" s="11">
        <f t="shared" si="154"/>
        <v>0</v>
      </c>
      <c r="N971" s="11">
        <f t="shared" si="155"/>
        <v>0</v>
      </c>
      <c r="O971" s="11">
        <f t="shared" si="156"/>
        <v>0</v>
      </c>
      <c r="P971" s="12">
        <f t="shared" si="157"/>
        <v>0</v>
      </c>
      <c r="Q971" s="17" t="str">
        <f t="shared" si="159"/>
        <v>Pas d'écart</v>
      </c>
    </row>
    <row r="972" spans="1:18" x14ac:dyDescent="0.3">
      <c r="A972" s="34" t="str">
        <f>base!J972</f>
        <v>LM</v>
      </c>
      <c r="B972" s="34" t="str">
        <f>base!V972</f>
        <v>68520</v>
      </c>
      <c r="C972" s="37">
        <v>68</v>
      </c>
      <c r="D972" s="36">
        <f>base!H972</f>
        <v>40</v>
      </c>
      <c r="E972" s="44"/>
      <c r="F972" s="16">
        <f>base!W972</f>
        <v>11.6</v>
      </c>
      <c r="G972" s="11">
        <f t="shared" si="150"/>
        <v>0.28999999999999998</v>
      </c>
      <c r="H972" s="11">
        <f t="shared" si="151"/>
        <v>11.6</v>
      </c>
      <c r="I972" s="11">
        <f t="shared" si="152"/>
        <v>0.28999999999999998</v>
      </c>
      <c r="J972" s="12">
        <f t="shared" si="153"/>
        <v>0</v>
      </c>
      <c r="K972" s="17" t="str">
        <f t="shared" si="158"/>
        <v>Pas d'écart</v>
      </c>
      <c r="L972" s="16">
        <f>base!X972</f>
        <v>0</v>
      </c>
      <c r="M972" s="11">
        <f t="shared" si="154"/>
        <v>0</v>
      </c>
      <c r="N972" s="11">
        <f t="shared" si="155"/>
        <v>3.2</v>
      </c>
      <c r="O972" s="11">
        <f t="shared" si="156"/>
        <v>0.08</v>
      </c>
      <c r="P972" s="12">
        <f t="shared" si="157"/>
        <v>-3.2</v>
      </c>
      <c r="Q972" s="17" t="str">
        <f t="shared" si="159"/>
        <v>Ecart négatif</v>
      </c>
    </row>
    <row r="973" spans="1:18" x14ac:dyDescent="0.3">
      <c r="A973" s="34">
        <f>base!J973</f>
        <v>0</v>
      </c>
      <c r="B973" s="34" t="str">
        <f>base!V973</f>
        <v>77184</v>
      </c>
      <c r="C973" s="37">
        <v>77</v>
      </c>
      <c r="D973" s="36">
        <f>base!H973</f>
        <v>84.5</v>
      </c>
      <c r="E973" s="44"/>
      <c r="F973" s="16">
        <f>base!W973</f>
        <v>0</v>
      </c>
      <c r="G973" s="11">
        <f t="shared" si="150"/>
        <v>0</v>
      </c>
      <c r="H973" s="11">
        <f t="shared" si="151"/>
        <v>0</v>
      </c>
      <c r="I973" s="11">
        <f t="shared" si="152"/>
        <v>0</v>
      </c>
      <c r="J973" s="12">
        <f t="shared" si="153"/>
        <v>0</v>
      </c>
      <c r="K973" s="17" t="str">
        <f t="shared" si="158"/>
        <v>Pas d'écart</v>
      </c>
      <c r="L973" s="16">
        <f>base!X973</f>
        <v>0</v>
      </c>
      <c r="M973" s="11">
        <f t="shared" si="154"/>
        <v>0</v>
      </c>
      <c r="N973" s="11">
        <f t="shared" si="155"/>
        <v>0</v>
      </c>
      <c r="O973" s="11">
        <f t="shared" si="156"/>
        <v>0</v>
      </c>
      <c r="P973" s="12">
        <f t="shared" si="157"/>
        <v>0</v>
      </c>
      <c r="Q973" s="17" t="str">
        <f t="shared" si="159"/>
        <v>Pas d'écart</v>
      </c>
    </row>
    <row r="974" spans="1:18" x14ac:dyDescent="0.3">
      <c r="A974" s="34">
        <f>base!J974</f>
        <v>0</v>
      </c>
      <c r="B974" s="34" t="str">
        <f>base!V974</f>
        <v>77184</v>
      </c>
      <c r="C974" s="37">
        <v>77</v>
      </c>
      <c r="D974" s="36">
        <f>base!H974</f>
        <v>84.5</v>
      </c>
      <c r="E974" s="44"/>
      <c r="F974" s="16">
        <f>base!W974</f>
        <v>0</v>
      </c>
      <c r="G974" s="11">
        <f t="shared" si="150"/>
        <v>0</v>
      </c>
      <c r="H974" s="11">
        <f t="shared" si="151"/>
        <v>0</v>
      </c>
      <c r="I974" s="11">
        <f t="shared" si="152"/>
        <v>0</v>
      </c>
      <c r="J974" s="12">
        <f t="shared" si="153"/>
        <v>0</v>
      </c>
      <c r="K974" s="17" t="str">
        <f t="shared" si="158"/>
        <v>Pas d'écart</v>
      </c>
      <c r="L974" s="16">
        <f>base!X974</f>
        <v>0</v>
      </c>
      <c r="M974" s="11">
        <f t="shared" si="154"/>
        <v>0</v>
      </c>
      <c r="N974" s="11">
        <f t="shared" si="155"/>
        <v>0</v>
      </c>
      <c r="O974" s="11">
        <f t="shared" si="156"/>
        <v>0</v>
      </c>
      <c r="P974" s="12">
        <f t="shared" si="157"/>
        <v>0</v>
      </c>
      <c r="Q974" s="17" t="str">
        <f t="shared" si="159"/>
        <v>Pas d'écart</v>
      </c>
    </row>
    <row r="975" spans="1:18" x14ac:dyDescent="0.3">
      <c r="A975" s="34">
        <f>base!J975</f>
        <v>0</v>
      </c>
      <c r="B975" s="34" t="str">
        <f>base!V975</f>
        <v>77184</v>
      </c>
      <c r="C975" s="37">
        <v>77</v>
      </c>
      <c r="D975" s="36">
        <f>base!H975</f>
        <v>84.5</v>
      </c>
      <c r="E975" s="44"/>
      <c r="F975" s="16">
        <f>base!W975</f>
        <v>0</v>
      </c>
      <c r="G975" s="11">
        <f t="shared" si="150"/>
        <v>0</v>
      </c>
      <c r="H975" s="11">
        <f t="shared" si="151"/>
        <v>0</v>
      </c>
      <c r="I975" s="11">
        <f t="shared" si="152"/>
        <v>0</v>
      </c>
      <c r="J975" s="12">
        <f t="shared" si="153"/>
        <v>0</v>
      </c>
      <c r="K975" s="17" t="str">
        <f t="shared" si="158"/>
        <v>Pas d'écart</v>
      </c>
      <c r="L975" s="16">
        <f>base!X975</f>
        <v>0</v>
      </c>
      <c r="M975" s="11">
        <f t="shared" si="154"/>
        <v>0</v>
      </c>
      <c r="N975" s="11">
        <f t="shared" si="155"/>
        <v>0</v>
      </c>
      <c r="O975" s="11">
        <f t="shared" si="156"/>
        <v>0</v>
      </c>
      <c r="P975" s="12">
        <f t="shared" si="157"/>
        <v>0</v>
      </c>
      <c r="Q975" s="17" t="str">
        <f t="shared" si="159"/>
        <v>Pas d'écart</v>
      </c>
    </row>
    <row r="976" spans="1:18" x14ac:dyDescent="0.3">
      <c r="A976" s="34">
        <f>base!J976</f>
        <v>0</v>
      </c>
      <c r="B976" s="34" t="str">
        <f>base!V976</f>
        <v>77184</v>
      </c>
      <c r="C976" s="37">
        <v>77</v>
      </c>
      <c r="D976" s="36">
        <f>base!H976</f>
        <v>84.5</v>
      </c>
      <c r="E976" s="44"/>
      <c r="F976" s="16">
        <f>base!W976</f>
        <v>0</v>
      </c>
      <c r="G976" s="11">
        <f t="shared" si="150"/>
        <v>0</v>
      </c>
      <c r="H976" s="11">
        <f t="shared" si="151"/>
        <v>0</v>
      </c>
      <c r="I976" s="11">
        <f t="shared" si="152"/>
        <v>0</v>
      </c>
      <c r="J976" s="12">
        <f t="shared" si="153"/>
        <v>0</v>
      </c>
      <c r="K976" s="17" t="str">
        <f t="shared" si="158"/>
        <v>Pas d'écart</v>
      </c>
      <c r="L976" s="16">
        <f>base!X976</f>
        <v>0</v>
      </c>
      <c r="M976" s="11">
        <f t="shared" si="154"/>
        <v>0</v>
      </c>
      <c r="N976" s="11">
        <f t="shared" si="155"/>
        <v>0</v>
      </c>
      <c r="O976" s="11">
        <f t="shared" si="156"/>
        <v>0</v>
      </c>
      <c r="P976" s="12">
        <f t="shared" si="157"/>
        <v>0</v>
      </c>
      <c r="Q976" s="17" t="str">
        <f t="shared" si="159"/>
        <v>Pas d'écart</v>
      </c>
    </row>
    <row r="977" spans="1:18" x14ac:dyDescent="0.3">
      <c r="A977" s="34" t="str">
        <f>base!J977</f>
        <v>RM</v>
      </c>
      <c r="B977" s="34" t="str">
        <f>base!V977</f>
        <v>54400</v>
      </c>
      <c r="C977" s="37">
        <v>54</v>
      </c>
      <c r="D977" s="36">
        <f>base!H977</f>
        <v>17</v>
      </c>
      <c r="E977" s="44"/>
      <c r="F977" s="16">
        <f>base!W977</f>
        <v>0</v>
      </c>
      <c r="G977" s="11">
        <f t="shared" si="150"/>
        <v>0</v>
      </c>
      <c r="H977" s="11">
        <f t="shared" si="151"/>
        <v>4.25</v>
      </c>
      <c r="I977" s="11">
        <f t="shared" si="152"/>
        <v>0.25</v>
      </c>
      <c r="J977" s="12">
        <f t="shared" si="153"/>
        <v>-4.25</v>
      </c>
      <c r="K977" s="17" t="str">
        <f t="shared" si="158"/>
        <v>Ecart négatif</v>
      </c>
      <c r="L977" s="16">
        <f>base!X977</f>
        <v>4.25</v>
      </c>
      <c r="M977" s="11">
        <f t="shared" si="154"/>
        <v>0.25</v>
      </c>
      <c r="N977" s="11">
        <f t="shared" si="155"/>
        <v>4.25</v>
      </c>
      <c r="O977" s="11">
        <f t="shared" si="156"/>
        <v>0.25</v>
      </c>
      <c r="P977" s="12">
        <f t="shared" si="157"/>
        <v>0</v>
      </c>
      <c r="Q977" s="17" t="str">
        <f t="shared" si="159"/>
        <v>Pas d'écart</v>
      </c>
      <c r="R977" s="38"/>
    </row>
    <row r="978" spans="1:18" x14ac:dyDescent="0.3">
      <c r="A978" s="34" t="str">
        <f>base!J978</f>
        <v>DRM</v>
      </c>
      <c r="B978" s="34" t="str">
        <f>base!V978</f>
        <v>67800</v>
      </c>
      <c r="C978" s="37">
        <v>67</v>
      </c>
      <c r="D978" s="36">
        <f>base!H978</f>
        <v>151</v>
      </c>
      <c r="E978" s="44"/>
      <c r="F978" s="16">
        <f>base!W978</f>
        <v>0</v>
      </c>
      <c r="G978" s="11">
        <f t="shared" si="150"/>
        <v>0</v>
      </c>
      <c r="H978" s="11">
        <f t="shared" si="151"/>
        <v>43.79</v>
      </c>
      <c r="I978" s="11">
        <f t="shared" si="152"/>
        <v>0.28999999999999998</v>
      </c>
      <c r="J978" s="12">
        <f t="shared" si="153"/>
        <v>-43.79</v>
      </c>
      <c r="K978" s="17" t="str">
        <f t="shared" si="158"/>
        <v>Ecart négatif</v>
      </c>
      <c r="L978" s="16">
        <f>base!X978</f>
        <v>0</v>
      </c>
      <c r="M978" s="11">
        <f t="shared" si="154"/>
        <v>0</v>
      </c>
      <c r="N978" s="11">
        <f t="shared" si="155"/>
        <v>12.08</v>
      </c>
      <c r="O978" s="11">
        <f t="shared" si="156"/>
        <v>0.08</v>
      </c>
      <c r="P978" s="12">
        <f t="shared" si="157"/>
        <v>-12.08</v>
      </c>
      <c r="Q978" s="17" t="str">
        <f t="shared" si="159"/>
        <v>Ecart négatif</v>
      </c>
    </row>
    <row r="979" spans="1:18" x14ac:dyDescent="0.3">
      <c r="A979" s="34" t="str">
        <f>base!J979</f>
        <v>RS</v>
      </c>
      <c r="B979" s="34" t="str">
        <f>base!V979</f>
        <v>94150</v>
      </c>
      <c r="C979" s="37">
        <v>94</v>
      </c>
      <c r="D979" s="36">
        <f>base!H979</f>
        <v>151</v>
      </c>
      <c r="E979" s="44"/>
      <c r="F979" s="16">
        <f>base!W979</f>
        <v>0</v>
      </c>
      <c r="G979" s="11">
        <f t="shared" si="150"/>
        <v>0</v>
      </c>
      <c r="H979" s="11">
        <f t="shared" si="151"/>
        <v>0</v>
      </c>
      <c r="I979" s="11">
        <f t="shared" si="152"/>
        <v>0</v>
      </c>
      <c r="J979" s="12">
        <f t="shared" si="153"/>
        <v>0</v>
      </c>
      <c r="K979" s="17" t="str">
        <f t="shared" si="158"/>
        <v>Pas d'écart</v>
      </c>
      <c r="L979" s="16">
        <f>base!X979</f>
        <v>0</v>
      </c>
      <c r="M979" s="11">
        <f t="shared" si="154"/>
        <v>0</v>
      </c>
      <c r="N979" s="11">
        <f t="shared" si="155"/>
        <v>0</v>
      </c>
      <c r="O979" s="11">
        <f t="shared" si="156"/>
        <v>0</v>
      </c>
      <c r="P979" s="12">
        <f t="shared" si="157"/>
        <v>0</v>
      </c>
      <c r="Q979" s="17" t="str">
        <f t="shared" si="159"/>
        <v>Pas d'écart</v>
      </c>
    </row>
    <row r="980" spans="1:18" x14ac:dyDescent="0.3">
      <c r="A980" s="34" t="str">
        <f>base!J980</f>
        <v>RM</v>
      </c>
      <c r="B980" s="34" t="str">
        <f>base!V980</f>
        <v>73200</v>
      </c>
      <c r="C980" s="37">
        <v>73</v>
      </c>
      <c r="D980" s="36">
        <f>base!H980</f>
        <v>150</v>
      </c>
      <c r="E980" s="44"/>
      <c r="F980" s="16">
        <f>base!W980</f>
        <v>0</v>
      </c>
      <c r="G980" s="11">
        <f t="shared" si="150"/>
        <v>0</v>
      </c>
      <c r="H980" s="11">
        <f t="shared" si="151"/>
        <v>40.5</v>
      </c>
      <c r="I980" s="11">
        <f t="shared" si="152"/>
        <v>0.27</v>
      </c>
      <c r="J980" s="12">
        <f t="shared" si="153"/>
        <v>-40.5</v>
      </c>
      <c r="K980" s="17" t="str">
        <f t="shared" si="158"/>
        <v>Ecart négatif</v>
      </c>
      <c r="L980" s="16">
        <f>base!X980</f>
        <v>0</v>
      </c>
      <c r="M980" s="11">
        <f t="shared" si="154"/>
        <v>0</v>
      </c>
      <c r="N980" s="11">
        <f t="shared" si="155"/>
        <v>0</v>
      </c>
      <c r="O980" s="11">
        <f t="shared" si="156"/>
        <v>0</v>
      </c>
      <c r="P980" s="12">
        <f t="shared" si="157"/>
        <v>0</v>
      </c>
      <c r="Q980" s="17" t="str">
        <f t="shared" si="159"/>
        <v>Pas d'écart</v>
      </c>
    </row>
    <row r="981" spans="1:18" x14ac:dyDescent="0.3">
      <c r="A981" s="34" t="str">
        <f>base!J981</f>
        <v>DRM</v>
      </c>
      <c r="B981" s="34" t="str">
        <f>base!V981</f>
        <v>68360</v>
      </c>
      <c r="C981" s="37">
        <v>68</v>
      </c>
      <c r="D981" s="36">
        <f>base!H981</f>
        <v>163.98</v>
      </c>
      <c r="E981" s="44"/>
      <c r="F981" s="16">
        <f>base!W981</f>
        <v>0</v>
      </c>
      <c r="G981" s="11">
        <f t="shared" si="150"/>
        <v>0</v>
      </c>
      <c r="H981" s="11">
        <f t="shared" si="151"/>
        <v>47.554199999999994</v>
      </c>
      <c r="I981" s="11">
        <f t="shared" si="152"/>
        <v>0.28999999999999998</v>
      </c>
      <c r="J981" s="12">
        <f t="shared" si="153"/>
        <v>-47.554199999999994</v>
      </c>
      <c r="K981" s="17" t="str">
        <f t="shared" si="158"/>
        <v>Ecart négatif</v>
      </c>
      <c r="L981" s="16">
        <f>base!X981</f>
        <v>0</v>
      </c>
      <c r="M981" s="11">
        <f t="shared" si="154"/>
        <v>0</v>
      </c>
      <c r="N981" s="11">
        <f t="shared" si="155"/>
        <v>13.118399999999999</v>
      </c>
      <c r="O981" s="11">
        <f t="shared" si="156"/>
        <v>0.08</v>
      </c>
      <c r="P981" s="12">
        <f t="shared" si="157"/>
        <v>-13.118399999999999</v>
      </c>
      <c r="Q981" s="17" t="str">
        <f t="shared" si="159"/>
        <v>Ecart négatif</v>
      </c>
    </row>
    <row r="982" spans="1:18" x14ac:dyDescent="0.3">
      <c r="A982" s="34" t="str">
        <f>base!J982</f>
        <v>LS</v>
      </c>
      <c r="B982" s="34" t="str">
        <f>base!V982</f>
        <v>44370</v>
      </c>
      <c r="C982" s="37">
        <v>44</v>
      </c>
      <c r="D982" s="36">
        <f>base!H982</f>
        <v>130</v>
      </c>
      <c r="E982" s="44"/>
      <c r="F982" s="16">
        <f>base!W982</f>
        <v>35.1</v>
      </c>
      <c r="G982" s="11">
        <f t="shared" si="150"/>
        <v>0.27</v>
      </c>
      <c r="H982" s="11">
        <f t="shared" si="151"/>
        <v>35.1</v>
      </c>
      <c r="I982" s="11">
        <f t="shared" si="152"/>
        <v>0.27</v>
      </c>
      <c r="J982" s="12">
        <f t="shared" si="153"/>
        <v>0</v>
      </c>
      <c r="K982" s="17" t="str">
        <f t="shared" si="158"/>
        <v>Pas d'écart</v>
      </c>
      <c r="L982" s="16">
        <f>base!X982</f>
        <v>0</v>
      </c>
      <c r="M982" s="11">
        <f t="shared" si="154"/>
        <v>0</v>
      </c>
      <c r="N982" s="11">
        <f t="shared" si="155"/>
        <v>0</v>
      </c>
      <c r="O982" s="11">
        <f t="shared" si="156"/>
        <v>0</v>
      </c>
      <c r="P982" s="12">
        <f t="shared" si="157"/>
        <v>0</v>
      </c>
      <c r="Q982" s="17" t="str">
        <f t="shared" si="159"/>
        <v>Pas d'écart</v>
      </c>
    </row>
    <row r="983" spans="1:18" x14ac:dyDescent="0.3">
      <c r="A983" s="34" t="str">
        <f>base!J983</f>
        <v>LS</v>
      </c>
      <c r="B983" s="34" t="str">
        <f>base!V983</f>
        <v>59840</v>
      </c>
      <c r="C983" s="37">
        <v>59</v>
      </c>
      <c r="D983" s="36">
        <f>base!H983</f>
        <v>140</v>
      </c>
      <c r="E983" s="44"/>
      <c r="F983" s="16">
        <f>base!W983</f>
        <v>26.6</v>
      </c>
      <c r="G983" s="11">
        <f t="shared" si="150"/>
        <v>0.19</v>
      </c>
      <c r="H983" s="11">
        <f t="shared" si="151"/>
        <v>26.6</v>
      </c>
      <c r="I983" s="11">
        <f t="shared" si="152"/>
        <v>0.19</v>
      </c>
      <c r="J983" s="12">
        <f t="shared" si="153"/>
        <v>0</v>
      </c>
      <c r="K983" s="17" t="str">
        <f t="shared" si="158"/>
        <v>Pas d'écart</v>
      </c>
      <c r="L983" s="16">
        <f>base!X983</f>
        <v>0</v>
      </c>
      <c r="M983" s="11">
        <f t="shared" si="154"/>
        <v>0</v>
      </c>
      <c r="N983" s="11">
        <f t="shared" si="155"/>
        <v>0</v>
      </c>
      <c r="O983" s="11">
        <f t="shared" si="156"/>
        <v>0</v>
      </c>
      <c r="P983" s="12">
        <f t="shared" si="157"/>
        <v>0</v>
      </c>
      <c r="Q983" s="17" t="str">
        <f t="shared" si="159"/>
        <v>Pas d'écart</v>
      </c>
    </row>
    <row r="984" spans="1:18" x14ac:dyDescent="0.3">
      <c r="A984" s="34" t="str">
        <f>base!J984</f>
        <v>LM</v>
      </c>
      <c r="B984" s="34" t="str">
        <f>base!V984</f>
        <v>76420</v>
      </c>
      <c r="C984" s="37">
        <v>76</v>
      </c>
      <c r="D984" s="36">
        <f>base!H984</f>
        <v>140</v>
      </c>
      <c r="E984" s="44"/>
      <c r="F984" s="16">
        <f>base!W984</f>
        <v>23.8</v>
      </c>
      <c r="G984" s="11">
        <f t="shared" si="150"/>
        <v>0.17</v>
      </c>
      <c r="H984" s="11">
        <f t="shared" si="151"/>
        <v>23.8</v>
      </c>
      <c r="I984" s="11">
        <f t="shared" si="152"/>
        <v>0.17</v>
      </c>
      <c r="J984" s="12">
        <f t="shared" si="153"/>
        <v>0</v>
      </c>
      <c r="K984" s="17" t="str">
        <f t="shared" si="158"/>
        <v>Pas d'écart</v>
      </c>
      <c r="L984" s="16">
        <f>base!X984</f>
        <v>0</v>
      </c>
      <c r="M984" s="11">
        <f t="shared" si="154"/>
        <v>0</v>
      </c>
      <c r="N984" s="11">
        <f t="shared" si="155"/>
        <v>23.8</v>
      </c>
      <c r="O984" s="11">
        <f t="shared" si="156"/>
        <v>0.17</v>
      </c>
      <c r="P984" s="12">
        <f t="shared" si="157"/>
        <v>-23.8</v>
      </c>
      <c r="Q984" s="17" t="str">
        <f t="shared" si="159"/>
        <v>Ecart négatif</v>
      </c>
    </row>
    <row r="985" spans="1:18" x14ac:dyDescent="0.3">
      <c r="A985" s="34" t="str">
        <f>base!J985</f>
        <v>LM</v>
      </c>
      <c r="B985" s="34" t="str">
        <f>base!V985</f>
        <v>14000</v>
      </c>
      <c r="C985" s="37">
        <v>69</v>
      </c>
      <c r="D985" s="36">
        <f>base!H985</f>
        <v>143.57</v>
      </c>
      <c r="E985" s="44"/>
      <c r="F985" s="16">
        <f>base!W985</f>
        <v>24.41</v>
      </c>
      <c r="G985" s="11">
        <f t="shared" si="150"/>
        <v>0.1700215922546493</v>
      </c>
      <c r="H985" s="11">
        <f t="shared" si="151"/>
        <v>38.7639</v>
      </c>
      <c r="I985" s="11">
        <f t="shared" si="152"/>
        <v>0.27</v>
      </c>
      <c r="J985" s="12">
        <f t="shared" si="153"/>
        <v>-14.353899999999999</v>
      </c>
      <c r="K985" s="17" t="str">
        <f t="shared" si="158"/>
        <v>Ecart négatif</v>
      </c>
      <c r="L985" s="16">
        <f>base!X985</f>
        <v>0</v>
      </c>
      <c r="M985" s="11">
        <f t="shared" si="154"/>
        <v>0</v>
      </c>
      <c r="N985" s="11">
        <f t="shared" si="155"/>
        <v>0</v>
      </c>
      <c r="O985" s="11">
        <f t="shared" si="156"/>
        <v>0</v>
      </c>
      <c r="P985" s="12">
        <f t="shared" si="157"/>
        <v>0</v>
      </c>
      <c r="Q985" s="17" t="str">
        <f t="shared" si="159"/>
        <v>Pas d'écart</v>
      </c>
    </row>
    <row r="986" spans="1:18" x14ac:dyDescent="0.3">
      <c r="A986" s="34">
        <f>base!J986</f>
        <v>0</v>
      </c>
      <c r="B986" s="34" t="str">
        <f>base!V986</f>
        <v>44240</v>
      </c>
      <c r="C986" s="37">
        <v>44</v>
      </c>
      <c r="D986" s="36">
        <f>base!H986</f>
        <v>40</v>
      </c>
      <c r="E986" s="44"/>
      <c r="F986" s="16">
        <f>base!W986</f>
        <v>0</v>
      </c>
      <c r="G986" s="11">
        <f t="shared" si="150"/>
        <v>0</v>
      </c>
      <c r="H986" s="11">
        <f t="shared" si="151"/>
        <v>10.8</v>
      </c>
      <c r="I986" s="11">
        <f t="shared" si="152"/>
        <v>0.27</v>
      </c>
      <c r="J986" s="12">
        <f t="shared" si="153"/>
        <v>-10.8</v>
      </c>
      <c r="K986" s="17" t="str">
        <f t="shared" si="158"/>
        <v>Ecart négatif</v>
      </c>
      <c r="L986" s="16">
        <f>base!X986</f>
        <v>0</v>
      </c>
      <c r="M986" s="11">
        <f t="shared" si="154"/>
        <v>0</v>
      </c>
      <c r="N986" s="11">
        <f t="shared" si="155"/>
        <v>0</v>
      </c>
      <c r="O986" s="11">
        <f t="shared" si="156"/>
        <v>0</v>
      </c>
      <c r="P986" s="12">
        <f t="shared" si="157"/>
        <v>0</v>
      </c>
      <c r="Q986" s="17" t="str">
        <f t="shared" si="159"/>
        <v>Pas d'écart</v>
      </c>
    </row>
    <row r="987" spans="1:18" x14ac:dyDescent="0.3">
      <c r="A987" s="34">
        <f>base!J987</f>
        <v>0</v>
      </c>
      <c r="B987" s="34" t="str">
        <f>base!V987</f>
        <v>44240</v>
      </c>
      <c r="C987" s="37">
        <v>44</v>
      </c>
      <c r="D987" s="36">
        <f>base!H987</f>
        <v>22.8</v>
      </c>
      <c r="E987" s="44"/>
      <c r="F987" s="16">
        <f>base!W987</f>
        <v>0</v>
      </c>
      <c r="G987" s="11">
        <f t="shared" si="150"/>
        <v>0</v>
      </c>
      <c r="H987" s="11">
        <f t="shared" si="151"/>
        <v>6.1560000000000006</v>
      </c>
      <c r="I987" s="11">
        <f t="shared" si="152"/>
        <v>0.27</v>
      </c>
      <c r="J987" s="12">
        <f t="shared" si="153"/>
        <v>-6.1560000000000006</v>
      </c>
      <c r="K987" s="17" t="str">
        <f t="shared" si="158"/>
        <v>Ecart négatif</v>
      </c>
      <c r="L987" s="16">
        <f>base!X987</f>
        <v>0</v>
      </c>
      <c r="M987" s="11">
        <f t="shared" si="154"/>
        <v>0</v>
      </c>
      <c r="N987" s="11">
        <f t="shared" si="155"/>
        <v>0</v>
      </c>
      <c r="O987" s="11">
        <f t="shared" si="156"/>
        <v>0</v>
      </c>
      <c r="P987" s="12">
        <f t="shared" si="157"/>
        <v>0</v>
      </c>
      <c r="Q987" s="17" t="str">
        <f t="shared" si="159"/>
        <v>Pas d'écart</v>
      </c>
    </row>
    <row r="988" spans="1:18" x14ac:dyDescent="0.3">
      <c r="A988" s="34">
        <f>base!J988</f>
        <v>0</v>
      </c>
      <c r="B988" s="34" t="str">
        <f>base!V988</f>
        <v>44240</v>
      </c>
      <c r="C988" s="37">
        <v>44</v>
      </c>
      <c r="D988" s="36">
        <f>base!H988</f>
        <v>165</v>
      </c>
      <c r="E988" s="44"/>
      <c r="F988" s="16">
        <f>base!W988</f>
        <v>0</v>
      </c>
      <c r="G988" s="11">
        <f t="shared" si="150"/>
        <v>0</v>
      </c>
      <c r="H988" s="11">
        <f t="shared" si="151"/>
        <v>44.550000000000004</v>
      </c>
      <c r="I988" s="11">
        <f t="shared" si="152"/>
        <v>0.27</v>
      </c>
      <c r="J988" s="12">
        <f t="shared" si="153"/>
        <v>-44.550000000000004</v>
      </c>
      <c r="K988" s="17" t="str">
        <f t="shared" si="158"/>
        <v>Ecart négatif</v>
      </c>
      <c r="L988" s="16">
        <f>base!X988</f>
        <v>0</v>
      </c>
      <c r="M988" s="11">
        <f t="shared" si="154"/>
        <v>0</v>
      </c>
      <c r="N988" s="11">
        <f t="shared" si="155"/>
        <v>0</v>
      </c>
      <c r="O988" s="11">
        <f t="shared" si="156"/>
        <v>0</v>
      </c>
      <c r="P988" s="12">
        <f t="shared" si="157"/>
        <v>0</v>
      </c>
      <c r="Q988" s="17" t="str">
        <f t="shared" si="159"/>
        <v>Pas d'écart</v>
      </c>
    </row>
    <row r="989" spans="1:18" x14ac:dyDescent="0.3">
      <c r="A989" s="34">
        <f>base!J989</f>
        <v>0</v>
      </c>
      <c r="B989" s="34" t="str">
        <f>base!V989</f>
        <v>77184</v>
      </c>
      <c r="C989" s="37">
        <v>77</v>
      </c>
      <c r="D989" s="36">
        <f>base!H989</f>
        <v>35</v>
      </c>
      <c r="E989" s="44"/>
      <c r="F989" s="16">
        <f>base!W989</f>
        <v>0</v>
      </c>
      <c r="G989" s="11">
        <f t="shared" si="150"/>
        <v>0</v>
      </c>
      <c r="H989" s="11">
        <f t="shared" si="151"/>
        <v>0</v>
      </c>
      <c r="I989" s="11">
        <f t="shared" si="152"/>
        <v>0</v>
      </c>
      <c r="J989" s="12">
        <f t="shared" si="153"/>
        <v>0</v>
      </c>
      <c r="K989" s="17" t="str">
        <f t="shared" si="158"/>
        <v>Pas d'écart</v>
      </c>
      <c r="L989" s="16">
        <f>base!X989</f>
        <v>0</v>
      </c>
      <c r="M989" s="11">
        <f t="shared" si="154"/>
        <v>0</v>
      </c>
      <c r="N989" s="11">
        <f t="shared" si="155"/>
        <v>0</v>
      </c>
      <c r="O989" s="11">
        <f t="shared" si="156"/>
        <v>0</v>
      </c>
      <c r="P989" s="12">
        <f t="shared" si="157"/>
        <v>0</v>
      </c>
      <c r="Q989" s="17" t="str">
        <f t="shared" si="159"/>
        <v>Pas d'écart</v>
      </c>
    </row>
    <row r="990" spans="1:18" x14ac:dyDescent="0.3">
      <c r="A990" s="34">
        <f>base!J990</f>
        <v>0</v>
      </c>
      <c r="B990" s="34" t="str">
        <f>base!V990</f>
        <v>77184</v>
      </c>
      <c r="C990" s="37">
        <v>77</v>
      </c>
      <c r="D990" s="36">
        <f>base!H990</f>
        <v>31</v>
      </c>
      <c r="E990" s="44"/>
      <c r="F990" s="16">
        <f>base!W990</f>
        <v>0</v>
      </c>
      <c r="G990" s="11">
        <f t="shared" si="150"/>
        <v>0</v>
      </c>
      <c r="H990" s="11">
        <f t="shared" si="151"/>
        <v>0</v>
      </c>
      <c r="I990" s="11">
        <f t="shared" si="152"/>
        <v>0</v>
      </c>
      <c r="J990" s="12">
        <f t="shared" si="153"/>
        <v>0</v>
      </c>
      <c r="K990" s="17" t="str">
        <f t="shared" si="158"/>
        <v>Pas d'écart</v>
      </c>
      <c r="L990" s="16">
        <f>base!X990</f>
        <v>0</v>
      </c>
      <c r="M990" s="11">
        <f t="shared" si="154"/>
        <v>0</v>
      </c>
      <c r="N990" s="11">
        <f t="shared" si="155"/>
        <v>0</v>
      </c>
      <c r="O990" s="11">
        <f t="shared" si="156"/>
        <v>0</v>
      </c>
      <c r="P990" s="12">
        <f t="shared" si="157"/>
        <v>0</v>
      </c>
      <c r="Q990" s="17" t="str">
        <f t="shared" si="159"/>
        <v>Pas d'écart</v>
      </c>
    </row>
    <row r="991" spans="1:18" x14ac:dyDescent="0.3">
      <c r="A991" s="34">
        <f>base!J991</f>
        <v>0</v>
      </c>
      <c r="B991" s="34" t="str">
        <f>base!V991</f>
        <v>77184</v>
      </c>
      <c r="C991" s="37">
        <v>77</v>
      </c>
      <c r="D991" s="36">
        <f>base!H991</f>
        <v>37.19</v>
      </c>
      <c r="E991" s="44"/>
      <c r="F991" s="16">
        <f>base!W991</f>
        <v>0</v>
      </c>
      <c r="G991" s="11">
        <f t="shared" si="150"/>
        <v>0</v>
      </c>
      <c r="H991" s="11">
        <f t="shared" si="151"/>
        <v>0</v>
      </c>
      <c r="I991" s="11">
        <f t="shared" si="152"/>
        <v>0</v>
      </c>
      <c r="J991" s="12">
        <f t="shared" si="153"/>
        <v>0</v>
      </c>
      <c r="K991" s="17" t="str">
        <f t="shared" si="158"/>
        <v>Pas d'écart</v>
      </c>
      <c r="L991" s="16">
        <f>base!X991</f>
        <v>0</v>
      </c>
      <c r="M991" s="11">
        <f t="shared" si="154"/>
        <v>0</v>
      </c>
      <c r="N991" s="11">
        <f t="shared" si="155"/>
        <v>0</v>
      </c>
      <c r="O991" s="11">
        <f t="shared" si="156"/>
        <v>0</v>
      </c>
      <c r="P991" s="12">
        <f t="shared" si="157"/>
        <v>0</v>
      </c>
      <c r="Q991" s="17" t="str">
        <f t="shared" si="159"/>
        <v>Pas d'écart</v>
      </c>
    </row>
    <row r="992" spans="1:18" x14ac:dyDescent="0.3">
      <c r="A992" s="34" t="str">
        <f>base!J992</f>
        <v>RM</v>
      </c>
      <c r="B992" s="34" t="str">
        <f>base!V992</f>
        <v>67000</v>
      </c>
      <c r="C992" s="37">
        <v>67</v>
      </c>
      <c r="D992" s="36">
        <f>base!H992</f>
        <v>29.4</v>
      </c>
      <c r="E992" s="44"/>
      <c r="F992" s="16">
        <f>base!W992</f>
        <v>0</v>
      </c>
      <c r="G992" s="11">
        <f t="shared" si="150"/>
        <v>0</v>
      </c>
      <c r="H992" s="11">
        <f t="shared" si="151"/>
        <v>8.5259999999999998</v>
      </c>
      <c r="I992" s="11">
        <f t="shared" si="152"/>
        <v>0.28999999999999998</v>
      </c>
      <c r="J992" s="12">
        <f t="shared" si="153"/>
        <v>-8.5259999999999998</v>
      </c>
      <c r="K992" s="17" t="str">
        <f t="shared" si="158"/>
        <v>Ecart négatif</v>
      </c>
      <c r="L992" s="16">
        <f>base!X992</f>
        <v>2.35</v>
      </c>
      <c r="M992" s="11">
        <f t="shared" si="154"/>
        <v>7.9931972789115652E-2</v>
      </c>
      <c r="N992" s="11">
        <f t="shared" si="155"/>
        <v>2.3519999999999999</v>
      </c>
      <c r="O992" s="11">
        <f t="shared" si="156"/>
        <v>0.08</v>
      </c>
      <c r="P992" s="12">
        <f t="shared" si="157"/>
        <v>-1.9999999999997797E-3</v>
      </c>
      <c r="Q992" s="17" t="str">
        <f t="shared" si="159"/>
        <v>Ecart négatif</v>
      </c>
      <c r="R992" s="38"/>
    </row>
    <row r="993" spans="1:17" x14ac:dyDescent="0.3">
      <c r="A993" s="34">
        <f>base!J993</f>
        <v>0</v>
      </c>
      <c r="B993" s="34" t="str">
        <f>base!V993</f>
        <v>77184</v>
      </c>
      <c r="C993" s="37">
        <v>77</v>
      </c>
      <c r="D993" s="36">
        <f>base!H993</f>
        <v>150</v>
      </c>
      <c r="E993" s="44"/>
      <c r="F993" s="16">
        <f>base!W993</f>
        <v>0</v>
      </c>
      <c r="G993" s="11">
        <f t="shared" si="150"/>
        <v>0</v>
      </c>
      <c r="H993" s="11">
        <f t="shared" si="151"/>
        <v>0</v>
      </c>
      <c r="I993" s="11">
        <f t="shared" si="152"/>
        <v>0</v>
      </c>
      <c r="J993" s="12">
        <f t="shared" si="153"/>
        <v>0</v>
      </c>
      <c r="K993" s="17" t="str">
        <f t="shared" si="158"/>
        <v>Pas d'écart</v>
      </c>
      <c r="L993" s="16">
        <f>base!X993</f>
        <v>0</v>
      </c>
      <c r="M993" s="11">
        <f t="shared" si="154"/>
        <v>0</v>
      </c>
      <c r="N993" s="11">
        <f t="shared" si="155"/>
        <v>0</v>
      </c>
      <c r="O993" s="11">
        <f t="shared" si="156"/>
        <v>0</v>
      </c>
      <c r="P993" s="12">
        <f t="shared" si="157"/>
        <v>0</v>
      </c>
      <c r="Q993" s="17" t="str">
        <f t="shared" si="159"/>
        <v>Pas d'écart</v>
      </c>
    </row>
    <row r="994" spans="1:17" x14ac:dyDescent="0.3">
      <c r="A994" s="34">
        <f>base!J994</f>
        <v>0</v>
      </c>
      <c r="B994" s="34" t="str">
        <f>base!V994</f>
        <v>77184</v>
      </c>
      <c r="C994" s="37">
        <v>77</v>
      </c>
      <c r="D994" s="36">
        <f>base!H994</f>
        <v>171</v>
      </c>
      <c r="E994" s="44"/>
      <c r="F994" s="16">
        <f>base!W994</f>
        <v>0</v>
      </c>
      <c r="G994" s="11">
        <f t="shared" si="150"/>
        <v>0</v>
      </c>
      <c r="H994" s="11">
        <f t="shared" si="151"/>
        <v>0</v>
      </c>
      <c r="I994" s="11">
        <f t="shared" si="152"/>
        <v>0</v>
      </c>
      <c r="J994" s="12">
        <f t="shared" si="153"/>
        <v>0</v>
      </c>
      <c r="K994" s="17" t="str">
        <f t="shared" si="158"/>
        <v>Pas d'écart</v>
      </c>
      <c r="L994" s="16">
        <f>base!X994</f>
        <v>0</v>
      </c>
      <c r="M994" s="11">
        <f t="shared" si="154"/>
        <v>0</v>
      </c>
      <c r="N994" s="11">
        <f t="shared" si="155"/>
        <v>0</v>
      </c>
      <c r="O994" s="11">
        <f t="shared" si="156"/>
        <v>0</v>
      </c>
      <c r="P994" s="12">
        <f t="shared" si="157"/>
        <v>0</v>
      </c>
      <c r="Q994" s="17" t="str">
        <f t="shared" si="159"/>
        <v>Pas d'écart</v>
      </c>
    </row>
    <row r="995" spans="1:17" x14ac:dyDescent="0.3">
      <c r="A995" s="34">
        <f>base!J995</f>
        <v>0</v>
      </c>
      <c r="B995" s="34" t="str">
        <f>base!V995</f>
        <v>77184</v>
      </c>
      <c r="C995" s="37">
        <v>77</v>
      </c>
      <c r="D995" s="36">
        <f>base!H995</f>
        <v>171</v>
      </c>
      <c r="E995" s="44"/>
      <c r="F995" s="16">
        <f>base!W995</f>
        <v>0</v>
      </c>
      <c r="G995" s="11">
        <f t="shared" si="150"/>
        <v>0</v>
      </c>
      <c r="H995" s="11">
        <f t="shared" si="151"/>
        <v>0</v>
      </c>
      <c r="I995" s="11">
        <f t="shared" si="152"/>
        <v>0</v>
      </c>
      <c r="J995" s="12">
        <f t="shared" si="153"/>
        <v>0</v>
      </c>
      <c r="K995" s="17" t="str">
        <f t="shared" si="158"/>
        <v>Pas d'écart</v>
      </c>
      <c r="L995" s="16">
        <f>base!X995</f>
        <v>0</v>
      </c>
      <c r="M995" s="11">
        <f t="shared" si="154"/>
        <v>0</v>
      </c>
      <c r="N995" s="11">
        <f t="shared" si="155"/>
        <v>0</v>
      </c>
      <c r="O995" s="11">
        <f t="shared" si="156"/>
        <v>0</v>
      </c>
      <c r="P995" s="12">
        <f t="shared" si="157"/>
        <v>0</v>
      </c>
      <c r="Q995" s="17" t="str">
        <f t="shared" si="159"/>
        <v>Pas d'écart</v>
      </c>
    </row>
    <row r="996" spans="1:17" x14ac:dyDescent="0.3">
      <c r="A996" s="34" t="str">
        <f>base!J996</f>
        <v>LM</v>
      </c>
      <c r="B996" s="34" t="str">
        <f>base!V996</f>
        <v>62740</v>
      </c>
      <c r="C996" s="37">
        <v>56</v>
      </c>
      <c r="D996" s="36">
        <f>base!H996</f>
        <v>18.350000000000001</v>
      </c>
      <c r="E996" s="44"/>
      <c r="F996" s="16">
        <f>base!W996</f>
        <v>3.49</v>
      </c>
      <c r="G996" s="11">
        <f t="shared" si="150"/>
        <v>0.19019073569482289</v>
      </c>
      <c r="H996" s="11">
        <f t="shared" si="151"/>
        <v>4.9545000000000003</v>
      </c>
      <c r="I996" s="11">
        <f t="shared" si="152"/>
        <v>0.27</v>
      </c>
      <c r="J996" s="12">
        <f t="shared" si="153"/>
        <v>-1.4645000000000001</v>
      </c>
      <c r="K996" s="17" t="str">
        <f t="shared" si="158"/>
        <v>Ecart négatif</v>
      </c>
      <c r="L996" s="16">
        <f>base!X996</f>
        <v>0</v>
      </c>
      <c r="M996" s="11">
        <f t="shared" si="154"/>
        <v>0</v>
      </c>
      <c r="N996" s="11">
        <f t="shared" si="155"/>
        <v>0</v>
      </c>
      <c r="O996" s="11">
        <f t="shared" si="156"/>
        <v>0</v>
      </c>
      <c r="P996" s="12">
        <f t="shared" si="157"/>
        <v>0</v>
      </c>
      <c r="Q996" s="17" t="str">
        <f t="shared" si="159"/>
        <v>Pas d'écart</v>
      </c>
    </row>
    <row r="997" spans="1:17" x14ac:dyDescent="0.3">
      <c r="A997" s="34" t="str">
        <f>base!J997</f>
        <v>LM</v>
      </c>
      <c r="B997" s="34" t="str">
        <f>base!V997</f>
        <v>62138</v>
      </c>
      <c r="C997" s="37">
        <v>76</v>
      </c>
      <c r="D997" s="36">
        <f>base!H997</f>
        <v>124.81</v>
      </c>
      <c r="E997" s="44"/>
      <c r="F997" s="16">
        <f>base!W997</f>
        <v>23.71</v>
      </c>
      <c r="G997" s="11">
        <f t="shared" si="150"/>
        <v>0.18996875250380579</v>
      </c>
      <c r="H997" s="11">
        <f t="shared" si="151"/>
        <v>21.217700000000001</v>
      </c>
      <c r="I997" s="11">
        <f t="shared" si="152"/>
        <v>0.17</v>
      </c>
      <c r="J997" s="12">
        <f t="shared" si="153"/>
        <v>2.4923000000000002</v>
      </c>
      <c r="K997" s="17" t="str">
        <f t="shared" si="158"/>
        <v>Ecart positif</v>
      </c>
      <c r="L997" s="16">
        <f>base!X997</f>
        <v>0</v>
      </c>
      <c r="M997" s="11">
        <f t="shared" si="154"/>
        <v>0</v>
      </c>
      <c r="N997" s="11">
        <f t="shared" si="155"/>
        <v>21.217700000000001</v>
      </c>
      <c r="O997" s="11">
        <f t="shared" si="156"/>
        <v>0.17</v>
      </c>
      <c r="P997" s="12">
        <f t="shared" si="157"/>
        <v>-21.217700000000001</v>
      </c>
      <c r="Q997" s="17" t="str">
        <f t="shared" si="159"/>
        <v>Ecart négatif</v>
      </c>
    </row>
    <row r="998" spans="1:17" x14ac:dyDescent="0.3">
      <c r="A998" s="34" t="str">
        <f>base!J998</f>
        <v>RS</v>
      </c>
      <c r="B998" s="34" t="str">
        <f>base!V998</f>
        <v>69590</v>
      </c>
      <c r="C998" s="37">
        <v>69</v>
      </c>
      <c r="D998" s="36">
        <f>base!H998</f>
        <v>180</v>
      </c>
      <c r="E998" s="44"/>
      <c r="F998" s="16">
        <f>base!W998</f>
        <v>0</v>
      </c>
      <c r="G998" s="11">
        <f t="shared" si="150"/>
        <v>0</v>
      </c>
      <c r="H998" s="11">
        <f t="shared" si="151"/>
        <v>48.6</v>
      </c>
      <c r="I998" s="11">
        <f t="shared" si="152"/>
        <v>0.27</v>
      </c>
      <c r="J998" s="12">
        <f t="shared" si="153"/>
        <v>-48.6</v>
      </c>
      <c r="K998" s="17" t="str">
        <f t="shared" si="158"/>
        <v>Ecart négatif</v>
      </c>
      <c r="L998" s="16">
        <f>base!X998</f>
        <v>0</v>
      </c>
      <c r="M998" s="11">
        <f t="shared" si="154"/>
        <v>0</v>
      </c>
      <c r="N998" s="11">
        <f t="shared" si="155"/>
        <v>0</v>
      </c>
      <c r="O998" s="11">
        <f t="shared" si="156"/>
        <v>0</v>
      </c>
      <c r="P998" s="12">
        <f t="shared" si="157"/>
        <v>0</v>
      </c>
      <c r="Q998" s="17" t="str">
        <f t="shared" si="159"/>
        <v>Pas d'écart</v>
      </c>
    </row>
    <row r="999" spans="1:17" x14ac:dyDescent="0.3">
      <c r="A999" s="34" t="str">
        <f>base!J999</f>
        <v>RM</v>
      </c>
      <c r="B999" s="34" t="str">
        <f>base!V999</f>
        <v>59280</v>
      </c>
      <c r="C999" s="37">
        <v>59</v>
      </c>
      <c r="D999" s="36">
        <f>base!H999</f>
        <v>334.27</v>
      </c>
      <c r="E999" s="44"/>
      <c r="F999" s="16">
        <f>base!W999</f>
        <v>0</v>
      </c>
      <c r="G999" s="11">
        <f t="shared" si="150"/>
        <v>0</v>
      </c>
      <c r="H999" s="11">
        <f t="shared" si="151"/>
        <v>63.511299999999999</v>
      </c>
      <c r="I999" s="11">
        <f t="shared" si="152"/>
        <v>0.19</v>
      </c>
      <c r="J999" s="12">
        <f t="shared" si="153"/>
        <v>-63.511299999999999</v>
      </c>
      <c r="K999" s="17" t="str">
        <f t="shared" si="158"/>
        <v>Ecart négatif</v>
      </c>
      <c r="L999" s="16">
        <f>base!X999</f>
        <v>0</v>
      </c>
      <c r="M999" s="11">
        <f t="shared" si="154"/>
        <v>0</v>
      </c>
      <c r="N999" s="11">
        <f t="shared" si="155"/>
        <v>0</v>
      </c>
      <c r="O999" s="11">
        <f t="shared" si="156"/>
        <v>0</v>
      </c>
      <c r="P999" s="12">
        <f t="shared" si="157"/>
        <v>0</v>
      </c>
      <c r="Q999" s="17" t="str">
        <f t="shared" si="159"/>
        <v>Pas d'écart</v>
      </c>
    </row>
    <row r="1000" spans="1:17" x14ac:dyDescent="0.3">
      <c r="A1000" s="34" t="str">
        <f>base!J1000</f>
        <v>RM</v>
      </c>
      <c r="B1000" s="34" t="str">
        <f>base!V1000</f>
        <v>59280</v>
      </c>
      <c r="C1000" s="37">
        <v>59</v>
      </c>
      <c r="D1000" s="36">
        <f>base!H1000</f>
        <v>194.34</v>
      </c>
      <c r="E1000" s="44"/>
      <c r="F1000" s="16">
        <f>base!W1000</f>
        <v>0</v>
      </c>
      <c r="G1000" s="11">
        <f t="shared" si="150"/>
        <v>0</v>
      </c>
      <c r="H1000" s="11">
        <f t="shared" si="151"/>
        <v>36.924599999999998</v>
      </c>
      <c r="I1000" s="11">
        <f t="shared" si="152"/>
        <v>0.18999999999999997</v>
      </c>
      <c r="J1000" s="12">
        <f t="shared" si="153"/>
        <v>-36.924599999999998</v>
      </c>
      <c r="K1000" s="17" t="str">
        <f t="shared" si="158"/>
        <v>Ecart négatif</v>
      </c>
      <c r="L1000" s="16">
        <f>base!X1000</f>
        <v>0</v>
      </c>
      <c r="M1000" s="11">
        <f t="shared" si="154"/>
        <v>0</v>
      </c>
      <c r="N1000" s="11">
        <f t="shared" si="155"/>
        <v>0</v>
      </c>
      <c r="O1000" s="11">
        <f t="shared" si="156"/>
        <v>0</v>
      </c>
      <c r="P1000" s="12">
        <f t="shared" si="157"/>
        <v>0</v>
      </c>
      <c r="Q1000" s="17" t="str">
        <f t="shared" si="159"/>
        <v>Pas d'écart</v>
      </c>
    </row>
    <row r="1001" spans="1:17" x14ac:dyDescent="0.3">
      <c r="A1001" s="34" t="str">
        <f>base!J1001</f>
        <v>RS</v>
      </c>
      <c r="B1001" s="34" t="str">
        <f>base!V1001</f>
        <v>27000</v>
      </c>
      <c r="C1001" s="37">
        <v>27</v>
      </c>
      <c r="D1001" s="36">
        <f>base!H1001</f>
        <v>180</v>
      </c>
      <c r="E1001" s="44"/>
      <c r="F1001" s="16">
        <f>base!W1001</f>
        <v>0</v>
      </c>
      <c r="G1001" s="11">
        <f t="shared" si="150"/>
        <v>0</v>
      </c>
      <c r="H1001" s="11">
        <f t="shared" si="151"/>
        <v>30.6</v>
      </c>
      <c r="I1001" s="11">
        <f t="shared" si="152"/>
        <v>0.17</v>
      </c>
      <c r="J1001" s="12">
        <f t="shared" si="153"/>
        <v>-30.6</v>
      </c>
      <c r="K1001" s="17" t="str">
        <f t="shared" si="158"/>
        <v>Ecart négatif</v>
      </c>
      <c r="L1001" s="16">
        <f>base!X1001</f>
        <v>30.6</v>
      </c>
      <c r="M1001" s="11">
        <f t="shared" si="154"/>
        <v>0.17</v>
      </c>
      <c r="N1001" s="11">
        <f t="shared" si="155"/>
        <v>30.6</v>
      </c>
      <c r="O1001" s="11">
        <f t="shared" si="156"/>
        <v>0.17</v>
      </c>
      <c r="P1001" s="12">
        <f t="shared" si="157"/>
        <v>0</v>
      </c>
      <c r="Q1001" s="17" t="str">
        <f t="shared" si="159"/>
        <v>Pas d'écart</v>
      </c>
    </row>
    <row r="1002" spans="1:17" x14ac:dyDescent="0.3">
      <c r="A1002" s="34">
        <f>base!J1002</f>
        <v>0</v>
      </c>
      <c r="B1002" s="34" t="str">
        <f>base!V1002</f>
        <v>77184</v>
      </c>
      <c r="C1002" s="37">
        <v>77</v>
      </c>
      <c r="D1002" s="36">
        <f>base!H1002</f>
        <v>224.67</v>
      </c>
      <c r="E1002" s="44"/>
      <c r="F1002" s="16">
        <f>base!W1002</f>
        <v>0</v>
      </c>
      <c r="G1002" s="11">
        <f t="shared" si="150"/>
        <v>0</v>
      </c>
      <c r="H1002" s="11">
        <f t="shared" si="151"/>
        <v>0</v>
      </c>
      <c r="I1002" s="11">
        <f t="shared" si="152"/>
        <v>0</v>
      </c>
      <c r="J1002" s="12">
        <f t="shared" si="153"/>
        <v>0</v>
      </c>
      <c r="K1002" s="17" t="str">
        <f t="shared" si="158"/>
        <v>Pas d'écart</v>
      </c>
      <c r="L1002" s="16">
        <f>base!X1002</f>
        <v>0</v>
      </c>
      <c r="M1002" s="11">
        <f t="shared" si="154"/>
        <v>0</v>
      </c>
      <c r="N1002" s="11">
        <f t="shared" si="155"/>
        <v>0</v>
      </c>
      <c r="O1002" s="11">
        <f t="shared" si="156"/>
        <v>0</v>
      </c>
      <c r="P1002" s="12">
        <f t="shared" si="157"/>
        <v>0</v>
      </c>
      <c r="Q1002" s="17" t="str">
        <f t="shared" si="159"/>
        <v>Pas d'écart</v>
      </c>
    </row>
    <row r="1003" spans="1:17" x14ac:dyDescent="0.3">
      <c r="A1003" s="34" t="str">
        <f>base!J1003</f>
        <v>RS</v>
      </c>
      <c r="B1003" s="34" t="str">
        <f>base!V1003</f>
        <v>35650</v>
      </c>
      <c r="C1003" s="37">
        <v>35</v>
      </c>
      <c r="D1003" s="36">
        <f>base!H1003</f>
        <v>140</v>
      </c>
      <c r="E1003" s="44"/>
      <c r="F1003" s="16">
        <f>base!W1003</f>
        <v>0</v>
      </c>
      <c r="G1003" s="11">
        <f t="shared" si="150"/>
        <v>0</v>
      </c>
      <c r="H1003" s="11">
        <f t="shared" si="151"/>
        <v>37.800000000000004</v>
      </c>
      <c r="I1003" s="11">
        <f t="shared" si="152"/>
        <v>0.27</v>
      </c>
      <c r="J1003" s="12">
        <f t="shared" si="153"/>
        <v>-37.800000000000004</v>
      </c>
      <c r="K1003" s="17" t="str">
        <f t="shared" si="158"/>
        <v>Ecart négatif</v>
      </c>
      <c r="L1003" s="16">
        <f>base!X1003</f>
        <v>0</v>
      </c>
      <c r="M1003" s="11">
        <f t="shared" si="154"/>
        <v>0</v>
      </c>
      <c r="N1003" s="11">
        <f t="shared" si="155"/>
        <v>0</v>
      </c>
      <c r="O1003" s="11">
        <f t="shared" si="156"/>
        <v>0</v>
      </c>
      <c r="P1003" s="12">
        <f t="shared" si="157"/>
        <v>0</v>
      </c>
      <c r="Q1003" s="17" t="str">
        <f t="shared" si="159"/>
        <v>Pas d'écart</v>
      </c>
    </row>
    <row r="1004" spans="1:17" x14ac:dyDescent="0.3">
      <c r="A1004" s="34">
        <f>base!J1004</f>
        <v>0</v>
      </c>
      <c r="B1004" s="34" t="str">
        <f>base!V1004</f>
        <v>77184</v>
      </c>
      <c r="C1004" s="37">
        <v>77</v>
      </c>
      <c r="D1004" s="36">
        <f>base!H1004</f>
        <v>22</v>
      </c>
      <c r="E1004" s="44"/>
      <c r="F1004" s="16">
        <f>base!W1004</f>
        <v>0</v>
      </c>
      <c r="G1004" s="11">
        <f t="shared" si="150"/>
        <v>0</v>
      </c>
      <c r="H1004" s="11">
        <f t="shared" si="151"/>
        <v>0</v>
      </c>
      <c r="I1004" s="11">
        <f t="shared" si="152"/>
        <v>0</v>
      </c>
      <c r="J1004" s="12">
        <f t="shared" si="153"/>
        <v>0</v>
      </c>
      <c r="K1004" s="17" t="str">
        <f t="shared" si="158"/>
        <v>Pas d'écart</v>
      </c>
      <c r="L1004" s="16">
        <f>base!X1004</f>
        <v>0</v>
      </c>
      <c r="M1004" s="11">
        <f t="shared" si="154"/>
        <v>0</v>
      </c>
      <c r="N1004" s="11">
        <f t="shared" si="155"/>
        <v>0</v>
      </c>
      <c r="O1004" s="11">
        <f t="shared" si="156"/>
        <v>0</v>
      </c>
      <c r="P1004" s="12">
        <f t="shared" si="157"/>
        <v>0</v>
      </c>
      <c r="Q1004" s="17" t="str">
        <f t="shared" si="159"/>
        <v>Pas d'écart</v>
      </c>
    </row>
    <row r="1005" spans="1:17" x14ac:dyDescent="0.3">
      <c r="A1005" s="34">
        <f>base!J1005</f>
        <v>0</v>
      </c>
      <c r="B1005" s="34" t="str">
        <f>base!V1005</f>
        <v>77184</v>
      </c>
      <c r="C1005" s="37">
        <v>77</v>
      </c>
      <c r="D1005" s="36">
        <f>base!H1005</f>
        <v>34.72</v>
      </c>
      <c r="E1005" s="44"/>
      <c r="F1005" s="16">
        <f>base!W1005</f>
        <v>0</v>
      </c>
      <c r="G1005" s="11">
        <f t="shared" si="150"/>
        <v>0</v>
      </c>
      <c r="H1005" s="11">
        <f t="shared" si="151"/>
        <v>0</v>
      </c>
      <c r="I1005" s="11">
        <f t="shared" si="152"/>
        <v>0</v>
      </c>
      <c r="J1005" s="12">
        <f t="shared" si="153"/>
        <v>0</v>
      </c>
      <c r="K1005" s="17" t="str">
        <f t="shared" si="158"/>
        <v>Pas d'écart</v>
      </c>
      <c r="L1005" s="16">
        <f>base!X1005</f>
        <v>0</v>
      </c>
      <c r="M1005" s="11">
        <f t="shared" si="154"/>
        <v>0</v>
      </c>
      <c r="N1005" s="11">
        <f t="shared" si="155"/>
        <v>0</v>
      </c>
      <c r="O1005" s="11">
        <f t="shared" si="156"/>
        <v>0</v>
      </c>
      <c r="P1005" s="12">
        <f t="shared" si="157"/>
        <v>0</v>
      </c>
      <c r="Q1005" s="17" t="str">
        <f t="shared" si="159"/>
        <v>Pas d'écart</v>
      </c>
    </row>
    <row r="1006" spans="1:17" x14ac:dyDescent="0.3">
      <c r="A1006" s="34">
        <f>base!J1006</f>
        <v>0</v>
      </c>
      <c r="B1006" s="34" t="str">
        <f>base!V1006</f>
        <v>77184</v>
      </c>
      <c r="C1006" s="37">
        <v>77</v>
      </c>
      <c r="D1006" s="36">
        <f>base!H1006</f>
        <v>130.37</v>
      </c>
      <c r="E1006" s="44"/>
      <c r="F1006" s="16">
        <f>base!W1006</f>
        <v>0</v>
      </c>
      <c r="G1006" s="11">
        <f t="shared" si="150"/>
        <v>0</v>
      </c>
      <c r="H1006" s="11">
        <f t="shared" si="151"/>
        <v>0</v>
      </c>
      <c r="I1006" s="11">
        <f t="shared" si="152"/>
        <v>0</v>
      </c>
      <c r="J1006" s="12">
        <f t="shared" si="153"/>
        <v>0</v>
      </c>
      <c r="K1006" s="17" t="str">
        <f t="shared" si="158"/>
        <v>Pas d'écart</v>
      </c>
      <c r="L1006" s="16">
        <f>base!X1006</f>
        <v>0</v>
      </c>
      <c r="M1006" s="11">
        <f t="shared" si="154"/>
        <v>0</v>
      </c>
      <c r="N1006" s="11">
        <f t="shared" si="155"/>
        <v>0</v>
      </c>
      <c r="O1006" s="11">
        <f t="shared" si="156"/>
        <v>0</v>
      </c>
      <c r="P1006" s="12">
        <f t="shared" si="157"/>
        <v>0</v>
      </c>
      <c r="Q1006" s="17" t="str">
        <f t="shared" si="159"/>
        <v>Pas d'écart</v>
      </c>
    </row>
    <row r="1007" spans="1:17" x14ac:dyDescent="0.3">
      <c r="A1007" s="34">
        <f>base!J1007</f>
        <v>0</v>
      </c>
      <c r="B1007" s="34" t="str">
        <f>base!V1007</f>
        <v>77184</v>
      </c>
      <c r="C1007" s="37">
        <v>77</v>
      </c>
      <c r="D1007" s="36">
        <f>base!H1007</f>
        <v>38.54</v>
      </c>
      <c r="E1007" s="44"/>
      <c r="F1007" s="16">
        <f>base!W1007</f>
        <v>0</v>
      </c>
      <c r="G1007" s="11">
        <f t="shared" si="150"/>
        <v>0</v>
      </c>
      <c r="H1007" s="11">
        <f t="shared" si="151"/>
        <v>0</v>
      </c>
      <c r="I1007" s="11">
        <f t="shared" si="152"/>
        <v>0</v>
      </c>
      <c r="J1007" s="12">
        <f t="shared" si="153"/>
        <v>0</v>
      </c>
      <c r="K1007" s="17" t="str">
        <f t="shared" si="158"/>
        <v>Pas d'écart</v>
      </c>
      <c r="L1007" s="16">
        <f>base!X1007</f>
        <v>0</v>
      </c>
      <c r="M1007" s="11">
        <f t="shared" si="154"/>
        <v>0</v>
      </c>
      <c r="N1007" s="11">
        <f t="shared" si="155"/>
        <v>0</v>
      </c>
      <c r="O1007" s="11">
        <f t="shared" si="156"/>
        <v>0</v>
      </c>
      <c r="P1007" s="12">
        <f t="shared" si="157"/>
        <v>0</v>
      </c>
      <c r="Q1007" s="17" t="str">
        <f t="shared" si="159"/>
        <v>Pas d'écart</v>
      </c>
    </row>
    <row r="1008" spans="1:17" x14ac:dyDescent="0.3">
      <c r="A1008" s="34" t="str">
        <f>base!J1008</f>
        <v>LM</v>
      </c>
      <c r="B1008" s="34" t="str">
        <f>base!V1008</f>
        <v>06190</v>
      </c>
      <c r="C1008" s="37">
        <v>6</v>
      </c>
      <c r="D1008" s="36">
        <f>base!H1008</f>
        <v>90</v>
      </c>
      <c r="E1008" s="44"/>
      <c r="F1008" s="16">
        <f>base!W1008</f>
        <v>27</v>
      </c>
      <c r="G1008" s="11">
        <f t="shared" si="150"/>
        <v>0.3</v>
      </c>
      <c r="H1008" s="11">
        <f t="shared" si="151"/>
        <v>27</v>
      </c>
      <c r="I1008" s="11">
        <f t="shared" si="152"/>
        <v>0.3</v>
      </c>
      <c r="J1008" s="12">
        <f t="shared" si="153"/>
        <v>0</v>
      </c>
      <c r="K1008" s="17" t="str">
        <f t="shared" si="158"/>
        <v>Pas d'écart</v>
      </c>
      <c r="L1008" s="16">
        <f>base!X1008</f>
        <v>0</v>
      </c>
      <c r="M1008" s="11">
        <f t="shared" si="154"/>
        <v>0</v>
      </c>
      <c r="N1008" s="11">
        <f t="shared" si="155"/>
        <v>18.899999999999999</v>
      </c>
      <c r="O1008" s="11">
        <f t="shared" si="156"/>
        <v>0.21</v>
      </c>
      <c r="P1008" s="12">
        <f t="shared" si="157"/>
        <v>-18.899999999999999</v>
      </c>
      <c r="Q1008" s="17" t="str">
        <f t="shared" si="159"/>
        <v>Ecart négatif</v>
      </c>
    </row>
    <row r="1009" spans="1:18" x14ac:dyDescent="0.3">
      <c r="A1009" s="34" t="str">
        <f>base!J1009</f>
        <v>LM</v>
      </c>
      <c r="B1009" s="34" t="str">
        <f>base!V1009</f>
        <v>06190</v>
      </c>
      <c r="C1009" s="37">
        <v>6</v>
      </c>
      <c r="D1009" s="36">
        <f>base!H1009</f>
        <v>90</v>
      </c>
      <c r="E1009" s="44"/>
      <c r="F1009" s="16">
        <f>base!W1009</f>
        <v>27</v>
      </c>
      <c r="G1009" s="11">
        <f t="shared" si="150"/>
        <v>0.3</v>
      </c>
      <c r="H1009" s="11">
        <f t="shared" si="151"/>
        <v>27</v>
      </c>
      <c r="I1009" s="11">
        <f t="shared" si="152"/>
        <v>0.3</v>
      </c>
      <c r="J1009" s="12">
        <f t="shared" si="153"/>
        <v>0</v>
      </c>
      <c r="K1009" s="17" t="str">
        <f t="shared" si="158"/>
        <v>Pas d'écart</v>
      </c>
      <c r="L1009" s="16">
        <f>base!X1009</f>
        <v>0</v>
      </c>
      <c r="M1009" s="11">
        <f t="shared" si="154"/>
        <v>0</v>
      </c>
      <c r="N1009" s="11">
        <f t="shared" si="155"/>
        <v>18.899999999999999</v>
      </c>
      <c r="O1009" s="11">
        <f t="shared" si="156"/>
        <v>0.21</v>
      </c>
      <c r="P1009" s="12">
        <f t="shared" si="157"/>
        <v>-18.899999999999999</v>
      </c>
      <c r="Q1009" s="17" t="str">
        <f t="shared" si="159"/>
        <v>Ecart négatif</v>
      </c>
    </row>
    <row r="1010" spans="1:18" x14ac:dyDescent="0.3">
      <c r="A1010" s="34" t="str">
        <f>base!J1010</f>
        <v>RM</v>
      </c>
      <c r="B1010" s="34" t="str">
        <f>base!V1010</f>
        <v>06190</v>
      </c>
      <c r="C1010" s="37">
        <v>6</v>
      </c>
      <c r="D1010" s="36">
        <f>base!H1010</f>
        <v>170</v>
      </c>
      <c r="E1010" s="44"/>
      <c r="F1010" s="16">
        <f>base!W1010</f>
        <v>0</v>
      </c>
      <c r="G1010" s="11">
        <f t="shared" si="150"/>
        <v>0</v>
      </c>
      <c r="H1010" s="11">
        <f t="shared" si="151"/>
        <v>51</v>
      </c>
      <c r="I1010" s="11">
        <f t="shared" si="152"/>
        <v>0.3</v>
      </c>
      <c r="J1010" s="12">
        <f t="shared" si="153"/>
        <v>-51</v>
      </c>
      <c r="K1010" s="17" t="str">
        <f t="shared" si="158"/>
        <v>Ecart négatif</v>
      </c>
      <c r="L1010" s="16">
        <f>base!X1010</f>
        <v>51</v>
      </c>
      <c r="M1010" s="11">
        <f t="shared" si="154"/>
        <v>0.3</v>
      </c>
      <c r="N1010" s="11">
        <f t="shared" si="155"/>
        <v>35.699999999999996</v>
      </c>
      <c r="O1010" s="11">
        <f t="shared" si="156"/>
        <v>0.20999999999999996</v>
      </c>
      <c r="P1010" s="12">
        <f t="shared" si="157"/>
        <v>15.300000000000004</v>
      </c>
      <c r="Q1010" s="17" t="str">
        <f t="shared" si="159"/>
        <v>Ecart positif</v>
      </c>
    </row>
    <row r="1011" spans="1:18" x14ac:dyDescent="0.3">
      <c r="A1011" s="34" t="str">
        <f>base!J1011</f>
        <v>RM</v>
      </c>
      <c r="B1011" s="34" t="str">
        <f>base!V1011</f>
        <v>06190</v>
      </c>
      <c r="C1011" s="37">
        <v>6</v>
      </c>
      <c r="D1011" s="36">
        <f>base!H1011</f>
        <v>64</v>
      </c>
      <c r="E1011" s="44"/>
      <c r="F1011" s="16">
        <f>base!W1011</f>
        <v>0</v>
      </c>
      <c r="G1011" s="11">
        <f t="shared" si="150"/>
        <v>0</v>
      </c>
      <c r="H1011" s="11">
        <f t="shared" si="151"/>
        <v>19.2</v>
      </c>
      <c r="I1011" s="11">
        <f t="shared" si="152"/>
        <v>0.3</v>
      </c>
      <c r="J1011" s="12">
        <f t="shared" si="153"/>
        <v>-19.2</v>
      </c>
      <c r="K1011" s="17" t="str">
        <f t="shared" si="158"/>
        <v>Ecart négatif</v>
      </c>
      <c r="L1011" s="16">
        <f>base!X1011</f>
        <v>19.2</v>
      </c>
      <c r="M1011" s="11">
        <f t="shared" si="154"/>
        <v>0.3</v>
      </c>
      <c r="N1011" s="11">
        <f t="shared" si="155"/>
        <v>13.44</v>
      </c>
      <c r="O1011" s="11">
        <f t="shared" si="156"/>
        <v>0.21</v>
      </c>
      <c r="P1011" s="12">
        <f t="shared" si="157"/>
        <v>5.76</v>
      </c>
      <c r="Q1011" s="17" t="str">
        <f t="shared" si="159"/>
        <v>Ecart positif</v>
      </c>
      <c r="R1011" s="38"/>
    </row>
    <row r="1012" spans="1:18" x14ac:dyDescent="0.3">
      <c r="A1012" s="34" t="str">
        <f>base!J1012</f>
        <v>LS</v>
      </c>
      <c r="B1012" s="34" t="str">
        <f>base!V1012</f>
        <v>64121</v>
      </c>
      <c r="C1012" s="37">
        <v>56</v>
      </c>
      <c r="D1012" s="36">
        <f>base!H1012</f>
        <v>126.65</v>
      </c>
      <c r="E1012" s="44"/>
      <c r="F1012" s="16">
        <f>base!W1012</f>
        <v>26.6</v>
      </c>
      <c r="G1012" s="11">
        <f t="shared" si="150"/>
        <v>0.21002763521515988</v>
      </c>
      <c r="H1012" s="11">
        <f t="shared" si="151"/>
        <v>34.195500000000003</v>
      </c>
      <c r="I1012" s="11">
        <f t="shared" si="152"/>
        <v>0.27</v>
      </c>
      <c r="J1012" s="12">
        <f t="shared" si="153"/>
        <v>-7.5955000000000013</v>
      </c>
      <c r="K1012" s="17" t="str">
        <f t="shared" si="158"/>
        <v>Ecart négatif</v>
      </c>
      <c r="L1012" s="16">
        <f>base!X1012</f>
        <v>0</v>
      </c>
      <c r="M1012" s="11">
        <f t="shared" si="154"/>
        <v>0</v>
      </c>
      <c r="N1012" s="11">
        <f t="shared" si="155"/>
        <v>0</v>
      </c>
      <c r="O1012" s="11">
        <f t="shared" si="156"/>
        <v>0</v>
      </c>
      <c r="P1012" s="12">
        <f t="shared" si="157"/>
        <v>0</v>
      </c>
      <c r="Q1012" s="17" t="str">
        <f t="shared" si="159"/>
        <v>Pas d'écart</v>
      </c>
    </row>
    <row r="1013" spans="1:18" x14ac:dyDescent="0.3">
      <c r="A1013" s="34" t="str">
        <f>base!J1013</f>
        <v>LS</v>
      </c>
      <c r="B1013" s="34" t="str">
        <f>base!V1013</f>
        <v>34500</v>
      </c>
      <c r="C1013" s="37">
        <v>21</v>
      </c>
      <c r="D1013" s="36">
        <f>base!H1013</f>
        <v>143.44999999999999</v>
      </c>
      <c r="E1013" s="44"/>
      <c r="F1013" s="16">
        <f>base!W1013</f>
        <v>55.95</v>
      </c>
      <c r="G1013" s="11">
        <f t="shared" si="150"/>
        <v>0.3900313698152667</v>
      </c>
      <c r="H1013" s="11">
        <f t="shared" si="151"/>
        <v>34.427999999999997</v>
      </c>
      <c r="I1013" s="11">
        <f t="shared" si="152"/>
        <v>0.24</v>
      </c>
      <c r="J1013" s="12">
        <f t="shared" si="153"/>
        <v>21.522000000000006</v>
      </c>
      <c r="K1013" s="17" t="str">
        <f t="shared" si="158"/>
        <v>Ecart positif</v>
      </c>
      <c r="L1013" s="16">
        <f>base!X1013</f>
        <v>0</v>
      </c>
      <c r="M1013" s="11">
        <f t="shared" si="154"/>
        <v>0</v>
      </c>
      <c r="N1013" s="11">
        <f t="shared" si="155"/>
        <v>17.213999999999999</v>
      </c>
      <c r="O1013" s="11">
        <f t="shared" si="156"/>
        <v>0.12</v>
      </c>
      <c r="P1013" s="12">
        <f t="shared" si="157"/>
        <v>-17.213999999999999</v>
      </c>
      <c r="Q1013" s="17" t="str">
        <f t="shared" si="159"/>
        <v>Ecart négatif</v>
      </c>
    </row>
    <row r="1014" spans="1:18" x14ac:dyDescent="0.3">
      <c r="A1014" s="34" t="str">
        <f>base!J1014</f>
        <v>LS</v>
      </c>
      <c r="B1014" s="34" t="str">
        <f>base!V1014</f>
        <v>73000</v>
      </c>
      <c r="C1014" s="37">
        <v>21</v>
      </c>
      <c r="D1014" s="36">
        <f>base!H1014</f>
        <v>138.12</v>
      </c>
      <c r="E1014" s="44"/>
      <c r="F1014" s="16">
        <f>base!W1014</f>
        <v>37.29</v>
      </c>
      <c r="G1014" s="11">
        <f t="shared" si="150"/>
        <v>0.26998262380538662</v>
      </c>
      <c r="H1014" s="11">
        <f t="shared" si="151"/>
        <v>33.148800000000001</v>
      </c>
      <c r="I1014" s="11">
        <f t="shared" si="152"/>
        <v>0.24</v>
      </c>
      <c r="J1014" s="12">
        <f t="shared" si="153"/>
        <v>4.1411999999999978</v>
      </c>
      <c r="K1014" s="17" t="str">
        <f t="shared" si="158"/>
        <v>Ecart positif</v>
      </c>
      <c r="L1014" s="16">
        <f>base!X1014</f>
        <v>0</v>
      </c>
      <c r="M1014" s="11">
        <f t="shared" si="154"/>
        <v>0</v>
      </c>
      <c r="N1014" s="11">
        <f t="shared" si="155"/>
        <v>16.574400000000001</v>
      </c>
      <c r="O1014" s="11">
        <f t="shared" si="156"/>
        <v>0.12</v>
      </c>
      <c r="P1014" s="12">
        <f t="shared" si="157"/>
        <v>-16.574400000000001</v>
      </c>
      <c r="Q1014" s="17" t="str">
        <f t="shared" si="159"/>
        <v>Ecart négatif</v>
      </c>
    </row>
    <row r="1015" spans="1:18" x14ac:dyDescent="0.3">
      <c r="A1015" s="34" t="str">
        <f>base!J1015</f>
        <v>RM</v>
      </c>
      <c r="B1015" s="34" t="str">
        <f>base!V1015</f>
        <v>25000</v>
      </c>
      <c r="C1015" s="37">
        <v>25</v>
      </c>
      <c r="D1015" s="36">
        <f>base!H1015</f>
        <v>151</v>
      </c>
      <c r="E1015" s="44"/>
      <c r="F1015" s="16">
        <f>base!W1015</f>
        <v>0</v>
      </c>
      <c r="G1015" s="11">
        <f t="shared" si="150"/>
        <v>0</v>
      </c>
      <c r="H1015" s="11">
        <f t="shared" si="151"/>
        <v>36.24</v>
      </c>
      <c r="I1015" s="11">
        <f t="shared" si="152"/>
        <v>0.24000000000000002</v>
      </c>
      <c r="J1015" s="12">
        <f t="shared" si="153"/>
        <v>-36.24</v>
      </c>
      <c r="K1015" s="17" t="str">
        <f t="shared" si="158"/>
        <v>Ecart négatif</v>
      </c>
      <c r="L1015" s="16">
        <f>base!X1015</f>
        <v>0</v>
      </c>
      <c r="M1015" s="11">
        <f t="shared" si="154"/>
        <v>0</v>
      </c>
      <c r="N1015" s="11">
        <f t="shared" si="155"/>
        <v>18.12</v>
      </c>
      <c r="O1015" s="11">
        <f t="shared" si="156"/>
        <v>0.12000000000000001</v>
      </c>
      <c r="P1015" s="12">
        <f t="shared" si="157"/>
        <v>-18.12</v>
      </c>
      <c r="Q1015" s="17" t="str">
        <f t="shared" si="159"/>
        <v>Ecart négatif</v>
      </c>
    </row>
    <row r="1016" spans="1:18" x14ac:dyDescent="0.3">
      <c r="A1016" s="34" t="str">
        <f>base!J1016</f>
        <v>LS</v>
      </c>
      <c r="B1016" s="34" t="str">
        <f>base!V1016</f>
        <v>45190</v>
      </c>
      <c r="C1016" s="37">
        <v>37</v>
      </c>
      <c r="D1016" s="36">
        <f>base!H1016</f>
        <v>131.29</v>
      </c>
      <c r="E1016" s="44"/>
      <c r="F1016" s="16">
        <f>base!W1016</f>
        <v>27.57</v>
      </c>
      <c r="G1016" s="11">
        <f t="shared" si="150"/>
        <v>0.20999314494630208</v>
      </c>
      <c r="H1016" s="11">
        <f t="shared" si="151"/>
        <v>24.9451</v>
      </c>
      <c r="I1016" s="11">
        <f t="shared" si="152"/>
        <v>0.19</v>
      </c>
      <c r="J1016" s="12">
        <f t="shared" si="153"/>
        <v>2.6249000000000002</v>
      </c>
      <c r="K1016" s="17" t="str">
        <f t="shared" si="158"/>
        <v>Ecart positif</v>
      </c>
      <c r="L1016" s="16">
        <f>base!X1016</f>
        <v>0</v>
      </c>
      <c r="M1016" s="11">
        <f t="shared" si="154"/>
        <v>0</v>
      </c>
      <c r="N1016" s="11">
        <f t="shared" si="155"/>
        <v>15.754799999999998</v>
      </c>
      <c r="O1016" s="11">
        <f t="shared" si="156"/>
        <v>0.12</v>
      </c>
      <c r="P1016" s="12">
        <f t="shared" si="157"/>
        <v>-15.754799999999998</v>
      </c>
      <c r="Q1016" s="17" t="str">
        <f t="shared" si="159"/>
        <v>Ecart négatif</v>
      </c>
    </row>
    <row r="1017" spans="1:18" x14ac:dyDescent="0.3">
      <c r="A1017" s="34" t="str">
        <f>base!J1017</f>
        <v>LM</v>
      </c>
      <c r="B1017" s="34" t="str">
        <f>base!V1017</f>
        <v>15000</v>
      </c>
      <c r="C1017" s="37">
        <v>61</v>
      </c>
      <c r="D1017" s="36">
        <f>base!H1017</f>
        <v>86.27</v>
      </c>
      <c r="E1017" s="44"/>
      <c r="F1017" s="16">
        <f>base!W1017</f>
        <v>25.02</v>
      </c>
      <c r="G1017" s="11">
        <f t="shared" si="150"/>
        <v>0.2900197055755187</v>
      </c>
      <c r="H1017" s="11">
        <f t="shared" si="151"/>
        <v>14.665900000000001</v>
      </c>
      <c r="I1017" s="11">
        <f t="shared" si="152"/>
        <v>0.17</v>
      </c>
      <c r="J1017" s="12">
        <f t="shared" si="153"/>
        <v>10.354099999999999</v>
      </c>
      <c r="K1017" s="17" t="str">
        <f t="shared" si="158"/>
        <v>Ecart positif</v>
      </c>
      <c r="L1017" s="16">
        <f>base!X1017</f>
        <v>0</v>
      </c>
      <c r="M1017" s="11">
        <f t="shared" si="154"/>
        <v>0</v>
      </c>
      <c r="N1017" s="11">
        <f t="shared" si="155"/>
        <v>14.665900000000001</v>
      </c>
      <c r="O1017" s="11">
        <f t="shared" si="156"/>
        <v>0.17</v>
      </c>
      <c r="P1017" s="12">
        <f t="shared" si="157"/>
        <v>-14.665900000000001</v>
      </c>
      <c r="Q1017" s="17" t="str">
        <f t="shared" si="159"/>
        <v>Ecart négatif</v>
      </c>
    </row>
    <row r="1018" spans="1:18" x14ac:dyDescent="0.3">
      <c r="A1018" s="34" t="str">
        <f>base!J1018</f>
        <v>LS</v>
      </c>
      <c r="B1018" s="34" t="str">
        <f>base!V1018</f>
        <v>69006</v>
      </c>
      <c r="C1018" s="37">
        <v>61</v>
      </c>
      <c r="D1018" s="36">
        <f>base!H1018</f>
        <v>55.14</v>
      </c>
      <c r="E1018" s="44"/>
      <c r="F1018" s="16">
        <f>base!W1018</f>
        <v>14.89</v>
      </c>
      <c r="G1018" s="11">
        <f t="shared" si="150"/>
        <v>0.27003989844033371</v>
      </c>
      <c r="H1018" s="11">
        <f t="shared" si="151"/>
        <v>9.373800000000001</v>
      </c>
      <c r="I1018" s="11">
        <f t="shared" si="152"/>
        <v>0.17</v>
      </c>
      <c r="J1018" s="12">
        <f t="shared" si="153"/>
        <v>5.5161999999999995</v>
      </c>
      <c r="K1018" s="17" t="str">
        <f t="shared" si="158"/>
        <v>Ecart positif</v>
      </c>
      <c r="L1018" s="16">
        <f>base!X1018</f>
        <v>0</v>
      </c>
      <c r="M1018" s="11">
        <f t="shared" si="154"/>
        <v>0</v>
      </c>
      <c r="N1018" s="11">
        <f t="shared" si="155"/>
        <v>9.373800000000001</v>
      </c>
      <c r="O1018" s="11">
        <f t="shared" si="156"/>
        <v>0.17</v>
      </c>
      <c r="P1018" s="12">
        <f t="shared" si="157"/>
        <v>-9.373800000000001</v>
      </c>
      <c r="Q1018" s="17" t="str">
        <f t="shared" si="159"/>
        <v>Ecart négatif</v>
      </c>
    </row>
    <row r="1019" spans="1:18" x14ac:dyDescent="0.3">
      <c r="A1019" s="34" t="str">
        <f>base!J1019</f>
        <v>LM</v>
      </c>
      <c r="B1019" s="34" t="str">
        <f>base!V1019</f>
        <v>75014</v>
      </c>
      <c r="C1019" s="37">
        <v>75</v>
      </c>
      <c r="D1019" s="36">
        <f>base!H1019</f>
        <v>137.59</v>
      </c>
      <c r="E1019" s="44"/>
      <c r="F1019" s="16">
        <f>base!W1019</f>
        <v>0</v>
      </c>
      <c r="G1019" s="11">
        <f t="shared" si="150"/>
        <v>0</v>
      </c>
      <c r="H1019" s="11">
        <f t="shared" si="151"/>
        <v>0</v>
      </c>
      <c r="I1019" s="11">
        <f t="shared" si="152"/>
        <v>0</v>
      </c>
      <c r="J1019" s="12">
        <f t="shared" si="153"/>
        <v>0</v>
      </c>
      <c r="K1019" s="17" t="str">
        <f t="shared" si="158"/>
        <v>Pas d'écart</v>
      </c>
      <c r="L1019" s="16">
        <f>base!X1019</f>
        <v>0</v>
      </c>
      <c r="M1019" s="11">
        <f t="shared" si="154"/>
        <v>0</v>
      </c>
      <c r="N1019" s="11">
        <f t="shared" si="155"/>
        <v>0</v>
      </c>
      <c r="O1019" s="11">
        <f t="shared" si="156"/>
        <v>0</v>
      </c>
      <c r="P1019" s="12">
        <f t="shared" si="157"/>
        <v>0</v>
      </c>
      <c r="Q1019" s="17" t="str">
        <f t="shared" si="159"/>
        <v>Pas d'écart</v>
      </c>
    </row>
    <row r="1020" spans="1:18" x14ac:dyDescent="0.3">
      <c r="A1020" s="34" t="str">
        <f>base!J1020</f>
        <v>LS</v>
      </c>
      <c r="B1020" s="34" t="str">
        <f>base!V1020</f>
        <v>75014</v>
      </c>
      <c r="C1020" s="37">
        <v>75</v>
      </c>
      <c r="D1020" s="36">
        <f>base!H1020</f>
        <v>137.59</v>
      </c>
      <c r="E1020" s="44"/>
      <c r="F1020" s="16">
        <f>base!W1020</f>
        <v>0</v>
      </c>
      <c r="G1020" s="11">
        <f t="shared" si="150"/>
        <v>0</v>
      </c>
      <c r="H1020" s="11">
        <f t="shared" si="151"/>
        <v>0</v>
      </c>
      <c r="I1020" s="11">
        <f t="shared" si="152"/>
        <v>0</v>
      </c>
      <c r="J1020" s="12">
        <f t="shared" si="153"/>
        <v>0</v>
      </c>
      <c r="K1020" s="17" t="str">
        <f t="shared" si="158"/>
        <v>Pas d'écart</v>
      </c>
      <c r="L1020" s="16">
        <f>base!X1020</f>
        <v>0</v>
      </c>
      <c r="M1020" s="11">
        <f t="shared" si="154"/>
        <v>0</v>
      </c>
      <c r="N1020" s="11">
        <f t="shared" si="155"/>
        <v>0</v>
      </c>
      <c r="O1020" s="11">
        <f t="shared" si="156"/>
        <v>0</v>
      </c>
      <c r="P1020" s="12">
        <f t="shared" si="157"/>
        <v>0</v>
      </c>
      <c r="Q1020" s="17" t="str">
        <f t="shared" si="159"/>
        <v>Pas d'écart</v>
      </c>
    </row>
    <row r="1021" spans="1:18" x14ac:dyDescent="0.3">
      <c r="A1021" s="34" t="str">
        <f>base!J1021</f>
        <v>LS</v>
      </c>
      <c r="B1021" s="34" t="str">
        <f>base!V1021</f>
        <v>35530</v>
      </c>
      <c r="C1021" s="37">
        <v>61</v>
      </c>
      <c r="D1021" s="36">
        <f>base!H1021</f>
        <v>55.34</v>
      </c>
      <c r="E1021" s="44"/>
      <c r="F1021" s="16">
        <f>base!W1021</f>
        <v>14.94</v>
      </c>
      <c r="G1021" s="11">
        <f t="shared" si="150"/>
        <v>0.26996747379833752</v>
      </c>
      <c r="H1021" s="11">
        <f t="shared" si="151"/>
        <v>9.4078000000000017</v>
      </c>
      <c r="I1021" s="11">
        <f t="shared" si="152"/>
        <v>0.17</v>
      </c>
      <c r="J1021" s="12">
        <f t="shared" si="153"/>
        <v>5.5321999999999978</v>
      </c>
      <c r="K1021" s="17" t="str">
        <f t="shared" si="158"/>
        <v>Ecart positif</v>
      </c>
      <c r="L1021" s="16">
        <f>base!X1021</f>
        <v>0</v>
      </c>
      <c r="M1021" s="11">
        <f t="shared" si="154"/>
        <v>0</v>
      </c>
      <c r="N1021" s="11">
        <f t="shared" si="155"/>
        <v>9.4078000000000017</v>
      </c>
      <c r="O1021" s="11">
        <f t="shared" si="156"/>
        <v>0.17</v>
      </c>
      <c r="P1021" s="12">
        <f t="shared" si="157"/>
        <v>-9.4078000000000017</v>
      </c>
      <c r="Q1021" s="17" t="str">
        <f t="shared" si="159"/>
        <v>Ecart négatif</v>
      </c>
    </row>
    <row r="1022" spans="1:18" x14ac:dyDescent="0.3">
      <c r="A1022" s="34" t="str">
        <f>base!J1022</f>
        <v>LM</v>
      </c>
      <c r="B1022" s="34" t="str">
        <f>base!V1022</f>
        <v>67000</v>
      </c>
      <c r="C1022" s="37">
        <v>76</v>
      </c>
      <c r="D1022" s="36">
        <f>base!H1022</f>
        <v>174.15</v>
      </c>
      <c r="E1022" s="44"/>
      <c r="F1022" s="16">
        <f>base!W1022</f>
        <v>50.5</v>
      </c>
      <c r="G1022" s="11">
        <f t="shared" si="150"/>
        <v>0.28997990238300314</v>
      </c>
      <c r="H1022" s="11">
        <f t="shared" si="151"/>
        <v>29.605500000000003</v>
      </c>
      <c r="I1022" s="11">
        <f t="shared" si="152"/>
        <v>0.17</v>
      </c>
      <c r="J1022" s="12">
        <f t="shared" si="153"/>
        <v>20.894499999999997</v>
      </c>
      <c r="K1022" s="17" t="str">
        <f t="shared" si="158"/>
        <v>Ecart positif</v>
      </c>
      <c r="L1022" s="16">
        <f>base!X1022</f>
        <v>0</v>
      </c>
      <c r="M1022" s="11">
        <f t="shared" si="154"/>
        <v>0</v>
      </c>
      <c r="N1022" s="11">
        <f t="shared" si="155"/>
        <v>29.605500000000003</v>
      </c>
      <c r="O1022" s="11">
        <f t="shared" si="156"/>
        <v>0.17</v>
      </c>
      <c r="P1022" s="12">
        <f t="shared" si="157"/>
        <v>-29.605500000000003</v>
      </c>
      <c r="Q1022" s="17" t="str">
        <f t="shared" si="159"/>
        <v>Ecart négatif</v>
      </c>
    </row>
    <row r="1023" spans="1:18" x14ac:dyDescent="0.3">
      <c r="A1023" s="34" t="str">
        <f>base!J1023</f>
        <v>LS</v>
      </c>
      <c r="B1023" s="34" t="str">
        <f>base!V1023</f>
        <v>25000</v>
      </c>
      <c r="C1023" s="37">
        <v>27</v>
      </c>
      <c r="D1023" s="36">
        <f>base!H1023</f>
        <v>171.81</v>
      </c>
      <c r="E1023" s="44"/>
      <c r="F1023" s="16">
        <f>base!W1023</f>
        <v>41.23</v>
      </c>
      <c r="G1023" s="11">
        <f t="shared" si="150"/>
        <v>0.23997439031488269</v>
      </c>
      <c r="H1023" s="11">
        <f t="shared" si="151"/>
        <v>29.207700000000003</v>
      </c>
      <c r="I1023" s="11">
        <f t="shared" si="152"/>
        <v>0.17</v>
      </c>
      <c r="J1023" s="12">
        <f t="shared" si="153"/>
        <v>12.022299999999994</v>
      </c>
      <c r="K1023" s="17" t="str">
        <f t="shared" si="158"/>
        <v>Ecart positif</v>
      </c>
      <c r="L1023" s="16">
        <f>base!X1023</f>
        <v>0</v>
      </c>
      <c r="M1023" s="11">
        <f t="shared" si="154"/>
        <v>0</v>
      </c>
      <c r="N1023" s="11">
        <f t="shared" si="155"/>
        <v>29.207700000000003</v>
      </c>
      <c r="O1023" s="11">
        <f t="shared" si="156"/>
        <v>0.17</v>
      </c>
      <c r="P1023" s="12">
        <f t="shared" si="157"/>
        <v>-29.207700000000003</v>
      </c>
      <c r="Q1023" s="17" t="str">
        <f t="shared" si="159"/>
        <v>Ecart négatif</v>
      </c>
    </row>
    <row r="1024" spans="1:18" x14ac:dyDescent="0.3">
      <c r="A1024" s="34" t="str">
        <f>base!J1024</f>
        <v>LS</v>
      </c>
      <c r="B1024" s="34" t="str">
        <f>base!V1024</f>
        <v>45000</v>
      </c>
      <c r="C1024" s="37">
        <v>61</v>
      </c>
      <c r="D1024" s="36">
        <f>base!H1024</f>
        <v>75.27</v>
      </c>
      <c r="E1024" s="44"/>
      <c r="F1024" s="16">
        <f>base!W1024</f>
        <v>15.81</v>
      </c>
      <c r="G1024" s="11">
        <f t="shared" si="150"/>
        <v>0.21004384216819452</v>
      </c>
      <c r="H1024" s="11">
        <f t="shared" si="151"/>
        <v>12.7959</v>
      </c>
      <c r="I1024" s="11">
        <f t="shared" si="152"/>
        <v>0.17</v>
      </c>
      <c r="J1024" s="12">
        <f t="shared" si="153"/>
        <v>3.0141000000000009</v>
      </c>
      <c r="K1024" s="17" t="str">
        <f t="shared" si="158"/>
        <v>Ecart positif</v>
      </c>
      <c r="L1024" s="16">
        <f>base!X1024</f>
        <v>0</v>
      </c>
      <c r="M1024" s="11">
        <f t="shared" si="154"/>
        <v>0</v>
      </c>
      <c r="N1024" s="11">
        <f t="shared" si="155"/>
        <v>12.7959</v>
      </c>
      <c r="O1024" s="11">
        <f t="shared" si="156"/>
        <v>0.17</v>
      </c>
      <c r="P1024" s="12">
        <f t="shared" si="157"/>
        <v>-12.7959</v>
      </c>
      <c r="Q1024" s="17" t="str">
        <f t="shared" si="159"/>
        <v>Ecart négatif</v>
      </c>
    </row>
    <row r="1025" spans="1:18" x14ac:dyDescent="0.3">
      <c r="A1025" s="34" t="str">
        <f>base!J1025</f>
        <v>RS</v>
      </c>
      <c r="B1025" s="34" t="str">
        <f>base!V1025</f>
        <v>52000</v>
      </c>
      <c r="C1025" s="37">
        <v>52</v>
      </c>
      <c r="D1025" s="36">
        <f>base!H1025</f>
        <v>140.72</v>
      </c>
      <c r="E1025" s="44"/>
      <c r="F1025" s="16">
        <f>base!W1025</f>
        <v>0</v>
      </c>
      <c r="G1025" s="11">
        <f t="shared" si="150"/>
        <v>0</v>
      </c>
      <c r="H1025" s="11">
        <f t="shared" si="151"/>
        <v>25.329599999999999</v>
      </c>
      <c r="I1025" s="11">
        <f t="shared" si="152"/>
        <v>0.18</v>
      </c>
      <c r="J1025" s="12">
        <f t="shared" si="153"/>
        <v>-25.329599999999999</v>
      </c>
      <c r="K1025" s="17" t="str">
        <f t="shared" si="158"/>
        <v>Ecart négatif</v>
      </c>
      <c r="L1025" s="16">
        <f>base!X1025</f>
        <v>16.89</v>
      </c>
      <c r="M1025" s="11">
        <f t="shared" si="154"/>
        <v>0.1200255827174531</v>
      </c>
      <c r="N1025" s="11">
        <f t="shared" si="155"/>
        <v>16.886399999999998</v>
      </c>
      <c r="O1025" s="11">
        <f t="shared" si="156"/>
        <v>0.12</v>
      </c>
      <c r="P1025" s="12">
        <f t="shared" si="157"/>
        <v>3.6000000000022681E-3</v>
      </c>
      <c r="Q1025" s="17" t="str">
        <f t="shared" si="159"/>
        <v>Ecart positif</v>
      </c>
      <c r="R1025" s="38"/>
    </row>
    <row r="1026" spans="1:18" x14ac:dyDescent="0.3">
      <c r="A1026" s="34" t="str">
        <f>base!J1026</f>
        <v>LS</v>
      </c>
      <c r="B1026" s="34" t="str">
        <f>base!V1026</f>
        <v>76000</v>
      </c>
      <c r="C1026" s="37">
        <v>61</v>
      </c>
      <c r="D1026" s="36">
        <f>base!H1026</f>
        <v>171.3</v>
      </c>
      <c r="E1026" s="44"/>
      <c r="F1026" s="16">
        <f>base!W1026</f>
        <v>29.12</v>
      </c>
      <c r="G1026" s="11">
        <f t="shared" ref="G1026:G1089" si="160">F1026/D1026</f>
        <v>0.16999416228838296</v>
      </c>
      <c r="H1026" s="11">
        <f t="shared" ref="H1026:H1089" si="161">VLOOKUP(C1026,tout_cout_traction,2,FALSE)*D1026</f>
        <v>29.121000000000006</v>
      </c>
      <c r="I1026" s="11">
        <f t="shared" ref="I1026:I1089" si="162">H1026/D1026</f>
        <v>0.17</v>
      </c>
      <c r="J1026" s="12">
        <f t="shared" ref="J1026:J1089" si="163">F1026-H1026</f>
        <v>-1.0000000000047748E-3</v>
      </c>
      <c r="K1026" s="17" t="str">
        <f t="shared" si="158"/>
        <v>Ecart négatif</v>
      </c>
      <c r="L1026" s="16">
        <f>base!X1026</f>
        <v>0</v>
      </c>
      <c r="M1026" s="11">
        <f t="shared" ref="M1026:M1089" si="164">L1026/D1026</f>
        <v>0</v>
      </c>
      <c r="N1026" s="11">
        <f t="shared" ref="N1026:N1089" si="165">VLOOKUP(C1026,tout_cout_traction,3,FALSE)*D1026</f>
        <v>29.121000000000006</v>
      </c>
      <c r="O1026" s="11">
        <f t="shared" ref="O1026:O1089" si="166">N1026/D1026</f>
        <v>0.17</v>
      </c>
      <c r="P1026" s="12">
        <f t="shared" ref="P1026:P1089" si="167">L1026-N1026</f>
        <v>-29.121000000000006</v>
      </c>
      <c r="Q1026" s="17" t="str">
        <f t="shared" si="159"/>
        <v>Ecart négatif</v>
      </c>
    </row>
    <row r="1027" spans="1:18" x14ac:dyDescent="0.3">
      <c r="A1027" s="34" t="str">
        <f>base!J1027</f>
        <v>LS</v>
      </c>
      <c r="B1027" s="34" t="str">
        <f>base!V1027</f>
        <v>69002</v>
      </c>
      <c r="C1027" s="37">
        <v>61</v>
      </c>
      <c r="D1027" s="36">
        <f>base!H1027</f>
        <v>12</v>
      </c>
      <c r="E1027" s="44"/>
      <c r="F1027" s="16">
        <f>base!W1027</f>
        <v>3.24</v>
      </c>
      <c r="G1027" s="11">
        <f t="shared" si="160"/>
        <v>0.27</v>
      </c>
      <c r="H1027" s="11">
        <f t="shared" si="161"/>
        <v>2.04</v>
      </c>
      <c r="I1027" s="11">
        <f t="shared" si="162"/>
        <v>0.17</v>
      </c>
      <c r="J1027" s="12">
        <f t="shared" si="163"/>
        <v>1.2000000000000002</v>
      </c>
      <c r="K1027" s="17" t="str">
        <f t="shared" ref="K1027:K1090" si="168">IF(H1027=F1027,"Pas d'écart",IF(H1027&lt;F1027,"Ecart positif",IF(H1027&gt;F1027,"Ecart négatif")))</f>
        <v>Ecart positif</v>
      </c>
      <c r="L1027" s="16">
        <f>base!X1027</f>
        <v>0</v>
      </c>
      <c r="M1027" s="11">
        <f t="shared" si="164"/>
        <v>0</v>
      </c>
      <c r="N1027" s="11">
        <f t="shared" si="165"/>
        <v>2.04</v>
      </c>
      <c r="O1027" s="11">
        <f t="shared" si="166"/>
        <v>0.17</v>
      </c>
      <c r="P1027" s="12">
        <f t="shared" si="167"/>
        <v>-2.04</v>
      </c>
      <c r="Q1027" s="17" t="str">
        <f t="shared" ref="Q1027:Q1090" si="169">IF(N1027=L1027,"Pas d'écart",IF(N1027&lt;L1027,"Ecart positif",IF(N1027&gt;L1027,"Ecart négatif")))</f>
        <v>Ecart négatif</v>
      </c>
    </row>
    <row r="1028" spans="1:18" x14ac:dyDescent="0.3">
      <c r="A1028" s="34" t="str">
        <f>base!J1028</f>
        <v>RM</v>
      </c>
      <c r="B1028" s="34" t="str">
        <f>base!V1028</f>
        <v>69002</v>
      </c>
      <c r="C1028" s="37">
        <v>69</v>
      </c>
      <c r="D1028" s="36">
        <f>base!H1028</f>
        <v>200</v>
      </c>
      <c r="E1028" s="44"/>
      <c r="F1028" s="16">
        <f>base!W1028</f>
        <v>0</v>
      </c>
      <c r="G1028" s="11">
        <f t="shared" si="160"/>
        <v>0</v>
      </c>
      <c r="H1028" s="11">
        <f t="shared" si="161"/>
        <v>54</v>
      </c>
      <c r="I1028" s="11">
        <f t="shared" si="162"/>
        <v>0.27</v>
      </c>
      <c r="J1028" s="12">
        <f t="shared" si="163"/>
        <v>-54</v>
      </c>
      <c r="K1028" s="17" t="str">
        <f t="shared" si="168"/>
        <v>Ecart négatif</v>
      </c>
      <c r="L1028" s="16">
        <f>base!X1028</f>
        <v>54</v>
      </c>
      <c r="M1028" s="11">
        <f t="shared" si="164"/>
        <v>0.27</v>
      </c>
      <c r="N1028" s="11">
        <f t="shared" si="165"/>
        <v>0</v>
      </c>
      <c r="O1028" s="11">
        <f t="shared" si="166"/>
        <v>0</v>
      </c>
      <c r="P1028" s="12">
        <f t="shared" si="167"/>
        <v>54</v>
      </c>
      <c r="Q1028" s="17" t="str">
        <f t="shared" si="169"/>
        <v>Ecart positif</v>
      </c>
    </row>
    <row r="1029" spans="1:18" x14ac:dyDescent="0.3">
      <c r="A1029" s="34" t="str">
        <f>base!J1029</f>
        <v>RM</v>
      </c>
      <c r="B1029" s="34" t="str">
        <f>base!V1029</f>
        <v>44350</v>
      </c>
      <c r="C1029" s="37">
        <v>44</v>
      </c>
      <c r="D1029" s="36">
        <f>base!H1029</f>
        <v>27</v>
      </c>
      <c r="E1029" s="44"/>
      <c r="F1029" s="16">
        <f>base!W1029</f>
        <v>0</v>
      </c>
      <c r="G1029" s="11">
        <f t="shared" si="160"/>
        <v>0</v>
      </c>
      <c r="H1029" s="11">
        <f t="shared" si="161"/>
        <v>7.2900000000000009</v>
      </c>
      <c r="I1029" s="11">
        <f t="shared" si="162"/>
        <v>0.27</v>
      </c>
      <c r="J1029" s="12">
        <f t="shared" si="163"/>
        <v>-7.2900000000000009</v>
      </c>
      <c r="K1029" s="17" t="str">
        <f t="shared" si="168"/>
        <v>Ecart négatif</v>
      </c>
      <c r="L1029" s="16">
        <f>base!X1029</f>
        <v>0</v>
      </c>
      <c r="M1029" s="11">
        <f t="shared" si="164"/>
        <v>0</v>
      </c>
      <c r="N1029" s="11">
        <f t="shared" si="165"/>
        <v>0</v>
      </c>
      <c r="O1029" s="11">
        <f t="shared" si="166"/>
        <v>0</v>
      </c>
      <c r="P1029" s="12">
        <f t="shared" si="167"/>
        <v>0</v>
      </c>
      <c r="Q1029" s="17" t="str">
        <f t="shared" si="169"/>
        <v>Pas d'écart</v>
      </c>
    </row>
    <row r="1030" spans="1:18" x14ac:dyDescent="0.3">
      <c r="A1030" s="34" t="str">
        <f>base!J1030</f>
        <v>RS</v>
      </c>
      <c r="B1030" s="34" t="str">
        <f>base!V1030</f>
        <v>14200</v>
      </c>
      <c r="C1030" s="37">
        <v>14</v>
      </c>
      <c r="D1030" s="36">
        <f>base!H1030</f>
        <v>40</v>
      </c>
      <c r="E1030" s="44"/>
      <c r="F1030" s="16">
        <f>base!W1030</f>
        <v>0</v>
      </c>
      <c r="G1030" s="11">
        <f t="shared" si="160"/>
        <v>0</v>
      </c>
      <c r="H1030" s="11">
        <f t="shared" si="161"/>
        <v>6.8000000000000007</v>
      </c>
      <c r="I1030" s="11">
        <f t="shared" si="162"/>
        <v>0.17</v>
      </c>
      <c r="J1030" s="12">
        <f t="shared" si="163"/>
        <v>-6.8000000000000007</v>
      </c>
      <c r="K1030" s="17" t="str">
        <f t="shared" si="168"/>
        <v>Ecart négatif</v>
      </c>
      <c r="L1030" s="16">
        <f>base!X1030</f>
        <v>6.8</v>
      </c>
      <c r="M1030" s="11">
        <f t="shared" si="164"/>
        <v>0.16999999999999998</v>
      </c>
      <c r="N1030" s="11">
        <f t="shared" si="165"/>
        <v>6.8000000000000007</v>
      </c>
      <c r="O1030" s="11">
        <f t="shared" si="166"/>
        <v>0.17</v>
      </c>
      <c r="P1030" s="12">
        <f t="shared" si="167"/>
        <v>0</v>
      </c>
      <c r="Q1030" s="17" t="str">
        <f t="shared" si="169"/>
        <v>Pas d'écart</v>
      </c>
    </row>
    <row r="1031" spans="1:18" x14ac:dyDescent="0.3">
      <c r="A1031" s="34" t="str">
        <f>base!J1031</f>
        <v>LM</v>
      </c>
      <c r="B1031" s="34" t="str">
        <f>base!V1031</f>
        <v>30105</v>
      </c>
      <c r="C1031" s="37">
        <v>30</v>
      </c>
      <c r="D1031" s="36">
        <f>base!H1031</f>
        <v>80</v>
      </c>
      <c r="E1031" s="44"/>
      <c r="F1031" s="16">
        <f>base!W1031</f>
        <v>31.2</v>
      </c>
      <c r="G1031" s="11">
        <f t="shared" si="160"/>
        <v>0.39</v>
      </c>
      <c r="H1031" s="11">
        <f t="shared" si="161"/>
        <v>31.200000000000003</v>
      </c>
      <c r="I1031" s="11">
        <f t="shared" si="162"/>
        <v>0.39</v>
      </c>
      <c r="J1031" s="12">
        <f t="shared" si="163"/>
        <v>0</v>
      </c>
      <c r="K1031" s="17" t="str">
        <f t="shared" si="168"/>
        <v>Pas d'écart</v>
      </c>
      <c r="L1031" s="16">
        <f>base!X1031</f>
        <v>0</v>
      </c>
      <c r="M1031" s="11">
        <f t="shared" si="164"/>
        <v>0</v>
      </c>
      <c r="N1031" s="11">
        <f t="shared" si="165"/>
        <v>22.400000000000002</v>
      </c>
      <c r="O1031" s="11">
        <f t="shared" si="166"/>
        <v>0.28000000000000003</v>
      </c>
      <c r="P1031" s="12">
        <f t="shared" si="167"/>
        <v>-22.400000000000002</v>
      </c>
      <c r="Q1031" s="17" t="str">
        <f t="shared" si="169"/>
        <v>Ecart négatif</v>
      </c>
    </row>
    <row r="1032" spans="1:18" x14ac:dyDescent="0.3">
      <c r="A1032" s="34">
        <f>base!J1032</f>
        <v>0</v>
      </c>
      <c r="B1032" s="34" t="str">
        <f>base!V1032</f>
        <v>77184</v>
      </c>
      <c r="C1032" s="37">
        <v>77</v>
      </c>
      <c r="D1032" s="36">
        <f>base!H1032</f>
        <v>137</v>
      </c>
      <c r="E1032" s="44"/>
      <c r="F1032" s="16">
        <f>base!W1032</f>
        <v>0</v>
      </c>
      <c r="G1032" s="11">
        <f t="shared" si="160"/>
        <v>0</v>
      </c>
      <c r="H1032" s="11">
        <f t="shared" si="161"/>
        <v>0</v>
      </c>
      <c r="I1032" s="11">
        <f t="shared" si="162"/>
        <v>0</v>
      </c>
      <c r="J1032" s="12">
        <f t="shared" si="163"/>
        <v>0</v>
      </c>
      <c r="K1032" s="17" t="str">
        <f t="shared" si="168"/>
        <v>Pas d'écart</v>
      </c>
      <c r="L1032" s="16">
        <f>base!X1032</f>
        <v>0</v>
      </c>
      <c r="M1032" s="11">
        <f t="shared" si="164"/>
        <v>0</v>
      </c>
      <c r="N1032" s="11">
        <f t="shared" si="165"/>
        <v>0</v>
      </c>
      <c r="O1032" s="11">
        <f t="shared" si="166"/>
        <v>0</v>
      </c>
      <c r="P1032" s="12">
        <f t="shared" si="167"/>
        <v>0</v>
      </c>
      <c r="Q1032" s="17" t="str">
        <f t="shared" si="169"/>
        <v>Pas d'écart</v>
      </c>
    </row>
    <row r="1033" spans="1:18" x14ac:dyDescent="0.3">
      <c r="A1033" s="34" t="str">
        <f>base!J1033</f>
        <v>RS</v>
      </c>
      <c r="B1033" s="34" t="str">
        <f>base!V1033</f>
        <v>27110</v>
      </c>
      <c r="C1033" s="37">
        <v>27</v>
      </c>
      <c r="D1033" s="36">
        <f>base!H1033</f>
        <v>36.119999999999997</v>
      </c>
      <c r="E1033" s="44"/>
      <c r="F1033" s="16">
        <f>base!W1033</f>
        <v>0</v>
      </c>
      <c r="G1033" s="11">
        <f t="shared" si="160"/>
        <v>0</v>
      </c>
      <c r="H1033" s="11">
        <f t="shared" si="161"/>
        <v>6.1403999999999996</v>
      </c>
      <c r="I1033" s="11">
        <f t="shared" si="162"/>
        <v>0.17</v>
      </c>
      <c r="J1033" s="12">
        <f t="shared" si="163"/>
        <v>-6.1403999999999996</v>
      </c>
      <c r="K1033" s="17" t="str">
        <f t="shared" si="168"/>
        <v>Ecart négatif</v>
      </c>
      <c r="L1033" s="16">
        <f>base!X1033</f>
        <v>6.14</v>
      </c>
      <c r="M1033" s="11">
        <f t="shared" si="164"/>
        <v>0.1699889258028793</v>
      </c>
      <c r="N1033" s="11">
        <f t="shared" si="165"/>
        <v>6.1403999999999996</v>
      </c>
      <c r="O1033" s="11">
        <f t="shared" si="166"/>
        <v>0.17</v>
      </c>
      <c r="P1033" s="12">
        <f t="shared" si="167"/>
        <v>-3.9999999999995595E-4</v>
      </c>
      <c r="Q1033" s="17" t="str">
        <f t="shared" si="169"/>
        <v>Ecart négatif</v>
      </c>
      <c r="R1033" s="38"/>
    </row>
    <row r="1034" spans="1:18" x14ac:dyDescent="0.3">
      <c r="A1034" s="34" t="str">
        <f>base!J1034</f>
        <v>LM</v>
      </c>
      <c r="B1034" s="34" t="str">
        <f>base!V1034</f>
        <v>77173</v>
      </c>
      <c r="C1034" s="37">
        <v>77</v>
      </c>
      <c r="D1034" s="36">
        <f>base!H1034</f>
        <v>55.34</v>
      </c>
      <c r="E1034" s="44"/>
      <c r="F1034" s="16">
        <f>base!W1034</f>
        <v>0</v>
      </c>
      <c r="G1034" s="11">
        <f t="shared" si="160"/>
        <v>0</v>
      </c>
      <c r="H1034" s="11">
        <f t="shared" si="161"/>
        <v>0</v>
      </c>
      <c r="I1034" s="11">
        <f t="shared" si="162"/>
        <v>0</v>
      </c>
      <c r="J1034" s="12">
        <f t="shared" si="163"/>
        <v>0</v>
      </c>
      <c r="K1034" s="17" t="str">
        <f t="shared" si="168"/>
        <v>Pas d'écart</v>
      </c>
      <c r="L1034" s="16">
        <f>base!X1034</f>
        <v>0</v>
      </c>
      <c r="M1034" s="11">
        <f t="shared" si="164"/>
        <v>0</v>
      </c>
      <c r="N1034" s="11">
        <f t="shared" si="165"/>
        <v>0</v>
      </c>
      <c r="O1034" s="11">
        <f t="shared" si="166"/>
        <v>0</v>
      </c>
      <c r="P1034" s="12">
        <f t="shared" si="167"/>
        <v>0</v>
      </c>
      <c r="Q1034" s="17" t="str">
        <f t="shared" si="169"/>
        <v>Pas d'écart</v>
      </c>
    </row>
    <row r="1035" spans="1:18" x14ac:dyDescent="0.3">
      <c r="A1035" s="34" t="str">
        <f>base!J1035</f>
        <v>LS</v>
      </c>
      <c r="B1035" s="34" t="str">
        <f>base!V1035</f>
        <v>75001</v>
      </c>
      <c r="C1035" s="37">
        <v>75</v>
      </c>
      <c r="D1035" s="36">
        <f>base!H1035</f>
        <v>311.89999999999998</v>
      </c>
      <c r="E1035" s="44"/>
      <c r="F1035" s="16">
        <f>base!W1035</f>
        <v>0</v>
      </c>
      <c r="G1035" s="11">
        <f t="shared" si="160"/>
        <v>0</v>
      </c>
      <c r="H1035" s="11">
        <f t="shared" si="161"/>
        <v>0</v>
      </c>
      <c r="I1035" s="11">
        <f t="shared" si="162"/>
        <v>0</v>
      </c>
      <c r="J1035" s="12">
        <f t="shared" si="163"/>
        <v>0</v>
      </c>
      <c r="K1035" s="17" t="str">
        <f t="shared" si="168"/>
        <v>Pas d'écart</v>
      </c>
      <c r="L1035" s="16">
        <f>base!X1035</f>
        <v>0</v>
      </c>
      <c r="M1035" s="11">
        <f t="shared" si="164"/>
        <v>0</v>
      </c>
      <c r="N1035" s="11">
        <f t="shared" si="165"/>
        <v>0</v>
      </c>
      <c r="O1035" s="11">
        <f t="shared" si="166"/>
        <v>0</v>
      </c>
      <c r="P1035" s="12">
        <f t="shared" si="167"/>
        <v>0</v>
      </c>
      <c r="Q1035" s="17" t="str">
        <f t="shared" si="169"/>
        <v>Pas d'écart</v>
      </c>
    </row>
    <row r="1036" spans="1:18" x14ac:dyDescent="0.3">
      <c r="A1036" s="34" t="str">
        <f>base!J1036</f>
        <v>LM</v>
      </c>
      <c r="B1036" s="34" t="str">
        <f>base!V1036</f>
        <v>75014</v>
      </c>
      <c r="C1036" s="37">
        <v>75</v>
      </c>
      <c r="D1036" s="36">
        <f>base!H1036</f>
        <v>19.649999999999999</v>
      </c>
      <c r="E1036" s="44"/>
      <c r="F1036" s="16">
        <f>base!W1036</f>
        <v>0</v>
      </c>
      <c r="G1036" s="11">
        <f t="shared" si="160"/>
        <v>0</v>
      </c>
      <c r="H1036" s="11">
        <f t="shared" si="161"/>
        <v>0</v>
      </c>
      <c r="I1036" s="11">
        <f t="shared" si="162"/>
        <v>0</v>
      </c>
      <c r="J1036" s="12">
        <f t="shared" si="163"/>
        <v>0</v>
      </c>
      <c r="K1036" s="17" t="str">
        <f t="shared" si="168"/>
        <v>Pas d'écart</v>
      </c>
      <c r="L1036" s="16">
        <f>base!X1036</f>
        <v>0</v>
      </c>
      <c r="M1036" s="11">
        <f t="shared" si="164"/>
        <v>0</v>
      </c>
      <c r="N1036" s="11">
        <f t="shared" si="165"/>
        <v>0</v>
      </c>
      <c r="O1036" s="11">
        <f t="shared" si="166"/>
        <v>0</v>
      </c>
      <c r="P1036" s="12">
        <f t="shared" si="167"/>
        <v>0</v>
      </c>
      <c r="Q1036" s="17" t="str">
        <f t="shared" si="169"/>
        <v>Pas d'écart</v>
      </c>
    </row>
    <row r="1037" spans="1:18" x14ac:dyDescent="0.3">
      <c r="A1037" s="34" t="str">
        <f>base!J1037</f>
        <v>LM</v>
      </c>
      <c r="B1037" s="34" t="str">
        <f>base!V1037</f>
        <v>75014</v>
      </c>
      <c r="C1037" s="37">
        <v>75</v>
      </c>
      <c r="D1037" s="36">
        <f>base!H1037</f>
        <v>19.649999999999999</v>
      </c>
      <c r="E1037" s="44"/>
      <c r="F1037" s="16">
        <f>base!W1037</f>
        <v>0</v>
      </c>
      <c r="G1037" s="11">
        <f t="shared" si="160"/>
        <v>0</v>
      </c>
      <c r="H1037" s="11">
        <f t="shared" si="161"/>
        <v>0</v>
      </c>
      <c r="I1037" s="11">
        <f t="shared" si="162"/>
        <v>0</v>
      </c>
      <c r="J1037" s="12">
        <f t="shared" si="163"/>
        <v>0</v>
      </c>
      <c r="K1037" s="17" t="str">
        <f t="shared" si="168"/>
        <v>Pas d'écart</v>
      </c>
      <c r="L1037" s="16">
        <f>base!X1037</f>
        <v>0</v>
      </c>
      <c r="M1037" s="11">
        <f t="shared" si="164"/>
        <v>0</v>
      </c>
      <c r="N1037" s="11">
        <f t="shared" si="165"/>
        <v>0</v>
      </c>
      <c r="O1037" s="11">
        <f t="shared" si="166"/>
        <v>0</v>
      </c>
      <c r="P1037" s="12">
        <f t="shared" si="167"/>
        <v>0</v>
      </c>
      <c r="Q1037" s="17" t="str">
        <f t="shared" si="169"/>
        <v>Pas d'écart</v>
      </c>
    </row>
    <row r="1038" spans="1:18" x14ac:dyDescent="0.3">
      <c r="A1038" s="34" t="str">
        <f>base!J1038</f>
        <v>LM</v>
      </c>
      <c r="B1038" s="34" t="str">
        <f>base!V1038</f>
        <v>75014</v>
      </c>
      <c r="C1038" s="37">
        <v>75</v>
      </c>
      <c r="D1038" s="36">
        <f>base!H1038</f>
        <v>19.649999999999999</v>
      </c>
      <c r="E1038" s="44"/>
      <c r="F1038" s="16">
        <f>base!W1038</f>
        <v>0</v>
      </c>
      <c r="G1038" s="11">
        <f t="shared" si="160"/>
        <v>0</v>
      </c>
      <c r="H1038" s="11">
        <f t="shared" si="161"/>
        <v>0</v>
      </c>
      <c r="I1038" s="11">
        <f t="shared" si="162"/>
        <v>0</v>
      </c>
      <c r="J1038" s="12">
        <f t="shared" si="163"/>
        <v>0</v>
      </c>
      <c r="K1038" s="17" t="str">
        <f t="shared" si="168"/>
        <v>Pas d'écart</v>
      </c>
      <c r="L1038" s="16">
        <f>base!X1038</f>
        <v>0</v>
      </c>
      <c r="M1038" s="11">
        <f t="shared" si="164"/>
        <v>0</v>
      </c>
      <c r="N1038" s="11">
        <f t="shared" si="165"/>
        <v>0</v>
      </c>
      <c r="O1038" s="11">
        <f t="shared" si="166"/>
        <v>0</v>
      </c>
      <c r="P1038" s="12">
        <f t="shared" si="167"/>
        <v>0</v>
      </c>
      <c r="Q1038" s="17" t="str">
        <f t="shared" si="169"/>
        <v>Pas d'écart</v>
      </c>
    </row>
    <row r="1039" spans="1:18" x14ac:dyDescent="0.3">
      <c r="A1039" s="34" t="str">
        <f>base!J1039</f>
        <v>LS</v>
      </c>
      <c r="B1039" s="34" t="str">
        <f>base!V1039</f>
        <v>59380</v>
      </c>
      <c r="C1039" s="37">
        <v>14</v>
      </c>
      <c r="D1039" s="36">
        <f>base!H1039</f>
        <v>188.81</v>
      </c>
      <c r="E1039" s="44"/>
      <c r="F1039" s="16">
        <f>base!W1039</f>
        <v>35.869999999999997</v>
      </c>
      <c r="G1039" s="11">
        <f t="shared" si="160"/>
        <v>0.18997934431439012</v>
      </c>
      <c r="H1039" s="11">
        <f t="shared" si="161"/>
        <v>32.097700000000003</v>
      </c>
      <c r="I1039" s="11">
        <f t="shared" si="162"/>
        <v>0.17</v>
      </c>
      <c r="J1039" s="12">
        <f t="shared" si="163"/>
        <v>3.7722999999999942</v>
      </c>
      <c r="K1039" s="17" t="str">
        <f t="shared" si="168"/>
        <v>Ecart positif</v>
      </c>
      <c r="L1039" s="16">
        <f>base!X1039</f>
        <v>0</v>
      </c>
      <c r="M1039" s="11">
        <f t="shared" si="164"/>
        <v>0</v>
      </c>
      <c r="N1039" s="11">
        <f t="shared" si="165"/>
        <v>32.097700000000003</v>
      </c>
      <c r="O1039" s="11">
        <f t="shared" si="166"/>
        <v>0.17</v>
      </c>
      <c r="P1039" s="12">
        <f t="shared" si="167"/>
        <v>-32.097700000000003</v>
      </c>
      <c r="Q1039" s="17" t="str">
        <f t="shared" si="169"/>
        <v>Ecart négatif</v>
      </c>
    </row>
    <row r="1040" spans="1:18" x14ac:dyDescent="0.3">
      <c r="A1040" s="34">
        <f>base!J1040</f>
        <v>0</v>
      </c>
      <c r="B1040" s="34" t="str">
        <f>base!V1040</f>
        <v>77184</v>
      </c>
      <c r="C1040" s="37">
        <v>77</v>
      </c>
      <c r="D1040" s="36">
        <f>base!H1040</f>
        <v>241.12</v>
      </c>
      <c r="E1040" s="44"/>
      <c r="F1040" s="16">
        <f>base!W1040</f>
        <v>0</v>
      </c>
      <c r="G1040" s="11">
        <f t="shared" si="160"/>
        <v>0</v>
      </c>
      <c r="H1040" s="11">
        <f t="shared" si="161"/>
        <v>0</v>
      </c>
      <c r="I1040" s="11">
        <f t="shared" si="162"/>
        <v>0</v>
      </c>
      <c r="J1040" s="12">
        <f t="shared" si="163"/>
        <v>0</v>
      </c>
      <c r="K1040" s="17" t="str">
        <f t="shared" si="168"/>
        <v>Pas d'écart</v>
      </c>
      <c r="L1040" s="16">
        <f>base!X1040</f>
        <v>0</v>
      </c>
      <c r="M1040" s="11">
        <f t="shared" si="164"/>
        <v>0</v>
      </c>
      <c r="N1040" s="11">
        <f t="shared" si="165"/>
        <v>0</v>
      </c>
      <c r="O1040" s="11">
        <f t="shared" si="166"/>
        <v>0</v>
      </c>
      <c r="P1040" s="12">
        <f t="shared" si="167"/>
        <v>0</v>
      </c>
      <c r="Q1040" s="17" t="str">
        <f t="shared" si="169"/>
        <v>Pas d'écart</v>
      </c>
    </row>
    <row r="1041" spans="1:17" x14ac:dyDescent="0.3">
      <c r="A1041" s="34" t="str">
        <f>base!J1041</f>
        <v>RM</v>
      </c>
      <c r="B1041" s="34" t="str">
        <f>base!V1041</f>
        <v>94550</v>
      </c>
      <c r="C1041" s="37">
        <v>94</v>
      </c>
      <c r="D1041" s="36">
        <f>base!H1041</f>
        <v>92</v>
      </c>
      <c r="E1041" s="44"/>
      <c r="F1041" s="16">
        <f>base!W1041</f>
        <v>0</v>
      </c>
      <c r="G1041" s="11">
        <f t="shared" si="160"/>
        <v>0</v>
      </c>
      <c r="H1041" s="11">
        <f t="shared" si="161"/>
        <v>0</v>
      </c>
      <c r="I1041" s="11">
        <f t="shared" si="162"/>
        <v>0</v>
      </c>
      <c r="J1041" s="12">
        <f t="shared" si="163"/>
        <v>0</v>
      </c>
      <c r="K1041" s="17" t="str">
        <f t="shared" si="168"/>
        <v>Pas d'écart</v>
      </c>
      <c r="L1041" s="16">
        <f>base!X1041</f>
        <v>0</v>
      </c>
      <c r="M1041" s="11">
        <f t="shared" si="164"/>
        <v>0</v>
      </c>
      <c r="N1041" s="11">
        <f t="shared" si="165"/>
        <v>0</v>
      </c>
      <c r="O1041" s="11">
        <f t="shared" si="166"/>
        <v>0</v>
      </c>
      <c r="P1041" s="12">
        <f t="shared" si="167"/>
        <v>0</v>
      </c>
      <c r="Q1041" s="17" t="str">
        <f t="shared" si="169"/>
        <v>Pas d'écart</v>
      </c>
    </row>
    <row r="1042" spans="1:17" x14ac:dyDescent="0.3">
      <c r="A1042" s="34" t="str">
        <f>base!J1042</f>
        <v>LM</v>
      </c>
      <c r="B1042" s="34" t="str">
        <f>base!V1042</f>
        <v>59270</v>
      </c>
      <c r="C1042" s="37">
        <v>59</v>
      </c>
      <c r="D1042" s="36">
        <f>base!H1042</f>
        <v>40</v>
      </c>
      <c r="E1042" s="44"/>
      <c r="F1042" s="16">
        <f>base!W1042</f>
        <v>7.6</v>
      </c>
      <c r="G1042" s="11">
        <f t="shared" si="160"/>
        <v>0.19</v>
      </c>
      <c r="H1042" s="11">
        <f t="shared" si="161"/>
        <v>7.6</v>
      </c>
      <c r="I1042" s="11">
        <f t="shared" si="162"/>
        <v>0.19</v>
      </c>
      <c r="J1042" s="12">
        <f t="shared" si="163"/>
        <v>0</v>
      </c>
      <c r="K1042" s="17" t="str">
        <f t="shared" si="168"/>
        <v>Pas d'écart</v>
      </c>
      <c r="L1042" s="16">
        <f>base!X1042</f>
        <v>0</v>
      </c>
      <c r="M1042" s="11">
        <f t="shared" si="164"/>
        <v>0</v>
      </c>
      <c r="N1042" s="11">
        <f t="shared" si="165"/>
        <v>0</v>
      </c>
      <c r="O1042" s="11">
        <f t="shared" si="166"/>
        <v>0</v>
      </c>
      <c r="P1042" s="12">
        <f t="shared" si="167"/>
        <v>0</v>
      </c>
      <c r="Q1042" s="17" t="str">
        <f t="shared" si="169"/>
        <v>Pas d'écart</v>
      </c>
    </row>
    <row r="1043" spans="1:17" x14ac:dyDescent="0.3">
      <c r="A1043" s="34" t="str">
        <f>base!J1043</f>
        <v>LM</v>
      </c>
      <c r="B1043" s="34" t="str">
        <f>base!V1043</f>
        <v>75017</v>
      </c>
      <c r="C1043" s="37">
        <v>75</v>
      </c>
      <c r="D1043" s="36">
        <f>base!H1043</f>
        <v>153.88999999999999</v>
      </c>
      <c r="E1043" s="44"/>
      <c r="F1043" s="16">
        <f>base!W1043</f>
        <v>0</v>
      </c>
      <c r="G1043" s="11">
        <f t="shared" si="160"/>
        <v>0</v>
      </c>
      <c r="H1043" s="11">
        <f t="shared" si="161"/>
        <v>0</v>
      </c>
      <c r="I1043" s="11">
        <f t="shared" si="162"/>
        <v>0</v>
      </c>
      <c r="J1043" s="12">
        <f t="shared" si="163"/>
        <v>0</v>
      </c>
      <c r="K1043" s="17" t="str">
        <f t="shared" si="168"/>
        <v>Pas d'écart</v>
      </c>
      <c r="L1043" s="16">
        <f>base!X1043</f>
        <v>0</v>
      </c>
      <c r="M1043" s="11">
        <f t="shared" si="164"/>
        <v>0</v>
      </c>
      <c r="N1043" s="11">
        <f t="shared" si="165"/>
        <v>0</v>
      </c>
      <c r="O1043" s="11">
        <f t="shared" si="166"/>
        <v>0</v>
      </c>
      <c r="P1043" s="12">
        <f t="shared" si="167"/>
        <v>0</v>
      </c>
      <c r="Q1043" s="17" t="str">
        <f t="shared" si="169"/>
        <v>Pas d'écart</v>
      </c>
    </row>
    <row r="1044" spans="1:17" x14ac:dyDescent="0.3">
      <c r="A1044" s="34" t="str">
        <f>base!J1044</f>
        <v>LS</v>
      </c>
      <c r="B1044" s="34" t="str">
        <f>base!V1044</f>
        <v>62180</v>
      </c>
      <c r="C1044" s="37">
        <v>14</v>
      </c>
      <c r="D1044" s="36">
        <f>base!H1044</f>
        <v>55.31</v>
      </c>
      <c r="E1044" s="44"/>
      <c r="F1044" s="16">
        <f>base!W1044</f>
        <v>10.51</v>
      </c>
      <c r="G1044" s="11">
        <f t="shared" si="160"/>
        <v>0.19001988790453805</v>
      </c>
      <c r="H1044" s="11">
        <f t="shared" si="161"/>
        <v>9.4027000000000012</v>
      </c>
      <c r="I1044" s="11">
        <f t="shared" si="162"/>
        <v>0.17</v>
      </c>
      <c r="J1044" s="12">
        <f t="shared" si="163"/>
        <v>1.1072999999999986</v>
      </c>
      <c r="K1044" s="17" t="str">
        <f t="shared" si="168"/>
        <v>Ecart positif</v>
      </c>
      <c r="L1044" s="16">
        <f>base!X1044</f>
        <v>0</v>
      </c>
      <c r="M1044" s="11">
        <f t="shared" si="164"/>
        <v>0</v>
      </c>
      <c r="N1044" s="11">
        <f t="shared" si="165"/>
        <v>9.4027000000000012</v>
      </c>
      <c r="O1044" s="11">
        <f t="shared" si="166"/>
        <v>0.17</v>
      </c>
      <c r="P1044" s="12">
        <f t="shared" si="167"/>
        <v>-9.4027000000000012</v>
      </c>
      <c r="Q1044" s="17" t="str">
        <f t="shared" si="169"/>
        <v>Ecart négatif</v>
      </c>
    </row>
    <row r="1045" spans="1:17" x14ac:dyDescent="0.3">
      <c r="A1045" s="34" t="str">
        <f>base!J1045</f>
        <v>LS</v>
      </c>
      <c r="B1045" s="34" t="str">
        <f>base!V1045</f>
        <v>86000</v>
      </c>
      <c r="C1045" s="37">
        <v>14</v>
      </c>
      <c r="D1045" s="36">
        <f>base!H1045</f>
        <v>138.12</v>
      </c>
      <c r="E1045" s="44"/>
      <c r="F1045" s="16">
        <f>base!W1045</f>
        <v>29.01</v>
      </c>
      <c r="G1045" s="11">
        <f t="shared" si="160"/>
        <v>0.21003475238922675</v>
      </c>
      <c r="H1045" s="11">
        <f t="shared" si="161"/>
        <v>23.480400000000003</v>
      </c>
      <c r="I1045" s="11">
        <f t="shared" si="162"/>
        <v>0.17</v>
      </c>
      <c r="J1045" s="12">
        <f t="shared" si="163"/>
        <v>5.5295999999999985</v>
      </c>
      <c r="K1045" s="17" t="str">
        <f t="shared" si="168"/>
        <v>Ecart positif</v>
      </c>
      <c r="L1045" s="16">
        <f>base!X1045</f>
        <v>0</v>
      </c>
      <c r="M1045" s="11">
        <f t="shared" si="164"/>
        <v>0</v>
      </c>
      <c r="N1045" s="11">
        <f t="shared" si="165"/>
        <v>23.480400000000003</v>
      </c>
      <c r="O1045" s="11">
        <f t="shared" si="166"/>
        <v>0.17</v>
      </c>
      <c r="P1045" s="12">
        <f t="shared" si="167"/>
        <v>-23.480400000000003</v>
      </c>
      <c r="Q1045" s="17" t="str">
        <f t="shared" si="169"/>
        <v>Ecart négatif</v>
      </c>
    </row>
    <row r="1046" spans="1:17" x14ac:dyDescent="0.3">
      <c r="A1046" s="34" t="str">
        <f>base!J1046</f>
        <v>LS</v>
      </c>
      <c r="B1046" s="34" t="str">
        <f>base!V1046</f>
        <v>27091</v>
      </c>
      <c r="C1046" s="37">
        <v>14</v>
      </c>
      <c r="D1046" s="36">
        <f>base!H1046</f>
        <v>155.37</v>
      </c>
      <c r="E1046" s="44"/>
      <c r="F1046" s="16">
        <f>base!W1046</f>
        <v>26.41</v>
      </c>
      <c r="G1046" s="11">
        <f t="shared" si="160"/>
        <v>0.16998133487803307</v>
      </c>
      <c r="H1046" s="11">
        <f t="shared" si="161"/>
        <v>26.412900000000004</v>
      </c>
      <c r="I1046" s="11">
        <f t="shared" si="162"/>
        <v>0.17</v>
      </c>
      <c r="J1046" s="12">
        <f t="shared" si="163"/>
        <v>-2.9000000000038995E-3</v>
      </c>
      <c r="K1046" s="17" t="str">
        <f t="shared" si="168"/>
        <v>Ecart négatif</v>
      </c>
      <c r="L1046" s="16">
        <f>base!X1046</f>
        <v>0</v>
      </c>
      <c r="M1046" s="11">
        <f t="shared" si="164"/>
        <v>0</v>
      </c>
      <c r="N1046" s="11">
        <f t="shared" si="165"/>
        <v>26.412900000000004</v>
      </c>
      <c r="O1046" s="11">
        <f t="shared" si="166"/>
        <v>0.17</v>
      </c>
      <c r="P1046" s="12">
        <f t="shared" si="167"/>
        <v>-26.412900000000004</v>
      </c>
      <c r="Q1046" s="17" t="str">
        <f t="shared" si="169"/>
        <v>Ecart négatif</v>
      </c>
    </row>
    <row r="1047" spans="1:17" x14ac:dyDescent="0.3">
      <c r="A1047" s="34" t="str">
        <f>base!J1047</f>
        <v>LM</v>
      </c>
      <c r="B1047" s="34" t="str">
        <f>base!V1047</f>
        <v>59120</v>
      </c>
      <c r="C1047" s="37">
        <v>14</v>
      </c>
      <c r="D1047" s="36">
        <f>base!H1047</f>
        <v>1.46</v>
      </c>
      <c r="E1047" s="44"/>
      <c r="F1047" s="16">
        <f>base!W1047</f>
        <v>0.28000000000000003</v>
      </c>
      <c r="G1047" s="11">
        <f t="shared" si="160"/>
        <v>0.19178082191780824</v>
      </c>
      <c r="H1047" s="11">
        <f t="shared" si="161"/>
        <v>0.2482</v>
      </c>
      <c r="I1047" s="11">
        <f t="shared" si="162"/>
        <v>0.17</v>
      </c>
      <c r="J1047" s="12">
        <f t="shared" si="163"/>
        <v>3.1800000000000023E-2</v>
      </c>
      <c r="K1047" s="17" t="str">
        <f t="shared" si="168"/>
        <v>Ecart positif</v>
      </c>
      <c r="L1047" s="16">
        <f>base!X1047</f>
        <v>0</v>
      </c>
      <c r="M1047" s="11">
        <f t="shared" si="164"/>
        <v>0</v>
      </c>
      <c r="N1047" s="11">
        <f t="shared" si="165"/>
        <v>0.2482</v>
      </c>
      <c r="O1047" s="11">
        <f t="shared" si="166"/>
        <v>0.17</v>
      </c>
      <c r="P1047" s="12">
        <f t="shared" si="167"/>
        <v>-0.2482</v>
      </c>
      <c r="Q1047" s="17" t="str">
        <f t="shared" si="169"/>
        <v>Ecart négatif</v>
      </c>
    </row>
    <row r="1048" spans="1:17" x14ac:dyDescent="0.3">
      <c r="A1048" s="34" t="str">
        <f>base!J1048</f>
        <v>DLS</v>
      </c>
      <c r="B1048" s="34" t="str">
        <f>base!V1048</f>
        <v>69290</v>
      </c>
      <c r="C1048" s="37">
        <v>69</v>
      </c>
      <c r="D1048" s="36">
        <f>base!H1048</f>
        <v>159.69</v>
      </c>
      <c r="E1048" s="44"/>
      <c r="F1048" s="16">
        <f>base!W1048</f>
        <v>0</v>
      </c>
      <c r="G1048" s="11">
        <f t="shared" si="160"/>
        <v>0</v>
      </c>
      <c r="H1048" s="11">
        <f t="shared" si="161"/>
        <v>43.116300000000003</v>
      </c>
      <c r="I1048" s="11">
        <f t="shared" si="162"/>
        <v>0.27</v>
      </c>
      <c r="J1048" s="12">
        <f t="shared" si="163"/>
        <v>-43.116300000000003</v>
      </c>
      <c r="K1048" s="17" t="str">
        <f t="shared" si="168"/>
        <v>Ecart négatif</v>
      </c>
      <c r="L1048" s="16">
        <f>base!X1048</f>
        <v>0</v>
      </c>
      <c r="M1048" s="11">
        <f t="shared" si="164"/>
        <v>0</v>
      </c>
      <c r="N1048" s="11">
        <f t="shared" si="165"/>
        <v>0</v>
      </c>
      <c r="O1048" s="11">
        <f t="shared" si="166"/>
        <v>0</v>
      </c>
      <c r="P1048" s="12">
        <f t="shared" si="167"/>
        <v>0</v>
      </c>
      <c r="Q1048" s="17" t="str">
        <f t="shared" si="169"/>
        <v>Pas d'écart</v>
      </c>
    </row>
    <row r="1049" spans="1:17" x14ac:dyDescent="0.3">
      <c r="A1049" s="34" t="str">
        <f>base!J1049</f>
        <v>LS</v>
      </c>
      <c r="B1049" s="34" t="str">
        <f>base!V1049</f>
        <v>01000</v>
      </c>
      <c r="C1049" s="37">
        <v>14</v>
      </c>
      <c r="D1049" s="36">
        <f>base!H1049</f>
        <v>55.2</v>
      </c>
      <c r="E1049" s="44"/>
      <c r="F1049" s="16">
        <f>base!W1049</f>
        <v>14.9</v>
      </c>
      <c r="G1049" s="11">
        <f t="shared" si="160"/>
        <v>0.26992753623188404</v>
      </c>
      <c r="H1049" s="11">
        <f t="shared" si="161"/>
        <v>9.3840000000000003</v>
      </c>
      <c r="I1049" s="11">
        <f t="shared" si="162"/>
        <v>0.16999999999999998</v>
      </c>
      <c r="J1049" s="12">
        <f t="shared" si="163"/>
        <v>5.516</v>
      </c>
      <c r="K1049" s="17" t="str">
        <f t="shared" si="168"/>
        <v>Ecart positif</v>
      </c>
      <c r="L1049" s="16">
        <f>base!X1049</f>
        <v>0</v>
      </c>
      <c r="M1049" s="11">
        <f t="shared" si="164"/>
        <v>0</v>
      </c>
      <c r="N1049" s="11">
        <f t="shared" si="165"/>
        <v>9.3840000000000003</v>
      </c>
      <c r="O1049" s="11">
        <f t="shared" si="166"/>
        <v>0.16999999999999998</v>
      </c>
      <c r="P1049" s="12">
        <f t="shared" si="167"/>
        <v>-9.3840000000000003</v>
      </c>
      <c r="Q1049" s="17" t="str">
        <f t="shared" si="169"/>
        <v>Ecart négatif</v>
      </c>
    </row>
    <row r="1050" spans="1:17" x14ac:dyDescent="0.3">
      <c r="A1050" s="34" t="str">
        <f>base!J1050</f>
        <v>LS</v>
      </c>
      <c r="B1050" s="34" t="str">
        <f>base!V1050</f>
        <v>67170</v>
      </c>
      <c r="C1050" s="37">
        <v>14</v>
      </c>
      <c r="D1050" s="36">
        <f>base!H1050</f>
        <v>153.44999999999999</v>
      </c>
      <c r="E1050" s="44"/>
      <c r="F1050" s="16">
        <f>base!W1050</f>
        <v>44.5</v>
      </c>
      <c r="G1050" s="11">
        <f t="shared" si="160"/>
        <v>0.28999674160964484</v>
      </c>
      <c r="H1050" s="11">
        <f t="shared" si="161"/>
        <v>26.086500000000001</v>
      </c>
      <c r="I1050" s="11">
        <f t="shared" si="162"/>
        <v>0.17</v>
      </c>
      <c r="J1050" s="12">
        <f t="shared" si="163"/>
        <v>18.413499999999999</v>
      </c>
      <c r="K1050" s="17" t="str">
        <f t="shared" si="168"/>
        <v>Ecart positif</v>
      </c>
      <c r="L1050" s="16">
        <f>base!X1050</f>
        <v>0</v>
      </c>
      <c r="M1050" s="11">
        <f t="shared" si="164"/>
        <v>0</v>
      </c>
      <c r="N1050" s="11">
        <f t="shared" si="165"/>
        <v>26.086500000000001</v>
      </c>
      <c r="O1050" s="11">
        <f t="shared" si="166"/>
        <v>0.17</v>
      </c>
      <c r="P1050" s="12">
        <f t="shared" si="167"/>
        <v>-26.086500000000001</v>
      </c>
      <c r="Q1050" s="17" t="str">
        <f t="shared" si="169"/>
        <v>Ecart négatif</v>
      </c>
    </row>
    <row r="1051" spans="1:17" x14ac:dyDescent="0.3">
      <c r="A1051" s="34">
        <f>base!J1051</f>
        <v>0</v>
      </c>
      <c r="B1051" s="34" t="str">
        <f>base!V1051</f>
        <v>77184</v>
      </c>
      <c r="C1051" s="37">
        <v>77</v>
      </c>
      <c r="D1051" s="36">
        <f>base!H1051</f>
        <v>191</v>
      </c>
      <c r="E1051" s="44"/>
      <c r="F1051" s="16">
        <f>base!W1051</f>
        <v>0</v>
      </c>
      <c r="G1051" s="11">
        <f t="shared" si="160"/>
        <v>0</v>
      </c>
      <c r="H1051" s="11">
        <f t="shared" si="161"/>
        <v>0</v>
      </c>
      <c r="I1051" s="11">
        <f t="shared" si="162"/>
        <v>0</v>
      </c>
      <c r="J1051" s="12">
        <f t="shared" si="163"/>
        <v>0</v>
      </c>
      <c r="K1051" s="17" t="str">
        <f t="shared" si="168"/>
        <v>Pas d'écart</v>
      </c>
      <c r="L1051" s="16">
        <f>base!X1051</f>
        <v>0</v>
      </c>
      <c r="M1051" s="11">
        <f t="shared" si="164"/>
        <v>0</v>
      </c>
      <c r="N1051" s="11">
        <f t="shared" si="165"/>
        <v>0</v>
      </c>
      <c r="O1051" s="11">
        <f t="shared" si="166"/>
        <v>0</v>
      </c>
      <c r="P1051" s="12">
        <f t="shared" si="167"/>
        <v>0</v>
      </c>
      <c r="Q1051" s="17" t="str">
        <f t="shared" si="169"/>
        <v>Pas d'écart</v>
      </c>
    </row>
    <row r="1052" spans="1:17" x14ac:dyDescent="0.3">
      <c r="A1052" s="34">
        <f>base!J1052</f>
        <v>0</v>
      </c>
      <c r="B1052" s="34" t="str">
        <f>base!V1052</f>
        <v>77184</v>
      </c>
      <c r="C1052" s="37">
        <v>77</v>
      </c>
      <c r="D1052" s="36">
        <f>base!H1052</f>
        <v>109</v>
      </c>
      <c r="E1052" s="44"/>
      <c r="F1052" s="16">
        <f>base!W1052</f>
        <v>0</v>
      </c>
      <c r="G1052" s="11">
        <f t="shared" si="160"/>
        <v>0</v>
      </c>
      <c r="H1052" s="11">
        <f t="shared" si="161"/>
        <v>0</v>
      </c>
      <c r="I1052" s="11">
        <f t="shared" si="162"/>
        <v>0</v>
      </c>
      <c r="J1052" s="12">
        <f t="shared" si="163"/>
        <v>0</v>
      </c>
      <c r="K1052" s="17" t="str">
        <f t="shared" si="168"/>
        <v>Pas d'écart</v>
      </c>
      <c r="L1052" s="16">
        <f>base!X1052</f>
        <v>0</v>
      </c>
      <c r="M1052" s="11">
        <f t="shared" si="164"/>
        <v>0</v>
      </c>
      <c r="N1052" s="11">
        <f t="shared" si="165"/>
        <v>0</v>
      </c>
      <c r="O1052" s="11">
        <f t="shared" si="166"/>
        <v>0</v>
      </c>
      <c r="P1052" s="12">
        <f t="shared" si="167"/>
        <v>0</v>
      </c>
      <c r="Q1052" s="17" t="str">
        <f t="shared" si="169"/>
        <v>Pas d'écart</v>
      </c>
    </row>
    <row r="1053" spans="1:17" x14ac:dyDescent="0.3">
      <c r="A1053" s="34" t="str">
        <f>base!J1053</f>
        <v>LS</v>
      </c>
      <c r="B1053" s="34" t="str">
        <f>base!V1053</f>
        <v>51700</v>
      </c>
      <c r="C1053" s="37">
        <v>14</v>
      </c>
      <c r="D1053" s="36">
        <f>base!H1053</f>
        <v>23.12</v>
      </c>
      <c r="E1053" s="44"/>
      <c r="F1053" s="16">
        <f>base!W1053</f>
        <v>5.78</v>
      </c>
      <c r="G1053" s="11">
        <f t="shared" si="160"/>
        <v>0.25</v>
      </c>
      <c r="H1053" s="11">
        <f t="shared" si="161"/>
        <v>3.9304000000000006</v>
      </c>
      <c r="I1053" s="11">
        <f t="shared" si="162"/>
        <v>0.17</v>
      </c>
      <c r="J1053" s="12">
        <f t="shared" si="163"/>
        <v>1.8495999999999997</v>
      </c>
      <c r="K1053" s="17" t="str">
        <f t="shared" si="168"/>
        <v>Ecart positif</v>
      </c>
      <c r="L1053" s="16">
        <f>base!X1053</f>
        <v>0</v>
      </c>
      <c r="M1053" s="11">
        <f t="shared" si="164"/>
        <v>0</v>
      </c>
      <c r="N1053" s="11">
        <f t="shared" si="165"/>
        <v>3.9304000000000006</v>
      </c>
      <c r="O1053" s="11">
        <f t="shared" si="166"/>
        <v>0.17</v>
      </c>
      <c r="P1053" s="12">
        <f t="shared" si="167"/>
        <v>-3.9304000000000006</v>
      </c>
      <c r="Q1053" s="17" t="str">
        <f t="shared" si="169"/>
        <v>Ecart négatif</v>
      </c>
    </row>
    <row r="1054" spans="1:17" x14ac:dyDescent="0.3">
      <c r="A1054" s="34" t="str">
        <f>base!J1054</f>
        <v>LM</v>
      </c>
      <c r="B1054" s="34" t="str">
        <f>base!V1054</f>
        <v>45000</v>
      </c>
      <c r="C1054" s="37">
        <v>76</v>
      </c>
      <c r="D1054" s="36">
        <f>base!H1054</f>
        <v>22.62</v>
      </c>
      <c r="E1054" s="44"/>
      <c r="F1054" s="16">
        <f>base!W1054</f>
        <v>4.75</v>
      </c>
      <c r="G1054" s="11">
        <f t="shared" si="160"/>
        <v>0.20999115826702033</v>
      </c>
      <c r="H1054" s="11">
        <f t="shared" si="161"/>
        <v>3.8454000000000006</v>
      </c>
      <c r="I1054" s="11">
        <f t="shared" si="162"/>
        <v>0.17</v>
      </c>
      <c r="J1054" s="12">
        <f t="shared" si="163"/>
        <v>0.9045999999999994</v>
      </c>
      <c r="K1054" s="17" t="str">
        <f t="shared" si="168"/>
        <v>Ecart positif</v>
      </c>
      <c r="L1054" s="16">
        <f>base!X1054</f>
        <v>0</v>
      </c>
      <c r="M1054" s="11">
        <f t="shared" si="164"/>
        <v>0</v>
      </c>
      <c r="N1054" s="11">
        <f t="shared" si="165"/>
        <v>3.8454000000000006</v>
      </c>
      <c r="O1054" s="11">
        <f t="shared" si="166"/>
        <v>0.17</v>
      </c>
      <c r="P1054" s="12">
        <f t="shared" si="167"/>
        <v>-3.8454000000000006</v>
      </c>
      <c r="Q1054" s="17" t="str">
        <f t="shared" si="169"/>
        <v>Ecart négatif</v>
      </c>
    </row>
    <row r="1055" spans="1:17" x14ac:dyDescent="0.3">
      <c r="A1055" s="34" t="str">
        <f>base!J1055</f>
        <v>RM</v>
      </c>
      <c r="B1055" s="34" t="str">
        <f>base!V1055</f>
        <v>59160</v>
      </c>
      <c r="C1055" s="37">
        <v>59</v>
      </c>
      <c r="D1055" s="36">
        <f>base!H1055</f>
        <v>140</v>
      </c>
      <c r="E1055" s="44"/>
      <c r="F1055" s="16">
        <f>base!W1055</f>
        <v>0</v>
      </c>
      <c r="G1055" s="11">
        <f t="shared" si="160"/>
        <v>0</v>
      </c>
      <c r="H1055" s="11">
        <f t="shared" si="161"/>
        <v>26.6</v>
      </c>
      <c r="I1055" s="11">
        <f t="shared" si="162"/>
        <v>0.19</v>
      </c>
      <c r="J1055" s="12">
        <f t="shared" si="163"/>
        <v>-26.6</v>
      </c>
      <c r="K1055" s="17" t="str">
        <f t="shared" si="168"/>
        <v>Ecart négatif</v>
      </c>
      <c r="L1055" s="16">
        <f>base!X1055</f>
        <v>0</v>
      </c>
      <c r="M1055" s="11">
        <f t="shared" si="164"/>
        <v>0</v>
      </c>
      <c r="N1055" s="11">
        <f t="shared" si="165"/>
        <v>0</v>
      </c>
      <c r="O1055" s="11">
        <f t="shared" si="166"/>
        <v>0</v>
      </c>
      <c r="P1055" s="12">
        <f t="shared" si="167"/>
        <v>0</v>
      </c>
      <c r="Q1055" s="17" t="str">
        <f t="shared" si="169"/>
        <v>Pas d'écart</v>
      </c>
    </row>
    <row r="1056" spans="1:17" x14ac:dyDescent="0.3">
      <c r="A1056" s="34" t="str">
        <f>base!J1056</f>
        <v>LS</v>
      </c>
      <c r="B1056" s="34" t="str">
        <f>base!V1056</f>
        <v>54610</v>
      </c>
      <c r="C1056" s="37">
        <v>76</v>
      </c>
      <c r="D1056" s="36">
        <f>base!H1056</f>
        <v>114</v>
      </c>
      <c r="E1056" s="44"/>
      <c r="F1056" s="16">
        <f>base!W1056</f>
        <v>28.5</v>
      </c>
      <c r="G1056" s="11">
        <f t="shared" si="160"/>
        <v>0.25</v>
      </c>
      <c r="H1056" s="11">
        <f t="shared" si="161"/>
        <v>19.380000000000003</v>
      </c>
      <c r="I1056" s="11">
        <f t="shared" si="162"/>
        <v>0.17</v>
      </c>
      <c r="J1056" s="12">
        <f t="shared" si="163"/>
        <v>9.1199999999999974</v>
      </c>
      <c r="K1056" s="17" t="str">
        <f t="shared" si="168"/>
        <v>Ecart positif</v>
      </c>
      <c r="L1056" s="16">
        <f>base!X1056</f>
        <v>0</v>
      </c>
      <c r="M1056" s="11">
        <f t="shared" si="164"/>
        <v>0</v>
      </c>
      <c r="N1056" s="11">
        <f t="shared" si="165"/>
        <v>19.380000000000003</v>
      </c>
      <c r="O1056" s="11">
        <f t="shared" si="166"/>
        <v>0.17</v>
      </c>
      <c r="P1056" s="12">
        <f t="shared" si="167"/>
        <v>-19.380000000000003</v>
      </c>
      <c r="Q1056" s="17" t="str">
        <f t="shared" si="169"/>
        <v>Ecart négatif</v>
      </c>
    </row>
    <row r="1057" spans="1:18" x14ac:dyDescent="0.3">
      <c r="A1057" s="34" t="str">
        <f>base!J1057</f>
        <v>LM</v>
      </c>
      <c r="B1057" s="34" t="str">
        <f>base!V1057</f>
        <v>45470</v>
      </c>
      <c r="C1057" s="37">
        <v>76</v>
      </c>
      <c r="D1057" s="36">
        <f>base!H1057</f>
        <v>149.58000000000001</v>
      </c>
      <c r="E1057" s="44"/>
      <c r="F1057" s="16">
        <f>base!W1057</f>
        <v>31.41</v>
      </c>
      <c r="G1057" s="11">
        <f t="shared" si="160"/>
        <v>0.20998796630565583</v>
      </c>
      <c r="H1057" s="11">
        <f t="shared" si="161"/>
        <v>25.428600000000003</v>
      </c>
      <c r="I1057" s="11">
        <f t="shared" si="162"/>
        <v>0.17</v>
      </c>
      <c r="J1057" s="12">
        <f t="shared" si="163"/>
        <v>5.9813999999999972</v>
      </c>
      <c r="K1057" s="17" t="str">
        <f t="shared" si="168"/>
        <v>Ecart positif</v>
      </c>
      <c r="L1057" s="16">
        <f>base!X1057</f>
        <v>0</v>
      </c>
      <c r="M1057" s="11">
        <f t="shared" si="164"/>
        <v>0</v>
      </c>
      <c r="N1057" s="11">
        <f t="shared" si="165"/>
        <v>25.428600000000003</v>
      </c>
      <c r="O1057" s="11">
        <f t="shared" si="166"/>
        <v>0.17</v>
      </c>
      <c r="P1057" s="12">
        <f t="shared" si="167"/>
        <v>-25.428600000000003</v>
      </c>
      <c r="Q1057" s="17" t="str">
        <f t="shared" si="169"/>
        <v>Ecart négatif</v>
      </c>
    </row>
    <row r="1058" spans="1:18" x14ac:dyDescent="0.3">
      <c r="A1058" s="34" t="str">
        <f>base!J1058</f>
        <v>LM</v>
      </c>
      <c r="B1058" s="34" t="str">
        <f>base!V1058</f>
        <v>44350</v>
      </c>
      <c r="C1058" s="37">
        <v>76</v>
      </c>
      <c r="D1058" s="36">
        <f>base!H1058</f>
        <v>189.7</v>
      </c>
      <c r="E1058" s="44"/>
      <c r="F1058" s="16">
        <f>base!W1058</f>
        <v>51.22</v>
      </c>
      <c r="G1058" s="11">
        <f t="shared" si="160"/>
        <v>0.27000527148128622</v>
      </c>
      <c r="H1058" s="11">
        <f t="shared" si="161"/>
        <v>32.249000000000002</v>
      </c>
      <c r="I1058" s="11">
        <f t="shared" si="162"/>
        <v>0.17</v>
      </c>
      <c r="J1058" s="12">
        <f t="shared" si="163"/>
        <v>18.970999999999997</v>
      </c>
      <c r="K1058" s="17" t="str">
        <f t="shared" si="168"/>
        <v>Ecart positif</v>
      </c>
      <c r="L1058" s="16">
        <f>base!X1058</f>
        <v>0</v>
      </c>
      <c r="M1058" s="11">
        <f t="shared" si="164"/>
        <v>0</v>
      </c>
      <c r="N1058" s="11">
        <f t="shared" si="165"/>
        <v>32.249000000000002</v>
      </c>
      <c r="O1058" s="11">
        <f t="shared" si="166"/>
        <v>0.17</v>
      </c>
      <c r="P1058" s="12">
        <f t="shared" si="167"/>
        <v>-32.249000000000002</v>
      </c>
      <c r="Q1058" s="17" t="str">
        <f t="shared" si="169"/>
        <v>Ecart négatif</v>
      </c>
    </row>
    <row r="1059" spans="1:18" x14ac:dyDescent="0.3">
      <c r="A1059" s="34" t="str">
        <f>base!J1059</f>
        <v>LS</v>
      </c>
      <c r="B1059" s="34" t="str">
        <f>base!V1059</f>
        <v>50380</v>
      </c>
      <c r="C1059" s="37">
        <v>50</v>
      </c>
      <c r="D1059" s="36">
        <f>base!H1059</f>
        <v>140</v>
      </c>
      <c r="E1059" s="44"/>
      <c r="F1059" s="16">
        <f>base!W1059</f>
        <v>23.8</v>
      </c>
      <c r="G1059" s="11">
        <f t="shared" si="160"/>
        <v>0.17</v>
      </c>
      <c r="H1059" s="11">
        <f t="shared" si="161"/>
        <v>23.8</v>
      </c>
      <c r="I1059" s="11">
        <f t="shared" si="162"/>
        <v>0.17</v>
      </c>
      <c r="J1059" s="12">
        <f t="shared" si="163"/>
        <v>0</v>
      </c>
      <c r="K1059" s="17" t="str">
        <f t="shared" si="168"/>
        <v>Pas d'écart</v>
      </c>
      <c r="L1059" s="16">
        <f>base!X1059</f>
        <v>0</v>
      </c>
      <c r="M1059" s="11">
        <f t="shared" si="164"/>
        <v>0</v>
      </c>
      <c r="N1059" s="11">
        <f t="shared" si="165"/>
        <v>23.8</v>
      </c>
      <c r="O1059" s="11">
        <f t="shared" si="166"/>
        <v>0.17</v>
      </c>
      <c r="P1059" s="12">
        <f t="shared" si="167"/>
        <v>-23.8</v>
      </c>
      <c r="Q1059" s="17" t="str">
        <f t="shared" si="169"/>
        <v>Ecart négatif</v>
      </c>
    </row>
    <row r="1060" spans="1:18" x14ac:dyDescent="0.3">
      <c r="A1060" s="34" t="str">
        <f>base!J1060</f>
        <v>LM</v>
      </c>
      <c r="B1060" s="34" t="str">
        <f>base!V1060</f>
        <v>59400</v>
      </c>
      <c r="C1060" s="37">
        <v>76</v>
      </c>
      <c r="D1060" s="36">
        <f>base!H1060</f>
        <v>55.36</v>
      </c>
      <c r="E1060" s="44"/>
      <c r="F1060" s="16">
        <f>base!W1060</f>
        <v>10.52</v>
      </c>
      <c r="G1060" s="11">
        <f t="shared" si="160"/>
        <v>0.19002890173410403</v>
      </c>
      <c r="H1060" s="11">
        <f t="shared" si="161"/>
        <v>9.4112000000000009</v>
      </c>
      <c r="I1060" s="11">
        <f t="shared" si="162"/>
        <v>0.17</v>
      </c>
      <c r="J1060" s="12">
        <f t="shared" si="163"/>
        <v>1.1087999999999987</v>
      </c>
      <c r="K1060" s="17" t="str">
        <f t="shared" si="168"/>
        <v>Ecart positif</v>
      </c>
      <c r="L1060" s="16">
        <f>base!X1060</f>
        <v>0</v>
      </c>
      <c r="M1060" s="11">
        <f t="shared" si="164"/>
        <v>0</v>
      </c>
      <c r="N1060" s="11">
        <f t="shared" si="165"/>
        <v>9.4112000000000009</v>
      </c>
      <c r="O1060" s="11">
        <f t="shared" si="166"/>
        <v>0.17</v>
      </c>
      <c r="P1060" s="12">
        <f t="shared" si="167"/>
        <v>-9.4112000000000009</v>
      </c>
      <c r="Q1060" s="17" t="str">
        <f t="shared" si="169"/>
        <v>Ecart négatif</v>
      </c>
    </row>
    <row r="1061" spans="1:18" x14ac:dyDescent="0.3">
      <c r="A1061" s="34" t="str">
        <f>base!J1061</f>
        <v>LS</v>
      </c>
      <c r="B1061" s="34" t="str">
        <f>base!V1061</f>
        <v>44300</v>
      </c>
      <c r="C1061" s="37">
        <v>76</v>
      </c>
      <c r="D1061" s="36">
        <f>base!H1061</f>
        <v>59.53</v>
      </c>
      <c r="E1061" s="44"/>
      <c r="F1061" s="16">
        <f>base!W1061</f>
        <v>16.07</v>
      </c>
      <c r="G1061" s="11">
        <f t="shared" si="160"/>
        <v>0.26994792541575674</v>
      </c>
      <c r="H1061" s="11">
        <f t="shared" si="161"/>
        <v>10.120100000000001</v>
      </c>
      <c r="I1061" s="11">
        <f t="shared" si="162"/>
        <v>0.17</v>
      </c>
      <c r="J1061" s="12">
        <f t="shared" si="163"/>
        <v>5.9498999999999995</v>
      </c>
      <c r="K1061" s="17" t="str">
        <f t="shared" si="168"/>
        <v>Ecart positif</v>
      </c>
      <c r="L1061" s="16">
        <f>base!X1061</f>
        <v>0</v>
      </c>
      <c r="M1061" s="11">
        <f t="shared" si="164"/>
        <v>0</v>
      </c>
      <c r="N1061" s="11">
        <f t="shared" si="165"/>
        <v>10.120100000000001</v>
      </c>
      <c r="O1061" s="11">
        <f t="shared" si="166"/>
        <v>0.17</v>
      </c>
      <c r="P1061" s="12">
        <f t="shared" si="167"/>
        <v>-10.120100000000001</v>
      </c>
      <c r="Q1061" s="17" t="str">
        <f t="shared" si="169"/>
        <v>Ecart négatif</v>
      </c>
    </row>
    <row r="1062" spans="1:18" x14ac:dyDescent="0.3">
      <c r="A1062" s="34" t="str">
        <f>base!J1062</f>
        <v>LM</v>
      </c>
      <c r="B1062" s="34" t="str">
        <f>base!V1062</f>
        <v>95240</v>
      </c>
      <c r="C1062" s="37">
        <v>95</v>
      </c>
      <c r="D1062" s="36">
        <f>base!H1062</f>
        <v>55.34</v>
      </c>
      <c r="E1062" s="44"/>
      <c r="F1062" s="16">
        <f>base!W1062</f>
        <v>0</v>
      </c>
      <c r="G1062" s="11">
        <f t="shared" si="160"/>
        <v>0</v>
      </c>
      <c r="H1062" s="11">
        <f t="shared" si="161"/>
        <v>0</v>
      </c>
      <c r="I1062" s="11">
        <f t="shared" si="162"/>
        <v>0</v>
      </c>
      <c r="J1062" s="12">
        <f t="shared" si="163"/>
        <v>0</v>
      </c>
      <c r="K1062" s="17" t="str">
        <f t="shared" si="168"/>
        <v>Pas d'écart</v>
      </c>
      <c r="L1062" s="16">
        <f>base!X1062</f>
        <v>0</v>
      </c>
      <c r="M1062" s="11">
        <f t="shared" si="164"/>
        <v>0</v>
      </c>
      <c r="N1062" s="11">
        <f t="shared" si="165"/>
        <v>0</v>
      </c>
      <c r="O1062" s="11">
        <f t="shared" si="166"/>
        <v>0</v>
      </c>
      <c r="P1062" s="12">
        <f t="shared" si="167"/>
        <v>0</v>
      </c>
      <c r="Q1062" s="17" t="str">
        <f t="shared" si="169"/>
        <v>Pas d'écart</v>
      </c>
    </row>
    <row r="1063" spans="1:18" x14ac:dyDescent="0.3">
      <c r="A1063" s="34" t="str">
        <f>base!J1063</f>
        <v>RS</v>
      </c>
      <c r="B1063" s="34" t="str">
        <f>base!V1063</f>
        <v>34500</v>
      </c>
      <c r="C1063" s="37">
        <v>34</v>
      </c>
      <c r="D1063" s="36">
        <f>base!H1063</f>
        <v>180</v>
      </c>
      <c r="E1063" s="44"/>
      <c r="F1063" s="16">
        <f>base!W1063</f>
        <v>0</v>
      </c>
      <c r="G1063" s="11">
        <f t="shared" si="160"/>
        <v>0</v>
      </c>
      <c r="H1063" s="11">
        <f t="shared" si="161"/>
        <v>70.2</v>
      </c>
      <c r="I1063" s="11">
        <f t="shared" si="162"/>
        <v>0.39</v>
      </c>
      <c r="J1063" s="12">
        <f t="shared" si="163"/>
        <v>-70.2</v>
      </c>
      <c r="K1063" s="17" t="str">
        <f t="shared" si="168"/>
        <v>Ecart négatif</v>
      </c>
      <c r="L1063" s="16">
        <f>base!X1063</f>
        <v>50.4</v>
      </c>
      <c r="M1063" s="11">
        <f t="shared" si="164"/>
        <v>0.27999999999999997</v>
      </c>
      <c r="N1063" s="11">
        <f t="shared" si="165"/>
        <v>50.400000000000006</v>
      </c>
      <c r="O1063" s="11">
        <f t="shared" si="166"/>
        <v>0.28000000000000003</v>
      </c>
      <c r="P1063" s="12">
        <f t="shared" si="167"/>
        <v>0</v>
      </c>
      <c r="Q1063" s="17" t="str">
        <f t="shared" si="169"/>
        <v>Pas d'écart</v>
      </c>
      <c r="R1063" s="38"/>
    </row>
    <row r="1064" spans="1:18" x14ac:dyDescent="0.3">
      <c r="A1064" s="34" t="str">
        <f>base!J1064</f>
        <v>LM</v>
      </c>
      <c r="B1064" s="34" t="str">
        <f>base!V1064</f>
        <v>13290</v>
      </c>
      <c r="C1064" s="37">
        <v>14</v>
      </c>
      <c r="D1064" s="36">
        <f>base!H1064</f>
        <v>1265.1600000000001</v>
      </c>
      <c r="E1064" s="44"/>
      <c r="F1064" s="16">
        <f>base!W1064</f>
        <v>366.9</v>
      </c>
      <c r="G1064" s="11">
        <f t="shared" si="160"/>
        <v>0.29000284548989846</v>
      </c>
      <c r="H1064" s="11">
        <f t="shared" si="161"/>
        <v>215.07720000000003</v>
      </c>
      <c r="I1064" s="11">
        <f t="shared" si="162"/>
        <v>0.17</v>
      </c>
      <c r="J1064" s="12">
        <f t="shared" si="163"/>
        <v>151.82279999999994</v>
      </c>
      <c r="K1064" s="17" t="str">
        <f t="shared" si="168"/>
        <v>Ecart positif</v>
      </c>
      <c r="L1064" s="16">
        <f>base!X1064</f>
        <v>0</v>
      </c>
      <c r="M1064" s="11">
        <f t="shared" si="164"/>
        <v>0</v>
      </c>
      <c r="N1064" s="11">
        <f t="shared" si="165"/>
        <v>215.07720000000003</v>
      </c>
      <c r="O1064" s="11">
        <f t="shared" si="166"/>
        <v>0.17</v>
      </c>
      <c r="P1064" s="12">
        <f t="shared" si="167"/>
        <v>-215.07720000000003</v>
      </c>
      <c r="Q1064" s="17" t="str">
        <f t="shared" si="169"/>
        <v>Ecart négatif</v>
      </c>
    </row>
    <row r="1065" spans="1:18" x14ac:dyDescent="0.3">
      <c r="A1065" s="34" t="str">
        <f>base!J1065</f>
        <v>LM</v>
      </c>
      <c r="B1065" s="34" t="str">
        <f>base!V1065</f>
        <v>06560</v>
      </c>
      <c r="C1065" s="37">
        <v>14</v>
      </c>
      <c r="D1065" s="36">
        <f>base!H1065</f>
        <v>19.89</v>
      </c>
      <c r="E1065" s="44"/>
      <c r="F1065" s="16">
        <f>base!W1065</f>
        <v>5.97</v>
      </c>
      <c r="G1065" s="11">
        <f t="shared" si="160"/>
        <v>0.30015082956259426</v>
      </c>
      <c r="H1065" s="11">
        <f t="shared" si="161"/>
        <v>3.3813000000000004</v>
      </c>
      <c r="I1065" s="11">
        <f t="shared" si="162"/>
        <v>0.17</v>
      </c>
      <c r="J1065" s="12">
        <f t="shared" si="163"/>
        <v>2.5886999999999993</v>
      </c>
      <c r="K1065" s="17" t="str">
        <f t="shared" si="168"/>
        <v>Ecart positif</v>
      </c>
      <c r="L1065" s="16">
        <f>base!X1065</f>
        <v>0</v>
      </c>
      <c r="M1065" s="11">
        <f t="shared" si="164"/>
        <v>0</v>
      </c>
      <c r="N1065" s="11">
        <f t="shared" si="165"/>
        <v>3.3813000000000004</v>
      </c>
      <c r="O1065" s="11">
        <f t="shared" si="166"/>
        <v>0.17</v>
      </c>
      <c r="P1065" s="12">
        <f t="shared" si="167"/>
        <v>-3.3813000000000004</v>
      </c>
      <c r="Q1065" s="17" t="str">
        <f t="shared" si="169"/>
        <v>Ecart négatif</v>
      </c>
    </row>
    <row r="1066" spans="1:18" x14ac:dyDescent="0.3">
      <c r="A1066" s="34" t="str">
        <f>base!J1066</f>
        <v>LM</v>
      </c>
      <c r="B1066" s="34" t="str">
        <f>base!V1066</f>
        <v>75004</v>
      </c>
      <c r="C1066" s="37">
        <v>75</v>
      </c>
      <c r="D1066" s="36">
        <f>base!H1066</f>
        <v>27.05</v>
      </c>
      <c r="E1066" s="44"/>
      <c r="F1066" s="16">
        <f>base!W1066</f>
        <v>0</v>
      </c>
      <c r="G1066" s="11">
        <f t="shared" si="160"/>
        <v>0</v>
      </c>
      <c r="H1066" s="11">
        <f t="shared" si="161"/>
        <v>0</v>
      </c>
      <c r="I1066" s="11">
        <f t="shared" si="162"/>
        <v>0</v>
      </c>
      <c r="J1066" s="12">
        <f t="shared" si="163"/>
        <v>0</v>
      </c>
      <c r="K1066" s="17" t="str">
        <f t="shared" si="168"/>
        <v>Pas d'écart</v>
      </c>
      <c r="L1066" s="16">
        <f>base!X1066</f>
        <v>0</v>
      </c>
      <c r="M1066" s="11">
        <f t="shared" si="164"/>
        <v>0</v>
      </c>
      <c r="N1066" s="11">
        <f t="shared" si="165"/>
        <v>0</v>
      </c>
      <c r="O1066" s="11">
        <f t="shared" si="166"/>
        <v>0</v>
      </c>
      <c r="P1066" s="12">
        <f t="shared" si="167"/>
        <v>0</v>
      </c>
      <c r="Q1066" s="17" t="str">
        <f t="shared" si="169"/>
        <v>Pas d'écart</v>
      </c>
    </row>
    <row r="1067" spans="1:18" x14ac:dyDescent="0.3">
      <c r="A1067" s="34" t="str">
        <f>base!J1067</f>
        <v>LS</v>
      </c>
      <c r="B1067" s="34" t="str">
        <f>base!V1067</f>
        <v>83175</v>
      </c>
      <c r="C1067" s="37">
        <v>76</v>
      </c>
      <c r="D1067" s="36">
        <f>base!H1067</f>
        <v>54.61</v>
      </c>
      <c r="E1067" s="44"/>
      <c r="F1067" s="16">
        <f>base!W1067</f>
        <v>16.38</v>
      </c>
      <c r="G1067" s="11">
        <f t="shared" si="160"/>
        <v>0.29994506500640905</v>
      </c>
      <c r="H1067" s="11">
        <f t="shared" si="161"/>
        <v>9.2837000000000014</v>
      </c>
      <c r="I1067" s="11">
        <f t="shared" si="162"/>
        <v>0.17000000000000004</v>
      </c>
      <c r="J1067" s="12">
        <f t="shared" si="163"/>
        <v>7.0962999999999976</v>
      </c>
      <c r="K1067" s="17" t="str">
        <f t="shared" si="168"/>
        <v>Ecart positif</v>
      </c>
      <c r="L1067" s="16">
        <f>base!X1067</f>
        <v>0</v>
      </c>
      <c r="M1067" s="11">
        <f t="shared" si="164"/>
        <v>0</v>
      </c>
      <c r="N1067" s="11">
        <f t="shared" si="165"/>
        <v>9.2837000000000014</v>
      </c>
      <c r="O1067" s="11">
        <f t="shared" si="166"/>
        <v>0.17000000000000004</v>
      </c>
      <c r="P1067" s="12">
        <f t="shared" si="167"/>
        <v>-9.2837000000000014</v>
      </c>
      <c r="Q1067" s="17" t="str">
        <f t="shared" si="169"/>
        <v>Ecart négatif</v>
      </c>
    </row>
    <row r="1068" spans="1:18" x14ac:dyDescent="0.3">
      <c r="A1068" s="34" t="str">
        <f>base!J1068</f>
        <v>RS</v>
      </c>
      <c r="B1068" s="34" t="str">
        <f>base!V1068</f>
        <v>69002</v>
      </c>
      <c r="C1068" s="37">
        <v>69</v>
      </c>
      <c r="D1068" s="36">
        <f>base!H1068</f>
        <v>183</v>
      </c>
      <c r="E1068" s="44"/>
      <c r="F1068" s="16">
        <f>base!W1068</f>
        <v>0</v>
      </c>
      <c r="G1068" s="11">
        <f t="shared" si="160"/>
        <v>0</v>
      </c>
      <c r="H1068" s="11">
        <f t="shared" si="161"/>
        <v>49.410000000000004</v>
      </c>
      <c r="I1068" s="11">
        <f t="shared" si="162"/>
        <v>0.27</v>
      </c>
      <c r="J1068" s="12">
        <f t="shared" si="163"/>
        <v>-49.410000000000004</v>
      </c>
      <c r="K1068" s="17" t="str">
        <f t="shared" si="168"/>
        <v>Ecart négatif</v>
      </c>
      <c r="L1068" s="16">
        <f>base!X1068</f>
        <v>98.82</v>
      </c>
      <c r="M1068" s="11">
        <f t="shared" si="164"/>
        <v>0.53999999999999992</v>
      </c>
      <c r="N1068" s="11">
        <f t="shared" si="165"/>
        <v>0</v>
      </c>
      <c r="O1068" s="11">
        <f t="shared" si="166"/>
        <v>0</v>
      </c>
      <c r="P1068" s="12">
        <f t="shared" si="167"/>
        <v>98.82</v>
      </c>
      <c r="Q1068" s="17" t="str">
        <f t="shared" si="169"/>
        <v>Ecart positif</v>
      </c>
      <c r="R1068" s="38"/>
    </row>
    <row r="1069" spans="1:18" x14ac:dyDescent="0.3">
      <c r="A1069" s="34" t="str">
        <f>base!J1069</f>
        <v>RM</v>
      </c>
      <c r="B1069" s="34" t="str">
        <f>base!V1069</f>
        <v>80140</v>
      </c>
      <c r="C1069" s="37">
        <v>80</v>
      </c>
      <c r="D1069" s="36">
        <f>base!H1069</f>
        <v>250</v>
      </c>
      <c r="E1069" s="44"/>
      <c r="F1069" s="16">
        <f>base!W1069</f>
        <v>0</v>
      </c>
      <c r="G1069" s="11">
        <f t="shared" si="160"/>
        <v>0</v>
      </c>
      <c r="H1069" s="11">
        <f t="shared" si="161"/>
        <v>47.5</v>
      </c>
      <c r="I1069" s="11">
        <f t="shared" si="162"/>
        <v>0.19</v>
      </c>
      <c r="J1069" s="12">
        <f t="shared" si="163"/>
        <v>-47.5</v>
      </c>
      <c r="K1069" s="17" t="str">
        <f t="shared" si="168"/>
        <v>Ecart négatif</v>
      </c>
      <c r="L1069" s="16">
        <f>base!X1069</f>
        <v>0</v>
      </c>
      <c r="M1069" s="11">
        <f t="shared" si="164"/>
        <v>0</v>
      </c>
      <c r="N1069" s="11">
        <f t="shared" si="165"/>
        <v>0</v>
      </c>
      <c r="O1069" s="11">
        <f t="shared" si="166"/>
        <v>0</v>
      </c>
      <c r="P1069" s="12">
        <f t="shared" si="167"/>
        <v>0</v>
      </c>
      <c r="Q1069" s="17" t="str">
        <f t="shared" si="169"/>
        <v>Pas d'écart</v>
      </c>
    </row>
    <row r="1070" spans="1:18" x14ac:dyDescent="0.3">
      <c r="A1070" s="34" t="str">
        <f>base!J1070</f>
        <v>RM</v>
      </c>
      <c r="B1070" s="34" t="str">
        <f>base!V1070</f>
        <v>44115</v>
      </c>
      <c r="C1070" s="37">
        <v>44</v>
      </c>
      <c r="D1070" s="36">
        <f>base!H1070</f>
        <v>151</v>
      </c>
      <c r="E1070" s="44"/>
      <c r="F1070" s="16">
        <f>base!W1070</f>
        <v>0</v>
      </c>
      <c r="G1070" s="11">
        <f t="shared" si="160"/>
        <v>0</v>
      </c>
      <c r="H1070" s="11">
        <f t="shared" si="161"/>
        <v>40.770000000000003</v>
      </c>
      <c r="I1070" s="11">
        <f t="shared" si="162"/>
        <v>0.27</v>
      </c>
      <c r="J1070" s="12">
        <f t="shared" si="163"/>
        <v>-40.770000000000003</v>
      </c>
      <c r="K1070" s="17" t="str">
        <f t="shared" si="168"/>
        <v>Ecart négatif</v>
      </c>
      <c r="L1070" s="16">
        <f>base!X1070</f>
        <v>0</v>
      </c>
      <c r="M1070" s="11">
        <f t="shared" si="164"/>
        <v>0</v>
      </c>
      <c r="N1070" s="11">
        <f t="shared" si="165"/>
        <v>0</v>
      </c>
      <c r="O1070" s="11">
        <f t="shared" si="166"/>
        <v>0</v>
      </c>
      <c r="P1070" s="12">
        <f t="shared" si="167"/>
        <v>0</v>
      </c>
      <c r="Q1070" s="17" t="str">
        <f t="shared" si="169"/>
        <v>Pas d'écart</v>
      </c>
    </row>
    <row r="1071" spans="1:18" x14ac:dyDescent="0.3">
      <c r="A1071" s="34" t="str">
        <f>base!J1071</f>
        <v>LS</v>
      </c>
      <c r="B1071" s="34" t="str">
        <f>base!V1071</f>
        <v>50200</v>
      </c>
      <c r="C1071" s="37">
        <v>14</v>
      </c>
      <c r="D1071" s="36">
        <f>base!H1071</f>
        <v>171.3</v>
      </c>
      <c r="E1071" s="44"/>
      <c r="F1071" s="16">
        <f>base!W1071</f>
        <v>29.12</v>
      </c>
      <c r="G1071" s="11">
        <f t="shared" si="160"/>
        <v>0.16999416228838296</v>
      </c>
      <c r="H1071" s="11">
        <f t="shared" si="161"/>
        <v>29.121000000000006</v>
      </c>
      <c r="I1071" s="11">
        <f t="shared" si="162"/>
        <v>0.17</v>
      </c>
      <c r="J1071" s="12">
        <f t="shared" si="163"/>
        <v>-1.0000000000047748E-3</v>
      </c>
      <c r="K1071" s="17" t="str">
        <f t="shared" si="168"/>
        <v>Ecart négatif</v>
      </c>
      <c r="L1071" s="16">
        <f>base!X1071</f>
        <v>0</v>
      </c>
      <c r="M1071" s="11">
        <f t="shared" si="164"/>
        <v>0</v>
      </c>
      <c r="N1071" s="11">
        <f t="shared" si="165"/>
        <v>29.121000000000006</v>
      </c>
      <c r="O1071" s="11">
        <f t="shared" si="166"/>
        <v>0.17</v>
      </c>
      <c r="P1071" s="12">
        <f t="shared" si="167"/>
        <v>-29.121000000000006</v>
      </c>
      <c r="Q1071" s="17" t="str">
        <f t="shared" si="169"/>
        <v>Ecart négatif</v>
      </c>
    </row>
    <row r="1072" spans="1:18" x14ac:dyDescent="0.3">
      <c r="A1072" s="34" t="str">
        <f>base!J1072</f>
        <v>LM</v>
      </c>
      <c r="B1072" s="34" t="str">
        <f>base!V1072</f>
        <v>75010</v>
      </c>
      <c r="C1072" s="37">
        <v>75</v>
      </c>
      <c r="D1072" s="36">
        <f>base!H1072</f>
        <v>55.14</v>
      </c>
      <c r="E1072" s="44"/>
      <c r="F1072" s="16">
        <f>base!W1072</f>
        <v>0</v>
      </c>
      <c r="G1072" s="11">
        <f t="shared" si="160"/>
        <v>0</v>
      </c>
      <c r="H1072" s="11">
        <f t="shared" si="161"/>
        <v>0</v>
      </c>
      <c r="I1072" s="11">
        <f t="shared" si="162"/>
        <v>0</v>
      </c>
      <c r="J1072" s="12">
        <f t="shared" si="163"/>
        <v>0</v>
      </c>
      <c r="K1072" s="17" t="str">
        <f t="shared" si="168"/>
        <v>Pas d'écart</v>
      </c>
      <c r="L1072" s="16">
        <f>base!X1072</f>
        <v>0</v>
      </c>
      <c r="M1072" s="11">
        <f t="shared" si="164"/>
        <v>0</v>
      </c>
      <c r="N1072" s="11">
        <f t="shared" si="165"/>
        <v>0</v>
      </c>
      <c r="O1072" s="11">
        <f t="shared" si="166"/>
        <v>0</v>
      </c>
      <c r="P1072" s="12">
        <f t="shared" si="167"/>
        <v>0</v>
      </c>
      <c r="Q1072" s="17" t="str">
        <f t="shared" si="169"/>
        <v>Pas d'écart</v>
      </c>
    </row>
    <row r="1073" spans="1:18" x14ac:dyDescent="0.3">
      <c r="A1073" s="34" t="str">
        <f>base!J1073</f>
        <v>LS</v>
      </c>
      <c r="B1073" s="34" t="str">
        <f>base!V1073</f>
        <v>08000</v>
      </c>
      <c r="C1073" s="37">
        <v>60</v>
      </c>
      <c r="D1073" s="36">
        <f>base!H1073</f>
        <v>144.26</v>
      </c>
      <c r="E1073" s="44"/>
      <c r="F1073" s="16">
        <f>base!W1073</f>
        <v>27.41</v>
      </c>
      <c r="G1073" s="11">
        <f t="shared" si="160"/>
        <v>0.19000415915707752</v>
      </c>
      <c r="H1073" s="11">
        <f t="shared" si="161"/>
        <v>27.409399999999998</v>
      </c>
      <c r="I1073" s="11">
        <f t="shared" si="162"/>
        <v>0.19</v>
      </c>
      <c r="J1073" s="12">
        <f t="shared" si="163"/>
        <v>6.0000000000215437E-4</v>
      </c>
      <c r="K1073" s="17" t="str">
        <f t="shared" si="168"/>
        <v>Ecart positif</v>
      </c>
      <c r="L1073" s="16">
        <f>base!X1073</f>
        <v>0</v>
      </c>
      <c r="M1073" s="11">
        <f t="shared" si="164"/>
        <v>0</v>
      </c>
      <c r="N1073" s="11">
        <f t="shared" si="165"/>
        <v>0</v>
      </c>
      <c r="O1073" s="11">
        <f t="shared" si="166"/>
        <v>0</v>
      </c>
      <c r="P1073" s="12">
        <f t="shared" si="167"/>
        <v>0</v>
      </c>
      <c r="Q1073" s="17" t="str">
        <f t="shared" si="169"/>
        <v>Pas d'écart</v>
      </c>
    </row>
    <row r="1074" spans="1:18" x14ac:dyDescent="0.3">
      <c r="A1074" s="34" t="str">
        <f>base!J1074</f>
        <v>LS</v>
      </c>
      <c r="B1074" s="34" t="str">
        <f>base!V1074</f>
        <v>42000</v>
      </c>
      <c r="C1074" s="37">
        <v>60</v>
      </c>
      <c r="D1074" s="36">
        <f>base!H1074</f>
        <v>126.65</v>
      </c>
      <c r="E1074" s="44"/>
      <c r="F1074" s="16">
        <f>base!W1074</f>
        <v>34.200000000000003</v>
      </c>
      <c r="G1074" s="11">
        <f t="shared" si="160"/>
        <v>0.27003553099091987</v>
      </c>
      <c r="H1074" s="11">
        <f t="shared" si="161"/>
        <v>24.063500000000001</v>
      </c>
      <c r="I1074" s="11">
        <f t="shared" si="162"/>
        <v>0.19</v>
      </c>
      <c r="J1074" s="12">
        <f t="shared" si="163"/>
        <v>10.136500000000002</v>
      </c>
      <c r="K1074" s="17" t="str">
        <f t="shared" si="168"/>
        <v>Ecart positif</v>
      </c>
      <c r="L1074" s="16">
        <f>base!X1074</f>
        <v>0</v>
      </c>
      <c r="M1074" s="11">
        <f t="shared" si="164"/>
        <v>0</v>
      </c>
      <c r="N1074" s="11">
        <f t="shared" si="165"/>
        <v>0</v>
      </c>
      <c r="O1074" s="11">
        <f t="shared" si="166"/>
        <v>0</v>
      </c>
      <c r="P1074" s="12">
        <f t="shared" si="167"/>
        <v>0</v>
      </c>
      <c r="Q1074" s="17" t="str">
        <f t="shared" si="169"/>
        <v>Pas d'écart</v>
      </c>
    </row>
    <row r="1075" spans="1:18" x14ac:dyDescent="0.3">
      <c r="A1075" s="34" t="str">
        <f>base!J1075</f>
        <v>LS</v>
      </c>
      <c r="B1075" s="34" t="str">
        <f>base!V1075</f>
        <v>72470</v>
      </c>
      <c r="C1075" s="37">
        <v>60</v>
      </c>
      <c r="D1075" s="36">
        <f>base!H1075</f>
        <v>130.19999999999999</v>
      </c>
      <c r="E1075" s="44"/>
      <c r="F1075" s="16">
        <f>base!W1075</f>
        <v>27.34</v>
      </c>
      <c r="G1075" s="11">
        <f t="shared" si="160"/>
        <v>0.2099846390168971</v>
      </c>
      <c r="H1075" s="11">
        <f t="shared" si="161"/>
        <v>24.738</v>
      </c>
      <c r="I1075" s="11">
        <f t="shared" si="162"/>
        <v>0.19</v>
      </c>
      <c r="J1075" s="12">
        <f t="shared" si="163"/>
        <v>2.6020000000000003</v>
      </c>
      <c r="K1075" s="17" t="str">
        <f t="shared" si="168"/>
        <v>Ecart positif</v>
      </c>
      <c r="L1075" s="16">
        <f>base!X1075</f>
        <v>0</v>
      </c>
      <c r="M1075" s="11">
        <f t="shared" si="164"/>
        <v>0</v>
      </c>
      <c r="N1075" s="11">
        <f t="shared" si="165"/>
        <v>0</v>
      </c>
      <c r="O1075" s="11">
        <f t="shared" si="166"/>
        <v>0</v>
      </c>
      <c r="P1075" s="12">
        <f t="shared" si="167"/>
        <v>0</v>
      </c>
      <c r="Q1075" s="17" t="str">
        <f t="shared" si="169"/>
        <v>Pas d'écart</v>
      </c>
    </row>
    <row r="1076" spans="1:18" x14ac:dyDescent="0.3">
      <c r="A1076" s="34" t="str">
        <f>base!J1076</f>
        <v>LM</v>
      </c>
      <c r="B1076" s="34" t="str">
        <f>base!V1076</f>
        <v>76600</v>
      </c>
      <c r="C1076" s="37">
        <v>60</v>
      </c>
      <c r="D1076" s="36">
        <f>base!H1076</f>
        <v>141.1</v>
      </c>
      <c r="E1076" s="44"/>
      <c r="F1076" s="16">
        <f>base!W1076</f>
        <v>23.99</v>
      </c>
      <c r="G1076" s="11">
        <f t="shared" si="160"/>
        <v>0.17002126151665484</v>
      </c>
      <c r="H1076" s="11">
        <f t="shared" si="161"/>
        <v>26.808999999999997</v>
      </c>
      <c r="I1076" s="11">
        <f t="shared" si="162"/>
        <v>0.19</v>
      </c>
      <c r="J1076" s="12">
        <f t="shared" si="163"/>
        <v>-2.8189999999999991</v>
      </c>
      <c r="K1076" s="17" t="str">
        <f t="shared" si="168"/>
        <v>Ecart négatif</v>
      </c>
      <c r="L1076" s="16">
        <f>base!X1076</f>
        <v>0</v>
      </c>
      <c r="M1076" s="11">
        <f t="shared" si="164"/>
        <v>0</v>
      </c>
      <c r="N1076" s="11">
        <f t="shared" si="165"/>
        <v>0</v>
      </c>
      <c r="O1076" s="11">
        <f t="shared" si="166"/>
        <v>0</v>
      </c>
      <c r="P1076" s="12">
        <f t="shared" si="167"/>
        <v>0</v>
      </c>
      <c r="Q1076" s="17" t="str">
        <f t="shared" si="169"/>
        <v>Pas d'écart</v>
      </c>
    </row>
    <row r="1077" spans="1:18" x14ac:dyDescent="0.3">
      <c r="A1077" s="34" t="str">
        <f>base!J1077</f>
        <v>LS</v>
      </c>
      <c r="B1077" s="34" t="str">
        <f>base!V1077</f>
        <v>14150</v>
      </c>
      <c r="C1077" s="37">
        <v>60</v>
      </c>
      <c r="D1077" s="36">
        <f>base!H1077</f>
        <v>142.62</v>
      </c>
      <c r="E1077" s="44"/>
      <c r="F1077" s="16">
        <f>base!W1077</f>
        <v>24.25</v>
      </c>
      <c r="G1077" s="11">
        <f t="shared" si="160"/>
        <v>0.17003225354087786</v>
      </c>
      <c r="H1077" s="11">
        <f t="shared" si="161"/>
        <v>27.097799999999999</v>
      </c>
      <c r="I1077" s="11">
        <f t="shared" si="162"/>
        <v>0.19</v>
      </c>
      <c r="J1077" s="12">
        <f t="shared" si="163"/>
        <v>-2.8477999999999994</v>
      </c>
      <c r="K1077" s="17" t="str">
        <f t="shared" si="168"/>
        <v>Ecart négatif</v>
      </c>
      <c r="L1077" s="16">
        <f>base!X1077</f>
        <v>0</v>
      </c>
      <c r="M1077" s="11">
        <f t="shared" si="164"/>
        <v>0</v>
      </c>
      <c r="N1077" s="11">
        <f t="shared" si="165"/>
        <v>0</v>
      </c>
      <c r="O1077" s="11">
        <f t="shared" si="166"/>
        <v>0</v>
      </c>
      <c r="P1077" s="12">
        <f t="shared" si="167"/>
        <v>0</v>
      </c>
      <c r="Q1077" s="17" t="str">
        <f t="shared" si="169"/>
        <v>Pas d'écart</v>
      </c>
    </row>
    <row r="1078" spans="1:18" x14ac:dyDescent="0.3">
      <c r="A1078" s="34" t="str">
        <f>base!J1078</f>
        <v>LM</v>
      </c>
      <c r="B1078" s="34" t="str">
        <f>base!V1078</f>
        <v>75008</v>
      </c>
      <c r="C1078" s="37">
        <v>75</v>
      </c>
      <c r="D1078" s="36">
        <f>base!H1078</f>
        <v>32.85</v>
      </c>
      <c r="E1078" s="44"/>
      <c r="F1078" s="16">
        <f>base!W1078</f>
        <v>0</v>
      </c>
      <c r="G1078" s="11">
        <f t="shared" si="160"/>
        <v>0</v>
      </c>
      <c r="H1078" s="11">
        <f t="shared" si="161"/>
        <v>0</v>
      </c>
      <c r="I1078" s="11">
        <f t="shared" si="162"/>
        <v>0</v>
      </c>
      <c r="J1078" s="12">
        <f t="shared" si="163"/>
        <v>0</v>
      </c>
      <c r="K1078" s="17" t="str">
        <f t="shared" si="168"/>
        <v>Pas d'écart</v>
      </c>
      <c r="L1078" s="16">
        <f>base!X1078</f>
        <v>0</v>
      </c>
      <c r="M1078" s="11">
        <f t="shared" si="164"/>
        <v>0</v>
      </c>
      <c r="N1078" s="11">
        <f t="shared" si="165"/>
        <v>0</v>
      </c>
      <c r="O1078" s="11">
        <f t="shared" si="166"/>
        <v>0</v>
      </c>
      <c r="P1078" s="12">
        <f t="shared" si="167"/>
        <v>0</v>
      </c>
      <c r="Q1078" s="17" t="str">
        <f t="shared" si="169"/>
        <v>Pas d'écart</v>
      </c>
    </row>
    <row r="1079" spans="1:18" x14ac:dyDescent="0.3">
      <c r="A1079" s="34" t="str">
        <f>base!J1079</f>
        <v>RM</v>
      </c>
      <c r="B1079" s="34" t="str">
        <f>base!V1079</f>
        <v>27400</v>
      </c>
      <c r="C1079" s="37">
        <v>27</v>
      </c>
      <c r="D1079" s="36">
        <f>base!H1079</f>
        <v>299</v>
      </c>
      <c r="E1079" s="44"/>
      <c r="F1079" s="16">
        <f>base!W1079</f>
        <v>0</v>
      </c>
      <c r="G1079" s="11">
        <f t="shared" si="160"/>
        <v>0</v>
      </c>
      <c r="H1079" s="11">
        <f t="shared" si="161"/>
        <v>50.830000000000005</v>
      </c>
      <c r="I1079" s="11">
        <f t="shared" si="162"/>
        <v>0.17</v>
      </c>
      <c r="J1079" s="12">
        <f t="shared" si="163"/>
        <v>-50.830000000000005</v>
      </c>
      <c r="K1079" s="17" t="str">
        <f t="shared" si="168"/>
        <v>Ecart négatif</v>
      </c>
      <c r="L1079" s="16">
        <f>base!X1079</f>
        <v>50.83</v>
      </c>
      <c r="M1079" s="11">
        <f t="shared" si="164"/>
        <v>0.16999999999999998</v>
      </c>
      <c r="N1079" s="11">
        <f t="shared" si="165"/>
        <v>50.830000000000005</v>
      </c>
      <c r="O1079" s="11">
        <f t="shared" si="166"/>
        <v>0.17</v>
      </c>
      <c r="P1079" s="12">
        <f t="shared" si="167"/>
        <v>0</v>
      </c>
      <c r="Q1079" s="17" t="str">
        <f t="shared" si="169"/>
        <v>Pas d'écart</v>
      </c>
      <c r="R1079" s="38"/>
    </row>
    <row r="1080" spans="1:18" x14ac:dyDescent="0.3">
      <c r="A1080" s="34">
        <f>base!J1080</f>
        <v>0</v>
      </c>
      <c r="B1080" s="34" t="str">
        <f>base!V1080</f>
        <v>44240</v>
      </c>
      <c r="C1080" s="37">
        <v>44</v>
      </c>
      <c r="D1080" s="36">
        <f>base!H1080</f>
        <v>31</v>
      </c>
      <c r="E1080" s="44"/>
      <c r="F1080" s="16">
        <f>base!W1080</f>
        <v>0</v>
      </c>
      <c r="G1080" s="11">
        <f t="shared" si="160"/>
        <v>0</v>
      </c>
      <c r="H1080" s="11">
        <f t="shared" si="161"/>
        <v>8.370000000000001</v>
      </c>
      <c r="I1080" s="11">
        <f t="shared" si="162"/>
        <v>0.27</v>
      </c>
      <c r="J1080" s="12">
        <f t="shared" si="163"/>
        <v>-8.370000000000001</v>
      </c>
      <c r="K1080" s="17" t="str">
        <f t="shared" si="168"/>
        <v>Ecart négatif</v>
      </c>
      <c r="L1080" s="16">
        <f>base!X1080</f>
        <v>0</v>
      </c>
      <c r="M1080" s="11">
        <f t="shared" si="164"/>
        <v>0</v>
      </c>
      <c r="N1080" s="11">
        <f t="shared" si="165"/>
        <v>0</v>
      </c>
      <c r="O1080" s="11">
        <f t="shared" si="166"/>
        <v>0</v>
      </c>
      <c r="P1080" s="12">
        <f t="shared" si="167"/>
        <v>0</v>
      </c>
      <c r="Q1080" s="17" t="str">
        <f t="shared" si="169"/>
        <v>Pas d'écart</v>
      </c>
    </row>
    <row r="1081" spans="1:18" x14ac:dyDescent="0.3">
      <c r="A1081" s="34" t="str">
        <f>base!J1081</f>
        <v>RM</v>
      </c>
      <c r="B1081" s="34" t="str">
        <f>base!V1081</f>
        <v>13127</v>
      </c>
      <c r="C1081" s="37">
        <v>13</v>
      </c>
      <c r="D1081" s="36">
        <f>base!H1081</f>
        <v>80</v>
      </c>
      <c r="E1081" s="44"/>
      <c r="F1081" s="16">
        <f>base!W1081</f>
        <v>0</v>
      </c>
      <c r="G1081" s="11">
        <f t="shared" si="160"/>
        <v>0</v>
      </c>
      <c r="H1081" s="11">
        <f t="shared" si="161"/>
        <v>23.2</v>
      </c>
      <c r="I1081" s="11">
        <f t="shared" si="162"/>
        <v>0.28999999999999998</v>
      </c>
      <c r="J1081" s="12">
        <f t="shared" si="163"/>
        <v>-23.2</v>
      </c>
      <c r="K1081" s="17" t="str">
        <f t="shared" si="168"/>
        <v>Ecart négatif</v>
      </c>
      <c r="L1081" s="16">
        <f>base!X1081</f>
        <v>23.2</v>
      </c>
      <c r="M1081" s="11">
        <f t="shared" si="164"/>
        <v>0.28999999999999998</v>
      </c>
      <c r="N1081" s="11">
        <f t="shared" si="165"/>
        <v>15.2</v>
      </c>
      <c r="O1081" s="11">
        <f t="shared" si="166"/>
        <v>0.19</v>
      </c>
      <c r="P1081" s="12">
        <f t="shared" si="167"/>
        <v>8</v>
      </c>
      <c r="Q1081" s="17" t="str">
        <f t="shared" si="169"/>
        <v>Ecart positif</v>
      </c>
    </row>
    <row r="1082" spans="1:18" x14ac:dyDescent="0.3">
      <c r="A1082" s="34" t="str">
        <f>base!J1082</f>
        <v>LS</v>
      </c>
      <c r="B1082" s="34" t="str">
        <f>base!V1082</f>
        <v>67300</v>
      </c>
      <c r="C1082" s="37">
        <v>60</v>
      </c>
      <c r="D1082" s="36">
        <f>base!H1082</f>
        <v>131.65</v>
      </c>
      <c r="E1082" s="44"/>
      <c r="F1082" s="16">
        <f>base!W1082</f>
        <v>38.18</v>
      </c>
      <c r="G1082" s="11">
        <f t="shared" si="160"/>
        <v>0.29001139384732244</v>
      </c>
      <c r="H1082" s="11">
        <f t="shared" si="161"/>
        <v>25.013500000000001</v>
      </c>
      <c r="I1082" s="11">
        <f t="shared" si="162"/>
        <v>0.19</v>
      </c>
      <c r="J1082" s="12">
        <f t="shared" si="163"/>
        <v>13.166499999999999</v>
      </c>
      <c r="K1082" s="17" t="str">
        <f t="shared" si="168"/>
        <v>Ecart positif</v>
      </c>
      <c r="L1082" s="16">
        <f>base!X1082</f>
        <v>0</v>
      </c>
      <c r="M1082" s="11">
        <f t="shared" si="164"/>
        <v>0</v>
      </c>
      <c r="N1082" s="11">
        <f t="shared" si="165"/>
        <v>0</v>
      </c>
      <c r="O1082" s="11">
        <f t="shared" si="166"/>
        <v>0</v>
      </c>
      <c r="P1082" s="12">
        <f t="shared" si="167"/>
        <v>0</v>
      </c>
      <c r="Q1082" s="17" t="str">
        <f t="shared" si="169"/>
        <v>Pas d'écart</v>
      </c>
    </row>
    <row r="1083" spans="1:18" x14ac:dyDescent="0.3">
      <c r="A1083" s="34" t="str">
        <f>base!J1083</f>
        <v>LS</v>
      </c>
      <c r="B1083" s="34" t="str">
        <f>base!V1083</f>
        <v>06510</v>
      </c>
      <c r="C1083" s="37">
        <v>60</v>
      </c>
      <c r="D1083" s="36">
        <f>base!H1083</f>
        <v>55.14</v>
      </c>
      <c r="E1083" s="44"/>
      <c r="F1083" s="16">
        <f>base!W1083</f>
        <v>16.54</v>
      </c>
      <c r="G1083" s="11">
        <f t="shared" si="160"/>
        <v>0.29996372869060572</v>
      </c>
      <c r="H1083" s="11">
        <f t="shared" si="161"/>
        <v>10.476599999999999</v>
      </c>
      <c r="I1083" s="11">
        <f t="shared" si="162"/>
        <v>0.19</v>
      </c>
      <c r="J1083" s="12">
        <f t="shared" si="163"/>
        <v>6.0633999999999997</v>
      </c>
      <c r="K1083" s="17" t="str">
        <f t="shared" si="168"/>
        <v>Ecart positif</v>
      </c>
      <c r="L1083" s="16">
        <f>base!X1083</f>
        <v>0</v>
      </c>
      <c r="M1083" s="11">
        <f t="shared" si="164"/>
        <v>0</v>
      </c>
      <c r="N1083" s="11">
        <f t="shared" si="165"/>
        <v>0</v>
      </c>
      <c r="O1083" s="11">
        <f t="shared" si="166"/>
        <v>0</v>
      </c>
      <c r="P1083" s="12">
        <f t="shared" si="167"/>
        <v>0</v>
      </c>
      <c r="Q1083" s="17" t="str">
        <f t="shared" si="169"/>
        <v>Pas d'écart</v>
      </c>
    </row>
    <row r="1084" spans="1:18" x14ac:dyDescent="0.3">
      <c r="A1084" s="34" t="str">
        <f>base!J1084</f>
        <v>LM</v>
      </c>
      <c r="B1084" s="34" t="str">
        <f>base!V1084</f>
        <v>44327</v>
      </c>
      <c r="C1084" s="37">
        <v>60</v>
      </c>
      <c r="D1084" s="36">
        <f>base!H1084</f>
        <v>183.32</v>
      </c>
      <c r="E1084" s="44"/>
      <c r="F1084" s="16">
        <f>base!W1084</f>
        <v>49.5</v>
      </c>
      <c r="G1084" s="11">
        <f t="shared" si="160"/>
        <v>0.27001963779183941</v>
      </c>
      <c r="H1084" s="11">
        <f t="shared" si="161"/>
        <v>34.830799999999996</v>
      </c>
      <c r="I1084" s="11">
        <f t="shared" si="162"/>
        <v>0.18999999999999997</v>
      </c>
      <c r="J1084" s="12">
        <f t="shared" si="163"/>
        <v>14.669200000000004</v>
      </c>
      <c r="K1084" s="17" t="str">
        <f t="shared" si="168"/>
        <v>Ecart positif</v>
      </c>
      <c r="L1084" s="16">
        <f>base!X1084</f>
        <v>0</v>
      </c>
      <c r="M1084" s="11">
        <f t="shared" si="164"/>
        <v>0</v>
      </c>
      <c r="N1084" s="11">
        <f t="shared" si="165"/>
        <v>0</v>
      </c>
      <c r="O1084" s="11">
        <f t="shared" si="166"/>
        <v>0</v>
      </c>
      <c r="P1084" s="12">
        <f t="shared" si="167"/>
        <v>0</v>
      </c>
      <c r="Q1084" s="17" t="str">
        <f t="shared" si="169"/>
        <v>Pas d'écart</v>
      </c>
    </row>
    <row r="1085" spans="1:18" x14ac:dyDescent="0.3">
      <c r="A1085" s="34" t="str">
        <f>base!J1085</f>
        <v>LS</v>
      </c>
      <c r="B1085" s="34" t="str">
        <f>base!V1085</f>
        <v>19100</v>
      </c>
      <c r="C1085" s="37">
        <v>60</v>
      </c>
      <c r="D1085" s="36">
        <f>base!H1085</f>
        <v>129.59</v>
      </c>
      <c r="E1085" s="44"/>
      <c r="F1085" s="16">
        <f>base!W1085</f>
        <v>37.58</v>
      </c>
      <c r="G1085" s="11">
        <f t="shared" si="160"/>
        <v>0.28999151169071685</v>
      </c>
      <c r="H1085" s="11">
        <f t="shared" si="161"/>
        <v>24.6221</v>
      </c>
      <c r="I1085" s="11">
        <f t="shared" si="162"/>
        <v>0.19</v>
      </c>
      <c r="J1085" s="12">
        <f t="shared" si="163"/>
        <v>12.957899999999999</v>
      </c>
      <c r="K1085" s="17" t="str">
        <f t="shared" si="168"/>
        <v>Ecart positif</v>
      </c>
      <c r="L1085" s="16">
        <f>base!X1085</f>
        <v>0</v>
      </c>
      <c r="M1085" s="11">
        <f t="shared" si="164"/>
        <v>0</v>
      </c>
      <c r="N1085" s="11">
        <f t="shared" si="165"/>
        <v>0</v>
      </c>
      <c r="O1085" s="11">
        <f t="shared" si="166"/>
        <v>0</v>
      </c>
      <c r="P1085" s="12">
        <f t="shared" si="167"/>
        <v>0</v>
      </c>
      <c r="Q1085" s="17" t="str">
        <f t="shared" si="169"/>
        <v>Pas d'écart</v>
      </c>
    </row>
    <row r="1086" spans="1:18" x14ac:dyDescent="0.3">
      <c r="A1086" s="34" t="str">
        <f>base!J1086</f>
        <v>RS</v>
      </c>
      <c r="B1086" s="34" t="str">
        <f>base!V1086</f>
        <v>76290</v>
      </c>
      <c r="C1086" s="37">
        <v>76</v>
      </c>
      <c r="D1086" s="36">
        <f>base!H1086</f>
        <v>40</v>
      </c>
      <c r="E1086" s="44"/>
      <c r="F1086" s="16">
        <f>base!W1086</f>
        <v>0</v>
      </c>
      <c r="G1086" s="11">
        <f t="shared" si="160"/>
        <v>0</v>
      </c>
      <c r="H1086" s="11">
        <f t="shared" si="161"/>
        <v>6.8000000000000007</v>
      </c>
      <c r="I1086" s="11">
        <f t="shared" si="162"/>
        <v>0.17</v>
      </c>
      <c r="J1086" s="12">
        <f t="shared" si="163"/>
        <v>-6.8000000000000007</v>
      </c>
      <c r="K1086" s="17" t="str">
        <f t="shared" si="168"/>
        <v>Ecart négatif</v>
      </c>
      <c r="L1086" s="16">
        <f>base!X1086</f>
        <v>6.8</v>
      </c>
      <c r="M1086" s="11">
        <f t="shared" si="164"/>
        <v>0.16999999999999998</v>
      </c>
      <c r="N1086" s="11">
        <f t="shared" si="165"/>
        <v>6.8000000000000007</v>
      </c>
      <c r="O1086" s="11">
        <f t="shared" si="166"/>
        <v>0.17</v>
      </c>
      <c r="P1086" s="12">
        <f t="shared" si="167"/>
        <v>0</v>
      </c>
      <c r="Q1086" s="17" t="str">
        <f t="shared" si="169"/>
        <v>Pas d'écart</v>
      </c>
    </row>
    <row r="1087" spans="1:18" x14ac:dyDescent="0.3">
      <c r="A1087" s="34" t="str">
        <f>base!J1087</f>
        <v>RM</v>
      </c>
      <c r="B1087" s="34" t="str">
        <f>base!V1087</f>
        <v>76290</v>
      </c>
      <c r="C1087" s="37">
        <v>76</v>
      </c>
      <c r="D1087" s="36">
        <f>base!H1087</f>
        <v>40</v>
      </c>
      <c r="E1087" s="44"/>
      <c r="F1087" s="16">
        <f>base!W1087</f>
        <v>0</v>
      </c>
      <c r="G1087" s="11">
        <f t="shared" si="160"/>
        <v>0</v>
      </c>
      <c r="H1087" s="11">
        <f t="shared" si="161"/>
        <v>6.8000000000000007</v>
      </c>
      <c r="I1087" s="11">
        <f t="shared" si="162"/>
        <v>0.17</v>
      </c>
      <c r="J1087" s="12">
        <f t="shared" si="163"/>
        <v>-6.8000000000000007</v>
      </c>
      <c r="K1087" s="17" t="str">
        <f t="shared" si="168"/>
        <v>Ecart négatif</v>
      </c>
      <c r="L1087" s="16">
        <f>base!X1087</f>
        <v>6.8</v>
      </c>
      <c r="M1087" s="11">
        <f t="shared" si="164"/>
        <v>0.16999999999999998</v>
      </c>
      <c r="N1087" s="11">
        <f t="shared" si="165"/>
        <v>6.8000000000000007</v>
      </c>
      <c r="O1087" s="11">
        <f t="shared" si="166"/>
        <v>0.17</v>
      </c>
      <c r="P1087" s="12">
        <f t="shared" si="167"/>
        <v>0</v>
      </c>
      <c r="Q1087" s="17" t="str">
        <f t="shared" si="169"/>
        <v>Pas d'écart</v>
      </c>
    </row>
    <row r="1088" spans="1:18" x14ac:dyDescent="0.3">
      <c r="A1088" s="34" t="str">
        <f>base!J1088</f>
        <v>RM</v>
      </c>
      <c r="B1088" s="34" t="str">
        <f>base!V1088</f>
        <v>76290</v>
      </c>
      <c r="C1088" s="37">
        <v>76</v>
      </c>
      <c r="D1088" s="36">
        <f>base!H1088</f>
        <v>40</v>
      </c>
      <c r="E1088" s="44"/>
      <c r="F1088" s="16">
        <f>base!W1088</f>
        <v>0</v>
      </c>
      <c r="G1088" s="11">
        <f t="shared" si="160"/>
        <v>0</v>
      </c>
      <c r="H1088" s="11">
        <f t="shared" si="161"/>
        <v>6.8000000000000007</v>
      </c>
      <c r="I1088" s="11">
        <f t="shared" si="162"/>
        <v>0.17</v>
      </c>
      <c r="J1088" s="12">
        <f t="shared" si="163"/>
        <v>-6.8000000000000007</v>
      </c>
      <c r="K1088" s="17" t="str">
        <f t="shared" si="168"/>
        <v>Ecart négatif</v>
      </c>
      <c r="L1088" s="16">
        <f>base!X1088</f>
        <v>6.8</v>
      </c>
      <c r="M1088" s="11">
        <f t="shared" si="164"/>
        <v>0.16999999999999998</v>
      </c>
      <c r="N1088" s="11">
        <f t="shared" si="165"/>
        <v>6.8000000000000007</v>
      </c>
      <c r="O1088" s="11">
        <f t="shared" si="166"/>
        <v>0.17</v>
      </c>
      <c r="P1088" s="12">
        <f t="shared" si="167"/>
        <v>0</v>
      </c>
      <c r="Q1088" s="17" t="str">
        <f t="shared" si="169"/>
        <v>Pas d'écart</v>
      </c>
    </row>
    <row r="1089" spans="1:17" x14ac:dyDescent="0.3">
      <c r="A1089" s="34" t="str">
        <f>base!J1089</f>
        <v>RM</v>
      </c>
      <c r="B1089" s="34" t="str">
        <f>base!V1089</f>
        <v>59260</v>
      </c>
      <c r="C1089" s="37">
        <v>59</v>
      </c>
      <c r="D1089" s="36">
        <f>base!H1089</f>
        <v>164.8</v>
      </c>
      <c r="E1089" s="44"/>
      <c r="F1089" s="16">
        <f>base!W1089</f>
        <v>0</v>
      </c>
      <c r="G1089" s="11">
        <f t="shared" si="160"/>
        <v>0</v>
      </c>
      <c r="H1089" s="11">
        <f t="shared" si="161"/>
        <v>31.312000000000001</v>
      </c>
      <c r="I1089" s="11">
        <f t="shared" si="162"/>
        <v>0.19</v>
      </c>
      <c r="J1089" s="12">
        <f t="shared" si="163"/>
        <v>-31.312000000000001</v>
      </c>
      <c r="K1089" s="17" t="str">
        <f t="shared" si="168"/>
        <v>Ecart négatif</v>
      </c>
      <c r="L1089" s="16">
        <f>base!X1089</f>
        <v>0</v>
      </c>
      <c r="M1089" s="11">
        <f t="shared" si="164"/>
        <v>0</v>
      </c>
      <c r="N1089" s="11">
        <f t="shared" si="165"/>
        <v>0</v>
      </c>
      <c r="O1089" s="11">
        <f t="shared" si="166"/>
        <v>0</v>
      </c>
      <c r="P1089" s="12">
        <f t="shared" si="167"/>
        <v>0</v>
      </c>
      <c r="Q1089" s="17" t="str">
        <f t="shared" si="169"/>
        <v>Pas d'écart</v>
      </c>
    </row>
    <row r="1090" spans="1:17" x14ac:dyDescent="0.3">
      <c r="A1090" s="34" t="str">
        <f>base!J1090</f>
        <v>LM</v>
      </c>
      <c r="B1090" s="34" t="str">
        <f>base!V1090</f>
        <v>75008</v>
      </c>
      <c r="C1090" s="37">
        <v>75</v>
      </c>
      <c r="D1090" s="36">
        <f>base!H1090</f>
        <v>303.74</v>
      </c>
      <c r="E1090" s="44"/>
      <c r="F1090" s="16">
        <f>base!W1090</f>
        <v>0</v>
      </c>
      <c r="G1090" s="11">
        <f t="shared" ref="G1090:G1153" si="170">F1090/D1090</f>
        <v>0</v>
      </c>
      <c r="H1090" s="11">
        <f t="shared" ref="H1090:H1153" si="171">VLOOKUP(C1090,tout_cout_traction,2,FALSE)*D1090</f>
        <v>0</v>
      </c>
      <c r="I1090" s="11">
        <f t="shared" ref="I1090:I1153" si="172">H1090/D1090</f>
        <v>0</v>
      </c>
      <c r="J1090" s="12">
        <f t="shared" ref="J1090:J1153" si="173">F1090-H1090</f>
        <v>0</v>
      </c>
      <c r="K1090" s="17" t="str">
        <f t="shared" si="168"/>
        <v>Pas d'écart</v>
      </c>
      <c r="L1090" s="16">
        <f>base!X1090</f>
        <v>0</v>
      </c>
      <c r="M1090" s="11">
        <f t="shared" ref="M1090:M1153" si="174">L1090/D1090</f>
        <v>0</v>
      </c>
      <c r="N1090" s="11">
        <f t="shared" ref="N1090:N1153" si="175">VLOOKUP(C1090,tout_cout_traction,3,FALSE)*D1090</f>
        <v>0</v>
      </c>
      <c r="O1090" s="11">
        <f t="shared" ref="O1090:O1153" si="176">N1090/D1090</f>
        <v>0</v>
      </c>
      <c r="P1090" s="12">
        <f t="shared" ref="P1090:P1153" si="177">L1090-N1090</f>
        <v>0</v>
      </c>
      <c r="Q1090" s="17" t="str">
        <f t="shared" si="169"/>
        <v>Pas d'écart</v>
      </c>
    </row>
    <row r="1091" spans="1:17" x14ac:dyDescent="0.3">
      <c r="A1091" s="34">
        <f>base!J1091</f>
        <v>0</v>
      </c>
      <c r="B1091" s="34" t="str">
        <f>base!V1091</f>
        <v>77184</v>
      </c>
      <c r="C1091" s="37">
        <v>77</v>
      </c>
      <c r="D1091" s="36">
        <f>base!H1091</f>
        <v>182.32</v>
      </c>
      <c r="E1091" s="44"/>
      <c r="F1091" s="16">
        <f>base!W1091</f>
        <v>0</v>
      </c>
      <c r="G1091" s="11">
        <f t="shared" si="170"/>
        <v>0</v>
      </c>
      <c r="H1091" s="11">
        <f t="shared" si="171"/>
        <v>0</v>
      </c>
      <c r="I1091" s="11">
        <f t="shared" si="172"/>
        <v>0</v>
      </c>
      <c r="J1091" s="12">
        <f t="shared" si="173"/>
        <v>0</v>
      </c>
      <c r="K1091" s="17" t="str">
        <f t="shared" ref="K1091:K1154" si="178">IF(H1091=F1091,"Pas d'écart",IF(H1091&lt;F1091,"Ecart positif",IF(H1091&gt;F1091,"Ecart négatif")))</f>
        <v>Pas d'écart</v>
      </c>
      <c r="L1091" s="16">
        <f>base!X1091</f>
        <v>0</v>
      </c>
      <c r="M1091" s="11">
        <f t="shared" si="174"/>
        <v>0</v>
      </c>
      <c r="N1091" s="11">
        <f t="shared" si="175"/>
        <v>0</v>
      </c>
      <c r="O1091" s="11">
        <f t="shared" si="176"/>
        <v>0</v>
      </c>
      <c r="P1091" s="12">
        <f t="shared" si="177"/>
        <v>0</v>
      </c>
      <c r="Q1091" s="17" t="str">
        <f t="shared" ref="Q1091:Q1154" si="179">IF(N1091=L1091,"Pas d'écart",IF(N1091&lt;L1091,"Ecart positif",IF(N1091&gt;L1091,"Ecart négatif")))</f>
        <v>Pas d'écart</v>
      </c>
    </row>
    <row r="1092" spans="1:17" x14ac:dyDescent="0.3">
      <c r="A1092" s="34" t="str">
        <f>base!J1092</f>
        <v>LS</v>
      </c>
      <c r="B1092" s="34" t="str">
        <f>base!V1092</f>
        <v>51000</v>
      </c>
      <c r="C1092" s="37">
        <v>59</v>
      </c>
      <c r="D1092" s="36">
        <f>base!H1092</f>
        <v>120.29</v>
      </c>
      <c r="E1092" s="44"/>
      <c r="F1092" s="16">
        <f>base!W1092</f>
        <v>30.07</v>
      </c>
      <c r="G1092" s="11">
        <f t="shared" si="170"/>
        <v>0.24997921689250976</v>
      </c>
      <c r="H1092" s="11">
        <f t="shared" si="171"/>
        <v>22.8551</v>
      </c>
      <c r="I1092" s="11">
        <f t="shared" si="172"/>
        <v>0.19</v>
      </c>
      <c r="J1092" s="12">
        <f t="shared" si="173"/>
        <v>7.2149000000000001</v>
      </c>
      <c r="K1092" s="17" t="str">
        <f t="shared" si="178"/>
        <v>Ecart positif</v>
      </c>
      <c r="L1092" s="16">
        <f>base!X1092</f>
        <v>0</v>
      </c>
      <c r="M1092" s="11">
        <f t="shared" si="174"/>
        <v>0</v>
      </c>
      <c r="N1092" s="11">
        <f t="shared" si="175"/>
        <v>0</v>
      </c>
      <c r="O1092" s="11">
        <f t="shared" si="176"/>
        <v>0</v>
      </c>
      <c r="P1092" s="12">
        <f t="shared" si="177"/>
        <v>0</v>
      </c>
      <c r="Q1092" s="17" t="str">
        <f t="shared" si="179"/>
        <v>Pas d'écart</v>
      </c>
    </row>
    <row r="1093" spans="1:17" x14ac:dyDescent="0.3">
      <c r="A1093" s="34" t="str">
        <f>base!J1093</f>
        <v>LS</v>
      </c>
      <c r="B1093" s="34" t="str">
        <f>base!V1093</f>
        <v>76600</v>
      </c>
      <c r="C1093" s="37">
        <v>2</v>
      </c>
      <c r="D1093" s="36">
        <f>base!H1093</f>
        <v>831.24</v>
      </c>
      <c r="E1093" s="44"/>
      <c r="F1093" s="16">
        <f>base!W1093</f>
        <v>141.31</v>
      </c>
      <c r="G1093" s="11">
        <f t="shared" si="170"/>
        <v>0.169999037582407</v>
      </c>
      <c r="H1093" s="11">
        <f t="shared" si="171"/>
        <v>149.6232</v>
      </c>
      <c r="I1093" s="11">
        <f t="shared" si="172"/>
        <v>0.18</v>
      </c>
      <c r="J1093" s="12">
        <f t="shared" si="173"/>
        <v>-8.3131999999999948</v>
      </c>
      <c r="K1093" s="17" t="str">
        <f t="shared" si="178"/>
        <v>Ecart négatif</v>
      </c>
      <c r="L1093" s="16">
        <f>base!X1093</f>
        <v>0</v>
      </c>
      <c r="M1093" s="11">
        <f t="shared" si="174"/>
        <v>0</v>
      </c>
      <c r="N1093" s="11">
        <f t="shared" si="175"/>
        <v>0</v>
      </c>
      <c r="O1093" s="11">
        <f t="shared" si="176"/>
        <v>0</v>
      </c>
      <c r="P1093" s="12">
        <f t="shared" si="177"/>
        <v>0</v>
      </c>
      <c r="Q1093" s="17" t="str">
        <f t="shared" si="179"/>
        <v>Pas d'écart</v>
      </c>
    </row>
    <row r="1094" spans="1:17" x14ac:dyDescent="0.3">
      <c r="A1094" s="34" t="str">
        <f>base!J1094</f>
        <v>LM</v>
      </c>
      <c r="B1094" s="34" t="str">
        <f>base!V1094</f>
        <v>67500</v>
      </c>
      <c r="C1094" s="37">
        <v>14</v>
      </c>
      <c r="D1094" s="36">
        <f>base!H1094</f>
        <v>134.53</v>
      </c>
      <c r="E1094" s="44"/>
      <c r="F1094" s="16">
        <f>base!W1094</f>
        <v>39.01</v>
      </c>
      <c r="G1094" s="11">
        <f t="shared" si="170"/>
        <v>0.2899724968408533</v>
      </c>
      <c r="H1094" s="11">
        <f t="shared" si="171"/>
        <v>22.870100000000001</v>
      </c>
      <c r="I1094" s="11">
        <f t="shared" si="172"/>
        <v>0.17</v>
      </c>
      <c r="J1094" s="12">
        <f t="shared" si="173"/>
        <v>16.139899999999997</v>
      </c>
      <c r="K1094" s="17" t="str">
        <f t="shared" si="178"/>
        <v>Ecart positif</v>
      </c>
      <c r="L1094" s="16">
        <f>base!X1094</f>
        <v>0</v>
      </c>
      <c r="M1094" s="11">
        <f t="shared" si="174"/>
        <v>0</v>
      </c>
      <c r="N1094" s="11">
        <f t="shared" si="175"/>
        <v>22.870100000000001</v>
      </c>
      <c r="O1094" s="11">
        <f t="shared" si="176"/>
        <v>0.17</v>
      </c>
      <c r="P1094" s="12">
        <f t="shared" si="177"/>
        <v>-22.870100000000001</v>
      </c>
      <c r="Q1094" s="17" t="str">
        <f t="shared" si="179"/>
        <v>Ecart négatif</v>
      </c>
    </row>
    <row r="1095" spans="1:17" x14ac:dyDescent="0.3">
      <c r="A1095" s="34" t="str">
        <f>base!J1095</f>
        <v>LS</v>
      </c>
      <c r="B1095" s="34" t="str">
        <f>base!V1095</f>
        <v>68870</v>
      </c>
      <c r="C1095" s="37">
        <v>76</v>
      </c>
      <c r="D1095" s="36">
        <f>base!H1095</f>
        <v>75.14</v>
      </c>
      <c r="E1095" s="44"/>
      <c r="F1095" s="16">
        <f>base!W1095</f>
        <v>21.79</v>
      </c>
      <c r="G1095" s="11">
        <f t="shared" si="170"/>
        <v>0.28999201490550969</v>
      </c>
      <c r="H1095" s="11">
        <f t="shared" si="171"/>
        <v>12.773800000000001</v>
      </c>
      <c r="I1095" s="11">
        <f t="shared" si="172"/>
        <v>0.17</v>
      </c>
      <c r="J1095" s="12">
        <f t="shared" si="173"/>
        <v>9.0161999999999978</v>
      </c>
      <c r="K1095" s="17" t="str">
        <f t="shared" si="178"/>
        <v>Ecart positif</v>
      </c>
      <c r="L1095" s="16">
        <f>base!X1095</f>
        <v>0</v>
      </c>
      <c r="M1095" s="11">
        <f t="shared" si="174"/>
        <v>0</v>
      </c>
      <c r="N1095" s="11">
        <f t="shared" si="175"/>
        <v>12.773800000000001</v>
      </c>
      <c r="O1095" s="11">
        <f t="shared" si="176"/>
        <v>0.17</v>
      </c>
      <c r="P1095" s="12">
        <f t="shared" si="177"/>
        <v>-12.773800000000001</v>
      </c>
      <c r="Q1095" s="17" t="str">
        <f t="shared" si="179"/>
        <v>Ecart négatif</v>
      </c>
    </row>
    <row r="1096" spans="1:17" x14ac:dyDescent="0.3">
      <c r="A1096" s="34" t="str">
        <f>base!J1096</f>
        <v>LS</v>
      </c>
      <c r="B1096" s="34" t="str">
        <f>base!V1096</f>
        <v>92800</v>
      </c>
      <c r="C1096" s="37">
        <v>92</v>
      </c>
      <c r="D1096" s="36">
        <f>base!H1096</f>
        <v>151</v>
      </c>
      <c r="E1096" s="44"/>
      <c r="F1096" s="16">
        <f>base!W1096</f>
        <v>0</v>
      </c>
      <c r="G1096" s="11">
        <f t="shared" si="170"/>
        <v>0</v>
      </c>
      <c r="H1096" s="11">
        <f t="shared" si="171"/>
        <v>0</v>
      </c>
      <c r="I1096" s="11">
        <f t="shared" si="172"/>
        <v>0</v>
      </c>
      <c r="J1096" s="12">
        <f t="shared" si="173"/>
        <v>0</v>
      </c>
      <c r="K1096" s="17" t="str">
        <f t="shared" si="178"/>
        <v>Pas d'écart</v>
      </c>
      <c r="L1096" s="16">
        <f>base!X1096</f>
        <v>0</v>
      </c>
      <c r="M1096" s="11">
        <f t="shared" si="174"/>
        <v>0</v>
      </c>
      <c r="N1096" s="11">
        <f t="shared" si="175"/>
        <v>0</v>
      </c>
      <c r="O1096" s="11">
        <f t="shared" si="176"/>
        <v>0</v>
      </c>
      <c r="P1096" s="12">
        <f t="shared" si="177"/>
        <v>0</v>
      </c>
      <c r="Q1096" s="17" t="str">
        <f t="shared" si="179"/>
        <v>Pas d'écart</v>
      </c>
    </row>
    <row r="1097" spans="1:17" x14ac:dyDescent="0.3">
      <c r="A1097" s="34" t="str">
        <f>base!J1097</f>
        <v>LS</v>
      </c>
      <c r="B1097" s="34" t="str">
        <f>base!V1097</f>
        <v>73000</v>
      </c>
      <c r="C1097" s="37">
        <v>27</v>
      </c>
      <c r="D1097" s="36">
        <f>base!H1097</f>
        <v>19.8</v>
      </c>
      <c r="E1097" s="44"/>
      <c r="F1097" s="16">
        <f>base!W1097</f>
        <v>5.35</v>
      </c>
      <c r="G1097" s="11">
        <f t="shared" si="170"/>
        <v>0.27020202020202017</v>
      </c>
      <c r="H1097" s="11">
        <f t="shared" si="171"/>
        <v>3.3660000000000005</v>
      </c>
      <c r="I1097" s="11">
        <f t="shared" si="172"/>
        <v>0.17</v>
      </c>
      <c r="J1097" s="12">
        <f t="shared" si="173"/>
        <v>1.9839999999999991</v>
      </c>
      <c r="K1097" s="17" t="str">
        <f t="shared" si="178"/>
        <v>Ecart positif</v>
      </c>
      <c r="L1097" s="16">
        <f>base!X1097</f>
        <v>0</v>
      </c>
      <c r="M1097" s="11">
        <f t="shared" si="174"/>
        <v>0</v>
      </c>
      <c r="N1097" s="11">
        <f t="shared" si="175"/>
        <v>3.3660000000000005</v>
      </c>
      <c r="O1097" s="11">
        <f t="shared" si="176"/>
        <v>0.17</v>
      </c>
      <c r="P1097" s="12">
        <f t="shared" si="177"/>
        <v>-3.3660000000000005</v>
      </c>
      <c r="Q1097" s="17" t="str">
        <f t="shared" si="179"/>
        <v>Ecart négatif</v>
      </c>
    </row>
    <row r="1098" spans="1:17" x14ac:dyDescent="0.3">
      <c r="A1098" s="34" t="str">
        <f>base!J1098</f>
        <v>LS</v>
      </c>
      <c r="B1098" s="34" t="str">
        <f>base!V1098</f>
        <v>14740</v>
      </c>
      <c r="C1098" s="37">
        <v>14</v>
      </c>
      <c r="D1098" s="36">
        <f>base!H1098</f>
        <v>32.46</v>
      </c>
      <c r="E1098" s="44"/>
      <c r="F1098" s="16">
        <f>base!W1098</f>
        <v>5.52</v>
      </c>
      <c r="G1098" s="11">
        <f t="shared" si="170"/>
        <v>0.17005545286506468</v>
      </c>
      <c r="H1098" s="11">
        <f t="shared" si="171"/>
        <v>5.5182000000000002</v>
      </c>
      <c r="I1098" s="11">
        <f t="shared" si="172"/>
        <v>0.17</v>
      </c>
      <c r="J1098" s="12">
        <f t="shared" si="173"/>
        <v>1.7999999999993577E-3</v>
      </c>
      <c r="K1098" s="17" t="str">
        <f t="shared" si="178"/>
        <v>Ecart positif</v>
      </c>
      <c r="L1098" s="16">
        <f>base!X1098</f>
        <v>0</v>
      </c>
      <c r="M1098" s="11">
        <f t="shared" si="174"/>
        <v>0</v>
      </c>
      <c r="N1098" s="11">
        <f t="shared" si="175"/>
        <v>5.5182000000000002</v>
      </c>
      <c r="O1098" s="11">
        <f t="shared" si="176"/>
        <v>0.17</v>
      </c>
      <c r="P1098" s="12">
        <f t="shared" si="177"/>
        <v>-5.5182000000000002</v>
      </c>
      <c r="Q1098" s="17" t="str">
        <f t="shared" si="179"/>
        <v>Ecart négatif</v>
      </c>
    </row>
    <row r="1099" spans="1:17" x14ac:dyDescent="0.3">
      <c r="A1099" s="34" t="str">
        <f>base!J1099</f>
        <v>LS</v>
      </c>
      <c r="B1099" s="34" t="str">
        <f>base!V1099</f>
        <v>44000</v>
      </c>
      <c r="C1099" s="37">
        <v>44</v>
      </c>
      <c r="D1099" s="36">
        <f>base!H1099</f>
        <v>40</v>
      </c>
      <c r="E1099" s="44"/>
      <c r="F1099" s="16">
        <f>base!W1099</f>
        <v>10.8</v>
      </c>
      <c r="G1099" s="11">
        <f t="shared" si="170"/>
        <v>0.27</v>
      </c>
      <c r="H1099" s="11">
        <f t="shared" si="171"/>
        <v>10.8</v>
      </c>
      <c r="I1099" s="11">
        <f t="shared" si="172"/>
        <v>0.27</v>
      </c>
      <c r="J1099" s="12">
        <f t="shared" si="173"/>
        <v>0</v>
      </c>
      <c r="K1099" s="17" t="str">
        <f t="shared" si="178"/>
        <v>Pas d'écart</v>
      </c>
      <c r="L1099" s="16">
        <f>base!X1099</f>
        <v>0</v>
      </c>
      <c r="M1099" s="11">
        <f t="shared" si="174"/>
        <v>0</v>
      </c>
      <c r="N1099" s="11">
        <f t="shared" si="175"/>
        <v>0</v>
      </c>
      <c r="O1099" s="11">
        <f t="shared" si="176"/>
        <v>0</v>
      </c>
      <c r="P1099" s="12">
        <f t="shared" si="177"/>
        <v>0</v>
      </c>
      <c r="Q1099" s="17" t="str">
        <f t="shared" si="179"/>
        <v>Pas d'écart</v>
      </c>
    </row>
    <row r="1100" spans="1:17" x14ac:dyDescent="0.3">
      <c r="A1100" s="34">
        <f>base!J1100</f>
        <v>0</v>
      </c>
      <c r="B1100" s="34" t="str">
        <f>base!V1100</f>
        <v>77184</v>
      </c>
      <c r="C1100" s="37">
        <v>77</v>
      </c>
      <c r="D1100" s="36">
        <f>base!H1100</f>
        <v>495</v>
      </c>
      <c r="E1100" s="44"/>
      <c r="F1100" s="16">
        <f>base!W1100</f>
        <v>0</v>
      </c>
      <c r="G1100" s="11">
        <f t="shared" si="170"/>
        <v>0</v>
      </c>
      <c r="H1100" s="11">
        <f t="shared" si="171"/>
        <v>0</v>
      </c>
      <c r="I1100" s="11">
        <f t="shared" si="172"/>
        <v>0</v>
      </c>
      <c r="J1100" s="12">
        <f t="shared" si="173"/>
        <v>0</v>
      </c>
      <c r="K1100" s="17" t="str">
        <f t="shared" si="178"/>
        <v>Pas d'écart</v>
      </c>
      <c r="L1100" s="16">
        <f>base!X1100</f>
        <v>0</v>
      </c>
      <c r="M1100" s="11">
        <f t="shared" si="174"/>
        <v>0</v>
      </c>
      <c r="N1100" s="11">
        <f t="shared" si="175"/>
        <v>0</v>
      </c>
      <c r="O1100" s="11">
        <f t="shared" si="176"/>
        <v>0</v>
      </c>
      <c r="P1100" s="12">
        <f t="shared" si="177"/>
        <v>0</v>
      </c>
      <c r="Q1100" s="17" t="str">
        <f t="shared" si="179"/>
        <v>Pas d'écart</v>
      </c>
    </row>
    <row r="1101" spans="1:17" x14ac:dyDescent="0.3">
      <c r="A1101" s="34">
        <f>base!J1101</f>
        <v>0</v>
      </c>
      <c r="B1101" s="34" t="str">
        <f>base!V1101</f>
        <v>77184</v>
      </c>
      <c r="C1101" s="37">
        <v>77</v>
      </c>
      <c r="D1101" s="36">
        <f>base!H1101</f>
        <v>160</v>
      </c>
      <c r="E1101" s="44"/>
      <c r="F1101" s="16">
        <f>base!W1101</f>
        <v>0</v>
      </c>
      <c r="G1101" s="11">
        <f t="shared" si="170"/>
        <v>0</v>
      </c>
      <c r="H1101" s="11">
        <f t="shared" si="171"/>
        <v>0</v>
      </c>
      <c r="I1101" s="11">
        <f t="shared" si="172"/>
        <v>0</v>
      </c>
      <c r="J1101" s="12">
        <f t="shared" si="173"/>
        <v>0</v>
      </c>
      <c r="K1101" s="17" t="str">
        <f t="shared" si="178"/>
        <v>Pas d'écart</v>
      </c>
      <c r="L1101" s="16">
        <f>base!X1101</f>
        <v>0</v>
      </c>
      <c r="M1101" s="11">
        <f t="shared" si="174"/>
        <v>0</v>
      </c>
      <c r="N1101" s="11">
        <f t="shared" si="175"/>
        <v>0</v>
      </c>
      <c r="O1101" s="11">
        <f t="shared" si="176"/>
        <v>0</v>
      </c>
      <c r="P1101" s="12">
        <f t="shared" si="177"/>
        <v>0</v>
      </c>
      <c r="Q1101" s="17" t="str">
        <f t="shared" si="179"/>
        <v>Pas d'écart</v>
      </c>
    </row>
    <row r="1102" spans="1:17" x14ac:dyDescent="0.3">
      <c r="A1102" s="34" t="str">
        <f>base!J1102</f>
        <v>LM</v>
      </c>
      <c r="B1102" s="34" t="str">
        <f>base!V1102</f>
        <v>56450</v>
      </c>
      <c r="C1102" s="37">
        <v>14</v>
      </c>
      <c r="D1102" s="36">
        <f>base!H1102</f>
        <v>85.74</v>
      </c>
      <c r="E1102" s="44"/>
      <c r="F1102" s="16">
        <f>base!W1102</f>
        <v>23.15</v>
      </c>
      <c r="G1102" s="11">
        <f t="shared" si="170"/>
        <v>0.27000233263354328</v>
      </c>
      <c r="H1102" s="11">
        <f t="shared" si="171"/>
        <v>14.575800000000001</v>
      </c>
      <c r="I1102" s="11">
        <f t="shared" si="172"/>
        <v>0.17</v>
      </c>
      <c r="J1102" s="12">
        <f t="shared" si="173"/>
        <v>8.5741999999999976</v>
      </c>
      <c r="K1102" s="17" t="str">
        <f t="shared" si="178"/>
        <v>Ecart positif</v>
      </c>
      <c r="L1102" s="16">
        <f>base!X1102</f>
        <v>0</v>
      </c>
      <c r="M1102" s="11">
        <f t="shared" si="174"/>
        <v>0</v>
      </c>
      <c r="N1102" s="11">
        <f t="shared" si="175"/>
        <v>14.575800000000001</v>
      </c>
      <c r="O1102" s="11">
        <f t="shared" si="176"/>
        <v>0.17</v>
      </c>
      <c r="P1102" s="12">
        <f t="shared" si="177"/>
        <v>-14.575800000000001</v>
      </c>
      <c r="Q1102" s="17" t="str">
        <f t="shared" si="179"/>
        <v>Ecart négatif</v>
      </c>
    </row>
    <row r="1103" spans="1:17" x14ac:dyDescent="0.3">
      <c r="A1103" s="34" t="str">
        <f>base!J1103</f>
        <v>LM</v>
      </c>
      <c r="B1103" s="34" t="str">
        <f>base!V1103</f>
        <v>76600</v>
      </c>
      <c r="C1103" s="37">
        <v>50</v>
      </c>
      <c r="D1103" s="36">
        <f>base!H1103</f>
        <v>48.23</v>
      </c>
      <c r="E1103" s="44"/>
      <c r="F1103" s="16">
        <f>base!W1103</f>
        <v>8.1999999999999993</v>
      </c>
      <c r="G1103" s="11">
        <f t="shared" si="170"/>
        <v>0.17001866058469831</v>
      </c>
      <c r="H1103" s="11">
        <f t="shared" si="171"/>
        <v>8.1990999999999996</v>
      </c>
      <c r="I1103" s="11">
        <f t="shared" si="172"/>
        <v>0.17</v>
      </c>
      <c r="J1103" s="12">
        <f t="shared" si="173"/>
        <v>8.9999999999967883E-4</v>
      </c>
      <c r="K1103" s="17" t="str">
        <f t="shared" si="178"/>
        <v>Ecart positif</v>
      </c>
      <c r="L1103" s="16">
        <f>base!X1103</f>
        <v>0</v>
      </c>
      <c r="M1103" s="11">
        <f t="shared" si="174"/>
        <v>0</v>
      </c>
      <c r="N1103" s="11">
        <f t="shared" si="175"/>
        <v>8.1990999999999996</v>
      </c>
      <c r="O1103" s="11">
        <f t="shared" si="176"/>
        <v>0.17</v>
      </c>
      <c r="P1103" s="12">
        <f t="shared" si="177"/>
        <v>-8.1990999999999996</v>
      </c>
      <c r="Q1103" s="17" t="str">
        <f t="shared" si="179"/>
        <v>Ecart négatif</v>
      </c>
    </row>
    <row r="1104" spans="1:17" x14ac:dyDescent="0.3">
      <c r="A1104" s="34" t="str">
        <f>base!J1104</f>
        <v>LM</v>
      </c>
      <c r="B1104" s="34" t="str">
        <f>base!V1104</f>
        <v>69005</v>
      </c>
      <c r="C1104" s="37">
        <v>61</v>
      </c>
      <c r="D1104" s="36">
        <f>base!H1104</f>
        <v>33.35</v>
      </c>
      <c r="E1104" s="44"/>
      <c r="F1104" s="16">
        <f>base!W1104</f>
        <v>9</v>
      </c>
      <c r="G1104" s="11">
        <f t="shared" si="170"/>
        <v>0.26986506746626687</v>
      </c>
      <c r="H1104" s="11">
        <f t="shared" si="171"/>
        <v>5.6695000000000002</v>
      </c>
      <c r="I1104" s="11">
        <f t="shared" si="172"/>
        <v>0.17</v>
      </c>
      <c r="J1104" s="12">
        <f t="shared" si="173"/>
        <v>3.3304999999999998</v>
      </c>
      <c r="K1104" s="17" t="str">
        <f t="shared" si="178"/>
        <v>Ecart positif</v>
      </c>
      <c r="L1104" s="16">
        <f>base!X1104</f>
        <v>0</v>
      </c>
      <c r="M1104" s="11">
        <f t="shared" si="174"/>
        <v>0</v>
      </c>
      <c r="N1104" s="11">
        <f t="shared" si="175"/>
        <v>5.6695000000000002</v>
      </c>
      <c r="O1104" s="11">
        <f t="shared" si="176"/>
        <v>0.17</v>
      </c>
      <c r="P1104" s="12">
        <f t="shared" si="177"/>
        <v>-5.6695000000000002</v>
      </c>
      <c r="Q1104" s="17" t="str">
        <f t="shared" si="179"/>
        <v>Ecart négatif</v>
      </c>
    </row>
    <row r="1105" spans="1:18" x14ac:dyDescent="0.3">
      <c r="A1105" s="34" t="str">
        <f>base!J1105</f>
        <v>RS</v>
      </c>
      <c r="B1105" s="34" t="str">
        <f>base!V1105</f>
        <v>25000</v>
      </c>
      <c r="C1105" s="37">
        <v>25</v>
      </c>
      <c r="D1105" s="36">
        <f>base!H1105</f>
        <v>151</v>
      </c>
      <c r="E1105" s="44"/>
      <c r="F1105" s="16">
        <f>base!W1105</f>
        <v>0</v>
      </c>
      <c r="G1105" s="11">
        <f t="shared" si="170"/>
        <v>0</v>
      </c>
      <c r="H1105" s="11">
        <f t="shared" si="171"/>
        <v>36.24</v>
      </c>
      <c r="I1105" s="11">
        <f t="shared" si="172"/>
        <v>0.24000000000000002</v>
      </c>
      <c r="J1105" s="12">
        <f t="shared" si="173"/>
        <v>-36.24</v>
      </c>
      <c r="K1105" s="17" t="str">
        <f t="shared" si="178"/>
        <v>Ecart négatif</v>
      </c>
      <c r="L1105" s="16">
        <f>base!X1105</f>
        <v>18.12</v>
      </c>
      <c r="M1105" s="11">
        <f t="shared" si="174"/>
        <v>0.12000000000000001</v>
      </c>
      <c r="N1105" s="11">
        <f t="shared" si="175"/>
        <v>18.12</v>
      </c>
      <c r="O1105" s="11">
        <f t="shared" si="176"/>
        <v>0.12000000000000001</v>
      </c>
      <c r="P1105" s="12">
        <f t="shared" si="177"/>
        <v>0</v>
      </c>
      <c r="Q1105" s="17" t="str">
        <f t="shared" si="179"/>
        <v>Pas d'écart</v>
      </c>
      <c r="R1105" s="38"/>
    </row>
    <row r="1106" spans="1:18" x14ac:dyDescent="0.3">
      <c r="A1106" s="34" t="str">
        <f>base!J1106</f>
        <v>RM</v>
      </c>
      <c r="B1106" s="34" t="str">
        <f>base!V1106</f>
        <v>59800</v>
      </c>
      <c r="C1106" s="37">
        <v>59</v>
      </c>
      <c r="D1106" s="36">
        <f>base!H1106</f>
        <v>184</v>
      </c>
      <c r="E1106" s="44"/>
      <c r="F1106" s="16">
        <f>base!W1106</f>
        <v>0</v>
      </c>
      <c r="G1106" s="11">
        <f t="shared" si="170"/>
        <v>0</v>
      </c>
      <c r="H1106" s="11">
        <f t="shared" si="171"/>
        <v>34.96</v>
      </c>
      <c r="I1106" s="11">
        <f t="shared" si="172"/>
        <v>0.19</v>
      </c>
      <c r="J1106" s="12">
        <f t="shared" si="173"/>
        <v>-34.96</v>
      </c>
      <c r="K1106" s="17" t="str">
        <f t="shared" si="178"/>
        <v>Ecart négatif</v>
      </c>
      <c r="L1106" s="16">
        <f>base!X1106</f>
        <v>0</v>
      </c>
      <c r="M1106" s="11">
        <f t="shared" si="174"/>
        <v>0</v>
      </c>
      <c r="N1106" s="11">
        <f t="shared" si="175"/>
        <v>0</v>
      </c>
      <c r="O1106" s="11">
        <f t="shared" si="176"/>
        <v>0</v>
      </c>
      <c r="P1106" s="12">
        <f t="shared" si="177"/>
        <v>0</v>
      </c>
      <c r="Q1106" s="17" t="str">
        <f t="shared" si="179"/>
        <v>Pas d'écart</v>
      </c>
    </row>
    <row r="1107" spans="1:18" x14ac:dyDescent="0.3">
      <c r="A1107" s="34" t="str">
        <f>base!J1107</f>
        <v>DLS</v>
      </c>
      <c r="B1107" s="34" t="str">
        <f>base!V1107</f>
        <v>73630</v>
      </c>
      <c r="C1107" s="37">
        <v>73</v>
      </c>
      <c r="D1107" s="36">
        <f>base!H1107</f>
        <v>156.28</v>
      </c>
      <c r="E1107" s="44"/>
      <c r="F1107" s="16">
        <f>base!W1107</f>
        <v>0</v>
      </c>
      <c r="G1107" s="11">
        <f t="shared" si="170"/>
        <v>0</v>
      </c>
      <c r="H1107" s="11">
        <f t="shared" si="171"/>
        <v>42.195600000000006</v>
      </c>
      <c r="I1107" s="11">
        <f t="shared" si="172"/>
        <v>0.27</v>
      </c>
      <c r="J1107" s="12">
        <f t="shared" si="173"/>
        <v>-42.195600000000006</v>
      </c>
      <c r="K1107" s="17" t="str">
        <f t="shared" si="178"/>
        <v>Ecart négatif</v>
      </c>
      <c r="L1107" s="16">
        <f>base!X1107</f>
        <v>0</v>
      </c>
      <c r="M1107" s="11">
        <f t="shared" si="174"/>
        <v>0</v>
      </c>
      <c r="N1107" s="11">
        <f t="shared" si="175"/>
        <v>0</v>
      </c>
      <c r="O1107" s="11">
        <f t="shared" si="176"/>
        <v>0</v>
      </c>
      <c r="P1107" s="12">
        <f t="shared" si="177"/>
        <v>0</v>
      </c>
      <c r="Q1107" s="17" t="str">
        <f t="shared" si="179"/>
        <v>Pas d'écart</v>
      </c>
    </row>
    <row r="1108" spans="1:18" x14ac:dyDescent="0.3">
      <c r="A1108" s="34">
        <f>base!J1108</f>
        <v>0</v>
      </c>
      <c r="B1108" s="34" t="str">
        <f>base!V1108</f>
        <v>77184</v>
      </c>
      <c r="C1108" s="37">
        <v>77</v>
      </c>
      <c r="D1108" s="36">
        <f>base!H1108</f>
        <v>134</v>
      </c>
      <c r="E1108" s="44"/>
      <c r="F1108" s="16">
        <f>base!W1108</f>
        <v>0</v>
      </c>
      <c r="G1108" s="11">
        <f t="shared" si="170"/>
        <v>0</v>
      </c>
      <c r="H1108" s="11">
        <f t="shared" si="171"/>
        <v>0</v>
      </c>
      <c r="I1108" s="11">
        <f t="shared" si="172"/>
        <v>0</v>
      </c>
      <c r="J1108" s="12">
        <f t="shared" si="173"/>
        <v>0</v>
      </c>
      <c r="K1108" s="17" t="str">
        <f t="shared" si="178"/>
        <v>Pas d'écart</v>
      </c>
      <c r="L1108" s="16">
        <f>base!X1108</f>
        <v>0</v>
      </c>
      <c r="M1108" s="11">
        <f t="shared" si="174"/>
        <v>0</v>
      </c>
      <c r="N1108" s="11">
        <f t="shared" si="175"/>
        <v>0</v>
      </c>
      <c r="O1108" s="11">
        <f t="shared" si="176"/>
        <v>0</v>
      </c>
      <c r="P1108" s="12">
        <f t="shared" si="177"/>
        <v>0</v>
      </c>
      <c r="Q1108" s="17" t="str">
        <f t="shared" si="179"/>
        <v>Pas d'écart</v>
      </c>
    </row>
    <row r="1109" spans="1:18" x14ac:dyDescent="0.3">
      <c r="A1109" s="34">
        <f>base!J1109</f>
        <v>0</v>
      </c>
      <c r="B1109" s="34" t="str">
        <f>base!V1109</f>
        <v>77184</v>
      </c>
      <c r="C1109" s="37">
        <v>77</v>
      </c>
      <c r="D1109" s="36">
        <f>base!H1109</f>
        <v>150</v>
      </c>
      <c r="E1109" s="44"/>
      <c r="F1109" s="16">
        <f>base!W1109</f>
        <v>0</v>
      </c>
      <c r="G1109" s="11">
        <f t="shared" si="170"/>
        <v>0</v>
      </c>
      <c r="H1109" s="11">
        <f t="shared" si="171"/>
        <v>0</v>
      </c>
      <c r="I1109" s="11">
        <f t="shared" si="172"/>
        <v>0</v>
      </c>
      <c r="J1109" s="12">
        <f t="shared" si="173"/>
        <v>0</v>
      </c>
      <c r="K1109" s="17" t="str">
        <f t="shared" si="178"/>
        <v>Pas d'écart</v>
      </c>
      <c r="L1109" s="16">
        <f>base!X1109</f>
        <v>0</v>
      </c>
      <c r="M1109" s="11">
        <f t="shared" si="174"/>
        <v>0</v>
      </c>
      <c r="N1109" s="11">
        <f t="shared" si="175"/>
        <v>0</v>
      </c>
      <c r="O1109" s="11">
        <f t="shared" si="176"/>
        <v>0</v>
      </c>
      <c r="P1109" s="12">
        <f t="shared" si="177"/>
        <v>0</v>
      </c>
      <c r="Q1109" s="17" t="str">
        <f t="shared" si="179"/>
        <v>Pas d'écart</v>
      </c>
    </row>
    <row r="1110" spans="1:18" x14ac:dyDescent="0.3">
      <c r="A1110" s="34">
        <f>base!J1110</f>
        <v>0</v>
      </c>
      <c r="B1110" s="34" t="str">
        <f>base!V1110</f>
        <v>77184</v>
      </c>
      <c r="C1110" s="37">
        <v>77</v>
      </c>
      <c r="D1110" s="36">
        <f>base!H1110</f>
        <v>130</v>
      </c>
      <c r="E1110" s="44"/>
      <c r="F1110" s="16">
        <f>base!W1110</f>
        <v>0</v>
      </c>
      <c r="G1110" s="11">
        <f t="shared" si="170"/>
        <v>0</v>
      </c>
      <c r="H1110" s="11">
        <f t="shared" si="171"/>
        <v>0</v>
      </c>
      <c r="I1110" s="11">
        <f t="shared" si="172"/>
        <v>0</v>
      </c>
      <c r="J1110" s="12">
        <f t="shared" si="173"/>
        <v>0</v>
      </c>
      <c r="K1110" s="17" t="str">
        <f t="shared" si="178"/>
        <v>Pas d'écart</v>
      </c>
      <c r="L1110" s="16">
        <f>base!X1110</f>
        <v>0</v>
      </c>
      <c r="M1110" s="11">
        <f t="shared" si="174"/>
        <v>0</v>
      </c>
      <c r="N1110" s="11">
        <f t="shared" si="175"/>
        <v>0</v>
      </c>
      <c r="O1110" s="11">
        <f t="shared" si="176"/>
        <v>0</v>
      </c>
      <c r="P1110" s="12">
        <f t="shared" si="177"/>
        <v>0</v>
      </c>
      <c r="Q1110" s="17" t="str">
        <f t="shared" si="179"/>
        <v>Pas d'écart</v>
      </c>
    </row>
    <row r="1111" spans="1:18" x14ac:dyDescent="0.3">
      <c r="A1111" s="34" t="str">
        <f>base!J1111</f>
        <v>LS</v>
      </c>
      <c r="B1111" s="34" t="str">
        <f>base!V1111</f>
        <v>76330</v>
      </c>
      <c r="C1111" s="37">
        <v>61</v>
      </c>
      <c r="D1111" s="36">
        <f>base!H1111</f>
        <v>55.14</v>
      </c>
      <c r="E1111" s="44"/>
      <c r="F1111" s="16">
        <f>base!W1111</f>
        <v>9.3699999999999992</v>
      </c>
      <c r="G1111" s="11">
        <f t="shared" si="170"/>
        <v>0.16993108451215086</v>
      </c>
      <c r="H1111" s="11">
        <f t="shared" si="171"/>
        <v>9.373800000000001</v>
      </c>
      <c r="I1111" s="11">
        <f t="shared" si="172"/>
        <v>0.17</v>
      </c>
      <c r="J1111" s="12">
        <f t="shared" si="173"/>
        <v>-3.8000000000018019E-3</v>
      </c>
      <c r="K1111" s="17" t="str">
        <f t="shared" si="178"/>
        <v>Ecart négatif</v>
      </c>
      <c r="L1111" s="16">
        <f>base!X1111</f>
        <v>0</v>
      </c>
      <c r="M1111" s="11">
        <f t="shared" si="174"/>
        <v>0</v>
      </c>
      <c r="N1111" s="11">
        <f t="shared" si="175"/>
        <v>9.373800000000001</v>
      </c>
      <c r="O1111" s="11">
        <f t="shared" si="176"/>
        <v>0.17</v>
      </c>
      <c r="P1111" s="12">
        <f t="shared" si="177"/>
        <v>-9.373800000000001</v>
      </c>
      <c r="Q1111" s="17" t="str">
        <f t="shared" si="179"/>
        <v>Ecart négatif</v>
      </c>
    </row>
    <row r="1112" spans="1:18" x14ac:dyDescent="0.3">
      <c r="A1112" s="34" t="str">
        <f>base!J1112</f>
        <v>LM</v>
      </c>
      <c r="B1112" s="34" t="str">
        <f>base!V1112</f>
        <v>84140</v>
      </c>
      <c r="C1112" s="37">
        <v>27</v>
      </c>
      <c r="D1112" s="36">
        <f>base!H1112</f>
        <v>18.350000000000001</v>
      </c>
      <c r="E1112" s="44"/>
      <c r="F1112" s="16">
        <f>base!W1112</f>
        <v>5.32</v>
      </c>
      <c r="G1112" s="11">
        <f t="shared" si="170"/>
        <v>0.2899182561307902</v>
      </c>
      <c r="H1112" s="11">
        <f t="shared" si="171"/>
        <v>3.1195000000000004</v>
      </c>
      <c r="I1112" s="11">
        <f t="shared" si="172"/>
        <v>0.17</v>
      </c>
      <c r="J1112" s="12">
        <f t="shared" si="173"/>
        <v>2.2004999999999999</v>
      </c>
      <c r="K1112" s="17" t="str">
        <f t="shared" si="178"/>
        <v>Ecart positif</v>
      </c>
      <c r="L1112" s="16">
        <f>base!X1112</f>
        <v>0</v>
      </c>
      <c r="M1112" s="11">
        <f t="shared" si="174"/>
        <v>0</v>
      </c>
      <c r="N1112" s="11">
        <f t="shared" si="175"/>
        <v>3.1195000000000004</v>
      </c>
      <c r="O1112" s="11">
        <f t="shared" si="176"/>
        <v>0.17</v>
      </c>
      <c r="P1112" s="12">
        <f t="shared" si="177"/>
        <v>-3.1195000000000004</v>
      </c>
      <c r="Q1112" s="17" t="str">
        <f t="shared" si="179"/>
        <v>Ecart négatif</v>
      </c>
    </row>
    <row r="1113" spans="1:18" x14ac:dyDescent="0.3">
      <c r="A1113" s="34" t="str">
        <f>base!J1113</f>
        <v>LM</v>
      </c>
      <c r="B1113" s="34" t="str">
        <f>base!V1113</f>
        <v>06000</v>
      </c>
      <c r="C1113" s="37">
        <v>76</v>
      </c>
      <c r="D1113" s="36">
        <f>base!H1113</f>
        <v>43.44</v>
      </c>
      <c r="E1113" s="44"/>
      <c r="F1113" s="16">
        <f>base!W1113</f>
        <v>13.03</v>
      </c>
      <c r="G1113" s="11">
        <f t="shared" si="170"/>
        <v>0.29995395948434622</v>
      </c>
      <c r="H1113" s="11">
        <f t="shared" si="171"/>
        <v>7.3848000000000003</v>
      </c>
      <c r="I1113" s="11">
        <f t="shared" si="172"/>
        <v>0.17</v>
      </c>
      <c r="J1113" s="12">
        <f t="shared" si="173"/>
        <v>5.6451999999999991</v>
      </c>
      <c r="K1113" s="17" t="str">
        <f t="shared" si="178"/>
        <v>Ecart positif</v>
      </c>
      <c r="L1113" s="16">
        <f>base!X1113</f>
        <v>0</v>
      </c>
      <c r="M1113" s="11">
        <f t="shared" si="174"/>
        <v>0</v>
      </c>
      <c r="N1113" s="11">
        <f t="shared" si="175"/>
        <v>7.3848000000000003</v>
      </c>
      <c r="O1113" s="11">
        <f t="shared" si="176"/>
        <v>0.17</v>
      </c>
      <c r="P1113" s="12">
        <f t="shared" si="177"/>
        <v>-7.3848000000000003</v>
      </c>
      <c r="Q1113" s="17" t="str">
        <f t="shared" si="179"/>
        <v>Ecart négatif</v>
      </c>
    </row>
    <row r="1114" spans="1:18" x14ac:dyDescent="0.3">
      <c r="A1114" s="34" t="str">
        <f>base!J1114</f>
        <v>LS</v>
      </c>
      <c r="B1114" s="34" t="str">
        <f>base!V1114</f>
        <v>94150</v>
      </c>
      <c r="C1114" s="37">
        <v>94</v>
      </c>
      <c r="D1114" s="36">
        <f>base!H1114</f>
        <v>183.25</v>
      </c>
      <c r="E1114" s="44"/>
      <c r="F1114" s="16">
        <f>base!W1114</f>
        <v>0</v>
      </c>
      <c r="G1114" s="11">
        <f t="shared" si="170"/>
        <v>0</v>
      </c>
      <c r="H1114" s="11">
        <f t="shared" si="171"/>
        <v>0</v>
      </c>
      <c r="I1114" s="11">
        <f t="shared" si="172"/>
        <v>0</v>
      </c>
      <c r="J1114" s="12">
        <f t="shared" si="173"/>
        <v>0</v>
      </c>
      <c r="K1114" s="17" t="str">
        <f t="shared" si="178"/>
        <v>Pas d'écart</v>
      </c>
      <c r="L1114" s="16">
        <f>base!X1114</f>
        <v>0</v>
      </c>
      <c r="M1114" s="11">
        <f t="shared" si="174"/>
        <v>0</v>
      </c>
      <c r="N1114" s="11">
        <f t="shared" si="175"/>
        <v>0</v>
      </c>
      <c r="O1114" s="11">
        <f t="shared" si="176"/>
        <v>0</v>
      </c>
      <c r="P1114" s="12">
        <f t="shared" si="177"/>
        <v>0</v>
      </c>
      <c r="Q1114" s="17" t="str">
        <f t="shared" si="179"/>
        <v>Pas d'écart</v>
      </c>
    </row>
    <row r="1115" spans="1:18" x14ac:dyDescent="0.3">
      <c r="A1115" s="34" t="str">
        <f>base!J1115</f>
        <v>LM</v>
      </c>
      <c r="B1115" s="34" t="str">
        <f>base!V1115</f>
        <v>69200</v>
      </c>
      <c r="C1115" s="37">
        <v>76</v>
      </c>
      <c r="D1115" s="36">
        <f>base!H1115</f>
        <v>15.8</v>
      </c>
      <c r="E1115" s="44"/>
      <c r="F1115" s="16">
        <f>base!W1115</f>
        <v>4.2699999999999996</v>
      </c>
      <c r="G1115" s="11">
        <f t="shared" si="170"/>
        <v>0.27025316455696197</v>
      </c>
      <c r="H1115" s="11">
        <f t="shared" si="171"/>
        <v>2.6860000000000004</v>
      </c>
      <c r="I1115" s="11">
        <f t="shared" si="172"/>
        <v>0.17</v>
      </c>
      <c r="J1115" s="12">
        <f t="shared" si="173"/>
        <v>1.5839999999999992</v>
      </c>
      <c r="K1115" s="17" t="str">
        <f t="shared" si="178"/>
        <v>Ecart positif</v>
      </c>
      <c r="L1115" s="16">
        <f>base!X1115</f>
        <v>0</v>
      </c>
      <c r="M1115" s="11">
        <f t="shared" si="174"/>
        <v>0</v>
      </c>
      <c r="N1115" s="11">
        <f t="shared" si="175"/>
        <v>2.6860000000000004</v>
      </c>
      <c r="O1115" s="11">
        <f t="shared" si="176"/>
        <v>0.17</v>
      </c>
      <c r="P1115" s="12">
        <f t="shared" si="177"/>
        <v>-2.6860000000000004</v>
      </c>
      <c r="Q1115" s="17" t="str">
        <f t="shared" si="179"/>
        <v>Ecart négatif</v>
      </c>
    </row>
    <row r="1116" spans="1:18" x14ac:dyDescent="0.3">
      <c r="A1116" s="34" t="str">
        <f>base!J1116</f>
        <v>RM</v>
      </c>
      <c r="B1116" s="34" t="str">
        <f>base!V1116</f>
        <v>69006</v>
      </c>
      <c r="C1116" s="37">
        <v>69</v>
      </c>
      <c r="D1116" s="36">
        <f>base!H1116</f>
        <v>223.04</v>
      </c>
      <c r="E1116" s="44"/>
      <c r="F1116" s="16">
        <f>base!W1116</f>
        <v>0</v>
      </c>
      <c r="G1116" s="11">
        <f t="shared" si="170"/>
        <v>0</v>
      </c>
      <c r="H1116" s="11">
        <f t="shared" si="171"/>
        <v>60.220800000000004</v>
      </c>
      <c r="I1116" s="11">
        <f t="shared" si="172"/>
        <v>0.27</v>
      </c>
      <c r="J1116" s="12">
        <f t="shared" si="173"/>
        <v>-60.220800000000004</v>
      </c>
      <c r="K1116" s="17" t="str">
        <f t="shared" si="178"/>
        <v>Ecart négatif</v>
      </c>
      <c r="L1116" s="16">
        <f>base!X1116</f>
        <v>0</v>
      </c>
      <c r="M1116" s="11">
        <f t="shared" si="174"/>
        <v>0</v>
      </c>
      <c r="N1116" s="11">
        <f t="shared" si="175"/>
        <v>0</v>
      </c>
      <c r="O1116" s="11">
        <f t="shared" si="176"/>
        <v>0</v>
      </c>
      <c r="P1116" s="12">
        <f t="shared" si="177"/>
        <v>0</v>
      </c>
      <c r="Q1116" s="17" t="str">
        <f t="shared" si="179"/>
        <v>Pas d'écart</v>
      </c>
    </row>
    <row r="1117" spans="1:18" x14ac:dyDescent="0.3">
      <c r="A1117" s="34" t="str">
        <f>base!J1117</f>
        <v>LS</v>
      </c>
      <c r="B1117" s="34" t="str">
        <f>base!V1117</f>
        <v>57160</v>
      </c>
      <c r="C1117" s="37">
        <v>76</v>
      </c>
      <c r="D1117" s="36">
        <f>base!H1117</f>
        <v>110.7</v>
      </c>
      <c r="E1117" s="44"/>
      <c r="F1117" s="16">
        <f>base!W1117</f>
        <v>27.68</v>
      </c>
      <c r="G1117" s="11">
        <f t="shared" si="170"/>
        <v>0.25004516711833785</v>
      </c>
      <c r="H1117" s="11">
        <f t="shared" si="171"/>
        <v>18.819000000000003</v>
      </c>
      <c r="I1117" s="11">
        <f t="shared" si="172"/>
        <v>0.17</v>
      </c>
      <c r="J1117" s="12">
        <f t="shared" si="173"/>
        <v>8.8609999999999971</v>
      </c>
      <c r="K1117" s="17" t="str">
        <f t="shared" si="178"/>
        <v>Ecart positif</v>
      </c>
      <c r="L1117" s="16">
        <f>base!X1117</f>
        <v>0</v>
      </c>
      <c r="M1117" s="11">
        <f t="shared" si="174"/>
        <v>0</v>
      </c>
      <c r="N1117" s="11">
        <f t="shared" si="175"/>
        <v>18.819000000000003</v>
      </c>
      <c r="O1117" s="11">
        <f t="shared" si="176"/>
        <v>0.17</v>
      </c>
      <c r="P1117" s="12">
        <f t="shared" si="177"/>
        <v>-18.819000000000003</v>
      </c>
      <c r="Q1117" s="17" t="str">
        <f t="shared" si="179"/>
        <v>Ecart négatif</v>
      </c>
    </row>
    <row r="1118" spans="1:18" x14ac:dyDescent="0.3">
      <c r="A1118" s="34" t="str">
        <f>base!J1118</f>
        <v>LS</v>
      </c>
      <c r="B1118" s="34" t="str">
        <f>base!V1118</f>
        <v>41160</v>
      </c>
      <c r="C1118" s="37">
        <v>76</v>
      </c>
      <c r="D1118" s="36">
        <f>base!H1118</f>
        <v>125.98</v>
      </c>
      <c r="E1118" s="44"/>
      <c r="F1118" s="16">
        <f>base!W1118</f>
        <v>26.46</v>
      </c>
      <c r="G1118" s="11">
        <f t="shared" si="170"/>
        <v>0.21003333862517859</v>
      </c>
      <c r="H1118" s="11">
        <f t="shared" si="171"/>
        <v>21.416600000000003</v>
      </c>
      <c r="I1118" s="11">
        <f t="shared" si="172"/>
        <v>0.17</v>
      </c>
      <c r="J1118" s="12">
        <f t="shared" si="173"/>
        <v>5.0433999999999983</v>
      </c>
      <c r="K1118" s="17" t="str">
        <f t="shared" si="178"/>
        <v>Ecart positif</v>
      </c>
      <c r="L1118" s="16">
        <f>base!X1118</f>
        <v>0</v>
      </c>
      <c r="M1118" s="11">
        <f t="shared" si="174"/>
        <v>0</v>
      </c>
      <c r="N1118" s="11">
        <f t="shared" si="175"/>
        <v>21.416600000000003</v>
      </c>
      <c r="O1118" s="11">
        <f t="shared" si="176"/>
        <v>0.17</v>
      </c>
      <c r="P1118" s="12">
        <f t="shared" si="177"/>
        <v>-21.416600000000003</v>
      </c>
      <c r="Q1118" s="17" t="str">
        <f t="shared" si="179"/>
        <v>Ecart négatif</v>
      </c>
    </row>
    <row r="1119" spans="1:18" x14ac:dyDescent="0.3">
      <c r="A1119" s="34">
        <f>base!J1119</f>
        <v>0</v>
      </c>
      <c r="B1119" s="34" t="str">
        <f>base!V1119</f>
        <v>77184</v>
      </c>
      <c r="C1119" s="37">
        <v>77</v>
      </c>
      <c r="D1119" s="36">
        <f>base!H1119</f>
        <v>35</v>
      </c>
      <c r="E1119" s="44"/>
      <c r="F1119" s="16">
        <f>base!W1119</f>
        <v>0</v>
      </c>
      <c r="G1119" s="11">
        <f t="shared" si="170"/>
        <v>0</v>
      </c>
      <c r="H1119" s="11">
        <f t="shared" si="171"/>
        <v>0</v>
      </c>
      <c r="I1119" s="11">
        <f t="shared" si="172"/>
        <v>0</v>
      </c>
      <c r="J1119" s="12">
        <f t="shared" si="173"/>
        <v>0</v>
      </c>
      <c r="K1119" s="17" t="str">
        <f t="shared" si="178"/>
        <v>Pas d'écart</v>
      </c>
      <c r="L1119" s="16">
        <f>base!X1119</f>
        <v>0</v>
      </c>
      <c r="M1119" s="11">
        <f t="shared" si="174"/>
        <v>0</v>
      </c>
      <c r="N1119" s="11">
        <f t="shared" si="175"/>
        <v>0</v>
      </c>
      <c r="O1119" s="11">
        <f t="shared" si="176"/>
        <v>0</v>
      </c>
      <c r="P1119" s="12">
        <f t="shared" si="177"/>
        <v>0</v>
      </c>
      <c r="Q1119" s="17" t="str">
        <f t="shared" si="179"/>
        <v>Pas d'écart</v>
      </c>
    </row>
    <row r="1120" spans="1:18" x14ac:dyDescent="0.3">
      <c r="A1120" s="34">
        <f>base!J1120</f>
        <v>0</v>
      </c>
      <c r="B1120" s="34" t="str">
        <f>base!V1120</f>
        <v>77184</v>
      </c>
      <c r="C1120" s="37">
        <v>77</v>
      </c>
      <c r="D1120" s="36">
        <f>base!H1120</f>
        <v>250</v>
      </c>
      <c r="E1120" s="44"/>
      <c r="F1120" s="16">
        <f>base!W1120</f>
        <v>0</v>
      </c>
      <c r="G1120" s="11">
        <f t="shared" si="170"/>
        <v>0</v>
      </c>
      <c r="H1120" s="11">
        <f t="shared" si="171"/>
        <v>0</v>
      </c>
      <c r="I1120" s="11">
        <f t="shared" si="172"/>
        <v>0</v>
      </c>
      <c r="J1120" s="12">
        <f t="shared" si="173"/>
        <v>0</v>
      </c>
      <c r="K1120" s="17" t="str">
        <f t="shared" si="178"/>
        <v>Pas d'écart</v>
      </c>
      <c r="L1120" s="16">
        <f>base!X1120</f>
        <v>0</v>
      </c>
      <c r="M1120" s="11">
        <f t="shared" si="174"/>
        <v>0</v>
      </c>
      <c r="N1120" s="11">
        <f t="shared" si="175"/>
        <v>0</v>
      </c>
      <c r="O1120" s="11">
        <f t="shared" si="176"/>
        <v>0</v>
      </c>
      <c r="P1120" s="12">
        <f t="shared" si="177"/>
        <v>0</v>
      </c>
      <c r="Q1120" s="17" t="str">
        <f t="shared" si="179"/>
        <v>Pas d'écart</v>
      </c>
    </row>
    <row r="1121" spans="1:18" x14ac:dyDescent="0.3">
      <c r="A1121" s="34" t="str">
        <f>base!J1121</f>
        <v>RM</v>
      </c>
      <c r="B1121" s="34" t="str">
        <f>base!V1121</f>
        <v>39500</v>
      </c>
      <c r="C1121" s="37">
        <v>39</v>
      </c>
      <c r="D1121" s="36">
        <f>base!H1121</f>
        <v>29.89</v>
      </c>
      <c r="E1121" s="44"/>
      <c r="F1121" s="16">
        <f>base!W1121</f>
        <v>0</v>
      </c>
      <c r="G1121" s="11">
        <f t="shared" si="170"/>
        <v>0</v>
      </c>
      <c r="H1121" s="11">
        <f t="shared" si="171"/>
        <v>8.0703000000000014</v>
      </c>
      <c r="I1121" s="11">
        <f t="shared" si="172"/>
        <v>0.27</v>
      </c>
      <c r="J1121" s="12">
        <f t="shared" si="173"/>
        <v>-8.0703000000000014</v>
      </c>
      <c r="K1121" s="17" t="str">
        <f t="shared" si="178"/>
        <v>Ecart négatif</v>
      </c>
      <c r="L1121" s="16">
        <f>base!X1121</f>
        <v>0</v>
      </c>
      <c r="M1121" s="11">
        <f t="shared" si="174"/>
        <v>0</v>
      </c>
      <c r="N1121" s="11">
        <f t="shared" si="175"/>
        <v>0</v>
      </c>
      <c r="O1121" s="11">
        <f t="shared" si="176"/>
        <v>0</v>
      </c>
      <c r="P1121" s="12">
        <f t="shared" si="177"/>
        <v>0</v>
      </c>
      <c r="Q1121" s="17" t="str">
        <f t="shared" si="179"/>
        <v>Pas d'écart</v>
      </c>
    </row>
    <row r="1122" spans="1:18" x14ac:dyDescent="0.3">
      <c r="A1122" s="34" t="str">
        <f>base!J1122</f>
        <v>RM</v>
      </c>
      <c r="B1122" s="34" t="str">
        <f>base!V1122</f>
        <v>69100</v>
      </c>
      <c r="C1122" s="37">
        <v>69</v>
      </c>
      <c r="D1122" s="36">
        <f>base!H1122</f>
        <v>90.99</v>
      </c>
      <c r="E1122" s="44"/>
      <c r="F1122" s="16">
        <f>base!W1122</f>
        <v>0</v>
      </c>
      <c r="G1122" s="11">
        <f t="shared" si="170"/>
        <v>0</v>
      </c>
      <c r="H1122" s="11">
        <f t="shared" si="171"/>
        <v>24.567299999999999</v>
      </c>
      <c r="I1122" s="11">
        <f t="shared" si="172"/>
        <v>0.27</v>
      </c>
      <c r="J1122" s="12">
        <f t="shared" si="173"/>
        <v>-24.567299999999999</v>
      </c>
      <c r="K1122" s="17" t="str">
        <f t="shared" si="178"/>
        <v>Ecart négatif</v>
      </c>
      <c r="L1122" s="16">
        <f>base!X1122</f>
        <v>0</v>
      </c>
      <c r="M1122" s="11">
        <f t="shared" si="174"/>
        <v>0</v>
      </c>
      <c r="N1122" s="11">
        <f t="shared" si="175"/>
        <v>0</v>
      </c>
      <c r="O1122" s="11">
        <f t="shared" si="176"/>
        <v>0</v>
      </c>
      <c r="P1122" s="12">
        <f t="shared" si="177"/>
        <v>0</v>
      </c>
      <c r="Q1122" s="17" t="str">
        <f t="shared" si="179"/>
        <v>Pas d'écart</v>
      </c>
    </row>
    <row r="1123" spans="1:18" x14ac:dyDescent="0.3">
      <c r="A1123" s="34" t="str">
        <f>base!J1123</f>
        <v>RM</v>
      </c>
      <c r="B1123" s="34" t="str">
        <f>base!V1123</f>
        <v>69100</v>
      </c>
      <c r="C1123" s="37">
        <v>69</v>
      </c>
      <c r="D1123" s="36">
        <f>base!H1123</f>
        <v>90.99</v>
      </c>
      <c r="E1123" s="44"/>
      <c r="F1123" s="16">
        <f>base!W1123</f>
        <v>0</v>
      </c>
      <c r="G1123" s="11">
        <f t="shared" si="170"/>
        <v>0</v>
      </c>
      <c r="H1123" s="11">
        <f t="shared" si="171"/>
        <v>24.567299999999999</v>
      </c>
      <c r="I1123" s="11">
        <f t="shared" si="172"/>
        <v>0.27</v>
      </c>
      <c r="J1123" s="12">
        <f t="shared" si="173"/>
        <v>-24.567299999999999</v>
      </c>
      <c r="K1123" s="17" t="str">
        <f t="shared" si="178"/>
        <v>Ecart négatif</v>
      </c>
      <c r="L1123" s="16">
        <f>base!X1123</f>
        <v>0</v>
      </c>
      <c r="M1123" s="11">
        <f t="shared" si="174"/>
        <v>0</v>
      </c>
      <c r="N1123" s="11">
        <f t="shared" si="175"/>
        <v>0</v>
      </c>
      <c r="O1123" s="11">
        <f t="shared" si="176"/>
        <v>0</v>
      </c>
      <c r="P1123" s="12">
        <f t="shared" si="177"/>
        <v>0</v>
      </c>
      <c r="Q1123" s="17" t="str">
        <f t="shared" si="179"/>
        <v>Pas d'écart</v>
      </c>
    </row>
    <row r="1124" spans="1:18" x14ac:dyDescent="0.3">
      <c r="A1124" s="34" t="str">
        <f>base!J1124</f>
        <v>RM</v>
      </c>
      <c r="B1124" s="34" t="str">
        <f>base!V1124</f>
        <v>92000</v>
      </c>
      <c r="C1124" s="37">
        <v>92</v>
      </c>
      <c r="D1124" s="36">
        <f>base!H1124</f>
        <v>250</v>
      </c>
      <c r="E1124" s="44"/>
      <c r="F1124" s="16">
        <f>base!W1124</f>
        <v>0</v>
      </c>
      <c r="G1124" s="11">
        <f t="shared" si="170"/>
        <v>0</v>
      </c>
      <c r="H1124" s="11">
        <f t="shared" si="171"/>
        <v>0</v>
      </c>
      <c r="I1124" s="11">
        <f t="shared" si="172"/>
        <v>0</v>
      </c>
      <c r="J1124" s="12">
        <f t="shared" si="173"/>
        <v>0</v>
      </c>
      <c r="K1124" s="17" t="str">
        <f t="shared" si="178"/>
        <v>Pas d'écart</v>
      </c>
      <c r="L1124" s="16">
        <f>base!X1124</f>
        <v>0</v>
      </c>
      <c r="M1124" s="11">
        <f t="shared" si="174"/>
        <v>0</v>
      </c>
      <c r="N1124" s="11">
        <f t="shared" si="175"/>
        <v>0</v>
      </c>
      <c r="O1124" s="11">
        <f t="shared" si="176"/>
        <v>0</v>
      </c>
      <c r="P1124" s="12">
        <f t="shared" si="177"/>
        <v>0</v>
      </c>
      <c r="Q1124" s="17" t="str">
        <f t="shared" si="179"/>
        <v>Pas d'écart</v>
      </c>
    </row>
    <row r="1125" spans="1:18" x14ac:dyDescent="0.3">
      <c r="A1125" s="34" t="str">
        <f>base!J1125</f>
        <v>RS</v>
      </c>
      <c r="B1125" s="34" t="str">
        <f>base!V1125</f>
        <v>94510</v>
      </c>
      <c r="C1125" s="37">
        <v>94</v>
      </c>
      <c r="D1125" s="36">
        <f>base!H1125</f>
        <v>140</v>
      </c>
      <c r="E1125" s="44"/>
      <c r="F1125" s="16">
        <f>base!W1125</f>
        <v>0</v>
      </c>
      <c r="G1125" s="11">
        <f t="shared" si="170"/>
        <v>0</v>
      </c>
      <c r="H1125" s="11">
        <f t="shared" si="171"/>
        <v>0</v>
      </c>
      <c r="I1125" s="11">
        <f t="shared" si="172"/>
        <v>0</v>
      </c>
      <c r="J1125" s="12">
        <f t="shared" si="173"/>
        <v>0</v>
      </c>
      <c r="K1125" s="17" t="str">
        <f t="shared" si="178"/>
        <v>Pas d'écart</v>
      </c>
      <c r="L1125" s="16">
        <f>base!X1125</f>
        <v>0</v>
      </c>
      <c r="M1125" s="11">
        <f t="shared" si="174"/>
        <v>0</v>
      </c>
      <c r="N1125" s="11">
        <f t="shared" si="175"/>
        <v>0</v>
      </c>
      <c r="O1125" s="11">
        <f t="shared" si="176"/>
        <v>0</v>
      </c>
      <c r="P1125" s="12">
        <f t="shared" si="177"/>
        <v>0</v>
      </c>
      <c r="Q1125" s="17" t="str">
        <f t="shared" si="179"/>
        <v>Pas d'écart</v>
      </c>
    </row>
    <row r="1126" spans="1:18" x14ac:dyDescent="0.3">
      <c r="A1126" s="34" t="str">
        <f>base!J1126</f>
        <v>RS</v>
      </c>
      <c r="B1126" s="34" t="str">
        <f>base!V1126</f>
        <v>94320</v>
      </c>
      <c r="C1126" s="37">
        <v>94</v>
      </c>
      <c r="D1126" s="36">
        <f>base!H1126</f>
        <v>157.32</v>
      </c>
      <c r="E1126" s="44"/>
      <c r="F1126" s="16">
        <f>base!W1126</f>
        <v>0</v>
      </c>
      <c r="G1126" s="11">
        <f t="shared" si="170"/>
        <v>0</v>
      </c>
      <c r="H1126" s="11">
        <f t="shared" si="171"/>
        <v>0</v>
      </c>
      <c r="I1126" s="11">
        <f t="shared" si="172"/>
        <v>0</v>
      </c>
      <c r="J1126" s="12">
        <f t="shared" si="173"/>
        <v>0</v>
      </c>
      <c r="K1126" s="17" t="str">
        <f t="shared" si="178"/>
        <v>Pas d'écart</v>
      </c>
      <c r="L1126" s="16">
        <f>base!X1126</f>
        <v>0</v>
      </c>
      <c r="M1126" s="11">
        <f t="shared" si="174"/>
        <v>0</v>
      </c>
      <c r="N1126" s="11">
        <f t="shared" si="175"/>
        <v>0</v>
      </c>
      <c r="O1126" s="11">
        <f t="shared" si="176"/>
        <v>0</v>
      </c>
      <c r="P1126" s="12">
        <f t="shared" si="177"/>
        <v>0</v>
      </c>
      <c r="Q1126" s="17" t="str">
        <f t="shared" si="179"/>
        <v>Pas d'écart</v>
      </c>
    </row>
    <row r="1127" spans="1:18" x14ac:dyDescent="0.3">
      <c r="A1127" s="34" t="str">
        <f>base!J1127</f>
        <v>RS</v>
      </c>
      <c r="B1127" s="34" t="str">
        <f>base!V1127</f>
        <v>13012</v>
      </c>
      <c r="C1127" s="37">
        <v>13</v>
      </c>
      <c r="D1127" s="36">
        <f>base!H1127</f>
        <v>160.93</v>
      </c>
      <c r="E1127" s="44"/>
      <c r="F1127" s="16">
        <f>base!W1127</f>
        <v>0</v>
      </c>
      <c r="G1127" s="11">
        <f t="shared" si="170"/>
        <v>0</v>
      </c>
      <c r="H1127" s="11">
        <f t="shared" si="171"/>
        <v>46.669699999999999</v>
      </c>
      <c r="I1127" s="11">
        <f t="shared" si="172"/>
        <v>0.28999999999999998</v>
      </c>
      <c r="J1127" s="12">
        <f t="shared" si="173"/>
        <v>-46.669699999999999</v>
      </c>
      <c r="K1127" s="17" t="str">
        <f t="shared" si="178"/>
        <v>Ecart négatif</v>
      </c>
      <c r="L1127" s="16">
        <f>base!X1127</f>
        <v>0</v>
      </c>
      <c r="M1127" s="11">
        <f t="shared" si="174"/>
        <v>0</v>
      </c>
      <c r="N1127" s="11">
        <f t="shared" si="175"/>
        <v>30.576700000000002</v>
      </c>
      <c r="O1127" s="11">
        <f t="shared" si="176"/>
        <v>0.19</v>
      </c>
      <c r="P1127" s="12">
        <f t="shared" si="177"/>
        <v>-30.576700000000002</v>
      </c>
      <c r="Q1127" s="17" t="str">
        <f t="shared" si="179"/>
        <v>Ecart négatif</v>
      </c>
    </row>
    <row r="1128" spans="1:18" x14ac:dyDescent="0.3">
      <c r="A1128" s="34" t="str">
        <f>base!J1128</f>
        <v>RM</v>
      </c>
      <c r="B1128" s="34" t="str">
        <f>base!V1128</f>
        <v>25200</v>
      </c>
      <c r="C1128" s="37">
        <v>25</v>
      </c>
      <c r="D1128" s="36">
        <f>base!H1128</f>
        <v>70</v>
      </c>
      <c r="E1128" s="44"/>
      <c r="F1128" s="16">
        <f>base!W1128</f>
        <v>0</v>
      </c>
      <c r="G1128" s="11">
        <f t="shared" si="170"/>
        <v>0</v>
      </c>
      <c r="H1128" s="11">
        <f t="shared" si="171"/>
        <v>16.8</v>
      </c>
      <c r="I1128" s="11">
        <f t="shared" si="172"/>
        <v>0.24000000000000002</v>
      </c>
      <c r="J1128" s="12">
        <f t="shared" si="173"/>
        <v>-16.8</v>
      </c>
      <c r="K1128" s="17" t="str">
        <f t="shared" si="178"/>
        <v>Ecart négatif</v>
      </c>
      <c r="L1128" s="16">
        <f>base!X1128</f>
        <v>8.4</v>
      </c>
      <c r="M1128" s="11">
        <f t="shared" si="174"/>
        <v>0.12000000000000001</v>
      </c>
      <c r="N1128" s="11">
        <f t="shared" si="175"/>
        <v>8.4</v>
      </c>
      <c r="O1128" s="11">
        <f t="shared" si="176"/>
        <v>0.12000000000000001</v>
      </c>
      <c r="P1128" s="12">
        <f t="shared" si="177"/>
        <v>0</v>
      </c>
      <c r="Q1128" s="17" t="str">
        <f t="shared" si="179"/>
        <v>Pas d'écart</v>
      </c>
      <c r="R1128" s="38"/>
    </row>
    <row r="1129" spans="1:18" x14ac:dyDescent="0.3">
      <c r="A1129" s="34" t="str">
        <f>base!J1129</f>
        <v>RM</v>
      </c>
      <c r="B1129" s="34" t="str">
        <f>base!V1129</f>
        <v>30100</v>
      </c>
      <c r="C1129" s="37">
        <v>30</v>
      </c>
      <c r="D1129" s="36">
        <f>base!H1129</f>
        <v>140</v>
      </c>
      <c r="E1129" s="44"/>
      <c r="F1129" s="16">
        <f>base!W1129</f>
        <v>0</v>
      </c>
      <c r="G1129" s="11">
        <f t="shared" si="170"/>
        <v>0</v>
      </c>
      <c r="H1129" s="11">
        <f t="shared" si="171"/>
        <v>54.6</v>
      </c>
      <c r="I1129" s="11">
        <f t="shared" si="172"/>
        <v>0.39</v>
      </c>
      <c r="J1129" s="12">
        <f t="shared" si="173"/>
        <v>-54.6</v>
      </c>
      <c r="K1129" s="17" t="str">
        <f t="shared" si="178"/>
        <v>Ecart négatif</v>
      </c>
      <c r="L1129" s="16">
        <f>base!X1129</f>
        <v>0</v>
      </c>
      <c r="M1129" s="11">
        <f t="shared" si="174"/>
        <v>0</v>
      </c>
      <c r="N1129" s="11">
        <f t="shared" si="175"/>
        <v>39.200000000000003</v>
      </c>
      <c r="O1129" s="11">
        <f t="shared" si="176"/>
        <v>0.28000000000000003</v>
      </c>
      <c r="P1129" s="12">
        <f t="shared" si="177"/>
        <v>-39.200000000000003</v>
      </c>
      <c r="Q1129" s="17" t="str">
        <f t="shared" si="179"/>
        <v>Ecart négatif</v>
      </c>
    </row>
    <row r="1130" spans="1:18" x14ac:dyDescent="0.3">
      <c r="A1130" s="34" t="str">
        <f>base!J1130</f>
        <v>RS</v>
      </c>
      <c r="B1130" s="34" t="str">
        <f>base!V1130</f>
        <v>02320</v>
      </c>
      <c r="C1130" s="37">
        <v>2</v>
      </c>
      <c r="D1130" s="36">
        <f>base!H1130</f>
        <v>140</v>
      </c>
      <c r="E1130" s="44"/>
      <c r="F1130" s="16">
        <f>base!W1130</f>
        <v>0</v>
      </c>
      <c r="G1130" s="11">
        <f t="shared" si="170"/>
        <v>0</v>
      </c>
      <c r="H1130" s="11">
        <f t="shared" si="171"/>
        <v>25.2</v>
      </c>
      <c r="I1130" s="11">
        <f t="shared" si="172"/>
        <v>0.18</v>
      </c>
      <c r="J1130" s="12">
        <f t="shared" si="173"/>
        <v>-25.2</v>
      </c>
      <c r="K1130" s="17" t="str">
        <f t="shared" si="178"/>
        <v>Ecart négatif</v>
      </c>
      <c r="L1130" s="16">
        <f>base!X1130</f>
        <v>0</v>
      </c>
      <c r="M1130" s="11">
        <f t="shared" si="174"/>
        <v>0</v>
      </c>
      <c r="N1130" s="11">
        <f t="shared" si="175"/>
        <v>0</v>
      </c>
      <c r="O1130" s="11">
        <f t="shared" si="176"/>
        <v>0</v>
      </c>
      <c r="P1130" s="12">
        <f t="shared" si="177"/>
        <v>0</v>
      </c>
      <c r="Q1130" s="17" t="str">
        <f t="shared" si="179"/>
        <v>Pas d'écart</v>
      </c>
    </row>
    <row r="1131" spans="1:18" x14ac:dyDescent="0.3">
      <c r="A1131" s="34" t="str">
        <f>base!J1131</f>
        <v>RM</v>
      </c>
      <c r="B1131" s="34" t="str">
        <f>base!V1131</f>
        <v>95700</v>
      </c>
      <c r="C1131" s="37">
        <v>95</v>
      </c>
      <c r="D1131" s="36">
        <f>base!H1131</f>
        <v>159.69</v>
      </c>
      <c r="E1131" s="44"/>
      <c r="F1131" s="16">
        <f>base!W1131</f>
        <v>0</v>
      </c>
      <c r="G1131" s="11">
        <f t="shared" si="170"/>
        <v>0</v>
      </c>
      <c r="H1131" s="11">
        <f t="shared" si="171"/>
        <v>0</v>
      </c>
      <c r="I1131" s="11">
        <f t="shared" si="172"/>
        <v>0</v>
      </c>
      <c r="J1131" s="12">
        <f t="shared" si="173"/>
        <v>0</v>
      </c>
      <c r="K1131" s="17" t="str">
        <f t="shared" si="178"/>
        <v>Pas d'écart</v>
      </c>
      <c r="L1131" s="16">
        <f>base!X1131</f>
        <v>0</v>
      </c>
      <c r="M1131" s="11">
        <f t="shared" si="174"/>
        <v>0</v>
      </c>
      <c r="N1131" s="11">
        <f t="shared" si="175"/>
        <v>0</v>
      </c>
      <c r="O1131" s="11">
        <f t="shared" si="176"/>
        <v>0</v>
      </c>
      <c r="P1131" s="12">
        <f t="shared" si="177"/>
        <v>0</v>
      </c>
      <c r="Q1131" s="17" t="str">
        <f t="shared" si="179"/>
        <v>Pas d'écart</v>
      </c>
    </row>
    <row r="1132" spans="1:18" x14ac:dyDescent="0.3">
      <c r="A1132" s="34" t="str">
        <f>base!J1132</f>
        <v>RM</v>
      </c>
      <c r="B1132" s="34" t="str">
        <f>base!V1132</f>
        <v>14000</v>
      </c>
      <c r="C1132" s="37">
        <v>14</v>
      </c>
      <c r="D1132" s="36">
        <f>base!H1132</f>
        <v>173.92</v>
      </c>
      <c r="E1132" s="44"/>
      <c r="F1132" s="16">
        <f>base!W1132</f>
        <v>0</v>
      </c>
      <c r="G1132" s="11">
        <f t="shared" si="170"/>
        <v>0</v>
      </c>
      <c r="H1132" s="11">
        <f t="shared" si="171"/>
        <v>29.566400000000002</v>
      </c>
      <c r="I1132" s="11">
        <f t="shared" si="172"/>
        <v>0.17</v>
      </c>
      <c r="J1132" s="12">
        <f t="shared" si="173"/>
        <v>-29.566400000000002</v>
      </c>
      <c r="K1132" s="17" t="str">
        <f t="shared" si="178"/>
        <v>Ecart négatif</v>
      </c>
      <c r="L1132" s="16">
        <f>base!X1132</f>
        <v>0</v>
      </c>
      <c r="M1132" s="11">
        <f t="shared" si="174"/>
        <v>0</v>
      </c>
      <c r="N1132" s="11">
        <f t="shared" si="175"/>
        <v>29.566400000000002</v>
      </c>
      <c r="O1132" s="11">
        <f t="shared" si="176"/>
        <v>0.17</v>
      </c>
      <c r="P1132" s="12">
        <f t="shared" si="177"/>
        <v>-29.566400000000002</v>
      </c>
      <c r="Q1132" s="17" t="str">
        <f t="shared" si="179"/>
        <v>Ecart négatif</v>
      </c>
    </row>
    <row r="1133" spans="1:18" x14ac:dyDescent="0.3">
      <c r="A1133" s="34" t="str">
        <f>base!J1133</f>
        <v>RS</v>
      </c>
      <c r="B1133" s="34" t="str">
        <f>base!V1133</f>
        <v>14500</v>
      </c>
      <c r="C1133" s="37">
        <v>14</v>
      </c>
      <c r="D1133" s="36">
        <f>base!H1133</f>
        <v>180</v>
      </c>
      <c r="E1133" s="44"/>
      <c r="F1133" s="16">
        <f>base!W1133</f>
        <v>0</v>
      </c>
      <c r="G1133" s="11">
        <f t="shared" si="170"/>
        <v>0</v>
      </c>
      <c r="H1133" s="11">
        <f t="shared" si="171"/>
        <v>30.6</v>
      </c>
      <c r="I1133" s="11">
        <f t="shared" si="172"/>
        <v>0.17</v>
      </c>
      <c r="J1133" s="12">
        <f t="shared" si="173"/>
        <v>-30.6</v>
      </c>
      <c r="K1133" s="17" t="str">
        <f t="shared" si="178"/>
        <v>Ecart négatif</v>
      </c>
      <c r="L1133" s="16">
        <f>base!X1133</f>
        <v>30.6</v>
      </c>
      <c r="M1133" s="11">
        <f t="shared" si="174"/>
        <v>0.17</v>
      </c>
      <c r="N1133" s="11">
        <f t="shared" si="175"/>
        <v>30.6</v>
      </c>
      <c r="O1133" s="11">
        <f t="shared" si="176"/>
        <v>0.17</v>
      </c>
      <c r="P1133" s="12">
        <f t="shared" si="177"/>
        <v>0</v>
      </c>
      <c r="Q1133" s="17" t="str">
        <f t="shared" si="179"/>
        <v>Pas d'écart</v>
      </c>
    </row>
    <row r="1134" spans="1:18" x14ac:dyDescent="0.3">
      <c r="A1134" s="34" t="str">
        <f>base!J1134</f>
        <v>RM</v>
      </c>
      <c r="B1134" s="34" t="str">
        <f>base!V1134</f>
        <v>50000</v>
      </c>
      <c r="C1134" s="37">
        <v>50</v>
      </c>
      <c r="D1134" s="36">
        <f>base!H1134</f>
        <v>40</v>
      </c>
      <c r="E1134" s="44"/>
      <c r="F1134" s="16">
        <f>base!W1134</f>
        <v>0</v>
      </c>
      <c r="G1134" s="11">
        <f t="shared" si="170"/>
        <v>0</v>
      </c>
      <c r="H1134" s="11">
        <f t="shared" si="171"/>
        <v>6.8000000000000007</v>
      </c>
      <c r="I1134" s="11">
        <f t="shared" si="172"/>
        <v>0.17</v>
      </c>
      <c r="J1134" s="12">
        <f t="shared" si="173"/>
        <v>-6.8000000000000007</v>
      </c>
      <c r="K1134" s="17" t="str">
        <f t="shared" si="178"/>
        <v>Ecart négatif</v>
      </c>
      <c r="L1134" s="16">
        <f>base!X1134</f>
        <v>6.8</v>
      </c>
      <c r="M1134" s="11">
        <f t="shared" si="174"/>
        <v>0.16999999999999998</v>
      </c>
      <c r="N1134" s="11">
        <f t="shared" si="175"/>
        <v>6.8000000000000007</v>
      </c>
      <c r="O1134" s="11">
        <f t="shared" si="176"/>
        <v>0.17</v>
      </c>
      <c r="P1134" s="12">
        <f t="shared" si="177"/>
        <v>0</v>
      </c>
      <c r="Q1134" s="17" t="str">
        <f t="shared" si="179"/>
        <v>Pas d'écart</v>
      </c>
    </row>
    <row r="1135" spans="1:18" x14ac:dyDescent="0.3">
      <c r="A1135" s="34" t="str">
        <f>base!J1135</f>
        <v>LS</v>
      </c>
      <c r="B1135" s="34" t="str">
        <f>base!V1135</f>
        <v>34000</v>
      </c>
      <c r="C1135" s="37">
        <v>27</v>
      </c>
      <c r="D1135" s="36">
        <f>base!H1135</f>
        <v>151</v>
      </c>
      <c r="E1135" s="44"/>
      <c r="F1135" s="16">
        <f>base!W1135</f>
        <v>58.89</v>
      </c>
      <c r="G1135" s="11">
        <f t="shared" si="170"/>
        <v>0.39</v>
      </c>
      <c r="H1135" s="11">
        <f t="shared" si="171"/>
        <v>25.67</v>
      </c>
      <c r="I1135" s="11">
        <f t="shared" si="172"/>
        <v>0.17</v>
      </c>
      <c r="J1135" s="12">
        <f t="shared" si="173"/>
        <v>33.22</v>
      </c>
      <c r="K1135" s="17" t="str">
        <f t="shared" si="178"/>
        <v>Ecart positif</v>
      </c>
      <c r="L1135" s="16">
        <f>base!X1135</f>
        <v>0</v>
      </c>
      <c r="M1135" s="11">
        <f t="shared" si="174"/>
        <v>0</v>
      </c>
      <c r="N1135" s="11">
        <f t="shared" si="175"/>
        <v>25.67</v>
      </c>
      <c r="O1135" s="11">
        <f t="shared" si="176"/>
        <v>0.17</v>
      </c>
      <c r="P1135" s="12">
        <f t="shared" si="177"/>
        <v>-25.67</v>
      </c>
      <c r="Q1135" s="17" t="str">
        <f t="shared" si="179"/>
        <v>Ecart négatif</v>
      </c>
    </row>
    <row r="1136" spans="1:18" x14ac:dyDescent="0.3">
      <c r="A1136" s="34" t="str">
        <f>base!J1136</f>
        <v>RM</v>
      </c>
      <c r="B1136" s="34" t="str">
        <f>base!V1136</f>
        <v>85700</v>
      </c>
      <c r="C1136" s="37">
        <v>85</v>
      </c>
      <c r="D1136" s="36">
        <f>base!H1136</f>
        <v>25</v>
      </c>
      <c r="E1136" s="44"/>
      <c r="F1136" s="16">
        <f>base!W1136</f>
        <v>0</v>
      </c>
      <c r="G1136" s="11">
        <f t="shared" si="170"/>
        <v>0</v>
      </c>
      <c r="H1136" s="11">
        <f t="shared" si="171"/>
        <v>6.75</v>
      </c>
      <c r="I1136" s="11">
        <f t="shared" si="172"/>
        <v>0.27</v>
      </c>
      <c r="J1136" s="12">
        <f t="shared" si="173"/>
        <v>-6.75</v>
      </c>
      <c r="K1136" s="17" t="str">
        <f t="shared" si="178"/>
        <v>Ecart négatif</v>
      </c>
      <c r="L1136" s="16">
        <f>base!X1136</f>
        <v>0</v>
      </c>
      <c r="M1136" s="11">
        <f t="shared" si="174"/>
        <v>0</v>
      </c>
      <c r="N1136" s="11">
        <f t="shared" si="175"/>
        <v>0</v>
      </c>
      <c r="O1136" s="11">
        <f t="shared" si="176"/>
        <v>0</v>
      </c>
      <c r="P1136" s="12">
        <f t="shared" si="177"/>
        <v>0</v>
      </c>
      <c r="Q1136" s="17" t="str">
        <f t="shared" si="179"/>
        <v>Pas d'écart</v>
      </c>
    </row>
    <row r="1137" spans="1:18" x14ac:dyDescent="0.3">
      <c r="A1137" s="34" t="str">
        <f>base!J1137</f>
        <v>RM</v>
      </c>
      <c r="B1137" s="34" t="str">
        <f>base!V1137</f>
        <v>70000</v>
      </c>
      <c r="C1137" s="37">
        <v>70</v>
      </c>
      <c r="D1137" s="36">
        <f>base!H1137</f>
        <v>22.5</v>
      </c>
      <c r="E1137" s="44"/>
      <c r="F1137" s="16">
        <f>base!W1137</f>
        <v>0</v>
      </c>
      <c r="G1137" s="11">
        <f t="shared" si="170"/>
        <v>0</v>
      </c>
      <c r="H1137" s="11">
        <f t="shared" si="171"/>
        <v>5.3999999999999995</v>
      </c>
      <c r="I1137" s="11">
        <f t="shared" si="172"/>
        <v>0.23999999999999996</v>
      </c>
      <c r="J1137" s="12">
        <f t="shared" si="173"/>
        <v>-5.3999999999999995</v>
      </c>
      <c r="K1137" s="17" t="str">
        <f t="shared" si="178"/>
        <v>Ecart négatif</v>
      </c>
      <c r="L1137" s="16">
        <f>base!X1137</f>
        <v>0</v>
      </c>
      <c r="M1137" s="11">
        <f t="shared" si="174"/>
        <v>0</v>
      </c>
      <c r="N1137" s="11">
        <f t="shared" si="175"/>
        <v>2.6999999999999997</v>
      </c>
      <c r="O1137" s="11">
        <f t="shared" si="176"/>
        <v>0.11999999999999998</v>
      </c>
      <c r="P1137" s="12">
        <f t="shared" si="177"/>
        <v>-2.6999999999999997</v>
      </c>
      <c r="Q1137" s="17" t="str">
        <f t="shared" si="179"/>
        <v>Ecart négatif</v>
      </c>
    </row>
    <row r="1138" spans="1:18" x14ac:dyDescent="0.3">
      <c r="A1138" s="34" t="str">
        <f>base!J1138</f>
        <v>RS</v>
      </c>
      <c r="B1138" s="34" t="str">
        <f>base!V1138</f>
        <v>57180</v>
      </c>
      <c r="C1138" s="37">
        <v>57</v>
      </c>
      <c r="D1138" s="36">
        <f>base!H1138</f>
        <v>109.06</v>
      </c>
      <c r="E1138" s="44"/>
      <c r="F1138" s="16">
        <f>base!W1138</f>
        <v>0</v>
      </c>
      <c r="G1138" s="11">
        <f t="shared" si="170"/>
        <v>0</v>
      </c>
      <c r="H1138" s="11">
        <f t="shared" si="171"/>
        <v>26.174399999999999</v>
      </c>
      <c r="I1138" s="11">
        <f t="shared" si="172"/>
        <v>0.24</v>
      </c>
      <c r="J1138" s="12">
        <f t="shared" si="173"/>
        <v>-26.174399999999999</v>
      </c>
      <c r="K1138" s="17" t="str">
        <f t="shared" si="178"/>
        <v>Ecart négatif</v>
      </c>
      <c r="L1138" s="16">
        <f>base!X1138</f>
        <v>27.26</v>
      </c>
      <c r="M1138" s="11">
        <f t="shared" si="174"/>
        <v>0.24995415367687512</v>
      </c>
      <c r="N1138" s="11">
        <f t="shared" si="175"/>
        <v>27.265000000000001</v>
      </c>
      <c r="O1138" s="11">
        <f t="shared" si="176"/>
        <v>0.25</v>
      </c>
      <c r="P1138" s="12">
        <f t="shared" si="177"/>
        <v>-4.9999999999990052E-3</v>
      </c>
      <c r="Q1138" s="17" t="str">
        <f t="shared" si="179"/>
        <v>Ecart négatif</v>
      </c>
      <c r="R1138" s="38"/>
    </row>
    <row r="1139" spans="1:18" x14ac:dyDescent="0.3">
      <c r="A1139" s="34" t="str">
        <f>base!J1139</f>
        <v>RS</v>
      </c>
      <c r="B1139" s="34" t="str">
        <f>base!V1139</f>
        <v>69200</v>
      </c>
      <c r="C1139" s="37">
        <v>69</v>
      </c>
      <c r="D1139" s="36">
        <f>base!H1139</f>
        <v>250</v>
      </c>
      <c r="E1139" s="44"/>
      <c r="F1139" s="16">
        <f>base!W1139</f>
        <v>0</v>
      </c>
      <c r="G1139" s="11">
        <f t="shared" si="170"/>
        <v>0</v>
      </c>
      <c r="H1139" s="11">
        <f t="shared" si="171"/>
        <v>67.5</v>
      </c>
      <c r="I1139" s="11">
        <f t="shared" si="172"/>
        <v>0.27</v>
      </c>
      <c r="J1139" s="12">
        <f t="shared" si="173"/>
        <v>-67.5</v>
      </c>
      <c r="K1139" s="17" t="str">
        <f t="shared" si="178"/>
        <v>Ecart négatif</v>
      </c>
      <c r="L1139" s="16">
        <f>base!X1139</f>
        <v>0</v>
      </c>
      <c r="M1139" s="11">
        <f t="shared" si="174"/>
        <v>0</v>
      </c>
      <c r="N1139" s="11">
        <f t="shared" si="175"/>
        <v>0</v>
      </c>
      <c r="O1139" s="11">
        <f t="shared" si="176"/>
        <v>0</v>
      </c>
      <c r="P1139" s="12">
        <f t="shared" si="177"/>
        <v>0</v>
      </c>
      <c r="Q1139" s="17" t="str">
        <f t="shared" si="179"/>
        <v>Pas d'écart</v>
      </c>
    </row>
    <row r="1140" spans="1:18" x14ac:dyDescent="0.3">
      <c r="A1140" s="34" t="str">
        <f>base!J1140</f>
        <v>RS</v>
      </c>
      <c r="B1140" s="34" t="str">
        <f>base!V1140</f>
        <v>66530</v>
      </c>
      <c r="C1140" s="37">
        <v>66</v>
      </c>
      <c r="D1140" s="36">
        <f>base!H1140</f>
        <v>140</v>
      </c>
      <c r="E1140" s="44"/>
      <c r="F1140" s="16">
        <f>base!W1140</f>
        <v>0</v>
      </c>
      <c r="G1140" s="11">
        <f t="shared" si="170"/>
        <v>0</v>
      </c>
      <c r="H1140" s="11">
        <f t="shared" si="171"/>
        <v>47.6</v>
      </c>
      <c r="I1140" s="11">
        <f t="shared" si="172"/>
        <v>0.34</v>
      </c>
      <c r="J1140" s="12">
        <f t="shared" si="173"/>
        <v>-47.6</v>
      </c>
      <c r="K1140" s="17" t="str">
        <f t="shared" si="178"/>
        <v>Ecart négatif</v>
      </c>
      <c r="L1140" s="16">
        <f>base!X1140</f>
        <v>0</v>
      </c>
      <c r="M1140" s="11">
        <f t="shared" si="174"/>
        <v>0</v>
      </c>
      <c r="N1140" s="11">
        <f t="shared" si="175"/>
        <v>39.200000000000003</v>
      </c>
      <c r="O1140" s="11">
        <f t="shared" si="176"/>
        <v>0.28000000000000003</v>
      </c>
      <c r="P1140" s="12">
        <f t="shared" si="177"/>
        <v>-39.200000000000003</v>
      </c>
      <c r="Q1140" s="17" t="str">
        <f t="shared" si="179"/>
        <v>Ecart négatif</v>
      </c>
    </row>
    <row r="1141" spans="1:18" x14ac:dyDescent="0.3">
      <c r="A1141" s="34" t="str">
        <f>base!J1141</f>
        <v>RS</v>
      </c>
      <c r="B1141" s="34" t="str">
        <f>base!V1141</f>
        <v>63000</v>
      </c>
      <c r="C1141" s="37">
        <v>63</v>
      </c>
      <c r="D1141" s="36">
        <f>base!H1141</f>
        <v>180</v>
      </c>
      <c r="E1141" s="44"/>
      <c r="F1141" s="16">
        <f>base!W1141</f>
        <v>0</v>
      </c>
      <c r="G1141" s="11">
        <f t="shared" si="170"/>
        <v>0</v>
      </c>
      <c r="H1141" s="11">
        <f t="shared" si="171"/>
        <v>52.199999999999996</v>
      </c>
      <c r="I1141" s="11">
        <f t="shared" si="172"/>
        <v>0.28999999999999998</v>
      </c>
      <c r="J1141" s="12">
        <f t="shared" si="173"/>
        <v>-52.199999999999996</v>
      </c>
      <c r="K1141" s="17" t="str">
        <f t="shared" si="178"/>
        <v>Ecart négatif</v>
      </c>
      <c r="L1141" s="16">
        <f>base!X1141</f>
        <v>21.6</v>
      </c>
      <c r="M1141" s="11">
        <f t="shared" si="174"/>
        <v>0.12000000000000001</v>
      </c>
      <c r="N1141" s="11">
        <f t="shared" si="175"/>
        <v>21.599999999999998</v>
      </c>
      <c r="O1141" s="11">
        <f t="shared" si="176"/>
        <v>0.11999999999999998</v>
      </c>
      <c r="P1141" s="12">
        <f t="shared" si="177"/>
        <v>0</v>
      </c>
      <c r="Q1141" s="17" t="str">
        <f t="shared" si="179"/>
        <v>Pas d'écart</v>
      </c>
      <c r="R1141" s="38"/>
    </row>
    <row r="1142" spans="1:18" x14ac:dyDescent="0.3">
      <c r="A1142" s="34" t="str">
        <f>base!J1142</f>
        <v>DLM</v>
      </c>
      <c r="B1142" s="34" t="str">
        <f>base!V1142</f>
        <v>62300</v>
      </c>
      <c r="C1142" s="37">
        <v>62</v>
      </c>
      <c r="D1142" s="36">
        <f>base!H1142</f>
        <v>52.5</v>
      </c>
      <c r="E1142" s="44"/>
      <c r="F1142" s="16">
        <f>base!W1142</f>
        <v>0</v>
      </c>
      <c r="G1142" s="11">
        <f t="shared" si="170"/>
        <v>0</v>
      </c>
      <c r="H1142" s="11">
        <f t="shared" si="171"/>
        <v>9.9749999999999996</v>
      </c>
      <c r="I1142" s="11">
        <f t="shared" si="172"/>
        <v>0.19</v>
      </c>
      <c r="J1142" s="12">
        <f t="shared" si="173"/>
        <v>-9.9749999999999996</v>
      </c>
      <c r="K1142" s="17" t="str">
        <f t="shared" si="178"/>
        <v>Ecart négatif</v>
      </c>
      <c r="L1142" s="16">
        <f>base!X1142</f>
        <v>0</v>
      </c>
      <c r="M1142" s="11">
        <f t="shared" si="174"/>
        <v>0</v>
      </c>
      <c r="N1142" s="11">
        <f t="shared" si="175"/>
        <v>0</v>
      </c>
      <c r="O1142" s="11">
        <f t="shared" si="176"/>
        <v>0</v>
      </c>
      <c r="P1142" s="12">
        <f t="shared" si="177"/>
        <v>0</v>
      </c>
      <c r="Q1142" s="17" t="str">
        <f t="shared" si="179"/>
        <v>Pas d'écart</v>
      </c>
    </row>
    <row r="1143" spans="1:18" x14ac:dyDescent="0.3">
      <c r="A1143" s="34" t="str">
        <f>base!J1143</f>
        <v>DLM</v>
      </c>
      <c r="B1143" s="34" t="str">
        <f>base!V1143</f>
        <v>13015</v>
      </c>
      <c r="C1143" s="37">
        <v>13</v>
      </c>
      <c r="D1143" s="36">
        <f>base!H1143</f>
        <v>52.5</v>
      </c>
      <c r="E1143" s="44"/>
      <c r="F1143" s="16">
        <f>base!W1143</f>
        <v>0</v>
      </c>
      <c r="G1143" s="11">
        <f t="shared" si="170"/>
        <v>0</v>
      </c>
      <c r="H1143" s="11">
        <f t="shared" si="171"/>
        <v>15.225</v>
      </c>
      <c r="I1143" s="11">
        <f t="shared" si="172"/>
        <v>0.28999999999999998</v>
      </c>
      <c r="J1143" s="12">
        <f t="shared" si="173"/>
        <v>-15.225</v>
      </c>
      <c r="K1143" s="17" t="str">
        <f t="shared" si="178"/>
        <v>Ecart négatif</v>
      </c>
      <c r="L1143" s="16">
        <f>base!X1143</f>
        <v>0</v>
      </c>
      <c r="M1143" s="11">
        <f t="shared" si="174"/>
        <v>0</v>
      </c>
      <c r="N1143" s="11">
        <f t="shared" si="175"/>
        <v>9.9749999999999996</v>
      </c>
      <c r="O1143" s="11">
        <f t="shared" si="176"/>
        <v>0.19</v>
      </c>
      <c r="P1143" s="12">
        <f t="shared" si="177"/>
        <v>-9.9749999999999996</v>
      </c>
      <c r="Q1143" s="17" t="str">
        <f t="shared" si="179"/>
        <v>Ecart négatif</v>
      </c>
    </row>
    <row r="1144" spans="1:18" x14ac:dyDescent="0.3">
      <c r="A1144" s="34" t="str">
        <f>base!J1144</f>
        <v>DLM</v>
      </c>
      <c r="B1144" s="34" t="str">
        <f>base!V1144</f>
        <v>34000</v>
      </c>
      <c r="C1144" s="37">
        <v>34</v>
      </c>
      <c r="D1144" s="36">
        <f>base!H1144</f>
        <v>52.5</v>
      </c>
      <c r="E1144" s="44"/>
      <c r="F1144" s="16">
        <f>base!W1144</f>
        <v>0</v>
      </c>
      <c r="G1144" s="11">
        <f t="shared" si="170"/>
        <v>0</v>
      </c>
      <c r="H1144" s="11">
        <f t="shared" si="171"/>
        <v>20.475000000000001</v>
      </c>
      <c r="I1144" s="11">
        <f t="shared" si="172"/>
        <v>0.39</v>
      </c>
      <c r="J1144" s="12">
        <f t="shared" si="173"/>
        <v>-20.475000000000001</v>
      </c>
      <c r="K1144" s="17" t="str">
        <f t="shared" si="178"/>
        <v>Ecart négatif</v>
      </c>
      <c r="L1144" s="16">
        <f>base!X1144</f>
        <v>0</v>
      </c>
      <c r="M1144" s="11">
        <f t="shared" si="174"/>
        <v>0</v>
      </c>
      <c r="N1144" s="11">
        <f t="shared" si="175"/>
        <v>14.700000000000001</v>
      </c>
      <c r="O1144" s="11">
        <f t="shared" si="176"/>
        <v>0.28000000000000003</v>
      </c>
      <c r="P1144" s="12">
        <f t="shared" si="177"/>
        <v>-14.700000000000001</v>
      </c>
      <c r="Q1144" s="17" t="str">
        <f t="shared" si="179"/>
        <v>Ecart négatif</v>
      </c>
    </row>
    <row r="1145" spans="1:18" x14ac:dyDescent="0.3">
      <c r="A1145" s="34" t="str">
        <f>base!J1145</f>
        <v>DLM</v>
      </c>
      <c r="B1145" s="34" t="str">
        <f>base!V1145</f>
        <v>06000</v>
      </c>
      <c r="C1145" s="37">
        <v>6</v>
      </c>
      <c r="D1145" s="36">
        <f>base!H1145</f>
        <v>52.5</v>
      </c>
      <c r="E1145" s="44"/>
      <c r="F1145" s="16">
        <f>base!W1145</f>
        <v>0</v>
      </c>
      <c r="G1145" s="11">
        <f t="shared" si="170"/>
        <v>0</v>
      </c>
      <c r="H1145" s="11">
        <f t="shared" si="171"/>
        <v>15.75</v>
      </c>
      <c r="I1145" s="11">
        <f t="shared" si="172"/>
        <v>0.3</v>
      </c>
      <c r="J1145" s="12">
        <f t="shared" si="173"/>
        <v>-15.75</v>
      </c>
      <c r="K1145" s="17" t="str">
        <f t="shared" si="178"/>
        <v>Ecart négatif</v>
      </c>
      <c r="L1145" s="16">
        <f>base!X1145</f>
        <v>0</v>
      </c>
      <c r="M1145" s="11">
        <f t="shared" si="174"/>
        <v>0</v>
      </c>
      <c r="N1145" s="11">
        <f t="shared" si="175"/>
        <v>11.025</v>
      </c>
      <c r="O1145" s="11">
        <f t="shared" si="176"/>
        <v>0.21000000000000002</v>
      </c>
      <c r="P1145" s="12">
        <f t="shared" si="177"/>
        <v>-11.025</v>
      </c>
      <c r="Q1145" s="17" t="str">
        <f t="shared" si="179"/>
        <v>Ecart négatif</v>
      </c>
    </row>
    <row r="1146" spans="1:18" x14ac:dyDescent="0.3">
      <c r="A1146" s="34" t="str">
        <f>base!J1146</f>
        <v>DLM</v>
      </c>
      <c r="B1146" s="34" t="str">
        <f>base!V1146</f>
        <v>75012</v>
      </c>
      <c r="C1146" s="37">
        <v>75</v>
      </c>
      <c r="D1146" s="36">
        <f>base!H1146</f>
        <v>52.5</v>
      </c>
      <c r="E1146" s="44"/>
      <c r="F1146" s="16">
        <f>base!W1146</f>
        <v>0</v>
      </c>
      <c r="G1146" s="11">
        <f t="shared" si="170"/>
        <v>0</v>
      </c>
      <c r="H1146" s="11">
        <f t="shared" si="171"/>
        <v>0</v>
      </c>
      <c r="I1146" s="11">
        <f t="shared" si="172"/>
        <v>0</v>
      </c>
      <c r="J1146" s="12">
        <f t="shared" si="173"/>
        <v>0</v>
      </c>
      <c r="K1146" s="17" t="str">
        <f t="shared" si="178"/>
        <v>Pas d'écart</v>
      </c>
      <c r="L1146" s="16">
        <f>base!X1146</f>
        <v>0</v>
      </c>
      <c r="M1146" s="11">
        <f t="shared" si="174"/>
        <v>0</v>
      </c>
      <c r="N1146" s="11">
        <f t="shared" si="175"/>
        <v>0</v>
      </c>
      <c r="O1146" s="11">
        <f t="shared" si="176"/>
        <v>0</v>
      </c>
      <c r="P1146" s="12">
        <f t="shared" si="177"/>
        <v>0</v>
      </c>
      <c r="Q1146" s="17" t="str">
        <f t="shared" si="179"/>
        <v>Pas d'écart</v>
      </c>
    </row>
    <row r="1147" spans="1:18" x14ac:dyDescent="0.3">
      <c r="A1147" s="34" t="str">
        <f>base!J1147</f>
        <v>DLM</v>
      </c>
      <c r="B1147" s="34" t="str">
        <f>base!V1147</f>
        <v>44600</v>
      </c>
      <c r="C1147" s="37">
        <v>44</v>
      </c>
      <c r="D1147" s="36">
        <f>base!H1147</f>
        <v>52.5</v>
      </c>
      <c r="E1147" s="44"/>
      <c r="F1147" s="16">
        <f>base!W1147</f>
        <v>0</v>
      </c>
      <c r="G1147" s="11">
        <f t="shared" si="170"/>
        <v>0</v>
      </c>
      <c r="H1147" s="11">
        <f t="shared" si="171"/>
        <v>14.175000000000001</v>
      </c>
      <c r="I1147" s="11">
        <f t="shared" si="172"/>
        <v>0.27</v>
      </c>
      <c r="J1147" s="12">
        <f t="shared" si="173"/>
        <v>-14.175000000000001</v>
      </c>
      <c r="K1147" s="17" t="str">
        <f t="shared" si="178"/>
        <v>Ecart négatif</v>
      </c>
      <c r="L1147" s="16">
        <f>base!X1147</f>
        <v>0</v>
      </c>
      <c r="M1147" s="11">
        <f t="shared" si="174"/>
        <v>0</v>
      </c>
      <c r="N1147" s="11">
        <f t="shared" si="175"/>
        <v>0</v>
      </c>
      <c r="O1147" s="11">
        <f t="shared" si="176"/>
        <v>0</v>
      </c>
      <c r="P1147" s="12">
        <f t="shared" si="177"/>
        <v>0</v>
      </c>
      <c r="Q1147" s="17" t="str">
        <f t="shared" si="179"/>
        <v>Pas d'écart</v>
      </c>
    </row>
    <row r="1148" spans="1:18" x14ac:dyDescent="0.3">
      <c r="A1148" s="34" t="str">
        <f>base!J1148</f>
        <v>DLM</v>
      </c>
      <c r="B1148" s="34" t="str">
        <f>base!V1148</f>
        <v>33150</v>
      </c>
      <c r="C1148" s="37">
        <v>33</v>
      </c>
      <c r="D1148" s="36">
        <f>base!H1148</f>
        <v>52.5</v>
      </c>
      <c r="E1148" s="44"/>
      <c r="F1148" s="16">
        <f>base!W1148</f>
        <v>0</v>
      </c>
      <c r="G1148" s="11">
        <f t="shared" si="170"/>
        <v>0</v>
      </c>
      <c r="H1148" s="11">
        <f t="shared" si="171"/>
        <v>11.025</v>
      </c>
      <c r="I1148" s="11">
        <f t="shared" si="172"/>
        <v>0.21000000000000002</v>
      </c>
      <c r="J1148" s="12">
        <f t="shared" si="173"/>
        <v>-11.025</v>
      </c>
      <c r="K1148" s="17" t="str">
        <f t="shared" si="178"/>
        <v>Ecart négatif</v>
      </c>
      <c r="L1148" s="16">
        <f>base!X1148</f>
        <v>0</v>
      </c>
      <c r="M1148" s="11">
        <f t="shared" si="174"/>
        <v>0</v>
      </c>
      <c r="N1148" s="11">
        <f t="shared" si="175"/>
        <v>8.9250000000000007</v>
      </c>
      <c r="O1148" s="11">
        <f t="shared" si="176"/>
        <v>0.17</v>
      </c>
      <c r="P1148" s="12">
        <f t="shared" si="177"/>
        <v>-8.9250000000000007</v>
      </c>
      <c r="Q1148" s="17" t="str">
        <f t="shared" si="179"/>
        <v>Ecart négatif</v>
      </c>
    </row>
    <row r="1149" spans="1:18" x14ac:dyDescent="0.3">
      <c r="A1149" s="34" t="str">
        <f>base!J1149</f>
        <v>DLM</v>
      </c>
      <c r="B1149" s="34" t="str">
        <f>base!V1149</f>
        <v>80000</v>
      </c>
      <c r="C1149" s="37">
        <v>80</v>
      </c>
      <c r="D1149" s="36">
        <f>base!H1149</f>
        <v>52.5</v>
      </c>
      <c r="E1149" s="44"/>
      <c r="F1149" s="16">
        <f>base!W1149</f>
        <v>0</v>
      </c>
      <c r="G1149" s="11">
        <f t="shared" si="170"/>
        <v>0</v>
      </c>
      <c r="H1149" s="11">
        <f t="shared" si="171"/>
        <v>9.9749999999999996</v>
      </c>
      <c r="I1149" s="11">
        <f t="shared" si="172"/>
        <v>0.19</v>
      </c>
      <c r="J1149" s="12">
        <f t="shared" si="173"/>
        <v>-9.9749999999999996</v>
      </c>
      <c r="K1149" s="17" t="str">
        <f t="shared" si="178"/>
        <v>Ecart négatif</v>
      </c>
      <c r="L1149" s="16">
        <f>base!X1149</f>
        <v>0</v>
      </c>
      <c r="M1149" s="11">
        <f t="shared" si="174"/>
        <v>0</v>
      </c>
      <c r="N1149" s="11">
        <f t="shared" si="175"/>
        <v>0</v>
      </c>
      <c r="O1149" s="11">
        <f t="shared" si="176"/>
        <v>0</v>
      </c>
      <c r="P1149" s="12">
        <f t="shared" si="177"/>
        <v>0</v>
      </c>
      <c r="Q1149" s="17" t="str">
        <f t="shared" si="179"/>
        <v>Pas d'écart</v>
      </c>
    </row>
    <row r="1150" spans="1:18" x14ac:dyDescent="0.3">
      <c r="A1150" s="34" t="str">
        <f>base!J1150</f>
        <v>RM</v>
      </c>
      <c r="B1150" s="34" t="str">
        <f>base!V1150</f>
        <v>77140</v>
      </c>
      <c r="C1150" s="37">
        <v>77</v>
      </c>
      <c r="D1150" s="36">
        <f>base!H1150</f>
        <v>40</v>
      </c>
      <c r="E1150" s="44"/>
      <c r="F1150" s="16">
        <f>base!W1150</f>
        <v>0</v>
      </c>
      <c r="G1150" s="11">
        <f t="shared" si="170"/>
        <v>0</v>
      </c>
      <c r="H1150" s="11">
        <f t="shared" si="171"/>
        <v>0</v>
      </c>
      <c r="I1150" s="11">
        <f t="shared" si="172"/>
        <v>0</v>
      </c>
      <c r="J1150" s="12">
        <f t="shared" si="173"/>
        <v>0</v>
      </c>
      <c r="K1150" s="17" t="str">
        <f t="shared" si="178"/>
        <v>Pas d'écart</v>
      </c>
      <c r="L1150" s="16">
        <f>base!X1150</f>
        <v>0</v>
      </c>
      <c r="M1150" s="11">
        <f t="shared" si="174"/>
        <v>0</v>
      </c>
      <c r="N1150" s="11">
        <f t="shared" si="175"/>
        <v>0</v>
      </c>
      <c r="O1150" s="11">
        <f t="shared" si="176"/>
        <v>0</v>
      </c>
      <c r="P1150" s="12">
        <f t="shared" si="177"/>
        <v>0</v>
      </c>
      <c r="Q1150" s="17" t="str">
        <f t="shared" si="179"/>
        <v>Pas d'écart</v>
      </c>
    </row>
    <row r="1151" spans="1:18" x14ac:dyDescent="0.3">
      <c r="A1151" s="34" t="str">
        <f>base!J1151</f>
        <v>LM</v>
      </c>
      <c r="B1151" s="34" t="str">
        <f>base!V1151</f>
        <v>69006</v>
      </c>
      <c r="C1151" s="37">
        <v>27</v>
      </c>
      <c r="D1151" s="36">
        <f>base!H1151</f>
        <v>125.98</v>
      </c>
      <c r="E1151" s="44"/>
      <c r="F1151" s="16">
        <f>base!W1151</f>
        <v>34.01</v>
      </c>
      <c r="G1151" s="11">
        <f t="shared" si="170"/>
        <v>0.26996348626766153</v>
      </c>
      <c r="H1151" s="11">
        <f t="shared" si="171"/>
        <v>21.416600000000003</v>
      </c>
      <c r="I1151" s="11">
        <f t="shared" si="172"/>
        <v>0.17</v>
      </c>
      <c r="J1151" s="12">
        <f t="shared" si="173"/>
        <v>12.593399999999995</v>
      </c>
      <c r="K1151" s="17" t="str">
        <f t="shared" si="178"/>
        <v>Ecart positif</v>
      </c>
      <c r="L1151" s="16">
        <f>base!X1151</f>
        <v>0</v>
      </c>
      <c r="M1151" s="11">
        <f t="shared" si="174"/>
        <v>0</v>
      </c>
      <c r="N1151" s="11">
        <f t="shared" si="175"/>
        <v>21.416600000000003</v>
      </c>
      <c r="O1151" s="11">
        <f t="shared" si="176"/>
        <v>0.17</v>
      </c>
      <c r="P1151" s="12">
        <f t="shared" si="177"/>
        <v>-21.416600000000003</v>
      </c>
      <c r="Q1151" s="17" t="str">
        <f t="shared" si="179"/>
        <v>Ecart négatif</v>
      </c>
    </row>
    <row r="1152" spans="1:18" x14ac:dyDescent="0.3">
      <c r="A1152" s="34" t="str">
        <f>base!J1152</f>
        <v>LM</v>
      </c>
      <c r="B1152" s="34" t="str">
        <f>base!V1152</f>
        <v>62200</v>
      </c>
      <c r="C1152" s="37">
        <v>61</v>
      </c>
      <c r="D1152" s="36">
        <f>base!H1152</f>
        <v>38.85</v>
      </c>
      <c r="E1152" s="44"/>
      <c r="F1152" s="16">
        <f>base!W1152</f>
        <v>7.38</v>
      </c>
      <c r="G1152" s="11">
        <f t="shared" si="170"/>
        <v>0.18996138996138995</v>
      </c>
      <c r="H1152" s="11">
        <f t="shared" si="171"/>
        <v>6.6045000000000007</v>
      </c>
      <c r="I1152" s="11">
        <f t="shared" si="172"/>
        <v>0.17</v>
      </c>
      <c r="J1152" s="12">
        <f t="shared" si="173"/>
        <v>0.77549999999999919</v>
      </c>
      <c r="K1152" s="17" t="str">
        <f t="shared" si="178"/>
        <v>Ecart positif</v>
      </c>
      <c r="L1152" s="16">
        <f>base!X1152</f>
        <v>0</v>
      </c>
      <c r="M1152" s="11">
        <f t="shared" si="174"/>
        <v>0</v>
      </c>
      <c r="N1152" s="11">
        <f t="shared" si="175"/>
        <v>6.6045000000000007</v>
      </c>
      <c r="O1152" s="11">
        <f t="shared" si="176"/>
        <v>0.17</v>
      </c>
      <c r="P1152" s="12">
        <f t="shared" si="177"/>
        <v>-6.6045000000000007</v>
      </c>
      <c r="Q1152" s="17" t="str">
        <f t="shared" si="179"/>
        <v>Ecart négatif</v>
      </c>
    </row>
    <row r="1153" spans="1:18" x14ac:dyDescent="0.3">
      <c r="A1153" s="34" t="str">
        <f>base!J1153</f>
        <v>RS</v>
      </c>
      <c r="B1153" s="34" t="str">
        <f>base!V1153</f>
        <v>78280</v>
      </c>
      <c r="C1153" s="37">
        <v>78</v>
      </c>
      <c r="D1153" s="36">
        <f>base!H1153</f>
        <v>140</v>
      </c>
      <c r="E1153" s="44"/>
      <c r="F1153" s="16">
        <f>base!W1153</f>
        <v>0</v>
      </c>
      <c r="G1153" s="11">
        <f t="shared" si="170"/>
        <v>0</v>
      </c>
      <c r="H1153" s="11">
        <f t="shared" si="171"/>
        <v>0</v>
      </c>
      <c r="I1153" s="11">
        <f t="shared" si="172"/>
        <v>0</v>
      </c>
      <c r="J1153" s="12">
        <f t="shared" si="173"/>
        <v>0</v>
      </c>
      <c r="K1153" s="17" t="str">
        <f t="shared" si="178"/>
        <v>Pas d'écart</v>
      </c>
      <c r="L1153" s="16">
        <f>base!X1153</f>
        <v>0</v>
      </c>
      <c r="M1153" s="11">
        <f t="shared" si="174"/>
        <v>0</v>
      </c>
      <c r="N1153" s="11">
        <f t="shared" si="175"/>
        <v>0</v>
      </c>
      <c r="O1153" s="11">
        <f t="shared" si="176"/>
        <v>0</v>
      </c>
      <c r="P1153" s="12">
        <f t="shared" si="177"/>
        <v>0</v>
      </c>
      <c r="Q1153" s="17" t="str">
        <f t="shared" si="179"/>
        <v>Pas d'écart</v>
      </c>
    </row>
    <row r="1154" spans="1:18" x14ac:dyDescent="0.3">
      <c r="A1154" s="34" t="str">
        <f>base!J1154</f>
        <v>RM</v>
      </c>
      <c r="B1154" s="34" t="str">
        <f>base!V1154</f>
        <v>61100</v>
      </c>
      <c r="C1154" s="37">
        <v>61</v>
      </c>
      <c r="D1154" s="36">
        <f>base!H1154</f>
        <v>40</v>
      </c>
      <c r="E1154" s="44"/>
      <c r="F1154" s="16">
        <f>base!W1154</f>
        <v>0</v>
      </c>
      <c r="G1154" s="11">
        <f t="shared" ref="G1154:G1217" si="180">F1154/D1154</f>
        <v>0</v>
      </c>
      <c r="H1154" s="11">
        <f t="shared" ref="H1154:H1217" si="181">VLOOKUP(C1154,tout_cout_traction,2,FALSE)*D1154</f>
        <v>6.8000000000000007</v>
      </c>
      <c r="I1154" s="11">
        <f t="shared" ref="I1154:I1217" si="182">H1154/D1154</f>
        <v>0.17</v>
      </c>
      <c r="J1154" s="12">
        <f t="shared" ref="J1154:J1217" si="183">F1154-H1154</f>
        <v>-6.8000000000000007</v>
      </c>
      <c r="K1154" s="17" t="str">
        <f t="shared" si="178"/>
        <v>Ecart négatif</v>
      </c>
      <c r="L1154" s="16">
        <f>base!X1154</f>
        <v>0</v>
      </c>
      <c r="M1154" s="11">
        <f t="shared" ref="M1154:M1217" si="184">L1154/D1154</f>
        <v>0</v>
      </c>
      <c r="N1154" s="11">
        <f t="shared" ref="N1154:N1217" si="185">VLOOKUP(C1154,tout_cout_traction,3,FALSE)*D1154</f>
        <v>6.8000000000000007</v>
      </c>
      <c r="O1154" s="11">
        <f t="shared" ref="O1154:O1217" si="186">N1154/D1154</f>
        <v>0.17</v>
      </c>
      <c r="P1154" s="12">
        <f t="shared" ref="P1154:P1217" si="187">L1154-N1154</f>
        <v>-6.8000000000000007</v>
      </c>
      <c r="Q1154" s="17" t="str">
        <f t="shared" si="179"/>
        <v>Ecart négatif</v>
      </c>
    </row>
    <row r="1155" spans="1:18" x14ac:dyDescent="0.3">
      <c r="A1155" s="34" t="str">
        <f>base!J1155</f>
        <v>RM</v>
      </c>
      <c r="B1155" s="34" t="str">
        <f>base!V1155</f>
        <v>75011</v>
      </c>
      <c r="C1155" s="37">
        <v>75</v>
      </c>
      <c r="D1155" s="36">
        <f>base!H1155</f>
        <v>32.6</v>
      </c>
      <c r="E1155" s="44"/>
      <c r="F1155" s="16">
        <f>base!W1155</f>
        <v>0</v>
      </c>
      <c r="G1155" s="11">
        <f t="shared" si="180"/>
        <v>0</v>
      </c>
      <c r="H1155" s="11">
        <f t="shared" si="181"/>
        <v>0</v>
      </c>
      <c r="I1155" s="11">
        <f t="shared" si="182"/>
        <v>0</v>
      </c>
      <c r="J1155" s="12">
        <f t="shared" si="183"/>
        <v>0</v>
      </c>
      <c r="K1155" s="17" t="str">
        <f t="shared" ref="K1155:K1218" si="188">IF(H1155=F1155,"Pas d'écart",IF(H1155&lt;F1155,"Ecart positif",IF(H1155&gt;F1155,"Ecart négatif")))</f>
        <v>Pas d'écart</v>
      </c>
      <c r="L1155" s="16">
        <f>base!X1155</f>
        <v>0</v>
      </c>
      <c r="M1155" s="11">
        <f t="shared" si="184"/>
        <v>0</v>
      </c>
      <c r="N1155" s="11">
        <f t="shared" si="185"/>
        <v>0</v>
      </c>
      <c r="O1155" s="11">
        <f t="shared" si="186"/>
        <v>0</v>
      </c>
      <c r="P1155" s="12">
        <f t="shared" si="187"/>
        <v>0</v>
      </c>
      <c r="Q1155" s="17" t="str">
        <f t="shared" ref="Q1155:Q1218" si="189">IF(N1155=L1155,"Pas d'écart",IF(N1155&lt;L1155,"Ecart positif",IF(N1155&gt;L1155,"Ecart négatif")))</f>
        <v>Pas d'écart</v>
      </c>
    </row>
    <row r="1156" spans="1:18" x14ac:dyDescent="0.3">
      <c r="A1156" s="34" t="str">
        <f>base!J1156</f>
        <v>DLS</v>
      </c>
      <c r="B1156" s="34" t="str">
        <f>base!V1156</f>
        <v>35390</v>
      </c>
      <c r="C1156" s="37">
        <v>35</v>
      </c>
      <c r="D1156" s="36">
        <f>base!H1156</f>
        <v>134.97</v>
      </c>
      <c r="E1156" s="44"/>
      <c r="F1156" s="16">
        <f>base!W1156</f>
        <v>0</v>
      </c>
      <c r="G1156" s="11">
        <f t="shared" si="180"/>
        <v>0</v>
      </c>
      <c r="H1156" s="11">
        <f t="shared" si="181"/>
        <v>36.441900000000004</v>
      </c>
      <c r="I1156" s="11">
        <f t="shared" si="182"/>
        <v>0.27</v>
      </c>
      <c r="J1156" s="12">
        <f t="shared" si="183"/>
        <v>-36.441900000000004</v>
      </c>
      <c r="K1156" s="17" t="str">
        <f t="shared" si="188"/>
        <v>Ecart négatif</v>
      </c>
      <c r="L1156" s="16">
        <f>base!X1156</f>
        <v>0</v>
      </c>
      <c r="M1156" s="11">
        <f t="shared" si="184"/>
        <v>0</v>
      </c>
      <c r="N1156" s="11">
        <f t="shared" si="185"/>
        <v>0</v>
      </c>
      <c r="O1156" s="11">
        <f t="shared" si="186"/>
        <v>0</v>
      </c>
      <c r="P1156" s="12">
        <f t="shared" si="187"/>
        <v>0</v>
      </c>
      <c r="Q1156" s="17" t="str">
        <f t="shared" si="189"/>
        <v>Pas d'écart</v>
      </c>
    </row>
    <row r="1157" spans="1:18" x14ac:dyDescent="0.3">
      <c r="A1157" s="34" t="str">
        <f>base!J1157</f>
        <v>LM</v>
      </c>
      <c r="B1157" s="34" t="str">
        <f>base!V1157</f>
        <v>92000</v>
      </c>
      <c r="C1157" s="37">
        <v>92</v>
      </c>
      <c r="D1157" s="36">
        <f>base!H1157</f>
        <v>50.84</v>
      </c>
      <c r="E1157" s="44"/>
      <c r="F1157" s="16">
        <f>base!W1157</f>
        <v>0</v>
      </c>
      <c r="G1157" s="11">
        <f t="shared" si="180"/>
        <v>0</v>
      </c>
      <c r="H1157" s="11">
        <f t="shared" si="181"/>
        <v>0</v>
      </c>
      <c r="I1157" s="11">
        <f t="shared" si="182"/>
        <v>0</v>
      </c>
      <c r="J1157" s="12">
        <f t="shared" si="183"/>
        <v>0</v>
      </c>
      <c r="K1157" s="17" t="str">
        <f t="shared" si="188"/>
        <v>Pas d'écart</v>
      </c>
      <c r="L1157" s="16">
        <f>base!X1157</f>
        <v>0</v>
      </c>
      <c r="M1157" s="11">
        <f t="shared" si="184"/>
        <v>0</v>
      </c>
      <c r="N1157" s="11">
        <f t="shared" si="185"/>
        <v>0</v>
      </c>
      <c r="O1157" s="11">
        <f t="shared" si="186"/>
        <v>0</v>
      </c>
      <c r="P1157" s="12">
        <f t="shared" si="187"/>
        <v>0</v>
      </c>
      <c r="Q1157" s="17" t="str">
        <f t="shared" si="189"/>
        <v>Pas d'écart</v>
      </c>
    </row>
    <row r="1158" spans="1:18" x14ac:dyDescent="0.3">
      <c r="A1158" s="34" t="str">
        <f>base!J1158</f>
        <v>DRS</v>
      </c>
      <c r="B1158" s="34" t="str">
        <f>base!V1158</f>
        <v>49380</v>
      </c>
      <c r="C1158" s="37">
        <v>49</v>
      </c>
      <c r="D1158" s="36">
        <f>base!H1158</f>
        <v>193.58</v>
      </c>
      <c r="E1158" s="44"/>
      <c r="F1158" s="16">
        <f>base!W1158</f>
        <v>0</v>
      </c>
      <c r="G1158" s="11">
        <f t="shared" si="180"/>
        <v>0</v>
      </c>
      <c r="H1158" s="11">
        <f t="shared" si="181"/>
        <v>52.266600000000004</v>
      </c>
      <c r="I1158" s="11">
        <f t="shared" si="182"/>
        <v>0.27</v>
      </c>
      <c r="J1158" s="12">
        <f t="shared" si="183"/>
        <v>-52.266600000000004</v>
      </c>
      <c r="K1158" s="17" t="str">
        <f t="shared" si="188"/>
        <v>Ecart négatif</v>
      </c>
      <c r="L1158" s="16">
        <f>base!X1158</f>
        <v>0</v>
      </c>
      <c r="M1158" s="11">
        <f t="shared" si="184"/>
        <v>0</v>
      </c>
      <c r="N1158" s="11">
        <f t="shared" si="185"/>
        <v>0</v>
      </c>
      <c r="O1158" s="11">
        <f t="shared" si="186"/>
        <v>0</v>
      </c>
      <c r="P1158" s="12">
        <f t="shared" si="187"/>
        <v>0</v>
      </c>
      <c r="Q1158" s="17" t="str">
        <f t="shared" si="189"/>
        <v>Pas d'écart</v>
      </c>
    </row>
    <row r="1159" spans="1:18" x14ac:dyDescent="0.3">
      <c r="A1159" s="34" t="str">
        <f>base!J1159</f>
        <v>LS</v>
      </c>
      <c r="B1159" s="34" t="str">
        <f>base!V1159</f>
        <v>37100</v>
      </c>
      <c r="C1159" s="37">
        <v>14</v>
      </c>
      <c r="D1159" s="36">
        <f>base!H1159</f>
        <v>120.29</v>
      </c>
      <c r="E1159" s="44"/>
      <c r="F1159" s="16">
        <f>base!W1159</f>
        <v>25.26</v>
      </c>
      <c r="G1159" s="11">
        <f t="shared" si="180"/>
        <v>0.20999251808130351</v>
      </c>
      <c r="H1159" s="11">
        <f t="shared" si="181"/>
        <v>20.449300000000001</v>
      </c>
      <c r="I1159" s="11">
        <f t="shared" si="182"/>
        <v>0.17</v>
      </c>
      <c r="J1159" s="12">
        <f t="shared" si="183"/>
        <v>4.8107000000000006</v>
      </c>
      <c r="K1159" s="17" t="str">
        <f t="shared" si="188"/>
        <v>Ecart positif</v>
      </c>
      <c r="L1159" s="16">
        <f>base!X1159</f>
        <v>0</v>
      </c>
      <c r="M1159" s="11">
        <f t="shared" si="184"/>
        <v>0</v>
      </c>
      <c r="N1159" s="11">
        <f t="shared" si="185"/>
        <v>20.449300000000001</v>
      </c>
      <c r="O1159" s="11">
        <f t="shared" si="186"/>
        <v>0.17</v>
      </c>
      <c r="P1159" s="12">
        <f t="shared" si="187"/>
        <v>-20.449300000000001</v>
      </c>
      <c r="Q1159" s="17" t="str">
        <f t="shared" si="189"/>
        <v>Ecart négatif</v>
      </c>
    </row>
    <row r="1160" spans="1:18" x14ac:dyDescent="0.3">
      <c r="A1160" s="34" t="str">
        <f>base!J1160</f>
        <v>LM</v>
      </c>
      <c r="B1160" s="34" t="str">
        <f>base!V1160</f>
        <v>93013</v>
      </c>
      <c r="C1160" s="37">
        <v>93</v>
      </c>
      <c r="D1160" s="36">
        <f>base!H1160</f>
        <v>55.16</v>
      </c>
      <c r="E1160" s="44"/>
      <c r="F1160" s="16">
        <f>base!W1160</f>
        <v>0</v>
      </c>
      <c r="G1160" s="11">
        <f t="shared" si="180"/>
        <v>0</v>
      </c>
      <c r="H1160" s="11">
        <f t="shared" si="181"/>
        <v>0</v>
      </c>
      <c r="I1160" s="11">
        <f t="shared" si="182"/>
        <v>0</v>
      </c>
      <c r="J1160" s="12">
        <f t="shared" si="183"/>
        <v>0</v>
      </c>
      <c r="K1160" s="17" t="str">
        <f t="shared" si="188"/>
        <v>Pas d'écart</v>
      </c>
      <c r="L1160" s="16">
        <f>base!X1160</f>
        <v>0</v>
      </c>
      <c r="M1160" s="11">
        <f t="shared" si="184"/>
        <v>0</v>
      </c>
      <c r="N1160" s="11">
        <f t="shared" si="185"/>
        <v>0</v>
      </c>
      <c r="O1160" s="11">
        <f t="shared" si="186"/>
        <v>0</v>
      </c>
      <c r="P1160" s="12">
        <f t="shared" si="187"/>
        <v>0</v>
      </c>
      <c r="Q1160" s="17" t="str">
        <f t="shared" si="189"/>
        <v>Pas d'écart</v>
      </c>
    </row>
    <row r="1161" spans="1:18" x14ac:dyDescent="0.3">
      <c r="A1161" s="34" t="str">
        <f>base!J1161</f>
        <v>LM</v>
      </c>
      <c r="B1161" s="34" t="str">
        <f>base!V1161</f>
        <v>38300</v>
      </c>
      <c r="C1161" s="37">
        <v>60</v>
      </c>
      <c r="D1161" s="36">
        <f>base!H1161</f>
        <v>19.649999999999999</v>
      </c>
      <c r="E1161" s="44"/>
      <c r="F1161" s="16">
        <f>base!W1161</f>
        <v>5.31</v>
      </c>
      <c r="G1161" s="11">
        <f t="shared" si="180"/>
        <v>0.27022900763358776</v>
      </c>
      <c r="H1161" s="11">
        <f t="shared" si="181"/>
        <v>3.7334999999999998</v>
      </c>
      <c r="I1161" s="11">
        <f t="shared" si="182"/>
        <v>0.19</v>
      </c>
      <c r="J1161" s="12">
        <f t="shared" si="183"/>
        <v>1.5764999999999998</v>
      </c>
      <c r="K1161" s="17" t="str">
        <f t="shared" si="188"/>
        <v>Ecart positif</v>
      </c>
      <c r="L1161" s="16">
        <f>base!X1161</f>
        <v>0</v>
      </c>
      <c r="M1161" s="11">
        <f t="shared" si="184"/>
        <v>0</v>
      </c>
      <c r="N1161" s="11">
        <f t="shared" si="185"/>
        <v>0</v>
      </c>
      <c r="O1161" s="11">
        <f t="shared" si="186"/>
        <v>0</v>
      </c>
      <c r="P1161" s="12">
        <f t="shared" si="187"/>
        <v>0</v>
      </c>
      <c r="Q1161" s="17" t="str">
        <f t="shared" si="189"/>
        <v>Pas d'écart</v>
      </c>
    </row>
    <row r="1162" spans="1:18" x14ac:dyDescent="0.3">
      <c r="A1162" s="34" t="str">
        <f>base!J1162</f>
        <v>DLM</v>
      </c>
      <c r="B1162" s="34" t="str">
        <f>base!V1162</f>
        <v>38230</v>
      </c>
      <c r="C1162" s="37">
        <v>38</v>
      </c>
      <c r="D1162" s="36">
        <f>base!H1162</f>
        <v>23.4</v>
      </c>
      <c r="E1162" s="44"/>
      <c r="F1162" s="16">
        <f>base!W1162</f>
        <v>0</v>
      </c>
      <c r="G1162" s="11">
        <f t="shared" si="180"/>
        <v>0</v>
      </c>
      <c r="H1162" s="11">
        <f t="shared" si="181"/>
        <v>6.3179999999999996</v>
      </c>
      <c r="I1162" s="11">
        <f t="shared" si="182"/>
        <v>0.27</v>
      </c>
      <c r="J1162" s="12">
        <f t="shared" si="183"/>
        <v>-6.3179999999999996</v>
      </c>
      <c r="K1162" s="17" t="str">
        <f t="shared" si="188"/>
        <v>Ecart négatif</v>
      </c>
      <c r="L1162" s="16">
        <f>base!X1162</f>
        <v>0</v>
      </c>
      <c r="M1162" s="11">
        <f t="shared" si="184"/>
        <v>0</v>
      </c>
      <c r="N1162" s="11">
        <f t="shared" si="185"/>
        <v>0</v>
      </c>
      <c r="O1162" s="11">
        <f t="shared" si="186"/>
        <v>0</v>
      </c>
      <c r="P1162" s="12">
        <f t="shared" si="187"/>
        <v>0</v>
      </c>
      <c r="Q1162" s="17" t="str">
        <f t="shared" si="189"/>
        <v>Pas d'écart</v>
      </c>
    </row>
    <row r="1163" spans="1:18" x14ac:dyDescent="0.3">
      <c r="A1163" s="34" t="str">
        <f>base!J1163</f>
        <v>DLM</v>
      </c>
      <c r="B1163" s="34" t="str">
        <f>base!V1163</f>
        <v>38230</v>
      </c>
      <c r="C1163" s="37">
        <v>38</v>
      </c>
      <c r="D1163" s="36">
        <f>base!H1163</f>
        <v>23.4</v>
      </c>
      <c r="E1163" s="44"/>
      <c r="F1163" s="16">
        <f>base!W1163</f>
        <v>0</v>
      </c>
      <c r="G1163" s="11">
        <f t="shared" si="180"/>
        <v>0</v>
      </c>
      <c r="H1163" s="11">
        <f t="shared" si="181"/>
        <v>6.3179999999999996</v>
      </c>
      <c r="I1163" s="11">
        <f t="shared" si="182"/>
        <v>0.27</v>
      </c>
      <c r="J1163" s="12">
        <f t="shared" si="183"/>
        <v>-6.3179999999999996</v>
      </c>
      <c r="K1163" s="17" t="str">
        <f t="shared" si="188"/>
        <v>Ecart négatif</v>
      </c>
      <c r="L1163" s="16">
        <f>base!X1163</f>
        <v>0</v>
      </c>
      <c r="M1163" s="11">
        <f t="shared" si="184"/>
        <v>0</v>
      </c>
      <c r="N1163" s="11">
        <f t="shared" si="185"/>
        <v>0</v>
      </c>
      <c r="O1163" s="11">
        <f t="shared" si="186"/>
        <v>0</v>
      </c>
      <c r="P1163" s="12">
        <f t="shared" si="187"/>
        <v>0</v>
      </c>
      <c r="Q1163" s="17" t="str">
        <f t="shared" si="189"/>
        <v>Pas d'écart</v>
      </c>
    </row>
    <row r="1164" spans="1:18" x14ac:dyDescent="0.3">
      <c r="A1164" s="34" t="str">
        <f>base!J1164</f>
        <v>DRM</v>
      </c>
      <c r="B1164" s="34" t="str">
        <f>base!V1164</f>
        <v>38230</v>
      </c>
      <c r="C1164" s="37">
        <v>38</v>
      </c>
      <c r="D1164" s="36">
        <f>base!H1164</f>
        <v>23.4</v>
      </c>
      <c r="E1164" s="44"/>
      <c r="F1164" s="16">
        <f>base!W1164</f>
        <v>0</v>
      </c>
      <c r="G1164" s="11">
        <f t="shared" si="180"/>
        <v>0</v>
      </c>
      <c r="H1164" s="11">
        <f t="shared" si="181"/>
        <v>6.3179999999999996</v>
      </c>
      <c r="I1164" s="11">
        <f t="shared" si="182"/>
        <v>0.27</v>
      </c>
      <c r="J1164" s="12">
        <f t="shared" si="183"/>
        <v>-6.3179999999999996</v>
      </c>
      <c r="K1164" s="17" t="str">
        <f t="shared" si="188"/>
        <v>Ecart négatif</v>
      </c>
      <c r="L1164" s="16">
        <f>base!X1164</f>
        <v>0</v>
      </c>
      <c r="M1164" s="11">
        <f t="shared" si="184"/>
        <v>0</v>
      </c>
      <c r="N1164" s="11">
        <f t="shared" si="185"/>
        <v>0</v>
      </c>
      <c r="O1164" s="11">
        <f t="shared" si="186"/>
        <v>0</v>
      </c>
      <c r="P1164" s="12">
        <f t="shared" si="187"/>
        <v>0</v>
      </c>
      <c r="Q1164" s="17" t="str">
        <f t="shared" si="189"/>
        <v>Pas d'écart</v>
      </c>
    </row>
    <row r="1165" spans="1:18" x14ac:dyDescent="0.3">
      <c r="A1165" s="34" t="str">
        <f>base!J1165</f>
        <v>RM</v>
      </c>
      <c r="B1165" s="34" t="str">
        <f>base!V1165</f>
        <v>33700</v>
      </c>
      <c r="C1165" s="37">
        <v>33</v>
      </c>
      <c r="D1165" s="36">
        <f>base!H1165</f>
        <v>130.37</v>
      </c>
      <c r="E1165" s="44"/>
      <c r="F1165" s="16">
        <f>base!W1165</f>
        <v>0</v>
      </c>
      <c r="G1165" s="11">
        <f t="shared" si="180"/>
        <v>0</v>
      </c>
      <c r="H1165" s="11">
        <f t="shared" si="181"/>
        <v>27.377700000000001</v>
      </c>
      <c r="I1165" s="11">
        <f t="shared" si="182"/>
        <v>0.21</v>
      </c>
      <c r="J1165" s="12">
        <f t="shared" si="183"/>
        <v>-27.377700000000001</v>
      </c>
      <c r="K1165" s="17" t="str">
        <f t="shared" si="188"/>
        <v>Ecart négatif</v>
      </c>
      <c r="L1165" s="16">
        <f>base!X1165</f>
        <v>22.16</v>
      </c>
      <c r="M1165" s="11">
        <f t="shared" si="184"/>
        <v>0.16997775561862391</v>
      </c>
      <c r="N1165" s="11">
        <f t="shared" si="185"/>
        <v>22.162900000000004</v>
      </c>
      <c r="O1165" s="11">
        <f t="shared" si="186"/>
        <v>0.17</v>
      </c>
      <c r="P1165" s="12">
        <f t="shared" si="187"/>
        <v>-2.9000000000038995E-3</v>
      </c>
      <c r="Q1165" s="17" t="str">
        <f t="shared" si="189"/>
        <v>Ecart négatif</v>
      </c>
      <c r="R1165" s="38"/>
    </row>
    <row r="1166" spans="1:18" x14ac:dyDescent="0.3">
      <c r="A1166" s="34" t="str">
        <f>base!J1166</f>
        <v>RM</v>
      </c>
      <c r="B1166" s="34" t="str">
        <f>base!V1166</f>
        <v>63500</v>
      </c>
      <c r="C1166" s="37">
        <v>63</v>
      </c>
      <c r="D1166" s="36">
        <f>base!H1166</f>
        <v>41.08</v>
      </c>
      <c r="E1166" s="44"/>
      <c r="F1166" s="16">
        <f>base!W1166</f>
        <v>0</v>
      </c>
      <c r="G1166" s="11">
        <f t="shared" si="180"/>
        <v>0</v>
      </c>
      <c r="H1166" s="11">
        <f t="shared" si="181"/>
        <v>11.913199999999998</v>
      </c>
      <c r="I1166" s="11">
        <f t="shared" si="182"/>
        <v>0.28999999999999998</v>
      </c>
      <c r="J1166" s="12">
        <f t="shared" si="183"/>
        <v>-11.913199999999998</v>
      </c>
      <c r="K1166" s="17" t="str">
        <f t="shared" si="188"/>
        <v>Ecart négatif</v>
      </c>
      <c r="L1166" s="16">
        <f>base!X1166</f>
        <v>4.93</v>
      </c>
      <c r="M1166" s="11">
        <f t="shared" si="184"/>
        <v>0.12000973709834468</v>
      </c>
      <c r="N1166" s="11">
        <f t="shared" si="185"/>
        <v>4.9295999999999998</v>
      </c>
      <c r="O1166" s="11">
        <f t="shared" si="186"/>
        <v>0.12</v>
      </c>
      <c r="P1166" s="12">
        <f t="shared" si="187"/>
        <v>3.9999999999995595E-4</v>
      </c>
      <c r="Q1166" s="17" t="str">
        <f t="shared" si="189"/>
        <v>Ecart positif</v>
      </c>
      <c r="R1166" s="38"/>
    </row>
    <row r="1167" spans="1:18" x14ac:dyDescent="0.3">
      <c r="A1167" s="34">
        <f>base!J1167</f>
        <v>0</v>
      </c>
      <c r="B1167" s="34" t="str">
        <f>base!V1167</f>
        <v>77184</v>
      </c>
      <c r="C1167" s="37">
        <v>77</v>
      </c>
      <c r="D1167" s="36">
        <f>base!H1167</f>
        <v>25</v>
      </c>
      <c r="E1167" s="44"/>
      <c r="F1167" s="16">
        <f>base!W1167</f>
        <v>0</v>
      </c>
      <c r="G1167" s="11">
        <f t="shared" si="180"/>
        <v>0</v>
      </c>
      <c r="H1167" s="11">
        <f t="shared" si="181"/>
        <v>0</v>
      </c>
      <c r="I1167" s="11">
        <f t="shared" si="182"/>
        <v>0</v>
      </c>
      <c r="J1167" s="12">
        <f t="shared" si="183"/>
        <v>0</v>
      </c>
      <c r="K1167" s="17" t="str">
        <f t="shared" si="188"/>
        <v>Pas d'écart</v>
      </c>
      <c r="L1167" s="16">
        <f>base!X1167</f>
        <v>0</v>
      </c>
      <c r="M1167" s="11">
        <f t="shared" si="184"/>
        <v>0</v>
      </c>
      <c r="N1167" s="11">
        <f t="shared" si="185"/>
        <v>0</v>
      </c>
      <c r="O1167" s="11">
        <f t="shared" si="186"/>
        <v>0</v>
      </c>
      <c r="P1167" s="12">
        <f t="shared" si="187"/>
        <v>0</v>
      </c>
      <c r="Q1167" s="17" t="str">
        <f t="shared" si="189"/>
        <v>Pas d'écart</v>
      </c>
    </row>
    <row r="1168" spans="1:18" x14ac:dyDescent="0.3">
      <c r="A1168" s="34">
        <f>base!J1168</f>
        <v>0</v>
      </c>
      <c r="B1168" s="34" t="str">
        <f>base!V1168</f>
        <v>77184</v>
      </c>
      <c r="C1168" s="37">
        <v>77</v>
      </c>
      <c r="D1168" s="36">
        <f>base!H1168</f>
        <v>20</v>
      </c>
      <c r="E1168" s="44"/>
      <c r="F1168" s="16">
        <f>base!W1168</f>
        <v>0</v>
      </c>
      <c r="G1168" s="11">
        <f t="shared" si="180"/>
        <v>0</v>
      </c>
      <c r="H1168" s="11">
        <f t="shared" si="181"/>
        <v>0</v>
      </c>
      <c r="I1168" s="11">
        <f t="shared" si="182"/>
        <v>0</v>
      </c>
      <c r="J1168" s="12">
        <f t="shared" si="183"/>
        <v>0</v>
      </c>
      <c r="K1168" s="17" t="str">
        <f t="shared" si="188"/>
        <v>Pas d'écart</v>
      </c>
      <c r="L1168" s="16">
        <f>base!X1168</f>
        <v>0</v>
      </c>
      <c r="M1168" s="11">
        <f t="shared" si="184"/>
        <v>0</v>
      </c>
      <c r="N1168" s="11">
        <f t="shared" si="185"/>
        <v>0</v>
      </c>
      <c r="O1168" s="11">
        <f t="shared" si="186"/>
        <v>0</v>
      </c>
      <c r="P1168" s="12">
        <f t="shared" si="187"/>
        <v>0</v>
      </c>
      <c r="Q1168" s="17" t="str">
        <f t="shared" si="189"/>
        <v>Pas d'écart</v>
      </c>
    </row>
    <row r="1169" spans="1:18" x14ac:dyDescent="0.3">
      <c r="A1169" s="34">
        <f>base!J1169</f>
        <v>0</v>
      </c>
      <c r="B1169" s="34" t="str">
        <f>base!V1169</f>
        <v>77184</v>
      </c>
      <c r="C1169" s="37">
        <v>77</v>
      </c>
      <c r="D1169" s="36">
        <f>base!H1169</f>
        <v>20</v>
      </c>
      <c r="E1169" s="44"/>
      <c r="F1169" s="16">
        <f>base!W1169</f>
        <v>0</v>
      </c>
      <c r="G1169" s="11">
        <f t="shared" si="180"/>
        <v>0</v>
      </c>
      <c r="H1169" s="11">
        <f t="shared" si="181"/>
        <v>0</v>
      </c>
      <c r="I1169" s="11">
        <f t="shared" si="182"/>
        <v>0</v>
      </c>
      <c r="J1169" s="12">
        <f t="shared" si="183"/>
        <v>0</v>
      </c>
      <c r="K1169" s="17" t="str">
        <f t="shared" si="188"/>
        <v>Pas d'écart</v>
      </c>
      <c r="L1169" s="16">
        <f>base!X1169</f>
        <v>0</v>
      </c>
      <c r="M1169" s="11">
        <f t="shared" si="184"/>
        <v>0</v>
      </c>
      <c r="N1169" s="11">
        <f t="shared" si="185"/>
        <v>0</v>
      </c>
      <c r="O1169" s="11">
        <f t="shared" si="186"/>
        <v>0</v>
      </c>
      <c r="P1169" s="12">
        <f t="shared" si="187"/>
        <v>0</v>
      </c>
      <c r="Q1169" s="17" t="str">
        <f t="shared" si="189"/>
        <v>Pas d'écart</v>
      </c>
    </row>
    <row r="1170" spans="1:18" x14ac:dyDescent="0.3">
      <c r="A1170" s="34" t="str">
        <f>base!J1170</f>
        <v>DLS</v>
      </c>
      <c r="B1170" s="34" t="str">
        <f>base!V1170</f>
        <v>69100</v>
      </c>
      <c r="C1170" s="37">
        <v>69</v>
      </c>
      <c r="D1170" s="36">
        <f>base!H1170</f>
        <v>151</v>
      </c>
      <c r="E1170" s="44"/>
      <c r="F1170" s="16">
        <f>base!W1170</f>
        <v>0</v>
      </c>
      <c r="G1170" s="11">
        <f t="shared" si="180"/>
        <v>0</v>
      </c>
      <c r="H1170" s="11">
        <f t="shared" si="181"/>
        <v>40.770000000000003</v>
      </c>
      <c r="I1170" s="11">
        <f t="shared" si="182"/>
        <v>0.27</v>
      </c>
      <c r="J1170" s="12">
        <f t="shared" si="183"/>
        <v>-40.770000000000003</v>
      </c>
      <c r="K1170" s="17" t="str">
        <f t="shared" si="188"/>
        <v>Ecart négatif</v>
      </c>
      <c r="L1170" s="16">
        <f>base!X1170</f>
        <v>0</v>
      </c>
      <c r="M1170" s="11">
        <f t="shared" si="184"/>
        <v>0</v>
      </c>
      <c r="N1170" s="11">
        <f t="shared" si="185"/>
        <v>0</v>
      </c>
      <c r="O1170" s="11">
        <f t="shared" si="186"/>
        <v>0</v>
      </c>
      <c r="P1170" s="12">
        <f t="shared" si="187"/>
        <v>0</v>
      </c>
      <c r="Q1170" s="17" t="str">
        <f t="shared" si="189"/>
        <v>Pas d'écart</v>
      </c>
    </row>
    <row r="1171" spans="1:18" x14ac:dyDescent="0.3">
      <c r="A1171" s="34" t="str">
        <f>base!J1171</f>
        <v>LS</v>
      </c>
      <c r="B1171" s="34" t="str">
        <f>base!V1171</f>
        <v>44000</v>
      </c>
      <c r="C1171" s="37">
        <v>14</v>
      </c>
      <c r="D1171" s="36">
        <f>base!H1171</f>
        <v>16.8</v>
      </c>
      <c r="E1171" s="44"/>
      <c r="F1171" s="16">
        <f>base!W1171</f>
        <v>4.54</v>
      </c>
      <c r="G1171" s="11">
        <f t="shared" si="180"/>
        <v>0.27023809523809522</v>
      </c>
      <c r="H1171" s="11">
        <f t="shared" si="181"/>
        <v>2.8560000000000003</v>
      </c>
      <c r="I1171" s="11">
        <f t="shared" si="182"/>
        <v>0.17</v>
      </c>
      <c r="J1171" s="12">
        <f t="shared" si="183"/>
        <v>1.6839999999999997</v>
      </c>
      <c r="K1171" s="17" t="str">
        <f t="shared" si="188"/>
        <v>Ecart positif</v>
      </c>
      <c r="L1171" s="16">
        <f>base!X1171</f>
        <v>0</v>
      </c>
      <c r="M1171" s="11">
        <f t="shared" si="184"/>
        <v>0</v>
      </c>
      <c r="N1171" s="11">
        <f t="shared" si="185"/>
        <v>2.8560000000000003</v>
      </c>
      <c r="O1171" s="11">
        <f t="shared" si="186"/>
        <v>0.17</v>
      </c>
      <c r="P1171" s="12">
        <f t="shared" si="187"/>
        <v>-2.8560000000000003</v>
      </c>
      <c r="Q1171" s="17" t="str">
        <f t="shared" si="189"/>
        <v>Ecart négatif</v>
      </c>
    </row>
    <row r="1172" spans="1:18" x14ac:dyDescent="0.3">
      <c r="A1172" s="34" t="str">
        <f>base!J1172</f>
        <v>RM</v>
      </c>
      <c r="B1172" s="34" t="str">
        <f>base!V1172</f>
        <v>25290</v>
      </c>
      <c r="C1172" s="37">
        <v>25</v>
      </c>
      <c r="D1172" s="36">
        <f>base!H1172</f>
        <v>151</v>
      </c>
      <c r="E1172" s="44"/>
      <c r="F1172" s="16">
        <f>base!W1172</f>
        <v>0</v>
      </c>
      <c r="G1172" s="11">
        <f t="shared" si="180"/>
        <v>0</v>
      </c>
      <c r="H1172" s="11">
        <f t="shared" si="181"/>
        <v>36.24</v>
      </c>
      <c r="I1172" s="11">
        <f t="shared" si="182"/>
        <v>0.24000000000000002</v>
      </c>
      <c r="J1172" s="12">
        <f t="shared" si="183"/>
        <v>-36.24</v>
      </c>
      <c r="K1172" s="17" t="str">
        <f t="shared" si="188"/>
        <v>Ecart négatif</v>
      </c>
      <c r="L1172" s="16">
        <f>base!X1172</f>
        <v>0</v>
      </c>
      <c r="M1172" s="11">
        <f t="shared" si="184"/>
        <v>0</v>
      </c>
      <c r="N1172" s="11">
        <f t="shared" si="185"/>
        <v>18.12</v>
      </c>
      <c r="O1172" s="11">
        <f t="shared" si="186"/>
        <v>0.12000000000000001</v>
      </c>
      <c r="P1172" s="12">
        <f t="shared" si="187"/>
        <v>-18.12</v>
      </c>
      <c r="Q1172" s="17" t="str">
        <f t="shared" si="189"/>
        <v>Ecart négatif</v>
      </c>
    </row>
    <row r="1173" spans="1:18" x14ac:dyDescent="0.3">
      <c r="A1173" s="34" t="str">
        <f>base!J1173</f>
        <v>RS</v>
      </c>
      <c r="B1173" s="34" t="str">
        <f>base!V1173</f>
        <v>92400</v>
      </c>
      <c r="C1173" s="37">
        <v>92</v>
      </c>
      <c r="D1173" s="36">
        <f>base!H1173</f>
        <v>40</v>
      </c>
      <c r="E1173" s="44"/>
      <c r="F1173" s="16">
        <f>base!W1173</f>
        <v>0</v>
      </c>
      <c r="G1173" s="11">
        <f t="shared" si="180"/>
        <v>0</v>
      </c>
      <c r="H1173" s="11">
        <f t="shared" si="181"/>
        <v>0</v>
      </c>
      <c r="I1173" s="11">
        <f t="shared" si="182"/>
        <v>0</v>
      </c>
      <c r="J1173" s="12">
        <f t="shared" si="183"/>
        <v>0</v>
      </c>
      <c r="K1173" s="17" t="str">
        <f t="shared" si="188"/>
        <v>Pas d'écart</v>
      </c>
      <c r="L1173" s="16">
        <f>base!X1173</f>
        <v>0</v>
      </c>
      <c r="M1173" s="11">
        <f t="shared" si="184"/>
        <v>0</v>
      </c>
      <c r="N1173" s="11">
        <f t="shared" si="185"/>
        <v>0</v>
      </c>
      <c r="O1173" s="11">
        <f t="shared" si="186"/>
        <v>0</v>
      </c>
      <c r="P1173" s="12">
        <f t="shared" si="187"/>
        <v>0</v>
      </c>
      <c r="Q1173" s="17" t="str">
        <f t="shared" si="189"/>
        <v>Pas d'écart</v>
      </c>
    </row>
    <row r="1174" spans="1:18" x14ac:dyDescent="0.3">
      <c r="A1174" s="34" t="str">
        <f>base!J1174</f>
        <v>RM</v>
      </c>
      <c r="B1174" s="34" t="str">
        <f>base!V1174</f>
        <v>06560</v>
      </c>
      <c r="C1174" s="37">
        <v>6</v>
      </c>
      <c r="D1174" s="36">
        <f>base!H1174</f>
        <v>151</v>
      </c>
      <c r="E1174" s="44"/>
      <c r="F1174" s="16">
        <f>base!W1174</f>
        <v>0</v>
      </c>
      <c r="G1174" s="11">
        <f t="shared" si="180"/>
        <v>0</v>
      </c>
      <c r="H1174" s="11">
        <f t="shared" si="181"/>
        <v>45.3</v>
      </c>
      <c r="I1174" s="11">
        <f t="shared" si="182"/>
        <v>0.3</v>
      </c>
      <c r="J1174" s="12">
        <f t="shared" si="183"/>
        <v>-45.3</v>
      </c>
      <c r="K1174" s="17" t="str">
        <f t="shared" si="188"/>
        <v>Ecart négatif</v>
      </c>
      <c r="L1174" s="16">
        <f>base!X1174</f>
        <v>0</v>
      </c>
      <c r="M1174" s="11">
        <f t="shared" si="184"/>
        <v>0</v>
      </c>
      <c r="N1174" s="11">
        <f t="shared" si="185"/>
        <v>31.709999999999997</v>
      </c>
      <c r="O1174" s="11">
        <f t="shared" si="186"/>
        <v>0.21</v>
      </c>
      <c r="P1174" s="12">
        <f t="shared" si="187"/>
        <v>-31.709999999999997</v>
      </c>
      <c r="Q1174" s="17" t="str">
        <f t="shared" si="189"/>
        <v>Ecart négatif</v>
      </c>
    </row>
    <row r="1175" spans="1:18" x14ac:dyDescent="0.3">
      <c r="A1175" s="34">
        <f>base!J1175</f>
        <v>0</v>
      </c>
      <c r="B1175" s="34" t="str">
        <f>base!V1175</f>
        <v>77184</v>
      </c>
      <c r="C1175" s="37">
        <v>77</v>
      </c>
      <c r="D1175" s="36">
        <f>base!H1175</f>
        <v>25</v>
      </c>
      <c r="E1175" s="44"/>
      <c r="F1175" s="16">
        <f>base!W1175</f>
        <v>0</v>
      </c>
      <c r="G1175" s="11">
        <f t="shared" si="180"/>
        <v>0</v>
      </c>
      <c r="H1175" s="11">
        <f t="shared" si="181"/>
        <v>0</v>
      </c>
      <c r="I1175" s="11">
        <f t="shared" si="182"/>
        <v>0</v>
      </c>
      <c r="J1175" s="12">
        <f t="shared" si="183"/>
        <v>0</v>
      </c>
      <c r="K1175" s="17" t="str">
        <f t="shared" si="188"/>
        <v>Pas d'écart</v>
      </c>
      <c r="L1175" s="16">
        <f>base!X1175</f>
        <v>0</v>
      </c>
      <c r="M1175" s="11">
        <f t="shared" si="184"/>
        <v>0</v>
      </c>
      <c r="N1175" s="11">
        <f t="shared" si="185"/>
        <v>0</v>
      </c>
      <c r="O1175" s="11">
        <f t="shared" si="186"/>
        <v>0</v>
      </c>
      <c r="P1175" s="12">
        <f t="shared" si="187"/>
        <v>0</v>
      </c>
      <c r="Q1175" s="17" t="str">
        <f t="shared" si="189"/>
        <v>Pas d'écart</v>
      </c>
    </row>
    <row r="1176" spans="1:18" x14ac:dyDescent="0.3">
      <c r="A1176" s="34">
        <f>base!J1176</f>
        <v>0</v>
      </c>
      <c r="B1176" s="34" t="str">
        <f>base!V1176</f>
        <v>77184</v>
      </c>
      <c r="C1176" s="37">
        <v>77</v>
      </c>
      <c r="D1176" s="36">
        <f>base!H1176</f>
        <v>25</v>
      </c>
      <c r="E1176" s="44"/>
      <c r="F1176" s="16">
        <f>base!W1176</f>
        <v>0</v>
      </c>
      <c r="G1176" s="11">
        <f t="shared" si="180"/>
        <v>0</v>
      </c>
      <c r="H1176" s="11">
        <f t="shared" si="181"/>
        <v>0</v>
      </c>
      <c r="I1176" s="11">
        <f t="shared" si="182"/>
        <v>0</v>
      </c>
      <c r="J1176" s="12">
        <f t="shared" si="183"/>
        <v>0</v>
      </c>
      <c r="K1176" s="17" t="str">
        <f t="shared" si="188"/>
        <v>Pas d'écart</v>
      </c>
      <c r="L1176" s="16">
        <f>base!X1176</f>
        <v>0</v>
      </c>
      <c r="M1176" s="11">
        <f t="shared" si="184"/>
        <v>0</v>
      </c>
      <c r="N1176" s="11">
        <f t="shared" si="185"/>
        <v>0</v>
      </c>
      <c r="O1176" s="11">
        <f t="shared" si="186"/>
        <v>0</v>
      </c>
      <c r="P1176" s="12">
        <f t="shared" si="187"/>
        <v>0</v>
      </c>
      <c r="Q1176" s="17" t="str">
        <f t="shared" si="189"/>
        <v>Pas d'écart</v>
      </c>
    </row>
    <row r="1177" spans="1:18" x14ac:dyDescent="0.3">
      <c r="A1177" s="34" t="str">
        <f>base!J1177</f>
        <v>LS</v>
      </c>
      <c r="B1177" s="34" t="str">
        <f>base!V1177</f>
        <v>35520</v>
      </c>
      <c r="C1177" s="37">
        <v>59</v>
      </c>
      <c r="D1177" s="36">
        <f>base!H1177</f>
        <v>120.65</v>
      </c>
      <c r="E1177" s="44"/>
      <c r="F1177" s="16">
        <f>base!W1177</f>
        <v>32.58</v>
      </c>
      <c r="G1177" s="11">
        <f t="shared" si="180"/>
        <v>0.27003729796933273</v>
      </c>
      <c r="H1177" s="11">
        <f t="shared" si="181"/>
        <v>22.923500000000001</v>
      </c>
      <c r="I1177" s="11">
        <f t="shared" si="182"/>
        <v>0.19</v>
      </c>
      <c r="J1177" s="12">
        <f t="shared" si="183"/>
        <v>9.6564999999999976</v>
      </c>
      <c r="K1177" s="17" t="str">
        <f t="shared" si="188"/>
        <v>Ecart positif</v>
      </c>
      <c r="L1177" s="16">
        <f>base!X1177</f>
        <v>0</v>
      </c>
      <c r="M1177" s="11">
        <f t="shared" si="184"/>
        <v>0</v>
      </c>
      <c r="N1177" s="11">
        <f t="shared" si="185"/>
        <v>0</v>
      </c>
      <c r="O1177" s="11">
        <f t="shared" si="186"/>
        <v>0</v>
      </c>
      <c r="P1177" s="12">
        <f t="shared" si="187"/>
        <v>0</v>
      </c>
      <c r="Q1177" s="17" t="str">
        <f t="shared" si="189"/>
        <v>Pas d'écart</v>
      </c>
    </row>
    <row r="1178" spans="1:18" x14ac:dyDescent="0.3">
      <c r="A1178" s="34" t="str">
        <f>base!J1178</f>
        <v>RM</v>
      </c>
      <c r="B1178" s="34" t="str">
        <f>base!V1178</f>
        <v>75014</v>
      </c>
      <c r="C1178" s="37">
        <v>75</v>
      </c>
      <c r="D1178" s="36">
        <f>base!H1178</f>
        <v>195.25</v>
      </c>
      <c r="E1178" s="44"/>
      <c r="F1178" s="16">
        <f>base!W1178</f>
        <v>0</v>
      </c>
      <c r="G1178" s="11">
        <f t="shared" si="180"/>
        <v>0</v>
      </c>
      <c r="H1178" s="11">
        <f t="shared" si="181"/>
        <v>0</v>
      </c>
      <c r="I1178" s="11">
        <f t="shared" si="182"/>
        <v>0</v>
      </c>
      <c r="J1178" s="12">
        <f t="shared" si="183"/>
        <v>0</v>
      </c>
      <c r="K1178" s="17" t="str">
        <f t="shared" si="188"/>
        <v>Pas d'écart</v>
      </c>
      <c r="L1178" s="16">
        <f>base!X1178</f>
        <v>0</v>
      </c>
      <c r="M1178" s="11">
        <f t="shared" si="184"/>
        <v>0</v>
      </c>
      <c r="N1178" s="11">
        <f t="shared" si="185"/>
        <v>0</v>
      </c>
      <c r="O1178" s="11">
        <f t="shared" si="186"/>
        <v>0</v>
      </c>
      <c r="P1178" s="12">
        <f t="shared" si="187"/>
        <v>0</v>
      </c>
      <c r="Q1178" s="17" t="str">
        <f t="shared" si="189"/>
        <v>Pas d'écart</v>
      </c>
    </row>
    <row r="1179" spans="1:18" x14ac:dyDescent="0.3">
      <c r="A1179" s="34" t="str">
        <f>base!J1179</f>
        <v>RS</v>
      </c>
      <c r="B1179" s="34" t="str">
        <f>base!V1179</f>
        <v>06500</v>
      </c>
      <c r="C1179" s="37">
        <v>6</v>
      </c>
      <c r="D1179" s="36">
        <f>base!H1179</f>
        <v>140</v>
      </c>
      <c r="E1179" s="44"/>
      <c r="F1179" s="16">
        <f>base!W1179</f>
        <v>0</v>
      </c>
      <c r="G1179" s="11">
        <f t="shared" si="180"/>
        <v>0</v>
      </c>
      <c r="H1179" s="11">
        <f t="shared" si="181"/>
        <v>42</v>
      </c>
      <c r="I1179" s="11">
        <f t="shared" si="182"/>
        <v>0.3</v>
      </c>
      <c r="J1179" s="12">
        <f t="shared" si="183"/>
        <v>-42</v>
      </c>
      <c r="K1179" s="17" t="str">
        <f t="shared" si="188"/>
        <v>Ecart négatif</v>
      </c>
      <c r="L1179" s="16">
        <f>base!X1179</f>
        <v>29.4</v>
      </c>
      <c r="M1179" s="11">
        <f t="shared" si="184"/>
        <v>0.21</v>
      </c>
      <c r="N1179" s="11">
        <f t="shared" si="185"/>
        <v>29.4</v>
      </c>
      <c r="O1179" s="11">
        <f t="shared" si="186"/>
        <v>0.21</v>
      </c>
      <c r="P1179" s="12">
        <f t="shared" si="187"/>
        <v>0</v>
      </c>
      <c r="Q1179" s="17" t="str">
        <f t="shared" si="189"/>
        <v>Pas d'écart</v>
      </c>
      <c r="R1179" s="38"/>
    </row>
    <row r="1180" spans="1:18" x14ac:dyDescent="0.3">
      <c r="A1180" s="34" t="str">
        <f>base!J1180</f>
        <v>LM</v>
      </c>
      <c r="B1180" s="34" t="str">
        <f>base!V1180</f>
        <v>69125</v>
      </c>
      <c r="C1180" s="37">
        <v>61</v>
      </c>
      <c r="D1180" s="36">
        <f>base!H1180</f>
        <v>53.52</v>
      </c>
      <c r="E1180" s="44"/>
      <c r="F1180" s="16">
        <f>base!W1180</f>
        <v>14.45</v>
      </c>
      <c r="G1180" s="11">
        <f t="shared" si="180"/>
        <v>0.26999252615844543</v>
      </c>
      <c r="H1180" s="11">
        <f t="shared" si="181"/>
        <v>9.0984000000000016</v>
      </c>
      <c r="I1180" s="11">
        <f t="shared" si="182"/>
        <v>0.17</v>
      </c>
      <c r="J1180" s="12">
        <f t="shared" si="183"/>
        <v>5.3515999999999977</v>
      </c>
      <c r="K1180" s="17" t="str">
        <f t="shared" si="188"/>
        <v>Ecart positif</v>
      </c>
      <c r="L1180" s="16">
        <f>base!X1180</f>
        <v>0</v>
      </c>
      <c r="M1180" s="11">
        <f t="shared" si="184"/>
        <v>0</v>
      </c>
      <c r="N1180" s="11">
        <f t="shared" si="185"/>
        <v>9.0984000000000016</v>
      </c>
      <c r="O1180" s="11">
        <f t="shared" si="186"/>
        <v>0.17</v>
      </c>
      <c r="P1180" s="12">
        <f t="shared" si="187"/>
        <v>-9.0984000000000016</v>
      </c>
      <c r="Q1180" s="17" t="str">
        <f t="shared" si="189"/>
        <v>Ecart négatif</v>
      </c>
    </row>
    <row r="1181" spans="1:18" x14ac:dyDescent="0.3">
      <c r="A1181" s="34" t="str">
        <f>base!J1181</f>
        <v>DRM</v>
      </c>
      <c r="B1181" s="34" t="str">
        <f>base!V1181</f>
        <v>38230</v>
      </c>
      <c r="C1181" s="37">
        <v>38</v>
      </c>
      <c r="D1181" s="36">
        <f>base!H1181</f>
        <v>23.4</v>
      </c>
      <c r="E1181" s="44"/>
      <c r="F1181" s="16">
        <f>base!W1181</f>
        <v>0</v>
      </c>
      <c r="G1181" s="11">
        <f t="shared" si="180"/>
        <v>0</v>
      </c>
      <c r="H1181" s="11">
        <f t="shared" si="181"/>
        <v>6.3179999999999996</v>
      </c>
      <c r="I1181" s="11">
        <f t="shared" si="182"/>
        <v>0.27</v>
      </c>
      <c r="J1181" s="12">
        <f t="shared" si="183"/>
        <v>-6.3179999999999996</v>
      </c>
      <c r="K1181" s="17" t="str">
        <f t="shared" si="188"/>
        <v>Ecart négatif</v>
      </c>
      <c r="L1181" s="16">
        <f>base!X1181</f>
        <v>0</v>
      </c>
      <c r="M1181" s="11">
        <f t="shared" si="184"/>
        <v>0</v>
      </c>
      <c r="N1181" s="11">
        <f t="shared" si="185"/>
        <v>0</v>
      </c>
      <c r="O1181" s="11">
        <f t="shared" si="186"/>
        <v>0</v>
      </c>
      <c r="P1181" s="12">
        <f t="shared" si="187"/>
        <v>0</v>
      </c>
      <c r="Q1181" s="17" t="str">
        <f t="shared" si="189"/>
        <v>Pas d'écart</v>
      </c>
    </row>
    <row r="1182" spans="1:18" x14ac:dyDescent="0.3">
      <c r="A1182" s="34" t="str">
        <f>base!J1182</f>
        <v>RM</v>
      </c>
      <c r="B1182" s="34" t="str">
        <f>base!V1182</f>
        <v>13115</v>
      </c>
      <c r="C1182" s="37">
        <v>13</v>
      </c>
      <c r="D1182" s="36">
        <f>base!H1182</f>
        <v>137.05000000000001</v>
      </c>
      <c r="E1182" s="44"/>
      <c r="F1182" s="16">
        <f>base!W1182</f>
        <v>0</v>
      </c>
      <c r="G1182" s="11">
        <f t="shared" si="180"/>
        <v>0</v>
      </c>
      <c r="H1182" s="11">
        <f t="shared" si="181"/>
        <v>39.744500000000002</v>
      </c>
      <c r="I1182" s="11">
        <f t="shared" si="182"/>
        <v>0.28999999999999998</v>
      </c>
      <c r="J1182" s="12">
        <f t="shared" si="183"/>
        <v>-39.744500000000002</v>
      </c>
      <c r="K1182" s="17" t="str">
        <f t="shared" si="188"/>
        <v>Ecart négatif</v>
      </c>
      <c r="L1182" s="16">
        <f>base!X1182</f>
        <v>26.04</v>
      </c>
      <c r="M1182" s="11">
        <f t="shared" si="184"/>
        <v>0.19000364830353883</v>
      </c>
      <c r="N1182" s="11">
        <f t="shared" si="185"/>
        <v>26.039500000000004</v>
      </c>
      <c r="O1182" s="11">
        <f t="shared" si="186"/>
        <v>0.19</v>
      </c>
      <c r="P1182" s="12">
        <f t="shared" si="187"/>
        <v>4.99999999995282E-4</v>
      </c>
      <c r="Q1182" s="17" t="str">
        <f t="shared" si="189"/>
        <v>Ecart positif</v>
      </c>
      <c r="R1182" s="38"/>
    </row>
    <row r="1183" spans="1:18" x14ac:dyDescent="0.3">
      <c r="A1183" s="34" t="str">
        <f>base!J1183</f>
        <v>LS</v>
      </c>
      <c r="B1183" s="34" t="str">
        <f>base!V1183</f>
        <v>06340</v>
      </c>
      <c r="C1183" s="37">
        <v>6</v>
      </c>
      <c r="D1183" s="36">
        <f>base!H1183</f>
        <v>40</v>
      </c>
      <c r="E1183" s="44"/>
      <c r="F1183" s="16">
        <f>base!W1183</f>
        <v>12</v>
      </c>
      <c r="G1183" s="11">
        <f t="shared" si="180"/>
        <v>0.3</v>
      </c>
      <c r="H1183" s="11">
        <f t="shared" si="181"/>
        <v>12</v>
      </c>
      <c r="I1183" s="11">
        <f t="shared" si="182"/>
        <v>0.3</v>
      </c>
      <c r="J1183" s="12">
        <f t="shared" si="183"/>
        <v>0</v>
      </c>
      <c r="K1183" s="17" t="str">
        <f t="shared" si="188"/>
        <v>Pas d'écart</v>
      </c>
      <c r="L1183" s="16">
        <f>base!X1183</f>
        <v>0</v>
      </c>
      <c r="M1183" s="11">
        <f t="shared" si="184"/>
        <v>0</v>
      </c>
      <c r="N1183" s="11">
        <f t="shared" si="185"/>
        <v>8.4</v>
      </c>
      <c r="O1183" s="11">
        <f t="shared" si="186"/>
        <v>0.21000000000000002</v>
      </c>
      <c r="P1183" s="12">
        <f t="shared" si="187"/>
        <v>-8.4</v>
      </c>
      <c r="Q1183" s="17" t="str">
        <f t="shared" si="189"/>
        <v>Ecart négatif</v>
      </c>
    </row>
    <row r="1184" spans="1:18" x14ac:dyDescent="0.3">
      <c r="A1184" s="34" t="str">
        <f>base!J1184</f>
        <v>RS</v>
      </c>
      <c r="B1184" s="34" t="str">
        <f>base!V1184</f>
        <v>13090</v>
      </c>
      <c r="C1184" s="37">
        <v>13</v>
      </c>
      <c r="D1184" s="36">
        <f>base!H1184</f>
        <v>27</v>
      </c>
      <c r="E1184" s="44"/>
      <c r="F1184" s="16">
        <f>base!W1184</f>
        <v>0</v>
      </c>
      <c r="G1184" s="11">
        <f t="shared" si="180"/>
        <v>0</v>
      </c>
      <c r="H1184" s="11">
        <f t="shared" si="181"/>
        <v>7.8299999999999992</v>
      </c>
      <c r="I1184" s="11">
        <f t="shared" si="182"/>
        <v>0.28999999999999998</v>
      </c>
      <c r="J1184" s="12">
        <f t="shared" si="183"/>
        <v>-7.8299999999999992</v>
      </c>
      <c r="K1184" s="17" t="str">
        <f t="shared" si="188"/>
        <v>Ecart négatif</v>
      </c>
      <c r="L1184" s="16">
        <f>base!X1184</f>
        <v>5.13</v>
      </c>
      <c r="M1184" s="11">
        <f t="shared" si="184"/>
        <v>0.19</v>
      </c>
      <c r="N1184" s="11">
        <f t="shared" si="185"/>
        <v>5.13</v>
      </c>
      <c r="O1184" s="11">
        <f t="shared" si="186"/>
        <v>0.19</v>
      </c>
      <c r="P1184" s="12">
        <f t="shared" si="187"/>
        <v>0</v>
      </c>
      <c r="Q1184" s="17" t="str">
        <f t="shared" si="189"/>
        <v>Pas d'écart</v>
      </c>
      <c r="R1184" s="38"/>
    </row>
    <row r="1185" spans="1:18" x14ac:dyDescent="0.3">
      <c r="A1185" s="34" t="str">
        <f>base!J1185</f>
        <v>LM</v>
      </c>
      <c r="B1185" s="34" t="str">
        <f>base!V1185</f>
        <v>35044</v>
      </c>
      <c r="C1185" s="37">
        <v>27</v>
      </c>
      <c r="D1185" s="36">
        <f>base!H1185</f>
        <v>137.43</v>
      </c>
      <c r="E1185" s="44"/>
      <c r="F1185" s="16">
        <f>base!W1185</f>
        <v>37.11</v>
      </c>
      <c r="G1185" s="11">
        <f t="shared" si="180"/>
        <v>0.27002837808338787</v>
      </c>
      <c r="H1185" s="11">
        <f t="shared" si="181"/>
        <v>23.363100000000003</v>
      </c>
      <c r="I1185" s="11">
        <f t="shared" si="182"/>
        <v>0.17</v>
      </c>
      <c r="J1185" s="12">
        <f t="shared" si="183"/>
        <v>13.746899999999997</v>
      </c>
      <c r="K1185" s="17" t="str">
        <f t="shared" si="188"/>
        <v>Ecart positif</v>
      </c>
      <c r="L1185" s="16">
        <f>base!X1185</f>
        <v>0</v>
      </c>
      <c r="M1185" s="11">
        <f t="shared" si="184"/>
        <v>0</v>
      </c>
      <c r="N1185" s="11">
        <f t="shared" si="185"/>
        <v>23.363100000000003</v>
      </c>
      <c r="O1185" s="11">
        <f t="shared" si="186"/>
        <v>0.17</v>
      </c>
      <c r="P1185" s="12">
        <f t="shared" si="187"/>
        <v>-23.363100000000003</v>
      </c>
      <c r="Q1185" s="17" t="str">
        <f t="shared" si="189"/>
        <v>Ecart négatif</v>
      </c>
    </row>
    <row r="1186" spans="1:18" x14ac:dyDescent="0.3">
      <c r="A1186" s="34" t="str">
        <f>base!J1186</f>
        <v>LM</v>
      </c>
      <c r="B1186" s="34" t="str">
        <f>base!V1186</f>
        <v>42160</v>
      </c>
      <c r="C1186" s="37">
        <v>27</v>
      </c>
      <c r="D1186" s="36">
        <f>base!H1186</f>
        <v>112.08</v>
      </c>
      <c r="E1186" s="44"/>
      <c r="F1186" s="16">
        <f>base!W1186</f>
        <v>30.26</v>
      </c>
      <c r="G1186" s="11">
        <f t="shared" si="180"/>
        <v>0.26998572448251251</v>
      </c>
      <c r="H1186" s="11">
        <f t="shared" si="181"/>
        <v>19.053599999999999</v>
      </c>
      <c r="I1186" s="11">
        <f t="shared" si="182"/>
        <v>0.16999999999999998</v>
      </c>
      <c r="J1186" s="12">
        <f t="shared" si="183"/>
        <v>11.206400000000002</v>
      </c>
      <c r="K1186" s="17" t="str">
        <f t="shared" si="188"/>
        <v>Ecart positif</v>
      </c>
      <c r="L1186" s="16">
        <f>base!X1186</f>
        <v>0</v>
      </c>
      <c r="M1186" s="11">
        <f t="shared" si="184"/>
        <v>0</v>
      </c>
      <c r="N1186" s="11">
        <f t="shared" si="185"/>
        <v>19.053599999999999</v>
      </c>
      <c r="O1186" s="11">
        <f t="shared" si="186"/>
        <v>0.16999999999999998</v>
      </c>
      <c r="P1186" s="12">
        <f t="shared" si="187"/>
        <v>-19.053599999999999</v>
      </c>
      <c r="Q1186" s="17" t="str">
        <f t="shared" si="189"/>
        <v>Ecart négatif</v>
      </c>
    </row>
    <row r="1187" spans="1:18" x14ac:dyDescent="0.3">
      <c r="A1187" s="34" t="str">
        <f>base!J1187</f>
        <v>LS</v>
      </c>
      <c r="B1187" s="34" t="str">
        <f>base!V1187</f>
        <v>22400</v>
      </c>
      <c r="C1187" s="37">
        <v>14</v>
      </c>
      <c r="D1187" s="36">
        <f>base!H1187</f>
        <v>102.68</v>
      </c>
      <c r="E1187" s="44"/>
      <c r="F1187" s="16">
        <f>base!W1187</f>
        <v>40.049999999999997</v>
      </c>
      <c r="G1187" s="11">
        <f t="shared" si="180"/>
        <v>0.39004674717569143</v>
      </c>
      <c r="H1187" s="11">
        <f t="shared" si="181"/>
        <v>17.455600000000004</v>
      </c>
      <c r="I1187" s="11">
        <f t="shared" si="182"/>
        <v>0.17000000000000004</v>
      </c>
      <c r="J1187" s="12">
        <f t="shared" si="183"/>
        <v>22.594399999999993</v>
      </c>
      <c r="K1187" s="17" t="str">
        <f t="shared" si="188"/>
        <v>Ecart positif</v>
      </c>
      <c r="L1187" s="16">
        <f>base!X1187</f>
        <v>0</v>
      </c>
      <c r="M1187" s="11">
        <f t="shared" si="184"/>
        <v>0</v>
      </c>
      <c r="N1187" s="11">
        <f t="shared" si="185"/>
        <v>17.455600000000004</v>
      </c>
      <c r="O1187" s="11">
        <f t="shared" si="186"/>
        <v>0.17000000000000004</v>
      </c>
      <c r="P1187" s="12">
        <f t="shared" si="187"/>
        <v>-17.455600000000004</v>
      </c>
      <c r="Q1187" s="17" t="str">
        <f t="shared" si="189"/>
        <v>Ecart négatif</v>
      </c>
    </row>
    <row r="1188" spans="1:18" x14ac:dyDescent="0.3">
      <c r="A1188" s="34" t="str">
        <f>base!J1188</f>
        <v>RM</v>
      </c>
      <c r="B1188" s="34" t="str">
        <f>base!V1188</f>
        <v>30700</v>
      </c>
      <c r="C1188" s="37">
        <v>30</v>
      </c>
      <c r="D1188" s="36">
        <f>base!H1188</f>
        <v>38.54</v>
      </c>
      <c r="E1188" s="44"/>
      <c r="F1188" s="16">
        <f>base!W1188</f>
        <v>0</v>
      </c>
      <c r="G1188" s="11">
        <f t="shared" si="180"/>
        <v>0</v>
      </c>
      <c r="H1188" s="11">
        <f t="shared" si="181"/>
        <v>15.0306</v>
      </c>
      <c r="I1188" s="11">
        <f t="shared" si="182"/>
        <v>0.39</v>
      </c>
      <c r="J1188" s="12">
        <f t="shared" si="183"/>
        <v>-15.0306</v>
      </c>
      <c r="K1188" s="17" t="str">
        <f t="shared" si="188"/>
        <v>Ecart négatif</v>
      </c>
      <c r="L1188" s="16">
        <f>base!X1188</f>
        <v>10.79</v>
      </c>
      <c r="M1188" s="11">
        <f t="shared" si="184"/>
        <v>0.27996886351842243</v>
      </c>
      <c r="N1188" s="11">
        <f t="shared" si="185"/>
        <v>10.7912</v>
      </c>
      <c r="O1188" s="11">
        <f t="shared" si="186"/>
        <v>0.28000000000000003</v>
      </c>
      <c r="P1188" s="12">
        <f t="shared" si="187"/>
        <v>-1.200000000000756E-3</v>
      </c>
      <c r="Q1188" s="17" t="str">
        <f t="shared" si="189"/>
        <v>Ecart négatif</v>
      </c>
      <c r="R1188" s="38"/>
    </row>
    <row r="1189" spans="1:18" x14ac:dyDescent="0.3">
      <c r="A1189" s="34" t="str">
        <f>base!J1189</f>
        <v>RM</v>
      </c>
      <c r="B1189" s="34" t="str">
        <f>base!V1189</f>
        <v>14200</v>
      </c>
      <c r="C1189" s="37">
        <v>14</v>
      </c>
      <c r="D1189" s="36">
        <f>base!H1189</f>
        <v>114</v>
      </c>
      <c r="E1189" s="44"/>
      <c r="F1189" s="16">
        <f>base!W1189</f>
        <v>0</v>
      </c>
      <c r="G1189" s="11">
        <f t="shared" si="180"/>
        <v>0</v>
      </c>
      <c r="H1189" s="11">
        <f t="shared" si="181"/>
        <v>19.380000000000003</v>
      </c>
      <c r="I1189" s="11">
        <f t="shared" si="182"/>
        <v>0.17</v>
      </c>
      <c r="J1189" s="12">
        <f t="shared" si="183"/>
        <v>-19.380000000000003</v>
      </c>
      <c r="K1189" s="17" t="str">
        <f t="shared" si="188"/>
        <v>Ecart négatif</v>
      </c>
      <c r="L1189" s="16">
        <f>base!X1189</f>
        <v>19.38</v>
      </c>
      <c r="M1189" s="11">
        <f t="shared" si="184"/>
        <v>0.16999999999999998</v>
      </c>
      <c r="N1189" s="11">
        <f t="shared" si="185"/>
        <v>19.380000000000003</v>
      </c>
      <c r="O1189" s="11">
        <f t="shared" si="186"/>
        <v>0.17</v>
      </c>
      <c r="P1189" s="12">
        <f t="shared" si="187"/>
        <v>0</v>
      </c>
      <c r="Q1189" s="17" t="str">
        <f t="shared" si="189"/>
        <v>Pas d'écart</v>
      </c>
      <c r="R1189" s="38"/>
    </row>
    <row r="1190" spans="1:18" x14ac:dyDescent="0.3">
      <c r="A1190" s="34" t="str">
        <f>base!J1190</f>
        <v>RS</v>
      </c>
      <c r="B1190" s="34" t="str">
        <f>base!V1190</f>
        <v>66700</v>
      </c>
      <c r="C1190" s="37">
        <v>66</v>
      </c>
      <c r="D1190" s="36">
        <f>base!H1190</f>
        <v>40</v>
      </c>
      <c r="E1190" s="44"/>
      <c r="F1190" s="16">
        <f>base!W1190</f>
        <v>0</v>
      </c>
      <c r="G1190" s="11">
        <f t="shared" si="180"/>
        <v>0</v>
      </c>
      <c r="H1190" s="11">
        <f t="shared" si="181"/>
        <v>13.600000000000001</v>
      </c>
      <c r="I1190" s="11">
        <f t="shared" si="182"/>
        <v>0.34</v>
      </c>
      <c r="J1190" s="12">
        <f t="shared" si="183"/>
        <v>-13.600000000000001</v>
      </c>
      <c r="K1190" s="17" t="str">
        <f t="shared" si="188"/>
        <v>Ecart négatif</v>
      </c>
      <c r="L1190" s="16">
        <f>base!X1190</f>
        <v>11.2</v>
      </c>
      <c r="M1190" s="11">
        <f t="shared" si="184"/>
        <v>0.27999999999999997</v>
      </c>
      <c r="N1190" s="11">
        <f t="shared" si="185"/>
        <v>11.200000000000001</v>
      </c>
      <c r="O1190" s="11">
        <f t="shared" si="186"/>
        <v>0.28000000000000003</v>
      </c>
      <c r="P1190" s="12">
        <f t="shared" si="187"/>
        <v>0</v>
      </c>
      <c r="Q1190" s="17" t="str">
        <f t="shared" si="189"/>
        <v>Pas d'écart</v>
      </c>
      <c r="R1190" s="38"/>
    </row>
    <row r="1191" spans="1:18" x14ac:dyDescent="0.3">
      <c r="A1191" s="34" t="str">
        <f>base!J1191</f>
        <v>RS</v>
      </c>
      <c r="B1191" s="34" t="str">
        <f>base!V1191</f>
        <v>93200</v>
      </c>
      <c r="C1191" s="37">
        <v>93</v>
      </c>
      <c r="D1191" s="36">
        <f>base!H1191</f>
        <v>140</v>
      </c>
      <c r="E1191" s="44"/>
      <c r="F1191" s="16">
        <f>base!W1191</f>
        <v>0</v>
      </c>
      <c r="G1191" s="11">
        <f t="shared" si="180"/>
        <v>0</v>
      </c>
      <c r="H1191" s="11">
        <f t="shared" si="181"/>
        <v>0</v>
      </c>
      <c r="I1191" s="11">
        <f t="shared" si="182"/>
        <v>0</v>
      </c>
      <c r="J1191" s="12">
        <f t="shared" si="183"/>
        <v>0</v>
      </c>
      <c r="K1191" s="17" t="str">
        <f t="shared" si="188"/>
        <v>Pas d'écart</v>
      </c>
      <c r="L1191" s="16">
        <f>base!X1191</f>
        <v>0</v>
      </c>
      <c r="M1191" s="11">
        <f t="shared" si="184"/>
        <v>0</v>
      </c>
      <c r="N1191" s="11">
        <f t="shared" si="185"/>
        <v>0</v>
      </c>
      <c r="O1191" s="11">
        <f t="shared" si="186"/>
        <v>0</v>
      </c>
      <c r="P1191" s="12">
        <f t="shared" si="187"/>
        <v>0</v>
      </c>
      <c r="Q1191" s="17" t="str">
        <f t="shared" si="189"/>
        <v>Pas d'écart</v>
      </c>
    </row>
    <row r="1192" spans="1:18" x14ac:dyDescent="0.3">
      <c r="A1192" s="34">
        <f>base!J1192</f>
        <v>0</v>
      </c>
      <c r="B1192" s="34" t="str">
        <f>base!V1192</f>
        <v>77184</v>
      </c>
      <c r="C1192" s="37">
        <v>77</v>
      </c>
      <c r="D1192" s="36">
        <f>base!H1192</f>
        <v>84.5</v>
      </c>
      <c r="E1192" s="44"/>
      <c r="F1192" s="16">
        <f>base!W1192</f>
        <v>0</v>
      </c>
      <c r="G1192" s="11">
        <f t="shared" si="180"/>
        <v>0</v>
      </c>
      <c r="H1192" s="11">
        <f t="shared" si="181"/>
        <v>0</v>
      </c>
      <c r="I1192" s="11">
        <f t="shared" si="182"/>
        <v>0</v>
      </c>
      <c r="J1192" s="12">
        <f t="shared" si="183"/>
        <v>0</v>
      </c>
      <c r="K1192" s="17" t="str">
        <f t="shared" si="188"/>
        <v>Pas d'écart</v>
      </c>
      <c r="L1192" s="16">
        <f>base!X1192</f>
        <v>0</v>
      </c>
      <c r="M1192" s="11">
        <f t="shared" si="184"/>
        <v>0</v>
      </c>
      <c r="N1192" s="11">
        <f t="shared" si="185"/>
        <v>0</v>
      </c>
      <c r="O1192" s="11">
        <f t="shared" si="186"/>
        <v>0</v>
      </c>
      <c r="P1192" s="12">
        <f t="shared" si="187"/>
        <v>0</v>
      </c>
      <c r="Q1192" s="17" t="str">
        <f t="shared" si="189"/>
        <v>Pas d'écart</v>
      </c>
    </row>
    <row r="1193" spans="1:18" x14ac:dyDescent="0.3">
      <c r="A1193" s="34" t="str">
        <f>base!J1193</f>
        <v>LS</v>
      </c>
      <c r="B1193" s="34" t="str">
        <f>base!V1193</f>
        <v>29200</v>
      </c>
      <c r="C1193" s="37">
        <v>14</v>
      </c>
      <c r="D1193" s="36">
        <f>base!H1193</f>
        <v>138.12</v>
      </c>
      <c r="E1193" s="44"/>
      <c r="F1193" s="16">
        <f>base!W1193</f>
        <v>53.87</v>
      </c>
      <c r="G1193" s="11">
        <f t="shared" si="180"/>
        <v>0.39002316825948447</v>
      </c>
      <c r="H1193" s="11">
        <f t="shared" si="181"/>
        <v>23.480400000000003</v>
      </c>
      <c r="I1193" s="11">
        <f t="shared" si="182"/>
        <v>0.17</v>
      </c>
      <c r="J1193" s="12">
        <f t="shared" si="183"/>
        <v>30.389599999999994</v>
      </c>
      <c r="K1193" s="17" t="str">
        <f t="shared" si="188"/>
        <v>Ecart positif</v>
      </c>
      <c r="L1193" s="16">
        <f>base!X1193</f>
        <v>0</v>
      </c>
      <c r="M1193" s="11">
        <f t="shared" si="184"/>
        <v>0</v>
      </c>
      <c r="N1193" s="11">
        <f t="shared" si="185"/>
        <v>23.480400000000003</v>
      </c>
      <c r="O1193" s="11">
        <f t="shared" si="186"/>
        <v>0.17</v>
      </c>
      <c r="P1193" s="12">
        <f t="shared" si="187"/>
        <v>-23.480400000000003</v>
      </c>
      <c r="Q1193" s="17" t="str">
        <f t="shared" si="189"/>
        <v>Ecart négatif</v>
      </c>
    </row>
    <row r="1194" spans="1:18" x14ac:dyDescent="0.3">
      <c r="A1194" s="34" t="str">
        <f>base!J1194</f>
        <v>RM</v>
      </c>
      <c r="B1194" s="34" t="str">
        <f>base!V1194</f>
        <v>44100</v>
      </c>
      <c r="C1194" s="37">
        <v>44</v>
      </c>
      <c r="D1194" s="36">
        <f>base!H1194</f>
        <v>180</v>
      </c>
      <c r="E1194" s="44"/>
      <c r="F1194" s="16">
        <f>base!W1194</f>
        <v>0</v>
      </c>
      <c r="G1194" s="11">
        <f t="shared" si="180"/>
        <v>0</v>
      </c>
      <c r="H1194" s="11">
        <f t="shared" si="181"/>
        <v>48.6</v>
      </c>
      <c r="I1194" s="11">
        <f t="shared" si="182"/>
        <v>0.27</v>
      </c>
      <c r="J1194" s="12">
        <f t="shared" si="183"/>
        <v>-48.6</v>
      </c>
      <c r="K1194" s="17" t="str">
        <f t="shared" si="188"/>
        <v>Ecart négatif</v>
      </c>
      <c r="L1194" s="16">
        <f>base!X1194</f>
        <v>0</v>
      </c>
      <c r="M1194" s="11">
        <f t="shared" si="184"/>
        <v>0</v>
      </c>
      <c r="N1194" s="11">
        <f t="shared" si="185"/>
        <v>0</v>
      </c>
      <c r="O1194" s="11">
        <f t="shared" si="186"/>
        <v>0</v>
      </c>
      <c r="P1194" s="12">
        <f t="shared" si="187"/>
        <v>0</v>
      </c>
      <c r="Q1194" s="17" t="str">
        <f t="shared" si="189"/>
        <v>Pas d'écart</v>
      </c>
    </row>
    <row r="1195" spans="1:18" x14ac:dyDescent="0.3">
      <c r="A1195" s="34">
        <f>base!J1195</f>
        <v>0</v>
      </c>
      <c r="B1195" s="34" t="str">
        <f>base!V1195</f>
        <v>44240</v>
      </c>
      <c r="C1195" s="37">
        <v>44</v>
      </c>
      <c r="D1195" s="36">
        <f>base!H1195</f>
        <v>29.89</v>
      </c>
      <c r="E1195" s="44"/>
      <c r="F1195" s="16">
        <f>base!W1195</f>
        <v>0</v>
      </c>
      <c r="G1195" s="11">
        <f t="shared" si="180"/>
        <v>0</v>
      </c>
      <c r="H1195" s="11">
        <f t="shared" si="181"/>
        <v>8.0703000000000014</v>
      </c>
      <c r="I1195" s="11">
        <f t="shared" si="182"/>
        <v>0.27</v>
      </c>
      <c r="J1195" s="12">
        <f t="shared" si="183"/>
        <v>-8.0703000000000014</v>
      </c>
      <c r="K1195" s="17" t="str">
        <f t="shared" si="188"/>
        <v>Ecart négatif</v>
      </c>
      <c r="L1195" s="16">
        <f>base!X1195</f>
        <v>0</v>
      </c>
      <c r="M1195" s="11">
        <f t="shared" si="184"/>
        <v>0</v>
      </c>
      <c r="N1195" s="11">
        <f t="shared" si="185"/>
        <v>0</v>
      </c>
      <c r="O1195" s="11">
        <f t="shared" si="186"/>
        <v>0</v>
      </c>
      <c r="P1195" s="12">
        <f t="shared" si="187"/>
        <v>0</v>
      </c>
      <c r="Q1195" s="17" t="str">
        <f t="shared" si="189"/>
        <v>Pas d'écart</v>
      </c>
    </row>
    <row r="1196" spans="1:18" x14ac:dyDescent="0.3">
      <c r="A1196" s="34">
        <f>base!J1196</f>
        <v>0</v>
      </c>
      <c r="B1196" s="34" t="str">
        <f>base!V1196</f>
        <v>77184</v>
      </c>
      <c r="C1196" s="37">
        <v>77</v>
      </c>
      <c r="D1196" s="36">
        <f>base!H1196</f>
        <v>114</v>
      </c>
      <c r="E1196" s="44"/>
      <c r="F1196" s="16">
        <f>base!W1196</f>
        <v>0</v>
      </c>
      <c r="G1196" s="11">
        <f t="shared" si="180"/>
        <v>0</v>
      </c>
      <c r="H1196" s="11">
        <f t="shared" si="181"/>
        <v>0</v>
      </c>
      <c r="I1196" s="11">
        <f t="shared" si="182"/>
        <v>0</v>
      </c>
      <c r="J1196" s="12">
        <f t="shared" si="183"/>
        <v>0</v>
      </c>
      <c r="K1196" s="17" t="str">
        <f t="shared" si="188"/>
        <v>Pas d'écart</v>
      </c>
      <c r="L1196" s="16">
        <f>base!X1196</f>
        <v>0</v>
      </c>
      <c r="M1196" s="11">
        <f t="shared" si="184"/>
        <v>0</v>
      </c>
      <c r="N1196" s="11">
        <f t="shared" si="185"/>
        <v>0</v>
      </c>
      <c r="O1196" s="11">
        <f t="shared" si="186"/>
        <v>0</v>
      </c>
      <c r="P1196" s="12">
        <f t="shared" si="187"/>
        <v>0</v>
      </c>
      <c r="Q1196" s="17" t="str">
        <f t="shared" si="189"/>
        <v>Pas d'écart</v>
      </c>
    </row>
    <row r="1197" spans="1:18" x14ac:dyDescent="0.3">
      <c r="A1197" s="34">
        <f>base!J1197</f>
        <v>0</v>
      </c>
      <c r="B1197" s="34" t="str">
        <f>base!V1197</f>
        <v>44240</v>
      </c>
      <c r="C1197" s="37">
        <v>44</v>
      </c>
      <c r="D1197" s="36">
        <f>base!H1197</f>
        <v>93.97</v>
      </c>
      <c r="E1197" s="44"/>
      <c r="F1197" s="16">
        <f>base!W1197</f>
        <v>0</v>
      </c>
      <c r="G1197" s="11">
        <f t="shared" si="180"/>
        <v>0</v>
      </c>
      <c r="H1197" s="11">
        <f t="shared" si="181"/>
        <v>25.3719</v>
      </c>
      <c r="I1197" s="11">
        <f t="shared" si="182"/>
        <v>0.27</v>
      </c>
      <c r="J1197" s="12">
        <f t="shared" si="183"/>
        <v>-25.3719</v>
      </c>
      <c r="K1197" s="17" t="str">
        <f t="shared" si="188"/>
        <v>Ecart négatif</v>
      </c>
      <c r="L1197" s="16">
        <f>base!X1197</f>
        <v>0</v>
      </c>
      <c r="M1197" s="11">
        <f t="shared" si="184"/>
        <v>0</v>
      </c>
      <c r="N1197" s="11">
        <f t="shared" si="185"/>
        <v>0</v>
      </c>
      <c r="O1197" s="11">
        <f t="shared" si="186"/>
        <v>0</v>
      </c>
      <c r="P1197" s="12">
        <f t="shared" si="187"/>
        <v>0</v>
      </c>
      <c r="Q1197" s="17" t="str">
        <f t="shared" si="189"/>
        <v>Pas d'écart</v>
      </c>
    </row>
    <row r="1198" spans="1:18" x14ac:dyDescent="0.3">
      <c r="A1198" s="34">
        <f>base!J1198</f>
        <v>0</v>
      </c>
      <c r="B1198" s="34" t="str">
        <f>base!V1198</f>
        <v>77184</v>
      </c>
      <c r="C1198" s="37">
        <v>77</v>
      </c>
      <c r="D1198" s="36">
        <f>base!H1198</f>
        <v>175.82</v>
      </c>
      <c r="E1198" s="44"/>
      <c r="F1198" s="16">
        <f>base!W1198</f>
        <v>0</v>
      </c>
      <c r="G1198" s="11">
        <f t="shared" si="180"/>
        <v>0</v>
      </c>
      <c r="H1198" s="11">
        <f t="shared" si="181"/>
        <v>0</v>
      </c>
      <c r="I1198" s="11">
        <f t="shared" si="182"/>
        <v>0</v>
      </c>
      <c r="J1198" s="12">
        <f t="shared" si="183"/>
        <v>0</v>
      </c>
      <c r="K1198" s="17" t="str">
        <f t="shared" si="188"/>
        <v>Pas d'écart</v>
      </c>
      <c r="L1198" s="16">
        <f>base!X1198</f>
        <v>0</v>
      </c>
      <c r="M1198" s="11">
        <f t="shared" si="184"/>
        <v>0</v>
      </c>
      <c r="N1198" s="11">
        <f t="shared" si="185"/>
        <v>0</v>
      </c>
      <c r="O1198" s="11">
        <f t="shared" si="186"/>
        <v>0</v>
      </c>
      <c r="P1198" s="12">
        <f t="shared" si="187"/>
        <v>0</v>
      </c>
      <c r="Q1198" s="17" t="str">
        <f t="shared" si="189"/>
        <v>Pas d'écart</v>
      </c>
    </row>
    <row r="1199" spans="1:18" x14ac:dyDescent="0.3">
      <c r="A1199" s="34" t="str">
        <f>base!J1199</f>
        <v>LM</v>
      </c>
      <c r="B1199" s="34" t="str">
        <f>base!V1199</f>
        <v>62740</v>
      </c>
      <c r="C1199" s="37">
        <v>59</v>
      </c>
      <c r="D1199" s="36">
        <f>base!H1199</f>
        <v>211.93</v>
      </c>
      <c r="E1199" s="44"/>
      <c r="F1199" s="16">
        <f>base!W1199</f>
        <v>40.270000000000003</v>
      </c>
      <c r="G1199" s="11">
        <f t="shared" si="180"/>
        <v>0.19001557117916293</v>
      </c>
      <c r="H1199" s="11">
        <f t="shared" si="181"/>
        <v>40.2667</v>
      </c>
      <c r="I1199" s="11">
        <f t="shared" si="182"/>
        <v>0.19</v>
      </c>
      <c r="J1199" s="12">
        <f t="shared" si="183"/>
        <v>3.3000000000029672E-3</v>
      </c>
      <c r="K1199" s="17" t="str">
        <f t="shared" si="188"/>
        <v>Ecart positif</v>
      </c>
      <c r="L1199" s="16">
        <f>base!X1199</f>
        <v>0</v>
      </c>
      <c r="M1199" s="11">
        <f t="shared" si="184"/>
        <v>0</v>
      </c>
      <c r="N1199" s="11">
        <f t="shared" si="185"/>
        <v>0</v>
      </c>
      <c r="O1199" s="11">
        <f t="shared" si="186"/>
        <v>0</v>
      </c>
      <c r="P1199" s="12">
        <f t="shared" si="187"/>
        <v>0</v>
      </c>
      <c r="Q1199" s="17" t="str">
        <f t="shared" si="189"/>
        <v>Pas d'écart</v>
      </c>
    </row>
    <row r="1200" spans="1:18" x14ac:dyDescent="0.3">
      <c r="A1200" s="34" t="str">
        <f>base!J1200</f>
        <v>LM</v>
      </c>
      <c r="B1200" s="34" t="str">
        <f>base!V1200</f>
        <v>62740</v>
      </c>
      <c r="C1200" s="37">
        <v>62</v>
      </c>
      <c r="D1200" s="36">
        <f>base!H1200</f>
        <v>187.13</v>
      </c>
      <c r="E1200" s="44"/>
      <c r="F1200" s="16">
        <f>base!W1200</f>
        <v>35.549999999999997</v>
      </c>
      <c r="G1200" s="11">
        <f t="shared" si="180"/>
        <v>0.18997488377064073</v>
      </c>
      <c r="H1200" s="11">
        <f t="shared" si="181"/>
        <v>35.554699999999997</v>
      </c>
      <c r="I1200" s="11">
        <f t="shared" si="182"/>
        <v>0.18999999999999997</v>
      </c>
      <c r="J1200" s="12">
        <f t="shared" si="183"/>
        <v>-4.6999999999997044E-3</v>
      </c>
      <c r="K1200" s="17" t="str">
        <f t="shared" si="188"/>
        <v>Ecart négatif</v>
      </c>
      <c r="L1200" s="16">
        <f>base!X1200</f>
        <v>0</v>
      </c>
      <c r="M1200" s="11">
        <f t="shared" si="184"/>
        <v>0</v>
      </c>
      <c r="N1200" s="11">
        <f t="shared" si="185"/>
        <v>0</v>
      </c>
      <c r="O1200" s="11">
        <f t="shared" si="186"/>
        <v>0</v>
      </c>
      <c r="P1200" s="12">
        <f t="shared" si="187"/>
        <v>0</v>
      </c>
      <c r="Q1200" s="17" t="str">
        <f t="shared" si="189"/>
        <v>Pas d'écart</v>
      </c>
    </row>
    <row r="1201" spans="1:17" x14ac:dyDescent="0.3">
      <c r="A1201" s="34">
        <f>base!J1201</f>
        <v>0</v>
      </c>
      <c r="B1201" s="34" t="str">
        <f>base!V1201</f>
        <v>77184</v>
      </c>
      <c r="C1201" s="37">
        <v>77</v>
      </c>
      <c r="D1201" s="36">
        <f>base!H1201</f>
        <v>57</v>
      </c>
      <c r="E1201" s="44"/>
      <c r="F1201" s="16">
        <f>base!W1201</f>
        <v>0</v>
      </c>
      <c r="G1201" s="11">
        <f t="shared" si="180"/>
        <v>0</v>
      </c>
      <c r="H1201" s="11">
        <f t="shared" si="181"/>
        <v>0</v>
      </c>
      <c r="I1201" s="11">
        <f t="shared" si="182"/>
        <v>0</v>
      </c>
      <c r="J1201" s="12">
        <f t="shared" si="183"/>
        <v>0</v>
      </c>
      <c r="K1201" s="17" t="str">
        <f t="shared" si="188"/>
        <v>Pas d'écart</v>
      </c>
      <c r="L1201" s="16">
        <f>base!X1201</f>
        <v>0</v>
      </c>
      <c r="M1201" s="11">
        <f t="shared" si="184"/>
        <v>0</v>
      </c>
      <c r="N1201" s="11">
        <f t="shared" si="185"/>
        <v>0</v>
      </c>
      <c r="O1201" s="11">
        <f t="shared" si="186"/>
        <v>0</v>
      </c>
      <c r="P1201" s="12">
        <f t="shared" si="187"/>
        <v>0</v>
      </c>
      <c r="Q1201" s="17" t="str">
        <f t="shared" si="189"/>
        <v>Pas d'écart</v>
      </c>
    </row>
    <row r="1202" spans="1:17" x14ac:dyDescent="0.3">
      <c r="A1202" s="34">
        <f>base!J1202</f>
        <v>0</v>
      </c>
      <c r="B1202" s="34" t="str">
        <f>base!V1202</f>
        <v>77184</v>
      </c>
      <c r="C1202" s="37">
        <v>77</v>
      </c>
      <c r="D1202" s="36">
        <f>base!H1202</f>
        <v>135</v>
      </c>
      <c r="E1202" s="44"/>
      <c r="F1202" s="16">
        <f>base!W1202</f>
        <v>0</v>
      </c>
      <c r="G1202" s="11">
        <f t="shared" si="180"/>
        <v>0</v>
      </c>
      <c r="H1202" s="11">
        <f t="shared" si="181"/>
        <v>0</v>
      </c>
      <c r="I1202" s="11">
        <f t="shared" si="182"/>
        <v>0</v>
      </c>
      <c r="J1202" s="12">
        <f t="shared" si="183"/>
        <v>0</v>
      </c>
      <c r="K1202" s="17" t="str">
        <f t="shared" si="188"/>
        <v>Pas d'écart</v>
      </c>
      <c r="L1202" s="16">
        <f>base!X1202</f>
        <v>0</v>
      </c>
      <c r="M1202" s="11">
        <f t="shared" si="184"/>
        <v>0</v>
      </c>
      <c r="N1202" s="11">
        <f t="shared" si="185"/>
        <v>0</v>
      </c>
      <c r="O1202" s="11">
        <f t="shared" si="186"/>
        <v>0</v>
      </c>
      <c r="P1202" s="12">
        <f t="shared" si="187"/>
        <v>0</v>
      </c>
      <c r="Q1202" s="17" t="str">
        <f t="shared" si="189"/>
        <v>Pas d'écart</v>
      </c>
    </row>
    <row r="1203" spans="1:17" x14ac:dyDescent="0.3">
      <c r="A1203" s="34">
        <f>base!J1203</f>
        <v>0</v>
      </c>
      <c r="B1203" s="34" t="str">
        <f>base!V1203</f>
        <v>77184</v>
      </c>
      <c r="C1203" s="37">
        <v>77</v>
      </c>
      <c r="D1203" s="36">
        <f>base!H1203</f>
        <v>56</v>
      </c>
      <c r="E1203" s="44"/>
      <c r="F1203" s="16">
        <f>base!W1203</f>
        <v>0</v>
      </c>
      <c r="G1203" s="11">
        <f t="shared" si="180"/>
        <v>0</v>
      </c>
      <c r="H1203" s="11">
        <f t="shared" si="181"/>
        <v>0</v>
      </c>
      <c r="I1203" s="11">
        <f t="shared" si="182"/>
        <v>0</v>
      </c>
      <c r="J1203" s="12">
        <f t="shared" si="183"/>
        <v>0</v>
      </c>
      <c r="K1203" s="17" t="str">
        <f t="shared" si="188"/>
        <v>Pas d'écart</v>
      </c>
      <c r="L1203" s="16">
        <f>base!X1203</f>
        <v>0</v>
      </c>
      <c r="M1203" s="11">
        <f t="shared" si="184"/>
        <v>0</v>
      </c>
      <c r="N1203" s="11">
        <f t="shared" si="185"/>
        <v>0</v>
      </c>
      <c r="O1203" s="11">
        <f t="shared" si="186"/>
        <v>0</v>
      </c>
      <c r="P1203" s="12">
        <f t="shared" si="187"/>
        <v>0</v>
      </c>
      <c r="Q1203" s="17" t="str">
        <f t="shared" si="189"/>
        <v>Pas d'écart</v>
      </c>
    </row>
    <row r="1204" spans="1:17" x14ac:dyDescent="0.3">
      <c r="A1204" s="34">
        <f>base!J1204</f>
        <v>0</v>
      </c>
      <c r="B1204" s="34" t="str">
        <f>base!V1204</f>
        <v>77184</v>
      </c>
      <c r="C1204" s="37">
        <v>77</v>
      </c>
      <c r="D1204" s="36">
        <f>base!H1204</f>
        <v>150</v>
      </c>
      <c r="E1204" s="44"/>
      <c r="F1204" s="16">
        <f>base!W1204</f>
        <v>0</v>
      </c>
      <c r="G1204" s="11">
        <f t="shared" si="180"/>
        <v>0</v>
      </c>
      <c r="H1204" s="11">
        <f t="shared" si="181"/>
        <v>0</v>
      </c>
      <c r="I1204" s="11">
        <f t="shared" si="182"/>
        <v>0</v>
      </c>
      <c r="J1204" s="12">
        <f t="shared" si="183"/>
        <v>0</v>
      </c>
      <c r="K1204" s="17" t="str">
        <f t="shared" si="188"/>
        <v>Pas d'écart</v>
      </c>
      <c r="L1204" s="16">
        <f>base!X1204</f>
        <v>0</v>
      </c>
      <c r="M1204" s="11">
        <f t="shared" si="184"/>
        <v>0</v>
      </c>
      <c r="N1204" s="11">
        <f t="shared" si="185"/>
        <v>0</v>
      </c>
      <c r="O1204" s="11">
        <f t="shared" si="186"/>
        <v>0</v>
      </c>
      <c r="P1204" s="12">
        <f t="shared" si="187"/>
        <v>0</v>
      </c>
      <c r="Q1204" s="17" t="str">
        <f t="shared" si="189"/>
        <v>Pas d'écart</v>
      </c>
    </row>
    <row r="1205" spans="1:17" x14ac:dyDescent="0.3">
      <c r="A1205" s="34">
        <f>base!J1205</f>
        <v>0</v>
      </c>
      <c r="B1205" s="34" t="str">
        <f>base!V1205</f>
        <v>77184</v>
      </c>
      <c r="C1205" s="37">
        <v>77</v>
      </c>
      <c r="D1205" s="36">
        <f>base!H1205</f>
        <v>150</v>
      </c>
      <c r="E1205" s="44"/>
      <c r="F1205" s="16">
        <f>base!W1205</f>
        <v>0</v>
      </c>
      <c r="G1205" s="11">
        <f t="shared" si="180"/>
        <v>0</v>
      </c>
      <c r="H1205" s="11">
        <f t="shared" si="181"/>
        <v>0</v>
      </c>
      <c r="I1205" s="11">
        <f t="shared" si="182"/>
        <v>0</v>
      </c>
      <c r="J1205" s="12">
        <f t="shared" si="183"/>
        <v>0</v>
      </c>
      <c r="K1205" s="17" t="str">
        <f t="shared" si="188"/>
        <v>Pas d'écart</v>
      </c>
      <c r="L1205" s="16">
        <f>base!X1205</f>
        <v>0</v>
      </c>
      <c r="M1205" s="11">
        <f t="shared" si="184"/>
        <v>0</v>
      </c>
      <c r="N1205" s="11">
        <f t="shared" si="185"/>
        <v>0</v>
      </c>
      <c r="O1205" s="11">
        <f t="shared" si="186"/>
        <v>0</v>
      </c>
      <c r="P1205" s="12">
        <f t="shared" si="187"/>
        <v>0</v>
      </c>
      <c r="Q1205" s="17" t="str">
        <f t="shared" si="189"/>
        <v>Pas d'écart</v>
      </c>
    </row>
    <row r="1206" spans="1:17" x14ac:dyDescent="0.3">
      <c r="A1206" s="34">
        <f>base!J1206</f>
        <v>0</v>
      </c>
      <c r="B1206" s="34" t="str">
        <f>base!V1206</f>
        <v>77184</v>
      </c>
      <c r="C1206" s="37">
        <v>77</v>
      </c>
      <c r="D1206" s="36">
        <f>base!H1206</f>
        <v>150</v>
      </c>
      <c r="E1206" s="44"/>
      <c r="F1206" s="16">
        <f>base!W1206</f>
        <v>0</v>
      </c>
      <c r="G1206" s="11">
        <f t="shared" si="180"/>
        <v>0</v>
      </c>
      <c r="H1206" s="11">
        <f t="shared" si="181"/>
        <v>0</v>
      </c>
      <c r="I1206" s="11">
        <f t="shared" si="182"/>
        <v>0</v>
      </c>
      <c r="J1206" s="12">
        <f t="shared" si="183"/>
        <v>0</v>
      </c>
      <c r="K1206" s="17" t="str">
        <f t="shared" si="188"/>
        <v>Pas d'écart</v>
      </c>
      <c r="L1206" s="16">
        <f>base!X1206</f>
        <v>0</v>
      </c>
      <c r="M1206" s="11">
        <f t="shared" si="184"/>
        <v>0</v>
      </c>
      <c r="N1206" s="11">
        <f t="shared" si="185"/>
        <v>0</v>
      </c>
      <c r="O1206" s="11">
        <f t="shared" si="186"/>
        <v>0</v>
      </c>
      <c r="P1206" s="12">
        <f t="shared" si="187"/>
        <v>0</v>
      </c>
      <c r="Q1206" s="17" t="str">
        <f t="shared" si="189"/>
        <v>Pas d'écart</v>
      </c>
    </row>
    <row r="1207" spans="1:17" x14ac:dyDescent="0.3">
      <c r="A1207" s="34">
        <f>base!J1207</f>
        <v>0</v>
      </c>
      <c r="B1207" s="34" t="str">
        <f>base!V1207</f>
        <v>77184</v>
      </c>
      <c r="C1207" s="37">
        <v>77</v>
      </c>
      <c r="D1207" s="36">
        <f>base!H1207</f>
        <v>150</v>
      </c>
      <c r="E1207" s="44"/>
      <c r="F1207" s="16">
        <f>base!W1207</f>
        <v>0</v>
      </c>
      <c r="G1207" s="11">
        <f t="shared" si="180"/>
        <v>0</v>
      </c>
      <c r="H1207" s="11">
        <f t="shared" si="181"/>
        <v>0</v>
      </c>
      <c r="I1207" s="11">
        <f t="shared" si="182"/>
        <v>0</v>
      </c>
      <c r="J1207" s="12">
        <f t="shared" si="183"/>
        <v>0</v>
      </c>
      <c r="K1207" s="17" t="str">
        <f t="shared" si="188"/>
        <v>Pas d'écart</v>
      </c>
      <c r="L1207" s="16">
        <f>base!X1207</f>
        <v>0</v>
      </c>
      <c r="M1207" s="11">
        <f t="shared" si="184"/>
        <v>0</v>
      </c>
      <c r="N1207" s="11">
        <f t="shared" si="185"/>
        <v>0</v>
      </c>
      <c r="O1207" s="11">
        <f t="shared" si="186"/>
        <v>0</v>
      </c>
      <c r="P1207" s="12">
        <f t="shared" si="187"/>
        <v>0</v>
      </c>
      <c r="Q1207" s="17" t="str">
        <f t="shared" si="189"/>
        <v>Pas d'écart</v>
      </c>
    </row>
    <row r="1208" spans="1:17" x14ac:dyDescent="0.3">
      <c r="A1208" s="34">
        <f>base!J1208</f>
        <v>0</v>
      </c>
      <c r="B1208" s="34" t="str">
        <f>base!V1208</f>
        <v>77184</v>
      </c>
      <c r="C1208" s="37">
        <v>77</v>
      </c>
      <c r="D1208" s="36">
        <f>base!H1208</f>
        <v>84.5</v>
      </c>
      <c r="E1208" s="44"/>
      <c r="F1208" s="16">
        <f>base!W1208</f>
        <v>0</v>
      </c>
      <c r="G1208" s="11">
        <f t="shared" si="180"/>
        <v>0</v>
      </c>
      <c r="H1208" s="11">
        <f t="shared" si="181"/>
        <v>0</v>
      </c>
      <c r="I1208" s="11">
        <f t="shared" si="182"/>
        <v>0</v>
      </c>
      <c r="J1208" s="12">
        <f t="shared" si="183"/>
        <v>0</v>
      </c>
      <c r="K1208" s="17" t="str">
        <f t="shared" si="188"/>
        <v>Pas d'écart</v>
      </c>
      <c r="L1208" s="16">
        <f>base!X1208</f>
        <v>0</v>
      </c>
      <c r="M1208" s="11">
        <f t="shared" si="184"/>
        <v>0</v>
      </c>
      <c r="N1208" s="11">
        <f t="shared" si="185"/>
        <v>0</v>
      </c>
      <c r="O1208" s="11">
        <f t="shared" si="186"/>
        <v>0</v>
      </c>
      <c r="P1208" s="12">
        <f t="shared" si="187"/>
        <v>0</v>
      </c>
      <c r="Q1208" s="17" t="str">
        <f t="shared" si="189"/>
        <v>Pas d'écart</v>
      </c>
    </row>
    <row r="1209" spans="1:17" x14ac:dyDescent="0.3">
      <c r="A1209" s="34">
        <f>base!J1209</f>
        <v>0</v>
      </c>
      <c r="B1209" s="34" t="str">
        <f>base!V1209</f>
        <v>77184</v>
      </c>
      <c r="C1209" s="37">
        <v>77</v>
      </c>
      <c r="D1209" s="36">
        <f>base!H1209</f>
        <v>171</v>
      </c>
      <c r="E1209" s="44"/>
      <c r="F1209" s="16">
        <f>base!W1209</f>
        <v>0</v>
      </c>
      <c r="G1209" s="11">
        <f t="shared" si="180"/>
        <v>0</v>
      </c>
      <c r="H1209" s="11">
        <f t="shared" si="181"/>
        <v>0</v>
      </c>
      <c r="I1209" s="11">
        <f t="shared" si="182"/>
        <v>0</v>
      </c>
      <c r="J1209" s="12">
        <f t="shared" si="183"/>
        <v>0</v>
      </c>
      <c r="K1209" s="17" t="str">
        <f t="shared" si="188"/>
        <v>Pas d'écart</v>
      </c>
      <c r="L1209" s="16">
        <f>base!X1209</f>
        <v>0</v>
      </c>
      <c r="M1209" s="11">
        <f t="shared" si="184"/>
        <v>0</v>
      </c>
      <c r="N1209" s="11">
        <f t="shared" si="185"/>
        <v>0</v>
      </c>
      <c r="O1209" s="11">
        <f t="shared" si="186"/>
        <v>0</v>
      </c>
      <c r="P1209" s="12">
        <f t="shared" si="187"/>
        <v>0</v>
      </c>
      <c r="Q1209" s="17" t="str">
        <f t="shared" si="189"/>
        <v>Pas d'écart</v>
      </c>
    </row>
    <row r="1210" spans="1:17" x14ac:dyDescent="0.3">
      <c r="A1210" s="34">
        <f>base!J1210</f>
        <v>0</v>
      </c>
      <c r="B1210" s="34" t="str">
        <f>base!V1210</f>
        <v>77184</v>
      </c>
      <c r="C1210" s="37">
        <v>77</v>
      </c>
      <c r="D1210" s="36">
        <f>base!H1210</f>
        <v>171</v>
      </c>
      <c r="E1210" s="44"/>
      <c r="F1210" s="16">
        <f>base!W1210</f>
        <v>0</v>
      </c>
      <c r="G1210" s="11">
        <f t="shared" si="180"/>
        <v>0</v>
      </c>
      <c r="H1210" s="11">
        <f t="shared" si="181"/>
        <v>0</v>
      </c>
      <c r="I1210" s="11">
        <f t="shared" si="182"/>
        <v>0</v>
      </c>
      <c r="J1210" s="12">
        <f t="shared" si="183"/>
        <v>0</v>
      </c>
      <c r="K1210" s="17" t="str">
        <f t="shared" si="188"/>
        <v>Pas d'écart</v>
      </c>
      <c r="L1210" s="16">
        <f>base!X1210</f>
        <v>0</v>
      </c>
      <c r="M1210" s="11">
        <f t="shared" si="184"/>
        <v>0</v>
      </c>
      <c r="N1210" s="11">
        <f t="shared" si="185"/>
        <v>0</v>
      </c>
      <c r="O1210" s="11">
        <f t="shared" si="186"/>
        <v>0</v>
      </c>
      <c r="P1210" s="12">
        <f t="shared" si="187"/>
        <v>0</v>
      </c>
      <c r="Q1210" s="17" t="str">
        <f t="shared" si="189"/>
        <v>Pas d'écart</v>
      </c>
    </row>
    <row r="1211" spans="1:17" x14ac:dyDescent="0.3">
      <c r="A1211" s="34">
        <f>base!J1211</f>
        <v>0</v>
      </c>
      <c r="B1211" s="34" t="str">
        <f>base!V1211</f>
        <v>77184</v>
      </c>
      <c r="C1211" s="37">
        <v>77</v>
      </c>
      <c r="D1211" s="36">
        <f>base!H1211</f>
        <v>171</v>
      </c>
      <c r="E1211" s="44"/>
      <c r="F1211" s="16">
        <f>base!W1211</f>
        <v>0</v>
      </c>
      <c r="G1211" s="11">
        <f t="shared" si="180"/>
        <v>0</v>
      </c>
      <c r="H1211" s="11">
        <f t="shared" si="181"/>
        <v>0</v>
      </c>
      <c r="I1211" s="11">
        <f t="shared" si="182"/>
        <v>0</v>
      </c>
      <c r="J1211" s="12">
        <f t="shared" si="183"/>
        <v>0</v>
      </c>
      <c r="K1211" s="17" t="str">
        <f t="shared" si="188"/>
        <v>Pas d'écart</v>
      </c>
      <c r="L1211" s="16">
        <f>base!X1211</f>
        <v>0</v>
      </c>
      <c r="M1211" s="11">
        <f t="shared" si="184"/>
        <v>0</v>
      </c>
      <c r="N1211" s="11">
        <f t="shared" si="185"/>
        <v>0</v>
      </c>
      <c r="O1211" s="11">
        <f t="shared" si="186"/>
        <v>0</v>
      </c>
      <c r="P1211" s="12">
        <f t="shared" si="187"/>
        <v>0</v>
      </c>
      <c r="Q1211" s="17" t="str">
        <f t="shared" si="189"/>
        <v>Pas d'écart</v>
      </c>
    </row>
    <row r="1212" spans="1:17" x14ac:dyDescent="0.3">
      <c r="A1212" s="34">
        <f>base!J1212</f>
        <v>0</v>
      </c>
      <c r="B1212" s="34" t="str">
        <f>base!V1212</f>
        <v>77184</v>
      </c>
      <c r="C1212" s="37">
        <v>77</v>
      </c>
      <c r="D1212" s="36">
        <f>base!H1212</f>
        <v>171</v>
      </c>
      <c r="E1212" s="44"/>
      <c r="F1212" s="16">
        <f>base!W1212</f>
        <v>0</v>
      </c>
      <c r="G1212" s="11">
        <f t="shared" si="180"/>
        <v>0</v>
      </c>
      <c r="H1212" s="11">
        <f t="shared" si="181"/>
        <v>0</v>
      </c>
      <c r="I1212" s="11">
        <f t="shared" si="182"/>
        <v>0</v>
      </c>
      <c r="J1212" s="12">
        <f t="shared" si="183"/>
        <v>0</v>
      </c>
      <c r="K1212" s="17" t="str">
        <f t="shared" si="188"/>
        <v>Pas d'écart</v>
      </c>
      <c r="L1212" s="16">
        <f>base!X1212</f>
        <v>0</v>
      </c>
      <c r="M1212" s="11">
        <f t="shared" si="184"/>
        <v>0</v>
      </c>
      <c r="N1212" s="11">
        <f t="shared" si="185"/>
        <v>0</v>
      </c>
      <c r="O1212" s="11">
        <f t="shared" si="186"/>
        <v>0</v>
      </c>
      <c r="P1212" s="12">
        <f t="shared" si="187"/>
        <v>0</v>
      </c>
      <c r="Q1212" s="17" t="str">
        <f t="shared" si="189"/>
        <v>Pas d'écart</v>
      </c>
    </row>
    <row r="1213" spans="1:17" x14ac:dyDescent="0.3">
      <c r="A1213" s="34" t="str">
        <f>base!J1213</f>
        <v>LM</v>
      </c>
      <c r="B1213" s="34" t="str">
        <f>base!V1213</f>
        <v>89100</v>
      </c>
      <c r="C1213" s="37">
        <v>76</v>
      </c>
      <c r="D1213" s="36">
        <f>base!H1213</f>
        <v>86.45</v>
      </c>
      <c r="E1213" s="44"/>
      <c r="F1213" s="16">
        <f>base!W1213</f>
        <v>20.75</v>
      </c>
      <c r="G1213" s="11">
        <f t="shared" si="180"/>
        <v>0.24002313475997686</v>
      </c>
      <c r="H1213" s="11">
        <f t="shared" si="181"/>
        <v>14.696500000000002</v>
      </c>
      <c r="I1213" s="11">
        <f t="shared" si="182"/>
        <v>0.17</v>
      </c>
      <c r="J1213" s="12">
        <f t="shared" si="183"/>
        <v>6.0534999999999979</v>
      </c>
      <c r="K1213" s="17" t="str">
        <f t="shared" si="188"/>
        <v>Ecart positif</v>
      </c>
      <c r="L1213" s="16">
        <f>base!X1213</f>
        <v>0</v>
      </c>
      <c r="M1213" s="11">
        <f t="shared" si="184"/>
        <v>0</v>
      </c>
      <c r="N1213" s="11">
        <f t="shared" si="185"/>
        <v>14.696500000000002</v>
      </c>
      <c r="O1213" s="11">
        <f t="shared" si="186"/>
        <v>0.17</v>
      </c>
      <c r="P1213" s="12">
        <f t="shared" si="187"/>
        <v>-14.696500000000002</v>
      </c>
      <c r="Q1213" s="17" t="str">
        <f t="shared" si="189"/>
        <v>Ecart négatif</v>
      </c>
    </row>
    <row r="1214" spans="1:17" x14ac:dyDescent="0.3">
      <c r="A1214" s="34" t="str">
        <f>base!J1214</f>
        <v>RS</v>
      </c>
      <c r="B1214" s="34" t="str">
        <f>base!V1214</f>
        <v>76600</v>
      </c>
      <c r="C1214" s="37">
        <v>76</v>
      </c>
      <c r="D1214" s="36">
        <f>base!H1214</f>
        <v>140</v>
      </c>
      <c r="E1214" s="44"/>
      <c r="F1214" s="16">
        <f>base!W1214</f>
        <v>0</v>
      </c>
      <c r="G1214" s="11">
        <f t="shared" si="180"/>
        <v>0</v>
      </c>
      <c r="H1214" s="11">
        <f t="shared" si="181"/>
        <v>23.8</v>
      </c>
      <c r="I1214" s="11">
        <f t="shared" si="182"/>
        <v>0.17</v>
      </c>
      <c r="J1214" s="12">
        <f t="shared" si="183"/>
        <v>-23.8</v>
      </c>
      <c r="K1214" s="17" t="str">
        <f t="shared" si="188"/>
        <v>Ecart négatif</v>
      </c>
      <c r="L1214" s="16">
        <f>base!X1214</f>
        <v>23.8</v>
      </c>
      <c r="M1214" s="11">
        <f t="shared" si="184"/>
        <v>0.17</v>
      </c>
      <c r="N1214" s="11">
        <f t="shared" si="185"/>
        <v>23.8</v>
      </c>
      <c r="O1214" s="11">
        <f t="shared" si="186"/>
        <v>0.17</v>
      </c>
      <c r="P1214" s="12">
        <f t="shared" si="187"/>
        <v>0</v>
      </c>
      <c r="Q1214" s="17" t="str">
        <f t="shared" si="189"/>
        <v>Pas d'écart</v>
      </c>
    </row>
    <row r="1215" spans="1:17" x14ac:dyDescent="0.3">
      <c r="A1215" s="34" t="str">
        <f>base!J1215</f>
        <v>DRM</v>
      </c>
      <c r="B1215" s="34" t="str">
        <f>base!V1215</f>
        <v>50640</v>
      </c>
      <c r="C1215" s="37">
        <v>50</v>
      </c>
      <c r="D1215" s="36">
        <f>base!H1215</f>
        <v>86.54</v>
      </c>
      <c r="E1215" s="44"/>
      <c r="F1215" s="16">
        <f>base!W1215</f>
        <v>0</v>
      </c>
      <c r="G1215" s="11">
        <f t="shared" si="180"/>
        <v>0</v>
      </c>
      <c r="H1215" s="11">
        <f t="shared" si="181"/>
        <v>14.711800000000002</v>
      </c>
      <c r="I1215" s="11">
        <f t="shared" si="182"/>
        <v>0.17</v>
      </c>
      <c r="J1215" s="12">
        <f t="shared" si="183"/>
        <v>-14.711800000000002</v>
      </c>
      <c r="K1215" s="17" t="str">
        <f t="shared" si="188"/>
        <v>Ecart négatif</v>
      </c>
      <c r="L1215" s="16">
        <f>base!X1215</f>
        <v>0</v>
      </c>
      <c r="M1215" s="11">
        <f t="shared" si="184"/>
        <v>0</v>
      </c>
      <c r="N1215" s="11">
        <f t="shared" si="185"/>
        <v>14.711800000000002</v>
      </c>
      <c r="O1215" s="11">
        <f t="shared" si="186"/>
        <v>0.17</v>
      </c>
      <c r="P1215" s="12">
        <f t="shared" si="187"/>
        <v>-14.711800000000002</v>
      </c>
      <c r="Q1215" s="17" t="str">
        <f t="shared" si="189"/>
        <v>Ecart négatif</v>
      </c>
    </row>
    <row r="1216" spans="1:17" x14ac:dyDescent="0.3">
      <c r="A1216" s="34">
        <f>base!J1216</f>
        <v>0</v>
      </c>
      <c r="B1216" s="34" t="str">
        <f>base!V1216</f>
        <v>77184</v>
      </c>
      <c r="C1216" s="37">
        <v>77</v>
      </c>
      <c r="D1216" s="36">
        <f>base!H1216</f>
        <v>85</v>
      </c>
      <c r="E1216" s="44"/>
      <c r="F1216" s="16">
        <f>base!W1216</f>
        <v>0</v>
      </c>
      <c r="G1216" s="11">
        <f t="shared" si="180"/>
        <v>0</v>
      </c>
      <c r="H1216" s="11">
        <f t="shared" si="181"/>
        <v>0</v>
      </c>
      <c r="I1216" s="11">
        <f t="shared" si="182"/>
        <v>0</v>
      </c>
      <c r="J1216" s="12">
        <f t="shared" si="183"/>
        <v>0</v>
      </c>
      <c r="K1216" s="17" t="str">
        <f t="shared" si="188"/>
        <v>Pas d'écart</v>
      </c>
      <c r="L1216" s="16">
        <f>base!X1216</f>
        <v>0</v>
      </c>
      <c r="M1216" s="11">
        <f t="shared" si="184"/>
        <v>0</v>
      </c>
      <c r="N1216" s="11">
        <f t="shared" si="185"/>
        <v>0</v>
      </c>
      <c r="O1216" s="11">
        <f t="shared" si="186"/>
        <v>0</v>
      </c>
      <c r="P1216" s="12">
        <f t="shared" si="187"/>
        <v>0</v>
      </c>
      <c r="Q1216" s="17" t="str">
        <f t="shared" si="189"/>
        <v>Pas d'écart</v>
      </c>
    </row>
    <row r="1217" spans="1:18" x14ac:dyDescent="0.3">
      <c r="A1217" s="34" t="str">
        <f>base!J1217</f>
        <v>RS</v>
      </c>
      <c r="B1217" s="34" t="str">
        <f>base!V1217</f>
        <v>94000</v>
      </c>
      <c r="C1217" s="37">
        <v>94</v>
      </c>
      <c r="D1217" s="36">
        <f>base!H1217</f>
        <v>38.770000000000003</v>
      </c>
      <c r="E1217" s="44"/>
      <c r="F1217" s="16">
        <f>base!W1217</f>
        <v>0</v>
      </c>
      <c r="G1217" s="11">
        <f t="shared" si="180"/>
        <v>0</v>
      </c>
      <c r="H1217" s="11">
        <f t="shared" si="181"/>
        <v>0</v>
      </c>
      <c r="I1217" s="11">
        <f t="shared" si="182"/>
        <v>0</v>
      </c>
      <c r="J1217" s="12">
        <f t="shared" si="183"/>
        <v>0</v>
      </c>
      <c r="K1217" s="17" t="str">
        <f t="shared" si="188"/>
        <v>Pas d'écart</v>
      </c>
      <c r="L1217" s="16">
        <f>base!X1217</f>
        <v>0</v>
      </c>
      <c r="M1217" s="11">
        <f t="shared" si="184"/>
        <v>0</v>
      </c>
      <c r="N1217" s="11">
        <f t="shared" si="185"/>
        <v>0</v>
      </c>
      <c r="O1217" s="11">
        <f t="shared" si="186"/>
        <v>0</v>
      </c>
      <c r="P1217" s="12">
        <f t="shared" si="187"/>
        <v>0</v>
      </c>
      <c r="Q1217" s="17" t="str">
        <f t="shared" si="189"/>
        <v>Pas d'écart</v>
      </c>
    </row>
    <row r="1218" spans="1:18" x14ac:dyDescent="0.3">
      <c r="A1218" s="34">
        <f>base!J1218</f>
        <v>0</v>
      </c>
      <c r="B1218" s="34" t="str">
        <f>base!V1218</f>
        <v>77184</v>
      </c>
      <c r="C1218" s="37">
        <v>77</v>
      </c>
      <c r="D1218" s="36">
        <f>base!H1218</f>
        <v>22</v>
      </c>
      <c r="E1218" s="44"/>
      <c r="F1218" s="16">
        <f>base!W1218</f>
        <v>0</v>
      </c>
      <c r="G1218" s="11">
        <f t="shared" ref="G1218:G1281" si="190">F1218/D1218</f>
        <v>0</v>
      </c>
      <c r="H1218" s="11">
        <f t="shared" ref="H1218:H1281" si="191">VLOOKUP(C1218,tout_cout_traction,2,FALSE)*D1218</f>
        <v>0</v>
      </c>
      <c r="I1218" s="11">
        <f t="shared" ref="I1218:I1281" si="192">H1218/D1218</f>
        <v>0</v>
      </c>
      <c r="J1218" s="12">
        <f t="shared" ref="J1218:J1281" si="193">F1218-H1218</f>
        <v>0</v>
      </c>
      <c r="K1218" s="17" t="str">
        <f t="shared" si="188"/>
        <v>Pas d'écart</v>
      </c>
      <c r="L1218" s="16">
        <f>base!X1218</f>
        <v>0</v>
      </c>
      <c r="M1218" s="11">
        <f t="shared" ref="M1218:M1281" si="194">L1218/D1218</f>
        <v>0</v>
      </c>
      <c r="N1218" s="11">
        <f t="shared" ref="N1218:N1281" si="195">VLOOKUP(C1218,tout_cout_traction,3,FALSE)*D1218</f>
        <v>0</v>
      </c>
      <c r="O1218" s="11">
        <f t="shared" ref="O1218:O1281" si="196">N1218/D1218</f>
        <v>0</v>
      </c>
      <c r="P1218" s="12">
        <f t="shared" ref="P1218:P1281" si="197">L1218-N1218</f>
        <v>0</v>
      </c>
      <c r="Q1218" s="17" t="str">
        <f t="shared" si="189"/>
        <v>Pas d'écart</v>
      </c>
    </row>
    <row r="1219" spans="1:18" x14ac:dyDescent="0.3">
      <c r="A1219" s="34">
        <f>base!J1219</f>
        <v>0</v>
      </c>
      <c r="B1219" s="34" t="str">
        <f>base!V1219</f>
        <v>77184</v>
      </c>
      <c r="C1219" s="37">
        <v>77</v>
      </c>
      <c r="D1219" s="36">
        <f>base!H1219</f>
        <v>33.630000000000003</v>
      </c>
      <c r="E1219" s="44"/>
      <c r="F1219" s="16">
        <f>base!W1219</f>
        <v>0</v>
      </c>
      <c r="G1219" s="11">
        <f t="shared" si="190"/>
        <v>0</v>
      </c>
      <c r="H1219" s="11">
        <f t="shared" si="191"/>
        <v>0</v>
      </c>
      <c r="I1219" s="11">
        <f t="shared" si="192"/>
        <v>0</v>
      </c>
      <c r="J1219" s="12">
        <f t="shared" si="193"/>
        <v>0</v>
      </c>
      <c r="K1219" s="17" t="str">
        <f t="shared" ref="K1219:K1282" si="198">IF(H1219=F1219,"Pas d'écart",IF(H1219&lt;F1219,"Ecart positif",IF(H1219&gt;F1219,"Ecart négatif")))</f>
        <v>Pas d'écart</v>
      </c>
      <c r="L1219" s="16">
        <f>base!X1219</f>
        <v>0</v>
      </c>
      <c r="M1219" s="11">
        <f t="shared" si="194"/>
        <v>0</v>
      </c>
      <c r="N1219" s="11">
        <f t="shared" si="195"/>
        <v>0</v>
      </c>
      <c r="O1219" s="11">
        <f t="shared" si="196"/>
        <v>0</v>
      </c>
      <c r="P1219" s="12">
        <f t="shared" si="197"/>
        <v>0</v>
      </c>
      <c r="Q1219" s="17" t="str">
        <f t="shared" ref="Q1219:Q1282" si="199">IF(N1219=L1219,"Pas d'écart",IF(N1219&lt;L1219,"Ecart positif",IF(N1219&gt;L1219,"Ecart négatif")))</f>
        <v>Pas d'écart</v>
      </c>
    </row>
    <row r="1220" spans="1:18" x14ac:dyDescent="0.3">
      <c r="A1220" s="34">
        <f>base!J1220</f>
        <v>0</v>
      </c>
      <c r="B1220" s="34" t="str">
        <f>base!V1220</f>
        <v>77184</v>
      </c>
      <c r="C1220" s="37">
        <v>77</v>
      </c>
      <c r="D1220" s="36">
        <f>base!H1220</f>
        <v>31</v>
      </c>
      <c r="E1220" s="44"/>
      <c r="F1220" s="16">
        <f>base!W1220</f>
        <v>0</v>
      </c>
      <c r="G1220" s="11">
        <f t="shared" si="190"/>
        <v>0</v>
      </c>
      <c r="H1220" s="11">
        <f t="shared" si="191"/>
        <v>0</v>
      </c>
      <c r="I1220" s="11">
        <f t="shared" si="192"/>
        <v>0</v>
      </c>
      <c r="J1220" s="12">
        <f t="shared" si="193"/>
        <v>0</v>
      </c>
      <c r="K1220" s="17" t="str">
        <f t="shared" si="198"/>
        <v>Pas d'écart</v>
      </c>
      <c r="L1220" s="16">
        <f>base!X1220</f>
        <v>0</v>
      </c>
      <c r="M1220" s="11">
        <f t="shared" si="194"/>
        <v>0</v>
      </c>
      <c r="N1220" s="11">
        <f t="shared" si="195"/>
        <v>0</v>
      </c>
      <c r="O1220" s="11">
        <f t="shared" si="196"/>
        <v>0</v>
      </c>
      <c r="P1220" s="12">
        <f t="shared" si="197"/>
        <v>0</v>
      </c>
      <c r="Q1220" s="17" t="str">
        <f t="shared" si="199"/>
        <v>Pas d'écart</v>
      </c>
    </row>
    <row r="1221" spans="1:18" x14ac:dyDescent="0.3">
      <c r="A1221" s="34" t="str">
        <f>base!J1221</f>
        <v>LM</v>
      </c>
      <c r="B1221" s="34" t="str">
        <f>base!V1221</f>
        <v>06190</v>
      </c>
      <c r="C1221" s="37">
        <v>6</v>
      </c>
      <c r="D1221" s="36">
        <f>base!H1221</f>
        <v>50</v>
      </c>
      <c r="E1221" s="44"/>
      <c r="F1221" s="16">
        <f>base!W1221</f>
        <v>15</v>
      </c>
      <c r="G1221" s="11">
        <f t="shared" si="190"/>
        <v>0.3</v>
      </c>
      <c r="H1221" s="11">
        <f t="shared" si="191"/>
        <v>15</v>
      </c>
      <c r="I1221" s="11">
        <f t="shared" si="192"/>
        <v>0.3</v>
      </c>
      <c r="J1221" s="12">
        <f t="shared" si="193"/>
        <v>0</v>
      </c>
      <c r="K1221" s="17" t="str">
        <f t="shared" si="198"/>
        <v>Pas d'écart</v>
      </c>
      <c r="L1221" s="16">
        <f>base!X1221</f>
        <v>0</v>
      </c>
      <c r="M1221" s="11">
        <f t="shared" si="194"/>
        <v>0</v>
      </c>
      <c r="N1221" s="11">
        <f t="shared" si="195"/>
        <v>10.5</v>
      </c>
      <c r="O1221" s="11">
        <f t="shared" si="196"/>
        <v>0.21</v>
      </c>
      <c r="P1221" s="12">
        <f t="shared" si="197"/>
        <v>-10.5</v>
      </c>
      <c r="Q1221" s="17" t="str">
        <f t="shared" si="199"/>
        <v>Ecart négatif</v>
      </c>
    </row>
    <row r="1222" spans="1:18" x14ac:dyDescent="0.3">
      <c r="A1222" s="34" t="str">
        <f>base!J1222</f>
        <v>LM</v>
      </c>
      <c r="B1222" s="34" t="str">
        <f>base!V1222</f>
        <v>06190</v>
      </c>
      <c r="C1222" s="37">
        <v>50</v>
      </c>
      <c r="D1222" s="36">
        <f>base!H1222</f>
        <v>64</v>
      </c>
      <c r="E1222" s="44"/>
      <c r="F1222" s="16">
        <f>base!W1222</f>
        <v>19.2</v>
      </c>
      <c r="G1222" s="11">
        <f t="shared" si="190"/>
        <v>0.3</v>
      </c>
      <c r="H1222" s="11">
        <f t="shared" si="191"/>
        <v>10.88</v>
      </c>
      <c r="I1222" s="11">
        <f t="shared" si="192"/>
        <v>0.17</v>
      </c>
      <c r="J1222" s="12">
        <f t="shared" si="193"/>
        <v>8.3199999999999985</v>
      </c>
      <c r="K1222" s="17" t="str">
        <f t="shared" si="198"/>
        <v>Ecart positif</v>
      </c>
      <c r="L1222" s="16">
        <f>base!X1222</f>
        <v>0</v>
      </c>
      <c r="M1222" s="11">
        <f t="shared" si="194"/>
        <v>0</v>
      </c>
      <c r="N1222" s="11">
        <f t="shared" si="195"/>
        <v>10.88</v>
      </c>
      <c r="O1222" s="11">
        <f t="shared" si="196"/>
        <v>0.17</v>
      </c>
      <c r="P1222" s="12">
        <f t="shared" si="197"/>
        <v>-10.88</v>
      </c>
      <c r="Q1222" s="17" t="str">
        <f t="shared" si="199"/>
        <v>Ecart négatif</v>
      </c>
    </row>
    <row r="1223" spans="1:18" x14ac:dyDescent="0.3">
      <c r="A1223" s="34" t="str">
        <f>base!J1223</f>
        <v>RS</v>
      </c>
      <c r="B1223" s="34" t="str">
        <f>base!V1223</f>
        <v>68390</v>
      </c>
      <c r="C1223" s="37">
        <v>68</v>
      </c>
      <c r="D1223" s="36">
        <f>base!H1223</f>
        <v>180</v>
      </c>
      <c r="E1223" s="44"/>
      <c r="F1223" s="16">
        <f>base!W1223</f>
        <v>0</v>
      </c>
      <c r="G1223" s="11">
        <f t="shared" si="190"/>
        <v>0</v>
      </c>
      <c r="H1223" s="11">
        <f t="shared" si="191"/>
        <v>52.199999999999996</v>
      </c>
      <c r="I1223" s="11">
        <f t="shared" si="192"/>
        <v>0.28999999999999998</v>
      </c>
      <c r="J1223" s="12">
        <f t="shared" si="193"/>
        <v>-52.199999999999996</v>
      </c>
      <c r="K1223" s="17" t="str">
        <f t="shared" si="198"/>
        <v>Ecart négatif</v>
      </c>
      <c r="L1223" s="16">
        <f>base!X1223</f>
        <v>14.4</v>
      </c>
      <c r="M1223" s="11">
        <f t="shared" si="194"/>
        <v>0.08</v>
      </c>
      <c r="N1223" s="11">
        <f t="shared" si="195"/>
        <v>14.4</v>
      </c>
      <c r="O1223" s="11">
        <f t="shared" si="196"/>
        <v>0.08</v>
      </c>
      <c r="P1223" s="12">
        <f t="shared" si="197"/>
        <v>0</v>
      </c>
      <c r="Q1223" s="17" t="str">
        <f t="shared" si="199"/>
        <v>Pas d'écart</v>
      </c>
      <c r="R1223" s="38"/>
    </row>
    <row r="1224" spans="1:18" x14ac:dyDescent="0.3">
      <c r="A1224" s="34" t="str">
        <f>base!J1224</f>
        <v>LM</v>
      </c>
      <c r="B1224" s="34" t="str">
        <f>base!V1224</f>
        <v>38330</v>
      </c>
      <c r="C1224" s="37">
        <v>76</v>
      </c>
      <c r="D1224" s="36">
        <f>base!H1224</f>
        <v>137.13</v>
      </c>
      <c r="E1224" s="44"/>
      <c r="F1224" s="16">
        <f>base!W1224</f>
        <v>37.03</v>
      </c>
      <c r="G1224" s="11">
        <f t="shared" si="190"/>
        <v>0.27003573251659013</v>
      </c>
      <c r="H1224" s="11">
        <f t="shared" si="191"/>
        <v>23.312100000000001</v>
      </c>
      <c r="I1224" s="11">
        <f t="shared" si="192"/>
        <v>0.17</v>
      </c>
      <c r="J1224" s="12">
        <f t="shared" si="193"/>
        <v>13.7179</v>
      </c>
      <c r="K1224" s="17" t="str">
        <f t="shared" si="198"/>
        <v>Ecart positif</v>
      </c>
      <c r="L1224" s="16">
        <f>base!X1224</f>
        <v>0</v>
      </c>
      <c r="M1224" s="11">
        <f t="shared" si="194"/>
        <v>0</v>
      </c>
      <c r="N1224" s="11">
        <f t="shared" si="195"/>
        <v>23.312100000000001</v>
      </c>
      <c r="O1224" s="11">
        <f t="shared" si="196"/>
        <v>0.17</v>
      </c>
      <c r="P1224" s="12">
        <f t="shared" si="197"/>
        <v>-23.312100000000001</v>
      </c>
      <c r="Q1224" s="17" t="str">
        <f t="shared" si="199"/>
        <v>Ecart négatif</v>
      </c>
    </row>
    <row r="1225" spans="1:18" x14ac:dyDescent="0.3">
      <c r="A1225" s="34" t="str">
        <f>base!J1225</f>
        <v>LS</v>
      </c>
      <c r="B1225" s="34" t="str">
        <f>base!V1225</f>
        <v>59136</v>
      </c>
      <c r="C1225" s="37">
        <v>14</v>
      </c>
      <c r="D1225" s="36">
        <f>base!H1225</f>
        <v>9.09</v>
      </c>
      <c r="E1225" s="44"/>
      <c r="F1225" s="16">
        <f>base!W1225</f>
        <v>1.73</v>
      </c>
      <c r="G1225" s="11">
        <f t="shared" si="190"/>
        <v>0.19031903190319033</v>
      </c>
      <c r="H1225" s="11">
        <f t="shared" si="191"/>
        <v>1.5453000000000001</v>
      </c>
      <c r="I1225" s="11">
        <f t="shared" si="192"/>
        <v>0.17</v>
      </c>
      <c r="J1225" s="12">
        <f t="shared" si="193"/>
        <v>0.18469999999999986</v>
      </c>
      <c r="K1225" s="17" t="str">
        <f t="shared" si="198"/>
        <v>Ecart positif</v>
      </c>
      <c r="L1225" s="16">
        <f>base!X1225</f>
        <v>0</v>
      </c>
      <c r="M1225" s="11">
        <f t="shared" si="194"/>
        <v>0</v>
      </c>
      <c r="N1225" s="11">
        <f t="shared" si="195"/>
        <v>1.5453000000000001</v>
      </c>
      <c r="O1225" s="11">
        <f t="shared" si="196"/>
        <v>0.17</v>
      </c>
      <c r="P1225" s="12">
        <f t="shared" si="197"/>
        <v>-1.5453000000000001</v>
      </c>
      <c r="Q1225" s="17" t="str">
        <f t="shared" si="199"/>
        <v>Ecart négatif</v>
      </c>
    </row>
    <row r="1226" spans="1:18" x14ac:dyDescent="0.3">
      <c r="A1226" s="34" t="str">
        <f>base!J1226</f>
        <v>LM</v>
      </c>
      <c r="B1226" s="34" t="str">
        <f>base!V1226</f>
        <v>76430</v>
      </c>
      <c r="C1226" s="37">
        <v>76</v>
      </c>
      <c r="D1226" s="36">
        <f>base!H1226</f>
        <v>55.34</v>
      </c>
      <c r="E1226" s="44"/>
      <c r="F1226" s="16">
        <f>base!W1226</f>
        <v>9.41</v>
      </c>
      <c r="G1226" s="11">
        <f t="shared" si="190"/>
        <v>0.17003975424647633</v>
      </c>
      <c r="H1226" s="11">
        <f t="shared" si="191"/>
        <v>9.4078000000000017</v>
      </c>
      <c r="I1226" s="11">
        <f t="shared" si="192"/>
        <v>0.17</v>
      </c>
      <c r="J1226" s="12">
        <f t="shared" si="193"/>
        <v>2.1999999999984254E-3</v>
      </c>
      <c r="K1226" s="17" t="str">
        <f t="shared" si="198"/>
        <v>Ecart positif</v>
      </c>
      <c r="L1226" s="16">
        <f>base!X1226</f>
        <v>0</v>
      </c>
      <c r="M1226" s="11">
        <f t="shared" si="194"/>
        <v>0</v>
      </c>
      <c r="N1226" s="11">
        <f t="shared" si="195"/>
        <v>9.4078000000000017</v>
      </c>
      <c r="O1226" s="11">
        <f t="shared" si="196"/>
        <v>0.17</v>
      </c>
      <c r="P1226" s="12">
        <f t="shared" si="197"/>
        <v>-9.4078000000000017</v>
      </c>
      <c r="Q1226" s="17" t="str">
        <f t="shared" si="199"/>
        <v>Ecart négatif</v>
      </c>
    </row>
    <row r="1227" spans="1:18" x14ac:dyDescent="0.3">
      <c r="A1227" s="34" t="str">
        <f>base!J1227</f>
        <v>LS</v>
      </c>
      <c r="B1227" s="34" t="str">
        <f>base!V1227</f>
        <v>73000</v>
      </c>
      <c r="C1227" s="37">
        <v>73</v>
      </c>
      <c r="D1227" s="36">
        <f>base!H1227</f>
        <v>70</v>
      </c>
      <c r="E1227" s="44"/>
      <c r="F1227" s="16">
        <f>base!W1227</f>
        <v>18.899999999999999</v>
      </c>
      <c r="G1227" s="11">
        <f t="shared" si="190"/>
        <v>0.26999999999999996</v>
      </c>
      <c r="H1227" s="11">
        <f t="shared" si="191"/>
        <v>18.900000000000002</v>
      </c>
      <c r="I1227" s="11">
        <f t="shared" si="192"/>
        <v>0.27</v>
      </c>
      <c r="J1227" s="12">
        <f t="shared" si="193"/>
        <v>0</v>
      </c>
      <c r="K1227" s="17" t="str">
        <f t="shared" si="198"/>
        <v>Pas d'écart</v>
      </c>
      <c r="L1227" s="16">
        <f>base!X1227</f>
        <v>0</v>
      </c>
      <c r="M1227" s="11">
        <f t="shared" si="194"/>
        <v>0</v>
      </c>
      <c r="N1227" s="11">
        <f t="shared" si="195"/>
        <v>0</v>
      </c>
      <c r="O1227" s="11">
        <f t="shared" si="196"/>
        <v>0</v>
      </c>
      <c r="P1227" s="12">
        <f t="shared" si="197"/>
        <v>0</v>
      </c>
      <c r="Q1227" s="17" t="str">
        <f t="shared" si="199"/>
        <v>Pas d'écart</v>
      </c>
    </row>
    <row r="1228" spans="1:18" x14ac:dyDescent="0.3">
      <c r="A1228" s="34" t="str">
        <f>base!J1228</f>
        <v>LS</v>
      </c>
      <c r="B1228" s="34" t="str">
        <f>base!V1228</f>
        <v>34500</v>
      </c>
      <c r="C1228" s="37">
        <v>76</v>
      </c>
      <c r="D1228" s="36">
        <f>base!H1228</f>
        <v>149.79</v>
      </c>
      <c r="E1228" s="44"/>
      <c r="F1228" s="16">
        <f>base!W1228</f>
        <v>58.42</v>
      </c>
      <c r="G1228" s="11">
        <f t="shared" si="190"/>
        <v>0.39001268442486148</v>
      </c>
      <c r="H1228" s="11">
        <f t="shared" si="191"/>
        <v>25.464300000000001</v>
      </c>
      <c r="I1228" s="11">
        <f t="shared" si="192"/>
        <v>0.17</v>
      </c>
      <c r="J1228" s="12">
        <f t="shared" si="193"/>
        <v>32.9557</v>
      </c>
      <c r="K1228" s="17" t="str">
        <f t="shared" si="198"/>
        <v>Ecart positif</v>
      </c>
      <c r="L1228" s="16">
        <f>base!X1228</f>
        <v>0</v>
      </c>
      <c r="M1228" s="11">
        <f t="shared" si="194"/>
        <v>0</v>
      </c>
      <c r="N1228" s="11">
        <f t="shared" si="195"/>
        <v>25.464300000000001</v>
      </c>
      <c r="O1228" s="11">
        <f t="shared" si="196"/>
        <v>0.17</v>
      </c>
      <c r="P1228" s="12">
        <f t="shared" si="197"/>
        <v>-25.464300000000001</v>
      </c>
      <c r="Q1228" s="17" t="str">
        <f t="shared" si="199"/>
        <v>Ecart négatif</v>
      </c>
    </row>
    <row r="1229" spans="1:18" x14ac:dyDescent="0.3">
      <c r="A1229" s="34" t="str">
        <f>base!J1229</f>
        <v>LM</v>
      </c>
      <c r="B1229" s="34" t="str">
        <f>base!V1229</f>
        <v>67000</v>
      </c>
      <c r="C1229" s="37">
        <v>14</v>
      </c>
      <c r="D1229" s="36">
        <f>base!H1229</f>
        <v>127.55</v>
      </c>
      <c r="E1229" s="44"/>
      <c r="F1229" s="16">
        <f>base!W1229</f>
        <v>36.99</v>
      </c>
      <c r="G1229" s="11">
        <f t="shared" si="190"/>
        <v>0.29000392003136027</v>
      </c>
      <c r="H1229" s="11">
        <f t="shared" si="191"/>
        <v>21.683500000000002</v>
      </c>
      <c r="I1229" s="11">
        <f t="shared" si="192"/>
        <v>0.17</v>
      </c>
      <c r="J1229" s="12">
        <f t="shared" si="193"/>
        <v>15.3065</v>
      </c>
      <c r="K1229" s="17" t="str">
        <f t="shared" si="198"/>
        <v>Ecart positif</v>
      </c>
      <c r="L1229" s="16">
        <f>base!X1229</f>
        <v>0</v>
      </c>
      <c r="M1229" s="11">
        <f t="shared" si="194"/>
        <v>0</v>
      </c>
      <c r="N1229" s="11">
        <f t="shared" si="195"/>
        <v>21.683500000000002</v>
      </c>
      <c r="O1229" s="11">
        <f t="shared" si="196"/>
        <v>0.17</v>
      </c>
      <c r="P1229" s="12">
        <f t="shared" si="197"/>
        <v>-21.683500000000002</v>
      </c>
      <c r="Q1229" s="17" t="str">
        <f t="shared" si="199"/>
        <v>Ecart négatif</v>
      </c>
    </row>
    <row r="1230" spans="1:18" x14ac:dyDescent="0.3">
      <c r="A1230" s="34" t="str">
        <f>base!J1230</f>
        <v>LM</v>
      </c>
      <c r="B1230" s="34" t="str">
        <f>base!V1230</f>
        <v>75014</v>
      </c>
      <c r="C1230" s="37">
        <v>75</v>
      </c>
      <c r="D1230" s="36">
        <f>base!H1230</f>
        <v>53.38</v>
      </c>
      <c r="E1230" s="44"/>
      <c r="F1230" s="16">
        <f>base!W1230</f>
        <v>0</v>
      </c>
      <c r="G1230" s="11">
        <f t="shared" si="190"/>
        <v>0</v>
      </c>
      <c r="H1230" s="11">
        <f t="shared" si="191"/>
        <v>0</v>
      </c>
      <c r="I1230" s="11">
        <f t="shared" si="192"/>
        <v>0</v>
      </c>
      <c r="J1230" s="12">
        <f t="shared" si="193"/>
        <v>0</v>
      </c>
      <c r="K1230" s="17" t="str">
        <f t="shared" si="198"/>
        <v>Pas d'écart</v>
      </c>
      <c r="L1230" s="16">
        <f>base!X1230</f>
        <v>0</v>
      </c>
      <c r="M1230" s="11">
        <f t="shared" si="194"/>
        <v>0</v>
      </c>
      <c r="N1230" s="11">
        <f t="shared" si="195"/>
        <v>0</v>
      </c>
      <c r="O1230" s="11">
        <f t="shared" si="196"/>
        <v>0</v>
      </c>
      <c r="P1230" s="12">
        <f t="shared" si="197"/>
        <v>0</v>
      </c>
      <c r="Q1230" s="17" t="str">
        <f t="shared" si="199"/>
        <v>Pas d'écart</v>
      </c>
    </row>
    <row r="1231" spans="1:18" x14ac:dyDescent="0.3">
      <c r="A1231" s="34" t="str">
        <f>base!J1231</f>
        <v>LS</v>
      </c>
      <c r="B1231" s="34" t="str">
        <f>base!V1231</f>
        <v>86220</v>
      </c>
      <c r="C1231" s="37">
        <v>76</v>
      </c>
      <c r="D1231" s="36">
        <f>base!H1231</f>
        <v>136.72</v>
      </c>
      <c r="E1231" s="44"/>
      <c r="F1231" s="16">
        <f>base!W1231</f>
        <v>28.71</v>
      </c>
      <c r="G1231" s="11">
        <f t="shared" si="190"/>
        <v>0.20999122293739028</v>
      </c>
      <c r="H1231" s="11">
        <f t="shared" si="191"/>
        <v>23.2424</v>
      </c>
      <c r="I1231" s="11">
        <f t="shared" si="192"/>
        <v>0.17</v>
      </c>
      <c r="J1231" s="12">
        <f t="shared" si="193"/>
        <v>5.4676000000000009</v>
      </c>
      <c r="K1231" s="17" t="str">
        <f t="shared" si="198"/>
        <v>Ecart positif</v>
      </c>
      <c r="L1231" s="16">
        <f>base!X1231</f>
        <v>0</v>
      </c>
      <c r="M1231" s="11">
        <f t="shared" si="194"/>
        <v>0</v>
      </c>
      <c r="N1231" s="11">
        <f t="shared" si="195"/>
        <v>23.2424</v>
      </c>
      <c r="O1231" s="11">
        <f t="shared" si="196"/>
        <v>0.17</v>
      </c>
      <c r="P1231" s="12">
        <f t="shared" si="197"/>
        <v>-23.2424</v>
      </c>
      <c r="Q1231" s="17" t="str">
        <f t="shared" si="199"/>
        <v>Ecart négatif</v>
      </c>
    </row>
    <row r="1232" spans="1:18" x14ac:dyDescent="0.3">
      <c r="A1232" s="34" t="str">
        <f>base!J1232</f>
        <v>LM</v>
      </c>
      <c r="B1232" s="34" t="str">
        <f>base!V1232</f>
        <v>59380</v>
      </c>
      <c r="C1232" s="37">
        <v>76</v>
      </c>
      <c r="D1232" s="36">
        <f>base!H1232</f>
        <v>43.53</v>
      </c>
      <c r="E1232" s="44"/>
      <c r="F1232" s="16">
        <f>base!W1232</f>
        <v>8.27</v>
      </c>
      <c r="G1232" s="11">
        <f t="shared" si="190"/>
        <v>0.18998391913622786</v>
      </c>
      <c r="H1232" s="11">
        <f t="shared" si="191"/>
        <v>7.400100000000001</v>
      </c>
      <c r="I1232" s="11">
        <f t="shared" si="192"/>
        <v>0.17</v>
      </c>
      <c r="J1232" s="12">
        <f t="shared" si="193"/>
        <v>0.86989999999999856</v>
      </c>
      <c r="K1232" s="17" t="str">
        <f t="shared" si="198"/>
        <v>Ecart positif</v>
      </c>
      <c r="L1232" s="16">
        <f>base!X1232</f>
        <v>0</v>
      </c>
      <c r="M1232" s="11">
        <f t="shared" si="194"/>
        <v>0</v>
      </c>
      <c r="N1232" s="11">
        <f t="shared" si="195"/>
        <v>7.400100000000001</v>
      </c>
      <c r="O1232" s="11">
        <f t="shared" si="196"/>
        <v>0.17</v>
      </c>
      <c r="P1232" s="12">
        <f t="shared" si="197"/>
        <v>-7.400100000000001</v>
      </c>
      <c r="Q1232" s="17" t="str">
        <f t="shared" si="199"/>
        <v>Ecart négatif</v>
      </c>
    </row>
    <row r="1233" spans="1:18" x14ac:dyDescent="0.3">
      <c r="A1233" s="34" t="str">
        <f>base!J1233</f>
        <v>LS</v>
      </c>
      <c r="B1233" s="34" t="str">
        <f>base!V1233</f>
        <v>53810</v>
      </c>
      <c r="C1233" s="37">
        <v>50</v>
      </c>
      <c r="D1233" s="36">
        <f>base!H1233</f>
        <v>0.53</v>
      </c>
      <c r="E1233" s="44"/>
      <c r="F1233" s="16">
        <f>base!W1233</f>
        <v>0.14000000000000001</v>
      </c>
      <c r="G1233" s="11">
        <f t="shared" si="190"/>
        <v>0.26415094339622641</v>
      </c>
      <c r="H1233" s="11">
        <f t="shared" si="191"/>
        <v>9.0100000000000013E-2</v>
      </c>
      <c r="I1233" s="11">
        <f t="shared" si="192"/>
        <v>0.17</v>
      </c>
      <c r="J1233" s="12">
        <f t="shared" si="193"/>
        <v>4.99E-2</v>
      </c>
      <c r="K1233" s="17" t="str">
        <f t="shared" si="198"/>
        <v>Ecart positif</v>
      </c>
      <c r="L1233" s="16">
        <f>base!X1233</f>
        <v>0</v>
      </c>
      <c r="M1233" s="11">
        <f t="shared" si="194"/>
        <v>0</v>
      </c>
      <c r="N1233" s="11">
        <f t="shared" si="195"/>
        <v>9.0100000000000013E-2</v>
      </c>
      <c r="O1233" s="11">
        <f t="shared" si="196"/>
        <v>0.17</v>
      </c>
      <c r="P1233" s="12">
        <f t="shared" si="197"/>
        <v>-9.0100000000000013E-2</v>
      </c>
      <c r="Q1233" s="17" t="str">
        <f t="shared" si="199"/>
        <v>Ecart négatif</v>
      </c>
    </row>
    <row r="1234" spans="1:18" x14ac:dyDescent="0.3">
      <c r="A1234" s="34">
        <f>base!J1234</f>
        <v>0</v>
      </c>
      <c r="B1234" s="34" t="str">
        <f>base!V1234</f>
        <v>77184</v>
      </c>
      <c r="C1234" s="37">
        <v>77</v>
      </c>
      <c r="D1234" s="36">
        <f>base!H1234</f>
        <v>140</v>
      </c>
      <c r="E1234" s="44"/>
      <c r="F1234" s="16">
        <f>base!W1234</f>
        <v>0</v>
      </c>
      <c r="G1234" s="11">
        <f t="shared" si="190"/>
        <v>0</v>
      </c>
      <c r="H1234" s="11">
        <f t="shared" si="191"/>
        <v>0</v>
      </c>
      <c r="I1234" s="11">
        <f t="shared" si="192"/>
        <v>0</v>
      </c>
      <c r="J1234" s="12">
        <f t="shared" si="193"/>
        <v>0</v>
      </c>
      <c r="K1234" s="17" t="str">
        <f t="shared" si="198"/>
        <v>Pas d'écart</v>
      </c>
      <c r="L1234" s="16">
        <f>base!X1234</f>
        <v>0</v>
      </c>
      <c r="M1234" s="11">
        <f t="shared" si="194"/>
        <v>0</v>
      </c>
      <c r="N1234" s="11">
        <f t="shared" si="195"/>
        <v>0</v>
      </c>
      <c r="O1234" s="11">
        <f t="shared" si="196"/>
        <v>0</v>
      </c>
      <c r="P1234" s="12">
        <f t="shared" si="197"/>
        <v>0</v>
      </c>
      <c r="Q1234" s="17" t="str">
        <f t="shared" si="199"/>
        <v>Pas d'écart</v>
      </c>
    </row>
    <row r="1235" spans="1:18" x14ac:dyDescent="0.3">
      <c r="A1235" s="34" t="str">
        <f>base!J1235</f>
        <v>LM</v>
      </c>
      <c r="B1235" s="34" t="str">
        <f>base!V1235</f>
        <v>75014</v>
      </c>
      <c r="C1235" s="37">
        <v>75</v>
      </c>
      <c r="D1235" s="36">
        <f>base!H1235</f>
        <v>19.649999999999999</v>
      </c>
      <c r="E1235" s="44"/>
      <c r="F1235" s="16">
        <f>base!W1235</f>
        <v>0</v>
      </c>
      <c r="G1235" s="11">
        <f t="shared" si="190"/>
        <v>0</v>
      </c>
      <c r="H1235" s="11">
        <f t="shared" si="191"/>
        <v>0</v>
      </c>
      <c r="I1235" s="11">
        <f t="shared" si="192"/>
        <v>0</v>
      </c>
      <c r="J1235" s="12">
        <f t="shared" si="193"/>
        <v>0</v>
      </c>
      <c r="K1235" s="17" t="str">
        <f t="shared" si="198"/>
        <v>Pas d'écart</v>
      </c>
      <c r="L1235" s="16">
        <f>base!X1235</f>
        <v>0</v>
      </c>
      <c r="M1235" s="11">
        <f t="shared" si="194"/>
        <v>0</v>
      </c>
      <c r="N1235" s="11">
        <f t="shared" si="195"/>
        <v>0</v>
      </c>
      <c r="O1235" s="11">
        <f t="shared" si="196"/>
        <v>0</v>
      </c>
      <c r="P1235" s="12">
        <f t="shared" si="197"/>
        <v>0</v>
      </c>
      <c r="Q1235" s="17" t="str">
        <f t="shared" si="199"/>
        <v>Pas d'écart</v>
      </c>
    </row>
    <row r="1236" spans="1:18" x14ac:dyDescent="0.3">
      <c r="A1236" s="34" t="str">
        <f>base!J1236</f>
        <v>LM</v>
      </c>
      <c r="B1236" s="34" t="str">
        <f>base!V1236</f>
        <v>75014</v>
      </c>
      <c r="C1236" s="37">
        <v>75</v>
      </c>
      <c r="D1236" s="36">
        <f>base!H1236</f>
        <v>19.649999999999999</v>
      </c>
      <c r="E1236" s="44"/>
      <c r="F1236" s="16">
        <f>base!W1236</f>
        <v>0</v>
      </c>
      <c r="G1236" s="11">
        <f t="shared" si="190"/>
        <v>0</v>
      </c>
      <c r="H1236" s="11">
        <f t="shared" si="191"/>
        <v>0</v>
      </c>
      <c r="I1236" s="11">
        <f t="shared" si="192"/>
        <v>0</v>
      </c>
      <c r="J1236" s="12">
        <f t="shared" si="193"/>
        <v>0</v>
      </c>
      <c r="K1236" s="17" t="str">
        <f t="shared" si="198"/>
        <v>Pas d'écart</v>
      </c>
      <c r="L1236" s="16">
        <f>base!X1236</f>
        <v>0</v>
      </c>
      <c r="M1236" s="11">
        <f t="shared" si="194"/>
        <v>0</v>
      </c>
      <c r="N1236" s="11">
        <f t="shared" si="195"/>
        <v>0</v>
      </c>
      <c r="O1236" s="11">
        <f t="shared" si="196"/>
        <v>0</v>
      </c>
      <c r="P1236" s="12">
        <f t="shared" si="197"/>
        <v>0</v>
      </c>
      <c r="Q1236" s="17" t="str">
        <f t="shared" si="199"/>
        <v>Pas d'écart</v>
      </c>
    </row>
    <row r="1237" spans="1:18" x14ac:dyDescent="0.3">
      <c r="A1237" s="34" t="str">
        <f>base!J1237</f>
        <v>LM</v>
      </c>
      <c r="B1237" s="34" t="str">
        <f>base!V1237</f>
        <v>14000</v>
      </c>
      <c r="C1237" s="37">
        <v>61</v>
      </c>
      <c r="D1237" s="36">
        <f>base!H1237</f>
        <v>119.48</v>
      </c>
      <c r="E1237" s="44"/>
      <c r="F1237" s="16">
        <f>base!W1237</f>
        <v>20.309999999999999</v>
      </c>
      <c r="G1237" s="11">
        <f t="shared" si="190"/>
        <v>0.16998660863742884</v>
      </c>
      <c r="H1237" s="11">
        <f t="shared" si="191"/>
        <v>20.311600000000002</v>
      </c>
      <c r="I1237" s="11">
        <f t="shared" si="192"/>
        <v>0.17</v>
      </c>
      <c r="J1237" s="12">
        <f t="shared" si="193"/>
        <v>-1.6000000000033765E-3</v>
      </c>
      <c r="K1237" s="17" t="str">
        <f t="shared" si="198"/>
        <v>Ecart négatif</v>
      </c>
      <c r="L1237" s="16">
        <f>base!X1237</f>
        <v>0</v>
      </c>
      <c r="M1237" s="11">
        <f t="shared" si="194"/>
        <v>0</v>
      </c>
      <c r="N1237" s="11">
        <f t="shared" si="195"/>
        <v>20.311600000000002</v>
      </c>
      <c r="O1237" s="11">
        <f t="shared" si="196"/>
        <v>0.17</v>
      </c>
      <c r="P1237" s="12">
        <f t="shared" si="197"/>
        <v>-20.311600000000002</v>
      </c>
      <c r="Q1237" s="17" t="str">
        <f t="shared" si="199"/>
        <v>Ecart négatif</v>
      </c>
    </row>
    <row r="1238" spans="1:18" x14ac:dyDescent="0.3">
      <c r="A1238" s="34" t="str">
        <f>base!J1238</f>
        <v>LM</v>
      </c>
      <c r="B1238" s="34" t="str">
        <f>base!V1238</f>
        <v>75014</v>
      </c>
      <c r="C1238" s="37">
        <v>75</v>
      </c>
      <c r="D1238" s="36">
        <f>base!H1238</f>
        <v>19.649999999999999</v>
      </c>
      <c r="E1238" s="44"/>
      <c r="F1238" s="16">
        <f>base!W1238</f>
        <v>0</v>
      </c>
      <c r="G1238" s="11">
        <f t="shared" si="190"/>
        <v>0</v>
      </c>
      <c r="H1238" s="11">
        <f t="shared" si="191"/>
        <v>0</v>
      </c>
      <c r="I1238" s="11">
        <f t="shared" si="192"/>
        <v>0</v>
      </c>
      <c r="J1238" s="12">
        <f t="shared" si="193"/>
        <v>0</v>
      </c>
      <c r="K1238" s="17" t="str">
        <f t="shared" si="198"/>
        <v>Pas d'écart</v>
      </c>
      <c r="L1238" s="16">
        <f>base!X1238</f>
        <v>0</v>
      </c>
      <c r="M1238" s="11">
        <f t="shared" si="194"/>
        <v>0</v>
      </c>
      <c r="N1238" s="11">
        <f t="shared" si="195"/>
        <v>0</v>
      </c>
      <c r="O1238" s="11">
        <f t="shared" si="196"/>
        <v>0</v>
      </c>
      <c r="P1238" s="12">
        <f t="shared" si="197"/>
        <v>0</v>
      </c>
      <c r="Q1238" s="17" t="str">
        <f t="shared" si="199"/>
        <v>Pas d'écart</v>
      </c>
    </row>
    <row r="1239" spans="1:18" x14ac:dyDescent="0.3">
      <c r="A1239" s="34" t="str">
        <f>base!J1239</f>
        <v>LM</v>
      </c>
      <c r="B1239" s="34" t="str">
        <f>base!V1239</f>
        <v>75014</v>
      </c>
      <c r="C1239" s="37">
        <v>75</v>
      </c>
      <c r="D1239" s="36">
        <f>base!H1239</f>
        <v>19.649999999999999</v>
      </c>
      <c r="E1239" s="44"/>
      <c r="F1239" s="16">
        <f>base!W1239</f>
        <v>0</v>
      </c>
      <c r="G1239" s="11">
        <f t="shared" si="190"/>
        <v>0</v>
      </c>
      <c r="H1239" s="11">
        <f t="shared" si="191"/>
        <v>0</v>
      </c>
      <c r="I1239" s="11">
        <f t="shared" si="192"/>
        <v>0</v>
      </c>
      <c r="J1239" s="12">
        <f t="shared" si="193"/>
        <v>0</v>
      </c>
      <c r="K1239" s="17" t="str">
        <f t="shared" si="198"/>
        <v>Pas d'écart</v>
      </c>
      <c r="L1239" s="16">
        <f>base!X1239</f>
        <v>0</v>
      </c>
      <c r="M1239" s="11">
        <f t="shared" si="194"/>
        <v>0</v>
      </c>
      <c r="N1239" s="11">
        <f t="shared" si="195"/>
        <v>0</v>
      </c>
      <c r="O1239" s="11">
        <f t="shared" si="196"/>
        <v>0</v>
      </c>
      <c r="P1239" s="12">
        <f t="shared" si="197"/>
        <v>0</v>
      </c>
      <c r="Q1239" s="17" t="str">
        <f t="shared" si="199"/>
        <v>Pas d'écart</v>
      </c>
    </row>
    <row r="1240" spans="1:18" x14ac:dyDescent="0.3">
      <c r="A1240" s="34" t="str">
        <f>base!J1240</f>
        <v>LM</v>
      </c>
      <c r="B1240" s="34" t="str">
        <f>base!V1240</f>
        <v>75014</v>
      </c>
      <c r="C1240" s="37">
        <v>75</v>
      </c>
      <c r="D1240" s="36">
        <f>base!H1240</f>
        <v>19.649999999999999</v>
      </c>
      <c r="E1240" s="44"/>
      <c r="F1240" s="16">
        <f>base!W1240</f>
        <v>0</v>
      </c>
      <c r="G1240" s="11">
        <f t="shared" si="190"/>
        <v>0</v>
      </c>
      <c r="H1240" s="11">
        <f t="shared" si="191"/>
        <v>0</v>
      </c>
      <c r="I1240" s="11">
        <f t="shared" si="192"/>
        <v>0</v>
      </c>
      <c r="J1240" s="12">
        <f t="shared" si="193"/>
        <v>0</v>
      </c>
      <c r="K1240" s="17" t="str">
        <f t="shared" si="198"/>
        <v>Pas d'écart</v>
      </c>
      <c r="L1240" s="16">
        <f>base!X1240</f>
        <v>0</v>
      </c>
      <c r="M1240" s="11">
        <f t="shared" si="194"/>
        <v>0</v>
      </c>
      <c r="N1240" s="11">
        <f t="shared" si="195"/>
        <v>0</v>
      </c>
      <c r="O1240" s="11">
        <f t="shared" si="196"/>
        <v>0</v>
      </c>
      <c r="P1240" s="12">
        <f t="shared" si="197"/>
        <v>0</v>
      </c>
      <c r="Q1240" s="17" t="str">
        <f t="shared" si="199"/>
        <v>Pas d'écart</v>
      </c>
    </row>
    <row r="1241" spans="1:18" x14ac:dyDescent="0.3">
      <c r="A1241" s="34" t="str">
        <f>base!J1241</f>
        <v>LM</v>
      </c>
      <c r="B1241" s="34" t="str">
        <f>base!V1241</f>
        <v>75014</v>
      </c>
      <c r="C1241" s="37">
        <v>75</v>
      </c>
      <c r="D1241" s="36">
        <f>base!H1241</f>
        <v>19.649999999999999</v>
      </c>
      <c r="E1241" s="44"/>
      <c r="F1241" s="16">
        <f>base!W1241</f>
        <v>0</v>
      </c>
      <c r="G1241" s="11">
        <f t="shared" si="190"/>
        <v>0</v>
      </c>
      <c r="H1241" s="11">
        <f t="shared" si="191"/>
        <v>0</v>
      </c>
      <c r="I1241" s="11">
        <f t="shared" si="192"/>
        <v>0</v>
      </c>
      <c r="J1241" s="12">
        <f t="shared" si="193"/>
        <v>0</v>
      </c>
      <c r="K1241" s="17" t="str">
        <f t="shared" si="198"/>
        <v>Pas d'écart</v>
      </c>
      <c r="L1241" s="16">
        <f>base!X1241</f>
        <v>0</v>
      </c>
      <c r="M1241" s="11">
        <f t="shared" si="194"/>
        <v>0</v>
      </c>
      <c r="N1241" s="11">
        <f t="shared" si="195"/>
        <v>0</v>
      </c>
      <c r="O1241" s="11">
        <f t="shared" si="196"/>
        <v>0</v>
      </c>
      <c r="P1241" s="12">
        <f t="shared" si="197"/>
        <v>0</v>
      </c>
      <c r="Q1241" s="17" t="str">
        <f t="shared" si="199"/>
        <v>Pas d'écart</v>
      </c>
    </row>
    <row r="1242" spans="1:18" x14ac:dyDescent="0.3">
      <c r="A1242" s="34" t="str">
        <f>base!J1242</f>
        <v>LM</v>
      </c>
      <c r="B1242" s="34" t="str">
        <f>base!V1242</f>
        <v>75014</v>
      </c>
      <c r="C1242" s="37">
        <v>75</v>
      </c>
      <c r="D1242" s="36">
        <f>base!H1242</f>
        <v>19.649999999999999</v>
      </c>
      <c r="E1242" s="44"/>
      <c r="F1242" s="16">
        <f>base!W1242</f>
        <v>0</v>
      </c>
      <c r="G1242" s="11">
        <f t="shared" si="190"/>
        <v>0</v>
      </c>
      <c r="H1242" s="11">
        <f t="shared" si="191"/>
        <v>0</v>
      </c>
      <c r="I1242" s="11">
        <f t="shared" si="192"/>
        <v>0</v>
      </c>
      <c r="J1242" s="12">
        <f t="shared" si="193"/>
        <v>0</v>
      </c>
      <c r="K1242" s="17" t="str">
        <f t="shared" si="198"/>
        <v>Pas d'écart</v>
      </c>
      <c r="L1242" s="16">
        <f>base!X1242</f>
        <v>0</v>
      </c>
      <c r="M1242" s="11">
        <f t="shared" si="194"/>
        <v>0</v>
      </c>
      <c r="N1242" s="11">
        <f t="shared" si="195"/>
        <v>0</v>
      </c>
      <c r="O1242" s="11">
        <f t="shared" si="196"/>
        <v>0</v>
      </c>
      <c r="P1242" s="12">
        <f t="shared" si="197"/>
        <v>0</v>
      </c>
      <c r="Q1242" s="17" t="str">
        <f t="shared" si="199"/>
        <v>Pas d'écart</v>
      </c>
    </row>
    <row r="1243" spans="1:18" x14ac:dyDescent="0.3">
      <c r="A1243" s="34" t="str">
        <f>base!J1243</f>
        <v>LS</v>
      </c>
      <c r="B1243" s="34" t="str">
        <f>base!V1243</f>
        <v>75014</v>
      </c>
      <c r="C1243" s="37">
        <v>75</v>
      </c>
      <c r="D1243" s="36">
        <f>base!H1243</f>
        <v>19.649999999999999</v>
      </c>
      <c r="E1243" s="44"/>
      <c r="F1243" s="16">
        <f>base!W1243</f>
        <v>0</v>
      </c>
      <c r="G1243" s="11">
        <f t="shared" si="190"/>
        <v>0</v>
      </c>
      <c r="H1243" s="11">
        <f t="shared" si="191"/>
        <v>0</v>
      </c>
      <c r="I1243" s="11">
        <f t="shared" si="192"/>
        <v>0</v>
      </c>
      <c r="J1243" s="12">
        <f t="shared" si="193"/>
        <v>0</v>
      </c>
      <c r="K1243" s="17" t="str">
        <f t="shared" si="198"/>
        <v>Pas d'écart</v>
      </c>
      <c r="L1243" s="16">
        <f>base!X1243</f>
        <v>0</v>
      </c>
      <c r="M1243" s="11">
        <f t="shared" si="194"/>
        <v>0</v>
      </c>
      <c r="N1243" s="11">
        <f t="shared" si="195"/>
        <v>0</v>
      </c>
      <c r="O1243" s="11">
        <f t="shared" si="196"/>
        <v>0</v>
      </c>
      <c r="P1243" s="12">
        <f t="shared" si="197"/>
        <v>0</v>
      </c>
      <c r="Q1243" s="17" t="str">
        <f t="shared" si="199"/>
        <v>Pas d'écart</v>
      </c>
    </row>
    <row r="1244" spans="1:18" x14ac:dyDescent="0.3">
      <c r="A1244" s="34" t="str">
        <f>base!J1244</f>
        <v>LM</v>
      </c>
      <c r="B1244" s="34" t="str">
        <f>base!V1244</f>
        <v>75014</v>
      </c>
      <c r="C1244" s="37">
        <v>75</v>
      </c>
      <c r="D1244" s="36">
        <f>base!H1244</f>
        <v>19.649999999999999</v>
      </c>
      <c r="E1244" s="44"/>
      <c r="F1244" s="16">
        <f>base!W1244</f>
        <v>0</v>
      </c>
      <c r="G1244" s="11">
        <f t="shared" si="190"/>
        <v>0</v>
      </c>
      <c r="H1244" s="11">
        <f t="shared" si="191"/>
        <v>0</v>
      </c>
      <c r="I1244" s="11">
        <f t="shared" si="192"/>
        <v>0</v>
      </c>
      <c r="J1244" s="12">
        <f t="shared" si="193"/>
        <v>0</v>
      </c>
      <c r="K1244" s="17" t="str">
        <f t="shared" si="198"/>
        <v>Pas d'écart</v>
      </c>
      <c r="L1244" s="16">
        <f>base!X1244</f>
        <v>0</v>
      </c>
      <c r="M1244" s="11">
        <f t="shared" si="194"/>
        <v>0</v>
      </c>
      <c r="N1244" s="11">
        <f t="shared" si="195"/>
        <v>0</v>
      </c>
      <c r="O1244" s="11">
        <f t="shared" si="196"/>
        <v>0</v>
      </c>
      <c r="P1244" s="12">
        <f t="shared" si="197"/>
        <v>0</v>
      </c>
      <c r="Q1244" s="17" t="str">
        <f t="shared" si="199"/>
        <v>Pas d'écart</v>
      </c>
    </row>
    <row r="1245" spans="1:18" x14ac:dyDescent="0.3">
      <c r="A1245" s="34" t="str">
        <f>base!J1245</f>
        <v>LM</v>
      </c>
      <c r="B1245" s="34" t="str">
        <f>base!V1245</f>
        <v>75014</v>
      </c>
      <c r="C1245" s="37">
        <v>75</v>
      </c>
      <c r="D1245" s="36">
        <f>base!H1245</f>
        <v>19.649999999999999</v>
      </c>
      <c r="E1245" s="44"/>
      <c r="F1245" s="16">
        <f>base!W1245</f>
        <v>0</v>
      </c>
      <c r="G1245" s="11">
        <f t="shared" si="190"/>
        <v>0</v>
      </c>
      <c r="H1245" s="11">
        <f t="shared" si="191"/>
        <v>0</v>
      </c>
      <c r="I1245" s="11">
        <f t="shared" si="192"/>
        <v>0</v>
      </c>
      <c r="J1245" s="12">
        <f t="shared" si="193"/>
        <v>0</v>
      </c>
      <c r="K1245" s="17" t="str">
        <f t="shared" si="198"/>
        <v>Pas d'écart</v>
      </c>
      <c r="L1245" s="16">
        <f>base!X1245</f>
        <v>0</v>
      </c>
      <c r="M1245" s="11">
        <f t="shared" si="194"/>
        <v>0</v>
      </c>
      <c r="N1245" s="11">
        <f t="shared" si="195"/>
        <v>0</v>
      </c>
      <c r="O1245" s="11">
        <f t="shared" si="196"/>
        <v>0</v>
      </c>
      <c r="P1245" s="12">
        <f t="shared" si="197"/>
        <v>0</v>
      </c>
      <c r="Q1245" s="17" t="str">
        <f t="shared" si="199"/>
        <v>Pas d'écart</v>
      </c>
    </row>
    <row r="1246" spans="1:18" x14ac:dyDescent="0.3">
      <c r="A1246" s="34" t="str">
        <f>base!J1246</f>
        <v>LS</v>
      </c>
      <c r="B1246" s="34" t="str">
        <f>base!V1246</f>
        <v>67000</v>
      </c>
      <c r="C1246" s="37">
        <v>61</v>
      </c>
      <c r="D1246" s="36">
        <f>base!H1246</f>
        <v>183.25</v>
      </c>
      <c r="E1246" s="44"/>
      <c r="F1246" s="16">
        <f>base!W1246</f>
        <v>53.14</v>
      </c>
      <c r="G1246" s="11">
        <f t="shared" si="190"/>
        <v>0.28998635743519779</v>
      </c>
      <c r="H1246" s="11">
        <f t="shared" si="191"/>
        <v>31.152500000000003</v>
      </c>
      <c r="I1246" s="11">
        <f t="shared" si="192"/>
        <v>0.17</v>
      </c>
      <c r="J1246" s="12">
        <f t="shared" si="193"/>
        <v>21.987499999999997</v>
      </c>
      <c r="K1246" s="17" t="str">
        <f t="shared" si="198"/>
        <v>Ecart positif</v>
      </c>
      <c r="L1246" s="16">
        <f>base!X1246</f>
        <v>0</v>
      </c>
      <c r="M1246" s="11">
        <f t="shared" si="194"/>
        <v>0</v>
      </c>
      <c r="N1246" s="11">
        <f t="shared" si="195"/>
        <v>31.152500000000003</v>
      </c>
      <c r="O1246" s="11">
        <f t="shared" si="196"/>
        <v>0.17</v>
      </c>
      <c r="P1246" s="12">
        <f t="shared" si="197"/>
        <v>-31.152500000000003</v>
      </c>
      <c r="Q1246" s="17" t="str">
        <f t="shared" si="199"/>
        <v>Ecart négatif</v>
      </c>
    </row>
    <row r="1247" spans="1:18" x14ac:dyDescent="0.3">
      <c r="A1247" s="34" t="str">
        <f>base!J1247</f>
        <v>RM</v>
      </c>
      <c r="B1247" s="34" t="str">
        <f>base!V1247</f>
        <v>62740</v>
      </c>
      <c r="C1247" s="37">
        <v>62</v>
      </c>
      <c r="D1247" s="36">
        <f>base!H1247</f>
        <v>27</v>
      </c>
      <c r="E1247" s="44"/>
      <c r="F1247" s="16">
        <f>base!W1247</f>
        <v>0</v>
      </c>
      <c r="G1247" s="11">
        <f t="shared" si="190"/>
        <v>0</v>
      </c>
      <c r="H1247" s="11">
        <f t="shared" si="191"/>
        <v>5.13</v>
      </c>
      <c r="I1247" s="11">
        <f t="shared" si="192"/>
        <v>0.19</v>
      </c>
      <c r="J1247" s="12">
        <f t="shared" si="193"/>
        <v>-5.13</v>
      </c>
      <c r="K1247" s="17" t="str">
        <f t="shared" si="198"/>
        <v>Ecart négatif</v>
      </c>
      <c r="L1247" s="16">
        <f>base!X1247</f>
        <v>5.13</v>
      </c>
      <c r="M1247" s="11">
        <f t="shared" si="194"/>
        <v>0.19</v>
      </c>
      <c r="N1247" s="11">
        <f t="shared" si="195"/>
        <v>0</v>
      </c>
      <c r="O1247" s="11">
        <f t="shared" si="196"/>
        <v>0</v>
      </c>
      <c r="P1247" s="12">
        <f t="shared" si="197"/>
        <v>5.13</v>
      </c>
      <c r="Q1247" s="17" t="str">
        <f t="shared" si="199"/>
        <v>Ecart positif</v>
      </c>
      <c r="R1247" s="38"/>
    </row>
    <row r="1248" spans="1:18" x14ac:dyDescent="0.3">
      <c r="A1248" s="34" t="str">
        <f>base!J1248</f>
        <v>RM</v>
      </c>
      <c r="B1248" s="34" t="str">
        <f>base!V1248</f>
        <v>62740</v>
      </c>
      <c r="C1248" s="37">
        <v>62</v>
      </c>
      <c r="D1248" s="36">
        <f>base!H1248</f>
        <v>32.6</v>
      </c>
      <c r="E1248" s="44"/>
      <c r="F1248" s="16">
        <f>base!W1248</f>
        <v>0</v>
      </c>
      <c r="G1248" s="11">
        <f t="shared" si="190"/>
        <v>0</v>
      </c>
      <c r="H1248" s="11">
        <f t="shared" si="191"/>
        <v>6.194</v>
      </c>
      <c r="I1248" s="11">
        <f t="shared" si="192"/>
        <v>0.19</v>
      </c>
      <c r="J1248" s="12">
        <f t="shared" si="193"/>
        <v>-6.194</v>
      </c>
      <c r="K1248" s="17" t="str">
        <f t="shared" si="198"/>
        <v>Ecart négatif</v>
      </c>
      <c r="L1248" s="16">
        <f>base!X1248</f>
        <v>0</v>
      </c>
      <c r="M1248" s="11">
        <f t="shared" si="194"/>
        <v>0</v>
      </c>
      <c r="N1248" s="11">
        <f t="shared" si="195"/>
        <v>0</v>
      </c>
      <c r="O1248" s="11">
        <f t="shared" si="196"/>
        <v>0</v>
      </c>
      <c r="P1248" s="12">
        <f t="shared" si="197"/>
        <v>0</v>
      </c>
      <c r="Q1248" s="17" t="str">
        <f t="shared" si="199"/>
        <v>Pas d'écart</v>
      </c>
    </row>
    <row r="1249" spans="1:18" x14ac:dyDescent="0.3">
      <c r="A1249" s="34">
        <f>base!J1249</f>
        <v>0</v>
      </c>
      <c r="B1249" s="34" t="str">
        <f>base!V1249</f>
        <v>77184</v>
      </c>
      <c r="C1249" s="37">
        <v>77</v>
      </c>
      <c r="D1249" s="36">
        <f>base!H1249</f>
        <v>149.21</v>
      </c>
      <c r="E1249" s="44"/>
      <c r="F1249" s="16">
        <f>base!W1249</f>
        <v>0</v>
      </c>
      <c r="G1249" s="11">
        <f t="shared" si="190"/>
        <v>0</v>
      </c>
      <c r="H1249" s="11">
        <f t="shared" si="191"/>
        <v>0</v>
      </c>
      <c r="I1249" s="11">
        <f t="shared" si="192"/>
        <v>0</v>
      </c>
      <c r="J1249" s="12">
        <f t="shared" si="193"/>
        <v>0</v>
      </c>
      <c r="K1249" s="17" t="str">
        <f t="shared" si="198"/>
        <v>Pas d'écart</v>
      </c>
      <c r="L1249" s="16">
        <f>base!X1249</f>
        <v>0</v>
      </c>
      <c r="M1249" s="11">
        <f t="shared" si="194"/>
        <v>0</v>
      </c>
      <c r="N1249" s="11">
        <f t="shared" si="195"/>
        <v>0</v>
      </c>
      <c r="O1249" s="11">
        <f t="shared" si="196"/>
        <v>0</v>
      </c>
      <c r="P1249" s="12">
        <f t="shared" si="197"/>
        <v>0</v>
      </c>
      <c r="Q1249" s="17" t="str">
        <f t="shared" si="199"/>
        <v>Pas d'écart</v>
      </c>
    </row>
    <row r="1250" spans="1:18" x14ac:dyDescent="0.3">
      <c r="A1250" s="34">
        <f>base!J1250</f>
        <v>0</v>
      </c>
      <c r="B1250" s="34" t="str">
        <f>base!V1250</f>
        <v>77184</v>
      </c>
      <c r="C1250" s="37">
        <v>77</v>
      </c>
      <c r="D1250" s="36">
        <f>base!H1250</f>
        <v>162</v>
      </c>
      <c r="E1250" s="44"/>
      <c r="F1250" s="16">
        <f>base!W1250</f>
        <v>0</v>
      </c>
      <c r="G1250" s="11">
        <f t="shared" si="190"/>
        <v>0</v>
      </c>
      <c r="H1250" s="11">
        <f t="shared" si="191"/>
        <v>0</v>
      </c>
      <c r="I1250" s="11">
        <f t="shared" si="192"/>
        <v>0</v>
      </c>
      <c r="J1250" s="12">
        <f t="shared" si="193"/>
        <v>0</v>
      </c>
      <c r="K1250" s="17" t="str">
        <f t="shared" si="198"/>
        <v>Pas d'écart</v>
      </c>
      <c r="L1250" s="16">
        <f>base!X1250</f>
        <v>0</v>
      </c>
      <c r="M1250" s="11">
        <f t="shared" si="194"/>
        <v>0</v>
      </c>
      <c r="N1250" s="11">
        <f t="shared" si="195"/>
        <v>0</v>
      </c>
      <c r="O1250" s="11">
        <f t="shared" si="196"/>
        <v>0</v>
      </c>
      <c r="P1250" s="12">
        <f t="shared" si="197"/>
        <v>0</v>
      </c>
      <c r="Q1250" s="17" t="str">
        <f t="shared" si="199"/>
        <v>Pas d'écart</v>
      </c>
    </row>
    <row r="1251" spans="1:18" x14ac:dyDescent="0.3">
      <c r="A1251" s="34" t="str">
        <f>base!J1251</f>
        <v>RS</v>
      </c>
      <c r="B1251" s="34" t="str">
        <f>base!V1251</f>
        <v>59491</v>
      </c>
      <c r="C1251" s="37">
        <v>59</v>
      </c>
      <c r="D1251" s="36">
        <f>base!H1251</f>
        <v>140</v>
      </c>
      <c r="E1251" s="44"/>
      <c r="F1251" s="16">
        <f>base!W1251</f>
        <v>0</v>
      </c>
      <c r="G1251" s="11">
        <f t="shared" si="190"/>
        <v>0</v>
      </c>
      <c r="H1251" s="11">
        <f t="shared" si="191"/>
        <v>26.6</v>
      </c>
      <c r="I1251" s="11">
        <f t="shared" si="192"/>
        <v>0.19</v>
      </c>
      <c r="J1251" s="12">
        <f t="shared" si="193"/>
        <v>-26.6</v>
      </c>
      <c r="K1251" s="17" t="str">
        <f t="shared" si="198"/>
        <v>Ecart négatif</v>
      </c>
      <c r="L1251" s="16">
        <f>base!X1251</f>
        <v>0</v>
      </c>
      <c r="M1251" s="11">
        <f t="shared" si="194"/>
        <v>0</v>
      </c>
      <c r="N1251" s="11">
        <f t="shared" si="195"/>
        <v>0</v>
      </c>
      <c r="O1251" s="11">
        <f t="shared" si="196"/>
        <v>0</v>
      </c>
      <c r="P1251" s="12">
        <f t="shared" si="197"/>
        <v>0</v>
      </c>
      <c r="Q1251" s="17" t="str">
        <f t="shared" si="199"/>
        <v>Pas d'écart</v>
      </c>
    </row>
    <row r="1252" spans="1:18" x14ac:dyDescent="0.3">
      <c r="A1252" s="34" t="str">
        <f>base!J1252</f>
        <v>LM</v>
      </c>
      <c r="B1252" s="34" t="str">
        <f>base!V1252</f>
        <v>59270</v>
      </c>
      <c r="C1252" s="37">
        <v>59</v>
      </c>
      <c r="D1252" s="36">
        <f>base!H1252</f>
        <v>40</v>
      </c>
      <c r="E1252" s="44"/>
      <c r="F1252" s="16">
        <f>base!W1252</f>
        <v>7.6</v>
      </c>
      <c r="G1252" s="11">
        <f t="shared" si="190"/>
        <v>0.19</v>
      </c>
      <c r="H1252" s="11">
        <f t="shared" si="191"/>
        <v>7.6</v>
      </c>
      <c r="I1252" s="11">
        <f t="shared" si="192"/>
        <v>0.19</v>
      </c>
      <c r="J1252" s="12">
        <f t="shared" si="193"/>
        <v>0</v>
      </c>
      <c r="K1252" s="17" t="str">
        <f t="shared" si="198"/>
        <v>Pas d'écart</v>
      </c>
      <c r="L1252" s="16">
        <f>base!X1252</f>
        <v>0</v>
      </c>
      <c r="M1252" s="11">
        <f t="shared" si="194"/>
        <v>0</v>
      </c>
      <c r="N1252" s="11">
        <f t="shared" si="195"/>
        <v>0</v>
      </c>
      <c r="O1252" s="11">
        <f t="shared" si="196"/>
        <v>0</v>
      </c>
      <c r="P1252" s="12">
        <f t="shared" si="197"/>
        <v>0</v>
      </c>
      <c r="Q1252" s="17" t="str">
        <f t="shared" si="199"/>
        <v>Pas d'écart</v>
      </c>
    </row>
    <row r="1253" spans="1:18" x14ac:dyDescent="0.3">
      <c r="A1253" s="34" t="str">
        <f>base!J1253</f>
        <v>RS</v>
      </c>
      <c r="B1253" s="34" t="str">
        <f>base!V1253</f>
        <v>92500</v>
      </c>
      <c r="C1253" s="37">
        <v>92</v>
      </c>
      <c r="D1253" s="36">
        <f>base!H1253</f>
        <v>80</v>
      </c>
      <c r="E1253" s="44"/>
      <c r="F1253" s="16">
        <f>base!W1253</f>
        <v>0</v>
      </c>
      <c r="G1253" s="11">
        <f t="shared" si="190"/>
        <v>0</v>
      </c>
      <c r="H1253" s="11">
        <f t="shared" si="191"/>
        <v>0</v>
      </c>
      <c r="I1253" s="11">
        <f t="shared" si="192"/>
        <v>0</v>
      </c>
      <c r="J1253" s="12">
        <f t="shared" si="193"/>
        <v>0</v>
      </c>
      <c r="K1253" s="17" t="str">
        <f t="shared" si="198"/>
        <v>Pas d'écart</v>
      </c>
      <c r="L1253" s="16">
        <f>base!X1253</f>
        <v>0</v>
      </c>
      <c r="M1253" s="11">
        <f t="shared" si="194"/>
        <v>0</v>
      </c>
      <c r="N1253" s="11">
        <f t="shared" si="195"/>
        <v>0</v>
      </c>
      <c r="O1253" s="11">
        <f t="shared" si="196"/>
        <v>0</v>
      </c>
      <c r="P1253" s="12">
        <f t="shared" si="197"/>
        <v>0</v>
      </c>
      <c r="Q1253" s="17" t="str">
        <f t="shared" si="199"/>
        <v>Pas d'écart</v>
      </c>
    </row>
    <row r="1254" spans="1:18" x14ac:dyDescent="0.3">
      <c r="A1254" s="34" t="str">
        <f>base!J1254</f>
        <v>LM</v>
      </c>
      <c r="B1254" s="34" t="str">
        <f>base!V1254</f>
        <v>51130</v>
      </c>
      <c r="C1254" s="37">
        <v>14</v>
      </c>
      <c r="D1254" s="36">
        <f>base!H1254</f>
        <v>137.01</v>
      </c>
      <c r="E1254" s="44"/>
      <c r="F1254" s="16">
        <f>base!W1254</f>
        <v>34.25</v>
      </c>
      <c r="G1254" s="11">
        <f t="shared" si="190"/>
        <v>0.2499817531567039</v>
      </c>
      <c r="H1254" s="11">
        <f t="shared" si="191"/>
        <v>23.291699999999999</v>
      </c>
      <c r="I1254" s="11">
        <f t="shared" si="192"/>
        <v>0.17</v>
      </c>
      <c r="J1254" s="12">
        <f t="shared" si="193"/>
        <v>10.958300000000001</v>
      </c>
      <c r="K1254" s="17" t="str">
        <f t="shared" si="198"/>
        <v>Ecart positif</v>
      </c>
      <c r="L1254" s="16">
        <f>base!X1254</f>
        <v>0</v>
      </c>
      <c r="M1254" s="11">
        <f t="shared" si="194"/>
        <v>0</v>
      </c>
      <c r="N1254" s="11">
        <f t="shared" si="195"/>
        <v>23.291699999999999</v>
      </c>
      <c r="O1254" s="11">
        <f t="shared" si="196"/>
        <v>0.17</v>
      </c>
      <c r="P1254" s="12">
        <f t="shared" si="197"/>
        <v>-23.291699999999999</v>
      </c>
      <c r="Q1254" s="17" t="str">
        <f t="shared" si="199"/>
        <v>Ecart négatif</v>
      </c>
    </row>
    <row r="1255" spans="1:18" x14ac:dyDescent="0.3">
      <c r="A1255" s="34">
        <f>base!J1255</f>
        <v>0</v>
      </c>
      <c r="B1255" s="34" t="str">
        <f>base!V1255</f>
        <v>77184</v>
      </c>
      <c r="C1255" s="37">
        <v>77</v>
      </c>
      <c r="D1255" s="36">
        <f>base!H1255</f>
        <v>23.65</v>
      </c>
      <c r="E1255" s="44"/>
      <c r="F1255" s="16">
        <f>base!W1255</f>
        <v>0</v>
      </c>
      <c r="G1255" s="11">
        <f t="shared" si="190"/>
        <v>0</v>
      </c>
      <c r="H1255" s="11">
        <f t="shared" si="191"/>
        <v>0</v>
      </c>
      <c r="I1255" s="11">
        <f t="shared" si="192"/>
        <v>0</v>
      </c>
      <c r="J1255" s="12">
        <f t="shared" si="193"/>
        <v>0</v>
      </c>
      <c r="K1255" s="17" t="str">
        <f t="shared" si="198"/>
        <v>Pas d'écart</v>
      </c>
      <c r="L1255" s="16">
        <f>base!X1255</f>
        <v>0</v>
      </c>
      <c r="M1255" s="11">
        <f t="shared" si="194"/>
        <v>0</v>
      </c>
      <c r="N1255" s="11">
        <f t="shared" si="195"/>
        <v>0</v>
      </c>
      <c r="O1255" s="11">
        <f t="shared" si="196"/>
        <v>0</v>
      </c>
      <c r="P1255" s="12">
        <f t="shared" si="197"/>
        <v>0</v>
      </c>
      <c r="Q1255" s="17" t="str">
        <f t="shared" si="199"/>
        <v>Pas d'écart</v>
      </c>
    </row>
    <row r="1256" spans="1:18" x14ac:dyDescent="0.3">
      <c r="A1256" s="34">
        <f>base!J1256</f>
        <v>0</v>
      </c>
      <c r="B1256" s="34" t="str">
        <f>base!V1256</f>
        <v>77184</v>
      </c>
      <c r="C1256" s="37">
        <v>77</v>
      </c>
      <c r="D1256" s="36">
        <f>base!H1256</f>
        <v>32.6</v>
      </c>
      <c r="E1256" s="44"/>
      <c r="F1256" s="16">
        <f>base!W1256</f>
        <v>0</v>
      </c>
      <c r="G1256" s="11">
        <f t="shared" si="190"/>
        <v>0</v>
      </c>
      <c r="H1256" s="11">
        <f t="shared" si="191"/>
        <v>0</v>
      </c>
      <c r="I1256" s="11">
        <f t="shared" si="192"/>
        <v>0</v>
      </c>
      <c r="J1256" s="12">
        <f t="shared" si="193"/>
        <v>0</v>
      </c>
      <c r="K1256" s="17" t="str">
        <f t="shared" si="198"/>
        <v>Pas d'écart</v>
      </c>
      <c r="L1256" s="16">
        <f>base!X1256</f>
        <v>0</v>
      </c>
      <c r="M1256" s="11">
        <f t="shared" si="194"/>
        <v>0</v>
      </c>
      <c r="N1256" s="11">
        <f t="shared" si="195"/>
        <v>0</v>
      </c>
      <c r="O1256" s="11">
        <f t="shared" si="196"/>
        <v>0</v>
      </c>
      <c r="P1256" s="12">
        <f t="shared" si="197"/>
        <v>0</v>
      </c>
      <c r="Q1256" s="17" t="str">
        <f t="shared" si="199"/>
        <v>Pas d'écart</v>
      </c>
    </row>
    <row r="1257" spans="1:18" x14ac:dyDescent="0.3">
      <c r="A1257" s="34">
        <f>base!J1257</f>
        <v>0</v>
      </c>
      <c r="B1257" s="34" t="str">
        <f>base!V1257</f>
        <v>77184</v>
      </c>
      <c r="C1257" s="37">
        <v>77</v>
      </c>
      <c r="D1257" s="36">
        <f>base!H1257</f>
        <v>180</v>
      </c>
      <c r="E1257" s="44"/>
      <c r="F1257" s="16">
        <f>base!W1257</f>
        <v>0</v>
      </c>
      <c r="G1257" s="11">
        <f t="shared" si="190"/>
        <v>0</v>
      </c>
      <c r="H1257" s="11">
        <f t="shared" si="191"/>
        <v>0</v>
      </c>
      <c r="I1257" s="11">
        <f t="shared" si="192"/>
        <v>0</v>
      </c>
      <c r="J1257" s="12">
        <f t="shared" si="193"/>
        <v>0</v>
      </c>
      <c r="K1257" s="17" t="str">
        <f t="shared" si="198"/>
        <v>Pas d'écart</v>
      </c>
      <c r="L1257" s="16">
        <f>base!X1257</f>
        <v>0</v>
      </c>
      <c r="M1257" s="11">
        <f t="shared" si="194"/>
        <v>0</v>
      </c>
      <c r="N1257" s="11">
        <f t="shared" si="195"/>
        <v>0</v>
      </c>
      <c r="O1257" s="11">
        <f t="shared" si="196"/>
        <v>0</v>
      </c>
      <c r="P1257" s="12">
        <f t="shared" si="197"/>
        <v>0</v>
      </c>
      <c r="Q1257" s="17" t="str">
        <f t="shared" si="199"/>
        <v>Pas d'écart</v>
      </c>
    </row>
    <row r="1258" spans="1:18" x14ac:dyDescent="0.3">
      <c r="A1258" s="34" t="str">
        <f>base!J1258</f>
        <v>LM</v>
      </c>
      <c r="B1258" s="34" t="str">
        <f>base!V1258</f>
        <v>62600</v>
      </c>
      <c r="C1258" s="37">
        <v>14</v>
      </c>
      <c r="D1258" s="36">
        <f>base!H1258</f>
        <v>39.25</v>
      </c>
      <c r="E1258" s="44"/>
      <c r="F1258" s="16">
        <f>base!W1258</f>
        <v>7.46</v>
      </c>
      <c r="G1258" s="11">
        <f t="shared" si="190"/>
        <v>0.19006369426751593</v>
      </c>
      <c r="H1258" s="11">
        <f t="shared" si="191"/>
        <v>6.6725000000000003</v>
      </c>
      <c r="I1258" s="11">
        <f t="shared" si="192"/>
        <v>0.17</v>
      </c>
      <c r="J1258" s="12">
        <f t="shared" si="193"/>
        <v>0.78749999999999964</v>
      </c>
      <c r="K1258" s="17" t="str">
        <f t="shared" si="198"/>
        <v>Ecart positif</v>
      </c>
      <c r="L1258" s="16">
        <f>base!X1258</f>
        <v>0</v>
      </c>
      <c r="M1258" s="11">
        <f t="shared" si="194"/>
        <v>0</v>
      </c>
      <c r="N1258" s="11">
        <f t="shared" si="195"/>
        <v>6.6725000000000003</v>
      </c>
      <c r="O1258" s="11">
        <f t="shared" si="196"/>
        <v>0.17</v>
      </c>
      <c r="P1258" s="12">
        <f t="shared" si="197"/>
        <v>-6.6725000000000003</v>
      </c>
      <c r="Q1258" s="17" t="str">
        <f t="shared" si="199"/>
        <v>Ecart négatif</v>
      </c>
    </row>
    <row r="1259" spans="1:18" x14ac:dyDescent="0.3">
      <c r="A1259" s="34" t="str">
        <f>base!J1259</f>
        <v>RS</v>
      </c>
      <c r="B1259" s="34" t="str">
        <f>base!V1259</f>
        <v>17300</v>
      </c>
      <c r="C1259" s="37">
        <v>17</v>
      </c>
      <c r="D1259" s="36">
        <f>base!H1259</f>
        <v>151</v>
      </c>
      <c r="E1259" s="44"/>
      <c r="F1259" s="16">
        <f>base!W1259</f>
        <v>0</v>
      </c>
      <c r="G1259" s="11">
        <f t="shared" si="190"/>
        <v>0</v>
      </c>
      <c r="H1259" s="11">
        <f t="shared" si="191"/>
        <v>31.709999999999997</v>
      </c>
      <c r="I1259" s="11">
        <f t="shared" si="192"/>
        <v>0.21</v>
      </c>
      <c r="J1259" s="12">
        <f t="shared" si="193"/>
        <v>-31.709999999999997</v>
      </c>
      <c r="K1259" s="17" t="str">
        <f t="shared" si="198"/>
        <v>Ecart négatif</v>
      </c>
      <c r="L1259" s="16">
        <f>base!X1259</f>
        <v>25.67</v>
      </c>
      <c r="M1259" s="11">
        <f t="shared" si="194"/>
        <v>0.17</v>
      </c>
      <c r="N1259" s="11">
        <f t="shared" si="195"/>
        <v>25.67</v>
      </c>
      <c r="O1259" s="11">
        <f t="shared" si="196"/>
        <v>0.17</v>
      </c>
      <c r="P1259" s="12">
        <f t="shared" si="197"/>
        <v>0</v>
      </c>
      <c r="Q1259" s="17" t="str">
        <f t="shared" si="199"/>
        <v>Pas d'écart</v>
      </c>
      <c r="R1259" s="38"/>
    </row>
    <row r="1260" spans="1:18" x14ac:dyDescent="0.3">
      <c r="A1260" s="34" t="str">
        <f>base!J1260</f>
        <v>LM</v>
      </c>
      <c r="B1260" s="34" t="str">
        <f>base!V1260</f>
        <v>69007</v>
      </c>
      <c r="C1260" s="37">
        <v>69</v>
      </c>
      <c r="D1260" s="36">
        <f>base!H1260</f>
        <v>140</v>
      </c>
      <c r="E1260" s="44"/>
      <c r="F1260" s="16">
        <f>base!W1260</f>
        <v>37.799999999999997</v>
      </c>
      <c r="G1260" s="11">
        <f t="shared" si="190"/>
        <v>0.26999999999999996</v>
      </c>
      <c r="H1260" s="11">
        <f t="shared" si="191"/>
        <v>37.800000000000004</v>
      </c>
      <c r="I1260" s="11">
        <f t="shared" si="192"/>
        <v>0.27</v>
      </c>
      <c r="J1260" s="12">
        <f t="shared" si="193"/>
        <v>0</v>
      </c>
      <c r="K1260" s="17" t="str">
        <f t="shared" si="198"/>
        <v>Pas d'écart</v>
      </c>
      <c r="L1260" s="16">
        <f>base!X1260</f>
        <v>0</v>
      </c>
      <c r="M1260" s="11">
        <f t="shared" si="194"/>
        <v>0</v>
      </c>
      <c r="N1260" s="11">
        <f t="shared" si="195"/>
        <v>0</v>
      </c>
      <c r="O1260" s="11">
        <f t="shared" si="196"/>
        <v>0</v>
      </c>
      <c r="P1260" s="12">
        <f t="shared" si="197"/>
        <v>0</v>
      </c>
      <c r="Q1260" s="17" t="str">
        <f t="shared" si="199"/>
        <v>Pas d'écart</v>
      </c>
    </row>
    <row r="1261" spans="1:18" x14ac:dyDescent="0.3">
      <c r="A1261" s="34">
        <f>base!J1261</f>
        <v>0</v>
      </c>
      <c r="B1261" s="34" t="str">
        <f>base!V1261</f>
        <v>77184</v>
      </c>
      <c r="C1261" s="37">
        <v>77</v>
      </c>
      <c r="D1261" s="36">
        <f>base!H1261</f>
        <v>126.4</v>
      </c>
      <c r="E1261" s="44"/>
      <c r="F1261" s="16">
        <f>base!W1261</f>
        <v>0</v>
      </c>
      <c r="G1261" s="11">
        <f t="shared" si="190"/>
        <v>0</v>
      </c>
      <c r="H1261" s="11">
        <f t="shared" si="191"/>
        <v>0</v>
      </c>
      <c r="I1261" s="11">
        <f t="shared" si="192"/>
        <v>0</v>
      </c>
      <c r="J1261" s="12">
        <f t="shared" si="193"/>
        <v>0</v>
      </c>
      <c r="K1261" s="17" t="str">
        <f t="shared" si="198"/>
        <v>Pas d'écart</v>
      </c>
      <c r="L1261" s="16">
        <f>base!X1261</f>
        <v>0</v>
      </c>
      <c r="M1261" s="11">
        <f t="shared" si="194"/>
        <v>0</v>
      </c>
      <c r="N1261" s="11">
        <f t="shared" si="195"/>
        <v>0</v>
      </c>
      <c r="O1261" s="11">
        <f t="shared" si="196"/>
        <v>0</v>
      </c>
      <c r="P1261" s="12">
        <f t="shared" si="197"/>
        <v>0</v>
      </c>
      <c r="Q1261" s="17" t="str">
        <f t="shared" si="199"/>
        <v>Pas d'écart</v>
      </c>
    </row>
    <row r="1262" spans="1:18" x14ac:dyDescent="0.3">
      <c r="A1262" s="34">
        <f>base!J1262</f>
        <v>0</v>
      </c>
      <c r="B1262" s="34" t="str">
        <f>base!V1262</f>
        <v>77184</v>
      </c>
      <c r="C1262" s="37">
        <v>77</v>
      </c>
      <c r="D1262" s="36">
        <f>base!H1262</f>
        <v>171.88</v>
      </c>
      <c r="E1262" s="44"/>
      <c r="F1262" s="16">
        <f>base!W1262</f>
        <v>0</v>
      </c>
      <c r="G1262" s="11">
        <f t="shared" si="190"/>
        <v>0</v>
      </c>
      <c r="H1262" s="11">
        <f t="shared" si="191"/>
        <v>0</v>
      </c>
      <c r="I1262" s="11">
        <f t="shared" si="192"/>
        <v>0</v>
      </c>
      <c r="J1262" s="12">
        <f t="shared" si="193"/>
        <v>0</v>
      </c>
      <c r="K1262" s="17" t="str">
        <f t="shared" si="198"/>
        <v>Pas d'écart</v>
      </c>
      <c r="L1262" s="16">
        <f>base!X1262</f>
        <v>0</v>
      </c>
      <c r="M1262" s="11">
        <f t="shared" si="194"/>
        <v>0</v>
      </c>
      <c r="N1262" s="11">
        <f t="shared" si="195"/>
        <v>0</v>
      </c>
      <c r="O1262" s="11">
        <f t="shared" si="196"/>
        <v>0</v>
      </c>
      <c r="P1262" s="12">
        <f t="shared" si="197"/>
        <v>0</v>
      </c>
      <c r="Q1262" s="17" t="str">
        <f t="shared" si="199"/>
        <v>Pas d'écart</v>
      </c>
    </row>
    <row r="1263" spans="1:18" x14ac:dyDescent="0.3">
      <c r="A1263" s="34" t="str">
        <f>base!J1263</f>
        <v>LS</v>
      </c>
      <c r="B1263" s="34" t="str">
        <f>base!V1263</f>
        <v>60730</v>
      </c>
      <c r="C1263" s="37">
        <v>60</v>
      </c>
      <c r="D1263" s="36">
        <f>base!H1263</f>
        <v>140</v>
      </c>
      <c r="E1263" s="44"/>
      <c r="F1263" s="16">
        <f>base!W1263</f>
        <v>26.6</v>
      </c>
      <c r="G1263" s="11">
        <f t="shared" si="190"/>
        <v>0.19</v>
      </c>
      <c r="H1263" s="11">
        <f t="shared" si="191"/>
        <v>26.6</v>
      </c>
      <c r="I1263" s="11">
        <f t="shared" si="192"/>
        <v>0.19</v>
      </c>
      <c r="J1263" s="12">
        <f t="shared" si="193"/>
        <v>0</v>
      </c>
      <c r="K1263" s="17" t="str">
        <f t="shared" si="198"/>
        <v>Pas d'écart</v>
      </c>
      <c r="L1263" s="16">
        <f>base!X1263</f>
        <v>0</v>
      </c>
      <c r="M1263" s="11">
        <f t="shared" si="194"/>
        <v>0</v>
      </c>
      <c r="N1263" s="11">
        <f t="shared" si="195"/>
        <v>0</v>
      </c>
      <c r="O1263" s="11">
        <f t="shared" si="196"/>
        <v>0</v>
      </c>
      <c r="P1263" s="12">
        <f t="shared" si="197"/>
        <v>0</v>
      </c>
      <c r="Q1263" s="17" t="str">
        <f t="shared" si="199"/>
        <v>Pas d'écart</v>
      </c>
    </row>
    <row r="1264" spans="1:18" x14ac:dyDescent="0.3">
      <c r="A1264" s="34" t="str">
        <f>base!J1264</f>
        <v>LM</v>
      </c>
      <c r="B1264" s="34" t="str">
        <f>base!V1264</f>
        <v>45000</v>
      </c>
      <c r="C1264" s="37">
        <v>14</v>
      </c>
      <c r="D1264" s="36">
        <f>base!H1264</f>
        <v>55.34</v>
      </c>
      <c r="E1264" s="44"/>
      <c r="F1264" s="16">
        <f>base!W1264</f>
        <v>11.62</v>
      </c>
      <c r="G1264" s="11">
        <f t="shared" si="190"/>
        <v>0.2099747018431514</v>
      </c>
      <c r="H1264" s="11">
        <f t="shared" si="191"/>
        <v>9.4078000000000017</v>
      </c>
      <c r="I1264" s="11">
        <f t="shared" si="192"/>
        <v>0.17</v>
      </c>
      <c r="J1264" s="12">
        <f t="shared" si="193"/>
        <v>2.2121999999999975</v>
      </c>
      <c r="K1264" s="17" t="str">
        <f t="shared" si="198"/>
        <v>Ecart positif</v>
      </c>
      <c r="L1264" s="16">
        <f>base!X1264</f>
        <v>0</v>
      </c>
      <c r="M1264" s="11">
        <f t="shared" si="194"/>
        <v>0</v>
      </c>
      <c r="N1264" s="11">
        <f t="shared" si="195"/>
        <v>9.4078000000000017</v>
      </c>
      <c r="O1264" s="11">
        <f t="shared" si="196"/>
        <v>0.17</v>
      </c>
      <c r="P1264" s="12">
        <f t="shared" si="197"/>
        <v>-9.4078000000000017</v>
      </c>
      <c r="Q1264" s="17" t="str">
        <f t="shared" si="199"/>
        <v>Ecart négatif</v>
      </c>
    </row>
    <row r="1265" spans="1:18" x14ac:dyDescent="0.3">
      <c r="A1265" s="34" t="str">
        <f>base!J1265</f>
        <v>LM</v>
      </c>
      <c r="B1265" s="34" t="str">
        <f>base!V1265</f>
        <v>59150</v>
      </c>
      <c r="C1265" s="37">
        <v>14</v>
      </c>
      <c r="D1265" s="36">
        <f>base!H1265</f>
        <v>5.12</v>
      </c>
      <c r="E1265" s="44"/>
      <c r="F1265" s="16">
        <f>base!W1265</f>
        <v>0.97</v>
      </c>
      <c r="G1265" s="11">
        <f t="shared" si="190"/>
        <v>0.189453125</v>
      </c>
      <c r="H1265" s="11">
        <f t="shared" si="191"/>
        <v>0.87040000000000006</v>
      </c>
      <c r="I1265" s="11">
        <f t="shared" si="192"/>
        <v>0.17</v>
      </c>
      <c r="J1265" s="12">
        <f t="shared" si="193"/>
        <v>9.9599999999999911E-2</v>
      </c>
      <c r="K1265" s="17" t="str">
        <f t="shared" si="198"/>
        <v>Ecart positif</v>
      </c>
      <c r="L1265" s="16">
        <f>base!X1265</f>
        <v>0</v>
      </c>
      <c r="M1265" s="11">
        <f t="shared" si="194"/>
        <v>0</v>
      </c>
      <c r="N1265" s="11">
        <f t="shared" si="195"/>
        <v>0.87040000000000006</v>
      </c>
      <c r="O1265" s="11">
        <f t="shared" si="196"/>
        <v>0.17</v>
      </c>
      <c r="P1265" s="12">
        <f t="shared" si="197"/>
        <v>-0.87040000000000006</v>
      </c>
      <c r="Q1265" s="17" t="str">
        <f t="shared" si="199"/>
        <v>Ecart négatif</v>
      </c>
    </row>
    <row r="1266" spans="1:18" x14ac:dyDescent="0.3">
      <c r="A1266" s="34" t="str">
        <f>base!J1266</f>
        <v>RS</v>
      </c>
      <c r="B1266" s="34" t="str">
        <f>base!V1266</f>
        <v>35000</v>
      </c>
      <c r="C1266" s="37">
        <v>35</v>
      </c>
      <c r="D1266" s="36">
        <f>base!H1266</f>
        <v>250</v>
      </c>
      <c r="E1266" s="44"/>
      <c r="F1266" s="16">
        <f>base!W1266</f>
        <v>0</v>
      </c>
      <c r="G1266" s="11">
        <f t="shared" si="190"/>
        <v>0</v>
      </c>
      <c r="H1266" s="11">
        <f t="shared" si="191"/>
        <v>67.5</v>
      </c>
      <c r="I1266" s="11">
        <f t="shared" si="192"/>
        <v>0.27</v>
      </c>
      <c r="J1266" s="12">
        <f t="shared" si="193"/>
        <v>-67.5</v>
      </c>
      <c r="K1266" s="17" t="str">
        <f t="shared" si="198"/>
        <v>Ecart négatif</v>
      </c>
      <c r="L1266" s="16">
        <f>base!X1266</f>
        <v>67.5</v>
      </c>
      <c r="M1266" s="11">
        <f t="shared" si="194"/>
        <v>0.27</v>
      </c>
      <c r="N1266" s="11">
        <f t="shared" si="195"/>
        <v>0</v>
      </c>
      <c r="O1266" s="11">
        <f t="shared" si="196"/>
        <v>0</v>
      </c>
      <c r="P1266" s="12">
        <f t="shared" si="197"/>
        <v>67.5</v>
      </c>
      <c r="Q1266" s="17" t="str">
        <f t="shared" si="199"/>
        <v>Ecart positif</v>
      </c>
    </row>
    <row r="1267" spans="1:18" x14ac:dyDescent="0.3">
      <c r="A1267" s="34">
        <f>base!J1267</f>
        <v>0</v>
      </c>
      <c r="B1267" s="34" t="str">
        <f>base!V1267</f>
        <v>77184</v>
      </c>
      <c r="C1267" s="37">
        <v>77</v>
      </c>
      <c r="D1267" s="36">
        <f>base!H1267</f>
        <v>160</v>
      </c>
      <c r="E1267" s="44"/>
      <c r="F1267" s="16">
        <f>base!W1267</f>
        <v>0</v>
      </c>
      <c r="G1267" s="11">
        <f t="shared" si="190"/>
        <v>0</v>
      </c>
      <c r="H1267" s="11">
        <f t="shared" si="191"/>
        <v>0</v>
      </c>
      <c r="I1267" s="11">
        <f t="shared" si="192"/>
        <v>0</v>
      </c>
      <c r="J1267" s="12">
        <f t="shared" si="193"/>
        <v>0</v>
      </c>
      <c r="K1267" s="17" t="str">
        <f t="shared" si="198"/>
        <v>Pas d'écart</v>
      </c>
      <c r="L1267" s="16">
        <f>base!X1267</f>
        <v>0</v>
      </c>
      <c r="M1267" s="11">
        <f t="shared" si="194"/>
        <v>0</v>
      </c>
      <c r="N1267" s="11">
        <f t="shared" si="195"/>
        <v>0</v>
      </c>
      <c r="O1267" s="11">
        <f t="shared" si="196"/>
        <v>0</v>
      </c>
      <c r="P1267" s="12">
        <f t="shared" si="197"/>
        <v>0</v>
      </c>
      <c r="Q1267" s="17" t="str">
        <f t="shared" si="199"/>
        <v>Pas d'écart</v>
      </c>
    </row>
    <row r="1268" spans="1:18" x14ac:dyDescent="0.3">
      <c r="A1268" s="34" t="str">
        <f>base!J1268</f>
        <v>RS</v>
      </c>
      <c r="B1268" s="34" t="str">
        <f>base!V1268</f>
        <v>34500</v>
      </c>
      <c r="C1268" s="37">
        <v>34</v>
      </c>
      <c r="D1268" s="36">
        <f>base!H1268</f>
        <v>180</v>
      </c>
      <c r="E1268" s="44"/>
      <c r="F1268" s="16">
        <f>base!W1268</f>
        <v>0</v>
      </c>
      <c r="G1268" s="11">
        <f t="shared" si="190"/>
        <v>0</v>
      </c>
      <c r="H1268" s="11">
        <f t="shared" si="191"/>
        <v>70.2</v>
      </c>
      <c r="I1268" s="11">
        <f t="shared" si="192"/>
        <v>0.39</v>
      </c>
      <c r="J1268" s="12">
        <f t="shared" si="193"/>
        <v>-70.2</v>
      </c>
      <c r="K1268" s="17" t="str">
        <f t="shared" si="198"/>
        <v>Ecart négatif</v>
      </c>
      <c r="L1268" s="16">
        <f>base!X1268</f>
        <v>50.4</v>
      </c>
      <c r="M1268" s="11">
        <f t="shared" si="194"/>
        <v>0.27999999999999997</v>
      </c>
      <c r="N1268" s="11">
        <f t="shared" si="195"/>
        <v>50.400000000000006</v>
      </c>
      <c r="O1268" s="11">
        <f t="shared" si="196"/>
        <v>0.28000000000000003</v>
      </c>
      <c r="P1268" s="12">
        <f t="shared" si="197"/>
        <v>0</v>
      </c>
      <c r="Q1268" s="17" t="str">
        <f t="shared" si="199"/>
        <v>Pas d'écart</v>
      </c>
      <c r="R1268" s="38"/>
    </row>
    <row r="1269" spans="1:18" x14ac:dyDescent="0.3">
      <c r="A1269" s="34" t="str">
        <f>base!J1269</f>
        <v>RS</v>
      </c>
      <c r="B1269" s="34" t="str">
        <f>base!V1269</f>
        <v>54000</v>
      </c>
      <c r="C1269" s="37">
        <v>54</v>
      </c>
      <c r="D1269" s="36">
        <f>base!H1269</f>
        <v>140</v>
      </c>
      <c r="E1269" s="44"/>
      <c r="F1269" s="16">
        <f>base!W1269</f>
        <v>0</v>
      </c>
      <c r="G1269" s="11">
        <f t="shared" si="190"/>
        <v>0</v>
      </c>
      <c r="H1269" s="11">
        <f t="shared" si="191"/>
        <v>35</v>
      </c>
      <c r="I1269" s="11">
        <f t="shared" si="192"/>
        <v>0.25</v>
      </c>
      <c r="J1269" s="12">
        <f t="shared" si="193"/>
        <v>-35</v>
      </c>
      <c r="K1269" s="17" t="str">
        <f t="shared" si="198"/>
        <v>Ecart négatif</v>
      </c>
      <c r="L1269" s="16">
        <f>base!X1269</f>
        <v>35</v>
      </c>
      <c r="M1269" s="11">
        <f t="shared" si="194"/>
        <v>0.25</v>
      </c>
      <c r="N1269" s="11">
        <f t="shared" si="195"/>
        <v>35</v>
      </c>
      <c r="O1269" s="11">
        <f t="shared" si="196"/>
        <v>0.25</v>
      </c>
      <c r="P1269" s="12">
        <f t="shared" si="197"/>
        <v>0</v>
      </c>
      <c r="Q1269" s="17" t="str">
        <f t="shared" si="199"/>
        <v>Pas d'écart</v>
      </c>
    </row>
    <row r="1270" spans="1:18" x14ac:dyDescent="0.3">
      <c r="A1270" s="34" t="str">
        <f>base!J1270</f>
        <v>LS</v>
      </c>
      <c r="B1270" s="34" t="str">
        <f>base!V1270</f>
        <v>84000</v>
      </c>
      <c r="C1270" s="37">
        <v>14</v>
      </c>
      <c r="D1270" s="36">
        <f>base!H1270</f>
        <v>83</v>
      </c>
      <c r="E1270" s="44"/>
      <c r="F1270" s="16">
        <f>base!W1270</f>
        <v>24.07</v>
      </c>
      <c r="G1270" s="11">
        <f t="shared" si="190"/>
        <v>0.28999999999999998</v>
      </c>
      <c r="H1270" s="11">
        <f t="shared" si="191"/>
        <v>14.110000000000001</v>
      </c>
      <c r="I1270" s="11">
        <f t="shared" si="192"/>
        <v>0.17</v>
      </c>
      <c r="J1270" s="12">
        <f t="shared" si="193"/>
        <v>9.9599999999999991</v>
      </c>
      <c r="K1270" s="17" t="str">
        <f t="shared" si="198"/>
        <v>Ecart positif</v>
      </c>
      <c r="L1270" s="16">
        <f>base!X1270</f>
        <v>0</v>
      </c>
      <c r="M1270" s="11">
        <f t="shared" si="194"/>
        <v>0</v>
      </c>
      <c r="N1270" s="11">
        <f t="shared" si="195"/>
        <v>14.110000000000001</v>
      </c>
      <c r="O1270" s="11">
        <f t="shared" si="196"/>
        <v>0.17</v>
      </c>
      <c r="P1270" s="12">
        <f t="shared" si="197"/>
        <v>-14.110000000000001</v>
      </c>
      <c r="Q1270" s="17" t="str">
        <f t="shared" si="199"/>
        <v>Ecart négatif</v>
      </c>
    </row>
    <row r="1271" spans="1:18" x14ac:dyDescent="0.3">
      <c r="A1271" s="34" t="str">
        <f>base!J1271</f>
        <v>LM</v>
      </c>
      <c r="B1271" s="34" t="str">
        <f>base!V1271</f>
        <v>75009</v>
      </c>
      <c r="C1271" s="37">
        <v>75</v>
      </c>
      <c r="D1271" s="36">
        <f>base!H1271</f>
        <v>28.26</v>
      </c>
      <c r="E1271" s="44"/>
      <c r="F1271" s="16">
        <f>base!W1271</f>
        <v>0</v>
      </c>
      <c r="G1271" s="11">
        <f t="shared" si="190"/>
        <v>0</v>
      </c>
      <c r="H1271" s="11">
        <f t="shared" si="191"/>
        <v>0</v>
      </c>
      <c r="I1271" s="11">
        <f t="shared" si="192"/>
        <v>0</v>
      </c>
      <c r="J1271" s="12">
        <f t="shared" si="193"/>
        <v>0</v>
      </c>
      <c r="K1271" s="17" t="str">
        <f t="shared" si="198"/>
        <v>Pas d'écart</v>
      </c>
      <c r="L1271" s="16">
        <f>base!X1271</f>
        <v>0</v>
      </c>
      <c r="M1271" s="11">
        <f t="shared" si="194"/>
        <v>0</v>
      </c>
      <c r="N1271" s="11">
        <f t="shared" si="195"/>
        <v>0</v>
      </c>
      <c r="O1271" s="11">
        <f t="shared" si="196"/>
        <v>0</v>
      </c>
      <c r="P1271" s="12">
        <f t="shared" si="197"/>
        <v>0</v>
      </c>
      <c r="Q1271" s="17" t="str">
        <f t="shared" si="199"/>
        <v>Pas d'écart</v>
      </c>
    </row>
    <row r="1272" spans="1:18" x14ac:dyDescent="0.3">
      <c r="A1272" s="34">
        <f>base!J1272</f>
        <v>0</v>
      </c>
      <c r="B1272" s="34" t="str">
        <f>base!V1272</f>
        <v>77184</v>
      </c>
      <c r="C1272" s="37">
        <v>77</v>
      </c>
      <c r="D1272" s="36">
        <f>base!H1272</f>
        <v>315</v>
      </c>
      <c r="E1272" s="44"/>
      <c r="F1272" s="16">
        <f>base!W1272</f>
        <v>0</v>
      </c>
      <c r="G1272" s="11">
        <f t="shared" si="190"/>
        <v>0</v>
      </c>
      <c r="H1272" s="11">
        <f t="shared" si="191"/>
        <v>0</v>
      </c>
      <c r="I1272" s="11">
        <f t="shared" si="192"/>
        <v>0</v>
      </c>
      <c r="J1272" s="12">
        <f t="shared" si="193"/>
        <v>0</v>
      </c>
      <c r="K1272" s="17" t="str">
        <f t="shared" si="198"/>
        <v>Pas d'écart</v>
      </c>
      <c r="L1272" s="16">
        <f>base!X1272</f>
        <v>0</v>
      </c>
      <c r="M1272" s="11">
        <f t="shared" si="194"/>
        <v>0</v>
      </c>
      <c r="N1272" s="11">
        <f t="shared" si="195"/>
        <v>0</v>
      </c>
      <c r="O1272" s="11">
        <f t="shared" si="196"/>
        <v>0</v>
      </c>
      <c r="P1272" s="12">
        <f t="shared" si="197"/>
        <v>0</v>
      </c>
      <c r="Q1272" s="17" t="str">
        <f t="shared" si="199"/>
        <v>Pas d'écart</v>
      </c>
    </row>
    <row r="1273" spans="1:18" x14ac:dyDescent="0.3">
      <c r="A1273" s="34" t="str">
        <f>base!J1273</f>
        <v>RS</v>
      </c>
      <c r="B1273" s="34" t="str">
        <f>base!V1273</f>
        <v>34500</v>
      </c>
      <c r="C1273" s="37">
        <v>34</v>
      </c>
      <c r="D1273" s="36">
        <f>base!H1273</f>
        <v>69.739999999999995</v>
      </c>
      <c r="E1273" s="44"/>
      <c r="F1273" s="16">
        <f>base!W1273</f>
        <v>0</v>
      </c>
      <c r="G1273" s="11">
        <f t="shared" si="190"/>
        <v>0</v>
      </c>
      <c r="H1273" s="11">
        <f t="shared" si="191"/>
        <v>27.198599999999999</v>
      </c>
      <c r="I1273" s="11">
        <f t="shared" si="192"/>
        <v>0.39</v>
      </c>
      <c r="J1273" s="12">
        <f t="shared" si="193"/>
        <v>-27.198599999999999</v>
      </c>
      <c r="K1273" s="17" t="str">
        <f t="shared" si="198"/>
        <v>Ecart négatif</v>
      </c>
      <c r="L1273" s="16">
        <f>base!X1273</f>
        <v>19.53</v>
      </c>
      <c r="M1273" s="11">
        <f t="shared" si="194"/>
        <v>0.28004014912532266</v>
      </c>
      <c r="N1273" s="11">
        <f t="shared" si="195"/>
        <v>19.527200000000001</v>
      </c>
      <c r="O1273" s="11">
        <f t="shared" si="196"/>
        <v>0.28000000000000003</v>
      </c>
      <c r="P1273" s="12">
        <f t="shared" si="197"/>
        <v>2.8000000000005798E-3</v>
      </c>
      <c r="Q1273" s="17" t="str">
        <f t="shared" si="199"/>
        <v>Ecart positif</v>
      </c>
      <c r="R1273" s="38"/>
    </row>
    <row r="1274" spans="1:18" x14ac:dyDescent="0.3">
      <c r="A1274" s="34" t="str">
        <f>base!J1274</f>
        <v>RS</v>
      </c>
      <c r="B1274" s="34" t="str">
        <f>base!V1274</f>
        <v>75008</v>
      </c>
      <c r="C1274" s="37">
        <v>75</v>
      </c>
      <c r="D1274" s="36">
        <f>base!H1274</f>
        <v>180</v>
      </c>
      <c r="E1274" s="44"/>
      <c r="F1274" s="16">
        <f>base!W1274</f>
        <v>0</v>
      </c>
      <c r="G1274" s="11">
        <f t="shared" si="190"/>
        <v>0</v>
      </c>
      <c r="H1274" s="11">
        <f t="shared" si="191"/>
        <v>0</v>
      </c>
      <c r="I1274" s="11">
        <f t="shared" si="192"/>
        <v>0</v>
      </c>
      <c r="J1274" s="12">
        <f t="shared" si="193"/>
        <v>0</v>
      </c>
      <c r="K1274" s="17" t="str">
        <f t="shared" si="198"/>
        <v>Pas d'écart</v>
      </c>
      <c r="L1274" s="16">
        <f>base!X1274</f>
        <v>0</v>
      </c>
      <c r="M1274" s="11">
        <f t="shared" si="194"/>
        <v>0</v>
      </c>
      <c r="N1274" s="11">
        <f t="shared" si="195"/>
        <v>0</v>
      </c>
      <c r="O1274" s="11">
        <f t="shared" si="196"/>
        <v>0</v>
      </c>
      <c r="P1274" s="12">
        <f t="shared" si="197"/>
        <v>0</v>
      </c>
      <c r="Q1274" s="17" t="str">
        <f t="shared" si="199"/>
        <v>Pas d'écart</v>
      </c>
    </row>
    <row r="1275" spans="1:18" x14ac:dyDescent="0.3">
      <c r="A1275" s="34" t="str">
        <f>base!J1275</f>
        <v>LS</v>
      </c>
      <c r="B1275" s="34" t="str">
        <f>base!V1275</f>
        <v>11300</v>
      </c>
      <c r="C1275" s="37">
        <v>14</v>
      </c>
      <c r="D1275" s="36">
        <f>base!H1275</f>
        <v>195.02</v>
      </c>
      <c r="E1275" s="44"/>
      <c r="F1275" s="16">
        <f>base!W1275</f>
        <v>76.06</v>
      </c>
      <c r="G1275" s="11">
        <f t="shared" si="190"/>
        <v>0.39001128089426723</v>
      </c>
      <c r="H1275" s="11">
        <f t="shared" si="191"/>
        <v>33.153400000000005</v>
      </c>
      <c r="I1275" s="11">
        <f t="shared" si="192"/>
        <v>0.17</v>
      </c>
      <c r="J1275" s="12">
        <f t="shared" si="193"/>
        <v>42.906599999999997</v>
      </c>
      <c r="K1275" s="17" t="str">
        <f t="shared" si="198"/>
        <v>Ecart positif</v>
      </c>
      <c r="L1275" s="16">
        <f>base!X1275</f>
        <v>0</v>
      </c>
      <c r="M1275" s="11">
        <f t="shared" si="194"/>
        <v>0</v>
      </c>
      <c r="N1275" s="11">
        <f t="shared" si="195"/>
        <v>33.153400000000005</v>
      </c>
      <c r="O1275" s="11">
        <f t="shared" si="196"/>
        <v>0.17</v>
      </c>
      <c r="P1275" s="12">
        <f t="shared" si="197"/>
        <v>-33.153400000000005</v>
      </c>
      <c r="Q1275" s="17" t="str">
        <f t="shared" si="199"/>
        <v>Ecart négatif</v>
      </c>
    </row>
    <row r="1276" spans="1:18" x14ac:dyDescent="0.3">
      <c r="A1276" s="34" t="str">
        <f>base!J1276</f>
        <v>LS</v>
      </c>
      <c r="B1276" s="34" t="str">
        <f>base!V1276</f>
        <v>62660</v>
      </c>
      <c r="C1276" s="37">
        <v>14</v>
      </c>
      <c r="D1276" s="36">
        <f>base!H1276</f>
        <v>171.98</v>
      </c>
      <c r="E1276" s="44"/>
      <c r="F1276" s="16">
        <f>base!W1276</f>
        <v>32.68</v>
      </c>
      <c r="G1276" s="11">
        <f t="shared" si="190"/>
        <v>0.19002209559251076</v>
      </c>
      <c r="H1276" s="11">
        <f t="shared" si="191"/>
        <v>29.236599999999999</v>
      </c>
      <c r="I1276" s="11">
        <f t="shared" si="192"/>
        <v>0.17</v>
      </c>
      <c r="J1276" s="12">
        <f t="shared" si="193"/>
        <v>3.4434000000000005</v>
      </c>
      <c r="K1276" s="17" t="str">
        <f t="shared" si="198"/>
        <v>Ecart positif</v>
      </c>
      <c r="L1276" s="16">
        <f>base!X1276</f>
        <v>0</v>
      </c>
      <c r="M1276" s="11">
        <f t="shared" si="194"/>
        <v>0</v>
      </c>
      <c r="N1276" s="11">
        <f t="shared" si="195"/>
        <v>29.236599999999999</v>
      </c>
      <c r="O1276" s="11">
        <f t="shared" si="196"/>
        <v>0.17</v>
      </c>
      <c r="P1276" s="12">
        <f t="shared" si="197"/>
        <v>-29.236599999999999</v>
      </c>
      <c r="Q1276" s="17" t="str">
        <f t="shared" si="199"/>
        <v>Ecart négatif</v>
      </c>
    </row>
    <row r="1277" spans="1:18" x14ac:dyDescent="0.3">
      <c r="A1277" s="34" t="str">
        <f>base!J1277</f>
        <v>LS</v>
      </c>
      <c r="B1277" s="34" t="str">
        <f>base!V1277</f>
        <v>92600</v>
      </c>
      <c r="C1277" s="37">
        <v>92</v>
      </c>
      <c r="D1277" s="36">
        <f>base!H1277</f>
        <v>100</v>
      </c>
      <c r="E1277" s="44"/>
      <c r="F1277" s="16">
        <f>base!W1277</f>
        <v>0</v>
      </c>
      <c r="G1277" s="11">
        <f t="shared" si="190"/>
        <v>0</v>
      </c>
      <c r="H1277" s="11">
        <f t="shared" si="191"/>
        <v>0</v>
      </c>
      <c r="I1277" s="11">
        <f t="shared" si="192"/>
        <v>0</v>
      </c>
      <c r="J1277" s="12">
        <f t="shared" si="193"/>
        <v>0</v>
      </c>
      <c r="K1277" s="17" t="str">
        <f t="shared" si="198"/>
        <v>Pas d'écart</v>
      </c>
      <c r="L1277" s="16">
        <f>base!X1277</f>
        <v>0</v>
      </c>
      <c r="M1277" s="11">
        <f t="shared" si="194"/>
        <v>0</v>
      </c>
      <c r="N1277" s="11">
        <f t="shared" si="195"/>
        <v>0</v>
      </c>
      <c r="O1277" s="11">
        <f t="shared" si="196"/>
        <v>0</v>
      </c>
      <c r="P1277" s="12">
        <f t="shared" si="197"/>
        <v>0</v>
      </c>
      <c r="Q1277" s="17" t="str">
        <f t="shared" si="199"/>
        <v>Pas d'écart</v>
      </c>
    </row>
    <row r="1278" spans="1:18" x14ac:dyDescent="0.3">
      <c r="A1278" s="34" t="str">
        <f>base!J1278</f>
        <v>RM</v>
      </c>
      <c r="B1278" s="34" t="str">
        <f>base!V1278</f>
        <v>59270</v>
      </c>
      <c r="C1278" s="37">
        <v>59</v>
      </c>
      <c r="D1278" s="36">
        <f>base!H1278</f>
        <v>25</v>
      </c>
      <c r="E1278" s="44"/>
      <c r="F1278" s="16">
        <f>base!W1278</f>
        <v>0</v>
      </c>
      <c r="G1278" s="11">
        <f t="shared" si="190"/>
        <v>0</v>
      </c>
      <c r="H1278" s="11">
        <f t="shared" si="191"/>
        <v>4.75</v>
      </c>
      <c r="I1278" s="11">
        <f t="shared" si="192"/>
        <v>0.19</v>
      </c>
      <c r="J1278" s="12">
        <f t="shared" si="193"/>
        <v>-4.75</v>
      </c>
      <c r="K1278" s="17" t="str">
        <f t="shared" si="198"/>
        <v>Ecart négatif</v>
      </c>
      <c r="L1278" s="16">
        <f>base!X1278</f>
        <v>0</v>
      </c>
      <c r="M1278" s="11">
        <f t="shared" si="194"/>
        <v>0</v>
      </c>
      <c r="N1278" s="11">
        <f t="shared" si="195"/>
        <v>0</v>
      </c>
      <c r="O1278" s="11">
        <f t="shared" si="196"/>
        <v>0</v>
      </c>
      <c r="P1278" s="12">
        <f t="shared" si="197"/>
        <v>0</v>
      </c>
      <c r="Q1278" s="17" t="str">
        <f t="shared" si="199"/>
        <v>Pas d'écart</v>
      </c>
    </row>
    <row r="1279" spans="1:18" x14ac:dyDescent="0.3">
      <c r="A1279" s="34" t="str">
        <f>base!J1279</f>
        <v>LM</v>
      </c>
      <c r="B1279" s="34" t="str">
        <f>base!V1279</f>
        <v>44327</v>
      </c>
      <c r="C1279" s="37">
        <v>50</v>
      </c>
      <c r="D1279" s="36">
        <f>base!H1279</f>
        <v>136.72</v>
      </c>
      <c r="E1279" s="44"/>
      <c r="F1279" s="16">
        <f>base!W1279</f>
        <v>36.909999999999997</v>
      </c>
      <c r="G1279" s="11">
        <f t="shared" si="190"/>
        <v>0.26996781743709769</v>
      </c>
      <c r="H1279" s="11">
        <f t="shared" si="191"/>
        <v>23.2424</v>
      </c>
      <c r="I1279" s="11">
        <f t="shared" si="192"/>
        <v>0.17</v>
      </c>
      <c r="J1279" s="12">
        <f t="shared" si="193"/>
        <v>13.667599999999997</v>
      </c>
      <c r="K1279" s="17" t="str">
        <f t="shared" si="198"/>
        <v>Ecart positif</v>
      </c>
      <c r="L1279" s="16">
        <f>base!X1279</f>
        <v>0</v>
      </c>
      <c r="M1279" s="11">
        <f t="shared" si="194"/>
        <v>0</v>
      </c>
      <c r="N1279" s="11">
        <f t="shared" si="195"/>
        <v>23.2424</v>
      </c>
      <c r="O1279" s="11">
        <f t="shared" si="196"/>
        <v>0.17</v>
      </c>
      <c r="P1279" s="12">
        <f t="shared" si="197"/>
        <v>-23.2424</v>
      </c>
      <c r="Q1279" s="17" t="str">
        <f t="shared" si="199"/>
        <v>Ecart négatif</v>
      </c>
    </row>
    <row r="1280" spans="1:18" x14ac:dyDescent="0.3">
      <c r="A1280" s="34">
        <f>base!J1280</f>
        <v>0</v>
      </c>
      <c r="B1280" s="34" t="str">
        <f>base!V1280</f>
        <v>44240</v>
      </c>
      <c r="C1280" s="37">
        <v>44</v>
      </c>
      <c r="D1280" s="36">
        <f>base!H1280</f>
        <v>50</v>
      </c>
      <c r="E1280" s="44"/>
      <c r="F1280" s="16">
        <f>base!W1280</f>
        <v>0</v>
      </c>
      <c r="G1280" s="11">
        <f t="shared" si="190"/>
        <v>0</v>
      </c>
      <c r="H1280" s="11">
        <f t="shared" si="191"/>
        <v>13.5</v>
      </c>
      <c r="I1280" s="11">
        <f t="shared" si="192"/>
        <v>0.27</v>
      </c>
      <c r="J1280" s="12">
        <f t="shared" si="193"/>
        <v>-13.5</v>
      </c>
      <c r="K1280" s="17" t="str">
        <f t="shared" si="198"/>
        <v>Ecart négatif</v>
      </c>
      <c r="L1280" s="16">
        <f>base!X1280</f>
        <v>0</v>
      </c>
      <c r="M1280" s="11">
        <f t="shared" si="194"/>
        <v>0</v>
      </c>
      <c r="N1280" s="11">
        <f t="shared" si="195"/>
        <v>0</v>
      </c>
      <c r="O1280" s="11">
        <f t="shared" si="196"/>
        <v>0</v>
      </c>
      <c r="P1280" s="12">
        <f t="shared" si="197"/>
        <v>0</v>
      </c>
      <c r="Q1280" s="17" t="str">
        <f t="shared" si="199"/>
        <v>Pas d'écart</v>
      </c>
    </row>
    <row r="1281" spans="1:17" x14ac:dyDescent="0.3">
      <c r="A1281" s="34" t="str">
        <f>base!J1281</f>
        <v>DLS</v>
      </c>
      <c r="B1281" s="34" t="str">
        <f>base!V1281</f>
        <v>69800</v>
      </c>
      <c r="C1281" s="37">
        <v>69</v>
      </c>
      <c r="D1281" s="36">
        <f>base!H1281</f>
        <v>55</v>
      </c>
      <c r="E1281" s="44"/>
      <c r="F1281" s="16">
        <f>base!W1281</f>
        <v>0</v>
      </c>
      <c r="G1281" s="11">
        <f t="shared" si="190"/>
        <v>0</v>
      </c>
      <c r="H1281" s="11">
        <f t="shared" si="191"/>
        <v>14.850000000000001</v>
      </c>
      <c r="I1281" s="11">
        <f t="shared" si="192"/>
        <v>0.27</v>
      </c>
      <c r="J1281" s="12">
        <f t="shared" si="193"/>
        <v>-14.850000000000001</v>
      </c>
      <c r="K1281" s="17" t="str">
        <f t="shared" si="198"/>
        <v>Ecart négatif</v>
      </c>
      <c r="L1281" s="16">
        <f>base!X1281</f>
        <v>0</v>
      </c>
      <c r="M1281" s="11">
        <f t="shared" si="194"/>
        <v>0</v>
      </c>
      <c r="N1281" s="11">
        <f t="shared" si="195"/>
        <v>0</v>
      </c>
      <c r="O1281" s="11">
        <f t="shared" si="196"/>
        <v>0</v>
      </c>
      <c r="P1281" s="12">
        <f t="shared" si="197"/>
        <v>0</v>
      </c>
      <c r="Q1281" s="17" t="str">
        <f t="shared" si="199"/>
        <v>Pas d'écart</v>
      </c>
    </row>
    <row r="1282" spans="1:17" x14ac:dyDescent="0.3">
      <c r="A1282" s="34" t="str">
        <f>base!J1282</f>
        <v>RS</v>
      </c>
      <c r="B1282" s="34" t="str">
        <f>base!V1282</f>
        <v>62600</v>
      </c>
      <c r="C1282" s="37">
        <v>62</v>
      </c>
      <c r="D1282" s="36">
        <f>base!H1282</f>
        <v>25</v>
      </c>
      <c r="E1282" s="44"/>
      <c r="F1282" s="16">
        <f>base!W1282</f>
        <v>0</v>
      </c>
      <c r="G1282" s="11">
        <f t="shared" ref="G1282:G1345" si="200">F1282/D1282</f>
        <v>0</v>
      </c>
      <c r="H1282" s="11">
        <f t="shared" ref="H1282:H1345" si="201">VLOOKUP(C1282,tout_cout_traction,2,FALSE)*D1282</f>
        <v>4.75</v>
      </c>
      <c r="I1282" s="11">
        <f t="shared" ref="I1282:I1345" si="202">H1282/D1282</f>
        <v>0.19</v>
      </c>
      <c r="J1282" s="12">
        <f t="shared" ref="J1282:J1345" si="203">F1282-H1282</f>
        <v>-4.75</v>
      </c>
      <c r="K1282" s="17" t="str">
        <f t="shared" si="198"/>
        <v>Ecart négatif</v>
      </c>
      <c r="L1282" s="16">
        <f>base!X1282</f>
        <v>0</v>
      </c>
      <c r="M1282" s="11">
        <f t="shared" ref="M1282:M1345" si="204">L1282/D1282</f>
        <v>0</v>
      </c>
      <c r="N1282" s="11">
        <f t="shared" ref="N1282:N1345" si="205">VLOOKUP(C1282,tout_cout_traction,3,FALSE)*D1282</f>
        <v>0</v>
      </c>
      <c r="O1282" s="11">
        <f t="shared" ref="O1282:O1345" si="206">N1282/D1282</f>
        <v>0</v>
      </c>
      <c r="P1282" s="12">
        <f t="shared" ref="P1282:P1345" si="207">L1282-N1282</f>
        <v>0</v>
      </c>
      <c r="Q1282" s="17" t="str">
        <f t="shared" si="199"/>
        <v>Pas d'écart</v>
      </c>
    </row>
    <row r="1283" spans="1:17" x14ac:dyDescent="0.3">
      <c r="A1283" s="34" t="str">
        <f>base!J1283</f>
        <v>LM</v>
      </c>
      <c r="B1283" s="34" t="str">
        <f>base!V1283</f>
        <v>35350</v>
      </c>
      <c r="C1283" s="37">
        <v>50</v>
      </c>
      <c r="D1283" s="36">
        <f>base!H1283</f>
        <v>190.21</v>
      </c>
      <c r="E1283" s="44"/>
      <c r="F1283" s="16">
        <f>base!W1283</f>
        <v>51.36</v>
      </c>
      <c r="G1283" s="11">
        <f t="shared" si="200"/>
        <v>0.27001734924557069</v>
      </c>
      <c r="H1283" s="11">
        <f t="shared" si="201"/>
        <v>32.335700000000003</v>
      </c>
      <c r="I1283" s="11">
        <f t="shared" si="202"/>
        <v>0.17</v>
      </c>
      <c r="J1283" s="12">
        <f t="shared" si="203"/>
        <v>19.024299999999997</v>
      </c>
      <c r="K1283" s="17" t="str">
        <f t="shared" ref="K1283:K1346" si="208">IF(H1283=F1283,"Pas d'écart",IF(H1283&lt;F1283,"Ecart positif",IF(H1283&gt;F1283,"Ecart négatif")))</f>
        <v>Ecart positif</v>
      </c>
      <c r="L1283" s="16">
        <f>base!X1283</f>
        <v>0</v>
      </c>
      <c r="M1283" s="11">
        <f t="shared" si="204"/>
        <v>0</v>
      </c>
      <c r="N1283" s="11">
        <f t="shared" si="205"/>
        <v>32.335700000000003</v>
      </c>
      <c r="O1283" s="11">
        <f t="shared" si="206"/>
        <v>0.17</v>
      </c>
      <c r="P1283" s="12">
        <f t="shared" si="207"/>
        <v>-32.335700000000003</v>
      </c>
      <c r="Q1283" s="17" t="str">
        <f t="shared" ref="Q1283:Q1346" si="209">IF(N1283=L1283,"Pas d'écart",IF(N1283&lt;L1283,"Ecart positif",IF(N1283&gt;L1283,"Ecart négatif")))</f>
        <v>Ecart négatif</v>
      </c>
    </row>
    <row r="1284" spans="1:17" x14ac:dyDescent="0.3">
      <c r="A1284" s="34" t="str">
        <f>base!J1284</f>
        <v>LS</v>
      </c>
      <c r="B1284" s="34" t="str">
        <f>base!V1284</f>
        <v>19100</v>
      </c>
      <c r="C1284" s="37">
        <v>14</v>
      </c>
      <c r="D1284" s="36">
        <f>base!H1284</f>
        <v>131.07</v>
      </c>
      <c r="E1284" s="44"/>
      <c r="F1284" s="16">
        <f>base!W1284</f>
        <v>38.01</v>
      </c>
      <c r="G1284" s="11">
        <f t="shared" si="200"/>
        <v>0.28999771114671552</v>
      </c>
      <c r="H1284" s="11">
        <f t="shared" si="201"/>
        <v>22.2819</v>
      </c>
      <c r="I1284" s="11">
        <f t="shared" si="202"/>
        <v>0.17</v>
      </c>
      <c r="J1284" s="12">
        <f t="shared" si="203"/>
        <v>15.728099999999998</v>
      </c>
      <c r="K1284" s="17" t="str">
        <f t="shared" si="208"/>
        <v>Ecart positif</v>
      </c>
      <c r="L1284" s="16">
        <f>base!X1284</f>
        <v>0</v>
      </c>
      <c r="M1284" s="11">
        <f t="shared" si="204"/>
        <v>0</v>
      </c>
      <c r="N1284" s="11">
        <f t="shared" si="205"/>
        <v>22.2819</v>
      </c>
      <c r="O1284" s="11">
        <f t="shared" si="206"/>
        <v>0.17</v>
      </c>
      <c r="P1284" s="12">
        <f t="shared" si="207"/>
        <v>-22.2819</v>
      </c>
      <c r="Q1284" s="17" t="str">
        <f t="shared" si="209"/>
        <v>Ecart négatif</v>
      </c>
    </row>
    <row r="1285" spans="1:17" x14ac:dyDescent="0.3">
      <c r="A1285" s="34" t="str">
        <f>base!J1285</f>
        <v>LS</v>
      </c>
      <c r="B1285" s="34" t="str">
        <f>base!V1285</f>
        <v>69120</v>
      </c>
      <c r="C1285" s="37">
        <v>38</v>
      </c>
      <c r="D1285" s="36">
        <f>base!H1285</f>
        <v>154.46</v>
      </c>
      <c r="E1285" s="44"/>
      <c r="F1285" s="16">
        <f>base!W1285</f>
        <v>41.7</v>
      </c>
      <c r="G1285" s="11">
        <f t="shared" si="200"/>
        <v>0.26997280849410848</v>
      </c>
      <c r="H1285" s="11">
        <f t="shared" si="201"/>
        <v>41.704200000000007</v>
      </c>
      <c r="I1285" s="11">
        <f t="shared" si="202"/>
        <v>0.27</v>
      </c>
      <c r="J1285" s="12">
        <f t="shared" si="203"/>
        <v>-4.2000000000044224E-3</v>
      </c>
      <c r="K1285" s="17" t="str">
        <f t="shared" si="208"/>
        <v>Ecart négatif</v>
      </c>
      <c r="L1285" s="16">
        <f>base!X1285</f>
        <v>0</v>
      </c>
      <c r="M1285" s="11">
        <f t="shared" si="204"/>
        <v>0</v>
      </c>
      <c r="N1285" s="11">
        <f t="shared" si="205"/>
        <v>0</v>
      </c>
      <c r="O1285" s="11">
        <f t="shared" si="206"/>
        <v>0</v>
      </c>
      <c r="P1285" s="12">
        <f t="shared" si="207"/>
        <v>0</v>
      </c>
      <c r="Q1285" s="17" t="str">
        <f t="shared" si="209"/>
        <v>Pas d'écart</v>
      </c>
    </row>
    <row r="1286" spans="1:17" x14ac:dyDescent="0.3">
      <c r="A1286" s="34" t="str">
        <f>base!J1286</f>
        <v>LS</v>
      </c>
      <c r="B1286" s="34" t="str">
        <f>base!V1286</f>
        <v>62380</v>
      </c>
      <c r="C1286" s="37">
        <v>27</v>
      </c>
      <c r="D1286" s="36">
        <f>base!H1286</f>
        <v>95.74</v>
      </c>
      <c r="E1286" s="44"/>
      <c r="F1286" s="16">
        <f>base!W1286</f>
        <v>18.190000000000001</v>
      </c>
      <c r="G1286" s="11">
        <f t="shared" si="200"/>
        <v>0.189993733026948</v>
      </c>
      <c r="H1286" s="11">
        <f t="shared" si="201"/>
        <v>16.2758</v>
      </c>
      <c r="I1286" s="11">
        <f t="shared" si="202"/>
        <v>0.17</v>
      </c>
      <c r="J1286" s="12">
        <f t="shared" si="203"/>
        <v>1.914200000000001</v>
      </c>
      <c r="K1286" s="17" t="str">
        <f t="shared" si="208"/>
        <v>Ecart positif</v>
      </c>
      <c r="L1286" s="16">
        <f>base!X1286</f>
        <v>0</v>
      </c>
      <c r="M1286" s="11">
        <f t="shared" si="204"/>
        <v>0</v>
      </c>
      <c r="N1286" s="11">
        <f t="shared" si="205"/>
        <v>16.2758</v>
      </c>
      <c r="O1286" s="11">
        <f t="shared" si="206"/>
        <v>0.17</v>
      </c>
      <c r="P1286" s="12">
        <f t="shared" si="207"/>
        <v>-16.2758</v>
      </c>
      <c r="Q1286" s="17" t="str">
        <f t="shared" si="209"/>
        <v>Ecart négatif</v>
      </c>
    </row>
    <row r="1287" spans="1:17" x14ac:dyDescent="0.3">
      <c r="A1287" s="34" t="str">
        <f>base!J1287</f>
        <v>LM</v>
      </c>
      <c r="B1287" s="34" t="str">
        <f>base!V1287</f>
        <v>68120</v>
      </c>
      <c r="C1287" s="37">
        <v>14</v>
      </c>
      <c r="D1287" s="36">
        <f>base!H1287</f>
        <v>190.8</v>
      </c>
      <c r="E1287" s="44"/>
      <c r="F1287" s="16">
        <f>base!W1287</f>
        <v>55.33</v>
      </c>
      <c r="G1287" s="11">
        <f t="shared" si="200"/>
        <v>0.2899895178197065</v>
      </c>
      <c r="H1287" s="11">
        <f t="shared" si="201"/>
        <v>32.436000000000007</v>
      </c>
      <c r="I1287" s="11">
        <f t="shared" si="202"/>
        <v>0.17000000000000004</v>
      </c>
      <c r="J1287" s="12">
        <f t="shared" si="203"/>
        <v>22.893999999999991</v>
      </c>
      <c r="K1287" s="17" t="str">
        <f t="shared" si="208"/>
        <v>Ecart positif</v>
      </c>
      <c r="L1287" s="16">
        <f>base!X1287</f>
        <v>0</v>
      </c>
      <c r="M1287" s="11">
        <f t="shared" si="204"/>
        <v>0</v>
      </c>
      <c r="N1287" s="11">
        <f t="shared" si="205"/>
        <v>32.436000000000007</v>
      </c>
      <c r="O1287" s="11">
        <f t="shared" si="206"/>
        <v>0.17000000000000004</v>
      </c>
      <c r="P1287" s="12">
        <f t="shared" si="207"/>
        <v>-32.436000000000007</v>
      </c>
      <c r="Q1287" s="17" t="str">
        <f t="shared" si="209"/>
        <v>Ecart négatif</v>
      </c>
    </row>
    <row r="1288" spans="1:17" x14ac:dyDescent="0.3">
      <c r="A1288" s="34" t="str">
        <f>base!J1288</f>
        <v>LS</v>
      </c>
      <c r="B1288" s="34" t="str">
        <f>base!V1288</f>
        <v>19100</v>
      </c>
      <c r="C1288" s="37">
        <v>76</v>
      </c>
      <c r="D1288" s="36">
        <f>base!H1288</f>
        <v>100.8</v>
      </c>
      <c r="E1288" s="44"/>
      <c r="F1288" s="16">
        <f>base!W1288</f>
        <v>29.23</v>
      </c>
      <c r="G1288" s="11">
        <f t="shared" si="200"/>
        <v>0.28998015873015875</v>
      </c>
      <c r="H1288" s="11">
        <f t="shared" si="201"/>
        <v>17.135999999999999</v>
      </c>
      <c r="I1288" s="11">
        <f t="shared" si="202"/>
        <v>0.16999999999999998</v>
      </c>
      <c r="J1288" s="12">
        <f t="shared" si="203"/>
        <v>12.094000000000001</v>
      </c>
      <c r="K1288" s="17" t="str">
        <f t="shared" si="208"/>
        <v>Ecart positif</v>
      </c>
      <c r="L1288" s="16">
        <f>base!X1288</f>
        <v>0</v>
      </c>
      <c r="M1288" s="11">
        <f t="shared" si="204"/>
        <v>0</v>
      </c>
      <c r="N1288" s="11">
        <f t="shared" si="205"/>
        <v>17.135999999999999</v>
      </c>
      <c r="O1288" s="11">
        <f t="shared" si="206"/>
        <v>0.16999999999999998</v>
      </c>
      <c r="P1288" s="12">
        <f t="shared" si="207"/>
        <v>-17.135999999999999</v>
      </c>
      <c r="Q1288" s="17" t="str">
        <f t="shared" si="209"/>
        <v>Ecart négatif</v>
      </c>
    </row>
    <row r="1289" spans="1:17" x14ac:dyDescent="0.3">
      <c r="A1289" s="34" t="str">
        <f>base!J1289</f>
        <v>LM</v>
      </c>
      <c r="B1289" s="34" t="str">
        <f>base!V1289</f>
        <v>60200</v>
      </c>
      <c r="C1289" s="37">
        <v>27</v>
      </c>
      <c r="D1289" s="36">
        <f>base!H1289</f>
        <v>145.71</v>
      </c>
      <c r="E1289" s="44"/>
      <c r="F1289" s="16">
        <f>base!W1289</f>
        <v>27.68</v>
      </c>
      <c r="G1289" s="11">
        <f t="shared" si="200"/>
        <v>0.18996637155994783</v>
      </c>
      <c r="H1289" s="11">
        <f t="shared" si="201"/>
        <v>24.770700000000001</v>
      </c>
      <c r="I1289" s="11">
        <f t="shared" si="202"/>
        <v>0.17</v>
      </c>
      <c r="J1289" s="12">
        <f t="shared" si="203"/>
        <v>2.9092999999999982</v>
      </c>
      <c r="K1289" s="17" t="str">
        <f t="shared" si="208"/>
        <v>Ecart positif</v>
      </c>
      <c r="L1289" s="16">
        <f>base!X1289</f>
        <v>0</v>
      </c>
      <c r="M1289" s="11">
        <f t="shared" si="204"/>
        <v>0</v>
      </c>
      <c r="N1289" s="11">
        <f t="shared" si="205"/>
        <v>24.770700000000001</v>
      </c>
      <c r="O1289" s="11">
        <f t="shared" si="206"/>
        <v>0.17</v>
      </c>
      <c r="P1289" s="12">
        <f t="shared" si="207"/>
        <v>-24.770700000000001</v>
      </c>
      <c r="Q1289" s="17" t="str">
        <f t="shared" si="209"/>
        <v>Ecart négatif</v>
      </c>
    </row>
    <row r="1290" spans="1:17" x14ac:dyDescent="0.3">
      <c r="A1290" s="34" t="str">
        <f>base!J1290</f>
        <v>LM</v>
      </c>
      <c r="B1290" s="34" t="str">
        <f>base!V1290</f>
        <v>60300</v>
      </c>
      <c r="C1290" s="37">
        <v>14</v>
      </c>
      <c r="D1290" s="36">
        <f>base!H1290</f>
        <v>25.8</v>
      </c>
      <c r="E1290" s="44"/>
      <c r="F1290" s="16">
        <f>base!W1290</f>
        <v>4.9000000000000004</v>
      </c>
      <c r="G1290" s="11">
        <f t="shared" si="200"/>
        <v>0.18992248062015504</v>
      </c>
      <c r="H1290" s="11">
        <f t="shared" si="201"/>
        <v>4.3860000000000001</v>
      </c>
      <c r="I1290" s="11">
        <f t="shared" si="202"/>
        <v>0.17</v>
      </c>
      <c r="J1290" s="12">
        <f t="shared" si="203"/>
        <v>0.51400000000000023</v>
      </c>
      <c r="K1290" s="17" t="str">
        <f t="shared" si="208"/>
        <v>Ecart positif</v>
      </c>
      <c r="L1290" s="16">
        <f>base!X1290</f>
        <v>0</v>
      </c>
      <c r="M1290" s="11">
        <f t="shared" si="204"/>
        <v>0</v>
      </c>
      <c r="N1290" s="11">
        <f t="shared" si="205"/>
        <v>4.3860000000000001</v>
      </c>
      <c r="O1290" s="11">
        <f t="shared" si="206"/>
        <v>0.17</v>
      </c>
      <c r="P1290" s="12">
        <f t="shared" si="207"/>
        <v>-4.3860000000000001</v>
      </c>
      <c r="Q1290" s="17" t="str">
        <f t="shared" si="209"/>
        <v>Ecart négatif</v>
      </c>
    </row>
    <row r="1291" spans="1:17" x14ac:dyDescent="0.3">
      <c r="A1291" s="34" t="str">
        <f>base!J1291</f>
        <v>LM</v>
      </c>
      <c r="B1291" s="34" t="str">
        <f>base!V1291</f>
        <v>93210</v>
      </c>
      <c r="C1291" s="37">
        <v>93</v>
      </c>
      <c r="D1291" s="36">
        <f>base!H1291</f>
        <v>30</v>
      </c>
      <c r="E1291" s="44"/>
      <c r="F1291" s="16">
        <f>base!W1291</f>
        <v>0</v>
      </c>
      <c r="G1291" s="11">
        <f t="shared" si="200"/>
        <v>0</v>
      </c>
      <c r="H1291" s="11">
        <f t="shared" si="201"/>
        <v>0</v>
      </c>
      <c r="I1291" s="11">
        <f t="shared" si="202"/>
        <v>0</v>
      </c>
      <c r="J1291" s="12">
        <f t="shared" si="203"/>
        <v>0</v>
      </c>
      <c r="K1291" s="17" t="str">
        <f t="shared" si="208"/>
        <v>Pas d'écart</v>
      </c>
      <c r="L1291" s="16">
        <f>base!X1291</f>
        <v>0</v>
      </c>
      <c r="M1291" s="11">
        <f t="shared" si="204"/>
        <v>0</v>
      </c>
      <c r="N1291" s="11">
        <f t="shared" si="205"/>
        <v>0</v>
      </c>
      <c r="O1291" s="11">
        <f t="shared" si="206"/>
        <v>0</v>
      </c>
      <c r="P1291" s="12">
        <f t="shared" si="207"/>
        <v>0</v>
      </c>
      <c r="Q1291" s="17" t="str">
        <f t="shared" si="209"/>
        <v>Pas d'écart</v>
      </c>
    </row>
    <row r="1292" spans="1:17" x14ac:dyDescent="0.3">
      <c r="A1292" s="34" t="str">
        <f>base!J1292</f>
        <v>RM</v>
      </c>
      <c r="B1292" s="34" t="str">
        <f>base!V1292</f>
        <v>59000</v>
      </c>
      <c r="C1292" s="37">
        <v>59</v>
      </c>
      <c r="D1292" s="36">
        <f>base!H1292</f>
        <v>201.52</v>
      </c>
      <c r="E1292" s="44"/>
      <c r="F1292" s="16">
        <f>base!W1292</f>
        <v>0</v>
      </c>
      <c r="G1292" s="11">
        <f t="shared" si="200"/>
        <v>0</v>
      </c>
      <c r="H1292" s="11">
        <f t="shared" si="201"/>
        <v>38.288800000000002</v>
      </c>
      <c r="I1292" s="11">
        <f t="shared" si="202"/>
        <v>0.19</v>
      </c>
      <c r="J1292" s="12">
        <f t="shared" si="203"/>
        <v>-38.288800000000002</v>
      </c>
      <c r="K1292" s="17" t="str">
        <f t="shared" si="208"/>
        <v>Ecart négatif</v>
      </c>
      <c r="L1292" s="16">
        <f>base!X1292</f>
        <v>0</v>
      </c>
      <c r="M1292" s="11">
        <f t="shared" si="204"/>
        <v>0</v>
      </c>
      <c r="N1292" s="11">
        <f t="shared" si="205"/>
        <v>0</v>
      </c>
      <c r="O1292" s="11">
        <f t="shared" si="206"/>
        <v>0</v>
      </c>
      <c r="P1292" s="12">
        <f t="shared" si="207"/>
        <v>0</v>
      </c>
      <c r="Q1292" s="17" t="str">
        <f t="shared" si="209"/>
        <v>Pas d'écart</v>
      </c>
    </row>
    <row r="1293" spans="1:17" x14ac:dyDescent="0.3">
      <c r="A1293" s="34">
        <f>base!J1293</f>
        <v>0</v>
      </c>
      <c r="B1293" s="34" t="str">
        <f>base!V1293</f>
        <v>77184</v>
      </c>
      <c r="C1293" s="37">
        <v>77</v>
      </c>
      <c r="D1293" s="36">
        <f>base!H1293</f>
        <v>187</v>
      </c>
      <c r="E1293" s="44"/>
      <c r="F1293" s="16">
        <f>base!W1293</f>
        <v>0</v>
      </c>
      <c r="G1293" s="11">
        <f t="shared" si="200"/>
        <v>0</v>
      </c>
      <c r="H1293" s="11">
        <f t="shared" si="201"/>
        <v>0</v>
      </c>
      <c r="I1293" s="11">
        <f t="shared" si="202"/>
        <v>0</v>
      </c>
      <c r="J1293" s="12">
        <f t="shared" si="203"/>
        <v>0</v>
      </c>
      <c r="K1293" s="17" t="str">
        <f t="shared" si="208"/>
        <v>Pas d'écart</v>
      </c>
      <c r="L1293" s="16">
        <f>base!X1293</f>
        <v>0</v>
      </c>
      <c r="M1293" s="11">
        <f t="shared" si="204"/>
        <v>0</v>
      </c>
      <c r="N1293" s="11">
        <f t="shared" si="205"/>
        <v>0</v>
      </c>
      <c r="O1293" s="11">
        <f t="shared" si="206"/>
        <v>0</v>
      </c>
      <c r="P1293" s="12">
        <f t="shared" si="207"/>
        <v>0</v>
      </c>
      <c r="Q1293" s="17" t="str">
        <f t="shared" si="209"/>
        <v>Pas d'écart</v>
      </c>
    </row>
    <row r="1294" spans="1:17" x14ac:dyDescent="0.3">
      <c r="A1294" s="34" t="str">
        <f>base!J1294</f>
        <v>DLM</v>
      </c>
      <c r="B1294" s="34" t="str">
        <f>base!V1294</f>
        <v>94150</v>
      </c>
      <c r="C1294" s="37">
        <v>94</v>
      </c>
      <c r="D1294" s="36">
        <f>base!H1294</f>
        <v>284</v>
      </c>
      <c r="E1294" s="44"/>
      <c r="F1294" s="16">
        <f>base!W1294</f>
        <v>0</v>
      </c>
      <c r="G1294" s="11">
        <f t="shared" si="200"/>
        <v>0</v>
      </c>
      <c r="H1294" s="11">
        <f t="shared" si="201"/>
        <v>0</v>
      </c>
      <c r="I1294" s="11">
        <f t="shared" si="202"/>
        <v>0</v>
      </c>
      <c r="J1294" s="12">
        <f t="shared" si="203"/>
        <v>0</v>
      </c>
      <c r="K1294" s="17" t="str">
        <f t="shared" si="208"/>
        <v>Pas d'écart</v>
      </c>
      <c r="L1294" s="16">
        <f>base!X1294</f>
        <v>0</v>
      </c>
      <c r="M1294" s="11">
        <f t="shared" si="204"/>
        <v>0</v>
      </c>
      <c r="N1294" s="11">
        <f t="shared" si="205"/>
        <v>0</v>
      </c>
      <c r="O1294" s="11">
        <f t="shared" si="206"/>
        <v>0</v>
      </c>
      <c r="P1294" s="12">
        <f t="shared" si="207"/>
        <v>0</v>
      </c>
      <c r="Q1294" s="17" t="str">
        <f t="shared" si="209"/>
        <v>Pas d'écart</v>
      </c>
    </row>
    <row r="1295" spans="1:17" x14ac:dyDescent="0.3">
      <c r="A1295" s="34">
        <f>base!J1295</f>
        <v>0</v>
      </c>
      <c r="B1295" s="34" t="str">
        <f>base!V1295</f>
        <v>77184</v>
      </c>
      <c r="C1295" s="37">
        <v>77</v>
      </c>
      <c r="D1295" s="36">
        <f>base!H1295</f>
        <v>114</v>
      </c>
      <c r="E1295" s="44"/>
      <c r="F1295" s="16">
        <f>base!W1295</f>
        <v>0</v>
      </c>
      <c r="G1295" s="11">
        <f t="shared" si="200"/>
        <v>0</v>
      </c>
      <c r="H1295" s="11">
        <f t="shared" si="201"/>
        <v>0</v>
      </c>
      <c r="I1295" s="11">
        <f t="shared" si="202"/>
        <v>0</v>
      </c>
      <c r="J1295" s="12">
        <f t="shared" si="203"/>
        <v>0</v>
      </c>
      <c r="K1295" s="17" t="str">
        <f t="shared" si="208"/>
        <v>Pas d'écart</v>
      </c>
      <c r="L1295" s="16">
        <f>base!X1295</f>
        <v>0</v>
      </c>
      <c r="M1295" s="11">
        <f t="shared" si="204"/>
        <v>0</v>
      </c>
      <c r="N1295" s="11">
        <f t="shared" si="205"/>
        <v>0</v>
      </c>
      <c r="O1295" s="11">
        <f t="shared" si="206"/>
        <v>0</v>
      </c>
      <c r="P1295" s="12">
        <f t="shared" si="207"/>
        <v>0</v>
      </c>
      <c r="Q1295" s="17" t="str">
        <f t="shared" si="209"/>
        <v>Pas d'écart</v>
      </c>
    </row>
    <row r="1296" spans="1:17" x14ac:dyDescent="0.3">
      <c r="A1296" s="34" t="str">
        <f>base!J1296</f>
        <v>LS</v>
      </c>
      <c r="B1296" s="34" t="str">
        <f>base!V1296</f>
        <v>76600</v>
      </c>
      <c r="C1296" s="37">
        <v>33</v>
      </c>
      <c r="D1296" s="36">
        <f>base!H1296</f>
        <v>136.65</v>
      </c>
      <c r="E1296" s="44"/>
      <c r="F1296" s="16">
        <f>base!W1296</f>
        <v>23.23</v>
      </c>
      <c r="G1296" s="11">
        <f t="shared" si="200"/>
        <v>0.16999634101719721</v>
      </c>
      <c r="H1296" s="11">
        <f t="shared" si="201"/>
        <v>28.6965</v>
      </c>
      <c r="I1296" s="11">
        <f t="shared" si="202"/>
        <v>0.21</v>
      </c>
      <c r="J1296" s="12">
        <f t="shared" si="203"/>
        <v>-5.4664999999999999</v>
      </c>
      <c r="K1296" s="17" t="str">
        <f t="shared" si="208"/>
        <v>Ecart négatif</v>
      </c>
      <c r="L1296" s="16">
        <f>base!X1296</f>
        <v>0</v>
      </c>
      <c r="M1296" s="11">
        <f t="shared" si="204"/>
        <v>0</v>
      </c>
      <c r="N1296" s="11">
        <f t="shared" si="205"/>
        <v>23.230500000000003</v>
      </c>
      <c r="O1296" s="11">
        <f t="shared" si="206"/>
        <v>0.17</v>
      </c>
      <c r="P1296" s="12">
        <f t="shared" si="207"/>
        <v>-23.230500000000003</v>
      </c>
      <c r="Q1296" s="17" t="str">
        <f t="shared" si="209"/>
        <v>Ecart négatif</v>
      </c>
    </row>
    <row r="1297" spans="1:18" x14ac:dyDescent="0.3">
      <c r="A1297" s="34" t="str">
        <f>base!J1297</f>
        <v>LM</v>
      </c>
      <c r="B1297" s="34" t="str">
        <f>base!V1297</f>
        <v>84140</v>
      </c>
      <c r="C1297" s="37">
        <v>33</v>
      </c>
      <c r="D1297" s="36">
        <f>base!H1297</f>
        <v>18.350000000000001</v>
      </c>
      <c r="E1297" s="44"/>
      <c r="F1297" s="16">
        <f>base!W1297</f>
        <v>5.32</v>
      </c>
      <c r="G1297" s="11">
        <f t="shared" si="200"/>
        <v>0.2899182561307902</v>
      </c>
      <c r="H1297" s="11">
        <f t="shared" si="201"/>
        <v>3.8535000000000004</v>
      </c>
      <c r="I1297" s="11">
        <f t="shared" si="202"/>
        <v>0.21</v>
      </c>
      <c r="J1297" s="12">
        <f t="shared" si="203"/>
        <v>1.4664999999999999</v>
      </c>
      <c r="K1297" s="17" t="str">
        <f t="shared" si="208"/>
        <v>Ecart positif</v>
      </c>
      <c r="L1297" s="16">
        <f>base!X1297</f>
        <v>0</v>
      </c>
      <c r="M1297" s="11">
        <f t="shared" si="204"/>
        <v>0</v>
      </c>
      <c r="N1297" s="11">
        <f t="shared" si="205"/>
        <v>3.1195000000000004</v>
      </c>
      <c r="O1297" s="11">
        <f t="shared" si="206"/>
        <v>0.17</v>
      </c>
      <c r="P1297" s="12">
        <f t="shared" si="207"/>
        <v>-3.1195000000000004</v>
      </c>
      <c r="Q1297" s="17" t="str">
        <f t="shared" si="209"/>
        <v>Ecart négatif</v>
      </c>
    </row>
    <row r="1298" spans="1:18" x14ac:dyDescent="0.3">
      <c r="A1298" s="34" t="str">
        <f>base!J1298</f>
        <v>LS</v>
      </c>
      <c r="B1298" s="34" t="str">
        <f>base!V1298</f>
        <v>10000</v>
      </c>
      <c r="C1298" s="37">
        <v>6</v>
      </c>
      <c r="D1298" s="36">
        <f>base!H1298</f>
        <v>69.34</v>
      </c>
      <c r="E1298" s="44"/>
      <c r="F1298" s="16">
        <f>base!W1298</f>
        <v>16.64</v>
      </c>
      <c r="G1298" s="11">
        <f t="shared" si="200"/>
        <v>0.23997692529564466</v>
      </c>
      <c r="H1298" s="11">
        <f t="shared" si="201"/>
        <v>20.802</v>
      </c>
      <c r="I1298" s="11">
        <f t="shared" si="202"/>
        <v>0.3</v>
      </c>
      <c r="J1298" s="12">
        <f t="shared" si="203"/>
        <v>-4.161999999999999</v>
      </c>
      <c r="K1298" s="17" t="str">
        <f t="shared" si="208"/>
        <v>Ecart négatif</v>
      </c>
      <c r="L1298" s="16">
        <f>base!X1298</f>
        <v>0</v>
      </c>
      <c r="M1298" s="11">
        <f t="shared" si="204"/>
        <v>0</v>
      </c>
      <c r="N1298" s="11">
        <f t="shared" si="205"/>
        <v>14.561400000000001</v>
      </c>
      <c r="O1298" s="11">
        <f t="shared" si="206"/>
        <v>0.21</v>
      </c>
      <c r="P1298" s="12">
        <f t="shared" si="207"/>
        <v>-14.561400000000001</v>
      </c>
      <c r="Q1298" s="17" t="str">
        <f t="shared" si="209"/>
        <v>Ecart négatif</v>
      </c>
    </row>
    <row r="1299" spans="1:18" x14ac:dyDescent="0.3">
      <c r="A1299" s="34">
        <f>base!J1299</f>
        <v>0</v>
      </c>
      <c r="B1299" s="34" t="str">
        <f>base!V1299</f>
        <v>77184</v>
      </c>
      <c r="C1299" s="37">
        <v>77</v>
      </c>
      <c r="D1299" s="36">
        <f>base!H1299</f>
        <v>134.04</v>
      </c>
      <c r="E1299" s="44"/>
      <c r="F1299" s="16">
        <f>base!W1299</f>
        <v>0</v>
      </c>
      <c r="G1299" s="11">
        <f t="shared" si="200"/>
        <v>0</v>
      </c>
      <c r="H1299" s="11">
        <f t="shared" si="201"/>
        <v>0</v>
      </c>
      <c r="I1299" s="11">
        <f t="shared" si="202"/>
        <v>0</v>
      </c>
      <c r="J1299" s="12">
        <f t="shared" si="203"/>
        <v>0</v>
      </c>
      <c r="K1299" s="17" t="str">
        <f t="shared" si="208"/>
        <v>Pas d'écart</v>
      </c>
      <c r="L1299" s="16">
        <f>base!X1299</f>
        <v>0</v>
      </c>
      <c r="M1299" s="11">
        <f t="shared" si="204"/>
        <v>0</v>
      </c>
      <c r="N1299" s="11">
        <f t="shared" si="205"/>
        <v>0</v>
      </c>
      <c r="O1299" s="11">
        <f t="shared" si="206"/>
        <v>0</v>
      </c>
      <c r="P1299" s="12">
        <f t="shared" si="207"/>
        <v>0</v>
      </c>
      <c r="Q1299" s="17" t="str">
        <f t="shared" si="209"/>
        <v>Pas d'écart</v>
      </c>
    </row>
    <row r="1300" spans="1:18" x14ac:dyDescent="0.3">
      <c r="A1300" s="34" t="str">
        <f>base!J1300</f>
        <v>RS</v>
      </c>
      <c r="B1300" s="34" t="str">
        <f>base!V1300</f>
        <v>69006</v>
      </c>
      <c r="C1300" s="37">
        <v>69</v>
      </c>
      <c r="D1300" s="36">
        <f>base!H1300</f>
        <v>29.59</v>
      </c>
      <c r="E1300" s="44"/>
      <c r="F1300" s="16">
        <f>base!W1300</f>
        <v>0</v>
      </c>
      <c r="G1300" s="11">
        <f t="shared" si="200"/>
        <v>0</v>
      </c>
      <c r="H1300" s="11">
        <f t="shared" si="201"/>
        <v>7.9893000000000001</v>
      </c>
      <c r="I1300" s="11">
        <f t="shared" si="202"/>
        <v>0.27</v>
      </c>
      <c r="J1300" s="12">
        <f t="shared" si="203"/>
        <v>-7.9893000000000001</v>
      </c>
      <c r="K1300" s="17" t="str">
        <f t="shared" si="208"/>
        <v>Ecart négatif</v>
      </c>
      <c r="L1300" s="16">
        <f>base!X1300</f>
        <v>0</v>
      </c>
      <c r="M1300" s="11">
        <f t="shared" si="204"/>
        <v>0</v>
      </c>
      <c r="N1300" s="11">
        <f t="shared" si="205"/>
        <v>0</v>
      </c>
      <c r="O1300" s="11">
        <f t="shared" si="206"/>
        <v>0</v>
      </c>
      <c r="P1300" s="12">
        <f t="shared" si="207"/>
        <v>0</v>
      </c>
      <c r="Q1300" s="17" t="str">
        <f t="shared" si="209"/>
        <v>Pas d'écart</v>
      </c>
    </row>
    <row r="1301" spans="1:18" x14ac:dyDescent="0.3">
      <c r="A1301" s="34" t="str">
        <f>base!J1301</f>
        <v>RS</v>
      </c>
      <c r="B1301" s="34" t="str">
        <f>base!V1301</f>
        <v>67850</v>
      </c>
      <c r="C1301" s="37">
        <v>67</v>
      </c>
      <c r="D1301" s="36">
        <f>base!H1301</f>
        <v>140</v>
      </c>
      <c r="E1301" s="44"/>
      <c r="F1301" s="16">
        <f>base!W1301</f>
        <v>0</v>
      </c>
      <c r="G1301" s="11">
        <f t="shared" si="200"/>
        <v>0</v>
      </c>
      <c r="H1301" s="11">
        <f t="shared" si="201"/>
        <v>40.599999999999994</v>
      </c>
      <c r="I1301" s="11">
        <f t="shared" si="202"/>
        <v>0.28999999999999998</v>
      </c>
      <c r="J1301" s="12">
        <f t="shared" si="203"/>
        <v>-40.599999999999994</v>
      </c>
      <c r="K1301" s="17" t="str">
        <f t="shared" si="208"/>
        <v>Ecart négatif</v>
      </c>
      <c r="L1301" s="16">
        <f>base!X1301</f>
        <v>11.2</v>
      </c>
      <c r="M1301" s="11">
        <f t="shared" si="204"/>
        <v>0.08</v>
      </c>
      <c r="N1301" s="11">
        <f t="shared" si="205"/>
        <v>11.200000000000001</v>
      </c>
      <c r="O1301" s="11">
        <f t="shared" si="206"/>
        <v>0.08</v>
      </c>
      <c r="P1301" s="12">
        <f t="shared" si="207"/>
        <v>0</v>
      </c>
      <c r="Q1301" s="17" t="str">
        <f t="shared" si="209"/>
        <v>Pas d'écart</v>
      </c>
      <c r="R1301" s="38"/>
    </row>
    <row r="1302" spans="1:18" x14ac:dyDescent="0.3">
      <c r="A1302" s="34" t="str">
        <f>base!J1302</f>
        <v>LS</v>
      </c>
      <c r="B1302" s="34" t="str">
        <f>base!V1302</f>
        <v>68000</v>
      </c>
      <c r="C1302" s="37">
        <v>68</v>
      </c>
      <c r="D1302" s="36">
        <f>base!H1302</f>
        <v>140</v>
      </c>
      <c r="E1302" s="44"/>
      <c r="F1302" s="16">
        <f>base!W1302</f>
        <v>40.6</v>
      </c>
      <c r="G1302" s="11">
        <f t="shared" si="200"/>
        <v>0.29000000000000004</v>
      </c>
      <c r="H1302" s="11">
        <f t="shared" si="201"/>
        <v>40.599999999999994</v>
      </c>
      <c r="I1302" s="11">
        <f t="shared" si="202"/>
        <v>0.28999999999999998</v>
      </c>
      <c r="J1302" s="12">
        <f t="shared" si="203"/>
        <v>0</v>
      </c>
      <c r="K1302" s="17" t="str">
        <f t="shared" si="208"/>
        <v>Pas d'écart</v>
      </c>
      <c r="L1302" s="16">
        <f>base!X1302</f>
        <v>0</v>
      </c>
      <c r="M1302" s="11">
        <f t="shared" si="204"/>
        <v>0</v>
      </c>
      <c r="N1302" s="11">
        <f t="shared" si="205"/>
        <v>11.200000000000001</v>
      </c>
      <c r="O1302" s="11">
        <f t="shared" si="206"/>
        <v>0.08</v>
      </c>
      <c r="P1302" s="12">
        <f t="shared" si="207"/>
        <v>-11.200000000000001</v>
      </c>
      <c r="Q1302" s="17" t="str">
        <f t="shared" si="209"/>
        <v>Ecart négatif</v>
      </c>
    </row>
    <row r="1303" spans="1:18" x14ac:dyDescent="0.3">
      <c r="A1303" s="34" t="str">
        <f>base!J1303</f>
        <v>LS</v>
      </c>
      <c r="B1303" s="34" t="str">
        <f>base!V1303</f>
        <v>34970</v>
      </c>
      <c r="C1303" s="37">
        <v>27</v>
      </c>
      <c r="D1303" s="36">
        <f>base!H1303</f>
        <v>189.59</v>
      </c>
      <c r="E1303" s="44"/>
      <c r="F1303" s="16">
        <f>base!W1303</f>
        <v>73.94</v>
      </c>
      <c r="G1303" s="11">
        <f t="shared" si="200"/>
        <v>0.38999947254602035</v>
      </c>
      <c r="H1303" s="11">
        <f t="shared" si="201"/>
        <v>32.2303</v>
      </c>
      <c r="I1303" s="11">
        <f t="shared" si="202"/>
        <v>0.16999999999999998</v>
      </c>
      <c r="J1303" s="12">
        <f t="shared" si="203"/>
        <v>41.709699999999998</v>
      </c>
      <c r="K1303" s="17" t="str">
        <f t="shared" si="208"/>
        <v>Ecart positif</v>
      </c>
      <c r="L1303" s="16">
        <f>base!X1303</f>
        <v>0</v>
      </c>
      <c r="M1303" s="11">
        <f t="shared" si="204"/>
        <v>0</v>
      </c>
      <c r="N1303" s="11">
        <f t="shared" si="205"/>
        <v>32.2303</v>
      </c>
      <c r="O1303" s="11">
        <f t="shared" si="206"/>
        <v>0.16999999999999998</v>
      </c>
      <c r="P1303" s="12">
        <f t="shared" si="207"/>
        <v>-32.2303</v>
      </c>
      <c r="Q1303" s="17" t="str">
        <f t="shared" si="209"/>
        <v>Ecart négatif</v>
      </c>
    </row>
    <row r="1304" spans="1:18" x14ac:dyDescent="0.3">
      <c r="A1304" s="34" t="str">
        <f>base!J1304</f>
        <v>LS</v>
      </c>
      <c r="B1304" s="34" t="str">
        <f>base!V1304</f>
        <v>67000</v>
      </c>
      <c r="C1304" s="37">
        <v>67</v>
      </c>
      <c r="D1304" s="36">
        <f>base!H1304</f>
        <v>30</v>
      </c>
      <c r="E1304" s="44"/>
      <c r="F1304" s="16">
        <f>base!W1304</f>
        <v>8.6999999999999993</v>
      </c>
      <c r="G1304" s="11">
        <f t="shared" si="200"/>
        <v>0.28999999999999998</v>
      </c>
      <c r="H1304" s="11">
        <f t="shared" si="201"/>
        <v>8.6999999999999993</v>
      </c>
      <c r="I1304" s="11">
        <f t="shared" si="202"/>
        <v>0.28999999999999998</v>
      </c>
      <c r="J1304" s="12">
        <f t="shared" si="203"/>
        <v>0</v>
      </c>
      <c r="K1304" s="17" t="str">
        <f t="shared" si="208"/>
        <v>Pas d'écart</v>
      </c>
      <c r="L1304" s="16">
        <f>base!X1304</f>
        <v>0</v>
      </c>
      <c r="M1304" s="11">
        <f t="shared" si="204"/>
        <v>0</v>
      </c>
      <c r="N1304" s="11">
        <f t="shared" si="205"/>
        <v>2.4</v>
      </c>
      <c r="O1304" s="11">
        <f t="shared" si="206"/>
        <v>0.08</v>
      </c>
      <c r="P1304" s="12">
        <f t="shared" si="207"/>
        <v>-2.4</v>
      </c>
      <c r="Q1304" s="17" t="str">
        <f t="shared" si="209"/>
        <v>Ecart négatif</v>
      </c>
    </row>
    <row r="1305" spans="1:18" x14ac:dyDescent="0.3">
      <c r="A1305" s="34" t="str">
        <f>base!J1305</f>
        <v>RS</v>
      </c>
      <c r="B1305" s="34" t="str">
        <f>base!V1305</f>
        <v>34280</v>
      </c>
      <c r="C1305" s="37">
        <v>34</v>
      </c>
      <c r="D1305" s="36">
        <f>base!H1305</f>
        <v>171.53</v>
      </c>
      <c r="E1305" s="44"/>
      <c r="F1305" s="16">
        <f>base!W1305</f>
        <v>0</v>
      </c>
      <c r="G1305" s="11">
        <f t="shared" si="200"/>
        <v>0</v>
      </c>
      <c r="H1305" s="11">
        <f t="shared" si="201"/>
        <v>66.89670000000001</v>
      </c>
      <c r="I1305" s="11">
        <f t="shared" si="202"/>
        <v>0.39000000000000007</v>
      </c>
      <c r="J1305" s="12">
        <f t="shared" si="203"/>
        <v>-66.89670000000001</v>
      </c>
      <c r="K1305" s="17" t="str">
        <f t="shared" si="208"/>
        <v>Ecart négatif</v>
      </c>
      <c r="L1305" s="16">
        <f>base!X1305</f>
        <v>0</v>
      </c>
      <c r="M1305" s="11">
        <f t="shared" si="204"/>
        <v>0</v>
      </c>
      <c r="N1305" s="11">
        <f t="shared" si="205"/>
        <v>48.028400000000005</v>
      </c>
      <c r="O1305" s="11">
        <f t="shared" si="206"/>
        <v>0.28000000000000003</v>
      </c>
      <c r="P1305" s="12">
        <f t="shared" si="207"/>
        <v>-48.028400000000005</v>
      </c>
      <c r="Q1305" s="17" t="str">
        <f t="shared" si="209"/>
        <v>Ecart négatif</v>
      </c>
    </row>
    <row r="1306" spans="1:18" x14ac:dyDescent="0.3">
      <c r="A1306" s="34" t="str">
        <f>base!J1306</f>
        <v>RS</v>
      </c>
      <c r="B1306" s="34" t="str">
        <f>base!V1306</f>
        <v>73400</v>
      </c>
      <c r="C1306" s="37">
        <v>73</v>
      </c>
      <c r="D1306" s="36">
        <f>base!H1306</f>
        <v>168.16</v>
      </c>
      <c r="E1306" s="44"/>
      <c r="F1306" s="16">
        <f>base!W1306</f>
        <v>0</v>
      </c>
      <c r="G1306" s="11">
        <f t="shared" si="200"/>
        <v>0</v>
      </c>
      <c r="H1306" s="11">
        <f t="shared" si="201"/>
        <v>45.403200000000005</v>
      </c>
      <c r="I1306" s="11">
        <f t="shared" si="202"/>
        <v>0.27</v>
      </c>
      <c r="J1306" s="12">
        <f t="shared" si="203"/>
        <v>-45.403200000000005</v>
      </c>
      <c r="K1306" s="17" t="str">
        <f t="shared" si="208"/>
        <v>Ecart négatif</v>
      </c>
      <c r="L1306" s="16">
        <f>base!X1306</f>
        <v>0</v>
      </c>
      <c r="M1306" s="11">
        <f t="shared" si="204"/>
        <v>0</v>
      </c>
      <c r="N1306" s="11">
        <f t="shared" si="205"/>
        <v>0</v>
      </c>
      <c r="O1306" s="11">
        <f t="shared" si="206"/>
        <v>0</v>
      </c>
      <c r="P1306" s="12">
        <f t="shared" si="207"/>
        <v>0</v>
      </c>
      <c r="Q1306" s="17" t="str">
        <f t="shared" si="209"/>
        <v>Pas d'écart</v>
      </c>
    </row>
    <row r="1307" spans="1:18" x14ac:dyDescent="0.3">
      <c r="A1307" s="34" t="str">
        <f>base!J1307</f>
        <v>RS</v>
      </c>
      <c r="B1307" s="34" t="str">
        <f>base!V1307</f>
        <v>75015</v>
      </c>
      <c r="C1307" s="37">
        <v>75</v>
      </c>
      <c r="D1307" s="36">
        <f>base!H1307</f>
        <v>70</v>
      </c>
      <c r="E1307" s="44"/>
      <c r="F1307" s="16">
        <f>base!W1307</f>
        <v>0</v>
      </c>
      <c r="G1307" s="11">
        <f t="shared" si="200"/>
        <v>0</v>
      </c>
      <c r="H1307" s="11">
        <f t="shared" si="201"/>
        <v>0</v>
      </c>
      <c r="I1307" s="11">
        <f t="shared" si="202"/>
        <v>0</v>
      </c>
      <c r="J1307" s="12">
        <f t="shared" si="203"/>
        <v>0</v>
      </c>
      <c r="K1307" s="17" t="str">
        <f t="shared" si="208"/>
        <v>Pas d'écart</v>
      </c>
      <c r="L1307" s="16">
        <f>base!X1307</f>
        <v>0</v>
      </c>
      <c r="M1307" s="11">
        <f t="shared" si="204"/>
        <v>0</v>
      </c>
      <c r="N1307" s="11">
        <f t="shared" si="205"/>
        <v>0</v>
      </c>
      <c r="O1307" s="11">
        <f t="shared" si="206"/>
        <v>0</v>
      </c>
      <c r="P1307" s="12">
        <f t="shared" si="207"/>
        <v>0</v>
      </c>
      <c r="Q1307" s="17" t="str">
        <f t="shared" si="209"/>
        <v>Pas d'écart</v>
      </c>
    </row>
    <row r="1308" spans="1:18" x14ac:dyDescent="0.3">
      <c r="A1308" s="34" t="str">
        <f>base!J1308</f>
        <v>RM</v>
      </c>
      <c r="B1308" s="34" t="str">
        <f>base!V1308</f>
        <v>71200</v>
      </c>
      <c r="C1308" s="37">
        <v>71</v>
      </c>
      <c r="D1308" s="36">
        <f>base!H1308</f>
        <v>140</v>
      </c>
      <c r="E1308" s="44"/>
      <c r="F1308" s="16">
        <f>base!W1308</f>
        <v>0</v>
      </c>
      <c r="G1308" s="11">
        <f t="shared" si="200"/>
        <v>0</v>
      </c>
      <c r="H1308" s="11">
        <f t="shared" si="201"/>
        <v>37.800000000000004</v>
      </c>
      <c r="I1308" s="11">
        <f t="shared" si="202"/>
        <v>0.27</v>
      </c>
      <c r="J1308" s="12">
        <f t="shared" si="203"/>
        <v>-37.800000000000004</v>
      </c>
      <c r="K1308" s="17" t="str">
        <f t="shared" si="208"/>
        <v>Ecart négatif</v>
      </c>
      <c r="L1308" s="16">
        <f>base!X1308</f>
        <v>0</v>
      </c>
      <c r="M1308" s="11">
        <f t="shared" si="204"/>
        <v>0</v>
      </c>
      <c r="N1308" s="11">
        <f t="shared" si="205"/>
        <v>0</v>
      </c>
      <c r="O1308" s="11">
        <f t="shared" si="206"/>
        <v>0</v>
      </c>
      <c r="P1308" s="12">
        <f t="shared" si="207"/>
        <v>0</v>
      </c>
      <c r="Q1308" s="17" t="str">
        <f t="shared" si="209"/>
        <v>Pas d'écart</v>
      </c>
    </row>
    <row r="1309" spans="1:18" x14ac:dyDescent="0.3">
      <c r="A1309" s="34" t="str">
        <f>base!J1309</f>
        <v>RM</v>
      </c>
      <c r="B1309" s="34" t="str">
        <f>base!V1309</f>
        <v>39500</v>
      </c>
      <c r="C1309" s="37">
        <v>39</v>
      </c>
      <c r="D1309" s="36">
        <f>base!H1309</f>
        <v>29.89</v>
      </c>
      <c r="E1309" s="44"/>
      <c r="F1309" s="16">
        <f>base!W1309</f>
        <v>0</v>
      </c>
      <c r="G1309" s="11">
        <f t="shared" si="200"/>
        <v>0</v>
      </c>
      <c r="H1309" s="11">
        <f t="shared" si="201"/>
        <v>8.0703000000000014</v>
      </c>
      <c r="I1309" s="11">
        <f t="shared" si="202"/>
        <v>0.27</v>
      </c>
      <c r="J1309" s="12">
        <f t="shared" si="203"/>
        <v>-8.0703000000000014</v>
      </c>
      <c r="K1309" s="17" t="str">
        <f t="shared" si="208"/>
        <v>Ecart négatif</v>
      </c>
      <c r="L1309" s="16">
        <f>base!X1309</f>
        <v>0</v>
      </c>
      <c r="M1309" s="11">
        <f t="shared" si="204"/>
        <v>0</v>
      </c>
      <c r="N1309" s="11">
        <f t="shared" si="205"/>
        <v>0</v>
      </c>
      <c r="O1309" s="11">
        <f t="shared" si="206"/>
        <v>0</v>
      </c>
      <c r="P1309" s="12">
        <f t="shared" si="207"/>
        <v>0</v>
      </c>
      <c r="Q1309" s="17" t="str">
        <f t="shared" si="209"/>
        <v>Pas d'écart</v>
      </c>
    </row>
    <row r="1310" spans="1:18" x14ac:dyDescent="0.3">
      <c r="A1310" s="34" t="str">
        <f>base!J1310</f>
        <v>RM</v>
      </c>
      <c r="B1310" s="34" t="str">
        <f>base!V1310</f>
        <v>69100</v>
      </c>
      <c r="C1310" s="37">
        <v>69</v>
      </c>
      <c r="D1310" s="36">
        <f>base!H1310</f>
        <v>180</v>
      </c>
      <c r="E1310" s="44"/>
      <c r="F1310" s="16">
        <f>base!W1310</f>
        <v>0</v>
      </c>
      <c r="G1310" s="11">
        <f t="shared" si="200"/>
        <v>0</v>
      </c>
      <c r="H1310" s="11">
        <f t="shared" si="201"/>
        <v>48.6</v>
      </c>
      <c r="I1310" s="11">
        <f t="shared" si="202"/>
        <v>0.27</v>
      </c>
      <c r="J1310" s="12">
        <f t="shared" si="203"/>
        <v>-48.6</v>
      </c>
      <c r="K1310" s="17" t="str">
        <f t="shared" si="208"/>
        <v>Ecart négatif</v>
      </c>
      <c r="L1310" s="16">
        <f>base!X1310</f>
        <v>0</v>
      </c>
      <c r="M1310" s="11">
        <f t="shared" si="204"/>
        <v>0</v>
      </c>
      <c r="N1310" s="11">
        <f t="shared" si="205"/>
        <v>0</v>
      </c>
      <c r="O1310" s="11">
        <f t="shared" si="206"/>
        <v>0</v>
      </c>
      <c r="P1310" s="12">
        <f t="shared" si="207"/>
        <v>0</v>
      </c>
      <c r="Q1310" s="17" t="str">
        <f t="shared" si="209"/>
        <v>Pas d'écart</v>
      </c>
    </row>
    <row r="1311" spans="1:18" x14ac:dyDescent="0.3">
      <c r="A1311" s="34" t="str">
        <f>base!J1311</f>
        <v>RM</v>
      </c>
      <c r="B1311" s="34" t="str">
        <f>base!V1311</f>
        <v>51150</v>
      </c>
      <c r="C1311" s="37">
        <v>51</v>
      </c>
      <c r="D1311" s="36">
        <f>base!H1311</f>
        <v>33</v>
      </c>
      <c r="E1311" s="44"/>
      <c r="F1311" s="16">
        <f>base!W1311</f>
        <v>0</v>
      </c>
      <c r="G1311" s="11">
        <f t="shared" si="200"/>
        <v>0</v>
      </c>
      <c r="H1311" s="11">
        <f t="shared" si="201"/>
        <v>8.25</v>
      </c>
      <c r="I1311" s="11">
        <f t="shared" si="202"/>
        <v>0.25</v>
      </c>
      <c r="J1311" s="12">
        <f t="shared" si="203"/>
        <v>-8.25</v>
      </c>
      <c r="K1311" s="17" t="str">
        <f t="shared" si="208"/>
        <v>Ecart négatif</v>
      </c>
      <c r="L1311" s="16">
        <f>base!X1311</f>
        <v>8.25</v>
      </c>
      <c r="M1311" s="11">
        <f t="shared" si="204"/>
        <v>0.25</v>
      </c>
      <c r="N1311" s="11">
        <f t="shared" si="205"/>
        <v>8.25</v>
      </c>
      <c r="O1311" s="11">
        <f t="shared" si="206"/>
        <v>0.25</v>
      </c>
      <c r="P1311" s="12">
        <f t="shared" si="207"/>
        <v>0</v>
      </c>
      <c r="Q1311" s="17" t="str">
        <f t="shared" si="209"/>
        <v>Pas d'écart</v>
      </c>
      <c r="R1311" s="38"/>
    </row>
    <row r="1312" spans="1:18" x14ac:dyDescent="0.3">
      <c r="A1312" s="34" t="str">
        <f>base!J1312</f>
        <v>RS</v>
      </c>
      <c r="B1312" s="34" t="str">
        <f>base!V1312</f>
        <v>41000</v>
      </c>
      <c r="C1312" s="37">
        <v>41</v>
      </c>
      <c r="D1312" s="36">
        <f>base!H1312</f>
        <v>141.25</v>
      </c>
      <c r="E1312" s="44"/>
      <c r="F1312" s="16">
        <f>base!W1312</f>
        <v>0</v>
      </c>
      <c r="G1312" s="11">
        <f t="shared" si="200"/>
        <v>0</v>
      </c>
      <c r="H1312" s="11">
        <f t="shared" si="201"/>
        <v>29.662499999999998</v>
      </c>
      <c r="I1312" s="11">
        <f t="shared" si="202"/>
        <v>0.21</v>
      </c>
      <c r="J1312" s="12">
        <f t="shared" si="203"/>
        <v>-29.662499999999998</v>
      </c>
      <c r="K1312" s="17" t="str">
        <f t="shared" si="208"/>
        <v>Ecart négatif</v>
      </c>
      <c r="L1312" s="16">
        <f>base!X1312</f>
        <v>0</v>
      </c>
      <c r="M1312" s="11">
        <f t="shared" si="204"/>
        <v>0</v>
      </c>
      <c r="N1312" s="11">
        <f t="shared" si="205"/>
        <v>16.95</v>
      </c>
      <c r="O1312" s="11">
        <f t="shared" si="206"/>
        <v>0.12</v>
      </c>
      <c r="P1312" s="12">
        <f t="shared" si="207"/>
        <v>-16.95</v>
      </c>
      <c r="Q1312" s="17" t="str">
        <f t="shared" si="209"/>
        <v>Ecart négatif</v>
      </c>
    </row>
    <row r="1313" spans="1:18" x14ac:dyDescent="0.3">
      <c r="A1313" s="34" t="str">
        <f>base!J1313</f>
        <v>LM</v>
      </c>
      <c r="B1313" s="34" t="str">
        <f>base!V1313</f>
        <v>61250</v>
      </c>
      <c r="C1313" s="37">
        <v>76</v>
      </c>
      <c r="D1313" s="36">
        <f>base!H1313</f>
        <v>200.31</v>
      </c>
      <c r="E1313" s="44"/>
      <c r="F1313" s="16">
        <f>base!W1313</f>
        <v>34.049999999999997</v>
      </c>
      <c r="G1313" s="11">
        <f t="shared" si="200"/>
        <v>0.16998652089261643</v>
      </c>
      <c r="H1313" s="11">
        <f t="shared" si="201"/>
        <v>34.052700000000002</v>
      </c>
      <c r="I1313" s="11">
        <f t="shared" si="202"/>
        <v>0.17</v>
      </c>
      <c r="J1313" s="12">
        <f t="shared" si="203"/>
        <v>-2.7000000000043656E-3</v>
      </c>
      <c r="K1313" s="17" t="str">
        <f t="shared" si="208"/>
        <v>Ecart négatif</v>
      </c>
      <c r="L1313" s="16">
        <f>base!X1313</f>
        <v>0</v>
      </c>
      <c r="M1313" s="11">
        <f t="shared" si="204"/>
        <v>0</v>
      </c>
      <c r="N1313" s="11">
        <f t="shared" si="205"/>
        <v>34.052700000000002</v>
      </c>
      <c r="O1313" s="11">
        <f t="shared" si="206"/>
        <v>0.17</v>
      </c>
      <c r="P1313" s="12">
        <f t="shared" si="207"/>
        <v>-34.052700000000002</v>
      </c>
      <c r="Q1313" s="17" t="str">
        <f t="shared" si="209"/>
        <v>Ecart négatif</v>
      </c>
    </row>
    <row r="1314" spans="1:18" x14ac:dyDescent="0.3">
      <c r="A1314" s="34" t="str">
        <f>base!J1314</f>
        <v>RM</v>
      </c>
      <c r="B1314" s="34" t="str">
        <f>base!V1314</f>
        <v>44600</v>
      </c>
      <c r="C1314" s="37">
        <v>44</v>
      </c>
      <c r="D1314" s="36">
        <f>base!H1314</f>
        <v>50</v>
      </c>
      <c r="E1314" s="44"/>
      <c r="F1314" s="16">
        <f>base!W1314</f>
        <v>0</v>
      </c>
      <c r="G1314" s="11">
        <f t="shared" si="200"/>
        <v>0</v>
      </c>
      <c r="H1314" s="11">
        <f t="shared" si="201"/>
        <v>13.5</v>
      </c>
      <c r="I1314" s="11">
        <f t="shared" si="202"/>
        <v>0.27</v>
      </c>
      <c r="J1314" s="12">
        <f t="shared" si="203"/>
        <v>-13.5</v>
      </c>
      <c r="K1314" s="17" t="str">
        <f t="shared" si="208"/>
        <v>Ecart négatif</v>
      </c>
      <c r="L1314" s="16">
        <f>base!X1314</f>
        <v>13.5</v>
      </c>
      <c r="M1314" s="11">
        <f t="shared" si="204"/>
        <v>0.27</v>
      </c>
      <c r="N1314" s="11">
        <f t="shared" si="205"/>
        <v>0</v>
      </c>
      <c r="O1314" s="11">
        <f t="shared" si="206"/>
        <v>0</v>
      </c>
      <c r="P1314" s="12">
        <f t="shared" si="207"/>
        <v>13.5</v>
      </c>
      <c r="Q1314" s="17" t="str">
        <f t="shared" si="209"/>
        <v>Ecart positif</v>
      </c>
    </row>
    <row r="1315" spans="1:18" x14ac:dyDescent="0.3">
      <c r="A1315" s="34" t="str">
        <f>base!J1315</f>
        <v>RS</v>
      </c>
      <c r="B1315" s="34" t="str">
        <f>base!V1315</f>
        <v>88000</v>
      </c>
      <c r="C1315" s="37">
        <v>88</v>
      </c>
      <c r="D1315" s="36">
        <f>base!H1315</f>
        <v>140</v>
      </c>
      <c r="E1315" s="44"/>
      <c r="F1315" s="16">
        <f>base!W1315</f>
        <v>0</v>
      </c>
      <c r="G1315" s="11">
        <f t="shared" si="200"/>
        <v>0</v>
      </c>
      <c r="H1315" s="11">
        <f t="shared" si="201"/>
        <v>39.200000000000003</v>
      </c>
      <c r="I1315" s="11">
        <f t="shared" si="202"/>
        <v>0.28000000000000003</v>
      </c>
      <c r="J1315" s="12">
        <f t="shared" si="203"/>
        <v>-39.200000000000003</v>
      </c>
      <c r="K1315" s="17" t="str">
        <f t="shared" si="208"/>
        <v>Ecart négatif</v>
      </c>
      <c r="L1315" s="16">
        <f>base!X1315</f>
        <v>11.2</v>
      </c>
      <c r="M1315" s="11">
        <f t="shared" si="204"/>
        <v>0.08</v>
      </c>
      <c r="N1315" s="11">
        <f t="shared" si="205"/>
        <v>11.200000000000001</v>
      </c>
      <c r="O1315" s="11">
        <f t="shared" si="206"/>
        <v>0.08</v>
      </c>
      <c r="P1315" s="12">
        <f t="shared" si="207"/>
        <v>0</v>
      </c>
      <c r="Q1315" s="17" t="str">
        <f t="shared" si="209"/>
        <v>Pas d'écart</v>
      </c>
      <c r="R1315" s="38"/>
    </row>
    <row r="1316" spans="1:18" x14ac:dyDescent="0.3">
      <c r="A1316" s="34" t="str">
        <f>base!J1316</f>
        <v>RM</v>
      </c>
      <c r="B1316" s="34" t="str">
        <f>base!V1316</f>
        <v>37210</v>
      </c>
      <c r="C1316" s="37">
        <v>37</v>
      </c>
      <c r="D1316" s="36">
        <f>base!H1316</f>
        <v>140</v>
      </c>
      <c r="E1316" s="44"/>
      <c r="F1316" s="16">
        <f>base!W1316</f>
        <v>0</v>
      </c>
      <c r="G1316" s="11">
        <f t="shared" si="200"/>
        <v>0</v>
      </c>
      <c r="H1316" s="11">
        <f t="shared" si="201"/>
        <v>26.6</v>
      </c>
      <c r="I1316" s="11">
        <f t="shared" si="202"/>
        <v>0.19</v>
      </c>
      <c r="J1316" s="12">
        <f t="shared" si="203"/>
        <v>-26.6</v>
      </c>
      <c r="K1316" s="17" t="str">
        <f t="shared" si="208"/>
        <v>Ecart négatif</v>
      </c>
      <c r="L1316" s="16">
        <f>base!X1316</f>
        <v>0</v>
      </c>
      <c r="M1316" s="11">
        <f t="shared" si="204"/>
        <v>0</v>
      </c>
      <c r="N1316" s="11">
        <f t="shared" si="205"/>
        <v>16.8</v>
      </c>
      <c r="O1316" s="11">
        <f t="shared" si="206"/>
        <v>0.12000000000000001</v>
      </c>
      <c r="P1316" s="12">
        <f t="shared" si="207"/>
        <v>-16.8</v>
      </c>
      <c r="Q1316" s="17" t="str">
        <f t="shared" si="209"/>
        <v>Ecart négatif</v>
      </c>
    </row>
    <row r="1317" spans="1:18" x14ac:dyDescent="0.3">
      <c r="A1317" s="34" t="str">
        <f>base!J1317</f>
        <v>RS</v>
      </c>
      <c r="B1317" s="34" t="str">
        <f>base!V1317</f>
        <v>06480</v>
      </c>
      <c r="C1317" s="37">
        <v>6</v>
      </c>
      <c r="D1317" s="36">
        <f>base!H1317</f>
        <v>250</v>
      </c>
      <c r="E1317" s="44"/>
      <c r="F1317" s="16">
        <f>base!W1317</f>
        <v>0</v>
      </c>
      <c r="G1317" s="11">
        <f t="shared" si="200"/>
        <v>0</v>
      </c>
      <c r="H1317" s="11">
        <f t="shared" si="201"/>
        <v>75</v>
      </c>
      <c r="I1317" s="11">
        <f t="shared" si="202"/>
        <v>0.3</v>
      </c>
      <c r="J1317" s="12">
        <f t="shared" si="203"/>
        <v>-75</v>
      </c>
      <c r="K1317" s="17" t="str">
        <f t="shared" si="208"/>
        <v>Ecart négatif</v>
      </c>
      <c r="L1317" s="16">
        <f>base!X1317</f>
        <v>0</v>
      </c>
      <c r="M1317" s="11">
        <f t="shared" si="204"/>
        <v>0</v>
      </c>
      <c r="N1317" s="11">
        <f t="shared" si="205"/>
        <v>52.5</v>
      </c>
      <c r="O1317" s="11">
        <f t="shared" si="206"/>
        <v>0.21</v>
      </c>
      <c r="P1317" s="12">
        <f t="shared" si="207"/>
        <v>-52.5</v>
      </c>
      <c r="Q1317" s="17" t="str">
        <f t="shared" si="209"/>
        <v>Ecart négatif</v>
      </c>
    </row>
    <row r="1318" spans="1:18" x14ac:dyDescent="0.3">
      <c r="A1318" s="34" t="str">
        <f>base!J1318</f>
        <v>LS</v>
      </c>
      <c r="B1318" s="34" t="str">
        <f>base!V1318</f>
        <v>94360</v>
      </c>
      <c r="C1318" s="37">
        <v>94</v>
      </c>
      <c r="D1318" s="36">
        <f>base!H1318</f>
        <v>298.95999999999998</v>
      </c>
      <c r="E1318" s="44"/>
      <c r="F1318" s="16">
        <f>base!W1318</f>
        <v>0</v>
      </c>
      <c r="G1318" s="11">
        <f t="shared" si="200"/>
        <v>0</v>
      </c>
      <c r="H1318" s="11">
        <f t="shared" si="201"/>
        <v>0</v>
      </c>
      <c r="I1318" s="11">
        <f t="shared" si="202"/>
        <v>0</v>
      </c>
      <c r="J1318" s="12">
        <f t="shared" si="203"/>
        <v>0</v>
      </c>
      <c r="K1318" s="17" t="str">
        <f t="shared" si="208"/>
        <v>Pas d'écart</v>
      </c>
      <c r="L1318" s="16">
        <f>base!X1318</f>
        <v>0</v>
      </c>
      <c r="M1318" s="11">
        <f t="shared" si="204"/>
        <v>0</v>
      </c>
      <c r="N1318" s="11">
        <f t="shared" si="205"/>
        <v>0</v>
      </c>
      <c r="O1318" s="11">
        <f t="shared" si="206"/>
        <v>0</v>
      </c>
      <c r="P1318" s="12">
        <f t="shared" si="207"/>
        <v>0</v>
      </c>
      <c r="Q1318" s="17" t="str">
        <f t="shared" si="209"/>
        <v>Pas d'écart</v>
      </c>
    </row>
    <row r="1319" spans="1:18" x14ac:dyDescent="0.3">
      <c r="A1319" s="34" t="str">
        <f>base!J1319</f>
        <v>RS</v>
      </c>
      <c r="B1319" s="34" t="str">
        <f>base!V1319</f>
        <v>24100</v>
      </c>
      <c r="C1319" s="37">
        <v>24</v>
      </c>
      <c r="D1319" s="36">
        <f>base!H1319</f>
        <v>73.599999999999994</v>
      </c>
      <c r="E1319" s="44"/>
      <c r="F1319" s="16">
        <f>base!W1319</f>
        <v>0</v>
      </c>
      <c r="G1319" s="11">
        <f t="shared" si="200"/>
        <v>0</v>
      </c>
      <c r="H1319" s="11">
        <f t="shared" si="201"/>
        <v>15.455999999999998</v>
      </c>
      <c r="I1319" s="11">
        <f t="shared" si="202"/>
        <v>0.21</v>
      </c>
      <c r="J1319" s="12">
        <f t="shared" si="203"/>
        <v>-15.455999999999998</v>
      </c>
      <c r="K1319" s="17" t="str">
        <f t="shared" si="208"/>
        <v>Ecart négatif</v>
      </c>
      <c r="L1319" s="16">
        <f>base!X1319</f>
        <v>12.51</v>
      </c>
      <c r="M1319" s="11">
        <f t="shared" si="204"/>
        <v>0.16997282608695652</v>
      </c>
      <c r="N1319" s="11">
        <f t="shared" si="205"/>
        <v>12.512</v>
      </c>
      <c r="O1319" s="11">
        <f t="shared" si="206"/>
        <v>0.17</v>
      </c>
      <c r="P1319" s="12">
        <f t="shared" si="207"/>
        <v>-2.0000000000006679E-3</v>
      </c>
      <c r="Q1319" s="17" t="str">
        <f t="shared" si="209"/>
        <v>Ecart négatif</v>
      </c>
      <c r="R1319" s="38"/>
    </row>
    <row r="1320" spans="1:18" x14ac:dyDescent="0.3">
      <c r="A1320" s="34" t="str">
        <f>base!J1320</f>
        <v>RS</v>
      </c>
      <c r="B1320" s="34" t="str">
        <f>base!V1320</f>
        <v>24500</v>
      </c>
      <c r="C1320" s="37">
        <v>24</v>
      </c>
      <c r="D1320" s="36">
        <f>base!H1320</f>
        <v>73.599999999999994</v>
      </c>
      <c r="E1320" s="44"/>
      <c r="F1320" s="16">
        <f>base!W1320</f>
        <v>0</v>
      </c>
      <c r="G1320" s="11">
        <f t="shared" si="200"/>
        <v>0</v>
      </c>
      <c r="H1320" s="11">
        <f t="shared" si="201"/>
        <v>15.455999999999998</v>
      </c>
      <c r="I1320" s="11">
        <f t="shared" si="202"/>
        <v>0.21</v>
      </c>
      <c r="J1320" s="12">
        <f t="shared" si="203"/>
        <v>-15.455999999999998</v>
      </c>
      <c r="K1320" s="17" t="str">
        <f t="shared" si="208"/>
        <v>Ecart négatif</v>
      </c>
      <c r="L1320" s="16">
        <f>base!X1320</f>
        <v>12.51</v>
      </c>
      <c r="M1320" s="11">
        <f t="shared" si="204"/>
        <v>0.16997282608695652</v>
      </c>
      <c r="N1320" s="11">
        <f t="shared" si="205"/>
        <v>12.512</v>
      </c>
      <c r="O1320" s="11">
        <f t="shared" si="206"/>
        <v>0.17</v>
      </c>
      <c r="P1320" s="12">
        <f t="shared" si="207"/>
        <v>-2.0000000000006679E-3</v>
      </c>
      <c r="Q1320" s="17" t="str">
        <f t="shared" si="209"/>
        <v>Ecart négatif</v>
      </c>
      <c r="R1320" s="38"/>
    </row>
    <row r="1321" spans="1:18" x14ac:dyDescent="0.3">
      <c r="A1321" s="34" t="str">
        <f>base!J1321</f>
        <v>DLS</v>
      </c>
      <c r="B1321" s="34" t="str">
        <f>base!V1321</f>
        <v>76300</v>
      </c>
      <c r="C1321" s="37">
        <v>76</v>
      </c>
      <c r="D1321" s="36">
        <f>base!H1321</f>
        <v>405.07</v>
      </c>
      <c r="E1321" s="44"/>
      <c r="F1321" s="16">
        <f>base!W1321</f>
        <v>0</v>
      </c>
      <c r="G1321" s="11">
        <f t="shared" si="200"/>
        <v>0</v>
      </c>
      <c r="H1321" s="11">
        <f t="shared" si="201"/>
        <v>68.861900000000006</v>
      </c>
      <c r="I1321" s="11">
        <f t="shared" si="202"/>
        <v>0.17</v>
      </c>
      <c r="J1321" s="12">
        <f t="shared" si="203"/>
        <v>-68.861900000000006</v>
      </c>
      <c r="K1321" s="17" t="str">
        <f t="shared" si="208"/>
        <v>Ecart négatif</v>
      </c>
      <c r="L1321" s="16">
        <f>base!X1321</f>
        <v>0</v>
      </c>
      <c r="M1321" s="11">
        <f t="shared" si="204"/>
        <v>0</v>
      </c>
      <c r="N1321" s="11">
        <f t="shared" si="205"/>
        <v>68.861900000000006</v>
      </c>
      <c r="O1321" s="11">
        <f t="shared" si="206"/>
        <v>0.17</v>
      </c>
      <c r="P1321" s="12">
        <f t="shared" si="207"/>
        <v>-68.861900000000006</v>
      </c>
      <c r="Q1321" s="17" t="str">
        <f t="shared" si="209"/>
        <v>Ecart négatif</v>
      </c>
    </row>
    <row r="1322" spans="1:18" x14ac:dyDescent="0.3">
      <c r="A1322" s="34" t="str">
        <f>base!J1322</f>
        <v>RS</v>
      </c>
      <c r="B1322" s="34" t="str">
        <f>base!V1322</f>
        <v>88200</v>
      </c>
      <c r="C1322" s="37">
        <v>88</v>
      </c>
      <c r="D1322" s="36">
        <f>base!H1322</f>
        <v>109.06</v>
      </c>
      <c r="E1322" s="44"/>
      <c r="F1322" s="16">
        <f>base!W1322</f>
        <v>0</v>
      </c>
      <c r="G1322" s="11">
        <f t="shared" si="200"/>
        <v>0</v>
      </c>
      <c r="H1322" s="11">
        <f t="shared" si="201"/>
        <v>30.536800000000003</v>
      </c>
      <c r="I1322" s="11">
        <f t="shared" si="202"/>
        <v>0.28000000000000003</v>
      </c>
      <c r="J1322" s="12">
        <f t="shared" si="203"/>
        <v>-30.536800000000003</v>
      </c>
      <c r="K1322" s="17" t="str">
        <f t="shared" si="208"/>
        <v>Ecart négatif</v>
      </c>
      <c r="L1322" s="16">
        <f>base!X1322</f>
        <v>8.7200000000000006</v>
      </c>
      <c r="M1322" s="11">
        <f t="shared" si="204"/>
        <v>7.9955987529800113E-2</v>
      </c>
      <c r="N1322" s="11">
        <f t="shared" si="205"/>
        <v>8.7248000000000001</v>
      </c>
      <c r="O1322" s="11">
        <f t="shared" si="206"/>
        <v>0.08</v>
      </c>
      <c r="P1322" s="12">
        <f t="shared" si="207"/>
        <v>-4.7999999999994714E-3</v>
      </c>
      <c r="Q1322" s="17" t="str">
        <f t="shared" si="209"/>
        <v>Ecart négatif</v>
      </c>
      <c r="R1322" s="38"/>
    </row>
    <row r="1323" spans="1:18" x14ac:dyDescent="0.3">
      <c r="A1323" s="34" t="str">
        <f>base!J1323</f>
        <v>RM</v>
      </c>
      <c r="B1323" s="34" t="str">
        <f>base!V1323</f>
        <v>98000</v>
      </c>
      <c r="C1323" s="37">
        <v>98</v>
      </c>
      <c r="D1323" s="36">
        <f>base!H1323</f>
        <v>38.54</v>
      </c>
      <c r="E1323" s="44"/>
      <c r="F1323" s="16">
        <f>base!W1323</f>
        <v>0</v>
      </c>
      <c r="G1323" s="11">
        <f t="shared" si="200"/>
        <v>0</v>
      </c>
      <c r="H1323" s="11">
        <f t="shared" si="201"/>
        <v>10.405800000000001</v>
      </c>
      <c r="I1323" s="11">
        <f t="shared" si="202"/>
        <v>0.27</v>
      </c>
      <c r="J1323" s="12">
        <f t="shared" si="203"/>
        <v>-10.405800000000001</v>
      </c>
      <c r="K1323" s="17" t="str">
        <f t="shared" si="208"/>
        <v>Ecart négatif</v>
      </c>
      <c r="L1323" s="16">
        <f>base!X1323</f>
        <v>0</v>
      </c>
      <c r="M1323" s="11">
        <f t="shared" si="204"/>
        <v>0</v>
      </c>
      <c r="N1323" s="11">
        <f t="shared" si="205"/>
        <v>8.093399999999999</v>
      </c>
      <c r="O1323" s="11">
        <f t="shared" si="206"/>
        <v>0.21</v>
      </c>
      <c r="P1323" s="12">
        <f t="shared" si="207"/>
        <v>-8.093399999999999</v>
      </c>
      <c r="Q1323" s="17" t="str">
        <f t="shared" si="209"/>
        <v>Ecart négatif</v>
      </c>
    </row>
    <row r="1324" spans="1:18" x14ac:dyDescent="0.3">
      <c r="A1324" s="34" t="str">
        <f>base!J1324</f>
        <v>RM</v>
      </c>
      <c r="B1324" s="34" t="str">
        <f>base!V1324</f>
        <v>04800</v>
      </c>
      <c r="C1324" s="37">
        <v>4</v>
      </c>
      <c r="D1324" s="36">
        <f>base!H1324</f>
        <v>32.6</v>
      </c>
      <c r="E1324" s="44"/>
      <c r="F1324" s="16">
        <f>base!W1324</f>
        <v>0</v>
      </c>
      <c r="G1324" s="11">
        <f t="shared" si="200"/>
        <v>0</v>
      </c>
      <c r="H1324" s="11">
        <f t="shared" si="201"/>
        <v>9.4540000000000006</v>
      </c>
      <c r="I1324" s="11">
        <f t="shared" si="202"/>
        <v>0.28999999999999998</v>
      </c>
      <c r="J1324" s="12">
        <f t="shared" si="203"/>
        <v>-9.4540000000000006</v>
      </c>
      <c r="K1324" s="17" t="str">
        <f t="shared" si="208"/>
        <v>Ecart négatif</v>
      </c>
      <c r="L1324" s="16">
        <f>base!X1324</f>
        <v>0</v>
      </c>
      <c r="M1324" s="11">
        <f t="shared" si="204"/>
        <v>0</v>
      </c>
      <c r="N1324" s="11">
        <f t="shared" si="205"/>
        <v>6.194</v>
      </c>
      <c r="O1324" s="11">
        <f t="shared" si="206"/>
        <v>0.19</v>
      </c>
      <c r="P1324" s="12">
        <f t="shared" si="207"/>
        <v>-6.194</v>
      </c>
      <c r="Q1324" s="17" t="str">
        <f t="shared" si="209"/>
        <v>Ecart négatif</v>
      </c>
    </row>
    <row r="1325" spans="1:18" x14ac:dyDescent="0.3">
      <c r="A1325" s="34" t="str">
        <f>base!J1325</f>
        <v>RS</v>
      </c>
      <c r="B1325" s="34" t="str">
        <f>base!V1325</f>
        <v>57340</v>
      </c>
      <c r="C1325" s="37">
        <v>57</v>
      </c>
      <c r="D1325" s="36">
        <f>base!H1325</f>
        <v>140</v>
      </c>
      <c r="E1325" s="44"/>
      <c r="F1325" s="16">
        <f>base!W1325</f>
        <v>0</v>
      </c>
      <c r="G1325" s="11">
        <f t="shared" si="200"/>
        <v>0</v>
      </c>
      <c r="H1325" s="11">
        <f t="shared" si="201"/>
        <v>33.6</v>
      </c>
      <c r="I1325" s="11">
        <f t="shared" si="202"/>
        <v>0.24000000000000002</v>
      </c>
      <c r="J1325" s="12">
        <f t="shared" si="203"/>
        <v>-33.6</v>
      </c>
      <c r="K1325" s="17" t="str">
        <f t="shared" si="208"/>
        <v>Ecart négatif</v>
      </c>
      <c r="L1325" s="16">
        <f>base!X1325</f>
        <v>35</v>
      </c>
      <c r="M1325" s="11">
        <f t="shared" si="204"/>
        <v>0.25</v>
      </c>
      <c r="N1325" s="11">
        <f t="shared" si="205"/>
        <v>35</v>
      </c>
      <c r="O1325" s="11">
        <f t="shared" si="206"/>
        <v>0.25</v>
      </c>
      <c r="P1325" s="12">
        <f t="shared" si="207"/>
        <v>0</v>
      </c>
      <c r="Q1325" s="17" t="str">
        <f t="shared" si="209"/>
        <v>Pas d'écart</v>
      </c>
    </row>
    <row r="1326" spans="1:18" x14ac:dyDescent="0.3">
      <c r="A1326" s="34" t="str">
        <f>base!J1326</f>
        <v>RS</v>
      </c>
      <c r="B1326" s="34" t="str">
        <f>base!V1326</f>
        <v>88520</v>
      </c>
      <c r="C1326" s="37">
        <v>88</v>
      </c>
      <c r="D1326" s="36">
        <f>base!H1326</f>
        <v>151</v>
      </c>
      <c r="E1326" s="44"/>
      <c r="F1326" s="16">
        <f>base!W1326</f>
        <v>0</v>
      </c>
      <c r="G1326" s="11">
        <f t="shared" si="200"/>
        <v>0</v>
      </c>
      <c r="H1326" s="11">
        <f t="shared" si="201"/>
        <v>42.28</v>
      </c>
      <c r="I1326" s="11">
        <f t="shared" si="202"/>
        <v>0.28000000000000003</v>
      </c>
      <c r="J1326" s="12">
        <f t="shared" si="203"/>
        <v>-42.28</v>
      </c>
      <c r="K1326" s="17" t="str">
        <f t="shared" si="208"/>
        <v>Ecart négatif</v>
      </c>
      <c r="L1326" s="16">
        <f>base!X1326</f>
        <v>12.08</v>
      </c>
      <c r="M1326" s="11">
        <f t="shared" si="204"/>
        <v>0.08</v>
      </c>
      <c r="N1326" s="11">
        <f t="shared" si="205"/>
        <v>12.08</v>
      </c>
      <c r="O1326" s="11">
        <f t="shared" si="206"/>
        <v>0.08</v>
      </c>
      <c r="P1326" s="12">
        <f t="shared" si="207"/>
        <v>0</v>
      </c>
      <c r="Q1326" s="17" t="str">
        <f t="shared" si="209"/>
        <v>Pas d'écart</v>
      </c>
      <c r="R1326" s="38"/>
    </row>
    <row r="1327" spans="1:18" x14ac:dyDescent="0.3">
      <c r="A1327" s="34" t="str">
        <f>base!J1327</f>
        <v>LS</v>
      </c>
      <c r="B1327" s="34" t="str">
        <f>base!V1327</f>
        <v>77140</v>
      </c>
      <c r="C1327" s="37">
        <v>77</v>
      </c>
      <c r="D1327" s="36">
        <f>base!H1327</f>
        <v>0</v>
      </c>
      <c r="E1327" s="44"/>
      <c r="F1327" s="16">
        <f>base!W1327</f>
        <v>0</v>
      </c>
      <c r="G1327" s="11" t="e">
        <f t="shared" si="200"/>
        <v>#DIV/0!</v>
      </c>
      <c r="H1327" s="11">
        <f t="shared" si="201"/>
        <v>0</v>
      </c>
      <c r="I1327" s="11" t="e">
        <f t="shared" si="202"/>
        <v>#DIV/0!</v>
      </c>
      <c r="J1327" s="12">
        <f t="shared" si="203"/>
        <v>0</v>
      </c>
      <c r="K1327" s="17" t="str">
        <f t="shared" si="208"/>
        <v>Pas d'écart</v>
      </c>
      <c r="L1327" s="16">
        <f>base!X1327</f>
        <v>0</v>
      </c>
      <c r="M1327" s="11" t="e">
        <f t="shared" si="204"/>
        <v>#DIV/0!</v>
      </c>
      <c r="N1327" s="11">
        <f t="shared" si="205"/>
        <v>0</v>
      </c>
      <c r="O1327" s="11" t="e">
        <f t="shared" si="206"/>
        <v>#DIV/0!</v>
      </c>
      <c r="P1327" s="12">
        <f t="shared" si="207"/>
        <v>0</v>
      </c>
      <c r="Q1327" s="17" t="str">
        <f t="shared" si="209"/>
        <v>Pas d'écart</v>
      </c>
    </row>
    <row r="1328" spans="1:18" x14ac:dyDescent="0.3">
      <c r="A1328" s="34" t="str">
        <f>base!J1328</f>
        <v>RM</v>
      </c>
      <c r="B1328" s="34" t="str">
        <f>base!V1328</f>
        <v>85700</v>
      </c>
      <c r="C1328" s="37">
        <v>85</v>
      </c>
      <c r="D1328" s="36">
        <f>base!H1328</f>
        <v>225.96</v>
      </c>
      <c r="E1328" s="44"/>
      <c r="F1328" s="16">
        <f>base!W1328</f>
        <v>0</v>
      </c>
      <c r="G1328" s="11">
        <f t="shared" si="200"/>
        <v>0</v>
      </c>
      <c r="H1328" s="11">
        <f t="shared" si="201"/>
        <v>61.009200000000007</v>
      </c>
      <c r="I1328" s="11">
        <f t="shared" si="202"/>
        <v>0.27</v>
      </c>
      <c r="J1328" s="12">
        <f t="shared" si="203"/>
        <v>-61.009200000000007</v>
      </c>
      <c r="K1328" s="17" t="str">
        <f t="shared" si="208"/>
        <v>Ecart négatif</v>
      </c>
      <c r="L1328" s="16">
        <f>base!X1328</f>
        <v>61.01</v>
      </c>
      <c r="M1328" s="11">
        <f t="shared" si="204"/>
        <v>0.27000354044963709</v>
      </c>
      <c r="N1328" s="11">
        <f t="shared" si="205"/>
        <v>0</v>
      </c>
      <c r="O1328" s="11">
        <f t="shared" si="206"/>
        <v>0</v>
      </c>
      <c r="P1328" s="12">
        <f t="shared" si="207"/>
        <v>61.01</v>
      </c>
      <c r="Q1328" s="17" t="str">
        <f t="shared" si="209"/>
        <v>Ecart positif</v>
      </c>
      <c r="R1328" s="38"/>
    </row>
    <row r="1329" spans="1:17" x14ac:dyDescent="0.3">
      <c r="A1329" s="34" t="str">
        <f>base!J1329</f>
        <v>RM</v>
      </c>
      <c r="B1329" s="34" t="str">
        <f>base!V1329</f>
        <v>70000</v>
      </c>
      <c r="C1329" s="37">
        <v>70</v>
      </c>
      <c r="D1329" s="36">
        <f>base!H1329</f>
        <v>85</v>
      </c>
      <c r="E1329" s="44"/>
      <c r="F1329" s="16">
        <f>base!W1329</f>
        <v>0</v>
      </c>
      <c r="G1329" s="11">
        <f t="shared" si="200"/>
        <v>0</v>
      </c>
      <c r="H1329" s="11">
        <f t="shared" si="201"/>
        <v>20.399999999999999</v>
      </c>
      <c r="I1329" s="11">
        <f t="shared" si="202"/>
        <v>0.24</v>
      </c>
      <c r="J1329" s="12">
        <f t="shared" si="203"/>
        <v>-20.399999999999999</v>
      </c>
      <c r="K1329" s="17" t="str">
        <f t="shared" si="208"/>
        <v>Ecart négatif</v>
      </c>
      <c r="L1329" s="16">
        <f>base!X1329</f>
        <v>0</v>
      </c>
      <c r="M1329" s="11">
        <f t="shared" si="204"/>
        <v>0</v>
      </c>
      <c r="N1329" s="11">
        <f t="shared" si="205"/>
        <v>10.199999999999999</v>
      </c>
      <c r="O1329" s="11">
        <f t="shared" si="206"/>
        <v>0.12</v>
      </c>
      <c r="P1329" s="12">
        <f t="shared" si="207"/>
        <v>-10.199999999999999</v>
      </c>
      <c r="Q1329" s="17" t="str">
        <f t="shared" si="209"/>
        <v>Ecart négatif</v>
      </c>
    </row>
    <row r="1330" spans="1:17" x14ac:dyDescent="0.3">
      <c r="A1330" s="34" t="str">
        <f>base!J1330</f>
        <v>RM</v>
      </c>
      <c r="B1330" s="34" t="str">
        <f>base!V1330</f>
        <v>70000</v>
      </c>
      <c r="C1330" s="37">
        <v>70</v>
      </c>
      <c r="D1330" s="36">
        <f>base!H1330</f>
        <v>25</v>
      </c>
      <c r="E1330" s="44"/>
      <c r="F1330" s="16">
        <f>base!W1330</f>
        <v>0</v>
      </c>
      <c r="G1330" s="11">
        <f t="shared" si="200"/>
        <v>0</v>
      </c>
      <c r="H1330" s="11">
        <f t="shared" si="201"/>
        <v>6</v>
      </c>
      <c r="I1330" s="11">
        <f t="shared" si="202"/>
        <v>0.24</v>
      </c>
      <c r="J1330" s="12">
        <f t="shared" si="203"/>
        <v>-6</v>
      </c>
      <c r="K1330" s="17" t="str">
        <f t="shared" si="208"/>
        <v>Ecart négatif</v>
      </c>
      <c r="L1330" s="16">
        <f>base!X1330</f>
        <v>0</v>
      </c>
      <c r="M1330" s="11">
        <f t="shared" si="204"/>
        <v>0</v>
      </c>
      <c r="N1330" s="11">
        <f t="shared" si="205"/>
        <v>3</v>
      </c>
      <c r="O1330" s="11">
        <f t="shared" si="206"/>
        <v>0.12</v>
      </c>
      <c r="P1330" s="12">
        <f t="shared" si="207"/>
        <v>-3</v>
      </c>
      <c r="Q1330" s="17" t="str">
        <f t="shared" si="209"/>
        <v>Ecart négatif</v>
      </c>
    </row>
    <row r="1331" spans="1:17" x14ac:dyDescent="0.3">
      <c r="A1331" s="34" t="str">
        <f>base!J1331</f>
        <v>RM</v>
      </c>
      <c r="B1331" s="34" t="str">
        <f>base!V1331</f>
        <v>01000</v>
      </c>
      <c r="C1331" s="37">
        <v>1</v>
      </c>
      <c r="D1331" s="36">
        <f>base!H1331</f>
        <v>40</v>
      </c>
      <c r="E1331" s="44"/>
      <c r="F1331" s="16">
        <f>base!W1331</f>
        <v>0</v>
      </c>
      <c r="G1331" s="11">
        <f t="shared" si="200"/>
        <v>0</v>
      </c>
      <c r="H1331" s="11">
        <f t="shared" si="201"/>
        <v>10.4</v>
      </c>
      <c r="I1331" s="11">
        <f t="shared" si="202"/>
        <v>0.26</v>
      </c>
      <c r="J1331" s="12">
        <f t="shared" si="203"/>
        <v>-10.4</v>
      </c>
      <c r="K1331" s="17" t="str">
        <f t="shared" si="208"/>
        <v>Ecart négatif</v>
      </c>
      <c r="L1331" s="16">
        <f>base!X1331</f>
        <v>0</v>
      </c>
      <c r="M1331" s="11">
        <f t="shared" si="204"/>
        <v>0</v>
      </c>
      <c r="N1331" s="11">
        <f t="shared" si="205"/>
        <v>0</v>
      </c>
      <c r="O1331" s="11">
        <f t="shared" si="206"/>
        <v>0</v>
      </c>
      <c r="P1331" s="12">
        <f t="shared" si="207"/>
        <v>0</v>
      </c>
      <c r="Q1331" s="17" t="str">
        <f t="shared" si="209"/>
        <v>Pas d'écart</v>
      </c>
    </row>
    <row r="1332" spans="1:17" x14ac:dyDescent="0.3">
      <c r="A1332" s="34" t="str">
        <f>base!J1332</f>
        <v>LM</v>
      </c>
      <c r="B1332" s="34" t="str">
        <f>base!V1332</f>
        <v>92000</v>
      </c>
      <c r="C1332" s="37">
        <v>92</v>
      </c>
      <c r="D1332" s="36">
        <f>base!H1332</f>
        <v>50.84</v>
      </c>
      <c r="E1332" s="44"/>
      <c r="F1332" s="16">
        <f>base!W1332</f>
        <v>0</v>
      </c>
      <c r="G1332" s="11">
        <f t="shared" si="200"/>
        <v>0</v>
      </c>
      <c r="H1332" s="11">
        <f t="shared" si="201"/>
        <v>0</v>
      </c>
      <c r="I1332" s="11">
        <f t="shared" si="202"/>
        <v>0</v>
      </c>
      <c r="J1332" s="12">
        <f t="shared" si="203"/>
        <v>0</v>
      </c>
      <c r="K1332" s="17" t="str">
        <f t="shared" si="208"/>
        <v>Pas d'écart</v>
      </c>
      <c r="L1332" s="16">
        <f>base!X1332</f>
        <v>0</v>
      </c>
      <c r="M1332" s="11">
        <f t="shared" si="204"/>
        <v>0</v>
      </c>
      <c r="N1332" s="11">
        <f t="shared" si="205"/>
        <v>0</v>
      </c>
      <c r="O1332" s="11">
        <f t="shared" si="206"/>
        <v>0</v>
      </c>
      <c r="P1332" s="12">
        <f t="shared" si="207"/>
        <v>0</v>
      </c>
      <c r="Q1332" s="17" t="str">
        <f t="shared" si="209"/>
        <v>Pas d'écart</v>
      </c>
    </row>
    <row r="1333" spans="1:17" x14ac:dyDescent="0.3">
      <c r="A1333" s="34" t="str">
        <f>base!J1333</f>
        <v>DLM</v>
      </c>
      <c r="B1333" s="34" t="str">
        <f>base!V1333</f>
        <v>56600</v>
      </c>
      <c r="C1333" s="37">
        <v>56</v>
      </c>
      <c r="D1333" s="36">
        <f>base!H1333</f>
        <v>52.5</v>
      </c>
      <c r="E1333" s="44"/>
      <c r="F1333" s="16">
        <f>base!W1333</f>
        <v>0</v>
      </c>
      <c r="G1333" s="11">
        <f t="shared" si="200"/>
        <v>0</v>
      </c>
      <c r="H1333" s="11">
        <f t="shared" si="201"/>
        <v>14.175000000000001</v>
      </c>
      <c r="I1333" s="11">
        <f t="shared" si="202"/>
        <v>0.27</v>
      </c>
      <c r="J1333" s="12">
        <f t="shared" si="203"/>
        <v>-14.175000000000001</v>
      </c>
      <c r="K1333" s="17" t="str">
        <f t="shared" si="208"/>
        <v>Ecart négatif</v>
      </c>
      <c r="L1333" s="16">
        <f>base!X1333</f>
        <v>0</v>
      </c>
      <c r="M1333" s="11">
        <f t="shared" si="204"/>
        <v>0</v>
      </c>
      <c r="N1333" s="11">
        <f t="shared" si="205"/>
        <v>0</v>
      </c>
      <c r="O1333" s="11">
        <f t="shared" si="206"/>
        <v>0</v>
      </c>
      <c r="P1333" s="12">
        <f t="shared" si="207"/>
        <v>0</v>
      </c>
      <c r="Q1333" s="17" t="str">
        <f t="shared" si="209"/>
        <v>Pas d'écart</v>
      </c>
    </row>
    <row r="1334" spans="1:17" x14ac:dyDescent="0.3">
      <c r="A1334" s="34" t="str">
        <f>base!J1334</f>
        <v>RM</v>
      </c>
      <c r="B1334" s="34" t="str">
        <f>base!V1334</f>
        <v>77140</v>
      </c>
      <c r="C1334" s="37">
        <v>77</v>
      </c>
      <c r="D1334" s="36">
        <f>base!H1334</f>
        <v>163.98</v>
      </c>
      <c r="E1334" s="44"/>
      <c r="F1334" s="16">
        <f>base!W1334</f>
        <v>0</v>
      </c>
      <c r="G1334" s="11">
        <f t="shared" si="200"/>
        <v>0</v>
      </c>
      <c r="H1334" s="11">
        <f t="shared" si="201"/>
        <v>0</v>
      </c>
      <c r="I1334" s="11">
        <f t="shared" si="202"/>
        <v>0</v>
      </c>
      <c r="J1334" s="12">
        <f t="shared" si="203"/>
        <v>0</v>
      </c>
      <c r="K1334" s="17" t="str">
        <f t="shared" si="208"/>
        <v>Pas d'écart</v>
      </c>
      <c r="L1334" s="16">
        <f>base!X1334</f>
        <v>0</v>
      </c>
      <c r="M1334" s="11">
        <f t="shared" si="204"/>
        <v>0</v>
      </c>
      <c r="N1334" s="11">
        <f t="shared" si="205"/>
        <v>0</v>
      </c>
      <c r="O1334" s="11">
        <f t="shared" si="206"/>
        <v>0</v>
      </c>
      <c r="P1334" s="12">
        <f t="shared" si="207"/>
        <v>0</v>
      </c>
      <c r="Q1334" s="17" t="str">
        <f t="shared" si="209"/>
        <v>Pas d'écart</v>
      </c>
    </row>
    <row r="1335" spans="1:17" x14ac:dyDescent="0.3">
      <c r="A1335" s="34" t="str">
        <f>base!J1335</f>
        <v>DLS</v>
      </c>
      <c r="B1335" s="34" t="str">
        <f>base!V1335</f>
        <v>54190</v>
      </c>
      <c r="C1335" s="37">
        <v>54</v>
      </c>
      <c r="D1335" s="36">
        <f>base!H1335</f>
        <v>75.959999999999994</v>
      </c>
      <c r="E1335" s="44"/>
      <c r="F1335" s="16">
        <f>base!W1335</f>
        <v>0</v>
      </c>
      <c r="G1335" s="11">
        <f t="shared" si="200"/>
        <v>0</v>
      </c>
      <c r="H1335" s="11">
        <f t="shared" si="201"/>
        <v>18.989999999999998</v>
      </c>
      <c r="I1335" s="11">
        <f t="shared" si="202"/>
        <v>0.25</v>
      </c>
      <c r="J1335" s="12">
        <f t="shared" si="203"/>
        <v>-18.989999999999998</v>
      </c>
      <c r="K1335" s="17" t="str">
        <f t="shared" si="208"/>
        <v>Ecart négatif</v>
      </c>
      <c r="L1335" s="16">
        <f>base!X1335</f>
        <v>0</v>
      </c>
      <c r="M1335" s="11">
        <f t="shared" si="204"/>
        <v>0</v>
      </c>
      <c r="N1335" s="11">
        <f t="shared" si="205"/>
        <v>18.989999999999998</v>
      </c>
      <c r="O1335" s="11">
        <f t="shared" si="206"/>
        <v>0.25</v>
      </c>
      <c r="P1335" s="12">
        <f t="shared" si="207"/>
        <v>-18.989999999999998</v>
      </c>
      <c r="Q1335" s="17" t="str">
        <f t="shared" si="209"/>
        <v>Ecart négatif</v>
      </c>
    </row>
    <row r="1336" spans="1:17" x14ac:dyDescent="0.3">
      <c r="A1336" s="34" t="str">
        <f>base!J1336</f>
        <v>RS</v>
      </c>
      <c r="B1336" s="34" t="str">
        <f>base!V1336</f>
        <v>13009</v>
      </c>
      <c r="C1336" s="37">
        <v>13</v>
      </c>
      <c r="D1336" s="36">
        <f>base!H1336</f>
        <v>102</v>
      </c>
      <c r="E1336" s="44"/>
      <c r="F1336" s="16">
        <f>base!W1336</f>
        <v>0</v>
      </c>
      <c r="G1336" s="11">
        <f t="shared" si="200"/>
        <v>0</v>
      </c>
      <c r="H1336" s="11">
        <f t="shared" si="201"/>
        <v>29.58</v>
      </c>
      <c r="I1336" s="11">
        <f t="shared" si="202"/>
        <v>0.28999999999999998</v>
      </c>
      <c r="J1336" s="12">
        <f t="shared" si="203"/>
        <v>-29.58</v>
      </c>
      <c r="K1336" s="17" t="str">
        <f t="shared" si="208"/>
        <v>Ecart négatif</v>
      </c>
      <c r="L1336" s="16">
        <f>base!X1336</f>
        <v>0</v>
      </c>
      <c r="M1336" s="11">
        <f t="shared" si="204"/>
        <v>0</v>
      </c>
      <c r="N1336" s="11">
        <f t="shared" si="205"/>
        <v>19.38</v>
      </c>
      <c r="O1336" s="11">
        <f t="shared" si="206"/>
        <v>0.19</v>
      </c>
      <c r="P1336" s="12">
        <f t="shared" si="207"/>
        <v>-19.38</v>
      </c>
      <c r="Q1336" s="17" t="str">
        <f t="shared" si="209"/>
        <v>Ecart négatif</v>
      </c>
    </row>
    <row r="1337" spans="1:17" x14ac:dyDescent="0.3">
      <c r="A1337" s="34" t="str">
        <f>base!J1337</f>
        <v>RS</v>
      </c>
      <c r="B1337" s="34" t="str">
        <f>base!V1337</f>
        <v>94550</v>
      </c>
      <c r="C1337" s="37">
        <v>94</v>
      </c>
      <c r="D1337" s="36">
        <f>base!H1337</f>
        <v>180</v>
      </c>
      <c r="E1337" s="44"/>
      <c r="F1337" s="16">
        <f>base!W1337</f>
        <v>0</v>
      </c>
      <c r="G1337" s="11">
        <f t="shared" si="200"/>
        <v>0</v>
      </c>
      <c r="H1337" s="11">
        <f t="shared" si="201"/>
        <v>0</v>
      </c>
      <c r="I1337" s="11">
        <f t="shared" si="202"/>
        <v>0</v>
      </c>
      <c r="J1337" s="12">
        <f t="shared" si="203"/>
        <v>0</v>
      </c>
      <c r="K1337" s="17" t="str">
        <f t="shared" si="208"/>
        <v>Pas d'écart</v>
      </c>
      <c r="L1337" s="16">
        <f>base!X1337</f>
        <v>0</v>
      </c>
      <c r="M1337" s="11">
        <f t="shared" si="204"/>
        <v>0</v>
      </c>
      <c r="N1337" s="11">
        <f t="shared" si="205"/>
        <v>0</v>
      </c>
      <c r="O1337" s="11">
        <f t="shared" si="206"/>
        <v>0</v>
      </c>
      <c r="P1337" s="12">
        <f t="shared" si="207"/>
        <v>0</v>
      </c>
      <c r="Q1337" s="17" t="str">
        <f t="shared" si="209"/>
        <v>Pas d'écart</v>
      </c>
    </row>
    <row r="1338" spans="1:17" x14ac:dyDescent="0.3">
      <c r="A1338" s="34" t="str">
        <f>base!J1338</f>
        <v>DLM</v>
      </c>
      <c r="B1338" s="34" t="str">
        <f>base!V1338</f>
        <v>38110</v>
      </c>
      <c r="C1338" s="37">
        <v>38</v>
      </c>
      <c r="D1338" s="36">
        <f>base!H1338</f>
        <v>23.4</v>
      </c>
      <c r="E1338" s="44"/>
      <c r="F1338" s="16">
        <f>base!W1338</f>
        <v>0</v>
      </c>
      <c r="G1338" s="11">
        <f t="shared" si="200"/>
        <v>0</v>
      </c>
      <c r="H1338" s="11">
        <f t="shared" si="201"/>
        <v>6.3179999999999996</v>
      </c>
      <c r="I1338" s="11">
        <f t="shared" si="202"/>
        <v>0.27</v>
      </c>
      <c r="J1338" s="12">
        <f t="shared" si="203"/>
        <v>-6.3179999999999996</v>
      </c>
      <c r="K1338" s="17" t="str">
        <f t="shared" si="208"/>
        <v>Ecart négatif</v>
      </c>
      <c r="L1338" s="16">
        <f>base!X1338</f>
        <v>0</v>
      </c>
      <c r="M1338" s="11">
        <f t="shared" si="204"/>
        <v>0</v>
      </c>
      <c r="N1338" s="11">
        <f t="shared" si="205"/>
        <v>0</v>
      </c>
      <c r="O1338" s="11">
        <f t="shared" si="206"/>
        <v>0</v>
      </c>
      <c r="P1338" s="12">
        <f t="shared" si="207"/>
        <v>0</v>
      </c>
      <c r="Q1338" s="17" t="str">
        <f t="shared" si="209"/>
        <v>Pas d'écart</v>
      </c>
    </row>
    <row r="1339" spans="1:17" x14ac:dyDescent="0.3">
      <c r="A1339" s="34" t="str">
        <f>base!J1339</f>
        <v>RM</v>
      </c>
      <c r="B1339" s="34" t="str">
        <f>base!V1339</f>
        <v>90400</v>
      </c>
      <c r="C1339" s="37">
        <v>90</v>
      </c>
      <c r="D1339" s="36">
        <f>base!H1339</f>
        <v>90</v>
      </c>
      <c r="E1339" s="44"/>
      <c r="F1339" s="16">
        <f>base!W1339</f>
        <v>0</v>
      </c>
      <c r="G1339" s="11">
        <f t="shared" si="200"/>
        <v>0</v>
      </c>
      <c r="H1339" s="11">
        <f t="shared" si="201"/>
        <v>26.099999999999998</v>
      </c>
      <c r="I1339" s="11">
        <f t="shared" si="202"/>
        <v>0.28999999999999998</v>
      </c>
      <c r="J1339" s="12">
        <f t="shared" si="203"/>
        <v>-26.099999999999998</v>
      </c>
      <c r="K1339" s="17" t="str">
        <f t="shared" si="208"/>
        <v>Ecart négatif</v>
      </c>
      <c r="L1339" s="16">
        <f>base!X1339</f>
        <v>26.1</v>
      </c>
      <c r="M1339" s="11">
        <f t="shared" si="204"/>
        <v>0.29000000000000004</v>
      </c>
      <c r="N1339" s="11">
        <f t="shared" si="205"/>
        <v>7.2</v>
      </c>
      <c r="O1339" s="11">
        <f t="shared" si="206"/>
        <v>0.08</v>
      </c>
      <c r="P1339" s="12">
        <f t="shared" si="207"/>
        <v>18.900000000000002</v>
      </c>
      <c r="Q1339" s="17" t="str">
        <f t="shared" si="209"/>
        <v>Ecart positif</v>
      </c>
    </row>
    <row r="1340" spans="1:17" x14ac:dyDescent="0.3">
      <c r="A1340" s="34">
        <f>base!J1340</f>
        <v>0</v>
      </c>
      <c r="B1340" s="34" t="str">
        <f>base!V1340</f>
        <v>77184</v>
      </c>
      <c r="C1340" s="37">
        <v>77</v>
      </c>
      <c r="D1340" s="36">
        <f>base!H1340</f>
        <v>20</v>
      </c>
      <c r="E1340" s="44"/>
      <c r="F1340" s="16">
        <f>base!W1340</f>
        <v>0</v>
      </c>
      <c r="G1340" s="11">
        <f t="shared" si="200"/>
        <v>0</v>
      </c>
      <c r="H1340" s="11">
        <f t="shared" si="201"/>
        <v>0</v>
      </c>
      <c r="I1340" s="11">
        <f t="shared" si="202"/>
        <v>0</v>
      </c>
      <c r="J1340" s="12">
        <f t="shared" si="203"/>
        <v>0</v>
      </c>
      <c r="K1340" s="17" t="str">
        <f t="shared" si="208"/>
        <v>Pas d'écart</v>
      </c>
      <c r="L1340" s="16">
        <f>base!X1340</f>
        <v>0</v>
      </c>
      <c r="M1340" s="11">
        <f t="shared" si="204"/>
        <v>0</v>
      </c>
      <c r="N1340" s="11">
        <f t="shared" si="205"/>
        <v>0</v>
      </c>
      <c r="O1340" s="11">
        <f t="shared" si="206"/>
        <v>0</v>
      </c>
      <c r="P1340" s="12">
        <f t="shared" si="207"/>
        <v>0</v>
      </c>
      <c r="Q1340" s="17" t="str">
        <f t="shared" si="209"/>
        <v>Pas d'écart</v>
      </c>
    </row>
    <row r="1341" spans="1:17" x14ac:dyDescent="0.3">
      <c r="A1341" s="34" t="str">
        <f>base!J1341</f>
        <v>DLS</v>
      </c>
      <c r="B1341" s="34" t="str">
        <f>base!V1341</f>
        <v>66000</v>
      </c>
      <c r="C1341" s="37">
        <v>66</v>
      </c>
      <c r="D1341" s="36">
        <f>base!H1341</f>
        <v>92</v>
      </c>
      <c r="E1341" s="44"/>
      <c r="F1341" s="16">
        <f>base!W1341</f>
        <v>0</v>
      </c>
      <c r="G1341" s="11">
        <f t="shared" si="200"/>
        <v>0</v>
      </c>
      <c r="H1341" s="11">
        <f t="shared" si="201"/>
        <v>31.28</v>
      </c>
      <c r="I1341" s="11">
        <f t="shared" si="202"/>
        <v>0.34</v>
      </c>
      <c r="J1341" s="12">
        <f t="shared" si="203"/>
        <v>-31.28</v>
      </c>
      <c r="K1341" s="17" t="str">
        <f t="shared" si="208"/>
        <v>Ecart négatif</v>
      </c>
      <c r="L1341" s="16">
        <f>base!X1341</f>
        <v>20.239999999999998</v>
      </c>
      <c r="M1341" s="11">
        <f t="shared" si="204"/>
        <v>0.21999999999999997</v>
      </c>
      <c r="N1341" s="11">
        <f t="shared" si="205"/>
        <v>25.76</v>
      </c>
      <c r="O1341" s="11">
        <f t="shared" si="206"/>
        <v>0.28000000000000003</v>
      </c>
      <c r="P1341" s="12">
        <f t="shared" si="207"/>
        <v>-5.5200000000000031</v>
      </c>
      <c r="Q1341" s="17" t="str">
        <f t="shared" si="209"/>
        <v>Ecart négatif</v>
      </c>
    </row>
    <row r="1342" spans="1:17" x14ac:dyDescent="0.3">
      <c r="A1342" s="34" t="str">
        <f>base!J1342</f>
        <v>LM</v>
      </c>
      <c r="B1342" s="34" t="str">
        <f>base!V1342</f>
        <v>69002</v>
      </c>
      <c r="C1342" s="37">
        <v>76</v>
      </c>
      <c r="D1342" s="36">
        <f>base!H1342</f>
        <v>188.33</v>
      </c>
      <c r="E1342" s="44"/>
      <c r="F1342" s="16">
        <f>base!W1342</f>
        <v>50.85</v>
      </c>
      <c r="G1342" s="11">
        <f t="shared" si="200"/>
        <v>0.27000477884564328</v>
      </c>
      <c r="H1342" s="11">
        <f t="shared" si="201"/>
        <v>32.016100000000002</v>
      </c>
      <c r="I1342" s="11">
        <f t="shared" si="202"/>
        <v>0.16999999999999998</v>
      </c>
      <c r="J1342" s="12">
        <f t="shared" si="203"/>
        <v>18.8339</v>
      </c>
      <c r="K1342" s="17" t="str">
        <f t="shared" si="208"/>
        <v>Ecart positif</v>
      </c>
      <c r="L1342" s="16">
        <f>base!X1342</f>
        <v>0</v>
      </c>
      <c r="M1342" s="11">
        <f t="shared" si="204"/>
        <v>0</v>
      </c>
      <c r="N1342" s="11">
        <f t="shared" si="205"/>
        <v>32.016100000000002</v>
      </c>
      <c r="O1342" s="11">
        <f t="shared" si="206"/>
        <v>0.16999999999999998</v>
      </c>
      <c r="P1342" s="12">
        <f t="shared" si="207"/>
        <v>-32.016100000000002</v>
      </c>
      <c r="Q1342" s="17" t="str">
        <f t="shared" si="209"/>
        <v>Ecart négatif</v>
      </c>
    </row>
    <row r="1343" spans="1:17" x14ac:dyDescent="0.3">
      <c r="A1343" s="34" t="str">
        <f>base!J1343</f>
        <v>RS</v>
      </c>
      <c r="B1343" s="34" t="str">
        <f>base!V1343</f>
        <v>59211</v>
      </c>
      <c r="C1343" s="37">
        <v>59</v>
      </c>
      <c r="D1343" s="36">
        <f>base!H1343</f>
        <v>171.45</v>
      </c>
      <c r="E1343" s="44"/>
      <c r="F1343" s="16">
        <f>base!W1343</f>
        <v>0</v>
      </c>
      <c r="G1343" s="11">
        <f t="shared" si="200"/>
        <v>0</v>
      </c>
      <c r="H1343" s="11">
        <f t="shared" si="201"/>
        <v>32.575499999999998</v>
      </c>
      <c r="I1343" s="11">
        <f t="shared" si="202"/>
        <v>0.19</v>
      </c>
      <c r="J1343" s="12">
        <f t="shared" si="203"/>
        <v>-32.575499999999998</v>
      </c>
      <c r="K1343" s="17" t="str">
        <f t="shared" si="208"/>
        <v>Ecart négatif</v>
      </c>
      <c r="L1343" s="16">
        <f>base!X1343</f>
        <v>0</v>
      </c>
      <c r="M1343" s="11">
        <f t="shared" si="204"/>
        <v>0</v>
      </c>
      <c r="N1343" s="11">
        <f t="shared" si="205"/>
        <v>0</v>
      </c>
      <c r="O1343" s="11">
        <f t="shared" si="206"/>
        <v>0</v>
      </c>
      <c r="P1343" s="12">
        <f t="shared" si="207"/>
        <v>0</v>
      </c>
      <c r="Q1343" s="17" t="str">
        <f t="shared" si="209"/>
        <v>Pas d'écart</v>
      </c>
    </row>
    <row r="1344" spans="1:17" x14ac:dyDescent="0.3">
      <c r="A1344" s="34" t="str">
        <f>base!J1344</f>
        <v>RS</v>
      </c>
      <c r="B1344" s="34" t="str">
        <f>base!V1344</f>
        <v>59600</v>
      </c>
      <c r="C1344" s="37">
        <v>59</v>
      </c>
      <c r="D1344" s="36">
        <f>base!H1344</f>
        <v>136.99</v>
      </c>
      <c r="E1344" s="44"/>
      <c r="F1344" s="16">
        <f>base!W1344</f>
        <v>0</v>
      </c>
      <c r="G1344" s="11">
        <f t="shared" si="200"/>
        <v>0</v>
      </c>
      <c r="H1344" s="11">
        <f t="shared" si="201"/>
        <v>26.028100000000002</v>
      </c>
      <c r="I1344" s="11">
        <f t="shared" si="202"/>
        <v>0.19</v>
      </c>
      <c r="J1344" s="12">
        <f t="shared" si="203"/>
        <v>-26.028100000000002</v>
      </c>
      <c r="K1344" s="17" t="str">
        <f t="shared" si="208"/>
        <v>Ecart négatif</v>
      </c>
      <c r="L1344" s="16">
        <f>base!X1344</f>
        <v>0</v>
      </c>
      <c r="M1344" s="11">
        <f t="shared" si="204"/>
        <v>0</v>
      </c>
      <c r="N1344" s="11">
        <f t="shared" si="205"/>
        <v>0</v>
      </c>
      <c r="O1344" s="11">
        <f t="shared" si="206"/>
        <v>0</v>
      </c>
      <c r="P1344" s="12">
        <f t="shared" si="207"/>
        <v>0</v>
      </c>
      <c r="Q1344" s="17" t="str">
        <f t="shared" si="209"/>
        <v>Pas d'écart</v>
      </c>
    </row>
    <row r="1345" spans="1:18" x14ac:dyDescent="0.3">
      <c r="A1345" s="34" t="str">
        <f>base!J1345</f>
        <v>LM</v>
      </c>
      <c r="B1345" s="34" t="str">
        <f>base!V1345</f>
        <v>21220</v>
      </c>
      <c r="C1345" s="37">
        <v>61</v>
      </c>
      <c r="D1345" s="36">
        <f>base!H1345</f>
        <v>189.92</v>
      </c>
      <c r="E1345" s="44"/>
      <c r="F1345" s="16">
        <f>base!W1345</f>
        <v>45.58</v>
      </c>
      <c r="G1345" s="11">
        <f t="shared" si="200"/>
        <v>0.23999578770008426</v>
      </c>
      <c r="H1345" s="11">
        <f t="shared" si="201"/>
        <v>32.2864</v>
      </c>
      <c r="I1345" s="11">
        <f t="shared" si="202"/>
        <v>0.17</v>
      </c>
      <c r="J1345" s="12">
        <f t="shared" si="203"/>
        <v>13.293599999999998</v>
      </c>
      <c r="K1345" s="17" t="str">
        <f t="shared" si="208"/>
        <v>Ecart positif</v>
      </c>
      <c r="L1345" s="16">
        <f>base!X1345</f>
        <v>0</v>
      </c>
      <c r="M1345" s="11">
        <f t="shared" si="204"/>
        <v>0</v>
      </c>
      <c r="N1345" s="11">
        <f t="shared" si="205"/>
        <v>32.2864</v>
      </c>
      <c r="O1345" s="11">
        <f t="shared" si="206"/>
        <v>0.17</v>
      </c>
      <c r="P1345" s="12">
        <f t="shared" si="207"/>
        <v>-32.2864</v>
      </c>
      <c r="Q1345" s="17" t="str">
        <f t="shared" si="209"/>
        <v>Ecart négatif</v>
      </c>
    </row>
    <row r="1346" spans="1:18" x14ac:dyDescent="0.3">
      <c r="A1346" s="34" t="str">
        <f>base!J1346</f>
        <v>RM</v>
      </c>
      <c r="B1346" s="34" t="str">
        <f>base!V1346</f>
        <v>92400</v>
      </c>
      <c r="C1346" s="37">
        <v>92</v>
      </c>
      <c r="D1346" s="36">
        <f>base!H1346</f>
        <v>29.59</v>
      </c>
      <c r="E1346" s="44"/>
      <c r="F1346" s="16">
        <f>base!W1346</f>
        <v>0</v>
      </c>
      <c r="G1346" s="11">
        <f t="shared" ref="G1346:G1409" si="210">F1346/D1346</f>
        <v>0</v>
      </c>
      <c r="H1346" s="11">
        <f t="shared" ref="H1346:H1409" si="211">VLOOKUP(C1346,tout_cout_traction,2,FALSE)*D1346</f>
        <v>0</v>
      </c>
      <c r="I1346" s="11">
        <f t="shared" ref="I1346:I1409" si="212">H1346/D1346</f>
        <v>0</v>
      </c>
      <c r="J1346" s="12">
        <f t="shared" ref="J1346:J1409" si="213">F1346-H1346</f>
        <v>0</v>
      </c>
      <c r="K1346" s="17" t="str">
        <f t="shared" si="208"/>
        <v>Pas d'écart</v>
      </c>
      <c r="L1346" s="16">
        <f>base!X1346</f>
        <v>0</v>
      </c>
      <c r="M1346" s="11">
        <f t="shared" ref="M1346:M1409" si="214">L1346/D1346</f>
        <v>0</v>
      </c>
      <c r="N1346" s="11">
        <f t="shared" ref="N1346:N1409" si="215">VLOOKUP(C1346,tout_cout_traction,3,FALSE)*D1346</f>
        <v>0</v>
      </c>
      <c r="O1346" s="11">
        <f t="shared" ref="O1346:O1409" si="216">N1346/D1346</f>
        <v>0</v>
      </c>
      <c r="P1346" s="12">
        <f t="shared" ref="P1346:P1409" si="217">L1346-N1346</f>
        <v>0</v>
      </c>
      <c r="Q1346" s="17" t="str">
        <f t="shared" si="209"/>
        <v>Pas d'écart</v>
      </c>
    </row>
    <row r="1347" spans="1:18" x14ac:dyDescent="0.3">
      <c r="A1347" s="34" t="str">
        <f>base!J1347</f>
        <v>RS</v>
      </c>
      <c r="B1347" s="34" t="str">
        <f>base!V1347</f>
        <v>62320</v>
      </c>
      <c r="C1347" s="37">
        <v>62</v>
      </c>
      <c r="D1347" s="36">
        <f>base!H1347</f>
        <v>180</v>
      </c>
      <c r="E1347" s="44"/>
      <c r="F1347" s="16">
        <f>base!W1347</f>
        <v>0</v>
      </c>
      <c r="G1347" s="11">
        <f t="shared" si="210"/>
        <v>0</v>
      </c>
      <c r="H1347" s="11">
        <f t="shared" si="211"/>
        <v>34.200000000000003</v>
      </c>
      <c r="I1347" s="11">
        <f t="shared" si="212"/>
        <v>0.19</v>
      </c>
      <c r="J1347" s="12">
        <f t="shared" si="213"/>
        <v>-34.200000000000003</v>
      </c>
      <c r="K1347" s="17" t="str">
        <f t="shared" ref="K1347:K1410" si="218">IF(H1347=F1347,"Pas d'écart",IF(H1347&lt;F1347,"Ecart positif",IF(H1347&gt;F1347,"Ecart négatif")))</f>
        <v>Ecart négatif</v>
      </c>
      <c r="L1347" s="16">
        <f>base!X1347</f>
        <v>0</v>
      </c>
      <c r="M1347" s="11">
        <f t="shared" si="214"/>
        <v>0</v>
      </c>
      <c r="N1347" s="11">
        <f t="shared" si="215"/>
        <v>0</v>
      </c>
      <c r="O1347" s="11">
        <f t="shared" si="216"/>
        <v>0</v>
      </c>
      <c r="P1347" s="12">
        <f t="shared" si="217"/>
        <v>0</v>
      </c>
      <c r="Q1347" s="17" t="str">
        <f t="shared" ref="Q1347:Q1410" si="219">IF(N1347=L1347,"Pas d'écart",IF(N1347&lt;L1347,"Ecart positif",IF(N1347&gt;L1347,"Ecart négatif")))</f>
        <v>Pas d'écart</v>
      </c>
    </row>
    <row r="1348" spans="1:18" x14ac:dyDescent="0.3">
      <c r="A1348" s="34" t="str">
        <f>base!J1348</f>
        <v>RM</v>
      </c>
      <c r="B1348" s="34" t="str">
        <f>base!V1348</f>
        <v>06560</v>
      </c>
      <c r="C1348" s="37">
        <v>6</v>
      </c>
      <c r="D1348" s="36">
        <f>base!H1348</f>
        <v>151</v>
      </c>
      <c r="E1348" s="44"/>
      <c r="F1348" s="16">
        <f>base!W1348</f>
        <v>0</v>
      </c>
      <c r="G1348" s="11">
        <f t="shared" si="210"/>
        <v>0</v>
      </c>
      <c r="H1348" s="11">
        <f t="shared" si="211"/>
        <v>45.3</v>
      </c>
      <c r="I1348" s="11">
        <f t="shared" si="212"/>
        <v>0.3</v>
      </c>
      <c r="J1348" s="12">
        <f t="shared" si="213"/>
        <v>-45.3</v>
      </c>
      <c r="K1348" s="17" t="str">
        <f t="shared" si="218"/>
        <v>Ecart négatif</v>
      </c>
      <c r="L1348" s="16">
        <f>base!X1348</f>
        <v>0</v>
      </c>
      <c r="M1348" s="11">
        <f t="shared" si="214"/>
        <v>0</v>
      </c>
      <c r="N1348" s="11">
        <f t="shared" si="215"/>
        <v>31.709999999999997</v>
      </c>
      <c r="O1348" s="11">
        <f t="shared" si="216"/>
        <v>0.21</v>
      </c>
      <c r="P1348" s="12">
        <f t="shared" si="217"/>
        <v>-31.709999999999997</v>
      </c>
      <c r="Q1348" s="17" t="str">
        <f t="shared" si="219"/>
        <v>Ecart négatif</v>
      </c>
    </row>
    <row r="1349" spans="1:18" x14ac:dyDescent="0.3">
      <c r="A1349" s="34" t="str">
        <f>base!J1349</f>
        <v>RM</v>
      </c>
      <c r="B1349" s="34" t="str">
        <f>base!V1349</f>
        <v>06560</v>
      </c>
      <c r="C1349" s="37">
        <v>6</v>
      </c>
      <c r="D1349" s="36">
        <f>base!H1349</f>
        <v>151</v>
      </c>
      <c r="E1349" s="44"/>
      <c r="F1349" s="16">
        <f>base!W1349</f>
        <v>0</v>
      </c>
      <c r="G1349" s="11">
        <f t="shared" si="210"/>
        <v>0</v>
      </c>
      <c r="H1349" s="11">
        <f t="shared" si="211"/>
        <v>45.3</v>
      </c>
      <c r="I1349" s="11">
        <f t="shared" si="212"/>
        <v>0.3</v>
      </c>
      <c r="J1349" s="12">
        <f t="shared" si="213"/>
        <v>-45.3</v>
      </c>
      <c r="K1349" s="17" t="str">
        <f t="shared" si="218"/>
        <v>Ecart négatif</v>
      </c>
      <c r="L1349" s="16">
        <f>base!X1349</f>
        <v>0</v>
      </c>
      <c r="M1349" s="11">
        <f t="shared" si="214"/>
        <v>0</v>
      </c>
      <c r="N1349" s="11">
        <f t="shared" si="215"/>
        <v>31.709999999999997</v>
      </c>
      <c r="O1349" s="11">
        <f t="shared" si="216"/>
        <v>0.21</v>
      </c>
      <c r="P1349" s="12">
        <f t="shared" si="217"/>
        <v>-31.709999999999997</v>
      </c>
      <c r="Q1349" s="17" t="str">
        <f t="shared" si="219"/>
        <v>Ecart négatif</v>
      </c>
    </row>
    <row r="1350" spans="1:18" x14ac:dyDescent="0.3">
      <c r="A1350" s="34" t="str">
        <f>base!J1350</f>
        <v>RS</v>
      </c>
      <c r="B1350" s="34" t="str">
        <f>base!V1350</f>
        <v>06560</v>
      </c>
      <c r="C1350" s="37">
        <v>6</v>
      </c>
      <c r="D1350" s="36">
        <f>base!H1350</f>
        <v>151</v>
      </c>
      <c r="E1350" s="44"/>
      <c r="F1350" s="16">
        <f>base!W1350</f>
        <v>0</v>
      </c>
      <c r="G1350" s="11">
        <f t="shared" si="210"/>
        <v>0</v>
      </c>
      <c r="H1350" s="11">
        <f t="shared" si="211"/>
        <v>45.3</v>
      </c>
      <c r="I1350" s="11">
        <f t="shared" si="212"/>
        <v>0.3</v>
      </c>
      <c r="J1350" s="12">
        <f t="shared" si="213"/>
        <v>-45.3</v>
      </c>
      <c r="K1350" s="17" t="str">
        <f t="shared" si="218"/>
        <v>Ecart négatif</v>
      </c>
      <c r="L1350" s="16">
        <f>base!X1350</f>
        <v>0</v>
      </c>
      <c r="M1350" s="11">
        <f t="shared" si="214"/>
        <v>0</v>
      </c>
      <c r="N1350" s="11">
        <f t="shared" si="215"/>
        <v>31.709999999999997</v>
      </c>
      <c r="O1350" s="11">
        <f t="shared" si="216"/>
        <v>0.21</v>
      </c>
      <c r="P1350" s="12">
        <f t="shared" si="217"/>
        <v>-31.709999999999997</v>
      </c>
      <c r="Q1350" s="17" t="str">
        <f t="shared" si="219"/>
        <v>Ecart négatif</v>
      </c>
    </row>
    <row r="1351" spans="1:18" x14ac:dyDescent="0.3">
      <c r="A1351" s="34" t="str">
        <f>base!J1351</f>
        <v>RS</v>
      </c>
      <c r="B1351" s="34" t="str">
        <f>base!V1351</f>
        <v>06560</v>
      </c>
      <c r="C1351" s="37">
        <v>6</v>
      </c>
      <c r="D1351" s="36">
        <f>base!H1351</f>
        <v>151</v>
      </c>
      <c r="E1351" s="44"/>
      <c r="F1351" s="16">
        <f>base!W1351</f>
        <v>0</v>
      </c>
      <c r="G1351" s="11">
        <f t="shared" si="210"/>
        <v>0</v>
      </c>
      <c r="H1351" s="11">
        <f t="shared" si="211"/>
        <v>45.3</v>
      </c>
      <c r="I1351" s="11">
        <f t="shared" si="212"/>
        <v>0.3</v>
      </c>
      <c r="J1351" s="12">
        <f t="shared" si="213"/>
        <v>-45.3</v>
      </c>
      <c r="K1351" s="17" t="str">
        <f t="shared" si="218"/>
        <v>Ecart négatif</v>
      </c>
      <c r="L1351" s="16">
        <f>base!X1351</f>
        <v>0</v>
      </c>
      <c r="M1351" s="11">
        <f t="shared" si="214"/>
        <v>0</v>
      </c>
      <c r="N1351" s="11">
        <f t="shared" si="215"/>
        <v>31.709999999999997</v>
      </c>
      <c r="O1351" s="11">
        <f t="shared" si="216"/>
        <v>0.21</v>
      </c>
      <c r="P1351" s="12">
        <f t="shared" si="217"/>
        <v>-31.709999999999997</v>
      </c>
      <c r="Q1351" s="17" t="str">
        <f t="shared" si="219"/>
        <v>Ecart négatif</v>
      </c>
    </row>
    <row r="1352" spans="1:18" x14ac:dyDescent="0.3">
      <c r="A1352" s="34" t="str">
        <f>base!J1352</f>
        <v>RM</v>
      </c>
      <c r="B1352" s="34" t="str">
        <f>base!V1352</f>
        <v>06560</v>
      </c>
      <c r="C1352" s="37">
        <v>6</v>
      </c>
      <c r="D1352" s="36">
        <f>base!H1352</f>
        <v>151</v>
      </c>
      <c r="E1352" s="44"/>
      <c r="F1352" s="16">
        <f>base!W1352</f>
        <v>0</v>
      </c>
      <c r="G1352" s="11">
        <f t="shared" si="210"/>
        <v>0</v>
      </c>
      <c r="H1352" s="11">
        <f t="shared" si="211"/>
        <v>45.3</v>
      </c>
      <c r="I1352" s="11">
        <f t="shared" si="212"/>
        <v>0.3</v>
      </c>
      <c r="J1352" s="12">
        <f t="shared" si="213"/>
        <v>-45.3</v>
      </c>
      <c r="K1352" s="17" t="str">
        <f t="shared" si="218"/>
        <v>Ecart négatif</v>
      </c>
      <c r="L1352" s="16">
        <f>base!X1352</f>
        <v>0</v>
      </c>
      <c r="M1352" s="11">
        <f t="shared" si="214"/>
        <v>0</v>
      </c>
      <c r="N1352" s="11">
        <f t="shared" si="215"/>
        <v>31.709999999999997</v>
      </c>
      <c r="O1352" s="11">
        <f t="shared" si="216"/>
        <v>0.21</v>
      </c>
      <c r="P1352" s="12">
        <f t="shared" si="217"/>
        <v>-31.709999999999997</v>
      </c>
      <c r="Q1352" s="17" t="str">
        <f t="shared" si="219"/>
        <v>Ecart négatif</v>
      </c>
    </row>
    <row r="1353" spans="1:18" x14ac:dyDescent="0.3">
      <c r="A1353" s="34">
        <f>base!J1353</f>
        <v>0</v>
      </c>
      <c r="B1353" s="34" t="str">
        <f>base!V1353</f>
        <v>77184</v>
      </c>
      <c r="C1353" s="37">
        <v>77</v>
      </c>
      <c r="D1353" s="36">
        <f>base!H1353</f>
        <v>25</v>
      </c>
      <c r="E1353" s="44"/>
      <c r="F1353" s="16">
        <f>base!W1353</f>
        <v>0</v>
      </c>
      <c r="G1353" s="11">
        <f t="shared" si="210"/>
        <v>0</v>
      </c>
      <c r="H1353" s="11">
        <f t="shared" si="211"/>
        <v>0</v>
      </c>
      <c r="I1353" s="11">
        <f t="shared" si="212"/>
        <v>0</v>
      </c>
      <c r="J1353" s="12">
        <f t="shared" si="213"/>
        <v>0</v>
      </c>
      <c r="K1353" s="17" t="str">
        <f t="shared" si="218"/>
        <v>Pas d'écart</v>
      </c>
      <c r="L1353" s="16">
        <f>base!X1353</f>
        <v>0</v>
      </c>
      <c r="M1353" s="11">
        <f t="shared" si="214"/>
        <v>0</v>
      </c>
      <c r="N1353" s="11">
        <f t="shared" si="215"/>
        <v>0</v>
      </c>
      <c r="O1353" s="11">
        <f t="shared" si="216"/>
        <v>0</v>
      </c>
      <c r="P1353" s="12">
        <f t="shared" si="217"/>
        <v>0</v>
      </c>
      <c r="Q1353" s="17" t="str">
        <f t="shared" si="219"/>
        <v>Pas d'écart</v>
      </c>
    </row>
    <row r="1354" spans="1:18" x14ac:dyDescent="0.3">
      <c r="A1354" s="34" t="str">
        <f>base!J1354</f>
        <v>DLS</v>
      </c>
      <c r="B1354" s="34" t="str">
        <f>base!V1354</f>
        <v>59000</v>
      </c>
      <c r="C1354" s="37">
        <v>59</v>
      </c>
      <c r="D1354" s="36">
        <f>base!H1354</f>
        <v>122.09</v>
      </c>
      <c r="E1354" s="44"/>
      <c r="F1354" s="16">
        <f>base!W1354</f>
        <v>0</v>
      </c>
      <c r="G1354" s="11">
        <f t="shared" si="210"/>
        <v>0</v>
      </c>
      <c r="H1354" s="11">
        <f t="shared" si="211"/>
        <v>23.197100000000002</v>
      </c>
      <c r="I1354" s="11">
        <f t="shared" si="212"/>
        <v>0.19</v>
      </c>
      <c r="J1354" s="12">
        <f t="shared" si="213"/>
        <v>-23.197100000000002</v>
      </c>
      <c r="K1354" s="17" t="str">
        <f t="shared" si="218"/>
        <v>Ecart négatif</v>
      </c>
      <c r="L1354" s="16">
        <f>base!X1354</f>
        <v>0</v>
      </c>
      <c r="M1354" s="11">
        <f t="shared" si="214"/>
        <v>0</v>
      </c>
      <c r="N1354" s="11">
        <f t="shared" si="215"/>
        <v>0</v>
      </c>
      <c r="O1354" s="11">
        <f t="shared" si="216"/>
        <v>0</v>
      </c>
      <c r="P1354" s="12">
        <f t="shared" si="217"/>
        <v>0</v>
      </c>
      <c r="Q1354" s="17" t="str">
        <f t="shared" si="219"/>
        <v>Pas d'écart</v>
      </c>
    </row>
    <row r="1355" spans="1:18" x14ac:dyDescent="0.3">
      <c r="A1355" s="34" t="str">
        <f>base!J1355</f>
        <v>LM</v>
      </c>
      <c r="B1355" s="34" t="str">
        <f>base!V1355</f>
        <v>56920</v>
      </c>
      <c r="C1355" s="37">
        <v>14</v>
      </c>
      <c r="D1355" s="36">
        <f>base!H1355</f>
        <v>43.44</v>
      </c>
      <c r="E1355" s="44"/>
      <c r="F1355" s="16">
        <f>base!W1355</f>
        <v>11.73</v>
      </c>
      <c r="G1355" s="11">
        <f t="shared" si="210"/>
        <v>0.27002762430939231</v>
      </c>
      <c r="H1355" s="11">
        <f t="shared" si="211"/>
        <v>7.3848000000000003</v>
      </c>
      <c r="I1355" s="11">
        <f t="shared" si="212"/>
        <v>0.17</v>
      </c>
      <c r="J1355" s="12">
        <f t="shared" si="213"/>
        <v>4.3452000000000002</v>
      </c>
      <c r="K1355" s="17" t="str">
        <f t="shared" si="218"/>
        <v>Ecart positif</v>
      </c>
      <c r="L1355" s="16">
        <f>base!X1355</f>
        <v>0</v>
      </c>
      <c r="M1355" s="11">
        <f t="shared" si="214"/>
        <v>0</v>
      </c>
      <c r="N1355" s="11">
        <f t="shared" si="215"/>
        <v>7.3848000000000003</v>
      </c>
      <c r="O1355" s="11">
        <f t="shared" si="216"/>
        <v>0.17</v>
      </c>
      <c r="P1355" s="12">
        <f t="shared" si="217"/>
        <v>-7.3848000000000003</v>
      </c>
      <c r="Q1355" s="17" t="str">
        <f t="shared" si="219"/>
        <v>Ecart négatif</v>
      </c>
    </row>
    <row r="1356" spans="1:18" x14ac:dyDescent="0.3">
      <c r="A1356" s="34" t="str">
        <f>base!J1356</f>
        <v>RM</v>
      </c>
      <c r="B1356" s="34" t="str">
        <f>base!V1356</f>
        <v>75014</v>
      </c>
      <c r="C1356" s="37">
        <v>75</v>
      </c>
      <c r="D1356" s="36">
        <f>base!H1356</f>
        <v>68.8</v>
      </c>
      <c r="E1356" s="44"/>
      <c r="F1356" s="16">
        <f>base!W1356</f>
        <v>0</v>
      </c>
      <c r="G1356" s="11">
        <f t="shared" si="210"/>
        <v>0</v>
      </c>
      <c r="H1356" s="11">
        <f t="shared" si="211"/>
        <v>0</v>
      </c>
      <c r="I1356" s="11">
        <f t="shared" si="212"/>
        <v>0</v>
      </c>
      <c r="J1356" s="12">
        <f t="shared" si="213"/>
        <v>0</v>
      </c>
      <c r="K1356" s="17" t="str">
        <f t="shared" si="218"/>
        <v>Pas d'écart</v>
      </c>
      <c r="L1356" s="16">
        <f>base!X1356</f>
        <v>0</v>
      </c>
      <c r="M1356" s="11">
        <f t="shared" si="214"/>
        <v>0</v>
      </c>
      <c r="N1356" s="11">
        <f t="shared" si="215"/>
        <v>0</v>
      </c>
      <c r="O1356" s="11">
        <f t="shared" si="216"/>
        <v>0</v>
      </c>
      <c r="P1356" s="12">
        <f t="shared" si="217"/>
        <v>0</v>
      </c>
      <c r="Q1356" s="17" t="str">
        <f t="shared" si="219"/>
        <v>Pas d'écart</v>
      </c>
    </row>
    <row r="1357" spans="1:18" x14ac:dyDescent="0.3">
      <c r="A1357" s="34">
        <f>base!J1357</f>
        <v>0</v>
      </c>
      <c r="B1357" s="34" t="str">
        <f>base!V1357</f>
        <v>77184</v>
      </c>
      <c r="C1357" s="37">
        <v>77</v>
      </c>
      <c r="D1357" s="36">
        <f>base!H1357</f>
        <v>31.6</v>
      </c>
      <c r="E1357" s="44"/>
      <c r="F1357" s="16">
        <f>base!W1357</f>
        <v>0</v>
      </c>
      <c r="G1357" s="11">
        <f t="shared" si="210"/>
        <v>0</v>
      </c>
      <c r="H1357" s="11">
        <f t="shared" si="211"/>
        <v>0</v>
      </c>
      <c r="I1357" s="11">
        <f t="shared" si="212"/>
        <v>0</v>
      </c>
      <c r="J1357" s="12">
        <f t="shared" si="213"/>
        <v>0</v>
      </c>
      <c r="K1357" s="17" t="str">
        <f t="shared" si="218"/>
        <v>Pas d'écart</v>
      </c>
      <c r="L1357" s="16">
        <f>base!X1357</f>
        <v>0</v>
      </c>
      <c r="M1357" s="11">
        <f t="shared" si="214"/>
        <v>0</v>
      </c>
      <c r="N1357" s="11">
        <f t="shared" si="215"/>
        <v>0</v>
      </c>
      <c r="O1357" s="11">
        <f t="shared" si="216"/>
        <v>0</v>
      </c>
      <c r="P1357" s="12">
        <f t="shared" si="217"/>
        <v>0</v>
      </c>
      <c r="Q1357" s="17" t="str">
        <f t="shared" si="219"/>
        <v>Pas d'écart</v>
      </c>
    </row>
    <row r="1358" spans="1:18" x14ac:dyDescent="0.3">
      <c r="A1358" s="34" t="str">
        <f>base!J1358</f>
        <v>DLM</v>
      </c>
      <c r="B1358" s="34" t="str">
        <f>base!V1358</f>
        <v>63100</v>
      </c>
      <c r="C1358" s="37">
        <v>63</v>
      </c>
      <c r="D1358" s="36">
        <f>base!H1358</f>
        <v>40</v>
      </c>
      <c r="E1358" s="44"/>
      <c r="F1358" s="16">
        <f>base!W1358</f>
        <v>0</v>
      </c>
      <c r="G1358" s="11">
        <f t="shared" si="210"/>
        <v>0</v>
      </c>
      <c r="H1358" s="11">
        <f t="shared" si="211"/>
        <v>11.6</v>
      </c>
      <c r="I1358" s="11">
        <f t="shared" si="212"/>
        <v>0.28999999999999998</v>
      </c>
      <c r="J1358" s="12">
        <f t="shared" si="213"/>
        <v>-11.6</v>
      </c>
      <c r="K1358" s="17" t="str">
        <f t="shared" si="218"/>
        <v>Ecart négatif</v>
      </c>
      <c r="L1358" s="16">
        <f>base!X1358</f>
        <v>0</v>
      </c>
      <c r="M1358" s="11">
        <f t="shared" si="214"/>
        <v>0</v>
      </c>
      <c r="N1358" s="11">
        <f t="shared" si="215"/>
        <v>4.8</v>
      </c>
      <c r="O1358" s="11">
        <f t="shared" si="216"/>
        <v>0.12</v>
      </c>
      <c r="P1358" s="12">
        <f t="shared" si="217"/>
        <v>-4.8</v>
      </c>
      <c r="Q1358" s="17" t="str">
        <f t="shared" si="219"/>
        <v>Ecart négatif</v>
      </c>
    </row>
    <row r="1359" spans="1:18" x14ac:dyDescent="0.3">
      <c r="A1359" s="34">
        <f>base!J1359</f>
        <v>0</v>
      </c>
      <c r="B1359" s="34" t="str">
        <f>base!V1359</f>
        <v>77184</v>
      </c>
      <c r="C1359" s="37">
        <v>77</v>
      </c>
      <c r="D1359" s="36">
        <f>base!H1359</f>
        <v>10</v>
      </c>
      <c r="E1359" s="44"/>
      <c r="F1359" s="16">
        <f>base!W1359</f>
        <v>0</v>
      </c>
      <c r="G1359" s="11">
        <f t="shared" si="210"/>
        <v>0</v>
      </c>
      <c r="H1359" s="11">
        <f t="shared" si="211"/>
        <v>0</v>
      </c>
      <c r="I1359" s="11">
        <f t="shared" si="212"/>
        <v>0</v>
      </c>
      <c r="J1359" s="12">
        <f t="shared" si="213"/>
        <v>0</v>
      </c>
      <c r="K1359" s="17" t="str">
        <f t="shared" si="218"/>
        <v>Pas d'écart</v>
      </c>
      <c r="L1359" s="16">
        <f>base!X1359</f>
        <v>0</v>
      </c>
      <c r="M1359" s="11">
        <f t="shared" si="214"/>
        <v>0</v>
      </c>
      <c r="N1359" s="11">
        <f t="shared" si="215"/>
        <v>0</v>
      </c>
      <c r="O1359" s="11">
        <f t="shared" si="216"/>
        <v>0</v>
      </c>
      <c r="P1359" s="12">
        <f t="shared" si="217"/>
        <v>0</v>
      </c>
      <c r="Q1359" s="17" t="str">
        <f t="shared" si="219"/>
        <v>Pas d'écart</v>
      </c>
    </row>
    <row r="1360" spans="1:18" x14ac:dyDescent="0.3">
      <c r="A1360" s="34" t="str">
        <f>base!J1360</f>
        <v>RM</v>
      </c>
      <c r="B1360" s="34" t="str">
        <f>base!V1360</f>
        <v>13115</v>
      </c>
      <c r="C1360" s="37">
        <v>13</v>
      </c>
      <c r="D1360" s="36">
        <f>base!H1360</f>
        <v>137.05000000000001</v>
      </c>
      <c r="E1360" s="44"/>
      <c r="F1360" s="16">
        <f>base!W1360</f>
        <v>0</v>
      </c>
      <c r="G1360" s="11">
        <f t="shared" si="210"/>
        <v>0</v>
      </c>
      <c r="H1360" s="11">
        <f t="shared" si="211"/>
        <v>39.744500000000002</v>
      </c>
      <c r="I1360" s="11">
        <f t="shared" si="212"/>
        <v>0.28999999999999998</v>
      </c>
      <c r="J1360" s="12">
        <f t="shared" si="213"/>
        <v>-39.744500000000002</v>
      </c>
      <c r="K1360" s="17" t="str">
        <f t="shared" si="218"/>
        <v>Ecart négatif</v>
      </c>
      <c r="L1360" s="16">
        <f>base!X1360</f>
        <v>26.04</v>
      </c>
      <c r="M1360" s="11">
        <f t="shared" si="214"/>
        <v>0.19000364830353883</v>
      </c>
      <c r="N1360" s="11">
        <f t="shared" si="215"/>
        <v>26.039500000000004</v>
      </c>
      <c r="O1360" s="11">
        <f t="shared" si="216"/>
        <v>0.19</v>
      </c>
      <c r="P1360" s="12">
        <f t="shared" si="217"/>
        <v>4.99999999995282E-4</v>
      </c>
      <c r="Q1360" s="17" t="str">
        <f t="shared" si="219"/>
        <v>Ecart positif</v>
      </c>
      <c r="R1360" s="38"/>
    </row>
    <row r="1361" spans="1:18" x14ac:dyDescent="0.3">
      <c r="A1361" s="34" t="str">
        <f>base!J1361</f>
        <v>RM</v>
      </c>
      <c r="B1361" s="34" t="str">
        <f>base!V1361</f>
        <v>01000</v>
      </c>
      <c r="C1361" s="37">
        <v>1</v>
      </c>
      <c r="D1361" s="36">
        <f>base!H1361</f>
        <v>180</v>
      </c>
      <c r="E1361" s="44"/>
      <c r="F1361" s="16">
        <f>base!W1361</f>
        <v>0</v>
      </c>
      <c r="G1361" s="11">
        <f t="shared" si="210"/>
        <v>0</v>
      </c>
      <c r="H1361" s="11">
        <f t="shared" si="211"/>
        <v>46.800000000000004</v>
      </c>
      <c r="I1361" s="11">
        <f t="shared" si="212"/>
        <v>0.26</v>
      </c>
      <c r="J1361" s="12">
        <f t="shared" si="213"/>
        <v>-46.800000000000004</v>
      </c>
      <c r="K1361" s="17" t="str">
        <f t="shared" si="218"/>
        <v>Ecart négatif</v>
      </c>
      <c r="L1361" s="16">
        <f>base!X1361</f>
        <v>0</v>
      </c>
      <c r="M1361" s="11">
        <f t="shared" si="214"/>
        <v>0</v>
      </c>
      <c r="N1361" s="11">
        <f t="shared" si="215"/>
        <v>0</v>
      </c>
      <c r="O1361" s="11">
        <f t="shared" si="216"/>
        <v>0</v>
      </c>
      <c r="P1361" s="12">
        <f t="shared" si="217"/>
        <v>0</v>
      </c>
      <c r="Q1361" s="17" t="str">
        <f t="shared" si="219"/>
        <v>Pas d'écart</v>
      </c>
    </row>
    <row r="1362" spans="1:18" x14ac:dyDescent="0.3">
      <c r="A1362" s="34" t="str">
        <f>base!J1362</f>
        <v>LM</v>
      </c>
      <c r="B1362" s="34" t="str">
        <f>base!V1362</f>
        <v>35044</v>
      </c>
      <c r="C1362" s="37">
        <v>76</v>
      </c>
      <c r="D1362" s="36">
        <f>base!H1362</f>
        <v>55.16</v>
      </c>
      <c r="E1362" s="44"/>
      <c r="F1362" s="16">
        <f>base!W1362</f>
        <v>14.89</v>
      </c>
      <c r="G1362" s="11">
        <f t="shared" si="210"/>
        <v>0.26994198694706312</v>
      </c>
      <c r="H1362" s="11">
        <f t="shared" si="211"/>
        <v>9.3772000000000002</v>
      </c>
      <c r="I1362" s="11">
        <f t="shared" si="212"/>
        <v>0.17</v>
      </c>
      <c r="J1362" s="12">
        <f t="shared" si="213"/>
        <v>5.5128000000000004</v>
      </c>
      <c r="K1362" s="17" t="str">
        <f t="shared" si="218"/>
        <v>Ecart positif</v>
      </c>
      <c r="L1362" s="16">
        <f>base!X1362</f>
        <v>0</v>
      </c>
      <c r="M1362" s="11">
        <f t="shared" si="214"/>
        <v>0</v>
      </c>
      <c r="N1362" s="11">
        <f t="shared" si="215"/>
        <v>9.3772000000000002</v>
      </c>
      <c r="O1362" s="11">
        <f t="shared" si="216"/>
        <v>0.17</v>
      </c>
      <c r="P1362" s="12">
        <f t="shared" si="217"/>
        <v>-9.3772000000000002</v>
      </c>
      <c r="Q1362" s="17" t="str">
        <f t="shared" si="219"/>
        <v>Ecart négatif</v>
      </c>
    </row>
    <row r="1363" spans="1:18" x14ac:dyDescent="0.3">
      <c r="A1363" s="34" t="str">
        <f>base!J1363</f>
        <v>LM</v>
      </c>
      <c r="B1363" s="34" t="str">
        <f>base!V1363</f>
        <v>35044</v>
      </c>
      <c r="C1363" s="37">
        <v>14</v>
      </c>
      <c r="D1363" s="36">
        <f>base!H1363</f>
        <v>55.16</v>
      </c>
      <c r="E1363" s="44"/>
      <c r="F1363" s="16">
        <f>base!W1363</f>
        <v>14.89</v>
      </c>
      <c r="G1363" s="11">
        <f t="shared" si="210"/>
        <v>0.26994198694706312</v>
      </c>
      <c r="H1363" s="11">
        <f t="shared" si="211"/>
        <v>9.3772000000000002</v>
      </c>
      <c r="I1363" s="11">
        <f t="shared" si="212"/>
        <v>0.17</v>
      </c>
      <c r="J1363" s="12">
        <f t="shared" si="213"/>
        <v>5.5128000000000004</v>
      </c>
      <c r="K1363" s="17" t="str">
        <f t="shared" si="218"/>
        <v>Ecart positif</v>
      </c>
      <c r="L1363" s="16">
        <f>base!X1363</f>
        <v>0</v>
      </c>
      <c r="M1363" s="11">
        <f t="shared" si="214"/>
        <v>0</v>
      </c>
      <c r="N1363" s="11">
        <f t="shared" si="215"/>
        <v>9.3772000000000002</v>
      </c>
      <c r="O1363" s="11">
        <f t="shared" si="216"/>
        <v>0.17</v>
      </c>
      <c r="P1363" s="12">
        <f t="shared" si="217"/>
        <v>-9.3772000000000002</v>
      </c>
      <c r="Q1363" s="17" t="str">
        <f t="shared" si="219"/>
        <v>Ecart négatif</v>
      </c>
    </row>
    <row r="1364" spans="1:18" x14ac:dyDescent="0.3">
      <c r="A1364" s="34" t="str">
        <f>base!J1364</f>
        <v>LS</v>
      </c>
      <c r="B1364" s="34" t="str">
        <f>base!V1364</f>
        <v>63300</v>
      </c>
      <c r="C1364" s="37">
        <v>14</v>
      </c>
      <c r="D1364" s="36">
        <f>base!H1364</f>
        <v>146.85</v>
      </c>
      <c r="E1364" s="44"/>
      <c r="F1364" s="16">
        <f>base!W1364</f>
        <v>42.59</v>
      </c>
      <c r="G1364" s="11">
        <f t="shared" si="210"/>
        <v>0.29002383384405861</v>
      </c>
      <c r="H1364" s="11">
        <f t="shared" si="211"/>
        <v>24.964500000000001</v>
      </c>
      <c r="I1364" s="11">
        <f t="shared" si="212"/>
        <v>0.17</v>
      </c>
      <c r="J1364" s="12">
        <f t="shared" si="213"/>
        <v>17.625500000000002</v>
      </c>
      <c r="K1364" s="17" t="str">
        <f t="shared" si="218"/>
        <v>Ecart positif</v>
      </c>
      <c r="L1364" s="16">
        <f>base!X1364</f>
        <v>0</v>
      </c>
      <c r="M1364" s="11">
        <f t="shared" si="214"/>
        <v>0</v>
      </c>
      <c r="N1364" s="11">
        <f t="shared" si="215"/>
        <v>24.964500000000001</v>
      </c>
      <c r="O1364" s="11">
        <f t="shared" si="216"/>
        <v>0.17</v>
      </c>
      <c r="P1364" s="12">
        <f t="shared" si="217"/>
        <v>-24.964500000000001</v>
      </c>
      <c r="Q1364" s="17" t="str">
        <f t="shared" si="219"/>
        <v>Ecart négatif</v>
      </c>
    </row>
    <row r="1365" spans="1:18" x14ac:dyDescent="0.3">
      <c r="A1365" s="34" t="str">
        <f>base!J1365</f>
        <v>RS</v>
      </c>
      <c r="B1365" s="34" t="str">
        <f>base!V1365</f>
        <v>30650</v>
      </c>
      <c r="C1365" s="37">
        <v>30</v>
      </c>
      <c r="D1365" s="36">
        <f>base!H1365</f>
        <v>104.2</v>
      </c>
      <c r="E1365" s="44"/>
      <c r="F1365" s="16">
        <f>base!W1365</f>
        <v>0</v>
      </c>
      <c r="G1365" s="11">
        <f t="shared" si="210"/>
        <v>0</v>
      </c>
      <c r="H1365" s="11">
        <f t="shared" si="211"/>
        <v>40.638000000000005</v>
      </c>
      <c r="I1365" s="11">
        <f t="shared" si="212"/>
        <v>0.39</v>
      </c>
      <c r="J1365" s="12">
        <f t="shared" si="213"/>
        <v>-40.638000000000005</v>
      </c>
      <c r="K1365" s="17" t="str">
        <f t="shared" si="218"/>
        <v>Ecart négatif</v>
      </c>
      <c r="L1365" s="16">
        <f>base!X1365</f>
        <v>29.18</v>
      </c>
      <c r="M1365" s="11">
        <f t="shared" si="214"/>
        <v>0.28003838771593087</v>
      </c>
      <c r="N1365" s="11">
        <f t="shared" si="215"/>
        <v>29.176000000000002</v>
      </c>
      <c r="O1365" s="11">
        <f t="shared" si="216"/>
        <v>0.28000000000000003</v>
      </c>
      <c r="P1365" s="12">
        <f t="shared" si="217"/>
        <v>3.9999999999977831E-3</v>
      </c>
      <c r="Q1365" s="17" t="str">
        <f t="shared" si="219"/>
        <v>Ecart positif</v>
      </c>
      <c r="R1365" s="38"/>
    </row>
    <row r="1366" spans="1:18" x14ac:dyDescent="0.3">
      <c r="A1366" s="34" t="str">
        <f>base!J1366</f>
        <v>RS</v>
      </c>
      <c r="B1366" s="34" t="str">
        <f>base!V1366</f>
        <v>45000</v>
      </c>
      <c r="C1366" s="37">
        <v>45</v>
      </c>
      <c r="D1366" s="36">
        <f>base!H1366</f>
        <v>194.98</v>
      </c>
      <c r="E1366" s="44"/>
      <c r="F1366" s="16">
        <f>base!W1366</f>
        <v>0</v>
      </c>
      <c r="G1366" s="11">
        <f t="shared" si="210"/>
        <v>0</v>
      </c>
      <c r="H1366" s="11">
        <f t="shared" si="211"/>
        <v>40.945799999999998</v>
      </c>
      <c r="I1366" s="11">
        <f t="shared" si="212"/>
        <v>0.21</v>
      </c>
      <c r="J1366" s="12">
        <f t="shared" si="213"/>
        <v>-40.945799999999998</v>
      </c>
      <c r="K1366" s="17" t="str">
        <f t="shared" si="218"/>
        <v>Ecart négatif</v>
      </c>
      <c r="L1366" s="16">
        <f>base!X1366</f>
        <v>76.040000000000006</v>
      </c>
      <c r="M1366" s="11">
        <f t="shared" si="214"/>
        <v>0.38998871679146585</v>
      </c>
      <c r="N1366" s="11">
        <f t="shared" si="215"/>
        <v>23.397599999999997</v>
      </c>
      <c r="O1366" s="11">
        <f t="shared" si="216"/>
        <v>0.12</v>
      </c>
      <c r="P1366" s="12">
        <f t="shared" si="217"/>
        <v>52.642400000000009</v>
      </c>
      <c r="Q1366" s="17" t="str">
        <f t="shared" si="219"/>
        <v>Ecart positif</v>
      </c>
      <c r="R1366" s="38"/>
    </row>
    <row r="1367" spans="1:18" x14ac:dyDescent="0.3">
      <c r="A1367" s="34" t="str">
        <f>base!J1367</f>
        <v>RS</v>
      </c>
      <c r="B1367" s="34" t="str">
        <f>base!V1367</f>
        <v>45800</v>
      </c>
      <c r="C1367" s="37">
        <v>45</v>
      </c>
      <c r="D1367" s="36">
        <f>base!H1367</f>
        <v>46.09</v>
      </c>
      <c r="E1367" s="44"/>
      <c r="F1367" s="16">
        <f>base!W1367</f>
        <v>0</v>
      </c>
      <c r="G1367" s="11">
        <f t="shared" si="210"/>
        <v>0</v>
      </c>
      <c r="H1367" s="11">
        <f t="shared" si="211"/>
        <v>9.6789000000000005</v>
      </c>
      <c r="I1367" s="11">
        <f t="shared" si="212"/>
        <v>0.21</v>
      </c>
      <c r="J1367" s="12">
        <f t="shared" si="213"/>
        <v>-9.6789000000000005</v>
      </c>
      <c r="K1367" s="17" t="str">
        <f t="shared" si="218"/>
        <v>Ecart négatif</v>
      </c>
      <c r="L1367" s="16">
        <f>base!X1367</f>
        <v>5.53</v>
      </c>
      <c r="M1367" s="11">
        <f t="shared" si="214"/>
        <v>0.11998264265567368</v>
      </c>
      <c r="N1367" s="11">
        <f t="shared" si="215"/>
        <v>5.5308000000000002</v>
      </c>
      <c r="O1367" s="11">
        <f t="shared" si="216"/>
        <v>0.12</v>
      </c>
      <c r="P1367" s="12">
        <f t="shared" si="217"/>
        <v>-7.9999999999991189E-4</v>
      </c>
      <c r="Q1367" s="17" t="str">
        <f t="shared" si="219"/>
        <v>Ecart négatif</v>
      </c>
      <c r="R1367" s="38"/>
    </row>
    <row r="1368" spans="1:18" x14ac:dyDescent="0.3">
      <c r="A1368" s="34" t="str">
        <f>base!J1368</f>
        <v>DRS</v>
      </c>
      <c r="B1368" s="34" t="str">
        <f>base!V1368</f>
        <v>73000</v>
      </c>
      <c r="C1368" s="37">
        <v>73</v>
      </c>
      <c r="D1368" s="36">
        <f>base!H1368</f>
        <v>122.09</v>
      </c>
      <c r="E1368" s="44"/>
      <c r="F1368" s="16">
        <f>base!W1368</f>
        <v>0</v>
      </c>
      <c r="G1368" s="11">
        <f t="shared" si="210"/>
        <v>0</v>
      </c>
      <c r="H1368" s="11">
        <f t="shared" si="211"/>
        <v>32.964300000000001</v>
      </c>
      <c r="I1368" s="11">
        <f t="shared" si="212"/>
        <v>0.27</v>
      </c>
      <c r="J1368" s="12">
        <f t="shared" si="213"/>
        <v>-32.964300000000001</v>
      </c>
      <c r="K1368" s="17" t="str">
        <f t="shared" si="218"/>
        <v>Ecart négatif</v>
      </c>
      <c r="L1368" s="16">
        <f>base!X1368</f>
        <v>0</v>
      </c>
      <c r="M1368" s="11">
        <f t="shared" si="214"/>
        <v>0</v>
      </c>
      <c r="N1368" s="11">
        <f t="shared" si="215"/>
        <v>0</v>
      </c>
      <c r="O1368" s="11">
        <f t="shared" si="216"/>
        <v>0</v>
      </c>
      <c r="P1368" s="12">
        <f t="shared" si="217"/>
        <v>0</v>
      </c>
      <c r="Q1368" s="17" t="str">
        <f t="shared" si="219"/>
        <v>Pas d'écart</v>
      </c>
    </row>
    <row r="1369" spans="1:18" x14ac:dyDescent="0.3">
      <c r="A1369" s="34" t="str">
        <f>base!J1369</f>
        <v>RS</v>
      </c>
      <c r="B1369" s="34" t="str">
        <f>base!V1369</f>
        <v>50100</v>
      </c>
      <c r="C1369" s="37">
        <v>50</v>
      </c>
      <c r="D1369" s="36">
        <f>base!H1369</f>
        <v>40</v>
      </c>
      <c r="E1369" s="44"/>
      <c r="F1369" s="16">
        <f>base!W1369</f>
        <v>0</v>
      </c>
      <c r="G1369" s="11">
        <f t="shared" si="210"/>
        <v>0</v>
      </c>
      <c r="H1369" s="11">
        <f t="shared" si="211"/>
        <v>6.8000000000000007</v>
      </c>
      <c r="I1369" s="11">
        <f t="shared" si="212"/>
        <v>0.17</v>
      </c>
      <c r="J1369" s="12">
        <f t="shared" si="213"/>
        <v>-6.8000000000000007</v>
      </c>
      <c r="K1369" s="17" t="str">
        <f t="shared" si="218"/>
        <v>Ecart négatif</v>
      </c>
      <c r="L1369" s="16">
        <f>base!X1369</f>
        <v>6.8</v>
      </c>
      <c r="M1369" s="11">
        <f t="shared" si="214"/>
        <v>0.16999999999999998</v>
      </c>
      <c r="N1369" s="11">
        <f t="shared" si="215"/>
        <v>6.8000000000000007</v>
      </c>
      <c r="O1369" s="11">
        <f t="shared" si="216"/>
        <v>0.17</v>
      </c>
      <c r="P1369" s="12">
        <f t="shared" si="217"/>
        <v>0</v>
      </c>
      <c r="Q1369" s="17" t="str">
        <f t="shared" si="219"/>
        <v>Pas d'écart</v>
      </c>
    </row>
    <row r="1370" spans="1:18" x14ac:dyDescent="0.3">
      <c r="A1370" s="34" t="str">
        <f>base!J1370</f>
        <v>LS</v>
      </c>
      <c r="B1370" s="34" t="str">
        <f>base!V1370</f>
        <v>45160</v>
      </c>
      <c r="C1370" s="37">
        <v>27</v>
      </c>
      <c r="D1370" s="36">
        <f>base!H1370</f>
        <v>136.65</v>
      </c>
      <c r="E1370" s="44"/>
      <c r="F1370" s="16">
        <f>base!W1370</f>
        <v>28.7</v>
      </c>
      <c r="G1370" s="11">
        <f t="shared" si="210"/>
        <v>0.21002561287961946</v>
      </c>
      <c r="H1370" s="11">
        <f t="shared" si="211"/>
        <v>23.230500000000003</v>
      </c>
      <c r="I1370" s="11">
        <f t="shared" si="212"/>
        <v>0.17</v>
      </c>
      <c r="J1370" s="12">
        <f t="shared" si="213"/>
        <v>5.4694999999999965</v>
      </c>
      <c r="K1370" s="17" t="str">
        <f t="shared" si="218"/>
        <v>Ecart positif</v>
      </c>
      <c r="L1370" s="16">
        <f>base!X1370</f>
        <v>0</v>
      </c>
      <c r="M1370" s="11">
        <f t="shared" si="214"/>
        <v>0</v>
      </c>
      <c r="N1370" s="11">
        <f t="shared" si="215"/>
        <v>23.230500000000003</v>
      </c>
      <c r="O1370" s="11">
        <f t="shared" si="216"/>
        <v>0.17</v>
      </c>
      <c r="P1370" s="12">
        <f t="shared" si="217"/>
        <v>-23.230500000000003</v>
      </c>
      <c r="Q1370" s="17" t="str">
        <f t="shared" si="219"/>
        <v>Ecart négatif</v>
      </c>
    </row>
    <row r="1371" spans="1:18" x14ac:dyDescent="0.3">
      <c r="A1371" s="34" t="str">
        <f>base!J1371</f>
        <v>LS</v>
      </c>
      <c r="B1371" s="34" t="str">
        <f>base!V1371</f>
        <v>69230</v>
      </c>
      <c r="C1371" s="37">
        <v>27</v>
      </c>
      <c r="D1371" s="36">
        <f>base!H1371</f>
        <v>303.74</v>
      </c>
      <c r="E1371" s="44"/>
      <c r="F1371" s="16">
        <f>base!W1371</f>
        <v>82.01</v>
      </c>
      <c r="G1371" s="11">
        <f t="shared" si="210"/>
        <v>0.27000065845789162</v>
      </c>
      <c r="H1371" s="11">
        <f t="shared" si="211"/>
        <v>51.635800000000003</v>
      </c>
      <c r="I1371" s="11">
        <f t="shared" si="212"/>
        <v>0.17</v>
      </c>
      <c r="J1371" s="12">
        <f t="shared" si="213"/>
        <v>30.374200000000002</v>
      </c>
      <c r="K1371" s="17" t="str">
        <f t="shared" si="218"/>
        <v>Ecart positif</v>
      </c>
      <c r="L1371" s="16">
        <f>base!X1371</f>
        <v>0</v>
      </c>
      <c r="M1371" s="11">
        <f t="shared" si="214"/>
        <v>0</v>
      </c>
      <c r="N1371" s="11">
        <f t="shared" si="215"/>
        <v>51.635800000000003</v>
      </c>
      <c r="O1371" s="11">
        <f t="shared" si="216"/>
        <v>0.17</v>
      </c>
      <c r="P1371" s="12">
        <f t="shared" si="217"/>
        <v>-51.635800000000003</v>
      </c>
      <c r="Q1371" s="17" t="str">
        <f t="shared" si="219"/>
        <v>Ecart négatif</v>
      </c>
    </row>
    <row r="1372" spans="1:18" x14ac:dyDescent="0.3">
      <c r="A1372" s="34" t="str">
        <f>base!J1372</f>
        <v>DLM</v>
      </c>
      <c r="B1372" s="34" t="str">
        <f>base!V1372</f>
        <v>69800</v>
      </c>
      <c r="C1372" s="37">
        <v>69</v>
      </c>
      <c r="D1372" s="36">
        <f>base!H1372</f>
        <v>151</v>
      </c>
      <c r="E1372" s="44"/>
      <c r="F1372" s="16">
        <f>base!W1372</f>
        <v>0</v>
      </c>
      <c r="G1372" s="11">
        <f t="shared" si="210"/>
        <v>0</v>
      </c>
      <c r="H1372" s="11">
        <f t="shared" si="211"/>
        <v>40.770000000000003</v>
      </c>
      <c r="I1372" s="11">
        <f t="shared" si="212"/>
        <v>0.27</v>
      </c>
      <c r="J1372" s="12">
        <f t="shared" si="213"/>
        <v>-40.770000000000003</v>
      </c>
      <c r="K1372" s="17" t="str">
        <f t="shared" si="218"/>
        <v>Ecart négatif</v>
      </c>
      <c r="L1372" s="16">
        <f>base!X1372</f>
        <v>0</v>
      </c>
      <c r="M1372" s="11">
        <f t="shared" si="214"/>
        <v>0</v>
      </c>
      <c r="N1372" s="11">
        <f t="shared" si="215"/>
        <v>0</v>
      </c>
      <c r="O1372" s="11">
        <f t="shared" si="216"/>
        <v>0</v>
      </c>
      <c r="P1372" s="12">
        <f t="shared" si="217"/>
        <v>0</v>
      </c>
      <c r="Q1372" s="17" t="str">
        <f t="shared" si="219"/>
        <v>Pas d'écart</v>
      </c>
    </row>
    <row r="1373" spans="1:18" x14ac:dyDescent="0.3">
      <c r="A1373" s="34" t="str">
        <f>base!J1373</f>
        <v>RM</v>
      </c>
      <c r="B1373" s="34" t="str">
        <f>base!V1373</f>
        <v>68360</v>
      </c>
      <c r="C1373" s="37">
        <v>68</v>
      </c>
      <c r="D1373" s="36">
        <f>base!H1373</f>
        <v>151</v>
      </c>
      <c r="E1373" s="44"/>
      <c r="F1373" s="16">
        <f>base!W1373</f>
        <v>0</v>
      </c>
      <c r="G1373" s="11">
        <f t="shared" si="210"/>
        <v>0</v>
      </c>
      <c r="H1373" s="11">
        <f t="shared" si="211"/>
        <v>43.79</v>
      </c>
      <c r="I1373" s="11">
        <f t="shared" si="212"/>
        <v>0.28999999999999998</v>
      </c>
      <c r="J1373" s="12">
        <f t="shared" si="213"/>
        <v>-43.79</v>
      </c>
      <c r="K1373" s="17" t="str">
        <f t="shared" si="218"/>
        <v>Ecart négatif</v>
      </c>
      <c r="L1373" s="16">
        <f>base!X1373</f>
        <v>0</v>
      </c>
      <c r="M1373" s="11">
        <f t="shared" si="214"/>
        <v>0</v>
      </c>
      <c r="N1373" s="11">
        <f t="shared" si="215"/>
        <v>12.08</v>
      </c>
      <c r="O1373" s="11">
        <f t="shared" si="216"/>
        <v>0.08</v>
      </c>
      <c r="P1373" s="12">
        <f t="shared" si="217"/>
        <v>-12.08</v>
      </c>
      <c r="Q1373" s="17" t="str">
        <f t="shared" si="219"/>
        <v>Ecart négatif</v>
      </c>
    </row>
    <row r="1374" spans="1:18" x14ac:dyDescent="0.3">
      <c r="A1374" s="34" t="str">
        <f>base!J1374</f>
        <v>LM</v>
      </c>
      <c r="B1374" s="34" t="str">
        <f>base!V1374</f>
        <v>54000</v>
      </c>
      <c r="C1374" s="37">
        <v>61</v>
      </c>
      <c r="D1374" s="36">
        <f>base!H1374</f>
        <v>12</v>
      </c>
      <c r="E1374" s="44"/>
      <c r="F1374" s="16">
        <f>base!W1374</f>
        <v>3</v>
      </c>
      <c r="G1374" s="11">
        <f t="shared" si="210"/>
        <v>0.25</v>
      </c>
      <c r="H1374" s="11">
        <f t="shared" si="211"/>
        <v>2.04</v>
      </c>
      <c r="I1374" s="11">
        <f t="shared" si="212"/>
        <v>0.17</v>
      </c>
      <c r="J1374" s="12">
        <f t="shared" si="213"/>
        <v>0.96</v>
      </c>
      <c r="K1374" s="17" t="str">
        <f t="shared" si="218"/>
        <v>Ecart positif</v>
      </c>
      <c r="L1374" s="16">
        <f>base!X1374</f>
        <v>0</v>
      </c>
      <c r="M1374" s="11">
        <f t="shared" si="214"/>
        <v>0</v>
      </c>
      <c r="N1374" s="11">
        <f t="shared" si="215"/>
        <v>2.04</v>
      </c>
      <c r="O1374" s="11">
        <f t="shared" si="216"/>
        <v>0.17</v>
      </c>
      <c r="P1374" s="12">
        <f t="shared" si="217"/>
        <v>-2.04</v>
      </c>
      <c r="Q1374" s="17" t="str">
        <f t="shared" si="219"/>
        <v>Ecart négatif</v>
      </c>
    </row>
    <row r="1375" spans="1:18" x14ac:dyDescent="0.3">
      <c r="A1375" s="34" t="str">
        <f>base!J1375</f>
        <v>LS</v>
      </c>
      <c r="B1375" s="34" t="str">
        <f>base!V1375</f>
        <v>57000</v>
      </c>
      <c r="C1375" s="37">
        <v>61</v>
      </c>
      <c r="D1375" s="36">
        <f>base!H1375</f>
        <v>12</v>
      </c>
      <c r="E1375" s="44"/>
      <c r="F1375" s="16">
        <f>base!W1375</f>
        <v>0</v>
      </c>
      <c r="G1375" s="11">
        <f t="shared" si="210"/>
        <v>0</v>
      </c>
      <c r="H1375" s="11">
        <f t="shared" si="211"/>
        <v>2.04</v>
      </c>
      <c r="I1375" s="11">
        <f t="shared" si="212"/>
        <v>0.17</v>
      </c>
      <c r="J1375" s="12">
        <f t="shared" si="213"/>
        <v>-2.04</v>
      </c>
      <c r="K1375" s="17" t="str">
        <f t="shared" si="218"/>
        <v>Ecart négatif</v>
      </c>
      <c r="L1375" s="16">
        <f>base!X1375</f>
        <v>0</v>
      </c>
      <c r="M1375" s="11">
        <f t="shared" si="214"/>
        <v>0</v>
      </c>
      <c r="N1375" s="11">
        <f t="shared" si="215"/>
        <v>2.04</v>
      </c>
      <c r="O1375" s="11">
        <f t="shared" si="216"/>
        <v>0.17</v>
      </c>
      <c r="P1375" s="12">
        <f t="shared" si="217"/>
        <v>-2.04</v>
      </c>
      <c r="Q1375" s="17" t="str">
        <f t="shared" si="219"/>
        <v>Ecart négatif</v>
      </c>
    </row>
    <row r="1376" spans="1:18" x14ac:dyDescent="0.3">
      <c r="A1376" s="34" t="str">
        <f>base!J1376</f>
        <v>DRS</v>
      </c>
      <c r="B1376" s="34" t="str">
        <f>base!V1376</f>
        <v>68360</v>
      </c>
      <c r="C1376" s="37">
        <v>68</v>
      </c>
      <c r="D1376" s="36">
        <f>base!H1376</f>
        <v>163.98</v>
      </c>
      <c r="E1376" s="44"/>
      <c r="F1376" s="16">
        <f>base!W1376</f>
        <v>0</v>
      </c>
      <c r="G1376" s="11">
        <f t="shared" si="210"/>
        <v>0</v>
      </c>
      <c r="H1376" s="11">
        <f t="shared" si="211"/>
        <v>47.554199999999994</v>
      </c>
      <c r="I1376" s="11">
        <f t="shared" si="212"/>
        <v>0.28999999999999998</v>
      </c>
      <c r="J1376" s="12">
        <f t="shared" si="213"/>
        <v>-47.554199999999994</v>
      </c>
      <c r="K1376" s="17" t="str">
        <f t="shared" si="218"/>
        <v>Ecart négatif</v>
      </c>
      <c r="L1376" s="16">
        <f>base!X1376</f>
        <v>0</v>
      </c>
      <c r="M1376" s="11">
        <f t="shared" si="214"/>
        <v>0</v>
      </c>
      <c r="N1376" s="11">
        <f t="shared" si="215"/>
        <v>13.118399999999999</v>
      </c>
      <c r="O1376" s="11">
        <f t="shared" si="216"/>
        <v>0.08</v>
      </c>
      <c r="P1376" s="12">
        <f t="shared" si="217"/>
        <v>-13.118399999999999</v>
      </c>
      <c r="Q1376" s="17" t="str">
        <f t="shared" si="219"/>
        <v>Ecart négatif</v>
      </c>
    </row>
    <row r="1377" spans="1:17" x14ac:dyDescent="0.3">
      <c r="A1377" s="34" t="str">
        <f>base!J1377</f>
        <v>LM</v>
      </c>
      <c r="B1377" s="34" t="str">
        <f>base!V1377</f>
        <v>62740</v>
      </c>
      <c r="C1377" s="37">
        <v>61</v>
      </c>
      <c r="D1377" s="36">
        <f>base!H1377</f>
        <v>55.31</v>
      </c>
      <c r="E1377" s="44"/>
      <c r="F1377" s="16">
        <f>base!W1377</f>
        <v>10.51</v>
      </c>
      <c r="G1377" s="11">
        <f t="shared" si="210"/>
        <v>0.19001988790453805</v>
      </c>
      <c r="H1377" s="11">
        <f t="shared" si="211"/>
        <v>9.4027000000000012</v>
      </c>
      <c r="I1377" s="11">
        <f t="shared" si="212"/>
        <v>0.17</v>
      </c>
      <c r="J1377" s="12">
        <f t="shared" si="213"/>
        <v>1.1072999999999986</v>
      </c>
      <c r="K1377" s="17" t="str">
        <f t="shared" si="218"/>
        <v>Ecart positif</v>
      </c>
      <c r="L1377" s="16">
        <f>base!X1377</f>
        <v>0</v>
      </c>
      <c r="M1377" s="11">
        <f t="shared" si="214"/>
        <v>0</v>
      </c>
      <c r="N1377" s="11">
        <f t="shared" si="215"/>
        <v>9.4027000000000012</v>
      </c>
      <c r="O1377" s="11">
        <f t="shared" si="216"/>
        <v>0.17</v>
      </c>
      <c r="P1377" s="12">
        <f t="shared" si="217"/>
        <v>-9.4027000000000012</v>
      </c>
      <c r="Q1377" s="17" t="str">
        <f t="shared" si="219"/>
        <v>Ecart négatif</v>
      </c>
    </row>
    <row r="1378" spans="1:17" x14ac:dyDescent="0.3">
      <c r="A1378" s="34" t="str">
        <f>base!J1378</f>
        <v>LM</v>
      </c>
      <c r="B1378" s="34" t="str">
        <f>base!V1378</f>
        <v>62740</v>
      </c>
      <c r="C1378" s="37">
        <v>61</v>
      </c>
      <c r="D1378" s="36">
        <f>base!H1378</f>
        <v>55.31</v>
      </c>
      <c r="E1378" s="44"/>
      <c r="F1378" s="16">
        <f>base!W1378</f>
        <v>10.51</v>
      </c>
      <c r="G1378" s="11">
        <f t="shared" si="210"/>
        <v>0.19001988790453805</v>
      </c>
      <c r="H1378" s="11">
        <f t="shared" si="211"/>
        <v>9.4027000000000012</v>
      </c>
      <c r="I1378" s="11">
        <f t="shared" si="212"/>
        <v>0.17</v>
      </c>
      <c r="J1378" s="12">
        <f t="shared" si="213"/>
        <v>1.1072999999999986</v>
      </c>
      <c r="K1378" s="17" t="str">
        <f t="shared" si="218"/>
        <v>Ecart positif</v>
      </c>
      <c r="L1378" s="16">
        <f>base!X1378</f>
        <v>0</v>
      </c>
      <c r="M1378" s="11">
        <f t="shared" si="214"/>
        <v>0</v>
      </c>
      <c r="N1378" s="11">
        <f t="shared" si="215"/>
        <v>9.4027000000000012</v>
      </c>
      <c r="O1378" s="11">
        <f t="shared" si="216"/>
        <v>0.17</v>
      </c>
      <c r="P1378" s="12">
        <f t="shared" si="217"/>
        <v>-9.4027000000000012</v>
      </c>
      <c r="Q1378" s="17" t="str">
        <f t="shared" si="219"/>
        <v>Ecart négatif</v>
      </c>
    </row>
    <row r="1379" spans="1:17" x14ac:dyDescent="0.3">
      <c r="A1379" s="34">
        <f>base!J1379</f>
        <v>0</v>
      </c>
      <c r="B1379" s="34" t="str">
        <f>base!V1379</f>
        <v>44240</v>
      </c>
      <c r="C1379" s="37">
        <v>44</v>
      </c>
      <c r="D1379" s="36">
        <f>base!H1379</f>
        <v>60</v>
      </c>
      <c r="E1379" s="44"/>
      <c r="F1379" s="16">
        <f>base!W1379</f>
        <v>0</v>
      </c>
      <c r="G1379" s="11">
        <f t="shared" si="210"/>
        <v>0</v>
      </c>
      <c r="H1379" s="11">
        <f t="shared" si="211"/>
        <v>16.200000000000003</v>
      </c>
      <c r="I1379" s="11">
        <f t="shared" si="212"/>
        <v>0.27000000000000007</v>
      </c>
      <c r="J1379" s="12">
        <f t="shared" si="213"/>
        <v>-16.200000000000003</v>
      </c>
      <c r="K1379" s="17" t="str">
        <f t="shared" si="218"/>
        <v>Ecart négatif</v>
      </c>
      <c r="L1379" s="16">
        <f>base!X1379</f>
        <v>0</v>
      </c>
      <c r="M1379" s="11">
        <f t="shared" si="214"/>
        <v>0</v>
      </c>
      <c r="N1379" s="11">
        <f t="shared" si="215"/>
        <v>0</v>
      </c>
      <c r="O1379" s="11">
        <f t="shared" si="216"/>
        <v>0</v>
      </c>
      <c r="P1379" s="12">
        <f t="shared" si="217"/>
        <v>0</v>
      </c>
      <c r="Q1379" s="17" t="str">
        <f t="shared" si="219"/>
        <v>Pas d'écart</v>
      </c>
    </row>
    <row r="1380" spans="1:17" x14ac:dyDescent="0.3">
      <c r="A1380" s="34">
        <f>base!J1380</f>
        <v>0</v>
      </c>
      <c r="B1380" s="34" t="str">
        <f>base!V1380</f>
        <v>77184</v>
      </c>
      <c r="C1380" s="37">
        <v>77</v>
      </c>
      <c r="D1380" s="36">
        <f>base!H1380</f>
        <v>177.72</v>
      </c>
      <c r="E1380" s="44"/>
      <c r="F1380" s="16">
        <f>base!W1380</f>
        <v>0</v>
      </c>
      <c r="G1380" s="11">
        <f t="shared" si="210"/>
        <v>0</v>
      </c>
      <c r="H1380" s="11">
        <f t="shared" si="211"/>
        <v>0</v>
      </c>
      <c r="I1380" s="11">
        <f t="shared" si="212"/>
        <v>0</v>
      </c>
      <c r="J1380" s="12">
        <f t="shared" si="213"/>
        <v>0</v>
      </c>
      <c r="K1380" s="17" t="str">
        <f t="shared" si="218"/>
        <v>Pas d'écart</v>
      </c>
      <c r="L1380" s="16">
        <f>base!X1380</f>
        <v>0</v>
      </c>
      <c r="M1380" s="11">
        <f t="shared" si="214"/>
        <v>0</v>
      </c>
      <c r="N1380" s="11">
        <f t="shared" si="215"/>
        <v>0</v>
      </c>
      <c r="O1380" s="11">
        <f t="shared" si="216"/>
        <v>0</v>
      </c>
      <c r="P1380" s="12">
        <f t="shared" si="217"/>
        <v>0</v>
      </c>
      <c r="Q1380" s="17" t="str">
        <f t="shared" si="219"/>
        <v>Pas d'écart</v>
      </c>
    </row>
    <row r="1381" spans="1:17" x14ac:dyDescent="0.3">
      <c r="A1381" s="34">
        <f>base!J1381</f>
        <v>0</v>
      </c>
      <c r="B1381" s="34" t="str">
        <f>base!V1381</f>
        <v>77184</v>
      </c>
      <c r="C1381" s="37">
        <v>77</v>
      </c>
      <c r="D1381" s="36">
        <f>base!H1381</f>
        <v>105</v>
      </c>
      <c r="E1381" s="44"/>
      <c r="F1381" s="16">
        <f>base!W1381</f>
        <v>0</v>
      </c>
      <c r="G1381" s="11">
        <f t="shared" si="210"/>
        <v>0</v>
      </c>
      <c r="H1381" s="11">
        <f t="shared" si="211"/>
        <v>0</v>
      </c>
      <c r="I1381" s="11">
        <f t="shared" si="212"/>
        <v>0</v>
      </c>
      <c r="J1381" s="12">
        <f t="shared" si="213"/>
        <v>0</v>
      </c>
      <c r="K1381" s="17" t="str">
        <f t="shared" si="218"/>
        <v>Pas d'écart</v>
      </c>
      <c r="L1381" s="16">
        <f>base!X1381</f>
        <v>0</v>
      </c>
      <c r="M1381" s="11">
        <f t="shared" si="214"/>
        <v>0</v>
      </c>
      <c r="N1381" s="11">
        <f t="shared" si="215"/>
        <v>0</v>
      </c>
      <c r="O1381" s="11">
        <f t="shared" si="216"/>
        <v>0</v>
      </c>
      <c r="P1381" s="12">
        <f t="shared" si="217"/>
        <v>0</v>
      </c>
      <c r="Q1381" s="17" t="str">
        <f t="shared" si="219"/>
        <v>Pas d'écart</v>
      </c>
    </row>
    <row r="1382" spans="1:17" x14ac:dyDescent="0.3">
      <c r="A1382" s="34" t="str">
        <f>base!J1382</f>
        <v>RS</v>
      </c>
      <c r="B1382" s="34" t="str">
        <f>base!V1382</f>
        <v>76420</v>
      </c>
      <c r="C1382" s="37">
        <v>76</v>
      </c>
      <c r="D1382" s="36">
        <f>base!H1382</f>
        <v>140</v>
      </c>
      <c r="E1382" s="44"/>
      <c r="F1382" s="16">
        <f>base!W1382</f>
        <v>0</v>
      </c>
      <c r="G1382" s="11">
        <f t="shared" si="210"/>
        <v>0</v>
      </c>
      <c r="H1382" s="11">
        <f t="shared" si="211"/>
        <v>23.8</v>
      </c>
      <c r="I1382" s="11">
        <f t="shared" si="212"/>
        <v>0.17</v>
      </c>
      <c r="J1382" s="12">
        <f t="shared" si="213"/>
        <v>-23.8</v>
      </c>
      <c r="K1382" s="17" t="str">
        <f t="shared" si="218"/>
        <v>Ecart négatif</v>
      </c>
      <c r="L1382" s="16">
        <f>base!X1382</f>
        <v>23.8</v>
      </c>
      <c r="M1382" s="11">
        <f t="shared" si="214"/>
        <v>0.17</v>
      </c>
      <c r="N1382" s="11">
        <f t="shared" si="215"/>
        <v>23.8</v>
      </c>
      <c r="O1382" s="11">
        <f t="shared" si="216"/>
        <v>0.17</v>
      </c>
      <c r="P1382" s="12">
        <f t="shared" si="217"/>
        <v>0</v>
      </c>
      <c r="Q1382" s="17" t="str">
        <f t="shared" si="219"/>
        <v>Pas d'écart</v>
      </c>
    </row>
    <row r="1383" spans="1:17" x14ac:dyDescent="0.3">
      <c r="A1383" s="34" t="str">
        <f>base!J1383</f>
        <v>LM</v>
      </c>
      <c r="B1383" s="34" t="str">
        <f>base!V1383</f>
        <v>75009</v>
      </c>
      <c r="C1383" s="37">
        <v>75</v>
      </c>
      <c r="D1383" s="36">
        <f>base!H1383</f>
        <v>134.57</v>
      </c>
      <c r="E1383" s="44"/>
      <c r="F1383" s="16">
        <f>base!W1383</f>
        <v>0</v>
      </c>
      <c r="G1383" s="11">
        <f t="shared" si="210"/>
        <v>0</v>
      </c>
      <c r="H1383" s="11">
        <f t="shared" si="211"/>
        <v>0</v>
      </c>
      <c r="I1383" s="11">
        <f t="shared" si="212"/>
        <v>0</v>
      </c>
      <c r="J1383" s="12">
        <f t="shared" si="213"/>
        <v>0</v>
      </c>
      <c r="K1383" s="17" t="str">
        <f t="shared" si="218"/>
        <v>Pas d'écart</v>
      </c>
      <c r="L1383" s="16">
        <f>base!X1383</f>
        <v>0</v>
      </c>
      <c r="M1383" s="11">
        <f t="shared" si="214"/>
        <v>0</v>
      </c>
      <c r="N1383" s="11">
        <f t="shared" si="215"/>
        <v>0</v>
      </c>
      <c r="O1383" s="11">
        <f t="shared" si="216"/>
        <v>0</v>
      </c>
      <c r="P1383" s="12">
        <f t="shared" si="217"/>
        <v>0</v>
      </c>
      <c r="Q1383" s="17" t="str">
        <f t="shared" si="219"/>
        <v>Pas d'écart</v>
      </c>
    </row>
    <row r="1384" spans="1:17" x14ac:dyDescent="0.3">
      <c r="A1384" s="34" t="str">
        <f>base!J1384</f>
        <v>LS</v>
      </c>
      <c r="B1384" s="34" t="str">
        <f>base!V1384</f>
        <v>61210</v>
      </c>
      <c r="C1384" s="37">
        <v>14</v>
      </c>
      <c r="D1384" s="36">
        <f>base!H1384</f>
        <v>51.02</v>
      </c>
      <c r="E1384" s="44"/>
      <c r="F1384" s="16">
        <f>base!W1384</f>
        <v>8.67</v>
      </c>
      <c r="G1384" s="11">
        <f t="shared" si="210"/>
        <v>0.16993335946687571</v>
      </c>
      <c r="H1384" s="11">
        <f t="shared" si="211"/>
        <v>8.6734000000000009</v>
      </c>
      <c r="I1384" s="11">
        <f t="shared" si="212"/>
        <v>0.17</v>
      </c>
      <c r="J1384" s="12">
        <f t="shared" si="213"/>
        <v>-3.4000000000009578E-3</v>
      </c>
      <c r="K1384" s="17" t="str">
        <f t="shared" si="218"/>
        <v>Ecart négatif</v>
      </c>
      <c r="L1384" s="16">
        <f>base!X1384</f>
        <v>0</v>
      </c>
      <c r="M1384" s="11">
        <f t="shared" si="214"/>
        <v>0</v>
      </c>
      <c r="N1384" s="11">
        <f t="shared" si="215"/>
        <v>8.6734000000000009</v>
      </c>
      <c r="O1384" s="11">
        <f t="shared" si="216"/>
        <v>0.17</v>
      </c>
      <c r="P1384" s="12">
        <f t="shared" si="217"/>
        <v>-8.6734000000000009</v>
      </c>
      <c r="Q1384" s="17" t="str">
        <f t="shared" si="219"/>
        <v>Ecart négatif</v>
      </c>
    </row>
    <row r="1385" spans="1:17" x14ac:dyDescent="0.3">
      <c r="A1385" s="34">
        <f>base!J1385</f>
        <v>0</v>
      </c>
      <c r="B1385" s="34" t="str">
        <f>base!V1385</f>
        <v>77184</v>
      </c>
      <c r="C1385" s="37">
        <v>77</v>
      </c>
      <c r="D1385" s="36">
        <f>base!H1385</f>
        <v>105</v>
      </c>
      <c r="E1385" s="44"/>
      <c r="F1385" s="16">
        <f>base!W1385</f>
        <v>0</v>
      </c>
      <c r="G1385" s="11">
        <f t="shared" si="210"/>
        <v>0</v>
      </c>
      <c r="H1385" s="11">
        <f t="shared" si="211"/>
        <v>0</v>
      </c>
      <c r="I1385" s="11">
        <f t="shared" si="212"/>
        <v>0</v>
      </c>
      <c r="J1385" s="12">
        <f t="shared" si="213"/>
        <v>0</v>
      </c>
      <c r="K1385" s="17" t="str">
        <f t="shared" si="218"/>
        <v>Pas d'écart</v>
      </c>
      <c r="L1385" s="16">
        <f>base!X1385</f>
        <v>0</v>
      </c>
      <c r="M1385" s="11">
        <f t="shared" si="214"/>
        <v>0</v>
      </c>
      <c r="N1385" s="11">
        <f t="shared" si="215"/>
        <v>0</v>
      </c>
      <c r="O1385" s="11">
        <f t="shared" si="216"/>
        <v>0</v>
      </c>
      <c r="P1385" s="12">
        <f t="shared" si="217"/>
        <v>0</v>
      </c>
      <c r="Q1385" s="17" t="str">
        <f t="shared" si="219"/>
        <v>Pas d'écart</v>
      </c>
    </row>
    <row r="1386" spans="1:17" x14ac:dyDescent="0.3">
      <c r="A1386" s="34">
        <f>base!J1386</f>
        <v>0</v>
      </c>
      <c r="B1386" s="34" t="str">
        <f>base!V1386</f>
        <v>77184</v>
      </c>
      <c r="C1386" s="37">
        <v>77</v>
      </c>
      <c r="D1386" s="36">
        <f>base!H1386</f>
        <v>133</v>
      </c>
      <c r="E1386" s="44"/>
      <c r="F1386" s="16">
        <f>base!W1386</f>
        <v>0</v>
      </c>
      <c r="G1386" s="11">
        <f t="shared" si="210"/>
        <v>0</v>
      </c>
      <c r="H1386" s="11">
        <f t="shared" si="211"/>
        <v>0</v>
      </c>
      <c r="I1386" s="11">
        <f t="shared" si="212"/>
        <v>0</v>
      </c>
      <c r="J1386" s="12">
        <f t="shared" si="213"/>
        <v>0</v>
      </c>
      <c r="K1386" s="17" t="str">
        <f t="shared" si="218"/>
        <v>Pas d'écart</v>
      </c>
      <c r="L1386" s="16">
        <f>base!X1386</f>
        <v>0</v>
      </c>
      <c r="M1386" s="11">
        <f t="shared" si="214"/>
        <v>0</v>
      </c>
      <c r="N1386" s="11">
        <f t="shared" si="215"/>
        <v>0</v>
      </c>
      <c r="O1386" s="11">
        <f t="shared" si="216"/>
        <v>0</v>
      </c>
      <c r="P1386" s="12">
        <f t="shared" si="217"/>
        <v>0</v>
      </c>
      <c r="Q1386" s="17" t="str">
        <f t="shared" si="219"/>
        <v>Pas d'écart</v>
      </c>
    </row>
    <row r="1387" spans="1:17" x14ac:dyDescent="0.3">
      <c r="A1387" s="34">
        <f>base!J1387</f>
        <v>0</v>
      </c>
      <c r="B1387" s="34" t="str">
        <f>base!V1387</f>
        <v>77184</v>
      </c>
      <c r="C1387" s="37">
        <v>77</v>
      </c>
      <c r="D1387" s="36">
        <f>base!H1387</f>
        <v>36.119999999999997</v>
      </c>
      <c r="E1387" s="44"/>
      <c r="F1387" s="16">
        <f>base!W1387</f>
        <v>0</v>
      </c>
      <c r="G1387" s="11">
        <f t="shared" si="210"/>
        <v>0</v>
      </c>
      <c r="H1387" s="11">
        <f t="shared" si="211"/>
        <v>0</v>
      </c>
      <c r="I1387" s="11">
        <f t="shared" si="212"/>
        <v>0</v>
      </c>
      <c r="J1387" s="12">
        <f t="shared" si="213"/>
        <v>0</v>
      </c>
      <c r="K1387" s="17" t="str">
        <f t="shared" si="218"/>
        <v>Pas d'écart</v>
      </c>
      <c r="L1387" s="16">
        <f>base!X1387</f>
        <v>0</v>
      </c>
      <c r="M1387" s="11">
        <f t="shared" si="214"/>
        <v>0</v>
      </c>
      <c r="N1387" s="11">
        <f t="shared" si="215"/>
        <v>0</v>
      </c>
      <c r="O1387" s="11">
        <f t="shared" si="216"/>
        <v>0</v>
      </c>
      <c r="P1387" s="12">
        <f t="shared" si="217"/>
        <v>0</v>
      </c>
      <c r="Q1387" s="17" t="str">
        <f t="shared" si="219"/>
        <v>Pas d'écart</v>
      </c>
    </row>
    <row r="1388" spans="1:17" x14ac:dyDescent="0.3">
      <c r="A1388" s="34">
        <f>base!J1388</f>
        <v>0</v>
      </c>
      <c r="B1388" s="34" t="str">
        <f>base!V1388</f>
        <v>77184</v>
      </c>
      <c r="C1388" s="37">
        <v>77</v>
      </c>
      <c r="D1388" s="36">
        <f>base!H1388</f>
        <v>31</v>
      </c>
      <c r="E1388" s="44"/>
      <c r="F1388" s="16">
        <f>base!W1388</f>
        <v>0</v>
      </c>
      <c r="G1388" s="11">
        <f t="shared" si="210"/>
        <v>0</v>
      </c>
      <c r="H1388" s="11">
        <f t="shared" si="211"/>
        <v>0</v>
      </c>
      <c r="I1388" s="11">
        <f t="shared" si="212"/>
        <v>0</v>
      </c>
      <c r="J1388" s="12">
        <f t="shared" si="213"/>
        <v>0</v>
      </c>
      <c r="K1388" s="17" t="str">
        <f t="shared" si="218"/>
        <v>Pas d'écart</v>
      </c>
      <c r="L1388" s="16">
        <f>base!X1388</f>
        <v>0</v>
      </c>
      <c r="M1388" s="11">
        <f t="shared" si="214"/>
        <v>0</v>
      </c>
      <c r="N1388" s="11">
        <f t="shared" si="215"/>
        <v>0</v>
      </c>
      <c r="O1388" s="11">
        <f t="shared" si="216"/>
        <v>0</v>
      </c>
      <c r="P1388" s="12">
        <f t="shared" si="217"/>
        <v>0</v>
      </c>
      <c r="Q1388" s="17" t="str">
        <f t="shared" si="219"/>
        <v>Pas d'écart</v>
      </c>
    </row>
    <row r="1389" spans="1:17" x14ac:dyDescent="0.3">
      <c r="A1389" s="34" t="str">
        <f>base!J1389</f>
        <v>RS</v>
      </c>
      <c r="B1389" s="34" t="str">
        <f>base!V1389</f>
        <v>59650</v>
      </c>
      <c r="C1389" s="37">
        <v>59</v>
      </c>
      <c r="D1389" s="36">
        <f>base!H1389</f>
        <v>396.31</v>
      </c>
      <c r="E1389" s="44"/>
      <c r="F1389" s="16">
        <f>base!W1389</f>
        <v>0</v>
      </c>
      <c r="G1389" s="11">
        <f t="shared" si="210"/>
        <v>0</v>
      </c>
      <c r="H1389" s="11">
        <f t="shared" si="211"/>
        <v>75.298900000000003</v>
      </c>
      <c r="I1389" s="11">
        <f t="shared" si="212"/>
        <v>0.19</v>
      </c>
      <c r="J1389" s="12">
        <f t="shared" si="213"/>
        <v>-75.298900000000003</v>
      </c>
      <c r="K1389" s="17" t="str">
        <f t="shared" si="218"/>
        <v>Ecart négatif</v>
      </c>
      <c r="L1389" s="16">
        <f>base!X1389</f>
        <v>0</v>
      </c>
      <c r="M1389" s="11">
        <f t="shared" si="214"/>
        <v>0</v>
      </c>
      <c r="N1389" s="11">
        <f t="shared" si="215"/>
        <v>0</v>
      </c>
      <c r="O1389" s="11">
        <f t="shared" si="216"/>
        <v>0</v>
      </c>
      <c r="P1389" s="12">
        <f t="shared" si="217"/>
        <v>0</v>
      </c>
      <c r="Q1389" s="17" t="str">
        <f t="shared" si="219"/>
        <v>Pas d'écart</v>
      </c>
    </row>
    <row r="1390" spans="1:17" x14ac:dyDescent="0.3">
      <c r="A1390" s="34" t="str">
        <f>base!J1390</f>
        <v>LM</v>
      </c>
      <c r="B1390" s="34" t="str">
        <f>base!V1390</f>
        <v>66250</v>
      </c>
      <c r="C1390" s="37">
        <v>14</v>
      </c>
      <c r="D1390" s="36">
        <f>base!H1390</f>
        <v>52.52</v>
      </c>
      <c r="E1390" s="44"/>
      <c r="F1390" s="16">
        <f>base!W1390</f>
        <v>20.48</v>
      </c>
      <c r="G1390" s="11">
        <f t="shared" si="210"/>
        <v>0.38994668697638996</v>
      </c>
      <c r="H1390" s="11">
        <f t="shared" si="211"/>
        <v>8.9284000000000017</v>
      </c>
      <c r="I1390" s="11">
        <f t="shared" si="212"/>
        <v>0.17</v>
      </c>
      <c r="J1390" s="12">
        <f t="shared" si="213"/>
        <v>11.551599999999999</v>
      </c>
      <c r="K1390" s="17" t="str">
        <f t="shared" si="218"/>
        <v>Ecart positif</v>
      </c>
      <c r="L1390" s="16">
        <f>base!X1390</f>
        <v>0</v>
      </c>
      <c r="M1390" s="11">
        <f t="shared" si="214"/>
        <v>0</v>
      </c>
      <c r="N1390" s="11">
        <f t="shared" si="215"/>
        <v>8.9284000000000017</v>
      </c>
      <c r="O1390" s="11">
        <f t="shared" si="216"/>
        <v>0.17</v>
      </c>
      <c r="P1390" s="12">
        <f t="shared" si="217"/>
        <v>-8.9284000000000017</v>
      </c>
      <c r="Q1390" s="17" t="str">
        <f t="shared" si="219"/>
        <v>Ecart négatif</v>
      </c>
    </row>
    <row r="1391" spans="1:17" x14ac:dyDescent="0.3">
      <c r="A1391" s="34" t="str">
        <f>base!J1391</f>
        <v>LM</v>
      </c>
      <c r="B1391" s="34" t="str">
        <f>base!V1391</f>
        <v>75018</v>
      </c>
      <c r="C1391" s="37">
        <v>75</v>
      </c>
      <c r="D1391" s="36">
        <f>base!H1391</f>
        <v>194.63</v>
      </c>
      <c r="E1391" s="44"/>
      <c r="F1391" s="16">
        <f>base!W1391</f>
        <v>0</v>
      </c>
      <c r="G1391" s="11">
        <f t="shared" si="210"/>
        <v>0</v>
      </c>
      <c r="H1391" s="11">
        <f t="shared" si="211"/>
        <v>0</v>
      </c>
      <c r="I1391" s="11">
        <f t="shared" si="212"/>
        <v>0</v>
      </c>
      <c r="J1391" s="12">
        <f t="shared" si="213"/>
        <v>0</v>
      </c>
      <c r="K1391" s="17" t="str">
        <f t="shared" si="218"/>
        <v>Pas d'écart</v>
      </c>
      <c r="L1391" s="16">
        <f>base!X1391</f>
        <v>0</v>
      </c>
      <c r="M1391" s="11">
        <f t="shared" si="214"/>
        <v>0</v>
      </c>
      <c r="N1391" s="11">
        <f t="shared" si="215"/>
        <v>0</v>
      </c>
      <c r="O1391" s="11">
        <f t="shared" si="216"/>
        <v>0</v>
      </c>
      <c r="P1391" s="12">
        <f t="shared" si="217"/>
        <v>0</v>
      </c>
      <c r="Q1391" s="17" t="str">
        <f t="shared" si="219"/>
        <v>Pas d'écart</v>
      </c>
    </row>
    <row r="1392" spans="1:17" x14ac:dyDescent="0.3">
      <c r="A1392" s="34" t="str">
        <f>base!J1392</f>
        <v>LS</v>
      </c>
      <c r="B1392" s="34" t="str">
        <f>base!V1392</f>
        <v>34500</v>
      </c>
      <c r="C1392" s="37">
        <v>14</v>
      </c>
      <c r="D1392" s="36">
        <f>base!H1392</f>
        <v>143.44999999999999</v>
      </c>
      <c r="E1392" s="44"/>
      <c r="F1392" s="16">
        <f>base!W1392</f>
        <v>55.95</v>
      </c>
      <c r="G1392" s="11">
        <f t="shared" si="210"/>
        <v>0.3900313698152667</v>
      </c>
      <c r="H1392" s="11">
        <f t="shared" si="211"/>
        <v>24.386499999999998</v>
      </c>
      <c r="I1392" s="11">
        <f t="shared" si="212"/>
        <v>0.17</v>
      </c>
      <c r="J1392" s="12">
        <f t="shared" si="213"/>
        <v>31.563500000000005</v>
      </c>
      <c r="K1392" s="17" t="str">
        <f t="shared" si="218"/>
        <v>Ecart positif</v>
      </c>
      <c r="L1392" s="16">
        <f>base!X1392</f>
        <v>0</v>
      </c>
      <c r="M1392" s="11">
        <f t="shared" si="214"/>
        <v>0</v>
      </c>
      <c r="N1392" s="11">
        <f t="shared" si="215"/>
        <v>24.386499999999998</v>
      </c>
      <c r="O1392" s="11">
        <f t="shared" si="216"/>
        <v>0.17</v>
      </c>
      <c r="P1392" s="12">
        <f t="shared" si="217"/>
        <v>-24.386499999999998</v>
      </c>
      <c r="Q1392" s="17" t="str">
        <f t="shared" si="219"/>
        <v>Ecart négatif</v>
      </c>
    </row>
    <row r="1393" spans="1:17" x14ac:dyDescent="0.3">
      <c r="A1393" s="34" t="str">
        <f>base!J1393</f>
        <v>LM</v>
      </c>
      <c r="B1393" s="34" t="str">
        <f>base!V1393</f>
        <v>74190</v>
      </c>
      <c r="C1393" s="37">
        <v>61</v>
      </c>
      <c r="D1393" s="36">
        <f>base!H1393</f>
        <v>186.07</v>
      </c>
      <c r="E1393" s="44"/>
      <c r="F1393" s="16">
        <f>base!W1393</f>
        <v>50.24</v>
      </c>
      <c r="G1393" s="11">
        <f t="shared" si="210"/>
        <v>0.27000591175364114</v>
      </c>
      <c r="H1393" s="11">
        <f t="shared" si="211"/>
        <v>31.631900000000002</v>
      </c>
      <c r="I1393" s="11">
        <f t="shared" si="212"/>
        <v>0.17</v>
      </c>
      <c r="J1393" s="12">
        <f t="shared" si="213"/>
        <v>18.6081</v>
      </c>
      <c r="K1393" s="17" t="str">
        <f t="shared" si="218"/>
        <v>Ecart positif</v>
      </c>
      <c r="L1393" s="16">
        <f>base!X1393</f>
        <v>0</v>
      </c>
      <c r="M1393" s="11">
        <f t="shared" si="214"/>
        <v>0</v>
      </c>
      <c r="N1393" s="11">
        <f t="shared" si="215"/>
        <v>31.631900000000002</v>
      </c>
      <c r="O1393" s="11">
        <f t="shared" si="216"/>
        <v>0.17</v>
      </c>
      <c r="P1393" s="12">
        <f t="shared" si="217"/>
        <v>-31.631900000000002</v>
      </c>
      <c r="Q1393" s="17" t="str">
        <f t="shared" si="219"/>
        <v>Ecart négatif</v>
      </c>
    </row>
    <row r="1394" spans="1:17" x14ac:dyDescent="0.3">
      <c r="A1394" s="34" t="str">
        <f>base!J1394</f>
        <v>LM</v>
      </c>
      <c r="B1394" s="34" t="str">
        <f>base!V1394</f>
        <v>18000</v>
      </c>
      <c r="C1394" s="37">
        <v>76</v>
      </c>
      <c r="D1394" s="36">
        <f>base!H1394</f>
        <v>36.369999999999997</v>
      </c>
      <c r="E1394" s="44"/>
      <c r="F1394" s="16">
        <f>base!W1394</f>
        <v>7.64</v>
      </c>
      <c r="G1394" s="11">
        <f t="shared" si="210"/>
        <v>0.21006323893318671</v>
      </c>
      <c r="H1394" s="11">
        <f t="shared" si="211"/>
        <v>6.1829000000000001</v>
      </c>
      <c r="I1394" s="11">
        <f t="shared" si="212"/>
        <v>0.17</v>
      </c>
      <c r="J1394" s="12">
        <f t="shared" si="213"/>
        <v>1.4570999999999996</v>
      </c>
      <c r="K1394" s="17" t="str">
        <f t="shared" si="218"/>
        <v>Ecart positif</v>
      </c>
      <c r="L1394" s="16">
        <f>base!X1394</f>
        <v>0</v>
      </c>
      <c r="M1394" s="11">
        <f t="shared" si="214"/>
        <v>0</v>
      </c>
      <c r="N1394" s="11">
        <f t="shared" si="215"/>
        <v>6.1829000000000001</v>
      </c>
      <c r="O1394" s="11">
        <f t="shared" si="216"/>
        <v>0.17</v>
      </c>
      <c r="P1394" s="12">
        <f t="shared" si="217"/>
        <v>-6.1829000000000001</v>
      </c>
      <c r="Q1394" s="17" t="str">
        <f t="shared" si="219"/>
        <v>Ecart négatif</v>
      </c>
    </row>
    <row r="1395" spans="1:17" x14ac:dyDescent="0.3">
      <c r="A1395" s="34" t="str">
        <f>base!J1395</f>
        <v>LM</v>
      </c>
      <c r="B1395" s="34" t="str">
        <f>base!V1395</f>
        <v>75014</v>
      </c>
      <c r="C1395" s="37">
        <v>75</v>
      </c>
      <c r="D1395" s="36">
        <f>base!H1395</f>
        <v>107.6</v>
      </c>
      <c r="E1395" s="44"/>
      <c r="F1395" s="16">
        <f>base!W1395</f>
        <v>0</v>
      </c>
      <c r="G1395" s="11">
        <f t="shared" si="210"/>
        <v>0</v>
      </c>
      <c r="H1395" s="11">
        <f t="shared" si="211"/>
        <v>0</v>
      </c>
      <c r="I1395" s="11">
        <f t="shared" si="212"/>
        <v>0</v>
      </c>
      <c r="J1395" s="12">
        <f t="shared" si="213"/>
        <v>0</v>
      </c>
      <c r="K1395" s="17" t="str">
        <f t="shared" si="218"/>
        <v>Pas d'écart</v>
      </c>
      <c r="L1395" s="16">
        <f>base!X1395</f>
        <v>0</v>
      </c>
      <c r="M1395" s="11">
        <f t="shared" si="214"/>
        <v>0</v>
      </c>
      <c r="N1395" s="11">
        <f t="shared" si="215"/>
        <v>0</v>
      </c>
      <c r="O1395" s="11">
        <f t="shared" si="216"/>
        <v>0</v>
      </c>
      <c r="P1395" s="12">
        <f t="shared" si="217"/>
        <v>0</v>
      </c>
      <c r="Q1395" s="17" t="str">
        <f t="shared" si="219"/>
        <v>Pas d'écart</v>
      </c>
    </row>
    <row r="1396" spans="1:17" x14ac:dyDescent="0.3">
      <c r="A1396" s="34" t="str">
        <f>base!J1396</f>
        <v>LM</v>
      </c>
      <c r="B1396" s="34" t="str">
        <f>base!V1396</f>
        <v>68200</v>
      </c>
      <c r="C1396" s="37">
        <v>14</v>
      </c>
      <c r="D1396" s="36">
        <f>base!H1396</f>
        <v>200.93</v>
      </c>
      <c r="E1396" s="44"/>
      <c r="F1396" s="16">
        <f>base!W1396</f>
        <v>58.27</v>
      </c>
      <c r="G1396" s="11">
        <f t="shared" si="210"/>
        <v>0.29000149305728362</v>
      </c>
      <c r="H1396" s="11">
        <f t="shared" si="211"/>
        <v>34.158100000000005</v>
      </c>
      <c r="I1396" s="11">
        <f t="shared" si="212"/>
        <v>0.17</v>
      </c>
      <c r="J1396" s="12">
        <f t="shared" si="213"/>
        <v>24.111899999999999</v>
      </c>
      <c r="K1396" s="17" t="str">
        <f t="shared" si="218"/>
        <v>Ecart positif</v>
      </c>
      <c r="L1396" s="16">
        <f>base!X1396</f>
        <v>0</v>
      </c>
      <c r="M1396" s="11">
        <f t="shared" si="214"/>
        <v>0</v>
      </c>
      <c r="N1396" s="11">
        <f t="shared" si="215"/>
        <v>34.158100000000005</v>
      </c>
      <c r="O1396" s="11">
        <f t="shared" si="216"/>
        <v>0.17</v>
      </c>
      <c r="P1396" s="12">
        <f t="shared" si="217"/>
        <v>-34.158100000000005</v>
      </c>
      <c r="Q1396" s="17" t="str">
        <f t="shared" si="219"/>
        <v>Ecart négatif</v>
      </c>
    </row>
    <row r="1397" spans="1:17" x14ac:dyDescent="0.3">
      <c r="A1397" s="34" t="str">
        <f>base!J1397</f>
        <v>LS</v>
      </c>
      <c r="B1397" s="34" t="str">
        <f>base!V1397</f>
        <v>67000</v>
      </c>
      <c r="C1397" s="37">
        <v>27</v>
      </c>
      <c r="D1397" s="36">
        <f>base!H1397</f>
        <v>191.49</v>
      </c>
      <c r="E1397" s="44"/>
      <c r="F1397" s="16">
        <f>base!W1397</f>
        <v>55.53</v>
      </c>
      <c r="G1397" s="11">
        <f t="shared" si="210"/>
        <v>0.28998903336988874</v>
      </c>
      <c r="H1397" s="11">
        <f t="shared" si="211"/>
        <v>32.553300000000007</v>
      </c>
      <c r="I1397" s="11">
        <f t="shared" si="212"/>
        <v>0.17000000000000004</v>
      </c>
      <c r="J1397" s="12">
        <f t="shared" si="213"/>
        <v>22.976699999999994</v>
      </c>
      <c r="K1397" s="17" t="str">
        <f t="shared" si="218"/>
        <v>Ecart positif</v>
      </c>
      <c r="L1397" s="16">
        <f>base!X1397</f>
        <v>0</v>
      </c>
      <c r="M1397" s="11">
        <f t="shared" si="214"/>
        <v>0</v>
      </c>
      <c r="N1397" s="11">
        <f t="shared" si="215"/>
        <v>32.553300000000007</v>
      </c>
      <c r="O1397" s="11">
        <f t="shared" si="216"/>
        <v>0.17000000000000004</v>
      </c>
      <c r="P1397" s="12">
        <f t="shared" si="217"/>
        <v>-32.553300000000007</v>
      </c>
      <c r="Q1397" s="17" t="str">
        <f t="shared" si="219"/>
        <v>Ecart négatif</v>
      </c>
    </row>
    <row r="1398" spans="1:17" x14ac:dyDescent="0.3">
      <c r="A1398" s="34">
        <f>base!J1398</f>
        <v>0</v>
      </c>
      <c r="B1398" s="34" t="str">
        <f>base!V1398</f>
        <v>44240</v>
      </c>
      <c r="C1398" s="37">
        <v>44</v>
      </c>
      <c r="D1398" s="36">
        <f>base!H1398</f>
        <v>72.12</v>
      </c>
      <c r="E1398" s="44"/>
      <c r="F1398" s="16">
        <f>base!W1398</f>
        <v>0</v>
      </c>
      <c r="G1398" s="11">
        <f t="shared" si="210"/>
        <v>0</v>
      </c>
      <c r="H1398" s="11">
        <f t="shared" si="211"/>
        <v>19.472400000000004</v>
      </c>
      <c r="I1398" s="11">
        <f t="shared" si="212"/>
        <v>0.27</v>
      </c>
      <c r="J1398" s="12">
        <f t="shared" si="213"/>
        <v>-19.472400000000004</v>
      </c>
      <c r="K1398" s="17" t="str">
        <f t="shared" si="218"/>
        <v>Ecart négatif</v>
      </c>
      <c r="L1398" s="16">
        <f>base!X1398</f>
        <v>0</v>
      </c>
      <c r="M1398" s="11">
        <f t="shared" si="214"/>
        <v>0</v>
      </c>
      <c r="N1398" s="11">
        <f t="shared" si="215"/>
        <v>0</v>
      </c>
      <c r="O1398" s="11">
        <f t="shared" si="216"/>
        <v>0</v>
      </c>
      <c r="P1398" s="12">
        <f t="shared" si="217"/>
        <v>0</v>
      </c>
      <c r="Q1398" s="17" t="str">
        <f t="shared" si="219"/>
        <v>Pas d'écart</v>
      </c>
    </row>
    <row r="1399" spans="1:17" x14ac:dyDescent="0.3">
      <c r="A1399" s="34" t="str">
        <f>base!J1399</f>
        <v>RS</v>
      </c>
      <c r="B1399" s="34" t="str">
        <f>base!V1399</f>
        <v>59157</v>
      </c>
      <c r="C1399" s="37">
        <v>59</v>
      </c>
      <c r="D1399" s="36">
        <f>base!H1399</f>
        <v>161.02000000000001</v>
      </c>
      <c r="E1399" s="44"/>
      <c r="F1399" s="16">
        <f>base!W1399</f>
        <v>0</v>
      </c>
      <c r="G1399" s="11">
        <f t="shared" si="210"/>
        <v>0</v>
      </c>
      <c r="H1399" s="11">
        <f t="shared" si="211"/>
        <v>30.593800000000002</v>
      </c>
      <c r="I1399" s="11">
        <f t="shared" si="212"/>
        <v>0.19</v>
      </c>
      <c r="J1399" s="12">
        <f t="shared" si="213"/>
        <v>-30.593800000000002</v>
      </c>
      <c r="K1399" s="17" t="str">
        <f t="shared" si="218"/>
        <v>Ecart négatif</v>
      </c>
      <c r="L1399" s="16">
        <f>base!X1399</f>
        <v>0</v>
      </c>
      <c r="M1399" s="11">
        <f t="shared" si="214"/>
        <v>0</v>
      </c>
      <c r="N1399" s="11">
        <f t="shared" si="215"/>
        <v>0</v>
      </c>
      <c r="O1399" s="11">
        <f t="shared" si="216"/>
        <v>0</v>
      </c>
      <c r="P1399" s="12">
        <f t="shared" si="217"/>
        <v>0</v>
      </c>
      <c r="Q1399" s="17" t="str">
        <f t="shared" si="219"/>
        <v>Pas d'écart</v>
      </c>
    </row>
    <row r="1400" spans="1:17" x14ac:dyDescent="0.3">
      <c r="A1400" s="34">
        <f>base!J1400</f>
        <v>0</v>
      </c>
      <c r="B1400" s="34" t="str">
        <f>base!V1400</f>
        <v>77184</v>
      </c>
      <c r="C1400" s="37">
        <v>77</v>
      </c>
      <c r="D1400" s="36">
        <f>base!H1400</f>
        <v>300</v>
      </c>
      <c r="E1400" s="44"/>
      <c r="F1400" s="16">
        <f>base!W1400</f>
        <v>0</v>
      </c>
      <c r="G1400" s="11">
        <f t="shared" si="210"/>
        <v>0</v>
      </c>
      <c r="H1400" s="11">
        <f t="shared" si="211"/>
        <v>0</v>
      </c>
      <c r="I1400" s="11">
        <f t="shared" si="212"/>
        <v>0</v>
      </c>
      <c r="J1400" s="12">
        <f t="shared" si="213"/>
        <v>0</v>
      </c>
      <c r="K1400" s="17" t="str">
        <f t="shared" si="218"/>
        <v>Pas d'écart</v>
      </c>
      <c r="L1400" s="16">
        <f>base!X1400</f>
        <v>0</v>
      </c>
      <c r="M1400" s="11">
        <f t="shared" si="214"/>
        <v>0</v>
      </c>
      <c r="N1400" s="11">
        <f t="shared" si="215"/>
        <v>0</v>
      </c>
      <c r="O1400" s="11">
        <f t="shared" si="216"/>
        <v>0</v>
      </c>
      <c r="P1400" s="12">
        <f t="shared" si="217"/>
        <v>0</v>
      </c>
      <c r="Q1400" s="17" t="str">
        <f t="shared" si="219"/>
        <v>Pas d'écart</v>
      </c>
    </row>
    <row r="1401" spans="1:17" x14ac:dyDescent="0.3">
      <c r="A1401" s="34" t="str">
        <f>base!J1401</f>
        <v>LM</v>
      </c>
      <c r="B1401" s="34" t="str">
        <f>base!V1401</f>
        <v>75014</v>
      </c>
      <c r="C1401" s="37">
        <v>75</v>
      </c>
      <c r="D1401" s="36">
        <f>base!H1401</f>
        <v>19.649999999999999</v>
      </c>
      <c r="E1401" s="44"/>
      <c r="F1401" s="16">
        <f>base!W1401</f>
        <v>0</v>
      </c>
      <c r="G1401" s="11">
        <f t="shared" si="210"/>
        <v>0</v>
      </c>
      <c r="H1401" s="11">
        <f t="shared" si="211"/>
        <v>0</v>
      </c>
      <c r="I1401" s="11">
        <f t="shared" si="212"/>
        <v>0</v>
      </c>
      <c r="J1401" s="12">
        <f t="shared" si="213"/>
        <v>0</v>
      </c>
      <c r="K1401" s="17" t="str">
        <f t="shared" si="218"/>
        <v>Pas d'écart</v>
      </c>
      <c r="L1401" s="16">
        <f>base!X1401</f>
        <v>0</v>
      </c>
      <c r="M1401" s="11">
        <f t="shared" si="214"/>
        <v>0</v>
      </c>
      <c r="N1401" s="11">
        <f t="shared" si="215"/>
        <v>0</v>
      </c>
      <c r="O1401" s="11">
        <f t="shared" si="216"/>
        <v>0</v>
      </c>
      <c r="P1401" s="12">
        <f t="shared" si="217"/>
        <v>0</v>
      </c>
      <c r="Q1401" s="17" t="str">
        <f t="shared" si="219"/>
        <v>Pas d'écart</v>
      </c>
    </row>
    <row r="1402" spans="1:17" x14ac:dyDescent="0.3">
      <c r="A1402" s="34" t="str">
        <f>base!J1402</f>
        <v>LM</v>
      </c>
      <c r="B1402" s="34" t="str">
        <f>base!V1402</f>
        <v>75014</v>
      </c>
      <c r="C1402" s="37">
        <v>75</v>
      </c>
      <c r="D1402" s="36">
        <f>base!H1402</f>
        <v>19.649999999999999</v>
      </c>
      <c r="E1402" s="44"/>
      <c r="F1402" s="16">
        <f>base!W1402</f>
        <v>0</v>
      </c>
      <c r="G1402" s="11">
        <f t="shared" si="210"/>
        <v>0</v>
      </c>
      <c r="H1402" s="11">
        <f t="shared" si="211"/>
        <v>0</v>
      </c>
      <c r="I1402" s="11">
        <f t="shared" si="212"/>
        <v>0</v>
      </c>
      <c r="J1402" s="12">
        <f t="shared" si="213"/>
        <v>0</v>
      </c>
      <c r="K1402" s="17" t="str">
        <f t="shared" si="218"/>
        <v>Pas d'écart</v>
      </c>
      <c r="L1402" s="16">
        <f>base!X1402</f>
        <v>0</v>
      </c>
      <c r="M1402" s="11">
        <f t="shared" si="214"/>
        <v>0</v>
      </c>
      <c r="N1402" s="11">
        <f t="shared" si="215"/>
        <v>0</v>
      </c>
      <c r="O1402" s="11">
        <f t="shared" si="216"/>
        <v>0</v>
      </c>
      <c r="P1402" s="12">
        <f t="shared" si="217"/>
        <v>0</v>
      </c>
      <c r="Q1402" s="17" t="str">
        <f t="shared" si="219"/>
        <v>Pas d'écart</v>
      </c>
    </row>
    <row r="1403" spans="1:17" x14ac:dyDescent="0.3">
      <c r="A1403" s="34" t="str">
        <f>base!J1403</f>
        <v>LM</v>
      </c>
      <c r="B1403" s="34" t="str">
        <f>base!V1403</f>
        <v>75014</v>
      </c>
      <c r="C1403" s="37">
        <v>75</v>
      </c>
      <c r="D1403" s="36">
        <f>base!H1403</f>
        <v>19.649999999999999</v>
      </c>
      <c r="E1403" s="44"/>
      <c r="F1403" s="16">
        <f>base!W1403</f>
        <v>0</v>
      </c>
      <c r="G1403" s="11">
        <f t="shared" si="210"/>
        <v>0</v>
      </c>
      <c r="H1403" s="11">
        <f t="shared" si="211"/>
        <v>0</v>
      </c>
      <c r="I1403" s="11">
        <f t="shared" si="212"/>
        <v>0</v>
      </c>
      <c r="J1403" s="12">
        <f t="shared" si="213"/>
        <v>0</v>
      </c>
      <c r="K1403" s="17" t="str">
        <f t="shared" si="218"/>
        <v>Pas d'écart</v>
      </c>
      <c r="L1403" s="16">
        <f>base!X1403</f>
        <v>0</v>
      </c>
      <c r="M1403" s="11">
        <f t="shared" si="214"/>
        <v>0</v>
      </c>
      <c r="N1403" s="11">
        <f t="shared" si="215"/>
        <v>0</v>
      </c>
      <c r="O1403" s="11">
        <f t="shared" si="216"/>
        <v>0</v>
      </c>
      <c r="P1403" s="12">
        <f t="shared" si="217"/>
        <v>0</v>
      </c>
      <c r="Q1403" s="17" t="str">
        <f t="shared" si="219"/>
        <v>Pas d'écart</v>
      </c>
    </row>
    <row r="1404" spans="1:17" x14ac:dyDescent="0.3">
      <c r="A1404" s="34" t="str">
        <f>base!J1404</f>
        <v>LM</v>
      </c>
      <c r="B1404" s="34" t="str">
        <f>base!V1404</f>
        <v>75014</v>
      </c>
      <c r="C1404" s="37">
        <v>75</v>
      </c>
      <c r="D1404" s="36">
        <f>base!H1404</f>
        <v>19.649999999999999</v>
      </c>
      <c r="E1404" s="44"/>
      <c r="F1404" s="16">
        <f>base!W1404</f>
        <v>0</v>
      </c>
      <c r="G1404" s="11">
        <f t="shared" si="210"/>
        <v>0</v>
      </c>
      <c r="H1404" s="11">
        <f t="shared" si="211"/>
        <v>0</v>
      </c>
      <c r="I1404" s="11">
        <f t="shared" si="212"/>
        <v>0</v>
      </c>
      <c r="J1404" s="12">
        <f t="shared" si="213"/>
        <v>0</v>
      </c>
      <c r="K1404" s="17" t="str">
        <f t="shared" si="218"/>
        <v>Pas d'écart</v>
      </c>
      <c r="L1404" s="16">
        <f>base!X1404</f>
        <v>0</v>
      </c>
      <c r="M1404" s="11">
        <f t="shared" si="214"/>
        <v>0</v>
      </c>
      <c r="N1404" s="11">
        <f t="shared" si="215"/>
        <v>0</v>
      </c>
      <c r="O1404" s="11">
        <f t="shared" si="216"/>
        <v>0</v>
      </c>
      <c r="P1404" s="12">
        <f t="shared" si="217"/>
        <v>0</v>
      </c>
      <c r="Q1404" s="17" t="str">
        <f t="shared" si="219"/>
        <v>Pas d'écart</v>
      </c>
    </row>
    <row r="1405" spans="1:17" x14ac:dyDescent="0.3">
      <c r="A1405" s="34" t="str">
        <f>base!J1405</f>
        <v>RM</v>
      </c>
      <c r="B1405" s="34" t="str">
        <f>base!V1405</f>
        <v>62740</v>
      </c>
      <c r="C1405" s="37">
        <v>62</v>
      </c>
      <c r="D1405" s="36">
        <f>base!H1405</f>
        <v>25</v>
      </c>
      <c r="E1405" s="44"/>
      <c r="F1405" s="16">
        <f>base!W1405</f>
        <v>0</v>
      </c>
      <c r="G1405" s="11">
        <f t="shared" si="210"/>
        <v>0</v>
      </c>
      <c r="H1405" s="11">
        <f t="shared" si="211"/>
        <v>4.75</v>
      </c>
      <c r="I1405" s="11">
        <f t="shared" si="212"/>
        <v>0.19</v>
      </c>
      <c r="J1405" s="12">
        <f t="shared" si="213"/>
        <v>-4.75</v>
      </c>
      <c r="K1405" s="17" t="str">
        <f t="shared" si="218"/>
        <v>Ecart négatif</v>
      </c>
      <c r="L1405" s="16">
        <f>base!X1405</f>
        <v>0</v>
      </c>
      <c r="M1405" s="11">
        <f t="shared" si="214"/>
        <v>0</v>
      </c>
      <c r="N1405" s="11">
        <f t="shared" si="215"/>
        <v>0</v>
      </c>
      <c r="O1405" s="11">
        <f t="shared" si="216"/>
        <v>0</v>
      </c>
      <c r="P1405" s="12">
        <f t="shared" si="217"/>
        <v>0</v>
      </c>
      <c r="Q1405" s="17" t="str">
        <f t="shared" si="219"/>
        <v>Pas d'écart</v>
      </c>
    </row>
    <row r="1406" spans="1:17" x14ac:dyDescent="0.3">
      <c r="A1406" s="34" t="str">
        <f>base!J1406</f>
        <v>LS</v>
      </c>
      <c r="B1406" s="34" t="str">
        <f>base!V1406</f>
        <v>29140</v>
      </c>
      <c r="C1406" s="37">
        <v>14</v>
      </c>
      <c r="D1406" s="36">
        <f>base!H1406</f>
        <v>131.97999999999999</v>
      </c>
      <c r="E1406" s="44"/>
      <c r="F1406" s="16">
        <f>base!W1406</f>
        <v>51.47</v>
      </c>
      <c r="G1406" s="11">
        <f t="shared" si="210"/>
        <v>0.38998333080769815</v>
      </c>
      <c r="H1406" s="11">
        <f t="shared" si="211"/>
        <v>22.436599999999999</v>
      </c>
      <c r="I1406" s="11">
        <f t="shared" si="212"/>
        <v>0.17</v>
      </c>
      <c r="J1406" s="12">
        <f t="shared" si="213"/>
        <v>29.0334</v>
      </c>
      <c r="K1406" s="17" t="str">
        <f t="shared" si="218"/>
        <v>Ecart positif</v>
      </c>
      <c r="L1406" s="16">
        <f>base!X1406</f>
        <v>0</v>
      </c>
      <c r="M1406" s="11">
        <f t="shared" si="214"/>
        <v>0</v>
      </c>
      <c r="N1406" s="11">
        <f t="shared" si="215"/>
        <v>22.436599999999999</v>
      </c>
      <c r="O1406" s="11">
        <f t="shared" si="216"/>
        <v>0.17</v>
      </c>
      <c r="P1406" s="12">
        <f t="shared" si="217"/>
        <v>-22.436599999999999</v>
      </c>
      <c r="Q1406" s="17" t="str">
        <f t="shared" si="219"/>
        <v>Ecart négatif</v>
      </c>
    </row>
    <row r="1407" spans="1:17" x14ac:dyDescent="0.3">
      <c r="A1407" s="34" t="str">
        <f>base!J1407</f>
        <v>LS</v>
      </c>
      <c r="B1407" s="34" t="str">
        <f>base!V1407</f>
        <v>45100</v>
      </c>
      <c r="C1407" s="37">
        <v>50</v>
      </c>
      <c r="D1407" s="36">
        <f>base!H1407</f>
        <v>100.05</v>
      </c>
      <c r="E1407" s="44"/>
      <c r="F1407" s="16">
        <f>base!W1407</f>
        <v>21.01</v>
      </c>
      <c r="G1407" s="11">
        <f t="shared" si="210"/>
        <v>0.20999500249875064</v>
      </c>
      <c r="H1407" s="11">
        <f t="shared" si="211"/>
        <v>17.008500000000002</v>
      </c>
      <c r="I1407" s="11">
        <f t="shared" si="212"/>
        <v>0.17</v>
      </c>
      <c r="J1407" s="12">
        <f t="shared" si="213"/>
        <v>4.0015000000000001</v>
      </c>
      <c r="K1407" s="17" t="str">
        <f t="shared" si="218"/>
        <v>Ecart positif</v>
      </c>
      <c r="L1407" s="16">
        <f>base!X1407</f>
        <v>0</v>
      </c>
      <c r="M1407" s="11">
        <f t="shared" si="214"/>
        <v>0</v>
      </c>
      <c r="N1407" s="11">
        <f t="shared" si="215"/>
        <v>17.008500000000002</v>
      </c>
      <c r="O1407" s="11">
        <f t="shared" si="216"/>
        <v>0.17</v>
      </c>
      <c r="P1407" s="12">
        <f t="shared" si="217"/>
        <v>-17.008500000000002</v>
      </c>
      <c r="Q1407" s="17" t="str">
        <f t="shared" si="219"/>
        <v>Ecart négatif</v>
      </c>
    </row>
    <row r="1408" spans="1:17" x14ac:dyDescent="0.3">
      <c r="A1408" s="34" t="str">
        <f>base!J1408</f>
        <v>LM</v>
      </c>
      <c r="B1408" s="34" t="str">
        <f>base!V1408</f>
        <v>59120</v>
      </c>
      <c r="C1408" s="37">
        <v>76</v>
      </c>
      <c r="D1408" s="36">
        <f>base!H1408</f>
        <v>1.46</v>
      </c>
      <c r="E1408" s="44"/>
      <c r="F1408" s="16">
        <f>base!W1408</f>
        <v>0.28000000000000003</v>
      </c>
      <c r="G1408" s="11">
        <f t="shared" si="210"/>
        <v>0.19178082191780824</v>
      </c>
      <c r="H1408" s="11">
        <f t="shared" si="211"/>
        <v>0.2482</v>
      </c>
      <c r="I1408" s="11">
        <f t="shared" si="212"/>
        <v>0.17</v>
      </c>
      <c r="J1408" s="12">
        <f t="shared" si="213"/>
        <v>3.1800000000000023E-2</v>
      </c>
      <c r="K1408" s="17" t="str">
        <f t="shared" si="218"/>
        <v>Ecart positif</v>
      </c>
      <c r="L1408" s="16">
        <f>base!X1408</f>
        <v>0</v>
      </c>
      <c r="M1408" s="11">
        <f t="shared" si="214"/>
        <v>0</v>
      </c>
      <c r="N1408" s="11">
        <f t="shared" si="215"/>
        <v>0.2482</v>
      </c>
      <c r="O1408" s="11">
        <f t="shared" si="216"/>
        <v>0.17</v>
      </c>
      <c r="P1408" s="12">
        <f t="shared" si="217"/>
        <v>-0.2482</v>
      </c>
      <c r="Q1408" s="17" t="str">
        <f t="shared" si="219"/>
        <v>Ecart négatif</v>
      </c>
    </row>
    <row r="1409" spans="1:18" x14ac:dyDescent="0.3">
      <c r="A1409" s="34">
        <f>base!J1409</f>
        <v>0</v>
      </c>
      <c r="B1409" s="34" t="str">
        <f>base!V1409</f>
        <v>77184</v>
      </c>
      <c r="C1409" s="37">
        <v>77</v>
      </c>
      <c r="D1409" s="36">
        <f>base!H1409</f>
        <v>31.6</v>
      </c>
      <c r="E1409" s="44"/>
      <c r="F1409" s="16">
        <f>base!W1409</f>
        <v>0</v>
      </c>
      <c r="G1409" s="11">
        <f t="shared" si="210"/>
        <v>0</v>
      </c>
      <c r="H1409" s="11">
        <f t="shared" si="211"/>
        <v>0</v>
      </c>
      <c r="I1409" s="11">
        <f t="shared" si="212"/>
        <v>0</v>
      </c>
      <c r="J1409" s="12">
        <f t="shared" si="213"/>
        <v>0</v>
      </c>
      <c r="K1409" s="17" t="str">
        <f t="shared" si="218"/>
        <v>Pas d'écart</v>
      </c>
      <c r="L1409" s="16">
        <f>base!X1409</f>
        <v>0</v>
      </c>
      <c r="M1409" s="11">
        <f t="shared" si="214"/>
        <v>0</v>
      </c>
      <c r="N1409" s="11">
        <f t="shared" si="215"/>
        <v>0</v>
      </c>
      <c r="O1409" s="11">
        <f t="shared" si="216"/>
        <v>0</v>
      </c>
      <c r="P1409" s="12">
        <f t="shared" si="217"/>
        <v>0</v>
      </c>
      <c r="Q1409" s="17" t="str">
        <f t="shared" si="219"/>
        <v>Pas d'écart</v>
      </c>
    </row>
    <row r="1410" spans="1:18" x14ac:dyDescent="0.3">
      <c r="A1410" s="34">
        <f>base!J1410</f>
        <v>0</v>
      </c>
      <c r="B1410" s="34" t="str">
        <f>base!V1410</f>
        <v>77184</v>
      </c>
      <c r="C1410" s="37">
        <v>77</v>
      </c>
      <c r="D1410" s="36">
        <f>base!H1410</f>
        <v>33.630000000000003</v>
      </c>
      <c r="E1410" s="44"/>
      <c r="F1410" s="16">
        <f>base!W1410</f>
        <v>0</v>
      </c>
      <c r="G1410" s="11">
        <f t="shared" ref="G1410:G1473" si="220">F1410/D1410</f>
        <v>0</v>
      </c>
      <c r="H1410" s="11">
        <f t="shared" ref="H1410:H1473" si="221">VLOOKUP(C1410,tout_cout_traction,2,FALSE)*D1410</f>
        <v>0</v>
      </c>
      <c r="I1410" s="11">
        <f t="shared" ref="I1410:I1473" si="222">H1410/D1410</f>
        <v>0</v>
      </c>
      <c r="J1410" s="12">
        <f t="shared" ref="J1410:J1473" si="223">F1410-H1410</f>
        <v>0</v>
      </c>
      <c r="K1410" s="17" t="str">
        <f t="shared" si="218"/>
        <v>Pas d'écart</v>
      </c>
      <c r="L1410" s="16">
        <f>base!X1410</f>
        <v>0</v>
      </c>
      <c r="M1410" s="11">
        <f t="shared" ref="M1410:M1473" si="224">L1410/D1410</f>
        <v>0</v>
      </c>
      <c r="N1410" s="11">
        <f t="shared" ref="N1410:N1473" si="225">VLOOKUP(C1410,tout_cout_traction,3,FALSE)*D1410</f>
        <v>0</v>
      </c>
      <c r="O1410" s="11">
        <f t="shared" ref="O1410:O1473" si="226">N1410/D1410</f>
        <v>0</v>
      </c>
      <c r="P1410" s="12">
        <f t="shared" ref="P1410:P1473" si="227">L1410-N1410</f>
        <v>0</v>
      </c>
      <c r="Q1410" s="17" t="str">
        <f t="shared" si="219"/>
        <v>Pas d'écart</v>
      </c>
    </row>
    <row r="1411" spans="1:18" x14ac:dyDescent="0.3">
      <c r="A1411" s="34">
        <f>base!J1411</f>
        <v>0</v>
      </c>
      <c r="B1411" s="34" t="str">
        <f>base!V1411</f>
        <v>77184</v>
      </c>
      <c r="C1411" s="37">
        <v>77</v>
      </c>
      <c r="D1411" s="36">
        <f>base!H1411</f>
        <v>172</v>
      </c>
      <c r="E1411" s="44"/>
      <c r="F1411" s="16">
        <f>base!W1411</f>
        <v>0</v>
      </c>
      <c r="G1411" s="11">
        <f t="shared" si="220"/>
        <v>0</v>
      </c>
      <c r="H1411" s="11">
        <f t="shared" si="221"/>
        <v>0</v>
      </c>
      <c r="I1411" s="11">
        <f t="shared" si="222"/>
        <v>0</v>
      </c>
      <c r="J1411" s="12">
        <f t="shared" si="223"/>
        <v>0</v>
      </c>
      <c r="K1411" s="17" t="str">
        <f t="shared" ref="K1411:K1474" si="228">IF(H1411=F1411,"Pas d'écart",IF(H1411&lt;F1411,"Ecart positif",IF(H1411&gt;F1411,"Ecart négatif")))</f>
        <v>Pas d'écart</v>
      </c>
      <c r="L1411" s="16">
        <f>base!X1411</f>
        <v>0</v>
      </c>
      <c r="M1411" s="11">
        <f t="shared" si="224"/>
        <v>0</v>
      </c>
      <c r="N1411" s="11">
        <f t="shared" si="225"/>
        <v>0</v>
      </c>
      <c r="O1411" s="11">
        <f t="shared" si="226"/>
        <v>0</v>
      </c>
      <c r="P1411" s="12">
        <f t="shared" si="227"/>
        <v>0</v>
      </c>
      <c r="Q1411" s="17" t="str">
        <f t="shared" ref="Q1411:Q1474" si="229">IF(N1411=L1411,"Pas d'écart",IF(N1411&lt;L1411,"Ecart positif",IF(N1411&gt;L1411,"Ecart négatif")))</f>
        <v>Pas d'écart</v>
      </c>
    </row>
    <row r="1412" spans="1:18" x14ac:dyDescent="0.3">
      <c r="A1412" s="34" t="str">
        <f>base!J1412</f>
        <v>RM</v>
      </c>
      <c r="B1412" s="34" t="str">
        <f>base!V1412</f>
        <v>67230</v>
      </c>
      <c r="C1412" s="37">
        <v>67</v>
      </c>
      <c r="D1412" s="36">
        <f>base!H1412</f>
        <v>25</v>
      </c>
      <c r="E1412" s="44"/>
      <c r="F1412" s="16">
        <f>base!W1412</f>
        <v>0</v>
      </c>
      <c r="G1412" s="11">
        <f t="shared" si="220"/>
        <v>0</v>
      </c>
      <c r="H1412" s="11">
        <f t="shared" si="221"/>
        <v>7.2499999999999991</v>
      </c>
      <c r="I1412" s="11">
        <f t="shared" si="222"/>
        <v>0.28999999999999998</v>
      </c>
      <c r="J1412" s="12">
        <f t="shared" si="223"/>
        <v>-7.2499999999999991</v>
      </c>
      <c r="K1412" s="17" t="str">
        <f t="shared" si="228"/>
        <v>Ecart négatif</v>
      </c>
      <c r="L1412" s="16">
        <f>base!X1412</f>
        <v>0</v>
      </c>
      <c r="M1412" s="11">
        <f t="shared" si="224"/>
        <v>0</v>
      </c>
      <c r="N1412" s="11">
        <f t="shared" si="225"/>
        <v>2</v>
      </c>
      <c r="O1412" s="11">
        <f t="shared" si="226"/>
        <v>0.08</v>
      </c>
      <c r="P1412" s="12">
        <f t="shared" si="227"/>
        <v>-2</v>
      </c>
      <c r="Q1412" s="17" t="str">
        <f t="shared" si="229"/>
        <v>Ecart négatif</v>
      </c>
    </row>
    <row r="1413" spans="1:18" x14ac:dyDescent="0.3">
      <c r="A1413" s="34" t="str">
        <f>base!J1413</f>
        <v>LS</v>
      </c>
      <c r="B1413" s="34" t="str">
        <f>base!V1413</f>
        <v>13760</v>
      </c>
      <c r="C1413" s="37">
        <v>59</v>
      </c>
      <c r="D1413" s="36">
        <f>base!H1413</f>
        <v>33.35</v>
      </c>
      <c r="E1413" s="44"/>
      <c r="F1413" s="16">
        <f>base!W1413</f>
        <v>9.67</v>
      </c>
      <c r="G1413" s="11">
        <f t="shared" si="220"/>
        <v>0.2899550224887556</v>
      </c>
      <c r="H1413" s="11">
        <f t="shared" si="221"/>
        <v>6.3365</v>
      </c>
      <c r="I1413" s="11">
        <f t="shared" si="222"/>
        <v>0.19</v>
      </c>
      <c r="J1413" s="12">
        <f t="shared" si="223"/>
        <v>3.3334999999999999</v>
      </c>
      <c r="K1413" s="17" t="str">
        <f t="shared" si="228"/>
        <v>Ecart positif</v>
      </c>
      <c r="L1413" s="16">
        <f>base!X1413</f>
        <v>0</v>
      </c>
      <c r="M1413" s="11">
        <f t="shared" si="224"/>
        <v>0</v>
      </c>
      <c r="N1413" s="11">
        <f t="shared" si="225"/>
        <v>0</v>
      </c>
      <c r="O1413" s="11">
        <f t="shared" si="226"/>
        <v>0</v>
      </c>
      <c r="P1413" s="12">
        <f t="shared" si="227"/>
        <v>0</v>
      </c>
      <c r="Q1413" s="17" t="str">
        <f t="shared" si="229"/>
        <v>Pas d'écart</v>
      </c>
    </row>
    <row r="1414" spans="1:18" x14ac:dyDescent="0.3">
      <c r="A1414" s="34" t="str">
        <f>base!J1414</f>
        <v>LM</v>
      </c>
      <c r="B1414" s="34" t="str">
        <f>base!V1414</f>
        <v>59270</v>
      </c>
      <c r="C1414" s="37">
        <v>59</v>
      </c>
      <c r="D1414" s="36">
        <f>base!H1414</f>
        <v>18.350000000000001</v>
      </c>
      <c r="E1414" s="44"/>
      <c r="F1414" s="16">
        <f>base!W1414</f>
        <v>3.49</v>
      </c>
      <c r="G1414" s="11">
        <f t="shared" si="220"/>
        <v>0.19019073569482289</v>
      </c>
      <c r="H1414" s="11">
        <f t="shared" si="221"/>
        <v>3.4865000000000004</v>
      </c>
      <c r="I1414" s="11">
        <f t="shared" si="222"/>
        <v>0.19</v>
      </c>
      <c r="J1414" s="12">
        <f t="shared" si="223"/>
        <v>3.4999999999998366E-3</v>
      </c>
      <c r="K1414" s="17" t="str">
        <f t="shared" si="228"/>
        <v>Ecart positif</v>
      </c>
      <c r="L1414" s="16">
        <f>base!X1414</f>
        <v>0</v>
      </c>
      <c r="M1414" s="11">
        <f t="shared" si="224"/>
        <v>0</v>
      </c>
      <c r="N1414" s="11">
        <f t="shared" si="225"/>
        <v>0</v>
      </c>
      <c r="O1414" s="11">
        <f t="shared" si="226"/>
        <v>0</v>
      </c>
      <c r="P1414" s="12">
        <f t="shared" si="227"/>
        <v>0</v>
      </c>
      <c r="Q1414" s="17" t="str">
        <f t="shared" si="229"/>
        <v>Pas d'écart</v>
      </c>
    </row>
    <row r="1415" spans="1:18" x14ac:dyDescent="0.3">
      <c r="A1415" s="34" t="str">
        <f>base!J1415</f>
        <v>LM</v>
      </c>
      <c r="B1415" s="34" t="str">
        <f>base!V1415</f>
        <v>59270</v>
      </c>
      <c r="C1415" s="37">
        <v>60</v>
      </c>
      <c r="D1415" s="36">
        <f>base!H1415</f>
        <v>18.350000000000001</v>
      </c>
      <c r="E1415" s="44"/>
      <c r="F1415" s="16">
        <f>base!W1415</f>
        <v>3.49</v>
      </c>
      <c r="G1415" s="11">
        <f t="shared" si="220"/>
        <v>0.19019073569482289</v>
      </c>
      <c r="H1415" s="11">
        <f t="shared" si="221"/>
        <v>3.4865000000000004</v>
      </c>
      <c r="I1415" s="11">
        <f t="shared" si="222"/>
        <v>0.19</v>
      </c>
      <c r="J1415" s="12">
        <f t="shared" si="223"/>
        <v>3.4999999999998366E-3</v>
      </c>
      <c r="K1415" s="17" t="str">
        <f t="shared" si="228"/>
        <v>Ecart positif</v>
      </c>
      <c r="L1415" s="16">
        <f>base!X1415</f>
        <v>0</v>
      </c>
      <c r="M1415" s="11">
        <f t="shared" si="224"/>
        <v>0</v>
      </c>
      <c r="N1415" s="11">
        <f t="shared" si="225"/>
        <v>0</v>
      </c>
      <c r="O1415" s="11">
        <f t="shared" si="226"/>
        <v>0</v>
      </c>
      <c r="P1415" s="12">
        <f t="shared" si="227"/>
        <v>0</v>
      </c>
      <c r="Q1415" s="17" t="str">
        <f t="shared" si="229"/>
        <v>Pas d'écart</v>
      </c>
    </row>
    <row r="1416" spans="1:18" x14ac:dyDescent="0.3">
      <c r="A1416" s="34" t="str">
        <f>base!J1416</f>
        <v>LS</v>
      </c>
      <c r="B1416" s="34" t="str">
        <f>base!V1416</f>
        <v>94320</v>
      </c>
      <c r="C1416" s="37">
        <v>94</v>
      </c>
      <c r="D1416" s="36">
        <f>base!H1416</f>
        <v>184.96</v>
      </c>
      <c r="E1416" s="44"/>
      <c r="F1416" s="16">
        <f>base!W1416</f>
        <v>0</v>
      </c>
      <c r="G1416" s="11">
        <f t="shared" si="220"/>
        <v>0</v>
      </c>
      <c r="H1416" s="11">
        <f t="shared" si="221"/>
        <v>0</v>
      </c>
      <c r="I1416" s="11">
        <f t="shared" si="222"/>
        <v>0</v>
      </c>
      <c r="J1416" s="12">
        <f t="shared" si="223"/>
        <v>0</v>
      </c>
      <c r="K1416" s="17" t="str">
        <f t="shared" si="228"/>
        <v>Pas d'écart</v>
      </c>
      <c r="L1416" s="16">
        <f>base!X1416</f>
        <v>0</v>
      </c>
      <c r="M1416" s="11">
        <f t="shared" si="224"/>
        <v>0</v>
      </c>
      <c r="N1416" s="11">
        <f t="shared" si="225"/>
        <v>0</v>
      </c>
      <c r="O1416" s="11">
        <f t="shared" si="226"/>
        <v>0</v>
      </c>
      <c r="P1416" s="12">
        <f t="shared" si="227"/>
        <v>0</v>
      </c>
      <c r="Q1416" s="17" t="str">
        <f t="shared" si="229"/>
        <v>Pas d'écart</v>
      </c>
    </row>
    <row r="1417" spans="1:18" x14ac:dyDescent="0.3">
      <c r="A1417" s="34" t="str">
        <f>base!J1417</f>
        <v>LS</v>
      </c>
      <c r="B1417" s="34" t="str">
        <f>base!V1417</f>
        <v>22000</v>
      </c>
      <c r="C1417" s="37">
        <v>60</v>
      </c>
      <c r="D1417" s="36">
        <f>base!H1417</f>
        <v>173.25</v>
      </c>
      <c r="E1417" s="44"/>
      <c r="F1417" s="16">
        <f>base!W1417</f>
        <v>67.569999999999993</v>
      </c>
      <c r="G1417" s="11">
        <f t="shared" si="220"/>
        <v>0.39001443001442998</v>
      </c>
      <c r="H1417" s="11">
        <f t="shared" si="221"/>
        <v>32.917499999999997</v>
      </c>
      <c r="I1417" s="11">
        <f t="shared" si="222"/>
        <v>0.18999999999999997</v>
      </c>
      <c r="J1417" s="12">
        <f t="shared" si="223"/>
        <v>34.652499999999996</v>
      </c>
      <c r="K1417" s="17" t="str">
        <f t="shared" si="228"/>
        <v>Ecart positif</v>
      </c>
      <c r="L1417" s="16">
        <f>base!X1417</f>
        <v>0</v>
      </c>
      <c r="M1417" s="11">
        <f t="shared" si="224"/>
        <v>0</v>
      </c>
      <c r="N1417" s="11">
        <f t="shared" si="225"/>
        <v>0</v>
      </c>
      <c r="O1417" s="11">
        <f t="shared" si="226"/>
        <v>0</v>
      </c>
      <c r="P1417" s="12">
        <f t="shared" si="227"/>
        <v>0</v>
      </c>
      <c r="Q1417" s="17" t="str">
        <f t="shared" si="229"/>
        <v>Pas d'écart</v>
      </c>
    </row>
    <row r="1418" spans="1:18" x14ac:dyDescent="0.3">
      <c r="A1418" s="34" t="str">
        <f>base!J1418</f>
        <v>LS</v>
      </c>
      <c r="B1418" s="34" t="str">
        <f>base!V1418</f>
        <v>51170</v>
      </c>
      <c r="C1418" s="37">
        <v>59</v>
      </c>
      <c r="D1418" s="36">
        <f>base!H1418</f>
        <v>139.57</v>
      </c>
      <c r="E1418" s="44"/>
      <c r="F1418" s="16">
        <f>base!W1418</f>
        <v>34.89</v>
      </c>
      <c r="G1418" s="11">
        <f t="shared" si="220"/>
        <v>0.24998208784122664</v>
      </c>
      <c r="H1418" s="11">
        <f t="shared" si="221"/>
        <v>26.5183</v>
      </c>
      <c r="I1418" s="11">
        <f t="shared" si="222"/>
        <v>0.19</v>
      </c>
      <c r="J1418" s="12">
        <f t="shared" si="223"/>
        <v>8.3717000000000006</v>
      </c>
      <c r="K1418" s="17" t="str">
        <f t="shared" si="228"/>
        <v>Ecart positif</v>
      </c>
      <c r="L1418" s="16">
        <f>base!X1418</f>
        <v>0</v>
      </c>
      <c r="M1418" s="11">
        <f t="shared" si="224"/>
        <v>0</v>
      </c>
      <c r="N1418" s="11">
        <f t="shared" si="225"/>
        <v>0</v>
      </c>
      <c r="O1418" s="11">
        <f t="shared" si="226"/>
        <v>0</v>
      </c>
      <c r="P1418" s="12">
        <f t="shared" si="227"/>
        <v>0</v>
      </c>
      <c r="Q1418" s="17" t="str">
        <f t="shared" si="229"/>
        <v>Pas d'écart</v>
      </c>
    </row>
    <row r="1419" spans="1:18" x14ac:dyDescent="0.3">
      <c r="A1419" s="34" t="str">
        <f>base!J1419</f>
        <v>RM</v>
      </c>
      <c r="B1419" s="34" t="str">
        <f>base!V1419</f>
        <v>61110</v>
      </c>
      <c r="C1419" s="37">
        <v>61</v>
      </c>
      <c r="D1419" s="36">
        <f>base!H1419</f>
        <v>71.56</v>
      </c>
      <c r="E1419" s="44"/>
      <c r="F1419" s="16">
        <f>base!W1419</f>
        <v>0</v>
      </c>
      <c r="G1419" s="11">
        <f t="shared" si="220"/>
        <v>0</v>
      </c>
      <c r="H1419" s="11">
        <f t="shared" si="221"/>
        <v>12.1652</v>
      </c>
      <c r="I1419" s="11">
        <f t="shared" si="222"/>
        <v>0.17</v>
      </c>
      <c r="J1419" s="12">
        <f t="shared" si="223"/>
        <v>-12.1652</v>
      </c>
      <c r="K1419" s="17" t="str">
        <f t="shared" si="228"/>
        <v>Ecart négatif</v>
      </c>
      <c r="L1419" s="16">
        <f>base!X1419</f>
        <v>12.17</v>
      </c>
      <c r="M1419" s="11">
        <f t="shared" si="224"/>
        <v>0.17006707657909445</v>
      </c>
      <c r="N1419" s="11">
        <f t="shared" si="225"/>
        <v>12.1652</v>
      </c>
      <c r="O1419" s="11">
        <f t="shared" si="226"/>
        <v>0.17</v>
      </c>
      <c r="P1419" s="12">
        <f t="shared" si="227"/>
        <v>4.7999999999994714E-3</v>
      </c>
      <c r="Q1419" s="17" t="str">
        <f t="shared" si="229"/>
        <v>Ecart positif</v>
      </c>
      <c r="R1419" s="38"/>
    </row>
    <row r="1420" spans="1:18" x14ac:dyDescent="0.3">
      <c r="A1420" s="34" t="str">
        <f>base!J1420</f>
        <v>LS</v>
      </c>
      <c r="B1420" s="34" t="str">
        <f>base!V1420</f>
        <v>13300</v>
      </c>
      <c r="C1420" s="37">
        <v>80</v>
      </c>
      <c r="D1420" s="36">
        <f>base!H1420</f>
        <v>34.119999999999997</v>
      </c>
      <c r="E1420" s="44"/>
      <c r="F1420" s="16">
        <f>base!W1420</f>
        <v>9.89</v>
      </c>
      <c r="G1420" s="11">
        <f t="shared" si="220"/>
        <v>0.28985932004689335</v>
      </c>
      <c r="H1420" s="11">
        <f t="shared" si="221"/>
        <v>6.4827999999999992</v>
      </c>
      <c r="I1420" s="11">
        <f t="shared" si="222"/>
        <v>0.19</v>
      </c>
      <c r="J1420" s="12">
        <f t="shared" si="223"/>
        <v>3.4072000000000013</v>
      </c>
      <c r="K1420" s="17" t="str">
        <f t="shared" si="228"/>
        <v>Ecart positif</v>
      </c>
      <c r="L1420" s="16">
        <f>base!X1420</f>
        <v>0</v>
      </c>
      <c r="M1420" s="11">
        <f t="shared" si="224"/>
        <v>0</v>
      </c>
      <c r="N1420" s="11">
        <f t="shared" si="225"/>
        <v>0</v>
      </c>
      <c r="O1420" s="11">
        <f t="shared" si="226"/>
        <v>0</v>
      </c>
      <c r="P1420" s="12">
        <f t="shared" si="227"/>
        <v>0</v>
      </c>
      <c r="Q1420" s="17" t="str">
        <f t="shared" si="229"/>
        <v>Pas d'écart</v>
      </c>
    </row>
    <row r="1421" spans="1:18" x14ac:dyDescent="0.3">
      <c r="A1421" s="34" t="str">
        <f>base!J1421</f>
        <v>LS</v>
      </c>
      <c r="B1421" s="34" t="str">
        <f>base!V1421</f>
        <v>44210</v>
      </c>
      <c r="C1421" s="37">
        <v>80</v>
      </c>
      <c r="D1421" s="36">
        <f>base!H1421</f>
        <v>55.34</v>
      </c>
      <c r="E1421" s="44"/>
      <c r="F1421" s="16">
        <f>base!W1421</f>
        <v>14.94</v>
      </c>
      <c r="G1421" s="11">
        <f t="shared" si="220"/>
        <v>0.26996747379833752</v>
      </c>
      <c r="H1421" s="11">
        <f t="shared" si="221"/>
        <v>10.514600000000002</v>
      </c>
      <c r="I1421" s="11">
        <f t="shared" si="222"/>
        <v>0.19</v>
      </c>
      <c r="J1421" s="12">
        <f t="shared" si="223"/>
        <v>4.425399999999998</v>
      </c>
      <c r="K1421" s="17" t="str">
        <f t="shared" si="228"/>
        <v>Ecart positif</v>
      </c>
      <c r="L1421" s="16">
        <f>base!X1421</f>
        <v>0</v>
      </c>
      <c r="M1421" s="11">
        <f t="shared" si="224"/>
        <v>0</v>
      </c>
      <c r="N1421" s="11">
        <f t="shared" si="225"/>
        <v>0</v>
      </c>
      <c r="O1421" s="11">
        <f t="shared" si="226"/>
        <v>0</v>
      </c>
      <c r="P1421" s="12">
        <f t="shared" si="227"/>
        <v>0</v>
      </c>
      <c r="Q1421" s="17" t="str">
        <f t="shared" si="229"/>
        <v>Pas d'écart</v>
      </c>
    </row>
    <row r="1422" spans="1:18" x14ac:dyDescent="0.3">
      <c r="A1422" s="34" t="str">
        <f>base!J1422</f>
        <v>RS</v>
      </c>
      <c r="B1422" s="34" t="str">
        <f>base!V1422</f>
        <v>35350</v>
      </c>
      <c r="C1422" s="37">
        <v>35</v>
      </c>
      <c r="D1422" s="36">
        <f>base!H1422</f>
        <v>40</v>
      </c>
      <c r="E1422" s="44"/>
      <c r="F1422" s="16">
        <f>base!W1422</f>
        <v>0</v>
      </c>
      <c r="G1422" s="11">
        <f t="shared" si="220"/>
        <v>0</v>
      </c>
      <c r="H1422" s="11">
        <f t="shared" si="221"/>
        <v>10.8</v>
      </c>
      <c r="I1422" s="11">
        <f t="shared" si="222"/>
        <v>0.27</v>
      </c>
      <c r="J1422" s="12">
        <f t="shared" si="223"/>
        <v>-10.8</v>
      </c>
      <c r="K1422" s="17" t="str">
        <f t="shared" si="228"/>
        <v>Ecart négatif</v>
      </c>
      <c r="L1422" s="16">
        <f>base!X1422</f>
        <v>10.8</v>
      </c>
      <c r="M1422" s="11">
        <f t="shared" si="224"/>
        <v>0.27</v>
      </c>
      <c r="N1422" s="11">
        <f t="shared" si="225"/>
        <v>0</v>
      </c>
      <c r="O1422" s="11">
        <f t="shared" si="226"/>
        <v>0</v>
      </c>
      <c r="P1422" s="12">
        <f t="shared" si="227"/>
        <v>10.8</v>
      </c>
      <c r="Q1422" s="17" t="str">
        <f t="shared" si="229"/>
        <v>Ecart positif</v>
      </c>
    </row>
    <row r="1423" spans="1:18" x14ac:dyDescent="0.3">
      <c r="A1423" s="34" t="str">
        <f>base!J1423</f>
        <v>DLS</v>
      </c>
      <c r="B1423" s="34" t="str">
        <f>base!V1423</f>
        <v>75009</v>
      </c>
      <c r="C1423" s="37">
        <v>75</v>
      </c>
      <c r="D1423" s="36">
        <f>base!H1423</f>
        <v>131.74</v>
      </c>
      <c r="E1423" s="44"/>
      <c r="F1423" s="16">
        <f>base!W1423</f>
        <v>0</v>
      </c>
      <c r="G1423" s="11">
        <f t="shared" si="220"/>
        <v>0</v>
      </c>
      <c r="H1423" s="11">
        <f t="shared" si="221"/>
        <v>0</v>
      </c>
      <c r="I1423" s="11">
        <f t="shared" si="222"/>
        <v>0</v>
      </c>
      <c r="J1423" s="12">
        <f t="shared" si="223"/>
        <v>0</v>
      </c>
      <c r="K1423" s="17" t="str">
        <f t="shared" si="228"/>
        <v>Pas d'écart</v>
      </c>
      <c r="L1423" s="16">
        <f>base!X1423</f>
        <v>0</v>
      </c>
      <c r="M1423" s="11">
        <f t="shared" si="224"/>
        <v>0</v>
      </c>
      <c r="N1423" s="11">
        <f t="shared" si="225"/>
        <v>0</v>
      </c>
      <c r="O1423" s="11">
        <f t="shared" si="226"/>
        <v>0</v>
      </c>
      <c r="P1423" s="12">
        <f t="shared" si="227"/>
        <v>0</v>
      </c>
      <c r="Q1423" s="17" t="str">
        <f t="shared" si="229"/>
        <v>Pas d'écart</v>
      </c>
    </row>
    <row r="1424" spans="1:18" x14ac:dyDescent="0.3">
      <c r="A1424" s="34" t="str">
        <f>base!J1424</f>
        <v>DLS</v>
      </c>
      <c r="B1424" s="34" t="str">
        <f>base!V1424</f>
        <v>34200</v>
      </c>
      <c r="C1424" s="37">
        <v>34</v>
      </c>
      <c r="D1424" s="36">
        <f>base!H1424</f>
        <v>109.06</v>
      </c>
      <c r="E1424" s="44"/>
      <c r="F1424" s="16">
        <f>base!W1424</f>
        <v>0</v>
      </c>
      <c r="G1424" s="11">
        <f t="shared" si="220"/>
        <v>0</v>
      </c>
      <c r="H1424" s="11">
        <f t="shared" si="221"/>
        <v>42.5334</v>
      </c>
      <c r="I1424" s="11">
        <f t="shared" si="222"/>
        <v>0.39</v>
      </c>
      <c r="J1424" s="12">
        <f t="shared" si="223"/>
        <v>-42.5334</v>
      </c>
      <c r="K1424" s="17" t="str">
        <f t="shared" si="228"/>
        <v>Ecart négatif</v>
      </c>
      <c r="L1424" s="16">
        <f>base!X1424</f>
        <v>0</v>
      </c>
      <c r="M1424" s="11">
        <f t="shared" si="224"/>
        <v>0</v>
      </c>
      <c r="N1424" s="11">
        <f t="shared" si="225"/>
        <v>30.536800000000003</v>
      </c>
      <c r="O1424" s="11">
        <f t="shared" si="226"/>
        <v>0.28000000000000003</v>
      </c>
      <c r="P1424" s="12">
        <f t="shared" si="227"/>
        <v>-30.536800000000003</v>
      </c>
      <c r="Q1424" s="17" t="str">
        <f t="shared" si="229"/>
        <v>Ecart négatif</v>
      </c>
    </row>
    <row r="1425" spans="1:18" x14ac:dyDescent="0.3">
      <c r="A1425" s="34" t="str">
        <f>base!J1425</f>
        <v>LM</v>
      </c>
      <c r="B1425" s="34" t="str">
        <f>base!V1425</f>
        <v>44300</v>
      </c>
      <c r="C1425" s="37">
        <v>80</v>
      </c>
      <c r="D1425" s="36">
        <f>base!H1425</f>
        <v>19.8</v>
      </c>
      <c r="E1425" s="44"/>
      <c r="F1425" s="16">
        <f>base!W1425</f>
        <v>5.35</v>
      </c>
      <c r="G1425" s="11">
        <f t="shared" si="220"/>
        <v>0.27020202020202017</v>
      </c>
      <c r="H1425" s="11">
        <f t="shared" si="221"/>
        <v>3.762</v>
      </c>
      <c r="I1425" s="11">
        <f t="shared" si="222"/>
        <v>0.19</v>
      </c>
      <c r="J1425" s="12">
        <f t="shared" si="223"/>
        <v>1.5879999999999996</v>
      </c>
      <c r="K1425" s="17" t="str">
        <f t="shared" si="228"/>
        <v>Ecart positif</v>
      </c>
      <c r="L1425" s="16">
        <f>base!X1425</f>
        <v>0</v>
      </c>
      <c r="M1425" s="11">
        <f t="shared" si="224"/>
        <v>0</v>
      </c>
      <c r="N1425" s="11">
        <f t="shared" si="225"/>
        <v>0</v>
      </c>
      <c r="O1425" s="11">
        <f t="shared" si="226"/>
        <v>0</v>
      </c>
      <c r="P1425" s="12">
        <f t="shared" si="227"/>
        <v>0</v>
      </c>
      <c r="Q1425" s="17" t="str">
        <f t="shared" si="229"/>
        <v>Pas d'écart</v>
      </c>
    </row>
    <row r="1426" spans="1:18" x14ac:dyDescent="0.3">
      <c r="A1426" s="34" t="str">
        <f>base!J1426</f>
        <v>LM</v>
      </c>
      <c r="B1426" s="34" t="str">
        <f>base!V1426</f>
        <v>75004</v>
      </c>
      <c r="C1426" s="37">
        <v>75</v>
      </c>
      <c r="D1426" s="36">
        <f>base!H1426</f>
        <v>27.05</v>
      </c>
      <c r="E1426" s="44"/>
      <c r="F1426" s="16">
        <f>base!W1426</f>
        <v>0</v>
      </c>
      <c r="G1426" s="11">
        <f t="shared" si="220"/>
        <v>0</v>
      </c>
      <c r="H1426" s="11">
        <f t="shared" si="221"/>
        <v>0</v>
      </c>
      <c r="I1426" s="11">
        <f t="shared" si="222"/>
        <v>0</v>
      </c>
      <c r="J1426" s="12">
        <f t="shared" si="223"/>
        <v>0</v>
      </c>
      <c r="K1426" s="17" t="str">
        <f t="shared" si="228"/>
        <v>Pas d'écart</v>
      </c>
      <c r="L1426" s="16">
        <f>base!X1426</f>
        <v>0</v>
      </c>
      <c r="M1426" s="11">
        <f t="shared" si="224"/>
        <v>0</v>
      </c>
      <c r="N1426" s="11">
        <f t="shared" si="225"/>
        <v>0</v>
      </c>
      <c r="O1426" s="11">
        <f t="shared" si="226"/>
        <v>0</v>
      </c>
      <c r="P1426" s="12">
        <f t="shared" si="227"/>
        <v>0</v>
      </c>
      <c r="Q1426" s="17" t="str">
        <f t="shared" si="229"/>
        <v>Pas d'écart</v>
      </c>
    </row>
    <row r="1427" spans="1:18" x14ac:dyDescent="0.3">
      <c r="A1427" s="34" t="str">
        <f>base!J1427</f>
        <v>LS</v>
      </c>
      <c r="B1427" s="34" t="str">
        <f>base!V1427</f>
        <v>80000</v>
      </c>
      <c r="C1427" s="37">
        <v>60</v>
      </c>
      <c r="D1427" s="36">
        <f>base!H1427</f>
        <v>82.33</v>
      </c>
      <c r="E1427" s="44"/>
      <c r="F1427" s="16">
        <f>base!W1427</f>
        <v>15.64</v>
      </c>
      <c r="G1427" s="11">
        <f t="shared" si="220"/>
        <v>0.18996720515000609</v>
      </c>
      <c r="H1427" s="11">
        <f t="shared" si="221"/>
        <v>15.6427</v>
      </c>
      <c r="I1427" s="11">
        <f t="shared" si="222"/>
        <v>0.19</v>
      </c>
      <c r="J1427" s="12">
        <f t="shared" si="223"/>
        <v>-2.6999999999990365E-3</v>
      </c>
      <c r="K1427" s="17" t="str">
        <f t="shared" si="228"/>
        <v>Ecart négatif</v>
      </c>
      <c r="L1427" s="16">
        <f>base!X1427</f>
        <v>0</v>
      </c>
      <c r="M1427" s="11">
        <f t="shared" si="224"/>
        <v>0</v>
      </c>
      <c r="N1427" s="11">
        <f t="shared" si="225"/>
        <v>0</v>
      </c>
      <c r="O1427" s="11">
        <f t="shared" si="226"/>
        <v>0</v>
      </c>
      <c r="P1427" s="12">
        <f t="shared" si="227"/>
        <v>0</v>
      </c>
      <c r="Q1427" s="17" t="str">
        <f t="shared" si="229"/>
        <v>Pas d'écart</v>
      </c>
    </row>
    <row r="1428" spans="1:18" x14ac:dyDescent="0.3">
      <c r="A1428" s="34">
        <f>base!J1428</f>
        <v>0</v>
      </c>
      <c r="B1428" s="34" t="str">
        <f>base!V1428</f>
        <v>77184</v>
      </c>
      <c r="C1428" s="37">
        <v>77</v>
      </c>
      <c r="D1428" s="36">
        <f>base!H1428</f>
        <v>133.97999999999999</v>
      </c>
      <c r="E1428" s="44"/>
      <c r="F1428" s="16">
        <f>base!W1428</f>
        <v>0</v>
      </c>
      <c r="G1428" s="11">
        <f t="shared" si="220"/>
        <v>0</v>
      </c>
      <c r="H1428" s="11">
        <f t="shared" si="221"/>
        <v>0</v>
      </c>
      <c r="I1428" s="11">
        <f t="shared" si="222"/>
        <v>0</v>
      </c>
      <c r="J1428" s="12">
        <f t="shared" si="223"/>
        <v>0</v>
      </c>
      <c r="K1428" s="17" t="str">
        <f t="shared" si="228"/>
        <v>Pas d'écart</v>
      </c>
      <c r="L1428" s="16">
        <f>base!X1428</f>
        <v>0</v>
      </c>
      <c r="M1428" s="11">
        <f t="shared" si="224"/>
        <v>0</v>
      </c>
      <c r="N1428" s="11">
        <f t="shared" si="225"/>
        <v>0</v>
      </c>
      <c r="O1428" s="11">
        <f t="shared" si="226"/>
        <v>0</v>
      </c>
      <c r="P1428" s="12">
        <f t="shared" si="227"/>
        <v>0</v>
      </c>
      <c r="Q1428" s="17" t="str">
        <f t="shared" si="229"/>
        <v>Pas d'écart</v>
      </c>
    </row>
    <row r="1429" spans="1:18" x14ac:dyDescent="0.3">
      <c r="A1429" s="34" t="str">
        <f>base!J1429</f>
        <v>RS</v>
      </c>
      <c r="B1429" s="34" t="str">
        <f>base!V1429</f>
        <v>68520</v>
      </c>
      <c r="C1429" s="37">
        <v>68</v>
      </c>
      <c r="D1429" s="36">
        <f>base!H1429</f>
        <v>171.25</v>
      </c>
      <c r="E1429" s="44"/>
      <c r="F1429" s="16">
        <f>base!W1429</f>
        <v>0</v>
      </c>
      <c r="G1429" s="11">
        <f t="shared" si="220"/>
        <v>0</v>
      </c>
      <c r="H1429" s="11">
        <f t="shared" si="221"/>
        <v>49.662499999999994</v>
      </c>
      <c r="I1429" s="11">
        <f t="shared" si="222"/>
        <v>0.28999999999999998</v>
      </c>
      <c r="J1429" s="12">
        <f t="shared" si="223"/>
        <v>-49.662499999999994</v>
      </c>
      <c r="K1429" s="17" t="str">
        <f t="shared" si="228"/>
        <v>Ecart négatif</v>
      </c>
      <c r="L1429" s="16">
        <f>base!X1429</f>
        <v>0</v>
      </c>
      <c r="M1429" s="11">
        <f t="shared" si="224"/>
        <v>0</v>
      </c>
      <c r="N1429" s="11">
        <f t="shared" si="225"/>
        <v>13.700000000000001</v>
      </c>
      <c r="O1429" s="11">
        <f t="shared" si="226"/>
        <v>0.08</v>
      </c>
      <c r="P1429" s="12">
        <f t="shared" si="227"/>
        <v>-13.700000000000001</v>
      </c>
      <c r="Q1429" s="17" t="str">
        <f t="shared" si="229"/>
        <v>Ecart négatif</v>
      </c>
    </row>
    <row r="1430" spans="1:18" x14ac:dyDescent="0.3">
      <c r="A1430" s="34" t="str">
        <f>base!J1430</f>
        <v>LM</v>
      </c>
      <c r="B1430" s="34" t="str">
        <f>base!V1430</f>
        <v>27520</v>
      </c>
      <c r="C1430" s="37">
        <v>2</v>
      </c>
      <c r="D1430" s="36">
        <f>base!H1430</f>
        <v>149.63</v>
      </c>
      <c r="E1430" s="44"/>
      <c r="F1430" s="16">
        <f>base!W1430</f>
        <v>25.44</v>
      </c>
      <c r="G1430" s="11">
        <f t="shared" si="220"/>
        <v>0.1700193811401457</v>
      </c>
      <c r="H1430" s="11">
        <f t="shared" si="221"/>
        <v>26.933399999999999</v>
      </c>
      <c r="I1430" s="11">
        <f t="shared" si="222"/>
        <v>0.18</v>
      </c>
      <c r="J1430" s="12">
        <f t="shared" si="223"/>
        <v>-1.4933999999999976</v>
      </c>
      <c r="K1430" s="17" t="str">
        <f t="shared" si="228"/>
        <v>Ecart négatif</v>
      </c>
      <c r="L1430" s="16">
        <f>base!X1430</f>
        <v>0</v>
      </c>
      <c r="M1430" s="11">
        <f t="shared" si="224"/>
        <v>0</v>
      </c>
      <c r="N1430" s="11">
        <f t="shared" si="225"/>
        <v>0</v>
      </c>
      <c r="O1430" s="11">
        <f t="shared" si="226"/>
        <v>0</v>
      </c>
      <c r="P1430" s="12">
        <f t="shared" si="227"/>
        <v>0</v>
      </c>
      <c r="Q1430" s="17" t="str">
        <f t="shared" si="229"/>
        <v>Pas d'écart</v>
      </c>
    </row>
    <row r="1431" spans="1:18" x14ac:dyDescent="0.3">
      <c r="A1431" s="34" t="str">
        <f>base!J1431</f>
        <v>RM</v>
      </c>
      <c r="B1431" s="34" t="str">
        <f>base!V1431</f>
        <v>59270</v>
      </c>
      <c r="C1431" s="37">
        <v>59</v>
      </c>
      <c r="D1431" s="36">
        <f>base!H1431</f>
        <v>40</v>
      </c>
      <c r="E1431" s="44"/>
      <c r="F1431" s="16">
        <f>base!W1431</f>
        <v>0</v>
      </c>
      <c r="G1431" s="11">
        <f t="shared" si="220"/>
        <v>0</v>
      </c>
      <c r="H1431" s="11">
        <f t="shared" si="221"/>
        <v>7.6</v>
      </c>
      <c r="I1431" s="11">
        <f t="shared" si="222"/>
        <v>0.19</v>
      </c>
      <c r="J1431" s="12">
        <f t="shared" si="223"/>
        <v>-7.6</v>
      </c>
      <c r="K1431" s="17" t="str">
        <f t="shared" si="228"/>
        <v>Ecart négatif</v>
      </c>
      <c r="L1431" s="16">
        <f>base!X1431</f>
        <v>0</v>
      </c>
      <c r="M1431" s="11">
        <f t="shared" si="224"/>
        <v>0</v>
      </c>
      <c r="N1431" s="11">
        <f t="shared" si="225"/>
        <v>0</v>
      </c>
      <c r="O1431" s="11">
        <f t="shared" si="226"/>
        <v>0</v>
      </c>
      <c r="P1431" s="12">
        <f t="shared" si="227"/>
        <v>0</v>
      </c>
      <c r="Q1431" s="17" t="str">
        <f t="shared" si="229"/>
        <v>Pas d'écart</v>
      </c>
    </row>
    <row r="1432" spans="1:18" x14ac:dyDescent="0.3">
      <c r="A1432" s="34" t="str">
        <f>base!J1432</f>
        <v>LM</v>
      </c>
      <c r="B1432" s="34" t="str">
        <f>base!V1432</f>
        <v>89100</v>
      </c>
      <c r="C1432" s="37">
        <v>80</v>
      </c>
      <c r="D1432" s="36">
        <f>base!H1432</f>
        <v>18.350000000000001</v>
      </c>
      <c r="E1432" s="44"/>
      <c r="F1432" s="16">
        <f>base!W1432</f>
        <v>4.4000000000000004</v>
      </c>
      <c r="G1432" s="11">
        <f t="shared" si="220"/>
        <v>0.23978201634877383</v>
      </c>
      <c r="H1432" s="11">
        <f t="shared" si="221"/>
        <v>3.4865000000000004</v>
      </c>
      <c r="I1432" s="11">
        <f t="shared" si="222"/>
        <v>0.19</v>
      </c>
      <c r="J1432" s="12">
        <f t="shared" si="223"/>
        <v>0.91349999999999998</v>
      </c>
      <c r="K1432" s="17" t="str">
        <f t="shared" si="228"/>
        <v>Ecart positif</v>
      </c>
      <c r="L1432" s="16">
        <f>base!X1432</f>
        <v>0</v>
      </c>
      <c r="M1432" s="11">
        <f t="shared" si="224"/>
        <v>0</v>
      </c>
      <c r="N1432" s="11">
        <f t="shared" si="225"/>
        <v>0</v>
      </c>
      <c r="O1432" s="11">
        <f t="shared" si="226"/>
        <v>0</v>
      </c>
      <c r="P1432" s="12">
        <f t="shared" si="227"/>
        <v>0</v>
      </c>
      <c r="Q1432" s="17" t="str">
        <f t="shared" si="229"/>
        <v>Pas d'écart</v>
      </c>
    </row>
    <row r="1433" spans="1:18" x14ac:dyDescent="0.3">
      <c r="A1433" s="34" t="str">
        <f>base!J1433</f>
        <v>LS</v>
      </c>
      <c r="B1433" s="34" t="str">
        <f>base!V1433</f>
        <v>75019</v>
      </c>
      <c r="C1433" s="37">
        <v>75</v>
      </c>
      <c r="D1433" s="36">
        <f>base!H1433</f>
        <v>18.350000000000001</v>
      </c>
      <c r="E1433" s="44"/>
      <c r="F1433" s="16">
        <f>base!W1433</f>
        <v>0</v>
      </c>
      <c r="G1433" s="11">
        <f t="shared" si="220"/>
        <v>0</v>
      </c>
      <c r="H1433" s="11">
        <f t="shared" si="221"/>
        <v>0</v>
      </c>
      <c r="I1433" s="11">
        <f t="shared" si="222"/>
        <v>0</v>
      </c>
      <c r="J1433" s="12">
        <f t="shared" si="223"/>
        <v>0</v>
      </c>
      <c r="K1433" s="17" t="str">
        <f t="shared" si="228"/>
        <v>Pas d'écart</v>
      </c>
      <c r="L1433" s="16">
        <f>base!X1433</f>
        <v>0</v>
      </c>
      <c r="M1433" s="11">
        <f t="shared" si="224"/>
        <v>0</v>
      </c>
      <c r="N1433" s="11">
        <f t="shared" si="225"/>
        <v>0</v>
      </c>
      <c r="O1433" s="11">
        <f t="shared" si="226"/>
        <v>0</v>
      </c>
      <c r="P1433" s="12">
        <f t="shared" si="227"/>
        <v>0</v>
      </c>
      <c r="Q1433" s="17" t="str">
        <f t="shared" si="229"/>
        <v>Pas d'écart</v>
      </c>
    </row>
    <row r="1434" spans="1:18" x14ac:dyDescent="0.3">
      <c r="A1434" s="34" t="str">
        <f>base!J1434</f>
        <v>DRS</v>
      </c>
      <c r="B1434" s="34" t="str">
        <f>base!V1434</f>
        <v>56100</v>
      </c>
      <c r="C1434" s="37">
        <v>56</v>
      </c>
      <c r="D1434" s="36">
        <f>base!H1434</f>
        <v>0</v>
      </c>
      <c r="E1434" s="44"/>
      <c r="F1434" s="16">
        <f>base!W1434</f>
        <v>0</v>
      </c>
      <c r="G1434" s="11" t="e">
        <f t="shared" si="220"/>
        <v>#DIV/0!</v>
      </c>
      <c r="H1434" s="11">
        <f t="shared" si="221"/>
        <v>0</v>
      </c>
      <c r="I1434" s="11" t="e">
        <f t="shared" si="222"/>
        <v>#DIV/0!</v>
      </c>
      <c r="J1434" s="12">
        <f t="shared" si="223"/>
        <v>0</v>
      </c>
      <c r="K1434" s="17" t="str">
        <f t="shared" si="228"/>
        <v>Pas d'écart</v>
      </c>
      <c r="L1434" s="16">
        <f>base!X1434</f>
        <v>0</v>
      </c>
      <c r="M1434" s="11" t="e">
        <f t="shared" si="224"/>
        <v>#DIV/0!</v>
      </c>
      <c r="N1434" s="11">
        <f t="shared" si="225"/>
        <v>0</v>
      </c>
      <c r="O1434" s="11" t="e">
        <f t="shared" si="226"/>
        <v>#DIV/0!</v>
      </c>
      <c r="P1434" s="12">
        <f t="shared" si="227"/>
        <v>0</v>
      </c>
      <c r="Q1434" s="17" t="str">
        <f t="shared" si="229"/>
        <v>Pas d'écart</v>
      </c>
    </row>
    <row r="1435" spans="1:18" x14ac:dyDescent="0.3">
      <c r="A1435" s="34" t="str">
        <f>base!J1435</f>
        <v>RM</v>
      </c>
      <c r="B1435" s="34" t="str">
        <f>base!V1435</f>
        <v>50260</v>
      </c>
      <c r="C1435" s="37">
        <v>50</v>
      </c>
      <c r="D1435" s="36">
        <f>base!H1435</f>
        <v>75.5</v>
      </c>
      <c r="E1435" s="44"/>
      <c r="F1435" s="16">
        <f>base!W1435</f>
        <v>0</v>
      </c>
      <c r="G1435" s="11">
        <f t="shared" si="220"/>
        <v>0</v>
      </c>
      <c r="H1435" s="11">
        <f t="shared" si="221"/>
        <v>12.835000000000001</v>
      </c>
      <c r="I1435" s="11">
        <f t="shared" si="222"/>
        <v>0.17</v>
      </c>
      <c r="J1435" s="12">
        <f t="shared" si="223"/>
        <v>-12.835000000000001</v>
      </c>
      <c r="K1435" s="17" t="str">
        <f t="shared" si="228"/>
        <v>Ecart négatif</v>
      </c>
      <c r="L1435" s="16">
        <f>base!X1435</f>
        <v>12.84</v>
      </c>
      <c r="M1435" s="11">
        <f t="shared" si="224"/>
        <v>0.17006622516556291</v>
      </c>
      <c r="N1435" s="11">
        <f t="shared" si="225"/>
        <v>12.835000000000001</v>
      </c>
      <c r="O1435" s="11">
        <f t="shared" si="226"/>
        <v>0.17</v>
      </c>
      <c r="P1435" s="12">
        <f t="shared" si="227"/>
        <v>4.9999999999990052E-3</v>
      </c>
      <c r="Q1435" s="17" t="str">
        <f t="shared" si="229"/>
        <v>Ecart positif</v>
      </c>
      <c r="R1435" s="38"/>
    </row>
    <row r="1436" spans="1:18" x14ac:dyDescent="0.3">
      <c r="A1436" s="34" t="str">
        <f>base!J1436</f>
        <v>RM</v>
      </c>
      <c r="B1436" s="34" t="str">
        <f>base!V1436</f>
        <v>62182</v>
      </c>
      <c r="C1436" s="37">
        <v>62</v>
      </c>
      <c r="D1436" s="36">
        <f>base!H1436</f>
        <v>140</v>
      </c>
      <c r="E1436" s="44"/>
      <c r="F1436" s="16">
        <f>base!W1436</f>
        <v>0</v>
      </c>
      <c r="G1436" s="11">
        <f t="shared" si="220"/>
        <v>0</v>
      </c>
      <c r="H1436" s="11">
        <f t="shared" si="221"/>
        <v>26.6</v>
      </c>
      <c r="I1436" s="11">
        <f t="shared" si="222"/>
        <v>0.19</v>
      </c>
      <c r="J1436" s="12">
        <f t="shared" si="223"/>
        <v>-26.6</v>
      </c>
      <c r="K1436" s="17" t="str">
        <f t="shared" si="228"/>
        <v>Ecart négatif</v>
      </c>
      <c r="L1436" s="16">
        <f>base!X1436</f>
        <v>0</v>
      </c>
      <c r="M1436" s="11">
        <f t="shared" si="224"/>
        <v>0</v>
      </c>
      <c r="N1436" s="11">
        <f t="shared" si="225"/>
        <v>0</v>
      </c>
      <c r="O1436" s="11">
        <f t="shared" si="226"/>
        <v>0</v>
      </c>
      <c r="P1436" s="12">
        <f t="shared" si="227"/>
        <v>0</v>
      </c>
      <c r="Q1436" s="17" t="str">
        <f t="shared" si="229"/>
        <v>Pas d'écart</v>
      </c>
    </row>
    <row r="1437" spans="1:18" x14ac:dyDescent="0.3">
      <c r="A1437" s="34" t="str">
        <f>base!J1437</f>
        <v>LS</v>
      </c>
      <c r="B1437" s="34" t="str">
        <f>base!V1437</f>
        <v>29170</v>
      </c>
      <c r="C1437" s="37">
        <v>60</v>
      </c>
      <c r="D1437" s="36">
        <f>base!H1437</f>
        <v>136.65</v>
      </c>
      <c r="E1437" s="44"/>
      <c r="F1437" s="16">
        <f>base!W1437</f>
        <v>53.29</v>
      </c>
      <c r="G1437" s="11">
        <f t="shared" si="220"/>
        <v>0.38997438712038052</v>
      </c>
      <c r="H1437" s="11">
        <f t="shared" si="221"/>
        <v>25.9635</v>
      </c>
      <c r="I1437" s="11">
        <f t="shared" si="222"/>
        <v>0.19</v>
      </c>
      <c r="J1437" s="12">
        <f t="shared" si="223"/>
        <v>27.326499999999999</v>
      </c>
      <c r="K1437" s="17" t="str">
        <f t="shared" si="228"/>
        <v>Ecart positif</v>
      </c>
      <c r="L1437" s="16">
        <f>base!X1437</f>
        <v>0</v>
      </c>
      <c r="M1437" s="11">
        <f t="shared" si="224"/>
        <v>0</v>
      </c>
      <c r="N1437" s="11">
        <f t="shared" si="225"/>
        <v>0</v>
      </c>
      <c r="O1437" s="11">
        <f t="shared" si="226"/>
        <v>0</v>
      </c>
      <c r="P1437" s="12">
        <f t="shared" si="227"/>
        <v>0</v>
      </c>
      <c r="Q1437" s="17" t="str">
        <f t="shared" si="229"/>
        <v>Pas d'écart</v>
      </c>
    </row>
    <row r="1438" spans="1:18" x14ac:dyDescent="0.3">
      <c r="A1438" s="34" t="str">
        <f>base!J1438</f>
        <v>LS</v>
      </c>
      <c r="B1438" s="34" t="str">
        <f>base!V1438</f>
        <v>19100</v>
      </c>
      <c r="C1438" s="37">
        <v>62</v>
      </c>
      <c r="D1438" s="36">
        <f>base!H1438</f>
        <v>100.42</v>
      </c>
      <c r="E1438" s="44"/>
      <c r="F1438" s="16">
        <f>base!W1438</f>
        <v>29.12</v>
      </c>
      <c r="G1438" s="11">
        <f t="shared" si="220"/>
        <v>0.28998207528380804</v>
      </c>
      <c r="H1438" s="11">
        <f t="shared" si="221"/>
        <v>19.079800000000002</v>
      </c>
      <c r="I1438" s="11">
        <f t="shared" si="222"/>
        <v>0.19000000000000003</v>
      </c>
      <c r="J1438" s="12">
        <f t="shared" si="223"/>
        <v>10.040199999999999</v>
      </c>
      <c r="K1438" s="17" t="str">
        <f t="shared" si="228"/>
        <v>Ecart positif</v>
      </c>
      <c r="L1438" s="16">
        <f>base!X1438</f>
        <v>0</v>
      </c>
      <c r="M1438" s="11">
        <f t="shared" si="224"/>
        <v>0</v>
      </c>
      <c r="N1438" s="11">
        <f t="shared" si="225"/>
        <v>0</v>
      </c>
      <c r="O1438" s="11">
        <f t="shared" si="226"/>
        <v>0</v>
      </c>
      <c r="P1438" s="12">
        <f t="shared" si="227"/>
        <v>0</v>
      </c>
      <c r="Q1438" s="17" t="str">
        <f t="shared" si="229"/>
        <v>Pas d'écart</v>
      </c>
    </row>
    <row r="1439" spans="1:18" x14ac:dyDescent="0.3">
      <c r="A1439" s="34" t="str">
        <f>base!J1439</f>
        <v>LS</v>
      </c>
      <c r="B1439" s="34" t="str">
        <f>base!V1439</f>
        <v>75008</v>
      </c>
      <c r="C1439" s="37">
        <v>75</v>
      </c>
      <c r="D1439" s="36">
        <f>base!H1439</f>
        <v>132.56</v>
      </c>
      <c r="E1439" s="44"/>
      <c r="F1439" s="16">
        <f>base!W1439</f>
        <v>0</v>
      </c>
      <c r="G1439" s="11">
        <f t="shared" si="220"/>
        <v>0</v>
      </c>
      <c r="H1439" s="11">
        <f t="shared" si="221"/>
        <v>0</v>
      </c>
      <c r="I1439" s="11">
        <f t="shared" si="222"/>
        <v>0</v>
      </c>
      <c r="J1439" s="12">
        <f t="shared" si="223"/>
        <v>0</v>
      </c>
      <c r="K1439" s="17" t="str">
        <f t="shared" si="228"/>
        <v>Pas d'écart</v>
      </c>
      <c r="L1439" s="16">
        <f>base!X1439</f>
        <v>0</v>
      </c>
      <c r="M1439" s="11">
        <f t="shared" si="224"/>
        <v>0</v>
      </c>
      <c r="N1439" s="11">
        <f t="shared" si="225"/>
        <v>0</v>
      </c>
      <c r="O1439" s="11">
        <f t="shared" si="226"/>
        <v>0</v>
      </c>
      <c r="P1439" s="12">
        <f t="shared" si="227"/>
        <v>0</v>
      </c>
      <c r="Q1439" s="17" t="str">
        <f t="shared" si="229"/>
        <v>Pas d'écart</v>
      </c>
    </row>
    <row r="1440" spans="1:18" x14ac:dyDescent="0.3">
      <c r="A1440" s="34" t="str">
        <f>base!J1440</f>
        <v>LS</v>
      </c>
      <c r="B1440" s="34" t="str">
        <f>base!V1440</f>
        <v>76000</v>
      </c>
      <c r="C1440" s="37">
        <v>62</v>
      </c>
      <c r="D1440" s="36">
        <f>base!H1440</f>
        <v>151</v>
      </c>
      <c r="E1440" s="44"/>
      <c r="F1440" s="16">
        <f>base!W1440</f>
        <v>25.67</v>
      </c>
      <c r="G1440" s="11">
        <f t="shared" si="220"/>
        <v>0.17</v>
      </c>
      <c r="H1440" s="11">
        <f t="shared" si="221"/>
        <v>28.69</v>
      </c>
      <c r="I1440" s="11">
        <f t="shared" si="222"/>
        <v>0.19</v>
      </c>
      <c r="J1440" s="12">
        <f t="shared" si="223"/>
        <v>-3.0199999999999996</v>
      </c>
      <c r="K1440" s="17" t="str">
        <f t="shared" si="228"/>
        <v>Ecart négatif</v>
      </c>
      <c r="L1440" s="16">
        <f>base!X1440</f>
        <v>0</v>
      </c>
      <c r="M1440" s="11">
        <f t="shared" si="224"/>
        <v>0</v>
      </c>
      <c r="N1440" s="11">
        <f t="shared" si="225"/>
        <v>0</v>
      </c>
      <c r="O1440" s="11">
        <f t="shared" si="226"/>
        <v>0</v>
      </c>
      <c r="P1440" s="12">
        <f t="shared" si="227"/>
        <v>0</v>
      </c>
      <c r="Q1440" s="17" t="str">
        <f t="shared" si="229"/>
        <v>Pas d'écart</v>
      </c>
    </row>
    <row r="1441" spans="1:17" x14ac:dyDescent="0.3">
      <c r="A1441" s="34" t="str">
        <f>base!J1441</f>
        <v>LS</v>
      </c>
      <c r="B1441" s="34" t="str">
        <f>base!V1441</f>
        <v>94405</v>
      </c>
      <c r="C1441" s="37">
        <v>94</v>
      </c>
      <c r="D1441" s="36">
        <f>base!H1441</f>
        <v>67.25</v>
      </c>
      <c r="E1441" s="44"/>
      <c r="F1441" s="16">
        <f>base!W1441</f>
        <v>0</v>
      </c>
      <c r="G1441" s="11">
        <f t="shared" si="220"/>
        <v>0</v>
      </c>
      <c r="H1441" s="11">
        <f t="shared" si="221"/>
        <v>0</v>
      </c>
      <c r="I1441" s="11">
        <f t="shared" si="222"/>
        <v>0</v>
      </c>
      <c r="J1441" s="12">
        <f t="shared" si="223"/>
        <v>0</v>
      </c>
      <c r="K1441" s="17" t="str">
        <f t="shared" si="228"/>
        <v>Pas d'écart</v>
      </c>
      <c r="L1441" s="16">
        <f>base!X1441</f>
        <v>0</v>
      </c>
      <c r="M1441" s="11">
        <f t="shared" si="224"/>
        <v>0</v>
      </c>
      <c r="N1441" s="11">
        <f t="shared" si="225"/>
        <v>0</v>
      </c>
      <c r="O1441" s="11">
        <f t="shared" si="226"/>
        <v>0</v>
      </c>
      <c r="P1441" s="12">
        <f t="shared" si="227"/>
        <v>0</v>
      </c>
      <c r="Q1441" s="17" t="str">
        <f t="shared" si="229"/>
        <v>Pas d'écart</v>
      </c>
    </row>
    <row r="1442" spans="1:17" x14ac:dyDescent="0.3">
      <c r="A1442" s="34" t="str">
        <f>base!J1442</f>
        <v>LS</v>
      </c>
      <c r="B1442" s="34" t="str">
        <f>base!V1442</f>
        <v>69230</v>
      </c>
      <c r="C1442" s="37">
        <v>80</v>
      </c>
      <c r="D1442" s="36">
        <f>base!H1442</f>
        <v>20.51</v>
      </c>
      <c r="E1442" s="44"/>
      <c r="F1442" s="16">
        <f>base!W1442</f>
        <v>5.54</v>
      </c>
      <c r="G1442" s="11">
        <f t="shared" si="220"/>
        <v>0.27011214041930764</v>
      </c>
      <c r="H1442" s="11">
        <f t="shared" si="221"/>
        <v>3.8969000000000005</v>
      </c>
      <c r="I1442" s="11">
        <f t="shared" si="222"/>
        <v>0.19</v>
      </c>
      <c r="J1442" s="12">
        <f t="shared" si="223"/>
        <v>1.6430999999999996</v>
      </c>
      <c r="K1442" s="17" t="str">
        <f t="shared" si="228"/>
        <v>Ecart positif</v>
      </c>
      <c r="L1442" s="16">
        <f>base!X1442</f>
        <v>0</v>
      </c>
      <c r="M1442" s="11">
        <f t="shared" si="224"/>
        <v>0</v>
      </c>
      <c r="N1442" s="11">
        <f t="shared" si="225"/>
        <v>0</v>
      </c>
      <c r="O1442" s="11">
        <f t="shared" si="226"/>
        <v>0</v>
      </c>
      <c r="P1442" s="12">
        <f t="shared" si="227"/>
        <v>0</v>
      </c>
      <c r="Q1442" s="17" t="str">
        <f t="shared" si="229"/>
        <v>Pas d'écart</v>
      </c>
    </row>
    <row r="1443" spans="1:17" x14ac:dyDescent="0.3">
      <c r="A1443" s="34" t="str">
        <f>base!J1443</f>
        <v>LM</v>
      </c>
      <c r="B1443" s="34" t="str">
        <f>base!V1443</f>
        <v>14490</v>
      </c>
      <c r="C1443" s="37">
        <v>14</v>
      </c>
      <c r="D1443" s="36">
        <f>base!H1443</f>
        <v>40</v>
      </c>
      <c r="E1443" s="44"/>
      <c r="F1443" s="16">
        <f>base!W1443</f>
        <v>6.8</v>
      </c>
      <c r="G1443" s="11">
        <f t="shared" si="220"/>
        <v>0.16999999999999998</v>
      </c>
      <c r="H1443" s="11">
        <f t="shared" si="221"/>
        <v>6.8000000000000007</v>
      </c>
      <c r="I1443" s="11">
        <f t="shared" si="222"/>
        <v>0.17</v>
      </c>
      <c r="J1443" s="12">
        <f t="shared" si="223"/>
        <v>0</v>
      </c>
      <c r="K1443" s="17" t="str">
        <f t="shared" si="228"/>
        <v>Pas d'écart</v>
      </c>
      <c r="L1443" s="16">
        <f>base!X1443</f>
        <v>0</v>
      </c>
      <c r="M1443" s="11">
        <f t="shared" si="224"/>
        <v>0</v>
      </c>
      <c r="N1443" s="11">
        <f t="shared" si="225"/>
        <v>6.8000000000000007</v>
      </c>
      <c r="O1443" s="11">
        <f t="shared" si="226"/>
        <v>0.17</v>
      </c>
      <c r="P1443" s="12">
        <f t="shared" si="227"/>
        <v>-6.8000000000000007</v>
      </c>
      <c r="Q1443" s="17" t="str">
        <f t="shared" si="229"/>
        <v>Ecart négatif</v>
      </c>
    </row>
    <row r="1444" spans="1:17" x14ac:dyDescent="0.3">
      <c r="A1444" s="34" t="str">
        <f>base!J1444</f>
        <v>LS</v>
      </c>
      <c r="B1444" s="34" t="str">
        <f>base!V1444</f>
        <v>34170</v>
      </c>
      <c r="C1444" s="37">
        <v>59</v>
      </c>
      <c r="D1444" s="36">
        <f>base!H1444</f>
        <v>55.34</v>
      </c>
      <c r="E1444" s="44"/>
      <c r="F1444" s="16">
        <f>base!W1444</f>
        <v>21.58</v>
      </c>
      <c r="G1444" s="11">
        <f t="shared" si="220"/>
        <v>0.38995301770870971</v>
      </c>
      <c r="H1444" s="11">
        <f t="shared" si="221"/>
        <v>10.514600000000002</v>
      </c>
      <c r="I1444" s="11">
        <f t="shared" si="222"/>
        <v>0.19</v>
      </c>
      <c r="J1444" s="12">
        <f t="shared" si="223"/>
        <v>11.065399999999997</v>
      </c>
      <c r="K1444" s="17" t="str">
        <f t="shared" si="228"/>
        <v>Ecart positif</v>
      </c>
      <c r="L1444" s="16">
        <f>base!X1444</f>
        <v>0</v>
      </c>
      <c r="M1444" s="11">
        <f t="shared" si="224"/>
        <v>0</v>
      </c>
      <c r="N1444" s="11">
        <f t="shared" si="225"/>
        <v>0</v>
      </c>
      <c r="O1444" s="11">
        <f t="shared" si="226"/>
        <v>0</v>
      </c>
      <c r="P1444" s="12">
        <f t="shared" si="227"/>
        <v>0</v>
      </c>
      <c r="Q1444" s="17" t="str">
        <f t="shared" si="229"/>
        <v>Pas d'écart</v>
      </c>
    </row>
    <row r="1445" spans="1:17" x14ac:dyDescent="0.3">
      <c r="A1445" s="34" t="str">
        <f>base!J1445</f>
        <v>LS</v>
      </c>
      <c r="B1445" s="34" t="str">
        <f>base!V1445</f>
        <v>14000</v>
      </c>
      <c r="C1445" s="37">
        <v>14</v>
      </c>
      <c r="D1445" s="36">
        <f>base!H1445</f>
        <v>40</v>
      </c>
      <c r="E1445" s="44"/>
      <c r="F1445" s="16">
        <f>base!W1445</f>
        <v>6.8</v>
      </c>
      <c r="G1445" s="11">
        <f t="shared" si="220"/>
        <v>0.16999999999999998</v>
      </c>
      <c r="H1445" s="11">
        <f t="shared" si="221"/>
        <v>6.8000000000000007</v>
      </c>
      <c r="I1445" s="11">
        <f t="shared" si="222"/>
        <v>0.17</v>
      </c>
      <c r="J1445" s="12">
        <f t="shared" si="223"/>
        <v>0</v>
      </c>
      <c r="K1445" s="17" t="str">
        <f t="shared" si="228"/>
        <v>Pas d'écart</v>
      </c>
      <c r="L1445" s="16">
        <f>base!X1445</f>
        <v>0</v>
      </c>
      <c r="M1445" s="11">
        <f t="shared" si="224"/>
        <v>0</v>
      </c>
      <c r="N1445" s="11">
        <f t="shared" si="225"/>
        <v>6.8000000000000007</v>
      </c>
      <c r="O1445" s="11">
        <f t="shared" si="226"/>
        <v>0.17</v>
      </c>
      <c r="P1445" s="12">
        <f t="shared" si="227"/>
        <v>-6.8000000000000007</v>
      </c>
      <c r="Q1445" s="17" t="str">
        <f t="shared" si="229"/>
        <v>Ecart négatif</v>
      </c>
    </row>
    <row r="1446" spans="1:17" x14ac:dyDescent="0.3">
      <c r="A1446" s="34" t="str">
        <f>base!J1446</f>
        <v>LM</v>
      </c>
      <c r="B1446" s="34" t="str">
        <f>base!V1446</f>
        <v>59148</v>
      </c>
      <c r="C1446" s="37">
        <v>62</v>
      </c>
      <c r="D1446" s="36">
        <f>base!H1446</f>
        <v>0.06</v>
      </c>
      <c r="E1446" s="44"/>
      <c r="F1446" s="16">
        <f>base!W1446</f>
        <v>0.01</v>
      </c>
      <c r="G1446" s="11">
        <f t="shared" si="220"/>
        <v>0.16666666666666669</v>
      </c>
      <c r="H1446" s="11">
        <f t="shared" si="221"/>
        <v>1.14E-2</v>
      </c>
      <c r="I1446" s="11">
        <f t="shared" si="222"/>
        <v>0.19</v>
      </c>
      <c r="J1446" s="12">
        <f t="shared" si="223"/>
        <v>-1.4000000000000002E-3</v>
      </c>
      <c r="K1446" s="17" t="str">
        <f t="shared" si="228"/>
        <v>Ecart négatif</v>
      </c>
      <c r="L1446" s="16">
        <f>base!X1446</f>
        <v>0</v>
      </c>
      <c r="M1446" s="11">
        <f t="shared" si="224"/>
        <v>0</v>
      </c>
      <c r="N1446" s="11">
        <f t="shared" si="225"/>
        <v>0</v>
      </c>
      <c r="O1446" s="11">
        <f t="shared" si="226"/>
        <v>0</v>
      </c>
      <c r="P1446" s="12">
        <f t="shared" si="227"/>
        <v>0</v>
      </c>
      <c r="Q1446" s="17" t="str">
        <f t="shared" si="229"/>
        <v>Pas d'écart</v>
      </c>
    </row>
    <row r="1447" spans="1:17" x14ac:dyDescent="0.3">
      <c r="A1447" s="34">
        <f>base!J1447</f>
        <v>0</v>
      </c>
      <c r="B1447" s="34" t="str">
        <f>base!V1447</f>
        <v>77184</v>
      </c>
      <c r="C1447" s="37">
        <v>77</v>
      </c>
      <c r="D1447" s="36">
        <f>base!H1447</f>
        <v>150</v>
      </c>
      <c r="E1447" s="44"/>
      <c r="F1447" s="16">
        <f>base!W1447</f>
        <v>0</v>
      </c>
      <c r="G1447" s="11">
        <f t="shared" si="220"/>
        <v>0</v>
      </c>
      <c r="H1447" s="11">
        <f t="shared" si="221"/>
        <v>0</v>
      </c>
      <c r="I1447" s="11">
        <f t="shared" si="222"/>
        <v>0</v>
      </c>
      <c r="J1447" s="12">
        <f t="shared" si="223"/>
        <v>0</v>
      </c>
      <c r="K1447" s="17" t="str">
        <f t="shared" si="228"/>
        <v>Pas d'écart</v>
      </c>
      <c r="L1447" s="16">
        <f>base!X1447</f>
        <v>0</v>
      </c>
      <c r="M1447" s="11">
        <f t="shared" si="224"/>
        <v>0</v>
      </c>
      <c r="N1447" s="11">
        <f t="shared" si="225"/>
        <v>0</v>
      </c>
      <c r="O1447" s="11">
        <f t="shared" si="226"/>
        <v>0</v>
      </c>
      <c r="P1447" s="12">
        <f t="shared" si="227"/>
        <v>0</v>
      </c>
      <c r="Q1447" s="17" t="str">
        <f t="shared" si="229"/>
        <v>Pas d'écart</v>
      </c>
    </row>
    <row r="1448" spans="1:17" x14ac:dyDescent="0.3">
      <c r="A1448" s="34" t="str">
        <f>base!J1448</f>
        <v>LM</v>
      </c>
      <c r="B1448" s="34" t="str">
        <f>base!V1448</f>
        <v>13220</v>
      </c>
      <c r="C1448" s="37">
        <v>13</v>
      </c>
      <c r="D1448" s="36">
        <f>base!H1448</f>
        <v>70</v>
      </c>
      <c r="E1448" s="44"/>
      <c r="F1448" s="16">
        <f>base!W1448</f>
        <v>20.3</v>
      </c>
      <c r="G1448" s="11">
        <f t="shared" si="220"/>
        <v>0.29000000000000004</v>
      </c>
      <c r="H1448" s="11">
        <f t="shared" si="221"/>
        <v>20.299999999999997</v>
      </c>
      <c r="I1448" s="11">
        <f t="shared" si="222"/>
        <v>0.28999999999999998</v>
      </c>
      <c r="J1448" s="12">
        <f t="shared" si="223"/>
        <v>0</v>
      </c>
      <c r="K1448" s="17" t="str">
        <f t="shared" si="228"/>
        <v>Pas d'écart</v>
      </c>
      <c r="L1448" s="16">
        <f>base!X1448</f>
        <v>0</v>
      </c>
      <c r="M1448" s="11">
        <f t="shared" si="224"/>
        <v>0</v>
      </c>
      <c r="N1448" s="11">
        <f t="shared" si="225"/>
        <v>13.3</v>
      </c>
      <c r="O1448" s="11">
        <f t="shared" si="226"/>
        <v>0.19</v>
      </c>
      <c r="P1448" s="12">
        <f t="shared" si="227"/>
        <v>-13.3</v>
      </c>
      <c r="Q1448" s="17" t="str">
        <f t="shared" si="229"/>
        <v>Ecart négatif</v>
      </c>
    </row>
    <row r="1449" spans="1:17" x14ac:dyDescent="0.3">
      <c r="A1449" s="34" t="str">
        <f>base!J1449</f>
        <v>LM</v>
      </c>
      <c r="B1449" s="34" t="str">
        <f>base!V1449</f>
        <v>13220</v>
      </c>
      <c r="C1449" s="37">
        <v>59</v>
      </c>
      <c r="D1449" s="36">
        <f>base!H1449</f>
        <v>187.02</v>
      </c>
      <c r="E1449" s="44"/>
      <c r="F1449" s="16">
        <f>base!W1449</f>
        <v>54.24</v>
      </c>
      <c r="G1449" s="11">
        <f t="shared" si="220"/>
        <v>0.29002245749117739</v>
      </c>
      <c r="H1449" s="11">
        <f t="shared" si="221"/>
        <v>35.533799999999999</v>
      </c>
      <c r="I1449" s="11">
        <f t="shared" si="222"/>
        <v>0.18999999999999997</v>
      </c>
      <c r="J1449" s="12">
        <f t="shared" si="223"/>
        <v>18.706200000000003</v>
      </c>
      <c r="K1449" s="17" t="str">
        <f t="shared" si="228"/>
        <v>Ecart positif</v>
      </c>
      <c r="L1449" s="16">
        <f>base!X1449</f>
        <v>0</v>
      </c>
      <c r="M1449" s="11">
        <f t="shared" si="224"/>
        <v>0</v>
      </c>
      <c r="N1449" s="11">
        <f t="shared" si="225"/>
        <v>0</v>
      </c>
      <c r="O1449" s="11">
        <f t="shared" si="226"/>
        <v>0</v>
      </c>
      <c r="P1449" s="12">
        <f t="shared" si="227"/>
        <v>0</v>
      </c>
      <c r="Q1449" s="17" t="str">
        <f t="shared" si="229"/>
        <v>Pas d'écart</v>
      </c>
    </row>
    <row r="1450" spans="1:17" x14ac:dyDescent="0.3">
      <c r="A1450" s="34" t="str">
        <f>base!J1450</f>
        <v>RS</v>
      </c>
      <c r="B1450" s="34" t="str">
        <f>base!V1450</f>
        <v>71870</v>
      </c>
      <c r="C1450" s="37">
        <v>71</v>
      </c>
      <c r="D1450" s="36">
        <f>base!H1450</f>
        <v>71.819999999999993</v>
      </c>
      <c r="E1450" s="44"/>
      <c r="F1450" s="16">
        <f>base!W1450</f>
        <v>0</v>
      </c>
      <c r="G1450" s="11">
        <f t="shared" si="220"/>
        <v>0</v>
      </c>
      <c r="H1450" s="11">
        <f t="shared" si="221"/>
        <v>19.391400000000001</v>
      </c>
      <c r="I1450" s="11">
        <f t="shared" si="222"/>
        <v>0.27</v>
      </c>
      <c r="J1450" s="12">
        <f t="shared" si="223"/>
        <v>-19.391400000000001</v>
      </c>
      <c r="K1450" s="17" t="str">
        <f t="shared" si="228"/>
        <v>Ecart négatif</v>
      </c>
      <c r="L1450" s="16">
        <f>base!X1450</f>
        <v>0</v>
      </c>
      <c r="M1450" s="11">
        <f t="shared" si="224"/>
        <v>0</v>
      </c>
      <c r="N1450" s="11">
        <f t="shared" si="225"/>
        <v>0</v>
      </c>
      <c r="O1450" s="11">
        <f t="shared" si="226"/>
        <v>0</v>
      </c>
      <c r="P1450" s="12">
        <f t="shared" si="227"/>
        <v>0</v>
      </c>
      <c r="Q1450" s="17" t="str">
        <f t="shared" si="229"/>
        <v>Pas d'écart</v>
      </c>
    </row>
    <row r="1451" spans="1:17" x14ac:dyDescent="0.3">
      <c r="A1451" s="34" t="str">
        <f>base!J1451</f>
        <v>RM</v>
      </c>
      <c r="B1451" s="34" t="str">
        <f>base!V1451</f>
        <v>06000</v>
      </c>
      <c r="C1451" s="37">
        <v>6</v>
      </c>
      <c r="D1451" s="36">
        <f>base!H1451</f>
        <v>87.25</v>
      </c>
      <c r="E1451" s="44"/>
      <c r="F1451" s="16">
        <f>base!W1451</f>
        <v>0</v>
      </c>
      <c r="G1451" s="11">
        <f t="shared" si="220"/>
        <v>0</v>
      </c>
      <c r="H1451" s="11">
        <f t="shared" si="221"/>
        <v>26.175000000000001</v>
      </c>
      <c r="I1451" s="11">
        <f t="shared" si="222"/>
        <v>0.3</v>
      </c>
      <c r="J1451" s="12">
        <f t="shared" si="223"/>
        <v>-26.175000000000001</v>
      </c>
      <c r="K1451" s="17" t="str">
        <f t="shared" si="228"/>
        <v>Ecart négatif</v>
      </c>
      <c r="L1451" s="16">
        <f>base!X1451</f>
        <v>0</v>
      </c>
      <c r="M1451" s="11">
        <f t="shared" si="224"/>
        <v>0</v>
      </c>
      <c r="N1451" s="11">
        <f t="shared" si="225"/>
        <v>18.322499999999998</v>
      </c>
      <c r="O1451" s="11">
        <f t="shared" si="226"/>
        <v>0.20999999999999996</v>
      </c>
      <c r="P1451" s="12">
        <f t="shared" si="227"/>
        <v>-18.322499999999998</v>
      </c>
      <c r="Q1451" s="17" t="str">
        <f t="shared" si="229"/>
        <v>Ecart négatif</v>
      </c>
    </row>
    <row r="1452" spans="1:17" x14ac:dyDescent="0.3">
      <c r="A1452" s="34" t="str">
        <f>base!J1452</f>
        <v>LS</v>
      </c>
      <c r="B1452" s="34" t="str">
        <f>base!V1452</f>
        <v>29600</v>
      </c>
      <c r="C1452" s="37">
        <v>59</v>
      </c>
      <c r="D1452" s="36">
        <f>base!H1452</f>
        <v>142.03</v>
      </c>
      <c r="E1452" s="44"/>
      <c r="F1452" s="16">
        <f>base!W1452</f>
        <v>55.39</v>
      </c>
      <c r="G1452" s="11">
        <f t="shared" si="220"/>
        <v>0.38998803069773991</v>
      </c>
      <c r="H1452" s="11">
        <f t="shared" si="221"/>
        <v>26.985700000000001</v>
      </c>
      <c r="I1452" s="11">
        <f t="shared" si="222"/>
        <v>0.19</v>
      </c>
      <c r="J1452" s="12">
        <f t="shared" si="223"/>
        <v>28.404299999999999</v>
      </c>
      <c r="K1452" s="17" t="str">
        <f t="shared" si="228"/>
        <v>Ecart positif</v>
      </c>
      <c r="L1452" s="16">
        <f>base!X1452</f>
        <v>0</v>
      </c>
      <c r="M1452" s="11">
        <f t="shared" si="224"/>
        <v>0</v>
      </c>
      <c r="N1452" s="11">
        <f t="shared" si="225"/>
        <v>0</v>
      </c>
      <c r="O1452" s="11">
        <f t="shared" si="226"/>
        <v>0</v>
      </c>
      <c r="P1452" s="12">
        <f t="shared" si="227"/>
        <v>0</v>
      </c>
      <c r="Q1452" s="17" t="str">
        <f t="shared" si="229"/>
        <v>Pas d'écart</v>
      </c>
    </row>
    <row r="1453" spans="1:17" x14ac:dyDescent="0.3">
      <c r="A1453" s="34" t="str">
        <f>base!J1453</f>
        <v>LS</v>
      </c>
      <c r="B1453" s="34" t="str">
        <f>base!V1453</f>
        <v>69805</v>
      </c>
      <c r="C1453" s="37">
        <v>62</v>
      </c>
      <c r="D1453" s="36">
        <f>base!H1453</f>
        <v>183.98</v>
      </c>
      <c r="E1453" s="44"/>
      <c r="F1453" s="16">
        <f>base!W1453</f>
        <v>49.67</v>
      </c>
      <c r="G1453" s="11">
        <f t="shared" si="220"/>
        <v>0.26997499728231333</v>
      </c>
      <c r="H1453" s="11">
        <f t="shared" si="221"/>
        <v>34.956199999999995</v>
      </c>
      <c r="I1453" s="11">
        <f t="shared" si="222"/>
        <v>0.18999999999999997</v>
      </c>
      <c r="J1453" s="12">
        <f t="shared" si="223"/>
        <v>14.713800000000006</v>
      </c>
      <c r="K1453" s="17" t="str">
        <f t="shared" si="228"/>
        <v>Ecart positif</v>
      </c>
      <c r="L1453" s="16">
        <f>base!X1453</f>
        <v>0</v>
      </c>
      <c r="M1453" s="11">
        <f t="shared" si="224"/>
        <v>0</v>
      </c>
      <c r="N1453" s="11">
        <f t="shared" si="225"/>
        <v>0</v>
      </c>
      <c r="O1453" s="11">
        <f t="shared" si="226"/>
        <v>0</v>
      </c>
      <c r="P1453" s="12">
        <f t="shared" si="227"/>
        <v>0</v>
      </c>
      <c r="Q1453" s="17" t="str">
        <f t="shared" si="229"/>
        <v>Pas d'écart</v>
      </c>
    </row>
    <row r="1454" spans="1:17" x14ac:dyDescent="0.3">
      <c r="A1454" s="34" t="str">
        <f>base!J1454</f>
        <v>LS</v>
      </c>
      <c r="B1454" s="34" t="str">
        <f>base!V1454</f>
        <v>56000</v>
      </c>
      <c r="C1454" s="37">
        <v>62</v>
      </c>
      <c r="D1454" s="36">
        <f>base!H1454</f>
        <v>20.2</v>
      </c>
      <c r="E1454" s="44"/>
      <c r="F1454" s="16">
        <f>base!W1454</f>
        <v>5.45</v>
      </c>
      <c r="G1454" s="11">
        <f t="shared" si="220"/>
        <v>0.26980198019801982</v>
      </c>
      <c r="H1454" s="11">
        <f t="shared" si="221"/>
        <v>3.8380000000000001</v>
      </c>
      <c r="I1454" s="11">
        <f t="shared" si="222"/>
        <v>0.19</v>
      </c>
      <c r="J1454" s="12">
        <f t="shared" si="223"/>
        <v>1.6120000000000001</v>
      </c>
      <c r="K1454" s="17" t="str">
        <f t="shared" si="228"/>
        <v>Ecart positif</v>
      </c>
      <c r="L1454" s="16">
        <f>base!X1454</f>
        <v>0</v>
      </c>
      <c r="M1454" s="11">
        <f t="shared" si="224"/>
        <v>0</v>
      </c>
      <c r="N1454" s="11">
        <f t="shared" si="225"/>
        <v>0</v>
      </c>
      <c r="O1454" s="11">
        <f t="shared" si="226"/>
        <v>0</v>
      </c>
      <c r="P1454" s="12">
        <f t="shared" si="227"/>
        <v>0</v>
      </c>
      <c r="Q1454" s="17" t="str">
        <f t="shared" si="229"/>
        <v>Pas d'écart</v>
      </c>
    </row>
    <row r="1455" spans="1:17" x14ac:dyDescent="0.3">
      <c r="A1455" s="34" t="str">
        <f>base!J1455</f>
        <v>RS</v>
      </c>
      <c r="B1455" s="34" t="str">
        <f>base!V1455</f>
        <v>17100</v>
      </c>
      <c r="C1455" s="37">
        <v>17</v>
      </c>
      <c r="D1455" s="36">
        <f>base!H1455</f>
        <v>140</v>
      </c>
      <c r="E1455" s="44"/>
      <c r="F1455" s="16">
        <f>base!W1455</f>
        <v>0</v>
      </c>
      <c r="G1455" s="11">
        <f t="shared" si="220"/>
        <v>0</v>
      </c>
      <c r="H1455" s="11">
        <f t="shared" si="221"/>
        <v>29.4</v>
      </c>
      <c r="I1455" s="11">
        <f t="shared" si="222"/>
        <v>0.21</v>
      </c>
      <c r="J1455" s="12">
        <f t="shared" si="223"/>
        <v>-29.4</v>
      </c>
      <c r="K1455" s="17" t="str">
        <f t="shared" si="228"/>
        <v>Ecart négatif</v>
      </c>
      <c r="L1455" s="16">
        <f>base!X1455</f>
        <v>0</v>
      </c>
      <c r="M1455" s="11">
        <f t="shared" si="224"/>
        <v>0</v>
      </c>
      <c r="N1455" s="11">
        <f t="shared" si="225"/>
        <v>23.8</v>
      </c>
      <c r="O1455" s="11">
        <f t="shared" si="226"/>
        <v>0.17</v>
      </c>
      <c r="P1455" s="12">
        <f t="shared" si="227"/>
        <v>-23.8</v>
      </c>
      <c r="Q1455" s="17" t="str">
        <f t="shared" si="229"/>
        <v>Ecart négatif</v>
      </c>
    </row>
    <row r="1456" spans="1:17" x14ac:dyDescent="0.3">
      <c r="A1456" s="34" t="str">
        <f>base!J1456</f>
        <v>RS</v>
      </c>
      <c r="B1456" s="34" t="str">
        <f>base!V1456</f>
        <v>17200</v>
      </c>
      <c r="C1456" s="37">
        <v>17</v>
      </c>
      <c r="D1456" s="36">
        <f>base!H1456</f>
        <v>140</v>
      </c>
      <c r="E1456" s="44"/>
      <c r="F1456" s="16">
        <f>base!W1456</f>
        <v>0</v>
      </c>
      <c r="G1456" s="11">
        <f t="shared" si="220"/>
        <v>0</v>
      </c>
      <c r="H1456" s="11">
        <f t="shared" si="221"/>
        <v>29.4</v>
      </c>
      <c r="I1456" s="11">
        <f t="shared" si="222"/>
        <v>0.21</v>
      </c>
      <c r="J1456" s="12">
        <f t="shared" si="223"/>
        <v>-29.4</v>
      </c>
      <c r="K1456" s="17" t="str">
        <f t="shared" si="228"/>
        <v>Ecart négatif</v>
      </c>
      <c r="L1456" s="16">
        <f>base!X1456</f>
        <v>0</v>
      </c>
      <c r="M1456" s="11">
        <f t="shared" si="224"/>
        <v>0</v>
      </c>
      <c r="N1456" s="11">
        <f t="shared" si="225"/>
        <v>23.8</v>
      </c>
      <c r="O1456" s="11">
        <f t="shared" si="226"/>
        <v>0.17</v>
      </c>
      <c r="P1456" s="12">
        <f t="shared" si="227"/>
        <v>-23.8</v>
      </c>
      <c r="Q1456" s="17" t="str">
        <f t="shared" si="229"/>
        <v>Ecart négatif</v>
      </c>
    </row>
    <row r="1457" spans="1:18" x14ac:dyDescent="0.3">
      <c r="A1457" s="34" t="str">
        <f>base!J1457</f>
        <v>RM</v>
      </c>
      <c r="B1457" s="34" t="str">
        <f>base!V1457</f>
        <v>80000</v>
      </c>
      <c r="C1457" s="37">
        <v>80</v>
      </c>
      <c r="D1457" s="36">
        <f>base!H1457</f>
        <v>140</v>
      </c>
      <c r="E1457" s="44"/>
      <c r="F1457" s="16">
        <f>base!W1457</f>
        <v>0</v>
      </c>
      <c r="G1457" s="11">
        <f t="shared" si="220"/>
        <v>0</v>
      </c>
      <c r="H1457" s="11">
        <f t="shared" si="221"/>
        <v>26.6</v>
      </c>
      <c r="I1457" s="11">
        <f t="shared" si="222"/>
        <v>0.19</v>
      </c>
      <c r="J1457" s="12">
        <f t="shared" si="223"/>
        <v>-26.6</v>
      </c>
      <c r="K1457" s="17" t="str">
        <f t="shared" si="228"/>
        <v>Ecart négatif</v>
      </c>
      <c r="L1457" s="16">
        <f>base!X1457</f>
        <v>26.6</v>
      </c>
      <c r="M1457" s="11">
        <f t="shared" si="224"/>
        <v>0.19</v>
      </c>
      <c r="N1457" s="11">
        <f t="shared" si="225"/>
        <v>0</v>
      </c>
      <c r="O1457" s="11">
        <f t="shared" si="226"/>
        <v>0</v>
      </c>
      <c r="P1457" s="12">
        <f t="shared" si="227"/>
        <v>26.6</v>
      </c>
      <c r="Q1457" s="17" t="str">
        <f t="shared" si="229"/>
        <v>Ecart positif</v>
      </c>
    </row>
    <row r="1458" spans="1:18" x14ac:dyDescent="0.3">
      <c r="A1458" s="34" t="str">
        <f>base!J1458</f>
        <v>RM</v>
      </c>
      <c r="B1458" s="34" t="str">
        <f>base!V1458</f>
        <v>71200</v>
      </c>
      <c r="C1458" s="37">
        <v>71</v>
      </c>
      <c r="D1458" s="36">
        <f>base!H1458</f>
        <v>140</v>
      </c>
      <c r="E1458" s="44"/>
      <c r="F1458" s="16">
        <f>base!W1458</f>
        <v>0</v>
      </c>
      <c r="G1458" s="11">
        <f t="shared" si="220"/>
        <v>0</v>
      </c>
      <c r="H1458" s="11">
        <f t="shared" si="221"/>
        <v>37.800000000000004</v>
      </c>
      <c r="I1458" s="11">
        <f t="shared" si="222"/>
        <v>0.27</v>
      </c>
      <c r="J1458" s="12">
        <f t="shared" si="223"/>
        <v>-37.800000000000004</v>
      </c>
      <c r="K1458" s="17" t="str">
        <f t="shared" si="228"/>
        <v>Ecart négatif</v>
      </c>
      <c r="L1458" s="16">
        <f>base!X1458</f>
        <v>0</v>
      </c>
      <c r="M1458" s="11">
        <f t="shared" si="224"/>
        <v>0</v>
      </c>
      <c r="N1458" s="11">
        <f t="shared" si="225"/>
        <v>0</v>
      </c>
      <c r="O1458" s="11">
        <f t="shared" si="226"/>
        <v>0</v>
      </c>
      <c r="P1458" s="12">
        <f t="shared" si="227"/>
        <v>0</v>
      </c>
      <c r="Q1458" s="17" t="str">
        <f t="shared" si="229"/>
        <v>Pas d'écart</v>
      </c>
    </row>
    <row r="1459" spans="1:18" x14ac:dyDescent="0.3">
      <c r="A1459" s="34" t="str">
        <f>base!J1459</f>
        <v>RM</v>
      </c>
      <c r="B1459" s="34" t="str">
        <f>base!V1459</f>
        <v>57175</v>
      </c>
      <c r="C1459" s="37">
        <v>57</v>
      </c>
      <c r="D1459" s="36">
        <f>base!H1459</f>
        <v>33</v>
      </c>
      <c r="E1459" s="44"/>
      <c r="F1459" s="16">
        <f>base!W1459</f>
        <v>0</v>
      </c>
      <c r="G1459" s="11">
        <f t="shared" si="220"/>
        <v>0</v>
      </c>
      <c r="H1459" s="11">
        <f t="shared" si="221"/>
        <v>7.92</v>
      </c>
      <c r="I1459" s="11">
        <f t="shared" si="222"/>
        <v>0.24</v>
      </c>
      <c r="J1459" s="12">
        <f t="shared" si="223"/>
        <v>-7.92</v>
      </c>
      <c r="K1459" s="17" t="str">
        <f t="shared" si="228"/>
        <v>Ecart négatif</v>
      </c>
      <c r="L1459" s="16">
        <f>base!X1459</f>
        <v>8.25</v>
      </c>
      <c r="M1459" s="11">
        <f t="shared" si="224"/>
        <v>0.25</v>
      </c>
      <c r="N1459" s="11">
        <f t="shared" si="225"/>
        <v>8.25</v>
      </c>
      <c r="O1459" s="11">
        <f t="shared" si="226"/>
        <v>0.25</v>
      </c>
      <c r="P1459" s="12">
        <f t="shared" si="227"/>
        <v>0</v>
      </c>
      <c r="Q1459" s="17" t="str">
        <f t="shared" si="229"/>
        <v>Pas d'écart</v>
      </c>
      <c r="R1459" s="38"/>
    </row>
    <row r="1460" spans="1:18" x14ac:dyDescent="0.3">
      <c r="A1460" s="34" t="str">
        <f>base!J1460</f>
        <v>RM</v>
      </c>
      <c r="B1460" s="34" t="str">
        <f>base!V1460</f>
        <v>56360</v>
      </c>
      <c r="C1460" s="37">
        <v>56</v>
      </c>
      <c r="D1460" s="36">
        <f>base!H1460</f>
        <v>140</v>
      </c>
      <c r="E1460" s="44"/>
      <c r="F1460" s="16">
        <f>base!W1460</f>
        <v>0</v>
      </c>
      <c r="G1460" s="11">
        <f t="shared" si="220"/>
        <v>0</v>
      </c>
      <c r="H1460" s="11">
        <f t="shared" si="221"/>
        <v>37.800000000000004</v>
      </c>
      <c r="I1460" s="11">
        <f t="shared" si="222"/>
        <v>0.27</v>
      </c>
      <c r="J1460" s="12">
        <f t="shared" si="223"/>
        <v>-37.800000000000004</v>
      </c>
      <c r="K1460" s="17" t="str">
        <f t="shared" si="228"/>
        <v>Ecart négatif</v>
      </c>
      <c r="L1460" s="16">
        <f>base!X1460</f>
        <v>0</v>
      </c>
      <c r="M1460" s="11">
        <f t="shared" si="224"/>
        <v>0</v>
      </c>
      <c r="N1460" s="11">
        <f t="shared" si="225"/>
        <v>0</v>
      </c>
      <c r="O1460" s="11">
        <f t="shared" si="226"/>
        <v>0</v>
      </c>
      <c r="P1460" s="12">
        <f t="shared" si="227"/>
        <v>0</v>
      </c>
      <c r="Q1460" s="17" t="str">
        <f t="shared" si="229"/>
        <v>Pas d'écart</v>
      </c>
    </row>
    <row r="1461" spans="1:18" x14ac:dyDescent="0.3">
      <c r="A1461" s="34" t="str">
        <f>base!J1461</f>
        <v>LS</v>
      </c>
      <c r="B1461" s="34" t="str">
        <f>base!V1461</f>
        <v>59810</v>
      </c>
      <c r="C1461" s="37">
        <v>80</v>
      </c>
      <c r="D1461" s="36">
        <f>base!H1461</f>
        <v>11.96</v>
      </c>
      <c r="E1461" s="44"/>
      <c r="F1461" s="16">
        <f>base!W1461</f>
        <v>2.27</v>
      </c>
      <c r="G1461" s="11">
        <f t="shared" si="220"/>
        <v>0.18979933110367891</v>
      </c>
      <c r="H1461" s="11">
        <f t="shared" si="221"/>
        <v>2.2724000000000002</v>
      </c>
      <c r="I1461" s="11">
        <f t="shared" si="222"/>
        <v>0.19</v>
      </c>
      <c r="J1461" s="12">
        <f t="shared" si="223"/>
        <v>-2.4000000000001798E-3</v>
      </c>
      <c r="K1461" s="17" t="str">
        <f t="shared" si="228"/>
        <v>Ecart négatif</v>
      </c>
      <c r="L1461" s="16">
        <f>base!X1461</f>
        <v>0</v>
      </c>
      <c r="M1461" s="11">
        <f t="shared" si="224"/>
        <v>0</v>
      </c>
      <c r="N1461" s="11">
        <f t="shared" si="225"/>
        <v>0</v>
      </c>
      <c r="O1461" s="11">
        <f t="shared" si="226"/>
        <v>0</v>
      </c>
      <c r="P1461" s="12">
        <f t="shared" si="227"/>
        <v>0</v>
      </c>
      <c r="Q1461" s="17" t="str">
        <f t="shared" si="229"/>
        <v>Pas d'écart</v>
      </c>
    </row>
    <row r="1462" spans="1:18" x14ac:dyDescent="0.3">
      <c r="A1462" s="34" t="str">
        <f>base!J1462</f>
        <v>RM</v>
      </c>
      <c r="B1462" s="34" t="str">
        <f>base!V1462</f>
        <v>54600</v>
      </c>
      <c r="C1462" s="37">
        <v>54</v>
      </c>
      <c r="D1462" s="36">
        <f>base!H1462</f>
        <v>189.52</v>
      </c>
      <c r="E1462" s="44"/>
      <c r="F1462" s="16">
        <f>base!W1462</f>
        <v>0</v>
      </c>
      <c r="G1462" s="11">
        <f t="shared" si="220"/>
        <v>0</v>
      </c>
      <c r="H1462" s="11">
        <f t="shared" si="221"/>
        <v>47.38</v>
      </c>
      <c r="I1462" s="11">
        <f t="shared" si="222"/>
        <v>0.25</v>
      </c>
      <c r="J1462" s="12">
        <f t="shared" si="223"/>
        <v>-47.38</v>
      </c>
      <c r="K1462" s="17" t="str">
        <f t="shared" si="228"/>
        <v>Ecart négatif</v>
      </c>
      <c r="L1462" s="16">
        <f>base!X1462</f>
        <v>47.38</v>
      </c>
      <c r="M1462" s="11">
        <f t="shared" si="224"/>
        <v>0.25</v>
      </c>
      <c r="N1462" s="11">
        <f t="shared" si="225"/>
        <v>47.38</v>
      </c>
      <c r="O1462" s="11">
        <f t="shared" si="226"/>
        <v>0.25</v>
      </c>
      <c r="P1462" s="12">
        <f t="shared" si="227"/>
        <v>0</v>
      </c>
      <c r="Q1462" s="17" t="str">
        <f t="shared" si="229"/>
        <v>Pas d'écart</v>
      </c>
      <c r="R1462" s="38"/>
    </row>
    <row r="1463" spans="1:18" x14ac:dyDescent="0.3">
      <c r="A1463" s="34" t="str">
        <f>base!J1463</f>
        <v>RS</v>
      </c>
      <c r="B1463" s="34" t="str">
        <f>base!V1463</f>
        <v>14000</v>
      </c>
      <c r="C1463" s="37">
        <v>14</v>
      </c>
      <c r="D1463" s="36">
        <f>base!H1463</f>
        <v>180</v>
      </c>
      <c r="E1463" s="44"/>
      <c r="F1463" s="16">
        <f>base!W1463</f>
        <v>0</v>
      </c>
      <c r="G1463" s="11">
        <f t="shared" si="220"/>
        <v>0</v>
      </c>
      <c r="H1463" s="11">
        <f t="shared" si="221"/>
        <v>30.6</v>
      </c>
      <c r="I1463" s="11">
        <f t="shared" si="222"/>
        <v>0.17</v>
      </c>
      <c r="J1463" s="12">
        <f t="shared" si="223"/>
        <v>-30.6</v>
      </c>
      <c r="K1463" s="17" t="str">
        <f t="shared" si="228"/>
        <v>Ecart négatif</v>
      </c>
      <c r="L1463" s="16">
        <f>base!X1463</f>
        <v>0</v>
      </c>
      <c r="M1463" s="11">
        <f t="shared" si="224"/>
        <v>0</v>
      </c>
      <c r="N1463" s="11">
        <f t="shared" si="225"/>
        <v>30.6</v>
      </c>
      <c r="O1463" s="11">
        <f t="shared" si="226"/>
        <v>0.17</v>
      </c>
      <c r="P1463" s="12">
        <f t="shared" si="227"/>
        <v>-30.6</v>
      </c>
      <c r="Q1463" s="17" t="str">
        <f t="shared" si="229"/>
        <v>Ecart négatif</v>
      </c>
    </row>
    <row r="1464" spans="1:18" x14ac:dyDescent="0.3">
      <c r="A1464" s="34" t="str">
        <f>base!J1464</f>
        <v>RM</v>
      </c>
      <c r="B1464" s="34" t="str">
        <f>base!V1464</f>
        <v>94510</v>
      </c>
      <c r="C1464" s="37">
        <v>94</v>
      </c>
      <c r="D1464" s="36">
        <f>base!H1464</f>
        <v>37.94</v>
      </c>
      <c r="E1464" s="44"/>
      <c r="F1464" s="16">
        <f>base!W1464</f>
        <v>0</v>
      </c>
      <c r="G1464" s="11">
        <f t="shared" si="220"/>
        <v>0</v>
      </c>
      <c r="H1464" s="11">
        <f t="shared" si="221"/>
        <v>0</v>
      </c>
      <c r="I1464" s="11">
        <f t="shared" si="222"/>
        <v>0</v>
      </c>
      <c r="J1464" s="12">
        <f t="shared" si="223"/>
        <v>0</v>
      </c>
      <c r="K1464" s="17" t="str">
        <f t="shared" si="228"/>
        <v>Pas d'écart</v>
      </c>
      <c r="L1464" s="16">
        <f>base!X1464</f>
        <v>0</v>
      </c>
      <c r="M1464" s="11">
        <f t="shared" si="224"/>
        <v>0</v>
      </c>
      <c r="N1464" s="11">
        <f t="shared" si="225"/>
        <v>0</v>
      </c>
      <c r="O1464" s="11">
        <f t="shared" si="226"/>
        <v>0</v>
      </c>
      <c r="P1464" s="12">
        <f t="shared" si="227"/>
        <v>0</v>
      </c>
      <c r="Q1464" s="17" t="str">
        <f t="shared" si="229"/>
        <v>Pas d'écart</v>
      </c>
    </row>
    <row r="1465" spans="1:18" x14ac:dyDescent="0.3">
      <c r="A1465" s="34" t="str">
        <f>base!J1465</f>
        <v>RS</v>
      </c>
      <c r="B1465" s="34" t="str">
        <f>base!V1465</f>
        <v>45100</v>
      </c>
      <c r="C1465" s="37">
        <v>45</v>
      </c>
      <c r="D1465" s="36">
        <f>base!H1465</f>
        <v>32.6</v>
      </c>
      <c r="E1465" s="44"/>
      <c r="F1465" s="16">
        <f>base!W1465</f>
        <v>0</v>
      </c>
      <c r="G1465" s="11">
        <f t="shared" si="220"/>
        <v>0</v>
      </c>
      <c r="H1465" s="11">
        <f t="shared" si="221"/>
        <v>6.8460000000000001</v>
      </c>
      <c r="I1465" s="11">
        <f t="shared" si="222"/>
        <v>0.21</v>
      </c>
      <c r="J1465" s="12">
        <f t="shared" si="223"/>
        <v>-6.8460000000000001</v>
      </c>
      <c r="K1465" s="17" t="str">
        <f t="shared" si="228"/>
        <v>Ecart négatif</v>
      </c>
      <c r="L1465" s="16">
        <f>base!X1465</f>
        <v>0</v>
      </c>
      <c r="M1465" s="11">
        <f t="shared" si="224"/>
        <v>0</v>
      </c>
      <c r="N1465" s="11">
        <f t="shared" si="225"/>
        <v>3.9119999999999999</v>
      </c>
      <c r="O1465" s="11">
        <f t="shared" si="226"/>
        <v>0.12</v>
      </c>
      <c r="P1465" s="12">
        <f t="shared" si="227"/>
        <v>-3.9119999999999999</v>
      </c>
      <c r="Q1465" s="17" t="str">
        <f t="shared" si="229"/>
        <v>Ecart négatif</v>
      </c>
    </row>
    <row r="1466" spans="1:18" x14ac:dyDescent="0.3">
      <c r="A1466" s="34" t="str">
        <f>base!J1466</f>
        <v>RM</v>
      </c>
      <c r="B1466" s="34" t="str">
        <f>base!V1466</f>
        <v>71200</v>
      </c>
      <c r="C1466" s="37">
        <v>71</v>
      </c>
      <c r="D1466" s="36">
        <f>base!H1466</f>
        <v>70</v>
      </c>
      <c r="E1466" s="44"/>
      <c r="F1466" s="16">
        <f>base!W1466</f>
        <v>0</v>
      </c>
      <c r="G1466" s="11">
        <f t="shared" si="220"/>
        <v>0</v>
      </c>
      <c r="H1466" s="11">
        <f t="shared" si="221"/>
        <v>18.900000000000002</v>
      </c>
      <c r="I1466" s="11">
        <f t="shared" si="222"/>
        <v>0.27</v>
      </c>
      <c r="J1466" s="12">
        <f t="shared" si="223"/>
        <v>-18.900000000000002</v>
      </c>
      <c r="K1466" s="17" t="str">
        <f t="shared" si="228"/>
        <v>Ecart négatif</v>
      </c>
      <c r="L1466" s="16">
        <f>base!X1466</f>
        <v>0</v>
      </c>
      <c r="M1466" s="11">
        <f t="shared" si="224"/>
        <v>0</v>
      </c>
      <c r="N1466" s="11">
        <f t="shared" si="225"/>
        <v>0</v>
      </c>
      <c r="O1466" s="11">
        <f t="shared" si="226"/>
        <v>0</v>
      </c>
      <c r="P1466" s="12">
        <f t="shared" si="227"/>
        <v>0</v>
      </c>
      <c r="Q1466" s="17" t="str">
        <f t="shared" si="229"/>
        <v>Pas d'écart</v>
      </c>
    </row>
    <row r="1467" spans="1:18" x14ac:dyDescent="0.3">
      <c r="A1467" s="34" t="str">
        <f>base!J1467</f>
        <v>RS</v>
      </c>
      <c r="B1467" s="34" t="str">
        <f>base!V1467</f>
        <v>77380</v>
      </c>
      <c r="C1467" s="37">
        <v>77</v>
      </c>
      <c r="D1467" s="36">
        <f>base!H1467</f>
        <v>62.1</v>
      </c>
      <c r="E1467" s="44"/>
      <c r="F1467" s="16">
        <f>base!W1467</f>
        <v>0</v>
      </c>
      <c r="G1467" s="11">
        <f t="shared" si="220"/>
        <v>0</v>
      </c>
      <c r="H1467" s="11">
        <f t="shared" si="221"/>
        <v>0</v>
      </c>
      <c r="I1467" s="11">
        <f t="shared" si="222"/>
        <v>0</v>
      </c>
      <c r="J1467" s="12">
        <f t="shared" si="223"/>
        <v>0</v>
      </c>
      <c r="K1467" s="17" t="str">
        <f t="shared" si="228"/>
        <v>Pas d'écart</v>
      </c>
      <c r="L1467" s="16">
        <f>base!X1467</f>
        <v>0</v>
      </c>
      <c r="M1467" s="11">
        <f t="shared" si="224"/>
        <v>0</v>
      </c>
      <c r="N1467" s="11">
        <f t="shared" si="225"/>
        <v>0</v>
      </c>
      <c r="O1467" s="11">
        <f t="shared" si="226"/>
        <v>0</v>
      </c>
      <c r="P1467" s="12">
        <f t="shared" si="227"/>
        <v>0</v>
      </c>
      <c r="Q1467" s="17" t="str">
        <f t="shared" si="229"/>
        <v>Pas d'écart</v>
      </c>
    </row>
    <row r="1468" spans="1:18" x14ac:dyDescent="0.3">
      <c r="A1468" s="34" t="str">
        <f>base!J1468</f>
        <v>RS</v>
      </c>
      <c r="B1468" s="34" t="str">
        <f>base!V1468</f>
        <v>13110</v>
      </c>
      <c r="C1468" s="37">
        <v>13</v>
      </c>
      <c r="D1468" s="36">
        <f>base!H1468</f>
        <v>180</v>
      </c>
      <c r="E1468" s="44"/>
      <c r="F1468" s="16">
        <f>base!W1468</f>
        <v>0</v>
      </c>
      <c r="G1468" s="11">
        <f t="shared" si="220"/>
        <v>0</v>
      </c>
      <c r="H1468" s="11">
        <f t="shared" si="221"/>
        <v>52.199999999999996</v>
      </c>
      <c r="I1468" s="11">
        <f t="shared" si="222"/>
        <v>0.28999999999999998</v>
      </c>
      <c r="J1468" s="12">
        <f t="shared" si="223"/>
        <v>-52.199999999999996</v>
      </c>
      <c r="K1468" s="17" t="str">
        <f t="shared" si="228"/>
        <v>Ecart négatif</v>
      </c>
      <c r="L1468" s="16">
        <f>base!X1468</f>
        <v>0</v>
      </c>
      <c r="M1468" s="11">
        <f t="shared" si="224"/>
        <v>0</v>
      </c>
      <c r="N1468" s="11">
        <f t="shared" si="225"/>
        <v>34.200000000000003</v>
      </c>
      <c r="O1468" s="11">
        <f t="shared" si="226"/>
        <v>0.19</v>
      </c>
      <c r="P1468" s="12">
        <f t="shared" si="227"/>
        <v>-34.200000000000003</v>
      </c>
      <c r="Q1468" s="17" t="str">
        <f t="shared" si="229"/>
        <v>Ecart négatif</v>
      </c>
    </row>
    <row r="1469" spans="1:18" x14ac:dyDescent="0.3">
      <c r="A1469" s="34" t="str">
        <f>base!J1469</f>
        <v>RM</v>
      </c>
      <c r="B1469" s="34" t="str">
        <f>base!V1469</f>
        <v>17000</v>
      </c>
      <c r="C1469" s="37">
        <v>17</v>
      </c>
      <c r="D1469" s="36">
        <f>base!H1469</f>
        <v>165.02</v>
      </c>
      <c r="E1469" s="44"/>
      <c r="F1469" s="16">
        <f>base!W1469</f>
        <v>0</v>
      </c>
      <c r="G1469" s="11">
        <f t="shared" si="220"/>
        <v>0</v>
      </c>
      <c r="H1469" s="11">
        <f t="shared" si="221"/>
        <v>34.654200000000003</v>
      </c>
      <c r="I1469" s="11">
        <f t="shared" si="222"/>
        <v>0.21</v>
      </c>
      <c r="J1469" s="12">
        <f t="shared" si="223"/>
        <v>-34.654200000000003</v>
      </c>
      <c r="K1469" s="17" t="str">
        <f t="shared" si="228"/>
        <v>Ecart négatif</v>
      </c>
      <c r="L1469" s="16">
        <f>base!X1469</f>
        <v>0</v>
      </c>
      <c r="M1469" s="11">
        <f t="shared" si="224"/>
        <v>0</v>
      </c>
      <c r="N1469" s="11">
        <f t="shared" si="225"/>
        <v>28.053400000000003</v>
      </c>
      <c r="O1469" s="11">
        <f t="shared" si="226"/>
        <v>0.17</v>
      </c>
      <c r="P1469" s="12">
        <f t="shared" si="227"/>
        <v>-28.053400000000003</v>
      </c>
      <c r="Q1469" s="17" t="str">
        <f t="shared" si="229"/>
        <v>Ecart négatif</v>
      </c>
    </row>
    <row r="1470" spans="1:18" x14ac:dyDescent="0.3">
      <c r="A1470" s="34" t="str">
        <f>base!J1470</f>
        <v>RM</v>
      </c>
      <c r="B1470" s="34" t="str">
        <f>base!V1470</f>
        <v>75007</v>
      </c>
      <c r="C1470" s="37">
        <v>75</v>
      </c>
      <c r="D1470" s="36">
        <f>base!H1470</f>
        <v>220</v>
      </c>
      <c r="E1470" s="44"/>
      <c r="F1470" s="16">
        <f>base!W1470</f>
        <v>0</v>
      </c>
      <c r="G1470" s="11">
        <f t="shared" si="220"/>
        <v>0</v>
      </c>
      <c r="H1470" s="11">
        <f t="shared" si="221"/>
        <v>0</v>
      </c>
      <c r="I1470" s="11">
        <f t="shared" si="222"/>
        <v>0</v>
      </c>
      <c r="J1470" s="12">
        <f t="shared" si="223"/>
        <v>0</v>
      </c>
      <c r="K1470" s="17" t="str">
        <f t="shared" si="228"/>
        <v>Pas d'écart</v>
      </c>
      <c r="L1470" s="16">
        <f>base!X1470</f>
        <v>0</v>
      </c>
      <c r="M1470" s="11">
        <f t="shared" si="224"/>
        <v>0</v>
      </c>
      <c r="N1470" s="11">
        <f t="shared" si="225"/>
        <v>0</v>
      </c>
      <c r="O1470" s="11">
        <f t="shared" si="226"/>
        <v>0</v>
      </c>
      <c r="P1470" s="12">
        <f t="shared" si="227"/>
        <v>0</v>
      </c>
      <c r="Q1470" s="17" t="str">
        <f t="shared" si="229"/>
        <v>Pas d'écart</v>
      </c>
    </row>
    <row r="1471" spans="1:18" x14ac:dyDescent="0.3">
      <c r="A1471" s="34" t="str">
        <f>base!J1471</f>
        <v>RS</v>
      </c>
      <c r="B1471" s="34" t="str">
        <f>base!V1471</f>
        <v>35650</v>
      </c>
      <c r="C1471" s="37">
        <v>35</v>
      </c>
      <c r="D1471" s="36">
        <f>base!H1471</f>
        <v>99.01</v>
      </c>
      <c r="E1471" s="44"/>
      <c r="F1471" s="16">
        <f>base!W1471</f>
        <v>0</v>
      </c>
      <c r="G1471" s="11">
        <f t="shared" si="220"/>
        <v>0</v>
      </c>
      <c r="H1471" s="11">
        <f t="shared" si="221"/>
        <v>26.732700000000005</v>
      </c>
      <c r="I1471" s="11">
        <f t="shared" si="222"/>
        <v>0.27</v>
      </c>
      <c r="J1471" s="12">
        <f t="shared" si="223"/>
        <v>-26.732700000000005</v>
      </c>
      <c r="K1471" s="17" t="str">
        <f t="shared" si="228"/>
        <v>Ecart négatif</v>
      </c>
      <c r="L1471" s="16">
        <f>base!X1471</f>
        <v>26.73</v>
      </c>
      <c r="M1471" s="11">
        <f t="shared" si="224"/>
        <v>0.26997273002726996</v>
      </c>
      <c r="N1471" s="11">
        <f t="shared" si="225"/>
        <v>0</v>
      </c>
      <c r="O1471" s="11">
        <f t="shared" si="226"/>
        <v>0</v>
      </c>
      <c r="P1471" s="12">
        <f t="shared" si="227"/>
        <v>26.73</v>
      </c>
      <c r="Q1471" s="17" t="str">
        <f t="shared" si="229"/>
        <v>Ecart positif</v>
      </c>
      <c r="R1471" s="38"/>
    </row>
    <row r="1472" spans="1:18" x14ac:dyDescent="0.3">
      <c r="A1472" s="34" t="str">
        <f>base!J1472</f>
        <v>RM</v>
      </c>
      <c r="B1472" s="34" t="str">
        <f>base!V1472</f>
        <v>74500</v>
      </c>
      <c r="C1472" s="37">
        <v>74</v>
      </c>
      <c r="D1472" s="36">
        <f>base!H1472</f>
        <v>26</v>
      </c>
      <c r="E1472" s="44"/>
      <c r="F1472" s="16">
        <f>base!W1472</f>
        <v>0</v>
      </c>
      <c r="G1472" s="11">
        <f t="shared" si="220"/>
        <v>0</v>
      </c>
      <c r="H1472" s="11">
        <f t="shared" si="221"/>
        <v>6.76</v>
      </c>
      <c r="I1472" s="11">
        <f t="shared" si="222"/>
        <v>0.26</v>
      </c>
      <c r="J1472" s="12">
        <f t="shared" si="223"/>
        <v>-6.76</v>
      </c>
      <c r="K1472" s="17" t="str">
        <f t="shared" si="228"/>
        <v>Ecart négatif</v>
      </c>
      <c r="L1472" s="16">
        <f>base!X1472</f>
        <v>0</v>
      </c>
      <c r="M1472" s="11">
        <f t="shared" si="224"/>
        <v>0</v>
      </c>
      <c r="N1472" s="11">
        <f t="shared" si="225"/>
        <v>0</v>
      </c>
      <c r="O1472" s="11">
        <f t="shared" si="226"/>
        <v>0</v>
      </c>
      <c r="P1472" s="12">
        <f t="shared" si="227"/>
        <v>0</v>
      </c>
      <c r="Q1472" s="17" t="str">
        <f t="shared" si="229"/>
        <v>Pas d'écart</v>
      </c>
    </row>
    <row r="1473" spans="1:18" x14ac:dyDescent="0.3">
      <c r="A1473" s="34" t="str">
        <f>base!J1473</f>
        <v>LM</v>
      </c>
      <c r="B1473" s="34" t="str">
        <f>base!V1473</f>
        <v>69125</v>
      </c>
      <c r="C1473" s="37">
        <v>59</v>
      </c>
      <c r="D1473" s="36">
        <f>base!H1473</f>
        <v>20.23</v>
      </c>
      <c r="E1473" s="44"/>
      <c r="F1473" s="16">
        <f>base!W1473</f>
        <v>5.46</v>
      </c>
      <c r="G1473" s="11">
        <f t="shared" si="220"/>
        <v>0.26989619377162627</v>
      </c>
      <c r="H1473" s="11">
        <f t="shared" si="221"/>
        <v>3.8437000000000001</v>
      </c>
      <c r="I1473" s="11">
        <f t="shared" si="222"/>
        <v>0.19</v>
      </c>
      <c r="J1473" s="12">
        <f t="shared" si="223"/>
        <v>1.6162999999999998</v>
      </c>
      <c r="K1473" s="17" t="str">
        <f t="shared" si="228"/>
        <v>Ecart positif</v>
      </c>
      <c r="L1473" s="16">
        <f>base!X1473</f>
        <v>0</v>
      </c>
      <c r="M1473" s="11">
        <f t="shared" si="224"/>
        <v>0</v>
      </c>
      <c r="N1473" s="11">
        <f t="shared" si="225"/>
        <v>0</v>
      </c>
      <c r="O1473" s="11">
        <f t="shared" si="226"/>
        <v>0</v>
      </c>
      <c r="P1473" s="12">
        <f t="shared" si="227"/>
        <v>0</v>
      </c>
      <c r="Q1473" s="17" t="str">
        <f t="shared" si="229"/>
        <v>Pas d'écart</v>
      </c>
    </row>
    <row r="1474" spans="1:18" x14ac:dyDescent="0.3">
      <c r="A1474" s="34" t="str">
        <f>base!J1474</f>
        <v>RM</v>
      </c>
      <c r="B1474" s="34" t="str">
        <f>base!V1474</f>
        <v>85700</v>
      </c>
      <c r="C1474" s="37">
        <v>85</v>
      </c>
      <c r="D1474" s="36">
        <f>base!H1474</f>
        <v>24.8</v>
      </c>
      <c r="E1474" s="44"/>
      <c r="F1474" s="16">
        <f>base!W1474</f>
        <v>0</v>
      </c>
      <c r="G1474" s="11">
        <f t="shared" ref="G1474:G1537" si="230">F1474/D1474</f>
        <v>0</v>
      </c>
      <c r="H1474" s="11">
        <f t="shared" ref="H1474:H1537" si="231">VLOOKUP(C1474,tout_cout_traction,2,FALSE)*D1474</f>
        <v>6.6960000000000006</v>
      </c>
      <c r="I1474" s="11">
        <f t="shared" ref="I1474:I1537" si="232">H1474/D1474</f>
        <v>0.27</v>
      </c>
      <c r="J1474" s="12">
        <f t="shared" ref="J1474:J1537" si="233">F1474-H1474</f>
        <v>-6.6960000000000006</v>
      </c>
      <c r="K1474" s="17" t="str">
        <f t="shared" si="228"/>
        <v>Ecart négatif</v>
      </c>
      <c r="L1474" s="16">
        <f>base!X1474</f>
        <v>6.7</v>
      </c>
      <c r="M1474" s="11">
        <f t="shared" ref="M1474:M1537" si="234">L1474/D1474</f>
        <v>0.27016129032258063</v>
      </c>
      <c r="N1474" s="11">
        <f t="shared" ref="N1474:N1537" si="235">VLOOKUP(C1474,tout_cout_traction,3,FALSE)*D1474</f>
        <v>0</v>
      </c>
      <c r="O1474" s="11">
        <f t="shared" ref="O1474:O1537" si="236">N1474/D1474</f>
        <v>0</v>
      </c>
      <c r="P1474" s="12">
        <f t="shared" ref="P1474:P1537" si="237">L1474-N1474</f>
        <v>6.7</v>
      </c>
      <c r="Q1474" s="17" t="str">
        <f t="shared" si="229"/>
        <v>Ecart positif</v>
      </c>
      <c r="R1474" s="38"/>
    </row>
    <row r="1475" spans="1:18" x14ac:dyDescent="0.3">
      <c r="A1475" s="34" t="str">
        <f>base!J1475</f>
        <v>RS</v>
      </c>
      <c r="B1475" s="34" t="str">
        <f>base!V1475</f>
        <v>54200</v>
      </c>
      <c r="C1475" s="37">
        <v>54</v>
      </c>
      <c r="D1475" s="36">
        <f>base!H1475</f>
        <v>62.3</v>
      </c>
      <c r="E1475" s="44"/>
      <c r="F1475" s="16">
        <f>base!W1475</f>
        <v>0</v>
      </c>
      <c r="G1475" s="11">
        <f t="shared" si="230"/>
        <v>0</v>
      </c>
      <c r="H1475" s="11">
        <f t="shared" si="231"/>
        <v>15.574999999999999</v>
      </c>
      <c r="I1475" s="11">
        <f t="shared" si="232"/>
        <v>0.25</v>
      </c>
      <c r="J1475" s="12">
        <f t="shared" si="233"/>
        <v>-15.574999999999999</v>
      </c>
      <c r="K1475" s="17" t="str">
        <f t="shared" ref="K1475:K1538" si="238">IF(H1475=F1475,"Pas d'écart",IF(H1475&lt;F1475,"Ecart positif",IF(H1475&gt;F1475,"Ecart négatif")))</f>
        <v>Ecart négatif</v>
      </c>
      <c r="L1475" s="16">
        <f>base!X1475</f>
        <v>15.57</v>
      </c>
      <c r="M1475" s="11">
        <f t="shared" si="234"/>
        <v>0.24991974317817017</v>
      </c>
      <c r="N1475" s="11">
        <f t="shared" si="235"/>
        <v>15.574999999999999</v>
      </c>
      <c r="O1475" s="11">
        <f t="shared" si="236"/>
        <v>0.25</v>
      </c>
      <c r="P1475" s="12">
        <f t="shared" si="237"/>
        <v>-4.9999999999990052E-3</v>
      </c>
      <c r="Q1475" s="17" t="str">
        <f t="shared" ref="Q1475:Q1538" si="239">IF(N1475=L1475,"Pas d'écart",IF(N1475&lt;L1475,"Ecart positif",IF(N1475&gt;L1475,"Ecart négatif")))</f>
        <v>Ecart négatif</v>
      </c>
      <c r="R1475" s="38"/>
    </row>
    <row r="1476" spans="1:18" x14ac:dyDescent="0.3">
      <c r="A1476" s="34" t="str">
        <f>base!J1476</f>
        <v>DLM</v>
      </c>
      <c r="B1476" s="34" t="str">
        <f>base!V1476</f>
        <v>76600</v>
      </c>
      <c r="C1476" s="37">
        <v>76</v>
      </c>
      <c r="D1476" s="36">
        <f>base!H1476</f>
        <v>52.5</v>
      </c>
      <c r="E1476" s="44"/>
      <c r="F1476" s="16">
        <f>base!W1476</f>
        <v>0</v>
      </c>
      <c r="G1476" s="11">
        <f t="shared" si="230"/>
        <v>0</v>
      </c>
      <c r="H1476" s="11">
        <f t="shared" si="231"/>
        <v>8.9250000000000007</v>
      </c>
      <c r="I1476" s="11">
        <f t="shared" si="232"/>
        <v>0.17</v>
      </c>
      <c r="J1476" s="12">
        <f t="shared" si="233"/>
        <v>-8.9250000000000007</v>
      </c>
      <c r="K1476" s="17" t="str">
        <f t="shared" si="238"/>
        <v>Ecart négatif</v>
      </c>
      <c r="L1476" s="16">
        <f>base!X1476</f>
        <v>0</v>
      </c>
      <c r="M1476" s="11">
        <f t="shared" si="234"/>
        <v>0</v>
      </c>
      <c r="N1476" s="11">
        <f t="shared" si="235"/>
        <v>8.9250000000000007</v>
      </c>
      <c r="O1476" s="11">
        <f t="shared" si="236"/>
        <v>0.17</v>
      </c>
      <c r="P1476" s="12">
        <f t="shared" si="237"/>
        <v>-8.9250000000000007</v>
      </c>
      <c r="Q1476" s="17" t="str">
        <f t="shared" si="239"/>
        <v>Ecart négatif</v>
      </c>
    </row>
    <row r="1477" spans="1:18" x14ac:dyDescent="0.3">
      <c r="A1477" s="34" t="str">
        <f>base!J1477</f>
        <v>DLM</v>
      </c>
      <c r="B1477" s="34" t="str">
        <f>base!V1477</f>
        <v>67000</v>
      </c>
      <c r="C1477" s="37">
        <v>67</v>
      </c>
      <c r="D1477" s="36">
        <f>base!H1477</f>
        <v>52.5</v>
      </c>
      <c r="E1477" s="44"/>
      <c r="F1477" s="16">
        <f>base!W1477</f>
        <v>0</v>
      </c>
      <c r="G1477" s="11">
        <f t="shared" si="230"/>
        <v>0</v>
      </c>
      <c r="H1477" s="11">
        <f t="shared" si="231"/>
        <v>15.225</v>
      </c>
      <c r="I1477" s="11">
        <f t="shared" si="232"/>
        <v>0.28999999999999998</v>
      </c>
      <c r="J1477" s="12">
        <f t="shared" si="233"/>
        <v>-15.225</v>
      </c>
      <c r="K1477" s="17" t="str">
        <f t="shared" si="238"/>
        <v>Ecart négatif</v>
      </c>
      <c r="L1477" s="16">
        <f>base!X1477</f>
        <v>0</v>
      </c>
      <c r="M1477" s="11">
        <f t="shared" si="234"/>
        <v>0</v>
      </c>
      <c r="N1477" s="11">
        <f t="shared" si="235"/>
        <v>4.2</v>
      </c>
      <c r="O1477" s="11">
        <f t="shared" si="236"/>
        <v>0.08</v>
      </c>
      <c r="P1477" s="12">
        <f t="shared" si="237"/>
        <v>-4.2</v>
      </c>
      <c r="Q1477" s="17" t="str">
        <f t="shared" si="239"/>
        <v>Ecart négatif</v>
      </c>
    </row>
    <row r="1478" spans="1:18" x14ac:dyDescent="0.3">
      <c r="A1478" s="34" t="str">
        <f>base!J1478</f>
        <v>RM</v>
      </c>
      <c r="B1478" s="34" t="str">
        <f>base!V1478</f>
        <v>75004</v>
      </c>
      <c r="C1478" s="37">
        <v>75</v>
      </c>
      <c r="D1478" s="36">
        <f>base!H1478</f>
        <v>40</v>
      </c>
      <c r="E1478" s="44"/>
      <c r="F1478" s="16">
        <f>base!W1478</f>
        <v>0</v>
      </c>
      <c r="G1478" s="11">
        <f t="shared" si="230"/>
        <v>0</v>
      </c>
      <c r="H1478" s="11">
        <f t="shared" si="231"/>
        <v>0</v>
      </c>
      <c r="I1478" s="11">
        <f t="shared" si="232"/>
        <v>0</v>
      </c>
      <c r="J1478" s="12">
        <f t="shared" si="233"/>
        <v>0</v>
      </c>
      <c r="K1478" s="17" t="str">
        <f t="shared" si="238"/>
        <v>Pas d'écart</v>
      </c>
      <c r="L1478" s="16">
        <f>base!X1478</f>
        <v>0</v>
      </c>
      <c r="M1478" s="11">
        <f t="shared" si="234"/>
        <v>0</v>
      </c>
      <c r="N1478" s="11">
        <f t="shared" si="235"/>
        <v>0</v>
      </c>
      <c r="O1478" s="11">
        <f t="shared" si="236"/>
        <v>0</v>
      </c>
      <c r="P1478" s="12">
        <f t="shared" si="237"/>
        <v>0</v>
      </c>
      <c r="Q1478" s="17" t="str">
        <f t="shared" si="239"/>
        <v>Pas d'écart</v>
      </c>
    </row>
    <row r="1479" spans="1:18" x14ac:dyDescent="0.3">
      <c r="A1479" s="34" t="str">
        <f>base!J1479</f>
        <v>RM</v>
      </c>
      <c r="B1479" s="34" t="str">
        <f>base!V1479</f>
        <v>63500</v>
      </c>
      <c r="C1479" s="37">
        <v>63</v>
      </c>
      <c r="D1479" s="36">
        <f>base!H1479</f>
        <v>183</v>
      </c>
      <c r="E1479" s="44"/>
      <c r="F1479" s="16">
        <f>base!W1479</f>
        <v>0</v>
      </c>
      <c r="G1479" s="11">
        <f t="shared" si="230"/>
        <v>0</v>
      </c>
      <c r="H1479" s="11">
        <f t="shared" si="231"/>
        <v>53.069999999999993</v>
      </c>
      <c r="I1479" s="11">
        <f t="shared" si="232"/>
        <v>0.28999999999999998</v>
      </c>
      <c r="J1479" s="12">
        <f t="shared" si="233"/>
        <v>-53.069999999999993</v>
      </c>
      <c r="K1479" s="17" t="str">
        <f t="shared" si="238"/>
        <v>Ecart négatif</v>
      </c>
      <c r="L1479" s="16">
        <f>base!X1479</f>
        <v>0</v>
      </c>
      <c r="M1479" s="11">
        <f t="shared" si="234"/>
        <v>0</v>
      </c>
      <c r="N1479" s="11">
        <f t="shared" si="235"/>
        <v>21.96</v>
      </c>
      <c r="O1479" s="11">
        <f t="shared" si="236"/>
        <v>0.12000000000000001</v>
      </c>
      <c r="P1479" s="12">
        <f t="shared" si="237"/>
        <v>-21.96</v>
      </c>
      <c r="Q1479" s="17" t="str">
        <f t="shared" si="239"/>
        <v>Ecart négatif</v>
      </c>
    </row>
    <row r="1480" spans="1:18" x14ac:dyDescent="0.3">
      <c r="A1480" s="34" t="str">
        <f>base!J1480</f>
        <v>RS</v>
      </c>
      <c r="B1480" s="34" t="str">
        <f>base!V1480</f>
        <v>75009</v>
      </c>
      <c r="C1480" s="37">
        <v>75</v>
      </c>
      <c r="D1480" s="36">
        <f>base!H1480</f>
        <v>70</v>
      </c>
      <c r="E1480" s="44"/>
      <c r="F1480" s="16">
        <f>base!W1480</f>
        <v>0</v>
      </c>
      <c r="G1480" s="11">
        <f t="shared" si="230"/>
        <v>0</v>
      </c>
      <c r="H1480" s="11">
        <f t="shared" si="231"/>
        <v>0</v>
      </c>
      <c r="I1480" s="11">
        <f t="shared" si="232"/>
        <v>0</v>
      </c>
      <c r="J1480" s="12">
        <f t="shared" si="233"/>
        <v>0</v>
      </c>
      <c r="K1480" s="17" t="str">
        <f t="shared" si="238"/>
        <v>Pas d'écart</v>
      </c>
      <c r="L1480" s="16">
        <f>base!X1480</f>
        <v>0</v>
      </c>
      <c r="M1480" s="11">
        <f t="shared" si="234"/>
        <v>0</v>
      </c>
      <c r="N1480" s="11">
        <f t="shared" si="235"/>
        <v>0</v>
      </c>
      <c r="O1480" s="11">
        <f t="shared" si="236"/>
        <v>0</v>
      </c>
      <c r="P1480" s="12">
        <f t="shared" si="237"/>
        <v>0</v>
      </c>
      <c r="Q1480" s="17" t="str">
        <f t="shared" si="239"/>
        <v>Pas d'écart</v>
      </c>
    </row>
    <row r="1481" spans="1:18" x14ac:dyDescent="0.3">
      <c r="A1481" s="34" t="str">
        <f>base!J1481</f>
        <v>RM</v>
      </c>
      <c r="B1481" s="34" t="str">
        <f>base!V1481</f>
        <v>63390</v>
      </c>
      <c r="C1481" s="37">
        <v>63</v>
      </c>
      <c r="D1481" s="36">
        <f>base!H1481</f>
        <v>90</v>
      </c>
      <c r="E1481" s="44"/>
      <c r="F1481" s="16">
        <f>base!W1481</f>
        <v>0</v>
      </c>
      <c r="G1481" s="11">
        <f t="shared" si="230"/>
        <v>0</v>
      </c>
      <c r="H1481" s="11">
        <f t="shared" si="231"/>
        <v>26.099999999999998</v>
      </c>
      <c r="I1481" s="11">
        <f t="shared" si="232"/>
        <v>0.28999999999999998</v>
      </c>
      <c r="J1481" s="12">
        <f t="shared" si="233"/>
        <v>-26.099999999999998</v>
      </c>
      <c r="K1481" s="17" t="str">
        <f t="shared" si="238"/>
        <v>Ecart négatif</v>
      </c>
      <c r="L1481" s="16">
        <f>base!X1481</f>
        <v>10.8</v>
      </c>
      <c r="M1481" s="11">
        <f t="shared" si="234"/>
        <v>0.12000000000000001</v>
      </c>
      <c r="N1481" s="11">
        <f t="shared" si="235"/>
        <v>10.799999999999999</v>
      </c>
      <c r="O1481" s="11">
        <f t="shared" si="236"/>
        <v>0.11999999999999998</v>
      </c>
      <c r="P1481" s="12">
        <f t="shared" si="237"/>
        <v>0</v>
      </c>
      <c r="Q1481" s="17" t="str">
        <f t="shared" si="239"/>
        <v>Pas d'écart</v>
      </c>
      <c r="R1481" s="38"/>
    </row>
    <row r="1482" spans="1:18" x14ac:dyDescent="0.3">
      <c r="A1482" s="34" t="str">
        <f>base!J1482</f>
        <v>RM</v>
      </c>
      <c r="B1482" s="34" t="str">
        <f>base!V1482</f>
        <v>63390</v>
      </c>
      <c r="C1482" s="37">
        <v>63</v>
      </c>
      <c r="D1482" s="36">
        <f>base!H1482</f>
        <v>180.43</v>
      </c>
      <c r="E1482" s="44"/>
      <c r="F1482" s="16">
        <f>base!W1482</f>
        <v>0</v>
      </c>
      <c r="G1482" s="11">
        <f t="shared" si="230"/>
        <v>0</v>
      </c>
      <c r="H1482" s="11">
        <f t="shared" si="231"/>
        <v>52.3247</v>
      </c>
      <c r="I1482" s="11">
        <f t="shared" si="232"/>
        <v>0.28999999999999998</v>
      </c>
      <c r="J1482" s="12">
        <f t="shared" si="233"/>
        <v>-52.3247</v>
      </c>
      <c r="K1482" s="17" t="str">
        <f t="shared" si="238"/>
        <v>Ecart négatif</v>
      </c>
      <c r="L1482" s="16">
        <f>base!X1482</f>
        <v>21.65</v>
      </c>
      <c r="M1482" s="11">
        <f t="shared" si="234"/>
        <v>0.11999113229507287</v>
      </c>
      <c r="N1482" s="11">
        <f t="shared" si="235"/>
        <v>21.651599999999998</v>
      </c>
      <c r="O1482" s="11">
        <f t="shared" si="236"/>
        <v>0.11999999999999998</v>
      </c>
      <c r="P1482" s="12">
        <f t="shared" si="237"/>
        <v>-1.5999999999998238E-3</v>
      </c>
      <c r="Q1482" s="17" t="str">
        <f t="shared" si="239"/>
        <v>Ecart négatif</v>
      </c>
      <c r="R1482" s="38"/>
    </row>
    <row r="1483" spans="1:18" x14ac:dyDescent="0.3">
      <c r="A1483" s="34" t="str">
        <f>base!J1483</f>
        <v>RS</v>
      </c>
      <c r="B1483" s="34" t="str">
        <f>base!V1483</f>
        <v>44000</v>
      </c>
      <c r="C1483" s="37">
        <v>44</v>
      </c>
      <c r="D1483" s="36">
        <f>base!H1483</f>
        <v>193.58</v>
      </c>
      <c r="E1483" s="44"/>
      <c r="F1483" s="16">
        <f>base!W1483</f>
        <v>0</v>
      </c>
      <c r="G1483" s="11">
        <f t="shared" si="230"/>
        <v>0</v>
      </c>
      <c r="H1483" s="11">
        <f t="shared" si="231"/>
        <v>52.266600000000004</v>
      </c>
      <c r="I1483" s="11">
        <f t="shared" si="232"/>
        <v>0.27</v>
      </c>
      <c r="J1483" s="12">
        <f t="shared" si="233"/>
        <v>-52.266600000000004</v>
      </c>
      <c r="K1483" s="17" t="str">
        <f t="shared" si="238"/>
        <v>Ecart négatif</v>
      </c>
      <c r="L1483" s="16">
        <f>base!X1483</f>
        <v>0</v>
      </c>
      <c r="M1483" s="11">
        <f t="shared" si="234"/>
        <v>0</v>
      </c>
      <c r="N1483" s="11">
        <f t="shared" si="235"/>
        <v>0</v>
      </c>
      <c r="O1483" s="11">
        <f t="shared" si="236"/>
        <v>0</v>
      </c>
      <c r="P1483" s="12">
        <f t="shared" si="237"/>
        <v>0</v>
      </c>
      <c r="Q1483" s="17" t="str">
        <f t="shared" si="239"/>
        <v>Pas d'écart</v>
      </c>
    </row>
    <row r="1484" spans="1:18" x14ac:dyDescent="0.3">
      <c r="A1484" s="34">
        <f>base!J1484</f>
        <v>0</v>
      </c>
      <c r="B1484" s="34" t="str">
        <f>base!V1484</f>
        <v>77184</v>
      </c>
      <c r="C1484" s="37">
        <v>77</v>
      </c>
      <c r="D1484" s="36">
        <f>base!H1484</f>
        <v>25</v>
      </c>
      <c r="E1484" s="44"/>
      <c r="F1484" s="16">
        <f>base!W1484</f>
        <v>0</v>
      </c>
      <c r="G1484" s="11">
        <f t="shared" si="230"/>
        <v>0</v>
      </c>
      <c r="H1484" s="11">
        <f t="shared" si="231"/>
        <v>0</v>
      </c>
      <c r="I1484" s="11">
        <f t="shared" si="232"/>
        <v>0</v>
      </c>
      <c r="J1484" s="12">
        <f t="shared" si="233"/>
        <v>0</v>
      </c>
      <c r="K1484" s="17" t="str">
        <f t="shared" si="238"/>
        <v>Pas d'écart</v>
      </c>
      <c r="L1484" s="16">
        <f>base!X1484</f>
        <v>0</v>
      </c>
      <c r="M1484" s="11">
        <f t="shared" si="234"/>
        <v>0</v>
      </c>
      <c r="N1484" s="11">
        <f t="shared" si="235"/>
        <v>0</v>
      </c>
      <c r="O1484" s="11">
        <f t="shared" si="236"/>
        <v>0</v>
      </c>
      <c r="P1484" s="12">
        <f t="shared" si="237"/>
        <v>0</v>
      </c>
      <c r="Q1484" s="17" t="str">
        <f t="shared" si="239"/>
        <v>Pas d'écart</v>
      </c>
    </row>
    <row r="1485" spans="1:18" x14ac:dyDescent="0.3">
      <c r="A1485" s="34" t="str">
        <f>base!J1485</f>
        <v>RS</v>
      </c>
      <c r="B1485" s="34" t="str">
        <f>base!V1485</f>
        <v>75013</v>
      </c>
      <c r="C1485" s="37">
        <v>75</v>
      </c>
      <c r="D1485" s="36">
        <f>base!H1485</f>
        <v>149.58000000000001</v>
      </c>
      <c r="E1485" s="44"/>
      <c r="F1485" s="16">
        <f>base!W1485</f>
        <v>0</v>
      </c>
      <c r="G1485" s="11">
        <f t="shared" si="230"/>
        <v>0</v>
      </c>
      <c r="H1485" s="11">
        <f t="shared" si="231"/>
        <v>0</v>
      </c>
      <c r="I1485" s="11">
        <f t="shared" si="232"/>
        <v>0</v>
      </c>
      <c r="J1485" s="12">
        <f t="shared" si="233"/>
        <v>0</v>
      </c>
      <c r="K1485" s="17" t="str">
        <f t="shared" si="238"/>
        <v>Pas d'écart</v>
      </c>
      <c r="L1485" s="16">
        <f>base!X1485</f>
        <v>0</v>
      </c>
      <c r="M1485" s="11">
        <f t="shared" si="234"/>
        <v>0</v>
      </c>
      <c r="N1485" s="11">
        <f t="shared" si="235"/>
        <v>0</v>
      </c>
      <c r="O1485" s="11">
        <f t="shared" si="236"/>
        <v>0</v>
      </c>
      <c r="P1485" s="12">
        <f t="shared" si="237"/>
        <v>0</v>
      </c>
      <c r="Q1485" s="17" t="str">
        <f t="shared" si="239"/>
        <v>Pas d'écart</v>
      </c>
    </row>
    <row r="1486" spans="1:18" x14ac:dyDescent="0.3">
      <c r="A1486" s="34" t="str">
        <f>base!J1486</f>
        <v>RM</v>
      </c>
      <c r="B1486" s="34" t="str">
        <f>base!V1486</f>
        <v>67000</v>
      </c>
      <c r="C1486" s="37">
        <v>67</v>
      </c>
      <c r="D1486" s="36">
        <f>base!H1486</f>
        <v>140</v>
      </c>
      <c r="E1486" s="44"/>
      <c r="F1486" s="16">
        <f>base!W1486</f>
        <v>0</v>
      </c>
      <c r="G1486" s="11">
        <f t="shared" si="230"/>
        <v>0</v>
      </c>
      <c r="H1486" s="11">
        <f t="shared" si="231"/>
        <v>40.599999999999994</v>
      </c>
      <c r="I1486" s="11">
        <f t="shared" si="232"/>
        <v>0.28999999999999998</v>
      </c>
      <c r="J1486" s="12">
        <f t="shared" si="233"/>
        <v>-40.599999999999994</v>
      </c>
      <c r="K1486" s="17" t="str">
        <f t="shared" si="238"/>
        <v>Ecart négatif</v>
      </c>
      <c r="L1486" s="16">
        <f>base!X1486</f>
        <v>0</v>
      </c>
      <c r="M1486" s="11">
        <f t="shared" si="234"/>
        <v>0</v>
      </c>
      <c r="N1486" s="11">
        <f t="shared" si="235"/>
        <v>11.200000000000001</v>
      </c>
      <c r="O1486" s="11">
        <f t="shared" si="236"/>
        <v>0.08</v>
      </c>
      <c r="P1486" s="12">
        <f t="shared" si="237"/>
        <v>-11.200000000000001</v>
      </c>
      <c r="Q1486" s="17" t="str">
        <f t="shared" si="239"/>
        <v>Ecart négatif</v>
      </c>
    </row>
    <row r="1487" spans="1:18" x14ac:dyDescent="0.3">
      <c r="A1487" s="34" t="str">
        <f>base!J1487</f>
        <v>RS</v>
      </c>
      <c r="B1487" s="34" t="str">
        <f>base!V1487</f>
        <v>72470</v>
      </c>
      <c r="C1487" s="37">
        <v>72</v>
      </c>
      <c r="D1487" s="36">
        <f>base!H1487</f>
        <v>70</v>
      </c>
      <c r="E1487" s="44"/>
      <c r="F1487" s="16">
        <f>base!W1487</f>
        <v>0</v>
      </c>
      <c r="G1487" s="11">
        <f t="shared" si="230"/>
        <v>0</v>
      </c>
      <c r="H1487" s="11">
        <f t="shared" si="231"/>
        <v>14.7</v>
      </c>
      <c r="I1487" s="11">
        <f t="shared" si="232"/>
        <v>0.21</v>
      </c>
      <c r="J1487" s="12">
        <f t="shared" si="233"/>
        <v>-14.7</v>
      </c>
      <c r="K1487" s="17" t="str">
        <f t="shared" si="238"/>
        <v>Ecart négatif</v>
      </c>
      <c r="L1487" s="16">
        <f>base!X1487</f>
        <v>0</v>
      </c>
      <c r="M1487" s="11">
        <f t="shared" si="234"/>
        <v>0</v>
      </c>
      <c r="N1487" s="11">
        <f t="shared" si="235"/>
        <v>8.4</v>
      </c>
      <c r="O1487" s="11">
        <f t="shared" si="236"/>
        <v>0.12000000000000001</v>
      </c>
      <c r="P1487" s="12">
        <f t="shared" si="237"/>
        <v>-8.4</v>
      </c>
      <c r="Q1487" s="17" t="str">
        <f t="shared" si="239"/>
        <v>Ecart négatif</v>
      </c>
    </row>
    <row r="1488" spans="1:18" x14ac:dyDescent="0.3">
      <c r="A1488" s="34" t="str">
        <f>base!J1488</f>
        <v>DLM</v>
      </c>
      <c r="B1488" s="34" t="str">
        <f>base!V1488</f>
        <v>63100</v>
      </c>
      <c r="C1488" s="37">
        <v>63</v>
      </c>
      <c r="D1488" s="36">
        <f>base!H1488</f>
        <v>142.44999999999999</v>
      </c>
      <c r="E1488" s="44"/>
      <c r="F1488" s="16">
        <f>base!W1488</f>
        <v>0</v>
      </c>
      <c r="G1488" s="11">
        <f t="shared" si="230"/>
        <v>0</v>
      </c>
      <c r="H1488" s="11">
        <f t="shared" si="231"/>
        <v>41.31049999999999</v>
      </c>
      <c r="I1488" s="11">
        <f t="shared" si="232"/>
        <v>0.28999999999999998</v>
      </c>
      <c r="J1488" s="12">
        <f t="shared" si="233"/>
        <v>-41.31049999999999</v>
      </c>
      <c r="K1488" s="17" t="str">
        <f t="shared" si="238"/>
        <v>Ecart négatif</v>
      </c>
      <c r="L1488" s="16">
        <f>base!X1488</f>
        <v>0</v>
      </c>
      <c r="M1488" s="11">
        <f t="shared" si="234"/>
        <v>0</v>
      </c>
      <c r="N1488" s="11">
        <f t="shared" si="235"/>
        <v>17.093999999999998</v>
      </c>
      <c r="O1488" s="11">
        <f t="shared" si="236"/>
        <v>0.12</v>
      </c>
      <c r="P1488" s="12">
        <f t="shared" si="237"/>
        <v>-17.093999999999998</v>
      </c>
      <c r="Q1488" s="17" t="str">
        <f t="shared" si="239"/>
        <v>Ecart négatif</v>
      </c>
    </row>
    <row r="1489" spans="1:18" x14ac:dyDescent="0.3">
      <c r="A1489" s="34">
        <f>base!J1489</f>
        <v>0</v>
      </c>
      <c r="B1489" s="34" t="str">
        <f>base!V1489</f>
        <v>77184</v>
      </c>
      <c r="C1489" s="37">
        <v>77</v>
      </c>
      <c r="D1489" s="36">
        <f>base!H1489</f>
        <v>10</v>
      </c>
      <c r="E1489" s="44"/>
      <c r="F1489" s="16">
        <f>base!W1489</f>
        <v>0</v>
      </c>
      <c r="G1489" s="11">
        <f t="shared" si="230"/>
        <v>0</v>
      </c>
      <c r="H1489" s="11">
        <f t="shared" si="231"/>
        <v>0</v>
      </c>
      <c r="I1489" s="11">
        <f t="shared" si="232"/>
        <v>0</v>
      </c>
      <c r="J1489" s="12">
        <f t="shared" si="233"/>
        <v>0</v>
      </c>
      <c r="K1489" s="17" t="str">
        <f t="shared" si="238"/>
        <v>Pas d'écart</v>
      </c>
      <c r="L1489" s="16">
        <f>base!X1489</f>
        <v>0</v>
      </c>
      <c r="M1489" s="11">
        <f t="shared" si="234"/>
        <v>0</v>
      </c>
      <c r="N1489" s="11">
        <f t="shared" si="235"/>
        <v>0</v>
      </c>
      <c r="O1489" s="11">
        <f t="shared" si="236"/>
        <v>0</v>
      </c>
      <c r="P1489" s="12">
        <f t="shared" si="237"/>
        <v>0</v>
      </c>
      <c r="Q1489" s="17" t="str">
        <f t="shared" si="239"/>
        <v>Pas d'écart</v>
      </c>
    </row>
    <row r="1490" spans="1:18" x14ac:dyDescent="0.3">
      <c r="A1490" s="34" t="str">
        <f>base!J1490</f>
        <v>LS</v>
      </c>
      <c r="B1490" s="34" t="str">
        <f>base!V1490</f>
        <v>27000</v>
      </c>
      <c r="C1490" s="37">
        <v>59</v>
      </c>
      <c r="D1490" s="36">
        <f>base!H1490</f>
        <v>55.36</v>
      </c>
      <c r="E1490" s="44"/>
      <c r="F1490" s="16">
        <f>base!W1490</f>
        <v>9.41</v>
      </c>
      <c r="G1490" s="11">
        <f t="shared" si="230"/>
        <v>0.16997832369942198</v>
      </c>
      <c r="H1490" s="11">
        <f t="shared" si="231"/>
        <v>10.5184</v>
      </c>
      <c r="I1490" s="11">
        <f t="shared" si="232"/>
        <v>0.19</v>
      </c>
      <c r="J1490" s="12">
        <f t="shared" si="233"/>
        <v>-1.1083999999999996</v>
      </c>
      <c r="K1490" s="17" t="str">
        <f t="shared" si="238"/>
        <v>Ecart négatif</v>
      </c>
      <c r="L1490" s="16">
        <f>base!X1490</f>
        <v>0</v>
      </c>
      <c r="M1490" s="11">
        <f t="shared" si="234"/>
        <v>0</v>
      </c>
      <c r="N1490" s="11">
        <f t="shared" si="235"/>
        <v>0</v>
      </c>
      <c r="O1490" s="11">
        <f t="shared" si="236"/>
        <v>0</v>
      </c>
      <c r="P1490" s="12">
        <f t="shared" si="237"/>
        <v>0</v>
      </c>
      <c r="Q1490" s="17" t="str">
        <f t="shared" si="239"/>
        <v>Pas d'écart</v>
      </c>
    </row>
    <row r="1491" spans="1:18" x14ac:dyDescent="0.3">
      <c r="A1491" s="34" t="str">
        <f>base!J1491</f>
        <v>LS</v>
      </c>
      <c r="B1491" s="34" t="str">
        <f>base!V1491</f>
        <v>86962</v>
      </c>
      <c r="C1491" s="37">
        <v>62</v>
      </c>
      <c r="D1491" s="36">
        <f>base!H1491</f>
        <v>148.44999999999999</v>
      </c>
      <c r="E1491" s="44"/>
      <c r="F1491" s="16">
        <f>base!W1491</f>
        <v>31.17</v>
      </c>
      <c r="G1491" s="11">
        <f t="shared" si="230"/>
        <v>0.20996968676321998</v>
      </c>
      <c r="H1491" s="11">
        <f t="shared" si="231"/>
        <v>28.205499999999997</v>
      </c>
      <c r="I1491" s="11">
        <f t="shared" si="232"/>
        <v>0.19</v>
      </c>
      <c r="J1491" s="12">
        <f t="shared" si="233"/>
        <v>2.9645000000000046</v>
      </c>
      <c r="K1491" s="17" t="str">
        <f t="shared" si="238"/>
        <v>Ecart positif</v>
      </c>
      <c r="L1491" s="16">
        <f>base!X1491</f>
        <v>0</v>
      </c>
      <c r="M1491" s="11">
        <f t="shared" si="234"/>
        <v>0</v>
      </c>
      <c r="N1491" s="11">
        <f t="shared" si="235"/>
        <v>0</v>
      </c>
      <c r="O1491" s="11">
        <f t="shared" si="236"/>
        <v>0</v>
      </c>
      <c r="P1491" s="12">
        <f t="shared" si="237"/>
        <v>0</v>
      </c>
      <c r="Q1491" s="17" t="str">
        <f t="shared" si="239"/>
        <v>Pas d'écart</v>
      </c>
    </row>
    <row r="1492" spans="1:18" x14ac:dyDescent="0.3">
      <c r="A1492" s="34" t="str">
        <f>base!J1492</f>
        <v>RM</v>
      </c>
      <c r="B1492" s="34" t="str">
        <f>base!V1492</f>
        <v>56400</v>
      </c>
      <c r="C1492" s="37">
        <v>56</v>
      </c>
      <c r="D1492" s="36">
        <f>base!H1492</f>
        <v>140</v>
      </c>
      <c r="E1492" s="44"/>
      <c r="F1492" s="16">
        <f>base!W1492</f>
        <v>0</v>
      </c>
      <c r="G1492" s="11">
        <f t="shared" si="230"/>
        <v>0</v>
      </c>
      <c r="H1492" s="11">
        <f t="shared" si="231"/>
        <v>37.800000000000004</v>
      </c>
      <c r="I1492" s="11">
        <f t="shared" si="232"/>
        <v>0.27</v>
      </c>
      <c r="J1492" s="12">
        <f t="shared" si="233"/>
        <v>-37.800000000000004</v>
      </c>
      <c r="K1492" s="17" t="str">
        <f t="shared" si="238"/>
        <v>Ecart négatif</v>
      </c>
      <c r="L1492" s="16">
        <f>base!X1492</f>
        <v>0</v>
      </c>
      <c r="M1492" s="11">
        <f t="shared" si="234"/>
        <v>0</v>
      </c>
      <c r="N1492" s="11">
        <f t="shared" si="235"/>
        <v>0</v>
      </c>
      <c r="O1492" s="11">
        <f t="shared" si="236"/>
        <v>0</v>
      </c>
      <c r="P1492" s="12">
        <f t="shared" si="237"/>
        <v>0</v>
      </c>
      <c r="Q1492" s="17" t="str">
        <f t="shared" si="239"/>
        <v>Pas d'écart</v>
      </c>
    </row>
    <row r="1493" spans="1:18" x14ac:dyDescent="0.3">
      <c r="A1493" s="34" t="str">
        <f>base!J1493</f>
        <v>RS</v>
      </c>
      <c r="B1493" s="34" t="str">
        <f>base!V1493</f>
        <v>34500</v>
      </c>
      <c r="C1493" s="37">
        <v>34</v>
      </c>
      <c r="D1493" s="36">
        <f>base!H1493</f>
        <v>34.24</v>
      </c>
      <c r="E1493" s="44"/>
      <c r="F1493" s="16">
        <f>base!W1493</f>
        <v>0</v>
      </c>
      <c r="G1493" s="11">
        <f t="shared" si="230"/>
        <v>0</v>
      </c>
      <c r="H1493" s="11">
        <f t="shared" si="231"/>
        <v>13.353600000000002</v>
      </c>
      <c r="I1493" s="11">
        <f t="shared" si="232"/>
        <v>0.39</v>
      </c>
      <c r="J1493" s="12">
        <f t="shared" si="233"/>
        <v>-13.353600000000002</v>
      </c>
      <c r="K1493" s="17" t="str">
        <f t="shared" si="238"/>
        <v>Ecart négatif</v>
      </c>
      <c r="L1493" s="16">
        <f>base!X1493</f>
        <v>18.829999999999998</v>
      </c>
      <c r="M1493" s="11">
        <f t="shared" si="234"/>
        <v>0.54994158878504662</v>
      </c>
      <c r="N1493" s="11">
        <f t="shared" si="235"/>
        <v>9.5872000000000011</v>
      </c>
      <c r="O1493" s="11">
        <f t="shared" si="236"/>
        <v>0.28000000000000003</v>
      </c>
      <c r="P1493" s="12">
        <f t="shared" si="237"/>
        <v>9.2427999999999972</v>
      </c>
      <c r="Q1493" s="17" t="str">
        <f t="shared" si="239"/>
        <v>Ecart positif</v>
      </c>
      <c r="R1493" s="38"/>
    </row>
    <row r="1494" spans="1:18" x14ac:dyDescent="0.3">
      <c r="A1494" s="34" t="str">
        <f>base!J1494</f>
        <v>LM</v>
      </c>
      <c r="B1494" s="34" t="str">
        <f>base!V1494</f>
        <v>71380</v>
      </c>
      <c r="C1494" s="37">
        <v>80</v>
      </c>
      <c r="D1494" s="36">
        <f>base!H1494</f>
        <v>20.23</v>
      </c>
      <c r="E1494" s="44"/>
      <c r="F1494" s="16">
        <f>base!W1494</f>
        <v>5.46</v>
      </c>
      <c r="G1494" s="11">
        <f t="shared" si="230"/>
        <v>0.26989619377162627</v>
      </c>
      <c r="H1494" s="11">
        <f t="shared" si="231"/>
        <v>3.8437000000000001</v>
      </c>
      <c r="I1494" s="11">
        <f t="shared" si="232"/>
        <v>0.19</v>
      </c>
      <c r="J1494" s="12">
        <f t="shared" si="233"/>
        <v>1.6162999999999998</v>
      </c>
      <c r="K1494" s="17" t="str">
        <f t="shared" si="238"/>
        <v>Ecart positif</v>
      </c>
      <c r="L1494" s="16">
        <f>base!X1494</f>
        <v>0</v>
      </c>
      <c r="M1494" s="11">
        <f t="shared" si="234"/>
        <v>0</v>
      </c>
      <c r="N1494" s="11">
        <f t="shared" si="235"/>
        <v>0</v>
      </c>
      <c r="O1494" s="11">
        <f t="shared" si="236"/>
        <v>0</v>
      </c>
      <c r="P1494" s="12">
        <f t="shared" si="237"/>
        <v>0</v>
      </c>
      <c r="Q1494" s="17" t="str">
        <f t="shared" si="239"/>
        <v>Pas d'écart</v>
      </c>
    </row>
    <row r="1495" spans="1:18" x14ac:dyDescent="0.3">
      <c r="A1495" s="34" t="str">
        <f>base!J1495</f>
        <v>LM</v>
      </c>
      <c r="B1495" s="34" t="str">
        <f>base!V1495</f>
        <v>75008</v>
      </c>
      <c r="C1495" s="37">
        <v>75</v>
      </c>
      <c r="D1495" s="36">
        <f>base!H1495</f>
        <v>185.92</v>
      </c>
      <c r="E1495" s="44"/>
      <c r="F1495" s="16">
        <f>base!W1495</f>
        <v>0</v>
      </c>
      <c r="G1495" s="11">
        <f t="shared" si="230"/>
        <v>0</v>
      </c>
      <c r="H1495" s="11">
        <f t="shared" si="231"/>
        <v>0</v>
      </c>
      <c r="I1495" s="11">
        <f t="shared" si="232"/>
        <v>0</v>
      </c>
      <c r="J1495" s="12">
        <f t="shared" si="233"/>
        <v>0</v>
      </c>
      <c r="K1495" s="17" t="str">
        <f t="shared" si="238"/>
        <v>Pas d'écart</v>
      </c>
      <c r="L1495" s="16">
        <f>base!X1495</f>
        <v>0</v>
      </c>
      <c r="M1495" s="11">
        <f t="shared" si="234"/>
        <v>0</v>
      </c>
      <c r="N1495" s="11">
        <f t="shared" si="235"/>
        <v>0</v>
      </c>
      <c r="O1495" s="11">
        <f t="shared" si="236"/>
        <v>0</v>
      </c>
      <c r="P1495" s="12">
        <f t="shared" si="237"/>
        <v>0</v>
      </c>
      <c r="Q1495" s="17" t="str">
        <f t="shared" si="239"/>
        <v>Pas d'écart</v>
      </c>
    </row>
    <row r="1496" spans="1:18" x14ac:dyDescent="0.3">
      <c r="A1496" s="34" t="str">
        <f>base!J1496</f>
        <v>LM</v>
      </c>
      <c r="B1496" s="34" t="str">
        <f>base!V1496</f>
        <v>56920</v>
      </c>
      <c r="C1496" s="37">
        <v>59</v>
      </c>
      <c r="D1496" s="36">
        <f>base!H1496</f>
        <v>49.08</v>
      </c>
      <c r="E1496" s="44"/>
      <c r="F1496" s="16">
        <f>base!W1496</f>
        <v>13.25</v>
      </c>
      <c r="G1496" s="11">
        <f t="shared" si="230"/>
        <v>0.26996740016299919</v>
      </c>
      <c r="H1496" s="11">
        <f t="shared" si="231"/>
        <v>9.3252000000000006</v>
      </c>
      <c r="I1496" s="11">
        <f t="shared" si="232"/>
        <v>0.19000000000000003</v>
      </c>
      <c r="J1496" s="12">
        <f t="shared" si="233"/>
        <v>3.9247999999999994</v>
      </c>
      <c r="K1496" s="17" t="str">
        <f t="shared" si="238"/>
        <v>Ecart positif</v>
      </c>
      <c r="L1496" s="16">
        <f>base!X1496</f>
        <v>0</v>
      </c>
      <c r="M1496" s="11">
        <f t="shared" si="234"/>
        <v>0</v>
      </c>
      <c r="N1496" s="11">
        <f t="shared" si="235"/>
        <v>0</v>
      </c>
      <c r="O1496" s="11">
        <f t="shared" si="236"/>
        <v>0</v>
      </c>
      <c r="P1496" s="12">
        <f t="shared" si="237"/>
        <v>0</v>
      </c>
      <c r="Q1496" s="17" t="str">
        <f t="shared" si="239"/>
        <v>Pas d'écart</v>
      </c>
    </row>
    <row r="1497" spans="1:18" x14ac:dyDescent="0.3">
      <c r="A1497" s="34" t="str">
        <f>base!J1497</f>
        <v>LM</v>
      </c>
      <c r="B1497" s="34" t="str">
        <f>base!V1497</f>
        <v>68520</v>
      </c>
      <c r="C1497" s="37">
        <v>68</v>
      </c>
      <c r="D1497" s="36">
        <f>base!H1497</f>
        <v>40</v>
      </c>
      <c r="E1497" s="44"/>
      <c r="F1497" s="16">
        <f>base!W1497</f>
        <v>11.6</v>
      </c>
      <c r="G1497" s="11">
        <f t="shared" si="230"/>
        <v>0.28999999999999998</v>
      </c>
      <c r="H1497" s="11">
        <f t="shared" si="231"/>
        <v>11.6</v>
      </c>
      <c r="I1497" s="11">
        <f t="shared" si="232"/>
        <v>0.28999999999999998</v>
      </c>
      <c r="J1497" s="12">
        <f t="shared" si="233"/>
        <v>0</v>
      </c>
      <c r="K1497" s="17" t="str">
        <f t="shared" si="238"/>
        <v>Pas d'écart</v>
      </c>
      <c r="L1497" s="16">
        <f>base!X1497</f>
        <v>0</v>
      </c>
      <c r="M1497" s="11">
        <f t="shared" si="234"/>
        <v>0</v>
      </c>
      <c r="N1497" s="11">
        <f t="shared" si="235"/>
        <v>3.2</v>
      </c>
      <c r="O1497" s="11">
        <f t="shared" si="236"/>
        <v>0.08</v>
      </c>
      <c r="P1497" s="12">
        <f t="shared" si="237"/>
        <v>-3.2</v>
      </c>
      <c r="Q1497" s="17" t="str">
        <f t="shared" si="239"/>
        <v>Ecart négatif</v>
      </c>
    </row>
    <row r="1498" spans="1:18" x14ac:dyDescent="0.3">
      <c r="A1498" s="34" t="str">
        <f>base!J1498</f>
        <v>RM</v>
      </c>
      <c r="B1498" s="34" t="str">
        <f>base!V1498</f>
        <v>93013</v>
      </c>
      <c r="C1498" s="37">
        <v>93</v>
      </c>
      <c r="D1498" s="36">
        <f>base!H1498</f>
        <v>68</v>
      </c>
      <c r="E1498" s="44"/>
      <c r="F1498" s="16">
        <f>base!W1498</f>
        <v>0</v>
      </c>
      <c r="G1498" s="11">
        <f t="shared" si="230"/>
        <v>0</v>
      </c>
      <c r="H1498" s="11">
        <f t="shared" si="231"/>
        <v>0</v>
      </c>
      <c r="I1498" s="11">
        <f t="shared" si="232"/>
        <v>0</v>
      </c>
      <c r="J1498" s="12">
        <f t="shared" si="233"/>
        <v>0</v>
      </c>
      <c r="K1498" s="17" t="str">
        <f t="shared" si="238"/>
        <v>Pas d'écart</v>
      </c>
      <c r="L1498" s="16">
        <f>base!X1498</f>
        <v>0</v>
      </c>
      <c r="M1498" s="11">
        <f t="shared" si="234"/>
        <v>0</v>
      </c>
      <c r="N1498" s="11">
        <f t="shared" si="235"/>
        <v>0</v>
      </c>
      <c r="O1498" s="11">
        <f t="shared" si="236"/>
        <v>0</v>
      </c>
      <c r="P1498" s="12">
        <f t="shared" si="237"/>
        <v>0</v>
      </c>
      <c r="Q1498" s="17" t="str">
        <f t="shared" si="239"/>
        <v>Pas d'écart</v>
      </c>
    </row>
    <row r="1499" spans="1:18" x14ac:dyDescent="0.3">
      <c r="A1499" s="34">
        <f>base!J1499</f>
        <v>0</v>
      </c>
      <c r="B1499" s="34" t="str">
        <f>base!V1499</f>
        <v>77184</v>
      </c>
      <c r="C1499" s="37">
        <v>77</v>
      </c>
      <c r="D1499" s="36">
        <f>base!H1499</f>
        <v>84.5</v>
      </c>
      <c r="E1499" s="44"/>
      <c r="F1499" s="16">
        <f>base!W1499</f>
        <v>0</v>
      </c>
      <c r="G1499" s="11">
        <f t="shared" si="230"/>
        <v>0</v>
      </c>
      <c r="H1499" s="11">
        <f t="shared" si="231"/>
        <v>0</v>
      </c>
      <c r="I1499" s="11">
        <f t="shared" si="232"/>
        <v>0</v>
      </c>
      <c r="J1499" s="12">
        <f t="shared" si="233"/>
        <v>0</v>
      </c>
      <c r="K1499" s="17" t="str">
        <f t="shared" si="238"/>
        <v>Pas d'écart</v>
      </c>
      <c r="L1499" s="16">
        <f>base!X1499</f>
        <v>0</v>
      </c>
      <c r="M1499" s="11">
        <f t="shared" si="234"/>
        <v>0</v>
      </c>
      <c r="N1499" s="11">
        <f t="shared" si="235"/>
        <v>0</v>
      </c>
      <c r="O1499" s="11">
        <f t="shared" si="236"/>
        <v>0</v>
      </c>
      <c r="P1499" s="12">
        <f t="shared" si="237"/>
        <v>0</v>
      </c>
      <c r="Q1499" s="17" t="str">
        <f t="shared" si="239"/>
        <v>Pas d'écart</v>
      </c>
    </row>
    <row r="1500" spans="1:18" x14ac:dyDescent="0.3">
      <c r="A1500" s="34" t="str">
        <f>base!J1500</f>
        <v>LM</v>
      </c>
      <c r="B1500" s="34" t="str">
        <f>base!V1500</f>
        <v>14000</v>
      </c>
      <c r="C1500" s="37">
        <v>59</v>
      </c>
      <c r="D1500" s="36">
        <f>base!H1500</f>
        <v>18.350000000000001</v>
      </c>
      <c r="E1500" s="44"/>
      <c r="F1500" s="16">
        <f>base!W1500</f>
        <v>3.12</v>
      </c>
      <c r="G1500" s="11">
        <f t="shared" si="230"/>
        <v>0.17002724795640325</v>
      </c>
      <c r="H1500" s="11">
        <f t="shared" si="231"/>
        <v>3.4865000000000004</v>
      </c>
      <c r="I1500" s="11">
        <f t="shared" si="232"/>
        <v>0.19</v>
      </c>
      <c r="J1500" s="12">
        <f t="shared" si="233"/>
        <v>-0.36650000000000027</v>
      </c>
      <c r="K1500" s="17" t="str">
        <f t="shared" si="238"/>
        <v>Ecart négatif</v>
      </c>
      <c r="L1500" s="16">
        <f>base!X1500</f>
        <v>0</v>
      </c>
      <c r="M1500" s="11">
        <f t="shared" si="234"/>
        <v>0</v>
      </c>
      <c r="N1500" s="11">
        <f t="shared" si="235"/>
        <v>0</v>
      </c>
      <c r="O1500" s="11">
        <f t="shared" si="236"/>
        <v>0</v>
      </c>
      <c r="P1500" s="12">
        <f t="shared" si="237"/>
        <v>0</v>
      </c>
      <c r="Q1500" s="17" t="str">
        <f t="shared" si="239"/>
        <v>Pas d'écart</v>
      </c>
    </row>
    <row r="1501" spans="1:18" x14ac:dyDescent="0.3">
      <c r="A1501" s="34" t="str">
        <f>base!J1501</f>
        <v>LM</v>
      </c>
      <c r="B1501" s="34" t="str">
        <f>base!V1501</f>
        <v>62740</v>
      </c>
      <c r="C1501" s="37">
        <v>59</v>
      </c>
      <c r="D1501" s="36">
        <f>base!H1501</f>
        <v>23.75</v>
      </c>
      <c r="E1501" s="44"/>
      <c r="F1501" s="16">
        <f>base!W1501</f>
        <v>4.51</v>
      </c>
      <c r="G1501" s="11">
        <f t="shared" si="230"/>
        <v>0.18989473684210526</v>
      </c>
      <c r="H1501" s="11">
        <f t="shared" si="231"/>
        <v>4.5125000000000002</v>
      </c>
      <c r="I1501" s="11">
        <f t="shared" si="232"/>
        <v>0.19</v>
      </c>
      <c r="J1501" s="12">
        <f t="shared" si="233"/>
        <v>-2.5000000000003908E-3</v>
      </c>
      <c r="K1501" s="17" t="str">
        <f t="shared" si="238"/>
        <v>Ecart négatif</v>
      </c>
      <c r="L1501" s="16">
        <f>base!X1501</f>
        <v>0</v>
      </c>
      <c r="M1501" s="11">
        <f t="shared" si="234"/>
        <v>0</v>
      </c>
      <c r="N1501" s="11">
        <f t="shared" si="235"/>
        <v>0</v>
      </c>
      <c r="O1501" s="11">
        <f t="shared" si="236"/>
        <v>0</v>
      </c>
      <c r="P1501" s="12">
        <f t="shared" si="237"/>
        <v>0</v>
      </c>
      <c r="Q1501" s="17" t="str">
        <f t="shared" si="239"/>
        <v>Pas d'écart</v>
      </c>
    </row>
    <row r="1502" spans="1:18" x14ac:dyDescent="0.3">
      <c r="A1502" s="34" t="str">
        <f>base!J1502</f>
        <v>LS</v>
      </c>
      <c r="B1502" s="34" t="str">
        <f>base!V1502</f>
        <v>10600</v>
      </c>
      <c r="C1502" s="37">
        <v>62</v>
      </c>
      <c r="D1502" s="36">
        <f>base!H1502</f>
        <v>138.12</v>
      </c>
      <c r="E1502" s="44"/>
      <c r="F1502" s="16">
        <f>base!W1502</f>
        <v>33.15</v>
      </c>
      <c r="G1502" s="11">
        <f t="shared" si="230"/>
        <v>0.24000868809730666</v>
      </c>
      <c r="H1502" s="11">
        <f t="shared" si="231"/>
        <v>26.242800000000003</v>
      </c>
      <c r="I1502" s="11">
        <f t="shared" si="232"/>
        <v>0.19</v>
      </c>
      <c r="J1502" s="12">
        <f t="shared" si="233"/>
        <v>6.907199999999996</v>
      </c>
      <c r="K1502" s="17" t="str">
        <f t="shared" si="238"/>
        <v>Ecart positif</v>
      </c>
      <c r="L1502" s="16">
        <f>base!X1502</f>
        <v>0</v>
      </c>
      <c r="M1502" s="11">
        <f t="shared" si="234"/>
        <v>0</v>
      </c>
      <c r="N1502" s="11">
        <f t="shared" si="235"/>
        <v>0</v>
      </c>
      <c r="O1502" s="11">
        <f t="shared" si="236"/>
        <v>0</v>
      </c>
      <c r="P1502" s="12">
        <f t="shared" si="237"/>
        <v>0</v>
      </c>
      <c r="Q1502" s="17" t="str">
        <f t="shared" si="239"/>
        <v>Pas d'écart</v>
      </c>
    </row>
    <row r="1503" spans="1:18" x14ac:dyDescent="0.3">
      <c r="A1503" s="34" t="str">
        <f>base!J1503</f>
        <v>RS</v>
      </c>
      <c r="B1503" s="34" t="str">
        <f>base!V1503</f>
        <v>29260</v>
      </c>
      <c r="C1503" s="37">
        <v>29</v>
      </c>
      <c r="D1503" s="36">
        <f>base!H1503</f>
        <v>151</v>
      </c>
      <c r="E1503" s="44"/>
      <c r="F1503" s="16">
        <f>base!W1503</f>
        <v>0</v>
      </c>
      <c r="G1503" s="11">
        <f t="shared" si="230"/>
        <v>0</v>
      </c>
      <c r="H1503" s="11">
        <f t="shared" si="231"/>
        <v>58.89</v>
      </c>
      <c r="I1503" s="11">
        <f t="shared" si="232"/>
        <v>0.39</v>
      </c>
      <c r="J1503" s="12">
        <f t="shared" si="233"/>
        <v>-58.89</v>
      </c>
      <c r="K1503" s="17" t="str">
        <f t="shared" si="238"/>
        <v>Ecart négatif</v>
      </c>
      <c r="L1503" s="16">
        <f>base!X1503</f>
        <v>0</v>
      </c>
      <c r="M1503" s="11">
        <f t="shared" si="234"/>
        <v>0</v>
      </c>
      <c r="N1503" s="11">
        <f t="shared" si="235"/>
        <v>18.12</v>
      </c>
      <c r="O1503" s="11">
        <f t="shared" si="236"/>
        <v>0.12000000000000001</v>
      </c>
      <c r="P1503" s="12">
        <f t="shared" si="237"/>
        <v>-18.12</v>
      </c>
      <c r="Q1503" s="17" t="str">
        <f t="shared" si="239"/>
        <v>Ecart négatif</v>
      </c>
    </row>
    <row r="1504" spans="1:18" x14ac:dyDescent="0.3">
      <c r="A1504" s="34" t="str">
        <f>base!J1504</f>
        <v>DRS</v>
      </c>
      <c r="B1504" s="34" t="str">
        <f>base!V1504</f>
        <v>86320</v>
      </c>
      <c r="C1504" s="37">
        <v>86</v>
      </c>
      <c r="D1504" s="36">
        <f>base!H1504</f>
        <v>180</v>
      </c>
      <c r="E1504" s="44"/>
      <c r="F1504" s="16">
        <f>base!W1504</f>
        <v>0</v>
      </c>
      <c r="G1504" s="11">
        <f t="shared" si="230"/>
        <v>0</v>
      </c>
      <c r="H1504" s="11">
        <f t="shared" si="231"/>
        <v>37.799999999999997</v>
      </c>
      <c r="I1504" s="11">
        <f t="shared" si="232"/>
        <v>0.21</v>
      </c>
      <c r="J1504" s="12">
        <f t="shared" si="233"/>
        <v>-37.799999999999997</v>
      </c>
      <c r="K1504" s="17" t="str">
        <f t="shared" si="238"/>
        <v>Ecart négatif</v>
      </c>
      <c r="L1504" s="16">
        <f>base!X1504</f>
        <v>0</v>
      </c>
      <c r="M1504" s="11">
        <f t="shared" si="234"/>
        <v>0</v>
      </c>
      <c r="N1504" s="11">
        <f t="shared" si="235"/>
        <v>21.599999999999998</v>
      </c>
      <c r="O1504" s="11">
        <f t="shared" si="236"/>
        <v>0.11999999999999998</v>
      </c>
      <c r="P1504" s="12">
        <f t="shared" si="237"/>
        <v>-21.599999999999998</v>
      </c>
      <c r="Q1504" s="17" t="str">
        <f t="shared" si="239"/>
        <v>Ecart négatif</v>
      </c>
    </row>
    <row r="1505" spans="1:18" x14ac:dyDescent="0.3">
      <c r="A1505" s="34" t="str">
        <f>base!J1505</f>
        <v>LS</v>
      </c>
      <c r="B1505" s="34" t="str">
        <f>base!V1505</f>
        <v>63100</v>
      </c>
      <c r="C1505" s="37">
        <v>62</v>
      </c>
      <c r="D1505" s="36">
        <f>base!H1505</f>
        <v>138.12</v>
      </c>
      <c r="E1505" s="44"/>
      <c r="F1505" s="16">
        <f>base!W1505</f>
        <v>40.049999999999997</v>
      </c>
      <c r="G1505" s="11">
        <f t="shared" si="230"/>
        <v>0.28996524761077319</v>
      </c>
      <c r="H1505" s="11">
        <f t="shared" si="231"/>
        <v>26.242800000000003</v>
      </c>
      <c r="I1505" s="11">
        <f t="shared" si="232"/>
        <v>0.19</v>
      </c>
      <c r="J1505" s="12">
        <f t="shared" si="233"/>
        <v>13.807199999999995</v>
      </c>
      <c r="K1505" s="17" t="str">
        <f t="shared" si="238"/>
        <v>Ecart positif</v>
      </c>
      <c r="L1505" s="16">
        <f>base!X1505</f>
        <v>0</v>
      </c>
      <c r="M1505" s="11">
        <f t="shared" si="234"/>
        <v>0</v>
      </c>
      <c r="N1505" s="11">
        <f t="shared" si="235"/>
        <v>0</v>
      </c>
      <c r="O1505" s="11">
        <f t="shared" si="236"/>
        <v>0</v>
      </c>
      <c r="P1505" s="12">
        <f t="shared" si="237"/>
        <v>0</v>
      </c>
      <c r="Q1505" s="17" t="str">
        <f t="shared" si="239"/>
        <v>Pas d'écart</v>
      </c>
    </row>
    <row r="1506" spans="1:18" x14ac:dyDescent="0.3">
      <c r="A1506" s="34" t="str">
        <f>base!J1506</f>
        <v>LM</v>
      </c>
      <c r="B1506" s="34" t="str">
        <f>base!V1506</f>
        <v>75014</v>
      </c>
      <c r="C1506" s="37">
        <v>75</v>
      </c>
      <c r="D1506" s="36">
        <f>base!H1506</f>
        <v>19.649999999999999</v>
      </c>
      <c r="E1506" s="44"/>
      <c r="F1506" s="16">
        <f>base!W1506</f>
        <v>0</v>
      </c>
      <c r="G1506" s="11">
        <f t="shared" si="230"/>
        <v>0</v>
      </c>
      <c r="H1506" s="11">
        <f t="shared" si="231"/>
        <v>0</v>
      </c>
      <c r="I1506" s="11">
        <f t="shared" si="232"/>
        <v>0</v>
      </c>
      <c r="J1506" s="12">
        <f t="shared" si="233"/>
        <v>0</v>
      </c>
      <c r="K1506" s="17" t="str">
        <f t="shared" si="238"/>
        <v>Pas d'écart</v>
      </c>
      <c r="L1506" s="16">
        <f>base!X1506</f>
        <v>0</v>
      </c>
      <c r="M1506" s="11">
        <f t="shared" si="234"/>
        <v>0</v>
      </c>
      <c r="N1506" s="11">
        <f t="shared" si="235"/>
        <v>0</v>
      </c>
      <c r="O1506" s="11">
        <f t="shared" si="236"/>
        <v>0</v>
      </c>
      <c r="P1506" s="12">
        <f t="shared" si="237"/>
        <v>0</v>
      </c>
      <c r="Q1506" s="17" t="str">
        <f t="shared" si="239"/>
        <v>Pas d'écart</v>
      </c>
    </row>
    <row r="1507" spans="1:18" x14ac:dyDescent="0.3">
      <c r="A1507" s="34" t="str">
        <f>base!J1507</f>
        <v>LS</v>
      </c>
      <c r="B1507" s="34" t="str">
        <f>base!V1507</f>
        <v>79000</v>
      </c>
      <c r="C1507" s="37">
        <v>62</v>
      </c>
      <c r="D1507" s="36">
        <f>base!H1507</f>
        <v>136.84</v>
      </c>
      <c r="E1507" s="44"/>
      <c r="F1507" s="16">
        <f>base!W1507</f>
        <v>28.74</v>
      </c>
      <c r="G1507" s="11">
        <f t="shared" si="230"/>
        <v>0.21002630809704764</v>
      </c>
      <c r="H1507" s="11">
        <f t="shared" si="231"/>
        <v>25.999600000000001</v>
      </c>
      <c r="I1507" s="11">
        <f t="shared" si="232"/>
        <v>0.19</v>
      </c>
      <c r="J1507" s="12">
        <f t="shared" si="233"/>
        <v>2.7403999999999975</v>
      </c>
      <c r="K1507" s="17" t="str">
        <f t="shared" si="238"/>
        <v>Ecart positif</v>
      </c>
      <c r="L1507" s="16">
        <f>base!X1507</f>
        <v>0</v>
      </c>
      <c r="M1507" s="11">
        <f t="shared" si="234"/>
        <v>0</v>
      </c>
      <c r="N1507" s="11">
        <f t="shared" si="235"/>
        <v>0</v>
      </c>
      <c r="O1507" s="11">
        <f t="shared" si="236"/>
        <v>0</v>
      </c>
      <c r="P1507" s="12">
        <f t="shared" si="237"/>
        <v>0</v>
      </c>
      <c r="Q1507" s="17" t="str">
        <f t="shared" si="239"/>
        <v>Pas d'écart</v>
      </c>
    </row>
    <row r="1508" spans="1:18" x14ac:dyDescent="0.3">
      <c r="A1508" s="34" t="str">
        <f>base!J1508</f>
        <v>LS</v>
      </c>
      <c r="B1508" s="34" t="str">
        <f>base!V1508</f>
        <v>72230</v>
      </c>
      <c r="C1508" s="37">
        <v>60</v>
      </c>
      <c r="D1508" s="36">
        <f>base!H1508</f>
        <v>137.01</v>
      </c>
      <c r="E1508" s="44"/>
      <c r="F1508" s="16">
        <f>base!W1508</f>
        <v>28.77</v>
      </c>
      <c r="G1508" s="11">
        <f t="shared" si="230"/>
        <v>0.20998467265163129</v>
      </c>
      <c r="H1508" s="11">
        <f t="shared" si="231"/>
        <v>26.0319</v>
      </c>
      <c r="I1508" s="11">
        <f t="shared" si="232"/>
        <v>0.19</v>
      </c>
      <c r="J1508" s="12">
        <f t="shared" si="233"/>
        <v>2.7380999999999993</v>
      </c>
      <c r="K1508" s="17" t="str">
        <f t="shared" si="238"/>
        <v>Ecart positif</v>
      </c>
      <c r="L1508" s="16">
        <f>base!X1508</f>
        <v>0</v>
      </c>
      <c r="M1508" s="11">
        <f t="shared" si="234"/>
        <v>0</v>
      </c>
      <c r="N1508" s="11">
        <f t="shared" si="235"/>
        <v>0</v>
      </c>
      <c r="O1508" s="11">
        <f t="shared" si="236"/>
        <v>0</v>
      </c>
      <c r="P1508" s="12">
        <f t="shared" si="237"/>
        <v>0</v>
      </c>
      <c r="Q1508" s="17" t="str">
        <f t="shared" si="239"/>
        <v>Pas d'écart</v>
      </c>
    </row>
    <row r="1509" spans="1:18" x14ac:dyDescent="0.3">
      <c r="A1509" s="34">
        <f>base!J1509</f>
        <v>0</v>
      </c>
      <c r="B1509" s="34" t="str">
        <f>base!V1509</f>
        <v>77184</v>
      </c>
      <c r="C1509" s="37">
        <v>77</v>
      </c>
      <c r="D1509" s="36">
        <f>base!H1509</f>
        <v>280</v>
      </c>
      <c r="E1509" s="44"/>
      <c r="F1509" s="16">
        <f>base!W1509</f>
        <v>0</v>
      </c>
      <c r="G1509" s="11">
        <f t="shared" si="230"/>
        <v>0</v>
      </c>
      <c r="H1509" s="11">
        <f t="shared" si="231"/>
        <v>0</v>
      </c>
      <c r="I1509" s="11">
        <f t="shared" si="232"/>
        <v>0</v>
      </c>
      <c r="J1509" s="12">
        <f t="shared" si="233"/>
        <v>0</v>
      </c>
      <c r="K1509" s="17" t="str">
        <f t="shared" si="238"/>
        <v>Pas d'écart</v>
      </c>
      <c r="L1509" s="16">
        <f>base!X1509</f>
        <v>0</v>
      </c>
      <c r="M1509" s="11">
        <f t="shared" si="234"/>
        <v>0</v>
      </c>
      <c r="N1509" s="11">
        <f t="shared" si="235"/>
        <v>0</v>
      </c>
      <c r="O1509" s="11">
        <f t="shared" si="236"/>
        <v>0</v>
      </c>
      <c r="P1509" s="12">
        <f t="shared" si="237"/>
        <v>0</v>
      </c>
      <c r="Q1509" s="17" t="str">
        <f t="shared" si="239"/>
        <v>Pas d'écart</v>
      </c>
    </row>
    <row r="1510" spans="1:18" x14ac:dyDescent="0.3">
      <c r="A1510" s="34" t="str">
        <f>base!J1510</f>
        <v>RS</v>
      </c>
      <c r="B1510" s="34" t="str">
        <f>base!V1510</f>
        <v>80440</v>
      </c>
      <c r="C1510" s="37">
        <v>80</v>
      </c>
      <c r="D1510" s="36">
        <f>base!H1510</f>
        <v>198.98</v>
      </c>
      <c r="E1510" s="44"/>
      <c r="F1510" s="16">
        <f>base!W1510</f>
        <v>0</v>
      </c>
      <c r="G1510" s="11">
        <f t="shared" si="230"/>
        <v>0</v>
      </c>
      <c r="H1510" s="11">
        <f t="shared" si="231"/>
        <v>37.806199999999997</v>
      </c>
      <c r="I1510" s="11">
        <f t="shared" si="232"/>
        <v>0.19</v>
      </c>
      <c r="J1510" s="12">
        <f t="shared" si="233"/>
        <v>-37.806199999999997</v>
      </c>
      <c r="K1510" s="17" t="str">
        <f t="shared" si="238"/>
        <v>Ecart négatif</v>
      </c>
      <c r="L1510" s="16">
        <f>base!X1510</f>
        <v>0</v>
      </c>
      <c r="M1510" s="11">
        <f t="shared" si="234"/>
        <v>0</v>
      </c>
      <c r="N1510" s="11">
        <f t="shared" si="235"/>
        <v>0</v>
      </c>
      <c r="O1510" s="11">
        <f t="shared" si="236"/>
        <v>0</v>
      </c>
      <c r="P1510" s="12">
        <f t="shared" si="237"/>
        <v>0</v>
      </c>
      <c r="Q1510" s="17" t="str">
        <f t="shared" si="239"/>
        <v>Pas d'écart</v>
      </c>
    </row>
    <row r="1511" spans="1:18" x14ac:dyDescent="0.3">
      <c r="A1511" s="34" t="str">
        <f>base!J1511</f>
        <v>DLS</v>
      </c>
      <c r="B1511" s="34" t="str">
        <f>base!V1511</f>
        <v>59650</v>
      </c>
      <c r="C1511" s="37">
        <v>59</v>
      </c>
      <c r="D1511" s="36">
        <f>base!H1511</f>
        <v>185.6</v>
      </c>
      <c r="E1511" s="44"/>
      <c r="F1511" s="16">
        <f>base!W1511</f>
        <v>0</v>
      </c>
      <c r="G1511" s="11">
        <f t="shared" si="230"/>
        <v>0</v>
      </c>
      <c r="H1511" s="11">
        <f t="shared" si="231"/>
        <v>35.263999999999996</v>
      </c>
      <c r="I1511" s="11">
        <f t="shared" si="232"/>
        <v>0.18999999999999997</v>
      </c>
      <c r="J1511" s="12">
        <f t="shared" si="233"/>
        <v>-35.263999999999996</v>
      </c>
      <c r="K1511" s="17" t="str">
        <f t="shared" si="238"/>
        <v>Ecart négatif</v>
      </c>
      <c r="L1511" s="16">
        <f>base!X1511</f>
        <v>0</v>
      </c>
      <c r="M1511" s="11">
        <f t="shared" si="234"/>
        <v>0</v>
      </c>
      <c r="N1511" s="11">
        <f t="shared" si="235"/>
        <v>0</v>
      </c>
      <c r="O1511" s="11">
        <f t="shared" si="236"/>
        <v>0</v>
      </c>
      <c r="P1511" s="12">
        <f t="shared" si="237"/>
        <v>0</v>
      </c>
      <c r="Q1511" s="17" t="str">
        <f t="shared" si="239"/>
        <v>Pas d'écart</v>
      </c>
    </row>
    <row r="1512" spans="1:18" x14ac:dyDescent="0.3">
      <c r="A1512" s="34" t="str">
        <f>base!J1512</f>
        <v>LM</v>
      </c>
      <c r="B1512" s="34" t="str">
        <f>base!V1512</f>
        <v>75010</v>
      </c>
      <c r="C1512" s="37">
        <v>75</v>
      </c>
      <c r="D1512" s="36">
        <f>base!H1512</f>
        <v>148.78</v>
      </c>
      <c r="E1512" s="44"/>
      <c r="F1512" s="16">
        <f>base!W1512</f>
        <v>0</v>
      </c>
      <c r="G1512" s="11">
        <f t="shared" si="230"/>
        <v>0</v>
      </c>
      <c r="H1512" s="11">
        <f t="shared" si="231"/>
        <v>0</v>
      </c>
      <c r="I1512" s="11">
        <f t="shared" si="232"/>
        <v>0</v>
      </c>
      <c r="J1512" s="12">
        <f t="shared" si="233"/>
        <v>0</v>
      </c>
      <c r="K1512" s="17" t="str">
        <f t="shared" si="238"/>
        <v>Pas d'écart</v>
      </c>
      <c r="L1512" s="16">
        <f>base!X1512</f>
        <v>0</v>
      </c>
      <c r="M1512" s="11">
        <f t="shared" si="234"/>
        <v>0</v>
      </c>
      <c r="N1512" s="11">
        <f t="shared" si="235"/>
        <v>0</v>
      </c>
      <c r="O1512" s="11">
        <f t="shared" si="236"/>
        <v>0</v>
      </c>
      <c r="P1512" s="12">
        <f t="shared" si="237"/>
        <v>0</v>
      </c>
      <c r="Q1512" s="17" t="str">
        <f t="shared" si="239"/>
        <v>Pas d'écart</v>
      </c>
    </row>
    <row r="1513" spans="1:18" x14ac:dyDescent="0.3">
      <c r="A1513" s="34" t="str">
        <f>base!J1513</f>
        <v>RS</v>
      </c>
      <c r="B1513" s="34" t="str">
        <f>base!V1513</f>
        <v>14600</v>
      </c>
      <c r="C1513" s="37">
        <v>14</v>
      </c>
      <c r="D1513" s="36">
        <f>base!H1513</f>
        <v>195.37</v>
      </c>
      <c r="E1513" s="44"/>
      <c r="F1513" s="16">
        <f>base!W1513</f>
        <v>0</v>
      </c>
      <c r="G1513" s="11">
        <f t="shared" si="230"/>
        <v>0</v>
      </c>
      <c r="H1513" s="11">
        <f t="shared" si="231"/>
        <v>33.212900000000005</v>
      </c>
      <c r="I1513" s="11">
        <f t="shared" si="232"/>
        <v>0.17</v>
      </c>
      <c r="J1513" s="12">
        <f t="shared" si="233"/>
        <v>-33.212900000000005</v>
      </c>
      <c r="K1513" s="17" t="str">
        <f t="shared" si="238"/>
        <v>Ecart négatif</v>
      </c>
      <c r="L1513" s="16">
        <f>base!X1513</f>
        <v>33.21</v>
      </c>
      <c r="M1513" s="11">
        <f t="shared" si="234"/>
        <v>0.1699851563699647</v>
      </c>
      <c r="N1513" s="11">
        <f t="shared" si="235"/>
        <v>33.212900000000005</v>
      </c>
      <c r="O1513" s="11">
        <f t="shared" si="236"/>
        <v>0.17</v>
      </c>
      <c r="P1513" s="12">
        <f t="shared" si="237"/>
        <v>-2.9000000000038995E-3</v>
      </c>
      <c r="Q1513" s="17" t="str">
        <f t="shared" si="239"/>
        <v>Ecart négatif</v>
      </c>
      <c r="R1513" s="38"/>
    </row>
    <row r="1514" spans="1:18" x14ac:dyDescent="0.3">
      <c r="A1514" s="34">
        <f>base!J1514</f>
        <v>0</v>
      </c>
      <c r="B1514" s="34" t="str">
        <f>base!V1514</f>
        <v>77184</v>
      </c>
      <c r="C1514" s="37">
        <v>77</v>
      </c>
      <c r="D1514" s="36">
        <f>base!H1514</f>
        <v>15.8</v>
      </c>
      <c r="E1514" s="44"/>
      <c r="F1514" s="16">
        <f>base!W1514</f>
        <v>0</v>
      </c>
      <c r="G1514" s="11">
        <f t="shared" si="230"/>
        <v>0</v>
      </c>
      <c r="H1514" s="11">
        <f t="shared" si="231"/>
        <v>0</v>
      </c>
      <c r="I1514" s="11">
        <f t="shared" si="232"/>
        <v>0</v>
      </c>
      <c r="J1514" s="12">
        <f t="shared" si="233"/>
        <v>0</v>
      </c>
      <c r="K1514" s="17" t="str">
        <f t="shared" si="238"/>
        <v>Pas d'écart</v>
      </c>
      <c r="L1514" s="16">
        <f>base!X1514</f>
        <v>0</v>
      </c>
      <c r="M1514" s="11">
        <f t="shared" si="234"/>
        <v>0</v>
      </c>
      <c r="N1514" s="11">
        <f t="shared" si="235"/>
        <v>0</v>
      </c>
      <c r="O1514" s="11">
        <f t="shared" si="236"/>
        <v>0</v>
      </c>
      <c r="P1514" s="12">
        <f t="shared" si="237"/>
        <v>0</v>
      </c>
      <c r="Q1514" s="17" t="str">
        <f t="shared" si="239"/>
        <v>Pas d'écart</v>
      </c>
    </row>
    <row r="1515" spans="1:18" x14ac:dyDescent="0.3">
      <c r="A1515" s="34">
        <f>base!J1515</f>
        <v>0</v>
      </c>
      <c r="B1515" s="34" t="str">
        <f>base!V1515</f>
        <v>77184</v>
      </c>
      <c r="C1515" s="37">
        <v>77</v>
      </c>
      <c r="D1515" s="36">
        <f>base!H1515</f>
        <v>69.5</v>
      </c>
      <c r="E1515" s="44"/>
      <c r="F1515" s="16">
        <f>base!W1515</f>
        <v>0</v>
      </c>
      <c r="G1515" s="11">
        <f t="shared" si="230"/>
        <v>0</v>
      </c>
      <c r="H1515" s="11">
        <f t="shared" si="231"/>
        <v>0</v>
      </c>
      <c r="I1515" s="11">
        <f t="shared" si="232"/>
        <v>0</v>
      </c>
      <c r="J1515" s="12">
        <f t="shared" si="233"/>
        <v>0</v>
      </c>
      <c r="K1515" s="17" t="str">
        <f t="shared" si="238"/>
        <v>Pas d'écart</v>
      </c>
      <c r="L1515" s="16">
        <f>base!X1515</f>
        <v>0</v>
      </c>
      <c r="M1515" s="11">
        <f t="shared" si="234"/>
        <v>0</v>
      </c>
      <c r="N1515" s="11">
        <f t="shared" si="235"/>
        <v>0</v>
      </c>
      <c r="O1515" s="11">
        <f t="shared" si="236"/>
        <v>0</v>
      </c>
      <c r="P1515" s="12">
        <f t="shared" si="237"/>
        <v>0</v>
      </c>
      <c r="Q1515" s="17" t="str">
        <f t="shared" si="239"/>
        <v>Pas d'écart</v>
      </c>
    </row>
    <row r="1516" spans="1:18" x14ac:dyDescent="0.3">
      <c r="A1516" s="34">
        <f>base!J1516</f>
        <v>0</v>
      </c>
      <c r="B1516" s="34" t="str">
        <f>base!V1516</f>
        <v>77184</v>
      </c>
      <c r="C1516" s="37">
        <v>77</v>
      </c>
      <c r="D1516" s="36">
        <f>base!H1516</f>
        <v>199.02</v>
      </c>
      <c r="E1516" s="44"/>
      <c r="F1516" s="16">
        <f>base!W1516</f>
        <v>0</v>
      </c>
      <c r="G1516" s="11">
        <f t="shared" si="230"/>
        <v>0</v>
      </c>
      <c r="H1516" s="11">
        <f t="shared" si="231"/>
        <v>0</v>
      </c>
      <c r="I1516" s="11">
        <f t="shared" si="232"/>
        <v>0</v>
      </c>
      <c r="J1516" s="12">
        <f t="shared" si="233"/>
        <v>0</v>
      </c>
      <c r="K1516" s="17" t="str">
        <f t="shared" si="238"/>
        <v>Pas d'écart</v>
      </c>
      <c r="L1516" s="16">
        <f>base!X1516</f>
        <v>0</v>
      </c>
      <c r="M1516" s="11">
        <f t="shared" si="234"/>
        <v>0</v>
      </c>
      <c r="N1516" s="11">
        <f t="shared" si="235"/>
        <v>0</v>
      </c>
      <c r="O1516" s="11">
        <f t="shared" si="236"/>
        <v>0</v>
      </c>
      <c r="P1516" s="12">
        <f t="shared" si="237"/>
        <v>0</v>
      </c>
      <c r="Q1516" s="17" t="str">
        <f t="shared" si="239"/>
        <v>Pas d'écart</v>
      </c>
    </row>
    <row r="1517" spans="1:18" x14ac:dyDescent="0.3">
      <c r="A1517" s="34" t="str">
        <f>base!J1517</f>
        <v>LM</v>
      </c>
      <c r="B1517" s="34" t="str">
        <f>base!V1517</f>
        <v>59150</v>
      </c>
      <c r="C1517" s="37">
        <v>59</v>
      </c>
      <c r="D1517" s="36">
        <f>base!H1517</f>
        <v>5.12</v>
      </c>
      <c r="E1517" s="44"/>
      <c r="F1517" s="16">
        <f>base!W1517</f>
        <v>0.97</v>
      </c>
      <c r="G1517" s="11">
        <f t="shared" si="230"/>
        <v>0.189453125</v>
      </c>
      <c r="H1517" s="11">
        <f t="shared" si="231"/>
        <v>0.9728</v>
      </c>
      <c r="I1517" s="11">
        <f t="shared" si="232"/>
        <v>0.19</v>
      </c>
      <c r="J1517" s="12">
        <f t="shared" si="233"/>
        <v>-2.8000000000000247E-3</v>
      </c>
      <c r="K1517" s="17" t="str">
        <f t="shared" si="238"/>
        <v>Ecart négatif</v>
      </c>
      <c r="L1517" s="16">
        <f>base!X1517</f>
        <v>0</v>
      </c>
      <c r="M1517" s="11">
        <f t="shared" si="234"/>
        <v>0</v>
      </c>
      <c r="N1517" s="11">
        <f t="shared" si="235"/>
        <v>0</v>
      </c>
      <c r="O1517" s="11">
        <f t="shared" si="236"/>
        <v>0</v>
      </c>
      <c r="P1517" s="12">
        <f t="shared" si="237"/>
        <v>0</v>
      </c>
      <c r="Q1517" s="17" t="str">
        <f t="shared" si="239"/>
        <v>Pas d'écart</v>
      </c>
    </row>
    <row r="1518" spans="1:18" x14ac:dyDescent="0.3">
      <c r="A1518" s="34" t="str">
        <f>base!J1518</f>
        <v>RM</v>
      </c>
      <c r="B1518" s="34" t="str">
        <f>base!V1518</f>
        <v>78190</v>
      </c>
      <c r="C1518" s="37">
        <v>78</v>
      </c>
      <c r="D1518" s="36">
        <f>base!H1518</f>
        <v>183.87</v>
      </c>
      <c r="E1518" s="44"/>
      <c r="F1518" s="16">
        <f>base!W1518</f>
        <v>0</v>
      </c>
      <c r="G1518" s="11">
        <f t="shared" si="230"/>
        <v>0</v>
      </c>
      <c r="H1518" s="11">
        <f t="shared" si="231"/>
        <v>0</v>
      </c>
      <c r="I1518" s="11">
        <f t="shared" si="232"/>
        <v>0</v>
      </c>
      <c r="J1518" s="12">
        <f t="shared" si="233"/>
        <v>0</v>
      </c>
      <c r="K1518" s="17" t="str">
        <f t="shared" si="238"/>
        <v>Pas d'écart</v>
      </c>
      <c r="L1518" s="16">
        <f>base!X1518</f>
        <v>0</v>
      </c>
      <c r="M1518" s="11">
        <f t="shared" si="234"/>
        <v>0</v>
      </c>
      <c r="N1518" s="11">
        <f t="shared" si="235"/>
        <v>0</v>
      </c>
      <c r="O1518" s="11">
        <f t="shared" si="236"/>
        <v>0</v>
      </c>
      <c r="P1518" s="12">
        <f t="shared" si="237"/>
        <v>0</v>
      </c>
      <c r="Q1518" s="17" t="str">
        <f t="shared" si="239"/>
        <v>Pas d'écart</v>
      </c>
    </row>
    <row r="1519" spans="1:18" x14ac:dyDescent="0.3">
      <c r="A1519" s="34" t="str">
        <f>base!J1519</f>
        <v>RS</v>
      </c>
      <c r="B1519" s="34" t="str">
        <f>base!V1519</f>
        <v>34500</v>
      </c>
      <c r="C1519" s="37">
        <v>34</v>
      </c>
      <c r="D1519" s="36">
        <f>base!H1519</f>
        <v>180</v>
      </c>
      <c r="E1519" s="44"/>
      <c r="F1519" s="16">
        <f>base!W1519</f>
        <v>0</v>
      </c>
      <c r="G1519" s="11">
        <f t="shared" si="230"/>
        <v>0</v>
      </c>
      <c r="H1519" s="11">
        <f t="shared" si="231"/>
        <v>70.2</v>
      </c>
      <c r="I1519" s="11">
        <f t="shared" si="232"/>
        <v>0.39</v>
      </c>
      <c r="J1519" s="12">
        <f t="shared" si="233"/>
        <v>-70.2</v>
      </c>
      <c r="K1519" s="17" t="str">
        <f t="shared" si="238"/>
        <v>Ecart négatif</v>
      </c>
      <c r="L1519" s="16">
        <f>base!X1519</f>
        <v>50.4</v>
      </c>
      <c r="M1519" s="11">
        <f t="shared" si="234"/>
        <v>0.27999999999999997</v>
      </c>
      <c r="N1519" s="11">
        <f t="shared" si="235"/>
        <v>50.400000000000006</v>
      </c>
      <c r="O1519" s="11">
        <f t="shared" si="236"/>
        <v>0.28000000000000003</v>
      </c>
      <c r="P1519" s="12">
        <f t="shared" si="237"/>
        <v>0</v>
      </c>
      <c r="Q1519" s="17" t="str">
        <f t="shared" si="239"/>
        <v>Pas d'écart</v>
      </c>
      <c r="R1519" s="38"/>
    </row>
    <row r="1520" spans="1:18" x14ac:dyDescent="0.3">
      <c r="A1520" s="34" t="str">
        <f>base!J1520</f>
        <v>RM</v>
      </c>
      <c r="B1520" s="34" t="str">
        <f>base!V1520</f>
        <v>34500</v>
      </c>
      <c r="C1520" s="37">
        <v>34</v>
      </c>
      <c r="D1520" s="36">
        <f>base!H1520</f>
        <v>172.15</v>
      </c>
      <c r="E1520" s="44"/>
      <c r="F1520" s="16">
        <f>base!W1520</f>
        <v>0</v>
      </c>
      <c r="G1520" s="11">
        <f t="shared" si="230"/>
        <v>0</v>
      </c>
      <c r="H1520" s="11">
        <f t="shared" si="231"/>
        <v>67.138500000000008</v>
      </c>
      <c r="I1520" s="11">
        <f t="shared" si="232"/>
        <v>0.39</v>
      </c>
      <c r="J1520" s="12">
        <f t="shared" si="233"/>
        <v>-67.138500000000008</v>
      </c>
      <c r="K1520" s="17" t="str">
        <f t="shared" si="238"/>
        <v>Ecart négatif</v>
      </c>
      <c r="L1520" s="16">
        <f>base!X1520</f>
        <v>48.2</v>
      </c>
      <c r="M1520" s="11">
        <f t="shared" si="234"/>
        <v>0.27998838222480393</v>
      </c>
      <c r="N1520" s="11">
        <f t="shared" si="235"/>
        <v>48.202000000000005</v>
      </c>
      <c r="O1520" s="11">
        <f t="shared" si="236"/>
        <v>0.28000000000000003</v>
      </c>
      <c r="P1520" s="12">
        <f t="shared" si="237"/>
        <v>-2.0000000000024443E-3</v>
      </c>
      <c r="Q1520" s="17" t="str">
        <f t="shared" si="239"/>
        <v>Ecart négatif</v>
      </c>
      <c r="R1520" s="38"/>
    </row>
    <row r="1521" spans="1:17" x14ac:dyDescent="0.3">
      <c r="A1521" s="34" t="str">
        <f>base!J1521</f>
        <v>LS</v>
      </c>
      <c r="B1521" s="34" t="str">
        <f>base!V1521</f>
        <v>13300</v>
      </c>
      <c r="C1521" s="37">
        <v>60</v>
      </c>
      <c r="D1521" s="36">
        <f>base!H1521</f>
        <v>34.119999999999997</v>
      </c>
      <c r="E1521" s="44"/>
      <c r="F1521" s="16">
        <f>base!W1521</f>
        <v>9.89</v>
      </c>
      <c r="G1521" s="11">
        <f t="shared" si="230"/>
        <v>0.28985932004689335</v>
      </c>
      <c r="H1521" s="11">
        <f t="shared" si="231"/>
        <v>6.4827999999999992</v>
      </c>
      <c r="I1521" s="11">
        <f t="shared" si="232"/>
        <v>0.19</v>
      </c>
      <c r="J1521" s="12">
        <f t="shared" si="233"/>
        <v>3.4072000000000013</v>
      </c>
      <c r="K1521" s="17" t="str">
        <f t="shared" si="238"/>
        <v>Ecart positif</v>
      </c>
      <c r="L1521" s="16">
        <f>base!X1521</f>
        <v>0</v>
      </c>
      <c r="M1521" s="11">
        <f t="shared" si="234"/>
        <v>0</v>
      </c>
      <c r="N1521" s="11">
        <f t="shared" si="235"/>
        <v>0</v>
      </c>
      <c r="O1521" s="11">
        <f t="shared" si="236"/>
        <v>0</v>
      </c>
      <c r="P1521" s="12">
        <f t="shared" si="237"/>
        <v>0</v>
      </c>
      <c r="Q1521" s="17" t="str">
        <f t="shared" si="239"/>
        <v>Pas d'écart</v>
      </c>
    </row>
    <row r="1522" spans="1:17" x14ac:dyDescent="0.3">
      <c r="A1522" s="34" t="str">
        <f>base!J1522</f>
        <v>LS</v>
      </c>
      <c r="B1522" s="34" t="str">
        <f>base!V1522</f>
        <v>76450</v>
      </c>
      <c r="C1522" s="37">
        <v>41</v>
      </c>
      <c r="D1522" s="36">
        <f>base!H1522</f>
        <v>141.65</v>
      </c>
      <c r="E1522" s="44"/>
      <c r="F1522" s="16">
        <f>base!W1522</f>
        <v>24.08</v>
      </c>
      <c r="G1522" s="11">
        <f t="shared" si="230"/>
        <v>0.16999647017296152</v>
      </c>
      <c r="H1522" s="11">
        <f t="shared" si="231"/>
        <v>29.746500000000001</v>
      </c>
      <c r="I1522" s="11">
        <f t="shared" si="232"/>
        <v>0.21</v>
      </c>
      <c r="J1522" s="12">
        <f t="shared" si="233"/>
        <v>-5.6665000000000028</v>
      </c>
      <c r="K1522" s="17" t="str">
        <f t="shared" si="238"/>
        <v>Ecart négatif</v>
      </c>
      <c r="L1522" s="16">
        <f>base!X1522</f>
        <v>0</v>
      </c>
      <c r="M1522" s="11">
        <f t="shared" si="234"/>
        <v>0</v>
      </c>
      <c r="N1522" s="11">
        <f t="shared" si="235"/>
        <v>16.998000000000001</v>
      </c>
      <c r="O1522" s="11">
        <f t="shared" si="236"/>
        <v>0.12000000000000001</v>
      </c>
      <c r="P1522" s="12">
        <f t="shared" si="237"/>
        <v>-16.998000000000001</v>
      </c>
      <c r="Q1522" s="17" t="str">
        <f t="shared" si="239"/>
        <v>Ecart négatif</v>
      </c>
    </row>
    <row r="1523" spans="1:17" x14ac:dyDescent="0.3">
      <c r="A1523" s="34" t="str">
        <f>base!J1523</f>
        <v>RS</v>
      </c>
      <c r="B1523" s="34" t="str">
        <f>base!V1523</f>
        <v>54000</v>
      </c>
      <c r="C1523" s="37">
        <v>54</v>
      </c>
      <c r="D1523" s="36">
        <f>base!H1523</f>
        <v>250</v>
      </c>
      <c r="E1523" s="44"/>
      <c r="F1523" s="16">
        <f>base!W1523</f>
        <v>0</v>
      </c>
      <c r="G1523" s="11">
        <f t="shared" si="230"/>
        <v>0</v>
      </c>
      <c r="H1523" s="11">
        <f t="shared" si="231"/>
        <v>62.5</v>
      </c>
      <c r="I1523" s="11">
        <f t="shared" si="232"/>
        <v>0.25</v>
      </c>
      <c r="J1523" s="12">
        <f t="shared" si="233"/>
        <v>-62.5</v>
      </c>
      <c r="K1523" s="17" t="str">
        <f t="shared" si="238"/>
        <v>Ecart négatif</v>
      </c>
      <c r="L1523" s="16">
        <f>base!X1523</f>
        <v>0</v>
      </c>
      <c r="M1523" s="11">
        <f t="shared" si="234"/>
        <v>0</v>
      </c>
      <c r="N1523" s="11">
        <f t="shared" si="235"/>
        <v>62.5</v>
      </c>
      <c r="O1523" s="11">
        <f t="shared" si="236"/>
        <v>0.25</v>
      </c>
      <c r="P1523" s="12">
        <f t="shared" si="237"/>
        <v>-62.5</v>
      </c>
      <c r="Q1523" s="17" t="str">
        <f t="shared" si="239"/>
        <v>Ecart négatif</v>
      </c>
    </row>
    <row r="1524" spans="1:17" x14ac:dyDescent="0.3">
      <c r="A1524" s="34" t="str">
        <f>base!J1524</f>
        <v>LM</v>
      </c>
      <c r="B1524" s="34" t="str">
        <f>base!V1524</f>
        <v>14500</v>
      </c>
      <c r="C1524" s="37">
        <v>62</v>
      </c>
      <c r="D1524" s="36">
        <f>base!H1524</f>
        <v>179.52</v>
      </c>
      <c r="E1524" s="44"/>
      <c r="F1524" s="16">
        <f>base!W1524</f>
        <v>30.52</v>
      </c>
      <c r="G1524" s="11">
        <f t="shared" si="230"/>
        <v>0.17000891265597146</v>
      </c>
      <c r="H1524" s="11">
        <f t="shared" si="231"/>
        <v>34.108800000000002</v>
      </c>
      <c r="I1524" s="11">
        <f t="shared" si="232"/>
        <v>0.19</v>
      </c>
      <c r="J1524" s="12">
        <f t="shared" si="233"/>
        <v>-3.5888000000000027</v>
      </c>
      <c r="K1524" s="17" t="str">
        <f t="shared" si="238"/>
        <v>Ecart négatif</v>
      </c>
      <c r="L1524" s="16">
        <f>base!X1524</f>
        <v>0</v>
      </c>
      <c r="M1524" s="11">
        <f t="shared" si="234"/>
        <v>0</v>
      </c>
      <c r="N1524" s="11">
        <f t="shared" si="235"/>
        <v>0</v>
      </c>
      <c r="O1524" s="11">
        <f t="shared" si="236"/>
        <v>0</v>
      </c>
      <c r="P1524" s="12">
        <f t="shared" si="237"/>
        <v>0</v>
      </c>
      <c r="Q1524" s="17" t="str">
        <f t="shared" si="239"/>
        <v>Pas d'écart</v>
      </c>
    </row>
    <row r="1525" spans="1:17" x14ac:dyDescent="0.3">
      <c r="A1525" s="34" t="str">
        <f>base!J1525</f>
        <v>LS</v>
      </c>
      <c r="B1525" s="34" t="str">
        <f>base!V1525</f>
        <v>67100</v>
      </c>
      <c r="C1525" s="37">
        <v>62</v>
      </c>
      <c r="D1525" s="36">
        <f>base!H1525</f>
        <v>28.02</v>
      </c>
      <c r="E1525" s="44"/>
      <c r="F1525" s="16">
        <f>base!W1525</f>
        <v>8.1300000000000008</v>
      </c>
      <c r="G1525" s="11">
        <f t="shared" si="230"/>
        <v>0.29014989293361887</v>
      </c>
      <c r="H1525" s="11">
        <f t="shared" si="231"/>
        <v>5.3238000000000003</v>
      </c>
      <c r="I1525" s="11">
        <f t="shared" si="232"/>
        <v>0.19</v>
      </c>
      <c r="J1525" s="12">
        <f t="shared" si="233"/>
        <v>2.8062000000000005</v>
      </c>
      <c r="K1525" s="17" t="str">
        <f t="shared" si="238"/>
        <v>Ecart positif</v>
      </c>
      <c r="L1525" s="16">
        <f>base!X1525</f>
        <v>0</v>
      </c>
      <c r="M1525" s="11">
        <f t="shared" si="234"/>
        <v>0</v>
      </c>
      <c r="N1525" s="11">
        <f t="shared" si="235"/>
        <v>0</v>
      </c>
      <c r="O1525" s="11">
        <f t="shared" si="236"/>
        <v>0</v>
      </c>
      <c r="P1525" s="12">
        <f t="shared" si="237"/>
        <v>0</v>
      </c>
      <c r="Q1525" s="17" t="str">
        <f t="shared" si="239"/>
        <v>Pas d'écart</v>
      </c>
    </row>
    <row r="1526" spans="1:17" x14ac:dyDescent="0.3">
      <c r="A1526" s="34" t="str">
        <f>base!J1526</f>
        <v>LS</v>
      </c>
      <c r="B1526" s="34" t="str">
        <f>base!V1526</f>
        <v>57155</v>
      </c>
      <c r="C1526" s="37">
        <v>62</v>
      </c>
      <c r="D1526" s="36">
        <f>base!H1526</f>
        <v>39.880000000000003</v>
      </c>
      <c r="E1526" s="44"/>
      <c r="F1526" s="16">
        <f>base!W1526</f>
        <v>9.9700000000000006</v>
      </c>
      <c r="G1526" s="11">
        <f t="shared" si="230"/>
        <v>0.25</v>
      </c>
      <c r="H1526" s="11">
        <f t="shared" si="231"/>
        <v>7.5772000000000004</v>
      </c>
      <c r="I1526" s="11">
        <f t="shared" si="232"/>
        <v>0.19</v>
      </c>
      <c r="J1526" s="12">
        <f t="shared" si="233"/>
        <v>2.3928000000000003</v>
      </c>
      <c r="K1526" s="17" t="str">
        <f t="shared" si="238"/>
        <v>Ecart positif</v>
      </c>
      <c r="L1526" s="16">
        <f>base!X1526</f>
        <v>0</v>
      </c>
      <c r="M1526" s="11">
        <f t="shared" si="234"/>
        <v>0</v>
      </c>
      <c r="N1526" s="11">
        <f t="shared" si="235"/>
        <v>0</v>
      </c>
      <c r="O1526" s="11">
        <f t="shared" si="236"/>
        <v>0</v>
      </c>
      <c r="P1526" s="12">
        <f t="shared" si="237"/>
        <v>0</v>
      </c>
      <c r="Q1526" s="17" t="str">
        <f t="shared" si="239"/>
        <v>Pas d'écart</v>
      </c>
    </row>
    <row r="1527" spans="1:17" x14ac:dyDescent="0.3">
      <c r="A1527" s="34" t="str">
        <f>base!J1527</f>
        <v>LS</v>
      </c>
      <c r="B1527" s="34" t="str">
        <f>base!V1527</f>
        <v>77183</v>
      </c>
      <c r="C1527" s="37">
        <v>77</v>
      </c>
      <c r="D1527" s="36">
        <f>base!H1527</f>
        <v>0</v>
      </c>
      <c r="E1527" s="44"/>
      <c r="F1527" s="16">
        <f>base!W1527</f>
        <v>0</v>
      </c>
      <c r="G1527" s="11" t="e">
        <f t="shared" si="230"/>
        <v>#DIV/0!</v>
      </c>
      <c r="H1527" s="11">
        <f t="shared" si="231"/>
        <v>0</v>
      </c>
      <c r="I1527" s="11" t="e">
        <f t="shared" si="232"/>
        <v>#DIV/0!</v>
      </c>
      <c r="J1527" s="12">
        <f t="shared" si="233"/>
        <v>0</v>
      </c>
      <c r="K1527" s="17" t="str">
        <f t="shared" si="238"/>
        <v>Pas d'écart</v>
      </c>
      <c r="L1527" s="16">
        <f>base!X1527</f>
        <v>0</v>
      </c>
      <c r="M1527" s="11" t="e">
        <f t="shared" si="234"/>
        <v>#DIV/0!</v>
      </c>
      <c r="N1527" s="11">
        <f t="shared" si="235"/>
        <v>0</v>
      </c>
      <c r="O1527" s="11" t="e">
        <f t="shared" si="236"/>
        <v>#DIV/0!</v>
      </c>
      <c r="P1527" s="12">
        <f t="shared" si="237"/>
        <v>0</v>
      </c>
      <c r="Q1527" s="17" t="str">
        <f t="shared" si="239"/>
        <v>Pas d'écart</v>
      </c>
    </row>
    <row r="1528" spans="1:17" x14ac:dyDescent="0.3">
      <c r="A1528" s="34" t="str">
        <f>base!J1528</f>
        <v>RM</v>
      </c>
      <c r="B1528" s="34" t="str">
        <f>base!V1528</f>
        <v>59154</v>
      </c>
      <c r="C1528" s="37">
        <v>59</v>
      </c>
      <c r="D1528" s="36">
        <f>base!H1528</f>
        <v>140</v>
      </c>
      <c r="E1528" s="44"/>
      <c r="F1528" s="16">
        <f>base!W1528</f>
        <v>0</v>
      </c>
      <c r="G1528" s="11">
        <f t="shared" si="230"/>
        <v>0</v>
      </c>
      <c r="H1528" s="11">
        <f t="shared" si="231"/>
        <v>26.6</v>
      </c>
      <c r="I1528" s="11">
        <f t="shared" si="232"/>
        <v>0.19</v>
      </c>
      <c r="J1528" s="12">
        <f t="shared" si="233"/>
        <v>-26.6</v>
      </c>
      <c r="K1528" s="17" t="str">
        <f t="shared" si="238"/>
        <v>Ecart négatif</v>
      </c>
      <c r="L1528" s="16">
        <f>base!X1528</f>
        <v>0</v>
      </c>
      <c r="M1528" s="11">
        <f t="shared" si="234"/>
        <v>0</v>
      </c>
      <c r="N1528" s="11">
        <f t="shared" si="235"/>
        <v>0</v>
      </c>
      <c r="O1528" s="11">
        <f t="shared" si="236"/>
        <v>0</v>
      </c>
      <c r="P1528" s="12">
        <f t="shared" si="237"/>
        <v>0</v>
      </c>
      <c r="Q1528" s="17" t="str">
        <f t="shared" si="239"/>
        <v>Pas d'écart</v>
      </c>
    </row>
    <row r="1529" spans="1:17" x14ac:dyDescent="0.3">
      <c r="A1529" s="34" t="str">
        <f>base!J1529</f>
        <v>RM</v>
      </c>
      <c r="B1529" s="34" t="str">
        <f>base!V1529</f>
        <v>59270</v>
      </c>
      <c r="C1529" s="37">
        <v>59</v>
      </c>
      <c r="D1529" s="36">
        <f>base!H1529</f>
        <v>40</v>
      </c>
      <c r="E1529" s="44"/>
      <c r="F1529" s="16">
        <f>base!W1529</f>
        <v>0</v>
      </c>
      <c r="G1529" s="11">
        <f t="shared" si="230"/>
        <v>0</v>
      </c>
      <c r="H1529" s="11">
        <f t="shared" si="231"/>
        <v>7.6</v>
      </c>
      <c r="I1529" s="11">
        <f t="shared" si="232"/>
        <v>0.19</v>
      </c>
      <c r="J1529" s="12">
        <f t="shared" si="233"/>
        <v>-7.6</v>
      </c>
      <c r="K1529" s="17" t="str">
        <f t="shared" si="238"/>
        <v>Ecart négatif</v>
      </c>
      <c r="L1529" s="16">
        <f>base!X1529</f>
        <v>0</v>
      </c>
      <c r="M1529" s="11">
        <f t="shared" si="234"/>
        <v>0</v>
      </c>
      <c r="N1529" s="11">
        <f t="shared" si="235"/>
        <v>0</v>
      </c>
      <c r="O1529" s="11">
        <f t="shared" si="236"/>
        <v>0</v>
      </c>
      <c r="P1529" s="12">
        <f t="shared" si="237"/>
        <v>0</v>
      </c>
      <c r="Q1529" s="17" t="str">
        <f t="shared" si="239"/>
        <v>Pas d'écart</v>
      </c>
    </row>
    <row r="1530" spans="1:17" x14ac:dyDescent="0.3">
      <c r="A1530" s="34" t="str">
        <f>base!J1530</f>
        <v>LS</v>
      </c>
      <c r="B1530" s="34" t="str">
        <f>base!V1530</f>
        <v>69124</v>
      </c>
      <c r="C1530" s="37">
        <v>62</v>
      </c>
      <c r="D1530" s="36">
        <f>base!H1530</f>
        <v>306.19</v>
      </c>
      <c r="E1530" s="44"/>
      <c r="F1530" s="16">
        <f>base!W1530</f>
        <v>82.67</v>
      </c>
      <c r="G1530" s="11">
        <f t="shared" si="230"/>
        <v>0.26999575427022438</v>
      </c>
      <c r="H1530" s="11">
        <f t="shared" si="231"/>
        <v>58.176099999999998</v>
      </c>
      <c r="I1530" s="11">
        <f t="shared" si="232"/>
        <v>0.19</v>
      </c>
      <c r="J1530" s="12">
        <f t="shared" si="233"/>
        <v>24.493900000000004</v>
      </c>
      <c r="K1530" s="17" t="str">
        <f t="shared" si="238"/>
        <v>Ecart positif</v>
      </c>
      <c r="L1530" s="16">
        <f>base!X1530</f>
        <v>0</v>
      </c>
      <c r="M1530" s="11">
        <f t="shared" si="234"/>
        <v>0</v>
      </c>
      <c r="N1530" s="11">
        <f t="shared" si="235"/>
        <v>0</v>
      </c>
      <c r="O1530" s="11">
        <f t="shared" si="236"/>
        <v>0</v>
      </c>
      <c r="P1530" s="12">
        <f t="shared" si="237"/>
        <v>0</v>
      </c>
      <c r="Q1530" s="17" t="str">
        <f t="shared" si="239"/>
        <v>Pas d'écart</v>
      </c>
    </row>
    <row r="1531" spans="1:17" x14ac:dyDescent="0.3">
      <c r="A1531" s="34" t="str">
        <f>base!J1531</f>
        <v>LM</v>
      </c>
      <c r="B1531" s="34" t="str">
        <f>base!V1531</f>
        <v>75010</v>
      </c>
      <c r="C1531" s="37">
        <v>75</v>
      </c>
      <c r="D1531" s="36">
        <f>base!H1531</f>
        <v>55.14</v>
      </c>
      <c r="E1531" s="44"/>
      <c r="F1531" s="16">
        <f>base!W1531</f>
        <v>0</v>
      </c>
      <c r="G1531" s="11">
        <f t="shared" si="230"/>
        <v>0</v>
      </c>
      <c r="H1531" s="11">
        <f t="shared" si="231"/>
        <v>0</v>
      </c>
      <c r="I1531" s="11">
        <f t="shared" si="232"/>
        <v>0</v>
      </c>
      <c r="J1531" s="12">
        <f t="shared" si="233"/>
        <v>0</v>
      </c>
      <c r="K1531" s="17" t="str">
        <f t="shared" si="238"/>
        <v>Pas d'écart</v>
      </c>
      <c r="L1531" s="16">
        <f>base!X1531</f>
        <v>0</v>
      </c>
      <c r="M1531" s="11">
        <f t="shared" si="234"/>
        <v>0</v>
      </c>
      <c r="N1531" s="11">
        <f t="shared" si="235"/>
        <v>0</v>
      </c>
      <c r="O1531" s="11">
        <f t="shared" si="236"/>
        <v>0</v>
      </c>
      <c r="P1531" s="12">
        <f t="shared" si="237"/>
        <v>0</v>
      </c>
      <c r="Q1531" s="17" t="str">
        <f t="shared" si="239"/>
        <v>Pas d'écart</v>
      </c>
    </row>
    <row r="1532" spans="1:17" x14ac:dyDescent="0.3">
      <c r="A1532" s="34" t="str">
        <f>base!J1532</f>
        <v>DLS</v>
      </c>
      <c r="B1532" s="34" t="str">
        <f>base!V1532</f>
        <v>38420</v>
      </c>
      <c r="C1532" s="37">
        <v>38</v>
      </c>
      <c r="D1532" s="36">
        <f>base!H1532</f>
        <v>122.09</v>
      </c>
      <c r="E1532" s="44"/>
      <c r="F1532" s="16">
        <f>base!W1532</f>
        <v>0</v>
      </c>
      <c r="G1532" s="11">
        <f t="shared" si="230"/>
        <v>0</v>
      </c>
      <c r="H1532" s="11">
        <f t="shared" si="231"/>
        <v>32.964300000000001</v>
      </c>
      <c r="I1532" s="11">
        <f t="shared" si="232"/>
        <v>0.27</v>
      </c>
      <c r="J1532" s="12">
        <f t="shared" si="233"/>
        <v>-32.964300000000001</v>
      </c>
      <c r="K1532" s="17" t="str">
        <f t="shared" si="238"/>
        <v>Ecart négatif</v>
      </c>
      <c r="L1532" s="16">
        <f>base!X1532</f>
        <v>0</v>
      </c>
      <c r="M1532" s="11">
        <f t="shared" si="234"/>
        <v>0</v>
      </c>
      <c r="N1532" s="11">
        <f t="shared" si="235"/>
        <v>0</v>
      </c>
      <c r="O1532" s="11">
        <f t="shared" si="236"/>
        <v>0</v>
      </c>
      <c r="P1532" s="12">
        <f t="shared" si="237"/>
        <v>0</v>
      </c>
      <c r="Q1532" s="17" t="str">
        <f t="shared" si="239"/>
        <v>Pas d'écart</v>
      </c>
    </row>
    <row r="1533" spans="1:17" x14ac:dyDescent="0.3">
      <c r="A1533" s="34" t="str">
        <f>base!J1533</f>
        <v>RM</v>
      </c>
      <c r="B1533" s="34" t="str">
        <f>base!V1533</f>
        <v>13127</v>
      </c>
      <c r="C1533" s="37">
        <v>13</v>
      </c>
      <c r="D1533" s="36">
        <f>base!H1533</f>
        <v>40</v>
      </c>
      <c r="E1533" s="44"/>
      <c r="F1533" s="16">
        <f>base!W1533</f>
        <v>0</v>
      </c>
      <c r="G1533" s="11">
        <f t="shared" si="230"/>
        <v>0</v>
      </c>
      <c r="H1533" s="11">
        <f t="shared" si="231"/>
        <v>11.6</v>
      </c>
      <c r="I1533" s="11">
        <f t="shared" si="232"/>
        <v>0.28999999999999998</v>
      </c>
      <c r="J1533" s="12">
        <f t="shared" si="233"/>
        <v>-11.6</v>
      </c>
      <c r="K1533" s="17" t="str">
        <f t="shared" si="238"/>
        <v>Ecart négatif</v>
      </c>
      <c r="L1533" s="16">
        <f>base!X1533</f>
        <v>11.6</v>
      </c>
      <c r="M1533" s="11">
        <f t="shared" si="234"/>
        <v>0.28999999999999998</v>
      </c>
      <c r="N1533" s="11">
        <f t="shared" si="235"/>
        <v>7.6</v>
      </c>
      <c r="O1533" s="11">
        <f t="shared" si="236"/>
        <v>0.19</v>
      </c>
      <c r="P1533" s="12">
        <f t="shared" si="237"/>
        <v>4</v>
      </c>
      <c r="Q1533" s="17" t="str">
        <f t="shared" si="239"/>
        <v>Ecart positif</v>
      </c>
    </row>
    <row r="1534" spans="1:17" x14ac:dyDescent="0.3">
      <c r="A1534" s="34" t="str">
        <f>base!J1534</f>
        <v>LM</v>
      </c>
      <c r="B1534" s="34" t="str">
        <f>base!V1534</f>
        <v>02000</v>
      </c>
      <c r="C1534" s="37">
        <v>62</v>
      </c>
      <c r="D1534" s="36">
        <f>base!H1534</f>
        <v>200.72</v>
      </c>
      <c r="E1534" s="44"/>
      <c r="F1534" s="16">
        <f>base!W1534</f>
        <v>38.14</v>
      </c>
      <c r="G1534" s="11">
        <f t="shared" si="230"/>
        <v>0.19001594260661619</v>
      </c>
      <c r="H1534" s="11">
        <f t="shared" si="231"/>
        <v>38.136800000000001</v>
      </c>
      <c r="I1534" s="11">
        <f t="shared" si="232"/>
        <v>0.19</v>
      </c>
      <c r="J1534" s="12">
        <f t="shared" si="233"/>
        <v>3.1999999999996476E-3</v>
      </c>
      <c r="K1534" s="17" t="str">
        <f t="shared" si="238"/>
        <v>Ecart positif</v>
      </c>
      <c r="L1534" s="16">
        <f>base!X1534</f>
        <v>0</v>
      </c>
      <c r="M1534" s="11">
        <f t="shared" si="234"/>
        <v>0</v>
      </c>
      <c r="N1534" s="11">
        <f t="shared" si="235"/>
        <v>0</v>
      </c>
      <c r="O1534" s="11">
        <f t="shared" si="236"/>
        <v>0</v>
      </c>
      <c r="P1534" s="12">
        <f t="shared" si="237"/>
        <v>0</v>
      </c>
      <c r="Q1534" s="17" t="str">
        <f t="shared" si="239"/>
        <v>Pas d'écart</v>
      </c>
    </row>
    <row r="1535" spans="1:17" x14ac:dyDescent="0.3">
      <c r="A1535" s="34" t="str">
        <f>base!J1535</f>
        <v>LS</v>
      </c>
      <c r="B1535" s="34" t="str">
        <f>base!V1535</f>
        <v>60190</v>
      </c>
      <c r="C1535" s="37">
        <v>62</v>
      </c>
      <c r="D1535" s="36">
        <f>base!H1535</f>
        <v>136.86000000000001</v>
      </c>
      <c r="E1535" s="44"/>
      <c r="F1535" s="16">
        <f>base!W1535</f>
        <v>26</v>
      </c>
      <c r="G1535" s="11">
        <f t="shared" si="230"/>
        <v>0.18997515709484142</v>
      </c>
      <c r="H1535" s="11">
        <f t="shared" si="231"/>
        <v>26.003400000000003</v>
      </c>
      <c r="I1535" s="11">
        <f t="shared" si="232"/>
        <v>0.19</v>
      </c>
      <c r="J1535" s="12">
        <f t="shared" si="233"/>
        <v>-3.4000000000027342E-3</v>
      </c>
      <c r="K1535" s="17" t="str">
        <f t="shared" si="238"/>
        <v>Ecart négatif</v>
      </c>
      <c r="L1535" s="16">
        <f>base!X1535</f>
        <v>0</v>
      </c>
      <c r="M1535" s="11">
        <f t="shared" si="234"/>
        <v>0</v>
      </c>
      <c r="N1535" s="11">
        <f t="shared" si="235"/>
        <v>0</v>
      </c>
      <c r="O1535" s="11">
        <f t="shared" si="236"/>
        <v>0</v>
      </c>
      <c r="P1535" s="12">
        <f t="shared" si="237"/>
        <v>0</v>
      </c>
      <c r="Q1535" s="17" t="str">
        <f t="shared" si="239"/>
        <v>Pas d'écart</v>
      </c>
    </row>
    <row r="1536" spans="1:17" x14ac:dyDescent="0.3">
      <c r="A1536" s="34" t="str">
        <f>base!J1536</f>
        <v>RM</v>
      </c>
      <c r="B1536" s="34" t="str">
        <f>base!V1536</f>
        <v>76290</v>
      </c>
      <c r="C1536" s="37">
        <v>76</v>
      </c>
      <c r="D1536" s="36">
        <f>base!H1536</f>
        <v>40</v>
      </c>
      <c r="E1536" s="44"/>
      <c r="F1536" s="16">
        <f>base!W1536</f>
        <v>0</v>
      </c>
      <c r="G1536" s="11">
        <f t="shared" si="230"/>
        <v>0</v>
      </c>
      <c r="H1536" s="11">
        <f t="shared" si="231"/>
        <v>6.8000000000000007</v>
      </c>
      <c r="I1536" s="11">
        <f t="shared" si="232"/>
        <v>0.17</v>
      </c>
      <c r="J1536" s="12">
        <f t="shared" si="233"/>
        <v>-6.8000000000000007</v>
      </c>
      <c r="K1536" s="17" t="str">
        <f t="shared" si="238"/>
        <v>Ecart négatif</v>
      </c>
      <c r="L1536" s="16">
        <f>base!X1536</f>
        <v>6.8</v>
      </c>
      <c r="M1536" s="11">
        <f t="shared" si="234"/>
        <v>0.16999999999999998</v>
      </c>
      <c r="N1536" s="11">
        <f t="shared" si="235"/>
        <v>6.8000000000000007</v>
      </c>
      <c r="O1536" s="11">
        <f t="shared" si="236"/>
        <v>0.17</v>
      </c>
      <c r="P1536" s="12">
        <f t="shared" si="237"/>
        <v>0</v>
      </c>
      <c r="Q1536" s="17" t="str">
        <f t="shared" si="239"/>
        <v>Pas d'écart</v>
      </c>
    </row>
    <row r="1537" spans="1:18" x14ac:dyDescent="0.3">
      <c r="A1537" s="34" t="str">
        <f>base!J1537</f>
        <v>LS</v>
      </c>
      <c r="B1537" s="34" t="str">
        <f>base!V1537</f>
        <v>76600</v>
      </c>
      <c r="C1537" s="37">
        <v>59</v>
      </c>
      <c r="D1537" s="36">
        <f>base!H1537</f>
        <v>831.24</v>
      </c>
      <c r="E1537" s="44"/>
      <c r="F1537" s="16">
        <f>base!W1537</f>
        <v>141.31</v>
      </c>
      <c r="G1537" s="11">
        <f t="shared" si="230"/>
        <v>0.169999037582407</v>
      </c>
      <c r="H1537" s="11">
        <f t="shared" si="231"/>
        <v>157.93559999999999</v>
      </c>
      <c r="I1537" s="11">
        <f t="shared" si="232"/>
        <v>0.19</v>
      </c>
      <c r="J1537" s="12">
        <f t="shared" si="233"/>
        <v>-16.625599999999991</v>
      </c>
      <c r="K1537" s="17" t="str">
        <f t="shared" si="238"/>
        <v>Ecart négatif</v>
      </c>
      <c r="L1537" s="16">
        <f>base!X1537</f>
        <v>0</v>
      </c>
      <c r="M1537" s="11">
        <f t="shared" si="234"/>
        <v>0</v>
      </c>
      <c r="N1537" s="11">
        <f t="shared" si="235"/>
        <v>0</v>
      </c>
      <c r="O1537" s="11">
        <f t="shared" si="236"/>
        <v>0</v>
      </c>
      <c r="P1537" s="12">
        <f t="shared" si="237"/>
        <v>0</v>
      </c>
      <c r="Q1537" s="17" t="str">
        <f t="shared" si="239"/>
        <v>Pas d'écart</v>
      </c>
    </row>
    <row r="1538" spans="1:18" x14ac:dyDescent="0.3">
      <c r="A1538" s="34" t="str">
        <f>base!J1538</f>
        <v>LS</v>
      </c>
      <c r="B1538" s="34" t="str">
        <f>base!V1538</f>
        <v>94290</v>
      </c>
      <c r="C1538" s="37">
        <v>94</v>
      </c>
      <c r="D1538" s="36">
        <f>base!H1538</f>
        <v>157.91</v>
      </c>
      <c r="E1538" s="44"/>
      <c r="F1538" s="16">
        <f>base!W1538</f>
        <v>0</v>
      </c>
      <c r="G1538" s="11">
        <f t="shared" ref="G1538:G1601" si="240">F1538/D1538</f>
        <v>0</v>
      </c>
      <c r="H1538" s="11">
        <f t="shared" ref="H1538:H1601" si="241">VLOOKUP(C1538,tout_cout_traction,2,FALSE)*D1538</f>
        <v>0</v>
      </c>
      <c r="I1538" s="11">
        <f t="shared" ref="I1538:I1601" si="242">H1538/D1538</f>
        <v>0</v>
      </c>
      <c r="J1538" s="12">
        <f t="shared" ref="J1538:J1601" si="243">F1538-H1538</f>
        <v>0</v>
      </c>
      <c r="K1538" s="17" t="str">
        <f t="shared" si="238"/>
        <v>Pas d'écart</v>
      </c>
      <c r="L1538" s="16">
        <f>base!X1538</f>
        <v>0</v>
      </c>
      <c r="M1538" s="11">
        <f t="shared" ref="M1538:M1601" si="244">L1538/D1538</f>
        <v>0</v>
      </c>
      <c r="N1538" s="11">
        <f t="shared" ref="N1538:N1601" si="245">VLOOKUP(C1538,tout_cout_traction,3,FALSE)*D1538</f>
        <v>0</v>
      </c>
      <c r="O1538" s="11">
        <f t="shared" ref="O1538:O1601" si="246">N1538/D1538</f>
        <v>0</v>
      </c>
      <c r="P1538" s="12">
        <f t="shared" ref="P1538:P1601" si="247">L1538-N1538</f>
        <v>0</v>
      </c>
      <c r="Q1538" s="17" t="str">
        <f t="shared" si="239"/>
        <v>Pas d'écart</v>
      </c>
    </row>
    <row r="1539" spans="1:18" x14ac:dyDescent="0.3">
      <c r="A1539" s="34" t="str">
        <f>base!J1539</f>
        <v>LS</v>
      </c>
      <c r="B1539" s="34" t="str">
        <f>base!V1539</f>
        <v>29870</v>
      </c>
      <c r="C1539" s="37">
        <v>62</v>
      </c>
      <c r="D1539" s="36">
        <f>base!H1539</f>
        <v>55.34</v>
      </c>
      <c r="E1539" s="44"/>
      <c r="F1539" s="16">
        <f>base!W1539</f>
        <v>21.58</v>
      </c>
      <c r="G1539" s="11">
        <f t="shared" si="240"/>
        <v>0.38995301770870971</v>
      </c>
      <c r="H1539" s="11">
        <f t="shared" si="241"/>
        <v>10.514600000000002</v>
      </c>
      <c r="I1539" s="11">
        <f t="shared" si="242"/>
        <v>0.19</v>
      </c>
      <c r="J1539" s="12">
        <f t="shared" si="243"/>
        <v>11.065399999999997</v>
      </c>
      <c r="K1539" s="17" t="str">
        <f t="shared" ref="K1539:K1602" si="248">IF(H1539=F1539,"Pas d'écart",IF(H1539&lt;F1539,"Ecart positif",IF(H1539&gt;F1539,"Ecart négatif")))</f>
        <v>Ecart positif</v>
      </c>
      <c r="L1539" s="16">
        <f>base!X1539</f>
        <v>0</v>
      </c>
      <c r="M1539" s="11">
        <f t="shared" si="244"/>
        <v>0</v>
      </c>
      <c r="N1539" s="11">
        <f t="shared" si="245"/>
        <v>0</v>
      </c>
      <c r="O1539" s="11">
        <f t="shared" si="246"/>
        <v>0</v>
      </c>
      <c r="P1539" s="12">
        <f t="shared" si="247"/>
        <v>0</v>
      </c>
      <c r="Q1539" s="17" t="str">
        <f t="shared" ref="Q1539:Q1602" si="249">IF(N1539=L1539,"Pas d'écart",IF(N1539&lt;L1539,"Ecart positif",IF(N1539&gt;L1539,"Ecart négatif")))</f>
        <v>Pas d'écart</v>
      </c>
    </row>
    <row r="1540" spans="1:18" x14ac:dyDescent="0.3">
      <c r="A1540" s="34" t="str">
        <f>base!J1540</f>
        <v>LM</v>
      </c>
      <c r="B1540" s="34" t="str">
        <f>base!V1540</f>
        <v>69003</v>
      </c>
      <c r="C1540" s="37">
        <v>69</v>
      </c>
      <c r="D1540" s="36">
        <f>base!H1540</f>
        <v>80</v>
      </c>
      <c r="E1540" s="44"/>
      <c r="F1540" s="16">
        <f>base!W1540</f>
        <v>21.6</v>
      </c>
      <c r="G1540" s="11">
        <f t="shared" si="240"/>
        <v>0.27</v>
      </c>
      <c r="H1540" s="11">
        <f t="shared" si="241"/>
        <v>21.6</v>
      </c>
      <c r="I1540" s="11">
        <f t="shared" si="242"/>
        <v>0.27</v>
      </c>
      <c r="J1540" s="12">
        <f t="shared" si="243"/>
        <v>0</v>
      </c>
      <c r="K1540" s="17" t="str">
        <f t="shared" si="248"/>
        <v>Pas d'écart</v>
      </c>
      <c r="L1540" s="16">
        <f>base!X1540</f>
        <v>0</v>
      </c>
      <c r="M1540" s="11">
        <f t="shared" si="244"/>
        <v>0</v>
      </c>
      <c r="N1540" s="11">
        <f t="shared" si="245"/>
        <v>0</v>
      </c>
      <c r="O1540" s="11">
        <f t="shared" si="246"/>
        <v>0</v>
      </c>
      <c r="P1540" s="12">
        <f t="shared" si="247"/>
        <v>0</v>
      </c>
      <c r="Q1540" s="17" t="str">
        <f t="shared" si="249"/>
        <v>Pas d'écart</v>
      </c>
    </row>
    <row r="1541" spans="1:18" x14ac:dyDescent="0.3">
      <c r="A1541" s="34" t="str">
        <f>base!J1541</f>
        <v>RM</v>
      </c>
      <c r="B1541" s="34" t="str">
        <f>base!V1541</f>
        <v>67230</v>
      </c>
      <c r="C1541" s="37">
        <v>67</v>
      </c>
      <c r="D1541" s="36">
        <f>base!H1541</f>
        <v>151</v>
      </c>
      <c r="E1541" s="44"/>
      <c r="F1541" s="16">
        <f>base!W1541</f>
        <v>0</v>
      </c>
      <c r="G1541" s="11">
        <f t="shared" si="240"/>
        <v>0</v>
      </c>
      <c r="H1541" s="11">
        <f t="shared" si="241"/>
        <v>43.79</v>
      </c>
      <c r="I1541" s="11">
        <f t="shared" si="242"/>
        <v>0.28999999999999998</v>
      </c>
      <c r="J1541" s="12">
        <f t="shared" si="243"/>
        <v>-43.79</v>
      </c>
      <c r="K1541" s="17" t="str">
        <f t="shared" si="248"/>
        <v>Ecart négatif</v>
      </c>
      <c r="L1541" s="16">
        <f>base!X1541</f>
        <v>12.08</v>
      </c>
      <c r="M1541" s="11">
        <f t="shared" si="244"/>
        <v>0.08</v>
      </c>
      <c r="N1541" s="11">
        <f t="shared" si="245"/>
        <v>12.08</v>
      </c>
      <c r="O1541" s="11">
        <f t="shared" si="246"/>
        <v>0.08</v>
      </c>
      <c r="P1541" s="12">
        <f t="shared" si="247"/>
        <v>0</v>
      </c>
      <c r="Q1541" s="17" t="str">
        <f t="shared" si="249"/>
        <v>Pas d'écart</v>
      </c>
      <c r="R1541" s="38"/>
    </row>
    <row r="1542" spans="1:18" x14ac:dyDescent="0.3">
      <c r="A1542" s="34" t="str">
        <f>base!J1542</f>
        <v>LM</v>
      </c>
      <c r="B1542" s="34" t="str">
        <f>base!V1542</f>
        <v>69005</v>
      </c>
      <c r="C1542" s="37">
        <v>62</v>
      </c>
      <c r="D1542" s="36">
        <f>base!H1542</f>
        <v>33.35</v>
      </c>
      <c r="E1542" s="44"/>
      <c r="F1542" s="16">
        <f>base!W1542</f>
        <v>9</v>
      </c>
      <c r="G1542" s="11">
        <f t="shared" si="240"/>
        <v>0.26986506746626687</v>
      </c>
      <c r="H1542" s="11">
        <f t="shared" si="241"/>
        <v>6.3365</v>
      </c>
      <c r="I1542" s="11">
        <f t="shared" si="242"/>
        <v>0.19</v>
      </c>
      <c r="J1542" s="12">
        <f t="shared" si="243"/>
        <v>2.6635</v>
      </c>
      <c r="K1542" s="17" t="str">
        <f t="shared" si="248"/>
        <v>Ecart positif</v>
      </c>
      <c r="L1542" s="16">
        <f>base!X1542</f>
        <v>0</v>
      </c>
      <c r="M1542" s="11">
        <f t="shared" si="244"/>
        <v>0</v>
      </c>
      <c r="N1542" s="11">
        <f t="shared" si="245"/>
        <v>0</v>
      </c>
      <c r="O1542" s="11">
        <f t="shared" si="246"/>
        <v>0</v>
      </c>
      <c r="P1542" s="12">
        <f t="shared" si="247"/>
        <v>0</v>
      </c>
      <c r="Q1542" s="17" t="str">
        <f t="shared" si="249"/>
        <v>Pas d'écart</v>
      </c>
    </row>
    <row r="1543" spans="1:18" x14ac:dyDescent="0.3">
      <c r="A1543" s="34" t="str">
        <f>base!J1543</f>
        <v>RM</v>
      </c>
      <c r="B1543" s="34" t="str">
        <f>base!V1543</f>
        <v>59800</v>
      </c>
      <c r="C1543" s="37">
        <v>59</v>
      </c>
      <c r="D1543" s="36">
        <f>base!H1543</f>
        <v>42.96</v>
      </c>
      <c r="E1543" s="44"/>
      <c r="F1543" s="16">
        <f>base!W1543</f>
        <v>0</v>
      </c>
      <c r="G1543" s="11">
        <f t="shared" si="240"/>
        <v>0</v>
      </c>
      <c r="H1543" s="11">
        <f t="shared" si="241"/>
        <v>8.1623999999999999</v>
      </c>
      <c r="I1543" s="11">
        <f t="shared" si="242"/>
        <v>0.19</v>
      </c>
      <c r="J1543" s="12">
        <f t="shared" si="243"/>
        <v>-8.1623999999999999</v>
      </c>
      <c r="K1543" s="17" t="str">
        <f t="shared" si="248"/>
        <v>Ecart négatif</v>
      </c>
      <c r="L1543" s="16">
        <f>base!X1543</f>
        <v>0</v>
      </c>
      <c r="M1543" s="11">
        <f t="shared" si="244"/>
        <v>0</v>
      </c>
      <c r="N1543" s="11">
        <f t="shared" si="245"/>
        <v>0</v>
      </c>
      <c r="O1543" s="11">
        <f t="shared" si="246"/>
        <v>0</v>
      </c>
      <c r="P1543" s="12">
        <f t="shared" si="247"/>
        <v>0</v>
      </c>
      <c r="Q1543" s="17" t="str">
        <f t="shared" si="249"/>
        <v>Pas d'écart</v>
      </c>
    </row>
    <row r="1544" spans="1:18" x14ac:dyDescent="0.3">
      <c r="A1544" s="34" t="str">
        <f>base!J1544</f>
        <v>RS</v>
      </c>
      <c r="B1544" s="34" t="str">
        <f>base!V1544</f>
        <v>69400</v>
      </c>
      <c r="C1544" s="37">
        <v>69</v>
      </c>
      <c r="D1544" s="36">
        <f>base!H1544</f>
        <v>71.819999999999993</v>
      </c>
      <c r="E1544" s="44"/>
      <c r="F1544" s="16">
        <f>base!W1544</f>
        <v>0</v>
      </c>
      <c r="G1544" s="11">
        <f t="shared" si="240"/>
        <v>0</v>
      </c>
      <c r="H1544" s="11">
        <f t="shared" si="241"/>
        <v>19.391400000000001</v>
      </c>
      <c r="I1544" s="11">
        <f t="shared" si="242"/>
        <v>0.27</v>
      </c>
      <c r="J1544" s="12">
        <f t="shared" si="243"/>
        <v>-19.391400000000001</v>
      </c>
      <c r="K1544" s="17" t="str">
        <f t="shared" si="248"/>
        <v>Ecart négatif</v>
      </c>
      <c r="L1544" s="16">
        <f>base!X1544</f>
        <v>0</v>
      </c>
      <c r="M1544" s="11">
        <f t="shared" si="244"/>
        <v>0</v>
      </c>
      <c r="N1544" s="11">
        <f t="shared" si="245"/>
        <v>0</v>
      </c>
      <c r="O1544" s="11">
        <f t="shared" si="246"/>
        <v>0</v>
      </c>
      <c r="P1544" s="12">
        <f t="shared" si="247"/>
        <v>0</v>
      </c>
      <c r="Q1544" s="17" t="str">
        <f t="shared" si="249"/>
        <v>Pas d'écart</v>
      </c>
    </row>
    <row r="1545" spans="1:18" x14ac:dyDescent="0.3">
      <c r="A1545" s="34" t="str">
        <f>base!J1545</f>
        <v>LM</v>
      </c>
      <c r="B1545" s="34" t="str">
        <f>base!V1545</f>
        <v>44550</v>
      </c>
      <c r="C1545" s="37">
        <v>62</v>
      </c>
      <c r="D1545" s="36">
        <f>base!H1545</f>
        <v>86.34</v>
      </c>
      <c r="E1545" s="44"/>
      <c r="F1545" s="16">
        <f>base!W1545</f>
        <v>23.31</v>
      </c>
      <c r="G1545" s="11">
        <f t="shared" si="240"/>
        <v>0.26997915218902013</v>
      </c>
      <c r="H1545" s="11">
        <f t="shared" si="241"/>
        <v>16.404600000000002</v>
      </c>
      <c r="I1545" s="11">
        <f t="shared" si="242"/>
        <v>0.19000000000000003</v>
      </c>
      <c r="J1545" s="12">
        <f t="shared" si="243"/>
        <v>6.9053999999999967</v>
      </c>
      <c r="K1545" s="17" t="str">
        <f t="shared" si="248"/>
        <v>Ecart positif</v>
      </c>
      <c r="L1545" s="16">
        <f>base!X1545</f>
        <v>0</v>
      </c>
      <c r="M1545" s="11">
        <f t="shared" si="244"/>
        <v>0</v>
      </c>
      <c r="N1545" s="11">
        <f t="shared" si="245"/>
        <v>0</v>
      </c>
      <c r="O1545" s="11">
        <f t="shared" si="246"/>
        <v>0</v>
      </c>
      <c r="P1545" s="12">
        <f t="shared" si="247"/>
        <v>0</v>
      </c>
      <c r="Q1545" s="17" t="str">
        <f t="shared" si="249"/>
        <v>Pas d'écart</v>
      </c>
    </row>
    <row r="1546" spans="1:18" x14ac:dyDescent="0.3">
      <c r="A1546" s="34" t="str">
        <f>base!J1546</f>
        <v>LM</v>
      </c>
      <c r="B1546" s="34" t="str">
        <f>base!V1546</f>
        <v>94100</v>
      </c>
      <c r="C1546" s="37">
        <v>94</v>
      </c>
      <c r="D1546" s="36">
        <f>base!H1546</f>
        <v>25</v>
      </c>
      <c r="E1546" s="44"/>
      <c r="F1546" s="16">
        <f>base!W1546</f>
        <v>0</v>
      </c>
      <c r="G1546" s="11">
        <f t="shared" si="240"/>
        <v>0</v>
      </c>
      <c r="H1546" s="11">
        <f t="shared" si="241"/>
        <v>0</v>
      </c>
      <c r="I1546" s="11">
        <f t="shared" si="242"/>
        <v>0</v>
      </c>
      <c r="J1546" s="12">
        <f t="shared" si="243"/>
        <v>0</v>
      </c>
      <c r="K1546" s="17" t="str">
        <f t="shared" si="248"/>
        <v>Pas d'écart</v>
      </c>
      <c r="L1546" s="16">
        <f>base!X1546</f>
        <v>0</v>
      </c>
      <c r="M1546" s="11">
        <f t="shared" si="244"/>
        <v>0</v>
      </c>
      <c r="N1546" s="11">
        <f t="shared" si="245"/>
        <v>0</v>
      </c>
      <c r="O1546" s="11">
        <f t="shared" si="246"/>
        <v>0</v>
      </c>
      <c r="P1546" s="12">
        <f t="shared" si="247"/>
        <v>0</v>
      </c>
      <c r="Q1546" s="17" t="str">
        <f t="shared" si="249"/>
        <v>Pas d'écart</v>
      </c>
    </row>
    <row r="1547" spans="1:18" x14ac:dyDescent="0.3">
      <c r="A1547" s="34" t="str">
        <f>base!J1547</f>
        <v>LS</v>
      </c>
      <c r="B1547" s="34" t="str">
        <f>base!V1547</f>
        <v>06000</v>
      </c>
      <c r="C1547" s="37">
        <v>60</v>
      </c>
      <c r="D1547" s="36">
        <f>base!H1547</f>
        <v>55.14</v>
      </c>
      <c r="E1547" s="44"/>
      <c r="F1547" s="16">
        <f>base!W1547</f>
        <v>16.54</v>
      </c>
      <c r="G1547" s="11">
        <f t="shared" si="240"/>
        <v>0.29996372869060572</v>
      </c>
      <c r="H1547" s="11">
        <f t="shared" si="241"/>
        <v>10.476599999999999</v>
      </c>
      <c r="I1547" s="11">
        <f t="shared" si="242"/>
        <v>0.19</v>
      </c>
      <c r="J1547" s="12">
        <f t="shared" si="243"/>
        <v>6.0633999999999997</v>
      </c>
      <c r="K1547" s="17" t="str">
        <f t="shared" si="248"/>
        <v>Ecart positif</v>
      </c>
      <c r="L1547" s="16">
        <f>base!X1547</f>
        <v>0</v>
      </c>
      <c r="M1547" s="11">
        <f t="shared" si="244"/>
        <v>0</v>
      </c>
      <c r="N1547" s="11">
        <f t="shared" si="245"/>
        <v>0</v>
      </c>
      <c r="O1547" s="11">
        <f t="shared" si="246"/>
        <v>0</v>
      </c>
      <c r="P1547" s="12">
        <f t="shared" si="247"/>
        <v>0</v>
      </c>
      <c r="Q1547" s="17" t="str">
        <f t="shared" si="249"/>
        <v>Pas d'écart</v>
      </c>
    </row>
    <row r="1548" spans="1:18" x14ac:dyDescent="0.3">
      <c r="A1548" s="34">
        <f>base!J1548</f>
        <v>0</v>
      </c>
      <c r="B1548" s="34" t="str">
        <f>base!V1548</f>
        <v>77184</v>
      </c>
      <c r="C1548" s="37">
        <v>77</v>
      </c>
      <c r="D1548" s="36">
        <f>base!H1548</f>
        <v>183.04</v>
      </c>
      <c r="E1548" s="44"/>
      <c r="F1548" s="16">
        <f>base!W1548</f>
        <v>0</v>
      </c>
      <c r="G1548" s="11">
        <f t="shared" si="240"/>
        <v>0</v>
      </c>
      <c r="H1548" s="11">
        <f t="shared" si="241"/>
        <v>0</v>
      </c>
      <c r="I1548" s="11">
        <f t="shared" si="242"/>
        <v>0</v>
      </c>
      <c r="J1548" s="12">
        <f t="shared" si="243"/>
        <v>0</v>
      </c>
      <c r="K1548" s="17" t="str">
        <f t="shared" si="248"/>
        <v>Pas d'écart</v>
      </c>
      <c r="L1548" s="16">
        <f>base!X1548</f>
        <v>0</v>
      </c>
      <c r="M1548" s="11">
        <f t="shared" si="244"/>
        <v>0</v>
      </c>
      <c r="N1548" s="11">
        <f t="shared" si="245"/>
        <v>0</v>
      </c>
      <c r="O1548" s="11">
        <f t="shared" si="246"/>
        <v>0</v>
      </c>
      <c r="P1548" s="12">
        <f t="shared" si="247"/>
        <v>0</v>
      </c>
      <c r="Q1548" s="17" t="str">
        <f t="shared" si="249"/>
        <v>Pas d'écart</v>
      </c>
    </row>
    <row r="1549" spans="1:18" x14ac:dyDescent="0.3">
      <c r="A1549" s="34" t="str">
        <f>base!J1549</f>
        <v>RS</v>
      </c>
      <c r="B1549" s="34" t="str">
        <f>base!V1549</f>
        <v>75008</v>
      </c>
      <c r="C1549" s="37">
        <v>75</v>
      </c>
      <c r="D1549" s="36">
        <f>base!H1549</f>
        <v>0</v>
      </c>
      <c r="E1549" s="44"/>
      <c r="F1549" s="16">
        <f>base!W1549</f>
        <v>0</v>
      </c>
      <c r="G1549" s="11" t="e">
        <f t="shared" si="240"/>
        <v>#DIV/0!</v>
      </c>
      <c r="H1549" s="11">
        <f t="shared" si="241"/>
        <v>0</v>
      </c>
      <c r="I1549" s="11" t="e">
        <f t="shared" si="242"/>
        <v>#DIV/0!</v>
      </c>
      <c r="J1549" s="12">
        <f t="shared" si="243"/>
        <v>0</v>
      </c>
      <c r="K1549" s="17" t="str">
        <f t="shared" si="248"/>
        <v>Pas d'écart</v>
      </c>
      <c r="L1549" s="16">
        <f>base!X1549</f>
        <v>0</v>
      </c>
      <c r="M1549" s="11" t="e">
        <f t="shared" si="244"/>
        <v>#DIV/0!</v>
      </c>
      <c r="N1549" s="11">
        <f t="shared" si="245"/>
        <v>0</v>
      </c>
      <c r="O1549" s="11" t="e">
        <f t="shared" si="246"/>
        <v>#DIV/0!</v>
      </c>
      <c r="P1549" s="12">
        <f t="shared" si="247"/>
        <v>0</v>
      </c>
      <c r="Q1549" s="17" t="str">
        <f t="shared" si="249"/>
        <v>Pas d'écart</v>
      </c>
    </row>
    <row r="1550" spans="1:18" x14ac:dyDescent="0.3">
      <c r="A1550" s="34" t="str">
        <f>base!J1550</f>
        <v>DLS</v>
      </c>
      <c r="B1550" s="34" t="str">
        <f>base!V1550</f>
        <v>59260</v>
      </c>
      <c r="C1550" s="37">
        <v>59</v>
      </c>
      <c r="D1550" s="36">
        <f>base!H1550</f>
        <v>180</v>
      </c>
      <c r="E1550" s="44"/>
      <c r="F1550" s="16">
        <f>base!W1550</f>
        <v>34.200000000000003</v>
      </c>
      <c r="G1550" s="11">
        <f t="shared" si="240"/>
        <v>0.19</v>
      </c>
      <c r="H1550" s="11">
        <f t="shared" si="241"/>
        <v>34.200000000000003</v>
      </c>
      <c r="I1550" s="11">
        <f t="shared" si="242"/>
        <v>0.19</v>
      </c>
      <c r="J1550" s="12">
        <f t="shared" si="243"/>
        <v>0</v>
      </c>
      <c r="K1550" s="17" t="str">
        <f t="shared" si="248"/>
        <v>Pas d'écart</v>
      </c>
      <c r="L1550" s="16">
        <f>base!X1550</f>
        <v>0</v>
      </c>
      <c r="M1550" s="11">
        <f t="shared" si="244"/>
        <v>0</v>
      </c>
      <c r="N1550" s="11">
        <f t="shared" si="245"/>
        <v>0</v>
      </c>
      <c r="O1550" s="11">
        <f t="shared" si="246"/>
        <v>0</v>
      </c>
      <c r="P1550" s="12">
        <f t="shared" si="247"/>
        <v>0</v>
      </c>
      <c r="Q1550" s="17" t="str">
        <f t="shared" si="249"/>
        <v>Pas d'écart</v>
      </c>
    </row>
    <row r="1551" spans="1:18" x14ac:dyDescent="0.3">
      <c r="A1551" s="34" t="str">
        <f>base!J1551</f>
        <v>LS</v>
      </c>
      <c r="B1551" s="34" t="str">
        <f>base!V1551</f>
        <v>95270</v>
      </c>
      <c r="C1551" s="37">
        <v>95</v>
      </c>
      <c r="D1551" s="36">
        <f>base!H1551</f>
        <v>201</v>
      </c>
      <c r="E1551" s="44"/>
      <c r="F1551" s="16">
        <f>base!W1551</f>
        <v>0</v>
      </c>
      <c r="G1551" s="11">
        <f t="shared" si="240"/>
        <v>0</v>
      </c>
      <c r="H1551" s="11">
        <f t="shared" si="241"/>
        <v>0</v>
      </c>
      <c r="I1551" s="11">
        <f t="shared" si="242"/>
        <v>0</v>
      </c>
      <c r="J1551" s="12">
        <f t="shared" si="243"/>
        <v>0</v>
      </c>
      <c r="K1551" s="17" t="str">
        <f t="shared" si="248"/>
        <v>Pas d'écart</v>
      </c>
      <c r="L1551" s="16">
        <f>base!X1551</f>
        <v>0</v>
      </c>
      <c r="M1551" s="11">
        <f t="shared" si="244"/>
        <v>0</v>
      </c>
      <c r="N1551" s="11">
        <f t="shared" si="245"/>
        <v>0</v>
      </c>
      <c r="O1551" s="11">
        <f t="shared" si="246"/>
        <v>0</v>
      </c>
      <c r="P1551" s="12">
        <f t="shared" si="247"/>
        <v>0</v>
      </c>
      <c r="Q1551" s="17" t="str">
        <f t="shared" si="249"/>
        <v>Pas d'écart</v>
      </c>
    </row>
    <row r="1552" spans="1:18" x14ac:dyDescent="0.3">
      <c r="A1552" s="34" t="str">
        <f>base!J1552</f>
        <v>LM</v>
      </c>
      <c r="B1552" s="34" t="str">
        <f>base!V1552</f>
        <v>63100</v>
      </c>
      <c r="C1552" s="37">
        <v>62</v>
      </c>
      <c r="D1552" s="36">
        <f>base!H1552</f>
        <v>7.99</v>
      </c>
      <c r="E1552" s="44"/>
      <c r="F1552" s="16">
        <f>base!W1552</f>
        <v>2.3199999999999998</v>
      </c>
      <c r="G1552" s="11">
        <f t="shared" si="240"/>
        <v>0.29036295369211512</v>
      </c>
      <c r="H1552" s="11">
        <f t="shared" si="241"/>
        <v>1.5181</v>
      </c>
      <c r="I1552" s="11">
        <f t="shared" si="242"/>
        <v>0.19</v>
      </c>
      <c r="J1552" s="12">
        <f t="shared" si="243"/>
        <v>0.80189999999999984</v>
      </c>
      <c r="K1552" s="17" t="str">
        <f t="shared" si="248"/>
        <v>Ecart positif</v>
      </c>
      <c r="L1552" s="16">
        <f>base!X1552</f>
        <v>0</v>
      </c>
      <c r="M1552" s="11">
        <f t="shared" si="244"/>
        <v>0</v>
      </c>
      <c r="N1552" s="11">
        <f t="shared" si="245"/>
        <v>0</v>
      </c>
      <c r="O1552" s="11">
        <f t="shared" si="246"/>
        <v>0</v>
      </c>
      <c r="P1552" s="12">
        <f t="shared" si="247"/>
        <v>0</v>
      </c>
      <c r="Q1552" s="17" t="str">
        <f t="shared" si="249"/>
        <v>Pas d'écart</v>
      </c>
    </row>
    <row r="1553" spans="1:18" x14ac:dyDescent="0.3">
      <c r="A1553" s="34" t="str">
        <f>base!J1553</f>
        <v>Stockage</v>
      </c>
      <c r="B1553" s="34" t="str">
        <f>base!V1553</f>
        <v/>
      </c>
      <c r="C1553" s="40" t="s">
        <v>11</v>
      </c>
      <c r="D1553" s="36">
        <f>base!H1553</f>
        <v>0</v>
      </c>
      <c r="E1553" s="44"/>
      <c r="F1553" s="16">
        <f>base!W1553</f>
        <v>0</v>
      </c>
      <c r="G1553" s="11" t="e">
        <f t="shared" si="240"/>
        <v>#DIV/0!</v>
      </c>
      <c r="H1553" s="11" t="e">
        <f t="shared" si="241"/>
        <v>#N/A</v>
      </c>
      <c r="I1553" s="11" t="e">
        <f t="shared" si="242"/>
        <v>#N/A</v>
      </c>
      <c r="J1553" s="12" t="e">
        <f t="shared" si="243"/>
        <v>#N/A</v>
      </c>
      <c r="K1553" s="17" t="e">
        <f t="shared" si="248"/>
        <v>#N/A</v>
      </c>
      <c r="L1553" s="16">
        <f>base!X1553</f>
        <v>0</v>
      </c>
      <c r="M1553" s="11" t="e">
        <f t="shared" si="244"/>
        <v>#DIV/0!</v>
      </c>
      <c r="N1553" s="11" t="e">
        <f t="shared" si="245"/>
        <v>#N/A</v>
      </c>
      <c r="O1553" s="11" t="e">
        <f t="shared" si="246"/>
        <v>#N/A</v>
      </c>
      <c r="P1553" s="12" t="e">
        <f t="shared" si="247"/>
        <v>#N/A</v>
      </c>
      <c r="Q1553" s="17" t="e">
        <f t="shared" si="249"/>
        <v>#N/A</v>
      </c>
    </row>
    <row r="1554" spans="1:18" x14ac:dyDescent="0.3">
      <c r="A1554" s="34" t="str">
        <f>base!J1554</f>
        <v>RM</v>
      </c>
      <c r="B1554" s="34" t="str">
        <f>base!V1554</f>
        <v>13800</v>
      </c>
      <c r="C1554" s="37">
        <v>13</v>
      </c>
      <c r="D1554" s="36">
        <f>base!H1554</f>
        <v>70</v>
      </c>
      <c r="E1554" s="44"/>
      <c r="F1554" s="16">
        <f>base!W1554</f>
        <v>0</v>
      </c>
      <c r="G1554" s="11">
        <f t="shared" si="240"/>
        <v>0</v>
      </c>
      <c r="H1554" s="11">
        <f t="shared" si="241"/>
        <v>20.299999999999997</v>
      </c>
      <c r="I1554" s="11">
        <f t="shared" si="242"/>
        <v>0.28999999999999998</v>
      </c>
      <c r="J1554" s="12">
        <f t="shared" si="243"/>
        <v>-20.299999999999997</v>
      </c>
      <c r="K1554" s="17" t="str">
        <f t="shared" si="248"/>
        <v>Ecart négatif</v>
      </c>
      <c r="L1554" s="16">
        <f>base!X1554</f>
        <v>13.3</v>
      </c>
      <c r="M1554" s="11">
        <f t="shared" si="244"/>
        <v>0.19</v>
      </c>
      <c r="N1554" s="11">
        <f t="shared" si="245"/>
        <v>13.3</v>
      </c>
      <c r="O1554" s="11">
        <f t="shared" si="246"/>
        <v>0.19</v>
      </c>
      <c r="P1554" s="12">
        <f t="shared" si="247"/>
        <v>0</v>
      </c>
      <c r="Q1554" s="17" t="str">
        <f t="shared" si="249"/>
        <v>Pas d'écart</v>
      </c>
      <c r="R1554" s="38"/>
    </row>
    <row r="1555" spans="1:18" x14ac:dyDescent="0.3">
      <c r="A1555" s="34" t="str">
        <f>base!J1555</f>
        <v>RM</v>
      </c>
      <c r="B1555" s="34" t="str">
        <f>base!V1555</f>
        <v>48200</v>
      </c>
      <c r="C1555" s="37">
        <v>48</v>
      </c>
      <c r="D1555" s="36">
        <f>base!H1555</f>
        <v>140</v>
      </c>
      <c r="E1555" s="44"/>
      <c r="F1555" s="16">
        <f>base!W1555</f>
        <v>0</v>
      </c>
      <c r="G1555" s="11">
        <f t="shared" si="240"/>
        <v>0</v>
      </c>
      <c r="H1555" s="11">
        <f t="shared" si="241"/>
        <v>54.6</v>
      </c>
      <c r="I1555" s="11">
        <f t="shared" si="242"/>
        <v>0.39</v>
      </c>
      <c r="J1555" s="12">
        <f t="shared" si="243"/>
        <v>-54.6</v>
      </c>
      <c r="K1555" s="17" t="str">
        <f t="shared" si="248"/>
        <v>Ecart négatif</v>
      </c>
      <c r="L1555" s="16">
        <f>base!X1555</f>
        <v>54.6</v>
      </c>
      <c r="M1555" s="11">
        <f t="shared" si="244"/>
        <v>0.39</v>
      </c>
      <c r="N1555" s="11">
        <f t="shared" si="245"/>
        <v>39.200000000000003</v>
      </c>
      <c r="O1555" s="11">
        <f t="shared" si="246"/>
        <v>0.28000000000000003</v>
      </c>
      <c r="P1555" s="12">
        <f t="shared" si="247"/>
        <v>15.399999999999999</v>
      </c>
      <c r="Q1555" s="17" t="str">
        <f t="shared" si="249"/>
        <v>Ecart positif</v>
      </c>
    </row>
    <row r="1556" spans="1:18" x14ac:dyDescent="0.3">
      <c r="A1556" s="34" t="str">
        <f>base!J1556</f>
        <v>RS</v>
      </c>
      <c r="B1556" s="34" t="str">
        <f>base!V1556</f>
        <v>69100</v>
      </c>
      <c r="C1556" s="37">
        <v>69</v>
      </c>
      <c r="D1556" s="36">
        <f>base!H1556</f>
        <v>180</v>
      </c>
      <c r="E1556" s="44"/>
      <c r="F1556" s="16">
        <f>base!W1556</f>
        <v>0</v>
      </c>
      <c r="G1556" s="11">
        <f t="shared" si="240"/>
        <v>0</v>
      </c>
      <c r="H1556" s="11">
        <f t="shared" si="241"/>
        <v>48.6</v>
      </c>
      <c r="I1556" s="11">
        <f t="shared" si="242"/>
        <v>0.27</v>
      </c>
      <c r="J1556" s="12">
        <f t="shared" si="243"/>
        <v>-48.6</v>
      </c>
      <c r="K1556" s="17" t="str">
        <f t="shared" si="248"/>
        <v>Ecart négatif</v>
      </c>
      <c r="L1556" s="16">
        <f>base!X1556</f>
        <v>0</v>
      </c>
      <c r="M1556" s="11">
        <f t="shared" si="244"/>
        <v>0</v>
      </c>
      <c r="N1556" s="11">
        <f t="shared" si="245"/>
        <v>0</v>
      </c>
      <c r="O1556" s="11">
        <f t="shared" si="246"/>
        <v>0</v>
      </c>
      <c r="P1556" s="12">
        <f t="shared" si="247"/>
        <v>0</v>
      </c>
      <c r="Q1556" s="17" t="str">
        <f t="shared" si="249"/>
        <v>Pas d'écart</v>
      </c>
    </row>
    <row r="1557" spans="1:18" x14ac:dyDescent="0.3">
      <c r="A1557" s="34" t="str">
        <f>base!J1557</f>
        <v>RM</v>
      </c>
      <c r="B1557" s="34" t="str">
        <f>base!V1557</f>
        <v>69007</v>
      </c>
      <c r="C1557" s="37">
        <v>69</v>
      </c>
      <c r="D1557" s="36">
        <f>base!H1557</f>
        <v>155</v>
      </c>
      <c r="E1557" s="44"/>
      <c r="F1557" s="16">
        <f>base!W1557</f>
        <v>0</v>
      </c>
      <c r="G1557" s="11">
        <f t="shared" si="240"/>
        <v>0</v>
      </c>
      <c r="H1557" s="11">
        <f t="shared" si="241"/>
        <v>41.85</v>
      </c>
      <c r="I1557" s="11">
        <f t="shared" si="242"/>
        <v>0.27</v>
      </c>
      <c r="J1557" s="12">
        <f t="shared" si="243"/>
        <v>-41.85</v>
      </c>
      <c r="K1557" s="17" t="str">
        <f t="shared" si="248"/>
        <v>Ecart négatif</v>
      </c>
      <c r="L1557" s="16">
        <f>base!X1557</f>
        <v>0</v>
      </c>
      <c r="M1557" s="11">
        <f t="shared" si="244"/>
        <v>0</v>
      </c>
      <c r="N1557" s="11">
        <f t="shared" si="245"/>
        <v>0</v>
      </c>
      <c r="O1557" s="11">
        <f t="shared" si="246"/>
        <v>0</v>
      </c>
      <c r="P1557" s="12">
        <f t="shared" si="247"/>
        <v>0</v>
      </c>
      <c r="Q1557" s="17" t="str">
        <f t="shared" si="249"/>
        <v>Pas d'écart</v>
      </c>
    </row>
    <row r="1558" spans="1:18" x14ac:dyDescent="0.3">
      <c r="A1558" s="34" t="str">
        <f>base!J1558</f>
        <v>RS</v>
      </c>
      <c r="B1558" s="34" t="str">
        <f>base!V1558</f>
        <v>14000</v>
      </c>
      <c r="C1558" s="37">
        <v>14</v>
      </c>
      <c r="D1558" s="36">
        <f>base!H1558</f>
        <v>153.97999999999999</v>
      </c>
      <c r="E1558" s="44"/>
      <c r="F1558" s="16">
        <f>base!W1558</f>
        <v>0</v>
      </c>
      <c r="G1558" s="11">
        <f t="shared" si="240"/>
        <v>0</v>
      </c>
      <c r="H1558" s="11">
        <f t="shared" si="241"/>
        <v>26.176600000000001</v>
      </c>
      <c r="I1558" s="11">
        <f t="shared" si="242"/>
        <v>0.17</v>
      </c>
      <c r="J1558" s="12">
        <f t="shared" si="243"/>
        <v>-26.176600000000001</v>
      </c>
      <c r="K1558" s="17" t="str">
        <f t="shared" si="248"/>
        <v>Ecart négatif</v>
      </c>
      <c r="L1558" s="16">
        <f>base!X1558</f>
        <v>0</v>
      </c>
      <c r="M1558" s="11">
        <f t="shared" si="244"/>
        <v>0</v>
      </c>
      <c r="N1558" s="11">
        <f t="shared" si="245"/>
        <v>26.176600000000001</v>
      </c>
      <c r="O1558" s="11">
        <f t="shared" si="246"/>
        <v>0.17</v>
      </c>
      <c r="P1558" s="12">
        <f t="shared" si="247"/>
        <v>-26.176600000000001</v>
      </c>
      <c r="Q1558" s="17" t="str">
        <f t="shared" si="249"/>
        <v>Ecart négatif</v>
      </c>
    </row>
    <row r="1559" spans="1:18" x14ac:dyDescent="0.3">
      <c r="A1559" s="34" t="str">
        <f>base!J1559</f>
        <v>RM</v>
      </c>
      <c r="B1559" s="34" t="str">
        <f>base!V1559</f>
        <v>14000</v>
      </c>
      <c r="C1559" s="37">
        <v>14</v>
      </c>
      <c r="D1559" s="36">
        <f>base!H1559</f>
        <v>140</v>
      </c>
      <c r="E1559" s="44"/>
      <c r="F1559" s="16">
        <f>base!W1559</f>
        <v>0</v>
      </c>
      <c r="G1559" s="11">
        <f t="shared" si="240"/>
        <v>0</v>
      </c>
      <c r="H1559" s="11">
        <f t="shared" si="241"/>
        <v>23.8</v>
      </c>
      <c r="I1559" s="11">
        <f t="shared" si="242"/>
        <v>0.17</v>
      </c>
      <c r="J1559" s="12">
        <f t="shared" si="243"/>
        <v>-23.8</v>
      </c>
      <c r="K1559" s="17" t="str">
        <f t="shared" si="248"/>
        <v>Ecart négatif</v>
      </c>
      <c r="L1559" s="16">
        <f>base!X1559</f>
        <v>0</v>
      </c>
      <c r="M1559" s="11">
        <f t="shared" si="244"/>
        <v>0</v>
      </c>
      <c r="N1559" s="11">
        <f t="shared" si="245"/>
        <v>23.8</v>
      </c>
      <c r="O1559" s="11">
        <f t="shared" si="246"/>
        <v>0.17</v>
      </c>
      <c r="P1559" s="12">
        <f t="shared" si="247"/>
        <v>-23.8</v>
      </c>
      <c r="Q1559" s="17" t="str">
        <f t="shared" si="249"/>
        <v>Ecart négatif</v>
      </c>
    </row>
    <row r="1560" spans="1:18" x14ac:dyDescent="0.3">
      <c r="A1560" s="34" t="str">
        <f>base!J1560</f>
        <v>RM</v>
      </c>
      <c r="B1560" s="34" t="str">
        <f>base!V1560</f>
        <v>14000</v>
      </c>
      <c r="C1560" s="37">
        <v>14</v>
      </c>
      <c r="D1560" s="36">
        <f>base!H1560</f>
        <v>195.02</v>
      </c>
      <c r="E1560" s="44"/>
      <c r="F1560" s="16">
        <f>base!W1560</f>
        <v>0</v>
      </c>
      <c r="G1560" s="11">
        <f t="shared" si="240"/>
        <v>0</v>
      </c>
      <c r="H1560" s="11">
        <f t="shared" si="241"/>
        <v>33.153400000000005</v>
      </c>
      <c r="I1560" s="11">
        <f t="shared" si="242"/>
        <v>0.17</v>
      </c>
      <c r="J1560" s="12">
        <f t="shared" si="243"/>
        <v>-33.153400000000005</v>
      </c>
      <c r="K1560" s="17" t="str">
        <f t="shared" si="248"/>
        <v>Ecart négatif</v>
      </c>
      <c r="L1560" s="16">
        <f>base!X1560</f>
        <v>0</v>
      </c>
      <c r="M1560" s="11">
        <f t="shared" si="244"/>
        <v>0</v>
      </c>
      <c r="N1560" s="11">
        <f t="shared" si="245"/>
        <v>33.153400000000005</v>
      </c>
      <c r="O1560" s="11">
        <f t="shared" si="246"/>
        <v>0.17</v>
      </c>
      <c r="P1560" s="12">
        <f t="shared" si="247"/>
        <v>-33.153400000000005</v>
      </c>
      <c r="Q1560" s="17" t="str">
        <f t="shared" si="249"/>
        <v>Ecart négatif</v>
      </c>
    </row>
    <row r="1561" spans="1:18" x14ac:dyDescent="0.3">
      <c r="A1561" s="34" t="str">
        <f>base!J1561</f>
        <v>RM</v>
      </c>
      <c r="B1561" s="34" t="str">
        <f>base!V1561</f>
        <v>67000</v>
      </c>
      <c r="C1561" s="37">
        <v>67</v>
      </c>
      <c r="D1561" s="36">
        <f>base!H1561</f>
        <v>40.93</v>
      </c>
      <c r="E1561" s="44"/>
      <c r="F1561" s="16">
        <f>base!W1561</f>
        <v>0</v>
      </c>
      <c r="G1561" s="11">
        <f t="shared" si="240"/>
        <v>0</v>
      </c>
      <c r="H1561" s="11">
        <f t="shared" si="241"/>
        <v>11.8697</v>
      </c>
      <c r="I1561" s="11">
        <f t="shared" si="242"/>
        <v>0.28999999999999998</v>
      </c>
      <c r="J1561" s="12">
        <f t="shared" si="243"/>
        <v>-11.8697</v>
      </c>
      <c r="K1561" s="17" t="str">
        <f t="shared" si="248"/>
        <v>Ecart négatif</v>
      </c>
      <c r="L1561" s="16">
        <f>base!X1561</f>
        <v>3.27</v>
      </c>
      <c r="M1561" s="11">
        <f t="shared" si="244"/>
        <v>7.989249938920108E-2</v>
      </c>
      <c r="N1561" s="11">
        <f t="shared" si="245"/>
        <v>3.2744</v>
      </c>
      <c r="O1561" s="11">
        <f t="shared" si="246"/>
        <v>0.08</v>
      </c>
      <c r="P1561" s="12">
        <f t="shared" si="247"/>
        <v>-4.3999999999999595E-3</v>
      </c>
      <c r="Q1561" s="17" t="str">
        <f t="shared" si="249"/>
        <v>Ecart négatif</v>
      </c>
      <c r="R1561" s="38"/>
    </row>
    <row r="1562" spans="1:18" x14ac:dyDescent="0.3">
      <c r="A1562" s="34" t="str">
        <f>base!J1562</f>
        <v>RM</v>
      </c>
      <c r="B1562" s="34" t="str">
        <f>base!V1562</f>
        <v>69120</v>
      </c>
      <c r="C1562" s="37">
        <v>69</v>
      </c>
      <c r="D1562" s="36">
        <f>base!H1562</f>
        <v>151</v>
      </c>
      <c r="E1562" s="44"/>
      <c r="F1562" s="16">
        <f>base!W1562</f>
        <v>0</v>
      </c>
      <c r="G1562" s="11">
        <f t="shared" si="240"/>
        <v>0</v>
      </c>
      <c r="H1562" s="11">
        <f t="shared" si="241"/>
        <v>40.770000000000003</v>
      </c>
      <c r="I1562" s="11">
        <f t="shared" si="242"/>
        <v>0.27</v>
      </c>
      <c r="J1562" s="12">
        <f t="shared" si="243"/>
        <v>-40.770000000000003</v>
      </c>
      <c r="K1562" s="17" t="str">
        <f t="shared" si="248"/>
        <v>Ecart négatif</v>
      </c>
      <c r="L1562" s="16">
        <f>base!X1562</f>
        <v>0</v>
      </c>
      <c r="M1562" s="11">
        <f t="shared" si="244"/>
        <v>0</v>
      </c>
      <c r="N1562" s="11">
        <f t="shared" si="245"/>
        <v>0</v>
      </c>
      <c r="O1562" s="11">
        <f t="shared" si="246"/>
        <v>0</v>
      </c>
      <c r="P1562" s="12">
        <f t="shared" si="247"/>
        <v>0</v>
      </c>
      <c r="Q1562" s="17" t="str">
        <f t="shared" si="249"/>
        <v>Pas d'écart</v>
      </c>
    </row>
    <row r="1563" spans="1:18" x14ac:dyDescent="0.3">
      <c r="A1563" s="34" t="str">
        <f>base!J1563</f>
        <v>RS</v>
      </c>
      <c r="B1563" s="34" t="str">
        <f>base!V1563</f>
        <v>83190</v>
      </c>
      <c r="C1563" s="37">
        <v>83</v>
      </c>
      <c r="D1563" s="36">
        <f>base!H1563</f>
        <v>70</v>
      </c>
      <c r="E1563" s="44"/>
      <c r="F1563" s="16">
        <f>base!W1563</f>
        <v>0</v>
      </c>
      <c r="G1563" s="11">
        <f t="shared" si="240"/>
        <v>0</v>
      </c>
      <c r="H1563" s="11">
        <f t="shared" si="241"/>
        <v>21</v>
      </c>
      <c r="I1563" s="11">
        <f t="shared" si="242"/>
        <v>0.3</v>
      </c>
      <c r="J1563" s="12">
        <f t="shared" si="243"/>
        <v>-21</v>
      </c>
      <c r="K1563" s="17" t="str">
        <f t="shared" si="248"/>
        <v>Ecart négatif</v>
      </c>
      <c r="L1563" s="16">
        <f>base!X1563</f>
        <v>14.7</v>
      </c>
      <c r="M1563" s="11">
        <f t="shared" si="244"/>
        <v>0.21</v>
      </c>
      <c r="N1563" s="11">
        <f t="shared" si="245"/>
        <v>14.7</v>
      </c>
      <c r="O1563" s="11">
        <f t="shared" si="246"/>
        <v>0.21</v>
      </c>
      <c r="P1563" s="12">
        <f t="shared" si="247"/>
        <v>0</v>
      </c>
      <c r="Q1563" s="17" t="str">
        <f t="shared" si="249"/>
        <v>Pas d'écart</v>
      </c>
      <c r="R1563" s="38"/>
    </row>
    <row r="1564" spans="1:18" x14ac:dyDescent="0.3">
      <c r="A1564" s="34" t="str">
        <f>base!J1564</f>
        <v>RS</v>
      </c>
      <c r="B1564" s="34" t="str">
        <f>base!V1564</f>
        <v>29870</v>
      </c>
      <c r="C1564" s="37">
        <v>29</v>
      </c>
      <c r="D1564" s="36">
        <f>base!H1564</f>
        <v>99.01</v>
      </c>
      <c r="E1564" s="44"/>
      <c r="F1564" s="16">
        <f>base!W1564</f>
        <v>0</v>
      </c>
      <c r="G1564" s="11">
        <f t="shared" si="240"/>
        <v>0</v>
      </c>
      <c r="H1564" s="11">
        <f t="shared" si="241"/>
        <v>38.613900000000001</v>
      </c>
      <c r="I1564" s="11">
        <f t="shared" si="242"/>
        <v>0.39</v>
      </c>
      <c r="J1564" s="12">
        <f t="shared" si="243"/>
        <v>-38.613900000000001</v>
      </c>
      <c r="K1564" s="17" t="str">
        <f t="shared" si="248"/>
        <v>Ecart négatif</v>
      </c>
      <c r="L1564" s="16">
        <f>base!X1564</f>
        <v>0</v>
      </c>
      <c r="M1564" s="11">
        <f t="shared" si="244"/>
        <v>0</v>
      </c>
      <c r="N1564" s="11">
        <f t="shared" si="245"/>
        <v>11.8812</v>
      </c>
      <c r="O1564" s="11">
        <f t="shared" si="246"/>
        <v>0.12</v>
      </c>
      <c r="P1564" s="12">
        <f t="shared" si="247"/>
        <v>-11.8812</v>
      </c>
      <c r="Q1564" s="17" t="str">
        <f t="shared" si="249"/>
        <v>Ecart négatif</v>
      </c>
    </row>
    <row r="1565" spans="1:18" x14ac:dyDescent="0.3">
      <c r="A1565" s="34" t="str">
        <f>base!J1565</f>
        <v>RM</v>
      </c>
      <c r="B1565" s="34" t="str">
        <f>base!V1565</f>
        <v>54000</v>
      </c>
      <c r="C1565" s="37">
        <v>54</v>
      </c>
      <c r="D1565" s="36">
        <f>base!H1565</f>
        <v>198.98</v>
      </c>
      <c r="E1565" s="44"/>
      <c r="F1565" s="16">
        <f>base!W1565</f>
        <v>0</v>
      </c>
      <c r="G1565" s="11">
        <f t="shared" si="240"/>
        <v>0</v>
      </c>
      <c r="H1565" s="11">
        <f t="shared" si="241"/>
        <v>49.744999999999997</v>
      </c>
      <c r="I1565" s="11">
        <f t="shared" si="242"/>
        <v>0.25</v>
      </c>
      <c r="J1565" s="12">
        <f t="shared" si="243"/>
        <v>-49.744999999999997</v>
      </c>
      <c r="K1565" s="17" t="str">
        <f t="shared" si="248"/>
        <v>Ecart négatif</v>
      </c>
      <c r="L1565" s="16">
        <f>base!X1565</f>
        <v>49.75</v>
      </c>
      <c r="M1565" s="11">
        <f t="shared" si="244"/>
        <v>0.2500251281535833</v>
      </c>
      <c r="N1565" s="11">
        <f t="shared" si="245"/>
        <v>49.744999999999997</v>
      </c>
      <c r="O1565" s="11">
        <f t="shared" si="246"/>
        <v>0.25</v>
      </c>
      <c r="P1565" s="12">
        <f t="shared" si="247"/>
        <v>5.000000000002558E-3</v>
      </c>
      <c r="Q1565" s="17" t="str">
        <f t="shared" si="249"/>
        <v>Ecart positif</v>
      </c>
      <c r="R1565" s="38"/>
    </row>
    <row r="1566" spans="1:18" x14ac:dyDescent="0.3">
      <c r="A1566" s="34" t="str">
        <f>base!J1566</f>
        <v>RM</v>
      </c>
      <c r="B1566" s="34" t="str">
        <f>base!V1566</f>
        <v>69150</v>
      </c>
      <c r="C1566" s="37">
        <v>69</v>
      </c>
      <c r="D1566" s="36">
        <f>base!H1566</f>
        <v>250</v>
      </c>
      <c r="E1566" s="44"/>
      <c r="F1566" s="16">
        <f>base!W1566</f>
        <v>0</v>
      </c>
      <c r="G1566" s="11">
        <f t="shared" si="240"/>
        <v>0</v>
      </c>
      <c r="H1566" s="11">
        <f t="shared" si="241"/>
        <v>67.5</v>
      </c>
      <c r="I1566" s="11">
        <f t="shared" si="242"/>
        <v>0.27</v>
      </c>
      <c r="J1566" s="12">
        <f t="shared" si="243"/>
        <v>-67.5</v>
      </c>
      <c r="K1566" s="17" t="str">
        <f t="shared" si="248"/>
        <v>Ecart négatif</v>
      </c>
      <c r="L1566" s="16">
        <f>base!X1566</f>
        <v>0</v>
      </c>
      <c r="M1566" s="11">
        <f t="shared" si="244"/>
        <v>0</v>
      </c>
      <c r="N1566" s="11">
        <f t="shared" si="245"/>
        <v>0</v>
      </c>
      <c r="O1566" s="11">
        <f t="shared" si="246"/>
        <v>0</v>
      </c>
      <c r="P1566" s="12">
        <f t="shared" si="247"/>
        <v>0</v>
      </c>
      <c r="Q1566" s="17" t="str">
        <f t="shared" si="249"/>
        <v>Pas d'écart</v>
      </c>
    </row>
    <row r="1567" spans="1:18" x14ac:dyDescent="0.3">
      <c r="A1567" s="34" t="str">
        <f>base!J1567</f>
        <v>RM</v>
      </c>
      <c r="B1567" s="34" t="str">
        <f>base!V1567</f>
        <v>13001</v>
      </c>
      <c r="C1567" s="37">
        <v>13</v>
      </c>
      <c r="D1567" s="36">
        <f>base!H1567</f>
        <v>380.06</v>
      </c>
      <c r="E1567" s="44"/>
      <c r="F1567" s="16">
        <f>base!W1567</f>
        <v>0</v>
      </c>
      <c r="G1567" s="11">
        <f t="shared" si="240"/>
        <v>0</v>
      </c>
      <c r="H1567" s="11">
        <f t="shared" si="241"/>
        <v>110.2174</v>
      </c>
      <c r="I1567" s="11">
        <f t="shared" si="242"/>
        <v>0.28999999999999998</v>
      </c>
      <c r="J1567" s="12">
        <f t="shared" si="243"/>
        <v>-110.2174</v>
      </c>
      <c r="K1567" s="17" t="str">
        <f t="shared" si="248"/>
        <v>Ecart négatif</v>
      </c>
      <c r="L1567" s="16">
        <f>base!X1567</f>
        <v>0</v>
      </c>
      <c r="M1567" s="11">
        <f t="shared" si="244"/>
        <v>0</v>
      </c>
      <c r="N1567" s="11">
        <f t="shared" si="245"/>
        <v>72.211399999999998</v>
      </c>
      <c r="O1567" s="11">
        <f t="shared" si="246"/>
        <v>0.19</v>
      </c>
      <c r="P1567" s="12">
        <f t="shared" si="247"/>
        <v>-72.211399999999998</v>
      </c>
      <c r="Q1567" s="17" t="str">
        <f t="shared" si="249"/>
        <v>Ecart négatif</v>
      </c>
    </row>
    <row r="1568" spans="1:18" x14ac:dyDescent="0.3">
      <c r="A1568" s="34" t="str">
        <f>base!J1568</f>
        <v>RS</v>
      </c>
      <c r="B1568" s="34" t="str">
        <f>base!V1568</f>
        <v>66530</v>
      </c>
      <c r="C1568" s="37">
        <v>66</v>
      </c>
      <c r="D1568" s="36">
        <f>base!H1568</f>
        <v>110.91</v>
      </c>
      <c r="E1568" s="44"/>
      <c r="F1568" s="16">
        <f>base!W1568</f>
        <v>0</v>
      </c>
      <c r="G1568" s="11">
        <f t="shared" si="240"/>
        <v>0</v>
      </c>
      <c r="H1568" s="11">
        <f t="shared" si="241"/>
        <v>37.709400000000002</v>
      </c>
      <c r="I1568" s="11">
        <f t="shared" si="242"/>
        <v>0.34</v>
      </c>
      <c r="J1568" s="12">
        <f t="shared" si="243"/>
        <v>-37.709400000000002</v>
      </c>
      <c r="K1568" s="17" t="str">
        <f t="shared" si="248"/>
        <v>Ecart négatif</v>
      </c>
      <c r="L1568" s="16">
        <f>base!X1568</f>
        <v>0</v>
      </c>
      <c r="M1568" s="11">
        <f t="shared" si="244"/>
        <v>0</v>
      </c>
      <c r="N1568" s="11">
        <f t="shared" si="245"/>
        <v>31.054800000000004</v>
      </c>
      <c r="O1568" s="11">
        <f t="shared" si="246"/>
        <v>0.28000000000000003</v>
      </c>
      <c r="P1568" s="12">
        <f t="shared" si="247"/>
        <v>-31.054800000000004</v>
      </c>
      <c r="Q1568" s="17" t="str">
        <f t="shared" si="249"/>
        <v>Ecart négatif</v>
      </c>
    </row>
    <row r="1569" spans="1:18" x14ac:dyDescent="0.3">
      <c r="A1569" s="34" t="str">
        <f>base!J1569</f>
        <v>RS</v>
      </c>
      <c r="B1569" s="34" t="str">
        <f>base!V1569</f>
        <v>75005</v>
      </c>
      <c r="C1569" s="37">
        <v>75</v>
      </c>
      <c r="D1569" s="36">
        <f>base!H1569</f>
        <v>40</v>
      </c>
      <c r="E1569" s="44"/>
      <c r="F1569" s="16">
        <f>base!W1569</f>
        <v>0</v>
      </c>
      <c r="G1569" s="11">
        <f t="shared" si="240"/>
        <v>0</v>
      </c>
      <c r="H1569" s="11">
        <f t="shared" si="241"/>
        <v>0</v>
      </c>
      <c r="I1569" s="11">
        <f t="shared" si="242"/>
        <v>0</v>
      </c>
      <c r="J1569" s="12">
        <f t="shared" si="243"/>
        <v>0</v>
      </c>
      <c r="K1569" s="17" t="str">
        <f t="shared" si="248"/>
        <v>Pas d'écart</v>
      </c>
      <c r="L1569" s="16">
        <f>base!X1569</f>
        <v>0</v>
      </c>
      <c r="M1569" s="11">
        <f t="shared" si="244"/>
        <v>0</v>
      </c>
      <c r="N1569" s="11">
        <f t="shared" si="245"/>
        <v>0</v>
      </c>
      <c r="O1569" s="11">
        <f t="shared" si="246"/>
        <v>0</v>
      </c>
      <c r="P1569" s="12">
        <f t="shared" si="247"/>
        <v>0</v>
      </c>
      <c r="Q1569" s="17" t="str">
        <f t="shared" si="249"/>
        <v>Pas d'écart</v>
      </c>
    </row>
    <row r="1570" spans="1:18" x14ac:dyDescent="0.3">
      <c r="A1570" s="34" t="str">
        <f>base!J1570</f>
        <v>DLM</v>
      </c>
      <c r="B1570" s="34" t="str">
        <f>base!V1570</f>
        <v>35350</v>
      </c>
      <c r="C1570" s="37">
        <v>35</v>
      </c>
      <c r="D1570" s="36">
        <f>base!H1570</f>
        <v>100</v>
      </c>
      <c r="E1570" s="44"/>
      <c r="F1570" s="16">
        <f>base!W1570</f>
        <v>0</v>
      </c>
      <c r="G1570" s="11">
        <f t="shared" si="240"/>
        <v>0</v>
      </c>
      <c r="H1570" s="11">
        <f t="shared" si="241"/>
        <v>27</v>
      </c>
      <c r="I1570" s="11">
        <f t="shared" si="242"/>
        <v>0.27</v>
      </c>
      <c r="J1570" s="12">
        <f t="shared" si="243"/>
        <v>-27</v>
      </c>
      <c r="K1570" s="17" t="str">
        <f t="shared" si="248"/>
        <v>Ecart négatif</v>
      </c>
      <c r="L1570" s="16">
        <f>base!X1570</f>
        <v>0</v>
      </c>
      <c r="M1570" s="11">
        <f t="shared" si="244"/>
        <v>0</v>
      </c>
      <c r="N1570" s="11">
        <f t="shared" si="245"/>
        <v>0</v>
      </c>
      <c r="O1570" s="11">
        <f t="shared" si="246"/>
        <v>0</v>
      </c>
      <c r="P1570" s="12">
        <f t="shared" si="247"/>
        <v>0</v>
      </c>
      <c r="Q1570" s="17" t="str">
        <f t="shared" si="249"/>
        <v>Pas d'écart</v>
      </c>
    </row>
    <row r="1571" spans="1:18" x14ac:dyDescent="0.3">
      <c r="A1571" s="34" t="str">
        <f>base!J1571</f>
        <v>DLS</v>
      </c>
      <c r="B1571" s="34" t="str">
        <f>base!V1571</f>
        <v>45570</v>
      </c>
      <c r="C1571" s="37">
        <v>45</v>
      </c>
      <c r="D1571" s="36">
        <f>base!H1571</f>
        <v>116.94</v>
      </c>
      <c r="E1571" s="44"/>
      <c r="F1571" s="16">
        <f>base!W1571</f>
        <v>24.56</v>
      </c>
      <c r="G1571" s="11">
        <f t="shared" si="240"/>
        <v>0.21002223362408071</v>
      </c>
      <c r="H1571" s="11">
        <f t="shared" si="241"/>
        <v>24.557399999999998</v>
      </c>
      <c r="I1571" s="11">
        <f t="shared" si="242"/>
        <v>0.21</v>
      </c>
      <c r="J1571" s="12">
        <f t="shared" si="243"/>
        <v>2.6000000000010459E-3</v>
      </c>
      <c r="K1571" s="17" t="str">
        <f t="shared" si="248"/>
        <v>Ecart positif</v>
      </c>
      <c r="L1571" s="16">
        <f>base!X1571</f>
        <v>0</v>
      </c>
      <c r="M1571" s="11">
        <f t="shared" si="244"/>
        <v>0</v>
      </c>
      <c r="N1571" s="11">
        <f t="shared" si="245"/>
        <v>14.0328</v>
      </c>
      <c r="O1571" s="11">
        <f t="shared" si="246"/>
        <v>0.12</v>
      </c>
      <c r="P1571" s="12">
        <f t="shared" si="247"/>
        <v>-14.0328</v>
      </c>
      <c r="Q1571" s="17" t="str">
        <f t="shared" si="249"/>
        <v>Ecart négatif</v>
      </c>
    </row>
    <row r="1572" spans="1:18" x14ac:dyDescent="0.3">
      <c r="A1572" s="34" t="str">
        <f>base!J1572</f>
        <v>RS</v>
      </c>
      <c r="B1572" s="34" t="str">
        <f>base!V1572</f>
        <v>59400</v>
      </c>
      <c r="C1572" s="37">
        <v>59</v>
      </c>
      <c r="D1572" s="36">
        <f>base!H1572</f>
        <v>81</v>
      </c>
      <c r="E1572" s="44"/>
      <c r="F1572" s="16">
        <f>base!W1572</f>
        <v>0</v>
      </c>
      <c r="G1572" s="11">
        <f t="shared" si="240"/>
        <v>0</v>
      </c>
      <c r="H1572" s="11">
        <f t="shared" si="241"/>
        <v>15.39</v>
      </c>
      <c r="I1572" s="11">
        <f t="shared" si="242"/>
        <v>0.19</v>
      </c>
      <c r="J1572" s="12">
        <f t="shared" si="243"/>
        <v>-15.39</v>
      </c>
      <c r="K1572" s="17" t="str">
        <f t="shared" si="248"/>
        <v>Ecart négatif</v>
      </c>
      <c r="L1572" s="16">
        <f>base!X1572</f>
        <v>0</v>
      </c>
      <c r="M1572" s="11">
        <f t="shared" si="244"/>
        <v>0</v>
      </c>
      <c r="N1572" s="11">
        <f t="shared" si="245"/>
        <v>0</v>
      </c>
      <c r="O1572" s="11">
        <f t="shared" si="246"/>
        <v>0</v>
      </c>
      <c r="P1572" s="12">
        <f t="shared" si="247"/>
        <v>0</v>
      </c>
      <c r="Q1572" s="17" t="str">
        <f t="shared" si="249"/>
        <v>Pas d'écart</v>
      </c>
    </row>
    <row r="1573" spans="1:18" x14ac:dyDescent="0.3">
      <c r="A1573" s="34" t="str">
        <f>base!J1573</f>
        <v>DRM</v>
      </c>
      <c r="B1573" s="34" t="str">
        <f>base!V1573</f>
        <v>38230</v>
      </c>
      <c r="C1573" s="37">
        <v>38</v>
      </c>
      <c r="D1573" s="36">
        <f>base!H1573</f>
        <v>23.4</v>
      </c>
      <c r="E1573" s="44"/>
      <c r="F1573" s="16">
        <f>base!W1573</f>
        <v>0</v>
      </c>
      <c r="G1573" s="11">
        <f t="shared" si="240"/>
        <v>0</v>
      </c>
      <c r="H1573" s="11">
        <f t="shared" si="241"/>
        <v>6.3179999999999996</v>
      </c>
      <c r="I1573" s="11">
        <f t="shared" si="242"/>
        <v>0.27</v>
      </c>
      <c r="J1573" s="12">
        <f t="shared" si="243"/>
        <v>-6.3179999999999996</v>
      </c>
      <c r="K1573" s="17" t="str">
        <f t="shared" si="248"/>
        <v>Ecart négatif</v>
      </c>
      <c r="L1573" s="16">
        <f>base!X1573</f>
        <v>0</v>
      </c>
      <c r="M1573" s="11">
        <f t="shared" si="244"/>
        <v>0</v>
      </c>
      <c r="N1573" s="11">
        <f t="shared" si="245"/>
        <v>0</v>
      </c>
      <c r="O1573" s="11">
        <f t="shared" si="246"/>
        <v>0</v>
      </c>
      <c r="P1573" s="12">
        <f t="shared" si="247"/>
        <v>0</v>
      </c>
      <c r="Q1573" s="17" t="str">
        <f t="shared" si="249"/>
        <v>Pas d'écart</v>
      </c>
    </row>
    <row r="1574" spans="1:18" x14ac:dyDescent="0.3">
      <c r="A1574" s="34" t="str">
        <f>base!J1574</f>
        <v>RS</v>
      </c>
      <c r="B1574" s="34" t="str">
        <f>base!V1574</f>
        <v>37700</v>
      </c>
      <c r="C1574" s="37">
        <v>37</v>
      </c>
      <c r="D1574" s="36">
        <f>base!H1574</f>
        <v>93</v>
      </c>
      <c r="E1574" s="44"/>
      <c r="F1574" s="16">
        <f>base!W1574</f>
        <v>0</v>
      </c>
      <c r="G1574" s="11">
        <f t="shared" si="240"/>
        <v>0</v>
      </c>
      <c r="H1574" s="11">
        <f t="shared" si="241"/>
        <v>17.670000000000002</v>
      </c>
      <c r="I1574" s="11">
        <f t="shared" si="242"/>
        <v>0.19000000000000003</v>
      </c>
      <c r="J1574" s="12">
        <f t="shared" si="243"/>
        <v>-17.670000000000002</v>
      </c>
      <c r="K1574" s="17" t="str">
        <f t="shared" si="248"/>
        <v>Ecart négatif</v>
      </c>
      <c r="L1574" s="16">
        <f>base!X1574</f>
        <v>0</v>
      </c>
      <c r="M1574" s="11">
        <f t="shared" si="244"/>
        <v>0</v>
      </c>
      <c r="N1574" s="11">
        <f t="shared" si="245"/>
        <v>11.16</v>
      </c>
      <c r="O1574" s="11">
        <f t="shared" si="246"/>
        <v>0.12</v>
      </c>
      <c r="P1574" s="12">
        <f t="shared" si="247"/>
        <v>-11.16</v>
      </c>
      <c r="Q1574" s="17" t="str">
        <f t="shared" si="249"/>
        <v>Ecart négatif</v>
      </c>
    </row>
    <row r="1575" spans="1:18" x14ac:dyDescent="0.3">
      <c r="A1575" s="34" t="str">
        <f>base!J1575</f>
        <v>LM</v>
      </c>
      <c r="B1575" s="34" t="str">
        <f>base!V1575</f>
        <v>21220</v>
      </c>
      <c r="C1575" s="37">
        <v>8</v>
      </c>
      <c r="D1575" s="36">
        <f>base!H1575</f>
        <v>184.19</v>
      </c>
      <c r="E1575" s="44"/>
      <c r="F1575" s="16">
        <f>base!W1575</f>
        <v>44.21</v>
      </c>
      <c r="G1575" s="11">
        <f t="shared" si="240"/>
        <v>0.24002388837613334</v>
      </c>
      <c r="H1575" s="11">
        <f t="shared" si="241"/>
        <v>33.154199999999996</v>
      </c>
      <c r="I1575" s="11">
        <f t="shared" si="242"/>
        <v>0.18</v>
      </c>
      <c r="J1575" s="12">
        <f t="shared" si="243"/>
        <v>11.055800000000005</v>
      </c>
      <c r="K1575" s="17" t="str">
        <f t="shared" si="248"/>
        <v>Ecart positif</v>
      </c>
      <c r="L1575" s="16">
        <f>base!X1575</f>
        <v>0</v>
      </c>
      <c r="M1575" s="11">
        <f t="shared" si="244"/>
        <v>0</v>
      </c>
      <c r="N1575" s="11">
        <f t="shared" si="245"/>
        <v>0</v>
      </c>
      <c r="O1575" s="11">
        <f t="shared" si="246"/>
        <v>0</v>
      </c>
      <c r="P1575" s="12">
        <f t="shared" si="247"/>
        <v>0</v>
      </c>
      <c r="Q1575" s="17" t="str">
        <f t="shared" si="249"/>
        <v>Pas d'écart</v>
      </c>
    </row>
    <row r="1576" spans="1:18" x14ac:dyDescent="0.3">
      <c r="A1576" s="34" t="str">
        <f>base!J1576</f>
        <v>DLM</v>
      </c>
      <c r="B1576" s="34" t="str">
        <f>base!V1576</f>
        <v>98000</v>
      </c>
      <c r="C1576" s="37">
        <v>98</v>
      </c>
      <c r="D1576" s="36">
        <f>base!H1576</f>
        <v>173.49</v>
      </c>
      <c r="E1576" s="44"/>
      <c r="F1576" s="16">
        <f>base!W1576</f>
        <v>0</v>
      </c>
      <c r="G1576" s="11">
        <f t="shared" si="240"/>
        <v>0</v>
      </c>
      <c r="H1576" s="11">
        <f t="shared" si="241"/>
        <v>46.842300000000009</v>
      </c>
      <c r="I1576" s="11">
        <f t="shared" si="242"/>
        <v>0.27</v>
      </c>
      <c r="J1576" s="12">
        <f t="shared" si="243"/>
        <v>-46.842300000000009</v>
      </c>
      <c r="K1576" s="17" t="str">
        <f t="shared" si="248"/>
        <v>Ecart négatif</v>
      </c>
      <c r="L1576" s="16">
        <f>base!X1576</f>
        <v>0</v>
      </c>
      <c r="M1576" s="11">
        <f t="shared" si="244"/>
        <v>0</v>
      </c>
      <c r="N1576" s="11">
        <f t="shared" si="245"/>
        <v>36.432900000000004</v>
      </c>
      <c r="O1576" s="11">
        <f t="shared" si="246"/>
        <v>0.21000000000000002</v>
      </c>
      <c r="P1576" s="12">
        <f t="shared" si="247"/>
        <v>-36.432900000000004</v>
      </c>
      <c r="Q1576" s="17" t="str">
        <f t="shared" si="249"/>
        <v>Ecart négatif</v>
      </c>
    </row>
    <row r="1577" spans="1:18" x14ac:dyDescent="0.3">
      <c r="A1577" s="34" t="str">
        <f>base!J1577</f>
        <v>LM</v>
      </c>
      <c r="B1577" s="34" t="str">
        <f>base!V1577</f>
        <v>49500</v>
      </c>
      <c r="C1577" s="37">
        <v>59</v>
      </c>
      <c r="D1577" s="36">
        <f>base!H1577</f>
        <v>121.89</v>
      </c>
      <c r="E1577" s="44"/>
      <c r="F1577" s="16">
        <f>base!W1577</f>
        <v>32.909999999999997</v>
      </c>
      <c r="G1577" s="11">
        <f t="shared" si="240"/>
        <v>0.26999753876445975</v>
      </c>
      <c r="H1577" s="11">
        <f t="shared" si="241"/>
        <v>23.159099999999999</v>
      </c>
      <c r="I1577" s="11">
        <f t="shared" si="242"/>
        <v>0.18999999999999997</v>
      </c>
      <c r="J1577" s="12">
        <f t="shared" si="243"/>
        <v>9.7508999999999979</v>
      </c>
      <c r="K1577" s="17" t="str">
        <f t="shared" si="248"/>
        <v>Ecart positif</v>
      </c>
      <c r="L1577" s="16">
        <f>base!X1577</f>
        <v>0</v>
      </c>
      <c r="M1577" s="11">
        <f t="shared" si="244"/>
        <v>0</v>
      </c>
      <c r="N1577" s="11">
        <f t="shared" si="245"/>
        <v>0</v>
      </c>
      <c r="O1577" s="11">
        <f t="shared" si="246"/>
        <v>0</v>
      </c>
      <c r="P1577" s="12">
        <f t="shared" si="247"/>
        <v>0</v>
      </c>
      <c r="Q1577" s="17" t="str">
        <f t="shared" si="249"/>
        <v>Pas d'écart</v>
      </c>
    </row>
    <row r="1578" spans="1:18" x14ac:dyDescent="0.3">
      <c r="A1578" s="34" t="str">
        <f>base!J1578</f>
        <v>RS</v>
      </c>
      <c r="B1578" s="34" t="str">
        <f>base!V1578</f>
        <v>62320</v>
      </c>
      <c r="C1578" s="37">
        <v>62</v>
      </c>
      <c r="D1578" s="36">
        <f>base!H1578</f>
        <v>180</v>
      </c>
      <c r="E1578" s="44"/>
      <c r="F1578" s="16">
        <f>base!W1578</f>
        <v>0</v>
      </c>
      <c r="G1578" s="11">
        <f t="shared" si="240"/>
        <v>0</v>
      </c>
      <c r="H1578" s="11">
        <f t="shared" si="241"/>
        <v>34.200000000000003</v>
      </c>
      <c r="I1578" s="11">
        <f t="shared" si="242"/>
        <v>0.19</v>
      </c>
      <c r="J1578" s="12">
        <f t="shared" si="243"/>
        <v>-34.200000000000003</v>
      </c>
      <c r="K1578" s="17" t="str">
        <f t="shared" si="248"/>
        <v>Ecart négatif</v>
      </c>
      <c r="L1578" s="16">
        <f>base!X1578</f>
        <v>0</v>
      </c>
      <c r="M1578" s="11">
        <f t="shared" si="244"/>
        <v>0</v>
      </c>
      <c r="N1578" s="11">
        <f t="shared" si="245"/>
        <v>0</v>
      </c>
      <c r="O1578" s="11">
        <f t="shared" si="246"/>
        <v>0</v>
      </c>
      <c r="P1578" s="12">
        <f t="shared" si="247"/>
        <v>0</v>
      </c>
      <c r="Q1578" s="17" t="str">
        <f t="shared" si="249"/>
        <v>Pas d'écart</v>
      </c>
    </row>
    <row r="1579" spans="1:18" x14ac:dyDescent="0.3">
      <c r="A1579" s="34" t="str">
        <f>base!J1579</f>
        <v>RM</v>
      </c>
      <c r="B1579" s="34" t="str">
        <f>base!V1579</f>
        <v>06560</v>
      </c>
      <c r="C1579" s="37">
        <v>6</v>
      </c>
      <c r="D1579" s="36">
        <f>base!H1579</f>
        <v>151</v>
      </c>
      <c r="E1579" s="44"/>
      <c r="F1579" s="16">
        <f>base!W1579</f>
        <v>0</v>
      </c>
      <c r="G1579" s="11">
        <f t="shared" si="240"/>
        <v>0</v>
      </c>
      <c r="H1579" s="11">
        <f t="shared" si="241"/>
        <v>45.3</v>
      </c>
      <c r="I1579" s="11">
        <f t="shared" si="242"/>
        <v>0.3</v>
      </c>
      <c r="J1579" s="12">
        <f t="shared" si="243"/>
        <v>-45.3</v>
      </c>
      <c r="K1579" s="17" t="str">
        <f t="shared" si="248"/>
        <v>Ecart négatif</v>
      </c>
      <c r="L1579" s="16">
        <f>base!X1579</f>
        <v>31.71</v>
      </c>
      <c r="M1579" s="11">
        <f t="shared" si="244"/>
        <v>0.21</v>
      </c>
      <c r="N1579" s="11">
        <f t="shared" si="245"/>
        <v>31.709999999999997</v>
      </c>
      <c r="O1579" s="11">
        <f t="shared" si="246"/>
        <v>0.21</v>
      </c>
      <c r="P1579" s="12">
        <f t="shared" si="247"/>
        <v>0</v>
      </c>
      <c r="Q1579" s="17" t="str">
        <f t="shared" si="249"/>
        <v>Pas d'écart</v>
      </c>
      <c r="R1579" s="38"/>
    </row>
    <row r="1580" spans="1:18" x14ac:dyDescent="0.3">
      <c r="A1580" s="34" t="str">
        <f>base!J1580</f>
        <v>RM</v>
      </c>
      <c r="B1580" s="34" t="str">
        <f>base!V1580</f>
        <v>06560</v>
      </c>
      <c r="C1580" s="37">
        <v>6</v>
      </c>
      <c r="D1580" s="36">
        <f>base!H1580</f>
        <v>151</v>
      </c>
      <c r="E1580" s="44"/>
      <c r="F1580" s="16">
        <f>base!W1580</f>
        <v>0</v>
      </c>
      <c r="G1580" s="11">
        <f t="shared" si="240"/>
        <v>0</v>
      </c>
      <c r="H1580" s="11">
        <f t="shared" si="241"/>
        <v>45.3</v>
      </c>
      <c r="I1580" s="11">
        <f t="shared" si="242"/>
        <v>0.3</v>
      </c>
      <c r="J1580" s="12">
        <f t="shared" si="243"/>
        <v>-45.3</v>
      </c>
      <c r="K1580" s="17" t="str">
        <f t="shared" si="248"/>
        <v>Ecart négatif</v>
      </c>
      <c r="L1580" s="16">
        <f>base!X1580</f>
        <v>0</v>
      </c>
      <c r="M1580" s="11">
        <f t="shared" si="244"/>
        <v>0</v>
      </c>
      <c r="N1580" s="11">
        <f t="shared" si="245"/>
        <v>31.709999999999997</v>
      </c>
      <c r="O1580" s="11">
        <f t="shared" si="246"/>
        <v>0.21</v>
      </c>
      <c r="P1580" s="12">
        <f t="shared" si="247"/>
        <v>-31.709999999999997</v>
      </c>
      <c r="Q1580" s="17" t="str">
        <f t="shared" si="249"/>
        <v>Ecart négatif</v>
      </c>
    </row>
    <row r="1581" spans="1:18" x14ac:dyDescent="0.3">
      <c r="A1581" s="34" t="str">
        <f>base!J1581</f>
        <v>RM</v>
      </c>
      <c r="B1581" s="34" t="str">
        <f>base!V1581</f>
        <v>06560</v>
      </c>
      <c r="C1581" s="37">
        <v>6</v>
      </c>
      <c r="D1581" s="36">
        <f>base!H1581</f>
        <v>151</v>
      </c>
      <c r="E1581" s="44"/>
      <c r="F1581" s="16">
        <f>base!W1581</f>
        <v>0</v>
      </c>
      <c r="G1581" s="11">
        <f t="shared" si="240"/>
        <v>0</v>
      </c>
      <c r="H1581" s="11">
        <f t="shared" si="241"/>
        <v>45.3</v>
      </c>
      <c r="I1581" s="11">
        <f t="shared" si="242"/>
        <v>0.3</v>
      </c>
      <c r="J1581" s="12">
        <f t="shared" si="243"/>
        <v>-45.3</v>
      </c>
      <c r="K1581" s="17" t="str">
        <f t="shared" si="248"/>
        <v>Ecart négatif</v>
      </c>
      <c r="L1581" s="16">
        <f>base!X1581</f>
        <v>0</v>
      </c>
      <c r="M1581" s="11">
        <f t="shared" si="244"/>
        <v>0</v>
      </c>
      <c r="N1581" s="11">
        <f t="shared" si="245"/>
        <v>31.709999999999997</v>
      </c>
      <c r="O1581" s="11">
        <f t="shared" si="246"/>
        <v>0.21</v>
      </c>
      <c r="P1581" s="12">
        <f t="shared" si="247"/>
        <v>-31.709999999999997</v>
      </c>
      <c r="Q1581" s="17" t="str">
        <f t="shared" si="249"/>
        <v>Ecart négatif</v>
      </c>
    </row>
    <row r="1582" spans="1:18" x14ac:dyDescent="0.3">
      <c r="A1582" s="34" t="str">
        <f>base!J1582</f>
        <v>RS</v>
      </c>
      <c r="B1582" s="34" t="str">
        <f>base!V1582</f>
        <v>40280</v>
      </c>
      <c r="C1582" s="37">
        <v>40</v>
      </c>
      <c r="D1582" s="36">
        <f>base!H1582</f>
        <v>2145.64</v>
      </c>
      <c r="E1582" s="44"/>
      <c r="F1582" s="16">
        <f>base!W1582</f>
        <v>0</v>
      </c>
      <c r="G1582" s="11">
        <f t="shared" si="240"/>
        <v>0</v>
      </c>
      <c r="H1582" s="11">
        <f t="shared" si="241"/>
        <v>450.58439999999996</v>
      </c>
      <c r="I1582" s="11">
        <f t="shared" si="242"/>
        <v>0.21</v>
      </c>
      <c r="J1582" s="12">
        <f t="shared" si="243"/>
        <v>-450.58439999999996</v>
      </c>
      <c r="K1582" s="17" t="str">
        <f t="shared" si="248"/>
        <v>Ecart négatif</v>
      </c>
      <c r="L1582" s="16">
        <f>base!X1582</f>
        <v>364.76</v>
      </c>
      <c r="M1582" s="11">
        <f t="shared" si="244"/>
        <v>0.1700005592736899</v>
      </c>
      <c r="N1582" s="11">
        <f t="shared" si="245"/>
        <v>364.75880000000001</v>
      </c>
      <c r="O1582" s="11">
        <f t="shared" si="246"/>
        <v>0.17</v>
      </c>
      <c r="P1582" s="12">
        <f t="shared" si="247"/>
        <v>1.1999999999829924E-3</v>
      </c>
      <c r="Q1582" s="17" t="str">
        <f t="shared" si="249"/>
        <v>Ecart positif</v>
      </c>
      <c r="R1582" s="38"/>
    </row>
    <row r="1583" spans="1:18" x14ac:dyDescent="0.3">
      <c r="A1583" s="34" t="str">
        <f>base!J1583</f>
        <v>RS</v>
      </c>
      <c r="B1583" s="34" t="str">
        <f>base!V1583</f>
        <v>56000</v>
      </c>
      <c r="C1583" s="37">
        <v>56</v>
      </c>
      <c r="D1583" s="36">
        <f>base!H1583</f>
        <v>140</v>
      </c>
      <c r="E1583" s="44"/>
      <c r="F1583" s="16">
        <f>base!W1583</f>
        <v>0</v>
      </c>
      <c r="G1583" s="11">
        <f t="shared" si="240"/>
        <v>0</v>
      </c>
      <c r="H1583" s="11">
        <f t="shared" si="241"/>
        <v>37.800000000000004</v>
      </c>
      <c r="I1583" s="11">
        <f t="shared" si="242"/>
        <v>0.27</v>
      </c>
      <c r="J1583" s="12">
        <f t="shared" si="243"/>
        <v>-37.800000000000004</v>
      </c>
      <c r="K1583" s="17" t="str">
        <f t="shared" si="248"/>
        <v>Ecart négatif</v>
      </c>
      <c r="L1583" s="16">
        <f>base!X1583</f>
        <v>0</v>
      </c>
      <c r="M1583" s="11">
        <f t="shared" si="244"/>
        <v>0</v>
      </c>
      <c r="N1583" s="11">
        <f t="shared" si="245"/>
        <v>0</v>
      </c>
      <c r="O1583" s="11">
        <f t="shared" si="246"/>
        <v>0</v>
      </c>
      <c r="P1583" s="12">
        <f t="shared" si="247"/>
        <v>0</v>
      </c>
      <c r="Q1583" s="17" t="str">
        <f t="shared" si="249"/>
        <v>Pas d'écart</v>
      </c>
    </row>
    <row r="1584" spans="1:18" x14ac:dyDescent="0.3">
      <c r="A1584" s="34" t="str">
        <f>base!J1584</f>
        <v>RS</v>
      </c>
      <c r="B1584" s="34" t="str">
        <f>base!V1584</f>
        <v>35170</v>
      </c>
      <c r="C1584" s="37">
        <v>35</v>
      </c>
      <c r="D1584" s="36">
        <f>base!H1584</f>
        <v>247.98</v>
      </c>
      <c r="E1584" s="44"/>
      <c r="F1584" s="16">
        <f>base!W1584</f>
        <v>0</v>
      </c>
      <c r="G1584" s="11">
        <f t="shared" si="240"/>
        <v>0</v>
      </c>
      <c r="H1584" s="11">
        <f t="shared" si="241"/>
        <v>66.954599999999999</v>
      </c>
      <c r="I1584" s="11">
        <f t="shared" si="242"/>
        <v>0.27</v>
      </c>
      <c r="J1584" s="12">
        <f t="shared" si="243"/>
        <v>-66.954599999999999</v>
      </c>
      <c r="K1584" s="17" t="str">
        <f t="shared" si="248"/>
        <v>Ecart négatif</v>
      </c>
      <c r="L1584" s="16">
        <f>base!X1584</f>
        <v>0</v>
      </c>
      <c r="M1584" s="11">
        <f t="shared" si="244"/>
        <v>0</v>
      </c>
      <c r="N1584" s="11">
        <f t="shared" si="245"/>
        <v>0</v>
      </c>
      <c r="O1584" s="11">
        <f t="shared" si="246"/>
        <v>0</v>
      </c>
      <c r="P1584" s="12">
        <f t="shared" si="247"/>
        <v>0</v>
      </c>
      <c r="Q1584" s="17" t="str">
        <f t="shared" si="249"/>
        <v>Pas d'écart</v>
      </c>
    </row>
    <row r="1585" spans="1:18" x14ac:dyDescent="0.3">
      <c r="A1585" s="34" t="str">
        <f>base!J1585</f>
        <v>LS</v>
      </c>
      <c r="B1585" s="34" t="str">
        <f>base!V1585</f>
        <v>51320</v>
      </c>
      <c r="C1585" s="37">
        <v>59</v>
      </c>
      <c r="D1585" s="36">
        <f>base!H1585</f>
        <v>184.19</v>
      </c>
      <c r="E1585" s="44"/>
      <c r="F1585" s="16">
        <f>base!W1585</f>
        <v>46.05</v>
      </c>
      <c r="G1585" s="11">
        <f t="shared" si="240"/>
        <v>0.25001357294098486</v>
      </c>
      <c r="H1585" s="11">
        <f t="shared" si="241"/>
        <v>34.996099999999998</v>
      </c>
      <c r="I1585" s="11">
        <f t="shared" si="242"/>
        <v>0.19</v>
      </c>
      <c r="J1585" s="12">
        <f t="shared" si="243"/>
        <v>11.053899999999999</v>
      </c>
      <c r="K1585" s="17" t="str">
        <f t="shared" si="248"/>
        <v>Ecart positif</v>
      </c>
      <c r="L1585" s="16">
        <f>base!X1585</f>
        <v>0</v>
      </c>
      <c r="M1585" s="11">
        <f t="shared" si="244"/>
        <v>0</v>
      </c>
      <c r="N1585" s="11">
        <f t="shared" si="245"/>
        <v>0</v>
      </c>
      <c r="O1585" s="11">
        <f t="shared" si="246"/>
        <v>0</v>
      </c>
      <c r="P1585" s="12">
        <f t="shared" si="247"/>
        <v>0</v>
      </c>
      <c r="Q1585" s="17" t="str">
        <f t="shared" si="249"/>
        <v>Pas d'écart</v>
      </c>
    </row>
    <row r="1586" spans="1:18" x14ac:dyDescent="0.3">
      <c r="A1586" s="34" t="str">
        <f>base!J1586</f>
        <v>DRM</v>
      </c>
      <c r="B1586" s="34" t="str">
        <f>base!V1586</f>
        <v>67800</v>
      </c>
      <c r="C1586" s="37">
        <v>67</v>
      </c>
      <c r="D1586" s="36">
        <f>base!H1586</f>
        <v>151</v>
      </c>
      <c r="E1586" s="44"/>
      <c r="F1586" s="16">
        <f>base!W1586</f>
        <v>0</v>
      </c>
      <c r="G1586" s="11">
        <f t="shared" si="240"/>
        <v>0</v>
      </c>
      <c r="H1586" s="11">
        <f t="shared" si="241"/>
        <v>43.79</v>
      </c>
      <c r="I1586" s="11">
        <f t="shared" si="242"/>
        <v>0.28999999999999998</v>
      </c>
      <c r="J1586" s="12">
        <f t="shared" si="243"/>
        <v>-43.79</v>
      </c>
      <c r="K1586" s="17" t="str">
        <f t="shared" si="248"/>
        <v>Ecart négatif</v>
      </c>
      <c r="L1586" s="16">
        <f>base!X1586</f>
        <v>0</v>
      </c>
      <c r="M1586" s="11">
        <f t="shared" si="244"/>
        <v>0</v>
      </c>
      <c r="N1586" s="11">
        <f t="shared" si="245"/>
        <v>12.08</v>
      </c>
      <c r="O1586" s="11">
        <f t="shared" si="246"/>
        <v>0.08</v>
      </c>
      <c r="P1586" s="12">
        <f t="shared" si="247"/>
        <v>-12.08</v>
      </c>
      <c r="Q1586" s="17" t="str">
        <f t="shared" si="249"/>
        <v>Ecart négatif</v>
      </c>
    </row>
    <row r="1587" spans="1:18" x14ac:dyDescent="0.3">
      <c r="A1587" s="34" t="str">
        <f>base!J1587</f>
        <v>LS</v>
      </c>
      <c r="B1587" s="34" t="str">
        <f>base!V1587</f>
        <v>31590</v>
      </c>
      <c r="C1587" s="37">
        <v>31</v>
      </c>
      <c r="D1587" s="36">
        <f>base!H1587</f>
        <v>0</v>
      </c>
      <c r="E1587" s="44"/>
      <c r="F1587" s="16">
        <f>base!W1587</f>
        <v>0</v>
      </c>
      <c r="G1587" s="11" t="e">
        <f t="shared" si="240"/>
        <v>#DIV/0!</v>
      </c>
      <c r="H1587" s="11">
        <f t="shared" si="241"/>
        <v>0</v>
      </c>
      <c r="I1587" s="11" t="e">
        <f t="shared" si="242"/>
        <v>#DIV/0!</v>
      </c>
      <c r="J1587" s="12">
        <f t="shared" si="243"/>
        <v>0</v>
      </c>
      <c r="K1587" s="17" t="str">
        <f t="shared" si="248"/>
        <v>Pas d'écart</v>
      </c>
      <c r="L1587" s="16">
        <f>base!X1587</f>
        <v>0</v>
      </c>
      <c r="M1587" s="11" t="e">
        <f t="shared" si="244"/>
        <v>#DIV/0!</v>
      </c>
      <c r="N1587" s="11">
        <f t="shared" si="245"/>
        <v>0</v>
      </c>
      <c r="O1587" s="11" t="e">
        <f t="shared" si="246"/>
        <v>#DIV/0!</v>
      </c>
      <c r="P1587" s="12">
        <f t="shared" si="247"/>
        <v>0</v>
      </c>
      <c r="Q1587" s="17" t="str">
        <f t="shared" si="249"/>
        <v>Pas d'écart</v>
      </c>
    </row>
    <row r="1588" spans="1:18" x14ac:dyDescent="0.3">
      <c r="A1588" s="34" t="str">
        <f>base!J1588</f>
        <v>LS</v>
      </c>
      <c r="B1588" s="34" t="str">
        <f>base!V1588</f>
        <v>44980</v>
      </c>
      <c r="C1588" s="37">
        <v>44</v>
      </c>
      <c r="D1588" s="36">
        <f>base!H1588</f>
        <v>0</v>
      </c>
      <c r="E1588" s="44"/>
      <c r="F1588" s="16">
        <f>base!W1588</f>
        <v>0</v>
      </c>
      <c r="G1588" s="11" t="e">
        <f t="shared" si="240"/>
        <v>#DIV/0!</v>
      </c>
      <c r="H1588" s="11">
        <f t="shared" si="241"/>
        <v>0</v>
      </c>
      <c r="I1588" s="11" t="e">
        <f t="shared" si="242"/>
        <v>#DIV/0!</v>
      </c>
      <c r="J1588" s="12">
        <f t="shared" si="243"/>
        <v>0</v>
      </c>
      <c r="K1588" s="17" t="str">
        <f t="shared" si="248"/>
        <v>Pas d'écart</v>
      </c>
      <c r="L1588" s="16">
        <f>base!X1588</f>
        <v>0</v>
      </c>
      <c r="M1588" s="11" t="e">
        <f t="shared" si="244"/>
        <v>#DIV/0!</v>
      </c>
      <c r="N1588" s="11">
        <f t="shared" si="245"/>
        <v>0</v>
      </c>
      <c r="O1588" s="11" t="e">
        <f t="shared" si="246"/>
        <v>#DIV/0!</v>
      </c>
      <c r="P1588" s="12">
        <f t="shared" si="247"/>
        <v>0</v>
      </c>
      <c r="Q1588" s="17" t="str">
        <f t="shared" si="249"/>
        <v>Pas d'écart</v>
      </c>
    </row>
    <row r="1589" spans="1:18" x14ac:dyDescent="0.3">
      <c r="A1589" s="34">
        <f>base!J1589</f>
        <v>0</v>
      </c>
      <c r="B1589" s="34" t="str">
        <f>base!V1589</f>
        <v>77184</v>
      </c>
      <c r="C1589" s="37">
        <v>77</v>
      </c>
      <c r="D1589" s="36">
        <f>base!H1589</f>
        <v>117</v>
      </c>
      <c r="E1589" s="44"/>
      <c r="F1589" s="16">
        <f>base!W1589</f>
        <v>0</v>
      </c>
      <c r="G1589" s="11">
        <f t="shared" si="240"/>
        <v>0</v>
      </c>
      <c r="H1589" s="11">
        <f t="shared" si="241"/>
        <v>0</v>
      </c>
      <c r="I1589" s="11">
        <f t="shared" si="242"/>
        <v>0</v>
      </c>
      <c r="J1589" s="12">
        <f t="shared" si="243"/>
        <v>0</v>
      </c>
      <c r="K1589" s="17" t="str">
        <f t="shared" si="248"/>
        <v>Pas d'écart</v>
      </c>
      <c r="L1589" s="16">
        <f>base!X1589</f>
        <v>0</v>
      </c>
      <c r="M1589" s="11">
        <f t="shared" si="244"/>
        <v>0</v>
      </c>
      <c r="N1589" s="11">
        <f t="shared" si="245"/>
        <v>0</v>
      </c>
      <c r="O1589" s="11">
        <f t="shared" si="246"/>
        <v>0</v>
      </c>
      <c r="P1589" s="12">
        <f t="shared" si="247"/>
        <v>0</v>
      </c>
      <c r="Q1589" s="17" t="str">
        <f t="shared" si="249"/>
        <v>Pas d'écart</v>
      </c>
    </row>
    <row r="1590" spans="1:18" x14ac:dyDescent="0.3">
      <c r="A1590" s="34" t="str">
        <f>base!J1590</f>
        <v>RM</v>
      </c>
      <c r="B1590" s="34" t="str">
        <f>base!V1590</f>
        <v>06190</v>
      </c>
      <c r="C1590" s="37">
        <v>6</v>
      </c>
      <c r="D1590" s="36">
        <f>base!H1590</f>
        <v>64</v>
      </c>
      <c r="E1590" s="44"/>
      <c r="F1590" s="16">
        <f>base!W1590</f>
        <v>0</v>
      </c>
      <c r="G1590" s="11">
        <f t="shared" si="240"/>
        <v>0</v>
      </c>
      <c r="H1590" s="11">
        <f t="shared" si="241"/>
        <v>19.2</v>
      </c>
      <c r="I1590" s="11">
        <f t="shared" si="242"/>
        <v>0.3</v>
      </c>
      <c r="J1590" s="12">
        <f t="shared" si="243"/>
        <v>-19.2</v>
      </c>
      <c r="K1590" s="17" t="str">
        <f t="shared" si="248"/>
        <v>Ecart négatif</v>
      </c>
      <c r="L1590" s="16">
        <f>base!X1590</f>
        <v>19.2</v>
      </c>
      <c r="M1590" s="11">
        <f t="shared" si="244"/>
        <v>0.3</v>
      </c>
      <c r="N1590" s="11">
        <f t="shared" si="245"/>
        <v>13.44</v>
      </c>
      <c r="O1590" s="11">
        <f t="shared" si="246"/>
        <v>0.21</v>
      </c>
      <c r="P1590" s="12">
        <f t="shared" si="247"/>
        <v>5.76</v>
      </c>
      <c r="Q1590" s="17" t="str">
        <f t="shared" si="249"/>
        <v>Ecart positif</v>
      </c>
      <c r="R1590" s="38"/>
    </row>
    <row r="1591" spans="1:18" x14ac:dyDescent="0.3">
      <c r="A1591" s="34" t="str">
        <f>base!J1591</f>
        <v>RS</v>
      </c>
      <c r="B1591" s="34" t="str">
        <f>base!V1591</f>
        <v>59491</v>
      </c>
      <c r="C1591" s="37">
        <v>59</v>
      </c>
      <c r="D1591" s="36">
        <f>base!H1591</f>
        <v>400</v>
      </c>
      <c r="E1591" s="44"/>
      <c r="F1591" s="16">
        <f>base!W1591</f>
        <v>0</v>
      </c>
      <c r="G1591" s="11">
        <f t="shared" si="240"/>
        <v>0</v>
      </c>
      <c r="H1591" s="11">
        <f t="shared" si="241"/>
        <v>76</v>
      </c>
      <c r="I1591" s="11">
        <f t="shared" si="242"/>
        <v>0.19</v>
      </c>
      <c r="J1591" s="12">
        <f t="shared" si="243"/>
        <v>-76</v>
      </c>
      <c r="K1591" s="17" t="str">
        <f t="shared" si="248"/>
        <v>Ecart négatif</v>
      </c>
      <c r="L1591" s="16">
        <f>base!X1591</f>
        <v>0</v>
      </c>
      <c r="M1591" s="11">
        <f t="shared" si="244"/>
        <v>0</v>
      </c>
      <c r="N1591" s="11">
        <f t="shared" si="245"/>
        <v>0</v>
      </c>
      <c r="O1591" s="11">
        <f t="shared" si="246"/>
        <v>0</v>
      </c>
      <c r="P1591" s="12">
        <f t="shared" si="247"/>
        <v>0</v>
      </c>
      <c r="Q1591" s="17" t="str">
        <f t="shared" si="249"/>
        <v>Pas d'écart</v>
      </c>
    </row>
    <row r="1592" spans="1:18" x14ac:dyDescent="0.3">
      <c r="A1592" s="34" t="str">
        <f>base!J1592</f>
        <v>LS</v>
      </c>
      <c r="B1592" s="34" t="str">
        <f>base!V1592</f>
        <v>75014</v>
      </c>
      <c r="C1592" s="37">
        <v>75</v>
      </c>
      <c r="D1592" s="36">
        <f>base!H1592</f>
        <v>137.59</v>
      </c>
      <c r="E1592" s="44"/>
      <c r="F1592" s="16">
        <f>base!W1592</f>
        <v>0</v>
      </c>
      <c r="G1592" s="11">
        <f t="shared" si="240"/>
        <v>0</v>
      </c>
      <c r="H1592" s="11">
        <f t="shared" si="241"/>
        <v>0</v>
      </c>
      <c r="I1592" s="11">
        <f t="shared" si="242"/>
        <v>0</v>
      </c>
      <c r="J1592" s="12">
        <f t="shared" si="243"/>
        <v>0</v>
      </c>
      <c r="K1592" s="17" t="str">
        <f t="shared" si="248"/>
        <v>Pas d'écart</v>
      </c>
      <c r="L1592" s="16">
        <f>base!X1592</f>
        <v>0</v>
      </c>
      <c r="M1592" s="11">
        <f t="shared" si="244"/>
        <v>0</v>
      </c>
      <c r="N1592" s="11">
        <f t="shared" si="245"/>
        <v>0</v>
      </c>
      <c r="O1592" s="11">
        <f t="shared" si="246"/>
        <v>0</v>
      </c>
      <c r="P1592" s="12">
        <f t="shared" si="247"/>
        <v>0</v>
      </c>
      <c r="Q1592" s="17" t="str">
        <f t="shared" si="249"/>
        <v>Pas d'écart</v>
      </c>
    </row>
    <row r="1593" spans="1:18" x14ac:dyDescent="0.3">
      <c r="A1593" s="34">
        <f>base!J1593</f>
        <v>0</v>
      </c>
      <c r="B1593" s="34" t="str">
        <f>base!V1593</f>
        <v>44240</v>
      </c>
      <c r="C1593" s="37">
        <v>44</v>
      </c>
      <c r="D1593" s="36">
        <f>base!H1593</f>
        <v>165.98</v>
      </c>
      <c r="E1593" s="44"/>
      <c r="F1593" s="16">
        <f>base!W1593</f>
        <v>0</v>
      </c>
      <c r="G1593" s="11">
        <f t="shared" si="240"/>
        <v>0</v>
      </c>
      <c r="H1593" s="11">
        <f t="shared" si="241"/>
        <v>44.814599999999999</v>
      </c>
      <c r="I1593" s="11">
        <f t="shared" si="242"/>
        <v>0.27</v>
      </c>
      <c r="J1593" s="12">
        <f t="shared" si="243"/>
        <v>-44.814599999999999</v>
      </c>
      <c r="K1593" s="17" t="str">
        <f t="shared" si="248"/>
        <v>Ecart négatif</v>
      </c>
      <c r="L1593" s="16">
        <f>base!X1593</f>
        <v>0</v>
      </c>
      <c r="M1593" s="11">
        <f t="shared" si="244"/>
        <v>0</v>
      </c>
      <c r="N1593" s="11">
        <f t="shared" si="245"/>
        <v>0</v>
      </c>
      <c r="O1593" s="11">
        <f t="shared" si="246"/>
        <v>0</v>
      </c>
      <c r="P1593" s="12">
        <f t="shared" si="247"/>
        <v>0</v>
      </c>
      <c r="Q1593" s="17" t="str">
        <f t="shared" si="249"/>
        <v>Pas d'écart</v>
      </c>
    </row>
    <row r="1594" spans="1:18" x14ac:dyDescent="0.3">
      <c r="A1594" s="34">
        <f>base!J1594</f>
        <v>0</v>
      </c>
      <c r="B1594" s="34" t="str">
        <f>base!V1594</f>
        <v>77184</v>
      </c>
      <c r="C1594" s="37">
        <v>77</v>
      </c>
      <c r="D1594" s="36">
        <f>base!H1594</f>
        <v>170.32</v>
      </c>
      <c r="E1594" s="44"/>
      <c r="F1594" s="16">
        <f>base!W1594</f>
        <v>0</v>
      </c>
      <c r="G1594" s="11">
        <f t="shared" si="240"/>
        <v>0</v>
      </c>
      <c r="H1594" s="11">
        <f t="shared" si="241"/>
        <v>0</v>
      </c>
      <c r="I1594" s="11">
        <f t="shared" si="242"/>
        <v>0</v>
      </c>
      <c r="J1594" s="12">
        <f t="shared" si="243"/>
        <v>0</v>
      </c>
      <c r="K1594" s="17" t="str">
        <f t="shared" si="248"/>
        <v>Pas d'écart</v>
      </c>
      <c r="L1594" s="16">
        <f>base!X1594</f>
        <v>0</v>
      </c>
      <c r="M1594" s="11">
        <f t="shared" si="244"/>
        <v>0</v>
      </c>
      <c r="N1594" s="11">
        <f t="shared" si="245"/>
        <v>0</v>
      </c>
      <c r="O1594" s="11">
        <f t="shared" si="246"/>
        <v>0</v>
      </c>
      <c r="P1594" s="12">
        <f t="shared" si="247"/>
        <v>0</v>
      </c>
      <c r="Q1594" s="17" t="str">
        <f t="shared" si="249"/>
        <v>Pas d'écart</v>
      </c>
    </row>
    <row r="1595" spans="1:18" x14ac:dyDescent="0.3">
      <c r="A1595" s="34" t="str">
        <f>base!J1595</f>
        <v>DLS</v>
      </c>
      <c r="B1595" s="34" t="str">
        <f>base!V1595</f>
        <v>92150</v>
      </c>
      <c r="C1595" s="37">
        <v>92</v>
      </c>
      <c r="D1595" s="36">
        <f>base!H1595</f>
        <v>180</v>
      </c>
      <c r="E1595" s="44"/>
      <c r="F1595" s="16">
        <f>base!W1595</f>
        <v>0</v>
      </c>
      <c r="G1595" s="11">
        <f t="shared" si="240"/>
        <v>0</v>
      </c>
      <c r="H1595" s="11">
        <f t="shared" si="241"/>
        <v>0</v>
      </c>
      <c r="I1595" s="11">
        <f t="shared" si="242"/>
        <v>0</v>
      </c>
      <c r="J1595" s="12">
        <f t="shared" si="243"/>
        <v>0</v>
      </c>
      <c r="K1595" s="17" t="str">
        <f t="shared" si="248"/>
        <v>Pas d'écart</v>
      </c>
      <c r="L1595" s="16">
        <f>base!X1595</f>
        <v>0</v>
      </c>
      <c r="M1595" s="11">
        <f t="shared" si="244"/>
        <v>0</v>
      </c>
      <c r="N1595" s="11">
        <f t="shared" si="245"/>
        <v>0</v>
      </c>
      <c r="O1595" s="11">
        <f t="shared" si="246"/>
        <v>0</v>
      </c>
      <c r="P1595" s="12">
        <f t="shared" si="247"/>
        <v>0</v>
      </c>
      <c r="Q1595" s="17" t="str">
        <f t="shared" si="249"/>
        <v>Pas d'écart</v>
      </c>
    </row>
    <row r="1596" spans="1:18" x14ac:dyDescent="0.3">
      <c r="A1596" s="34" t="str">
        <f>base!J1596</f>
        <v>LM</v>
      </c>
      <c r="B1596" s="34" t="str">
        <f>base!V1596</f>
        <v>75014</v>
      </c>
      <c r="C1596" s="37">
        <v>75</v>
      </c>
      <c r="D1596" s="36">
        <f>base!H1596</f>
        <v>19.649999999999999</v>
      </c>
      <c r="E1596" s="44"/>
      <c r="F1596" s="16">
        <f>base!W1596</f>
        <v>0</v>
      </c>
      <c r="G1596" s="11">
        <f t="shared" si="240"/>
        <v>0</v>
      </c>
      <c r="H1596" s="11">
        <f t="shared" si="241"/>
        <v>0</v>
      </c>
      <c r="I1596" s="11">
        <f t="shared" si="242"/>
        <v>0</v>
      </c>
      <c r="J1596" s="12">
        <f t="shared" si="243"/>
        <v>0</v>
      </c>
      <c r="K1596" s="17" t="str">
        <f t="shared" si="248"/>
        <v>Pas d'écart</v>
      </c>
      <c r="L1596" s="16">
        <f>base!X1596</f>
        <v>0</v>
      </c>
      <c r="M1596" s="11">
        <f t="shared" si="244"/>
        <v>0</v>
      </c>
      <c r="N1596" s="11">
        <f t="shared" si="245"/>
        <v>0</v>
      </c>
      <c r="O1596" s="11">
        <f t="shared" si="246"/>
        <v>0</v>
      </c>
      <c r="P1596" s="12">
        <f t="shared" si="247"/>
        <v>0</v>
      </c>
      <c r="Q1596" s="17" t="str">
        <f t="shared" si="249"/>
        <v>Pas d'écart</v>
      </c>
    </row>
    <row r="1597" spans="1:18" x14ac:dyDescent="0.3">
      <c r="A1597" s="34" t="str">
        <f>base!J1597</f>
        <v>LS</v>
      </c>
      <c r="B1597" s="34" t="str">
        <f>base!V1597</f>
        <v>79000</v>
      </c>
      <c r="C1597" s="37">
        <v>59</v>
      </c>
      <c r="D1597" s="36">
        <f>base!H1597</f>
        <v>153.63999999999999</v>
      </c>
      <c r="E1597" s="44"/>
      <c r="F1597" s="16">
        <f>base!W1597</f>
        <v>32.26</v>
      </c>
      <c r="G1597" s="11">
        <f t="shared" si="240"/>
        <v>0.20997136162457694</v>
      </c>
      <c r="H1597" s="11">
        <f t="shared" si="241"/>
        <v>29.191599999999998</v>
      </c>
      <c r="I1597" s="11">
        <f t="shared" si="242"/>
        <v>0.19</v>
      </c>
      <c r="J1597" s="12">
        <f t="shared" si="243"/>
        <v>3.0684000000000005</v>
      </c>
      <c r="K1597" s="17" t="str">
        <f t="shared" si="248"/>
        <v>Ecart positif</v>
      </c>
      <c r="L1597" s="16">
        <f>base!X1597</f>
        <v>0</v>
      </c>
      <c r="M1597" s="11">
        <f t="shared" si="244"/>
        <v>0</v>
      </c>
      <c r="N1597" s="11">
        <f t="shared" si="245"/>
        <v>0</v>
      </c>
      <c r="O1597" s="11">
        <f t="shared" si="246"/>
        <v>0</v>
      </c>
      <c r="P1597" s="12">
        <f t="shared" si="247"/>
        <v>0</v>
      </c>
      <c r="Q1597" s="17" t="str">
        <f t="shared" si="249"/>
        <v>Pas d'écart</v>
      </c>
    </row>
    <row r="1598" spans="1:18" x14ac:dyDescent="0.3">
      <c r="A1598" s="34" t="str">
        <f>base!J1598</f>
        <v>RM</v>
      </c>
      <c r="B1598" s="34" t="str">
        <f>base!V1598</f>
        <v>68100</v>
      </c>
      <c r="C1598" s="37">
        <v>68</v>
      </c>
      <c r="D1598" s="36">
        <f>base!H1598</f>
        <v>193.66</v>
      </c>
      <c r="E1598" s="44"/>
      <c r="F1598" s="16">
        <f>base!W1598</f>
        <v>0</v>
      </c>
      <c r="G1598" s="11">
        <f t="shared" si="240"/>
        <v>0</v>
      </c>
      <c r="H1598" s="11">
        <f t="shared" si="241"/>
        <v>56.161399999999993</v>
      </c>
      <c r="I1598" s="11">
        <f t="shared" si="242"/>
        <v>0.28999999999999998</v>
      </c>
      <c r="J1598" s="12">
        <f t="shared" si="243"/>
        <v>-56.161399999999993</v>
      </c>
      <c r="K1598" s="17" t="str">
        <f t="shared" si="248"/>
        <v>Ecart négatif</v>
      </c>
      <c r="L1598" s="16">
        <f>base!X1598</f>
        <v>0</v>
      </c>
      <c r="M1598" s="11">
        <f t="shared" si="244"/>
        <v>0</v>
      </c>
      <c r="N1598" s="11">
        <f t="shared" si="245"/>
        <v>15.492800000000001</v>
      </c>
      <c r="O1598" s="11">
        <f t="shared" si="246"/>
        <v>0.08</v>
      </c>
      <c r="P1598" s="12">
        <f t="shared" si="247"/>
        <v>-15.492800000000001</v>
      </c>
      <c r="Q1598" s="17" t="str">
        <f t="shared" si="249"/>
        <v>Ecart négatif</v>
      </c>
    </row>
    <row r="1599" spans="1:18" x14ac:dyDescent="0.3">
      <c r="A1599" s="34" t="str">
        <f>base!J1599</f>
        <v>LM</v>
      </c>
      <c r="B1599" s="34" t="str">
        <f>base!V1599</f>
        <v>56330</v>
      </c>
      <c r="C1599" s="37">
        <v>2</v>
      </c>
      <c r="D1599" s="36">
        <f>base!H1599</f>
        <v>19.8</v>
      </c>
      <c r="E1599" s="44"/>
      <c r="F1599" s="16">
        <f>base!W1599</f>
        <v>5.35</v>
      </c>
      <c r="G1599" s="11">
        <f t="shared" si="240"/>
        <v>0.27020202020202017</v>
      </c>
      <c r="H1599" s="11">
        <f t="shared" si="241"/>
        <v>3.5640000000000001</v>
      </c>
      <c r="I1599" s="11">
        <f t="shared" si="242"/>
        <v>0.18</v>
      </c>
      <c r="J1599" s="12">
        <f t="shared" si="243"/>
        <v>1.7859999999999996</v>
      </c>
      <c r="K1599" s="17" t="str">
        <f t="shared" si="248"/>
        <v>Ecart positif</v>
      </c>
      <c r="L1599" s="16">
        <f>base!X1599</f>
        <v>0</v>
      </c>
      <c r="M1599" s="11">
        <f t="shared" si="244"/>
        <v>0</v>
      </c>
      <c r="N1599" s="11">
        <f t="shared" si="245"/>
        <v>0</v>
      </c>
      <c r="O1599" s="11">
        <f t="shared" si="246"/>
        <v>0</v>
      </c>
      <c r="P1599" s="12">
        <f t="shared" si="247"/>
        <v>0</v>
      </c>
      <c r="Q1599" s="17" t="str">
        <f t="shared" si="249"/>
        <v>Pas d'écart</v>
      </c>
    </row>
    <row r="1600" spans="1:18" x14ac:dyDescent="0.3">
      <c r="A1600" s="34" t="str">
        <f>base!J1600</f>
        <v>LM</v>
      </c>
      <c r="B1600" s="34" t="str">
        <f>base!V1600</f>
        <v>59120</v>
      </c>
      <c r="C1600" s="37">
        <v>62</v>
      </c>
      <c r="D1600" s="36">
        <f>base!H1600</f>
        <v>1.46</v>
      </c>
      <c r="E1600" s="44"/>
      <c r="F1600" s="16">
        <f>base!W1600</f>
        <v>0.28000000000000003</v>
      </c>
      <c r="G1600" s="11">
        <f t="shared" si="240"/>
        <v>0.19178082191780824</v>
      </c>
      <c r="H1600" s="11">
        <f t="shared" si="241"/>
        <v>0.27739999999999998</v>
      </c>
      <c r="I1600" s="11">
        <f t="shared" si="242"/>
        <v>0.19</v>
      </c>
      <c r="J1600" s="12">
        <f t="shared" si="243"/>
        <v>2.6000000000000467E-3</v>
      </c>
      <c r="K1600" s="17" t="str">
        <f t="shared" si="248"/>
        <v>Ecart positif</v>
      </c>
      <c r="L1600" s="16">
        <f>base!X1600</f>
        <v>0</v>
      </c>
      <c r="M1600" s="11">
        <f t="shared" si="244"/>
        <v>0</v>
      </c>
      <c r="N1600" s="11">
        <f t="shared" si="245"/>
        <v>0</v>
      </c>
      <c r="O1600" s="11">
        <f t="shared" si="246"/>
        <v>0</v>
      </c>
      <c r="P1600" s="12">
        <f t="shared" si="247"/>
        <v>0</v>
      </c>
      <c r="Q1600" s="17" t="str">
        <f t="shared" si="249"/>
        <v>Pas d'écart</v>
      </c>
    </row>
    <row r="1601" spans="1:17" x14ac:dyDescent="0.3">
      <c r="A1601" s="34">
        <f>base!J1601</f>
        <v>0</v>
      </c>
      <c r="B1601" s="34" t="str">
        <f>base!V1601</f>
        <v>77184</v>
      </c>
      <c r="C1601" s="37">
        <v>77</v>
      </c>
      <c r="D1601" s="36">
        <f>base!H1601</f>
        <v>25.6</v>
      </c>
      <c r="E1601" s="44"/>
      <c r="F1601" s="16">
        <f>base!W1601</f>
        <v>0</v>
      </c>
      <c r="G1601" s="11">
        <f t="shared" si="240"/>
        <v>0</v>
      </c>
      <c r="H1601" s="11">
        <f t="shared" si="241"/>
        <v>0</v>
      </c>
      <c r="I1601" s="11">
        <f t="shared" si="242"/>
        <v>0</v>
      </c>
      <c r="J1601" s="12">
        <f t="shared" si="243"/>
        <v>0</v>
      </c>
      <c r="K1601" s="17" t="str">
        <f t="shared" si="248"/>
        <v>Pas d'écart</v>
      </c>
      <c r="L1601" s="16">
        <f>base!X1601</f>
        <v>0</v>
      </c>
      <c r="M1601" s="11">
        <f t="shared" si="244"/>
        <v>0</v>
      </c>
      <c r="N1601" s="11">
        <f t="shared" si="245"/>
        <v>0</v>
      </c>
      <c r="O1601" s="11">
        <f t="shared" si="246"/>
        <v>0</v>
      </c>
      <c r="P1601" s="12">
        <f t="shared" si="247"/>
        <v>0</v>
      </c>
      <c r="Q1601" s="17" t="str">
        <f t="shared" si="249"/>
        <v>Pas d'écart</v>
      </c>
    </row>
    <row r="1602" spans="1:17" x14ac:dyDescent="0.3">
      <c r="A1602" s="34" t="str">
        <f>base!J1602</f>
        <v>DLM</v>
      </c>
      <c r="B1602" s="34" t="str">
        <f>base!V1602</f>
        <v>13270</v>
      </c>
      <c r="C1602" s="37">
        <v>13</v>
      </c>
      <c r="D1602" s="36">
        <f>base!H1602</f>
        <v>70</v>
      </c>
      <c r="E1602" s="44"/>
      <c r="F1602" s="16">
        <f>base!W1602</f>
        <v>0</v>
      </c>
      <c r="G1602" s="11">
        <f t="shared" ref="G1602:G1665" si="250">F1602/D1602</f>
        <v>0</v>
      </c>
      <c r="H1602" s="11">
        <f t="shared" ref="H1602:H1665" si="251">VLOOKUP(C1602,tout_cout_traction,2,FALSE)*D1602</f>
        <v>20.299999999999997</v>
      </c>
      <c r="I1602" s="11">
        <f t="shared" ref="I1602:I1665" si="252">H1602/D1602</f>
        <v>0.28999999999999998</v>
      </c>
      <c r="J1602" s="12">
        <f t="shared" ref="J1602:J1665" si="253">F1602-H1602</f>
        <v>-20.299999999999997</v>
      </c>
      <c r="K1602" s="17" t="str">
        <f t="shared" si="248"/>
        <v>Ecart négatif</v>
      </c>
      <c r="L1602" s="16">
        <f>base!X1602</f>
        <v>0</v>
      </c>
      <c r="M1602" s="11">
        <f t="shared" ref="M1602:M1665" si="254">L1602/D1602</f>
        <v>0</v>
      </c>
      <c r="N1602" s="11">
        <f t="shared" ref="N1602:N1665" si="255">VLOOKUP(C1602,tout_cout_traction,3,FALSE)*D1602</f>
        <v>13.3</v>
      </c>
      <c r="O1602" s="11">
        <f t="shared" ref="O1602:O1665" si="256">N1602/D1602</f>
        <v>0.19</v>
      </c>
      <c r="P1602" s="12">
        <f t="shared" ref="P1602:P1665" si="257">L1602-N1602</f>
        <v>-13.3</v>
      </c>
      <c r="Q1602" s="17" t="str">
        <f t="shared" si="249"/>
        <v>Ecart négatif</v>
      </c>
    </row>
    <row r="1603" spans="1:17" x14ac:dyDescent="0.3">
      <c r="A1603" s="34">
        <f>base!J1603</f>
        <v>0</v>
      </c>
      <c r="B1603" s="34" t="str">
        <f>base!V1603</f>
        <v>77184</v>
      </c>
      <c r="C1603" s="37">
        <v>77</v>
      </c>
      <c r="D1603" s="36">
        <f>base!H1603</f>
        <v>26.6</v>
      </c>
      <c r="E1603" s="44"/>
      <c r="F1603" s="16">
        <f>base!W1603</f>
        <v>0</v>
      </c>
      <c r="G1603" s="11">
        <f t="shared" si="250"/>
        <v>0</v>
      </c>
      <c r="H1603" s="11">
        <f t="shared" si="251"/>
        <v>0</v>
      </c>
      <c r="I1603" s="11">
        <f t="shared" si="252"/>
        <v>0</v>
      </c>
      <c r="J1603" s="12">
        <f t="shared" si="253"/>
        <v>0</v>
      </c>
      <c r="K1603" s="17" t="str">
        <f t="shared" ref="K1603:K1666" si="258">IF(H1603=F1603,"Pas d'écart",IF(H1603&lt;F1603,"Ecart positif",IF(H1603&gt;F1603,"Ecart négatif")))</f>
        <v>Pas d'écart</v>
      </c>
      <c r="L1603" s="16">
        <f>base!X1603</f>
        <v>0</v>
      </c>
      <c r="M1603" s="11">
        <f t="shared" si="254"/>
        <v>0</v>
      </c>
      <c r="N1603" s="11">
        <f t="shared" si="255"/>
        <v>0</v>
      </c>
      <c r="O1603" s="11">
        <f t="shared" si="256"/>
        <v>0</v>
      </c>
      <c r="P1603" s="12">
        <f t="shared" si="257"/>
        <v>0</v>
      </c>
      <c r="Q1603" s="17" t="str">
        <f t="shared" ref="Q1603:Q1666" si="259">IF(N1603=L1603,"Pas d'écart",IF(N1603&lt;L1603,"Ecart positif",IF(N1603&gt;L1603,"Ecart négatif")))</f>
        <v>Pas d'écart</v>
      </c>
    </row>
    <row r="1604" spans="1:17" x14ac:dyDescent="0.3">
      <c r="A1604" s="34" t="str">
        <f>base!J1604</f>
        <v>RM</v>
      </c>
      <c r="B1604" s="34" t="str">
        <f>base!V1604</f>
        <v>62000</v>
      </c>
      <c r="C1604" s="37">
        <v>62</v>
      </c>
      <c r="D1604" s="36">
        <f>base!H1604</f>
        <v>33.6</v>
      </c>
      <c r="E1604" s="44"/>
      <c r="F1604" s="16">
        <f>base!W1604</f>
        <v>0</v>
      </c>
      <c r="G1604" s="11">
        <f t="shared" si="250"/>
        <v>0</v>
      </c>
      <c r="H1604" s="11">
        <f t="shared" si="251"/>
        <v>6.3840000000000003</v>
      </c>
      <c r="I1604" s="11">
        <f t="shared" si="252"/>
        <v>0.19</v>
      </c>
      <c r="J1604" s="12">
        <f t="shared" si="253"/>
        <v>-6.3840000000000003</v>
      </c>
      <c r="K1604" s="17" t="str">
        <f t="shared" si="258"/>
        <v>Ecart négatif</v>
      </c>
      <c r="L1604" s="16">
        <f>base!X1604</f>
        <v>0</v>
      </c>
      <c r="M1604" s="11">
        <f t="shared" si="254"/>
        <v>0</v>
      </c>
      <c r="N1604" s="11">
        <f t="shared" si="255"/>
        <v>0</v>
      </c>
      <c r="O1604" s="11">
        <f t="shared" si="256"/>
        <v>0</v>
      </c>
      <c r="P1604" s="12">
        <f t="shared" si="257"/>
        <v>0</v>
      </c>
      <c r="Q1604" s="17" t="str">
        <f t="shared" si="259"/>
        <v>Pas d'écart</v>
      </c>
    </row>
    <row r="1605" spans="1:17" x14ac:dyDescent="0.3">
      <c r="A1605" s="34" t="str">
        <f>base!J1605</f>
        <v>LS</v>
      </c>
      <c r="B1605" s="34" t="str">
        <f>base!V1605</f>
        <v>59910</v>
      </c>
      <c r="C1605" s="37">
        <v>59</v>
      </c>
      <c r="D1605" s="36">
        <f>base!H1605</f>
        <v>140</v>
      </c>
      <c r="E1605" s="44"/>
      <c r="F1605" s="16">
        <f>base!W1605</f>
        <v>26.6</v>
      </c>
      <c r="G1605" s="11">
        <f t="shared" si="250"/>
        <v>0.19</v>
      </c>
      <c r="H1605" s="11">
        <f t="shared" si="251"/>
        <v>26.6</v>
      </c>
      <c r="I1605" s="11">
        <f t="shared" si="252"/>
        <v>0.19</v>
      </c>
      <c r="J1605" s="12">
        <f t="shared" si="253"/>
        <v>0</v>
      </c>
      <c r="K1605" s="17" t="str">
        <f t="shared" si="258"/>
        <v>Pas d'écart</v>
      </c>
      <c r="L1605" s="16">
        <f>base!X1605</f>
        <v>0</v>
      </c>
      <c r="M1605" s="11">
        <f t="shared" si="254"/>
        <v>0</v>
      </c>
      <c r="N1605" s="11">
        <f t="shared" si="255"/>
        <v>0</v>
      </c>
      <c r="O1605" s="11">
        <f t="shared" si="256"/>
        <v>0</v>
      </c>
      <c r="P1605" s="12">
        <f t="shared" si="257"/>
        <v>0</v>
      </c>
      <c r="Q1605" s="17" t="str">
        <f t="shared" si="259"/>
        <v>Pas d'écart</v>
      </c>
    </row>
    <row r="1606" spans="1:17" x14ac:dyDescent="0.3">
      <c r="A1606" s="34" t="str">
        <f>base!J1606</f>
        <v>LM</v>
      </c>
      <c r="B1606" s="34" t="str">
        <f>base!V1606</f>
        <v>59150</v>
      </c>
      <c r="C1606" s="37">
        <v>62</v>
      </c>
      <c r="D1606" s="36">
        <f>base!H1606</f>
        <v>5.12</v>
      </c>
      <c r="E1606" s="44"/>
      <c r="F1606" s="16">
        <f>base!W1606</f>
        <v>0.97</v>
      </c>
      <c r="G1606" s="11">
        <f t="shared" si="250"/>
        <v>0.189453125</v>
      </c>
      <c r="H1606" s="11">
        <f t="shared" si="251"/>
        <v>0.9728</v>
      </c>
      <c r="I1606" s="11">
        <f t="shared" si="252"/>
        <v>0.19</v>
      </c>
      <c r="J1606" s="12">
        <f t="shared" si="253"/>
        <v>-2.8000000000000247E-3</v>
      </c>
      <c r="K1606" s="17" t="str">
        <f t="shared" si="258"/>
        <v>Ecart négatif</v>
      </c>
      <c r="L1606" s="16">
        <f>base!X1606</f>
        <v>0</v>
      </c>
      <c r="M1606" s="11">
        <f t="shared" si="254"/>
        <v>0</v>
      </c>
      <c r="N1606" s="11">
        <f t="shared" si="255"/>
        <v>0</v>
      </c>
      <c r="O1606" s="11">
        <f t="shared" si="256"/>
        <v>0</v>
      </c>
      <c r="P1606" s="12">
        <f t="shared" si="257"/>
        <v>0</v>
      </c>
      <c r="Q1606" s="17" t="str">
        <f t="shared" si="259"/>
        <v>Pas d'écart</v>
      </c>
    </row>
    <row r="1607" spans="1:17" x14ac:dyDescent="0.3">
      <c r="A1607" s="34" t="str">
        <f>base!J1607</f>
        <v>RS</v>
      </c>
      <c r="B1607" s="34" t="str">
        <f>base!V1607</f>
        <v>94270</v>
      </c>
      <c r="C1607" s="37">
        <v>94</v>
      </c>
      <c r="D1607" s="36">
        <f>base!H1607</f>
        <v>81.72</v>
      </c>
      <c r="E1607" s="44"/>
      <c r="F1607" s="16">
        <f>base!W1607</f>
        <v>0</v>
      </c>
      <c r="G1607" s="11">
        <f t="shared" si="250"/>
        <v>0</v>
      </c>
      <c r="H1607" s="11">
        <f t="shared" si="251"/>
        <v>0</v>
      </c>
      <c r="I1607" s="11">
        <f t="shared" si="252"/>
        <v>0</v>
      </c>
      <c r="J1607" s="12">
        <f t="shared" si="253"/>
        <v>0</v>
      </c>
      <c r="K1607" s="17" t="str">
        <f t="shared" si="258"/>
        <v>Pas d'écart</v>
      </c>
      <c r="L1607" s="16">
        <f>base!X1607</f>
        <v>0</v>
      </c>
      <c r="M1607" s="11">
        <f t="shared" si="254"/>
        <v>0</v>
      </c>
      <c r="N1607" s="11">
        <f t="shared" si="255"/>
        <v>0</v>
      </c>
      <c r="O1607" s="11">
        <f t="shared" si="256"/>
        <v>0</v>
      </c>
      <c r="P1607" s="12">
        <f t="shared" si="257"/>
        <v>0</v>
      </c>
      <c r="Q1607" s="17" t="str">
        <f t="shared" si="259"/>
        <v>Pas d'écart</v>
      </c>
    </row>
    <row r="1608" spans="1:17" x14ac:dyDescent="0.3">
      <c r="A1608" s="34" t="str">
        <f>base!J1608</f>
        <v>RS</v>
      </c>
      <c r="B1608" s="34" t="str">
        <f>base!V1608</f>
        <v>94000</v>
      </c>
      <c r="C1608" s="37">
        <v>94</v>
      </c>
      <c r="D1608" s="36">
        <f>base!H1608</f>
        <v>180</v>
      </c>
      <c r="E1608" s="44"/>
      <c r="F1608" s="16">
        <f>base!W1608</f>
        <v>0</v>
      </c>
      <c r="G1608" s="11">
        <f t="shared" si="250"/>
        <v>0</v>
      </c>
      <c r="H1608" s="11">
        <f t="shared" si="251"/>
        <v>0</v>
      </c>
      <c r="I1608" s="11">
        <f t="shared" si="252"/>
        <v>0</v>
      </c>
      <c r="J1608" s="12">
        <f t="shared" si="253"/>
        <v>0</v>
      </c>
      <c r="K1608" s="17" t="str">
        <f t="shared" si="258"/>
        <v>Pas d'écart</v>
      </c>
      <c r="L1608" s="16">
        <f>base!X1608</f>
        <v>0</v>
      </c>
      <c r="M1608" s="11">
        <f t="shared" si="254"/>
        <v>0</v>
      </c>
      <c r="N1608" s="11">
        <f t="shared" si="255"/>
        <v>0</v>
      </c>
      <c r="O1608" s="11">
        <f t="shared" si="256"/>
        <v>0</v>
      </c>
      <c r="P1608" s="12">
        <f t="shared" si="257"/>
        <v>0</v>
      </c>
      <c r="Q1608" s="17" t="str">
        <f t="shared" si="259"/>
        <v>Pas d'écart</v>
      </c>
    </row>
    <row r="1609" spans="1:17" x14ac:dyDescent="0.3">
      <c r="A1609" s="34" t="str">
        <f>base!J1609</f>
        <v>LS</v>
      </c>
      <c r="B1609" s="34" t="str">
        <f>base!V1609</f>
        <v>44840</v>
      </c>
      <c r="C1609" s="37">
        <v>60</v>
      </c>
      <c r="D1609" s="36">
        <f>base!H1609</f>
        <v>151</v>
      </c>
      <c r="E1609" s="44"/>
      <c r="F1609" s="16">
        <f>base!W1609</f>
        <v>40.770000000000003</v>
      </c>
      <c r="G1609" s="11">
        <f t="shared" si="250"/>
        <v>0.27</v>
      </c>
      <c r="H1609" s="11">
        <f t="shared" si="251"/>
        <v>28.69</v>
      </c>
      <c r="I1609" s="11">
        <f t="shared" si="252"/>
        <v>0.19</v>
      </c>
      <c r="J1609" s="12">
        <f t="shared" si="253"/>
        <v>12.080000000000002</v>
      </c>
      <c r="K1609" s="17" t="str">
        <f t="shared" si="258"/>
        <v>Ecart positif</v>
      </c>
      <c r="L1609" s="16">
        <f>base!X1609</f>
        <v>0</v>
      </c>
      <c r="M1609" s="11">
        <f t="shared" si="254"/>
        <v>0</v>
      </c>
      <c r="N1609" s="11">
        <f t="shared" si="255"/>
        <v>0</v>
      </c>
      <c r="O1609" s="11">
        <f t="shared" si="256"/>
        <v>0</v>
      </c>
      <c r="P1609" s="12">
        <f t="shared" si="257"/>
        <v>0</v>
      </c>
      <c r="Q1609" s="17" t="str">
        <f t="shared" si="259"/>
        <v>Pas d'écart</v>
      </c>
    </row>
    <row r="1610" spans="1:17" x14ac:dyDescent="0.3">
      <c r="A1610" s="34" t="str">
        <f>base!J1610</f>
        <v>DRS</v>
      </c>
      <c r="B1610" s="34" t="str">
        <f>base!V1610</f>
        <v>02240</v>
      </c>
      <c r="C1610" s="37">
        <v>2</v>
      </c>
      <c r="D1610" s="36">
        <f>base!H1610</f>
        <v>151</v>
      </c>
      <c r="E1610" s="44"/>
      <c r="F1610" s="16">
        <f>base!W1610</f>
        <v>0</v>
      </c>
      <c r="G1610" s="11">
        <f t="shared" si="250"/>
        <v>0</v>
      </c>
      <c r="H1610" s="11">
        <f t="shared" si="251"/>
        <v>27.18</v>
      </c>
      <c r="I1610" s="11">
        <f t="shared" si="252"/>
        <v>0.18</v>
      </c>
      <c r="J1610" s="12">
        <f t="shared" si="253"/>
        <v>-27.18</v>
      </c>
      <c r="K1610" s="17" t="str">
        <f t="shared" si="258"/>
        <v>Ecart négatif</v>
      </c>
      <c r="L1610" s="16">
        <f>base!X1610</f>
        <v>0</v>
      </c>
      <c r="M1610" s="11">
        <f t="shared" si="254"/>
        <v>0</v>
      </c>
      <c r="N1610" s="11">
        <f t="shared" si="255"/>
        <v>0</v>
      </c>
      <c r="O1610" s="11">
        <f t="shared" si="256"/>
        <v>0</v>
      </c>
      <c r="P1610" s="12">
        <f t="shared" si="257"/>
        <v>0</v>
      </c>
      <c r="Q1610" s="17" t="str">
        <f t="shared" si="259"/>
        <v>Pas d'écart</v>
      </c>
    </row>
    <row r="1611" spans="1:17" x14ac:dyDescent="0.3">
      <c r="A1611" s="34" t="str">
        <f>base!J1611</f>
        <v>RM</v>
      </c>
      <c r="B1611" s="34" t="str">
        <f>base!V1611</f>
        <v>62600</v>
      </c>
      <c r="C1611" s="37">
        <v>62</v>
      </c>
      <c r="D1611" s="36">
        <f>base!H1611</f>
        <v>140</v>
      </c>
      <c r="E1611" s="44"/>
      <c r="F1611" s="16">
        <f>base!W1611</f>
        <v>0</v>
      </c>
      <c r="G1611" s="11">
        <f t="shared" si="250"/>
        <v>0</v>
      </c>
      <c r="H1611" s="11">
        <f t="shared" si="251"/>
        <v>26.6</v>
      </c>
      <c r="I1611" s="11">
        <f t="shared" si="252"/>
        <v>0.19</v>
      </c>
      <c r="J1611" s="12">
        <f t="shared" si="253"/>
        <v>-26.6</v>
      </c>
      <c r="K1611" s="17" t="str">
        <f t="shared" si="258"/>
        <v>Ecart négatif</v>
      </c>
      <c r="L1611" s="16">
        <f>base!X1611</f>
        <v>0</v>
      </c>
      <c r="M1611" s="11">
        <f t="shared" si="254"/>
        <v>0</v>
      </c>
      <c r="N1611" s="11">
        <f t="shared" si="255"/>
        <v>0</v>
      </c>
      <c r="O1611" s="11">
        <f t="shared" si="256"/>
        <v>0</v>
      </c>
      <c r="P1611" s="12">
        <f t="shared" si="257"/>
        <v>0</v>
      </c>
      <c r="Q1611" s="17" t="str">
        <f t="shared" si="259"/>
        <v>Pas d'écart</v>
      </c>
    </row>
    <row r="1612" spans="1:17" x14ac:dyDescent="0.3">
      <c r="A1612" s="34" t="str">
        <f>base!J1612</f>
        <v>DLS</v>
      </c>
      <c r="B1612" s="34" t="str">
        <f>base!V1612</f>
        <v>56100</v>
      </c>
      <c r="C1612" s="37">
        <v>56</v>
      </c>
      <c r="D1612" s="36">
        <f>base!H1612</f>
        <v>33</v>
      </c>
      <c r="E1612" s="44"/>
      <c r="F1612" s="16">
        <f>base!W1612</f>
        <v>0</v>
      </c>
      <c r="G1612" s="11">
        <f t="shared" si="250"/>
        <v>0</v>
      </c>
      <c r="H1612" s="11">
        <f t="shared" si="251"/>
        <v>8.91</v>
      </c>
      <c r="I1612" s="11">
        <f t="shared" si="252"/>
        <v>0.27</v>
      </c>
      <c r="J1612" s="12">
        <f t="shared" si="253"/>
        <v>-8.91</v>
      </c>
      <c r="K1612" s="17" t="str">
        <f t="shared" si="258"/>
        <v>Ecart négatif</v>
      </c>
      <c r="L1612" s="16">
        <f>base!X1612</f>
        <v>0</v>
      </c>
      <c r="M1612" s="11">
        <f t="shared" si="254"/>
        <v>0</v>
      </c>
      <c r="N1612" s="11">
        <f t="shared" si="255"/>
        <v>0</v>
      </c>
      <c r="O1612" s="11">
        <f t="shared" si="256"/>
        <v>0</v>
      </c>
      <c r="P1612" s="12">
        <f t="shared" si="257"/>
        <v>0</v>
      </c>
      <c r="Q1612" s="17" t="str">
        <f t="shared" si="259"/>
        <v>Pas d'écart</v>
      </c>
    </row>
    <row r="1613" spans="1:17" x14ac:dyDescent="0.3">
      <c r="A1613" s="34" t="str">
        <f>base!J1613</f>
        <v>LS</v>
      </c>
      <c r="B1613" s="34" t="str">
        <f>base!V1613</f>
        <v>62200</v>
      </c>
      <c r="C1613" s="37">
        <v>62</v>
      </c>
      <c r="D1613" s="36">
        <f>base!H1613</f>
        <v>130.19999999999999</v>
      </c>
      <c r="E1613" s="44"/>
      <c r="F1613" s="16">
        <f>base!W1613</f>
        <v>24.74</v>
      </c>
      <c r="G1613" s="11">
        <f t="shared" si="250"/>
        <v>0.19001536098310293</v>
      </c>
      <c r="H1613" s="11">
        <f t="shared" si="251"/>
        <v>24.738</v>
      </c>
      <c r="I1613" s="11">
        <f t="shared" si="252"/>
        <v>0.19</v>
      </c>
      <c r="J1613" s="12">
        <f t="shared" si="253"/>
        <v>1.9999999999988916E-3</v>
      </c>
      <c r="K1613" s="17" t="str">
        <f t="shared" si="258"/>
        <v>Ecart positif</v>
      </c>
      <c r="L1613" s="16">
        <f>base!X1613</f>
        <v>0</v>
      </c>
      <c r="M1613" s="11">
        <f t="shared" si="254"/>
        <v>0</v>
      </c>
      <c r="N1613" s="11">
        <f t="shared" si="255"/>
        <v>0</v>
      </c>
      <c r="O1613" s="11">
        <f t="shared" si="256"/>
        <v>0</v>
      </c>
      <c r="P1613" s="12">
        <f t="shared" si="257"/>
        <v>0</v>
      </c>
      <c r="Q1613" s="17" t="str">
        <f t="shared" si="259"/>
        <v>Pas d'écart</v>
      </c>
    </row>
    <row r="1614" spans="1:17" x14ac:dyDescent="0.3">
      <c r="A1614" s="34" t="str">
        <f>base!J1614</f>
        <v>RM</v>
      </c>
      <c r="B1614" s="34" t="str">
        <f>base!V1614</f>
        <v>76290</v>
      </c>
      <c r="C1614" s="37">
        <v>76</v>
      </c>
      <c r="D1614" s="36">
        <f>base!H1614</f>
        <v>151</v>
      </c>
      <c r="E1614" s="44"/>
      <c r="F1614" s="16">
        <f>base!W1614</f>
        <v>0</v>
      </c>
      <c r="G1614" s="11">
        <f t="shared" si="250"/>
        <v>0</v>
      </c>
      <c r="H1614" s="11">
        <f t="shared" si="251"/>
        <v>25.67</v>
      </c>
      <c r="I1614" s="11">
        <f t="shared" si="252"/>
        <v>0.17</v>
      </c>
      <c r="J1614" s="12">
        <f t="shared" si="253"/>
        <v>-25.67</v>
      </c>
      <c r="K1614" s="17" t="str">
        <f t="shared" si="258"/>
        <v>Ecart négatif</v>
      </c>
      <c r="L1614" s="16">
        <f>base!X1614</f>
        <v>0</v>
      </c>
      <c r="M1614" s="11">
        <f t="shared" si="254"/>
        <v>0</v>
      </c>
      <c r="N1614" s="11">
        <f t="shared" si="255"/>
        <v>25.67</v>
      </c>
      <c r="O1614" s="11">
        <f t="shared" si="256"/>
        <v>0.17</v>
      </c>
      <c r="P1614" s="12">
        <f t="shared" si="257"/>
        <v>-25.67</v>
      </c>
      <c r="Q1614" s="17" t="str">
        <f t="shared" si="259"/>
        <v>Ecart négatif</v>
      </c>
    </row>
    <row r="1615" spans="1:17" x14ac:dyDescent="0.3">
      <c r="A1615" s="34" t="str">
        <f>base!J1615</f>
        <v>LM</v>
      </c>
      <c r="B1615" s="34" t="str">
        <f>base!V1615</f>
        <v>62380</v>
      </c>
      <c r="C1615" s="37">
        <v>69</v>
      </c>
      <c r="D1615" s="36">
        <f>base!H1615</f>
        <v>19.8</v>
      </c>
      <c r="E1615" s="44"/>
      <c r="F1615" s="16">
        <f>base!W1615</f>
        <v>3.76</v>
      </c>
      <c r="G1615" s="11">
        <f t="shared" si="250"/>
        <v>0.18989898989898987</v>
      </c>
      <c r="H1615" s="11">
        <f t="shared" si="251"/>
        <v>5.346000000000001</v>
      </c>
      <c r="I1615" s="11">
        <f t="shared" si="252"/>
        <v>0.27</v>
      </c>
      <c r="J1615" s="12">
        <f t="shared" si="253"/>
        <v>-1.5860000000000012</v>
      </c>
      <c r="K1615" s="17" t="str">
        <f t="shared" si="258"/>
        <v>Ecart négatif</v>
      </c>
      <c r="L1615" s="16">
        <f>base!X1615</f>
        <v>0</v>
      </c>
      <c r="M1615" s="11">
        <f t="shared" si="254"/>
        <v>0</v>
      </c>
      <c r="N1615" s="11">
        <f t="shared" si="255"/>
        <v>0</v>
      </c>
      <c r="O1615" s="11">
        <f t="shared" si="256"/>
        <v>0</v>
      </c>
      <c r="P1615" s="12">
        <f t="shared" si="257"/>
        <v>0</v>
      </c>
      <c r="Q1615" s="17" t="str">
        <f t="shared" si="259"/>
        <v>Pas d'écart</v>
      </c>
    </row>
    <row r="1616" spans="1:17" x14ac:dyDescent="0.3">
      <c r="A1616" s="34" t="str">
        <f>base!J1616</f>
        <v>RM</v>
      </c>
      <c r="B1616" s="34" t="str">
        <f>base!V1616</f>
        <v>59132</v>
      </c>
      <c r="C1616" s="37">
        <v>59</v>
      </c>
      <c r="D1616" s="36">
        <f>base!H1616</f>
        <v>50</v>
      </c>
      <c r="E1616" s="44"/>
      <c r="F1616" s="16">
        <f>base!W1616</f>
        <v>0</v>
      </c>
      <c r="G1616" s="11">
        <f t="shared" si="250"/>
        <v>0</v>
      </c>
      <c r="H1616" s="11">
        <f t="shared" si="251"/>
        <v>9.5</v>
      </c>
      <c r="I1616" s="11">
        <f t="shared" si="252"/>
        <v>0.19</v>
      </c>
      <c r="J1616" s="12">
        <f t="shared" si="253"/>
        <v>-9.5</v>
      </c>
      <c r="K1616" s="17" t="str">
        <f t="shared" si="258"/>
        <v>Ecart négatif</v>
      </c>
      <c r="L1616" s="16">
        <f>base!X1616</f>
        <v>9.5</v>
      </c>
      <c r="M1616" s="11">
        <f t="shared" si="254"/>
        <v>0.19</v>
      </c>
      <c r="N1616" s="11">
        <f t="shared" si="255"/>
        <v>0</v>
      </c>
      <c r="O1616" s="11">
        <f t="shared" si="256"/>
        <v>0</v>
      </c>
      <c r="P1616" s="12">
        <f t="shared" si="257"/>
        <v>9.5</v>
      </c>
      <c r="Q1616" s="17" t="str">
        <f t="shared" si="259"/>
        <v>Ecart positif</v>
      </c>
    </row>
    <row r="1617" spans="1:17" x14ac:dyDescent="0.3">
      <c r="A1617" s="34" t="str">
        <f>base!J1617</f>
        <v>RM</v>
      </c>
      <c r="B1617" s="34" t="str">
        <f>base!V1617</f>
        <v>13014</v>
      </c>
      <c r="C1617" s="37">
        <v>13</v>
      </c>
      <c r="D1617" s="36">
        <f>base!H1617</f>
        <v>50</v>
      </c>
      <c r="E1617" s="44"/>
      <c r="F1617" s="16">
        <f>base!W1617</f>
        <v>0</v>
      </c>
      <c r="G1617" s="11">
        <f t="shared" si="250"/>
        <v>0</v>
      </c>
      <c r="H1617" s="11">
        <f t="shared" si="251"/>
        <v>14.499999999999998</v>
      </c>
      <c r="I1617" s="11">
        <f t="shared" si="252"/>
        <v>0.28999999999999998</v>
      </c>
      <c r="J1617" s="12">
        <f t="shared" si="253"/>
        <v>-14.499999999999998</v>
      </c>
      <c r="K1617" s="17" t="str">
        <f t="shared" si="258"/>
        <v>Ecart négatif</v>
      </c>
      <c r="L1617" s="16">
        <f>base!X1617</f>
        <v>14.5</v>
      </c>
      <c r="M1617" s="11">
        <f t="shared" si="254"/>
        <v>0.28999999999999998</v>
      </c>
      <c r="N1617" s="11">
        <f t="shared" si="255"/>
        <v>9.5</v>
      </c>
      <c r="O1617" s="11">
        <f t="shared" si="256"/>
        <v>0.19</v>
      </c>
      <c r="P1617" s="12">
        <f t="shared" si="257"/>
        <v>5</v>
      </c>
      <c r="Q1617" s="17" t="str">
        <f t="shared" si="259"/>
        <v>Ecart positif</v>
      </c>
    </row>
    <row r="1618" spans="1:17" x14ac:dyDescent="0.3">
      <c r="A1618" s="34" t="str">
        <f>base!J1618</f>
        <v>RM</v>
      </c>
      <c r="B1618" s="34" t="str">
        <f>base!V1618</f>
        <v>59000</v>
      </c>
      <c r="C1618" s="37">
        <v>59</v>
      </c>
      <c r="D1618" s="36">
        <f>base!H1618</f>
        <v>180</v>
      </c>
      <c r="E1618" s="44"/>
      <c r="F1618" s="16">
        <f>base!W1618</f>
        <v>0</v>
      </c>
      <c r="G1618" s="11">
        <f t="shared" si="250"/>
        <v>0</v>
      </c>
      <c r="H1618" s="11">
        <f t="shared" si="251"/>
        <v>34.200000000000003</v>
      </c>
      <c r="I1618" s="11">
        <f t="shared" si="252"/>
        <v>0.19</v>
      </c>
      <c r="J1618" s="12">
        <f t="shared" si="253"/>
        <v>-34.200000000000003</v>
      </c>
      <c r="K1618" s="17" t="str">
        <f t="shared" si="258"/>
        <v>Ecart négatif</v>
      </c>
      <c r="L1618" s="16">
        <f>base!X1618</f>
        <v>0</v>
      </c>
      <c r="M1618" s="11">
        <f t="shared" si="254"/>
        <v>0</v>
      </c>
      <c r="N1618" s="11">
        <f t="shared" si="255"/>
        <v>0</v>
      </c>
      <c r="O1618" s="11">
        <f t="shared" si="256"/>
        <v>0</v>
      </c>
      <c r="P1618" s="12">
        <f t="shared" si="257"/>
        <v>0</v>
      </c>
      <c r="Q1618" s="17" t="str">
        <f t="shared" si="259"/>
        <v>Pas d'écart</v>
      </c>
    </row>
    <row r="1619" spans="1:17" x14ac:dyDescent="0.3">
      <c r="A1619" s="34" t="str">
        <f>base!J1619</f>
        <v>LM</v>
      </c>
      <c r="B1619" s="34" t="str">
        <f>base!V1619</f>
        <v>69005</v>
      </c>
      <c r="C1619" s="37">
        <v>16</v>
      </c>
      <c r="D1619" s="36">
        <f>base!H1619</f>
        <v>33.35</v>
      </c>
      <c r="E1619" s="44"/>
      <c r="F1619" s="16">
        <f>base!W1619</f>
        <v>9</v>
      </c>
      <c r="G1619" s="11">
        <f t="shared" si="250"/>
        <v>0.26986506746626687</v>
      </c>
      <c r="H1619" s="11">
        <f t="shared" si="251"/>
        <v>7.0034999999999998</v>
      </c>
      <c r="I1619" s="11">
        <f t="shared" si="252"/>
        <v>0.21</v>
      </c>
      <c r="J1619" s="12">
        <f t="shared" si="253"/>
        <v>1.9965000000000002</v>
      </c>
      <c r="K1619" s="17" t="str">
        <f t="shared" si="258"/>
        <v>Ecart positif</v>
      </c>
      <c r="L1619" s="16">
        <f>base!X1619</f>
        <v>0</v>
      </c>
      <c r="M1619" s="11">
        <f t="shared" si="254"/>
        <v>0</v>
      </c>
      <c r="N1619" s="11">
        <f t="shared" si="255"/>
        <v>5.6695000000000002</v>
      </c>
      <c r="O1619" s="11">
        <f t="shared" si="256"/>
        <v>0.17</v>
      </c>
      <c r="P1619" s="12">
        <f t="shared" si="257"/>
        <v>-5.6695000000000002</v>
      </c>
      <c r="Q1619" s="17" t="str">
        <f t="shared" si="259"/>
        <v>Ecart négatif</v>
      </c>
    </row>
    <row r="1620" spans="1:17" x14ac:dyDescent="0.3">
      <c r="A1620" s="34" t="str">
        <f>base!J1620</f>
        <v>LM</v>
      </c>
      <c r="B1620" s="34" t="str">
        <f>base!V1620</f>
        <v>69005</v>
      </c>
      <c r="C1620" s="37">
        <v>79</v>
      </c>
      <c r="D1620" s="36">
        <f>base!H1620</f>
        <v>33.35</v>
      </c>
      <c r="E1620" s="44"/>
      <c r="F1620" s="16">
        <f>base!W1620</f>
        <v>9</v>
      </c>
      <c r="G1620" s="11">
        <f t="shared" si="250"/>
        <v>0.26986506746626687</v>
      </c>
      <c r="H1620" s="11">
        <f t="shared" si="251"/>
        <v>7.0034999999999998</v>
      </c>
      <c r="I1620" s="11">
        <f t="shared" si="252"/>
        <v>0.21</v>
      </c>
      <c r="J1620" s="12">
        <f t="shared" si="253"/>
        <v>1.9965000000000002</v>
      </c>
      <c r="K1620" s="17" t="str">
        <f t="shared" si="258"/>
        <v>Ecart positif</v>
      </c>
      <c r="L1620" s="16">
        <f>base!X1620</f>
        <v>0</v>
      </c>
      <c r="M1620" s="11">
        <f t="shared" si="254"/>
        <v>0</v>
      </c>
      <c r="N1620" s="11">
        <f t="shared" si="255"/>
        <v>4.0019999999999998</v>
      </c>
      <c r="O1620" s="11">
        <f t="shared" si="256"/>
        <v>0.11999999999999998</v>
      </c>
      <c r="P1620" s="12">
        <f t="shared" si="257"/>
        <v>-4.0019999999999998</v>
      </c>
      <c r="Q1620" s="17" t="str">
        <f t="shared" si="259"/>
        <v>Ecart négatif</v>
      </c>
    </row>
    <row r="1621" spans="1:17" x14ac:dyDescent="0.3">
      <c r="A1621" s="34" t="str">
        <f>base!J1621</f>
        <v>RS</v>
      </c>
      <c r="B1621" s="34" t="str">
        <f>base!V1621</f>
        <v>39000</v>
      </c>
      <c r="C1621" s="37">
        <v>39</v>
      </c>
      <c r="D1621" s="36">
        <f>base!H1621</f>
        <v>70</v>
      </c>
      <c r="E1621" s="44"/>
      <c r="F1621" s="16">
        <f>base!W1621</f>
        <v>0</v>
      </c>
      <c r="G1621" s="11">
        <f t="shared" si="250"/>
        <v>0</v>
      </c>
      <c r="H1621" s="11">
        <f t="shared" si="251"/>
        <v>18.900000000000002</v>
      </c>
      <c r="I1621" s="11">
        <f t="shared" si="252"/>
        <v>0.27</v>
      </c>
      <c r="J1621" s="12">
        <f t="shared" si="253"/>
        <v>-18.900000000000002</v>
      </c>
      <c r="K1621" s="17" t="str">
        <f t="shared" si="258"/>
        <v>Ecart négatif</v>
      </c>
      <c r="L1621" s="16">
        <f>base!X1621</f>
        <v>0</v>
      </c>
      <c r="M1621" s="11">
        <f t="shared" si="254"/>
        <v>0</v>
      </c>
      <c r="N1621" s="11">
        <f t="shared" si="255"/>
        <v>0</v>
      </c>
      <c r="O1621" s="11">
        <f t="shared" si="256"/>
        <v>0</v>
      </c>
      <c r="P1621" s="12">
        <f t="shared" si="257"/>
        <v>0</v>
      </c>
      <c r="Q1621" s="17" t="str">
        <f t="shared" si="259"/>
        <v>Pas d'écart</v>
      </c>
    </row>
    <row r="1622" spans="1:17" x14ac:dyDescent="0.3">
      <c r="A1622" s="34" t="str">
        <f>base!J1622</f>
        <v>LS</v>
      </c>
      <c r="B1622" s="34" t="str">
        <f>base!V1622</f>
        <v>17100</v>
      </c>
      <c r="C1622" s="37">
        <v>59</v>
      </c>
      <c r="D1622" s="36">
        <f>base!H1622</f>
        <v>131.97999999999999</v>
      </c>
      <c r="E1622" s="44"/>
      <c r="F1622" s="16">
        <f>base!W1622</f>
        <v>27.72</v>
      </c>
      <c r="G1622" s="11">
        <f t="shared" si="250"/>
        <v>0.21003182300348539</v>
      </c>
      <c r="H1622" s="11">
        <f t="shared" si="251"/>
        <v>25.0762</v>
      </c>
      <c r="I1622" s="11">
        <f t="shared" si="252"/>
        <v>0.19</v>
      </c>
      <c r="J1622" s="12">
        <f t="shared" si="253"/>
        <v>2.6437999999999988</v>
      </c>
      <c r="K1622" s="17" t="str">
        <f t="shared" si="258"/>
        <v>Ecart positif</v>
      </c>
      <c r="L1622" s="16">
        <f>base!X1622</f>
        <v>0</v>
      </c>
      <c r="M1622" s="11">
        <f t="shared" si="254"/>
        <v>0</v>
      </c>
      <c r="N1622" s="11">
        <f t="shared" si="255"/>
        <v>0</v>
      </c>
      <c r="O1622" s="11">
        <f t="shared" si="256"/>
        <v>0</v>
      </c>
      <c r="P1622" s="12">
        <f t="shared" si="257"/>
        <v>0</v>
      </c>
      <c r="Q1622" s="17" t="str">
        <f t="shared" si="259"/>
        <v>Pas d'écart</v>
      </c>
    </row>
    <row r="1623" spans="1:17" x14ac:dyDescent="0.3">
      <c r="A1623" s="34" t="str">
        <f>base!J1623</f>
        <v>RM</v>
      </c>
      <c r="B1623" s="34" t="str">
        <f>base!V1623</f>
        <v>75008</v>
      </c>
      <c r="C1623" s="37">
        <v>75</v>
      </c>
      <c r="D1623" s="36">
        <f>base!H1623</f>
        <v>220</v>
      </c>
      <c r="E1623" s="44"/>
      <c r="F1623" s="16">
        <f>base!W1623</f>
        <v>0</v>
      </c>
      <c r="G1623" s="11">
        <f t="shared" si="250"/>
        <v>0</v>
      </c>
      <c r="H1623" s="11">
        <f t="shared" si="251"/>
        <v>0</v>
      </c>
      <c r="I1623" s="11">
        <f t="shared" si="252"/>
        <v>0</v>
      </c>
      <c r="J1623" s="12">
        <f t="shared" si="253"/>
        <v>0</v>
      </c>
      <c r="K1623" s="17" t="str">
        <f t="shared" si="258"/>
        <v>Pas d'écart</v>
      </c>
      <c r="L1623" s="16">
        <f>base!X1623</f>
        <v>0</v>
      </c>
      <c r="M1623" s="11">
        <f t="shared" si="254"/>
        <v>0</v>
      </c>
      <c r="N1623" s="11">
        <f t="shared" si="255"/>
        <v>0</v>
      </c>
      <c r="O1623" s="11">
        <f t="shared" si="256"/>
        <v>0</v>
      </c>
      <c r="P1623" s="12">
        <f t="shared" si="257"/>
        <v>0</v>
      </c>
      <c r="Q1623" s="17" t="str">
        <f t="shared" si="259"/>
        <v>Pas d'écart</v>
      </c>
    </row>
    <row r="1624" spans="1:17" x14ac:dyDescent="0.3">
      <c r="A1624" s="34" t="str">
        <f>base!J1624</f>
        <v>RM</v>
      </c>
      <c r="B1624" s="34" t="str">
        <f>base!V1624</f>
        <v>69006</v>
      </c>
      <c r="C1624" s="37">
        <v>69</v>
      </c>
      <c r="D1624" s="36">
        <f>base!H1624</f>
        <v>29.59</v>
      </c>
      <c r="E1624" s="44"/>
      <c r="F1624" s="16">
        <f>base!W1624</f>
        <v>0</v>
      </c>
      <c r="G1624" s="11">
        <f t="shared" si="250"/>
        <v>0</v>
      </c>
      <c r="H1624" s="11">
        <f t="shared" si="251"/>
        <v>7.9893000000000001</v>
      </c>
      <c r="I1624" s="11">
        <f t="shared" si="252"/>
        <v>0.27</v>
      </c>
      <c r="J1624" s="12">
        <f t="shared" si="253"/>
        <v>-7.9893000000000001</v>
      </c>
      <c r="K1624" s="17" t="str">
        <f t="shared" si="258"/>
        <v>Ecart négatif</v>
      </c>
      <c r="L1624" s="16">
        <f>base!X1624</f>
        <v>0</v>
      </c>
      <c r="M1624" s="11">
        <f t="shared" si="254"/>
        <v>0</v>
      </c>
      <c r="N1624" s="11">
        <f t="shared" si="255"/>
        <v>0</v>
      </c>
      <c r="O1624" s="11">
        <f t="shared" si="256"/>
        <v>0</v>
      </c>
      <c r="P1624" s="12">
        <f t="shared" si="257"/>
        <v>0</v>
      </c>
      <c r="Q1624" s="17" t="str">
        <f t="shared" si="259"/>
        <v>Pas d'écart</v>
      </c>
    </row>
    <row r="1625" spans="1:17" x14ac:dyDescent="0.3">
      <c r="A1625" s="34" t="str">
        <f>base!J1625</f>
        <v>DRM</v>
      </c>
      <c r="B1625" s="34" t="str">
        <f>base!V1625</f>
        <v>14000</v>
      </c>
      <c r="C1625" s="37">
        <v>14</v>
      </c>
      <c r="D1625" s="36">
        <f>base!H1625</f>
        <v>69.540000000000006</v>
      </c>
      <c r="E1625" s="44"/>
      <c r="F1625" s="16">
        <f>base!W1625</f>
        <v>0</v>
      </c>
      <c r="G1625" s="11">
        <f t="shared" si="250"/>
        <v>0</v>
      </c>
      <c r="H1625" s="11">
        <f t="shared" si="251"/>
        <v>11.821800000000001</v>
      </c>
      <c r="I1625" s="11">
        <f t="shared" si="252"/>
        <v>0.17</v>
      </c>
      <c r="J1625" s="12">
        <f t="shared" si="253"/>
        <v>-11.821800000000001</v>
      </c>
      <c r="K1625" s="17" t="str">
        <f t="shared" si="258"/>
        <v>Ecart négatif</v>
      </c>
      <c r="L1625" s="16">
        <f>base!X1625</f>
        <v>0</v>
      </c>
      <c r="M1625" s="11">
        <f t="shared" si="254"/>
        <v>0</v>
      </c>
      <c r="N1625" s="11">
        <f t="shared" si="255"/>
        <v>11.821800000000001</v>
      </c>
      <c r="O1625" s="11">
        <f t="shared" si="256"/>
        <v>0.17</v>
      </c>
      <c r="P1625" s="12">
        <f t="shared" si="257"/>
        <v>-11.821800000000001</v>
      </c>
      <c r="Q1625" s="17" t="str">
        <f t="shared" si="259"/>
        <v>Ecart négatif</v>
      </c>
    </row>
    <row r="1626" spans="1:17" x14ac:dyDescent="0.3">
      <c r="A1626" s="34" t="str">
        <f>base!J1626</f>
        <v>DRM</v>
      </c>
      <c r="B1626" s="34" t="str">
        <f>base!V1626</f>
        <v>92200</v>
      </c>
      <c r="C1626" s="37">
        <v>92</v>
      </c>
      <c r="D1626" s="36">
        <f>base!H1626</f>
        <v>53.2</v>
      </c>
      <c r="E1626" s="44"/>
      <c r="F1626" s="16">
        <f>base!W1626</f>
        <v>0</v>
      </c>
      <c r="G1626" s="11">
        <f t="shared" si="250"/>
        <v>0</v>
      </c>
      <c r="H1626" s="11">
        <f t="shared" si="251"/>
        <v>0</v>
      </c>
      <c r="I1626" s="11">
        <f t="shared" si="252"/>
        <v>0</v>
      </c>
      <c r="J1626" s="12">
        <f t="shared" si="253"/>
        <v>0</v>
      </c>
      <c r="K1626" s="17" t="str">
        <f t="shared" si="258"/>
        <v>Pas d'écart</v>
      </c>
      <c r="L1626" s="16">
        <f>base!X1626</f>
        <v>0</v>
      </c>
      <c r="M1626" s="11">
        <f t="shared" si="254"/>
        <v>0</v>
      </c>
      <c r="N1626" s="11">
        <f t="shared" si="255"/>
        <v>0</v>
      </c>
      <c r="O1626" s="11">
        <f t="shared" si="256"/>
        <v>0</v>
      </c>
      <c r="P1626" s="12">
        <f t="shared" si="257"/>
        <v>0</v>
      </c>
      <c r="Q1626" s="17" t="str">
        <f t="shared" si="259"/>
        <v>Pas d'écart</v>
      </c>
    </row>
    <row r="1627" spans="1:17" x14ac:dyDescent="0.3">
      <c r="A1627" s="34" t="str">
        <f>base!J1627</f>
        <v>DLS</v>
      </c>
      <c r="B1627" s="34" t="str">
        <f>base!V1627</f>
        <v>37700</v>
      </c>
      <c r="C1627" s="37">
        <v>37</v>
      </c>
      <c r="D1627" s="36">
        <f>base!H1627</f>
        <v>67.599999999999994</v>
      </c>
      <c r="E1627" s="44"/>
      <c r="F1627" s="16">
        <f>base!W1627</f>
        <v>0</v>
      </c>
      <c r="G1627" s="11">
        <f t="shared" si="250"/>
        <v>0</v>
      </c>
      <c r="H1627" s="11">
        <f t="shared" si="251"/>
        <v>12.843999999999999</v>
      </c>
      <c r="I1627" s="11">
        <f t="shared" si="252"/>
        <v>0.19</v>
      </c>
      <c r="J1627" s="12">
        <f t="shared" si="253"/>
        <v>-12.843999999999999</v>
      </c>
      <c r="K1627" s="17" t="str">
        <f t="shared" si="258"/>
        <v>Ecart négatif</v>
      </c>
      <c r="L1627" s="16">
        <f>base!X1627</f>
        <v>0</v>
      </c>
      <c r="M1627" s="11">
        <f t="shared" si="254"/>
        <v>0</v>
      </c>
      <c r="N1627" s="11">
        <f t="shared" si="255"/>
        <v>8.1119999999999983</v>
      </c>
      <c r="O1627" s="11">
        <f t="shared" si="256"/>
        <v>0.11999999999999998</v>
      </c>
      <c r="P1627" s="12">
        <f t="shared" si="257"/>
        <v>-8.1119999999999983</v>
      </c>
      <c r="Q1627" s="17" t="str">
        <f t="shared" si="259"/>
        <v>Ecart négatif</v>
      </c>
    </row>
    <row r="1628" spans="1:17" x14ac:dyDescent="0.3">
      <c r="A1628" s="34" t="str">
        <f>base!J1628</f>
        <v>RS</v>
      </c>
      <c r="B1628" s="34" t="str">
        <f>base!V1628</f>
        <v>08600</v>
      </c>
      <c r="C1628" s="37">
        <v>8</v>
      </c>
      <c r="D1628" s="36">
        <f>base!H1628</f>
        <v>140</v>
      </c>
      <c r="E1628" s="44"/>
      <c r="F1628" s="16">
        <f>base!W1628</f>
        <v>0</v>
      </c>
      <c r="G1628" s="11">
        <f t="shared" si="250"/>
        <v>0</v>
      </c>
      <c r="H1628" s="11">
        <f t="shared" si="251"/>
        <v>25.2</v>
      </c>
      <c r="I1628" s="11">
        <f t="shared" si="252"/>
        <v>0.18</v>
      </c>
      <c r="J1628" s="12">
        <f t="shared" si="253"/>
        <v>-25.2</v>
      </c>
      <c r="K1628" s="17" t="str">
        <f t="shared" si="258"/>
        <v>Ecart négatif</v>
      </c>
      <c r="L1628" s="16">
        <f>base!X1628</f>
        <v>0</v>
      </c>
      <c r="M1628" s="11">
        <f t="shared" si="254"/>
        <v>0</v>
      </c>
      <c r="N1628" s="11">
        <f t="shared" si="255"/>
        <v>0</v>
      </c>
      <c r="O1628" s="11">
        <f t="shared" si="256"/>
        <v>0</v>
      </c>
      <c r="P1628" s="12">
        <f t="shared" si="257"/>
        <v>0</v>
      </c>
      <c r="Q1628" s="17" t="str">
        <f t="shared" si="259"/>
        <v>Pas d'écart</v>
      </c>
    </row>
    <row r="1629" spans="1:17" x14ac:dyDescent="0.3">
      <c r="A1629" s="34" t="str">
        <f>base!J1629</f>
        <v>Stockage</v>
      </c>
      <c r="B1629" s="34" t="str">
        <f>base!V1629</f>
        <v/>
      </c>
      <c r="C1629" s="40" t="s">
        <v>11</v>
      </c>
      <c r="D1629" s="36">
        <f>base!H1629</f>
        <v>0</v>
      </c>
      <c r="E1629" s="44"/>
      <c r="F1629" s="16">
        <f>base!W1629</f>
        <v>0</v>
      </c>
      <c r="G1629" s="11" t="e">
        <f t="shared" si="250"/>
        <v>#DIV/0!</v>
      </c>
      <c r="H1629" s="11" t="e">
        <f t="shared" si="251"/>
        <v>#N/A</v>
      </c>
      <c r="I1629" s="11" t="e">
        <f t="shared" si="252"/>
        <v>#N/A</v>
      </c>
      <c r="J1629" s="12" t="e">
        <f t="shared" si="253"/>
        <v>#N/A</v>
      </c>
      <c r="K1629" s="17" t="e">
        <f t="shared" si="258"/>
        <v>#N/A</v>
      </c>
      <c r="L1629" s="16">
        <f>base!X1629</f>
        <v>0</v>
      </c>
      <c r="M1629" s="11" t="e">
        <f t="shared" si="254"/>
        <v>#DIV/0!</v>
      </c>
      <c r="N1629" s="11" t="e">
        <f t="shared" si="255"/>
        <v>#N/A</v>
      </c>
      <c r="O1629" s="11" t="e">
        <f t="shared" si="256"/>
        <v>#N/A</v>
      </c>
      <c r="P1629" s="12" t="e">
        <f t="shared" si="257"/>
        <v>#N/A</v>
      </c>
      <c r="Q1629" s="17" t="e">
        <f t="shared" si="259"/>
        <v>#N/A</v>
      </c>
    </row>
    <row r="1630" spans="1:17" x14ac:dyDescent="0.3">
      <c r="A1630" s="34" t="str">
        <f>base!J1630</f>
        <v>RS</v>
      </c>
      <c r="B1630" s="34" t="str">
        <f>base!V1630</f>
        <v>83320</v>
      </c>
      <c r="C1630" s="37">
        <v>83</v>
      </c>
      <c r="D1630" s="36">
        <f>base!H1630</f>
        <v>70</v>
      </c>
      <c r="E1630" s="44"/>
      <c r="F1630" s="16">
        <f>base!W1630</f>
        <v>0</v>
      </c>
      <c r="G1630" s="11">
        <f t="shared" si="250"/>
        <v>0</v>
      </c>
      <c r="H1630" s="11">
        <f t="shared" si="251"/>
        <v>21</v>
      </c>
      <c r="I1630" s="11">
        <f t="shared" si="252"/>
        <v>0.3</v>
      </c>
      <c r="J1630" s="12">
        <f t="shared" si="253"/>
        <v>-21</v>
      </c>
      <c r="K1630" s="17" t="str">
        <f t="shared" si="258"/>
        <v>Ecart négatif</v>
      </c>
      <c r="L1630" s="16">
        <f>base!X1630</f>
        <v>0</v>
      </c>
      <c r="M1630" s="11">
        <f t="shared" si="254"/>
        <v>0</v>
      </c>
      <c r="N1630" s="11">
        <f t="shared" si="255"/>
        <v>14.7</v>
      </c>
      <c r="O1630" s="11">
        <f t="shared" si="256"/>
        <v>0.21</v>
      </c>
      <c r="P1630" s="12">
        <f t="shared" si="257"/>
        <v>-14.7</v>
      </c>
      <c r="Q1630" s="17" t="str">
        <f t="shared" si="259"/>
        <v>Ecart négatif</v>
      </c>
    </row>
    <row r="1631" spans="1:17" x14ac:dyDescent="0.3">
      <c r="A1631" s="34" t="str">
        <f>base!J1631</f>
        <v>LS</v>
      </c>
      <c r="B1631" s="34" t="str">
        <f>base!V1631</f>
        <v>50400</v>
      </c>
      <c r="C1631" s="37">
        <v>59</v>
      </c>
      <c r="D1631" s="36">
        <f>base!H1631</f>
        <v>132.47999999999999</v>
      </c>
      <c r="E1631" s="44"/>
      <c r="F1631" s="16">
        <f>base!W1631</f>
        <v>22.52</v>
      </c>
      <c r="G1631" s="11">
        <f t="shared" si="250"/>
        <v>0.16998792270531402</v>
      </c>
      <c r="H1631" s="11">
        <f t="shared" si="251"/>
        <v>25.171199999999999</v>
      </c>
      <c r="I1631" s="11">
        <f t="shared" si="252"/>
        <v>0.19</v>
      </c>
      <c r="J1631" s="12">
        <f t="shared" si="253"/>
        <v>-2.6511999999999993</v>
      </c>
      <c r="K1631" s="17" t="str">
        <f t="shared" si="258"/>
        <v>Ecart négatif</v>
      </c>
      <c r="L1631" s="16">
        <f>base!X1631</f>
        <v>0</v>
      </c>
      <c r="M1631" s="11">
        <f t="shared" si="254"/>
        <v>0</v>
      </c>
      <c r="N1631" s="11">
        <f t="shared" si="255"/>
        <v>0</v>
      </c>
      <c r="O1631" s="11">
        <f t="shared" si="256"/>
        <v>0</v>
      </c>
      <c r="P1631" s="12">
        <f t="shared" si="257"/>
        <v>0</v>
      </c>
      <c r="Q1631" s="17" t="str">
        <f t="shared" si="259"/>
        <v>Pas d'écart</v>
      </c>
    </row>
    <row r="1632" spans="1:17" x14ac:dyDescent="0.3">
      <c r="A1632" s="34" t="str">
        <f>base!J1632</f>
        <v>RS</v>
      </c>
      <c r="B1632" s="34" t="str">
        <f>base!V1632</f>
        <v>45140</v>
      </c>
      <c r="C1632" s="37">
        <v>45</v>
      </c>
      <c r="D1632" s="36">
        <f>base!H1632</f>
        <v>140</v>
      </c>
      <c r="E1632" s="44"/>
      <c r="F1632" s="16">
        <f>base!W1632</f>
        <v>0</v>
      </c>
      <c r="G1632" s="11">
        <f t="shared" si="250"/>
        <v>0</v>
      </c>
      <c r="H1632" s="11">
        <f t="shared" si="251"/>
        <v>29.4</v>
      </c>
      <c r="I1632" s="11">
        <f t="shared" si="252"/>
        <v>0.21</v>
      </c>
      <c r="J1632" s="12">
        <f t="shared" si="253"/>
        <v>-29.4</v>
      </c>
      <c r="K1632" s="17" t="str">
        <f t="shared" si="258"/>
        <v>Ecart négatif</v>
      </c>
      <c r="L1632" s="16">
        <f>base!X1632</f>
        <v>0</v>
      </c>
      <c r="M1632" s="11">
        <f t="shared" si="254"/>
        <v>0</v>
      </c>
      <c r="N1632" s="11">
        <f t="shared" si="255"/>
        <v>16.8</v>
      </c>
      <c r="O1632" s="11">
        <f t="shared" si="256"/>
        <v>0.12000000000000001</v>
      </c>
      <c r="P1632" s="12">
        <f t="shared" si="257"/>
        <v>-16.8</v>
      </c>
      <c r="Q1632" s="17" t="str">
        <f t="shared" si="259"/>
        <v>Ecart négatif</v>
      </c>
    </row>
    <row r="1633" spans="1:18" x14ac:dyDescent="0.3">
      <c r="A1633" s="34" t="str">
        <f>base!J1633</f>
        <v>RS</v>
      </c>
      <c r="B1633" s="34" t="str">
        <f>base!V1633</f>
        <v>91090</v>
      </c>
      <c r="C1633" s="37">
        <v>91</v>
      </c>
      <c r="D1633" s="36">
        <f>base!H1633</f>
        <v>80</v>
      </c>
      <c r="E1633" s="44"/>
      <c r="F1633" s="16">
        <f>base!W1633</f>
        <v>0</v>
      </c>
      <c r="G1633" s="11">
        <f t="shared" si="250"/>
        <v>0</v>
      </c>
      <c r="H1633" s="11">
        <f t="shared" si="251"/>
        <v>0</v>
      </c>
      <c r="I1633" s="11">
        <f t="shared" si="252"/>
        <v>0</v>
      </c>
      <c r="J1633" s="12">
        <f t="shared" si="253"/>
        <v>0</v>
      </c>
      <c r="K1633" s="17" t="str">
        <f t="shared" si="258"/>
        <v>Pas d'écart</v>
      </c>
      <c r="L1633" s="16">
        <f>base!X1633</f>
        <v>0</v>
      </c>
      <c r="M1633" s="11">
        <f t="shared" si="254"/>
        <v>0</v>
      </c>
      <c r="N1633" s="11">
        <f t="shared" si="255"/>
        <v>0</v>
      </c>
      <c r="O1633" s="11">
        <f t="shared" si="256"/>
        <v>0</v>
      </c>
      <c r="P1633" s="12">
        <f t="shared" si="257"/>
        <v>0</v>
      </c>
      <c r="Q1633" s="17" t="str">
        <f t="shared" si="259"/>
        <v>Pas d'écart</v>
      </c>
    </row>
    <row r="1634" spans="1:18" x14ac:dyDescent="0.3">
      <c r="A1634" s="34" t="str">
        <f>base!J1634</f>
        <v>RM</v>
      </c>
      <c r="B1634" s="34" t="str">
        <f>base!V1634</f>
        <v>70000</v>
      </c>
      <c r="C1634" s="37">
        <v>70</v>
      </c>
      <c r="D1634" s="36">
        <f>base!H1634</f>
        <v>76</v>
      </c>
      <c r="E1634" s="44"/>
      <c r="F1634" s="16">
        <f>base!W1634</f>
        <v>0</v>
      </c>
      <c r="G1634" s="11">
        <f t="shared" si="250"/>
        <v>0</v>
      </c>
      <c r="H1634" s="11">
        <f t="shared" si="251"/>
        <v>18.239999999999998</v>
      </c>
      <c r="I1634" s="11">
        <f t="shared" si="252"/>
        <v>0.24</v>
      </c>
      <c r="J1634" s="12">
        <f t="shared" si="253"/>
        <v>-18.239999999999998</v>
      </c>
      <c r="K1634" s="17" t="str">
        <f t="shared" si="258"/>
        <v>Ecart négatif</v>
      </c>
      <c r="L1634" s="16">
        <f>base!X1634</f>
        <v>0</v>
      </c>
      <c r="M1634" s="11">
        <f t="shared" si="254"/>
        <v>0</v>
      </c>
      <c r="N1634" s="11">
        <f t="shared" si="255"/>
        <v>9.1199999999999992</v>
      </c>
      <c r="O1634" s="11">
        <f t="shared" si="256"/>
        <v>0.12</v>
      </c>
      <c r="P1634" s="12">
        <f t="shared" si="257"/>
        <v>-9.1199999999999992</v>
      </c>
      <c r="Q1634" s="17" t="str">
        <f t="shared" si="259"/>
        <v>Ecart négatif</v>
      </c>
    </row>
    <row r="1635" spans="1:18" x14ac:dyDescent="0.3">
      <c r="A1635" s="34" t="str">
        <f>base!J1635</f>
        <v>RM</v>
      </c>
      <c r="B1635" s="34" t="str">
        <f>base!V1635</f>
        <v>06690</v>
      </c>
      <c r="C1635" s="37">
        <v>6</v>
      </c>
      <c r="D1635" s="36">
        <f>base!H1635</f>
        <v>151</v>
      </c>
      <c r="E1635" s="44"/>
      <c r="F1635" s="16">
        <f>base!W1635</f>
        <v>0</v>
      </c>
      <c r="G1635" s="11">
        <f t="shared" si="250"/>
        <v>0</v>
      </c>
      <c r="H1635" s="11">
        <f t="shared" si="251"/>
        <v>45.3</v>
      </c>
      <c r="I1635" s="11">
        <f t="shared" si="252"/>
        <v>0.3</v>
      </c>
      <c r="J1635" s="12">
        <f t="shared" si="253"/>
        <v>-45.3</v>
      </c>
      <c r="K1635" s="17" t="str">
        <f t="shared" si="258"/>
        <v>Ecart négatif</v>
      </c>
      <c r="L1635" s="16">
        <f>base!X1635</f>
        <v>0</v>
      </c>
      <c r="M1635" s="11">
        <f t="shared" si="254"/>
        <v>0</v>
      </c>
      <c r="N1635" s="11">
        <f t="shared" si="255"/>
        <v>31.709999999999997</v>
      </c>
      <c r="O1635" s="11">
        <f t="shared" si="256"/>
        <v>0.21</v>
      </c>
      <c r="P1635" s="12">
        <f t="shared" si="257"/>
        <v>-31.709999999999997</v>
      </c>
      <c r="Q1635" s="17" t="str">
        <f t="shared" si="259"/>
        <v>Ecart négatif</v>
      </c>
    </row>
    <row r="1636" spans="1:18" x14ac:dyDescent="0.3">
      <c r="A1636" s="34" t="str">
        <f>base!J1636</f>
        <v>DLM</v>
      </c>
      <c r="B1636" s="34" t="str">
        <f>base!V1636</f>
        <v>13015</v>
      </c>
      <c r="C1636" s="37">
        <v>13</v>
      </c>
      <c r="D1636" s="36">
        <f>base!H1636</f>
        <v>52.5</v>
      </c>
      <c r="E1636" s="44"/>
      <c r="F1636" s="16">
        <f>base!W1636</f>
        <v>0</v>
      </c>
      <c r="G1636" s="11">
        <f t="shared" si="250"/>
        <v>0</v>
      </c>
      <c r="H1636" s="11">
        <f t="shared" si="251"/>
        <v>15.225</v>
      </c>
      <c r="I1636" s="11">
        <f t="shared" si="252"/>
        <v>0.28999999999999998</v>
      </c>
      <c r="J1636" s="12">
        <f t="shared" si="253"/>
        <v>-15.225</v>
      </c>
      <c r="K1636" s="17" t="str">
        <f t="shared" si="258"/>
        <v>Ecart négatif</v>
      </c>
      <c r="L1636" s="16">
        <f>base!X1636</f>
        <v>0</v>
      </c>
      <c r="M1636" s="11">
        <f t="shared" si="254"/>
        <v>0</v>
      </c>
      <c r="N1636" s="11">
        <f t="shared" si="255"/>
        <v>9.9749999999999996</v>
      </c>
      <c r="O1636" s="11">
        <f t="shared" si="256"/>
        <v>0.19</v>
      </c>
      <c r="P1636" s="12">
        <f t="shared" si="257"/>
        <v>-9.9749999999999996</v>
      </c>
      <c r="Q1636" s="17" t="str">
        <f t="shared" si="259"/>
        <v>Ecart négatif</v>
      </c>
    </row>
    <row r="1637" spans="1:18" x14ac:dyDescent="0.3">
      <c r="A1637" s="34" t="str">
        <f>base!J1637</f>
        <v>LM</v>
      </c>
      <c r="B1637" s="34" t="str">
        <f>base!V1637</f>
        <v>38110</v>
      </c>
      <c r="C1637" s="37">
        <v>59</v>
      </c>
      <c r="D1637" s="36">
        <f>base!H1637</f>
        <v>19.649999999999999</v>
      </c>
      <c r="E1637" s="44"/>
      <c r="F1637" s="16">
        <f>base!W1637</f>
        <v>5.31</v>
      </c>
      <c r="G1637" s="11">
        <f t="shared" si="250"/>
        <v>0.27022900763358776</v>
      </c>
      <c r="H1637" s="11">
        <f t="shared" si="251"/>
        <v>3.7334999999999998</v>
      </c>
      <c r="I1637" s="11">
        <f t="shared" si="252"/>
        <v>0.19</v>
      </c>
      <c r="J1637" s="12">
        <f t="shared" si="253"/>
        <v>1.5764999999999998</v>
      </c>
      <c r="K1637" s="17" t="str">
        <f t="shared" si="258"/>
        <v>Ecart positif</v>
      </c>
      <c r="L1637" s="16">
        <f>base!X1637</f>
        <v>0</v>
      </c>
      <c r="M1637" s="11">
        <f t="shared" si="254"/>
        <v>0</v>
      </c>
      <c r="N1637" s="11">
        <f t="shared" si="255"/>
        <v>0</v>
      </c>
      <c r="O1637" s="11">
        <f t="shared" si="256"/>
        <v>0</v>
      </c>
      <c r="P1637" s="12">
        <f t="shared" si="257"/>
        <v>0</v>
      </c>
      <c r="Q1637" s="17" t="str">
        <f t="shared" si="259"/>
        <v>Pas d'écart</v>
      </c>
    </row>
    <row r="1638" spans="1:18" x14ac:dyDescent="0.3">
      <c r="A1638" s="34" t="str">
        <f>base!J1638</f>
        <v>DLS</v>
      </c>
      <c r="B1638" s="34" t="str">
        <f>base!V1638</f>
        <v>37210</v>
      </c>
      <c r="C1638" s="37">
        <v>37</v>
      </c>
      <c r="D1638" s="36">
        <f>base!H1638</f>
        <v>70</v>
      </c>
      <c r="E1638" s="44"/>
      <c r="F1638" s="16">
        <f>base!W1638</f>
        <v>14.7</v>
      </c>
      <c r="G1638" s="11">
        <f t="shared" si="250"/>
        <v>0.21</v>
      </c>
      <c r="H1638" s="11">
        <f t="shared" si="251"/>
        <v>13.3</v>
      </c>
      <c r="I1638" s="11">
        <f t="shared" si="252"/>
        <v>0.19</v>
      </c>
      <c r="J1638" s="12">
        <f t="shared" si="253"/>
        <v>1.3999999999999986</v>
      </c>
      <c r="K1638" s="17" t="str">
        <f t="shared" si="258"/>
        <v>Ecart positif</v>
      </c>
      <c r="L1638" s="16">
        <f>base!X1638</f>
        <v>0</v>
      </c>
      <c r="M1638" s="11">
        <f t="shared" si="254"/>
        <v>0</v>
      </c>
      <c r="N1638" s="11">
        <f t="shared" si="255"/>
        <v>8.4</v>
      </c>
      <c r="O1638" s="11">
        <f t="shared" si="256"/>
        <v>0.12000000000000001</v>
      </c>
      <c r="P1638" s="12">
        <f t="shared" si="257"/>
        <v>-8.4</v>
      </c>
      <c r="Q1638" s="17" t="str">
        <f t="shared" si="259"/>
        <v>Ecart négatif</v>
      </c>
    </row>
    <row r="1639" spans="1:18" x14ac:dyDescent="0.3">
      <c r="A1639" s="34" t="str">
        <f>base!J1639</f>
        <v>RS</v>
      </c>
      <c r="B1639" s="34" t="str">
        <f>base!V1639</f>
        <v>44350</v>
      </c>
      <c r="C1639" s="37">
        <v>44</v>
      </c>
      <c r="D1639" s="36">
        <f>base!H1639</f>
        <v>147.13</v>
      </c>
      <c r="E1639" s="44"/>
      <c r="F1639" s="16">
        <f>base!W1639</f>
        <v>0</v>
      </c>
      <c r="G1639" s="11">
        <f t="shared" si="250"/>
        <v>0</v>
      </c>
      <c r="H1639" s="11">
        <f t="shared" si="251"/>
        <v>39.725100000000005</v>
      </c>
      <c r="I1639" s="11">
        <f t="shared" si="252"/>
        <v>0.27</v>
      </c>
      <c r="J1639" s="12">
        <f t="shared" si="253"/>
        <v>-39.725100000000005</v>
      </c>
      <c r="K1639" s="17" t="str">
        <f t="shared" si="258"/>
        <v>Ecart négatif</v>
      </c>
      <c r="L1639" s="16">
        <f>base!X1639</f>
        <v>39.729999999999997</v>
      </c>
      <c r="M1639" s="11">
        <f t="shared" si="254"/>
        <v>0.27003330388092162</v>
      </c>
      <c r="N1639" s="11">
        <f t="shared" si="255"/>
        <v>0</v>
      </c>
      <c r="O1639" s="11">
        <f t="shared" si="256"/>
        <v>0</v>
      </c>
      <c r="P1639" s="12">
        <f t="shared" si="257"/>
        <v>39.729999999999997</v>
      </c>
      <c r="Q1639" s="17" t="str">
        <f t="shared" si="259"/>
        <v>Ecart positif</v>
      </c>
      <c r="R1639" s="38"/>
    </row>
    <row r="1640" spans="1:18" x14ac:dyDescent="0.3">
      <c r="A1640" s="34" t="str">
        <f>base!J1640</f>
        <v>RS</v>
      </c>
      <c r="B1640" s="34" t="str">
        <f>base!V1640</f>
        <v>62320</v>
      </c>
      <c r="C1640" s="37">
        <v>62</v>
      </c>
      <c r="D1640" s="36">
        <f>base!H1640</f>
        <v>180</v>
      </c>
      <c r="E1640" s="44"/>
      <c r="F1640" s="16">
        <f>base!W1640</f>
        <v>0</v>
      </c>
      <c r="G1640" s="11">
        <f t="shared" si="250"/>
        <v>0</v>
      </c>
      <c r="H1640" s="11">
        <f t="shared" si="251"/>
        <v>34.200000000000003</v>
      </c>
      <c r="I1640" s="11">
        <f t="shared" si="252"/>
        <v>0.19</v>
      </c>
      <c r="J1640" s="12">
        <f t="shared" si="253"/>
        <v>-34.200000000000003</v>
      </c>
      <c r="K1640" s="17" t="str">
        <f t="shared" si="258"/>
        <v>Ecart négatif</v>
      </c>
      <c r="L1640" s="16">
        <f>base!X1640</f>
        <v>0</v>
      </c>
      <c r="M1640" s="11">
        <f t="shared" si="254"/>
        <v>0</v>
      </c>
      <c r="N1640" s="11">
        <f t="shared" si="255"/>
        <v>0</v>
      </c>
      <c r="O1640" s="11">
        <f t="shared" si="256"/>
        <v>0</v>
      </c>
      <c r="P1640" s="12">
        <f t="shared" si="257"/>
        <v>0</v>
      </c>
      <c r="Q1640" s="17" t="str">
        <f t="shared" si="259"/>
        <v>Pas d'écart</v>
      </c>
    </row>
    <row r="1641" spans="1:18" x14ac:dyDescent="0.3">
      <c r="A1641" s="34" t="str">
        <f>base!J1641</f>
        <v>RM</v>
      </c>
      <c r="B1641" s="34" t="str">
        <f>base!V1641</f>
        <v>62320</v>
      </c>
      <c r="C1641" s="37">
        <v>62</v>
      </c>
      <c r="D1641" s="36">
        <f>base!H1641</f>
        <v>243.02</v>
      </c>
      <c r="E1641" s="44"/>
      <c r="F1641" s="16">
        <f>base!W1641</f>
        <v>0</v>
      </c>
      <c r="G1641" s="11">
        <f t="shared" si="250"/>
        <v>0</v>
      </c>
      <c r="H1641" s="11">
        <f t="shared" si="251"/>
        <v>46.1738</v>
      </c>
      <c r="I1641" s="11">
        <f t="shared" si="252"/>
        <v>0.19</v>
      </c>
      <c r="J1641" s="12">
        <f t="shared" si="253"/>
        <v>-46.1738</v>
      </c>
      <c r="K1641" s="17" t="str">
        <f t="shared" si="258"/>
        <v>Ecart négatif</v>
      </c>
      <c r="L1641" s="16">
        <f>base!X1641</f>
        <v>0</v>
      </c>
      <c r="M1641" s="11">
        <f t="shared" si="254"/>
        <v>0</v>
      </c>
      <c r="N1641" s="11">
        <f t="shared" si="255"/>
        <v>0</v>
      </c>
      <c r="O1641" s="11">
        <f t="shared" si="256"/>
        <v>0</v>
      </c>
      <c r="P1641" s="12">
        <f t="shared" si="257"/>
        <v>0</v>
      </c>
      <c r="Q1641" s="17" t="str">
        <f t="shared" si="259"/>
        <v>Pas d'écart</v>
      </c>
    </row>
    <row r="1642" spans="1:18" x14ac:dyDescent="0.3">
      <c r="A1642" s="34" t="str">
        <f>base!J1642</f>
        <v>RM</v>
      </c>
      <c r="B1642" s="34" t="str">
        <f>base!V1642</f>
        <v>06560</v>
      </c>
      <c r="C1642" s="37">
        <v>6</v>
      </c>
      <c r="D1642" s="36">
        <f>base!H1642</f>
        <v>151</v>
      </c>
      <c r="E1642" s="44"/>
      <c r="F1642" s="16">
        <f>base!W1642</f>
        <v>0</v>
      </c>
      <c r="G1642" s="11">
        <f t="shared" si="250"/>
        <v>0</v>
      </c>
      <c r="H1642" s="11">
        <f t="shared" si="251"/>
        <v>45.3</v>
      </c>
      <c r="I1642" s="11">
        <f t="shared" si="252"/>
        <v>0.3</v>
      </c>
      <c r="J1642" s="12">
        <f t="shared" si="253"/>
        <v>-45.3</v>
      </c>
      <c r="K1642" s="17" t="str">
        <f t="shared" si="258"/>
        <v>Ecart négatif</v>
      </c>
      <c r="L1642" s="16">
        <f>base!X1642</f>
        <v>0</v>
      </c>
      <c r="M1642" s="11">
        <f t="shared" si="254"/>
        <v>0</v>
      </c>
      <c r="N1642" s="11">
        <f t="shared" si="255"/>
        <v>31.709999999999997</v>
      </c>
      <c r="O1642" s="11">
        <f t="shared" si="256"/>
        <v>0.21</v>
      </c>
      <c r="P1642" s="12">
        <f t="shared" si="257"/>
        <v>-31.709999999999997</v>
      </c>
      <c r="Q1642" s="17" t="str">
        <f t="shared" si="259"/>
        <v>Ecart négatif</v>
      </c>
    </row>
    <row r="1643" spans="1:18" x14ac:dyDescent="0.3">
      <c r="A1643" s="34" t="str">
        <f>base!J1643</f>
        <v>RM</v>
      </c>
      <c r="B1643" s="34" t="str">
        <f>base!V1643</f>
        <v>06560</v>
      </c>
      <c r="C1643" s="37">
        <v>6</v>
      </c>
      <c r="D1643" s="36">
        <f>base!H1643</f>
        <v>151</v>
      </c>
      <c r="E1643" s="44"/>
      <c r="F1643" s="16">
        <f>base!W1643</f>
        <v>0</v>
      </c>
      <c r="G1643" s="11">
        <f t="shared" si="250"/>
        <v>0</v>
      </c>
      <c r="H1643" s="11">
        <f t="shared" si="251"/>
        <v>45.3</v>
      </c>
      <c r="I1643" s="11">
        <f t="shared" si="252"/>
        <v>0.3</v>
      </c>
      <c r="J1643" s="12">
        <f t="shared" si="253"/>
        <v>-45.3</v>
      </c>
      <c r="K1643" s="17" t="str">
        <f t="shared" si="258"/>
        <v>Ecart négatif</v>
      </c>
      <c r="L1643" s="16">
        <f>base!X1643</f>
        <v>0</v>
      </c>
      <c r="M1643" s="11">
        <f t="shared" si="254"/>
        <v>0</v>
      </c>
      <c r="N1643" s="11">
        <f t="shared" si="255"/>
        <v>31.709999999999997</v>
      </c>
      <c r="O1643" s="11">
        <f t="shared" si="256"/>
        <v>0.21</v>
      </c>
      <c r="P1643" s="12">
        <f t="shared" si="257"/>
        <v>-31.709999999999997</v>
      </c>
      <c r="Q1643" s="17" t="str">
        <f t="shared" si="259"/>
        <v>Ecart négatif</v>
      </c>
    </row>
    <row r="1644" spans="1:18" x14ac:dyDescent="0.3">
      <c r="A1644" s="34" t="str">
        <f>base!J1644</f>
        <v>RM</v>
      </c>
      <c r="B1644" s="34" t="str">
        <f>base!V1644</f>
        <v>50300</v>
      </c>
      <c r="C1644" s="37">
        <v>50</v>
      </c>
      <c r="D1644" s="36">
        <f>base!H1644</f>
        <v>180</v>
      </c>
      <c r="E1644" s="44"/>
      <c r="F1644" s="16">
        <f>base!W1644</f>
        <v>0</v>
      </c>
      <c r="G1644" s="11">
        <f t="shared" si="250"/>
        <v>0</v>
      </c>
      <c r="H1644" s="11">
        <f t="shared" si="251"/>
        <v>30.6</v>
      </c>
      <c r="I1644" s="11">
        <f t="shared" si="252"/>
        <v>0.17</v>
      </c>
      <c r="J1644" s="12">
        <f t="shared" si="253"/>
        <v>-30.6</v>
      </c>
      <c r="K1644" s="17" t="str">
        <f t="shared" si="258"/>
        <v>Ecart négatif</v>
      </c>
      <c r="L1644" s="16">
        <f>base!X1644</f>
        <v>30.6</v>
      </c>
      <c r="M1644" s="11">
        <f t="shared" si="254"/>
        <v>0.17</v>
      </c>
      <c r="N1644" s="11">
        <f t="shared" si="255"/>
        <v>30.6</v>
      </c>
      <c r="O1644" s="11">
        <f t="shared" si="256"/>
        <v>0.17</v>
      </c>
      <c r="P1644" s="12">
        <f t="shared" si="257"/>
        <v>0</v>
      </c>
      <c r="Q1644" s="17" t="str">
        <f t="shared" si="259"/>
        <v>Pas d'écart</v>
      </c>
    </row>
    <row r="1645" spans="1:18" x14ac:dyDescent="0.3">
      <c r="A1645" s="34" t="str">
        <f>base!J1645</f>
        <v>RS</v>
      </c>
      <c r="B1645" s="34" t="str">
        <f>base!V1645</f>
        <v>53100</v>
      </c>
      <c r="C1645" s="37">
        <v>53</v>
      </c>
      <c r="D1645" s="36">
        <f>base!H1645</f>
        <v>180</v>
      </c>
      <c r="E1645" s="44"/>
      <c r="F1645" s="16">
        <f>base!W1645</f>
        <v>0</v>
      </c>
      <c r="G1645" s="11">
        <f t="shared" si="250"/>
        <v>0</v>
      </c>
      <c r="H1645" s="11">
        <f t="shared" si="251"/>
        <v>48.6</v>
      </c>
      <c r="I1645" s="11">
        <f t="shared" si="252"/>
        <v>0.27</v>
      </c>
      <c r="J1645" s="12">
        <f t="shared" si="253"/>
        <v>-48.6</v>
      </c>
      <c r="K1645" s="17" t="str">
        <f t="shared" si="258"/>
        <v>Ecart négatif</v>
      </c>
      <c r="L1645" s="16">
        <f>base!X1645</f>
        <v>0</v>
      </c>
      <c r="M1645" s="11">
        <f t="shared" si="254"/>
        <v>0</v>
      </c>
      <c r="N1645" s="11">
        <f t="shared" si="255"/>
        <v>0</v>
      </c>
      <c r="O1645" s="11">
        <f t="shared" si="256"/>
        <v>0</v>
      </c>
      <c r="P1645" s="12">
        <f t="shared" si="257"/>
        <v>0</v>
      </c>
      <c r="Q1645" s="17" t="str">
        <f t="shared" si="259"/>
        <v>Pas d'écart</v>
      </c>
    </row>
    <row r="1646" spans="1:18" x14ac:dyDescent="0.3">
      <c r="A1646" s="34" t="str">
        <f>base!J1646</f>
        <v>RM</v>
      </c>
      <c r="B1646" s="34" t="str">
        <f>base!V1646</f>
        <v>53000</v>
      </c>
      <c r="C1646" s="37">
        <v>53</v>
      </c>
      <c r="D1646" s="36">
        <f>base!H1646</f>
        <v>151</v>
      </c>
      <c r="E1646" s="44"/>
      <c r="F1646" s="16">
        <f>base!W1646</f>
        <v>0</v>
      </c>
      <c r="G1646" s="11">
        <f t="shared" si="250"/>
        <v>0</v>
      </c>
      <c r="H1646" s="11">
        <f t="shared" si="251"/>
        <v>40.770000000000003</v>
      </c>
      <c r="I1646" s="11">
        <f t="shared" si="252"/>
        <v>0.27</v>
      </c>
      <c r="J1646" s="12">
        <f t="shared" si="253"/>
        <v>-40.770000000000003</v>
      </c>
      <c r="K1646" s="17" t="str">
        <f t="shared" si="258"/>
        <v>Ecart négatif</v>
      </c>
      <c r="L1646" s="16">
        <f>base!X1646</f>
        <v>0</v>
      </c>
      <c r="M1646" s="11">
        <f t="shared" si="254"/>
        <v>0</v>
      </c>
      <c r="N1646" s="11">
        <f t="shared" si="255"/>
        <v>0</v>
      </c>
      <c r="O1646" s="11">
        <f t="shared" si="256"/>
        <v>0</v>
      </c>
      <c r="P1646" s="12">
        <f t="shared" si="257"/>
        <v>0</v>
      </c>
      <c r="Q1646" s="17" t="str">
        <f t="shared" si="259"/>
        <v>Pas d'écart</v>
      </c>
    </row>
    <row r="1647" spans="1:18" x14ac:dyDescent="0.3">
      <c r="A1647" s="34" t="str">
        <f>base!J1647</f>
        <v>RS</v>
      </c>
      <c r="B1647" s="34" t="str">
        <f>base!V1647</f>
        <v>13013</v>
      </c>
      <c r="C1647" s="37">
        <v>13</v>
      </c>
      <c r="D1647" s="36">
        <f>base!H1647</f>
        <v>40</v>
      </c>
      <c r="E1647" s="44"/>
      <c r="F1647" s="16">
        <f>base!W1647</f>
        <v>0</v>
      </c>
      <c r="G1647" s="11">
        <f t="shared" si="250"/>
        <v>0</v>
      </c>
      <c r="H1647" s="11">
        <f t="shared" si="251"/>
        <v>11.6</v>
      </c>
      <c r="I1647" s="11">
        <f t="shared" si="252"/>
        <v>0.28999999999999998</v>
      </c>
      <c r="J1647" s="12">
        <f t="shared" si="253"/>
        <v>-11.6</v>
      </c>
      <c r="K1647" s="17" t="str">
        <f t="shared" si="258"/>
        <v>Ecart négatif</v>
      </c>
      <c r="L1647" s="16">
        <f>base!X1647</f>
        <v>7.6</v>
      </c>
      <c r="M1647" s="11">
        <f t="shared" si="254"/>
        <v>0.19</v>
      </c>
      <c r="N1647" s="11">
        <f t="shared" si="255"/>
        <v>7.6</v>
      </c>
      <c r="O1647" s="11">
        <f t="shared" si="256"/>
        <v>0.19</v>
      </c>
      <c r="P1647" s="12">
        <f t="shared" si="257"/>
        <v>0</v>
      </c>
      <c r="Q1647" s="17" t="str">
        <f t="shared" si="259"/>
        <v>Pas d'écart</v>
      </c>
      <c r="R1647" s="38"/>
    </row>
    <row r="1648" spans="1:18" x14ac:dyDescent="0.3">
      <c r="A1648" s="34" t="str">
        <f>base!J1648</f>
        <v>DLS</v>
      </c>
      <c r="B1648" s="34" t="str">
        <f>base!V1648</f>
        <v>59800</v>
      </c>
      <c r="C1648" s="37">
        <v>59</v>
      </c>
      <c r="D1648" s="36">
        <f>base!H1648</f>
        <v>124.8</v>
      </c>
      <c r="E1648" s="44"/>
      <c r="F1648" s="16">
        <f>base!W1648</f>
        <v>23.71</v>
      </c>
      <c r="G1648" s="11">
        <f t="shared" si="250"/>
        <v>0.18998397435897438</v>
      </c>
      <c r="H1648" s="11">
        <f t="shared" si="251"/>
        <v>23.712</v>
      </c>
      <c r="I1648" s="11">
        <f t="shared" si="252"/>
        <v>0.19</v>
      </c>
      <c r="J1648" s="12">
        <f t="shared" si="253"/>
        <v>-1.9999999999988916E-3</v>
      </c>
      <c r="K1648" s="17" t="str">
        <f t="shared" si="258"/>
        <v>Ecart négatif</v>
      </c>
      <c r="L1648" s="16">
        <f>base!X1648</f>
        <v>0</v>
      </c>
      <c r="M1648" s="11">
        <f t="shared" si="254"/>
        <v>0</v>
      </c>
      <c r="N1648" s="11">
        <f t="shared" si="255"/>
        <v>0</v>
      </c>
      <c r="O1648" s="11">
        <f t="shared" si="256"/>
        <v>0</v>
      </c>
      <c r="P1648" s="12">
        <f t="shared" si="257"/>
        <v>0</v>
      </c>
      <c r="Q1648" s="17" t="str">
        <f t="shared" si="259"/>
        <v>Pas d'écart</v>
      </c>
    </row>
    <row r="1649" spans="1:17" x14ac:dyDescent="0.3">
      <c r="A1649" s="34" t="str">
        <f>base!J1649</f>
        <v>LS</v>
      </c>
      <c r="B1649" s="34" t="str">
        <f>base!V1649</f>
        <v>78280</v>
      </c>
      <c r="C1649" s="37">
        <v>78</v>
      </c>
      <c r="D1649" s="36">
        <f>base!H1649</f>
        <v>151</v>
      </c>
      <c r="E1649" s="44"/>
      <c r="F1649" s="16">
        <f>base!W1649</f>
        <v>0</v>
      </c>
      <c r="G1649" s="11">
        <f t="shared" si="250"/>
        <v>0</v>
      </c>
      <c r="H1649" s="11">
        <f t="shared" si="251"/>
        <v>0</v>
      </c>
      <c r="I1649" s="11">
        <f t="shared" si="252"/>
        <v>0</v>
      </c>
      <c r="J1649" s="12">
        <f t="shared" si="253"/>
        <v>0</v>
      </c>
      <c r="K1649" s="17" t="str">
        <f t="shared" si="258"/>
        <v>Pas d'écart</v>
      </c>
      <c r="L1649" s="16">
        <f>base!X1649</f>
        <v>0</v>
      </c>
      <c r="M1649" s="11">
        <f t="shared" si="254"/>
        <v>0</v>
      </c>
      <c r="N1649" s="11">
        <f t="shared" si="255"/>
        <v>0</v>
      </c>
      <c r="O1649" s="11">
        <f t="shared" si="256"/>
        <v>0</v>
      </c>
      <c r="P1649" s="12">
        <f t="shared" si="257"/>
        <v>0</v>
      </c>
      <c r="Q1649" s="17" t="str">
        <f t="shared" si="259"/>
        <v>Pas d'écart</v>
      </c>
    </row>
    <row r="1650" spans="1:17" x14ac:dyDescent="0.3">
      <c r="A1650" s="34" t="str">
        <f>base!J1650</f>
        <v>RM</v>
      </c>
      <c r="B1650" s="34" t="str">
        <f>base!V1650</f>
        <v>62600</v>
      </c>
      <c r="C1650" s="37">
        <v>62</v>
      </c>
      <c r="D1650" s="36">
        <f>base!H1650</f>
        <v>140</v>
      </c>
      <c r="E1650" s="44"/>
      <c r="F1650" s="16">
        <f>base!W1650</f>
        <v>0</v>
      </c>
      <c r="G1650" s="11">
        <f t="shared" si="250"/>
        <v>0</v>
      </c>
      <c r="H1650" s="11">
        <f t="shared" si="251"/>
        <v>26.6</v>
      </c>
      <c r="I1650" s="11">
        <f t="shared" si="252"/>
        <v>0.19</v>
      </c>
      <c r="J1650" s="12">
        <f t="shared" si="253"/>
        <v>-26.6</v>
      </c>
      <c r="K1650" s="17" t="str">
        <f t="shared" si="258"/>
        <v>Ecart négatif</v>
      </c>
      <c r="L1650" s="16">
        <f>base!X1650</f>
        <v>0</v>
      </c>
      <c r="M1650" s="11">
        <f t="shared" si="254"/>
        <v>0</v>
      </c>
      <c r="N1650" s="11">
        <f t="shared" si="255"/>
        <v>0</v>
      </c>
      <c r="O1650" s="11">
        <f t="shared" si="256"/>
        <v>0</v>
      </c>
      <c r="P1650" s="12">
        <f t="shared" si="257"/>
        <v>0</v>
      </c>
      <c r="Q1650" s="17" t="str">
        <f t="shared" si="259"/>
        <v>Pas d'écart</v>
      </c>
    </row>
    <row r="1651" spans="1:17" x14ac:dyDescent="0.3">
      <c r="A1651" s="34" t="str">
        <f>base!J1651</f>
        <v>RS</v>
      </c>
      <c r="B1651" s="34" t="str">
        <f>base!V1651</f>
        <v>62270</v>
      </c>
      <c r="C1651" s="37">
        <v>62</v>
      </c>
      <c r="D1651" s="36">
        <f>base!H1651</f>
        <v>40</v>
      </c>
      <c r="E1651" s="44"/>
      <c r="F1651" s="16">
        <f>base!W1651</f>
        <v>0</v>
      </c>
      <c r="G1651" s="11">
        <f t="shared" si="250"/>
        <v>0</v>
      </c>
      <c r="H1651" s="11">
        <f t="shared" si="251"/>
        <v>7.6</v>
      </c>
      <c r="I1651" s="11">
        <f t="shared" si="252"/>
        <v>0.19</v>
      </c>
      <c r="J1651" s="12">
        <f t="shared" si="253"/>
        <v>-7.6</v>
      </c>
      <c r="K1651" s="17" t="str">
        <f t="shared" si="258"/>
        <v>Ecart négatif</v>
      </c>
      <c r="L1651" s="16">
        <f>base!X1651</f>
        <v>0</v>
      </c>
      <c r="M1651" s="11">
        <f t="shared" si="254"/>
        <v>0</v>
      </c>
      <c r="N1651" s="11">
        <f t="shared" si="255"/>
        <v>0</v>
      </c>
      <c r="O1651" s="11">
        <f t="shared" si="256"/>
        <v>0</v>
      </c>
      <c r="P1651" s="12">
        <f t="shared" si="257"/>
        <v>0</v>
      </c>
      <c r="Q1651" s="17" t="str">
        <f t="shared" si="259"/>
        <v>Pas d'écart</v>
      </c>
    </row>
    <row r="1652" spans="1:17" x14ac:dyDescent="0.3">
      <c r="A1652" s="34" t="str">
        <f>base!J1652</f>
        <v>DLS</v>
      </c>
      <c r="B1652" s="34" t="str">
        <f>base!V1652</f>
        <v>91090</v>
      </c>
      <c r="C1652" s="37">
        <v>91</v>
      </c>
      <c r="D1652" s="36">
        <f>base!H1652</f>
        <v>140</v>
      </c>
      <c r="E1652" s="44"/>
      <c r="F1652" s="16">
        <f>base!W1652</f>
        <v>0</v>
      </c>
      <c r="G1652" s="11">
        <f t="shared" si="250"/>
        <v>0</v>
      </c>
      <c r="H1652" s="11">
        <f t="shared" si="251"/>
        <v>0</v>
      </c>
      <c r="I1652" s="11">
        <f t="shared" si="252"/>
        <v>0</v>
      </c>
      <c r="J1652" s="12">
        <f t="shared" si="253"/>
        <v>0</v>
      </c>
      <c r="K1652" s="17" t="str">
        <f t="shared" si="258"/>
        <v>Pas d'écart</v>
      </c>
      <c r="L1652" s="16">
        <f>base!X1652</f>
        <v>0</v>
      </c>
      <c r="M1652" s="11">
        <f t="shared" si="254"/>
        <v>0</v>
      </c>
      <c r="N1652" s="11">
        <f t="shared" si="255"/>
        <v>0</v>
      </c>
      <c r="O1652" s="11">
        <f t="shared" si="256"/>
        <v>0</v>
      </c>
      <c r="P1652" s="12">
        <f t="shared" si="257"/>
        <v>0</v>
      </c>
      <c r="Q1652" s="17" t="str">
        <f t="shared" si="259"/>
        <v>Pas d'écart</v>
      </c>
    </row>
    <row r="1653" spans="1:17" x14ac:dyDescent="0.3">
      <c r="A1653" s="34">
        <f>base!J1653</f>
        <v>0</v>
      </c>
      <c r="B1653" s="34" t="str">
        <f>base!V1653</f>
        <v>77184</v>
      </c>
      <c r="C1653" s="37">
        <v>77</v>
      </c>
      <c r="D1653" s="36">
        <f>base!H1653</f>
        <v>15</v>
      </c>
      <c r="E1653" s="44"/>
      <c r="F1653" s="16">
        <f>base!W1653</f>
        <v>0</v>
      </c>
      <c r="G1653" s="11">
        <f t="shared" si="250"/>
        <v>0</v>
      </c>
      <c r="H1653" s="11">
        <f t="shared" si="251"/>
        <v>0</v>
      </c>
      <c r="I1653" s="11">
        <f t="shared" si="252"/>
        <v>0</v>
      </c>
      <c r="J1653" s="12">
        <f t="shared" si="253"/>
        <v>0</v>
      </c>
      <c r="K1653" s="17" t="str">
        <f t="shared" si="258"/>
        <v>Pas d'écart</v>
      </c>
      <c r="L1653" s="16">
        <f>base!X1653</f>
        <v>0</v>
      </c>
      <c r="M1653" s="11">
        <f t="shared" si="254"/>
        <v>0</v>
      </c>
      <c r="N1653" s="11">
        <f t="shared" si="255"/>
        <v>0</v>
      </c>
      <c r="O1653" s="11">
        <f t="shared" si="256"/>
        <v>0</v>
      </c>
      <c r="P1653" s="12">
        <f t="shared" si="257"/>
        <v>0</v>
      </c>
      <c r="Q1653" s="17" t="str">
        <f t="shared" si="259"/>
        <v>Pas d'écart</v>
      </c>
    </row>
    <row r="1654" spans="1:17" x14ac:dyDescent="0.3">
      <c r="A1654" s="34">
        <f>base!J1654</f>
        <v>0</v>
      </c>
      <c r="B1654" s="34" t="str">
        <f>base!V1654</f>
        <v>77184</v>
      </c>
      <c r="C1654" s="37">
        <v>77</v>
      </c>
      <c r="D1654" s="36">
        <f>base!H1654</f>
        <v>171</v>
      </c>
      <c r="E1654" s="44"/>
      <c r="F1654" s="16">
        <f>base!W1654</f>
        <v>0</v>
      </c>
      <c r="G1654" s="11">
        <f t="shared" si="250"/>
        <v>0</v>
      </c>
      <c r="H1654" s="11">
        <f t="shared" si="251"/>
        <v>0</v>
      </c>
      <c r="I1654" s="11">
        <f t="shared" si="252"/>
        <v>0</v>
      </c>
      <c r="J1654" s="12">
        <f t="shared" si="253"/>
        <v>0</v>
      </c>
      <c r="K1654" s="17" t="str">
        <f t="shared" si="258"/>
        <v>Pas d'écart</v>
      </c>
      <c r="L1654" s="16">
        <f>base!X1654</f>
        <v>0</v>
      </c>
      <c r="M1654" s="11">
        <f t="shared" si="254"/>
        <v>0</v>
      </c>
      <c r="N1654" s="11">
        <f t="shared" si="255"/>
        <v>0</v>
      </c>
      <c r="O1654" s="11">
        <f t="shared" si="256"/>
        <v>0</v>
      </c>
      <c r="P1654" s="12">
        <f t="shared" si="257"/>
        <v>0</v>
      </c>
      <c r="Q1654" s="17" t="str">
        <f t="shared" si="259"/>
        <v>Pas d'écart</v>
      </c>
    </row>
    <row r="1655" spans="1:17" x14ac:dyDescent="0.3">
      <c r="A1655" s="34" t="str">
        <f>base!J1655</f>
        <v>DRS</v>
      </c>
      <c r="B1655" s="34" t="str">
        <f>base!V1655</f>
        <v>94260</v>
      </c>
      <c r="C1655" s="37">
        <v>94</v>
      </c>
      <c r="D1655" s="36">
        <f>base!H1655</f>
        <v>145.97999999999999</v>
      </c>
      <c r="E1655" s="44"/>
      <c r="F1655" s="16">
        <f>base!W1655</f>
        <v>0</v>
      </c>
      <c r="G1655" s="11">
        <f t="shared" si="250"/>
        <v>0</v>
      </c>
      <c r="H1655" s="11">
        <f t="shared" si="251"/>
        <v>0</v>
      </c>
      <c r="I1655" s="11">
        <f t="shared" si="252"/>
        <v>0</v>
      </c>
      <c r="J1655" s="12">
        <f t="shared" si="253"/>
        <v>0</v>
      </c>
      <c r="K1655" s="17" t="str">
        <f t="shared" si="258"/>
        <v>Pas d'écart</v>
      </c>
      <c r="L1655" s="16">
        <f>base!X1655</f>
        <v>0</v>
      </c>
      <c r="M1655" s="11">
        <f t="shared" si="254"/>
        <v>0</v>
      </c>
      <c r="N1655" s="11">
        <f t="shared" si="255"/>
        <v>0</v>
      </c>
      <c r="O1655" s="11">
        <f t="shared" si="256"/>
        <v>0</v>
      </c>
      <c r="P1655" s="12">
        <f t="shared" si="257"/>
        <v>0</v>
      </c>
      <c r="Q1655" s="17" t="str">
        <f t="shared" si="259"/>
        <v>Pas d'écart</v>
      </c>
    </row>
    <row r="1656" spans="1:17" x14ac:dyDescent="0.3">
      <c r="A1656" s="34" t="str">
        <f>base!J1656</f>
        <v>LS</v>
      </c>
      <c r="B1656" s="34" t="str">
        <f>base!V1656</f>
        <v>34500</v>
      </c>
      <c r="C1656" s="37">
        <v>62</v>
      </c>
      <c r="D1656" s="36">
        <f>base!H1656</f>
        <v>149.79</v>
      </c>
      <c r="E1656" s="44"/>
      <c r="F1656" s="16">
        <f>base!W1656</f>
        <v>0</v>
      </c>
      <c r="G1656" s="11">
        <f t="shared" si="250"/>
        <v>0</v>
      </c>
      <c r="H1656" s="11">
        <f t="shared" si="251"/>
        <v>28.460099999999997</v>
      </c>
      <c r="I1656" s="11">
        <f t="shared" si="252"/>
        <v>0.19</v>
      </c>
      <c r="J1656" s="12">
        <f t="shared" si="253"/>
        <v>-28.460099999999997</v>
      </c>
      <c r="K1656" s="17" t="str">
        <f t="shared" si="258"/>
        <v>Ecart négatif</v>
      </c>
      <c r="L1656" s="16">
        <f>base!X1656</f>
        <v>0</v>
      </c>
      <c r="M1656" s="11">
        <f t="shared" si="254"/>
        <v>0</v>
      </c>
      <c r="N1656" s="11">
        <f t="shared" si="255"/>
        <v>0</v>
      </c>
      <c r="O1656" s="11">
        <f t="shared" si="256"/>
        <v>0</v>
      </c>
      <c r="P1656" s="12">
        <f t="shared" si="257"/>
        <v>0</v>
      </c>
      <c r="Q1656" s="17" t="str">
        <f t="shared" si="259"/>
        <v>Pas d'écart</v>
      </c>
    </row>
    <row r="1657" spans="1:17" x14ac:dyDescent="0.3">
      <c r="A1657" s="34" t="str">
        <f>base!J1657</f>
        <v>LM</v>
      </c>
      <c r="B1657" s="34" t="str">
        <f>base!V1657</f>
        <v>13880</v>
      </c>
      <c r="C1657" s="37">
        <v>59</v>
      </c>
      <c r="D1657" s="36">
        <f>base!H1657</f>
        <v>120.85</v>
      </c>
      <c r="E1657" s="44"/>
      <c r="F1657" s="16">
        <f>base!W1657</f>
        <v>35.049999999999997</v>
      </c>
      <c r="G1657" s="11">
        <f t="shared" si="250"/>
        <v>0.29002896152254859</v>
      </c>
      <c r="H1657" s="11">
        <f t="shared" si="251"/>
        <v>22.961500000000001</v>
      </c>
      <c r="I1657" s="11">
        <f t="shared" si="252"/>
        <v>0.19000000000000003</v>
      </c>
      <c r="J1657" s="12">
        <f t="shared" si="253"/>
        <v>12.088499999999996</v>
      </c>
      <c r="K1657" s="17" t="str">
        <f t="shared" si="258"/>
        <v>Ecart positif</v>
      </c>
      <c r="L1657" s="16">
        <f>base!X1657</f>
        <v>0</v>
      </c>
      <c r="M1657" s="11">
        <f t="shared" si="254"/>
        <v>0</v>
      </c>
      <c r="N1657" s="11">
        <f t="shared" si="255"/>
        <v>0</v>
      </c>
      <c r="O1657" s="11">
        <f t="shared" si="256"/>
        <v>0</v>
      </c>
      <c r="P1657" s="12">
        <f t="shared" si="257"/>
        <v>0</v>
      </c>
      <c r="Q1657" s="17" t="str">
        <f t="shared" si="259"/>
        <v>Pas d'écart</v>
      </c>
    </row>
    <row r="1658" spans="1:17" x14ac:dyDescent="0.3">
      <c r="A1658" s="34" t="str">
        <f>base!J1658</f>
        <v>RS</v>
      </c>
      <c r="B1658" s="34" t="str">
        <f>base!V1658</f>
        <v>91090</v>
      </c>
      <c r="C1658" s="37">
        <v>91</v>
      </c>
      <c r="D1658" s="36">
        <f>base!H1658</f>
        <v>90</v>
      </c>
      <c r="E1658" s="44"/>
      <c r="F1658" s="16">
        <f>base!W1658</f>
        <v>0</v>
      </c>
      <c r="G1658" s="11">
        <f t="shared" si="250"/>
        <v>0</v>
      </c>
      <c r="H1658" s="11">
        <f t="shared" si="251"/>
        <v>0</v>
      </c>
      <c r="I1658" s="11">
        <f t="shared" si="252"/>
        <v>0</v>
      </c>
      <c r="J1658" s="12">
        <f t="shared" si="253"/>
        <v>0</v>
      </c>
      <c r="K1658" s="17" t="str">
        <f t="shared" si="258"/>
        <v>Pas d'écart</v>
      </c>
      <c r="L1658" s="16">
        <f>base!X1658</f>
        <v>0</v>
      </c>
      <c r="M1658" s="11">
        <f t="shared" si="254"/>
        <v>0</v>
      </c>
      <c r="N1658" s="11">
        <f t="shared" si="255"/>
        <v>0</v>
      </c>
      <c r="O1658" s="11">
        <f t="shared" si="256"/>
        <v>0</v>
      </c>
      <c r="P1658" s="12">
        <f t="shared" si="257"/>
        <v>0</v>
      </c>
      <c r="Q1658" s="17" t="str">
        <f t="shared" si="259"/>
        <v>Pas d'écart</v>
      </c>
    </row>
    <row r="1659" spans="1:17" x14ac:dyDescent="0.3">
      <c r="A1659" s="34" t="str">
        <f>base!J1659</f>
        <v>LM</v>
      </c>
      <c r="B1659" s="34" t="str">
        <f>base!V1659</f>
        <v>67320</v>
      </c>
      <c r="C1659" s="37">
        <v>67</v>
      </c>
      <c r="D1659" s="36">
        <f>base!H1659</f>
        <v>40</v>
      </c>
      <c r="E1659" s="44"/>
      <c r="F1659" s="16">
        <f>base!W1659</f>
        <v>11.6</v>
      </c>
      <c r="G1659" s="11">
        <f t="shared" si="250"/>
        <v>0.28999999999999998</v>
      </c>
      <c r="H1659" s="11">
        <f t="shared" si="251"/>
        <v>11.6</v>
      </c>
      <c r="I1659" s="11">
        <f t="shared" si="252"/>
        <v>0.28999999999999998</v>
      </c>
      <c r="J1659" s="12">
        <f t="shared" si="253"/>
        <v>0</v>
      </c>
      <c r="K1659" s="17" t="str">
        <f t="shared" si="258"/>
        <v>Pas d'écart</v>
      </c>
      <c r="L1659" s="16">
        <f>base!X1659</f>
        <v>0</v>
      </c>
      <c r="M1659" s="11">
        <f t="shared" si="254"/>
        <v>0</v>
      </c>
      <c r="N1659" s="11">
        <f t="shared" si="255"/>
        <v>3.2</v>
      </c>
      <c r="O1659" s="11">
        <f t="shared" si="256"/>
        <v>0.08</v>
      </c>
      <c r="P1659" s="12">
        <f t="shared" si="257"/>
        <v>-3.2</v>
      </c>
      <c r="Q1659" s="17" t="str">
        <f t="shared" si="259"/>
        <v>Ecart négatif</v>
      </c>
    </row>
    <row r="1660" spans="1:17" x14ac:dyDescent="0.3">
      <c r="A1660" s="34" t="str">
        <f>base!J1660</f>
        <v>LM</v>
      </c>
      <c r="B1660" s="34" t="str">
        <f>base!V1660</f>
        <v>75014</v>
      </c>
      <c r="C1660" s="37">
        <v>75</v>
      </c>
      <c r="D1660" s="36">
        <f>base!H1660</f>
        <v>19.649999999999999</v>
      </c>
      <c r="E1660" s="44"/>
      <c r="F1660" s="16">
        <f>base!W1660</f>
        <v>0</v>
      </c>
      <c r="G1660" s="11">
        <f t="shared" si="250"/>
        <v>0</v>
      </c>
      <c r="H1660" s="11">
        <f t="shared" si="251"/>
        <v>0</v>
      </c>
      <c r="I1660" s="11">
        <f t="shared" si="252"/>
        <v>0</v>
      </c>
      <c r="J1660" s="12">
        <f t="shared" si="253"/>
        <v>0</v>
      </c>
      <c r="K1660" s="17" t="str">
        <f t="shared" si="258"/>
        <v>Pas d'écart</v>
      </c>
      <c r="L1660" s="16">
        <f>base!X1660</f>
        <v>0</v>
      </c>
      <c r="M1660" s="11">
        <f t="shared" si="254"/>
        <v>0</v>
      </c>
      <c r="N1660" s="11">
        <f t="shared" si="255"/>
        <v>0</v>
      </c>
      <c r="O1660" s="11">
        <f t="shared" si="256"/>
        <v>0</v>
      </c>
      <c r="P1660" s="12">
        <f t="shared" si="257"/>
        <v>0</v>
      </c>
      <c r="Q1660" s="17" t="str">
        <f t="shared" si="259"/>
        <v>Pas d'écart</v>
      </c>
    </row>
    <row r="1661" spans="1:17" x14ac:dyDescent="0.3">
      <c r="A1661" s="34" t="str">
        <f>base!J1661</f>
        <v>RM</v>
      </c>
      <c r="B1661" s="34" t="str">
        <f>base!V1661</f>
        <v>75018</v>
      </c>
      <c r="C1661" s="37">
        <v>75</v>
      </c>
      <c r="D1661" s="36">
        <f>base!H1661</f>
        <v>150</v>
      </c>
      <c r="E1661" s="44"/>
      <c r="F1661" s="16">
        <f>base!W1661</f>
        <v>0</v>
      </c>
      <c r="G1661" s="11">
        <f t="shared" si="250"/>
        <v>0</v>
      </c>
      <c r="H1661" s="11">
        <f t="shared" si="251"/>
        <v>0</v>
      </c>
      <c r="I1661" s="11">
        <f t="shared" si="252"/>
        <v>0</v>
      </c>
      <c r="J1661" s="12">
        <f t="shared" si="253"/>
        <v>0</v>
      </c>
      <c r="K1661" s="17" t="str">
        <f t="shared" si="258"/>
        <v>Pas d'écart</v>
      </c>
      <c r="L1661" s="16">
        <f>base!X1661</f>
        <v>0</v>
      </c>
      <c r="M1661" s="11">
        <f t="shared" si="254"/>
        <v>0</v>
      </c>
      <c r="N1661" s="11">
        <f t="shared" si="255"/>
        <v>0</v>
      </c>
      <c r="O1661" s="11">
        <f t="shared" si="256"/>
        <v>0</v>
      </c>
      <c r="P1661" s="12">
        <f t="shared" si="257"/>
        <v>0</v>
      </c>
      <c r="Q1661" s="17" t="str">
        <f t="shared" si="259"/>
        <v>Pas d'écart</v>
      </c>
    </row>
    <row r="1662" spans="1:17" x14ac:dyDescent="0.3">
      <c r="A1662" s="34" t="str">
        <f>base!J1662</f>
        <v>LM</v>
      </c>
      <c r="B1662" s="34" t="str">
        <f>base!V1662</f>
        <v>77290</v>
      </c>
      <c r="C1662" s="37">
        <v>77</v>
      </c>
      <c r="D1662" s="36">
        <f>base!H1662</f>
        <v>28.26</v>
      </c>
      <c r="E1662" s="44"/>
      <c r="F1662" s="16">
        <f>base!W1662</f>
        <v>0</v>
      </c>
      <c r="G1662" s="11">
        <f t="shared" si="250"/>
        <v>0</v>
      </c>
      <c r="H1662" s="11">
        <f t="shared" si="251"/>
        <v>0</v>
      </c>
      <c r="I1662" s="11">
        <f t="shared" si="252"/>
        <v>0</v>
      </c>
      <c r="J1662" s="12">
        <f t="shared" si="253"/>
        <v>0</v>
      </c>
      <c r="K1662" s="17" t="str">
        <f t="shared" si="258"/>
        <v>Pas d'écart</v>
      </c>
      <c r="L1662" s="16">
        <f>base!X1662</f>
        <v>0</v>
      </c>
      <c r="M1662" s="11">
        <f t="shared" si="254"/>
        <v>0</v>
      </c>
      <c r="N1662" s="11">
        <f t="shared" si="255"/>
        <v>0</v>
      </c>
      <c r="O1662" s="11">
        <f t="shared" si="256"/>
        <v>0</v>
      </c>
      <c r="P1662" s="12">
        <f t="shared" si="257"/>
        <v>0</v>
      </c>
      <c r="Q1662" s="17" t="str">
        <f t="shared" si="259"/>
        <v>Pas d'écart</v>
      </c>
    </row>
    <row r="1663" spans="1:17" x14ac:dyDescent="0.3">
      <c r="A1663" s="34" t="str">
        <f>base!J1663</f>
        <v>LM</v>
      </c>
      <c r="B1663" s="34" t="str">
        <f>base!V1663</f>
        <v>95240</v>
      </c>
      <c r="C1663" s="37">
        <v>95</v>
      </c>
      <c r="D1663" s="36">
        <f>base!H1663</f>
        <v>36.85</v>
      </c>
      <c r="E1663" s="44"/>
      <c r="F1663" s="16">
        <f>base!W1663</f>
        <v>0</v>
      </c>
      <c r="G1663" s="11">
        <f t="shared" si="250"/>
        <v>0</v>
      </c>
      <c r="H1663" s="11">
        <f t="shared" si="251"/>
        <v>0</v>
      </c>
      <c r="I1663" s="11">
        <f t="shared" si="252"/>
        <v>0</v>
      </c>
      <c r="J1663" s="12">
        <f t="shared" si="253"/>
        <v>0</v>
      </c>
      <c r="K1663" s="17" t="str">
        <f t="shared" si="258"/>
        <v>Pas d'écart</v>
      </c>
      <c r="L1663" s="16">
        <f>base!X1663</f>
        <v>0</v>
      </c>
      <c r="M1663" s="11">
        <f t="shared" si="254"/>
        <v>0</v>
      </c>
      <c r="N1663" s="11">
        <f t="shared" si="255"/>
        <v>0</v>
      </c>
      <c r="O1663" s="11">
        <f t="shared" si="256"/>
        <v>0</v>
      </c>
      <c r="P1663" s="12">
        <f t="shared" si="257"/>
        <v>0</v>
      </c>
      <c r="Q1663" s="17" t="str">
        <f t="shared" si="259"/>
        <v>Pas d'écart</v>
      </c>
    </row>
    <row r="1664" spans="1:17" x14ac:dyDescent="0.3">
      <c r="A1664" s="34" t="str">
        <f>base!J1664</f>
        <v>RM</v>
      </c>
      <c r="B1664" s="34" t="str">
        <f>base!V1664</f>
        <v>54000</v>
      </c>
      <c r="C1664" s="37">
        <v>54</v>
      </c>
      <c r="D1664" s="36">
        <f>base!H1664</f>
        <v>40</v>
      </c>
      <c r="E1664" s="44"/>
      <c r="F1664" s="16">
        <f>base!W1664</f>
        <v>0</v>
      </c>
      <c r="G1664" s="11">
        <f t="shared" si="250"/>
        <v>0</v>
      </c>
      <c r="H1664" s="11">
        <f t="shared" si="251"/>
        <v>10</v>
      </c>
      <c r="I1664" s="11">
        <f t="shared" si="252"/>
        <v>0.25</v>
      </c>
      <c r="J1664" s="12">
        <f t="shared" si="253"/>
        <v>-10</v>
      </c>
      <c r="K1664" s="17" t="str">
        <f t="shared" si="258"/>
        <v>Ecart négatif</v>
      </c>
      <c r="L1664" s="16">
        <f>base!X1664</f>
        <v>0</v>
      </c>
      <c r="M1664" s="11">
        <f t="shared" si="254"/>
        <v>0</v>
      </c>
      <c r="N1664" s="11">
        <f t="shared" si="255"/>
        <v>10</v>
      </c>
      <c r="O1664" s="11">
        <f t="shared" si="256"/>
        <v>0.25</v>
      </c>
      <c r="P1664" s="12">
        <f t="shared" si="257"/>
        <v>-10</v>
      </c>
      <c r="Q1664" s="17" t="str">
        <f t="shared" si="259"/>
        <v>Ecart négatif</v>
      </c>
    </row>
    <row r="1665" spans="1:18" x14ac:dyDescent="0.3">
      <c r="A1665" s="34" t="str">
        <f>base!J1665</f>
        <v>LM</v>
      </c>
      <c r="B1665" s="34" t="str">
        <f>base!V1665</f>
        <v>29800</v>
      </c>
      <c r="C1665" s="37">
        <v>59</v>
      </c>
      <c r="D1665" s="36">
        <f>base!H1665</f>
        <v>151</v>
      </c>
      <c r="E1665" s="44"/>
      <c r="F1665" s="16">
        <f>base!W1665</f>
        <v>58.89</v>
      </c>
      <c r="G1665" s="11">
        <f t="shared" si="250"/>
        <v>0.39</v>
      </c>
      <c r="H1665" s="11">
        <f t="shared" si="251"/>
        <v>28.69</v>
      </c>
      <c r="I1665" s="11">
        <f t="shared" si="252"/>
        <v>0.19</v>
      </c>
      <c r="J1665" s="12">
        <f t="shared" si="253"/>
        <v>30.2</v>
      </c>
      <c r="K1665" s="17" t="str">
        <f t="shared" si="258"/>
        <v>Ecart positif</v>
      </c>
      <c r="L1665" s="16">
        <f>base!X1665</f>
        <v>0</v>
      </c>
      <c r="M1665" s="11">
        <f t="shared" si="254"/>
        <v>0</v>
      </c>
      <c r="N1665" s="11">
        <f t="shared" si="255"/>
        <v>0</v>
      </c>
      <c r="O1665" s="11">
        <f t="shared" si="256"/>
        <v>0</v>
      </c>
      <c r="P1665" s="12">
        <f t="shared" si="257"/>
        <v>0</v>
      </c>
      <c r="Q1665" s="17" t="str">
        <f t="shared" si="259"/>
        <v>Pas d'écart</v>
      </c>
    </row>
    <row r="1666" spans="1:18" x14ac:dyDescent="0.3">
      <c r="A1666" s="34" t="str">
        <f>base!J1666</f>
        <v>LS</v>
      </c>
      <c r="B1666" s="34" t="str">
        <f>base!V1666</f>
        <v>19100</v>
      </c>
      <c r="C1666" s="37">
        <v>60</v>
      </c>
      <c r="D1666" s="36">
        <f>base!H1666</f>
        <v>100.42</v>
      </c>
      <c r="E1666" s="44"/>
      <c r="F1666" s="16">
        <f>base!W1666</f>
        <v>29.12</v>
      </c>
      <c r="G1666" s="11">
        <f t="shared" ref="G1666:G1729" si="260">F1666/D1666</f>
        <v>0.28998207528380804</v>
      </c>
      <c r="H1666" s="11">
        <f t="shared" ref="H1666:H1729" si="261">VLOOKUP(C1666,tout_cout_traction,2,FALSE)*D1666</f>
        <v>19.079800000000002</v>
      </c>
      <c r="I1666" s="11">
        <f t="shared" ref="I1666:I1729" si="262">H1666/D1666</f>
        <v>0.19000000000000003</v>
      </c>
      <c r="J1666" s="12">
        <f t="shared" ref="J1666:J1729" si="263">F1666-H1666</f>
        <v>10.040199999999999</v>
      </c>
      <c r="K1666" s="17" t="str">
        <f t="shared" si="258"/>
        <v>Ecart positif</v>
      </c>
      <c r="L1666" s="16">
        <f>base!X1666</f>
        <v>0</v>
      </c>
      <c r="M1666" s="11">
        <f t="shared" ref="M1666:M1729" si="264">L1666/D1666</f>
        <v>0</v>
      </c>
      <c r="N1666" s="11">
        <f t="shared" ref="N1666:N1729" si="265">VLOOKUP(C1666,tout_cout_traction,3,FALSE)*D1666</f>
        <v>0</v>
      </c>
      <c r="O1666" s="11">
        <f t="shared" ref="O1666:O1729" si="266">N1666/D1666</f>
        <v>0</v>
      </c>
      <c r="P1666" s="12">
        <f t="shared" ref="P1666:P1729" si="267">L1666-N1666</f>
        <v>0</v>
      </c>
      <c r="Q1666" s="17" t="str">
        <f t="shared" si="259"/>
        <v>Pas d'écart</v>
      </c>
    </row>
    <row r="1667" spans="1:18" x14ac:dyDescent="0.3">
      <c r="A1667" s="34" t="str">
        <f>base!J1667</f>
        <v>RM</v>
      </c>
      <c r="B1667" s="34" t="str">
        <f>base!V1667</f>
        <v>59260</v>
      </c>
      <c r="C1667" s="37">
        <v>59</v>
      </c>
      <c r="D1667" s="36">
        <f>base!H1667</f>
        <v>164.8</v>
      </c>
      <c r="E1667" s="44"/>
      <c r="F1667" s="16">
        <f>base!W1667</f>
        <v>0</v>
      </c>
      <c r="G1667" s="11">
        <f t="shared" si="260"/>
        <v>0</v>
      </c>
      <c r="H1667" s="11">
        <f t="shared" si="261"/>
        <v>31.312000000000001</v>
      </c>
      <c r="I1667" s="11">
        <f t="shared" si="262"/>
        <v>0.19</v>
      </c>
      <c r="J1667" s="12">
        <f t="shared" si="263"/>
        <v>-31.312000000000001</v>
      </c>
      <c r="K1667" s="17" t="str">
        <f t="shared" ref="K1667:K1730" si="268">IF(H1667=F1667,"Pas d'écart",IF(H1667&lt;F1667,"Ecart positif",IF(H1667&gt;F1667,"Ecart négatif")))</f>
        <v>Ecart négatif</v>
      </c>
      <c r="L1667" s="16">
        <f>base!X1667</f>
        <v>0</v>
      </c>
      <c r="M1667" s="11">
        <f t="shared" si="264"/>
        <v>0</v>
      </c>
      <c r="N1667" s="11">
        <f t="shared" si="265"/>
        <v>0</v>
      </c>
      <c r="O1667" s="11">
        <f t="shared" si="266"/>
        <v>0</v>
      </c>
      <c r="P1667" s="12">
        <f t="shared" si="267"/>
        <v>0</v>
      </c>
      <c r="Q1667" s="17" t="str">
        <f t="shared" ref="Q1667:Q1730" si="269">IF(N1667=L1667,"Pas d'écart",IF(N1667&lt;L1667,"Ecart positif",IF(N1667&gt;L1667,"Ecart négatif")))</f>
        <v>Pas d'écart</v>
      </c>
    </row>
    <row r="1668" spans="1:18" x14ac:dyDescent="0.3">
      <c r="A1668" s="34">
        <f>base!J1668</f>
        <v>0</v>
      </c>
      <c r="B1668" s="34" t="str">
        <f>base!V1668</f>
        <v>77184</v>
      </c>
      <c r="C1668" s="37">
        <v>77</v>
      </c>
      <c r="D1668" s="36">
        <f>base!H1668</f>
        <v>375.5</v>
      </c>
      <c r="E1668" s="44"/>
      <c r="F1668" s="16">
        <f>base!W1668</f>
        <v>0</v>
      </c>
      <c r="G1668" s="11">
        <f t="shared" si="260"/>
        <v>0</v>
      </c>
      <c r="H1668" s="11">
        <f t="shared" si="261"/>
        <v>0</v>
      </c>
      <c r="I1668" s="11">
        <f t="shared" si="262"/>
        <v>0</v>
      </c>
      <c r="J1668" s="12">
        <f t="shared" si="263"/>
        <v>0</v>
      </c>
      <c r="K1668" s="17" t="str">
        <f t="shared" si="268"/>
        <v>Pas d'écart</v>
      </c>
      <c r="L1668" s="16">
        <f>base!X1668</f>
        <v>0</v>
      </c>
      <c r="M1668" s="11">
        <f t="shared" si="264"/>
        <v>0</v>
      </c>
      <c r="N1668" s="11">
        <f t="shared" si="265"/>
        <v>0</v>
      </c>
      <c r="O1668" s="11">
        <f t="shared" si="266"/>
        <v>0</v>
      </c>
      <c r="P1668" s="12">
        <f t="shared" si="267"/>
        <v>0</v>
      </c>
      <c r="Q1668" s="17" t="str">
        <f t="shared" si="269"/>
        <v>Pas d'écart</v>
      </c>
    </row>
    <row r="1669" spans="1:18" x14ac:dyDescent="0.3">
      <c r="A1669" s="34" t="str">
        <f>base!J1669</f>
        <v>RS</v>
      </c>
      <c r="B1669" s="34" t="str">
        <f>base!V1669</f>
        <v>59000</v>
      </c>
      <c r="C1669" s="37">
        <v>59</v>
      </c>
      <c r="D1669" s="36">
        <f>base!H1669</f>
        <v>668</v>
      </c>
      <c r="E1669" s="44"/>
      <c r="F1669" s="16">
        <f>base!W1669</f>
        <v>0</v>
      </c>
      <c r="G1669" s="11">
        <f t="shared" si="260"/>
        <v>0</v>
      </c>
      <c r="H1669" s="11">
        <f t="shared" si="261"/>
        <v>126.92</v>
      </c>
      <c r="I1669" s="11">
        <f t="shared" si="262"/>
        <v>0.19</v>
      </c>
      <c r="J1669" s="12">
        <f t="shared" si="263"/>
        <v>-126.92</v>
      </c>
      <c r="K1669" s="17" t="str">
        <f t="shared" si="268"/>
        <v>Ecart négatif</v>
      </c>
      <c r="L1669" s="16">
        <f>base!X1669</f>
        <v>0</v>
      </c>
      <c r="M1669" s="11">
        <f t="shared" si="264"/>
        <v>0</v>
      </c>
      <c r="N1669" s="11">
        <f t="shared" si="265"/>
        <v>0</v>
      </c>
      <c r="O1669" s="11">
        <f t="shared" si="266"/>
        <v>0</v>
      </c>
      <c r="P1669" s="12">
        <f t="shared" si="267"/>
        <v>0</v>
      </c>
      <c r="Q1669" s="17" t="str">
        <f t="shared" si="269"/>
        <v>Pas d'écart</v>
      </c>
    </row>
    <row r="1670" spans="1:18" x14ac:dyDescent="0.3">
      <c r="A1670" s="34" t="str">
        <f>base!J1670</f>
        <v>RS</v>
      </c>
      <c r="B1670" s="34" t="str">
        <f>base!V1670</f>
        <v>69150</v>
      </c>
      <c r="C1670" s="37">
        <v>69</v>
      </c>
      <c r="D1670" s="36">
        <f>base!H1670</f>
        <v>215.02</v>
      </c>
      <c r="E1670" s="44"/>
      <c r="F1670" s="16">
        <f>base!W1670</f>
        <v>0</v>
      </c>
      <c r="G1670" s="11">
        <f t="shared" si="260"/>
        <v>0</v>
      </c>
      <c r="H1670" s="11">
        <f t="shared" si="261"/>
        <v>58.055400000000006</v>
      </c>
      <c r="I1670" s="11">
        <f t="shared" si="262"/>
        <v>0.27</v>
      </c>
      <c r="J1670" s="12">
        <f t="shared" si="263"/>
        <v>-58.055400000000006</v>
      </c>
      <c r="K1670" s="17" t="str">
        <f t="shared" si="268"/>
        <v>Ecart négatif</v>
      </c>
      <c r="L1670" s="16">
        <f>base!X1670</f>
        <v>0</v>
      </c>
      <c r="M1670" s="11">
        <f t="shared" si="264"/>
        <v>0</v>
      </c>
      <c r="N1670" s="11">
        <f t="shared" si="265"/>
        <v>0</v>
      </c>
      <c r="O1670" s="11">
        <f t="shared" si="266"/>
        <v>0</v>
      </c>
      <c r="P1670" s="12">
        <f t="shared" si="267"/>
        <v>0</v>
      </c>
      <c r="Q1670" s="17" t="str">
        <f t="shared" si="269"/>
        <v>Pas d'écart</v>
      </c>
    </row>
    <row r="1671" spans="1:18" x14ac:dyDescent="0.3">
      <c r="A1671" s="34">
        <f>base!J1671</f>
        <v>0</v>
      </c>
      <c r="B1671" s="34" t="str">
        <f>base!V1671</f>
        <v>77184</v>
      </c>
      <c r="C1671" s="37">
        <v>77</v>
      </c>
      <c r="D1671" s="36">
        <f>base!H1671</f>
        <v>194</v>
      </c>
      <c r="E1671" s="44"/>
      <c r="F1671" s="16">
        <f>base!W1671</f>
        <v>0</v>
      </c>
      <c r="G1671" s="11">
        <f t="shared" si="260"/>
        <v>0</v>
      </c>
      <c r="H1671" s="11">
        <f t="shared" si="261"/>
        <v>0</v>
      </c>
      <c r="I1671" s="11">
        <f t="shared" si="262"/>
        <v>0</v>
      </c>
      <c r="J1671" s="12">
        <f t="shared" si="263"/>
        <v>0</v>
      </c>
      <c r="K1671" s="17" t="str">
        <f t="shared" si="268"/>
        <v>Pas d'écart</v>
      </c>
      <c r="L1671" s="16">
        <f>base!X1671</f>
        <v>0</v>
      </c>
      <c r="M1671" s="11">
        <f t="shared" si="264"/>
        <v>0</v>
      </c>
      <c r="N1671" s="11">
        <f t="shared" si="265"/>
        <v>0</v>
      </c>
      <c r="O1671" s="11">
        <f t="shared" si="266"/>
        <v>0</v>
      </c>
      <c r="P1671" s="12">
        <f t="shared" si="267"/>
        <v>0</v>
      </c>
      <c r="Q1671" s="17" t="str">
        <f t="shared" si="269"/>
        <v>Pas d'écart</v>
      </c>
    </row>
    <row r="1672" spans="1:18" x14ac:dyDescent="0.3">
      <c r="A1672" s="34" t="str">
        <f>base!J1672</f>
        <v>RM</v>
      </c>
      <c r="B1672" s="34" t="str">
        <f>base!V1672</f>
        <v>67230</v>
      </c>
      <c r="C1672" s="37">
        <v>67</v>
      </c>
      <c r="D1672" s="36">
        <f>base!H1672</f>
        <v>151</v>
      </c>
      <c r="E1672" s="44"/>
      <c r="F1672" s="16">
        <f>base!W1672</f>
        <v>0</v>
      </c>
      <c r="G1672" s="11">
        <f t="shared" si="260"/>
        <v>0</v>
      </c>
      <c r="H1672" s="11">
        <f t="shared" si="261"/>
        <v>43.79</v>
      </c>
      <c r="I1672" s="11">
        <f t="shared" si="262"/>
        <v>0.28999999999999998</v>
      </c>
      <c r="J1672" s="12">
        <f t="shared" si="263"/>
        <v>-43.79</v>
      </c>
      <c r="K1672" s="17" t="str">
        <f t="shared" si="268"/>
        <v>Ecart négatif</v>
      </c>
      <c r="L1672" s="16">
        <f>base!X1672</f>
        <v>12.08</v>
      </c>
      <c r="M1672" s="11">
        <f t="shared" si="264"/>
        <v>0.08</v>
      </c>
      <c r="N1672" s="11">
        <f t="shared" si="265"/>
        <v>12.08</v>
      </c>
      <c r="O1672" s="11">
        <f t="shared" si="266"/>
        <v>0.08</v>
      </c>
      <c r="P1672" s="12">
        <f t="shared" si="267"/>
        <v>0</v>
      </c>
      <c r="Q1672" s="17" t="str">
        <f t="shared" si="269"/>
        <v>Pas d'écart</v>
      </c>
      <c r="R1672" s="38"/>
    </row>
    <row r="1673" spans="1:18" x14ac:dyDescent="0.3">
      <c r="A1673" s="34" t="str">
        <f>base!J1673</f>
        <v>RS</v>
      </c>
      <c r="B1673" s="34" t="str">
        <f>base!V1673</f>
        <v>67230</v>
      </c>
      <c r="C1673" s="37">
        <v>67</v>
      </c>
      <c r="D1673" s="36">
        <f>base!H1673</f>
        <v>151</v>
      </c>
      <c r="E1673" s="44"/>
      <c r="F1673" s="16">
        <f>base!W1673</f>
        <v>0</v>
      </c>
      <c r="G1673" s="11">
        <f t="shared" si="260"/>
        <v>0</v>
      </c>
      <c r="H1673" s="11">
        <f t="shared" si="261"/>
        <v>43.79</v>
      </c>
      <c r="I1673" s="11">
        <f t="shared" si="262"/>
        <v>0.28999999999999998</v>
      </c>
      <c r="J1673" s="12">
        <f t="shared" si="263"/>
        <v>-43.79</v>
      </c>
      <c r="K1673" s="17" t="str">
        <f t="shared" si="268"/>
        <v>Ecart négatif</v>
      </c>
      <c r="L1673" s="16">
        <f>base!X1673</f>
        <v>12.08</v>
      </c>
      <c r="M1673" s="11">
        <f t="shared" si="264"/>
        <v>0.08</v>
      </c>
      <c r="N1673" s="11">
        <f t="shared" si="265"/>
        <v>12.08</v>
      </c>
      <c r="O1673" s="11">
        <f t="shared" si="266"/>
        <v>0.08</v>
      </c>
      <c r="P1673" s="12">
        <f t="shared" si="267"/>
        <v>0</v>
      </c>
      <c r="Q1673" s="17" t="str">
        <f t="shared" si="269"/>
        <v>Pas d'écart</v>
      </c>
      <c r="R1673" s="38"/>
    </row>
    <row r="1674" spans="1:18" x14ac:dyDescent="0.3">
      <c r="A1674" s="34" t="str">
        <f>base!J1674</f>
        <v>LS</v>
      </c>
      <c r="B1674" s="34" t="str">
        <f>base!V1674</f>
        <v>12033</v>
      </c>
      <c r="C1674" s="37">
        <v>34</v>
      </c>
      <c r="D1674" s="36">
        <f>base!H1674</f>
        <v>58.35</v>
      </c>
      <c r="E1674" s="44"/>
      <c r="F1674" s="16">
        <f>base!W1674</f>
        <v>12.84</v>
      </c>
      <c r="G1674" s="11">
        <f t="shared" si="260"/>
        <v>0.22005141388174806</v>
      </c>
      <c r="H1674" s="11">
        <f t="shared" si="261"/>
        <v>22.756500000000003</v>
      </c>
      <c r="I1674" s="11">
        <f t="shared" si="262"/>
        <v>0.39</v>
      </c>
      <c r="J1674" s="12">
        <f t="shared" si="263"/>
        <v>-9.9165000000000028</v>
      </c>
      <c r="K1674" s="17" t="str">
        <f t="shared" si="268"/>
        <v>Ecart négatif</v>
      </c>
      <c r="L1674" s="16">
        <f>base!X1674</f>
        <v>0</v>
      </c>
      <c r="M1674" s="11">
        <f t="shared" si="264"/>
        <v>0</v>
      </c>
      <c r="N1674" s="11">
        <f t="shared" si="265"/>
        <v>16.338000000000001</v>
      </c>
      <c r="O1674" s="11">
        <f t="shared" si="266"/>
        <v>0.28000000000000003</v>
      </c>
      <c r="P1674" s="12">
        <f t="shared" si="267"/>
        <v>-16.338000000000001</v>
      </c>
      <c r="Q1674" s="17" t="str">
        <f t="shared" si="269"/>
        <v>Ecart négatif</v>
      </c>
    </row>
    <row r="1675" spans="1:18" x14ac:dyDescent="0.3">
      <c r="A1675" s="34" t="str">
        <f>base!J1675</f>
        <v>LM</v>
      </c>
      <c r="B1675" s="34" t="str">
        <f>base!V1675</f>
        <v>78190</v>
      </c>
      <c r="C1675" s="37">
        <v>78</v>
      </c>
      <c r="D1675" s="36">
        <f>base!H1675</f>
        <v>53.82</v>
      </c>
      <c r="E1675" s="44"/>
      <c r="F1675" s="16">
        <f>base!W1675</f>
        <v>0</v>
      </c>
      <c r="G1675" s="11">
        <f t="shared" si="260"/>
        <v>0</v>
      </c>
      <c r="H1675" s="11">
        <f t="shared" si="261"/>
        <v>0</v>
      </c>
      <c r="I1675" s="11">
        <f t="shared" si="262"/>
        <v>0</v>
      </c>
      <c r="J1675" s="12">
        <f t="shared" si="263"/>
        <v>0</v>
      </c>
      <c r="K1675" s="17" t="str">
        <f t="shared" si="268"/>
        <v>Pas d'écart</v>
      </c>
      <c r="L1675" s="16">
        <f>base!X1675</f>
        <v>0</v>
      </c>
      <c r="M1675" s="11">
        <f t="shared" si="264"/>
        <v>0</v>
      </c>
      <c r="N1675" s="11">
        <f t="shared" si="265"/>
        <v>0</v>
      </c>
      <c r="O1675" s="11">
        <f t="shared" si="266"/>
        <v>0</v>
      </c>
      <c r="P1675" s="12">
        <f t="shared" si="267"/>
        <v>0</v>
      </c>
      <c r="Q1675" s="17" t="str">
        <f t="shared" si="269"/>
        <v>Pas d'écart</v>
      </c>
    </row>
    <row r="1676" spans="1:18" x14ac:dyDescent="0.3">
      <c r="A1676" s="34" t="str">
        <f>base!J1676</f>
        <v>DRS</v>
      </c>
      <c r="B1676" s="34" t="str">
        <f>base!V1676</f>
        <v>34400</v>
      </c>
      <c r="C1676" s="37">
        <v>34</v>
      </c>
      <c r="D1676" s="36">
        <f>base!H1676</f>
        <v>433.19</v>
      </c>
      <c r="E1676" s="44"/>
      <c r="F1676" s="16">
        <f>base!W1676</f>
        <v>0</v>
      </c>
      <c r="G1676" s="11">
        <f t="shared" si="260"/>
        <v>0</v>
      </c>
      <c r="H1676" s="11">
        <f t="shared" si="261"/>
        <v>168.94409999999999</v>
      </c>
      <c r="I1676" s="11">
        <f t="shared" si="262"/>
        <v>0.38999999999999996</v>
      </c>
      <c r="J1676" s="12">
        <f t="shared" si="263"/>
        <v>-168.94409999999999</v>
      </c>
      <c r="K1676" s="17" t="str">
        <f t="shared" si="268"/>
        <v>Ecart négatif</v>
      </c>
      <c r="L1676" s="16">
        <f>base!X1676</f>
        <v>0</v>
      </c>
      <c r="M1676" s="11">
        <f t="shared" si="264"/>
        <v>0</v>
      </c>
      <c r="N1676" s="11">
        <f t="shared" si="265"/>
        <v>121.29320000000001</v>
      </c>
      <c r="O1676" s="11">
        <f t="shared" si="266"/>
        <v>0.28000000000000003</v>
      </c>
      <c r="P1676" s="12">
        <f t="shared" si="267"/>
        <v>-121.29320000000001</v>
      </c>
      <c r="Q1676" s="17" t="str">
        <f t="shared" si="269"/>
        <v>Ecart négatif</v>
      </c>
    </row>
    <row r="1677" spans="1:18" x14ac:dyDescent="0.3">
      <c r="A1677" s="34" t="str">
        <f>base!J1677</f>
        <v>DLS</v>
      </c>
      <c r="B1677" s="34" t="str">
        <f>base!V1677</f>
        <v>30204</v>
      </c>
      <c r="C1677" s="37">
        <v>30</v>
      </c>
      <c r="D1677" s="36">
        <f>base!H1677</f>
        <v>140.46</v>
      </c>
      <c r="E1677" s="44"/>
      <c r="F1677" s="16">
        <f>base!W1677</f>
        <v>54.78</v>
      </c>
      <c r="G1677" s="11">
        <f t="shared" si="260"/>
        <v>0.39000427167876972</v>
      </c>
      <c r="H1677" s="11">
        <f t="shared" si="261"/>
        <v>54.779400000000003</v>
      </c>
      <c r="I1677" s="11">
        <f t="shared" si="262"/>
        <v>0.39</v>
      </c>
      <c r="J1677" s="12">
        <f t="shared" si="263"/>
        <v>5.9999999999860165E-4</v>
      </c>
      <c r="K1677" s="17" t="str">
        <f t="shared" si="268"/>
        <v>Ecart positif</v>
      </c>
      <c r="L1677" s="16">
        <f>base!X1677</f>
        <v>0</v>
      </c>
      <c r="M1677" s="11">
        <f t="shared" si="264"/>
        <v>0</v>
      </c>
      <c r="N1677" s="11">
        <f t="shared" si="265"/>
        <v>39.328800000000008</v>
      </c>
      <c r="O1677" s="11">
        <f t="shared" si="266"/>
        <v>0.28000000000000003</v>
      </c>
      <c r="P1677" s="12">
        <f t="shared" si="267"/>
        <v>-39.328800000000008</v>
      </c>
      <c r="Q1677" s="17" t="str">
        <f t="shared" si="269"/>
        <v>Ecart négatif</v>
      </c>
    </row>
    <row r="1678" spans="1:18" x14ac:dyDescent="0.3">
      <c r="A1678" s="34" t="str">
        <f>base!J1678</f>
        <v>LS</v>
      </c>
      <c r="B1678" s="34" t="str">
        <f>base!V1678</f>
        <v>63150</v>
      </c>
      <c r="C1678" s="37">
        <v>62</v>
      </c>
      <c r="D1678" s="36">
        <f>base!H1678</f>
        <v>120.65</v>
      </c>
      <c r="E1678" s="44"/>
      <c r="F1678" s="16">
        <f>base!W1678</f>
        <v>34.99</v>
      </c>
      <c r="G1678" s="11">
        <f t="shared" si="260"/>
        <v>0.29001243265644427</v>
      </c>
      <c r="H1678" s="11">
        <f t="shared" si="261"/>
        <v>22.923500000000001</v>
      </c>
      <c r="I1678" s="11">
        <f t="shared" si="262"/>
        <v>0.19</v>
      </c>
      <c r="J1678" s="12">
        <f t="shared" si="263"/>
        <v>12.066500000000001</v>
      </c>
      <c r="K1678" s="17" t="str">
        <f t="shared" si="268"/>
        <v>Ecart positif</v>
      </c>
      <c r="L1678" s="16">
        <f>base!X1678</f>
        <v>0</v>
      </c>
      <c r="M1678" s="11">
        <f t="shared" si="264"/>
        <v>0</v>
      </c>
      <c r="N1678" s="11">
        <f t="shared" si="265"/>
        <v>0</v>
      </c>
      <c r="O1678" s="11">
        <f t="shared" si="266"/>
        <v>0</v>
      </c>
      <c r="P1678" s="12">
        <f t="shared" si="267"/>
        <v>0</v>
      </c>
      <c r="Q1678" s="17" t="str">
        <f t="shared" si="269"/>
        <v>Pas d'écart</v>
      </c>
    </row>
    <row r="1679" spans="1:18" x14ac:dyDescent="0.3">
      <c r="A1679" s="34" t="str">
        <f>base!J1679</f>
        <v>LM</v>
      </c>
      <c r="B1679" s="34" t="str">
        <f>base!V1679</f>
        <v>75008</v>
      </c>
      <c r="C1679" s="37">
        <v>75</v>
      </c>
      <c r="D1679" s="36">
        <f>base!H1679</f>
        <v>220</v>
      </c>
      <c r="E1679" s="44"/>
      <c r="F1679" s="16">
        <f>base!W1679</f>
        <v>0</v>
      </c>
      <c r="G1679" s="11">
        <f t="shared" si="260"/>
        <v>0</v>
      </c>
      <c r="H1679" s="11">
        <f t="shared" si="261"/>
        <v>0</v>
      </c>
      <c r="I1679" s="11">
        <f t="shared" si="262"/>
        <v>0</v>
      </c>
      <c r="J1679" s="12">
        <f t="shared" si="263"/>
        <v>0</v>
      </c>
      <c r="K1679" s="17" t="str">
        <f t="shared" si="268"/>
        <v>Pas d'écart</v>
      </c>
      <c r="L1679" s="16">
        <f>base!X1679</f>
        <v>0</v>
      </c>
      <c r="M1679" s="11">
        <f t="shared" si="264"/>
        <v>0</v>
      </c>
      <c r="N1679" s="11">
        <f t="shared" si="265"/>
        <v>0</v>
      </c>
      <c r="O1679" s="11">
        <f t="shared" si="266"/>
        <v>0</v>
      </c>
      <c r="P1679" s="12">
        <f t="shared" si="267"/>
        <v>0</v>
      </c>
      <c r="Q1679" s="17" t="str">
        <f t="shared" si="269"/>
        <v>Pas d'écart</v>
      </c>
    </row>
    <row r="1680" spans="1:18" x14ac:dyDescent="0.3">
      <c r="A1680" s="34" t="str">
        <f>base!J1680</f>
        <v>LS</v>
      </c>
      <c r="B1680" s="34" t="str">
        <f>base!V1680</f>
        <v>87280</v>
      </c>
      <c r="C1680" s="37">
        <v>80</v>
      </c>
      <c r="D1680" s="36">
        <f>base!H1680</f>
        <v>1323.33</v>
      </c>
      <c r="E1680" s="44"/>
      <c r="F1680" s="16">
        <f>base!W1680</f>
        <v>383.77</v>
      </c>
      <c r="G1680" s="11">
        <f t="shared" si="260"/>
        <v>0.29000324937846189</v>
      </c>
      <c r="H1680" s="11">
        <f t="shared" si="261"/>
        <v>251.43269999999998</v>
      </c>
      <c r="I1680" s="11">
        <f t="shared" si="262"/>
        <v>0.19</v>
      </c>
      <c r="J1680" s="12">
        <f t="shared" si="263"/>
        <v>132.3373</v>
      </c>
      <c r="K1680" s="17" t="str">
        <f t="shared" si="268"/>
        <v>Ecart positif</v>
      </c>
      <c r="L1680" s="16">
        <f>base!X1680</f>
        <v>0</v>
      </c>
      <c r="M1680" s="11">
        <f t="shared" si="264"/>
        <v>0</v>
      </c>
      <c r="N1680" s="11">
        <f t="shared" si="265"/>
        <v>0</v>
      </c>
      <c r="O1680" s="11">
        <f t="shared" si="266"/>
        <v>0</v>
      </c>
      <c r="P1680" s="12">
        <f t="shared" si="267"/>
        <v>0</v>
      </c>
      <c r="Q1680" s="17" t="str">
        <f t="shared" si="269"/>
        <v>Pas d'écart</v>
      </c>
    </row>
    <row r="1681" spans="1:17" x14ac:dyDescent="0.3">
      <c r="A1681" s="34" t="str">
        <f>base!J1681</f>
        <v>RS</v>
      </c>
      <c r="B1681" s="34" t="str">
        <f>base!V1681</f>
        <v>75011</v>
      </c>
      <c r="C1681" s="37">
        <v>75</v>
      </c>
      <c r="D1681" s="36">
        <f>base!H1681</f>
        <v>80</v>
      </c>
      <c r="E1681" s="44"/>
      <c r="F1681" s="16">
        <f>base!W1681</f>
        <v>0</v>
      </c>
      <c r="G1681" s="11">
        <f t="shared" si="260"/>
        <v>0</v>
      </c>
      <c r="H1681" s="11">
        <f t="shared" si="261"/>
        <v>0</v>
      </c>
      <c r="I1681" s="11">
        <f t="shared" si="262"/>
        <v>0</v>
      </c>
      <c r="J1681" s="12">
        <f t="shared" si="263"/>
        <v>0</v>
      </c>
      <c r="K1681" s="17" t="str">
        <f t="shared" si="268"/>
        <v>Pas d'écart</v>
      </c>
      <c r="L1681" s="16">
        <f>base!X1681</f>
        <v>0</v>
      </c>
      <c r="M1681" s="11">
        <f t="shared" si="264"/>
        <v>0</v>
      </c>
      <c r="N1681" s="11">
        <f t="shared" si="265"/>
        <v>0</v>
      </c>
      <c r="O1681" s="11">
        <f t="shared" si="266"/>
        <v>0</v>
      </c>
      <c r="P1681" s="12">
        <f t="shared" si="267"/>
        <v>0</v>
      </c>
      <c r="Q1681" s="17" t="str">
        <f t="shared" si="269"/>
        <v>Pas d'écart</v>
      </c>
    </row>
    <row r="1682" spans="1:17" x14ac:dyDescent="0.3">
      <c r="A1682" s="34" t="str">
        <f>base!J1682</f>
        <v>DRS</v>
      </c>
      <c r="B1682" s="34" t="str">
        <f>base!V1682</f>
        <v>89200</v>
      </c>
      <c r="C1682" s="37">
        <v>89</v>
      </c>
      <c r="D1682" s="36">
        <f>base!H1682</f>
        <v>140</v>
      </c>
      <c r="E1682" s="44"/>
      <c r="F1682" s="16">
        <f>base!W1682</f>
        <v>0</v>
      </c>
      <c r="G1682" s="11">
        <f t="shared" si="260"/>
        <v>0</v>
      </c>
      <c r="H1682" s="11">
        <f t="shared" si="261"/>
        <v>32.200000000000003</v>
      </c>
      <c r="I1682" s="11">
        <f t="shared" si="262"/>
        <v>0.23</v>
      </c>
      <c r="J1682" s="12">
        <f t="shared" si="263"/>
        <v>-32.200000000000003</v>
      </c>
      <c r="K1682" s="17" t="str">
        <f t="shared" si="268"/>
        <v>Ecart négatif</v>
      </c>
      <c r="L1682" s="16">
        <f>base!X1682</f>
        <v>0</v>
      </c>
      <c r="M1682" s="11">
        <f t="shared" si="264"/>
        <v>0</v>
      </c>
      <c r="N1682" s="11">
        <f t="shared" si="265"/>
        <v>16.8</v>
      </c>
      <c r="O1682" s="11">
        <f t="shared" si="266"/>
        <v>0.12000000000000001</v>
      </c>
      <c r="P1682" s="12">
        <f t="shared" si="267"/>
        <v>-16.8</v>
      </c>
      <c r="Q1682" s="17" t="str">
        <f t="shared" si="269"/>
        <v>Ecart négatif</v>
      </c>
    </row>
    <row r="1683" spans="1:17" x14ac:dyDescent="0.3">
      <c r="A1683" s="34" t="str">
        <f>base!J1683</f>
        <v>LS</v>
      </c>
      <c r="B1683" s="34" t="str">
        <f>base!V1683</f>
        <v>76600</v>
      </c>
      <c r="C1683" s="37">
        <v>62</v>
      </c>
      <c r="D1683" s="36">
        <f>base!H1683</f>
        <v>193</v>
      </c>
      <c r="E1683" s="44"/>
      <c r="F1683" s="16">
        <f>base!W1683</f>
        <v>32.81</v>
      </c>
      <c r="G1683" s="11">
        <f t="shared" si="260"/>
        <v>0.17</v>
      </c>
      <c r="H1683" s="11">
        <f t="shared" si="261"/>
        <v>36.67</v>
      </c>
      <c r="I1683" s="11">
        <f t="shared" si="262"/>
        <v>0.19</v>
      </c>
      <c r="J1683" s="12">
        <f t="shared" si="263"/>
        <v>-3.8599999999999994</v>
      </c>
      <c r="K1683" s="17" t="str">
        <f t="shared" si="268"/>
        <v>Ecart négatif</v>
      </c>
      <c r="L1683" s="16">
        <f>base!X1683</f>
        <v>0</v>
      </c>
      <c r="M1683" s="11">
        <f t="shared" si="264"/>
        <v>0</v>
      </c>
      <c r="N1683" s="11">
        <f t="shared" si="265"/>
        <v>0</v>
      </c>
      <c r="O1683" s="11">
        <f t="shared" si="266"/>
        <v>0</v>
      </c>
      <c r="P1683" s="12">
        <f t="shared" si="267"/>
        <v>0</v>
      </c>
      <c r="Q1683" s="17" t="str">
        <f t="shared" si="269"/>
        <v>Pas d'écart</v>
      </c>
    </row>
    <row r="1684" spans="1:17" x14ac:dyDescent="0.3">
      <c r="A1684" s="34" t="str">
        <f>base!J1684</f>
        <v>RS</v>
      </c>
      <c r="B1684" s="34" t="str">
        <f>base!V1684</f>
        <v>75013</v>
      </c>
      <c r="C1684" s="37">
        <v>75</v>
      </c>
      <c r="D1684" s="36">
        <f>base!H1684</f>
        <v>40</v>
      </c>
      <c r="E1684" s="44"/>
      <c r="F1684" s="16">
        <f>base!W1684</f>
        <v>0</v>
      </c>
      <c r="G1684" s="11">
        <f t="shared" si="260"/>
        <v>0</v>
      </c>
      <c r="H1684" s="11">
        <f t="shared" si="261"/>
        <v>0</v>
      </c>
      <c r="I1684" s="11">
        <f t="shared" si="262"/>
        <v>0</v>
      </c>
      <c r="J1684" s="12">
        <f t="shared" si="263"/>
        <v>0</v>
      </c>
      <c r="K1684" s="17" t="str">
        <f t="shared" si="268"/>
        <v>Pas d'écart</v>
      </c>
      <c r="L1684" s="16">
        <f>base!X1684</f>
        <v>0</v>
      </c>
      <c r="M1684" s="11">
        <f t="shared" si="264"/>
        <v>0</v>
      </c>
      <c r="N1684" s="11">
        <f t="shared" si="265"/>
        <v>0</v>
      </c>
      <c r="O1684" s="11">
        <f t="shared" si="266"/>
        <v>0</v>
      </c>
      <c r="P1684" s="12">
        <f t="shared" si="267"/>
        <v>0</v>
      </c>
      <c r="Q1684" s="17" t="str">
        <f t="shared" si="269"/>
        <v>Pas d'écart</v>
      </c>
    </row>
    <row r="1685" spans="1:17" x14ac:dyDescent="0.3">
      <c r="A1685" s="34" t="str">
        <f>base!J1685</f>
        <v>RM</v>
      </c>
      <c r="B1685" s="34" t="str">
        <f>base!V1685</f>
        <v>38000</v>
      </c>
      <c r="C1685" s="37">
        <v>38</v>
      </c>
      <c r="D1685" s="36">
        <f>base!H1685</f>
        <v>81</v>
      </c>
      <c r="E1685" s="44"/>
      <c r="F1685" s="16">
        <f>base!W1685</f>
        <v>0</v>
      </c>
      <c r="G1685" s="11">
        <f t="shared" si="260"/>
        <v>0</v>
      </c>
      <c r="H1685" s="11">
        <f t="shared" si="261"/>
        <v>21.87</v>
      </c>
      <c r="I1685" s="11">
        <f t="shared" si="262"/>
        <v>0.27</v>
      </c>
      <c r="J1685" s="12">
        <f t="shared" si="263"/>
        <v>-21.87</v>
      </c>
      <c r="K1685" s="17" t="str">
        <f t="shared" si="268"/>
        <v>Ecart négatif</v>
      </c>
      <c r="L1685" s="16">
        <f>base!X1685</f>
        <v>0</v>
      </c>
      <c r="M1685" s="11">
        <f t="shared" si="264"/>
        <v>0</v>
      </c>
      <c r="N1685" s="11">
        <f t="shared" si="265"/>
        <v>0</v>
      </c>
      <c r="O1685" s="11">
        <f t="shared" si="266"/>
        <v>0</v>
      </c>
      <c r="P1685" s="12">
        <f t="shared" si="267"/>
        <v>0</v>
      </c>
      <c r="Q1685" s="17" t="str">
        <f t="shared" si="269"/>
        <v>Pas d'écart</v>
      </c>
    </row>
    <row r="1686" spans="1:17" x14ac:dyDescent="0.3">
      <c r="A1686" s="34" t="str">
        <f>base!J1686</f>
        <v>LS</v>
      </c>
      <c r="B1686" s="34" t="str">
        <f>base!V1686</f>
        <v>59810</v>
      </c>
      <c r="C1686" s="37">
        <v>62</v>
      </c>
      <c r="D1686" s="36">
        <f>base!H1686</f>
        <v>25</v>
      </c>
      <c r="E1686" s="44"/>
      <c r="F1686" s="16">
        <f>base!W1686</f>
        <v>0</v>
      </c>
      <c r="G1686" s="11">
        <f t="shared" si="260"/>
        <v>0</v>
      </c>
      <c r="H1686" s="11">
        <f t="shared" si="261"/>
        <v>4.75</v>
      </c>
      <c r="I1686" s="11">
        <f t="shared" si="262"/>
        <v>0.19</v>
      </c>
      <c r="J1686" s="12">
        <f t="shared" si="263"/>
        <v>-4.75</v>
      </c>
      <c r="K1686" s="17" t="str">
        <f t="shared" si="268"/>
        <v>Ecart négatif</v>
      </c>
      <c r="L1686" s="16">
        <f>base!X1686</f>
        <v>0</v>
      </c>
      <c r="M1686" s="11">
        <f t="shared" si="264"/>
        <v>0</v>
      </c>
      <c r="N1686" s="11">
        <f t="shared" si="265"/>
        <v>0</v>
      </c>
      <c r="O1686" s="11">
        <f t="shared" si="266"/>
        <v>0</v>
      </c>
      <c r="P1686" s="12">
        <f t="shared" si="267"/>
        <v>0</v>
      </c>
      <c r="Q1686" s="17" t="str">
        <f t="shared" si="269"/>
        <v>Pas d'écart</v>
      </c>
    </row>
    <row r="1687" spans="1:17" x14ac:dyDescent="0.3">
      <c r="A1687" s="34" t="str">
        <f>base!J1687</f>
        <v>RS</v>
      </c>
      <c r="B1687" s="34" t="str">
        <f>base!V1687</f>
        <v>13127</v>
      </c>
      <c r="C1687" s="37">
        <v>13</v>
      </c>
      <c r="D1687" s="36">
        <f>base!H1687</f>
        <v>94.79</v>
      </c>
      <c r="E1687" s="44"/>
      <c r="F1687" s="16">
        <f>base!W1687</f>
        <v>0</v>
      </c>
      <c r="G1687" s="11">
        <f t="shared" si="260"/>
        <v>0</v>
      </c>
      <c r="H1687" s="11">
        <f t="shared" si="261"/>
        <v>27.489100000000001</v>
      </c>
      <c r="I1687" s="11">
        <f t="shared" si="262"/>
        <v>0.28999999999999998</v>
      </c>
      <c r="J1687" s="12">
        <f t="shared" si="263"/>
        <v>-27.489100000000001</v>
      </c>
      <c r="K1687" s="17" t="str">
        <f t="shared" si="268"/>
        <v>Ecart négatif</v>
      </c>
      <c r="L1687" s="16">
        <f>base!X1687</f>
        <v>0</v>
      </c>
      <c r="M1687" s="11">
        <f t="shared" si="264"/>
        <v>0</v>
      </c>
      <c r="N1687" s="11">
        <f t="shared" si="265"/>
        <v>18.010100000000001</v>
      </c>
      <c r="O1687" s="11">
        <f t="shared" si="266"/>
        <v>0.19</v>
      </c>
      <c r="P1687" s="12">
        <f t="shared" si="267"/>
        <v>-18.010100000000001</v>
      </c>
      <c r="Q1687" s="17" t="str">
        <f t="shared" si="269"/>
        <v>Ecart négatif</v>
      </c>
    </row>
    <row r="1688" spans="1:17" x14ac:dyDescent="0.3">
      <c r="A1688" s="34" t="str">
        <f>base!J1688</f>
        <v>RM</v>
      </c>
      <c r="B1688" s="34" t="str">
        <f>base!V1688</f>
        <v>69120</v>
      </c>
      <c r="C1688" s="37">
        <v>69</v>
      </c>
      <c r="D1688" s="36">
        <f>base!H1688</f>
        <v>151</v>
      </c>
      <c r="E1688" s="44"/>
      <c r="F1688" s="16">
        <f>base!W1688</f>
        <v>0</v>
      </c>
      <c r="G1688" s="11">
        <f t="shared" si="260"/>
        <v>0</v>
      </c>
      <c r="H1688" s="11">
        <f t="shared" si="261"/>
        <v>40.770000000000003</v>
      </c>
      <c r="I1688" s="11">
        <f t="shared" si="262"/>
        <v>0.27</v>
      </c>
      <c r="J1688" s="12">
        <f t="shared" si="263"/>
        <v>-40.770000000000003</v>
      </c>
      <c r="K1688" s="17" t="str">
        <f t="shared" si="268"/>
        <v>Ecart négatif</v>
      </c>
      <c r="L1688" s="16">
        <f>base!X1688</f>
        <v>0</v>
      </c>
      <c r="M1688" s="11">
        <f t="shared" si="264"/>
        <v>0</v>
      </c>
      <c r="N1688" s="11">
        <f t="shared" si="265"/>
        <v>0</v>
      </c>
      <c r="O1688" s="11">
        <f t="shared" si="266"/>
        <v>0</v>
      </c>
      <c r="P1688" s="12">
        <f t="shared" si="267"/>
        <v>0</v>
      </c>
      <c r="Q1688" s="17" t="str">
        <f t="shared" si="269"/>
        <v>Pas d'écart</v>
      </c>
    </row>
    <row r="1689" spans="1:17" x14ac:dyDescent="0.3">
      <c r="A1689" s="34" t="str">
        <f>base!J1689</f>
        <v>RM</v>
      </c>
      <c r="B1689" s="34" t="str">
        <f>base!V1689</f>
        <v>69120</v>
      </c>
      <c r="C1689" s="37">
        <v>69</v>
      </c>
      <c r="D1689" s="36">
        <f>base!H1689</f>
        <v>151</v>
      </c>
      <c r="E1689" s="44"/>
      <c r="F1689" s="16">
        <f>base!W1689</f>
        <v>0</v>
      </c>
      <c r="G1689" s="11">
        <f t="shared" si="260"/>
        <v>0</v>
      </c>
      <c r="H1689" s="11">
        <f t="shared" si="261"/>
        <v>40.770000000000003</v>
      </c>
      <c r="I1689" s="11">
        <f t="shared" si="262"/>
        <v>0.27</v>
      </c>
      <c r="J1689" s="12">
        <f t="shared" si="263"/>
        <v>-40.770000000000003</v>
      </c>
      <c r="K1689" s="17" t="str">
        <f t="shared" si="268"/>
        <v>Ecart négatif</v>
      </c>
      <c r="L1689" s="16">
        <f>base!X1689</f>
        <v>0</v>
      </c>
      <c r="M1689" s="11">
        <f t="shared" si="264"/>
        <v>0</v>
      </c>
      <c r="N1689" s="11">
        <f t="shared" si="265"/>
        <v>0</v>
      </c>
      <c r="O1689" s="11">
        <f t="shared" si="266"/>
        <v>0</v>
      </c>
      <c r="P1689" s="12">
        <f t="shared" si="267"/>
        <v>0</v>
      </c>
      <c r="Q1689" s="17" t="str">
        <f t="shared" si="269"/>
        <v>Pas d'écart</v>
      </c>
    </row>
    <row r="1690" spans="1:17" x14ac:dyDescent="0.3">
      <c r="A1690" s="34" t="str">
        <f>base!J1690</f>
        <v>RS</v>
      </c>
      <c r="B1690" s="34" t="str">
        <f>base!V1690</f>
        <v>84300</v>
      </c>
      <c r="C1690" s="37">
        <v>84</v>
      </c>
      <c r="D1690" s="36">
        <f>base!H1690</f>
        <v>151</v>
      </c>
      <c r="E1690" s="44"/>
      <c r="F1690" s="16">
        <f>base!W1690</f>
        <v>0</v>
      </c>
      <c r="G1690" s="11">
        <f t="shared" si="260"/>
        <v>0</v>
      </c>
      <c r="H1690" s="11">
        <f t="shared" si="261"/>
        <v>43.79</v>
      </c>
      <c r="I1690" s="11">
        <f t="shared" si="262"/>
        <v>0.28999999999999998</v>
      </c>
      <c r="J1690" s="12">
        <f t="shared" si="263"/>
        <v>-43.79</v>
      </c>
      <c r="K1690" s="17" t="str">
        <f t="shared" si="268"/>
        <v>Ecart négatif</v>
      </c>
      <c r="L1690" s="16">
        <f>base!X1690</f>
        <v>0</v>
      </c>
      <c r="M1690" s="11">
        <f t="shared" si="264"/>
        <v>0</v>
      </c>
      <c r="N1690" s="11">
        <f t="shared" si="265"/>
        <v>28.69</v>
      </c>
      <c r="O1690" s="11">
        <f t="shared" si="266"/>
        <v>0.19</v>
      </c>
      <c r="P1690" s="12">
        <f t="shared" si="267"/>
        <v>-28.69</v>
      </c>
      <c r="Q1690" s="17" t="str">
        <f t="shared" si="269"/>
        <v>Ecart négatif</v>
      </c>
    </row>
    <row r="1691" spans="1:17" x14ac:dyDescent="0.3">
      <c r="A1691" s="34" t="str">
        <f>base!J1691</f>
        <v>RM</v>
      </c>
      <c r="B1691" s="34" t="str">
        <f>base!V1691</f>
        <v>37210</v>
      </c>
      <c r="C1691" s="37">
        <v>37</v>
      </c>
      <c r="D1691" s="36">
        <f>base!H1691</f>
        <v>140</v>
      </c>
      <c r="E1691" s="44"/>
      <c r="F1691" s="16">
        <f>base!W1691</f>
        <v>0</v>
      </c>
      <c r="G1691" s="11">
        <f t="shared" si="260"/>
        <v>0</v>
      </c>
      <c r="H1691" s="11">
        <f t="shared" si="261"/>
        <v>26.6</v>
      </c>
      <c r="I1691" s="11">
        <f t="shared" si="262"/>
        <v>0.19</v>
      </c>
      <c r="J1691" s="12">
        <f t="shared" si="263"/>
        <v>-26.6</v>
      </c>
      <c r="K1691" s="17" t="str">
        <f t="shared" si="268"/>
        <v>Ecart négatif</v>
      </c>
      <c r="L1691" s="16">
        <f>base!X1691</f>
        <v>0</v>
      </c>
      <c r="M1691" s="11">
        <f t="shared" si="264"/>
        <v>0</v>
      </c>
      <c r="N1691" s="11">
        <f t="shared" si="265"/>
        <v>16.8</v>
      </c>
      <c r="O1691" s="11">
        <f t="shared" si="266"/>
        <v>0.12000000000000001</v>
      </c>
      <c r="P1691" s="12">
        <f t="shared" si="267"/>
        <v>-16.8</v>
      </c>
      <c r="Q1691" s="17" t="str">
        <f t="shared" si="269"/>
        <v>Ecart négatif</v>
      </c>
    </row>
    <row r="1692" spans="1:17" x14ac:dyDescent="0.3">
      <c r="A1692" s="34" t="str">
        <f>base!J1692</f>
        <v>RM</v>
      </c>
      <c r="B1692" s="34" t="str">
        <f>base!V1692</f>
        <v>14470</v>
      </c>
      <c r="C1692" s="37">
        <v>14</v>
      </c>
      <c r="D1692" s="36">
        <f>base!H1692</f>
        <v>22.4</v>
      </c>
      <c r="E1692" s="44"/>
      <c r="F1692" s="16">
        <f>base!W1692</f>
        <v>0</v>
      </c>
      <c r="G1692" s="11">
        <f t="shared" si="260"/>
        <v>0</v>
      </c>
      <c r="H1692" s="11">
        <f t="shared" si="261"/>
        <v>3.8079999999999998</v>
      </c>
      <c r="I1692" s="11">
        <f t="shared" si="262"/>
        <v>0.17</v>
      </c>
      <c r="J1692" s="12">
        <f t="shared" si="263"/>
        <v>-3.8079999999999998</v>
      </c>
      <c r="K1692" s="17" t="str">
        <f t="shared" si="268"/>
        <v>Ecart négatif</v>
      </c>
      <c r="L1692" s="16">
        <f>base!X1692</f>
        <v>0</v>
      </c>
      <c r="M1692" s="11">
        <f t="shared" si="264"/>
        <v>0</v>
      </c>
      <c r="N1692" s="11">
        <f t="shared" si="265"/>
        <v>3.8079999999999998</v>
      </c>
      <c r="O1692" s="11">
        <f t="shared" si="266"/>
        <v>0.17</v>
      </c>
      <c r="P1692" s="12">
        <f t="shared" si="267"/>
        <v>-3.8079999999999998</v>
      </c>
      <c r="Q1692" s="17" t="str">
        <f t="shared" si="269"/>
        <v>Ecart négatif</v>
      </c>
    </row>
    <row r="1693" spans="1:17" x14ac:dyDescent="0.3">
      <c r="A1693" s="34" t="str">
        <f>base!J1693</f>
        <v>RS</v>
      </c>
      <c r="B1693" s="34" t="str">
        <f>base!V1693</f>
        <v>31700</v>
      </c>
      <c r="C1693" s="37">
        <v>31</v>
      </c>
      <c r="D1693" s="36">
        <f>base!H1693</f>
        <v>46.66</v>
      </c>
      <c r="E1693" s="44"/>
      <c r="F1693" s="16">
        <f>base!W1693</f>
        <v>0</v>
      </c>
      <c r="G1693" s="11">
        <f t="shared" si="260"/>
        <v>0</v>
      </c>
      <c r="H1693" s="11">
        <f t="shared" si="261"/>
        <v>8.8653999999999993</v>
      </c>
      <c r="I1693" s="11">
        <f t="shared" si="262"/>
        <v>0.19</v>
      </c>
      <c r="J1693" s="12">
        <f t="shared" si="263"/>
        <v>-8.8653999999999993</v>
      </c>
      <c r="K1693" s="17" t="str">
        <f t="shared" si="268"/>
        <v>Ecart négatif</v>
      </c>
      <c r="L1693" s="16">
        <f>base!X1693</f>
        <v>0</v>
      </c>
      <c r="M1693" s="11">
        <f t="shared" si="264"/>
        <v>0</v>
      </c>
      <c r="N1693" s="11">
        <f t="shared" si="265"/>
        <v>12.131599999999999</v>
      </c>
      <c r="O1693" s="11">
        <f t="shared" si="266"/>
        <v>0.26</v>
      </c>
      <c r="P1693" s="12">
        <f t="shared" si="267"/>
        <v>-12.131599999999999</v>
      </c>
      <c r="Q1693" s="17" t="str">
        <f t="shared" si="269"/>
        <v>Ecart négatif</v>
      </c>
    </row>
    <row r="1694" spans="1:17" x14ac:dyDescent="0.3">
      <c r="A1694" s="34" t="str">
        <f>base!J1694</f>
        <v>RM</v>
      </c>
      <c r="B1694" s="34" t="str">
        <f>base!V1694</f>
        <v>85700</v>
      </c>
      <c r="C1694" s="37">
        <v>85</v>
      </c>
      <c r="D1694" s="36">
        <f>base!H1694</f>
        <v>58.2</v>
      </c>
      <c r="E1694" s="44"/>
      <c r="F1694" s="16">
        <f>base!W1694</f>
        <v>0</v>
      </c>
      <c r="G1694" s="11">
        <f t="shared" si="260"/>
        <v>0</v>
      </c>
      <c r="H1694" s="11">
        <f t="shared" si="261"/>
        <v>15.714000000000002</v>
      </c>
      <c r="I1694" s="11">
        <f t="shared" si="262"/>
        <v>0.27</v>
      </c>
      <c r="J1694" s="12">
        <f t="shared" si="263"/>
        <v>-15.714000000000002</v>
      </c>
      <c r="K1694" s="17" t="str">
        <f t="shared" si="268"/>
        <v>Ecart négatif</v>
      </c>
      <c r="L1694" s="16">
        <f>base!X1694</f>
        <v>0</v>
      </c>
      <c r="M1694" s="11">
        <f t="shared" si="264"/>
        <v>0</v>
      </c>
      <c r="N1694" s="11">
        <f t="shared" si="265"/>
        <v>0</v>
      </c>
      <c r="O1694" s="11">
        <f t="shared" si="266"/>
        <v>0</v>
      </c>
      <c r="P1694" s="12">
        <f t="shared" si="267"/>
        <v>0</v>
      </c>
      <c r="Q1694" s="17" t="str">
        <f t="shared" si="269"/>
        <v>Pas d'écart</v>
      </c>
    </row>
    <row r="1695" spans="1:17" x14ac:dyDescent="0.3">
      <c r="A1695" s="34" t="str">
        <f>base!J1695</f>
        <v>DRM</v>
      </c>
      <c r="B1695" s="34" t="str">
        <f>base!V1695</f>
        <v>38230</v>
      </c>
      <c r="C1695" s="37">
        <v>38</v>
      </c>
      <c r="D1695" s="36">
        <f>base!H1695</f>
        <v>23.4</v>
      </c>
      <c r="E1695" s="44"/>
      <c r="F1695" s="16">
        <f>base!W1695</f>
        <v>0</v>
      </c>
      <c r="G1695" s="11">
        <f t="shared" si="260"/>
        <v>0</v>
      </c>
      <c r="H1695" s="11">
        <f t="shared" si="261"/>
        <v>6.3179999999999996</v>
      </c>
      <c r="I1695" s="11">
        <f t="shared" si="262"/>
        <v>0.27</v>
      </c>
      <c r="J1695" s="12">
        <f t="shared" si="263"/>
        <v>-6.3179999999999996</v>
      </c>
      <c r="K1695" s="17" t="str">
        <f t="shared" si="268"/>
        <v>Ecart négatif</v>
      </c>
      <c r="L1695" s="16">
        <f>base!X1695</f>
        <v>0</v>
      </c>
      <c r="M1695" s="11">
        <f t="shared" si="264"/>
        <v>0</v>
      </c>
      <c r="N1695" s="11">
        <f t="shared" si="265"/>
        <v>0</v>
      </c>
      <c r="O1695" s="11">
        <f t="shared" si="266"/>
        <v>0</v>
      </c>
      <c r="P1695" s="12">
        <f t="shared" si="267"/>
        <v>0</v>
      </c>
      <c r="Q1695" s="17" t="str">
        <f t="shared" si="269"/>
        <v>Pas d'écart</v>
      </c>
    </row>
    <row r="1696" spans="1:17" x14ac:dyDescent="0.3">
      <c r="A1696" s="34" t="str">
        <f>base!J1696</f>
        <v>RM</v>
      </c>
      <c r="B1696" s="34" t="str">
        <f>base!V1696</f>
        <v>13002</v>
      </c>
      <c r="C1696" s="37">
        <v>13</v>
      </c>
      <c r="D1696" s="36">
        <f>base!H1696</f>
        <v>131.66</v>
      </c>
      <c r="E1696" s="44"/>
      <c r="F1696" s="16">
        <f>base!W1696</f>
        <v>0</v>
      </c>
      <c r="G1696" s="11">
        <f t="shared" si="260"/>
        <v>0</v>
      </c>
      <c r="H1696" s="11">
        <f t="shared" si="261"/>
        <v>38.181399999999996</v>
      </c>
      <c r="I1696" s="11">
        <f t="shared" si="262"/>
        <v>0.28999999999999998</v>
      </c>
      <c r="J1696" s="12">
        <f t="shared" si="263"/>
        <v>-38.181399999999996</v>
      </c>
      <c r="K1696" s="17" t="str">
        <f t="shared" si="268"/>
        <v>Ecart négatif</v>
      </c>
      <c r="L1696" s="16">
        <f>base!X1696</f>
        <v>0</v>
      </c>
      <c r="M1696" s="11">
        <f t="shared" si="264"/>
        <v>0</v>
      </c>
      <c r="N1696" s="11">
        <f t="shared" si="265"/>
        <v>25.0154</v>
      </c>
      <c r="O1696" s="11">
        <f t="shared" si="266"/>
        <v>0.19</v>
      </c>
      <c r="P1696" s="12">
        <f t="shared" si="267"/>
        <v>-25.0154</v>
      </c>
      <c r="Q1696" s="17" t="str">
        <f t="shared" si="269"/>
        <v>Ecart négatif</v>
      </c>
    </row>
    <row r="1697" spans="1:18" x14ac:dyDescent="0.3">
      <c r="A1697" s="34" t="str">
        <f>base!J1697</f>
        <v>DLS</v>
      </c>
      <c r="B1697" s="34" t="str">
        <f>base!V1697</f>
        <v>33700</v>
      </c>
      <c r="C1697" s="37">
        <v>33</v>
      </c>
      <c r="D1697" s="36">
        <f>base!H1697</f>
        <v>74.33</v>
      </c>
      <c r="E1697" s="44"/>
      <c r="F1697" s="16">
        <f>base!W1697</f>
        <v>0</v>
      </c>
      <c r="G1697" s="11">
        <f t="shared" si="260"/>
        <v>0</v>
      </c>
      <c r="H1697" s="11">
        <f t="shared" si="261"/>
        <v>15.609299999999999</v>
      </c>
      <c r="I1697" s="11">
        <f t="shared" si="262"/>
        <v>0.21</v>
      </c>
      <c r="J1697" s="12">
        <f t="shared" si="263"/>
        <v>-15.609299999999999</v>
      </c>
      <c r="K1697" s="17" t="str">
        <f t="shared" si="268"/>
        <v>Ecart négatif</v>
      </c>
      <c r="L1697" s="16">
        <f>base!X1697</f>
        <v>0</v>
      </c>
      <c r="M1697" s="11">
        <f t="shared" si="264"/>
        <v>0</v>
      </c>
      <c r="N1697" s="11">
        <f t="shared" si="265"/>
        <v>12.636100000000001</v>
      </c>
      <c r="O1697" s="11">
        <f t="shared" si="266"/>
        <v>0.17</v>
      </c>
      <c r="P1697" s="12">
        <f t="shared" si="267"/>
        <v>-12.636100000000001</v>
      </c>
      <c r="Q1697" s="17" t="str">
        <f t="shared" si="269"/>
        <v>Ecart négatif</v>
      </c>
    </row>
    <row r="1698" spans="1:18" x14ac:dyDescent="0.3">
      <c r="A1698" s="34" t="str">
        <f>base!J1698</f>
        <v>RM</v>
      </c>
      <c r="B1698" s="34" t="str">
        <f>base!V1698</f>
        <v>45170</v>
      </c>
      <c r="C1698" s="37">
        <v>45</v>
      </c>
      <c r="D1698" s="36">
        <f>base!H1698</f>
        <v>70</v>
      </c>
      <c r="E1698" s="44"/>
      <c r="F1698" s="16">
        <f>base!W1698</f>
        <v>0</v>
      </c>
      <c r="G1698" s="11">
        <f t="shared" si="260"/>
        <v>0</v>
      </c>
      <c r="H1698" s="11">
        <f t="shared" si="261"/>
        <v>14.7</v>
      </c>
      <c r="I1698" s="11">
        <f t="shared" si="262"/>
        <v>0.21</v>
      </c>
      <c r="J1698" s="12">
        <f t="shared" si="263"/>
        <v>-14.7</v>
      </c>
      <c r="K1698" s="17" t="str">
        <f t="shared" si="268"/>
        <v>Ecart négatif</v>
      </c>
      <c r="L1698" s="16">
        <f>base!X1698</f>
        <v>0</v>
      </c>
      <c r="M1698" s="11">
        <f t="shared" si="264"/>
        <v>0</v>
      </c>
      <c r="N1698" s="11">
        <f t="shared" si="265"/>
        <v>8.4</v>
      </c>
      <c r="O1698" s="11">
        <f t="shared" si="266"/>
        <v>0.12000000000000001</v>
      </c>
      <c r="P1698" s="12">
        <f t="shared" si="267"/>
        <v>-8.4</v>
      </c>
      <c r="Q1698" s="17" t="str">
        <f t="shared" si="269"/>
        <v>Ecart négatif</v>
      </c>
    </row>
    <row r="1699" spans="1:18" x14ac:dyDescent="0.3">
      <c r="A1699" s="34" t="str">
        <f>base!J1699</f>
        <v>LM</v>
      </c>
      <c r="B1699" s="34" t="str">
        <f>base!V1699</f>
        <v>75009</v>
      </c>
      <c r="C1699" s="37">
        <v>75</v>
      </c>
      <c r="D1699" s="36">
        <f>base!H1699</f>
        <v>174.26</v>
      </c>
      <c r="E1699" s="44"/>
      <c r="F1699" s="16">
        <f>base!W1699</f>
        <v>0</v>
      </c>
      <c r="G1699" s="11">
        <f t="shared" si="260"/>
        <v>0</v>
      </c>
      <c r="H1699" s="11">
        <f t="shared" si="261"/>
        <v>0</v>
      </c>
      <c r="I1699" s="11">
        <f t="shared" si="262"/>
        <v>0</v>
      </c>
      <c r="J1699" s="12">
        <f t="shared" si="263"/>
        <v>0</v>
      </c>
      <c r="K1699" s="17" t="str">
        <f t="shared" si="268"/>
        <v>Pas d'écart</v>
      </c>
      <c r="L1699" s="16">
        <f>base!X1699</f>
        <v>0</v>
      </c>
      <c r="M1699" s="11">
        <f t="shared" si="264"/>
        <v>0</v>
      </c>
      <c r="N1699" s="11">
        <f t="shared" si="265"/>
        <v>0</v>
      </c>
      <c r="O1699" s="11">
        <f t="shared" si="266"/>
        <v>0</v>
      </c>
      <c r="P1699" s="12">
        <f t="shared" si="267"/>
        <v>0</v>
      </c>
      <c r="Q1699" s="17" t="str">
        <f t="shared" si="269"/>
        <v>Pas d'écart</v>
      </c>
    </row>
    <row r="1700" spans="1:18" x14ac:dyDescent="0.3">
      <c r="A1700" s="34" t="str">
        <f>base!J1700</f>
        <v>DLS</v>
      </c>
      <c r="B1700" s="34" t="str">
        <f>base!V1700</f>
        <v>21000</v>
      </c>
      <c r="C1700" s="37">
        <v>21</v>
      </c>
      <c r="D1700" s="36">
        <f>base!H1700</f>
        <v>53.4</v>
      </c>
      <c r="E1700" s="44"/>
      <c r="F1700" s="16">
        <f>base!W1700</f>
        <v>12.82</v>
      </c>
      <c r="G1700" s="11">
        <f t="shared" si="260"/>
        <v>0.24007490636704121</v>
      </c>
      <c r="H1700" s="11">
        <f t="shared" si="261"/>
        <v>12.815999999999999</v>
      </c>
      <c r="I1700" s="11">
        <f t="shared" si="262"/>
        <v>0.24</v>
      </c>
      <c r="J1700" s="12">
        <f t="shared" si="263"/>
        <v>4.0000000000013358E-3</v>
      </c>
      <c r="K1700" s="17" t="str">
        <f t="shared" si="268"/>
        <v>Ecart positif</v>
      </c>
      <c r="L1700" s="16">
        <f>base!X1700</f>
        <v>0</v>
      </c>
      <c r="M1700" s="11">
        <f t="shared" si="264"/>
        <v>0</v>
      </c>
      <c r="N1700" s="11">
        <f t="shared" si="265"/>
        <v>6.4079999999999995</v>
      </c>
      <c r="O1700" s="11">
        <f t="shared" si="266"/>
        <v>0.12</v>
      </c>
      <c r="P1700" s="12">
        <f t="shared" si="267"/>
        <v>-6.4079999999999995</v>
      </c>
      <c r="Q1700" s="17" t="str">
        <f t="shared" si="269"/>
        <v>Ecart négatif</v>
      </c>
    </row>
    <row r="1701" spans="1:18" x14ac:dyDescent="0.3">
      <c r="A1701" s="34" t="str">
        <f>base!J1701</f>
        <v>RM</v>
      </c>
      <c r="B1701" s="34" t="str">
        <f>base!V1701</f>
        <v>62200</v>
      </c>
      <c r="C1701" s="37">
        <v>62</v>
      </c>
      <c r="D1701" s="36">
        <f>base!H1701</f>
        <v>70</v>
      </c>
      <c r="E1701" s="44"/>
      <c r="F1701" s="16">
        <f>base!W1701</f>
        <v>0</v>
      </c>
      <c r="G1701" s="11">
        <f t="shared" si="260"/>
        <v>0</v>
      </c>
      <c r="H1701" s="11">
        <f t="shared" si="261"/>
        <v>13.3</v>
      </c>
      <c r="I1701" s="11">
        <f t="shared" si="262"/>
        <v>0.19</v>
      </c>
      <c r="J1701" s="12">
        <f t="shared" si="263"/>
        <v>-13.3</v>
      </c>
      <c r="K1701" s="17" t="str">
        <f t="shared" si="268"/>
        <v>Ecart négatif</v>
      </c>
      <c r="L1701" s="16">
        <f>base!X1701</f>
        <v>0</v>
      </c>
      <c r="M1701" s="11">
        <f t="shared" si="264"/>
        <v>0</v>
      </c>
      <c r="N1701" s="11">
        <f t="shared" si="265"/>
        <v>0</v>
      </c>
      <c r="O1701" s="11">
        <f t="shared" si="266"/>
        <v>0</v>
      </c>
      <c r="P1701" s="12">
        <f t="shared" si="267"/>
        <v>0</v>
      </c>
      <c r="Q1701" s="17" t="str">
        <f t="shared" si="269"/>
        <v>Pas d'écart</v>
      </c>
    </row>
    <row r="1702" spans="1:18" x14ac:dyDescent="0.3">
      <c r="A1702" s="34" t="str">
        <f>base!J1702</f>
        <v>RM</v>
      </c>
      <c r="B1702" s="34" t="str">
        <f>base!V1702</f>
        <v>37300</v>
      </c>
      <c r="C1702" s="37">
        <v>37</v>
      </c>
      <c r="D1702" s="36">
        <f>base!H1702</f>
        <v>140</v>
      </c>
      <c r="E1702" s="44"/>
      <c r="F1702" s="16">
        <f>base!W1702</f>
        <v>0</v>
      </c>
      <c r="G1702" s="11">
        <f t="shared" si="260"/>
        <v>0</v>
      </c>
      <c r="H1702" s="11">
        <f t="shared" si="261"/>
        <v>26.6</v>
      </c>
      <c r="I1702" s="11">
        <f t="shared" si="262"/>
        <v>0.19</v>
      </c>
      <c r="J1702" s="12">
        <f t="shared" si="263"/>
        <v>-26.6</v>
      </c>
      <c r="K1702" s="17" t="str">
        <f t="shared" si="268"/>
        <v>Ecart négatif</v>
      </c>
      <c r="L1702" s="16">
        <f>base!X1702</f>
        <v>0</v>
      </c>
      <c r="M1702" s="11">
        <f t="shared" si="264"/>
        <v>0</v>
      </c>
      <c r="N1702" s="11">
        <f t="shared" si="265"/>
        <v>16.8</v>
      </c>
      <c r="O1702" s="11">
        <f t="shared" si="266"/>
        <v>0.12000000000000001</v>
      </c>
      <c r="P1702" s="12">
        <f t="shared" si="267"/>
        <v>-16.8</v>
      </c>
      <c r="Q1702" s="17" t="str">
        <f t="shared" si="269"/>
        <v>Ecart négatif</v>
      </c>
    </row>
    <row r="1703" spans="1:18" x14ac:dyDescent="0.3">
      <c r="A1703" s="34" t="str">
        <f>base!J1703</f>
        <v>DRM</v>
      </c>
      <c r="B1703" s="34" t="str">
        <f>base!V1703</f>
        <v>67800</v>
      </c>
      <c r="C1703" s="37">
        <v>67</v>
      </c>
      <c r="D1703" s="36">
        <f>base!H1703</f>
        <v>151</v>
      </c>
      <c r="E1703" s="44"/>
      <c r="F1703" s="16">
        <f>base!W1703</f>
        <v>0</v>
      </c>
      <c r="G1703" s="11">
        <f t="shared" si="260"/>
        <v>0</v>
      </c>
      <c r="H1703" s="11">
        <f t="shared" si="261"/>
        <v>43.79</v>
      </c>
      <c r="I1703" s="11">
        <f t="shared" si="262"/>
        <v>0.28999999999999998</v>
      </c>
      <c r="J1703" s="12">
        <f t="shared" si="263"/>
        <v>-43.79</v>
      </c>
      <c r="K1703" s="17" t="str">
        <f t="shared" si="268"/>
        <v>Ecart négatif</v>
      </c>
      <c r="L1703" s="16">
        <f>base!X1703</f>
        <v>0</v>
      </c>
      <c r="M1703" s="11">
        <f t="shared" si="264"/>
        <v>0</v>
      </c>
      <c r="N1703" s="11">
        <f t="shared" si="265"/>
        <v>12.08</v>
      </c>
      <c r="O1703" s="11">
        <f t="shared" si="266"/>
        <v>0.08</v>
      </c>
      <c r="P1703" s="12">
        <f t="shared" si="267"/>
        <v>-12.08</v>
      </c>
      <c r="Q1703" s="17" t="str">
        <f t="shared" si="269"/>
        <v>Ecart négatif</v>
      </c>
    </row>
    <row r="1704" spans="1:18" x14ac:dyDescent="0.3">
      <c r="A1704" s="34">
        <f>base!J1704</f>
        <v>0</v>
      </c>
      <c r="B1704" s="34" t="str">
        <f>base!V1704</f>
        <v>77184</v>
      </c>
      <c r="C1704" s="37">
        <v>77</v>
      </c>
      <c r="D1704" s="36">
        <f>base!H1704</f>
        <v>184</v>
      </c>
      <c r="E1704" s="44"/>
      <c r="F1704" s="16">
        <f>base!W1704</f>
        <v>0</v>
      </c>
      <c r="G1704" s="11">
        <f t="shared" si="260"/>
        <v>0</v>
      </c>
      <c r="H1704" s="11">
        <f t="shared" si="261"/>
        <v>0</v>
      </c>
      <c r="I1704" s="11">
        <f t="shared" si="262"/>
        <v>0</v>
      </c>
      <c r="J1704" s="12">
        <f t="shared" si="263"/>
        <v>0</v>
      </c>
      <c r="K1704" s="17" t="str">
        <f t="shared" si="268"/>
        <v>Pas d'écart</v>
      </c>
      <c r="L1704" s="16">
        <f>base!X1704</f>
        <v>0</v>
      </c>
      <c r="M1704" s="11">
        <f t="shared" si="264"/>
        <v>0</v>
      </c>
      <c r="N1704" s="11">
        <f t="shared" si="265"/>
        <v>0</v>
      </c>
      <c r="O1704" s="11">
        <f t="shared" si="266"/>
        <v>0</v>
      </c>
      <c r="P1704" s="12">
        <f t="shared" si="267"/>
        <v>0</v>
      </c>
      <c r="Q1704" s="17" t="str">
        <f t="shared" si="269"/>
        <v>Pas d'écart</v>
      </c>
    </row>
    <row r="1705" spans="1:18" x14ac:dyDescent="0.3">
      <c r="A1705" s="34" t="str">
        <f>base!J1705</f>
        <v>DRM</v>
      </c>
      <c r="B1705" s="34" t="str">
        <f>base!V1705</f>
        <v>50640</v>
      </c>
      <c r="C1705" s="37">
        <v>50</v>
      </c>
      <c r="D1705" s="36">
        <f>base!H1705</f>
        <v>86.54</v>
      </c>
      <c r="E1705" s="44"/>
      <c r="F1705" s="16">
        <f>base!W1705</f>
        <v>0</v>
      </c>
      <c r="G1705" s="11">
        <f t="shared" si="260"/>
        <v>0</v>
      </c>
      <c r="H1705" s="11">
        <f t="shared" si="261"/>
        <v>14.711800000000002</v>
      </c>
      <c r="I1705" s="11">
        <f t="shared" si="262"/>
        <v>0.17</v>
      </c>
      <c r="J1705" s="12">
        <f t="shared" si="263"/>
        <v>-14.711800000000002</v>
      </c>
      <c r="K1705" s="17" t="str">
        <f t="shared" si="268"/>
        <v>Ecart négatif</v>
      </c>
      <c r="L1705" s="16">
        <f>base!X1705</f>
        <v>0</v>
      </c>
      <c r="M1705" s="11">
        <f t="shared" si="264"/>
        <v>0</v>
      </c>
      <c r="N1705" s="11">
        <f t="shared" si="265"/>
        <v>14.711800000000002</v>
      </c>
      <c r="O1705" s="11">
        <f t="shared" si="266"/>
        <v>0.17</v>
      </c>
      <c r="P1705" s="12">
        <f t="shared" si="267"/>
        <v>-14.711800000000002</v>
      </c>
      <c r="Q1705" s="17" t="str">
        <f t="shared" si="269"/>
        <v>Ecart négatif</v>
      </c>
    </row>
    <row r="1706" spans="1:18" x14ac:dyDescent="0.3">
      <c r="A1706" s="34">
        <f>base!J1706</f>
        <v>0</v>
      </c>
      <c r="B1706" s="34" t="str">
        <f>base!V1706</f>
        <v>77184</v>
      </c>
      <c r="C1706" s="37">
        <v>77</v>
      </c>
      <c r="D1706" s="36">
        <f>base!H1706</f>
        <v>105</v>
      </c>
      <c r="E1706" s="44"/>
      <c r="F1706" s="16">
        <f>base!W1706</f>
        <v>0</v>
      </c>
      <c r="G1706" s="11">
        <f t="shared" si="260"/>
        <v>0</v>
      </c>
      <c r="H1706" s="11">
        <f t="shared" si="261"/>
        <v>0</v>
      </c>
      <c r="I1706" s="11">
        <f t="shared" si="262"/>
        <v>0</v>
      </c>
      <c r="J1706" s="12">
        <f t="shared" si="263"/>
        <v>0</v>
      </c>
      <c r="K1706" s="17" t="str">
        <f t="shared" si="268"/>
        <v>Pas d'écart</v>
      </c>
      <c r="L1706" s="16">
        <f>base!X1706</f>
        <v>0</v>
      </c>
      <c r="M1706" s="11">
        <f t="shared" si="264"/>
        <v>0</v>
      </c>
      <c r="N1706" s="11">
        <f t="shared" si="265"/>
        <v>0</v>
      </c>
      <c r="O1706" s="11">
        <f t="shared" si="266"/>
        <v>0</v>
      </c>
      <c r="P1706" s="12">
        <f t="shared" si="267"/>
        <v>0</v>
      </c>
      <c r="Q1706" s="17" t="str">
        <f t="shared" si="269"/>
        <v>Pas d'écart</v>
      </c>
    </row>
    <row r="1707" spans="1:18" x14ac:dyDescent="0.3">
      <c r="A1707" s="34" t="str">
        <f>base!J1707</f>
        <v>RS</v>
      </c>
      <c r="B1707" s="34" t="str">
        <f>base!V1707</f>
        <v>67400</v>
      </c>
      <c r="C1707" s="37">
        <v>67</v>
      </c>
      <c r="D1707" s="36">
        <f>base!H1707</f>
        <v>140</v>
      </c>
      <c r="E1707" s="44"/>
      <c r="F1707" s="16">
        <f>base!W1707</f>
        <v>0</v>
      </c>
      <c r="G1707" s="11">
        <f t="shared" si="260"/>
        <v>0</v>
      </c>
      <c r="H1707" s="11">
        <f t="shared" si="261"/>
        <v>40.599999999999994</v>
      </c>
      <c r="I1707" s="11">
        <f t="shared" si="262"/>
        <v>0.28999999999999998</v>
      </c>
      <c r="J1707" s="12">
        <f t="shared" si="263"/>
        <v>-40.599999999999994</v>
      </c>
      <c r="K1707" s="17" t="str">
        <f t="shared" si="268"/>
        <v>Ecart négatif</v>
      </c>
      <c r="L1707" s="16">
        <f>base!X1707</f>
        <v>11.2</v>
      </c>
      <c r="M1707" s="11">
        <f t="shared" si="264"/>
        <v>0.08</v>
      </c>
      <c r="N1707" s="11">
        <f t="shared" si="265"/>
        <v>11.200000000000001</v>
      </c>
      <c r="O1707" s="11">
        <f t="shared" si="266"/>
        <v>0.08</v>
      </c>
      <c r="P1707" s="12">
        <f t="shared" si="267"/>
        <v>0</v>
      </c>
      <c r="Q1707" s="17" t="str">
        <f t="shared" si="269"/>
        <v>Pas d'écart</v>
      </c>
      <c r="R1707" s="38"/>
    </row>
    <row r="1708" spans="1:18" x14ac:dyDescent="0.3">
      <c r="A1708" s="34" t="str">
        <f>base!J1708</f>
        <v>LS</v>
      </c>
      <c r="B1708" s="34" t="str">
        <f>base!V1708</f>
        <v>62300</v>
      </c>
      <c r="C1708" s="37">
        <v>62</v>
      </c>
      <c r="D1708" s="36">
        <f>base!H1708</f>
        <v>141.65</v>
      </c>
      <c r="E1708" s="44"/>
      <c r="F1708" s="16">
        <f>base!W1708</f>
        <v>26.91</v>
      </c>
      <c r="G1708" s="11">
        <f t="shared" si="260"/>
        <v>0.18997529121073067</v>
      </c>
      <c r="H1708" s="11">
        <f t="shared" si="261"/>
        <v>26.913500000000003</v>
      </c>
      <c r="I1708" s="11">
        <f t="shared" si="262"/>
        <v>0.19</v>
      </c>
      <c r="J1708" s="12">
        <f t="shared" si="263"/>
        <v>-3.5000000000025011E-3</v>
      </c>
      <c r="K1708" s="17" t="str">
        <f t="shared" si="268"/>
        <v>Ecart négatif</v>
      </c>
      <c r="L1708" s="16">
        <f>base!X1708</f>
        <v>0</v>
      </c>
      <c r="M1708" s="11">
        <f t="shared" si="264"/>
        <v>0</v>
      </c>
      <c r="N1708" s="11">
        <f t="shared" si="265"/>
        <v>0</v>
      </c>
      <c r="O1708" s="11">
        <f t="shared" si="266"/>
        <v>0</v>
      </c>
      <c r="P1708" s="12">
        <f t="shared" si="267"/>
        <v>0</v>
      </c>
      <c r="Q1708" s="17" t="str">
        <f t="shared" si="269"/>
        <v>Pas d'écart</v>
      </c>
    </row>
    <row r="1709" spans="1:18" x14ac:dyDescent="0.3">
      <c r="A1709" s="34" t="str">
        <f>base!J1709</f>
        <v>LS</v>
      </c>
      <c r="B1709" s="34" t="str">
        <f>base!V1709</f>
        <v>34500</v>
      </c>
      <c r="C1709" s="37">
        <v>62</v>
      </c>
      <c r="D1709" s="36">
        <f>base!H1709</f>
        <v>149.79</v>
      </c>
      <c r="E1709" s="44"/>
      <c r="F1709" s="16">
        <f>base!W1709</f>
        <v>58.42</v>
      </c>
      <c r="G1709" s="11">
        <f t="shared" si="260"/>
        <v>0.39001268442486148</v>
      </c>
      <c r="H1709" s="11">
        <f t="shared" si="261"/>
        <v>28.460099999999997</v>
      </c>
      <c r="I1709" s="11">
        <f t="shared" si="262"/>
        <v>0.19</v>
      </c>
      <c r="J1709" s="12">
        <f t="shared" si="263"/>
        <v>29.959900000000005</v>
      </c>
      <c r="K1709" s="17" t="str">
        <f t="shared" si="268"/>
        <v>Ecart positif</v>
      </c>
      <c r="L1709" s="16">
        <f>base!X1709</f>
        <v>0</v>
      </c>
      <c r="M1709" s="11">
        <f t="shared" si="264"/>
        <v>0</v>
      </c>
      <c r="N1709" s="11">
        <f t="shared" si="265"/>
        <v>0</v>
      </c>
      <c r="O1709" s="11">
        <f t="shared" si="266"/>
        <v>0</v>
      </c>
      <c r="P1709" s="12">
        <f t="shared" si="267"/>
        <v>0</v>
      </c>
      <c r="Q1709" s="17" t="str">
        <f t="shared" si="269"/>
        <v>Pas d'écart</v>
      </c>
    </row>
    <row r="1710" spans="1:18" x14ac:dyDescent="0.3">
      <c r="A1710" s="34" t="str">
        <f>base!J1710</f>
        <v>DLS</v>
      </c>
      <c r="B1710" s="34" t="str">
        <f>base!V1710</f>
        <v>34000</v>
      </c>
      <c r="C1710" s="37">
        <v>34</v>
      </c>
      <c r="D1710" s="36">
        <f>base!H1710</f>
        <v>55</v>
      </c>
      <c r="E1710" s="44"/>
      <c r="F1710" s="16">
        <f>base!W1710</f>
        <v>0</v>
      </c>
      <c r="G1710" s="11">
        <f t="shared" si="260"/>
        <v>0</v>
      </c>
      <c r="H1710" s="11">
        <f t="shared" si="261"/>
        <v>21.45</v>
      </c>
      <c r="I1710" s="11">
        <f t="shared" si="262"/>
        <v>0.39</v>
      </c>
      <c r="J1710" s="12">
        <f t="shared" si="263"/>
        <v>-21.45</v>
      </c>
      <c r="K1710" s="17" t="str">
        <f t="shared" si="268"/>
        <v>Ecart négatif</v>
      </c>
      <c r="L1710" s="16">
        <f>base!X1710</f>
        <v>0</v>
      </c>
      <c r="M1710" s="11">
        <f t="shared" si="264"/>
        <v>0</v>
      </c>
      <c r="N1710" s="11">
        <f t="shared" si="265"/>
        <v>15.400000000000002</v>
      </c>
      <c r="O1710" s="11">
        <f t="shared" si="266"/>
        <v>0.28000000000000003</v>
      </c>
      <c r="P1710" s="12">
        <f t="shared" si="267"/>
        <v>-15.400000000000002</v>
      </c>
      <c r="Q1710" s="17" t="str">
        <f t="shared" si="269"/>
        <v>Ecart négatif</v>
      </c>
    </row>
    <row r="1711" spans="1:18" x14ac:dyDescent="0.3">
      <c r="A1711" s="34" t="str">
        <f>base!J1711</f>
        <v>RS</v>
      </c>
      <c r="B1711" s="34" t="str">
        <f>base!V1711</f>
        <v>02700</v>
      </c>
      <c r="C1711" s="37">
        <v>2</v>
      </c>
      <c r="D1711" s="36">
        <f>base!H1711</f>
        <v>5.6</v>
      </c>
      <c r="E1711" s="44"/>
      <c r="F1711" s="16">
        <f>base!W1711</f>
        <v>0</v>
      </c>
      <c r="G1711" s="11">
        <f t="shared" si="260"/>
        <v>0</v>
      </c>
      <c r="H1711" s="11">
        <f t="shared" si="261"/>
        <v>1.008</v>
      </c>
      <c r="I1711" s="11">
        <f t="shared" si="262"/>
        <v>0.18000000000000002</v>
      </c>
      <c r="J1711" s="12">
        <f t="shared" si="263"/>
        <v>-1.008</v>
      </c>
      <c r="K1711" s="17" t="str">
        <f t="shared" si="268"/>
        <v>Ecart négatif</v>
      </c>
      <c r="L1711" s="16">
        <f>base!X1711</f>
        <v>1.06</v>
      </c>
      <c r="M1711" s="11">
        <f t="shared" si="264"/>
        <v>0.18928571428571431</v>
      </c>
      <c r="N1711" s="11">
        <f t="shared" si="265"/>
        <v>0</v>
      </c>
      <c r="O1711" s="11">
        <f t="shared" si="266"/>
        <v>0</v>
      </c>
      <c r="P1711" s="12">
        <f t="shared" si="267"/>
        <v>1.06</v>
      </c>
      <c r="Q1711" s="17" t="str">
        <f t="shared" si="269"/>
        <v>Ecart positif</v>
      </c>
      <c r="R1711" s="38"/>
    </row>
    <row r="1712" spans="1:18" x14ac:dyDescent="0.3">
      <c r="A1712" s="34" t="str">
        <f>base!J1712</f>
        <v>LS</v>
      </c>
      <c r="B1712" s="34" t="str">
        <f>base!V1712</f>
        <v>02600</v>
      </c>
      <c r="C1712" s="37">
        <v>8</v>
      </c>
      <c r="D1712" s="36">
        <f>base!H1712</f>
        <v>59.73</v>
      </c>
      <c r="E1712" s="44"/>
      <c r="F1712" s="16">
        <f>base!W1712</f>
        <v>11.35</v>
      </c>
      <c r="G1712" s="11">
        <f t="shared" si="260"/>
        <v>0.19002176460739997</v>
      </c>
      <c r="H1712" s="11">
        <f t="shared" si="261"/>
        <v>10.751399999999999</v>
      </c>
      <c r="I1712" s="11">
        <f t="shared" si="262"/>
        <v>0.18</v>
      </c>
      <c r="J1712" s="12">
        <f t="shared" si="263"/>
        <v>0.59860000000000113</v>
      </c>
      <c r="K1712" s="17" t="str">
        <f t="shared" si="268"/>
        <v>Ecart positif</v>
      </c>
      <c r="L1712" s="16">
        <f>base!X1712</f>
        <v>0</v>
      </c>
      <c r="M1712" s="11">
        <f t="shared" si="264"/>
        <v>0</v>
      </c>
      <c r="N1712" s="11">
        <f t="shared" si="265"/>
        <v>0</v>
      </c>
      <c r="O1712" s="11">
        <f t="shared" si="266"/>
        <v>0</v>
      </c>
      <c r="P1712" s="12">
        <f t="shared" si="267"/>
        <v>0</v>
      </c>
      <c r="Q1712" s="17" t="str">
        <f t="shared" si="269"/>
        <v>Pas d'écart</v>
      </c>
    </row>
    <row r="1713" spans="1:18" x14ac:dyDescent="0.3">
      <c r="A1713" s="34" t="str">
        <f>base!J1713</f>
        <v>LM</v>
      </c>
      <c r="B1713" s="34" t="str">
        <f>base!V1713</f>
        <v>62600</v>
      </c>
      <c r="C1713" s="37">
        <v>62</v>
      </c>
      <c r="D1713" s="36">
        <f>base!H1713</f>
        <v>40</v>
      </c>
      <c r="E1713" s="44"/>
      <c r="F1713" s="16">
        <f>base!W1713</f>
        <v>7.6</v>
      </c>
      <c r="G1713" s="11">
        <f t="shared" si="260"/>
        <v>0.19</v>
      </c>
      <c r="H1713" s="11">
        <f t="shared" si="261"/>
        <v>7.6</v>
      </c>
      <c r="I1713" s="11">
        <f t="shared" si="262"/>
        <v>0.19</v>
      </c>
      <c r="J1713" s="12">
        <f t="shared" si="263"/>
        <v>0</v>
      </c>
      <c r="K1713" s="17" t="str">
        <f t="shared" si="268"/>
        <v>Pas d'écart</v>
      </c>
      <c r="L1713" s="16">
        <f>base!X1713</f>
        <v>0</v>
      </c>
      <c r="M1713" s="11">
        <f t="shared" si="264"/>
        <v>0</v>
      </c>
      <c r="N1713" s="11">
        <f t="shared" si="265"/>
        <v>0</v>
      </c>
      <c r="O1713" s="11">
        <f t="shared" si="266"/>
        <v>0</v>
      </c>
      <c r="P1713" s="12">
        <f t="shared" si="267"/>
        <v>0</v>
      </c>
      <c r="Q1713" s="17" t="str">
        <f t="shared" si="269"/>
        <v>Pas d'écart</v>
      </c>
    </row>
    <row r="1714" spans="1:18" x14ac:dyDescent="0.3">
      <c r="A1714" s="34">
        <f>base!J1714</f>
        <v>0</v>
      </c>
      <c r="B1714" s="34" t="str">
        <f>base!V1714</f>
        <v>77184</v>
      </c>
      <c r="C1714" s="37">
        <v>77</v>
      </c>
      <c r="D1714" s="36">
        <f>base!H1714</f>
        <v>28</v>
      </c>
      <c r="E1714" s="44"/>
      <c r="F1714" s="16">
        <f>base!W1714</f>
        <v>0</v>
      </c>
      <c r="G1714" s="11">
        <f t="shared" si="260"/>
        <v>0</v>
      </c>
      <c r="H1714" s="11">
        <f t="shared" si="261"/>
        <v>0</v>
      </c>
      <c r="I1714" s="11">
        <f t="shared" si="262"/>
        <v>0</v>
      </c>
      <c r="J1714" s="12">
        <f t="shared" si="263"/>
        <v>0</v>
      </c>
      <c r="K1714" s="17" t="str">
        <f t="shared" si="268"/>
        <v>Pas d'écart</v>
      </c>
      <c r="L1714" s="16">
        <f>base!X1714</f>
        <v>0</v>
      </c>
      <c r="M1714" s="11">
        <f t="shared" si="264"/>
        <v>0</v>
      </c>
      <c r="N1714" s="11">
        <f t="shared" si="265"/>
        <v>0</v>
      </c>
      <c r="O1714" s="11">
        <f t="shared" si="266"/>
        <v>0</v>
      </c>
      <c r="P1714" s="12">
        <f t="shared" si="267"/>
        <v>0</v>
      </c>
      <c r="Q1714" s="17" t="str">
        <f t="shared" si="269"/>
        <v>Pas d'écart</v>
      </c>
    </row>
    <row r="1715" spans="1:18" x14ac:dyDescent="0.3">
      <c r="A1715" s="34" t="str">
        <f>base!J1715</f>
        <v>RM</v>
      </c>
      <c r="B1715" s="34" t="str">
        <f>base!V1715</f>
        <v>59600</v>
      </c>
      <c r="C1715" s="37">
        <v>59</v>
      </c>
      <c r="D1715" s="36">
        <f>base!H1715</f>
        <v>340</v>
      </c>
      <c r="E1715" s="44"/>
      <c r="F1715" s="16">
        <f>base!W1715</f>
        <v>0</v>
      </c>
      <c r="G1715" s="11">
        <f t="shared" si="260"/>
        <v>0</v>
      </c>
      <c r="H1715" s="11">
        <f t="shared" si="261"/>
        <v>64.599999999999994</v>
      </c>
      <c r="I1715" s="11">
        <f t="shared" si="262"/>
        <v>0.18999999999999997</v>
      </c>
      <c r="J1715" s="12">
        <f t="shared" si="263"/>
        <v>-64.599999999999994</v>
      </c>
      <c r="K1715" s="17" t="str">
        <f t="shared" si="268"/>
        <v>Ecart négatif</v>
      </c>
      <c r="L1715" s="16">
        <f>base!X1715</f>
        <v>0</v>
      </c>
      <c r="M1715" s="11">
        <f t="shared" si="264"/>
        <v>0</v>
      </c>
      <c r="N1715" s="11">
        <f t="shared" si="265"/>
        <v>0</v>
      </c>
      <c r="O1715" s="11">
        <f t="shared" si="266"/>
        <v>0</v>
      </c>
      <c r="P1715" s="12">
        <f t="shared" si="267"/>
        <v>0</v>
      </c>
      <c r="Q1715" s="17" t="str">
        <f t="shared" si="269"/>
        <v>Pas d'écart</v>
      </c>
    </row>
    <row r="1716" spans="1:18" x14ac:dyDescent="0.3">
      <c r="A1716" s="34" t="str">
        <f>base!J1716</f>
        <v>LS</v>
      </c>
      <c r="B1716" s="34" t="str">
        <f>base!V1716</f>
        <v>30320</v>
      </c>
      <c r="C1716" s="37">
        <v>30</v>
      </c>
      <c r="D1716" s="36">
        <f>base!H1716</f>
        <v>0</v>
      </c>
      <c r="E1716" s="44"/>
      <c r="F1716" s="16">
        <f>base!W1716</f>
        <v>0</v>
      </c>
      <c r="G1716" s="11" t="e">
        <f t="shared" si="260"/>
        <v>#DIV/0!</v>
      </c>
      <c r="H1716" s="11">
        <f t="shared" si="261"/>
        <v>0</v>
      </c>
      <c r="I1716" s="11" t="e">
        <f t="shared" si="262"/>
        <v>#DIV/0!</v>
      </c>
      <c r="J1716" s="12">
        <f t="shared" si="263"/>
        <v>0</v>
      </c>
      <c r="K1716" s="17" t="str">
        <f t="shared" si="268"/>
        <v>Pas d'écart</v>
      </c>
      <c r="L1716" s="16">
        <f>base!X1716</f>
        <v>0</v>
      </c>
      <c r="M1716" s="11" t="e">
        <f t="shared" si="264"/>
        <v>#DIV/0!</v>
      </c>
      <c r="N1716" s="11">
        <f t="shared" si="265"/>
        <v>0</v>
      </c>
      <c r="O1716" s="11" t="e">
        <f t="shared" si="266"/>
        <v>#DIV/0!</v>
      </c>
      <c r="P1716" s="12">
        <f t="shared" si="267"/>
        <v>0</v>
      </c>
      <c r="Q1716" s="17" t="str">
        <f t="shared" si="269"/>
        <v>Pas d'écart</v>
      </c>
    </row>
    <row r="1717" spans="1:18" x14ac:dyDescent="0.3">
      <c r="A1717" s="34" t="str">
        <f>base!J1717</f>
        <v>LS</v>
      </c>
      <c r="B1717" s="34" t="str">
        <f>base!V1717</f>
        <v>95240</v>
      </c>
      <c r="C1717" s="37">
        <v>95</v>
      </c>
      <c r="D1717" s="36">
        <f>base!H1717</f>
        <v>36.85</v>
      </c>
      <c r="E1717" s="44"/>
      <c r="F1717" s="16">
        <f>base!W1717</f>
        <v>0</v>
      </c>
      <c r="G1717" s="11">
        <f t="shared" si="260"/>
        <v>0</v>
      </c>
      <c r="H1717" s="11">
        <f t="shared" si="261"/>
        <v>0</v>
      </c>
      <c r="I1717" s="11">
        <f t="shared" si="262"/>
        <v>0</v>
      </c>
      <c r="J1717" s="12">
        <f t="shared" si="263"/>
        <v>0</v>
      </c>
      <c r="K1717" s="17" t="str">
        <f t="shared" si="268"/>
        <v>Pas d'écart</v>
      </c>
      <c r="L1717" s="16">
        <f>base!X1717</f>
        <v>0</v>
      </c>
      <c r="M1717" s="11">
        <f t="shared" si="264"/>
        <v>0</v>
      </c>
      <c r="N1717" s="11">
        <f t="shared" si="265"/>
        <v>0</v>
      </c>
      <c r="O1717" s="11">
        <f t="shared" si="266"/>
        <v>0</v>
      </c>
      <c r="P1717" s="12">
        <f t="shared" si="267"/>
        <v>0</v>
      </c>
      <c r="Q1717" s="17" t="str">
        <f t="shared" si="269"/>
        <v>Pas d'écart</v>
      </c>
    </row>
    <row r="1718" spans="1:18" x14ac:dyDescent="0.3">
      <c r="A1718" s="34" t="str">
        <f>base!J1718</f>
        <v>RM</v>
      </c>
      <c r="B1718" s="34" t="str">
        <f>base!V1718</f>
        <v>78190</v>
      </c>
      <c r="C1718" s="37">
        <v>78</v>
      </c>
      <c r="D1718" s="36">
        <f>base!H1718</f>
        <v>315.88</v>
      </c>
      <c r="E1718" s="44"/>
      <c r="F1718" s="16">
        <f>base!W1718</f>
        <v>0</v>
      </c>
      <c r="G1718" s="11">
        <f t="shared" si="260"/>
        <v>0</v>
      </c>
      <c r="H1718" s="11">
        <f t="shared" si="261"/>
        <v>0</v>
      </c>
      <c r="I1718" s="11">
        <f t="shared" si="262"/>
        <v>0</v>
      </c>
      <c r="J1718" s="12">
        <f t="shared" si="263"/>
        <v>0</v>
      </c>
      <c r="K1718" s="17" t="str">
        <f t="shared" si="268"/>
        <v>Pas d'écart</v>
      </c>
      <c r="L1718" s="16">
        <f>base!X1718</f>
        <v>0</v>
      </c>
      <c r="M1718" s="11">
        <f t="shared" si="264"/>
        <v>0</v>
      </c>
      <c r="N1718" s="11">
        <f t="shared" si="265"/>
        <v>0</v>
      </c>
      <c r="O1718" s="11">
        <f t="shared" si="266"/>
        <v>0</v>
      </c>
      <c r="P1718" s="12">
        <f t="shared" si="267"/>
        <v>0</v>
      </c>
      <c r="Q1718" s="17" t="str">
        <f t="shared" si="269"/>
        <v>Pas d'écart</v>
      </c>
    </row>
    <row r="1719" spans="1:18" x14ac:dyDescent="0.3">
      <c r="A1719" s="34" t="str">
        <f>base!J1719</f>
        <v>RM</v>
      </c>
      <c r="B1719" s="34" t="str">
        <f>base!V1719</f>
        <v>78190</v>
      </c>
      <c r="C1719" s="37">
        <v>78</v>
      </c>
      <c r="D1719" s="36">
        <f>base!H1719</f>
        <v>181.2</v>
      </c>
      <c r="E1719" s="44"/>
      <c r="F1719" s="16">
        <f>base!W1719</f>
        <v>0</v>
      </c>
      <c r="G1719" s="11">
        <f t="shared" si="260"/>
        <v>0</v>
      </c>
      <c r="H1719" s="11">
        <f t="shared" si="261"/>
        <v>0</v>
      </c>
      <c r="I1719" s="11">
        <f t="shared" si="262"/>
        <v>0</v>
      </c>
      <c r="J1719" s="12">
        <f t="shared" si="263"/>
        <v>0</v>
      </c>
      <c r="K1719" s="17" t="str">
        <f t="shared" si="268"/>
        <v>Pas d'écart</v>
      </c>
      <c r="L1719" s="16">
        <f>base!X1719</f>
        <v>0</v>
      </c>
      <c r="M1719" s="11">
        <f t="shared" si="264"/>
        <v>0</v>
      </c>
      <c r="N1719" s="11">
        <f t="shared" si="265"/>
        <v>0</v>
      </c>
      <c r="O1719" s="11">
        <f t="shared" si="266"/>
        <v>0</v>
      </c>
      <c r="P1719" s="12">
        <f t="shared" si="267"/>
        <v>0</v>
      </c>
      <c r="Q1719" s="17" t="str">
        <f t="shared" si="269"/>
        <v>Pas d'écart</v>
      </c>
    </row>
    <row r="1720" spans="1:18" x14ac:dyDescent="0.3">
      <c r="A1720" s="34" t="str">
        <f>base!J1720</f>
        <v>DRS</v>
      </c>
      <c r="B1720" s="34" t="str">
        <f>base!V1720</f>
        <v>91550</v>
      </c>
      <c r="C1720" s="37">
        <v>91</v>
      </c>
      <c r="D1720" s="36">
        <f>base!H1720</f>
        <v>171.65</v>
      </c>
      <c r="E1720" s="44"/>
      <c r="F1720" s="16">
        <f>base!W1720</f>
        <v>0</v>
      </c>
      <c r="G1720" s="11">
        <f t="shared" si="260"/>
        <v>0</v>
      </c>
      <c r="H1720" s="11">
        <f t="shared" si="261"/>
        <v>0</v>
      </c>
      <c r="I1720" s="11">
        <f t="shared" si="262"/>
        <v>0</v>
      </c>
      <c r="J1720" s="12">
        <f t="shared" si="263"/>
        <v>0</v>
      </c>
      <c r="K1720" s="17" t="str">
        <f t="shared" si="268"/>
        <v>Pas d'écart</v>
      </c>
      <c r="L1720" s="16">
        <f>base!X1720</f>
        <v>0</v>
      </c>
      <c r="M1720" s="11">
        <f t="shared" si="264"/>
        <v>0</v>
      </c>
      <c r="N1720" s="11">
        <f t="shared" si="265"/>
        <v>0</v>
      </c>
      <c r="O1720" s="11">
        <f t="shared" si="266"/>
        <v>0</v>
      </c>
      <c r="P1720" s="12">
        <f t="shared" si="267"/>
        <v>0</v>
      </c>
      <c r="Q1720" s="17" t="str">
        <f t="shared" si="269"/>
        <v>Pas d'écart</v>
      </c>
    </row>
    <row r="1721" spans="1:18" x14ac:dyDescent="0.3">
      <c r="A1721" s="34" t="str">
        <f>base!J1721</f>
        <v>DRS</v>
      </c>
      <c r="B1721" s="34" t="str">
        <f>base!V1721</f>
        <v>75116</v>
      </c>
      <c r="C1721" s="37">
        <v>75</v>
      </c>
      <c r="D1721" s="36">
        <f>base!H1721</f>
        <v>140</v>
      </c>
      <c r="E1721" s="44"/>
      <c r="F1721" s="16">
        <f>base!W1721</f>
        <v>0</v>
      </c>
      <c r="G1721" s="11">
        <f t="shared" si="260"/>
        <v>0</v>
      </c>
      <c r="H1721" s="11">
        <f t="shared" si="261"/>
        <v>0</v>
      </c>
      <c r="I1721" s="11">
        <f t="shared" si="262"/>
        <v>0</v>
      </c>
      <c r="J1721" s="12">
        <f t="shared" si="263"/>
        <v>0</v>
      </c>
      <c r="K1721" s="17" t="str">
        <f t="shared" si="268"/>
        <v>Pas d'écart</v>
      </c>
      <c r="L1721" s="16">
        <f>base!X1721</f>
        <v>0</v>
      </c>
      <c r="M1721" s="11">
        <f t="shared" si="264"/>
        <v>0</v>
      </c>
      <c r="N1721" s="11">
        <f t="shared" si="265"/>
        <v>0</v>
      </c>
      <c r="O1721" s="11">
        <f t="shared" si="266"/>
        <v>0</v>
      </c>
      <c r="P1721" s="12">
        <f t="shared" si="267"/>
        <v>0</v>
      </c>
      <c r="Q1721" s="17" t="str">
        <f t="shared" si="269"/>
        <v>Pas d'écart</v>
      </c>
    </row>
    <row r="1722" spans="1:18" x14ac:dyDescent="0.3">
      <c r="A1722" s="34" t="str">
        <f>base!J1722</f>
        <v>DRM</v>
      </c>
      <c r="B1722" s="34" t="str">
        <f>base!V1722</f>
        <v>75116</v>
      </c>
      <c r="C1722" s="37">
        <v>75</v>
      </c>
      <c r="D1722" s="36">
        <f>base!H1722</f>
        <v>40</v>
      </c>
      <c r="E1722" s="44"/>
      <c r="F1722" s="16">
        <f>base!W1722</f>
        <v>0</v>
      </c>
      <c r="G1722" s="11">
        <f t="shared" si="260"/>
        <v>0</v>
      </c>
      <c r="H1722" s="11">
        <f t="shared" si="261"/>
        <v>0</v>
      </c>
      <c r="I1722" s="11">
        <f t="shared" si="262"/>
        <v>0</v>
      </c>
      <c r="J1722" s="12">
        <f t="shared" si="263"/>
        <v>0</v>
      </c>
      <c r="K1722" s="17" t="str">
        <f t="shared" si="268"/>
        <v>Pas d'écart</v>
      </c>
      <c r="L1722" s="16">
        <f>base!X1722</f>
        <v>0</v>
      </c>
      <c r="M1722" s="11">
        <f t="shared" si="264"/>
        <v>0</v>
      </c>
      <c r="N1722" s="11">
        <f t="shared" si="265"/>
        <v>0</v>
      </c>
      <c r="O1722" s="11">
        <f t="shared" si="266"/>
        <v>0</v>
      </c>
      <c r="P1722" s="12">
        <f t="shared" si="267"/>
        <v>0</v>
      </c>
      <c r="Q1722" s="17" t="str">
        <f t="shared" si="269"/>
        <v>Pas d'écart</v>
      </c>
    </row>
    <row r="1723" spans="1:18" x14ac:dyDescent="0.3">
      <c r="A1723" s="34" t="str">
        <f>base!J1723</f>
        <v>RS</v>
      </c>
      <c r="B1723" s="34" t="str">
        <f>base!V1723</f>
        <v>67670</v>
      </c>
      <c r="C1723" s="37">
        <v>67</v>
      </c>
      <c r="D1723" s="36">
        <f>base!H1723</f>
        <v>40</v>
      </c>
      <c r="E1723" s="44"/>
      <c r="F1723" s="16">
        <f>base!W1723</f>
        <v>0</v>
      </c>
      <c r="G1723" s="11">
        <f t="shared" si="260"/>
        <v>0</v>
      </c>
      <c r="H1723" s="11">
        <f t="shared" si="261"/>
        <v>11.6</v>
      </c>
      <c r="I1723" s="11">
        <f t="shared" si="262"/>
        <v>0.28999999999999998</v>
      </c>
      <c r="J1723" s="12">
        <f t="shared" si="263"/>
        <v>-11.6</v>
      </c>
      <c r="K1723" s="17" t="str">
        <f t="shared" si="268"/>
        <v>Ecart négatif</v>
      </c>
      <c r="L1723" s="16">
        <f>base!X1723</f>
        <v>3.2</v>
      </c>
      <c r="M1723" s="11">
        <f t="shared" si="264"/>
        <v>0.08</v>
      </c>
      <c r="N1723" s="11">
        <f t="shared" si="265"/>
        <v>3.2</v>
      </c>
      <c r="O1723" s="11">
        <f t="shared" si="266"/>
        <v>0.08</v>
      </c>
      <c r="P1723" s="12">
        <f t="shared" si="267"/>
        <v>0</v>
      </c>
      <c r="Q1723" s="17" t="str">
        <f t="shared" si="269"/>
        <v>Pas d'écart</v>
      </c>
      <c r="R1723" s="38"/>
    </row>
    <row r="1724" spans="1:18" x14ac:dyDescent="0.3">
      <c r="A1724" s="34" t="str">
        <f>base!J1724</f>
        <v>RS</v>
      </c>
      <c r="B1724" s="34" t="str">
        <f>base!V1724</f>
        <v>69005</v>
      </c>
      <c r="C1724" s="37">
        <v>69</v>
      </c>
      <c r="D1724" s="36">
        <f>base!H1724</f>
        <v>151</v>
      </c>
      <c r="E1724" s="44"/>
      <c r="F1724" s="16">
        <f>base!W1724</f>
        <v>0</v>
      </c>
      <c r="G1724" s="11">
        <f t="shared" si="260"/>
        <v>0</v>
      </c>
      <c r="H1724" s="11">
        <f t="shared" si="261"/>
        <v>40.770000000000003</v>
      </c>
      <c r="I1724" s="11">
        <f t="shared" si="262"/>
        <v>0.27</v>
      </c>
      <c r="J1724" s="12">
        <f t="shared" si="263"/>
        <v>-40.770000000000003</v>
      </c>
      <c r="K1724" s="17" t="str">
        <f t="shared" si="268"/>
        <v>Ecart négatif</v>
      </c>
      <c r="L1724" s="16">
        <f>base!X1724</f>
        <v>0</v>
      </c>
      <c r="M1724" s="11">
        <f t="shared" si="264"/>
        <v>0</v>
      </c>
      <c r="N1724" s="11">
        <f t="shared" si="265"/>
        <v>0</v>
      </c>
      <c r="O1724" s="11">
        <f t="shared" si="266"/>
        <v>0</v>
      </c>
      <c r="P1724" s="12">
        <f t="shared" si="267"/>
        <v>0</v>
      </c>
      <c r="Q1724" s="17" t="str">
        <f t="shared" si="269"/>
        <v>Pas d'écart</v>
      </c>
    </row>
    <row r="1725" spans="1:18" x14ac:dyDescent="0.3">
      <c r="A1725" s="34" t="str">
        <f>base!J1725</f>
        <v>LS</v>
      </c>
      <c r="B1725" s="34" t="str">
        <f>base!V1725</f>
        <v>14200</v>
      </c>
      <c r="C1725" s="37">
        <v>8</v>
      </c>
      <c r="D1725" s="36">
        <f>base!H1725</f>
        <v>43.44</v>
      </c>
      <c r="E1725" s="44"/>
      <c r="F1725" s="16">
        <f>base!W1725</f>
        <v>7.38</v>
      </c>
      <c r="G1725" s="11">
        <f t="shared" si="260"/>
        <v>0.16988950276243095</v>
      </c>
      <c r="H1725" s="11">
        <f t="shared" si="261"/>
        <v>7.8191999999999995</v>
      </c>
      <c r="I1725" s="11">
        <f t="shared" si="262"/>
        <v>0.18</v>
      </c>
      <c r="J1725" s="12">
        <f t="shared" si="263"/>
        <v>-0.43919999999999959</v>
      </c>
      <c r="K1725" s="17" t="str">
        <f t="shared" si="268"/>
        <v>Ecart négatif</v>
      </c>
      <c r="L1725" s="16">
        <f>base!X1725</f>
        <v>0</v>
      </c>
      <c r="M1725" s="11">
        <f t="shared" si="264"/>
        <v>0</v>
      </c>
      <c r="N1725" s="11">
        <f t="shared" si="265"/>
        <v>0</v>
      </c>
      <c r="O1725" s="11">
        <f t="shared" si="266"/>
        <v>0</v>
      </c>
      <c r="P1725" s="12">
        <f t="shared" si="267"/>
        <v>0</v>
      </c>
      <c r="Q1725" s="17" t="str">
        <f t="shared" si="269"/>
        <v>Pas d'écart</v>
      </c>
    </row>
    <row r="1726" spans="1:18" x14ac:dyDescent="0.3">
      <c r="A1726" s="34" t="str">
        <f>base!J1726</f>
        <v>LS</v>
      </c>
      <c r="B1726" s="34" t="str">
        <f>base!V1726</f>
        <v>30132</v>
      </c>
      <c r="C1726" s="37">
        <v>59</v>
      </c>
      <c r="D1726" s="36">
        <f>base!H1726</f>
        <v>14.2</v>
      </c>
      <c r="E1726" s="44"/>
      <c r="F1726" s="16">
        <f>base!W1726</f>
        <v>5.54</v>
      </c>
      <c r="G1726" s="11">
        <f t="shared" si="260"/>
        <v>0.39014084507042257</v>
      </c>
      <c r="H1726" s="11">
        <f t="shared" si="261"/>
        <v>2.698</v>
      </c>
      <c r="I1726" s="11">
        <f t="shared" si="262"/>
        <v>0.19</v>
      </c>
      <c r="J1726" s="12">
        <f t="shared" si="263"/>
        <v>2.8420000000000001</v>
      </c>
      <c r="K1726" s="17" t="str">
        <f t="shared" si="268"/>
        <v>Ecart positif</v>
      </c>
      <c r="L1726" s="16">
        <f>base!X1726</f>
        <v>0</v>
      </c>
      <c r="M1726" s="11">
        <f t="shared" si="264"/>
        <v>0</v>
      </c>
      <c r="N1726" s="11">
        <f t="shared" si="265"/>
        <v>0</v>
      </c>
      <c r="O1726" s="11">
        <f t="shared" si="266"/>
        <v>0</v>
      </c>
      <c r="P1726" s="12">
        <f t="shared" si="267"/>
        <v>0</v>
      </c>
      <c r="Q1726" s="17" t="str">
        <f t="shared" si="269"/>
        <v>Pas d'écart</v>
      </c>
    </row>
    <row r="1727" spans="1:18" x14ac:dyDescent="0.3">
      <c r="A1727" s="34" t="str">
        <f>base!J1727</f>
        <v>DRS</v>
      </c>
      <c r="B1727" s="34" t="str">
        <f>base!V1727</f>
        <v>85260</v>
      </c>
      <c r="C1727" s="37">
        <v>85</v>
      </c>
      <c r="D1727" s="36">
        <f>base!H1727</f>
        <v>70</v>
      </c>
      <c r="E1727" s="44"/>
      <c r="F1727" s="16">
        <f>base!W1727</f>
        <v>0</v>
      </c>
      <c r="G1727" s="11">
        <f t="shared" si="260"/>
        <v>0</v>
      </c>
      <c r="H1727" s="11">
        <f t="shared" si="261"/>
        <v>18.900000000000002</v>
      </c>
      <c r="I1727" s="11">
        <f t="shared" si="262"/>
        <v>0.27</v>
      </c>
      <c r="J1727" s="12">
        <f t="shared" si="263"/>
        <v>-18.900000000000002</v>
      </c>
      <c r="K1727" s="17" t="str">
        <f t="shared" si="268"/>
        <v>Ecart négatif</v>
      </c>
      <c r="L1727" s="16">
        <f>base!X1727</f>
        <v>0</v>
      </c>
      <c r="M1727" s="11">
        <f t="shared" si="264"/>
        <v>0</v>
      </c>
      <c r="N1727" s="11">
        <f t="shared" si="265"/>
        <v>0</v>
      </c>
      <c r="O1727" s="11">
        <f t="shared" si="266"/>
        <v>0</v>
      </c>
      <c r="P1727" s="12">
        <f t="shared" si="267"/>
        <v>0</v>
      </c>
      <c r="Q1727" s="17" t="str">
        <f t="shared" si="269"/>
        <v>Pas d'écart</v>
      </c>
    </row>
    <row r="1728" spans="1:18" x14ac:dyDescent="0.3">
      <c r="A1728" s="34" t="str">
        <f>base!J1728</f>
        <v>RS</v>
      </c>
      <c r="B1728" s="34" t="str">
        <f>base!V1728</f>
        <v>13500</v>
      </c>
      <c r="C1728" s="37">
        <v>13</v>
      </c>
      <c r="D1728" s="36">
        <f>base!H1728</f>
        <v>140</v>
      </c>
      <c r="E1728" s="44"/>
      <c r="F1728" s="16">
        <f>base!W1728</f>
        <v>0</v>
      </c>
      <c r="G1728" s="11">
        <f t="shared" si="260"/>
        <v>0</v>
      </c>
      <c r="H1728" s="11">
        <f t="shared" si="261"/>
        <v>40.599999999999994</v>
      </c>
      <c r="I1728" s="11">
        <f t="shared" si="262"/>
        <v>0.28999999999999998</v>
      </c>
      <c r="J1728" s="12">
        <f t="shared" si="263"/>
        <v>-40.599999999999994</v>
      </c>
      <c r="K1728" s="17" t="str">
        <f t="shared" si="268"/>
        <v>Ecart négatif</v>
      </c>
      <c r="L1728" s="16">
        <f>base!X1728</f>
        <v>0</v>
      </c>
      <c r="M1728" s="11">
        <f t="shared" si="264"/>
        <v>0</v>
      </c>
      <c r="N1728" s="11">
        <f t="shared" si="265"/>
        <v>26.6</v>
      </c>
      <c r="O1728" s="11">
        <f t="shared" si="266"/>
        <v>0.19</v>
      </c>
      <c r="P1728" s="12">
        <f t="shared" si="267"/>
        <v>-26.6</v>
      </c>
      <c r="Q1728" s="17" t="str">
        <f t="shared" si="269"/>
        <v>Ecart négatif</v>
      </c>
    </row>
    <row r="1729" spans="1:18" x14ac:dyDescent="0.3">
      <c r="A1729" s="34" t="str">
        <f>base!J1729</f>
        <v>RS</v>
      </c>
      <c r="B1729" s="34" t="str">
        <f>base!V1729</f>
        <v>13620</v>
      </c>
      <c r="C1729" s="37">
        <v>13</v>
      </c>
      <c r="D1729" s="36">
        <f>base!H1729</f>
        <v>140</v>
      </c>
      <c r="E1729" s="44"/>
      <c r="F1729" s="16">
        <f>base!W1729</f>
        <v>0</v>
      </c>
      <c r="G1729" s="11">
        <f t="shared" si="260"/>
        <v>0</v>
      </c>
      <c r="H1729" s="11">
        <f t="shared" si="261"/>
        <v>40.599999999999994</v>
      </c>
      <c r="I1729" s="11">
        <f t="shared" si="262"/>
        <v>0.28999999999999998</v>
      </c>
      <c r="J1729" s="12">
        <f t="shared" si="263"/>
        <v>-40.599999999999994</v>
      </c>
      <c r="K1729" s="17" t="str">
        <f t="shared" si="268"/>
        <v>Ecart négatif</v>
      </c>
      <c r="L1729" s="16">
        <f>base!X1729</f>
        <v>0</v>
      </c>
      <c r="M1729" s="11">
        <f t="shared" si="264"/>
        <v>0</v>
      </c>
      <c r="N1729" s="11">
        <f t="shared" si="265"/>
        <v>26.6</v>
      </c>
      <c r="O1729" s="11">
        <f t="shared" si="266"/>
        <v>0.19</v>
      </c>
      <c r="P1729" s="12">
        <f t="shared" si="267"/>
        <v>-26.6</v>
      </c>
      <c r="Q1729" s="17" t="str">
        <f t="shared" si="269"/>
        <v>Ecart négatif</v>
      </c>
    </row>
    <row r="1730" spans="1:18" x14ac:dyDescent="0.3">
      <c r="A1730" s="34" t="str">
        <f>base!J1730</f>
        <v>RS</v>
      </c>
      <c r="B1730" s="34" t="str">
        <f>base!V1730</f>
        <v>73300</v>
      </c>
      <c r="C1730" s="37">
        <v>73</v>
      </c>
      <c r="D1730" s="36">
        <f>base!H1730</f>
        <v>140</v>
      </c>
      <c r="E1730" s="44"/>
      <c r="F1730" s="16">
        <f>base!W1730</f>
        <v>0</v>
      </c>
      <c r="G1730" s="11">
        <f t="shared" ref="G1730:G1793" si="270">F1730/D1730</f>
        <v>0</v>
      </c>
      <c r="H1730" s="11">
        <f t="shared" ref="H1730:H1793" si="271">VLOOKUP(C1730,tout_cout_traction,2,FALSE)*D1730</f>
        <v>37.800000000000004</v>
      </c>
      <c r="I1730" s="11">
        <f t="shared" ref="I1730:I1793" si="272">H1730/D1730</f>
        <v>0.27</v>
      </c>
      <c r="J1730" s="12">
        <f t="shared" ref="J1730:J1793" si="273">F1730-H1730</f>
        <v>-37.800000000000004</v>
      </c>
      <c r="K1730" s="17" t="str">
        <f t="shared" si="268"/>
        <v>Ecart négatif</v>
      </c>
      <c r="L1730" s="16">
        <f>base!X1730</f>
        <v>0</v>
      </c>
      <c r="M1730" s="11">
        <f t="shared" ref="M1730:M1793" si="274">L1730/D1730</f>
        <v>0</v>
      </c>
      <c r="N1730" s="11">
        <f t="shared" ref="N1730:N1793" si="275">VLOOKUP(C1730,tout_cout_traction,3,FALSE)*D1730</f>
        <v>0</v>
      </c>
      <c r="O1730" s="11">
        <f t="shared" ref="O1730:O1793" si="276">N1730/D1730</f>
        <v>0</v>
      </c>
      <c r="P1730" s="12">
        <f t="shared" ref="P1730:P1793" si="277">L1730-N1730</f>
        <v>0</v>
      </c>
      <c r="Q1730" s="17" t="str">
        <f t="shared" si="269"/>
        <v>Pas d'écart</v>
      </c>
    </row>
    <row r="1731" spans="1:18" x14ac:dyDescent="0.3">
      <c r="A1731" s="34" t="str">
        <f>base!J1731</f>
        <v>RM</v>
      </c>
      <c r="B1731" s="34" t="str">
        <f>base!V1731</f>
        <v>75009</v>
      </c>
      <c r="C1731" s="37">
        <v>75</v>
      </c>
      <c r="D1731" s="36">
        <f>base!H1731</f>
        <v>30.1</v>
      </c>
      <c r="E1731" s="44"/>
      <c r="F1731" s="16">
        <f>base!W1731</f>
        <v>0</v>
      </c>
      <c r="G1731" s="11">
        <f t="shared" si="270"/>
        <v>0</v>
      </c>
      <c r="H1731" s="11">
        <f t="shared" si="271"/>
        <v>0</v>
      </c>
      <c r="I1731" s="11">
        <f t="shared" si="272"/>
        <v>0</v>
      </c>
      <c r="J1731" s="12">
        <f t="shared" si="273"/>
        <v>0</v>
      </c>
      <c r="K1731" s="17" t="str">
        <f t="shared" ref="K1731:K1794" si="278">IF(H1731=F1731,"Pas d'écart",IF(H1731&lt;F1731,"Ecart positif",IF(H1731&gt;F1731,"Ecart négatif")))</f>
        <v>Pas d'écart</v>
      </c>
      <c r="L1731" s="16">
        <f>base!X1731</f>
        <v>0</v>
      </c>
      <c r="M1731" s="11">
        <f t="shared" si="274"/>
        <v>0</v>
      </c>
      <c r="N1731" s="11">
        <f t="shared" si="275"/>
        <v>0</v>
      </c>
      <c r="O1731" s="11">
        <f t="shared" si="276"/>
        <v>0</v>
      </c>
      <c r="P1731" s="12">
        <f t="shared" si="277"/>
        <v>0</v>
      </c>
      <c r="Q1731" s="17" t="str">
        <f t="shared" ref="Q1731:Q1794" si="279">IF(N1731=L1731,"Pas d'écart",IF(N1731&lt;L1731,"Ecart positif",IF(N1731&gt;L1731,"Ecart négatif")))</f>
        <v>Pas d'écart</v>
      </c>
    </row>
    <row r="1732" spans="1:18" x14ac:dyDescent="0.3">
      <c r="A1732" s="34" t="str">
        <f>base!J1732</f>
        <v>DLM</v>
      </c>
      <c r="B1732" s="34" t="str">
        <f>base!V1732</f>
        <v>57550</v>
      </c>
      <c r="C1732" s="37">
        <v>57</v>
      </c>
      <c r="D1732" s="36">
        <f>base!H1732</f>
        <v>151</v>
      </c>
      <c r="E1732" s="44"/>
      <c r="F1732" s="16">
        <f>base!W1732</f>
        <v>37.75</v>
      </c>
      <c r="G1732" s="11">
        <f t="shared" si="270"/>
        <v>0.25</v>
      </c>
      <c r="H1732" s="11">
        <f t="shared" si="271"/>
        <v>36.24</v>
      </c>
      <c r="I1732" s="11">
        <f t="shared" si="272"/>
        <v>0.24000000000000002</v>
      </c>
      <c r="J1732" s="12">
        <f t="shared" si="273"/>
        <v>1.509999999999998</v>
      </c>
      <c r="K1732" s="17" t="str">
        <f t="shared" si="278"/>
        <v>Ecart positif</v>
      </c>
      <c r="L1732" s="16">
        <f>base!X1732</f>
        <v>0</v>
      </c>
      <c r="M1732" s="11">
        <f t="shared" si="274"/>
        <v>0</v>
      </c>
      <c r="N1732" s="11">
        <f t="shared" si="275"/>
        <v>37.75</v>
      </c>
      <c r="O1732" s="11">
        <f t="shared" si="276"/>
        <v>0.25</v>
      </c>
      <c r="P1732" s="12">
        <f t="shared" si="277"/>
        <v>-37.75</v>
      </c>
      <c r="Q1732" s="17" t="str">
        <f t="shared" si="279"/>
        <v>Ecart négatif</v>
      </c>
    </row>
    <row r="1733" spans="1:18" x14ac:dyDescent="0.3">
      <c r="A1733" s="34" t="str">
        <f>base!J1733</f>
        <v>RS</v>
      </c>
      <c r="B1733" s="34" t="str">
        <f>base!V1733</f>
        <v>11100</v>
      </c>
      <c r="C1733" s="37">
        <v>11</v>
      </c>
      <c r="D1733" s="36">
        <f>base!H1733</f>
        <v>180</v>
      </c>
      <c r="E1733" s="44"/>
      <c r="F1733" s="16">
        <f>base!W1733</f>
        <v>0</v>
      </c>
      <c r="G1733" s="11">
        <f t="shared" si="270"/>
        <v>0</v>
      </c>
      <c r="H1733" s="11">
        <f t="shared" si="271"/>
        <v>64.8</v>
      </c>
      <c r="I1733" s="11">
        <f t="shared" si="272"/>
        <v>0.36</v>
      </c>
      <c r="J1733" s="12">
        <f t="shared" si="273"/>
        <v>-64.8</v>
      </c>
      <c r="K1733" s="17" t="str">
        <f t="shared" si="278"/>
        <v>Ecart négatif</v>
      </c>
      <c r="L1733" s="16">
        <f>base!X1733</f>
        <v>0</v>
      </c>
      <c r="M1733" s="11">
        <f t="shared" si="274"/>
        <v>0</v>
      </c>
      <c r="N1733" s="11">
        <f t="shared" si="275"/>
        <v>50.400000000000006</v>
      </c>
      <c r="O1733" s="11">
        <f t="shared" si="276"/>
        <v>0.28000000000000003</v>
      </c>
      <c r="P1733" s="12">
        <f t="shared" si="277"/>
        <v>-50.400000000000006</v>
      </c>
      <c r="Q1733" s="17" t="str">
        <f t="shared" si="279"/>
        <v>Ecart négatif</v>
      </c>
    </row>
    <row r="1734" spans="1:18" x14ac:dyDescent="0.3">
      <c r="A1734" s="34" t="str">
        <f>base!J1734</f>
        <v>RM</v>
      </c>
      <c r="B1734" s="34" t="str">
        <f>base!V1734</f>
        <v>88000</v>
      </c>
      <c r="C1734" s="37">
        <v>88</v>
      </c>
      <c r="D1734" s="36">
        <f>base!H1734</f>
        <v>166.98</v>
      </c>
      <c r="E1734" s="44"/>
      <c r="F1734" s="16">
        <f>base!W1734</f>
        <v>0</v>
      </c>
      <c r="G1734" s="11">
        <f t="shared" si="270"/>
        <v>0</v>
      </c>
      <c r="H1734" s="11">
        <f t="shared" si="271"/>
        <v>46.754400000000004</v>
      </c>
      <c r="I1734" s="11">
        <f t="shared" si="272"/>
        <v>0.28000000000000003</v>
      </c>
      <c r="J1734" s="12">
        <f t="shared" si="273"/>
        <v>-46.754400000000004</v>
      </c>
      <c r="K1734" s="17" t="str">
        <f t="shared" si="278"/>
        <v>Ecart négatif</v>
      </c>
      <c r="L1734" s="16">
        <f>base!X1734</f>
        <v>13.36</v>
      </c>
      <c r="M1734" s="11">
        <f t="shared" si="274"/>
        <v>8.0009581985866579E-2</v>
      </c>
      <c r="N1734" s="11">
        <f t="shared" si="275"/>
        <v>13.3584</v>
      </c>
      <c r="O1734" s="11">
        <f t="shared" si="276"/>
        <v>0.08</v>
      </c>
      <c r="P1734" s="12">
        <f t="shared" si="277"/>
        <v>1.5999999999998238E-3</v>
      </c>
      <c r="Q1734" s="17" t="str">
        <f t="shared" si="279"/>
        <v>Ecart positif</v>
      </c>
      <c r="R1734" s="38"/>
    </row>
    <row r="1735" spans="1:18" x14ac:dyDescent="0.3">
      <c r="A1735" s="34" t="str">
        <f>base!J1735</f>
        <v>RM</v>
      </c>
      <c r="B1735" s="34" t="str">
        <f>base!V1735</f>
        <v>70000</v>
      </c>
      <c r="C1735" s="37">
        <v>70</v>
      </c>
      <c r="D1735" s="36">
        <f>base!H1735</f>
        <v>37.5</v>
      </c>
      <c r="E1735" s="44"/>
      <c r="F1735" s="16">
        <f>base!W1735</f>
        <v>0</v>
      </c>
      <c r="G1735" s="11">
        <f t="shared" si="270"/>
        <v>0</v>
      </c>
      <c r="H1735" s="11">
        <f t="shared" si="271"/>
        <v>9</v>
      </c>
      <c r="I1735" s="11">
        <f t="shared" si="272"/>
        <v>0.24</v>
      </c>
      <c r="J1735" s="12">
        <f t="shared" si="273"/>
        <v>-9</v>
      </c>
      <c r="K1735" s="17" t="str">
        <f t="shared" si="278"/>
        <v>Ecart négatif</v>
      </c>
      <c r="L1735" s="16">
        <f>base!X1735</f>
        <v>0</v>
      </c>
      <c r="M1735" s="11">
        <f t="shared" si="274"/>
        <v>0</v>
      </c>
      <c r="N1735" s="11">
        <f t="shared" si="275"/>
        <v>4.5</v>
      </c>
      <c r="O1735" s="11">
        <f t="shared" si="276"/>
        <v>0.12</v>
      </c>
      <c r="P1735" s="12">
        <f t="shared" si="277"/>
        <v>-4.5</v>
      </c>
      <c r="Q1735" s="17" t="str">
        <f t="shared" si="279"/>
        <v>Ecart négatif</v>
      </c>
    </row>
    <row r="1736" spans="1:18" x14ac:dyDescent="0.3">
      <c r="A1736" s="34" t="str">
        <f>base!J1736</f>
        <v>RM</v>
      </c>
      <c r="B1736" s="34" t="str">
        <f>base!V1736</f>
        <v>70000</v>
      </c>
      <c r="C1736" s="37">
        <v>70</v>
      </c>
      <c r="D1736" s="36">
        <f>base!H1736</f>
        <v>22.5</v>
      </c>
      <c r="E1736" s="44"/>
      <c r="F1736" s="16">
        <f>base!W1736</f>
        <v>0</v>
      </c>
      <c r="G1736" s="11">
        <f t="shared" si="270"/>
        <v>0</v>
      </c>
      <c r="H1736" s="11">
        <f t="shared" si="271"/>
        <v>5.3999999999999995</v>
      </c>
      <c r="I1736" s="11">
        <f t="shared" si="272"/>
        <v>0.23999999999999996</v>
      </c>
      <c r="J1736" s="12">
        <f t="shared" si="273"/>
        <v>-5.3999999999999995</v>
      </c>
      <c r="K1736" s="17" t="str">
        <f t="shared" si="278"/>
        <v>Ecart négatif</v>
      </c>
      <c r="L1736" s="16">
        <f>base!X1736</f>
        <v>0</v>
      </c>
      <c r="M1736" s="11">
        <f t="shared" si="274"/>
        <v>0</v>
      </c>
      <c r="N1736" s="11">
        <f t="shared" si="275"/>
        <v>2.6999999999999997</v>
      </c>
      <c r="O1736" s="11">
        <f t="shared" si="276"/>
        <v>0.11999999999999998</v>
      </c>
      <c r="P1736" s="12">
        <f t="shared" si="277"/>
        <v>-2.6999999999999997</v>
      </c>
      <c r="Q1736" s="17" t="str">
        <f t="shared" si="279"/>
        <v>Ecart négatif</v>
      </c>
    </row>
    <row r="1737" spans="1:18" x14ac:dyDescent="0.3">
      <c r="A1737" s="34" t="str">
        <f>base!J1737</f>
        <v>RM</v>
      </c>
      <c r="B1737" s="34" t="str">
        <f>base!V1737</f>
        <v>41000</v>
      </c>
      <c r="C1737" s="37">
        <v>41</v>
      </c>
      <c r="D1737" s="36">
        <f>base!H1737</f>
        <v>40</v>
      </c>
      <c r="E1737" s="44"/>
      <c r="F1737" s="16">
        <f>base!W1737</f>
        <v>0</v>
      </c>
      <c r="G1737" s="11">
        <f t="shared" si="270"/>
        <v>0</v>
      </c>
      <c r="H1737" s="11">
        <f t="shared" si="271"/>
        <v>8.4</v>
      </c>
      <c r="I1737" s="11">
        <f t="shared" si="272"/>
        <v>0.21000000000000002</v>
      </c>
      <c r="J1737" s="12">
        <f t="shared" si="273"/>
        <v>-8.4</v>
      </c>
      <c r="K1737" s="17" t="str">
        <f t="shared" si="278"/>
        <v>Ecart négatif</v>
      </c>
      <c r="L1737" s="16">
        <f>base!X1737</f>
        <v>10.8</v>
      </c>
      <c r="M1737" s="11">
        <f t="shared" si="274"/>
        <v>0.27</v>
      </c>
      <c r="N1737" s="11">
        <f t="shared" si="275"/>
        <v>4.8</v>
      </c>
      <c r="O1737" s="11">
        <f t="shared" si="276"/>
        <v>0.12</v>
      </c>
      <c r="P1737" s="12">
        <f t="shared" si="277"/>
        <v>6.0000000000000009</v>
      </c>
      <c r="Q1737" s="17" t="str">
        <f t="shared" si="279"/>
        <v>Ecart positif</v>
      </c>
      <c r="R1737" s="38"/>
    </row>
    <row r="1738" spans="1:18" x14ac:dyDescent="0.3">
      <c r="A1738" s="34" t="str">
        <f>base!J1738</f>
        <v>DLM</v>
      </c>
      <c r="B1738" s="34" t="str">
        <f>base!V1738</f>
        <v>38300</v>
      </c>
      <c r="C1738" s="37">
        <v>38</v>
      </c>
      <c r="D1738" s="36">
        <f>base!H1738</f>
        <v>23.4</v>
      </c>
      <c r="E1738" s="44"/>
      <c r="F1738" s="16">
        <f>base!W1738</f>
        <v>0</v>
      </c>
      <c r="G1738" s="11">
        <f t="shared" si="270"/>
        <v>0</v>
      </c>
      <c r="H1738" s="11">
        <f t="shared" si="271"/>
        <v>6.3179999999999996</v>
      </c>
      <c r="I1738" s="11">
        <f t="shared" si="272"/>
        <v>0.27</v>
      </c>
      <c r="J1738" s="12">
        <f t="shared" si="273"/>
        <v>-6.3179999999999996</v>
      </c>
      <c r="K1738" s="17" t="str">
        <f t="shared" si="278"/>
        <v>Ecart négatif</v>
      </c>
      <c r="L1738" s="16">
        <f>base!X1738</f>
        <v>0</v>
      </c>
      <c r="M1738" s="11">
        <f t="shared" si="274"/>
        <v>0</v>
      </c>
      <c r="N1738" s="11">
        <f t="shared" si="275"/>
        <v>0</v>
      </c>
      <c r="O1738" s="11">
        <f t="shared" si="276"/>
        <v>0</v>
      </c>
      <c r="P1738" s="12">
        <f t="shared" si="277"/>
        <v>0</v>
      </c>
      <c r="Q1738" s="17" t="str">
        <f t="shared" si="279"/>
        <v>Pas d'écart</v>
      </c>
    </row>
    <row r="1739" spans="1:18" x14ac:dyDescent="0.3">
      <c r="A1739" s="34" t="str">
        <f>base!J1739</f>
        <v>RS</v>
      </c>
      <c r="B1739" s="34" t="str">
        <f>base!V1739</f>
        <v>62320</v>
      </c>
      <c r="C1739" s="37">
        <v>62</v>
      </c>
      <c r="D1739" s="36">
        <f>base!H1739</f>
        <v>180</v>
      </c>
      <c r="E1739" s="44"/>
      <c r="F1739" s="16">
        <f>base!W1739</f>
        <v>0</v>
      </c>
      <c r="G1739" s="11">
        <f t="shared" si="270"/>
        <v>0</v>
      </c>
      <c r="H1739" s="11">
        <f t="shared" si="271"/>
        <v>34.200000000000003</v>
      </c>
      <c r="I1739" s="11">
        <f t="shared" si="272"/>
        <v>0.19</v>
      </c>
      <c r="J1739" s="12">
        <f t="shared" si="273"/>
        <v>-34.200000000000003</v>
      </c>
      <c r="K1739" s="17" t="str">
        <f t="shared" si="278"/>
        <v>Ecart négatif</v>
      </c>
      <c r="L1739" s="16">
        <f>base!X1739</f>
        <v>0</v>
      </c>
      <c r="M1739" s="11">
        <f t="shared" si="274"/>
        <v>0</v>
      </c>
      <c r="N1739" s="11">
        <f t="shared" si="275"/>
        <v>0</v>
      </c>
      <c r="O1739" s="11">
        <f t="shared" si="276"/>
        <v>0</v>
      </c>
      <c r="P1739" s="12">
        <f t="shared" si="277"/>
        <v>0</v>
      </c>
      <c r="Q1739" s="17" t="str">
        <f t="shared" si="279"/>
        <v>Pas d'écart</v>
      </c>
    </row>
    <row r="1740" spans="1:18" x14ac:dyDescent="0.3">
      <c r="A1740" s="34" t="str">
        <f>base!J1740</f>
        <v>RM</v>
      </c>
      <c r="B1740" s="34" t="str">
        <f>base!V1740</f>
        <v>06560</v>
      </c>
      <c r="C1740" s="37">
        <v>6</v>
      </c>
      <c r="D1740" s="36">
        <f>base!H1740</f>
        <v>151</v>
      </c>
      <c r="E1740" s="44"/>
      <c r="F1740" s="16">
        <f>base!W1740</f>
        <v>0</v>
      </c>
      <c r="G1740" s="11">
        <f t="shared" si="270"/>
        <v>0</v>
      </c>
      <c r="H1740" s="11">
        <f t="shared" si="271"/>
        <v>45.3</v>
      </c>
      <c r="I1740" s="11">
        <f t="shared" si="272"/>
        <v>0.3</v>
      </c>
      <c r="J1740" s="12">
        <f t="shared" si="273"/>
        <v>-45.3</v>
      </c>
      <c r="K1740" s="17" t="str">
        <f t="shared" si="278"/>
        <v>Ecart négatif</v>
      </c>
      <c r="L1740" s="16">
        <f>base!X1740</f>
        <v>0</v>
      </c>
      <c r="M1740" s="11">
        <f t="shared" si="274"/>
        <v>0</v>
      </c>
      <c r="N1740" s="11">
        <f t="shared" si="275"/>
        <v>31.709999999999997</v>
      </c>
      <c r="O1740" s="11">
        <f t="shared" si="276"/>
        <v>0.21</v>
      </c>
      <c r="P1740" s="12">
        <f t="shared" si="277"/>
        <v>-31.709999999999997</v>
      </c>
      <c r="Q1740" s="17" t="str">
        <f t="shared" si="279"/>
        <v>Ecart négatif</v>
      </c>
    </row>
    <row r="1741" spans="1:18" x14ac:dyDescent="0.3">
      <c r="A1741" s="34" t="str">
        <f>base!J1741</f>
        <v>RS</v>
      </c>
      <c r="B1741" s="34" t="str">
        <f>base!V1741</f>
        <v>67100</v>
      </c>
      <c r="C1741" s="37">
        <v>67</v>
      </c>
      <c r="D1741" s="36">
        <f>base!H1741</f>
        <v>34.24</v>
      </c>
      <c r="E1741" s="44"/>
      <c r="F1741" s="16">
        <f>base!W1741</f>
        <v>0</v>
      </c>
      <c r="G1741" s="11">
        <f t="shared" si="270"/>
        <v>0</v>
      </c>
      <c r="H1741" s="11">
        <f t="shared" si="271"/>
        <v>9.9296000000000006</v>
      </c>
      <c r="I1741" s="11">
        <f t="shared" si="272"/>
        <v>0.28999999999999998</v>
      </c>
      <c r="J1741" s="12">
        <f t="shared" si="273"/>
        <v>-9.9296000000000006</v>
      </c>
      <c r="K1741" s="17" t="str">
        <f t="shared" si="278"/>
        <v>Ecart négatif</v>
      </c>
      <c r="L1741" s="16">
        <f>base!X1741</f>
        <v>2.74</v>
      </c>
      <c r="M1741" s="11">
        <f t="shared" si="274"/>
        <v>8.002336448598131E-2</v>
      </c>
      <c r="N1741" s="11">
        <f t="shared" si="275"/>
        <v>2.7392000000000003</v>
      </c>
      <c r="O1741" s="11">
        <f t="shared" si="276"/>
        <v>0.08</v>
      </c>
      <c r="P1741" s="12">
        <f t="shared" si="277"/>
        <v>7.9999999999991189E-4</v>
      </c>
      <c r="Q1741" s="17" t="str">
        <f t="shared" si="279"/>
        <v>Ecart positif</v>
      </c>
      <c r="R1741" s="38"/>
    </row>
    <row r="1742" spans="1:18" x14ac:dyDescent="0.3">
      <c r="A1742" s="34" t="str">
        <f>base!J1742</f>
        <v>LS</v>
      </c>
      <c r="B1742" s="34" t="str">
        <f>base!V1742</f>
        <v>79260</v>
      </c>
      <c r="C1742" s="37">
        <v>79</v>
      </c>
      <c r="D1742" s="36">
        <f>base!H1742</f>
        <v>0</v>
      </c>
      <c r="E1742" s="44"/>
      <c r="F1742" s="16">
        <f>base!W1742</f>
        <v>0</v>
      </c>
      <c r="G1742" s="11" t="e">
        <f t="shared" si="270"/>
        <v>#DIV/0!</v>
      </c>
      <c r="H1742" s="11">
        <f t="shared" si="271"/>
        <v>0</v>
      </c>
      <c r="I1742" s="11" t="e">
        <f t="shared" si="272"/>
        <v>#DIV/0!</v>
      </c>
      <c r="J1742" s="12">
        <f t="shared" si="273"/>
        <v>0</v>
      </c>
      <c r="K1742" s="17" t="str">
        <f t="shared" si="278"/>
        <v>Pas d'écart</v>
      </c>
      <c r="L1742" s="16">
        <f>base!X1742</f>
        <v>0</v>
      </c>
      <c r="M1742" s="11" t="e">
        <f t="shared" si="274"/>
        <v>#DIV/0!</v>
      </c>
      <c r="N1742" s="11">
        <f t="shared" si="275"/>
        <v>0</v>
      </c>
      <c r="O1742" s="11" t="e">
        <f t="shared" si="276"/>
        <v>#DIV/0!</v>
      </c>
      <c r="P1742" s="12">
        <f t="shared" si="277"/>
        <v>0</v>
      </c>
      <c r="Q1742" s="17" t="str">
        <f t="shared" si="279"/>
        <v>Pas d'écart</v>
      </c>
    </row>
    <row r="1743" spans="1:18" x14ac:dyDescent="0.3">
      <c r="A1743" s="34" t="str">
        <f>base!J1743</f>
        <v>RS</v>
      </c>
      <c r="B1743" s="34" t="str">
        <f>base!V1743</f>
        <v>37540</v>
      </c>
      <c r="C1743" s="37">
        <v>37</v>
      </c>
      <c r="D1743" s="36">
        <f>base!H1743</f>
        <v>180</v>
      </c>
      <c r="E1743" s="44"/>
      <c r="F1743" s="16">
        <f>base!W1743</f>
        <v>0</v>
      </c>
      <c r="G1743" s="11">
        <f t="shared" si="270"/>
        <v>0</v>
      </c>
      <c r="H1743" s="11">
        <f t="shared" si="271"/>
        <v>34.200000000000003</v>
      </c>
      <c r="I1743" s="11">
        <f t="shared" si="272"/>
        <v>0.19</v>
      </c>
      <c r="J1743" s="12">
        <f t="shared" si="273"/>
        <v>-34.200000000000003</v>
      </c>
      <c r="K1743" s="17" t="str">
        <f t="shared" si="278"/>
        <v>Ecart négatif</v>
      </c>
      <c r="L1743" s="16">
        <f>base!X1743</f>
        <v>0</v>
      </c>
      <c r="M1743" s="11">
        <f t="shared" si="274"/>
        <v>0</v>
      </c>
      <c r="N1743" s="11">
        <f t="shared" si="275"/>
        <v>21.599999999999998</v>
      </c>
      <c r="O1743" s="11">
        <f t="shared" si="276"/>
        <v>0.11999999999999998</v>
      </c>
      <c r="P1743" s="12">
        <f t="shared" si="277"/>
        <v>-21.599999999999998</v>
      </c>
      <c r="Q1743" s="17" t="str">
        <f t="shared" si="279"/>
        <v>Ecart négatif</v>
      </c>
    </row>
    <row r="1744" spans="1:18" x14ac:dyDescent="0.3">
      <c r="A1744" s="34" t="str">
        <f>base!J1744</f>
        <v>RS</v>
      </c>
      <c r="B1744" s="34" t="str">
        <f>base!V1744</f>
        <v>29000</v>
      </c>
      <c r="C1744" s="37">
        <v>29</v>
      </c>
      <c r="D1744" s="36">
        <f>base!H1744</f>
        <v>40</v>
      </c>
      <c r="E1744" s="44"/>
      <c r="F1744" s="16">
        <f>base!W1744</f>
        <v>0</v>
      </c>
      <c r="G1744" s="11">
        <f t="shared" si="270"/>
        <v>0</v>
      </c>
      <c r="H1744" s="11">
        <f t="shared" si="271"/>
        <v>15.600000000000001</v>
      </c>
      <c r="I1744" s="11">
        <f t="shared" si="272"/>
        <v>0.39</v>
      </c>
      <c r="J1744" s="12">
        <f t="shared" si="273"/>
        <v>-15.600000000000001</v>
      </c>
      <c r="K1744" s="17" t="str">
        <f t="shared" si="278"/>
        <v>Ecart négatif</v>
      </c>
      <c r="L1744" s="16">
        <f>base!X1744</f>
        <v>0</v>
      </c>
      <c r="M1744" s="11">
        <f t="shared" si="274"/>
        <v>0</v>
      </c>
      <c r="N1744" s="11">
        <f t="shared" si="275"/>
        <v>4.8</v>
      </c>
      <c r="O1744" s="11">
        <f t="shared" si="276"/>
        <v>0.12</v>
      </c>
      <c r="P1744" s="12">
        <f t="shared" si="277"/>
        <v>-4.8</v>
      </c>
      <c r="Q1744" s="17" t="str">
        <f t="shared" si="279"/>
        <v>Ecart négatif</v>
      </c>
    </row>
    <row r="1745" spans="1:18" x14ac:dyDescent="0.3">
      <c r="A1745" s="34" t="str">
        <f>base!J1745</f>
        <v>DRM</v>
      </c>
      <c r="B1745" s="34" t="str">
        <f>base!V1745</f>
        <v>69280</v>
      </c>
      <c r="C1745" s="37">
        <v>69</v>
      </c>
      <c r="D1745" s="36">
        <f>base!H1745</f>
        <v>180.3</v>
      </c>
      <c r="E1745" s="44"/>
      <c r="F1745" s="16">
        <f>base!W1745</f>
        <v>0</v>
      </c>
      <c r="G1745" s="11">
        <f t="shared" si="270"/>
        <v>0</v>
      </c>
      <c r="H1745" s="11">
        <f t="shared" si="271"/>
        <v>48.681000000000004</v>
      </c>
      <c r="I1745" s="11">
        <f t="shared" si="272"/>
        <v>0.27</v>
      </c>
      <c r="J1745" s="12">
        <f t="shared" si="273"/>
        <v>-48.681000000000004</v>
      </c>
      <c r="K1745" s="17" t="str">
        <f t="shared" si="278"/>
        <v>Ecart négatif</v>
      </c>
      <c r="L1745" s="16">
        <f>base!X1745</f>
        <v>0</v>
      </c>
      <c r="M1745" s="11">
        <f t="shared" si="274"/>
        <v>0</v>
      </c>
      <c r="N1745" s="11">
        <f t="shared" si="275"/>
        <v>0</v>
      </c>
      <c r="O1745" s="11">
        <f t="shared" si="276"/>
        <v>0</v>
      </c>
      <c r="P1745" s="12">
        <f t="shared" si="277"/>
        <v>0</v>
      </c>
      <c r="Q1745" s="17" t="str">
        <f t="shared" si="279"/>
        <v>Pas d'écart</v>
      </c>
    </row>
    <row r="1746" spans="1:18" x14ac:dyDescent="0.3">
      <c r="A1746" s="34" t="str">
        <f>base!J1746</f>
        <v>DRS</v>
      </c>
      <c r="B1746" s="34" t="str">
        <f>base!V1746</f>
        <v>83300</v>
      </c>
      <c r="C1746" s="37">
        <v>83</v>
      </c>
      <c r="D1746" s="36">
        <f>base!H1746</f>
        <v>122.09</v>
      </c>
      <c r="E1746" s="44"/>
      <c r="F1746" s="16">
        <f>base!W1746</f>
        <v>0</v>
      </c>
      <c r="G1746" s="11">
        <f t="shared" si="270"/>
        <v>0</v>
      </c>
      <c r="H1746" s="11">
        <f t="shared" si="271"/>
        <v>36.627000000000002</v>
      </c>
      <c r="I1746" s="11">
        <f t="shared" si="272"/>
        <v>0.3</v>
      </c>
      <c r="J1746" s="12">
        <f t="shared" si="273"/>
        <v>-36.627000000000002</v>
      </c>
      <c r="K1746" s="17" t="str">
        <f t="shared" si="278"/>
        <v>Ecart négatif</v>
      </c>
      <c r="L1746" s="16">
        <f>base!X1746</f>
        <v>0</v>
      </c>
      <c r="M1746" s="11">
        <f t="shared" si="274"/>
        <v>0</v>
      </c>
      <c r="N1746" s="11">
        <f t="shared" si="275"/>
        <v>25.6389</v>
      </c>
      <c r="O1746" s="11">
        <f t="shared" si="276"/>
        <v>0.21</v>
      </c>
      <c r="P1746" s="12">
        <f t="shared" si="277"/>
        <v>-25.6389</v>
      </c>
      <c r="Q1746" s="17" t="str">
        <f t="shared" si="279"/>
        <v>Ecart négatif</v>
      </c>
    </row>
    <row r="1747" spans="1:18" x14ac:dyDescent="0.3">
      <c r="A1747" s="34" t="str">
        <f>base!J1747</f>
        <v>DRS</v>
      </c>
      <c r="B1747" s="34" t="str">
        <f>base!V1747</f>
        <v>69290</v>
      </c>
      <c r="C1747" s="37">
        <v>69</v>
      </c>
      <c r="D1747" s="36">
        <f>base!H1747</f>
        <v>159.69</v>
      </c>
      <c r="E1747" s="44"/>
      <c r="F1747" s="16">
        <f>base!W1747</f>
        <v>0</v>
      </c>
      <c r="G1747" s="11">
        <f t="shared" si="270"/>
        <v>0</v>
      </c>
      <c r="H1747" s="11">
        <f t="shared" si="271"/>
        <v>43.116300000000003</v>
      </c>
      <c r="I1747" s="11">
        <f t="shared" si="272"/>
        <v>0.27</v>
      </c>
      <c r="J1747" s="12">
        <f t="shared" si="273"/>
        <v>-43.116300000000003</v>
      </c>
      <c r="K1747" s="17" t="str">
        <f t="shared" si="278"/>
        <v>Ecart négatif</v>
      </c>
      <c r="L1747" s="16">
        <f>base!X1747</f>
        <v>0</v>
      </c>
      <c r="M1747" s="11">
        <f t="shared" si="274"/>
        <v>0</v>
      </c>
      <c r="N1747" s="11">
        <f t="shared" si="275"/>
        <v>0</v>
      </c>
      <c r="O1747" s="11">
        <f t="shared" si="276"/>
        <v>0</v>
      </c>
      <c r="P1747" s="12">
        <f t="shared" si="277"/>
        <v>0</v>
      </c>
      <c r="Q1747" s="17" t="str">
        <f t="shared" si="279"/>
        <v>Pas d'écart</v>
      </c>
    </row>
    <row r="1748" spans="1:18" x14ac:dyDescent="0.3">
      <c r="A1748" s="34" t="str">
        <f>base!J1748</f>
        <v>RM</v>
      </c>
      <c r="B1748" s="34" t="str">
        <f>base!V1748</f>
        <v>62600</v>
      </c>
      <c r="C1748" s="37">
        <v>62</v>
      </c>
      <c r="D1748" s="36">
        <f>base!H1748</f>
        <v>140</v>
      </c>
      <c r="E1748" s="44"/>
      <c r="F1748" s="16">
        <f>base!W1748</f>
        <v>0</v>
      </c>
      <c r="G1748" s="11">
        <f t="shared" si="270"/>
        <v>0</v>
      </c>
      <c r="H1748" s="11">
        <f t="shared" si="271"/>
        <v>26.6</v>
      </c>
      <c r="I1748" s="11">
        <f t="shared" si="272"/>
        <v>0.19</v>
      </c>
      <c r="J1748" s="12">
        <f t="shared" si="273"/>
        <v>-26.6</v>
      </c>
      <c r="K1748" s="17" t="str">
        <f t="shared" si="278"/>
        <v>Ecart négatif</v>
      </c>
      <c r="L1748" s="16">
        <f>base!X1748</f>
        <v>0</v>
      </c>
      <c r="M1748" s="11">
        <f t="shared" si="274"/>
        <v>0</v>
      </c>
      <c r="N1748" s="11">
        <f t="shared" si="275"/>
        <v>0</v>
      </c>
      <c r="O1748" s="11">
        <f t="shared" si="276"/>
        <v>0</v>
      </c>
      <c r="P1748" s="12">
        <f t="shared" si="277"/>
        <v>0</v>
      </c>
      <c r="Q1748" s="17" t="str">
        <f t="shared" si="279"/>
        <v>Pas d'écart</v>
      </c>
    </row>
    <row r="1749" spans="1:18" x14ac:dyDescent="0.3">
      <c r="A1749" s="34" t="str">
        <f>base!J1749</f>
        <v>RM</v>
      </c>
      <c r="B1749" s="34" t="str">
        <f>base!V1749</f>
        <v>44000</v>
      </c>
      <c r="C1749" s="37">
        <v>44</v>
      </c>
      <c r="D1749" s="36">
        <f>base!H1749</f>
        <v>250</v>
      </c>
      <c r="E1749" s="44"/>
      <c r="F1749" s="16">
        <f>base!W1749</f>
        <v>0</v>
      </c>
      <c r="G1749" s="11">
        <f t="shared" si="270"/>
        <v>0</v>
      </c>
      <c r="H1749" s="11">
        <f t="shared" si="271"/>
        <v>67.5</v>
      </c>
      <c r="I1749" s="11">
        <f t="shared" si="272"/>
        <v>0.27</v>
      </c>
      <c r="J1749" s="12">
        <f t="shared" si="273"/>
        <v>-67.5</v>
      </c>
      <c r="K1749" s="17" t="str">
        <f t="shared" si="278"/>
        <v>Ecart négatif</v>
      </c>
      <c r="L1749" s="16">
        <f>base!X1749</f>
        <v>0</v>
      </c>
      <c r="M1749" s="11">
        <f t="shared" si="274"/>
        <v>0</v>
      </c>
      <c r="N1749" s="11">
        <f t="shared" si="275"/>
        <v>0</v>
      </c>
      <c r="O1749" s="11">
        <f t="shared" si="276"/>
        <v>0</v>
      </c>
      <c r="P1749" s="12">
        <f t="shared" si="277"/>
        <v>0</v>
      </c>
      <c r="Q1749" s="17" t="str">
        <f t="shared" si="279"/>
        <v>Pas d'écart</v>
      </c>
    </row>
    <row r="1750" spans="1:18" x14ac:dyDescent="0.3">
      <c r="A1750" s="34" t="str">
        <f>base!J1750</f>
        <v>RS</v>
      </c>
      <c r="B1750" s="34" t="str">
        <f>base!V1750</f>
        <v>62220</v>
      </c>
      <c r="C1750" s="37">
        <v>62</v>
      </c>
      <c r="D1750" s="36">
        <f>base!H1750</f>
        <v>140</v>
      </c>
      <c r="E1750" s="44"/>
      <c r="F1750" s="16">
        <f>base!W1750</f>
        <v>0</v>
      </c>
      <c r="G1750" s="11">
        <f t="shared" si="270"/>
        <v>0</v>
      </c>
      <c r="H1750" s="11">
        <f t="shared" si="271"/>
        <v>26.6</v>
      </c>
      <c r="I1750" s="11">
        <f t="shared" si="272"/>
        <v>0.19</v>
      </c>
      <c r="J1750" s="12">
        <f t="shared" si="273"/>
        <v>-26.6</v>
      </c>
      <c r="K1750" s="17" t="str">
        <f t="shared" si="278"/>
        <v>Ecart négatif</v>
      </c>
      <c r="L1750" s="16">
        <f>base!X1750</f>
        <v>0</v>
      </c>
      <c r="M1750" s="11">
        <f t="shared" si="274"/>
        <v>0</v>
      </c>
      <c r="N1750" s="11">
        <f t="shared" si="275"/>
        <v>0</v>
      </c>
      <c r="O1750" s="11">
        <f t="shared" si="276"/>
        <v>0</v>
      </c>
      <c r="P1750" s="12">
        <f t="shared" si="277"/>
        <v>0</v>
      </c>
      <c r="Q1750" s="17" t="str">
        <f t="shared" si="279"/>
        <v>Pas d'écart</v>
      </c>
    </row>
    <row r="1751" spans="1:18" x14ac:dyDescent="0.3">
      <c r="A1751" s="34" t="str">
        <f>base!J1751</f>
        <v>LM</v>
      </c>
      <c r="B1751" s="34" t="str">
        <f>base!V1751</f>
        <v>69005</v>
      </c>
      <c r="C1751" s="37">
        <v>59</v>
      </c>
      <c r="D1751" s="36">
        <f>base!H1751</f>
        <v>138.16</v>
      </c>
      <c r="E1751" s="44"/>
      <c r="F1751" s="16">
        <f>base!W1751</f>
        <v>37.299999999999997</v>
      </c>
      <c r="G1751" s="11">
        <f t="shared" si="270"/>
        <v>0.26997683844817599</v>
      </c>
      <c r="H1751" s="11">
        <f t="shared" si="271"/>
        <v>26.250399999999999</v>
      </c>
      <c r="I1751" s="11">
        <f t="shared" si="272"/>
        <v>0.19</v>
      </c>
      <c r="J1751" s="12">
        <f t="shared" si="273"/>
        <v>11.049599999999998</v>
      </c>
      <c r="K1751" s="17" t="str">
        <f t="shared" si="278"/>
        <v>Ecart positif</v>
      </c>
      <c r="L1751" s="16">
        <f>base!X1751</f>
        <v>0</v>
      </c>
      <c r="M1751" s="11">
        <f t="shared" si="274"/>
        <v>0</v>
      </c>
      <c r="N1751" s="11">
        <f t="shared" si="275"/>
        <v>0</v>
      </c>
      <c r="O1751" s="11">
        <f t="shared" si="276"/>
        <v>0</v>
      </c>
      <c r="P1751" s="12">
        <f t="shared" si="277"/>
        <v>0</v>
      </c>
      <c r="Q1751" s="17" t="str">
        <f t="shared" si="279"/>
        <v>Pas d'écart</v>
      </c>
    </row>
    <row r="1752" spans="1:18" x14ac:dyDescent="0.3">
      <c r="A1752" s="34">
        <f>base!J1752</f>
        <v>0</v>
      </c>
      <c r="B1752" s="34" t="str">
        <f>base!V1752</f>
        <v>77184</v>
      </c>
      <c r="C1752" s="37">
        <v>77</v>
      </c>
      <c r="D1752" s="36">
        <f>base!H1752</f>
        <v>134</v>
      </c>
      <c r="E1752" s="44"/>
      <c r="F1752" s="16">
        <f>base!W1752</f>
        <v>0</v>
      </c>
      <c r="G1752" s="11">
        <f t="shared" si="270"/>
        <v>0</v>
      </c>
      <c r="H1752" s="11">
        <f t="shared" si="271"/>
        <v>0</v>
      </c>
      <c r="I1752" s="11">
        <f t="shared" si="272"/>
        <v>0</v>
      </c>
      <c r="J1752" s="12">
        <f t="shared" si="273"/>
        <v>0</v>
      </c>
      <c r="K1752" s="17" t="str">
        <f t="shared" si="278"/>
        <v>Pas d'écart</v>
      </c>
      <c r="L1752" s="16">
        <f>base!X1752</f>
        <v>0</v>
      </c>
      <c r="M1752" s="11">
        <f t="shared" si="274"/>
        <v>0</v>
      </c>
      <c r="N1752" s="11">
        <f t="shared" si="275"/>
        <v>0</v>
      </c>
      <c r="O1752" s="11">
        <f t="shared" si="276"/>
        <v>0</v>
      </c>
      <c r="P1752" s="12">
        <f t="shared" si="277"/>
        <v>0</v>
      </c>
      <c r="Q1752" s="17" t="str">
        <f t="shared" si="279"/>
        <v>Pas d'écart</v>
      </c>
    </row>
    <row r="1753" spans="1:18" x14ac:dyDescent="0.3">
      <c r="A1753" s="34" t="str">
        <f>base!J1753</f>
        <v>RM</v>
      </c>
      <c r="B1753" s="34" t="str">
        <f>base!V1753</f>
        <v>06000</v>
      </c>
      <c r="C1753" s="37">
        <v>6</v>
      </c>
      <c r="D1753" s="36">
        <f>base!H1753</f>
        <v>40</v>
      </c>
      <c r="E1753" s="44"/>
      <c r="F1753" s="16">
        <f>base!W1753</f>
        <v>0</v>
      </c>
      <c r="G1753" s="11">
        <f t="shared" si="270"/>
        <v>0</v>
      </c>
      <c r="H1753" s="11">
        <f t="shared" si="271"/>
        <v>12</v>
      </c>
      <c r="I1753" s="11">
        <f t="shared" si="272"/>
        <v>0.3</v>
      </c>
      <c r="J1753" s="12">
        <f t="shared" si="273"/>
        <v>-12</v>
      </c>
      <c r="K1753" s="17" t="str">
        <f t="shared" si="278"/>
        <v>Ecart négatif</v>
      </c>
      <c r="L1753" s="16">
        <f>base!X1753</f>
        <v>0</v>
      </c>
      <c r="M1753" s="11">
        <f t="shared" si="274"/>
        <v>0</v>
      </c>
      <c r="N1753" s="11">
        <f t="shared" si="275"/>
        <v>8.4</v>
      </c>
      <c r="O1753" s="11">
        <f t="shared" si="276"/>
        <v>0.21000000000000002</v>
      </c>
      <c r="P1753" s="12">
        <f t="shared" si="277"/>
        <v>-8.4</v>
      </c>
      <c r="Q1753" s="17" t="str">
        <f t="shared" si="279"/>
        <v>Ecart négatif</v>
      </c>
    </row>
    <row r="1754" spans="1:18" x14ac:dyDescent="0.3">
      <c r="A1754" s="34" t="str">
        <f>base!J1754</f>
        <v>DRS</v>
      </c>
      <c r="B1754" s="34" t="str">
        <f>base!V1754</f>
        <v>59220</v>
      </c>
      <c r="C1754" s="37">
        <v>59</v>
      </c>
      <c r="D1754" s="36">
        <f>base!H1754</f>
        <v>108.47</v>
      </c>
      <c r="E1754" s="44"/>
      <c r="F1754" s="16">
        <f>base!W1754</f>
        <v>0</v>
      </c>
      <c r="G1754" s="11">
        <f t="shared" si="270"/>
        <v>0</v>
      </c>
      <c r="H1754" s="11">
        <f t="shared" si="271"/>
        <v>20.609300000000001</v>
      </c>
      <c r="I1754" s="11">
        <f t="shared" si="272"/>
        <v>0.19</v>
      </c>
      <c r="J1754" s="12">
        <f t="shared" si="273"/>
        <v>-20.609300000000001</v>
      </c>
      <c r="K1754" s="17" t="str">
        <f t="shared" si="278"/>
        <v>Ecart négatif</v>
      </c>
      <c r="L1754" s="16">
        <f>base!X1754</f>
        <v>0</v>
      </c>
      <c r="M1754" s="11">
        <f t="shared" si="274"/>
        <v>0</v>
      </c>
      <c r="N1754" s="11">
        <f t="shared" si="275"/>
        <v>0</v>
      </c>
      <c r="O1754" s="11">
        <f t="shared" si="276"/>
        <v>0</v>
      </c>
      <c r="P1754" s="12">
        <f t="shared" si="277"/>
        <v>0</v>
      </c>
      <c r="Q1754" s="17" t="str">
        <f t="shared" si="279"/>
        <v>Pas d'écart</v>
      </c>
    </row>
    <row r="1755" spans="1:18" x14ac:dyDescent="0.3">
      <c r="A1755" s="34" t="str">
        <f>base!J1755</f>
        <v>RM</v>
      </c>
      <c r="B1755" s="34" t="str">
        <f>base!V1755</f>
        <v>67230</v>
      </c>
      <c r="C1755" s="37">
        <v>67</v>
      </c>
      <c r="D1755" s="36">
        <f>base!H1755</f>
        <v>70</v>
      </c>
      <c r="E1755" s="44"/>
      <c r="F1755" s="16">
        <f>base!W1755</f>
        <v>0</v>
      </c>
      <c r="G1755" s="11">
        <f t="shared" si="270"/>
        <v>0</v>
      </c>
      <c r="H1755" s="11">
        <f t="shared" si="271"/>
        <v>20.299999999999997</v>
      </c>
      <c r="I1755" s="11">
        <f t="shared" si="272"/>
        <v>0.28999999999999998</v>
      </c>
      <c r="J1755" s="12">
        <f t="shared" si="273"/>
        <v>-20.299999999999997</v>
      </c>
      <c r="K1755" s="17" t="str">
        <f t="shared" si="278"/>
        <v>Ecart négatif</v>
      </c>
      <c r="L1755" s="16">
        <f>base!X1755</f>
        <v>5.6</v>
      </c>
      <c r="M1755" s="11">
        <f t="shared" si="274"/>
        <v>0.08</v>
      </c>
      <c r="N1755" s="11">
        <f t="shared" si="275"/>
        <v>5.6000000000000005</v>
      </c>
      <c r="O1755" s="11">
        <f t="shared" si="276"/>
        <v>0.08</v>
      </c>
      <c r="P1755" s="12">
        <f t="shared" si="277"/>
        <v>0</v>
      </c>
      <c r="Q1755" s="17" t="str">
        <f t="shared" si="279"/>
        <v>Pas d'écart</v>
      </c>
      <c r="R1755" s="38"/>
    </row>
    <row r="1756" spans="1:18" x14ac:dyDescent="0.3">
      <c r="A1756" s="34" t="str">
        <f>base!J1756</f>
        <v>RM</v>
      </c>
      <c r="B1756" s="34" t="str">
        <f>base!V1756</f>
        <v>14000</v>
      </c>
      <c r="C1756" s="37">
        <v>14</v>
      </c>
      <c r="D1756" s="36">
        <f>base!H1756</f>
        <v>183.98</v>
      </c>
      <c r="E1756" s="44"/>
      <c r="F1756" s="16">
        <f>base!W1756</f>
        <v>0</v>
      </c>
      <c r="G1756" s="11">
        <f t="shared" si="270"/>
        <v>0</v>
      </c>
      <c r="H1756" s="11">
        <f t="shared" si="271"/>
        <v>31.276600000000002</v>
      </c>
      <c r="I1756" s="11">
        <f t="shared" si="272"/>
        <v>0.17</v>
      </c>
      <c r="J1756" s="12">
        <f t="shared" si="273"/>
        <v>-31.276600000000002</v>
      </c>
      <c r="K1756" s="17" t="str">
        <f t="shared" si="278"/>
        <v>Ecart négatif</v>
      </c>
      <c r="L1756" s="16">
        <f>base!X1756</f>
        <v>31.28</v>
      </c>
      <c r="M1756" s="11">
        <f t="shared" si="274"/>
        <v>0.17001848026959454</v>
      </c>
      <c r="N1756" s="11">
        <f t="shared" si="275"/>
        <v>31.276600000000002</v>
      </c>
      <c r="O1756" s="11">
        <f t="shared" si="276"/>
        <v>0.17</v>
      </c>
      <c r="P1756" s="12">
        <f t="shared" si="277"/>
        <v>3.3999999999991815E-3</v>
      </c>
      <c r="Q1756" s="17" t="str">
        <f t="shared" si="279"/>
        <v>Ecart positif</v>
      </c>
      <c r="R1756" s="38"/>
    </row>
    <row r="1757" spans="1:18" x14ac:dyDescent="0.3">
      <c r="A1757" s="34" t="str">
        <f>base!J1757</f>
        <v>RM</v>
      </c>
      <c r="B1757" s="34" t="str">
        <f>base!V1757</f>
        <v>13150</v>
      </c>
      <c r="C1757" s="37">
        <v>13</v>
      </c>
      <c r="D1757" s="36">
        <f>base!H1757</f>
        <v>140</v>
      </c>
      <c r="E1757" s="44"/>
      <c r="F1757" s="16">
        <f>base!W1757</f>
        <v>0</v>
      </c>
      <c r="G1757" s="11">
        <f t="shared" si="270"/>
        <v>0</v>
      </c>
      <c r="H1757" s="11">
        <f t="shared" si="271"/>
        <v>40.599999999999994</v>
      </c>
      <c r="I1757" s="11">
        <f t="shared" si="272"/>
        <v>0.28999999999999998</v>
      </c>
      <c r="J1757" s="12">
        <f t="shared" si="273"/>
        <v>-40.599999999999994</v>
      </c>
      <c r="K1757" s="17" t="str">
        <f t="shared" si="278"/>
        <v>Ecart négatif</v>
      </c>
      <c r="L1757" s="16">
        <f>base!X1757</f>
        <v>26.6</v>
      </c>
      <c r="M1757" s="11">
        <f t="shared" si="274"/>
        <v>0.19</v>
      </c>
      <c r="N1757" s="11">
        <f t="shared" si="275"/>
        <v>26.6</v>
      </c>
      <c r="O1757" s="11">
        <f t="shared" si="276"/>
        <v>0.19</v>
      </c>
      <c r="P1757" s="12">
        <f t="shared" si="277"/>
        <v>0</v>
      </c>
      <c r="Q1757" s="17" t="str">
        <f t="shared" si="279"/>
        <v>Pas d'écart</v>
      </c>
      <c r="R1757" s="38"/>
    </row>
    <row r="1758" spans="1:18" x14ac:dyDescent="0.3">
      <c r="A1758" s="34" t="str">
        <f>base!J1758</f>
        <v>RS</v>
      </c>
      <c r="B1758" s="34" t="str">
        <f>base!V1758</f>
        <v>06650</v>
      </c>
      <c r="C1758" s="37">
        <v>6</v>
      </c>
      <c r="D1758" s="36">
        <f>base!H1758</f>
        <v>140</v>
      </c>
      <c r="E1758" s="44"/>
      <c r="F1758" s="16">
        <f>base!W1758</f>
        <v>0</v>
      </c>
      <c r="G1758" s="11">
        <f t="shared" si="270"/>
        <v>0</v>
      </c>
      <c r="H1758" s="11">
        <f t="shared" si="271"/>
        <v>42</v>
      </c>
      <c r="I1758" s="11">
        <f t="shared" si="272"/>
        <v>0.3</v>
      </c>
      <c r="J1758" s="12">
        <f t="shared" si="273"/>
        <v>-42</v>
      </c>
      <c r="K1758" s="17" t="str">
        <f t="shared" si="278"/>
        <v>Ecart négatif</v>
      </c>
      <c r="L1758" s="16">
        <f>base!X1758</f>
        <v>29.4</v>
      </c>
      <c r="M1758" s="11">
        <f t="shared" si="274"/>
        <v>0.21</v>
      </c>
      <c r="N1758" s="11">
        <f t="shared" si="275"/>
        <v>29.4</v>
      </c>
      <c r="O1758" s="11">
        <f t="shared" si="276"/>
        <v>0.21</v>
      </c>
      <c r="P1758" s="12">
        <f t="shared" si="277"/>
        <v>0</v>
      </c>
      <c r="Q1758" s="17" t="str">
        <f t="shared" si="279"/>
        <v>Pas d'écart</v>
      </c>
      <c r="R1758" s="38"/>
    </row>
    <row r="1759" spans="1:18" x14ac:dyDescent="0.3">
      <c r="A1759" s="34" t="str">
        <f>base!J1759</f>
        <v>RS</v>
      </c>
      <c r="B1759" s="34" t="str">
        <f>base!V1759</f>
        <v>93200</v>
      </c>
      <c r="C1759" s="37">
        <v>93</v>
      </c>
      <c r="D1759" s="36">
        <f>base!H1759</f>
        <v>40</v>
      </c>
      <c r="E1759" s="44"/>
      <c r="F1759" s="16">
        <f>base!W1759</f>
        <v>0</v>
      </c>
      <c r="G1759" s="11">
        <f t="shared" si="270"/>
        <v>0</v>
      </c>
      <c r="H1759" s="11">
        <f t="shared" si="271"/>
        <v>0</v>
      </c>
      <c r="I1759" s="11">
        <f t="shared" si="272"/>
        <v>0</v>
      </c>
      <c r="J1759" s="12">
        <f t="shared" si="273"/>
        <v>0</v>
      </c>
      <c r="K1759" s="17" t="str">
        <f t="shared" si="278"/>
        <v>Pas d'écart</v>
      </c>
      <c r="L1759" s="16">
        <f>base!X1759</f>
        <v>0</v>
      </c>
      <c r="M1759" s="11">
        <f t="shared" si="274"/>
        <v>0</v>
      </c>
      <c r="N1759" s="11">
        <f t="shared" si="275"/>
        <v>0</v>
      </c>
      <c r="O1759" s="11">
        <f t="shared" si="276"/>
        <v>0</v>
      </c>
      <c r="P1759" s="12">
        <f t="shared" si="277"/>
        <v>0</v>
      </c>
      <c r="Q1759" s="17" t="str">
        <f t="shared" si="279"/>
        <v>Pas d'écart</v>
      </c>
    </row>
    <row r="1760" spans="1:18" x14ac:dyDescent="0.3">
      <c r="A1760" s="34" t="str">
        <f>base!J1760</f>
        <v>RS</v>
      </c>
      <c r="B1760" s="34" t="str">
        <f>base!V1760</f>
        <v>13002</v>
      </c>
      <c r="C1760" s="37">
        <v>13</v>
      </c>
      <c r="D1760" s="36">
        <f>base!H1760</f>
        <v>140</v>
      </c>
      <c r="E1760" s="44"/>
      <c r="F1760" s="16">
        <f>base!W1760</f>
        <v>0</v>
      </c>
      <c r="G1760" s="11">
        <f t="shared" si="270"/>
        <v>0</v>
      </c>
      <c r="H1760" s="11">
        <f t="shared" si="271"/>
        <v>40.599999999999994</v>
      </c>
      <c r="I1760" s="11">
        <f t="shared" si="272"/>
        <v>0.28999999999999998</v>
      </c>
      <c r="J1760" s="12">
        <f t="shared" si="273"/>
        <v>-40.599999999999994</v>
      </c>
      <c r="K1760" s="17" t="str">
        <f t="shared" si="278"/>
        <v>Ecart négatif</v>
      </c>
      <c r="L1760" s="16">
        <f>base!X1760</f>
        <v>0</v>
      </c>
      <c r="M1760" s="11">
        <f t="shared" si="274"/>
        <v>0</v>
      </c>
      <c r="N1760" s="11">
        <f t="shared" si="275"/>
        <v>26.6</v>
      </c>
      <c r="O1760" s="11">
        <f t="shared" si="276"/>
        <v>0.19</v>
      </c>
      <c r="P1760" s="12">
        <f t="shared" si="277"/>
        <v>-26.6</v>
      </c>
      <c r="Q1760" s="17" t="str">
        <f t="shared" si="279"/>
        <v>Ecart négatif</v>
      </c>
    </row>
    <row r="1761" spans="1:18" x14ac:dyDescent="0.3">
      <c r="A1761" s="34" t="str">
        <f>base!J1761</f>
        <v>RM</v>
      </c>
      <c r="B1761" s="34" t="str">
        <f>base!V1761</f>
        <v>14000</v>
      </c>
      <c r="C1761" s="37">
        <v>14</v>
      </c>
      <c r="D1761" s="36">
        <f>base!H1761</f>
        <v>184.02</v>
      </c>
      <c r="E1761" s="44"/>
      <c r="F1761" s="16">
        <f>base!W1761</f>
        <v>0</v>
      </c>
      <c r="G1761" s="11">
        <f t="shared" si="270"/>
        <v>0</v>
      </c>
      <c r="H1761" s="11">
        <f t="shared" si="271"/>
        <v>31.283400000000004</v>
      </c>
      <c r="I1761" s="11">
        <f t="shared" si="272"/>
        <v>0.17</v>
      </c>
      <c r="J1761" s="12">
        <f t="shared" si="273"/>
        <v>-31.283400000000004</v>
      </c>
      <c r="K1761" s="17" t="str">
        <f t="shared" si="278"/>
        <v>Ecart négatif</v>
      </c>
      <c r="L1761" s="16">
        <f>base!X1761</f>
        <v>31.28</v>
      </c>
      <c r="M1761" s="11">
        <f t="shared" si="274"/>
        <v>0.16998152374741876</v>
      </c>
      <c r="N1761" s="11">
        <f t="shared" si="275"/>
        <v>31.283400000000004</v>
      </c>
      <c r="O1761" s="11">
        <f t="shared" si="276"/>
        <v>0.17</v>
      </c>
      <c r="P1761" s="12">
        <f t="shared" si="277"/>
        <v>-3.4000000000027342E-3</v>
      </c>
      <c r="Q1761" s="17" t="str">
        <f t="shared" si="279"/>
        <v>Ecart négatif</v>
      </c>
      <c r="R1761" s="38"/>
    </row>
    <row r="1762" spans="1:18" x14ac:dyDescent="0.3">
      <c r="A1762" s="34" t="str">
        <f>base!J1762</f>
        <v>RS</v>
      </c>
      <c r="B1762" s="34" t="str">
        <f>base!V1762</f>
        <v>69004</v>
      </c>
      <c r="C1762" s="37">
        <v>69</v>
      </c>
      <c r="D1762" s="36">
        <f>base!H1762</f>
        <v>40</v>
      </c>
      <c r="E1762" s="44"/>
      <c r="F1762" s="16">
        <f>base!W1762</f>
        <v>0</v>
      </c>
      <c r="G1762" s="11">
        <f t="shared" si="270"/>
        <v>0</v>
      </c>
      <c r="H1762" s="11">
        <f t="shared" si="271"/>
        <v>10.8</v>
      </c>
      <c r="I1762" s="11">
        <f t="shared" si="272"/>
        <v>0.27</v>
      </c>
      <c r="J1762" s="12">
        <f t="shared" si="273"/>
        <v>-10.8</v>
      </c>
      <c r="K1762" s="17" t="str">
        <f t="shared" si="278"/>
        <v>Ecart négatif</v>
      </c>
      <c r="L1762" s="16">
        <f>base!X1762</f>
        <v>0</v>
      </c>
      <c r="M1762" s="11">
        <f t="shared" si="274"/>
        <v>0</v>
      </c>
      <c r="N1762" s="11">
        <f t="shared" si="275"/>
        <v>0</v>
      </c>
      <c r="O1762" s="11">
        <f t="shared" si="276"/>
        <v>0</v>
      </c>
      <c r="P1762" s="12">
        <f t="shared" si="277"/>
        <v>0</v>
      </c>
      <c r="Q1762" s="17" t="str">
        <f t="shared" si="279"/>
        <v>Pas d'écart</v>
      </c>
    </row>
    <row r="1763" spans="1:18" x14ac:dyDescent="0.3">
      <c r="A1763" s="34" t="str">
        <f>base!J1763</f>
        <v>RS</v>
      </c>
      <c r="B1763" s="34" t="str">
        <f>base!V1763</f>
        <v>80132</v>
      </c>
      <c r="C1763" s="37">
        <v>80</v>
      </c>
      <c r="D1763" s="36">
        <f>base!H1763</f>
        <v>140</v>
      </c>
      <c r="E1763" s="44"/>
      <c r="F1763" s="16">
        <f>base!W1763</f>
        <v>0</v>
      </c>
      <c r="G1763" s="11">
        <f t="shared" si="270"/>
        <v>0</v>
      </c>
      <c r="H1763" s="11">
        <f t="shared" si="271"/>
        <v>26.6</v>
      </c>
      <c r="I1763" s="11">
        <f t="shared" si="272"/>
        <v>0.19</v>
      </c>
      <c r="J1763" s="12">
        <f t="shared" si="273"/>
        <v>-26.6</v>
      </c>
      <c r="K1763" s="17" t="str">
        <f t="shared" si="278"/>
        <v>Ecart négatif</v>
      </c>
      <c r="L1763" s="16">
        <f>base!X1763</f>
        <v>0</v>
      </c>
      <c r="M1763" s="11">
        <f t="shared" si="274"/>
        <v>0</v>
      </c>
      <c r="N1763" s="11">
        <f t="shared" si="275"/>
        <v>0</v>
      </c>
      <c r="O1763" s="11">
        <f t="shared" si="276"/>
        <v>0</v>
      </c>
      <c r="P1763" s="12">
        <f t="shared" si="277"/>
        <v>0</v>
      </c>
      <c r="Q1763" s="17" t="str">
        <f t="shared" si="279"/>
        <v>Pas d'écart</v>
      </c>
    </row>
    <row r="1764" spans="1:18" x14ac:dyDescent="0.3">
      <c r="A1764" s="34" t="str">
        <f>base!J1764</f>
        <v>LM</v>
      </c>
      <c r="B1764" s="34" t="str">
        <f>base!V1764</f>
        <v>61250</v>
      </c>
      <c r="C1764" s="37">
        <v>62</v>
      </c>
      <c r="D1764" s="36">
        <f>base!H1764</f>
        <v>54.37</v>
      </c>
      <c r="E1764" s="44"/>
      <c r="F1764" s="16">
        <f>base!W1764</f>
        <v>9.24</v>
      </c>
      <c r="G1764" s="11">
        <f t="shared" si="270"/>
        <v>0.16994666176200113</v>
      </c>
      <c r="H1764" s="11">
        <f t="shared" si="271"/>
        <v>10.330299999999999</v>
      </c>
      <c r="I1764" s="11">
        <f t="shared" si="272"/>
        <v>0.19</v>
      </c>
      <c r="J1764" s="12">
        <f t="shared" si="273"/>
        <v>-1.0902999999999992</v>
      </c>
      <c r="K1764" s="17" t="str">
        <f t="shared" si="278"/>
        <v>Ecart négatif</v>
      </c>
      <c r="L1764" s="16">
        <f>base!X1764</f>
        <v>0</v>
      </c>
      <c r="M1764" s="11">
        <f t="shared" si="274"/>
        <v>0</v>
      </c>
      <c r="N1764" s="11">
        <f t="shared" si="275"/>
        <v>0</v>
      </c>
      <c r="O1764" s="11">
        <f t="shared" si="276"/>
        <v>0</v>
      </c>
      <c r="P1764" s="12">
        <f t="shared" si="277"/>
        <v>0</v>
      </c>
      <c r="Q1764" s="17" t="str">
        <f t="shared" si="279"/>
        <v>Pas d'écart</v>
      </c>
    </row>
    <row r="1765" spans="1:18" x14ac:dyDescent="0.3">
      <c r="A1765" s="34" t="str">
        <f>base!J1765</f>
        <v>RM</v>
      </c>
      <c r="B1765" s="34" t="str">
        <f>base!V1765</f>
        <v>21700</v>
      </c>
      <c r="C1765" s="37">
        <v>21</v>
      </c>
      <c r="D1765" s="36">
        <f>base!H1765</f>
        <v>70</v>
      </c>
      <c r="E1765" s="44"/>
      <c r="F1765" s="16">
        <f>base!W1765</f>
        <v>0</v>
      </c>
      <c r="G1765" s="11">
        <f t="shared" si="270"/>
        <v>0</v>
      </c>
      <c r="H1765" s="11">
        <f t="shared" si="271"/>
        <v>16.8</v>
      </c>
      <c r="I1765" s="11">
        <f t="shared" si="272"/>
        <v>0.24000000000000002</v>
      </c>
      <c r="J1765" s="12">
        <f t="shared" si="273"/>
        <v>-16.8</v>
      </c>
      <c r="K1765" s="17" t="str">
        <f t="shared" si="278"/>
        <v>Ecart négatif</v>
      </c>
      <c r="L1765" s="16">
        <f>base!X1765</f>
        <v>8.4</v>
      </c>
      <c r="M1765" s="11">
        <f t="shared" si="274"/>
        <v>0.12000000000000001</v>
      </c>
      <c r="N1765" s="11">
        <f t="shared" si="275"/>
        <v>8.4</v>
      </c>
      <c r="O1765" s="11">
        <f t="shared" si="276"/>
        <v>0.12000000000000001</v>
      </c>
      <c r="P1765" s="12">
        <f t="shared" si="277"/>
        <v>0</v>
      </c>
      <c r="Q1765" s="17" t="str">
        <f t="shared" si="279"/>
        <v>Pas d'écart</v>
      </c>
      <c r="R1765" s="38"/>
    </row>
    <row r="1766" spans="1:18" x14ac:dyDescent="0.3">
      <c r="A1766" s="34" t="str">
        <f>base!J1766</f>
        <v>RM</v>
      </c>
      <c r="B1766" s="34" t="str">
        <f>base!V1766</f>
        <v>70300</v>
      </c>
      <c r="C1766" s="37">
        <v>70</v>
      </c>
      <c r="D1766" s="36">
        <f>base!H1766</f>
        <v>70</v>
      </c>
      <c r="E1766" s="44"/>
      <c r="F1766" s="16">
        <f>base!W1766</f>
        <v>0</v>
      </c>
      <c r="G1766" s="11">
        <f t="shared" si="270"/>
        <v>0</v>
      </c>
      <c r="H1766" s="11">
        <f t="shared" si="271"/>
        <v>16.8</v>
      </c>
      <c r="I1766" s="11">
        <f t="shared" si="272"/>
        <v>0.24000000000000002</v>
      </c>
      <c r="J1766" s="12">
        <f t="shared" si="273"/>
        <v>-16.8</v>
      </c>
      <c r="K1766" s="17" t="str">
        <f t="shared" si="278"/>
        <v>Ecart négatif</v>
      </c>
      <c r="L1766" s="16">
        <f>base!X1766</f>
        <v>8.4</v>
      </c>
      <c r="M1766" s="11">
        <f t="shared" si="274"/>
        <v>0.12000000000000001</v>
      </c>
      <c r="N1766" s="11">
        <f t="shared" si="275"/>
        <v>8.4</v>
      </c>
      <c r="O1766" s="11">
        <f t="shared" si="276"/>
        <v>0.12000000000000001</v>
      </c>
      <c r="P1766" s="12">
        <f t="shared" si="277"/>
        <v>0</v>
      </c>
      <c r="Q1766" s="17" t="str">
        <f t="shared" si="279"/>
        <v>Pas d'écart</v>
      </c>
      <c r="R1766" s="38"/>
    </row>
    <row r="1767" spans="1:18" x14ac:dyDescent="0.3">
      <c r="A1767" s="34" t="str">
        <f>base!J1767</f>
        <v>RS</v>
      </c>
      <c r="B1767" s="34" t="str">
        <f>base!V1767</f>
        <v>25320</v>
      </c>
      <c r="C1767" s="37">
        <v>25</v>
      </c>
      <c r="D1767" s="36">
        <f>base!H1767</f>
        <v>151.97</v>
      </c>
      <c r="E1767" s="44"/>
      <c r="F1767" s="16">
        <f>base!W1767</f>
        <v>0</v>
      </c>
      <c r="G1767" s="11">
        <f t="shared" si="270"/>
        <v>0</v>
      </c>
      <c r="H1767" s="11">
        <f t="shared" si="271"/>
        <v>36.472799999999999</v>
      </c>
      <c r="I1767" s="11">
        <f t="shared" si="272"/>
        <v>0.24</v>
      </c>
      <c r="J1767" s="12">
        <f t="shared" si="273"/>
        <v>-36.472799999999999</v>
      </c>
      <c r="K1767" s="17" t="str">
        <f t="shared" si="278"/>
        <v>Ecart négatif</v>
      </c>
      <c r="L1767" s="16">
        <f>base!X1767</f>
        <v>18.239999999999998</v>
      </c>
      <c r="M1767" s="11">
        <f t="shared" si="274"/>
        <v>0.12002368888596432</v>
      </c>
      <c r="N1767" s="11">
        <f t="shared" si="275"/>
        <v>18.2364</v>
      </c>
      <c r="O1767" s="11">
        <f t="shared" si="276"/>
        <v>0.12</v>
      </c>
      <c r="P1767" s="12">
        <f t="shared" si="277"/>
        <v>3.5999999999987153E-3</v>
      </c>
      <c r="Q1767" s="17" t="str">
        <f t="shared" si="279"/>
        <v>Ecart positif</v>
      </c>
      <c r="R1767" s="38"/>
    </row>
    <row r="1768" spans="1:18" x14ac:dyDescent="0.3">
      <c r="A1768" s="34" t="str">
        <f>base!J1768</f>
        <v>RM</v>
      </c>
      <c r="B1768" s="34" t="str">
        <f>base!V1768</f>
        <v>06200</v>
      </c>
      <c r="C1768" s="37">
        <v>6</v>
      </c>
      <c r="D1768" s="36">
        <f>base!H1768</f>
        <v>40</v>
      </c>
      <c r="E1768" s="44"/>
      <c r="F1768" s="16">
        <f>base!W1768</f>
        <v>0</v>
      </c>
      <c r="G1768" s="11">
        <f t="shared" si="270"/>
        <v>0</v>
      </c>
      <c r="H1768" s="11">
        <f t="shared" si="271"/>
        <v>12</v>
      </c>
      <c r="I1768" s="11">
        <f t="shared" si="272"/>
        <v>0.3</v>
      </c>
      <c r="J1768" s="12">
        <f t="shared" si="273"/>
        <v>-12</v>
      </c>
      <c r="K1768" s="17" t="str">
        <f t="shared" si="278"/>
        <v>Ecart négatif</v>
      </c>
      <c r="L1768" s="16">
        <f>base!X1768</f>
        <v>8.4</v>
      </c>
      <c r="M1768" s="11">
        <f t="shared" si="274"/>
        <v>0.21000000000000002</v>
      </c>
      <c r="N1768" s="11">
        <f t="shared" si="275"/>
        <v>8.4</v>
      </c>
      <c r="O1768" s="11">
        <f t="shared" si="276"/>
        <v>0.21000000000000002</v>
      </c>
      <c r="P1768" s="12">
        <f t="shared" si="277"/>
        <v>0</v>
      </c>
      <c r="Q1768" s="17" t="str">
        <f t="shared" si="279"/>
        <v>Pas d'écart</v>
      </c>
      <c r="R1768" s="38"/>
    </row>
    <row r="1769" spans="1:18" x14ac:dyDescent="0.3">
      <c r="A1769" s="34" t="str">
        <f>base!J1769</f>
        <v>RS</v>
      </c>
      <c r="B1769" s="34" t="str">
        <f>base!V1769</f>
        <v>35510</v>
      </c>
      <c r="C1769" s="37">
        <v>35</v>
      </c>
      <c r="D1769" s="36">
        <f>base!H1769</f>
        <v>180</v>
      </c>
      <c r="E1769" s="44"/>
      <c r="F1769" s="16">
        <f>base!W1769</f>
        <v>0</v>
      </c>
      <c r="G1769" s="11">
        <f t="shared" si="270"/>
        <v>0</v>
      </c>
      <c r="H1769" s="11">
        <f t="shared" si="271"/>
        <v>48.6</v>
      </c>
      <c r="I1769" s="11">
        <f t="shared" si="272"/>
        <v>0.27</v>
      </c>
      <c r="J1769" s="12">
        <f t="shared" si="273"/>
        <v>-48.6</v>
      </c>
      <c r="K1769" s="17" t="str">
        <f t="shared" si="278"/>
        <v>Ecart négatif</v>
      </c>
      <c r="L1769" s="16">
        <f>base!X1769</f>
        <v>0</v>
      </c>
      <c r="M1769" s="11">
        <f t="shared" si="274"/>
        <v>0</v>
      </c>
      <c r="N1769" s="11">
        <f t="shared" si="275"/>
        <v>0</v>
      </c>
      <c r="O1769" s="11">
        <f t="shared" si="276"/>
        <v>0</v>
      </c>
      <c r="P1769" s="12">
        <f t="shared" si="277"/>
        <v>0</v>
      </c>
      <c r="Q1769" s="17" t="str">
        <f t="shared" si="279"/>
        <v>Pas d'écart</v>
      </c>
    </row>
    <row r="1770" spans="1:18" x14ac:dyDescent="0.3">
      <c r="A1770" s="34" t="str">
        <f>base!J1770</f>
        <v>RM</v>
      </c>
      <c r="B1770" s="34" t="str">
        <f>base!V1770</f>
        <v>37210</v>
      </c>
      <c r="C1770" s="37">
        <v>37</v>
      </c>
      <c r="D1770" s="36">
        <f>base!H1770</f>
        <v>133.4</v>
      </c>
      <c r="E1770" s="44"/>
      <c r="F1770" s="16">
        <f>base!W1770</f>
        <v>0</v>
      </c>
      <c r="G1770" s="11">
        <f t="shared" si="270"/>
        <v>0</v>
      </c>
      <c r="H1770" s="11">
        <f t="shared" si="271"/>
        <v>25.346</v>
      </c>
      <c r="I1770" s="11">
        <f t="shared" si="272"/>
        <v>0.19</v>
      </c>
      <c r="J1770" s="12">
        <f t="shared" si="273"/>
        <v>-25.346</v>
      </c>
      <c r="K1770" s="17" t="str">
        <f t="shared" si="278"/>
        <v>Ecart négatif</v>
      </c>
      <c r="L1770" s="16">
        <f>base!X1770</f>
        <v>0</v>
      </c>
      <c r="M1770" s="11">
        <f t="shared" si="274"/>
        <v>0</v>
      </c>
      <c r="N1770" s="11">
        <f t="shared" si="275"/>
        <v>16.007999999999999</v>
      </c>
      <c r="O1770" s="11">
        <f t="shared" si="276"/>
        <v>0.11999999999999998</v>
      </c>
      <c r="P1770" s="12">
        <f t="shared" si="277"/>
        <v>-16.007999999999999</v>
      </c>
      <c r="Q1770" s="17" t="str">
        <f t="shared" si="279"/>
        <v>Ecart négatif</v>
      </c>
    </row>
    <row r="1771" spans="1:18" x14ac:dyDescent="0.3">
      <c r="A1771" s="34" t="str">
        <f>base!J1771</f>
        <v>RS</v>
      </c>
      <c r="B1771" s="34" t="str">
        <f>base!V1771</f>
        <v>13090</v>
      </c>
      <c r="C1771" s="37">
        <v>13</v>
      </c>
      <c r="D1771" s="36">
        <f>base!H1771</f>
        <v>32</v>
      </c>
      <c r="E1771" s="44"/>
      <c r="F1771" s="16">
        <f>base!W1771</f>
        <v>0</v>
      </c>
      <c r="G1771" s="11">
        <f t="shared" si="270"/>
        <v>0</v>
      </c>
      <c r="H1771" s="11">
        <f t="shared" si="271"/>
        <v>9.2799999999999994</v>
      </c>
      <c r="I1771" s="11">
        <f t="shared" si="272"/>
        <v>0.28999999999999998</v>
      </c>
      <c r="J1771" s="12">
        <f t="shared" si="273"/>
        <v>-9.2799999999999994</v>
      </c>
      <c r="K1771" s="17" t="str">
        <f t="shared" si="278"/>
        <v>Ecart négatif</v>
      </c>
      <c r="L1771" s="16">
        <f>base!X1771</f>
        <v>8.64</v>
      </c>
      <c r="M1771" s="11">
        <f t="shared" si="274"/>
        <v>0.27</v>
      </c>
      <c r="N1771" s="11">
        <f t="shared" si="275"/>
        <v>6.08</v>
      </c>
      <c r="O1771" s="11">
        <f t="shared" si="276"/>
        <v>0.19</v>
      </c>
      <c r="P1771" s="12">
        <f t="shared" si="277"/>
        <v>2.5600000000000005</v>
      </c>
      <c r="Q1771" s="17" t="str">
        <f t="shared" si="279"/>
        <v>Ecart positif</v>
      </c>
      <c r="R1771" s="38"/>
    </row>
    <row r="1772" spans="1:18" x14ac:dyDescent="0.3">
      <c r="A1772" s="34" t="str">
        <f>base!J1772</f>
        <v>RS</v>
      </c>
      <c r="B1772" s="34" t="str">
        <f>base!V1772</f>
        <v>16190</v>
      </c>
      <c r="C1772" s="37">
        <v>16</v>
      </c>
      <c r="D1772" s="36">
        <f>base!H1772</f>
        <v>62.6</v>
      </c>
      <c r="E1772" s="44"/>
      <c r="F1772" s="16">
        <f>base!W1772</f>
        <v>0</v>
      </c>
      <c r="G1772" s="11">
        <f t="shared" si="270"/>
        <v>0</v>
      </c>
      <c r="H1772" s="11">
        <f t="shared" si="271"/>
        <v>13.145999999999999</v>
      </c>
      <c r="I1772" s="11">
        <f t="shared" si="272"/>
        <v>0.21</v>
      </c>
      <c r="J1772" s="12">
        <f t="shared" si="273"/>
        <v>-13.145999999999999</v>
      </c>
      <c r="K1772" s="17" t="str">
        <f t="shared" si="278"/>
        <v>Ecart négatif</v>
      </c>
      <c r="L1772" s="16">
        <f>base!X1772</f>
        <v>10.64</v>
      </c>
      <c r="M1772" s="11">
        <f t="shared" si="274"/>
        <v>0.16996805111821087</v>
      </c>
      <c r="N1772" s="11">
        <f t="shared" si="275"/>
        <v>10.642000000000001</v>
      </c>
      <c r="O1772" s="11">
        <f t="shared" si="276"/>
        <v>0.17</v>
      </c>
      <c r="P1772" s="12">
        <f t="shared" si="277"/>
        <v>-2.0000000000006679E-3</v>
      </c>
      <c r="Q1772" s="17" t="str">
        <f t="shared" si="279"/>
        <v>Ecart négatif</v>
      </c>
      <c r="R1772" s="38"/>
    </row>
    <row r="1773" spans="1:18" x14ac:dyDescent="0.3">
      <c r="A1773" s="34" t="str">
        <f>base!J1773</f>
        <v>RM</v>
      </c>
      <c r="B1773" s="34" t="str">
        <f>base!V1773</f>
        <v>14000</v>
      </c>
      <c r="C1773" s="37">
        <v>14</v>
      </c>
      <c r="D1773" s="36">
        <f>base!H1773</f>
        <v>173.92</v>
      </c>
      <c r="E1773" s="44"/>
      <c r="F1773" s="16">
        <f>base!W1773</f>
        <v>0</v>
      </c>
      <c r="G1773" s="11">
        <f t="shared" si="270"/>
        <v>0</v>
      </c>
      <c r="H1773" s="11">
        <f t="shared" si="271"/>
        <v>29.566400000000002</v>
      </c>
      <c r="I1773" s="11">
        <f t="shared" si="272"/>
        <v>0.17</v>
      </c>
      <c r="J1773" s="12">
        <f t="shared" si="273"/>
        <v>-29.566400000000002</v>
      </c>
      <c r="K1773" s="17" t="str">
        <f t="shared" si="278"/>
        <v>Ecart négatif</v>
      </c>
      <c r="L1773" s="16">
        <f>base!X1773</f>
        <v>0</v>
      </c>
      <c r="M1773" s="11">
        <f t="shared" si="274"/>
        <v>0</v>
      </c>
      <c r="N1773" s="11">
        <f t="shared" si="275"/>
        <v>29.566400000000002</v>
      </c>
      <c r="O1773" s="11">
        <f t="shared" si="276"/>
        <v>0.17</v>
      </c>
      <c r="P1773" s="12">
        <f t="shared" si="277"/>
        <v>-29.566400000000002</v>
      </c>
      <c r="Q1773" s="17" t="str">
        <f t="shared" si="279"/>
        <v>Ecart négatif</v>
      </c>
    </row>
    <row r="1774" spans="1:18" x14ac:dyDescent="0.3">
      <c r="A1774" s="34" t="str">
        <f>base!J1774</f>
        <v>RS</v>
      </c>
      <c r="B1774" s="34" t="str">
        <f>base!V1774</f>
        <v>76000</v>
      </c>
      <c r="C1774" s="37">
        <v>76</v>
      </c>
      <c r="D1774" s="36">
        <f>base!H1774</f>
        <v>165.32</v>
      </c>
      <c r="E1774" s="44"/>
      <c r="F1774" s="16">
        <f>base!W1774</f>
        <v>0</v>
      </c>
      <c r="G1774" s="11">
        <f t="shared" si="270"/>
        <v>0</v>
      </c>
      <c r="H1774" s="11">
        <f t="shared" si="271"/>
        <v>28.104400000000002</v>
      </c>
      <c r="I1774" s="11">
        <f t="shared" si="272"/>
        <v>0.17</v>
      </c>
      <c r="J1774" s="12">
        <f t="shared" si="273"/>
        <v>-28.104400000000002</v>
      </c>
      <c r="K1774" s="17" t="str">
        <f t="shared" si="278"/>
        <v>Ecart négatif</v>
      </c>
      <c r="L1774" s="16">
        <f>base!X1774</f>
        <v>28.1</v>
      </c>
      <c r="M1774" s="11">
        <f t="shared" si="274"/>
        <v>0.16997338495039924</v>
      </c>
      <c r="N1774" s="11">
        <f t="shared" si="275"/>
        <v>28.104400000000002</v>
      </c>
      <c r="O1774" s="11">
        <f t="shared" si="276"/>
        <v>0.17</v>
      </c>
      <c r="P1774" s="12">
        <f t="shared" si="277"/>
        <v>-4.4000000000004036E-3</v>
      </c>
      <c r="Q1774" s="17" t="str">
        <f t="shared" si="279"/>
        <v>Ecart négatif</v>
      </c>
      <c r="R1774" s="38"/>
    </row>
    <row r="1775" spans="1:18" x14ac:dyDescent="0.3">
      <c r="A1775" s="34" t="str">
        <f>base!J1775</f>
        <v>RM</v>
      </c>
      <c r="B1775" s="34" t="str">
        <f>base!V1775</f>
        <v>76530</v>
      </c>
      <c r="C1775" s="37">
        <v>76</v>
      </c>
      <c r="D1775" s="36">
        <f>base!H1775</f>
        <v>79.760000000000005</v>
      </c>
      <c r="E1775" s="44"/>
      <c r="F1775" s="16">
        <f>base!W1775</f>
        <v>0</v>
      </c>
      <c r="G1775" s="11">
        <f t="shared" si="270"/>
        <v>0</v>
      </c>
      <c r="H1775" s="11">
        <f t="shared" si="271"/>
        <v>13.559200000000002</v>
      </c>
      <c r="I1775" s="11">
        <f t="shared" si="272"/>
        <v>0.17</v>
      </c>
      <c r="J1775" s="12">
        <f t="shared" si="273"/>
        <v>-13.559200000000002</v>
      </c>
      <c r="K1775" s="17" t="str">
        <f t="shared" si="278"/>
        <v>Ecart négatif</v>
      </c>
      <c r="L1775" s="16">
        <f>base!X1775</f>
        <v>0</v>
      </c>
      <c r="M1775" s="11">
        <f t="shared" si="274"/>
        <v>0</v>
      </c>
      <c r="N1775" s="11">
        <f t="shared" si="275"/>
        <v>13.559200000000002</v>
      </c>
      <c r="O1775" s="11">
        <f t="shared" si="276"/>
        <v>0.17</v>
      </c>
      <c r="P1775" s="12">
        <f t="shared" si="277"/>
        <v>-13.559200000000002</v>
      </c>
      <c r="Q1775" s="17" t="str">
        <f t="shared" si="279"/>
        <v>Ecart négatif</v>
      </c>
    </row>
    <row r="1776" spans="1:18" x14ac:dyDescent="0.3">
      <c r="A1776" s="34" t="str">
        <f>base!J1776</f>
        <v>RS</v>
      </c>
      <c r="B1776" s="34" t="str">
        <f>base!V1776</f>
        <v>45650</v>
      </c>
      <c r="C1776" s="37">
        <v>45</v>
      </c>
      <c r="D1776" s="36">
        <f>base!H1776</f>
        <v>140</v>
      </c>
      <c r="E1776" s="44"/>
      <c r="F1776" s="16">
        <f>base!W1776</f>
        <v>0</v>
      </c>
      <c r="G1776" s="11">
        <f t="shared" si="270"/>
        <v>0</v>
      </c>
      <c r="H1776" s="11">
        <f t="shared" si="271"/>
        <v>29.4</v>
      </c>
      <c r="I1776" s="11">
        <f t="shared" si="272"/>
        <v>0.21</v>
      </c>
      <c r="J1776" s="12">
        <f t="shared" si="273"/>
        <v>-29.4</v>
      </c>
      <c r="K1776" s="17" t="str">
        <f t="shared" si="278"/>
        <v>Ecart négatif</v>
      </c>
      <c r="L1776" s="16">
        <f>base!X1776</f>
        <v>0</v>
      </c>
      <c r="M1776" s="11">
        <f t="shared" si="274"/>
        <v>0</v>
      </c>
      <c r="N1776" s="11">
        <f t="shared" si="275"/>
        <v>16.8</v>
      </c>
      <c r="O1776" s="11">
        <f t="shared" si="276"/>
        <v>0.12000000000000001</v>
      </c>
      <c r="P1776" s="12">
        <f t="shared" si="277"/>
        <v>-16.8</v>
      </c>
      <c r="Q1776" s="17" t="str">
        <f t="shared" si="279"/>
        <v>Ecart négatif</v>
      </c>
    </row>
    <row r="1777" spans="1:18" x14ac:dyDescent="0.3">
      <c r="A1777" s="34" t="str">
        <f>base!J1777</f>
        <v>RM</v>
      </c>
      <c r="B1777" s="34" t="str">
        <f>base!V1777</f>
        <v>55190</v>
      </c>
      <c r="C1777" s="37">
        <v>55</v>
      </c>
      <c r="D1777" s="36">
        <f>base!H1777</f>
        <v>40</v>
      </c>
      <c r="E1777" s="44"/>
      <c r="F1777" s="16">
        <f>base!W1777</f>
        <v>0</v>
      </c>
      <c r="G1777" s="11">
        <f t="shared" si="270"/>
        <v>0</v>
      </c>
      <c r="H1777" s="11">
        <f t="shared" si="271"/>
        <v>10</v>
      </c>
      <c r="I1777" s="11">
        <f t="shared" si="272"/>
        <v>0.25</v>
      </c>
      <c r="J1777" s="12">
        <f t="shared" si="273"/>
        <v>-10</v>
      </c>
      <c r="K1777" s="17" t="str">
        <f t="shared" si="278"/>
        <v>Ecart négatif</v>
      </c>
      <c r="L1777" s="16">
        <f>base!X1777</f>
        <v>10</v>
      </c>
      <c r="M1777" s="11">
        <f t="shared" si="274"/>
        <v>0.25</v>
      </c>
      <c r="N1777" s="11">
        <f t="shared" si="275"/>
        <v>10</v>
      </c>
      <c r="O1777" s="11">
        <f t="shared" si="276"/>
        <v>0.25</v>
      </c>
      <c r="P1777" s="12">
        <f t="shared" si="277"/>
        <v>0</v>
      </c>
      <c r="Q1777" s="17" t="str">
        <f t="shared" si="279"/>
        <v>Pas d'écart</v>
      </c>
    </row>
    <row r="1778" spans="1:18" x14ac:dyDescent="0.3">
      <c r="A1778" s="34" t="str">
        <f>base!J1778</f>
        <v>RS</v>
      </c>
      <c r="B1778" s="34" t="str">
        <f>base!V1778</f>
        <v>83700</v>
      </c>
      <c r="C1778" s="37">
        <v>83</v>
      </c>
      <c r="D1778" s="36">
        <f>base!H1778</f>
        <v>49.5</v>
      </c>
      <c r="E1778" s="44"/>
      <c r="F1778" s="16">
        <f>base!W1778</f>
        <v>0</v>
      </c>
      <c r="G1778" s="11">
        <f t="shared" si="270"/>
        <v>0</v>
      </c>
      <c r="H1778" s="11">
        <f t="shared" si="271"/>
        <v>14.85</v>
      </c>
      <c r="I1778" s="11">
        <f t="shared" si="272"/>
        <v>0.3</v>
      </c>
      <c r="J1778" s="12">
        <f t="shared" si="273"/>
        <v>-14.85</v>
      </c>
      <c r="K1778" s="17" t="str">
        <f t="shared" si="278"/>
        <v>Ecart négatif</v>
      </c>
      <c r="L1778" s="16">
        <f>base!X1778</f>
        <v>0</v>
      </c>
      <c r="M1778" s="11">
        <f t="shared" si="274"/>
        <v>0</v>
      </c>
      <c r="N1778" s="11">
        <f t="shared" si="275"/>
        <v>10.395</v>
      </c>
      <c r="O1778" s="11">
        <f t="shared" si="276"/>
        <v>0.21</v>
      </c>
      <c r="P1778" s="12">
        <f t="shared" si="277"/>
        <v>-10.395</v>
      </c>
      <c r="Q1778" s="17" t="str">
        <f t="shared" si="279"/>
        <v>Ecart négatif</v>
      </c>
    </row>
    <row r="1779" spans="1:18" x14ac:dyDescent="0.3">
      <c r="A1779" s="34" t="str">
        <f>base!J1779</f>
        <v>DLS</v>
      </c>
      <c r="B1779" s="34" t="str">
        <f>base!V1779</f>
        <v>91160</v>
      </c>
      <c r="C1779" s="37">
        <v>91</v>
      </c>
      <c r="D1779" s="36">
        <f>base!H1779</f>
        <v>151</v>
      </c>
      <c r="E1779" s="44"/>
      <c r="F1779" s="16">
        <f>base!W1779</f>
        <v>0</v>
      </c>
      <c r="G1779" s="11">
        <f t="shared" si="270"/>
        <v>0</v>
      </c>
      <c r="H1779" s="11">
        <f t="shared" si="271"/>
        <v>0</v>
      </c>
      <c r="I1779" s="11">
        <f t="shared" si="272"/>
        <v>0</v>
      </c>
      <c r="J1779" s="12">
        <f t="shared" si="273"/>
        <v>0</v>
      </c>
      <c r="K1779" s="17" t="str">
        <f t="shared" si="278"/>
        <v>Pas d'écart</v>
      </c>
      <c r="L1779" s="16">
        <f>base!X1779</f>
        <v>0</v>
      </c>
      <c r="M1779" s="11">
        <f t="shared" si="274"/>
        <v>0</v>
      </c>
      <c r="N1779" s="11">
        <f t="shared" si="275"/>
        <v>0</v>
      </c>
      <c r="O1779" s="11">
        <f t="shared" si="276"/>
        <v>0</v>
      </c>
      <c r="P1779" s="12">
        <f t="shared" si="277"/>
        <v>0</v>
      </c>
      <c r="Q1779" s="17" t="str">
        <f t="shared" si="279"/>
        <v>Pas d'écart</v>
      </c>
    </row>
    <row r="1780" spans="1:18" x14ac:dyDescent="0.3">
      <c r="A1780" s="34" t="str">
        <f>base!J1780</f>
        <v>RM</v>
      </c>
      <c r="B1780" s="34" t="str">
        <f>base!V1780</f>
        <v>70000</v>
      </c>
      <c r="C1780" s="37">
        <v>70</v>
      </c>
      <c r="D1780" s="36">
        <f>base!H1780</f>
        <v>55</v>
      </c>
      <c r="E1780" s="44"/>
      <c r="F1780" s="16">
        <f>base!W1780</f>
        <v>0</v>
      </c>
      <c r="G1780" s="11">
        <f t="shared" si="270"/>
        <v>0</v>
      </c>
      <c r="H1780" s="11">
        <f t="shared" si="271"/>
        <v>13.2</v>
      </c>
      <c r="I1780" s="11">
        <f t="shared" si="272"/>
        <v>0.24</v>
      </c>
      <c r="J1780" s="12">
        <f t="shared" si="273"/>
        <v>-13.2</v>
      </c>
      <c r="K1780" s="17" t="str">
        <f t="shared" si="278"/>
        <v>Ecart négatif</v>
      </c>
      <c r="L1780" s="16">
        <f>base!X1780</f>
        <v>6.6</v>
      </c>
      <c r="M1780" s="11">
        <f t="shared" si="274"/>
        <v>0.12</v>
      </c>
      <c r="N1780" s="11">
        <f t="shared" si="275"/>
        <v>6.6</v>
      </c>
      <c r="O1780" s="11">
        <f t="shared" si="276"/>
        <v>0.12</v>
      </c>
      <c r="P1780" s="12">
        <f t="shared" si="277"/>
        <v>0</v>
      </c>
      <c r="Q1780" s="17" t="str">
        <f t="shared" si="279"/>
        <v>Pas d'écart</v>
      </c>
      <c r="R1780" s="38"/>
    </row>
    <row r="1781" spans="1:18" x14ac:dyDescent="0.3">
      <c r="A1781" s="34" t="str">
        <f>base!J1781</f>
        <v>RM</v>
      </c>
      <c r="B1781" s="34" t="str">
        <f>base!V1781</f>
        <v>70000</v>
      </c>
      <c r="C1781" s="37">
        <v>70</v>
      </c>
      <c r="D1781" s="36">
        <f>base!H1781</f>
        <v>350</v>
      </c>
      <c r="E1781" s="44"/>
      <c r="F1781" s="16">
        <f>base!W1781</f>
        <v>0</v>
      </c>
      <c r="G1781" s="11">
        <f t="shared" si="270"/>
        <v>0</v>
      </c>
      <c r="H1781" s="11">
        <f t="shared" si="271"/>
        <v>84</v>
      </c>
      <c r="I1781" s="11">
        <f t="shared" si="272"/>
        <v>0.24</v>
      </c>
      <c r="J1781" s="12">
        <f t="shared" si="273"/>
        <v>-84</v>
      </c>
      <c r="K1781" s="17" t="str">
        <f t="shared" si="278"/>
        <v>Ecart négatif</v>
      </c>
      <c r="L1781" s="16">
        <f>base!X1781</f>
        <v>42</v>
      </c>
      <c r="M1781" s="11">
        <f t="shared" si="274"/>
        <v>0.12</v>
      </c>
      <c r="N1781" s="11">
        <f t="shared" si="275"/>
        <v>42</v>
      </c>
      <c r="O1781" s="11">
        <f t="shared" si="276"/>
        <v>0.12</v>
      </c>
      <c r="P1781" s="12">
        <f t="shared" si="277"/>
        <v>0</v>
      </c>
      <c r="Q1781" s="17" t="str">
        <f t="shared" si="279"/>
        <v>Pas d'écart</v>
      </c>
      <c r="R1781" s="38"/>
    </row>
    <row r="1782" spans="1:18" x14ac:dyDescent="0.3">
      <c r="A1782" s="34" t="str">
        <f>base!J1782</f>
        <v>RM</v>
      </c>
      <c r="B1782" s="34" t="str">
        <f>base!V1782</f>
        <v>72310</v>
      </c>
      <c r="C1782" s="37">
        <v>72</v>
      </c>
      <c r="D1782" s="36">
        <f>base!H1782</f>
        <v>22</v>
      </c>
      <c r="E1782" s="44"/>
      <c r="F1782" s="16">
        <f>base!W1782</f>
        <v>0</v>
      </c>
      <c r="G1782" s="11">
        <f t="shared" si="270"/>
        <v>0</v>
      </c>
      <c r="H1782" s="11">
        <f t="shared" si="271"/>
        <v>4.62</v>
      </c>
      <c r="I1782" s="11">
        <f t="shared" si="272"/>
        <v>0.21</v>
      </c>
      <c r="J1782" s="12">
        <f t="shared" si="273"/>
        <v>-4.62</v>
      </c>
      <c r="K1782" s="17" t="str">
        <f t="shared" si="278"/>
        <v>Ecart négatif</v>
      </c>
      <c r="L1782" s="16">
        <f>base!X1782</f>
        <v>0</v>
      </c>
      <c r="M1782" s="11">
        <f t="shared" si="274"/>
        <v>0</v>
      </c>
      <c r="N1782" s="11">
        <f t="shared" si="275"/>
        <v>2.6399999999999997</v>
      </c>
      <c r="O1782" s="11">
        <f t="shared" si="276"/>
        <v>0.11999999999999998</v>
      </c>
      <c r="P1782" s="12">
        <f t="shared" si="277"/>
        <v>-2.6399999999999997</v>
      </c>
      <c r="Q1782" s="17" t="str">
        <f t="shared" si="279"/>
        <v>Ecart négatif</v>
      </c>
    </row>
    <row r="1783" spans="1:18" x14ac:dyDescent="0.3">
      <c r="A1783" s="34" t="str">
        <f>base!J1783</f>
        <v>RS</v>
      </c>
      <c r="B1783" s="34" t="str">
        <f>base!V1783</f>
        <v>13009</v>
      </c>
      <c r="C1783" s="37">
        <v>13</v>
      </c>
      <c r="D1783" s="36">
        <f>base!H1783</f>
        <v>250</v>
      </c>
      <c r="E1783" s="44"/>
      <c r="F1783" s="16">
        <f>base!W1783</f>
        <v>0</v>
      </c>
      <c r="G1783" s="11">
        <f t="shared" si="270"/>
        <v>0</v>
      </c>
      <c r="H1783" s="11">
        <f t="shared" si="271"/>
        <v>72.5</v>
      </c>
      <c r="I1783" s="11">
        <f t="shared" si="272"/>
        <v>0.28999999999999998</v>
      </c>
      <c r="J1783" s="12">
        <f t="shared" si="273"/>
        <v>-72.5</v>
      </c>
      <c r="K1783" s="17" t="str">
        <f t="shared" si="278"/>
        <v>Ecart négatif</v>
      </c>
      <c r="L1783" s="16">
        <f>base!X1783</f>
        <v>0</v>
      </c>
      <c r="M1783" s="11">
        <f t="shared" si="274"/>
        <v>0</v>
      </c>
      <c r="N1783" s="11">
        <f t="shared" si="275"/>
        <v>47.5</v>
      </c>
      <c r="O1783" s="11">
        <f t="shared" si="276"/>
        <v>0.19</v>
      </c>
      <c r="P1783" s="12">
        <f t="shared" si="277"/>
        <v>-47.5</v>
      </c>
      <c r="Q1783" s="17" t="str">
        <f t="shared" si="279"/>
        <v>Ecart négatif</v>
      </c>
    </row>
    <row r="1784" spans="1:18" x14ac:dyDescent="0.3">
      <c r="A1784" s="34" t="str">
        <f>base!J1784</f>
        <v>LS</v>
      </c>
      <c r="B1784" s="34" t="str">
        <f>base!V1784</f>
        <v>92000</v>
      </c>
      <c r="C1784" s="37">
        <v>92</v>
      </c>
      <c r="D1784" s="36">
        <f>base!H1784</f>
        <v>50.84</v>
      </c>
      <c r="E1784" s="44"/>
      <c r="F1784" s="16">
        <f>base!W1784</f>
        <v>0</v>
      </c>
      <c r="G1784" s="11">
        <f t="shared" si="270"/>
        <v>0</v>
      </c>
      <c r="H1784" s="11">
        <f t="shared" si="271"/>
        <v>0</v>
      </c>
      <c r="I1784" s="11">
        <f t="shared" si="272"/>
        <v>0</v>
      </c>
      <c r="J1784" s="12">
        <f t="shared" si="273"/>
        <v>0</v>
      </c>
      <c r="K1784" s="17" t="str">
        <f t="shared" si="278"/>
        <v>Pas d'écart</v>
      </c>
      <c r="L1784" s="16">
        <f>base!X1784</f>
        <v>0</v>
      </c>
      <c r="M1784" s="11">
        <f t="shared" si="274"/>
        <v>0</v>
      </c>
      <c r="N1784" s="11">
        <f t="shared" si="275"/>
        <v>0</v>
      </c>
      <c r="O1784" s="11">
        <f t="shared" si="276"/>
        <v>0</v>
      </c>
      <c r="P1784" s="12">
        <f t="shared" si="277"/>
        <v>0</v>
      </c>
      <c r="Q1784" s="17" t="str">
        <f t="shared" si="279"/>
        <v>Pas d'écart</v>
      </c>
    </row>
    <row r="1785" spans="1:18" x14ac:dyDescent="0.3">
      <c r="A1785" s="34" t="str">
        <f>base!J1785</f>
        <v>DLM</v>
      </c>
      <c r="B1785" s="34" t="str">
        <f>base!V1785</f>
        <v>69009</v>
      </c>
      <c r="C1785" s="37">
        <v>69</v>
      </c>
      <c r="D1785" s="36">
        <f>base!H1785</f>
        <v>52.5</v>
      </c>
      <c r="E1785" s="44"/>
      <c r="F1785" s="16">
        <f>base!W1785</f>
        <v>0</v>
      </c>
      <c r="G1785" s="11">
        <f t="shared" si="270"/>
        <v>0</v>
      </c>
      <c r="H1785" s="11">
        <f t="shared" si="271"/>
        <v>14.175000000000001</v>
      </c>
      <c r="I1785" s="11">
        <f t="shared" si="272"/>
        <v>0.27</v>
      </c>
      <c r="J1785" s="12">
        <f t="shared" si="273"/>
        <v>-14.175000000000001</v>
      </c>
      <c r="K1785" s="17" t="str">
        <f t="shared" si="278"/>
        <v>Ecart négatif</v>
      </c>
      <c r="L1785" s="16">
        <f>base!X1785</f>
        <v>0</v>
      </c>
      <c r="M1785" s="11">
        <f t="shared" si="274"/>
        <v>0</v>
      </c>
      <c r="N1785" s="11">
        <f t="shared" si="275"/>
        <v>0</v>
      </c>
      <c r="O1785" s="11">
        <f t="shared" si="276"/>
        <v>0</v>
      </c>
      <c r="P1785" s="12">
        <f t="shared" si="277"/>
        <v>0</v>
      </c>
      <c r="Q1785" s="17" t="str">
        <f t="shared" si="279"/>
        <v>Pas d'écart</v>
      </c>
    </row>
    <row r="1786" spans="1:18" x14ac:dyDescent="0.3">
      <c r="A1786" s="34" t="str">
        <f>base!J1786</f>
        <v>DLM</v>
      </c>
      <c r="B1786" s="34" t="str">
        <f>base!V1786</f>
        <v>13006</v>
      </c>
      <c r="C1786" s="37">
        <v>13</v>
      </c>
      <c r="D1786" s="36">
        <f>base!H1786</f>
        <v>52.5</v>
      </c>
      <c r="E1786" s="44"/>
      <c r="F1786" s="16">
        <f>base!W1786</f>
        <v>0</v>
      </c>
      <c r="G1786" s="11">
        <f t="shared" si="270"/>
        <v>0</v>
      </c>
      <c r="H1786" s="11">
        <f t="shared" si="271"/>
        <v>15.225</v>
      </c>
      <c r="I1786" s="11">
        <f t="shared" si="272"/>
        <v>0.28999999999999998</v>
      </c>
      <c r="J1786" s="12">
        <f t="shared" si="273"/>
        <v>-15.225</v>
      </c>
      <c r="K1786" s="17" t="str">
        <f t="shared" si="278"/>
        <v>Ecart négatif</v>
      </c>
      <c r="L1786" s="16">
        <f>base!X1786</f>
        <v>0</v>
      </c>
      <c r="M1786" s="11">
        <f t="shared" si="274"/>
        <v>0</v>
      </c>
      <c r="N1786" s="11">
        <f t="shared" si="275"/>
        <v>9.9749999999999996</v>
      </c>
      <c r="O1786" s="11">
        <f t="shared" si="276"/>
        <v>0.19</v>
      </c>
      <c r="P1786" s="12">
        <f t="shared" si="277"/>
        <v>-9.9749999999999996</v>
      </c>
      <c r="Q1786" s="17" t="str">
        <f t="shared" si="279"/>
        <v>Ecart négatif</v>
      </c>
    </row>
    <row r="1787" spans="1:18" x14ac:dyDescent="0.3">
      <c r="A1787" s="34" t="str">
        <f>base!J1787</f>
        <v>DLM</v>
      </c>
      <c r="B1787" s="34" t="str">
        <f>base!V1787</f>
        <v>56000</v>
      </c>
      <c r="C1787" s="37">
        <v>56</v>
      </c>
      <c r="D1787" s="36">
        <f>base!H1787</f>
        <v>52.5</v>
      </c>
      <c r="E1787" s="44"/>
      <c r="F1787" s="16">
        <f>base!W1787</f>
        <v>0</v>
      </c>
      <c r="G1787" s="11">
        <f t="shared" si="270"/>
        <v>0</v>
      </c>
      <c r="H1787" s="11">
        <f t="shared" si="271"/>
        <v>14.175000000000001</v>
      </c>
      <c r="I1787" s="11">
        <f t="shared" si="272"/>
        <v>0.27</v>
      </c>
      <c r="J1787" s="12">
        <f t="shared" si="273"/>
        <v>-14.175000000000001</v>
      </c>
      <c r="K1787" s="17" t="str">
        <f t="shared" si="278"/>
        <v>Ecart négatif</v>
      </c>
      <c r="L1787" s="16">
        <f>base!X1787</f>
        <v>0</v>
      </c>
      <c r="M1787" s="11">
        <f t="shared" si="274"/>
        <v>0</v>
      </c>
      <c r="N1787" s="11">
        <f t="shared" si="275"/>
        <v>0</v>
      </c>
      <c r="O1787" s="11">
        <f t="shared" si="276"/>
        <v>0</v>
      </c>
      <c r="P1787" s="12">
        <f t="shared" si="277"/>
        <v>0</v>
      </c>
      <c r="Q1787" s="17" t="str">
        <f t="shared" si="279"/>
        <v>Pas d'écart</v>
      </c>
    </row>
    <row r="1788" spans="1:18" x14ac:dyDescent="0.3">
      <c r="A1788" s="34" t="str">
        <f>base!J1788</f>
        <v>DLM</v>
      </c>
      <c r="B1788" s="34" t="str">
        <f>base!V1788</f>
        <v>34500</v>
      </c>
      <c r="C1788" s="37">
        <v>34</v>
      </c>
      <c r="D1788" s="36">
        <f>base!H1788</f>
        <v>52.5</v>
      </c>
      <c r="E1788" s="44"/>
      <c r="F1788" s="16">
        <f>base!W1788</f>
        <v>0</v>
      </c>
      <c r="G1788" s="11">
        <f t="shared" si="270"/>
        <v>0</v>
      </c>
      <c r="H1788" s="11">
        <f t="shared" si="271"/>
        <v>20.475000000000001</v>
      </c>
      <c r="I1788" s="11">
        <f t="shared" si="272"/>
        <v>0.39</v>
      </c>
      <c r="J1788" s="12">
        <f t="shared" si="273"/>
        <v>-20.475000000000001</v>
      </c>
      <c r="K1788" s="17" t="str">
        <f t="shared" si="278"/>
        <v>Ecart négatif</v>
      </c>
      <c r="L1788" s="16">
        <f>base!X1788</f>
        <v>0</v>
      </c>
      <c r="M1788" s="11">
        <f t="shared" si="274"/>
        <v>0</v>
      </c>
      <c r="N1788" s="11">
        <f t="shared" si="275"/>
        <v>14.700000000000001</v>
      </c>
      <c r="O1788" s="11">
        <f t="shared" si="276"/>
        <v>0.28000000000000003</v>
      </c>
      <c r="P1788" s="12">
        <f t="shared" si="277"/>
        <v>-14.700000000000001</v>
      </c>
      <c r="Q1788" s="17" t="str">
        <f t="shared" si="279"/>
        <v>Ecart négatif</v>
      </c>
    </row>
    <row r="1789" spans="1:18" x14ac:dyDescent="0.3">
      <c r="A1789" s="34" t="str">
        <f>base!J1789</f>
        <v>RM</v>
      </c>
      <c r="B1789" s="34" t="str">
        <f>base!V1789</f>
        <v>69120</v>
      </c>
      <c r="C1789" s="37">
        <v>69</v>
      </c>
      <c r="D1789" s="36">
        <f>base!H1789</f>
        <v>30</v>
      </c>
      <c r="E1789" s="44"/>
      <c r="F1789" s="16">
        <f>base!W1789</f>
        <v>0</v>
      </c>
      <c r="G1789" s="11">
        <f t="shared" si="270"/>
        <v>0</v>
      </c>
      <c r="H1789" s="11">
        <f t="shared" si="271"/>
        <v>8.1000000000000014</v>
      </c>
      <c r="I1789" s="11">
        <f t="shared" si="272"/>
        <v>0.27000000000000007</v>
      </c>
      <c r="J1789" s="12">
        <f t="shared" si="273"/>
        <v>-8.1000000000000014</v>
      </c>
      <c r="K1789" s="17" t="str">
        <f t="shared" si="278"/>
        <v>Ecart négatif</v>
      </c>
      <c r="L1789" s="16">
        <f>base!X1789</f>
        <v>0</v>
      </c>
      <c r="M1789" s="11">
        <f t="shared" si="274"/>
        <v>0</v>
      </c>
      <c r="N1789" s="11">
        <f t="shared" si="275"/>
        <v>0</v>
      </c>
      <c r="O1789" s="11">
        <f t="shared" si="276"/>
        <v>0</v>
      </c>
      <c r="P1789" s="12">
        <f t="shared" si="277"/>
        <v>0</v>
      </c>
      <c r="Q1789" s="17" t="str">
        <f t="shared" si="279"/>
        <v>Pas d'écart</v>
      </c>
    </row>
    <row r="1790" spans="1:18" x14ac:dyDescent="0.3">
      <c r="A1790" s="34" t="str">
        <f>base!J1790</f>
        <v>RM</v>
      </c>
      <c r="B1790" s="34" t="str">
        <f>base!V1790</f>
        <v>83600</v>
      </c>
      <c r="C1790" s="37">
        <v>83</v>
      </c>
      <c r="D1790" s="36">
        <f>base!H1790</f>
        <v>150</v>
      </c>
      <c r="E1790" s="44"/>
      <c r="F1790" s="16">
        <f>base!W1790</f>
        <v>0</v>
      </c>
      <c r="G1790" s="11">
        <f t="shared" si="270"/>
        <v>0</v>
      </c>
      <c r="H1790" s="11">
        <f t="shared" si="271"/>
        <v>45</v>
      </c>
      <c r="I1790" s="11">
        <f t="shared" si="272"/>
        <v>0.3</v>
      </c>
      <c r="J1790" s="12">
        <f t="shared" si="273"/>
        <v>-45</v>
      </c>
      <c r="K1790" s="17" t="str">
        <f t="shared" si="278"/>
        <v>Ecart négatif</v>
      </c>
      <c r="L1790" s="16">
        <f>base!X1790</f>
        <v>0</v>
      </c>
      <c r="M1790" s="11">
        <f t="shared" si="274"/>
        <v>0</v>
      </c>
      <c r="N1790" s="11">
        <f t="shared" si="275"/>
        <v>31.5</v>
      </c>
      <c r="O1790" s="11">
        <f t="shared" si="276"/>
        <v>0.21</v>
      </c>
      <c r="P1790" s="12">
        <f t="shared" si="277"/>
        <v>-31.5</v>
      </c>
      <c r="Q1790" s="17" t="str">
        <f t="shared" si="279"/>
        <v>Ecart négatif</v>
      </c>
    </row>
    <row r="1791" spans="1:18" x14ac:dyDescent="0.3">
      <c r="A1791" s="34" t="str">
        <f>base!J1791</f>
        <v>RS</v>
      </c>
      <c r="B1791" s="34" t="str">
        <f>base!V1791</f>
        <v>94120</v>
      </c>
      <c r="C1791" s="37">
        <v>94</v>
      </c>
      <c r="D1791" s="36">
        <f>base!H1791</f>
        <v>25</v>
      </c>
      <c r="E1791" s="44"/>
      <c r="F1791" s="16">
        <f>base!W1791</f>
        <v>0</v>
      </c>
      <c r="G1791" s="11">
        <f t="shared" si="270"/>
        <v>0</v>
      </c>
      <c r="H1791" s="11">
        <f t="shared" si="271"/>
        <v>0</v>
      </c>
      <c r="I1791" s="11">
        <f t="shared" si="272"/>
        <v>0</v>
      </c>
      <c r="J1791" s="12">
        <f t="shared" si="273"/>
        <v>0</v>
      </c>
      <c r="K1791" s="17" t="str">
        <f t="shared" si="278"/>
        <v>Pas d'écart</v>
      </c>
      <c r="L1791" s="16">
        <f>base!X1791</f>
        <v>0</v>
      </c>
      <c r="M1791" s="11">
        <f t="shared" si="274"/>
        <v>0</v>
      </c>
      <c r="N1791" s="11">
        <f t="shared" si="275"/>
        <v>0</v>
      </c>
      <c r="O1791" s="11">
        <f t="shared" si="276"/>
        <v>0</v>
      </c>
      <c r="P1791" s="12">
        <f t="shared" si="277"/>
        <v>0</v>
      </c>
      <c r="Q1791" s="17" t="str">
        <f t="shared" si="279"/>
        <v>Pas d'écart</v>
      </c>
    </row>
    <row r="1792" spans="1:18" x14ac:dyDescent="0.3">
      <c r="A1792" s="34" t="str">
        <f>base!J1792</f>
        <v>LM</v>
      </c>
      <c r="B1792" s="34" t="str">
        <f>base!V1792</f>
        <v>93013</v>
      </c>
      <c r="C1792" s="37">
        <v>93</v>
      </c>
      <c r="D1792" s="36">
        <f>base!H1792</f>
        <v>55.16</v>
      </c>
      <c r="E1792" s="44"/>
      <c r="F1792" s="16">
        <f>base!W1792</f>
        <v>0</v>
      </c>
      <c r="G1792" s="11">
        <f t="shared" si="270"/>
        <v>0</v>
      </c>
      <c r="H1792" s="11">
        <f t="shared" si="271"/>
        <v>0</v>
      </c>
      <c r="I1792" s="11">
        <f t="shared" si="272"/>
        <v>0</v>
      </c>
      <c r="J1792" s="12">
        <f t="shared" si="273"/>
        <v>0</v>
      </c>
      <c r="K1792" s="17" t="str">
        <f t="shared" si="278"/>
        <v>Pas d'écart</v>
      </c>
      <c r="L1792" s="16">
        <f>base!X1792</f>
        <v>0</v>
      </c>
      <c r="M1792" s="11">
        <f t="shared" si="274"/>
        <v>0</v>
      </c>
      <c r="N1792" s="11">
        <f t="shared" si="275"/>
        <v>0</v>
      </c>
      <c r="O1792" s="11">
        <f t="shared" si="276"/>
        <v>0</v>
      </c>
      <c r="P1792" s="12">
        <f t="shared" si="277"/>
        <v>0</v>
      </c>
      <c r="Q1792" s="17" t="str">
        <f t="shared" si="279"/>
        <v>Pas d'écart</v>
      </c>
    </row>
    <row r="1793" spans="1:18" x14ac:dyDescent="0.3">
      <c r="A1793" s="34" t="str">
        <f>base!J1793</f>
        <v>LM</v>
      </c>
      <c r="B1793" s="34" t="str">
        <f>base!V1793</f>
        <v>56920</v>
      </c>
      <c r="C1793" s="37">
        <v>59</v>
      </c>
      <c r="D1793" s="36">
        <f>base!H1793</f>
        <v>103.62</v>
      </c>
      <c r="E1793" s="44"/>
      <c r="F1793" s="16">
        <f>base!W1793</f>
        <v>27.98</v>
      </c>
      <c r="G1793" s="11">
        <f t="shared" si="270"/>
        <v>0.27002509168114264</v>
      </c>
      <c r="H1793" s="11">
        <f t="shared" si="271"/>
        <v>19.687800000000003</v>
      </c>
      <c r="I1793" s="11">
        <f t="shared" si="272"/>
        <v>0.19000000000000003</v>
      </c>
      <c r="J1793" s="12">
        <f t="shared" si="273"/>
        <v>8.2921999999999976</v>
      </c>
      <c r="K1793" s="17" t="str">
        <f t="shared" si="278"/>
        <v>Ecart positif</v>
      </c>
      <c r="L1793" s="16">
        <f>base!X1793</f>
        <v>0</v>
      </c>
      <c r="M1793" s="11">
        <f t="shared" si="274"/>
        <v>0</v>
      </c>
      <c r="N1793" s="11">
        <f t="shared" si="275"/>
        <v>0</v>
      </c>
      <c r="O1793" s="11">
        <f t="shared" si="276"/>
        <v>0</v>
      </c>
      <c r="P1793" s="12">
        <f t="shared" si="277"/>
        <v>0</v>
      </c>
      <c r="Q1793" s="17" t="str">
        <f t="shared" si="279"/>
        <v>Pas d'écart</v>
      </c>
    </row>
    <row r="1794" spans="1:18" x14ac:dyDescent="0.3">
      <c r="A1794" s="34" t="str">
        <f>base!J1794</f>
        <v>DLM</v>
      </c>
      <c r="B1794" s="34" t="str">
        <f>base!V1794</f>
        <v>51520</v>
      </c>
      <c r="C1794" s="37">
        <v>51</v>
      </c>
      <c r="D1794" s="36">
        <f>base!H1794</f>
        <v>80</v>
      </c>
      <c r="E1794" s="44"/>
      <c r="F1794" s="16">
        <f>base!W1794</f>
        <v>0</v>
      </c>
      <c r="G1794" s="11">
        <f t="shared" ref="G1794:G1857" si="280">F1794/D1794</f>
        <v>0</v>
      </c>
      <c r="H1794" s="11">
        <f t="shared" ref="H1794:H1857" si="281">VLOOKUP(C1794,tout_cout_traction,2,FALSE)*D1794</f>
        <v>20</v>
      </c>
      <c r="I1794" s="11">
        <f t="shared" ref="I1794:I1857" si="282">H1794/D1794</f>
        <v>0.25</v>
      </c>
      <c r="J1794" s="12">
        <f t="shared" ref="J1794:J1857" si="283">F1794-H1794</f>
        <v>-20</v>
      </c>
      <c r="K1794" s="17" t="str">
        <f t="shared" si="278"/>
        <v>Ecart négatif</v>
      </c>
      <c r="L1794" s="16">
        <f>base!X1794</f>
        <v>0</v>
      </c>
      <c r="M1794" s="11">
        <f t="shared" ref="M1794:M1857" si="284">L1794/D1794</f>
        <v>0</v>
      </c>
      <c r="N1794" s="11">
        <f t="shared" ref="N1794:N1857" si="285">VLOOKUP(C1794,tout_cout_traction,3,FALSE)*D1794</f>
        <v>20</v>
      </c>
      <c r="O1794" s="11">
        <f t="shared" ref="O1794:O1857" si="286">N1794/D1794</f>
        <v>0.25</v>
      </c>
      <c r="P1794" s="12">
        <f t="shared" ref="P1794:P1857" si="287">L1794-N1794</f>
        <v>-20</v>
      </c>
      <c r="Q1794" s="17" t="str">
        <f t="shared" si="279"/>
        <v>Ecart négatif</v>
      </c>
    </row>
    <row r="1795" spans="1:18" x14ac:dyDescent="0.3">
      <c r="A1795" s="34" t="str">
        <f>base!J1795</f>
        <v>RM</v>
      </c>
      <c r="B1795" s="34" t="str">
        <f>base!V1795</f>
        <v>26000</v>
      </c>
      <c r="C1795" s="37">
        <v>26</v>
      </c>
      <c r="D1795" s="36">
        <f>base!H1795</f>
        <v>163</v>
      </c>
      <c r="E1795" s="44"/>
      <c r="F1795" s="16">
        <f>base!W1795</f>
        <v>0</v>
      </c>
      <c r="G1795" s="11">
        <f t="shared" si="280"/>
        <v>0</v>
      </c>
      <c r="H1795" s="11">
        <f t="shared" si="281"/>
        <v>44.010000000000005</v>
      </c>
      <c r="I1795" s="11">
        <f t="shared" si="282"/>
        <v>0.27</v>
      </c>
      <c r="J1795" s="12">
        <f t="shared" si="283"/>
        <v>-44.010000000000005</v>
      </c>
      <c r="K1795" s="17" t="str">
        <f t="shared" ref="K1795:K1858" si="288">IF(H1795=F1795,"Pas d'écart",IF(H1795&lt;F1795,"Ecart positif",IF(H1795&gt;F1795,"Ecart négatif")))</f>
        <v>Ecart négatif</v>
      </c>
      <c r="L1795" s="16">
        <f>base!X1795</f>
        <v>0</v>
      </c>
      <c r="M1795" s="11">
        <f t="shared" si="284"/>
        <v>0</v>
      </c>
      <c r="N1795" s="11">
        <f t="shared" si="285"/>
        <v>0</v>
      </c>
      <c r="O1795" s="11">
        <f t="shared" si="286"/>
        <v>0</v>
      </c>
      <c r="P1795" s="12">
        <f t="shared" si="287"/>
        <v>0</v>
      </c>
      <c r="Q1795" s="17" t="str">
        <f t="shared" ref="Q1795:Q1858" si="289">IF(N1795=L1795,"Pas d'écart",IF(N1795&lt;L1795,"Ecart positif",IF(N1795&gt;L1795,"Ecart négatif")))</f>
        <v>Pas d'écart</v>
      </c>
    </row>
    <row r="1796" spans="1:18" x14ac:dyDescent="0.3">
      <c r="A1796" s="34" t="str">
        <f>base!J1796</f>
        <v>LM</v>
      </c>
      <c r="B1796" s="34" t="str">
        <f>base!V1796</f>
        <v>45330</v>
      </c>
      <c r="C1796" s="37">
        <v>59</v>
      </c>
      <c r="D1796" s="36">
        <f>base!H1796</f>
        <v>136.65</v>
      </c>
      <c r="E1796" s="44"/>
      <c r="F1796" s="16">
        <f>base!W1796</f>
        <v>28.7</v>
      </c>
      <c r="G1796" s="11">
        <f t="shared" si="280"/>
        <v>0.21002561287961946</v>
      </c>
      <c r="H1796" s="11">
        <f t="shared" si="281"/>
        <v>25.9635</v>
      </c>
      <c r="I1796" s="11">
        <f t="shared" si="282"/>
        <v>0.19</v>
      </c>
      <c r="J1796" s="12">
        <f t="shared" si="283"/>
        <v>2.7364999999999995</v>
      </c>
      <c r="K1796" s="17" t="str">
        <f t="shared" si="288"/>
        <v>Ecart positif</v>
      </c>
      <c r="L1796" s="16">
        <f>base!X1796</f>
        <v>0</v>
      </c>
      <c r="M1796" s="11">
        <f t="shared" si="284"/>
        <v>0</v>
      </c>
      <c r="N1796" s="11">
        <f t="shared" si="285"/>
        <v>0</v>
      </c>
      <c r="O1796" s="11">
        <f t="shared" si="286"/>
        <v>0</v>
      </c>
      <c r="P1796" s="12">
        <f t="shared" si="287"/>
        <v>0</v>
      </c>
      <c r="Q1796" s="17" t="str">
        <f t="shared" si="289"/>
        <v>Pas d'écart</v>
      </c>
    </row>
    <row r="1797" spans="1:18" x14ac:dyDescent="0.3">
      <c r="A1797" s="34" t="str">
        <f>base!J1797</f>
        <v>LM</v>
      </c>
      <c r="B1797" s="34" t="str">
        <f>base!V1797</f>
        <v>16380</v>
      </c>
      <c r="C1797" s="37">
        <v>60</v>
      </c>
      <c r="D1797" s="36">
        <f>base!H1797</f>
        <v>55.51</v>
      </c>
      <c r="E1797" s="44"/>
      <c r="F1797" s="16">
        <f>base!W1797</f>
        <v>11.66</v>
      </c>
      <c r="G1797" s="11">
        <f t="shared" si="280"/>
        <v>0.2100522428391281</v>
      </c>
      <c r="H1797" s="11">
        <f t="shared" si="281"/>
        <v>10.546899999999999</v>
      </c>
      <c r="I1797" s="11">
        <f t="shared" si="282"/>
        <v>0.19</v>
      </c>
      <c r="J1797" s="12">
        <f t="shared" si="283"/>
        <v>1.1131000000000011</v>
      </c>
      <c r="K1797" s="17" t="str">
        <f t="shared" si="288"/>
        <v>Ecart positif</v>
      </c>
      <c r="L1797" s="16">
        <f>base!X1797</f>
        <v>0</v>
      </c>
      <c r="M1797" s="11">
        <f t="shared" si="284"/>
        <v>0</v>
      </c>
      <c r="N1797" s="11">
        <f t="shared" si="285"/>
        <v>0</v>
      </c>
      <c r="O1797" s="11">
        <f t="shared" si="286"/>
        <v>0</v>
      </c>
      <c r="P1797" s="12">
        <f t="shared" si="287"/>
        <v>0</v>
      </c>
      <c r="Q1797" s="17" t="str">
        <f t="shared" si="289"/>
        <v>Pas d'écart</v>
      </c>
    </row>
    <row r="1798" spans="1:18" x14ac:dyDescent="0.3">
      <c r="A1798" s="34" t="str">
        <f>base!J1798</f>
        <v>RM</v>
      </c>
      <c r="B1798" s="34" t="str">
        <f>base!V1798</f>
        <v>28000</v>
      </c>
      <c r="C1798" s="37">
        <v>28</v>
      </c>
      <c r="D1798" s="36">
        <f>base!H1798</f>
        <v>64.819999999999993</v>
      </c>
      <c r="E1798" s="44"/>
      <c r="F1798" s="16">
        <f>base!W1798</f>
        <v>0</v>
      </c>
      <c r="G1798" s="11">
        <f t="shared" si="280"/>
        <v>0</v>
      </c>
      <c r="H1798" s="11">
        <f t="shared" si="281"/>
        <v>12.963999999999999</v>
      </c>
      <c r="I1798" s="11">
        <f t="shared" si="282"/>
        <v>0.2</v>
      </c>
      <c r="J1798" s="12">
        <f t="shared" si="283"/>
        <v>-12.963999999999999</v>
      </c>
      <c r="K1798" s="17" t="str">
        <f t="shared" si="288"/>
        <v>Ecart négatif</v>
      </c>
      <c r="L1798" s="16">
        <f>base!X1798</f>
        <v>0</v>
      </c>
      <c r="M1798" s="11">
        <f t="shared" si="284"/>
        <v>0</v>
      </c>
      <c r="N1798" s="11">
        <f t="shared" si="285"/>
        <v>7.7783999999999986</v>
      </c>
      <c r="O1798" s="11">
        <f t="shared" si="286"/>
        <v>0.12</v>
      </c>
      <c r="P1798" s="12">
        <f t="shared" si="287"/>
        <v>-7.7783999999999986</v>
      </c>
      <c r="Q1798" s="17" t="str">
        <f t="shared" si="289"/>
        <v>Ecart négatif</v>
      </c>
    </row>
    <row r="1799" spans="1:18" x14ac:dyDescent="0.3">
      <c r="A1799" s="34" t="str">
        <f>base!J1799</f>
        <v>RS</v>
      </c>
      <c r="B1799" s="34" t="str">
        <f>base!V1799</f>
        <v>92400</v>
      </c>
      <c r="C1799" s="37">
        <v>92</v>
      </c>
      <c r="D1799" s="36">
        <f>base!H1799</f>
        <v>84.5</v>
      </c>
      <c r="E1799" s="44"/>
      <c r="F1799" s="16">
        <f>base!W1799</f>
        <v>0</v>
      </c>
      <c r="G1799" s="11">
        <f t="shared" si="280"/>
        <v>0</v>
      </c>
      <c r="H1799" s="11">
        <f t="shared" si="281"/>
        <v>0</v>
      </c>
      <c r="I1799" s="11">
        <f t="shared" si="282"/>
        <v>0</v>
      </c>
      <c r="J1799" s="12">
        <f t="shared" si="283"/>
        <v>0</v>
      </c>
      <c r="K1799" s="17" t="str">
        <f t="shared" si="288"/>
        <v>Pas d'écart</v>
      </c>
      <c r="L1799" s="16">
        <f>base!X1799</f>
        <v>0</v>
      </c>
      <c r="M1799" s="11">
        <f t="shared" si="284"/>
        <v>0</v>
      </c>
      <c r="N1799" s="11">
        <f t="shared" si="285"/>
        <v>0</v>
      </c>
      <c r="O1799" s="11">
        <f t="shared" si="286"/>
        <v>0</v>
      </c>
      <c r="P1799" s="12">
        <f t="shared" si="287"/>
        <v>0</v>
      </c>
      <c r="Q1799" s="17" t="str">
        <f t="shared" si="289"/>
        <v>Pas d'écart</v>
      </c>
    </row>
    <row r="1800" spans="1:18" x14ac:dyDescent="0.3">
      <c r="A1800" s="34" t="str">
        <f>base!J1800</f>
        <v>RS</v>
      </c>
      <c r="B1800" s="34" t="str">
        <f>base!V1800</f>
        <v>67000</v>
      </c>
      <c r="C1800" s="37">
        <v>67</v>
      </c>
      <c r="D1800" s="36">
        <f>base!H1800</f>
        <v>40</v>
      </c>
      <c r="E1800" s="44"/>
      <c r="F1800" s="16">
        <f>base!W1800</f>
        <v>0</v>
      </c>
      <c r="G1800" s="11">
        <f t="shared" si="280"/>
        <v>0</v>
      </c>
      <c r="H1800" s="11">
        <f t="shared" si="281"/>
        <v>11.6</v>
      </c>
      <c r="I1800" s="11">
        <f t="shared" si="282"/>
        <v>0.28999999999999998</v>
      </c>
      <c r="J1800" s="12">
        <f t="shared" si="283"/>
        <v>-11.6</v>
      </c>
      <c r="K1800" s="17" t="str">
        <f t="shared" si="288"/>
        <v>Ecart négatif</v>
      </c>
      <c r="L1800" s="16">
        <f>base!X1800</f>
        <v>3.2</v>
      </c>
      <c r="M1800" s="11">
        <f t="shared" si="284"/>
        <v>0.08</v>
      </c>
      <c r="N1800" s="11">
        <f t="shared" si="285"/>
        <v>3.2</v>
      </c>
      <c r="O1800" s="11">
        <f t="shared" si="286"/>
        <v>0.08</v>
      </c>
      <c r="P1800" s="12">
        <f t="shared" si="287"/>
        <v>0</v>
      </c>
      <c r="Q1800" s="17" t="str">
        <f t="shared" si="289"/>
        <v>Pas d'écart</v>
      </c>
      <c r="R1800" s="38"/>
    </row>
    <row r="1801" spans="1:18" x14ac:dyDescent="0.3">
      <c r="A1801" s="34" t="str">
        <f>base!J1801</f>
        <v>RM</v>
      </c>
      <c r="B1801" s="34" t="str">
        <f>base!V1801</f>
        <v>06560</v>
      </c>
      <c r="C1801" s="37">
        <v>6</v>
      </c>
      <c r="D1801" s="36">
        <f>base!H1801</f>
        <v>151</v>
      </c>
      <c r="E1801" s="44"/>
      <c r="F1801" s="16">
        <f>base!W1801</f>
        <v>0</v>
      </c>
      <c r="G1801" s="11">
        <f t="shared" si="280"/>
        <v>0</v>
      </c>
      <c r="H1801" s="11">
        <f t="shared" si="281"/>
        <v>45.3</v>
      </c>
      <c r="I1801" s="11">
        <f t="shared" si="282"/>
        <v>0.3</v>
      </c>
      <c r="J1801" s="12">
        <f t="shared" si="283"/>
        <v>-45.3</v>
      </c>
      <c r="K1801" s="17" t="str">
        <f t="shared" si="288"/>
        <v>Ecart négatif</v>
      </c>
      <c r="L1801" s="16">
        <f>base!X1801</f>
        <v>0</v>
      </c>
      <c r="M1801" s="11">
        <f t="shared" si="284"/>
        <v>0</v>
      </c>
      <c r="N1801" s="11">
        <f t="shared" si="285"/>
        <v>31.709999999999997</v>
      </c>
      <c r="O1801" s="11">
        <f t="shared" si="286"/>
        <v>0.21</v>
      </c>
      <c r="P1801" s="12">
        <f t="shared" si="287"/>
        <v>-31.709999999999997</v>
      </c>
      <c r="Q1801" s="17" t="str">
        <f t="shared" si="289"/>
        <v>Ecart négatif</v>
      </c>
    </row>
    <row r="1802" spans="1:18" x14ac:dyDescent="0.3">
      <c r="A1802" s="34" t="str">
        <f>base!J1802</f>
        <v>RM</v>
      </c>
      <c r="B1802" s="34" t="str">
        <f>base!V1802</f>
        <v>06560</v>
      </c>
      <c r="C1802" s="37">
        <v>6</v>
      </c>
      <c r="D1802" s="36">
        <f>base!H1802</f>
        <v>151</v>
      </c>
      <c r="E1802" s="44"/>
      <c r="F1802" s="16">
        <f>base!W1802</f>
        <v>0</v>
      </c>
      <c r="G1802" s="11">
        <f t="shared" si="280"/>
        <v>0</v>
      </c>
      <c r="H1802" s="11">
        <f t="shared" si="281"/>
        <v>45.3</v>
      </c>
      <c r="I1802" s="11">
        <f t="shared" si="282"/>
        <v>0.3</v>
      </c>
      <c r="J1802" s="12">
        <f t="shared" si="283"/>
        <v>-45.3</v>
      </c>
      <c r="K1802" s="17" t="str">
        <f t="shared" si="288"/>
        <v>Ecart négatif</v>
      </c>
      <c r="L1802" s="16">
        <f>base!X1802</f>
        <v>0</v>
      </c>
      <c r="M1802" s="11">
        <f t="shared" si="284"/>
        <v>0</v>
      </c>
      <c r="N1802" s="11">
        <f t="shared" si="285"/>
        <v>31.709999999999997</v>
      </c>
      <c r="O1802" s="11">
        <f t="shared" si="286"/>
        <v>0.21</v>
      </c>
      <c r="P1802" s="12">
        <f t="shared" si="287"/>
        <v>-31.709999999999997</v>
      </c>
      <c r="Q1802" s="17" t="str">
        <f t="shared" si="289"/>
        <v>Ecart négatif</v>
      </c>
    </row>
    <row r="1803" spans="1:18" x14ac:dyDescent="0.3">
      <c r="A1803" s="34" t="str">
        <f>base!J1803</f>
        <v>RS</v>
      </c>
      <c r="B1803" s="34" t="str">
        <f>base!V1803</f>
        <v>13090</v>
      </c>
      <c r="C1803" s="37">
        <v>13</v>
      </c>
      <c r="D1803" s="36">
        <f>base!H1803</f>
        <v>103.97</v>
      </c>
      <c r="E1803" s="44"/>
      <c r="F1803" s="16">
        <f>base!W1803</f>
        <v>0</v>
      </c>
      <c r="G1803" s="11">
        <f t="shared" si="280"/>
        <v>0</v>
      </c>
      <c r="H1803" s="11">
        <f t="shared" si="281"/>
        <v>30.151299999999999</v>
      </c>
      <c r="I1803" s="11">
        <f t="shared" si="282"/>
        <v>0.28999999999999998</v>
      </c>
      <c r="J1803" s="12">
        <f t="shared" si="283"/>
        <v>-30.151299999999999</v>
      </c>
      <c r="K1803" s="17" t="str">
        <f t="shared" si="288"/>
        <v>Ecart négatif</v>
      </c>
      <c r="L1803" s="16">
        <f>base!X1803</f>
        <v>19.75</v>
      </c>
      <c r="M1803" s="11">
        <f t="shared" si="284"/>
        <v>0.18995864191593728</v>
      </c>
      <c r="N1803" s="11">
        <f t="shared" si="285"/>
        <v>19.754300000000001</v>
      </c>
      <c r="O1803" s="11">
        <f t="shared" si="286"/>
        <v>0.19</v>
      </c>
      <c r="P1803" s="12">
        <f t="shared" si="287"/>
        <v>-4.3000000000006366E-3</v>
      </c>
      <c r="Q1803" s="17" t="str">
        <f t="shared" si="289"/>
        <v>Ecart négatif</v>
      </c>
      <c r="R1803" s="38"/>
    </row>
    <row r="1804" spans="1:18" x14ac:dyDescent="0.3">
      <c r="A1804" s="34" t="str">
        <f>base!J1804</f>
        <v>LS</v>
      </c>
      <c r="B1804" s="34" t="str">
        <f>base!V1804</f>
        <v>63000</v>
      </c>
      <c r="C1804" s="37">
        <v>80</v>
      </c>
      <c r="D1804" s="36">
        <f>base!H1804</f>
        <v>151.93</v>
      </c>
      <c r="E1804" s="44"/>
      <c r="F1804" s="16">
        <f>base!W1804</f>
        <v>44.06</v>
      </c>
      <c r="G1804" s="11">
        <f t="shared" si="280"/>
        <v>0.29000197459356281</v>
      </c>
      <c r="H1804" s="11">
        <f t="shared" si="281"/>
        <v>28.866700000000002</v>
      </c>
      <c r="I1804" s="11">
        <f t="shared" si="282"/>
        <v>0.19</v>
      </c>
      <c r="J1804" s="12">
        <f t="shared" si="283"/>
        <v>15.193300000000001</v>
      </c>
      <c r="K1804" s="17" t="str">
        <f t="shared" si="288"/>
        <v>Ecart positif</v>
      </c>
      <c r="L1804" s="16">
        <f>base!X1804</f>
        <v>0</v>
      </c>
      <c r="M1804" s="11">
        <f t="shared" si="284"/>
        <v>0</v>
      </c>
      <c r="N1804" s="11">
        <f t="shared" si="285"/>
        <v>0</v>
      </c>
      <c r="O1804" s="11">
        <f t="shared" si="286"/>
        <v>0</v>
      </c>
      <c r="P1804" s="12">
        <f t="shared" si="287"/>
        <v>0</v>
      </c>
      <c r="Q1804" s="17" t="str">
        <f t="shared" si="289"/>
        <v>Pas d'écart</v>
      </c>
    </row>
    <row r="1805" spans="1:18" x14ac:dyDescent="0.3">
      <c r="A1805" s="34" t="str">
        <f>base!J1805</f>
        <v>LM</v>
      </c>
      <c r="B1805" s="34" t="str">
        <f>base!V1805</f>
        <v>71380</v>
      </c>
      <c r="C1805" s="37">
        <v>59</v>
      </c>
      <c r="D1805" s="36">
        <f>base!H1805</f>
        <v>55.16</v>
      </c>
      <c r="E1805" s="44"/>
      <c r="F1805" s="16">
        <f>base!W1805</f>
        <v>14.89</v>
      </c>
      <c r="G1805" s="11">
        <f t="shared" si="280"/>
        <v>0.26994198694706312</v>
      </c>
      <c r="H1805" s="11">
        <f t="shared" si="281"/>
        <v>10.480399999999999</v>
      </c>
      <c r="I1805" s="11">
        <f t="shared" si="282"/>
        <v>0.19</v>
      </c>
      <c r="J1805" s="12">
        <f t="shared" si="283"/>
        <v>4.4096000000000011</v>
      </c>
      <c r="K1805" s="17" t="str">
        <f t="shared" si="288"/>
        <v>Ecart positif</v>
      </c>
      <c r="L1805" s="16">
        <f>base!X1805</f>
        <v>0</v>
      </c>
      <c r="M1805" s="11">
        <f t="shared" si="284"/>
        <v>0</v>
      </c>
      <c r="N1805" s="11">
        <f t="shared" si="285"/>
        <v>0</v>
      </c>
      <c r="O1805" s="11">
        <f t="shared" si="286"/>
        <v>0</v>
      </c>
      <c r="P1805" s="12">
        <f t="shared" si="287"/>
        <v>0</v>
      </c>
      <c r="Q1805" s="17" t="str">
        <f t="shared" si="289"/>
        <v>Pas d'écart</v>
      </c>
    </row>
    <row r="1806" spans="1:18" x14ac:dyDescent="0.3">
      <c r="A1806" s="34" t="str">
        <f>base!J1806</f>
        <v>LS</v>
      </c>
      <c r="B1806" s="34" t="str">
        <f>base!V1806</f>
        <v>35520</v>
      </c>
      <c r="C1806" s="37">
        <v>35</v>
      </c>
      <c r="D1806" s="36">
        <f>base!H1806</f>
        <v>0</v>
      </c>
      <c r="E1806" s="44"/>
      <c r="F1806" s="16">
        <f>base!W1806</f>
        <v>0</v>
      </c>
      <c r="G1806" s="11" t="e">
        <f t="shared" si="280"/>
        <v>#DIV/0!</v>
      </c>
      <c r="H1806" s="11">
        <f t="shared" si="281"/>
        <v>0</v>
      </c>
      <c r="I1806" s="11" t="e">
        <f t="shared" si="282"/>
        <v>#DIV/0!</v>
      </c>
      <c r="J1806" s="12">
        <f t="shared" si="283"/>
        <v>0</v>
      </c>
      <c r="K1806" s="17" t="str">
        <f t="shared" si="288"/>
        <v>Pas d'écart</v>
      </c>
      <c r="L1806" s="16">
        <f>base!X1806</f>
        <v>0</v>
      </c>
      <c r="M1806" s="11" t="e">
        <f t="shared" si="284"/>
        <v>#DIV/0!</v>
      </c>
      <c r="N1806" s="11">
        <f t="shared" si="285"/>
        <v>0</v>
      </c>
      <c r="O1806" s="11" t="e">
        <f t="shared" si="286"/>
        <v>#DIV/0!</v>
      </c>
      <c r="P1806" s="12">
        <f t="shared" si="287"/>
        <v>0</v>
      </c>
      <c r="Q1806" s="17" t="str">
        <f t="shared" si="289"/>
        <v>Pas d'écart</v>
      </c>
    </row>
    <row r="1807" spans="1:18" x14ac:dyDescent="0.3">
      <c r="A1807" s="34" t="str">
        <f>base!J1807</f>
        <v>LM</v>
      </c>
      <c r="B1807" s="34" t="str">
        <f>base!V1807</f>
        <v>56920</v>
      </c>
      <c r="C1807" s="37">
        <v>60</v>
      </c>
      <c r="D1807" s="36">
        <f>base!H1807</f>
        <v>58.35</v>
      </c>
      <c r="E1807" s="44"/>
      <c r="F1807" s="16">
        <f>base!W1807</f>
        <v>15.75</v>
      </c>
      <c r="G1807" s="11">
        <f t="shared" si="280"/>
        <v>0.26992287917737789</v>
      </c>
      <c r="H1807" s="11">
        <f t="shared" si="281"/>
        <v>11.086500000000001</v>
      </c>
      <c r="I1807" s="11">
        <f t="shared" si="282"/>
        <v>0.19</v>
      </c>
      <c r="J1807" s="12">
        <f t="shared" si="283"/>
        <v>4.6634999999999991</v>
      </c>
      <c r="K1807" s="17" t="str">
        <f t="shared" si="288"/>
        <v>Ecart positif</v>
      </c>
      <c r="L1807" s="16">
        <f>base!X1807</f>
        <v>0</v>
      </c>
      <c r="M1807" s="11">
        <f t="shared" si="284"/>
        <v>0</v>
      </c>
      <c r="N1807" s="11">
        <f t="shared" si="285"/>
        <v>0</v>
      </c>
      <c r="O1807" s="11">
        <f t="shared" si="286"/>
        <v>0</v>
      </c>
      <c r="P1807" s="12">
        <f t="shared" si="287"/>
        <v>0</v>
      </c>
      <c r="Q1807" s="17" t="str">
        <f t="shared" si="289"/>
        <v>Pas d'écart</v>
      </c>
    </row>
    <row r="1808" spans="1:18" x14ac:dyDescent="0.3">
      <c r="A1808" s="34" t="str">
        <f>base!J1808</f>
        <v>RS</v>
      </c>
      <c r="B1808" s="34" t="str">
        <f>base!V1808</f>
        <v>35770</v>
      </c>
      <c r="C1808" s="37">
        <v>35</v>
      </c>
      <c r="D1808" s="36">
        <f>base!H1808</f>
        <v>140</v>
      </c>
      <c r="E1808" s="44"/>
      <c r="F1808" s="16">
        <f>base!W1808</f>
        <v>0</v>
      </c>
      <c r="G1808" s="11">
        <f t="shared" si="280"/>
        <v>0</v>
      </c>
      <c r="H1808" s="11">
        <f t="shared" si="281"/>
        <v>37.800000000000004</v>
      </c>
      <c r="I1808" s="11">
        <f t="shared" si="282"/>
        <v>0.27</v>
      </c>
      <c r="J1808" s="12">
        <f t="shared" si="283"/>
        <v>-37.800000000000004</v>
      </c>
      <c r="K1808" s="17" t="str">
        <f t="shared" si="288"/>
        <v>Ecart négatif</v>
      </c>
      <c r="L1808" s="16">
        <f>base!X1808</f>
        <v>37.799999999999997</v>
      </c>
      <c r="M1808" s="11">
        <f t="shared" si="284"/>
        <v>0.26999999999999996</v>
      </c>
      <c r="N1808" s="11">
        <f t="shared" si="285"/>
        <v>0</v>
      </c>
      <c r="O1808" s="11">
        <f t="shared" si="286"/>
        <v>0</v>
      </c>
      <c r="P1808" s="12">
        <f t="shared" si="287"/>
        <v>37.799999999999997</v>
      </c>
      <c r="Q1808" s="17" t="str">
        <f t="shared" si="289"/>
        <v>Ecart positif</v>
      </c>
    </row>
    <row r="1809" spans="1:18" x14ac:dyDescent="0.3">
      <c r="A1809" s="34" t="str">
        <f>base!J1809</f>
        <v>RS</v>
      </c>
      <c r="B1809" s="34" t="str">
        <f>base!V1809</f>
        <v>94470</v>
      </c>
      <c r="C1809" s="37">
        <v>94</v>
      </c>
      <c r="D1809" s="36">
        <f>base!H1809</f>
        <v>180</v>
      </c>
      <c r="E1809" s="44"/>
      <c r="F1809" s="16">
        <f>base!W1809</f>
        <v>0</v>
      </c>
      <c r="G1809" s="11">
        <f t="shared" si="280"/>
        <v>0</v>
      </c>
      <c r="H1809" s="11">
        <f t="shared" si="281"/>
        <v>0</v>
      </c>
      <c r="I1809" s="11">
        <f t="shared" si="282"/>
        <v>0</v>
      </c>
      <c r="J1809" s="12">
        <f t="shared" si="283"/>
        <v>0</v>
      </c>
      <c r="K1809" s="17" t="str">
        <f t="shared" si="288"/>
        <v>Pas d'écart</v>
      </c>
      <c r="L1809" s="16">
        <f>base!X1809</f>
        <v>0</v>
      </c>
      <c r="M1809" s="11">
        <f t="shared" si="284"/>
        <v>0</v>
      </c>
      <c r="N1809" s="11">
        <f t="shared" si="285"/>
        <v>0</v>
      </c>
      <c r="O1809" s="11">
        <f t="shared" si="286"/>
        <v>0</v>
      </c>
      <c r="P1809" s="12">
        <f t="shared" si="287"/>
        <v>0</v>
      </c>
      <c r="Q1809" s="17" t="str">
        <f t="shared" si="289"/>
        <v>Pas d'écart</v>
      </c>
    </row>
    <row r="1810" spans="1:18" x14ac:dyDescent="0.3">
      <c r="A1810" s="34" t="str">
        <f>base!J1810</f>
        <v>DRM</v>
      </c>
      <c r="B1810" s="34" t="str">
        <f>base!V1810</f>
        <v>45000</v>
      </c>
      <c r="C1810" s="37">
        <v>45</v>
      </c>
      <c r="D1810" s="36">
        <f>base!H1810</f>
        <v>137.80000000000001</v>
      </c>
      <c r="E1810" s="44"/>
      <c r="F1810" s="16">
        <f>base!W1810</f>
        <v>0</v>
      </c>
      <c r="G1810" s="11">
        <f t="shared" si="280"/>
        <v>0</v>
      </c>
      <c r="H1810" s="11">
        <f t="shared" si="281"/>
        <v>28.938000000000002</v>
      </c>
      <c r="I1810" s="11">
        <f t="shared" si="282"/>
        <v>0.21</v>
      </c>
      <c r="J1810" s="12">
        <f t="shared" si="283"/>
        <v>-28.938000000000002</v>
      </c>
      <c r="K1810" s="17" t="str">
        <f t="shared" si="288"/>
        <v>Ecart négatif</v>
      </c>
      <c r="L1810" s="16">
        <f>base!X1810</f>
        <v>0</v>
      </c>
      <c r="M1810" s="11">
        <f t="shared" si="284"/>
        <v>0</v>
      </c>
      <c r="N1810" s="11">
        <f t="shared" si="285"/>
        <v>16.536000000000001</v>
      </c>
      <c r="O1810" s="11">
        <f t="shared" si="286"/>
        <v>0.12</v>
      </c>
      <c r="P1810" s="12">
        <f t="shared" si="287"/>
        <v>-16.536000000000001</v>
      </c>
      <c r="Q1810" s="17" t="str">
        <f t="shared" si="289"/>
        <v>Ecart négatif</v>
      </c>
    </row>
    <row r="1811" spans="1:18" x14ac:dyDescent="0.3">
      <c r="A1811" s="34" t="str">
        <f>base!J1811</f>
        <v>RM</v>
      </c>
      <c r="B1811" s="34" t="str">
        <f>base!V1811</f>
        <v>75014</v>
      </c>
      <c r="C1811" s="37">
        <v>75</v>
      </c>
      <c r="D1811" s="36">
        <f>base!H1811</f>
        <v>60.2</v>
      </c>
      <c r="E1811" s="44"/>
      <c r="F1811" s="16">
        <f>base!W1811</f>
        <v>0</v>
      </c>
      <c r="G1811" s="11">
        <f t="shared" si="280"/>
        <v>0</v>
      </c>
      <c r="H1811" s="11">
        <f t="shared" si="281"/>
        <v>0</v>
      </c>
      <c r="I1811" s="11">
        <f t="shared" si="282"/>
        <v>0</v>
      </c>
      <c r="J1811" s="12">
        <f t="shared" si="283"/>
        <v>0</v>
      </c>
      <c r="K1811" s="17" t="str">
        <f t="shared" si="288"/>
        <v>Pas d'écart</v>
      </c>
      <c r="L1811" s="16">
        <f>base!X1811</f>
        <v>0</v>
      </c>
      <c r="M1811" s="11">
        <f t="shared" si="284"/>
        <v>0</v>
      </c>
      <c r="N1811" s="11">
        <f t="shared" si="285"/>
        <v>0</v>
      </c>
      <c r="O1811" s="11">
        <f t="shared" si="286"/>
        <v>0</v>
      </c>
      <c r="P1811" s="12">
        <f t="shared" si="287"/>
        <v>0</v>
      </c>
      <c r="Q1811" s="17" t="str">
        <f t="shared" si="289"/>
        <v>Pas d'écart</v>
      </c>
    </row>
    <row r="1812" spans="1:18" x14ac:dyDescent="0.3">
      <c r="A1812" s="34" t="str">
        <f>base!J1812</f>
        <v>RM</v>
      </c>
      <c r="B1812" s="34" t="str">
        <f>base!V1812</f>
        <v>75014</v>
      </c>
      <c r="C1812" s="37">
        <v>75</v>
      </c>
      <c r="D1812" s="36">
        <f>base!H1812</f>
        <v>58.2</v>
      </c>
      <c r="E1812" s="44"/>
      <c r="F1812" s="16">
        <f>base!W1812</f>
        <v>0</v>
      </c>
      <c r="G1812" s="11">
        <f t="shared" si="280"/>
        <v>0</v>
      </c>
      <c r="H1812" s="11">
        <f t="shared" si="281"/>
        <v>0</v>
      </c>
      <c r="I1812" s="11">
        <f t="shared" si="282"/>
        <v>0</v>
      </c>
      <c r="J1812" s="12">
        <f t="shared" si="283"/>
        <v>0</v>
      </c>
      <c r="K1812" s="17" t="str">
        <f t="shared" si="288"/>
        <v>Pas d'écart</v>
      </c>
      <c r="L1812" s="16">
        <f>base!X1812</f>
        <v>0</v>
      </c>
      <c r="M1812" s="11">
        <f t="shared" si="284"/>
        <v>0</v>
      </c>
      <c r="N1812" s="11">
        <f t="shared" si="285"/>
        <v>0</v>
      </c>
      <c r="O1812" s="11">
        <f t="shared" si="286"/>
        <v>0</v>
      </c>
      <c r="P1812" s="12">
        <f t="shared" si="287"/>
        <v>0</v>
      </c>
      <c r="Q1812" s="17" t="str">
        <f t="shared" si="289"/>
        <v>Pas d'écart</v>
      </c>
    </row>
    <row r="1813" spans="1:18" x14ac:dyDescent="0.3">
      <c r="A1813" s="34" t="str">
        <f>base!J1813</f>
        <v>RM</v>
      </c>
      <c r="B1813" s="34" t="str">
        <f>base!V1813</f>
        <v>75016</v>
      </c>
      <c r="C1813" s="37">
        <v>75</v>
      </c>
      <c r="D1813" s="36">
        <f>base!H1813</f>
        <v>108.2</v>
      </c>
      <c r="E1813" s="44"/>
      <c r="F1813" s="16">
        <f>base!W1813</f>
        <v>0</v>
      </c>
      <c r="G1813" s="11">
        <f t="shared" si="280"/>
        <v>0</v>
      </c>
      <c r="H1813" s="11">
        <f t="shared" si="281"/>
        <v>0</v>
      </c>
      <c r="I1813" s="11">
        <f t="shared" si="282"/>
        <v>0</v>
      </c>
      <c r="J1813" s="12">
        <f t="shared" si="283"/>
        <v>0</v>
      </c>
      <c r="K1813" s="17" t="str">
        <f t="shared" si="288"/>
        <v>Pas d'écart</v>
      </c>
      <c r="L1813" s="16">
        <f>base!X1813</f>
        <v>0</v>
      </c>
      <c r="M1813" s="11">
        <f t="shared" si="284"/>
        <v>0</v>
      </c>
      <c r="N1813" s="11">
        <f t="shared" si="285"/>
        <v>0</v>
      </c>
      <c r="O1813" s="11">
        <f t="shared" si="286"/>
        <v>0</v>
      </c>
      <c r="P1813" s="12">
        <f t="shared" si="287"/>
        <v>0</v>
      </c>
      <c r="Q1813" s="17" t="str">
        <f t="shared" si="289"/>
        <v>Pas d'écart</v>
      </c>
    </row>
    <row r="1814" spans="1:18" x14ac:dyDescent="0.3">
      <c r="A1814" s="34" t="str">
        <f>base!J1814</f>
        <v>RS</v>
      </c>
      <c r="B1814" s="34" t="str">
        <f>base!V1814</f>
        <v>06500</v>
      </c>
      <c r="C1814" s="37">
        <v>6</v>
      </c>
      <c r="D1814" s="36">
        <f>base!H1814</f>
        <v>71.53</v>
      </c>
      <c r="E1814" s="44"/>
      <c r="F1814" s="16">
        <f>base!W1814</f>
        <v>0</v>
      </c>
      <c r="G1814" s="11">
        <f t="shared" si="280"/>
        <v>0</v>
      </c>
      <c r="H1814" s="11">
        <f t="shared" si="281"/>
        <v>21.459</v>
      </c>
      <c r="I1814" s="11">
        <f t="shared" si="282"/>
        <v>0.3</v>
      </c>
      <c r="J1814" s="12">
        <f t="shared" si="283"/>
        <v>-21.459</v>
      </c>
      <c r="K1814" s="17" t="str">
        <f t="shared" si="288"/>
        <v>Ecart négatif</v>
      </c>
      <c r="L1814" s="16">
        <f>base!X1814</f>
        <v>0</v>
      </c>
      <c r="M1814" s="11">
        <f t="shared" si="284"/>
        <v>0</v>
      </c>
      <c r="N1814" s="11">
        <f t="shared" si="285"/>
        <v>15.0213</v>
      </c>
      <c r="O1814" s="11">
        <f t="shared" si="286"/>
        <v>0.21</v>
      </c>
      <c r="P1814" s="12">
        <f t="shared" si="287"/>
        <v>-15.0213</v>
      </c>
      <c r="Q1814" s="17" t="str">
        <f t="shared" si="289"/>
        <v>Ecart négatif</v>
      </c>
    </row>
    <row r="1815" spans="1:18" x14ac:dyDescent="0.3">
      <c r="A1815" s="34" t="str">
        <f>base!J1815</f>
        <v>DRS</v>
      </c>
      <c r="B1815" s="34" t="str">
        <f>base!V1815</f>
        <v>75002</v>
      </c>
      <c r="C1815" s="37">
        <v>75</v>
      </c>
      <c r="D1815" s="36">
        <f>base!H1815</f>
        <v>140</v>
      </c>
      <c r="E1815" s="44"/>
      <c r="F1815" s="16">
        <f>base!W1815</f>
        <v>0</v>
      </c>
      <c r="G1815" s="11">
        <f t="shared" si="280"/>
        <v>0</v>
      </c>
      <c r="H1815" s="11">
        <f t="shared" si="281"/>
        <v>0</v>
      </c>
      <c r="I1815" s="11">
        <f t="shared" si="282"/>
        <v>0</v>
      </c>
      <c r="J1815" s="12">
        <f t="shared" si="283"/>
        <v>0</v>
      </c>
      <c r="K1815" s="17" t="str">
        <f t="shared" si="288"/>
        <v>Pas d'écart</v>
      </c>
      <c r="L1815" s="16">
        <f>base!X1815</f>
        <v>0</v>
      </c>
      <c r="M1815" s="11">
        <f t="shared" si="284"/>
        <v>0</v>
      </c>
      <c r="N1815" s="11">
        <f t="shared" si="285"/>
        <v>0</v>
      </c>
      <c r="O1815" s="11">
        <f t="shared" si="286"/>
        <v>0</v>
      </c>
      <c r="P1815" s="12">
        <f t="shared" si="287"/>
        <v>0</v>
      </c>
      <c r="Q1815" s="17" t="str">
        <f t="shared" si="289"/>
        <v>Pas d'écart</v>
      </c>
    </row>
    <row r="1816" spans="1:18" x14ac:dyDescent="0.3">
      <c r="A1816" s="34">
        <f>base!J1816</f>
        <v>0</v>
      </c>
      <c r="B1816" s="34" t="str">
        <f>base!V1816</f>
        <v>77184</v>
      </c>
      <c r="C1816" s="37">
        <v>77</v>
      </c>
      <c r="D1816" s="36">
        <f>base!H1816</f>
        <v>37.24</v>
      </c>
      <c r="E1816" s="44"/>
      <c r="F1816" s="16">
        <f>base!W1816</f>
        <v>0</v>
      </c>
      <c r="G1816" s="11">
        <f t="shared" si="280"/>
        <v>0</v>
      </c>
      <c r="H1816" s="11">
        <f t="shared" si="281"/>
        <v>0</v>
      </c>
      <c r="I1816" s="11">
        <f t="shared" si="282"/>
        <v>0</v>
      </c>
      <c r="J1816" s="12">
        <f t="shared" si="283"/>
        <v>0</v>
      </c>
      <c r="K1816" s="17" t="str">
        <f t="shared" si="288"/>
        <v>Pas d'écart</v>
      </c>
      <c r="L1816" s="16">
        <f>base!X1816</f>
        <v>0</v>
      </c>
      <c r="M1816" s="11">
        <f t="shared" si="284"/>
        <v>0</v>
      </c>
      <c r="N1816" s="11">
        <f t="shared" si="285"/>
        <v>0</v>
      </c>
      <c r="O1816" s="11">
        <f t="shared" si="286"/>
        <v>0</v>
      </c>
      <c r="P1816" s="12">
        <f t="shared" si="287"/>
        <v>0</v>
      </c>
      <c r="Q1816" s="17" t="str">
        <f t="shared" si="289"/>
        <v>Pas d'écart</v>
      </c>
    </row>
    <row r="1817" spans="1:18" x14ac:dyDescent="0.3">
      <c r="A1817" s="34">
        <f>base!J1817</f>
        <v>0</v>
      </c>
      <c r="B1817" s="34" t="str">
        <f>base!V1817</f>
        <v>77184</v>
      </c>
      <c r="C1817" s="37">
        <v>77</v>
      </c>
      <c r="D1817" s="36">
        <f>base!H1817</f>
        <v>130</v>
      </c>
      <c r="E1817" s="44"/>
      <c r="F1817" s="16">
        <f>base!W1817</f>
        <v>0</v>
      </c>
      <c r="G1817" s="11">
        <f t="shared" si="280"/>
        <v>0</v>
      </c>
      <c r="H1817" s="11">
        <f t="shared" si="281"/>
        <v>0</v>
      </c>
      <c r="I1817" s="11">
        <f t="shared" si="282"/>
        <v>0</v>
      </c>
      <c r="J1817" s="12">
        <f t="shared" si="283"/>
        <v>0</v>
      </c>
      <c r="K1817" s="17" t="str">
        <f t="shared" si="288"/>
        <v>Pas d'écart</v>
      </c>
      <c r="L1817" s="16">
        <f>base!X1817</f>
        <v>0</v>
      </c>
      <c r="M1817" s="11">
        <f t="shared" si="284"/>
        <v>0</v>
      </c>
      <c r="N1817" s="11">
        <f t="shared" si="285"/>
        <v>0</v>
      </c>
      <c r="O1817" s="11">
        <f t="shared" si="286"/>
        <v>0</v>
      </c>
      <c r="P1817" s="12">
        <f t="shared" si="287"/>
        <v>0</v>
      </c>
      <c r="Q1817" s="17" t="str">
        <f t="shared" si="289"/>
        <v>Pas d'écart</v>
      </c>
    </row>
    <row r="1818" spans="1:18" x14ac:dyDescent="0.3">
      <c r="A1818" s="34">
        <f>base!J1818</f>
        <v>0</v>
      </c>
      <c r="B1818" s="34" t="str">
        <f>base!V1818</f>
        <v>77184</v>
      </c>
      <c r="C1818" s="37">
        <v>77</v>
      </c>
      <c r="D1818" s="36">
        <f>base!H1818</f>
        <v>32</v>
      </c>
      <c r="E1818" s="44"/>
      <c r="F1818" s="16">
        <f>base!W1818</f>
        <v>0</v>
      </c>
      <c r="G1818" s="11">
        <f t="shared" si="280"/>
        <v>0</v>
      </c>
      <c r="H1818" s="11">
        <f t="shared" si="281"/>
        <v>0</v>
      </c>
      <c r="I1818" s="11">
        <f t="shared" si="282"/>
        <v>0</v>
      </c>
      <c r="J1818" s="12">
        <f t="shared" si="283"/>
        <v>0</v>
      </c>
      <c r="K1818" s="17" t="str">
        <f t="shared" si="288"/>
        <v>Pas d'écart</v>
      </c>
      <c r="L1818" s="16">
        <f>base!X1818</f>
        <v>0</v>
      </c>
      <c r="M1818" s="11">
        <f t="shared" si="284"/>
        <v>0</v>
      </c>
      <c r="N1818" s="11">
        <f t="shared" si="285"/>
        <v>0</v>
      </c>
      <c r="O1818" s="11">
        <f t="shared" si="286"/>
        <v>0</v>
      </c>
      <c r="P1818" s="12">
        <f t="shared" si="287"/>
        <v>0</v>
      </c>
      <c r="Q1818" s="17" t="str">
        <f t="shared" si="289"/>
        <v>Pas d'écart</v>
      </c>
    </row>
    <row r="1819" spans="1:18" x14ac:dyDescent="0.3">
      <c r="A1819" s="34" t="str">
        <f>base!J1819</f>
        <v>LM</v>
      </c>
      <c r="B1819" s="34" t="str">
        <f>base!V1819</f>
        <v>75009</v>
      </c>
      <c r="C1819" s="37">
        <v>75</v>
      </c>
      <c r="D1819" s="36">
        <f>base!H1819</f>
        <v>174.26</v>
      </c>
      <c r="E1819" s="44"/>
      <c r="F1819" s="16">
        <f>base!W1819</f>
        <v>0</v>
      </c>
      <c r="G1819" s="11">
        <f t="shared" si="280"/>
        <v>0</v>
      </c>
      <c r="H1819" s="11">
        <f t="shared" si="281"/>
        <v>0</v>
      </c>
      <c r="I1819" s="11">
        <f t="shared" si="282"/>
        <v>0</v>
      </c>
      <c r="J1819" s="12">
        <f t="shared" si="283"/>
        <v>0</v>
      </c>
      <c r="K1819" s="17" t="str">
        <f t="shared" si="288"/>
        <v>Pas d'écart</v>
      </c>
      <c r="L1819" s="16">
        <f>base!X1819</f>
        <v>0</v>
      </c>
      <c r="M1819" s="11">
        <f t="shared" si="284"/>
        <v>0</v>
      </c>
      <c r="N1819" s="11">
        <f t="shared" si="285"/>
        <v>0</v>
      </c>
      <c r="O1819" s="11">
        <f t="shared" si="286"/>
        <v>0</v>
      </c>
      <c r="P1819" s="12">
        <f t="shared" si="287"/>
        <v>0</v>
      </c>
      <c r="Q1819" s="17" t="str">
        <f t="shared" si="289"/>
        <v>Pas d'écart</v>
      </c>
    </row>
    <row r="1820" spans="1:18" x14ac:dyDescent="0.3">
      <c r="A1820" s="34" t="str">
        <f>base!J1820</f>
        <v>LM</v>
      </c>
      <c r="B1820" s="34" t="str">
        <f>base!V1820</f>
        <v>75009</v>
      </c>
      <c r="C1820" s="37">
        <v>75</v>
      </c>
      <c r="D1820" s="36">
        <f>base!H1820</f>
        <v>174.26</v>
      </c>
      <c r="E1820" s="44"/>
      <c r="F1820" s="16">
        <f>base!W1820</f>
        <v>0</v>
      </c>
      <c r="G1820" s="11">
        <f t="shared" si="280"/>
        <v>0</v>
      </c>
      <c r="H1820" s="11">
        <f t="shared" si="281"/>
        <v>0</v>
      </c>
      <c r="I1820" s="11">
        <f t="shared" si="282"/>
        <v>0</v>
      </c>
      <c r="J1820" s="12">
        <f t="shared" si="283"/>
        <v>0</v>
      </c>
      <c r="K1820" s="17" t="str">
        <f t="shared" si="288"/>
        <v>Pas d'écart</v>
      </c>
      <c r="L1820" s="16">
        <f>base!X1820</f>
        <v>0</v>
      </c>
      <c r="M1820" s="11">
        <f t="shared" si="284"/>
        <v>0</v>
      </c>
      <c r="N1820" s="11">
        <f t="shared" si="285"/>
        <v>0</v>
      </c>
      <c r="O1820" s="11">
        <f t="shared" si="286"/>
        <v>0</v>
      </c>
      <c r="P1820" s="12">
        <f t="shared" si="287"/>
        <v>0</v>
      </c>
      <c r="Q1820" s="17" t="str">
        <f t="shared" si="289"/>
        <v>Pas d'écart</v>
      </c>
    </row>
    <row r="1821" spans="1:18" x14ac:dyDescent="0.3">
      <c r="A1821" s="34" t="str">
        <f>base!J1821</f>
        <v>RS</v>
      </c>
      <c r="B1821" s="34" t="str">
        <f>base!V1821</f>
        <v>83270</v>
      </c>
      <c r="C1821" s="37">
        <v>83</v>
      </c>
      <c r="D1821" s="36">
        <f>base!H1821</f>
        <v>151</v>
      </c>
      <c r="E1821" s="44"/>
      <c r="F1821" s="16">
        <f>base!W1821</f>
        <v>0</v>
      </c>
      <c r="G1821" s="11">
        <f t="shared" si="280"/>
        <v>0</v>
      </c>
      <c r="H1821" s="11">
        <f t="shared" si="281"/>
        <v>45.3</v>
      </c>
      <c r="I1821" s="11">
        <f t="shared" si="282"/>
        <v>0.3</v>
      </c>
      <c r="J1821" s="12">
        <f t="shared" si="283"/>
        <v>-45.3</v>
      </c>
      <c r="K1821" s="17" t="str">
        <f t="shared" si="288"/>
        <v>Ecart négatif</v>
      </c>
      <c r="L1821" s="16">
        <f>base!X1821</f>
        <v>31.71</v>
      </c>
      <c r="M1821" s="11">
        <f t="shared" si="284"/>
        <v>0.21</v>
      </c>
      <c r="N1821" s="11">
        <f t="shared" si="285"/>
        <v>31.709999999999997</v>
      </c>
      <c r="O1821" s="11">
        <f t="shared" si="286"/>
        <v>0.21</v>
      </c>
      <c r="P1821" s="12">
        <f t="shared" si="287"/>
        <v>0</v>
      </c>
      <c r="Q1821" s="17" t="str">
        <f t="shared" si="289"/>
        <v>Pas d'écart</v>
      </c>
      <c r="R1821" s="38"/>
    </row>
    <row r="1822" spans="1:18" x14ac:dyDescent="0.3">
      <c r="A1822" s="34">
        <f>base!J1822</f>
        <v>0</v>
      </c>
      <c r="B1822" s="34" t="str">
        <f>base!V1822</f>
        <v>77184</v>
      </c>
      <c r="C1822" s="37">
        <v>77</v>
      </c>
      <c r="D1822" s="36">
        <f>base!H1822</f>
        <v>10</v>
      </c>
      <c r="E1822" s="44"/>
      <c r="F1822" s="16">
        <f>base!W1822</f>
        <v>0</v>
      </c>
      <c r="G1822" s="11">
        <f t="shared" si="280"/>
        <v>0</v>
      </c>
      <c r="H1822" s="11">
        <f t="shared" si="281"/>
        <v>0</v>
      </c>
      <c r="I1822" s="11">
        <f t="shared" si="282"/>
        <v>0</v>
      </c>
      <c r="J1822" s="12">
        <f t="shared" si="283"/>
        <v>0</v>
      </c>
      <c r="K1822" s="17" t="str">
        <f t="shared" si="288"/>
        <v>Pas d'écart</v>
      </c>
      <c r="L1822" s="16">
        <f>base!X1822</f>
        <v>0</v>
      </c>
      <c r="M1822" s="11">
        <f t="shared" si="284"/>
        <v>0</v>
      </c>
      <c r="N1822" s="11">
        <f t="shared" si="285"/>
        <v>0</v>
      </c>
      <c r="O1822" s="11">
        <f t="shared" si="286"/>
        <v>0</v>
      </c>
      <c r="P1822" s="12">
        <f t="shared" si="287"/>
        <v>0</v>
      </c>
      <c r="Q1822" s="17" t="str">
        <f t="shared" si="289"/>
        <v>Pas d'écart</v>
      </c>
    </row>
    <row r="1823" spans="1:18" x14ac:dyDescent="0.3">
      <c r="A1823" s="34">
        <f>base!J1823</f>
        <v>0</v>
      </c>
      <c r="B1823" s="34" t="str">
        <f>base!V1823</f>
        <v>77184</v>
      </c>
      <c r="C1823" s="37">
        <v>77</v>
      </c>
      <c r="D1823" s="36">
        <f>base!H1823</f>
        <v>10</v>
      </c>
      <c r="E1823" s="44"/>
      <c r="F1823" s="16">
        <f>base!W1823</f>
        <v>0</v>
      </c>
      <c r="G1823" s="11">
        <f t="shared" si="280"/>
        <v>0</v>
      </c>
      <c r="H1823" s="11">
        <f t="shared" si="281"/>
        <v>0</v>
      </c>
      <c r="I1823" s="11">
        <f t="shared" si="282"/>
        <v>0</v>
      </c>
      <c r="J1823" s="12">
        <f t="shared" si="283"/>
        <v>0</v>
      </c>
      <c r="K1823" s="17" t="str">
        <f t="shared" si="288"/>
        <v>Pas d'écart</v>
      </c>
      <c r="L1823" s="16">
        <f>base!X1823</f>
        <v>0</v>
      </c>
      <c r="M1823" s="11">
        <f t="shared" si="284"/>
        <v>0</v>
      </c>
      <c r="N1823" s="11">
        <f t="shared" si="285"/>
        <v>0</v>
      </c>
      <c r="O1823" s="11">
        <f t="shared" si="286"/>
        <v>0</v>
      </c>
      <c r="P1823" s="12">
        <f t="shared" si="287"/>
        <v>0</v>
      </c>
      <c r="Q1823" s="17" t="str">
        <f t="shared" si="289"/>
        <v>Pas d'écart</v>
      </c>
    </row>
    <row r="1824" spans="1:18" x14ac:dyDescent="0.3">
      <c r="A1824" s="34">
        <f>base!J1824</f>
        <v>0</v>
      </c>
      <c r="B1824" s="34" t="str">
        <f>base!V1824</f>
        <v>77184</v>
      </c>
      <c r="C1824" s="37">
        <v>77</v>
      </c>
      <c r="D1824" s="36">
        <f>base!H1824</f>
        <v>10</v>
      </c>
      <c r="E1824" s="44"/>
      <c r="F1824" s="16">
        <f>base!W1824</f>
        <v>0</v>
      </c>
      <c r="G1824" s="11">
        <f t="shared" si="280"/>
        <v>0</v>
      </c>
      <c r="H1824" s="11">
        <f t="shared" si="281"/>
        <v>0</v>
      </c>
      <c r="I1824" s="11">
        <f t="shared" si="282"/>
        <v>0</v>
      </c>
      <c r="J1824" s="12">
        <f t="shared" si="283"/>
        <v>0</v>
      </c>
      <c r="K1824" s="17" t="str">
        <f t="shared" si="288"/>
        <v>Pas d'écart</v>
      </c>
      <c r="L1824" s="16">
        <f>base!X1824</f>
        <v>0</v>
      </c>
      <c r="M1824" s="11">
        <f t="shared" si="284"/>
        <v>0</v>
      </c>
      <c r="N1824" s="11">
        <f t="shared" si="285"/>
        <v>0</v>
      </c>
      <c r="O1824" s="11">
        <f t="shared" si="286"/>
        <v>0</v>
      </c>
      <c r="P1824" s="12">
        <f t="shared" si="287"/>
        <v>0</v>
      </c>
      <c r="Q1824" s="17" t="str">
        <f t="shared" si="289"/>
        <v>Pas d'écart</v>
      </c>
    </row>
    <row r="1825" spans="1:18" x14ac:dyDescent="0.3">
      <c r="A1825" s="34" t="str">
        <f>base!J1825</f>
        <v>LM</v>
      </c>
      <c r="B1825" s="34" t="str">
        <f>base!V1825</f>
        <v>61230</v>
      </c>
      <c r="C1825" s="37">
        <v>61</v>
      </c>
      <c r="D1825" s="36">
        <f>base!H1825</f>
        <v>140</v>
      </c>
      <c r="E1825" s="44"/>
      <c r="F1825" s="16">
        <f>base!W1825</f>
        <v>23.8</v>
      </c>
      <c r="G1825" s="11">
        <f t="shared" si="280"/>
        <v>0.17</v>
      </c>
      <c r="H1825" s="11">
        <f t="shared" si="281"/>
        <v>23.8</v>
      </c>
      <c r="I1825" s="11">
        <f t="shared" si="282"/>
        <v>0.17</v>
      </c>
      <c r="J1825" s="12">
        <f t="shared" si="283"/>
        <v>0</v>
      </c>
      <c r="K1825" s="17" t="str">
        <f t="shared" si="288"/>
        <v>Pas d'écart</v>
      </c>
      <c r="L1825" s="16">
        <f>base!X1825</f>
        <v>0</v>
      </c>
      <c r="M1825" s="11">
        <f t="shared" si="284"/>
        <v>0</v>
      </c>
      <c r="N1825" s="11">
        <f t="shared" si="285"/>
        <v>23.8</v>
      </c>
      <c r="O1825" s="11">
        <f t="shared" si="286"/>
        <v>0.17</v>
      </c>
      <c r="P1825" s="12">
        <f t="shared" si="287"/>
        <v>-23.8</v>
      </c>
      <c r="Q1825" s="17" t="str">
        <f t="shared" si="289"/>
        <v>Ecart négatif</v>
      </c>
    </row>
    <row r="1826" spans="1:18" x14ac:dyDescent="0.3">
      <c r="A1826" s="34" t="str">
        <f>base!J1826</f>
        <v>RM</v>
      </c>
      <c r="B1826" s="34" t="str">
        <f>base!V1826</f>
        <v>13115</v>
      </c>
      <c r="C1826" s="37">
        <v>13</v>
      </c>
      <c r="D1826" s="36">
        <f>base!H1826</f>
        <v>137.05000000000001</v>
      </c>
      <c r="E1826" s="44"/>
      <c r="F1826" s="16">
        <f>base!W1826</f>
        <v>0</v>
      </c>
      <c r="G1826" s="11">
        <f t="shared" si="280"/>
        <v>0</v>
      </c>
      <c r="H1826" s="11">
        <f t="shared" si="281"/>
        <v>39.744500000000002</v>
      </c>
      <c r="I1826" s="11">
        <f t="shared" si="282"/>
        <v>0.28999999999999998</v>
      </c>
      <c r="J1826" s="12">
        <f t="shared" si="283"/>
        <v>-39.744500000000002</v>
      </c>
      <c r="K1826" s="17" t="str">
        <f t="shared" si="288"/>
        <v>Ecart négatif</v>
      </c>
      <c r="L1826" s="16">
        <f>base!X1826</f>
        <v>26.04</v>
      </c>
      <c r="M1826" s="11">
        <f t="shared" si="284"/>
        <v>0.19000364830353883</v>
      </c>
      <c r="N1826" s="11">
        <f t="shared" si="285"/>
        <v>26.039500000000004</v>
      </c>
      <c r="O1826" s="11">
        <f t="shared" si="286"/>
        <v>0.19</v>
      </c>
      <c r="P1826" s="12">
        <f t="shared" si="287"/>
        <v>4.99999999995282E-4</v>
      </c>
      <c r="Q1826" s="17" t="str">
        <f t="shared" si="289"/>
        <v>Ecart positif</v>
      </c>
      <c r="R1826" s="38"/>
    </row>
    <row r="1827" spans="1:18" x14ac:dyDescent="0.3">
      <c r="A1827" s="34" t="str">
        <f>base!J1827</f>
        <v>RM</v>
      </c>
      <c r="B1827" s="34" t="str">
        <f>base!V1827</f>
        <v>13115</v>
      </c>
      <c r="C1827" s="37">
        <v>13</v>
      </c>
      <c r="D1827" s="36">
        <f>base!H1827</f>
        <v>137.05000000000001</v>
      </c>
      <c r="E1827" s="44"/>
      <c r="F1827" s="16">
        <f>base!W1827</f>
        <v>0</v>
      </c>
      <c r="G1827" s="11">
        <f t="shared" si="280"/>
        <v>0</v>
      </c>
      <c r="H1827" s="11">
        <f t="shared" si="281"/>
        <v>39.744500000000002</v>
      </c>
      <c r="I1827" s="11">
        <f t="shared" si="282"/>
        <v>0.28999999999999998</v>
      </c>
      <c r="J1827" s="12">
        <f t="shared" si="283"/>
        <v>-39.744500000000002</v>
      </c>
      <c r="K1827" s="17" t="str">
        <f t="shared" si="288"/>
        <v>Ecart négatif</v>
      </c>
      <c r="L1827" s="16">
        <f>base!X1827</f>
        <v>26.04</v>
      </c>
      <c r="M1827" s="11">
        <f t="shared" si="284"/>
        <v>0.19000364830353883</v>
      </c>
      <c r="N1827" s="11">
        <f t="shared" si="285"/>
        <v>26.039500000000004</v>
      </c>
      <c r="O1827" s="11">
        <f t="shared" si="286"/>
        <v>0.19</v>
      </c>
      <c r="P1827" s="12">
        <f t="shared" si="287"/>
        <v>4.99999999995282E-4</v>
      </c>
      <c r="Q1827" s="17" t="str">
        <f t="shared" si="289"/>
        <v>Ecart positif</v>
      </c>
      <c r="R1827" s="38"/>
    </row>
    <row r="1828" spans="1:18" x14ac:dyDescent="0.3">
      <c r="A1828" s="34" t="str">
        <f>base!J1828</f>
        <v>RM</v>
      </c>
      <c r="B1828" s="34" t="str">
        <f>base!V1828</f>
        <v>13115</v>
      </c>
      <c r="C1828" s="37">
        <v>13</v>
      </c>
      <c r="D1828" s="36">
        <f>base!H1828</f>
        <v>40</v>
      </c>
      <c r="E1828" s="44"/>
      <c r="F1828" s="16">
        <f>base!W1828</f>
        <v>0</v>
      </c>
      <c r="G1828" s="11">
        <f t="shared" si="280"/>
        <v>0</v>
      </c>
      <c r="H1828" s="11">
        <f t="shared" si="281"/>
        <v>11.6</v>
      </c>
      <c r="I1828" s="11">
        <f t="shared" si="282"/>
        <v>0.28999999999999998</v>
      </c>
      <c r="J1828" s="12">
        <f t="shared" si="283"/>
        <v>-11.6</v>
      </c>
      <c r="K1828" s="17" t="str">
        <f t="shared" si="288"/>
        <v>Ecart négatif</v>
      </c>
      <c r="L1828" s="16">
        <f>base!X1828</f>
        <v>7.6</v>
      </c>
      <c r="M1828" s="11">
        <f t="shared" si="284"/>
        <v>0.19</v>
      </c>
      <c r="N1828" s="11">
        <f t="shared" si="285"/>
        <v>7.6</v>
      </c>
      <c r="O1828" s="11">
        <f t="shared" si="286"/>
        <v>0.19</v>
      </c>
      <c r="P1828" s="12">
        <f t="shared" si="287"/>
        <v>0</v>
      </c>
      <c r="Q1828" s="17" t="str">
        <f t="shared" si="289"/>
        <v>Pas d'écart</v>
      </c>
      <c r="R1828" s="38"/>
    </row>
    <row r="1829" spans="1:18" x14ac:dyDescent="0.3">
      <c r="A1829" s="34" t="str">
        <f>base!J1829</f>
        <v>RS</v>
      </c>
      <c r="B1829" s="34" t="str">
        <f>base!V1829</f>
        <v>03300</v>
      </c>
      <c r="C1829" s="37">
        <v>3</v>
      </c>
      <c r="D1829" s="36">
        <f>base!H1829</f>
        <v>140</v>
      </c>
      <c r="E1829" s="44"/>
      <c r="F1829" s="16">
        <f>base!W1829</f>
        <v>0</v>
      </c>
      <c r="G1829" s="11">
        <f t="shared" si="280"/>
        <v>0</v>
      </c>
      <c r="H1829" s="11">
        <f t="shared" si="281"/>
        <v>40.599999999999994</v>
      </c>
      <c r="I1829" s="11">
        <f t="shared" si="282"/>
        <v>0.28999999999999998</v>
      </c>
      <c r="J1829" s="12">
        <f t="shared" si="283"/>
        <v>-40.599999999999994</v>
      </c>
      <c r="K1829" s="17" t="str">
        <f t="shared" si="288"/>
        <v>Ecart négatif</v>
      </c>
      <c r="L1829" s="16">
        <f>base!X1829</f>
        <v>16.8</v>
      </c>
      <c r="M1829" s="11">
        <f t="shared" si="284"/>
        <v>0.12000000000000001</v>
      </c>
      <c r="N1829" s="11">
        <f t="shared" si="285"/>
        <v>16.8</v>
      </c>
      <c r="O1829" s="11">
        <f t="shared" si="286"/>
        <v>0.12000000000000001</v>
      </c>
      <c r="P1829" s="12">
        <f t="shared" si="287"/>
        <v>0</v>
      </c>
      <c r="Q1829" s="17" t="str">
        <f t="shared" si="289"/>
        <v>Pas d'écart</v>
      </c>
      <c r="R1829" s="38"/>
    </row>
    <row r="1830" spans="1:18" x14ac:dyDescent="0.3">
      <c r="A1830" s="34" t="str">
        <f>base!J1830</f>
        <v>RM</v>
      </c>
      <c r="B1830" s="34" t="str">
        <f>base!V1830</f>
        <v>01000</v>
      </c>
      <c r="C1830" s="37">
        <v>1</v>
      </c>
      <c r="D1830" s="36">
        <f>base!H1830</f>
        <v>215.58</v>
      </c>
      <c r="E1830" s="44"/>
      <c r="F1830" s="16">
        <f>base!W1830</f>
        <v>0</v>
      </c>
      <c r="G1830" s="11">
        <f t="shared" si="280"/>
        <v>0</v>
      </c>
      <c r="H1830" s="11">
        <f t="shared" si="281"/>
        <v>56.050800000000002</v>
      </c>
      <c r="I1830" s="11">
        <f t="shared" si="282"/>
        <v>0.26</v>
      </c>
      <c r="J1830" s="12">
        <f t="shared" si="283"/>
        <v>-56.050800000000002</v>
      </c>
      <c r="K1830" s="17" t="str">
        <f t="shared" si="288"/>
        <v>Ecart négatif</v>
      </c>
      <c r="L1830" s="16">
        <f>base!X1830</f>
        <v>0</v>
      </c>
      <c r="M1830" s="11">
        <f t="shared" si="284"/>
        <v>0</v>
      </c>
      <c r="N1830" s="11">
        <f t="shared" si="285"/>
        <v>0</v>
      </c>
      <c r="O1830" s="11">
        <f t="shared" si="286"/>
        <v>0</v>
      </c>
      <c r="P1830" s="12">
        <f t="shared" si="287"/>
        <v>0</v>
      </c>
      <c r="Q1830" s="17" t="str">
        <f t="shared" si="289"/>
        <v>Pas d'écart</v>
      </c>
    </row>
    <row r="1831" spans="1:18" x14ac:dyDescent="0.3">
      <c r="A1831" s="34" t="str">
        <f>base!J1831</f>
        <v>LM</v>
      </c>
      <c r="B1831" s="34" t="str">
        <f>base!V1831</f>
        <v>01000</v>
      </c>
      <c r="C1831" s="37">
        <v>62</v>
      </c>
      <c r="D1831" s="36">
        <f>base!H1831</f>
        <v>146.75</v>
      </c>
      <c r="E1831" s="44"/>
      <c r="F1831" s="16">
        <f>base!W1831</f>
        <v>39.619999999999997</v>
      </c>
      <c r="G1831" s="11">
        <f t="shared" si="280"/>
        <v>0.26998296422487222</v>
      </c>
      <c r="H1831" s="11">
        <f t="shared" si="281"/>
        <v>27.8825</v>
      </c>
      <c r="I1831" s="11">
        <f t="shared" si="282"/>
        <v>0.19</v>
      </c>
      <c r="J1831" s="12">
        <f t="shared" si="283"/>
        <v>11.737499999999997</v>
      </c>
      <c r="K1831" s="17" t="str">
        <f t="shared" si="288"/>
        <v>Ecart positif</v>
      </c>
      <c r="L1831" s="16">
        <f>base!X1831</f>
        <v>0</v>
      </c>
      <c r="M1831" s="11">
        <f t="shared" si="284"/>
        <v>0</v>
      </c>
      <c r="N1831" s="11">
        <f t="shared" si="285"/>
        <v>0</v>
      </c>
      <c r="O1831" s="11">
        <f t="shared" si="286"/>
        <v>0</v>
      </c>
      <c r="P1831" s="12">
        <f t="shared" si="287"/>
        <v>0</v>
      </c>
      <c r="Q1831" s="17" t="str">
        <f t="shared" si="289"/>
        <v>Pas d'écart</v>
      </c>
    </row>
    <row r="1832" spans="1:18" x14ac:dyDescent="0.3">
      <c r="A1832" s="34" t="str">
        <f>base!J1832</f>
        <v>RM</v>
      </c>
      <c r="B1832" s="34" t="str">
        <f>base!V1832</f>
        <v>14790</v>
      </c>
      <c r="C1832" s="37">
        <v>14</v>
      </c>
      <c r="D1832" s="36">
        <f>base!H1832</f>
        <v>25</v>
      </c>
      <c r="E1832" s="44"/>
      <c r="F1832" s="16">
        <f>base!W1832</f>
        <v>0</v>
      </c>
      <c r="G1832" s="11">
        <f t="shared" si="280"/>
        <v>0</v>
      </c>
      <c r="H1832" s="11">
        <f t="shared" si="281"/>
        <v>4.25</v>
      </c>
      <c r="I1832" s="11">
        <f t="shared" si="282"/>
        <v>0.17</v>
      </c>
      <c r="J1832" s="12">
        <f t="shared" si="283"/>
        <v>-4.25</v>
      </c>
      <c r="K1832" s="17" t="str">
        <f t="shared" si="288"/>
        <v>Ecart négatif</v>
      </c>
      <c r="L1832" s="16">
        <f>base!X1832</f>
        <v>4.25</v>
      </c>
      <c r="M1832" s="11">
        <f t="shared" si="284"/>
        <v>0.17</v>
      </c>
      <c r="N1832" s="11">
        <f t="shared" si="285"/>
        <v>4.25</v>
      </c>
      <c r="O1832" s="11">
        <f t="shared" si="286"/>
        <v>0.17</v>
      </c>
      <c r="P1832" s="12">
        <f t="shared" si="287"/>
        <v>0</v>
      </c>
      <c r="Q1832" s="17" t="str">
        <f t="shared" si="289"/>
        <v>Pas d'écart</v>
      </c>
      <c r="R1832" s="38"/>
    </row>
    <row r="1833" spans="1:18" x14ac:dyDescent="0.3">
      <c r="A1833" s="34" t="str">
        <f>base!J1833</f>
        <v>LM</v>
      </c>
      <c r="B1833" s="34" t="str">
        <f>base!V1833</f>
        <v>73200</v>
      </c>
      <c r="C1833" s="37">
        <v>59</v>
      </c>
      <c r="D1833" s="36">
        <f>base!H1833</f>
        <v>75.16</v>
      </c>
      <c r="E1833" s="44"/>
      <c r="F1833" s="16">
        <f>base!W1833</f>
        <v>20.29</v>
      </c>
      <c r="G1833" s="11">
        <f t="shared" si="280"/>
        <v>0.2699574241617882</v>
      </c>
      <c r="H1833" s="11">
        <f t="shared" si="281"/>
        <v>14.2804</v>
      </c>
      <c r="I1833" s="11">
        <f t="shared" si="282"/>
        <v>0.19</v>
      </c>
      <c r="J1833" s="12">
        <f t="shared" si="283"/>
        <v>6.0095999999999989</v>
      </c>
      <c r="K1833" s="17" t="str">
        <f t="shared" si="288"/>
        <v>Ecart positif</v>
      </c>
      <c r="L1833" s="16">
        <f>base!X1833</f>
        <v>0</v>
      </c>
      <c r="M1833" s="11">
        <f t="shared" si="284"/>
        <v>0</v>
      </c>
      <c r="N1833" s="11">
        <f t="shared" si="285"/>
        <v>0</v>
      </c>
      <c r="O1833" s="11">
        <f t="shared" si="286"/>
        <v>0</v>
      </c>
      <c r="P1833" s="12">
        <f t="shared" si="287"/>
        <v>0</v>
      </c>
      <c r="Q1833" s="17" t="str">
        <f t="shared" si="289"/>
        <v>Pas d'écart</v>
      </c>
    </row>
    <row r="1834" spans="1:18" x14ac:dyDescent="0.3">
      <c r="A1834" s="34" t="str">
        <f>base!J1834</f>
        <v>LM</v>
      </c>
      <c r="B1834" s="34" t="str">
        <f>base!V1834</f>
        <v>35044</v>
      </c>
      <c r="C1834" s="37">
        <v>59</v>
      </c>
      <c r="D1834" s="36">
        <f>base!H1834</f>
        <v>20.23</v>
      </c>
      <c r="E1834" s="44"/>
      <c r="F1834" s="16">
        <f>base!W1834</f>
        <v>5.46</v>
      </c>
      <c r="G1834" s="11">
        <f t="shared" si="280"/>
        <v>0.26989619377162627</v>
      </c>
      <c r="H1834" s="11">
        <f t="shared" si="281"/>
        <v>3.8437000000000001</v>
      </c>
      <c r="I1834" s="11">
        <f t="shared" si="282"/>
        <v>0.19</v>
      </c>
      <c r="J1834" s="12">
        <f t="shared" si="283"/>
        <v>1.6162999999999998</v>
      </c>
      <c r="K1834" s="17" t="str">
        <f t="shared" si="288"/>
        <v>Ecart positif</v>
      </c>
      <c r="L1834" s="16">
        <f>base!X1834</f>
        <v>0</v>
      </c>
      <c r="M1834" s="11">
        <f t="shared" si="284"/>
        <v>0</v>
      </c>
      <c r="N1834" s="11">
        <f t="shared" si="285"/>
        <v>0</v>
      </c>
      <c r="O1834" s="11">
        <f t="shared" si="286"/>
        <v>0</v>
      </c>
      <c r="P1834" s="12">
        <f t="shared" si="287"/>
        <v>0</v>
      </c>
      <c r="Q1834" s="17" t="str">
        <f t="shared" si="289"/>
        <v>Pas d'écart</v>
      </c>
    </row>
    <row r="1835" spans="1:18" x14ac:dyDescent="0.3">
      <c r="A1835" s="34" t="str">
        <f>base!J1835</f>
        <v>LS</v>
      </c>
      <c r="B1835" s="34" t="str">
        <f>base!V1835</f>
        <v>27000</v>
      </c>
      <c r="C1835" s="37">
        <v>62</v>
      </c>
      <c r="D1835" s="36">
        <f>base!H1835</f>
        <v>144.19999999999999</v>
      </c>
      <c r="E1835" s="44"/>
      <c r="F1835" s="16">
        <f>base!W1835</f>
        <v>24.51</v>
      </c>
      <c r="G1835" s="11">
        <f t="shared" si="280"/>
        <v>0.1699722607489598</v>
      </c>
      <c r="H1835" s="11">
        <f t="shared" si="281"/>
        <v>27.398</v>
      </c>
      <c r="I1835" s="11">
        <f t="shared" si="282"/>
        <v>0.19</v>
      </c>
      <c r="J1835" s="12">
        <f t="shared" si="283"/>
        <v>-2.8879999999999981</v>
      </c>
      <c r="K1835" s="17" t="str">
        <f t="shared" si="288"/>
        <v>Ecart négatif</v>
      </c>
      <c r="L1835" s="16">
        <f>base!X1835</f>
        <v>0</v>
      </c>
      <c r="M1835" s="11">
        <f t="shared" si="284"/>
        <v>0</v>
      </c>
      <c r="N1835" s="11">
        <f t="shared" si="285"/>
        <v>0</v>
      </c>
      <c r="O1835" s="11">
        <f t="shared" si="286"/>
        <v>0</v>
      </c>
      <c r="P1835" s="12">
        <f t="shared" si="287"/>
        <v>0</v>
      </c>
      <c r="Q1835" s="17" t="str">
        <f t="shared" si="289"/>
        <v>Pas d'écart</v>
      </c>
    </row>
    <row r="1836" spans="1:18" x14ac:dyDescent="0.3">
      <c r="A1836" s="34" t="str">
        <f>base!J1836</f>
        <v>DLS</v>
      </c>
      <c r="B1836" s="34" t="str">
        <f>base!V1836</f>
        <v>67541</v>
      </c>
      <c r="C1836" s="37">
        <v>67</v>
      </c>
      <c r="D1836" s="36">
        <f>base!H1836</f>
        <v>200.33</v>
      </c>
      <c r="E1836" s="44"/>
      <c r="F1836" s="16">
        <f>base!W1836</f>
        <v>0</v>
      </c>
      <c r="G1836" s="11">
        <f t="shared" si="280"/>
        <v>0</v>
      </c>
      <c r="H1836" s="11">
        <f t="shared" si="281"/>
        <v>58.095700000000001</v>
      </c>
      <c r="I1836" s="11">
        <f t="shared" si="282"/>
        <v>0.28999999999999998</v>
      </c>
      <c r="J1836" s="12">
        <f t="shared" si="283"/>
        <v>-58.095700000000001</v>
      </c>
      <c r="K1836" s="17" t="str">
        <f t="shared" si="288"/>
        <v>Ecart négatif</v>
      </c>
      <c r="L1836" s="16">
        <f>base!X1836</f>
        <v>48.08</v>
      </c>
      <c r="M1836" s="11">
        <f t="shared" si="284"/>
        <v>0.24000399341087203</v>
      </c>
      <c r="N1836" s="11">
        <f t="shared" si="285"/>
        <v>16.026400000000002</v>
      </c>
      <c r="O1836" s="11">
        <f t="shared" si="286"/>
        <v>0.08</v>
      </c>
      <c r="P1836" s="12">
        <f t="shared" si="287"/>
        <v>32.053599999999996</v>
      </c>
      <c r="Q1836" s="17" t="str">
        <f t="shared" si="289"/>
        <v>Ecart positif</v>
      </c>
    </row>
    <row r="1837" spans="1:18" x14ac:dyDescent="0.3">
      <c r="A1837" s="34" t="str">
        <f>base!J1837</f>
        <v>RS</v>
      </c>
      <c r="B1837" s="34" t="str">
        <f>base!V1837</f>
        <v>45450</v>
      </c>
      <c r="C1837" s="37">
        <v>45</v>
      </c>
      <c r="D1837" s="36">
        <f>base!H1837</f>
        <v>250</v>
      </c>
      <c r="E1837" s="44"/>
      <c r="F1837" s="16">
        <f>base!W1837</f>
        <v>0</v>
      </c>
      <c r="G1837" s="11">
        <f t="shared" si="280"/>
        <v>0</v>
      </c>
      <c r="H1837" s="11">
        <f t="shared" si="281"/>
        <v>52.5</v>
      </c>
      <c r="I1837" s="11">
        <f t="shared" si="282"/>
        <v>0.21</v>
      </c>
      <c r="J1837" s="12">
        <f t="shared" si="283"/>
        <v>-52.5</v>
      </c>
      <c r="K1837" s="17" t="str">
        <f t="shared" si="288"/>
        <v>Ecart négatif</v>
      </c>
      <c r="L1837" s="16">
        <f>base!X1837</f>
        <v>30</v>
      </c>
      <c r="M1837" s="11">
        <f t="shared" si="284"/>
        <v>0.12</v>
      </c>
      <c r="N1837" s="11">
        <f t="shared" si="285"/>
        <v>30</v>
      </c>
      <c r="O1837" s="11">
        <f t="shared" si="286"/>
        <v>0.12</v>
      </c>
      <c r="P1837" s="12">
        <f t="shared" si="287"/>
        <v>0</v>
      </c>
      <c r="Q1837" s="17" t="str">
        <f t="shared" si="289"/>
        <v>Pas d'écart</v>
      </c>
      <c r="R1837" s="38"/>
    </row>
    <row r="1838" spans="1:18" x14ac:dyDescent="0.3">
      <c r="A1838" s="34" t="str">
        <f>base!J1838</f>
        <v>RS</v>
      </c>
      <c r="B1838" s="34" t="str">
        <f>base!V1838</f>
        <v>94550</v>
      </c>
      <c r="C1838" s="37">
        <v>94</v>
      </c>
      <c r="D1838" s="36">
        <f>base!H1838</f>
        <v>140</v>
      </c>
      <c r="E1838" s="44"/>
      <c r="F1838" s="16">
        <f>base!W1838</f>
        <v>0</v>
      </c>
      <c r="G1838" s="11">
        <f t="shared" si="280"/>
        <v>0</v>
      </c>
      <c r="H1838" s="11">
        <f t="shared" si="281"/>
        <v>0</v>
      </c>
      <c r="I1838" s="11">
        <f t="shared" si="282"/>
        <v>0</v>
      </c>
      <c r="J1838" s="12">
        <f t="shared" si="283"/>
        <v>0</v>
      </c>
      <c r="K1838" s="17" t="str">
        <f t="shared" si="288"/>
        <v>Pas d'écart</v>
      </c>
      <c r="L1838" s="16">
        <f>base!X1838</f>
        <v>0</v>
      </c>
      <c r="M1838" s="11">
        <f t="shared" si="284"/>
        <v>0</v>
      </c>
      <c r="N1838" s="11">
        <f t="shared" si="285"/>
        <v>0</v>
      </c>
      <c r="O1838" s="11">
        <f t="shared" si="286"/>
        <v>0</v>
      </c>
      <c r="P1838" s="12">
        <f t="shared" si="287"/>
        <v>0</v>
      </c>
      <c r="Q1838" s="17" t="str">
        <f t="shared" si="289"/>
        <v>Pas d'écart</v>
      </c>
    </row>
    <row r="1839" spans="1:18" x14ac:dyDescent="0.3">
      <c r="A1839" s="34" t="str">
        <f>base!J1839</f>
        <v>RS</v>
      </c>
      <c r="B1839" s="34" t="str">
        <f>base!V1839</f>
        <v>49000</v>
      </c>
      <c r="C1839" s="37">
        <v>49</v>
      </c>
      <c r="D1839" s="36">
        <f>base!H1839</f>
        <v>172.15</v>
      </c>
      <c r="E1839" s="44"/>
      <c r="F1839" s="16">
        <f>base!W1839</f>
        <v>0</v>
      </c>
      <c r="G1839" s="11">
        <f t="shared" si="280"/>
        <v>0</v>
      </c>
      <c r="H1839" s="11">
        <f t="shared" si="281"/>
        <v>46.480500000000006</v>
      </c>
      <c r="I1839" s="11">
        <f t="shared" si="282"/>
        <v>0.27</v>
      </c>
      <c r="J1839" s="12">
        <f t="shared" si="283"/>
        <v>-46.480500000000006</v>
      </c>
      <c r="K1839" s="17" t="str">
        <f t="shared" si="288"/>
        <v>Ecart négatif</v>
      </c>
      <c r="L1839" s="16">
        <f>base!X1839</f>
        <v>46.48</v>
      </c>
      <c r="M1839" s="11">
        <f t="shared" si="284"/>
        <v>0.26999709555620094</v>
      </c>
      <c r="N1839" s="11">
        <f t="shared" si="285"/>
        <v>0</v>
      </c>
      <c r="O1839" s="11">
        <f t="shared" si="286"/>
        <v>0</v>
      </c>
      <c r="P1839" s="12">
        <f t="shared" si="287"/>
        <v>46.48</v>
      </c>
      <c r="Q1839" s="17" t="str">
        <f t="shared" si="289"/>
        <v>Ecart positif</v>
      </c>
      <c r="R1839" s="38"/>
    </row>
    <row r="1840" spans="1:18" x14ac:dyDescent="0.3">
      <c r="A1840" s="34" t="str">
        <f>base!J1840</f>
        <v>RM</v>
      </c>
      <c r="B1840" s="34" t="str">
        <f>base!V1840</f>
        <v>77183</v>
      </c>
      <c r="C1840" s="37">
        <v>77</v>
      </c>
      <c r="D1840" s="36">
        <f>base!H1840</f>
        <v>188.52</v>
      </c>
      <c r="E1840" s="44"/>
      <c r="F1840" s="16">
        <f>base!W1840</f>
        <v>0</v>
      </c>
      <c r="G1840" s="11">
        <f t="shared" si="280"/>
        <v>0</v>
      </c>
      <c r="H1840" s="11">
        <f t="shared" si="281"/>
        <v>0</v>
      </c>
      <c r="I1840" s="11">
        <f t="shared" si="282"/>
        <v>0</v>
      </c>
      <c r="J1840" s="12">
        <f t="shared" si="283"/>
        <v>0</v>
      </c>
      <c r="K1840" s="17" t="str">
        <f t="shared" si="288"/>
        <v>Pas d'écart</v>
      </c>
      <c r="L1840" s="16">
        <f>base!X1840</f>
        <v>0</v>
      </c>
      <c r="M1840" s="11">
        <f t="shared" si="284"/>
        <v>0</v>
      </c>
      <c r="N1840" s="11">
        <f t="shared" si="285"/>
        <v>0</v>
      </c>
      <c r="O1840" s="11">
        <f t="shared" si="286"/>
        <v>0</v>
      </c>
      <c r="P1840" s="12">
        <f t="shared" si="287"/>
        <v>0</v>
      </c>
      <c r="Q1840" s="17" t="str">
        <f t="shared" si="289"/>
        <v>Pas d'écart</v>
      </c>
    </row>
    <row r="1841" spans="1:18" x14ac:dyDescent="0.3">
      <c r="A1841" s="34" t="str">
        <f>base!J1841</f>
        <v>RS</v>
      </c>
      <c r="B1841" s="34" t="str">
        <f>base!V1841</f>
        <v>14100</v>
      </c>
      <c r="C1841" s="37">
        <v>14</v>
      </c>
      <c r="D1841" s="36">
        <f>base!H1841</f>
        <v>70</v>
      </c>
      <c r="E1841" s="44"/>
      <c r="F1841" s="16">
        <f>base!W1841</f>
        <v>0</v>
      </c>
      <c r="G1841" s="11">
        <f t="shared" si="280"/>
        <v>0</v>
      </c>
      <c r="H1841" s="11">
        <f t="shared" si="281"/>
        <v>11.9</v>
      </c>
      <c r="I1841" s="11">
        <f t="shared" si="282"/>
        <v>0.17</v>
      </c>
      <c r="J1841" s="12">
        <f t="shared" si="283"/>
        <v>-11.9</v>
      </c>
      <c r="K1841" s="17" t="str">
        <f t="shared" si="288"/>
        <v>Ecart négatif</v>
      </c>
      <c r="L1841" s="16">
        <f>base!X1841</f>
        <v>11.9</v>
      </c>
      <c r="M1841" s="11">
        <f t="shared" si="284"/>
        <v>0.17</v>
      </c>
      <c r="N1841" s="11">
        <f t="shared" si="285"/>
        <v>11.9</v>
      </c>
      <c r="O1841" s="11">
        <f t="shared" si="286"/>
        <v>0.17</v>
      </c>
      <c r="P1841" s="12">
        <f t="shared" si="287"/>
        <v>0</v>
      </c>
      <c r="Q1841" s="17" t="str">
        <f t="shared" si="289"/>
        <v>Pas d'écart</v>
      </c>
    </row>
    <row r="1842" spans="1:18" x14ac:dyDescent="0.3">
      <c r="A1842" s="34">
        <f>base!J1842</f>
        <v>0</v>
      </c>
      <c r="B1842" s="34" t="str">
        <f>base!V1842</f>
        <v>77184</v>
      </c>
      <c r="C1842" s="37">
        <v>77</v>
      </c>
      <c r="D1842" s="36">
        <f>base!H1842</f>
        <v>93.9</v>
      </c>
      <c r="E1842" s="44"/>
      <c r="F1842" s="16">
        <f>base!W1842</f>
        <v>0</v>
      </c>
      <c r="G1842" s="11">
        <f t="shared" si="280"/>
        <v>0</v>
      </c>
      <c r="H1842" s="11">
        <f t="shared" si="281"/>
        <v>0</v>
      </c>
      <c r="I1842" s="11">
        <f t="shared" si="282"/>
        <v>0</v>
      </c>
      <c r="J1842" s="12">
        <f t="shared" si="283"/>
        <v>0</v>
      </c>
      <c r="K1842" s="17" t="str">
        <f t="shared" si="288"/>
        <v>Pas d'écart</v>
      </c>
      <c r="L1842" s="16">
        <f>base!X1842</f>
        <v>0</v>
      </c>
      <c r="M1842" s="11">
        <f t="shared" si="284"/>
        <v>0</v>
      </c>
      <c r="N1842" s="11">
        <f t="shared" si="285"/>
        <v>0</v>
      </c>
      <c r="O1842" s="11">
        <f t="shared" si="286"/>
        <v>0</v>
      </c>
      <c r="P1842" s="12">
        <f t="shared" si="287"/>
        <v>0</v>
      </c>
      <c r="Q1842" s="17" t="str">
        <f t="shared" si="289"/>
        <v>Pas d'écart</v>
      </c>
    </row>
    <row r="1843" spans="1:18" x14ac:dyDescent="0.3">
      <c r="A1843" s="34" t="str">
        <f>base!J1843</f>
        <v>RS</v>
      </c>
      <c r="B1843" s="34" t="str">
        <f>base!V1843</f>
        <v>62600</v>
      </c>
      <c r="C1843" s="37">
        <v>62</v>
      </c>
      <c r="D1843" s="36">
        <f>base!H1843</f>
        <v>185.4</v>
      </c>
      <c r="E1843" s="44"/>
      <c r="F1843" s="16">
        <f>base!W1843</f>
        <v>0</v>
      </c>
      <c r="G1843" s="11">
        <f t="shared" si="280"/>
        <v>0</v>
      </c>
      <c r="H1843" s="11">
        <f t="shared" si="281"/>
        <v>35.225999999999999</v>
      </c>
      <c r="I1843" s="11">
        <f t="shared" si="282"/>
        <v>0.19</v>
      </c>
      <c r="J1843" s="12">
        <f t="shared" si="283"/>
        <v>-35.225999999999999</v>
      </c>
      <c r="K1843" s="17" t="str">
        <f t="shared" si="288"/>
        <v>Ecart négatif</v>
      </c>
      <c r="L1843" s="16">
        <f>base!X1843</f>
        <v>0</v>
      </c>
      <c r="M1843" s="11">
        <f t="shared" si="284"/>
        <v>0</v>
      </c>
      <c r="N1843" s="11">
        <f t="shared" si="285"/>
        <v>0</v>
      </c>
      <c r="O1843" s="11">
        <f t="shared" si="286"/>
        <v>0</v>
      </c>
      <c r="P1843" s="12">
        <f t="shared" si="287"/>
        <v>0</v>
      </c>
      <c r="Q1843" s="17" t="str">
        <f t="shared" si="289"/>
        <v>Pas d'écart</v>
      </c>
    </row>
    <row r="1844" spans="1:18" x14ac:dyDescent="0.3">
      <c r="A1844" s="34" t="str">
        <f>base!J1844</f>
        <v>DRM</v>
      </c>
      <c r="B1844" s="34" t="str">
        <f>base!V1844</f>
        <v>67800</v>
      </c>
      <c r="C1844" s="37">
        <v>67</v>
      </c>
      <c r="D1844" s="36">
        <f>base!H1844</f>
        <v>151</v>
      </c>
      <c r="E1844" s="44"/>
      <c r="F1844" s="16">
        <f>base!W1844</f>
        <v>0</v>
      </c>
      <c r="G1844" s="11">
        <f t="shared" si="280"/>
        <v>0</v>
      </c>
      <c r="H1844" s="11">
        <f t="shared" si="281"/>
        <v>43.79</v>
      </c>
      <c r="I1844" s="11">
        <f t="shared" si="282"/>
        <v>0.28999999999999998</v>
      </c>
      <c r="J1844" s="12">
        <f t="shared" si="283"/>
        <v>-43.79</v>
      </c>
      <c r="K1844" s="17" t="str">
        <f t="shared" si="288"/>
        <v>Ecart négatif</v>
      </c>
      <c r="L1844" s="16">
        <f>base!X1844</f>
        <v>0</v>
      </c>
      <c r="M1844" s="11">
        <f t="shared" si="284"/>
        <v>0</v>
      </c>
      <c r="N1844" s="11">
        <f t="shared" si="285"/>
        <v>12.08</v>
      </c>
      <c r="O1844" s="11">
        <f t="shared" si="286"/>
        <v>0.08</v>
      </c>
      <c r="P1844" s="12">
        <f t="shared" si="287"/>
        <v>-12.08</v>
      </c>
      <c r="Q1844" s="17" t="str">
        <f t="shared" si="289"/>
        <v>Ecart négatif</v>
      </c>
    </row>
    <row r="1845" spans="1:18" x14ac:dyDescent="0.3">
      <c r="A1845" s="34" t="str">
        <f>base!J1845</f>
        <v>DRM</v>
      </c>
      <c r="B1845" s="34" t="str">
        <f>base!V1845</f>
        <v>67800</v>
      </c>
      <c r="C1845" s="37">
        <v>67</v>
      </c>
      <c r="D1845" s="36">
        <f>base!H1845</f>
        <v>151</v>
      </c>
      <c r="E1845" s="44"/>
      <c r="F1845" s="16">
        <f>base!W1845</f>
        <v>0</v>
      </c>
      <c r="G1845" s="11">
        <f t="shared" si="280"/>
        <v>0</v>
      </c>
      <c r="H1845" s="11">
        <f t="shared" si="281"/>
        <v>43.79</v>
      </c>
      <c r="I1845" s="11">
        <f t="shared" si="282"/>
        <v>0.28999999999999998</v>
      </c>
      <c r="J1845" s="12">
        <f t="shared" si="283"/>
        <v>-43.79</v>
      </c>
      <c r="K1845" s="17" t="str">
        <f t="shared" si="288"/>
        <v>Ecart négatif</v>
      </c>
      <c r="L1845" s="16">
        <f>base!X1845</f>
        <v>0</v>
      </c>
      <c r="M1845" s="11">
        <f t="shared" si="284"/>
        <v>0</v>
      </c>
      <c r="N1845" s="11">
        <f t="shared" si="285"/>
        <v>12.08</v>
      </c>
      <c r="O1845" s="11">
        <f t="shared" si="286"/>
        <v>0.08</v>
      </c>
      <c r="P1845" s="12">
        <f t="shared" si="287"/>
        <v>-12.08</v>
      </c>
      <c r="Q1845" s="17" t="str">
        <f t="shared" si="289"/>
        <v>Ecart négatif</v>
      </c>
    </row>
    <row r="1846" spans="1:18" x14ac:dyDescent="0.3">
      <c r="A1846" s="34" t="str">
        <f>base!J1846</f>
        <v>RM</v>
      </c>
      <c r="B1846" s="34" t="str">
        <f>base!V1846</f>
        <v>59980</v>
      </c>
      <c r="C1846" s="37">
        <v>59</v>
      </c>
      <c r="D1846" s="36">
        <f>base!H1846</f>
        <v>71.55</v>
      </c>
      <c r="E1846" s="44"/>
      <c r="F1846" s="16">
        <f>base!W1846</f>
        <v>0</v>
      </c>
      <c r="G1846" s="11">
        <f t="shared" si="280"/>
        <v>0</v>
      </c>
      <c r="H1846" s="11">
        <f t="shared" si="281"/>
        <v>13.5945</v>
      </c>
      <c r="I1846" s="11">
        <f t="shared" si="282"/>
        <v>0.19</v>
      </c>
      <c r="J1846" s="12">
        <f t="shared" si="283"/>
        <v>-13.5945</v>
      </c>
      <c r="K1846" s="17" t="str">
        <f t="shared" si="288"/>
        <v>Ecart négatif</v>
      </c>
      <c r="L1846" s="16">
        <f>base!X1846</f>
        <v>0</v>
      </c>
      <c r="M1846" s="11">
        <f t="shared" si="284"/>
        <v>0</v>
      </c>
      <c r="N1846" s="11">
        <f t="shared" si="285"/>
        <v>0</v>
      </c>
      <c r="O1846" s="11">
        <f t="shared" si="286"/>
        <v>0</v>
      </c>
      <c r="P1846" s="12">
        <f t="shared" si="287"/>
        <v>0</v>
      </c>
      <c r="Q1846" s="17" t="str">
        <f t="shared" si="289"/>
        <v>Pas d'écart</v>
      </c>
    </row>
    <row r="1847" spans="1:18" x14ac:dyDescent="0.3">
      <c r="A1847" s="34" t="str">
        <f>base!J1847</f>
        <v>RM</v>
      </c>
      <c r="B1847" s="34" t="str">
        <f>base!V1847</f>
        <v>11100</v>
      </c>
      <c r="C1847" s="37">
        <v>11</v>
      </c>
      <c r="D1847" s="36">
        <f>base!H1847</f>
        <v>35</v>
      </c>
      <c r="E1847" s="44"/>
      <c r="F1847" s="16">
        <f>base!W1847</f>
        <v>0</v>
      </c>
      <c r="G1847" s="11">
        <f t="shared" si="280"/>
        <v>0</v>
      </c>
      <c r="H1847" s="11">
        <f t="shared" si="281"/>
        <v>12.6</v>
      </c>
      <c r="I1847" s="11">
        <f t="shared" si="282"/>
        <v>0.36</v>
      </c>
      <c r="J1847" s="12">
        <f t="shared" si="283"/>
        <v>-12.6</v>
      </c>
      <c r="K1847" s="17" t="str">
        <f t="shared" si="288"/>
        <v>Ecart négatif</v>
      </c>
      <c r="L1847" s="16">
        <f>base!X1847</f>
        <v>9.8000000000000007</v>
      </c>
      <c r="M1847" s="11">
        <f t="shared" si="284"/>
        <v>0.28000000000000003</v>
      </c>
      <c r="N1847" s="11">
        <f t="shared" si="285"/>
        <v>9.8000000000000007</v>
      </c>
      <c r="O1847" s="11">
        <f t="shared" si="286"/>
        <v>0.28000000000000003</v>
      </c>
      <c r="P1847" s="12">
        <f t="shared" si="287"/>
        <v>0</v>
      </c>
      <c r="Q1847" s="17" t="str">
        <f t="shared" si="289"/>
        <v>Pas d'écart</v>
      </c>
      <c r="R1847" s="38"/>
    </row>
    <row r="1848" spans="1:18" x14ac:dyDescent="0.3">
      <c r="A1848" s="34" t="str">
        <f>base!J1848</f>
        <v>LS</v>
      </c>
      <c r="B1848" s="34" t="str">
        <f>base!V1848</f>
        <v>85000</v>
      </c>
      <c r="C1848" s="37">
        <v>80</v>
      </c>
      <c r="D1848" s="36">
        <f>base!H1848</f>
        <v>153.88</v>
      </c>
      <c r="E1848" s="44"/>
      <c r="F1848" s="16">
        <f>base!W1848</f>
        <v>41.55</v>
      </c>
      <c r="G1848" s="11">
        <f t="shared" si="280"/>
        <v>0.27001559656875485</v>
      </c>
      <c r="H1848" s="11">
        <f t="shared" si="281"/>
        <v>29.237199999999998</v>
      </c>
      <c r="I1848" s="11">
        <f t="shared" si="282"/>
        <v>0.19</v>
      </c>
      <c r="J1848" s="12">
        <f t="shared" si="283"/>
        <v>12.312799999999999</v>
      </c>
      <c r="K1848" s="17" t="str">
        <f t="shared" si="288"/>
        <v>Ecart positif</v>
      </c>
      <c r="L1848" s="16">
        <f>base!X1848</f>
        <v>0</v>
      </c>
      <c r="M1848" s="11">
        <f t="shared" si="284"/>
        <v>0</v>
      </c>
      <c r="N1848" s="11">
        <f t="shared" si="285"/>
        <v>0</v>
      </c>
      <c r="O1848" s="11">
        <f t="shared" si="286"/>
        <v>0</v>
      </c>
      <c r="P1848" s="12">
        <f t="shared" si="287"/>
        <v>0</v>
      </c>
      <c r="Q1848" s="17" t="str">
        <f t="shared" si="289"/>
        <v>Pas d'écart</v>
      </c>
    </row>
    <row r="1849" spans="1:18" x14ac:dyDescent="0.3">
      <c r="A1849" s="34" t="str">
        <f>base!J1849</f>
        <v>LM</v>
      </c>
      <c r="B1849" s="34" t="str">
        <f>base!V1849</f>
        <v>11100</v>
      </c>
      <c r="C1849" s="37">
        <v>80</v>
      </c>
      <c r="D1849" s="36">
        <f>base!H1849</f>
        <v>55.36</v>
      </c>
      <c r="E1849" s="44"/>
      <c r="F1849" s="16">
        <f>base!W1849</f>
        <v>21.59</v>
      </c>
      <c r="G1849" s="11">
        <f t="shared" si="280"/>
        <v>0.38999277456647397</v>
      </c>
      <c r="H1849" s="11">
        <f t="shared" si="281"/>
        <v>10.5184</v>
      </c>
      <c r="I1849" s="11">
        <f t="shared" si="282"/>
        <v>0.19</v>
      </c>
      <c r="J1849" s="12">
        <f t="shared" si="283"/>
        <v>11.0716</v>
      </c>
      <c r="K1849" s="17" t="str">
        <f t="shared" si="288"/>
        <v>Ecart positif</v>
      </c>
      <c r="L1849" s="16">
        <f>base!X1849</f>
        <v>0</v>
      </c>
      <c r="M1849" s="11">
        <f t="shared" si="284"/>
        <v>0</v>
      </c>
      <c r="N1849" s="11">
        <f t="shared" si="285"/>
        <v>0</v>
      </c>
      <c r="O1849" s="11">
        <f t="shared" si="286"/>
        <v>0</v>
      </c>
      <c r="P1849" s="12">
        <f t="shared" si="287"/>
        <v>0</v>
      </c>
      <c r="Q1849" s="17" t="str">
        <f t="shared" si="289"/>
        <v>Pas d'écart</v>
      </c>
    </row>
    <row r="1850" spans="1:18" x14ac:dyDescent="0.3">
      <c r="A1850" s="34" t="str">
        <f>base!J1850</f>
        <v>LM</v>
      </c>
      <c r="B1850" s="34" t="str">
        <f>base!V1850</f>
        <v>88000</v>
      </c>
      <c r="C1850" s="37">
        <v>59</v>
      </c>
      <c r="D1850" s="36">
        <f>base!H1850</f>
        <v>12</v>
      </c>
      <c r="E1850" s="44"/>
      <c r="F1850" s="16">
        <f>base!W1850</f>
        <v>0</v>
      </c>
      <c r="G1850" s="11">
        <f t="shared" si="280"/>
        <v>0</v>
      </c>
      <c r="H1850" s="11">
        <f t="shared" si="281"/>
        <v>2.2800000000000002</v>
      </c>
      <c r="I1850" s="11">
        <f t="shared" si="282"/>
        <v>0.19000000000000003</v>
      </c>
      <c r="J1850" s="12">
        <f t="shared" si="283"/>
        <v>-2.2800000000000002</v>
      </c>
      <c r="K1850" s="17" t="str">
        <f t="shared" si="288"/>
        <v>Ecart négatif</v>
      </c>
      <c r="L1850" s="16">
        <f>base!X1850</f>
        <v>0</v>
      </c>
      <c r="M1850" s="11">
        <f t="shared" si="284"/>
        <v>0</v>
      </c>
      <c r="N1850" s="11">
        <f t="shared" si="285"/>
        <v>0</v>
      </c>
      <c r="O1850" s="11">
        <f t="shared" si="286"/>
        <v>0</v>
      </c>
      <c r="P1850" s="12">
        <f t="shared" si="287"/>
        <v>0</v>
      </c>
      <c r="Q1850" s="17" t="str">
        <f t="shared" si="289"/>
        <v>Pas d'écart</v>
      </c>
    </row>
    <row r="1851" spans="1:18" x14ac:dyDescent="0.3">
      <c r="A1851" s="34" t="str">
        <f>base!J1851</f>
        <v>RS</v>
      </c>
      <c r="B1851" s="34" t="str">
        <f>base!V1851</f>
        <v>29200</v>
      </c>
      <c r="C1851" s="37">
        <v>29</v>
      </c>
      <c r="D1851" s="36">
        <f>base!H1851</f>
        <v>1279.07</v>
      </c>
      <c r="E1851" s="44"/>
      <c r="F1851" s="16">
        <f>base!W1851</f>
        <v>0</v>
      </c>
      <c r="G1851" s="11">
        <f t="shared" si="280"/>
        <v>0</v>
      </c>
      <c r="H1851" s="11">
        <f t="shared" si="281"/>
        <v>498.83729999999997</v>
      </c>
      <c r="I1851" s="11">
        <f t="shared" si="282"/>
        <v>0.39</v>
      </c>
      <c r="J1851" s="12">
        <f t="shared" si="283"/>
        <v>-498.83729999999997</v>
      </c>
      <c r="K1851" s="17" t="str">
        <f t="shared" si="288"/>
        <v>Ecart négatif</v>
      </c>
      <c r="L1851" s="16">
        <f>base!X1851</f>
        <v>0</v>
      </c>
      <c r="M1851" s="11">
        <f t="shared" si="284"/>
        <v>0</v>
      </c>
      <c r="N1851" s="11">
        <f t="shared" si="285"/>
        <v>153.48839999999998</v>
      </c>
      <c r="O1851" s="11">
        <f t="shared" si="286"/>
        <v>0.12</v>
      </c>
      <c r="P1851" s="12">
        <f t="shared" si="287"/>
        <v>-153.48839999999998</v>
      </c>
      <c r="Q1851" s="17" t="str">
        <f t="shared" si="289"/>
        <v>Ecart négatif</v>
      </c>
    </row>
    <row r="1852" spans="1:18" x14ac:dyDescent="0.3">
      <c r="A1852" s="34">
        <f>base!J1852</f>
        <v>0</v>
      </c>
      <c r="B1852" s="34" t="str">
        <f>base!V1852</f>
        <v>44240</v>
      </c>
      <c r="C1852" s="37">
        <v>44</v>
      </c>
      <c r="D1852" s="36">
        <f>base!H1852</f>
        <v>108.12</v>
      </c>
      <c r="E1852" s="44"/>
      <c r="F1852" s="16">
        <f>base!W1852</f>
        <v>0</v>
      </c>
      <c r="G1852" s="11">
        <f t="shared" si="280"/>
        <v>0</v>
      </c>
      <c r="H1852" s="11">
        <f t="shared" si="281"/>
        <v>29.192400000000003</v>
      </c>
      <c r="I1852" s="11">
        <f t="shared" si="282"/>
        <v>0.27</v>
      </c>
      <c r="J1852" s="12">
        <f t="shared" si="283"/>
        <v>-29.192400000000003</v>
      </c>
      <c r="K1852" s="17" t="str">
        <f t="shared" si="288"/>
        <v>Ecart négatif</v>
      </c>
      <c r="L1852" s="16">
        <f>base!X1852</f>
        <v>0</v>
      </c>
      <c r="M1852" s="11">
        <f t="shared" si="284"/>
        <v>0</v>
      </c>
      <c r="N1852" s="11">
        <f t="shared" si="285"/>
        <v>0</v>
      </c>
      <c r="O1852" s="11">
        <f t="shared" si="286"/>
        <v>0</v>
      </c>
      <c r="P1852" s="12">
        <f t="shared" si="287"/>
        <v>0</v>
      </c>
      <c r="Q1852" s="17" t="str">
        <f t="shared" si="289"/>
        <v>Pas d'écart</v>
      </c>
    </row>
    <row r="1853" spans="1:18" x14ac:dyDescent="0.3">
      <c r="A1853" s="34">
        <f>base!J1853</f>
        <v>0</v>
      </c>
      <c r="B1853" s="34" t="str">
        <f>base!V1853</f>
        <v>44240</v>
      </c>
      <c r="C1853" s="37">
        <v>44</v>
      </c>
      <c r="D1853" s="36">
        <f>base!H1853</f>
        <v>33</v>
      </c>
      <c r="E1853" s="44"/>
      <c r="F1853" s="16">
        <f>base!W1853</f>
        <v>0</v>
      </c>
      <c r="G1853" s="11">
        <f t="shared" si="280"/>
        <v>0</v>
      </c>
      <c r="H1853" s="11">
        <f t="shared" si="281"/>
        <v>8.91</v>
      </c>
      <c r="I1853" s="11">
        <f t="shared" si="282"/>
        <v>0.27</v>
      </c>
      <c r="J1853" s="12">
        <f t="shared" si="283"/>
        <v>-8.91</v>
      </c>
      <c r="K1853" s="17" t="str">
        <f t="shared" si="288"/>
        <v>Ecart négatif</v>
      </c>
      <c r="L1853" s="16">
        <f>base!X1853</f>
        <v>0</v>
      </c>
      <c r="M1853" s="11">
        <f t="shared" si="284"/>
        <v>0</v>
      </c>
      <c r="N1853" s="11">
        <f t="shared" si="285"/>
        <v>0</v>
      </c>
      <c r="O1853" s="11">
        <f t="shared" si="286"/>
        <v>0</v>
      </c>
      <c r="P1853" s="12">
        <f t="shared" si="287"/>
        <v>0</v>
      </c>
      <c r="Q1853" s="17" t="str">
        <f t="shared" si="289"/>
        <v>Pas d'écart</v>
      </c>
    </row>
    <row r="1854" spans="1:18" x14ac:dyDescent="0.3">
      <c r="A1854" s="34">
        <f>base!J1854</f>
        <v>0</v>
      </c>
      <c r="B1854" s="34" t="str">
        <f>base!V1854</f>
        <v>77184</v>
      </c>
      <c r="C1854" s="37">
        <v>77</v>
      </c>
      <c r="D1854" s="36">
        <f>base!H1854</f>
        <v>163</v>
      </c>
      <c r="E1854" s="44"/>
      <c r="F1854" s="16">
        <f>base!W1854</f>
        <v>0</v>
      </c>
      <c r="G1854" s="11">
        <f t="shared" si="280"/>
        <v>0</v>
      </c>
      <c r="H1854" s="11">
        <f t="shared" si="281"/>
        <v>0</v>
      </c>
      <c r="I1854" s="11">
        <f t="shared" si="282"/>
        <v>0</v>
      </c>
      <c r="J1854" s="12">
        <f t="shared" si="283"/>
        <v>0</v>
      </c>
      <c r="K1854" s="17" t="str">
        <f t="shared" si="288"/>
        <v>Pas d'écart</v>
      </c>
      <c r="L1854" s="16">
        <f>base!X1854</f>
        <v>0</v>
      </c>
      <c r="M1854" s="11">
        <f t="shared" si="284"/>
        <v>0</v>
      </c>
      <c r="N1854" s="11">
        <f t="shared" si="285"/>
        <v>0</v>
      </c>
      <c r="O1854" s="11">
        <f t="shared" si="286"/>
        <v>0</v>
      </c>
      <c r="P1854" s="12">
        <f t="shared" si="287"/>
        <v>0</v>
      </c>
      <c r="Q1854" s="17" t="str">
        <f t="shared" si="289"/>
        <v>Pas d'écart</v>
      </c>
    </row>
    <row r="1855" spans="1:18" x14ac:dyDescent="0.3">
      <c r="A1855" s="34">
        <f>base!J1855</f>
        <v>0</v>
      </c>
      <c r="B1855" s="34" t="str">
        <f>base!V1855</f>
        <v>77184</v>
      </c>
      <c r="C1855" s="37">
        <v>77</v>
      </c>
      <c r="D1855" s="36">
        <f>base!H1855</f>
        <v>173.44</v>
      </c>
      <c r="E1855" s="44"/>
      <c r="F1855" s="16">
        <f>base!W1855</f>
        <v>0</v>
      </c>
      <c r="G1855" s="11">
        <f t="shared" si="280"/>
        <v>0</v>
      </c>
      <c r="H1855" s="11">
        <f t="shared" si="281"/>
        <v>0</v>
      </c>
      <c r="I1855" s="11">
        <f t="shared" si="282"/>
        <v>0</v>
      </c>
      <c r="J1855" s="12">
        <f t="shared" si="283"/>
        <v>0</v>
      </c>
      <c r="K1855" s="17" t="str">
        <f t="shared" si="288"/>
        <v>Pas d'écart</v>
      </c>
      <c r="L1855" s="16">
        <f>base!X1855</f>
        <v>0</v>
      </c>
      <c r="M1855" s="11">
        <f t="shared" si="284"/>
        <v>0</v>
      </c>
      <c r="N1855" s="11">
        <f t="shared" si="285"/>
        <v>0</v>
      </c>
      <c r="O1855" s="11">
        <f t="shared" si="286"/>
        <v>0</v>
      </c>
      <c r="P1855" s="12">
        <f t="shared" si="287"/>
        <v>0</v>
      </c>
      <c r="Q1855" s="17" t="str">
        <f t="shared" si="289"/>
        <v>Pas d'écart</v>
      </c>
    </row>
    <row r="1856" spans="1:18" x14ac:dyDescent="0.3">
      <c r="A1856" s="34" t="str">
        <f>base!J1856</f>
        <v>Metre Aller</v>
      </c>
      <c r="B1856" s="34" t="str">
        <f>base!V1856</f>
        <v>77184</v>
      </c>
      <c r="C1856" s="37">
        <v>77</v>
      </c>
      <c r="D1856" s="36">
        <f>base!H1856</f>
        <v>175.82</v>
      </c>
      <c r="E1856" s="44"/>
      <c r="F1856" s="16">
        <f>base!W1856</f>
        <v>0</v>
      </c>
      <c r="G1856" s="11">
        <f t="shared" si="280"/>
        <v>0</v>
      </c>
      <c r="H1856" s="11">
        <f t="shared" si="281"/>
        <v>0</v>
      </c>
      <c r="I1856" s="11">
        <f t="shared" si="282"/>
        <v>0</v>
      </c>
      <c r="J1856" s="12">
        <f t="shared" si="283"/>
        <v>0</v>
      </c>
      <c r="K1856" s="17" t="str">
        <f t="shared" si="288"/>
        <v>Pas d'écart</v>
      </c>
      <c r="L1856" s="16">
        <f>base!X1856</f>
        <v>0</v>
      </c>
      <c r="M1856" s="11">
        <f t="shared" si="284"/>
        <v>0</v>
      </c>
      <c r="N1856" s="11">
        <f t="shared" si="285"/>
        <v>0</v>
      </c>
      <c r="O1856" s="11">
        <f t="shared" si="286"/>
        <v>0</v>
      </c>
      <c r="P1856" s="12">
        <f t="shared" si="287"/>
        <v>0</v>
      </c>
      <c r="Q1856" s="17" t="str">
        <f t="shared" si="289"/>
        <v>Pas d'écart</v>
      </c>
    </row>
    <row r="1857" spans="1:18" x14ac:dyDescent="0.3">
      <c r="A1857" s="34">
        <f>base!J1857</f>
        <v>0</v>
      </c>
      <c r="B1857" s="34" t="str">
        <f>base!V1857</f>
        <v>44240</v>
      </c>
      <c r="C1857" s="37">
        <v>44</v>
      </c>
      <c r="D1857" s="36">
        <f>base!H1857</f>
        <v>161.06</v>
      </c>
      <c r="E1857" s="44"/>
      <c r="F1857" s="16">
        <f>base!W1857</f>
        <v>0</v>
      </c>
      <c r="G1857" s="11">
        <f t="shared" si="280"/>
        <v>0</v>
      </c>
      <c r="H1857" s="11">
        <f t="shared" si="281"/>
        <v>43.486200000000004</v>
      </c>
      <c r="I1857" s="11">
        <f t="shared" si="282"/>
        <v>0.27</v>
      </c>
      <c r="J1857" s="12">
        <f t="shared" si="283"/>
        <v>-43.486200000000004</v>
      </c>
      <c r="K1857" s="17" t="str">
        <f t="shared" si="288"/>
        <v>Ecart négatif</v>
      </c>
      <c r="L1857" s="16">
        <f>base!X1857</f>
        <v>0</v>
      </c>
      <c r="M1857" s="11">
        <f t="shared" si="284"/>
        <v>0</v>
      </c>
      <c r="N1857" s="11">
        <f t="shared" si="285"/>
        <v>0</v>
      </c>
      <c r="O1857" s="11">
        <f t="shared" si="286"/>
        <v>0</v>
      </c>
      <c r="P1857" s="12">
        <f t="shared" si="287"/>
        <v>0</v>
      </c>
      <c r="Q1857" s="17" t="str">
        <f t="shared" si="289"/>
        <v>Pas d'écart</v>
      </c>
    </row>
    <row r="1858" spans="1:18" x14ac:dyDescent="0.3">
      <c r="A1858" s="34">
        <f>base!J1858</f>
        <v>0</v>
      </c>
      <c r="B1858" s="34" t="str">
        <f>base!V1858</f>
        <v>77184</v>
      </c>
      <c r="C1858" s="37">
        <v>77</v>
      </c>
      <c r="D1858" s="36">
        <f>base!H1858</f>
        <v>31</v>
      </c>
      <c r="E1858" s="44"/>
      <c r="F1858" s="16">
        <f>base!W1858</f>
        <v>0</v>
      </c>
      <c r="G1858" s="11">
        <f t="shared" ref="G1858:G1921" si="290">F1858/D1858</f>
        <v>0</v>
      </c>
      <c r="H1858" s="11">
        <f t="shared" ref="H1858:H1921" si="291">VLOOKUP(C1858,tout_cout_traction,2,FALSE)*D1858</f>
        <v>0</v>
      </c>
      <c r="I1858" s="11">
        <f t="shared" ref="I1858:I1921" si="292">H1858/D1858</f>
        <v>0</v>
      </c>
      <c r="J1858" s="12">
        <f t="shared" ref="J1858:J1921" si="293">F1858-H1858</f>
        <v>0</v>
      </c>
      <c r="K1858" s="17" t="str">
        <f t="shared" si="288"/>
        <v>Pas d'écart</v>
      </c>
      <c r="L1858" s="16">
        <f>base!X1858</f>
        <v>0</v>
      </c>
      <c r="M1858" s="11">
        <f t="shared" ref="M1858:M1921" si="294">L1858/D1858</f>
        <v>0</v>
      </c>
      <c r="N1858" s="11">
        <f t="shared" ref="N1858:N1921" si="295">VLOOKUP(C1858,tout_cout_traction,3,FALSE)*D1858</f>
        <v>0</v>
      </c>
      <c r="O1858" s="11">
        <f t="shared" ref="O1858:O1921" si="296">N1858/D1858</f>
        <v>0</v>
      </c>
      <c r="P1858" s="12">
        <f t="shared" ref="P1858:P1921" si="297">L1858-N1858</f>
        <v>0</v>
      </c>
      <c r="Q1858" s="17" t="str">
        <f t="shared" si="289"/>
        <v>Pas d'écart</v>
      </c>
    </row>
    <row r="1859" spans="1:18" x14ac:dyDescent="0.3">
      <c r="A1859" s="34">
        <f>base!J1859</f>
        <v>0</v>
      </c>
      <c r="B1859" s="34" t="str">
        <f>base!V1859</f>
        <v>77184</v>
      </c>
      <c r="C1859" s="37">
        <v>77</v>
      </c>
      <c r="D1859" s="36">
        <f>base!H1859</f>
        <v>37.19</v>
      </c>
      <c r="E1859" s="44"/>
      <c r="F1859" s="16">
        <f>base!W1859</f>
        <v>0</v>
      </c>
      <c r="G1859" s="11">
        <f t="shared" si="290"/>
        <v>0</v>
      </c>
      <c r="H1859" s="11">
        <f t="shared" si="291"/>
        <v>0</v>
      </c>
      <c r="I1859" s="11">
        <f t="shared" si="292"/>
        <v>0</v>
      </c>
      <c r="J1859" s="12">
        <f t="shared" si="293"/>
        <v>0</v>
      </c>
      <c r="K1859" s="17" t="str">
        <f t="shared" ref="K1859:K1922" si="298">IF(H1859=F1859,"Pas d'écart",IF(H1859&lt;F1859,"Ecart positif",IF(H1859&gt;F1859,"Ecart négatif")))</f>
        <v>Pas d'écart</v>
      </c>
      <c r="L1859" s="16">
        <f>base!X1859</f>
        <v>0</v>
      </c>
      <c r="M1859" s="11">
        <f t="shared" si="294"/>
        <v>0</v>
      </c>
      <c r="N1859" s="11">
        <f t="shared" si="295"/>
        <v>0</v>
      </c>
      <c r="O1859" s="11">
        <f t="shared" si="296"/>
        <v>0</v>
      </c>
      <c r="P1859" s="12">
        <f t="shared" si="297"/>
        <v>0</v>
      </c>
      <c r="Q1859" s="17" t="str">
        <f t="shared" ref="Q1859:Q1922" si="299">IF(N1859=L1859,"Pas d'écart",IF(N1859&lt;L1859,"Ecart positif",IF(N1859&gt;L1859,"Ecart négatif")))</f>
        <v>Pas d'écart</v>
      </c>
    </row>
    <row r="1860" spans="1:18" x14ac:dyDescent="0.3">
      <c r="A1860" s="34">
        <f>base!J1860</f>
        <v>0</v>
      </c>
      <c r="B1860" s="34" t="str">
        <f>base!V1860</f>
        <v>77184</v>
      </c>
      <c r="C1860" s="37">
        <v>77</v>
      </c>
      <c r="D1860" s="36">
        <f>base!H1860</f>
        <v>33.630000000000003</v>
      </c>
      <c r="E1860" s="44"/>
      <c r="F1860" s="16">
        <f>base!W1860</f>
        <v>0</v>
      </c>
      <c r="G1860" s="11">
        <f t="shared" si="290"/>
        <v>0</v>
      </c>
      <c r="H1860" s="11">
        <f t="shared" si="291"/>
        <v>0</v>
      </c>
      <c r="I1860" s="11">
        <f t="shared" si="292"/>
        <v>0</v>
      </c>
      <c r="J1860" s="12">
        <f t="shared" si="293"/>
        <v>0</v>
      </c>
      <c r="K1860" s="17" t="str">
        <f t="shared" si="298"/>
        <v>Pas d'écart</v>
      </c>
      <c r="L1860" s="16">
        <f>base!X1860</f>
        <v>0</v>
      </c>
      <c r="M1860" s="11">
        <f t="shared" si="294"/>
        <v>0</v>
      </c>
      <c r="N1860" s="11">
        <f t="shared" si="295"/>
        <v>0</v>
      </c>
      <c r="O1860" s="11">
        <f t="shared" si="296"/>
        <v>0</v>
      </c>
      <c r="P1860" s="12">
        <f t="shared" si="297"/>
        <v>0</v>
      </c>
      <c r="Q1860" s="17" t="str">
        <f t="shared" si="299"/>
        <v>Pas d'écart</v>
      </c>
    </row>
    <row r="1861" spans="1:18" x14ac:dyDescent="0.3">
      <c r="A1861" s="34">
        <f>base!J1861</f>
        <v>0</v>
      </c>
      <c r="B1861" s="34" t="str">
        <f>base!V1861</f>
        <v>77184</v>
      </c>
      <c r="C1861" s="37">
        <v>77</v>
      </c>
      <c r="D1861" s="36">
        <f>base!H1861</f>
        <v>37.19</v>
      </c>
      <c r="E1861" s="44"/>
      <c r="F1861" s="16">
        <f>base!W1861</f>
        <v>0</v>
      </c>
      <c r="G1861" s="11">
        <f t="shared" si="290"/>
        <v>0</v>
      </c>
      <c r="H1861" s="11">
        <f t="shared" si="291"/>
        <v>0</v>
      </c>
      <c r="I1861" s="11">
        <f t="shared" si="292"/>
        <v>0</v>
      </c>
      <c r="J1861" s="12">
        <f t="shared" si="293"/>
        <v>0</v>
      </c>
      <c r="K1861" s="17" t="str">
        <f t="shared" si="298"/>
        <v>Pas d'écart</v>
      </c>
      <c r="L1861" s="16">
        <f>base!X1861</f>
        <v>0</v>
      </c>
      <c r="M1861" s="11">
        <f t="shared" si="294"/>
        <v>0</v>
      </c>
      <c r="N1861" s="11">
        <f t="shared" si="295"/>
        <v>0</v>
      </c>
      <c r="O1861" s="11">
        <f t="shared" si="296"/>
        <v>0</v>
      </c>
      <c r="P1861" s="12">
        <f t="shared" si="297"/>
        <v>0</v>
      </c>
      <c r="Q1861" s="17" t="str">
        <f t="shared" si="299"/>
        <v>Pas d'écart</v>
      </c>
    </row>
    <row r="1862" spans="1:18" x14ac:dyDescent="0.3">
      <c r="A1862" s="34">
        <f>base!J1862</f>
        <v>0</v>
      </c>
      <c r="B1862" s="34" t="str">
        <f>base!V1862</f>
        <v>77184</v>
      </c>
      <c r="C1862" s="37">
        <v>77</v>
      </c>
      <c r="D1862" s="36">
        <f>base!H1862</f>
        <v>57</v>
      </c>
      <c r="E1862" s="44"/>
      <c r="F1862" s="16">
        <f>base!W1862</f>
        <v>0</v>
      </c>
      <c r="G1862" s="11">
        <f t="shared" si="290"/>
        <v>0</v>
      </c>
      <c r="H1862" s="11">
        <f t="shared" si="291"/>
        <v>0</v>
      </c>
      <c r="I1862" s="11">
        <f t="shared" si="292"/>
        <v>0</v>
      </c>
      <c r="J1862" s="12">
        <f t="shared" si="293"/>
        <v>0</v>
      </c>
      <c r="K1862" s="17" t="str">
        <f t="shared" si="298"/>
        <v>Pas d'écart</v>
      </c>
      <c r="L1862" s="16">
        <f>base!X1862</f>
        <v>0</v>
      </c>
      <c r="M1862" s="11">
        <f t="shared" si="294"/>
        <v>0</v>
      </c>
      <c r="N1862" s="11">
        <f t="shared" si="295"/>
        <v>0</v>
      </c>
      <c r="O1862" s="11">
        <f t="shared" si="296"/>
        <v>0</v>
      </c>
      <c r="P1862" s="12">
        <f t="shared" si="297"/>
        <v>0</v>
      </c>
      <c r="Q1862" s="17" t="str">
        <f t="shared" si="299"/>
        <v>Pas d'écart</v>
      </c>
    </row>
    <row r="1863" spans="1:18" x14ac:dyDescent="0.3">
      <c r="A1863" s="34" t="str">
        <f>base!J1863</f>
        <v>RM</v>
      </c>
      <c r="B1863" s="34" t="str">
        <f>base!V1863</f>
        <v>37540</v>
      </c>
      <c r="C1863" s="37">
        <v>37</v>
      </c>
      <c r="D1863" s="36">
        <f>base!H1863</f>
        <v>151</v>
      </c>
      <c r="E1863" s="44"/>
      <c r="F1863" s="16">
        <f>base!W1863</f>
        <v>0</v>
      </c>
      <c r="G1863" s="11">
        <f t="shared" si="290"/>
        <v>0</v>
      </c>
      <c r="H1863" s="11">
        <f t="shared" si="291"/>
        <v>28.69</v>
      </c>
      <c r="I1863" s="11">
        <f t="shared" si="292"/>
        <v>0.19</v>
      </c>
      <c r="J1863" s="12">
        <f t="shared" si="293"/>
        <v>-28.69</v>
      </c>
      <c r="K1863" s="17" t="str">
        <f t="shared" si="298"/>
        <v>Ecart négatif</v>
      </c>
      <c r="L1863" s="16">
        <f>base!X1863</f>
        <v>18.12</v>
      </c>
      <c r="M1863" s="11">
        <f t="shared" si="294"/>
        <v>0.12000000000000001</v>
      </c>
      <c r="N1863" s="11">
        <f t="shared" si="295"/>
        <v>18.12</v>
      </c>
      <c r="O1863" s="11">
        <f t="shared" si="296"/>
        <v>0.12000000000000001</v>
      </c>
      <c r="P1863" s="12">
        <f t="shared" si="297"/>
        <v>0</v>
      </c>
      <c r="Q1863" s="17" t="str">
        <f t="shared" si="299"/>
        <v>Pas d'écart</v>
      </c>
      <c r="R1863" s="38"/>
    </row>
    <row r="1864" spans="1:18" x14ac:dyDescent="0.3">
      <c r="A1864" s="34" t="str">
        <f>base!J1864</f>
        <v>DRM</v>
      </c>
      <c r="B1864" s="34" t="str">
        <f>base!V1864</f>
        <v>50400</v>
      </c>
      <c r="C1864" s="37">
        <v>50</v>
      </c>
      <c r="D1864" s="36">
        <f>base!H1864</f>
        <v>250</v>
      </c>
      <c r="E1864" s="44"/>
      <c r="F1864" s="16">
        <f>base!W1864</f>
        <v>0</v>
      </c>
      <c r="G1864" s="11">
        <f t="shared" si="290"/>
        <v>0</v>
      </c>
      <c r="H1864" s="11">
        <f t="shared" si="291"/>
        <v>42.5</v>
      </c>
      <c r="I1864" s="11">
        <f t="shared" si="292"/>
        <v>0.17</v>
      </c>
      <c r="J1864" s="12">
        <f t="shared" si="293"/>
        <v>-42.5</v>
      </c>
      <c r="K1864" s="17" t="str">
        <f t="shared" si="298"/>
        <v>Ecart négatif</v>
      </c>
      <c r="L1864" s="16">
        <f>base!X1864</f>
        <v>0</v>
      </c>
      <c r="M1864" s="11">
        <f t="shared" si="294"/>
        <v>0</v>
      </c>
      <c r="N1864" s="11">
        <f t="shared" si="295"/>
        <v>42.5</v>
      </c>
      <c r="O1864" s="11">
        <f t="shared" si="296"/>
        <v>0.17</v>
      </c>
      <c r="P1864" s="12">
        <f t="shared" si="297"/>
        <v>-42.5</v>
      </c>
      <c r="Q1864" s="17" t="str">
        <f t="shared" si="299"/>
        <v>Ecart négatif</v>
      </c>
    </row>
    <row r="1865" spans="1:18" x14ac:dyDescent="0.3">
      <c r="A1865" s="34" t="str">
        <f>base!J1865</f>
        <v>LS</v>
      </c>
      <c r="B1865" s="34" t="str">
        <f>base!V1865</f>
        <v>94200</v>
      </c>
      <c r="C1865" s="37">
        <v>94</v>
      </c>
      <c r="D1865" s="36">
        <f>base!H1865</f>
        <v>170.88</v>
      </c>
      <c r="E1865" s="44"/>
      <c r="F1865" s="16">
        <f>base!W1865</f>
        <v>0</v>
      </c>
      <c r="G1865" s="11">
        <f t="shared" si="290"/>
        <v>0</v>
      </c>
      <c r="H1865" s="11">
        <f t="shared" si="291"/>
        <v>0</v>
      </c>
      <c r="I1865" s="11">
        <f t="shared" si="292"/>
        <v>0</v>
      </c>
      <c r="J1865" s="12">
        <f t="shared" si="293"/>
        <v>0</v>
      </c>
      <c r="K1865" s="17" t="str">
        <f t="shared" si="298"/>
        <v>Pas d'écart</v>
      </c>
      <c r="L1865" s="16">
        <f>base!X1865</f>
        <v>0</v>
      </c>
      <c r="M1865" s="11">
        <f t="shared" si="294"/>
        <v>0</v>
      </c>
      <c r="N1865" s="11">
        <f t="shared" si="295"/>
        <v>0</v>
      </c>
      <c r="O1865" s="11">
        <f t="shared" si="296"/>
        <v>0</v>
      </c>
      <c r="P1865" s="12">
        <f t="shared" si="297"/>
        <v>0</v>
      </c>
      <c r="Q1865" s="17" t="str">
        <f t="shared" si="299"/>
        <v>Pas d'écart</v>
      </c>
    </row>
    <row r="1866" spans="1:18" x14ac:dyDescent="0.3">
      <c r="A1866" s="34">
        <f>base!J1866</f>
        <v>0</v>
      </c>
      <c r="B1866" s="34" t="str">
        <f>base!V1866</f>
        <v>77184</v>
      </c>
      <c r="C1866" s="37">
        <v>77</v>
      </c>
      <c r="D1866" s="36">
        <f>base!H1866</f>
        <v>150</v>
      </c>
      <c r="E1866" s="44"/>
      <c r="F1866" s="16">
        <f>base!W1866</f>
        <v>0</v>
      </c>
      <c r="G1866" s="11">
        <f t="shared" si="290"/>
        <v>0</v>
      </c>
      <c r="H1866" s="11">
        <f t="shared" si="291"/>
        <v>0</v>
      </c>
      <c r="I1866" s="11">
        <f t="shared" si="292"/>
        <v>0</v>
      </c>
      <c r="J1866" s="12">
        <f t="shared" si="293"/>
        <v>0</v>
      </c>
      <c r="K1866" s="17" t="str">
        <f t="shared" si="298"/>
        <v>Pas d'écart</v>
      </c>
      <c r="L1866" s="16">
        <f>base!X1866</f>
        <v>0</v>
      </c>
      <c r="M1866" s="11">
        <f t="shared" si="294"/>
        <v>0</v>
      </c>
      <c r="N1866" s="11">
        <f t="shared" si="295"/>
        <v>0</v>
      </c>
      <c r="O1866" s="11">
        <f t="shared" si="296"/>
        <v>0</v>
      </c>
      <c r="P1866" s="12">
        <f t="shared" si="297"/>
        <v>0</v>
      </c>
      <c r="Q1866" s="17" t="str">
        <f t="shared" si="299"/>
        <v>Pas d'écart</v>
      </c>
    </row>
    <row r="1867" spans="1:18" x14ac:dyDescent="0.3">
      <c r="A1867" s="34" t="str">
        <f>base!J1867</f>
        <v>LM</v>
      </c>
      <c r="B1867" s="34" t="str">
        <f>base!V1867</f>
        <v>62138</v>
      </c>
      <c r="C1867" s="37">
        <v>59</v>
      </c>
      <c r="D1867" s="36">
        <f>base!H1867</f>
        <v>108.01</v>
      </c>
      <c r="E1867" s="44"/>
      <c r="F1867" s="16">
        <f>base!W1867</f>
        <v>20.52</v>
      </c>
      <c r="G1867" s="11">
        <f t="shared" si="290"/>
        <v>0.18998240903620034</v>
      </c>
      <c r="H1867" s="11">
        <f t="shared" si="291"/>
        <v>20.521900000000002</v>
      </c>
      <c r="I1867" s="11">
        <f t="shared" si="292"/>
        <v>0.19</v>
      </c>
      <c r="J1867" s="12">
        <f t="shared" si="293"/>
        <v>-1.9000000000026773E-3</v>
      </c>
      <c r="K1867" s="17" t="str">
        <f t="shared" si="298"/>
        <v>Ecart négatif</v>
      </c>
      <c r="L1867" s="16">
        <f>base!X1867</f>
        <v>0</v>
      </c>
      <c r="M1867" s="11">
        <f t="shared" si="294"/>
        <v>0</v>
      </c>
      <c r="N1867" s="11">
        <f t="shared" si="295"/>
        <v>0</v>
      </c>
      <c r="O1867" s="11">
        <f t="shared" si="296"/>
        <v>0</v>
      </c>
      <c r="P1867" s="12">
        <f t="shared" si="297"/>
        <v>0</v>
      </c>
      <c r="Q1867" s="17" t="str">
        <f t="shared" si="299"/>
        <v>Pas d'écart</v>
      </c>
    </row>
    <row r="1868" spans="1:18" x14ac:dyDescent="0.3">
      <c r="A1868" s="34" t="str">
        <f>base!J1868</f>
        <v>RS</v>
      </c>
      <c r="B1868" s="34" t="str">
        <f>base!V1868</f>
        <v>75017</v>
      </c>
      <c r="C1868" s="37">
        <v>75</v>
      </c>
      <c r="D1868" s="36">
        <f>base!H1868</f>
        <v>180</v>
      </c>
      <c r="E1868" s="44"/>
      <c r="F1868" s="16">
        <f>base!W1868</f>
        <v>0</v>
      </c>
      <c r="G1868" s="11">
        <f t="shared" si="290"/>
        <v>0</v>
      </c>
      <c r="H1868" s="11">
        <f t="shared" si="291"/>
        <v>0</v>
      </c>
      <c r="I1868" s="11">
        <f t="shared" si="292"/>
        <v>0</v>
      </c>
      <c r="J1868" s="12">
        <f t="shared" si="293"/>
        <v>0</v>
      </c>
      <c r="K1868" s="17" t="str">
        <f t="shared" si="298"/>
        <v>Pas d'écart</v>
      </c>
      <c r="L1868" s="16">
        <f>base!X1868</f>
        <v>0</v>
      </c>
      <c r="M1868" s="11">
        <f t="shared" si="294"/>
        <v>0</v>
      </c>
      <c r="N1868" s="11">
        <f t="shared" si="295"/>
        <v>0</v>
      </c>
      <c r="O1868" s="11">
        <f t="shared" si="296"/>
        <v>0</v>
      </c>
      <c r="P1868" s="12">
        <f t="shared" si="297"/>
        <v>0</v>
      </c>
      <c r="Q1868" s="17" t="str">
        <f t="shared" si="299"/>
        <v>Pas d'écart</v>
      </c>
    </row>
    <row r="1869" spans="1:18" x14ac:dyDescent="0.3">
      <c r="A1869" s="34" t="str">
        <f>base!J1869</f>
        <v>LS</v>
      </c>
      <c r="B1869" s="34" t="str">
        <f>base!V1869</f>
        <v>94150</v>
      </c>
      <c r="C1869" s="37">
        <v>94</v>
      </c>
      <c r="D1869" s="36">
        <f>base!H1869</f>
        <v>57.44</v>
      </c>
      <c r="E1869" s="44"/>
      <c r="F1869" s="16">
        <f>base!W1869</f>
        <v>0</v>
      </c>
      <c r="G1869" s="11">
        <f t="shared" si="290"/>
        <v>0</v>
      </c>
      <c r="H1869" s="11">
        <f t="shared" si="291"/>
        <v>0</v>
      </c>
      <c r="I1869" s="11">
        <f t="shared" si="292"/>
        <v>0</v>
      </c>
      <c r="J1869" s="12">
        <f t="shared" si="293"/>
        <v>0</v>
      </c>
      <c r="K1869" s="17" t="str">
        <f t="shared" si="298"/>
        <v>Pas d'écart</v>
      </c>
      <c r="L1869" s="16">
        <f>base!X1869</f>
        <v>0</v>
      </c>
      <c r="M1869" s="11">
        <f t="shared" si="294"/>
        <v>0</v>
      </c>
      <c r="N1869" s="11">
        <f t="shared" si="295"/>
        <v>0</v>
      </c>
      <c r="O1869" s="11">
        <f t="shared" si="296"/>
        <v>0</v>
      </c>
      <c r="P1869" s="12">
        <f t="shared" si="297"/>
        <v>0</v>
      </c>
      <c r="Q1869" s="17" t="str">
        <f t="shared" si="299"/>
        <v>Pas d'écart</v>
      </c>
    </row>
    <row r="1870" spans="1:18" x14ac:dyDescent="0.3">
      <c r="A1870" s="34" t="str">
        <f>base!J1870</f>
        <v>RM</v>
      </c>
      <c r="B1870" s="34" t="str">
        <f>base!V1870</f>
        <v>60230</v>
      </c>
      <c r="C1870" s="37">
        <v>60</v>
      </c>
      <c r="D1870" s="36">
        <f>base!H1870</f>
        <v>40</v>
      </c>
      <c r="E1870" s="44"/>
      <c r="F1870" s="16">
        <f>base!W1870</f>
        <v>0</v>
      </c>
      <c r="G1870" s="11">
        <f t="shared" si="290"/>
        <v>0</v>
      </c>
      <c r="H1870" s="11">
        <f t="shared" si="291"/>
        <v>7.6</v>
      </c>
      <c r="I1870" s="11">
        <f t="shared" si="292"/>
        <v>0.19</v>
      </c>
      <c r="J1870" s="12">
        <f t="shared" si="293"/>
        <v>-7.6</v>
      </c>
      <c r="K1870" s="17" t="str">
        <f t="shared" si="298"/>
        <v>Ecart négatif</v>
      </c>
      <c r="L1870" s="16">
        <f>base!X1870</f>
        <v>0</v>
      </c>
      <c r="M1870" s="11">
        <f t="shared" si="294"/>
        <v>0</v>
      </c>
      <c r="N1870" s="11">
        <f t="shared" si="295"/>
        <v>0</v>
      </c>
      <c r="O1870" s="11">
        <f t="shared" si="296"/>
        <v>0</v>
      </c>
      <c r="P1870" s="12">
        <f t="shared" si="297"/>
        <v>0</v>
      </c>
      <c r="Q1870" s="17" t="str">
        <f t="shared" si="299"/>
        <v>Pas d'écart</v>
      </c>
    </row>
    <row r="1871" spans="1:18" x14ac:dyDescent="0.3">
      <c r="A1871" s="34">
        <f>base!J1871</f>
        <v>0</v>
      </c>
      <c r="B1871" s="34" t="str">
        <f>base!V1871</f>
        <v>77184</v>
      </c>
      <c r="C1871" s="37">
        <v>77</v>
      </c>
      <c r="D1871" s="36">
        <f>base!H1871</f>
        <v>106</v>
      </c>
      <c r="E1871" s="44"/>
      <c r="F1871" s="16">
        <f>base!W1871</f>
        <v>0</v>
      </c>
      <c r="G1871" s="11">
        <f t="shared" si="290"/>
        <v>0</v>
      </c>
      <c r="H1871" s="11">
        <f t="shared" si="291"/>
        <v>0</v>
      </c>
      <c r="I1871" s="11">
        <f t="shared" si="292"/>
        <v>0</v>
      </c>
      <c r="J1871" s="12">
        <f t="shared" si="293"/>
        <v>0</v>
      </c>
      <c r="K1871" s="17" t="str">
        <f t="shared" si="298"/>
        <v>Pas d'écart</v>
      </c>
      <c r="L1871" s="16">
        <f>base!X1871</f>
        <v>0</v>
      </c>
      <c r="M1871" s="11">
        <f t="shared" si="294"/>
        <v>0</v>
      </c>
      <c r="N1871" s="11">
        <f t="shared" si="295"/>
        <v>0</v>
      </c>
      <c r="O1871" s="11">
        <f t="shared" si="296"/>
        <v>0</v>
      </c>
      <c r="P1871" s="12">
        <f t="shared" si="297"/>
        <v>0</v>
      </c>
      <c r="Q1871" s="17" t="str">
        <f t="shared" si="299"/>
        <v>Pas d'écart</v>
      </c>
    </row>
    <row r="1872" spans="1:18" x14ac:dyDescent="0.3">
      <c r="A1872" s="34">
        <f>base!J1872</f>
        <v>0</v>
      </c>
      <c r="B1872" s="34" t="str">
        <f>base!V1872</f>
        <v>77184</v>
      </c>
      <c r="C1872" s="37">
        <v>77</v>
      </c>
      <c r="D1872" s="36">
        <f>base!H1872</f>
        <v>84.5</v>
      </c>
      <c r="E1872" s="44"/>
      <c r="F1872" s="16">
        <f>base!W1872</f>
        <v>0</v>
      </c>
      <c r="G1872" s="11">
        <f t="shared" si="290"/>
        <v>0</v>
      </c>
      <c r="H1872" s="11">
        <f t="shared" si="291"/>
        <v>0</v>
      </c>
      <c r="I1872" s="11">
        <f t="shared" si="292"/>
        <v>0</v>
      </c>
      <c r="J1872" s="12">
        <f t="shared" si="293"/>
        <v>0</v>
      </c>
      <c r="K1872" s="17" t="str">
        <f t="shared" si="298"/>
        <v>Pas d'écart</v>
      </c>
      <c r="L1872" s="16">
        <f>base!X1872</f>
        <v>0</v>
      </c>
      <c r="M1872" s="11">
        <f t="shared" si="294"/>
        <v>0</v>
      </c>
      <c r="N1872" s="11">
        <f t="shared" si="295"/>
        <v>0</v>
      </c>
      <c r="O1872" s="11">
        <f t="shared" si="296"/>
        <v>0</v>
      </c>
      <c r="P1872" s="12">
        <f t="shared" si="297"/>
        <v>0</v>
      </c>
      <c r="Q1872" s="17" t="str">
        <f t="shared" si="299"/>
        <v>Pas d'écart</v>
      </c>
    </row>
    <row r="1873" spans="1:17" x14ac:dyDescent="0.3">
      <c r="A1873" s="34">
        <f>base!J1873</f>
        <v>0</v>
      </c>
      <c r="B1873" s="34" t="str">
        <f>base!V1873</f>
        <v>77184</v>
      </c>
      <c r="C1873" s="37">
        <v>77</v>
      </c>
      <c r="D1873" s="36">
        <f>base!H1873</f>
        <v>33.630000000000003</v>
      </c>
      <c r="E1873" s="44"/>
      <c r="F1873" s="16">
        <f>base!W1873</f>
        <v>0</v>
      </c>
      <c r="G1873" s="11">
        <f t="shared" si="290"/>
        <v>0</v>
      </c>
      <c r="H1873" s="11">
        <f t="shared" si="291"/>
        <v>0</v>
      </c>
      <c r="I1873" s="11">
        <f t="shared" si="292"/>
        <v>0</v>
      </c>
      <c r="J1873" s="12">
        <f t="shared" si="293"/>
        <v>0</v>
      </c>
      <c r="K1873" s="17" t="str">
        <f t="shared" si="298"/>
        <v>Pas d'écart</v>
      </c>
      <c r="L1873" s="16">
        <f>base!X1873</f>
        <v>0</v>
      </c>
      <c r="M1873" s="11">
        <f t="shared" si="294"/>
        <v>0</v>
      </c>
      <c r="N1873" s="11">
        <f t="shared" si="295"/>
        <v>0</v>
      </c>
      <c r="O1873" s="11">
        <f t="shared" si="296"/>
        <v>0</v>
      </c>
      <c r="P1873" s="12">
        <f t="shared" si="297"/>
        <v>0</v>
      </c>
      <c r="Q1873" s="17" t="str">
        <f t="shared" si="299"/>
        <v>Pas d'écart</v>
      </c>
    </row>
    <row r="1874" spans="1:17" x14ac:dyDescent="0.3">
      <c r="A1874" s="34" t="str">
        <f>base!J1874</f>
        <v>RS</v>
      </c>
      <c r="B1874" s="34" t="str">
        <f>base!V1874</f>
        <v>67000</v>
      </c>
      <c r="C1874" s="37">
        <v>67</v>
      </c>
      <c r="D1874" s="36">
        <f>base!H1874</f>
        <v>250</v>
      </c>
      <c r="E1874" s="44"/>
      <c r="F1874" s="16">
        <f>base!W1874</f>
        <v>0</v>
      </c>
      <c r="G1874" s="11">
        <f t="shared" si="290"/>
        <v>0</v>
      </c>
      <c r="H1874" s="11">
        <f t="shared" si="291"/>
        <v>72.5</v>
      </c>
      <c r="I1874" s="11">
        <f t="shared" si="292"/>
        <v>0.28999999999999998</v>
      </c>
      <c r="J1874" s="12">
        <f t="shared" si="293"/>
        <v>-72.5</v>
      </c>
      <c r="K1874" s="17" t="str">
        <f t="shared" si="298"/>
        <v>Ecart négatif</v>
      </c>
      <c r="L1874" s="16">
        <f>base!X1874</f>
        <v>0</v>
      </c>
      <c r="M1874" s="11">
        <f t="shared" si="294"/>
        <v>0</v>
      </c>
      <c r="N1874" s="11">
        <f t="shared" si="295"/>
        <v>20</v>
      </c>
      <c r="O1874" s="11">
        <f t="shared" si="296"/>
        <v>0.08</v>
      </c>
      <c r="P1874" s="12">
        <f t="shared" si="297"/>
        <v>-20</v>
      </c>
      <c r="Q1874" s="17" t="str">
        <f t="shared" si="299"/>
        <v>Ecart négatif</v>
      </c>
    </row>
    <row r="1875" spans="1:17" x14ac:dyDescent="0.3">
      <c r="A1875" s="34" t="str">
        <f>base!J1875</f>
        <v>RS</v>
      </c>
      <c r="B1875" s="34" t="str">
        <f>base!V1875</f>
        <v>62000</v>
      </c>
      <c r="C1875" s="37">
        <v>62</v>
      </c>
      <c r="D1875" s="36">
        <f>base!H1875</f>
        <v>38</v>
      </c>
      <c r="E1875" s="44"/>
      <c r="F1875" s="16">
        <f>base!W1875</f>
        <v>0</v>
      </c>
      <c r="G1875" s="11">
        <f t="shared" si="290"/>
        <v>0</v>
      </c>
      <c r="H1875" s="11">
        <f t="shared" si="291"/>
        <v>7.22</v>
      </c>
      <c r="I1875" s="11">
        <f t="shared" si="292"/>
        <v>0.19</v>
      </c>
      <c r="J1875" s="12">
        <f t="shared" si="293"/>
        <v>-7.22</v>
      </c>
      <c r="K1875" s="17" t="str">
        <f t="shared" si="298"/>
        <v>Ecart négatif</v>
      </c>
      <c r="L1875" s="16">
        <f>base!X1875</f>
        <v>0</v>
      </c>
      <c r="M1875" s="11">
        <f t="shared" si="294"/>
        <v>0</v>
      </c>
      <c r="N1875" s="11">
        <f t="shared" si="295"/>
        <v>0</v>
      </c>
      <c r="O1875" s="11">
        <f t="shared" si="296"/>
        <v>0</v>
      </c>
      <c r="P1875" s="12">
        <f t="shared" si="297"/>
        <v>0</v>
      </c>
      <c r="Q1875" s="17" t="str">
        <f t="shared" si="299"/>
        <v>Pas d'écart</v>
      </c>
    </row>
    <row r="1876" spans="1:17" x14ac:dyDescent="0.3">
      <c r="A1876" s="34" t="str">
        <f>base!J1876</f>
        <v>DRS</v>
      </c>
      <c r="B1876" s="34" t="str">
        <f>base!V1876</f>
        <v>94000</v>
      </c>
      <c r="C1876" s="37">
        <v>94</v>
      </c>
      <c r="D1876" s="36">
        <f>base!H1876</f>
        <v>40.799999999999997</v>
      </c>
      <c r="E1876" s="44"/>
      <c r="F1876" s="16">
        <f>base!W1876</f>
        <v>0</v>
      </c>
      <c r="G1876" s="11">
        <f t="shared" si="290"/>
        <v>0</v>
      </c>
      <c r="H1876" s="11">
        <f t="shared" si="291"/>
        <v>0</v>
      </c>
      <c r="I1876" s="11">
        <f t="shared" si="292"/>
        <v>0</v>
      </c>
      <c r="J1876" s="12">
        <f t="shared" si="293"/>
        <v>0</v>
      </c>
      <c r="K1876" s="17" t="str">
        <f t="shared" si="298"/>
        <v>Pas d'écart</v>
      </c>
      <c r="L1876" s="16">
        <f>base!X1876</f>
        <v>0</v>
      </c>
      <c r="M1876" s="11">
        <f t="shared" si="294"/>
        <v>0</v>
      </c>
      <c r="N1876" s="11">
        <f t="shared" si="295"/>
        <v>0</v>
      </c>
      <c r="O1876" s="11">
        <f t="shared" si="296"/>
        <v>0</v>
      </c>
      <c r="P1876" s="12">
        <f t="shared" si="297"/>
        <v>0</v>
      </c>
      <c r="Q1876" s="17" t="str">
        <f t="shared" si="299"/>
        <v>Pas d'écart</v>
      </c>
    </row>
    <row r="1877" spans="1:17" x14ac:dyDescent="0.3">
      <c r="A1877" s="34" t="str">
        <f>base!J1877</f>
        <v>LS</v>
      </c>
      <c r="B1877" s="34" t="str">
        <f>base!V1877</f>
        <v>59320</v>
      </c>
      <c r="C1877" s="37">
        <v>45</v>
      </c>
      <c r="D1877" s="36">
        <f>base!H1877</f>
        <v>133.01</v>
      </c>
      <c r="E1877" s="44"/>
      <c r="F1877" s="16">
        <f>base!W1877</f>
        <v>25.27</v>
      </c>
      <c r="G1877" s="11">
        <f t="shared" si="290"/>
        <v>0.1899857153597474</v>
      </c>
      <c r="H1877" s="11">
        <f t="shared" si="291"/>
        <v>27.932099999999998</v>
      </c>
      <c r="I1877" s="11">
        <f t="shared" si="292"/>
        <v>0.21</v>
      </c>
      <c r="J1877" s="12">
        <f t="shared" si="293"/>
        <v>-2.6620999999999988</v>
      </c>
      <c r="K1877" s="17" t="str">
        <f t="shared" si="298"/>
        <v>Ecart négatif</v>
      </c>
      <c r="L1877" s="16">
        <f>base!X1877</f>
        <v>0</v>
      </c>
      <c r="M1877" s="11">
        <f t="shared" si="294"/>
        <v>0</v>
      </c>
      <c r="N1877" s="11">
        <f t="shared" si="295"/>
        <v>15.961199999999998</v>
      </c>
      <c r="O1877" s="11">
        <f t="shared" si="296"/>
        <v>0.12</v>
      </c>
      <c r="P1877" s="12">
        <f t="shared" si="297"/>
        <v>-15.961199999999998</v>
      </c>
      <c r="Q1877" s="17" t="str">
        <f t="shared" si="299"/>
        <v>Ecart négatif</v>
      </c>
    </row>
    <row r="1878" spans="1:17" x14ac:dyDescent="0.3">
      <c r="A1878" s="34" t="str">
        <f>base!J1878</f>
        <v>LS</v>
      </c>
      <c r="B1878" s="34" t="str">
        <f>base!V1878</f>
        <v>18230</v>
      </c>
      <c r="C1878" s="37">
        <v>80</v>
      </c>
      <c r="D1878" s="36">
        <f>base!H1878</f>
        <v>138.12</v>
      </c>
      <c r="E1878" s="44"/>
      <c r="F1878" s="16">
        <f>base!W1878</f>
        <v>29.01</v>
      </c>
      <c r="G1878" s="11">
        <f t="shared" si="290"/>
        <v>0.21003475238922675</v>
      </c>
      <c r="H1878" s="11">
        <f t="shared" si="291"/>
        <v>26.242800000000003</v>
      </c>
      <c r="I1878" s="11">
        <f t="shared" si="292"/>
        <v>0.19</v>
      </c>
      <c r="J1878" s="12">
        <f t="shared" si="293"/>
        <v>2.767199999999999</v>
      </c>
      <c r="K1878" s="17" t="str">
        <f t="shared" si="298"/>
        <v>Ecart positif</v>
      </c>
      <c r="L1878" s="16">
        <f>base!X1878</f>
        <v>0</v>
      </c>
      <c r="M1878" s="11">
        <f t="shared" si="294"/>
        <v>0</v>
      </c>
      <c r="N1878" s="11">
        <f t="shared" si="295"/>
        <v>0</v>
      </c>
      <c r="O1878" s="11">
        <f t="shared" si="296"/>
        <v>0</v>
      </c>
      <c r="P1878" s="12">
        <f t="shared" si="297"/>
        <v>0</v>
      </c>
      <c r="Q1878" s="17" t="str">
        <f t="shared" si="299"/>
        <v>Pas d'écart</v>
      </c>
    </row>
    <row r="1879" spans="1:17" x14ac:dyDescent="0.3">
      <c r="A1879" s="34" t="str">
        <f>base!J1879</f>
        <v>LS</v>
      </c>
      <c r="B1879" s="34" t="str">
        <f>base!V1879</f>
        <v>33000</v>
      </c>
      <c r="C1879" s="37">
        <v>60</v>
      </c>
      <c r="D1879" s="36">
        <f>base!H1879</f>
        <v>138.12</v>
      </c>
      <c r="E1879" s="44"/>
      <c r="F1879" s="16">
        <f>base!W1879</f>
        <v>29.01</v>
      </c>
      <c r="G1879" s="11">
        <f t="shared" si="290"/>
        <v>0.21003475238922675</v>
      </c>
      <c r="H1879" s="11">
        <f t="shared" si="291"/>
        <v>26.242800000000003</v>
      </c>
      <c r="I1879" s="11">
        <f t="shared" si="292"/>
        <v>0.19</v>
      </c>
      <c r="J1879" s="12">
        <f t="shared" si="293"/>
        <v>2.767199999999999</v>
      </c>
      <c r="K1879" s="17" t="str">
        <f t="shared" si="298"/>
        <v>Ecart positif</v>
      </c>
      <c r="L1879" s="16">
        <f>base!X1879</f>
        <v>0</v>
      </c>
      <c r="M1879" s="11">
        <f t="shared" si="294"/>
        <v>0</v>
      </c>
      <c r="N1879" s="11">
        <f t="shared" si="295"/>
        <v>0</v>
      </c>
      <c r="O1879" s="11">
        <f t="shared" si="296"/>
        <v>0</v>
      </c>
      <c r="P1879" s="12">
        <f t="shared" si="297"/>
        <v>0</v>
      </c>
      <c r="Q1879" s="17" t="str">
        <f t="shared" si="299"/>
        <v>Pas d'écart</v>
      </c>
    </row>
    <row r="1880" spans="1:17" x14ac:dyDescent="0.3">
      <c r="A1880" s="34" t="str">
        <f>base!J1880</f>
        <v>LM</v>
      </c>
      <c r="B1880" s="34" t="str">
        <f>base!V1880</f>
        <v>75014</v>
      </c>
      <c r="C1880" s="37">
        <v>75</v>
      </c>
      <c r="D1880" s="36">
        <f>base!H1880</f>
        <v>19.649999999999999</v>
      </c>
      <c r="E1880" s="44"/>
      <c r="F1880" s="16">
        <f>base!W1880</f>
        <v>0</v>
      </c>
      <c r="G1880" s="11">
        <f t="shared" si="290"/>
        <v>0</v>
      </c>
      <c r="H1880" s="11">
        <f t="shared" si="291"/>
        <v>0</v>
      </c>
      <c r="I1880" s="11">
        <f t="shared" si="292"/>
        <v>0</v>
      </c>
      <c r="J1880" s="12">
        <f t="shared" si="293"/>
        <v>0</v>
      </c>
      <c r="K1880" s="17" t="str">
        <f t="shared" si="298"/>
        <v>Pas d'écart</v>
      </c>
      <c r="L1880" s="16">
        <f>base!X1880</f>
        <v>0</v>
      </c>
      <c r="M1880" s="11">
        <f t="shared" si="294"/>
        <v>0</v>
      </c>
      <c r="N1880" s="11">
        <f t="shared" si="295"/>
        <v>0</v>
      </c>
      <c r="O1880" s="11">
        <f t="shared" si="296"/>
        <v>0</v>
      </c>
      <c r="P1880" s="12">
        <f t="shared" si="297"/>
        <v>0</v>
      </c>
      <c r="Q1880" s="17" t="str">
        <f t="shared" si="299"/>
        <v>Pas d'écart</v>
      </c>
    </row>
    <row r="1881" spans="1:17" x14ac:dyDescent="0.3">
      <c r="A1881" s="34" t="str">
        <f>base!J1881</f>
        <v>LM</v>
      </c>
      <c r="B1881" s="34" t="str">
        <f>base!V1881</f>
        <v>75014</v>
      </c>
      <c r="C1881" s="37">
        <v>75</v>
      </c>
      <c r="D1881" s="36">
        <f>base!H1881</f>
        <v>137.59</v>
      </c>
      <c r="E1881" s="44"/>
      <c r="F1881" s="16">
        <f>base!W1881</f>
        <v>0</v>
      </c>
      <c r="G1881" s="11">
        <f t="shared" si="290"/>
        <v>0</v>
      </c>
      <c r="H1881" s="11">
        <f t="shared" si="291"/>
        <v>0</v>
      </c>
      <c r="I1881" s="11">
        <f t="shared" si="292"/>
        <v>0</v>
      </c>
      <c r="J1881" s="12">
        <f t="shared" si="293"/>
        <v>0</v>
      </c>
      <c r="K1881" s="17" t="str">
        <f t="shared" si="298"/>
        <v>Pas d'écart</v>
      </c>
      <c r="L1881" s="16">
        <f>base!X1881</f>
        <v>0</v>
      </c>
      <c r="M1881" s="11">
        <f t="shared" si="294"/>
        <v>0</v>
      </c>
      <c r="N1881" s="11">
        <f t="shared" si="295"/>
        <v>0</v>
      </c>
      <c r="O1881" s="11">
        <f t="shared" si="296"/>
        <v>0</v>
      </c>
      <c r="P1881" s="12">
        <f t="shared" si="297"/>
        <v>0</v>
      </c>
      <c r="Q1881" s="17" t="str">
        <f t="shared" si="299"/>
        <v>Pas d'écart</v>
      </c>
    </row>
    <row r="1882" spans="1:17" x14ac:dyDescent="0.3">
      <c r="A1882" s="34" t="str">
        <f>base!J1882</f>
        <v>LM</v>
      </c>
      <c r="B1882" s="34" t="str">
        <f>base!V1882</f>
        <v>75014</v>
      </c>
      <c r="C1882" s="37">
        <v>75</v>
      </c>
      <c r="D1882" s="36">
        <f>base!H1882</f>
        <v>107.6</v>
      </c>
      <c r="E1882" s="44"/>
      <c r="F1882" s="16">
        <f>base!W1882</f>
        <v>0</v>
      </c>
      <c r="G1882" s="11">
        <f t="shared" si="290"/>
        <v>0</v>
      </c>
      <c r="H1882" s="11">
        <f t="shared" si="291"/>
        <v>0</v>
      </c>
      <c r="I1882" s="11">
        <f t="shared" si="292"/>
        <v>0</v>
      </c>
      <c r="J1882" s="12">
        <f t="shared" si="293"/>
        <v>0</v>
      </c>
      <c r="K1882" s="17" t="str">
        <f t="shared" si="298"/>
        <v>Pas d'écart</v>
      </c>
      <c r="L1882" s="16">
        <f>base!X1882</f>
        <v>0</v>
      </c>
      <c r="M1882" s="11">
        <f t="shared" si="294"/>
        <v>0</v>
      </c>
      <c r="N1882" s="11">
        <f t="shared" si="295"/>
        <v>0</v>
      </c>
      <c r="O1882" s="11">
        <f t="shared" si="296"/>
        <v>0</v>
      </c>
      <c r="P1882" s="12">
        <f t="shared" si="297"/>
        <v>0</v>
      </c>
      <c r="Q1882" s="17" t="str">
        <f t="shared" si="299"/>
        <v>Pas d'écart</v>
      </c>
    </row>
    <row r="1883" spans="1:17" x14ac:dyDescent="0.3">
      <c r="A1883" s="34" t="str">
        <f>base!J1883</f>
        <v>LM</v>
      </c>
      <c r="B1883" s="34" t="str">
        <f>base!V1883</f>
        <v>75014</v>
      </c>
      <c r="C1883" s="37">
        <v>75</v>
      </c>
      <c r="D1883" s="36">
        <f>base!H1883</f>
        <v>107.6</v>
      </c>
      <c r="E1883" s="44"/>
      <c r="F1883" s="16">
        <f>base!W1883</f>
        <v>0</v>
      </c>
      <c r="G1883" s="11">
        <f t="shared" si="290"/>
        <v>0</v>
      </c>
      <c r="H1883" s="11">
        <f t="shared" si="291"/>
        <v>0</v>
      </c>
      <c r="I1883" s="11">
        <f t="shared" si="292"/>
        <v>0</v>
      </c>
      <c r="J1883" s="12">
        <f t="shared" si="293"/>
        <v>0</v>
      </c>
      <c r="K1883" s="17" t="str">
        <f t="shared" si="298"/>
        <v>Pas d'écart</v>
      </c>
      <c r="L1883" s="16">
        <f>base!X1883</f>
        <v>0</v>
      </c>
      <c r="M1883" s="11">
        <f t="shared" si="294"/>
        <v>0</v>
      </c>
      <c r="N1883" s="11">
        <f t="shared" si="295"/>
        <v>0</v>
      </c>
      <c r="O1883" s="11">
        <f t="shared" si="296"/>
        <v>0</v>
      </c>
      <c r="P1883" s="12">
        <f t="shared" si="297"/>
        <v>0</v>
      </c>
      <c r="Q1883" s="17" t="str">
        <f t="shared" si="299"/>
        <v>Pas d'écart</v>
      </c>
    </row>
    <row r="1884" spans="1:17" x14ac:dyDescent="0.3">
      <c r="A1884" s="34" t="str">
        <f>base!J1884</f>
        <v>LS</v>
      </c>
      <c r="B1884" s="34" t="str">
        <f>base!V1884</f>
        <v>13006</v>
      </c>
      <c r="C1884" s="37">
        <v>52</v>
      </c>
      <c r="D1884" s="36">
        <f>base!H1884</f>
        <v>122.32</v>
      </c>
      <c r="E1884" s="44"/>
      <c r="F1884" s="16">
        <f>base!W1884</f>
        <v>35.47</v>
      </c>
      <c r="G1884" s="11">
        <f t="shared" si="290"/>
        <v>0.28997710922171355</v>
      </c>
      <c r="H1884" s="11">
        <f t="shared" si="291"/>
        <v>22.017599999999998</v>
      </c>
      <c r="I1884" s="11">
        <f t="shared" si="292"/>
        <v>0.18</v>
      </c>
      <c r="J1884" s="12">
        <f t="shared" si="293"/>
        <v>13.452400000000001</v>
      </c>
      <c r="K1884" s="17" t="str">
        <f t="shared" si="298"/>
        <v>Ecart positif</v>
      </c>
      <c r="L1884" s="16">
        <f>base!X1884</f>
        <v>0</v>
      </c>
      <c r="M1884" s="11">
        <f t="shared" si="294"/>
        <v>0</v>
      </c>
      <c r="N1884" s="11">
        <f t="shared" si="295"/>
        <v>14.678399999999998</v>
      </c>
      <c r="O1884" s="11">
        <f t="shared" si="296"/>
        <v>0.12</v>
      </c>
      <c r="P1884" s="12">
        <f t="shared" si="297"/>
        <v>-14.678399999999998</v>
      </c>
      <c r="Q1884" s="17" t="str">
        <f t="shared" si="299"/>
        <v>Ecart négatif</v>
      </c>
    </row>
    <row r="1885" spans="1:17" x14ac:dyDescent="0.3">
      <c r="A1885" s="34" t="str">
        <f>base!J1885</f>
        <v>LS</v>
      </c>
      <c r="B1885" s="34" t="str">
        <f>base!V1885</f>
        <v>95120</v>
      </c>
      <c r="C1885" s="37">
        <v>95</v>
      </c>
      <c r="D1885" s="36">
        <f>base!H1885</f>
        <v>40</v>
      </c>
      <c r="E1885" s="44"/>
      <c r="F1885" s="16">
        <f>base!W1885</f>
        <v>0</v>
      </c>
      <c r="G1885" s="11">
        <f t="shared" si="290"/>
        <v>0</v>
      </c>
      <c r="H1885" s="11">
        <f t="shared" si="291"/>
        <v>0</v>
      </c>
      <c r="I1885" s="11">
        <f t="shared" si="292"/>
        <v>0</v>
      </c>
      <c r="J1885" s="12">
        <f t="shared" si="293"/>
        <v>0</v>
      </c>
      <c r="K1885" s="17" t="str">
        <f t="shared" si="298"/>
        <v>Pas d'écart</v>
      </c>
      <c r="L1885" s="16">
        <f>base!X1885</f>
        <v>0</v>
      </c>
      <c r="M1885" s="11">
        <f t="shared" si="294"/>
        <v>0</v>
      </c>
      <c r="N1885" s="11">
        <f t="shared" si="295"/>
        <v>0</v>
      </c>
      <c r="O1885" s="11">
        <f t="shared" si="296"/>
        <v>0</v>
      </c>
      <c r="P1885" s="12">
        <f t="shared" si="297"/>
        <v>0</v>
      </c>
      <c r="Q1885" s="17" t="str">
        <f t="shared" si="299"/>
        <v>Pas d'écart</v>
      </c>
    </row>
    <row r="1886" spans="1:17" x14ac:dyDescent="0.3">
      <c r="A1886" s="34" t="str">
        <f>base!J1886</f>
        <v>LM</v>
      </c>
      <c r="B1886" s="34" t="str">
        <f>base!V1886</f>
        <v>59380</v>
      </c>
      <c r="C1886" s="37">
        <v>59</v>
      </c>
      <c r="D1886" s="36">
        <f>base!H1886</f>
        <v>40</v>
      </c>
      <c r="E1886" s="44"/>
      <c r="F1886" s="16">
        <f>base!W1886</f>
        <v>7.6</v>
      </c>
      <c r="G1886" s="11">
        <f t="shared" si="290"/>
        <v>0.19</v>
      </c>
      <c r="H1886" s="11">
        <f t="shared" si="291"/>
        <v>7.6</v>
      </c>
      <c r="I1886" s="11">
        <f t="shared" si="292"/>
        <v>0.19</v>
      </c>
      <c r="J1886" s="12">
        <f t="shared" si="293"/>
        <v>0</v>
      </c>
      <c r="K1886" s="17" t="str">
        <f t="shared" si="298"/>
        <v>Pas d'écart</v>
      </c>
      <c r="L1886" s="16">
        <f>base!X1886</f>
        <v>0</v>
      </c>
      <c r="M1886" s="11">
        <f t="shared" si="294"/>
        <v>0</v>
      </c>
      <c r="N1886" s="11">
        <f t="shared" si="295"/>
        <v>0</v>
      </c>
      <c r="O1886" s="11">
        <f t="shared" si="296"/>
        <v>0</v>
      </c>
      <c r="P1886" s="12">
        <f t="shared" si="297"/>
        <v>0</v>
      </c>
      <c r="Q1886" s="17" t="str">
        <f t="shared" si="299"/>
        <v>Pas d'écart</v>
      </c>
    </row>
    <row r="1887" spans="1:17" x14ac:dyDescent="0.3">
      <c r="A1887" s="34" t="str">
        <f>base!J1887</f>
        <v>RM</v>
      </c>
      <c r="B1887" s="34" t="str">
        <f>base!V1887</f>
        <v>38160</v>
      </c>
      <c r="C1887" s="37">
        <v>38</v>
      </c>
      <c r="D1887" s="36">
        <f>base!H1887</f>
        <v>151</v>
      </c>
      <c r="E1887" s="44"/>
      <c r="F1887" s="16">
        <f>base!W1887</f>
        <v>0</v>
      </c>
      <c r="G1887" s="11">
        <f t="shared" si="290"/>
        <v>0</v>
      </c>
      <c r="H1887" s="11">
        <f t="shared" si="291"/>
        <v>40.770000000000003</v>
      </c>
      <c r="I1887" s="11">
        <f t="shared" si="292"/>
        <v>0.27</v>
      </c>
      <c r="J1887" s="12">
        <f t="shared" si="293"/>
        <v>-40.770000000000003</v>
      </c>
      <c r="K1887" s="17" t="str">
        <f t="shared" si="298"/>
        <v>Ecart négatif</v>
      </c>
      <c r="L1887" s="16">
        <f>base!X1887</f>
        <v>0</v>
      </c>
      <c r="M1887" s="11">
        <f t="shared" si="294"/>
        <v>0</v>
      </c>
      <c r="N1887" s="11">
        <f t="shared" si="295"/>
        <v>0</v>
      </c>
      <c r="O1887" s="11">
        <f t="shared" si="296"/>
        <v>0</v>
      </c>
      <c r="P1887" s="12">
        <f t="shared" si="297"/>
        <v>0</v>
      </c>
      <c r="Q1887" s="17" t="str">
        <f t="shared" si="299"/>
        <v>Pas d'écart</v>
      </c>
    </row>
    <row r="1888" spans="1:17" x14ac:dyDescent="0.3">
      <c r="A1888" s="34">
        <f>base!J1888</f>
        <v>0</v>
      </c>
      <c r="B1888" s="34" t="str">
        <f>base!V1888</f>
        <v>44240</v>
      </c>
      <c r="C1888" s="37">
        <v>44</v>
      </c>
      <c r="D1888" s="36">
        <f>base!H1888</f>
        <v>112</v>
      </c>
      <c r="E1888" s="44"/>
      <c r="F1888" s="16">
        <f>base!W1888</f>
        <v>0</v>
      </c>
      <c r="G1888" s="11">
        <f t="shared" si="290"/>
        <v>0</v>
      </c>
      <c r="H1888" s="11">
        <f t="shared" si="291"/>
        <v>30.240000000000002</v>
      </c>
      <c r="I1888" s="11">
        <f t="shared" si="292"/>
        <v>0.27</v>
      </c>
      <c r="J1888" s="12">
        <f t="shared" si="293"/>
        <v>-30.240000000000002</v>
      </c>
      <c r="K1888" s="17" t="str">
        <f t="shared" si="298"/>
        <v>Ecart négatif</v>
      </c>
      <c r="L1888" s="16">
        <f>base!X1888</f>
        <v>0</v>
      </c>
      <c r="M1888" s="11">
        <f t="shared" si="294"/>
        <v>0</v>
      </c>
      <c r="N1888" s="11">
        <f t="shared" si="295"/>
        <v>0</v>
      </c>
      <c r="O1888" s="11">
        <f t="shared" si="296"/>
        <v>0</v>
      </c>
      <c r="P1888" s="12">
        <f t="shared" si="297"/>
        <v>0</v>
      </c>
      <c r="Q1888" s="17" t="str">
        <f t="shared" si="299"/>
        <v>Pas d'écart</v>
      </c>
    </row>
    <row r="1889" spans="1:17" x14ac:dyDescent="0.3">
      <c r="A1889" s="34">
        <f>base!J1889</f>
        <v>0</v>
      </c>
      <c r="B1889" s="34" t="str">
        <f>base!V1889</f>
        <v>44240</v>
      </c>
      <c r="C1889" s="37">
        <v>44</v>
      </c>
      <c r="D1889" s="36">
        <f>base!H1889</f>
        <v>102.61</v>
      </c>
      <c r="E1889" s="44"/>
      <c r="F1889" s="16">
        <f>base!W1889</f>
        <v>0</v>
      </c>
      <c r="G1889" s="11">
        <f t="shared" si="290"/>
        <v>0</v>
      </c>
      <c r="H1889" s="11">
        <f t="shared" si="291"/>
        <v>27.704700000000003</v>
      </c>
      <c r="I1889" s="11">
        <f t="shared" si="292"/>
        <v>0.27</v>
      </c>
      <c r="J1889" s="12">
        <f t="shared" si="293"/>
        <v>-27.704700000000003</v>
      </c>
      <c r="K1889" s="17" t="str">
        <f t="shared" si="298"/>
        <v>Ecart négatif</v>
      </c>
      <c r="L1889" s="16">
        <f>base!X1889</f>
        <v>0</v>
      </c>
      <c r="M1889" s="11">
        <f t="shared" si="294"/>
        <v>0</v>
      </c>
      <c r="N1889" s="11">
        <f t="shared" si="295"/>
        <v>0</v>
      </c>
      <c r="O1889" s="11">
        <f t="shared" si="296"/>
        <v>0</v>
      </c>
      <c r="P1889" s="12">
        <f t="shared" si="297"/>
        <v>0</v>
      </c>
      <c r="Q1889" s="17" t="str">
        <f t="shared" si="299"/>
        <v>Pas d'écart</v>
      </c>
    </row>
    <row r="1890" spans="1:17" x14ac:dyDescent="0.3">
      <c r="A1890" s="34">
        <f>base!J1890</f>
        <v>0</v>
      </c>
      <c r="B1890" s="34" t="str">
        <f>base!V1890</f>
        <v>44240</v>
      </c>
      <c r="C1890" s="37">
        <v>44</v>
      </c>
      <c r="D1890" s="36">
        <f>base!H1890</f>
        <v>148.52000000000001</v>
      </c>
      <c r="E1890" s="44"/>
      <c r="F1890" s="16">
        <f>base!W1890</f>
        <v>0</v>
      </c>
      <c r="G1890" s="11">
        <f t="shared" si="290"/>
        <v>0</v>
      </c>
      <c r="H1890" s="11">
        <f t="shared" si="291"/>
        <v>40.100400000000008</v>
      </c>
      <c r="I1890" s="11">
        <f t="shared" si="292"/>
        <v>0.27</v>
      </c>
      <c r="J1890" s="12">
        <f t="shared" si="293"/>
        <v>-40.100400000000008</v>
      </c>
      <c r="K1890" s="17" t="str">
        <f t="shared" si="298"/>
        <v>Ecart négatif</v>
      </c>
      <c r="L1890" s="16">
        <f>base!X1890</f>
        <v>0</v>
      </c>
      <c r="M1890" s="11">
        <f t="shared" si="294"/>
        <v>0</v>
      </c>
      <c r="N1890" s="11">
        <f t="shared" si="295"/>
        <v>0</v>
      </c>
      <c r="O1890" s="11">
        <f t="shared" si="296"/>
        <v>0</v>
      </c>
      <c r="P1890" s="12">
        <f t="shared" si="297"/>
        <v>0</v>
      </c>
      <c r="Q1890" s="17" t="str">
        <f t="shared" si="299"/>
        <v>Pas d'écart</v>
      </c>
    </row>
    <row r="1891" spans="1:17" x14ac:dyDescent="0.3">
      <c r="A1891" s="34">
        <f>base!J1891</f>
        <v>0</v>
      </c>
      <c r="B1891" s="34" t="str">
        <f>base!V1891</f>
        <v>77184</v>
      </c>
      <c r="C1891" s="37">
        <v>77</v>
      </c>
      <c r="D1891" s="36">
        <f>base!H1891</f>
        <v>900</v>
      </c>
      <c r="E1891" s="44"/>
      <c r="F1891" s="16">
        <f>base!W1891</f>
        <v>0</v>
      </c>
      <c r="G1891" s="11">
        <f t="shared" si="290"/>
        <v>0</v>
      </c>
      <c r="H1891" s="11">
        <f t="shared" si="291"/>
        <v>0</v>
      </c>
      <c r="I1891" s="11">
        <f t="shared" si="292"/>
        <v>0</v>
      </c>
      <c r="J1891" s="12">
        <f t="shared" si="293"/>
        <v>0</v>
      </c>
      <c r="K1891" s="17" t="str">
        <f t="shared" si="298"/>
        <v>Pas d'écart</v>
      </c>
      <c r="L1891" s="16">
        <f>base!X1891</f>
        <v>0</v>
      </c>
      <c r="M1891" s="11">
        <f t="shared" si="294"/>
        <v>0</v>
      </c>
      <c r="N1891" s="11">
        <f t="shared" si="295"/>
        <v>0</v>
      </c>
      <c r="O1891" s="11">
        <f t="shared" si="296"/>
        <v>0</v>
      </c>
      <c r="P1891" s="12">
        <f t="shared" si="297"/>
        <v>0</v>
      </c>
      <c r="Q1891" s="17" t="str">
        <f t="shared" si="299"/>
        <v>Pas d'écart</v>
      </c>
    </row>
    <row r="1892" spans="1:17" x14ac:dyDescent="0.3">
      <c r="A1892" s="34" t="str">
        <f>base!J1892</f>
        <v>RM</v>
      </c>
      <c r="B1892" s="34" t="str">
        <f>base!V1892</f>
        <v xml:space="preserve">57000 </v>
      </c>
      <c r="C1892" s="37">
        <v>57</v>
      </c>
      <c r="D1892" s="36">
        <f>base!H1892</f>
        <v>150</v>
      </c>
      <c r="E1892" s="44"/>
      <c r="F1892" s="16">
        <f>base!W1892</f>
        <v>0</v>
      </c>
      <c r="G1892" s="11">
        <f t="shared" si="290"/>
        <v>0</v>
      </c>
      <c r="H1892" s="11">
        <f t="shared" si="291"/>
        <v>36</v>
      </c>
      <c r="I1892" s="11">
        <f t="shared" si="292"/>
        <v>0.24</v>
      </c>
      <c r="J1892" s="12">
        <f t="shared" si="293"/>
        <v>-36</v>
      </c>
      <c r="K1892" s="17" t="str">
        <f t="shared" si="298"/>
        <v>Ecart négatif</v>
      </c>
      <c r="L1892" s="16">
        <f>base!X1892</f>
        <v>0</v>
      </c>
      <c r="M1892" s="11">
        <f t="shared" si="294"/>
        <v>0</v>
      </c>
      <c r="N1892" s="11">
        <f t="shared" si="295"/>
        <v>37.5</v>
      </c>
      <c r="O1892" s="11">
        <f t="shared" si="296"/>
        <v>0.25</v>
      </c>
      <c r="P1892" s="12">
        <f t="shared" si="297"/>
        <v>-37.5</v>
      </c>
      <c r="Q1892" s="17" t="str">
        <f t="shared" si="299"/>
        <v>Ecart négatif</v>
      </c>
    </row>
    <row r="1893" spans="1:17" x14ac:dyDescent="0.3">
      <c r="A1893" s="34" t="str">
        <f>base!J1893</f>
        <v>DRM</v>
      </c>
      <c r="B1893" s="34" t="str">
        <f>base!V1893</f>
        <v>44700</v>
      </c>
      <c r="C1893" s="37">
        <v>44</v>
      </c>
      <c r="D1893" s="36">
        <f>base!H1893</f>
        <v>190.58</v>
      </c>
      <c r="E1893" s="44"/>
      <c r="F1893" s="16">
        <f>base!W1893</f>
        <v>0</v>
      </c>
      <c r="G1893" s="11">
        <f t="shared" si="290"/>
        <v>0</v>
      </c>
      <c r="H1893" s="11">
        <f t="shared" si="291"/>
        <v>51.456600000000009</v>
      </c>
      <c r="I1893" s="11">
        <f t="shared" si="292"/>
        <v>0.27</v>
      </c>
      <c r="J1893" s="12">
        <f t="shared" si="293"/>
        <v>-51.456600000000009</v>
      </c>
      <c r="K1893" s="17" t="str">
        <f t="shared" si="298"/>
        <v>Ecart négatif</v>
      </c>
      <c r="L1893" s="16">
        <f>base!X1893</f>
        <v>0</v>
      </c>
      <c r="M1893" s="11">
        <f t="shared" si="294"/>
        <v>0</v>
      </c>
      <c r="N1893" s="11">
        <f t="shared" si="295"/>
        <v>0</v>
      </c>
      <c r="O1893" s="11">
        <f t="shared" si="296"/>
        <v>0</v>
      </c>
      <c r="P1893" s="12">
        <f t="shared" si="297"/>
        <v>0</v>
      </c>
      <c r="Q1893" s="17" t="str">
        <f t="shared" si="299"/>
        <v>Pas d'écart</v>
      </c>
    </row>
    <row r="1894" spans="1:17" x14ac:dyDescent="0.3">
      <c r="A1894" s="34" t="str">
        <f>base!J1894</f>
        <v>LM</v>
      </c>
      <c r="B1894" s="34" t="str">
        <f>base!V1894</f>
        <v>75014</v>
      </c>
      <c r="C1894" s="37">
        <v>75</v>
      </c>
      <c r="D1894" s="36">
        <f>base!H1894</f>
        <v>19.649999999999999</v>
      </c>
      <c r="E1894" s="44"/>
      <c r="F1894" s="16">
        <f>base!W1894</f>
        <v>0</v>
      </c>
      <c r="G1894" s="11">
        <f t="shared" si="290"/>
        <v>0</v>
      </c>
      <c r="H1894" s="11">
        <f t="shared" si="291"/>
        <v>0</v>
      </c>
      <c r="I1894" s="11">
        <f t="shared" si="292"/>
        <v>0</v>
      </c>
      <c r="J1894" s="12">
        <f t="shared" si="293"/>
        <v>0</v>
      </c>
      <c r="K1894" s="17" t="str">
        <f t="shared" si="298"/>
        <v>Pas d'écart</v>
      </c>
      <c r="L1894" s="16">
        <f>base!X1894</f>
        <v>0</v>
      </c>
      <c r="M1894" s="11">
        <f t="shared" si="294"/>
        <v>0</v>
      </c>
      <c r="N1894" s="11">
        <f t="shared" si="295"/>
        <v>0</v>
      </c>
      <c r="O1894" s="11">
        <f t="shared" si="296"/>
        <v>0</v>
      </c>
      <c r="P1894" s="12">
        <f t="shared" si="297"/>
        <v>0</v>
      </c>
      <c r="Q1894" s="17" t="str">
        <f t="shared" si="299"/>
        <v>Pas d'écart</v>
      </c>
    </row>
    <row r="1895" spans="1:17" x14ac:dyDescent="0.3">
      <c r="A1895" s="34" t="str">
        <f>base!J1895</f>
        <v>LS</v>
      </c>
      <c r="B1895" s="34" t="str">
        <f>base!V1895</f>
        <v>67000</v>
      </c>
      <c r="C1895" s="37">
        <v>52</v>
      </c>
      <c r="D1895" s="36">
        <f>base!H1895</f>
        <v>32.450000000000003</v>
      </c>
      <c r="E1895" s="44"/>
      <c r="F1895" s="16">
        <f>base!W1895</f>
        <v>9.41</v>
      </c>
      <c r="G1895" s="11">
        <f t="shared" si="290"/>
        <v>0.28998459167950691</v>
      </c>
      <c r="H1895" s="11">
        <f t="shared" si="291"/>
        <v>5.8410000000000002</v>
      </c>
      <c r="I1895" s="11">
        <f t="shared" si="292"/>
        <v>0.18</v>
      </c>
      <c r="J1895" s="12">
        <f t="shared" si="293"/>
        <v>3.569</v>
      </c>
      <c r="K1895" s="17" t="str">
        <f t="shared" si="298"/>
        <v>Ecart positif</v>
      </c>
      <c r="L1895" s="16">
        <f>base!X1895</f>
        <v>0</v>
      </c>
      <c r="M1895" s="11">
        <f t="shared" si="294"/>
        <v>0</v>
      </c>
      <c r="N1895" s="11">
        <f t="shared" si="295"/>
        <v>3.8940000000000001</v>
      </c>
      <c r="O1895" s="11">
        <f t="shared" si="296"/>
        <v>0.12</v>
      </c>
      <c r="P1895" s="12">
        <f t="shared" si="297"/>
        <v>-3.8940000000000001</v>
      </c>
      <c r="Q1895" s="17" t="str">
        <f t="shared" si="299"/>
        <v>Ecart négatif</v>
      </c>
    </row>
    <row r="1896" spans="1:17" x14ac:dyDescent="0.3">
      <c r="A1896" s="34" t="str">
        <f>base!J1896</f>
        <v>LS</v>
      </c>
      <c r="B1896" s="34" t="str">
        <f>base!V1896</f>
        <v>56860</v>
      </c>
      <c r="C1896" s="37">
        <v>52</v>
      </c>
      <c r="D1896" s="36">
        <f>base!H1896</f>
        <v>134.65</v>
      </c>
      <c r="E1896" s="44"/>
      <c r="F1896" s="16">
        <f>base!W1896</f>
        <v>36.36</v>
      </c>
      <c r="G1896" s="11">
        <f t="shared" si="290"/>
        <v>0.27003341997772001</v>
      </c>
      <c r="H1896" s="11">
        <f t="shared" si="291"/>
        <v>24.237000000000002</v>
      </c>
      <c r="I1896" s="11">
        <f t="shared" si="292"/>
        <v>0.18</v>
      </c>
      <c r="J1896" s="12">
        <f t="shared" si="293"/>
        <v>12.122999999999998</v>
      </c>
      <c r="K1896" s="17" t="str">
        <f t="shared" si="298"/>
        <v>Ecart positif</v>
      </c>
      <c r="L1896" s="16">
        <f>base!X1896</f>
        <v>0</v>
      </c>
      <c r="M1896" s="11">
        <f t="shared" si="294"/>
        <v>0</v>
      </c>
      <c r="N1896" s="11">
        <f t="shared" si="295"/>
        <v>16.158000000000001</v>
      </c>
      <c r="O1896" s="11">
        <f t="shared" si="296"/>
        <v>0.12000000000000001</v>
      </c>
      <c r="P1896" s="12">
        <f t="shared" si="297"/>
        <v>-16.158000000000001</v>
      </c>
      <c r="Q1896" s="17" t="str">
        <f t="shared" si="299"/>
        <v>Ecart négatif</v>
      </c>
    </row>
    <row r="1897" spans="1:17" x14ac:dyDescent="0.3">
      <c r="A1897" s="34" t="str">
        <f>base!J1897</f>
        <v>LM</v>
      </c>
      <c r="B1897" s="34" t="str">
        <f>base!V1897</f>
        <v>75014</v>
      </c>
      <c r="C1897" s="37">
        <v>75</v>
      </c>
      <c r="D1897" s="36">
        <f>base!H1897</f>
        <v>19.649999999999999</v>
      </c>
      <c r="E1897" s="44"/>
      <c r="F1897" s="16">
        <f>base!W1897</f>
        <v>0</v>
      </c>
      <c r="G1897" s="11">
        <f t="shared" si="290"/>
        <v>0</v>
      </c>
      <c r="H1897" s="11">
        <f t="shared" si="291"/>
        <v>0</v>
      </c>
      <c r="I1897" s="11">
        <f t="shared" si="292"/>
        <v>0</v>
      </c>
      <c r="J1897" s="12">
        <f t="shared" si="293"/>
        <v>0</v>
      </c>
      <c r="K1897" s="17" t="str">
        <f t="shared" si="298"/>
        <v>Pas d'écart</v>
      </c>
      <c r="L1897" s="16">
        <f>base!X1897</f>
        <v>0</v>
      </c>
      <c r="M1897" s="11">
        <f t="shared" si="294"/>
        <v>0</v>
      </c>
      <c r="N1897" s="11">
        <f t="shared" si="295"/>
        <v>0</v>
      </c>
      <c r="O1897" s="11">
        <f t="shared" si="296"/>
        <v>0</v>
      </c>
      <c r="P1897" s="12">
        <f t="shared" si="297"/>
        <v>0</v>
      </c>
      <c r="Q1897" s="17" t="str">
        <f t="shared" si="299"/>
        <v>Pas d'écart</v>
      </c>
    </row>
    <row r="1898" spans="1:17" x14ac:dyDescent="0.3">
      <c r="A1898" s="34" t="str">
        <f>base!J1898</f>
        <v>LM</v>
      </c>
      <c r="B1898" s="34" t="str">
        <f>base!V1898</f>
        <v>75014</v>
      </c>
      <c r="C1898" s="37">
        <v>75</v>
      </c>
      <c r="D1898" s="36">
        <f>base!H1898</f>
        <v>19.649999999999999</v>
      </c>
      <c r="E1898" s="44"/>
      <c r="F1898" s="16">
        <f>base!W1898</f>
        <v>0</v>
      </c>
      <c r="G1898" s="11">
        <f t="shared" si="290"/>
        <v>0</v>
      </c>
      <c r="H1898" s="11">
        <f t="shared" si="291"/>
        <v>0</v>
      </c>
      <c r="I1898" s="11">
        <f t="shared" si="292"/>
        <v>0</v>
      </c>
      <c r="J1898" s="12">
        <f t="shared" si="293"/>
        <v>0</v>
      </c>
      <c r="K1898" s="17" t="str">
        <f t="shared" si="298"/>
        <v>Pas d'écart</v>
      </c>
      <c r="L1898" s="16">
        <f>base!X1898</f>
        <v>0</v>
      </c>
      <c r="M1898" s="11">
        <f t="shared" si="294"/>
        <v>0</v>
      </c>
      <c r="N1898" s="11">
        <f t="shared" si="295"/>
        <v>0</v>
      </c>
      <c r="O1898" s="11">
        <f t="shared" si="296"/>
        <v>0</v>
      </c>
      <c r="P1898" s="12">
        <f t="shared" si="297"/>
        <v>0</v>
      </c>
      <c r="Q1898" s="17" t="str">
        <f t="shared" si="299"/>
        <v>Pas d'écart</v>
      </c>
    </row>
    <row r="1899" spans="1:17" x14ac:dyDescent="0.3">
      <c r="A1899" s="34" t="str">
        <f>base!J1899</f>
        <v>LM</v>
      </c>
      <c r="B1899" s="34" t="str">
        <f>base!V1899</f>
        <v>75014</v>
      </c>
      <c r="C1899" s="37">
        <v>75</v>
      </c>
      <c r="D1899" s="36">
        <f>base!H1899</f>
        <v>19.649999999999999</v>
      </c>
      <c r="E1899" s="44"/>
      <c r="F1899" s="16">
        <f>base!W1899</f>
        <v>0</v>
      </c>
      <c r="G1899" s="11">
        <f t="shared" si="290"/>
        <v>0</v>
      </c>
      <c r="H1899" s="11">
        <f t="shared" si="291"/>
        <v>0</v>
      </c>
      <c r="I1899" s="11">
        <f t="shared" si="292"/>
        <v>0</v>
      </c>
      <c r="J1899" s="12">
        <f t="shared" si="293"/>
        <v>0</v>
      </c>
      <c r="K1899" s="17" t="str">
        <f t="shared" si="298"/>
        <v>Pas d'écart</v>
      </c>
      <c r="L1899" s="16">
        <f>base!X1899</f>
        <v>0</v>
      </c>
      <c r="M1899" s="11">
        <f t="shared" si="294"/>
        <v>0</v>
      </c>
      <c r="N1899" s="11">
        <f t="shared" si="295"/>
        <v>0</v>
      </c>
      <c r="O1899" s="11">
        <f t="shared" si="296"/>
        <v>0</v>
      </c>
      <c r="P1899" s="12">
        <f t="shared" si="297"/>
        <v>0</v>
      </c>
      <c r="Q1899" s="17" t="str">
        <f t="shared" si="299"/>
        <v>Pas d'écart</v>
      </c>
    </row>
    <row r="1900" spans="1:17" x14ac:dyDescent="0.3">
      <c r="A1900" s="34" t="str">
        <f>base!J1900</f>
        <v>LM</v>
      </c>
      <c r="B1900" s="34" t="str">
        <f>base!V1900</f>
        <v>75014</v>
      </c>
      <c r="C1900" s="37">
        <v>75</v>
      </c>
      <c r="D1900" s="36">
        <f>base!H1900</f>
        <v>19.649999999999999</v>
      </c>
      <c r="E1900" s="44"/>
      <c r="F1900" s="16">
        <f>base!W1900</f>
        <v>0</v>
      </c>
      <c r="G1900" s="11">
        <f t="shared" si="290"/>
        <v>0</v>
      </c>
      <c r="H1900" s="11">
        <f t="shared" si="291"/>
        <v>0</v>
      </c>
      <c r="I1900" s="11">
        <f t="shared" si="292"/>
        <v>0</v>
      </c>
      <c r="J1900" s="12">
        <f t="shared" si="293"/>
        <v>0</v>
      </c>
      <c r="K1900" s="17" t="str">
        <f t="shared" si="298"/>
        <v>Pas d'écart</v>
      </c>
      <c r="L1900" s="16">
        <f>base!X1900</f>
        <v>0</v>
      </c>
      <c r="M1900" s="11">
        <f t="shared" si="294"/>
        <v>0</v>
      </c>
      <c r="N1900" s="11">
        <f t="shared" si="295"/>
        <v>0</v>
      </c>
      <c r="O1900" s="11">
        <f t="shared" si="296"/>
        <v>0</v>
      </c>
      <c r="P1900" s="12">
        <f t="shared" si="297"/>
        <v>0</v>
      </c>
      <c r="Q1900" s="17" t="str">
        <f t="shared" si="299"/>
        <v>Pas d'écart</v>
      </c>
    </row>
    <row r="1901" spans="1:17" x14ac:dyDescent="0.3">
      <c r="A1901" s="34" t="str">
        <f>base!J1901</f>
        <v>LS</v>
      </c>
      <c r="B1901" s="34" t="str">
        <f>base!V1901</f>
        <v>83143</v>
      </c>
      <c r="C1901" s="37">
        <v>52</v>
      </c>
      <c r="D1901" s="36">
        <f>base!H1901</f>
        <v>39.880000000000003</v>
      </c>
      <c r="E1901" s="44"/>
      <c r="F1901" s="16">
        <f>base!W1901</f>
        <v>11.96</v>
      </c>
      <c r="G1901" s="11">
        <f t="shared" si="290"/>
        <v>0.29989969909729186</v>
      </c>
      <c r="H1901" s="11">
        <f t="shared" si="291"/>
        <v>7.1783999999999999</v>
      </c>
      <c r="I1901" s="11">
        <f t="shared" si="292"/>
        <v>0.18</v>
      </c>
      <c r="J1901" s="12">
        <f t="shared" si="293"/>
        <v>4.781600000000001</v>
      </c>
      <c r="K1901" s="17" t="str">
        <f t="shared" si="298"/>
        <v>Ecart positif</v>
      </c>
      <c r="L1901" s="16">
        <f>base!X1901</f>
        <v>0</v>
      </c>
      <c r="M1901" s="11">
        <f t="shared" si="294"/>
        <v>0</v>
      </c>
      <c r="N1901" s="11">
        <f t="shared" si="295"/>
        <v>4.7856000000000005</v>
      </c>
      <c r="O1901" s="11">
        <f t="shared" si="296"/>
        <v>0.12000000000000001</v>
      </c>
      <c r="P1901" s="12">
        <f t="shared" si="297"/>
        <v>-4.7856000000000005</v>
      </c>
      <c r="Q1901" s="17" t="str">
        <f t="shared" si="299"/>
        <v>Ecart négatif</v>
      </c>
    </row>
    <row r="1902" spans="1:17" x14ac:dyDescent="0.3">
      <c r="A1902" s="34" t="str">
        <f>base!J1902</f>
        <v>LM</v>
      </c>
      <c r="B1902" s="34" t="str">
        <f>base!V1902</f>
        <v>14000</v>
      </c>
      <c r="C1902" s="37">
        <v>52</v>
      </c>
      <c r="D1902" s="36">
        <f>base!H1902</f>
        <v>143.57</v>
      </c>
      <c r="E1902" s="44"/>
      <c r="F1902" s="16">
        <f>base!W1902</f>
        <v>24.41</v>
      </c>
      <c r="G1902" s="11">
        <f t="shared" si="290"/>
        <v>0.1700215922546493</v>
      </c>
      <c r="H1902" s="11">
        <f t="shared" si="291"/>
        <v>25.842599999999997</v>
      </c>
      <c r="I1902" s="11">
        <f t="shared" si="292"/>
        <v>0.18</v>
      </c>
      <c r="J1902" s="12">
        <f t="shared" si="293"/>
        <v>-1.4325999999999972</v>
      </c>
      <c r="K1902" s="17" t="str">
        <f t="shared" si="298"/>
        <v>Ecart négatif</v>
      </c>
      <c r="L1902" s="16">
        <f>base!X1902</f>
        <v>0</v>
      </c>
      <c r="M1902" s="11">
        <f t="shared" si="294"/>
        <v>0</v>
      </c>
      <c r="N1902" s="11">
        <f t="shared" si="295"/>
        <v>17.228399999999997</v>
      </c>
      <c r="O1902" s="11">
        <f t="shared" si="296"/>
        <v>0.11999999999999998</v>
      </c>
      <c r="P1902" s="12">
        <f t="shared" si="297"/>
        <v>-17.228399999999997</v>
      </c>
      <c r="Q1902" s="17" t="str">
        <f t="shared" si="299"/>
        <v>Ecart négatif</v>
      </c>
    </row>
    <row r="1903" spans="1:17" x14ac:dyDescent="0.3">
      <c r="A1903" s="34" t="str">
        <f>base!J1903</f>
        <v>RS</v>
      </c>
      <c r="B1903" s="34" t="str">
        <f>base!V1903</f>
        <v>62740</v>
      </c>
      <c r="C1903" s="37">
        <v>62</v>
      </c>
      <c r="D1903" s="36">
        <f>base!H1903</f>
        <v>32.6</v>
      </c>
      <c r="E1903" s="44"/>
      <c r="F1903" s="16">
        <f>base!W1903</f>
        <v>0</v>
      </c>
      <c r="G1903" s="11">
        <f t="shared" si="290"/>
        <v>0</v>
      </c>
      <c r="H1903" s="11">
        <f t="shared" si="291"/>
        <v>6.194</v>
      </c>
      <c r="I1903" s="11">
        <f t="shared" si="292"/>
        <v>0.19</v>
      </c>
      <c r="J1903" s="12">
        <f t="shared" si="293"/>
        <v>-6.194</v>
      </c>
      <c r="K1903" s="17" t="str">
        <f t="shared" si="298"/>
        <v>Ecart négatif</v>
      </c>
      <c r="L1903" s="16">
        <f>base!X1903</f>
        <v>0</v>
      </c>
      <c r="M1903" s="11">
        <f t="shared" si="294"/>
        <v>0</v>
      </c>
      <c r="N1903" s="11">
        <f t="shared" si="295"/>
        <v>0</v>
      </c>
      <c r="O1903" s="11">
        <f t="shared" si="296"/>
        <v>0</v>
      </c>
      <c r="P1903" s="12">
        <f t="shared" si="297"/>
        <v>0</v>
      </c>
      <c r="Q1903" s="17" t="str">
        <f t="shared" si="299"/>
        <v>Pas d'écart</v>
      </c>
    </row>
    <row r="1904" spans="1:17" x14ac:dyDescent="0.3">
      <c r="A1904" s="34">
        <f>base!J1904</f>
        <v>0</v>
      </c>
      <c r="B1904" s="34" t="str">
        <f>base!V1904</f>
        <v>77184</v>
      </c>
      <c r="C1904" s="37">
        <v>77</v>
      </c>
      <c r="D1904" s="36">
        <f>base!H1904</f>
        <v>241.26</v>
      </c>
      <c r="E1904" s="44"/>
      <c r="F1904" s="16">
        <f>base!W1904</f>
        <v>0</v>
      </c>
      <c r="G1904" s="11">
        <f t="shared" si="290"/>
        <v>0</v>
      </c>
      <c r="H1904" s="11">
        <f t="shared" si="291"/>
        <v>0</v>
      </c>
      <c r="I1904" s="11">
        <f t="shared" si="292"/>
        <v>0</v>
      </c>
      <c r="J1904" s="12">
        <f t="shared" si="293"/>
        <v>0</v>
      </c>
      <c r="K1904" s="17" t="str">
        <f t="shared" si="298"/>
        <v>Pas d'écart</v>
      </c>
      <c r="L1904" s="16">
        <f>base!X1904</f>
        <v>0</v>
      </c>
      <c r="M1904" s="11">
        <f t="shared" si="294"/>
        <v>0</v>
      </c>
      <c r="N1904" s="11">
        <f t="shared" si="295"/>
        <v>0</v>
      </c>
      <c r="O1904" s="11">
        <f t="shared" si="296"/>
        <v>0</v>
      </c>
      <c r="P1904" s="12">
        <f t="shared" si="297"/>
        <v>0</v>
      </c>
      <c r="Q1904" s="17" t="str">
        <f t="shared" si="299"/>
        <v>Pas d'écart</v>
      </c>
    </row>
    <row r="1905" spans="1:17" x14ac:dyDescent="0.3">
      <c r="A1905" s="34">
        <f>base!J1905</f>
        <v>0</v>
      </c>
      <c r="B1905" s="34" t="str">
        <f>base!V1905</f>
        <v>77184</v>
      </c>
      <c r="C1905" s="37">
        <v>77</v>
      </c>
      <c r="D1905" s="36">
        <f>base!H1905</f>
        <v>190.59</v>
      </c>
      <c r="E1905" s="44"/>
      <c r="F1905" s="16">
        <f>base!W1905</f>
        <v>0</v>
      </c>
      <c r="G1905" s="11">
        <f t="shared" si="290"/>
        <v>0</v>
      </c>
      <c r="H1905" s="11">
        <f t="shared" si="291"/>
        <v>0</v>
      </c>
      <c r="I1905" s="11">
        <f t="shared" si="292"/>
        <v>0</v>
      </c>
      <c r="J1905" s="12">
        <f t="shared" si="293"/>
        <v>0</v>
      </c>
      <c r="K1905" s="17" t="str">
        <f t="shared" si="298"/>
        <v>Pas d'écart</v>
      </c>
      <c r="L1905" s="16">
        <f>base!X1905</f>
        <v>0</v>
      </c>
      <c r="M1905" s="11">
        <f t="shared" si="294"/>
        <v>0</v>
      </c>
      <c r="N1905" s="11">
        <f t="shared" si="295"/>
        <v>0</v>
      </c>
      <c r="O1905" s="11">
        <f t="shared" si="296"/>
        <v>0</v>
      </c>
      <c r="P1905" s="12">
        <f t="shared" si="297"/>
        <v>0</v>
      </c>
      <c r="Q1905" s="17" t="str">
        <f t="shared" si="299"/>
        <v>Pas d'écart</v>
      </c>
    </row>
    <row r="1906" spans="1:17" x14ac:dyDescent="0.3">
      <c r="A1906" s="34">
        <f>base!J1906</f>
        <v>0</v>
      </c>
      <c r="B1906" s="34" t="str">
        <f>base!V1906</f>
        <v>77184</v>
      </c>
      <c r="C1906" s="37">
        <v>77</v>
      </c>
      <c r="D1906" s="36">
        <f>base!H1906</f>
        <v>85</v>
      </c>
      <c r="E1906" s="44"/>
      <c r="F1906" s="16">
        <f>base!W1906</f>
        <v>0</v>
      </c>
      <c r="G1906" s="11">
        <f t="shared" si="290"/>
        <v>0</v>
      </c>
      <c r="H1906" s="11">
        <f t="shared" si="291"/>
        <v>0</v>
      </c>
      <c r="I1906" s="11">
        <f t="shared" si="292"/>
        <v>0</v>
      </c>
      <c r="J1906" s="12">
        <f t="shared" si="293"/>
        <v>0</v>
      </c>
      <c r="K1906" s="17" t="str">
        <f t="shared" si="298"/>
        <v>Pas d'écart</v>
      </c>
      <c r="L1906" s="16">
        <f>base!X1906</f>
        <v>0</v>
      </c>
      <c r="M1906" s="11">
        <f t="shared" si="294"/>
        <v>0</v>
      </c>
      <c r="N1906" s="11">
        <f t="shared" si="295"/>
        <v>0</v>
      </c>
      <c r="O1906" s="11">
        <f t="shared" si="296"/>
        <v>0</v>
      </c>
      <c r="P1906" s="12">
        <f t="shared" si="297"/>
        <v>0</v>
      </c>
      <c r="Q1906" s="17" t="str">
        <f t="shared" si="299"/>
        <v>Pas d'écart</v>
      </c>
    </row>
    <row r="1907" spans="1:17" x14ac:dyDescent="0.3">
      <c r="A1907" s="34" t="str">
        <f>base!J1907</f>
        <v>LS</v>
      </c>
      <c r="B1907" s="34" t="str">
        <f>base!V1907</f>
        <v>62600</v>
      </c>
      <c r="C1907" s="37">
        <v>52</v>
      </c>
      <c r="D1907" s="36">
        <f>base!H1907</f>
        <v>139.19999999999999</v>
      </c>
      <c r="E1907" s="44"/>
      <c r="F1907" s="16">
        <f>base!W1907</f>
        <v>26.45</v>
      </c>
      <c r="G1907" s="11">
        <f t="shared" si="290"/>
        <v>0.19001436781609196</v>
      </c>
      <c r="H1907" s="11">
        <f t="shared" si="291"/>
        <v>25.055999999999997</v>
      </c>
      <c r="I1907" s="11">
        <f t="shared" si="292"/>
        <v>0.18</v>
      </c>
      <c r="J1907" s="12">
        <f t="shared" si="293"/>
        <v>1.3940000000000019</v>
      </c>
      <c r="K1907" s="17" t="str">
        <f t="shared" si="298"/>
        <v>Ecart positif</v>
      </c>
      <c r="L1907" s="16">
        <f>base!X1907</f>
        <v>0</v>
      </c>
      <c r="M1907" s="11">
        <f t="shared" si="294"/>
        <v>0</v>
      </c>
      <c r="N1907" s="11">
        <f t="shared" si="295"/>
        <v>16.703999999999997</v>
      </c>
      <c r="O1907" s="11">
        <f t="shared" si="296"/>
        <v>0.12</v>
      </c>
      <c r="P1907" s="12">
        <f t="shared" si="297"/>
        <v>-16.703999999999997</v>
      </c>
      <c r="Q1907" s="17" t="str">
        <f t="shared" si="299"/>
        <v>Ecart négatif</v>
      </c>
    </row>
    <row r="1908" spans="1:17" x14ac:dyDescent="0.3">
      <c r="A1908" s="34" t="str">
        <f>base!J1908</f>
        <v>LS</v>
      </c>
      <c r="B1908" s="34" t="str">
        <f>base!V1908</f>
        <v>84000</v>
      </c>
      <c r="C1908" s="37">
        <v>59</v>
      </c>
      <c r="D1908" s="36">
        <f>base!H1908</f>
        <v>138.12</v>
      </c>
      <c r="E1908" s="44"/>
      <c r="F1908" s="16">
        <f>base!W1908</f>
        <v>40.049999999999997</v>
      </c>
      <c r="G1908" s="11">
        <f t="shared" si="290"/>
        <v>0.28996524761077319</v>
      </c>
      <c r="H1908" s="11">
        <f t="shared" si="291"/>
        <v>26.242800000000003</v>
      </c>
      <c r="I1908" s="11">
        <f t="shared" si="292"/>
        <v>0.19</v>
      </c>
      <c r="J1908" s="12">
        <f t="shared" si="293"/>
        <v>13.807199999999995</v>
      </c>
      <c r="K1908" s="17" t="str">
        <f t="shared" si="298"/>
        <v>Ecart positif</v>
      </c>
      <c r="L1908" s="16">
        <f>base!X1908</f>
        <v>0</v>
      </c>
      <c r="M1908" s="11">
        <f t="shared" si="294"/>
        <v>0</v>
      </c>
      <c r="N1908" s="11">
        <f t="shared" si="295"/>
        <v>0</v>
      </c>
      <c r="O1908" s="11">
        <f t="shared" si="296"/>
        <v>0</v>
      </c>
      <c r="P1908" s="12">
        <f t="shared" si="297"/>
        <v>0</v>
      </c>
      <c r="Q1908" s="17" t="str">
        <f t="shared" si="299"/>
        <v>Pas d'écart</v>
      </c>
    </row>
    <row r="1909" spans="1:17" x14ac:dyDescent="0.3">
      <c r="A1909" s="34" t="str">
        <f>base!J1909</f>
        <v>LS</v>
      </c>
      <c r="B1909" s="34" t="str">
        <f>base!V1909</f>
        <v>94550</v>
      </c>
      <c r="C1909" s="37">
        <v>94</v>
      </c>
      <c r="D1909" s="36">
        <f>base!H1909</f>
        <v>137.59</v>
      </c>
      <c r="E1909" s="44"/>
      <c r="F1909" s="16">
        <f>base!W1909</f>
        <v>0</v>
      </c>
      <c r="G1909" s="11">
        <f t="shared" si="290"/>
        <v>0</v>
      </c>
      <c r="H1909" s="11">
        <f t="shared" si="291"/>
        <v>0</v>
      </c>
      <c r="I1909" s="11">
        <f t="shared" si="292"/>
        <v>0</v>
      </c>
      <c r="J1909" s="12">
        <f t="shared" si="293"/>
        <v>0</v>
      </c>
      <c r="K1909" s="17" t="str">
        <f t="shared" si="298"/>
        <v>Pas d'écart</v>
      </c>
      <c r="L1909" s="16">
        <f>base!X1909</f>
        <v>0</v>
      </c>
      <c r="M1909" s="11">
        <f t="shared" si="294"/>
        <v>0</v>
      </c>
      <c r="N1909" s="11">
        <f t="shared" si="295"/>
        <v>0</v>
      </c>
      <c r="O1909" s="11">
        <f t="shared" si="296"/>
        <v>0</v>
      </c>
      <c r="P1909" s="12">
        <f t="shared" si="297"/>
        <v>0</v>
      </c>
      <c r="Q1909" s="17" t="str">
        <f t="shared" si="299"/>
        <v>Pas d'écart</v>
      </c>
    </row>
    <row r="1910" spans="1:17" x14ac:dyDescent="0.3">
      <c r="A1910" s="34" t="str">
        <f>base!J1910</f>
        <v>LM</v>
      </c>
      <c r="B1910" s="34" t="str">
        <f>base!V1910</f>
        <v>49300</v>
      </c>
      <c r="C1910" s="37">
        <v>59</v>
      </c>
      <c r="D1910" s="36">
        <f>base!H1910</f>
        <v>153.52000000000001</v>
      </c>
      <c r="E1910" s="44"/>
      <c r="F1910" s="16">
        <f>base!W1910</f>
        <v>41.45</v>
      </c>
      <c r="G1910" s="11">
        <f t="shared" si="290"/>
        <v>0.26999739447628973</v>
      </c>
      <c r="H1910" s="11">
        <f t="shared" si="291"/>
        <v>29.168800000000001</v>
      </c>
      <c r="I1910" s="11">
        <f t="shared" si="292"/>
        <v>0.19</v>
      </c>
      <c r="J1910" s="12">
        <f t="shared" si="293"/>
        <v>12.281200000000002</v>
      </c>
      <c r="K1910" s="17" t="str">
        <f t="shared" si="298"/>
        <v>Ecart positif</v>
      </c>
      <c r="L1910" s="16">
        <f>base!X1910</f>
        <v>0</v>
      </c>
      <c r="M1910" s="11">
        <f t="shared" si="294"/>
        <v>0</v>
      </c>
      <c r="N1910" s="11">
        <f t="shared" si="295"/>
        <v>0</v>
      </c>
      <c r="O1910" s="11">
        <f t="shared" si="296"/>
        <v>0</v>
      </c>
      <c r="P1910" s="12">
        <f t="shared" si="297"/>
        <v>0</v>
      </c>
      <c r="Q1910" s="17" t="str">
        <f t="shared" si="299"/>
        <v>Pas d'écart</v>
      </c>
    </row>
    <row r="1911" spans="1:17" x14ac:dyDescent="0.3">
      <c r="A1911" s="34" t="str">
        <f>base!J1911</f>
        <v>LM</v>
      </c>
      <c r="B1911" s="34" t="str">
        <f>base!V1911</f>
        <v>59120</v>
      </c>
      <c r="C1911" s="37">
        <v>62</v>
      </c>
      <c r="D1911" s="36">
        <f>base!H1911</f>
        <v>1.46</v>
      </c>
      <c r="E1911" s="44"/>
      <c r="F1911" s="16">
        <f>base!W1911</f>
        <v>0.28000000000000003</v>
      </c>
      <c r="G1911" s="11">
        <f t="shared" si="290"/>
        <v>0.19178082191780824</v>
      </c>
      <c r="H1911" s="11">
        <f t="shared" si="291"/>
        <v>0.27739999999999998</v>
      </c>
      <c r="I1911" s="11">
        <f t="shared" si="292"/>
        <v>0.19</v>
      </c>
      <c r="J1911" s="12">
        <f t="shared" si="293"/>
        <v>2.6000000000000467E-3</v>
      </c>
      <c r="K1911" s="17" t="str">
        <f t="shared" si="298"/>
        <v>Ecart positif</v>
      </c>
      <c r="L1911" s="16">
        <f>base!X1911</f>
        <v>0</v>
      </c>
      <c r="M1911" s="11">
        <f t="shared" si="294"/>
        <v>0</v>
      </c>
      <c r="N1911" s="11">
        <f t="shared" si="295"/>
        <v>0</v>
      </c>
      <c r="O1911" s="11">
        <f t="shared" si="296"/>
        <v>0</v>
      </c>
      <c r="P1911" s="12">
        <f t="shared" si="297"/>
        <v>0</v>
      </c>
      <c r="Q1911" s="17" t="str">
        <f t="shared" si="299"/>
        <v>Pas d'écart</v>
      </c>
    </row>
    <row r="1912" spans="1:17" x14ac:dyDescent="0.3">
      <c r="A1912" s="34" t="str">
        <f>base!J1912</f>
        <v>LM</v>
      </c>
      <c r="B1912" s="34" t="str">
        <f>base!V1912</f>
        <v>59120</v>
      </c>
      <c r="C1912" s="37">
        <v>2</v>
      </c>
      <c r="D1912" s="36">
        <f>base!H1912</f>
        <v>1.46</v>
      </c>
      <c r="E1912" s="44"/>
      <c r="F1912" s="16">
        <f>base!W1912</f>
        <v>0.28000000000000003</v>
      </c>
      <c r="G1912" s="11">
        <f t="shared" si="290"/>
        <v>0.19178082191780824</v>
      </c>
      <c r="H1912" s="11">
        <f t="shared" si="291"/>
        <v>0.26279999999999998</v>
      </c>
      <c r="I1912" s="11">
        <f t="shared" si="292"/>
        <v>0.18</v>
      </c>
      <c r="J1912" s="12">
        <f t="shared" si="293"/>
        <v>1.7200000000000049E-2</v>
      </c>
      <c r="K1912" s="17" t="str">
        <f t="shared" si="298"/>
        <v>Ecart positif</v>
      </c>
      <c r="L1912" s="16">
        <f>base!X1912</f>
        <v>0</v>
      </c>
      <c r="M1912" s="11">
        <f t="shared" si="294"/>
        <v>0</v>
      </c>
      <c r="N1912" s="11">
        <f t="shared" si="295"/>
        <v>0</v>
      </c>
      <c r="O1912" s="11">
        <f t="shared" si="296"/>
        <v>0</v>
      </c>
      <c r="P1912" s="12">
        <f t="shared" si="297"/>
        <v>0</v>
      </c>
      <c r="Q1912" s="17" t="str">
        <f t="shared" si="299"/>
        <v>Pas d'écart</v>
      </c>
    </row>
    <row r="1913" spans="1:17" x14ac:dyDescent="0.3">
      <c r="A1913" s="34" t="str">
        <f>base!J1913</f>
        <v>RM</v>
      </c>
      <c r="B1913" s="34" t="str">
        <f>base!V1913</f>
        <v>76520</v>
      </c>
      <c r="C1913" s="37">
        <v>76</v>
      </c>
      <c r="D1913" s="36">
        <f>base!H1913</f>
        <v>400</v>
      </c>
      <c r="E1913" s="44"/>
      <c r="F1913" s="16">
        <f>base!W1913</f>
        <v>0</v>
      </c>
      <c r="G1913" s="11">
        <f t="shared" si="290"/>
        <v>0</v>
      </c>
      <c r="H1913" s="11">
        <f t="shared" si="291"/>
        <v>68</v>
      </c>
      <c r="I1913" s="11">
        <f t="shared" si="292"/>
        <v>0.17</v>
      </c>
      <c r="J1913" s="12">
        <f t="shared" si="293"/>
        <v>-68</v>
      </c>
      <c r="K1913" s="17" t="str">
        <f t="shared" si="298"/>
        <v>Ecart négatif</v>
      </c>
      <c r="L1913" s="16">
        <f>base!X1913</f>
        <v>68</v>
      </c>
      <c r="M1913" s="11">
        <f t="shared" si="294"/>
        <v>0.17</v>
      </c>
      <c r="N1913" s="11">
        <f t="shared" si="295"/>
        <v>68</v>
      </c>
      <c r="O1913" s="11">
        <f t="shared" si="296"/>
        <v>0.17</v>
      </c>
      <c r="P1913" s="12">
        <f t="shared" si="297"/>
        <v>0</v>
      </c>
      <c r="Q1913" s="17" t="str">
        <f t="shared" si="299"/>
        <v>Pas d'écart</v>
      </c>
    </row>
    <row r="1914" spans="1:17" x14ac:dyDescent="0.3">
      <c r="A1914" s="34" t="str">
        <f>base!J1914</f>
        <v>LM</v>
      </c>
      <c r="B1914" s="34" t="str">
        <f>base!V1914</f>
        <v>45000</v>
      </c>
      <c r="C1914" s="37">
        <v>56</v>
      </c>
      <c r="D1914" s="36">
        <f>base!H1914</f>
        <v>183.11</v>
      </c>
      <c r="E1914" s="44"/>
      <c r="F1914" s="16">
        <f>base!W1914</f>
        <v>38.450000000000003</v>
      </c>
      <c r="G1914" s="11">
        <f t="shared" si="290"/>
        <v>0.20998307028562066</v>
      </c>
      <c r="H1914" s="11">
        <f t="shared" si="291"/>
        <v>49.439700000000009</v>
      </c>
      <c r="I1914" s="11">
        <f t="shared" si="292"/>
        <v>0.27</v>
      </c>
      <c r="J1914" s="12">
        <f t="shared" si="293"/>
        <v>-10.989700000000006</v>
      </c>
      <c r="K1914" s="17" t="str">
        <f t="shared" si="298"/>
        <v>Ecart négatif</v>
      </c>
      <c r="L1914" s="16">
        <f>base!X1914</f>
        <v>0</v>
      </c>
      <c r="M1914" s="11">
        <f t="shared" si="294"/>
        <v>0</v>
      </c>
      <c r="N1914" s="11">
        <f t="shared" si="295"/>
        <v>0</v>
      </c>
      <c r="O1914" s="11">
        <f t="shared" si="296"/>
        <v>0</v>
      </c>
      <c r="P1914" s="12">
        <f t="shared" si="297"/>
        <v>0</v>
      </c>
      <c r="Q1914" s="17" t="str">
        <f t="shared" si="299"/>
        <v>Pas d'écart</v>
      </c>
    </row>
    <row r="1915" spans="1:17" x14ac:dyDescent="0.3">
      <c r="A1915" s="34" t="str">
        <f>base!J1915</f>
        <v>LS</v>
      </c>
      <c r="B1915" s="34" t="str">
        <f>base!V1915</f>
        <v>94360</v>
      </c>
      <c r="C1915" s="37">
        <v>94</v>
      </c>
      <c r="D1915" s="36">
        <f>base!H1915</f>
        <v>67.8</v>
      </c>
      <c r="E1915" s="44"/>
      <c r="F1915" s="16">
        <f>base!W1915</f>
        <v>0</v>
      </c>
      <c r="G1915" s="11">
        <f t="shared" si="290"/>
        <v>0</v>
      </c>
      <c r="H1915" s="11">
        <f t="shared" si="291"/>
        <v>0</v>
      </c>
      <c r="I1915" s="11">
        <f t="shared" si="292"/>
        <v>0</v>
      </c>
      <c r="J1915" s="12">
        <f t="shared" si="293"/>
        <v>0</v>
      </c>
      <c r="K1915" s="17" t="str">
        <f t="shared" si="298"/>
        <v>Pas d'écart</v>
      </c>
      <c r="L1915" s="16">
        <f>base!X1915</f>
        <v>0</v>
      </c>
      <c r="M1915" s="11">
        <f t="shared" si="294"/>
        <v>0</v>
      </c>
      <c r="N1915" s="11">
        <f t="shared" si="295"/>
        <v>0</v>
      </c>
      <c r="O1915" s="11">
        <f t="shared" si="296"/>
        <v>0</v>
      </c>
      <c r="P1915" s="12">
        <f t="shared" si="297"/>
        <v>0</v>
      </c>
      <c r="Q1915" s="17" t="str">
        <f t="shared" si="299"/>
        <v>Pas d'écart</v>
      </c>
    </row>
    <row r="1916" spans="1:17" x14ac:dyDescent="0.3">
      <c r="A1916" s="34">
        <f>base!J1916</f>
        <v>0</v>
      </c>
      <c r="B1916" s="34" t="str">
        <f>base!V1916</f>
        <v>77184</v>
      </c>
      <c r="C1916" s="37">
        <v>77</v>
      </c>
      <c r="D1916" s="36">
        <f>base!H1916</f>
        <v>31.6</v>
      </c>
      <c r="E1916" s="44"/>
      <c r="F1916" s="16">
        <f>base!W1916</f>
        <v>0</v>
      </c>
      <c r="G1916" s="11">
        <f t="shared" si="290"/>
        <v>0</v>
      </c>
      <c r="H1916" s="11">
        <f t="shared" si="291"/>
        <v>0</v>
      </c>
      <c r="I1916" s="11">
        <f t="shared" si="292"/>
        <v>0</v>
      </c>
      <c r="J1916" s="12">
        <f t="shared" si="293"/>
        <v>0</v>
      </c>
      <c r="K1916" s="17" t="str">
        <f t="shared" si="298"/>
        <v>Pas d'écart</v>
      </c>
      <c r="L1916" s="16">
        <f>base!X1916</f>
        <v>0</v>
      </c>
      <c r="M1916" s="11">
        <f t="shared" si="294"/>
        <v>0</v>
      </c>
      <c r="N1916" s="11">
        <f t="shared" si="295"/>
        <v>0</v>
      </c>
      <c r="O1916" s="11">
        <f t="shared" si="296"/>
        <v>0</v>
      </c>
      <c r="P1916" s="12">
        <f t="shared" si="297"/>
        <v>0</v>
      </c>
      <c r="Q1916" s="17" t="str">
        <f t="shared" si="299"/>
        <v>Pas d'écart</v>
      </c>
    </row>
    <row r="1917" spans="1:17" x14ac:dyDescent="0.3">
      <c r="A1917" s="34" t="str">
        <f>base!J1917</f>
        <v>RM</v>
      </c>
      <c r="B1917" s="34" t="str">
        <f>base!V1917</f>
        <v>62000</v>
      </c>
      <c r="C1917" s="37">
        <v>62</v>
      </c>
      <c r="D1917" s="36">
        <f>base!H1917</f>
        <v>33.6</v>
      </c>
      <c r="E1917" s="44"/>
      <c r="F1917" s="16">
        <f>base!W1917</f>
        <v>0</v>
      </c>
      <c r="G1917" s="11">
        <f t="shared" si="290"/>
        <v>0</v>
      </c>
      <c r="H1917" s="11">
        <f t="shared" si="291"/>
        <v>6.3840000000000003</v>
      </c>
      <c r="I1917" s="11">
        <f t="shared" si="292"/>
        <v>0.19</v>
      </c>
      <c r="J1917" s="12">
        <f t="shared" si="293"/>
        <v>-6.3840000000000003</v>
      </c>
      <c r="K1917" s="17" t="str">
        <f t="shared" si="298"/>
        <v>Ecart négatif</v>
      </c>
      <c r="L1917" s="16">
        <f>base!X1917</f>
        <v>0</v>
      </c>
      <c r="M1917" s="11">
        <f t="shared" si="294"/>
        <v>0</v>
      </c>
      <c r="N1917" s="11">
        <f t="shared" si="295"/>
        <v>0</v>
      </c>
      <c r="O1917" s="11">
        <f t="shared" si="296"/>
        <v>0</v>
      </c>
      <c r="P1917" s="12">
        <f t="shared" si="297"/>
        <v>0</v>
      </c>
      <c r="Q1917" s="17" t="str">
        <f t="shared" si="299"/>
        <v>Pas d'écart</v>
      </c>
    </row>
    <row r="1918" spans="1:17" x14ac:dyDescent="0.3">
      <c r="A1918" s="34" t="str">
        <f>base!J1918</f>
        <v>DRM</v>
      </c>
      <c r="B1918" s="34" t="str">
        <f>base!V1918</f>
        <v>02000</v>
      </c>
      <c r="C1918" s="37">
        <v>2</v>
      </c>
      <c r="D1918" s="36">
        <f>base!H1918</f>
        <v>193.66</v>
      </c>
      <c r="E1918" s="44"/>
      <c r="F1918" s="16">
        <f>base!W1918</f>
        <v>0</v>
      </c>
      <c r="G1918" s="11">
        <f t="shared" si="290"/>
        <v>0</v>
      </c>
      <c r="H1918" s="11">
        <f t="shared" si="291"/>
        <v>34.858799999999995</v>
      </c>
      <c r="I1918" s="11">
        <f t="shared" si="292"/>
        <v>0.17999999999999997</v>
      </c>
      <c r="J1918" s="12">
        <f t="shared" si="293"/>
        <v>-34.858799999999995</v>
      </c>
      <c r="K1918" s="17" t="str">
        <f t="shared" si="298"/>
        <v>Ecart négatif</v>
      </c>
      <c r="L1918" s="16">
        <f>base!X1918</f>
        <v>0</v>
      </c>
      <c r="M1918" s="11">
        <f t="shared" si="294"/>
        <v>0</v>
      </c>
      <c r="N1918" s="11">
        <f t="shared" si="295"/>
        <v>0</v>
      </c>
      <c r="O1918" s="11">
        <f t="shared" si="296"/>
        <v>0</v>
      </c>
      <c r="P1918" s="12">
        <f t="shared" si="297"/>
        <v>0</v>
      </c>
      <c r="Q1918" s="17" t="str">
        <f t="shared" si="299"/>
        <v>Pas d'écart</v>
      </c>
    </row>
    <row r="1919" spans="1:17" x14ac:dyDescent="0.3">
      <c r="A1919" s="34" t="str">
        <f>base!J1919</f>
        <v>LM</v>
      </c>
      <c r="B1919" s="34" t="str">
        <f>base!V1919</f>
        <v>94405</v>
      </c>
      <c r="C1919" s="37">
        <v>94</v>
      </c>
      <c r="D1919" s="36">
        <f>base!H1919</f>
        <v>5.85</v>
      </c>
      <c r="E1919" s="44"/>
      <c r="F1919" s="16">
        <f>base!W1919</f>
        <v>0</v>
      </c>
      <c r="G1919" s="11">
        <f t="shared" si="290"/>
        <v>0</v>
      </c>
      <c r="H1919" s="11">
        <f t="shared" si="291"/>
        <v>0</v>
      </c>
      <c r="I1919" s="11">
        <f t="shared" si="292"/>
        <v>0</v>
      </c>
      <c r="J1919" s="12">
        <f t="shared" si="293"/>
        <v>0</v>
      </c>
      <c r="K1919" s="17" t="str">
        <f t="shared" si="298"/>
        <v>Pas d'écart</v>
      </c>
      <c r="L1919" s="16">
        <f>base!X1919</f>
        <v>0</v>
      </c>
      <c r="M1919" s="11">
        <f t="shared" si="294"/>
        <v>0</v>
      </c>
      <c r="N1919" s="11">
        <f t="shared" si="295"/>
        <v>0</v>
      </c>
      <c r="O1919" s="11">
        <f t="shared" si="296"/>
        <v>0</v>
      </c>
      <c r="P1919" s="12">
        <f t="shared" si="297"/>
        <v>0</v>
      </c>
      <c r="Q1919" s="17" t="str">
        <f t="shared" si="299"/>
        <v>Pas d'écart</v>
      </c>
    </row>
    <row r="1920" spans="1:17" x14ac:dyDescent="0.3">
      <c r="A1920" s="34" t="str">
        <f>base!J1920</f>
        <v>LS</v>
      </c>
      <c r="B1920" s="34" t="str">
        <f>base!V1920</f>
        <v>44300</v>
      </c>
      <c r="C1920" s="37">
        <v>49</v>
      </c>
      <c r="D1920" s="36">
        <f>base!H1920</f>
        <v>148.78</v>
      </c>
      <c r="E1920" s="44"/>
      <c r="F1920" s="16">
        <f>base!W1920</f>
        <v>40.17</v>
      </c>
      <c r="G1920" s="11">
        <f t="shared" si="290"/>
        <v>0.26999596719989249</v>
      </c>
      <c r="H1920" s="11">
        <f t="shared" si="291"/>
        <v>40.1706</v>
      </c>
      <c r="I1920" s="11">
        <f t="shared" si="292"/>
        <v>0.27</v>
      </c>
      <c r="J1920" s="12">
        <f t="shared" si="293"/>
        <v>-5.9999999999860165E-4</v>
      </c>
      <c r="K1920" s="17" t="str">
        <f t="shared" si="298"/>
        <v>Ecart négatif</v>
      </c>
      <c r="L1920" s="16">
        <f>base!X1920</f>
        <v>0</v>
      </c>
      <c r="M1920" s="11">
        <f t="shared" si="294"/>
        <v>0</v>
      </c>
      <c r="N1920" s="11">
        <f t="shared" si="295"/>
        <v>0</v>
      </c>
      <c r="O1920" s="11">
        <f t="shared" si="296"/>
        <v>0</v>
      </c>
      <c r="P1920" s="12">
        <f t="shared" si="297"/>
        <v>0</v>
      </c>
      <c r="Q1920" s="17" t="str">
        <f t="shared" si="299"/>
        <v>Pas d'écart</v>
      </c>
    </row>
    <row r="1921" spans="1:18" x14ac:dyDescent="0.3">
      <c r="A1921" s="34" t="str">
        <f>base!J1921</f>
        <v>LM</v>
      </c>
      <c r="B1921" s="34" t="str">
        <f>base!V1921</f>
        <v>95240</v>
      </c>
      <c r="C1921" s="37">
        <v>95</v>
      </c>
      <c r="D1921" s="36">
        <f>base!H1921</f>
        <v>36.85</v>
      </c>
      <c r="E1921" s="44"/>
      <c r="F1921" s="16">
        <f>base!W1921</f>
        <v>0</v>
      </c>
      <c r="G1921" s="11">
        <f t="shared" si="290"/>
        <v>0</v>
      </c>
      <c r="H1921" s="11">
        <f t="shared" si="291"/>
        <v>0</v>
      </c>
      <c r="I1921" s="11">
        <f t="shared" si="292"/>
        <v>0</v>
      </c>
      <c r="J1921" s="12">
        <f t="shared" si="293"/>
        <v>0</v>
      </c>
      <c r="K1921" s="17" t="str">
        <f t="shared" si="298"/>
        <v>Pas d'écart</v>
      </c>
      <c r="L1921" s="16">
        <f>base!X1921</f>
        <v>0</v>
      </c>
      <c r="M1921" s="11">
        <f t="shared" si="294"/>
        <v>0</v>
      </c>
      <c r="N1921" s="11">
        <f t="shared" si="295"/>
        <v>0</v>
      </c>
      <c r="O1921" s="11">
        <f t="shared" si="296"/>
        <v>0</v>
      </c>
      <c r="P1921" s="12">
        <f t="shared" si="297"/>
        <v>0</v>
      </c>
      <c r="Q1921" s="17" t="str">
        <f t="shared" si="299"/>
        <v>Pas d'écart</v>
      </c>
    </row>
    <row r="1922" spans="1:18" x14ac:dyDescent="0.3">
      <c r="A1922" s="34" t="str">
        <f>base!J1922</f>
        <v>RS</v>
      </c>
      <c r="B1922" s="34" t="str">
        <f>base!V1922</f>
        <v>88000</v>
      </c>
      <c r="C1922" s="37">
        <v>88</v>
      </c>
      <c r="D1922" s="36">
        <f>base!H1922</f>
        <v>85.7</v>
      </c>
      <c r="E1922" s="44"/>
      <c r="F1922" s="16">
        <f>base!W1922</f>
        <v>0</v>
      </c>
      <c r="G1922" s="11">
        <f t="shared" ref="G1922:G1985" si="300">F1922/D1922</f>
        <v>0</v>
      </c>
      <c r="H1922" s="11">
        <f t="shared" ref="H1922:H1985" si="301">VLOOKUP(C1922,tout_cout_traction,2,FALSE)*D1922</f>
        <v>23.996000000000002</v>
      </c>
      <c r="I1922" s="11">
        <f t="shared" ref="I1922:I1985" si="302">H1922/D1922</f>
        <v>0.28000000000000003</v>
      </c>
      <c r="J1922" s="12">
        <f t="shared" ref="J1922:J1985" si="303">F1922-H1922</f>
        <v>-23.996000000000002</v>
      </c>
      <c r="K1922" s="17" t="str">
        <f t="shared" si="298"/>
        <v>Ecart négatif</v>
      </c>
      <c r="L1922" s="16">
        <f>base!X1922</f>
        <v>0</v>
      </c>
      <c r="M1922" s="11">
        <f t="shared" ref="M1922:M1985" si="304">L1922/D1922</f>
        <v>0</v>
      </c>
      <c r="N1922" s="11">
        <f t="shared" ref="N1922:N1985" si="305">VLOOKUP(C1922,tout_cout_traction,3,FALSE)*D1922</f>
        <v>6.8560000000000008</v>
      </c>
      <c r="O1922" s="11">
        <f t="shared" ref="O1922:O1985" si="306">N1922/D1922</f>
        <v>0.08</v>
      </c>
      <c r="P1922" s="12">
        <f t="shared" ref="P1922:P1985" si="307">L1922-N1922</f>
        <v>-6.8560000000000008</v>
      </c>
      <c r="Q1922" s="17" t="str">
        <f t="shared" si="299"/>
        <v>Ecart négatif</v>
      </c>
    </row>
    <row r="1923" spans="1:18" x14ac:dyDescent="0.3">
      <c r="A1923" s="34" t="str">
        <f>base!J1923</f>
        <v>RM</v>
      </c>
      <c r="B1923" s="34" t="str">
        <f>base!V1923</f>
        <v>54000</v>
      </c>
      <c r="C1923" s="37">
        <v>54</v>
      </c>
      <c r="D1923" s="36">
        <f>base!H1923</f>
        <v>37.24</v>
      </c>
      <c r="E1923" s="44"/>
      <c r="F1923" s="16">
        <f>base!W1923</f>
        <v>0</v>
      </c>
      <c r="G1923" s="11">
        <f t="shared" si="300"/>
        <v>0</v>
      </c>
      <c r="H1923" s="11">
        <f t="shared" si="301"/>
        <v>9.31</v>
      </c>
      <c r="I1923" s="11">
        <f t="shared" si="302"/>
        <v>0.25</v>
      </c>
      <c r="J1923" s="12">
        <f t="shared" si="303"/>
        <v>-9.31</v>
      </c>
      <c r="K1923" s="17" t="str">
        <f t="shared" ref="K1923:K1986" si="308">IF(H1923=F1923,"Pas d'écart",IF(H1923&lt;F1923,"Ecart positif",IF(H1923&gt;F1923,"Ecart négatif")))</f>
        <v>Ecart négatif</v>
      </c>
      <c r="L1923" s="16">
        <f>base!X1923</f>
        <v>9.31</v>
      </c>
      <c r="M1923" s="11">
        <f t="shared" si="304"/>
        <v>0.25</v>
      </c>
      <c r="N1923" s="11">
        <f t="shared" si="305"/>
        <v>9.31</v>
      </c>
      <c r="O1923" s="11">
        <f t="shared" si="306"/>
        <v>0.25</v>
      </c>
      <c r="P1923" s="12">
        <f t="shared" si="307"/>
        <v>0</v>
      </c>
      <c r="Q1923" s="17" t="str">
        <f t="shared" ref="Q1923:Q1986" si="309">IF(N1923=L1923,"Pas d'écart",IF(N1923&lt;L1923,"Ecart positif",IF(N1923&gt;L1923,"Ecart négatif")))</f>
        <v>Pas d'écart</v>
      </c>
      <c r="R1923" s="38"/>
    </row>
    <row r="1924" spans="1:18" x14ac:dyDescent="0.3">
      <c r="A1924" s="34" t="str">
        <f>base!J1924</f>
        <v>LM</v>
      </c>
      <c r="B1924" s="34" t="str">
        <f>base!V1924</f>
        <v>06560</v>
      </c>
      <c r="C1924" s="37">
        <v>60</v>
      </c>
      <c r="D1924" s="36">
        <f>base!H1924</f>
        <v>19.89</v>
      </c>
      <c r="E1924" s="44"/>
      <c r="F1924" s="16">
        <f>base!W1924</f>
        <v>5.97</v>
      </c>
      <c r="G1924" s="11">
        <f t="shared" si="300"/>
        <v>0.30015082956259426</v>
      </c>
      <c r="H1924" s="11">
        <f t="shared" si="301"/>
        <v>3.7791000000000001</v>
      </c>
      <c r="I1924" s="11">
        <f t="shared" si="302"/>
        <v>0.19</v>
      </c>
      <c r="J1924" s="12">
        <f t="shared" si="303"/>
        <v>2.1908999999999996</v>
      </c>
      <c r="K1924" s="17" t="str">
        <f t="shared" si="308"/>
        <v>Ecart positif</v>
      </c>
      <c r="L1924" s="16">
        <f>base!X1924</f>
        <v>0</v>
      </c>
      <c r="M1924" s="11">
        <f t="shared" si="304"/>
        <v>0</v>
      </c>
      <c r="N1924" s="11">
        <f t="shared" si="305"/>
        <v>0</v>
      </c>
      <c r="O1924" s="11">
        <f t="shared" si="306"/>
        <v>0</v>
      </c>
      <c r="P1924" s="12">
        <f t="shared" si="307"/>
        <v>0</v>
      </c>
      <c r="Q1924" s="17" t="str">
        <f t="shared" si="309"/>
        <v>Pas d'écart</v>
      </c>
    </row>
    <row r="1925" spans="1:18" x14ac:dyDescent="0.3">
      <c r="A1925" s="34" t="str">
        <f>base!J1925</f>
        <v>LM</v>
      </c>
      <c r="B1925" s="34" t="str">
        <f>base!V1925</f>
        <v>75014</v>
      </c>
      <c r="C1925" s="37">
        <v>75</v>
      </c>
      <c r="D1925" s="36">
        <f>base!H1925</f>
        <v>53.38</v>
      </c>
      <c r="E1925" s="44"/>
      <c r="F1925" s="16">
        <f>base!W1925</f>
        <v>0</v>
      </c>
      <c r="G1925" s="11">
        <f t="shared" si="300"/>
        <v>0</v>
      </c>
      <c r="H1925" s="11">
        <f t="shared" si="301"/>
        <v>0</v>
      </c>
      <c r="I1925" s="11">
        <f t="shared" si="302"/>
        <v>0</v>
      </c>
      <c r="J1925" s="12">
        <f t="shared" si="303"/>
        <v>0</v>
      </c>
      <c r="K1925" s="17" t="str">
        <f t="shared" si="308"/>
        <v>Pas d'écart</v>
      </c>
      <c r="L1925" s="16">
        <f>base!X1925</f>
        <v>0</v>
      </c>
      <c r="M1925" s="11">
        <f t="shared" si="304"/>
        <v>0</v>
      </c>
      <c r="N1925" s="11">
        <f t="shared" si="305"/>
        <v>0</v>
      </c>
      <c r="O1925" s="11">
        <f t="shared" si="306"/>
        <v>0</v>
      </c>
      <c r="P1925" s="12">
        <f t="shared" si="307"/>
        <v>0</v>
      </c>
      <c r="Q1925" s="17" t="str">
        <f t="shared" si="309"/>
        <v>Pas d'écart</v>
      </c>
    </row>
    <row r="1926" spans="1:18" x14ac:dyDescent="0.3">
      <c r="A1926" s="34" t="str">
        <f>base!J1926</f>
        <v>LS</v>
      </c>
      <c r="B1926" s="34" t="str">
        <f>base!V1926</f>
        <v>80000</v>
      </c>
      <c r="C1926" s="37">
        <v>8</v>
      </c>
      <c r="D1926" s="36">
        <f>base!H1926</f>
        <v>82.33</v>
      </c>
      <c r="E1926" s="44"/>
      <c r="F1926" s="16">
        <f>base!W1926</f>
        <v>15.64</v>
      </c>
      <c r="G1926" s="11">
        <f t="shared" si="300"/>
        <v>0.18996720515000609</v>
      </c>
      <c r="H1926" s="11">
        <f t="shared" si="301"/>
        <v>14.8194</v>
      </c>
      <c r="I1926" s="11">
        <f t="shared" si="302"/>
        <v>0.18</v>
      </c>
      <c r="J1926" s="12">
        <f t="shared" si="303"/>
        <v>0.82060000000000066</v>
      </c>
      <c r="K1926" s="17" t="str">
        <f t="shared" si="308"/>
        <v>Ecart positif</v>
      </c>
      <c r="L1926" s="16">
        <f>base!X1926</f>
        <v>0</v>
      </c>
      <c r="M1926" s="11">
        <f t="shared" si="304"/>
        <v>0</v>
      </c>
      <c r="N1926" s="11">
        <f t="shared" si="305"/>
        <v>0</v>
      </c>
      <c r="O1926" s="11">
        <f t="shared" si="306"/>
        <v>0</v>
      </c>
      <c r="P1926" s="12">
        <f t="shared" si="307"/>
        <v>0</v>
      </c>
      <c r="Q1926" s="17" t="str">
        <f t="shared" si="309"/>
        <v>Pas d'écart</v>
      </c>
    </row>
    <row r="1927" spans="1:18" x14ac:dyDescent="0.3">
      <c r="A1927" s="34" t="str">
        <f>base!J1927</f>
        <v>LM</v>
      </c>
      <c r="B1927" s="34" t="str">
        <f>base!V1927</f>
        <v>80400</v>
      </c>
      <c r="C1927" s="37">
        <v>62</v>
      </c>
      <c r="D1927" s="36">
        <f>base!H1927</f>
        <v>185.14</v>
      </c>
      <c r="E1927" s="44"/>
      <c r="F1927" s="16">
        <f>base!W1927</f>
        <v>35.18</v>
      </c>
      <c r="G1927" s="11">
        <f t="shared" si="300"/>
        <v>0.19001836448093337</v>
      </c>
      <c r="H1927" s="11">
        <f t="shared" si="301"/>
        <v>35.176600000000001</v>
      </c>
      <c r="I1927" s="11">
        <f t="shared" si="302"/>
        <v>0.19000000000000003</v>
      </c>
      <c r="J1927" s="12">
        <f t="shared" si="303"/>
        <v>3.3999999999991815E-3</v>
      </c>
      <c r="K1927" s="17" t="str">
        <f t="shared" si="308"/>
        <v>Ecart positif</v>
      </c>
      <c r="L1927" s="16">
        <f>base!X1927</f>
        <v>0</v>
      </c>
      <c r="M1927" s="11">
        <f t="shared" si="304"/>
        <v>0</v>
      </c>
      <c r="N1927" s="11">
        <f t="shared" si="305"/>
        <v>0</v>
      </c>
      <c r="O1927" s="11">
        <f t="shared" si="306"/>
        <v>0</v>
      </c>
      <c r="P1927" s="12">
        <f t="shared" si="307"/>
        <v>0</v>
      </c>
      <c r="Q1927" s="17" t="str">
        <f t="shared" si="309"/>
        <v>Pas d'écart</v>
      </c>
    </row>
    <row r="1928" spans="1:18" x14ac:dyDescent="0.3">
      <c r="A1928" s="34" t="str">
        <f>base!J1928</f>
        <v>LM</v>
      </c>
      <c r="B1928" s="34" t="str">
        <f>base!V1928</f>
        <v>75009</v>
      </c>
      <c r="C1928" s="37">
        <v>75</v>
      </c>
      <c r="D1928" s="36">
        <f>base!H1928</f>
        <v>28.26</v>
      </c>
      <c r="E1928" s="44"/>
      <c r="F1928" s="16">
        <f>base!W1928</f>
        <v>0</v>
      </c>
      <c r="G1928" s="11">
        <f t="shared" si="300"/>
        <v>0</v>
      </c>
      <c r="H1928" s="11">
        <f t="shared" si="301"/>
        <v>0</v>
      </c>
      <c r="I1928" s="11">
        <f t="shared" si="302"/>
        <v>0</v>
      </c>
      <c r="J1928" s="12">
        <f t="shared" si="303"/>
        <v>0</v>
      </c>
      <c r="K1928" s="17" t="str">
        <f t="shared" si="308"/>
        <v>Pas d'écart</v>
      </c>
      <c r="L1928" s="16">
        <f>base!X1928</f>
        <v>0</v>
      </c>
      <c r="M1928" s="11">
        <f t="shared" si="304"/>
        <v>0</v>
      </c>
      <c r="N1928" s="11">
        <f t="shared" si="305"/>
        <v>0</v>
      </c>
      <c r="O1928" s="11">
        <f t="shared" si="306"/>
        <v>0</v>
      </c>
      <c r="P1928" s="12">
        <f t="shared" si="307"/>
        <v>0</v>
      </c>
      <c r="Q1928" s="17" t="str">
        <f t="shared" si="309"/>
        <v>Pas d'écart</v>
      </c>
    </row>
    <row r="1929" spans="1:18" x14ac:dyDescent="0.3">
      <c r="A1929" s="34" t="str">
        <f>base!J1929</f>
        <v>LM</v>
      </c>
      <c r="B1929" s="34" t="str">
        <f>base!V1929</f>
        <v>75009</v>
      </c>
      <c r="C1929" s="37">
        <v>75</v>
      </c>
      <c r="D1929" s="36">
        <f>base!H1929</f>
        <v>28.26</v>
      </c>
      <c r="E1929" s="44"/>
      <c r="F1929" s="16">
        <f>base!W1929</f>
        <v>0</v>
      </c>
      <c r="G1929" s="11">
        <f t="shared" si="300"/>
        <v>0</v>
      </c>
      <c r="H1929" s="11">
        <f t="shared" si="301"/>
        <v>0</v>
      </c>
      <c r="I1929" s="11">
        <f t="shared" si="302"/>
        <v>0</v>
      </c>
      <c r="J1929" s="12">
        <f t="shared" si="303"/>
        <v>0</v>
      </c>
      <c r="K1929" s="17" t="str">
        <f t="shared" si="308"/>
        <v>Pas d'écart</v>
      </c>
      <c r="L1929" s="16">
        <f>base!X1929</f>
        <v>0</v>
      </c>
      <c r="M1929" s="11">
        <f t="shared" si="304"/>
        <v>0</v>
      </c>
      <c r="N1929" s="11">
        <f t="shared" si="305"/>
        <v>0</v>
      </c>
      <c r="O1929" s="11">
        <f t="shared" si="306"/>
        <v>0</v>
      </c>
      <c r="P1929" s="12">
        <f t="shared" si="307"/>
        <v>0</v>
      </c>
      <c r="Q1929" s="17" t="str">
        <f t="shared" si="309"/>
        <v>Pas d'écart</v>
      </c>
    </row>
    <row r="1930" spans="1:18" x14ac:dyDescent="0.3">
      <c r="A1930" s="34" t="str">
        <f>base!J1930</f>
        <v>LS</v>
      </c>
      <c r="B1930" s="34" t="str">
        <f>base!V1930</f>
        <v>67530</v>
      </c>
      <c r="C1930" s="37">
        <v>71</v>
      </c>
      <c r="D1930" s="36">
        <f>base!H1930</f>
        <v>55.34</v>
      </c>
      <c r="E1930" s="44"/>
      <c r="F1930" s="16">
        <f>base!W1930</f>
        <v>16.05</v>
      </c>
      <c r="G1930" s="11">
        <f t="shared" si="300"/>
        <v>0.29002529815684858</v>
      </c>
      <c r="H1930" s="11">
        <f t="shared" si="301"/>
        <v>14.941800000000002</v>
      </c>
      <c r="I1930" s="11">
        <f t="shared" si="302"/>
        <v>0.27</v>
      </c>
      <c r="J1930" s="12">
        <f t="shared" si="303"/>
        <v>1.1081999999999983</v>
      </c>
      <c r="K1930" s="17" t="str">
        <f t="shared" si="308"/>
        <v>Ecart positif</v>
      </c>
      <c r="L1930" s="16">
        <f>base!X1930</f>
        <v>0</v>
      </c>
      <c r="M1930" s="11">
        <f t="shared" si="304"/>
        <v>0</v>
      </c>
      <c r="N1930" s="11">
        <f t="shared" si="305"/>
        <v>0</v>
      </c>
      <c r="O1930" s="11">
        <f t="shared" si="306"/>
        <v>0</v>
      </c>
      <c r="P1930" s="12">
        <f t="shared" si="307"/>
        <v>0</v>
      </c>
      <c r="Q1930" s="17" t="str">
        <f t="shared" si="309"/>
        <v>Pas d'écart</v>
      </c>
    </row>
    <row r="1931" spans="1:18" x14ac:dyDescent="0.3">
      <c r="A1931" s="34" t="str">
        <f>base!J1931</f>
        <v>LS</v>
      </c>
      <c r="B1931" s="34" t="str">
        <f>base!V1931</f>
        <v>54710</v>
      </c>
      <c r="C1931" s="37">
        <v>73</v>
      </c>
      <c r="D1931" s="36">
        <f>base!H1931</f>
        <v>41</v>
      </c>
      <c r="E1931" s="44"/>
      <c r="F1931" s="16">
        <f>base!W1931</f>
        <v>10.25</v>
      </c>
      <c r="G1931" s="11">
        <f t="shared" si="300"/>
        <v>0.25</v>
      </c>
      <c r="H1931" s="11">
        <f t="shared" si="301"/>
        <v>11.07</v>
      </c>
      <c r="I1931" s="11">
        <f t="shared" si="302"/>
        <v>0.27</v>
      </c>
      <c r="J1931" s="12">
        <f t="shared" si="303"/>
        <v>-0.82000000000000028</v>
      </c>
      <c r="K1931" s="17" t="str">
        <f t="shared" si="308"/>
        <v>Ecart négatif</v>
      </c>
      <c r="L1931" s="16">
        <f>base!X1931</f>
        <v>0</v>
      </c>
      <c r="M1931" s="11">
        <f t="shared" si="304"/>
        <v>0</v>
      </c>
      <c r="N1931" s="11">
        <f t="shared" si="305"/>
        <v>0</v>
      </c>
      <c r="O1931" s="11">
        <f t="shared" si="306"/>
        <v>0</v>
      </c>
      <c r="P1931" s="12">
        <f t="shared" si="307"/>
        <v>0</v>
      </c>
      <c r="Q1931" s="17" t="str">
        <f t="shared" si="309"/>
        <v>Pas d'écart</v>
      </c>
    </row>
    <row r="1932" spans="1:18" x14ac:dyDescent="0.3">
      <c r="A1932" s="34" t="str">
        <f>base!J1932</f>
        <v>LS</v>
      </c>
      <c r="B1932" s="34" t="str">
        <f>base!V1932</f>
        <v>38400</v>
      </c>
      <c r="C1932" s="37">
        <v>69</v>
      </c>
      <c r="D1932" s="36">
        <f>base!H1932</f>
        <v>6.2</v>
      </c>
      <c r="E1932" s="44"/>
      <c r="F1932" s="16">
        <f>base!W1932</f>
        <v>1.67</v>
      </c>
      <c r="G1932" s="11">
        <f t="shared" si="300"/>
        <v>0.26935483870967741</v>
      </c>
      <c r="H1932" s="11">
        <f t="shared" si="301"/>
        <v>1.6740000000000002</v>
      </c>
      <c r="I1932" s="11">
        <f t="shared" si="302"/>
        <v>0.27</v>
      </c>
      <c r="J1932" s="12">
        <f t="shared" si="303"/>
        <v>-4.0000000000002256E-3</v>
      </c>
      <c r="K1932" s="17" t="str">
        <f t="shared" si="308"/>
        <v>Ecart négatif</v>
      </c>
      <c r="L1932" s="16">
        <f>base!X1932</f>
        <v>0</v>
      </c>
      <c r="M1932" s="11">
        <f t="shared" si="304"/>
        <v>0</v>
      </c>
      <c r="N1932" s="11">
        <f t="shared" si="305"/>
        <v>0</v>
      </c>
      <c r="O1932" s="11">
        <f t="shared" si="306"/>
        <v>0</v>
      </c>
      <c r="P1932" s="12">
        <f t="shared" si="307"/>
        <v>0</v>
      </c>
      <c r="Q1932" s="17" t="str">
        <f t="shared" si="309"/>
        <v>Pas d'écart</v>
      </c>
    </row>
    <row r="1933" spans="1:18" x14ac:dyDescent="0.3">
      <c r="A1933" s="34" t="str">
        <f>base!J1933</f>
        <v>RS</v>
      </c>
      <c r="B1933" s="34" t="str">
        <f>base!V1933</f>
        <v>68480</v>
      </c>
      <c r="C1933" s="37">
        <v>68</v>
      </c>
      <c r="D1933" s="36">
        <f>base!H1933</f>
        <v>163.98</v>
      </c>
      <c r="E1933" s="44"/>
      <c r="F1933" s="16">
        <f>base!W1933</f>
        <v>0</v>
      </c>
      <c r="G1933" s="11">
        <f t="shared" si="300"/>
        <v>0</v>
      </c>
      <c r="H1933" s="11">
        <f t="shared" si="301"/>
        <v>47.554199999999994</v>
      </c>
      <c r="I1933" s="11">
        <f t="shared" si="302"/>
        <v>0.28999999999999998</v>
      </c>
      <c r="J1933" s="12">
        <f t="shared" si="303"/>
        <v>-47.554199999999994</v>
      </c>
      <c r="K1933" s="17" t="str">
        <f t="shared" si="308"/>
        <v>Ecart négatif</v>
      </c>
      <c r="L1933" s="16">
        <f>base!X1933</f>
        <v>13.12</v>
      </c>
      <c r="M1933" s="11">
        <f t="shared" si="304"/>
        <v>8.0009757287474087E-2</v>
      </c>
      <c r="N1933" s="11">
        <f t="shared" si="305"/>
        <v>13.118399999999999</v>
      </c>
      <c r="O1933" s="11">
        <f t="shared" si="306"/>
        <v>0.08</v>
      </c>
      <c r="P1933" s="12">
        <f t="shared" si="307"/>
        <v>1.5999999999998238E-3</v>
      </c>
      <c r="Q1933" s="17" t="str">
        <f t="shared" si="309"/>
        <v>Ecart positif</v>
      </c>
      <c r="R1933" s="38"/>
    </row>
    <row r="1934" spans="1:18" x14ac:dyDescent="0.3">
      <c r="A1934" s="34" t="str">
        <f>base!J1934</f>
        <v>RM</v>
      </c>
      <c r="B1934" s="34" t="str">
        <f>base!V1934</f>
        <v>68520</v>
      </c>
      <c r="C1934" s="37">
        <v>68</v>
      </c>
      <c r="D1934" s="36">
        <f>base!H1934</f>
        <v>40</v>
      </c>
      <c r="E1934" s="44"/>
      <c r="F1934" s="16">
        <f>base!W1934</f>
        <v>0</v>
      </c>
      <c r="G1934" s="11">
        <f t="shared" si="300"/>
        <v>0</v>
      </c>
      <c r="H1934" s="11">
        <f t="shared" si="301"/>
        <v>11.6</v>
      </c>
      <c r="I1934" s="11">
        <f t="shared" si="302"/>
        <v>0.28999999999999998</v>
      </c>
      <c r="J1934" s="12">
        <f t="shared" si="303"/>
        <v>-11.6</v>
      </c>
      <c r="K1934" s="17" t="str">
        <f t="shared" si="308"/>
        <v>Ecart négatif</v>
      </c>
      <c r="L1934" s="16">
        <f>base!X1934</f>
        <v>3.2</v>
      </c>
      <c r="M1934" s="11">
        <f t="shared" si="304"/>
        <v>0.08</v>
      </c>
      <c r="N1934" s="11">
        <f t="shared" si="305"/>
        <v>3.2</v>
      </c>
      <c r="O1934" s="11">
        <f t="shared" si="306"/>
        <v>0.08</v>
      </c>
      <c r="P1934" s="12">
        <f t="shared" si="307"/>
        <v>0</v>
      </c>
      <c r="Q1934" s="17" t="str">
        <f t="shared" si="309"/>
        <v>Pas d'écart</v>
      </c>
      <c r="R1934" s="38"/>
    </row>
    <row r="1935" spans="1:18" x14ac:dyDescent="0.3">
      <c r="A1935" s="34" t="str">
        <f>base!J1935</f>
        <v>RS</v>
      </c>
      <c r="B1935" s="34" t="str">
        <f>base!V1935</f>
        <v>94270</v>
      </c>
      <c r="C1935" s="37">
        <v>94</v>
      </c>
      <c r="D1935" s="36">
        <f>base!H1935</f>
        <v>94.3</v>
      </c>
      <c r="E1935" s="44"/>
      <c r="F1935" s="16">
        <f>base!W1935</f>
        <v>0</v>
      </c>
      <c r="G1935" s="11">
        <f t="shared" si="300"/>
        <v>0</v>
      </c>
      <c r="H1935" s="11">
        <f t="shared" si="301"/>
        <v>0</v>
      </c>
      <c r="I1935" s="11">
        <f t="shared" si="302"/>
        <v>0</v>
      </c>
      <c r="J1935" s="12">
        <f t="shared" si="303"/>
        <v>0</v>
      </c>
      <c r="K1935" s="17" t="str">
        <f t="shared" si="308"/>
        <v>Pas d'écart</v>
      </c>
      <c r="L1935" s="16">
        <f>base!X1935</f>
        <v>0</v>
      </c>
      <c r="M1935" s="11">
        <f t="shared" si="304"/>
        <v>0</v>
      </c>
      <c r="N1935" s="11">
        <f t="shared" si="305"/>
        <v>0</v>
      </c>
      <c r="O1935" s="11">
        <f t="shared" si="306"/>
        <v>0</v>
      </c>
      <c r="P1935" s="12">
        <f t="shared" si="307"/>
        <v>0</v>
      </c>
      <c r="Q1935" s="17" t="str">
        <f t="shared" si="309"/>
        <v>Pas d'écart</v>
      </c>
    </row>
    <row r="1936" spans="1:18" x14ac:dyDescent="0.3">
      <c r="A1936" s="34">
        <f>base!J1936</f>
        <v>0</v>
      </c>
      <c r="B1936" s="34" t="str">
        <f>base!V1936</f>
        <v>77184</v>
      </c>
      <c r="C1936" s="37">
        <v>77</v>
      </c>
      <c r="D1936" s="36">
        <f>base!H1936</f>
        <v>101</v>
      </c>
      <c r="E1936" s="44"/>
      <c r="F1936" s="16">
        <f>base!W1936</f>
        <v>0</v>
      </c>
      <c r="G1936" s="11">
        <f t="shared" si="300"/>
        <v>0</v>
      </c>
      <c r="H1936" s="11">
        <f t="shared" si="301"/>
        <v>0</v>
      </c>
      <c r="I1936" s="11">
        <f t="shared" si="302"/>
        <v>0</v>
      </c>
      <c r="J1936" s="12">
        <f t="shared" si="303"/>
        <v>0</v>
      </c>
      <c r="K1936" s="17" t="str">
        <f t="shared" si="308"/>
        <v>Pas d'écart</v>
      </c>
      <c r="L1936" s="16">
        <f>base!X1936</f>
        <v>0</v>
      </c>
      <c r="M1936" s="11">
        <f t="shared" si="304"/>
        <v>0</v>
      </c>
      <c r="N1936" s="11">
        <f t="shared" si="305"/>
        <v>0</v>
      </c>
      <c r="O1936" s="11">
        <f t="shared" si="306"/>
        <v>0</v>
      </c>
      <c r="P1936" s="12">
        <f t="shared" si="307"/>
        <v>0</v>
      </c>
      <c r="Q1936" s="17" t="str">
        <f t="shared" si="309"/>
        <v>Pas d'écart</v>
      </c>
    </row>
    <row r="1937" spans="1:18" x14ac:dyDescent="0.3">
      <c r="A1937" s="34" t="str">
        <f>base!J1937</f>
        <v>LM</v>
      </c>
      <c r="B1937" s="34" t="str">
        <f>base!V1937</f>
        <v>75010</v>
      </c>
      <c r="C1937" s="37">
        <v>75</v>
      </c>
      <c r="D1937" s="36">
        <f>base!H1937</f>
        <v>55.14</v>
      </c>
      <c r="E1937" s="44"/>
      <c r="F1937" s="16">
        <f>base!W1937</f>
        <v>0</v>
      </c>
      <c r="G1937" s="11">
        <f t="shared" si="300"/>
        <v>0</v>
      </c>
      <c r="H1937" s="11">
        <f t="shared" si="301"/>
        <v>0</v>
      </c>
      <c r="I1937" s="11">
        <f t="shared" si="302"/>
        <v>0</v>
      </c>
      <c r="J1937" s="12">
        <f t="shared" si="303"/>
        <v>0</v>
      </c>
      <c r="K1937" s="17" t="str">
        <f t="shared" si="308"/>
        <v>Pas d'écart</v>
      </c>
      <c r="L1937" s="16">
        <f>base!X1937</f>
        <v>0</v>
      </c>
      <c r="M1937" s="11">
        <f t="shared" si="304"/>
        <v>0</v>
      </c>
      <c r="N1937" s="11">
        <f t="shared" si="305"/>
        <v>0</v>
      </c>
      <c r="O1937" s="11">
        <f t="shared" si="306"/>
        <v>0</v>
      </c>
      <c r="P1937" s="12">
        <f t="shared" si="307"/>
        <v>0</v>
      </c>
      <c r="Q1937" s="17" t="str">
        <f t="shared" si="309"/>
        <v>Pas d'écart</v>
      </c>
    </row>
    <row r="1938" spans="1:18" x14ac:dyDescent="0.3">
      <c r="A1938" s="34" t="str">
        <f>base!J1938</f>
        <v>LS</v>
      </c>
      <c r="B1938" s="34" t="str">
        <f>base!V1938</f>
        <v>80440</v>
      </c>
      <c r="C1938" s="37">
        <v>71</v>
      </c>
      <c r="D1938" s="36">
        <f>base!H1938</f>
        <v>68.39</v>
      </c>
      <c r="E1938" s="44"/>
      <c r="F1938" s="16">
        <f>base!W1938</f>
        <v>12.99</v>
      </c>
      <c r="G1938" s="11">
        <f t="shared" si="300"/>
        <v>0.18994004971487061</v>
      </c>
      <c r="H1938" s="11">
        <f t="shared" si="301"/>
        <v>18.465300000000003</v>
      </c>
      <c r="I1938" s="11">
        <f t="shared" si="302"/>
        <v>0.27</v>
      </c>
      <c r="J1938" s="12">
        <f t="shared" si="303"/>
        <v>-5.4753000000000025</v>
      </c>
      <c r="K1938" s="17" t="str">
        <f t="shared" si="308"/>
        <v>Ecart négatif</v>
      </c>
      <c r="L1938" s="16">
        <f>base!X1938</f>
        <v>0</v>
      </c>
      <c r="M1938" s="11">
        <f t="shared" si="304"/>
        <v>0</v>
      </c>
      <c r="N1938" s="11">
        <f t="shared" si="305"/>
        <v>0</v>
      </c>
      <c r="O1938" s="11">
        <f t="shared" si="306"/>
        <v>0</v>
      </c>
      <c r="P1938" s="12">
        <f t="shared" si="307"/>
        <v>0</v>
      </c>
      <c r="Q1938" s="17" t="str">
        <f t="shared" si="309"/>
        <v>Pas d'écart</v>
      </c>
    </row>
    <row r="1939" spans="1:18" x14ac:dyDescent="0.3">
      <c r="A1939" s="34" t="str">
        <f>base!J1939</f>
        <v>LS</v>
      </c>
      <c r="B1939" s="34" t="str">
        <f>base!V1939</f>
        <v>50400</v>
      </c>
      <c r="C1939" s="37">
        <v>35</v>
      </c>
      <c r="D1939" s="36">
        <f>base!H1939</f>
        <v>46.6</v>
      </c>
      <c r="E1939" s="44"/>
      <c r="F1939" s="16">
        <f>base!W1939</f>
        <v>7.92</v>
      </c>
      <c r="G1939" s="11">
        <f t="shared" si="300"/>
        <v>0.16995708154506436</v>
      </c>
      <c r="H1939" s="11">
        <f t="shared" si="301"/>
        <v>12.582000000000001</v>
      </c>
      <c r="I1939" s="11">
        <f t="shared" si="302"/>
        <v>0.27</v>
      </c>
      <c r="J1939" s="12">
        <f t="shared" si="303"/>
        <v>-4.6620000000000008</v>
      </c>
      <c r="K1939" s="17" t="str">
        <f t="shared" si="308"/>
        <v>Ecart négatif</v>
      </c>
      <c r="L1939" s="16">
        <f>base!X1939</f>
        <v>0</v>
      </c>
      <c r="M1939" s="11">
        <f t="shared" si="304"/>
        <v>0</v>
      </c>
      <c r="N1939" s="11">
        <f t="shared" si="305"/>
        <v>0</v>
      </c>
      <c r="O1939" s="11">
        <f t="shared" si="306"/>
        <v>0</v>
      </c>
      <c r="P1939" s="12">
        <f t="shared" si="307"/>
        <v>0</v>
      </c>
      <c r="Q1939" s="17" t="str">
        <f t="shared" si="309"/>
        <v>Pas d'écart</v>
      </c>
    </row>
    <row r="1940" spans="1:18" x14ac:dyDescent="0.3">
      <c r="A1940" s="34" t="str">
        <f>base!J1940</f>
        <v>RM</v>
      </c>
      <c r="B1940" s="34" t="str">
        <f>base!V1940</f>
        <v>37540</v>
      </c>
      <c r="C1940" s="37">
        <v>37</v>
      </c>
      <c r="D1940" s="36">
        <f>base!H1940</f>
        <v>124</v>
      </c>
      <c r="E1940" s="44"/>
      <c r="F1940" s="16">
        <f>base!W1940</f>
        <v>0</v>
      </c>
      <c r="G1940" s="11">
        <f t="shared" si="300"/>
        <v>0</v>
      </c>
      <c r="H1940" s="11">
        <f t="shared" si="301"/>
        <v>23.56</v>
      </c>
      <c r="I1940" s="11">
        <f t="shared" si="302"/>
        <v>0.19</v>
      </c>
      <c r="J1940" s="12">
        <f t="shared" si="303"/>
        <v>-23.56</v>
      </c>
      <c r="K1940" s="17" t="str">
        <f t="shared" si="308"/>
        <v>Ecart négatif</v>
      </c>
      <c r="L1940" s="16">
        <f>base!X1940</f>
        <v>0</v>
      </c>
      <c r="M1940" s="11">
        <f t="shared" si="304"/>
        <v>0</v>
      </c>
      <c r="N1940" s="11">
        <f t="shared" si="305"/>
        <v>14.879999999999999</v>
      </c>
      <c r="O1940" s="11">
        <f t="shared" si="306"/>
        <v>0.12</v>
      </c>
      <c r="P1940" s="12">
        <f t="shared" si="307"/>
        <v>-14.879999999999999</v>
      </c>
      <c r="Q1940" s="17" t="str">
        <f t="shared" si="309"/>
        <v>Ecart négatif</v>
      </c>
    </row>
    <row r="1941" spans="1:18" x14ac:dyDescent="0.3">
      <c r="A1941" s="34">
        <f>base!J1941</f>
        <v>0</v>
      </c>
      <c r="B1941" s="34" t="str">
        <f>base!V1941</f>
        <v>44240</v>
      </c>
      <c r="C1941" s="37">
        <v>44</v>
      </c>
      <c r="D1941" s="36">
        <f>base!H1941</f>
        <v>60</v>
      </c>
      <c r="E1941" s="44"/>
      <c r="F1941" s="16">
        <f>base!W1941</f>
        <v>0</v>
      </c>
      <c r="G1941" s="11">
        <f t="shared" si="300"/>
        <v>0</v>
      </c>
      <c r="H1941" s="11">
        <f t="shared" si="301"/>
        <v>16.200000000000003</v>
      </c>
      <c r="I1941" s="11">
        <f t="shared" si="302"/>
        <v>0.27000000000000007</v>
      </c>
      <c r="J1941" s="12">
        <f t="shared" si="303"/>
        <v>-16.200000000000003</v>
      </c>
      <c r="K1941" s="17" t="str">
        <f t="shared" si="308"/>
        <v>Ecart négatif</v>
      </c>
      <c r="L1941" s="16">
        <f>base!X1941</f>
        <v>0</v>
      </c>
      <c r="M1941" s="11">
        <f t="shared" si="304"/>
        <v>0</v>
      </c>
      <c r="N1941" s="11">
        <f t="shared" si="305"/>
        <v>0</v>
      </c>
      <c r="O1941" s="11">
        <f t="shared" si="306"/>
        <v>0</v>
      </c>
      <c r="P1941" s="12">
        <f t="shared" si="307"/>
        <v>0</v>
      </c>
      <c r="Q1941" s="17" t="str">
        <f t="shared" si="309"/>
        <v>Pas d'écart</v>
      </c>
    </row>
    <row r="1942" spans="1:18" x14ac:dyDescent="0.3">
      <c r="A1942" s="34" t="str">
        <f>base!J1942</f>
        <v>RS</v>
      </c>
      <c r="B1942" s="34" t="str">
        <f>base!V1942</f>
        <v>44000</v>
      </c>
      <c r="C1942" s="37">
        <v>44</v>
      </c>
      <c r="D1942" s="36">
        <f>base!H1942</f>
        <v>241.52</v>
      </c>
      <c r="E1942" s="44"/>
      <c r="F1942" s="16">
        <f>base!W1942</f>
        <v>0</v>
      </c>
      <c r="G1942" s="11">
        <f t="shared" si="300"/>
        <v>0</v>
      </c>
      <c r="H1942" s="11">
        <f t="shared" si="301"/>
        <v>65.210400000000007</v>
      </c>
      <c r="I1942" s="11">
        <f t="shared" si="302"/>
        <v>0.27</v>
      </c>
      <c r="J1942" s="12">
        <f t="shared" si="303"/>
        <v>-65.210400000000007</v>
      </c>
      <c r="K1942" s="17" t="str">
        <f t="shared" si="308"/>
        <v>Ecart négatif</v>
      </c>
      <c r="L1942" s="16">
        <f>base!X1942</f>
        <v>0</v>
      </c>
      <c r="M1942" s="11">
        <f t="shared" si="304"/>
        <v>0</v>
      </c>
      <c r="N1942" s="11">
        <f t="shared" si="305"/>
        <v>0</v>
      </c>
      <c r="O1942" s="11">
        <f t="shared" si="306"/>
        <v>0</v>
      </c>
      <c r="P1942" s="12">
        <f t="shared" si="307"/>
        <v>0</v>
      </c>
      <c r="Q1942" s="17" t="str">
        <f t="shared" si="309"/>
        <v>Pas d'écart</v>
      </c>
    </row>
    <row r="1943" spans="1:18" x14ac:dyDescent="0.3">
      <c r="A1943" s="34" t="str">
        <f>base!J1943</f>
        <v>LS</v>
      </c>
      <c r="B1943" s="34" t="str">
        <f>base!V1943</f>
        <v>76133</v>
      </c>
      <c r="C1943" s="37">
        <v>76</v>
      </c>
      <c r="D1943" s="36">
        <f>base!H1943</f>
        <v>180</v>
      </c>
      <c r="E1943" s="44"/>
      <c r="F1943" s="16">
        <f>base!W1943</f>
        <v>30.6</v>
      </c>
      <c r="G1943" s="11">
        <f t="shared" si="300"/>
        <v>0.17</v>
      </c>
      <c r="H1943" s="11">
        <f t="shared" si="301"/>
        <v>30.6</v>
      </c>
      <c r="I1943" s="11">
        <f t="shared" si="302"/>
        <v>0.17</v>
      </c>
      <c r="J1943" s="12">
        <f t="shared" si="303"/>
        <v>0</v>
      </c>
      <c r="K1943" s="17" t="str">
        <f t="shared" si="308"/>
        <v>Pas d'écart</v>
      </c>
      <c r="L1943" s="16">
        <f>base!X1943</f>
        <v>0</v>
      </c>
      <c r="M1943" s="11">
        <f t="shared" si="304"/>
        <v>0</v>
      </c>
      <c r="N1943" s="11">
        <f t="shared" si="305"/>
        <v>30.6</v>
      </c>
      <c r="O1943" s="11">
        <f t="shared" si="306"/>
        <v>0.17</v>
      </c>
      <c r="P1943" s="12">
        <f t="shared" si="307"/>
        <v>-30.6</v>
      </c>
      <c r="Q1943" s="17" t="str">
        <f t="shared" si="309"/>
        <v>Ecart négatif</v>
      </c>
    </row>
    <row r="1944" spans="1:18" x14ac:dyDescent="0.3">
      <c r="A1944" s="34" t="str">
        <f>base!J1944</f>
        <v>RM</v>
      </c>
      <c r="B1944" s="34" t="str">
        <f>base!V1944</f>
        <v>69120</v>
      </c>
      <c r="C1944" s="37">
        <v>69</v>
      </c>
      <c r="D1944" s="36">
        <f>base!H1944</f>
        <v>36.89</v>
      </c>
      <c r="E1944" s="44"/>
      <c r="F1944" s="16">
        <f>base!W1944</f>
        <v>0</v>
      </c>
      <c r="G1944" s="11">
        <f t="shared" si="300"/>
        <v>0</v>
      </c>
      <c r="H1944" s="11">
        <f t="shared" si="301"/>
        <v>9.9603000000000002</v>
      </c>
      <c r="I1944" s="11">
        <f t="shared" si="302"/>
        <v>0.27</v>
      </c>
      <c r="J1944" s="12">
        <f t="shared" si="303"/>
        <v>-9.9603000000000002</v>
      </c>
      <c r="K1944" s="17" t="str">
        <f t="shared" si="308"/>
        <v>Ecart négatif</v>
      </c>
      <c r="L1944" s="16">
        <f>base!X1944</f>
        <v>0</v>
      </c>
      <c r="M1944" s="11">
        <f t="shared" si="304"/>
        <v>0</v>
      </c>
      <c r="N1944" s="11">
        <f t="shared" si="305"/>
        <v>0</v>
      </c>
      <c r="O1944" s="11">
        <f t="shared" si="306"/>
        <v>0</v>
      </c>
      <c r="P1944" s="12">
        <f t="shared" si="307"/>
        <v>0</v>
      </c>
      <c r="Q1944" s="17" t="str">
        <f t="shared" si="309"/>
        <v>Pas d'écart</v>
      </c>
    </row>
    <row r="1945" spans="1:18" x14ac:dyDescent="0.3">
      <c r="A1945" s="34" t="str">
        <f>base!J1945</f>
        <v>RM</v>
      </c>
      <c r="B1945" s="34" t="str">
        <f>base!V1945</f>
        <v>68120</v>
      </c>
      <c r="C1945" s="37">
        <v>68</v>
      </c>
      <c r="D1945" s="36">
        <f>base!H1945</f>
        <v>84.5</v>
      </c>
      <c r="E1945" s="44"/>
      <c r="F1945" s="16">
        <f>base!W1945</f>
        <v>0</v>
      </c>
      <c r="G1945" s="11">
        <f t="shared" si="300"/>
        <v>0</v>
      </c>
      <c r="H1945" s="11">
        <f t="shared" si="301"/>
        <v>24.504999999999999</v>
      </c>
      <c r="I1945" s="11">
        <f t="shared" si="302"/>
        <v>0.28999999999999998</v>
      </c>
      <c r="J1945" s="12">
        <f t="shared" si="303"/>
        <v>-24.504999999999999</v>
      </c>
      <c r="K1945" s="17" t="str">
        <f t="shared" si="308"/>
        <v>Ecart négatif</v>
      </c>
      <c r="L1945" s="16">
        <f>base!X1945</f>
        <v>6.76</v>
      </c>
      <c r="M1945" s="11">
        <f t="shared" si="304"/>
        <v>0.08</v>
      </c>
      <c r="N1945" s="11">
        <f t="shared" si="305"/>
        <v>6.76</v>
      </c>
      <c r="O1945" s="11">
        <f t="shared" si="306"/>
        <v>0.08</v>
      </c>
      <c r="P1945" s="12">
        <f t="shared" si="307"/>
        <v>0</v>
      </c>
      <c r="Q1945" s="17" t="str">
        <f t="shared" si="309"/>
        <v>Pas d'écart</v>
      </c>
      <c r="R1945" s="38"/>
    </row>
    <row r="1946" spans="1:18" x14ac:dyDescent="0.3">
      <c r="A1946" s="34" t="str">
        <f>base!J1946</f>
        <v>RM</v>
      </c>
      <c r="B1946" s="34" t="str">
        <f>base!V1946</f>
        <v>50260</v>
      </c>
      <c r="C1946" s="37">
        <v>50</v>
      </c>
      <c r="D1946" s="36">
        <f>base!H1946</f>
        <v>91.3</v>
      </c>
      <c r="E1946" s="44"/>
      <c r="F1946" s="16">
        <f>base!W1946</f>
        <v>0</v>
      </c>
      <c r="G1946" s="11">
        <f t="shared" si="300"/>
        <v>0</v>
      </c>
      <c r="H1946" s="11">
        <f t="shared" si="301"/>
        <v>15.521000000000001</v>
      </c>
      <c r="I1946" s="11">
        <f t="shared" si="302"/>
        <v>0.17</v>
      </c>
      <c r="J1946" s="12">
        <f t="shared" si="303"/>
        <v>-15.521000000000001</v>
      </c>
      <c r="K1946" s="17" t="str">
        <f t="shared" si="308"/>
        <v>Ecart négatif</v>
      </c>
      <c r="L1946" s="16">
        <f>base!X1946</f>
        <v>15.52</v>
      </c>
      <c r="M1946" s="11">
        <f t="shared" si="304"/>
        <v>0.16998904709748083</v>
      </c>
      <c r="N1946" s="11">
        <f t="shared" si="305"/>
        <v>15.521000000000001</v>
      </c>
      <c r="O1946" s="11">
        <f t="shared" si="306"/>
        <v>0.17</v>
      </c>
      <c r="P1946" s="12">
        <f t="shared" si="307"/>
        <v>-1.0000000000012221E-3</v>
      </c>
      <c r="Q1946" s="17" t="str">
        <f t="shared" si="309"/>
        <v>Ecart négatif</v>
      </c>
      <c r="R1946" s="38"/>
    </row>
    <row r="1947" spans="1:18" x14ac:dyDescent="0.3">
      <c r="A1947" s="34" t="str">
        <f>base!J1947</f>
        <v>LM</v>
      </c>
      <c r="B1947" s="34" t="str">
        <f>base!V1947</f>
        <v>69124</v>
      </c>
      <c r="C1947" s="37">
        <v>35</v>
      </c>
      <c r="D1947" s="36">
        <f>base!H1947</f>
        <v>199.39</v>
      </c>
      <c r="E1947" s="44"/>
      <c r="F1947" s="16">
        <f>base!W1947</f>
        <v>53.84</v>
      </c>
      <c r="G1947" s="11">
        <f t="shared" si="300"/>
        <v>0.27002357189427756</v>
      </c>
      <c r="H1947" s="11">
        <f t="shared" si="301"/>
        <v>53.835299999999997</v>
      </c>
      <c r="I1947" s="11">
        <f t="shared" si="302"/>
        <v>0.27</v>
      </c>
      <c r="J1947" s="12">
        <f t="shared" si="303"/>
        <v>4.7000000000068098E-3</v>
      </c>
      <c r="K1947" s="17" t="str">
        <f t="shared" si="308"/>
        <v>Ecart positif</v>
      </c>
      <c r="L1947" s="16">
        <f>base!X1947</f>
        <v>0</v>
      </c>
      <c r="M1947" s="11">
        <f t="shared" si="304"/>
        <v>0</v>
      </c>
      <c r="N1947" s="11">
        <f t="shared" si="305"/>
        <v>0</v>
      </c>
      <c r="O1947" s="11">
        <f t="shared" si="306"/>
        <v>0</v>
      </c>
      <c r="P1947" s="12">
        <f t="shared" si="307"/>
        <v>0</v>
      </c>
      <c r="Q1947" s="17" t="str">
        <f t="shared" si="309"/>
        <v>Pas d'écart</v>
      </c>
    </row>
    <row r="1948" spans="1:18" x14ac:dyDescent="0.3">
      <c r="A1948" s="34" t="str">
        <f>base!J1948</f>
        <v>LM</v>
      </c>
      <c r="B1948" s="34" t="str">
        <f>base!V1948</f>
        <v>68120</v>
      </c>
      <c r="C1948" s="37">
        <v>79</v>
      </c>
      <c r="D1948" s="36">
        <f>base!H1948</f>
        <v>190.8</v>
      </c>
      <c r="E1948" s="44"/>
      <c r="F1948" s="16">
        <f>base!W1948</f>
        <v>55.33</v>
      </c>
      <c r="G1948" s="11">
        <f t="shared" si="300"/>
        <v>0.2899895178197065</v>
      </c>
      <c r="H1948" s="11">
        <f t="shared" si="301"/>
        <v>40.067999999999998</v>
      </c>
      <c r="I1948" s="11">
        <f t="shared" si="302"/>
        <v>0.20999999999999996</v>
      </c>
      <c r="J1948" s="12">
        <f t="shared" si="303"/>
        <v>15.262</v>
      </c>
      <c r="K1948" s="17" t="str">
        <f t="shared" si="308"/>
        <v>Ecart positif</v>
      </c>
      <c r="L1948" s="16">
        <f>base!X1948</f>
        <v>0</v>
      </c>
      <c r="M1948" s="11">
        <f t="shared" si="304"/>
        <v>0</v>
      </c>
      <c r="N1948" s="11">
        <f t="shared" si="305"/>
        <v>22.896000000000001</v>
      </c>
      <c r="O1948" s="11">
        <f t="shared" si="306"/>
        <v>0.12</v>
      </c>
      <c r="P1948" s="12">
        <f t="shared" si="307"/>
        <v>-22.896000000000001</v>
      </c>
      <c r="Q1948" s="17" t="str">
        <f t="shared" si="309"/>
        <v>Ecart négatif</v>
      </c>
    </row>
    <row r="1949" spans="1:18" x14ac:dyDescent="0.3">
      <c r="A1949" s="34" t="str">
        <f>base!J1949</f>
        <v>LS</v>
      </c>
      <c r="B1949" s="34" t="str">
        <f>base!V1949</f>
        <v>57930</v>
      </c>
      <c r="C1949" s="37">
        <v>42</v>
      </c>
      <c r="D1949" s="36">
        <f>base!H1949</f>
        <v>80.16</v>
      </c>
      <c r="E1949" s="44"/>
      <c r="F1949" s="16">
        <f>base!W1949</f>
        <v>20.04</v>
      </c>
      <c r="G1949" s="11">
        <f t="shared" si="300"/>
        <v>0.25</v>
      </c>
      <c r="H1949" s="11">
        <f t="shared" si="301"/>
        <v>20.8416</v>
      </c>
      <c r="I1949" s="11">
        <f t="shared" si="302"/>
        <v>0.26</v>
      </c>
      <c r="J1949" s="12">
        <f t="shared" si="303"/>
        <v>-0.80160000000000053</v>
      </c>
      <c r="K1949" s="17" t="str">
        <f t="shared" si="308"/>
        <v>Ecart négatif</v>
      </c>
      <c r="L1949" s="16">
        <f>base!X1949</f>
        <v>0</v>
      </c>
      <c r="M1949" s="11">
        <f t="shared" si="304"/>
        <v>0</v>
      </c>
      <c r="N1949" s="11">
        <f t="shared" si="305"/>
        <v>0</v>
      </c>
      <c r="O1949" s="11">
        <f t="shared" si="306"/>
        <v>0</v>
      </c>
      <c r="P1949" s="12">
        <f t="shared" si="307"/>
        <v>0</v>
      </c>
      <c r="Q1949" s="17" t="str">
        <f t="shared" si="309"/>
        <v>Pas d'écart</v>
      </c>
    </row>
    <row r="1950" spans="1:18" x14ac:dyDescent="0.3">
      <c r="A1950" s="34" t="str">
        <f>base!J1950</f>
        <v>LS</v>
      </c>
      <c r="B1950" s="34" t="str">
        <f>base!V1950</f>
        <v>51190</v>
      </c>
      <c r="C1950" s="37">
        <v>26</v>
      </c>
      <c r="D1950" s="36">
        <f>base!H1950</f>
        <v>120.29</v>
      </c>
      <c r="E1950" s="44"/>
      <c r="F1950" s="16">
        <f>base!W1950</f>
        <v>30.07</v>
      </c>
      <c r="G1950" s="11">
        <f t="shared" si="300"/>
        <v>0.24997921689250976</v>
      </c>
      <c r="H1950" s="11">
        <f t="shared" si="301"/>
        <v>32.478300000000004</v>
      </c>
      <c r="I1950" s="11">
        <f t="shared" si="302"/>
        <v>0.27</v>
      </c>
      <c r="J1950" s="12">
        <f t="shared" si="303"/>
        <v>-2.4083000000000041</v>
      </c>
      <c r="K1950" s="17" t="str">
        <f t="shared" si="308"/>
        <v>Ecart négatif</v>
      </c>
      <c r="L1950" s="16">
        <f>base!X1950</f>
        <v>0</v>
      </c>
      <c r="M1950" s="11">
        <f t="shared" si="304"/>
        <v>0</v>
      </c>
      <c r="N1950" s="11">
        <f t="shared" si="305"/>
        <v>0</v>
      </c>
      <c r="O1950" s="11">
        <f t="shared" si="306"/>
        <v>0</v>
      </c>
      <c r="P1950" s="12">
        <f t="shared" si="307"/>
        <v>0</v>
      </c>
      <c r="Q1950" s="17" t="str">
        <f t="shared" si="309"/>
        <v>Pas d'écart</v>
      </c>
    </row>
    <row r="1951" spans="1:18" x14ac:dyDescent="0.3">
      <c r="A1951" s="34" t="str">
        <f>base!J1951</f>
        <v>LS</v>
      </c>
      <c r="B1951" s="34" t="str">
        <f>base!V1951</f>
        <v>60680</v>
      </c>
      <c r="C1951" s="37">
        <v>26</v>
      </c>
      <c r="D1951" s="36">
        <f>base!H1951</f>
        <v>75.260000000000005</v>
      </c>
      <c r="E1951" s="44"/>
      <c r="F1951" s="16">
        <f>base!W1951</f>
        <v>0</v>
      </c>
      <c r="G1951" s="11">
        <f t="shared" si="300"/>
        <v>0</v>
      </c>
      <c r="H1951" s="11">
        <f t="shared" si="301"/>
        <v>20.320200000000003</v>
      </c>
      <c r="I1951" s="11">
        <f t="shared" si="302"/>
        <v>0.27</v>
      </c>
      <c r="J1951" s="12">
        <f t="shared" si="303"/>
        <v>-20.320200000000003</v>
      </c>
      <c r="K1951" s="17" t="str">
        <f t="shared" si="308"/>
        <v>Ecart négatif</v>
      </c>
      <c r="L1951" s="16">
        <f>base!X1951</f>
        <v>0</v>
      </c>
      <c r="M1951" s="11">
        <f t="shared" si="304"/>
        <v>0</v>
      </c>
      <c r="N1951" s="11">
        <f t="shared" si="305"/>
        <v>0</v>
      </c>
      <c r="O1951" s="11">
        <f t="shared" si="306"/>
        <v>0</v>
      </c>
      <c r="P1951" s="12">
        <f t="shared" si="307"/>
        <v>0</v>
      </c>
      <c r="Q1951" s="17" t="str">
        <f t="shared" si="309"/>
        <v>Pas d'écart</v>
      </c>
    </row>
    <row r="1952" spans="1:18" x14ac:dyDescent="0.3">
      <c r="A1952" s="34" t="str">
        <f>base!J1952</f>
        <v>LM</v>
      </c>
      <c r="B1952" s="34" t="str">
        <f>base!V1952</f>
        <v>27091</v>
      </c>
      <c r="C1952" s="37">
        <v>71</v>
      </c>
      <c r="D1952" s="36">
        <f>base!H1952</f>
        <v>155.37</v>
      </c>
      <c r="E1952" s="44"/>
      <c r="F1952" s="16">
        <f>base!W1952</f>
        <v>26.41</v>
      </c>
      <c r="G1952" s="11">
        <f t="shared" si="300"/>
        <v>0.16998133487803307</v>
      </c>
      <c r="H1952" s="11">
        <f t="shared" si="301"/>
        <v>41.949900000000007</v>
      </c>
      <c r="I1952" s="11">
        <f t="shared" si="302"/>
        <v>0.27</v>
      </c>
      <c r="J1952" s="12">
        <f t="shared" si="303"/>
        <v>-15.539900000000006</v>
      </c>
      <c r="K1952" s="17" t="str">
        <f t="shared" si="308"/>
        <v>Ecart négatif</v>
      </c>
      <c r="L1952" s="16">
        <f>base!X1952</f>
        <v>0</v>
      </c>
      <c r="M1952" s="11">
        <f t="shared" si="304"/>
        <v>0</v>
      </c>
      <c r="N1952" s="11">
        <f t="shared" si="305"/>
        <v>0</v>
      </c>
      <c r="O1952" s="11">
        <f t="shared" si="306"/>
        <v>0</v>
      </c>
      <c r="P1952" s="12">
        <f t="shared" si="307"/>
        <v>0</v>
      </c>
      <c r="Q1952" s="17" t="str">
        <f t="shared" si="309"/>
        <v>Pas d'écart</v>
      </c>
    </row>
    <row r="1953" spans="1:18" x14ac:dyDescent="0.3">
      <c r="A1953" s="34" t="str">
        <f>base!J1953</f>
        <v>LM</v>
      </c>
      <c r="B1953" s="34" t="str">
        <f>base!V1953</f>
        <v>35470</v>
      </c>
      <c r="C1953" s="37">
        <v>73</v>
      </c>
      <c r="D1953" s="36">
        <f>base!H1953</f>
        <v>213.9</v>
      </c>
      <c r="E1953" s="44"/>
      <c r="F1953" s="16">
        <f>base!W1953</f>
        <v>57.75</v>
      </c>
      <c r="G1953" s="11">
        <f t="shared" si="300"/>
        <v>0.26998597475455821</v>
      </c>
      <c r="H1953" s="11">
        <f t="shared" si="301"/>
        <v>57.753000000000007</v>
      </c>
      <c r="I1953" s="11">
        <f t="shared" si="302"/>
        <v>0.27</v>
      </c>
      <c r="J1953" s="12">
        <f t="shared" si="303"/>
        <v>-3.0000000000072191E-3</v>
      </c>
      <c r="K1953" s="17" t="str">
        <f t="shared" si="308"/>
        <v>Ecart négatif</v>
      </c>
      <c r="L1953" s="16">
        <f>base!X1953</f>
        <v>0</v>
      </c>
      <c r="M1953" s="11">
        <f t="shared" si="304"/>
        <v>0</v>
      </c>
      <c r="N1953" s="11">
        <f t="shared" si="305"/>
        <v>0</v>
      </c>
      <c r="O1953" s="11">
        <f t="shared" si="306"/>
        <v>0</v>
      </c>
      <c r="P1953" s="12">
        <f t="shared" si="307"/>
        <v>0</v>
      </c>
      <c r="Q1953" s="17" t="str">
        <f t="shared" si="309"/>
        <v>Pas d'écart</v>
      </c>
    </row>
    <row r="1954" spans="1:18" x14ac:dyDescent="0.3">
      <c r="A1954" s="34" t="str">
        <f>base!J1954</f>
        <v>RS</v>
      </c>
      <c r="B1954" s="34" t="str">
        <f>base!V1954</f>
        <v>92350</v>
      </c>
      <c r="C1954" s="37">
        <v>92</v>
      </c>
      <c r="D1954" s="36">
        <f>base!H1954</f>
        <v>180</v>
      </c>
      <c r="E1954" s="44"/>
      <c r="F1954" s="16">
        <f>base!W1954</f>
        <v>0</v>
      </c>
      <c r="G1954" s="11">
        <f t="shared" si="300"/>
        <v>0</v>
      </c>
      <c r="H1954" s="11">
        <f t="shared" si="301"/>
        <v>0</v>
      </c>
      <c r="I1954" s="11">
        <f t="shared" si="302"/>
        <v>0</v>
      </c>
      <c r="J1954" s="12">
        <f t="shared" si="303"/>
        <v>0</v>
      </c>
      <c r="K1954" s="17" t="str">
        <f t="shared" si="308"/>
        <v>Pas d'écart</v>
      </c>
      <c r="L1954" s="16">
        <f>base!X1954</f>
        <v>0</v>
      </c>
      <c r="M1954" s="11">
        <f t="shared" si="304"/>
        <v>0</v>
      </c>
      <c r="N1954" s="11">
        <f t="shared" si="305"/>
        <v>0</v>
      </c>
      <c r="O1954" s="11">
        <f t="shared" si="306"/>
        <v>0</v>
      </c>
      <c r="P1954" s="12">
        <f t="shared" si="307"/>
        <v>0</v>
      </c>
      <c r="Q1954" s="17" t="str">
        <f t="shared" si="309"/>
        <v>Pas d'écart</v>
      </c>
    </row>
    <row r="1955" spans="1:18" x14ac:dyDescent="0.3">
      <c r="A1955" s="34">
        <f>base!J1955</f>
        <v>0</v>
      </c>
      <c r="B1955" s="34" t="str">
        <f>base!V1955</f>
        <v>77184</v>
      </c>
      <c r="C1955" s="37">
        <v>77</v>
      </c>
      <c r="D1955" s="36">
        <f>base!H1955</f>
        <v>171</v>
      </c>
      <c r="E1955" s="44"/>
      <c r="F1955" s="16">
        <f>base!W1955</f>
        <v>0</v>
      </c>
      <c r="G1955" s="11">
        <f t="shared" si="300"/>
        <v>0</v>
      </c>
      <c r="H1955" s="11">
        <f t="shared" si="301"/>
        <v>0</v>
      </c>
      <c r="I1955" s="11">
        <f t="shared" si="302"/>
        <v>0</v>
      </c>
      <c r="J1955" s="12">
        <f t="shared" si="303"/>
        <v>0</v>
      </c>
      <c r="K1955" s="17" t="str">
        <f t="shared" si="308"/>
        <v>Pas d'écart</v>
      </c>
      <c r="L1955" s="16">
        <f>base!X1955</f>
        <v>0</v>
      </c>
      <c r="M1955" s="11">
        <f t="shared" si="304"/>
        <v>0</v>
      </c>
      <c r="N1955" s="11">
        <f t="shared" si="305"/>
        <v>0</v>
      </c>
      <c r="O1955" s="11">
        <f t="shared" si="306"/>
        <v>0</v>
      </c>
      <c r="P1955" s="12">
        <f t="shared" si="307"/>
        <v>0</v>
      </c>
      <c r="Q1955" s="17" t="str">
        <f t="shared" si="309"/>
        <v>Pas d'écart</v>
      </c>
    </row>
    <row r="1956" spans="1:18" x14ac:dyDescent="0.3">
      <c r="A1956" s="34" t="str">
        <f>base!J1956</f>
        <v>LM</v>
      </c>
      <c r="B1956" s="34" t="str">
        <f>base!V1956</f>
        <v>60300</v>
      </c>
      <c r="C1956" s="37">
        <v>26</v>
      </c>
      <c r="D1956" s="36">
        <f>base!H1956</f>
        <v>25.8</v>
      </c>
      <c r="E1956" s="44"/>
      <c r="F1956" s="16">
        <f>base!W1956</f>
        <v>4.9000000000000004</v>
      </c>
      <c r="G1956" s="11">
        <f t="shared" si="300"/>
        <v>0.18992248062015504</v>
      </c>
      <c r="H1956" s="11">
        <f t="shared" si="301"/>
        <v>6.9660000000000011</v>
      </c>
      <c r="I1956" s="11">
        <f t="shared" si="302"/>
        <v>0.27</v>
      </c>
      <c r="J1956" s="12">
        <f t="shared" si="303"/>
        <v>-2.0660000000000007</v>
      </c>
      <c r="K1956" s="17" t="str">
        <f t="shared" si="308"/>
        <v>Ecart négatif</v>
      </c>
      <c r="L1956" s="16">
        <f>base!X1956</f>
        <v>0</v>
      </c>
      <c r="M1956" s="11">
        <f t="shared" si="304"/>
        <v>0</v>
      </c>
      <c r="N1956" s="11">
        <f t="shared" si="305"/>
        <v>0</v>
      </c>
      <c r="O1956" s="11">
        <f t="shared" si="306"/>
        <v>0</v>
      </c>
      <c r="P1956" s="12">
        <f t="shared" si="307"/>
        <v>0</v>
      </c>
      <c r="Q1956" s="17" t="str">
        <f t="shared" si="309"/>
        <v>Pas d'écart</v>
      </c>
    </row>
    <row r="1957" spans="1:18" x14ac:dyDescent="0.3">
      <c r="A1957" s="34" t="str">
        <f>base!J1957</f>
        <v>LS</v>
      </c>
      <c r="B1957" s="34" t="str">
        <f>base!V1957</f>
        <v>39700</v>
      </c>
      <c r="C1957" s="37">
        <v>35</v>
      </c>
      <c r="D1957" s="36">
        <f>base!H1957</f>
        <v>19.8</v>
      </c>
      <c r="E1957" s="44"/>
      <c r="F1957" s="16">
        <f>base!W1957</f>
        <v>5.35</v>
      </c>
      <c r="G1957" s="11">
        <f t="shared" si="300"/>
        <v>0.27020202020202017</v>
      </c>
      <c r="H1957" s="11">
        <f t="shared" si="301"/>
        <v>5.346000000000001</v>
      </c>
      <c r="I1957" s="11">
        <f t="shared" si="302"/>
        <v>0.27</v>
      </c>
      <c r="J1957" s="12">
        <f t="shared" si="303"/>
        <v>3.9999999999986713E-3</v>
      </c>
      <c r="K1957" s="17" t="str">
        <f t="shared" si="308"/>
        <v>Ecart positif</v>
      </c>
      <c r="L1957" s="16">
        <f>base!X1957</f>
        <v>0</v>
      </c>
      <c r="M1957" s="11">
        <f t="shared" si="304"/>
        <v>0</v>
      </c>
      <c r="N1957" s="11">
        <f t="shared" si="305"/>
        <v>0</v>
      </c>
      <c r="O1957" s="11">
        <f t="shared" si="306"/>
        <v>0</v>
      </c>
      <c r="P1957" s="12">
        <f t="shared" si="307"/>
        <v>0</v>
      </c>
      <c r="Q1957" s="17" t="str">
        <f t="shared" si="309"/>
        <v>Pas d'écart</v>
      </c>
    </row>
    <row r="1958" spans="1:18" x14ac:dyDescent="0.3">
      <c r="A1958" s="34" t="str">
        <f>base!J1958</f>
        <v>LS</v>
      </c>
      <c r="B1958" s="34" t="str">
        <f>base!V1958</f>
        <v>74300</v>
      </c>
      <c r="C1958" s="37">
        <v>42</v>
      </c>
      <c r="D1958" s="36">
        <f>base!H1958</f>
        <v>55.14</v>
      </c>
      <c r="E1958" s="44"/>
      <c r="F1958" s="16">
        <f>base!W1958</f>
        <v>14.89</v>
      </c>
      <c r="G1958" s="11">
        <f t="shared" si="300"/>
        <v>0.27003989844033371</v>
      </c>
      <c r="H1958" s="11">
        <f t="shared" si="301"/>
        <v>14.336400000000001</v>
      </c>
      <c r="I1958" s="11">
        <f t="shared" si="302"/>
        <v>0.26</v>
      </c>
      <c r="J1958" s="12">
        <f t="shared" si="303"/>
        <v>0.55359999999999943</v>
      </c>
      <c r="K1958" s="17" t="str">
        <f t="shared" si="308"/>
        <v>Ecart positif</v>
      </c>
      <c r="L1958" s="16">
        <f>base!X1958</f>
        <v>0</v>
      </c>
      <c r="M1958" s="11">
        <f t="shared" si="304"/>
        <v>0</v>
      </c>
      <c r="N1958" s="11">
        <f t="shared" si="305"/>
        <v>0</v>
      </c>
      <c r="O1958" s="11">
        <f t="shared" si="306"/>
        <v>0</v>
      </c>
      <c r="P1958" s="12">
        <f t="shared" si="307"/>
        <v>0</v>
      </c>
      <c r="Q1958" s="17" t="str">
        <f t="shared" si="309"/>
        <v>Pas d'écart</v>
      </c>
    </row>
    <row r="1959" spans="1:18" x14ac:dyDescent="0.3">
      <c r="A1959" s="34" t="str">
        <f>base!J1959</f>
        <v>RM</v>
      </c>
      <c r="B1959" s="34" t="str">
        <f>base!V1959</f>
        <v>44980</v>
      </c>
      <c r="C1959" s="37">
        <v>44</v>
      </c>
      <c r="D1959" s="36">
        <f>base!H1959</f>
        <v>1387.51</v>
      </c>
      <c r="E1959" s="44"/>
      <c r="F1959" s="16">
        <f>base!W1959</f>
        <v>0</v>
      </c>
      <c r="G1959" s="11">
        <f t="shared" si="300"/>
        <v>0</v>
      </c>
      <c r="H1959" s="11">
        <f t="shared" si="301"/>
        <v>374.6277</v>
      </c>
      <c r="I1959" s="11">
        <f t="shared" si="302"/>
        <v>0.27</v>
      </c>
      <c r="J1959" s="12">
        <f t="shared" si="303"/>
        <v>-374.6277</v>
      </c>
      <c r="K1959" s="17" t="str">
        <f t="shared" si="308"/>
        <v>Ecart négatif</v>
      </c>
      <c r="L1959" s="16">
        <f>base!X1959</f>
        <v>374.63</v>
      </c>
      <c r="M1959" s="11">
        <f t="shared" si="304"/>
        <v>0.27000165764571066</v>
      </c>
      <c r="N1959" s="11">
        <f t="shared" si="305"/>
        <v>0</v>
      </c>
      <c r="O1959" s="11">
        <f t="shared" si="306"/>
        <v>0</v>
      </c>
      <c r="P1959" s="12">
        <f t="shared" si="307"/>
        <v>374.63</v>
      </c>
      <c r="Q1959" s="17" t="str">
        <f t="shared" si="309"/>
        <v>Ecart positif</v>
      </c>
      <c r="R1959" s="38"/>
    </row>
    <row r="1960" spans="1:18" x14ac:dyDescent="0.3">
      <c r="A1960" s="34" t="str">
        <f>base!J1960</f>
        <v>RS</v>
      </c>
      <c r="B1960" s="34" t="str">
        <f>base!V1960</f>
        <v>94420</v>
      </c>
      <c r="C1960" s="37">
        <v>94</v>
      </c>
      <c r="D1960" s="36">
        <f>base!H1960</f>
        <v>80.400000000000006</v>
      </c>
      <c r="E1960" s="44"/>
      <c r="F1960" s="16">
        <f>base!W1960</f>
        <v>0</v>
      </c>
      <c r="G1960" s="11">
        <f t="shared" si="300"/>
        <v>0</v>
      </c>
      <c r="H1960" s="11">
        <f t="shared" si="301"/>
        <v>0</v>
      </c>
      <c r="I1960" s="11">
        <f t="shared" si="302"/>
        <v>0</v>
      </c>
      <c r="J1960" s="12">
        <f t="shared" si="303"/>
        <v>0</v>
      </c>
      <c r="K1960" s="17" t="str">
        <f t="shared" si="308"/>
        <v>Pas d'écart</v>
      </c>
      <c r="L1960" s="16">
        <f>base!X1960</f>
        <v>0</v>
      </c>
      <c r="M1960" s="11">
        <f t="shared" si="304"/>
        <v>0</v>
      </c>
      <c r="N1960" s="11">
        <f t="shared" si="305"/>
        <v>0</v>
      </c>
      <c r="O1960" s="11">
        <f t="shared" si="306"/>
        <v>0</v>
      </c>
      <c r="P1960" s="12">
        <f t="shared" si="307"/>
        <v>0</v>
      </c>
      <c r="Q1960" s="17" t="str">
        <f t="shared" si="309"/>
        <v>Pas d'écart</v>
      </c>
    </row>
    <row r="1961" spans="1:18" x14ac:dyDescent="0.3">
      <c r="A1961" s="34" t="str">
        <f>base!J1961</f>
        <v>RS</v>
      </c>
      <c r="B1961" s="34" t="str">
        <f>base!V1961</f>
        <v>75008</v>
      </c>
      <c r="C1961" s="37">
        <v>75</v>
      </c>
      <c r="D1961" s="36">
        <f>base!H1961</f>
        <v>266.73</v>
      </c>
      <c r="E1961" s="44"/>
      <c r="F1961" s="16">
        <f>base!W1961</f>
        <v>0</v>
      </c>
      <c r="G1961" s="11">
        <f t="shared" si="300"/>
        <v>0</v>
      </c>
      <c r="H1961" s="11">
        <f t="shared" si="301"/>
        <v>0</v>
      </c>
      <c r="I1961" s="11">
        <f t="shared" si="302"/>
        <v>0</v>
      </c>
      <c r="J1961" s="12">
        <f t="shared" si="303"/>
        <v>0</v>
      </c>
      <c r="K1961" s="17" t="str">
        <f t="shared" si="308"/>
        <v>Pas d'écart</v>
      </c>
      <c r="L1961" s="16">
        <f>base!X1961</f>
        <v>0</v>
      </c>
      <c r="M1961" s="11">
        <f t="shared" si="304"/>
        <v>0</v>
      </c>
      <c r="N1961" s="11">
        <f t="shared" si="305"/>
        <v>0</v>
      </c>
      <c r="O1961" s="11">
        <f t="shared" si="306"/>
        <v>0</v>
      </c>
      <c r="P1961" s="12">
        <f t="shared" si="307"/>
        <v>0</v>
      </c>
      <c r="Q1961" s="17" t="str">
        <f t="shared" si="309"/>
        <v>Pas d'écart</v>
      </c>
    </row>
    <row r="1962" spans="1:18" x14ac:dyDescent="0.3">
      <c r="A1962" s="34" t="str">
        <f>base!J1962</f>
        <v>RM</v>
      </c>
      <c r="B1962" s="34" t="str">
        <f>base!V1962</f>
        <v>49130</v>
      </c>
      <c r="C1962" s="37">
        <v>49</v>
      </c>
      <c r="D1962" s="36">
        <f>base!H1962</f>
        <v>32</v>
      </c>
      <c r="E1962" s="44"/>
      <c r="F1962" s="16">
        <f>base!W1962</f>
        <v>0</v>
      </c>
      <c r="G1962" s="11">
        <f t="shared" si="300"/>
        <v>0</v>
      </c>
      <c r="H1962" s="11">
        <f t="shared" si="301"/>
        <v>8.64</v>
      </c>
      <c r="I1962" s="11">
        <f t="shared" si="302"/>
        <v>0.27</v>
      </c>
      <c r="J1962" s="12">
        <f t="shared" si="303"/>
        <v>-8.64</v>
      </c>
      <c r="K1962" s="17" t="str">
        <f t="shared" si="308"/>
        <v>Ecart négatif</v>
      </c>
      <c r="L1962" s="16">
        <f>base!X1962</f>
        <v>0</v>
      </c>
      <c r="M1962" s="11">
        <f t="shared" si="304"/>
        <v>0</v>
      </c>
      <c r="N1962" s="11">
        <f t="shared" si="305"/>
        <v>0</v>
      </c>
      <c r="O1962" s="11">
        <f t="shared" si="306"/>
        <v>0</v>
      </c>
      <c r="P1962" s="12">
        <f t="shared" si="307"/>
        <v>0</v>
      </c>
      <c r="Q1962" s="17" t="str">
        <f t="shared" si="309"/>
        <v>Pas d'écart</v>
      </c>
    </row>
    <row r="1963" spans="1:18" x14ac:dyDescent="0.3">
      <c r="A1963" s="34" t="str">
        <f>base!J1963</f>
        <v>LM</v>
      </c>
      <c r="B1963" s="34" t="str">
        <f>base!V1963</f>
        <v>75017</v>
      </c>
      <c r="C1963" s="37">
        <v>75</v>
      </c>
      <c r="D1963" s="36">
        <f>base!H1963</f>
        <v>18.36</v>
      </c>
      <c r="E1963" s="44"/>
      <c r="F1963" s="16">
        <f>base!W1963</f>
        <v>0</v>
      </c>
      <c r="G1963" s="11">
        <f t="shared" si="300"/>
        <v>0</v>
      </c>
      <c r="H1963" s="11">
        <f t="shared" si="301"/>
        <v>0</v>
      </c>
      <c r="I1963" s="11">
        <f t="shared" si="302"/>
        <v>0</v>
      </c>
      <c r="J1963" s="12">
        <f t="shared" si="303"/>
        <v>0</v>
      </c>
      <c r="K1963" s="17" t="str">
        <f t="shared" si="308"/>
        <v>Pas d'écart</v>
      </c>
      <c r="L1963" s="16">
        <f>base!X1963</f>
        <v>0</v>
      </c>
      <c r="M1963" s="11">
        <f t="shared" si="304"/>
        <v>0</v>
      </c>
      <c r="N1963" s="11">
        <f t="shared" si="305"/>
        <v>0</v>
      </c>
      <c r="O1963" s="11">
        <f t="shared" si="306"/>
        <v>0</v>
      </c>
      <c r="P1963" s="12">
        <f t="shared" si="307"/>
        <v>0</v>
      </c>
      <c r="Q1963" s="17" t="str">
        <f t="shared" si="309"/>
        <v>Pas d'écart</v>
      </c>
    </row>
    <row r="1964" spans="1:18" x14ac:dyDescent="0.3">
      <c r="A1964" s="34" t="str">
        <f>base!J1964</f>
        <v>LM</v>
      </c>
      <c r="B1964" s="34" t="str">
        <f>base!V1964</f>
        <v>44000</v>
      </c>
      <c r="C1964" s="37">
        <v>44</v>
      </c>
      <c r="D1964" s="36">
        <f>base!H1964</f>
        <v>40</v>
      </c>
      <c r="E1964" s="44"/>
      <c r="F1964" s="16">
        <f>base!W1964</f>
        <v>10.8</v>
      </c>
      <c r="G1964" s="11">
        <f t="shared" si="300"/>
        <v>0.27</v>
      </c>
      <c r="H1964" s="11">
        <f t="shared" si="301"/>
        <v>10.8</v>
      </c>
      <c r="I1964" s="11">
        <f t="shared" si="302"/>
        <v>0.27</v>
      </c>
      <c r="J1964" s="12">
        <f t="shared" si="303"/>
        <v>0</v>
      </c>
      <c r="K1964" s="17" t="str">
        <f t="shared" si="308"/>
        <v>Pas d'écart</v>
      </c>
      <c r="L1964" s="16">
        <f>base!X1964</f>
        <v>0</v>
      </c>
      <c r="M1964" s="11">
        <f t="shared" si="304"/>
        <v>0</v>
      </c>
      <c r="N1964" s="11">
        <f t="shared" si="305"/>
        <v>0</v>
      </c>
      <c r="O1964" s="11">
        <f t="shared" si="306"/>
        <v>0</v>
      </c>
      <c r="P1964" s="12">
        <f t="shared" si="307"/>
        <v>0</v>
      </c>
      <c r="Q1964" s="17" t="str">
        <f t="shared" si="309"/>
        <v>Pas d'écart</v>
      </c>
    </row>
    <row r="1965" spans="1:18" x14ac:dyDescent="0.3">
      <c r="A1965" s="34" t="str">
        <f>base!J1965</f>
        <v>LM</v>
      </c>
      <c r="B1965" s="34" t="str">
        <f>base!V1965</f>
        <v>69003</v>
      </c>
      <c r="C1965" s="37">
        <v>69</v>
      </c>
      <c r="D1965" s="36">
        <f>base!H1965</f>
        <v>80</v>
      </c>
      <c r="E1965" s="44"/>
      <c r="F1965" s="16">
        <f>base!W1965</f>
        <v>21.6</v>
      </c>
      <c r="G1965" s="11">
        <f t="shared" si="300"/>
        <v>0.27</v>
      </c>
      <c r="H1965" s="11">
        <f t="shared" si="301"/>
        <v>21.6</v>
      </c>
      <c r="I1965" s="11">
        <f t="shared" si="302"/>
        <v>0.27</v>
      </c>
      <c r="J1965" s="12">
        <f t="shared" si="303"/>
        <v>0</v>
      </c>
      <c r="K1965" s="17" t="str">
        <f t="shared" si="308"/>
        <v>Pas d'écart</v>
      </c>
      <c r="L1965" s="16">
        <f>base!X1965</f>
        <v>0</v>
      </c>
      <c r="M1965" s="11">
        <f t="shared" si="304"/>
        <v>0</v>
      </c>
      <c r="N1965" s="11">
        <f t="shared" si="305"/>
        <v>0</v>
      </c>
      <c r="O1965" s="11">
        <f t="shared" si="306"/>
        <v>0</v>
      </c>
      <c r="P1965" s="12">
        <f t="shared" si="307"/>
        <v>0</v>
      </c>
      <c r="Q1965" s="17" t="str">
        <f t="shared" si="309"/>
        <v>Pas d'écart</v>
      </c>
    </row>
    <row r="1966" spans="1:18" x14ac:dyDescent="0.3">
      <c r="A1966" s="34" t="str">
        <f>base!J1966</f>
        <v>LM</v>
      </c>
      <c r="B1966" s="34" t="str">
        <f>base!V1966</f>
        <v>75008</v>
      </c>
      <c r="C1966" s="37">
        <v>75</v>
      </c>
      <c r="D1966" s="36">
        <f>base!H1966</f>
        <v>140</v>
      </c>
      <c r="E1966" s="44"/>
      <c r="F1966" s="16">
        <f>base!W1966</f>
        <v>0</v>
      </c>
      <c r="G1966" s="11">
        <f t="shared" si="300"/>
        <v>0</v>
      </c>
      <c r="H1966" s="11">
        <f t="shared" si="301"/>
        <v>0</v>
      </c>
      <c r="I1966" s="11">
        <f t="shared" si="302"/>
        <v>0</v>
      </c>
      <c r="J1966" s="12">
        <f t="shared" si="303"/>
        <v>0</v>
      </c>
      <c r="K1966" s="17" t="str">
        <f t="shared" si="308"/>
        <v>Pas d'écart</v>
      </c>
      <c r="L1966" s="16">
        <f>base!X1966</f>
        <v>0</v>
      </c>
      <c r="M1966" s="11">
        <f t="shared" si="304"/>
        <v>0</v>
      </c>
      <c r="N1966" s="11">
        <f t="shared" si="305"/>
        <v>0</v>
      </c>
      <c r="O1966" s="11">
        <f t="shared" si="306"/>
        <v>0</v>
      </c>
      <c r="P1966" s="12">
        <f t="shared" si="307"/>
        <v>0</v>
      </c>
      <c r="Q1966" s="17" t="str">
        <f t="shared" si="309"/>
        <v>Pas d'écart</v>
      </c>
    </row>
    <row r="1967" spans="1:18" x14ac:dyDescent="0.3">
      <c r="A1967" s="34" t="str">
        <f>base!J1967</f>
        <v>LS</v>
      </c>
      <c r="B1967" s="34" t="str">
        <f>base!V1967</f>
        <v>27340</v>
      </c>
      <c r="C1967" s="37">
        <v>73</v>
      </c>
      <c r="D1967" s="36">
        <f>base!H1967</f>
        <v>67.38</v>
      </c>
      <c r="E1967" s="44"/>
      <c r="F1967" s="16">
        <f>base!W1967</f>
        <v>11.45</v>
      </c>
      <c r="G1967" s="11">
        <f t="shared" si="300"/>
        <v>0.1699317304838231</v>
      </c>
      <c r="H1967" s="11">
        <f t="shared" si="301"/>
        <v>18.192599999999999</v>
      </c>
      <c r="I1967" s="11">
        <f t="shared" si="302"/>
        <v>0.27</v>
      </c>
      <c r="J1967" s="12">
        <f t="shared" si="303"/>
        <v>-6.7425999999999995</v>
      </c>
      <c r="K1967" s="17" t="str">
        <f t="shared" si="308"/>
        <v>Ecart négatif</v>
      </c>
      <c r="L1967" s="16">
        <f>base!X1967</f>
        <v>0</v>
      </c>
      <c r="M1967" s="11">
        <f t="shared" si="304"/>
        <v>0</v>
      </c>
      <c r="N1967" s="11">
        <f t="shared" si="305"/>
        <v>0</v>
      </c>
      <c r="O1967" s="11">
        <f t="shared" si="306"/>
        <v>0</v>
      </c>
      <c r="P1967" s="12">
        <f t="shared" si="307"/>
        <v>0</v>
      </c>
      <c r="Q1967" s="17" t="str">
        <f t="shared" si="309"/>
        <v>Pas d'écart</v>
      </c>
    </row>
    <row r="1968" spans="1:18" x14ac:dyDescent="0.3">
      <c r="A1968" s="34" t="str">
        <f>base!J1968</f>
        <v>LM</v>
      </c>
      <c r="B1968" s="34" t="str">
        <f>base!V1968</f>
        <v>59605</v>
      </c>
      <c r="C1968" s="37">
        <v>59</v>
      </c>
      <c r="D1968" s="36">
        <f>base!H1968</f>
        <v>185.14</v>
      </c>
      <c r="E1968" s="44"/>
      <c r="F1968" s="16">
        <f>base!W1968</f>
        <v>35.18</v>
      </c>
      <c r="G1968" s="11">
        <f t="shared" si="300"/>
        <v>0.19001836448093337</v>
      </c>
      <c r="H1968" s="11">
        <f t="shared" si="301"/>
        <v>35.176600000000001</v>
      </c>
      <c r="I1968" s="11">
        <f t="shared" si="302"/>
        <v>0.19000000000000003</v>
      </c>
      <c r="J1968" s="12">
        <f t="shared" si="303"/>
        <v>3.3999999999991815E-3</v>
      </c>
      <c r="K1968" s="17" t="str">
        <f t="shared" si="308"/>
        <v>Ecart positif</v>
      </c>
      <c r="L1968" s="16">
        <f>base!X1968</f>
        <v>0</v>
      </c>
      <c r="M1968" s="11">
        <f t="shared" si="304"/>
        <v>0</v>
      </c>
      <c r="N1968" s="11">
        <f t="shared" si="305"/>
        <v>0</v>
      </c>
      <c r="O1968" s="11">
        <f t="shared" si="306"/>
        <v>0</v>
      </c>
      <c r="P1968" s="12">
        <f t="shared" si="307"/>
        <v>0</v>
      </c>
      <c r="Q1968" s="17" t="str">
        <f t="shared" si="309"/>
        <v>Pas d'écart</v>
      </c>
    </row>
    <row r="1969" spans="1:17" x14ac:dyDescent="0.3">
      <c r="A1969" s="34" t="str">
        <f>base!J1969</f>
        <v>LS</v>
      </c>
      <c r="B1969" s="34" t="str">
        <f>base!V1969</f>
        <v>44300</v>
      </c>
      <c r="C1969" s="37">
        <v>44</v>
      </c>
      <c r="D1969" s="36">
        <f>base!H1969</f>
        <v>40</v>
      </c>
      <c r="E1969" s="44"/>
      <c r="F1969" s="16">
        <f>base!W1969</f>
        <v>10.8</v>
      </c>
      <c r="G1969" s="11">
        <f t="shared" si="300"/>
        <v>0.27</v>
      </c>
      <c r="H1969" s="11">
        <f t="shared" si="301"/>
        <v>10.8</v>
      </c>
      <c r="I1969" s="11">
        <f t="shared" si="302"/>
        <v>0.27</v>
      </c>
      <c r="J1969" s="12">
        <f t="shared" si="303"/>
        <v>0</v>
      </c>
      <c r="K1969" s="17" t="str">
        <f t="shared" si="308"/>
        <v>Pas d'écart</v>
      </c>
      <c r="L1969" s="16">
        <f>base!X1969</f>
        <v>0</v>
      </c>
      <c r="M1969" s="11">
        <f t="shared" si="304"/>
        <v>0</v>
      </c>
      <c r="N1969" s="11">
        <f t="shared" si="305"/>
        <v>0</v>
      </c>
      <c r="O1969" s="11">
        <f t="shared" si="306"/>
        <v>0</v>
      </c>
      <c r="P1969" s="12">
        <f t="shared" si="307"/>
        <v>0</v>
      </c>
      <c r="Q1969" s="17" t="str">
        <f t="shared" si="309"/>
        <v>Pas d'écart</v>
      </c>
    </row>
    <row r="1970" spans="1:17" x14ac:dyDescent="0.3">
      <c r="A1970" s="34" t="str">
        <f>base!J1970</f>
        <v>LM</v>
      </c>
      <c r="B1970" s="34" t="str">
        <f>base!V1970</f>
        <v>69005</v>
      </c>
      <c r="C1970" s="37">
        <v>62</v>
      </c>
      <c r="D1970" s="36">
        <f>base!H1970</f>
        <v>33.35</v>
      </c>
      <c r="E1970" s="44"/>
      <c r="F1970" s="16">
        <f>base!W1970</f>
        <v>9</v>
      </c>
      <c r="G1970" s="11">
        <f t="shared" si="300"/>
        <v>0.26986506746626687</v>
      </c>
      <c r="H1970" s="11">
        <f t="shared" si="301"/>
        <v>6.3365</v>
      </c>
      <c r="I1970" s="11">
        <f t="shared" si="302"/>
        <v>0.19</v>
      </c>
      <c r="J1970" s="12">
        <f t="shared" si="303"/>
        <v>2.6635</v>
      </c>
      <c r="K1970" s="17" t="str">
        <f t="shared" si="308"/>
        <v>Ecart positif</v>
      </c>
      <c r="L1970" s="16">
        <f>base!X1970</f>
        <v>0</v>
      </c>
      <c r="M1970" s="11">
        <f t="shared" si="304"/>
        <v>0</v>
      </c>
      <c r="N1970" s="11">
        <f t="shared" si="305"/>
        <v>0</v>
      </c>
      <c r="O1970" s="11">
        <f t="shared" si="306"/>
        <v>0</v>
      </c>
      <c r="P1970" s="12">
        <f t="shared" si="307"/>
        <v>0</v>
      </c>
      <c r="Q1970" s="17" t="str">
        <f t="shared" si="309"/>
        <v>Pas d'écart</v>
      </c>
    </row>
    <row r="1971" spans="1:17" x14ac:dyDescent="0.3">
      <c r="A1971" s="34" t="str">
        <f>base!J1971</f>
        <v>LS</v>
      </c>
      <c r="B1971" s="34" t="str">
        <f>base!V1971</f>
        <v>35590</v>
      </c>
      <c r="C1971" s="37">
        <v>62</v>
      </c>
      <c r="D1971" s="36">
        <f>base!H1971</f>
        <v>31.2</v>
      </c>
      <c r="E1971" s="44"/>
      <c r="F1971" s="16">
        <f>base!W1971</f>
        <v>8.42</v>
      </c>
      <c r="G1971" s="11">
        <f t="shared" si="300"/>
        <v>0.26987179487179486</v>
      </c>
      <c r="H1971" s="11">
        <f t="shared" si="301"/>
        <v>5.9279999999999999</v>
      </c>
      <c r="I1971" s="11">
        <f t="shared" si="302"/>
        <v>0.19</v>
      </c>
      <c r="J1971" s="12">
        <f t="shared" si="303"/>
        <v>2.492</v>
      </c>
      <c r="K1971" s="17" t="str">
        <f t="shared" si="308"/>
        <v>Ecart positif</v>
      </c>
      <c r="L1971" s="16">
        <f>base!X1971</f>
        <v>0</v>
      </c>
      <c r="M1971" s="11">
        <f t="shared" si="304"/>
        <v>0</v>
      </c>
      <c r="N1971" s="11">
        <f t="shared" si="305"/>
        <v>0</v>
      </c>
      <c r="O1971" s="11">
        <f t="shared" si="306"/>
        <v>0</v>
      </c>
      <c r="P1971" s="12">
        <f t="shared" si="307"/>
        <v>0</v>
      </c>
      <c r="Q1971" s="17" t="str">
        <f t="shared" si="309"/>
        <v>Pas d'écart</v>
      </c>
    </row>
    <row r="1972" spans="1:17" x14ac:dyDescent="0.3">
      <c r="A1972" s="34" t="str">
        <f>base!J1972</f>
        <v>RS</v>
      </c>
      <c r="B1972" s="34" t="str">
        <f>base!V1972</f>
        <v>29590</v>
      </c>
      <c r="C1972" s="37">
        <v>29</v>
      </c>
      <c r="D1972" s="36">
        <f>base!H1972</f>
        <v>151</v>
      </c>
      <c r="E1972" s="44"/>
      <c r="F1972" s="16">
        <f>base!W1972</f>
        <v>0</v>
      </c>
      <c r="G1972" s="11">
        <f t="shared" si="300"/>
        <v>0</v>
      </c>
      <c r="H1972" s="11">
        <f t="shared" si="301"/>
        <v>58.89</v>
      </c>
      <c r="I1972" s="11">
        <f t="shared" si="302"/>
        <v>0.39</v>
      </c>
      <c r="J1972" s="12">
        <f t="shared" si="303"/>
        <v>-58.89</v>
      </c>
      <c r="K1972" s="17" t="str">
        <f t="shared" si="308"/>
        <v>Ecart négatif</v>
      </c>
      <c r="L1972" s="16">
        <f>base!X1972</f>
        <v>0</v>
      </c>
      <c r="M1972" s="11">
        <f t="shared" si="304"/>
        <v>0</v>
      </c>
      <c r="N1972" s="11">
        <f t="shared" si="305"/>
        <v>18.12</v>
      </c>
      <c r="O1972" s="11">
        <f t="shared" si="306"/>
        <v>0.12000000000000001</v>
      </c>
      <c r="P1972" s="12">
        <f t="shared" si="307"/>
        <v>-18.12</v>
      </c>
      <c r="Q1972" s="17" t="str">
        <f t="shared" si="309"/>
        <v>Ecart négatif</v>
      </c>
    </row>
    <row r="1973" spans="1:17" x14ac:dyDescent="0.3">
      <c r="A1973" s="34" t="str">
        <f>base!J1973</f>
        <v>RS</v>
      </c>
      <c r="B1973" s="34" t="str">
        <f>base!V1973</f>
        <v>38130</v>
      </c>
      <c r="C1973" s="37">
        <v>38</v>
      </c>
      <c r="D1973" s="36">
        <f>base!H1973</f>
        <v>70</v>
      </c>
      <c r="E1973" s="44"/>
      <c r="F1973" s="16">
        <f>base!W1973</f>
        <v>0</v>
      </c>
      <c r="G1973" s="11">
        <f t="shared" si="300"/>
        <v>0</v>
      </c>
      <c r="H1973" s="11">
        <f t="shared" si="301"/>
        <v>18.900000000000002</v>
      </c>
      <c r="I1973" s="11">
        <f t="shared" si="302"/>
        <v>0.27</v>
      </c>
      <c r="J1973" s="12">
        <f t="shared" si="303"/>
        <v>-18.900000000000002</v>
      </c>
      <c r="K1973" s="17" t="str">
        <f t="shared" si="308"/>
        <v>Ecart négatif</v>
      </c>
      <c r="L1973" s="16">
        <f>base!X1973</f>
        <v>0</v>
      </c>
      <c r="M1973" s="11">
        <f t="shared" si="304"/>
        <v>0</v>
      </c>
      <c r="N1973" s="11">
        <f t="shared" si="305"/>
        <v>0</v>
      </c>
      <c r="O1973" s="11">
        <f t="shared" si="306"/>
        <v>0</v>
      </c>
      <c r="P1973" s="12">
        <f t="shared" si="307"/>
        <v>0</v>
      </c>
      <c r="Q1973" s="17" t="str">
        <f t="shared" si="309"/>
        <v>Pas d'écart</v>
      </c>
    </row>
    <row r="1974" spans="1:17" x14ac:dyDescent="0.3">
      <c r="A1974" s="34">
        <f>base!J1974</f>
        <v>0</v>
      </c>
      <c r="B1974" s="34" t="str">
        <f>base!V1974</f>
        <v>77184</v>
      </c>
      <c r="C1974" s="37">
        <v>77</v>
      </c>
      <c r="D1974" s="36">
        <f>base!H1974</f>
        <v>169</v>
      </c>
      <c r="E1974" s="44"/>
      <c r="F1974" s="16">
        <f>base!W1974</f>
        <v>0</v>
      </c>
      <c r="G1974" s="11">
        <f t="shared" si="300"/>
        <v>0</v>
      </c>
      <c r="H1974" s="11">
        <f t="shared" si="301"/>
        <v>0</v>
      </c>
      <c r="I1974" s="11">
        <f t="shared" si="302"/>
        <v>0</v>
      </c>
      <c r="J1974" s="12">
        <f t="shared" si="303"/>
        <v>0</v>
      </c>
      <c r="K1974" s="17" t="str">
        <f t="shared" si="308"/>
        <v>Pas d'écart</v>
      </c>
      <c r="L1974" s="16">
        <f>base!X1974</f>
        <v>0</v>
      </c>
      <c r="M1974" s="11">
        <f t="shared" si="304"/>
        <v>0</v>
      </c>
      <c r="N1974" s="11">
        <f t="shared" si="305"/>
        <v>0</v>
      </c>
      <c r="O1974" s="11">
        <f t="shared" si="306"/>
        <v>0</v>
      </c>
      <c r="P1974" s="12">
        <f t="shared" si="307"/>
        <v>0</v>
      </c>
      <c r="Q1974" s="17" t="str">
        <f t="shared" si="309"/>
        <v>Pas d'écart</v>
      </c>
    </row>
    <row r="1975" spans="1:17" x14ac:dyDescent="0.3">
      <c r="A1975" s="34">
        <f>base!J1975</f>
        <v>0</v>
      </c>
      <c r="B1975" s="34" t="str">
        <f>base!V1975</f>
        <v>77184</v>
      </c>
      <c r="C1975" s="37">
        <v>77</v>
      </c>
      <c r="D1975" s="36">
        <f>base!H1975</f>
        <v>123</v>
      </c>
      <c r="E1975" s="44"/>
      <c r="F1975" s="16">
        <f>base!W1975</f>
        <v>0</v>
      </c>
      <c r="G1975" s="11">
        <f t="shared" si="300"/>
        <v>0</v>
      </c>
      <c r="H1975" s="11">
        <f t="shared" si="301"/>
        <v>0</v>
      </c>
      <c r="I1975" s="11">
        <f t="shared" si="302"/>
        <v>0</v>
      </c>
      <c r="J1975" s="12">
        <f t="shared" si="303"/>
        <v>0</v>
      </c>
      <c r="K1975" s="17" t="str">
        <f t="shared" si="308"/>
        <v>Pas d'écart</v>
      </c>
      <c r="L1975" s="16">
        <f>base!X1975</f>
        <v>0</v>
      </c>
      <c r="M1975" s="11">
        <f t="shared" si="304"/>
        <v>0</v>
      </c>
      <c r="N1975" s="11">
        <f t="shared" si="305"/>
        <v>0</v>
      </c>
      <c r="O1975" s="11">
        <f t="shared" si="306"/>
        <v>0</v>
      </c>
      <c r="P1975" s="12">
        <f t="shared" si="307"/>
        <v>0</v>
      </c>
      <c r="Q1975" s="17" t="str">
        <f t="shared" si="309"/>
        <v>Pas d'écart</v>
      </c>
    </row>
    <row r="1976" spans="1:17" x14ac:dyDescent="0.3">
      <c r="A1976" s="34">
        <f>base!J1976</f>
        <v>0</v>
      </c>
      <c r="B1976" s="34" t="str">
        <f>base!V1976</f>
        <v>77184</v>
      </c>
      <c r="C1976" s="37">
        <v>77</v>
      </c>
      <c r="D1976" s="36">
        <f>base!H1976</f>
        <v>134</v>
      </c>
      <c r="E1976" s="44"/>
      <c r="F1976" s="16">
        <f>base!W1976</f>
        <v>0</v>
      </c>
      <c r="G1976" s="11">
        <f t="shared" si="300"/>
        <v>0</v>
      </c>
      <c r="H1976" s="11">
        <f t="shared" si="301"/>
        <v>0</v>
      </c>
      <c r="I1976" s="11">
        <f t="shared" si="302"/>
        <v>0</v>
      </c>
      <c r="J1976" s="12">
        <f t="shared" si="303"/>
        <v>0</v>
      </c>
      <c r="K1976" s="17" t="str">
        <f t="shared" si="308"/>
        <v>Pas d'écart</v>
      </c>
      <c r="L1976" s="16">
        <f>base!X1976</f>
        <v>0</v>
      </c>
      <c r="M1976" s="11">
        <f t="shared" si="304"/>
        <v>0</v>
      </c>
      <c r="N1976" s="11">
        <f t="shared" si="305"/>
        <v>0</v>
      </c>
      <c r="O1976" s="11">
        <f t="shared" si="306"/>
        <v>0</v>
      </c>
      <c r="P1976" s="12">
        <f t="shared" si="307"/>
        <v>0</v>
      </c>
      <c r="Q1976" s="17" t="str">
        <f t="shared" si="309"/>
        <v>Pas d'écart</v>
      </c>
    </row>
    <row r="1977" spans="1:17" x14ac:dyDescent="0.3">
      <c r="A1977" s="34" t="str">
        <f>base!J1977</f>
        <v>RM</v>
      </c>
      <c r="B1977" s="34" t="str">
        <f>base!V1977</f>
        <v>06000</v>
      </c>
      <c r="C1977" s="37">
        <v>6</v>
      </c>
      <c r="D1977" s="36">
        <f>base!H1977</f>
        <v>40</v>
      </c>
      <c r="E1977" s="44"/>
      <c r="F1977" s="16">
        <f>base!W1977</f>
        <v>0</v>
      </c>
      <c r="G1977" s="11">
        <f t="shared" si="300"/>
        <v>0</v>
      </c>
      <c r="H1977" s="11">
        <f t="shared" si="301"/>
        <v>12</v>
      </c>
      <c r="I1977" s="11">
        <f t="shared" si="302"/>
        <v>0.3</v>
      </c>
      <c r="J1977" s="12">
        <f t="shared" si="303"/>
        <v>-12</v>
      </c>
      <c r="K1977" s="17" t="str">
        <f t="shared" si="308"/>
        <v>Ecart négatif</v>
      </c>
      <c r="L1977" s="16">
        <f>base!X1977</f>
        <v>0</v>
      </c>
      <c r="M1977" s="11">
        <f t="shared" si="304"/>
        <v>0</v>
      </c>
      <c r="N1977" s="11">
        <f t="shared" si="305"/>
        <v>8.4</v>
      </c>
      <c r="O1977" s="11">
        <f t="shared" si="306"/>
        <v>0.21000000000000002</v>
      </c>
      <c r="P1977" s="12">
        <f t="shared" si="307"/>
        <v>-8.4</v>
      </c>
      <c r="Q1977" s="17" t="str">
        <f t="shared" si="309"/>
        <v>Ecart négatif</v>
      </c>
    </row>
    <row r="1978" spans="1:17" x14ac:dyDescent="0.3">
      <c r="A1978" s="34" t="str">
        <f>base!J1978</f>
        <v>LS</v>
      </c>
      <c r="B1978" s="34" t="str">
        <f>base!V1978</f>
        <v>51100</v>
      </c>
      <c r="C1978" s="37">
        <v>62</v>
      </c>
      <c r="D1978" s="36">
        <f>base!H1978</f>
        <v>132.34</v>
      </c>
      <c r="E1978" s="44"/>
      <c r="F1978" s="16">
        <f>base!W1978</f>
        <v>33.090000000000003</v>
      </c>
      <c r="G1978" s="11">
        <f t="shared" si="300"/>
        <v>0.25003778147196615</v>
      </c>
      <c r="H1978" s="11">
        <f t="shared" si="301"/>
        <v>25.144600000000001</v>
      </c>
      <c r="I1978" s="11">
        <f t="shared" si="302"/>
        <v>0.19</v>
      </c>
      <c r="J1978" s="12">
        <f t="shared" si="303"/>
        <v>7.9454000000000029</v>
      </c>
      <c r="K1978" s="17" t="str">
        <f t="shared" si="308"/>
        <v>Ecart positif</v>
      </c>
      <c r="L1978" s="16">
        <f>base!X1978</f>
        <v>0</v>
      </c>
      <c r="M1978" s="11">
        <f t="shared" si="304"/>
        <v>0</v>
      </c>
      <c r="N1978" s="11">
        <f t="shared" si="305"/>
        <v>0</v>
      </c>
      <c r="O1978" s="11">
        <f t="shared" si="306"/>
        <v>0</v>
      </c>
      <c r="P1978" s="12">
        <f t="shared" si="307"/>
        <v>0</v>
      </c>
      <c r="Q1978" s="17" t="str">
        <f t="shared" si="309"/>
        <v>Pas d'écart</v>
      </c>
    </row>
    <row r="1979" spans="1:17" x14ac:dyDescent="0.3">
      <c r="A1979" s="34" t="str">
        <f>base!J1979</f>
        <v>LS</v>
      </c>
      <c r="B1979" s="34" t="str">
        <f>base!V1979</f>
        <v>51100</v>
      </c>
      <c r="C1979" s="37">
        <v>80</v>
      </c>
      <c r="D1979" s="36">
        <f>base!H1979</f>
        <v>131.97999999999999</v>
      </c>
      <c r="E1979" s="44"/>
      <c r="F1979" s="16">
        <f>base!W1979</f>
        <v>33</v>
      </c>
      <c r="G1979" s="11">
        <f t="shared" si="300"/>
        <v>0.25003788452795878</v>
      </c>
      <c r="H1979" s="11">
        <f t="shared" si="301"/>
        <v>25.0762</v>
      </c>
      <c r="I1979" s="11">
        <f t="shared" si="302"/>
        <v>0.19</v>
      </c>
      <c r="J1979" s="12">
        <f t="shared" si="303"/>
        <v>7.9238</v>
      </c>
      <c r="K1979" s="17" t="str">
        <f t="shared" si="308"/>
        <v>Ecart positif</v>
      </c>
      <c r="L1979" s="16">
        <f>base!X1979</f>
        <v>0</v>
      </c>
      <c r="M1979" s="11">
        <f t="shared" si="304"/>
        <v>0</v>
      </c>
      <c r="N1979" s="11">
        <f t="shared" si="305"/>
        <v>0</v>
      </c>
      <c r="O1979" s="11">
        <f t="shared" si="306"/>
        <v>0</v>
      </c>
      <c r="P1979" s="12">
        <f t="shared" si="307"/>
        <v>0</v>
      </c>
      <c r="Q1979" s="17" t="str">
        <f t="shared" si="309"/>
        <v>Pas d'écart</v>
      </c>
    </row>
    <row r="1980" spans="1:17" x14ac:dyDescent="0.3">
      <c r="A1980" s="34" t="str">
        <f>base!J1980</f>
        <v>LS</v>
      </c>
      <c r="B1980" s="34" t="str">
        <f>base!V1980</f>
        <v>17500</v>
      </c>
      <c r="C1980" s="37">
        <v>59</v>
      </c>
      <c r="D1980" s="36">
        <f>base!H1980</f>
        <v>131.97999999999999</v>
      </c>
      <c r="E1980" s="44"/>
      <c r="F1980" s="16">
        <f>base!W1980</f>
        <v>27.72</v>
      </c>
      <c r="G1980" s="11">
        <f t="shared" si="300"/>
        <v>0.21003182300348539</v>
      </c>
      <c r="H1980" s="11">
        <f t="shared" si="301"/>
        <v>25.0762</v>
      </c>
      <c r="I1980" s="11">
        <f t="shared" si="302"/>
        <v>0.19</v>
      </c>
      <c r="J1980" s="12">
        <f t="shared" si="303"/>
        <v>2.6437999999999988</v>
      </c>
      <c r="K1980" s="17" t="str">
        <f t="shared" si="308"/>
        <v>Ecart positif</v>
      </c>
      <c r="L1980" s="16">
        <f>base!X1980</f>
        <v>0</v>
      </c>
      <c r="M1980" s="11">
        <f t="shared" si="304"/>
        <v>0</v>
      </c>
      <c r="N1980" s="11">
        <f t="shared" si="305"/>
        <v>0</v>
      </c>
      <c r="O1980" s="11">
        <f t="shared" si="306"/>
        <v>0</v>
      </c>
      <c r="P1980" s="12">
        <f t="shared" si="307"/>
        <v>0</v>
      </c>
      <c r="Q1980" s="17" t="str">
        <f t="shared" si="309"/>
        <v>Pas d'écart</v>
      </c>
    </row>
    <row r="1981" spans="1:17" x14ac:dyDescent="0.3">
      <c r="A1981" s="34" t="str">
        <f>base!J1981</f>
        <v>LS</v>
      </c>
      <c r="B1981" s="34" t="str">
        <f>base!V1981</f>
        <v>28700</v>
      </c>
      <c r="C1981" s="37">
        <v>62</v>
      </c>
      <c r="D1981" s="36">
        <f>base!H1981</f>
        <v>174.94</v>
      </c>
      <c r="E1981" s="44"/>
      <c r="F1981" s="16">
        <f>base!W1981</f>
        <v>36.74</v>
      </c>
      <c r="G1981" s="11">
        <f t="shared" si="300"/>
        <v>0.21001486223848179</v>
      </c>
      <c r="H1981" s="11">
        <f t="shared" si="301"/>
        <v>33.238599999999998</v>
      </c>
      <c r="I1981" s="11">
        <f t="shared" si="302"/>
        <v>0.19</v>
      </c>
      <c r="J1981" s="12">
        <f t="shared" si="303"/>
        <v>3.5014000000000038</v>
      </c>
      <c r="K1981" s="17" t="str">
        <f t="shared" si="308"/>
        <v>Ecart positif</v>
      </c>
      <c r="L1981" s="16">
        <f>base!X1981</f>
        <v>0</v>
      </c>
      <c r="M1981" s="11">
        <f t="shared" si="304"/>
        <v>0</v>
      </c>
      <c r="N1981" s="11">
        <f t="shared" si="305"/>
        <v>0</v>
      </c>
      <c r="O1981" s="11">
        <f t="shared" si="306"/>
        <v>0</v>
      </c>
      <c r="P1981" s="12">
        <f t="shared" si="307"/>
        <v>0</v>
      </c>
      <c r="Q1981" s="17" t="str">
        <f t="shared" si="309"/>
        <v>Pas d'écart</v>
      </c>
    </row>
    <row r="1982" spans="1:17" x14ac:dyDescent="0.3">
      <c r="A1982" s="34" t="str">
        <f>base!J1982</f>
        <v>LM</v>
      </c>
      <c r="B1982" s="34" t="str">
        <f>base!V1982</f>
        <v>84140</v>
      </c>
      <c r="C1982" s="37">
        <v>45</v>
      </c>
      <c r="D1982" s="36">
        <f>base!H1982</f>
        <v>18.350000000000001</v>
      </c>
      <c r="E1982" s="44"/>
      <c r="F1982" s="16">
        <f>base!W1982</f>
        <v>5.32</v>
      </c>
      <c r="G1982" s="11">
        <f t="shared" si="300"/>
        <v>0.2899182561307902</v>
      </c>
      <c r="H1982" s="11">
        <f t="shared" si="301"/>
        <v>3.8535000000000004</v>
      </c>
      <c r="I1982" s="11">
        <f t="shared" si="302"/>
        <v>0.21</v>
      </c>
      <c r="J1982" s="12">
        <f t="shared" si="303"/>
        <v>1.4664999999999999</v>
      </c>
      <c r="K1982" s="17" t="str">
        <f t="shared" si="308"/>
        <v>Ecart positif</v>
      </c>
      <c r="L1982" s="16">
        <f>base!X1982</f>
        <v>0</v>
      </c>
      <c r="M1982" s="11">
        <f t="shared" si="304"/>
        <v>0</v>
      </c>
      <c r="N1982" s="11">
        <f t="shared" si="305"/>
        <v>2.202</v>
      </c>
      <c r="O1982" s="11">
        <f t="shared" si="306"/>
        <v>0.11999999999999998</v>
      </c>
      <c r="P1982" s="12">
        <f t="shared" si="307"/>
        <v>-2.202</v>
      </c>
      <c r="Q1982" s="17" t="str">
        <f t="shared" si="309"/>
        <v>Ecart négatif</v>
      </c>
    </row>
    <row r="1983" spans="1:17" x14ac:dyDescent="0.3">
      <c r="A1983" s="34" t="str">
        <f>base!J1983</f>
        <v>LS</v>
      </c>
      <c r="B1983" s="34" t="str">
        <f>base!V1983</f>
        <v>02430</v>
      </c>
      <c r="C1983" s="37">
        <v>2</v>
      </c>
      <c r="D1983" s="36">
        <f>base!H1983</f>
        <v>20.2</v>
      </c>
      <c r="E1983" s="44"/>
      <c r="F1983" s="16">
        <f>base!W1983</f>
        <v>3.84</v>
      </c>
      <c r="G1983" s="11">
        <f t="shared" si="300"/>
        <v>0.1900990099009901</v>
      </c>
      <c r="H1983" s="11">
        <f t="shared" si="301"/>
        <v>3.6359999999999997</v>
      </c>
      <c r="I1983" s="11">
        <f t="shared" si="302"/>
        <v>0.18</v>
      </c>
      <c r="J1983" s="12">
        <f t="shared" si="303"/>
        <v>0.20400000000000018</v>
      </c>
      <c r="K1983" s="17" t="str">
        <f t="shared" si="308"/>
        <v>Ecart positif</v>
      </c>
      <c r="L1983" s="16">
        <f>base!X1983</f>
        <v>0</v>
      </c>
      <c r="M1983" s="11">
        <f t="shared" si="304"/>
        <v>0</v>
      </c>
      <c r="N1983" s="11">
        <f t="shared" si="305"/>
        <v>0</v>
      </c>
      <c r="O1983" s="11">
        <f t="shared" si="306"/>
        <v>0</v>
      </c>
      <c r="P1983" s="12">
        <f t="shared" si="307"/>
        <v>0</v>
      </c>
      <c r="Q1983" s="17" t="str">
        <f t="shared" si="309"/>
        <v>Pas d'écart</v>
      </c>
    </row>
    <row r="1984" spans="1:17" x14ac:dyDescent="0.3">
      <c r="A1984" s="34" t="str">
        <f>base!J1984</f>
        <v>LS</v>
      </c>
      <c r="B1984" s="34" t="str">
        <f>base!V1984</f>
        <v>75014</v>
      </c>
      <c r="C1984" s="37">
        <v>75</v>
      </c>
      <c r="D1984" s="36">
        <f>base!H1984</f>
        <v>107.6</v>
      </c>
      <c r="E1984" s="44"/>
      <c r="F1984" s="16">
        <f>base!W1984</f>
        <v>0</v>
      </c>
      <c r="G1984" s="11">
        <f t="shared" si="300"/>
        <v>0</v>
      </c>
      <c r="H1984" s="11">
        <f t="shared" si="301"/>
        <v>0</v>
      </c>
      <c r="I1984" s="11">
        <f t="shared" si="302"/>
        <v>0</v>
      </c>
      <c r="J1984" s="12">
        <f t="shared" si="303"/>
        <v>0</v>
      </c>
      <c r="K1984" s="17" t="str">
        <f t="shared" si="308"/>
        <v>Pas d'écart</v>
      </c>
      <c r="L1984" s="16">
        <f>base!X1984</f>
        <v>0</v>
      </c>
      <c r="M1984" s="11">
        <f t="shared" si="304"/>
        <v>0</v>
      </c>
      <c r="N1984" s="11">
        <f t="shared" si="305"/>
        <v>0</v>
      </c>
      <c r="O1984" s="11">
        <f t="shared" si="306"/>
        <v>0</v>
      </c>
      <c r="P1984" s="12">
        <f t="shared" si="307"/>
        <v>0</v>
      </c>
      <c r="Q1984" s="17" t="str">
        <f t="shared" si="309"/>
        <v>Pas d'écart</v>
      </c>
    </row>
    <row r="1985" spans="1:18" x14ac:dyDescent="0.3">
      <c r="A1985" s="34" t="str">
        <f>base!J1985</f>
        <v>LM</v>
      </c>
      <c r="B1985" s="34" t="str">
        <f>base!V1985</f>
        <v>75014</v>
      </c>
      <c r="C1985" s="37">
        <v>75</v>
      </c>
      <c r="D1985" s="36">
        <f>base!H1985</f>
        <v>137.59</v>
      </c>
      <c r="E1985" s="44"/>
      <c r="F1985" s="16">
        <f>base!W1985</f>
        <v>0</v>
      </c>
      <c r="G1985" s="11">
        <f t="shared" si="300"/>
        <v>0</v>
      </c>
      <c r="H1985" s="11">
        <f t="shared" si="301"/>
        <v>0</v>
      </c>
      <c r="I1985" s="11">
        <f t="shared" si="302"/>
        <v>0</v>
      </c>
      <c r="J1985" s="12">
        <f t="shared" si="303"/>
        <v>0</v>
      </c>
      <c r="K1985" s="17" t="str">
        <f t="shared" si="308"/>
        <v>Pas d'écart</v>
      </c>
      <c r="L1985" s="16">
        <f>base!X1985</f>
        <v>0</v>
      </c>
      <c r="M1985" s="11">
        <f t="shared" si="304"/>
        <v>0</v>
      </c>
      <c r="N1985" s="11">
        <f t="shared" si="305"/>
        <v>0</v>
      </c>
      <c r="O1985" s="11">
        <f t="shared" si="306"/>
        <v>0</v>
      </c>
      <c r="P1985" s="12">
        <f t="shared" si="307"/>
        <v>0</v>
      </c>
      <c r="Q1985" s="17" t="str">
        <f t="shared" si="309"/>
        <v>Pas d'écart</v>
      </c>
    </row>
    <row r="1986" spans="1:18" x14ac:dyDescent="0.3">
      <c r="A1986" s="34">
        <f>base!J1986</f>
        <v>0</v>
      </c>
      <c r="B1986" s="34" t="str">
        <f>base!V1986</f>
        <v>77184</v>
      </c>
      <c r="C1986" s="37">
        <v>77</v>
      </c>
      <c r="D1986" s="36">
        <f>base!H1986</f>
        <v>68.2</v>
      </c>
      <c r="E1986" s="44"/>
      <c r="F1986" s="16">
        <f>base!W1986</f>
        <v>0</v>
      </c>
      <c r="G1986" s="11">
        <f t="shared" ref="G1986:G2049" si="310">F1986/D1986</f>
        <v>0</v>
      </c>
      <c r="H1986" s="11">
        <f t="shared" ref="H1986:H2049" si="311">VLOOKUP(C1986,tout_cout_traction,2,FALSE)*D1986</f>
        <v>0</v>
      </c>
      <c r="I1986" s="11">
        <f t="shared" ref="I1986:I2049" si="312">H1986/D1986</f>
        <v>0</v>
      </c>
      <c r="J1986" s="12">
        <f t="shared" ref="J1986:J2049" si="313">F1986-H1986</f>
        <v>0</v>
      </c>
      <c r="K1986" s="17" t="str">
        <f t="shared" si="308"/>
        <v>Pas d'écart</v>
      </c>
      <c r="L1986" s="16">
        <f>base!X1986</f>
        <v>0</v>
      </c>
      <c r="M1986" s="11">
        <f t="shared" ref="M1986:M2049" si="314">L1986/D1986</f>
        <v>0</v>
      </c>
      <c r="N1986" s="11">
        <f t="shared" ref="N1986:N2049" si="315">VLOOKUP(C1986,tout_cout_traction,3,FALSE)*D1986</f>
        <v>0</v>
      </c>
      <c r="O1986" s="11">
        <f t="shared" ref="O1986:O2049" si="316">N1986/D1986</f>
        <v>0</v>
      </c>
      <c r="P1986" s="12">
        <f t="shared" ref="P1986:P2049" si="317">L1986-N1986</f>
        <v>0</v>
      </c>
      <c r="Q1986" s="17" t="str">
        <f t="shared" si="309"/>
        <v>Pas d'écart</v>
      </c>
    </row>
    <row r="1987" spans="1:18" x14ac:dyDescent="0.3">
      <c r="A1987" s="34" t="str">
        <f>base!J1987</f>
        <v>RS</v>
      </c>
      <c r="B1987" s="34" t="str">
        <f>base!V1987</f>
        <v>73200</v>
      </c>
      <c r="C1987" s="37">
        <v>73</v>
      </c>
      <c r="D1987" s="36">
        <f>base!H1987</f>
        <v>40</v>
      </c>
      <c r="E1987" s="44"/>
      <c r="F1987" s="16">
        <f>base!W1987</f>
        <v>0</v>
      </c>
      <c r="G1987" s="11">
        <f t="shared" si="310"/>
        <v>0</v>
      </c>
      <c r="H1987" s="11">
        <f t="shared" si="311"/>
        <v>10.8</v>
      </c>
      <c r="I1987" s="11">
        <f t="shared" si="312"/>
        <v>0.27</v>
      </c>
      <c r="J1987" s="12">
        <f t="shared" si="313"/>
        <v>-10.8</v>
      </c>
      <c r="K1987" s="17" t="str">
        <f t="shared" ref="K1987:K2050" si="318">IF(H1987=F1987,"Pas d'écart",IF(H1987&lt;F1987,"Ecart positif",IF(H1987&gt;F1987,"Ecart négatif")))</f>
        <v>Ecart négatif</v>
      </c>
      <c r="L1987" s="16">
        <f>base!X1987</f>
        <v>0</v>
      </c>
      <c r="M1987" s="11">
        <f t="shared" si="314"/>
        <v>0</v>
      </c>
      <c r="N1987" s="11">
        <f t="shared" si="315"/>
        <v>0</v>
      </c>
      <c r="O1987" s="11">
        <f t="shared" si="316"/>
        <v>0</v>
      </c>
      <c r="P1987" s="12">
        <f t="shared" si="317"/>
        <v>0</v>
      </c>
      <c r="Q1987" s="17" t="str">
        <f t="shared" ref="Q1987:Q2050" si="319">IF(N1987=L1987,"Pas d'écart",IF(N1987&lt;L1987,"Ecart positif",IF(N1987&gt;L1987,"Ecart négatif")))</f>
        <v>Pas d'écart</v>
      </c>
    </row>
    <row r="1988" spans="1:18" x14ac:dyDescent="0.3">
      <c r="A1988" s="34" t="str">
        <f>base!J1988</f>
        <v>RS</v>
      </c>
      <c r="B1988" s="34" t="str">
        <f>base!V1988</f>
        <v>76800</v>
      </c>
      <c r="C1988" s="37">
        <v>76</v>
      </c>
      <c r="D1988" s="36">
        <f>base!H1988</f>
        <v>70</v>
      </c>
      <c r="E1988" s="44"/>
      <c r="F1988" s="16">
        <f>base!W1988</f>
        <v>0</v>
      </c>
      <c r="G1988" s="11">
        <f t="shared" si="310"/>
        <v>0</v>
      </c>
      <c r="H1988" s="11">
        <f t="shared" si="311"/>
        <v>11.9</v>
      </c>
      <c r="I1988" s="11">
        <f t="shared" si="312"/>
        <v>0.17</v>
      </c>
      <c r="J1988" s="12">
        <f t="shared" si="313"/>
        <v>-11.9</v>
      </c>
      <c r="K1988" s="17" t="str">
        <f t="shared" si="318"/>
        <v>Ecart négatif</v>
      </c>
      <c r="L1988" s="16">
        <f>base!X1988</f>
        <v>11.9</v>
      </c>
      <c r="M1988" s="11">
        <f t="shared" si="314"/>
        <v>0.17</v>
      </c>
      <c r="N1988" s="11">
        <f t="shared" si="315"/>
        <v>11.9</v>
      </c>
      <c r="O1988" s="11">
        <f t="shared" si="316"/>
        <v>0.17</v>
      </c>
      <c r="P1988" s="12">
        <f t="shared" si="317"/>
        <v>0</v>
      </c>
      <c r="Q1988" s="17" t="str">
        <f t="shared" si="319"/>
        <v>Pas d'écart</v>
      </c>
    </row>
    <row r="1989" spans="1:18" x14ac:dyDescent="0.3">
      <c r="A1989" s="34" t="str">
        <f>base!J1989</f>
        <v>RM</v>
      </c>
      <c r="B1989" s="34" t="str">
        <f>base!V1989</f>
        <v>77600</v>
      </c>
      <c r="C1989" s="37">
        <v>77</v>
      </c>
      <c r="D1989" s="36">
        <f>base!H1989</f>
        <v>26.6</v>
      </c>
      <c r="E1989" s="44"/>
      <c r="F1989" s="16">
        <f>base!W1989</f>
        <v>0</v>
      </c>
      <c r="G1989" s="11">
        <f t="shared" si="310"/>
        <v>0</v>
      </c>
      <c r="H1989" s="11">
        <f t="shared" si="311"/>
        <v>0</v>
      </c>
      <c r="I1989" s="11">
        <f t="shared" si="312"/>
        <v>0</v>
      </c>
      <c r="J1989" s="12">
        <f t="shared" si="313"/>
        <v>0</v>
      </c>
      <c r="K1989" s="17" t="str">
        <f t="shared" si="318"/>
        <v>Pas d'écart</v>
      </c>
      <c r="L1989" s="16">
        <f>base!X1989</f>
        <v>0</v>
      </c>
      <c r="M1989" s="11">
        <f t="shared" si="314"/>
        <v>0</v>
      </c>
      <c r="N1989" s="11">
        <f t="shared" si="315"/>
        <v>0</v>
      </c>
      <c r="O1989" s="11">
        <f t="shared" si="316"/>
        <v>0</v>
      </c>
      <c r="P1989" s="12">
        <f t="shared" si="317"/>
        <v>0</v>
      </c>
      <c r="Q1989" s="17" t="str">
        <f t="shared" si="319"/>
        <v>Pas d'écart</v>
      </c>
    </row>
    <row r="1990" spans="1:18" x14ac:dyDescent="0.3">
      <c r="A1990" s="34" t="str">
        <f>base!J1990</f>
        <v>RS</v>
      </c>
      <c r="B1990" s="34" t="str">
        <f>base!V1990</f>
        <v>50100</v>
      </c>
      <c r="C1990" s="37">
        <v>50</v>
      </c>
      <c r="D1990" s="36">
        <f>base!H1990</f>
        <v>180</v>
      </c>
      <c r="E1990" s="44"/>
      <c r="F1990" s="16">
        <f>base!W1990</f>
        <v>0</v>
      </c>
      <c r="G1990" s="11">
        <f t="shared" si="310"/>
        <v>0</v>
      </c>
      <c r="H1990" s="11">
        <f t="shared" si="311"/>
        <v>30.6</v>
      </c>
      <c r="I1990" s="11">
        <f t="shared" si="312"/>
        <v>0.17</v>
      </c>
      <c r="J1990" s="12">
        <f t="shared" si="313"/>
        <v>-30.6</v>
      </c>
      <c r="K1990" s="17" t="str">
        <f t="shared" si="318"/>
        <v>Ecart négatif</v>
      </c>
      <c r="L1990" s="16">
        <f>base!X1990</f>
        <v>30.6</v>
      </c>
      <c r="M1990" s="11">
        <f t="shared" si="314"/>
        <v>0.17</v>
      </c>
      <c r="N1990" s="11">
        <f t="shared" si="315"/>
        <v>30.6</v>
      </c>
      <c r="O1990" s="11">
        <f t="shared" si="316"/>
        <v>0.17</v>
      </c>
      <c r="P1990" s="12">
        <f t="shared" si="317"/>
        <v>0</v>
      </c>
      <c r="Q1990" s="17" t="str">
        <f t="shared" si="319"/>
        <v>Pas d'écart</v>
      </c>
    </row>
    <row r="1991" spans="1:18" x14ac:dyDescent="0.3">
      <c r="A1991" s="34" t="str">
        <f>base!J1991</f>
        <v>RM</v>
      </c>
      <c r="B1991" s="34" t="str">
        <f>base!V1991</f>
        <v>50100</v>
      </c>
      <c r="C1991" s="37">
        <v>50</v>
      </c>
      <c r="D1991" s="36">
        <f>base!H1991</f>
        <v>180</v>
      </c>
      <c r="E1991" s="44"/>
      <c r="F1991" s="16">
        <f>base!W1991</f>
        <v>0</v>
      </c>
      <c r="G1991" s="11">
        <f t="shared" si="310"/>
        <v>0</v>
      </c>
      <c r="H1991" s="11">
        <f t="shared" si="311"/>
        <v>30.6</v>
      </c>
      <c r="I1991" s="11">
        <f t="shared" si="312"/>
        <v>0.17</v>
      </c>
      <c r="J1991" s="12">
        <f t="shared" si="313"/>
        <v>-30.6</v>
      </c>
      <c r="K1991" s="17" t="str">
        <f t="shared" si="318"/>
        <v>Ecart négatif</v>
      </c>
      <c r="L1991" s="16">
        <f>base!X1991</f>
        <v>0</v>
      </c>
      <c r="M1991" s="11">
        <f t="shared" si="314"/>
        <v>0</v>
      </c>
      <c r="N1991" s="11">
        <f t="shared" si="315"/>
        <v>30.6</v>
      </c>
      <c r="O1991" s="11">
        <f t="shared" si="316"/>
        <v>0.17</v>
      </c>
      <c r="P1991" s="12">
        <f t="shared" si="317"/>
        <v>-30.6</v>
      </c>
      <c r="Q1991" s="17" t="str">
        <f t="shared" si="319"/>
        <v>Ecart négatif</v>
      </c>
    </row>
    <row r="1992" spans="1:18" x14ac:dyDescent="0.3">
      <c r="A1992" s="34" t="str">
        <f>base!J1992</f>
        <v>RS</v>
      </c>
      <c r="B1992" s="34" t="str">
        <f>base!V1992</f>
        <v>14000</v>
      </c>
      <c r="C1992" s="37">
        <v>14</v>
      </c>
      <c r="D1992" s="36">
        <f>base!H1992</f>
        <v>184.02</v>
      </c>
      <c r="E1992" s="44"/>
      <c r="F1992" s="16">
        <f>base!W1992</f>
        <v>0</v>
      </c>
      <c r="G1992" s="11">
        <f t="shared" si="310"/>
        <v>0</v>
      </c>
      <c r="H1992" s="11">
        <f t="shared" si="311"/>
        <v>31.283400000000004</v>
      </c>
      <c r="I1992" s="11">
        <f t="shared" si="312"/>
        <v>0.17</v>
      </c>
      <c r="J1992" s="12">
        <f t="shared" si="313"/>
        <v>-31.283400000000004</v>
      </c>
      <c r="K1992" s="17" t="str">
        <f t="shared" si="318"/>
        <v>Ecart négatif</v>
      </c>
      <c r="L1992" s="16">
        <f>base!X1992</f>
        <v>0</v>
      </c>
      <c r="M1992" s="11">
        <f t="shared" si="314"/>
        <v>0</v>
      </c>
      <c r="N1992" s="11">
        <f t="shared" si="315"/>
        <v>31.283400000000004</v>
      </c>
      <c r="O1992" s="11">
        <f t="shared" si="316"/>
        <v>0.17</v>
      </c>
      <c r="P1992" s="12">
        <f t="shared" si="317"/>
        <v>-31.283400000000004</v>
      </c>
      <c r="Q1992" s="17" t="str">
        <f t="shared" si="319"/>
        <v>Ecart négatif</v>
      </c>
    </row>
    <row r="1993" spans="1:18" x14ac:dyDescent="0.3">
      <c r="A1993" s="34" t="str">
        <f>base!J1993</f>
        <v>RS</v>
      </c>
      <c r="B1993" s="34" t="str">
        <f>base!V1993</f>
        <v>27930</v>
      </c>
      <c r="C1993" s="37">
        <v>27</v>
      </c>
      <c r="D1993" s="36">
        <f>base!H1993</f>
        <v>157.32</v>
      </c>
      <c r="E1993" s="44"/>
      <c r="F1993" s="16">
        <f>base!W1993</f>
        <v>0</v>
      </c>
      <c r="G1993" s="11">
        <f t="shared" si="310"/>
        <v>0</v>
      </c>
      <c r="H1993" s="11">
        <f t="shared" si="311"/>
        <v>26.744400000000002</v>
      </c>
      <c r="I1993" s="11">
        <f t="shared" si="312"/>
        <v>0.17</v>
      </c>
      <c r="J1993" s="12">
        <f t="shared" si="313"/>
        <v>-26.744400000000002</v>
      </c>
      <c r="K1993" s="17" t="str">
        <f t="shared" si="318"/>
        <v>Ecart négatif</v>
      </c>
      <c r="L1993" s="16">
        <f>base!X1993</f>
        <v>26.74</v>
      </c>
      <c r="M1993" s="11">
        <f t="shared" si="314"/>
        <v>0.16997203152809559</v>
      </c>
      <c r="N1993" s="11">
        <f t="shared" si="315"/>
        <v>26.744400000000002</v>
      </c>
      <c r="O1993" s="11">
        <f t="shared" si="316"/>
        <v>0.17</v>
      </c>
      <c r="P1993" s="12">
        <f t="shared" si="317"/>
        <v>-4.4000000000039563E-3</v>
      </c>
      <c r="Q1993" s="17" t="str">
        <f t="shared" si="319"/>
        <v>Ecart négatif</v>
      </c>
      <c r="R1993" s="38"/>
    </row>
    <row r="1994" spans="1:18" x14ac:dyDescent="0.3">
      <c r="A1994" s="34" t="str">
        <f>base!J1994</f>
        <v>RM</v>
      </c>
      <c r="B1994" s="34" t="str">
        <f>base!V1994</f>
        <v>38000</v>
      </c>
      <c r="C1994" s="37">
        <v>38</v>
      </c>
      <c r="D1994" s="36">
        <f>base!H1994</f>
        <v>106.8</v>
      </c>
      <c r="E1994" s="44"/>
      <c r="F1994" s="16">
        <f>base!W1994</f>
        <v>0</v>
      </c>
      <c r="G1994" s="11">
        <f t="shared" si="310"/>
        <v>0</v>
      </c>
      <c r="H1994" s="11">
        <f t="shared" si="311"/>
        <v>28.836000000000002</v>
      </c>
      <c r="I1994" s="11">
        <f t="shared" si="312"/>
        <v>0.27</v>
      </c>
      <c r="J1994" s="12">
        <f t="shared" si="313"/>
        <v>-28.836000000000002</v>
      </c>
      <c r="K1994" s="17" t="str">
        <f t="shared" si="318"/>
        <v>Ecart négatif</v>
      </c>
      <c r="L1994" s="16">
        <f>base!X1994</f>
        <v>0</v>
      </c>
      <c r="M1994" s="11">
        <f t="shared" si="314"/>
        <v>0</v>
      </c>
      <c r="N1994" s="11">
        <f t="shared" si="315"/>
        <v>0</v>
      </c>
      <c r="O1994" s="11">
        <f t="shared" si="316"/>
        <v>0</v>
      </c>
      <c r="P1994" s="12">
        <f t="shared" si="317"/>
        <v>0</v>
      </c>
      <c r="Q1994" s="17" t="str">
        <f t="shared" si="319"/>
        <v>Pas d'écart</v>
      </c>
    </row>
    <row r="1995" spans="1:18" x14ac:dyDescent="0.3">
      <c r="A1995" s="34" t="str">
        <f>base!J1995</f>
        <v>LM</v>
      </c>
      <c r="B1995" s="34" t="str">
        <f>base!V1995</f>
        <v>13002</v>
      </c>
      <c r="C1995" s="37">
        <v>2</v>
      </c>
      <c r="D1995" s="36">
        <f>base!H1995</f>
        <v>142.97999999999999</v>
      </c>
      <c r="E1995" s="44"/>
      <c r="F1995" s="16">
        <f>base!W1995</f>
        <v>41.46</v>
      </c>
      <c r="G1995" s="11">
        <f t="shared" si="310"/>
        <v>0.28997062526227446</v>
      </c>
      <c r="H1995" s="11">
        <f t="shared" si="311"/>
        <v>25.736399999999996</v>
      </c>
      <c r="I1995" s="11">
        <f t="shared" si="312"/>
        <v>0.18</v>
      </c>
      <c r="J1995" s="12">
        <f t="shared" si="313"/>
        <v>15.723600000000005</v>
      </c>
      <c r="K1995" s="17" t="str">
        <f t="shared" si="318"/>
        <v>Ecart positif</v>
      </c>
      <c r="L1995" s="16">
        <f>base!X1995</f>
        <v>0</v>
      </c>
      <c r="M1995" s="11">
        <f t="shared" si="314"/>
        <v>0</v>
      </c>
      <c r="N1995" s="11">
        <f t="shared" si="315"/>
        <v>0</v>
      </c>
      <c r="O1995" s="11">
        <f t="shared" si="316"/>
        <v>0</v>
      </c>
      <c r="P1995" s="12">
        <f t="shared" si="317"/>
        <v>0</v>
      </c>
      <c r="Q1995" s="17" t="str">
        <f t="shared" si="319"/>
        <v>Pas d'écart</v>
      </c>
    </row>
    <row r="1996" spans="1:18" x14ac:dyDescent="0.3">
      <c r="A1996" s="34" t="str">
        <f>base!J1996</f>
        <v>RS</v>
      </c>
      <c r="B1996" s="34" t="str">
        <f>base!V1996</f>
        <v>77380</v>
      </c>
      <c r="C1996" s="37">
        <v>77</v>
      </c>
      <c r="D1996" s="36">
        <f>base!H1996</f>
        <v>70</v>
      </c>
      <c r="E1996" s="44"/>
      <c r="F1996" s="16">
        <f>base!W1996</f>
        <v>0</v>
      </c>
      <c r="G1996" s="11">
        <f t="shared" si="310"/>
        <v>0</v>
      </c>
      <c r="H1996" s="11">
        <f t="shared" si="311"/>
        <v>0</v>
      </c>
      <c r="I1996" s="11">
        <f t="shared" si="312"/>
        <v>0</v>
      </c>
      <c r="J1996" s="12">
        <f t="shared" si="313"/>
        <v>0</v>
      </c>
      <c r="K1996" s="17" t="str">
        <f t="shared" si="318"/>
        <v>Pas d'écart</v>
      </c>
      <c r="L1996" s="16">
        <f>base!X1996</f>
        <v>0</v>
      </c>
      <c r="M1996" s="11">
        <f t="shared" si="314"/>
        <v>0</v>
      </c>
      <c r="N1996" s="11">
        <f t="shared" si="315"/>
        <v>0</v>
      </c>
      <c r="O1996" s="11">
        <f t="shared" si="316"/>
        <v>0</v>
      </c>
      <c r="P1996" s="12">
        <f t="shared" si="317"/>
        <v>0</v>
      </c>
      <c r="Q1996" s="17" t="str">
        <f t="shared" si="319"/>
        <v>Pas d'écart</v>
      </c>
    </row>
    <row r="1997" spans="1:18" x14ac:dyDescent="0.3">
      <c r="A1997" s="34" t="str">
        <f>base!J1997</f>
        <v>RM</v>
      </c>
      <c r="B1997" s="34" t="str">
        <f>base!V1997</f>
        <v>35220</v>
      </c>
      <c r="C1997" s="37">
        <v>35</v>
      </c>
      <c r="D1997" s="36">
        <f>base!H1997</f>
        <v>40</v>
      </c>
      <c r="E1997" s="44"/>
      <c r="F1997" s="16">
        <f>base!W1997</f>
        <v>0</v>
      </c>
      <c r="G1997" s="11">
        <f t="shared" si="310"/>
        <v>0</v>
      </c>
      <c r="H1997" s="11">
        <f t="shared" si="311"/>
        <v>10.8</v>
      </c>
      <c r="I1997" s="11">
        <f t="shared" si="312"/>
        <v>0.27</v>
      </c>
      <c r="J1997" s="12">
        <f t="shared" si="313"/>
        <v>-10.8</v>
      </c>
      <c r="K1997" s="17" t="str">
        <f t="shared" si="318"/>
        <v>Ecart négatif</v>
      </c>
      <c r="L1997" s="16">
        <f>base!X1997</f>
        <v>10.8</v>
      </c>
      <c r="M1997" s="11">
        <f t="shared" si="314"/>
        <v>0.27</v>
      </c>
      <c r="N1997" s="11">
        <f t="shared" si="315"/>
        <v>0</v>
      </c>
      <c r="O1997" s="11">
        <f t="shared" si="316"/>
        <v>0</v>
      </c>
      <c r="P1997" s="12">
        <f t="shared" si="317"/>
        <v>10.8</v>
      </c>
      <c r="Q1997" s="17" t="str">
        <f t="shared" si="319"/>
        <v>Ecart positif</v>
      </c>
    </row>
    <row r="1998" spans="1:18" x14ac:dyDescent="0.3">
      <c r="A1998" s="34" t="str">
        <f>base!J1998</f>
        <v>RS</v>
      </c>
      <c r="B1998" s="34" t="str">
        <f>base!V1998</f>
        <v>02100</v>
      </c>
      <c r="C1998" s="37">
        <v>2</v>
      </c>
      <c r="D1998" s="36">
        <f>base!H1998</f>
        <v>80</v>
      </c>
      <c r="E1998" s="44"/>
      <c r="F1998" s="16">
        <f>base!W1998</f>
        <v>0</v>
      </c>
      <c r="G1998" s="11">
        <f t="shared" si="310"/>
        <v>0</v>
      </c>
      <c r="H1998" s="11">
        <f t="shared" si="311"/>
        <v>14.399999999999999</v>
      </c>
      <c r="I1998" s="11">
        <f t="shared" si="312"/>
        <v>0.18</v>
      </c>
      <c r="J1998" s="12">
        <f t="shared" si="313"/>
        <v>-14.399999999999999</v>
      </c>
      <c r="K1998" s="17" t="str">
        <f t="shared" si="318"/>
        <v>Ecart négatif</v>
      </c>
      <c r="L1998" s="16">
        <f>base!X1998</f>
        <v>0</v>
      </c>
      <c r="M1998" s="11">
        <f t="shared" si="314"/>
        <v>0</v>
      </c>
      <c r="N1998" s="11">
        <f t="shared" si="315"/>
        <v>0</v>
      </c>
      <c r="O1998" s="11">
        <f t="shared" si="316"/>
        <v>0</v>
      </c>
      <c r="P1998" s="12">
        <f t="shared" si="317"/>
        <v>0</v>
      </c>
      <c r="Q1998" s="17" t="str">
        <f t="shared" si="319"/>
        <v>Pas d'écart</v>
      </c>
    </row>
    <row r="1999" spans="1:18" x14ac:dyDescent="0.3">
      <c r="A1999" s="34" t="str">
        <f>base!J1999</f>
        <v>RM</v>
      </c>
      <c r="B1999" s="34" t="str">
        <f>base!V1999</f>
        <v>94200</v>
      </c>
      <c r="C1999" s="37">
        <v>94</v>
      </c>
      <c r="D1999" s="36">
        <f>base!H1999</f>
        <v>183.98</v>
      </c>
      <c r="E1999" s="44"/>
      <c r="F1999" s="16">
        <f>base!W1999</f>
        <v>0</v>
      </c>
      <c r="G1999" s="11">
        <f t="shared" si="310"/>
        <v>0</v>
      </c>
      <c r="H1999" s="11">
        <f t="shared" si="311"/>
        <v>0</v>
      </c>
      <c r="I1999" s="11">
        <f t="shared" si="312"/>
        <v>0</v>
      </c>
      <c r="J1999" s="12">
        <f t="shared" si="313"/>
        <v>0</v>
      </c>
      <c r="K1999" s="17" t="str">
        <f t="shared" si="318"/>
        <v>Pas d'écart</v>
      </c>
      <c r="L1999" s="16">
        <f>base!X1999</f>
        <v>0</v>
      </c>
      <c r="M1999" s="11">
        <f t="shared" si="314"/>
        <v>0</v>
      </c>
      <c r="N1999" s="11">
        <f t="shared" si="315"/>
        <v>0</v>
      </c>
      <c r="O1999" s="11">
        <f t="shared" si="316"/>
        <v>0</v>
      </c>
      <c r="P1999" s="12">
        <f t="shared" si="317"/>
        <v>0</v>
      </c>
      <c r="Q1999" s="17" t="str">
        <f t="shared" si="319"/>
        <v>Pas d'écart</v>
      </c>
    </row>
    <row r="2000" spans="1:18" x14ac:dyDescent="0.3">
      <c r="A2000" s="34" t="str">
        <f>base!J2000</f>
        <v>RS</v>
      </c>
      <c r="B2000" s="34" t="str">
        <f>base!V2000</f>
        <v>69340</v>
      </c>
      <c r="C2000" s="37">
        <v>69</v>
      </c>
      <c r="D2000" s="36">
        <f>base!H2000</f>
        <v>25</v>
      </c>
      <c r="E2000" s="44"/>
      <c r="F2000" s="16">
        <f>base!W2000</f>
        <v>0</v>
      </c>
      <c r="G2000" s="11">
        <f t="shared" si="310"/>
        <v>0</v>
      </c>
      <c r="H2000" s="11">
        <f t="shared" si="311"/>
        <v>6.75</v>
      </c>
      <c r="I2000" s="11">
        <f t="shared" si="312"/>
        <v>0.27</v>
      </c>
      <c r="J2000" s="12">
        <f t="shared" si="313"/>
        <v>-6.75</v>
      </c>
      <c r="K2000" s="17" t="str">
        <f t="shared" si="318"/>
        <v>Ecart négatif</v>
      </c>
      <c r="L2000" s="16">
        <f>base!X2000</f>
        <v>0</v>
      </c>
      <c r="M2000" s="11">
        <f t="shared" si="314"/>
        <v>0</v>
      </c>
      <c r="N2000" s="11">
        <f t="shared" si="315"/>
        <v>0</v>
      </c>
      <c r="O2000" s="11">
        <f t="shared" si="316"/>
        <v>0</v>
      </c>
      <c r="P2000" s="12">
        <f t="shared" si="317"/>
        <v>0</v>
      </c>
      <c r="Q2000" s="17" t="str">
        <f t="shared" si="319"/>
        <v>Pas d'écart</v>
      </c>
    </row>
    <row r="2001" spans="1:18" x14ac:dyDescent="0.3">
      <c r="A2001" s="34" t="str">
        <f>base!J2001</f>
        <v>RM</v>
      </c>
      <c r="B2001" s="34" t="str">
        <f>base!V2001</f>
        <v>76140</v>
      </c>
      <c r="C2001" s="37">
        <v>76</v>
      </c>
      <c r="D2001" s="36">
        <f>base!H2001</f>
        <v>199.02</v>
      </c>
      <c r="E2001" s="44"/>
      <c r="F2001" s="16">
        <f>base!W2001</f>
        <v>0</v>
      </c>
      <c r="G2001" s="11">
        <f t="shared" si="310"/>
        <v>0</v>
      </c>
      <c r="H2001" s="11">
        <f t="shared" si="311"/>
        <v>33.833400000000005</v>
      </c>
      <c r="I2001" s="11">
        <f t="shared" si="312"/>
        <v>0.17</v>
      </c>
      <c r="J2001" s="12">
        <f t="shared" si="313"/>
        <v>-33.833400000000005</v>
      </c>
      <c r="K2001" s="17" t="str">
        <f t="shared" si="318"/>
        <v>Ecart négatif</v>
      </c>
      <c r="L2001" s="16">
        <f>base!X2001</f>
        <v>33.83</v>
      </c>
      <c r="M2001" s="11">
        <f t="shared" si="314"/>
        <v>0.1699829162898201</v>
      </c>
      <c r="N2001" s="11">
        <f t="shared" si="315"/>
        <v>33.833400000000005</v>
      </c>
      <c r="O2001" s="11">
        <f t="shared" si="316"/>
        <v>0.17</v>
      </c>
      <c r="P2001" s="12">
        <f t="shared" si="317"/>
        <v>-3.4000000000062869E-3</v>
      </c>
      <c r="Q2001" s="17" t="str">
        <f t="shared" si="319"/>
        <v>Ecart négatif</v>
      </c>
      <c r="R2001" s="38"/>
    </row>
    <row r="2002" spans="1:18" x14ac:dyDescent="0.3">
      <c r="A2002" s="34" t="str">
        <f>base!J2002</f>
        <v>RS</v>
      </c>
      <c r="B2002" s="34" t="str">
        <f>base!V2002</f>
        <v>69125</v>
      </c>
      <c r="C2002" s="37">
        <v>69</v>
      </c>
      <c r="D2002" s="36">
        <f>base!H2002</f>
        <v>140</v>
      </c>
      <c r="E2002" s="44"/>
      <c r="F2002" s="16">
        <f>base!W2002</f>
        <v>0</v>
      </c>
      <c r="G2002" s="11">
        <f t="shared" si="310"/>
        <v>0</v>
      </c>
      <c r="H2002" s="11">
        <f t="shared" si="311"/>
        <v>37.800000000000004</v>
      </c>
      <c r="I2002" s="11">
        <f t="shared" si="312"/>
        <v>0.27</v>
      </c>
      <c r="J2002" s="12">
        <f t="shared" si="313"/>
        <v>-37.800000000000004</v>
      </c>
      <c r="K2002" s="17" t="str">
        <f t="shared" si="318"/>
        <v>Ecart négatif</v>
      </c>
      <c r="L2002" s="16">
        <f>base!X2002</f>
        <v>0</v>
      </c>
      <c r="M2002" s="11">
        <f t="shared" si="314"/>
        <v>0</v>
      </c>
      <c r="N2002" s="11">
        <f t="shared" si="315"/>
        <v>0</v>
      </c>
      <c r="O2002" s="11">
        <f t="shared" si="316"/>
        <v>0</v>
      </c>
      <c r="P2002" s="12">
        <f t="shared" si="317"/>
        <v>0</v>
      </c>
      <c r="Q2002" s="17" t="str">
        <f t="shared" si="319"/>
        <v>Pas d'écart</v>
      </c>
    </row>
    <row r="2003" spans="1:18" x14ac:dyDescent="0.3">
      <c r="A2003" s="34" t="str">
        <f>base!J2003</f>
        <v>RM</v>
      </c>
      <c r="B2003" s="34" t="str">
        <f>base!V2003</f>
        <v>38430</v>
      </c>
      <c r="C2003" s="37">
        <v>38</v>
      </c>
      <c r="D2003" s="36">
        <f>base!H2003</f>
        <v>205</v>
      </c>
      <c r="E2003" s="44"/>
      <c r="F2003" s="16">
        <f>base!W2003</f>
        <v>0</v>
      </c>
      <c r="G2003" s="11">
        <f t="shared" si="310"/>
        <v>0</v>
      </c>
      <c r="H2003" s="11">
        <f t="shared" si="311"/>
        <v>55.35</v>
      </c>
      <c r="I2003" s="11">
        <f t="shared" si="312"/>
        <v>0.27</v>
      </c>
      <c r="J2003" s="12">
        <f t="shared" si="313"/>
        <v>-55.35</v>
      </c>
      <c r="K2003" s="17" t="str">
        <f t="shared" si="318"/>
        <v>Ecart négatif</v>
      </c>
      <c r="L2003" s="16">
        <f>base!X2003</f>
        <v>0</v>
      </c>
      <c r="M2003" s="11">
        <f t="shared" si="314"/>
        <v>0</v>
      </c>
      <c r="N2003" s="11">
        <f t="shared" si="315"/>
        <v>0</v>
      </c>
      <c r="O2003" s="11">
        <f t="shared" si="316"/>
        <v>0</v>
      </c>
      <c r="P2003" s="12">
        <f t="shared" si="317"/>
        <v>0</v>
      </c>
      <c r="Q2003" s="17" t="str">
        <f t="shared" si="319"/>
        <v>Pas d'écart</v>
      </c>
    </row>
    <row r="2004" spans="1:18" x14ac:dyDescent="0.3">
      <c r="A2004" s="34" t="str">
        <f>base!J2004</f>
        <v>LS</v>
      </c>
      <c r="B2004" s="34" t="str">
        <f>base!V2004</f>
        <v>67600</v>
      </c>
      <c r="C2004" s="37">
        <v>2</v>
      </c>
      <c r="D2004" s="36">
        <f>base!H2004</f>
        <v>198.02</v>
      </c>
      <c r="E2004" s="44"/>
      <c r="F2004" s="16">
        <f>base!W2004</f>
        <v>57.43</v>
      </c>
      <c r="G2004" s="11">
        <f t="shared" si="310"/>
        <v>0.29002120997879</v>
      </c>
      <c r="H2004" s="11">
        <f t="shared" si="311"/>
        <v>35.643599999999999</v>
      </c>
      <c r="I2004" s="11">
        <f t="shared" si="312"/>
        <v>0.18</v>
      </c>
      <c r="J2004" s="12">
        <f t="shared" si="313"/>
        <v>21.7864</v>
      </c>
      <c r="K2004" s="17" t="str">
        <f t="shared" si="318"/>
        <v>Ecart positif</v>
      </c>
      <c r="L2004" s="16">
        <f>base!X2004</f>
        <v>0</v>
      </c>
      <c r="M2004" s="11">
        <f t="shared" si="314"/>
        <v>0</v>
      </c>
      <c r="N2004" s="11">
        <f t="shared" si="315"/>
        <v>0</v>
      </c>
      <c r="O2004" s="11">
        <f t="shared" si="316"/>
        <v>0</v>
      </c>
      <c r="P2004" s="12">
        <f t="shared" si="317"/>
        <v>0</v>
      </c>
      <c r="Q2004" s="17" t="str">
        <f t="shared" si="319"/>
        <v>Pas d'écart</v>
      </c>
    </row>
    <row r="2005" spans="1:18" x14ac:dyDescent="0.3">
      <c r="A2005" s="34" t="str">
        <f>base!J2005</f>
        <v>LS</v>
      </c>
      <c r="B2005" s="34" t="str">
        <f>base!V2005</f>
        <v>66250</v>
      </c>
      <c r="C2005" s="37">
        <v>2</v>
      </c>
      <c r="D2005" s="36">
        <f>base!H2005</f>
        <v>135.19999999999999</v>
      </c>
      <c r="E2005" s="44"/>
      <c r="F2005" s="16">
        <f>base!W2005</f>
        <v>52.73</v>
      </c>
      <c r="G2005" s="11">
        <f t="shared" si="310"/>
        <v>0.39001479289940827</v>
      </c>
      <c r="H2005" s="11">
        <f t="shared" si="311"/>
        <v>24.335999999999999</v>
      </c>
      <c r="I2005" s="11">
        <f t="shared" si="312"/>
        <v>0.18</v>
      </c>
      <c r="J2005" s="12">
        <f t="shared" si="313"/>
        <v>28.393999999999998</v>
      </c>
      <c r="K2005" s="17" t="str">
        <f t="shared" si="318"/>
        <v>Ecart positif</v>
      </c>
      <c r="L2005" s="16">
        <f>base!X2005</f>
        <v>0</v>
      </c>
      <c r="M2005" s="11">
        <f t="shared" si="314"/>
        <v>0</v>
      </c>
      <c r="N2005" s="11">
        <f t="shared" si="315"/>
        <v>0</v>
      </c>
      <c r="O2005" s="11">
        <f t="shared" si="316"/>
        <v>0</v>
      </c>
      <c r="P2005" s="12">
        <f t="shared" si="317"/>
        <v>0</v>
      </c>
      <c r="Q2005" s="17" t="str">
        <f t="shared" si="319"/>
        <v>Pas d'écart</v>
      </c>
    </row>
    <row r="2006" spans="1:18" x14ac:dyDescent="0.3">
      <c r="A2006" s="34" t="str">
        <f>base!J2006</f>
        <v>RM</v>
      </c>
      <c r="B2006" s="34" t="str">
        <f>base!V2006</f>
        <v>84000</v>
      </c>
      <c r="C2006" s="37">
        <v>84</v>
      </c>
      <c r="D2006" s="36">
        <f>base!H2006</f>
        <v>180</v>
      </c>
      <c r="E2006" s="44"/>
      <c r="F2006" s="16">
        <f>base!W2006</f>
        <v>0</v>
      </c>
      <c r="G2006" s="11">
        <f t="shared" si="310"/>
        <v>0</v>
      </c>
      <c r="H2006" s="11">
        <f t="shared" si="311"/>
        <v>52.199999999999996</v>
      </c>
      <c r="I2006" s="11">
        <f t="shared" si="312"/>
        <v>0.28999999999999998</v>
      </c>
      <c r="J2006" s="12">
        <f t="shared" si="313"/>
        <v>-52.199999999999996</v>
      </c>
      <c r="K2006" s="17" t="str">
        <f t="shared" si="318"/>
        <v>Ecart négatif</v>
      </c>
      <c r="L2006" s="16">
        <f>base!X2006</f>
        <v>0</v>
      </c>
      <c r="M2006" s="11">
        <f t="shared" si="314"/>
        <v>0</v>
      </c>
      <c r="N2006" s="11">
        <f t="shared" si="315"/>
        <v>34.200000000000003</v>
      </c>
      <c r="O2006" s="11">
        <f t="shared" si="316"/>
        <v>0.19</v>
      </c>
      <c r="P2006" s="12">
        <f t="shared" si="317"/>
        <v>-34.200000000000003</v>
      </c>
      <c r="Q2006" s="17" t="str">
        <f t="shared" si="319"/>
        <v>Ecart négatif</v>
      </c>
    </row>
    <row r="2007" spans="1:18" x14ac:dyDescent="0.3">
      <c r="A2007" s="34" t="str">
        <f>base!J2007</f>
        <v>RS</v>
      </c>
      <c r="B2007" s="34" t="str">
        <f>base!V2007</f>
        <v>06670</v>
      </c>
      <c r="C2007" s="37">
        <v>6</v>
      </c>
      <c r="D2007" s="36">
        <f>base!H2007</f>
        <v>140</v>
      </c>
      <c r="E2007" s="44"/>
      <c r="F2007" s="16">
        <f>base!W2007</f>
        <v>0</v>
      </c>
      <c r="G2007" s="11">
        <f t="shared" si="310"/>
        <v>0</v>
      </c>
      <c r="H2007" s="11">
        <f t="shared" si="311"/>
        <v>42</v>
      </c>
      <c r="I2007" s="11">
        <f t="shared" si="312"/>
        <v>0.3</v>
      </c>
      <c r="J2007" s="12">
        <f t="shared" si="313"/>
        <v>-42</v>
      </c>
      <c r="K2007" s="17" t="str">
        <f t="shared" si="318"/>
        <v>Ecart négatif</v>
      </c>
      <c r="L2007" s="16">
        <f>base!X2007</f>
        <v>0</v>
      </c>
      <c r="M2007" s="11">
        <f t="shared" si="314"/>
        <v>0</v>
      </c>
      <c r="N2007" s="11">
        <f t="shared" si="315"/>
        <v>29.4</v>
      </c>
      <c r="O2007" s="11">
        <f t="shared" si="316"/>
        <v>0.21</v>
      </c>
      <c r="P2007" s="12">
        <f t="shared" si="317"/>
        <v>-29.4</v>
      </c>
      <c r="Q2007" s="17" t="str">
        <f t="shared" si="319"/>
        <v>Ecart négatif</v>
      </c>
    </row>
    <row r="2008" spans="1:18" x14ac:dyDescent="0.3">
      <c r="A2008" s="34" t="str">
        <f>base!J2008</f>
        <v>LS</v>
      </c>
      <c r="B2008" s="34" t="str">
        <f>base!V2008</f>
        <v>28170</v>
      </c>
      <c r="C2008" s="37">
        <v>62</v>
      </c>
      <c r="D2008" s="36">
        <f>base!H2008</f>
        <v>151</v>
      </c>
      <c r="E2008" s="44"/>
      <c r="F2008" s="16">
        <f>base!W2008</f>
        <v>31.71</v>
      </c>
      <c r="G2008" s="11">
        <f t="shared" si="310"/>
        <v>0.21</v>
      </c>
      <c r="H2008" s="11">
        <f t="shared" si="311"/>
        <v>28.69</v>
      </c>
      <c r="I2008" s="11">
        <f t="shared" si="312"/>
        <v>0.19</v>
      </c>
      <c r="J2008" s="12">
        <f t="shared" si="313"/>
        <v>3.0199999999999996</v>
      </c>
      <c r="K2008" s="17" t="str">
        <f t="shared" si="318"/>
        <v>Ecart positif</v>
      </c>
      <c r="L2008" s="16">
        <f>base!X2008</f>
        <v>0</v>
      </c>
      <c r="M2008" s="11">
        <f t="shared" si="314"/>
        <v>0</v>
      </c>
      <c r="N2008" s="11">
        <f t="shared" si="315"/>
        <v>0</v>
      </c>
      <c r="O2008" s="11">
        <f t="shared" si="316"/>
        <v>0</v>
      </c>
      <c r="P2008" s="12">
        <f t="shared" si="317"/>
        <v>0</v>
      </c>
      <c r="Q2008" s="17" t="str">
        <f t="shared" si="319"/>
        <v>Pas d'écart</v>
      </c>
    </row>
    <row r="2009" spans="1:18" x14ac:dyDescent="0.3">
      <c r="A2009" s="34" t="str">
        <f>base!J2009</f>
        <v>RS</v>
      </c>
      <c r="B2009" s="34" t="str">
        <f>base!V2009</f>
        <v>59800</v>
      </c>
      <c r="C2009" s="37">
        <v>59</v>
      </c>
      <c r="D2009" s="36">
        <f>base!H2009</f>
        <v>41</v>
      </c>
      <c r="E2009" s="44"/>
      <c r="F2009" s="16">
        <f>base!W2009</f>
        <v>0</v>
      </c>
      <c r="G2009" s="11">
        <f t="shared" si="310"/>
        <v>0</v>
      </c>
      <c r="H2009" s="11">
        <f t="shared" si="311"/>
        <v>7.79</v>
      </c>
      <c r="I2009" s="11">
        <f t="shared" si="312"/>
        <v>0.19</v>
      </c>
      <c r="J2009" s="12">
        <f t="shared" si="313"/>
        <v>-7.79</v>
      </c>
      <c r="K2009" s="17" t="str">
        <f t="shared" si="318"/>
        <v>Ecart négatif</v>
      </c>
      <c r="L2009" s="16">
        <f>base!X2009</f>
        <v>0</v>
      </c>
      <c r="M2009" s="11">
        <f t="shared" si="314"/>
        <v>0</v>
      </c>
      <c r="N2009" s="11">
        <f t="shared" si="315"/>
        <v>0</v>
      </c>
      <c r="O2009" s="11">
        <f t="shared" si="316"/>
        <v>0</v>
      </c>
      <c r="P2009" s="12">
        <f t="shared" si="317"/>
        <v>0</v>
      </c>
      <c r="Q2009" s="17" t="str">
        <f t="shared" si="319"/>
        <v>Pas d'écart</v>
      </c>
    </row>
    <row r="2010" spans="1:18" x14ac:dyDescent="0.3">
      <c r="A2010" s="34" t="str">
        <f>base!J2010</f>
        <v>RS</v>
      </c>
      <c r="B2010" s="34" t="str">
        <f>base!V2010</f>
        <v>83100</v>
      </c>
      <c r="C2010" s="37">
        <v>83</v>
      </c>
      <c r="D2010" s="36">
        <f>base!H2010</f>
        <v>140</v>
      </c>
      <c r="E2010" s="44"/>
      <c r="F2010" s="16">
        <f>base!W2010</f>
        <v>0</v>
      </c>
      <c r="G2010" s="11">
        <f t="shared" si="310"/>
        <v>0</v>
      </c>
      <c r="H2010" s="11">
        <f t="shared" si="311"/>
        <v>42</v>
      </c>
      <c r="I2010" s="11">
        <f t="shared" si="312"/>
        <v>0.3</v>
      </c>
      <c r="J2010" s="12">
        <f t="shared" si="313"/>
        <v>-42</v>
      </c>
      <c r="K2010" s="17" t="str">
        <f t="shared" si="318"/>
        <v>Ecart négatif</v>
      </c>
      <c r="L2010" s="16">
        <f>base!X2010</f>
        <v>29.4</v>
      </c>
      <c r="M2010" s="11">
        <f t="shared" si="314"/>
        <v>0.21</v>
      </c>
      <c r="N2010" s="11">
        <f t="shared" si="315"/>
        <v>29.4</v>
      </c>
      <c r="O2010" s="11">
        <f t="shared" si="316"/>
        <v>0.21</v>
      </c>
      <c r="P2010" s="12">
        <f t="shared" si="317"/>
        <v>0</v>
      </c>
      <c r="Q2010" s="17" t="str">
        <f t="shared" si="319"/>
        <v>Pas d'écart</v>
      </c>
      <c r="R2010" s="38"/>
    </row>
    <row r="2011" spans="1:18" x14ac:dyDescent="0.3">
      <c r="A2011" s="34" t="str">
        <f>base!J2011</f>
        <v>RM</v>
      </c>
      <c r="B2011" s="34" t="str">
        <f>base!V2011</f>
        <v>70000</v>
      </c>
      <c r="C2011" s="37">
        <v>70</v>
      </c>
      <c r="D2011" s="36">
        <f>base!H2011</f>
        <v>25</v>
      </c>
      <c r="E2011" s="44"/>
      <c r="F2011" s="16">
        <f>base!W2011</f>
        <v>0</v>
      </c>
      <c r="G2011" s="11">
        <f t="shared" si="310"/>
        <v>0</v>
      </c>
      <c r="H2011" s="11">
        <f t="shared" si="311"/>
        <v>6</v>
      </c>
      <c r="I2011" s="11">
        <f t="shared" si="312"/>
        <v>0.24</v>
      </c>
      <c r="J2011" s="12">
        <f t="shared" si="313"/>
        <v>-6</v>
      </c>
      <c r="K2011" s="17" t="str">
        <f t="shared" si="318"/>
        <v>Ecart négatif</v>
      </c>
      <c r="L2011" s="16">
        <f>base!X2011</f>
        <v>0</v>
      </c>
      <c r="M2011" s="11">
        <f t="shared" si="314"/>
        <v>0</v>
      </c>
      <c r="N2011" s="11">
        <f t="shared" si="315"/>
        <v>3</v>
      </c>
      <c r="O2011" s="11">
        <f t="shared" si="316"/>
        <v>0.12</v>
      </c>
      <c r="P2011" s="12">
        <f t="shared" si="317"/>
        <v>-3</v>
      </c>
      <c r="Q2011" s="17" t="str">
        <f t="shared" si="319"/>
        <v>Ecart négatif</v>
      </c>
    </row>
    <row r="2012" spans="1:18" x14ac:dyDescent="0.3">
      <c r="A2012" s="34" t="str">
        <f>base!J2012</f>
        <v>RM</v>
      </c>
      <c r="B2012" s="34" t="str">
        <f>base!V2012</f>
        <v>69200</v>
      </c>
      <c r="C2012" s="37">
        <v>69</v>
      </c>
      <c r="D2012" s="36">
        <f>base!H2012</f>
        <v>31.24</v>
      </c>
      <c r="E2012" s="44"/>
      <c r="F2012" s="16">
        <f>base!W2012</f>
        <v>0</v>
      </c>
      <c r="G2012" s="11">
        <f t="shared" si="310"/>
        <v>0</v>
      </c>
      <c r="H2012" s="11">
        <f t="shared" si="311"/>
        <v>8.434800000000001</v>
      </c>
      <c r="I2012" s="11">
        <f t="shared" si="312"/>
        <v>0.27</v>
      </c>
      <c r="J2012" s="12">
        <f t="shared" si="313"/>
        <v>-8.434800000000001</v>
      </c>
      <c r="K2012" s="17" t="str">
        <f t="shared" si="318"/>
        <v>Ecart négatif</v>
      </c>
      <c r="L2012" s="16">
        <f>base!X2012</f>
        <v>0</v>
      </c>
      <c r="M2012" s="11">
        <f t="shared" si="314"/>
        <v>0</v>
      </c>
      <c r="N2012" s="11">
        <f t="shared" si="315"/>
        <v>0</v>
      </c>
      <c r="O2012" s="11">
        <f t="shared" si="316"/>
        <v>0</v>
      </c>
      <c r="P2012" s="12">
        <f t="shared" si="317"/>
        <v>0</v>
      </c>
      <c r="Q2012" s="17" t="str">
        <f t="shared" si="319"/>
        <v>Pas d'écart</v>
      </c>
    </row>
    <row r="2013" spans="1:18" x14ac:dyDescent="0.3">
      <c r="A2013" s="34" t="str">
        <f>base!J2013</f>
        <v>RM</v>
      </c>
      <c r="B2013" s="34" t="str">
        <f>base!V2013</f>
        <v>54200</v>
      </c>
      <c r="C2013" s="37">
        <v>54</v>
      </c>
      <c r="D2013" s="36">
        <f>base!H2013</f>
        <v>151</v>
      </c>
      <c r="E2013" s="44"/>
      <c r="F2013" s="16">
        <f>base!W2013</f>
        <v>0</v>
      </c>
      <c r="G2013" s="11">
        <f t="shared" si="310"/>
        <v>0</v>
      </c>
      <c r="H2013" s="11">
        <f t="shared" si="311"/>
        <v>37.75</v>
      </c>
      <c r="I2013" s="11">
        <f t="shared" si="312"/>
        <v>0.25</v>
      </c>
      <c r="J2013" s="12">
        <f t="shared" si="313"/>
        <v>-37.75</v>
      </c>
      <c r="K2013" s="17" t="str">
        <f t="shared" si="318"/>
        <v>Ecart négatif</v>
      </c>
      <c r="L2013" s="16">
        <f>base!X2013</f>
        <v>37.75</v>
      </c>
      <c r="M2013" s="11">
        <f t="shared" si="314"/>
        <v>0.25</v>
      </c>
      <c r="N2013" s="11">
        <f t="shared" si="315"/>
        <v>37.75</v>
      </c>
      <c r="O2013" s="11">
        <f t="shared" si="316"/>
        <v>0.25</v>
      </c>
      <c r="P2013" s="12">
        <f t="shared" si="317"/>
        <v>0</v>
      </c>
      <c r="Q2013" s="17" t="str">
        <f t="shared" si="319"/>
        <v>Pas d'écart</v>
      </c>
      <c r="R2013" s="38"/>
    </row>
    <row r="2014" spans="1:18" x14ac:dyDescent="0.3">
      <c r="A2014" s="34" t="str">
        <f>base!J2014</f>
        <v>LM</v>
      </c>
      <c r="B2014" s="34" t="str">
        <f>base!V2014</f>
        <v>92000</v>
      </c>
      <c r="C2014" s="37">
        <v>92</v>
      </c>
      <c r="D2014" s="36">
        <f>base!H2014</f>
        <v>50.84</v>
      </c>
      <c r="E2014" s="44"/>
      <c r="F2014" s="16">
        <f>base!W2014</f>
        <v>0</v>
      </c>
      <c r="G2014" s="11">
        <f t="shared" si="310"/>
        <v>0</v>
      </c>
      <c r="H2014" s="11">
        <f t="shared" si="311"/>
        <v>0</v>
      </c>
      <c r="I2014" s="11">
        <f t="shared" si="312"/>
        <v>0</v>
      </c>
      <c r="J2014" s="12">
        <f t="shared" si="313"/>
        <v>0</v>
      </c>
      <c r="K2014" s="17" t="str">
        <f t="shared" si="318"/>
        <v>Pas d'écart</v>
      </c>
      <c r="L2014" s="16">
        <f>base!X2014</f>
        <v>0</v>
      </c>
      <c r="M2014" s="11">
        <f t="shared" si="314"/>
        <v>0</v>
      </c>
      <c r="N2014" s="11">
        <f t="shared" si="315"/>
        <v>0</v>
      </c>
      <c r="O2014" s="11">
        <f t="shared" si="316"/>
        <v>0</v>
      </c>
      <c r="P2014" s="12">
        <f t="shared" si="317"/>
        <v>0</v>
      </c>
      <c r="Q2014" s="17" t="str">
        <f t="shared" si="319"/>
        <v>Pas d'écart</v>
      </c>
    </row>
    <row r="2015" spans="1:18" x14ac:dyDescent="0.3">
      <c r="A2015" s="34" t="str">
        <f>base!J2015</f>
        <v>LM</v>
      </c>
      <c r="B2015" s="34" t="str">
        <f>base!V2015</f>
        <v>92000</v>
      </c>
      <c r="C2015" s="37">
        <v>92</v>
      </c>
      <c r="D2015" s="36">
        <f>base!H2015</f>
        <v>50.84</v>
      </c>
      <c r="E2015" s="44"/>
      <c r="F2015" s="16">
        <f>base!W2015</f>
        <v>0</v>
      </c>
      <c r="G2015" s="11">
        <f t="shared" si="310"/>
        <v>0</v>
      </c>
      <c r="H2015" s="11">
        <f t="shared" si="311"/>
        <v>0</v>
      </c>
      <c r="I2015" s="11">
        <f t="shared" si="312"/>
        <v>0</v>
      </c>
      <c r="J2015" s="12">
        <f t="shared" si="313"/>
        <v>0</v>
      </c>
      <c r="K2015" s="17" t="str">
        <f t="shared" si="318"/>
        <v>Pas d'écart</v>
      </c>
      <c r="L2015" s="16">
        <f>base!X2015</f>
        <v>0</v>
      </c>
      <c r="M2015" s="11">
        <f t="shared" si="314"/>
        <v>0</v>
      </c>
      <c r="N2015" s="11">
        <f t="shared" si="315"/>
        <v>0</v>
      </c>
      <c r="O2015" s="11">
        <f t="shared" si="316"/>
        <v>0</v>
      </c>
      <c r="P2015" s="12">
        <f t="shared" si="317"/>
        <v>0</v>
      </c>
      <c r="Q2015" s="17" t="str">
        <f t="shared" si="319"/>
        <v>Pas d'écart</v>
      </c>
    </row>
    <row r="2016" spans="1:18" x14ac:dyDescent="0.3">
      <c r="A2016" s="34" t="str">
        <f>base!J2016</f>
        <v>RS</v>
      </c>
      <c r="B2016" s="34" t="str">
        <f>base!V2016</f>
        <v>85000</v>
      </c>
      <c r="C2016" s="37">
        <v>85</v>
      </c>
      <c r="D2016" s="36">
        <f>base!H2016</f>
        <v>105.09</v>
      </c>
      <c r="E2016" s="44"/>
      <c r="F2016" s="16">
        <f>base!W2016</f>
        <v>0</v>
      </c>
      <c r="G2016" s="11">
        <f t="shared" si="310"/>
        <v>0</v>
      </c>
      <c r="H2016" s="11">
        <f t="shared" si="311"/>
        <v>28.374300000000002</v>
      </c>
      <c r="I2016" s="11">
        <f t="shared" si="312"/>
        <v>0.27</v>
      </c>
      <c r="J2016" s="12">
        <f t="shared" si="313"/>
        <v>-28.374300000000002</v>
      </c>
      <c r="K2016" s="17" t="str">
        <f t="shared" si="318"/>
        <v>Ecart négatif</v>
      </c>
      <c r="L2016" s="16">
        <f>base!X2016</f>
        <v>0</v>
      </c>
      <c r="M2016" s="11">
        <f t="shared" si="314"/>
        <v>0</v>
      </c>
      <c r="N2016" s="11">
        <f t="shared" si="315"/>
        <v>0</v>
      </c>
      <c r="O2016" s="11">
        <f t="shared" si="316"/>
        <v>0</v>
      </c>
      <c r="P2016" s="12">
        <f t="shared" si="317"/>
        <v>0</v>
      </c>
      <c r="Q2016" s="17" t="str">
        <f t="shared" si="319"/>
        <v>Pas d'écart</v>
      </c>
    </row>
    <row r="2017" spans="1:18" x14ac:dyDescent="0.3">
      <c r="A2017" s="34" t="str">
        <f>base!J2017</f>
        <v>DLM</v>
      </c>
      <c r="B2017" s="34" t="str">
        <f>base!V2017</f>
        <v>59000</v>
      </c>
      <c r="C2017" s="37">
        <v>59</v>
      </c>
      <c r="D2017" s="36">
        <f>base!H2017</f>
        <v>52.5</v>
      </c>
      <c r="E2017" s="44"/>
      <c r="F2017" s="16">
        <f>base!W2017</f>
        <v>0</v>
      </c>
      <c r="G2017" s="11">
        <f t="shared" si="310"/>
        <v>0</v>
      </c>
      <c r="H2017" s="11">
        <f t="shared" si="311"/>
        <v>9.9749999999999996</v>
      </c>
      <c r="I2017" s="11">
        <f t="shared" si="312"/>
        <v>0.19</v>
      </c>
      <c r="J2017" s="12">
        <f t="shared" si="313"/>
        <v>-9.9749999999999996</v>
      </c>
      <c r="K2017" s="17" t="str">
        <f t="shared" si="318"/>
        <v>Ecart négatif</v>
      </c>
      <c r="L2017" s="16">
        <f>base!X2017</f>
        <v>0</v>
      </c>
      <c r="M2017" s="11">
        <f t="shared" si="314"/>
        <v>0</v>
      </c>
      <c r="N2017" s="11">
        <f t="shared" si="315"/>
        <v>0</v>
      </c>
      <c r="O2017" s="11">
        <f t="shared" si="316"/>
        <v>0</v>
      </c>
      <c r="P2017" s="12">
        <f t="shared" si="317"/>
        <v>0</v>
      </c>
      <c r="Q2017" s="17" t="str">
        <f t="shared" si="319"/>
        <v>Pas d'écart</v>
      </c>
    </row>
    <row r="2018" spans="1:18" x14ac:dyDescent="0.3">
      <c r="A2018" s="34" t="str">
        <f>base!J2018</f>
        <v>DLM</v>
      </c>
      <c r="B2018" s="34" t="str">
        <f>base!V2018</f>
        <v>69003</v>
      </c>
      <c r="C2018" s="37">
        <v>69</v>
      </c>
      <c r="D2018" s="36">
        <f>base!H2018</f>
        <v>52.5</v>
      </c>
      <c r="E2018" s="44"/>
      <c r="F2018" s="16">
        <f>base!W2018</f>
        <v>0</v>
      </c>
      <c r="G2018" s="11">
        <f t="shared" si="310"/>
        <v>0</v>
      </c>
      <c r="H2018" s="11">
        <f t="shared" si="311"/>
        <v>14.175000000000001</v>
      </c>
      <c r="I2018" s="11">
        <f t="shared" si="312"/>
        <v>0.27</v>
      </c>
      <c r="J2018" s="12">
        <f t="shared" si="313"/>
        <v>-14.175000000000001</v>
      </c>
      <c r="K2018" s="17" t="str">
        <f t="shared" si="318"/>
        <v>Ecart négatif</v>
      </c>
      <c r="L2018" s="16">
        <f>base!X2018</f>
        <v>0</v>
      </c>
      <c r="M2018" s="11">
        <f t="shared" si="314"/>
        <v>0</v>
      </c>
      <c r="N2018" s="11">
        <f t="shared" si="315"/>
        <v>0</v>
      </c>
      <c r="O2018" s="11">
        <f t="shared" si="316"/>
        <v>0</v>
      </c>
      <c r="P2018" s="12">
        <f t="shared" si="317"/>
        <v>0</v>
      </c>
      <c r="Q2018" s="17" t="str">
        <f t="shared" si="319"/>
        <v>Pas d'écart</v>
      </c>
    </row>
    <row r="2019" spans="1:18" x14ac:dyDescent="0.3">
      <c r="A2019" s="34" t="str">
        <f>base!J2019</f>
        <v>RM</v>
      </c>
      <c r="B2019" s="34" t="str">
        <f>base!V2019</f>
        <v>77140</v>
      </c>
      <c r="C2019" s="37">
        <v>77</v>
      </c>
      <c r="D2019" s="36">
        <f>base!H2019</f>
        <v>41.31</v>
      </c>
      <c r="E2019" s="44"/>
      <c r="F2019" s="16">
        <f>base!W2019</f>
        <v>0</v>
      </c>
      <c r="G2019" s="11">
        <f t="shared" si="310"/>
        <v>0</v>
      </c>
      <c r="H2019" s="11">
        <f t="shared" si="311"/>
        <v>0</v>
      </c>
      <c r="I2019" s="11">
        <f t="shared" si="312"/>
        <v>0</v>
      </c>
      <c r="J2019" s="12">
        <f t="shared" si="313"/>
        <v>0</v>
      </c>
      <c r="K2019" s="17" t="str">
        <f t="shared" si="318"/>
        <v>Pas d'écart</v>
      </c>
      <c r="L2019" s="16">
        <f>base!X2019</f>
        <v>0</v>
      </c>
      <c r="M2019" s="11">
        <f t="shared" si="314"/>
        <v>0</v>
      </c>
      <c r="N2019" s="11">
        <f t="shared" si="315"/>
        <v>0</v>
      </c>
      <c r="O2019" s="11">
        <f t="shared" si="316"/>
        <v>0</v>
      </c>
      <c r="P2019" s="12">
        <f t="shared" si="317"/>
        <v>0</v>
      </c>
      <c r="Q2019" s="17" t="str">
        <f t="shared" si="319"/>
        <v>Pas d'écart</v>
      </c>
    </row>
    <row r="2020" spans="1:18" x14ac:dyDescent="0.3">
      <c r="A2020" s="34" t="str">
        <f>base!J2020</f>
        <v>RM</v>
      </c>
      <c r="B2020" s="34" t="str">
        <f>base!V2020</f>
        <v>60490</v>
      </c>
      <c r="C2020" s="37">
        <v>60</v>
      </c>
      <c r="D2020" s="36">
        <f>base!H2020</f>
        <v>255.61</v>
      </c>
      <c r="E2020" s="44"/>
      <c r="F2020" s="16">
        <f>base!W2020</f>
        <v>0</v>
      </c>
      <c r="G2020" s="11">
        <f t="shared" si="310"/>
        <v>0</v>
      </c>
      <c r="H2020" s="11">
        <f t="shared" si="311"/>
        <v>48.565900000000006</v>
      </c>
      <c r="I2020" s="11">
        <f t="shared" si="312"/>
        <v>0.19</v>
      </c>
      <c r="J2020" s="12">
        <f t="shared" si="313"/>
        <v>-48.565900000000006</v>
      </c>
      <c r="K2020" s="17" t="str">
        <f t="shared" si="318"/>
        <v>Ecart négatif</v>
      </c>
      <c r="L2020" s="16">
        <f>base!X2020</f>
        <v>0</v>
      </c>
      <c r="M2020" s="11">
        <f t="shared" si="314"/>
        <v>0</v>
      </c>
      <c r="N2020" s="11">
        <f t="shared" si="315"/>
        <v>0</v>
      </c>
      <c r="O2020" s="11">
        <f t="shared" si="316"/>
        <v>0</v>
      </c>
      <c r="P2020" s="12">
        <f t="shared" si="317"/>
        <v>0</v>
      </c>
      <c r="Q2020" s="17" t="str">
        <f t="shared" si="319"/>
        <v>Pas d'écart</v>
      </c>
    </row>
    <row r="2021" spans="1:18" x14ac:dyDescent="0.3">
      <c r="A2021" s="34" t="str">
        <f>base!J2021</f>
        <v>RS</v>
      </c>
      <c r="B2021" s="34" t="str">
        <f>base!V2021</f>
        <v>27100</v>
      </c>
      <c r="C2021" s="37">
        <v>27</v>
      </c>
      <c r="D2021" s="36">
        <f>base!H2021</f>
        <v>166.92</v>
      </c>
      <c r="E2021" s="44"/>
      <c r="F2021" s="16">
        <f>base!W2021</f>
        <v>0</v>
      </c>
      <c r="G2021" s="11">
        <f t="shared" si="310"/>
        <v>0</v>
      </c>
      <c r="H2021" s="11">
        <f t="shared" si="311"/>
        <v>28.3764</v>
      </c>
      <c r="I2021" s="11">
        <f t="shared" si="312"/>
        <v>0.17</v>
      </c>
      <c r="J2021" s="12">
        <f t="shared" si="313"/>
        <v>-28.3764</v>
      </c>
      <c r="K2021" s="17" t="str">
        <f t="shared" si="318"/>
        <v>Ecart négatif</v>
      </c>
      <c r="L2021" s="16">
        <f>base!X2021</f>
        <v>28.38</v>
      </c>
      <c r="M2021" s="11">
        <f t="shared" si="314"/>
        <v>0.17002156721782891</v>
      </c>
      <c r="N2021" s="11">
        <f t="shared" si="315"/>
        <v>28.3764</v>
      </c>
      <c r="O2021" s="11">
        <f t="shared" si="316"/>
        <v>0.17</v>
      </c>
      <c r="P2021" s="12">
        <f t="shared" si="317"/>
        <v>3.5999999999987153E-3</v>
      </c>
      <c r="Q2021" s="17" t="str">
        <f t="shared" si="319"/>
        <v>Ecart positif</v>
      </c>
      <c r="R2021" s="38"/>
    </row>
    <row r="2022" spans="1:18" x14ac:dyDescent="0.3">
      <c r="A2022" s="34" t="str">
        <f>base!J2022</f>
        <v>RM</v>
      </c>
      <c r="B2022" s="34" t="str">
        <f>base!V2022</f>
        <v>93290</v>
      </c>
      <c r="C2022" s="37">
        <v>93</v>
      </c>
      <c r="D2022" s="36">
        <f>base!H2022</f>
        <v>140</v>
      </c>
      <c r="E2022" s="44"/>
      <c r="F2022" s="16">
        <f>base!W2022</f>
        <v>0</v>
      </c>
      <c r="G2022" s="11">
        <f t="shared" si="310"/>
        <v>0</v>
      </c>
      <c r="H2022" s="11">
        <f t="shared" si="311"/>
        <v>0</v>
      </c>
      <c r="I2022" s="11">
        <f t="shared" si="312"/>
        <v>0</v>
      </c>
      <c r="J2022" s="12">
        <f t="shared" si="313"/>
        <v>0</v>
      </c>
      <c r="K2022" s="17" t="str">
        <f t="shared" si="318"/>
        <v>Pas d'écart</v>
      </c>
      <c r="L2022" s="16">
        <f>base!X2022</f>
        <v>0</v>
      </c>
      <c r="M2022" s="11">
        <f t="shared" si="314"/>
        <v>0</v>
      </c>
      <c r="N2022" s="11">
        <f t="shared" si="315"/>
        <v>0</v>
      </c>
      <c r="O2022" s="11">
        <f t="shared" si="316"/>
        <v>0</v>
      </c>
      <c r="P2022" s="12">
        <f t="shared" si="317"/>
        <v>0</v>
      </c>
      <c r="Q2022" s="17" t="str">
        <f t="shared" si="319"/>
        <v>Pas d'écart</v>
      </c>
    </row>
    <row r="2023" spans="1:18" x14ac:dyDescent="0.3">
      <c r="A2023" s="34" t="str">
        <f>base!J2023</f>
        <v>LS</v>
      </c>
      <c r="B2023" s="34" t="str">
        <f>base!V2023</f>
        <v>38070</v>
      </c>
      <c r="C2023" s="37">
        <v>59</v>
      </c>
      <c r="D2023" s="36">
        <f>base!H2023</f>
        <v>116.14</v>
      </c>
      <c r="E2023" s="44"/>
      <c r="F2023" s="16">
        <f>base!W2023</f>
        <v>31.36</v>
      </c>
      <c r="G2023" s="11">
        <f t="shared" si="310"/>
        <v>0.27001894265541587</v>
      </c>
      <c r="H2023" s="11">
        <f t="shared" si="311"/>
        <v>22.066600000000001</v>
      </c>
      <c r="I2023" s="11">
        <f t="shared" si="312"/>
        <v>0.19</v>
      </c>
      <c r="J2023" s="12">
        <f t="shared" si="313"/>
        <v>9.2933999999999983</v>
      </c>
      <c r="K2023" s="17" t="str">
        <f t="shared" si="318"/>
        <v>Ecart positif</v>
      </c>
      <c r="L2023" s="16">
        <f>base!X2023</f>
        <v>0</v>
      </c>
      <c r="M2023" s="11">
        <f t="shared" si="314"/>
        <v>0</v>
      </c>
      <c r="N2023" s="11">
        <f t="shared" si="315"/>
        <v>0</v>
      </c>
      <c r="O2023" s="11">
        <f t="shared" si="316"/>
        <v>0</v>
      </c>
      <c r="P2023" s="12">
        <f t="shared" si="317"/>
        <v>0</v>
      </c>
      <c r="Q2023" s="17" t="str">
        <f t="shared" si="319"/>
        <v>Pas d'écart</v>
      </c>
    </row>
    <row r="2024" spans="1:18" x14ac:dyDescent="0.3">
      <c r="A2024" s="34" t="str">
        <f>base!J2024</f>
        <v>DLM</v>
      </c>
      <c r="B2024" s="34" t="str">
        <f>base!V2024</f>
        <v>38110</v>
      </c>
      <c r="C2024" s="37">
        <v>38</v>
      </c>
      <c r="D2024" s="36">
        <f>base!H2024</f>
        <v>23.4</v>
      </c>
      <c r="E2024" s="44"/>
      <c r="F2024" s="16">
        <f>base!W2024</f>
        <v>0</v>
      </c>
      <c r="G2024" s="11">
        <f t="shared" si="310"/>
        <v>0</v>
      </c>
      <c r="H2024" s="11">
        <f t="shared" si="311"/>
        <v>6.3179999999999996</v>
      </c>
      <c r="I2024" s="11">
        <f t="shared" si="312"/>
        <v>0.27</v>
      </c>
      <c r="J2024" s="12">
        <f t="shared" si="313"/>
        <v>-6.3179999999999996</v>
      </c>
      <c r="K2024" s="17" t="str">
        <f t="shared" si="318"/>
        <v>Ecart négatif</v>
      </c>
      <c r="L2024" s="16">
        <f>base!X2024</f>
        <v>0</v>
      </c>
      <c r="M2024" s="11">
        <f t="shared" si="314"/>
        <v>0</v>
      </c>
      <c r="N2024" s="11">
        <f t="shared" si="315"/>
        <v>0</v>
      </c>
      <c r="O2024" s="11">
        <f t="shared" si="316"/>
        <v>0</v>
      </c>
      <c r="P2024" s="12">
        <f t="shared" si="317"/>
        <v>0</v>
      </c>
      <c r="Q2024" s="17" t="str">
        <f t="shared" si="319"/>
        <v>Pas d'écart</v>
      </c>
    </row>
    <row r="2025" spans="1:18" x14ac:dyDescent="0.3">
      <c r="A2025" s="34" t="str">
        <f>base!J2025</f>
        <v>DLS</v>
      </c>
      <c r="B2025" s="34" t="str">
        <f>base!V2025</f>
        <v>34400</v>
      </c>
      <c r="C2025" s="37">
        <v>34</v>
      </c>
      <c r="D2025" s="36">
        <f>base!H2025</f>
        <v>198.04</v>
      </c>
      <c r="E2025" s="44"/>
      <c r="F2025" s="16">
        <f>base!W2025</f>
        <v>0</v>
      </c>
      <c r="G2025" s="11">
        <f t="shared" si="310"/>
        <v>0</v>
      </c>
      <c r="H2025" s="11">
        <f t="shared" si="311"/>
        <v>77.235600000000005</v>
      </c>
      <c r="I2025" s="11">
        <f t="shared" si="312"/>
        <v>0.39000000000000007</v>
      </c>
      <c r="J2025" s="12">
        <f t="shared" si="313"/>
        <v>-77.235600000000005</v>
      </c>
      <c r="K2025" s="17" t="str">
        <f t="shared" si="318"/>
        <v>Ecart négatif</v>
      </c>
      <c r="L2025" s="16">
        <f>base!X2025</f>
        <v>53.47</v>
      </c>
      <c r="M2025" s="11">
        <f t="shared" si="314"/>
        <v>0.26999596041203799</v>
      </c>
      <c r="N2025" s="11">
        <f t="shared" si="315"/>
        <v>55.4512</v>
      </c>
      <c r="O2025" s="11">
        <f t="shared" si="316"/>
        <v>0.28000000000000003</v>
      </c>
      <c r="P2025" s="12">
        <f t="shared" si="317"/>
        <v>-1.9812000000000012</v>
      </c>
      <c r="Q2025" s="17" t="str">
        <f t="shared" si="319"/>
        <v>Ecart négatif</v>
      </c>
    </row>
    <row r="2026" spans="1:18" x14ac:dyDescent="0.3">
      <c r="A2026" s="34" t="str">
        <f>base!J2026</f>
        <v>DLM</v>
      </c>
      <c r="B2026" s="34" t="str">
        <f>base!V2026</f>
        <v>54230</v>
      </c>
      <c r="C2026" s="37">
        <v>54</v>
      </c>
      <c r="D2026" s="36">
        <f>base!H2026</f>
        <v>151</v>
      </c>
      <c r="E2026" s="44"/>
      <c r="F2026" s="16">
        <f>base!W2026</f>
        <v>0</v>
      </c>
      <c r="G2026" s="11">
        <f t="shared" si="310"/>
        <v>0</v>
      </c>
      <c r="H2026" s="11">
        <f t="shared" si="311"/>
        <v>37.75</v>
      </c>
      <c r="I2026" s="11">
        <f t="shared" si="312"/>
        <v>0.25</v>
      </c>
      <c r="J2026" s="12">
        <f t="shared" si="313"/>
        <v>-37.75</v>
      </c>
      <c r="K2026" s="17" t="str">
        <f t="shared" si="318"/>
        <v>Ecart négatif</v>
      </c>
      <c r="L2026" s="16">
        <f>base!X2026</f>
        <v>36.24</v>
      </c>
      <c r="M2026" s="11">
        <f t="shared" si="314"/>
        <v>0.24000000000000002</v>
      </c>
      <c r="N2026" s="11">
        <f t="shared" si="315"/>
        <v>37.75</v>
      </c>
      <c r="O2026" s="11">
        <f t="shared" si="316"/>
        <v>0.25</v>
      </c>
      <c r="P2026" s="12">
        <f t="shared" si="317"/>
        <v>-1.509999999999998</v>
      </c>
      <c r="Q2026" s="17" t="str">
        <f t="shared" si="319"/>
        <v>Ecart négatif</v>
      </c>
    </row>
    <row r="2027" spans="1:18" x14ac:dyDescent="0.3">
      <c r="A2027" s="34" t="str">
        <f>base!J2027</f>
        <v>RM</v>
      </c>
      <c r="B2027" s="34" t="str">
        <f>base!V2027</f>
        <v>01000</v>
      </c>
      <c r="C2027" s="37">
        <v>1</v>
      </c>
      <c r="D2027" s="36">
        <f>base!H2027</f>
        <v>40</v>
      </c>
      <c r="E2027" s="44"/>
      <c r="F2027" s="16">
        <f>base!W2027</f>
        <v>0</v>
      </c>
      <c r="G2027" s="11">
        <f t="shared" si="310"/>
        <v>0</v>
      </c>
      <c r="H2027" s="11">
        <f t="shared" si="311"/>
        <v>10.4</v>
      </c>
      <c r="I2027" s="11">
        <f t="shared" si="312"/>
        <v>0.26</v>
      </c>
      <c r="J2027" s="12">
        <f t="shared" si="313"/>
        <v>-10.4</v>
      </c>
      <c r="K2027" s="17" t="str">
        <f t="shared" si="318"/>
        <v>Ecart négatif</v>
      </c>
      <c r="L2027" s="16">
        <f>base!X2027</f>
        <v>0</v>
      </c>
      <c r="M2027" s="11">
        <f t="shared" si="314"/>
        <v>0</v>
      </c>
      <c r="N2027" s="11">
        <f t="shared" si="315"/>
        <v>0</v>
      </c>
      <c r="O2027" s="11">
        <f t="shared" si="316"/>
        <v>0</v>
      </c>
      <c r="P2027" s="12">
        <f t="shared" si="317"/>
        <v>0</v>
      </c>
      <c r="Q2027" s="17" t="str">
        <f t="shared" si="319"/>
        <v>Pas d'écart</v>
      </c>
    </row>
    <row r="2028" spans="1:18" x14ac:dyDescent="0.3">
      <c r="A2028" s="34" t="str">
        <f>base!J2028</f>
        <v>RS</v>
      </c>
      <c r="B2028" s="34" t="str">
        <f>base!V2028</f>
        <v>92700</v>
      </c>
      <c r="C2028" s="37">
        <v>92</v>
      </c>
      <c r="D2028" s="36">
        <f>base!H2028</f>
        <v>29.59</v>
      </c>
      <c r="E2028" s="44"/>
      <c r="F2028" s="16">
        <f>base!W2028</f>
        <v>0</v>
      </c>
      <c r="G2028" s="11">
        <f t="shared" si="310"/>
        <v>0</v>
      </c>
      <c r="H2028" s="11">
        <f t="shared" si="311"/>
        <v>0</v>
      </c>
      <c r="I2028" s="11">
        <f t="shared" si="312"/>
        <v>0</v>
      </c>
      <c r="J2028" s="12">
        <f t="shared" si="313"/>
        <v>0</v>
      </c>
      <c r="K2028" s="17" t="str">
        <f t="shared" si="318"/>
        <v>Pas d'écart</v>
      </c>
      <c r="L2028" s="16">
        <f>base!X2028</f>
        <v>0</v>
      </c>
      <c r="M2028" s="11">
        <f t="shared" si="314"/>
        <v>0</v>
      </c>
      <c r="N2028" s="11">
        <f t="shared" si="315"/>
        <v>0</v>
      </c>
      <c r="O2028" s="11">
        <f t="shared" si="316"/>
        <v>0</v>
      </c>
      <c r="P2028" s="12">
        <f t="shared" si="317"/>
        <v>0</v>
      </c>
      <c r="Q2028" s="17" t="str">
        <f t="shared" si="319"/>
        <v>Pas d'écart</v>
      </c>
    </row>
    <row r="2029" spans="1:18" x14ac:dyDescent="0.3">
      <c r="A2029" s="34" t="str">
        <f>base!J2029</f>
        <v>RM</v>
      </c>
      <c r="B2029" s="34" t="str">
        <f>base!V2029</f>
        <v>06560</v>
      </c>
      <c r="C2029" s="37">
        <v>6</v>
      </c>
      <c r="D2029" s="36">
        <f>base!H2029</f>
        <v>151</v>
      </c>
      <c r="E2029" s="44"/>
      <c r="F2029" s="16">
        <f>base!W2029</f>
        <v>0</v>
      </c>
      <c r="G2029" s="11">
        <f t="shared" si="310"/>
        <v>0</v>
      </c>
      <c r="H2029" s="11">
        <f t="shared" si="311"/>
        <v>45.3</v>
      </c>
      <c r="I2029" s="11">
        <f t="shared" si="312"/>
        <v>0.3</v>
      </c>
      <c r="J2029" s="12">
        <f t="shared" si="313"/>
        <v>-45.3</v>
      </c>
      <c r="K2029" s="17" t="str">
        <f t="shared" si="318"/>
        <v>Ecart négatif</v>
      </c>
      <c r="L2029" s="16">
        <f>base!X2029</f>
        <v>0</v>
      </c>
      <c r="M2029" s="11">
        <f t="shared" si="314"/>
        <v>0</v>
      </c>
      <c r="N2029" s="11">
        <f t="shared" si="315"/>
        <v>31.709999999999997</v>
      </c>
      <c r="O2029" s="11">
        <f t="shared" si="316"/>
        <v>0.21</v>
      </c>
      <c r="P2029" s="12">
        <f t="shared" si="317"/>
        <v>-31.709999999999997</v>
      </c>
      <c r="Q2029" s="17" t="str">
        <f t="shared" si="319"/>
        <v>Ecart négatif</v>
      </c>
    </row>
    <row r="2030" spans="1:18" x14ac:dyDescent="0.3">
      <c r="A2030" s="34" t="str">
        <f>base!J2030</f>
        <v>RM</v>
      </c>
      <c r="B2030" s="34" t="str">
        <f>base!V2030</f>
        <v>06560</v>
      </c>
      <c r="C2030" s="37">
        <v>6</v>
      </c>
      <c r="D2030" s="36">
        <f>base!H2030</f>
        <v>151</v>
      </c>
      <c r="E2030" s="44"/>
      <c r="F2030" s="16">
        <f>base!W2030</f>
        <v>0</v>
      </c>
      <c r="G2030" s="11">
        <f t="shared" si="310"/>
        <v>0</v>
      </c>
      <c r="H2030" s="11">
        <f t="shared" si="311"/>
        <v>45.3</v>
      </c>
      <c r="I2030" s="11">
        <f t="shared" si="312"/>
        <v>0.3</v>
      </c>
      <c r="J2030" s="12">
        <f t="shared" si="313"/>
        <v>-45.3</v>
      </c>
      <c r="K2030" s="17" t="str">
        <f t="shared" si="318"/>
        <v>Ecart négatif</v>
      </c>
      <c r="L2030" s="16">
        <f>base!X2030</f>
        <v>0</v>
      </c>
      <c r="M2030" s="11">
        <f t="shared" si="314"/>
        <v>0</v>
      </c>
      <c r="N2030" s="11">
        <f t="shared" si="315"/>
        <v>31.709999999999997</v>
      </c>
      <c r="O2030" s="11">
        <f t="shared" si="316"/>
        <v>0.21</v>
      </c>
      <c r="P2030" s="12">
        <f t="shared" si="317"/>
        <v>-31.709999999999997</v>
      </c>
      <c r="Q2030" s="17" t="str">
        <f t="shared" si="319"/>
        <v>Ecart négatif</v>
      </c>
    </row>
    <row r="2031" spans="1:18" x14ac:dyDescent="0.3">
      <c r="A2031" s="34" t="str">
        <f>base!J2031</f>
        <v>RM</v>
      </c>
      <c r="B2031" s="34" t="str">
        <f>base!V2031</f>
        <v>06560</v>
      </c>
      <c r="C2031" s="37">
        <v>6</v>
      </c>
      <c r="D2031" s="36">
        <f>base!H2031</f>
        <v>151</v>
      </c>
      <c r="E2031" s="44"/>
      <c r="F2031" s="16">
        <f>base!W2031</f>
        <v>0</v>
      </c>
      <c r="G2031" s="11">
        <f t="shared" si="310"/>
        <v>0</v>
      </c>
      <c r="H2031" s="11">
        <f t="shared" si="311"/>
        <v>45.3</v>
      </c>
      <c r="I2031" s="11">
        <f t="shared" si="312"/>
        <v>0.3</v>
      </c>
      <c r="J2031" s="12">
        <f t="shared" si="313"/>
        <v>-45.3</v>
      </c>
      <c r="K2031" s="17" t="str">
        <f t="shared" si="318"/>
        <v>Ecart négatif</v>
      </c>
      <c r="L2031" s="16">
        <f>base!X2031</f>
        <v>0</v>
      </c>
      <c r="M2031" s="11">
        <f t="shared" si="314"/>
        <v>0</v>
      </c>
      <c r="N2031" s="11">
        <f t="shared" si="315"/>
        <v>31.709999999999997</v>
      </c>
      <c r="O2031" s="11">
        <f t="shared" si="316"/>
        <v>0.21</v>
      </c>
      <c r="P2031" s="12">
        <f t="shared" si="317"/>
        <v>-31.709999999999997</v>
      </c>
      <c r="Q2031" s="17" t="str">
        <f t="shared" si="319"/>
        <v>Ecart négatif</v>
      </c>
    </row>
    <row r="2032" spans="1:18" x14ac:dyDescent="0.3">
      <c r="A2032" s="34" t="str">
        <f>base!J2032</f>
        <v>RS</v>
      </c>
      <c r="B2032" s="34" t="str">
        <f>base!V2032</f>
        <v>06560</v>
      </c>
      <c r="C2032" s="37">
        <v>6</v>
      </c>
      <c r="D2032" s="36">
        <f>base!H2032</f>
        <v>151</v>
      </c>
      <c r="E2032" s="44"/>
      <c r="F2032" s="16">
        <f>base!W2032</f>
        <v>0</v>
      </c>
      <c r="G2032" s="11">
        <f t="shared" si="310"/>
        <v>0</v>
      </c>
      <c r="H2032" s="11">
        <f t="shared" si="311"/>
        <v>45.3</v>
      </c>
      <c r="I2032" s="11">
        <f t="shared" si="312"/>
        <v>0.3</v>
      </c>
      <c r="J2032" s="12">
        <f t="shared" si="313"/>
        <v>-45.3</v>
      </c>
      <c r="K2032" s="17" t="str">
        <f t="shared" si="318"/>
        <v>Ecart négatif</v>
      </c>
      <c r="L2032" s="16">
        <f>base!X2032</f>
        <v>0</v>
      </c>
      <c r="M2032" s="11">
        <f t="shared" si="314"/>
        <v>0</v>
      </c>
      <c r="N2032" s="11">
        <f t="shared" si="315"/>
        <v>31.709999999999997</v>
      </c>
      <c r="O2032" s="11">
        <f t="shared" si="316"/>
        <v>0.21</v>
      </c>
      <c r="P2032" s="12">
        <f t="shared" si="317"/>
        <v>-31.709999999999997</v>
      </c>
      <c r="Q2032" s="17" t="str">
        <f t="shared" si="319"/>
        <v>Ecart négatif</v>
      </c>
    </row>
    <row r="2033" spans="1:18" x14ac:dyDescent="0.3">
      <c r="A2033" s="34" t="str">
        <f>base!J2033</f>
        <v>RM</v>
      </c>
      <c r="B2033" s="34" t="str">
        <f>base!V2033</f>
        <v>06560</v>
      </c>
      <c r="C2033" s="37">
        <v>6</v>
      </c>
      <c r="D2033" s="36">
        <f>base!H2033</f>
        <v>151</v>
      </c>
      <c r="E2033" s="44"/>
      <c r="F2033" s="16">
        <f>base!W2033</f>
        <v>0</v>
      </c>
      <c r="G2033" s="11">
        <f t="shared" si="310"/>
        <v>0</v>
      </c>
      <c r="H2033" s="11">
        <f t="shared" si="311"/>
        <v>45.3</v>
      </c>
      <c r="I2033" s="11">
        <f t="shared" si="312"/>
        <v>0.3</v>
      </c>
      <c r="J2033" s="12">
        <f t="shared" si="313"/>
        <v>-45.3</v>
      </c>
      <c r="K2033" s="17" t="str">
        <f t="shared" si="318"/>
        <v>Ecart négatif</v>
      </c>
      <c r="L2033" s="16">
        <f>base!X2033</f>
        <v>0</v>
      </c>
      <c r="M2033" s="11">
        <f t="shared" si="314"/>
        <v>0</v>
      </c>
      <c r="N2033" s="11">
        <f t="shared" si="315"/>
        <v>31.709999999999997</v>
      </c>
      <c r="O2033" s="11">
        <f t="shared" si="316"/>
        <v>0.21</v>
      </c>
      <c r="P2033" s="12">
        <f t="shared" si="317"/>
        <v>-31.709999999999997</v>
      </c>
      <c r="Q2033" s="17" t="str">
        <f t="shared" si="319"/>
        <v>Ecart négatif</v>
      </c>
    </row>
    <row r="2034" spans="1:18" x14ac:dyDescent="0.3">
      <c r="A2034" s="34" t="str">
        <f>base!J2034</f>
        <v>LM</v>
      </c>
      <c r="B2034" s="34" t="str">
        <f>base!V2034</f>
        <v>56920</v>
      </c>
      <c r="C2034" s="37">
        <v>59</v>
      </c>
      <c r="D2034" s="36">
        <f>base!H2034</f>
        <v>58.35</v>
      </c>
      <c r="E2034" s="44"/>
      <c r="F2034" s="16">
        <f>base!W2034</f>
        <v>15.75</v>
      </c>
      <c r="G2034" s="11">
        <f t="shared" si="310"/>
        <v>0.26992287917737789</v>
      </c>
      <c r="H2034" s="11">
        <f t="shared" si="311"/>
        <v>11.086500000000001</v>
      </c>
      <c r="I2034" s="11">
        <f t="shared" si="312"/>
        <v>0.19</v>
      </c>
      <c r="J2034" s="12">
        <f t="shared" si="313"/>
        <v>4.6634999999999991</v>
      </c>
      <c r="K2034" s="17" t="str">
        <f t="shared" si="318"/>
        <v>Ecart positif</v>
      </c>
      <c r="L2034" s="16">
        <f>base!X2034</f>
        <v>0</v>
      </c>
      <c r="M2034" s="11">
        <f t="shared" si="314"/>
        <v>0</v>
      </c>
      <c r="N2034" s="11">
        <f t="shared" si="315"/>
        <v>0</v>
      </c>
      <c r="O2034" s="11">
        <f t="shared" si="316"/>
        <v>0</v>
      </c>
      <c r="P2034" s="12">
        <f t="shared" si="317"/>
        <v>0</v>
      </c>
      <c r="Q2034" s="17" t="str">
        <f t="shared" si="319"/>
        <v>Pas d'écart</v>
      </c>
    </row>
    <row r="2035" spans="1:18" x14ac:dyDescent="0.3">
      <c r="A2035" s="34" t="str">
        <f>base!J2035</f>
        <v>RS</v>
      </c>
      <c r="B2035" s="34" t="str">
        <f>base!V2035</f>
        <v>25400</v>
      </c>
      <c r="C2035" s="37">
        <v>25</v>
      </c>
      <c r="D2035" s="36">
        <f>base!H2035</f>
        <v>133.47</v>
      </c>
      <c r="E2035" s="44"/>
      <c r="F2035" s="16">
        <f>base!W2035</f>
        <v>0</v>
      </c>
      <c r="G2035" s="11">
        <f t="shared" si="310"/>
        <v>0</v>
      </c>
      <c r="H2035" s="11">
        <f t="shared" si="311"/>
        <v>32.032800000000002</v>
      </c>
      <c r="I2035" s="11">
        <f t="shared" si="312"/>
        <v>0.24000000000000002</v>
      </c>
      <c r="J2035" s="12">
        <f t="shared" si="313"/>
        <v>-32.032800000000002</v>
      </c>
      <c r="K2035" s="17" t="str">
        <f t="shared" si="318"/>
        <v>Ecart négatif</v>
      </c>
      <c r="L2035" s="16">
        <f>base!X2035</f>
        <v>16.02</v>
      </c>
      <c r="M2035" s="11">
        <f t="shared" si="314"/>
        <v>0.12002697235333783</v>
      </c>
      <c r="N2035" s="11">
        <f t="shared" si="315"/>
        <v>16.016400000000001</v>
      </c>
      <c r="O2035" s="11">
        <f t="shared" si="316"/>
        <v>0.12000000000000001</v>
      </c>
      <c r="P2035" s="12">
        <f t="shared" si="317"/>
        <v>3.5999999999987153E-3</v>
      </c>
      <c r="Q2035" s="17" t="str">
        <f t="shared" si="319"/>
        <v>Ecart positif</v>
      </c>
      <c r="R2035" s="38"/>
    </row>
    <row r="2036" spans="1:18" x14ac:dyDescent="0.3">
      <c r="A2036" s="34" t="str">
        <f>base!J2036</f>
        <v>RM</v>
      </c>
      <c r="B2036" s="34" t="str">
        <f>base!V2036</f>
        <v>25400</v>
      </c>
      <c r="C2036" s="37">
        <v>25</v>
      </c>
      <c r="D2036" s="36">
        <f>base!H2036</f>
        <v>174.86</v>
      </c>
      <c r="E2036" s="44"/>
      <c r="F2036" s="16">
        <f>base!W2036</f>
        <v>0</v>
      </c>
      <c r="G2036" s="11">
        <f t="shared" si="310"/>
        <v>0</v>
      </c>
      <c r="H2036" s="11">
        <f t="shared" si="311"/>
        <v>41.9664</v>
      </c>
      <c r="I2036" s="11">
        <f t="shared" si="312"/>
        <v>0.24</v>
      </c>
      <c r="J2036" s="12">
        <f t="shared" si="313"/>
        <v>-41.9664</v>
      </c>
      <c r="K2036" s="17" t="str">
        <f t="shared" si="318"/>
        <v>Ecart négatif</v>
      </c>
      <c r="L2036" s="16">
        <f>base!X2036</f>
        <v>0</v>
      </c>
      <c r="M2036" s="11">
        <f t="shared" si="314"/>
        <v>0</v>
      </c>
      <c r="N2036" s="11">
        <f t="shared" si="315"/>
        <v>20.9832</v>
      </c>
      <c r="O2036" s="11">
        <f t="shared" si="316"/>
        <v>0.12</v>
      </c>
      <c r="P2036" s="12">
        <f t="shared" si="317"/>
        <v>-20.9832</v>
      </c>
      <c r="Q2036" s="17" t="str">
        <f t="shared" si="319"/>
        <v>Ecart négatif</v>
      </c>
    </row>
    <row r="2037" spans="1:18" x14ac:dyDescent="0.3">
      <c r="A2037" s="34" t="str">
        <f>base!J2037</f>
        <v>RS</v>
      </c>
      <c r="B2037" s="34" t="str">
        <f>base!V2037</f>
        <v>49124</v>
      </c>
      <c r="C2037" s="37">
        <v>49</v>
      </c>
      <c r="D2037" s="36">
        <f>base!H2037</f>
        <v>151</v>
      </c>
      <c r="E2037" s="44"/>
      <c r="F2037" s="16">
        <f>base!W2037</f>
        <v>0</v>
      </c>
      <c r="G2037" s="11">
        <f t="shared" si="310"/>
        <v>0</v>
      </c>
      <c r="H2037" s="11">
        <f t="shared" si="311"/>
        <v>40.770000000000003</v>
      </c>
      <c r="I2037" s="11">
        <f t="shared" si="312"/>
        <v>0.27</v>
      </c>
      <c r="J2037" s="12">
        <f t="shared" si="313"/>
        <v>-40.770000000000003</v>
      </c>
      <c r="K2037" s="17" t="str">
        <f t="shared" si="318"/>
        <v>Ecart négatif</v>
      </c>
      <c r="L2037" s="16">
        <f>base!X2037</f>
        <v>0</v>
      </c>
      <c r="M2037" s="11">
        <f t="shared" si="314"/>
        <v>0</v>
      </c>
      <c r="N2037" s="11">
        <f t="shared" si="315"/>
        <v>0</v>
      </c>
      <c r="O2037" s="11">
        <f t="shared" si="316"/>
        <v>0</v>
      </c>
      <c r="P2037" s="12">
        <f t="shared" si="317"/>
        <v>0</v>
      </c>
      <c r="Q2037" s="17" t="str">
        <f t="shared" si="319"/>
        <v>Pas d'écart</v>
      </c>
    </row>
    <row r="2038" spans="1:18" x14ac:dyDescent="0.3">
      <c r="A2038" s="34" t="str">
        <f>base!J2038</f>
        <v>RS</v>
      </c>
      <c r="B2038" s="34" t="str">
        <f>base!V2038</f>
        <v>74370</v>
      </c>
      <c r="C2038" s="37">
        <v>74</v>
      </c>
      <c r="D2038" s="36">
        <f>base!H2038</f>
        <v>404.92</v>
      </c>
      <c r="E2038" s="44"/>
      <c r="F2038" s="16">
        <f>base!W2038</f>
        <v>0</v>
      </c>
      <c r="G2038" s="11">
        <f t="shared" si="310"/>
        <v>0</v>
      </c>
      <c r="H2038" s="11">
        <f t="shared" si="311"/>
        <v>105.2792</v>
      </c>
      <c r="I2038" s="11">
        <f t="shared" si="312"/>
        <v>0.26</v>
      </c>
      <c r="J2038" s="12">
        <f t="shared" si="313"/>
        <v>-105.2792</v>
      </c>
      <c r="K2038" s="17" t="str">
        <f t="shared" si="318"/>
        <v>Ecart négatif</v>
      </c>
      <c r="L2038" s="16">
        <f>base!X2038</f>
        <v>0</v>
      </c>
      <c r="M2038" s="11">
        <f t="shared" si="314"/>
        <v>0</v>
      </c>
      <c r="N2038" s="11">
        <f t="shared" si="315"/>
        <v>0</v>
      </c>
      <c r="O2038" s="11">
        <f t="shared" si="316"/>
        <v>0</v>
      </c>
      <c r="P2038" s="12">
        <f t="shared" si="317"/>
        <v>0</v>
      </c>
      <c r="Q2038" s="17" t="str">
        <f t="shared" si="319"/>
        <v>Pas d'écart</v>
      </c>
    </row>
    <row r="2039" spans="1:18" x14ac:dyDescent="0.3">
      <c r="A2039" s="34" t="str">
        <f>base!J2039</f>
        <v>RM</v>
      </c>
      <c r="B2039" s="34" t="str">
        <f>base!V2039</f>
        <v>75014</v>
      </c>
      <c r="C2039" s="37">
        <v>75</v>
      </c>
      <c r="D2039" s="36">
        <f>base!H2039</f>
        <v>195.25</v>
      </c>
      <c r="E2039" s="44"/>
      <c r="F2039" s="16">
        <f>base!W2039</f>
        <v>0</v>
      </c>
      <c r="G2039" s="11">
        <f t="shared" si="310"/>
        <v>0</v>
      </c>
      <c r="H2039" s="11">
        <f t="shared" si="311"/>
        <v>0</v>
      </c>
      <c r="I2039" s="11">
        <f t="shared" si="312"/>
        <v>0</v>
      </c>
      <c r="J2039" s="12">
        <f t="shared" si="313"/>
        <v>0</v>
      </c>
      <c r="K2039" s="17" t="str">
        <f t="shared" si="318"/>
        <v>Pas d'écart</v>
      </c>
      <c r="L2039" s="16">
        <f>base!X2039</f>
        <v>0</v>
      </c>
      <c r="M2039" s="11">
        <f t="shared" si="314"/>
        <v>0</v>
      </c>
      <c r="N2039" s="11">
        <f t="shared" si="315"/>
        <v>0</v>
      </c>
      <c r="O2039" s="11">
        <f t="shared" si="316"/>
        <v>0</v>
      </c>
      <c r="P2039" s="12">
        <f t="shared" si="317"/>
        <v>0</v>
      </c>
      <c r="Q2039" s="17" t="str">
        <f t="shared" si="319"/>
        <v>Pas d'écart</v>
      </c>
    </row>
    <row r="2040" spans="1:18" x14ac:dyDescent="0.3">
      <c r="A2040" s="34" t="str">
        <f>base!J2040</f>
        <v>RS</v>
      </c>
      <c r="B2040" s="34" t="str">
        <f>base!V2040</f>
        <v>94510</v>
      </c>
      <c r="C2040" s="37">
        <v>94</v>
      </c>
      <c r="D2040" s="36">
        <f>base!H2040</f>
        <v>224.63</v>
      </c>
      <c r="E2040" s="44"/>
      <c r="F2040" s="16">
        <f>base!W2040</f>
        <v>0</v>
      </c>
      <c r="G2040" s="11">
        <f t="shared" si="310"/>
        <v>0</v>
      </c>
      <c r="H2040" s="11">
        <f t="shared" si="311"/>
        <v>0</v>
      </c>
      <c r="I2040" s="11">
        <f t="shared" si="312"/>
        <v>0</v>
      </c>
      <c r="J2040" s="12">
        <f t="shared" si="313"/>
        <v>0</v>
      </c>
      <c r="K2040" s="17" t="str">
        <f t="shared" si="318"/>
        <v>Pas d'écart</v>
      </c>
      <c r="L2040" s="16">
        <f>base!X2040</f>
        <v>0</v>
      </c>
      <c r="M2040" s="11">
        <f t="shared" si="314"/>
        <v>0</v>
      </c>
      <c r="N2040" s="11">
        <f t="shared" si="315"/>
        <v>0</v>
      </c>
      <c r="O2040" s="11">
        <f t="shared" si="316"/>
        <v>0</v>
      </c>
      <c r="P2040" s="12">
        <f t="shared" si="317"/>
        <v>0</v>
      </c>
      <c r="Q2040" s="17" t="str">
        <f t="shared" si="319"/>
        <v>Pas d'écart</v>
      </c>
    </row>
    <row r="2041" spans="1:18" x14ac:dyDescent="0.3">
      <c r="A2041" s="34" t="str">
        <f>base!J2041</f>
        <v>LS</v>
      </c>
      <c r="B2041" s="34" t="str">
        <f>base!V2041</f>
        <v>95500</v>
      </c>
      <c r="C2041" s="37">
        <v>95</v>
      </c>
      <c r="D2041" s="36">
        <f>base!H2041</f>
        <v>40</v>
      </c>
      <c r="E2041" s="44"/>
      <c r="F2041" s="16">
        <f>base!W2041</f>
        <v>0</v>
      </c>
      <c r="G2041" s="11">
        <f t="shared" si="310"/>
        <v>0</v>
      </c>
      <c r="H2041" s="11">
        <f t="shared" si="311"/>
        <v>0</v>
      </c>
      <c r="I2041" s="11">
        <f t="shared" si="312"/>
        <v>0</v>
      </c>
      <c r="J2041" s="12">
        <f t="shared" si="313"/>
        <v>0</v>
      </c>
      <c r="K2041" s="17" t="str">
        <f t="shared" si="318"/>
        <v>Pas d'écart</v>
      </c>
      <c r="L2041" s="16">
        <f>base!X2041</f>
        <v>0</v>
      </c>
      <c r="M2041" s="11">
        <f t="shared" si="314"/>
        <v>0</v>
      </c>
      <c r="N2041" s="11">
        <f t="shared" si="315"/>
        <v>0</v>
      </c>
      <c r="O2041" s="11">
        <f t="shared" si="316"/>
        <v>0</v>
      </c>
      <c r="P2041" s="12">
        <f t="shared" si="317"/>
        <v>0</v>
      </c>
      <c r="Q2041" s="17" t="str">
        <f t="shared" si="319"/>
        <v>Pas d'écart</v>
      </c>
    </row>
    <row r="2042" spans="1:18" x14ac:dyDescent="0.3">
      <c r="A2042" s="34">
        <f>base!J2042</f>
        <v>0</v>
      </c>
      <c r="B2042" s="34" t="str">
        <f>base!V2042</f>
        <v>77184</v>
      </c>
      <c r="C2042" s="37">
        <v>77</v>
      </c>
      <c r="D2042" s="36">
        <f>base!H2042</f>
        <v>31</v>
      </c>
      <c r="E2042" s="44"/>
      <c r="F2042" s="16">
        <f>base!W2042</f>
        <v>0</v>
      </c>
      <c r="G2042" s="11">
        <f t="shared" si="310"/>
        <v>0</v>
      </c>
      <c r="H2042" s="11">
        <f t="shared" si="311"/>
        <v>0</v>
      </c>
      <c r="I2042" s="11">
        <f t="shared" si="312"/>
        <v>0</v>
      </c>
      <c r="J2042" s="12">
        <f t="shared" si="313"/>
        <v>0</v>
      </c>
      <c r="K2042" s="17" t="str">
        <f t="shared" si="318"/>
        <v>Pas d'écart</v>
      </c>
      <c r="L2042" s="16">
        <f>base!X2042</f>
        <v>0</v>
      </c>
      <c r="M2042" s="11">
        <f t="shared" si="314"/>
        <v>0</v>
      </c>
      <c r="N2042" s="11">
        <f t="shared" si="315"/>
        <v>0</v>
      </c>
      <c r="O2042" s="11">
        <f t="shared" si="316"/>
        <v>0</v>
      </c>
      <c r="P2042" s="12">
        <f t="shared" si="317"/>
        <v>0</v>
      </c>
      <c r="Q2042" s="17" t="str">
        <f t="shared" si="319"/>
        <v>Pas d'écart</v>
      </c>
    </row>
    <row r="2043" spans="1:18" x14ac:dyDescent="0.3">
      <c r="A2043" s="34" t="str">
        <f>base!J2043</f>
        <v>RS</v>
      </c>
      <c r="B2043" s="34" t="str">
        <f>base!V2043</f>
        <v>42160</v>
      </c>
      <c r="C2043" s="37">
        <v>42</v>
      </c>
      <c r="D2043" s="36">
        <f>base!H2043</f>
        <v>25</v>
      </c>
      <c r="E2043" s="44"/>
      <c r="F2043" s="16">
        <f>base!W2043</f>
        <v>0</v>
      </c>
      <c r="G2043" s="11">
        <f t="shared" si="310"/>
        <v>0</v>
      </c>
      <c r="H2043" s="11">
        <f t="shared" si="311"/>
        <v>6.5</v>
      </c>
      <c r="I2043" s="11">
        <f t="shared" si="312"/>
        <v>0.26</v>
      </c>
      <c r="J2043" s="12">
        <f t="shared" si="313"/>
        <v>-6.5</v>
      </c>
      <c r="K2043" s="17" t="str">
        <f t="shared" si="318"/>
        <v>Ecart négatif</v>
      </c>
      <c r="L2043" s="16">
        <f>base!X2043</f>
        <v>0</v>
      </c>
      <c r="M2043" s="11">
        <f t="shared" si="314"/>
        <v>0</v>
      </c>
      <c r="N2043" s="11">
        <f t="shared" si="315"/>
        <v>0</v>
      </c>
      <c r="O2043" s="11">
        <f t="shared" si="316"/>
        <v>0</v>
      </c>
      <c r="P2043" s="12">
        <f t="shared" si="317"/>
        <v>0</v>
      </c>
      <c r="Q2043" s="17" t="str">
        <f t="shared" si="319"/>
        <v>Pas d'écart</v>
      </c>
    </row>
    <row r="2044" spans="1:18" x14ac:dyDescent="0.3">
      <c r="A2044" s="34" t="str">
        <f>base!J2044</f>
        <v>RM</v>
      </c>
      <c r="B2044" s="34" t="str">
        <f>base!V2044</f>
        <v>42160</v>
      </c>
      <c r="C2044" s="37">
        <v>42</v>
      </c>
      <c r="D2044" s="36">
        <f>base!H2044</f>
        <v>226.98</v>
      </c>
      <c r="E2044" s="44"/>
      <c r="F2044" s="16">
        <f>base!W2044</f>
        <v>0</v>
      </c>
      <c r="G2044" s="11">
        <f t="shared" si="310"/>
        <v>0</v>
      </c>
      <c r="H2044" s="11">
        <f t="shared" si="311"/>
        <v>59.014800000000001</v>
      </c>
      <c r="I2044" s="11">
        <f t="shared" si="312"/>
        <v>0.26</v>
      </c>
      <c r="J2044" s="12">
        <f t="shared" si="313"/>
        <v>-59.014800000000001</v>
      </c>
      <c r="K2044" s="17" t="str">
        <f t="shared" si="318"/>
        <v>Ecart négatif</v>
      </c>
      <c r="L2044" s="16">
        <f>base!X2044</f>
        <v>0</v>
      </c>
      <c r="M2044" s="11">
        <f t="shared" si="314"/>
        <v>0</v>
      </c>
      <c r="N2044" s="11">
        <f t="shared" si="315"/>
        <v>0</v>
      </c>
      <c r="O2044" s="11">
        <f t="shared" si="316"/>
        <v>0</v>
      </c>
      <c r="P2044" s="12">
        <f t="shared" si="317"/>
        <v>0</v>
      </c>
      <c r="Q2044" s="17" t="str">
        <f t="shared" si="319"/>
        <v>Pas d'écart</v>
      </c>
    </row>
    <row r="2045" spans="1:18" x14ac:dyDescent="0.3">
      <c r="A2045" s="34" t="str">
        <f>base!J2045</f>
        <v>RS</v>
      </c>
      <c r="B2045" s="34" t="str">
        <f>base!V2045</f>
        <v>59500</v>
      </c>
      <c r="C2045" s="37">
        <v>59</v>
      </c>
      <c r="D2045" s="36">
        <f>base!H2045</f>
        <v>40</v>
      </c>
      <c r="E2045" s="44"/>
      <c r="F2045" s="16">
        <f>base!W2045</f>
        <v>0</v>
      </c>
      <c r="G2045" s="11">
        <f t="shared" si="310"/>
        <v>0</v>
      </c>
      <c r="H2045" s="11">
        <f t="shared" si="311"/>
        <v>7.6</v>
      </c>
      <c r="I2045" s="11">
        <f t="shared" si="312"/>
        <v>0.19</v>
      </c>
      <c r="J2045" s="12">
        <f t="shared" si="313"/>
        <v>-7.6</v>
      </c>
      <c r="K2045" s="17" t="str">
        <f t="shared" si="318"/>
        <v>Ecart négatif</v>
      </c>
      <c r="L2045" s="16">
        <f>base!X2045</f>
        <v>0</v>
      </c>
      <c r="M2045" s="11">
        <f t="shared" si="314"/>
        <v>0</v>
      </c>
      <c r="N2045" s="11">
        <f t="shared" si="315"/>
        <v>0</v>
      </c>
      <c r="O2045" s="11">
        <f t="shared" si="316"/>
        <v>0</v>
      </c>
      <c r="P2045" s="12">
        <f t="shared" si="317"/>
        <v>0</v>
      </c>
      <c r="Q2045" s="17" t="str">
        <f t="shared" si="319"/>
        <v>Pas d'écart</v>
      </c>
    </row>
    <row r="2046" spans="1:18" x14ac:dyDescent="0.3">
      <c r="A2046" s="34">
        <f>base!J2046</f>
        <v>0</v>
      </c>
      <c r="B2046" s="34" t="str">
        <f>base!V2046</f>
        <v>77184</v>
      </c>
      <c r="C2046" s="37">
        <v>77</v>
      </c>
      <c r="D2046" s="36">
        <f>base!H2046</f>
        <v>26.6</v>
      </c>
      <c r="E2046" s="44"/>
      <c r="F2046" s="16">
        <f>base!W2046</f>
        <v>0</v>
      </c>
      <c r="G2046" s="11">
        <f t="shared" si="310"/>
        <v>0</v>
      </c>
      <c r="H2046" s="11">
        <f t="shared" si="311"/>
        <v>0</v>
      </c>
      <c r="I2046" s="11">
        <f t="shared" si="312"/>
        <v>0</v>
      </c>
      <c r="J2046" s="12">
        <f t="shared" si="313"/>
        <v>0</v>
      </c>
      <c r="K2046" s="17" t="str">
        <f t="shared" si="318"/>
        <v>Pas d'écart</v>
      </c>
      <c r="L2046" s="16">
        <f>base!X2046</f>
        <v>0</v>
      </c>
      <c r="M2046" s="11">
        <f t="shared" si="314"/>
        <v>0</v>
      </c>
      <c r="N2046" s="11">
        <f t="shared" si="315"/>
        <v>0</v>
      </c>
      <c r="O2046" s="11">
        <f t="shared" si="316"/>
        <v>0</v>
      </c>
      <c r="P2046" s="12">
        <f t="shared" si="317"/>
        <v>0</v>
      </c>
      <c r="Q2046" s="17" t="str">
        <f t="shared" si="319"/>
        <v>Pas d'écart</v>
      </c>
    </row>
    <row r="2047" spans="1:18" x14ac:dyDescent="0.3">
      <c r="A2047" s="34" t="str">
        <f>base!J2047</f>
        <v>LM</v>
      </c>
      <c r="B2047" s="34" t="str">
        <f>base!V2047</f>
        <v>75009</v>
      </c>
      <c r="C2047" s="37">
        <v>75</v>
      </c>
      <c r="D2047" s="36">
        <f>base!H2047</f>
        <v>174.26</v>
      </c>
      <c r="E2047" s="44"/>
      <c r="F2047" s="16">
        <f>base!W2047</f>
        <v>0</v>
      </c>
      <c r="G2047" s="11">
        <f t="shared" si="310"/>
        <v>0</v>
      </c>
      <c r="H2047" s="11">
        <f t="shared" si="311"/>
        <v>0</v>
      </c>
      <c r="I2047" s="11">
        <f t="shared" si="312"/>
        <v>0</v>
      </c>
      <c r="J2047" s="12">
        <f t="shared" si="313"/>
        <v>0</v>
      </c>
      <c r="K2047" s="17" t="str">
        <f t="shared" si="318"/>
        <v>Pas d'écart</v>
      </c>
      <c r="L2047" s="16">
        <f>base!X2047</f>
        <v>0</v>
      </c>
      <c r="M2047" s="11">
        <f t="shared" si="314"/>
        <v>0</v>
      </c>
      <c r="N2047" s="11">
        <f t="shared" si="315"/>
        <v>0</v>
      </c>
      <c r="O2047" s="11">
        <f t="shared" si="316"/>
        <v>0</v>
      </c>
      <c r="P2047" s="12">
        <f t="shared" si="317"/>
        <v>0</v>
      </c>
      <c r="Q2047" s="17" t="str">
        <f t="shared" si="319"/>
        <v>Pas d'écart</v>
      </c>
    </row>
    <row r="2048" spans="1:18" x14ac:dyDescent="0.3">
      <c r="A2048" s="34" t="str">
        <f>base!J2048</f>
        <v>LS</v>
      </c>
      <c r="B2048" s="34" t="str">
        <f>base!V2048</f>
        <v>38120</v>
      </c>
      <c r="C2048" s="37">
        <v>80</v>
      </c>
      <c r="D2048" s="36">
        <f>base!H2048</f>
        <v>33.35</v>
      </c>
      <c r="E2048" s="44"/>
      <c r="F2048" s="16">
        <f>base!W2048</f>
        <v>9</v>
      </c>
      <c r="G2048" s="11">
        <f t="shared" si="310"/>
        <v>0.26986506746626687</v>
      </c>
      <c r="H2048" s="11">
        <f t="shared" si="311"/>
        <v>6.3365</v>
      </c>
      <c r="I2048" s="11">
        <f t="shared" si="312"/>
        <v>0.19</v>
      </c>
      <c r="J2048" s="12">
        <f t="shared" si="313"/>
        <v>2.6635</v>
      </c>
      <c r="K2048" s="17" t="str">
        <f t="shared" si="318"/>
        <v>Ecart positif</v>
      </c>
      <c r="L2048" s="16">
        <f>base!X2048</f>
        <v>0</v>
      </c>
      <c r="M2048" s="11">
        <f t="shared" si="314"/>
        <v>0</v>
      </c>
      <c r="N2048" s="11">
        <f t="shared" si="315"/>
        <v>0</v>
      </c>
      <c r="O2048" s="11">
        <f t="shared" si="316"/>
        <v>0</v>
      </c>
      <c r="P2048" s="12">
        <f t="shared" si="317"/>
        <v>0</v>
      </c>
      <c r="Q2048" s="17" t="str">
        <f t="shared" si="319"/>
        <v>Pas d'écart</v>
      </c>
    </row>
    <row r="2049" spans="1:18" x14ac:dyDescent="0.3">
      <c r="A2049" s="34" t="str">
        <f>base!J2049</f>
        <v>RM</v>
      </c>
      <c r="B2049" s="34" t="str">
        <f>base!V2049</f>
        <v>01000</v>
      </c>
      <c r="C2049" s="37">
        <v>1</v>
      </c>
      <c r="D2049" s="36">
        <f>base!H2049</f>
        <v>215.58</v>
      </c>
      <c r="E2049" s="44"/>
      <c r="F2049" s="16">
        <f>base!W2049</f>
        <v>0</v>
      </c>
      <c r="G2049" s="11">
        <f t="shared" si="310"/>
        <v>0</v>
      </c>
      <c r="H2049" s="11">
        <f t="shared" si="311"/>
        <v>56.050800000000002</v>
      </c>
      <c r="I2049" s="11">
        <f t="shared" si="312"/>
        <v>0.26</v>
      </c>
      <c r="J2049" s="12">
        <f t="shared" si="313"/>
        <v>-56.050800000000002</v>
      </c>
      <c r="K2049" s="17" t="str">
        <f t="shared" si="318"/>
        <v>Ecart négatif</v>
      </c>
      <c r="L2049" s="16">
        <f>base!X2049</f>
        <v>0</v>
      </c>
      <c r="M2049" s="11">
        <f t="shared" si="314"/>
        <v>0</v>
      </c>
      <c r="N2049" s="11">
        <f t="shared" si="315"/>
        <v>0</v>
      </c>
      <c r="O2049" s="11">
        <f t="shared" si="316"/>
        <v>0</v>
      </c>
      <c r="P2049" s="12">
        <f t="shared" si="317"/>
        <v>0</v>
      </c>
      <c r="Q2049" s="17" t="str">
        <f t="shared" si="319"/>
        <v>Pas d'écart</v>
      </c>
    </row>
    <row r="2050" spans="1:18" x14ac:dyDescent="0.3">
      <c r="A2050" s="34" t="str">
        <f>base!J2050</f>
        <v>RM</v>
      </c>
      <c r="B2050" s="34" t="str">
        <f>base!V2050</f>
        <v>76800</v>
      </c>
      <c r="C2050" s="37">
        <v>76</v>
      </c>
      <c r="D2050" s="36">
        <f>base!H2050</f>
        <v>204</v>
      </c>
      <c r="E2050" s="44"/>
      <c r="F2050" s="16">
        <f>base!W2050</f>
        <v>0</v>
      </c>
      <c r="G2050" s="11">
        <f t="shared" ref="G2050:G2113" si="320">F2050/D2050</f>
        <v>0</v>
      </c>
      <c r="H2050" s="11">
        <f t="shared" ref="H2050:H2113" si="321">VLOOKUP(C2050,tout_cout_traction,2,FALSE)*D2050</f>
        <v>34.68</v>
      </c>
      <c r="I2050" s="11">
        <f t="shared" ref="I2050:I2113" si="322">H2050/D2050</f>
        <v>0.17</v>
      </c>
      <c r="J2050" s="12">
        <f t="shared" ref="J2050:J2113" si="323">F2050-H2050</f>
        <v>-34.68</v>
      </c>
      <c r="K2050" s="17" t="str">
        <f t="shared" si="318"/>
        <v>Ecart négatif</v>
      </c>
      <c r="L2050" s="16">
        <f>base!X2050</f>
        <v>34.68</v>
      </c>
      <c r="M2050" s="11">
        <f t="shared" ref="M2050:M2113" si="324">L2050/D2050</f>
        <v>0.17</v>
      </c>
      <c r="N2050" s="11">
        <f t="shared" ref="N2050:N2113" si="325">VLOOKUP(C2050,tout_cout_traction,3,FALSE)*D2050</f>
        <v>34.68</v>
      </c>
      <c r="O2050" s="11">
        <f t="shared" ref="O2050:O2113" si="326">N2050/D2050</f>
        <v>0.17</v>
      </c>
      <c r="P2050" s="12">
        <f t="shared" ref="P2050:P2113" si="327">L2050-N2050</f>
        <v>0</v>
      </c>
      <c r="Q2050" s="17" t="str">
        <f t="shared" si="319"/>
        <v>Pas d'écart</v>
      </c>
      <c r="R2050" s="38"/>
    </row>
    <row r="2051" spans="1:18" x14ac:dyDescent="0.3">
      <c r="A2051" s="34" t="str">
        <f>base!J2051</f>
        <v>RM</v>
      </c>
      <c r="B2051" s="34" t="str">
        <f>base!V2051</f>
        <v>76800</v>
      </c>
      <c r="C2051" s="37">
        <v>76</v>
      </c>
      <c r="D2051" s="36">
        <f>base!H2051</f>
        <v>204</v>
      </c>
      <c r="E2051" s="44"/>
      <c r="F2051" s="16">
        <f>base!W2051</f>
        <v>0</v>
      </c>
      <c r="G2051" s="11">
        <f t="shared" si="320"/>
        <v>0</v>
      </c>
      <c r="H2051" s="11">
        <f t="shared" si="321"/>
        <v>34.68</v>
      </c>
      <c r="I2051" s="11">
        <f t="shared" si="322"/>
        <v>0.17</v>
      </c>
      <c r="J2051" s="12">
        <f t="shared" si="323"/>
        <v>-34.68</v>
      </c>
      <c r="K2051" s="17" t="str">
        <f t="shared" ref="K2051:K2114" si="328">IF(H2051=F2051,"Pas d'écart",IF(H2051&lt;F2051,"Ecart positif",IF(H2051&gt;F2051,"Ecart négatif")))</f>
        <v>Ecart négatif</v>
      </c>
      <c r="L2051" s="16">
        <f>base!X2051</f>
        <v>34.68</v>
      </c>
      <c r="M2051" s="11">
        <f t="shared" si="324"/>
        <v>0.17</v>
      </c>
      <c r="N2051" s="11">
        <f t="shared" si="325"/>
        <v>34.68</v>
      </c>
      <c r="O2051" s="11">
        <f t="shared" si="326"/>
        <v>0.17</v>
      </c>
      <c r="P2051" s="12">
        <f t="shared" si="327"/>
        <v>0</v>
      </c>
      <c r="Q2051" s="17" t="str">
        <f t="shared" ref="Q2051:Q2114" si="329">IF(N2051=L2051,"Pas d'écart",IF(N2051&lt;L2051,"Ecart positif",IF(N2051&gt;L2051,"Ecart négatif")))</f>
        <v>Pas d'écart</v>
      </c>
      <c r="R2051" s="38"/>
    </row>
    <row r="2052" spans="1:18" x14ac:dyDescent="0.3">
      <c r="A2052" s="34" t="str">
        <f>base!J2052</f>
        <v>RM</v>
      </c>
      <c r="B2052" s="34" t="str">
        <f>base!V2052</f>
        <v>14790</v>
      </c>
      <c r="C2052" s="37">
        <v>14</v>
      </c>
      <c r="D2052" s="36">
        <f>base!H2052</f>
        <v>140</v>
      </c>
      <c r="E2052" s="44"/>
      <c r="F2052" s="16">
        <f>base!W2052</f>
        <v>0</v>
      </c>
      <c r="G2052" s="11">
        <f t="shared" si="320"/>
        <v>0</v>
      </c>
      <c r="H2052" s="11">
        <f t="shared" si="321"/>
        <v>23.8</v>
      </c>
      <c r="I2052" s="11">
        <f t="shared" si="322"/>
        <v>0.17</v>
      </c>
      <c r="J2052" s="12">
        <f t="shared" si="323"/>
        <v>-23.8</v>
      </c>
      <c r="K2052" s="17" t="str">
        <f t="shared" si="328"/>
        <v>Ecart négatif</v>
      </c>
      <c r="L2052" s="16">
        <f>base!X2052</f>
        <v>23.8</v>
      </c>
      <c r="M2052" s="11">
        <f t="shared" si="324"/>
        <v>0.17</v>
      </c>
      <c r="N2052" s="11">
        <f t="shared" si="325"/>
        <v>23.8</v>
      </c>
      <c r="O2052" s="11">
        <f t="shared" si="326"/>
        <v>0.17</v>
      </c>
      <c r="P2052" s="12">
        <f t="shared" si="327"/>
        <v>0</v>
      </c>
      <c r="Q2052" s="17" t="str">
        <f t="shared" si="329"/>
        <v>Pas d'écart</v>
      </c>
    </row>
    <row r="2053" spans="1:18" x14ac:dyDescent="0.3">
      <c r="A2053" s="34" t="str">
        <f>base!J2053</f>
        <v>LM</v>
      </c>
      <c r="B2053" s="34" t="str">
        <f>base!V2053</f>
        <v>60950</v>
      </c>
      <c r="C2053" s="37">
        <v>8</v>
      </c>
      <c r="D2053" s="36">
        <f>base!H2053</f>
        <v>174.85</v>
      </c>
      <c r="E2053" s="44"/>
      <c r="F2053" s="16">
        <f>base!W2053</f>
        <v>33.22</v>
      </c>
      <c r="G2053" s="11">
        <f t="shared" si="320"/>
        <v>0.18999142121818702</v>
      </c>
      <c r="H2053" s="11">
        <f t="shared" si="321"/>
        <v>31.472999999999999</v>
      </c>
      <c r="I2053" s="11">
        <f t="shared" si="322"/>
        <v>0.18</v>
      </c>
      <c r="J2053" s="12">
        <f t="shared" si="323"/>
        <v>1.7469999999999999</v>
      </c>
      <c r="K2053" s="17" t="str">
        <f t="shared" si="328"/>
        <v>Ecart positif</v>
      </c>
      <c r="L2053" s="16">
        <f>base!X2053</f>
        <v>0</v>
      </c>
      <c r="M2053" s="11">
        <f t="shared" si="324"/>
        <v>0</v>
      </c>
      <c r="N2053" s="11">
        <f t="shared" si="325"/>
        <v>0</v>
      </c>
      <c r="O2053" s="11">
        <f t="shared" si="326"/>
        <v>0</v>
      </c>
      <c r="P2053" s="12">
        <f t="shared" si="327"/>
        <v>0</v>
      </c>
      <c r="Q2053" s="17" t="str">
        <f t="shared" si="329"/>
        <v>Pas d'écart</v>
      </c>
    </row>
    <row r="2054" spans="1:18" x14ac:dyDescent="0.3">
      <c r="A2054" s="34" t="str">
        <f>base!J2054</f>
        <v>RS</v>
      </c>
      <c r="B2054" s="34" t="str">
        <f>base!V2054</f>
        <v>62000</v>
      </c>
      <c r="C2054" s="37">
        <v>62</v>
      </c>
      <c r="D2054" s="36">
        <f>base!H2054</f>
        <v>53.45</v>
      </c>
      <c r="E2054" s="44"/>
      <c r="F2054" s="16">
        <f>base!W2054</f>
        <v>0</v>
      </c>
      <c r="G2054" s="11">
        <f t="shared" si="320"/>
        <v>0</v>
      </c>
      <c r="H2054" s="11">
        <f t="shared" si="321"/>
        <v>10.1555</v>
      </c>
      <c r="I2054" s="11">
        <f t="shared" si="322"/>
        <v>0.19</v>
      </c>
      <c r="J2054" s="12">
        <f t="shared" si="323"/>
        <v>-10.1555</v>
      </c>
      <c r="K2054" s="17" t="str">
        <f t="shared" si="328"/>
        <v>Ecart négatif</v>
      </c>
      <c r="L2054" s="16">
        <f>base!X2054</f>
        <v>0</v>
      </c>
      <c r="M2054" s="11">
        <f t="shared" si="324"/>
        <v>0</v>
      </c>
      <c r="N2054" s="11">
        <f t="shared" si="325"/>
        <v>0</v>
      </c>
      <c r="O2054" s="11">
        <f t="shared" si="326"/>
        <v>0</v>
      </c>
      <c r="P2054" s="12">
        <f t="shared" si="327"/>
        <v>0</v>
      </c>
      <c r="Q2054" s="17" t="str">
        <f t="shared" si="329"/>
        <v>Pas d'écart</v>
      </c>
    </row>
    <row r="2055" spans="1:18" x14ac:dyDescent="0.3">
      <c r="A2055" s="34" t="str">
        <f>base!J2055</f>
        <v>RM</v>
      </c>
      <c r="B2055" s="34" t="str">
        <f>base!V2055</f>
        <v>62200</v>
      </c>
      <c r="C2055" s="37">
        <v>62</v>
      </c>
      <c r="D2055" s="36">
        <f>base!H2055</f>
        <v>17</v>
      </c>
      <c r="E2055" s="44"/>
      <c r="F2055" s="16">
        <f>base!W2055</f>
        <v>0</v>
      </c>
      <c r="G2055" s="11">
        <f t="shared" si="320"/>
        <v>0</v>
      </c>
      <c r="H2055" s="11">
        <f t="shared" si="321"/>
        <v>3.23</v>
      </c>
      <c r="I2055" s="11">
        <f t="shared" si="322"/>
        <v>0.19</v>
      </c>
      <c r="J2055" s="12">
        <f t="shared" si="323"/>
        <v>-3.23</v>
      </c>
      <c r="K2055" s="17" t="str">
        <f t="shared" si="328"/>
        <v>Ecart négatif</v>
      </c>
      <c r="L2055" s="16">
        <f>base!X2055</f>
        <v>0</v>
      </c>
      <c r="M2055" s="11">
        <f t="shared" si="324"/>
        <v>0</v>
      </c>
      <c r="N2055" s="11">
        <f t="shared" si="325"/>
        <v>0</v>
      </c>
      <c r="O2055" s="11">
        <f t="shared" si="326"/>
        <v>0</v>
      </c>
      <c r="P2055" s="12">
        <f t="shared" si="327"/>
        <v>0</v>
      </c>
      <c r="Q2055" s="17" t="str">
        <f t="shared" si="329"/>
        <v>Pas d'écart</v>
      </c>
    </row>
    <row r="2056" spans="1:18" x14ac:dyDescent="0.3">
      <c r="A2056" s="34" t="str">
        <f>base!J2056</f>
        <v>LM</v>
      </c>
      <c r="B2056" s="34" t="str">
        <f>base!V2056</f>
        <v>35044</v>
      </c>
      <c r="C2056" s="37">
        <v>62</v>
      </c>
      <c r="D2056" s="36">
        <f>base!H2056</f>
        <v>20.23</v>
      </c>
      <c r="E2056" s="44"/>
      <c r="F2056" s="16">
        <f>base!W2056</f>
        <v>5.46</v>
      </c>
      <c r="G2056" s="11">
        <f t="shared" si="320"/>
        <v>0.26989619377162627</v>
      </c>
      <c r="H2056" s="11">
        <f t="shared" si="321"/>
        <v>3.8437000000000001</v>
      </c>
      <c r="I2056" s="11">
        <f t="shared" si="322"/>
        <v>0.19</v>
      </c>
      <c r="J2056" s="12">
        <f t="shared" si="323"/>
        <v>1.6162999999999998</v>
      </c>
      <c r="K2056" s="17" t="str">
        <f t="shared" si="328"/>
        <v>Ecart positif</v>
      </c>
      <c r="L2056" s="16">
        <f>base!X2056</f>
        <v>0</v>
      </c>
      <c r="M2056" s="11">
        <f t="shared" si="324"/>
        <v>0</v>
      </c>
      <c r="N2056" s="11">
        <f t="shared" si="325"/>
        <v>0</v>
      </c>
      <c r="O2056" s="11">
        <f t="shared" si="326"/>
        <v>0</v>
      </c>
      <c r="P2056" s="12">
        <f t="shared" si="327"/>
        <v>0</v>
      </c>
      <c r="Q2056" s="17" t="str">
        <f t="shared" si="329"/>
        <v>Pas d'écart</v>
      </c>
    </row>
    <row r="2057" spans="1:18" x14ac:dyDescent="0.3">
      <c r="A2057" s="34" t="str">
        <f>base!J2057</f>
        <v>RM</v>
      </c>
      <c r="B2057" s="34" t="str">
        <f>base!V2057</f>
        <v>30700</v>
      </c>
      <c r="C2057" s="37">
        <v>30</v>
      </c>
      <c r="D2057" s="36">
        <f>base!H2057</f>
        <v>140</v>
      </c>
      <c r="E2057" s="44"/>
      <c r="F2057" s="16">
        <f>base!W2057</f>
        <v>0</v>
      </c>
      <c r="G2057" s="11">
        <f t="shared" si="320"/>
        <v>0</v>
      </c>
      <c r="H2057" s="11">
        <f t="shared" si="321"/>
        <v>54.6</v>
      </c>
      <c r="I2057" s="11">
        <f t="shared" si="322"/>
        <v>0.39</v>
      </c>
      <c r="J2057" s="12">
        <f t="shared" si="323"/>
        <v>-54.6</v>
      </c>
      <c r="K2057" s="17" t="str">
        <f t="shared" si="328"/>
        <v>Ecart négatif</v>
      </c>
      <c r="L2057" s="16">
        <f>base!X2057</f>
        <v>39.200000000000003</v>
      </c>
      <c r="M2057" s="11">
        <f t="shared" si="324"/>
        <v>0.28000000000000003</v>
      </c>
      <c r="N2057" s="11">
        <f t="shared" si="325"/>
        <v>39.200000000000003</v>
      </c>
      <c r="O2057" s="11">
        <f t="shared" si="326"/>
        <v>0.28000000000000003</v>
      </c>
      <c r="P2057" s="12">
        <f t="shared" si="327"/>
        <v>0</v>
      </c>
      <c r="Q2057" s="17" t="str">
        <f t="shared" si="329"/>
        <v>Pas d'écart</v>
      </c>
      <c r="R2057" s="38"/>
    </row>
    <row r="2058" spans="1:18" x14ac:dyDescent="0.3">
      <c r="A2058" s="34" t="str">
        <f>base!J2058</f>
        <v>RS</v>
      </c>
      <c r="B2058" s="34" t="str">
        <f>base!V2058</f>
        <v>45220</v>
      </c>
      <c r="C2058" s="37">
        <v>45</v>
      </c>
      <c r="D2058" s="36">
        <f>base!H2058</f>
        <v>188.92</v>
      </c>
      <c r="E2058" s="44"/>
      <c r="F2058" s="16">
        <f>base!W2058</f>
        <v>0</v>
      </c>
      <c r="G2058" s="11">
        <f t="shared" si="320"/>
        <v>0</v>
      </c>
      <c r="H2058" s="11">
        <f t="shared" si="321"/>
        <v>39.673199999999994</v>
      </c>
      <c r="I2058" s="11">
        <f t="shared" si="322"/>
        <v>0.21</v>
      </c>
      <c r="J2058" s="12">
        <f t="shared" si="323"/>
        <v>-39.673199999999994</v>
      </c>
      <c r="K2058" s="17" t="str">
        <f t="shared" si="328"/>
        <v>Ecart négatif</v>
      </c>
      <c r="L2058" s="16">
        <f>base!X2058</f>
        <v>22.67</v>
      </c>
      <c r="M2058" s="11">
        <f t="shared" si="324"/>
        <v>0.11999788270167268</v>
      </c>
      <c r="N2058" s="11">
        <f t="shared" si="325"/>
        <v>22.670399999999997</v>
      </c>
      <c r="O2058" s="11">
        <f t="shared" si="326"/>
        <v>0.12</v>
      </c>
      <c r="P2058" s="12">
        <f t="shared" si="327"/>
        <v>-3.9999999999551505E-4</v>
      </c>
      <c r="Q2058" s="17" t="str">
        <f t="shared" si="329"/>
        <v>Ecart négatif</v>
      </c>
      <c r="R2058" s="38"/>
    </row>
    <row r="2059" spans="1:18" x14ac:dyDescent="0.3">
      <c r="A2059" s="34" t="str">
        <f>base!J2059</f>
        <v>LM</v>
      </c>
      <c r="B2059" s="34" t="str">
        <f>base!V2059</f>
        <v>13210</v>
      </c>
      <c r="C2059" s="37">
        <v>8</v>
      </c>
      <c r="D2059" s="36">
        <f>base!H2059</f>
        <v>103.26</v>
      </c>
      <c r="E2059" s="44"/>
      <c r="F2059" s="16">
        <f>base!W2059</f>
        <v>29.95</v>
      </c>
      <c r="G2059" s="11">
        <f t="shared" si="320"/>
        <v>0.29004454774355992</v>
      </c>
      <c r="H2059" s="11">
        <f t="shared" si="321"/>
        <v>18.5868</v>
      </c>
      <c r="I2059" s="11">
        <f t="shared" si="322"/>
        <v>0.18</v>
      </c>
      <c r="J2059" s="12">
        <f t="shared" si="323"/>
        <v>11.363199999999999</v>
      </c>
      <c r="K2059" s="17" t="str">
        <f t="shared" si="328"/>
        <v>Ecart positif</v>
      </c>
      <c r="L2059" s="16">
        <f>base!X2059</f>
        <v>0</v>
      </c>
      <c r="M2059" s="11">
        <f t="shared" si="324"/>
        <v>0</v>
      </c>
      <c r="N2059" s="11">
        <f t="shared" si="325"/>
        <v>0</v>
      </c>
      <c r="O2059" s="11">
        <f t="shared" si="326"/>
        <v>0</v>
      </c>
      <c r="P2059" s="12">
        <f t="shared" si="327"/>
        <v>0</v>
      </c>
      <c r="Q2059" s="17" t="str">
        <f t="shared" si="329"/>
        <v>Pas d'écart</v>
      </c>
    </row>
    <row r="2060" spans="1:18" x14ac:dyDescent="0.3">
      <c r="A2060" s="34" t="str">
        <f>base!J2060</f>
        <v>LS</v>
      </c>
      <c r="B2060" s="34" t="str">
        <f>base!V2060</f>
        <v>74300</v>
      </c>
      <c r="C2060" s="37">
        <v>59</v>
      </c>
      <c r="D2060" s="36">
        <f>base!H2060</f>
        <v>22.62</v>
      </c>
      <c r="E2060" s="44"/>
      <c r="F2060" s="16">
        <f>base!W2060</f>
        <v>6.11</v>
      </c>
      <c r="G2060" s="11">
        <f t="shared" si="320"/>
        <v>0.27011494252873564</v>
      </c>
      <c r="H2060" s="11">
        <f t="shared" si="321"/>
        <v>4.2978000000000005</v>
      </c>
      <c r="I2060" s="11">
        <f t="shared" si="322"/>
        <v>0.19</v>
      </c>
      <c r="J2060" s="12">
        <f t="shared" si="323"/>
        <v>1.8121999999999998</v>
      </c>
      <c r="K2060" s="17" t="str">
        <f t="shared" si="328"/>
        <v>Ecart positif</v>
      </c>
      <c r="L2060" s="16">
        <f>base!X2060</f>
        <v>0</v>
      </c>
      <c r="M2060" s="11">
        <f t="shared" si="324"/>
        <v>0</v>
      </c>
      <c r="N2060" s="11">
        <f t="shared" si="325"/>
        <v>0</v>
      </c>
      <c r="O2060" s="11">
        <f t="shared" si="326"/>
        <v>0</v>
      </c>
      <c r="P2060" s="12">
        <f t="shared" si="327"/>
        <v>0</v>
      </c>
      <c r="Q2060" s="17" t="str">
        <f t="shared" si="329"/>
        <v>Pas d'écart</v>
      </c>
    </row>
    <row r="2061" spans="1:18" x14ac:dyDescent="0.3">
      <c r="A2061" s="34" t="str">
        <f>base!J2061</f>
        <v>LM</v>
      </c>
      <c r="B2061" s="34" t="str">
        <f>base!V2061</f>
        <v>83990</v>
      </c>
      <c r="C2061" s="37">
        <v>62</v>
      </c>
      <c r="D2061" s="36">
        <f>base!H2061</f>
        <v>116.34</v>
      </c>
      <c r="E2061" s="44"/>
      <c r="F2061" s="16">
        <f>base!W2061</f>
        <v>34.9</v>
      </c>
      <c r="G2061" s="11">
        <f t="shared" si="320"/>
        <v>0.29998280900807972</v>
      </c>
      <c r="H2061" s="11">
        <f t="shared" si="321"/>
        <v>22.104600000000001</v>
      </c>
      <c r="I2061" s="11">
        <f t="shared" si="322"/>
        <v>0.19</v>
      </c>
      <c r="J2061" s="12">
        <f t="shared" si="323"/>
        <v>12.795399999999997</v>
      </c>
      <c r="K2061" s="17" t="str">
        <f t="shared" si="328"/>
        <v>Ecart positif</v>
      </c>
      <c r="L2061" s="16">
        <f>base!X2061</f>
        <v>0</v>
      </c>
      <c r="M2061" s="11">
        <f t="shared" si="324"/>
        <v>0</v>
      </c>
      <c r="N2061" s="11">
        <f t="shared" si="325"/>
        <v>0</v>
      </c>
      <c r="O2061" s="11">
        <f t="shared" si="326"/>
        <v>0</v>
      </c>
      <c r="P2061" s="12">
        <f t="shared" si="327"/>
        <v>0</v>
      </c>
      <c r="Q2061" s="17" t="str">
        <f t="shared" si="329"/>
        <v>Pas d'écart</v>
      </c>
    </row>
    <row r="2062" spans="1:18" x14ac:dyDescent="0.3">
      <c r="A2062" s="34" t="str">
        <f>base!J2062</f>
        <v>RM</v>
      </c>
      <c r="B2062" s="34" t="str">
        <f>base!V2062</f>
        <v>14200</v>
      </c>
      <c r="C2062" s="37">
        <v>14</v>
      </c>
      <c r="D2062" s="36">
        <f>base!H2062</f>
        <v>92</v>
      </c>
      <c r="E2062" s="44"/>
      <c r="F2062" s="16">
        <f>base!W2062</f>
        <v>0</v>
      </c>
      <c r="G2062" s="11">
        <f t="shared" si="320"/>
        <v>0</v>
      </c>
      <c r="H2062" s="11">
        <f t="shared" si="321"/>
        <v>15.64</v>
      </c>
      <c r="I2062" s="11">
        <f t="shared" si="322"/>
        <v>0.17</v>
      </c>
      <c r="J2062" s="12">
        <f t="shared" si="323"/>
        <v>-15.64</v>
      </c>
      <c r="K2062" s="17" t="str">
        <f t="shared" si="328"/>
        <v>Ecart négatif</v>
      </c>
      <c r="L2062" s="16">
        <f>base!X2062</f>
        <v>15.64</v>
      </c>
      <c r="M2062" s="11">
        <f t="shared" si="324"/>
        <v>0.17</v>
      </c>
      <c r="N2062" s="11">
        <f t="shared" si="325"/>
        <v>15.64</v>
      </c>
      <c r="O2062" s="11">
        <f t="shared" si="326"/>
        <v>0.17</v>
      </c>
      <c r="P2062" s="12">
        <f t="shared" si="327"/>
        <v>0</v>
      </c>
      <c r="Q2062" s="17" t="str">
        <f t="shared" si="329"/>
        <v>Pas d'écart</v>
      </c>
      <c r="R2062" s="38"/>
    </row>
    <row r="2063" spans="1:18" x14ac:dyDescent="0.3">
      <c r="A2063" s="34" t="str">
        <f>base!J2063</f>
        <v>RS</v>
      </c>
      <c r="B2063" s="34" t="str">
        <f>base!V2063</f>
        <v>74550</v>
      </c>
      <c r="C2063" s="37">
        <v>74</v>
      </c>
      <c r="D2063" s="36">
        <f>base!H2063</f>
        <v>250</v>
      </c>
      <c r="E2063" s="44"/>
      <c r="F2063" s="16">
        <f>base!W2063</f>
        <v>0</v>
      </c>
      <c r="G2063" s="11">
        <f t="shared" si="320"/>
        <v>0</v>
      </c>
      <c r="H2063" s="11">
        <f t="shared" si="321"/>
        <v>65</v>
      </c>
      <c r="I2063" s="11">
        <f t="shared" si="322"/>
        <v>0.26</v>
      </c>
      <c r="J2063" s="12">
        <f t="shared" si="323"/>
        <v>-65</v>
      </c>
      <c r="K2063" s="17" t="str">
        <f t="shared" si="328"/>
        <v>Ecart négatif</v>
      </c>
      <c r="L2063" s="16">
        <f>base!X2063</f>
        <v>0</v>
      </c>
      <c r="M2063" s="11">
        <f t="shared" si="324"/>
        <v>0</v>
      </c>
      <c r="N2063" s="11">
        <f t="shared" si="325"/>
        <v>0</v>
      </c>
      <c r="O2063" s="11">
        <f t="shared" si="326"/>
        <v>0</v>
      </c>
      <c r="P2063" s="12">
        <f t="shared" si="327"/>
        <v>0</v>
      </c>
      <c r="Q2063" s="17" t="str">
        <f t="shared" si="329"/>
        <v>Pas d'écart</v>
      </c>
    </row>
    <row r="2064" spans="1:18" x14ac:dyDescent="0.3">
      <c r="A2064" s="34">
        <f>base!J2064</f>
        <v>0</v>
      </c>
      <c r="B2064" s="34" t="str">
        <f>base!V2064</f>
        <v>77184</v>
      </c>
      <c r="C2064" s="37">
        <v>77</v>
      </c>
      <c r="D2064" s="36">
        <f>base!H2064</f>
        <v>84.5</v>
      </c>
      <c r="E2064" s="44"/>
      <c r="F2064" s="16">
        <f>base!W2064</f>
        <v>0</v>
      </c>
      <c r="G2064" s="11">
        <f t="shared" si="320"/>
        <v>0</v>
      </c>
      <c r="H2064" s="11">
        <f t="shared" si="321"/>
        <v>0</v>
      </c>
      <c r="I2064" s="11">
        <f t="shared" si="322"/>
        <v>0</v>
      </c>
      <c r="J2064" s="12">
        <f t="shared" si="323"/>
        <v>0</v>
      </c>
      <c r="K2064" s="17" t="str">
        <f t="shared" si="328"/>
        <v>Pas d'écart</v>
      </c>
      <c r="L2064" s="16">
        <f>base!X2064</f>
        <v>0</v>
      </c>
      <c r="M2064" s="11">
        <f t="shared" si="324"/>
        <v>0</v>
      </c>
      <c r="N2064" s="11">
        <f t="shared" si="325"/>
        <v>0</v>
      </c>
      <c r="O2064" s="11">
        <f t="shared" si="326"/>
        <v>0</v>
      </c>
      <c r="P2064" s="12">
        <f t="shared" si="327"/>
        <v>0</v>
      </c>
      <c r="Q2064" s="17" t="str">
        <f t="shared" si="329"/>
        <v>Pas d'écart</v>
      </c>
    </row>
    <row r="2065" spans="1:17" x14ac:dyDescent="0.3">
      <c r="A2065" s="34" t="str">
        <f>base!J2065</f>
        <v>RS</v>
      </c>
      <c r="B2065" s="34" t="str">
        <f>base!V2065</f>
        <v>69003</v>
      </c>
      <c r="C2065" s="37">
        <v>69</v>
      </c>
      <c r="D2065" s="36">
        <f>base!H2065</f>
        <v>223</v>
      </c>
      <c r="E2065" s="44"/>
      <c r="F2065" s="16">
        <f>base!W2065</f>
        <v>0</v>
      </c>
      <c r="G2065" s="11">
        <f t="shared" si="320"/>
        <v>0</v>
      </c>
      <c r="H2065" s="11">
        <f t="shared" si="321"/>
        <v>60.21</v>
      </c>
      <c r="I2065" s="11">
        <f t="shared" si="322"/>
        <v>0.27</v>
      </c>
      <c r="J2065" s="12">
        <f t="shared" si="323"/>
        <v>-60.21</v>
      </c>
      <c r="K2065" s="17" t="str">
        <f t="shared" si="328"/>
        <v>Ecart négatif</v>
      </c>
      <c r="L2065" s="16">
        <f>base!X2065</f>
        <v>0</v>
      </c>
      <c r="M2065" s="11">
        <f t="shared" si="324"/>
        <v>0</v>
      </c>
      <c r="N2065" s="11">
        <f t="shared" si="325"/>
        <v>0</v>
      </c>
      <c r="O2065" s="11">
        <f t="shared" si="326"/>
        <v>0</v>
      </c>
      <c r="P2065" s="12">
        <f t="shared" si="327"/>
        <v>0</v>
      </c>
      <c r="Q2065" s="17" t="str">
        <f t="shared" si="329"/>
        <v>Pas d'écart</v>
      </c>
    </row>
    <row r="2066" spans="1:17" x14ac:dyDescent="0.3">
      <c r="A2066" s="34" t="str">
        <f>base!J2066</f>
        <v>DLM</v>
      </c>
      <c r="B2066" s="34" t="str">
        <f>base!V2066</f>
        <v>69800</v>
      </c>
      <c r="C2066" s="37">
        <v>69</v>
      </c>
      <c r="D2066" s="36">
        <f>base!H2066</f>
        <v>151</v>
      </c>
      <c r="E2066" s="44"/>
      <c r="F2066" s="16">
        <f>base!W2066</f>
        <v>0</v>
      </c>
      <c r="G2066" s="11">
        <f t="shared" si="320"/>
        <v>0</v>
      </c>
      <c r="H2066" s="11">
        <f t="shared" si="321"/>
        <v>40.770000000000003</v>
      </c>
      <c r="I2066" s="11">
        <f t="shared" si="322"/>
        <v>0.27</v>
      </c>
      <c r="J2066" s="12">
        <f t="shared" si="323"/>
        <v>-40.770000000000003</v>
      </c>
      <c r="K2066" s="17" t="str">
        <f t="shared" si="328"/>
        <v>Ecart négatif</v>
      </c>
      <c r="L2066" s="16">
        <f>base!X2066</f>
        <v>0</v>
      </c>
      <c r="M2066" s="11">
        <f t="shared" si="324"/>
        <v>0</v>
      </c>
      <c r="N2066" s="11">
        <f t="shared" si="325"/>
        <v>0</v>
      </c>
      <c r="O2066" s="11">
        <f t="shared" si="326"/>
        <v>0</v>
      </c>
      <c r="P2066" s="12">
        <f t="shared" si="327"/>
        <v>0</v>
      </c>
      <c r="Q2066" s="17" t="str">
        <f t="shared" si="329"/>
        <v>Pas d'écart</v>
      </c>
    </row>
    <row r="2067" spans="1:17" x14ac:dyDescent="0.3">
      <c r="A2067" s="34" t="str">
        <f>base!J2067</f>
        <v>LM</v>
      </c>
      <c r="B2067" s="34" t="str">
        <f>base!V2067</f>
        <v>59110</v>
      </c>
      <c r="C2067" s="37">
        <v>59</v>
      </c>
      <c r="D2067" s="36">
        <f>base!H2067</f>
        <v>100</v>
      </c>
      <c r="E2067" s="44"/>
      <c r="F2067" s="16">
        <f>base!W2067</f>
        <v>58</v>
      </c>
      <c r="G2067" s="11">
        <f t="shared" si="320"/>
        <v>0.57999999999999996</v>
      </c>
      <c r="H2067" s="11">
        <f t="shared" si="321"/>
        <v>19</v>
      </c>
      <c r="I2067" s="11">
        <f t="shared" si="322"/>
        <v>0.19</v>
      </c>
      <c r="J2067" s="12">
        <f t="shared" si="323"/>
        <v>39</v>
      </c>
      <c r="K2067" s="17" t="str">
        <f t="shared" si="328"/>
        <v>Ecart positif</v>
      </c>
      <c r="L2067" s="16">
        <f>base!X2067</f>
        <v>0</v>
      </c>
      <c r="M2067" s="11">
        <f t="shared" si="324"/>
        <v>0</v>
      </c>
      <c r="N2067" s="11">
        <f t="shared" si="325"/>
        <v>0</v>
      </c>
      <c r="O2067" s="11">
        <f t="shared" si="326"/>
        <v>0</v>
      </c>
      <c r="P2067" s="12">
        <f t="shared" si="327"/>
        <v>0</v>
      </c>
      <c r="Q2067" s="17" t="str">
        <f t="shared" si="329"/>
        <v>Pas d'écart</v>
      </c>
    </row>
    <row r="2068" spans="1:17" x14ac:dyDescent="0.3">
      <c r="A2068" s="34" t="str">
        <f>base!J2068</f>
        <v>RM</v>
      </c>
      <c r="B2068" s="34" t="str">
        <f>base!V2068</f>
        <v>75008</v>
      </c>
      <c r="C2068" s="37">
        <v>75</v>
      </c>
      <c r="D2068" s="36">
        <f>base!H2068</f>
        <v>250</v>
      </c>
      <c r="E2068" s="44"/>
      <c r="F2068" s="16">
        <f>base!W2068</f>
        <v>0</v>
      </c>
      <c r="G2068" s="11">
        <f t="shared" si="320"/>
        <v>0</v>
      </c>
      <c r="H2068" s="11">
        <f t="shared" si="321"/>
        <v>0</v>
      </c>
      <c r="I2068" s="11">
        <f t="shared" si="322"/>
        <v>0</v>
      </c>
      <c r="J2068" s="12">
        <f t="shared" si="323"/>
        <v>0</v>
      </c>
      <c r="K2068" s="17" t="str">
        <f t="shared" si="328"/>
        <v>Pas d'écart</v>
      </c>
      <c r="L2068" s="16">
        <f>base!X2068</f>
        <v>0</v>
      </c>
      <c r="M2068" s="11">
        <f t="shared" si="324"/>
        <v>0</v>
      </c>
      <c r="N2068" s="11">
        <f t="shared" si="325"/>
        <v>0</v>
      </c>
      <c r="O2068" s="11">
        <f t="shared" si="326"/>
        <v>0</v>
      </c>
      <c r="P2068" s="12">
        <f t="shared" si="327"/>
        <v>0</v>
      </c>
      <c r="Q2068" s="17" t="str">
        <f t="shared" si="329"/>
        <v>Pas d'écart</v>
      </c>
    </row>
    <row r="2069" spans="1:17" x14ac:dyDescent="0.3">
      <c r="A2069" s="34" t="str">
        <f>base!J2069</f>
        <v>LM</v>
      </c>
      <c r="B2069" s="34" t="str">
        <f>base!V2069</f>
        <v>62740</v>
      </c>
      <c r="C2069" s="37">
        <v>62</v>
      </c>
      <c r="D2069" s="36">
        <f>base!H2069</f>
        <v>55.31</v>
      </c>
      <c r="E2069" s="44"/>
      <c r="F2069" s="16">
        <f>base!W2069</f>
        <v>10.51</v>
      </c>
      <c r="G2069" s="11">
        <f t="shared" si="320"/>
        <v>0.19001988790453805</v>
      </c>
      <c r="H2069" s="11">
        <f t="shared" si="321"/>
        <v>10.508900000000001</v>
      </c>
      <c r="I2069" s="11">
        <f t="shared" si="322"/>
        <v>0.19</v>
      </c>
      <c r="J2069" s="12">
        <f t="shared" si="323"/>
        <v>1.0999999999992127E-3</v>
      </c>
      <c r="K2069" s="17" t="str">
        <f t="shared" si="328"/>
        <v>Ecart positif</v>
      </c>
      <c r="L2069" s="16">
        <f>base!X2069</f>
        <v>0</v>
      </c>
      <c r="M2069" s="11">
        <f t="shared" si="324"/>
        <v>0</v>
      </c>
      <c r="N2069" s="11">
        <f t="shared" si="325"/>
        <v>0</v>
      </c>
      <c r="O2069" s="11">
        <f t="shared" si="326"/>
        <v>0</v>
      </c>
      <c r="P2069" s="12">
        <f t="shared" si="327"/>
        <v>0</v>
      </c>
      <c r="Q2069" s="17" t="str">
        <f t="shared" si="329"/>
        <v>Pas d'écart</v>
      </c>
    </row>
    <row r="2070" spans="1:17" x14ac:dyDescent="0.3">
      <c r="A2070" s="34" t="str">
        <f>base!J2070</f>
        <v>LM</v>
      </c>
      <c r="B2070" s="34" t="str">
        <f>base!V2070</f>
        <v>69110</v>
      </c>
      <c r="C2070" s="37">
        <v>62</v>
      </c>
      <c r="D2070" s="36">
        <f>base!H2070</f>
        <v>28.62</v>
      </c>
      <c r="E2070" s="44"/>
      <c r="F2070" s="16">
        <f>base!W2070</f>
        <v>7.73</v>
      </c>
      <c r="G2070" s="11">
        <f t="shared" si="320"/>
        <v>0.2700908455625437</v>
      </c>
      <c r="H2070" s="11">
        <f t="shared" si="321"/>
        <v>5.4378000000000002</v>
      </c>
      <c r="I2070" s="11">
        <f t="shared" si="322"/>
        <v>0.19</v>
      </c>
      <c r="J2070" s="12">
        <f t="shared" si="323"/>
        <v>2.2922000000000002</v>
      </c>
      <c r="K2070" s="17" t="str">
        <f t="shared" si="328"/>
        <v>Ecart positif</v>
      </c>
      <c r="L2070" s="16">
        <f>base!X2070</f>
        <v>0</v>
      </c>
      <c r="M2070" s="11">
        <f t="shared" si="324"/>
        <v>0</v>
      </c>
      <c r="N2070" s="11">
        <f t="shared" si="325"/>
        <v>0</v>
      </c>
      <c r="O2070" s="11">
        <f t="shared" si="326"/>
        <v>0</v>
      </c>
      <c r="P2070" s="12">
        <f t="shared" si="327"/>
        <v>0</v>
      </c>
      <c r="Q2070" s="17" t="str">
        <f t="shared" si="329"/>
        <v>Pas d'écart</v>
      </c>
    </row>
    <row r="2071" spans="1:17" x14ac:dyDescent="0.3">
      <c r="A2071" s="34">
        <f>base!J2071</f>
        <v>0</v>
      </c>
      <c r="B2071" s="34" t="str">
        <f>base!V2071</f>
        <v>44240</v>
      </c>
      <c r="C2071" s="37">
        <v>44</v>
      </c>
      <c r="D2071" s="36">
        <f>base!H2071</f>
        <v>38.54</v>
      </c>
      <c r="E2071" s="44"/>
      <c r="F2071" s="16">
        <f>base!W2071</f>
        <v>0</v>
      </c>
      <c r="G2071" s="11">
        <f t="shared" si="320"/>
        <v>0</v>
      </c>
      <c r="H2071" s="11">
        <f t="shared" si="321"/>
        <v>10.405800000000001</v>
      </c>
      <c r="I2071" s="11">
        <f t="shared" si="322"/>
        <v>0.27</v>
      </c>
      <c r="J2071" s="12">
        <f t="shared" si="323"/>
        <v>-10.405800000000001</v>
      </c>
      <c r="K2071" s="17" t="str">
        <f t="shared" si="328"/>
        <v>Ecart négatif</v>
      </c>
      <c r="L2071" s="16">
        <f>base!X2071</f>
        <v>0</v>
      </c>
      <c r="M2071" s="11">
        <f t="shared" si="324"/>
        <v>0</v>
      </c>
      <c r="N2071" s="11">
        <f t="shared" si="325"/>
        <v>0</v>
      </c>
      <c r="O2071" s="11">
        <f t="shared" si="326"/>
        <v>0</v>
      </c>
      <c r="P2071" s="12">
        <f t="shared" si="327"/>
        <v>0</v>
      </c>
      <c r="Q2071" s="17" t="str">
        <f t="shared" si="329"/>
        <v>Pas d'écart</v>
      </c>
    </row>
    <row r="2072" spans="1:17" x14ac:dyDescent="0.3">
      <c r="A2072" s="34">
        <f>base!J2072</f>
        <v>0</v>
      </c>
      <c r="B2072" s="34" t="str">
        <f>base!V2072</f>
        <v>77184</v>
      </c>
      <c r="C2072" s="37">
        <v>77</v>
      </c>
      <c r="D2072" s="36">
        <f>base!H2072</f>
        <v>900</v>
      </c>
      <c r="E2072" s="44"/>
      <c r="F2072" s="16">
        <f>base!W2072</f>
        <v>0</v>
      </c>
      <c r="G2072" s="11">
        <f t="shared" si="320"/>
        <v>0</v>
      </c>
      <c r="H2072" s="11">
        <f t="shared" si="321"/>
        <v>0</v>
      </c>
      <c r="I2072" s="11">
        <f t="shared" si="322"/>
        <v>0</v>
      </c>
      <c r="J2072" s="12">
        <f t="shared" si="323"/>
        <v>0</v>
      </c>
      <c r="K2072" s="17" t="str">
        <f t="shared" si="328"/>
        <v>Pas d'écart</v>
      </c>
      <c r="L2072" s="16">
        <f>base!X2072</f>
        <v>0</v>
      </c>
      <c r="M2072" s="11">
        <f t="shared" si="324"/>
        <v>0</v>
      </c>
      <c r="N2072" s="11">
        <f t="shared" si="325"/>
        <v>0</v>
      </c>
      <c r="O2072" s="11">
        <f t="shared" si="326"/>
        <v>0</v>
      </c>
      <c r="P2072" s="12">
        <f t="shared" si="327"/>
        <v>0</v>
      </c>
      <c r="Q2072" s="17" t="str">
        <f t="shared" si="329"/>
        <v>Pas d'écart</v>
      </c>
    </row>
    <row r="2073" spans="1:17" x14ac:dyDescent="0.3">
      <c r="A2073" s="34">
        <f>base!J2073</f>
        <v>0</v>
      </c>
      <c r="B2073" s="34" t="str">
        <f>base!V2073</f>
        <v>77184</v>
      </c>
      <c r="C2073" s="37">
        <v>77</v>
      </c>
      <c r="D2073" s="36">
        <f>base!H2073</f>
        <v>150</v>
      </c>
      <c r="E2073" s="44"/>
      <c r="F2073" s="16">
        <f>base!W2073</f>
        <v>0</v>
      </c>
      <c r="G2073" s="11">
        <f t="shared" si="320"/>
        <v>0</v>
      </c>
      <c r="H2073" s="11">
        <f t="shared" si="321"/>
        <v>0</v>
      </c>
      <c r="I2073" s="11">
        <f t="shared" si="322"/>
        <v>0</v>
      </c>
      <c r="J2073" s="12">
        <f t="shared" si="323"/>
        <v>0</v>
      </c>
      <c r="K2073" s="17" t="str">
        <f t="shared" si="328"/>
        <v>Pas d'écart</v>
      </c>
      <c r="L2073" s="16">
        <f>base!X2073</f>
        <v>0</v>
      </c>
      <c r="M2073" s="11">
        <f t="shared" si="324"/>
        <v>0</v>
      </c>
      <c r="N2073" s="11">
        <f t="shared" si="325"/>
        <v>0</v>
      </c>
      <c r="O2073" s="11">
        <f t="shared" si="326"/>
        <v>0</v>
      </c>
      <c r="P2073" s="12">
        <f t="shared" si="327"/>
        <v>0</v>
      </c>
      <c r="Q2073" s="17" t="str">
        <f t="shared" si="329"/>
        <v>Pas d'écart</v>
      </c>
    </row>
    <row r="2074" spans="1:17" x14ac:dyDescent="0.3">
      <c r="A2074" s="34">
        <f>base!J2074</f>
        <v>0</v>
      </c>
      <c r="B2074" s="34" t="str">
        <f>base!V2074</f>
        <v>77184</v>
      </c>
      <c r="C2074" s="37">
        <v>77</v>
      </c>
      <c r="D2074" s="36">
        <f>base!H2074</f>
        <v>171</v>
      </c>
      <c r="E2074" s="44"/>
      <c r="F2074" s="16">
        <f>base!W2074</f>
        <v>0</v>
      </c>
      <c r="G2074" s="11">
        <f t="shared" si="320"/>
        <v>0</v>
      </c>
      <c r="H2074" s="11">
        <f t="shared" si="321"/>
        <v>0</v>
      </c>
      <c r="I2074" s="11">
        <f t="shared" si="322"/>
        <v>0</v>
      </c>
      <c r="J2074" s="12">
        <f t="shared" si="323"/>
        <v>0</v>
      </c>
      <c r="K2074" s="17" t="str">
        <f t="shared" si="328"/>
        <v>Pas d'écart</v>
      </c>
      <c r="L2074" s="16">
        <f>base!X2074</f>
        <v>0</v>
      </c>
      <c r="M2074" s="11">
        <f t="shared" si="324"/>
        <v>0</v>
      </c>
      <c r="N2074" s="11">
        <f t="shared" si="325"/>
        <v>0</v>
      </c>
      <c r="O2074" s="11">
        <f t="shared" si="326"/>
        <v>0</v>
      </c>
      <c r="P2074" s="12">
        <f t="shared" si="327"/>
        <v>0</v>
      </c>
      <c r="Q2074" s="17" t="str">
        <f t="shared" si="329"/>
        <v>Pas d'écart</v>
      </c>
    </row>
    <row r="2075" spans="1:17" x14ac:dyDescent="0.3">
      <c r="A2075" s="34">
        <f>base!J2075</f>
        <v>0</v>
      </c>
      <c r="B2075" s="34" t="str">
        <f>base!V2075</f>
        <v>77184</v>
      </c>
      <c r="C2075" s="37">
        <v>77</v>
      </c>
      <c r="D2075" s="36">
        <f>base!H2075</f>
        <v>171</v>
      </c>
      <c r="E2075" s="44"/>
      <c r="F2075" s="16">
        <f>base!W2075</f>
        <v>0</v>
      </c>
      <c r="G2075" s="11">
        <f t="shared" si="320"/>
        <v>0</v>
      </c>
      <c r="H2075" s="11">
        <f t="shared" si="321"/>
        <v>0</v>
      </c>
      <c r="I2075" s="11">
        <f t="shared" si="322"/>
        <v>0</v>
      </c>
      <c r="J2075" s="12">
        <f t="shared" si="323"/>
        <v>0</v>
      </c>
      <c r="K2075" s="17" t="str">
        <f t="shared" si="328"/>
        <v>Pas d'écart</v>
      </c>
      <c r="L2075" s="16">
        <f>base!X2075</f>
        <v>0</v>
      </c>
      <c r="M2075" s="11">
        <f t="shared" si="324"/>
        <v>0</v>
      </c>
      <c r="N2075" s="11">
        <f t="shared" si="325"/>
        <v>0</v>
      </c>
      <c r="O2075" s="11">
        <f t="shared" si="326"/>
        <v>0</v>
      </c>
      <c r="P2075" s="12">
        <f t="shared" si="327"/>
        <v>0</v>
      </c>
      <c r="Q2075" s="17" t="str">
        <f t="shared" si="329"/>
        <v>Pas d'écart</v>
      </c>
    </row>
    <row r="2076" spans="1:17" x14ac:dyDescent="0.3">
      <c r="A2076" s="34">
        <f>base!J2076</f>
        <v>0</v>
      </c>
      <c r="B2076" s="34" t="str">
        <f>base!V2076</f>
        <v>77184</v>
      </c>
      <c r="C2076" s="37">
        <v>77</v>
      </c>
      <c r="D2076" s="36">
        <f>base!H2076</f>
        <v>97</v>
      </c>
      <c r="E2076" s="44"/>
      <c r="F2076" s="16">
        <f>base!W2076</f>
        <v>0</v>
      </c>
      <c r="G2076" s="11">
        <f t="shared" si="320"/>
        <v>0</v>
      </c>
      <c r="H2076" s="11">
        <f t="shared" si="321"/>
        <v>0</v>
      </c>
      <c r="I2076" s="11">
        <f t="shared" si="322"/>
        <v>0</v>
      </c>
      <c r="J2076" s="12">
        <f t="shared" si="323"/>
        <v>0</v>
      </c>
      <c r="K2076" s="17" t="str">
        <f t="shared" si="328"/>
        <v>Pas d'écart</v>
      </c>
      <c r="L2076" s="16">
        <f>base!X2076</f>
        <v>0</v>
      </c>
      <c r="M2076" s="11">
        <f t="shared" si="324"/>
        <v>0</v>
      </c>
      <c r="N2076" s="11">
        <f t="shared" si="325"/>
        <v>0</v>
      </c>
      <c r="O2076" s="11">
        <f t="shared" si="326"/>
        <v>0</v>
      </c>
      <c r="P2076" s="12">
        <f t="shared" si="327"/>
        <v>0</v>
      </c>
      <c r="Q2076" s="17" t="str">
        <f t="shared" si="329"/>
        <v>Pas d'écart</v>
      </c>
    </row>
    <row r="2077" spans="1:17" x14ac:dyDescent="0.3">
      <c r="A2077" s="34" t="str">
        <f>base!J2077</f>
        <v>LM</v>
      </c>
      <c r="B2077" s="34" t="str">
        <f>base!V2077</f>
        <v>62138</v>
      </c>
      <c r="C2077" s="37">
        <v>59</v>
      </c>
      <c r="D2077" s="36">
        <f>base!H2077</f>
        <v>47.93</v>
      </c>
      <c r="E2077" s="44"/>
      <c r="F2077" s="16">
        <f>base!W2077</f>
        <v>9.11</v>
      </c>
      <c r="G2077" s="11">
        <f t="shared" si="320"/>
        <v>0.19006885040684329</v>
      </c>
      <c r="H2077" s="11">
        <f t="shared" si="321"/>
        <v>9.1067</v>
      </c>
      <c r="I2077" s="11">
        <f t="shared" si="322"/>
        <v>0.19</v>
      </c>
      <c r="J2077" s="12">
        <f t="shared" si="323"/>
        <v>3.2999999999994145E-3</v>
      </c>
      <c r="K2077" s="17" t="str">
        <f t="shared" si="328"/>
        <v>Ecart positif</v>
      </c>
      <c r="L2077" s="16">
        <f>base!X2077</f>
        <v>0</v>
      </c>
      <c r="M2077" s="11">
        <f t="shared" si="324"/>
        <v>0</v>
      </c>
      <c r="N2077" s="11">
        <f t="shared" si="325"/>
        <v>0</v>
      </c>
      <c r="O2077" s="11">
        <f t="shared" si="326"/>
        <v>0</v>
      </c>
      <c r="P2077" s="12">
        <f t="shared" si="327"/>
        <v>0</v>
      </c>
      <c r="Q2077" s="17" t="str">
        <f t="shared" si="329"/>
        <v>Pas d'écart</v>
      </c>
    </row>
    <row r="2078" spans="1:17" x14ac:dyDescent="0.3">
      <c r="A2078" s="34">
        <f>base!J2078</f>
        <v>0</v>
      </c>
      <c r="B2078" s="34" t="str">
        <f>base!V2078</f>
        <v>77184</v>
      </c>
      <c r="C2078" s="37">
        <v>77</v>
      </c>
      <c r="D2078" s="36">
        <f>base!H2078</f>
        <v>69</v>
      </c>
      <c r="E2078" s="44"/>
      <c r="F2078" s="16">
        <f>base!W2078</f>
        <v>0</v>
      </c>
      <c r="G2078" s="11">
        <f t="shared" si="320"/>
        <v>0</v>
      </c>
      <c r="H2078" s="11">
        <f t="shared" si="321"/>
        <v>0</v>
      </c>
      <c r="I2078" s="11">
        <f t="shared" si="322"/>
        <v>0</v>
      </c>
      <c r="J2078" s="12">
        <f t="shared" si="323"/>
        <v>0</v>
      </c>
      <c r="K2078" s="17" t="str">
        <f t="shared" si="328"/>
        <v>Pas d'écart</v>
      </c>
      <c r="L2078" s="16">
        <f>base!X2078</f>
        <v>0</v>
      </c>
      <c r="M2078" s="11">
        <f t="shared" si="324"/>
        <v>0</v>
      </c>
      <c r="N2078" s="11">
        <f t="shared" si="325"/>
        <v>0</v>
      </c>
      <c r="O2078" s="11">
        <f t="shared" si="326"/>
        <v>0</v>
      </c>
      <c r="P2078" s="12">
        <f t="shared" si="327"/>
        <v>0</v>
      </c>
      <c r="Q2078" s="17" t="str">
        <f t="shared" si="329"/>
        <v>Pas d'écart</v>
      </c>
    </row>
    <row r="2079" spans="1:17" x14ac:dyDescent="0.3">
      <c r="A2079" s="34">
        <f>base!J2079</f>
        <v>0</v>
      </c>
      <c r="B2079" s="34" t="str">
        <f>base!V2079</f>
        <v>77184</v>
      </c>
      <c r="C2079" s="37">
        <v>77</v>
      </c>
      <c r="D2079" s="36">
        <f>base!H2079</f>
        <v>221.58</v>
      </c>
      <c r="E2079" s="44"/>
      <c r="F2079" s="16">
        <f>base!W2079</f>
        <v>0</v>
      </c>
      <c r="G2079" s="11">
        <f t="shared" si="320"/>
        <v>0</v>
      </c>
      <c r="H2079" s="11">
        <f t="shared" si="321"/>
        <v>0</v>
      </c>
      <c r="I2079" s="11">
        <f t="shared" si="322"/>
        <v>0</v>
      </c>
      <c r="J2079" s="12">
        <f t="shared" si="323"/>
        <v>0</v>
      </c>
      <c r="K2079" s="17" t="str">
        <f t="shared" si="328"/>
        <v>Pas d'écart</v>
      </c>
      <c r="L2079" s="16">
        <f>base!X2079</f>
        <v>0</v>
      </c>
      <c r="M2079" s="11">
        <f t="shared" si="324"/>
        <v>0</v>
      </c>
      <c r="N2079" s="11">
        <f t="shared" si="325"/>
        <v>0</v>
      </c>
      <c r="O2079" s="11">
        <f t="shared" si="326"/>
        <v>0</v>
      </c>
      <c r="P2079" s="12">
        <f t="shared" si="327"/>
        <v>0</v>
      </c>
      <c r="Q2079" s="17" t="str">
        <f t="shared" si="329"/>
        <v>Pas d'écart</v>
      </c>
    </row>
    <row r="2080" spans="1:17" x14ac:dyDescent="0.3">
      <c r="A2080" s="34">
        <f>base!J2080</f>
        <v>0</v>
      </c>
      <c r="B2080" s="34" t="str">
        <f>base!V2080</f>
        <v>77184</v>
      </c>
      <c r="C2080" s="37">
        <v>77</v>
      </c>
      <c r="D2080" s="36">
        <f>base!H2080</f>
        <v>22</v>
      </c>
      <c r="E2080" s="44"/>
      <c r="F2080" s="16">
        <f>base!W2080</f>
        <v>0</v>
      </c>
      <c r="G2080" s="11">
        <f t="shared" si="320"/>
        <v>0</v>
      </c>
      <c r="H2080" s="11">
        <f t="shared" si="321"/>
        <v>0</v>
      </c>
      <c r="I2080" s="11">
        <f t="shared" si="322"/>
        <v>0</v>
      </c>
      <c r="J2080" s="12">
        <f t="shared" si="323"/>
        <v>0</v>
      </c>
      <c r="K2080" s="17" t="str">
        <f t="shared" si="328"/>
        <v>Pas d'écart</v>
      </c>
      <c r="L2080" s="16">
        <f>base!X2080</f>
        <v>0</v>
      </c>
      <c r="M2080" s="11">
        <f t="shared" si="324"/>
        <v>0</v>
      </c>
      <c r="N2080" s="11">
        <f t="shared" si="325"/>
        <v>0</v>
      </c>
      <c r="O2080" s="11">
        <f t="shared" si="326"/>
        <v>0</v>
      </c>
      <c r="P2080" s="12">
        <f t="shared" si="327"/>
        <v>0</v>
      </c>
      <c r="Q2080" s="17" t="str">
        <f t="shared" si="329"/>
        <v>Pas d'écart</v>
      </c>
    </row>
    <row r="2081" spans="1:18" x14ac:dyDescent="0.3">
      <c r="A2081" s="34" t="str">
        <f>base!J2081</f>
        <v>LS</v>
      </c>
      <c r="B2081" s="34" t="str">
        <f>base!V2081</f>
        <v>68200</v>
      </c>
      <c r="C2081" s="37">
        <v>60</v>
      </c>
      <c r="D2081" s="36">
        <f>base!H2081</f>
        <v>350.82</v>
      </c>
      <c r="E2081" s="44"/>
      <c r="F2081" s="16">
        <f>base!W2081</f>
        <v>101.74</v>
      </c>
      <c r="G2081" s="11">
        <f t="shared" si="320"/>
        <v>0.29000627102217663</v>
      </c>
      <c r="H2081" s="11">
        <f t="shared" si="321"/>
        <v>66.655799999999999</v>
      </c>
      <c r="I2081" s="11">
        <f t="shared" si="322"/>
        <v>0.19</v>
      </c>
      <c r="J2081" s="12">
        <f t="shared" si="323"/>
        <v>35.084199999999996</v>
      </c>
      <c r="K2081" s="17" t="str">
        <f t="shared" si="328"/>
        <v>Ecart positif</v>
      </c>
      <c r="L2081" s="16">
        <f>base!X2081</f>
        <v>0</v>
      </c>
      <c r="M2081" s="11">
        <f t="shared" si="324"/>
        <v>0</v>
      </c>
      <c r="N2081" s="11">
        <f t="shared" si="325"/>
        <v>0</v>
      </c>
      <c r="O2081" s="11">
        <f t="shared" si="326"/>
        <v>0</v>
      </c>
      <c r="P2081" s="12">
        <f t="shared" si="327"/>
        <v>0</v>
      </c>
      <c r="Q2081" s="17" t="str">
        <f t="shared" si="329"/>
        <v>Pas d'écart</v>
      </c>
    </row>
    <row r="2082" spans="1:18" x14ac:dyDescent="0.3">
      <c r="A2082" s="34" t="str">
        <f>base!J2082</f>
        <v>RM</v>
      </c>
      <c r="B2082" s="34" t="str">
        <f>base!V2082</f>
        <v>11000</v>
      </c>
      <c r="C2082" s="37">
        <v>11</v>
      </c>
      <c r="D2082" s="36">
        <f>base!H2082</f>
        <v>35</v>
      </c>
      <c r="E2082" s="44"/>
      <c r="F2082" s="16">
        <f>base!W2082</f>
        <v>0</v>
      </c>
      <c r="G2082" s="11">
        <f t="shared" si="320"/>
        <v>0</v>
      </c>
      <c r="H2082" s="11">
        <f t="shared" si="321"/>
        <v>12.6</v>
      </c>
      <c r="I2082" s="11">
        <f t="shared" si="322"/>
        <v>0.36</v>
      </c>
      <c r="J2082" s="12">
        <f t="shared" si="323"/>
        <v>-12.6</v>
      </c>
      <c r="K2082" s="17" t="str">
        <f t="shared" si="328"/>
        <v>Ecart négatif</v>
      </c>
      <c r="L2082" s="16">
        <f>base!X2082</f>
        <v>9.8000000000000007</v>
      </c>
      <c r="M2082" s="11">
        <f t="shared" si="324"/>
        <v>0.28000000000000003</v>
      </c>
      <c r="N2082" s="11">
        <f t="shared" si="325"/>
        <v>9.8000000000000007</v>
      </c>
      <c r="O2082" s="11">
        <f t="shared" si="326"/>
        <v>0.28000000000000003</v>
      </c>
      <c r="P2082" s="12">
        <f t="shared" si="327"/>
        <v>0</v>
      </c>
      <c r="Q2082" s="17" t="str">
        <f t="shared" si="329"/>
        <v>Pas d'écart</v>
      </c>
      <c r="R2082" s="38"/>
    </row>
    <row r="2083" spans="1:18" x14ac:dyDescent="0.3">
      <c r="A2083" s="34" t="str">
        <f>base!J2083</f>
        <v>LS</v>
      </c>
      <c r="B2083" s="34" t="str">
        <f>base!V2083</f>
        <v>35920</v>
      </c>
      <c r="C2083" s="37">
        <v>81</v>
      </c>
      <c r="D2083" s="36">
        <f>base!H2083</f>
        <v>138.12</v>
      </c>
      <c r="E2083" s="44"/>
      <c r="F2083" s="16">
        <f>base!W2083</f>
        <v>37.29</v>
      </c>
      <c r="G2083" s="11">
        <f t="shared" si="320"/>
        <v>0.26998262380538662</v>
      </c>
      <c r="H2083" s="11">
        <f t="shared" si="321"/>
        <v>30.386400000000002</v>
      </c>
      <c r="I2083" s="11">
        <f t="shared" si="322"/>
        <v>0.22</v>
      </c>
      <c r="J2083" s="12">
        <f t="shared" si="323"/>
        <v>6.9035999999999973</v>
      </c>
      <c r="K2083" s="17" t="str">
        <f t="shared" si="328"/>
        <v>Ecart positif</v>
      </c>
      <c r="L2083" s="16">
        <f>base!X2083</f>
        <v>0</v>
      </c>
      <c r="M2083" s="11">
        <f t="shared" si="324"/>
        <v>0</v>
      </c>
      <c r="N2083" s="11">
        <f t="shared" si="325"/>
        <v>35.911200000000001</v>
      </c>
      <c r="O2083" s="11">
        <f t="shared" si="326"/>
        <v>0.26</v>
      </c>
      <c r="P2083" s="12">
        <f t="shared" si="327"/>
        <v>-35.911200000000001</v>
      </c>
      <c r="Q2083" s="17" t="str">
        <f t="shared" si="329"/>
        <v>Ecart négatif</v>
      </c>
    </row>
    <row r="2084" spans="1:18" x14ac:dyDescent="0.3">
      <c r="A2084" s="34" t="str">
        <f>base!J2084</f>
        <v>LM</v>
      </c>
      <c r="B2084" s="34" t="str">
        <f>base!V2084</f>
        <v>68000</v>
      </c>
      <c r="C2084" s="37">
        <v>59</v>
      </c>
      <c r="D2084" s="36">
        <f>base!H2084</f>
        <v>86.34</v>
      </c>
      <c r="E2084" s="44"/>
      <c r="F2084" s="16">
        <f>base!W2084</f>
        <v>25.04</v>
      </c>
      <c r="G2084" s="11">
        <f t="shared" si="320"/>
        <v>0.29001621496409541</v>
      </c>
      <c r="H2084" s="11">
        <f t="shared" si="321"/>
        <v>16.404600000000002</v>
      </c>
      <c r="I2084" s="11">
        <f t="shared" si="322"/>
        <v>0.19000000000000003</v>
      </c>
      <c r="J2084" s="12">
        <f t="shared" si="323"/>
        <v>8.6353999999999971</v>
      </c>
      <c r="K2084" s="17" t="str">
        <f t="shared" si="328"/>
        <v>Ecart positif</v>
      </c>
      <c r="L2084" s="16">
        <f>base!X2084</f>
        <v>0</v>
      </c>
      <c r="M2084" s="11">
        <f t="shared" si="324"/>
        <v>0</v>
      </c>
      <c r="N2084" s="11">
        <f t="shared" si="325"/>
        <v>0</v>
      </c>
      <c r="O2084" s="11">
        <f t="shared" si="326"/>
        <v>0</v>
      </c>
      <c r="P2084" s="12">
        <f t="shared" si="327"/>
        <v>0</v>
      </c>
      <c r="Q2084" s="17" t="str">
        <f t="shared" si="329"/>
        <v>Pas d'écart</v>
      </c>
    </row>
    <row r="2085" spans="1:18" x14ac:dyDescent="0.3">
      <c r="A2085" s="34" t="str">
        <f>base!J2085</f>
        <v>RS</v>
      </c>
      <c r="B2085" s="34" t="str">
        <f>base!V2085</f>
        <v>59440</v>
      </c>
      <c r="C2085" s="37">
        <v>59</v>
      </c>
      <c r="D2085" s="36">
        <f>base!H2085</f>
        <v>250</v>
      </c>
      <c r="E2085" s="44"/>
      <c r="F2085" s="16">
        <f>base!W2085</f>
        <v>0</v>
      </c>
      <c r="G2085" s="11">
        <f t="shared" si="320"/>
        <v>0</v>
      </c>
      <c r="H2085" s="11">
        <f t="shared" si="321"/>
        <v>47.5</v>
      </c>
      <c r="I2085" s="11">
        <f t="shared" si="322"/>
        <v>0.19</v>
      </c>
      <c r="J2085" s="12">
        <f t="shared" si="323"/>
        <v>-47.5</v>
      </c>
      <c r="K2085" s="17" t="str">
        <f t="shared" si="328"/>
        <v>Ecart négatif</v>
      </c>
      <c r="L2085" s="16">
        <f>base!X2085</f>
        <v>0</v>
      </c>
      <c r="M2085" s="11">
        <f t="shared" si="324"/>
        <v>0</v>
      </c>
      <c r="N2085" s="11">
        <f t="shared" si="325"/>
        <v>0</v>
      </c>
      <c r="O2085" s="11">
        <f t="shared" si="326"/>
        <v>0</v>
      </c>
      <c r="P2085" s="12">
        <f t="shared" si="327"/>
        <v>0</v>
      </c>
      <c r="Q2085" s="17" t="str">
        <f t="shared" si="329"/>
        <v>Pas d'écart</v>
      </c>
    </row>
    <row r="2086" spans="1:18" x14ac:dyDescent="0.3">
      <c r="A2086" s="34" t="str">
        <f>base!J2086</f>
        <v>LM</v>
      </c>
      <c r="B2086" s="34" t="str">
        <f>base!V2086</f>
        <v>67320</v>
      </c>
      <c r="C2086" s="37">
        <v>62</v>
      </c>
      <c r="D2086" s="36">
        <f>base!H2086</f>
        <v>170.88</v>
      </c>
      <c r="E2086" s="44"/>
      <c r="F2086" s="16">
        <f>base!W2086</f>
        <v>49.56</v>
      </c>
      <c r="G2086" s="11">
        <f t="shared" si="320"/>
        <v>0.29002808988764045</v>
      </c>
      <c r="H2086" s="11">
        <f t="shared" si="321"/>
        <v>32.467199999999998</v>
      </c>
      <c r="I2086" s="11">
        <f t="shared" si="322"/>
        <v>0.19</v>
      </c>
      <c r="J2086" s="12">
        <f t="shared" si="323"/>
        <v>17.092800000000004</v>
      </c>
      <c r="K2086" s="17" t="str">
        <f t="shared" si="328"/>
        <v>Ecart positif</v>
      </c>
      <c r="L2086" s="16">
        <f>base!X2086</f>
        <v>0</v>
      </c>
      <c r="M2086" s="11">
        <f t="shared" si="324"/>
        <v>0</v>
      </c>
      <c r="N2086" s="11">
        <f t="shared" si="325"/>
        <v>0</v>
      </c>
      <c r="O2086" s="11">
        <f t="shared" si="326"/>
        <v>0</v>
      </c>
      <c r="P2086" s="12">
        <f t="shared" si="327"/>
        <v>0</v>
      </c>
      <c r="Q2086" s="17" t="str">
        <f t="shared" si="329"/>
        <v>Pas d'écart</v>
      </c>
    </row>
    <row r="2087" spans="1:18" x14ac:dyDescent="0.3">
      <c r="A2087" s="34" t="str">
        <f>base!J2087</f>
        <v>RM</v>
      </c>
      <c r="B2087" s="34" t="str">
        <f>base!V2087</f>
        <v>44350</v>
      </c>
      <c r="C2087" s="37">
        <v>44</v>
      </c>
      <c r="D2087" s="36">
        <f>base!H2087</f>
        <v>27</v>
      </c>
      <c r="E2087" s="44"/>
      <c r="F2087" s="16">
        <f>base!W2087</f>
        <v>0</v>
      </c>
      <c r="G2087" s="11">
        <f t="shared" si="320"/>
        <v>0</v>
      </c>
      <c r="H2087" s="11">
        <f t="shared" si="321"/>
        <v>7.2900000000000009</v>
      </c>
      <c r="I2087" s="11">
        <f t="shared" si="322"/>
        <v>0.27</v>
      </c>
      <c r="J2087" s="12">
        <f t="shared" si="323"/>
        <v>-7.2900000000000009</v>
      </c>
      <c r="K2087" s="17" t="str">
        <f t="shared" si="328"/>
        <v>Ecart négatif</v>
      </c>
      <c r="L2087" s="16">
        <f>base!X2087</f>
        <v>0</v>
      </c>
      <c r="M2087" s="11">
        <f t="shared" si="324"/>
        <v>0</v>
      </c>
      <c r="N2087" s="11">
        <f t="shared" si="325"/>
        <v>0</v>
      </c>
      <c r="O2087" s="11">
        <f t="shared" si="326"/>
        <v>0</v>
      </c>
      <c r="P2087" s="12">
        <f t="shared" si="327"/>
        <v>0</v>
      </c>
      <c r="Q2087" s="17" t="str">
        <f t="shared" si="329"/>
        <v>Pas d'écart</v>
      </c>
    </row>
    <row r="2088" spans="1:18" x14ac:dyDescent="0.3">
      <c r="A2088" s="34">
        <f>base!J2088</f>
        <v>0</v>
      </c>
      <c r="B2088" s="34" t="str">
        <f>base!V2088</f>
        <v>77184</v>
      </c>
      <c r="C2088" s="37">
        <v>77</v>
      </c>
      <c r="D2088" s="36">
        <f>base!H2088</f>
        <v>126.18</v>
      </c>
      <c r="E2088" s="44"/>
      <c r="F2088" s="16">
        <f>base!W2088</f>
        <v>0</v>
      </c>
      <c r="G2088" s="11">
        <f t="shared" si="320"/>
        <v>0</v>
      </c>
      <c r="H2088" s="11">
        <f t="shared" si="321"/>
        <v>0</v>
      </c>
      <c r="I2088" s="11">
        <f t="shared" si="322"/>
        <v>0</v>
      </c>
      <c r="J2088" s="12">
        <f t="shared" si="323"/>
        <v>0</v>
      </c>
      <c r="K2088" s="17" t="str">
        <f t="shared" si="328"/>
        <v>Pas d'écart</v>
      </c>
      <c r="L2088" s="16">
        <f>base!X2088</f>
        <v>0</v>
      </c>
      <c r="M2088" s="11">
        <f t="shared" si="324"/>
        <v>0</v>
      </c>
      <c r="N2088" s="11">
        <f t="shared" si="325"/>
        <v>0</v>
      </c>
      <c r="O2088" s="11">
        <f t="shared" si="326"/>
        <v>0</v>
      </c>
      <c r="P2088" s="12">
        <f t="shared" si="327"/>
        <v>0</v>
      </c>
      <c r="Q2088" s="17" t="str">
        <f t="shared" si="329"/>
        <v>Pas d'écart</v>
      </c>
    </row>
    <row r="2089" spans="1:18" x14ac:dyDescent="0.3">
      <c r="A2089" s="34" t="str">
        <f>base!J2089</f>
        <v>LM</v>
      </c>
      <c r="B2089" s="34" t="str">
        <f>base!V2089</f>
        <v>75014</v>
      </c>
      <c r="C2089" s="37">
        <v>75</v>
      </c>
      <c r="D2089" s="36">
        <f>base!H2089</f>
        <v>19.649999999999999</v>
      </c>
      <c r="E2089" s="44"/>
      <c r="F2089" s="16">
        <f>base!W2089</f>
        <v>0</v>
      </c>
      <c r="G2089" s="11">
        <f t="shared" si="320"/>
        <v>0</v>
      </c>
      <c r="H2089" s="11">
        <f t="shared" si="321"/>
        <v>0</v>
      </c>
      <c r="I2089" s="11">
        <f t="shared" si="322"/>
        <v>0</v>
      </c>
      <c r="J2089" s="12">
        <f t="shared" si="323"/>
        <v>0</v>
      </c>
      <c r="K2089" s="17" t="str">
        <f t="shared" si="328"/>
        <v>Pas d'écart</v>
      </c>
      <c r="L2089" s="16">
        <f>base!X2089</f>
        <v>0</v>
      </c>
      <c r="M2089" s="11">
        <f t="shared" si="324"/>
        <v>0</v>
      </c>
      <c r="N2089" s="11">
        <f t="shared" si="325"/>
        <v>0</v>
      </c>
      <c r="O2089" s="11">
        <f t="shared" si="326"/>
        <v>0</v>
      </c>
      <c r="P2089" s="12">
        <f t="shared" si="327"/>
        <v>0</v>
      </c>
      <c r="Q2089" s="17" t="str">
        <f t="shared" si="329"/>
        <v>Pas d'écart</v>
      </c>
    </row>
    <row r="2090" spans="1:18" x14ac:dyDescent="0.3">
      <c r="A2090" s="34" t="str">
        <f>base!J2090</f>
        <v>LM</v>
      </c>
      <c r="B2090" s="34" t="str">
        <f>base!V2090</f>
        <v>75014</v>
      </c>
      <c r="C2090" s="37">
        <v>75</v>
      </c>
      <c r="D2090" s="36">
        <f>base!H2090</f>
        <v>19.649999999999999</v>
      </c>
      <c r="E2090" s="44"/>
      <c r="F2090" s="16">
        <f>base!W2090</f>
        <v>0</v>
      </c>
      <c r="G2090" s="11">
        <f t="shared" si="320"/>
        <v>0</v>
      </c>
      <c r="H2090" s="11">
        <f t="shared" si="321"/>
        <v>0</v>
      </c>
      <c r="I2090" s="11">
        <f t="shared" si="322"/>
        <v>0</v>
      </c>
      <c r="J2090" s="12">
        <f t="shared" si="323"/>
        <v>0</v>
      </c>
      <c r="K2090" s="17" t="str">
        <f t="shared" si="328"/>
        <v>Pas d'écart</v>
      </c>
      <c r="L2090" s="16">
        <f>base!X2090</f>
        <v>0</v>
      </c>
      <c r="M2090" s="11">
        <f t="shared" si="324"/>
        <v>0</v>
      </c>
      <c r="N2090" s="11">
        <f t="shared" si="325"/>
        <v>0</v>
      </c>
      <c r="O2090" s="11">
        <f t="shared" si="326"/>
        <v>0</v>
      </c>
      <c r="P2090" s="12">
        <f t="shared" si="327"/>
        <v>0</v>
      </c>
      <c r="Q2090" s="17" t="str">
        <f t="shared" si="329"/>
        <v>Pas d'écart</v>
      </c>
    </row>
    <row r="2091" spans="1:18" x14ac:dyDescent="0.3">
      <c r="A2091" s="34" t="str">
        <f>base!J2091</f>
        <v>LM</v>
      </c>
      <c r="B2091" s="34" t="str">
        <f>base!V2091</f>
        <v>75014</v>
      </c>
      <c r="C2091" s="37">
        <v>75</v>
      </c>
      <c r="D2091" s="36">
        <f>base!H2091</f>
        <v>19.649999999999999</v>
      </c>
      <c r="E2091" s="44"/>
      <c r="F2091" s="16">
        <f>base!W2091</f>
        <v>0</v>
      </c>
      <c r="G2091" s="11">
        <f t="shared" si="320"/>
        <v>0</v>
      </c>
      <c r="H2091" s="11">
        <f t="shared" si="321"/>
        <v>0</v>
      </c>
      <c r="I2091" s="11">
        <f t="shared" si="322"/>
        <v>0</v>
      </c>
      <c r="J2091" s="12">
        <f t="shared" si="323"/>
        <v>0</v>
      </c>
      <c r="K2091" s="17" t="str">
        <f t="shared" si="328"/>
        <v>Pas d'écart</v>
      </c>
      <c r="L2091" s="16">
        <f>base!X2091</f>
        <v>0</v>
      </c>
      <c r="M2091" s="11">
        <f t="shared" si="324"/>
        <v>0</v>
      </c>
      <c r="N2091" s="11">
        <f t="shared" si="325"/>
        <v>0</v>
      </c>
      <c r="O2091" s="11">
        <f t="shared" si="326"/>
        <v>0</v>
      </c>
      <c r="P2091" s="12">
        <f t="shared" si="327"/>
        <v>0</v>
      </c>
      <c r="Q2091" s="17" t="str">
        <f t="shared" si="329"/>
        <v>Pas d'écart</v>
      </c>
    </row>
    <row r="2092" spans="1:18" x14ac:dyDescent="0.3">
      <c r="A2092" s="34" t="str">
        <f>base!J2092</f>
        <v>LM</v>
      </c>
      <c r="B2092" s="34" t="str">
        <f>base!V2092</f>
        <v>75014</v>
      </c>
      <c r="C2092" s="37">
        <v>75</v>
      </c>
      <c r="D2092" s="36">
        <f>base!H2092</f>
        <v>19.649999999999999</v>
      </c>
      <c r="E2092" s="44"/>
      <c r="F2092" s="16">
        <f>base!W2092</f>
        <v>0</v>
      </c>
      <c r="G2092" s="11">
        <f t="shared" si="320"/>
        <v>0</v>
      </c>
      <c r="H2092" s="11">
        <f t="shared" si="321"/>
        <v>0</v>
      </c>
      <c r="I2092" s="11">
        <f t="shared" si="322"/>
        <v>0</v>
      </c>
      <c r="J2092" s="12">
        <f t="shared" si="323"/>
        <v>0</v>
      </c>
      <c r="K2092" s="17" t="str">
        <f t="shared" si="328"/>
        <v>Pas d'écart</v>
      </c>
      <c r="L2092" s="16">
        <f>base!X2092</f>
        <v>0</v>
      </c>
      <c r="M2092" s="11">
        <f t="shared" si="324"/>
        <v>0</v>
      </c>
      <c r="N2092" s="11">
        <f t="shared" si="325"/>
        <v>0</v>
      </c>
      <c r="O2092" s="11">
        <f t="shared" si="326"/>
        <v>0</v>
      </c>
      <c r="P2092" s="12">
        <f t="shared" si="327"/>
        <v>0</v>
      </c>
      <c r="Q2092" s="17" t="str">
        <f t="shared" si="329"/>
        <v>Pas d'écart</v>
      </c>
    </row>
    <row r="2093" spans="1:18" x14ac:dyDescent="0.3">
      <c r="A2093" s="34" t="str">
        <f>base!J2093</f>
        <v>LM</v>
      </c>
      <c r="B2093" s="34" t="str">
        <f>base!V2093</f>
        <v>75014</v>
      </c>
      <c r="C2093" s="37">
        <v>75</v>
      </c>
      <c r="D2093" s="36">
        <f>base!H2093</f>
        <v>19.649999999999999</v>
      </c>
      <c r="E2093" s="44"/>
      <c r="F2093" s="16">
        <f>base!W2093</f>
        <v>0</v>
      </c>
      <c r="G2093" s="11">
        <f t="shared" si="320"/>
        <v>0</v>
      </c>
      <c r="H2093" s="11">
        <f t="shared" si="321"/>
        <v>0</v>
      </c>
      <c r="I2093" s="11">
        <f t="shared" si="322"/>
        <v>0</v>
      </c>
      <c r="J2093" s="12">
        <f t="shared" si="323"/>
        <v>0</v>
      </c>
      <c r="K2093" s="17" t="str">
        <f t="shared" si="328"/>
        <v>Pas d'écart</v>
      </c>
      <c r="L2093" s="16">
        <f>base!X2093</f>
        <v>0</v>
      </c>
      <c r="M2093" s="11">
        <f t="shared" si="324"/>
        <v>0</v>
      </c>
      <c r="N2093" s="11">
        <f t="shared" si="325"/>
        <v>0</v>
      </c>
      <c r="O2093" s="11">
        <f t="shared" si="326"/>
        <v>0</v>
      </c>
      <c r="P2093" s="12">
        <f t="shared" si="327"/>
        <v>0</v>
      </c>
      <c r="Q2093" s="17" t="str">
        <f t="shared" si="329"/>
        <v>Pas d'écart</v>
      </c>
    </row>
    <row r="2094" spans="1:18" x14ac:dyDescent="0.3">
      <c r="A2094" s="34" t="str">
        <f>base!J2094</f>
        <v>LM</v>
      </c>
      <c r="B2094" s="34" t="str">
        <f>base!V2094</f>
        <v>75014</v>
      </c>
      <c r="C2094" s="37">
        <v>75</v>
      </c>
      <c r="D2094" s="36">
        <f>base!H2094</f>
        <v>19.649999999999999</v>
      </c>
      <c r="E2094" s="44"/>
      <c r="F2094" s="16">
        <f>base!W2094</f>
        <v>0</v>
      </c>
      <c r="G2094" s="11">
        <f t="shared" si="320"/>
        <v>0</v>
      </c>
      <c r="H2094" s="11">
        <f t="shared" si="321"/>
        <v>0</v>
      </c>
      <c r="I2094" s="11">
        <f t="shared" si="322"/>
        <v>0</v>
      </c>
      <c r="J2094" s="12">
        <f t="shared" si="323"/>
        <v>0</v>
      </c>
      <c r="K2094" s="17" t="str">
        <f t="shared" si="328"/>
        <v>Pas d'écart</v>
      </c>
      <c r="L2094" s="16">
        <f>base!X2094</f>
        <v>0</v>
      </c>
      <c r="M2094" s="11">
        <f t="shared" si="324"/>
        <v>0</v>
      </c>
      <c r="N2094" s="11">
        <f t="shared" si="325"/>
        <v>0</v>
      </c>
      <c r="O2094" s="11">
        <f t="shared" si="326"/>
        <v>0</v>
      </c>
      <c r="P2094" s="12">
        <f t="shared" si="327"/>
        <v>0</v>
      </c>
      <c r="Q2094" s="17" t="str">
        <f t="shared" si="329"/>
        <v>Pas d'écart</v>
      </c>
    </row>
    <row r="2095" spans="1:18" x14ac:dyDescent="0.3">
      <c r="A2095" s="34" t="str">
        <f>base!J2095</f>
        <v>LS</v>
      </c>
      <c r="B2095" s="34" t="str">
        <f>base!V2095</f>
        <v>59100</v>
      </c>
      <c r="C2095" s="37">
        <v>60</v>
      </c>
      <c r="D2095" s="36">
        <f>base!H2095</f>
        <v>138.12</v>
      </c>
      <c r="E2095" s="44"/>
      <c r="F2095" s="16">
        <f>base!W2095</f>
        <v>26.24</v>
      </c>
      <c r="G2095" s="11">
        <f t="shared" si="320"/>
        <v>0.18997972777295105</v>
      </c>
      <c r="H2095" s="11">
        <f t="shared" si="321"/>
        <v>26.242800000000003</v>
      </c>
      <c r="I2095" s="11">
        <f t="shared" si="322"/>
        <v>0.19</v>
      </c>
      <c r="J2095" s="12">
        <f t="shared" si="323"/>
        <v>-2.8000000000041325E-3</v>
      </c>
      <c r="K2095" s="17" t="str">
        <f t="shared" si="328"/>
        <v>Ecart négatif</v>
      </c>
      <c r="L2095" s="16">
        <f>base!X2095</f>
        <v>0</v>
      </c>
      <c r="M2095" s="11">
        <f t="shared" si="324"/>
        <v>0</v>
      </c>
      <c r="N2095" s="11">
        <f t="shared" si="325"/>
        <v>0</v>
      </c>
      <c r="O2095" s="11">
        <f t="shared" si="326"/>
        <v>0</v>
      </c>
      <c r="P2095" s="12">
        <f t="shared" si="327"/>
        <v>0</v>
      </c>
      <c r="Q2095" s="17" t="str">
        <f t="shared" si="329"/>
        <v>Pas d'écart</v>
      </c>
    </row>
    <row r="2096" spans="1:18" x14ac:dyDescent="0.3">
      <c r="A2096" s="34" t="str">
        <f>base!J2096</f>
        <v>LS</v>
      </c>
      <c r="B2096" s="34" t="str">
        <f>base!V2096</f>
        <v>60300</v>
      </c>
      <c r="C2096" s="37">
        <v>60</v>
      </c>
      <c r="D2096" s="36">
        <f>base!H2096</f>
        <v>40</v>
      </c>
      <c r="E2096" s="44"/>
      <c r="F2096" s="16">
        <f>base!W2096</f>
        <v>7.6</v>
      </c>
      <c r="G2096" s="11">
        <f t="shared" si="320"/>
        <v>0.19</v>
      </c>
      <c r="H2096" s="11">
        <f t="shared" si="321"/>
        <v>7.6</v>
      </c>
      <c r="I2096" s="11">
        <f t="shared" si="322"/>
        <v>0.19</v>
      </c>
      <c r="J2096" s="12">
        <f t="shared" si="323"/>
        <v>0</v>
      </c>
      <c r="K2096" s="17" t="str">
        <f t="shared" si="328"/>
        <v>Pas d'écart</v>
      </c>
      <c r="L2096" s="16">
        <f>base!X2096</f>
        <v>0</v>
      </c>
      <c r="M2096" s="11">
        <f t="shared" si="324"/>
        <v>0</v>
      </c>
      <c r="N2096" s="11">
        <f t="shared" si="325"/>
        <v>0</v>
      </c>
      <c r="O2096" s="11">
        <f t="shared" si="326"/>
        <v>0</v>
      </c>
      <c r="P2096" s="12">
        <f t="shared" si="327"/>
        <v>0</v>
      </c>
      <c r="Q2096" s="17" t="str">
        <f t="shared" si="329"/>
        <v>Pas d'écart</v>
      </c>
    </row>
    <row r="2097" spans="1:17" x14ac:dyDescent="0.3">
      <c r="A2097" s="34" t="str">
        <f>base!J2097</f>
        <v>LM</v>
      </c>
      <c r="B2097" s="34" t="str">
        <f>base!V2097</f>
        <v>08000</v>
      </c>
      <c r="C2097" s="37">
        <v>60</v>
      </c>
      <c r="D2097" s="36">
        <f>base!H2097</f>
        <v>143.52000000000001</v>
      </c>
      <c r="E2097" s="44"/>
      <c r="F2097" s="16">
        <f>base!W2097</f>
        <v>27.27</v>
      </c>
      <c r="G2097" s="11">
        <f t="shared" si="320"/>
        <v>0.19000836120401335</v>
      </c>
      <c r="H2097" s="11">
        <f t="shared" si="321"/>
        <v>27.268800000000002</v>
      </c>
      <c r="I2097" s="11">
        <f t="shared" si="322"/>
        <v>0.19</v>
      </c>
      <c r="J2097" s="12">
        <f t="shared" si="323"/>
        <v>1.1999999999972033E-3</v>
      </c>
      <c r="K2097" s="17" t="str">
        <f t="shared" si="328"/>
        <v>Ecart positif</v>
      </c>
      <c r="L2097" s="16">
        <f>base!X2097</f>
        <v>0</v>
      </c>
      <c r="M2097" s="11">
        <f t="shared" si="324"/>
        <v>0</v>
      </c>
      <c r="N2097" s="11">
        <f t="shared" si="325"/>
        <v>0</v>
      </c>
      <c r="O2097" s="11">
        <f t="shared" si="326"/>
        <v>0</v>
      </c>
      <c r="P2097" s="12">
        <f t="shared" si="327"/>
        <v>0</v>
      </c>
      <c r="Q2097" s="17" t="str">
        <f t="shared" si="329"/>
        <v>Pas d'écart</v>
      </c>
    </row>
    <row r="2098" spans="1:17" x14ac:dyDescent="0.3">
      <c r="A2098" s="34" t="str">
        <f>base!J2098</f>
        <v>LS</v>
      </c>
      <c r="B2098" s="34" t="str">
        <f>base!V2098</f>
        <v>49100</v>
      </c>
      <c r="C2098" s="37">
        <v>49</v>
      </c>
      <c r="D2098" s="36">
        <f>base!H2098</f>
        <v>20</v>
      </c>
      <c r="E2098" s="44"/>
      <c r="F2098" s="16">
        <f>base!W2098</f>
        <v>5.4</v>
      </c>
      <c r="G2098" s="11">
        <f t="shared" si="320"/>
        <v>0.27</v>
      </c>
      <c r="H2098" s="11">
        <f t="shared" si="321"/>
        <v>5.4</v>
      </c>
      <c r="I2098" s="11">
        <f t="shared" si="322"/>
        <v>0.27</v>
      </c>
      <c r="J2098" s="12">
        <f t="shared" si="323"/>
        <v>0</v>
      </c>
      <c r="K2098" s="17" t="str">
        <f t="shared" si="328"/>
        <v>Pas d'écart</v>
      </c>
      <c r="L2098" s="16">
        <f>base!X2098</f>
        <v>0</v>
      </c>
      <c r="M2098" s="11">
        <f t="shared" si="324"/>
        <v>0</v>
      </c>
      <c r="N2098" s="11">
        <f t="shared" si="325"/>
        <v>0</v>
      </c>
      <c r="O2098" s="11">
        <f t="shared" si="326"/>
        <v>0</v>
      </c>
      <c r="P2098" s="12">
        <f t="shared" si="327"/>
        <v>0</v>
      </c>
      <c r="Q2098" s="17" t="str">
        <f t="shared" si="329"/>
        <v>Pas d'écart</v>
      </c>
    </row>
    <row r="2099" spans="1:17" x14ac:dyDescent="0.3">
      <c r="A2099" s="34" t="str">
        <f>base!J2099</f>
        <v>RM</v>
      </c>
      <c r="B2099" s="34" t="str">
        <f>base!V2099</f>
        <v>75017</v>
      </c>
      <c r="C2099" s="37">
        <v>75</v>
      </c>
      <c r="D2099" s="36">
        <f>base!H2099</f>
        <v>136.41</v>
      </c>
      <c r="E2099" s="44"/>
      <c r="F2099" s="16">
        <f>base!W2099</f>
        <v>0</v>
      </c>
      <c r="G2099" s="11">
        <f t="shared" si="320"/>
        <v>0</v>
      </c>
      <c r="H2099" s="11">
        <f t="shared" si="321"/>
        <v>0</v>
      </c>
      <c r="I2099" s="11">
        <f t="shared" si="322"/>
        <v>0</v>
      </c>
      <c r="J2099" s="12">
        <f t="shared" si="323"/>
        <v>0</v>
      </c>
      <c r="K2099" s="17" t="str">
        <f t="shared" si="328"/>
        <v>Pas d'écart</v>
      </c>
      <c r="L2099" s="16">
        <f>base!X2099</f>
        <v>0</v>
      </c>
      <c r="M2099" s="11">
        <f t="shared" si="324"/>
        <v>0</v>
      </c>
      <c r="N2099" s="11">
        <f t="shared" si="325"/>
        <v>0</v>
      </c>
      <c r="O2099" s="11">
        <f t="shared" si="326"/>
        <v>0</v>
      </c>
      <c r="P2099" s="12">
        <f t="shared" si="327"/>
        <v>0</v>
      </c>
      <c r="Q2099" s="17" t="str">
        <f t="shared" si="329"/>
        <v>Pas d'écart</v>
      </c>
    </row>
    <row r="2100" spans="1:17" x14ac:dyDescent="0.3">
      <c r="A2100" s="34" t="str">
        <f>base!J2100</f>
        <v>LS</v>
      </c>
      <c r="B2100" s="34" t="str">
        <f>base!V2100</f>
        <v>62600</v>
      </c>
      <c r="C2100" s="37">
        <v>60</v>
      </c>
      <c r="D2100" s="36">
        <f>base!H2100</f>
        <v>140.53</v>
      </c>
      <c r="E2100" s="44"/>
      <c r="F2100" s="16">
        <f>base!W2100</f>
        <v>26.7</v>
      </c>
      <c r="G2100" s="11">
        <f t="shared" si="320"/>
        <v>0.18999501885718351</v>
      </c>
      <c r="H2100" s="11">
        <f t="shared" si="321"/>
        <v>26.700700000000001</v>
      </c>
      <c r="I2100" s="11">
        <f t="shared" si="322"/>
        <v>0.19</v>
      </c>
      <c r="J2100" s="12">
        <f t="shared" si="323"/>
        <v>-7.0000000000192131E-4</v>
      </c>
      <c r="K2100" s="17" t="str">
        <f t="shared" si="328"/>
        <v>Ecart négatif</v>
      </c>
      <c r="L2100" s="16">
        <f>base!X2100</f>
        <v>0</v>
      </c>
      <c r="M2100" s="11">
        <f t="shared" si="324"/>
        <v>0</v>
      </c>
      <c r="N2100" s="11">
        <f t="shared" si="325"/>
        <v>0</v>
      </c>
      <c r="O2100" s="11">
        <f t="shared" si="326"/>
        <v>0</v>
      </c>
      <c r="P2100" s="12">
        <f t="shared" si="327"/>
        <v>0</v>
      </c>
      <c r="Q2100" s="17" t="str">
        <f t="shared" si="329"/>
        <v>Pas d'écart</v>
      </c>
    </row>
    <row r="2101" spans="1:17" x14ac:dyDescent="0.3">
      <c r="A2101" s="34" t="str">
        <f>base!J2101</f>
        <v>LS</v>
      </c>
      <c r="B2101" s="34" t="str">
        <f>base!V2101</f>
        <v>94550</v>
      </c>
      <c r="C2101" s="37">
        <v>94</v>
      </c>
      <c r="D2101" s="36">
        <f>base!H2101</f>
        <v>130.05000000000001</v>
      </c>
      <c r="E2101" s="44"/>
      <c r="F2101" s="16">
        <f>base!W2101</f>
        <v>0</v>
      </c>
      <c r="G2101" s="11">
        <f t="shared" si="320"/>
        <v>0</v>
      </c>
      <c r="H2101" s="11">
        <f t="shared" si="321"/>
        <v>0</v>
      </c>
      <c r="I2101" s="11">
        <f t="shared" si="322"/>
        <v>0</v>
      </c>
      <c r="J2101" s="12">
        <f t="shared" si="323"/>
        <v>0</v>
      </c>
      <c r="K2101" s="17" t="str">
        <f t="shared" si="328"/>
        <v>Pas d'écart</v>
      </c>
      <c r="L2101" s="16">
        <f>base!X2101</f>
        <v>0</v>
      </c>
      <c r="M2101" s="11">
        <f t="shared" si="324"/>
        <v>0</v>
      </c>
      <c r="N2101" s="11">
        <f t="shared" si="325"/>
        <v>0</v>
      </c>
      <c r="O2101" s="11">
        <f t="shared" si="326"/>
        <v>0</v>
      </c>
      <c r="P2101" s="12">
        <f t="shared" si="327"/>
        <v>0</v>
      </c>
      <c r="Q2101" s="17" t="str">
        <f t="shared" si="329"/>
        <v>Pas d'écart</v>
      </c>
    </row>
    <row r="2102" spans="1:17" x14ac:dyDescent="0.3">
      <c r="A2102" s="34" t="str">
        <f>base!J2102</f>
        <v>LS</v>
      </c>
      <c r="B2102" s="34" t="str">
        <f>base!V2102</f>
        <v>01000</v>
      </c>
      <c r="C2102" s="37">
        <v>69</v>
      </c>
      <c r="D2102" s="36">
        <f>base!H2102</f>
        <v>184.52</v>
      </c>
      <c r="E2102" s="44"/>
      <c r="F2102" s="16">
        <f>base!W2102</f>
        <v>49.82</v>
      </c>
      <c r="G2102" s="11">
        <f t="shared" si="320"/>
        <v>0.2699978322133102</v>
      </c>
      <c r="H2102" s="11">
        <f t="shared" si="321"/>
        <v>49.820400000000006</v>
      </c>
      <c r="I2102" s="11">
        <f t="shared" si="322"/>
        <v>0.27</v>
      </c>
      <c r="J2102" s="12">
        <f t="shared" si="323"/>
        <v>-4.000000000061732E-4</v>
      </c>
      <c r="K2102" s="17" t="str">
        <f t="shared" si="328"/>
        <v>Ecart négatif</v>
      </c>
      <c r="L2102" s="16">
        <f>base!X2102</f>
        <v>0</v>
      </c>
      <c r="M2102" s="11">
        <f t="shared" si="324"/>
        <v>0</v>
      </c>
      <c r="N2102" s="11">
        <f t="shared" si="325"/>
        <v>0</v>
      </c>
      <c r="O2102" s="11">
        <f t="shared" si="326"/>
        <v>0</v>
      </c>
      <c r="P2102" s="12">
        <f t="shared" si="327"/>
        <v>0</v>
      </c>
      <c r="Q2102" s="17" t="str">
        <f t="shared" si="329"/>
        <v>Pas d'écart</v>
      </c>
    </row>
    <row r="2103" spans="1:17" x14ac:dyDescent="0.3">
      <c r="A2103" s="34" t="str">
        <f>base!J2103</f>
        <v>LS</v>
      </c>
      <c r="B2103" s="34" t="str">
        <f>base!V2103</f>
        <v>75003</v>
      </c>
      <c r="C2103" s="37">
        <v>75</v>
      </c>
      <c r="D2103" s="36">
        <f>base!H2103</f>
        <v>25</v>
      </c>
      <c r="E2103" s="44"/>
      <c r="F2103" s="16">
        <f>base!W2103</f>
        <v>0</v>
      </c>
      <c r="G2103" s="11">
        <f t="shared" si="320"/>
        <v>0</v>
      </c>
      <c r="H2103" s="11">
        <f t="shared" si="321"/>
        <v>0</v>
      </c>
      <c r="I2103" s="11">
        <f t="shared" si="322"/>
        <v>0</v>
      </c>
      <c r="J2103" s="12">
        <f t="shared" si="323"/>
        <v>0</v>
      </c>
      <c r="K2103" s="17" t="str">
        <f t="shared" si="328"/>
        <v>Pas d'écart</v>
      </c>
      <c r="L2103" s="16">
        <f>base!X2103</f>
        <v>0</v>
      </c>
      <c r="M2103" s="11">
        <f t="shared" si="324"/>
        <v>0</v>
      </c>
      <c r="N2103" s="11">
        <f t="shared" si="325"/>
        <v>0</v>
      </c>
      <c r="O2103" s="11">
        <f t="shared" si="326"/>
        <v>0</v>
      </c>
      <c r="P2103" s="12">
        <f t="shared" si="327"/>
        <v>0</v>
      </c>
      <c r="Q2103" s="17" t="str">
        <f t="shared" si="329"/>
        <v>Pas d'écart</v>
      </c>
    </row>
    <row r="2104" spans="1:17" x14ac:dyDescent="0.3">
      <c r="A2104" s="34" t="str">
        <f>base!J2104</f>
        <v>LM</v>
      </c>
      <c r="B2104" s="34" t="str">
        <f>base!V2104</f>
        <v>59120</v>
      </c>
      <c r="C2104" s="37">
        <v>60</v>
      </c>
      <c r="D2104" s="36">
        <f>base!H2104</f>
        <v>1.46</v>
      </c>
      <c r="E2104" s="44"/>
      <c r="F2104" s="16">
        <f>base!W2104</f>
        <v>0.28000000000000003</v>
      </c>
      <c r="G2104" s="11">
        <f t="shared" si="320"/>
        <v>0.19178082191780824</v>
      </c>
      <c r="H2104" s="11">
        <f t="shared" si="321"/>
        <v>0.27739999999999998</v>
      </c>
      <c r="I2104" s="11">
        <f t="shared" si="322"/>
        <v>0.19</v>
      </c>
      <c r="J2104" s="12">
        <f t="shared" si="323"/>
        <v>2.6000000000000467E-3</v>
      </c>
      <c r="K2104" s="17" t="str">
        <f t="shared" si="328"/>
        <v>Ecart positif</v>
      </c>
      <c r="L2104" s="16">
        <f>base!X2104</f>
        <v>0</v>
      </c>
      <c r="M2104" s="11">
        <f t="shared" si="324"/>
        <v>0</v>
      </c>
      <c r="N2104" s="11">
        <f t="shared" si="325"/>
        <v>0</v>
      </c>
      <c r="O2104" s="11">
        <f t="shared" si="326"/>
        <v>0</v>
      </c>
      <c r="P2104" s="12">
        <f t="shared" si="327"/>
        <v>0</v>
      </c>
      <c r="Q2104" s="17" t="str">
        <f t="shared" si="329"/>
        <v>Pas d'écart</v>
      </c>
    </row>
    <row r="2105" spans="1:17" x14ac:dyDescent="0.3">
      <c r="A2105" s="34" t="str">
        <f>base!J2105</f>
        <v>LM</v>
      </c>
      <c r="B2105" s="34" t="str">
        <f>base!V2105</f>
        <v>25300</v>
      </c>
      <c r="C2105" s="37">
        <v>80</v>
      </c>
      <c r="D2105" s="36">
        <f>base!H2105</f>
        <v>133.62</v>
      </c>
      <c r="E2105" s="44"/>
      <c r="F2105" s="16">
        <f>base!W2105</f>
        <v>32.07</v>
      </c>
      <c r="G2105" s="11">
        <f t="shared" si="320"/>
        <v>0.24000898069151325</v>
      </c>
      <c r="H2105" s="11">
        <f t="shared" si="321"/>
        <v>25.387800000000002</v>
      </c>
      <c r="I2105" s="11">
        <f t="shared" si="322"/>
        <v>0.19</v>
      </c>
      <c r="J2105" s="12">
        <f t="shared" si="323"/>
        <v>6.6821999999999981</v>
      </c>
      <c r="K2105" s="17" t="str">
        <f t="shared" si="328"/>
        <v>Ecart positif</v>
      </c>
      <c r="L2105" s="16">
        <f>base!X2105</f>
        <v>0</v>
      </c>
      <c r="M2105" s="11">
        <f t="shared" si="324"/>
        <v>0</v>
      </c>
      <c r="N2105" s="11">
        <f t="shared" si="325"/>
        <v>0</v>
      </c>
      <c r="O2105" s="11">
        <f t="shared" si="326"/>
        <v>0</v>
      </c>
      <c r="P2105" s="12">
        <f t="shared" si="327"/>
        <v>0</v>
      </c>
      <c r="Q2105" s="17" t="str">
        <f t="shared" si="329"/>
        <v>Pas d'écart</v>
      </c>
    </row>
    <row r="2106" spans="1:17" x14ac:dyDescent="0.3">
      <c r="A2106" s="34" t="str">
        <f>base!J2106</f>
        <v>LS</v>
      </c>
      <c r="B2106" s="34" t="str">
        <f>base!V2106</f>
        <v>07100</v>
      </c>
      <c r="C2106" s="37">
        <v>62</v>
      </c>
      <c r="D2106" s="36">
        <f>base!H2106</f>
        <v>86.27</v>
      </c>
      <c r="E2106" s="44"/>
      <c r="F2106" s="16">
        <f>base!W2106</f>
        <v>23.29</v>
      </c>
      <c r="G2106" s="11">
        <f t="shared" si="320"/>
        <v>0.26996638460646805</v>
      </c>
      <c r="H2106" s="11">
        <f t="shared" si="321"/>
        <v>16.391300000000001</v>
      </c>
      <c r="I2106" s="11">
        <f t="shared" si="322"/>
        <v>0.19000000000000003</v>
      </c>
      <c r="J2106" s="12">
        <f t="shared" si="323"/>
        <v>6.8986999999999981</v>
      </c>
      <c r="K2106" s="17" t="str">
        <f t="shared" si="328"/>
        <v>Ecart positif</v>
      </c>
      <c r="L2106" s="16">
        <f>base!X2106</f>
        <v>0</v>
      </c>
      <c r="M2106" s="11">
        <f t="shared" si="324"/>
        <v>0</v>
      </c>
      <c r="N2106" s="11">
        <f t="shared" si="325"/>
        <v>0</v>
      </c>
      <c r="O2106" s="11">
        <f t="shared" si="326"/>
        <v>0</v>
      </c>
      <c r="P2106" s="12">
        <f t="shared" si="327"/>
        <v>0</v>
      </c>
      <c r="Q2106" s="17" t="str">
        <f t="shared" si="329"/>
        <v>Pas d'écart</v>
      </c>
    </row>
    <row r="2107" spans="1:17" x14ac:dyDescent="0.3">
      <c r="A2107" s="34" t="str">
        <f>base!J2107</f>
        <v>LS</v>
      </c>
      <c r="B2107" s="34" t="str">
        <f>base!V2107</f>
        <v>57310</v>
      </c>
      <c r="C2107" s="37">
        <v>59</v>
      </c>
      <c r="D2107" s="36">
        <f>base!H2107</f>
        <v>141.65</v>
      </c>
      <c r="E2107" s="44"/>
      <c r="F2107" s="16">
        <f>base!W2107</f>
        <v>35.409999999999997</v>
      </c>
      <c r="G2107" s="11">
        <f t="shared" si="320"/>
        <v>0.24998235086480758</v>
      </c>
      <c r="H2107" s="11">
        <f t="shared" si="321"/>
        <v>26.913500000000003</v>
      </c>
      <c r="I2107" s="11">
        <f t="shared" si="322"/>
        <v>0.19</v>
      </c>
      <c r="J2107" s="12">
        <f t="shared" si="323"/>
        <v>8.4964999999999939</v>
      </c>
      <c r="K2107" s="17" t="str">
        <f t="shared" si="328"/>
        <v>Ecart positif</v>
      </c>
      <c r="L2107" s="16">
        <f>base!X2107</f>
        <v>0</v>
      </c>
      <c r="M2107" s="11">
        <f t="shared" si="324"/>
        <v>0</v>
      </c>
      <c r="N2107" s="11">
        <f t="shared" si="325"/>
        <v>0</v>
      </c>
      <c r="O2107" s="11">
        <f t="shared" si="326"/>
        <v>0</v>
      </c>
      <c r="P2107" s="12">
        <f t="shared" si="327"/>
        <v>0</v>
      </c>
      <c r="Q2107" s="17" t="str">
        <f t="shared" si="329"/>
        <v>Pas d'écart</v>
      </c>
    </row>
    <row r="2108" spans="1:17" x14ac:dyDescent="0.3">
      <c r="A2108" s="34">
        <f>base!J2108</f>
        <v>0</v>
      </c>
      <c r="B2108" s="34" t="str">
        <f>base!V2108</f>
        <v>77184</v>
      </c>
      <c r="C2108" s="37">
        <v>77</v>
      </c>
      <c r="D2108" s="36">
        <f>base!H2108</f>
        <v>25.6</v>
      </c>
      <c r="E2108" s="44"/>
      <c r="F2108" s="16">
        <f>base!W2108</f>
        <v>0</v>
      </c>
      <c r="G2108" s="11">
        <f t="shared" si="320"/>
        <v>0</v>
      </c>
      <c r="H2108" s="11">
        <f t="shared" si="321"/>
        <v>0</v>
      </c>
      <c r="I2108" s="11">
        <f t="shared" si="322"/>
        <v>0</v>
      </c>
      <c r="J2108" s="12">
        <f t="shared" si="323"/>
        <v>0</v>
      </c>
      <c r="K2108" s="17" t="str">
        <f t="shared" si="328"/>
        <v>Pas d'écart</v>
      </c>
      <c r="L2108" s="16">
        <f>base!X2108</f>
        <v>0</v>
      </c>
      <c r="M2108" s="11">
        <f t="shared" si="324"/>
        <v>0</v>
      </c>
      <c r="N2108" s="11">
        <f t="shared" si="325"/>
        <v>0</v>
      </c>
      <c r="O2108" s="11">
        <f t="shared" si="326"/>
        <v>0</v>
      </c>
      <c r="P2108" s="12">
        <f t="shared" si="327"/>
        <v>0</v>
      </c>
      <c r="Q2108" s="17" t="str">
        <f t="shared" si="329"/>
        <v>Pas d'écart</v>
      </c>
    </row>
    <row r="2109" spans="1:17" x14ac:dyDescent="0.3">
      <c r="A2109" s="34">
        <f>base!J2109</f>
        <v>0</v>
      </c>
      <c r="B2109" s="34" t="str">
        <f>base!V2109</f>
        <v>77184</v>
      </c>
      <c r="C2109" s="37">
        <v>77</v>
      </c>
      <c r="D2109" s="36">
        <f>base!H2109</f>
        <v>31</v>
      </c>
      <c r="E2109" s="44"/>
      <c r="F2109" s="16">
        <f>base!W2109</f>
        <v>0</v>
      </c>
      <c r="G2109" s="11">
        <f t="shared" si="320"/>
        <v>0</v>
      </c>
      <c r="H2109" s="11">
        <f t="shared" si="321"/>
        <v>0</v>
      </c>
      <c r="I2109" s="11">
        <f t="shared" si="322"/>
        <v>0</v>
      </c>
      <c r="J2109" s="12">
        <f t="shared" si="323"/>
        <v>0</v>
      </c>
      <c r="K2109" s="17" t="str">
        <f t="shared" si="328"/>
        <v>Pas d'écart</v>
      </c>
      <c r="L2109" s="16">
        <f>base!X2109</f>
        <v>0</v>
      </c>
      <c r="M2109" s="11">
        <f t="shared" si="324"/>
        <v>0</v>
      </c>
      <c r="N2109" s="11">
        <f t="shared" si="325"/>
        <v>0</v>
      </c>
      <c r="O2109" s="11">
        <f t="shared" si="326"/>
        <v>0</v>
      </c>
      <c r="P2109" s="12">
        <f t="shared" si="327"/>
        <v>0</v>
      </c>
      <c r="Q2109" s="17" t="str">
        <f t="shared" si="329"/>
        <v>Pas d'écart</v>
      </c>
    </row>
    <row r="2110" spans="1:17" x14ac:dyDescent="0.3">
      <c r="A2110" s="34" t="str">
        <f>base!J2110</f>
        <v>RS</v>
      </c>
      <c r="B2110" s="34" t="str">
        <f>base!V2110</f>
        <v>50430</v>
      </c>
      <c r="C2110" s="37">
        <v>50</v>
      </c>
      <c r="D2110" s="36">
        <f>base!H2110</f>
        <v>0</v>
      </c>
      <c r="E2110" s="44"/>
      <c r="F2110" s="16">
        <f>base!W2110</f>
        <v>0</v>
      </c>
      <c r="G2110" s="11" t="e">
        <f t="shared" si="320"/>
        <v>#DIV/0!</v>
      </c>
      <c r="H2110" s="11">
        <f t="shared" si="321"/>
        <v>0</v>
      </c>
      <c r="I2110" s="11" t="e">
        <f t="shared" si="322"/>
        <v>#DIV/0!</v>
      </c>
      <c r="J2110" s="12">
        <f t="shared" si="323"/>
        <v>0</v>
      </c>
      <c r="K2110" s="17" t="str">
        <f t="shared" si="328"/>
        <v>Pas d'écart</v>
      </c>
      <c r="L2110" s="16">
        <f>base!X2110</f>
        <v>0</v>
      </c>
      <c r="M2110" s="11" t="e">
        <f t="shared" si="324"/>
        <v>#DIV/0!</v>
      </c>
      <c r="N2110" s="11">
        <f t="shared" si="325"/>
        <v>0</v>
      </c>
      <c r="O2110" s="11" t="e">
        <f t="shared" si="326"/>
        <v>#DIV/0!</v>
      </c>
      <c r="P2110" s="12">
        <f t="shared" si="327"/>
        <v>0</v>
      </c>
      <c r="Q2110" s="17" t="str">
        <f t="shared" si="329"/>
        <v>Pas d'écart</v>
      </c>
    </row>
    <row r="2111" spans="1:17" x14ac:dyDescent="0.3">
      <c r="A2111" s="34" t="str">
        <f>base!J2111</f>
        <v>RM</v>
      </c>
      <c r="B2111" s="34" t="str">
        <f>base!V2111</f>
        <v>44350</v>
      </c>
      <c r="C2111" s="37">
        <v>44</v>
      </c>
      <c r="D2111" s="36">
        <f>base!H2111</f>
        <v>250</v>
      </c>
      <c r="E2111" s="44"/>
      <c r="F2111" s="16">
        <f>base!W2111</f>
        <v>0</v>
      </c>
      <c r="G2111" s="11">
        <f t="shared" si="320"/>
        <v>0</v>
      </c>
      <c r="H2111" s="11">
        <f t="shared" si="321"/>
        <v>67.5</v>
      </c>
      <c r="I2111" s="11">
        <f t="shared" si="322"/>
        <v>0.27</v>
      </c>
      <c r="J2111" s="12">
        <f t="shared" si="323"/>
        <v>-67.5</v>
      </c>
      <c r="K2111" s="17" t="str">
        <f t="shared" si="328"/>
        <v>Ecart négatif</v>
      </c>
      <c r="L2111" s="16">
        <f>base!X2111</f>
        <v>0</v>
      </c>
      <c r="M2111" s="11">
        <f t="shared" si="324"/>
        <v>0</v>
      </c>
      <c r="N2111" s="11">
        <f t="shared" si="325"/>
        <v>0</v>
      </c>
      <c r="O2111" s="11">
        <f t="shared" si="326"/>
        <v>0</v>
      </c>
      <c r="P2111" s="12">
        <f t="shared" si="327"/>
        <v>0</v>
      </c>
      <c r="Q2111" s="17" t="str">
        <f t="shared" si="329"/>
        <v>Pas d'écart</v>
      </c>
    </row>
    <row r="2112" spans="1:17" x14ac:dyDescent="0.3">
      <c r="A2112" s="34" t="str">
        <f>base!J2112</f>
        <v>RM</v>
      </c>
      <c r="B2112" s="34" t="str">
        <f>base!V2112</f>
        <v>59800</v>
      </c>
      <c r="C2112" s="37">
        <v>59</v>
      </c>
      <c r="D2112" s="36">
        <f>base!H2112</f>
        <v>250</v>
      </c>
      <c r="E2112" s="44"/>
      <c r="F2112" s="16">
        <f>base!W2112</f>
        <v>0</v>
      </c>
      <c r="G2112" s="11">
        <f t="shared" si="320"/>
        <v>0</v>
      </c>
      <c r="H2112" s="11">
        <f t="shared" si="321"/>
        <v>47.5</v>
      </c>
      <c r="I2112" s="11">
        <f t="shared" si="322"/>
        <v>0.19</v>
      </c>
      <c r="J2112" s="12">
        <f t="shared" si="323"/>
        <v>-47.5</v>
      </c>
      <c r="K2112" s="17" t="str">
        <f t="shared" si="328"/>
        <v>Ecart négatif</v>
      </c>
      <c r="L2112" s="16">
        <f>base!X2112</f>
        <v>0</v>
      </c>
      <c r="M2112" s="11">
        <f t="shared" si="324"/>
        <v>0</v>
      </c>
      <c r="N2112" s="11">
        <f t="shared" si="325"/>
        <v>0</v>
      </c>
      <c r="O2112" s="11">
        <f t="shared" si="326"/>
        <v>0</v>
      </c>
      <c r="P2112" s="12">
        <f t="shared" si="327"/>
        <v>0</v>
      </c>
      <c r="Q2112" s="17" t="str">
        <f t="shared" si="329"/>
        <v>Pas d'écart</v>
      </c>
    </row>
    <row r="2113" spans="1:18" x14ac:dyDescent="0.3">
      <c r="A2113" s="34">
        <f>base!J2113</f>
        <v>0</v>
      </c>
      <c r="B2113" s="34" t="str">
        <f>base!V2113</f>
        <v>77184</v>
      </c>
      <c r="C2113" s="37">
        <v>77</v>
      </c>
      <c r="D2113" s="36">
        <f>base!H2113</f>
        <v>196</v>
      </c>
      <c r="E2113" s="44"/>
      <c r="F2113" s="16">
        <f>base!W2113</f>
        <v>0</v>
      </c>
      <c r="G2113" s="11">
        <f t="shared" si="320"/>
        <v>0</v>
      </c>
      <c r="H2113" s="11">
        <f t="shared" si="321"/>
        <v>0</v>
      </c>
      <c r="I2113" s="11">
        <f t="shared" si="322"/>
        <v>0</v>
      </c>
      <c r="J2113" s="12">
        <f t="shared" si="323"/>
        <v>0</v>
      </c>
      <c r="K2113" s="17" t="str">
        <f t="shared" si="328"/>
        <v>Pas d'écart</v>
      </c>
      <c r="L2113" s="16">
        <f>base!X2113</f>
        <v>0</v>
      </c>
      <c r="M2113" s="11">
        <f t="shared" si="324"/>
        <v>0</v>
      </c>
      <c r="N2113" s="11">
        <f t="shared" si="325"/>
        <v>0</v>
      </c>
      <c r="O2113" s="11">
        <f t="shared" si="326"/>
        <v>0</v>
      </c>
      <c r="P2113" s="12">
        <f t="shared" si="327"/>
        <v>0</v>
      </c>
      <c r="Q2113" s="17" t="str">
        <f t="shared" si="329"/>
        <v>Pas d'écart</v>
      </c>
    </row>
    <row r="2114" spans="1:18" x14ac:dyDescent="0.3">
      <c r="A2114" s="34" t="str">
        <f>base!J2114</f>
        <v>LM</v>
      </c>
      <c r="B2114" s="34" t="str">
        <f>base!V2114</f>
        <v>76220</v>
      </c>
      <c r="C2114" s="37">
        <v>76</v>
      </c>
      <c r="D2114" s="36">
        <f>base!H2114</f>
        <v>140</v>
      </c>
      <c r="E2114" s="44"/>
      <c r="F2114" s="16">
        <f>base!W2114</f>
        <v>23.8</v>
      </c>
      <c r="G2114" s="11">
        <f t="shared" ref="G2114:G2177" si="330">F2114/D2114</f>
        <v>0.17</v>
      </c>
      <c r="H2114" s="11">
        <f t="shared" ref="H2114:H2177" si="331">VLOOKUP(C2114,tout_cout_traction,2,FALSE)*D2114</f>
        <v>23.8</v>
      </c>
      <c r="I2114" s="11">
        <f t="shared" ref="I2114:I2177" si="332">H2114/D2114</f>
        <v>0.17</v>
      </c>
      <c r="J2114" s="12">
        <f t="shared" ref="J2114:J2177" si="333">F2114-H2114</f>
        <v>0</v>
      </c>
      <c r="K2114" s="17" t="str">
        <f t="shared" si="328"/>
        <v>Pas d'écart</v>
      </c>
      <c r="L2114" s="16">
        <f>base!X2114</f>
        <v>0</v>
      </c>
      <c r="M2114" s="11">
        <f t="shared" ref="M2114:M2177" si="334">L2114/D2114</f>
        <v>0</v>
      </c>
      <c r="N2114" s="11">
        <f t="shared" ref="N2114:N2177" si="335">VLOOKUP(C2114,tout_cout_traction,3,FALSE)*D2114</f>
        <v>23.8</v>
      </c>
      <c r="O2114" s="11">
        <f t="shared" ref="O2114:O2177" si="336">N2114/D2114</f>
        <v>0.17</v>
      </c>
      <c r="P2114" s="12">
        <f t="shared" ref="P2114:P2177" si="337">L2114-N2114</f>
        <v>-23.8</v>
      </c>
      <c r="Q2114" s="17" t="str">
        <f t="shared" si="329"/>
        <v>Ecart négatif</v>
      </c>
    </row>
    <row r="2115" spans="1:18" x14ac:dyDescent="0.3">
      <c r="A2115" s="34" t="str">
        <f>base!J2115</f>
        <v>RS</v>
      </c>
      <c r="B2115" s="34" t="str">
        <f>base!V2115</f>
        <v>77183</v>
      </c>
      <c r="C2115" s="37">
        <v>77</v>
      </c>
      <c r="D2115" s="36">
        <f>base!H2115</f>
        <v>35</v>
      </c>
      <c r="E2115" s="44"/>
      <c r="F2115" s="16">
        <f>base!W2115</f>
        <v>0</v>
      </c>
      <c r="G2115" s="11">
        <f t="shared" si="330"/>
        <v>0</v>
      </c>
      <c r="H2115" s="11">
        <f t="shared" si="331"/>
        <v>0</v>
      </c>
      <c r="I2115" s="11">
        <f t="shared" si="332"/>
        <v>0</v>
      </c>
      <c r="J2115" s="12">
        <f t="shared" si="333"/>
        <v>0</v>
      </c>
      <c r="K2115" s="17" t="str">
        <f t="shared" ref="K2115:K2178" si="338">IF(H2115=F2115,"Pas d'écart",IF(H2115&lt;F2115,"Ecart positif",IF(H2115&gt;F2115,"Ecart négatif")))</f>
        <v>Pas d'écart</v>
      </c>
      <c r="L2115" s="16">
        <f>base!X2115</f>
        <v>0</v>
      </c>
      <c r="M2115" s="11">
        <f t="shared" si="334"/>
        <v>0</v>
      </c>
      <c r="N2115" s="11">
        <f t="shared" si="335"/>
        <v>0</v>
      </c>
      <c r="O2115" s="11">
        <f t="shared" si="336"/>
        <v>0</v>
      </c>
      <c r="P2115" s="12">
        <f t="shared" si="337"/>
        <v>0</v>
      </c>
      <c r="Q2115" s="17" t="str">
        <f t="shared" ref="Q2115:Q2178" si="339">IF(N2115=L2115,"Pas d'écart",IF(N2115&lt;L2115,"Ecart positif",IF(N2115&gt;L2115,"Ecart négatif")))</f>
        <v>Pas d'écart</v>
      </c>
    </row>
    <row r="2116" spans="1:18" x14ac:dyDescent="0.3">
      <c r="A2116" s="34" t="str">
        <f>base!J2116</f>
        <v>LS</v>
      </c>
      <c r="B2116" s="34" t="str">
        <f>base!V2116</f>
        <v>73400</v>
      </c>
      <c r="C2116" s="37">
        <v>80</v>
      </c>
      <c r="D2116" s="36">
        <f>base!H2116</f>
        <v>67.25</v>
      </c>
      <c r="E2116" s="44"/>
      <c r="F2116" s="16">
        <f>base!W2116</f>
        <v>18.16</v>
      </c>
      <c r="G2116" s="11">
        <f t="shared" si="330"/>
        <v>0.2700371747211896</v>
      </c>
      <c r="H2116" s="11">
        <f t="shared" si="331"/>
        <v>12.7775</v>
      </c>
      <c r="I2116" s="11">
        <f t="shared" si="332"/>
        <v>0.19</v>
      </c>
      <c r="J2116" s="12">
        <f t="shared" si="333"/>
        <v>5.3825000000000003</v>
      </c>
      <c r="K2116" s="17" t="str">
        <f t="shared" si="338"/>
        <v>Ecart positif</v>
      </c>
      <c r="L2116" s="16">
        <f>base!X2116</f>
        <v>0</v>
      </c>
      <c r="M2116" s="11">
        <f t="shared" si="334"/>
        <v>0</v>
      </c>
      <c r="N2116" s="11">
        <f t="shared" si="335"/>
        <v>0</v>
      </c>
      <c r="O2116" s="11">
        <f t="shared" si="336"/>
        <v>0</v>
      </c>
      <c r="P2116" s="12">
        <f t="shared" si="337"/>
        <v>0</v>
      </c>
      <c r="Q2116" s="17" t="str">
        <f t="shared" si="339"/>
        <v>Pas d'écart</v>
      </c>
    </row>
    <row r="2117" spans="1:18" x14ac:dyDescent="0.3">
      <c r="A2117" s="34" t="str">
        <f>base!J2117</f>
        <v>LS</v>
      </c>
      <c r="B2117" s="34" t="str">
        <f>base!V2117</f>
        <v>67120</v>
      </c>
      <c r="C2117" s="37">
        <v>59</v>
      </c>
      <c r="D2117" s="36">
        <f>base!H2117</f>
        <v>97.28</v>
      </c>
      <c r="E2117" s="44"/>
      <c r="F2117" s="16">
        <f>base!W2117</f>
        <v>28.21</v>
      </c>
      <c r="G2117" s="11">
        <f t="shared" si="330"/>
        <v>0.28998766447368424</v>
      </c>
      <c r="H2117" s="11">
        <f t="shared" si="331"/>
        <v>18.4832</v>
      </c>
      <c r="I2117" s="11">
        <f t="shared" si="332"/>
        <v>0.19</v>
      </c>
      <c r="J2117" s="12">
        <f t="shared" si="333"/>
        <v>9.7268000000000008</v>
      </c>
      <c r="K2117" s="17" t="str">
        <f t="shared" si="338"/>
        <v>Ecart positif</v>
      </c>
      <c r="L2117" s="16">
        <f>base!X2117</f>
        <v>0</v>
      </c>
      <c r="M2117" s="11">
        <f t="shared" si="334"/>
        <v>0</v>
      </c>
      <c r="N2117" s="11">
        <f t="shared" si="335"/>
        <v>0</v>
      </c>
      <c r="O2117" s="11">
        <f t="shared" si="336"/>
        <v>0</v>
      </c>
      <c r="P2117" s="12">
        <f t="shared" si="337"/>
        <v>0</v>
      </c>
      <c r="Q2117" s="17" t="str">
        <f t="shared" si="339"/>
        <v>Pas d'écart</v>
      </c>
    </row>
    <row r="2118" spans="1:18" x14ac:dyDescent="0.3">
      <c r="A2118" s="34" t="str">
        <f>base!J2118</f>
        <v>LM</v>
      </c>
      <c r="B2118" s="34" t="str">
        <f>base!V2118</f>
        <v>59150</v>
      </c>
      <c r="C2118" s="37">
        <v>59</v>
      </c>
      <c r="D2118" s="36">
        <f>base!H2118</f>
        <v>55.34</v>
      </c>
      <c r="E2118" s="44"/>
      <c r="F2118" s="16">
        <f>base!W2118</f>
        <v>10.51</v>
      </c>
      <c r="G2118" s="11">
        <f t="shared" si="330"/>
        <v>0.1899168774846404</v>
      </c>
      <c r="H2118" s="11">
        <f t="shared" si="331"/>
        <v>10.514600000000002</v>
      </c>
      <c r="I2118" s="11">
        <f t="shared" si="332"/>
        <v>0.19</v>
      </c>
      <c r="J2118" s="12">
        <f t="shared" si="333"/>
        <v>-4.6000000000017138E-3</v>
      </c>
      <c r="K2118" s="17" t="str">
        <f t="shared" si="338"/>
        <v>Ecart négatif</v>
      </c>
      <c r="L2118" s="16">
        <f>base!X2118</f>
        <v>0</v>
      </c>
      <c r="M2118" s="11">
        <f t="shared" si="334"/>
        <v>0</v>
      </c>
      <c r="N2118" s="11">
        <f t="shared" si="335"/>
        <v>0</v>
      </c>
      <c r="O2118" s="11">
        <f t="shared" si="336"/>
        <v>0</v>
      </c>
      <c r="P2118" s="12">
        <f t="shared" si="337"/>
        <v>0</v>
      </c>
      <c r="Q2118" s="17" t="str">
        <f t="shared" si="339"/>
        <v>Pas d'écart</v>
      </c>
    </row>
    <row r="2119" spans="1:18" x14ac:dyDescent="0.3">
      <c r="A2119" s="34" t="str">
        <f>base!J2119</f>
        <v>LS</v>
      </c>
      <c r="B2119" s="34" t="str">
        <f>base!V2119</f>
        <v>14570</v>
      </c>
      <c r="C2119" s="37">
        <v>59</v>
      </c>
      <c r="D2119" s="36">
        <f>base!H2119</f>
        <v>103.06</v>
      </c>
      <c r="E2119" s="44"/>
      <c r="F2119" s="16">
        <f>base!W2119</f>
        <v>17.52</v>
      </c>
      <c r="G2119" s="11">
        <f t="shared" si="330"/>
        <v>0.16999805938288376</v>
      </c>
      <c r="H2119" s="11">
        <f t="shared" si="331"/>
        <v>19.581400000000002</v>
      </c>
      <c r="I2119" s="11">
        <f t="shared" si="332"/>
        <v>0.19000000000000003</v>
      </c>
      <c r="J2119" s="12">
        <f t="shared" si="333"/>
        <v>-2.0614000000000026</v>
      </c>
      <c r="K2119" s="17" t="str">
        <f t="shared" si="338"/>
        <v>Ecart négatif</v>
      </c>
      <c r="L2119" s="16">
        <f>base!X2119</f>
        <v>0</v>
      </c>
      <c r="M2119" s="11">
        <f t="shared" si="334"/>
        <v>0</v>
      </c>
      <c r="N2119" s="11">
        <f t="shared" si="335"/>
        <v>0</v>
      </c>
      <c r="O2119" s="11">
        <f t="shared" si="336"/>
        <v>0</v>
      </c>
      <c r="P2119" s="12">
        <f t="shared" si="337"/>
        <v>0</v>
      </c>
      <c r="Q2119" s="17" t="str">
        <f t="shared" si="339"/>
        <v>Pas d'écart</v>
      </c>
    </row>
    <row r="2120" spans="1:18" x14ac:dyDescent="0.3">
      <c r="A2120" s="34" t="str">
        <f>base!J2120</f>
        <v>LS</v>
      </c>
      <c r="B2120" s="34" t="str">
        <f>base!V2120</f>
        <v>59290</v>
      </c>
      <c r="C2120" s="37">
        <v>80</v>
      </c>
      <c r="D2120" s="36">
        <f>base!H2120</f>
        <v>0.06</v>
      </c>
      <c r="E2120" s="44"/>
      <c r="F2120" s="16">
        <f>base!W2120</f>
        <v>0.01</v>
      </c>
      <c r="G2120" s="11">
        <f t="shared" si="330"/>
        <v>0.16666666666666669</v>
      </c>
      <c r="H2120" s="11">
        <f t="shared" si="331"/>
        <v>1.14E-2</v>
      </c>
      <c r="I2120" s="11">
        <f t="shared" si="332"/>
        <v>0.19</v>
      </c>
      <c r="J2120" s="12">
        <f t="shared" si="333"/>
        <v>-1.4000000000000002E-3</v>
      </c>
      <c r="K2120" s="17" t="str">
        <f t="shared" si="338"/>
        <v>Ecart négatif</v>
      </c>
      <c r="L2120" s="16">
        <f>base!X2120</f>
        <v>0</v>
      </c>
      <c r="M2120" s="11">
        <f t="shared" si="334"/>
        <v>0</v>
      </c>
      <c r="N2120" s="11">
        <f t="shared" si="335"/>
        <v>0</v>
      </c>
      <c r="O2120" s="11">
        <f t="shared" si="336"/>
        <v>0</v>
      </c>
      <c r="P2120" s="12">
        <f t="shared" si="337"/>
        <v>0</v>
      </c>
      <c r="Q2120" s="17" t="str">
        <f t="shared" si="339"/>
        <v>Pas d'écart</v>
      </c>
    </row>
    <row r="2121" spans="1:18" x14ac:dyDescent="0.3">
      <c r="A2121" s="34" t="str">
        <f>base!J2121</f>
        <v>RS</v>
      </c>
      <c r="B2121" s="34" t="str">
        <f>base!V2121</f>
        <v>13880</v>
      </c>
      <c r="C2121" s="37">
        <v>13</v>
      </c>
      <c r="D2121" s="36">
        <f>base!H2121</f>
        <v>70</v>
      </c>
      <c r="E2121" s="44"/>
      <c r="F2121" s="16">
        <f>base!W2121</f>
        <v>0</v>
      </c>
      <c r="G2121" s="11">
        <f t="shared" si="330"/>
        <v>0</v>
      </c>
      <c r="H2121" s="11">
        <f t="shared" si="331"/>
        <v>20.299999999999997</v>
      </c>
      <c r="I2121" s="11">
        <f t="shared" si="332"/>
        <v>0.28999999999999998</v>
      </c>
      <c r="J2121" s="12">
        <f t="shared" si="333"/>
        <v>-20.299999999999997</v>
      </c>
      <c r="K2121" s="17" t="str">
        <f t="shared" si="338"/>
        <v>Ecart négatif</v>
      </c>
      <c r="L2121" s="16">
        <f>base!X2121</f>
        <v>13.3</v>
      </c>
      <c r="M2121" s="11">
        <f t="shared" si="334"/>
        <v>0.19</v>
      </c>
      <c r="N2121" s="11">
        <f t="shared" si="335"/>
        <v>13.3</v>
      </c>
      <c r="O2121" s="11">
        <f t="shared" si="336"/>
        <v>0.19</v>
      </c>
      <c r="P2121" s="12">
        <f t="shared" si="337"/>
        <v>0</v>
      </c>
      <c r="Q2121" s="17" t="str">
        <f t="shared" si="339"/>
        <v>Pas d'écart</v>
      </c>
      <c r="R2121" s="38"/>
    </row>
    <row r="2122" spans="1:18" x14ac:dyDescent="0.3">
      <c r="A2122" s="34" t="str">
        <f>base!J2122</f>
        <v>RS</v>
      </c>
      <c r="B2122" s="34" t="str">
        <f>base!V2122</f>
        <v>69007</v>
      </c>
      <c r="C2122" s="37">
        <v>69</v>
      </c>
      <c r="D2122" s="36">
        <f>base!H2122</f>
        <v>226.98</v>
      </c>
      <c r="E2122" s="44"/>
      <c r="F2122" s="16">
        <f>base!W2122</f>
        <v>0</v>
      </c>
      <c r="G2122" s="11">
        <f t="shared" si="330"/>
        <v>0</v>
      </c>
      <c r="H2122" s="11">
        <f t="shared" si="331"/>
        <v>61.284600000000005</v>
      </c>
      <c r="I2122" s="11">
        <f t="shared" si="332"/>
        <v>0.27</v>
      </c>
      <c r="J2122" s="12">
        <f t="shared" si="333"/>
        <v>-61.284600000000005</v>
      </c>
      <c r="K2122" s="17" t="str">
        <f t="shared" si="338"/>
        <v>Ecart négatif</v>
      </c>
      <c r="L2122" s="16">
        <f>base!X2122</f>
        <v>0</v>
      </c>
      <c r="M2122" s="11">
        <f t="shared" si="334"/>
        <v>0</v>
      </c>
      <c r="N2122" s="11">
        <f t="shared" si="335"/>
        <v>0</v>
      </c>
      <c r="O2122" s="11">
        <f t="shared" si="336"/>
        <v>0</v>
      </c>
      <c r="P2122" s="12">
        <f t="shared" si="337"/>
        <v>0</v>
      </c>
      <c r="Q2122" s="17" t="str">
        <f t="shared" si="339"/>
        <v>Pas d'écart</v>
      </c>
    </row>
    <row r="2123" spans="1:18" x14ac:dyDescent="0.3">
      <c r="A2123" s="34" t="str">
        <f>base!J2123</f>
        <v>DLS</v>
      </c>
      <c r="B2123" s="34" t="str">
        <f>base!V2123</f>
        <v>75009</v>
      </c>
      <c r="C2123" s="37">
        <v>75</v>
      </c>
      <c r="D2123" s="36">
        <f>base!H2123</f>
        <v>131.74</v>
      </c>
      <c r="E2123" s="44"/>
      <c r="F2123" s="16">
        <f>base!W2123</f>
        <v>0</v>
      </c>
      <c r="G2123" s="11">
        <f t="shared" si="330"/>
        <v>0</v>
      </c>
      <c r="H2123" s="11">
        <f t="shared" si="331"/>
        <v>0</v>
      </c>
      <c r="I2123" s="11">
        <f t="shared" si="332"/>
        <v>0</v>
      </c>
      <c r="J2123" s="12">
        <f t="shared" si="333"/>
        <v>0</v>
      </c>
      <c r="K2123" s="17" t="str">
        <f t="shared" si="338"/>
        <v>Pas d'écart</v>
      </c>
      <c r="L2123" s="16">
        <f>base!X2123</f>
        <v>28.98</v>
      </c>
      <c r="M2123" s="11">
        <f t="shared" si="334"/>
        <v>0.21997874601487777</v>
      </c>
      <c r="N2123" s="11">
        <f t="shared" si="335"/>
        <v>0</v>
      </c>
      <c r="O2123" s="11">
        <f t="shared" si="336"/>
        <v>0</v>
      </c>
      <c r="P2123" s="12">
        <f t="shared" si="337"/>
        <v>28.98</v>
      </c>
      <c r="Q2123" s="17" t="str">
        <f t="shared" si="339"/>
        <v>Ecart positif</v>
      </c>
    </row>
    <row r="2124" spans="1:18" x14ac:dyDescent="0.3">
      <c r="A2124" s="34" t="str">
        <f>base!J2124</f>
        <v>RS</v>
      </c>
      <c r="B2124" s="34" t="str">
        <f>base!V2124</f>
        <v>13290</v>
      </c>
      <c r="C2124" s="37">
        <v>13</v>
      </c>
      <c r="D2124" s="36">
        <f>base!H2124</f>
        <v>133.4</v>
      </c>
      <c r="E2124" s="44"/>
      <c r="F2124" s="16">
        <f>base!W2124</f>
        <v>0</v>
      </c>
      <c r="G2124" s="11">
        <f t="shared" si="330"/>
        <v>0</v>
      </c>
      <c r="H2124" s="11">
        <f t="shared" si="331"/>
        <v>38.686</v>
      </c>
      <c r="I2124" s="11">
        <f t="shared" si="332"/>
        <v>0.28999999999999998</v>
      </c>
      <c r="J2124" s="12">
        <f t="shared" si="333"/>
        <v>-38.686</v>
      </c>
      <c r="K2124" s="17" t="str">
        <f t="shared" si="338"/>
        <v>Ecart négatif</v>
      </c>
      <c r="L2124" s="16">
        <f>base!X2124</f>
        <v>0</v>
      </c>
      <c r="M2124" s="11">
        <f t="shared" si="334"/>
        <v>0</v>
      </c>
      <c r="N2124" s="11">
        <f t="shared" si="335"/>
        <v>25.346</v>
      </c>
      <c r="O2124" s="11">
        <f t="shared" si="336"/>
        <v>0.19</v>
      </c>
      <c r="P2124" s="12">
        <f t="shared" si="337"/>
        <v>-25.346</v>
      </c>
      <c r="Q2124" s="17" t="str">
        <f t="shared" si="339"/>
        <v>Ecart négatif</v>
      </c>
    </row>
    <row r="2125" spans="1:18" x14ac:dyDescent="0.3">
      <c r="A2125" s="34" t="str">
        <f>base!J2125</f>
        <v>LS</v>
      </c>
      <c r="B2125" s="34" t="str">
        <f>base!V2125</f>
        <v>13307</v>
      </c>
      <c r="C2125" s="37">
        <v>59</v>
      </c>
      <c r="D2125" s="36">
        <f>base!H2125</f>
        <v>156.69</v>
      </c>
      <c r="E2125" s="44"/>
      <c r="F2125" s="16">
        <f>base!W2125</f>
        <v>45.44</v>
      </c>
      <c r="G2125" s="11">
        <f t="shared" si="330"/>
        <v>0.28999936179717911</v>
      </c>
      <c r="H2125" s="11">
        <f t="shared" si="331"/>
        <v>29.771100000000001</v>
      </c>
      <c r="I2125" s="11">
        <f t="shared" si="332"/>
        <v>0.19</v>
      </c>
      <c r="J2125" s="12">
        <f t="shared" si="333"/>
        <v>15.668899999999997</v>
      </c>
      <c r="K2125" s="17" t="str">
        <f t="shared" si="338"/>
        <v>Ecart positif</v>
      </c>
      <c r="L2125" s="16">
        <f>base!X2125</f>
        <v>0</v>
      </c>
      <c r="M2125" s="11">
        <f t="shared" si="334"/>
        <v>0</v>
      </c>
      <c r="N2125" s="11">
        <f t="shared" si="335"/>
        <v>0</v>
      </c>
      <c r="O2125" s="11">
        <f t="shared" si="336"/>
        <v>0</v>
      </c>
      <c r="P2125" s="12">
        <f t="shared" si="337"/>
        <v>0</v>
      </c>
      <c r="Q2125" s="17" t="str">
        <f t="shared" si="339"/>
        <v>Pas d'écart</v>
      </c>
    </row>
    <row r="2126" spans="1:18" x14ac:dyDescent="0.3">
      <c r="A2126" s="34" t="str">
        <f>base!J2126</f>
        <v>LM</v>
      </c>
      <c r="B2126" s="34" t="str">
        <f>base!V2126</f>
        <v>06560</v>
      </c>
      <c r="C2126" s="37">
        <v>59</v>
      </c>
      <c r="D2126" s="36">
        <f>base!H2126</f>
        <v>19.89</v>
      </c>
      <c r="E2126" s="44"/>
      <c r="F2126" s="16">
        <f>base!W2126</f>
        <v>5.97</v>
      </c>
      <c r="G2126" s="11">
        <f t="shared" si="330"/>
        <v>0.30015082956259426</v>
      </c>
      <c r="H2126" s="11">
        <f t="shared" si="331"/>
        <v>3.7791000000000001</v>
      </c>
      <c r="I2126" s="11">
        <f t="shared" si="332"/>
        <v>0.19</v>
      </c>
      <c r="J2126" s="12">
        <f t="shared" si="333"/>
        <v>2.1908999999999996</v>
      </c>
      <c r="K2126" s="17" t="str">
        <f t="shared" si="338"/>
        <v>Ecart positif</v>
      </c>
      <c r="L2126" s="16">
        <f>base!X2126</f>
        <v>0</v>
      </c>
      <c r="M2126" s="11">
        <f t="shared" si="334"/>
        <v>0</v>
      </c>
      <c r="N2126" s="11">
        <f t="shared" si="335"/>
        <v>0</v>
      </c>
      <c r="O2126" s="11">
        <f t="shared" si="336"/>
        <v>0</v>
      </c>
      <c r="P2126" s="12">
        <f t="shared" si="337"/>
        <v>0</v>
      </c>
      <c r="Q2126" s="17" t="str">
        <f t="shared" si="339"/>
        <v>Pas d'écart</v>
      </c>
    </row>
    <row r="2127" spans="1:18" x14ac:dyDescent="0.3">
      <c r="A2127" s="34" t="str">
        <f>base!J2127</f>
        <v>LS</v>
      </c>
      <c r="B2127" s="34" t="str">
        <f>base!V2127</f>
        <v>80480</v>
      </c>
      <c r="C2127" s="37">
        <v>80</v>
      </c>
      <c r="D2127" s="36">
        <f>base!H2127</f>
        <v>82.33</v>
      </c>
      <c r="E2127" s="44"/>
      <c r="F2127" s="16">
        <f>base!W2127</f>
        <v>15.64</v>
      </c>
      <c r="G2127" s="11">
        <f t="shared" si="330"/>
        <v>0.18996720515000609</v>
      </c>
      <c r="H2127" s="11">
        <f t="shared" si="331"/>
        <v>15.6427</v>
      </c>
      <c r="I2127" s="11">
        <f t="shared" si="332"/>
        <v>0.19</v>
      </c>
      <c r="J2127" s="12">
        <f t="shared" si="333"/>
        <v>-2.6999999999990365E-3</v>
      </c>
      <c r="K2127" s="17" t="str">
        <f t="shared" si="338"/>
        <v>Ecart négatif</v>
      </c>
      <c r="L2127" s="16">
        <f>base!X2127</f>
        <v>0</v>
      </c>
      <c r="M2127" s="11">
        <f t="shared" si="334"/>
        <v>0</v>
      </c>
      <c r="N2127" s="11">
        <f t="shared" si="335"/>
        <v>0</v>
      </c>
      <c r="O2127" s="11">
        <f t="shared" si="336"/>
        <v>0</v>
      </c>
      <c r="P2127" s="12">
        <f t="shared" si="337"/>
        <v>0</v>
      </c>
      <c r="Q2127" s="17" t="str">
        <f t="shared" si="339"/>
        <v>Pas d'écart</v>
      </c>
    </row>
    <row r="2128" spans="1:18" x14ac:dyDescent="0.3">
      <c r="A2128" s="34" t="str">
        <f>base!J2128</f>
        <v>LS</v>
      </c>
      <c r="B2128" s="34" t="str">
        <f>base!V2128</f>
        <v>50110</v>
      </c>
      <c r="C2128" s="37">
        <v>62</v>
      </c>
      <c r="D2128" s="36">
        <f>base!H2128</f>
        <v>146.85</v>
      </c>
      <c r="E2128" s="44"/>
      <c r="F2128" s="16">
        <f>base!W2128</f>
        <v>24.96</v>
      </c>
      <c r="G2128" s="11">
        <f t="shared" si="330"/>
        <v>0.16996935648621042</v>
      </c>
      <c r="H2128" s="11">
        <f t="shared" si="331"/>
        <v>27.901499999999999</v>
      </c>
      <c r="I2128" s="11">
        <f t="shared" si="332"/>
        <v>0.19</v>
      </c>
      <c r="J2128" s="12">
        <f t="shared" si="333"/>
        <v>-2.9414999999999978</v>
      </c>
      <c r="K2128" s="17" t="str">
        <f t="shared" si="338"/>
        <v>Ecart négatif</v>
      </c>
      <c r="L2128" s="16">
        <f>base!X2128</f>
        <v>0</v>
      </c>
      <c r="M2128" s="11">
        <f t="shared" si="334"/>
        <v>0</v>
      </c>
      <c r="N2128" s="11">
        <f t="shared" si="335"/>
        <v>0</v>
      </c>
      <c r="O2128" s="11">
        <f t="shared" si="336"/>
        <v>0</v>
      </c>
      <c r="P2128" s="12">
        <f t="shared" si="337"/>
        <v>0</v>
      </c>
      <c r="Q2128" s="17" t="str">
        <f t="shared" si="339"/>
        <v>Pas d'écart</v>
      </c>
    </row>
    <row r="2129" spans="1:17" x14ac:dyDescent="0.3">
      <c r="A2129" s="34" t="str">
        <f>base!J2129</f>
        <v>LS</v>
      </c>
      <c r="B2129" s="34" t="str">
        <f>base!V2129</f>
        <v>75018</v>
      </c>
      <c r="C2129" s="37">
        <v>75</v>
      </c>
      <c r="D2129" s="36">
        <f>base!H2129</f>
        <v>55.34</v>
      </c>
      <c r="E2129" s="44"/>
      <c r="F2129" s="16">
        <f>base!W2129</f>
        <v>0</v>
      </c>
      <c r="G2129" s="11">
        <f t="shared" si="330"/>
        <v>0</v>
      </c>
      <c r="H2129" s="11">
        <f t="shared" si="331"/>
        <v>0</v>
      </c>
      <c r="I2129" s="11">
        <f t="shared" si="332"/>
        <v>0</v>
      </c>
      <c r="J2129" s="12">
        <f t="shared" si="333"/>
        <v>0</v>
      </c>
      <c r="K2129" s="17" t="str">
        <f t="shared" si="338"/>
        <v>Pas d'écart</v>
      </c>
      <c r="L2129" s="16">
        <f>base!X2129</f>
        <v>0</v>
      </c>
      <c r="M2129" s="11">
        <f t="shared" si="334"/>
        <v>0</v>
      </c>
      <c r="N2129" s="11">
        <f t="shared" si="335"/>
        <v>0</v>
      </c>
      <c r="O2129" s="11">
        <f t="shared" si="336"/>
        <v>0</v>
      </c>
      <c r="P2129" s="12">
        <f t="shared" si="337"/>
        <v>0</v>
      </c>
      <c r="Q2129" s="17" t="str">
        <f t="shared" si="339"/>
        <v>Pas d'écart</v>
      </c>
    </row>
    <row r="2130" spans="1:17" x14ac:dyDescent="0.3">
      <c r="A2130" s="34" t="str">
        <f>base!J2130</f>
        <v>LM</v>
      </c>
      <c r="B2130" s="34" t="str">
        <f>base!V2130</f>
        <v>76600</v>
      </c>
      <c r="C2130" s="37">
        <v>60</v>
      </c>
      <c r="D2130" s="36">
        <f>base!H2130</f>
        <v>75.34</v>
      </c>
      <c r="E2130" s="44"/>
      <c r="F2130" s="16">
        <f>base!W2130</f>
        <v>12.81</v>
      </c>
      <c r="G2130" s="11">
        <f t="shared" si="330"/>
        <v>0.17002920095566765</v>
      </c>
      <c r="H2130" s="11">
        <f t="shared" si="331"/>
        <v>14.3146</v>
      </c>
      <c r="I2130" s="11">
        <f t="shared" si="332"/>
        <v>0.19</v>
      </c>
      <c r="J2130" s="12">
        <f t="shared" si="333"/>
        <v>-1.5045999999999999</v>
      </c>
      <c r="K2130" s="17" t="str">
        <f t="shared" si="338"/>
        <v>Ecart négatif</v>
      </c>
      <c r="L2130" s="16">
        <f>base!X2130</f>
        <v>0</v>
      </c>
      <c r="M2130" s="11">
        <f t="shared" si="334"/>
        <v>0</v>
      </c>
      <c r="N2130" s="11">
        <f t="shared" si="335"/>
        <v>0</v>
      </c>
      <c r="O2130" s="11">
        <f t="shared" si="336"/>
        <v>0</v>
      </c>
      <c r="P2130" s="12">
        <f t="shared" si="337"/>
        <v>0</v>
      </c>
      <c r="Q2130" s="17" t="str">
        <f t="shared" si="339"/>
        <v>Pas d'écart</v>
      </c>
    </row>
    <row r="2131" spans="1:17" x14ac:dyDescent="0.3">
      <c r="A2131" s="34" t="str">
        <f>base!J2131</f>
        <v>LS</v>
      </c>
      <c r="B2131" s="34" t="str">
        <f>base!V2131</f>
        <v>67600</v>
      </c>
      <c r="C2131" s="37">
        <v>67</v>
      </c>
      <c r="D2131" s="36">
        <f>base!H2131</f>
        <v>160</v>
      </c>
      <c r="E2131" s="44"/>
      <c r="F2131" s="16">
        <f>base!W2131</f>
        <v>46.4</v>
      </c>
      <c r="G2131" s="11">
        <f t="shared" si="330"/>
        <v>0.28999999999999998</v>
      </c>
      <c r="H2131" s="11">
        <f t="shared" si="331"/>
        <v>46.4</v>
      </c>
      <c r="I2131" s="11">
        <f t="shared" si="332"/>
        <v>0.28999999999999998</v>
      </c>
      <c r="J2131" s="12">
        <f t="shared" si="333"/>
        <v>0</v>
      </c>
      <c r="K2131" s="17" t="str">
        <f t="shared" si="338"/>
        <v>Pas d'écart</v>
      </c>
      <c r="L2131" s="16">
        <f>base!X2131</f>
        <v>0</v>
      </c>
      <c r="M2131" s="11">
        <f t="shared" si="334"/>
        <v>0</v>
      </c>
      <c r="N2131" s="11">
        <f t="shared" si="335"/>
        <v>12.8</v>
      </c>
      <c r="O2131" s="11">
        <f t="shared" si="336"/>
        <v>0.08</v>
      </c>
      <c r="P2131" s="12">
        <f t="shared" si="337"/>
        <v>-12.8</v>
      </c>
      <c r="Q2131" s="17" t="str">
        <f t="shared" si="339"/>
        <v>Ecart négatif</v>
      </c>
    </row>
    <row r="2132" spans="1:17" x14ac:dyDescent="0.3">
      <c r="A2132" s="34" t="str">
        <f>base!J2132</f>
        <v>RS</v>
      </c>
      <c r="B2132" s="34" t="str">
        <f>base!V2132</f>
        <v>54250</v>
      </c>
      <c r="C2132" s="37">
        <v>54</v>
      </c>
      <c r="D2132" s="36">
        <f>base!H2132</f>
        <v>40</v>
      </c>
      <c r="E2132" s="44"/>
      <c r="F2132" s="16">
        <f>base!W2132</f>
        <v>0</v>
      </c>
      <c r="G2132" s="11">
        <f t="shared" si="330"/>
        <v>0</v>
      </c>
      <c r="H2132" s="11">
        <f t="shared" si="331"/>
        <v>10</v>
      </c>
      <c r="I2132" s="11">
        <f t="shared" si="332"/>
        <v>0.25</v>
      </c>
      <c r="J2132" s="12">
        <f t="shared" si="333"/>
        <v>-10</v>
      </c>
      <c r="K2132" s="17" t="str">
        <f t="shared" si="338"/>
        <v>Ecart négatif</v>
      </c>
      <c r="L2132" s="16">
        <f>base!X2132</f>
        <v>10</v>
      </c>
      <c r="M2132" s="11">
        <f t="shared" si="334"/>
        <v>0.25</v>
      </c>
      <c r="N2132" s="11">
        <f t="shared" si="335"/>
        <v>10</v>
      </c>
      <c r="O2132" s="11">
        <f t="shared" si="336"/>
        <v>0.25</v>
      </c>
      <c r="P2132" s="12">
        <f t="shared" si="337"/>
        <v>0</v>
      </c>
      <c r="Q2132" s="17" t="str">
        <f t="shared" si="339"/>
        <v>Pas d'écart</v>
      </c>
    </row>
    <row r="2133" spans="1:17" x14ac:dyDescent="0.3">
      <c r="A2133" s="34" t="str">
        <f>base!J2133</f>
        <v>RS</v>
      </c>
      <c r="B2133" s="34" t="str">
        <f>base!V2133</f>
        <v>69003</v>
      </c>
      <c r="C2133" s="37">
        <v>69</v>
      </c>
      <c r="D2133" s="36">
        <f>base!H2133</f>
        <v>100.2</v>
      </c>
      <c r="E2133" s="44"/>
      <c r="F2133" s="16">
        <f>base!W2133</f>
        <v>0</v>
      </c>
      <c r="G2133" s="11">
        <f t="shared" si="330"/>
        <v>0</v>
      </c>
      <c r="H2133" s="11">
        <f t="shared" si="331"/>
        <v>27.054000000000002</v>
      </c>
      <c r="I2133" s="11">
        <f t="shared" si="332"/>
        <v>0.27</v>
      </c>
      <c r="J2133" s="12">
        <f t="shared" si="333"/>
        <v>-27.054000000000002</v>
      </c>
      <c r="K2133" s="17" t="str">
        <f t="shared" si="338"/>
        <v>Ecart négatif</v>
      </c>
      <c r="L2133" s="16">
        <f>base!X2133</f>
        <v>0</v>
      </c>
      <c r="M2133" s="11">
        <f t="shared" si="334"/>
        <v>0</v>
      </c>
      <c r="N2133" s="11">
        <f t="shared" si="335"/>
        <v>0</v>
      </c>
      <c r="O2133" s="11">
        <f t="shared" si="336"/>
        <v>0</v>
      </c>
      <c r="P2133" s="12">
        <f t="shared" si="337"/>
        <v>0</v>
      </c>
      <c r="Q2133" s="17" t="str">
        <f t="shared" si="339"/>
        <v>Pas d'écart</v>
      </c>
    </row>
    <row r="2134" spans="1:17" x14ac:dyDescent="0.3">
      <c r="A2134" s="34" t="str">
        <f>base!J2134</f>
        <v>DRS</v>
      </c>
      <c r="B2134" s="34" t="str">
        <f>base!V2134</f>
        <v>45100</v>
      </c>
      <c r="C2134" s="37">
        <v>45</v>
      </c>
      <c r="D2134" s="36">
        <f>base!H2134</f>
        <v>140</v>
      </c>
      <c r="E2134" s="44"/>
      <c r="F2134" s="16">
        <f>base!W2134</f>
        <v>0</v>
      </c>
      <c r="G2134" s="11">
        <f t="shared" si="330"/>
        <v>0</v>
      </c>
      <c r="H2134" s="11">
        <f t="shared" si="331"/>
        <v>29.4</v>
      </c>
      <c r="I2134" s="11">
        <f t="shared" si="332"/>
        <v>0.21</v>
      </c>
      <c r="J2134" s="12">
        <f t="shared" si="333"/>
        <v>-29.4</v>
      </c>
      <c r="K2134" s="17" t="str">
        <f t="shared" si="338"/>
        <v>Ecart négatif</v>
      </c>
      <c r="L2134" s="16">
        <f>base!X2134</f>
        <v>0</v>
      </c>
      <c r="M2134" s="11">
        <f t="shared" si="334"/>
        <v>0</v>
      </c>
      <c r="N2134" s="11">
        <f t="shared" si="335"/>
        <v>16.8</v>
      </c>
      <c r="O2134" s="11">
        <f t="shared" si="336"/>
        <v>0.12000000000000001</v>
      </c>
      <c r="P2134" s="12">
        <f t="shared" si="337"/>
        <v>-16.8</v>
      </c>
      <c r="Q2134" s="17" t="str">
        <f t="shared" si="339"/>
        <v>Ecart négatif</v>
      </c>
    </row>
    <row r="2135" spans="1:17" x14ac:dyDescent="0.3">
      <c r="A2135" s="34" t="str">
        <f>base!J2135</f>
        <v>LS</v>
      </c>
      <c r="B2135" s="34" t="str">
        <f>base!V2135</f>
        <v>34000</v>
      </c>
      <c r="C2135" s="37">
        <v>34</v>
      </c>
      <c r="D2135" s="36">
        <f>base!H2135</f>
        <v>140</v>
      </c>
      <c r="E2135" s="44"/>
      <c r="F2135" s="16">
        <f>base!W2135</f>
        <v>54.6</v>
      </c>
      <c r="G2135" s="11">
        <f t="shared" si="330"/>
        <v>0.39</v>
      </c>
      <c r="H2135" s="11">
        <f t="shared" si="331"/>
        <v>54.6</v>
      </c>
      <c r="I2135" s="11">
        <f t="shared" si="332"/>
        <v>0.39</v>
      </c>
      <c r="J2135" s="12">
        <f t="shared" si="333"/>
        <v>0</v>
      </c>
      <c r="K2135" s="17" t="str">
        <f t="shared" si="338"/>
        <v>Pas d'écart</v>
      </c>
      <c r="L2135" s="16">
        <f>base!X2135</f>
        <v>0</v>
      </c>
      <c r="M2135" s="11">
        <f t="shared" si="334"/>
        <v>0</v>
      </c>
      <c r="N2135" s="11">
        <f t="shared" si="335"/>
        <v>39.200000000000003</v>
      </c>
      <c r="O2135" s="11">
        <f t="shared" si="336"/>
        <v>0.28000000000000003</v>
      </c>
      <c r="P2135" s="12">
        <f t="shared" si="337"/>
        <v>-39.200000000000003</v>
      </c>
      <c r="Q2135" s="17" t="str">
        <f t="shared" si="339"/>
        <v>Ecart négatif</v>
      </c>
    </row>
    <row r="2136" spans="1:17" x14ac:dyDescent="0.3">
      <c r="A2136" s="34" t="str">
        <f>base!J2136</f>
        <v>LM</v>
      </c>
      <c r="B2136" s="34" t="str">
        <f>base!V2136</f>
        <v>13790</v>
      </c>
      <c r="C2136" s="37">
        <v>59</v>
      </c>
      <c r="D2136" s="36">
        <f>base!H2136</f>
        <v>107.72</v>
      </c>
      <c r="E2136" s="44"/>
      <c r="F2136" s="16">
        <f>base!W2136</f>
        <v>31.24</v>
      </c>
      <c r="G2136" s="11">
        <f t="shared" si="330"/>
        <v>0.29001113999257333</v>
      </c>
      <c r="H2136" s="11">
        <f t="shared" si="331"/>
        <v>20.466799999999999</v>
      </c>
      <c r="I2136" s="11">
        <f t="shared" si="332"/>
        <v>0.19</v>
      </c>
      <c r="J2136" s="12">
        <f t="shared" si="333"/>
        <v>10.773199999999999</v>
      </c>
      <c r="K2136" s="17" t="str">
        <f t="shared" si="338"/>
        <v>Ecart positif</v>
      </c>
      <c r="L2136" s="16">
        <f>base!X2136</f>
        <v>0</v>
      </c>
      <c r="M2136" s="11">
        <f t="shared" si="334"/>
        <v>0</v>
      </c>
      <c r="N2136" s="11">
        <f t="shared" si="335"/>
        <v>0</v>
      </c>
      <c r="O2136" s="11">
        <f t="shared" si="336"/>
        <v>0</v>
      </c>
      <c r="P2136" s="12">
        <f t="shared" si="337"/>
        <v>0</v>
      </c>
      <c r="Q2136" s="17" t="str">
        <f t="shared" si="339"/>
        <v>Pas d'écart</v>
      </c>
    </row>
    <row r="2137" spans="1:17" x14ac:dyDescent="0.3">
      <c r="A2137" s="34" t="str">
        <f>base!J2137</f>
        <v>RM</v>
      </c>
      <c r="B2137" s="34" t="str">
        <f>base!V2137</f>
        <v>59231</v>
      </c>
      <c r="C2137" s="37">
        <v>59</v>
      </c>
      <c r="D2137" s="36">
        <f>base!H2137</f>
        <v>314</v>
      </c>
      <c r="E2137" s="44"/>
      <c r="F2137" s="16">
        <f>base!W2137</f>
        <v>0</v>
      </c>
      <c r="G2137" s="11">
        <f t="shared" si="330"/>
        <v>0</v>
      </c>
      <c r="H2137" s="11">
        <f t="shared" si="331"/>
        <v>59.660000000000004</v>
      </c>
      <c r="I2137" s="11">
        <f t="shared" si="332"/>
        <v>0.19</v>
      </c>
      <c r="J2137" s="12">
        <f t="shared" si="333"/>
        <v>-59.660000000000004</v>
      </c>
      <c r="K2137" s="17" t="str">
        <f t="shared" si="338"/>
        <v>Ecart négatif</v>
      </c>
      <c r="L2137" s="16">
        <f>base!X2137</f>
        <v>0</v>
      </c>
      <c r="M2137" s="11">
        <f t="shared" si="334"/>
        <v>0</v>
      </c>
      <c r="N2137" s="11">
        <f t="shared" si="335"/>
        <v>0</v>
      </c>
      <c r="O2137" s="11">
        <f t="shared" si="336"/>
        <v>0</v>
      </c>
      <c r="P2137" s="12">
        <f t="shared" si="337"/>
        <v>0</v>
      </c>
      <c r="Q2137" s="17" t="str">
        <f t="shared" si="339"/>
        <v>Pas d'écart</v>
      </c>
    </row>
    <row r="2138" spans="1:17" x14ac:dyDescent="0.3">
      <c r="A2138" s="34" t="str">
        <f>base!J2138</f>
        <v>LS</v>
      </c>
      <c r="B2138" s="34" t="str">
        <f>base!V2138</f>
        <v>79000</v>
      </c>
      <c r="C2138" s="37">
        <v>59</v>
      </c>
      <c r="D2138" s="36">
        <f>base!H2138</f>
        <v>43.34</v>
      </c>
      <c r="E2138" s="44"/>
      <c r="F2138" s="16">
        <f>base!W2138</f>
        <v>9.1</v>
      </c>
      <c r="G2138" s="11">
        <f t="shared" si="330"/>
        <v>0.20996769727734194</v>
      </c>
      <c r="H2138" s="11">
        <f t="shared" si="331"/>
        <v>8.2346000000000004</v>
      </c>
      <c r="I2138" s="11">
        <f t="shared" si="332"/>
        <v>0.19</v>
      </c>
      <c r="J2138" s="12">
        <f t="shared" si="333"/>
        <v>0.86539999999999928</v>
      </c>
      <c r="K2138" s="17" t="str">
        <f t="shared" si="338"/>
        <v>Ecart positif</v>
      </c>
      <c r="L2138" s="16">
        <f>base!X2138</f>
        <v>0</v>
      </c>
      <c r="M2138" s="11">
        <f t="shared" si="334"/>
        <v>0</v>
      </c>
      <c r="N2138" s="11">
        <f t="shared" si="335"/>
        <v>0</v>
      </c>
      <c r="O2138" s="11">
        <f t="shared" si="336"/>
        <v>0</v>
      </c>
      <c r="P2138" s="12">
        <f t="shared" si="337"/>
        <v>0</v>
      </c>
      <c r="Q2138" s="17" t="str">
        <f t="shared" si="339"/>
        <v>Pas d'écart</v>
      </c>
    </row>
    <row r="2139" spans="1:17" x14ac:dyDescent="0.3">
      <c r="A2139" s="34" t="str">
        <f>base!J2139</f>
        <v>RM</v>
      </c>
      <c r="B2139" s="34" t="str">
        <f>base!V2139</f>
        <v>75010</v>
      </c>
      <c r="C2139" s="37">
        <v>75</v>
      </c>
      <c r="D2139" s="36">
        <f>base!H2139</f>
        <v>119.94</v>
      </c>
      <c r="E2139" s="44"/>
      <c r="F2139" s="16">
        <f>base!W2139</f>
        <v>0</v>
      </c>
      <c r="G2139" s="11">
        <f t="shared" si="330"/>
        <v>0</v>
      </c>
      <c r="H2139" s="11">
        <f t="shared" si="331"/>
        <v>0</v>
      </c>
      <c r="I2139" s="11">
        <f t="shared" si="332"/>
        <v>0</v>
      </c>
      <c r="J2139" s="12">
        <f t="shared" si="333"/>
        <v>0</v>
      </c>
      <c r="K2139" s="17" t="str">
        <f t="shared" si="338"/>
        <v>Pas d'écart</v>
      </c>
      <c r="L2139" s="16">
        <f>base!X2139</f>
        <v>0</v>
      </c>
      <c r="M2139" s="11">
        <f t="shared" si="334"/>
        <v>0</v>
      </c>
      <c r="N2139" s="11">
        <f t="shared" si="335"/>
        <v>0</v>
      </c>
      <c r="O2139" s="11">
        <f t="shared" si="336"/>
        <v>0</v>
      </c>
      <c r="P2139" s="12">
        <f t="shared" si="337"/>
        <v>0</v>
      </c>
      <c r="Q2139" s="17" t="str">
        <f t="shared" si="339"/>
        <v>Pas d'écart</v>
      </c>
    </row>
    <row r="2140" spans="1:17" x14ac:dyDescent="0.3">
      <c r="A2140" s="34">
        <f>base!J2140</f>
        <v>0</v>
      </c>
      <c r="B2140" s="34" t="str">
        <f>base!V2140</f>
        <v>44240</v>
      </c>
      <c r="C2140" s="37">
        <v>44</v>
      </c>
      <c r="D2140" s="36">
        <f>base!H2140</f>
        <v>31.6</v>
      </c>
      <c r="E2140" s="44"/>
      <c r="F2140" s="16">
        <f>base!W2140</f>
        <v>0</v>
      </c>
      <c r="G2140" s="11">
        <f t="shared" si="330"/>
        <v>0</v>
      </c>
      <c r="H2140" s="11">
        <f t="shared" si="331"/>
        <v>8.5320000000000018</v>
      </c>
      <c r="I2140" s="11">
        <f t="shared" si="332"/>
        <v>0.27</v>
      </c>
      <c r="J2140" s="12">
        <f t="shared" si="333"/>
        <v>-8.5320000000000018</v>
      </c>
      <c r="K2140" s="17" t="str">
        <f t="shared" si="338"/>
        <v>Ecart négatif</v>
      </c>
      <c r="L2140" s="16">
        <f>base!X2140</f>
        <v>0</v>
      </c>
      <c r="M2140" s="11">
        <f t="shared" si="334"/>
        <v>0</v>
      </c>
      <c r="N2140" s="11">
        <f t="shared" si="335"/>
        <v>0</v>
      </c>
      <c r="O2140" s="11">
        <f t="shared" si="336"/>
        <v>0</v>
      </c>
      <c r="P2140" s="12">
        <f t="shared" si="337"/>
        <v>0</v>
      </c>
      <c r="Q2140" s="17" t="str">
        <f t="shared" si="339"/>
        <v>Pas d'écart</v>
      </c>
    </row>
    <row r="2141" spans="1:17" x14ac:dyDescent="0.3">
      <c r="A2141" s="34" t="str">
        <f>base!J2141</f>
        <v>DLS</v>
      </c>
      <c r="B2141" s="34" t="str">
        <f>base!V2141</f>
        <v>92110</v>
      </c>
      <c r="C2141" s="37">
        <v>92</v>
      </c>
      <c r="D2141" s="36">
        <f>base!H2141</f>
        <v>220</v>
      </c>
      <c r="E2141" s="44"/>
      <c r="F2141" s="16">
        <f>base!W2141</f>
        <v>0</v>
      </c>
      <c r="G2141" s="11">
        <f t="shared" si="330"/>
        <v>0</v>
      </c>
      <c r="H2141" s="11">
        <f t="shared" si="331"/>
        <v>0</v>
      </c>
      <c r="I2141" s="11">
        <f t="shared" si="332"/>
        <v>0</v>
      </c>
      <c r="J2141" s="12">
        <f t="shared" si="333"/>
        <v>0</v>
      </c>
      <c r="K2141" s="17" t="str">
        <f t="shared" si="338"/>
        <v>Pas d'écart</v>
      </c>
      <c r="L2141" s="16">
        <f>base!X2141</f>
        <v>0</v>
      </c>
      <c r="M2141" s="11">
        <f t="shared" si="334"/>
        <v>0</v>
      </c>
      <c r="N2141" s="11">
        <f t="shared" si="335"/>
        <v>0</v>
      </c>
      <c r="O2141" s="11">
        <f t="shared" si="336"/>
        <v>0</v>
      </c>
      <c r="P2141" s="12">
        <f t="shared" si="337"/>
        <v>0</v>
      </c>
      <c r="Q2141" s="17" t="str">
        <f t="shared" si="339"/>
        <v>Pas d'écart</v>
      </c>
    </row>
    <row r="2142" spans="1:17" x14ac:dyDescent="0.3">
      <c r="A2142" s="34">
        <f>base!J2142</f>
        <v>0</v>
      </c>
      <c r="B2142" s="34" t="str">
        <f>base!V2142</f>
        <v>77184</v>
      </c>
      <c r="C2142" s="37">
        <v>77</v>
      </c>
      <c r="D2142" s="36">
        <f>base!H2142</f>
        <v>350</v>
      </c>
      <c r="E2142" s="44"/>
      <c r="F2142" s="16">
        <f>base!W2142</f>
        <v>0</v>
      </c>
      <c r="G2142" s="11">
        <f t="shared" si="330"/>
        <v>0</v>
      </c>
      <c r="H2142" s="11">
        <f t="shared" si="331"/>
        <v>0</v>
      </c>
      <c r="I2142" s="11">
        <f t="shared" si="332"/>
        <v>0</v>
      </c>
      <c r="J2142" s="12">
        <f t="shared" si="333"/>
        <v>0</v>
      </c>
      <c r="K2142" s="17" t="str">
        <f t="shared" si="338"/>
        <v>Pas d'écart</v>
      </c>
      <c r="L2142" s="16">
        <f>base!X2142</f>
        <v>0</v>
      </c>
      <c r="M2142" s="11">
        <f t="shared" si="334"/>
        <v>0</v>
      </c>
      <c r="N2142" s="11">
        <f t="shared" si="335"/>
        <v>0</v>
      </c>
      <c r="O2142" s="11">
        <f t="shared" si="336"/>
        <v>0</v>
      </c>
      <c r="P2142" s="12">
        <f t="shared" si="337"/>
        <v>0</v>
      </c>
      <c r="Q2142" s="17" t="str">
        <f t="shared" si="339"/>
        <v>Pas d'écart</v>
      </c>
    </row>
    <row r="2143" spans="1:17" x14ac:dyDescent="0.3">
      <c r="A2143" s="34" t="str">
        <f>base!J2143</f>
        <v>LS</v>
      </c>
      <c r="B2143" s="34" t="str">
        <f>base!V2143</f>
        <v>86370</v>
      </c>
      <c r="C2143" s="37">
        <v>86</v>
      </c>
      <c r="D2143" s="36">
        <f>base!H2143</f>
        <v>70</v>
      </c>
      <c r="E2143" s="44"/>
      <c r="F2143" s="16">
        <f>base!W2143</f>
        <v>14.7</v>
      </c>
      <c r="G2143" s="11">
        <f t="shared" si="330"/>
        <v>0.21</v>
      </c>
      <c r="H2143" s="11">
        <f t="shared" si="331"/>
        <v>14.7</v>
      </c>
      <c r="I2143" s="11">
        <f t="shared" si="332"/>
        <v>0.21</v>
      </c>
      <c r="J2143" s="12">
        <f t="shared" si="333"/>
        <v>0</v>
      </c>
      <c r="K2143" s="17" t="str">
        <f t="shared" si="338"/>
        <v>Pas d'écart</v>
      </c>
      <c r="L2143" s="16">
        <f>base!X2143</f>
        <v>0</v>
      </c>
      <c r="M2143" s="11">
        <f t="shared" si="334"/>
        <v>0</v>
      </c>
      <c r="N2143" s="11">
        <f t="shared" si="335"/>
        <v>8.4</v>
      </c>
      <c r="O2143" s="11">
        <f t="shared" si="336"/>
        <v>0.12000000000000001</v>
      </c>
      <c r="P2143" s="12">
        <f t="shared" si="337"/>
        <v>-8.4</v>
      </c>
      <c r="Q2143" s="17" t="str">
        <f t="shared" si="339"/>
        <v>Ecart négatif</v>
      </c>
    </row>
    <row r="2144" spans="1:17" x14ac:dyDescent="0.3">
      <c r="A2144" s="34" t="str">
        <f>base!J2144</f>
        <v>LS</v>
      </c>
      <c r="B2144" s="34" t="str">
        <f>base!V2144</f>
        <v>75006</v>
      </c>
      <c r="C2144" s="37">
        <v>75</v>
      </c>
      <c r="D2144" s="36">
        <f>base!H2144</f>
        <v>198.85</v>
      </c>
      <c r="E2144" s="44"/>
      <c r="F2144" s="16">
        <f>base!W2144</f>
        <v>0</v>
      </c>
      <c r="G2144" s="11">
        <f t="shared" si="330"/>
        <v>0</v>
      </c>
      <c r="H2144" s="11">
        <f t="shared" si="331"/>
        <v>0</v>
      </c>
      <c r="I2144" s="11">
        <f t="shared" si="332"/>
        <v>0</v>
      </c>
      <c r="J2144" s="12">
        <f t="shared" si="333"/>
        <v>0</v>
      </c>
      <c r="K2144" s="17" t="str">
        <f t="shared" si="338"/>
        <v>Pas d'écart</v>
      </c>
      <c r="L2144" s="16">
        <f>base!X2144</f>
        <v>0</v>
      </c>
      <c r="M2144" s="11">
        <f t="shared" si="334"/>
        <v>0</v>
      </c>
      <c r="N2144" s="11">
        <f t="shared" si="335"/>
        <v>0</v>
      </c>
      <c r="O2144" s="11">
        <f t="shared" si="336"/>
        <v>0</v>
      </c>
      <c r="P2144" s="12">
        <f t="shared" si="337"/>
        <v>0</v>
      </c>
      <c r="Q2144" s="17" t="str">
        <f t="shared" si="339"/>
        <v>Pas d'écart</v>
      </c>
    </row>
    <row r="2145" spans="1:17" x14ac:dyDescent="0.3">
      <c r="A2145" s="34" t="str">
        <f>base!J2145</f>
        <v>LS</v>
      </c>
      <c r="B2145" s="34" t="str">
        <f>base!V2145</f>
        <v>19100</v>
      </c>
      <c r="C2145" s="37">
        <v>62</v>
      </c>
      <c r="D2145" s="36">
        <f>base!H2145</f>
        <v>100.42</v>
      </c>
      <c r="E2145" s="44"/>
      <c r="F2145" s="16">
        <f>base!W2145</f>
        <v>29.12</v>
      </c>
      <c r="G2145" s="11">
        <f t="shared" si="330"/>
        <v>0.28998207528380804</v>
      </c>
      <c r="H2145" s="11">
        <f t="shared" si="331"/>
        <v>19.079800000000002</v>
      </c>
      <c r="I2145" s="11">
        <f t="shared" si="332"/>
        <v>0.19000000000000003</v>
      </c>
      <c r="J2145" s="12">
        <f t="shared" si="333"/>
        <v>10.040199999999999</v>
      </c>
      <c r="K2145" s="17" t="str">
        <f t="shared" si="338"/>
        <v>Ecart positif</v>
      </c>
      <c r="L2145" s="16">
        <f>base!X2145</f>
        <v>0</v>
      </c>
      <c r="M2145" s="11">
        <f t="shared" si="334"/>
        <v>0</v>
      </c>
      <c r="N2145" s="11">
        <f t="shared" si="335"/>
        <v>0</v>
      </c>
      <c r="O2145" s="11">
        <f t="shared" si="336"/>
        <v>0</v>
      </c>
      <c r="P2145" s="12">
        <f t="shared" si="337"/>
        <v>0</v>
      </c>
      <c r="Q2145" s="17" t="str">
        <f t="shared" si="339"/>
        <v>Pas d'écart</v>
      </c>
    </row>
    <row r="2146" spans="1:17" x14ac:dyDescent="0.3">
      <c r="A2146" s="34" t="str">
        <f>base!J2146</f>
        <v>LM</v>
      </c>
      <c r="B2146" s="34" t="str">
        <f>base!V2146</f>
        <v>50260</v>
      </c>
      <c r="C2146" s="37">
        <v>80</v>
      </c>
      <c r="D2146" s="36">
        <f>base!H2146</f>
        <v>97.86</v>
      </c>
      <c r="E2146" s="44"/>
      <c r="F2146" s="16">
        <f>base!W2146</f>
        <v>16.64</v>
      </c>
      <c r="G2146" s="11">
        <f t="shared" si="330"/>
        <v>0.17003883098303699</v>
      </c>
      <c r="H2146" s="11">
        <f t="shared" si="331"/>
        <v>18.593399999999999</v>
      </c>
      <c r="I2146" s="11">
        <f t="shared" si="332"/>
        <v>0.19</v>
      </c>
      <c r="J2146" s="12">
        <f t="shared" si="333"/>
        <v>-1.9533999999999985</v>
      </c>
      <c r="K2146" s="17" t="str">
        <f t="shared" si="338"/>
        <v>Ecart négatif</v>
      </c>
      <c r="L2146" s="16">
        <f>base!X2146</f>
        <v>0</v>
      </c>
      <c r="M2146" s="11">
        <f t="shared" si="334"/>
        <v>0</v>
      </c>
      <c r="N2146" s="11">
        <f t="shared" si="335"/>
        <v>0</v>
      </c>
      <c r="O2146" s="11">
        <f t="shared" si="336"/>
        <v>0</v>
      </c>
      <c r="P2146" s="12">
        <f t="shared" si="337"/>
        <v>0</v>
      </c>
      <c r="Q2146" s="17" t="str">
        <f t="shared" si="339"/>
        <v>Pas d'écart</v>
      </c>
    </row>
    <row r="2147" spans="1:17" x14ac:dyDescent="0.3">
      <c r="A2147" s="34" t="str">
        <f>base!J2147</f>
        <v>LS</v>
      </c>
      <c r="B2147" s="34" t="str">
        <f>base!V2147</f>
        <v>59139</v>
      </c>
      <c r="C2147" s="37">
        <v>59</v>
      </c>
      <c r="D2147" s="36">
        <f>base!H2147</f>
        <v>86.54</v>
      </c>
      <c r="E2147" s="44"/>
      <c r="F2147" s="16">
        <f>base!W2147</f>
        <v>16.440000000000001</v>
      </c>
      <c r="G2147" s="11">
        <f t="shared" si="330"/>
        <v>0.18996995608966952</v>
      </c>
      <c r="H2147" s="11">
        <f t="shared" si="331"/>
        <v>16.442600000000002</v>
      </c>
      <c r="I2147" s="11">
        <f t="shared" si="332"/>
        <v>0.19</v>
      </c>
      <c r="J2147" s="12">
        <f t="shared" si="333"/>
        <v>-2.6000000000010459E-3</v>
      </c>
      <c r="K2147" s="17" t="str">
        <f t="shared" si="338"/>
        <v>Ecart négatif</v>
      </c>
      <c r="L2147" s="16">
        <f>base!X2147</f>
        <v>0</v>
      </c>
      <c r="M2147" s="11">
        <f t="shared" si="334"/>
        <v>0</v>
      </c>
      <c r="N2147" s="11">
        <f t="shared" si="335"/>
        <v>0</v>
      </c>
      <c r="O2147" s="11">
        <f t="shared" si="336"/>
        <v>0</v>
      </c>
      <c r="P2147" s="12">
        <f t="shared" si="337"/>
        <v>0</v>
      </c>
      <c r="Q2147" s="17" t="str">
        <f t="shared" si="339"/>
        <v>Pas d'écart</v>
      </c>
    </row>
    <row r="2148" spans="1:17" x14ac:dyDescent="0.3">
      <c r="A2148" s="34" t="str">
        <f>base!J2148</f>
        <v>LM</v>
      </c>
      <c r="B2148" s="34" t="str">
        <f>base!V2148</f>
        <v>65290</v>
      </c>
      <c r="C2148" s="37">
        <v>62</v>
      </c>
      <c r="D2148" s="36">
        <f>base!H2148</f>
        <v>160.38999999999999</v>
      </c>
      <c r="E2148" s="44"/>
      <c r="F2148" s="16">
        <f>base!W2148</f>
        <v>35.29</v>
      </c>
      <c r="G2148" s="11">
        <f t="shared" si="330"/>
        <v>0.2200261861712077</v>
      </c>
      <c r="H2148" s="11">
        <f t="shared" si="331"/>
        <v>30.474099999999996</v>
      </c>
      <c r="I2148" s="11">
        <f t="shared" si="332"/>
        <v>0.19</v>
      </c>
      <c r="J2148" s="12">
        <f t="shared" si="333"/>
        <v>4.8159000000000027</v>
      </c>
      <c r="K2148" s="17" t="str">
        <f t="shared" si="338"/>
        <v>Ecart positif</v>
      </c>
      <c r="L2148" s="16">
        <f>base!X2148</f>
        <v>0</v>
      </c>
      <c r="M2148" s="11">
        <f t="shared" si="334"/>
        <v>0</v>
      </c>
      <c r="N2148" s="11">
        <f t="shared" si="335"/>
        <v>0</v>
      </c>
      <c r="O2148" s="11">
        <f t="shared" si="336"/>
        <v>0</v>
      </c>
      <c r="P2148" s="12">
        <f t="shared" si="337"/>
        <v>0</v>
      </c>
      <c r="Q2148" s="17" t="str">
        <f t="shared" si="339"/>
        <v>Pas d'écart</v>
      </c>
    </row>
    <row r="2149" spans="1:17" x14ac:dyDescent="0.3">
      <c r="A2149" s="34" t="str">
        <f>base!J2149</f>
        <v>LS</v>
      </c>
      <c r="B2149" s="34" t="str">
        <f>base!V2149</f>
        <v>13007</v>
      </c>
      <c r="C2149" s="37">
        <v>59</v>
      </c>
      <c r="D2149" s="36">
        <f>base!H2149</f>
        <v>185.54</v>
      </c>
      <c r="E2149" s="44"/>
      <c r="F2149" s="16">
        <f>base!W2149</f>
        <v>0</v>
      </c>
      <c r="G2149" s="11">
        <f t="shared" si="330"/>
        <v>0</v>
      </c>
      <c r="H2149" s="11">
        <f t="shared" si="331"/>
        <v>35.252600000000001</v>
      </c>
      <c r="I2149" s="11">
        <f t="shared" si="332"/>
        <v>0.19</v>
      </c>
      <c r="J2149" s="12">
        <f t="shared" si="333"/>
        <v>-35.252600000000001</v>
      </c>
      <c r="K2149" s="17" t="str">
        <f t="shared" si="338"/>
        <v>Ecart négatif</v>
      </c>
      <c r="L2149" s="16">
        <f>base!X2149</f>
        <v>0</v>
      </c>
      <c r="M2149" s="11">
        <f t="shared" si="334"/>
        <v>0</v>
      </c>
      <c r="N2149" s="11">
        <f t="shared" si="335"/>
        <v>0</v>
      </c>
      <c r="O2149" s="11">
        <f t="shared" si="336"/>
        <v>0</v>
      </c>
      <c r="P2149" s="12">
        <f t="shared" si="337"/>
        <v>0</v>
      </c>
      <c r="Q2149" s="17" t="str">
        <f t="shared" si="339"/>
        <v>Pas d'écart</v>
      </c>
    </row>
    <row r="2150" spans="1:17" x14ac:dyDescent="0.3">
      <c r="A2150" s="34" t="str">
        <f>base!J2150</f>
        <v>LS</v>
      </c>
      <c r="B2150" s="34" t="str">
        <f>base!V2150</f>
        <v>13009</v>
      </c>
      <c r="C2150" s="37">
        <v>13</v>
      </c>
      <c r="D2150" s="36">
        <f>base!H2150</f>
        <v>40</v>
      </c>
      <c r="E2150" s="44"/>
      <c r="F2150" s="16">
        <f>base!W2150</f>
        <v>11.6</v>
      </c>
      <c r="G2150" s="11">
        <f t="shared" si="330"/>
        <v>0.28999999999999998</v>
      </c>
      <c r="H2150" s="11">
        <f t="shared" si="331"/>
        <v>11.6</v>
      </c>
      <c r="I2150" s="11">
        <f t="shared" si="332"/>
        <v>0.28999999999999998</v>
      </c>
      <c r="J2150" s="12">
        <f t="shared" si="333"/>
        <v>0</v>
      </c>
      <c r="K2150" s="17" t="str">
        <f t="shared" si="338"/>
        <v>Pas d'écart</v>
      </c>
      <c r="L2150" s="16">
        <f>base!X2150</f>
        <v>0</v>
      </c>
      <c r="M2150" s="11">
        <f t="shared" si="334"/>
        <v>0</v>
      </c>
      <c r="N2150" s="11">
        <f t="shared" si="335"/>
        <v>7.6</v>
      </c>
      <c r="O2150" s="11">
        <f t="shared" si="336"/>
        <v>0.19</v>
      </c>
      <c r="P2150" s="12">
        <f t="shared" si="337"/>
        <v>-7.6</v>
      </c>
      <c r="Q2150" s="17" t="str">
        <f t="shared" si="339"/>
        <v>Ecart négatif</v>
      </c>
    </row>
    <row r="2151" spans="1:17" x14ac:dyDescent="0.3">
      <c r="A2151" s="34" t="str">
        <f>base!J2151</f>
        <v>RM</v>
      </c>
      <c r="B2151" s="34" t="str">
        <f>base!V2151</f>
        <v>59260</v>
      </c>
      <c r="C2151" s="37">
        <v>59</v>
      </c>
      <c r="D2151" s="36">
        <f>base!H2151</f>
        <v>157.32</v>
      </c>
      <c r="E2151" s="44"/>
      <c r="F2151" s="16">
        <f>base!W2151</f>
        <v>0</v>
      </c>
      <c r="G2151" s="11">
        <f t="shared" si="330"/>
        <v>0</v>
      </c>
      <c r="H2151" s="11">
        <f t="shared" si="331"/>
        <v>29.890799999999999</v>
      </c>
      <c r="I2151" s="11">
        <f t="shared" si="332"/>
        <v>0.19</v>
      </c>
      <c r="J2151" s="12">
        <f t="shared" si="333"/>
        <v>-29.890799999999999</v>
      </c>
      <c r="K2151" s="17" t="str">
        <f t="shared" si="338"/>
        <v>Ecart négatif</v>
      </c>
      <c r="L2151" s="16">
        <f>base!X2151</f>
        <v>0</v>
      </c>
      <c r="M2151" s="11">
        <f t="shared" si="334"/>
        <v>0</v>
      </c>
      <c r="N2151" s="11">
        <f t="shared" si="335"/>
        <v>0</v>
      </c>
      <c r="O2151" s="11">
        <f t="shared" si="336"/>
        <v>0</v>
      </c>
      <c r="P2151" s="12">
        <f t="shared" si="337"/>
        <v>0</v>
      </c>
      <c r="Q2151" s="17" t="str">
        <f t="shared" si="339"/>
        <v>Pas d'écart</v>
      </c>
    </row>
    <row r="2152" spans="1:17" x14ac:dyDescent="0.3">
      <c r="A2152" s="34" t="str">
        <f>base!J2152</f>
        <v>RS</v>
      </c>
      <c r="B2152" s="34" t="str">
        <f>base!V2152</f>
        <v>92000</v>
      </c>
      <c r="C2152" s="37">
        <v>92</v>
      </c>
      <c r="D2152" s="36">
        <f>base!H2152</f>
        <v>40</v>
      </c>
      <c r="E2152" s="44"/>
      <c r="F2152" s="16">
        <f>base!W2152</f>
        <v>0</v>
      </c>
      <c r="G2152" s="11">
        <f t="shared" si="330"/>
        <v>0</v>
      </c>
      <c r="H2152" s="11">
        <f t="shared" si="331"/>
        <v>0</v>
      </c>
      <c r="I2152" s="11">
        <f t="shared" si="332"/>
        <v>0</v>
      </c>
      <c r="J2152" s="12">
        <f t="shared" si="333"/>
        <v>0</v>
      </c>
      <c r="K2152" s="17" t="str">
        <f t="shared" si="338"/>
        <v>Pas d'écart</v>
      </c>
      <c r="L2152" s="16">
        <f>base!X2152</f>
        <v>0</v>
      </c>
      <c r="M2152" s="11">
        <f t="shared" si="334"/>
        <v>0</v>
      </c>
      <c r="N2152" s="11">
        <f t="shared" si="335"/>
        <v>0</v>
      </c>
      <c r="O2152" s="11">
        <f t="shared" si="336"/>
        <v>0</v>
      </c>
      <c r="P2152" s="12">
        <f t="shared" si="337"/>
        <v>0</v>
      </c>
      <c r="Q2152" s="17" t="str">
        <f t="shared" si="339"/>
        <v>Pas d'écart</v>
      </c>
    </row>
    <row r="2153" spans="1:17" x14ac:dyDescent="0.3">
      <c r="A2153" s="34">
        <f>base!J2153</f>
        <v>0</v>
      </c>
      <c r="B2153" s="34" t="str">
        <f>base!V2153</f>
        <v>77184</v>
      </c>
      <c r="C2153" s="37">
        <v>77</v>
      </c>
      <c r="D2153" s="36">
        <f>base!H2153</f>
        <v>161</v>
      </c>
      <c r="E2153" s="44"/>
      <c r="F2153" s="16">
        <f>base!W2153</f>
        <v>0</v>
      </c>
      <c r="G2153" s="11">
        <f t="shared" si="330"/>
        <v>0</v>
      </c>
      <c r="H2153" s="11">
        <f t="shared" si="331"/>
        <v>0</v>
      </c>
      <c r="I2153" s="11">
        <f t="shared" si="332"/>
        <v>0</v>
      </c>
      <c r="J2153" s="12">
        <f t="shared" si="333"/>
        <v>0</v>
      </c>
      <c r="K2153" s="17" t="str">
        <f t="shared" si="338"/>
        <v>Pas d'écart</v>
      </c>
      <c r="L2153" s="16">
        <f>base!X2153</f>
        <v>0</v>
      </c>
      <c r="M2153" s="11">
        <f t="shared" si="334"/>
        <v>0</v>
      </c>
      <c r="N2153" s="11">
        <f t="shared" si="335"/>
        <v>0</v>
      </c>
      <c r="O2153" s="11">
        <f t="shared" si="336"/>
        <v>0</v>
      </c>
      <c r="P2153" s="12">
        <f t="shared" si="337"/>
        <v>0</v>
      </c>
      <c r="Q2153" s="17" t="str">
        <f t="shared" si="339"/>
        <v>Pas d'écart</v>
      </c>
    </row>
    <row r="2154" spans="1:17" x14ac:dyDescent="0.3">
      <c r="A2154" s="34" t="str">
        <f>base!J2154</f>
        <v>LS</v>
      </c>
      <c r="B2154" s="34" t="str">
        <f>base!V2154</f>
        <v>58120</v>
      </c>
      <c r="C2154" s="37">
        <v>62</v>
      </c>
      <c r="D2154" s="36">
        <f>base!H2154</f>
        <v>65.53</v>
      </c>
      <c r="E2154" s="44"/>
      <c r="F2154" s="16">
        <f>base!W2154</f>
        <v>15.73</v>
      </c>
      <c r="G2154" s="11">
        <f t="shared" si="330"/>
        <v>0.24004272852128797</v>
      </c>
      <c r="H2154" s="11">
        <f t="shared" si="331"/>
        <v>12.450700000000001</v>
      </c>
      <c r="I2154" s="11">
        <f t="shared" si="332"/>
        <v>0.19</v>
      </c>
      <c r="J2154" s="12">
        <f t="shared" si="333"/>
        <v>3.2792999999999992</v>
      </c>
      <c r="K2154" s="17" t="str">
        <f t="shared" si="338"/>
        <v>Ecart positif</v>
      </c>
      <c r="L2154" s="16">
        <f>base!X2154</f>
        <v>0</v>
      </c>
      <c r="M2154" s="11">
        <f t="shared" si="334"/>
        <v>0</v>
      </c>
      <c r="N2154" s="11">
        <f t="shared" si="335"/>
        <v>0</v>
      </c>
      <c r="O2154" s="11">
        <f t="shared" si="336"/>
        <v>0</v>
      </c>
      <c r="P2154" s="12">
        <f t="shared" si="337"/>
        <v>0</v>
      </c>
      <c r="Q2154" s="17" t="str">
        <f t="shared" si="339"/>
        <v>Pas d'écart</v>
      </c>
    </row>
    <row r="2155" spans="1:17" x14ac:dyDescent="0.3">
      <c r="A2155" s="34" t="str">
        <f>base!J2155</f>
        <v>LM</v>
      </c>
      <c r="B2155" s="34" t="str">
        <f>base!V2155</f>
        <v>62380</v>
      </c>
      <c r="C2155" s="37">
        <v>62</v>
      </c>
      <c r="D2155" s="36">
        <f>base!H2155</f>
        <v>19.8</v>
      </c>
      <c r="E2155" s="44"/>
      <c r="F2155" s="16">
        <f>base!W2155</f>
        <v>3.76</v>
      </c>
      <c r="G2155" s="11">
        <f t="shared" si="330"/>
        <v>0.18989898989898987</v>
      </c>
      <c r="H2155" s="11">
        <f t="shared" si="331"/>
        <v>3.762</v>
      </c>
      <c r="I2155" s="11">
        <f t="shared" si="332"/>
        <v>0.19</v>
      </c>
      <c r="J2155" s="12">
        <f t="shared" si="333"/>
        <v>-2.0000000000002238E-3</v>
      </c>
      <c r="K2155" s="17" t="str">
        <f t="shared" si="338"/>
        <v>Ecart négatif</v>
      </c>
      <c r="L2155" s="16">
        <f>base!X2155</f>
        <v>0</v>
      </c>
      <c r="M2155" s="11">
        <f t="shared" si="334"/>
        <v>0</v>
      </c>
      <c r="N2155" s="11">
        <f t="shared" si="335"/>
        <v>0</v>
      </c>
      <c r="O2155" s="11">
        <f t="shared" si="336"/>
        <v>0</v>
      </c>
      <c r="P2155" s="12">
        <f t="shared" si="337"/>
        <v>0</v>
      </c>
      <c r="Q2155" s="17" t="str">
        <f t="shared" si="339"/>
        <v>Pas d'écart</v>
      </c>
    </row>
    <row r="2156" spans="1:17" x14ac:dyDescent="0.3">
      <c r="A2156" s="34" t="str">
        <f>base!J2156</f>
        <v>LM</v>
      </c>
      <c r="B2156" s="34" t="str">
        <f>base!V2156</f>
        <v>38590</v>
      </c>
      <c r="C2156" s="37">
        <v>62</v>
      </c>
      <c r="D2156" s="36">
        <f>base!H2156</f>
        <v>25.8</v>
      </c>
      <c r="E2156" s="44"/>
      <c r="F2156" s="16">
        <f>base!W2156</f>
        <v>6.97</v>
      </c>
      <c r="G2156" s="11">
        <f t="shared" si="330"/>
        <v>0.27015503875968988</v>
      </c>
      <c r="H2156" s="11">
        <f t="shared" si="331"/>
        <v>4.9020000000000001</v>
      </c>
      <c r="I2156" s="11">
        <f t="shared" si="332"/>
        <v>0.19</v>
      </c>
      <c r="J2156" s="12">
        <f t="shared" si="333"/>
        <v>2.0679999999999996</v>
      </c>
      <c r="K2156" s="17" t="str">
        <f t="shared" si="338"/>
        <v>Ecart positif</v>
      </c>
      <c r="L2156" s="16">
        <f>base!X2156</f>
        <v>0</v>
      </c>
      <c r="M2156" s="11">
        <f t="shared" si="334"/>
        <v>0</v>
      </c>
      <c r="N2156" s="11">
        <f t="shared" si="335"/>
        <v>0</v>
      </c>
      <c r="O2156" s="11">
        <f t="shared" si="336"/>
        <v>0</v>
      </c>
      <c r="P2156" s="12">
        <f t="shared" si="337"/>
        <v>0</v>
      </c>
      <c r="Q2156" s="17" t="str">
        <f t="shared" si="339"/>
        <v>Pas d'écart</v>
      </c>
    </row>
    <row r="2157" spans="1:17" x14ac:dyDescent="0.3">
      <c r="A2157" s="34" t="str">
        <f>base!J2157</f>
        <v>LS</v>
      </c>
      <c r="B2157" s="34" t="str">
        <f>base!V2157</f>
        <v>74410</v>
      </c>
      <c r="C2157" s="37">
        <v>62</v>
      </c>
      <c r="D2157" s="36">
        <f>base!H2157</f>
        <v>126.65</v>
      </c>
      <c r="E2157" s="44"/>
      <c r="F2157" s="16">
        <f>base!W2157</f>
        <v>34.200000000000003</v>
      </c>
      <c r="G2157" s="11">
        <f t="shared" si="330"/>
        <v>0.27003553099091987</v>
      </c>
      <c r="H2157" s="11">
        <f t="shared" si="331"/>
        <v>24.063500000000001</v>
      </c>
      <c r="I2157" s="11">
        <f t="shared" si="332"/>
        <v>0.19</v>
      </c>
      <c r="J2157" s="12">
        <f t="shared" si="333"/>
        <v>10.136500000000002</v>
      </c>
      <c r="K2157" s="17" t="str">
        <f t="shared" si="338"/>
        <v>Ecart positif</v>
      </c>
      <c r="L2157" s="16">
        <f>base!X2157</f>
        <v>0</v>
      </c>
      <c r="M2157" s="11">
        <f t="shared" si="334"/>
        <v>0</v>
      </c>
      <c r="N2157" s="11">
        <f t="shared" si="335"/>
        <v>0</v>
      </c>
      <c r="O2157" s="11">
        <f t="shared" si="336"/>
        <v>0</v>
      </c>
      <c r="P2157" s="12">
        <f t="shared" si="337"/>
        <v>0</v>
      </c>
      <c r="Q2157" s="17" t="str">
        <f t="shared" si="339"/>
        <v>Pas d'écart</v>
      </c>
    </row>
    <row r="2158" spans="1:17" x14ac:dyDescent="0.3">
      <c r="A2158" s="34" t="str">
        <f>base!J2158</f>
        <v>RS</v>
      </c>
      <c r="B2158" s="34" t="str">
        <f>base!V2158</f>
        <v>44980</v>
      </c>
      <c r="C2158" s="37">
        <v>44</v>
      </c>
      <c r="D2158" s="36">
        <f>base!H2158</f>
        <v>781.52</v>
      </c>
      <c r="E2158" s="44"/>
      <c r="F2158" s="16">
        <f>base!W2158</f>
        <v>0</v>
      </c>
      <c r="G2158" s="11">
        <f t="shared" si="330"/>
        <v>0</v>
      </c>
      <c r="H2158" s="11">
        <f t="shared" si="331"/>
        <v>211.0104</v>
      </c>
      <c r="I2158" s="11">
        <f t="shared" si="332"/>
        <v>0.27</v>
      </c>
      <c r="J2158" s="12">
        <f t="shared" si="333"/>
        <v>-211.0104</v>
      </c>
      <c r="K2158" s="17" t="str">
        <f t="shared" si="338"/>
        <v>Ecart négatif</v>
      </c>
      <c r="L2158" s="16">
        <f>base!X2158</f>
        <v>0</v>
      </c>
      <c r="M2158" s="11">
        <f t="shared" si="334"/>
        <v>0</v>
      </c>
      <c r="N2158" s="11">
        <f t="shared" si="335"/>
        <v>0</v>
      </c>
      <c r="O2158" s="11">
        <f t="shared" si="336"/>
        <v>0</v>
      </c>
      <c r="P2158" s="12">
        <f t="shared" si="337"/>
        <v>0</v>
      </c>
      <c r="Q2158" s="17" t="str">
        <f t="shared" si="339"/>
        <v>Pas d'écart</v>
      </c>
    </row>
    <row r="2159" spans="1:17" x14ac:dyDescent="0.3">
      <c r="A2159" s="34" t="str">
        <f>base!J2159</f>
        <v>LM</v>
      </c>
      <c r="B2159" s="34" t="str">
        <f>base!V2159</f>
        <v>10280</v>
      </c>
      <c r="C2159" s="37">
        <v>62</v>
      </c>
      <c r="D2159" s="36">
        <f>base!H2159</f>
        <v>127.01</v>
      </c>
      <c r="E2159" s="44"/>
      <c r="F2159" s="16">
        <f>base!W2159</f>
        <v>30.48</v>
      </c>
      <c r="G2159" s="11">
        <f t="shared" si="330"/>
        <v>0.23998110385009053</v>
      </c>
      <c r="H2159" s="11">
        <f t="shared" si="331"/>
        <v>24.131900000000002</v>
      </c>
      <c r="I2159" s="11">
        <f t="shared" si="332"/>
        <v>0.19</v>
      </c>
      <c r="J2159" s="12">
        <f t="shared" si="333"/>
        <v>6.3480999999999987</v>
      </c>
      <c r="K2159" s="17" t="str">
        <f t="shared" si="338"/>
        <v>Ecart positif</v>
      </c>
      <c r="L2159" s="16">
        <f>base!X2159</f>
        <v>0</v>
      </c>
      <c r="M2159" s="11">
        <f t="shared" si="334"/>
        <v>0</v>
      </c>
      <c r="N2159" s="11">
        <f t="shared" si="335"/>
        <v>0</v>
      </c>
      <c r="O2159" s="11">
        <f t="shared" si="336"/>
        <v>0</v>
      </c>
      <c r="P2159" s="12">
        <f t="shared" si="337"/>
        <v>0</v>
      </c>
      <c r="Q2159" s="17" t="str">
        <f t="shared" si="339"/>
        <v>Pas d'écart</v>
      </c>
    </row>
    <row r="2160" spans="1:17" x14ac:dyDescent="0.3">
      <c r="A2160" s="34" t="str">
        <f>base!J2160</f>
        <v>LS</v>
      </c>
      <c r="B2160" s="34" t="str">
        <f>base!V2160</f>
        <v>22950</v>
      </c>
      <c r="C2160" s="37">
        <v>62</v>
      </c>
      <c r="D2160" s="36">
        <f>base!H2160</f>
        <v>136.65</v>
      </c>
      <c r="E2160" s="44"/>
      <c r="F2160" s="16">
        <f>base!W2160</f>
        <v>53.29</v>
      </c>
      <c r="G2160" s="11">
        <f t="shared" si="330"/>
        <v>0.38997438712038052</v>
      </c>
      <c r="H2160" s="11">
        <f t="shared" si="331"/>
        <v>25.9635</v>
      </c>
      <c r="I2160" s="11">
        <f t="shared" si="332"/>
        <v>0.19</v>
      </c>
      <c r="J2160" s="12">
        <f t="shared" si="333"/>
        <v>27.326499999999999</v>
      </c>
      <c r="K2160" s="17" t="str">
        <f t="shared" si="338"/>
        <v>Ecart positif</v>
      </c>
      <c r="L2160" s="16">
        <f>base!X2160</f>
        <v>0</v>
      </c>
      <c r="M2160" s="11">
        <f t="shared" si="334"/>
        <v>0</v>
      </c>
      <c r="N2160" s="11">
        <f t="shared" si="335"/>
        <v>0</v>
      </c>
      <c r="O2160" s="11">
        <f t="shared" si="336"/>
        <v>0</v>
      </c>
      <c r="P2160" s="12">
        <f t="shared" si="337"/>
        <v>0</v>
      </c>
      <c r="Q2160" s="17" t="str">
        <f t="shared" si="339"/>
        <v>Pas d'écart</v>
      </c>
    </row>
    <row r="2161" spans="1:18" x14ac:dyDescent="0.3">
      <c r="A2161" s="34" t="str">
        <f>base!J2161</f>
        <v>LS</v>
      </c>
      <c r="B2161" s="34" t="str">
        <f>base!V2161</f>
        <v>45520</v>
      </c>
      <c r="C2161" s="37">
        <v>62</v>
      </c>
      <c r="D2161" s="36">
        <f>base!H2161</f>
        <v>131.97999999999999</v>
      </c>
      <c r="E2161" s="44"/>
      <c r="F2161" s="16">
        <f>base!W2161</f>
        <v>27.72</v>
      </c>
      <c r="G2161" s="11">
        <f t="shared" si="330"/>
        <v>0.21003182300348539</v>
      </c>
      <c r="H2161" s="11">
        <f t="shared" si="331"/>
        <v>25.0762</v>
      </c>
      <c r="I2161" s="11">
        <f t="shared" si="332"/>
        <v>0.19</v>
      </c>
      <c r="J2161" s="12">
        <f t="shared" si="333"/>
        <v>2.6437999999999988</v>
      </c>
      <c r="K2161" s="17" t="str">
        <f t="shared" si="338"/>
        <v>Ecart positif</v>
      </c>
      <c r="L2161" s="16">
        <f>base!X2161</f>
        <v>0</v>
      </c>
      <c r="M2161" s="11">
        <f t="shared" si="334"/>
        <v>0</v>
      </c>
      <c r="N2161" s="11">
        <f t="shared" si="335"/>
        <v>0</v>
      </c>
      <c r="O2161" s="11">
        <f t="shared" si="336"/>
        <v>0</v>
      </c>
      <c r="P2161" s="12">
        <f t="shared" si="337"/>
        <v>0</v>
      </c>
      <c r="Q2161" s="17" t="str">
        <f t="shared" si="339"/>
        <v>Pas d'écart</v>
      </c>
    </row>
    <row r="2162" spans="1:18" x14ac:dyDescent="0.3">
      <c r="A2162" s="34" t="str">
        <f>base!J2162</f>
        <v>LM</v>
      </c>
      <c r="B2162" s="34" t="str">
        <f>base!V2162</f>
        <v>83340</v>
      </c>
      <c r="C2162" s="37">
        <v>62</v>
      </c>
      <c r="D2162" s="36">
        <f>base!H2162</f>
        <v>120.29</v>
      </c>
      <c r="E2162" s="44"/>
      <c r="F2162" s="16">
        <f>base!W2162</f>
        <v>36.090000000000003</v>
      </c>
      <c r="G2162" s="11">
        <f t="shared" si="330"/>
        <v>0.3000249397289883</v>
      </c>
      <c r="H2162" s="11">
        <f t="shared" si="331"/>
        <v>22.8551</v>
      </c>
      <c r="I2162" s="11">
        <f t="shared" si="332"/>
        <v>0.19</v>
      </c>
      <c r="J2162" s="12">
        <f t="shared" si="333"/>
        <v>13.234900000000003</v>
      </c>
      <c r="K2162" s="17" t="str">
        <f t="shared" si="338"/>
        <v>Ecart positif</v>
      </c>
      <c r="L2162" s="16">
        <f>base!X2162</f>
        <v>0</v>
      </c>
      <c r="M2162" s="11">
        <f t="shared" si="334"/>
        <v>0</v>
      </c>
      <c r="N2162" s="11">
        <f t="shared" si="335"/>
        <v>0</v>
      </c>
      <c r="O2162" s="11">
        <f t="shared" si="336"/>
        <v>0</v>
      </c>
      <c r="P2162" s="12">
        <f t="shared" si="337"/>
        <v>0</v>
      </c>
      <c r="Q2162" s="17" t="str">
        <f t="shared" si="339"/>
        <v>Pas d'écart</v>
      </c>
    </row>
    <row r="2163" spans="1:18" x14ac:dyDescent="0.3">
      <c r="A2163" s="34" t="str">
        <f>base!J2163</f>
        <v>LS</v>
      </c>
      <c r="B2163" s="34" t="str">
        <f>base!V2163</f>
        <v>69003</v>
      </c>
      <c r="C2163" s="37">
        <v>69</v>
      </c>
      <c r="D2163" s="36">
        <f>base!H2163</f>
        <v>0</v>
      </c>
      <c r="E2163" s="44"/>
      <c r="F2163" s="16">
        <f>base!W2163</f>
        <v>0</v>
      </c>
      <c r="G2163" s="11" t="e">
        <f t="shared" si="330"/>
        <v>#DIV/0!</v>
      </c>
      <c r="H2163" s="11">
        <f t="shared" si="331"/>
        <v>0</v>
      </c>
      <c r="I2163" s="11" t="e">
        <f t="shared" si="332"/>
        <v>#DIV/0!</v>
      </c>
      <c r="J2163" s="12">
        <f t="shared" si="333"/>
        <v>0</v>
      </c>
      <c r="K2163" s="17" t="str">
        <f t="shared" si="338"/>
        <v>Pas d'écart</v>
      </c>
      <c r="L2163" s="16">
        <f>base!X2163</f>
        <v>0</v>
      </c>
      <c r="M2163" s="11" t="e">
        <f t="shared" si="334"/>
        <v>#DIV/0!</v>
      </c>
      <c r="N2163" s="11">
        <f t="shared" si="335"/>
        <v>0</v>
      </c>
      <c r="O2163" s="11" t="e">
        <f t="shared" si="336"/>
        <v>#DIV/0!</v>
      </c>
      <c r="P2163" s="12">
        <f t="shared" si="337"/>
        <v>0</v>
      </c>
      <c r="Q2163" s="17" t="str">
        <f t="shared" si="339"/>
        <v>Pas d'écart</v>
      </c>
    </row>
    <row r="2164" spans="1:18" x14ac:dyDescent="0.3">
      <c r="A2164" s="34" t="str">
        <f>base!J2164</f>
        <v>RS</v>
      </c>
      <c r="B2164" s="34" t="str">
        <f>base!V2164</f>
        <v>35760</v>
      </c>
      <c r="C2164" s="37">
        <v>35</v>
      </c>
      <c r="D2164" s="36">
        <f>base!H2164</f>
        <v>11</v>
      </c>
      <c r="E2164" s="44"/>
      <c r="F2164" s="16">
        <f>base!W2164</f>
        <v>0</v>
      </c>
      <c r="G2164" s="11">
        <f t="shared" si="330"/>
        <v>0</v>
      </c>
      <c r="H2164" s="11">
        <f t="shared" si="331"/>
        <v>2.97</v>
      </c>
      <c r="I2164" s="11">
        <f t="shared" si="332"/>
        <v>0.27</v>
      </c>
      <c r="J2164" s="12">
        <f t="shared" si="333"/>
        <v>-2.97</v>
      </c>
      <c r="K2164" s="17" t="str">
        <f t="shared" si="338"/>
        <v>Ecart négatif</v>
      </c>
      <c r="L2164" s="16">
        <f>base!X2164</f>
        <v>0</v>
      </c>
      <c r="M2164" s="11">
        <f t="shared" si="334"/>
        <v>0</v>
      </c>
      <c r="N2164" s="11">
        <f t="shared" si="335"/>
        <v>0</v>
      </c>
      <c r="O2164" s="11">
        <f t="shared" si="336"/>
        <v>0</v>
      </c>
      <c r="P2164" s="12">
        <f t="shared" si="337"/>
        <v>0</v>
      </c>
      <c r="Q2164" s="17" t="str">
        <f t="shared" si="339"/>
        <v>Pas d'écart</v>
      </c>
    </row>
    <row r="2165" spans="1:18" x14ac:dyDescent="0.3">
      <c r="A2165" s="34">
        <f>base!J2165</f>
        <v>0</v>
      </c>
      <c r="B2165" s="34" t="str">
        <f>base!V2165</f>
        <v>77184</v>
      </c>
      <c r="C2165" s="37">
        <v>77</v>
      </c>
      <c r="D2165" s="36">
        <f>base!H2165</f>
        <v>32</v>
      </c>
      <c r="E2165" s="44"/>
      <c r="F2165" s="16">
        <f>base!W2165</f>
        <v>0</v>
      </c>
      <c r="G2165" s="11">
        <f t="shared" si="330"/>
        <v>0</v>
      </c>
      <c r="H2165" s="11">
        <f t="shared" si="331"/>
        <v>0</v>
      </c>
      <c r="I2165" s="11">
        <f t="shared" si="332"/>
        <v>0</v>
      </c>
      <c r="J2165" s="12">
        <f t="shared" si="333"/>
        <v>0</v>
      </c>
      <c r="K2165" s="17" t="str">
        <f t="shared" si="338"/>
        <v>Pas d'écart</v>
      </c>
      <c r="L2165" s="16">
        <f>base!X2165</f>
        <v>0</v>
      </c>
      <c r="M2165" s="11">
        <f t="shared" si="334"/>
        <v>0</v>
      </c>
      <c r="N2165" s="11">
        <f t="shared" si="335"/>
        <v>0</v>
      </c>
      <c r="O2165" s="11">
        <f t="shared" si="336"/>
        <v>0</v>
      </c>
      <c r="P2165" s="12">
        <f t="shared" si="337"/>
        <v>0</v>
      </c>
      <c r="Q2165" s="17" t="str">
        <f t="shared" si="339"/>
        <v>Pas d'écart</v>
      </c>
    </row>
    <row r="2166" spans="1:18" x14ac:dyDescent="0.3">
      <c r="A2166" s="34" t="str">
        <f>base!J2166</f>
        <v>RM</v>
      </c>
      <c r="B2166" s="34" t="str">
        <f>base!V2166</f>
        <v>68270</v>
      </c>
      <c r="C2166" s="37">
        <v>68</v>
      </c>
      <c r="D2166" s="36">
        <f>base!H2166</f>
        <v>20</v>
      </c>
      <c r="E2166" s="44"/>
      <c r="F2166" s="16">
        <f>base!W2166</f>
        <v>0</v>
      </c>
      <c r="G2166" s="11">
        <f t="shared" si="330"/>
        <v>0</v>
      </c>
      <c r="H2166" s="11">
        <f t="shared" si="331"/>
        <v>5.8</v>
      </c>
      <c r="I2166" s="11">
        <f t="shared" si="332"/>
        <v>0.28999999999999998</v>
      </c>
      <c r="J2166" s="12">
        <f t="shared" si="333"/>
        <v>-5.8</v>
      </c>
      <c r="K2166" s="17" t="str">
        <f t="shared" si="338"/>
        <v>Ecart négatif</v>
      </c>
      <c r="L2166" s="16">
        <f>base!X2166</f>
        <v>1.6</v>
      </c>
      <c r="M2166" s="11">
        <f t="shared" si="334"/>
        <v>0.08</v>
      </c>
      <c r="N2166" s="11">
        <f t="shared" si="335"/>
        <v>1.6</v>
      </c>
      <c r="O2166" s="11">
        <f t="shared" si="336"/>
        <v>0.08</v>
      </c>
      <c r="P2166" s="12">
        <f t="shared" si="337"/>
        <v>0</v>
      </c>
      <c r="Q2166" s="17" t="str">
        <f t="shared" si="339"/>
        <v>Pas d'écart</v>
      </c>
      <c r="R2166" s="38"/>
    </row>
    <row r="2167" spans="1:18" x14ac:dyDescent="0.3">
      <c r="A2167" s="34" t="str">
        <f>base!J2167</f>
        <v>LS</v>
      </c>
      <c r="B2167" s="34" t="str">
        <f>base!V2167</f>
        <v>44600</v>
      </c>
      <c r="C2167" s="37">
        <v>45</v>
      </c>
      <c r="D2167" s="36">
        <f>base!H2167</f>
        <v>14.2</v>
      </c>
      <c r="E2167" s="44"/>
      <c r="F2167" s="16">
        <f>base!W2167</f>
        <v>3.83</v>
      </c>
      <c r="G2167" s="11">
        <f t="shared" si="330"/>
        <v>0.26971830985915496</v>
      </c>
      <c r="H2167" s="11">
        <f t="shared" si="331"/>
        <v>2.9819999999999998</v>
      </c>
      <c r="I2167" s="11">
        <f t="shared" si="332"/>
        <v>0.21</v>
      </c>
      <c r="J2167" s="12">
        <f t="shared" si="333"/>
        <v>0.84800000000000031</v>
      </c>
      <c r="K2167" s="17" t="str">
        <f t="shared" si="338"/>
        <v>Ecart positif</v>
      </c>
      <c r="L2167" s="16">
        <f>base!X2167</f>
        <v>0</v>
      </c>
      <c r="M2167" s="11">
        <f t="shared" si="334"/>
        <v>0</v>
      </c>
      <c r="N2167" s="11">
        <f t="shared" si="335"/>
        <v>1.704</v>
      </c>
      <c r="O2167" s="11">
        <f t="shared" si="336"/>
        <v>0.12000000000000001</v>
      </c>
      <c r="P2167" s="12">
        <f t="shared" si="337"/>
        <v>-1.704</v>
      </c>
      <c r="Q2167" s="17" t="str">
        <f t="shared" si="339"/>
        <v>Ecart négatif</v>
      </c>
    </row>
    <row r="2168" spans="1:18" x14ac:dyDescent="0.3">
      <c r="A2168" s="34" t="str">
        <f>base!J2168</f>
        <v>RS</v>
      </c>
      <c r="B2168" s="34" t="str">
        <f>base!V2168</f>
        <v>70000</v>
      </c>
      <c r="C2168" s="37">
        <v>70</v>
      </c>
      <c r="D2168" s="36">
        <f>base!H2168</f>
        <v>71.900000000000006</v>
      </c>
      <c r="E2168" s="44"/>
      <c r="F2168" s="16">
        <f>base!W2168</f>
        <v>0</v>
      </c>
      <c r="G2168" s="11">
        <f t="shared" si="330"/>
        <v>0</v>
      </c>
      <c r="H2168" s="11">
        <f t="shared" si="331"/>
        <v>17.256</v>
      </c>
      <c r="I2168" s="11">
        <f t="shared" si="332"/>
        <v>0.24</v>
      </c>
      <c r="J2168" s="12">
        <f t="shared" si="333"/>
        <v>-17.256</v>
      </c>
      <c r="K2168" s="17" t="str">
        <f t="shared" si="338"/>
        <v>Ecart négatif</v>
      </c>
      <c r="L2168" s="16">
        <f>base!X2168</f>
        <v>8.6300000000000008</v>
      </c>
      <c r="M2168" s="11">
        <f t="shared" si="334"/>
        <v>0.12002781641168289</v>
      </c>
      <c r="N2168" s="11">
        <f t="shared" si="335"/>
        <v>8.6280000000000001</v>
      </c>
      <c r="O2168" s="11">
        <f t="shared" si="336"/>
        <v>0.12</v>
      </c>
      <c r="P2168" s="12">
        <f t="shared" si="337"/>
        <v>2.0000000000006679E-3</v>
      </c>
      <c r="Q2168" s="17" t="str">
        <f t="shared" si="339"/>
        <v>Ecart positif</v>
      </c>
      <c r="R2168" s="38"/>
    </row>
    <row r="2169" spans="1:18" x14ac:dyDescent="0.3">
      <c r="A2169" s="34" t="str">
        <f>base!J2169</f>
        <v>RS</v>
      </c>
      <c r="B2169" s="34" t="str">
        <f>base!V2169</f>
        <v>73490</v>
      </c>
      <c r="C2169" s="37">
        <v>73</v>
      </c>
      <c r="D2169" s="36">
        <f>base!H2169</f>
        <v>70</v>
      </c>
      <c r="E2169" s="44"/>
      <c r="F2169" s="16">
        <f>base!W2169</f>
        <v>0</v>
      </c>
      <c r="G2169" s="11">
        <f t="shared" si="330"/>
        <v>0</v>
      </c>
      <c r="H2169" s="11">
        <f t="shared" si="331"/>
        <v>18.900000000000002</v>
      </c>
      <c r="I2169" s="11">
        <f t="shared" si="332"/>
        <v>0.27</v>
      </c>
      <c r="J2169" s="12">
        <f t="shared" si="333"/>
        <v>-18.900000000000002</v>
      </c>
      <c r="K2169" s="17" t="str">
        <f t="shared" si="338"/>
        <v>Ecart négatif</v>
      </c>
      <c r="L2169" s="16">
        <f>base!X2169</f>
        <v>0</v>
      </c>
      <c r="M2169" s="11">
        <f t="shared" si="334"/>
        <v>0</v>
      </c>
      <c r="N2169" s="11">
        <f t="shared" si="335"/>
        <v>0</v>
      </c>
      <c r="O2169" s="11">
        <f t="shared" si="336"/>
        <v>0</v>
      </c>
      <c r="P2169" s="12">
        <f t="shared" si="337"/>
        <v>0</v>
      </c>
      <c r="Q2169" s="17" t="str">
        <f t="shared" si="339"/>
        <v>Pas d'écart</v>
      </c>
    </row>
    <row r="2170" spans="1:18" x14ac:dyDescent="0.3">
      <c r="A2170" s="34" t="str">
        <f>base!J2170</f>
        <v>RM</v>
      </c>
      <c r="B2170" s="34" t="str">
        <f>base!V2170</f>
        <v>06000</v>
      </c>
      <c r="C2170" s="37">
        <v>6</v>
      </c>
      <c r="D2170" s="36">
        <f>base!H2170</f>
        <v>40</v>
      </c>
      <c r="E2170" s="44"/>
      <c r="F2170" s="16">
        <f>base!W2170</f>
        <v>0</v>
      </c>
      <c r="G2170" s="11">
        <f t="shared" si="330"/>
        <v>0</v>
      </c>
      <c r="H2170" s="11">
        <f t="shared" si="331"/>
        <v>12</v>
      </c>
      <c r="I2170" s="11">
        <f t="shared" si="332"/>
        <v>0.3</v>
      </c>
      <c r="J2170" s="12">
        <f t="shared" si="333"/>
        <v>-12</v>
      </c>
      <c r="K2170" s="17" t="str">
        <f t="shared" si="338"/>
        <v>Ecart négatif</v>
      </c>
      <c r="L2170" s="16">
        <f>base!X2170</f>
        <v>0</v>
      </c>
      <c r="M2170" s="11">
        <f t="shared" si="334"/>
        <v>0</v>
      </c>
      <c r="N2170" s="11">
        <f t="shared" si="335"/>
        <v>8.4</v>
      </c>
      <c r="O2170" s="11">
        <f t="shared" si="336"/>
        <v>0.21000000000000002</v>
      </c>
      <c r="P2170" s="12">
        <f t="shared" si="337"/>
        <v>-8.4</v>
      </c>
      <c r="Q2170" s="17" t="str">
        <f t="shared" si="339"/>
        <v>Ecart négatif</v>
      </c>
    </row>
    <row r="2171" spans="1:18" x14ac:dyDescent="0.3">
      <c r="A2171" s="34" t="str">
        <f>base!J2171</f>
        <v>LS</v>
      </c>
      <c r="B2171" s="34" t="str">
        <f>base!V2171</f>
        <v>13103</v>
      </c>
      <c r="C2171" s="37">
        <v>62</v>
      </c>
      <c r="D2171" s="36">
        <f>base!H2171</f>
        <v>1.46</v>
      </c>
      <c r="E2171" s="44"/>
      <c r="F2171" s="16">
        <f>base!W2171</f>
        <v>0.42</v>
      </c>
      <c r="G2171" s="11">
        <f t="shared" si="330"/>
        <v>0.28767123287671231</v>
      </c>
      <c r="H2171" s="11">
        <f t="shared" si="331"/>
        <v>0.27739999999999998</v>
      </c>
      <c r="I2171" s="11">
        <f t="shared" si="332"/>
        <v>0.19</v>
      </c>
      <c r="J2171" s="12">
        <f t="shared" si="333"/>
        <v>0.1426</v>
      </c>
      <c r="K2171" s="17" t="str">
        <f t="shared" si="338"/>
        <v>Ecart positif</v>
      </c>
      <c r="L2171" s="16">
        <f>base!X2171</f>
        <v>0</v>
      </c>
      <c r="M2171" s="11">
        <f t="shared" si="334"/>
        <v>0</v>
      </c>
      <c r="N2171" s="11">
        <f t="shared" si="335"/>
        <v>0</v>
      </c>
      <c r="O2171" s="11">
        <f t="shared" si="336"/>
        <v>0</v>
      </c>
      <c r="P2171" s="12">
        <f t="shared" si="337"/>
        <v>0</v>
      </c>
      <c r="Q2171" s="17" t="str">
        <f t="shared" si="339"/>
        <v>Pas d'écart</v>
      </c>
    </row>
    <row r="2172" spans="1:18" x14ac:dyDescent="0.3">
      <c r="A2172" s="34" t="str">
        <f>base!J2172</f>
        <v>LS</v>
      </c>
      <c r="B2172" s="34" t="str">
        <f>base!V2172</f>
        <v>29510</v>
      </c>
      <c r="C2172" s="37">
        <v>62</v>
      </c>
      <c r="D2172" s="36">
        <f>base!H2172</f>
        <v>179.61</v>
      </c>
      <c r="E2172" s="44"/>
      <c r="F2172" s="16">
        <f>base!W2172</f>
        <v>70.05</v>
      </c>
      <c r="G2172" s="11">
        <f t="shared" si="330"/>
        <v>0.39001169199933183</v>
      </c>
      <c r="H2172" s="11">
        <f t="shared" si="331"/>
        <v>34.125900000000001</v>
      </c>
      <c r="I2172" s="11">
        <f t="shared" si="332"/>
        <v>0.19</v>
      </c>
      <c r="J2172" s="12">
        <f t="shared" si="333"/>
        <v>35.924099999999996</v>
      </c>
      <c r="K2172" s="17" t="str">
        <f t="shared" si="338"/>
        <v>Ecart positif</v>
      </c>
      <c r="L2172" s="16">
        <f>base!X2172</f>
        <v>0</v>
      </c>
      <c r="M2172" s="11">
        <f t="shared" si="334"/>
        <v>0</v>
      </c>
      <c r="N2172" s="11">
        <f t="shared" si="335"/>
        <v>0</v>
      </c>
      <c r="O2172" s="11">
        <f t="shared" si="336"/>
        <v>0</v>
      </c>
      <c r="P2172" s="12">
        <f t="shared" si="337"/>
        <v>0</v>
      </c>
      <c r="Q2172" s="17" t="str">
        <f t="shared" si="339"/>
        <v>Pas d'écart</v>
      </c>
    </row>
    <row r="2173" spans="1:18" x14ac:dyDescent="0.3">
      <c r="A2173" s="34" t="str">
        <f>base!J2173</f>
        <v>LS</v>
      </c>
      <c r="B2173" s="34" t="str">
        <f>base!V2173</f>
        <v>34200</v>
      </c>
      <c r="C2173" s="37">
        <v>59</v>
      </c>
      <c r="D2173" s="36">
        <f>base!H2173</f>
        <v>75.14</v>
      </c>
      <c r="E2173" s="44"/>
      <c r="F2173" s="16">
        <f>base!W2173</f>
        <v>29.3</v>
      </c>
      <c r="G2173" s="11">
        <f t="shared" si="330"/>
        <v>0.38993878094224116</v>
      </c>
      <c r="H2173" s="11">
        <f t="shared" si="331"/>
        <v>14.2766</v>
      </c>
      <c r="I2173" s="11">
        <f t="shared" si="332"/>
        <v>0.19</v>
      </c>
      <c r="J2173" s="12">
        <f t="shared" si="333"/>
        <v>15.023400000000001</v>
      </c>
      <c r="K2173" s="17" t="str">
        <f t="shared" si="338"/>
        <v>Ecart positif</v>
      </c>
      <c r="L2173" s="16">
        <f>base!X2173</f>
        <v>0</v>
      </c>
      <c r="M2173" s="11">
        <f t="shared" si="334"/>
        <v>0</v>
      </c>
      <c r="N2173" s="11">
        <f t="shared" si="335"/>
        <v>0</v>
      </c>
      <c r="O2173" s="11">
        <f t="shared" si="336"/>
        <v>0</v>
      </c>
      <c r="P2173" s="12">
        <f t="shared" si="337"/>
        <v>0</v>
      </c>
      <c r="Q2173" s="17" t="str">
        <f t="shared" si="339"/>
        <v>Pas d'écart</v>
      </c>
    </row>
    <row r="2174" spans="1:18" x14ac:dyDescent="0.3">
      <c r="A2174" s="34" t="str">
        <f>base!J2174</f>
        <v>LM</v>
      </c>
      <c r="B2174" s="34" t="str">
        <f>base!V2174</f>
        <v>06000</v>
      </c>
      <c r="C2174" s="37">
        <v>62</v>
      </c>
      <c r="D2174" s="36">
        <f>base!H2174</f>
        <v>291.61</v>
      </c>
      <c r="E2174" s="44"/>
      <c r="F2174" s="16">
        <f>base!W2174</f>
        <v>87.48</v>
      </c>
      <c r="G2174" s="11">
        <f t="shared" si="330"/>
        <v>0.29998971228695859</v>
      </c>
      <c r="H2174" s="11">
        <f t="shared" si="331"/>
        <v>55.405900000000003</v>
      </c>
      <c r="I2174" s="11">
        <f t="shared" si="332"/>
        <v>0.19</v>
      </c>
      <c r="J2174" s="12">
        <f t="shared" si="333"/>
        <v>32.074100000000001</v>
      </c>
      <c r="K2174" s="17" t="str">
        <f t="shared" si="338"/>
        <v>Ecart positif</v>
      </c>
      <c r="L2174" s="16">
        <f>base!X2174</f>
        <v>0</v>
      </c>
      <c r="M2174" s="11">
        <f t="shared" si="334"/>
        <v>0</v>
      </c>
      <c r="N2174" s="11">
        <f t="shared" si="335"/>
        <v>0</v>
      </c>
      <c r="O2174" s="11">
        <f t="shared" si="336"/>
        <v>0</v>
      </c>
      <c r="P2174" s="12">
        <f t="shared" si="337"/>
        <v>0</v>
      </c>
      <c r="Q2174" s="17" t="str">
        <f t="shared" si="339"/>
        <v>Pas d'écart</v>
      </c>
    </row>
    <row r="2175" spans="1:18" x14ac:dyDescent="0.3">
      <c r="A2175" s="34" t="str">
        <f>base!J2175</f>
        <v>LS</v>
      </c>
      <c r="B2175" s="34" t="str">
        <f>base!V2175</f>
        <v>49124</v>
      </c>
      <c r="C2175" s="37">
        <v>59</v>
      </c>
      <c r="D2175" s="36">
        <f>base!H2175</f>
        <v>20.2</v>
      </c>
      <c r="E2175" s="44"/>
      <c r="F2175" s="16">
        <f>base!W2175</f>
        <v>5.45</v>
      </c>
      <c r="G2175" s="11">
        <f t="shared" si="330"/>
        <v>0.26980198019801982</v>
      </c>
      <c r="H2175" s="11">
        <f t="shared" si="331"/>
        <v>3.8380000000000001</v>
      </c>
      <c r="I2175" s="11">
        <f t="shared" si="332"/>
        <v>0.19</v>
      </c>
      <c r="J2175" s="12">
        <f t="shared" si="333"/>
        <v>1.6120000000000001</v>
      </c>
      <c r="K2175" s="17" t="str">
        <f t="shared" si="338"/>
        <v>Ecart positif</v>
      </c>
      <c r="L2175" s="16">
        <f>base!X2175</f>
        <v>0</v>
      </c>
      <c r="M2175" s="11">
        <f t="shared" si="334"/>
        <v>0</v>
      </c>
      <c r="N2175" s="11">
        <f t="shared" si="335"/>
        <v>0</v>
      </c>
      <c r="O2175" s="11">
        <f t="shared" si="336"/>
        <v>0</v>
      </c>
      <c r="P2175" s="12">
        <f t="shared" si="337"/>
        <v>0</v>
      </c>
      <c r="Q2175" s="17" t="str">
        <f t="shared" si="339"/>
        <v>Pas d'écart</v>
      </c>
    </row>
    <row r="2176" spans="1:18" x14ac:dyDescent="0.3">
      <c r="A2176" s="34" t="str">
        <f>base!J2176</f>
        <v>LM</v>
      </c>
      <c r="B2176" s="34" t="str">
        <f>base!V2176</f>
        <v>92200</v>
      </c>
      <c r="C2176" s="37">
        <v>92</v>
      </c>
      <c r="D2176" s="36">
        <f>base!H2176</f>
        <v>30</v>
      </c>
      <c r="E2176" s="44"/>
      <c r="F2176" s="16">
        <f>base!W2176</f>
        <v>0</v>
      </c>
      <c r="G2176" s="11">
        <f t="shared" si="330"/>
        <v>0</v>
      </c>
      <c r="H2176" s="11">
        <f t="shared" si="331"/>
        <v>0</v>
      </c>
      <c r="I2176" s="11">
        <f t="shared" si="332"/>
        <v>0</v>
      </c>
      <c r="J2176" s="12">
        <f t="shared" si="333"/>
        <v>0</v>
      </c>
      <c r="K2176" s="17" t="str">
        <f t="shared" si="338"/>
        <v>Pas d'écart</v>
      </c>
      <c r="L2176" s="16">
        <f>base!X2176</f>
        <v>0</v>
      </c>
      <c r="M2176" s="11">
        <f t="shared" si="334"/>
        <v>0</v>
      </c>
      <c r="N2176" s="11">
        <f t="shared" si="335"/>
        <v>0</v>
      </c>
      <c r="O2176" s="11">
        <f t="shared" si="336"/>
        <v>0</v>
      </c>
      <c r="P2176" s="12">
        <f t="shared" si="337"/>
        <v>0</v>
      </c>
      <c r="Q2176" s="17" t="str">
        <f t="shared" si="339"/>
        <v>Pas d'écart</v>
      </c>
    </row>
    <row r="2177" spans="1:18" x14ac:dyDescent="0.3">
      <c r="A2177" s="34" t="str">
        <f>base!J2177</f>
        <v>LS</v>
      </c>
      <c r="B2177" s="34" t="str">
        <f>base!V2177</f>
        <v>67000</v>
      </c>
      <c r="C2177" s="37">
        <v>67</v>
      </c>
      <c r="D2177" s="36">
        <f>base!H2177</f>
        <v>30</v>
      </c>
      <c r="E2177" s="44"/>
      <c r="F2177" s="16">
        <f>base!W2177</f>
        <v>8.6999999999999993</v>
      </c>
      <c r="G2177" s="11">
        <f t="shared" si="330"/>
        <v>0.28999999999999998</v>
      </c>
      <c r="H2177" s="11">
        <f t="shared" si="331"/>
        <v>8.6999999999999993</v>
      </c>
      <c r="I2177" s="11">
        <f t="shared" si="332"/>
        <v>0.28999999999999998</v>
      </c>
      <c r="J2177" s="12">
        <f t="shared" si="333"/>
        <v>0</v>
      </c>
      <c r="K2177" s="17" t="str">
        <f t="shared" si="338"/>
        <v>Pas d'écart</v>
      </c>
      <c r="L2177" s="16">
        <f>base!X2177</f>
        <v>0</v>
      </c>
      <c r="M2177" s="11">
        <f t="shared" si="334"/>
        <v>0</v>
      </c>
      <c r="N2177" s="11">
        <f t="shared" si="335"/>
        <v>2.4</v>
      </c>
      <c r="O2177" s="11">
        <f t="shared" si="336"/>
        <v>0.08</v>
      </c>
      <c r="P2177" s="12">
        <f t="shared" si="337"/>
        <v>-2.4</v>
      </c>
      <c r="Q2177" s="17" t="str">
        <f t="shared" si="339"/>
        <v>Ecart négatif</v>
      </c>
    </row>
    <row r="2178" spans="1:18" x14ac:dyDescent="0.3">
      <c r="A2178" s="34" t="str">
        <f>base!J2178</f>
        <v>RM</v>
      </c>
      <c r="B2178" s="34" t="str">
        <f>base!V2178</f>
        <v>80000</v>
      </c>
      <c r="C2178" s="37">
        <v>80</v>
      </c>
      <c r="D2178" s="36">
        <f>base!H2178</f>
        <v>140</v>
      </c>
      <c r="E2178" s="44"/>
      <c r="F2178" s="16">
        <f>base!W2178</f>
        <v>0</v>
      </c>
      <c r="G2178" s="11">
        <f t="shared" ref="G2178:G2241" si="340">F2178/D2178</f>
        <v>0</v>
      </c>
      <c r="H2178" s="11">
        <f t="shared" ref="H2178:H2241" si="341">VLOOKUP(C2178,tout_cout_traction,2,FALSE)*D2178</f>
        <v>26.6</v>
      </c>
      <c r="I2178" s="11">
        <f t="shared" ref="I2178:I2241" si="342">H2178/D2178</f>
        <v>0.19</v>
      </c>
      <c r="J2178" s="12">
        <f t="shared" ref="J2178:J2241" si="343">F2178-H2178</f>
        <v>-26.6</v>
      </c>
      <c r="K2178" s="17" t="str">
        <f t="shared" si="338"/>
        <v>Ecart négatif</v>
      </c>
      <c r="L2178" s="16">
        <f>base!X2178</f>
        <v>26.6</v>
      </c>
      <c r="M2178" s="11">
        <f t="shared" ref="M2178:M2241" si="344">L2178/D2178</f>
        <v>0.19</v>
      </c>
      <c r="N2178" s="11">
        <f t="shared" ref="N2178:N2241" si="345">VLOOKUP(C2178,tout_cout_traction,3,FALSE)*D2178</f>
        <v>0</v>
      </c>
      <c r="O2178" s="11">
        <f t="shared" ref="O2178:O2241" si="346">N2178/D2178</f>
        <v>0</v>
      </c>
      <c r="P2178" s="12">
        <f t="shared" ref="P2178:P2241" si="347">L2178-N2178</f>
        <v>26.6</v>
      </c>
      <c r="Q2178" s="17" t="str">
        <f t="shared" si="339"/>
        <v>Ecart positif</v>
      </c>
    </row>
    <row r="2179" spans="1:18" x14ac:dyDescent="0.3">
      <c r="A2179" s="34" t="str">
        <f>base!J2179</f>
        <v>RS</v>
      </c>
      <c r="B2179" s="34" t="str">
        <f>base!V2179</f>
        <v>13200</v>
      </c>
      <c r="C2179" s="37">
        <v>13</v>
      </c>
      <c r="D2179" s="36">
        <f>base!H2179</f>
        <v>58.2</v>
      </c>
      <c r="E2179" s="44"/>
      <c r="F2179" s="16">
        <f>base!W2179</f>
        <v>0</v>
      </c>
      <c r="G2179" s="11">
        <f t="shared" si="340"/>
        <v>0</v>
      </c>
      <c r="H2179" s="11">
        <f t="shared" si="341"/>
        <v>16.878</v>
      </c>
      <c r="I2179" s="11">
        <f t="shared" si="342"/>
        <v>0.28999999999999998</v>
      </c>
      <c r="J2179" s="12">
        <f t="shared" si="343"/>
        <v>-16.878</v>
      </c>
      <c r="K2179" s="17" t="str">
        <f t="shared" ref="K2179:K2242" si="348">IF(H2179=F2179,"Pas d'écart",IF(H2179&lt;F2179,"Ecart positif",IF(H2179&gt;F2179,"Ecart négatif")))</f>
        <v>Ecart négatif</v>
      </c>
      <c r="L2179" s="16">
        <f>base!X2179</f>
        <v>0</v>
      </c>
      <c r="M2179" s="11">
        <f t="shared" si="344"/>
        <v>0</v>
      </c>
      <c r="N2179" s="11">
        <f t="shared" si="345"/>
        <v>11.058</v>
      </c>
      <c r="O2179" s="11">
        <f t="shared" si="346"/>
        <v>0.18999999999999997</v>
      </c>
      <c r="P2179" s="12">
        <f t="shared" si="347"/>
        <v>-11.058</v>
      </c>
      <c r="Q2179" s="17" t="str">
        <f t="shared" ref="Q2179:Q2242" si="349">IF(N2179=L2179,"Pas d'écart",IF(N2179&lt;L2179,"Ecart positif",IF(N2179&gt;L2179,"Ecart négatif")))</f>
        <v>Ecart négatif</v>
      </c>
    </row>
    <row r="2180" spans="1:18" x14ac:dyDescent="0.3">
      <c r="A2180" s="34" t="str">
        <f>base!J2180</f>
        <v>LM</v>
      </c>
      <c r="B2180" s="34" t="str">
        <f>base!V2180</f>
        <v>54940</v>
      </c>
      <c r="C2180" s="37">
        <v>2</v>
      </c>
      <c r="D2180" s="36">
        <f>base!H2180</f>
        <v>127.15</v>
      </c>
      <c r="E2180" s="44"/>
      <c r="F2180" s="16">
        <f>base!W2180</f>
        <v>31.79</v>
      </c>
      <c r="G2180" s="11">
        <f t="shared" si="340"/>
        <v>0.25001966181675184</v>
      </c>
      <c r="H2180" s="11">
        <f t="shared" si="341"/>
        <v>22.887</v>
      </c>
      <c r="I2180" s="11">
        <f t="shared" si="342"/>
        <v>0.18</v>
      </c>
      <c r="J2180" s="12">
        <f t="shared" si="343"/>
        <v>8.9029999999999987</v>
      </c>
      <c r="K2180" s="17" t="str">
        <f t="shared" si="348"/>
        <v>Ecart positif</v>
      </c>
      <c r="L2180" s="16">
        <f>base!X2180</f>
        <v>0</v>
      </c>
      <c r="M2180" s="11">
        <f t="shared" si="344"/>
        <v>0</v>
      </c>
      <c r="N2180" s="11">
        <f t="shared" si="345"/>
        <v>0</v>
      </c>
      <c r="O2180" s="11">
        <f t="shared" si="346"/>
        <v>0</v>
      </c>
      <c r="P2180" s="12">
        <f t="shared" si="347"/>
        <v>0</v>
      </c>
      <c r="Q2180" s="17" t="str">
        <f t="shared" si="349"/>
        <v>Pas d'écart</v>
      </c>
    </row>
    <row r="2181" spans="1:18" x14ac:dyDescent="0.3">
      <c r="A2181" s="34" t="str">
        <f>base!J2181</f>
        <v>LS</v>
      </c>
      <c r="B2181" s="34" t="str">
        <f>base!V2181</f>
        <v>62400</v>
      </c>
      <c r="C2181" s="37">
        <v>59</v>
      </c>
      <c r="D2181" s="36">
        <f>base!H2181</f>
        <v>55.14</v>
      </c>
      <c r="E2181" s="44"/>
      <c r="F2181" s="16">
        <f>base!W2181</f>
        <v>10.48</v>
      </c>
      <c r="G2181" s="11">
        <f t="shared" si="340"/>
        <v>0.19006166122597026</v>
      </c>
      <c r="H2181" s="11">
        <f t="shared" si="341"/>
        <v>10.476599999999999</v>
      </c>
      <c r="I2181" s="11">
        <f t="shared" si="342"/>
        <v>0.19</v>
      </c>
      <c r="J2181" s="12">
        <f t="shared" si="343"/>
        <v>3.4000000000009578E-3</v>
      </c>
      <c r="K2181" s="17" t="str">
        <f t="shared" si="348"/>
        <v>Ecart positif</v>
      </c>
      <c r="L2181" s="16">
        <f>base!X2181</f>
        <v>0</v>
      </c>
      <c r="M2181" s="11">
        <f t="shared" si="344"/>
        <v>0</v>
      </c>
      <c r="N2181" s="11">
        <f t="shared" si="345"/>
        <v>0</v>
      </c>
      <c r="O2181" s="11">
        <f t="shared" si="346"/>
        <v>0</v>
      </c>
      <c r="P2181" s="12">
        <f t="shared" si="347"/>
        <v>0</v>
      </c>
      <c r="Q2181" s="17" t="str">
        <f t="shared" si="349"/>
        <v>Pas d'écart</v>
      </c>
    </row>
    <row r="2182" spans="1:18" x14ac:dyDescent="0.3">
      <c r="A2182" s="34" t="str">
        <f>base!J2182</f>
        <v>RS</v>
      </c>
      <c r="B2182" s="34" t="str">
        <f>base!V2182</f>
        <v>78000</v>
      </c>
      <c r="C2182" s="37">
        <v>78</v>
      </c>
      <c r="D2182" s="36">
        <f>base!H2182</f>
        <v>140</v>
      </c>
      <c r="E2182" s="44"/>
      <c r="F2182" s="16">
        <f>base!W2182</f>
        <v>0</v>
      </c>
      <c r="G2182" s="11">
        <f t="shared" si="340"/>
        <v>0</v>
      </c>
      <c r="H2182" s="11">
        <f t="shared" si="341"/>
        <v>0</v>
      </c>
      <c r="I2182" s="11">
        <f t="shared" si="342"/>
        <v>0</v>
      </c>
      <c r="J2182" s="12">
        <f t="shared" si="343"/>
        <v>0</v>
      </c>
      <c r="K2182" s="17" t="str">
        <f t="shared" si="348"/>
        <v>Pas d'écart</v>
      </c>
      <c r="L2182" s="16">
        <f>base!X2182</f>
        <v>0</v>
      </c>
      <c r="M2182" s="11">
        <f t="shared" si="344"/>
        <v>0</v>
      </c>
      <c r="N2182" s="11">
        <f t="shared" si="345"/>
        <v>0</v>
      </c>
      <c r="O2182" s="11">
        <f t="shared" si="346"/>
        <v>0</v>
      </c>
      <c r="P2182" s="12">
        <f t="shared" si="347"/>
        <v>0</v>
      </c>
      <c r="Q2182" s="17" t="str">
        <f t="shared" si="349"/>
        <v>Pas d'écart</v>
      </c>
    </row>
    <row r="2183" spans="1:18" x14ac:dyDescent="0.3">
      <c r="A2183" s="34" t="str">
        <f>base!J2183</f>
        <v>RM</v>
      </c>
      <c r="B2183" s="34" t="str">
        <f>base!V2183</f>
        <v>92350</v>
      </c>
      <c r="C2183" s="37">
        <v>92</v>
      </c>
      <c r="D2183" s="36">
        <f>base!H2183</f>
        <v>30.1</v>
      </c>
      <c r="E2183" s="44"/>
      <c r="F2183" s="16">
        <f>base!W2183</f>
        <v>0</v>
      </c>
      <c r="G2183" s="11">
        <f t="shared" si="340"/>
        <v>0</v>
      </c>
      <c r="H2183" s="11">
        <f t="shared" si="341"/>
        <v>0</v>
      </c>
      <c r="I2183" s="11">
        <f t="shared" si="342"/>
        <v>0</v>
      </c>
      <c r="J2183" s="12">
        <f t="shared" si="343"/>
        <v>0</v>
      </c>
      <c r="K2183" s="17" t="str">
        <f t="shared" si="348"/>
        <v>Pas d'écart</v>
      </c>
      <c r="L2183" s="16">
        <f>base!X2183</f>
        <v>0</v>
      </c>
      <c r="M2183" s="11">
        <f t="shared" si="344"/>
        <v>0</v>
      </c>
      <c r="N2183" s="11">
        <f t="shared" si="345"/>
        <v>0</v>
      </c>
      <c r="O2183" s="11">
        <f t="shared" si="346"/>
        <v>0</v>
      </c>
      <c r="P2183" s="12">
        <f t="shared" si="347"/>
        <v>0</v>
      </c>
      <c r="Q2183" s="17" t="str">
        <f t="shared" si="349"/>
        <v>Pas d'écart</v>
      </c>
    </row>
    <row r="2184" spans="1:18" x14ac:dyDescent="0.3">
      <c r="A2184" s="34" t="str">
        <f>base!J2184</f>
        <v>RS</v>
      </c>
      <c r="B2184" s="34" t="str">
        <f>base!V2184</f>
        <v>83320</v>
      </c>
      <c r="C2184" s="37">
        <v>83</v>
      </c>
      <c r="D2184" s="36">
        <f>base!H2184</f>
        <v>171.25</v>
      </c>
      <c r="E2184" s="44"/>
      <c r="F2184" s="16">
        <f>base!W2184</f>
        <v>0</v>
      </c>
      <c r="G2184" s="11">
        <f t="shared" si="340"/>
        <v>0</v>
      </c>
      <c r="H2184" s="11">
        <f t="shared" si="341"/>
        <v>51.375</v>
      </c>
      <c r="I2184" s="11">
        <f t="shared" si="342"/>
        <v>0.3</v>
      </c>
      <c r="J2184" s="12">
        <f t="shared" si="343"/>
        <v>-51.375</v>
      </c>
      <c r="K2184" s="17" t="str">
        <f t="shared" si="348"/>
        <v>Ecart négatif</v>
      </c>
      <c r="L2184" s="16">
        <f>base!X2184</f>
        <v>0</v>
      </c>
      <c r="M2184" s="11">
        <f t="shared" si="344"/>
        <v>0</v>
      </c>
      <c r="N2184" s="11">
        <f t="shared" si="345"/>
        <v>35.962499999999999</v>
      </c>
      <c r="O2184" s="11">
        <f t="shared" si="346"/>
        <v>0.21</v>
      </c>
      <c r="P2184" s="12">
        <f t="shared" si="347"/>
        <v>-35.962499999999999</v>
      </c>
      <c r="Q2184" s="17" t="str">
        <f t="shared" si="349"/>
        <v>Ecart négatif</v>
      </c>
    </row>
    <row r="2185" spans="1:18" x14ac:dyDescent="0.3">
      <c r="A2185" s="34" t="str">
        <f>base!J2185</f>
        <v>RS</v>
      </c>
      <c r="B2185" s="34" t="str">
        <f>base!V2185</f>
        <v>69365</v>
      </c>
      <c r="C2185" s="37">
        <v>69</v>
      </c>
      <c r="D2185" s="36">
        <f>base!H2185</f>
        <v>151</v>
      </c>
      <c r="E2185" s="44"/>
      <c r="F2185" s="16">
        <f>base!W2185</f>
        <v>0</v>
      </c>
      <c r="G2185" s="11">
        <f t="shared" si="340"/>
        <v>0</v>
      </c>
      <c r="H2185" s="11">
        <f t="shared" si="341"/>
        <v>40.770000000000003</v>
      </c>
      <c r="I2185" s="11">
        <f t="shared" si="342"/>
        <v>0.27</v>
      </c>
      <c r="J2185" s="12">
        <f t="shared" si="343"/>
        <v>-40.770000000000003</v>
      </c>
      <c r="K2185" s="17" t="str">
        <f t="shared" si="348"/>
        <v>Ecart négatif</v>
      </c>
      <c r="L2185" s="16">
        <f>base!X2185</f>
        <v>0</v>
      </c>
      <c r="M2185" s="11">
        <f t="shared" si="344"/>
        <v>0</v>
      </c>
      <c r="N2185" s="11">
        <f t="shared" si="345"/>
        <v>0</v>
      </c>
      <c r="O2185" s="11">
        <f t="shared" si="346"/>
        <v>0</v>
      </c>
      <c r="P2185" s="12">
        <f t="shared" si="347"/>
        <v>0</v>
      </c>
      <c r="Q2185" s="17" t="str">
        <f t="shared" si="349"/>
        <v>Pas d'écart</v>
      </c>
    </row>
    <row r="2186" spans="1:18" x14ac:dyDescent="0.3">
      <c r="A2186" s="34">
        <f>base!J2186</f>
        <v>0</v>
      </c>
      <c r="B2186" s="34" t="str">
        <f>base!V2186</f>
        <v>77184</v>
      </c>
      <c r="C2186" s="37">
        <v>77</v>
      </c>
      <c r="D2186" s="36">
        <f>base!H2186</f>
        <v>42.65</v>
      </c>
      <c r="E2186" s="44"/>
      <c r="F2186" s="16">
        <f>base!W2186</f>
        <v>0</v>
      </c>
      <c r="G2186" s="11">
        <f t="shared" si="340"/>
        <v>0</v>
      </c>
      <c r="H2186" s="11">
        <f t="shared" si="341"/>
        <v>0</v>
      </c>
      <c r="I2186" s="11">
        <f t="shared" si="342"/>
        <v>0</v>
      </c>
      <c r="J2186" s="12">
        <f t="shared" si="343"/>
        <v>0</v>
      </c>
      <c r="K2186" s="17" t="str">
        <f t="shared" si="348"/>
        <v>Pas d'écart</v>
      </c>
      <c r="L2186" s="16">
        <f>base!X2186</f>
        <v>0</v>
      </c>
      <c r="M2186" s="11">
        <f t="shared" si="344"/>
        <v>0</v>
      </c>
      <c r="N2186" s="11">
        <f t="shared" si="345"/>
        <v>0</v>
      </c>
      <c r="O2186" s="11">
        <f t="shared" si="346"/>
        <v>0</v>
      </c>
      <c r="P2186" s="12">
        <f t="shared" si="347"/>
        <v>0</v>
      </c>
      <c r="Q2186" s="17" t="str">
        <f t="shared" si="349"/>
        <v>Pas d'écart</v>
      </c>
    </row>
    <row r="2187" spans="1:18" x14ac:dyDescent="0.3">
      <c r="A2187" s="34" t="str">
        <f>base!J2187</f>
        <v>RS</v>
      </c>
      <c r="B2187" s="34" t="str">
        <f>base!V2187</f>
        <v>67000</v>
      </c>
      <c r="C2187" s="37">
        <v>67</v>
      </c>
      <c r="D2187" s="36">
        <f>base!H2187</f>
        <v>40</v>
      </c>
      <c r="E2187" s="44"/>
      <c r="F2187" s="16">
        <f>base!W2187</f>
        <v>0</v>
      </c>
      <c r="G2187" s="11">
        <f t="shared" si="340"/>
        <v>0</v>
      </c>
      <c r="H2187" s="11">
        <f t="shared" si="341"/>
        <v>11.6</v>
      </c>
      <c r="I2187" s="11">
        <f t="shared" si="342"/>
        <v>0.28999999999999998</v>
      </c>
      <c r="J2187" s="12">
        <f t="shared" si="343"/>
        <v>-11.6</v>
      </c>
      <c r="K2187" s="17" t="str">
        <f t="shared" si="348"/>
        <v>Ecart négatif</v>
      </c>
      <c r="L2187" s="16">
        <f>base!X2187</f>
        <v>3.2</v>
      </c>
      <c r="M2187" s="11">
        <f t="shared" si="344"/>
        <v>0.08</v>
      </c>
      <c r="N2187" s="11">
        <f t="shared" si="345"/>
        <v>3.2</v>
      </c>
      <c r="O2187" s="11">
        <f t="shared" si="346"/>
        <v>0.08</v>
      </c>
      <c r="P2187" s="12">
        <f t="shared" si="347"/>
        <v>0</v>
      </c>
      <c r="Q2187" s="17" t="str">
        <f t="shared" si="349"/>
        <v>Pas d'écart</v>
      </c>
      <c r="R2187" s="38"/>
    </row>
    <row r="2188" spans="1:18" x14ac:dyDescent="0.3">
      <c r="A2188" s="34" t="str">
        <f>base!J2188</f>
        <v>RM</v>
      </c>
      <c r="B2188" s="34" t="str">
        <f>base!V2188</f>
        <v>89700</v>
      </c>
      <c r="C2188" s="37">
        <v>89</v>
      </c>
      <c r="D2188" s="36">
        <f>base!H2188</f>
        <v>55</v>
      </c>
      <c r="E2188" s="44"/>
      <c r="F2188" s="16">
        <f>base!W2188</f>
        <v>0</v>
      </c>
      <c r="G2188" s="11">
        <f t="shared" si="340"/>
        <v>0</v>
      </c>
      <c r="H2188" s="11">
        <f t="shared" si="341"/>
        <v>12.65</v>
      </c>
      <c r="I2188" s="11">
        <f t="shared" si="342"/>
        <v>0.23</v>
      </c>
      <c r="J2188" s="12">
        <f t="shared" si="343"/>
        <v>-12.65</v>
      </c>
      <c r="K2188" s="17" t="str">
        <f t="shared" si="348"/>
        <v>Ecart négatif</v>
      </c>
      <c r="L2188" s="16">
        <f>base!X2188</f>
        <v>6.6</v>
      </c>
      <c r="M2188" s="11">
        <f t="shared" si="344"/>
        <v>0.12</v>
      </c>
      <c r="N2188" s="11">
        <f t="shared" si="345"/>
        <v>6.6</v>
      </c>
      <c r="O2188" s="11">
        <f t="shared" si="346"/>
        <v>0.12</v>
      </c>
      <c r="P2188" s="12">
        <f t="shared" si="347"/>
        <v>0</v>
      </c>
      <c r="Q2188" s="17" t="str">
        <f t="shared" si="349"/>
        <v>Pas d'écart</v>
      </c>
      <c r="R2188" s="38"/>
    </row>
    <row r="2189" spans="1:18" x14ac:dyDescent="0.3">
      <c r="A2189" s="34" t="str">
        <f>base!J2189</f>
        <v>RM</v>
      </c>
      <c r="B2189" s="34" t="str">
        <f>base!V2189</f>
        <v>69120</v>
      </c>
      <c r="C2189" s="37">
        <v>69</v>
      </c>
      <c r="D2189" s="36">
        <f>base!H2189</f>
        <v>151</v>
      </c>
      <c r="E2189" s="44"/>
      <c r="F2189" s="16">
        <f>base!W2189</f>
        <v>0</v>
      </c>
      <c r="G2189" s="11">
        <f t="shared" si="340"/>
        <v>0</v>
      </c>
      <c r="H2189" s="11">
        <f t="shared" si="341"/>
        <v>40.770000000000003</v>
      </c>
      <c r="I2189" s="11">
        <f t="shared" si="342"/>
        <v>0.27</v>
      </c>
      <c r="J2189" s="12">
        <f t="shared" si="343"/>
        <v>-40.770000000000003</v>
      </c>
      <c r="K2189" s="17" t="str">
        <f t="shared" si="348"/>
        <v>Ecart négatif</v>
      </c>
      <c r="L2189" s="16">
        <f>base!X2189</f>
        <v>0</v>
      </c>
      <c r="M2189" s="11">
        <f t="shared" si="344"/>
        <v>0</v>
      </c>
      <c r="N2189" s="11">
        <f t="shared" si="345"/>
        <v>0</v>
      </c>
      <c r="O2189" s="11">
        <f t="shared" si="346"/>
        <v>0</v>
      </c>
      <c r="P2189" s="12">
        <f t="shared" si="347"/>
        <v>0</v>
      </c>
      <c r="Q2189" s="17" t="str">
        <f t="shared" si="349"/>
        <v>Pas d'écart</v>
      </c>
    </row>
    <row r="2190" spans="1:18" x14ac:dyDescent="0.3">
      <c r="A2190" s="34" t="str">
        <f>base!J2190</f>
        <v>RS</v>
      </c>
      <c r="B2190" s="34" t="str">
        <f>base!V2190</f>
        <v>84810</v>
      </c>
      <c r="C2190" s="37">
        <v>84</v>
      </c>
      <c r="D2190" s="36">
        <f>base!H2190</f>
        <v>140</v>
      </c>
      <c r="E2190" s="44"/>
      <c r="F2190" s="16">
        <f>base!W2190</f>
        <v>0</v>
      </c>
      <c r="G2190" s="11">
        <f t="shared" si="340"/>
        <v>0</v>
      </c>
      <c r="H2190" s="11">
        <f t="shared" si="341"/>
        <v>40.599999999999994</v>
      </c>
      <c r="I2190" s="11">
        <f t="shared" si="342"/>
        <v>0.28999999999999998</v>
      </c>
      <c r="J2190" s="12">
        <f t="shared" si="343"/>
        <v>-40.599999999999994</v>
      </c>
      <c r="K2190" s="17" t="str">
        <f t="shared" si="348"/>
        <v>Ecart négatif</v>
      </c>
      <c r="L2190" s="16">
        <f>base!X2190</f>
        <v>0</v>
      </c>
      <c r="M2190" s="11">
        <f t="shared" si="344"/>
        <v>0</v>
      </c>
      <c r="N2190" s="11">
        <f t="shared" si="345"/>
        <v>26.6</v>
      </c>
      <c r="O2190" s="11">
        <f t="shared" si="346"/>
        <v>0.19</v>
      </c>
      <c r="P2190" s="12">
        <f t="shared" si="347"/>
        <v>-26.6</v>
      </c>
      <c r="Q2190" s="17" t="str">
        <f t="shared" si="349"/>
        <v>Ecart négatif</v>
      </c>
    </row>
    <row r="2191" spans="1:18" x14ac:dyDescent="0.3">
      <c r="A2191" s="34" t="str">
        <f>base!J2191</f>
        <v>RS</v>
      </c>
      <c r="B2191" s="34" t="str">
        <f>base!V2191</f>
        <v>51150</v>
      </c>
      <c r="C2191" s="37">
        <v>51</v>
      </c>
      <c r="D2191" s="36">
        <f>base!H2191</f>
        <v>140</v>
      </c>
      <c r="E2191" s="44"/>
      <c r="F2191" s="16">
        <f>base!W2191</f>
        <v>0</v>
      </c>
      <c r="G2191" s="11">
        <f t="shared" si="340"/>
        <v>0</v>
      </c>
      <c r="H2191" s="11">
        <f t="shared" si="341"/>
        <v>35</v>
      </c>
      <c r="I2191" s="11">
        <f t="shared" si="342"/>
        <v>0.25</v>
      </c>
      <c r="J2191" s="12">
        <f t="shared" si="343"/>
        <v>-35</v>
      </c>
      <c r="K2191" s="17" t="str">
        <f t="shared" si="348"/>
        <v>Ecart négatif</v>
      </c>
      <c r="L2191" s="16">
        <f>base!X2191</f>
        <v>35</v>
      </c>
      <c r="M2191" s="11">
        <f t="shared" si="344"/>
        <v>0.25</v>
      </c>
      <c r="N2191" s="11">
        <f t="shared" si="345"/>
        <v>35</v>
      </c>
      <c r="O2191" s="11">
        <f t="shared" si="346"/>
        <v>0.25</v>
      </c>
      <c r="P2191" s="12">
        <f t="shared" si="347"/>
        <v>0</v>
      </c>
      <c r="Q2191" s="17" t="str">
        <f t="shared" si="349"/>
        <v>Pas d'écart</v>
      </c>
    </row>
    <row r="2192" spans="1:18" x14ac:dyDescent="0.3">
      <c r="A2192" s="34" t="str">
        <f>base!J2192</f>
        <v>RM</v>
      </c>
      <c r="B2192" s="34" t="str">
        <f>base!V2192</f>
        <v>84000</v>
      </c>
      <c r="C2192" s="37">
        <v>84</v>
      </c>
      <c r="D2192" s="36">
        <f>base!H2192</f>
        <v>150</v>
      </c>
      <c r="E2192" s="44"/>
      <c r="F2192" s="16">
        <f>base!W2192</f>
        <v>0</v>
      </c>
      <c r="G2192" s="11">
        <f t="shared" si="340"/>
        <v>0</v>
      </c>
      <c r="H2192" s="11">
        <f t="shared" si="341"/>
        <v>43.5</v>
      </c>
      <c r="I2192" s="11">
        <f t="shared" si="342"/>
        <v>0.28999999999999998</v>
      </c>
      <c r="J2192" s="12">
        <f t="shared" si="343"/>
        <v>-43.5</v>
      </c>
      <c r="K2192" s="17" t="str">
        <f t="shared" si="348"/>
        <v>Ecart négatif</v>
      </c>
      <c r="L2192" s="16">
        <f>base!X2192</f>
        <v>28.5</v>
      </c>
      <c r="M2192" s="11">
        <f t="shared" si="344"/>
        <v>0.19</v>
      </c>
      <c r="N2192" s="11">
        <f t="shared" si="345"/>
        <v>28.5</v>
      </c>
      <c r="O2192" s="11">
        <f t="shared" si="346"/>
        <v>0.19</v>
      </c>
      <c r="P2192" s="12">
        <f t="shared" si="347"/>
        <v>0</v>
      </c>
      <c r="Q2192" s="17" t="str">
        <f t="shared" si="349"/>
        <v>Pas d'écart</v>
      </c>
      <c r="R2192" s="38"/>
    </row>
    <row r="2193" spans="1:18" x14ac:dyDescent="0.3">
      <c r="A2193" s="34" t="str">
        <f>base!J2193</f>
        <v>DLM</v>
      </c>
      <c r="B2193" s="34" t="str">
        <f>base!V2193</f>
        <v>26100</v>
      </c>
      <c r="C2193" s="37">
        <v>26</v>
      </c>
      <c r="D2193" s="36">
        <f>base!H2193</f>
        <v>52.5</v>
      </c>
      <c r="E2193" s="44"/>
      <c r="F2193" s="16">
        <f>base!W2193</f>
        <v>0</v>
      </c>
      <c r="G2193" s="11">
        <f t="shared" si="340"/>
        <v>0</v>
      </c>
      <c r="H2193" s="11">
        <f t="shared" si="341"/>
        <v>14.175000000000001</v>
      </c>
      <c r="I2193" s="11">
        <f t="shared" si="342"/>
        <v>0.27</v>
      </c>
      <c r="J2193" s="12">
        <f t="shared" si="343"/>
        <v>-14.175000000000001</v>
      </c>
      <c r="K2193" s="17" t="str">
        <f t="shared" si="348"/>
        <v>Ecart négatif</v>
      </c>
      <c r="L2193" s="16">
        <f>base!X2193</f>
        <v>0</v>
      </c>
      <c r="M2193" s="11">
        <f t="shared" si="344"/>
        <v>0</v>
      </c>
      <c r="N2193" s="11">
        <f t="shared" si="345"/>
        <v>0</v>
      </c>
      <c r="O2193" s="11">
        <f t="shared" si="346"/>
        <v>0</v>
      </c>
      <c r="P2193" s="12">
        <f t="shared" si="347"/>
        <v>0</v>
      </c>
      <c r="Q2193" s="17" t="str">
        <f t="shared" si="349"/>
        <v>Pas d'écart</v>
      </c>
    </row>
    <row r="2194" spans="1:18" x14ac:dyDescent="0.3">
      <c r="A2194" s="34" t="str">
        <f>base!J2194</f>
        <v>DLM</v>
      </c>
      <c r="B2194" s="34" t="str">
        <f>base!V2194</f>
        <v>31300</v>
      </c>
      <c r="C2194" s="37">
        <v>31</v>
      </c>
      <c r="D2194" s="36">
        <f>base!H2194</f>
        <v>52.5</v>
      </c>
      <c r="E2194" s="44"/>
      <c r="F2194" s="16">
        <f>base!W2194</f>
        <v>11.55</v>
      </c>
      <c r="G2194" s="11">
        <f t="shared" si="340"/>
        <v>0.22</v>
      </c>
      <c r="H2194" s="11">
        <f t="shared" si="341"/>
        <v>9.9749999999999996</v>
      </c>
      <c r="I2194" s="11">
        <f t="shared" si="342"/>
        <v>0.19</v>
      </c>
      <c r="J2194" s="12">
        <f t="shared" si="343"/>
        <v>1.5750000000000011</v>
      </c>
      <c r="K2194" s="17" t="str">
        <f t="shared" si="348"/>
        <v>Ecart positif</v>
      </c>
      <c r="L2194" s="16">
        <f>base!X2194</f>
        <v>0</v>
      </c>
      <c r="M2194" s="11">
        <f t="shared" si="344"/>
        <v>0</v>
      </c>
      <c r="N2194" s="11">
        <f t="shared" si="345"/>
        <v>13.65</v>
      </c>
      <c r="O2194" s="11">
        <f t="shared" si="346"/>
        <v>0.26</v>
      </c>
      <c r="P2194" s="12">
        <f t="shared" si="347"/>
        <v>-13.65</v>
      </c>
      <c r="Q2194" s="17" t="str">
        <f t="shared" si="349"/>
        <v>Ecart négatif</v>
      </c>
    </row>
    <row r="2195" spans="1:18" x14ac:dyDescent="0.3">
      <c r="A2195" s="34" t="str">
        <f>base!J2195</f>
        <v>RM</v>
      </c>
      <c r="B2195" s="34" t="str">
        <f>base!V2195</f>
        <v>77184</v>
      </c>
      <c r="C2195" s="37">
        <v>77</v>
      </c>
      <c r="D2195" s="36">
        <f>base!H2195</f>
        <v>168</v>
      </c>
      <c r="E2195" s="44"/>
      <c r="F2195" s="16">
        <f>base!W2195</f>
        <v>0</v>
      </c>
      <c r="G2195" s="11">
        <f t="shared" si="340"/>
        <v>0</v>
      </c>
      <c r="H2195" s="11">
        <f t="shared" si="341"/>
        <v>0</v>
      </c>
      <c r="I2195" s="11">
        <f t="shared" si="342"/>
        <v>0</v>
      </c>
      <c r="J2195" s="12">
        <f t="shared" si="343"/>
        <v>0</v>
      </c>
      <c r="K2195" s="17" t="str">
        <f t="shared" si="348"/>
        <v>Pas d'écart</v>
      </c>
      <c r="L2195" s="16">
        <f>base!X2195</f>
        <v>0</v>
      </c>
      <c r="M2195" s="11">
        <f t="shared" si="344"/>
        <v>0</v>
      </c>
      <c r="N2195" s="11">
        <f t="shared" si="345"/>
        <v>0</v>
      </c>
      <c r="O2195" s="11">
        <f t="shared" si="346"/>
        <v>0</v>
      </c>
      <c r="P2195" s="12">
        <f t="shared" si="347"/>
        <v>0</v>
      </c>
      <c r="Q2195" s="17" t="str">
        <f t="shared" si="349"/>
        <v>Pas d'écart</v>
      </c>
    </row>
    <row r="2196" spans="1:18" x14ac:dyDescent="0.3">
      <c r="A2196" s="34" t="str">
        <f>base!J2196</f>
        <v>LM</v>
      </c>
      <c r="B2196" s="34" t="str">
        <f>base!V2196</f>
        <v>92000</v>
      </c>
      <c r="C2196" s="37">
        <v>92</v>
      </c>
      <c r="D2196" s="36">
        <f>base!H2196</f>
        <v>50.84</v>
      </c>
      <c r="E2196" s="44"/>
      <c r="F2196" s="16">
        <f>base!W2196</f>
        <v>0</v>
      </c>
      <c r="G2196" s="11">
        <f t="shared" si="340"/>
        <v>0</v>
      </c>
      <c r="H2196" s="11">
        <f t="shared" si="341"/>
        <v>0</v>
      </c>
      <c r="I2196" s="11">
        <f t="shared" si="342"/>
        <v>0</v>
      </c>
      <c r="J2196" s="12">
        <f t="shared" si="343"/>
        <v>0</v>
      </c>
      <c r="K2196" s="17" t="str">
        <f t="shared" si="348"/>
        <v>Pas d'écart</v>
      </c>
      <c r="L2196" s="16">
        <f>base!X2196</f>
        <v>0</v>
      </c>
      <c r="M2196" s="11">
        <f t="shared" si="344"/>
        <v>0</v>
      </c>
      <c r="N2196" s="11">
        <f t="shared" si="345"/>
        <v>0</v>
      </c>
      <c r="O2196" s="11">
        <f t="shared" si="346"/>
        <v>0</v>
      </c>
      <c r="P2196" s="12">
        <f t="shared" si="347"/>
        <v>0</v>
      </c>
      <c r="Q2196" s="17" t="str">
        <f t="shared" si="349"/>
        <v>Pas d'écart</v>
      </c>
    </row>
    <row r="2197" spans="1:18" x14ac:dyDescent="0.3">
      <c r="A2197" s="34" t="str">
        <f>base!J2197</f>
        <v>LM</v>
      </c>
      <c r="B2197" s="34" t="str">
        <f>base!V2197</f>
        <v>92000</v>
      </c>
      <c r="C2197" s="37">
        <v>92</v>
      </c>
      <c r="D2197" s="36">
        <f>base!H2197</f>
        <v>50.84</v>
      </c>
      <c r="E2197" s="44"/>
      <c r="F2197" s="16">
        <f>base!W2197</f>
        <v>0</v>
      </c>
      <c r="G2197" s="11">
        <f t="shared" si="340"/>
        <v>0</v>
      </c>
      <c r="H2197" s="11">
        <f t="shared" si="341"/>
        <v>0</v>
      </c>
      <c r="I2197" s="11">
        <f t="shared" si="342"/>
        <v>0</v>
      </c>
      <c r="J2197" s="12">
        <f t="shared" si="343"/>
        <v>0</v>
      </c>
      <c r="K2197" s="17" t="str">
        <f t="shared" si="348"/>
        <v>Pas d'écart</v>
      </c>
      <c r="L2197" s="16">
        <f>base!X2197</f>
        <v>0</v>
      </c>
      <c r="M2197" s="11">
        <f t="shared" si="344"/>
        <v>0</v>
      </c>
      <c r="N2197" s="11">
        <f t="shared" si="345"/>
        <v>0</v>
      </c>
      <c r="O2197" s="11">
        <f t="shared" si="346"/>
        <v>0</v>
      </c>
      <c r="P2197" s="12">
        <f t="shared" si="347"/>
        <v>0</v>
      </c>
      <c r="Q2197" s="17" t="str">
        <f t="shared" si="349"/>
        <v>Pas d'écart</v>
      </c>
    </row>
    <row r="2198" spans="1:18" x14ac:dyDescent="0.3">
      <c r="A2198" s="34" t="str">
        <f>base!J2198</f>
        <v>DLM</v>
      </c>
      <c r="B2198" s="34" t="str">
        <f>base!V2198</f>
        <v>38230</v>
      </c>
      <c r="C2198" s="37">
        <v>38</v>
      </c>
      <c r="D2198" s="36">
        <f>base!H2198</f>
        <v>23.4</v>
      </c>
      <c r="E2198" s="44"/>
      <c r="F2198" s="16">
        <f>base!W2198</f>
        <v>0</v>
      </c>
      <c r="G2198" s="11">
        <f t="shared" si="340"/>
        <v>0</v>
      </c>
      <c r="H2198" s="11">
        <f t="shared" si="341"/>
        <v>6.3179999999999996</v>
      </c>
      <c r="I2198" s="11">
        <f t="shared" si="342"/>
        <v>0.27</v>
      </c>
      <c r="J2198" s="12">
        <f t="shared" si="343"/>
        <v>-6.3179999999999996</v>
      </c>
      <c r="K2198" s="17" t="str">
        <f t="shared" si="348"/>
        <v>Ecart négatif</v>
      </c>
      <c r="L2198" s="16">
        <f>base!X2198</f>
        <v>0</v>
      </c>
      <c r="M2198" s="11">
        <f t="shared" si="344"/>
        <v>0</v>
      </c>
      <c r="N2198" s="11">
        <f t="shared" si="345"/>
        <v>0</v>
      </c>
      <c r="O2198" s="11">
        <f t="shared" si="346"/>
        <v>0</v>
      </c>
      <c r="P2198" s="12">
        <f t="shared" si="347"/>
        <v>0</v>
      </c>
      <c r="Q2198" s="17" t="str">
        <f t="shared" si="349"/>
        <v>Pas d'écart</v>
      </c>
    </row>
    <row r="2199" spans="1:18" x14ac:dyDescent="0.3">
      <c r="A2199" s="34">
        <f>base!J2199</f>
        <v>0</v>
      </c>
      <c r="B2199" s="34" t="str">
        <f>base!V2199</f>
        <v>77184</v>
      </c>
      <c r="C2199" s="37">
        <v>77</v>
      </c>
      <c r="D2199" s="36">
        <f>base!H2199</f>
        <v>20</v>
      </c>
      <c r="E2199" s="44"/>
      <c r="F2199" s="16">
        <f>base!W2199</f>
        <v>0</v>
      </c>
      <c r="G2199" s="11">
        <f t="shared" si="340"/>
        <v>0</v>
      </c>
      <c r="H2199" s="11">
        <f t="shared" si="341"/>
        <v>0</v>
      </c>
      <c r="I2199" s="11">
        <f t="shared" si="342"/>
        <v>0</v>
      </c>
      <c r="J2199" s="12">
        <f t="shared" si="343"/>
        <v>0</v>
      </c>
      <c r="K2199" s="17" t="str">
        <f t="shared" si="348"/>
        <v>Pas d'écart</v>
      </c>
      <c r="L2199" s="16">
        <f>base!X2199</f>
        <v>0</v>
      </c>
      <c r="M2199" s="11">
        <f t="shared" si="344"/>
        <v>0</v>
      </c>
      <c r="N2199" s="11">
        <f t="shared" si="345"/>
        <v>0</v>
      </c>
      <c r="O2199" s="11">
        <f t="shared" si="346"/>
        <v>0</v>
      </c>
      <c r="P2199" s="12">
        <f t="shared" si="347"/>
        <v>0</v>
      </c>
      <c r="Q2199" s="17" t="str">
        <f t="shared" si="349"/>
        <v>Pas d'écart</v>
      </c>
    </row>
    <row r="2200" spans="1:18" x14ac:dyDescent="0.3">
      <c r="A2200" s="34">
        <f>base!J2200</f>
        <v>0</v>
      </c>
      <c r="B2200" s="34" t="str">
        <f>base!V2200</f>
        <v>77184</v>
      </c>
      <c r="C2200" s="37">
        <v>77</v>
      </c>
      <c r="D2200" s="36">
        <f>base!H2200</f>
        <v>20</v>
      </c>
      <c r="E2200" s="44"/>
      <c r="F2200" s="16">
        <f>base!W2200</f>
        <v>0</v>
      </c>
      <c r="G2200" s="11">
        <f t="shared" si="340"/>
        <v>0</v>
      </c>
      <c r="H2200" s="11">
        <f t="shared" si="341"/>
        <v>0</v>
      </c>
      <c r="I2200" s="11">
        <f t="shared" si="342"/>
        <v>0</v>
      </c>
      <c r="J2200" s="12">
        <f t="shared" si="343"/>
        <v>0</v>
      </c>
      <c r="K2200" s="17" t="str">
        <f t="shared" si="348"/>
        <v>Pas d'écart</v>
      </c>
      <c r="L2200" s="16">
        <f>base!X2200</f>
        <v>0</v>
      </c>
      <c r="M2200" s="11">
        <f t="shared" si="344"/>
        <v>0</v>
      </c>
      <c r="N2200" s="11">
        <f t="shared" si="345"/>
        <v>0</v>
      </c>
      <c r="O2200" s="11">
        <f t="shared" si="346"/>
        <v>0</v>
      </c>
      <c r="P2200" s="12">
        <f t="shared" si="347"/>
        <v>0</v>
      </c>
      <c r="Q2200" s="17" t="str">
        <f t="shared" si="349"/>
        <v>Pas d'écart</v>
      </c>
    </row>
    <row r="2201" spans="1:18" x14ac:dyDescent="0.3">
      <c r="A2201" s="34" t="str">
        <f>base!J2201</f>
        <v>RS</v>
      </c>
      <c r="B2201" s="34" t="str">
        <f>base!V2201</f>
        <v>83120</v>
      </c>
      <c r="C2201" s="37">
        <v>83</v>
      </c>
      <c r="D2201" s="36">
        <f>base!H2201</f>
        <v>151</v>
      </c>
      <c r="E2201" s="44"/>
      <c r="F2201" s="16">
        <f>base!W2201</f>
        <v>0</v>
      </c>
      <c r="G2201" s="11">
        <f t="shared" si="340"/>
        <v>0</v>
      </c>
      <c r="H2201" s="11">
        <f t="shared" si="341"/>
        <v>45.3</v>
      </c>
      <c r="I2201" s="11">
        <f t="shared" si="342"/>
        <v>0.3</v>
      </c>
      <c r="J2201" s="12">
        <f t="shared" si="343"/>
        <v>-45.3</v>
      </c>
      <c r="K2201" s="17" t="str">
        <f t="shared" si="348"/>
        <v>Ecart négatif</v>
      </c>
      <c r="L2201" s="16">
        <f>base!X2201</f>
        <v>31.71</v>
      </c>
      <c r="M2201" s="11">
        <f t="shared" si="344"/>
        <v>0.21</v>
      </c>
      <c r="N2201" s="11">
        <f t="shared" si="345"/>
        <v>31.709999999999997</v>
      </c>
      <c r="O2201" s="11">
        <f t="shared" si="346"/>
        <v>0.21</v>
      </c>
      <c r="P2201" s="12">
        <f t="shared" si="347"/>
        <v>0</v>
      </c>
      <c r="Q2201" s="17" t="str">
        <f t="shared" si="349"/>
        <v>Pas d'écart</v>
      </c>
      <c r="R2201" s="38"/>
    </row>
    <row r="2202" spans="1:18" x14ac:dyDescent="0.3">
      <c r="A2202" s="34" t="str">
        <f>base!J2202</f>
        <v>LM</v>
      </c>
      <c r="B2202" s="34" t="str">
        <f>base!V2202</f>
        <v>16380</v>
      </c>
      <c r="C2202" s="37">
        <v>59</v>
      </c>
      <c r="D2202" s="36">
        <f>base!H2202</f>
        <v>36.54</v>
      </c>
      <c r="E2202" s="44"/>
      <c r="F2202" s="16">
        <f>base!W2202</f>
        <v>7.67</v>
      </c>
      <c r="G2202" s="11">
        <f t="shared" si="340"/>
        <v>0.20990695128626163</v>
      </c>
      <c r="H2202" s="11">
        <f t="shared" si="341"/>
        <v>6.9425999999999997</v>
      </c>
      <c r="I2202" s="11">
        <f t="shared" si="342"/>
        <v>0.19</v>
      </c>
      <c r="J2202" s="12">
        <f t="shared" si="343"/>
        <v>0.72740000000000027</v>
      </c>
      <c r="K2202" s="17" t="str">
        <f t="shared" si="348"/>
        <v>Ecart positif</v>
      </c>
      <c r="L2202" s="16">
        <f>base!X2202</f>
        <v>0</v>
      </c>
      <c r="M2202" s="11">
        <f t="shared" si="344"/>
        <v>0</v>
      </c>
      <c r="N2202" s="11">
        <f t="shared" si="345"/>
        <v>0</v>
      </c>
      <c r="O2202" s="11">
        <f t="shared" si="346"/>
        <v>0</v>
      </c>
      <c r="P2202" s="12">
        <f t="shared" si="347"/>
        <v>0</v>
      </c>
      <c r="Q2202" s="17" t="str">
        <f t="shared" si="349"/>
        <v>Pas d'écart</v>
      </c>
    </row>
    <row r="2203" spans="1:18" x14ac:dyDescent="0.3">
      <c r="A2203" s="34" t="str">
        <f>base!J2203</f>
        <v>LM</v>
      </c>
      <c r="B2203" s="34" t="str">
        <f>base!V2203</f>
        <v>16340</v>
      </c>
      <c r="C2203" s="37">
        <v>60</v>
      </c>
      <c r="D2203" s="36">
        <f>base!H2203</f>
        <v>126.65</v>
      </c>
      <c r="E2203" s="44"/>
      <c r="F2203" s="16">
        <f>base!W2203</f>
        <v>26.6</v>
      </c>
      <c r="G2203" s="11">
        <f t="shared" si="340"/>
        <v>0.21002763521515988</v>
      </c>
      <c r="H2203" s="11">
        <f t="shared" si="341"/>
        <v>24.063500000000001</v>
      </c>
      <c r="I2203" s="11">
        <f t="shared" si="342"/>
        <v>0.19</v>
      </c>
      <c r="J2203" s="12">
        <f t="shared" si="343"/>
        <v>2.5365000000000002</v>
      </c>
      <c r="K2203" s="17" t="str">
        <f t="shared" si="348"/>
        <v>Ecart positif</v>
      </c>
      <c r="L2203" s="16">
        <f>base!X2203</f>
        <v>0</v>
      </c>
      <c r="M2203" s="11">
        <f t="shared" si="344"/>
        <v>0</v>
      </c>
      <c r="N2203" s="11">
        <f t="shared" si="345"/>
        <v>0</v>
      </c>
      <c r="O2203" s="11">
        <f t="shared" si="346"/>
        <v>0</v>
      </c>
      <c r="P2203" s="12">
        <f t="shared" si="347"/>
        <v>0</v>
      </c>
      <c r="Q2203" s="17" t="str">
        <f t="shared" si="349"/>
        <v>Pas d'écart</v>
      </c>
    </row>
    <row r="2204" spans="1:18" x14ac:dyDescent="0.3">
      <c r="A2204" s="34" t="str">
        <f>base!J2204</f>
        <v>RM</v>
      </c>
      <c r="B2204" s="34" t="str">
        <f>base!V2204</f>
        <v>28000</v>
      </c>
      <c r="C2204" s="37">
        <v>28</v>
      </c>
      <c r="D2204" s="36">
        <f>base!H2204</f>
        <v>94.3</v>
      </c>
      <c r="E2204" s="44"/>
      <c r="F2204" s="16">
        <f>base!W2204</f>
        <v>0</v>
      </c>
      <c r="G2204" s="11">
        <f t="shared" si="340"/>
        <v>0</v>
      </c>
      <c r="H2204" s="11">
        <f t="shared" si="341"/>
        <v>18.86</v>
      </c>
      <c r="I2204" s="11">
        <f t="shared" si="342"/>
        <v>0.2</v>
      </c>
      <c r="J2204" s="12">
        <f t="shared" si="343"/>
        <v>-18.86</v>
      </c>
      <c r="K2204" s="17" t="str">
        <f t="shared" si="348"/>
        <v>Ecart négatif</v>
      </c>
      <c r="L2204" s="16">
        <f>base!X2204</f>
        <v>0</v>
      </c>
      <c r="M2204" s="11">
        <f t="shared" si="344"/>
        <v>0</v>
      </c>
      <c r="N2204" s="11">
        <f t="shared" si="345"/>
        <v>11.315999999999999</v>
      </c>
      <c r="O2204" s="11">
        <f t="shared" si="346"/>
        <v>0.12</v>
      </c>
      <c r="P2204" s="12">
        <f t="shared" si="347"/>
        <v>-11.315999999999999</v>
      </c>
      <c r="Q2204" s="17" t="str">
        <f t="shared" si="349"/>
        <v>Ecart négatif</v>
      </c>
    </row>
    <row r="2205" spans="1:18" x14ac:dyDescent="0.3">
      <c r="A2205" s="34" t="str">
        <f>base!J2205</f>
        <v>RM</v>
      </c>
      <c r="B2205" s="34" t="str">
        <f>base!V2205</f>
        <v>92150</v>
      </c>
      <c r="C2205" s="37">
        <v>92</v>
      </c>
      <c r="D2205" s="36">
        <f>base!H2205</f>
        <v>396.2</v>
      </c>
      <c r="E2205" s="44"/>
      <c r="F2205" s="16">
        <f>base!W2205</f>
        <v>0</v>
      </c>
      <c r="G2205" s="11">
        <f t="shared" si="340"/>
        <v>0</v>
      </c>
      <c r="H2205" s="11">
        <f t="shared" si="341"/>
        <v>0</v>
      </c>
      <c r="I2205" s="11">
        <f t="shared" si="342"/>
        <v>0</v>
      </c>
      <c r="J2205" s="12">
        <f t="shared" si="343"/>
        <v>0</v>
      </c>
      <c r="K2205" s="17" t="str">
        <f t="shared" si="348"/>
        <v>Pas d'écart</v>
      </c>
      <c r="L2205" s="16">
        <f>base!X2205</f>
        <v>0</v>
      </c>
      <c r="M2205" s="11">
        <f t="shared" si="344"/>
        <v>0</v>
      </c>
      <c r="N2205" s="11">
        <f t="shared" si="345"/>
        <v>0</v>
      </c>
      <c r="O2205" s="11">
        <f t="shared" si="346"/>
        <v>0</v>
      </c>
      <c r="P2205" s="12">
        <f t="shared" si="347"/>
        <v>0</v>
      </c>
      <c r="Q2205" s="17" t="str">
        <f t="shared" si="349"/>
        <v>Pas d'écart</v>
      </c>
    </row>
    <row r="2206" spans="1:18" x14ac:dyDescent="0.3">
      <c r="A2206" s="34" t="str">
        <f>base!J2206</f>
        <v>RM</v>
      </c>
      <c r="B2206" s="34" t="str">
        <f>base!V2206</f>
        <v>92400</v>
      </c>
      <c r="C2206" s="37">
        <v>92</v>
      </c>
      <c r="D2206" s="36">
        <f>base!H2206</f>
        <v>40</v>
      </c>
      <c r="E2206" s="44"/>
      <c r="F2206" s="16">
        <f>base!W2206</f>
        <v>0</v>
      </c>
      <c r="G2206" s="11">
        <f t="shared" si="340"/>
        <v>0</v>
      </c>
      <c r="H2206" s="11">
        <f t="shared" si="341"/>
        <v>0</v>
      </c>
      <c r="I2206" s="11">
        <f t="shared" si="342"/>
        <v>0</v>
      </c>
      <c r="J2206" s="12">
        <f t="shared" si="343"/>
        <v>0</v>
      </c>
      <c r="K2206" s="17" t="str">
        <f t="shared" si="348"/>
        <v>Pas d'écart</v>
      </c>
      <c r="L2206" s="16">
        <f>base!X2206</f>
        <v>0</v>
      </c>
      <c r="M2206" s="11">
        <f t="shared" si="344"/>
        <v>0</v>
      </c>
      <c r="N2206" s="11">
        <f t="shared" si="345"/>
        <v>0</v>
      </c>
      <c r="O2206" s="11">
        <f t="shared" si="346"/>
        <v>0</v>
      </c>
      <c r="P2206" s="12">
        <f t="shared" si="347"/>
        <v>0</v>
      </c>
      <c r="Q2206" s="17" t="str">
        <f t="shared" si="349"/>
        <v>Pas d'écart</v>
      </c>
    </row>
    <row r="2207" spans="1:18" x14ac:dyDescent="0.3">
      <c r="A2207" s="34" t="str">
        <f>base!J2207</f>
        <v>DLM</v>
      </c>
      <c r="B2207" s="34" t="str">
        <f>base!V2207</f>
        <v>06320</v>
      </c>
      <c r="C2207" s="37">
        <v>6</v>
      </c>
      <c r="D2207" s="36">
        <f>base!H2207</f>
        <v>180</v>
      </c>
      <c r="E2207" s="44"/>
      <c r="F2207" s="16">
        <f>base!W2207</f>
        <v>0</v>
      </c>
      <c r="G2207" s="11">
        <f t="shared" si="340"/>
        <v>0</v>
      </c>
      <c r="H2207" s="11">
        <f t="shared" si="341"/>
        <v>54</v>
      </c>
      <c r="I2207" s="11">
        <f t="shared" si="342"/>
        <v>0.3</v>
      </c>
      <c r="J2207" s="12">
        <f t="shared" si="343"/>
        <v>-54</v>
      </c>
      <c r="K2207" s="17" t="str">
        <f t="shared" si="348"/>
        <v>Ecart négatif</v>
      </c>
      <c r="L2207" s="16">
        <f>base!X2207</f>
        <v>0</v>
      </c>
      <c r="M2207" s="11">
        <f t="shared" si="344"/>
        <v>0</v>
      </c>
      <c r="N2207" s="11">
        <f t="shared" si="345"/>
        <v>37.799999999999997</v>
      </c>
      <c r="O2207" s="11">
        <f t="shared" si="346"/>
        <v>0.21</v>
      </c>
      <c r="P2207" s="12">
        <f t="shared" si="347"/>
        <v>-37.799999999999997</v>
      </c>
      <c r="Q2207" s="17" t="str">
        <f t="shared" si="349"/>
        <v>Ecart négatif</v>
      </c>
    </row>
    <row r="2208" spans="1:18" x14ac:dyDescent="0.3">
      <c r="A2208" s="34" t="str">
        <f>base!J2208</f>
        <v>RS</v>
      </c>
      <c r="B2208" s="34" t="str">
        <f>base!V2208</f>
        <v>62320</v>
      </c>
      <c r="C2208" s="37">
        <v>62</v>
      </c>
      <c r="D2208" s="36">
        <f>base!H2208</f>
        <v>180</v>
      </c>
      <c r="E2208" s="44"/>
      <c r="F2208" s="16">
        <f>base!W2208</f>
        <v>0</v>
      </c>
      <c r="G2208" s="11">
        <f t="shared" si="340"/>
        <v>0</v>
      </c>
      <c r="H2208" s="11">
        <f t="shared" si="341"/>
        <v>34.200000000000003</v>
      </c>
      <c r="I2208" s="11">
        <f t="shared" si="342"/>
        <v>0.19</v>
      </c>
      <c r="J2208" s="12">
        <f t="shared" si="343"/>
        <v>-34.200000000000003</v>
      </c>
      <c r="K2208" s="17" t="str">
        <f t="shared" si="348"/>
        <v>Ecart négatif</v>
      </c>
      <c r="L2208" s="16">
        <f>base!X2208</f>
        <v>0</v>
      </c>
      <c r="M2208" s="11">
        <f t="shared" si="344"/>
        <v>0</v>
      </c>
      <c r="N2208" s="11">
        <f t="shared" si="345"/>
        <v>0</v>
      </c>
      <c r="O2208" s="11">
        <f t="shared" si="346"/>
        <v>0</v>
      </c>
      <c r="P2208" s="12">
        <f t="shared" si="347"/>
        <v>0</v>
      </c>
      <c r="Q2208" s="17" t="str">
        <f t="shared" si="349"/>
        <v>Pas d'écart</v>
      </c>
    </row>
    <row r="2209" spans="1:18" x14ac:dyDescent="0.3">
      <c r="A2209" s="34" t="str">
        <f>base!J2209</f>
        <v>RS</v>
      </c>
      <c r="B2209" s="34" t="str">
        <f>base!V2209</f>
        <v>06560</v>
      </c>
      <c r="C2209" s="37">
        <v>6</v>
      </c>
      <c r="D2209" s="36">
        <f>base!H2209</f>
        <v>151</v>
      </c>
      <c r="E2209" s="44"/>
      <c r="F2209" s="16">
        <f>base!W2209</f>
        <v>0</v>
      </c>
      <c r="G2209" s="11">
        <f t="shared" si="340"/>
        <v>0</v>
      </c>
      <c r="H2209" s="11">
        <f t="shared" si="341"/>
        <v>45.3</v>
      </c>
      <c r="I2209" s="11">
        <f t="shared" si="342"/>
        <v>0.3</v>
      </c>
      <c r="J2209" s="12">
        <f t="shared" si="343"/>
        <v>-45.3</v>
      </c>
      <c r="K2209" s="17" t="str">
        <f t="shared" si="348"/>
        <v>Ecart négatif</v>
      </c>
      <c r="L2209" s="16">
        <f>base!X2209</f>
        <v>0</v>
      </c>
      <c r="M2209" s="11">
        <f t="shared" si="344"/>
        <v>0</v>
      </c>
      <c r="N2209" s="11">
        <f t="shared" si="345"/>
        <v>31.709999999999997</v>
      </c>
      <c r="O2209" s="11">
        <f t="shared" si="346"/>
        <v>0.21</v>
      </c>
      <c r="P2209" s="12">
        <f t="shared" si="347"/>
        <v>-31.709999999999997</v>
      </c>
      <c r="Q2209" s="17" t="str">
        <f t="shared" si="349"/>
        <v>Ecart négatif</v>
      </c>
    </row>
    <row r="2210" spans="1:18" x14ac:dyDescent="0.3">
      <c r="A2210" s="34" t="str">
        <f>base!J2210</f>
        <v>RM</v>
      </c>
      <c r="B2210" s="34" t="str">
        <f>base!V2210</f>
        <v>06560</v>
      </c>
      <c r="C2210" s="37">
        <v>6</v>
      </c>
      <c r="D2210" s="36">
        <f>base!H2210</f>
        <v>151</v>
      </c>
      <c r="E2210" s="44"/>
      <c r="F2210" s="16">
        <f>base!W2210</f>
        <v>0</v>
      </c>
      <c r="G2210" s="11">
        <f t="shared" si="340"/>
        <v>0</v>
      </c>
      <c r="H2210" s="11">
        <f t="shared" si="341"/>
        <v>45.3</v>
      </c>
      <c r="I2210" s="11">
        <f t="shared" si="342"/>
        <v>0.3</v>
      </c>
      <c r="J2210" s="12">
        <f t="shared" si="343"/>
        <v>-45.3</v>
      </c>
      <c r="K2210" s="17" t="str">
        <f t="shared" si="348"/>
        <v>Ecart négatif</v>
      </c>
      <c r="L2210" s="16">
        <f>base!X2210</f>
        <v>0</v>
      </c>
      <c r="M2210" s="11">
        <f t="shared" si="344"/>
        <v>0</v>
      </c>
      <c r="N2210" s="11">
        <f t="shared" si="345"/>
        <v>31.709999999999997</v>
      </c>
      <c r="O2210" s="11">
        <f t="shared" si="346"/>
        <v>0.21</v>
      </c>
      <c r="P2210" s="12">
        <f t="shared" si="347"/>
        <v>-31.709999999999997</v>
      </c>
      <c r="Q2210" s="17" t="str">
        <f t="shared" si="349"/>
        <v>Ecart négatif</v>
      </c>
    </row>
    <row r="2211" spans="1:18" x14ac:dyDescent="0.3">
      <c r="A2211" s="34" t="str">
        <f>base!J2211</f>
        <v>RM</v>
      </c>
      <c r="B2211" s="34" t="str">
        <f>base!V2211</f>
        <v>06560</v>
      </c>
      <c r="C2211" s="37">
        <v>6</v>
      </c>
      <c r="D2211" s="36">
        <f>base!H2211</f>
        <v>151</v>
      </c>
      <c r="E2211" s="44"/>
      <c r="F2211" s="16">
        <f>base!W2211</f>
        <v>0</v>
      </c>
      <c r="G2211" s="11">
        <f t="shared" si="340"/>
        <v>0</v>
      </c>
      <c r="H2211" s="11">
        <f t="shared" si="341"/>
        <v>45.3</v>
      </c>
      <c r="I2211" s="11">
        <f t="shared" si="342"/>
        <v>0.3</v>
      </c>
      <c r="J2211" s="12">
        <f t="shared" si="343"/>
        <v>-45.3</v>
      </c>
      <c r="K2211" s="17" t="str">
        <f t="shared" si="348"/>
        <v>Ecart négatif</v>
      </c>
      <c r="L2211" s="16">
        <f>base!X2211</f>
        <v>0</v>
      </c>
      <c r="M2211" s="11">
        <f t="shared" si="344"/>
        <v>0</v>
      </c>
      <c r="N2211" s="11">
        <f t="shared" si="345"/>
        <v>31.709999999999997</v>
      </c>
      <c r="O2211" s="11">
        <f t="shared" si="346"/>
        <v>0.21</v>
      </c>
      <c r="P2211" s="12">
        <f t="shared" si="347"/>
        <v>-31.709999999999997</v>
      </c>
      <c r="Q2211" s="17" t="str">
        <f t="shared" si="349"/>
        <v>Ecart négatif</v>
      </c>
    </row>
    <row r="2212" spans="1:18" x14ac:dyDescent="0.3">
      <c r="A2212" s="34" t="str">
        <f>base!J2212</f>
        <v>RM</v>
      </c>
      <c r="B2212" s="34" t="str">
        <f>base!V2212</f>
        <v>06560</v>
      </c>
      <c r="C2212" s="37">
        <v>6</v>
      </c>
      <c r="D2212" s="36">
        <f>base!H2212</f>
        <v>151</v>
      </c>
      <c r="E2212" s="44"/>
      <c r="F2212" s="16">
        <f>base!W2212</f>
        <v>0</v>
      </c>
      <c r="G2212" s="11">
        <f t="shared" si="340"/>
        <v>0</v>
      </c>
      <c r="H2212" s="11">
        <f t="shared" si="341"/>
        <v>45.3</v>
      </c>
      <c r="I2212" s="11">
        <f t="shared" si="342"/>
        <v>0.3</v>
      </c>
      <c r="J2212" s="12">
        <f t="shared" si="343"/>
        <v>-45.3</v>
      </c>
      <c r="K2212" s="17" t="str">
        <f t="shared" si="348"/>
        <v>Ecart négatif</v>
      </c>
      <c r="L2212" s="16">
        <f>base!X2212</f>
        <v>0</v>
      </c>
      <c r="M2212" s="11">
        <f t="shared" si="344"/>
        <v>0</v>
      </c>
      <c r="N2212" s="11">
        <f t="shared" si="345"/>
        <v>31.709999999999997</v>
      </c>
      <c r="O2212" s="11">
        <f t="shared" si="346"/>
        <v>0.21</v>
      </c>
      <c r="P2212" s="12">
        <f t="shared" si="347"/>
        <v>-31.709999999999997</v>
      </c>
      <c r="Q2212" s="17" t="str">
        <f t="shared" si="349"/>
        <v>Ecart négatif</v>
      </c>
    </row>
    <row r="2213" spans="1:18" x14ac:dyDescent="0.3">
      <c r="A2213" s="34" t="str">
        <f>base!J2213</f>
        <v>RM</v>
      </c>
      <c r="B2213" s="34" t="str">
        <f>base!V2213</f>
        <v>06560</v>
      </c>
      <c r="C2213" s="37">
        <v>6</v>
      </c>
      <c r="D2213" s="36">
        <f>base!H2213</f>
        <v>151</v>
      </c>
      <c r="E2213" s="44"/>
      <c r="F2213" s="16">
        <f>base!W2213</f>
        <v>0</v>
      </c>
      <c r="G2213" s="11">
        <f t="shared" si="340"/>
        <v>0</v>
      </c>
      <c r="H2213" s="11">
        <f t="shared" si="341"/>
        <v>45.3</v>
      </c>
      <c r="I2213" s="11">
        <f t="shared" si="342"/>
        <v>0.3</v>
      </c>
      <c r="J2213" s="12">
        <f t="shared" si="343"/>
        <v>-45.3</v>
      </c>
      <c r="K2213" s="17" t="str">
        <f t="shared" si="348"/>
        <v>Ecart négatif</v>
      </c>
      <c r="L2213" s="16">
        <f>base!X2213</f>
        <v>0</v>
      </c>
      <c r="M2213" s="11">
        <f t="shared" si="344"/>
        <v>0</v>
      </c>
      <c r="N2213" s="11">
        <f t="shared" si="345"/>
        <v>31.709999999999997</v>
      </c>
      <c r="O2213" s="11">
        <f t="shared" si="346"/>
        <v>0.21</v>
      </c>
      <c r="P2213" s="12">
        <f t="shared" si="347"/>
        <v>-31.709999999999997</v>
      </c>
      <c r="Q2213" s="17" t="str">
        <f t="shared" si="349"/>
        <v>Ecart négatif</v>
      </c>
    </row>
    <row r="2214" spans="1:18" x14ac:dyDescent="0.3">
      <c r="A2214" s="34" t="str">
        <f>base!J2214</f>
        <v>RM</v>
      </c>
      <c r="B2214" s="34" t="str">
        <f>base!V2214</f>
        <v>06560</v>
      </c>
      <c r="C2214" s="37">
        <v>6</v>
      </c>
      <c r="D2214" s="36">
        <f>base!H2214</f>
        <v>151</v>
      </c>
      <c r="E2214" s="44"/>
      <c r="F2214" s="16">
        <f>base!W2214</f>
        <v>0</v>
      </c>
      <c r="G2214" s="11">
        <f t="shared" si="340"/>
        <v>0</v>
      </c>
      <c r="H2214" s="11">
        <f t="shared" si="341"/>
        <v>45.3</v>
      </c>
      <c r="I2214" s="11">
        <f t="shared" si="342"/>
        <v>0.3</v>
      </c>
      <c r="J2214" s="12">
        <f t="shared" si="343"/>
        <v>-45.3</v>
      </c>
      <c r="K2214" s="17" t="str">
        <f t="shared" si="348"/>
        <v>Ecart négatif</v>
      </c>
      <c r="L2214" s="16">
        <f>base!X2214</f>
        <v>0</v>
      </c>
      <c r="M2214" s="11">
        <f t="shared" si="344"/>
        <v>0</v>
      </c>
      <c r="N2214" s="11">
        <f t="shared" si="345"/>
        <v>31.709999999999997</v>
      </c>
      <c r="O2214" s="11">
        <f t="shared" si="346"/>
        <v>0.21</v>
      </c>
      <c r="P2214" s="12">
        <f t="shared" si="347"/>
        <v>-31.709999999999997</v>
      </c>
      <c r="Q2214" s="17" t="str">
        <f t="shared" si="349"/>
        <v>Ecart négatif</v>
      </c>
    </row>
    <row r="2215" spans="1:18" x14ac:dyDescent="0.3">
      <c r="A2215" s="34" t="str">
        <f>base!J2215</f>
        <v>RS</v>
      </c>
      <c r="B2215" s="34" t="str">
        <f>base!V2215</f>
        <v>69280</v>
      </c>
      <c r="C2215" s="37">
        <v>69</v>
      </c>
      <c r="D2215" s="36">
        <f>base!H2215</f>
        <v>40</v>
      </c>
      <c r="E2215" s="44"/>
      <c r="F2215" s="16">
        <f>base!W2215</f>
        <v>0</v>
      </c>
      <c r="G2215" s="11">
        <f t="shared" si="340"/>
        <v>0</v>
      </c>
      <c r="H2215" s="11">
        <f t="shared" si="341"/>
        <v>10.8</v>
      </c>
      <c r="I2215" s="11">
        <f t="shared" si="342"/>
        <v>0.27</v>
      </c>
      <c r="J2215" s="12">
        <f t="shared" si="343"/>
        <v>-10.8</v>
      </c>
      <c r="K2215" s="17" t="str">
        <f t="shared" si="348"/>
        <v>Ecart négatif</v>
      </c>
      <c r="L2215" s="16">
        <f>base!X2215</f>
        <v>0</v>
      </c>
      <c r="M2215" s="11">
        <f t="shared" si="344"/>
        <v>0</v>
      </c>
      <c r="N2215" s="11">
        <f t="shared" si="345"/>
        <v>0</v>
      </c>
      <c r="O2215" s="11">
        <f t="shared" si="346"/>
        <v>0</v>
      </c>
      <c r="P2215" s="12">
        <f t="shared" si="347"/>
        <v>0</v>
      </c>
      <c r="Q2215" s="17" t="str">
        <f t="shared" si="349"/>
        <v>Pas d'écart</v>
      </c>
    </row>
    <row r="2216" spans="1:18" x14ac:dyDescent="0.3">
      <c r="A2216" s="34" t="str">
        <f>base!J2216</f>
        <v>RM</v>
      </c>
      <c r="B2216" s="34" t="str">
        <f>base!V2216</f>
        <v>75014</v>
      </c>
      <c r="C2216" s="37">
        <v>75</v>
      </c>
      <c r="D2216" s="36">
        <f>base!H2216</f>
        <v>58.2</v>
      </c>
      <c r="E2216" s="44"/>
      <c r="F2216" s="16">
        <f>base!W2216</f>
        <v>0</v>
      </c>
      <c r="G2216" s="11">
        <f t="shared" si="340"/>
        <v>0</v>
      </c>
      <c r="H2216" s="11">
        <f t="shared" si="341"/>
        <v>0</v>
      </c>
      <c r="I2216" s="11">
        <f t="shared" si="342"/>
        <v>0</v>
      </c>
      <c r="J2216" s="12">
        <f t="shared" si="343"/>
        <v>0</v>
      </c>
      <c r="K2216" s="17" t="str">
        <f t="shared" si="348"/>
        <v>Pas d'écart</v>
      </c>
      <c r="L2216" s="16">
        <f>base!X2216</f>
        <v>0</v>
      </c>
      <c r="M2216" s="11">
        <f t="shared" si="344"/>
        <v>0</v>
      </c>
      <c r="N2216" s="11">
        <f t="shared" si="345"/>
        <v>0</v>
      </c>
      <c r="O2216" s="11">
        <f t="shared" si="346"/>
        <v>0</v>
      </c>
      <c r="P2216" s="12">
        <f t="shared" si="347"/>
        <v>0</v>
      </c>
      <c r="Q2216" s="17" t="str">
        <f t="shared" si="349"/>
        <v>Pas d'écart</v>
      </c>
    </row>
    <row r="2217" spans="1:18" x14ac:dyDescent="0.3">
      <c r="A2217" s="34" t="str">
        <f>base!J2217</f>
        <v>LM</v>
      </c>
      <c r="B2217" s="34" t="str">
        <f>base!V2217</f>
        <v>72000</v>
      </c>
      <c r="C2217" s="37">
        <v>62</v>
      </c>
      <c r="D2217" s="36">
        <f>base!H2217</f>
        <v>184.42</v>
      </c>
      <c r="E2217" s="44"/>
      <c r="F2217" s="16">
        <f>base!W2217</f>
        <v>38.729999999999997</v>
      </c>
      <c r="G2217" s="11">
        <f t="shared" si="340"/>
        <v>0.21000976032968224</v>
      </c>
      <c r="H2217" s="11">
        <f t="shared" si="341"/>
        <v>35.0398</v>
      </c>
      <c r="I2217" s="11">
        <f t="shared" si="342"/>
        <v>0.19</v>
      </c>
      <c r="J2217" s="12">
        <f t="shared" si="343"/>
        <v>3.6901999999999973</v>
      </c>
      <c r="K2217" s="17" t="str">
        <f t="shared" si="348"/>
        <v>Ecart positif</v>
      </c>
      <c r="L2217" s="16">
        <f>base!X2217</f>
        <v>0</v>
      </c>
      <c r="M2217" s="11">
        <f t="shared" si="344"/>
        <v>0</v>
      </c>
      <c r="N2217" s="11">
        <f t="shared" si="345"/>
        <v>0</v>
      </c>
      <c r="O2217" s="11">
        <f t="shared" si="346"/>
        <v>0</v>
      </c>
      <c r="P2217" s="12">
        <f t="shared" si="347"/>
        <v>0</v>
      </c>
      <c r="Q2217" s="17" t="str">
        <f t="shared" si="349"/>
        <v>Pas d'écart</v>
      </c>
    </row>
    <row r="2218" spans="1:18" x14ac:dyDescent="0.3">
      <c r="A2218" s="34">
        <f>base!J2218</f>
        <v>0</v>
      </c>
      <c r="B2218" s="34" t="str">
        <f>base!V2218</f>
        <v>77184</v>
      </c>
      <c r="C2218" s="37">
        <v>77</v>
      </c>
      <c r="D2218" s="36">
        <f>base!H2218</f>
        <v>84.5</v>
      </c>
      <c r="E2218" s="44"/>
      <c r="F2218" s="16">
        <f>base!W2218</f>
        <v>0</v>
      </c>
      <c r="G2218" s="11">
        <f t="shared" si="340"/>
        <v>0</v>
      </c>
      <c r="H2218" s="11">
        <f t="shared" si="341"/>
        <v>0</v>
      </c>
      <c r="I2218" s="11">
        <f t="shared" si="342"/>
        <v>0</v>
      </c>
      <c r="J2218" s="12">
        <f t="shared" si="343"/>
        <v>0</v>
      </c>
      <c r="K2218" s="17" t="str">
        <f t="shared" si="348"/>
        <v>Pas d'écart</v>
      </c>
      <c r="L2218" s="16">
        <f>base!X2218</f>
        <v>0</v>
      </c>
      <c r="M2218" s="11">
        <f t="shared" si="344"/>
        <v>0</v>
      </c>
      <c r="N2218" s="11">
        <f t="shared" si="345"/>
        <v>0</v>
      </c>
      <c r="O2218" s="11">
        <f t="shared" si="346"/>
        <v>0</v>
      </c>
      <c r="P2218" s="12">
        <f t="shared" si="347"/>
        <v>0</v>
      </c>
      <c r="Q2218" s="17" t="str">
        <f t="shared" si="349"/>
        <v>Pas d'écart</v>
      </c>
    </row>
    <row r="2219" spans="1:18" x14ac:dyDescent="0.3">
      <c r="A2219" s="34" t="str">
        <f>base!J2219</f>
        <v>LM</v>
      </c>
      <c r="B2219" s="34" t="str">
        <f>base!V2219</f>
        <v>75008</v>
      </c>
      <c r="C2219" s="37">
        <v>75</v>
      </c>
      <c r="D2219" s="36">
        <f>base!H2219</f>
        <v>174.26</v>
      </c>
      <c r="E2219" s="44"/>
      <c r="F2219" s="16">
        <f>base!W2219</f>
        <v>0</v>
      </c>
      <c r="G2219" s="11">
        <f t="shared" si="340"/>
        <v>0</v>
      </c>
      <c r="H2219" s="11">
        <f t="shared" si="341"/>
        <v>0</v>
      </c>
      <c r="I2219" s="11">
        <f t="shared" si="342"/>
        <v>0</v>
      </c>
      <c r="J2219" s="12">
        <f t="shared" si="343"/>
        <v>0</v>
      </c>
      <c r="K2219" s="17" t="str">
        <f t="shared" si="348"/>
        <v>Pas d'écart</v>
      </c>
      <c r="L2219" s="16">
        <f>base!X2219</f>
        <v>0</v>
      </c>
      <c r="M2219" s="11">
        <f t="shared" si="344"/>
        <v>0</v>
      </c>
      <c r="N2219" s="11">
        <f t="shared" si="345"/>
        <v>0</v>
      </c>
      <c r="O2219" s="11">
        <f t="shared" si="346"/>
        <v>0</v>
      </c>
      <c r="P2219" s="12">
        <f t="shared" si="347"/>
        <v>0</v>
      </c>
      <c r="Q2219" s="17" t="str">
        <f t="shared" si="349"/>
        <v>Pas d'écart</v>
      </c>
    </row>
    <row r="2220" spans="1:18" x14ac:dyDescent="0.3">
      <c r="A2220" s="34" t="str">
        <f>base!J2220</f>
        <v>LS</v>
      </c>
      <c r="B2220" s="34" t="str">
        <f>base!V2220</f>
        <v>05000</v>
      </c>
      <c r="C2220" s="37">
        <v>62</v>
      </c>
      <c r="D2220" s="36">
        <f>base!H2220</f>
        <v>48</v>
      </c>
      <c r="E2220" s="44"/>
      <c r="F2220" s="16">
        <f>base!W2220</f>
        <v>13.92</v>
      </c>
      <c r="G2220" s="11">
        <f t="shared" si="340"/>
        <v>0.28999999999999998</v>
      </c>
      <c r="H2220" s="11">
        <f t="shared" si="341"/>
        <v>9.120000000000001</v>
      </c>
      <c r="I2220" s="11">
        <f t="shared" si="342"/>
        <v>0.19000000000000003</v>
      </c>
      <c r="J2220" s="12">
        <f t="shared" si="343"/>
        <v>4.7999999999999989</v>
      </c>
      <c r="K2220" s="17" t="str">
        <f t="shared" si="348"/>
        <v>Ecart positif</v>
      </c>
      <c r="L2220" s="16">
        <f>base!X2220</f>
        <v>0</v>
      </c>
      <c r="M2220" s="11">
        <f t="shared" si="344"/>
        <v>0</v>
      </c>
      <c r="N2220" s="11">
        <f t="shared" si="345"/>
        <v>0</v>
      </c>
      <c r="O2220" s="11">
        <f t="shared" si="346"/>
        <v>0</v>
      </c>
      <c r="P2220" s="12">
        <f t="shared" si="347"/>
        <v>0</v>
      </c>
      <c r="Q2220" s="17" t="str">
        <f t="shared" si="349"/>
        <v>Pas d'écart</v>
      </c>
    </row>
    <row r="2221" spans="1:18" x14ac:dyDescent="0.3">
      <c r="A2221" s="34" t="str">
        <f>base!J2221</f>
        <v>RM</v>
      </c>
      <c r="B2221" s="34" t="str">
        <f>base!V2221</f>
        <v>13115</v>
      </c>
      <c r="C2221" s="37">
        <v>13</v>
      </c>
      <c r="D2221" s="36">
        <f>base!H2221</f>
        <v>137.05000000000001</v>
      </c>
      <c r="E2221" s="44"/>
      <c r="F2221" s="16">
        <f>base!W2221</f>
        <v>0</v>
      </c>
      <c r="G2221" s="11">
        <f t="shared" si="340"/>
        <v>0</v>
      </c>
      <c r="H2221" s="11">
        <f t="shared" si="341"/>
        <v>39.744500000000002</v>
      </c>
      <c r="I2221" s="11">
        <f t="shared" si="342"/>
        <v>0.28999999999999998</v>
      </c>
      <c r="J2221" s="12">
        <f t="shared" si="343"/>
        <v>-39.744500000000002</v>
      </c>
      <c r="K2221" s="17" t="str">
        <f t="shared" si="348"/>
        <v>Ecart négatif</v>
      </c>
      <c r="L2221" s="16">
        <f>base!X2221</f>
        <v>26.04</v>
      </c>
      <c r="M2221" s="11">
        <f t="shared" si="344"/>
        <v>0.19000364830353883</v>
      </c>
      <c r="N2221" s="11">
        <f t="shared" si="345"/>
        <v>26.039500000000004</v>
      </c>
      <c r="O2221" s="11">
        <f t="shared" si="346"/>
        <v>0.19</v>
      </c>
      <c r="P2221" s="12">
        <f t="shared" si="347"/>
        <v>4.99999999995282E-4</v>
      </c>
      <c r="Q2221" s="17" t="str">
        <f t="shared" si="349"/>
        <v>Ecart positif</v>
      </c>
      <c r="R2221" s="38"/>
    </row>
    <row r="2222" spans="1:18" x14ac:dyDescent="0.3">
      <c r="A2222" s="34" t="str">
        <f>base!J2222</f>
        <v>LS</v>
      </c>
      <c r="B2222" s="34" t="str">
        <f>base!V2222</f>
        <v>94410</v>
      </c>
      <c r="C2222" s="37">
        <v>94</v>
      </c>
      <c r="D2222" s="36">
        <f>base!H2222</f>
        <v>55.34</v>
      </c>
      <c r="E2222" s="44"/>
      <c r="F2222" s="16">
        <f>base!W2222</f>
        <v>0</v>
      </c>
      <c r="G2222" s="11">
        <f t="shared" si="340"/>
        <v>0</v>
      </c>
      <c r="H2222" s="11">
        <f t="shared" si="341"/>
        <v>0</v>
      </c>
      <c r="I2222" s="11">
        <f t="shared" si="342"/>
        <v>0</v>
      </c>
      <c r="J2222" s="12">
        <f t="shared" si="343"/>
        <v>0</v>
      </c>
      <c r="K2222" s="17" t="str">
        <f t="shared" si="348"/>
        <v>Pas d'écart</v>
      </c>
      <c r="L2222" s="16">
        <f>base!X2222</f>
        <v>0</v>
      </c>
      <c r="M2222" s="11">
        <f t="shared" si="344"/>
        <v>0</v>
      </c>
      <c r="N2222" s="11">
        <f t="shared" si="345"/>
        <v>0</v>
      </c>
      <c r="O2222" s="11">
        <f t="shared" si="346"/>
        <v>0</v>
      </c>
      <c r="P2222" s="12">
        <f t="shared" si="347"/>
        <v>0</v>
      </c>
      <c r="Q2222" s="17" t="str">
        <f t="shared" si="349"/>
        <v>Pas d'écart</v>
      </c>
    </row>
    <row r="2223" spans="1:18" x14ac:dyDescent="0.3">
      <c r="A2223" s="34" t="str">
        <f>base!J2223</f>
        <v>RM</v>
      </c>
      <c r="B2223" s="34" t="str">
        <f>base!V2223</f>
        <v>68390</v>
      </c>
      <c r="C2223" s="37">
        <v>68</v>
      </c>
      <c r="D2223" s="36">
        <f>base!H2223</f>
        <v>201.98</v>
      </c>
      <c r="E2223" s="44"/>
      <c r="F2223" s="16">
        <f>base!W2223</f>
        <v>0</v>
      </c>
      <c r="G2223" s="11">
        <f t="shared" si="340"/>
        <v>0</v>
      </c>
      <c r="H2223" s="11">
        <f t="shared" si="341"/>
        <v>58.57419999999999</v>
      </c>
      <c r="I2223" s="11">
        <f t="shared" si="342"/>
        <v>0.28999999999999998</v>
      </c>
      <c r="J2223" s="12">
        <f t="shared" si="343"/>
        <v>-58.57419999999999</v>
      </c>
      <c r="K2223" s="17" t="str">
        <f t="shared" si="348"/>
        <v>Ecart négatif</v>
      </c>
      <c r="L2223" s="16">
        <f>base!X2223</f>
        <v>16.16</v>
      </c>
      <c r="M2223" s="11">
        <f t="shared" si="344"/>
        <v>8.0007921576393706E-2</v>
      </c>
      <c r="N2223" s="11">
        <f t="shared" si="345"/>
        <v>16.1584</v>
      </c>
      <c r="O2223" s="11">
        <f t="shared" si="346"/>
        <v>0.08</v>
      </c>
      <c r="P2223" s="12">
        <f t="shared" si="347"/>
        <v>1.5999999999998238E-3</v>
      </c>
      <c r="Q2223" s="17" t="str">
        <f t="shared" si="349"/>
        <v>Ecart positif</v>
      </c>
      <c r="R2223" s="38"/>
    </row>
    <row r="2224" spans="1:18" x14ac:dyDescent="0.3">
      <c r="A2224" s="34" t="str">
        <f>base!J2224</f>
        <v>LS</v>
      </c>
      <c r="B2224" s="34" t="str">
        <f>base!V2224</f>
        <v>38300</v>
      </c>
      <c r="C2224" s="37">
        <v>62</v>
      </c>
      <c r="D2224" s="36">
        <f>base!H2224</f>
        <v>55.36</v>
      </c>
      <c r="E2224" s="44"/>
      <c r="F2224" s="16">
        <f>base!W2224</f>
        <v>14.95</v>
      </c>
      <c r="G2224" s="11">
        <f t="shared" si="340"/>
        <v>0.27005057803468208</v>
      </c>
      <c r="H2224" s="11">
        <f t="shared" si="341"/>
        <v>10.5184</v>
      </c>
      <c r="I2224" s="11">
        <f t="shared" si="342"/>
        <v>0.19</v>
      </c>
      <c r="J2224" s="12">
        <f t="shared" si="343"/>
        <v>4.4315999999999995</v>
      </c>
      <c r="K2224" s="17" t="str">
        <f t="shared" si="348"/>
        <v>Ecart positif</v>
      </c>
      <c r="L2224" s="16">
        <f>base!X2224</f>
        <v>0</v>
      </c>
      <c r="M2224" s="11">
        <f t="shared" si="344"/>
        <v>0</v>
      </c>
      <c r="N2224" s="11">
        <f t="shared" si="345"/>
        <v>0</v>
      </c>
      <c r="O2224" s="11">
        <f t="shared" si="346"/>
        <v>0</v>
      </c>
      <c r="P2224" s="12">
        <f t="shared" si="347"/>
        <v>0</v>
      </c>
      <c r="Q2224" s="17" t="str">
        <f t="shared" si="349"/>
        <v>Pas d'écart</v>
      </c>
    </row>
    <row r="2225" spans="1:18" x14ac:dyDescent="0.3">
      <c r="A2225" s="34" t="str">
        <f>base!J2225</f>
        <v>RS</v>
      </c>
      <c r="B2225" s="34" t="str">
        <f>base!V2225</f>
        <v>33300</v>
      </c>
      <c r="C2225" s="37">
        <v>33</v>
      </c>
      <c r="D2225" s="36">
        <f>base!H2225</f>
        <v>151</v>
      </c>
      <c r="E2225" s="44"/>
      <c r="F2225" s="16">
        <f>base!W2225</f>
        <v>0</v>
      </c>
      <c r="G2225" s="11">
        <f t="shared" si="340"/>
        <v>0</v>
      </c>
      <c r="H2225" s="11">
        <f t="shared" si="341"/>
        <v>31.709999999999997</v>
      </c>
      <c r="I2225" s="11">
        <f t="shared" si="342"/>
        <v>0.21</v>
      </c>
      <c r="J2225" s="12">
        <f t="shared" si="343"/>
        <v>-31.709999999999997</v>
      </c>
      <c r="K2225" s="17" t="str">
        <f t="shared" si="348"/>
        <v>Ecart négatif</v>
      </c>
      <c r="L2225" s="16">
        <f>base!X2225</f>
        <v>25.67</v>
      </c>
      <c r="M2225" s="11">
        <f t="shared" si="344"/>
        <v>0.17</v>
      </c>
      <c r="N2225" s="11">
        <f t="shared" si="345"/>
        <v>25.67</v>
      </c>
      <c r="O2225" s="11">
        <f t="shared" si="346"/>
        <v>0.17</v>
      </c>
      <c r="P2225" s="12">
        <f t="shared" si="347"/>
        <v>0</v>
      </c>
      <c r="Q2225" s="17" t="str">
        <f t="shared" si="349"/>
        <v>Pas d'écart</v>
      </c>
      <c r="R2225" s="38"/>
    </row>
    <row r="2226" spans="1:18" x14ac:dyDescent="0.3">
      <c r="A2226" s="34" t="str">
        <f>base!J2226</f>
        <v>RM</v>
      </c>
      <c r="B2226" s="34" t="str">
        <f>base!V2226</f>
        <v>26000</v>
      </c>
      <c r="C2226" s="37">
        <v>26</v>
      </c>
      <c r="D2226" s="36">
        <f>base!H2226</f>
        <v>150</v>
      </c>
      <c r="E2226" s="44"/>
      <c r="F2226" s="16">
        <f>base!W2226</f>
        <v>0</v>
      </c>
      <c r="G2226" s="11">
        <f t="shared" si="340"/>
        <v>0</v>
      </c>
      <c r="H2226" s="11">
        <f t="shared" si="341"/>
        <v>40.5</v>
      </c>
      <c r="I2226" s="11">
        <f t="shared" si="342"/>
        <v>0.27</v>
      </c>
      <c r="J2226" s="12">
        <f t="shared" si="343"/>
        <v>-40.5</v>
      </c>
      <c r="K2226" s="17" t="str">
        <f t="shared" si="348"/>
        <v>Ecart négatif</v>
      </c>
      <c r="L2226" s="16">
        <f>base!X2226</f>
        <v>0</v>
      </c>
      <c r="M2226" s="11">
        <f t="shared" si="344"/>
        <v>0</v>
      </c>
      <c r="N2226" s="11">
        <f t="shared" si="345"/>
        <v>0</v>
      </c>
      <c r="O2226" s="11">
        <f t="shared" si="346"/>
        <v>0</v>
      </c>
      <c r="P2226" s="12">
        <f t="shared" si="347"/>
        <v>0</v>
      </c>
      <c r="Q2226" s="17" t="str">
        <f t="shared" si="349"/>
        <v>Pas d'écart</v>
      </c>
    </row>
    <row r="2227" spans="1:18" x14ac:dyDescent="0.3">
      <c r="A2227" s="34">
        <f>base!J2227</f>
        <v>0</v>
      </c>
      <c r="B2227" s="34" t="str">
        <f>base!V2227</f>
        <v>77184</v>
      </c>
      <c r="C2227" s="37">
        <v>77</v>
      </c>
      <c r="D2227" s="36">
        <f>base!H2227</f>
        <v>84.5</v>
      </c>
      <c r="E2227" s="44"/>
      <c r="F2227" s="16">
        <f>base!W2227</f>
        <v>0</v>
      </c>
      <c r="G2227" s="11">
        <f t="shared" si="340"/>
        <v>0</v>
      </c>
      <c r="H2227" s="11">
        <f t="shared" si="341"/>
        <v>0</v>
      </c>
      <c r="I2227" s="11">
        <f t="shared" si="342"/>
        <v>0</v>
      </c>
      <c r="J2227" s="12">
        <f t="shared" si="343"/>
        <v>0</v>
      </c>
      <c r="K2227" s="17" t="str">
        <f t="shared" si="348"/>
        <v>Pas d'écart</v>
      </c>
      <c r="L2227" s="16">
        <f>base!X2227</f>
        <v>0</v>
      </c>
      <c r="M2227" s="11">
        <f t="shared" si="344"/>
        <v>0</v>
      </c>
      <c r="N2227" s="11">
        <f t="shared" si="345"/>
        <v>0</v>
      </c>
      <c r="O2227" s="11">
        <f t="shared" si="346"/>
        <v>0</v>
      </c>
      <c r="P2227" s="12">
        <f t="shared" si="347"/>
        <v>0</v>
      </c>
      <c r="Q2227" s="17" t="str">
        <f t="shared" si="349"/>
        <v>Pas d'écart</v>
      </c>
    </row>
    <row r="2228" spans="1:18" x14ac:dyDescent="0.3">
      <c r="A2228" s="34" t="str">
        <f>base!J2228</f>
        <v>DRS</v>
      </c>
      <c r="B2228" s="34" t="str">
        <f>base!V2228</f>
        <v>91090</v>
      </c>
      <c r="C2228" s="37">
        <v>91</v>
      </c>
      <c r="D2228" s="36">
        <f>base!H2228</f>
        <v>75.69</v>
      </c>
      <c r="E2228" s="44"/>
      <c r="F2228" s="16">
        <f>base!W2228</f>
        <v>0</v>
      </c>
      <c r="G2228" s="11">
        <f t="shared" si="340"/>
        <v>0</v>
      </c>
      <c r="H2228" s="11">
        <f t="shared" si="341"/>
        <v>0</v>
      </c>
      <c r="I2228" s="11">
        <f t="shared" si="342"/>
        <v>0</v>
      </c>
      <c r="J2228" s="12">
        <f t="shared" si="343"/>
        <v>0</v>
      </c>
      <c r="K2228" s="17" t="str">
        <f t="shared" si="348"/>
        <v>Pas d'écart</v>
      </c>
      <c r="L2228" s="16">
        <f>base!X2228</f>
        <v>0</v>
      </c>
      <c r="M2228" s="11">
        <f t="shared" si="344"/>
        <v>0</v>
      </c>
      <c r="N2228" s="11">
        <f t="shared" si="345"/>
        <v>0</v>
      </c>
      <c r="O2228" s="11">
        <f t="shared" si="346"/>
        <v>0</v>
      </c>
      <c r="P2228" s="12">
        <f t="shared" si="347"/>
        <v>0</v>
      </c>
      <c r="Q2228" s="17" t="str">
        <f t="shared" si="349"/>
        <v>Pas d'écart</v>
      </c>
    </row>
    <row r="2229" spans="1:18" x14ac:dyDescent="0.3">
      <c r="A2229" s="34" t="str">
        <f>base!J2229</f>
        <v>RS</v>
      </c>
      <c r="B2229" s="34" t="str">
        <f>base!V2229</f>
        <v>69001</v>
      </c>
      <c r="C2229" s="37">
        <v>69</v>
      </c>
      <c r="D2229" s="36">
        <f>base!H2229</f>
        <v>140</v>
      </c>
      <c r="E2229" s="44"/>
      <c r="F2229" s="16">
        <f>base!W2229</f>
        <v>0</v>
      </c>
      <c r="G2229" s="11">
        <f t="shared" si="340"/>
        <v>0</v>
      </c>
      <c r="H2229" s="11">
        <f t="shared" si="341"/>
        <v>37.800000000000004</v>
      </c>
      <c r="I2229" s="11">
        <f t="shared" si="342"/>
        <v>0.27</v>
      </c>
      <c r="J2229" s="12">
        <f t="shared" si="343"/>
        <v>-37.800000000000004</v>
      </c>
      <c r="K2229" s="17" t="str">
        <f t="shared" si="348"/>
        <v>Ecart négatif</v>
      </c>
      <c r="L2229" s="16">
        <f>base!X2229</f>
        <v>0</v>
      </c>
      <c r="M2229" s="11">
        <f t="shared" si="344"/>
        <v>0</v>
      </c>
      <c r="N2229" s="11">
        <f t="shared" si="345"/>
        <v>0</v>
      </c>
      <c r="O2229" s="11">
        <f t="shared" si="346"/>
        <v>0</v>
      </c>
      <c r="P2229" s="12">
        <f t="shared" si="347"/>
        <v>0</v>
      </c>
      <c r="Q2229" s="17" t="str">
        <f t="shared" si="349"/>
        <v>Pas d'écart</v>
      </c>
    </row>
    <row r="2230" spans="1:18" x14ac:dyDescent="0.3">
      <c r="A2230" s="34" t="str">
        <f>base!J2230</f>
        <v>RS</v>
      </c>
      <c r="B2230" s="34" t="str">
        <f>base!V2230</f>
        <v>80000</v>
      </c>
      <c r="C2230" s="37">
        <v>80</v>
      </c>
      <c r="D2230" s="36">
        <f>base!H2230</f>
        <v>151</v>
      </c>
      <c r="E2230" s="44"/>
      <c r="F2230" s="16">
        <f>base!W2230</f>
        <v>0</v>
      </c>
      <c r="G2230" s="11">
        <f t="shared" si="340"/>
        <v>0</v>
      </c>
      <c r="H2230" s="11">
        <f t="shared" si="341"/>
        <v>28.69</v>
      </c>
      <c r="I2230" s="11">
        <f t="shared" si="342"/>
        <v>0.19</v>
      </c>
      <c r="J2230" s="12">
        <f t="shared" si="343"/>
        <v>-28.69</v>
      </c>
      <c r="K2230" s="17" t="str">
        <f t="shared" si="348"/>
        <v>Ecart négatif</v>
      </c>
      <c r="L2230" s="16">
        <f>base!X2230</f>
        <v>0</v>
      </c>
      <c r="M2230" s="11">
        <f t="shared" si="344"/>
        <v>0</v>
      </c>
      <c r="N2230" s="11">
        <f t="shared" si="345"/>
        <v>0</v>
      </c>
      <c r="O2230" s="11">
        <f t="shared" si="346"/>
        <v>0</v>
      </c>
      <c r="P2230" s="12">
        <f t="shared" si="347"/>
        <v>0</v>
      </c>
      <c r="Q2230" s="17" t="str">
        <f t="shared" si="349"/>
        <v>Pas d'écart</v>
      </c>
    </row>
    <row r="2231" spans="1:18" x14ac:dyDescent="0.3">
      <c r="A2231" s="34" t="str">
        <f>base!J2231</f>
        <v>LS</v>
      </c>
      <c r="B2231" s="34" t="str">
        <f>base!V2231</f>
        <v>69110</v>
      </c>
      <c r="C2231" s="37">
        <v>62</v>
      </c>
      <c r="D2231" s="36">
        <f>base!H2231</f>
        <v>28.62</v>
      </c>
      <c r="E2231" s="44"/>
      <c r="F2231" s="16">
        <f>base!W2231</f>
        <v>7.73</v>
      </c>
      <c r="G2231" s="11">
        <f t="shared" si="340"/>
        <v>0.2700908455625437</v>
      </c>
      <c r="H2231" s="11">
        <f t="shared" si="341"/>
        <v>5.4378000000000002</v>
      </c>
      <c r="I2231" s="11">
        <f t="shared" si="342"/>
        <v>0.19</v>
      </c>
      <c r="J2231" s="12">
        <f t="shared" si="343"/>
        <v>2.2922000000000002</v>
      </c>
      <c r="K2231" s="17" t="str">
        <f t="shared" si="348"/>
        <v>Ecart positif</v>
      </c>
      <c r="L2231" s="16">
        <f>base!X2231</f>
        <v>0</v>
      </c>
      <c r="M2231" s="11">
        <f t="shared" si="344"/>
        <v>0</v>
      </c>
      <c r="N2231" s="11">
        <f t="shared" si="345"/>
        <v>0</v>
      </c>
      <c r="O2231" s="11">
        <f t="shared" si="346"/>
        <v>0</v>
      </c>
      <c r="P2231" s="12">
        <f t="shared" si="347"/>
        <v>0</v>
      </c>
      <c r="Q2231" s="17" t="str">
        <f t="shared" si="349"/>
        <v>Pas d'écart</v>
      </c>
    </row>
    <row r="2232" spans="1:18" x14ac:dyDescent="0.3">
      <c r="A2232" s="34">
        <f>base!J2232</f>
        <v>0</v>
      </c>
      <c r="B2232" s="34" t="str">
        <f>base!V2232</f>
        <v>44240</v>
      </c>
      <c r="C2232" s="37">
        <v>44</v>
      </c>
      <c r="D2232" s="36">
        <f>base!H2232</f>
        <v>60</v>
      </c>
      <c r="E2232" s="44"/>
      <c r="F2232" s="16">
        <f>base!W2232</f>
        <v>0</v>
      </c>
      <c r="G2232" s="11">
        <f t="shared" si="340"/>
        <v>0</v>
      </c>
      <c r="H2232" s="11">
        <f t="shared" si="341"/>
        <v>16.200000000000003</v>
      </c>
      <c r="I2232" s="11">
        <f t="shared" si="342"/>
        <v>0.27000000000000007</v>
      </c>
      <c r="J2232" s="12">
        <f t="shared" si="343"/>
        <v>-16.200000000000003</v>
      </c>
      <c r="K2232" s="17" t="str">
        <f t="shared" si="348"/>
        <v>Ecart négatif</v>
      </c>
      <c r="L2232" s="16">
        <f>base!X2232</f>
        <v>0</v>
      </c>
      <c r="M2232" s="11">
        <f t="shared" si="344"/>
        <v>0</v>
      </c>
      <c r="N2232" s="11">
        <f t="shared" si="345"/>
        <v>0</v>
      </c>
      <c r="O2232" s="11">
        <f t="shared" si="346"/>
        <v>0</v>
      </c>
      <c r="P2232" s="12">
        <f t="shared" si="347"/>
        <v>0</v>
      </c>
      <c r="Q2232" s="17" t="str">
        <f t="shared" si="349"/>
        <v>Pas d'écart</v>
      </c>
    </row>
    <row r="2233" spans="1:18" x14ac:dyDescent="0.3">
      <c r="A2233" s="34">
        <f>base!J2233</f>
        <v>0</v>
      </c>
      <c r="B2233" s="34" t="str">
        <f>base!V2233</f>
        <v>44240</v>
      </c>
      <c r="C2233" s="37">
        <v>44</v>
      </c>
      <c r="D2233" s="36">
        <f>base!H2233</f>
        <v>60</v>
      </c>
      <c r="E2233" s="44"/>
      <c r="F2233" s="16">
        <f>base!W2233</f>
        <v>0</v>
      </c>
      <c r="G2233" s="11">
        <f t="shared" si="340"/>
        <v>0</v>
      </c>
      <c r="H2233" s="11">
        <f t="shared" si="341"/>
        <v>16.200000000000003</v>
      </c>
      <c r="I2233" s="11">
        <f t="shared" si="342"/>
        <v>0.27000000000000007</v>
      </c>
      <c r="J2233" s="12">
        <f t="shared" si="343"/>
        <v>-16.200000000000003</v>
      </c>
      <c r="K2233" s="17" t="str">
        <f t="shared" si="348"/>
        <v>Ecart négatif</v>
      </c>
      <c r="L2233" s="16">
        <f>base!X2233</f>
        <v>0</v>
      </c>
      <c r="M2233" s="11">
        <f t="shared" si="344"/>
        <v>0</v>
      </c>
      <c r="N2233" s="11">
        <f t="shared" si="345"/>
        <v>0</v>
      </c>
      <c r="O2233" s="11">
        <f t="shared" si="346"/>
        <v>0</v>
      </c>
      <c r="P2233" s="12">
        <f t="shared" si="347"/>
        <v>0</v>
      </c>
      <c r="Q2233" s="17" t="str">
        <f t="shared" si="349"/>
        <v>Pas d'écart</v>
      </c>
    </row>
    <row r="2234" spans="1:18" x14ac:dyDescent="0.3">
      <c r="A2234" s="34">
        <f>base!J2234</f>
        <v>0</v>
      </c>
      <c r="B2234" s="34" t="str">
        <f>base!V2234</f>
        <v>44240</v>
      </c>
      <c r="C2234" s="37">
        <v>44</v>
      </c>
      <c r="D2234" s="36">
        <f>base!H2234</f>
        <v>34</v>
      </c>
      <c r="E2234" s="44"/>
      <c r="F2234" s="16">
        <f>base!W2234</f>
        <v>0</v>
      </c>
      <c r="G2234" s="11">
        <f t="shared" si="340"/>
        <v>0</v>
      </c>
      <c r="H2234" s="11">
        <f t="shared" si="341"/>
        <v>9.18</v>
      </c>
      <c r="I2234" s="11">
        <f t="shared" si="342"/>
        <v>0.27</v>
      </c>
      <c r="J2234" s="12">
        <f t="shared" si="343"/>
        <v>-9.18</v>
      </c>
      <c r="K2234" s="17" t="str">
        <f t="shared" si="348"/>
        <v>Ecart négatif</v>
      </c>
      <c r="L2234" s="16">
        <f>base!X2234</f>
        <v>0</v>
      </c>
      <c r="M2234" s="11">
        <f t="shared" si="344"/>
        <v>0</v>
      </c>
      <c r="N2234" s="11">
        <f t="shared" si="345"/>
        <v>0</v>
      </c>
      <c r="O2234" s="11">
        <f t="shared" si="346"/>
        <v>0</v>
      </c>
      <c r="P2234" s="12">
        <f t="shared" si="347"/>
        <v>0</v>
      </c>
      <c r="Q2234" s="17" t="str">
        <f t="shared" si="349"/>
        <v>Pas d'écart</v>
      </c>
    </row>
    <row r="2235" spans="1:18" x14ac:dyDescent="0.3">
      <c r="A2235" s="34">
        <f>base!J2235</f>
        <v>0</v>
      </c>
      <c r="B2235" s="34" t="str">
        <f>base!V2235</f>
        <v>77184</v>
      </c>
      <c r="C2235" s="37">
        <v>77</v>
      </c>
      <c r="D2235" s="36">
        <f>base!H2235</f>
        <v>31</v>
      </c>
      <c r="E2235" s="44"/>
      <c r="F2235" s="16">
        <f>base!W2235</f>
        <v>0</v>
      </c>
      <c r="G2235" s="11">
        <f t="shared" si="340"/>
        <v>0</v>
      </c>
      <c r="H2235" s="11">
        <f t="shared" si="341"/>
        <v>0</v>
      </c>
      <c r="I2235" s="11">
        <f t="shared" si="342"/>
        <v>0</v>
      </c>
      <c r="J2235" s="12">
        <f t="shared" si="343"/>
        <v>0</v>
      </c>
      <c r="K2235" s="17" t="str">
        <f t="shared" si="348"/>
        <v>Pas d'écart</v>
      </c>
      <c r="L2235" s="16">
        <f>base!X2235</f>
        <v>0</v>
      </c>
      <c r="M2235" s="11">
        <f t="shared" si="344"/>
        <v>0</v>
      </c>
      <c r="N2235" s="11">
        <f t="shared" si="345"/>
        <v>0</v>
      </c>
      <c r="O2235" s="11">
        <f t="shared" si="346"/>
        <v>0</v>
      </c>
      <c r="P2235" s="12">
        <f t="shared" si="347"/>
        <v>0</v>
      </c>
      <c r="Q2235" s="17" t="str">
        <f t="shared" si="349"/>
        <v>Pas d'écart</v>
      </c>
    </row>
    <row r="2236" spans="1:18" x14ac:dyDescent="0.3">
      <c r="A2236" s="34">
        <f>base!J2236</f>
        <v>0</v>
      </c>
      <c r="B2236" s="34" t="str">
        <f>base!V2236</f>
        <v>77184</v>
      </c>
      <c r="C2236" s="37">
        <v>77</v>
      </c>
      <c r="D2236" s="36">
        <f>base!H2236</f>
        <v>37.19</v>
      </c>
      <c r="E2236" s="44"/>
      <c r="F2236" s="16">
        <f>base!W2236</f>
        <v>0</v>
      </c>
      <c r="G2236" s="11">
        <f t="shared" si="340"/>
        <v>0</v>
      </c>
      <c r="H2236" s="11">
        <f t="shared" si="341"/>
        <v>0</v>
      </c>
      <c r="I2236" s="11">
        <f t="shared" si="342"/>
        <v>0</v>
      </c>
      <c r="J2236" s="12">
        <f t="shared" si="343"/>
        <v>0</v>
      </c>
      <c r="K2236" s="17" t="str">
        <f t="shared" si="348"/>
        <v>Pas d'écart</v>
      </c>
      <c r="L2236" s="16">
        <f>base!X2236</f>
        <v>0</v>
      </c>
      <c r="M2236" s="11">
        <f t="shared" si="344"/>
        <v>0</v>
      </c>
      <c r="N2236" s="11">
        <f t="shared" si="345"/>
        <v>0</v>
      </c>
      <c r="O2236" s="11">
        <f t="shared" si="346"/>
        <v>0</v>
      </c>
      <c r="P2236" s="12">
        <f t="shared" si="347"/>
        <v>0</v>
      </c>
      <c r="Q2236" s="17" t="str">
        <f t="shared" si="349"/>
        <v>Pas d'écart</v>
      </c>
    </row>
    <row r="2237" spans="1:18" x14ac:dyDescent="0.3">
      <c r="A2237" s="34">
        <f>base!J2237</f>
        <v>0</v>
      </c>
      <c r="B2237" s="34" t="str">
        <f>base!V2237</f>
        <v>77184</v>
      </c>
      <c r="C2237" s="37">
        <v>77</v>
      </c>
      <c r="D2237" s="36">
        <f>base!H2237</f>
        <v>57</v>
      </c>
      <c r="E2237" s="44"/>
      <c r="F2237" s="16">
        <f>base!W2237</f>
        <v>0</v>
      </c>
      <c r="G2237" s="11">
        <f t="shared" si="340"/>
        <v>0</v>
      </c>
      <c r="H2237" s="11">
        <f t="shared" si="341"/>
        <v>0</v>
      </c>
      <c r="I2237" s="11">
        <f t="shared" si="342"/>
        <v>0</v>
      </c>
      <c r="J2237" s="12">
        <f t="shared" si="343"/>
        <v>0</v>
      </c>
      <c r="K2237" s="17" t="str">
        <f t="shared" si="348"/>
        <v>Pas d'écart</v>
      </c>
      <c r="L2237" s="16">
        <f>base!X2237</f>
        <v>0</v>
      </c>
      <c r="M2237" s="11">
        <f t="shared" si="344"/>
        <v>0</v>
      </c>
      <c r="N2237" s="11">
        <f t="shared" si="345"/>
        <v>0</v>
      </c>
      <c r="O2237" s="11">
        <f t="shared" si="346"/>
        <v>0</v>
      </c>
      <c r="P2237" s="12">
        <f t="shared" si="347"/>
        <v>0</v>
      </c>
      <c r="Q2237" s="17" t="str">
        <f t="shared" si="349"/>
        <v>Pas d'écart</v>
      </c>
    </row>
    <row r="2238" spans="1:18" x14ac:dyDescent="0.3">
      <c r="A2238" s="34" t="str">
        <f>base!J2238</f>
        <v>LS</v>
      </c>
      <c r="B2238" s="34" t="str">
        <f>base!V2238</f>
        <v>44200</v>
      </c>
      <c r="C2238" s="37">
        <v>62</v>
      </c>
      <c r="D2238" s="36">
        <f>base!H2238</f>
        <v>186</v>
      </c>
      <c r="E2238" s="44"/>
      <c r="F2238" s="16">
        <f>base!W2238</f>
        <v>50.22</v>
      </c>
      <c r="G2238" s="11">
        <f t="shared" si="340"/>
        <v>0.27</v>
      </c>
      <c r="H2238" s="11">
        <f t="shared" si="341"/>
        <v>35.340000000000003</v>
      </c>
      <c r="I2238" s="11">
        <f t="shared" si="342"/>
        <v>0.19000000000000003</v>
      </c>
      <c r="J2238" s="12">
        <f t="shared" si="343"/>
        <v>14.879999999999995</v>
      </c>
      <c r="K2238" s="17" t="str">
        <f t="shared" si="348"/>
        <v>Ecart positif</v>
      </c>
      <c r="L2238" s="16">
        <f>base!X2238</f>
        <v>0</v>
      </c>
      <c r="M2238" s="11">
        <f t="shared" si="344"/>
        <v>0</v>
      </c>
      <c r="N2238" s="11">
        <f t="shared" si="345"/>
        <v>0</v>
      </c>
      <c r="O2238" s="11">
        <f t="shared" si="346"/>
        <v>0</v>
      </c>
      <c r="P2238" s="12">
        <f t="shared" si="347"/>
        <v>0</v>
      </c>
      <c r="Q2238" s="17" t="str">
        <f t="shared" si="349"/>
        <v>Pas d'écart</v>
      </c>
    </row>
    <row r="2239" spans="1:18" x14ac:dyDescent="0.3">
      <c r="A2239" s="34">
        <f>base!J2239</f>
        <v>0</v>
      </c>
      <c r="B2239" s="34" t="str">
        <f>base!V2239</f>
        <v>77184</v>
      </c>
      <c r="C2239" s="37">
        <v>77</v>
      </c>
      <c r="D2239" s="36">
        <f>base!H2239</f>
        <v>84.5</v>
      </c>
      <c r="E2239" s="44"/>
      <c r="F2239" s="16">
        <f>base!W2239</f>
        <v>0</v>
      </c>
      <c r="G2239" s="11">
        <f t="shared" si="340"/>
        <v>0</v>
      </c>
      <c r="H2239" s="11">
        <f t="shared" si="341"/>
        <v>0</v>
      </c>
      <c r="I2239" s="11">
        <f t="shared" si="342"/>
        <v>0</v>
      </c>
      <c r="J2239" s="12">
        <f t="shared" si="343"/>
        <v>0</v>
      </c>
      <c r="K2239" s="17" t="str">
        <f t="shared" si="348"/>
        <v>Pas d'écart</v>
      </c>
      <c r="L2239" s="16">
        <f>base!X2239</f>
        <v>0</v>
      </c>
      <c r="M2239" s="11">
        <f t="shared" si="344"/>
        <v>0</v>
      </c>
      <c r="N2239" s="11">
        <f t="shared" si="345"/>
        <v>0</v>
      </c>
      <c r="O2239" s="11">
        <f t="shared" si="346"/>
        <v>0</v>
      </c>
      <c r="P2239" s="12">
        <f t="shared" si="347"/>
        <v>0</v>
      </c>
      <c r="Q2239" s="17" t="str">
        <f t="shared" si="349"/>
        <v>Pas d'écart</v>
      </c>
    </row>
    <row r="2240" spans="1:18" x14ac:dyDescent="0.3">
      <c r="A2240" s="34">
        <f>base!J2240</f>
        <v>0</v>
      </c>
      <c r="B2240" s="34" t="str">
        <f>base!V2240</f>
        <v>77184</v>
      </c>
      <c r="C2240" s="37">
        <v>77</v>
      </c>
      <c r="D2240" s="36">
        <f>base!H2240</f>
        <v>84.5</v>
      </c>
      <c r="E2240" s="44"/>
      <c r="F2240" s="16">
        <f>base!W2240</f>
        <v>0</v>
      </c>
      <c r="G2240" s="11">
        <f t="shared" si="340"/>
        <v>0</v>
      </c>
      <c r="H2240" s="11">
        <f t="shared" si="341"/>
        <v>0</v>
      </c>
      <c r="I2240" s="11">
        <f t="shared" si="342"/>
        <v>0</v>
      </c>
      <c r="J2240" s="12">
        <f t="shared" si="343"/>
        <v>0</v>
      </c>
      <c r="K2240" s="17" t="str">
        <f t="shared" si="348"/>
        <v>Pas d'écart</v>
      </c>
      <c r="L2240" s="16">
        <f>base!X2240</f>
        <v>0</v>
      </c>
      <c r="M2240" s="11">
        <f t="shared" si="344"/>
        <v>0</v>
      </c>
      <c r="N2240" s="11">
        <f t="shared" si="345"/>
        <v>0</v>
      </c>
      <c r="O2240" s="11">
        <f t="shared" si="346"/>
        <v>0</v>
      </c>
      <c r="P2240" s="12">
        <f t="shared" si="347"/>
        <v>0</v>
      </c>
      <c r="Q2240" s="17" t="str">
        <f t="shared" si="349"/>
        <v>Pas d'écart</v>
      </c>
    </row>
    <row r="2241" spans="1:18" x14ac:dyDescent="0.3">
      <c r="A2241" s="34" t="str">
        <f>base!J2241</f>
        <v>RS</v>
      </c>
      <c r="B2241" s="34" t="str">
        <f>base!V2241</f>
        <v>29690</v>
      </c>
      <c r="C2241" s="37">
        <v>29</v>
      </c>
      <c r="D2241" s="36">
        <f>base!H2241</f>
        <v>140</v>
      </c>
      <c r="E2241" s="44"/>
      <c r="F2241" s="16">
        <f>base!W2241</f>
        <v>0</v>
      </c>
      <c r="G2241" s="11">
        <f t="shared" si="340"/>
        <v>0</v>
      </c>
      <c r="H2241" s="11">
        <f t="shared" si="341"/>
        <v>54.6</v>
      </c>
      <c r="I2241" s="11">
        <f t="shared" si="342"/>
        <v>0.39</v>
      </c>
      <c r="J2241" s="12">
        <f t="shared" si="343"/>
        <v>-54.6</v>
      </c>
      <c r="K2241" s="17" t="str">
        <f t="shared" si="348"/>
        <v>Ecart négatif</v>
      </c>
      <c r="L2241" s="16">
        <f>base!X2241</f>
        <v>0</v>
      </c>
      <c r="M2241" s="11">
        <f t="shared" si="344"/>
        <v>0</v>
      </c>
      <c r="N2241" s="11">
        <f t="shared" si="345"/>
        <v>16.8</v>
      </c>
      <c r="O2241" s="11">
        <f t="shared" si="346"/>
        <v>0.12000000000000001</v>
      </c>
      <c r="P2241" s="12">
        <f t="shared" si="347"/>
        <v>-16.8</v>
      </c>
      <c r="Q2241" s="17" t="str">
        <f t="shared" si="349"/>
        <v>Ecart négatif</v>
      </c>
    </row>
    <row r="2242" spans="1:18" x14ac:dyDescent="0.3">
      <c r="A2242" s="34" t="str">
        <f>base!J2242</f>
        <v>RS</v>
      </c>
      <c r="B2242" s="34" t="str">
        <f>base!V2242</f>
        <v>13014</v>
      </c>
      <c r="C2242" s="37">
        <v>13</v>
      </c>
      <c r="D2242" s="36">
        <f>base!H2242</f>
        <v>140</v>
      </c>
      <c r="E2242" s="44"/>
      <c r="F2242" s="16">
        <f>base!W2242</f>
        <v>0</v>
      </c>
      <c r="G2242" s="11">
        <f t="shared" ref="G2242:G2305" si="350">F2242/D2242</f>
        <v>0</v>
      </c>
      <c r="H2242" s="11">
        <f t="shared" ref="H2242:H2305" si="351">VLOOKUP(C2242,tout_cout_traction,2,FALSE)*D2242</f>
        <v>40.599999999999994</v>
      </c>
      <c r="I2242" s="11">
        <f t="shared" ref="I2242:I2305" si="352">H2242/D2242</f>
        <v>0.28999999999999998</v>
      </c>
      <c r="J2242" s="12">
        <f t="shared" ref="J2242:J2305" si="353">F2242-H2242</f>
        <v>-40.599999999999994</v>
      </c>
      <c r="K2242" s="17" t="str">
        <f t="shared" si="348"/>
        <v>Ecart négatif</v>
      </c>
      <c r="L2242" s="16">
        <f>base!X2242</f>
        <v>26.6</v>
      </c>
      <c r="M2242" s="11">
        <f t="shared" ref="M2242:M2305" si="354">L2242/D2242</f>
        <v>0.19</v>
      </c>
      <c r="N2242" s="11">
        <f t="shared" ref="N2242:N2305" si="355">VLOOKUP(C2242,tout_cout_traction,3,FALSE)*D2242</f>
        <v>26.6</v>
      </c>
      <c r="O2242" s="11">
        <f t="shared" ref="O2242:O2305" si="356">N2242/D2242</f>
        <v>0.19</v>
      </c>
      <c r="P2242" s="12">
        <f t="shared" ref="P2242:P2305" si="357">L2242-N2242</f>
        <v>0</v>
      </c>
      <c r="Q2242" s="17" t="str">
        <f t="shared" si="349"/>
        <v>Pas d'écart</v>
      </c>
      <c r="R2242" s="38"/>
    </row>
    <row r="2243" spans="1:18" x14ac:dyDescent="0.3">
      <c r="A2243" s="34">
        <f>base!J2243</f>
        <v>0</v>
      </c>
      <c r="B2243" s="34" t="str">
        <f>base!V2243</f>
        <v>77184</v>
      </c>
      <c r="C2243" s="37">
        <v>77</v>
      </c>
      <c r="D2243" s="36">
        <f>base!H2243</f>
        <v>105</v>
      </c>
      <c r="E2243" s="44"/>
      <c r="F2243" s="16">
        <f>base!W2243</f>
        <v>0</v>
      </c>
      <c r="G2243" s="11">
        <f t="shared" si="350"/>
        <v>0</v>
      </c>
      <c r="H2243" s="11">
        <f t="shared" si="351"/>
        <v>0</v>
      </c>
      <c r="I2243" s="11">
        <f t="shared" si="352"/>
        <v>0</v>
      </c>
      <c r="J2243" s="12">
        <f t="shared" si="353"/>
        <v>0</v>
      </c>
      <c r="K2243" s="17" t="str">
        <f t="shared" ref="K2243:K2306" si="358">IF(H2243=F2243,"Pas d'écart",IF(H2243&lt;F2243,"Ecart positif",IF(H2243&gt;F2243,"Ecart négatif")))</f>
        <v>Pas d'écart</v>
      </c>
      <c r="L2243" s="16">
        <f>base!X2243</f>
        <v>0</v>
      </c>
      <c r="M2243" s="11">
        <f t="shared" si="354"/>
        <v>0</v>
      </c>
      <c r="N2243" s="11">
        <f t="shared" si="355"/>
        <v>0</v>
      </c>
      <c r="O2243" s="11">
        <f t="shared" si="356"/>
        <v>0</v>
      </c>
      <c r="P2243" s="12">
        <f t="shared" si="357"/>
        <v>0</v>
      </c>
      <c r="Q2243" s="17" t="str">
        <f t="shared" ref="Q2243:Q2306" si="359">IF(N2243=L2243,"Pas d'écart",IF(N2243&lt;L2243,"Ecart positif",IF(N2243&gt;L2243,"Ecart négatif")))</f>
        <v>Pas d'écart</v>
      </c>
    </row>
    <row r="2244" spans="1:18" x14ac:dyDescent="0.3">
      <c r="A2244" s="34">
        <f>base!J2244</f>
        <v>0</v>
      </c>
      <c r="B2244" s="34" t="str">
        <f>base!V2244</f>
        <v>77184</v>
      </c>
      <c r="C2244" s="37">
        <v>77</v>
      </c>
      <c r="D2244" s="36">
        <f>base!H2244</f>
        <v>22</v>
      </c>
      <c r="E2244" s="44"/>
      <c r="F2244" s="16">
        <f>base!W2244</f>
        <v>0</v>
      </c>
      <c r="G2244" s="11">
        <f t="shared" si="350"/>
        <v>0</v>
      </c>
      <c r="H2244" s="11">
        <f t="shared" si="351"/>
        <v>0</v>
      </c>
      <c r="I2244" s="11">
        <f t="shared" si="352"/>
        <v>0</v>
      </c>
      <c r="J2244" s="12">
        <f t="shared" si="353"/>
        <v>0</v>
      </c>
      <c r="K2244" s="17" t="str">
        <f t="shared" si="358"/>
        <v>Pas d'écart</v>
      </c>
      <c r="L2244" s="16">
        <f>base!X2244</f>
        <v>0</v>
      </c>
      <c r="M2244" s="11">
        <f t="shared" si="354"/>
        <v>0</v>
      </c>
      <c r="N2244" s="11">
        <f t="shared" si="355"/>
        <v>0</v>
      </c>
      <c r="O2244" s="11">
        <f t="shared" si="356"/>
        <v>0</v>
      </c>
      <c r="P2244" s="12">
        <f t="shared" si="357"/>
        <v>0</v>
      </c>
      <c r="Q2244" s="17" t="str">
        <f t="shared" si="359"/>
        <v>Pas d'écart</v>
      </c>
    </row>
    <row r="2245" spans="1:18" x14ac:dyDescent="0.3">
      <c r="A2245" s="34" t="str">
        <f>base!J2245</f>
        <v>RS</v>
      </c>
      <c r="B2245" s="34" t="str">
        <f>base!V2245</f>
        <v>69800</v>
      </c>
      <c r="C2245" s="37">
        <v>69</v>
      </c>
      <c r="D2245" s="36">
        <f>base!H2245</f>
        <v>84.5</v>
      </c>
      <c r="E2245" s="44"/>
      <c r="F2245" s="16">
        <f>base!W2245</f>
        <v>0</v>
      </c>
      <c r="G2245" s="11">
        <f t="shared" si="350"/>
        <v>0</v>
      </c>
      <c r="H2245" s="11">
        <f t="shared" si="351"/>
        <v>22.815000000000001</v>
      </c>
      <c r="I2245" s="11">
        <f t="shared" si="352"/>
        <v>0.27</v>
      </c>
      <c r="J2245" s="12">
        <f t="shared" si="353"/>
        <v>-22.815000000000001</v>
      </c>
      <c r="K2245" s="17" t="str">
        <f t="shared" si="358"/>
        <v>Ecart négatif</v>
      </c>
      <c r="L2245" s="16">
        <f>base!X2245</f>
        <v>0</v>
      </c>
      <c r="M2245" s="11">
        <f t="shared" si="354"/>
        <v>0</v>
      </c>
      <c r="N2245" s="11">
        <f t="shared" si="355"/>
        <v>0</v>
      </c>
      <c r="O2245" s="11">
        <f t="shared" si="356"/>
        <v>0</v>
      </c>
      <c r="P2245" s="12">
        <f t="shared" si="357"/>
        <v>0</v>
      </c>
      <c r="Q2245" s="17" t="str">
        <f t="shared" si="359"/>
        <v>Pas d'écart</v>
      </c>
    </row>
    <row r="2246" spans="1:18" x14ac:dyDescent="0.3">
      <c r="A2246" s="34" t="str">
        <f>base!J2246</f>
        <v>RS</v>
      </c>
      <c r="B2246" s="34" t="str">
        <f>base!V2246</f>
        <v>25600</v>
      </c>
      <c r="C2246" s="37">
        <v>25</v>
      </c>
      <c r="D2246" s="36">
        <f>base!H2246</f>
        <v>151</v>
      </c>
      <c r="E2246" s="44"/>
      <c r="F2246" s="16">
        <f>base!W2246</f>
        <v>0</v>
      </c>
      <c r="G2246" s="11">
        <f t="shared" si="350"/>
        <v>0</v>
      </c>
      <c r="H2246" s="11">
        <f t="shared" si="351"/>
        <v>36.24</v>
      </c>
      <c r="I2246" s="11">
        <f t="shared" si="352"/>
        <v>0.24000000000000002</v>
      </c>
      <c r="J2246" s="12">
        <f t="shared" si="353"/>
        <v>-36.24</v>
      </c>
      <c r="K2246" s="17" t="str">
        <f t="shared" si="358"/>
        <v>Ecart négatif</v>
      </c>
      <c r="L2246" s="16">
        <f>base!X2246</f>
        <v>0</v>
      </c>
      <c r="M2246" s="11">
        <f t="shared" si="354"/>
        <v>0</v>
      </c>
      <c r="N2246" s="11">
        <f t="shared" si="355"/>
        <v>18.12</v>
      </c>
      <c r="O2246" s="11">
        <f t="shared" si="356"/>
        <v>0.12000000000000001</v>
      </c>
      <c r="P2246" s="12">
        <f t="shared" si="357"/>
        <v>-18.12</v>
      </c>
      <c r="Q2246" s="17" t="str">
        <f t="shared" si="359"/>
        <v>Ecart négatif</v>
      </c>
    </row>
    <row r="2247" spans="1:18" x14ac:dyDescent="0.3">
      <c r="A2247" s="34" t="str">
        <f>base!J2247</f>
        <v>LS</v>
      </c>
      <c r="B2247" s="34" t="str">
        <f>base!V2247</f>
        <v>45400</v>
      </c>
      <c r="C2247" s="37">
        <v>62</v>
      </c>
      <c r="D2247" s="36">
        <f>base!H2247</f>
        <v>138.12</v>
      </c>
      <c r="E2247" s="44"/>
      <c r="F2247" s="16">
        <f>base!W2247</f>
        <v>29.01</v>
      </c>
      <c r="G2247" s="11">
        <f t="shared" si="350"/>
        <v>0.21003475238922675</v>
      </c>
      <c r="H2247" s="11">
        <f t="shared" si="351"/>
        <v>26.242800000000003</v>
      </c>
      <c r="I2247" s="11">
        <f t="shared" si="352"/>
        <v>0.19</v>
      </c>
      <c r="J2247" s="12">
        <f t="shared" si="353"/>
        <v>2.767199999999999</v>
      </c>
      <c r="K2247" s="17" t="str">
        <f t="shared" si="358"/>
        <v>Ecart positif</v>
      </c>
      <c r="L2247" s="16">
        <f>base!X2247</f>
        <v>0</v>
      </c>
      <c r="M2247" s="11">
        <f t="shared" si="354"/>
        <v>0</v>
      </c>
      <c r="N2247" s="11">
        <f t="shared" si="355"/>
        <v>0</v>
      </c>
      <c r="O2247" s="11">
        <f t="shared" si="356"/>
        <v>0</v>
      </c>
      <c r="P2247" s="12">
        <f t="shared" si="357"/>
        <v>0</v>
      </c>
      <c r="Q2247" s="17" t="str">
        <f t="shared" si="359"/>
        <v>Pas d'écart</v>
      </c>
    </row>
    <row r="2248" spans="1:18" x14ac:dyDescent="0.3">
      <c r="A2248" s="34" t="str">
        <f>base!J2248</f>
        <v>LM</v>
      </c>
      <c r="B2248" s="34" t="str">
        <f>base!V2248</f>
        <v>06560</v>
      </c>
      <c r="C2248" s="37">
        <v>62</v>
      </c>
      <c r="D2248" s="36">
        <f>base!H2248</f>
        <v>32.450000000000003</v>
      </c>
      <c r="E2248" s="44"/>
      <c r="F2248" s="16">
        <f>base!W2248</f>
        <v>9.74</v>
      </c>
      <c r="G2248" s="11">
        <f t="shared" si="350"/>
        <v>0.30015408320493064</v>
      </c>
      <c r="H2248" s="11">
        <f t="shared" si="351"/>
        <v>6.1655000000000006</v>
      </c>
      <c r="I2248" s="11">
        <f t="shared" si="352"/>
        <v>0.19</v>
      </c>
      <c r="J2248" s="12">
        <f t="shared" si="353"/>
        <v>3.5744999999999996</v>
      </c>
      <c r="K2248" s="17" t="str">
        <f t="shared" si="358"/>
        <v>Ecart positif</v>
      </c>
      <c r="L2248" s="16">
        <f>base!X2248</f>
        <v>0</v>
      </c>
      <c r="M2248" s="11">
        <f t="shared" si="354"/>
        <v>0</v>
      </c>
      <c r="N2248" s="11">
        <f t="shared" si="355"/>
        <v>0</v>
      </c>
      <c r="O2248" s="11">
        <f t="shared" si="356"/>
        <v>0</v>
      </c>
      <c r="P2248" s="12">
        <f t="shared" si="357"/>
        <v>0</v>
      </c>
      <c r="Q2248" s="17" t="str">
        <f t="shared" si="359"/>
        <v>Pas d'écart</v>
      </c>
    </row>
    <row r="2249" spans="1:18" x14ac:dyDescent="0.3">
      <c r="A2249" s="34" t="str">
        <f>base!J2249</f>
        <v>LS</v>
      </c>
      <c r="B2249" s="34" t="str">
        <f>base!V2249</f>
        <v>34500</v>
      </c>
      <c r="C2249" s="37">
        <v>60</v>
      </c>
      <c r="D2249" s="36">
        <f>base!H2249</f>
        <v>143.44999999999999</v>
      </c>
      <c r="E2249" s="44"/>
      <c r="F2249" s="16">
        <f>base!W2249</f>
        <v>55.95</v>
      </c>
      <c r="G2249" s="11">
        <f t="shared" si="350"/>
        <v>0.3900313698152667</v>
      </c>
      <c r="H2249" s="11">
        <f t="shared" si="351"/>
        <v>27.255499999999998</v>
      </c>
      <c r="I2249" s="11">
        <f t="shared" si="352"/>
        <v>0.19</v>
      </c>
      <c r="J2249" s="12">
        <f t="shared" si="353"/>
        <v>28.694500000000005</v>
      </c>
      <c r="K2249" s="17" t="str">
        <f t="shared" si="358"/>
        <v>Ecart positif</v>
      </c>
      <c r="L2249" s="16">
        <f>base!X2249</f>
        <v>0</v>
      </c>
      <c r="M2249" s="11">
        <f t="shared" si="354"/>
        <v>0</v>
      </c>
      <c r="N2249" s="11">
        <f t="shared" si="355"/>
        <v>0</v>
      </c>
      <c r="O2249" s="11">
        <f t="shared" si="356"/>
        <v>0</v>
      </c>
      <c r="P2249" s="12">
        <f t="shared" si="357"/>
        <v>0</v>
      </c>
      <c r="Q2249" s="17" t="str">
        <f t="shared" si="359"/>
        <v>Pas d'écart</v>
      </c>
    </row>
    <row r="2250" spans="1:18" x14ac:dyDescent="0.3">
      <c r="A2250" s="34" t="str">
        <f>base!J2250</f>
        <v>LS</v>
      </c>
      <c r="B2250" s="34" t="str">
        <f>base!V2250</f>
        <v>01220</v>
      </c>
      <c r="C2250" s="37">
        <v>62</v>
      </c>
      <c r="D2250" s="36">
        <f>base!H2250</f>
        <v>86.34</v>
      </c>
      <c r="E2250" s="44"/>
      <c r="F2250" s="16">
        <f>base!W2250</f>
        <v>23.31</v>
      </c>
      <c r="G2250" s="11">
        <f t="shared" si="350"/>
        <v>0.26997915218902013</v>
      </c>
      <c r="H2250" s="11">
        <f t="shared" si="351"/>
        <v>16.404600000000002</v>
      </c>
      <c r="I2250" s="11">
        <f t="shared" si="352"/>
        <v>0.19000000000000003</v>
      </c>
      <c r="J2250" s="12">
        <f t="shared" si="353"/>
        <v>6.9053999999999967</v>
      </c>
      <c r="K2250" s="17" t="str">
        <f t="shared" si="358"/>
        <v>Ecart positif</v>
      </c>
      <c r="L2250" s="16">
        <f>base!X2250</f>
        <v>0</v>
      </c>
      <c r="M2250" s="11">
        <f t="shared" si="354"/>
        <v>0</v>
      </c>
      <c r="N2250" s="11">
        <f t="shared" si="355"/>
        <v>0</v>
      </c>
      <c r="O2250" s="11">
        <f t="shared" si="356"/>
        <v>0</v>
      </c>
      <c r="P2250" s="12">
        <f t="shared" si="357"/>
        <v>0</v>
      </c>
      <c r="Q2250" s="17" t="str">
        <f t="shared" si="359"/>
        <v>Pas d'écart</v>
      </c>
    </row>
    <row r="2251" spans="1:18" x14ac:dyDescent="0.3">
      <c r="A2251" s="34" t="str">
        <f>base!J2251</f>
        <v>LS</v>
      </c>
      <c r="B2251" s="34" t="str">
        <f>base!V2251</f>
        <v>07270</v>
      </c>
      <c r="C2251" s="37">
        <v>62</v>
      </c>
      <c r="D2251" s="36">
        <f>base!H2251</f>
        <v>137.01</v>
      </c>
      <c r="E2251" s="44"/>
      <c r="F2251" s="16">
        <f>base!W2251</f>
        <v>36.99</v>
      </c>
      <c r="G2251" s="11">
        <f t="shared" si="350"/>
        <v>0.26998029340924024</v>
      </c>
      <c r="H2251" s="11">
        <f t="shared" si="351"/>
        <v>26.0319</v>
      </c>
      <c r="I2251" s="11">
        <f t="shared" si="352"/>
        <v>0.19</v>
      </c>
      <c r="J2251" s="12">
        <f t="shared" si="353"/>
        <v>10.958100000000002</v>
      </c>
      <c r="K2251" s="17" t="str">
        <f t="shared" si="358"/>
        <v>Ecart positif</v>
      </c>
      <c r="L2251" s="16">
        <f>base!X2251</f>
        <v>0</v>
      </c>
      <c r="M2251" s="11">
        <f t="shared" si="354"/>
        <v>0</v>
      </c>
      <c r="N2251" s="11">
        <f t="shared" si="355"/>
        <v>0</v>
      </c>
      <c r="O2251" s="11">
        <f t="shared" si="356"/>
        <v>0</v>
      </c>
      <c r="P2251" s="12">
        <f t="shared" si="357"/>
        <v>0</v>
      </c>
      <c r="Q2251" s="17" t="str">
        <f t="shared" si="359"/>
        <v>Pas d'écart</v>
      </c>
    </row>
    <row r="2252" spans="1:18" x14ac:dyDescent="0.3">
      <c r="A2252" s="34" t="str">
        <f>base!J2252</f>
        <v>LM</v>
      </c>
      <c r="B2252" s="34" t="str">
        <f>base!V2252</f>
        <v>75014</v>
      </c>
      <c r="C2252" s="37">
        <v>75</v>
      </c>
      <c r="D2252" s="36">
        <f>base!H2252</f>
        <v>53.38</v>
      </c>
      <c r="E2252" s="44"/>
      <c r="F2252" s="16">
        <f>base!W2252</f>
        <v>0</v>
      </c>
      <c r="G2252" s="11">
        <f t="shared" si="350"/>
        <v>0</v>
      </c>
      <c r="H2252" s="11">
        <f t="shared" si="351"/>
        <v>0</v>
      </c>
      <c r="I2252" s="11">
        <f t="shared" si="352"/>
        <v>0</v>
      </c>
      <c r="J2252" s="12">
        <f t="shared" si="353"/>
        <v>0</v>
      </c>
      <c r="K2252" s="17" t="str">
        <f t="shared" si="358"/>
        <v>Pas d'écart</v>
      </c>
      <c r="L2252" s="16">
        <f>base!X2252</f>
        <v>0</v>
      </c>
      <c r="M2252" s="11">
        <f t="shared" si="354"/>
        <v>0</v>
      </c>
      <c r="N2252" s="11">
        <f t="shared" si="355"/>
        <v>0</v>
      </c>
      <c r="O2252" s="11">
        <f t="shared" si="356"/>
        <v>0</v>
      </c>
      <c r="P2252" s="12">
        <f t="shared" si="357"/>
        <v>0</v>
      </c>
      <c r="Q2252" s="17" t="str">
        <f t="shared" si="359"/>
        <v>Pas d'écart</v>
      </c>
    </row>
    <row r="2253" spans="1:18" x14ac:dyDescent="0.3">
      <c r="A2253" s="34" t="str">
        <f>base!J2253</f>
        <v>DRS</v>
      </c>
      <c r="B2253" s="34" t="str">
        <f>base!V2253</f>
        <v>51100</v>
      </c>
      <c r="C2253" s="37">
        <v>51</v>
      </c>
      <c r="D2253" s="36">
        <f>base!H2253</f>
        <v>32</v>
      </c>
      <c r="E2253" s="44"/>
      <c r="F2253" s="16">
        <f>base!W2253</f>
        <v>0</v>
      </c>
      <c r="G2253" s="11">
        <f t="shared" si="350"/>
        <v>0</v>
      </c>
      <c r="H2253" s="11">
        <f t="shared" si="351"/>
        <v>8</v>
      </c>
      <c r="I2253" s="11">
        <f t="shared" si="352"/>
        <v>0.25</v>
      </c>
      <c r="J2253" s="12">
        <f t="shared" si="353"/>
        <v>-8</v>
      </c>
      <c r="K2253" s="17" t="str">
        <f t="shared" si="358"/>
        <v>Ecart négatif</v>
      </c>
      <c r="L2253" s="16">
        <f>base!X2253</f>
        <v>0</v>
      </c>
      <c r="M2253" s="11">
        <f t="shared" si="354"/>
        <v>0</v>
      </c>
      <c r="N2253" s="11">
        <f t="shared" si="355"/>
        <v>8</v>
      </c>
      <c r="O2253" s="11">
        <f t="shared" si="356"/>
        <v>0.25</v>
      </c>
      <c r="P2253" s="12">
        <f t="shared" si="357"/>
        <v>-8</v>
      </c>
      <c r="Q2253" s="17" t="str">
        <f t="shared" si="359"/>
        <v>Ecart négatif</v>
      </c>
    </row>
    <row r="2254" spans="1:18" x14ac:dyDescent="0.3">
      <c r="A2254" s="34">
        <f>base!J2254</f>
        <v>0</v>
      </c>
      <c r="B2254" s="34" t="str">
        <f>base!V2254</f>
        <v>77184</v>
      </c>
      <c r="C2254" s="37">
        <v>77</v>
      </c>
      <c r="D2254" s="36">
        <f>base!H2254</f>
        <v>70</v>
      </c>
      <c r="E2254" s="44"/>
      <c r="F2254" s="16">
        <f>base!W2254</f>
        <v>0</v>
      </c>
      <c r="G2254" s="11">
        <f t="shared" si="350"/>
        <v>0</v>
      </c>
      <c r="H2254" s="11">
        <f t="shared" si="351"/>
        <v>0</v>
      </c>
      <c r="I2254" s="11">
        <f t="shared" si="352"/>
        <v>0</v>
      </c>
      <c r="J2254" s="12">
        <f t="shared" si="353"/>
        <v>0</v>
      </c>
      <c r="K2254" s="17" t="str">
        <f t="shared" si="358"/>
        <v>Pas d'écart</v>
      </c>
      <c r="L2254" s="16">
        <f>base!X2254</f>
        <v>0</v>
      </c>
      <c r="M2254" s="11">
        <f t="shared" si="354"/>
        <v>0</v>
      </c>
      <c r="N2254" s="11">
        <f t="shared" si="355"/>
        <v>0</v>
      </c>
      <c r="O2254" s="11">
        <f t="shared" si="356"/>
        <v>0</v>
      </c>
      <c r="P2254" s="12">
        <f t="shared" si="357"/>
        <v>0</v>
      </c>
      <c r="Q2254" s="17" t="str">
        <f t="shared" si="359"/>
        <v>Pas d'écart</v>
      </c>
    </row>
    <row r="2255" spans="1:18" x14ac:dyDescent="0.3">
      <c r="A2255" s="34">
        <f>base!J2255</f>
        <v>0</v>
      </c>
      <c r="B2255" s="34" t="str">
        <f>base!V2255</f>
        <v>77184</v>
      </c>
      <c r="C2255" s="37">
        <v>77</v>
      </c>
      <c r="D2255" s="36">
        <f>base!H2255</f>
        <v>132.44999999999999</v>
      </c>
      <c r="E2255" s="44"/>
      <c r="F2255" s="16">
        <f>base!W2255</f>
        <v>0</v>
      </c>
      <c r="G2255" s="11">
        <f t="shared" si="350"/>
        <v>0</v>
      </c>
      <c r="H2255" s="11">
        <f t="shared" si="351"/>
        <v>0</v>
      </c>
      <c r="I2255" s="11">
        <f t="shared" si="352"/>
        <v>0</v>
      </c>
      <c r="J2255" s="12">
        <f t="shared" si="353"/>
        <v>0</v>
      </c>
      <c r="K2255" s="17" t="str">
        <f t="shared" si="358"/>
        <v>Pas d'écart</v>
      </c>
      <c r="L2255" s="16">
        <f>base!X2255</f>
        <v>0</v>
      </c>
      <c r="M2255" s="11">
        <f t="shared" si="354"/>
        <v>0</v>
      </c>
      <c r="N2255" s="11">
        <f t="shared" si="355"/>
        <v>0</v>
      </c>
      <c r="O2255" s="11">
        <f t="shared" si="356"/>
        <v>0</v>
      </c>
      <c r="P2255" s="12">
        <f t="shared" si="357"/>
        <v>0</v>
      </c>
      <c r="Q2255" s="17" t="str">
        <f t="shared" si="359"/>
        <v>Pas d'écart</v>
      </c>
    </row>
    <row r="2256" spans="1:18" x14ac:dyDescent="0.3">
      <c r="A2256" s="34" t="str">
        <f>base!J2256</f>
        <v>LM</v>
      </c>
      <c r="B2256" s="34" t="str">
        <f>base!V2256</f>
        <v>67000</v>
      </c>
      <c r="C2256" s="37">
        <v>62</v>
      </c>
      <c r="D2256" s="36">
        <f>base!H2256</f>
        <v>32.450000000000003</v>
      </c>
      <c r="E2256" s="44"/>
      <c r="F2256" s="16">
        <f>base!W2256</f>
        <v>9.41</v>
      </c>
      <c r="G2256" s="11">
        <f t="shared" si="350"/>
        <v>0.28998459167950691</v>
      </c>
      <c r="H2256" s="11">
        <f t="shared" si="351"/>
        <v>6.1655000000000006</v>
      </c>
      <c r="I2256" s="11">
        <f t="shared" si="352"/>
        <v>0.19</v>
      </c>
      <c r="J2256" s="12">
        <f t="shared" si="353"/>
        <v>3.2444999999999995</v>
      </c>
      <c r="K2256" s="17" t="str">
        <f t="shared" si="358"/>
        <v>Ecart positif</v>
      </c>
      <c r="L2256" s="16">
        <f>base!X2256</f>
        <v>0</v>
      </c>
      <c r="M2256" s="11">
        <f t="shared" si="354"/>
        <v>0</v>
      </c>
      <c r="N2256" s="11">
        <f t="shared" si="355"/>
        <v>0</v>
      </c>
      <c r="O2256" s="11">
        <f t="shared" si="356"/>
        <v>0</v>
      </c>
      <c r="P2256" s="12">
        <f t="shared" si="357"/>
        <v>0</v>
      </c>
      <c r="Q2256" s="17" t="str">
        <f t="shared" si="359"/>
        <v>Pas d'écart</v>
      </c>
    </row>
    <row r="2257" spans="1:17" x14ac:dyDescent="0.3">
      <c r="A2257" s="34" t="str">
        <f>base!J2257</f>
        <v>LM</v>
      </c>
      <c r="B2257" s="34" t="str">
        <f>base!V2257</f>
        <v>75014</v>
      </c>
      <c r="C2257" s="37">
        <v>75</v>
      </c>
      <c r="D2257" s="36">
        <f>base!H2257</f>
        <v>19.649999999999999</v>
      </c>
      <c r="E2257" s="44"/>
      <c r="F2257" s="16">
        <f>base!W2257</f>
        <v>0</v>
      </c>
      <c r="G2257" s="11">
        <f t="shared" si="350"/>
        <v>0</v>
      </c>
      <c r="H2257" s="11">
        <f t="shared" si="351"/>
        <v>0</v>
      </c>
      <c r="I2257" s="11">
        <f t="shared" si="352"/>
        <v>0</v>
      </c>
      <c r="J2257" s="12">
        <f t="shared" si="353"/>
        <v>0</v>
      </c>
      <c r="K2257" s="17" t="str">
        <f t="shared" si="358"/>
        <v>Pas d'écart</v>
      </c>
      <c r="L2257" s="16">
        <f>base!X2257</f>
        <v>0</v>
      </c>
      <c r="M2257" s="11">
        <f t="shared" si="354"/>
        <v>0</v>
      </c>
      <c r="N2257" s="11">
        <f t="shared" si="355"/>
        <v>0</v>
      </c>
      <c r="O2257" s="11">
        <f t="shared" si="356"/>
        <v>0</v>
      </c>
      <c r="P2257" s="12">
        <f t="shared" si="357"/>
        <v>0</v>
      </c>
      <c r="Q2257" s="17" t="str">
        <f t="shared" si="359"/>
        <v>Pas d'écart</v>
      </c>
    </row>
    <row r="2258" spans="1:17" x14ac:dyDescent="0.3">
      <c r="A2258" s="34" t="str">
        <f>base!J2258</f>
        <v>LM</v>
      </c>
      <c r="B2258" s="34" t="str">
        <f>base!V2258</f>
        <v>75014</v>
      </c>
      <c r="C2258" s="37">
        <v>75</v>
      </c>
      <c r="D2258" s="36">
        <f>base!H2258</f>
        <v>19.649999999999999</v>
      </c>
      <c r="E2258" s="44"/>
      <c r="F2258" s="16">
        <f>base!W2258</f>
        <v>0</v>
      </c>
      <c r="G2258" s="11">
        <f t="shared" si="350"/>
        <v>0</v>
      </c>
      <c r="H2258" s="11">
        <f t="shared" si="351"/>
        <v>0</v>
      </c>
      <c r="I2258" s="11">
        <f t="shared" si="352"/>
        <v>0</v>
      </c>
      <c r="J2258" s="12">
        <f t="shared" si="353"/>
        <v>0</v>
      </c>
      <c r="K2258" s="17" t="str">
        <f t="shared" si="358"/>
        <v>Pas d'écart</v>
      </c>
      <c r="L2258" s="16">
        <f>base!X2258</f>
        <v>0</v>
      </c>
      <c r="M2258" s="11">
        <f t="shared" si="354"/>
        <v>0</v>
      </c>
      <c r="N2258" s="11">
        <f t="shared" si="355"/>
        <v>0</v>
      </c>
      <c r="O2258" s="11">
        <f t="shared" si="356"/>
        <v>0</v>
      </c>
      <c r="P2258" s="12">
        <f t="shared" si="357"/>
        <v>0</v>
      </c>
      <c r="Q2258" s="17" t="str">
        <f t="shared" si="359"/>
        <v>Pas d'écart</v>
      </c>
    </row>
    <row r="2259" spans="1:17" x14ac:dyDescent="0.3">
      <c r="A2259" s="34" t="str">
        <f>base!J2259</f>
        <v>LM</v>
      </c>
      <c r="B2259" s="34" t="str">
        <f>base!V2259</f>
        <v>75014</v>
      </c>
      <c r="C2259" s="37">
        <v>75</v>
      </c>
      <c r="D2259" s="36">
        <f>base!H2259</f>
        <v>19.649999999999999</v>
      </c>
      <c r="E2259" s="44"/>
      <c r="F2259" s="16">
        <f>base!W2259</f>
        <v>0</v>
      </c>
      <c r="G2259" s="11">
        <f t="shared" si="350"/>
        <v>0</v>
      </c>
      <c r="H2259" s="11">
        <f t="shared" si="351"/>
        <v>0</v>
      </c>
      <c r="I2259" s="11">
        <f t="shared" si="352"/>
        <v>0</v>
      </c>
      <c r="J2259" s="12">
        <f t="shared" si="353"/>
        <v>0</v>
      </c>
      <c r="K2259" s="17" t="str">
        <f t="shared" si="358"/>
        <v>Pas d'écart</v>
      </c>
      <c r="L2259" s="16">
        <f>base!X2259</f>
        <v>0</v>
      </c>
      <c r="M2259" s="11">
        <f t="shared" si="354"/>
        <v>0</v>
      </c>
      <c r="N2259" s="11">
        <f t="shared" si="355"/>
        <v>0</v>
      </c>
      <c r="O2259" s="11">
        <f t="shared" si="356"/>
        <v>0</v>
      </c>
      <c r="P2259" s="12">
        <f t="shared" si="357"/>
        <v>0</v>
      </c>
      <c r="Q2259" s="17" t="str">
        <f t="shared" si="359"/>
        <v>Pas d'écart</v>
      </c>
    </row>
    <row r="2260" spans="1:17" x14ac:dyDescent="0.3">
      <c r="A2260" s="34" t="str">
        <f>base!J2260</f>
        <v>LS</v>
      </c>
      <c r="B2260" s="34" t="str">
        <f>base!V2260</f>
        <v>66000</v>
      </c>
      <c r="C2260" s="37">
        <v>62</v>
      </c>
      <c r="D2260" s="36">
        <f>base!H2260</f>
        <v>138.12</v>
      </c>
      <c r="E2260" s="44"/>
      <c r="F2260" s="16">
        <f>base!W2260</f>
        <v>53.87</v>
      </c>
      <c r="G2260" s="11">
        <f t="shared" si="350"/>
        <v>0.39002316825948447</v>
      </c>
      <c r="H2260" s="11">
        <f t="shared" si="351"/>
        <v>26.242800000000003</v>
      </c>
      <c r="I2260" s="11">
        <f t="shared" si="352"/>
        <v>0.19</v>
      </c>
      <c r="J2260" s="12">
        <f t="shared" si="353"/>
        <v>27.627199999999995</v>
      </c>
      <c r="K2260" s="17" t="str">
        <f t="shared" si="358"/>
        <v>Ecart positif</v>
      </c>
      <c r="L2260" s="16">
        <f>base!X2260</f>
        <v>0</v>
      </c>
      <c r="M2260" s="11">
        <f t="shared" si="354"/>
        <v>0</v>
      </c>
      <c r="N2260" s="11">
        <f t="shared" si="355"/>
        <v>0</v>
      </c>
      <c r="O2260" s="11">
        <f t="shared" si="356"/>
        <v>0</v>
      </c>
      <c r="P2260" s="12">
        <f t="shared" si="357"/>
        <v>0</v>
      </c>
      <c r="Q2260" s="17" t="str">
        <f t="shared" si="359"/>
        <v>Pas d'écart</v>
      </c>
    </row>
    <row r="2261" spans="1:17" x14ac:dyDescent="0.3">
      <c r="A2261" s="34" t="str">
        <f>base!J2261</f>
        <v>LS</v>
      </c>
      <c r="B2261" s="34" t="str">
        <f>base!V2261</f>
        <v>69002</v>
      </c>
      <c r="C2261" s="37">
        <v>62</v>
      </c>
      <c r="D2261" s="36">
        <f>base!H2261</f>
        <v>127.8</v>
      </c>
      <c r="E2261" s="44"/>
      <c r="F2261" s="16">
        <f>base!W2261</f>
        <v>34.51</v>
      </c>
      <c r="G2261" s="11">
        <f t="shared" si="350"/>
        <v>0.27003129890453831</v>
      </c>
      <c r="H2261" s="11">
        <f t="shared" si="351"/>
        <v>24.282</v>
      </c>
      <c r="I2261" s="11">
        <f t="shared" si="352"/>
        <v>0.19</v>
      </c>
      <c r="J2261" s="12">
        <f t="shared" si="353"/>
        <v>10.227999999999998</v>
      </c>
      <c r="K2261" s="17" t="str">
        <f t="shared" si="358"/>
        <v>Ecart positif</v>
      </c>
      <c r="L2261" s="16">
        <f>base!X2261</f>
        <v>0</v>
      </c>
      <c r="M2261" s="11">
        <f t="shared" si="354"/>
        <v>0</v>
      </c>
      <c r="N2261" s="11">
        <f t="shared" si="355"/>
        <v>0</v>
      </c>
      <c r="O2261" s="11">
        <f t="shared" si="356"/>
        <v>0</v>
      </c>
      <c r="P2261" s="12">
        <f t="shared" si="357"/>
        <v>0</v>
      </c>
      <c r="Q2261" s="17" t="str">
        <f t="shared" si="359"/>
        <v>Pas d'écart</v>
      </c>
    </row>
    <row r="2262" spans="1:17" x14ac:dyDescent="0.3">
      <c r="A2262" s="34" t="str">
        <f>base!J2262</f>
        <v>LM</v>
      </c>
      <c r="B2262" s="34" t="str">
        <f>base!V2262</f>
        <v>14000</v>
      </c>
      <c r="C2262" s="37">
        <v>60</v>
      </c>
      <c r="D2262" s="36">
        <f>base!H2262</f>
        <v>143.57</v>
      </c>
      <c r="E2262" s="44"/>
      <c r="F2262" s="16">
        <f>base!W2262</f>
        <v>24.41</v>
      </c>
      <c r="G2262" s="11">
        <f t="shared" si="350"/>
        <v>0.1700215922546493</v>
      </c>
      <c r="H2262" s="11">
        <f t="shared" si="351"/>
        <v>27.278299999999998</v>
      </c>
      <c r="I2262" s="11">
        <f t="shared" si="352"/>
        <v>0.19</v>
      </c>
      <c r="J2262" s="12">
        <f t="shared" si="353"/>
        <v>-2.8682999999999979</v>
      </c>
      <c r="K2262" s="17" t="str">
        <f t="shared" si="358"/>
        <v>Ecart négatif</v>
      </c>
      <c r="L2262" s="16">
        <f>base!X2262</f>
        <v>0</v>
      </c>
      <c r="M2262" s="11">
        <f t="shared" si="354"/>
        <v>0</v>
      </c>
      <c r="N2262" s="11">
        <f t="shared" si="355"/>
        <v>0</v>
      </c>
      <c r="O2262" s="11">
        <f t="shared" si="356"/>
        <v>0</v>
      </c>
      <c r="P2262" s="12">
        <f t="shared" si="357"/>
        <v>0</v>
      </c>
      <c r="Q2262" s="17" t="str">
        <f t="shared" si="359"/>
        <v>Pas d'écart</v>
      </c>
    </row>
    <row r="2263" spans="1:17" x14ac:dyDescent="0.3">
      <c r="A2263" s="34">
        <f>base!J2263</f>
        <v>0</v>
      </c>
      <c r="B2263" s="34" t="str">
        <f>base!V2263</f>
        <v>77184</v>
      </c>
      <c r="C2263" s="37">
        <v>77</v>
      </c>
      <c r="D2263" s="36">
        <f>base!H2263</f>
        <v>72.400000000000006</v>
      </c>
      <c r="E2263" s="44"/>
      <c r="F2263" s="16">
        <f>base!W2263</f>
        <v>0</v>
      </c>
      <c r="G2263" s="11">
        <f t="shared" si="350"/>
        <v>0</v>
      </c>
      <c r="H2263" s="11">
        <f t="shared" si="351"/>
        <v>0</v>
      </c>
      <c r="I2263" s="11">
        <f t="shared" si="352"/>
        <v>0</v>
      </c>
      <c r="J2263" s="12">
        <f t="shared" si="353"/>
        <v>0</v>
      </c>
      <c r="K2263" s="17" t="str">
        <f t="shared" si="358"/>
        <v>Pas d'écart</v>
      </c>
      <c r="L2263" s="16">
        <f>base!X2263</f>
        <v>0</v>
      </c>
      <c r="M2263" s="11">
        <f t="shared" si="354"/>
        <v>0</v>
      </c>
      <c r="N2263" s="11">
        <f t="shared" si="355"/>
        <v>0</v>
      </c>
      <c r="O2263" s="11">
        <f t="shared" si="356"/>
        <v>0</v>
      </c>
      <c r="P2263" s="12">
        <f t="shared" si="357"/>
        <v>0</v>
      </c>
      <c r="Q2263" s="17" t="str">
        <f t="shared" si="359"/>
        <v>Pas d'écart</v>
      </c>
    </row>
    <row r="2264" spans="1:17" x14ac:dyDescent="0.3">
      <c r="A2264" s="34">
        <f>base!J2264</f>
        <v>0</v>
      </c>
      <c r="B2264" s="34" t="str">
        <f>base!V2264</f>
        <v>77184</v>
      </c>
      <c r="C2264" s="37">
        <v>77</v>
      </c>
      <c r="D2264" s="36">
        <f>base!H2264</f>
        <v>134.18</v>
      </c>
      <c r="E2264" s="44"/>
      <c r="F2264" s="16">
        <f>base!W2264</f>
        <v>0</v>
      </c>
      <c r="G2264" s="11">
        <f t="shared" si="350"/>
        <v>0</v>
      </c>
      <c r="H2264" s="11">
        <f t="shared" si="351"/>
        <v>0</v>
      </c>
      <c r="I2264" s="11">
        <f t="shared" si="352"/>
        <v>0</v>
      </c>
      <c r="J2264" s="12">
        <f t="shared" si="353"/>
        <v>0</v>
      </c>
      <c r="K2264" s="17" t="str">
        <f t="shared" si="358"/>
        <v>Pas d'écart</v>
      </c>
      <c r="L2264" s="16">
        <f>base!X2264</f>
        <v>0</v>
      </c>
      <c r="M2264" s="11">
        <f t="shared" si="354"/>
        <v>0</v>
      </c>
      <c r="N2264" s="11">
        <f t="shared" si="355"/>
        <v>0</v>
      </c>
      <c r="O2264" s="11">
        <f t="shared" si="356"/>
        <v>0</v>
      </c>
      <c r="P2264" s="12">
        <f t="shared" si="357"/>
        <v>0</v>
      </c>
      <c r="Q2264" s="17" t="str">
        <f t="shared" si="359"/>
        <v>Pas d'écart</v>
      </c>
    </row>
    <row r="2265" spans="1:17" x14ac:dyDescent="0.3">
      <c r="A2265" s="34" t="str">
        <f>base!J2265</f>
        <v>LM</v>
      </c>
      <c r="B2265" s="34" t="str">
        <f>base!V2265</f>
        <v>59270</v>
      </c>
      <c r="C2265" s="37">
        <v>59</v>
      </c>
      <c r="D2265" s="36">
        <f>base!H2265</f>
        <v>40</v>
      </c>
      <c r="E2265" s="44"/>
      <c r="F2265" s="16">
        <f>base!W2265</f>
        <v>7.6</v>
      </c>
      <c r="G2265" s="11">
        <f t="shared" si="350"/>
        <v>0.19</v>
      </c>
      <c r="H2265" s="11">
        <f t="shared" si="351"/>
        <v>7.6</v>
      </c>
      <c r="I2265" s="11">
        <f t="shared" si="352"/>
        <v>0.19</v>
      </c>
      <c r="J2265" s="12">
        <f t="shared" si="353"/>
        <v>0</v>
      </c>
      <c r="K2265" s="17" t="str">
        <f t="shared" si="358"/>
        <v>Pas d'écart</v>
      </c>
      <c r="L2265" s="16">
        <f>base!X2265</f>
        <v>0</v>
      </c>
      <c r="M2265" s="11">
        <f t="shared" si="354"/>
        <v>0</v>
      </c>
      <c r="N2265" s="11">
        <f t="shared" si="355"/>
        <v>0</v>
      </c>
      <c r="O2265" s="11">
        <f t="shared" si="356"/>
        <v>0</v>
      </c>
      <c r="P2265" s="12">
        <f t="shared" si="357"/>
        <v>0</v>
      </c>
      <c r="Q2265" s="17" t="str">
        <f t="shared" si="359"/>
        <v>Pas d'écart</v>
      </c>
    </row>
    <row r="2266" spans="1:17" x14ac:dyDescent="0.3">
      <c r="A2266" s="34" t="str">
        <f>base!J2266</f>
        <v>LS</v>
      </c>
      <c r="B2266" s="34" t="str">
        <f>base!V2266</f>
        <v>94550</v>
      </c>
      <c r="C2266" s="37">
        <v>94</v>
      </c>
      <c r="D2266" s="36">
        <f>base!H2266</f>
        <v>137.59</v>
      </c>
      <c r="E2266" s="44"/>
      <c r="F2266" s="16">
        <f>base!W2266</f>
        <v>0</v>
      </c>
      <c r="G2266" s="11">
        <f t="shared" si="350"/>
        <v>0</v>
      </c>
      <c r="H2266" s="11">
        <f t="shared" si="351"/>
        <v>0</v>
      </c>
      <c r="I2266" s="11">
        <f t="shared" si="352"/>
        <v>0</v>
      </c>
      <c r="J2266" s="12">
        <f t="shared" si="353"/>
        <v>0</v>
      </c>
      <c r="K2266" s="17" t="str">
        <f t="shared" si="358"/>
        <v>Pas d'écart</v>
      </c>
      <c r="L2266" s="16">
        <f>base!X2266</f>
        <v>0</v>
      </c>
      <c r="M2266" s="11">
        <f t="shared" si="354"/>
        <v>0</v>
      </c>
      <c r="N2266" s="11">
        <f t="shared" si="355"/>
        <v>0</v>
      </c>
      <c r="O2266" s="11">
        <f t="shared" si="356"/>
        <v>0</v>
      </c>
      <c r="P2266" s="12">
        <f t="shared" si="357"/>
        <v>0</v>
      </c>
      <c r="Q2266" s="17" t="str">
        <f t="shared" si="359"/>
        <v>Pas d'écart</v>
      </c>
    </row>
    <row r="2267" spans="1:17" x14ac:dyDescent="0.3">
      <c r="A2267" s="34" t="str">
        <f>base!J2267</f>
        <v>LM</v>
      </c>
      <c r="B2267" s="34" t="str">
        <f>base!V2267</f>
        <v>60100</v>
      </c>
      <c r="C2267" s="37">
        <v>62</v>
      </c>
      <c r="D2267" s="36">
        <f>base!H2267</f>
        <v>33.35</v>
      </c>
      <c r="E2267" s="44"/>
      <c r="F2267" s="16">
        <f>base!W2267</f>
        <v>6.34</v>
      </c>
      <c r="G2267" s="11">
        <f t="shared" si="350"/>
        <v>0.19010494752623686</v>
      </c>
      <c r="H2267" s="11">
        <f t="shared" si="351"/>
        <v>6.3365</v>
      </c>
      <c r="I2267" s="11">
        <f t="shared" si="352"/>
        <v>0.19</v>
      </c>
      <c r="J2267" s="12">
        <f t="shared" si="353"/>
        <v>3.4999999999998366E-3</v>
      </c>
      <c r="K2267" s="17" t="str">
        <f t="shared" si="358"/>
        <v>Ecart positif</v>
      </c>
      <c r="L2267" s="16">
        <f>base!X2267</f>
        <v>0</v>
      </c>
      <c r="M2267" s="11">
        <f t="shared" si="354"/>
        <v>0</v>
      </c>
      <c r="N2267" s="11">
        <f t="shared" si="355"/>
        <v>0</v>
      </c>
      <c r="O2267" s="11">
        <f t="shared" si="356"/>
        <v>0</v>
      </c>
      <c r="P2267" s="12">
        <f t="shared" si="357"/>
        <v>0</v>
      </c>
      <c r="Q2267" s="17" t="str">
        <f t="shared" si="359"/>
        <v>Pas d'écart</v>
      </c>
    </row>
    <row r="2268" spans="1:17" x14ac:dyDescent="0.3">
      <c r="A2268" s="34" t="str">
        <f>base!J2268</f>
        <v>LM</v>
      </c>
      <c r="B2268" s="34" t="str">
        <f>base!V2268</f>
        <v>52800</v>
      </c>
      <c r="C2268" s="37">
        <v>59</v>
      </c>
      <c r="D2268" s="36">
        <f>base!H2268</f>
        <v>22.62</v>
      </c>
      <c r="E2268" s="44"/>
      <c r="F2268" s="16">
        <f>base!W2268</f>
        <v>5.43</v>
      </c>
      <c r="G2268" s="11">
        <f t="shared" si="350"/>
        <v>0.24005305039787797</v>
      </c>
      <c r="H2268" s="11">
        <f t="shared" si="351"/>
        <v>4.2978000000000005</v>
      </c>
      <c r="I2268" s="11">
        <f t="shared" si="352"/>
        <v>0.19</v>
      </c>
      <c r="J2268" s="12">
        <f t="shared" si="353"/>
        <v>1.1321999999999992</v>
      </c>
      <c r="K2268" s="17" t="str">
        <f t="shared" si="358"/>
        <v>Ecart positif</v>
      </c>
      <c r="L2268" s="16">
        <f>base!X2268</f>
        <v>0</v>
      </c>
      <c r="M2268" s="11">
        <f t="shared" si="354"/>
        <v>0</v>
      </c>
      <c r="N2268" s="11">
        <f t="shared" si="355"/>
        <v>0</v>
      </c>
      <c r="O2268" s="11">
        <f t="shared" si="356"/>
        <v>0</v>
      </c>
      <c r="P2268" s="12">
        <f t="shared" si="357"/>
        <v>0</v>
      </c>
      <c r="Q2268" s="17" t="str">
        <f t="shared" si="359"/>
        <v>Pas d'écart</v>
      </c>
    </row>
    <row r="2269" spans="1:17" x14ac:dyDescent="0.3">
      <c r="A2269" s="34" t="str">
        <f>base!J2269</f>
        <v>LM</v>
      </c>
      <c r="B2269" s="34" t="str">
        <f>base!V2269</f>
        <v>34980</v>
      </c>
      <c r="C2269" s="37">
        <v>62</v>
      </c>
      <c r="D2269" s="36">
        <f>base!H2269</f>
        <v>132.01</v>
      </c>
      <c r="E2269" s="44"/>
      <c r="F2269" s="16">
        <f>base!W2269</f>
        <v>51.48</v>
      </c>
      <c r="G2269" s="11">
        <f t="shared" si="350"/>
        <v>0.389970456783577</v>
      </c>
      <c r="H2269" s="11">
        <f t="shared" si="351"/>
        <v>25.081899999999997</v>
      </c>
      <c r="I2269" s="11">
        <f t="shared" si="352"/>
        <v>0.19</v>
      </c>
      <c r="J2269" s="12">
        <f t="shared" si="353"/>
        <v>26.398099999999999</v>
      </c>
      <c r="K2269" s="17" t="str">
        <f t="shared" si="358"/>
        <v>Ecart positif</v>
      </c>
      <c r="L2269" s="16">
        <f>base!X2269</f>
        <v>0</v>
      </c>
      <c r="M2269" s="11">
        <f t="shared" si="354"/>
        <v>0</v>
      </c>
      <c r="N2269" s="11">
        <f t="shared" si="355"/>
        <v>0</v>
      </c>
      <c r="O2269" s="11">
        <f t="shared" si="356"/>
        <v>0</v>
      </c>
      <c r="P2269" s="12">
        <f t="shared" si="357"/>
        <v>0</v>
      </c>
      <c r="Q2269" s="17" t="str">
        <f t="shared" si="359"/>
        <v>Pas d'écart</v>
      </c>
    </row>
    <row r="2270" spans="1:17" x14ac:dyDescent="0.3">
      <c r="A2270" s="34" t="str">
        <f>base!J2270</f>
        <v>LS</v>
      </c>
      <c r="B2270" s="34" t="str">
        <f>base!V2270</f>
        <v>44140</v>
      </c>
      <c r="C2270" s="37">
        <v>62</v>
      </c>
      <c r="D2270" s="36">
        <f>base!H2270</f>
        <v>151</v>
      </c>
      <c r="E2270" s="44"/>
      <c r="F2270" s="16">
        <f>base!W2270</f>
        <v>40.770000000000003</v>
      </c>
      <c r="G2270" s="11">
        <f t="shared" si="350"/>
        <v>0.27</v>
      </c>
      <c r="H2270" s="11">
        <f t="shared" si="351"/>
        <v>28.69</v>
      </c>
      <c r="I2270" s="11">
        <f t="shared" si="352"/>
        <v>0.19</v>
      </c>
      <c r="J2270" s="12">
        <f t="shared" si="353"/>
        <v>12.080000000000002</v>
      </c>
      <c r="K2270" s="17" t="str">
        <f t="shared" si="358"/>
        <v>Ecart positif</v>
      </c>
      <c r="L2270" s="16">
        <f>base!X2270</f>
        <v>0</v>
      </c>
      <c r="M2270" s="11">
        <f t="shared" si="354"/>
        <v>0</v>
      </c>
      <c r="N2270" s="11">
        <f t="shared" si="355"/>
        <v>0</v>
      </c>
      <c r="O2270" s="11">
        <f t="shared" si="356"/>
        <v>0</v>
      </c>
      <c r="P2270" s="12">
        <f t="shared" si="357"/>
        <v>0</v>
      </c>
      <c r="Q2270" s="17" t="str">
        <f t="shared" si="359"/>
        <v>Pas d'écart</v>
      </c>
    </row>
    <row r="2271" spans="1:17" x14ac:dyDescent="0.3">
      <c r="A2271" s="34">
        <f>base!J2271</f>
        <v>0</v>
      </c>
      <c r="B2271" s="34" t="str">
        <f>base!V2271</f>
        <v>77184</v>
      </c>
      <c r="C2271" s="37">
        <v>77</v>
      </c>
      <c r="D2271" s="36">
        <f>base!H2271</f>
        <v>32.65</v>
      </c>
      <c r="E2271" s="44"/>
      <c r="F2271" s="16">
        <f>base!W2271</f>
        <v>0</v>
      </c>
      <c r="G2271" s="11">
        <f t="shared" si="350"/>
        <v>0</v>
      </c>
      <c r="H2271" s="11">
        <f t="shared" si="351"/>
        <v>0</v>
      </c>
      <c r="I2271" s="11">
        <f t="shared" si="352"/>
        <v>0</v>
      </c>
      <c r="J2271" s="12">
        <f t="shared" si="353"/>
        <v>0</v>
      </c>
      <c r="K2271" s="17" t="str">
        <f t="shared" si="358"/>
        <v>Pas d'écart</v>
      </c>
      <c r="L2271" s="16">
        <f>base!X2271</f>
        <v>0</v>
      </c>
      <c r="M2271" s="11">
        <f t="shared" si="354"/>
        <v>0</v>
      </c>
      <c r="N2271" s="11">
        <f t="shared" si="355"/>
        <v>0</v>
      </c>
      <c r="O2271" s="11">
        <f t="shared" si="356"/>
        <v>0</v>
      </c>
      <c r="P2271" s="12">
        <f t="shared" si="357"/>
        <v>0</v>
      </c>
      <c r="Q2271" s="17" t="str">
        <f t="shared" si="359"/>
        <v>Pas d'écart</v>
      </c>
    </row>
    <row r="2272" spans="1:17" x14ac:dyDescent="0.3">
      <c r="A2272" s="34">
        <f>base!J2272</f>
        <v>0</v>
      </c>
      <c r="B2272" s="34" t="str">
        <f>base!V2272</f>
        <v>77184</v>
      </c>
      <c r="C2272" s="37">
        <v>77</v>
      </c>
      <c r="D2272" s="36">
        <f>base!H2272</f>
        <v>194</v>
      </c>
      <c r="E2272" s="44"/>
      <c r="F2272" s="16">
        <f>base!W2272</f>
        <v>0</v>
      </c>
      <c r="G2272" s="11">
        <f t="shared" si="350"/>
        <v>0</v>
      </c>
      <c r="H2272" s="11">
        <f t="shared" si="351"/>
        <v>0</v>
      </c>
      <c r="I2272" s="11">
        <f t="shared" si="352"/>
        <v>0</v>
      </c>
      <c r="J2272" s="12">
        <f t="shared" si="353"/>
        <v>0</v>
      </c>
      <c r="K2272" s="17" t="str">
        <f t="shared" si="358"/>
        <v>Pas d'écart</v>
      </c>
      <c r="L2272" s="16">
        <f>base!X2272</f>
        <v>0</v>
      </c>
      <c r="M2272" s="11">
        <f t="shared" si="354"/>
        <v>0</v>
      </c>
      <c r="N2272" s="11">
        <f t="shared" si="355"/>
        <v>0</v>
      </c>
      <c r="O2272" s="11">
        <f t="shared" si="356"/>
        <v>0</v>
      </c>
      <c r="P2272" s="12">
        <f t="shared" si="357"/>
        <v>0</v>
      </c>
      <c r="Q2272" s="17" t="str">
        <f t="shared" si="359"/>
        <v>Pas d'écart</v>
      </c>
    </row>
    <row r="2273" spans="1:18" x14ac:dyDescent="0.3">
      <c r="A2273" s="34">
        <f>base!J2273</f>
        <v>0</v>
      </c>
      <c r="B2273" s="34" t="str">
        <f>base!V2273</f>
        <v>77184</v>
      </c>
      <c r="C2273" s="37">
        <v>77</v>
      </c>
      <c r="D2273" s="36">
        <f>base!H2273</f>
        <v>31</v>
      </c>
      <c r="E2273" s="44"/>
      <c r="F2273" s="16">
        <f>base!W2273</f>
        <v>0</v>
      </c>
      <c r="G2273" s="11">
        <f t="shared" si="350"/>
        <v>0</v>
      </c>
      <c r="H2273" s="11">
        <f t="shared" si="351"/>
        <v>0</v>
      </c>
      <c r="I2273" s="11">
        <f t="shared" si="352"/>
        <v>0</v>
      </c>
      <c r="J2273" s="12">
        <f t="shared" si="353"/>
        <v>0</v>
      </c>
      <c r="K2273" s="17" t="str">
        <f t="shared" si="358"/>
        <v>Pas d'écart</v>
      </c>
      <c r="L2273" s="16">
        <f>base!X2273</f>
        <v>0</v>
      </c>
      <c r="M2273" s="11">
        <f t="shared" si="354"/>
        <v>0</v>
      </c>
      <c r="N2273" s="11">
        <f t="shared" si="355"/>
        <v>0</v>
      </c>
      <c r="O2273" s="11">
        <f t="shared" si="356"/>
        <v>0</v>
      </c>
      <c r="P2273" s="12">
        <f t="shared" si="357"/>
        <v>0</v>
      </c>
      <c r="Q2273" s="17" t="str">
        <f t="shared" si="359"/>
        <v>Pas d'écart</v>
      </c>
    </row>
    <row r="2274" spans="1:18" x14ac:dyDescent="0.3">
      <c r="A2274" s="34" t="str">
        <f>base!J2274</f>
        <v>LS</v>
      </c>
      <c r="B2274" s="34" t="str">
        <f>base!V2274</f>
        <v>38113</v>
      </c>
      <c r="C2274" s="37">
        <v>62</v>
      </c>
      <c r="D2274" s="36">
        <f>base!H2274</f>
        <v>130.33000000000001</v>
      </c>
      <c r="E2274" s="44"/>
      <c r="F2274" s="16">
        <f>base!W2274</f>
        <v>35.19</v>
      </c>
      <c r="G2274" s="11">
        <f t="shared" si="350"/>
        <v>0.27000690554745643</v>
      </c>
      <c r="H2274" s="11">
        <f t="shared" si="351"/>
        <v>24.762700000000002</v>
      </c>
      <c r="I2274" s="11">
        <f t="shared" si="352"/>
        <v>0.19</v>
      </c>
      <c r="J2274" s="12">
        <f t="shared" si="353"/>
        <v>10.427299999999995</v>
      </c>
      <c r="K2274" s="17" t="str">
        <f t="shared" si="358"/>
        <v>Ecart positif</v>
      </c>
      <c r="L2274" s="16">
        <f>base!X2274</f>
        <v>0</v>
      </c>
      <c r="M2274" s="11">
        <f t="shared" si="354"/>
        <v>0</v>
      </c>
      <c r="N2274" s="11">
        <f t="shared" si="355"/>
        <v>0</v>
      </c>
      <c r="O2274" s="11">
        <f t="shared" si="356"/>
        <v>0</v>
      </c>
      <c r="P2274" s="12">
        <f t="shared" si="357"/>
        <v>0</v>
      </c>
      <c r="Q2274" s="17" t="str">
        <f t="shared" si="359"/>
        <v>Pas d'écart</v>
      </c>
    </row>
    <row r="2275" spans="1:18" x14ac:dyDescent="0.3">
      <c r="A2275" s="34" t="str">
        <f>base!J2275</f>
        <v>RS</v>
      </c>
      <c r="B2275" s="34" t="str">
        <f>base!V2275</f>
        <v>62740</v>
      </c>
      <c r="C2275" s="37">
        <v>62</v>
      </c>
      <c r="D2275" s="36">
        <f>base!H2275</f>
        <v>40</v>
      </c>
      <c r="E2275" s="44"/>
      <c r="F2275" s="16">
        <f>base!W2275</f>
        <v>0</v>
      </c>
      <c r="G2275" s="11">
        <f t="shared" si="350"/>
        <v>0</v>
      </c>
      <c r="H2275" s="11">
        <f t="shared" si="351"/>
        <v>7.6</v>
      </c>
      <c r="I2275" s="11">
        <f t="shared" si="352"/>
        <v>0.19</v>
      </c>
      <c r="J2275" s="12">
        <f t="shared" si="353"/>
        <v>-7.6</v>
      </c>
      <c r="K2275" s="17" t="str">
        <f t="shared" si="358"/>
        <v>Ecart négatif</v>
      </c>
      <c r="L2275" s="16">
        <f>base!X2275</f>
        <v>0</v>
      </c>
      <c r="M2275" s="11">
        <f t="shared" si="354"/>
        <v>0</v>
      </c>
      <c r="N2275" s="11">
        <f t="shared" si="355"/>
        <v>0</v>
      </c>
      <c r="O2275" s="11">
        <f t="shared" si="356"/>
        <v>0</v>
      </c>
      <c r="P2275" s="12">
        <f t="shared" si="357"/>
        <v>0</v>
      </c>
      <c r="Q2275" s="17" t="str">
        <f t="shared" si="359"/>
        <v>Pas d'écart</v>
      </c>
    </row>
    <row r="2276" spans="1:18" x14ac:dyDescent="0.3">
      <c r="A2276" s="34" t="str">
        <f>base!J2276</f>
        <v>RS</v>
      </c>
      <c r="B2276" s="34" t="str">
        <f>base!V2276</f>
        <v>13290</v>
      </c>
      <c r="C2276" s="37">
        <v>13</v>
      </c>
      <c r="D2276" s="36">
        <f>base!H2276</f>
        <v>123.37</v>
      </c>
      <c r="E2276" s="44"/>
      <c r="F2276" s="16">
        <f>base!W2276</f>
        <v>0</v>
      </c>
      <c r="G2276" s="11">
        <f t="shared" si="350"/>
        <v>0</v>
      </c>
      <c r="H2276" s="11">
        <f t="shared" si="351"/>
        <v>35.777299999999997</v>
      </c>
      <c r="I2276" s="11">
        <f t="shared" si="352"/>
        <v>0.28999999999999998</v>
      </c>
      <c r="J2276" s="12">
        <f t="shared" si="353"/>
        <v>-35.777299999999997</v>
      </c>
      <c r="K2276" s="17" t="str">
        <f t="shared" si="358"/>
        <v>Ecart négatif</v>
      </c>
      <c r="L2276" s="16">
        <f>base!X2276</f>
        <v>0</v>
      </c>
      <c r="M2276" s="11">
        <f t="shared" si="354"/>
        <v>0</v>
      </c>
      <c r="N2276" s="11">
        <f t="shared" si="355"/>
        <v>23.440300000000001</v>
      </c>
      <c r="O2276" s="11">
        <f t="shared" si="356"/>
        <v>0.19</v>
      </c>
      <c r="P2276" s="12">
        <f t="shared" si="357"/>
        <v>-23.440300000000001</v>
      </c>
      <c r="Q2276" s="17" t="str">
        <f t="shared" si="359"/>
        <v>Ecart négatif</v>
      </c>
    </row>
    <row r="2277" spans="1:18" x14ac:dyDescent="0.3">
      <c r="A2277" s="34" t="str">
        <f>base!J2277</f>
        <v>LS</v>
      </c>
      <c r="B2277" s="34" t="str">
        <f>base!V2277</f>
        <v>44300</v>
      </c>
      <c r="C2277" s="37">
        <v>60</v>
      </c>
      <c r="D2277" s="36">
        <f>base!H2277</f>
        <v>120.85</v>
      </c>
      <c r="E2277" s="44"/>
      <c r="F2277" s="16">
        <f>base!W2277</f>
        <v>32.630000000000003</v>
      </c>
      <c r="G2277" s="11">
        <f t="shared" si="350"/>
        <v>0.2700041373603641</v>
      </c>
      <c r="H2277" s="11">
        <f t="shared" si="351"/>
        <v>22.961500000000001</v>
      </c>
      <c r="I2277" s="11">
        <f t="shared" si="352"/>
        <v>0.19000000000000003</v>
      </c>
      <c r="J2277" s="12">
        <f t="shared" si="353"/>
        <v>9.6685000000000016</v>
      </c>
      <c r="K2277" s="17" t="str">
        <f t="shared" si="358"/>
        <v>Ecart positif</v>
      </c>
      <c r="L2277" s="16">
        <f>base!X2277</f>
        <v>0</v>
      </c>
      <c r="M2277" s="11">
        <f t="shared" si="354"/>
        <v>0</v>
      </c>
      <c r="N2277" s="11">
        <f t="shared" si="355"/>
        <v>0</v>
      </c>
      <c r="O2277" s="11">
        <f t="shared" si="356"/>
        <v>0</v>
      </c>
      <c r="P2277" s="12">
        <f t="shared" si="357"/>
        <v>0</v>
      </c>
      <c r="Q2277" s="17" t="str">
        <f t="shared" si="359"/>
        <v>Pas d'écart</v>
      </c>
    </row>
    <row r="2278" spans="1:18" x14ac:dyDescent="0.3">
      <c r="A2278" s="34" t="str">
        <f>base!J2278</f>
        <v>RM</v>
      </c>
      <c r="B2278" s="34" t="str">
        <f>base!V2278</f>
        <v>54000</v>
      </c>
      <c r="C2278" s="37">
        <v>54</v>
      </c>
      <c r="D2278" s="36">
        <f>base!H2278</f>
        <v>37.19</v>
      </c>
      <c r="E2278" s="44"/>
      <c r="F2278" s="16">
        <f>base!W2278</f>
        <v>0</v>
      </c>
      <c r="G2278" s="11">
        <f t="shared" si="350"/>
        <v>0</v>
      </c>
      <c r="H2278" s="11">
        <f t="shared" si="351"/>
        <v>9.2974999999999994</v>
      </c>
      <c r="I2278" s="11">
        <f t="shared" si="352"/>
        <v>0.25</v>
      </c>
      <c r="J2278" s="12">
        <f t="shared" si="353"/>
        <v>-9.2974999999999994</v>
      </c>
      <c r="K2278" s="17" t="str">
        <f t="shared" si="358"/>
        <v>Ecart négatif</v>
      </c>
      <c r="L2278" s="16">
        <f>base!X2278</f>
        <v>9.3000000000000007</v>
      </c>
      <c r="M2278" s="11">
        <f t="shared" si="354"/>
        <v>0.25006722237160528</v>
      </c>
      <c r="N2278" s="11">
        <f t="shared" si="355"/>
        <v>9.2974999999999994</v>
      </c>
      <c r="O2278" s="11">
        <f t="shared" si="356"/>
        <v>0.25</v>
      </c>
      <c r="P2278" s="12">
        <f t="shared" si="357"/>
        <v>2.500000000001279E-3</v>
      </c>
      <c r="Q2278" s="17" t="str">
        <f t="shared" si="359"/>
        <v>Ecart positif</v>
      </c>
      <c r="R2278" s="38"/>
    </row>
    <row r="2279" spans="1:18" x14ac:dyDescent="0.3">
      <c r="A2279" s="34" t="str">
        <f>base!J2279</f>
        <v>LM</v>
      </c>
      <c r="B2279" s="34" t="str">
        <f>base!V2279</f>
        <v>29200</v>
      </c>
      <c r="C2279" s="37">
        <v>62</v>
      </c>
      <c r="D2279" s="36">
        <f>base!H2279</f>
        <v>86.57</v>
      </c>
      <c r="E2279" s="44"/>
      <c r="F2279" s="16">
        <f>base!W2279</f>
        <v>33.76</v>
      </c>
      <c r="G2279" s="11">
        <f t="shared" si="350"/>
        <v>0.38997343190481693</v>
      </c>
      <c r="H2279" s="11">
        <f t="shared" si="351"/>
        <v>16.4483</v>
      </c>
      <c r="I2279" s="11">
        <f t="shared" si="352"/>
        <v>0.19</v>
      </c>
      <c r="J2279" s="12">
        <f t="shared" si="353"/>
        <v>17.311699999999998</v>
      </c>
      <c r="K2279" s="17" t="str">
        <f t="shared" si="358"/>
        <v>Ecart positif</v>
      </c>
      <c r="L2279" s="16">
        <f>base!X2279</f>
        <v>0</v>
      </c>
      <c r="M2279" s="11">
        <f t="shared" si="354"/>
        <v>0</v>
      </c>
      <c r="N2279" s="11">
        <f t="shared" si="355"/>
        <v>0</v>
      </c>
      <c r="O2279" s="11">
        <f t="shared" si="356"/>
        <v>0</v>
      </c>
      <c r="P2279" s="12">
        <f t="shared" si="357"/>
        <v>0</v>
      </c>
      <c r="Q2279" s="17" t="str">
        <f t="shared" si="359"/>
        <v>Pas d'écart</v>
      </c>
    </row>
    <row r="2280" spans="1:18" x14ac:dyDescent="0.3">
      <c r="A2280" s="34" t="str">
        <f>base!J2280</f>
        <v>LS</v>
      </c>
      <c r="B2280" s="34" t="str">
        <f>base!V2280</f>
        <v>57160</v>
      </c>
      <c r="C2280" s="37">
        <v>62</v>
      </c>
      <c r="D2280" s="36">
        <f>base!H2280</f>
        <v>24.2</v>
      </c>
      <c r="E2280" s="44"/>
      <c r="F2280" s="16">
        <f>base!W2280</f>
        <v>6.05</v>
      </c>
      <c r="G2280" s="11">
        <f t="shared" si="350"/>
        <v>0.25</v>
      </c>
      <c r="H2280" s="11">
        <f t="shared" si="351"/>
        <v>4.5979999999999999</v>
      </c>
      <c r="I2280" s="11">
        <f t="shared" si="352"/>
        <v>0.19</v>
      </c>
      <c r="J2280" s="12">
        <f t="shared" si="353"/>
        <v>1.452</v>
      </c>
      <c r="K2280" s="17" t="str">
        <f t="shared" si="358"/>
        <v>Ecart positif</v>
      </c>
      <c r="L2280" s="16">
        <f>base!X2280</f>
        <v>0</v>
      </c>
      <c r="M2280" s="11">
        <f t="shared" si="354"/>
        <v>0</v>
      </c>
      <c r="N2280" s="11">
        <f t="shared" si="355"/>
        <v>0</v>
      </c>
      <c r="O2280" s="11">
        <f t="shared" si="356"/>
        <v>0</v>
      </c>
      <c r="P2280" s="12">
        <f t="shared" si="357"/>
        <v>0</v>
      </c>
      <c r="Q2280" s="17" t="str">
        <f t="shared" si="359"/>
        <v>Pas d'écart</v>
      </c>
    </row>
    <row r="2281" spans="1:18" x14ac:dyDescent="0.3">
      <c r="A2281" s="34" t="str">
        <f>base!J2281</f>
        <v>LS</v>
      </c>
      <c r="B2281" s="34" t="str">
        <f>base!V2281</f>
        <v>13010</v>
      </c>
      <c r="C2281" s="37">
        <v>13</v>
      </c>
      <c r="D2281" s="36">
        <f>base!H2281</f>
        <v>100</v>
      </c>
      <c r="E2281" s="44"/>
      <c r="F2281" s="16">
        <f>base!W2281</f>
        <v>29</v>
      </c>
      <c r="G2281" s="11">
        <f t="shared" si="350"/>
        <v>0.28999999999999998</v>
      </c>
      <c r="H2281" s="11">
        <f t="shared" si="351"/>
        <v>28.999999999999996</v>
      </c>
      <c r="I2281" s="11">
        <f t="shared" si="352"/>
        <v>0.28999999999999998</v>
      </c>
      <c r="J2281" s="12">
        <f t="shared" si="353"/>
        <v>0</v>
      </c>
      <c r="K2281" s="17" t="str">
        <f t="shared" si="358"/>
        <v>Pas d'écart</v>
      </c>
      <c r="L2281" s="16">
        <f>base!X2281</f>
        <v>0</v>
      </c>
      <c r="M2281" s="11">
        <f t="shared" si="354"/>
        <v>0</v>
      </c>
      <c r="N2281" s="11">
        <f t="shared" si="355"/>
        <v>19</v>
      </c>
      <c r="O2281" s="11">
        <f t="shared" si="356"/>
        <v>0.19</v>
      </c>
      <c r="P2281" s="12">
        <f t="shared" si="357"/>
        <v>-19</v>
      </c>
      <c r="Q2281" s="17" t="str">
        <f t="shared" si="359"/>
        <v>Ecart négatif</v>
      </c>
    </row>
    <row r="2282" spans="1:18" x14ac:dyDescent="0.3">
      <c r="A2282" s="34" t="str">
        <f>base!J2282</f>
        <v>LS</v>
      </c>
      <c r="B2282" s="34" t="str">
        <f>base!V2282</f>
        <v>67230</v>
      </c>
      <c r="C2282" s="37">
        <v>62</v>
      </c>
      <c r="D2282" s="36">
        <f>base!H2282</f>
        <v>126.65</v>
      </c>
      <c r="E2282" s="44"/>
      <c r="F2282" s="16">
        <f>base!W2282</f>
        <v>36.729999999999997</v>
      </c>
      <c r="G2282" s="11">
        <f t="shared" si="350"/>
        <v>0.29001184366363991</v>
      </c>
      <c r="H2282" s="11">
        <f t="shared" si="351"/>
        <v>24.063500000000001</v>
      </c>
      <c r="I2282" s="11">
        <f t="shared" si="352"/>
        <v>0.19</v>
      </c>
      <c r="J2282" s="12">
        <f t="shared" si="353"/>
        <v>12.666499999999996</v>
      </c>
      <c r="K2282" s="17" t="str">
        <f t="shared" si="358"/>
        <v>Ecart positif</v>
      </c>
      <c r="L2282" s="16">
        <f>base!X2282</f>
        <v>0</v>
      </c>
      <c r="M2282" s="11">
        <f t="shared" si="354"/>
        <v>0</v>
      </c>
      <c r="N2282" s="11">
        <f t="shared" si="355"/>
        <v>0</v>
      </c>
      <c r="O2282" s="11">
        <f t="shared" si="356"/>
        <v>0</v>
      </c>
      <c r="P2282" s="12">
        <f t="shared" si="357"/>
        <v>0</v>
      </c>
      <c r="Q2282" s="17" t="str">
        <f t="shared" si="359"/>
        <v>Pas d'écart</v>
      </c>
    </row>
    <row r="2283" spans="1:18" x14ac:dyDescent="0.3">
      <c r="A2283" s="34" t="str">
        <f>base!J2283</f>
        <v>LS</v>
      </c>
      <c r="B2283" s="34" t="str">
        <f>base!V2283</f>
        <v>14123</v>
      </c>
      <c r="C2283" s="37">
        <v>62</v>
      </c>
      <c r="D2283" s="36">
        <f>base!H2283</f>
        <v>18.350000000000001</v>
      </c>
      <c r="E2283" s="44"/>
      <c r="F2283" s="16">
        <f>base!W2283</f>
        <v>3.12</v>
      </c>
      <c r="G2283" s="11">
        <f t="shared" si="350"/>
        <v>0.17002724795640325</v>
      </c>
      <c r="H2283" s="11">
        <f t="shared" si="351"/>
        <v>3.4865000000000004</v>
      </c>
      <c r="I2283" s="11">
        <f t="shared" si="352"/>
        <v>0.19</v>
      </c>
      <c r="J2283" s="12">
        <f t="shared" si="353"/>
        <v>-0.36650000000000027</v>
      </c>
      <c r="K2283" s="17" t="str">
        <f t="shared" si="358"/>
        <v>Ecart négatif</v>
      </c>
      <c r="L2283" s="16">
        <f>base!X2283</f>
        <v>0</v>
      </c>
      <c r="M2283" s="11">
        <f t="shared" si="354"/>
        <v>0</v>
      </c>
      <c r="N2283" s="11">
        <f t="shared" si="355"/>
        <v>0</v>
      </c>
      <c r="O2283" s="11">
        <f t="shared" si="356"/>
        <v>0</v>
      </c>
      <c r="P2283" s="12">
        <f t="shared" si="357"/>
        <v>0</v>
      </c>
      <c r="Q2283" s="17" t="str">
        <f t="shared" si="359"/>
        <v>Pas d'écart</v>
      </c>
    </row>
    <row r="2284" spans="1:18" x14ac:dyDescent="0.3">
      <c r="A2284" s="34" t="str">
        <f>base!J2284</f>
        <v>RM</v>
      </c>
      <c r="B2284" s="34" t="str">
        <f>base!V2284</f>
        <v>75010</v>
      </c>
      <c r="C2284" s="37">
        <v>75</v>
      </c>
      <c r="D2284" s="36">
        <f>base!H2284</f>
        <v>119.94</v>
      </c>
      <c r="E2284" s="44"/>
      <c r="F2284" s="16">
        <f>base!W2284</f>
        <v>0</v>
      </c>
      <c r="G2284" s="11">
        <f t="shared" si="350"/>
        <v>0</v>
      </c>
      <c r="H2284" s="11">
        <f t="shared" si="351"/>
        <v>0</v>
      </c>
      <c r="I2284" s="11">
        <f t="shared" si="352"/>
        <v>0</v>
      </c>
      <c r="J2284" s="12">
        <f t="shared" si="353"/>
        <v>0</v>
      </c>
      <c r="K2284" s="17" t="str">
        <f t="shared" si="358"/>
        <v>Pas d'écart</v>
      </c>
      <c r="L2284" s="16">
        <f>base!X2284</f>
        <v>0</v>
      </c>
      <c r="M2284" s="11">
        <f t="shared" si="354"/>
        <v>0</v>
      </c>
      <c r="N2284" s="11">
        <f t="shared" si="355"/>
        <v>0</v>
      </c>
      <c r="O2284" s="11">
        <f t="shared" si="356"/>
        <v>0</v>
      </c>
      <c r="P2284" s="12">
        <f t="shared" si="357"/>
        <v>0</v>
      </c>
      <c r="Q2284" s="17" t="str">
        <f t="shared" si="359"/>
        <v>Pas d'écart</v>
      </c>
    </row>
    <row r="2285" spans="1:18" x14ac:dyDescent="0.3">
      <c r="A2285" s="34">
        <f>base!J2285</f>
        <v>0</v>
      </c>
      <c r="B2285" s="34" t="str">
        <f>base!V2285</f>
        <v>44240</v>
      </c>
      <c r="C2285" s="37">
        <v>44</v>
      </c>
      <c r="D2285" s="36">
        <f>base!H2285</f>
        <v>31</v>
      </c>
      <c r="E2285" s="44"/>
      <c r="F2285" s="16">
        <f>base!W2285</f>
        <v>0</v>
      </c>
      <c r="G2285" s="11">
        <f t="shared" si="350"/>
        <v>0</v>
      </c>
      <c r="H2285" s="11">
        <f t="shared" si="351"/>
        <v>8.370000000000001</v>
      </c>
      <c r="I2285" s="11">
        <f t="shared" si="352"/>
        <v>0.27</v>
      </c>
      <c r="J2285" s="12">
        <f t="shared" si="353"/>
        <v>-8.370000000000001</v>
      </c>
      <c r="K2285" s="17" t="str">
        <f t="shared" si="358"/>
        <v>Ecart négatif</v>
      </c>
      <c r="L2285" s="16">
        <f>base!X2285</f>
        <v>0</v>
      </c>
      <c r="M2285" s="11">
        <f t="shared" si="354"/>
        <v>0</v>
      </c>
      <c r="N2285" s="11">
        <f t="shared" si="355"/>
        <v>0</v>
      </c>
      <c r="O2285" s="11">
        <f t="shared" si="356"/>
        <v>0</v>
      </c>
      <c r="P2285" s="12">
        <f t="shared" si="357"/>
        <v>0</v>
      </c>
      <c r="Q2285" s="17" t="str">
        <f t="shared" si="359"/>
        <v>Pas d'écart</v>
      </c>
    </row>
    <row r="2286" spans="1:18" x14ac:dyDescent="0.3">
      <c r="A2286" s="34" t="str">
        <f>base!J2286</f>
        <v>LS</v>
      </c>
      <c r="B2286" s="34" t="str">
        <f>base!V2286</f>
        <v>19100</v>
      </c>
      <c r="C2286" s="37">
        <v>80</v>
      </c>
      <c r="D2286" s="36">
        <f>base!H2286</f>
        <v>145.63999999999999</v>
      </c>
      <c r="E2286" s="44"/>
      <c r="F2286" s="16">
        <f>base!W2286</f>
        <v>42.24</v>
      </c>
      <c r="G2286" s="11">
        <f t="shared" si="350"/>
        <v>0.29003021148036257</v>
      </c>
      <c r="H2286" s="11">
        <f t="shared" si="351"/>
        <v>27.671599999999998</v>
      </c>
      <c r="I2286" s="11">
        <f t="shared" si="352"/>
        <v>0.19</v>
      </c>
      <c r="J2286" s="12">
        <f t="shared" si="353"/>
        <v>14.568400000000004</v>
      </c>
      <c r="K2286" s="17" t="str">
        <f t="shared" si="358"/>
        <v>Ecart positif</v>
      </c>
      <c r="L2286" s="16">
        <f>base!X2286</f>
        <v>0</v>
      </c>
      <c r="M2286" s="11">
        <f t="shared" si="354"/>
        <v>0</v>
      </c>
      <c r="N2286" s="11">
        <f t="shared" si="355"/>
        <v>0</v>
      </c>
      <c r="O2286" s="11">
        <f t="shared" si="356"/>
        <v>0</v>
      </c>
      <c r="P2286" s="12">
        <f t="shared" si="357"/>
        <v>0</v>
      </c>
      <c r="Q2286" s="17" t="str">
        <f t="shared" si="359"/>
        <v>Pas d'écart</v>
      </c>
    </row>
    <row r="2287" spans="1:18" x14ac:dyDescent="0.3">
      <c r="A2287" s="34" t="str">
        <f>base!J2287</f>
        <v>LM</v>
      </c>
      <c r="B2287" s="34" t="str">
        <f>base!V2287</f>
        <v>34000</v>
      </c>
      <c r="C2287" s="37">
        <v>59</v>
      </c>
      <c r="D2287" s="36">
        <f>base!H2287</f>
        <v>195.01</v>
      </c>
      <c r="E2287" s="44"/>
      <c r="F2287" s="16">
        <f>base!W2287</f>
        <v>76.05</v>
      </c>
      <c r="G2287" s="11">
        <f t="shared" si="350"/>
        <v>0.38998000102558844</v>
      </c>
      <c r="H2287" s="11">
        <f t="shared" si="351"/>
        <v>37.051899999999996</v>
      </c>
      <c r="I2287" s="11">
        <f t="shared" si="352"/>
        <v>0.19</v>
      </c>
      <c r="J2287" s="12">
        <f t="shared" si="353"/>
        <v>38.998100000000001</v>
      </c>
      <c r="K2287" s="17" t="str">
        <f t="shared" si="358"/>
        <v>Ecart positif</v>
      </c>
      <c r="L2287" s="16">
        <f>base!X2287</f>
        <v>0</v>
      </c>
      <c r="M2287" s="11">
        <f t="shared" si="354"/>
        <v>0</v>
      </c>
      <c r="N2287" s="11">
        <f t="shared" si="355"/>
        <v>0</v>
      </c>
      <c r="O2287" s="11">
        <f t="shared" si="356"/>
        <v>0</v>
      </c>
      <c r="P2287" s="12">
        <f t="shared" si="357"/>
        <v>0</v>
      </c>
      <c r="Q2287" s="17" t="str">
        <f t="shared" si="359"/>
        <v>Pas d'écart</v>
      </c>
    </row>
    <row r="2288" spans="1:18" x14ac:dyDescent="0.3">
      <c r="A2288" s="34" t="str">
        <f>base!J2288</f>
        <v>LS</v>
      </c>
      <c r="B2288" s="34" t="str">
        <f>base!V2288</f>
        <v>13009</v>
      </c>
      <c r="C2288" s="37">
        <v>13</v>
      </c>
      <c r="D2288" s="36">
        <f>base!H2288</f>
        <v>40</v>
      </c>
      <c r="E2288" s="44"/>
      <c r="F2288" s="16">
        <f>base!W2288</f>
        <v>11.6</v>
      </c>
      <c r="G2288" s="11">
        <f t="shared" si="350"/>
        <v>0.28999999999999998</v>
      </c>
      <c r="H2288" s="11">
        <f t="shared" si="351"/>
        <v>11.6</v>
      </c>
      <c r="I2288" s="11">
        <f t="shared" si="352"/>
        <v>0.28999999999999998</v>
      </c>
      <c r="J2288" s="12">
        <f t="shared" si="353"/>
        <v>0</v>
      </c>
      <c r="K2288" s="17" t="str">
        <f t="shared" si="358"/>
        <v>Pas d'écart</v>
      </c>
      <c r="L2288" s="16">
        <f>base!X2288</f>
        <v>0</v>
      </c>
      <c r="M2288" s="11">
        <f t="shared" si="354"/>
        <v>0</v>
      </c>
      <c r="N2288" s="11">
        <f t="shared" si="355"/>
        <v>7.6</v>
      </c>
      <c r="O2288" s="11">
        <f t="shared" si="356"/>
        <v>0.19</v>
      </c>
      <c r="P2288" s="12">
        <f t="shared" si="357"/>
        <v>-7.6</v>
      </c>
      <c r="Q2288" s="17" t="str">
        <f t="shared" si="359"/>
        <v>Ecart négatif</v>
      </c>
    </row>
    <row r="2289" spans="1:18" x14ac:dyDescent="0.3">
      <c r="A2289" s="34" t="str">
        <f>base!J2289</f>
        <v>LS</v>
      </c>
      <c r="B2289" s="34" t="str">
        <f>base!V2289</f>
        <v>77600</v>
      </c>
      <c r="C2289" s="37">
        <v>77</v>
      </c>
      <c r="D2289" s="36">
        <f>base!H2289</f>
        <v>154.91999999999999</v>
      </c>
      <c r="E2289" s="44"/>
      <c r="F2289" s="16">
        <f>base!W2289</f>
        <v>0</v>
      </c>
      <c r="G2289" s="11">
        <f t="shared" si="350"/>
        <v>0</v>
      </c>
      <c r="H2289" s="11">
        <f t="shared" si="351"/>
        <v>0</v>
      </c>
      <c r="I2289" s="11">
        <f t="shared" si="352"/>
        <v>0</v>
      </c>
      <c r="J2289" s="12">
        <f t="shared" si="353"/>
        <v>0</v>
      </c>
      <c r="K2289" s="17" t="str">
        <f t="shared" si="358"/>
        <v>Pas d'écart</v>
      </c>
      <c r="L2289" s="16">
        <f>base!X2289</f>
        <v>0</v>
      </c>
      <c r="M2289" s="11">
        <f t="shared" si="354"/>
        <v>0</v>
      </c>
      <c r="N2289" s="11">
        <f t="shared" si="355"/>
        <v>0</v>
      </c>
      <c r="O2289" s="11">
        <f t="shared" si="356"/>
        <v>0</v>
      </c>
      <c r="P2289" s="12">
        <f t="shared" si="357"/>
        <v>0</v>
      </c>
      <c r="Q2289" s="17" t="str">
        <f t="shared" si="359"/>
        <v>Pas d'écart</v>
      </c>
    </row>
    <row r="2290" spans="1:18" x14ac:dyDescent="0.3">
      <c r="A2290" s="34" t="str">
        <f>base!J2290</f>
        <v>RS</v>
      </c>
      <c r="B2290" s="34" t="str">
        <f>base!V2290</f>
        <v>38550</v>
      </c>
      <c r="C2290" s="37">
        <v>38</v>
      </c>
      <c r="D2290" s="36">
        <f>base!H2290</f>
        <v>140</v>
      </c>
      <c r="E2290" s="44"/>
      <c r="F2290" s="16">
        <f>base!W2290</f>
        <v>0</v>
      </c>
      <c r="G2290" s="11">
        <f t="shared" si="350"/>
        <v>0</v>
      </c>
      <c r="H2290" s="11">
        <f t="shared" si="351"/>
        <v>37.800000000000004</v>
      </c>
      <c r="I2290" s="11">
        <f t="shared" si="352"/>
        <v>0.27</v>
      </c>
      <c r="J2290" s="12">
        <f t="shared" si="353"/>
        <v>-37.800000000000004</v>
      </c>
      <c r="K2290" s="17" t="str">
        <f t="shared" si="358"/>
        <v>Ecart négatif</v>
      </c>
      <c r="L2290" s="16">
        <f>base!X2290</f>
        <v>0</v>
      </c>
      <c r="M2290" s="11">
        <f t="shared" si="354"/>
        <v>0</v>
      </c>
      <c r="N2290" s="11">
        <f t="shared" si="355"/>
        <v>0</v>
      </c>
      <c r="O2290" s="11">
        <f t="shared" si="356"/>
        <v>0</v>
      </c>
      <c r="P2290" s="12">
        <f t="shared" si="357"/>
        <v>0</v>
      </c>
      <c r="Q2290" s="17" t="str">
        <f t="shared" si="359"/>
        <v>Pas d'écart</v>
      </c>
    </row>
    <row r="2291" spans="1:18" x14ac:dyDescent="0.3">
      <c r="A2291" s="34" t="str">
        <f>base!J2291</f>
        <v>RM</v>
      </c>
      <c r="B2291" s="34" t="str">
        <f>base!V2291</f>
        <v>76290</v>
      </c>
      <c r="C2291" s="37">
        <v>76</v>
      </c>
      <c r="D2291" s="36">
        <f>base!H2291</f>
        <v>40</v>
      </c>
      <c r="E2291" s="44"/>
      <c r="F2291" s="16">
        <f>base!W2291</f>
        <v>0</v>
      </c>
      <c r="G2291" s="11">
        <f t="shared" si="350"/>
        <v>0</v>
      </c>
      <c r="H2291" s="11">
        <f t="shared" si="351"/>
        <v>6.8000000000000007</v>
      </c>
      <c r="I2291" s="11">
        <f t="shared" si="352"/>
        <v>0.17</v>
      </c>
      <c r="J2291" s="12">
        <f t="shared" si="353"/>
        <v>-6.8000000000000007</v>
      </c>
      <c r="K2291" s="17" t="str">
        <f t="shared" si="358"/>
        <v>Ecart négatif</v>
      </c>
      <c r="L2291" s="16">
        <f>base!X2291</f>
        <v>6.8</v>
      </c>
      <c r="M2291" s="11">
        <f t="shared" si="354"/>
        <v>0.16999999999999998</v>
      </c>
      <c r="N2291" s="11">
        <f t="shared" si="355"/>
        <v>6.8000000000000007</v>
      </c>
      <c r="O2291" s="11">
        <f t="shared" si="356"/>
        <v>0.17</v>
      </c>
      <c r="P2291" s="12">
        <f t="shared" si="357"/>
        <v>0</v>
      </c>
      <c r="Q2291" s="17" t="str">
        <f t="shared" si="359"/>
        <v>Pas d'écart</v>
      </c>
    </row>
    <row r="2292" spans="1:18" x14ac:dyDescent="0.3">
      <c r="A2292" s="34">
        <f>base!J2292</f>
        <v>0</v>
      </c>
      <c r="B2292" s="34" t="str">
        <f>base!V2292</f>
        <v>77184</v>
      </c>
      <c r="C2292" s="37">
        <v>77</v>
      </c>
      <c r="D2292" s="36">
        <f>base!H2292</f>
        <v>171</v>
      </c>
      <c r="E2292" s="44"/>
      <c r="F2292" s="16">
        <f>base!W2292</f>
        <v>0</v>
      </c>
      <c r="G2292" s="11">
        <f t="shared" si="350"/>
        <v>0</v>
      </c>
      <c r="H2292" s="11">
        <f t="shared" si="351"/>
        <v>0</v>
      </c>
      <c r="I2292" s="11">
        <f t="shared" si="352"/>
        <v>0</v>
      </c>
      <c r="J2292" s="12">
        <f t="shared" si="353"/>
        <v>0</v>
      </c>
      <c r="K2292" s="17" t="str">
        <f t="shared" si="358"/>
        <v>Pas d'écart</v>
      </c>
      <c r="L2292" s="16">
        <f>base!X2292</f>
        <v>0</v>
      </c>
      <c r="M2292" s="11">
        <f t="shared" si="354"/>
        <v>0</v>
      </c>
      <c r="N2292" s="11">
        <f t="shared" si="355"/>
        <v>0</v>
      </c>
      <c r="O2292" s="11">
        <f t="shared" si="356"/>
        <v>0</v>
      </c>
      <c r="P2292" s="12">
        <f t="shared" si="357"/>
        <v>0</v>
      </c>
      <c r="Q2292" s="17" t="str">
        <f t="shared" si="359"/>
        <v>Pas d'écart</v>
      </c>
    </row>
    <row r="2293" spans="1:18" x14ac:dyDescent="0.3">
      <c r="A2293" s="34" t="str">
        <f>base!J2293</f>
        <v>LM</v>
      </c>
      <c r="B2293" s="34" t="str">
        <f>base!V2293</f>
        <v>60300</v>
      </c>
      <c r="C2293" s="37">
        <v>59</v>
      </c>
      <c r="D2293" s="36">
        <f>base!H2293</f>
        <v>25.8</v>
      </c>
      <c r="E2293" s="44"/>
      <c r="F2293" s="16">
        <f>base!W2293</f>
        <v>4.9000000000000004</v>
      </c>
      <c r="G2293" s="11">
        <f t="shared" si="350"/>
        <v>0.18992248062015504</v>
      </c>
      <c r="H2293" s="11">
        <f t="shared" si="351"/>
        <v>4.9020000000000001</v>
      </c>
      <c r="I2293" s="11">
        <f t="shared" si="352"/>
        <v>0.19</v>
      </c>
      <c r="J2293" s="12">
        <f t="shared" si="353"/>
        <v>-1.9999999999997797E-3</v>
      </c>
      <c r="K2293" s="17" t="str">
        <f t="shared" si="358"/>
        <v>Ecart négatif</v>
      </c>
      <c r="L2293" s="16">
        <f>base!X2293</f>
        <v>0</v>
      </c>
      <c r="M2293" s="11">
        <f t="shared" si="354"/>
        <v>0</v>
      </c>
      <c r="N2293" s="11">
        <f t="shared" si="355"/>
        <v>0</v>
      </c>
      <c r="O2293" s="11">
        <f t="shared" si="356"/>
        <v>0</v>
      </c>
      <c r="P2293" s="12">
        <f t="shared" si="357"/>
        <v>0</v>
      </c>
      <c r="Q2293" s="17" t="str">
        <f t="shared" si="359"/>
        <v>Pas d'écart</v>
      </c>
    </row>
    <row r="2294" spans="1:18" x14ac:dyDescent="0.3">
      <c r="A2294" s="34" t="str">
        <f>base!J2294</f>
        <v>LS</v>
      </c>
      <c r="B2294" s="34" t="str">
        <f>base!V2294</f>
        <v>69006</v>
      </c>
      <c r="C2294" s="37">
        <v>60</v>
      </c>
      <c r="D2294" s="36">
        <f>base!H2294</f>
        <v>19.8</v>
      </c>
      <c r="E2294" s="44"/>
      <c r="F2294" s="16">
        <f>base!W2294</f>
        <v>5.35</v>
      </c>
      <c r="G2294" s="11">
        <f t="shared" si="350"/>
        <v>0.27020202020202017</v>
      </c>
      <c r="H2294" s="11">
        <f t="shared" si="351"/>
        <v>3.762</v>
      </c>
      <c r="I2294" s="11">
        <f t="shared" si="352"/>
        <v>0.19</v>
      </c>
      <c r="J2294" s="12">
        <f t="shared" si="353"/>
        <v>1.5879999999999996</v>
      </c>
      <c r="K2294" s="17" t="str">
        <f t="shared" si="358"/>
        <v>Ecart positif</v>
      </c>
      <c r="L2294" s="16">
        <f>base!X2294</f>
        <v>0</v>
      </c>
      <c r="M2294" s="11">
        <f t="shared" si="354"/>
        <v>0</v>
      </c>
      <c r="N2294" s="11">
        <f t="shared" si="355"/>
        <v>0</v>
      </c>
      <c r="O2294" s="11">
        <f t="shared" si="356"/>
        <v>0</v>
      </c>
      <c r="P2294" s="12">
        <f t="shared" si="357"/>
        <v>0</v>
      </c>
      <c r="Q2294" s="17" t="str">
        <f t="shared" si="359"/>
        <v>Pas d'écart</v>
      </c>
    </row>
    <row r="2295" spans="1:18" x14ac:dyDescent="0.3">
      <c r="A2295" s="34" t="str">
        <f>base!J2295</f>
        <v>LM</v>
      </c>
      <c r="B2295" s="34" t="str">
        <f>base!V2295</f>
        <v>86360</v>
      </c>
      <c r="C2295" s="37">
        <v>59</v>
      </c>
      <c r="D2295" s="36">
        <f>base!H2295</f>
        <v>18.350000000000001</v>
      </c>
      <c r="E2295" s="44"/>
      <c r="F2295" s="16">
        <f>base!W2295</f>
        <v>3.85</v>
      </c>
      <c r="G2295" s="11">
        <f t="shared" si="350"/>
        <v>0.2098092643051771</v>
      </c>
      <c r="H2295" s="11">
        <f t="shared" si="351"/>
        <v>3.4865000000000004</v>
      </c>
      <c r="I2295" s="11">
        <f t="shared" si="352"/>
        <v>0.19</v>
      </c>
      <c r="J2295" s="12">
        <f t="shared" si="353"/>
        <v>0.36349999999999971</v>
      </c>
      <c r="K2295" s="17" t="str">
        <f t="shared" si="358"/>
        <v>Ecart positif</v>
      </c>
      <c r="L2295" s="16">
        <f>base!X2295</f>
        <v>0</v>
      </c>
      <c r="M2295" s="11">
        <f t="shared" si="354"/>
        <v>0</v>
      </c>
      <c r="N2295" s="11">
        <f t="shared" si="355"/>
        <v>0</v>
      </c>
      <c r="O2295" s="11">
        <f t="shared" si="356"/>
        <v>0</v>
      </c>
      <c r="P2295" s="12">
        <f t="shared" si="357"/>
        <v>0</v>
      </c>
      <c r="Q2295" s="17" t="str">
        <f t="shared" si="359"/>
        <v>Pas d'écart</v>
      </c>
    </row>
    <row r="2296" spans="1:18" x14ac:dyDescent="0.3">
      <c r="A2296" s="34" t="str">
        <f>base!J2296</f>
        <v>DRM</v>
      </c>
      <c r="B2296" s="34" t="str">
        <f>base!V2296</f>
        <v>80400</v>
      </c>
      <c r="C2296" s="37">
        <v>80</v>
      </c>
      <c r="D2296" s="36">
        <f>base!H2296</f>
        <v>200</v>
      </c>
      <c r="E2296" s="44"/>
      <c r="F2296" s="16">
        <f>base!W2296</f>
        <v>0</v>
      </c>
      <c r="G2296" s="11">
        <f t="shared" si="350"/>
        <v>0</v>
      </c>
      <c r="H2296" s="11">
        <f t="shared" si="351"/>
        <v>38</v>
      </c>
      <c r="I2296" s="11">
        <f t="shared" si="352"/>
        <v>0.19</v>
      </c>
      <c r="J2296" s="12">
        <f t="shared" si="353"/>
        <v>-38</v>
      </c>
      <c r="K2296" s="17" t="str">
        <f t="shared" si="358"/>
        <v>Ecart négatif</v>
      </c>
      <c r="L2296" s="16">
        <f>base!X2296</f>
        <v>0</v>
      </c>
      <c r="M2296" s="11">
        <f t="shared" si="354"/>
        <v>0</v>
      </c>
      <c r="N2296" s="11">
        <f t="shared" si="355"/>
        <v>0</v>
      </c>
      <c r="O2296" s="11">
        <f t="shared" si="356"/>
        <v>0</v>
      </c>
      <c r="P2296" s="12">
        <f t="shared" si="357"/>
        <v>0</v>
      </c>
      <c r="Q2296" s="17" t="str">
        <f t="shared" si="359"/>
        <v>Pas d'écart</v>
      </c>
    </row>
    <row r="2297" spans="1:18" x14ac:dyDescent="0.3">
      <c r="A2297" s="34" t="str">
        <f>base!J2297</f>
        <v>LS</v>
      </c>
      <c r="B2297" s="34" t="str">
        <f>base!V2297</f>
        <v>56000</v>
      </c>
      <c r="C2297" s="37">
        <v>62</v>
      </c>
      <c r="D2297" s="36">
        <f>base!H2297</f>
        <v>15.8</v>
      </c>
      <c r="E2297" s="44"/>
      <c r="F2297" s="16">
        <f>base!W2297</f>
        <v>4.2699999999999996</v>
      </c>
      <c r="G2297" s="11">
        <f t="shared" si="350"/>
        <v>0.27025316455696197</v>
      </c>
      <c r="H2297" s="11">
        <f t="shared" si="351"/>
        <v>3.0020000000000002</v>
      </c>
      <c r="I2297" s="11">
        <f t="shared" si="352"/>
        <v>0.19</v>
      </c>
      <c r="J2297" s="12">
        <f t="shared" si="353"/>
        <v>1.2679999999999993</v>
      </c>
      <c r="K2297" s="17" t="str">
        <f t="shared" si="358"/>
        <v>Ecart positif</v>
      </c>
      <c r="L2297" s="16">
        <f>base!X2297</f>
        <v>0</v>
      </c>
      <c r="M2297" s="11">
        <f t="shared" si="354"/>
        <v>0</v>
      </c>
      <c r="N2297" s="11">
        <f t="shared" si="355"/>
        <v>0</v>
      </c>
      <c r="O2297" s="11">
        <f t="shared" si="356"/>
        <v>0</v>
      </c>
      <c r="P2297" s="12">
        <f t="shared" si="357"/>
        <v>0</v>
      </c>
      <c r="Q2297" s="17" t="str">
        <f t="shared" si="359"/>
        <v>Pas d'écart</v>
      </c>
    </row>
    <row r="2298" spans="1:18" x14ac:dyDescent="0.3">
      <c r="A2298" s="34" t="str">
        <f>base!J2298</f>
        <v>LS</v>
      </c>
      <c r="B2298" s="34" t="str">
        <f>base!V2298</f>
        <v>59100</v>
      </c>
      <c r="C2298" s="37">
        <v>62</v>
      </c>
      <c r="D2298" s="36">
        <f>base!H2298</f>
        <v>43.44</v>
      </c>
      <c r="E2298" s="44"/>
      <c r="F2298" s="16">
        <f>base!W2298</f>
        <v>8.25</v>
      </c>
      <c r="G2298" s="11">
        <f t="shared" si="350"/>
        <v>0.18991712707182321</v>
      </c>
      <c r="H2298" s="11">
        <f t="shared" si="351"/>
        <v>8.2536000000000005</v>
      </c>
      <c r="I2298" s="11">
        <f t="shared" si="352"/>
        <v>0.19000000000000003</v>
      </c>
      <c r="J2298" s="12">
        <f t="shared" si="353"/>
        <v>-3.6000000000004917E-3</v>
      </c>
      <c r="K2298" s="17" t="str">
        <f t="shared" si="358"/>
        <v>Ecart négatif</v>
      </c>
      <c r="L2298" s="16">
        <f>base!X2298</f>
        <v>0</v>
      </c>
      <c r="M2298" s="11">
        <f t="shared" si="354"/>
        <v>0</v>
      </c>
      <c r="N2298" s="11">
        <f t="shared" si="355"/>
        <v>0</v>
      </c>
      <c r="O2298" s="11">
        <f t="shared" si="356"/>
        <v>0</v>
      </c>
      <c r="P2298" s="12">
        <f t="shared" si="357"/>
        <v>0</v>
      </c>
      <c r="Q2298" s="17" t="str">
        <f t="shared" si="359"/>
        <v>Pas d'écart</v>
      </c>
    </row>
    <row r="2299" spans="1:18" x14ac:dyDescent="0.3">
      <c r="A2299" s="34" t="str">
        <f>base!J2299</f>
        <v>LM</v>
      </c>
      <c r="B2299" s="34" t="str">
        <f>base!V2299</f>
        <v>60180</v>
      </c>
      <c r="C2299" s="37">
        <v>59</v>
      </c>
      <c r="D2299" s="36">
        <f>base!H2299</f>
        <v>58.35</v>
      </c>
      <c r="E2299" s="44"/>
      <c r="F2299" s="16">
        <f>base!W2299</f>
        <v>11.09</v>
      </c>
      <c r="G2299" s="11">
        <f t="shared" si="350"/>
        <v>0.1900599828620394</v>
      </c>
      <c r="H2299" s="11">
        <f t="shared" si="351"/>
        <v>11.086500000000001</v>
      </c>
      <c r="I2299" s="11">
        <f t="shared" si="352"/>
        <v>0.19</v>
      </c>
      <c r="J2299" s="12">
        <f t="shared" si="353"/>
        <v>3.4999999999989484E-3</v>
      </c>
      <c r="K2299" s="17" t="str">
        <f t="shared" si="358"/>
        <v>Ecart positif</v>
      </c>
      <c r="L2299" s="16">
        <f>base!X2299</f>
        <v>0</v>
      </c>
      <c r="M2299" s="11">
        <f t="shared" si="354"/>
        <v>0</v>
      </c>
      <c r="N2299" s="11">
        <f t="shared" si="355"/>
        <v>0</v>
      </c>
      <c r="O2299" s="11">
        <f t="shared" si="356"/>
        <v>0</v>
      </c>
      <c r="P2299" s="12">
        <f t="shared" si="357"/>
        <v>0</v>
      </c>
      <c r="Q2299" s="17" t="str">
        <f t="shared" si="359"/>
        <v>Pas d'écart</v>
      </c>
    </row>
    <row r="2300" spans="1:18" x14ac:dyDescent="0.3">
      <c r="A2300" s="34" t="str">
        <f>base!J2300</f>
        <v>LS</v>
      </c>
      <c r="B2300" s="34" t="str">
        <f>base!V2300</f>
        <v>59529</v>
      </c>
      <c r="C2300" s="37">
        <v>59</v>
      </c>
      <c r="D2300" s="36">
        <f>base!H2300</f>
        <v>185.14</v>
      </c>
      <c r="E2300" s="44"/>
      <c r="F2300" s="16">
        <f>base!W2300</f>
        <v>35.18</v>
      </c>
      <c r="G2300" s="11">
        <f t="shared" si="350"/>
        <v>0.19001836448093337</v>
      </c>
      <c r="H2300" s="11">
        <f t="shared" si="351"/>
        <v>35.176600000000001</v>
      </c>
      <c r="I2300" s="11">
        <f t="shared" si="352"/>
        <v>0.19000000000000003</v>
      </c>
      <c r="J2300" s="12">
        <f t="shared" si="353"/>
        <v>3.3999999999991815E-3</v>
      </c>
      <c r="K2300" s="17" t="str">
        <f t="shared" si="358"/>
        <v>Ecart positif</v>
      </c>
      <c r="L2300" s="16">
        <f>base!X2300</f>
        <v>0</v>
      </c>
      <c r="M2300" s="11">
        <f t="shared" si="354"/>
        <v>0</v>
      </c>
      <c r="N2300" s="11">
        <f t="shared" si="355"/>
        <v>0</v>
      </c>
      <c r="O2300" s="11">
        <f t="shared" si="356"/>
        <v>0</v>
      </c>
      <c r="P2300" s="12">
        <f t="shared" si="357"/>
        <v>0</v>
      </c>
      <c r="Q2300" s="17" t="str">
        <f t="shared" si="359"/>
        <v>Pas d'écart</v>
      </c>
    </row>
    <row r="2301" spans="1:18" x14ac:dyDescent="0.3">
      <c r="A2301" s="34" t="str">
        <f>base!J2301</f>
        <v>LM</v>
      </c>
      <c r="B2301" s="34" t="str">
        <f>base!V2301</f>
        <v>69005</v>
      </c>
      <c r="C2301" s="37">
        <v>59</v>
      </c>
      <c r="D2301" s="36">
        <f>base!H2301</f>
        <v>138.16</v>
      </c>
      <c r="E2301" s="44"/>
      <c r="F2301" s="16">
        <f>base!W2301</f>
        <v>37.299999999999997</v>
      </c>
      <c r="G2301" s="11">
        <f t="shared" si="350"/>
        <v>0.26997683844817599</v>
      </c>
      <c r="H2301" s="11">
        <f t="shared" si="351"/>
        <v>26.250399999999999</v>
      </c>
      <c r="I2301" s="11">
        <f t="shared" si="352"/>
        <v>0.19</v>
      </c>
      <c r="J2301" s="12">
        <f t="shared" si="353"/>
        <v>11.049599999999998</v>
      </c>
      <c r="K2301" s="17" t="str">
        <f t="shared" si="358"/>
        <v>Ecart positif</v>
      </c>
      <c r="L2301" s="16">
        <f>base!X2301</f>
        <v>0</v>
      </c>
      <c r="M2301" s="11">
        <f t="shared" si="354"/>
        <v>0</v>
      </c>
      <c r="N2301" s="11">
        <f t="shared" si="355"/>
        <v>0</v>
      </c>
      <c r="O2301" s="11">
        <f t="shared" si="356"/>
        <v>0</v>
      </c>
      <c r="P2301" s="12">
        <f t="shared" si="357"/>
        <v>0</v>
      </c>
      <c r="Q2301" s="17" t="str">
        <f t="shared" si="359"/>
        <v>Pas d'écart</v>
      </c>
    </row>
    <row r="2302" spans="1:18" x14ac:dyDescent="0.3">
      <c r="A2302" s="34" t="str">
        <f>base!J2302</f>
        <v>LM</v>
      </c>
      <c r="B2302" s="34" t="str">
        <f>base!V2302</f>
        <v>69005</v>
      </c>
      <c r="C2302" s="37">
        <v>62</v>
      </c>
      <c r="D2302" s="36">
        <f>base!H2302</f>
        <v>33.35</v>
      </c>
      <c r="E2302" s="44"/>
      <c r="F2302" s="16">
        <f>base!W2302</f>
        <v>9</v>
      </c>
      <c r="G2302" s="11">
        <f t="shared" si="350"/>
        <v>0.26986506746626687</v>
      </c>
      <c r="H2302" s="11">
        <f t="shared" si="351"/>
        <v>6.3365</v>
      </c>
      <c r="I2302" s="11">
        <f t="shared" si="352"/>
        <v>0.19</v>
      </c>
      <c r="J2302" s="12">
        <f t="shared" si="353"/>
        <v>2.6635</v>
      </c>
      <c r="K2302" s="17" t="str">
        <f t="shared" si="358"/>
        <v>Ecart positif</v>
      </c>
      <c r="L2302" s="16">
        <f>base!X2302</f>
        <v>0</v>
      </c>
      <c r="M2302" s="11">
        <f t="shared" si="354"/>
        <v>0</v>
      </c>
      <c r="N2302" s="11">
        <f t="shared" si="355"/>
        <v>0</v>
      </c>
      <c r="O2302" s="11">
        <f t="shared" si="356"/>
        <v>0</v>
      </c>
      <c r="P2302" s="12">
        <f t="shared" si="357"/>
        <v>0</v>
      </c>
      <c r="Q2302" s="17" t="str">
        <f t="shared" si="359"/>
        <v>Pas d'écart</v>
      </c>
    </row>
    <row r="2303" spans="1:18" x14ac:dyDescent="0.3">
      <c r="A2303" s="34" t="str">
        <f>base!J2303</f>
        <v>RS</v>
      </c>
      <c r="B2303" s="34" t="str">
        <f>base!V2303</f>
        <v>25700</v>
      </c>
      <c r="C2303" s="37">
        <v>25</v>
      </c>
      <c r="D2303" s="36">
        <f>base!H2303</f>
        <v>71.819999999999993</v>
      </c>
      <c r="E2303" s="44"/>
      <c r="F2303" s="16">
        <f>base!W2303</f>
        <v>0</v>
      </c>
      <c r="G2303" s="11">
        <f t="shared" si="350"/>
        <v>0</v>
      </c>
      <c r="H2303" s="11">
        <f t="shared" si="351"/>
        <v>17.236799999999999</v>
      </c>
      <c r="I2303" s="11">
        <f t="shared" si="352"/>
        <v>0.24000000000000002</v>
      </c>
      <c r="J2303" s="12">
        <f t="shared" si="353"/>
        <v>-17.236799999999999</v>
      </c>
      <c r="K2303" s="17" t="str">
        <f t="shared" si="358"/>
        <v>Ecart négatif</v>
      </c>
      <c r="L2303" s="16">
        <f>base!X2303</f>
        <v>8.6199999999999992</v>
      </c>
      <c r="M2303" s="11">
        <f t="shared" si="354"/>
        <v>0.12002227791701477</v>
      </c>
      <c r="N2303" s="11">
        <f t="shared" si="355"/>
        <v>8.6183999999999994</v>
      </c>
      <c r="O2303" s="11">
        <f t="shared" si="356"/>
        <v>0.12000000000000001</v>
      </c>
      <c r="P2303" s="12">
        <f t="shared" si="357"/>
        <v>1.5999999999998238E-3</v>
      </c>
      <c r="Q2303" s="17" t="str">
        <f t="shared" si="359"/>
        <v>Ecart positif</v>
      </c>
      <c r="R2303" s="38"/>
    </row>
    <row r="2304" spans="1:18" x14ac:dyDescent="0.3">
      <c r="A2304" s="34" t="str">
        <f>base!J2304</f>
        <v>RS</v>
      </c>
      <c r="B2304" s="34" t="str">
        <f>base!V2304</f>
        <v>21000</v>
      </c>
      <c r="C2304" s="37">
        <v>21</v>
      </c>
      <c r="D2304" s="36">
        <f>base!H2304</f>
        <v>71.819999999999993</v>
      </c>
      <c r="E2304" s="44"/>
      <c r="F2304" s="16">
        <f>base!W2304</f>
        <v>0</v>
      </c>
      <c r="G2304" s="11">
        <f t="shared" si="350"/>
        <v>0</v>
      </c>
      <c r="H2304" s="11">
        <f t="shared" si="351"/>
        <v>17.236799999999999</v>
      </c>
      <c r="I2304" s="11">
        <f t="shared" si="352"/>
        <v>0.24000000000000002</v>
      </c>
      <c r="J2304" s="12">
        <f t="shared" si="353"/>
        <v>-17.236799999999999</v>
      </c>
      <c r="K2304" s="17" t="str">
        <f t="shared" si="358"/>
        <v>Ecart négatif</v>
      </c>
      <c r="L2304" s="16">
        <f>base!X2304</f>
        <v>8.6199999999999992</v>
      </c>
      <c r="M2304" s="11">
        <f t="shared" si="354"/>
        <v>0.12002227791701477</v>
      </c>
      <c r="N2304" s="11">
        <f t="shared" si="355"/>
        <v>8.6183999999999994</v>
      </c>
      <c r="O2304" s="11">
        <f t="shared" si="356"/>
        <v>0.12000000000000001</v>
      </c>
      <c r="P2304" s="12">
        <f t="shared" si="357"/>
        <v>1.5999999999998238E-3</v>
      </c>
      <c r="Q2304" s="17" t="str">
        <f t="shared" si="359"/>
        <v>Ecart positif</v>
      </c>
      <c r="R2304" s="38"/>
    </row>
    <row r="2305" spans="1:18" x14ac:dyDescent="0.3">
      <c r="A2305" s="34" t="str">
        <f>base!J2305</f>
        <v>RM</v>
      </c>
      <c r="B2305" s="34" t="str">
        <f>base!V2305</f>
        <v>06000</v>
      </c>
      <c r="C2305" s="37">
        <v>6</v>
      </c>
      <c r="D2305" s="36">
        <f>base!H2305</f>
        <v>40</v>
      </c>
      <c r="E2305" s="44"/>
      <c r="F2305" s="16">
        <f>base!W2305</f>
        <v>0</v>
      </c>
      <c r="G2305" s="11">
        <f t="shared" si="350"/>
        <v>0</v>
      </c>
      <c r="H2305" s="11">
        <f t="shared" si="351"/>
        <v>12</v>
      </c>
      <c r="I2305" s="11">
        <f t="shared" si="352"/>
        <v>0.3</v>
      </c>
      <c r="J2305" s="12">
        <f t="shared" si="353"/>
        <v>-12</v>
      </c>
      <c r="K2305" s="17" t="str">
        <f t="shared" si="358"/>
        <v>Ecart négatif</v>
      </c>
      <c r="L2305" s="16">
        <f>base!X2305</f>
        <v>0</v>
      </c>
      <c r="M2305" s="11">
        <f t="shared" si="354"/>
        <v>0</v>
      </c>
      <c r="N2305" s="11">
        <f t="shared" si="355"/>
        <v>8.4</v>
      </c>
      <c r="O2305" s="11">
        <f t="shared" si="356"/>
        <v>0.21000000000000002</v>
      </c>
      <c r="P2305" s="12">
        <f t="shared" si="357"/>
        <v>-8.4</v>
      </c>
      <c r="Q2305" s="17" t="str">
        <f t="shared" si="359"/>
        <v>Ecart négatif</v>
      </c>
    </row>
    <row r="2306" spans="1:18" x14ac:dyDescent="0.3">
      <c r="A2306" s="34" t="str">
        <f>base!J2306</f>
        <v>LM</v>
      </c>
      <c r="B2306" s="34" t="str">
        <f>base!V2306</f>
        <v>06000</v>
      </c>
      <c r="C2306" s="37">
        <v>60</v>
      </c>
      <c r="D2306" s="36">
        <f>base!H2306</f>
        <v>43.44</v>
      </c>
      <c r="E2306" s="44"/>
      <c r="F2306" s="16">
        <f>base!W2306</f>
        <v>13.03</v>
      </c>
      <c r="G2306" s="11">
        <f t="shared" ref="G2306:G2369" si="360">F2306/D2306</f>
        <v>0.29995395948434622</v>
      </c>
      <c r="H2306" s="11">
        <f t="shared" ref="H2306:H2369" si="361">VLOOKUP(C2306,tout_cout_traction,2,FALSE)*D2306</f>
        <v>8.2536000000000005</v>
      </c>
      <c r="I2306" s="11">
        <f t="shared" ref="I2306:I2369" si="362">H2306/D2306</f>
        <v>0.19000000000000003</v>
      </c>
      <c r="J2306" s="12">
        <f t="shared" ref="J2306:J2369" si="363">F2306-H2306</f>
        <v>4.7763999999999989</v>
      </c>
      <c r="K2306" s="17" t="str">
        <f t="shared" si="358"/>
        <v>Ecart positif</v>
      </c>
      <c r="L2306" s="16">
        <f>base!X2306</f>
        <v>0</v>
      </c>
      <c r="M2306" s="11">
        <f t="shared" ref="M2306:M2369" si="364">L2306/D2306</f>
        <v>0</v>
      </c>
      <c r="N2306" s="11">
        <f t="shared" ref="N2306:N2369" si="365">VLOOKUP(C2306,tout_cout_traction,3,FALSE)*D2306</f>
        <v>0</v>
      </c>
      <c r="O2306" s="11">
        <f t="shared" ref="O2306:O2369" si="366">N2306/D2306</f>
        <v>0</v>
      </c>
      <c r="P2306" s="12">
        <f t="shared" ref="P2306:P2369" si="367">L2306-N2306</f>
        <v>0</v>
      </c>
      <c r="Q2306" s="17" t="str">
        <f t="shared" si="359"/>
        <v>Pas d'écart</v>
      </c>
    </row>
    <row r="2307" spans="1:18" x14ac:dyDescent="0.3">
      <c r="A2307" s="34" t="str">
        <f>base!J2307</f>
        <v>RM</v>
      </c>
      <c r="B2307" s="34" t="str">
        <f>base!V2307</f>
        <v>69006</v>
      </c>
      <c r="C2307" s="37">
        <v>69</v>
      </c>
      <c r="D2307" s="36">
        <f>base!H2307</f>
        <v>29.59</v>
      </c>
      <c r="E2307" s="44"/>
      <c r="F2307" s="16">
        <f>base!W2307</f>
        <v>0</v>
      </c>
      <c r="G2307" s="11">
        <f t="shared" si="360"/>
        <v>0</v>
      </c>
      <c r="H2307" s="11">
        <f t="shared" si="361"/>
        <v>7.9893000000000001</v>
      </c>
      <c r="I2307" s="11">
        <f t="shared" si="362"/>
        <v>0.27</v>
      </c>
      <c r="J2307" s="12">
        <f t="shared" si="363"/>
        <v>-7.9893000000000001</v>
      </c>
      <c r="K2307" s="17" t="str">
        <f t="shared" ref="K2307:K2370" si="368">IF(H2307=F2307,"Pas d'écart",IF(H2307&lt;F2307,"Ecart positif",IF(H2307&gt;F2307,"Ecart négatif")))</f>
        <v>Ecart négatif</v>
      </c>
      <c r="L2307" s="16">
        <f>base!X2307</f>
        <v>0</v>
      </c>
      <c r="M2307" s="11">
        <f t="shared" si="364"/>
        <v>0</v>
      </c>
      <c r="N2307" s="11">
        <f t="shared" si="365"/>
        <v>0</v>
      </c>
      <c r="O2307" s="11">
        <f t="shared" si="366"/>
        <v>0</v>
      </c>
      <c r="P2307" s="12">
        <f t="shared" si="367"/>
        <v>0</v>
      </c>
      <c r="Q2307" s="17" t="str">
        <f t="shared" ref="Q2307:Q2370" si="369">IF(N2307=L2307,"Pas d'écart",IF(N2307&lt;L2307,"Ecart positif",IF(N2307&gt;L2307,"Ecart négatif")))</f>
        <v>Pas d'écart</v>
      </c>
    </row>
    <row r="2308" spans="1:18" x14ac:dyDescent="0.3">
      <c r="A2308" s="34" t="str">
        <f>base!J2308</f>
        <v>RM</v>
      </c>
      <c r="B2308" s="34" t="str">
        <f>base!V2308</f>
        <v>59287</v>
      </c>
      <c r="C2308" s="37">
        <v>59</v>
      </c>
      <c r="D2308" s="36">
        <f>base!H2308</f>
        <v>70</v>
      </c>
      <c r="E2308" s="44"/>
      <c r="F2308" s="16">
        <f>base!W2308</f>
        <v>0</v>
      </c>
      <c r="G2308" s="11">
        <f t="shared" si="360"/>
        <v>0</v>
      </c>
      <c r="H2308" s="11">
        <f t="shared" si="361"/>
        <v>13.3</v>
      </c>
      <c r="I2308" s="11">
        <f t="shared" si="362"/>
        <v>0.19</v>
      </c>
      <c r="J2308" s="12">
        <f t="shared" si="363"/>
        <v>-13.3</v>
      </c>
      <c r="K2308" s="17" t="str">
        <f t="shared" si="368"/>
        <v>Ecart négatif</v>
      </c>
      <c r="L2308" s="16">
        <f>base!X2308</f>
        <v>0</v>
      </c>
      <c r="M2308" s="11">
        <f t="shared" si="364"/>
        <v>0</v>
      </c>
      <c r="N2308" s="11">
        <f t="shared" si="365"/>
        <v>0</v>
      </c>
      <c r="O2308" s="11">
        <f t="shared" si="366"/>
        <v>0</v>
      </c>
      <c r="P2308" s="12">
        <f t="shared" si="367"/>
        <v>0</v>
      </c>
      <c r="Q2308" s="17" t="str">
        <f t="shared" si="369"/>
        <v>Pas d'écart</v>
      </c>
    </row>
    <row r="2309" spans="1:18" x14ac:dyDescent="0.3">
      <c r="A2309" s="34" t="str">
        <f>base!J2309</f>
        <v>LM</v>
      </c>
      <c r="B2309" s="34" t="str">
        <f>base!V2309</f>
        <v>33260</v>
      </c>
      <c r="C2309" s="37">
        <v>62</v>
      </c>
      <c r="D2309" s="36">
        <f>base!H2309</f>
        <v>7.99</v>
      </c>
      <c r="E2309" s="44"/>
      <c r="F2309" s="16">
        <f>base!W2309</f>
        <v>1.68</v>
      </c>
      <c r="G2309" s="11">
        <f t="shared" si="360"/>
        <v>0.21026282853566958</v>
      </c>
      <c r="H2309" s="11">
        <f t="shared" si="361"/>
        <v>1.5181</v>
      </c>
      <c r="I2309" s="11">
        <f t="shared" si="362"/>
        <v>0.19</v>
      </c>
      <c r="J2309" s="12">
        <f t="shared" si="363"/>
        <v>0.16189999999999993</v>
      </c>
      <c r="K2309" s="17" t="str">
        <f t="shared" si="368"/>
        <v>Ecart positif</v>
      </c>
      <c r="L2309" s="16">
        <f>base!X2309</f>
        <v>0</v>
      </c>
      <c r="M2309" s="11">
        <f t="shared" si="364"/>
        <v>0</v>
      </c>
      <c r="N2309" s="11">
        <f t="shared" si="365"/>
        <v>0</v>
      </c>
      <c r="O2309" s="11">
        <f t="shared" si="366"/>
        <v>0</v>
      </c>
      <c r="P2309" s="12">
        <f t="shared" si="367"/>
        <v>0</v>
      </c>
      <c r="Q2309" s="17" t="str">
        <f t="shared" si="369"/>
        <v>Pas d'écart</v>
      </c>
    </row>
    <row r="2310" spans="1:18" x14ac:dyDescent="0.3">
      <c r="A2310" s="34">
        <f>base!J2310</f>
        <v>0</v>
      </c>
      <c r="B2310" s="34" t="str">
        <f>base!V2310</f>
        <v>77184</v>
      </c>
      <c r="C2310" s="37">
        <v>77</v>
      </c>
      <c r="D2310" s="36">
        <f>base!H2310</f>
        <v>140</v>
      </c>
      <c r="E2310" s="44"/>
      <c r="F2310" s="16">
        <f>base!W2310</f>
        <v>0</v>
      </c>
      <c r="G2310" s="11">
        <f t="shared" si="360"/>
        <v>0</v>
      </c>
      <c r="H2310" s="11">
        <f t="shared" si="361"/>
        <v>0</v>
      </c>
      <c r="I2310" s="11">
        <f t="shared" si="362"/>
        <v>0</v>
      </c>
      <c r="J2310" s="12">
        <f t="shared" si="363"/>
        <v>0</v>
      </c>
      <c r="K2310" s="17" t="str">
        <f t="shared" si="368"/>
        <v>Pas d'écart</v>
      </c>
      <c r="L2310" s="16">
        <f>base!X2310</f>
        <v>0</v>
      </c>
      <c r="M2310" s="11">
        <f t="shared" si="364"/>
        <v>0</v>
      </c>
      <c r="N2310" s="11">
        <f t="shared" si="365"/>
        <v>0</v>
      </c>
      <c r="O2310" s="11">
        <f t="shared" si="366"/>
        <v>0</v>
      </c>
      <c r="P2310" s="12">
        <f t="shared" si="367"/>
        <v>0</v>
      </c>
      <c r="Q2310" s="17" t="str">
        <f t="shared" si="369"/>
        <v>Pas d'écart</v>
      </c>
    </row>
    <row r="2311" spans="1:18" x14ac:dyDescent="0.3">
      <c r="A2311" s="34" t="str">
        <f>base!J2311</f>
        <v>LM</v>
      </c>
      <c r="B2311" s="34" t="str">
        <f>base!V2311</f>
        <v>91000</v>
      </c>
      <c r="C2311" s="37">
        <v>91</v>
      </c>
      <c r="D2311" s="36">
        <f>base!H2311</f>
        <v>190.74</v>
      </c>
      <c r="E2311" s="44"/>
      <c r="F2311" s="16">
        <f>base!W2311</f>
        <v>0</v>
      </c>
      <c r="G2311" s="11">
        <f t="shared" si="360"/>
        <v>0</v>
      </c>
      <c r="H2311" s="11">
        <f t="shared" si="361"/>
        <v>0</v>
      </c>
      <c r="I2311" s="11">
        <f t="shared" si="362"/>
        <v>0</v>
      </c>
      <c r="J2311" s="12">
        <f t="shared" si="363"/>
        <v>0</v>
      </c>
      <c r="K2311" s="17" t="str">
        <f t="shared" si="368"/>
        <v>Pas d'écart</v>
      </c>
      <c r="L2311" s="16">
        <f>base!X2311</f>
        <v>0</v>
      </c>
      <c r="M2311" s="11">
        <f t="shared" si="364"/>
        <v>0</v>
      </c>
      <c r="N2311" s="11">
        <f t="shared" si="365"/>
        <v>0</v>
      </c>
      <c r="O2311" s="11">
        <f t="shared" si="366"/>
        <v>0</v>
      </c>
      <c r="P2311" s="12">
        <f t="shared" si="367"/>
        <v>0</v>
      </c>
      <c r="Q2311" s="17" t="str">
        <f t="shared" si="369"/>
        <v>Pas d'écart</v>
      </c>
    </row>
    <row r="2312" spans="1:18" x14ac:dyDescent="0.3">
      <c r="A2312" s="34">
        <f>base!J2312</f>
        <v>0</v>
      </c>
      <c r="B2312" s="34" t="str">
        <f>base!V2312</f>
        <v>77184</v>
      </c>
      <c r="C2312" s="37">
        <v>77</v>
      </c>
      <c r="D2312" s="36">
        <f>base!H2312</f>
        <v>140</v>
      </c>
      <c r="E2312" s="44"/>
      <c r="F2312" s="16">
        <f>base!W2312</f>
        <v>0</v>
      </c>
      <c r="G2312" s="11">
        <f t="shared" si="360"/>
        <v>0</v>
      </c>
      <c r="H2312" s="11">
        <f t="shared" si="361"/>
        <v>0</v>
      </c>
      <c r="I2312" s="11">
        <f t="shared" si="362"/>
        <v>0</v>
      </c>
      <c r="J2312" s="12">
        <f t="shared" si="363"/>
        <v>0</v>
      </c>
      <c r="K2312" s="17" t="str">
        <f t="shared" si="368"/>
        <v>Pas d'écart</v>
      </c>
      <c r="L2312" s="16">
        <f>base!X2312</f>
        <v>0</v>
      </c>
      <c r="M2312" s="11">
        <f t="shared" si="364"/>
        <v>0</v>
      </c>
      <c r="N2312" s="11">
        <f t="shared" si="365"/>
        <v>0</v>
      </c>
      <c r="O2312" s="11">
        <f t="shared" si="366"/>
        <v>0</v>
      </c>
      <c r="P2312" s="12">
        <f t="shared" si="367"/>
        <v>0</v>
      </c>
      <c r="Q2312" s="17" t="str">
        <f t="shared" si="369"/>
        <v>Pas d'écart</v>
      </c>
    </row>
    <row r="2313" spans="1:18" x14ac:dyDescent="0.3">
      <c r="A2313" s="34">
        <f>base!J2313</f>
        <v>0</v>
      </c>
      <c r="B2313" s="34" t="str">
        <f>base!V2313</f>
        <v>77184</v>
      </c>
      <c r="C2313" s="37">
        <v>77</v>
      </c>
      <c r="D2313" s="36">
        <f>base!H2313</f>
        <v>141.80000000000001</v>
      </c>
      <c r="E2313" s="44"/>
      <c r="F2313" s="16">
        <f>base!W2313</f>
        <v>0</v>
      </c>
      <c r="G2313" s="11">
        <f t="shared" si="360"/>
        <v>0</v>
      </c>
      <c r="H2313" s="11">
        <f t="shared" si="361"/>
        <v>0</v>
      </c>
      <c r="I2313" s="11">
        <f t="shared" si="362"/>
        <v>0</v>
      </c>
      <c r="J2313" s="12">
        <f t="shared" si="363"/>
        <v>0</v>
      </c>
      <c r="K2313" s="17" t="str">
        <f t="shared" si="368"/>
        <v>Pas d'écart</v>
      </c>
      <c r="L2313" s="16">
        <f>base!X2313</f>
        <v>0</v>
      </c>
      <c r="M2313" s="11">
        <f t="shared" si="364"/>
        <v>0</v>
      </c>
      <c r="N2313" s="11">
        <f t="shared" si="365"/>
        <v>0</v>
      </c>
      <c r="O2313" s="11">
        <f t="shared" si="366"/>
        <v>0</v>
      </c>
      <c r="P2313" s="12">
        <f t="shared" si="367"/>
        <v>0</v>
      </c>
      <c r="Q2313" s="17" t="str">
        <f t="shared" si="369"/>
        <v>Pas d'écart</v>
      </c>
    </row>
    <row r="2314" spans="1:18" x14ac:dyDescent="0.3">
      <c r="A2314" s="34" t="str">
        <f>base!J2314</f>
        <v>RS</v>
      </c>
      <c r="B2314" s="34" t="str">
        <f>base!V2314</f>
        <v>92350</v>
      </c>
      <c r="C2314" s="37">
        <v>92</v>
      </c>
      <c r="D2314" s="36">
        <f>base!H2314</f>
        <v>22.8</v>
      </c>
      <c r="E2314" s="44"/>
      <c r="F2314" s="16">
        <f>base!W2314</f>
        <v>0</v>
      </c>
      <c r="G2314" s="11">
        <f t="shared" si="360"/>
        <v>0</v>
      </c>
      <c r="H2314" s="11">
        <f t="shared" si="361"/>
        <v>0</v>
      </c>
      <c r="I2314" s="11">
        <f t="shared" si="362"/>
        <v>0</v>
      </c>
      <c r="J2314" s="12">
        <f t="shared" si="363"/>
        <v>0</v>
      </c>
      <c r="K2314" s="17" t="str">
        <f t="shared" si="368"/>
        <v>Pas d'écart</v>
      </c>
      <c r="L2314" s="16">
        <f>base!X2314</f>
        <v>0</v>
      </c>
      <c r="M2314" s="11">
        <f t="shared" si="364"/>
        <v>0</v>
      </c>
      <c r="N2314" s="11">
        <f t="shared" si="365"/>
        <v>0</v>
      </c>
      <c r="O2314" s="11">
        <f t="shared" si="366"/>
        <v>0</v>
      </c>
      <c r="P2314" s="12">
        <f t="shared" si="367"/>
        <v>0</v>
      </c>
      <c r="Q2314" s="17" t="str">
        <f t="shared" si="369"/>
        <v>Pas d'écart</v>
      </c>
    </row>
    <row r="2315" spans="1:18" x14ac:dyDescent="0.3">
      <c r="A2315" s="34" t="str">
        <f>base!J2315</f>
        <v>RS</v>
      </c>
      <c r="B2315" s="34" t="str">
        <f>base!V2315</f>
        <v>13220</v>
      </c>
      <c r="C2315" s="37">
        <v>13</v>
      </c>
      <c r="D2315" s="36">
        <f>base!H2315</f>
        <v>40</v>
      </c>
      <c r="E2315" s="44"/>
      <c r="F2315" s="16">
        <f>base!W2315</f>
        <v>0</v>
      </c>
      <c r="G2315" s="11">
        <f t="shared" si="360"/>
        <v>0</v>
      </c>
      <c r="H2315" s="11">
        <f t="shared" si="361"/>
        <v>11.6</v>
      </c>
      <c r="I2315" s="11">
        <f t="shared" si="362"/>
        <v>0.28999999999999998</v>
      </c>
      <c r="J2315" s="12">
        <f t="shared" si="363"/>
        <v>-11.6</v>
      </c>
      <c r="K2315" s="17" t="str">
        <f t="shared" si="368"/>
        <v>Ecart négatif</v>
      </c>
      <c r="L2315" s="16">
        <f>base!X2315</f>
        <v>7.6</v>
      </c>
      <c r="M2315" s="11">
        <f t="shared" si="364"/>
        <v>0.19</v>
      </c>
      <c r="N2315" s="11">
        <f t="shared" si="365"/>
        <v>7.6</v>
      </c>
      <c r="O2315" s="11">
        <f t="shared" si="366"/>
        <v>0.19</v>
      </c>
      <c r="P2315" s="12">
        <f t="shared" si="367"/>
        <v>0</v>
      </c>
      <c r="Q2315" s="17" t="str">
        <f t="shared" si="369"/>
        <v>Pas d'écart</v>
      </c>
      <c r="R2315" s="38"/>
    </row>
    <row r="2316" spans="1:18" x14ac:dyDescent="0.3">
      <c r="A2316" s="34" t="str">
        <f>base!J2316</f>
        <v>RS</v>
      </c>
      <c r="B2316" s="34" t="str">
        <f>base!V2316</f>
        <v>74130</v>
      </c>
      <c r="C2316" s="37">
        <v>74</v>
      </c>
      <c r="D2316" s="36">
        <f>base!H2316</f>
        <v>140</v>
      </c>
      <c r="E2316" s="44"/>
      <c r="F2316" s="16">
        <f>base!W2316</f>
        <v>0</v>
      </c>
      <c r="G2316" s="11">
        <f t="shared" si="360"/>
        <v>0</v>
      </c>
      <c r="H2316" s="11">
        <f t="shared" si="361"/>
        <v>36.4</v>
      </c>
      <c r="I2316" s="11">
        <f t="shared" si="362"/>
        <v>0.26</v>
      </c>
      <c r="J2316" s="12">
        <f t="shared" si="363"/>
        <v>-36.4</v>
      </c>
      <c r="K2316" s="17" t="str">
        <f t="shared" si="368"/>
        <v>Ecart négatif</v>
      </c>
      <c r="L2316" s="16">
        <f>base!X2316</f>
        <v>0</v>
      </c>
      <c r="M2316" s="11">
        <f t="shared" si="364"/>
        <v>0</v>
      </c>
      <c r="N2316" s="11">
        <f t="shared" si="365"/>
        <v>0</v>
      </c>
      <c r="O2316" s="11">
        <f t="shared" si="366"/>
        <v>0</v>
      </c>
      <c r="P2316" s="12">
        <f t="shared" si="367"/>
        <v>0</v>
      </c>
      <c r="Q2316" s="17" t="str">
        <f t="shared" si="369"/>
        <v>Pas d'écart</v>
      </c>
    </row>
    <row r="2317" spans="1:18" x14ac:dyDescent="0.3">
      <c r="A2317" s="34" t="str">
        <f>base!J2317</f>
        <v>RS</v>
      </c>
      <c r="B2317" s="34" t="str">
        <f>base!V2317</f>
        <v>39500</v>
      </c>
      <c r="C2317" s="37">
        <v>39</v>
      </c>
      <c r="D2317" s="36">
        <f>base!H2317</f>
        <v>25</v>
      </c>
      <c r="E2317" s="44"/>
      <c r="F2317" s="16">
        <f>base!W2317</f>
        <v>0</v>
      </c>
      <c r="G2317" s="11">
        <f t="shared" si="360"/>
        <v>0</v>
      </c>
      <c r="H2317" s="11">
        <f t="shared" si="361"/>
        <v>6.75</v>
      </c>
      <c r="I2317" s="11">
        <f t="shared" si="362"/>
        <v>0.27</v>
      </c>
      <c r="J2317" s="12">
        <f t="shared" si="363"/>
        <v>-6.75</v>
      </c>
      <c r="K2317" s="17" t="str">
        <f t="shared" si="368"/>
        <v>Ecart négatif</v>
      </c>
      <c r="L2317" s="16">
        <f>base!X2317</f>
        <v>0</v>
      </c>
      <c r="M2317" s="11">
        <f t="shared" si="364"/>
        <v>0</v>
      </c>
      <c r="N2317" s="11">
        <f t="shared" si="365"/>
        <v>0</v>
      </c>
      <c r="O2317" s="11">
        <f t="shared" si="366"/>
        <v>0</v>
      </c>
      <c r="P2317" s="12">
        <f t="shared" si="367"/>
        <v>0</v>
      </c>
      <c r="Q2317" s="17" t="str">
        <f t="shared" si="369"/>
        <v>Pas d'écart</v>
      </c>
    </row>
    <row r="2318" spans="1:18" x14ac:dyDescent="0.3">
      <c r="A2318" s="34" t="str">
        <f>base!J2318</f>
        <v>LM</v>
      </c>
      <c r="B2318" s="34" t="str">
        <f>base!V2318</f>
        <v>14200</v>
      </c>
      <c r="C2318" s="37">
        <v>62</v>
      </c>
      <c r="D2318" s="36">
        <f>base!H2318</f>
        <v>55.16</v>
      </c>
      <c r="E2318" s="44"/>
      <c r="F2318" s="16">
        <f>base!W2318</f>
        <v>9.3800000000000008</v>
      </c>
      <c r="G2318" s="11">
        <f t="shared" si="360"/>
        <v>0.17005076142131983</v>
      </c>
      <c r="H2318" s="11">
        <f t="shared" si="361"/>
        <v>10.480399999999999</v>
      </c>
      <c r="I2318" s="11">
        <f t="shared" si="362"/>
        <v>0.19</v>
      </c>
      <c r="J2318" s="12">
        <f t="shared" si="363"/>
        <v>-1.1003999999999987</v>
      </c>
      <c r="K2318" s="17" t="str">
        <f t="shared" si="368"/>
        <v>Ecart négatif</v>
      </c>
      <c r="L2318" s="16">
        <f>base!X2318</f>
        <v>0</v>
      </c>
      <c r="M2318" s="11">
        <f t="shared" si="364"/>
        <v>0</v>
      </c>
      <c r="N2318" s="11">
        <f t="shared" si="365"/>
        <v>0</v>
      </c>
      <c r="O2318" s="11">
        <f t="shared" si="366"/>
        <v>0</v>
      </c>
      <c r="P2318" s="12">
        <f t="shared" si="367"/>
        <v>0</v>
      </c>
      <c r="Q2318" s="17" t="str">
        <f t="shared" si="369"/>
        <v>Pas d'écart</v>
      </c>
    </row>
    <row r="2319" spans="1:18" x14ac:dyDescent="0.3">
      <c r="A2319" s="34" t="str">
        <f>base!J2319</f>
        <v>RM</v>
      </c>
      <c r="B2319" s="34" t="str">
        <f>base!V2319</f>
        <v>14000</v>
      </c>
      <c r="C2319" s="37">
        <v>14</v>
      </c>
      <c r="D2319" s="36">
        <f>base!H2319</f>
        <v>180</v>
      </c>
      <c r="E2319" s="44"/>
      <c r="F2319" s="16">
        <f>base!W2319</f>
        <v>0</v>
      </c>
      <c r="G2319" s="11">
        <f t="shared" si="360"/>
        <v>0</v>
      </c>
      <c r="H2319" s="11">
        <f t="shared" si="361"/>
        <v>30.6</v>
      </c>
      <c r="I2319" s="11">
        <f t="shared" si="362"/>
        <v>0.17</v>
      </c>
      <c r="J2319" s="12">
        <f t="shared" si="363"/>
        <v>-30.6</v>
      </c>
      <c r="K2319" s="17" t="str">
        <f t="shared" si="368"/>
        <v>Ecart négatif</v>
      </c>
      <c r="L2319" s="16">
        <f>base!X2319</f>
        <v>30.6</v>
      </c>
      <c r="M2319" s="11">
        <f t="shared" si="364"/>
        <v>0.17</v>
      </c>
      <c r="N2319" s="11">
        <f t="shared" si="365"/>
        <v>30.6</v>
      </c>
      <c r="O2319" s="11">
        <f t="shared" si="366"/>
        <v>0.17</v>
      </c>
      <c r="P2319" s="12">
        <f t="shared" si="367"/>
        <v>0</v>
      </c>
      <c r="Q2319" s="17" t="str">
        <f t="shared" si="369"/>
        <v>Pas d'écart</v>
      </c>
    </row>
    <row r="2320" spans="1:18" x14ac:dyDescent="0.3">
      <c r="A2320" s="34" t="str">
        <f>base!J2320</f>
        <v>LM</v>
      </c>
      <c r="B2320" s="34" t="str">
        <f>base!V2320</f>
        <v>13001</v>
      </c>
      <c r="C2320" s="37">
        <v>62</v>
      </c>
      <c r="D2320" s="36">
        <f>base!H2320</f>
        <v>183.25</v>
      </c>
      <c r="E2320" s="44"/>
      <c r="F2320" s="16">
        <f>base!W2320</f>
        <v>53.14</v>
      </c>
      <c r="G2320" s="11">
        <f t="shared" si="360"/>
        <v>0.28998635743519779</v>
      </c>
      <c r="H2320" s="11">
        <f t="shared" si="361"/>
        <v>34.817500000000003</v>
      </c>
      <c r="I2320" s="11">
        <f t="shared" si="362"/>
        <v>0.19</v>
      </c>
      <c r="J2320" s="12">
        <f t="shared" si="363"/>
        <v>18.322499999999998</v>
      </c>
      <c r="K2320" s="17" t="str">
        <f t="shared" si="368"/>
        <v>Ecart positif</v>
      </c>
      <c r="L2320" s="16">
        <f>base!X2320</f>
        <v>0</v>
      </c>
      <c r="M2320" s="11">
        <f t="shared" si="364"/>
        <v>0</v>
      </c>
      <c r="N2320" s="11">
        <f t="shared" si="365"/>
        <v>0</v>
      </c>
      <c r="O2320" s="11">
        <f t="shared" si="366"/>
        <v>0</v>
      </c>
      <c r="P2320" s="12">
        <f t="shared" si="367"/>
        <v>0</v>
      </c>
      <c r="Q2320" s="17" t="str">
        <f t="shared" si="369"/>
        <v>Pas d'écart</v>
      </c>
    </row>
    <row r="2321" spans="1:18" x14ac:dyDescent="0.3">
      <c r="A2321" s="34" t="str">
        <f>base!J2321</f>
        <v>RS</v>
      </c>
      <c r="B2321" s="34" t="str">
        <f>base!V2321</f>
        <v>77380</v>
      </c>
      <c r="C2321" s="37">
        <v>77</v>
      </c>
      <c r="D2321" s="36">
        <f>base!H2321</f>
        <v>62.1</v>
      </c>
      <c r="E2321" s="44"/>
      <c r="F2321" s="16">
        <f>base!W2321</f>
        <v>0</v>
      </c>
      <c r="G2321" s="11">
        <f t="shared" si="360"/>
        <v>0</v>
      </c>
      <c r="H2321" s="11">
        <f t="shared" si="361"/>
        <v>0</v>
      </c>
      <c r="I2321" s="11">
        <f t="shared" si="362"/>
        <v>0</v>
      </c>
      <c r="J2321" s="12">
        <f t="shared" si="363"/>
        <v>0</v>
      </c>
      <c r="K2321" s="17" t="str">
        <f t="shared" si="368"/>
        <v>Pas d'écart</v>
      </c>
      <c r="L2321" s="16">
        <f>base!X2321</f>
        <v>0</v>
      </c>
      <c r="M2321" s="11">
        <f t="shared" si="364"/>
        <v>0</v>
      </c>
      <c r="N2321" s="11">
        <f t="shared" si="365"/>
        <v>0</v>
      </c>
      <c r="O2321" s="11">
        <f t="shared" si="366"/>
        <v>0</v>
      </c>
      <c r="P2321" s="12">
        <f t="shared" si="367"/>
        <v>0</v>
      </c>
      <c r="Q2321" s="17" t="str">
        <f t="shared" si="369"/>
        <v>Pas d'écart</v>
      </c>
    </row>
    <row r="2322" spans="1:18" x14ac:dyDescent="0.3">
      <c r="A2322" s="34" t="str">
        <f>base!J2322</f>
        <v>RS</v>
      </c>
      <c r="B2322" s="34" t="str">
        <f>base!V2322</f>
        <v>05220</v>
      </c>
      <c r="C2322" s="37">
        <v>5</v>
      </c>
      <c r="D2322" s="36">
        <f>base!H2322</f>
        <v>117.2</v>
      </c>
      <c r="E2322" s="44"/>
      <c r="F2322" s="16">
        <f>base!W2322</f>
        <v>0</v>
      </c>
      <c r="G2322" s="11">
        <f t="shared" si="360"/>
        <v>0</v>
      </c>
      <c r="H2322" s="11">
        <f t="shared" si="361"/>
        <v>33.988</v>
      </c>
      <c r="I2322" s="11">
        <f t="shared" si="362"/>
        <v>0.28999999999999998</v>
      </c>
      <c r="J2322" s="12">
        <f t="shared" si="363"/>
        <v>-33.988</v>
      </c>
      <c r="K2322" s="17" t="str">
        <f t="shared" si="368"/>
        <v>Ecart négatif</v>
      </c>
      <c r="L2322" s="16">
        <f>base!X2322</f>
        <v>0</v>
      </c>
      <c r="M2322" s="11">
        <f t="shared" si="364"/>
        <v>0</v>
      </c>
      <c r="N2322" s="11">
        <f t="shared" si="365"/>
        <v>22.268000000000001</v>
      </c>
      <c r="O2322" s="11">
        <f t="shared" si="366"/>
        <v>0.19</v>
      </c>
      <c r="P2322" s="12">
        <f t="shared" si="367"/>
        <v>-22.268000000000001</v>
      </c>
      <c r="Q2322" s="17" t="str">
        <f t="shared" si="369"/>
        <v>Ecart négatif</v>
      </c>
    </row>
    <row r="2323" spans="1:18" x14ac:dyDescent="0.3">
      <c r="A2323" s="34" t="str">
        <f>base!J2323</f>
        <v>RM</v>
      </c>
      <c r="B2323" s="34" t="str">
        <f>base!V2323</f>
        <v>17000</v>
      </c>
      <c r="C2323" s="37">
        <v>17</v>
      </c>
      <c r="D2323" s="36">
        <f>base!H2323</f>
        <v>165.02</v>
      </c>
      <c r="E2323" s="44"/>
      <c r="F2323" s="16">
        <f>base!W2323</f>
        <v>0</v>
      </c>
      <c r="G2323" s="11">
        <f t="shared" si="360"/>
        <v>0</v>
      </c>
      <c r="H2323" s="11">
        <f t="shared" si="361"/>
        <v>34.654200000000003</v>
      </c>
      <c r="I2323" s="11">
        <f t="shared" si="362"/>
        <v>0.21</v>
      </c>
      <c r="J2323" s="12">
        <f t="shared" si="363"/>
        <v>-34.654200000000003</v>
      </c>
      <c r="K2323" s="17" t="str">
        <f t="shared" si="368"/>
        <v>Ecart négatif</v>
      </c>
      <c r="L2323" s="16">
        <f>base!X2323</f>
        <v>0</v>
      </c>
      <c r="M2323" s="11">
        <f t="shared" si="364"/>
        <v>0</v>
      </c>
      <c r="N2323" s="11">
        <f t="shared" si="365"/>
        <v>28.053400000000003</v>
      </c>
      <c r="O2323" s="11">
        <f t="shared" si="366"/>
        <v>0.17</v>
      </c>
      <c r="P2323" s="12">
        <f t="shared" si="367"/>
        <v>-28.053400000000003</v>
      </c>
      <c r="Q2323" s="17" t="str">
        <f t="shared" si="369"/>
        <v>Ecart négatif</v>
      </c>
    </row>
    <row r="2324" spans="1:18" x14ac:dyDescent="0.3">
      <c r="A2324" s="34" t="str">
        <f>base!J2324</f>
        <v>RM</v>
      </c>
      <c r="B2324" s="34" t="str">
        <f>base!V2324</f>
        <v>13008</v>
      </c>
      <c r="C2324" s="37">
        <v>13</v>
      </c>
      <c r="D2324" s="36">
        <f>base!H2324</f>
        <v>25.6</v>
      </c>
      <c r="E2324" s="44"/>
      <c r="F2324" s="16">
        <f>base!W2324</f>
        <v>0</v>
      </c>
      <c r="G2324" s="11">
        <f t="shared" si="360"/>
        <v>0</v>
      </c>
      <c r="H2324" s="11">
        <f t="shared" si="361"/>
        <v>7.4239999999999995</v>
      </c>
      <c r="I2324" s="11">
        <f t="shared" si="362"/>
        <v>0.28999999999999998</v>
      </c>
      <c r="J2324" s="12">
        <f t="shared" si="363"/>
        <v>-7.4239999999999995</v>
      </c>
      <c r="K2324" s="17" t="str">
        <f t="shared" si="368"/>
        <v>Ecart négatif</v>
      </c>
      <c r="L2324" s="16">
        <f>base!X2324</f>
        <v>0</v>
      </c>
      <c r="M2324" s="11">
        <f t="shared" si="364"/>
        <v>0</v>
      </c>
      <c r="N2324" s="11">
        <f t="shared" si="365"/>
        <v>4.8640000000000008</v>
      </c>
      <c r="O2324" s="11">
        <f t="shared" si="366"/>
        <v>0.19000000000000003</v>
      </c>
      <c r="P2324" s="12">
        <f t="shared" si="367"/>
        <v>-4.8640000000000008</v>
      </c>
      <c r="Q2324" s="17" t="str">
        <f t="shared" si="369"/>
        <v>Ecart négatif</v>
      </c>
    </row>
    <row r="2325" spans="1:18" x14ac:dyDescent="0.3">
      <c r="A2325" s="34" t="str">
        <f>base!J2325</f>
        <v>RM</v>
      </c>
      <c r="B2325" s="34" t="str">
        <f>base!V2325</f>
        <v>55190</v>
      </c>
      <c r="C2325" s="37">
        <v>55</v>
      </c>
      <c r="D2325" s="36">
        <f>base!H2325</f>
        <v>196.98</v>
      </c>
      <c r="E2325" s="44"/>
      <c r="F2325" s="16">
        <f>base!W2325</f>
        <v>0</v>
      </c>
      <c r="G2325" s="11">
        <f t="shared" si="360"/>
        <v>0</v>
      </c>
      <c r="H2325" s="11">
        <f t="shared" si="361"/>
        <v>49.244999999999997</v>
      </c>
      <c r="I2325" s="11">
        <f t="shared" si="362"/>
        <v>0.25</v>
      </c>
      <c r="J2325" s="12">
        <f t="shared" si="363"/>
        <v>-49.244999999999997</v>
      </c>
      <c r="K2325" s="17" t="str">
        <f t="shared" si="368"/>
        <v>Ecart négatif</v>
      </c>
      <c r="L2325" s="16">
        <f>base!X2325</f>
        <v>49.25</v>
      </c>
      <c r="M2325" s="11">
        <f t="shared" si="364"/>
        <v>0.25002538328764345</v>
      </c>
      <c r="N2325" s="11">
        <f t="shared" si="365"/>
        <v>49.244999999999997</v>
      </c>
      <c r="O2325" s="11">
        <f t="shared" si="366"/>
        <v>0.25</v>
      </c>
      <c r="P2325" s="12">
        <f t="shared" si="367"/>
        <v>5.000000000002558E-3</v>
      </c>
      <c r="Q2325" s="17" t="str">
        <f t="shared" si="369"/>
        <v>Ecart positif</v>
      </c>
      <c r="R2325" s="38"/>
    </row>
    <row r="2326" spans="1:18" x14ac:dyDescent="0.3">
      <c r="A2326" s="34" t="str">
        <f>base!J2326</f>
        <v>RM</v>
      </c>
      <c r="B2326" s="34" t="str">
        <f>base!V2326</f>
        <v>68290</v>
      </c>
      <c r="C2326" s="37">
        <v>68</v>
      </c>
      <c r="D2326" s="36">
        <f>base!H2326</f>
        <v>22.5</v>
      </c>
      <c r="E2326" s="44"/>
      <c r="F2326" s="16">
        <f>base!W2326</f>
        <v>0</v>
      </c>
      <c r="G2326" s="11">
        <f t="shared" si="360"/>
        <v>0</v>
      </c>
      <c r="H2326" s="11">
        <f t="shared" si="361"/>
        <v>6.5249999999999995</v>
      </c>
      <c r="I2326" s="11">
        <f t="shared" si="362"/>
        <v>0.28999999999999998</v>
      </c>
      <c r="J2326" s="12">
        <f t="shared" si="363"/>
        <v>-6.5249999999999995</v>
      </c>
      <c r="K2326" s="17" t="str">
        <f t="shared" si="368"/>
        <v>Ecart négatif</v>
      </c>
      <c r="L2326" s="16">
        <f>base!X2326</f>
        <v>0</v>
      </c>
      <c r="M2326" s="11">
        <f t="shared" si="364"/>
        <v>0</v>
      </c>
      <c r="N2326" s="11">
        <f t="shared" si="365"/>
        <v>1.8</v>
      </c>
      <c r="O2326" s="11">
        <f t="shared" si="366"/>
        <v>0.08</v>
      </c>
      <c r="P2326" s="12">
        <f t="shared" si="367"/>
        <v>-1.8</v>
      </c>
      <c r="Q2326" s="17" t="str">
        <f t="shared" si="369"/>
        <v>Ecart négatif</v>
      </c>
    </row>
    <row r="2327" spans="1:18" x14ac:dyDescent="0.3">
      <c r="A2327" s="34" t="str">
        <f>base!J2327</f>
        <v>RM</v>
      </c>
      <c r="B2327" s="34" t="str">
        <f>base!V2327</f>
        <v>06000</v>
      </c>
      <c r="C2327" s="37">
        <v>6</v>
      </c>
      <c r="D2327" s="36">
        <f>base!H2327</f>
        <v>26.6</v>
      </c>
      <c r="E2327" s="44"/>
      <c r="F2327" s="16">
        <f>base!W2327</f>
        <v>0</v>
      </c>
      <c r="G2327" s="11">
        <f t="shared" si="360"/>
        <v>0</v>
      </c>
      <c r="H2327" s="11">
        <f t="shared" si="361"/>
        <v>7.98</v>
      </c>
      <c r="I2327" s="11">
        <f t="shared" si="362"/>
        <v>0.3</v>
      </c>
      <c r="J2327" s="12">
        <f t="shared" si="363"/>
        <v>-7.98</v>
      </c>
      <c r="K2327" s="17" t="str">
        <f t="shared" si="368"/>
        <v>Ecart négatif</v>
      </c>
      <c r="L2327" s="16">
        <f>base!X2327</f>
        <v>5.59</v>
      </c>
      <c r="M2327" s="11">
        <f t="shared" si="364"/>
        <v>0.21015037593984962</v>
      </c>
      <c r="N2327" s="11">
        <f t="shared" si="365"/>
        <v>5.5860000000000003</v>
      </c>
      <c r="O2327" s="11">
        <f t="shared" si="366"/>
        <v>0.21</v>
      </c>
      <c r="P2327" s="12">
        <f t="shared" si="367"/>
        <v>3.9999999999995595E-3</v>
      </c>
      <c r="Q2327" s="17" t="str">
        <f t="shared" si="369"/>
        <v>Ecart positif</v>
      </c>
      <c r="R2327" s="38"/>
    </row>
    <row r="2328" spans="1:18" x14ac:dyDescent="0.3">
      <c r="A2328" s="34" t="str">
        <f>base!J2328</f>
        <v>RS</v>
      </c>
      <c r="B2328" s="34" t="str">
        <f>base!V2328</f>
        <v>57200</v>
      </c>
      <c r="C2328" s="37">
        <v>57</v>
      </c>
      <c r="D2328" s="36">
        <f>base!H2328</f>
        <v>109.06</v>
      </c>
      <c r="E2328" s="44"/>
      <c r="F2328" s="16">
        <f>base!W2328</f>
        <v>0</v>
      </c>
      <c r="G2328" s="11">
        <f t="shared" si="360"/>
        <v>0</v>
      </c>
      <c r="H2328" s="11">
        <f t="shared" si="361"/>
        <v>26.174399999999999</v>
      </c>
      <c r="I2328" s="11">
        <f t="shared" si="362"/>
        <v>0.24</v>
      </c>
      <c r="J2328" s="12">
        <f t="shared" si="363"/>
        <v>-26.174399999999999</v>
      </c>
      <c r="K2328" s="17" t="str">
        <f t="shared" si="368"/>
        <v>Ecart négatif</v>
      </c>
      <c r="L2328" s="16">
        <f>base!X2328</f>
        <v>27.26</v>
      </c>
      <c r="M2328" s="11">
        <f t="shared" si="364"/>
        <v>0.24995415367687512</v>
      </c>
      <c r="N2328" s="11">
        <f t="shared" si="365"/>
        <v>27.265000000000001</v>
      </c>
      <c r="O2328" s="11">
        <f t="shared" si="366"/>
        <v>0.25</v>
      </c>
      <c r="P2328" s="12">
        <f t="shared" si="367"/>
        <v>-4.9999999999990052E-3</v>
      </c>
      <c r="Q2328" s="17" t="str">
        <f t="shared" si="369"/>
        <v>Ecart négatif</v>
      </c>
      <c r="R2328" s="38"/>
    </row>
    <row r="2329" spans="1:18" x14ac:dyDescent="0.3">
      <c r="A2329" s="34" t="str">
        <f>base!J2329</f>
        <v>DLM</v>
      </c>
      <c r="B2329" s="34" t="str">
        <f>base!V2329</f>
        <v>35136</v>
      </c>
      <c r="C2329" s="37">
        <v>35</v>
      </c>
      <c r="D2329" s="36">
        <f>base!H2329</f>
        <v>30</v>
      </c>
      <c r="E2329" s="44"/>
      <c r="F2329" s="16">
        <f>base!W2329</f>
        <v>0</v>
      </c>
      <c r="G2329" s="11">
        <f t="shared" si="360"/>
        <v>0</v>
      </c>
      <c r="H2329" s="11">
        <f t="shared" si="361"/>
        <v>8.1000000000000014</v>
      </c>
      <c r="I2329" s="11">
        <f t="shared" si="362"/>
        <v>0.27000000000000007</v>
      </c>
      <c r="J2329" s="12">
        <f t="shared" si="363"/>
        <v>-8.1000000000000014</v>
      </c>
      <c r="K2329" s="17" t="str">
        <f t="shared" si="368"/>
        <v>Ecart négatif</v>
      </c>
      <c r="L2329" s="16">
        <f>base!X2329</f>
        <v>0</v>
      </c>
      <c r="M2329" s="11">
        <f t="shared" si="364"/>
        <v>0</v>
      </c>
      <c r="N2329" s="11">
        <f t="shared" si="365"/>
        <v>0</v>
      </c>
      <c r="O2329" s="11">
        <f t="shared" si="366"/>
        <v>0</v>
      </c>
      <c r="P2329" s="12">
        <f t="shared" si="367"/>
        <v>0</v>
      </c>
      <c r="Q2329" s="17" t="str">
        <f t="shared" si="369"/>
        <v>Pas d'écart</v>
      </c>
    </row>
    <row r="2330" spans="1:18" x14ac:dyDescent="0.3">
      <c r="A2330" s="34" t="str">
        <f>base!J2330</f>
        <v>LM</v>
      </c>
      <c r="B2330" s="34" t="str">
        <f>base!V2330</f>
        <v>92000</v>
      </c>
      <c r="C2330" s="37">
        <v>92</v>
      </c>
      <c r="D2330" s="36">
        <f>base!H2330</f>
        <v>50.84</v>
      </c>
      <c r="E2330" s="44"/>
      <c r="F2330" s="16">
        <f>base!W2330</f>
        <v>0</v>
      </c>
      <c r="G2330" s="11">
        <f t="shared" si="360"/>
        <v>0</v>
      </c>
      <c r="H2330" s="11">
        <f t="shared" si="361"/>
        <v>0</v>
      </c>
      <c r="I2330" s="11">
        <f t="shared" si="362"/>
        <v>0</v>
      </c>
      <c r="J2330" s="12">
        <f t="shared" si="363"/>
        <v>0</v>
      </c>
      <c r="K2330" s="17" t="str">
        <f t="shared" si="368"/>
        <v>Pas d'écart</v>
      </c>
      <c r="L2330" s="16">
        <f>base!X2330</f>
        <v>0</v>
      </c>
      <c r="M2330" s="11">
        <f t="shared" si="364"/>
        <v>0</v>
      </c>
      <c r="N2330" s="11">
        <f t="shared" si="365"/>
        <v>0</v>
      </c>
      <c r="O2330" s="11">
        <f t="shared" si="366"/>
        <v>0</v>
      </c>
      <c r="P2330" s="12">
        <f t="shared" si="367"/>
        <v>0</v>
      </c>
      <c r="Q2330" s="17" t="str">
        <f t="shared" si="369"/>
        <v>Pas d'écart</v>
      </c>
    </row>
    <row r="2331" spans="1:18" x14ac:dyDescent="0.3">
      <c r="A2331" s="34" t="str">
        <f>base!J2331</f>
        <v>RM</v>
      </c>
      <c r="B2331" s="34" t="str">
        <f>base!V2331</f>
        <v>06190</v>
      </c>
      <c r="C2331" s="37">
        <v>6</v>
      </c>
      <c r="D2331" s="36">
        <f>base!H2331</f>
        <v>27</v>
      </c>
      <c r="E2331" s="44"/>
      <c r="F2331" s="16">
        <f>base!W2331</f>
        <v>0</v>
      </c>
      <c r="G2331" s="11">
        <f t="shared" si="360"/>
        <v>0</v>
      </c>
      <c r="H2331" s="11">
        <f t="shared" si="361"/>
        <v>8.1</v>
      </c>
      <c r="I2331" s="11">
        <f t="shared" si="362"/>
        <v>0.3</v>
      </c>
      <c r="J2331" s="12">
        <f t="shared" si="363"/>
        <v>-8.1</v>
      </c>
      <c r="K2331" s="17" t="str">
        <f t="shared" si="368"/>
        <v>Ecart négatif</v>
      </c>
      <c r="L2331" s="16">
        <f>base!X2331</f>
        <v>8.1</v>
      </c>
      <c r="M2331" s="11">
        <f t="shared" si="364"/>
        <v>0.3</v>
      </c>
      <c r="N2331" s="11">
        <f t="shared" si="365"/>
        <v>5.67</v>
      </c>
      <c r="O2331" s="11">
        <f t="shared" si="366"/>
        <v>0.21</v>
      </c>
      <c r="P2331" s="12">
        <f t="shared" si="367"/>
        <v>2.4299999999999997</v>
      </c>
      <c r="Q2331" s="17" t="str">
        <f t="shared" si="369"/>
        <v>Ecart positif</v>
      </c>
      <c r="R2331" s="38"/>
    </row>
    <row r="2332" spans="1:18" x14ac:dyDescent="0.3">
      <c r="A2332" s="34" t="str">
        <f>base!J2332</f>
        <v>DLM</v>
      </c>
      <c r="B2332" s="34" t="str">
        <f>base!V2332</f>
        <v>69003</v>
      </c>
      <c r="C2332" s="37">
        <v>69</v>
      </c>
      <c r="D2332" s="36">
        <f>base!H2332</f>
        <v>52.5</v>
      </c>
      <c r="E2332" s="44"/>
      <c r="F2332" s="16">
        <f>base!W2332</f>
        <v>0</v>
      </c>
      <c r="G2332" s="11">
        <f t="shared" si="360"/>
        <v>0</v>
      </c>
      <c r="H2332" s="11">
        <f t="shared" si="361"/>
        <v>14.175000000000001</v>
      </c>
      <c r="I2332" s="11">
        <f t="shared" si="362"/>
        <v>0.27</v>
      </c>
      <c r="J2332" s="12">
        <f t="shared" si="363"/>
        <v>-14.175000000000001</v>
      </c>
      <c r="K2332" s="17" t="str">
        <f t="shared" si="368"/>
        <v>Ecart négatif</v>
      </c>
      <c r="L2332" s="16">
        <f>base!X2332</f>
        <v>0</v>
      </c>
      <c r="M2332" s="11">
        <f t="shared" si="364"/>
        <v>0</v>
      </c>
      <c r="N2332" s="11">
        <f t="shared" si="365"/>
        <v>0</v>
      </c>
      <c r="O2332" s="11">
        <f t="shared" si="366"/>
        <v>0</v>
      </c>
      <c r="P2332" s="12">
        <f t="shared" si="367"/>
        <v>0</v>
      </c>
      <c r="Q2332" s="17" t="str">
        <f t="shared" si="369"/>
        <v>Pas d'écart</v>
      </c>
    </row>
    <row r="2333" spans="1:18" x14ac:dyDescent="0.3">
      <c r="A2333" s="34" t="str">
        <f>base!J2333</f>
        <v>DLM</v>
      </c>
      <c r="B2333" s="34" t="str">
        <f>base!V2333</f>
        <v>69003</v>
      </c>
      <c r="C2333" s="37">
        <v>69</v>
      </c>
      <c r="D2333" s="36">
        <f>base!H2333</f>
        <v>52.5</v>
      </c>
      <c r="E2333" s="44"/>
      <c r="F2333" s="16">
        <f>base!W2333</f>
        <v>0</v>
      </c>
      <c r="G2333" s="11">
        <f t="shared" si="360"/>
        <v>0</v>
      </c>
      <c r="H2333" s="11">
        <f t="shared" si="361"/>
        <v>14.175000000000001</v>
      </c>
      <c r="I2333" s="11">
        <f t="shared" si="362"/>
        <v>0.27</v>
      </c>
      <c r="J2333" s="12">
        <f t="shared" si="363"/>
        <v>-14.175000000000001</v>
      </c>
      <c r="K2333" s="17" t="str">
        <f t="shared" si="368"/>
        <v>Ecart négatif</v>
      </c>
      <c r="L2333" s="16">
        <f>base!X2333</f>
        <v>0</v>
      </c>
      <c r="M2333" s="11">
        <f t="shared" si="364"/>
        <v>0</v>
      </c>
      <c r="N2333" s="11">
        <f t="shared" si="365"/>
        <v>0</v>
      </c>
      <c r="O2333" s="11">
        <f t="shared" si="366"/>
        <v>0</v>
      </c>
      <c r="P2333" s="12">
        <f t="shared" si="367"/>
        <v>0</v>
      </c>
      <c r="Q2333" s="17" t="str">
        <f t="shared" si="369"/>
        <v>Pas d'écart</v>
      </c>
    </row>
    <row r="2334" spans="1:18" x14ac:dyDescent="0.3">
      <c r="A2334" s="34" t="str">
        <f>base!J2334</f>
        <v>DLM</v>
      </c>
      <c r="B2334" s="34" t="str">
        <f>base!V2334</f>
        <v>13015</v>
      </c>
      <c r="C2334" s="37">
        <v>13</v>
      </c>
      <c r="D2334" s="36">
        <f>base!H2334</f>
        <v>52.5</v>
      </c>
      <c r="E2334" s="44"/>
      <c r="F2334" s="16">
        <f>base!W2334</f>
        <v>0</v>
      </c>
      <c r="G2334" s="11">
        <f t="shared" si="360"/>
        <v>0</v>
      </c>
      <c r="H2334" s="11">
        <f t="shared" si="361"/>
        <v>15.225</v>
      </c>
      <c r="I2334" s="11">
        <f t="shared" si="362"/>
        <v>0.28999999999999998</v>
      </c>
      <c r="J2334" s="12">
        <f t="shared" si="363"/>
        <v>-15.225</v>
      </c>
      <c r="K2334" s="17" t="str">
        <f t="shared" si="368"/>
        <v>Ecart négatif</v>
      </c>
      <c r="L2334" s="16">
        <f>base!X2334</f>
        <v>0</v>
      </c>
      <c r="M2334" s="11">
        <f t="shared" si="364"/>
        <v>0</v>
      </c>
      <c r="N2334" s="11">
        <f t="shared" si="365"/>
        <v>9.9749999999999996</v>
      </c>
      <c r="O2334" s="11">
        <f t="shared" si="366"/>
        <v>0.19</v>
      </c>
      <c r="P2334" s="12">
        <f t="shared" si="367"/>
        <v>-9.9749999999999996</v>
      </c>
      <c r="Q2334" s="17" t="str">
        <f t="shared" si="369"/>
        <v>Ecart négatif</v>
      </c>
    </row>
    <row r="2335" spans="1:18" x14ac:dyDescent="0.3">
      <c r="A2335" s="34" t="str">
        <f>base!J2335</f>
        <v>DLM</v>
      </c>
      <c r="B2335" s="34" t="str">
        <f>base!V2335</f>
        <v>76100</v>
      </c>
      <c r="C2335" s="37">
        <v>76</v>
      </c>
      <c r="D2335" s="36">
        <f>base!H2335</f>
        <v>52.5</v>
      </c>
      <c r="E2335" s="44"/>
      <c r="F2335" s="16">
        <f>base!W2335</f>
        <v>0</v>
      </c>
      <c r="G2335" s="11">
        <f t="shared" si="360"/>
        <v>0</v>
      </c>
      <c r="H2335" s="11">
        <f t="shared" si="361"/>
        <v>8.9250000000000007</v>
      </c>
      <c r="I2335" s="11">
        <f t="shared" si="362"/>
        <v>0.17</v>
      </c>
      <c r="J2335" s="12">
        <f t="shared" si="363"/>
        <v>-8.9250000000000007</v>
      </c>
      <c r="K2335" s="17" t="str">
        <f t="shared" si="368"/>
        <v>Ecart négatif</v>
      </c>
      <c r="L2335" s="16">
        <f>base!X2335</f>
        <v>0</v>
      </c>
      <c r="M2335" s="11">
        <f t="shared" si="364"/>
        <v>0</v>
      </c>
      <c r="N2335" s="11">
        <f t="shared" si="365"/>
        <v>8.9250000000000007</v>
      </c>
      <c r="O2335" s="11">
        <f t="shared" si="366"/>
        <v>0.17</v>
      </c>
      <c r="P2335" s="12">
        <f t="shared" si="367"/>
        <v>-8.9250000000000007</v>
      </c>
      <c r="Q2335" s="17" t="str">
        <f t="shared" si="369"/>
        <v>Ecart négatif</v>
      </c>
    </row>
    <row r="2336" spans="1:18" x14ac:dyDescent="0.3">
      <c r="A2336" s="34" t="str">
        <f>base!J2336</f>
        <v>DLM</v>
      </c>
      <c r="B2336" s="34" t="str">
        <f>base!V2336</f>
        <v>44600</v>
      </c>
      <c r="C2336" s="37">
        <v>44</v>
      </c>
      <c r="D2336" s="36">
        <f>base!H2336</f>
        <v>52.5</v>
      </c>
      <c r="E2336" s="44"/>
      <c r="F2336" s="16">
        <f>base!W2336</f>
        <v>0</v>
      </c>
      <c r="G2336" s="11">
        <f t="shared" si="360"/>
        <v>0</v>
      </c>
      <c r="H2336" s="11">
        <f t="shared" si="361"/>
        <v>14.175000000000001</v>
      </c>
      <c r="I2336" s="11">
        <f t="shared" si="362"/>
        <v>0.27</v>
      </c>
      <c r="J2336" s="12">
        <f t="shared" si="363"/>
        <v>-14.175000000000001</v>
      </c>
      <c r="K2336" s="17" t="str">
        <f t="shared" si="368"/>
        <v>Ecart négatif</v>
      </c>
      <c r="L2336" s="16">
        <f>base!X2336</f>
        <v>0</v>
      </c>
      <c r="M2336" s="11">
        <f t="shared" si="364"/>
        <v>0</v>
      </c>
      <c r="N2336" s="11">
        <f t="shared" si="365"/>
        <v>0</v>
      </c>
      <c r="O2336" s="11">
        <f t="shared" si="366"/>
        <v>0</v>
      </c>
      <c r="P2336" s="12">
        <f t="shared" si="367"/>
        <v>0</v>
      </c>
      <c r="Q2336" s="17" t="str">
        <f t="shared" si="369"/>
        <v>Pas d'écart</v>
      </c>
    </row>
    <row r="2337" spans="1:18" x14ac:dyDescent="0.3">
      <c r="A2337" s="34" t="str">
        <f>base!J2337</f>
        <v>DLM</v>
      </c>
      <c r="B2337" s="34" t="str">
        <f>base!V2337</f>
        <v>21000</v>
      </c>
      <c r="C2337" s="37">
        <v>21</v>
      </c>
      <c r="D2337" s="36">
        <f>base!H2337</f>
        <v>52.5</v>
      </c>
      <c r="E2337" s="44"/>
      <c r="F2337" s="16">
        <f>base!W2337</f>
        <v>0</v>
      </c>
      <c r="G2337" s="11">
        <f t="shared" si="360"/>
        <v>0</v>
      </c>
      <c r="H2337" s="11">
        <f t="shared" si="361"/>
        <v>12.6</v>
      </c>
      <c r="I2337" s="11">
        <f t="shared" si="362"/>
        <v>0.24</v>
      </c>
      <c r="J2337" s="12">
        <f t="shared" si="363"/>
        <v>-12.6</v>
      </c>
      <c r="K2337" s="17" t="str">
        <f t="shared" si="368"/>
        <v>Ecart négatif</v>
      </c>
      <c r="L2337" s="16">
        <f>base!X2337</f>
        <v>0</v>
      </c>
      <c r="M2337" s="11">
        <f t="shared" si="364"/>
        <v>0</v>
      </c>
      <c r="N2337" s="11">
        <f t="shared" si="365"/>
        <v>6.3</v>
      </c>
      <c r="O2337" s="11">
        <f t="shared" si="366"/>
        <v>0.12</v>
      </c>
      <c r="P2337" s="12">
        <f t="shared" si="367"/>
        <v>-6.3</v>
      </c>
      <c r="Q2337" s="17" t="str">
        <f t="shared" si="369"/>
        <v>Ecart négatif</v>
      </c>
    </row>
    <row r="2338" spans="1:18" x14ac:dyDescent="0.3">
      <c r="A2338" s="34" t="str">
        <f>base!J2338</f>
        <v>RM</v>
      </c>
      <c r="B2338" s="34" t="str">
        <f>base!V2338</f>
        <v>62600</v>
      </c>
      <c r="C2338" s="37">
        <v>62</v>
      </c>
      <c r="D2338" s="36">
        <f>base!H2338</f>
        <v>44</v>
      </c>
      <c r="E2338" s="44"/>
      <c r="F2338" s="16">
        <f>base!W2338</f>
        <v>0</v>
      </c>
      <c r="G2338" s="11">
        <f t="shared" si="360"/>
        <v>0</v>
      </c>
      <c r="H2338" s="11">
        <f t="shared" si="361"/>
        <v>8.36</v>
      </c>
      <c r="I2338" s="11">
        <f t="shared" si="362"/>
        <v>0.18999999999999997</v>
      </c>
      <c r="J2338" s="12">
        <f t="shared" si="363"/>
        <v>-8.36</v>
      </c>
      <c r="K2338" s="17" t="str">
        <f t="shared" si="368"/>
        <v>Ecart négatif</v>
      </c>
      <c r="L2338" s="16">
        <f>base!X2338</f>
        <v>8.36</v>
      </c>
      <c r="M2338" s="11">
        <f t="shared" si="364"/>
        <v>0.18999999999999997</v>
      </c>
      <c r="N2338" s="11">
        <f t="shared" si="365"/>
        <v>0</v>
      </c>
      <c r="O2338" s="11">
        <f t="shared" si="366"/>
        <v>0</v>
      </c>
      <c r="P2338" s="12">
        <f t="shared" si="367"/>
        <v>8.36</v>
      </c>
      <c r="Q2338" s="17" t="str">
        <f t="shared" si="369"/>
        <v>Ecart positif</v>
      </c>
      <c r="R2338" s="38"/>
    </row>
    <row r="2339" spans="1:18" x14ac:dyDescent="0.3">
      <c r="A2339" s="34" t="str">
        <f>base!J2339</f>
        <v>DLS</v>
      </c>
      <c r="B2339" s="34" t="str">
        <f>base!V2339</f>
        <v>77184</v>
      </c>
      <c r="C2339" s="37">
        <v>77</v>
      </c>
      <c r="D2339" s="36">
        <f>base!H2339</f>
        <v>97.39</v>
      </c>
      <c r="E2339" s="44"/>
      <c r="F2339" s="16">
        <f>base!W2339</f>
        <v>0</v>
      </c>
      <c r="G2339" s="11">
        <f t="shared" si="360"/>
        <v>0</v>
      </c>
      <c r="H2339" s="11">
        <f t="shared" si="361"/>
        <v>0</v>
      </c>
      <c r="I2339" s="11">
        <f t="shared" si="362"/>
        <v>0</v>
      </c>
      <c r="J2339" s="12">
        <f t="shared" si="363"/>
        <v>0</v>
      </c>
      <c r="K2339" s="17" t="str">
        <f t="shared" si="368"/>
        <v>Pas d'écart</v>
      </c>
      <c r="L2339" s="16">
        <f>base!X2339</f>
        <v>0</v>
      </c>
      <c r="M2339" s="11">
        <f t="shared" si="364"/>
        <v>0</v>
      </c>
      <c r="N2339" s="11">
        <f t="shared" si="365"/>
        <v>0</v>
      </c>
      <c r="O2339" s="11">
        <f t="shared" si="366"/>
        <v>0</v>
      </c>
      <c r="P2339" s="12">
        <f t="shared" si="367"/>
        <v>0</v>
      </c>
      <c r="Q2339" s="17" t="str">
        <f t="shared" si="369"/>
        <v>Pas d'écart</v>
      </c>
    </row>
    <row r="2340" spans="1:18" x14ac:dyDescent="0.3">
      <c r="A2340" s="34" t="str">
        <f>base!J2340</f>
        <v>RS</v>
      </c>
      <c r="B2340" s="34" t="str">
        <f>base!V2340</f>
        <v>57000</v>
      </c>
      <c r="C2340" s="37">
        <v>57</v>
      </c>
      <c r="D2340" s="36">
        <f>base!H2340</f>
        <v>29.89</v>
      </c>
      <c r="E2340" s="44"/>
      <c r="F2340" s="16">
        <f>base!W2340</f>
        <v>0</v>
      </c>
      <c r="G2340" s="11">
        <f t="shared" si="360"/>
        <v>0</v>
      </c>
      <c r="H2340" s="11">
        <f t="shared" si="361"/>
        <v>7.1735999999999995</v>
      </c>
      <c r="I2340" s="11">
        <f t="shared" si="362"/>
        <v>0.24</v>
      </c>
      <c r="J2340" s="12">
        <f t="shared" si="363"/>
        <v>-7.1735999999999995</v>
      </c>
      <c r="K2340" s="17" t="str">
        <f t="shared" si="368"/>
        <v>Ecart négatif</v>
      </c>
      <c r="L2340" s="16">
        <f>base!X2340</f>
        <v>7.47</v>
      </c>
      <c r="M2340" s="11">
        <f t="shared" si="364"/>
        <v>0.2499163599866176</v>
      </c>
      <c r="N2340" s="11">
        <f t="shared" si="365"/>
        <v>7.4725000000000001</v>
      </c>
      <c r="O2340" s="11">
        <f t="shared" si="366"/>
        <v>0.25</v>
      </c>
      <c r="P2340" s="12">
        <f t="shared" si="367"/>
        <v>-2.5000000000003908E-3</v>
      </c>
      <c r="Q2340" s="17" t="str">
        <f t="shared" si="369"/>
        <v>Ecart négatif</v>
      </c>
      <c r="R2340" s="38"/>
    </row>
    <row r="2341" spans="1:18" x14ac:dyDescent="0.3">
      <c r="A2341" s="34" t="str">
        <f>base!J2341</f>
        <v>LM</v>
      </c>
      <c r="B2341" s="34" t="str">
        <f>base!V2341</f>
        <v>16380</v>
      </c>
      <c r="C2341" s="37">
        <v>59</v>
      </c>
      <c r="D2341" s="36">
        <f>base!H2341</f>
        <v>126.65</v>
      </c>
      <c r="E2341" s="44"/>
      <c r="F2341" s="16">
        <f>base!W2341</f>
        <v>26.6</v>
      </c>
      <c r="G2341" s="11">
        <f t="shared" si="360"/>
        <v>0.21002763521515988</v>
      </c>
      <c r="H2341" s="11">
        <f t="shared" si="361"/>
        <v>24.063500000000001</v>
      </c>
      <c r="I2341" s="11">
        <f t="shared" si="362"/>
        <v>0.19</v>
      </c>
      <c r="J2341" s="12">
        <f t="shared" si="363"/>
        <v>2.5365000000000002</v>
      </c>
      <c r="K2341" s="17" t="str">
        <f t="shared" si="368"/>
        <v>Ecart positif</v>
      </c>
      <c r="L2341" s="16">
        <f>base!X2341</f>
        <v>0</v>
      </c>
      <c r="M2341" s="11">
        <f t="shared" si="364"/>
        <v>0</v>
      </c>
      <c r="N2341" s="11">
        <f t="shared" si="365"/>
        <v>0</v>
      </c>
      <c r="O2341" s="11">
        <f t="shared" si="366"/>
        <v>0</v>
      </c>
      <c r="P2341" s="12">
        <f t="shared" si="367"/>
        <v>0</v>
      </c>
      <c r="Q2341" s="17" t="str">
        <f t="shared" si="369"/>
        <v>Pas d'écart</v>
      </c>
    </row>
    <row r="2342" spans="1:18" x14ac:dyDescent="0.3">
      <c r="A2342" s="34" t="str">
        <f>base!J2342</f>
        <v>RS</v>
      </c>
      <c r="B2342" s="34" t="str">
        <f>base!V2342</f>
        <v>30200</v>
      </c>
      <c r="C2342" s="37">
        <v>30</v>
      </c>
      <c r="D2342" s="36">
        <f>base!H2342</f>
        <v>140.51</v>
      </c>
      <c r="E2342" s="44"/>
      <c r="F2342" s="16">
        <f>base!W2342</f>
        <v>0</v>
      </c>
      <c r="G2342" s="11">
        <f t="shared" si="360"/>
        <v>0</v>
      </c>
      <c r="H2342" s="11">
        <f t="shared" si="361"/>
        <v>54.798899999999996</v>
      </c>
      <c r="I2342" s="11">
        <f t="shared" si="362"/>
        <v>0.39</v>
      </c>
      <c r="J2342" s="12">
        <f t="shared" si="363"/>
        <v>-54.798899999999996</v>
      </c>
      <c r="K2342" s="17" t="str">
        <f t="shared" si="368"/>
        <v>Ecart négatif</v>
      </c>
      <c r="L2342" s="16">
        <f>base!X2342</f>
        <v>0</v>
      </c>
      <c r="M2342" s="11">
        <f t="shared" si="364"/>
        <v>0</v>
      </c>
      <c r="N2342" s="11">
        <f t="shared" si="365"/>
        <v>39.342800000000004</v>
      </c>
      <c r="O2342" s="11">
        <f t="shared" si="366"/>
        <v>0.28000000000000003</v>
      </c>
      <c r="P2342" s="12">
        <f t="shared" si="367"/>
        <v>-39.342800000000004</v>
      </c>
      <c r="Q2342" s="17" t="str">
        <f t="shared" si="369"/>
        <v>Ecart négatif</v>
      </c>
    </row>
    <row r="2343" spans="1:18" x14ac:dyDescent="0.3">
      <c r="A2343" s="34" t="str">
        <f>base!J2343</f>
        <v>RM</v>
      </c>
      <c r="B2343" s="34" t="str">
        <f>base!V2343</f>
        <v>62320</v>
      </c>
      <c r="C2343" s="37">
        <v>62</v>
      </c>
      <c r="D2343" s="36">
        <f>base!H2343</f>
        <v>196.04</v>
      </c>
      <c r="E2343" s="44"/>
      <c r="F2343" s="16">
        <f>base!W2343</f>
        <v>0</v>
      </c>
      <c r="G2343" s="11">
        <f t="shared" si="360"/>
        <v>0</v>
      </c>
      <c r="H2343" s="11">
        <f t="shared" si="361"/>
        <v>37.247599999999998</v>
      </c>
      <c r="I2343" s="11">
        <f t="shared" si="362"/>
        <v>0.19</v>
      </c>
      <c r="J2343" s="12">
        <f t="shared" si="363"/>
        <v>-37.247599999999998</v>
      </c>
      <c r="K2343" s="17" t="str">
        <f t="shared" si="368"/>
        <v>Ecart négatif</v>
      </c>
      <c r="L2343" s="16">
        <f>base!X2343</f>
        <v>0</v>
      </c>
      <c r="M2343" s="11">
        <f t="shared" si="364"/>
        <v>0</v>
      </c>
      <c r="N2343" s="11">
        <f t="shared" si="365"/>
        <v>0</v>
      </c>
      <c r="O2343" s="11">
        <f t="shared" si="366"/>
        <v>0</v>
      </c>
      <c r="P2343" s="12">
        <f t="shared" si="367"/>
        <v>0</v>
      </c>
      <c r="Q2343" s="17" t="str">
        <f t="shared" si="369"/>
        <v>Pas d'écart</v>
      </c>
    </row>
    <row r="2344" spans="1:18" x14ac:dyDescent="0.3">
      <c r="A2344" s="34" t="str">
        <f>base!J2344</f>
        <v>RM</v>
      </c>
      <c r="B2344" s="34" t="str">
        <f>base!V2344</f>
        <v>06560</v>
      </c>
      <c r="C2344" s="37">
        <v>6</v>
      </c>
      <c r="D2344" s="36">
        <f>base!H2344</f>
        <v>151</v>
      </c>
      <c r="E2344" s="44"/>
      <c r="F2344" s="16">
        <f>base!W2344</f>
        <v>0</v>
      </c>
      <c r="G2344" s="11">
        <f t="shared" si="360"/>
        <v>0</v>
      </c>
      <c r="H2344" s="11">
        <f t="shared" si="361"/>
        <v>45.3</v>
      </c>
      <c r="I2344" s="11">
        <f t="shared" si="362"/>
        <v>0.3</v>
      </c>
      <c r="J2344" s="12">
        <f t="shared" si="363"/>
        <v>-45.3</v>
      </c>
      <c r="K2344" s="17" t="str">
        <f t="shared" si="368"/>
        <v>Ecart négatif</v>
      </c>
      <c r="L2344" s="16">
        <f>base!X2344</f>
        <v>0</v>
      </c>
      <c r="M2344" s="11">
        <f t="shared" si="364"/>
        <v>0</v>
      </c>
      <c r="N2344" s="11">
        <f t="shared" si="365"/>
        <v>31.709999999999997</v>
      </c>
      <c r="O2344" s="11">
        <f t="shared" si="366"/>
        <v>0.21</v>
      </c>
      <c r="P2344" s="12">
        <f t="shared" si="367"/>
        <v>-31.709999999999997</v>
      </c>
      <c r="Q2344" s="17" t="str">
        <f t="shared" si="369"/>
        <v>Ecart négatif</v>
      </c>
    </row>
    <row r="2345" spans="1:18" x14ac:dyDescent="0.3">
      <c r="A2345" s="34" t="str">
        <f>base!J2345</f>
        <v>LM</v>
      </c>
      <c r="B2345" s="34" t="str">
        <f>base!V2345</f>
        <v>71380</v>
      </c>
      <c r="C2345" s="37">
        <v>62</v>
      </c>
      <c r="D2345" s="36">
        <f>base!H2345</f>
        <v>137.43</v>
      </c>
      <c r="E2345" s="44"/>
      <c r="F2345" s="16">
        <f>base!W2345</f>
        <v>37.11</v>
      </c>
      <c r="G2345" s="11">
        <f t="shared" si="360"/>
        <v>0.27002837808338787</v>
      </c>
      <c r="H2345" s="11">
        <f t="shared" si="361"/>
        <v>26.111700000000003</v>
      </c>
      <c r="I2345" s="11">
        <f t="shared" si="362"/>
        <v>0.19</v>
      </c>
      <c r="J2345" s="12">
        <f t="shared" si="363"/>
        <v>10.998299999999997</v>
      </c>
      <c r="K2345" s="17" t="str">
        <f t="shared" si="368"/>
        <v>Ecart positif</v>
      </c>
      <c r="L2345" s="16">
        <f>base!X2345</f>
        <v>0</v>
      </c>
      <c r="M2345" s="11">
        <f t="shared" si="364"/>
        <v>0</v>
      </c>
      <c r="N2345" s="11">
        <f t="shared" si="365"/>
        <v>0</v>
      </c>
      <c r="O2345" s="11">
        <f t="shared" si="366"/>
        <v>0</v>
      </c>
      <c r="P2345" s="12">
        <f t="shared" si="367"/>
        <v>0</v>
      </c>
      <c r="Q2345" s="17" t="str">
        <f t="shared" si="369"/>
        <v>Pas d'écart</v>
      </c>
    </row>
    <row r="2346" spans="1:18" x14ac:dyDescent="0.3">
      <c r="A2346" s="34" t="str">
        <f>base!J2346</f>
        <v>RM</v>
      </c>
      <c r="B2346" s="34" t="str">
        <f>base!V2346</f>
        <v>30750</v>
      </c>
      <c r="C2346" s="37">
        <v>30</v>
      </c>
      <c r="D2346" s="36">
        <f>base!H2346</f>
        <v>140</v>
      </c>
      <c r="E2346" s="44"/>
      <c r="F2346" s="16">
        <f>base!W2346</f>
        <v>0</v>
      </c>
      <c r="G2346" s="11">
        <f t="shared" si="360"/>
        <v>0</v>
      </c>
      <c r="H2346" s="11">
        <f t="shared" si="361"/>
        <v>54.6</v>
      </c>
      <c r="I2346" s="11">
        <f t="shared" si="362"/>
        <v>0.39</v>
      </c>
      <c r="J2346" s="12">
        <f t="shared" si="363"/>
        <v>-54.6</v>
      </c>
      <c r="K2346" s="17" t="str">
        <f t="shared" si="368"/>
        <v>Ecart négatif</v>
      </c>
      <c r="L2346" s="16">
        <f>base!X2346</f>
        <v>39.200000000000003</v>
      </c>
      <c r="M2346" s="11">
        <f t="shared" si="364"/>
        <v>0.28000000000000003</v>
      </c>
      <c r="N2346" s="11">
        <f t="shared" si="365"/>
        <v>39.200000000000003</v>
      </c>
      <c r="O2346" s="11">
        <f t="shared" si="366"/>
        <v>0.28000000000000003</v>
      </c>
      <c r="P2346" s="12">
        <f t="shared" si="367"/>
        <v>0</v>
      </c>
      <c r="Q2346" s="17" t="str">
        <f t="shared" si="369"/>
        <v>Pas d'écart</v>
      </c>
      <c r="R2346" s="38"/>
    </row>
    <row r="2347" spans="1:18" x14ac:dyDescent="0.3">
      <c r="A2347" s="34" t="str">
        <f>base!J2347</f>
        <v>RS</v>
      </c>
      <c r="B2347" s="34" t="str">
        <f>base!V2347</f>
        <v>26000</v>
      </c>
      <c r="C2347" s="37">
        <v>26</v>
      </c>
      <c r="D2347" s="36">
        <f>base!H2347</f>
        <v>183.38</v>
      </c>
      <c r="E2347" s="44"/>
      <c r="F2347" s="16">
        <f>base!W2347</f>
        <v>0</v>
      </c>
      <c r="G2347" s="11">
        <f t="shared" si="360"/>
        <v>0</v>
      </c>
      <c r="H2347" s="11">
        <f t="shared" si="361"/>
        <v>49.512599999999999</v>
      </c>
      <c r="I2347" s="11">
        <f t="shared" si="362"/>
        <v>0.27</v>
      </c>
      <c r="J2347" s="12">
        <f t="shared" si="363"/>
        <v>-49.512599999999999</v>
      </c>
      <c r="K2347" s="17" t="str">
        <f t="shared" si="368"/>
        <v>Ecart négatif</v>
      </c>
      <c r="L2347" s="16">
        <f>base!X2347</f>
        <v>0</v>
      </c>
      <c r="M2347" s="11">
        <f t="shared" si="364"/>
        <v>0</v>
      </c>
      <c r="N2347" s="11">
        <f t="shared" si="365"/>
        <v>0</v>
      </c>
      <c r="O2347" s="11">
        <f t="shared" si="366"/>
        <v>0</v>
      </c>
      <c r="P2347" s="12">
        <f t="shared" si="367"/>
        <v>0</v>
      </c>
      <c r="Q2347" s="17" t="str">
        <f t="shared" si="369"/>
        <v>Pas d'écart</v>
      </c>
    </row>
    <row r="2348" spans="1:18" x14ac:dyDescent="0.3">
      <c r="A2348" s="34">
        <f>base!J2348</f>
        <v>0</v>
      </c>
      <c r="B2348" s="34" t="str">
        <f>base!V2348</f>
        <v>77184</v>
      </c>
      <c r="C2348" s="37">
        <v>77</v>
      </c>
      <c r="D2348" s="36">
        <f>base!H2348</f>
        <v>84.5</v>
      </c>
      <c r="E2348" s="44"/>
      <c r="F2348" s="16">
        <f>base!W2348</f>
        <v>0</v>
      </c>
      <c r="G2348" s="11">
        <f t="shared" si="360"/>
        <v>0</v>
      </c>
      <c r="H2348" s="11">
        <f t="shared" si="361"/>
        <v>0</v>
      </c>
      <c r="I2348" s="11">
        <f t="shared" si="362"/>
        <v>0</v>
      </c>
      <c r="J2348" s="12">
        <f t="shared" si="363"/>
        <v>0</v>
      </c>
      <c r="K2348" s="17" t="str">
        <f t="shared" si="368"/>
        <v>Pas d'écart</v>
      </c>
      <c r="L2348" s="16">
        <f>base!X2348</f>
        <v>0</v>
      </c>
      <c r="M2348" s="11">
        <f t="shared" si="364"/>
        <v>0</v>
      </c>
      <c r="N2348" s="11">
        <f t="shared" si="365"/>
        <v>0</v>
      </c>
      <c r="O2348" s="11">
        <f t="shared" si="366"/>
        <v>0</v>
      </c>
      <c r="P2348" s="12">
        <f t="shared" si="367"/>
        <v>0</v>
      </c>
      <c r="Q2348" s="17" t="str">
        <f t="shared" si="369"/>
        <v>Pas d'écart</v>
      </c>
    </row>
    <row r="2349" spans="1:18" x14ac:dyDescent="0.3">
      <c r="A2349" s="34">
        <f>base!J2349</f>
        <v>0</v>
      </c>
      <c r="B2349" s="34" t="str">
        <f>base!V2349</f>
        <v>77184</v>
      </c>
      <c r="C2349" s="37">
        <v>77</v>
      </c>
      <c r="D2349" s="36">
        <f>base!H2349</f>
        <v>69.5</v>
      </c>
      <c r="E2349" s="44"/>
      <c r="F2349" s="16">
        <f>base!W2349</f>
        <v>0</v>
      </c>
      <c r="G2349" s="11">
        <f t="shared" si="360"/>
        <v>0</v>
      </c>
      <c r="H2349" s="11">
        <f t="shared" si="361"/>
        <v>0</v>
      </c>
      <c r="I2349" s="11">
        <f t="shared" si="362"/>
        <v>0</v>
      </c>
      <c r="J2349" s="12">
        <f t="shared" si="363"/>
        <v>0</v>
      </c>
      <c r="K2349" s="17" t="str">
        <f t="shared" si="368"/>
        <v>Pas d'écart</v>
      </c>
      <c r="L2349" s="16">
        <f>base!X2349</f>
        <v>0</v>
      </c>
      <c r="M2349" s="11">
        <f t="shared" si="364"/>
        <v>0</v>
      </c>
      <c r="N2349" s="11">
        <f t="shared" si="365"/>
        <v>0</v>
      </c>
      <c r="O2349" s="11">
        <f t="shared" si="366"/>
        <v>0</v>
      </c>
      <c r="P2349" s="12">
        <f t="shared" si="367"/>
        <v>0</v>
      </c>
      <c r="Q2349" s="17" t="str">
        <f t="shared" si="369"/>
        <v>Pas d'écart</v>
      </c>
    </row>
    <row r="2350" spans="1:18" x14ac:dyDescent="0.3">
      <c r="A2350" s="34" t="str">
        <f>base!J2350</f>
        <v>DRS</v>
      </c>
      <c r="B2350" s="34" t="str">
        <f>base!V2350</f>
        <v>77184</v>
      </c>
      <c r="C2350" s="37">
        <v>77</v>
      </c>
      <c r="D2350" s="36">
        <f>base!H2350</f>
        <v>137.05000000000001</v>
      </c>
      <c r="E2350" s="44"/>
      <c r="F2350" s="16">
        <f>base!W2350</f>
        <v>0</v>
      </c>
      <c r="G2350" s="11">
        <f t="shared" si="360"/>
        <v>0</v>
      </c>
      <c r="H2350" s="11">
        <f t="shared" si="361"/>
        <v>0</v>
      </c>
      <c r="I2350" s="11">
        <f t="shared" si="362"/>
        <v>0</v>
      </c>
      <c r="J2350" s="12">
        <f t="shared" si="363"/>
        <v>0</v>
      </c>
      <c r="K2350" s="17" t="str">
        <f t="shared" si="368"/>
        <v>Pas d'écart</v>
      </c>
      <c r="L2350" s="16">
        <f>base!X2350</f>
        <v>0</v>
      </c>
      <c r="M2350" s="11">
        <f t="shared" si="364"/>
        <v>0</v>
      </c>
      <c r="N2350" s="11">
        <f t="shared" si="365"/>
        <v>0</v>
      </c>
      <c r="O2350" s="11">
        <f t="shared" si="366"/>
        <v>0</v>
      </c>
      <c r="P2350" s="12">
        <f t="shared" si="367"/>
        <v>0</v>
      </c>
      <c r="Q2350" s="17" t="str">
        <f t="shared" si="369"/>
        <v>Pas d'écart</v>
      </c>
    </row>
    <row r="2351" spans="1:18" x14ac:dyDescent="0.3">
      <c r="A2351" s="34" t="str">
        <f>base!J2351</f>
        <v>LM</v>
      </c>
      <c r="B2351" s="34" t="str">
        <f>base!V2351</f>
        <v>75008</v>
      </c>
      <c r="C2351" s="37">
        <v>75</v>
      </c>
      <c r="D2351" s="36">
        <f>base!H2351</f>
        <v>183.32</v>
      </c>
      <c r="E2351" s="44"/>
      <c r="F2351" s="16">
        <f>base!W2351</f>
        <v>0</v>
      </c>
      <c r="G2351" s="11">
        <f t="shared" si="360"/>
        <v>0</v>
      </c>
      <c r="H2351" s="11">
        <f t="shared" si="361"/>
        <v>0</v>
      </c>
      <c r="I2351" s="11">
        <f t="shared" si="362"/>
        <v>0</v>
      </c>
      <c r="J2351" s="12">
        <f t="shared" si="363"/>
        <v>0</v>
      </c>
      <c r="K2351" s="17" t="str">
        <f t="shared" si="368"/>
        <v>Pas d'écart</v>
      </c>
      <c r="L2351" s="16">
        <f>base!X2351</f>
        <v>0</v>
      </c>
      <c r="M2351" s="11">
        <f t="shared" si="364"/>
        <v>0</v>
      </c>
      <c r="N2351" s="11">
        <f t="shared" si="365"/>
        <v>0</v>
      </c>
      <c r="O2351" s="11">
        <f t="shared" si="366"/>
        <v>0</v>
      </c>
      <c r="P2351" s="12">
        <f t="shared" si="367"/>
        <v>0</v>
      </c>
      <c r="Q2351" s="17" t="str">
        <f t="shared" si="369"/>
        <v>Pas d'écart</v>
      </c>
    </row>
    <row r="2352" spans="1:18" x14ac:dyDescent="0.3">
      <c r="A2352" s="34" t="str">
        <f>base!J2352</f>
        <v>LS</v>
      </c>
      <c r="B2352" s="34" t="str">
        <f>base!V2352</f>
        <v>56920</v>
      </c>
      <c r="C2352" s="37">
        <v>62</v>
      </c>
      <c r="D2352" s="36">
        <f>base!H2352</f>
        <v>49.08</v>
      </c>
      <c r="E2352" s="44"/>
      <c r="F2352" s="16">
        <f>base!W2352</f>
        <v>13.25</v>
      </c>
      <c r="G2352" s="11">
        <f t="shared" si="360"/>
        <v>0.26996740016299919</v>
      </c>
      <c r="H2352" s="11">
        <f t="shared" si="361"/>
        <v>9.3252000000000006</v>
      </c>
      <c r="I2352" s="11">
        <f t="shared" si="362"/>
        <v>0.19000000000000003</v>
      </c>
      <c r="J2352" s="12">
        <f t="shared" si="363"/>
        <v>3.9247999999999994</v>
      </c>
      <c r="K2352" s="17" t="str">
        <f t="shared" si="368"/>
        <v>Ecart positif</v>
      </c>
      <c r="L2352" s="16">
        <f>base!X2352</f>
        <v>0</v>
      </c>
      <c r="M2352" s="11">
        <f t="shared" si="364"/>
        <v>0</v>
      </c>
      <c r="N2352" s="11">
        <f t="shared" si="365"/>
        <v>0</v>
      </c>
      <c r="O2352" s="11">
        <f t="shared" si="366"/>
        <v>0</v>
      </c>
      <c r="P2352" s="12">
        <f t="shared" si="367"/>
        <v>0</v>
      </c>
      <c r="Q2352" s="17" t="str">
        <f t="shared" si="369"/>
        <v>Pas d'écart</v>
      </c>
    </row>
    <row r="2353" spans="1:18" x14ac:dyDescent="0.3">
      <c r="A2353" s="34" t="str">
        <f>base!J2353</f>
        <v>RS</v>
      </c>
      <c r="B2353" s="34" t="str">
        <f>base!V2353</f>
        <v>02800</v>
      </c>
      <c r="C2353" s="37">
        <v>2</v>
      </c>
      <c r="D2353" s="36">
        <f>base!H2353</f>
        <v>40</v>
      </c>
      <c r="E2353" s="44"/>
      <c r="F2353" s="16">
        <f>base!W2353</f>
        <v>0</v>
      </c>
      <c r="G2353" s="11">
        <f t="shared" si="360"/>
        <v>0</v>
      </c>
      <c r="H2353" s="11">
        <f t="shared" si="361"/>
        <v>7.1999999999999993</v>
      </c>
      <c r="I2353" s="11">
        <f t="shared" si="362"/>
        <v>0.18</v>
      </c>
      <c r="J2353" s="12">
        <f t="shared" si="363"/>
        <v>-7.1999999999999993</v>
      </c>
      <c r="K2353" s="17" t="str">
        <f t="shared" si="368"/>
        <v>Ecart négatif</v>
      </c>
      <c r="L2353" s="16">
        <f>base!X2353</f>
        <v>0</v>
      </c>
      <c r="M2353" s="11">
        <f t="shared" si="364"/>
        <v>0</v>
      </c>
      <c r="N2353" s="11">
        <f t="shared" si="365"/>
        <v>0</v>
      </c>
      <c r="O2353" s="11">
        <f t="shared" si="366"/>
        <v>0</v>
      </c>
      <c r="P2353" s="12">
        <f t="shared" si="367"/>
        <v>0</v>
      </c>
      <c r="Q2353" s="17" t="str">
        <f t="shared" si="369"/>
        <v>Pas d'écart</v>
      </c>
    </row>
    <row r="2354" spans="1:18" x14ac:dyDescent="0.3">
      <c r="A2354" s="34" t="str">
        <f>base!J2354</f>
        <v>RM</v>
      </c>
      <c r="B2354" s="34" t="str">
        <f>base!V2354</f>
        <v>71380</v>
      </c>
      <c r="C2354" s="37">
        <v>71</v>
      </c>
      <c r="D2354" s="36">
        <f>base!H2354</f>
        <v>68</v>
      </c>
      <c r="E2354" s="44"/>
      <c r="F2354" s="16">
        <f>base!W2354</f>
        <v>0</v>
      </c>
      <c r="G2354" s="11">
        <f t="shared" si="360"/>
        <v>0</v>
      </c>
      <c r="H2354" s="11">
        <f t="shared" si="361"/>
        <v>18.36</v>
      </c>
      <c r="I2354" s="11">
        <f t="shared" si="362"/>
        <v>0.27</v>
      </c>
      <c r="J2354" s="12">
        <f t="shared" si="363"/>
        <v>-18.36</v>
      </c>
      <c r="K2354" s="17" t="str">
        <f t="shared" si="368"/>
        <v>Ecart négatif</v>
      </c>
      <c r="L2354" s="16">
        <f>base!X2354</f>
        <v>0</v>
      </c>
      <c r="M2354" s="11">
        <f t="shared" si="364"/>
        <v>0</v>
      </c>
      <c r="N2354" s="11">
        <f t="shared" si="365"/>
        <v>0</v>
      </c>
      <c r="O2354" s="11">
        <f t="shared" si="366"/>
        <v>0</v>
      </c>
      <c r="P2354" s="12">
        <f t="shared" si="367"/>
        <v>0</v>
      </c>
      <c r="Q2354" s="17" t="str">
        <f t="shared" si="369"/>
        <v>Pas d'écart</v>
      </c>
    </row>
    <row r="2355" spans="1:18" x14ac:dyDescent="0.3">
      <c r="A2355" s="34" t="str">
        <f>base!J2355</f>
        <v>RM</v>
      </c>
      <c r="B2355" s="34" t="str">
        <f>base!V2355</f>
        <v>34400</v>
      </c>
      <c r="C2355" s="37">
        <v>34</v>
      </c>
      <c r="D2355" s="36">
        <f>base!H2355</f>
        <v>109.4</v>
      </c>
      <c r="E2355" s="44"/>
      <c r="F2355" s="16">
        <f>base!W2355</f>
        <v>0</v>
      </c>
      <c r="G2355" s="11">
        <f t="shared" si="360"/>
        <v>0</v>
      </c>
      <c r="H2355" s="11">
        <f t="shared" si="361"/>
        <v>42.666000000000004</v>
      </c>
      <c r="I2355" s="11">
        <f t="shared" si="362"/>
        <v>0.39</v>
      </c>
      <c r="J2355" s="12">
        <f t="shared" si="363"/>
        <v>-42.666000000000004</v>
      </c>
      <c r="K2355" s="17" t="str">
        <f t="shared" si="368"/>
        <v>Ecart négatif</v>
      </c>
      <c r="L2355" s="16">
        <f>base!X2355</f>
        <v>30.63</v>
      </c>
      <c r="M2355" s="11">
        <f t="shared" si="364"/>
        <v>0.27998171846435099</v>
      </c>
      <c r="N2355" s="11">
        <f t="shared" si="365"/>
        <v>30.632000000000005</v>
      </c>
      <c r="O2355" s="11">
        <f t="shared" si="366"/>
        <v>0.28000000000000003</v>
      </c>
      <c r="P2355" s="12">
        <f t="shared" si="367"/>
        <v>-2.000000000005997E-3</v>
      </c>
      <c r="Q2355" s="17" t="str">
        <f t="shared" si="369"/>
        <v>Ecart négatif</v>
      </c>
      <c r="R2355" s="38"/>
    </row>
    <row r="2356" spans="1:18" x14ac:dyDescent="0.3">
      <c r="A2356" s="34">
        <f>base!J2356</f>
        <v>0</v>
      </c>
      <c r="B2356" s="34" t="str">
        <f>base!V2356</f>
        <v>77184</v>
      </c>
      <c r="C2356" s="37">
        <v>77</v>
      </c>
      <c r="D2356" s="36">
        <f>base!H2356</f>
        <v>133.66999999999999</v>
      </c>
      <c r="E2356" s="44"/>
      <c r="F2356" s="16">
        <f>base!W2356</f>
        <v>0</v>
      </c>
      <c r="G2356" s="11">
        <f t="shared" si="360"/>
        <v>0</v>
      </c>
      <c r="H2356" s="11">
        <f t="shared" si="361"/>
        <v>0</v>
      </c>
      <c r="I2356" s="11">
        <f t="shared" si="362"/>
        <v>0</v>
      </c>
      <c r="J2356" s="12">
        <f t="shared" si="363"/>
        <v>0</v>
      </c>
      <c r="K2356" s="17" t="str">
        <f t="shared" si="368"/>
        <v>Pas d'écart</v>
      </c>
      <c r="L2356" s="16">
        <f>base!X2356</f>
        <v>0</v>
      </c>
      <c r="M2356" s="11">
        <f t="shared" si="364"/>
        <v>0</v>
      </c>
      <c r="N2356" s="11">
        <f t="shared" si="365"/>
        <v>0</v>
      </c>
      <c r="O2356" s="11">
        <f t="shared" si="366"/>
        <v>0</v>
      </c>
      <c r="P2356" s="12">
        <f t="shared" si="367"/>
        <v>0</v>
      </c>
      <c r="Q2356" s="17" t="str">
        <f t="shared" si="369"/>
        <v>Pas d'écart</v>
      </c>
    </row>
    <row r="2357" spans="1:18" x14ac:dyDescent="0.3">
      <c r="A2357" s="34" t="str">
        <f>base!J2357</f>
        <v>RS</v>
      </c>
      <c r="B2357" s="34" t="str">
        <f>base!V2357</f>
        <v>59000</v>
      </c>
      <c r="C2357" s="37">
        <v>59</v>
      </c>
      <c r="D2357" s="36">
        <f>base!H2357</f>
        <v>198.87</v>
      </c>
      <c r="E2357" s="44"/>
      <c r="F2357" s="16">
        <f>base!W2357</f>
        <v>0</v>
      </c>
      <c r="G2357" s="11">
        <f t="shared" si="360"/>
        <v>0</v>
      </c>
      <c r="H2357" s="11">
        <f t="shared" si="361"/>
        <v>37.785299999999999</v>
      </c>
      <c r="I2357" s="11">
        <f t="shared" si="362"/>
        <v>0.19</v>
      </c>
      <c r="J2357" s="12">
        <f t="shared" si="363"/>
        <v>-37.785299999999999</v>
      </c>
      <c r="K2357" s="17" t="str">
        <f t="shared" si="368"/>
        <v>Ecart négatif</v>
      </c>
      <c r="L2357" s="16">
        <f>base!X2357</f>
        <v>0</v>
      </c>
      <c r="M2357" s="11">
        <f t="shared" si="364"/>
        <v>0</v>
      </c>
      <c r="N2357" s="11">
        <f t="shared" si="365"/>
        <v>0</v>
      </c>
      <c r="O2357" s="11">
        <f t="shared" si="366"/>
        <v>0</v>
      </c>
      <c r="P2357" s="12">
        <f t="shared" si="367"/>
        <v>0</v>
      </c>
      <c r="Q2357" s="17" t="str">
        <f t="shared" si="369"/>
        <v>Pas d'écart</v>
      </c>
    </row>
    <row r="2358" spans="1:18" x14ac:dyDescent="0.3">
      <c r="A2358" s="34">
        <f>base!J2358</f>
        <v>0</v>
      </c>
      <c r="B2358" s="34" t="str">
        <f>base!V2358</f>
        <v>44240</v>
      </c>
      <c r="C2358" s="37">
        <v>44</v>
      </c>
      <c r="D2358" s="36">
        <f>base!H2358</f>
        <v>31.6</v>
      </c>
      <c r="E2358" s="44"/>
      <c r="F2358" s="16">
        <f>base!W2358</f>
        <v>0</v>
      </c>
      <c r="G2358" s="11">
        <f t="shared" si="360"/>
        <v>0</v>
      </c>
      <c r="H2358" s="11">
        <f t="shared" si="361"/>
        <v>8.5320000000000018</v>
      </c>
      <c r="I2358" s="11">
        <f t="shared" si="362"/>
        <v>0.27</v>
      </c>
      <c r="J2358" s="12">
        <f t="shared" si="363"/>
        <v>-8.5320000000000018</v>
      </c>
      <c r="K2358" s="17" t="str">
        <f t="shared" si="368"/>
        <v>Ecart négatif</v>
      </c>
      <c r="L2358" s="16">
        <f>base!X2358</f>
        <v>0</v>
      </c>
      <c r="M2358" s="11">
        <f t="shared" si="364"/>
        <v>0</v>
      </c>
      <c r="N2358" s="11">
        <f t="shared" si="365"/>
        <v>0</v>
      </c>
      <c r="O2358" s="11">
        <f t="shared" si="366"/>
        <v>0</v>
      </c>
      <c r="P2358" s="12">
        <f t="shared" si="367"/>
        <v>0</v>
      </c>
      <c r="Q2358" s="17" t="str">
        <f t="shared" si="369"/>
        <v>Pas d'écart</v>
      </c>
    </row>
    <row r="2359" spans="1:18" x14ac:dyDescent="0.3">
      <c r="A2359" s="34" t="str">
        <f>base!J2359</f>
        <v>LS</v>
      </c>
      <c r="B2359" s="34" t="str">
        <f>base!V2359</f>
        <v>14000</v>
      </c>
      <c r="C2359" s="37">
        <v>62</v>
      </c>
      <c r="D2359" s="36">
        <f>base!H2359</f>
        <v>194.24</v>
      </c>
      <c r="E2359" s="44"/>
      <c r="F2359" s="16">
        <f>base!W2359</f>
        <v>33.020000000000003</v>
      </c>
      <c r="G2359" s="11">
        <f t="shared" si="360"/>
        <v>0.16999588138385505</v>
      </c>
      <c r="H2359" s="11">
        <f t="shared" si="361"/>
        <v>36.9056</v>
      </c>
      <c r="I2359" s="11">
        <f t="shared" si="362"/>
        <v>0.19</v>
      </c>
      <c r="J2359" s="12">
        <f t="shared" si="363"/>
        <v>-3.8855999999999966</v>
      </c>
      <c r="K2359" s="17" t="str">
        <f t="shared" si="368"/>
        <v>Ecart négatif</v>
      </c>
      <c r="L2359" s="16">
        <f>base!X2359</f>
        <v>0</v>
      </c>
      <c r="M2359" s="11">
        <f t="shared" si="364"/>
        <v>0</v>
      </c>
      <c r="N2359" s="11">
        <f t="shared" si="365"/>
        <v>0</v>
      </c>
      <c r="O2359" s="11">
        <f t="shared" si="366"/>
        <v>0</v>
      </c>
      <c r="P2359" s="12">
        <f t="shared" si="367"/>
        <v>0</v>
      </c>
      <c r="Q2359" s="17" t="str">
        <f t="shared" si="369"/>
        <v>Pas d'écart</v>
      </c>
    </row>
    <row r="2360" spans="1:18" x14ac:dyDescent="0.3">
      <c r="A2360" s="34">
        <f>base!J2360</f>
        <v>0</v>
      </c>
      <c r="B2360" s="34" t="str">
        <f>base!V2360</f>
        <v>77184</v>
      </c>
      <c r="C2360" s="37">
        <v>77</v>
      </c>
      <c r="D2360" s="36">
        <f>base!H2360</f>
        <v>68</v>
      </c>
      <c r="E2360" s="44"/>
      <c r="F2360" s="16">
        <f>base!W2360</f>
        <v>0</v>
      </c>
      <c r="G2360" s="11">
        <f t="shared" si="360"/>
        <v>0</v>
      </c>
      <c r="H2360" s="11">
        <f t="shared" si="361"/>
        <v>0</v>
      </c>
      <c r="I2360" s="11">
        <f t="shared" si="362"/>
        <v>0</v>
      </c>
      <c r="J2360" s="12">
        <f t="shared" si="363"/>
        <v>0</v>
      </c>
      <c r="K2360" s="17" t="str">
        <f t="shared" si="368"/>
        <v>Pas d'écart</v>
      </c>
      <c r="L2360" s="16">
        <f>base!X2360</f>
        <v>0</v>
      </c>
      <c r="M2360" s="11">
        <f t="shared" si="364"/>
        <v>0</v>
      </c>
      <c r="N2360" s="11">
        <f t="shared" si="365"/>
        <v>0</v>
      </c>
      <c r="O2360" s="11">
        <f t="shared" si="366"/>
        <v>0</v>
      </c>
      <c r="P2360" s="12">
        <f t="shared" si="367"/>
        <v>0</v>
      </c>
      <c r="Q2360" s="17" t="str">
        <f t="shared" si="369"/>
        <v>Pas d'écart</v>
      </c>
    </row>
    <row r="2361" spans="1:18" x14ac:dyDescent="0.3">
      <c r="A2361" s="34" t="str">
        <f>base!J2361</f>
        <v>DLS</v>
      </c>
      <c r="B2361" s="34" t="str">
        <f>base!V2361</f>
        <v>04100</v>
      </c>
      <c r="C2361" s="37">
        <v>4</v>
      </c>
      <c r="D2361" s="36">
        <f>base!H2361</f>
        <v>70</v>
      </c>
      <c r="E2361" s="44"/>
      <c r="F2361" s="16">
        <f>base!W2361</f>
        <v>0</v>
      </c>
      <c r="G2361" s="11">
        <f t="shared" si="360"/>
        <v>0</v>
      </c>
      <c r="H2361" s="11">
        <f t="shared" si="361"/>
        <v>20.299999999999997</v>
      </c>
      <c r="I2361" s="11">
        <f t="shared" si="362"/>
        <v>0.28999999999999998</v>
      </c>
      <c r="J2361" s="12">
        <f t="shared" si="363"/>
        <v>-20.299999999999997</v>
      </c>
      <c r="K2361" s="17" t="str">
        <f t="shared" si="368"/>
        <v>Ecart négatif</v>
      </c>
      <c r="L2361" s="16">
        <f>base!X2361</f>
        <v>21</v>
      </c>
      <c r="M2361" s="11">
        <f t="shared" si="364"/>
        <v>0.3</v>
      </c>
      <c r="N2361" s="11">
        <f t="shared" si="365"/>
        <v>13.3</v>
      </c>
      <c r="O2361" s="11">
        <f t="shared" si="366"/>
        <v>0.19</v>
      </c>
      <c r="P2361" s="12">
        <f t="shared" si="367"/>
        <v>7.6999999999999993</v>
      </c>
      <c r="Q2361" s="17" t="str">
        <f t="shared" si="369"/>
        <v>Ecart positif</v>
      </c>
    </row>
    <row r="2362" spans="1:18" x14ac:dyDescent="0.3">
      <c r="A2362" s="34" t="str">
        <f>base!J2362</f>
        <v>LS</v>
      </c>
      <c r="B2362" s="34" t="str">
        <f>base!V2362</f>
        <v>35000</v>
      </c>
      <c r="C2362" s="37">
        <v>62</v>
      </c>
      <c r="D2362" s="36">
        <f>base!H2362</f>
        <v>0.01</v>
      </c>
      <c r="E2362" s="44"/>
      <c r="F2362" s="16">
        <f>base!W2362</f>
        <v>0</v>
      </c>
      <c r="G2362" s="11">
        <f t="shared" si="360"/>
        <v>0</v>
      </c>
      <c r="H2362" s="11">
        <f t="shared" si="361"/>
        <v>1.9E-3</v>
      </c>
      <c r="I2362" s="11">
        <f t="shared" si="362"/>
        <v>0.19</v>
      </c>
      <c r="J2362" s="12">
        <f t="shared" si="363"/>
        <v>-1.9E-3</v>
      </c>
      <c r="K2362" s="17" t="str">
        <f t="shared" si="368"/>
        <v>Ecart négatif</v>
      </c>
      <c r="L2362" s="16">
        <f>base!X2362</f>
        <v>0</v>
      </c>
      <c r="M2362" s="11">
        <f t="shared" si="364"/>
        <v>0</v>
      </c>
      <c r="N2362" s="11">
        <f t="shared" si="365"/>
        <v>0</v>
      </c>
      <c r="O2362" s="11">
        <f t="shared" si="366"/>
        <v>0</v>
      </c>
      <c r="P2362" s="12">
        <f t="shared" si="367"/>
        <v>0</v>
      </c>
      <c r="Q2362" s="17" t="str">
        <f t="shared" si="369"/>
        <v>Pas d'écart</v>
      </c>
    </row>
    <row r="2363" spans="1:18" x14ac:dyDescent="0.3">
      <c r="A2363" s="34" t="str">
        <f>base!J2363</f>
        <v>LM</v>
      </c>
      <c r="B2363" s="34" t="str">
        <f>base!V2363</f>
        <v>62138</v>
      </c>
      <c r="C2363" s="37">
        <v>62</v>
      </c>
      <c r="D2363" s="36">
        <f>base!H2363</f>
        <v>148.78</v>
      </c>
      <c r="E2363" s="44"/>
      <c r="F2363" s="16">
        <f>base!W2363</f>
        <v>28.27</v>
      </c>
      <c r="G2363" s="11">
        <f t="shared" si="360"/>
        <v>0.19001209840032263</v>
      </c>
      <c r="H2363" s="11">
        <f t="shared" si="361"/>
        <v>28.2682</v>
      </c>
      <c r="I2363" s="11">
        <f t="shared" si="362"/>
        <v>0.19</v>
      </c>
      <c r="J2363" s="12">
        <f t="shared" si="363"/>
        <v>1.7999999999993577E-3</v>
      </c>
      <c r="K2363" s="17" t="str">
        <f t="shared" si="368"/>
        <v>Ecart positif</v>
      </c>
      <c r="L2363" s="16">
        <f>base!X2363</f>
        <v>0</v>
      </c>
      <c r="M2363" s="11">
        <f t="shared" si="364"/>
        <v>0</v>
      </c>
      <c r="N2363" s="11">
        <f t="shared" si="365"/>
        <v>0</v>
      </c>
      <c r="O2363" s="11">
        <f t="shared" si="366"/>
        <v>0</v>
      </c>
      <c r="P2363" s="12">
        <f t="shared" si="367"/>
        <v>0</v>
      </c>
      <c r="Q2363" s="17" t="str">
        <f t="shared" si="369"/>
        <v>Pas d'écart</v>
      </c>
    </row>
    <row r="2364" spans="1:18" x14ac:dyDescent="0.3">
      <c r="A2364" s="34" t="str">
        <f>base!J2364</f>
        <v>DRS</v>
      </c>
      <c r="B2364" s="34" t="str">
        <f>base!V2364</f>
        <v>74000</v>
      </c>
      <c r="C2364" s="37">
        <v>74</v>
      </c>
      <c r="D2364" s="36">
        <f>base!H2364</f>
        <v>73</v>
      </c>
      <c r="E2364" s="44"/>
      <c r="F2364" s="16">
        <f>base!W2364</f>
        <v>0</v>
      </c>
      <c r="G2364" s="11">
        <f t="shared" si="360"/>
        <v>0</v>
      </c>
      <c r="H2364" s="11">
        <f t="shared" si="361"/>
        <v>18.98</v>
      </c>
      <c r="I2364" s="11">
        <f t="shared" si="362"/>
        <v>0.26</v>
      </c>
      <c r="J2364" s="12">
        <f t="shared" si="363"/>
        <v>-18.98</v>
      </c>
      <c r="K2364" s="17" t="str">
        <f t="shared" si="368"/>
        <v>Ecart négatif</v>
      </c>
      <c r="L2364" s="16">
        <f>base!X2364</f>
        <v>0</v>
      </c>
      <c r="M2364" s="11">
        <f t="shared" si="364"/>
        <v>0</v>
      </c>
      <c r="N2364" s="11">
        <f t="shared" si="365"/>
        <v>0</v>
      </c>
      <c r="O2364" s="11">
        <f t="shared" si="366"/>
        <v>0</v>
      </c>
      <c r="P2364" s="12">
        <f t="shared" si="367"/>
        <v>0</v>
      </c>
      <c r="Q2364" s="17" t="str">
        <f t="shared" si="369"/>
        <v>Pas d'écart</v>
      </c>
    </row>
    <row r="2365" spans="1:18" x14ac:dyDescent="0.3">
      <c r="A2365" s="34">
        <f>base!J2365</f>
        <v>0</v>
      </c>
      <c r="B2365" s="34" t="str">
        <f>base!V2365</f>
        <v>77184</v>
      </c>
      <c r="C2365" s="37">
        <v>77</v>
      </c>
      <c r="D2365" s="36">
        <f>base!H2365</f>
        <v>250</v>
      </c>
      <c r="E2365" s="44"/>
      <c r="F2365" s="16">
        <f>base!W2365</f>
        <v>0</v>
      </c>
      <c r="G2365" s="11">
        <f t="shared" si="360"/>
        <v>0</v>
      </c>
      <c r="H2365" s="11">
        <f t="shared" si="361"/>
        <v>0</v>
      </c>
      <c r="I2365" s="11">
        <f t="shared" si="362"/>
        <v>0</v>
      </c>
      <c r="J2365" s="12">
        <f t="shared" si="363"/>
        <v>0</v>
      </c>
      <c r="K2365" s="17" t="str">
        <f t="shared" si="368"/>
        <v>Pas d'écart</v>
      </c>
      <c r="L2365" s="16">
        <f>base!X2365</f>
        <v>0</v>
      </c>
      <c r="M2365" s="11">
        <f t="shared" si="364"/>
        <v>0</v>
      </c>
      <c r="N2365" s="11">
        <f t="shared" si="365"/>
        <v>0</v>
      </c>
      <c r="O2365" s="11">
        <f t="shared" si="366"/>
        <v>0</v>
      </c>
      <c r="P2365" s="12">
        <f t="shared" si="367"/>
        <v>0</v>
      </c>
      <c r="Q2365" s="17" t="str">
        <f t="shared" si="369"/>
        <v>Pas d'écart</v>
      </c>
    </row>
    <row r="2366" spans="1:18" x14ac:dyDescent="0.3">
      <c r="A2366" s="34">
        <f>base!J2366</f>
        <v>0</v>
      </c>
      <c r="B2366" s="34" t="str">
        <f>base!V2366</f>
        <v>77184</v>
      </c>
      <c r="C2366" s="37">
        <v>77</v>
      </c>
      <c r="D2366" s="36">
        <f>base!H2366</f>
        <v>147.94</v>
      </c>
      <c r="E2366" s="44"/>
      <c r="F2366" s="16">
        <f>base!W2366</f>
        <v>0</v>
      </c>
      <c r="G2366" s="11">
        <f t="shared" si="360"/>
        <v>0</v>
      </c>
      <c r="H2366" s="11">
        <f t="shared" si="361"/>
        <v>0</v>
      </c>
      <c r="I2366" s="11">
        <f t="shared" si="362"/>
        <v>0</v>
      </c>
      <c r="J2366" s="12">
        <f t="shared" si="363"/>
        <v>0</v>
      </c>
      <c r="K2366" s="17" t="str">
        <f t="shared" si="368"/>
        <v>Pas d'écart</v>
      </c>
      <c r="L2366" s="16">
        <f>base!X2366</f>
        <v>0</v>
      </c>
      <c r="M2366" s="11">
        <f t="shared" si="364"/>
        <v>0</v>
      </c>
      <c r="N2366" s="11">
        <f t="shared" si="365"/>
        <v>0</v>
      </c>
      <c r="O2366" s="11">
        <f t="shared" si="366"/>
        <v>0</v>
      </c>
      <c r="P2366" s="12">
        <f t="shared" si="367"/>
        <v>0</v>
      </c>
      <c r="Q2366" s="17" t="str">
        <f t="shared" si="369"/>
        <v>Pas d'écart</v>
      </c>
    </row>
    <row r="2367" spans="1:18" x14ac:dyDescent="0.3">
      <c r="A2367" s="34" t="str">
        <f>base!J2367</f>
        <v>RM</v>
      </c>
      <c r="B2367" s="34" t="str">
        <f>base!V2367</f>
        <v>67118</v>
      </c>
      <c r="C2367" s="37">
        <v>67</v>
      </c>
      <c r="D2367" s="36">
        <f>base!H2367</f>
        <v>140</v>
      </c>
      <c r="E2367" s="44"/>
      <c r="F2367" s="16">
        <f>base!W2367</f>
        <v>0</v>
      </c>
      <c r="G2367" s="11">
        <f t="shared" si="360"/>
        <v>0</v>
      </c>
      <c r="H2367" s="11">
        <f t="shared" si="361"/>
        <v>40.599999999999994</v>
      </c>
      <c r="I2367" s="11">
        <f t="shared" si="362"/>
        <v>0.28999999999999998</v>
      </c>
      <c r="J2367" s="12">
        <f t="shared" si="363"/>
        <v>-40.599999999999994</v>
      </c>
      <c r="K2367" s="17" t="str">
        <f t="shared" si="368"/>
        <v>Ecart négatif</v>
      </c>
      <c r="L2367" s="16">
        <f>base!X2367</f>
        <v>11.2</v>
      </c>
      <c r="M2367" s="11">
        <f t="shared" si="364"/>
        <v>0.08</v>
      </c>
      <c r="N2367" s="11">
        <f t="shared" si="365"/>
        <v>11.200000000000001</v>
      </c>
      <c r="O2367" s="11">
        <f t="shared" si="366"/>
        <v>0.08</v>
      </c>
      <c r="P2367" s="12">
        <f t="shared" si="367"/>
        <v>0</v>
      </c>
      <c r="Q2367" s="17" t="str">
        <f t="shared" si="369"/>
        <v>Pas d'écart</v>
      </c>
      <c r="R2367" s="38"/>
    </row>
    <row r="2368" spans="1:18" x14ac:dyDescent="0.3">
      <c r="A2368" s="34">
        <f>base!J2368</f>
        <v>0</v>
      </c>
      <c r="B2368" s="34" t="str">
        <f>base!V2368</f>
        <v>77184</v>
      </c>
      <c r="C2368" s="37">
        <v>77</v>
      </c>
      <c r="D2368" s="36">
        <f>base!H2368</f>
        <v>117</v>
      </c>
      <c r="E2368" s="44"/>
      <c r="F2368" s="16">
        <f>base!W2368</f>
        <v>0</v>
      </c>
      <c r="G2368" s="11">
        <f t="shared" si="360"/>
        <v>0</v>
      </c>
      <c r="H2368" s="11">
        <f t="shared" si="361"/>
        <v>0</v>
      </c>
      <c r="I2368" s="11">
        <f t="shared" si="362"/>
        <v>0</v>
      </c>
      <c r="J2368" s="12">
        <f t="shared" si="363"/>
        <v>0</v>
      </c>
      <c r="K2368" s="17" t="str">
        <f t="shared" si="368"/>
        <v>Pas d'écart</v>
      </c>
      <c r="L2368" s="16">
        <f>base!X2368</f>
        <v>0</v>
      </c>
      <c r="M2368" s="11">
        <f t="shared" si="364"/>
        <v>0</v>
      </c>
      <c r="N2368" s="11">
        <f t="shared" si="365"/>
        <v>0</v>
      </c>
      <c r="O2368" s="11">
        <f t="shared" si="366"/>
        <v>0</v>
      </c>
      <c r="P2368" s="12">
        <f t="shared" si="367"/>
        <v>0</v>
      </c>
      <c r="Q2368" s="17" t="str">
        <f t="shared" si="369"/>
        <v>Pas d'écart</v>
      </c>
    </row>
    <row r="2369" spans="1:17" x14ac:dyDescent="0.3">
      <c r="A2369" s="34">
        <f>base!J2369</f>
        <v>0</v>
      </c>
      <c r="B2369" s="34" t="str">
        <f>base!V2369</f>
        <v>77184</v>
      </c>
      <c r="C2369" s="37">
        <v>77</v>
      </c>
      <c r="D2369" s="36">
        <f>base!H2369</f>
        <v>31.6</v>
      </c>
      <c r="E2369" s="44"/>
      <c r="F2369" s="16">
        <f>base!W2369</f>
        <v>0</v>
      </c>
      <c r="G2369" s="11">
        <f t="shared" si="360"/>
        <v>0</v>
      </c>
      <c r="H2369" s="11">
        <f t="shared" si="361"/>
        <v>0</v>
      </c>
      <c r="I2369" s="11">
        <f t="shared" si="362"/>
        <v>0</v>
      </c>
      <c r="J2369" s="12">
        <f t="shared" si="363"/>
        <v>0</v>
      </c>
      <c r="K2369" s="17" t="str">
        <f t="shared" si="368"/>
        <v>Pas d'écart</v>
      </c>
      <c r="L2369" s="16">
        <f>base!X2369</f>
        <v>0</v>
      </c>
      <c r="M2369" s="11">
        <f t="shared" si="364"/>
        <v>0</v>
      </c>
      <c r="N2369" s="11">
        <f t="shared" si="365"/>
        <v>0</v>
      </c>
      <c r="O2369" s="11">
        <f t="shared" si="366"/>
        <v>0</v>
      </c>
      <c r="P2369" s="12">
        <f t="shared" si="367"/>
        <v>0</v>
      </c>
      <c r="Q2369" s="17" t="str">
        <f t="shared" si="369"/>
        <v>Pas d'écart</v>
      </c>
    </row>
    <row r="2370" spans="1:17" x14ac:dyDescent="0.3">
      <c r="A2370" s="34" t="str">
        <f>base!J2370</f>
        <v>RM</v>
      </c>
      <c r="B2370" s="34" t="str">
        <f>base!V2370</f>
        <v>69340</v>
      </c>
      <c r="C2370" s="37">
        <v>69</v>
      </c>
      <c r="D2370" s="36">
        <f>base!H2370</f>
        <v>40</v>
      </c>
      <c r="E2370" s="44"/>
      <c r="F2370" s="16">
        <f>base!W2370</f>
        <v>0</v>
      </c>
      <c r="G2370" s="11">
        <f t="shared" ref="G2370:G2433" si="370">F2370/D2370</f>
        <v>0</v>
      </c>
      <c r="H2370" s="11">
        <f t="shared" ref="H2370:H2433" si="371">VLOOKUP(C2370,tout_cout_traction,2,FALSE)*D2370</f>
        <v>10.8</v>
      </c>
      <c r="I2370" s="11">
        <f t="shared" ref="I2370:I2433" si="372">H2370/D2370</f>
        <v>0.27</v>
      </c>
      <c r="J2370" s="12">
        <f t="shared" ref="J2370:J2433" si="373">F2370-H2370</f>
        <v>-10.8</v>
      </c>
      <c r="K2370" s="17" t="str">
        <f t="shared" si="368"/>
        <v>Ecart négatif</v>
      </c>
      <c r="L2370" s="16">
        <f>base!X2370</f>
        <v>0</v>
      </c>
      <c r="M2370" s="11">
        <f t="shared" ref="M2370:M2433" si="374">L2370/D2370</f>
        <v>0</v>
      </c>
      <c r="N2370" s="11">
        <f t="shared" ref="N2370:N2433" si="375">VLOOKUP(C2370,tout_cout_traction,3,FALSE)*D2370</f>
        <v>0</v>
      </c>
      <c r="O2370" s="11">
        <f t="shared" ref="O2370:O2433" si="376">N2370/D2370</f>
        <v>0</v>
      </c>
      <c r="P2370" s="12">
        <f t="shared" ref="P2370:P2433" si="377">L2370-N2370</f>
        <v>0</v>
      </c>
      <c r="Q2370" s="17" t="str">
        <f t="shared" si="369"/>
        <v>Pas d'écart</v>
      </c>
    </row>
    <row r="2371" spans="1:17" x14ac:dyDescent="0.3">
      <c r="A2371" s="34" t="str">
        <f>base!J2371</f>
        <v>LM</v>
      </c>
      <c r="B2371" s="34" t="str">
        <f>base!V2371</f>
        <v>69800</v>
      </c>
      <c r="C2371" s="37">
        <v>59</v>
      </c>
      <c r="D2371" s="36">
        <f>base!H2371</f>
        <v>136.97999999999999</v>
      </c>
      <c r="E2371" s="44"/>
      <c r="F2371" s="16">
        <f>base!W2371</f>
        <v>36.979999999999997</v>
      </c>
      <c r="G2371" s="11">
        <f t="shared" si="370"/>
        <v>0.26996641845524894</v>
      </c>
      <c r="H2371" s="11">
        <f t="shared" si="371"/>
        <v>26.026199999999999</v>
      </c>
      <c r="I2371" s="11">
        <f t="shared" si="372"/>
        <v>0.19</v>
      </c>
      <c r="J2371" s="12">
        <f t="shared" si="373"/>
        <v>10.953799999999998</v>
      </c>
      <c r="K2371" s="17" t="str">
        <f t="shared" ref="K2371:K2434" si="378">IF(H2371=F2371,"Pas d'écart",IF(H2371&lt;F2371,"Ecart positif",IF(H2371&gt;F2371,"Ecart négatif")))</f>
        <v>Ecart positif</v>
      </c>
      <c r="L2371" s="16">
        <f>base!X2371</f>
        <v>0</v>
      </c>
      <c r="M2371" s="11">
        <f t="shared" si="374"/>
        <v>0</v>
      </c>
      <c r="N2371" s="11">
        <f t="shared" si="375"/>
        <v>0</v>
      </c>
      <c r="O2371" s="11">
        <f t="shared" si="376"/>
        <v>0</v>
      </c>
      <c r="P2371" s="12">
        <f t="shared" si="377"/>
        <v>0</v>
      </c>
      <c r="Q2371" s="17" t="str">
        <f t="shared" ref="Q2371:Q2434" si="379">IF(N2371=L2371,"Pas d'écart",IF(N2371&lt;L2371,"Ecart positif",IF(N2371&gt;L2371,"Ecart négatif")))</f>
        <v>Pas d'écart</v>
      </c>
    </row>
    <row r="2372" spans="1:17" x14ac:dyDescent="0.3">
      <c r="A2372" s="34" t="str">
        <f>base!J2372</f>
        <v>LM</v>
      </c>
      <c r="B2372" s="34" t="str">
        <f>base!V2372</f>
        <v>38340</v>
      </c>
      <c r="C2372" s="37">
        <v>84</v>
      </c>
      <c r="D2372" s="36">
        <f>base!H2372</f>
        <v>59.53</v>
      </c>
      <c r="E2372" s="44"/>
      <c r="F2372" s="16">
        <f>base!W2372</f>
        <v>16.07</v>
      </c>
      <c r="G2372" s="11">
        <f t="shared" si="370"/>
        <v>0.26994792541575674</v>
      </c>
      <c r="H2372" s="11">
        <f t="shared" si="371"/>
        <v>17.2637</v>
      </c>
      <c r="I2372" s="11">
        <f t="shared" si="372"/>
        <v>0.28999999999999998</v>
      </c>
      <c r="J2372" s="12">
        <f t="shared" si="373"/>
        <v>-1.1936999999999998</v>
      </c>
      <c r="K2372" s="17" t="str">
        <f t="shared" si="378"/>
        <v>Ecart négatif</v>
      </c>
      <c r="L2372" s="16">
        <f>base!X2372</f>
        <v>0</v>
      </c>
      <c r="M2372" s="11">
        <f t="shared" si="374"/>
        <v>0</v>
      </c>
      <c r="N2372" s="11">
        <f t="shared" si="375"/>
        <v>11.310700000000001</v>
      </c>
      <c r="O2372" s="11">
        <f t="shared" si="376"/>
        <v>0.19</v>
      </c>
      <c r="P2372" s="12">
        <f t="shared" si="377"/>
        <v>-11.310700000000001</v>
      </c>
      <c r="Q2372" s="17" t="str">
        <f t="shared" si="379"/>
        <v>Ecart négatif</v>
      </c>
    </row>
    <row r="2373" spans="1:17" x14ac:dyDescent="0.3">
      <c r="A2373" s="34" t="str">
        <f>base!J2373</f>
        <v>LM</v>
      </c>
      <c r="B2373" s="34" t="str">
        <f>base!V2373</f>
        <v>13006</v>
      </c>
      <c r="C2373" s="37">
        <v>2</v>
      </c>
      <c r="D2373" s="36">
        <f>base!H2373</f>
        <v>19.8</v>
      </c>
      <c r="E2373" s="44"/>
      <c r="F2373" s="16">
        <f>base!W2373</f>
        <v>5.74</v>
      </c>
      <c r="G2373" s="11">
        <f t="shared" si="370"/>
        <v>0.28989898989898988</v>
      </c>
      <c r="H2373" s="11">
        <f t="shared" si="371"/>
        <v>3.5640000000000001</v>
      </c>
      <c r="I2373" s="11">
        <f t="shared" si="372"/>
        <v>0.18</v>
      </c>
      <c r="J2373" s="12">
        <f t="shared" si="373"/>
        <v>2.1760000000000002</v>
      </c>
      <c r="K2373" s="17" t="str">
        <f t="shared" si="378"/>
        <v>Ecart positif</v>
      </c>
      <c r="L2373" s="16">
        <f>base!X2373</f>
        <v>0</v>
      </c>
      <c r="M2373" s="11">
        <f t="shared" si="374"/>
        <v>0</v>
      </c>
      <c r="N2373" s="11">
        <f t="shared" si="375"/>
        <v>0</v>
      </c>
      <c r="O2373" s="11">
        <f t="shared" si="376"/>
        <v>0</v>
      </c>
      <c r="P2373" s="12">
        <f t="shared" si="377"/>
        <v>0</v>
      </c>
      <c r="Q2373" s="17" t="str">
        <f t="shared" si="379"/>
        <v>Pas d'écart</v>
      </c>
    </row>
    <row r="2374" spans="1:17" x14ac:dyDescent="0.3">
      <c r="A2374" s="34" t="str">
        <f>base!J2374</f>
        <v>LM</v>
      </c>
      <c r="B2374" s="34" t="str">
        <f>base!V2374</f>
        <v>75014</v>
      </c>
      <c r="C2374" s="37">
        <v>75</v>
      </c>
      <c r="D2374" s="36">
        <f>base!H2374</f>
        <v>107.6</v>
      </c>
      <c r="E2374" s="44"/>
      <c r="F2374" s="16">
        <f>base!W2374</f>
        <v>0</v>
      </c>
      <c r="G2374" s="11">
        <f t="shared" si="370"/>
        <v>0</v>
      </c>
      <c r="H2374" s="11">
        <f t="shared" si="371"/>
        <v>0</v>
      </c>
      <c r="I2374" s="11">
        <f t="shared" si="372"/>
        <v>0</v>
      </c>
      <c r="J2374" s="12">
        <f t="shared" si="373"/>
        <v>0</v>
      </c>
      <c r="K2374" s="17" t="str">
        <f t="shared" si="378"/>
        <v>Pas d'écart</v>
      </c>
      <c r="L2374" s="16">
        <f>base!X2374</f>
        <v>0</v>
      </c>
      <c r="M2374" s="11">
        <f t="shared" si="374"/>
        <v>0</v>
      </c>
      <c r="N2374" s="11">
        <f t="shared" si="375"/>
        <v>0</v>
      </c>
      <c r="O2374" s="11">
        <f t="shared" si="376"/>
        <v>0</v>
      </c>
      <c r="P2374" s="12">
        <f t="shared" si="377"/>
        <v>0</v>
      </c>
      <c r="Q2374" s="17" t="str">
        <f t="shared" si="379"/>
        <v>Pas d'écart</v>
      </c>
    </row>
    <row r="2375" spans="1:17" x14ac:dyDescent="0.3">
      <c r="A2375" s="34" t="str">
        <f>base!J2375</f>
        <v>LS</v>
      </c>
      <c r="B2375" s="34" t="str">
        <f>base!V2375</f>
        <v>94100</v>
      </c>
      <c r="C2375" s="37">
        <v>94</v>
      </c>
      <c r="D2375" s="36">
        <f>base!H2375</f>
        <v>40</v>
      </c>
      <c r="E2375" s="44"/>
      <c r="F2375" s="16">
        <f>base!W2375</f>
        <v>0</v>
      </c>
      <c r="G2375" s="11">
        <f t="shared" si="370"/>
        <v>0</v>
      </c>
      <c r="H2375" s="11">
        <f t="shared" si="371"/>
        <v>0</v>
      </c>
      <c r="I2375" s="11">
        <f t="shared" si="372"/>
        <v>0</v>
      </c>
      <c r="J2375" s="12">
        <f t="shared" si="373"/>
        <v>0</v>
      </c>
      <c r="K2375" s="17" t="str">
        <f t="shared" si="378"/>
        <v>Pas d'écart</v>
      </c>
      <c r="L2375" s="16">
        <f>base!X2375</f>
        <v>0</v>
      </c>
      <c r="M2375" s="11">
        <f t="shared" si="374"/>
        <v>0</v>
      </c>
      <c r="N2375" s="11">
        <f t="shared" si="375"/>
        <v>0</v>
      </c>
      <c r="O2375" s="11">
        <f t="shared" si="376"/>
        <v>0</v>
      </c>
      <c r="P2375" s="12">
        <f t="shared" si="377"/>
        <v>0</v>
      </c>
      <c r="Q2375" s="17" t="str">
        <f t="shared" si="379"/>
        <v>Pas d'écart</v>
      </c>
    </row>
    <row r="2376" spans="1:17" x14ac:dyDescent="0.3">
      <c r="A2376" s="34" t="str">
        <f>base!J2376</f>
        <v>LS</v>
      </c>
      <c r="B2376" s="34" t="str">
        <f>base!V2376</f>
        <v>34740</v>
      </c>
      <c r="C2376" s="37">
        <v>62</v>
      </c>
      <c r="D2376" s="36">
        <f>base!H2376</f>
        <v>120.85</v>
      </c>
      <c r="E2376" s="44"/>
      <c r="F2376" s="16">
        <f>base!W2376</f>
        <v>47.13</v>
      </c>
      <c r="G2376" s="11">
        <f t="shared" si="370"/>
        <v>0.38998758791890775</v>
      </c>
      <c r="H2376" s="11">
        <f t="shared" si="371"/>
        <v>22.961500000000001</v>
      </c>
      <c r="I2376" s="11">
        <f t="shared" si="372"/>
        <v>0.19000000000000003</v>
      </c>
      <c r="J2376" s="12">
        <f t="shared" si="373"/>
        <v>24.168500000000002</v>
      </c>
      <c r="K2376" s="17" t="str">
        <f t="shared" si="378"/>
        <v>Ecart positif</v>
      </c>
      <c r="L2376" s="16">
        <f>base!X2376</f>
        <v>0</v>
      </c>
      <c r="M2376" s="11">
        <f t="shared" si="374"/>
        <v>0</v>
      </c>
      <c r="N2376" s="11">
        <f t="shared" si="375"/>
        <v>0</v>
      </c>
      <c r="O2376" s="11">
        <f t="shared" si="376"/>
        <v>0</v>
      </c>
      <c r="P2376" s="12">
        <f t="shared" si="377"/>
        <v>0</v>
      </c>
      <c r="Q2376" s="17" t="str">
        <f t="shared" si="379"/>
        <v>Pas d'écart</v>
      </c>
    </row>
    <row r="2377" spans="1:17" x14ac:dyDescent="0.3">
      <c r="A2377" s="34" t="str">
        <f>base!J2377</f>
        <v>LS</v>
      </c>
      <c r="B2377" s="34" t="str">
        <f>base!V2377</f>
        <v>43700</v>
      </c>
      <c r="C2377" s="37">
        <v>59</v>
      </c>
      <c r="D2377" s="36">
        <f>base!H2377</f>
        <v>48.61</v>
      </c>
      <c r="E2377" s="44"/>
      <c r="F2377" s="16">
        <f>base!W2377</f>
        <v>14.1</v>
      </c>
      <c r="G2377" s="11">
        <f t="shared" si="370"/>
        <v>0.29006377288623741</v>
      </c>
      <c r="H2377" s="11">
        <f t="shared" si="371"/>
        <v>9.2359000000000009</v>
      </c>
      <c r="I2377" s="11">
        <f t="shared" si="372"/>
        <v>0.19000000000000003</v>
      </c>
      <c r="J2377" s="12">
        <f t="shared" si="373"/>
        <v>4.8640999999999988</v>
      </c>
      <c r="K2377" s="17" t="str">
        <f t="shared" si="378"/>
        <v>Ecart positif</v>
      </c>
      <c r="L2377" s="16">
        <f>base!X2377</f>
        <v>0</v>
      </c>
      <c r="M2377" s="11">
        <f t="shared" si="374"/>
        <v>0</v>
      </c>
      <c r="N2377" s="11">
        <f t="shared" si="375"/>
        <v>0</v>
      </c>
      <c r="O2377" s="11">
        <f t="shared" si="376"/>
        <v>0</v>
      </c>
      <c r="P2377" s="12">
        <f t="shared" si="377"/>
        <v>0</v>
      </c>
      <c r="Q2377" s="17" t="str">
        <f t="shared" si="379"/>
        <v>Pas d'écart</v>
      </c>
    </row>
    <row r="2378" spans="1:17" x14ac:dyDescent="0.3">
      <c r="A2378" s="34">
        <f>base!J2378</f>
        <v>0</v>
      </c>
      <c r="B2378" s="34" t="str">
        <f>base!V2378</f>
        <v>44240</v>
      </c>
      <c r="C2378" s="37">
        <v>44</v>
      </c>
      <c r="D2378" s="36">
        <f>base!H2378</f>
        <v>105</v>
      </c>
      <c r="E2378" s="44"/>
      <c r="F2378" s="16">
        <f>base!W2378</f>
        <v>0</v>
      </c>
      <c r="G2378" s="11">
        <f t="shared" si="370"/>
        <v>0</v>
      </c>
      <c r="H2378" s="11">
        <f t="shared" si="371"/>
        <v>28.35</v>
      </c>
      <c r="I2378" s="11">
        <f t="shared" si="372"/>
        <v>0.27</v>
      </c>
      <c r="J2378" s="12">
        <f t="shared" si="373"/>
        <v>-28.35</v>
      </c>
      <c r="K2378" s="17" t="str">
        <f t="shared" si="378"/>
        <v>Ecart négatif</v>
      </c>
      <c r="L2378" s="16">
        <f>base!X2378</f>
        <v>0</v>
      </c>
      <c r="M2378" s="11">
        <f t="shared" si="374"/>
        <v>0</v>
      </c>
      <c r="N2378" s="11">
        <f t="shared" si="375"/>
        <v>0</v>
      </c>
      <c r="O2378" s="11">
        <f t="shared" si="376"/>
        <v>0</v>
      </c>
      <c r="P2378" s="12">
        <f t="shared" si="377"/>
        <v>0</v>
      </c>
      <c r="Q2378" s="17" t="str">
        <f t="shared" si="379"/>
        <v>Pas d'écart</v>
      </c>
    </row>
    <row r="2379" spans="1:17" x14ac:dyDescent="0.3">
      <c r="A2379" s="34" t="str">
        <f>base!J2379</f>
        <v>RS</v>
      </c>
      <c r="B2379" s="34" t="str">
        <f>base!V2379</f>
        <v>59290</v>
      </c>
      <c r="C2379" s="37">
        <v>59</v>
      </c>
      <c r="D2379" s="36">
        <f>base!H2379</f>
        <v>140</v>
      </c>
      <c r="E2379" s="44"/>
      <c r="F2379" s="16">
        <f>base!W2379</f>
        <v>0</v>
      </c>
      <c r="G2379" s="11">
        <f t="shared" si="370"/>
        <v>0</v>
      </c>
      <c r="H2379" s="11">
        <f t="shared" si="371"/>
        <v>26.6</v>
      </c>
      <c r="I2379" s="11">
        <f t="shared" si="372"/>
        <v>0.19</v>
      </c>
      <c r="J2379" s="12">
        <f t="shared" si="373"/>
        <v>-26.6</v>
      </c>
      <c r="K2379" s="17" t="str">
        <f t="shared" si="378"/>
        <v>Ecart négatif</v>
      </c>
      <c r="L2379" s="16">
        <f>base!X2379</f>
        <v>0</v>
      </c>
      <c r="M2379" s="11">
        <f t="shared" si="374"/>
        <v>0</v>
      </c>
      <c r="N2379" s="11">
        <f t="shared" si="375"/>
        <v>0</v>
      </c>
      <c r="O2379" s="11">
        <f t="shared" si="376"/>
        <v>0</v>
      </c>
      <c r="P2379" s="12">
        <f t="shared" si="377"/>
        <v>0</v>
      </c>
      <c r="Q2379" s="17" t="str">
        <f t="shared" si="379"/>
        <v>Pas d'écart</v>
      </c>
    </row>
    <row r="2380" spans="1:17" x14ac:dyDescent="0.3">
      <c r="A2380" s="34" t="str">
        <f>base!J2380</f>
        <v>LS</v>
      </c>
      <c r="B2380" s="34" t="str">
        <f>base!V2380</f>
        <v>29490</v>
      </c>
      <c r="C2380" s="37">
        <v>60</v>
      </c>
      <c r="D2380" s="36">
        <f>base!H2380</f>
        <v>131.71</v>
      </c>
      <c r="E2380" s="44"/>
      <c r="F2380" s="16">
        <f>base!W2380</f>
        <v>51.37</v>
      </c>
      <c r="G2380" s="11">
        <f t="shared" si="370"/>
        <v>0.39002353655758859</v>
      </c>
      <c r="H2380" s="11">
        <f t="shared" si="371"/>
        <v>25.024900000000002</v>
      </c>
      <c r="I2380" s="11">
        <f t="shared" si="372"/>
        <v>0.19</v>
      </c>
      <c r="J2380" s="12">
        <f t="shared" si="373"/>
        <v>26.345099999999995</v>
      </c>
      <c r="K2380" s="17" t="str">
        <f t="shared" si="378"/>
        <v>Ecart positif</v>
      </c>
      <c r="L2380" s="16">
        <f>base!X2380</f>
        <v>0</v>
      </c>
      <c r="M2380" s="11">
        <f t="shared" si="374"/>
        <v>0</v>
      </c>
      <c r="N2380" s="11">
        <f t="shared" si="375"/>
        <v>0</v>
      </c>
      <c r="O2380" s="11">
        <f t="shared" si="376"/>
        <v>0</v>
      </c>
      <c r="P2380" s="12">
        <f t="shared" si="377"/>
        <v>0</v>
      </c>
      <c r="Q2380" s="17" t="str">
        <f t="shared" si="379"/>
        <v>Pas d'écart</v>
      </c>
    </row>
    <row r="2381" spans="1:17" x14ac:dyDescent="0.3">
      <c r="A2381" s="34" t="str">
        <f>base!J2381</f>
        <v>LM</v>
      </c>
      <c r="B2381" s="34" t="str">
        <f>base!V2381</f>
        <v>52800</v>
      </c>
      <c r="C2381" s="37">
        <v>2</v>
      </c>
      <c r="D2381" s="36">
        <f>base!H2381</f>
        <v>22.62</v>
      </c>
      <c r="E2381" s="44"/>
      <c r="F2381" s="16">
        <f>base!W2381</f>
        <v>5.43</v>
      </c>
      <c r="G2381" s="11">
        <f t="shared" si="370"/>
        <v>0.24005305039787797</v>
      </c>
      <c r="H2381" s="11">
        <f t="shared" si="371"/>
        <v>4.0716000000000001</v>
      </c>
      <c r="I2381" s="11">
        <f t="shared" si="372"/>
        <v>0.18</v>
      </c>
      <c r="J2381" s="12">
        <f t="shared" si="373"/>
        <v>1.3583999999999996</v>
      </c>
      <c r="K2381" s="17" t="str">
        <f t="shared" si="378"/>
        <v>Ecart positif</v>
      </c>
      <c r="L2381" s="16">
        <f>base!X2381</f>
        <v>0</v>
      </c>
      <c r="M2381" s="11">
        <f t="shared" si="374"/>
        <v>0</v>
      </c>
      <c r="N2381" s="11">
        <f t="shared" si="375"/>
        <v>0</v>
      </c>
      <c r="O2381" s="11">
        <f t="shared" si="376"/>
        <v>0</v>
      </c>
      <c r="P2381" s="12">
        <f t="shared" si="377"/>
        <v>0</v>
      </c>
      <c r="Q2381" s="17" t="str">
        <f t="shared" si="379"/>
        <v>Pas d'écart</v>
      </c>
    </row>
    <row r="2382" spans="1:17" x14ac:dyDescent="0.3">
      <c r="A2382" s="34" t="str">
        <f>base!J2382</f>
        <v>LM</v>
      </c>
      <c r="B2382" s="34" t="str">
        <f>base!V2382</f>
        <v>21230</v>
      </c>
      <c r="C2382" s="37">
        <v>8</v>
      </c>
      <c r="D2382" s="36">
        <f>base!H2382</f>
        <v>50.93</v>
      </c>
      <c r="E2382" s="44"/>
      <c r="F2382" s="16">
        <f>base!W2382</f>
        <v>12.22</v>
      </c>
      <c r="G2382" s="11">
        <f t="shared" si="370"/>
        <v>0.23993716866287063</v>
      </c>
      <c r="H2382" s="11">
        <f t="shared" si="371"/>
        <v>9.1673999999999989</v>
      </c>
      <c r="I2382" s="11">
        <f t="shared" si="372"/>
        <v>0.17999999999999997</v>
      </c>
      <c r="J2382" s="12">
        <f t="shared" si="373"/>
        <v>3.0526000000000018</v>
      </c>
      <c r="K2382" s="17" t="str">
        <f t="shared" si="378"/>
        <v>Ecart positif</v>
      </c>
      <c r="L2382" s="16">
        <f>base!X2382</f>
        <v>0</v>
      </c>
      <c r="M2382" s="11">
        <f t="shared" si="374"/>
        <v>0</v>
      </c>
      <c r="N2382" s="11">
        <f t="shared" si="375"/>
        <v>0</v>
      </c>
      <c r="O2382" s="11">
        <f t="shared" si="376"/>
        <v>0</v>
      </c>
      <c r="P2382" s="12">
        <f t="shared" si="377"/>
        <v>0</v>
      </c>
      <c r="Q2382" s="17" t="str">
        <f t="shared" si="379"/>
        <v>Pas d'écart</v>
      </c>
    </row>
    <row r="2383" spans="1:17" x14ac:dyDescent="0.3">
      <c r="A2383" s="34" t="str">
        <f>base!J2383</f>
        <v>LM</v>
      </c>
      <c r="B2383" s="34" t="str">
        <f>base!V2383</f>
        <v>59120</v>
      </c>
      <c r="C2383" s="37">
        <v>2</v>
      </c>
      <c r="D2383" s="36">
        <f>base!H2383</f>
        <v>1.46</v>
      </c>
      <c r="E2383" s="44"/>
      <c r="F2383" s="16">
        <f>base!W2383</f>
        <v>0.28000000000000003</v>
      </c>
      <c r="G2383" s="11">
        <f t="shared" si="370"/>
        <v>0.19178082191780824</v>
      </c>
      <c r="H2383" s="11">
        <f t="shared" si="371"/>
        <v>0.26279999999999998</v>
      </c>
      <c r="I2383" s="11">
        <f t="shared" si="372"/>
        <v>0.18</v>
      </c>
      <c r="J2383" s="12">
        <f t="shared" si="373"/>
        <v>1.7200000000000049E-2</v>
      </c>
      <c r="K2383" s="17" t="str">
        <f t="shared" si="378"/>
        <v>Ecart positif</v>
      </c>
      <c r="L2383" s="16">
        <f>base!X2383</f>
        <v>0</v>
      </c>
      <c r="M2383" s="11">
        <f t="shared" si="374"/>
        <v>0</v>
      </c>
      <c r="N2383" s="11">
        <f t="shared" si="375"/>
        <v>0</v>
      </c>
      <c r="O2383" s="11">
        <f t="shared" si="376"/>
        <v>0</v>
      </c>
      <c r="P2383" s="12">
        <f t="shared" si="377"/>
        <v>0</v>
      </c>
      <c r="Q2383" s="17" t="str">
        <f t="shared" si="379"/>
        <v>Pas d'écart</v>
      </c>
    </row>
    <row r="2384" spans="1:17" x14ac:dyDescent="0.3">
      <c r="A2384" s="34" t="str">
        <f>base!J2384</f>
        <v>DRS</v>
      </c>
      <c r="B2384" s="34" t="str">
        <f>base!V2384</f>
        <v>34500</v>
      </c>
      <c r="C2384" s="37">
        <v>34</v>
      </c>
      <c r="D2384" s="36">
        <f>base!H2384</f>
        <v>143.44999999999999</v>
      </c>
      <c r="E2384" s="44"/>
      <c r="F2384" s="16">
        <f>base!W2384</f>
        <v>0</v>
      </c>
      <c r="G2384" s="11">
        <f t="shared" si="370"/>
        <v>0</v>
      </c>
      <c r="H2384" s="11">
        <f t="shared" si="371"/>
        <v>55.945499999999996</v>
      </c>
      <c r="I2384" s="11">
        <f t="shared" si="372"/>
        <v>0.39</v>
      </c>
      <c r="J2384" s="12">
        <f t="shared" si="373"/>
        <v>-55.945499999999996</v>
      </c>
      <c r="K2384" s="17" t="str">
        <f t="shared" si="378"/>
        <v>Ecart négatif</v>
      </c>
      <c r="L2384" s="16">
        <f>base!X2384</f>
        <v>0</v>
      </c>
      <c r="M2384" s="11">
        <f t="shared" si="374"/>
        <v>0</v>
      </c>
      <c r="N2384" s="11">
        <f t="shared" si="375"/>
        <v>40.166000000000004</v>
      </c>
      <c r="O2384" s="11">
        <f t="shared" si="376"/>
        <v>0.28000000000000003</v>
      </c>
      <c r="P2384" s="12">
        <f t="shared" si="377"/>
        <v>-40.166000000000004</v>
      </c>
      <c r="Q2384" s="17" t="str">
        <f t="shared" si="379"/>
        <v>Ecart négatif</v>
      </c>
    </row>
    <row r="2385" spans="1:18" x14ac:dyDescent="0.3">
      <c r="A2385" s="34" t="str">
        <f>base!J2385</f>
        <v>RS</v>
      </c>
      <c r="B2385" s="34" t="str">
        <f>base!V2385</f>
        <v>76230</v>
      </c>
      <c r="C2385" s="37">
        <v>76</v>
      </c>
      <c r="D2385" s="36">
        <f>base!H2385</f>
        <v>180</v>
      </c>
      <c r="E2385" s="44"/>
      <c r="F2385" s="16">
        <f>base!W2385</f>
        <v>0</v>
      </c>
      <c r="G2385" s="11">
        <f t="shared" si="370"/>
        <v>0</v>
      </c>
      <c r="H2385" s="11">
        <f t="shared" si="371"/>
        <v>30.6</v>
      </c>
      <c r="I2385" s="11">
        <f t="shared" si="372"/>
        <v>0.17</v>
      </c>
      <c r="J2385" s="12">
        <f t="shared" si="373"/>
        <v>-30.6</v>
      </c>
      <c r="K2385" s="17" t="str">
        <f t="shared" si="378"/>
        <v>Ecart négatif</v>
      </c>
      <c r="L2385" s="16">
        <f>base!X2385</f>
        <v>30.6</v>
      </c>
      <c r="M2385" s="11">
        <f t="shared" si="374"/>
        <v>0.17</v>
      </c>
      <c r="N2385" s="11">
        <f t="shared" si="375"/>
        <v>30.6</v>
      </c>
      <c r="O2385" s="11">
        <f t="shared" si="376"/>
        <v>0.17</v>
      </c>
      <c r="P2385" s="12">
        <f t="shared" si="377"/>
        <v>0</v>
      </c>
      <c r="Q2385" s="17" t="str">
        <f t="shared" si="379"/>
        <v>Pas d'écart</v>
      </c>
    </row>
    <row r="2386" spans="1:18" x14ac:dyDescent="0.3">
      <c r="A2386" s="34" t="str">
        <f>base!J2386</f>
        <v>LM</v>
      </c>
      <c r="B2386" s="34" t="str">
        <f>base!V2386</f>
        <v>67230</v>
      </c>
      <c r="C2386" s="37">
        <v>2</v>
      </c>
      <c r="D2386" s="36">
        <f>base!H2386</f>
        <v>139.19999999999999</v>
      </c>
      <c r="E2386" s="44"/>
      <c r="F2386" s="16">
        <f>base!W2386</f>
        <v>40.369999999999997</v>
      </c>
      <c r="G2386" s="11">
        <f t="shared" si="370"/>
        <v>0.29001436781609197</v>
      </c>
      <c r="H2386" s="11">
        <f t="shared" si="371"/>
        <v>25.055999999999997</v>
      </c>
      <c r="I2386" s="11">
        <f t="shared" si="372"/>
        <v>0.18</v>
      </c>
      <c r="J2386" s="12">
        <f t="shared" si="373"/>
        <v>15.314</v>
      </c>
      <c r="K2386" s="17" t="str">
        <f t="shared" si="378"/>
        <v>Ecart positif</v>
      </c>
      <c r="L2386" s="16">
        <f>base!X2386</f>
        <v>0</v>
      </c>
      <c r="M2386" s="11">
        <f t="shared" si="374"/>
        <v>0</v>
      </c>
      <c r="N2386" s="11">
        <f t="shared" si="375"/>
        <v>0</v>
      </c>
      <c r="O2386" s="11">
        <f t="shared" si="376"/>
        <v>0</v>
      </c>
      <c r="P2386" s="12">
        <f t="shared" si="377"/>
        <v>0</v>
      </c>
      <c r="Q2386" s="17" t="str">
        <f t="shared" si="379"/>
        <v>Pas d'écart</v>
      </c>
    </row>
    <row r="2387" spans="1:18" x14ac:dyDescent="0.3">
      <c r="A2387" s="34">
        <f>base!J2387</f>
        <v>0</v>
      </c>
      <c r="B2387" s="34" t="str">
        <f>base!V2387</f>
        <v>77184</v>
      </c>
      <c r="C2387" s="37">
        <v>77</v>
      </c>
      <c r="D2387" s="36">
        <f>base!H2387</f>
        <v>33.119999999999997</v>
      </c>
      <c r="E2387" s="44"/>
      <c r="F2387" s="16">
        <f>base!W2387</f>
        <v>0</v>
      </c>
      <c r="G2387" s="11">
        <f t="shared" si="370"/>
        <v>0</v>
      </c>
      <c r="H2387" s="11">
        <f t="shared" si="371"/>
        <v>0</v>
      </c>
      <c r="I2387" s="11">
        <f t="shared" si="372"/>
        <v>0</v>
      </c>
      <c r="J2387" s="12">
        <f t="shared" si="373"/>
        <v>0</v>
      </c>
      <c r="K2387" s="17" t="str">
        <f t="shared" si="378"/>
        <v>Pas d'écart</v>
      </c>
      <c r="L2387" s="16">
        <f>base!X2387</f>
        <v>0</v>
      </c>
      <c r="M2387" s="11">
        <f t="shared" si="374"/>
        <v>0</v>
      </c>
      <c r="N2387" s="11">
        <f t="shared" si="375"/>
        <v>0</v>
      </c>
      <c r="O2387" s="11">
        <f t="shared" si="376"/>
        <v>0</v>
      </c>
      <c r="P2387" s="12">
        <f t="shared" si="377"/>
        <v>0</v>
      </c>
      <c r="Q2387" s="17" t="str">
        <f t="shared" si="379"/>
        <v>Pas d'écart</v>
      </c>
    </row>
    <row r="2388" spans="1:18" x14ac:dyDescent="0.3">
      <c r="A2388" s="34">
        <f>base!J2388</f>
        <v>0</v>
      </c>
      <c r="B2388" s="34" t="str">
        <f>base!V2388</f>
        <v>77184</v>
      </c>
      <c r="C2388" s="37">
        <v>77</v>
      </c>
      <c r="D2388" s="36">
        <f>base!H2388</f>
        <v>25</v>
      </c>
      <c r="E2388" s="44"/>
      <c r="F2388" s="16">
        <f>base!W2388</f>
        <v>0</v>
      </c>
      <c r="G2388" s="11">
        <f t="shared" si="370"/>
        <v>0</v>
      </c>
      <c r="H2388" s="11">
        <f t="shared" si="371"/>
        <v>0</v>
      </c>
      <c r="I2388" s="11">
        <f t="shared" si="372"/>
        <v>0</v>
      </c>
      <c r="J2388" s="12">
        <f t="shared" si="373"/>
        <v>0</v>
      </c>
      <c r="K2388" s="17" t="str">
        <f t="shared" si="378"/>
        <v>Pas d'écart</v>
      </c>
      <c r="L2388" s="16">
        <f>base!X2388</f>
        <v>0</v>
      </c>
      <c r="M2388" s="11">
        <f t="shared" si="374"/>
        <v>0</v>
      </c>
      <c r="N2388" s="11">
        <f t="shared" si="375"/>
        <v>0</v>
      </c>
      <c r="O2388" s="11">
        <f t="shared" si="376"/>
        <v>0</v>
      </c>
      <c r="P2388" s="12">
        <f t="shared" si="377"/>
        <v>0</v>
      </c>
      <c r="Q2388" s="17" t="str">
        <f t="shared" si="379"/>
        <v>Pas d'écart</v>
      </c>
    </row>
    <row r="2389" spans="1:18" x14ac:dyDescent="0.3">
      <c r="A2389" s="34" t="str">
        <f>base!J2389</f>
        <v>RS</v>
      </c>
      <c r="B2389" s="34" t="str">
        <f>base!V2389</f>
        <v>74140</v>
      </c>
      <c r="C2389" s="37">
        <v>74</v>
      </c>
      <c r="D2389" s="36">
        <f>base!H2389</f>
        <v>171.28</v>
      </c>
      <c r="E2389" s="44"/>
      <c r="F2389" s="16">
        <f>base!W2389</f>
        <v>0</v>
      </c>
      <c r="G2389" s="11">
        <f t="shared" si="370"/>
        <v>0</v>
      </c>
      <c r="H2389" s="11">
        <f t="shared" si="371"/>
        <v>44.532800000000002</v>
      </c>
      <c r="I2389" s="11">
        <f t="shared" si="372"/>
        <v>0.26</v>
      </c>
      <c r="J2389" s="12">
        <f t="shared" si="373"/>
        <v>-44.532800000000002</v>
      </c>
      <c r="K2389" s="17" t="str">
        <f t="shared" si="378"/>
        <v>Ecart négatif</v>
      </c>
      <c r="L2389" s="16">
        <f>base!X2389</f>
        <v>0</v>
      </c>
      <c r="M2389" s="11">
        <f t="shared" si="374"/>
        <v>0</v>
      </c>
      <c r="N2389" s="11">
        <f t="shared" si="375"/>
        <v>0</v>
      </c>
      <c r="O2389" s="11">
        <f t="shared" si="376"/>
        <v>0</v>
      </c>
      <c r="P2389" s="12">
        <f t="shared" si="377"/>
        <v>0</v>
      </c>
      <c r="Q2389" s="17" t="str">
        <f t="shared" si="379"/>
        <v>Pas d'écart</v>
      </c>
    </row>
    <row r="2390" spans="1:18" x14ac:dyDescent="0.3">
      <c r="A2390" s="34" t="str">
        <f>base!J2390</f>
        <v>LM</v>
      </c>
      <c r="B2390" s="34" t="str">
        <f>base!V2390</f>
        <v>95240</v>
      </c>
      <c r="C2390" s="37">
        <v>95</v>
      </c>
      <c r="D2390" s="36">
        <f>base!H2390</f>
        <v>142.01</v>
      </c>
      <c r="E2390" s="44"/>
      <c r="F2390" s="16">
        <f>base!W2390</f>
        <v>0</v>
      </c>
      <c r="G2390" s="11">
        <f t="shared" si="370"/>
        <v>0</v>
      </c>
      <c r="H2390" s="11">
        <f t="shared" si="371"/>
        <v>0</v>
      </c>
      <c r="I2390" s="11">
        <f t="shared" si="372"/>
        <v>0</v>
      </c>
      <c r="J2390" s="12">
        <f t="shared" si="373"/>
        <v>0</v>
      </c>
      <c r="K2390" s="17" t="str">
        <f t="shared" si="378"/>
        <v>Pas d'écart</v>
      </c>
      <c r="L2390" s="16">
        <f>base!X2390</f>
        <v>0</v>
      </c>
      <c r="M2390" s="11">
        <f t="shared" si="374"/>
        <v>0</v>
      </c>
      <c r="N2390" s="11">
        <f t="shared" si="375"/>
        <v>0</v>
      </c>
      <c r="O2390" s="11">
        <f t="shared" si="376"/>
        <v>0</v>
      </c>
      <c r="P2390" s="12">
        <f t="shared" si="377"/>
        <v>0</v>
      </c>
      <c r="Q2390" s="17" t="str">
        <f t="shared" si="379"/>
        <v>Pas d'écart</v>
      </c>
    </row>
    <row r="2391" spans="1:18" x14ac:dyDescent="0.3">
      <c r="A2391" s="34" t="str">
        <f>base!J2391</f>
        <v>LS</v>
      </c>
      <c r="B2391" s="34" t="str">
        <f>base!V2391</f>
        <v>44850</v>
      </c>
      <c r="C2391" s="37">
        <v>18</v>
      </c>
      <c r="D2391" s="36">
        <f>base!H2391</f>
        <v>75.28</v>
      </c>
      <c r="E2391" s="44"/>
      <c r="F2391" s="16">
        <f>base!W2391</f>
        <v>20.329999999999998</v>
      </c>
      <c r="G2391" s="11">
        <f t="shared" si="370"/>
        <v>0.27005844845908605</v>
      </c>
      <c r="H2391" s="11">
        <f t="shared" si="371"/>
        <v>15.8088</v>
      </c>
      <c r="I2391" s="11">
        <f t="shared" si="372"/>
        <v>0.21</v>
      </c>
      <c r="J2391" s="12">
        <f t="shared" si="373"/>
        <v>4.5211999999999986</v>
      </c>
      <c r="K2391" s="17" t="str">
        <f t="shared" si="378"/>
        <v>Ecart positif</v>
      </c>
      <c r="L2391" s="16">
        <f>base!X2391</f>
        <v>0</v>
      </c>
      <c r="M2391" s="11">
        <f t="shared" si="374"/>
        <v>0</v>
      </c>
      <c r="N2391" s="11">
        <f t="shared" si="375"/>
        <v>9.0335999999999999</v>
      </c>
      <c r="O2391" s="11">
        <f t="shared" si="376"/>
        <v>0.12</v>
      </c>
      <c r="P2391" s="12">
        <f t="shared" si="377"/>
        <v>-9.0335999999999999</v>
      </c>
      <c r="Q2391" s="17" t="str">
        <f t="shared" si="379"/>
        <v>Ecart négatif</v>
      </c>
    </row>
    <row r="2392" spans="1:18" x14ac:dyDescent="0.3">
      <c r="A2392" s="34" t="str">
        <f>base!J2392</f>
        <v>RM</v>
      </c>
      <c r="B2392" s="34" t="str">
        <f>base!V2392</f>
        <v>78190</v>
      </c>
      <c r="C2392" s="37">
        <v>78</v>
      </c>
      <c r="D2392" s="36">
        <f>base!H2392</f>
        <v>183.87</v>
      </c>
      <c r="E2392" s="44"/>
      <c r="F2392" s="16">
        <f>base!W2392</f>
        <v>0</v>
      </c>
      <c r="G2392" s="11">
        <f t="shared" si="370"/>
        <v>0</v>
      </c>
      <c r="H2392" s="11">
        <f t="shared" si="371"/>
        <v>0</v>
      </c>
      <c r="I2392" s="11">
        <f t="shared" si="372"/>
        <v>0</v>
      </c>
      <c r="J2392" s="12">
        <f t="shared" si="373"/>
        <v>0</v>
      </c>
      <c r="K2392" s="17" t="str">
        <f t="shared" si="378"/>
        <v>Pas d'écart</v>
      </c>
      <c r="L2392" s="16">
        <f>base!X2392</f>
        <v>0</v>
      </c>
      <c r="M2392" s="11">
        <f t="shared" si="374"/>
        <v>0</v>
      </c>
      <c r="N2392" s="11">
        <f t="shared" si="375"/>
        <v>0</v>
      </c>
      <c r="O2392" s="11">
        <f t="shared" si="376"/>
        <v>0</v>
      </c>
      <c r="P2392" s="12">
        <f t="shared" si="377"/>
        <v>0</v>
      </c>
      <c r="Q2392" s="17" t="str">
        <f t="shared" si="379"/>
        <v>Pas d'écart</v>
      </c>
    </row>
    <row r="2393" spans="1:18" x14ac:dyDescent="0.3">
      <c r="A2393" s="34" t="str">
        <f>base!J2393</f>
        <v>RS</v>
      </c>
      <c r="B2393" s="34" t="str">
        <f>base!V2393</f>
        <v>34500</v>
      </c>
      <c r="C2393" s="37">
        <v>34</v>
      </c>
      <c r="D2393" s="36">
        <f>base!H2393</f>
        <v>180</v>
      </c>
      <c r="E2393" s="44"/>
      <c r="F2393" s="16">
        <f>base!W2393</f>
        <v>0</v>
      </c>
      <c r="G2393" s="11">
        <f t="shared" si="370"/>
        <v>0</v>
      </c>
      <c r="H2393" s="11">
        <f t="shared" si="371"/>
        <v>70.2</v>
      </c>
      <c r="I2393" s="11">
        <f t="shared" si="372"/>
        <v>0.39</v>
      </c>
      <c r="J2393" s="12">
        <f t="shared" si="373"/>
        <v>-70.2</v>
      </c>
      <c r="K2393" s="17" t="str">
        <f t="shared" si="378"/>
        <v>Ecart négatif</v>
      </c>
      <c r="L2393" s="16">
        <f>base!X2393</f>
        <v>50.4</v>
      </c>
      <c r="M2393" s="11">
        <f t="shared" si="374"/>
        <v>0.27999999999999997</v>
      </c>
      <c r="N2393" s="11">
        <f t="shared" si="375"/>
        <v>50.400000000000006</v>
      </c>
      <c r="O2393" s="11">
        <f t="shared" si="376"/>
        <v>0.28000000000000003</v>
      </c>
      <c r="P2393" s="12">
        <f t="shared" si="377"/>
        <v>0</v>
      </c>
      <c r="Q2393" s="17" t="str">
        <f t="shared" si="379"/>
        <v>Pas d'écart</v>
      </c>
      <c r="R2393" s="38"/>
    </row>
    <row r="2394" spans="1:18" x14ac:dyDescent="0.3">
      <c r="A2394" s="34" t="str">
        <f>base!J2394</f>
        <v>RM</v>
      </c>
      <c r="B2394" s="34" t="str">
        <f>base!V2394</f>
        <v>37140</v>
      </c>
      <c r="C2394" s="37">
        <v>37</v>
      </c>
      <c r="D2394" s="36">
        <f>base!H2394</f>
        <v>140</v>
      </c>
      <c r="E2394" s="44"/>
      <c r="F2394" s="16">
        <f>base!W2394</f>
        <v>0</v>
      </c>
      <c r="G2394" s="11">
        <f t="shared" si="370"/>
        <v>0</v>
      </c>
      <c r="H2394" s="11">
        <f t="shared" si="371"/>
        <v>26.6</v>
      </c>
      <c r="I2394" s="11">
        <f t="shared" si="372"/>
        <v>0.19</v>
      </c>
      <c r="J2394" s="12">
        <f t="shared" si="373"/>
        <v>-26.6</v>
      </c>
      <c r="K2394" s="17" t="str">
        <f t="shared" si="378"/>
        <v>Ecart négatif</v>
      </c>
      <c r="L2394" s="16">
        <f>base!X2394</f>
        <v>0</v>
      </c>
      <c r="M2394" s="11">
        <f t="shared" si="374"/>
        <v>0</v>
      </c>
      <c r="N2394" s="11">
        <f t="shared" si="375"/>
        <v>16.8</v>
      </c>
      <c r="O2394" s="11">
        <f t="shared" si="376"/>
        <v>0.12000000000000001</v>
      </c>
      <c r="P2394" s="12">
        <f t="shared" si="377"/>
        <v>-16.8</v>
      </c>
      <c r="Q2394" s="17" t="str">
        <f t="shared" si="379"/>
        <v>Ecart négatif</v>
      </c>
    </row>
    <row r="2395" spans="1:18" x14ac:dyDescent="0.3">
      <c r="A2395" s="34" t="str">
        <f>base!J2395</f>
        <v>LS</v>
      </c>
      <c r="B2395" s="34" t="str">
        <f>base!V2395</f>
        <v>14000</v>
      </c>
      <c r="C2395" s="37">
        <v>45</v>
      </c>
      <c r="D2395" s="36">
        <f>base!H2395</f>
        <v>126.72</v>
      </c>
      <c r="E2395" s="44"/>
      <c r="F2395" s="16">
        <f>base!W2395</f>
        <v>21.54</v>
      </c>
      <c r="G2395" s="11">
        <f t="shared" si="370"/>
        <v>0.16998106060606061</v>
      </c>
      <c r="H2395" s="11">
        <f t="shared" si="371"/>
        <v>26.6112</v>
      </c>
      <c r="I2395" s="11">
        <f t="shared" si="372"/>
        <v>0.21</v>
      </c>
      <c r="J2395" s="12">
        <f t="shared" si="373"/>
        <v>-5.071200000000001</v>
      </c>
      <c r="K2395" s="17" t="str">
        <f t="shared" si="378"/>
        <v>Ecart négatif</v>
      </c>
      <c r="L2395" s="16">
        <f>base!X2395</f>
        <v>0</v>
      </c>
      <c r="M2395" s="11">
        <f t="shared" si="374"/>
        <v>0</v>
      </c>
      <c r="N2395" s="11">
        <f t="shared" si="375"/>
        <v>15.206399999999999</v>
      </c>
      <c r="O2395" s="11">
        <f t="shared" si="376"/>
        <v>0.12</v>
      </c>
      <c r="P2395" s="12">
        <f t="shared" si="377"/>
        <v>-15.206399999999999</v>
      </c>
      <c r="Q2395" s="17" t="str">
        <f t="shared" si="379"/>
        <v>Ecart négatif</v>
      </c>
    </row>
    <row r="2396" spans="1:18" x14ac:dyDescent="0.3">
      <c r="A2396" s="34" t="str">
        <f>base!J2396</f>
        <v>LM</v>
      </c>
      <c r="B2396" s="34" t="str">
        <f>base!V2396</f>
        <v>77183</v>
      </c>
      <c r="C2396" s="37">
        <v>77</v>
      </c>
      <c r="D2396" s="36">
        <f>base!H2396</f>
        <v>20</v>
      </c>
      <c r="E2396" s="44"/>
      <c r="F2396" s="16">
        <f>base!W2396</f>
        <v>0</v>
      </c>
      <c r="G2396" s="11">
        <f t="shared" si="370"/>
        <v>0</v>
      </c>
      <c r="H2396" s="11">
        <f t="shared" si="371"/>
        <v>0</v>
      </c>
      <c r="I2396" s="11">
        <f t="shared" si="372"/>
        <v>0</v>
      </c>
      <c r="J2396" s="12">
        <f t="shared" si="373"/>
        <v>0</v>
      </c>
      <c r="K2396" s="17" t="str">
        <f t="shared" si="378"/>
        <v>Pas d'écart</v>
      </c>
      <c r="L2396" s="16">
        <f>base!X2396</f>
        <v>0</v>
      </c>
      <c r="M2396" s="11">
        <f t="shared" si="374"/>
        <v>0</v>
      </c>
      <c r="N2396" s="11">
        <f t="shared" si="375"/>
        <v>0</v>
      </c>
      <c r="O2396" s="11">
        <f t="shared" si="376"/>
        <v>0</v>
      </c>
      <c r="P2396" s="12">
        <f t="shared" si="377"/>
        <v>0</v>
      </c>
      <c r="Q2396" s="17" t="str">
        <f t="shared" si="379"/>
        <v>Pas d'écart</v>
      </c>
    </row>
    <row r="2397" spans="1:18" x14ac:dyDescent="0.3">
      <c r="A2397" s="34" t="str">
        <f>base!J2397</f>
        <v>RM</v>
      </c>
      <c r="B2397" s="34" t="str">
        <f>base!V2397</f>
        <v>68520</v>
      </c>
      <c r="C2397" s="37">
        <v>68</v>
      </c>
      <c r="D2397" s="36">
        <f>base!H2397</f>
        <v>40</v>
      </c>
      <c r="E2397" s="44"/>
      <c r="F2397" s="16">
        <f>base!W2397</f>
        <v>0</v>
      </c>
      <c r="G2397" s="11">
        <f t="shared" si="370"/>
        <v>0</v>
      </c>
      <c r="H2397" s="11">
        <f t="shared" si="371"/>
        <v>11.6</v>
      </c>
      <c r="I2397" s="11">
        <f t="shared" si="372"/>
        <v>0.28999999999999998</v>
      </c>
      <c r="J2397" s="12">
        <f t="shared" si="373"/>
        <v>-11.6</v>
      </c>
      <c r="K2397" s="17" t="str">
        <f t="shared" si="378"/>
        <v>Ecart négatif</v>
      </c>
      <c r="L2397" s="16">
        <f>base!X2397</f>
        <v>3.2</v>
      </c>
      <c r="M2397" s="11">
        <f t="shared" si="374"/>
        <v>0.08</v>
      </c>
      <c r="N2397" s="11">
        <f t="shared" si="375"/>
        <v>3.2</v>
      </c>
      <c r="O2397" s="11">
        <f t="shared" si="376"/>
        <v>0.08</v>
      </c>
      <c r="P2397" s="12">
        <f t="shared" si="377"/>
        <v>0</v>
      </c>
      <c r="Q2397" s="17" t="str">
        <f t="shared" si="379"/>
        <v>Pas d'écart</v>
      </c>
      <c r="R2397" s="38"/>
    </row>
    <row r="2398" spans="1:18" x14ac:dyDescent="0.3">
      <c r="A2398" s="34" t="str">
        <f>base!J2398</f>
        <v>LS</v>
      </c>
      <c r="B2398" s="34" t="str">
        <f>base!V2398</f>
        <v>01560</v>
      </c>
      <c r="C2398" s="37">
        <v>18</v>
      </c>
      <c r="D2398" s="36">
        <f>base!H2398</f>
        <v>180</v>
      </c>
      <c r="E2398" s="44"/>
      <c r="F2398" s="16">
        <f>base!W2398</f>
        <v>48.6</v>
      </c>
      <c r="G2398" s="11">
        <f t="shared" si="370"/>
        <v>0.27</v>
      </c>
      <c r="H2398" s="11">
        <f t="shared" si="371"/>
        <v>37.799999999999997</v>
      </c>
      <c r="I2398" s="11">
        <f t="shared" si="372"/>
        <v>0.21</v>
      </c>
      <c r="J2398" s="12">
        <f t="shared" si="373"/>
        <v>10.800000000000004</v>
      </c>
      <c r="K2398" s="17" t="str">
        <f t="shared" si="378"/>
        <v>Ecart positif</v>
      </c>
      <c r="L2398" s="16">
        <f>base!X2398</f>
        <v>0</v>
      </c>
      <c r="M2398" s="11">
        <f t="shared" si="374"/>
        <v>0</v>
      </c>
      <c r="N2398" s="11">
        <f t="shared" si="375"/>
        <v>21.599999999999998</v>
      </c>
      <c r="O2398" s="11">
        <f t="shared" si="376"/>
        <v>0.11999999999999998</v>
      </c>
      <c r="P2398" s="12">
        <f t="shared" si="377"/>
        <v>-21.599999999999998</v>
      </c>
      <c r="Q2398" s="17" t="str">
        <f t="shared" si="379"/>
        <v>Ecart négatif</v>
      </c>
    </row>
    <row r="2399" spans="1:18" x14ac:dyDescent="0.3">
      <c r="A2399" s="34" t="str">
        <f>base!J2399</f>
        <v>LM</v>
      </c>
      <c r="B2399" s="34" t="str">
        <f>base!V2399</f>
        <v>59140</v>
      </c>
      <c r="C2399" s="37">
        <v>44</v>
      </c>
      <c r="D2399" s="36">
        <f>base!H2399</f>
        <v>197.98</v>
      </c>
      <c r="E2399" s="44"/>
      <c r="F2399" s="16">
        <f>base!W2399</f>
        <v>37.619999999999997</v>
      </c>
      <c r="G2399" s="11">
        <f t="shared" si="370"/>
        <v>0.19001919385796545</v>
      </c>
      <c r="H2399" s="11">
        <f t="shared" si="371"/>
        <v>53.454599999999999</v>
      </c>
      <c r="I2399" s="11">
        <f t="shared" si="372"/>
        <v>0.27</v>
      </c>
      <c r="J2399" s="12">
        <f t="shared" si="373"/>
        <v>-15.834600000000002</v>
      </c>
      <c r="K2399" s="17" t="str">
        <f t="shared" si="378"/>
        <v>Ecart négatif</v>
      </c>
      <c r="L2399" s="16">
        <f>base!X2399</f>
        <v>0</v>
      </c>
      <c r="M2399" s="11">
        <f t="shared" si="374"/>
        <v>0</v>
      </c>
      <c r="N2399" s="11">
        <f t="shared" si="375"/>
        <v>0</v>
      </c>
      <c r="O2399" s="11">
        <f t="shared" si="376"/>
        <v>0</v>
      </c>
      <c r="P2399" s="12">
        <f t="shared" si="377"/>
        <v>0</v>
      </c>
      <c r="Q2399" s="17" t="str">
        <f t="shared" si="379"/>
        <v>Pas d'écart</v>
      </c>
    </row>
    <row r="2400" spans="1:18" x14ac:dyDescent="0.3">
      <c r="A2400" s="34" t="str">
        <f>base!J2400</f>
        <v>LM</v>
      </c>
      <c r="B2400" s="34" t="str">
        <f>base!V2400</f>
        <v>59140</v>
      </c>
      <c r="C2400" s="37">
        <v>59</v>
      </c>
      <c r="D2400" s="36">
        <f>base!H2400</f>
        <v>40</v>
      </c>
      <c r="E2400" s="44"/>
      <c r="F2400" s="16">
        <f>base!W2400</f>
        <v>7.6</v>
      </c>
      <c r="G2400" s="11">
        <f t="shared" si="370"/>
        <v>0.19</v>
      </c>
      <c r="H2400" s="11">
        <f t="shared" si="371"/>
        <v>7.6</v>
      </c>
      <c r="I2400" s="11">
        <f t="shared" si="372"/>
        <v>0.19</v>
      </c>
      <c r="J2400" s="12">
        <f t="shared" si="373"/>
        <v>0</v>
      </c>
      <c r="K2400" s="17" t="str">
        <f t="shared" si="378"/>
        <v>Pas d'écart</v>
      </c>
      <c r="L2400" s="16">
        <f>base!X2400</f>
        <v>0</v>
      </c>
      <c r="M2400" s="11">
        <f t="shared" si="374"/>
        <v>0</v>
      </c>
      <c r="N2400" s="11">
        <f t="shared" si="375"/>
        <v>0</v>
      </c>
      <c r="O2400" s="11">
        <f t="shared" si="376"/>
        <v>0</v>
      </c>
      <c r="P2400" s="12">
        <f t="shared" si="377"/>
        <v>0</v>
      </c>
      <c r="Q2400" s="17" t="str">
        <f t="shared" si="379"/>
        <v>Pas d'écart</v>
      </c>
    </row>
    <row r="2401" spans="1:18" x14ac:dyDescent="0.3">
      <c r="A2401" s="34" t="str">
        <f>base!J2401</f>
        <v>LS</v>
      </c>
      <c r="B2401" s="34" t="str">
        <f>base!V2401</f>
        <v>51100</v>
      </c>
      <c r="C2401" s="37">
        <v>56</v>
      </c>
      <c r="D2401" s="36">
        <f>base!H2401</f>
        <v>116.85</v>
      </c>
      <c r="E2401" s="44"/>
      <c r="F2401" s="16">
        <f>base!W2401</f>
        <v>29.21</v>
      </c>
      <c r="G2401" s="11">
        <f t="shared" si="370"/>
        <v>0.24997860504920841</v>
      </c>
      <c r="H2401" s="11">
        <f t="shared" si="371"/>
        <v>31.549500000000002</v>
      </c>
      <c r="I2401" s="11">
        <f t="shared" si="372"/>
        <v>0.27</v>
      </c>
      <c r="J2401" s="12">
        <f t="shared" si="373"/>
        <v>-2.339500000000001</v>
      </c>
      <c r="K2401" s="17" t="str">
        <f t="shared" si="378"/>
        <v>Ecart négatif</v>
      </c>
      <c r="L2401" s="16">
        <f>base!X2401</f>
        <v>0</v>
      </c>
      <c r="M2401" s="11">
        <f t="shared" si="374"/>
        <v>0</v>
      </c>
      <c r="N2401" s="11">
        <f t="shared" si="375"/>
        <v>0</v>
      </c>
      <c r="O2401" s="11">
        <f t="shared" si="376"/>
        <v>0</v>
      </c>
      <c r="P2401" s="12">
        <f t="shared" si="377"/>
        <v>0</v>
      </c>
      <c r="Q2401" s="17" t="str">
        <f t="shared" si="379"/>
        <v>Pas d'écart</v>
      </c>
    </row>
    <row r="2402" spans="1:18" x14ac:dyDescent="0.3">
      <c r="A2402" s="34" t="str">
        <f>base!J2402</f>
        <v>LS</v>
      </c>
      <c r="B2402" s="34" t="str">
        <f>base!V2402</f>
        <v>75010</v>
      </c>
      <c r="C2402" s="37">
        <v>75</v>
      </c>
      <c r="D2402" s="36">
        <f>base!H2402</f>
        <v>55.14</v>
      </c>
      <c r="E2402" s="44"/>
      <c r="F2402" s="16">
        <f>base!W2402</f>
        <v>0</v>
      </c>
      <c r="G2402" s="11">
        <f t="shared" si="370"/>
        <v>0</v>
      </c>
      <c r="H2402" s="11">
        <f t="shared" si="371"/>
        <v>0</v>
      </c>
      <c r="I2402" s="11">
        <f t="shared" si="372"/>
        <v>0</v>
      </c>
      <c r="J2402" s="12">
        <f t="shared" si="373"/>
        <v>0</v>
      </c>
      <c r="K2402" s="17" t="str">
        <f t="shared" si="378"/>
        <v>Pas d'écart</v>
      </c>
      <c r="L2402" s="16">
        <f>base!X2402</f>
        <v>0</v>
      </c>
      <c r="M2402" s="11">
        <f t="shared" si="374"/>
        <v>0</v>
      </c>
      <c r="N2402" s="11">
        <f t="shared" si="375"/>
        <v>0</v>
      </c>
      <c r="O2402" s="11">
        <f t="shared" si="376"/>
        <v>0</v>
      </c>
      <c r="P2402" s="12">
        <f t="shared" si="377"/>
        <v>0</v>
      </c>
      <c r="Q2402" s="17" t="str">
        <f t="shared" si="379"/>
        <v>Pas d'écart</v>
      </c>
    </row>
    <row r="2403" spans="1:18" x14ac:dyDescent="0.3">
      <c r="A2403" s="34" t="str">
        <f>base!J2403</f>
        <v>LM</v>
      </c>
      <c r="B2403" s="34" t="str">
        <f>base!V2403</f>
        <v>27091</v>
      </c>
      <c r="C2403" s="37">
        <v>16</v>
      </c>
      <c r="D2403" s="36">
        <f>base!H2403</f>
        <v>154.4</v>
      </c>
      <c r="E2403" s="44"/>
      <c r="F2403" s="16">
        <f>base!W2403</f>
        <v>26.25</v>
      </c>
      <c r="G2403" s="11">
        <f t="shared" si="370"/>
        <v>0.17001295336787564</v>
      </c>
      <c r="H2403" s="11">
        <f t="shared" si="371"/>
        <v>32.423999999999999</v>
      </c>
      <c r="I2403" s="11">
        <f t="shared" si="372"/>
        <v>0.21</v>
      </c>
      <c r="J2403" s="12">
        <f t="shared" si="373"/>
        <v>-6.1739999999999995</v>
      </c>
      <c r="K2403" s="17" t="str">
        <f t="shared" si="378"/>
        <v>Ecart négatif</v>
      </c>
      <c r="L2403" s="16">
        <f>base!X2403</f>
        <v>0</v>
      </c>
      <c r="M2403" s="11">
        <f t="shared" si="374"/>
        <v>0</v>
      </c>
      <c r="N2403" s="11">
        <f t="shared" si="375"/>
        <v>26.248000000000001</v>
      </c>
      <c r="O2403" s="11">
        <f t="shared" si="376"/>
        <v>0.17</v>
      </c>
      <c r="P2403" s="12">
        <f t="shared" si="377"/>
        <v>-26.248000000000001</v>
      </c>
      <c r="Q2403" s="17" t="str">
        <f t="shared" si="379"/>
        <v>Ecart négatif</v>
      </c>
    </row>
    <row r="2404" spans="1:18" x14ac:dyDescent="0.3">
      <c r="A2404" s="34" t="str">
        <f>base!J2404</f>
        <v>LS</v>
      </c>
      <c r="B2404" s="34" t="str">
        <f>base!V2404</f>
        <v>13010</v>
      </c>
      <c r="C2404" s="37">
        <v>13</v>
      </c>
      <c r="D2404" s="36">
        <f>base!H2404</f>
        <v>40</v>
      </c>
      <c r="E2404" s="44"/>
      <c r="F2404" s="16">
        <f>base!W2404</f>
        <v>11.6</v>
      </c>
      <c r="G2404" s="11">
        <f t="shared" si="370"/>
        <v>0.28999999999999998</v>
      </c>
      <c r="H2404" s="11">
        <f t="shared" si="371"/>
        <v>11.6</v>
      </c>
      <c r="I2404" s="11">
        <f t="shared" si="372"/>
        <v>0.28999999999999998</v>
      </c>
      <c r="J2404" s="12">
        <f t="shared" si="373"/>
        <v>0</v>
      </c>
      <c r="K2404" s="17" t="str">
        <f t="shared" si="378"/>
        <v>Pas d'écart</v>
      </c>
      <c r="L2404" s="16">
        <f>base!X2404</f>
        <v>0</v>
      </c>
      <c r="M2404" s="11">
        <f t="shared" si="374"/>
        <v>0</v>
      </c>
      <c r="N2404" s="11">
        <f t="shared" si="375"/>
        <v>7.6</v>
      </c>
      <c r="O2404" s="11">
        <f t="shared" si="376"/>
        <v>0.19</v>
      </c>
      <c r="P2404" s="12">
        <f t="shared" si="377"/>
        <v>-7.6</v>
      </c>
      <c r="Q2404" s="17" t="str">
        <f t="shared" si="379"/>
        <v>Ecart négatif</v>
      </c>
    </row>
    <row r="2405" spans="1:18" x14ac:dyDescent="0.3">
      <c r="A2405" s="34" t="str">
        <f>base!J2405</f>
        <v>LM</v>
      </c>
      <c r="B2405" s="34" t="str">
        <f>base!V2405</f>
        <v>44327</v>
      </c>
      <c r="C2405" s="37">
        <v>16</v>
      </c>
      <c r="D2405" s="36">
        <f>base!H2405</f>
        <v>183.52</v>
      </c>
      <c r="E2405" s="44"/>
      <c r="F2405" s="16">
        <f>base!W2405</f>
        <v>49.55</v>
      </c>
      <c r="G2405" s="11">
        <f t="shared" si="370"/>
        <v>0.2699978204010462</v>
      </c>
      <c r="H2405" s="11">
        <f t="shared" si="371"/>
        <v>38.539200000000001</v>
      </c>
      <c r="I2405" s="11">
        <f t="shared" si="372"/>
        <v>0.21</v>
      </c>
      <c r="J2405" s="12">
        <f t="shared" si="373"/>
        <v>11.010799999999996</v>
      </c>
      <c r="K2405" s="17" t="str">
        <f t="shared" si="378"/>
        <v>Ecart positif</v>
      </c>
      <c r="L2405" s="16">
        <f>base!X2405</f>
        <v>0</v>
      </c>
      <c r="M2405" s="11">
        <f t="shared" si="374"/>
        <v>0</v>
      </c>
      <c r="N2405" s="11">
        <f t="shared" si="375"/>
        <v>31.198400000000003</v>
      </c>
      <c r="O2405" s="11">
        <f t="shared" si="376"/>
        <v>0.17</v>
      </c>
      <c r="P2405" s="12">
        <f t="shared" si="377"/>
        <v>-31.198400000000003</v>
      </c>
      <c r="Q2405" s="17" t="str">
        <f t="shared" si="379"/>
        <v>Ecart négatif</v>
      </c>
    </row>
    <row r="2406" spans="1:18" x14ac:dyDescent="0.3">
      <c r="A2406" s="34" t="str">
        <f>base!J2406</f>
        <v>RM</v>
      </c>
      <c r="B2406" s="34" t="str">
        <f>base!V2406</f>
        <v>76600</v>
      </c>
      <c r="C2406" s="37">
        <v>76</v>
      </c>
      <c r="D2406" s="36">
        <f>base!H2406</f>
        <v>151</v>
      </c>
      <c r="E2406" s="44"/>
      <c r="F2406" s="16">
        <f>base!W2406</f>
        <v>0</v>
      </c>
      <c r="G2406" s="11">
        <f t="shared" si="370"/>
        <v>0</v>
      </c>
      <c r="H2406" s="11">
        <f t="shared" si="371"/>
        <v>25.67</v>
      </c>
      <c r="I2406" s="11">
        <f t="shared" si="372"/>
        <v>0.17</v>
      </c>
      <c r="J2406" s="12">
        <f t="shared" si="373"/>
        <v>-25.67</v>
      </c>
      <c r="K2406" s="17" t="str">
        <f t="shared" si="378"/>
        <v>Ecart négatif</v>
      </c>
      <c r="L2406" s="16">
        <f>base!X2406</f>
        <v>25.67</v>
      </c>
      <c r="M2406" s="11">
        <f t="shared" si="374"/>
        <v>0.17</v>
      </c>
      <c r="N2406" s="11">
        <f t="shared" si="375"/>
        <v>25.67</v>
      </c>
      <c r="O2406" s="11">
        <f t="shared" si="376"/>
        <v>0.17</v>
      </c>
      <c r="P2406" s="12">
        <f t="shared" si="377"/>
        <v>0</v>
      </c>
      <c r="Q2406" s="17" t="str">
        <f t="shared" si="379"/>
        <v>Pas d'écart</v>
      </c>
      <c r="R2406" s="38"/>
    </row>
    <row r="2407" spans="1:18" x14ac:dyDescent="0.3">
      <c r="A2407" s="34">
        <f>base!J2407</f>
        <v>0</v>
      </c>
      <c r="B2407" s="34" t="str">
        <f>base!V2407</f>
        <v>77184</v>
      </c>
      <c r="C2407" s="37">
        <v>77</v>
      </c>
      <c r="D2407" s="36">
        <f>base!H2407</f>
        <v>171</v>
      </c>
      <c r="E2407" s="44"/>
      <c r="F2407" s="16">
        <f>base!W2407</f>
        <v>0</v>
      </c>
      <c r="G2407" s="11">
        <f t="shared" si="370"/>
        <v>0</v>
      </c>
      <c r="H2407" s="11">
        <f t="shared" si="371"/>
        <v>0</v>
      </c>
      <c r="I2407" s="11">
        <f t="shared" si="372"/>
        <v>0</v>
      </c>
      <c r="J2407" s="12">
        <f t="shared" si="373"/>
        <v>0</v>
      </c>
      <c r="K2407" s="17" t="str">
        <f t="shared" si="378"/>
        <v>Pas d'écart</v>
      </c>
      <c r="L2407" s="16">
        <f>base!X2407</f>
        <v>0</v>
      </c>
      <c r="M2407" s="11">
        <f t="shared" si="374"/>
        <v>0</v>
      </c>
      <c r="N2407" s="11">
        <f t="shared" si="375"/>
        <v>0</v>
      </c>
      <c r="O2407" s="11">
        <f t="shared" si="376"/>
        <v>0</v>
      </c>
      <c r="P2407" s="12">
        <f t="shared" si="377"/>
        <v>0</v>
      </c>
      <c r="Q2407" s="17" t="str">
        <f t="shared" si="379"/>
        <v>Pas d'écart</v>
      </c>
    </row>
    <row r="2408" spans="1:18" x14ac:dyDescent="0.3">
      <c r="A2408" s="34" t="str">
        <f>base!J2408</f>
        <v>RS</v>
      </c>
      <c r="B2408" s="34" t="str">
        <f>base!V2408</f>
        <v>13010</v>
      </c>
      <c r="C2408" s="37">
        <v>13</v>
      </c>
      <c r="D2408" s="36">
        <f>base!H2408</f>
        <v>140</v>
      </c>
      <c r="E2408" s="44"/>
      <c r="F2408" s="16">
        <f>base!W2408</f>
        <v>0</v>
      </c>
      <c r="G2408" s="11">
        <f t="shared" si="370"/>
        <v>0</v>
      </c>
      <c r="H2408" s="11">
        <f t="shared" si="371"/>
        <v>40.599999999999994</v>
      </c>
      <c r="I2408" s="11">
        <f t="shared" si="372"/>
        <v>0.28999999999999998</v>
      </c>
      <c r="J2408" s="12">
        <f t="shared" si="373"/>
        <v>-40.599999999999994</v>
      </c>
      <c r="K2408" s="17" t="str">
        <f t="shared" si="378"/>
        <v>Ecart négatif</v>
      </c>
      <c r="L2408" s="16">
        <f>base!X2408</f>
        <v>0</v>
      </c>
      <c r="M2408" s="11">
        <f t="shared" si="374"/>
        <v>0</v>
      </c>
      <c r="N2408" s="11">
        <f t="shared" si="375"/>
        <v>26.6</v>
      </c>
      <c r="O2408" s="11">
        <f t="shared" si="376"/>
        <v>0.19</v>
      </c>
      <c r="P2408" s="12">
        <f t="shared" si="377"/>
        <v>-26.6</v>
      </c>
      <c r="Q2408" s="17" t="str">
        <f t="shared" si="379"/>
        <v>Ecart négatif</v>
      </c>
    </row>
    <row r="2409" spans="1:18" x14ac:dyDescent="0.3">
      <c r="A2409" s="34" t="str">
        <f>base!J2409</f>
        <v>RS</v>
      </c>
      <c r="B2409" s="34" t="str">
        <f>base!V2409</f>
        <v>59000</v>
      </c>
      <c r="C2409" s="37">
        <v>59</v>
      </c>
      <c r="D2409" s="36">
        <f>base!H2409</f>
        <v>140</v>
      </c>
      <c r="E2409" s="44"/>
      <c r="F2409" s="16">
        <f>base!W2409</f>
        <v>0</v>
      </c>
      <c r="G2409" s="11">
        <f t="shared" si="370"/>
        <v>0</v>
      </c>
      <c r="H2409" s="11">
        <f t="shared" si="371"/>
        <v>26.6</v>
      </c>
      <c r="I2409" s="11">
        <f t="shared" si="372"/>
        <v>0.19</v>
      </c>
      <c r="J2409" s="12">
        <f t="shared" si="373"/>
        <v>-26.6</v>
      </c>
      <c r="K2409" s="17" t="str">
        <f t="shared" si="378"/>
        <v>Ecart négatif</v>
      </c>
      <c r="L2409" s="16">
        <f>base!X2409</f>
        <v>0</v>
      </c>
      <c r="M2409" s="11">
        <f t="shared" si="374"/>
        <v>0</v>
      </c>
      <c r="N2409" s="11">
        <f t="shared" si="375"/>
        <v>0</v>
      </c>
      <c r="O2409" s="11">
        <f t="shared" si="376"/>
        <v>0</v>
      </c>
      <c r="P2409" s="12">
        <f t="shared" si="377"/>
        <v>0</v>
      </c>
      <c r="Q2409" s="17" t="str">
        <f t="shared" si="379"/>
        <v>Pas d'écart</v>
      </c>
    </row>
    <row r="2410" spans="1:18" x14ac:dyDescent="0.3">
      <c r="A2410" s="34" t="str">
        <f>base!J2410</f>
        <v>RM</v>
      </c>
      <c r="B2410" s="34" t="str">
        <f>base!V2410</f>
        <v>56140</v>
      </c>
      <c r="C2410" s="37">
        <v>56</v>
      </c>
      <c r="D2410" s="36">
        <f>base!H2410</f>
        <v>140</v>
      </c>
      <c r="E2410" s="44"/>
      <c r="F2410" s="16">
        <f>base!W2410</f>
        <v>0</v>
      </c>
      <c r="G2410" s="11">
        <f t="shared" si="370"/>
        <v>0</v>
      </c>
      <c r="H2410" s="11">
        <f t="shared" si="371"/>
        <v>37.800000000000004</v>
      </c>
      <c r="I2410" s="11">
        <f t="shared" si="372"/>
        <v>0.27</v>
      </c>
      <c r="J2410" s="12">
        <f t="shared" si="373"/>
        <v>-37.800000000000004</v>
      </c>
      <c r="K2410" s="17" t="str">
        <f t="shared" si="378"/>
        <v>Ecart négatif</v>
      </c>
      <c r="L2410" s="16">
        <f>base!X2410</f>
        <v>0</v>
      </c>
      <c r="M2410" s="11">
        <f t="shared" si="374"/>
        <v>0</v>
      </c>
      <c r="N2410" s="11">
        <f t="shared" si="375"/>
        <v>0</v>
      </c>
      <c r="O2410" s="11">
        <f t="shared" si="376"/>
        <v>0</v>
      </c>
      <c r="P2410" s="12">
        <f t="shared" si="377"/>
        <v>0</v>
      </c>
      <c r="Q2410" s="17" t="str">
        <f t="shared" si="379"/>
        <v>Pas d'écart</v>
      </c>
    </row>
    <row r="2411" spans="1:18" x14ac:dyDescent="0.3">
      <c r="A2411" s="34" t="str">
        <f>base!J2411</f>
        <v>LS</v>
      </c>
      <c r="B2411" s="34" t="str">
        <f>base!V2411</f>
        <v>29800</v>
      </c>
      <c r="C2411" s="37">
        <v>86</v>
      </c>
      <c r="D2411" s="36">
        <f>base!H2411</f>
        <v>125.73</v>
      </c>
      <c r="E2411" s="44"/>
      <c r="F2411" s="16">
        <f>base!W2411</f>
        <v>49.03</v>
      </c>
      <c r="G2411" s="11">
        <f t="shared" si="370"/>
        <v>0.38996261830907503</v>
      </c>
      <c r="H2411" s="11">
        <f t="shared" si="371"/>
        <v>26.403300000000002</v>
      </c>
      <c r="I2411" s="11">
        <f t="shared" si="372"/>
        <v>0.21</v>
      </c>
      <c r="J2411" s="12">
        <f t="shared" si="373"/>
        <v>22.6267</v>
      </c>
      <c r="K2411" s="17" t="str">
        <f t="shared" si="378"/>
        <v>Ecart positif</v>
      </c>
      <c r="L2411" s="16">
        <f>base!X2411</f>
        <v>0</v>
      </c>
      <c r="M2411" s="11">
        <f t="shared" si="374"/>
        <v>0</v>
      </c>
      <c r="N2411" s="11">
        <f t="shared" si="375"/>
        <v>15.0876</v>
      </c>
      <c r="O2411" s="11">
        <f t="shared" si="376"/>
        <v>0.12</v>
      </c>
      <c r="P2411" s="12">
        <f t="shared" si="377"/>
        <v>-15.0876</v>
      </c>
      <c r="Q2411" s="17" t="str">
        <f t="shared" si="379"/>
        <v>Ecart négatif</v>
      </c>
    </row>
    <row r="2412" spans="1:18" x14ac:dyDescent="0.3">
      <c r="A2412" s="34" t="str">
        <f>base!J2412</f>
        <v>LM</v>
      </c>
      <c r="B2412" s="34" t="str">
        <f>base!V2412</f>
        <v>13014</v>
      </c>
      <c r="C2412" s="37">
        <v>13</v>
      </c>
      <c r="D2412" s="36">
        <f>base!H2412</f>
        <v>50</v>
      </c>
      <c r="E2412" s="44"/>
      <c r="F2412" s="16">
        <f>base!W2412</f>
        <v>14.5</v>
      </c>
      <c r="G2412" s="11">
        <f t="shared" si="370"/>
        <v>0.28999999999999998</v>
      </c>
      <c r="H2412" s="11">
        <f t="shared" si="371"/>
        <v>14.499999999999998</v>
      </c>
      <c r="I2412" s="11">
        <f t="shared" si="372"/>
        <v>0.28999999999999998</v>
      </c>
      <c r="J2412" s="12">
        <f t="shared" si="373"/>
        <v>0</v>
      </c>
      <c r="K2412" s="17" t="str">
        <f t="shared" si="378"/>
        <v>Pas d'écart</v>
      </c>
      <c r="L2412" s="16">
        <f>base!X2412</f>
        <v>0</v>
      </c>
      <c r="M2412" s="11">
        <f t="shared" si="374"/>
        <v>0</v>
      </c>
      <c r="N2412" s="11">
        <f t="shared" si="375"/>
        <v>9.5</v>
      </c>
      <c r="O2412" s="11">
        <f t="shared" si="376"/>
        <v>0.19</v>
      </c>
      <c r="P2412" s="12">
        <f t="shared" si="377"/>
        <v>-9.5</v>
      </c>
      <c r="Q2412" s="17" t="str">
        <f t="shared" si="379"/>
        <v>Ecart négatif</v>
      </c>
    </row>
    <row r="2413" spans="1:18" x14ac:dyDescent="0.3">
      <c r="A2413" s="34" t="str">
        <f>base!J2413</f>
        <v>LS</v>
      </c>
      <c r="B2413" s="34" t="str">
        <f>base!V2413</f>
        <v>21200</v>
      </c>
      <c r="C2413" s="37">
        <v>86</v>
      </c>
      <c r="D2413" s="36">
        <f>base!H2413</f>
        <v>183.81</v>
      </c>
      <c r="E2413" s="44"/>
      <c r="F2413" s="16">
        <f>base!W2413</f>
        <v>44.11</v>
      </c>
      <c r="G2413" s="11">
        <f t="shared" si="370"/>
        <v>0.23997606223818072</v>
      </c>
      <c r="H2413" s="11">
        <f t="shared" si="371"/>
        <v>38.600099999999998</v>
      </c>
      <c r="I2413" s="11">
        <f t="shared" si="372"/>
        <v>0.21</v>
      </c>
      <c r="J2413" s="12">
        <f t="shared" si="373"/>
        <v>5.5099000000000018</v>
      </c>
      <c r="K2413" s="17" t="str">
        <f t="shared" si="378"/>
        <v>Ecart positif</v>
      </c>
      <c r="L2413" s="16">
        <f>base!X2413</f>
        <v>0</v>
      </c>
      <c r="M2413" s="11">
        <f t="shared" si="374"/>
        <v>0</v>
      </c>
      <c r="N2413" s="11">
        <f t="shared" si="375"/>
        <v>22.057199999999998</v>
      </c>
      <c r="O2413" s="11">
        <f t="shared" si="376"/>
        <v>0.11999999999999998</v>
      </c>
      <c r="P2413" s="12">
        <f t="shared" si="377"/>
        <v>-22.057199999999998</v>
      </c>
      <c r="Q2413" s="17" t="str">
        <f t="shared" si="379"/>
        <v>Ecart négatif</v>
      </c>
    </row>
    <row r="2414" spans="1:18" x14ac:dyDescent="0.3">
      <c r="A2414" s="34" t="str">
        <f>base!J2414</f>
        <v>LS</v>
      </c>
      <c r="B2414" s="34" t="str">
        <f>base!V2414</f>
        <v>34500</v>
      </c>
      <c r="C2414" s="37">
        <v>31</v>
      </c>
      <c r="D2414" s="36">
        <f>base!H2414</f>
        <v>149.79</v>
      </c>
      <c r="E2414" s="44"/>
      <c r="F2414" s="16">
        <f>base!W2414</f>
        <v>0</v>
      </c>
      <c r="G2414" s="11">
        <f t="shared" si="370"/>
        <v>0</v>
      </c>
      <c r="H2414" s="11">
        <f t="shared" si="371"/>
        <v>28.460099999999997</v>
      </c>
      <c r="I2414" s="11">
        <f t="shared" si="372"/>
        <v>0.19</v>
      </c>
      <c r="J2414" s="12">
        <f t="shared" si="373"/>
        <v>-28.460099999999997</v>
      </c>
      <c r="K2414" s="17" t="str">
        <f t="shared" si="378"/>
        <v>Ecart négatif</v>
      </c>
      <c r="L2414" s="16">
        <f>base!X2414</f>
        <v>0</v>
      </c>
      <c r="M2414" s="11">
        <f t="shared" si="374"/>
        <v>0</v>
      </c>
      <c r="N2414" s="11">
        <f t="shared" si="375"/>
        <v>38.945399999999999</v>
      </c>
      <c r="O2414" s="11">
        <f t="shared" si="376"/>
        <v>0.26</v>
      </c>
      <c r="P2414" s="12">
        <f t="shared" si="377"/>
        <v>-38.945399999999999</v>
      </c>
      <c r="Q2414" s="17" t="str">
        <f t="shared" si="379"/>
        <v>Ecart négatif</v>
      </c>
    </row>
    <row r="2415" spans="1:18" x14ac:dyDescent="0.3">
      <c r="A2415" s="34" t="str">
        <f>base!J2415</f>
        <v>LS</v>
      </c>
      <c r="B2415" s="34" t="str">
        <f>base!V2415</f>
        <v>75009</v>
      </c>
      <c r="C2415" s="37">
        <v>75</v>
      </c>
      <c r="D2415" s="36">
        <f>base!H2415</f>
        <v>114.42</v>
      </c>
      <c r="E2415" s="44"/>
      <c r="F2415" s="16">
        <f>base!W2415</f>
        <v>0</v>
      </c>
      <c r="G2415" s="11">
        <f t="shared" si="370"/>
        <v>0</v>
      </c>
      <c r="H2415" s="11">
        <f t="shared" si="371"/>
        <v>0</v>
      </c>
      <c r="I2415" s="11">
        <f t="shared" si="372"/>
        <v>0</v>
      </c>
      <c r="J2415" s="12">
        <f t="shared" si="373"/>
        <v>0</v>
      </c>
      <c r="K2415" s="17" t="str">
        <f t="shared" si="378"/>
        <v>Pas d'écart</v>
      </c>
      <c r="L2415" s="16">
        <f>base!X2415</f>
        <v>0</v>
      </c>
      <c r="M2415" s="11">
        <f t="shared" si="374"/>
        <v>0</v>
      </c>
      <c r="N2415" s="11">
        <f t="shared" si="375"/>
        <v>0</v>
      </c>
      <c r="O2415" s="11">
        <f t="shared" si="376"/>
        <v>0</v>
      </c>
      <c r="P2415" s="12">
        <f t="shared" si="377"/>
        <v>0</v>
      </c>
      <c r="Q2415" s="17" t="str">
        <f t="shared" si="379"/>
        <v>Pas d'écart</v>
      </c>
    </row>
    <row r="2416" spans="1:18" x14ac:dyDescent="0.3">
      <c r="A2416" s="34">
        <f>base!J2416</f>
        <v>0</v>
      </c>
      <c r="B2416" s="34" t="str">
        <f>base!V2416</f>
        <v>77184</v>
      </c>
      <c r="C2416" s="37">
        <v>77</v>
      </c>
      <c r="D2416" s="36">
        <f>base!H2416</f>
        <v>186</v>
      </c>
      <c r="E2416" s="44"/>
      <c r="F2416" s="16">
        <f>base!W2416</f>
        <v>0</v>
      </c>
      <c r="G2416" s="11">
        <f t="shared" si="370"/>
        <v>0</v>
      </c>
      <c r="H2416" s="11">
        <f t="shared" si="371"/>
        <v>0</v>
      </c>
      <c r="I2416" s="11">
        <f t="shared" si="372"/>
        <v>0</v>
      </c>
      <c r="J2416" s="12">
        <f t="shared" si="373"/>
        <v>0</v>
      </c>
      <c r="K2416" s="17" t="str">
        <f t="shared" si="378"/>
        <v>Pas d'écart</v>
      </c>
      <c r="L2416" s="16">
        <f>base!X2416</f>
        <v>0</v>
      </c>
      <c r="M2416" s="11">
        <f t="shared" si="374"/>
        <v>0</v>
      </c>
      <c r="N2416" s="11">
        <f t="shared" si="375"/>
        <v>0</v>
      </c>
      <c r="O2416" s="11">
        <f t="shared" si="376"/>
        <v>0</v>
      </c>
      <c r="P2416" s="12">
        <f t="shared" si="377"/>
        <v>0</v>
      </c>
      <c r="Q2416" s="17" t="str">
        <f t="shared" si="379"/>
        <v>Pas d'écart</v>
      </c>
    </row>
    <row r="2417" spans="1:18" x14ac:dyDescent="0.3">
      <c r="A2417" s="34" t="str">
        <f>base!J2417</f>
        <v>LM</v>
      </c>
      <c r="B2417" s="34" t="str">
        <f>base!V2417</f>
        <v>69005</v>
      </c>
      <c r="C2417" s="37">
        <v>72</v>
      </c>
      <c r="D2417" s="36">
        <f>base!H2417</f>
        <v>287.36</v>
      </c>
      <c r="E2417" s="44"/>
      <c r="F2417" s="16">
        <f>base!W2417</f>
        <v>77.59</v>
      </c>
      <c r="G2417" s="11">
        <f t="shared" si="370"/>
        <v>0.27000974387527837</v>
      </c>
      <c r="H2417" s="11">
        <f t="shared" si="371"/>
        <v>60.345599999999997</v>
      </c>
      <c r="I2417" s="11">
        <f t="shared" si="372"/>
        <v>0.21</v>
      </c>
      <c r="J2417" s="12">
        <f t="shared" si="373"/>
        <v>17.244400000000006</v>
      </c>
      <c r="K2417" s="17" t="str">
        <f t="shared" si="378"/>
        <v>Ecart positif</v>
      </c>
      <c r="L2417" s="16">
        <f>base!X2417</f>
        <v>0</v>
      </c>
      <c r="M2417" s="11">
        <f t="shared" si="374"/>
        <v>0</v>
      </c>
      <c r="N2417" s="11">
        <f t="shared" si="375"/>
        <v>34.483200000000004</v>
      </c>
      <c r="O2417" s="11">
        <f t="shared" si="376"/>
        <v>0.12000000000000001</v>
      </c>
      <c r="P2417" s="12">
        <f t="shared" si="377"/>
        <v>-34.483200000000004</v>
      </c>
      <c r="Q2417" s="17" t="str">
        <f t="shared" si="379"/>
        <v>Ecart négatif</v>
      </c>
    </row>
    <row r="2418" spans="1:18" x14ac:dyDescent="0.3">
      <c r="A2418" s="34" t="str">
        <f>base!J2418</f>
        <v>LM</v>
      </c>
      <c r="B2418" s="34" t="str">
        <f>base!V2418</f>
        <v>69005</v>
      </c>
      <c r="C2418" s="37">
        <v>31</v>
      </c>
      <c r="D2418" s="36">
        <f>base!H2418</f>
        <v>33.35</v>
      </c>
      <c r="E2418" s="44"/>
      <c r="F2418" s="16">
        <f>base!W2418</f>
        <v>9</v>
      </c>
      <c r="G2418" s="11">
        <f t="shared" si="370"/>
        <v>0.26986506746626687</v>
      </c>
      <c r="H2418" s="11">
        <f t="shared" si="371"/>
        <v>6.3365</v>
      </c>
      <c r="I2418" s="11">
        <f t="shared" si="372"/>
        <v>0.19</v>
      </c>
      <c r="J2418" s="12">
        <f t="shared" si="373"/>
        <v>2.6635</v>
      </c>
      <c r="K2418" s="17" t="str">
        <f t="shared" si="378"/>
        <v>Ecart positif</v>
      </c>
      <c r="L2418" s="16">
        <f>base!X2418</f>
        <v>0</v>
      </c>
      <c r="M2418" s="11">
        <f t="shared" si="374"/>
        <v>0</v>
      </c>
      <c r="N2418" s="11">
        <f t="shared" si="375"/>
        <v>8.6710000000000012</v>
      </c>
      <c r="O2418" s="11">
        <f t="shared" si="376"/>
        <v>0.26</v>
      </c>
      <c r="P2418" s="12">
        <f t="shared" si="377"/>
        <v>-8.6710000000000012</v>
      </c>
      <c r="Q2418" s="17" t="str">
        <f t="shared" si="379"/>
        <v>Ecart négatif</v>
      </c>
    </row>
    <row r="2419" spans="1:18" x14ac:dyDescent="0.3">
      <c r="A2419" s="34" t="str">
        <f>base!J2419</f>
        <v>RS</v>
      </c>
      <c r="B2419" s="34" t="str">
        <f>base!V2419</f>
        <v>90000</v>
      </c>
      <c r="C2419" s="37">
        <v>90</v>
      </c>
      <c r="D2419" s="36">
        <f>base!H2419</f>
        <v>71.819999999999993</v>
      </c>
      <c r="E2419" s="44"/>
      <c r="F2419" s="16">
        <f>base!W2419</f>
        <v>0</v>
      </c>
      <c r="G2419" s="11">
        <f t="shared" si="370"/>
        <v>0</v>
      </c>
      <c r="H2419" s="11">
        <f t="shared" si="371"/>
        <v>20.827799999999996</v>
      </c>
      <c r="I2419" s="11">
        <f t="shared" si="372"/>
        <v>0.28999999999999998</v>
      </c>
      <c r="J2419" s="12">
        <f t="shared" si="373"/>
        <v>-20.827799999999996</v>
      </c>
      <c r="K2419" s="17" t="str">
        <f t="shared" si="378"/>
        <v>Ecart négatif</v>
      </c>
      <c r="L2419" s="16">
        <f>base!X2419</f>
        <v>5.75</v>
      </c>
      <c r="M2419" s="11">
        <f t="shared" si="374"/>
        <v>8.0061264271790597E-2</v>
      </c>
      <c r="N2419" s="11">
        <f t="shared" si="375"/>
        <v>5.7455999999999996</v>
      </c>
      <c r="O2419" s="11">
        <f t="shared" si="376"/>
        <v>0.08</v>
      </c>
      <c r="P2419" s="12">
        <f t="shared" si="377"/>
        <v>4.4000000000004036E-3</v>
      </c>
      <c r="Q2419" s="17" t="str">
        <f t="shared" si="379"/>
        <v>Ecart positif</v>
      </c>
      <c r="R2419" s="38"/>
    </row>
    <row r="2420" spans="1:18" x14ac:dyDescent="0.3">
      <c r="A2420" s="34" t="str">
        <f>base!J2420</f>
        <v>LS</v>
      </c>
      <c r="B2420" s="34" t="str">
        <f>base!V2420</f>
        <v>44300</v>
      </c>
      <c r="C2420" s="37">
        <v>44</v>
      </c>
      <c r="D2420" s="36">
        <f>base!H2420</f>
        <v>40</v>
      </c>
      <c r="E2420" s="44"/>
      <c r="F2420" s="16">
        <f>base!W2420</f>
        <v>10.8</v>
      </c>
      <c r="G2420" s="11">
        <f t="shared" si="370"/>
        <v>0.27</v>
      </c>
      <c r="H2420" s="11">
        <f t="shared" si="371"/>
        <v>10.8</v>
      </c>
      <c r="I2420" s="11">
        <f t="shared" si="372"/>
        <v>0.27</v>
      </c>
      <c r="J2420" s="12">
        <f t="shared" si="373"/>
        <v>0</v>
      </c>
      <c r="K2420" s="17" t="str">
        <f t="shared" si="378"/>
        <v>Pas d'écart</v>
      </c>
      <c r="L2420" s="16">
        <f>base!X2420</f>
        <v>0</v>
      </c>
      <c r="M2420" s="11">
        <f t="shared" si="374"/>
        <v>0</v>
      </c>
      <c r="N2420" s="11">
        <f t="shared" si="375"/>
        <v>0</v>
      </c>
      <c r="O2420" s="11">
        <f t="shared" si="376"/>
        <v>0</v>
      </c>
      <c r="P2420" s="12">
        <f t="shared" si="377"/>
        <v>0</v>
      </c>
      <c r="Q2420" s="17" t="str">
        <f t="shared" si="379"/>
        <v>Pas d'écart</v>
      </c>
    </row>
    <row r="2421" spans="1:18" x14ac:dyDescent="0.3">
      <c r="A2421" s="34" t="str">
        <f>base!J2421</f>
        <v>LS</v>
      </c>
      <c r="B2421" s="34" t="str">
        <f>base!V2421</f>
        <v>79000</v>
      </c>
      <c r="C2421" s="37">
        <v>31</v>
      </c>
      <c r="D2421" s="36">
        <f>base!H2421</f>
        <v>131.97999999999999</v>
      </c>
      <c r="E2421" s="44"/>
      <c r="F2421" s="16">
        <f>base!W2421</f>
        <v>27.72</v>
      </c>
      <c r="G2421" s="11">
        <f t="shared" si="370"/>
        <v>0.21003182300348539</v>
      </c>
      <c r="H2421" s="11">
        <f t="shared" si="371"/>
        <v>25.0762</v>
      </c>
      <c r="I2421" s="11">
        <f t="shared" si="372"/>
        <v>0.19</v>
      </c>
      <c r="J2421" s="12">
        <f t="shared" si="373"/>
        <v>2.6437999999999988</v>
      </c>
      <c r="K2421" s="17" t="str">
        <f t="shared" si="378"/>
        <v>Ecart positif</v>
      </c>
      <c r="L2421" s="16">
        <f>base!X2421</f>
        <v>0</v>
      </c>
      <c r="M2421" s="11">
        <f t="shared" si="374"/>
        <v>0</v>
      </c>
      <c r="N2421" s="11">
        <f t="shared" si="375"/>
        <v>34.314799999999998</v>
      </c>
      <c r="O2421" s="11">
        <f t="shared" si="376"/>
        <v>0.26</v>
      </c>
      <c r="P2421" s="12">
        <f t="shared" si="377"/>
        <v>-34.314799999999998</v>
      </c>
      <c r="Q2421" s="17" t="str">
        <f t="shared" si="379"/>
        <v>Ecart négatif</v>
      </c>
    </row>
    <row r="2422" spans="1:18" x14ac:dyDescent="0.3">
      <c r="A2422" s="34" t="str">
        <f>base!J2422</f>
        <v>LS</v>
      </c>
      <c r="B2422" s="34" t="str">
        <f>base!V2422</f>
        <v>17300</v>
      </c>
      <c r="C2422" s="37">
        <v>31</v>
      </c>
      <c r="D2422" s="36">
        <f>base!H2422</f>
        <v>131.97999999999999</v>
      </c>
      <c r="E2422" s="44"/>
      <c r="F2422" s="16">
        <f>base!W2422</f>
        <v>27.72</v>
      </c>
      <c r="G2422" s="11">
        <f t="shared" si="370"/>
        <v>0.21003182300348539</v>
      </c>
      <c r="H2422" s="11">
        <f t="shared" si="371"/>
        <v>25.0762</v>
      </c>
      <c r="I2422" s="11">
        <f t="shared" si="372"/>
        <v>0.19</v>
      </c>
      <c r="J2422" s="12">
        <f t="shared" si="373"/>
        <v>2.6437999999999988</v>
      </c>
      <c r="K2422" s="17" t="str">
        <f t="shared" si="378"/>
        <v>Ecart positif</v>
      </c>
      <c r="L2422" s="16">
        <f>base!X2422</f>
        <v>0</v>
      </c>
      <c r="M2422" s="11">
        <f t="shared" si="374"/>
        <v>0</v>
      </c>
      <c r="N2422" s="11">
        <f t="shared" si="375"/>
        <v>34.314799999999998</v>
      </c>
      <c r="O2422" s="11">
        <f t="shared" si="376"/>
        <v>0.26</v>
      </c>
      <c r="P2422" s="12">
        <f t="shared" si="377"/>
        <v>-34.314799999999998</v>
      </c>
      <c r="Q2422" s="17" t="str">
        <f t="shared" si="379"/>
        <v>Ecart négatif</v>
      </c>
    </row>
    <row r="2423" spans="1:18" x14ac:dyDescent="0.3">
      <c r="A2423" s="34" t="str">
        <f>base!J2423</f>
        <v>LS</v>
      </c>
      <c r="B2423" s="34" t="str">
        <f>base!V2423</f>
        <v>17700</v>
      </c>
      <c r="C2423" s="37">
        <v>31</v>
      </c>
      <c r="D2423" s="36">
        <f>base!H2423</f>
        <v>131.97999999999999</v>
      </c>
      <c r="E2423" s="44"/>
      <c r="F2423" s="16">
        <f>base!W2423</f>
        <v>27.72</v>
      </c>
      <c r="G2423" s="11">
        <f t="shared" si="370"/>
        <v>0.21003182300348539</v>
      </c>
      <c r="H2423" s="11">
        <f t="shared" si="371"/>
        <v>25.0762</v>
      </c>
      <c r="I2423" s="11">
        <f t="shared" si="372"/>
        <v>0.19</v>
      </c>
      <c r="J2423" s="12">
        <f t="shared" si="373"/>
        <v>2.6437999999999988</v>
      </c>
      <c r="K2423" s="17" t="str">
        <f t="shared" si="378"/>
        <v>Ecart positif</v>
      </c>
      <c r="L2423" s="16">
        <f>base!X2423</f>
        <v>0</v>
      </c>
      <c r="M2423" s="11">
        <f t="shared" si="374"/>
        <v>0</v>
      </c>
      <c r="N2423" s="11">
        <f t="shared" si="375"/>
        <v>34.314799999999998</v>
      </c>
      <c r="O2423" s="11">
        <f t="shared" si="376"/>
        <v>0.26</v>
      </c>
      <c r="P2423" s="12">
        <f t="shared" si="377"/>
        <v>-34.314799999999998</v>
      </c>
      <c r="Q2423" s="17" t="str">
        <f t="shared" si="379"/>
        <v>Ecart négatif</v>
      </c>
    </row>
    <row r="2424" spans="1:18" x14ac:dyDescent="0.3">
      <c r="A2424" s="34" t="str">
        <f>base!J2424</f>
        <v>LS</v>
      </c>
      <c r="B2424" s="34" t="str">
        <f>base!V2424</f>
        <v>54300</v>
      </c>
      <c r="C2424" s="37">
        <v>47</v>
      </c>
      <c r="D2424" s="36">
        <f>base!H2424</f>
        <v>43.44</v>
      </c>
      <c r="E2424" s="44"/>
      <c r="F2424" s="16">
        <f>base!W2424</f>
        <v>10.86</v>
      </c>
      <c r="G2424" s="11">
        <f t="shared" si="370"/>
        <v>0.25</v>
      </c>
      <c r="H2424" s="11">
        <f t="shared" si="371"/>
        <v>9.122399999999999</v>
      </c>
      <c r="I2424" s="11">
        <f t="shared" si="372"/>
        <v>0.21</v>
      </c>
      <c r="J2424" s="12">
        <f t="shared" si="373"/>
        <v>1.7376000000000005</v>
      </c>
      <c r="K2424" s="17" t="str">
        <f t="shared" si="378"/>
        <v>Ecart positif</v>
      </c>
      <c r="L2424" s="16">
        <f>base!X2424</f>
        <v>0</v>
      </c>
      <c r="M2424" s="11">
        <f t="shared" si="374"/>
        <v>0</v>
      </c>
      <c r="N2424" s="11">
        <f t="shared" si="375"/>
        <v>7.3848000000000003</v>
      </c>
      <c r="O2424" s="11">
        <f t="shared" si="376"/>
        <v>0.17</v>
      </c>
      <c r="P2424" s="12">
        <f t="shared" si="377"/>
        <v>-7.3848000000000003</v>
      </c>
      <c r="Q2424" s="17" t="str">
        <f t="shared" si="379"/>
        <v>Ecart négatif</v>
      </c>
    </row>
    <row r="2425" spans="1:18" x14ac:dyDescent="0.3">
      <c r="A2425" s="34" t="str">
        <f>base!J2425</f>
        <v>RS</v>
      </c>
      <c r="B2425" s="34" t="str">
        <f>base!V2425</f>
        <v>60100</v>
      </c>
      <c r="C2425" s="37">
        <v>60</v>
      </c>
      <c r="D2425" s="36">
        <f>base!H2425</f>
        <v>150</v>
      </c>
      <c r="E2425" s="44"/>
      <c r="F2425" s="16">
        <f>base!W2425</f>
        <v>0</v>
      </c>
      <c r="G2425" s="11">
        <f t="shared" si="370"/>
        <v>0</v>
      </c>
      <c r="H2425" s="11">
        <f t="shared" si="371"/>
        <v>28.5</v>
      </c>
      <c r="I2425" s="11">
        <f t="shared" si="372"/>
        <v>0.19</v>
      </c>
      <c r="J2425" s="12">
        <f t="shared" si="373"/>
        <v>-28.5</v>
      </c>
      <c r="K2425" s="17" t="str">
        <f t="shared" si="378"/>
        <v>Ecart négatif</v>
      </c>
      <c r="L2425" s="16">
        <f>base!X2425</f>
        <v>0</v>
      </c>
      <c r="M2425" s="11">
        <f t="shared" si="374"/>
        <v>0</v>
      </c>
      <c r="N2425" s="11">
        <f t="shared" si="375"/>
        <v>0</v>
      </c>
      <c r="O2425" s="11">
        <f t="shared" si="376"/>
        <v>0</v>
      </c>
      <c r="P2425" s="12">
        <f t="shared" si="377"/>
        <v>0</v>
      </c>
      <c r="Q2425" s="17" t="str">
        <f t="shared" si="379"/>
        <v>Pas d'écart</v>
      </c>
    </row>
    <row r="2426" spans="1:18" x14ac:dyDescent="0.3">
      <c r="A2426" s="34" t="str">
        <f>base!J2426</f>
        <v>RM</v>
      </c>
      <c r="B2426" s="34" t="str">
        <f>base!V2426</f>
        <v>69100</v>
      </c>
      <c r="C2426" s="37">
        <v>69</v>
      </c>
      <c r="D2426" s="36">
        <f>base!H2426</f>
        <v>90.99</v>
      </c>
      <c r="E2426" s="44"/>
      <c r="F2426" s="16">
        <f>base!W2426</f>
        <v>0</v>
      </c>
      <c r="G2426" s="11">
        <f t="shared" si="370"/>
        <v>0</v>
      </c>
      <c r="H2426" s="11">
        <f t="shared" si="371"/>
        <v>24.567299999999999</v>
      </c>
      <c r="I2426" s="11">
        <f t="shared" si="372"/>
        <v>0.27</v>
      </c>
      <c r="J2426" s="12">
        <f t="shared" si="373"/>
        <v>-24.567299999999999</v>
      </c>
      <c r="K2426" s="17" t="str">
        <f t="shared" si="378"/>
        <v>Ecart négatif</v>
      </c>
      <c r="L2426" s="16">
        <f>base!X2426</f>
        <v>0</v>
      </c>
      <c r="M2426" s="11">
        <f t="shared" si="374"/>
        <v>0</v>
      </c>
      <c r="N2426" s="11">
        <f t="shared" si="375"/>
        <v>0</v>
      </c>
      <c r="O2426" s="11">
        <f t="shared" si="376"/>
        <v>0</v>
      </c>
      <c r="P2426" s="12">
        <f t="shared" si="377"/>
        <v>0</v>
      </c>
      <c r="Q2426" s="17" t="str">
        <f t="shared" si="379"/>
        <v>Pas d'écart</v>
      </c>
    </row>
    <row r="2427" spans="1:18" x14ac:dyDescent="0.3">
      <c r="A2427" s="34" t="str">
        <f>base!J2427</f>
        <v>RS</v>
      </c>
      <c r="B2427" s="34" t="str">
        <f>base!V2427</f>
        <v>14000</v>
      </c>
      <c r="C2427" s="37">
        <v>14</v>
      </c>
      <c r="D2427" s="36">
        <f>base!H2427</f>
        <v>40</v>
      </c>
      <c r="E2427" s="44"/>
      <c r="F2427" s="16">
        <f>base!W2427</f>
        <v>0</v>
      </c>
      <c r="G2427" s="11">
        <f t="shared" si="370"/>
        <v>0</v>
      </c>
      <c r="H2427" s="11">
        <f t="shared" si="371"/>
        <v>6.8000000000000007</v>
      </c>
      <c r="I2427" s="11">
        <f t="shared" si="372"/>
        <v>0.17</v>
      </c>
      <c r="J2427" s="12">
        <f t="shared" si="373"/>
        <v>-6.8000000000000007</v>
      </c>
      <c r="K2427" s="17" t="str">
        <f t="shared" si="378"/>
        <v>Ecart négatif</v>
      </c>
      <c r="L2427" s="16">
        <f>base!X2427</f>
        <v>0</v>
      </c>
      <c r="M2427" s="11">
        <f t="shared" si="374"/>
        <v>0</v>
      </c>
      <c r="N2427" s="11">
        <f t="shared" si="375"/>
        <v>6.8000000000000007</v>
      </c>
      <c r="O2427" s="11">
        <f t="shared" si="376"/>
        <v>0.17</v>
      </c>
      <c r="P2427" s="12">
        <f t="shared" si="377"/>
        <v>-6.8000000000000007</v>
      </c>
      <c r="Q2427" s="17" t="str">
        <f t="shared" si="379"/>
        <v>Ecart négatif</v>
      </c>
    </row>
    <row r="2428" spans="1:18" x14ac:dyDescent="0.3">
      <c r="A2428" s="34" t="str">
        <f>base!J2428</f>
        <v>RM</v>
      </c>
      <c r="B2428" s="34" t="str">
        <f>base!V2428</f>
        <v>38340</v>
      </c>
      <c r="C2428" s="37">
        <v>38</v>
      </c>
      <c r="D2428" s="36">
        <f>base!H2428</f>
        <v>205</v>
      </c>
      <c r="E2428" s="44"/>
      <c r="F2428" s="16">
        <f>base!W2428</f>
        <v>0</v>
      </c>
      <c r="G2428" s="11">
        <f t="shared" si="370"/>
        <v>0</v>
      </c>
      <c r="H2428" s="11">
        <f t="shared" si="371"/>
        <v>55.35</v>
      </c>
      <c r="I2428" s="11">
        <f t="shared" si="372"/>
        <v>0.27</v>
      </c>
      <c r="J2428" s="12">
        <f t="shared" si="373"/>
        <v>-55.35</v>
      </c>
      <c r="K2428" s="17" t="str">
        <f t="shared" si="378"/>
        <v>Ecart négatif</v>
      </c>
      <c r="L2428" s="16">
        <f>base!X2428</f>
        <v>0</v>
      </c>
      <c r="M2428" s="11">
        <f t="shared" si="374"/>
        <v>0</v>
      </c>
      <c r="N2428" s="11">
        <f t="shared" si="375"/>
        <v>0</v>
      </c>
      <c r="O2428" s="11">
        <f t="shared" si="376"/>
        <v>0</v>
      </c>
      <c r="P2428" s="12">
        <f t="shared" si="377"/>
        <v>0</v>
      </c>
      <c r="Q2428" s="17" t="str">
        <f t="shared" si="379"/>
        <v>Pas d'écart</v>
      </c>
    </row>
    <row r="2429" spans="1:18" x14ac:dyDescent="0.3">
      <c r="A2429" s="34" t="str">
        <f>base!J2429</f>
        <v>RS</v>
      </c>
      <c r="B2429" s="34" t="str">
        <f>base!V2429</f>
        <v>01630</v>
      </c>
      <c r="C2429" s="37">
        <v>1</v>
      </c>
      <c r="D2429" s="36">
        <f>base!H2429</f>
        <v>174.92</v>
      </c>
      <c r="E2429" s="44"/>
      <c r="F2429" s="16">
        <f>base!W2429</f>
        <v>0</v>
      </c>
      <c r="G2429" s="11">
        <f t="shared" si="370"/>
        <v>0</v>
      </c>
      <c r="H2429" s="11">
        <f t="shared" si="371"/>
        <v>45.479199999999999</v>
      </c>
      <c r="I2429" s="11">
        <f t="shared" si="372"/>
        <v>0.26</v>
      </c>
      <c r="J2429" s="12">
        <f t="shared" si="373"/>
        <v>-45.479199999999999</v>
      </c>
      <c r="K2429" s="17" t="str">
        <f t="shared" si="378"/>
        <v>Ecart négatif</v>
      </c>
      <c r="L2429" s="16">
        <f>base!X2429</f>
        <v>0</v>
      </c>
      <c r="M2429" s="11">
        <f t="shared" si="374"/>
        <v>0</v>
      </c>
      <c r="N2429" s="11">
        <f t="shared" si="375"/>
        <v>0</v>
      </c>
      <c r="O2429" s="11">
        <f t="shared" si="376"/>
        <v>0</v>
      </c>
      <c r="P2429" s="12">
        <f t="shared" si="377"/>
        <v>0</v>
      </c>
      <c r="Q2429" s="17" t="str">
        <f t="shared" si="379"/>
        <v>Pas d'écart</v>
      </c>
    </row>
    <row r="2430" spans="1:18" x14ac:dyDescent="0.3">
      <c r="A2430" s="34" t="str">
        <f>base!J2430</f>
        <v>RS</v>
      </c>
      <c r="B2430" s="34" t="str">
        <f>base!V2430</f>
        <v>42000</v>
      </c>
      <c r="C2430" s="37">
        <v>42</v>
      </c>
      <c r="D2430" s="36">
        <f>base!H2430</f>
        <v>180</v>
      </c>
      <c r="E2430" s="44"/>
      <c r="F2430" s="16">
        <f>base!W2430</f>
        <v>0</v>
      </c>
      <c r="G2430" s="11">
        <f t="shared" si="370"/>
        <v>0</v>
      </c>
      <c r="H2430" s="11">
        <f t="shared" si="371"/>
        <v>46.800000000000004</v>
      </c>
      <c r="I2430" s="11">
        <f t="shared" si="372"/>
        <v>0.26</v>
      </c>
      <c r="J2430" s="12">
        <f t="shared" si="373"/>
        <v>-46.800000000000004</v>
      </c>
      <c r="K2430" s="17" t="str">
        <f t="shared" si="378"/>
        <v>Ecart négatif</v>
      </c>
      <c r="L2430" s="16">
        <f>base!X2430</f>
        <v>0</v>
      </c>
      <c r="M2430" s="11">
        <f t="shared" si="374"/>
        <v>0</v>
      </c>
      <c r="N2430" s="11">
        <f t="shared" si="375"/>
        <v>0</v>
      </c>
      <c r="O2430" s="11">
        <f t="shared" si="376"/>
        <v>0</v>
      </c>
      <c r="P2430" s="12">
        <f t="shared" si="377"/>
        <v>0</v>
      </c>
      <c r="Q2430" s="17" t="str">
        <f t="shared" si="379"/>
        <v>Pas d'écart</v>
      </c>
    </row>
    <row r="2431" spans="1:18" x14ac:dyDescent="0.3">
      <c r="A2431" s="34" t="str">
        <f>base!J2431</f>
        <v>RM</v>
      </c>
      <c r="B2431" s="34" t="str">
        <f>base!V2431</f>
        <v>69007</v>
      </c>
      <c r="C2431" s="37">
        <v>69</v>
      </c>
      <c r="D2431" s="36">
        <f>base!H2431</f>
        <v>155</v>
      </c>
      <c r="E2431" s="44"/>
      <c r="F2431" s="16">
        <f>base!W2431</f>
        <v>0</v>
      </c>
      <c r="G2431" s="11">
        <f t="shared" si="370"/>
        <v>0</v>
      </c>
      <c r="H2431" s="11">
        <f t="shared" si="371"/>
        <v>41.85</v>
      </c>
      <c r="I2431" s="11">
        <f t="shared" si="372"/>
        <v>0.27</v>
      </c>
      <c r="J2431" s="12">
        <f t="shared" si="373"/>
        <v>-41.85</v>
      </c>
      <c r="K2431" s="17" t="str">
        <f t="shared" si="378"/>
        <v>Ecart négatif</v>
      </c>
      <c r="L2431" s="16">
        <f>base!X2431</f>
        <v>0</v>
      </c>
      <c r="M2431" s="11">
        <f t="shared" si="374"/>
        <v>0</v>
      </c>
      <c r="N2431" s="11">
        <f t="shared" si="375"/>
        <v>0</v>
      </c>
      <c r="O2431" s="11">
        <f t="shared" si="376"/>
        <v>0</v>
      </c>
      <c r="P2431" s="12">
        <f t="shared" si="377"/>
        <v>0</v>
      </c>
      <c r="Q2431" s="17" t="str">
        <f t="shared" si="379"/>
        <v>Pas d'écart</v>
      </c>
    </row>
    <row r="2432" spans="1:18" x14ac:dyDescent="0.3">
      <c r="A2432" s="34" t="str">
        <f>base!J2432</f>
        <v>RS</v>
      </c>
      <c r="B2432" s="34" t="str">
        <f>base!V2432</f>
        <v>13001</v>
      </c>
      <c r="C2432" s="37">
        <v>13</v>
      </c>
      <c r="D2432" s="36">
        <f>base!H2432</f>
        <v>180</v>
      </c>
      <c r="E2432" s="44"/>
      <c r="F2432" s="16">
        <f>base!W2432</f>
        <v>0</v>
      </c>
      <c r="G2432" s="11">
        <f t="shared" si="370"/>
        <v>0</v>
      </c>
      <c r="H2432" s="11">
        <f t="shared" si="371"/>
        <v>52.199999999999996</v>
      </c>
      <c r="I2432" s="11">
        <f t="shared" si="372"/>
        <v>0.28999999999999998</v>
      </c>
      <c r="J2432" s="12">
        <f t="shared" si="373"/>
        <v>-52.199999999999996</v>
      </c>
      <c r="K2432" s="17" t="str">
        <f t="shared" si="378"/>
        <v>Ecart négatif</v>
      </c>
      <c r="L2432" s="16">
        <f>base!X2432</f>
        <v>0</v>
      </c>
      <c r="M2432" s="11">
        <f t="shared" si="374"/>
        <v>0</v>
      </c>
      <c r="N2432" s="11">
        <f t="shared" si="375"/>
        <v>34.200000000000003</v>
      </c>
      <c r="O2432" s="11">
        <f t="shared" si="376"/>
        <v>0.19</v>
      </c>
      <c r="P2432" s="12">
        <f t="shared" si="377"/>
        <v>-34.200000000000003</v>
      </c>
      <c r="Q2432" s="17" t="str">
        <f t="shared" si="379"/>
        <v>Ecart négatif</v>
      </c>
    </row>
    <row r="2433" spans="1:18" x14ac:dyDescent="0.3">
      <c r="A2433" s="34" t="str">
        <f>base!J2433</f>
        <v>RM</v>
      </c>
      <c r="B2433" s="34" t="str">
        <f>base!V2433</f>
        <v>58000</v>
      </c>
      <c r="C2433" s="37">
        <v>58</v>
      </c>
      <c r="D2433" s="36">
        <f>base!H2433</f>
        <v>70</v>
      </c>
      <c r="E2433" s="44"/>
      <c r="F2433" s="16">
        <f>base!W2433</f>
        <v>0</v>
      </c>
      <c r="G2433" s="11">
        <f t="shared" si="370"/>
        <v>0</v>
      </c>
      <c r="H2433" s="11">
        <f t="shared" si="371"/>
        <v>16.100000000000001</v>
      </c>
      <c r="I2433" s="11">
        <f t="shared" si="372"/>
        <v>0.23</v>
      </c>
      <c r="J2433" s="12">
        <f t="shared" si="373"/>
        <v>-16.100000000000001</v>
      </c>
      <c r="K2433" s="17" t="str">
        <f t="shared" si="378"/>
        <v>Ecart négatif</v>
      </c>
      <c r="L2433" s="16">
        <f>base!X2433</f>
        <v>8.4</v>
      </c>
      <c r="M2433" s="11">
        <f t="shared" si="374"/>
        <v>0.12000000000000001</v>
      </c>
      <c r="N2433" s="11">
        <f t="shared" si="375"/>
        <v>8.4</v>
      </c>
      <c r="O2433" s="11">
        <f t="shared" si="376"/>
        <v>0.12000000000000001</v>
      </c>
      <c r="P2433" s="12">
        <f t="shared" si="377"/>
        <v>0</v>
      </c>
      <c r="Q2433" s="17" t="str">
        <f t="shared" si="379"/>
        <v>Pas d'écart</v>
      </c>
      <c r="R2433" s="38"/>
    </row>
    <row r="2434" spans="1:18" x14ac:dyDescent="0.3">
      <c r="A2434" s="34" t="str">
        <f>base!J2434</f>
        <v>RM</v>
      </c>
      <c r="B2434" s="34" t="str">
        <f>base!V2434</f>
        <v>69120</v>
      </c>
      <c r="C2434" s="37">
        <v>69</v>
      </c>
      <c r="D2434" s="36">
        <f>base!H2434</f>
        <v>40</v>
      </c>
      <c r="E2434" s="44"/>
      <c r="F2434" s="16">
        <f>base!W2434</f>
        <v>0</v>
      </c>
      <c r="G2434" s="11">
        <f t="shared" ref="G2434:G2497" si="380">F2434/D2434</f>
        <v>0</v>
      </c>
      <c r="H2434" s="11">
        <f t="shared" ref="H2434:H2497" si="381">VLOOKUP(C2434,tout_cout_traction,2,FALSE)*D2434</f>
        <v>10.8</v>
      </c>
      <c r="I2434" s="11">
        <f t="shared" ref="I2434:I2497" si="382">H2434/D2434</f>
        <v>0.27</v>
      </c>
      <c r="J2434" s="12">
        <f t="shared" ref="J2434:J2497" si="383">F2434-H2434</f>
        <v>-10.8</v>
      </c>
      <c r="K2434" s="17" t="str">
        <f t="shared" si="378"/>
        <v>Ecart négatif</v>
      </c>
      <c r="L2434" s="16">
        <f>base!X2434</f>
        <v>0</v>
      </c>
      <c r="M2434" s="11">
        <f t="shared" ref="M2434:M2497" si="384">L2434/D2434</f>
        <v>0</v>
      </c>
      <c r="N2434" s="11">
        <f t="shared" ref="N2434:N2497" si="385">VLOOKUP(C2434,tout_cout_traction,3,FALSE)*D2434</f>
        <v>0</v>
      </c>
      <c r="O2434" s="11">
        <f t="shared" ref="O2434:O2497" si="386">N2434/D2434</f>
        <v>0</v>
      </c>
      <c r="P2434" s="12">
        <f t="shared" ref="P2434:P2497" si="387">L2434-N2434</f>
        <v>0</v>
      </c>
      <c r="Q2434" s="17" t="str">
        <f t="shared" si="379"/>
        <v>Pas d'écart</v>
      </c>
    </row>
    <row r="2435" spans="1:18" x14ac:dyDescent="0.3">
      <c r="A2435" s="34" t="str">
        <f>base!J2435</f>
        <v>RS</v>
      </c>
      <c r="B2435" s="34" t="str">
        <f>base!V2435</f>
        <v>63550</v>
      </c>
      <c r="C2435" s="37">
        <v>63</v>
      </c>
      <c r="D2435" s="36">
        <f>base!H2435</f>
        <v>25</v>
      </c>
      <c r="E2435" s="44"/>
      <c r="F2435" s="16">
        <f>base!W2435</f>
        <v>0</v>
      </c>
      <c r="G2435" s="11">
        <f t="shared" si="380"/>
        <v>0</v>
      </c>
      <c r="H2435" s="11">
        <f t="shared" si="381"/>
        <v>7.2499999999999991</v>
      </c>
      <c r="I2435" s="11">
        <f t="shared" si="382"/>
        <v>0.28999999999999998</v>
      </c>
      <c r="J2435" s="12">
        <f t="shared" si="383"/>
        <v>-7.2499999999999991</v>
      </c>
      <c r="K2435" s="17" t="str">
        <f t="shared" ref="K2435:K2498" si="388">IF(H2435=F2435,"Pas d'écart",IF(H2435&lt;F2435,"Ecart positif",IF(H2435&gt;F2435,"Ecart négatif")))</f>
        <v>Ecart négatif</v>
      </c>
      <c r="L2435" s="16">
        <f>base!X2435</f>
        <v>0</v>
      </c>
      <c r="M2435" s="11">
        <f t="shared" si="384"/>
        <v>0</v>
      </c>
      <c r="N2435" s="11">
        <f t="shared" si="385"/>
        <v>3</v>
      </c>
      <c r="O2435" s="11">
        <f t="shared" si="386"/>
        <v>0.12</v>
      </c>
      <c r="P2435" s="12">
        <f t="shared" si="387"/>
        <v>-3</v>
      </c>
      <c r="Q2435" s="17" t="str">
        <f t="shared" ref="Q2435:Q2498" si="389">IF(N2435=L2435,"Pas d'écart",IF(N2435&lt;L2435,"Ecart positif",IF(N2435&gt;L2435,"Ecart négatif")))</f>
        <v>Ecart négatif</v>
      </c>
    </row>
    <row r="2436" spans="1:18" x14ac:dyDescent="0.3">
      <c r="A2436" s="34" t="str">
        <f>base!J2436</f>
        <v>RS</v>
      </c>
      <c r="B2436" s="34" t="str">
        <f>base!V2436</f>
        <v>13180</v>
      </c>
      <c r="C2436" s="37">
        <v>13</v>
      </c>
      <c r="D2436" s="36">
        <f>base!H2436</f>
        <v>38.6</v>
      </c>
      <c r="E2436" s="44"/>
      <c r="F2436" s="16">
        <f>base!W2436</f>
        <v>0</v>
      </c>
      <c r="G2436" s="11">
        <f t="shared" si="380"/>
        <v>0</v>
      </c>
      <c r="H2436" s="11">
        <f t="shared" si="381"/>
        <v>11.193999999999999</v>
      </c>
      <c r="I2436" s="11">
        <f t="shared" si="382"/>
        <v>0.28999999999999998</v>
      </c>
      <c r="J2436" s="12">
        <f t="shared" si="383"/>
        <v>-11.193999999999999</v>
      </c>
      <c r="K2436" s="17" t="str">
        <f t="shared" si="388"/>
        <v>Ecart négatif</v>
      </c>
      <c r="L2436" s="16">
        <f>base!X2436</f>
        <v>10.42</v>
      </c>
      <c r="M2436" s="11">
        <f t="shared" si="384"/>
        <v>0.26994818652849739</v>
      </c>
      <c r="N2436" s="11">
        <f t="shared" si="385"/>
        <v>7.3340000000000005</v>
      </c>
      <c r="O2436" s="11">
        <f t="shared" si="386"/>
        <v>0.19</v>
      </c>
      <c r="P2436" s="12">
        <f t="shared" si="387"/>
        <v>3.0859999999999994</v>
      </c>
      <c r="Q2436" s="17" t="str">
        <f t="shared" si="389"/>
        <v>Ecart positif</v>
      </c>
      <c r="R2436" s="38"/>
    </row>
    <row r="2437" spans="1:18" x14ac:dyDescent="0.3">
      <c r="A2437" s="34" t="str">
        <f>base!J2437</f>
        <v>RM</v>
      </c>
      <c r="B2437" s="34" t="str">
        <f>base!V2437</f>
        <v>34220</v>
      </c>
      <c r="C2437" s="37">
        <v>34</v>
      </c>
      <c r="D2437" s="36">
        <f>base!H2437</f>
        <v>220</v>
      </c>
      <c r="E2437" s="44"/>
      <c r="F2437" s="16">
        <f>base!W2437</f>
        <v>0</v>
      </c>
      <c r="G2437" s="11">
        <f t="shared" si="380"/>
        <v>0</v>
      </c>
      <c r="H2437" s="11">
        <f t="shared" si="381"/>
        <v>85.8</v>
      </c>
      <c r="I2437" s="11">
        <f t="shared" si="382"/>
        <v>0.39</v>
      </c>
      <c r="J2437" s="12">
        <f t="shared" si="383"/>
        <v>-85.8</v>
      </c>
      <c r="K2437" s="17" t="str">
        <f t="shared" si="388"/>
        <v>Ecart négatif</v>
      </c>
      <c r="L2437" s="16">
        <f>base!X2437</f>
        <v>0</v>
      </c>
      <c r="M2437" s="11">
        <f t="shared" si="384"/>
        <v>0</v>
      </c>
      <c r="N2437" s="11">
        <f t="shared" si="385"/>
        <v>61.600000000000009</v>
      </c>
      <c r="O2437" s="11">
        <f t="shared" si="386"/>
        <v>0.28000000000000003</v>
      </c>
      <c r="P2437" s="12">
        <f t="shared" si="387"/>
        <v>-61.600000000000009</v>
      </c>
      <c r="Q2437" s="17" t="str">
        <f t="shared" si="389"/>
        <v>Ecart négatif</v>
      </c>
    </row>
    <row r="2438" spans="1:18" x14ac:dyDescent="0.3">
      <c r="A2438" s="34" t="str">
        <f>base!J2438</f>
        <v>RS</v>
      </c>
      <c r="B2438" s="34" t="str">
        <f>base!V2438</f>
        <v>66100</v>
      </c>
      <c r="C2438" s="37">
        <v>66</v>
      </c>
      <c r="D2438" s="36">
        <f>base!H2438</f>
        <v>22.8</v>
      </c>
      <c r="E2438" s="44"/>
      <c r="F2438" s="16">
        <f>base!W2438</f>
        <v>0</v>
      </c>
      <c r="G2438" s="11">
        <f t="shared" si="380"/>
        <v>0</v>
      </c>
      <c r="H2438" s="11">
        <f t="shared" si="381"/>
        <v>7.7520000000000007</v>
      </c>
      <c r="I2438" s="11">
        <f t="shared" si="382"/>
        <v>0.34</v>
      </c>
      <c r="J2438" s="12">
        <f t="shared" si="383"/>
        <v>-7.7520000000000007</v>
      </c>
      <c r="K2438" s="17" t="str">
        <f t="shared" si="388"/>
        <v>Ecart négatif</v>
      </c>
      <c r="L2438" s="16">
        <f>base!X2438</f>
        <v>0</v>
      </c>
      <c r="M2438" s="11">
        <f t="shared" si="384"/>
        <v>0</v>
      </c>
      <c r="N2438" s="11">
        <f t="shared" si="385"/>
        <v>6.3840000000000012</v>
      </c>
      <c r="O2438" s="11">
        <f t="shared" si="386"/>
        <v>0.28000000000000003</v>
      </c>
      <c r="P2438" s="12">
        <f t="shared" si="387"/>
        <v>-6.3840000000000012</v>
      </c>
      <c r="Q2438" s="17" t="str">
        <f t="shared" si="389"/>
        <v>Ecart négatif</v>
      </c>
    </row>
    <row r="2439" spans="1:18" x14ac:dyDescent="0.3">
      <c r="A2439" s="34" t="str">
        <f>base!J2439</f>
        <v>RM</v>
      </c>
      <c r="B2439" s="34" t="str">
        <f>base!V2439</f>
        <v>70000</v>
      </c>
      <c r="C2439" s="37">
        <v>70</v>
      </c>
      <c r="D2439" s="36">
        <f>base!H2439</f>
        <v>76</v>
      </c>
      <c r="E2439" s="44"/>
      <c r="F2439" s="16">
        <f>base!W2439</f>
        <v>0</v>
      </c>
      <c r="G2439" s="11">
        <f t="shared" si="380"/>
        <v>0</v>
      </c>
      <c r="H2439" s="11">
        <f t="shared" si="381"/>
        <v>18.239999999999998</v>
      </c>
      <c r="I2439" s="11">
        <f t="shared" si="382"/>
        <v>0.24</v>
      </c>
      <c r="J2439" s="12">
        <f t="shared" si="383"/>
        <v>-18.239999999999998</v>
      </c>
      <c r="K2439" s="17" t="str">
        <f t="shared" si="388"/>
        <v>Ecart négatif</v>
      </c>
      <c r="L2439" s="16">
        <f>base!X2439</f>
        <v>0</v>
      </c>
      <c r="M2439" s="11">
        <f t="shared" si="384"/>
        <v>0</v>
      </c>
      <c r="N2439" s="11">
        <f t="shared" si="385"/>
        <v>9.1199999999999992</v>
      </c>
      <c r="O2439" s="11">
        <f t="shared" si="386"/>
        <v>0.12</v>
      </c>
      <c r="P2439" s="12">
        <f t="shared" si="387"/>
        <v>-9.1199999999999992</v>
      </c>
      <c r="Q2439" s="17" t="str">
        <f t="shared" si="389"/>
        <v>Ecart négatif</v>
      </c>
    </row>
    <row r="2440" spans="1:18" x14ac:dyDescent="0.3">
      <c r="A2440" s="34" t="str">
        <f>base!J2440</f>
        <v>LS</v>
      </c>
      <c r="B2440" s="34" t="str">
        <f>base!V2440</f>
        <v>92000</v>
      </c>
      <c r="C2440" s="37">
        <v>92</v>
      </c>
      <c r="D2440" s="36">
        <f>base!H2440</f>
        <v>50.84</v>
      </c>
      <c r="E2440" s="44"/>
      <c r="F2440" s="16">
        <f>base!W2440</f>
        <v>0</v>
      </c>
      <c r="G2440" s="11">
        <f t="shared" si="380"/>
        <v>0</v>
      </c>
      <c r="H2440" s="11">
        <f t="shared" si="381"/>
        <v>0</v>
      </c>
      <c r="I2440" s="11">
        <f t="shared" si="382"/>
        <v>0</v>
      </c>
      <c r="J2440" s="12">
        <f t="shared" si="383"/>
        <v>0</v>
      </c>
      <c r="K2440" s="17" t="str">
        <f t="shared" si="388"/>
        <v>Pas d'écart</v>
      </c>
      <c r="L2440" s="16">
        <f>base!X2440</f>
        <v>0</v>
      </c>
      <c r="M2440" s="11">
        <f t="shared" si="384"/>
        <v>0</v>
      </c>
      <c r="N2440" s="11">
        <f t="shared" si="385"/>
        <v>0</v>
      </c>
      <c r="O2440" s="11">
        <f t="shared" si="386"/>
        <v>0</v>
      </c>
      <c r="P2440" s="12">
        <f t="shared" si="387"/>
        <v>0</v>
      </c>
      <c r="Q2440" s="17" t="str">
        <f t="shared" si="389"/>
        <v>Pas d'écart</v>
      </c>
    </row>
    <row r="2441" spans="1:18" x14ac:dyDescent="0.3">
      <c r="A2441" s="34" t="str">
        <f>base!J2441</f>
        <v>DLM</v>
      </c>
      <c r="B2441" s="34" t="str">
        <f>base!V2441</f>
        <v>57000</v>
      </c>
      <c r="C2441" s="37">
        <v>57</v>
      </c>
      <c r="D2441" s="36">
        <f>base!H2441</f>
        <v>52.5</v>
      </c>
      <c r="E2441" s="44"/>
      <c r="F2441" s="16">
        <f>base!W2441</f>
        <v>0</v>
      </c>
      <c r="G2441" s="11">
        <f t="shared" si="380"/>
        <v>0</v>
      </c>
      <c r="H2441" s="11">
        <f t="shared" si="381"/>
        <v>12.6</v>
      </c>
      <c r="I2441" s="11">
        <f t="shared" si="382"/>
        <v>0.24</v>
      </c>
      <c r="J2441" s="12">
        <f t="shared" si="383"/>
        <v>-12.6</v>
      </c>
      <c r="K2441" s="17" t="str">
        <f t="shared" si="388"/>
        <v>Ecart négatif</v>
      </c>
      <c r="L2441" s="16">
        <f>base!X2441</f>
        <v>0</v>
      </c>
      <c r="M2441" s="11">
        <f t="shared" si="384"/>
        <v>0</v>
      </c>
      <c r="N2441" s="11">
        <f t="shared" si="385"/>
        <v>13.125</v>
      </c>
      <c r="O2441" s="11">
        <f t="shared" si="386"/>
        <v>0.25</v>
      </c>
      <c r="P2441" s="12">
        <f t="shared" si="387"/>
        <v>-13.125</v>
      </c>
      <c r="Q2441" s="17" t="str">
        <f t="shared" si="389"/>
        <v>Ecart négatif</v>
      </c>
    </row>
    <row r="2442" spans="1:18" x14ac:dyDescent="0.3">
      <c r="A2442" s="34" t="str">
        <f>base!J2442</f>
        <v>DLM</v>
      </c>
      <c r="B2442" s="34" t="str">
        <f>base!V2442</f>
        <v>83200</v>
      </c>
      <c r="C2442" s="37">
        <v>83</v>
      </c>
      <c r="D2442" s="36">
        <f>base!H2442</f>
        <v>52.5</v>
      </c>
      <c r="E2442" s="44"/>
      <c r="F2442" s="16">
        <f>base!W2442</f>
        <v>0</v>
      </c>
      <c r="G2442" s="11">
        <f t="shared" si="380"/>
        <v>0</v>
      </c>
      <c r="H2442" s="11">
        <f t="shared" si="381"/>
        <v>15.75</v>
      </c>
      <c r="I2442" s="11">
        <f t="shared" si="382"/>
        <v>0.3</v>
      </c>
      <c r="J2442" s="12">
        <f t="shared" si="383"/>
        <v>-15.75</v>
      </c>
      <c r="K2442" s="17" t="str">
        <f t="shared" si="388"/>
        <v>Ecart négatif</v>
      </c>
      <c r="L2442" s="16">
        <f>base!X2442</f>
        <v>0</v>
      </c>
      <c r="M2442" s="11">
        <f t="shared" si="384"/>
        <v>0</v>
      </c>
      <c r="N2442" s="11">
        <f t="shared" si="385"/>
        <v>11.025</v>
      </c>
      <c r="O2442" s="11">
        <f t="shared" si="386"/>
        <v>0.21000000000000002</v>
      </c>
      <c r="P2442" s="12">
        <f t="shared" si="387"/>
        <v>-11.025</v>
      </c>
      <c r="Q2442" s="17" t="str">
        <f t="shared" si="389"/>
        <v>Ecart négatif</v>
      </c>
    </row>
    <row r="2443" spans="1:18" x14ac:dyDescent="0.3">
      <c r="A2443" s="34" t="str">
        <f>base!J2443</f>
        <v>DLM</v>
      </c>
      <c r="B2443" s="34" t="str">
        <f>base!V2443</f>
        <v>26500</v>
      </c>
      <c r="C2443" s="37">
        <v>26</v>
      </c>
      <c r="D2443" s="36">
        <f>base!H2443</f>
        <v>52.5</v>
      </c>
      <c r="E2443" s="44"/>
      <c r="F2443" s="16">
        <f>base!W2443</f>
        <v>0</v>
      </c>
      <c r="G2443" s="11">
        <f t="shared" si="380"/>
        <v>0</v>
      </c>
      <c r="H2443" s="11">
        <f t="shared" si="381"/>
        <v>14.175000000000001</v>
      </c>
      <c r="I2443" s="11">
        <f t="shared" si="382"/>
        <v>0.27</v>
      </c>
      <c r="J2443" s="12">
        <f t="shared" si="383"/>
        <v>-14.175000000000001</v>
      </c>
      <c r="K2443" s="17" t="str">
        <f t="shared" si="388"/>
        <v>Ecart négatif</v>
      </c>
      <c r="L2443" s="16">
        <f>base!X2443</f>
        <v>0</v>
      </c>
      <c r="M2443" s="11">
        <f t="shared" si="384"/>
        <v>0</v>
      </c>
      <c r="N2443" s="11">
        <f t="shared" si="385"/>
        <v>0</v>
      </c>
      <c r="O2443" s="11">
        <f t="shared" si="386"/>
        <v>0</v>
      </c>
      <c r="P2443" s="12">
        <f t="shared" si="387"/>
        <v>0</v>
      </c>
      <c r="Q2443" s="17" t="str">
        <f t="shared" si="389"/>
        <v>Pas d'écart</v>
      </c>
    </row>
    <row r="2444" spans="1:18" x14ac:dyDescent="0.3">
      <c r="A2444" s="34" t="str">
        <f>base!J2444</f>
        <v>RS</v>
      </c>
      <c r="B2444" s="34" t="str">
        <f>base!V2444</f>
        <v>85000</v>
      </c>
      <c r="C2444" s="37">
        <v>85</v>
      </c>
      <c r="D2444" s="36">
        <f>base!H2444</f>
        <v>70</v>
      </c>
      <c r="E2444" s="44"/>
      <c r="F2444" s="16">
        <f>base!W2444</f>
        <v>0</v>
      </c>
      <c r="G2444" s="11">
        <f t="shared" si="380"/>
        <v>0</v>
      </c>
      <c r="H2444" s="11">
        <f t="shared" si="381"/>
        <v>18.900000000000002</v>
      </c>
      <c r="I2444" s="11">
        <f t="shared" si="382"/>
        <v>0.27</v>
      </c>
      <c r="J2444" s="12">
        <f t="shared" si="383"/>
        <v>-18.900000000000002</v>
      </c>
      <c r="K2444" s="17" t="str">
        <f t="shared" si="388"/>
        <v>Ecart négatif</v>
      </c>
      <c r="L2444" s="16">
        <f>base!X2444</f>
        <v>0</v>
      </c>
      <c r="M2444" s="11">
        <f t="shared" si="384"/>
        <v>0</v>
      </c>
      <c r="N2444" s="11">
        <f t="shared" si="385"/>
        <v>0</v>
      </c>
      <c r="O2444" s="11">
        <f t="shared" si="386"/>
        <v>0</v>
      </c>
      <c r="P2444" s="12">
        <f t="shared" si="387"/>
        <v>0</v>
      </c>
      <c r="Q2444" s="17" t="str">
        <f t="shared" si="389"/>
        <v>Pas d'écart</v>
      </c>
    </row>
    <row r="2445" spans="1:18" x14ac:dyDescent="0.3">
      <c r="A2445" s="34" t="str">
        <f>base!J2445</f>
        <v>LS</v>
      </c>
      <c r="B2445" s="34" t="str">
        <f>base!V2445</f>
        <v>93013</v>
      </c>
      <c r="C2445" s="37">
        <v>93</v>
      </c>
      <c r="D2445" s="36">
        <f>base!H2445</f>
        <v>75.16</v>
      </c>
      <c r="E2445" s="44"/>
      <c r="F2445" s="16">
        <f>base!W2445</f>
        <v>0</v>
      </c>
      <c r="G2445" s="11">
        <f t="shared" si="380"/>
        <v>0</v>
      </c>
      <c r="H2445" s="11">
        <f t="shared" si="381"/>
        <v>0</v>
      </c>
      <c r="I2445" s="11">
        <f t="shared" si="382"/>
        <v>0</v>
      </c>
      <c r="J2445" s="12">
        <f t="shared" si="383"/>
        <v>0</v>
      </c>
      <c r="K2445" s="17" t="str">
        <f t="shared" si="388"/>
        <v>Pas d'écart</v>
      </c>
      <c r="L2445" s="16">
        <f>base!X2445</f>
        <v>0</v>
      </c>
      <c r="M2445" s="11">
        <f t="shared" si="384"/>
        <v>0</v>
      </c>
      <c r="N2445" s="11">
        <f t="shared" si="385"/>
        <v>0</v>
      </c>
      <c r="O2445" s="11">
        <f t="shared" si="386"/>
        <v>0</v>
      </c>
      <c r="P2445" s="12">
        <f t="shared" si="387"/>
        <v>0</v>
      </c>
      <c r="Q2445" s="17" t="str">
        <f t="shared" si="389"/>
        <v>Pas d'écart</v>
      </c>
    </row>
    <row r="2446" spans="1:18" x14ac:dyDescent="0.3">
      <c r="A2446" s="34" t="str">
        <f>base!J2446</f>
        <v>RS</v>
      </c>
      <c r="B2446" s="34" t="str">
        <f>base!V2446</f>
        <v>77250</v>
      </c>
      <c r="C2446" s="37">
        <v>77</v>
      </c>
      <c r="D2446" s="36">
        <f>base!H2446</f>
        <v>140</v>
      </c>
      <c r="E2446" s="44"/>
      <c r="F2446" s="16">
        <f>base!W2446</f>
        <v>0</v>
      </c>
      <c r="G2446" s="11">
        <f t="shared" si="380"/>
        <v>0</v>
      </c>
      <c r="H2446" s="11">
        <f t="shared" si="381"/>
        <v>0</v>
      </c>
      <c r="I2446" s="11">
        <f t="shared" si="382"/>
        <v>0</v>
      </c>
      <c r="J2446" s="12">
        <f t="shared" si="383"/>
        <v>0</v>
      </c>
      <c r="K2446" s="17" t="str">
        <f t="shared" si="388"/>
        <v>Pas d'écart</v>
      </c>
      <c r="L2446" s="16">
        <f>base!X2446</f>
        <v>0</v>
      </c>
      <c r="M2446" s="11">
        <f t="shared" si="384"/>
        <v>0</v>
      </c>
      <c r="N2446" s="11">
        <f t="shared" si="385"/>
        <v>0</v>
      </c>
      <c r="O2446" s="11">
        <f t="shared" si="386"/>
        <v>0</v>
      </c>
      <c r="P2446" s="12">
        <f t="shared" si="387"/>
        <v>0</v>
      </c>
      <c r="Q2446" s="17" t="str">
        <f t="shared" si="389"/>
        <v>Pas d'écart</v>
      </c>
    </row>
    <row r="2447" spans="1:18" x14ac:dyDescent="0.3">
      <c r="A2447" s="34" t="str">
        <f>base!J2447</f>
        <v>RM</v>
      </c>
      <c r="B2447" s="34" t="str">
        <f>base!V2447</f>
        <v>67000</v>
      </c>
      <c r="C2447" s="37">
        <v>67</v>
      </c>
      <c r="D2447" s="36">
        <f>base!H2447</f>
        <v>250</v>
      </c>
      <c r="E2447" s="44"/>
      <c r="F2447" s="16">
        <f>base!W2447</f>
        <v>0</v>
      </c>
      <c r="G2447" s="11">
        <f t="shared" si="380"/>
        <v>0</v>
      </c>
      <c r="H2447" s="11">
        <f t="shared" si="381"/>
        <v>72.5</v>
      </c>
      <c r="I2447" s="11">
        <f t="shared" si="382"/>
        <v>0.28999999999999998</v>
      </c>
      <c r="J2447" s="12">
        <f t="shared" si="383"/>
        <v>-72.5</v>
      </c>
      <c r="K2447" s="17" t="str">
        <f t="shared" si="388"/>
        <v>Ecart négatif</v>
      </c>
      <c r="L2447" s="16">
        <f>base!X2447</f>
        <v>20</v>
      </c>
      <c r="M2447" s="11">
        <f t="shared" si="384"/>
        <v>0.08</v>
      </c>
      <c r="N2447" s="11">
        <f t="shared" si="385"/>
        <v>20</v>
      </c>
      <c r="O2447" s="11">
        <f t="shared" si="386"/>
        <v>0.08</v>
      </c>
      <c r="P2447" s="12">
        <f t="shared" si="387"/>
        <v>0</v>
      </c>
      <c r="Q2447" s="17" t="str">
        <f t="shared" si="389"/>
        <v>Pas d'écart</v>
      </c>
      <c r="R2447" s="38"/>
    </row>
    <row r="2448" spans="1:18" x14ac:dyDescent="0.3">
      <c r="A2448" s="34" t="str">
        <f>base!J2448</f>
        <v>RM</v>
      </c>
      <c r="B2448" s="34" t="str">
        <f>base!V2448</f>
        <v>06560</v>
      </c>
      <c r="C2448" s="37">
        <v>6</v>
      </c>
      <c r="D2448" s="36">
        <f>base!H2448</f>
        <v>151</v>
      </c>
      <c r="E2448" s="44"/>
      <c r="F2448" s="16">
        <f>base!W2448</f>
        <v>0</v>
      </c>
      <c r="G2448" s="11">
        <f t="shared" si="380"/>
        <v>0</v>
      </c>
      <c r="H2448" s="11">
        <f t="shared" si="381"/>
        <v>45.3</v>
      </c>
      <c r="I2448" s="11">
        <f t="shared" si="382"/>
        <v>0.3</v>
      </c>
      <c r="J2448" s="12">
        <f t="shared" si="383"/>
        <v>-45.3</v>
      </c>
      <c r="K2448" s="17" t="str">
        <f t="shared" si="388"/>
        <v>Ecart négatif</v>
      </c>
      <c r="L2448" s="16">
        <f>base!X2448</f>
        <v>0</v>
      </c>
      <c r="M2448" s="11">
        <f t="shared" si="384"/>
        <v>0</v>
      </c>
      <c r="N2448" s="11">
        <f t="shared" si="385"/>
        <v>31.709999999999997</v>
      </c>
      <c r="O2448" s="11">
        <f t="shared" si="386"/>
        <v>0.21</v>
      </c>
      <c r="P2448" s="12">
        <f t="shared" si="387"/>
        <v>-31.709999999999997</v>
      </c>
      <c r="Q2448" s="17" t="str">
        <f t="shared" si="389"/>
        <v>Ecart négatif</v>
      </c>
    </row>
    <row r="2449" spans="1:17" x14ac:dyDescent="0.3">
      <c r="A2449" s="34">
        <f>base!J2449</f>
        <v>0</v>
      </c>
      <c r="B2449" s="34" t="str">
        <f>base!V2449</f>
        <v>77184</v>
      </c>
      <c r="C2449" s="37">
        <v>77</v>
      </c>
      <c r="D2449" s="36">
        <f>base!H2449</f>
        <v>84.5</v>
      </c>
      <c r="E2449" s="44"/>
      <c r="F2449" s="16">
        <f>base!W2449</f>
        <v>0</v>
      </c>
      <c r="G2449" s="11">
        <f t="shared" si="380"/>
        <v>0</v>
      </c>
      <c r="H2449" s="11">
        <f t="shared" si="381"/>
        <v>0</v>
      </c>
      <c r="I2449" s="11">
        <f t="shared" si="382"/>
        <v>0</v>
      </c>
      <c r="J2449" s="12">
        <f t="shared" si="383"/>
        <v>0</v>
      </c>
      <c r="K2449" s="17" t="str">
        <f t="shared" si="388"/>
        <v>Pas d'écart</v>
      </c>
      <c r="L2449" s="16">
        <f>base!X2449</f>
        <v>0</v>
      </c>
      <c r="M2449" s="11">
        <f t="shared" si="384"/>
        <v>0</v>
      </c>
      <c r="N2449" s="11">
        <f t="shared" si="385"/>
        <v>0</v>
      </c>
      <c r="O2449" s="11">
        <f t="shared" si="386"/>
        <v>0</v>
      </c>
      <c r="P2449" s="12">
        <f t="shared" si="387"/>
        <v>0</v>
      </c>
      <c r="Q2449" s="17" t="str">
        <f t="shared" si="389"/>
        <v>Pas d'écart</v>
      </c>
    </row>
    <row r="2450" spans="1:17" x14ac:dyDescent="0.3">
      <c r="A2450" s="34" t="str">
        <f>base!J2450</f>
        <v>DLS</v>
      </c>
      <c r="B2450" s="34" t="str">
        <f>base!V2450</f>
        <v>21000</v>
      </c>
      <c r="C2450" s="37">
        <v>21</v>
      </c>
      <c r="D2450" s="36">
        <f>base!H2450</f>
        <v>53.4</v>
      </c>
      <c r="E2450" s="44"/>
      <c r="F2450" s="16">
        <f>base!W2450</f>
        <v>0</v>
      </c>
      <c r="G2450" s="11">
        <f t="shared" si="380"/>
        <v>0</v>
      </c>
      <c r="H2450" s="11">
        <f t="shared" si="381"/>
        <v>12.815999999999999</v>
      </c>
      <c r="I2450" s="11">
        <f t="shared" si="382"/>
        <v>0.24</v>
      </c>
      <c r="J2450" s="12">
        <f t="shared" si="383"/>
        <v>-12.815999999999999</v>
      </c>
      <c r="K2450" s="17" t="str">
        <f t="shared" si="388"/>
        <v>Ecart négatif</v>
      </c>
      <c r="L2450" s="16">
        <f>base!X2450</f>
        <v>13.35</v>
      </c>
      <c r="M2450" s="11">
        <f t="shared" si="384"/>
        <v>0.25</v>
      </c>
      <c r="N2450" s="11">
        <f t="shared" si="385"/>
        <v>6.4079999999999995</v>
      </c>
      <c r="O2450" s="11">
        <f t="shared" si="386"/>
        <v>0.12</v>
      </c>
      <c r="P2450" s="12">
        <f t="shared" si="387"/>
        <v>6.9420000000000002</v>
      </c>
      <c r="Q2450" s="17" t="str">
        <f t="shared" si="389"/>
        <v>Ecart positif</v>
      </c>
    </row>
    <row r="2451" spans="1:17" x14ac:dyDescent="0.3">
      <c r="A2451" s="34" t="str">
        <f>base!J2451</f>
        <v>LS</v>
      </c>
      <c r="B2451" s="34" t="str">
        <f>base!V2451</f>
        <v>59500</v>
      </c>
      <c r="C2451" s="37">
        <v>59</v>
      </c>
      <c r="D2451" s="36">
        <f>base!H2451</f>
        <v>0</v>
      </c>
      <c r="E2451" s="44"/>
      <c r="F2451" s="16">
        <f>base!W2451</f>
        <v>0</v>
      </c>
      <c r="G2451" s="11" t="e">
        <f t="shared" si="380"/>
        <v>#DIV/0!</v>
      </c>
      <c r="H2451" s="11">
        <f t="shared" si="381"/>
        <v>0</v>
      </c>
      <c r="I2451" s="11" t="e">
        <f t="shared" si="382"/>
        <v>#DIV/0!</v>
      </c>
      <c r="J2451" s="12">
        <f t="shared" si="383"/>
        <v>0</v>
      </c>
      <c r="K2451" s="17" t="str">
        <f t="shared" si="388"/>
        <v>Pas d'écart</v>
      </c>
      <c r="L2451" s="16">
        <f>base!X2451</f>
        <v>0</v>
      </c>
      <c r="M2451" s="11" t="e">
        <f t="shared" si="384"/>
        <v>#DIV/0!</v>
      </c>
      <c r="N2451" s="11">
        <f t="shared" si="385"/>
        <v>0</v>
      </c>
      <c r="O2451" s="11" t="e">
        <f t="shared" si="386"/>
        <v>#DIV/0!</v>
      </c>
      <c r="P2451" s="12">
        <f t="shared" si="387"/>
        <v>0</v>
      </c>
      <c r="Q2451" s="17" t="str">
        <f t="shared" si="389"/>
        <v>Pas d'écart</v>
      </c>
    </row>
    <row r="2452" spans="1:17" x14ac:dyDescent="0.3">
      <c r="A2452" s="34" t="str">
        <f>base!J2452</f>
        <v>RM</v>
      </c>
      <c r="B2452" s="34" t="str">
        <f>base!V2452</f>
        <v>75013</v>
      </c>
      <c r="C2452" s="37">
        <v>75</v>
      </c>
      <c r="D2452" s="36">
        <f>base!H2452</f>
        <v>151</v>
      </c>
      <c r="E2452" s="44"/>
      <c r="F2452" s="16">
        <f>base!W2452</f>
        <v>0</v>
      </c>
      <c r="G2452" s="11">
        <f t="shared" si="380"/>
        <v>0</v>
      </c>
      <c r="H2452" s="11">
        <f t="shared" si="381"/>
        <v>0</v>
      </c>
      <c r="I2452" s="11">
        <f t="shared" si="382"/>
        <v>0</v>
      </c>
      <c r="J2452" s="12">
        <f t="shared" si="383"/>
        <v>0</v>
      </c>
      <c r="K2452" s="17" t="str">
        <f t="shared" si="388"/>
        <v>Pas d'écart</v>
      </c>
      <c r="L2452" s="16">
        <f>base!X2452</f>
        <v>0</v>
      </c>
      <c r="M2452" s="11">
        <f t="shared" si="384"/>
        <v>0</v>
      </c>
      <c r="N2452" s="11">
        <f t="shared" si="385"/>
        <v>0</v>
      </c>
      <c r="O2452" s="11">
        <f t="shared" si="386"/>
        <v>0</v>
      </c>
      <c r="P2452" s="12">
        <f t="shared" si="387"/>
        <v>0</v>
      </c>
      <c r="Q2452" s="17" t="str">
        <f t="shared" si="389"/>
        <v>Pas d'écart</v>
      </c>
    </row>
    <row r="2453" spans="1:17" x14ac:dyDescent="0.3">
      <c r="A2453" s="34">
        <f>base!J2453</f>
        <v>0</v>
      </c>
      <c r="B2453" s="34" t="str">
        <f>base!V2453</f>
        <v>77184</v>
      </c>
      <c r="C2453" s="37">
        <v>77</v>
      </c>
      <c r="D2453" s="36">
        <f>base!H2453</f>
        <v>68</v>
      </c>
      <c r="E2453" s="44"/>
      <c r="F2453" s="16">
        <f>base!W2453</f>
        <v>0</v>
      </c>
      <c r="G2453" s="11">
        <f t="shared" si="380"/>
        <v>0</v>
      </c>
      <c r="H2453" s="11">
        <f t="shared" si="381"/>
        <v>0</v>
      </c>
      <c r="I2453" s="11">
        <f t="shared" si="382"/>
        <v>0</v>
      </c>
      <c r="J2453" s="12">
        <f t="shared" si="383"/>
        <v>0</v>
      </c>
      <c r="K2453" s="17" t="str">
        <f t="shared" si="388"/>
        <v>Pas d'écart</v>
      </c>
      <c r="L2453" s="16">
        <f>base!X2453</f>
        <v>0</v>
      </c>
      <c r="M2453" s="11">
        <f t="shared" si="384"/>
        <v>0</v>
      </c>
      <c r="N2453" s="11">
        <f t="shared" si="385"/>
        <v>0</v>
      </c>
      <c r="O2453" s="11">
        <f t="shared" si="386"/>
        <v>0</v>
      </c>
      <c r="P2453" s="12">
        <f t="shared" si="387"/>
        <v>0</v>
      </c>
      <c r="Q2453" s="17" t="str">
        <f t="shared" si="389"/>
        <v>Pas d'écart</v>
      </c>
    </row>
    <row r="2454" spans="1:17" x14ac:dyDescent="0.3">
      <c r="A2454" s="34" t="str">
        <f>base!J2454</f>
        <v>DLM</v>
      </c>
      <c r="B2454" s="34" t="str">
        <f>base!V2454</f>
        <v>50400</v>
      </c>
      <c r="C2454" s="37">
        <v>50</v>
      </c>
      <c r="D2454" s="36">
        <f>base!H2454</f>
        <v>140</v>
      </c>
      <c r="E2454" s="44"/>
      <c r="F2454" s="16">
        <f>base!W2454</f>
        <v>0</v>
      </c>
      <c r="G2454" s="11">
        <f t="shared" si="380"/>
        <v>0</v>
      </c>
      <c r="H2454" s="11">
        <f t="shared" si="381"/>
        <v>23.8</v>
      </c>
      <c r="I2454" s="11">
        <f t="shared" si="382"/>
        <v>0.17</v>
      </c>
      <c r="J2454" s="12">
        <f t="shared" si="383"/>
        <v>-23.8</v>
      </c>
      <c r="K2454" s="17" t="str">
        <f t="shared" si="388"/>
        <v>Ecart négatif</v>
      </c>
      <c r="L2454" s="16">
        <f>base!X2454</f>
        <v>0</v>
      </c>
      <c r="M2454" s="11">
        <f t="shared" si="384"/>
        <v>0</v>
      </c>
      <c r="N2454" s="11">
        <f t="shared" si="385"/>
        <v>23.8</v>
      </c>
      <c r="O2454" s="11">
        <f t="shared" si="386"/>
        <v>0.17</v>
      </c>
      <c r="P2454" s="12">
        <f t="shared" si="387"/>
        <v>-23.8</v>
      </c>
      <c r="Q2454" s="17" t="str">
        <f t="shared" si="389"/>
        <v>Ecart négatif</v>
      </c>
    </row>
    <row r="2455" spans="1:17" x14ac:dyDescent="0.3">
      <c r="A2455" s="34">
        <f>base!J2455</f>
        <v>0</v>
      </c>
      <c r="B2455" s="34" t="str">
        <f>base!V2455</f>
        <v>77184</v>
      </c>
      <c r="C2455" s="37">
        <v>77</v>
      </c>
      <c r="D2455" s="36">
        <f>base!H2455</f>
        <v>84.5</v>
      </c>
      <c r="E2455" s="44"/>
      <c r="F2455" s="16">
        <f>base!W2455</f>
        <v>0</v>
      </c>
      <c r="G2455" s="11">
        <f t="shared" si="380"/>
        <v>0</v>
      </c>
      <c r="H2455" s="11">
        <f t="shared" si="381"/>
        <v>0</v>
      </c>
      <c r="I2455" s="11">
        <f t="shared" si="382"/>
        <v>0</v>
      </c>
      <c r="J2455" s="12">
        <f t="shared" si="383"/>
        <v>0</v>
      </c>
      <c r="K2455" s="17" t="str">
        <f t="shared" si="388"/>
        <v>Pas d'écart</v>
      </c>
      <c r="L2455" s="16">
        <f>base!X2455</f>
        <v>0</v>
      </c>
      <c r="M2455" s="11">
        <f t="shared" si="384"/>
        <v>0</v>
      </c>
      <c r="N2455" s="11">
        <f t="shared" si="385"/>
        <v>0</v>
      </c>
      <c r="O2455" s="11">
        <f t="shared" si="386"/>
        <v>0</v>
      </c>
      <c r="P2455" s="12">
        <f t="shared" si="387"/>
        <v>0</v>
      </c>
      <c r="Q2455" s="17" t="str">
        <f t="shared" si="389"/>
        <v>Pas d'écart</v>
      </c>
    </row>
    <row r="2456" spans="1:17" x14ac:dyDescent="0.3">
      <c r="A2456" s="34" t="str">
        <f>base!J2456</f>
        <v>RS</v>
      </c>
      <c r="B2456" s="34" t="str">
        <f>base!V2456</f>
        <v>68740</v>
      </c>
      <c r="C2456" s="37">
        <v>68</v>
      </c>
      <c r="D2456" s="36">
        <f>base!H2456</f>
        <v>74.540000000000006</v>
      </c>
      <c r="E2456" s="44"/>
      <c r="F2456" s="16">
        <f>base!W2456</f>
        <v>0</v>
      </c>
      <c r="G2456" s="11">
        <f t="shared" si="380"/>
        <v>0</v>
      </c>
      <c r="H2456" s="11">
        <f t="shared" si="381"/>
        <v>21.616600000000002</v>
      </c>
      <c r="I2456" s="11">
        <f t="shared" si="382"/>
        <v>0.28999999999999998</v>
      </c>
      <c r="J2456" s="12">
        <f t="shared" si="383"/>
        <v>-21.616600000000002</v>
      </c>
      <c r="K2456" s="17" t="str">
        <f t="shared" si="388"/>
        <v>Ecart négatif</v>
      </c>
      <c r="L2456" s="16">
        <f>base!X2456</f>
        <v>0</v>
      </c>
      <c r="M2456" s="11">
        <f t="shared" si="384"/>
        <v>0</v>
      </c>
      <c r="N2456" s="11">
        <f t="shared" si="385"/>
        <v>5.9632000000000005</v>
      </c>
      <c r="O2456" s="11">
        <f t="shared" si="386"/>
        <v>0.08</v>
      </c>
      <c r="P2456" s="12">
        <f t="shared" si="387"/>
        <v>-5.9632000000000005</v>
      </c>
      <c r="Q2456" s="17" t="str">
        <f t="shared" si="389"/>
        <v>Ecart négatif</v>
      </c>
    </row>
    <row r="2457" spans="1:17" x14ac:dyDescent="0.3">
      <c r="A2457" s="34" t="str">
        <f>base!J2457</f>
        <v>LM</v>
      </c>
      <c r="B2457" s="34" t="str">
        <f>base!V2457</f>
        <v>75014</v>
      </c>
      <c r="C2457" s="37">
        <v>75</v>
      </c>
      <c r="D2457" s="36">
        <f>base!H2457</f>
        <v>107.6</v>
      </c>
      <c r="E2457" s="44"/>
      <c r="F2457" s="16">
        <f>base!W2457</f>
        <v>0</v>
      </c>
      <c r="G2457" s="11">
        <f t="shared" si="380"/>
        <v>0</v>
      </c>
      <c r="H2457" s="11">
        <f t="shared" si="381"/>
        <v>0</v>
      </c>
      <c r="I2457" s="11">
        <f t="shared" si="382"/>
        <v>0</v>
      </c>
      <c r="J2457" s="12">
        <f t="shared" si="383"/>
        <v>0</v>
      </c>
      <c r="K2457" s="17" t="str">
        <f t="shared" si="388"/>
        <v>Pas d'écart</v>
      </c>
      <c r="L2457" s="16">
        <f>base!X2457</f>
        <v>0</v>
      </c>
      <c r="M2457" s="11">
        <f t="shared" si="384"/>
        <v>0</v>
      </c>
      <c r="N2457" s="11">
        <f t="shared" si="385"/>
        <v>0</v>
      </c>
      <c r="O2457" s="11">
        <f t="shared" si="386"/>
        <v>0</v>
      </c>
      <c r="P2457" s="12">
        <f t="shared" si="387"/>
        <v>0</v>
      </c>
      <c r="Q2457" s="17" t="str">
        <f t="shared" si="389"/>
        <v>Pas d'écart</v>
      </c>
    </row>
    <row r="2458" spans="1:17" x14ac:dyDescent="0.3">
      <c r="A2458" s="34" t="str">
        <f>base!J2458</f>
        <v>LM</v>
      </c>
      <c r="B2458" s="34" t="str">
        <f>base!V2458</f>
        <v>67320</v>
      </c>
      <c r="C2458" s="37">
        <v>67</v>
      </c>
      <c r="D2458" s="36">
        <f>base!H2458</f>
        <v>140</v>
      </c>
      <c r="E2458" s="44"/>
      <c r="F2458" s="16">
        <f>base!W2458</f>
        <v>40.6</v>
      </c>
      <c r="G2458" s="11">
        <f t="shared" si="380"/>
        <v>0.29000000000000004</v>
      </c>
      <c r="H2458" s="11">
        <f t="shared" si="381"/>
        <v>40.599999999999994</v>
      </c>
      <c r="I2458" s="11">
        <f t="shared" si="382"/>
        <v>0.28999999999999998</v>
      </c>
      <c r="J2458" s="12">
        <f t="shared" si="383"/>
        <v>0</v>
      </c>
      <c r="K2458" s="17" t="str">
        <f t="shared" si="388"/>
        <v>Pas d'écart</v>
      </c>
      <c r="L2458" s="16">
        <f>base!X2458</f>
        <v>0</v>
      </c>
      <c r="M2458" s="11">
        <f t="shared" si="384"/>
        <v>0</v>
      </c>
      <c r="N2458" s="11">
        <f t="shared" si="385"/>
        <v>11.200000000000001</v>
      </c>
      <c r="O2458" s="11">
        <f t="shared" si="386"/>
        <v>0.08</v>
      </c>
      <c r="P2458" s="12">
        <f t="shared" si="387"/>
        <v>-11.200000000000001</v>
      </c>
      <c r="Q2458" s="17" t="str">
        <f t="shared" si="389"/>
        <v>Ecart négatif</v>
      </c>
    </row>
    <row r="2459" spans="1:17" x14ac:dyDescent="0.3">
      <c r="A2459" s="34" t="str">
        <f>base!J2459</f>
        <v>RS</v>
      </c>
      <c r="B2459" s="34" t="str">
        <f>base!V2459</f>
        <v>14000</v>
      </c>
      <c r="C2459" s="37">
        <v>14</v>
      </c>
      <c r="D2459" s="36">
        <f>base!H2459</f>
        <v>140</v>
      </c>
      <c r="E2459" s="44"/>
      <c r="F2459" s="16">
        <f>base!W2459</f>
        <v>0</v>
      </c>
      <c r="G2459" s="11">
        <f t="shared" si="380"/>
        <v>0</v>
      </c>
      <c r="H2459" s="11">
        <f t="shared" si="381"/>
        <v>23.8</v>
      </c>
      <c r="I2459" s="11">
        <f t="shared" si="382"/>
        <v>0.17</v>
      </c>
      <c r="J2459" s="12">
        <f t="shared" si="383"/>
        <v>-23.8</v>
      </c>
      <c r="K2459" s="17" t="str">
        <f t="shared" si="388"/>
        <v>Ecart négatif</v>
      </c>
      <c r="L2459" s="16">
        <f>base!X2459</f>
        <v>23.8</v>
      </c>
      <c r="M2459" s="11">
        <f t="shared" si="384"/>
        <v>0.17</v>
      </c>
      <c r="N2459" s="11">
        <f t="shared" si="385"/>
        <v>23.8</v>
      </c>
      <c r="O2459" s="11">
        <f t="shared" si="386"/>
        <v>0.17</v>
      </c>
      <c r="P2459" s="12">
        <f t="shared" si="387"/>
        <v>0</v>
      </c>
      <c r="Q2459" s="17" t="str">
        <f t="shared" si="389"/>
        <v>Pas d'écart</v>
      </c>
    </row>
    <row r="2460" spans="1:17" x14ac:dyDescent="0.3">
      <c r="A2460" s="34">
        <f>base!J2460</f>
        <v>0</v>
      </c>
      <c r="B2460" s="34" t="str">
        <f>base!V2460</f>
        <v>77184</v>
      </c>
      <c r="C2460" s="37">
        <v>77</v>
      </c>
      <c r="D2460" s="36">
        <f>base!H2460</f>
        <v>150</v>
      </c>
      <c r="E2460" s="44"/>
      <c r="F2460" s="16">
        <f>base!W2460</f>
        <v>0</v>
      </c>
      <c r="G2460" s="11">
        <f t="shared" si="380"/>
        <v>0</v>
      </c>
      <c r="H2460" s="11">
        <f t="shared" si="381"/>
        <v>0</v>
      </c>
      <c r="I2460" s="11">
        <f t="shared" si="382"/>
        <v>0</v>
      </c>
      <c r="J2460" s="12">
        <f t="shared" si="383"/>
        <v>0</v>
      </c>
      <c r="K2460" s="17" t="str">
        <f t="shared" si="388"/>
        <v>Pas d'écart</v>
      </c>
      <c r="L2460" s="16">
        <f>base!X2460</f>
        <v>0</v>
      </c>
      <c r="M2460" s="11">
        <f t="shared" si="384"/>
        <v>0</v>
      </c>
      <c r="N2460" s="11">
        <f t="shared" si="385"/>
        <v>0</v>
      </c>
      <c r="O2460" s="11">
        <f t="shared" si="386"/>
        <v>0</v>
      </c>
      <c r="P2460" s="12">
        <f t="shared" si="387"/>
        <v>0</v>
      </c>
      <c r="Q2460" s="17" t="str">
        <f t="shared" si="389"/>
        <v>Pas d'écart</v>
      </c>
    </row>
    <row r="2461" spans="1:17" x14ac:dyDescent="0.3">
      <c r="A2461" s="34" t="str">
        <f>base!J2461</f>
        <v>LM</v>
      </c>
      <c r="B2461" s="34" t="str">
        <f>base!V2461</f>
        <v>75014</v>
      </c>
      <c r="C2461" s="37">
        <v>75</v>
      </c>
      <c r="D2461" s="36">
        <f>base!H2461</f>
        <v>19.649999999999999</v>
      </c>
      <c r="E2461" s="44"/>
      <c r="F2461" s="16">
        <f>base!W2461</f>
        <v>0</v>
      </c>
      <c r="G2461" s="11">
        <f t="shared" si="380"/>
        <v>0</v>
      </c>
      <c r="H2461" s="11">
        <f t="shared" si="381"/>
        <v>0</v>
      </c>
      <c r="I2461" s="11">
        <f t="shared" si="382"/>
        <v>0</v>
      </c>
      <c r="J2461" s="12">
        <f t="shared" si="383"/>
        <v>0</v>
      </c>
      <c r="K2461" s="17" t="str">
        <f t="shared" si="388"/>
        <v>Pas d'écart</v>
      </c>
      <c r="L2461" s="16">
        <f>base!X2461</f>
        <v>0</v>
      </c>
      <c r="M2461" s="11">
        <f t="shared" si="384"/>
        <v>0</v>
      </c>
      <c r="N2461" s="11">
        <f t="shared" si="385"/>
        <v>0</v>
      </c>
      <c r="O2461" s="11">
        <f t="shared" si="386"/>
        <v>0</v>
      </c>
      <c r="P2461" s="12">
        <f t="shared" si="387"/>
        <v>0</v>
      </c>
      <c r="Q2461" s="17" t="str">
        <f t="shared" si="389"/>
        <v>Pas d'écart</v>
      </c>
    </row>
    <row r="2462" spans="1:17" x14ac:dyDescent="0.3">
      <c r="A2462" s="34" t="str">
        <f>base!J2462</f>
        <v>LM</v>
      </c>
      <c r="B2462" s="34" t="str">
        <f>base!V2462</f>
        <v>76390</v>
      </c>
      <c r="C2462" s="37">
        <v>37</v>
      </c>
      <c r="D2462" s="36">
        <f>base!H2462</f>
        <v>5.5</v>
      </c>
      <c r="E2462" s="44"/>
      <c r="F2462" s="16">
        <f>base!W2462</f>
        <v>0.94</v>
      </c>
      <c r="G2462" s="11">
        <f t="shared" si="380"/>
        <v>0.1709090909090909</v>
      </c>
      <c r="H2462" s="11">
        <f t="shared" si="381"/>
        <v>1.0449999999999999</v>
      </c>
      <c r="I2462" s="11">
        <f t="shared" si="382"/>
        <v>0.18999999999999997</v>
      </c>
      <c r="J2462" s="12">
        <f t="shared" si="383"/>
        <v>-0.10499999999999998</v>
      </c>
      <c r="K2462" s="17" t="str">
        <f t="shared" si="388"/>
        <v>Ecart négatif</v>
      </c>
      <c r="L2462" s="16">
        <f>base!X2462</f>
        <v>0</v>
      </c>
      <c r="M2462" s="11">
        <f t="shared" si="384"/>
        <v>0</v>
      </c>
      <c r="N2462" s="11">
        <f t="shared" si="385"/>
        <v>0.65999999999999992</v>
      </c>
      <c r="O2462" s="11">
        <f t="shared" si="386"/>
        <v>0.11999999999999998</v>
      </c>
      <c r="P2462" s="12">
        <f t="shared" si="387"/>
        <v>-0.65999999999999992</v>
      </c>
      <c r="Q2462" s="17" t="str">
        <f t="shared" si="389"/>
        <v>Ecart négatif</v>
      </c>
    </row>
    <row r="2463" spans="1:17" x14ac:dyDescent="0.3">
      <c r="A2463" s="34" t="str">
        <f>base!J2463</f>
        <v>LS</v>
      </c>
      <c r="B2463" s="34" t="str">
        <f>base!V2463</f>
        <v>75009</v>
      </c>
      <c r="C2463" s="37">
        <v>75</v>
      </c>
      <c r="D2463" s="36">
        <f>base!H2463</f>
        <v>120.29</v>
      </c>
      <c r="E2463" s="44"/>
      <c r="F2463" s="16">
        <f>base!W2463</f>
        <v>0</v>
      </c>
      <c r="G2463" s="11">
        <f t="shared" si="380"/>
        <v>0</v>
      </c>
      <c r="H2463" s="11">
        <f t="shared" si="381"/>
        <v>0</v>
      </c>
      <c r="I2463" s="11">
        <f t="shared" si="382"/>
        <v>0</v>
      </c>
      <c r="J2463" s="12">
        <f t="shared" si="383"/>
        <v>0</v>
      </c>
      <c r="K2463" s="17" t="str">
        <f t="shared" si="388"/>
        <v>Pas d'écart</v>
      </c>
      <c r="L2463" s="16">
        <f>base!X2463</f>
        <v>0</v>
      </c>
      <c r="M2463" s="11">
        <f t="shared" si="384"/>
        <v>0</v>
      </c>
      <c r="N2463" s="11">
        <f t="shared" si="385"/>
        <v>0</v>
      </c>
      <c r="O2463" s="11">
        <f t="shared" si="386"/>
        <v>0</v>
      </c>
      <c r="P2463" s="12">
        <f t="shared" si="387"/>
        <v>0</v>
      </c>
      <c r="Q2463" s="17" t="str">
        <f t="shared" si="389"/>
        <v>Pas d'écart</v>
      </c>
    </row>
    <row r="2464" spans="1:17" x14ac:dyDescent="0.3">
      <c r="A2464" s="34" t="str">
        <f>base!J2464</f>
        <v>RS</v>
      </c>
      <c r="B2464" s="34" t="str">
        <f>base!V2464</f>
        <v>75010</v>
      </c>
      <c r="C2464" s="37">
        <v>75</v>
      </c>
      <c r="D2464" s="36">
        <f>base!H2464</f>
        <v>80.400000000000006</v>
      </c>
      <c r="E2464" s="44"/>
      <c r="F2464" s="16">
        <f>base!W2464</f>
        <v>0</v>
      </c>
      <c r="G2464" s="11">
        <f t="shared" si="380"/>
        <v>0</v>
      </c>
      <c r="H2464" s="11">
        <f t="shared" si="381"/>
        <v>0</v>
      </c>
      <c r="I2464" s="11">
        <f t="shared" si="382"/>
        <v>0</v>
      </c>
      <c r="J2464" s="12">
        <f t="shared" si="383"/>
        <v>0</v>
      </c>
      <c r="K2464" s="17" t="str">
        <f t="shared" si="388"/>
        <v>Pas d'écart</v>
      </c>
      <c r="L2464" s="16">
        <f>base!X2464</f>
        <v>0</v>
      </c>
      <c r="M2464" s="11">
        <f t="shared" si="384"/>
        <v>0</v>
      </c>
      <c r="N2464" s="11">
        <f t="shared" si="385"/>
        <v>0</v>
      </c>
      <c r="O2464" s="11">
        <f t="shared" si="386"/>
        <v>0</v>
      </c>
      <c r="P2464" s="12">
        <f t="shared" si="387"/>
        <v>0</v>
      </c>
      <c r="Q2464" s="17" t="str">
        <f t="shared" si="389"/>
        <v>Pas d'écart</v>
      </c>
    </row>
    <row r="2465" spans="1:18" x14ac:dyDescent="0.3">
      <c r="A2465" s="34">
        <f>base!J2465</f>
        <v>0</v>
      </c>
      <c r="B2465" s="34" t="str">
        <f>base!V2465</f>
        <v>77184</v>
      </c>
      <c r="C2465" s="37">
        <v>77</v>
      </c>
      <c r="D2465" s="36">
        <f>base!H2465</f>
        <v>241.12</v>
      </c>
      <c r="E2465" s="44"/>
      <c r="F2465" s="16">
        <f>base!W2465</f>
        <v>0</v>
      </c>
      <c r="G2465" s="11">
        <f t="shared" si="380"/>
        <v>0</v>
      </c>
      <c r="H2465" s="11">
        <f t="shared" si="381"/>
        <v>0</v>
      </c>
      <c r="I2465" s="11">
        <f t="shared" si="382"/>
        <v>0</v>
      </c>
      <c r="J2465" s="12">
        <f t="shared" si="383"/>
        <v>0</v>
      </c>
      <c r="K2465" s="17" t="str">
        <f t="shared" si="388"/>
        <v>Pas d'écart</v>
      </c>
      <c r="L2465" s="16">
        <f>base!X2465</f>
        <v>0</v>
      </c>
      <c r="M2465" s="11">
        <f t="shared" si="384"/>
        <v>0</v>
      </c>
      <c r="N2465" s="11">
        <f t="shared" si="385"/>
        <v>0</v>
      </c>
      <c r="O2465" s="11">
        <f t="shared" si="386"/>
        <v>0</v>
      </c>
      <c r="P2465" s="12">
        <f t="shared" si="387"/>
        <v>0</v>
      </c>
      <c r="Q2465" s="17" t="str">
        <f t="shared" si="389"/>
        <v>Pas d'écart</v>
      </c>
    </row>
    <row r="2466" spans="1:18" x14ac:dyDescent="0.3">
      <c r="A2466" s="34" t="str">
        <f>base!J2466</f>
        <v>RM</v>
      </c>
      <c r="B2466" s="34" t="str">
        <f>base!V2466</f>
        <v>06210</v>
      </c>
      <c r="C2466" s="37">
        <v>6</v>
      </c>
      <c r="D2466" s="36">
        <f>base!H2466</f>
        <v>70</v>
      </c>
      <c r="E2466" s="44"/>
      <c r="F2466" s="16">
        <f>base!W2466</f>
        <v>0</v>
      </c>
      <c r="G2466" s="11">
        <f t="shared" si="380"/>
        <v>0</v>
      </c>
      <c r="H2466" s="11">
        <f t="shared" si="381"/>
        <v>21</v>
      </c>
      <c r="I2466" s="11">
        <f t="shared" si="382"/>
        <v>0.3</v>
      </c>
      <c r="J2466" s="12">
        <f t="shared" si="383"/>
        <v>-21</v>
      </c>
      <c r="K2466" s="17" t="str">
        <f t="shared" si="388"/>
        <v>Ecart négatif</v>
      </c>
      <c r="L2466" s="16">
        <f>base!X2466</f>
        <v>0</v>
      </c>
      <c r="M2466" s="11">
        <f t="shared" si="384"/>
        <v>0</v>
      </c>
      <c r="N2466" s="11">
        <f t="shared" si="385"/>
        <v>14.7</v>
      </c>
      <c r="O2466" s="11">
        <f t="shared" si="386"/>
        <v>0.21</v>
      </c>
      <c r="P2466" s="12">
        <f t="shared" si="387"/>
        <v>-14.7</v>
      </c>
      <c r="Q2466" s="17" t="str">
        <f t="shared" si="389"/>
        <v>Ecart négatif</v>
      </c>
    </row>
    <row r="2467" spans="1:18" x14ac:dyDescent="0.3">
      <c r="A2467" s="34" t="str">
        <f>base!J2467</f>
        <v>DRS</v>
      </c>
      <c r="B2467" s="34" t="str">
        <f>base!V2467</f>
        <v>75009</v>
      </c>
      <c r="C2467" s="37">
        <v>75</v>
      </c>
      <c r="D2467" s="36">
        <f>base!H2467</f>
        <v>185.6</v>
      </c>
      <c r="E2467" s="44"/>
      <c r="F2467" s="16">
        <f>base!W2467</f>
        <v>0</v>
      </c>
      <c r="G2467" s="11">
        <f t="shared" si="380"/>
        <v>0</v>
      </c>
      <c r="H2467" s="11">
        <f t="shared" si="381"/>
        <v>0</v>
      </c>
      <c r="I2467" s="11">
        <f t="shared" si="382"/>
        <v>0</v>
      </c>
      <c r="J2467" s="12">
        <f t="shared" si="383"/>
        <v>0</v>
      </c>
      <c r="K2467" s="17" t="str">
        <f t="shared" si="388"/>
        <v>Pas d'écart</v>
      </c>
      <c r="L2467" s="16">
        <f>base!X2467</f>
        <v>0</v>
      </c>
      <c r="M2467" s="11">
        <f t="shared" si="384"/>
        <v>0</v>
      </c>
      <c r="N2467" s="11">
        <f t="shared" si="385"/>
        <v>0</v>
      </c>
      <c r="O2467" s="11">
        <f t="shared" si="386"/>
        <v>0</v>
      </c>
      <c r="P2467" s="12">
        <f t="shared" si="387"/>
        <v>0</v>
      </c>
      <c r="Q2467" s="17" t="str">
        <f t="shared" si="389"/>
        <v>Pas d'écart</v>
      </c>
    </row>
    <row r="2468" spans="1:18" x14ac:dyDescent="0.3">
      <c r="A2468" s="34" t="str">
        <f>base!J2468</f>
        <v>RM</v>
      </c>
      <c r="B2468" s="34" t="str">
        <f>base!V2468</f>
        <v>67230</v>
      </c>
      <c r="C2468" s="37">
        <v>67</v>
      </c>
      <c r="D2468" s="36">
        <f>base!H2468</f>
        <v>198.03</v>
      </c>
      <c r="E2468" s="44"/>
      <c r="F2468" s="16">
        <f>base!W2468</f>
        <v>0</v>
      </c>
      <c r="G2468" s="11">
        <f t="shared" si="380"/>
        <v>0</v>
      </c>
      <c r="H2468" s="11">
        <f t="shared" si="381"/>
        <v>57.428699999999999</v>
      </c>
      <c r="I2468" s="11">
        <f t="shared" si="382"/>
        <v>0.28999999999999998</v>
      </c>
      <c r="J2468" s="12">
        <f t="shared" si="383"/>
        <v>-57.428699999999999</v>
      </c>
      <c r="K2468" s="17" t="str">
        <f t="shared" si="388"/>
        <v>Ecart négatif</v>
      </c>
      <c r="L2468" s="16">
        <f>base!X2468</f>
        <v>15.84</v>
      </c>
      <c r="M2468" s="11">
        <f t="shared" si="384"/>
        <v>7.9987880624147856E-2</v>
      </c>
      <c r="N2468" s="11">
        <f t="shared" si="385"/>
        <v>15.8424</v>
      </c>
      <c r="O2468" s="11">
        <f t="shared" si="386"/>
        <v>0.08</v>
      </c>
      <c r="P2468" s="12">
        <f t="shared" si="387"/>
        <v>-2.3999999999997357E-3</v>
      </c>
      <c r="Q2468" s="17" t="str">
        <f t="shared" si="389"/>
        <v>Ecart négatif</v>
      </c>
      <c r="R2468" s="38"/>
    </row>
    <row r="2469" spans="1:18" x14ac:dyDescent="0.3">
      <c r="A2469" s="34" t="str">
        <f>base!J2469</f>
        <v>LM</v>
      </c>
      <c r="B2469" s="34" t="str">
        <f>base!V2469</f>
        <v>25300</v>
      </c>
      <c r="C2469" s="37">
        <v>25</v>
      </c>
      <c r="D2469" s="36">
        <f>base!H2469</f>
        <v>40</v>
      </c>
      <c r="E2469" s="44"/>
      <c r="F2469" s="16">
        <f>base!W2469</f>
        <v>9.6</v>
      </c>
      <c r="G2469" s="11">
        <f t="shared" si="380"/>
        <v>0.24</v>
      </c>
      <c r="H2469" s="11">
        <f t="shared" si="381"/>
        <v>9.6</v>
      </c>
      <c r="I2469" s="11">
        <f t="shared" si="382"/>
        <v>0.24</v>
      </c>
      <c r="J2469" s="12">
        <f t="shared" si="383"/>
        <v>0</v>
      </c>
      <c r="K2469" s="17" t="str">
        <f t="shared" si="388"/>
        <v>Pas d'écart</v>
      </c>
      <c r="L2469" s="16">
        <f>base!X2469</f>
        <v>0</v>
      </c>
      <c r="M2469" s="11">
        <f t="shared" si="384"/>
        <v>0</v>
      </c>
      <c r="N2469" s="11">
        <f t="shared" si="385"/>
        <v>4.8</v>
      </c>
      <c r="O2469" s="11">
        <f t="shared" si="386"/>
        <v>0.12</v>
      </c>
      <c r="P2469" s="12">
        <f t="shared" si="387"/>
        <v>-4.8</v>
      </c>
      <c r="Q2469" s="17" t="str">
        <f t="shared" si="389"/>
        <v>Ecart négatif</v>
      </c>
    </row>
    <row r="2470" spans="1:18" x14ac:dyDescent="0.3">
      <c r="A2470" s="34">
        <f>base!J2470</f>
        <v>0</v>
      </c>
      <c r="B2470" s="34" t="str">
        <f>base!V2470</f>
        <v>77184</v>
      </c>
      <c r="C2470" s="37">
        <v>77</v>
      </c>
      <c r="D2470" s="36">
        <f>base!H2470</f>
        <v>26</v>
      </c>
      <c r="E2470" s="44"/>
      <c r="F2470" s="16">
        <f>base!W2470</f>
        <v>0</v>
      </c>
      <c r="G2470" s="11">
        <f t="shared" si="380"/>
        <v>0</v>
      </c>
      <c r="H2470" s="11">
        <f t="shared" si="381"/>
        <v>0</v>
      </c>
      <c r="I2470" s="11">
        <f t="shared" si="382"/>
        <v>0</v>
      </c>
      <c r="J2470" s="12">
        <f t="shared" si="383"/>
        <v>0</v>
      </c>
      <c r="K2470" s="17" t="str">
        <f t="shared" si="388"/>
        <v>Pas d'écart</v>
      </c>
      <c r="L2470" s="16">
        <f>base!X2470</f>
        <v>0</v>
      </c>
      <c r="M2470" s="11">
        <f t="shared" si="384"/>
        <v>0</v>
      </c>
      <c r="N2470" s="11">
        <f t="shared" si="385"/>
        <v>0</v>
      </c>
      <c r="O2470" s="11">
        <f t="shared" si="386"/>
        <v>0</v>
      </c>
      <c r="P2470" s="12">
        <f t="shared" si="387"/>
        <v>0</v>
      </c>
      <c r="Q2470" s="17" t="str">
        <f t="shared" si="389"/>
        <v>Pas d'écart</v>
      </c>
    </row>
    <row r="2471" spans="1:18" x14ac:dyDescent="0.3">
      <c r="A2471" s="34" t="str">
        <f>base!J2471</f>
        <v>LM</v>
      </c>
      <c r="B2471" s="34" t="str">
        <f>base!V2471</f>
        <v>62600</v>
      </c>
      <c r="C2471" s="37">
        <v>51</v>
      </c>
      <c r="D2471" s="36">
        <f>base!H2471</f>
        <v>18.350000000000001</v>
      </c>
      <c r="E2471" s="44"/>
      <c r="F2471" s="16">
        <f>base!W2471</f>
        <v>3.49</v>
      </c>
      <c r="G2471" s="11">
        <f t="shared" si="380"/>
        <v>0.19019073569482289</v>
      </c>
      <c r="H2471" s="11">
        <f t="shared" si="381"/>
        <v>4.5875000000000004</v>
      </c>
      <c r="I2471" s="11">
        <f t="shared" si="382"/>
        <v>0.25</v>
      </c>
      <c r="J2471" s="12">
        <f t="shared" si="383"/>
        <v>-1.0975000000000001</v>
      </c>
      <c r="K2471" s="17" t="str">
        <f t="shared" si="388"/>
        <v>Ecart négatif</v>
      </c>
      <c r="L2471" s="16">
        <f>base!X2471</f>
        <v>0</v>
      </c>
      <c r="M2471" s="11">
        <f t="shared" si="384"/>
        <v>0</v>
      </c>
      <c r="N2471" s="11">
        <f t="shared" si="385"/>
        <v>4.5875000000000004</v>
      </c>
      <c r="O2471" s="11">
        <f t="shared" si="386"/>
        <v>0.25</v>
      </c>
      <c r="P2471" s="12">
        <f t="shared" si="387"/>
        <v>-4.5875000000000004</v>
      </c>
      <c r="Q2471" s="17" t="str">
        <f t="shared" si="389"/>
        <v>Ecart négatif</v>
      </c>
    </row>
    <row r="2472" spans="1:18" x14ac:dyDescent="0.3">
      <c r="A2472" s="34">
        <f>base!J2472</f>
        <v>0</v>
      </c>
      <c r="B2472" s="34" t="str">
        <f>base!V2472</f>
        <v>77184</v>
      </c>
      <c r="C2472" s="37">
        <v>77</v>
      </c>
      <c r="D2472" s="36">
        <f>base!H2472</f>
        <v>22.5</v>
      </c>
      <c r="E2472" s="44"/>
      <c r="F2472" s="16">
        <f>base!W2472</f>
        <v>0</v>
      </c>
      <c r="G2472" s="11">
        <f t="shared" si="380"/>
        <v>0</v>
      </c>
      <c r="H2472" s="11">
        <f t="shared" si="381"/>
        <v>0</v>
      </c>
      <c r="I2472" s="11">
        <f t="shared" si="382"/>
        <v>0</v>
      </c>
      <c r="J2472" s="12">
        <f t="shared" si="383"/>
        <v>0</v>
      </c>
      <c r="K2472" s="17" t="str">
        <f t="shared" si="388"/>
        <v>Pas d'écart</v>
      </c>
      <c r="L2472" s="16">
        <f>base!X2472</f>
        <v>0</v>
      </c>
      <c r="M2472" s="11">
        <f t="shared" si="384"/>
        <v>0</v>
      </c>
      <c r="N2472" s="11">
        <f t="shared" si="385"/>
        <v>0</v>
      </c>
      <c r="O2472" s="11">
        <f t="shared" si="386"/>
        <v>0</v>
      </c>
      <c r="P2472" s="12">
        <f t="shared" si="387"/>
        <v>0</v>
      </c>
      <c r="Q2472" s="17" t="str">
        <f t="shared" si="389"/>
        <v>Pas d'écart</v>
      </c>
    </row>
    <row r="2473" spans="1:18" x14ac:dyDescent="0.3">
      <c r="A2473" s="34" t="str">
        <f>base!J2473</f>
        <v>LS</v>
      </c>
      <c r="B2473" s="34" t="str">
        <f>base!V2473</f>
        <v>34500</v>
      </c>
      <c r="C2473" s="37">
        <v>72</v>
      </c>
      <c r="D2473" s="36">
        <f>base!H2473</f>
        <v>183.25</v>
      </c>
      <c r="E2473" s="44"/>
      <c r="F2473" s="16">
        <f>base!W2473</f>
        <v>71.47</v>
      </c>
      <c r="G2473" s="11">
        <f t="shared" si="380"/>
        <v>0.3900136425648022</v>
      </c>
      <c r="H2473" s="11">
        <f t="shared" si="381"/>
        <v>38.482500000000002</v>
      </c>
      <c r="I2473" s="11">
        <f t="shared" si="382"/>
        <v>0.21000000000000002</v>
      </c>
      <c r="J2473" s="12">
        <f t="shared" si="383"/>
        <v>32.987499999999997</v>
      </c>
      <c r="K2473" s="17" t="str">
        <f t="shared" si="388"/>
        <v>Ecart positif</v>
      </c>
      <c r="L2473" s="16">
        <f>base!X2473</f>
        <v>0</v>
      </c>
      <c r="M2473" s="11">
        <f t="shared" si="384"/>
        <v>0</v>
      </c>
      <c r="N2473" s="11">
        <f t="shared" si="385"/>
        <v>21.99</v>
      </c>
      <c r="O2473" s="11">
        <f t="shared" si="386"/>
        <v>0.12</v>
      </c>
      <c r="P2473" s="12">
        <f t="shared" si="387"/>
        <v>-21.99</v>
      </c>
      <c r="Q2473" s="17" t="str">
        <f t="shared" si="389"/>
        <v>Ecart négatif</v>
      </c>
    </row>
    <row r="2474" spans="1:18" x14ac:dyDescent="0.3">
      <c r="A2474" s="34" t="str">
        <f>base!J2474</f>
        <v>LM</v>
      </c>
      <c r="B2474" s="34" t="str">
        <f>base!V2474</f>
        <v>76600</v>
      </c>
      <c r="C2474" s="37">
        <v>45</v>
      </c>
      <c r="D2474" s="36">
        <f>base!H2474</f>
        <v>75.34</v>
      </c>
      <c r="E2474" s="44"/>
      <c r="F2474" s="16">
        <f>base!W2474</f>
        <v>12.81</v>
      </c>
      <c r="G2474" s="11">
        <f t="shared" si="380"/>
        <v>0.17002920095566765</v>
      </c>
      <c r="H2474" s="11">
        <f t="shared" si="381"/>
        <v>15.821400000000001</v>
      </c>
      <c r="I2474" s="11">
        <f t="shared" si="382"/>
        <v>0.21</v>
      </c>
      <c r="J2474" s="12">
        <f t="shared" si="383"/>
        <v>-3.0114000000000001</v>
      </c>
      <c r="K2474" s="17" t="str">
        <f t="shared" si="388"/>
        <v>Ecart négatif</v>
      </c>
      <c r="L2474" s="16">
        <f>base!X2474</f>
        <v>0</v>
      </c>
      <c r="M2474" s="11">
        <f t="shared" si="384"/>
        <v>0</v>
      </c>
      <c r="N2474" s="11">
        <f t="shared" si="385"/>
        <v>9.0408000000000008</v>
      </c>
      <c r="O2474" s="11">
        <f t="shared" si="386"/>
        <v>0.12000000000000001</v>
      </c>
      <c r="P2474" s="12">
        <f t="shared" si="387"/>
        <v>-9.0408000000000008</v>
      </c>
      <c r="Q2474" s="17" t="str">
        <f t="shared" si="389"/>
        <v>Ecart négatif</v>
      </c>
    </row>
    <row r="2475" spans="1:18" x14ac:dyDescent="0.3">
      <c r="A2475" s="34" t="str">
        <f>base!J2475</f>
        <v>RS</v>
      </c>
      <c r="B2475" s="34" t="str">
        <f>base!V2475</f>
        <v>05600</v>
      </c>
      <c r="C2475" s="37">
        <v>5</v>
      </c>
      <c r="D2475" s="36">
        <f>base!H2475</f>
        <v>140</v>
      </c>
      <c r="E2475" s="44"/>
      <c r="F2475" s="16">
        <f>base!W2475</f>
        <v>0</v>
      </c>
      <c r="G2475" s="11">
        <f t="shared" si="380"/>
        <v>0</v>
      </c>
      <c r="H2475" s="11">
        <f t="shared" si="381"/>
        <v>40.599999999999994</v>
      </c>
      <c r="I2475" s="11">
        <f t="shared" si="382"/>
        <v>0.28999999999999998</v>
      </c>
      <c r="J2475" s="12">
        <f t="shared" si="383"/>
        <v>-40.599999999999994</v>
      </c>
      <c r="K2475" s="17" t="str">
        <f t="shared" si="388"/>
        <v>Ecart négatif</v>
      </c>
      <c r="L2475" s="16">
        <f>base!X2475</f>
        <v>0</v>
      </c>
      <c r="M2475" s="11">
        <f t="shared" si="384"/>
        <v>0</v>
      </c>
      <c r="N2475" s="11">
        <f t="shared" si="385"/>
        <v>26.6</v>
      </c>
      <c r="O2475" s="11">
        <f t="shared" si="386"/>
        <v>0.19</v>
      </c>
      <c r="P2475" s="12">
        <f t="shared" si="387"/>
        <v>-26.6</v>
      </c>
      <c r="Q2475" s="17" t="str">
        <f t="shared" si="389"/>
        <v>Ecart négatif</v>
      </c>
    </row>
    <row r="2476" spans="1:18" x14ac:dyDescent="0.3">
      <c r="A2476" s="34" t="str">
        <f>base!J2476</f>
        <v>LS</v>
      </c>
      <c r="B2476" s="34" t="str">
        <f>base!V2476</f>
        <v>31300</v>
      </c>
      <c r="C2476" s="37">
        <v>86</v>
      </c>
      <c r="D2476" s="36">
        <f>base!H2476</f>
        <v>130.19999999999999</v>
      </c>
      <c r="E2476" s="44"/>
      <c r="F2476" s="16">
        <f>base!W2476</f>
        <v>28.64</v>
      </c>
      <c r="G2476" s="11">
        <f t="shared" si="380"/>
        <v>0.21996927803379418</v>
      </c>
      <c r="H2476" s="11">
        <f t="shared" si="381"/>
        <v>27.341999999999995</v>
      </c>
      <c r="I2476" s="11">
        <f t="shared" si="382"/>
        <v>0.21</v>
      </c>
      <c r="J2476" s="12">
        <f t="shared" si="383"/>
        <v>1.2980000000000054</v>
      </c>
      <c r="K2476" s="17" t="str">
        <f t="shared" si="388"/>
        <v>Ecart positif</v>
      </c>
      <c r="L2476" s="16">
        <f>base!X2476</f>
        <v>0</v>
      </c>
      <c r="M2476" s="11">
        <f t="shared" si="384"/>
        <v>0</v>
      </c>
      <c r="N2476" s="11">
        <f t="shared" si="385"/>
        <v>15.623999999999999</v>
      </c>
      <c r="O2476" s="11">
        <f t="shared" si="386"/>
        <v>0.12</v>
      </c>
      <c r="P2476" s="12">
        <f t="shared" si="387"/>
        <v>-15.623999999999999</v>
      </c>
      <c r="Q2476" s="17" t="str">
        <f t="shared" si="389"/>
        <v>Ecart négatif</v>
      </c>
    </row>
    <row r="2477" spans="1:18" x14ac:dyDescent="0.3">
      <c r="A2477" s="34" t="str">
        <f>base!J2477</f>
        <v>LS</v>
      </c>
      <c r="B2477" s="34" t="str">
        <f>base!V2477</f>
        <v>10600</v>
      </c>
      <c r="C2477" s="37">
        <v>45</v>
      </c>
      <c r="D2477" s="36">
        <f>base!H2477</f>
        <v>32.85</v>
      </c>
      <c r="E2477" s="44"/>
      <c r="F2477" s="16">
        <f>base!W2477</f>
        <v>7.88</v>
      </c>
      <c r="G2477" s="11">
        <f t="shared" si="380"/>
        <v>0.23987823439878234</v>
      </c>
      <c r="H2477" s="11">
        <f t="shared" si="381"/>
        <v>6.8985000000000003</v>
      </c>
      <c r="I2477" s="11">
        <f t="shared" si="382"/>
        <v>0.21</v>
      </c>
      <c r="J2477" s="12">
        <f t="shared" si="383"/>
        <v>0.98149999999999959</v>
      </c>
      <c r="K2477" s="17" t="str">
        <f t="shared" si="388"/>
        <v>Ecart positif</v>
      </c>
      <c r="L2477" s="16">
        <f>base!X2477</f>
        <v>0</v>
      </c>
      <c r="M2477" s="11">
        <f t="shared" si="384"/>
        <v>0</v>
      </c>
      <c r="N2477" s="11">
        <f t="shared" si="385"/>
        <v>3.9420000000000002</v>
      </c>
      <c r="O2477" s="11">
        <f t="shared" si="386"/>
        <v>0.12</v>
      </c>
      <c r="P2477" s="12">
        <f t="shared" si="387"/>
        <v>-3.9420000000000002</v>
      </c>
      <c r="Q2477" s="17" t="str">
        <f t="shared" si="389"/>
        <v>Ecart négatif</v>
      </c>
    </row>
    <row r="2478" spans="1:18" x14ac:dyDescent="0.3">
      <c r="A2478" s="34" t="str">
        <f>base!J2478</f>
        <v>RM</v>
      </c>
      <c r="B2478" s="34" t="str">
        <f>base!V2478</f>
        <v>13008</v>
      </c>
      <c r="C2478" s="37">
        <v>13</v>
      </c>
      <c r="D2478" s="36">
        <f>base!H2478</f>
        <v>232.27</v>
      </c>
      <c r="E2478" s="44"/>
      <c r="F2478" s="16">
        <f>base!W2478</f>
        <v>0</v>
      </c>
      <c r="G2478" s="11">
        <f t="shared" si="380"/>
        <v>0</v>
      </c>
      <c r="H2478" s="11">
        <f t="shared" si="381"/>
        <v>67.3583</v>
      </c>
      <c r="I2478" s="11">
        <f t="shared" si="382"/>
        <v>0.28999999999999998</v>
      </c>
      <c r="J2478" s="12">
        <f t="shared" si="383"/>
        <v>-67.3583</v>
      </c>
      <c r="K2478" s="17" t="str">
        <f t="shared" si="388"/>
        <v>Ecart négatif</v>
      </c>
      <c r="L2478" s="16">
        <f>base!X2478</f>
        <v>0</v>
      </c>
      <c r="M2478" s="11">
        <f t="shared" si="384"/>
        <v>0</v>
      </c>
      <c r="N2478" s="11">
        <f t="shared" si="385"/>
        <v>44.131300000000003</v>
      </c>
      <c r="O2478" s="11">
        <f t="shared" si="386"/>
        <v>0.19</v>
      </c>
      <c r="P2478" s="12">
        <f t="shared" si="387"/>
        <v>-44.131300000000003</v>
      </c>
      <c r="Q2478" s="17" t="str">
        <f t="shared" si="389"/>
        <v>Ecart négatif</v>
      </c>
    </row>
    <row r="2479" spans="1:18" x14ac:dyDescent="0.3">
      <c r="A2479" s="34" t="str">
        <f>base!J2479</f>
        <v>DLS</v>
      </c>
      <c r="B2479" s="34" t="str">
        <f>base!V2479</f>
        <v>73000</v>
      </c>
      <c r="C2479" s="37">
        <v>73</v>
      </c>
      <c r="D2479" s="36">
        <f>base!H2479</f>
        <v>140</v>
      </c>
      <c r="E2479" s="44"/>
      <c r="F2479" s="16">
        <f>base!W2479</f>
        <v>0</v>
      </c>
      <c r="G2479" s="11">
        <f t="shared" si="380"/>
        <v>0</v>
      </c>
      <c r="H2479" s="11">
        <f t="shared" si="381"/>
        <v>37.800000000000004</v>
      </c>
      <c r="I2479" s="11">
        <f t="shared" si="382"/>
        <v>0.27</v>
      </c>
      <c r="J2479" s="12">
        <f t="shared" si="383"/>
        <v>-37.800000000000004</v>
      </c>
      <c r="K2479" s="17" t="str">
        <f t="shared" si="388"/>
        <v>Ecart négatif</v>
      </c>
      <c r="L2479" s="16">
        <f>base!X2479</f>
        <v>0</v>
      </c>
      <c r="M2479" s="11">
        <f t="shared" si="384"/>
        <v>0</v>
      </c>
      <c r="N2479" s="11">
        <f t="shared" si="385"/>
        <v>0</v>
      </c>
      <c r="O2479" s="11">
        <f t="shared" si="386"/>
        <v>0</v>
      </c>
      <c r="P2479" s="12">
        <f t="shared" si="387"/>
        <v>0</v>
      </c>
      <c r="Q2479" s="17" t="str">
        <f t="shared" si="389"/>
        <v>Pas d'écart</v>
      </c>
    </row>
    <row r="2480" spans="1:18" x14ac:dyDescent="0.3">
      <c r="A2480" s="34" t="str">
        <f>base!J2480</f>
        <v>LM</v>
      </c>
      <c r="B2480" s="34" t="str">
        <f>base!V2480</f>
        <v>84380</v>
      </c>
      <c r="C2480" s="37">
        <v>41</v>
      </c>
      <c r="D2480" s="36">
        <f>base!H2480</f>
        <v>75.34</v>
      </c>
      <c r="E2480" s="44"/>
      <c r="F2480" s="16">
        <f>base!W2480</f>
        <v>21.85</v>
      </c>
      <c r="G2480" s="11">
        <f t="shared" si="380"/>
        <v>0.29001858242633394</v>
      </c>
      <c r="H2480" s="11">
        <f t="shared" si="381"/>
        <v>15.821400000000001</v>
      </c>
      <c r="I2480" s="11">
        <f t="shared" si="382"/>
        <v>0.21</v>
      </c>
      <c r="J2480" s="12">
        <f t="shared" si="383"/>
        <v>6.0286000000000008</v>
      </c>
      <c r="K2480" s="17" t="str">
        <f t="shared" si="388"/>
        <v>Ecart positif</v>
      </c>
      <c r="L2480" s="16">
        <f>base!X2480</f>
        <v>0</v>
      </c>
      <c r="M2480" s="11">
        <f t="shared" si="384"/>
        <v>0</v>
      </c>
      <c r="N2480" s="11">
        <f t="shared" si="385"/>
        <v>9.0408000000000008</v>
      </c>
      <c r="O2480" s="11">
        <f t="shared" si="386"/>
        <v>0.12000000000000001</v>
      </c>
      <c r="P2480" s="12">
        <f t="shared" si="387"/>
        <v>-9.0408000000000008</v>
      </c>
      <c r="Q2480" s="17" t="str">
        <f t="shared" si="389"/>
        <v>Ecart négatif</v>
      </c>
    </row>
    <row r="2481" spans="1:18" x14ac:dyDescent="0.3">
      <c r="A2481" s="34" t="str">
        <f>base!J2481</f>
        <v>DRM</v>
      </c>
      <c r="B2481" s="34" t="str">
        <f>base!V2481</f>
        <v>14000</v>
      </c>
      <c r="C2481" s="37">
        <v>14</v>
      </c>
      <c r="D2481" s="36">
        <f>base!H2481</f>
        <v>143.57</v>
      </c>
      <c r="E2481" s="44"/>
      <c r="F2481" s="16">
        <f>base!W2481</f>
        <v>0</v>
      </c>
      <c r="G2481" s="11">
        <f t="shared" si="380"/>
        <v>0</v>
      </c>
      <c r="H2481" s="11">
        <f t="shared" si="381"/>
        <v>24.4069</v>
      </c>
      <c r="I2481" s="11">
        <f t="shared" si="382"/>
        <v>0.17</v>
      </c>
      <c r="J2481" s="12">
        <f t="shared" si="383"/>
        <v>-24.4069</v>
      </c>
      <c r="K2481" s="17" t="str">
        <f t="shared" si="388"/>
        <v>Ecart négatif</v>
      </c>
      <c r="L2481" s="16">
        <f>base!X2481</f>
        <v>0</v>
      </c>
      <c r="M2481" s="11">
        <f t="shared" si="384"/>
        <v>0</v>
      </c>
      <c r="N2481" s="11">
        <f t="shared" si="385"/>
        <v>24.4069</v>
      </c>
      <c r="O2481" s="11">
        <f t="shared" si="386"/>
        <v>0.17</v>
      </c>
      <c r="P2481" s="12">
        <f t="shared" si="387"/>
        <v>-24.4069</v>
      </c>
      <c r="Q2481" s="17" t="str">
        <f t="shared" si="389"/>
        <v>Ecart négatif</v>
      </c>
    </row>
    <row r="2482" spans="1:18" x14ac:dyDescent="0.3">
      <c r="A2482" s="34" t="str">
        <f>base!J2482</f>
        <v>LS</v>
      </c>
      <c r="B2482" s="34" t="str">
        <f>base!V2482</f>
        <v>69002</v>
      </c>
      <c r="C2482" s="37">
        <v>28</v>
      </c>
      <c r="D2482" s="36">
        <f>base!H2482</f>
        <v>151.97</v>
      </c>
      <c r="E2482" s="44"/>
      <c r="F2482" s="16">
        <f>base!W2482</f>
        <v>41.03</v>
      </c>
      <c r="G2482" s="11">
        <f t="shared" si="380"/>
        <v>0.26998749753240769</v>
      </c>
      <c r="H2482" s="11">
        <f t="shared" si="381"/>
        <v>30.394000000000002</v>
      </c>
      <c r="I2482" s="11">
        <f t="shared" si="382"/>
        <v>0.2</v>
      </c>
      <c r="J2482" s="12">
        <f t="shared" si="383"/>
        <v>10.635999999999999</v>
      </c>
      <c r="K2482" s="17" t="str">
        <f t="shared" si="388"/>
        <v>Ecart positif</v>
      </c>
      <c r="L2482" s="16">
        <f>base!X2482</f>
        <v>0</v>
      </c>
      <c r="M2482" s="11">
        <f t="shared" si="384"/>
        <v>0</v>
      </c>
      <c r="N2482" s="11">
        <f t="shared" si="385"/>
        <v>18.2364</v>
      </c>
      <c r="O2482" s="11">
        <f t="shared" si="386"/>
        <v>0.12</v>
      </c>
      <c r="P2482" s="12">
        <f t="shared" si="387"/>
        <v>-18.2364</v>
      </c>
      <c r="Q2482" s="17" t="str">
        <f t="shared" si="389"/>
        <v>Ecart négatif</v>
      </c>
    </row>
    <row r="2483" spans="1:18" x14ac:dyDescent="0.3">
      <c r="A2483" s="34" t="str">
        <f>base!J2483</f>
        <v>RM</v>
      </c>
      <c r="B2483" s="34" t="str">
        <f>base!V2483</f>
        <v>59260</v>
      </c>
      <c r="C2483" s="37">
        <v>59</v>
      </c>
      <c r="D2483" s="36">
        <f>base!H2483</f>
        <v>172.7</v>
      </c>
      <c r="E2483" s="44"/>
      <c r="F2483" s="16">
        <f>base!W2483</f>
        <v>0</v>
      </c>
      <c r="G2483" s="11">
        <f t="shared" si="380"/>
        <v>0</v>
      </c>
      <c r="H2483" s="11">
        <f t="shared" si="381"/>
        <v>32.812999999999995</v>
      </c>
      <c r="I2483" s="11">
        <f t="shared" si="382"/>
        <v>0.18999999999999997</v>
      </c>
      <c r="J2483" s="12">
        <f t="shared" si="383"/>
        <v>-32.812999999999995</v>
      </c>
      <c r="K2483" s="17" t="str">
        <f t="shared" si="388"/>
        <v>Ecart négatif</v>
      </c>
      <c r="L2483" s="16">
        <f>base!X2483</f>
        <v>0</v>
      </c>
      <c r="M2483" s="11">
        <f t="shared" si="384"/>
        <v>0</v>
      </c>
      <c r="N2483" s="11">
        <f t="shared" si="385"/>
        <v>0</v>
      </c>
      <c r="O2483" s="11">
        <f t="shared" si="386"/>
        <v>0</v>
      </c>
      <c r="P2483" s="12">
        <f t="shared" si="387"/>
        <v>0</v>
      </c>
      <c r="Q2483" s="17" t="str">
        <f t="shared" si="389"/>
        <v>Pas d'écart</v>
      </c>
    </row>
    <row r="2484" spans="1:18" x14ac:dyDescent="0.3">
      <c r="A2484" s="34" t="str">
        <f>base!J2484</f>
        <v>RS</v>
      </c>
      <c r="B2484" s="34" t="str">
        <f>base!V2484</f>
        <v>73290</v>
      </c>
      <c r="C2484" s="37">
        <v>73</v>
      </c>
      <c r="D2484" s="36">
        <f>base!H2484</f>
        <v>199.92</v>
      </c>
      <c r="E2484" s="44"/>
      <c r="F2484" s="16">
        <f>base!W2484</f>
        <v>0</v>
      </c>
      <c r="G2484" s="11">
        <f t="shared" si="380"/>
        <v>0</v>
      </c>
      <c r="H2484" s="11">
        <f t="shared" si="381"/>
        <v>53.978400000000001</v>
      </c>
      <c r="I2484" s="11">
        <f t="shared" si="382"/>
        <v>0.27</v>
      </c>
      <c r="J2484" s="12">
        <f t="shared" si="383"/>
        <v>-53.978400000000001</v>
      </c>
      <c r="K2484" s="17" t="str">
        <f t="shared" si="388"/>
        <v>Ecart négatif</v>
      </c>
      <c r="L2484" s="16">
        <f>base!X2484</f>
        <v>0</v>
      </c>
      <c r="M2484" s="11">
        <f t="shared" si="384"/>
        <v>0</v>
      </c>
      <c r="N2484" s="11">
        <f t="shared" si="385"/>
        <v>0</v>
      </c>
      <c r="O2484" s="11">
        <f t="shared" si="386"/>
        <v>0</v>
      </c>
      <c r="P2484" s="12">
        <f t="shared" si="387"/>
        <v>0</v>
      </c>
      <c r="Q2484" s="17" t="str">
        <f t="shared" si="389"/>
        <v>Pas d'écart</v>
      </c>
    </row>
    <row r="2485" spans="1:18" x14ac:dyDescent="0.3">
      <c r="A2485" s="34" t="str">
        <f>base!J2485</f>
        <v>RS</v>
      </c>
      <c r="B2485" s="34" t="str">
        <f>base!V2485</f>
        <v>37520</v>
      </c>
      <c r="C2485" s="37">
        <v>37</v>
      </c>
      <c r="D2485" s="36">
        <f>base!H2485</f>
        <v>29.8</v>
      </c>
      <c r="E2485" s="44"/>
      <c r="F2485" s="16">
        <f>base!W2485</f>
        <v>0</v>
      </c>
      <c r="G2485" s="11">
        <f t="shared" si="380"/>
        <v>0</v>
      </c>
      <c r="H2485" s="11">
        <f t="shared" si="381"/>
        <v>5.6619999999999999</v>
      </c>
      <c r="I2485" s="11">
        <f t="shared" si="382"/>
        <v>0.19</v>
      </c>
      <c r="J2485" s="12">
        <f t="shared" si="383"/>
        <v>-5.6619999999999999</v>
      </c>
      <c r="K2485" s="17" t="str">
        <f t="shared" si="388"/>
        <v>Ecart négatif</v>
      </c>
      <c r="L2485" s="16">
        <f>base!X2485</f>
        <v>0</v>
      </c>
      <c r="M2485" s="11">
        <f t="shared" si="384"/>
        <v>0</v>
      </c>
      <c r="N2485" s="11">
        <f t="shared" si="385"/>
        <v>3.5760000000000001</v>
      </c>
      <c r="O2485" s="11">
        <f t="shared" si="386"/>
        <v>0.12</v>
      </c>
      <c r="P2485" s="12">
        <f t="shared" si="387"/>
        <v>-3.5760000000000001</v>
      </c>
      <c r="Q2485" s="17" t="str">
        <f t="shared" si="389"/>
        <v>Ecart négatif</v>
      </c>
    </row>
    <row r="2486" spans="1:18" x14ac:dyDescent="0.3">
      <c r="A2486" s="34" t="str">
        <f>base!J2486</f>
        <v>RS</v>
      </c>
      <c r="B2486" s="34" t="str">
        <f>base!V2486</f>
        <v>83190</v>
      </c>
      <c r="C2486" s="37">
        <v>83</v>
      </c>
      <c r="D2486" s="36">
        <f>base!H2486</f>
        <v>180</v>
      </c>
      <c r="E2486" s="44"/>
      <c r="F2486" s="16">
        <f>base!W2486</f>
        <v>0</v>
      </c>
      <c r="G2486" s="11">
        <f t="shared" si="380"/>
        <v>0</v>
      </c>
      <c r="H2486" s="11">
        <f t="shared" si="381"/>
        <v>54</v>
      </c>
      <c r="I2486" s="11">
        <f t="shared" si="382"/>
        <v>0.3</v>
      </c>
      <c r="J2486" s="12">
        <f t="shared" si="383"/>
        <v>-54</v>
      </c>
      <c r="K2486" s="17" t="str">
        <f t="shared" si="388"/>
        <v>Ecart négatif</v>
      </c>
      <c r="L2486" s="16">
        <f>base!X2486</f>
        <v>0</v>
      </c>
      <c r="M2486" s="11">
        <f t="shared" si="384"/>
        <v>0</v>
      </c>
      <c r="N2486" s="11">
        <f t="shared" si="385"/>
        <v>37.799999999999997</v>
      </c>
      <c r="O2486" s="11">
        <f t="shared" si="386"/>
        <v>0.21</v>
      </c>
      <c r="P2486" s="12">
        <f t="shared" si="387"/>
        <v>-37.799999999999997</v>
      </c>
      <c r="Q2486" s="17" t="str">
        <f t="shared" si="389"/>
        <v>Ecart négatif</v>
      </c>
    </row>
    <row r="2487" spans="1:18" x14ac:dyDescent="0.3">
      <c r="A2487" s="34" t="str">
        <f>base!J2487</f>
        <v>RM</v>
      </c>
      <c r="B2487" s="34" t="str">
        <f>base!V2487</f>
        <v>74940</v>
      </c>
      <c r="C2487" s="37">
        <v>74</v>
      </c>
      <c r="D2487" s="36">
        <f>base!H2487</f>
        <v>27.03</v>
      </c>
      <c r="E2487" s="44"/>
      <c r="F2487" s="16">
        <f>base!W2487</f>
        <v>0</v>
      </c>
      <c r="G2487" s="11">
        <f t="shared" si="380"/>
        <v>0</v>
      </c>
      <c r="H2487" s="11">
        <f t="shared" si="381"/>
        <v>7.0278000000000009</v>
      </c>
      <c r="I2487" s="11">
        <f t="shared" si="382"/>
        <v>0.26</v>
      </c>
      <c r="J2487" s="12">
        <f t="shared" si="383"/>
        <v>-7.0278000000000009</v>
      </c>
      <c r="K2487" s="17" t="str">
        <f t="shared" si="388"/>
        <v>Ecart négatif</v>
      </c>
      <c r="L2487" s="16">
        <f>base!X2487</f>
        <v>0</v>
      </c>
      <c r="M2487" s="11">
        <f t="shared" si="384"/>
        <v>0</v>
      </c>
      <c r="N2487" s="11">
        <f t="shared" si="385"/>
        <v>0</v>
      </c>
      <c r="O2487" s="11">
        <f t="shared" si="386"/>
        <v>0</v>
      </c>
      <c r="P2487" s="12">
        <f t="shared" si="387"/>
        <v>0</v>
      </c>
      <c r="Q2487" s="17" t="str">
        <f t="shared" si="389"/>
        <v>Pas d'écart</v>
      </c>
    </row>
    <row r="2488" spans="1:18" x14ac:dyDescent="0.3">
      <c r="A2488" s="34" t="str">
        <f>base!J2488</f>
        <v>DRS</v>
      </c>
      <c r="B2488" s="34" t="str">
        <f>base!V2488</f>
        <v>76140</v>
      </c>
      <c r="C2488" s="37">
        <v>76</v>
      </c>
      <c r="D2488" s="36">
        <f>base!H2488</f>
        <v>180</v>
      </c>
      <c r="E2488" s="44"/>
      <c r="F2488" s="16">
        <f>base!W2488</f>
        <v>0</v>
      </c>
      <c r="G2488" s="11">
        <f t="shared" si="380"/>
        <v>0</v>
      </c>
      <c r="H2488" s="11">
        <f t="shared" si="381"/>
        <v>30.6</v>
      </c>
      <c r="I2488" s="11">
        <f t="shared" si="382"/>
        <v>0.17</v>
      </c>
      <c r="J2488" s="12">
        <f t="shared" si="383"/>
        <v>-30.6</v>
      </c>
      <c r="K2488" s="17" t="str">
        <f t="shared" si="388"/>
        <v>Ecart négatif</v>
      </c>
      <c r="L2488" s="16">
        <f>base!X2488</f>
        <v>0</v>
      </c>
      <c r="M2488" s="11">
        <f t="shared" si="384"/>
        <v>0</v>
      </c>
      <c r="N2488" s="11">
        <f t="shared" si="385"/>
        <v>30.6</v>
      </c>
      <c r="O2488" s="11">
        <f t="shared" si="386"/>
        <v>0.17</v>
      </c>
      <c r="P2488" s="12">
        <f t="shared" si="387"/>
        <v>-30.6</v>
      </c>
      <c r="Q2488" s="17" t="str">
        <f t="shared" si="389"/>
        <v>Ecart négatif</v>
      </c>
    </row>
    <row r="2489" spans="1:18" x14ac:dyDescent="0.3">
      <c r="A2489" s="34" t="str">
        <f>base!J2489</f>
        <v>RS</v>
      </c>
      <c r="B2489" s="34" t="str">
        <f>base!V2489</f>
        <v>60000</v>
      </c>
      <c r="C2489" s="37">
        <v>60</v>
      </c>
      <c r="D2489" s="36">
        <f>base!H2489</f>
        <v>55</v>
      </c>
      <c r="E2489" s="44"/>
      <c r="F2489" s="16">
        <f>base!W2489</f>
        <v>0</v>
      </c>
      <c r="G2489" s="11">
        <f t="shared" si="380"/>
        <v>0</v>
      </c>
      <c r="H2489" s="11">
        <f t="shared" si="381"/>
        <v>10.45</v>
      </c>
      <c r="I2489" s="11">
        <f t="shared" si="382"/>
        <v>0.18999999999999997</v>
      </c>
      <c r="J2489" s="12">
        <f t="shared" si="383"/>
        <v>-10.45</v>
      </c>
      <c r="K2489" s="17" t="str">
        <f t="shared" si="388"/>
        <v>Ecart négatif</v>
      </c>
      <c r="L2489" s="16">
        <f>base!X2489</f>
        <v>10.45</v>
      </c>
      <c r="M2489" s="11">
        <f t="shared" si="384"/>
        <v>0.18999999999999997</v>
      </c>
      <c r="N2489" s="11">
        <f t="shared" si="385"/>
        <v>0</v>
      </c>
      <c r="O2489" s="11">
        <f t="shared" si="386"/>
        <v>0</v>
      </c>
      <c r="P2489" s="12">
        <f t="shared" si="387"/>
        <v>10.45</v>
      </c>
      <c r="Q2489" s="17" t="str">
        <f t="shared" si="389"/>
        <v>Ecart positif</v>
      </c>
      <c r="R2489" s="38"/>
    </row>
    <row r="2490" spans="1:18" x14ac:dyDescent="0.3">
      <c r="A2490" s="34" t="str">
        <f>base!J2490</f>
        <v>LM</v>
      </c>
      <c r="B2490" s="34" t="str">
        <f>base!V2490</f>
        <v>69125</v>
      </c>
      <c r="C2490" s="37">
        <v>67</v>
      </c>
      <c r="D2490" s="36">
        <f>base!H2490</f>
        <v>55.48</v>
      </c>
      <c r="E2490" s="44"/>
      <c r="F2490" s="16">
        <f>base!W2490</f>
        <v>14.98</v>
      </c>
      <c r="G2490" s="11">
        <f t="shared" si="380"/>
        <v>0.27000720980533527</v>
      </c>
      <c r="H2490" s="11">
        <f t="shared" si="381"/>
        <v>16.089199999999998</v>
      </c>
      <c r="I2490" s="11">
        <f t="shared" si="382"/>
        <v>0.28999999999999998</v>
      </c>
      <c r="J2490" s="12">
        <f t="shared" si="383"/>
        <v>-1.1091999999999977</v>
      </c>
      <c r="K2490" s="17" t="str">
        <f t="shared" si="388"/>
        <v>Ecart négatif</v>
      </c>
      <c r="L2490" s="16">
        <f>base!X2490</f>
        <v>0</v>
      </c>
      <c r="M2490" s="11">
        <f t="shared" si="384"/>
        <v>0</v>
      </c>
      <c r="N2490" s="11">
        <f t="shared" si="385"/>
        <v>4.4383999999999997</v>
      </c>
      <c r="O2490" s="11">
        <f t="shared" si="386"/>
        <v>0.08</v>
      </c>
      <c r="P2490" s="12">
        <f t="shared" si="387"/>
        <v>-4.4383999999999997</v>
      </c>
      <c r="Q2490" s="17" t="str">
        <f t="shared" si="389"/>
        <v>Ecart négatif</v>
      </c>
    </row>
    <row r="2491" spans="1:18" x14ac:dyDescent="0.3">
      <c r="A2491" s="34" t="str">
        <f>base!J2491</f>
        <v>RM</v>
      </c>
      <c r="B2491" s="34" t="str">
        <f>base!V2491</f>
        <v>85700</v>
      </c>
      <c r="C2491" s="37">
        <v>85</v>
      </c>
      <c r="D2491" s="36">
        <f>base!H2491</f>
        <v>25</v>
      </c>
      <c r="E2491" s="44"/>
      <c r="F2491" s="16">
        <f>base!W2491</f>
        <v>0</v>
      </c>
      <c r="G2491" s="11">
        <f t="shared" si="380"/>
        <v>0</v>
      </c>
      <c r="H2491" s="11">
        <f t="shared" si="381"/>
        <v>6.75</v>
      </c>
      <c r="I2491" s="11">
        <f t="shared" si="382"/>
        <v>0.27</v>
      </c>
      <c r="J2491" s="12">
        <f t="shared" si="383"/>
        <v>-6.75</v>
      </c>
      <c r="K2491" s="17" t="str">
        <f t="shared" si="388"/>
        <v>Ecart négatif</v>
      </c>
      <c r="L2491" s="16">
        <f>base!X2491</f>
        <v>0</v>
      </c>
      <c r="M2491" s="11">
        <f t="shared" si="384"/>
        <v>0</v>
      </c>
      <c r="N2491" s="11">
        <f t="shared" si="385"/>
        <v>0</v>
      </c>
      <c r="O2491" s="11">
        <f t="shared" si="386"/>
        <v>0</v>
      </c>
      <c r="P2491" s="12">
        <f t="shared" si="387"/>
        <v>0</v>
      </c>
      <c r="Q2491" s="17" t="str">
        <f t="shared" si="389"/>
        <v>Pas d'écart</v>
      </c>
    </row>
    <row r="2492" spans="1:18" x14ac:dyDescent="0.3">
      <c r="A2492" s="34" t="str">
        <f>base!J2492</f>
        <v>LM</v>
      </c>
      <c r="B2492" s="34" t="str">
        <f>base!V2492</f>
        <v>92000</v>
      </c>
      <c r="C2492" s="37">
        <v>92</v>
      </c>
      <c r="D2492" s="36">
        <f>base!H2492</f>
        <v>50.84</v>
      </c>
      <c r="E2492" s="44"/>
      <c r="F2492" s="16">
        <f>base!W2492</f>
        <v>0</v>
      </c>
      <c r="G2492" s="11">
        <f t="shared" si="380"/>
        <v>0</v>
      </c>
      <c r="H2492" s="11">
        <f t="shared" si="381"/>
        <v>0</v>
      </c>
      <c r="I2492" s="11">
        <f t="shared" si="382"/>
        <v>0</v>
      </c>
      <c r="J2492" s="12">
        <f t="shared" si="383"/>
        <v>0</v>
      </c>
      <c r="K2492" s="17" t="str">
        <f t="shared" si="388"/>
        <v>Pas d'écart</v>
      </c>
      <c r="L2492" s="16">
        <f>base!X2492</f>
        <v>0</v>
      </c>
      <c r="M2492" s="11">
        <f t="shared" si="384"/>
        <v>0</v>
      </c>
      <c r="N2492" s="11">
        <f t="shared" si="385"/>
        <v>0</v>
      </c>
      <c r="O2492" s="11">
        <f t="shared" si="386"/>
        <v>0</v>
      </c>
      <c r="P2492" s="12">
        <f t="shared" si="387"/>
        <v>0</v>
      </c>
      <c r="Q2492" s="17" t="str">
        <f t="shared" si="389"/>
        <v>Pas d'écart</v>
      </c>
    </row>
    <row r="2493" spans="1:18" x14ac:dyDescent="0.3">
      <c r="A2493" s="34" t="str">
        <f>base!J2493</f>
        <v>LS</v>
      </c>
      <c r="B2493" s="34" t="str">
        <f>base!V2493</f>
        <v>77300</v>
      </c>
      <c r="C2493" s="37">
        <v>77</v>
      </c>
      <c r="D2493" s="36">
        <f>base!H2493</f>
        <v>0</v>
      </c>
      <c r="E2493" s="44"/>
      <c r="F2493" s="16">
        <f>base!W2493</f>
        <v>0</v>
      </c>
      <c r="G2493" s="11" t="e">
        <f t="shared" si="380"/>
        <v>#DIV/0!</v>
      </c>
      <c r="H2493" s="11">
        <f t="shared" si="381"/>
        <v>0</v>
      </c>
      <c r="I2493" s="11" t="e">
        <f t="shared" si="382"/>
        <v>#DIV/0!</v>
      </c>
      <c r="J2493" s="12">
        <f t="shared" si="383"/>
        <v>0</v>
      </c>
      <c r="K2493" s="17" t="str">
        <f t="shared" si="388"/>
        <v>Pas d'écart</v>
      </c>
      <c r="L2493" s="16">
        <f>base!X2493</f>
        <v>0</v>
      </c>
      <c r="M2493" s="11" t="e">
        <f t="shared" si="384"/>
        <v>#DIV/0!</v>
      </c>
      <c r="N2493" s="11">
        <f t="shared" si="385"/>
        <v>0</v>
      </c>
      <c r="O2493" s="11" t="e">
        <f t="shared" si="386"/>
        <v>#DIV/0!</v>
      </c>
      <c r="P2493" s="12">
        <f t="shared" si="387"/>
        <v>0</v>
      </c>
      <c r="Q2493" s="17" t="str">
        <f t="shared" si="389"/>
        <v>Pas d'écart</v>
      </c>
    </row>
    <row r="2494" spans="1:18" x14ac:dyDescent="0.3">
      <c r="A2494" s="34" t="str">
        <f>base!J2494</f>
        <v>DLM</v>
      </c>
      <c r="B2494" s="34" t="str">
        <f>base!V2494</f>
        <v>62300</v>
      </c>
      <c r="C2494" s="37">
        <v>62</v>
      </c>
      <c r="D2494" s="36">
        <f>base!H2494</f>
        <v>52.5</v>
      </c>
      <c r="E2494" s="44"/>
      <c r="F2494" s="16">
        <f>base!W2494</f>
        <v>0</v>
      </c>
      <c r="G2494" s="11">
        <f t="shared" si="380"/>
        <v>0</v>
      </c>
      <c r="H2494" s="11">
        <f t="shared" si="381"/>
        <v>9.9749999999999996</v>
      </c>
      <c r="I2494" s="11">
        <f t="shared" si="382"/>
        <v>0.19</v>
      </c>
      <c r="J2494" s="12">
        <f t="shared" si="383"/>
        <v>-9.9749999999999996</v>
      </c>
      <c r="K2494" s="17" t="str">
        <f t="shared" si="388"/>
        <v>Ecart négatif</v>
      </c>
      <c r="L2494" s="16">
        <f>base!X2494</f>
        <v>0</v>
      </c>
      <c r="M2494" s="11">
        <f t="shared" si="384"/>
        <v>0</v>
      </c>
      <c r="N2494" s="11">
        <f t="shared" si="385"/>
        <v>0</v>
      </c>
      <c r="O2494" s="11">
        <f t="shared" si="386"/>
        <v>0</v>
      </c>
      <c r="P2494" s="12">
        <f t="shared" si="387"/>
        <v>0</v>
      </c>
      <c r="Q2494" s="17" t="str">
        <f t="shared" si="389"/>
        <v>Pas d'écart</v>
      </c>
    </row>
    <row r="2495" spans="1:18" x14ac:dyDescent="0.3">
      <c r="A2495" s="34" t="str">
        <f>base!J2495</f>
        <v>DLM</v>
      </c>
      <c r="B2495" s="34" t="str">
        <f>base!V2495</f>
        <v>13006</v>
      </c>
      <c r="C2495" s="37">
        <v>13</v>
      </c>
      <c r="D2495" s="36">
        <f>base!H2495</f>
        <v>52.5</v>
      </c>
      <c r="E2495" s="44"/>
      <c r="F2495" s="16">
        <f>base!W2495</f>
        <v>15.23</v>
      </c>
      <c r="G2495" s="11">
        <f t="shared" si="380"/>
        <v>0.29009523809523813</v>
      </c>
      <c r="H2495" s="11">
        <f t="shared" si="381"/>
        <v>15.225</v>
      </c>
      <c r="I2495" s="11">
        <f t="shared" si="382"/>
        <v>0.28999999999999998</v>
      </c>
      <c r="J2495" s="12">
        <f t="shared" si="383"/>
        <v>5.0000000000007816E-3</v>
      </c>
      <c r="K2495" s="17" t="str">
        <f t="shared" si="388"/>
        <v>Ecart positif</v>
      </c>
      <c r="L2495" s="16">
        <f>base!X2495</f>
        <v>0</v>
      </c>
      <c r="M2495" s="11">
        <f t="shared" si="384"/>
        <v>0</v>
      </c>
      <c r="N2495" s="11">
        <f t="shared" si="385"/>
        <v>9.9749999999999996</v>
      </c>
      <c r="O2495" s="11">
        <f t="shared" si="386"/>
        <v>0.19</v>
      </c>
      <c r="P2495" s="12">
        <f t="shared" si="387"/>
        <v>-9.9749999999999996</v>
      </c>
      <c r="Q2495" s="17" t="str">
        <f t="shared" si="389"/>
        <v>Ecart négatif</v>
      </c>
    </row>
    <row r="2496" spans="1:18" x14ac:dyDescent="0.3">
      <c r="A2496" s="34" t="str">
        <f>base!J2496</f>
        <v>DLM</v>
      </c>
      <c r="B2496" s="34" t="str">
        <f>base!V2496</f>
        <v>75018</v>
      </c>
      <c r="C2496" s="37">
        <v>75</v>
      </c>
      <c r="D2496" s="36">
        <f>base!H2496</f>
        <v>52.5</v>
      </c>
      <c r="E2496" s="44"/>
      <c r="F2496" s="16">
        <f>base!W2496</f>
        <v>0</v>
      </c>
      <c r="G2496" s="11">
        <f t="shared" si="380"/>
        <v>0</v>
      </c>
      <c r="H2496" s="11">
        <f t="shared" si="381"/>
        <v>0</v>
      </c>
      <c r="I2496" s="11">
        <f t="shared" si="382"/>
        <v>0</v>
      </c>
      <c r="J2496" s="12">
        <f t="shared" si="383"/>
        <v>0</v>
      </c>
      <c r="K2496" s="17" t="str">
        <f t="shared" si="388"/>
        <v>Pas d'écart</v>
      </c>
      <c r="L2496" s="16">
        <f>base!X2496</f>
        <v>0</v>
      </c>
      <c r="M2496" s="11">
        <f t="shared" si="384"/>
        <v>0</v>
      </c>
      <c r="N2496" s="11">
        <f t="shared" si="385"/>
        <v>0</v>
      </c>
      <c r="O2496" s="11">
        <f t="shared" si="386"/>
        <v>0</v>
      </c>
      <c r="P2496" s="12">
        <f t="shared" si="387"/>
        <v>0</v>
      </c>
      <c r="Q2496" s="17" t="str">
        <f t="shared" si="389"/>
        <v>Pas d'écart</v>
      </c>
    </row>
    <row r="2497" spans="1:18" x14ac:dyDescent="0.3">
      <c r="A2497" s="34" t="str">
        <f>base!J2497</f>
        <v>DLM</v>
      </c>
      <c r="B2497" s="34" t="str">
        <f>base!V2497</f>
        <v>59300</v>
      </c>
      <c r="C2497" s="37">
        <v>59</v>
      </c>
      <c r="D2497" s="36">
        <f>base!H2497</f>
        <v>52.5</v>
      </c>
      <c r="E2497" s="44"/>
      <c r="F2497" s="16">
        <f>base!W2497</f>
        <v>0</v>
      </c>
      <c r="G2497" s="11">
        <f t="shared" si="380"/>
        <v>0</v>
      </c>
      <c r="H2497" s="11">
        <f t="shared" si="381"/>
        <v>9.9749999999999996</v>
      </c>
      <c r="I2497" s="11">
        <f t="shared" si="382"/>
        <v>0.19</v>
      </c>
      <c r="J2497" s="12">
        <f t="shared" si="383"/>
        <v>-9.9749999999999996</v>
      </c>
      <c r="K2497" s="17" t="str">
        <f t="shared" si="388"/>
        <v>Ecart négatif</v>
      </c>
      <c r="L2497" s="16">
        <f>base!X2497</f>
        <v>0</v>
      </c>
      <c r="M2497" s="11">
        <f t="shared" si="384"/>
        <v>0</v>
      </c>
      <c r="N2497" s="11">
        <f t="shared" si="385"/>
        <v>0</v>
      </c>
      <c r="O2497" s="11">
        <f t="shared" si="386"/>
        <v>0</v>
      </c>
      <c r="P2497" s="12">
        <f t="shared" si="387"/>
        <v>0</v>
      </c>
      <c r="Q2497" s="17" t="str">
        <f t="shared" si="389"/>
        <v>Pas d'écart</v>
      </c>
    </row>
    <row r="2498" spans="1:18" x14ac:dyDescent="0.3">
      <c r="A2498" s="34" t="str">
        <f>base!J2498</f>
        <v>DLM</v>
      </c>
      <c r="B2498" s="34" t="str">
        <f>base!V2498</f>
        <v>33150</v>
      </c>
      <c r="C2498" s="37">
        <v>33</v>
      </c>
      <c r="D2498" s="36">
        <f>base!H2498</f>
        <v>52.5</v>
      </c>
      <c r="E2498" s="44"/>
      <c r="F2498" s="16">
        <f>base!W2498</f>
        <v>11.03</v>
      </c>
      <c r="G2498" s="11">
        <f t="shared" ref="G2498:G2561" si="390">F2498/D2498</f>
        <v>0.21009523809523808</v>
      </c>
      <c r="H2498" s="11">
        <f t="shared" ref="H2498:H2561" si="391">VLOOKUP(C2498,tout_cout_traction,2,FALSE)*D2498</f>
        <v>11.025</v>
      </c>
      <c r="I2498" s="11">
        <f t="shared" ref="I2498:I2561" si="392">H2498/D2498</f>
        <v>0.21000000000000002</v>
      </c>
      <c r="J2498" s="12">
        <f t="shared" ref="J2498:J2561" si="393">F2498-H2498</f>
        <v>4.9999999999990052E-3</v>
      </c>
      <c r="K2498" s="17" t="str">
        <f t="shared" si="388"/>
        <v>Ecart positif</v>
      </c>
      <c r="L2498" s="16">
        <f>base!X2498</f>
        <v>0</v>
      </c>
      <c r="M2498" s="11">
        <f t="shared" ref="M2498:M2561" si="394">L2498/D2498</f>
        <v>0</v>
      </c>
      <c r="N2498" s="11">
        <f t="shared" ref="N2498:N2561" si="395">VLOOKUP(C2498,tout_cout_traction,3,FALSE)*D2498</f>
        <v>8.9250000000000007</v>
      </c>
      <c r="O2498" s="11">
        <f t="shared" ref="O2498:O2561" si="396">N2498/D2498</f>
        <v>0.17</v>
      </c>
      <c r="P2498" s="12">
        <f t="shared" ref="P2498:P2561" si="397">L2498-N2498</f>
        <v>-8.9250000000000007</v>
      </c>
      <c r="Q2498" s="17" t="str">
        <f t="shared" si="389"/>
        <v>Ecart négatif</v>
      </c>
    </row>
    <row r="2499" spans="1:18" x14ac:dyDescent="0.3">
      <c r="A2499" s="34" t="str">
        <f>base!J2499</f>
        <v>LS</v>
      </c>
      <c r="B2499" s="34" t="str">
        <f>base!V2499</f>
        <v>57070</v>
      </c>
      <c r="C2499" s="37">
        <v>57</v>
      </c>
      <c r="D2499" s="36">
        <f>base!H2499</f>
        <v>0</v>
      </c>
      <c r="E2499" s="44"/>
      <c r="F2499" s="16">
        <f>base!W2499</f>
        <v>0</v>
      </c>
      <c r="G2499" s="11" t="e">
        <f t="shared" si="390"/>
        <v>#DIV/0!</v>
      </c>
      <c r="H2499" s="11">
        <f t="shared" si="391"/>
        <v>0</v>
      </c>
      <c r="I2499" s="11" t="e">
        <f t="shared" si="392"/>
        <v>#DIV/0!</v>
      </c>
      <c r="J2499" s="12">
        <f t="shared" si="393"/>
        <v>0</v>
      </c>
      <c r="K2499" s="17" t="str">
        <f t="shared" ref="K2499:K2562" si="398">IF(H2499=F2499,"Pas d'écart",IF(H2499&lt;F2499,"Ecart positif",IF(H2499&gt;F2499,"Ecart négatif")))</f>
        <v>Pas d'écart</v>
      </c>
      <c r="L2499" s="16">
        <f>base!X2499</f>
        <v>0</v>
      </c>
      <c r="M2499" s="11" t="e">
        <f t="shared" si="394"/>
        <v>#DIV/0!</v>
      </c>
      <c r="N2499" s="11">
        <f t="shared" si="395"/>
        <v>0</v>
      </c>
      <c r="O2499" s="11" t="e">
        <f t="shared" si="396"/>
        <v>#DIV/0!</v>
      </c>
      <c r="P2499" s="12">
        <f t="shared" si="397"/>
        <v>0</v>
      </c>
      <c r="Q2499" s="17" t="str">
        <f t="shared" ref="Q2499:Q2562" si="399">IF(N2499=L2499,"Pas d'écart",IF(N2499&lt;L2499,"Ecart positif",IF(N2499&gt;L2499,"Ecart négatif")))</f>
        <v>Pas d'écart</v>
      </c>
    </row>
    <row r="2500" spans="1:18" x14ac:dyDescent="0.3">
      <c r="A2500" s="34" t="str">
        <f>base!J2500</f>
        <v>RS</v>
      </c>
      <c r="B2500" s="34" t="str">
        <f>base!V2500</f>
        <v>85100</v>
      </c>
      <c r="C2500" s="37">
        <v>85</v>
      </c>
      <c r="D2500" s="36">
        <f>base!H2500</f>
        <v>186.06</v>
      </c>
      <c r="E2500" s="44"/>
      <c r="F2500" s="16">
        <f>base!W2500</f>
        <v>0</v>
      </c>
      <c r="G2500" s="11">
        <f t="shared" si="390"/>
        <v>0</v>
      </c>
      <c r="H2500" s="11">
        <f t="shared" si="391"/>
        <v>50.236200000000004</v>
      </c>
      <c r="I2500" s="11">
        <f t="shared" si="392"/>
        <v>0.27</v>
      </c>
      <c r="J2500" s="12">
        <f t="shared" si="393"/>
        <v>-50.236200000000004</v>
      </c>
      <c r="K2500" s="17" t="str">
        <f t="shared" si="398"/>
        <v>Ecart négatif</v>
      </c>
      <c r="L2500" s="16">
        <f>base!X2500</f>
        <v>50.24</v>
      </c>
      <c r="M2500" s="11">
        <f t="shared" si="394"/>
        <v>0.27002042351929484</v>
      </c>
      <c r="N2500" s="11">
        <f t="shared" si="395"/>
        <v>0</v>
      </c>
      <c r="O2500" s="11">
        <f t="shared" si="396"/>
        <v>0</v>
      </c>
      <c r="P2500" s="12">
        <f t="shared" si="397"/>
        <v>50.24</v>
      </c>
      <c r="Q2500" s="17" t="str">
        <f t="shared" si="399"/>
        <v>Ecart positif</v>
      </c>
      <c r="R2500" s="38"/>
    </row>
    <row r="2501" spans="1:18" x14ac:dyDescent="0.3">
      <c r="A2501" s="34" t="str">
        <f>base!J2501</f>
        <v>DLS</v>
      </c>
      <c r="B2501" s="34" t="str">
        <f>base!V2501</f>
        <v>76000</v>
      </c>
      <c r="C2501" s="37">
        <v>76</v>
      </c>
      <c r="D2501" s="36">
        <f>base!H2501</f>
        <v>67.599999999999994</v>
      </c>
      <c r="E2501" s="44"/>
      <c r="F2501" s="16">
        <f>base!W2501</f>
        <v>0</v>
      </c>
      <c r="G2501" s="11">
        <f t="shared" si="390"/>
        <v>0</v>
      </c>
      <c r="H2501" s="11">
        <f t="shared" si="391"/>
        <v>11.491999999999999</v>
      </c>
      <c r="I2501" s="11">
        <f t="shared" si="392"/>
        <v>0.17</v>
      </c>
      <c r="J2501" s="12">
        <f t="shared" si="393"/>
        <v>-11.491999999999999</v>
      </c>
      <c r="K2501" s="17" t="str">
        <f t="shared" si="398"/>
        <v>Ecart négatif</v>
      </c>
      <c r="L2501" s="16">
        <f>base!X2501</f>
        <v>0</v>
      </c>
      <c r="M2501" s="11">
        <f t="shared" si="394"/>
        <v>0</v>
      </c>
      <c r="N2501" s="11">
        <f t="shared" si="395"/>
        <v>11.491999999999999</v>
      </c>
      <c r="O2501" s="11">
        <f t="shared" si="396"/>
        <v>0.17</v>
      </c>
      <c r="P2501" s="12">
        <f t="shared" si="397"/>
        <v>-11.491999999999999</v>
      </c>
      <c r="Q2501" s="17" t="str">
        <f t="shared" si="399"/>
        <v>Ecart négatif</v>
      </c>
    </row>
    <row r="2502" spans="1:18" x14ac:dyDescent="0.3">
      <c r="A2502" s="34" t="str">
        <f>base!J2502</f>
        <v>RM</v>
      </c>
      <c r="B2502" s="34" t="str">
        <f>base!V2502</f>
        <v>38300</v>
      </c>
      <c r="C2502" s="37">
        <v>38</v>
      </c>
      <c r="D2502" s="36">
        <f>base!H2502</f>
        <v>1031.07</v>
      </c>
      <c r="E2502" s="44"/>
      <c r="F2502" s="16">
        <f>base!W2502</f>
        <v>0</v>
      </c>
      <c r="G2502" s="11">
        <f t="shared" si="390"/>
        <v>0</v>
      </c>
      <c r="H2502" s="11">
        <f t="shared" si="391"/>
        <v>278.38889999999998</v>
      </c>
      <c r="I2502" s="11">
        <f t="shared" si="392"/>
        <v>0.27</v>
      </c>
      <c r="J2502" s="12">
        <f t="shared" si="393"/>
        <v>-278.38889999999998</v>
      </c>
      <c r="K2502" s="17" t="str">
        <f t="shared" si="398"/>
        <v>Ecart négatif</v>
      </c>
      <c r="L2502" s="16">
        <f>base!X2502</f>
        <v>278.39</v>
      </c>
      <c r="M2502" s="11">
        <f t="shared" si="394"/>
        <v>0.270001066852881</v>
      </c>
      <c r="N2502" s="11">
        <f t="shared" si="395"/>
        <v>0</v>
      </c>
      <c r="O2502" s="11">
        <f t="shared" si="396"/>
        <v>0</v>
      </c>
      <c r="P2502" s="12">
        <f t="shared" si="397"/>
        <v>278.39</v>
      </c>
      <c r="Q2502" s="17" t="str">
        <f t="shared" si="399"/>
        <v>Ecart positif</v>
      </c>
      <c r="R2502" s="38"/>
    </row>
    <row r="2503" spans="1:18" x14ac:dyDescent="0.3">
      <c r="A2503" s="34" t="str">
        <f>base!J2503</f>
        <v>DLS</v>
      </c>
      <c r="B2503" s="34" t="str">
        <f>base!V2503</f>
        <v>57365</v>
      </c>
      <c r="C2503" s="37">
        <v>57</v>
      </c>
      <c r="D2503" s="36">
        <f>base!H2503</f>
        <v>116.58</v>
      </c>
      <c r="E2503" s="44"/>
      <c r="F2503" s="16">
        <f>base!W2503</f>
        <v>0</v>
      </c>
      <c r="G2503" s="11">
        <f t="shared" si="390"/>
        <v>0</v>
      </c>
      <c r="H2503" s="11">
        <f t="shared" si="391"/>
        <v>27.979199999999999</v>
      </c>
      <c r="I2503" s="11">
        <f t="shared" si="392"/>
        <v>0.24</v>
      </c>
      <c r="J2503" s="12">
        <f t="shared" si="393"/>
        <v>-27.979199999999999</v>
      </c>
      <c r="K2503" s="17" t="str">
        <f t="shared" si="398"/>
        <v>Ecart négatif</v>
      </c>
      <c r="L2503" s="16">
        <f>base!X2503</f>
        <v>0</v>
      </c>
      <c r="M2503" s="11">
        <f t="shared" si="394"/>
        <v>0</v>
      </c>
      <c r="N2503" s="11">
        <f t="shared" si="395"/>
        <v>29.145</v>
      </c>
      <c r="O2503" s="11">
        <f t="shared" si="396"/>
        <v>0.25</v>
      </c>
      <c r="P2503" s="12">
        <f t="shared" si="397"/>
        <v>-29.145</v>
      </c>
      <c r="Q2503" s="17" t="str">
        <f t="shared" si="399"/>
        <v>Ecart négatif</v>
      </c>
    </row>
    <row r="2504" spans="1:18" x14ac:dyDescent="0.3">
      <c r="A2504" s="34" t="str">
        <f>base!J2504</f>
        <v>RM</v>
      </c>
      <c r="B2504" s="34" t="str">
        <f>base!V2504</f>
        <v>06560</v>
      </c>
      <c r="C2504" s="37">
        <v>6</v>
      </c>
      <c r="D2504" s="36">
        <f>base!H2504</f>
        <v>151</v>
      </c>
      <c r="E2504" s="44"/>
      <c r="F2504" s="16">
        <f>base!W2504</f>
        <v>0</v>
      </c>
      <c r="G2504" s="11">
        <f t="shared" si="390"/>
        <v>0</v>
      </c>
      <c r="H2504" s="11">
        <f t="shared" si="391"/>
        <v>45.3</v>
      </c>
      <c r="I2504" s="11">
        <f t="shared" si="392"/>
        <v>0.3</v>
      </c>
      <c r="J2504" s="12">
        <f t="shared" si="393"/>
        <v>-45.3</v>
      </c>
      <c r="K2504" s="17" t="str">
        <f t="shared" si="398"/>
        <v>Ecart négatif</v>
      </c>
      <c r="L2504" s="16">
        <f>base!X2504</f>
        <v>0</v>
      </c>
      <c r="M2504" s="11">
        <f t="shared" si="394"/>
        <v>0</v>
      </c>
      <c r="N2504" s="11">
        <f t="shared" si="395"/>
        <v>31.709999999999997</v>
      </c>
      <c r="O2504" s="11">
        <f t="shared" si="396"/>
        <v>0.21</v>
      </c>
      <c r="P2504" s="12">
        <f t="shared" si="397"/>
        <v>-31.709999999999997</v>
      </c>
      <c r="Q2504" s="17" t="str">
        <f t="shared" si="399"/>
        <v>Ecart négatif</v>
      </c>
    </row>
    <row r="2505" spans="1:18" x14ac:dyDescent="0.3">
      <c r="A2505" s="34" t="str">
        <f>base!J2505</f>
        <v>RM</v>
      </c>
      <c r="B2505" s="34" t="str">
        <f>base!V2505</f>
        <v>06560</v>
      </c>
      <c r="C2505" s="37">
        <v>6</v>
      </c>
      <c r="D2505" s="36">
        <f>base!H2505</f>
        <v>151</v>
      </c>
      <c r="E2505" s="44"/>
      <c r="F2505" s="16">
        <f>base!W2505</f>
        <v>0</v>
      </c>
      <c r="G2505" s="11">
        <f t="shared" si="390"/>
        <v>0</v>
      </c>
      <c r="H2505" s="11">
        <f t="shared" si="391"/>
        <v>45.3</v>
      </c>
      <c r="I2505" s="11">
        <f t="shared" si="392"/>
        <v>0.3</v>
      </c>
      <c r="J2505" s="12">
        <f t="shared" si="393"/>
        <v>-45.3</v>
      </c>
      <c r="K2505" s="17" t="str">
        <f t="shared" si="398"/>
        <v>Ecart négatif</v>
      </c>
      <c r="L2505" s="16">
        <f>base!X2505</f>
        <v>0</v>
      </c>
      <c r="M2505" s="11">
        <f t="shared" si="394"/>
        <v>0</v>
      </c>
      <c r="N2505" s="11">
        <f t="shared" si="395"/>
        <v>31.709999999999997</v>
      </c>
      <c r="O2505" s="11">
        <f t="shared" si="396"/>
        <v>0.21</v>
      </c>
      <c r="P2505" s="12">
        <f t="shared" si="397"/>
        <v>-31.709999999999997</v>
      </c>
      <c r="Q2505" s="17" t="str">
        <f t="shared" si="399"/>
        <v>Ecart négatif</v>
      </c>
    </row>
    <row r="2506" spans="1:18" x14ac:dyDescent="0.3">
      <c r="A2506" s="34" t="str">
        <f>base!J2506</f>
        <v>RS</v>
      </c>
      <c r="B2506" s="34" t="str">
        <f>base!V2506</f>
        <v>77230</v>
      </c>
      <c r="C2506" s="37">
        <v>77</v>
      </c>
      <c r="D2506" s="36">
        <f>base!H2506</f>
        <v>515.1</v>
      </c>
      <c r="E2506" s="44"/>
      <c r="F2506" s="16">
        <f>base!W2506</f>
        <v>0</v>
      </c>
      <c r="G2506" s="11">
        <f t="shared" si="390"/>
        <v>0</v>
      </c>
      <c r="H2506" s="11">
        <f t="shared" si="391"/>
        <v>0</v>
      </c>
      <c r="I2506" s="11">
        <f t="shared" si="392"/>
        <v>0</v>
      </c>
      <c r="J2506" s="12">
        <f t="shared" si="393"/>
        <v>0</v>
      </c>
      <c r="K2506" s="17" t="str">
        <f t="shared" si="398"/>
        <v>Pas d'écart</v>
      </c>
      <c r="L2506" s="16">
        <f>base!X2506</f>
        <v>0</v>
      </c>
      <c r="M2506" s="11">
        <f t="shared" si="394"/>
        <v>0</v>
      </c>
      <c r="N2506" s="11">
        <f t="shared" si="395"/>
        <v>0</v>
      </c>
      <c r="O2506" s="11">
        <f t="shared" si="396"/>
        <v>0</v>
      </c>
      <c r="P2506" s="12">
        <f t="shared" si="397"/>
        <v>0</v>
      </c>
      <c r="Q2506" s="17" t="str">
        <f t="shared" si="399"/>
        <v>Pas d'écart</v>
      </c>
    </row>
    <row r="2507" spans="1:18" x14ac:dyDescent="0.3">
      <c r="A2507" s="34">
        <f>base!J2507</f>
        <v>0</v>
      </c>
      <c r="B2507" s="34" t="str">
        <f>base!V2507</f>
        <v>77184</v>
      </c>
      <c r="C2507" s="37">
        <v>77</v>
      </c>
      <c r="D2507" s="36">
        <f>base!H2507</f>
        <v>10</v>
      </c>
      <c r="E2507" s="44"/>
      <c r="F2507" s="16">
        <f>base!W2507</f>
        <v>0</v>
      </c>
      <c r="G2507" s="11">
        <f t="shared" si="390"/>
        <v>0</v>
      </c>
      <c r="H2507" s="11">
        <f t="shared" si="391"/>
        <v>0</v>
      </c>
      <c r="I2507" s="11">
        <f t="shared" si="392"/>
        <v>0</v>
      </c>
      <c r="J2507" s="12">
        <f t="shared" si="393"/>
        <v>0</v>
      </c>
      <c r="K2507" s="17" t="str">
        <f t="shared" si="398"/>
        <v>Pas d'écart</v>
      </c>
      <c r="L2507" s="16">
        <f>base!X2507</f>
        <v>0</v>
      </c>
      <c r="M2507" s="11">
        <f t="shared" si="394"/>
        <v>0</v>
      </c>
      <c r="N2507" s="11">
        <f t="shared" si="395"/>
        <v>0</v>
      </c>
      <c r="O2507" s="11">
        <f t="shared" si="396"/>
        <v>0</v>
      </c>
      <c r="P2507" s="12">
        <f t="shared" si="397"/>
        <v>0</v>
      </c>
      <c r="Q2507" s="17" t="str">
        <f t="shared" si="399"/>
        <v>Pas d'écart</v>
      </c>
    </row>
    <row r="2508" spans="1:18" x14ac:dyDescent="0.3">
      <c r="A2508" s="34" t="str">
        <f>base!J2508</f>
        <v>LS</v>
      </c>
      <c r="B2508" s="34" t="str">
        <f>base!V2508</f>
        <v>60800</v>
      </c>
      <c r="C2508" s="37">
        <v>45</v>
      </c>
      <c r="D2508" s="36">
        <f>base!H2508</f>
        <v>130.25</v>
      </c>
      <c r="E2508" s="44"/>
      <c r="F2508" s="16">
        <f>base!W2508</f>
        <v>24.75</v>
      </c>
      <c r="G2508" s="11">
        <f t="shared" si="390"/>
        <v>0.19001919385796545</v>
      </c>
      <c r="H2508" s="11">
        <f t="shared" si="391"/>
        <v>27.352499999999999</v>
      </c>
      <c r="I2508" s="11">
        <f t="shared" si="392"/>
        <v>0.21</v>
      </c>
      <c r="J2508" s="12">
        <f t="shared" si="393"/>
        <v>-2.6024999999999991</v>
      </c>
      <c r="K2508" s="17" t="str">
        <f t="shared" si="398"/>
        <v>Ecart négatif</v>
      </c>
      <c r="L2508" s="16">
        <f>base!X2508</f>
        <v>0</v>
      </c>
      <c r="M2508" s="11">
        <f t="shared" si="394"/>
        <v>0</v>
      </c>
      <c r="N2508" s="11">
        <f t="shared" si="395"/>
        <v>15.629999999999999</v>
      </c>
      <c r="O2508" s="11">
        <f t="shared" si="396"/>
        <v>0.12</v>
      </c>
      <c r="P2508" s="12">
        <f t="shared" si="397"/>
        <v>-15.629999999999999</v>
      </c>
      <c r="Q2508" s="17" t="str">
        <f t="shared" si="399"/>
        <v>Ecart négatif</v>
      </c>
    </row>
    <row r="2509" spans="1:18" x14ac:dyDescent="0.3">
      <c r="A2509" s="34" t="str">
        <f>base!J2509</f>
        <v>LM</v>
      </c>
      <c r="B2509" s="34" t="str">
        <f>base!V2509</f>
        <v>75008</v>
      </c>
      <c r="C2509" s="37">
        <v>75</v>
      </c>
      <c r="D2509" s="36">
        <f>base!H2509</f>
        <v>185.92</v>
      </c>
      <c r="E2509" s="44"/>
      <c r="F2509" s="16">
        <f>base!W2509</f>
        <v>0</v>
      </c>
      <c r="G2509" s="11">
        <f t="shared" si="390"/>
        <v>0</v>
      </c>
      <c r="H2509" s="11">
        <f t="shared" si="391"/>
        <v>0</v>
      </c>
      <c r="I2509" s="11">
        <f t="shared" si="392"/>
        <v>0</v>
      </c>
      <c r="J2509" s="12">
        <f t="shared" si="393"/>
        <v>0</v>
      </c>
      <c r="K2509" s="17" t="str">
        <f t="shared" si="398"/>
        <v>Pas d'écart</v>
      </c>
      <c r="L2509" s="16">
        <f>base!X2509</f>
        <v>0</v>
      </c>
      <c r="M2509" s="11">
        <f t="shared" si="394"/>
        <v>0</v>
      </c>
      <c r="N2509" s="11">
        <f t="shared" si="395"/>
        <v>0</v>
      </c>
      <c r="O2509" s="11">
        <f t="shared" si="396"/>
        <v>0</v>
      </c>
      <c r="P2509" s="12">
        <f t="shared" si="397"/>
        <v>0</v>
      </c>
      <c r="Q2509" s="17" t="str">
        <f t="shared" si="399"/>
        <v>Pas d'écart</v>
      </c>
    </row>
    <row r="2510" spans="1:18" x14ac:dyDescent="0.3">
      <c r="A2510" s="34" t="str">
        <f>base!J2510</f>
        <v>RM</v>
      </c>
      <c r="B2510" s="34" t="str">
        <f>base!V2510</f>
        <v>84000</v>
      </c>
      <c r="C2510" s="37">
        <v>84</v>
      </c>
      <c r="D2510" s="36">
        <f>base!H2510</f>
        <v>140</v>
      </c>
      <c r="E2510" s="44"/>
      <c r="F2510" s="16">
        <f>base!W2510</f>
        <v>0</v>
      </c>
      <c r="G2510" s="11">
        <f t="shared" si="390"/>
        <v>0</v>
      </c>
      <c r="H2510" s="11">
        <f t="shared" si="391"/>
        <v>40.599999999999994</v>
      </c>
      <c r="I2510" s="11">
        <f t="shared" si="392"/>
        <v>0.28999999999999998</v>
      </c>
      <c r="J2510" s="12">
        <f t="shared" si="393"/>
        <v>-40.599999999999994</v>
      </c>
      <c r="K2510" s="17" t="str">
        <f t="shared" si="398"/>
        <v>Ecart négatif</v>
      </c>
      <c r="L2510" s="16">
        <f>base!X2510</f>
        <v>26.6</v>
      </c>
      <c r="M2510" s="11">
        <f t="shared" si="394"/>
        <v>0.19</v>
      </c>
      <c r="N2510" s="11">
        <f t="shared" si="395"/>
        <v>26.6</v>
      </c>
      <c r="O2510" s="11">
        <f t="shared" si="396"/>
        <v>0.19</v>
      </c>
      <c r="P2510" s="12">
        <f t="shared" si="397"/>
        <v>0</v>
      </c>
      <c r="Q2510" s="17" t="str">
        <f t="shared" si="399"/>
        <v>Pas d'écart</v>
      </c>
      <c r="R2510" s="38"/>
    </row>
    <row r="2511" spans="1:18" x14ac:dyDescent="0.3">
      <c r="A2511" s="34" t="str">
        <f>base!J2511</f>
        <v>RM</v>
      </c>
      <c r="B2511" s="34" t="str">
        <f>base!V2511</f>
        <v>67000</v>
      </c>
      <c r="C2511" s="37">
        <v>67</v>
      </c>
      <c r="D2511" s="36">
        <f>base!H2511</f>
        <v>25</v>
      </c>
      <c r="E2511" s="44"/>
      <c r="F2511" s="16">
        <f>base!W2511</f>
        <v>0</v>
      </c>
      <c r="G2511" s="11">
        <f t="shared" si="390"/>
        <v>0</v>
      </c>
      <c r="H2511" s="11">
        <f t="shared" si="391"/>
        <v>7.2499999999999991</v>
      </c>
      <c r="I2511" s="11">
        <f t="shared" si="392"/>
        <v>0.28999999999999998</v>
      </c>
      <c r="J2511" s="12">
        <f t="shared" si="393"/>
        <v>-7.2499999999999991</v>
      </c>
      <c r="K2511" s="17" t="str">
        <f t="shared" si="398"/>
        <v>Ecart négatif</v>
      </c>
      <c r="L2511" s="16">
        <f>base!X2511</f>
        <v>2</v>
      </c>
      <c r="M2511" s="11">
        <f t="shared" si="394"/>
        <v>0.08</v>
      </c>
      <c r="N2511" s="11">
        <f t="shared" si="395"/>
        <v>2</v>
      </c>
      <c r="O2511" s="11">
        <f t="shared" si="396"/>
        <v>0.08</v>
      </c>
      <c r="P2511" s="12">
        <f t="shared" si="397"/>
        <v>0</v>
      </c>
      <c r="Q2511" s="17" t="str">
        <f t="shared" si="399"/>
        <v>Pas d'écart</v>
      </c>
      <c r="R2511" s="38"/>
    </row>
    <row r="2512" spans="1:18" x14ac:dyDescent="0.3">
      <c r="A2512" s="34" t="str">
        <f>base!J2512</f>
        <v>LS</v>
      </c>
      <c r="B2512" s="34" t="str">
        <f>base!V2512</f>
        <v>75018</v>
      </c>
      <c r="C2512" s="37">
        <v>75</v>
      </c>
      <c r="D2512" s="36">
        <f>base!H2512</f>
        <v>151</v>
      </c>
      <c r="E2512" s="44"/>
      <c r="F2512" s="16">
        <f>base!W2512</f>
        <v>0</v>
      </c>
      <c r="G2512" s="11">
        <f t="shared" si="390"/>
        <v>0</v>
      </c>
      <c r="H2512" s="11">
        <f t="shared" si="391"/>
        <v>0</v>
      </c>
      <c r="I2512" s="11">
        <f t="shared" si="392"/>
        <v>0</v>
      </c>
      <c r="J2512" s="12">
        <f t="shared" si="393"/>
        <v>0</v>
      </c>
      <c r="K2512" s="17" t="str">
        <f t="shared" si="398"/>
        <v>Pas d'écart</v>
      </c>
      <c r="L2512" s="16">
        <f>base!X2512</f>
        <v>0</v>
      </c>
      <c r="M2512" s="11">
        <f t="shared" si="394"/>
        <v>0</v>
      </c>
      <c r="N2512" s="11">
        <f t="shared" si="395"/>
        <v>0</v>
      </c>
      <c r="O2512" s="11">
        <f t="shared" si="396"/>
        <v>0</v>
      </c>
      <c r="P2512" s="12">
        <f t="shared" si="397"/>
        <v>0</v>
      </c>
      <c r="Q2512" s="17" t="str">
        <f t="shared" si="399"/>
        <v>Pas d'écart</v>
      </c>
    </row>
    <row r="2513" spans="1:18" x14ac:dyDescent="0.3">
      <c r="A2513" s="34" t="str">
        <f>base!J2513</f>
        <v>RS</v>
      </c>
      <c r="B2513" s="34" t="str">
        <f>base!V2513</f>
        <v>61250</v>
      </c>
      <c r="C2513" s="37">
        <v>61</v>
      </c>
      <c r="D2513" s="36">
        <f>base!H2513</f>
        <v>220.98</v>
      </c>
      <c r="E2513" s="44"/>
      <c r="F2513" s="16">
        <f>base!W2513</f>
        <v>0</v>
      </c>
      <c r="G2513" s="11">
        <f t="shared" si="390"/>
        <v>0</v>
      </c>
      <c r="H2513" s="11">
        <f t="shared" si="391"/>
        <v>37.566600000000001</v>
      </c>
      <c r="I2513" s="11">
        <f t="shared" si="392"/>
        <v>0.17</v>
      </c>
      <c r="J2513" s="12">
        <f t="shared" si="393"/>
        <v>-37.566600000000001</v>
      </c>
      <c r="K2513" s="17" t="str">
        <f t="shared" si="398"/>
        <v>Ecart négatif</v>
      </c>
      <c r="L2513" s="16">
        <f>base!X2513</f>
        <v>37.57</v>
      </c>
      <c r="M2513" s="11">
        <f t="shared" si="394"/>
        <v>0.17001538600778351</v>
      </c>
      <c r="N2513" s="11">
        <f t="shared" si="395"/>
        <v>37.566600000000001</v>
      </c>
      <c r="O2513" s="11">
        <f t="shared" si="396"/>
        <v>0.17</v>
      </c>
      <c r="P2513" s="12">
        <f t="shared" si="397"/>
        <v>3.3999999999991815E-3</v>
      </c>
      <c r="Q2513" s="17" t="str">
        <f t="shared" si="399"/>
        <v>Ecart positif</v>
      </c>
      <c r="R2513" s="38"/>
    </row>
    <row r="2514" spans="1:18" x14ac:dyDescent="0.3">
      <c r="A2514" s="34">
        <f>base!J2514</f>
        <v>0</v>
      </c>
      <c r="B2514" s="34" t="str">
        <f>base!V2514</f>
        <v>77184</v>
      </c>
      <c r="C2514" s="37">
        <v>77</v>
      </c>
      <c r="D2514" s="36">
        <f>base!H2514</f>
        <v>109</v>
      </c>
      <c r="E2514" s="44"/>
      <c r="F2514" s="16">
        <f>base!W2514</f>
        <v>0</v>
      </c>
      <c r="G2514" s="11">
        <f t="shared" si="390"/>
        <v>0</v>
      </c>
      <c r="H2514" s="11">
        <f t="shared" si="391"/>
        <v>0</v>
      </c>
      <c r="I2514" s="11">
        <f t="shared" si="392"/>
        <v>0</v>
      </c>
      <c r="J2514" s="12">
        <f t="shared" si="393"/>
        <v>0</v>
      </c>
      <c r="K2514" s="17" t="str">
        <f t="shared" si="398"/>
        <v>Pas d'écart</v>
      </c>
      <c r="L2514" s="16">
        <f>base!X2514</f>
        <v>0</v>
      </c>
      <c r="M2514" s="11">
        <f t="shared" si="394"/>
        <v>0</v>
      </c>
      <c r="N2514" s="11">
        <f t="shared" si="395"/>
        <v>0</v>
      </c>
      <c r="O2514" s="11">
        <f t="shared" si="396"/>
        <v>0</v>
      </c>
      <c r="P2514" s="12">
        <f t="shared" si="397"/>
        <v>0</v>
      </c>
      <c r="Q2514" s="17" t="str">
        <f t="shared" si="399"/>
        <v>Pas d'écart</v>
      </c>
    </row>
    <row r="2515" spans="1:18" x14ac:dyDescent="0.3">
      <c r="A2515" s="34" t="str">
        <f>base!J2515</f>
        <v>LS</v>
      </c>
      <c r="B2515" s="34" t="str">
        <f>base!V2515</f>
        <v>06140</v>
      </c>
      <c r="C2515" s="37">
        <v>6</v>
      </c>
      <c r="D2515" s="36">
        <f>base!H2515</f>
        <v>40</v>
      </c>
      <c r="E2515" s="44"/>
      <c r="F2515" s="16">
        <f>base!W2515</f>
        <v>12</v>
      </c>
      <c r="G2515" s="11">
        <f t="shared" si="390"/>
        <v>0.3</v>
      </c>
      <c r="H2515" s="11">
        <f t="shared" si="391"/>
        <v>12</v>
      </c>
      <c r="I2515" s="11">
        <f t="shared" si="392"/>
        <v>0.3</v>
      </c>
      <c r="J2515" s="12">
        <f t="shared" si="393"/>
        <v>0</v>
      </c>
      <c r="K2515" s="17" t="str">
        <f t="shared" si="398"/>
        <v>Pas d'écart</v>
      </c>
      <c r="L2515" s="16">
        <f>base!X2515</f>
        <v>0</v>
      </c>
      <c r="M2515" s="11">
        <f t="shared" si="394"/>
        <v>0</v>
      </c>
      <c r="N2515" s="11">
        <f t="shared" si="395"/>
        <v>8.4</v>
      </c>
      <c r="O2515" s="11">
        <f t="shared" si="396"/>
        <v>0.21000000000000002</v>
      </c>
      <c r="P2515" s="12">
        <f t="shared" si="397"/>
        <v>-8.4</v>
      </c>
      <c r="Q2515" s="17" t="str">
        <f t="shared" si="399"/>
        <v>Ecart négatif</v>
      </c>
    </row>
    <row r="2516" spans="1:18" x14ac:dyDescent="0.3">
      <c r="A2516" s="34" t="str">
        <f>base!J2516</f>
        <v>LS</v>
      </c>
      <c r="B2516" s="34" t="str">
        <f>base!V2516</f>
        <v>66000</v>
      </c>
      <c r="C2516" s="37">
        <v>67</v>
      </c>
      <c r="D2516" s="36">
        <f>base!H2516</f>
        <v>75.34</v>
      </c>
      <c r="E2516" s="44"/>
      <c r="F2516" s="16">
        <f>base!W2516</f>
        <v>29.38</v>
      </c>
      <c r="G2516" s="11">
        <f t="shared" si="390"/>
        <v>0.3899654897796655</v>
      </c>
      <c r="H2516" s="11">
        <f t="shared" si="391"/>
        <v>21.848600000000001</v>
      </c>
      <c r="I2516" s="11">
        <f t="shared" si="392"/>
        <v>0.28999999999999998</v>
      </c>
      <c r="J2516" s="12">
        <f t="shared" si="393"/>
        <v>7.5313999999999979</v>
      </c>
      <c r="K2516" s="17" t="str">
        <f t="shared" si="398"/>
        <v>Ecart positif</v>
      </c>
      <c r="L2516" s="16">
        <f>base!X2516</f>
        <v>0</v>
      </c>
      <c r="M2516" s="11">
        <f t="shared" si="394"/>
        <v>0</v>
      </c>
      <c r="N2516" s="11">
        <f t="shared" si="395"/>
        <v>6.0272000000000006</v>
      </c>
      <c r="O2516" s="11">
        <f t="shared" si="396"/>
        <v>0.08</v>
      </c>
      <c r="P2516" s="12">
        <f t="shared" si="397"/>
        <v>-6.0272000000000006</v>
      </c>
      <c r="Q2516" s="17" t="str">
        <f t="shared" si="399"/>
        <v>Ecart négatif</v>
      </c>
    </row>
    <row r="2517" spans="1:18" x14ac:dyDescent="0.3">
      <c r="A2517" s="34" t="str">
        <f>base!J2517</f>
        <v>LS</v>
      </c>
      <c r="B2517" s="34" t="str">
        <f>base!V2517</f>
        <v>01700</v>
      </c>
      <c r="C2517" s="37">
        <v>37</v>
      </c>
      <c r="D2517" s="36">
        <f>base!H2517</f>
        <v>120.29</v>
      </c>
      <c r="E2517" s="44"/>
      <c r="F2517" s="16">
        <f>base!W2517</f>
        <v>32.479999999999997</v>
      </c>
      <c r="G2517" s="11">
        <f t="shared" si="390"/>
        <v>0.27001413251309331</v>
      </c>
      <c r="H2517" s="11">
        <f t="shared" si="391"/>
        <v>22.8551</v>
      </c>
      <c r="I2517" s="11">
        <f t="shared" si="392"/>
        <v>0.19</v>
      </c>
      <c r="J2517" s="12">
        <f t="shared" si="393"/>
        <v>9.6248999999999967</v>
      </c>
      <c r="K2517" s="17" t="str">
        <f t="shared" si="398"/>
        <v>Ecart positif</v>
      </c>
      <c r="L2517" s="16">
        <f>base!X2517</f>
        <v>0</v>
      </c>
      <c r="M2517" s="11">
        <f t="shared" si="394"/>
        <v>0</v>
      </c>
      <c r="N2517" s="11">
        <f t="shared" si="395"/>
        <v>14.434800000000001</v>
      </c>
      <c r="O2517" s="11">
        <f t="shared" si="396"/>
        <v>0.12</v>
      </c>
      <c r="P2517" s="12">
        <f t="shared" si="397"/>
        <v>-14.434800000000001</v>
      </c>
      <c r="Q2517" s="17" t="str">
        <f t="shared" si="399"/>
        <v>Ecart négatif</v>
      </c>
    </row>
    <row r="2518" spans="1:18" x14ac:dyDescent="0.3">
      <c r="A2518" s="34" t="str">
        <f>base!J2518</f>
        <v>LM</v>
      </c>
      <c r="B2518" s="34" t="str">
        <f>base!V2518</f>
        <v>75014</v>
      </c>
      <c r="C2518" s="37">
        <v>75</v>
      </c>
      <c r="D2518" s="36">
        <f>base!H2518</f>
        <v>19.649999999999999</v>
      </c>
      <c r="E2518" s="44"/>
      <c r="F2518" s="16">
        <f>base!W2518</f>
        <v>0</v>
      </c>
      <c r="G2518" s="11">
        <f t="shared" si="390"/>
        <v>0</v>
      </c>
      <c r="H2518" s="11">
        <f t="shared" si="391"/>
        <v>0</v>
      </c>
      <c r="I2518" s="11">
        <f t="shared" si="392"/>
        <v>0</v>
      </c>
      <c r="J2518" s="12">
        <f t="shared" si="393"/>
        <v>0</v>
      </c>
      <c r="K2518" s="17" t="str">
        <f t="shared" si="398"/>
        <v>Pas d'écart</v>
      </c>
      <c r="L2518" s="16">
        <f>base!X2518</f>
        <v>0</v>
      </c>
      <c r="M2518" s="11">
        <f t="shared" si="394"/>
        <v>0</v>
      </c>
      <c r="N2518" s="11">
        <f t="shared" si="395"/>
        <v>0</v>
      </c>
      <c r="O2518" s="11">
        <f t="shared" si="396"/>
        <v>0</v>
      </c>
      <c r="P2518" s="12">
        <f t="shared" si="397"/>
        <v>0</v>
      </c>
      <c r="Q2518" s="17" t="str">
        <f t="shared" si="399"/>
        <v>Pas d'écart</v>
      </c>
    </row>
    <row r="2519" spans="1:18" x14ac:dyDescent="0.3">
      <c r="A2519" s="34">
        <f>base!J2519</f>
        <v>0</v>
      </c>
      <c r="B2519" s="34" t="str">
        <f>base!V2519</f>
        <v>77184</v>
      </c>
      <c r="C2519" s="37">
        <v>77</v>
      </c>
      <c r="D2519" s="36">
        <f>base!H2519</f>
        <v>149.21</v>
      </c>
      <c r="E2519" s="44"/>
      <c r="F2519" s="16">
        <f>base!W2519</f>
        <v>0</v>
      </c>
      <c r="G2519" s="11">
        <f t="shared" si="390"/>
        <v>0</v>
      </c>
      <c r="H2519" s="11">
        <f t="shared" si="391"/>
        <v>0</v>
      </c>
      <c r="I2519" s="11">
        <f t="shared" si="392"/>
        <v>0</v>
      </c>
      <c r="J2519" s="12">
        <f t="shared" si="393"/>
        <v>0</v>
      </c>
      <c r="K2519" s="17" t="str">
        <f t="shared" si="398"/>
        <v>Pas d'écart</v>
      </c>
      <c r="L2519" s="16">
        <f>base!X2519</f>
        <v>0</v>
      </c>
      <c r="M2519" s="11">
        <f t="shared" si="394"/>
        <v>0</v>
      </c>
      <c r="N2519" s="11">
        <f t="shared" si="395"/>
        <v>0</v>
      </c>
      <c r="O2519" s="11">
        <f t="shared" si="396"/>
        <v>0</v>
      </c>
      <c r="P2519" s="12">
        <f t="shared" si="397"/>
        <v>0</v>
      </c>
      <c r="Q2519" s="17" t="str">
        <f t="shared" si="399"/>
        <v>Pas d'écart</v>
      </c>
    </row>
    <row r="2520" spans="1:18" x14ac:dyDescent="0.3">
      <c r="A2520" s="34" t="str">
        <f>base!J2520</f>
        <v>LS</v>
      </c>
      <c r="B2520" s="34" t="str">
        <f>base!V2520</f>
        <v>67230</v>
      </c>
      <c r="C2520" s="37">
        <v>67</v>
      </c>
      <c r="D2520" s="36">
        <f>base!H2520</f>
        <v>193.85</v>
      </c>
      <c r="E2520" s="44"/>
      <c r="F2520" s="16">
        <f>base!W2520</f>
        <v>56.22</v>
      </c>
      <c r="G2520" s="11">
        <f t="shared" si="390"/>
        <v>0.29001805519731749</v>
      </c>
      <c r="H2520" s="11">
        <f t="shared" si="391"/>
        <v>56.216499999999996</v>
      </c>
      <c r="I2520" s="11">
        <f t="shared" si="392"/>
        <v>0.28999999999999998</v>
      </c>
      <c r="J2520" s="12">
        <f t="shared" si="393"/>
        <v>3.5000000000025011E-3</v>
      </c>
      <c r="K2520" s="17" t="str">
        <f t="shared" si="398"/>
        <v>Ecart positif</v>
      </c>
      <c r="L2520" s="16">
        <f>base!X2520</f>
        <v>0</v>
      </c>
      <c r="M2520" s="11">
        <f t="shared" si="394"/>
        <v>0</v>
      </c>
      <c r="N2520" s="11">
        <f t="shared" si="395"/>
        <v>15.507999999999999</v>
      </c>
      <c r="O2520" s="11">
        <f t="shared" si="396"/>
        <v>0.08</v>
      </c>
      <c r="P2520" s="12">
        <f t="shared" si="397"/>
        <v>-15.507999999999999</v>
      </c>
      <c r="Q2520" s="17" t="str">
        <f t="shared" si="399"/>
        <v>Ecart négatif</v>
      </c>
    </row>
    <row r="2521" spans="1:18" x14ac:dyDescent="0.3">
      <c r="A2521" s="34">
        <f>base!J2521</f>
        <v>0</v>
      </c>
      <c r="B2521" s="34" t="str">
        <f>base!V2521</f>
        <v>77184</v>
      </c>
      <c r="C2521" s="37">
        <v>77</v>
      </c>
      <c r="D2521" s="36">
        <f>base!H2521</f>
        <v>84.5</v>
      </c>
      <c r="E2521" s="44"/>
      <c r="F2521" s="16">
        <f>base!W2521</f>
        <v>0</v>
      </c>
      <c r="G2521" s="11">
        <f t="shared" si="390"/>
        <v>0</v>
      </c>
      <c r="H2521" s="11">
        <f t="shared" si="391"/>
        <v>0</v>
      </c>
      <c r="I2521" s="11">
        <f t="shared" si="392"/>
        <v>0</v>
      </c>
      <c r="J2521" s="12">
        <f t="shared" si="393"/>
        <v>0</v>
      </c>
      <c r="K2521" s="17" t="str">
        <f t="shared" si="398"/>
        <v>Pas d'écart</v>
      </c>
      <c r="L2521" s="16">
        <f>base!X2521</f>
        <v>0</v>
      </c>
      <c r="M2521" s="11">
        <f t="shared" si="394"/>
        <v>0</v>
      </c>
      <c r="N2521" s="11">
        <f t="shared" si="395"/>
        <v>0</v>
      </c>
      <c r="O2521" s="11">
        <f t="shared" si="396"/>
        <v>0</v>
      </c>
      <c r="P2521" s="12">
        <f t="shared" si="397"/>
        <v>0</v>
      </c>
      <c r="Q2521" s="17" t="str">
        <f t="shared" si="399"/>
        <v>Pas d'écart</v>
      </c>
    </row>
    <row r="2522" spans="1:18" x14ac:dyDescent="0.3">
      <c r="A2522" s="34" t="str">
        <f>base!J2522</f>
        <v>RS</v>
      </c>
      <c r="B2522" s="34" t="str">
        <f>base!V2522</f>
        <v>33450</v>
      </c>
      <c r="C2522" s="37">
        <v>33</v>
      </c>
      <c r="D2522" s="36">
        <f>base!H2522</f>
        <v>80</v>
      </c>
      <c r="E2522" s="44"/>
      <c r="F2522" s="16">
        <f>base!W2522</f>
        <v>0</v>
      </c>
      <c r="G2522" s="11">
        <f t="shared" si="390"/>
        <v>0</v>
      </c>
      <c r="H2522" s="11">
        <f t="shared" si="391"/>
        <v>16.8</v>
      </c>
      <c r="I2522" s="11">
        <f t="shared" si="392"/>
        <v>0.21000000000000002</v>
      </c>
      <c r="J2522" s="12">
        <f t="shared" si="393"/>
        <v>-16.8</v>
      </c>
      <c r="K2522" s="17" t="str">
        <f t="shared" si="398"/>
        <v>Ecart négatif</v>
      </c>
      <c r="L2522" s="16">
        <f>base!X2522</f>
        <v>16.8</v>
      </c>
      <c r="M2522" s="11">
        <f t="shared" si="394"/>
        <v>0.21000000000000002</v>
      </c>
      <c r="N2522" s="11">
        <f t="shared" si="395"/>
        <v>13.600000000000001</v>
      </c>
      <c r="O2522" s="11">
        <f t="shared" si="396"/>
        <v>0.17</v>
      </c>
      <c r="P2522" s="12">
        <f t="shared" si="397"/>
        <v>3.1999999999999993</v>
      </c>
      <c r="Q2522" s="17" t="str">
        <f t="shared" si="399"/>
        <v>Ecart positif</v>
      </c>
    </row>
    <row r="2523" spans="1:18" x14ac:dyDescent="0.3">
      <c r="A2523" s="34">
        <f>base!J2523</f>
        <v>0</v>
      </c>
      <c r="B2523" s="34" t="str">
        <f>base!V2523</f>
        <v>77184</v>
      </c>
      <c r="C2523" s="37">
        <v>77</v>
      </c>
      <c r="D2523" s="36">
        <f>base!H2523</f>
        <v>130.97999999999999</v>
      </c>
      <c r="E2523" s="44"/>
      <c r="F2523" s="16">
        <f>base!W2523</f>
        <v>0</v>
      </c>
      <c r="G2523" s="11">
        <f t="shared" si="390"/>
        <v>0</v>
      </c>
      <c r="H2523" s="11">
        <f t="shared" si="391"/>
        <v>0</v>
      </c>
      <c r="I2523" s="11">
        <f t="shared" si="392"/>
        <v>0</v>
      </c>
      <c r="J2523" s="12">
        <f t="shared" si="393"/>
        <v>0</v>
      </c>
      <c r="K2523" s="17" t="str">
        <f t="shared" si="398"/>
        <v>Pas d'écart</v>
      </c>
      <c r="L2523" s="16">
        <f>base!X2523</f>
        <v>0</v>
      </c>
      <c r="M2523" s="11">
        <f t="shared" si="394"/>
        <v>0</v>
      </c>
      <c r="N2523" s="11">
        <f t="shared" si="395"/>
        <v>0</v>
      </c>
      <c r="O2523" s="11">
        <f t="shared" si="396"/>
        <v>0</v>
      </c>
      <c r="P2523" s="12">
        <f t="shared" si="397"/>
        <v>0</v>
      </c>
      <c r="Q2523" s="17" t="str">
        <f t="shared" si="399"/>
        <v>Pas d'écart</v>
      </c>
    </row>
    <row r="2524" spans="1:18" x14ac:dyDescent="0.3">
      <c r="A2524" s="34" t="str">
        <f>base!J2524</f>
        <v>DRS</v>
      </c>
      <c r="B2524" s="34" t="str">
        <f>base!V2524</f>
        <v>59000</v>
      </c>
      <c r="C2524" s="37">
        <v>59</v>
      </c>
      <c r="D2524" s="36">
        <f>base!H2524</f>
        <v>122.09</v>
      </c>
      <c r="E2524" s="44"/>
      <c r="F2524" s="16">
        <f>base!W2524</f>
        <v>0</v>
      </c>
      <c r="G2524" s="11">
        <f t="shared" si="390"/>
        <v>0</v>
      </c>
      <c r="H2524" s="11">
        <f t="shared" si="391"/>
        <v>23.197100000000002</v>
      </c>
      <c r="I2524" s="11">
        <f t="shared" si="392"/>
        <v>0.19</v>
      </c>
      <c r="J2524" s="12">
        <f t="shared" si="393"/>
        <v>-23.197100000000002</v>
      </c>
      <c r="K2524" s="17" t="str">
        <f t="shared" si="398"/>
        <v>Ecart négatif</v>
      </c>
      <c r="L2524" s="16">
        <f>base!X2524</f>
        <v>0</v>
      </c>
      <c r="M2524" s="11">
        <f t="shared" si="394"/>
        <v>0</v>
      </c>
      <c r="N2524" s="11">
        <f t="shared" si="395"/>
        <v>0</v>
      </c>
      <c r="O2524" s="11">
        <f t="shared" si="396"/>
        <v>0</v>
      </c>
      <c r="P2524" s="12">
        <f t="shared" si="397"/>
        <v>0</v>
      </c>
      <c r="Q2524" s="17" t="str">
        <f t="shared" si="399"/>
        <v>Pas d'écart</v>
      </c>
    </row>
    <row r="2525" spans="1:18" x14ac:dyDescent="0.3">
      <c r="A2525" s="34" t="str">
        <f>base!J2525</f>
        <v>RS</v>
      </c>
      <c r="B2525" s="34" t="str">
        <f>base!V2525</f>
        <v>76600</v>
      </c>
      <c r="C2525" s="37">
        <v>76</v>
      </c>
      <c r="D2525" s="36">
        <f>base!H2525</f>
        <v>0</v>
      </c>
      <c r="E2525" s="44"/>
      <c r="F2525" s="16">
        <f>base!W2525</f>
        <v>0</v>
      </c>
      <c r="G2525" s="11" t="e">
        <f t="shared" si="390"/>
        <v>#DIV/0!</v>
      </c>
      <c r="H2525" s="11">
        <f t="shared" si="391"/>
        <v>0</v>
      </c>
      <c r="I2525" s="11" t="e">
        <f t="shared" si="392"/>
        <v>#DIV/0!</v>
      </c>
      <c r="J2525" s="12">
        <f t="shared" si="393"/>
        <v>0</v>
      </c>
      <c r="K2525" s="17" t="str">
        <f t="shared" si="398"/>
        <v>Pas d'écart</v>
      </c>
      <c r="L2525" s="16">
        <f>base!X2525</f>
        <v>0</v>
      </c>
      <c r="M2525" s="11" t="e">
        <f t="shared" si="394"/>
        <v>#DIV/0!</v>
      </c>
      <c r="N2525" s="11">
        <f t="shared" si="395"/>
        <v>0</v>
      </c>
      <c r="O2525" s="11" t="e">
        <f t="shared" si="396"/>
        <v>#DIV/0!</v>
      </c>
      <c r="P2525" s="12">
        <f t="shared" si="397"/>
        <v>0</v>
      </c>
      <c r="Q2525" s="17" t="str">
        <f t="shared" si="399"/>
        <v>Pas d'écart</v>
      </c>
    </row>
    <row r="2526" spans="1:18" x14ac:dyDescent="0.3">
      <c r="A2526" s="34" t="str">
        <f>base!J2526</f>
        <v>RS</v>
      </c>
      <c r="B2526" s="34" t="str">
        <f>base!V2526</f>
        <v>54300</v>
      </c>
      <c r="C2526" s="37">
        <v>54</v>
      </c>
      <c r="D2526" s="36">
        <f>base!H2526</f>
        <v>70</v>
      </c>
      <c r="E2526" s="44"/>
      <c r="F2526" s="16">
        <f>base!W2526</f>
        <v>0</v>
      </c>
      <c r="G2526" s="11">
        <f t="shared" si="390"/>
        <v>0</v>
      </c>
      <c r="H2526" s="11">
        <f t="shared" si="391"/>
        <v>17.5</v>
      </c>
      <c r="I2526" s="11">
        <f t="shared" si="392"/>
        <v>0.25</v>
      </c>
      <c r="J2526" s="12">
        <f t="shared" si="393"/>
        <v>-17.5</v>
      </c>
      <c r="K2526" s="17" t="str">
        <f t="shared" si="398"/>
        <v>Ecart négatif</v>
      </c>
      <c r="L2526" s="16">
        <f>base!X2526</f>
        <v>17.5</v>
      </c>
      <c r="M2526" s="11">
        <f t="shared" si="394"/>
        <v>0.25</v>
      </c>
      <c r="N2526" s="11">
        <f t="shared" si="395"/>
        <v>17.5</v>
      </c>
      <c r="O2526" s="11">
        <f t="shared" si="396"/>
        <v>0.25</v>
      </c>
      <c r="P2526" s="12">
        <f t="shared" si="397"/>
        <v>0</v>
      </c>
      <c r="Q2526" s="17" t="str">
        <f t="shared" si="399"/>
        <v>Pas d'écart</v>
      </c>
    </row>
    <row r="2527" spans="1:18" x14ac:dyDescent="0.3">
      <c r="A2527" s="34" t="str">
        <f>base!J2527</f>
        <v>RS</v>
      </c>
      <c r="B2527" s="34" t="str">
        <f>base!V2527</f>
        <v>44840</v>
      </c>
      <c r="C2527" s="37">
        <v>44</v>
      </c>
      <c r="D2527" s="36">
        <f>base!H2527</f>
        <v>196</v>
      </c>
      <c r="E2527" s="44"/>
      <c r="F2527" s="16">
        <f>base!W2527</f>
        <v>0</v>
      </c>
      <c r="G2527" s="11">
        <f t="shared" si="390"/>
        <v>0</v>
      </c>
      <c r="H2527" s="11">
        <f t="shared" si="391"/>
        <v>52.92</v>
      </c>
      <c r="I2527" s="11">
        <f t="shared" si="392"/>
        <v>0.27</v>
      </c>
      <c r="J2527" s="12">
        <f t="shared" si="393"/>
        <v>-52.92</v>
      </c>
      <c r="K2527" s="17" t="str">
        <f t="shared" si="398"/>
        <v>Ecart négatif</v>
      </c>
      <c r="L2527" s="16">
        <f>base!X2527</f>
        <v>0</v>
      </c>
      <c r="M2527" s="11">
        <f t="shared" si="394"/>
        <v>0</v>
      </c>
      <c r="N2527" s="11">
        <f t="shared" si="395"/>
        <v>0</v>
      </c>
      <c r="O2527" s="11">
        <f t="shared" si="396"/>
        <v>0</v>
      </c>
      <c r="P2527" s="12">
        <f t="shared" si="397"/>
        <v>0</v>
      </c>
      <c r="Q2527" s="17" t="str">
        <f t="shared" si="399"/>
        <v>Pas d'écart</v>
      </c>
    </row>
    <row r="2528" spans="1:18" x14ac:dyDescent="0.3">
      <c r="A2528" s="34" t="str">
        <f>base!J2528</f>
        <v>LS</v>
      </c>
      <c r="B2528" s="34" t="str">
        <f>base!V2528</f>
        <v>84800</v>
      </c>
      <c r="C2528" s="37">
        <v>37</v>
      </c>
      <c r="D2528" s="36">
        <f>base!H2528</f>
        <v>130.19999999999999</v>
      </c>
      <c r="E2528" s="44"/>
      <c r="F2528" s="16">
        <f>base!W2528</f>
        <v>0</v>
      </c>
      <c r="G2528" s="11">
        <f t="shared" si="390"/>
        <v>0</v>
      </c>
      <c r="H2528" s="11">
        <f t="shared" si="391"/>
        <v>24.738</v>
      </c>
      <c r="I2528" s="11">
        <f t="shared" si="392"/>
        <v>0.19</v>
      </c>
      <c r="J2528" s="12">
        <f t="shared" si="393"/>
        <v>-24.738</v>
      </c>
      <c r="K2528" s="17" t="str">
        <f t="shared" si="398"/>
        <v>Ecart négatif</v>
      </c>
      <c r="L2528" s="16">
        <f>base!X2528</f>
        <v>0</v>
      </c>
      <c r="M2528" s="11">
        <f t="shared" si="394"/>
        <v>0</v>
      </c>
      <c r="N2528" s="11">
        <f t="shared" si="395"/>
        <v>15.623999999999999</v>
      </c>
      <c r="O2528" s="11">
        <f t="shared" si="396"/>
        <v>0.12</v>
      </c>
      <c r="P2528" s="12">
        <f t="shared" si="397"/>
        <v>-15.623999999999999</v>
      </c>
      <c r="Q2528" s="17" t="str">
        <f t="shared" si="399"/>
        <v>Ecart négatif</v>
      </c>
    </row>
    <row r="2529" spans="1:17" x14ac:dyDescent="0.3">
      <c r="A2529" s="34" t="str">
        <f>base!J2529</f>
        <v>LM</v>
      </c>
      <c r="B2529" s="34" t="str">
        <f>base!V2529</f>
        <v>45000</v>
      </c>
      <c r="C2529" s="37">
        <v>45</v>
      </c>
      <c r="D2529" s="36">
        <f>base!H2529</f>
        <v>80</v>
      </c>
      <c r="E2529" s="44"/>
      <c r="F2529" s="16">
        <f>base!W2529</f>
        <v>16.8</v>
      </c>
      <c r="G2529" s="11">
        <f t="shared" si="390"/>
        <v>0.21000000000000002</v>
      </c>
      <c r="H2529" s="11">
        <f t="shared" si="391"/>
        <v>16.8</v>
      </c>
      <c r="I2529" s="11">
        <f t="shared" si="392"/>
        <v>0.21000000000000002</v>
      </c>
      <c r="J2529" s="12">
        <f t="shared" si="393"/>
        <v>0</v>
      </c>
      <c r="K2529" s="17" t="str">
        <f t="shared" si="398"/>
        <v>Pas d'écart</v>
      </c>
      <c r="L2529" s="16">
        <f>base!X2529</f>
        <v>0</v>
      </c>
      <c r="M2529" s="11">
        <f t="shared" si="394"/>
        <v>0</v>
      </c>
      <c r="N2529" s="11">
        <f t="shared" si="395"/>
        <v>9.6</v>
      </c>
      <c r="O2529" s="11">
        <f t="shared" si="396"/>
        <v>0.12</v>
      </c>
      <c r="P2529" s="12">
        <f t="shared" si="397"/>
        <v>-9.6</v>
      </c>
      <c r="Q2529" s="17" t="str">
        <f t="shared" si="399"/>
        <v>Ecart négatif</v>
      </c>
    </row>
    <row r="2530" spans="1:17" x14ac:dyDescent="0.3">
      <c r="A2530" s="34" t="str">
        <f>base!J2530</f>
        <v>LM</v>
      </c>
      <c r="B2530" s="34" t="str">
        <f>base!V2530</f>
        <v>68120</v>
      </c>
      <c r="C2530" s="37">
        <v>45</v>
      </c>
      <c r="D2530" s="36">
        <f>base!H2530</f>
        <v>75.069999999999993</v>
      </c>
      <c r="E2530" s="44"/>
      <c r="F2530" s="16">
        <f>base!W2530</f>
        <v>21.77</v>
      </c>
      <c r="G2530" s="11">
        <f t="shared" si="390"/>
        <v>0.28999600372985218</v>
      </c>
      <c r="H2530" s="11">
        <f t="shared" si="391"/>
        <v>15.764699999999998</v>
      </c>
      <c r="I2530" s="11">
        <f t="shared" si="392"/>
        <v>0.21</v>
      </c>
      <c r="J2530" s="12">
        <f t="shared" si="393"/>
        <v>6.0053000000000019</v>
      </c>
      <c r="K2530" s="17" t="str">
        <f t="shared" si="398"/>
        <v>Ecart positif</v>
      </c>
      <c r="L2530" s="16">
        <f>base!X2530</f>
        <v>0</v>
      </c>
      <c r="M2530" s="11">
        <f t="shared" si="394"/>
        <v>0</v>
      </c>
      <c r="N2530" s="11">
        <f t="shared" si="395"/>
        <v>9.0083999999999982</v>
      </c>
      <c r="O2530" s="11">
        <f t="shared" si="396"/>
        <v>0.11999999999999998</v>
      </c>
      <c r="P2530" s="12">
        <f t="shared" si="397"/>
        <v>-9.0083999999999982</v>
      </c>
      <c r="Q2530" s="17" t="str">
        <f t="shared" si="399"/>
        <v>Ecart négatif</v>
      </c>
    </row>
    <row r="2531" spans="1:17" x14ac:dyDescent="0.3">
      <c r="A2531" s="34" t="str">
        <f>base!J2531</f>
        <v>LS</v>
      </c>
      <c r="B2531" s="34" t="str">
        <f>base!V2531</f>
        <v>75012</v>
      </c>
      <c r="C2531" s="37">
        <v>75</v>
      </c>
      <c r="D2531" s="36">
        <f>base!H2531</f>
        <v>28.02</v>
      </c>
      <c r="E2531" s="44"/>
      <c r="F2531" s="16">
        <f>base!W2531</f>
        <v>0</v>
      </c>
      <c r="G2531" s="11">
        <f t="shared" si="390"/>
        <v>0</v>
      </c>
      <c r="H2531" s="11">
        <f t="shared" si="391"/>
        <v>0</v>
      </c>
      <c r="I2531" s="11">
        <f t="shared" si="392"/>
        <v>0</v>
      </c>
      <c r="J2531" s="12">
        <f t="shared" si="393"/>
        <v>0</v>
      </c>
      <c r="K2531" s="17" t="str">
        <f t="shared" si="398"/>
        <v>Pas d'écart</v>
      </c>
      <c r="L2531" s="16">
        <f>base!X2531</f>
        <v>0</v>
      </c>
      <c r="M2531" s="11">
        <f t="shared" si="394"/>
        <v>0</v>
      </c>
      <c r="N2531" s="11">
        <f t="shared" si="395"/>
        <v>0</v>
      </c>
      <c r="O2531" s="11">
        <f t="shared" si="396"/>
        <v>0</v>
      </c>
      <c r="P2531" s="12">
        <f t="shared" si="397"/>
        <v>0</v>
      </c>
      <c r="Q2531" s="17" t="str">
        <f t="shared" si="399"/>
        <v>Pas d'écart</v>
      </c>
    </row>
    <row r="2532" spans="1:17" x14ac:dyDescent="0.3">
      <c r="A2532" s="34" t="str">
        <f>base!J2532</f>
        <v>LS</v>
      </c>
      <c r="B2532" s="34" t="str">
        <f>base!V2532</f>
        <v>94190</v>
      </c>
      <c r="C2532" s="37">
        <v>94</v>
      </c>
      <c r="D2532" s="36">
        <f>base!H2532</f>
        <v>1.46</v>
      </c>
      <c r="E2532" s="44"/>
      <c r="F2532" s="16">
        <f>base!W2532</f>
        <v>0</v>
      </c>
      <c r="G2532" s="11">
        <f t="shared" si="390"/>
        <v>0</v>
      </c>
      <c r="H2532" s="11">
        <f t="shared" si="391"/>
        <v>0</v>
      </c>
      <c r="I2532" s="11">
        <f t="shared" si="392"/>
        <v>0</v>
      </c>
      <c r="J2532" s="12">
        <f t="shared" si="393"/>
        <v>0</v>
      </c>
      <c r="K2532" s="17" t="str">
        <f t="shared" si="398"/>
        <v>Pas d'écart</v>
      </c>
      <c r="L2532" s="16">
        <f>base!X2532</f>
        <v>0</v>
      </c>
      <c r="M2532" s="11">
        <f t="shared" si="394"/>
        <v>0</v>
      </c>
      <c r="N2532" s="11">
        <f t="shared" si="395"/>
        <v>0</v>
      </c>
      <c r="O2532" s="11">
        <f t="shared" si="396"/>
        <v>0</v>
      </c>
      <c r="P2532" s="12">
        <f t="shared" si="397"/>
        <v>0</v>
      </c>
      <c r="Q2532" s="17" t="str">
        <f t="shared" si="399"/>
        <v>Pas d'écart</v>
      </c>
    </row>
    <row r="2533" spans="1:17" x14ac:dyDescent="0.3">
      <c r="A2533" s="34" t="str">
        <f>base!J2533</f>
        <v>LM</v>
      </c>
      <c r="B2533" s="34" t="str">
        <f>base!V2533</f>
        <v>77550</v>
      </c>
      <c r="C2533" s="37">
        <v>77</v>
      </c>
      <c r="D2533" s="36">
        <f>base!H2533</f>
        <v>120.29</v>
      </c>
      <c r="E2533" s="44"/>
      <c r="F2533" s="16">
        <f>base!W2533</f>
        <v>0</v>
      </c>
      <c r="G2533" s="11">
        <f t="shared" si="390"/>
        <v>0</v>
      </c>
      <c r="H2533" s="11">
        <f t="shared" si="391"/>
        <v>0</v>
      </c>
      <c r="I2533" s="11">
        <f t="shared" si="392"/>
        <v>0</v>
      </c>
      <c r="J2533" s="12">
        <f t="shared" si="393"/>
        <v>0</v>
      </c>
      <c r="K2533" s="17" t="str">
        <f t="shared" si="398"/>
        <v>Pas d'écart</v>
      </c>
      <c r="L2533" s="16">
        <f>base!X2533</f>
        <v>0</v>
      </c>
      <c r="M2533" s="11">
        <f t="shared" si="394"/>
        <v>0</v>
      </c>
      <c r="N2533" s="11">
        <f t="shared" si="395"/>
        <v>0</v>
      </c>
      <c r="O2533" s="11">
        <f t="shared" si="396"/>
        <v>0</v>
      </c>
      <c r="P2533" s="12">
        <f t="shared" si="397"/>
        <v>0</v>
      </c>
      <c r="Q2533" s="17" t="str">
        <f t="shared" si="399"/>
        <v>Pas d'écart</v>
      </c>
    </row>
    <row r="2534" spans="1:17" x14ac:dyDescent="0.3">
      <c r="A2534" s="34" t="str">
        <f>base!J2534</f>
        <v>RS</v>
      </c>
      <c r="B2534" s="34" t="str">
        <f>base!V2534</f>
        <v>66000</v>
      </c>
      <c r="C2534" s="37">
        <v>66</v>
      </c>
      <c r="D2534" s="36">
        <f>base!H2534</f>
        <v>0</v>
      </c>
      <c r="E2534" s="44"/>
      <c r="F2534" s="16">
        <f>base!W2534</f>
        <v>0</v>
      </c>
      <c r="G2534" s="11" t="e">
        <f t="shared" si="390"/>
        <v>#DIV/0!</v>
      </c>
      <c r="H2534" s="11">
        <f t="shared" si="391"/>
        <v>0</v>
      </c>
      <c r="I2534" s="11" t="e">
        <f t="shared" si="392"/>
        <v>#DIV/0!</v>
      </c>
      <c r="J2534" s="12">
        <f t="shared" si="393"/>
        <v>0</v>
      </c>
      <c r="K2534" s="17" t="str">
        <f t="shared" si="398"/>
        <v>Pas d'écart</v>
      </c>
      <c r="L2534" s="16">
        <f>base!X2534</f>
        <v>0</v>
      </c>
      <c r="M2534" s="11" t="e">
        <f t="shared" si="394"/>
        <v>#DIV/0!</v>
      </c>
      <c r="N2534" s="11">
        <f t="shared" si="395"/>
        <v>0</v>
      </c>
      <c r="O2534" s="11" t="e">
        <f t="shared" si="396"/>
        <v>#DIV/0!</v>
      </c>
      <c r="P2534" s="12">
        <f t="shared" si="397"/>
        <v>0</v>
      </c>
      <c r="Q2534" s="17" t="str">
        <f t="shared" si="399"/>
        <v>Pas d'écart</v>
      </c>
    </row>
    <row r="2535" spans="1:17" x14ac:dyDescent="0.3">
      <c r="A2535" s="34" t="str">
        <f>base!J2535</f>
        <v>LM</v>
      </c>
      <c r="B2535" s="34" t="str">
        <f>base!V2535</f>
        <v>56140</v>
      </c>
      <c r="C2535" s="37">
        <v>37</v>
      </c>
      <c r="D2535" s="36">
        <f>base!H2535</f>
        <v>126.71</v>
      </c>
      <c r="E2535" s="44"/>
      <c r="F2535" s="16">
        <f>base!W2535</f>
        <v>34.21</v>
      </c>
      <c r="G2535" s="11">
        <f t="shared" si="390"/>
        <v>0.269986583537211</v>
      </c>
      <c r="H2535" s="11">
        <f t="shared" si="391"/>
        <v>24.0749</v>
      </c>
      <c r="I2535" s="11">
        <f t="shared" si="392"/>
        <v>0.19</v>
      </c>
      <c r="J2535" s="12">
        <f t="shared" si="393"/>
        <v>10.135100000000001</v>
      </c>
      <c r="K2535" s="17" t="str">
        <f t="shared" si="398"/>
        <v>Ecart positif</v>
      </c>
      <c r="L2535" s="16">
        <f>base!X2535</f>
        <v>0</v>
      </c>
      <c r="M2535" s="11">
        <f t="shared" si="394"/>
        <v>0</v>
      </c>
      <c r="N2535" s="11">
        <f t="shared" si="395"/>
        <v>15.205199999999998</v>
      </c>
      <c r="O2535" s="11">
        <f t="shared" si="396"/>
        <v>0.12</v>
      </c>
      <c r="P2535" s="12">
        <f t="shared" si="397"/>
        <v>-15.205199999999998</v>
      </c>
      <c r="Q2535" s="17" t="str">
        <f t="shared" si="399"/>
        <v>Ecart négatif</v>
      </c>
    </row>
    <row r="2536" spans="1:17" x14ac:dyDescent="0.3">
      <c r="A2536" s="34" t="str">
        <f>base!J2536</f>
        <v>RM</v>
      </c>
      <c r="B2536" s="34" t="str">
        <f>base!V2536</f>
        <v>69005</v>
      </c>
      <c r="C2536" s="37">
        <v>69</v>
      </c>
      <c r="D2536" s="36">
        <f>base!H2536</f>
        <v>151</v>
      </c>
      <c r="E2536" s="44"/>
      <c r="F2536" s="16">
        <f>base!W2536</f>
        <v>0</v>
      </c>
      <c r="G2536" s="11">
        <f t="shared" si="390"/>
        <v>0</v>
      </c>
      <c r="H2536" s="11">
        <f t="shared" si="391"/>
        <v>40.770000000000003</v>
      </c>
      <c r="I2536" s="11">
        <f t="shared" si="392"/>
        <v>0.27</v>
      </c>
      <c r="J2536" s="12">
        <f t="shared" si="393"/>
        <v>-40.770000000000003</v>
      </c>
      <c r="K2536" s="17" t="str">
        <f t="shared" si="398"/>
        <v>Ecart négatif</v>
      </c>
      <c r="L2536" s="16">
        <f>base!X2536</f>
        <v>0</v>
      </c>
      <c r="M2536" s="11">
        <f t="shared" si="394"/>
        <v>0</v>
      </c>
      <c r="N2536" s="11">
        <f t="shared" si="395"/>
        <v>0</v>
      </c>
      <c r="O2536" s="11">
        <f t="shared" si="396"/>
        <v>0</v>
      </c>
      <c r="P2536" s="12">
        <f t="shared" si="397"/>
        <v>0</v>
      </c>
      <c r="Q2536" s="17" t="str">
        <f t="shared" si="399"/>
        <v>Pas d'écart</v>
      </c>
    </row>
    <row r="2537" spans="1:17" x14ac:dyDescent="0.3">
      <c r="A2537" s="34" t="str">
        <f>base!J2537</f>
        <v>LM</v>
      </c>
      <c r="B2537" s="34" t="str">
        <f>base!V2537</f>
        <v>76700</v>
      </c>
      <c r="C2537" s="37">
        <v>45</v>
      </c>
      <c r="D2537" s="36">
        <f>base!H2537</f>
        <v>128.94</v>
      </c>
      <c r="E2537" s="44"/>
      <c r="F2537" s="16">
        <f>base!W2537</f>
        <v>21.92</v>
      </c>
      <c r="G2537" s="11">
        <f t="shared" si="390"/>
        <v>0.17000155110904297</v>
      </c>
      <c r="H2537" s="11">
        <f t="shared" si="391"/>
        <v>27.077399999999997</v>
      </c>
      <c r="I2537" s="11">
        <f t="shared" si="392"/>
        <v>0.21</v>
      </c>
      <c r="J2537" s="12">
        <f t="shared" si="393"/>
        <v>-5.1573999999999955</v>
      </c>
      <c r="K2537" s="17" t="str">
        <f t="shared" si="398"/>
        <v>Ecart négatif</v>
      </c>
      <c r="L2537" s="16">
        <f>base!X2537</f>
        <v>0</v>
      </c>
      <c r="M2537" s="11">
        <f t="shared" si="394"/>
        <v>0</v>
      </c>
      <c r="N2537" s="11">
        <f t="shared" si="395"/>
        <v>15.472799999999999</v>
      </c>
      <c r="O2537" s="11">
        <f t="shared" si="396"/>
        <v>0.12</v>
      </c>
      <c r="P2537" s="12">
        <f t="shared" si="397"/>
        <v>-15.472799999999999</v>
      </c>
      <c r="Q2537" s="17" t="str">
        <f t="shared" si="399"/>
        <v>Ecart négatif</v>
      </c>
    </row>
    <row r="2538" spans="1:17" x14ac:dyDescent="0.3">
      <c r="A2538" s="34" t="str">
        <f>base!J2538</f>
        <v>RS</v>
      </c>
      <c r="B2538" s="34" t="str">
        <f>base!V2538</f>
        <v>59700</v>
      </c>
      <c r="C2538" s="37">
        <v>59</v>
      </c>
      <c r="D2538" s="36">
        <f>base!H2538</f>
        <v>40</v>
      </c>
      <c r="E2538" s="44"/>
      <c r="F2538" s="16">
        <f>base!W2538</f>
        <v>0</v>
      </c>
      <c r="G2538" s="11">
        <f t="shared" si="390"/>
        <v>0</v>
      </c>
      <c r="H2538" s="11">
        <f t="shared" si="391"/>
        <v>7.6</v>
      </c>
      <c r="I2538" s="11">
        <f t="shared" si="392"/>
        <v>0.19</v>
      </c>
      <c r="J2538" s="12">
        <f t="shared" si="393"/>
        <v>-7.6</v>
      </c>
      <c r="K2538" s="17" t="str">
        <f t="shared" si="398"/>
        <v>Ecart négatif</v>
      </c>
      <c r="L2538" s="16">
        <f>base!X2538</f>
        <v>0</v>
      </c>
      <c r="M2538" s="11">
        <f t="shared" si="394"/>
        <v>0</v>
      </c>
      <c r="N2538" s="11">
        <f t="shared" si="395"/>
        <v>0</v>
      </c>
      <c r="O2538" s="11">
        <f t="shared" si="396"/>
        <v>0</v>
      </c>
      <c r="P2538" s="12">
        <f t="shared" si="397"/>
        <v>0</v>
      </c>
      <c r="Q2538" s="17" t="str">
        <f t="shared" si="399"/>
        <v>Pas d'écart</v>
      </c>
    </row>
    <row r="2539" spans="1:17" x14ac:dyDescent="0.3">
      <c r="A2539" s="34" t="str">
        <f>base!J2539</f>
        <v>DLS</v>
      </c>
      <c r="B2539" s="34" t="str">
        <f>base!V2539</f>
        <v>69800</v>
      </c>
      <c r="C2539" s="37">
        <v>69</v>
      </c>
      <c r="D2539" s="36">
        <f>base!H2539</f>
        <v>433.19</v>
      </c>
      <c r="E2539" s="44"/>
      <c r="F2539" s="16">
        <f>base!W2539</f>
        <v>0</v>
      </c>
      <c r="G2539" s="11">
        <f t="shared" si="390"/>
        <v>0</v>
      </c>
      <c r="H2539" s="11">
        <f t="shared" si="391"/>
        <v>116.96130000000001</v>
      </c>
      <c r="I2539" s="11">
        <f t="shared" si="392"/>
        <v>0.27</v>
      </c>
      <c r="J2539" s="12">
        <f t="shared" si="393"/>
        <v>-116.96130000000001</v>
      </c>
      <c r="K2539" s="17" t="str">
        <f t="shared" si="398"/>
        <v>Ecart négatif</v>
      </c>
      <c r="L2539" s="16">
        <f>base!X2539</f>
        <v>168.94</v>
      </c>
      <c r="M2539" s="11">
        <f t="shared" si="394"/>
        <v>0.38999053533091715</v>
      </c>
      <c r="N2539" s="11">
        <f t="shared" si="395"/>
        <v>0</v>
      </c>
      <c r="O2539" s="11">
        <f t="shared" si="396"/>
        <v>0</v>
      </c>
      <c r="P2539" s="12">
        <f t="shared" si="397"/>
        <v>168.94</v>
      </c>
      <c r="Q2539" s="17" t="str">
        <f t="shared" si="399"/>
        <v>Ecart positif</v>
      </c>
    </row>
    <row r="2540" spans="1:17" x14ac:dyDescent="0.3">
      <c r="A2540" s="34" t="str">
        <f>base!J2540</f>
        <v>LS</v>
      </c>
      <c r="B2540" s="34" t="str">
        <f>base!V2540</f>
        <v>63820</v>
      </c>
      <c r="C2540" s="37">
        <v>45</v>
      </c>
      <c r="D2540" s="36">
        <f>base!H2540</f>
        <v>120.29</v>
      </c>
      <c r="E2540" s="44"/>
      <c r="F2540" s="16">
        <f>base!W2540</f>
        <v>34.880000000000003</v>
      </c>
      <c r="G2540" s="11">
        <f t="shared" si="390"/>
        <v>0.28996591570371605</v>
      </c>
      <c r="H2540" s="11">
        <f t="shared" si="391"/>
        <v>25.260899999999999</v>
      </c>
      <c r="I2540" s="11">
        <f t="shared" si="392"/>
        <v>0.21</v>
      </c>
      <c r="J2540" s="12">
        <f t="shared" si="393"/>
        <v>9.6191000000000031</v>
      </c>
      <c r="K2540" s="17" t="str">
        <f t="shared" si="398"/>
        <v>Ecart positif</v>
      </c>
      <c r="L2540" s="16">
        <f>base!X2540</f>
        <v>0</v>
      </c>
      <c r="M2540" s="11">
        <f t="shared" si="394"/>
        <v>0</v>
      </c>
      <c r="N2540" s="11">
        <f t="shared" si="395"/>
        <v>14.434800000000001</v>
      </c>
      <c r="O2540" s="11">
        <f t="shared" si="396"/>
        <v>0.12</v>
      </c>
      <c r="P2540" s="12">
        <f t="shared" si="397"/>
        <v>-14.434800000000001</v>
      </c>
      <c r="Q2540" s="17" t="str">
        <f t="shared" si="399"/>
        <v>Ecart négatif</v>
      </c>
    </row>
    <row r="2541" spans="1:17" x14ac:dyDescent="0.3">
      <c r="A2541" s="34" t="str">
        <f>base!J2541</f>
        <v>LM</v>
      </c>
      <c r="B2541" s="34" t="str">
        <f>base!V2541</f>
        <v>54300</v>
      </c>
      <c r="C2541" s="37">
        <v>37</v>
      </c>
      <c r="D2541" s="36">
        <f>base!H2541</f>
        <v>120.29</v>
      </c>
      <c r="E2541" s="44"/>
      <c r="F2541" s="16">
        <f>base!W2541</f>
        <v>30.07</v>
      </c>
      <c r="G2541" s="11">
        <f t="shared" si="390"/>
        <v>0.24997921689250976</v>
      </c>
      <c r="H2541" s="11">
        <f t="shared" si="391"/>
        <v>22.8551</v>
      </c>
      <c r="I2541" s="11">
        <f t="shared" si="392"/>
        <v>0.19</v>
      </c>
      <c r="J2541" s="12">
        <f t="shared" si="393"/>
        <v>7.2149000000000001</v>
      </c>
      <c r="K2541" s="17" t="str">
        <f t="shared" si="398"/>
        <v>Ecart positif</v>
      </c>
      <c r="L2541" s="16">
        <f>base!X2541</f>
        <v>0</v>
      </c>
      <c r="M2541" s="11">
        <f t="shared" si="394"/>
        <v>0</v>
      </c>
      <c r="N2541" s="11">
        <f t="shared" si="395"/>
        <v>14.434800000000001</v>
      </c>
      <c r="O2541" s="11">
        <f t="shared" si="396"/>
        <v>0.12</v>
      </c>
      <c r="P2541" s="12">
        <f t="shared" si="397"/>
        <v>-14.434800000000001</v>
      </c>
      <c r="Q2541" s="17" t="str">
        <f t="shared" si="399"/>
        <v>Ecart négatif</v>
      </c>
    </row>
    <row r="2542" spans="1:17" x14ac:dyDescent="0.3">
      <c r="A2542" s="34" t="str">
        <f>base!J2542</f>
        <v>DLS</v>
      </c>
      <c r="B2542" s="34" t="str">
        <f>base!V2542</f>
        <v>94150</v>
      </c>
      <c r="C2542" s="37">
        <v>94</v>
      </c>
      <c r="D2542" s="36">
        <f>base!H2542</f>
        <v>140</v>
      </c>
      <c r="E2542" s="44"/>
      <c r="F2542" s="16">
        <f>base!W2542</f>
        <v>0</v>
      </c>
      <c r="G2542" s="11">
        <f t="shared" si="390"/>
        <v>0</v>
      </c>
      <c r="H2542" s="11">
        <f t="shared" si="391"/>
        <v>0</v>
      </c>
      <c r="I2542" s="11">
        <f t="shared" si="392"/>
        <v>0</v>
      </c>
      <c r="J2542" s="12">
        <f t="shared" si="393"/>
        <v>0</v>
      </c>
      <c r="K2542" s="17" t="str">
        <f t="shared" si="398"/>
        <v>Pas d'écart</v>
      </c>
      <c r="L2542" s="16">
        <f>base!X2542</f>
        <v>0</v>
      </c>
      <c r="M2542" s="11">
        <f t="shared" si="394"/>
        <v>0</v>
      </c>
      <c r="N2542" s="11">
        <f t="shared" si="395"/>
        <v>0</v>
      </c>
      <c r="O2542" s="11">
        <f t="shared" si="396"/>
        <v>0</v>
      </c>
      <c r="P2542" s="12">
        <f t="shared" si="397"/>
        <v>0</v>
      </c>
      <c r="Q2542" s="17" t="str">
        <f t="shared" si="399"/>
        <v>Pas d'écart</v>
      </c>
    </row>
    <row r="2543" spans="1:17" x14ac:dyDescent="0.3">
      <c r="A2543" s="34" t="str">
        <f>base!J2543</f>
        <v>LM</v>
      </c>
      <c r="B2543" s="34" t="str">
        <f>base!V2543</f>
        <v>27091</v>
      </c>
      <c r="C2543" s="37">
        <v>86</v>
      </c>
      <c r="D2543" s="36">
        <f>base!H2543</f>
        <v>75.63</v>
      </c>
      <c r="E2543" s="44"/>
      <c r="F2543" s="16">
        <f>base!W2543</f>
        <v>12.86</v>
      </c>
      <c r="G2543" s="11">
        <f t="shared" si="390"/>
        <v>0.17003834457225969</v>
      </c>
      <c r="H2543" s="11">
        <f t="shared" si="391"/>
        <v>15.882299999999999</v>
      </c>
      <c r="I2543" s="11">
        <f t="shared" si="392"/>
        <v>0.21</v>
      </c>
      <c r="J2543" s="12">
        <f t="shared" si="393"/>
        <v>-3.0222999999999995</v>
      </c>
      <c r="K2543" s="17" t="str">
        <f t="shared" si="398"/>
        <v>Ecart négatif</v>
      </c>
      <c r="L2543" s="16">
        <f>base!X2543</f>
        <v>0</v>
      </c>
      <c r="M2543" s="11">
        <f t="shared" si="394"/>
        <v>0</v>
      </c>
      <c r="N2543" s="11">
        <f t="shared" si="395"/>
        <v>9.0755999999999997</v>
      </c>
      <c r="O2543" s="11">
        <f t="shared" si="396"/>
        <v>0.12000000000000001</v>
      </c>
      <c r="P2543" s="12">
        <f t="shared" si="397"/>
        <v>-9.0755999999999997</v>
      </c>
      <c r="Q2543" s="17" t="str">
        <f t="shared" si="399"/>
        <v>Ecart négatif</v>
      </c>
    </row>
    <row r="2544" spans="1:17" x14ac:dyDescent="0.3">
      <c r="A2544" s="34" t="str">
        <f>base!J2544</f>
        <v>DLS</v>
      </c>
      <c r="B2544" s="34" t="str">
        <f>base!V2544</f>
        <v>75014</v>
      </c>
      <c r="C2544" s="37">
        <v>75</v>
      </c>
      <c r="D2544" s="36">
        <f>base!H2544</f>
        <v>0</v>
      </c>
      <c r="E2544" s="44"/>
      <c r="F2544" s="16">
        <f>base!W2544</f>
        <v>0</v>
      </c>
      <c r="G2544" s="11" t="e">
        <f t="shared" si="390"/>
        <v>#DIV/0!</v>
      </c>
      <c r="H2544" s="11">
        <f t="shared" si="391"/>
        <v>0</v>
      </c>
      <c r="I2544" s="11" t="e">
        <f t="shared" si="392"/>
        <v>#DIV/0!</v>
      </c>
      <c r="J2544" s="12">
        <f t="shared" si="393"/>
        <v>0</v>
      </c>
      <c r="K2544" s="17" t="str">
        <f t="shared" si="398"/>
        <v>Pas d'écart</v>
      </c>
      <c r="L2544" s="16">
        <f>base!X2544</f>
        <v>0</v>
      </c>
      <c r="M2544" s="11" t="e">
        <f t="shared" si="394"/>
        <v>#DIV/0!</v>
      </c>
      <c r="N2544" s="11">
        <f t="shared" si="395"/>
        <v>0</v>
      </c>
      <c r="O2544" s="11" t="e">
        <f t="shared" si="396"/>
        <v>#DIV/0!</v>
      </c>
      <c r="P2544" s="12">
        <f t="shared" si="397"/>
        <v>0</v>
      </c>
      <c r="Q2544" s="17" t="str">
        <f t="shared" si="399"/>
        <v>Pas d'écart</v>
      </c>
    </row>
    <row r="2545" spans="1:18" x14ac:dyDescent="0.3">
      <c r="A2545" s="34" t="str">
        <f>base!J2545</f>
        <v>Stockage</v>
      </c>
      <c r="B2545" s="34" t="str">
        <f>base!V2545</f>
        <v/>
      </c>
      <c r="C2545" s="40" t="s">
        <v>11</v>
      </c>
      <c r="D2545" s="36">
        <f>base!H2545</f>
        <v>0</v>
      </c>
      <c r="E2545" s="44"/>
      <c r="F2545" s="16">
        <f>base!W2545</f>
        <v>0</v>
      </c>
      <c r="G2545" s="11" t="e">
        <f t="shared" si="390"/>
        <v>#DIV/0!</v>
      </c>
      <c r="H2545" s="11" t="e">
        <f t="shared" si="391"/>
        <v>#N/A</v>
      </c>
      <c r="I2545" s="11" t="e">
        <f t="shared" si="392"/>
        <v>#N/A</v>
      </c>
      <c r="J2545" s="12" t="e">
        <f t="shared" si="393"/>
        <v>#N/A</v>
      </c>
      <c r="K2545" s="17" t="e">
        <f t="shared" si="398"/>
        <v>#N/A</v>
      </c>
      <c r="L2545" s="16">
        <f>base!X2545</f>
        <v>0</v>
      </c>
      <c r="M2545" s="11" t="e">
        <f t="shared" si="394"/>
        <v>#DIV/0!</v>
      </c>
      <c r="N2545" s="11" t="e">
        <f t="shared" si="395"/>
        <v>#N/A</v>
      </c>
      <c r="O2545" s="11" t="e">
        <f t="shared" si="396"/>
        <v>#N/A</v>
      </c>
      <c r="P2545" s="12" t="e">
        <f t="shared" si="397"/>
        <v>#N/A</v>
      </c>
      <c r="Q2545" s="17" t="e">
        <f t="shared" si="399"/>
        <v>#N/A</v>
      </c>
    </row>
    <row r="2546" spans="1:18" x14ac:dyDescent="0.3">
      <c r="A2546" s="34" t="str">
        <f>base!J2546</f>
        <v>RM</v>
      </c>
      <c r="B2546" s="34" t="str">
        <f>base!V2546</f>
        <v>14000</v>
      </c>
      <c r="C2546" s="37">
        <v>14</v>
      </c>
      <c r="D2546" s="36">
        <f>base!H2546</f>
        <v>153</v>
      </c>
      <c r="E2546" s="44"/>
      <c r="F2546" s="16">
        <f>base!W2546</f>
        <v>0</v>
      </c>
      <c r="G2546" s="11">
        <f t="shared" si="390"/>
        <v>0</v>
      </c>
      <c r="H2546" s="11">
        <f t="shared" si="391"/>
        <v>26.01</v>
      </c>
      <c r="I2546" s="11">
        <f t="shared" si="392"/>
        <v>0.17</v>
      </c>
      <c r="J2546" s="12">
        <f t="shared" si="393"/>
        <v>-26.01</v>
      </c>
      <c r="K2546" s="17" t="str">
        <f t="shared" si="398"/>
        <v>Ecart négatif</v>
      </c>
      <c r="L2546" s="16">
        <f>base!X2546</f>
        <v>0</v>
      </c>
      <c r="M2546" s="11">
        <f t="shared" si="394"/>
        <v>0</v>
      </c>
      <c r="N2546" s="11">
        <f t="shared" si="395"/>
        <v>26.01</v>
      </c>
      <c r="O2546" s="11">
        <f t="shared" si="396"/>
        <v>0.17</v>
      </c>
      <c r="P2546" s="12">
        <f t="shared" si="397"/>
        <v>-26.01</v>
      </c>
      <c r="Q2546" s="17" t="str">
        <f t="shared" si="399"/>
        <v>Ecart négatif</v>
      </c>
    </row>
    <row r="2547" spans="1:18" x14ac:dyDescent="0.3">
      <c r="A2547" s="34" t="str">
        <f>base!J2547</f>
        <v>RS</v>
      </c>
      <c r="B2547" s="34" t="str">
        <f>base!V2547</f>
        <v>69007</v>
      </c>
      <c r="C2547" s="37">
        <v>69</v>
      </c>
      <c r="D2547" s="36">
        <f>base!H2547</f>
        <v>183</v>
      </c>
      <c r="E2547" s="44"/>
      <c r="F2547" s="16">
        <f>base!W2547</f>
        <v>0</v>
      </c>
      <c r="G2547" s="11">
        <f t="shared" si="390"/>
        <v>0</v>
      </c>
      <c r="H2547" s="11">
        <f t="shared" si="391"/>
        <v>49.410000000000004</v>
      </c>
      <c r="I2547" s="11">
        <f t="shared" si="392"/>
        <v>0.27</v>
      </c>
      <c r="J2547" s="12">
        <f t="shared" si="393"/>
        <v>-49.410000000000004</v>
      </c>
      <c r="K2547" s="17" t="str">
        <f t="shared" si="398"/>
        <v>Ecart négatif</v>
      </c>
      <c r="L2547" s="16">
        <f>base!X2547</f>
        <v>0</v>
      </c>
      <c r="M2547" s="11">
        <f t="shared" si="394"/>
        <v>0</v>
      </c>
      <c r="N2547" s="11">
        <f t="shared" si="395"/>
        <v>0</v>
      </c>
      <c r="O2547" s="11">
        <f t="shared" si="396"/>
        <v>0</v>
      </c>
      <c r="P2547" s="12">
        <f t="shared" si="397"/>
        <v>0</v>
      </c>
      <c r="Q2547" s="17" t="str">
        <f t="shared" si="399"/>
        <v>Pas d'écart</v>
      </c>
    </row>
    <row r="2548" spans="1:18" x14ac:dyDescent="0.3">
      <c r="A2548" s="34">
        <f>base!J2548</f>
        <v>0</v>
      </c>
      <c r="B2548" s="34" t="str">
        <f>base!V2548</f>
        <v>77184</v>
      </c>
      <c r="C2548" s="37">
        <v>77</v>
      </c>
      <c r="D2548" s="36">
        <f>base!H2548</f>
        <v>70</v>
      </c>
      <c r="E2548" s="44"/>
      <c r="F2548" s="16">
        <f>base!W2548</f>
        <v>0</v>
      </c>
      <c r="G2548" s="11">
        <f t="shared" si="390"/>
        <v>0</v>
      </c>
      <c r="H2548" s="11">
        <f t="shared" si="391"/>
        <v>0</v>
      </c>
      <c r="I2548" s="11">
        <f t="shared" si="392"/>
        <v>0</v>
      </c>
      <c r="J2548" s="12">
        <f t="shared" si="393"/>
        <v>0</v>
      </c>
      <c r="K2548" s="17" t="str">
        <f t="shared" si="398"/>
        <v>Pas d'écart</v>
      </c>
      <c r="L2548" s="16">
        <f>base!X2548</f>
        <v>0</v>
      </c>
      <c r="M2548" s="11">
        <f t="shared" si="394"/>
        <v>0</v>
      </c>
      <c r="N2548" s="11">
        <f t="shared" si="395"/>
        <v>0</v>
      </c>
      <c r="O2548" s="11">
        <f t="shared" si="396"/>
        <v>0</v>
      </c>
      <c r="P2548" s="12">
        <f t="shared" si="397"/>
        <v>0</v>
      </c>
      <c r="Q2548" s="17" t="str">
        <f t="shared" si="399"/>
        <v>Pas d'écart</v>
      </c>
    </row>
    <row r="2549" spans="1:18" x14ac:dyDescent="0.3">
      <c r="A2549" s="34" t="str">
        <f>base!J2549</f>
        <v>RS</v>
      </c>
      <c r="B2549" s="34" t="str">
        <f>base!V2549</f>
        <v>77380</v>
      </c>
      <c r="C2549" s="37">
        <v>77</v>
      </c>
      <c r="D2549" s="36">
        <f>base!H2549</f>
        <v>70</v>
      </c>
      <c r="E2549" s="44"/>
      <c r="F2549" s="16">
        <f>base!W2549</f>
        <v>0</v>
      </c>
      <c r="G2549" s="11">
        <f t="shared" si="390"/>
        <v>0</v>
      </c>
      <c r="H2549" s="11">
        <f t="shared" si="391"/>
        <v>0</v>
      </c>
      <c r="I2549" s="11">
        <f t="shared" si="392"/>
        <v>0</v>
      </c>
      <c r="J2549" s="12">
        <f t="shared" si="393"/>
        <v>0</v>
      </c>
      <c r="K2549" s="17" t="str">
        <f t="shared" si="398"/>
        <v>Pas d'écart</v>
      </c>
      <c r="L2549" s="16">
        <f>base!X2549</f>
        <v>0</v>
      </c>
      <c r="M2549" s="11">
        <f t="shared" si="394"/>
        <v>0</v>
      </c>
      <c r="N2549" s="11">
        <f t="shared" si="395"/>
        <v>0</v>
      </c>
      <c r="O2549" s="11">
        <f t="shared" si="396"/>
        <v>0</v>
      </c>
      <c r="P2549" s="12">
        <f t="shared" si="397"/>
        <v>0</v>
      </c>
      <c r="Q2549" s="17" t="str">
        <f t="shared" si="399"/>
        <v>Pas d'écart</v>
      </c>
    </row>
    <row r="2550" spans="1:18" x14ac:dyDescent="0.3">
      <c r="A2550" s="34" t="str">
        <f>base!J2550</f>
        <v>RS</v>
      </c>
      <c r="B2550" s="34" t="str">
        <f>base!V2550</f>
        <v>26200</v>
      </c>
      <c r="C2550" s="37">
        <v>26</v>
      </c>
      <c r="D2550" s="36">
        <f>base!H2550</f>
        <v>19.440000000000001</v>
      </c>
      <c r="E2550" s="44"/>
      <c r="F2550" s="16">
        <f>base!W2550</f>
        <v>0</v>
      </c>
      <c r="G2550" s="11">
        <f t="shared" si="390"/>
        <v>0</v>
      </c>
      <c r="H2550" s="11">
        <f t="shared" si="391"/>
        <v>5.248800000000001</v>
      </c>
      <c r="I2550" s="11">
        <f t="shared" si="392"/>
        <v>0.27</v>
      </c>
      <c r="J2550" s="12">
        <f t="shared" si="393"/>
        <v>-5.248800000000001</v>
      </c>
      <c r="K2550" s="17" t="str">
        <f t="shared" si="398"/>
        <v>Ecart négatif</v>
      </c>
      <c r="L2550" s="16">
        <f>base!X2550</f>
        <v>5.25</v>
      </c>
      <c r="M2550" s="11">
        <f t="shared" si="394"/>
        <v>0.27006172839506171</v>
      </c>
      <c r="N2550" s="11">
        <f t="shared" si="395"/>
        <v>0</v>
      </c>
      <c r="O2550" s="11">
        <f t="shared" si="396"/>
        <v>0</v>
      </c>
      <c r="P2550" s="12">
        <f t="shared" si="397"/>
        <v>5.25</v>
      </c>
      <c r="Q2550" s="17" t="str">
        <f t="shared" si="399"/>
        <v>Ecart positif</v>
      </c>
      <c r="R2550" s="38"/>
    </row>
    <row r="2551" spans="1:18" x14ac:dyDescent="0.3">
      <c r="A2551" s="34" t="str">
        <f>base!J2551</f>
        <v>RM</v>
      </c>
      <c r="B2551" s="34" t="str">
        <f>base!V2551</f>
        <v>83140</v>
      </c>
      <c r="C2551" s="37">
        <v>83</v>
      </c>
      <c r="D2551" s="36">
        <f>base!H2551</f>
        <v>130</v>
      </c>
      <c r="E2551" s="44"/>
      <c r="F2551" s="16">
        <f>base!W2551</f>
        <v>0</v>
      </c>
      <c r="G2551" s="11">
        <f t="shared" si="390"/>
        <v>0</v>
      </c>
      <c r="H2551" s="11">
        <f t="shared" si="391"/>
        <v>39</v>
      </c>
      <c r="I2551" s="11">
        <f t="shared" si="392"/>
        <v>0.3</v>
      </c>
      <c r="J2551" s="12">
        <f t="shared" si="393"/>
        <v>-39</v>
      </c>
      <c r="K2551" s="17" t="str">
        <f t="shared" si="398"/>
        <v>Ecart négatif</v>
      </c>
      <c r="L2551" s="16">
        <f>base!X2551</f>
        <v>0</v>
      </c>
      <c r="M2551" s="11">
        <f t="shared" si="394"/>
        <v>0</v>
      </c>
      <c r="N2551" s="11">
        <f t="shared" si="395"/>
        <v>27.3</v>
      </c>
      <c r="O2551" s="11">
        <f t="shared" si="396"/>
        <v>0.21</v>
      </c>
      <c r="P2551" s="12">
        <f t="shared" si="397"/>
        <v>-27.3</v>
      </c>
      <c r="Q2551" s="17" t="str">
        <f t="shared" si="399"/>
        <v>Ecart négatif</v>
      </c>
    </row>
    <row r="2552" spans="1:18" x14ac:dyDescent="0.3">
      <c r="A2552" s="34" t="str">
        <f>base!J2552</f>
        <v>RM</v>
      </c>
      <c r="B2552" s="34" t="str">
        <f>base!V2552</f>
        <v>27300</v>
      </c>
      <c r="C2552" s="37">
        <v>27</v>
      </c>
      <c r="D2552" s="36">
        <f>base!H2552</f>
        <v>19.399999999999999</v>
      </c>
      <c r="E2552" s="44"/>
      <c r="F2552" s="16">
        <f>base!W2552</f>
        <v>0</v>
      </c>
      <c r="G2552" s="11">
        <f t="shared" si="390"/>
        <v>0</v>
      </c>
      <c r="H2552" s="11">
        <f t="shared" si="391"/>
        <v>3.298</v>
      </c>
      <c r="I2552" s="11">
        <f t="shared" si="392"/>
        <v>0.17</v>
      </c>
      <c r="J2552" s="12">
        <f t="shared" si="393"/>
        <v>-3.298</v>
      </c>
      <c r="K2552" s="17" t="str">
        <f t="shared" si="398"/>
        <v>Ecart négatif</v>
      </c>
      <c r="L2552" s="16">
        <f>base!X2552</f>
        <v>0</v>
      </c>
      <c r="M2552" s="11">
        <f t="shared" si="394"/>
        <v>0</v>
      </c>
      <c r="N2552" s="11">
        <f t="shared" si="395"/>
        <v>3.298</v>
      </c>
      <c r="O2552" s="11">
        <f t="shared" si="396"/>
        <v>0.17</v>
      </c>
      <c r="P2552" s="12">
        <f t="shared" si="397"/>
        <v>-3.298</v>
      </c>
      <c r="Q2552" s="17" t="str">
        <f t="shared" si="399"/>
        <v>Ecart négatif</v>
      </c>
    </row>
    <row r="2553" spans="1:18" x14ac:dyDescent="0.3">
      <c r="A2553" s="34" t="str">
        <f>base!J2553</f>
        <v>RS</v>
      </c>
      <c r="B2553" s="34" t="str">
        <f>base!V2553</f>
        <v>13340</v>
      </c>
      <c r="C2553" s="37">
        <v>13</v>
      </c>
      <c r="D2553" s="36">
        <f>base!H2553</f>
        <v>40</v>
      </c>
      <c r="E2553" s="44"/>
      <c r="F2553" s="16">
        <f>base!W2553</f>
        <v>0</v>
      </c>
      <c r="G2553" s="11">
        <f t="shared" si="390"/>
        <v>0</v>
      </c>
      <c r="H2553" s="11">
        <f t="shared" si="391"/>
        <v>11.6</v>
      </c>
      <c r="I2553" s="11">
        <f t="shared" si="392"/>
        <v>0.28999999999999998</v>
      </c>
      <c r="J2553" s="12">
        <f t="shared" si="393"/>
        <v>-11.6</v>
      </c>
      <c r="K2553" s="17" t="str">
        <f t="shared" si="398"/>
        <v>Ecart négatif</v>
      </c>
      <c r="L2553" s="16">
        <f>base!X2553</f>
        <v>0</v>
      </c>
      <c r="M2553" s="11">
        <f t="shared" si="394"/>
        <v>0</v>
      </c>
      <c r="N2553" s="11">
        <f t="shared" si="395"/>
        <v>7.6</v>
      </c>
      <c r="O2553" s="11">
        <f t="shared" si="396"/>
        <v>0.19</v>
      </c>
      <c r="P2553" s="12">
        <f t="shared" si="397"/>
        <v>-7.6</v>
      </c>
      <c r="Q2553" s="17" t="str">
        <f t="shared" si="399"/>
        <v>Ecart négatif</v>
      </c>
    </row>
    <row r="2554" spans="1:18" x14ac:dyDescent="0.3">
      <c r="A2554" s="34" t="str">
        <f>base!J2554</f>
        <v>RM</v>
      </c>
      <c r="B2554" s="34" t="str">
        <f>base!V2554</f>
        <v>75002</v>
      </c>
      <c r="C2554" s="37">
        <v>75</v>
      </c>
      <c r="D2554" s="36">
        <f>base!H2554</f>
        <v>32</v>
      </c>
      <c r="E2554" s="44"/>
      <c r="F2554" s="16">
        <f>base!W2554</f>
        <v>0</v>
      </c>
      <c r="G2554" s="11">
        <f t="shared" si="390"/>
        <v>0</v>
      </c>
      <c r="H2554" s="11">
        <f t="shared" si="391"/>
        <v>0</v>
      </c>
      <c r="I2554" s="11">
        <f t="shared" si="392"/>
        <v>0</v>
      </c>
      <c r="J2554" s="12">
        <f t="shared" si="393"/>
        <v>0</v>
      </c>
      <c r="K2554" s="17" t="str">
        <f t="shared" si="398"/>
        <v>Pas d'écart</v>
      </c>
      <c r="L2554" s="16">
        <f>base!X2554</f>
        <v>0</v>
      </c>
      <c r="M2554" s="11">
        <f t="shared" si="394"/>
        <v>0</v>
      </c>
      <c r="N2554" s="11">
        <f t="shared" si="395"/>
        <v>0</v>
      </c>
      <c r="O2554" s="11">
        <f t="shared" si="396"/>
        <v>0</v>
      </c>
      <c r="P2554" s="12">
        <f t="shared" si="397"/>
        <v>0</v>
      </c>
      <c r="Q2554" s="17" t="str">
        <f t="shared" si="399"/>
        <v>Pas d'écart</v>
      </c>
    </row>
    <row r="2555" spans="1:18" x14ac:dyDescent="0.3">
      <c r="A2555" s="34" t="str">
        <f>base!J2555</f>
        <v>RM</v>
      </c>
      <c r="B2555" s="34" t="str">
        <f>base!V2555</f>
        <v>06190</v>
      </c>
      <c r="C2555" s="37">
        <v>6</v>
      </c>
      <c r="D2555" s="36">
        <f>base!H2555</f>
        <v>92</v>
      </c>
      <c r="E2555" s="44"/>
      <c r="F2555" s="16">
        <f>base!W2555</f>
        <v>0</v>
      </c>
      <c r="G2555" s="11">
        <f t="shared" si="390"/>
        <v>0</v>
      </c>
      <c r="H2555" s="11">
        <f t="shared" si="391"/>
        <v>27.599999999999998</v>
      </c>
      <c r="I2555" s="11">
        <f t="shared" si="392"/>
        <v>0.3</v>
      </c>
      <c r="J2555" s="12">
        <f t="shared" si="393"/>
        <v>-27.599999999999998</v>
      </c>
      <c r="K2555" s="17" t="str">
        <f t="shared" si="398"/>
        <v>Ecart négatif</v>
      </c>
      <c r="L2555" s="16">
        <f>base!X2555</f>
        <v>27.6</v>
      </c>
      <c r="M2555" s="11">
        <f t="shared" si="394"/>
        <v>0.3</v>
      </c>
      <c r="N2555" s="11">
        <f t="shared" si="395"/>
        <v>19.32</v>
      </c>
      <c r="O2555" s="11">
        <f t="shared" si="396"/>
        <v>0.21</v>
      </c>
      <c r="P2555" s="12">
        <f t="shared" si="397"/>
        <v>8.2800000000000011</v>
      </c>
      <c r="Q2555" s="17" t="str">
        <f t="shared" si="399"/>
        <v>Ecart positif</v>
      </c>
      <c r="R2555" s="38"/>
    </row>
    <row r="2556" spans="1:18" x14ac:dyDescent="0.3">
      <c r="A2556" s="34" t="str">
        <f>base!J2556</f>
        <v>DLM</v>
      </c>
      <c r="B2556" s="34" t="str">
        <f>base!V2556</f>
        <v>57000</v>
      </c>
      <c r="C2556" s="37">
        <v>57</v>
      </c>
      <c r="D2556" s="36">
        <f>base!H2556</f>
        <v>52.5</v>
      </c>
      <c r="E2556" s="44"/>
      <c r="F2556" s="16">
        <f>base!W2556</f>
        <v>0</v>
      </c>
      <c r="G2556" s="11">
        <f t="shared" si="390"/>
        <v>0</v>
      </c>
      <c r="H2556" s="11">
        <f t="shared" si="391"/>
        <v>12.6</v>
      </c>
      <c r="I2556" s="11">
        <f t="shared" si="392"/>
        <v>0.24</v>
      </c>
      <c r="J2556" s="12">
        <f t="shared" si="393"/>
        <v>-12.6</v>
      </c>
      <c r="K2556" s="17" t="str">
        <f t="shared" si="398"/>
        <v>Ecart négatif</v>
      </c>
      <c r="L2556" s="16">
        <f>base!X2556</f>
        <v>0</v>
      </c>
      <c r="M2556" s="11">
        <f t="shared" si="394"/>
        <v>0</v>
      </c>
      <c r="N2556" s="11">
        <f t="shared" si="395"/>
        <v>13.125</v>
      </c>
      <c r="O2556" s="11">
        <f t="shared" si="396"/>
        <v>0.25</v>
      </c>
      <c r="P2556" s="12">
        <f t="shared" si="397"/>
        <v>-13.125</v>
      </c>
      <c r="Q2556" s="17" t="str">
        <f t="shared" si="399"/>
        <v>Ecart négatif</v>
      </c>
    </row>
    <row r="2557" spans="1:18" x14ac:dyDescent="0.3">
      <c r="A2557" s="34" t="str">
        <f>base!J2557</f>
        <v>DLM</v>
      </c>
      <c r="B2557" s="34" t="str">
        <f>base!V2557</f>
        <v>69150</v>
      </c>
      <c r="C2557" s="37">
        <v>69</v>
      </c>
      <c r="D2557" s="36">
        <f>base!H2557</f>
        <v>52.5</v>
      </c>
      <c r="E2557" s="44"/>
      <c r="F2557" s="16">
        <f>base!W2557</f>
        <v>0</v>
      </c>
      <c r="G2557" s="11">
        <f t="shared" si="390"/>
        <v>0</v>
      </c>
      <c r="H2557" s="11">
        <f t="shared" si="391"/>
        <v>14.175000000000001</v>
      </c>
      <c r="I2557" s="11">
        <f t="shared" si="392"/>
        <v>0.27</v>
      </c>
      <c r="J2557" s="12">
        <f t="shared" si="393"/>
        <v>-14.175000000000001</v>
      </c>
      <c r="K2557" s="17" t="str">
        <f t="shared" si="398"/>
        <v>Ecart négatif</v>
      </c>
      <c r="L2557" s="16">
        <f>base!X2557</f>
        <v>0</v>
      </c>
      <c r="M2557" s="11">
        <f t="shared" si="394"/>
        <v>0</v>
      </c>
      <c r="N2557" s="11">
        <f t="shared" si="395"/>
        <v>0</v>
      </c>
      <c r="O2557" s="11">
        <f t="shared" si="396"/>
        <v>0</v>
      </c>
      <c r="P2557" s="12">
        <f t="shared" si="397"/>
        <v>0</v>
      </c>
      <c r="Q2557" s="17" t="str">
        <f t="shared" si="399"/>
        <v>Pas d'écart</v>
      </c>
    </row>
    <row r="2558" spans="1:18" x14ac:dyDescent="0.3">
      <c r="A2558" s="34" t="str">
        <f>base!J2558</f>
        <v>DRM</v>
      </c>
      <c r="B2558" s="34" t="str">
        <f>base!V2558</f>
        <v>38230</v>
      </c>
      <c r="C2558" s="37">
        <v>38</v>
      </c>
      <c r="D2558" s="36">
        <f>base!H2558</f>
        <v>23.4</v>
      </c>
      <c r="E2558" s="44"/>
      <c r="F2558" s="16">
        <f>base!W2558</f>
        <v>0</v>
      </c>
      <c r="G2558" s="11">
        <f t="shared" si="390"/>
        <v>0</v>
      </c>
      <c r="H2558" s="11">
        <f t="shared" si="391"/>
        <v>6.3179999999999996</v>
      </c>
      <c r="I2558" s="11">
        <f t="shared" si="392"/>
        <v>0.27</v>
      </c>
      <c r="J2558" s="12">
        <f t="shared" si="393"/>
        <v>-6.3179999999999996</v>
      </c>
      <c r="K2558" s="17" t="str">
        <f t="shared" si="398"/>
        <v>Ecart négatif</v>
      </c>
      <c r="L2558" s="16">
        <f>base!X2558</f>
        <v>0</v>
      </c>
      <c r="M2558" s="11">
        <f t="shared" si="394"/>
        <v>0</v>
      </c>
      <c r="N2558" s="11">
        <f t="shared" si="395"/>
        <v>0</v>
      </c>
      <c r="O2558" s="11">
        <f t="shared" si="396"/>
        <v>0</v>
      </c>
      <c r="P2558" s="12">
        <f t="shared" si="397"/>
        <v>0</v>
      </c>
      <c r="Q2558" s="17" t="str">
        <f t="shared" si="399"/>
        <v>Pas d'écart</v>
      </c>
    </row>
    <row r="2559" spans="1:18" x14ac:dyDescent="0.3">
      <c r="A2559" s="34" t="str">
        <f>base!J2559</f>
        <v>DRM</v>
      </c>
      <c r="B2559" s="34" t="str">
        <f>base!V2559</f>
        <v>38230</v>
      </c>
      <c r="C2559" s="37">
        <v>38</v>
      </c>
      <c r="D2559" s="36">
        <f>base!H2559</f>
        <v>23.4</v>
      </c>
      <c r="E2559" s="44"/>
      <c r="F2559" s="16">
        <f>base!W2559</f>
        <v>0</v>
      </c>
      <c r="G2559" s="11">
        <f t="shared" si="390"/>
        <v>0</v>
      </c>
      <c r="H2559" s="11">
        <f t="shared" si="391"/>
        <v>6.3179999999999996</v>
      </c>
      <c r="I2559" s="11">
        <f t="shared" si="392"/>
        <v>0.27</v>
      </c>
      <c r="J2559" s="12">
        <f t="shared" si="393"/>
        <v>-6.3179999999999996</v>
      </c>
      <c r="K2559" s="17" t="str">
        <f t="shared" si="398"/>
        <v>Ecart négatif</v>
      </c>
      <c r="L2559" s="16">
        <f>base!X2559</f>
        <v>0</v>
      </c>
      <c r="M2559" s="11">
        <f t="shared" si="394"/>
        <v>0</v>
      </c>
      <c r="N2559" s="11">
        <f t="shared" si="395"/>
        <v>0</v>
      </c>
      <c r="O2559" s="11">
        <f t="shared" si="396"/>
        <v>0</v>
      </c>
      <c r="P2559" s="12">
        <f t="shared" si="397"/>
        <v>0</v>
      </c>
      <c r="Q2559" s="17" t="str">
        <f t="shared" si="399"/>
        <v>Pas d'écart</v>
      </c>
    </row>
    <row r="2560" spans="1:18" x14ac:dyDescent="0.3">
      <c r="A2560" s="34" t="str">
        <f>base!J2560</f>
        <v>DRM</v>
      </c>
      <c r="B2560" s="34" t="str">
        <f>base!V2560</f>
        <v>21000</v>
      </c>
      <c r="C2560" s="37">
        <v>21</v>
      </c>
      <c r="D2560" s="36">
        <f>base!H2560</f>
        <v>151</v>
      </c>
      <c r="E2560" s="44"/>
      <c r="F2560" s="16">
        <f>base!W2560</f>
        <v>0</v>
      </c>
      <c r="G2560" s="11">
        <f t="shared" si="390"/>
        <v>0</v>
      </c>
      <c r="H2560" s="11">
        <f t="shared" si="391"/>
        <v>36.24</v>
      </c>
      <c r="I2560" s="11">
        <f t="shared" si="392"/>
        <v>0.24000000000000002</v>
      </c>
      <c r="J2560" s="12">
        <f t="shared" si="393"/>
        <v>-36.24</v>
      </c>
      <c r="K2560" s="17" t="str">
        <f t="shared" si="398"/>
        <v>Ecart négatif</v>
      </c>
      <c r="L2560" s="16">
        <f>base!X2560</f>
        <v>0</v>
      </c>
      <c r="M2560" s="11">
        <f t="shared" si="394"/>
        <v>0</v>
      </c>
      <c r="N2560" s="11">
        <f t="shared" si="395"/>
        <v>18.12</v>
      </c>
      <c r="O2560" s="11">
        <f t="shared" si="396"/>
        <v>0.12000000000000001</v>
      </c>
      <c r="P2560" s="12">
        <f t="shared" si="397"/>
        <v>-18.12</v>
      </c>
      <c r="Q2560" s="17" t="str">
        <f t="shared" si="399"/>
        <v>Ecart négatif</v>
      </c>
    </row>
    <row r="2561" spans="1:17" x14ac:dyDescent="0.3">
      <c r="A2561" s="34" t="str">
        <f>base!J2561</f>
        <v>DLM</v>
      </c>
      <c r="B2561" s="34" t="str">
        <f>base!V2561</f>
        <v>08200</v>
      </c>
      <c r="C2561" s="37">
        <v>8</v>
      </c>
      <c r="D2561" s="36">
        <f>base!H2561</f>
        <v>140</v>
      </c>
      <c r="E2561" s="44"/>
      <c r="F2561" s="16">
        <f>base!W2561</f>
        <v>0</v>
      </c>
      <c r="G2561" s="11">
        <f t="shared" si="390"/>
        <v>0</v>
      </c>
      <c r="H2561" s="11">
        <f t="shared" si="391"/>
        <v>25.2</v>
      </c>
      <c r="I2561" s="11">
        <f t="shared" si="392"/>
        <v>0.18</v>
      </c>
      <c r="J2561" s="12">
        <f t="shared" si="393"/>
        <v>-25.2</v>
      </c>
      <c r="K2561" s="17" t="str">
        <f t="shared" si="398"/>
        <v>Ecart négatif</v>
      </c>
      <c r="L2561" s="16">
        <f>base!X2561</f>
        <v>0</v>
      </c>
      <c r="M2561" s="11">
        <f t="shared" si="394"/>
        <v>0</v>
      </c>
      <c r="N2561" s="11">
        <f t="shared" si="395"/>
        <v>0</v>
      </c>
      <c r="O2561" s="11">
        <f t="shared" si="396"/>
        <v>0</v>
      </c>
      <c r="P2561" s="12">
        <f t="shared" si="397"/>
        <v>0</v>
      </c>
      <c r="Q2561" s="17" t="str">
        <f t="shared" si="399"/>
        <v>Pas d'écart</v>
      </c>
    </row>
    <row r="2562" spans="1:17" x14ac:dyDescent="0.3">
      <c r="A2562" s="34" t="str">
        <f>base!J2562</f>
        <v>RS</v>
      </c>
      <c r="B2562" s="34" t="str">
        <f>base!V2562</f>
        <v>62320</v>
      </c>
      <c r="C2562" s="37">
        <v>62</v>
      </c>
      <c r="D2562" s="36">
        <f>base!H2562</f>
        <v>180</v>
      </c>
      <c r="E2562" s="44"/>
      <c r="F2562" s="16">
        <f>base!W2562</f>
        <v>0</v>
      </c>
      <c r="G2562" s="11">
        <f t="shared" ref="G2562:G2625" si="400">F2562/D2562</f>
        <v>0</v>
      </c>
      <c r="H2562" s="11">
        <f t="shared" ref="H2562:H2625" si="401">VLOOKUP(C2562,tout_cout_traction,2,FALSE)*D2562</f>
        <v>34.200000000000003</v>
      </c>
      <c r="I2562" s="11">
        <f t="shared" ref="I2562:I2625" si="402">H2562/D2562</f>
        <v>0.19</v>
      </c>
      <c r="J2562" s="12">
        <f t="shared" ref="J2562:J2625" si="403">F2562-H2562</f>
        <v>-34.200000000000003</v>
      </c>
      <c r="K2562" s="17" t="str">
        <f t="shared" si="398"/>
        <v>Ecart négatif</v>
      </c>
      <c r="L2562" s="16">
        <f>base!X2562</f>
        <v>0</v>
      </c>
      <c r="M2562" s="11">
        <f t="shared" ref="M2562:M2625" si="404">L2562/D2562</f>
        <v>0</v>
      </c>
      <c r="N2562" s="11">
        <f t="shared" ref="N2562:N2625" si="405">VLOOKUP(C2562,tout_cout_traction,3,FALSE)*D2562</f>
        <v>0</v>
      </c>
      <c r="O2562" s="11">
        <f t="shared" ref="O2562:O2625" si="406">N2562/D2562</f>
        <v>0</v>
      </c>
      <c r="P2562" s="12">
        <f t="shared" ref="P2562:P2625" si="407">L2562-N2562</f>
        <v>0</v>
      </c>
      <c r="Q2562" s="17" t="str">
        <f t="shared" si="399"/>
        <v>Pas d'écart</v>
      </c>
    </row>
    <row r="2563" spans="1:17" x14ac:dyDescent="0.3">
      <c r="A2563" s="34" t="str">
        <f>base!J2563</f>
        <v>RM</v>
      </c>
      <c r="B2563" s="34" t="str">
        <f>base!V2563</f>
        <v>62320</v>
      </c>
      <c r="C2563" s="37">
        <v>62</v>
      </c>
      <c r="D2563" s="36">
        <f>base!H2563</f>
        <v>215.06</v>
      </c>
      <c r="E2563" s="44"/>
      <c r="F2563" s="16">
        <f>base!W2563</f>
        <v>0</v>
      </c>
      <c r="G2563" s="11">
        <f t="shared" si="400"/>
        <v>0</v>
      </c>
      <c r="H2563" s="11">
        <f t="shared" si="401"/>
        <v>40.861400000000003</v>
      </c>
      <c r="I2563" s="11">
        <f t="shared" si="402"/>
        <v>0.19</v>
      </c>
      <c r="J2563" s="12">
        <f t="shared" si="403"/>
        <v>-40.861400000000003</v>
      </c>
      <c r="K2563" s="17" t="str">
        <f t="shared" ref="K2563:K2626" si="408">IF(H2563=F2563,"Pas d'écart",IF(H2563&lt;F2563,"Ecart positif",IF(H2563&gt;F2563,"Ecart négatif")))</f>
        <v>Ecart négatif</v>
      </c>
      <c r="L2563" s="16">
        <f>base!X2563</f>
        <v>0</v>
      </c>
      <c r="M2563" s="11">
        <f t="shared" si="404"/>
        <v>0</v>
      </c>
      <c r="N2563" s="11">
        <f t="shared" si="405"/>
        <v>0</v>
      </c>
      <c r="O2563" s="11">
        <f t="shared" si="406"/>
        <v>0</v>
      </c>
      <c r="P2563" s="12">
        <f t="shared" si="407"/>
        <v>0</v>
      </c>
      <c r="Q2563" s="17" t="str">
        <f t="shared" ref="Q2563:Q2626" si="409">IF(N2563=L2563,"Pas d'écart",IF(N2563&lt;L2563,"Ecart positif",IF(N2563&gt;L2563,"Ecart négatif")))</f>
        <v>Pas d'écart</v>
      </c>
    </row>
    <row r="2564" spans="1:17" x14ac:dyDescent="0.3">
      <c r="A2564" s="34">
        <f>base!J2564</f>
        <v>0</v>
      </c>
      <c r="B2564" s="34" t="str">
        <f>base!V2564</f>
        <v>77184</v>
      </c>
      <c r="C2564" s="37">
        <v>77</v>
      </c>
      <c r="D2564" s="36">
        <f>base!H2564</f>
        <v>84.5</v>
      </c>
      <c r="E2564" s="44"/>
      <c r="F2564" s="16">
        <f>base!W2564</f>
        <v>0</v>
      </c>
      <c r="G2564" s="11">
        <f t="shared" si="400"/>
        <v>0</v>
      </c>
      <c r="H2564" s="11">
        <f t="shared" si="401"/>
        <v>0</v>
      </c>
      <c r="I2564" s="11">
        <f t="shared" si="402"/>
        <v>0</v>
      </c>
      <c r="J2564" s="12">
        <f t="shared" si="403"/>
        <v>0</v>
      </c>
      <c r="K2564" s="17" t="str">
        <f t="shared" si="408"/>
        <v>Pas d'écart</v>
      </c>
      <c r="L2564" s="16">
        <f>base!X2564</f>
        <v>0</v>
      </c>
      <c r="M2564" s="11">
        <f t="shared" si="404"/>
        <v>0</v>
      </c>
      <c r="N2564" s="11">
        <f t="shared" si="405"/>
        <v>0</v>
      </c>
      <c r="O2564" s="11">
        <f t="shared" si="406"/>
        <v>0</v>
      </c>
      <c r="P2564" s="12">
        <f t="shared" si="407"/>
        <v>0</v>
      </c>
      <c r="Q2564" s="17" t="str">
        <f t="shared" si="409"/>
        <v>Pas d'écart</v>
      </c>
    </row>
    <row r="2565" spans="1:17" x14ac:dyDescent="0.3">
      <c r="A2565" s="34" t="str">
        <f>base!J2565</f>
        <v>LM</v>
      </c>
      <c r="B2565" s="34" t="str">
        <f>base!V2565</f>
        <v>75008</v>
      </c>
      <c r="C2565" s="37">
        <v>75</v>
      </c>
      <c r="D2565" s="36">
        <f>base!H2565</f>
        <v>197.63</v>
      </c>
      <c r="E2565" s="44"/>
      <c r="F2565" s="16">
        <f>base!W2565</f>
        <v>0</v>
      </c>
      <c r="G2565" s="11">
        <f t="shared" si="400"/>
        <v>0</v>
      </c>
      <c r="H2565" s="11">
        <f t="shared" si="401"/>
        <v>0</v>
      </c>
      <c r="I2565" s="11">
        <f t="shared" si="402"/>
        <v>0</v>
      </c>
      <c r="J2565" s="12">
        <f t="shared" si="403"/>
        <v>0</v>
      </c>
      <c r="K2565" s="17" t="str">
        <f t="shared" si="408"/>
        <v>Pas d'écart</v>
      </c>
      <c r="L2565" s="16">
        <f>base!X2565</f>
        <v>0</v>
      </c>
      <c r="M2565" s="11">
        <f t="shared" si="404"/>
        <v>0</v>
      </c>
      <c r="N2565" s="11">
        <f t="shared" si="405"/>
        <v>0</v>
      </c>
      <c r="O2565" s="11">
        <f t="shared" si="406"/>
        <v>0</v>
      </c>
      <c r="P2565" s="12">
        <f t="shared" si="407"/>
        <v>0</v>
      </c>
      <c r="Q2565" s="17" t="str">
        <f t="shared" si="409"/>
        <v>Pas d'écart</v>
      </c>
    </row>
    <row r="2566" spans="1:17" x14ac:dyDescent="0.3">
      <c r="A2566" s="34" t="str">
        <f>base!J2566</f>
        <v>DRM</v>
      </c>
      <c r="B2566" s="34" t="str">
        <f>base!V2566</f>
        <v>67800</v>
      </c>
      <c r="C2566" s="37">
        <v>67</v>
      </c>
      <c r="D2566" s="36">
        <f>base!H2566</f>
        <v>151</v>
      </c>
      <c r="E2566" s="44"/>
      <c r="F2566" s="16">
        <f>base!W2566</f>
        <v>0</v>
      </c>
      <c r="G2566" s="11">
        <f t="shared" si="400"/>
        <v>0</v>
      </c>
      <c r="H2566" s="11">
        <f t="shared" si="401"/>
        <v>43.79</v>
      </c>
      <c r="I2566" s="11">
        <f t="shared" si="402"/>
        <v>0.28999999999999998</v>
      </c>
      <c r="J2566" s="12">
        <f t="shared" si="403"/>
        <v>-43.79</v>
      </c>
      <c r="K2566" s="17" t="str">
        <f t="shared" si="408"/>
        <v>Ecart négatif</v>
      </c>
      <c r="L2566" s="16">
        <f>base!X2566</f>
        <v>0</v>
      </c>
      <c r="M2566" s="11">
        <f t="shared" si="404"/>
        <v>0</v>
      </c>
      <c r="N2566" s="11">
        <f t="shared" si="405"/>
        <v>12.08</v>
      </c>
      <c r="O2566" s="11">
        <f t="shared" si="406"/>
        <v>0.08</v>
      </c>
      <c r="P2566" s="12">
        <f t="shared" si="407"/>
        <v>-12.08</v>
      </c>
      <c r="Q2566" s="17" t="str">
        <f t="shared" si="409"/>
        <v>Ecart négatif</v>
      </c>
    </row>
    <row r="2567" spans="1:17" x14ac:dyDescent="0.3">
      <c r="A2567" s="34">
        <f>base!J2567</f>
        <v>0</v>
      </c>
      <c r="B2567" s="34" t="str">
        <f>base!V2567</f>
        <v>77184</v>
      </c>
      <c r="C2567" s="37">
        <v>77</v>
      </c>
      <c r="D2567" s="36">
        <f>base!H2567</f>
        <v>245.02</v>
      </c>
      <c r="E2567" s="44"/>
      <c r="F2567" s="16">
        <f>base!W2567</f>
        <v>0</v>
      </c>
      <c r="G2567" s="11">
        <f t="shared" si="400"/>
        <v>0</v>
      </c>
      <c r="H2567" s="11">
        <f t="shared" si="401"/>
        <v>0</v>
      </c>
      <c r="I2567" s="11">
        <f t="shared" si="402"/>
        <v>0</v>
      </c>
      <c r="J2567" s="12">
        <f t="shared" si="403"/>
        <v>0</v>
      </c>
      <c r="K2567" s="17" t="str">
        <f t="shared" si="408"/>
        <v>Pas d'écart</v>
      </c>
      <c r="L2567" s="16">
        <f>base!X2567</f>
        <v>0</v>
      </c>
      <c r="M2567" s="11">
        <f t="shared" si="404"/>
        <v>0</v>
      </c>
      <c r="N2567" s="11">
        <f t="shared" si="405"/>
        <v>0</v>
      </c>
      <c r="O2567" s="11">
        <f t="shared" si="406"/>
        <v>0</v>
      </c>
      <c r="P2567" s="12">
        <f t="shared" si="407"/>
        <v>0</v>
      </c>
      <c r="Q2567" s="17" t="str">
        <f t="shared" si="409"/>
        <v>Pas d'écart</v>
      </c>
    </row>
    <row r="2568" spans="1:17" x14ac:dyDescent="0.3">
      <c r="A2568" s="34" t="str">
        <f>base!J2568</f>
        <v>DLS</v>
      </c>
      <c r="B2568" s="34" t="str">
        <f>base!V2568</f>
        <v>04100</v>
      </c>
      <c r="C2568" s="37">
        <v>4</v>
      </c>
      <c r="D2568" s="36">
        <f>base!H2568</f>
        <v>70</v>
      </c>
      <c r="E2568" s="44"/>
      <c r="F2568" s="16">
        <f>base!W2568</f>
        <v>20.3</v>
      </c>
      <c r="G2568" s="11">
        <f t="shared" si="400"/>
        <v>0.29000000000000004</v>
      </c>
      <c r="H2568" s="11">
        <f t="shared" si="401"/>
        <v>20.299999999999997</v>
      </c>
      <c r="I2568" s="11">
        <f t="shared" si="402"/>
        <v>0.28999999999999998</v>
      </c>
      <c r="J2568" s="12">
        <f t="shared" si="403"/>
        <v>0</v>
      </c>
      <c r="K2568" s="17" t="str">
        <f t="shared" si="408"/>
        <v>Pas d'écart</v>
      </c>
      <c r="L2568" s="16">
        <f>base!X2568</f>
        <v>0</v>
      </c>
      <c r="M2568" s="11">
        <f t="shared" si="404"/>
        <v>0</v>
      </c>
      <c r="N2568" s="11">
        <f t="shared" si="405"/>
        <v>13.3</v>
      </c>
      <c r="O2568" s="11">
        <f t="shared" si="406"/>
        <v>0.19</v>
      </c>
      <c r="P2568" s="12">
        <f t="shared" si="407"/>
        <v>-13.3</v>
      </c>
      <c r="Q2568" s="17" t="str">
        <f t="shared" si="409"/>
        <v>Ecart négatif</v>
      </c>
    </row>
    <row r="2569" spans="1:17" x14ac:dyDescent="0.3">
      <c r="A2569" s="34" t="str">
        <f>base!J2569</f>
        <v>LS</v>
      </c>
      <c r="B2569" s="34" t="str">
        <f>base!V2569</f>
        <v>75014</v>
      </c>
      <c r="C2569" s="37">
        <v>75</v>
      </c>
      <c r="D2569" s="36">
        <f>base!H2569</f>
        <v>59.68</v>
      </c>
      <c r="E2569" s="44"/>
      <c r="F2569" s="16">
        <f>base!W2569</f>
        <v>0</v>
      </c>
      <c r="G2569" s="11">
        <f t="shared" si="400"/>
        <v>0</v>
      </c>
      <c r="H2569" s="11">
        <f t="shared" si="401"/>
        <v>0</v>
      </c>
      <c r="I2569" s="11">
        <f t="shared" si="402"/>
        <v>0</v>
      </c>
      <c r="J2569" s="12">
        <f t="shared" si="403"/>
        <v>0</v>
      </c>
      <c r="K2569" s="17" t="str">
        <f t="shared" si="408"/>
        <v>Pas d'écart</v>
      </c>
      <c r="L2569" s="16">
        <f>base!X2569</f>
        <v>0</v>
      </c>
      <c r="M2569" s="11">
        <f t="shared" si="404"/>
        <v>0</v>
      </c>
      <c r="N2569" s="11">
        <f t="shared" si="405"/>
        <v>0</v>
      </c>
      <c r="O2569" s="11">
        <f t="shared" si="406"/>
        <v>0</v>
      </c>
      <c r="P2569" s="12">
        <f t="shared" si="407"/>
        <v>0</v>
      </c>
      <c r="Q2569" s="17" t="str">
        <f t="shared" si="409"/>
        <v>Pas d'écart</v>
      </c>
    </row>
    <row r="2570" spans="1:17" x14ac:dyDescent="0.3">
      <c r="A2570" s="34" t="str">
        <f>base!J2570</f>
        <v>LS</v>
      </c>
      <c r="B2570" s="34" t="str">
        <f>base!V2570</f>
        <v>75014</v>
      </c>
      <c r="C2570" s="37">
        <v>75</v>
      </c>
      <c r="D2570" s="36">
        <f>base!H2570</f>
        <v>59.68</v>
      </c>
      <c r="E2570" s="44"/>
      <c r="F2570" s="16">
        <f>base!W2570</f>
        <v>0</v>
      </c>
      <c r="G2570" s="11">
        <f t="shared" si="400"/>
        <v>0</v>
      </c>
      <c r="H2570" s="11">
        <f t="shared" si="401"/>
        <v>0</v>
      </c>
      <c r="I2570" s="11">
        <f t="shared" si="402"/>
        <v>0</v>
      </c>
      <c r="J2570" s="12">
        <f t="shared" si="403"/>
        <v>0</v>
      </c>
      <c r="K2570" s="17" t="str">
        <f t="shared" si="408"/>
        <v>Pas d'écart</v>
      </c>
      <c r="L2570" s="16">
        <f>base!X2570</f>
        <v>0</v>
      </c>
      <c r="M2570" s="11">
        <f t="shared" si="404"/>
        <v>0</v>
      </c>
      <c r="N2570" s="11">
        <f t="shared" si="405"/>
        <v>0</v>
      </c>
      <c r="O2570" s="11">
        <f t="shared" si="406"/>
        <v>0</v>
      </c>
      <c r="P2570" s="12">
        <f t="shared" si="407"/>
        <v>0</v>
      </c>
      <c r="Q2570" s="17" t="str">
        <f t="shared" si="409"/>
        <v>Pas d'écart</v>
      </c>
    </row>
    <row r="2571" spans="1:17" x14ac:dyDescent="0.3">
      <c r="A2571" s="34" t="str">
        <f>base!J2571</f>
        <v>RS</v>
      </c>
      <c r="B2571" s="34" t="str">
        <f>base!V2571</f>
        <v>22800</v>
      </c>
      <c r="C2571" s="37">
        <v>22</v>
      </c>
      <c r="D2571" s="36">
        <f>base!H2571</f>
        <v>115.2</v>
      </c>
      <c r="E2571" s="44"/>
      <c r="F2571" s="16">
        <f>base!W2571</f>
        <v>0</v>
      </c>
      <c r="G2571" s="11">
        <f t="shared" si="400"/>
        <v>0</v>
      </c>
      <c r="H2571" s="11">
        <f t="shared" si="401"/>
        <v>43.776000000000003</v>
      </c>
      <c r="I2571" s="11">
        <f t="shared" si="402"/>
        <v>0.38</v>
      </c>
      <c r="J2571" s="12">
        <f t="shared" si="403"/>
        <v>-43.776000000000003</v>
      </c>
      <c r="K2571" s="17" t="str">
        <f t="shared" si="408"/>
        <v>Ecart négatif</v>
      </c>
      <c r="L2571" s="16">
        <f>base!X2571</f>
        <v>0</v>
      </c>
      <c r="M2571" s="11">
        <f t="shared" si="404"/>
        <v>0</v>
      </c>
      <c r="N2571" s="11">
        <f t="shared" si="405"/>
        <v>13.824</v>
      </c>
      <c r="O2571" s="11">
        <f t="shared" si="406"/>
        <v>0.12</v>
      </c>
      <c r="P2571" s="12">
        <f t="shared" si="407"/>
        <v>-13.824</v>
      </c>
      <c r="Q2571" s="17" t="str">
        <f t="shared" si="409"/>
        <v>Ecart négatif</v>
      </c>
    </row>
    <row r="2572" spans="1:17" x14ac:dyDescent="0.3">
      <c r="A2572" s="34" t="str">
        <f>base!J2572</f>
        <v>LM</v>
      </c>
      <c r="B2572" s="34" t="str">
        <f>base!V2572</f>
        <v>75014</v>
      </c>
      <c r="C2572" s="37">
        <v>75</v>
      </c>
      <c r="D2572" s="36">
        <f>base!H2572</f>
        <v>19.649999999999999</v>
      </c>
      <c r="E2572" s="44"/>
      <c r="F2572" s="16">
        <f>base!W2572</f>
        <v>0</v>
      </c>
      <c r="G2572" s="11">
        <f t="shared" si="400"/>
        <v>0</v>
      </c>
      <c r="H2572" s="11">
        <f t="shared" si="401"/>
        <v>0</v>
      </c>
      <c r="I2572" s="11">
        <f t="shared" si="402"/>
        <v>0</v>
      </c>
      <c r="J2572" s="12">
        <f t="shared" si="403"/>
        <v>0</v>
      </c>
      <c r="K2572" s="17" t="str">
        <f t="shared" si="408"/>
        <v>Pas d'écart</v>
      </c>
      <c r="L2572" s="16">
        <f>base!X2572</f>
        <v>0</v>
      </c>
      <c r="M2572" s="11">
        <f t="shared" si="404"/>
        <v>0</v>
      </c>
      <c r="N2572" s="11">
        <f t="shared" si="405"/>
        <v>0</v>
      </c>
      <c r="O2572" s="11">
        <f t="shared" si="406"/>
        <v>0</v>
      </c>
      <c r="P2572" s="12">
        <f t="shared" si="407"/>
        <v>0</v>
      </c>
      <c r="Q2572" s="17" t="str">
        <f t="shared" si="409"/>
        <v>Pas d'écart</v>
      </c>
    </row>
    <row r="2573" spans="1:17" x14ac:dyDescent="0.3">
      <c r="A2573" s="34" t="str">
        <f>base!J2573</f>
        <v>DLS</v>
      </c>
      <c r="B2573" s="34" t="str">
        <f>base!V2573</f>
        <v>75008</v>
      </c>
      <c r="C2573" s="37">
        <v>75</v>
      </c>
      <c r="D2573" s="36">
        <f>base!H2573</f>
        <v>180</v>
      </c>
      <c r="E2573" s="44"/>
      <c r="F2573" s="16">
        <f>base!W2573</f>
        <v>0</v>
      </c>
      <c r="G2573" s="11">
        <f t="shared" si="400"/>
        <v>0</v>
      </c>
      <c r="H2573" s="11">
        <f t="shared" si="401"/>
        <v>0</v>
      </c>
      <c r="I2573" s="11">
        <f t="shared" si="402"/>
        <v>0</v>
      </c>
      <c r="J2573" s="12">
        <f t="shared" si="403"/>
        <v>0</v>
      </c>
      <c r="K2573" s="17" t="str">
        <f t="shared" si="408"/>
        <v>Pas d'écart</v>
      </c>
      <c r="L2573" s="16">
        <f>base!X2573</f>
        <v>0</v>
      </c>
      <c r="M2573" s="11">
        <f t="shared" si="404"/>
        <v>0</v>
      </c>
      <c r="N2573" s="11">
        <f t="shared" si="405"/>
        <v>0</v>
      </c>
      <c r="O2573" s="11">
        <f t="shared" si="406"/>
        <v>0</v>
      </c>
      <c r="P2573" s="12">
        <f t="shared" si="407"/>
        <v>0</v>
      </c>
      <c r="Q2573" s="17" t="str">
        <f t="shared" si="409"/>
        <v>Pas d'écart</v>
      </c>
    </row>
    <row r="2574" spans="1:17" x14ac:dyDescent="0.3">
      <c r="A2574" s="34" t="str">
        <f>base!J2574</f>
        <v>DRS</v>
      </c>
      <c r="B2574" s="34" t="str">
        <f>base!V2574</f>
        <v>73200</v>
      </c>
      <c r="C2574" s="37">
        <v>73</v>
      </c>
      <c r="D2574" s="36">
        <f>base!H2574</f>
        <v>194.12</v>
      </c>
      <c r="E2574" s="44"/>
      <c r="F2574" s="16">
        <f>base!W2574</f>
        <v>0</v>
      </c>
      <c r="G2574" s="11">
        <f t="shared" si="400"/>
        <v>0</v>
      </c>
      <c r="H2574" s="11">
        <f t="shared" si="401"/>
        <v>52.412400000000005</v>
      </c>
      <c r="I2574" s="11">
        <f t="shared" si="402"/>
        <v>0.27</v>
      </c>
      <c r="J2574" s="12">
        <f t="shared" si="403"/>
        <v>-52.412400000000005</v>
      </c>
      <c r="K2574" s="17" t="str">
        <f t="shared" si="408"/>
        <v>Ecart négatif</v>
      </c>
      <c r="L2574" s="16">
        <f>base!X2574</f>
        <v>0</v>
      </c>
      <c r="M2574" s="11">
        <f t="shared" si="404"/>
        <v>0</v>
      </c>
      <c r="N2574" s="11">
        <f t="shared" si="405"/>
        <v>0</v>
      </c>
      <c r="O2574" s="11">
        <f t="shared" si="406"/>
        <v>0</v>
      </c>
      <c r="P2574" s="12">
        <f t="shared" si="407"/>
        <v>0</v>
      </c>
      <c r="Q2574" s="17" t="str">
        <f t="shared" si="409"/>
        <v>Pas d'écart</v>
      </c>
    </row>
    <row r="2575" spans="1:17" x14ac:dyDescent="0.3">
      <c r="A2575" s="34" t="str">
        <f>base!J2575</f>
        <v>RS</v>
      </c>
      <c r="B2575" s="34" t="str">
        <f>base!V2575</f>
        <v>84800</v>
      </c>
      <c r="C2575" s="37">
        <v>84</v>
      </c>
      <c r="D2575" s="36">
        <f>base!H2575</f>
        <v>20</v>
      </c>
      <c r="E2575" s="44"/>
      <c r="F2575" s="16">
        <f>base!W2575</f>
        <v>0</v>
      </c>
      <c r="G2575" s="11">
        <f t="shared" si="400"/>
        <v>0</v>
      </c>
      <c r="H2575" s="11">
        <f t="shared" si="401"/>
        <v>5.8</v>
      </c>
      <c r="I2575" s="11">
        <f t="shared" si="402"/>
        <v>0.28999999999999998</v>
      </c>
      <c r="J2575" s="12">
        <f t="shared" si="403"/>
        <v>-5.8</v>
      </c>
      <c r="K2575" s="17" t="str">
        <f t="shared" si="408"/>
        <v>Ecart négatif</v>
      </c>
      <c r="L2575" s="16">
        <f>base!X2575</f>
        <v>0</v>
      </c>
      <c r="M2575" s="11">
        <f t="shared" si="404"/>
        <v>0</v>
      </c>
      <c r="N2575" s="11">
        <f t="shared" si="405"/>
        <v>3.8</v>
      </c>
      <c r="O2575" s="11">
        <f t="shared" si="406"/>
        <v>0.19</v>
      </c>
      <c r="P2575" s="12">
        <f t="shared" si="407"/>
        <v>-3.8</v>
      </c>
      <c r="Q2575" s="17" t="str">
        <f t="shared" si="409"/>
        <v>Ecart négatif</v>
      </c>
    </row>
    <row r="2576" spans="1:17" x14ac:dyDescent="0.3">
      <c r="A2576" s="34" t="str">
        <f>base!J2576</f>
        <v>RM</v>
      </c>
      <c r="B2576" s="34" t="str">
        <f>base!V2576</f>
        <v>50240</v>
      </c>
      <c r="C2576" s="37">
        <v>50</v>
      </c>
      <c r="D2576" s="36">
        <f>base!H2576</f>
        <v>140</v>
      </c>
      <c r="E2576" s="44"/>
      <c r="F2576" s="16">
        <f>base!W2576</f>
        <v>0</v>
      </c>
      <c r="G2576" s="11">
        <f t="shared" si="400"/>
        <v>0</v>
      </c>
      <c r="H2576" s="11">
        <f t="shared" si="401"/>
        <v>23.8</v>
      </c>
      <c r="I2576" s="11">
        <f t="shared" si="402"/>
        <v>0.17</v>
      </c>
      <c r="J2576" s="12">
        <f t="shared" si="403"/>
        <v>-23.8</v>
      </c>
      <c r="K2576" s="17" t="str">
        <f t="shared" si="408"/>
        <v>Ecart négatif</v>
      </c>
      <c r="L2576" s="16">
        <f>base!X2576</f>
        <v>0</v>
      </c>
      <c r="M2576" s="11">
        <f t="shared" si="404"/>
        <v>0</v>
      </c>
      <c r="N2576" s="11">
        <f t="shared" si="405"/>
        <v>23.8</v>
      </c>
      <c r="O2576" s="11">
        <f t="shared" si="406"/>
        <v>0.17</v>
      </c>
      <c r="P2576" s="12">
        <f t="shared" si="407"/>
        <v>-23.8</v>
      </c>
      <c r="Q2576" s="17" t="str">
        <f t="shared" si="409"/>
        <v>Ecart négatif</v>
      </c>
    </row>
    <row r="2577" spans="1:18" x14ac:dyDescent="0.3">
      <c r="A2577" s="34" t="str">
        <f>base!J2577</f>
        <v>LS</v>
      </c>
      <c r="B2577" s="34" t="str">
        <f>base!V2577</f>
        <v>13350</v>
      </c>
      <c r="C2577" s="37">
        <v>16</v>
      </c>
      <c r="D2577" s="36">
        <f>base!H2577</f>
        <v>142.01</v>
      </c>
      <c r="E2577" s="44"/>
      <c r="F2577" s="16">
        <f>base!W2577</f>
        <v>41.18</v>
      </c>
      <c r="G2577" s="11">
        <f t="shared" si="400"/>
        <v>0.28997957890289416</v>
      </c>
      <c r="H2577" s="11">
        <f t="shared" si="401"/>
        <v>29.822099999999995</v>
      </c>
      <c r="I2577" s="11">
        <f t="shared" si="402"/>
        <v>0.21</v>
      </c>
      <c r="J2577" s="12">
        <f t="shared" si="403"/>
        <v>11.357900000000004</v>
      </c>
      <c r="K2577" s="17" t="str">
        <f t="shared" si="408"/>
        <v>Ecart positif</v>
      </c>
      <c r="L2577" s="16">
        <f>base!X2577</f>
        <v>0</v>
      </c>
      <c r="M2577" s="11">
        <f t="shared" si="404"/>
        <v>0</v>
      </c>
      <c r="N2577" s="11">
        <f t="shared" si="405"/>
        <v>24.1417</v>
      </c>
      <c r="O2577" s="11">
        <f t="shared" si="406"/>
        <v>0.17</v>
      </c>
      <c r="P2577" s="12">
        <f t="shared" si="407"/>
        <v>-24.1417</v>
      </c>
      <c r="Q2577" s="17" t="str">
        <f t="shared" si="409"/>
        <v>Ecart négatif</v>
      </c>
    </row>
    <row r="2578" spans="1:18" x14ac:dyDescent="0.3">
      <c r="A2578" s="34" t="str">
        <f>base!J2578</f>
        <v>LS</v>
      </c>
      <c r="B2578" s="34" t="str">
        <f>base!V2578</f>
        <v>91300</v>
      </c>
      <c r="C2578" s="37">
        <v>91</v>
      </c>
      <c r="D2578" s="36">
        <f>base!H2578</f>
        <v>80</v>
      </c>
      <c r="E2578" s="44"/>
      <c r="F2578" s="16">
        <f>base!W2578</f>
        <v>0</v>
      </c>
      <c r="G2578" s="11">
        <f t="shared" si="400"/>
        <v>0</v>
      </c>
      <c r="H2578" s="11">
        <f t="shared" si="401"/>
        <v>0</v>
      </c>
      <c r="I2578" s="11">
        <f t="shared" si="402"/>
        <v>0</v>
      </c>
      <c r="J2578" s="12">
        <f t="shared" si="403"/>
        <v>0</v>
      </c>
      <c r="K2578" s="17" t="str">
        <f t="shared" si="408"/>
        <v>Pas d'écart</v>
      </c>
      <c r="L2578" s="16">
        <f>base!X2578</f>
        <v>0</v>
      </c>
      <c r="M2578" s="11">
        <f t="shared" si="404"/>
        <v>0</v>
      </c>
      <c r="N2578" s="11">
        <f t="shared" si="405"/>
        <v>0</v>
      </c>
      <c r="O2578" s="11">
        <f t="shared" si="406"/>
        <v>0</v>
      </c>
      <c r="P2578" s="12">
        <f t="shared" si="407"/>
        <v>0</v>
      </c>
      <c r="Q2578" s="17" t="str">
        <f t="shared" si="409"/>
        <v>Pas d'écart</v>
      </c>
    </row>
    <row r="2579" spans="1:18" x14ac:dyDescent="0.3">
      <c r="A2579" s="34" t="str">
        <f>base!J2579</f>
        <v>RM</v>
      </c>
      <c r="B2579" s="34" t="str">
        <f>base!V2579</f>
        <v>13290</v>
      </c>
      <c r="C2579" s="37">
        <v>13</v>
      </c>
      <c r="D2579" s="36">
        <f>base!H2579</f>
        <v>1200</v>
      </c>
      <c r="E2579" s="44"/>
      <c r="F2579" s="16">
        <f>base!W2579</f>
        <v>0</v>
      </c>
      <c r="G2579" s="11">
        <f t="shared" si="400"/>
        <v>0</v>
      </c>
      <c r="H2579" s="11">
        <f t="shared" si="401"/>
        <v>348</v>
      </c>
      <c r="I2579" s="11">
        <f t="shared" si="402"/>
        <v>0.28999999999999998</v>
      </c>
      <c r="J2579" s="12">
        <f t="shared" si="403"/>
        <v>-348</v>
      </c>
      <c r="K2579" s="17" t="str">
        <f t="shared" si="408"/>
        <v>Ecart négatif</v>
      </c>
      <c r="L2579" s="16">
        <f>base!X2579</f>
        <v>0</v>
      </c>
      <c r="M2579" s="11">
        <f t="shared" si="404"/>
        <v>0</v>
      </c>
      <c r="N2579" s="11">
        <f t="shared" si="405"/>
        <v>228</v>
      </c>
      <c r="O2579" s="11">
        <f t="shared" si="406"/>
        <v>0.19</v>
      </c>
      <c r="P2579" s="12">
        <f t="shared" si="407"/>
        <v>-228</v>
      </c>
      <c r="Q2579" s="17" t="str">
        <f t="shared" si="409"/>
        <v>Ecart négatif</v>
      </c>
    </row>
    <row r="2580" spans="1:18" x14ac:dyDescent="0.3">
      <c r="A2580" s="34" t="str">
        <f>base!J2580</f>
        <v>RM</v>
      </c>
      <c r="B2580" s="34" t="str">
        <f>base!V2580</f>
        <v>68520</v>
      </c>
      <c r="C2580" s="37">
        <v>68</v>
      </c>
      <c r="D2580" s="36">
        <f>base!H2580</f>
        <v>40</v>
      </c>
      <c r="E2580" s="44"/>
      <c r="F2580" s="16">
        <f>base!W2580</f>
        <v>0</v>
      </c>
      <c r="G2580" s="11">
        <f t="shared" si="400"/>
        <v>0</v>
      </c>
      <c r="H2580" s="11">
        <f t="shared" si="401"/>
        <v>11.6</v>
      </c>
      <c r="I2580" s="11">
        <f t="shared" si="402"/>
        <v>0.28999999999999998</v>
      </c>
      <c r="J2580" s="12">
        <f t="shared" si="403"/>
        <v>-11.6</v>
      </c>
      <c r="K2580" s="17" t="str">
        <f t="shared" si="408"/>
        <v>Ecart négatif</v>
      </c>
      <c r="L2580" s="16">
        <f>base!X2580</f>
        <v>0</v>
      </c>
      <c r="M2580" s="11">
        <f t="shared" si="404"/>
        <v>0</v>
      </c>
      <c r="N2580" s="11">
        <f t="shared" si="405"/>
        <v>3.2</v>
      </c>
      <c r="O2580" s="11">
        <f t="shared" si="406"/>
        <v>0.08</v>
      </c>
      <c r="P2580" s="12">
        <f t="shared" si="407"/>
        <v>-3.2</v>
      </c>
      <c r="Q2580" s="17" t="str">
        <f t="shared" si="409"/>
        <v>Ecart négatif</v>
      </c>
    </row>
    <row r="2581" spans="1:18" x14ac:dyDescent="0.3">
      <c r="A2581" s="34" t="str">
        <f>base!J2581</f>
        <v>RM</v>
      </c>
      <c r="B2581" s="34" t="str">
        <f>base!V2581</f>
        <v>30000</v>
      </c>
      <c r="C2581" s="37">
        <v>30</v>
      </c>
      <c r="D2581" s="36">
        <f>base!H2581</f>
        <v>170.32</v>
      </c>
      <c r="E2581" s="44"/>
      <c r="F2581" s="16">
        <f>base!W2581</f>
        <v>0</v>
      </c>
      <c r="G2581" s="11">
        <f t="shared" si="400"/>
        <v>0</v>
      </c>
      <c r="H2581" s="11">
        <f t="shared" si="401"/>
        <v>66.424800000000005</v>
      </c>
      <c r="I2581" s="11">
        <f t="shared" si="402"/>
        <v>0.39000000000000007</v>
      </c>
      <c r="J2581" s="12">
        <f t="shared" si="403"/>
        <v>-66.424800000000005</v>
      </c>
      <c r="K2581" s="17" t="str">
        <f t="shared" si="408"/>
        <v>Ecart négatif</v>
      </c>
      <c r="L2581" s="16">
        <f>base!X2581</f>
        <v>47.69</v>
      </c>
      <c r="M2581" s="11">
        <f t="shared" si="404"/>
        <v>0.2800023485204321</v>
      </c>
      <c r="N2581" s="11">
        <f t="shared" si="405"/>
        <v>47.689600000000006</v>
      </c>
      <c r="O2581" s="11">
        <f t="shared" si="406"/>
        <v>0.28000000000000003</v>
      </c>
      <c r="P2581" s="12">
        <f t="shared" si="407"/>
        <v>3.9999999999196234E-4</v>
      </c>
      <c r="Q2581" s="17" t="str">
        <f t="shared" si="409"/>
        <v>Ecart positif</v>
      </c>
      <c r="R2581" s="38"/>
    </row>
    <row r="2582" spans="1:18" x14ac:dyDescent="0.3">
      <c r="A2582" s="34" t="str">
        <f>base!J2582</f>
        <v>LS</v>
      </c>
      <c r="B2582" s="34" t="str">
        <f>base!V2582</f>
        <v>94290</v>
      </c>
      <c r="C2582" s="37">
        <v>94</v>
      </c>
      <c r="D2582" s="36">
        <f>base!H2582</f>
        <v>136.65</v>
      </c>
      <c r="E2582" s="44"/>
      <c r="F2582" s="16">
        <f>base!W2582</f>
        <v>0</v>
      </c>
      <c r="G2582" s="11">
        <f t="shared" si="400"/>
        <v>0</v>
      </c>
      <c r="H2582" s="11">
        <f t="shared" si="401"/>
        <v>0</v>
      </c>
      <c r="I2582" s="11">
        <f t="shared" si="402"/>
        <v>0</v>
      </c>
      <c r="J2582" s="12">
        <f t="shared" si="403"/>
        <v>0</v>
      </c>
      <c r="K2582" s="17" t="str">
        <f t="shared" si="408"/>
        <v>Pas d'écart</v>
      </c>
      <c r="L2582" s="16">
        <f>base!X2582</f>
        <v>0</v>
      </c>
      <c r="M2582" s="11">
        <f t="shared" si="404"/>
        <v>0</v>
      </c>
      <c r="N2582" s="11">
        <f t="shared" si="405"/>
        <v>0</v>
      </c>
      <c r="O2582" s="11">
        <f t="shared" si="406"/>
        <v>0</v>
      </c>
      <c r="P2582" s="12">
        <f t="shared" si="407"/>
        <v>0</v>
      </c>
      <c r="Q2582" s="17" t="str">
        <f t="shared" si="409"/>
        <v>Pas d'écart</v>
      </c>
    </row>
    <row r="2583" spans="1:18" x14ac:dyDescent="0.3">
      <c r="A2583" s="34" t="str">
        <f>base!J2583</f>
        <v>LS</v>
      </c>
      <c r="B2583" s="34" t="str">
        <f>base!V2583</f>
        <v>91300</v>
      </c>
      <c r="C2583" s="37">
        <v>91</v>
      </c>
      <c r="D2583" s="36">
        <f>base!H2583</f>
        <v>23</v>
      </c>
      <c r="E2583" s="44"/>
      <c r="F2583" s="16">
        <f>base!W2583</f>
        <v>0</v>
      </c>
      <c r="G2583" s="11">
        <f t="shared" si="400"/>
        <v>0</v>
      </c>
      <c r="H2583" s="11">
        <f t="shared" si="401"/>
        <v>0</v>
      </c>
      <c r="I2583" s="11">
        <f t="shared" si="402"/>
        <v>0</v>
      </c>
      <c r="J2583" s="12">
        <f t="shared" si="403"/>
        <v>0</v>
      </c>
      <c r="K2583" s="17" t="str">
        <f t="shared" si="408"/>
        <v>Pas d'écart</v>
      </c>
      <c r="L2583" s="16">
        <f>base!X2583</f>
        <v>0</v>
      </c>
      <c r="M2583" s="11">
        <f t="shared" si="404"/>
        <v>0</v>
      </c>
      <c r="N2583" s="11">
        <f t="shared" si="405"/>
        <v>0</v>
      </c>
      <c r="O2583" s="11">
        <f t="shared" si="406"/>
        <v>0</v>
      </c>
      <c r="P2583" s="12">
        <f t="shared" si="407"/>
        <v>0</v>
      </c>
      <c r="Q2583" s="17" t="str">
        <f t="shared" si="409"/>
        <v>Pas d'écart</v>
      </c>
    </row>
    <row r="2584" spans="1:18" x14ac:dyDescent="0.3">
      <c r="A2584" s="34" t="str">
        <f>base!J2584</f>
        <v>LM</v>
      </c>
      <c r="B2584" s="34" t="str">
        <f>base!V2584</f>
        <v>92200</v>
      </c>
      <c r="C2584" s="37">
        <v>92</v>
      </c>
      <c r="D2584" s="36">
        <f>base!H2584</f>
        <v>30</v>
      </c>
      <c r="E2584" s="44"/>
      <c r="F2584" s="16">
        <f>base!W2584</f>
        <v>0</v>
      </c>
      <c r="G2584" s="11">
        <f t="shared" si="400"/>
        <v>0</v>
      </c>
      <c r="H2584" s="11">
        <f t="shared" si="401"/>
        <v>0</v>
      </c>
      <c r="I2584" s="11">
        <f t="shared" si="402"/>
        <v>0</v>
      </c>
      <c r="J2584" s="12">
        <f t="shared" si="403"/>
        <v>0</v>
      </c>
      <c r="K2584" s="17" t="str">
        <f t="shared" si="408"/>
        <v>Pas d'écart</v>
      </c>
      <c r="L2584" s="16">
        <f>base!X2584</f>
        <v>0</v>
      </c>
      <c r="M2584" s="11">
        <f t="shared" si="404"/>
        <v>0</v>
      </c>
      <c r="N2584" s="11">
        <f t="shared" si="405"/>
        <v>0</v>
      </c>
      <c r="O2584" s="11">
        <f t="shared" si="406"/>
        <v>0</v>
      </c>
      <c r="P2584" s="12">
        <f t="shared" si="407"/>
        <v>0</v>
      </c>
      <c r="Q2584" s="17" t="str">
        <f t="shared" si="409"/>
        <v>Pas d'écart</v>
      </c>
    </row>
    <row r="2585" spans="1:18" x14ac:dyDescent="0.3">
      <c r="A2585" s="34" t="str">
        <f>base!J2585</f>
        <v>LM</v>
      </c>
      <c r="B2585" s="34" t="str">
        <f>base!V2585</f>
        <v>75002</v>
      </c>
      <c r="C2585" s="37">
        <v>75</v>
      </c>
      <c r="D2585" s="36">
        <f>base!H2585</f>
        <v>158.47</v>
      </c>
      <c r="E2585" s="44"/>
      <c r="F2585" s="16">
        <f>base!W2585</f>
        <v>0</v>
      </c>
      <c r="G2585" s="11">
        <f t="shared" si="400"/>
        <v>0</v>
      </c>
      <c r="H2585" s="11">
        <f t="shared" si="401"/>
        <v>0</v>
      </c>
      <c r="I2585" s="11">
        <f t="shared" si="402"/>
        <v>0</v>
      </c>
      <c r="J2585" s="12">
        <f t="shared" si="403"/>
        <v>0</v>
      </c>
      <c r="K2585" s="17" t="str">
        <f t="shared" si="408"/>
        <v>Pas d'écart</v>
      </c>
      <c r="L2585" s="16">
        <f>base!X2585</f>
        <v>0</v>
      </c>
      <c r="M2585" s="11">
        <f t="shared" si="404"/>
        <v>0</v>
      </c>
      <c r="N2585" s="11">
        <f t="shared" si="405"/>
        <v>0</v>
      </c>
      <c r="O2585" s="11">
        <f t="shared" si="406"/>
        <v>0</v>
      </c>
      <c r="P2585" s="12">
        <f t="shared" si="407"/>
        <v>0</v>
      </c>
      <c r="Q2585" s="17" t="str">
        <f t="shared" si="409"/>
        <v>Pas d'écart</v>
      </c>
    </row>
    <row r="2586" spans="1:18" x14ac:dyDescent="0.3">
      <c r="A2586" s="34" t="str">
        <f>base!J2586</f>
        <v>Stockage</v>
      </c>
      <c r="B2586" s="34" t="str">
        <f>base!V2586</f>
        <v/>
      </c>
      <c r="C2586" s="40" t="s">
        <v>11</v>
      </c>
      <c r="D2586" s="36">
        <f>base!H2586</f>
        <v>0</v>
      </c>
      <c r="E2586" s="44"/>
      <c r="F2586" s="16">
        <f>base!W2586</f>
        <v>0</v>
      </c>
      <c r="G2586" s="11" t="e">
        <f t="shared" si="400"/>
        <v>#DIV/0!</v>
      </c>
      <c r="H2586" s="11" t="e">
        <f t="shared" si="401"/>
        <v>#N/A</v>
      </c>
      <c r="I2586" s="11" t="e">
        <f t="shared" si="402"/>
        <v>#N/A</v>
      </c>
      <c r="J2586" s="12" t="e">
        <f t="shared" si="403"/>
        <v>#N/A</v>
      </c>
      <c r="K2586" s="17" t="e">
        <f t="shared" si="408"/>
        <v>#N/A</v>
      </c>
      <c r="L2586" s="16">
        <f>base!X2586</f>
        <v>0</v>
      </c>
      <c r="M2586" s="11" t="e">
        <f t="shared" si="404"/>
        <v>#DIV/0!</v>
      </c>
      <c r="N2586" s="11" t="e">
        <f t="shared" si="405"/>
        <v>#N/A</v>
      </c>
      <c r="O2586" s="11" t="e">
        <f t="shared" si="406"/>
        <v>#N/A</v>
      </c>
      <c r="P2586" s="12" t="e">
        <f t="shared" si="407"/>
        <v>#N/A</v>
      </c>
      <c r="Q2586" s="17" t="e">
        <f t="shared" si="409"/>
        <v>#N/A</v>
      </c>
    </row>
    <row r="2587" spans="1:18" x14ac:dyDescent="0.3">
      <c r="A2587" s="34" t="str">
        <f>base!J2587</f>
        <v>Stockage</v>
      </c>
      <c r="B2587" s="34" t="str">
        <f>base!V2587</f>
        <v/>
      </c>
      <c r="C2587" s="40" t="s">
        <v>11</v>
      </c>
      <c r="D2587" s="36">
        <f>base!H2587</f>
        <v>0</v>
      </c>
      <c r="E2587" s="44"/>
      <c r="F2587" s="16">
        <f>base!W2587</f>
        <v>0</v>
      </c>
      <c r="G2587" s="11" t="e">
        <f t="shared" si="400"/>
        <v>#DIV/0!</v>
      </c>
      <c r="H2587" s="11" t="e">
        <f t="shared" si="401"/>
        <v>#N/A</v>
      </c>
      <c r="I2587" s="11" t="e">
        <f t="shared" si="402"/>
        <v>#N/A</v>
      </c>
      <c r="J2587" s="12" t="e">
        <f t="shared" si="403"/>
        <v>#N/A</v>
      </c>
      <c r="K2587" s="17" t="e">
        <f t="shared" si="408"/>
        <v>#N/A</v>
      </c>
      <c r="L2587" s="16">
        <f>base!X2587</f>
        <v>0</v>
      </c>
      <c r="M2587" s="11" t="e">
        <f t="shared" si="404"/>
        <v>#DIV/0!</v>
      </c>
      <c r="N2587" s="11" t="e">
        <f t="shared" si="405"/>
        <v>#N/A</v>
      </c>
      <c r="O2587" s="11" t="e">
        <f t="shared" si="406"/>
        <v>#N/A</v>
      </c>
      <c r="P2587" s="12" t="e">
        <f t="shared" si="407"/>
        <v>#N/A</v>
      </c>
      <c r="Q2587" s="17" t="e">
        <f t="shared" si="409"/>
        <v>#N/A</v>
      </c>
    </row>
    <row r="2588" spans="1:18" x14ac:dyDescent="0.3">
      <c r="A2588" s="34" t="str">
        <f>base!J2588</f>
        <v>RS</v>
      </c>
      <c r="B2588" s="34" t="str">
        <f>base!V2588</f>
        <v>79180</v>
      </c>
      <c r="C2588" s="37">
        <v>79</v>
      </c>
      <c r="D2588" s="36">
        <f>base!H2588</f>
        <v>171.25</v>
      </c>
      <c r="E2588" s="44"/>
      <c r="F2588" s="16">
        <f>base!W2588</f>
        <v>0</v>
      </c>
      <c r="G2588" s="11">
        <f t="shared" si="400"/>
        <v>0</v>
      </c>
      <c r="H2588" s="11">
        <f t="shared" si="401"/>
        <v>35.962499999999999</v>
      </c>
      <c r="I2588" s="11">
        <f t="shared" si="402"/>
        <v>0.21</v>
      </c>
      <c r="J2588" s="12">
        <f t="shared" si="403"/>
        <v>-35.962499999999999</v>
      </c>
      <c r="K2588" s="17" t="str">
        <f t="shared" si="408"/>
        <v>Ecart négatif</v>
      </c>
      <c r="L2588" s="16">
        <f>base!X2588</f>
        <v>0</v>
      </c>
      <c r="M2588" s="11">
        <f t="shared" si="404"/>
        <v>0</v>
      </c>
      <c r="N2588" s="11">
        <f t="shared" si="405"/>
        <v>20.55</v>
      </c>
      <c r="O2588" s="11">
        <f t="shared" si="406"/>
        <v>0.12000000000000001</v>
      </c>
      <c r="P2588" s="12">
        <f t="shared" si="407"/>
        <v>-20.55</v>
      </c>
      <c r="Q2588" s="17" t="str">
        <f t="shared" si="409"/>
        <v>Ecart négatif</v>
      </c>
    </row>
    <row r="2589" spans="1:18" x14ac:dyDescent="0.3">
      <c r="A2589" s="34" t="str">
        <f>base!J2589</f>
        <v>RS</v>
      </c>
      <c r="B2589" s="34" t="str">
        <f>base!V2589</f>
        <v>60700</v>
      </c>
      <c r="C2589" s="37">
        <v>60</v>
      </c>
      <c r="D2589" s="36">
        <f>base!H2589</f>
        <v>140</v>
      </c>
      <c r="E2589" s="44"/>
      <c r="F2589" s="16">
        <f>base!W2589</f>
        <v>0</v>
      </c>
      <c r="G2589" s="11">
        <f t="shared" si="400"/>
        <v>0</v>
      </c>
      <c r="H2589" s="11">
        <f t="shared" si="401"/>
        <v>26.6</v>
      </c>
      <c r="I2589" s="11">
        <f t="shared" si="402"/>
        <v>0.19</v>
      </c>
      <c r="J2589" s="12">
        <f t="shared" si="403"/>
        <v>-26.6</v>
      </c>
      <c r="K2589" s="17" t="str">
        <f t="shared" si="408"/>
        <v>Ecart négatif</v>
      </c>
      <c r="L2589" s="16">
        <f>base!X2589</f>
        <v>0</v>
      </c>
      <c r="M2589" s="11">
        <f t="shared" si="404"/>
        <v>0</v>
      </c>
      <c r="N2589" s="11">
        <f t="shared" si="405"/>
        <v>0</v>
      </c>
      <c r="O2589" s="11">
        <f t="shared" si="406"/>
        <v>0</v>
      </c>
      <c r="P2589" s="12">
        <f t="shared" si="407"/>
        <v>0</v>
      </c>
      <c r="Q2589" s="17" t="str">
        <f t="shared" si="409"/>
        <v>Pas d'écart</v>
      </c>
    </row>
    <row r="2590" spans="1:18" x14ac:dyDescent="0.3">
      <c r="A2590" s="34" t="str">
        <f>base!J2590</f>
        <v>RS</v>
      </c>
      <c r="B2590" s="34" t="str">
        <f>base!V2590</f>
        <v>59700</v>
      </c>
      <c r="C2590" s="37">
        <v>59</v>
      </c>
      <c r="D2590" s="36">
        <f>base!H2590</f>
        <v>250</v>
      </c>
      <c r="E2590" s="44"/>
      <c r="F2590" s="16">
        <f>base!W2590</f>
        <v>0</v>
      </c>
      <c r="G2590" s="11">
        <f t="shared" si="400"/>
        <v>0</v>
      </c>
      <c r="H2590" s="11">
        <f t="shared" si="401"/>
        <v>47.5</v>
      </c>
      <c r="I2590" s="11">
        <f t="shared" si="402"/>
        <v>0.19</v>
      </c>
      <c r="J2590" s="12">
        <f t="shared" si="403"/>
        <v>-47.5</v>
      </c>
      <c r="K2590" s="17" t="str">
        <f t="shared" si="408"/>
        <v>Ecart négatif</v>
      </c>
      <c r="L2590" s="16">
        <f>base!X2590</f>
        <v>0</v>
      </c>
      <c r="M2590" s="11">
        <f t="shared" si="404"/>
        <v>0</v>
      </c>
      <c r="N2590" s="11">
        <f t="shared" si="405"/>
        <v>0</v>
      </c>
      <c r="O2590" s="11">
        <f t="shared" si="406"/>
        <v>0</v>
      </c>
      <c r="P2590" s="12">
        <f t="shared" si="407"/>
        <v>0</v>
      </c>
      <c r="Q2590" s="17" t="str">
        <f t="shared" si="409"/>
        <v>Pas d'écart</v>
      </c>
    </row>
    <row r="2591" spans="1:18" x14ac:dyDescent="0.3">
      <c r="A2591" s="34" t="str">
        <f>base!J2591</f>
        <v>RS</v>
      </c>
      <c r="B2591" s="34" t="str">
        <f>base!V2591</f>
        <v>13290</v>
      </c>
      <c r="C2591" s="37">
        <v>13</v>
      </c>
      <c r="D2591" s="36">
        <f>base!H2591</f>
        <v>140</v>
      </c>
      <c r="E2591" s="44"/>
      <c r="F2591" s="16">
        <f>base!W2591</f>
        <v>0</v>
      </c>
      <c r="G2591" s="11">
        <f t="shared" si="400"/>
        <v>0</v>
      </c>
      <c r="H2591" s="11">
        <f t="shared" si="401"/>
        <v>40.599999999999994</v>
      </c>
      <c r="I2591" s="11">
        <f t="shared" si="402"/>
        <v>0.28999999999999998</v>
      </c>
      <c r="J2591" s="12">
        <f t="shared" si="403"/>
        <v>-40.599999999999994</v>
      </c>
      <c r="K2591" s="17" t="str">
        <f t="shared" si="408"/>
        <v>Ecart négatif</v>
      </c>
      <c r="L2591" s="16">
        <f>base!X2591</f>
        <v>0</v>
      </c>
      <c r="M2591" s="11">
        <f t="shared" si="404"/>
        <v>0</v>
      </c>
      <c r="N2591" s="11">
        <f t="shared" si="405"/>
        <v>26.6</v>
      </c>
      <c r="O2591" s="11">
        <f t="shared" si="406"/>
        <v>0.19</v>
      </c>
      <c r="P2591" s="12">
        <f t="shared" si="407"/>
        <v>-26.6</v>
      </c>
      <c r="Q2591" s="17" t="str">
        <f t="shared" si="409"/>
        <v>Ecart négatif</v>
      </c>
    </row>
    <row r="2592" spans="1:18" x14ac:dyDescent="0.3">
      <c r="A2592" s="34" t="str">
        <f>base!J2592</f>
        <v>RS</v>
      </c>
      <c r="B2592" s="34" t="str">
        <f>base!V2592</f>
        <v>31000</v>
      </c>
      <c r="C2592" s="37">
        <v>31</v>
      </c>
      <c r="D2592" s="36">
        <f>base!H2592</f>
        <v>173.91</v>
      </c>
      <c r="E2592" s="44"/>
      <c r="F2592" s="16">
        <f>base!W2592</f>
        <v>0</v>
      </c>
      <c r="G2592" s="11">
        <f t="shared" si="400"/>
        <v>0</v>
      </c>
      <c r="H2592" s="11">
        <f t="shared" si="401"/>
        <v>33.042900000000003</v>
      </c>
      <c r="I2592" s="11">
        <f t="shared" si="402"/>
        <v>0.19000000000000003</v>
      </c>
      <c r="J2592" s="12">
        <f t="shared" si="403"/>
        <v>-33.042900000000003</v>
      </c>
      <c r="K2592" s="17" t="str">
        <f t="shared" si="408"/>
        <v>Ecart négatif</v>
      </c>
      <c r="L2592" s="16">
        <f>base!X2592</f>
        <v>0</v>
      </c>
      <c r="M2592" s="11">
        <f t="shared" si="404"/>
        <v>0</v>
      </c>
      <c r="N2592" s="11">
        <f t="shared" si="405"/>
        <v>45.2166</v>
      </c>
      <c r="O2592" s="11">
        <f t="shared" si="406"/>
        <v>0.26</v>
      </c>
      <c r="P2592" s="12">
        <f t="shared" si="407"/>
        <v>-45.2166</v>
      </c>
      <c r="Q2592" s="17" t="str">
        <f t="shared" si="409"/>
        <v>Ecart négatif</v>
      </c>
    </row>
    <row r="2593" spans="1:18" x14ac:dyDescent="0.3">
      <c r="A2593" s="34" t="str">
        <f>base!J2593</f>
        <v>RS</v>
      </c>
      <c r="B2593" s="34" t="str">
        <f>base!V2593</f>
        <v>77700</v>
      </c>
      <c r="C2593" s="37">
        <v>77</v>
      </c>
      <c r="D2593" s="36">
        <f>base!H2593</f>
        <v>32</v>
      </c>
      <c r="E2593" s="44"/>
      <c r="F2593" s="16">
        <f>base!W2593</f>
        <v>0</v>
      </c>
      <c r="G2593" s="11">
        <f t="shared" si="400"/>
        <v>0</v>
      </c>
      <c r="H2593" s="11">
        <f t="shared" si="401"/>
        <v>0</v>
      </c>
      <c r="I2593" s="11">
        <f t="shared" si="402"/>
        <v>0</v>
      </c>
      <c r="J2593" s="12">
        <f t="shared" si="403"/>
        <v>0</v>
      </c>
      <c r="K2593" s="17" t="str">
        <f t="shared" si="408"/>
        <v>Pas d'écart</v>
      </c>
      <c r="L2593" s="16">
        <f>base!X2593</f>
        <v>0</v>
      </c>
      <c r="M2593" s="11">
        <f t="shared" si="404"/>
        <v>0</v>
      </c>
      <c r="N2593" s="11">
        <f t="shared" si="405"/>
        <v>0</v>
      </c>
      <c r="O2593" s="11">
        <f t="shared" si="406"/>
        <v>0</v>
      </c>
      <c r="P2593" s="12">
        <f t="shared" si="407"/>
        <v>0</v>
      </c>
      <c r="Q2593" s="17" t="str">
        <f t="shared" si="409"/>
        <v>Pas d'écart</v>
      </c>
    </row>
    <row r="2594" spans="1:18" x14ac:dyDescent="0.3">
      <c r="A2594" s="34" t="str">
        <f>base!J2594</f>
        <v>RS</v>
      </c>
      <c r="B2594" s="34" t="str">
        <f>base!V2594</f>
        <v>67110</v>
      </c>
      <c r="C2594" s="37">
        <v>67</v>
      </c>
      <c r="D2594" s="36">
        <f>base!H2594</f>
        <v>157.44</v>
      </c>
      <c r="E2594" s="44"/>
      <c r="F2594" s="16">
        <f>base!W2594</f>
        <v>0</v>
      </c>
      <c r="G2594" s="11">
        <f t="shared" si="400"/>
        <v>0</v>
      </c>
      <c r="H2594" s="11">
        <f t="shared" si="401"/>
        <v>45.657599999999995</v>
      </c>
      <c r="I2594" s="11">
        <f t="shared" si="402"/>
        <v>0.28999999999999998</v>
      </c>
      <c r="J2594" s="12">
        <f t="shared" si="403"/>
        <v>-45.657599999999995</v>
      </c>
      <c r="K2594" s="17" t="str">
        <f t="shared" si="408"/>
        <v>Ecart négatif</v>
      </c>
      <c r="L2594" s="16">
        <f>base!X2594</f>
        <v>0</v>
      </c>
      <c r="M2594" s="11">
        <f t="shared" si="404"/>
        <v>0</v>
      </c>
      <c r="N2594" s="11">
        <f t="shared" si="405"/>
        <v>12.5952</v>
      </c>
      <c r="O2594" s="11">
        <f t="shared" si="406"/>
        <v>0.08</v>
      </c>
      <c r="P2594" s="12">
        <f t="shared" si="407"/>
        <v>-12.5952</v>
      </c>
      <c r="Q2594" s="17" t="str">
        <f t="shared" si="409"/>
        <v>Ecart négatif</v>
      </c>
    </row>
    <row r="2595" spans="1:18" x14ac:dyDescent="0.3">
      <c r="A2595" s="34" t="str">
        <f>base!J2595</f>
        <v>DRM</v>
      </c>
      <c r="B2595" s="34" t="str">
        <f>base!V2595</f>
        <v>69441</v>
      </c>
      <c r="C2595" s="37">
        <v>69</v>
      </c>
      <c r="D2595" s="36">
        <f>base!H2595</f>
        <v>151</v>
      </c>
      <c r="E2595" s="44"/>
      <c r="F2595" s="16">
        <f>base!W2595</f>
        <v>0</v>
      </c>
      <c r="G2595" s="11">
        <f t="shared" si="400"/>
        <v>0</v>
      </c>
      <c r="H2595" s="11">
        <f t="shared" si="401"/>
        <v>40.770000000000003</v>
      </c>
      <c r="I2595" s="11">
        <f t="shared" si="402"/>
        <v>0.27</v>
      </c>
      <c r="J2595" s="12">
        <f t="shared" si="403"/>
        <v>-40.770000000000003</v>
      </c>
      <c r="K2595" s="17" t="str">
        <f t="shared" si="408"/>
        <v>Ecart négatif</v>
      </c>
      <c r="L2595" s="16">
        <f>base!X2595</f>
        <v>0</v>
      </c>
      <c r="M2595" s="11">
        <f t="shared" si="404"/>
        <v>0</v>
      </c>
      <c r="N2595" s="11">
        <f t="shared" si="405"/>
        <v>0</v>
      </c>
      <c r="O2595" s="11">
        <f t="shared" si="406"/>
        <v>0</v>
      </c>
      <c r="P2595" s="12">
        <f t="shared" si="407"/>
        <v>0</v>
      </c>
      <c r="Q2595" s="17" t="str">
        <f t="shared" si="409"/>
        <v>Pas d'écart</v>
      </c>
    </row>
    <row r="2596" spans="1:18" x14ac:dyDescent="0.3">
      <c r="A2596" s="34" t="str">
        <f>base!J2596</f>
        <v>RS</v>
      </c>
      <c r="B2596" s="34" t="str">
        <f>base!V2596</f>
        <v>80000</v>
      </c>
      <c r="C2596" s="37">
        <v>80</v>
      </c>
      <c r="D2596" s="36">
        <f>base!H2596</f>
        <v>244.98</v>
      </c>
      <c r="E2596" s="44"/>
      <c r="F2596" s="16">
        <f>base!W2596</f>
        <v>0</v>
      </c>
      <c r="G2596" s="11">
        <f t="shared" si="400"/>
        <v>0</v>
      </c>
      <c r="H2596" s="11">
        <f t="shared" si="401"/>
        <v>46.546199999999999</v>
      </c>
      <c r="I2596" s="11">
        <f t="shared" si="402"/>
        <v>0.19</v>
      </c>
      <c r="J2596" s="12">
        <f t="shared" si="403"/>
        <v>-46.546199999999999</v>
      </c>
      <c r="K2596" s="17" t="str">
        <f t="shared" si="408"/>
        <v>Ecart négatif</v>
      </c>
      <c r="L2596" s="16">
        <f>base!X2596</f>
        <v>0</v>
      </c>
      <c r="M2596" s="11">
        <f t="shared" si="404"/>
        <v>0</v>
      </c>
      <c r="N2596" s="11">
        <f t="shared" si="405"/>
        <v>0</v>
      </c>
      <c r="O2596" s="11">
        <f t="shared" si="406"/>
        <v>0</v>
      </c>
      <c r="P2596" s="12">
        <f t="shared" si="407"/>
        <v>0</v>
      </c>
      <c r="Q2596" s="17" t="str">
        <f t="shared" si="409"/>
        <v>Pas d'écart</v>
      </c>
    </row>
    <row r="2597" spans="1:18" x14ac:dyDescent="0.3">
      <c r="A2597" s="34" t="str">
        <f>base!J2597</f>
        <v>DRM</v>
      </c>
      <c r="B2597" s="34" t="str">
        <f>base!V2597</f>
        <v>37000</v>
      </c>
      <c r="C2597" s="37">
        <v>37</v>
      </c>
      <c r="D2597" s="36">
        <f>base!H2597</f>
        <v>400</v>
      </c>
      <c r="E2597" s="44"/>
      <c r="F2597" s="16">
        <f>base!W2597</f>
        <v>0</v>
      </c>
      <c r="G2597" s="11">
        <f t="shared" si="400"/>
        <v>0</v>
      </c>
      <c r="H2597" s="11">
        <f t="shared" si="401"/>
        <v>76</v>
      </c>
      <c r="I2597" s="11">
        <f t="shared" si="402"/>
        <v>0.19</v>
      </c>
      <c r="J2597" s="12">
        <f t="shared" si="403"/>
        <v>-76</v>
      </c>
      <c r="K2597" s="17" t="str">
        <f t="shared" si="408"/>
        <v>Ecart négatif</v>
      </c>
      <c r="L2597" s="16">
        <f>base!X2597</f>
        <v>0</v>
      </c>
      <c r="M2597" s="11">
        <f t="shared" si="404"/>
        <v>0</v>
      </c>
      <c r="N2597" s="11">
        <f t="shared" si="405"/>
        <v>48</v>
      </c>
      <c r="O2597" s="11">
        <f t="shared" si="406"/>
        <v>0.12</v>
      </c>
      <c r="P2597" s="12">
        <f t="shared" si="407"/>
        <v>-48</v>
      </c>
      <c r="Q2597" s="17" t="str">
        <f t="shared" si="409"/>
        <v>Ecart négatif</v>
      </c>
    </row>
    <row r="2598" spans="1:18" x14ac:dyDescent="0.3">
      <c r="A2598" s="34" t="str">
        <f>base!J2598</f>
        <v>RM</v>
      </c>
      <c r="B2598" s="34" t="str">
        <f>base!V2598</f>
        <v>70000</v>
      </c>
      <c r="C2598" s="37">
        <v>70</v>
      </c>
      <c r="D2598" s="36">
        <f>base!H2598</f>
        <v>22.5</v>
      </c>
      <c r="E2598" s="44"/>
      <c r="F2598" s="16">
        <f>base!W2598</f>
        <v>0</v>
      </c>
      <c r="G2598" s="11">
        <f t="shared" si="400"/>
        <v>0</v>
      </c>
      <c r="H2598" s="11">
        <f t="shared" si="401"/>
        <v>5.3999999999999995</v>
      </c>
      <c r="I2598" s="11">
        <f t="shared" si="402"/>
        <v>0.23999999999999996</v>
      </c>
      <c r="J2598" s="12">
        <f t="shared" si="403"/>
        <v>-5.3999999999999995</v>
      </c>
      <c r="K2598" s="17" t="str">
        <f t="shared" si="408"/>
        <v>Ecart négatif</v>
      </c>
      <c r="L2598" s="16">
        <f>base!X2598</f>
        <v>0</v>
      </c>
      <c r="M2598" s="11">
        <f t="shared" si="404"/>
        <v>0</v>
      </c>
      <c r="N2598" s="11">
        <f t="shared" si="405"/>
        <v>2.6999999999999997</v>
      </c>
      <c r="O2598" s="11">
        <f t="shared" si="406"/>
        <v>0.11999999999999998</v>
      </c>
      <c r="P2598" s="12">
        <f t="shared" si="407"/>
        <v>-2.6999999999999997</v>
      </c>
      <c r="Q2598" s="17" t="str">
        <f t="shared" si="409"/>
        <v>Ecart négatif</v>
      </c>
    </row>
    <row r="2599" spans="1:18" x14ac:dyDescent="0.3">
      <c r="A2599" s="34" t="str">
        <f>base!J2599</f>
        <v>DLM</v>
      </c>
      <c r="B2599" s="34" t="str">
        <f>base!V2599</f>
        <v>35000</v>
      </c>
      <c r="C2599" s="37">
        <v>35</v>
      </c>
      <c r="D2599" s="36">
        <f>base!H2599</f>
        <v>52.5</v>
      </c>
      <c r="E2599" s="44"/>
      <c r="F2599" s="16">
        <f>base!W2599</f>
        <v>0</v>
      </c>
      <c r="G2599" s="11">
        <f t="shared" si="400"/>
        <v>0</v>
      </c>
      <c r="H2599" s="11">
        <f t="shared" si="401"/>
        <v>14.175000000000001</v>
      </c>
      <c r="I2599" s="11">
        <f t="shared" si="402"/>
        <v>0.27</v>
      </c>
      <c r="J2599" s="12">
        <f t="shared" si="403"/>
        <v>-14.175000000000001</v>
      </c>
      <c r="K2599" s="17" t="str">
        <f t="shared" si="408"/>
        <v>Ecart négatif</v>
      </c>
      <c r="L2599" s="16">
        <f>base!X2599</f>
        <v>0</v>
      </c>
      <c r="M2599" s="11">
        <f t="shared" si="404"/>
        <v>0</v>
      </c>
      <c r="N2599" s="11">
        <f t="shared" si="405"/>
        <v>0</v>
      </c>
      <c r="O2599" s="11">
        <f t="shared" si="406"/>
        <v>0</v>
      </c>
      <c r="P2599" s="12">
        <f t="shared" si="407"/>
        <v>0</v>
      </c>
      <c r="Q2599" s="17" t="str">
        <f t="shared" si="409"/>
        <v>Pas d'écart</v>
      </c>
    </row>
    <row r="2600" spans="1:18" x14ac:dyDescent="0.3">
      <c r="A2600" s="34" t="str">
        <f>base!J2600</f>
        <v>DRS</v>
      </c>
      <c r="B2600" s="34" t="str">
        <f>base!V2600</f>
        <v>78310</v>
      </c>
      <c r="C2600" s="37">
        <v>78</v>
      </c>
      <c r="D2600" s="36">
        <f>base!H2600</f>
        <v>52.5</v>
      </c>
      <c r="E2600" s="44"/>
      <c r="F2600" s="16">
        <f>base!W2600</f>
        <v>0</v>
      </c>
      <c r="G2600" s="11">
        <f t="shared" si="400"/>
        <v>0</v>
      </c>
      <c r="H2600" s="11">
        <f t="shared" si="401"/>
        <v>0</v>
      </c>
      <c r="I2600" s="11">
        <f t="shared" si="402"/>
        <v>0</v>
      </c>
      <c r="J2600" s="12">
        <f t="shared" si="403"/>
        <v>0</v>
      </c>
      <c r="K2600" s="17" t="str">
        <f t="shared" si="408"/>
        <v>Pas d'écart</v>
      </c>
      <c r="L2600" s="16">
        <f>base!X2600</f>
        <v>0</v>
      </c>
      <c r="M2600" s="11">
        <f t="shared" si="404"/>
        <v>0</v>
      </c>
      <c r="N2600" s="11">
        <f t="shared" si="405"/>
        <v>0</v>
      </c>
      <c r="O2600" s="11">
        <f t="shared" si="406"/>
        <v>0</v>
      </c>
      <c r="P2600" s="12">
        <f t="shared" si="407"/>
        <v>0</v>
      </c>
      <c r="Q2600" s="17" t="str">
        <f t="shared" si="409"/>
        <v>Pas d'écart</v>
      </c>
    </row>
    <row r="2601" spans="1:18" x14ac:dyDescent="0.3">
      <c r="A2601" s="34" t="str">
        <f>base!J2601</f>
        <v>DLS</v>
      </c>
      <c r="B2601" s="34" t="str">
        <f>base!V2601</f>
        <v>02100</v>
      </c>
      <c r="C2601" s="37">
        <v>2</v>
      </c>
      <c r="D2601" s="36">
        <f>base!H2601</f>
        <v>52.5</v>
      </c>
      <c r="E2601" s="44"/>
      <c r="F2601" s="16">
        <f>base!W2601</f>
        <v>9.98</v>
      </c>
      <c r="G2601" s="11">
        <f t="shared" si="400"/>
        <v>0.19009523809523809</v>
      </c>
      <c r="H2601" s="11">
        <f t="shared" si="401"/>
        <v>9.4499999999999993</v>
      </c>
      <c r="I2601" s="11">
        <f t="shared" si="402"/>
        <v>0.18</v>
      </c>
      <c r="J2601" s="12">
        <f t="shared" si="403"/>
        <v>0.53000000000000114</v>
      </c>
      <c r="K2601" s="17" t="str">
        <f t="shared" si="408"/>
        <v>Ecart positif</v>
      </c>
      <c r="L2601" s="16">
        <f>base!X2601</f>
        <v>0</v>
      </c>
      <c r="M2601" s="11">
        <f t="shared" si="404"/>
        <v>0</v>
      </c>
      <c r="N2601" s="11">
        <f t="shared" si="405"/>
        <v>0</v>
      </c>
      <c r="O2601" s="11">
        <f t="shared" si="406"/>
        <v>0</v>
      </c>
      <c r="P2601" s="12">
        <f t="shared" si="407"/>
        <v>0</v>
      </c>
      <c r="Q2601" s="17" t="str">
        <f t="shared" si="409"/>
        <v>Pas d'écart</v>
      </c>
    </row>
    <row r="2602" spans="1:18" x14ac:dyDescent="0.3">
      <c r="A2602" s="34" t="str">
        <f>base!J2602</f>
        <v>RM</v>
      </c>
      <c r="B2602" s="34" t="str">
        <f>base!V2602</f>
        <v>27400</v>
      </c>
      <c r="C2602" s="37">
        <v>27</v>
      </c>
      <c r="D2602" s="36">
        <f>base!H2602</f>
        <v>40</v>
      </c>
      <c r="E2602" s="44"/>
      <c r="F2602" s="16">
        <f>base!W2602</f>
        <v>0</v>
      </c>
      <c r="G2602" s="11">
        <f t="shared" si="400"/>
        <v>0</v>
      </c>
      <c r="H2602" s="11">
        <f t="shared" si="401"/>
        <v>6.8000000000000007</v>
      </c>
      <c r="I2602" s="11">
        <f t="shared" si="402"/>
        <v>0.17</v>
      </c>
      <c r="J2602" s="12">
        <f t="shared" si="403"/>
        <v>-6.8000000000000007</v>
      </c>
      <c r="K2602" s="17" t="str">
        <f t="shared" si="408"/>
        <v>Ecart négatif</v>
      </c>
      <c r="L2602" s="16">
        <f>base!X2602</f>
        <v>0</v>
      </c>
      <c r="M2602" s="11">
        <f t="shared" si="404"/>
        <v>0</v>
      </c>
      <c r="N2602" s="11">
        <f t="shared" si="405"/>
        <v>6.8000000000000007</v>
      </c>
      <c r="O2602" s="11">
        <f t="shared" si="406"/>
        <v>0.17</v>
      </c>
      <c r="P2602" s="12">
        <f t="shared" si="407"/>
        <v>-6.8000000000000007</v>
      </c>
      <c r="Q2602" s="17" t="str">
        <f t="shared" si="409"/>
        <v>Ecart négatif</v>
      </c>
    </row>
    <row r="2603" spans="1:18" x14ac:dyDescent="0.3">
      <c r="A2603" s="34" t="str">
        <f>base!J2603</f>
        <v>DLM</v>
      </c>
      <c r="B2603" s="34" t="str">
        <f>base!V2603</f>
        <v>13720</v>
      </c>
      <c r="C2603" s="37">
        <v>13</v>
      </c>
      <c r="D2603" s="36">
        <f>base!H2603</f>
        <v>26.86</v>
      </c>
      <c r="E2603" s="44"/>
      <c r="F2603" s="16">
        <f>base!W2603</f>
        <v>0</v>
      </c>
      <c r="G2603" s="11">
        <f t="shared" si="400"/>
        <v>0</v>
      </c>
      <c r="H2603" s="11">
        <f t="shared" si="401"/>
        <v>7.7893999999999997</v>
      </c>
      <c r="I2603" s="11">
        <f t="shared" si="402"/>
        <v>0.28999999999999998</v>
      </c>
      <c r="J2603" s="12">
        <f t="shared" si="403"/>
        <v>-7.7893999999999997</v>
      </c>
      <c r="K2603" s="17" t="str">
        <f t="shared" si="408"/>
        <v>Ecart négatif</v>
      </c>
      <c r="L2603" s="16">
        <f>base!X2603</f>
        <v>0</v>
      </c>
      <c r="M2603" s="11">
        <f t="shared" si="404"/>
        <v>0</v>
      </c>
      <c r="N2603" s="11">
        <f t="shared" si="405"/>
        <v>5.1033999999999997</v>
      </c>
      <c r="O2603" s="11">
        <f t="shared" si="406"/>
        <v>0.19</v>
      </c>
      <c r="P2603" s="12">
        <f t="shared" si="407"/>
        <v>-5.1033999999999997</v>
      </c>
      <c r="Q2603" s="17" t="str">
        <f t="shared" si="409"/>
        <v>Ecart négatif</v>
      </c>
    </row>
    <row r="2604" spans="1:18" x14ac:dyDescent="0.3">
      <c r="A2604" s="34" t="str">
        <f>base!J2604</f>
        <v>DLS</v>
      </c>
      <c r="B2604" s="34" t="str">
        <f>base!V2604</f>
        <v>06000</v>
      </c>
      <c r="C2604" s="37">
        <v>6</v>
      </c>
      <c r="D2604" s="36">
        <f>base!H2604</f>
        <v>150.03</v>
      </c>
      <c r="E2604" s="44"/>
      <c r="F2604" s="16">
        <f>base!W2604</f>
        <v>0</v>
      </c>
      <c r="G2604" s="11">
        <f t="shared" si="400"/>
        <v>0</v>
      </c>
      <c r="H2604" s="11">
        <f t="shared" si="401"/>
        <v>45.009</v>
      </c>
      <c r="I2604" s="11">
        <f t="shared" si="402"/>
        <v>0.3</v>
      </c>
      <c r="J2604" s="12">
        <f t="shared" si="403"/>
        <v>-45.009</v>
      </c>
      <c r="K2604" s="17" t="str">
        <f t="shared" si="408"/>
        <v>Ecart négatif</v>
      </c>
      <c r="L2604" s="16">
        <f>base!X2604</f>
        <v>0</v>
      </c>
      <c r="M2604" s="11">
        <f t="shared" si="404"/>
        <v>0</v>
      </c>
      <c r="N2604" s="11">
        <f t="shared" si="405"/>
        <v>31.5063</v>
      </c>
      <c r="O2604" s="11">
        <f t="shared" si="406"/>
        <v>0.21</v>
      </c>
      <c r="P2604" s="12">
        <f t="shared" si="407"/>
        <v>-31.5063</v>
      </c>
      <c r="Q2604" s="17" t="str">
        <f t="shared" si="409"/>
        <v>Ecart négatif</v>
      </c>
    </row>
    <row r="2605" spans="1:18" x14ac:dyDescent="0.3">
      <c r="A2605" s="34" t="str">
        <f>base!J2605</f>
        <v>RM</v>
      </c>
      <c r="B2605" s="34" t="str">
        <f>base!V2605</f>
        <v>67120</v>
      </c>
      <c r="C2605" s="37">
        <v>67</v>
      </c>
      <c r="D2605" s="36">
        <f>base!H2605</f>
        <v>999</v>
      </c>
      <c r="E2605" s="44"/>
      <c r="F2605" s="16">
        <f>base!W2605</f>
        <v>0</v>
      </c>
      <c r="G2605" s="11">
        <f t="shared" si="400"/>
        <v>0</v>
      </c>
      <c r="H2605" s="11">
        <f t="shared" si="401"/>
        <v>289.70999999999998</v>
      </c>
      <c r="I2605" s="11">
        <f t="shared" si="402"/>
        <v>0.28999999999999998</v>
      </c>
      <c r="J2605" s="12">
        <f t="shared" si="403"/>
        <v>-289.70999999999998</v>
      </c>
      <c r="K2605" s="17" t="str">
        <f t="shared" si="408"/>
        <v>Ecart négatif</v>
      </c>
      <c r="L2605" s="16">
        <f>base!X2605</f>
        <v>79.92</v>
      </c>
      <c r="M2605" s="11">
        <f t="shared" si="404"/>
        <v>0.08</v>
      </c>
      <c r="N2605" s="11">
        <f t="shared" si="405"/>
        <v>79.92</v>
      </c>
      <c r="O2605" s="11">
        <f t="shared" si="406"/>
        <v>0.08</v>
      </c>
      <c r="P2605" s="12">
        <f t="shared" si="407"/>
        <v>0</v>
      </c>
      <c r="Q2605" s="17" t="str">
        <f t="shared" si="409"/>
        <v>Pas d'écart</v>
      </c>
      <c r="R2605" s="38"/>
    </row>
    <row r="2606" spans="1:18" x14ac:dyDescent="0.3">
      <c r="A2606" s="34" t="str">
        <f>base!J2606</f>
        <v>DLS</v>
      </c>
      <c r="B2606" s="34" t="str">
        <f>base!V2606</f>
        <v>25350</v>
      </c>
      <c r="C2606" s="37">
        <v>25</v>
      </c>
      <c r="D2606" s="36">
        <f>base!H2606</f>
        <v>180.36</v>
      </c>
      <c r="E2606" s="44"/>
      <c r="F2606" s="16">
        <f>base!W2606</f>
        <v>0</v>
      </c>
      <c r="G2606" s="11">
        <f t="shared" si="400"/>
        <v>0</v>
      </c>
      <c r="H2606" s="11">
        <f t="shared" si="401"/>
        <v>43.2864</v>
      </c>
      <c r="I2606" s="11">
        <f t="shared" si="402"/>
        <v>0.24</v>
      </c>
      <c r="J2606" s="12">
        <f t="shared" si="403"/>
        <v>-43.2864</v>
      </c>
      <c r="K2606" s="17" t="str">
        <f t="shared" si="408"/>
        <v>Ecart négatif</v>
      </c>
      <c r="L2606" s="16">
        <f>base!X2606</f>
        <v>0</v>
      </c>
      <c r="M2606" s="11">
        <f t="shared" si="404"/>
        <v>0</v>
      </c>
      <c r="N2606" s="11">
        <f t="shared" si="405"/>
        <v>21.6432</v>
      </c>
      <c r="O2606" s="11">
        <f t="shared" si="406"/>
        <v>0.12</v>
      </c>
      <c r="P2606" s="12">
        <f t="shared" si="407"/>
        <v>-21.6432</v>
      </c>
      <c r="Q2606" s="17" t="str">
        <f t="shared" si="409"/>
        <v>Ecart négatif</v>
      </c>
    </row>
    <row r="2607" spans="1:18" x14ac:dyDescent="0.3">
      <c r="A2607" s="34" t="str">
        <f>base!J2607</f>
        <v>DLM</v>
      </c>
      <c r="B2607" s="34" t="str">
        <f>base!V2607</f>
        <v>69800</v>
      </c>
      <c r="C2607" s="37">
        <v>69</v>
      </c>
      <c r="D2607" s="36">
        <f>base!H2607</f>
        <v>151</v>
      </c>
      <c r="E2607" s="44"/>
      <c r="F2607" s="16">
        <f>base!W2607</f>
        <v>0</v>
      </c>
      <c r="G2607" s="11">
        <f t="shared" si="400"/>
        <v>0</v>
      </c>
      <c r="H2607" s="11">
        <f t="shared" si="401"/>
        <v>40.770000000000003</v>
      </c>
      <c r="I2607" s="11">
        <f t="shared" si="402"/>
        <v>0.27</v>
      </c>
      <c r="J2607" s="12">
        <f t="shared" si="403"/>
        <v>-40.770000000000003</v>
      </c>
      <c r="K2607" s="17" t="str">
        <f t="shared" si="408"/>
        <v>Ecart négatif</v>
      </c>
      <c r="L2607" s="16">
        <f>base!X2607</f>
        <v>0</v>
      </c>
      <c r="M2607" s="11">
        <f t="shared" si="404"/>
        <v>0</v>
      </c>
      <c r="N2607" s="11">
        <f t="shared" si="405"/>
        <v>0</v>
      </c>
      <c r="O2607" s="11">
        <f t="shared" si="406"/>
        <v>0</v>
      </c>
      <c r="P2607" s="12">
        <f t="shared" si="407"/>
        <v>0</v>
      </c>
      <c r="Q2607" s="17" t="str">
        <f t="shared" si="409"/>
        <v>Pas d'écart</v>
      </c>
    </row>
    <row r="2608" spans="1:18" x14ac:dyDescent="0.3">
      <c r="A2608" s="34" t="str">
        <f>base!J2608</f>
        <v>LS</v>
      </c>
      <c r="B2608" s="34" t="str">
        <f>base!V2608</f>
        <v>69800</v>
      </c>
      <c r="C2608" s="37">
        <v>69</v>
      </c>
      <c r="D2608" s="36">
        <f>base!H2608</f>
        <v>0</v>
      </c>
      <c r="E2608" s="44"/>
      <c r="F2608" s="16">
        <f>base!W2608</f>
        <v>0</v>
      </c>
      <c r="G2608" s="11" t="e">
        <f t="shared" si="400"/>
        <v>#DIV/0!</v>
      </c>
      <c r="H2608" s="11">
        <f t="shared" si="401"/>
        <v>0</v>
      </c>
      <c r="I2608" s="11" t="e">
        <f t="shared" si="402"/>
        <v>#DIV/0!</v>
      </c>
      <c r="J2608" s="12">
        <f t="shared" si="403"/>
        <v>0</v>
      </c>
      <c r="K2608" s="17" t="str">
        <f t="shared" si="408"/>
        <v>Pas d'écart</v>
      </c>
      <c r="L2608" s="16">
        <f>base!X2608</f>
        <v>0</v>
      </c>
      <c r="M2608" s="11" t="e">
        <f t="shared" si="404"/>
        <v>#DIV/0!</v>
      </c>
      <c r="N2608" s="11">
        <f t="shared" si="405"/>
        <v>0</v>
      </c>
      <c r="O2608" s="11" t="e">
        <f t="shared" si="406"/>
        <v>#DIV/0!</v>
      </c>
      <c r="P2608" s="12">
        <f t="shared" si="407"/>
        <v>0</v>
      </c>
      <c r="Q2608" s="17" t="str">
        <f t="shared" si="409"/>
        <v>Pas d'écart</v>
      </c>
    </row>
    <row r="2609" spans="1:18" x14ac:dyDescent="0.3">
      <c r="A2609" s="34" t="str">
        <f>base!J2609</f>
        <v>DRS</v>
      </c>
      <c r="B2609" s="34" t="str">
        <f>base!V2609</f>
        <v>59210</v>
      </c>
      <c r="C2609" s="37">
        <v>59</v>
      </c>
      <c r="D2609" s="36">
        <f>base!H2609</f>
        <v>18.8</v>
      </c>
      <c r="E2609" s="44"/>
      <c r="F2609" s="16">
        <f>base!W2609</f>
        <v>0</v>
      </c>
      <c r="G2609" s="11">
        <f t="shared" si="400"/>
        <v>0</v>
      </c>
      <c r="H2609" s="11">
        <f t="shared" si="401"/>
        <v>3.5720000000000001</v>
      </c>
      <c r="I2609" s="11">
        <f t="shared" si="402"/>
        <v>0.19</v>
      </c>
      <c r="J2609" s="12">
        <f t="shared" si="403"/>
        <v>-3.5720000000000001</v>
      </c>
      <c r="K2609" s="17" t="str">
        <f t="shared" si="408"/>
        <v>Ecart négatif</v>
      </c>
      <c r="L2609" s="16">
        <f>base!X2609</f>
        <v>0</v>
      </c>
      <c r="M2609" s="11">
        <f t="shared" si="404"/>
        <v>0</v>
      </c>
      <c r="N2609" s="11">
        <f t="shared" si="405"/>
        <v>0</v>
      </c>
      <c r="O2609" s="11">
        <f t="shared" si="406"/>
        <v>0</v>
      </c>
      <c r="P2609" s="12">
        <f t="shared" si="407"/>
        <v>0</v>
      </c>
      <c r="Q2609" s="17" t="str">
        <f t="shared" si="409"/>
        <v>Pas d'écart</v>
      </c>
    </row>
    <row r="2610" spans="1:18" x14ac:dyDescent="0.3">
      <c r="A2610" s="34" t="str">
        <f>base!J2610</f>
        <v>LS</v>
      </c>
      <c r="B2610" s="34" t="str">
        <f>base!V2610</f>
        <v>34500</v>
      </c>
      <c r="C2610" s="37">
        <v>16</v>
      </c>
      <c r="D2610" s="36">
        <f>base!H2610</f>
        <v>143.44999999999999</v>
      </c>
      <c r="E2610" s="44"/>
      <c r="F2610" s="16">
        <f>base!W2610</f>
        <v>55.95</v>
      </c>
      <c r="G2610" s="11">
        <f t="shared" si="400"/>
        <v>0.3900313698152667</v>
      </c>
      <c r="H2610" s="11">
        <f t="shared" si="401"/>
        <v>30.124499999999998</v>
      </c>
      <c r="I2610" s="11">
        <f t="shared" si="402"/>
        <v>0.21</v>
      </c>
      <c r="J2610" s="12">
        <f t="shared" si="403"/>
        <v>25.825500000000005</v>
      </c>
      <c r="K2610" s="17" t="str">
        <f t="shared" si="408"/>
        <v>Ecart positif</v>
      </c>
      <c r="L2610" s="16">
        <f>base!X2610</f>
        <v>0</v>
      </c>
      <c r="M2610" s="11">
        <f t="shared" si="404"/>
        <v>0</v>
      </c>
      <c r="N2610" s="11">
        <f t="shared" si="405"/>
        <v>24.386499999999998</v>
      </c>
      <c r="O2610" s="11">
        <f t="shared" si="406"/>
        <v>0.17</v>
      </c>
      <c r="P2610" s="12">
        <f t="shared" si="407"/>
        <v>-24.386499999999998</v>
      </c>
      <c r="Q2610" s="17" t="str">
        <f t="shared" si="409"/>
        <v>Ecart négatif</v>
      </c>
    </row>
    <row r="2611" spans="1:18" x14ac:dyDescent="0.3">
      <c r="A2611" s="34" t="str">
        <f>base!J2611</f>
        <v>DLS</v>
      </c>
      <c r="B2611" s="34" t="str">
        <f>base!V2611</f>
        <v>95700</v>
      </c>
      <c r="C2611" s="37">
        <v>95</v>
      </c>
      <c r="D2611" s="36">
        <f>base!H2611</f>
        <v>171.65</v>
      </c>
      <c r="E2611" s="44"/>
      <c r="F2611" s="16">
        <f>base!W2611</f>
        <v>0</v>
      </c>
      <c r="G2611" s="11">
        <f t="shared" si="400"/>
        <v>0</v>
      </c>
      <c r="H2611" s="11">
        <f t="shared" si="401"/>
        <v>0</v>
      </c>
      <c r="I2611" s="11">
        <f t="shared" si="402"/>
        <v>0</v>
      </c>
      <c r="J2611" s="12">
        <f t="shared" si="403"/>
        <v>0</v>
      </c>
      <c r="K2611" s="17" t="str">
        <f t="shared" si="408"/>
        <v>Pas d'écart</v>
      </c>
      <c r="L2611" s="16">
        <f>base!X2611</f>
        <v>0</v>
      </c>
      <c r="M2611" s="11">
        <f t="shared" si="404"/>
        <v>0</v>
      </c>
      <c r="N2611" s="11">
        <f t="shared" si="405"/>
        <v>0</v>
      </c>
      <c r="O2611" s="11">
        <f t="shared" si="406"/>
        <v>0</v>
      </c>
      <c r="P2611" s="12">
        <f t="shared" si="407"/>
        <v>0</v>
      </c>
      <c r="Q2611" s="17" t="str">
        <f t="shared" si="409"/>
        <v>Pas d'écart</v>
      </c>
    </row>
    <row r="2612" spans="1:18" x14ac:dyDescent="0.3">
      <c r="A2612" s="34" t="str">
        <f>base!J2612</f>
        <v>RS</v>
      </c>
      <c r="B2612" s="34" t="str">
        <f>base!V2612</f>
        <v>08230</v>
      </c>
      <c r="C2612" s="37">
        <v>8</v>
      </c>
      <c r="D2612" s="36">
        <f>base!H2612</f>
        <v>140</v>
      </c>
      <c r="E2612" s="44"/>
      <c r="F2612" s="16">
        <f>base!W2612</f>
        <v>0</v>
      </c>
      <c r="G2612" s="11">
        <f t="shared" si="400"/>
        <v>0</v>
      </c>
      <c r="H2612" s="11">
        <f t="shared" si="401"/>
        <v>25.2</v>
      </c>
      <c r="I2612" s="11">
        <f t="shared" si="402"/>
        <v>0.18</v>
      </c>
      <c r="J2612" s="12">
        <f t="shared" si="403"/>
        <v>-25.2</v>
      </c>
      <c r="K2612" s="17" t="str">
        <f t="shared" si="408"/>
        <v>Ecart négatif</v>
      </c>
      <c r="L2612" s="16">
        <f>base!X2612</f>
        <v>0</v>
      </c>
      <c r="M2612" s="11">
        <f t="shared" si="404"/>
        <v>0</v>
      </c>
      <c r="N2612" s="11">
        <f t="shared" si="405"/>
        <v>0</v>
      </c>
      <c r="O2612" s="11">
        <f t="shared" si="406"/>
        <v>0</v>
      </c>
      <c r="P2612" s="12">
        <f t="shared" si="407"/>
        <v>0</v>
      </c>
      <c r="Q2612" s="17" t="str">
        <f t="shared" si="409"/>
        <v>Pas d'écart</v>
      </c>
    </row>
    <row r="2613" spans="1:18" x14ac:dyDescent="0.3">
      <c r="A2613" s="34" t="str">
        <f>base!J2613</f>
        <v>RS</v>
      </c>
      <c r="B2613" s="34" t="str">
        <f>base!V2613</f>
        <v>67400</v>
      </c>
      <c r="C2613" s="37">
        <v>67</v>
      </c>
      <c r="D2613" s="36">
        <f>base!H2613</f>
        <v>70</v>
      </c>
      <c r="E2613" s="44"/>
      <c r="F2613" s="16">
        <f>base!W2613</f>
        <v>0</v>
      </c>
      <c r="G2613" s="11">
        <f t="shared" si="400"/>
        <v>0</v>
      </c>
      <c r="H2613" s="11">
        <f t="shared" si="401"/>
        <v>20.299999999999997</v>
      </c>
      <c r="I2613" s="11">
        <f t="shared" si="402"/>
        <v>0.28999999999999998</v>
      </c>
      <c r="J2613" s="12">
        <f t="shared" si="403"/>
        <v>-20.299999999999997</v>
      </c>
      <c r="K2613" s="17" t="str">
        <f t="shared" si="408"/>
        <v>Ecart négatif</v>
      </c>
      <c r="L2613" s="16">
        <f>base!X2613</f>
        <v>0</v>
      </c>
      <c r="M2613" s="11">
        <f t="shared" si="404"/>
        <v>0</v>
      </c>
      <c r="N2613" s="11">
        <f t="shared" si="405"/>
        <v>5.6000000000000005</v>
      </c>
      <c r="O2613" s="11">
        <f t="shared" si="406"/>
        <v>0.08</v>
      </c>
      <c r="P2613" s="12">
        <f t="shared" si="407"/>
        <v>-5.6000000000000005</v>
      </c>
      <c r="Q2613" s="17" t="str">
        <f t="shared" si="409"/>
        <v>Ecart négatif</v>
      </c>
    </row>
    <row r="2614" spans="1:18" x14ac:dyDescent="0.3">
      <c r="A2614" s="34" t="str">
        <f>base!J2614</f>
        <v>LM</v>
      </c>
      <c r="B2614" s="34" t="str">
        <f>base!V2614</f>
        <v>68120</v>
      </c>
      <c r="C2614" s="37">
        <v>37</v>
      </c>
      <c r="D2614" s="36">
        <f>base!H2614</f>
        <v>134.19999999999999</v>
      </c>
      <c r="E2614" s="44"/>
      <c r="F2614" s="16">
        <f>base!W2614</f>
        <v>38.92</v>
      </c>
      <c r="G2614" s="11">
        <f t="shared" si="400"/>
        <v>0.29001490312965728</v>
      </c>
      <c r="H2614" s="11">
        <f t="shared" si="401"/>
        <v>25.497999999999998</v>
      </c>
      <c r="I2614" s="11">
        <f t="shared" si="402"/>
        <v>0.19</v>
      </c>
      <c r="J2614" s="12">
        <f t="shared" si="403"/>
        <v>13.422000000000004</v>
      </c>
      <c r="K2614" s="17" t="str">
        <f t="shared" si="408"/>
        <v>Ecart positif</v>
      </c>
      <c r="L2614" s="16">
        <f>base!X2614</f>
        <v>0</v>
      </c>
      <c r="M2614" s="11">
        <f t="shared" si="404"/>
        <v>0</v>
      </c>
      <c r="N2614" s="11">
        <f t="shared" si="405"/>
        <v>16.103999999999999</v>
      </c>
      <c r="O2614" s="11">
        <f t="shared" si="406"/>
        <v>0.12000000000000001</v>
      </c>
      <c r="P2614" s="12">
        <f t="shared" si="407"/>
        <v>-16.103999999999999</v>
      </c>
      <c r="Q2614" s="17" t="str">
        <f t="shared" si="409"/>
        <v>Ecart négatif</v>
      </c>
    </row>
    <row r="2615" spans="1:18" x14ac:dyDescent="0.3">
      <c r="A2615" s="34" t="str">
        <f>base!J2615</f>
        <v>RS</v>
      </c>
      <c r="B2615" s="34" t="str">
        <f>base!V2615</f>
        <v>35400</v>
      </c>
      <c r="C2615" s="37">
        <v>35</v>
      </c>
      <c r="D2615" s="36">
        <f>base!H2615</f>
        <v>40</v>
      </c>
      <c r="E2615" s="44"/>
      <c r="F2615" s="16">
        <f>base!W2615</f>
        <v>0</v>
      </c>
      <c r="G2615" s="11">
        <f t="shared" si="400"/>
        <v>0</v>
      </c>
      <c r="H2615" s="11">
        <f t="shared" si="401"/>
        <v>10.8</v>
      </c>
      <c r="I2615" s="11">
        <f t="shared" si="402"/>
        <v>0.27</v>
      </c>
      <c r="J2615" s="12">
        <f t="shared" si="403"/>
        <v>-10.8</v>
      </c>
      <c r="K2615" s="17" t="str">
        <f t="shared" si="408"/>
        <v>Ecart négatif</v>
      </c>
      <c r="L2615" s="16">
        <f>base!X2615</f>
        <v>0</v>
      </c>
      <c r="M2615" s="11">
        <f t="shared" si="404"/>
        <v>0</v>
      </c>
      <c r="N2615" s="11">
        <f t="shared" si="405"/>
        <v>0</v>
      </c>
      <c r="O2615" s="11">
        <f t="shared" si="406"/>
        <v>0</v>
      </c>
      <c r="P2615" s="12">
        <f t="shared" si="407"/>
        <v>0</v>
      </c>
      <c r="Q2615" s="17" t="str">
        <f t="shared" si="409"/>
        <v>Pas d'écart</v>
      </c>
    </row>
    <row r="2616" spans="1:18" x14ac:dyDescent="0.3">
      <c r="A2616" s="34" t="str">
        <f>base!J2616</f>
        <v>RM</v>
      </c>
      <c r="B2616" s="34" t="str">
        <f>base!V2616</f>
        <v>06000</v>
      </c>
      <c r="C2616" s="37">
        <v>6</v>
      </c>
      <c r="D2616" s="36">
        <f>base!H2616</f>
        <v>40</v>
      </c>
      <c r="E2616" s="44"/>
      <c r="F2616" s="16">
        <f>base!W2616</f>
        <v>0</v>
      </c>
      <c r="G2616" s="11">
        <f t="shared" si="400"/>
        <v>0</v>
      </c>
      <c r="H2616" s="11">
        <f t="shared" si="401"/>
        <v>12</v>
      </c>
      <c r="I2616" s="11">
        <f t="shared" si="402"/>
        <v>0.3</v>
      </c>
      <c r="J2616" s="12">
        <f t="shared" si="403"/>
        <v>-12</v>
      </c>
      <c r="K2616" s="17" t="str">
        <f t="shared" si="408"/>
        <v>Ecart négatif</v>
      </c>
      <c r="L2616" s="16">
        <f>base!X2616</f>
        <v>0</v>
      </c>
      <c r="M2616" s="11">
        <f t="shared" si="404"/>
        <v>0</v>
      </c>
      <c r="N2616" s="11">
        <f t="shared" si="405"/>
        <v>8.4</v>
      </c>
      <c r="O2616" s="11">
        <f t="shared" si="406"/>
        <v>0.21000000000000002</v>
      </c>
      <c r="P2616" s="12">
        <f t="shared" si="407"/>
        <v>-8.4</v>
      </c>
      <c r="Q2616" s="17" t="str">
        <f t="shared" si="409"/>
        <v>Ecart négatif</v>
      </c>
    </row>
    <row r="2617" spans="1:18" x14ac:dyDescent="0.3">
      <c r="A2617" s="34" t="str">
        <f>base!J2617</f>
        <v>RS</v>
      </c>
      <c r="B2617" s="34" t="str">
        <f>base!V2617</f>
        <v>17000</v>
      </c>
      <c r="C2617" s="37">
        <v>17</v>
      </c>
      <c r="D2617" s="36">
        <f>base!H2617</f>
        <v>140</v>
      </c>
      <c r="E2617" s="44"/>
      <c r="F2617" s="16">
        <f>base!W2617</f>
        <v>0</v>
      </c>
      <c r="G2617" s="11">
        <f t="shared" si="400"/>
        <v>0</v>
      </c>
      <c r="H2617" s="11">
        <f t="shared" si="401"/>
        <v>29.4</v>
      </c>
      <c r="I2617" s="11">
        <f t="shared" si="402"/>
        <v>0.21</v>
      </c>
      <c r="J2617" s="12">
        <f t="shared" si="403"/>
        <v>-29.4</v>
      </c>
      <c r="K2617" s="17" t="str">
        <f t="shared" si="408"/>
        <v>Ecart négatif</v>
      </c>
      <c r="L2617" s="16">
        <f>base!X2617</f>
        <v>0</v>
      </c>
      <c r="M2617" s="11">
        <f t="shared" si="404"/>
        <v>0</v>
      </c>
      <c r="N2617" s="11">
        <f t="shared" si="405"/>
        <v>23.8</v>
      </c>
      <c r="O2617" s="11">
        <f t="shared" si="406"/>
        <v>0.17</v>
      </c>
      <c r="P2617" s="12">
        <f t="shared" si="407"/>
        <v>-23.8</v>
      </c>
      <c r="Q2617" s="17" t="str">
        <f t="shared" si="409"/>
        <v>Ecart négatif</v>
      </c>
    </row>
    <row r="2618" spans="1:18" x14ac:dyDescent="0.3">
      <c r="A2618" s="34" t="str">
        <f>base!J2618</f>
        <v>Stockage</v>
      </c>
      <c r="B2618" s="34" t="str">
        <f>base!V2618</f>
        <v/>
      </c>
      <c r="C2618" s="40" t="s">
        <v>11</v>
      </c>
      <c r="D2618" s="36">
        <f>base!H2618</f>
        <v>0</v>
      </c>
      <c r="E2618" s="44"/>
      <c r="F2618" s="16">
        <f>base!W2618</f>
        <v>0</v>
      </c>
      <c r="G2618" s="11" t="e">
        <f t="shared" si="400"/>
        <v>#DIV/0!</v>
      </c>
      <c r="H2618" s="11" t="e">
        <f t="shared" si="401"/>
        <v>#N/A</v>
      </c>
      <c r="I2618" s="11" t="e">
        <f t="shared" si="402"/>
        <v>#N/A</v>
      </c>
      <c r="J2618" s="12" t="e">
        <f t="shared" si="403"/>
        <v>#N/A</v>
      </c>
      <c r="K2618" s="17" t="e">
        <f t="shared" si="408"/>
        <v>#N/A</v>
      </c>
      <c r="L2618" s="16">
        <f>base!X2618</f>
        <v>0</v>
      </c>
      <c r="M2618" s="11" t="e">
        <f t="shared" si="404"/>
        <v>#DIV/0!</v>
      </c>
      <c r="N2618" s="11" t="e">
        <f t="shared" si="405"/>
        <v>#N/A</v>
      </c>
      <c r="O2618" s="11" t="e">
        <f t="shared" si="406"/>
        <v>#N/A</v>
      </c>
      <c r="P2618" s="12" t="e">
        <f t="shared" si="407"/>
        <v>#N/A</v>
      </c>
      <c r="Q2618" s="17" t="e">
        <f t="shared" si="409"/>
        <v>#N/A</v>
      </c>
    </row>
    <row r="2619" spans="1:18" x14ac:dyDescent="0.3">
      <c r="A2619" s="34" t="str">
        <f>base!J2619</f>
        <v>LS</v>
      </c>
      <c r="B2619" s="34" t="str">
        <f>base!V2619</f>
        <v>27101</v>
      </c>
      <c r="C2619" s="37">
        <v>33</v>
      </c>
      <c r="D2619" s="36">
        <f>base!H2619</f>
        <v>193</v>
      </c>
      <c r="E2619" s="44"/>
      <c r="F2619" s="16">
        <f>base!W2619</f>
        <v>32.81</v>
      </c>
      <c r="G2619" s="11">
        <f t="shared" si="400"/>
        <v>0.17</v>
      </c>
      <c r="H2619" s="11">
        <f t="shared" si="401"/>
        <v>40.53</v>
      </c>
      <c r="I2619" s="11">
        <f t="shared" si="402"/>
        <v>0.21</v>
      </c>
      <c r="J2619" s="12">
        <f t="shared" si="403"/>
        <v>-7.7199999999999989</v>
      </c>
      <c r="K2619" s="17" t="str">
        <f t="shared" si="408"/>
        <v>Ecart négatif</v>
      </c>
      <c r="L2619" s="16">
        <f>base!X2619</f>
        <v>0</v>
      </c>
      <c r="M2619" s="11">
        <f t="shared" si="404"/>
        <v>0</v>
      </c>
      <c r="N2619" s="11">
        <f t="shared" si="405"/>
        <v>32.81</v>
      </c>
      <c r="O2619" s="11">
        <f t="shared" si="406"/>
        <v>0.17</v>
      </c>
      <c r="P2619" s="12">
        <f t="shared" si="407"/>
        <v>-32.81</v>
      </c>
      <c r="Q2619" s="17" t="str">
        <f t="shared" si="409"/>
        <v>Ecart négatif</v>
      </c>
    </row>
    <row r="2620" spans="1:18" x14ac:dyDescent="0.3">
      <c r="A2620" s="34" t="str">
        <f>base!J2620</f>
        <v>LS</v>
      </c>
      <c r="B2620" s="34" t="str">
        <f>base!V2620</f>
        <v>44300</v>
      </c>
      <c r="C2620" s="37">
        <v>41</v>
      </c>
      <c r="D2620" s="36">
        <f>base!H2620</f>
        <v>186.07</v>
      </c>
      <c r="E2620" s="44"/>
      <c r="F2620" s="16">
        <f>base!W2620</f>
        <v>50.24</v>
      </c>
      <c r="G2620" s="11">
        <f t="shared" si="400"/>
        <v>0.27000591175364114</v>
      </c>
      <c r="H2620" s="11">
        <f t="shared" si="401"/>
        <v>39.0747</v>
      </c>
      <c r="I2620" s="11">
        <f t="shared" si="402"/>
        <v>0.21000000000000002</v>
      </c>
      <c r="J2620" s="12">
        <f t="shared" si="403"/>
        <v>11.165300000000002</v>
      </c>
      <c r="K2620" s="17" t="str">
        <f t="shared" si="408"/>
        <v>Ecart positif</v>
      </c>
      <c r="L2620" s="16">
        <f>base!X2620</f>
        <v>0</v>
      </c>
      <c r="M2620" s="11">
        <f t="shared" si="404"/>
        <v>0</v>
      </c>
      <c r="N2620" s="11">
        <f t="shared" si="405"/>
        <v>22.328399999999998</v>
      </c>
      <c r="O2620" s="11">
        <f t="shared" si="406"/>
        <v>0.12</v>
      </c>
      <c r="P2620" s="12">
        <f t="shared" si="407"/>
        <v>-22.328399999999998</v>
      </c>
      <c r="Q2620" s="17" t="str">
        <f t="shared" si="409"/>
        <v>Ecart négatif</v>
      </c>
    </row>
    <row r="2621" spans="1:18" x14ac:dyDescent="0.3">
      <c r="A2621" s="34" t="str">
        <f>base!J2621</f>
        <v>RM</v>
      </c>
      <c r="B2621" s="34" t="str">
        <f>base!V2621</f>
        <v>14000</v>
      </c>
      <c r="C2621" s="37">
        <v>14</v>
      </c>
      <c r="D2621" s="36">
        <f>base!H2621</f>
        <v>153</v>
      </c>
      <c r="E2621" s="44"/>
      <c r="F2621" s="16">
        <f>base!W2621</f>
        <v>0</v>
      </c>
      <c r="G2621" s="11">
        <f t="shared" si="400"/>
        <v>0</v>
      </c>
      <c r="H2621" s="11">
        <f t="shared" si="401"/>
        <v>26.01</v>
      </c>
      <c r="I2621" s="11">
        <f t="shared" si="402"/>
        <v>0.17</v>
      </c>
      <c r="J2621" s="12">
        <f t="shared" si="403"/>
        <v>-26.01</v>
      </c>
      <c r="K2621" s="17" t="str">
        <f t="shared" si="408"/>
        <v>Ecart négatif</v>
      </c>
      <c r="L2621" s="16">
        <f>base!X2621</f>
        <v>26.01</v>
      </c>
      <c r="M2621" s="11">
        <f t="shared" si="404"/>
        <v>0.17</v>
      </c>
      <c r="N2621" s="11">
        <f t="shared" si="405"/>
        <v>26.01</v>
      </c>
      <c r="O2621" s="11">
        <f t="shared" si="406"/>
        <v>0.17</v>
      </c>
      <c r="P2621" s="12">
        <f t="shared" si="407"/>
        <v>0</v>
      </c>
      <c r="Q2621" s="17" t="str">
        <f t="shared" si="409"/>
        <v>Pas d'écart</v>
      </c>
      <c r="R2621" s="38"/>
    </row>
    <row r="2622" spans="1:18" x14ac:dyDescent="0.3">
      <c r="A2622" s="34" t="str">
        <f>base!J2622</f>
        <v>RS</v>
      </c>
      <c r="B2622" s="34" t="str">
        <f>base!V2622</f>
        <v>42000</v>
      </c>
      <c r="C2622" s="37">
        <v>42</v>
      </c>
      <c r="D2622" s="36">
        <f>base!H2622</f>
        <v>205</v>
      </c>
      <c r="E2622" s="44"/>
      <c r="F2622" s="16">
        <f>base!W2622</f>
        <v>0</v>
      </c>
      <c r="G2622" s="11">
        <f t="shared" si="400"/>
        <v>0</v>
      </c>
      <c r="H2622" s="11">
        <f t="shared" si="401"/>
        <v>53.300000000000004</v>
      </c>
      <c r="I2622" s="11">
        <f t="shared" si="402"/>
        <v>0.26</v>
      </c>
      <c r="J2622" s="12">
        <f t="shared" si="403"/>
        <v>-53.300000000000004</v>
      </c>
      <c r="K2622" s="17" t="str">
        <f t="shared" si="408"/>
        <v>Ecart négatif</v>
      </c>
      <c r="L2622" s="16">
        <f>base!X2622</f>
        <v>0</v>
      </c>
      <c r="M2622" s="11">
        <f t="shared" si="404"/>
        <v>0</v>
      </c>
      <c r="N2622" s="11">
        <f t="shared" si="405"/>
        <v>0</v>
      </c>
      <c r="O2622" s="11">
        <f t="shared" si="406"/>
        <v>0</v>
      </c>
      <c r="P2622" s="12">
        <f t="shared" si="407"/>
        <v>0</v>
      </c>
      <c r="Q2622" s="17" t="str">
        <f t="shared" si="409"/>
        <v>Pas d'écart</v>
      </c>
    </row>
    <row r="2623" spans="1:18" x14ac:dyDescent="0.3">
      <c r="A2623" s="34" t="str">
        <f>base!J2623</f>
        <v>RS</v>
      </c>
      <c r="B2623" s="34" t="str">
        <f>base!V2623</f>
        <v>75013</v>
      </c>
      <c r="C2623" s="37">
        <v>75</v>
      </c>
      <c r="D2623" s="36">
        <f>base!H2623</f>
        <v>40</v>
      </c>
      <c r="E2623" s="44"/>
      <c r="F2623" s="16">
        <f>base!W2623</f>
        <v>0</v>
      </c>
      <c r="G2623" s="11">
        <f t="shared" si="400"/>
        <v>0</v>
      </c>
      <c r="H2623" s="11">
        <f t="shared" si="401"/>
        <v>0</v>
      </c>
      <c r="I2623" s="11">
        <f t="shared" si="402"/>
        <v>0</v>
      </c>
      <c r="J2623" s="12">
        <f t="shared" si="403"/>
        <v>0</v>
      </c>
      <c r="K2623" s="17" t="str">
        <f t="shared" si="408"/>
        <v>Pas d'écart</v>
      </c>
      <c r="L2623" s="16">
        <f>base!X2623</f>
        <v>0</v>
      </c>
      <c r="M2623" s="11">
        <f t="shared" si="404"/>
        <v>0</v>
      </c>
      <c r="N2623" s="11">
        <f t="shared" si="405"/>
        <v>0</v>
      </c>
      <c r="O2623" s="11">
        <f t="shared" si="406"/>
        <v>0</v>
      </c>
      <c r="P2623" s="12">
        <f t="shared" si="407"/>
        <v>0</v>
      </c>
      <c r="Q2623" s="17" t="str">
        <f t="shared" si="409"/>
        <v>Pas d'écart</v>
      </c>
    </row>
    <row r="2624" spans="1:18" x14ac:dyDescent="0.3">
      <c r="A2624" s="34" t="str">
        <f>base!J2624</f>
        <v>RM</v>
      </c>
      <c r="B2624" s="34" t="str">
        <f>base!V2624</f>
        <v>67118</v>
      </c>
      <c r="C2624" s="37">
        <v>67</v>
      </c>
      <c r="D2624" s="36">
        <f>base!H2624</f>
        <v>70</v>
      </c>
      <c r="E2624" s="44"/>
      <c r="F2624" s="16">
        <f>base!W2624</f>
        <v>0</v>
      </c>
      <c r="G2624" s="11">
        <f t="shared" si="400"/>
        <v>0</v>
      </c>
      <c r="H2624" s="11">
        <f t="shared" si="401"/>
        <v>20.299999999999997</v>
      </c>
      <c r="I2624" s="11">
        <f t="shared" si="402"/>
        <v>0.28999999999999998</v>
      </c>
      <c r="J2624" s="12">
        <f t="shared" si="403"/>
        <v>-20.299999999999997</v>
      </c>
      <c r="K2624" s="17" t="str">
        <f t="shared" si="408"/>
        <v>Ecart négatif</v>
      </c>
      <c r="L2624" s="16">
        <f>base!X2624</f>
        <v>5.6</v>
      </c>
      <c r="M2624" s="11">
        <f t="shared" si="404"/>
        <v>0.08</v>
      </c>
      <c r="N2624" s="11">
        <f t="shared" si="405"/>
        <v>5.6000000000000005</v>
      </c>
      <c r="O2624" s="11">
        <f t="shared" si="406"/>
        <v>0.08</v>
      </c>
      <c r="P2624" s="12">
        <f t="shared" si="407"/>
        <v>0</v>
      </c>
      <c r="Q2624" s="17" t="str">
        <f t="shared" si="409"/>
        <v>Pas d'écart</v>
      </c>
      <c r="R2624" s="38"/>
    </row>
    <row r="2625" spans="1:18" x14ac:dyDescent="0.3">
      <c r="A2625" s="34" t="str">
        <f>base!J2625</f>
        <v>LM</v>
      </c>
      <c r="B2625" s="34" t="str">
        <f>base!V2625</f>
        <v>75001</v>
      </c>
      <c r="C2625" s="37">
        <v>75</v>
      </c>
      <c r="D2625" s="36">
        <f>base!H2625</f>
        <v>195.06</v>
      </c>
      <c r="E2625" s="44"/>
      <c r="F2625" s="16">
        <f>base!W2625</f>
        <v>0</v>
      </c>
      <c r="G2625" s="11">
        <f t="shared" si="400"/>
        <v>0</v>
      </c>
      <c r="H2625" s="11">
        <f t="shared" si="401"/>
        <v>0</v>
      </c>
      <c r="I2625" s="11">
        <f t="shared" si="402"/>
        <v>0</v>
      </c>
      <c r="J2625" s="12">
        <f t="shared" si="403"/>
        <v>0</v>
      </c>
      <c r="K2625" s="17" t="str">
        <f t="shared" si="408"/>
        <v>Pas d'écart</v>
      </c>
      <c r="L2625" s="16">
        <f>base!X2625</f>
        <v>0</v>
      </c>
      <c r="M2625" s="11">
        <f t="shared" si="404"/>
        <v>0</v>
      </c>
      <c r="N2625" s="11">
        <f t="shared" si="405"/>
        <v>0</v>
      </c>
      <c r="O2625" s="11">
        <f t="shared" si="406"/>
        <v>0</v>
      </c>
      <c r="P2625" s="12">
        <f t="shared" si="407"/>
        <v>0</v>
      </c>
      <c r="Q2625" s="17" t="str">
        <f t="shared" si="409"/>
        <v>Pas d'écart</v>
      </c>
    </row>
    <row r="2626" spans="1:18" x14ac:dyDescent="0.3">
      <c r="A2626" s="34" t="str">
        <f>base!J2626</f>
        <v>RM</v>
      </c>
      <c r="B2626" s="34" t="str">
        <f>base!V2626</f>
        <v>14000</v>
      </c>
      <c r="C2626" s="37">
        <v>14</v>
      </c>
      <c r="D2626" s="36">
        <f>base!H2626</f>
        <v>183.98</v>
      </c>
      <c r="E2626" s="44"/>
      <c r="F2626" s="16">
        <f>base!W2626</f>
        <v>0</v>
      </c>
      <c r="G2626" s="11">
        <f t="shared" ref="G2626:G2689" si="410">F2626/D2626</f>
        <v>0</v>
      </c>
      <c r="H2626" s="11">
        <f t="shared" ref="H2626:H2689" si="411">VLOOKUP(C2626,tout_cout_traction,2,FALSE)*D2626</f>
        <v>31.276600000000002</v>
      </c>
      <c r="I2626" s="11">
        <f t="shared" ref="I2626:I2689" si="412">H2626/D2626</f>
        <v>0.17</v>
      </c>
      <c r="J2626" s="12">
        <f t="shared" ref="J2626:J2689" si="413">F2626-H2626</f>
        <v>-31.276600000000002</v>
      </c>
      <c r="K2626" s="17" t="str">
        <f t="shared" si="408"/>
        <v>Ecart négatif</v>
      </c>
      <c r="L2626" s="16">
        <f>base!X2626</f>
        <v>31.28</v>
      </c>
      <c r="M2626" s="11">
        <f t="shared" ref="M2626:M2689" si="414">L2626/D2626</f>
        <v>0.17001848026959454</v>
      </c>
      <c r="N2626" s="11">
        <f t="shared" ref="N2626:N2689" si="415">VLOOKUP(C2626,tout_cout_traction,3,FALSE)*D2626</f>
        <v>31.276600000000002</v>
      </c>
      <c r="O2626" s="11">
        <f t="shared" ref="O2626:O2689" si="416">N2626/D2626</f>
        <v>0.17</v>
      </c>
      <c r="P2626" s="12">
        <f t="shared" ref="P2626:P2689" si="417">L2626-N2626</f>
        <v>3.3999999999991815E-3</v>
      </c>
      <c r="Q2626" s="17" t="str">
        <f t="shared" si="409"/>
        <v>Ecart positif</v>
      </c>
      <c r="R2626" s="38"/>
    </row>
    <row r="2627" spans="1:18" x14ac:dyDescent="0.3">
      <c r="A2627" s="34" t="str">
        <f>base!J2627</f>
        <v>RM</v>
      </c>
      <c r="B2627" s="34" t="str">
        <f>base!V2627</f>
        <v>14000</v>
      </c>
      <c r="C2627" s="37">
        <v>14</v>
      </c>
      <c r="D2627" s="36">
        <f>base!H2627</f>
        <v>184.02</v>
      </c>
      <c r="E2627" s="44"/>
      <c r="F2627" s="16">
        <f>base!W2627</f>
        <v>0</v>
      </c>
      <c r="G2627" s="11">
        <f t="shared" si="410"/>
        <v>0</v>
      </c>
      <c r="H2627" s="11">
        <f t="shared" si="411"/>
        <v>31.283400000000004</v>
      </c>
      <c r="I2627" s="11">
        <f t="shared" si="412"/>
        <v>0.17</v>
      </c>
      <c r="J2627" s="12">
        <f t="shared" si="413"/>
        <v>-31.283400000000004</v>
      </c>
      <c r="K2627" s="17" t="str">
        <f t="shared" ref="K2627:K2690" si="418">IF(H2627=F2627,"Pas d'écart",IF(H2627&lt;F2627,"Ecart positif",IF(H2627&gt;F2627,"Ecart négatif")))</f>
        <v>Ecart négatif</v>
      </c>
      <c r="L2627" s="16">
        <f>base!X2627</f>
        <v>31.28</v>
      </c>
      <c r="M2627" s="11">
        <f t="shared" si="414"/>
        <v>0.16998152374741876</v>
      </c>
      <c r="N2627" s="11">
        <f t="shared" si="415"/>
        <v>31.283400000000004</v>
      </c>
      <c r="O2627" s="11">
        <f t="shared" si="416"/>
        <v>0.17</v>
      </c>
      <c r="P2627" s="12">
        <f t="shared" si="417"/>
        <v>-3.4000000000027342E-3</v>
      </c>
      <c r="Q2627" s="17" t="str">
        <f t="shared" ref="Q2627:Q2690" si="419">IF(N2627=L2627,"Pas d'écart",IF(N2627&lt;L2627,"Ecart positif",IF(N2627&gt;L2627,"Ecart négatif")))</f>
        <v>Ecart négatif</v>
      </c>
      <c r="R2627" s="38"/>
    </row>
    <row r="2628" spans="1:18" x14ac:dyDescent="0.3">
      <c r="A2628" s="34" t="str">
        <f>base!J2628</f>
        <v>RS</v>
      </c>
      <c r="B2628" s="34" t="str">
        <f>base!V2628</f>
        <v>14000</v>
      </c>
      <c r="C2628" s="37">
        <v>14</v>
      </c>
      <c r="D2628" s="36">
        <f>base!H2628</f>
        <v>153.97999999999999</v>
      </c>
      <c r="E2628" s="44"/>
      <c r="F2628" s="16">
        <f>base!W2628</f>
        <v>0</v>
      </c>
      <c r="G2628" s="11">
        <f t="shared" si="410"/>
        <v>0</v>
      </c>
      <c r="H2628" s="11">
        <f t="shared" si="411"/>
        <v>26.176600000000001</v>
      </c>
      <c r="I2628" s="11">
        <f t="shared" si="412"/>
        <v>0.17</v>
      </c>
      <c r="J2628" s="12">
        <f t="shared" si="413"/>
        <v>-26.176600000000001</v>
      </c>
      <c r="K2628" s="17" t="str">
        <f t="shared" si="418"/>
        <v>Ecart négatif</v>
      </c>
      <c r="L2628" s="16">
        <f>base!X2628</f>
        <v>26.18</v>
      </c>
      <c r="M2628" s="11">
        <f t="shared" si="414"/>
        <v>0.17002208078971295</v>
      </c>
      <c r="N2628" s="11">
        <f t="shared" si="415"/>
        <v>26.176600000000001</v>
      </c>
      <c r="O2628" s="11">
        <f t="shared" si="416"/>
        <v>0.17</v>
      </c>
      <c r="P2628" s="12">
        <f t="shared" si="417"/>
        <v>3.3999999999991815E-3</v>
      </c>
      <c r="Q2628" s="17" t="str">
        <f t="shared" si="419"/>
        <v>Ecart positif</v>
      </c>
      <c r="R2628" s="38"/>
    </row>
    <row r="2629" spans="1:18" x14ac:dyDescent="0.3">
      <c r="A2629" s="34" t="str">
        <f>base!J2629</f>
        <v>RS</v>
      </c>
      <c r="B2629" s="34" t="str">
        <f>base!V2629</f>
        <v>14000</v>
      </c>
      <c r="C2629" s="37">
        <v>14</v>
      </c>
      <c r="D2629" s="36">
        <f>base!H2629</f>
        <v>154.02000000000001</v>
      </c>
      <c r="E2629" s="44"/>
      <c r="F2629" s="16">
        <f>base!W2629</f>
        <v>0</v>
      </c>
      <c r="G2629" s="11">
        <f t="shared" si="410"/>
        <v>0</v>
      </c>
      <c r="H2629" s="11">
        <f t="shared" si="411"/>
        <v>26.183400000000002</v>
      </c>
      <c r="I2629" s="11">
        <f t="shared" si="412"/>
        <v>0.17</v>
      </c>
      <c r="J2629" s="12">
        <f t="shared" si="413"/>
        <v>-26.183400000000002</v>
      </c>
      <c r="K2629" s="17" t="str">
        <f t="shared" si="418"/>
        <v>Ecart négatif</v>
      </c>
      <c r="L2629" s="16">
        <f>base!X2629</f>
        <v>26.18</v>
      </c>
      <c r="M2629" s="11">
        <f t="shared" si="414"/>
        <v>0.16997792494481234</v>
      </c>
      <c r="N2629" s="11">
        <f t="shared" si="415"/>
        <v>26.183400000000002</v>
      </c>
      <c r="O2629" s="11">
        <f t="shared" si="416"/>
        <v>0.17</v>
      </c>
      <c r="P2629" s="12">
        <f t="shared" si="417"/>
        <v>-3.4000000000027342E-3</v>
      </c>
      <c r="Q2629" s="17" t="str">
        <f t="shared" si="419"/>
        <v>Ecart négatif</v>
      </c>
      <c r="R2629" s="38"/>
    </row>
    <row r="2630" spans="1:18" x14ac:dyDescent="0.3">
      <c r="A2630" s="34" t="str">
        <f>base!J2630</f>
        <v>RS</v>
      </c>
      <c r="B2630" s="34" t="str">
        <f>base!V2630</f>
        <v>14000</v>
      </c>
      <c r="C2630" s="37">
        <v>14</v>
      </c>
      <c r="D2630" s="36">
        <f>base!H2630</f>
        <v>183.98</v>
      </c>
      <c r="E2630" s="44"/>
      <c r="F2630" s="16">
        <f>base!W2630</f>
        <v>0</v>
      </c>
      <c r="G2630" s="11">
        <f t="shared" si="410"/>
        <v>0</v>
      </c>
      <c r="H2630" s="11">
        <f t="shared" si="411"/>
        <v>31.276600000000002</v>
      </c>
      <c r="I2630" s="11">
        <f t="shared" si="412"/>
        <v>0.17</v>
      </c>
      <c r="J2630" s="12">
        <f t="shared" si="413"/>
        <v>-31.276600000000002</v>
      </c>
      <c r="K2630" s="17" t="str">
        <f t="shared" si="418"/>
        <v>Ecart négatif</v>
      </c>
      <c r="L2630" s="16">
        <f>base!X2630</f>
        <v>31.28</v>
      </c>
      <c r="M2630" s="11">
        <f t="shared" si="414"/>
        <v>0.17001848026959454</v>
      </c>
      <c r="N2630" s="11">
        <f t="shared" si="415"/>
        <v>31.276600000000002</v>
      </c>
      <c r="O2630" s="11">
        <f t="shared" si="416"/>
        <v>0.17</v>
      </c>
      <c r="P2630" s="12">
        <f t="shared" si="417"/>
        <v>3.3999999999991815E-3</v>
      </c>
      <c r="Q2630" s="17" t="str">
        <f t="shared" si="419"/>
        <v>Ecart positif</v>
      </c>
      <c r="R2630" s="38"/>
    </row>
    <row r="2631" spans="1:18" x14ac:dyDescent="0.3">
      <c r="A2631" s="34" t="str">
        <f>base!J2631</f>
        <v>RS</v>
      </c>
      <c r="B2631" s="34" t="str">
        <f>base!V2631</f>
        <v>14000</v>
      </c>
      <c r="C2631" s="37">
        <v>14</v>
      </c>
      <c r="D2631" s="36">
        <f>base!H2631</f>
        <v>180</v>
      </c>
      <c r="E2631" s="44"/>
      <c r="F2631" s="16">
        <f>base!W2631</f>
        <v>0</v>
      </c>
      <c r="G2631" s="11">
        <f t="shared" si="410"/>
        <v>0</v>
      </c>
      <c r="H2631" s="11">
        <f t="shared" si="411"/>
        <v>30.6</v>
      </c>
      <c r="I2631" s="11">
        <f t="shared" si="412"/>
        <v>0.17</v>
      </c>
      <c r="J2631" s="12">
        <f t="shared" si="413"/>
        <v>-30.6</v>
      </c>
      <c r="K2631" s="17" t="str">
        <f t="shared" si="418"/>
        <v>Ecart négatif</v>
      </c>
      <c r="L2631" s="16">
        <f>base!X2631</f>
        <v>30.6</v>
      </c>
      <c r="M2631" s="11">
        <f t="shared" si="414"/>
        <v>0.17</v>
      </c>
      <c r="N2631" s="11">
        <f t="shared" si="415"/>
        <v>30.6</v>
      </c>
      <c r="O2631" s="11">
        <f t="shared" si="416"/>
        <v>0.17</v>
      </c>
      <c r="P2631" s="12">
        <f t="shared" si="417"/>
        <v>0</v>
      </c>
      <c r="Q2631" s="17" t="str">
        <f t="shared" si="419"/>
        <v>Pas d'écart</v>
      </c>
    </row>
    <row r="2632" spans="1:18" x14ac:dyDescent="0.3">
      <c r="A2632" s="34" t="str">
        <f>base!J2632</f>
        <v>LM</v>
      </c>
      <c r="B2632" s="34" t="str">
        <f>base!V2632</f>
        <v>61250</v>
      </c>
      <c r="C2632" s="37">
        <v>61</v>
      </c>
      <c r="D2632" s="36">
        <f>base!H2632</f>
        <v>40</v>
      </c>
      <c r="E2632" s="44"/>
      <c r="F2632" s="16">
        <f>base!W2632</f>
        <v>6.8</v>
      </c>
      <c r="G2632" s="11">
        <f t="shared" si="410"/>
        <v>0.16999999999999998</v>
      </c>
      <c r="H2632" s="11">
        <f t="shared" si="411"/>
        <v>6.8000000000000007</v>
      </c>
      <c r="I2632" s="11">
        <f t="shared" si="412"/>
        <v>0.17</v>
      </c>
      <c r="J2632" s="12">
        <f t="shared" si="413"/>
        <v>0</v>
      </c>
      <c r="K2632" s="17" t="str">
        <f t="shared" si="418"/>
        <v>Pas d'écart</v>
      </c>
      <c r="L2632" s="16">
        <f>base!X2632</f>
        <v>0</v>
      </c>
      <c r="M2632" s="11">
        <f t="shared" si="414"/>
        <v>0</v>
      </c>
      <c r="N2632" s="11">
        <f t="shared" si="415"/>
        <v>6.8000000000000007</v>
      </c>
      <c r="O2632" s="11">
        <f t="shared" si="416"/>
        <v>0.17</v>
      </c>
      <c r="P2632" s="12">
        <f t="shared" si="417"/>
        <v>-6.8000000000000007</v>
      </c>
      <c r="Q2632" s="17" t="str">
        <f t="shared" si="419"/>
        <v>Ecart négatif</v>
      </c>
    </row>
    <row r="2633" spans="1:18" x14ac:dyDescent="0.3">
      <c r="A2633" s="34" t="str">
        <f>base!J2633</f>
        <v>RM</v>
      </c>
      <c r="B2633" s="34" t="str">
        <f>base!V2633</f>
        <v>01190</v>
      </c>
      <c r="C2633" s="37">
        <v>1</v>
      </c>
      <c r="D2633" s="36">
        <f>base!H2633</f>
        <v>163.98</v>
      </c>
      <c r="E2633" s="44"/>
      <c r="F2633" s="16">
        <f>base!W2633</f>
        <v>0</v>
      </c>
      <c r="G2633" s="11">
        <f t="shared" si="410"/>
        <v>0</v>
      </c>
      <c r="H2633" s="11">
        <f t="shared" si="411"/>
        <v>42.634799999999998</v>
      </c>
      <c r="I2633" s="11">
        <f t="shared" si="412"/>
        <v>0.26</v>
      </c>
      <c r="J2633" s="12">
        <f t="shared" si="413"/>
        <v>-42.634799999999998</v>
      </c>
      <c r="K2633" s="17" t="str">
        <f t="shared" si="418"/>
        <v>Ecart négatif</v>
      </c>
      <c r="L2633" s="16">
        <f>base!X2633</f>
        <v>0</v>
      </c>
      <c r="M2633" s="11">
        <f t="shared" si="414"/>
        <v>0</v>
      </c>
      <c r="N2633" s="11">
        <f t="shared" si="415"/>
        <v>0</v>
      </c>
      <c r="O2633" s="11">
        <f t="shared" si="416"/>
        <v>0</v>
      </c>
      <c r="P2633" s="12">
        <f t="shared" si="417"/>
        <v>0</v>
      </c>
      <c r="Q2633" s="17" t="str">
        <f t="shared" si="419"/>
        <v>Pas d'écart</v>
      </c>
    </row>
    <row r="2634" spans="1:18" x14ac:dyDescent="0.3">
      <c r="A2634" s="34" t="str">
        <f>base!J2634</f>
        <v>RM</v>
      </c>
      <c r="B2634" s="34" t="str">
        <f>base!V2634</f>
        <v>89230</v>
      </c>
      <c r="C2634" s="37">
        <v>89</v>
      </c>
      <c r="D2634" s="36">
        <f>base!H2634</f>
        <v>163.98</v>
      </c>
      <c r="E2634" s="44"/>
      <c r="F2634" s="16">
        <f>base!W2634</f>
        <v>0</v>
      </c>
      <c r="G2634" s="11">
        <f t="shared" si="410"/>
        <v>0</v>
      </c>
      <c r="H2634" s="11">
        <f t="shared" si="411"/>
        <v>37.715400000000002</v>
      </c>
      <c r="I2634" s="11">
        <f t="shared" si="412"/>
        <v>0.23000000000000004</v>
      </c>
      <c r="J2634" s="12">
        <f t="shared" si="413"/>
        <v>-37.715400000000002</v>
      </c>
      <c r="K2634" s="17" t="str">
        <f t="shared" si="418"/>
        <v>Ecart négatif</v>
      </c>
      <c r="L2634" s="16">
        <f>base!X2634</f>
        <v>19.68</v>
      </c>
      <c r="M2634" s="11">
        <f t="shared" si="414"/>
        <v>0.12001463593121113</v>
      </c>
      <c r="N2634" s="11">
        <f t="shared" si="415"/>
        <v>19.677599999999998</v>
      </c>
      <c r="O2634" s="11">
        <f t="shared" si="416"/>
        <v>0.12</v>
      </c>
      <c r="P2634" s="12">
        <f t="shared" si="417"/>
        <v>2.400000000001512E-3</v>
      </c>
      <c r="Q2634" s="17" t="str">
        <f t="shared" si="419"/>
        <v>Ecart positif</v>
      </c>
      <c r="R2634" s="38"/>
    </row>
    <row r="2635" spans="1:18" x14ac:dyDescent="0.3">
      <c r="A2635" s="34" t="str">
        <f>base!J2635</f>
        <v>RM</v>
      </c>
      <c r="B2635" s="34" t="str">
        <f>base!V2635</f>
        <v>59148</v>
      </c>
      <c r="C2635" s="37">
        <v>59</v>
      </c>
      <c r="D2635" s="36">
        <f>base!H2635</f>
        <v>140</v>
      </c>
      <c r="E2635" s="44"/>
      <c r="F2635" s="16">
        <f>base!W2635</f>
        <v>0</v>
      </c>
      <c r="G2635" s="11">
        <f t="shared" si="410"/>
        <v>0</v>
      </c>
      <c r="H2635" s="11">
        <f t="shared" si="411"/>
        <v>26.6</v>
      </c>
      <c r="I2635" s="11">
        <f t="shared" si="412"/>
        <v>0.19</v>
      </c>
      <c r="J2635" s="12">
        <f t="shared" si="413"/>
        <v>-26.6</v>
      </c>
      <c r="K2635" s="17" t="str">
        <f t="shared" si="418"/>
        <v>Ecart négatif</v>
      </c>
      <c r="L2635" s="16">
        <f>base!X2635</f>
        <v>0</v>
      </c>
      <c r="M2635" s="11">
        <f t="shared" si="414"/>
        <v>0</v>
      </c>
      <c r="N2635" s="11">
        <f t="shared" si="415"/>
        <v>0</v>
      </c>
      <c r="O2635" s="11">
        <f t="shared" si="416"/>
        <v>0</v>
      </c>
      <c r="P2635" s="12">
        <f t="shared" si="417"/>
        <v>0</v>
      </c>
      <c r="Q2635" s="17" t="str">
        <f t="shared" si="419"/>
        <v>Pas d'écart</v>
      </c>
    </row>
    <row r="2636" spans="1:18" x14ac:dyDescent="0.3">
      <c r="A2636" s="34" t="str">
        <f>base!J2636</f>
        <v>RS</v>
      </c>
      <c r="B2636" s="34" t="str">
        <f>base!V2636</f>
        <v>89100</v>
      </c>
      <c r="C2636" s="37">
        <v>89</v>
      </c>
      <c r="D2636" s="36">
        <f>base!H2636</f>
        <v>70</v>
      </c>
      <c r="E2636" s="44"/>
      <c r="F2636" s="16">
        <f>base!W2636</f>
        <v>0</v>
      </c>
      <c r="G2636" s="11">
        <f t="shared" si="410"/>
        <v>0</v>
      </c>
      <c r="H2636" s="11">
        <f t="shared" si="411"/>
        <v>16.100000000000001</v>
      </c>
      <c r="I2636" s="11">
        <f t="shared" si="412"/>
        <v>0.23</v>
      </c>
      <c r="J2636" s="12">
        <f t="shared" si="413"/>
        <v>-16.100000000000001</v>
      </c>
      <c r="K2636" s="17" t="str">
        <f t="shared" si="418"/>
        <v>Ecart négatif</v>
      </c>
      <c r="L2636" s="16">
        <f>base!X2636</f>
        <v>8.4</v>
      </c>
      <c r="M2636" s="11">
        <f t="shared" si="414"/>
        <v>0.12000000000000001</v>
      </c>
      <c r="N2636" s="11">
        <f t="shared" si="415"/>
        <v>8.4</v>
      </c>
      <c r="O2636" s="11">
        <f t="shared" si="416"/>
        <v>0.12000000000000001</v>
      </c>
      <c r="P2636" s="12">
        <f t="shared" si="417"/>
        <v>0</v>
      </c>
      <c r="Q2636" s="17" t="str">
        <f t="shared" si="419"/>
        <v>Pas d'écart</v>
      </c>
      <c r="R2636" s="38"/>
    </row>
    <row r="2637" spans="1:18" x14ac:dyDescent="0.3">
      <c r="A2637" s="34" t="str">
        <f>base!J2637</f>
        <v>RM</v>
      </c>
      <c r="B2637" s="34" t="str">
        <f>base!V2637</f>
        <v>58000</v>
      </c>
      <c r="C2637" s="37">
        <v>58</v>
      </c>
      <c r="D2637" s="36">
        <f>base!H2637</f>
        <v>70</v>
      </c>
      <c r="E2637" s="44"/>
      <c r="F2637" s="16">
        <f>base!W2637</f>
        <v>0</v>
      </c>
      <c r="G2637" s="11">
        <f t="shared" si="410"/>
        <v>0</v>
      </c>
      <c r="H2637" s="11">
        <f t="shared" si="411"/>
        <v>16.100000000000001</v>
      </c>
      <c r="I2637" s="11">
        <f t="shared" si="412"/>
        <v>0.23</v>
      </c>
      <c r="J2637" s="12">
        <f t="shared" si="413"/>
        <v>-16.100000000000001</v>
      </c>
      <c r="K2637" s="17" t="str">
        <f t="shared" si="418"/>
        <v>Ecart négatif</v>
      </c>
      <c r="L2637" s="16">
        <f>base!X2637</f>
        <v>8.4</v>
      </c>
      <c r="M2637" s="11">
        <f t="shared" si="414"/>
        <v>0.12000000000000001</v>
      </c>
      <c r="N2637" s="11">
        <f t="shared" si="415"/>
        <v>8.4</v>
      </c>
      <c r="O2637" s="11">
        <f t="shared" si="416"/>
        <v>0.12000000000000001</v>
      </c>
      <c r="P2637" s="12">
        <f t="shared" si="417"/>
        <v>0</v>
      </c>
      <c r="Q2637" s="17" t="str">
        <f t="shared" si="419"/>
        <v>Pas d'écart</v>
      </c>
      <c r="R2637" s="38"/>
    </row>
    <row r="2638" spans="1:18" x14ac:dyDescent="0.3">
      <c r="A2638" s="34" t="str">
        <f>base!J2638</f>
        <v>RS</v>
      </c>
      <c r="B2638" s="34" t="str">
        <f>base!V2638</f>
        <v>45400</v>
      </c>
      <c r="C2638" s="37">
        <v>45</v>
      </c>
      <c r="D2638" s="36">
        <f>base!H2638</f>
        <v>171.25</v>
      </c>
      <c r="E2638" s="44"/>
      <c r="F2638" s="16">
        <f>base!W2638</f>
        <v>0</v>
      </c>
      <c r="G2638" s="11">
        <f t="shared" si="410"/>
        <v>0</v>
      </c>
      <c r="H2638" s="11">
        <f t="shared" si="411"/>
        <v>35.962499999999999</v>
      </c>
      <c r="I2638" s="11">
        <f t="shared" si="412"/>
        <v>0.21</v>
      </c>
      <c r="J2638" s="12">
        <f t="shared" si="413"/>
        <v>-35.962499999999999</v>
      </c>
      <c r="K2638" s="17" t="str">
        <f t="shared" si="418"/>
        <v>Ecart négatif</v>
      </c>
      <c r="L2638" s="16">
        <f>base!X2638</f>
        <v>0</v>
      </c>
      <c r="M2638" s="11">
        <f t="shared" si="414"/>
        <v>0</v>
      </c>
      <c r="N2638" s="11">
        <f t="shared" si="415"/>
        <v>20.55</v>
      </c>
      <c r="O2638" s="11">
        <f t="shared" si="416"/>
        <v>0.12000000000000001</v>
      </c>
      <c r="P2638" s="12">
        <f t="shared" si="417"/>
        <v>-20.55</v>
      </c>
      <c r="Q2638" s="17" t="str">
        <f t="shared" si="419"/>
        <v>Ecart négatif</v>
      </c>
    </row>
    <row r="2639" spans="1:18" x14ac:dyDescent="0.3">
      <c r="A2639" s="34" t="str">
        <f>base!J2639</f>
        <v>RS</v>
      </c>
      <c r="B2639" s="34" t="str">
        <f>base!V2639</f>
        <v>83190</v>
      </c>
      <c r="C2639" s="37">
        <v>83</v>
      </c>
      <c r="D2639" s="36">
        <f>base!H2639</f>
        <v>70</v>
      </c>
      <c r="E2639" s="44"/>
      <c r="F2639" s="16">
        <f>base!W2639</f>
        <v>0</v>
      </c>
      <c r="G2639" s="11">
        <f t="shared" si="410"/>
        <v>0</v>
      </c>
      <c r="H2639" s="11">
        <f t="shared" si="411"/>
        <v>21</v>
      </c>
      <c r="I2639" s="11">
        <f t="shared" si="412"/>
        <v>0.3</v>
      </c>
      <c r="J2639" s="12">
        <f t="shared" si="413"/>
        <v>-21</v>
      </c>
      <c r="K2639" s="17" t="str">
        <f t="shared" si="418"/>
        <v>Ecart négatif</v>
      </c>
      <c r="L2639" s="16">
        <f>base!X2639</f>
        <v>14.7</v>
      </c>
      <c r="M2639" s="11">
        <f t="shared" si="414"/>
        <v>0.21</v>
      </c>
      <c r="N2639" s="11">
        <f t="shared" si="415"/>
        <v>14.7</v>
      </c>
      <c r="O2639" s="11">
        <f t="shared" si="416"/>
        <v>0.21</v>
      </c>
      <c r="P2639" s="12">
        <f t="shared" si="417"/>
        <v>0</v>
      </c>
      <c r="Q2639" s="17" t="str">
        <f t="shared" si="419"/>
        <v>Pas d'écart</v>
      </c>
      <c r="R2639" s="38"/>
    </row>
    <row r="2640" spans="1:18" x14ac:dyDescent="0.3">
      <c r="A2640" s="34" t="str">
        <f>base!J2640</f>
        <v>RM</v>
      </c>
      <c r="B2640" s="34" t="str">
        <f>base!V2640</f>
        <v>75003</v>
      </c>
      <c r="C2640" s="37">
        <v>75</v>
      </c>
      <c r="D2640" s="36">
        <f>base!H2640</f>
        <v>250</v>
      </c>
      <c r="E2640" s="44"/>
      <c r="F2640" s="16">
        <f>base!W2640</f>
        <v>0</v>
      </c>
      <c r="G2640" s="11">
        <f t="shared" si="410"/>
        <v>0</v>
      </c>
      <c r="H2640" s="11">
        <f t="shared" si="411"/>
        <v>0</v>
      </c>
      <c r="I2640" s="11">
        <f t="shared" si="412"/>
        <v>0</v>
      </c>
      <c r="J2640" s="12">
        <f t="shared" si="413"/>
        <v>0</v>
      </c>
      <c r="K2640" s="17" t="str">
        <f t="shared" si="418"/>
        <v>Pas d'écart</v>
      </c>
      <c r="L2640" s="16">
        <f>base!X2640</f>
        <v>0</v>
      </c>
      <c r="M2640" s="11">
        <f t="shared" si="414"/>
        <v>0</v>
      </c>
      <c r="N2640" s="11">
        <f t="shared" si="415"/>
        <v>0</v>
      </c>
      <c r="O2640" s="11">
        <f t="shared" si="416"/>
        <v>0</v>
      </c>
      <c r="P2640" s="12">
        <f t="shared" si="417"/>
        <v>0</v>
      </c>
      <c r="Q2640" s="17" t="str">
        <f t="shared" si="419"/>
        <v>Pas d'écart</v>
      </c>
    </row>
    <row r="2641" spans="1:18" x14ac:dyDescent="0.3">
      <c r="A2641" s="34" t="str">
        <f>base!J2641</f>
        <v>RS</v>
      </c>
      <c r="B2641" s="34" t="str">
        <f>base!V2641</f>
        <v>63170</v>
      </c>
      <c r="C2641" s="37">
        <v>63</v>
      </c>
      <c r="D2641" s="36">
        <f>base!H2641</f>
        <v>26.8</v>
      </c>
      <c r="E2641" s="44"/>
      <c r="F2641" s="16">
        <f>base!W2641</f>
        <v>0</v>
      </c>
      <c r="G2641" s="11">
        <f t="shared" si="410"/>
        <v>0</v>
      </c>
      <c r="H2641" s="11">
        <f t="shared" si="411"/>
        <v>7.7719999999999994</v>
      </c>
      <c r="I2641" s="11">
        <f t="shared" si="412"/>
        <v>0.28999999999999998</v>
      </c>
      <c r="J2641" s="12">
        <f t="shared" si="413"/>
        <v>-7.7719999999999994</v>
      </c>
      <c r="K2641" s="17" t="str">
        <f t="shared" si="418"/>
        <v>Ecart négatif</v>
      </c>
      <c r="L2641" s="16">
        <f>base!X2641</f>
        <v>0</v>
      </c>
      <c r="M2641" s="11">
        <f t="shared" si="414"/>
        <v>0</v>
      </c>
      <c r="N2641" s="11">
        <f t="shared" si="415"/>
        <v>3.2159999999999997</v>
      </c>
      <c r="O2641" s="11">
        <f t="shared" si="416"/>
        <v>0.11999999999999998</v>
      </c>
      <c r="P2641" s="12">
        <f t="shared" si="417"/>
        <v>-3.2159999999999997</v>
      </c>
      <c r="Q2641" s="17" t="str">
        <f t="shared" si="419"/>
        <v>Ecart négatif</v>
      </c>
    </row>
    <row r="2642" spans="1:18" x14ac:dyDescent="0.3">
      <c r="A2642" s="34" t="str">
        <f>base!J2642</f>
        <v>RM</v>
      </c>
      <c r="B2642" s="34" t="str">
        <f>base!V2642</f>
        <v>21300</v>
      </c>
      <c r="C2642" s="37">
        <v>21</v>
      </c>
      <c r="D2642" s="36">
        <f>base!H2642</f>
        <v>160</v>
      </c>
      <c r="E2642" s="44"/>
      <c r="F2642" s="16">
        <f>base!W2642</f>
        <v>0</v>
      </c>
      <c r="G2642" s="11">
        <f t="shared" si="410"/>
        <v>0</v>
      </c>
      <c r="H2642" s="11">
        <f t="shared" si="411"/>
        <v>38.4</v>
      </c>
      <c r="I2642" s="11">
        <f t="shared" si="412"/>
        <v>0.24</v>
      </c>
      <c r="J2642" s="12">
        <f t="shared" si="413"/>
        <v>-38.4</v>
      </c>
      <c r="K2642" s="17" t="str">
        <f t="shared" si="418"/>
        <v>Ecart négatif</v>
      </c>
      <c r="L2642" s="16">
        <f>base!X2642</f>
        <v>19.2</v>
      </c>
      <c r="M2642" s="11">
        <f t="shared" si="414"/>
        <v>0.12</v>
      </c>
      <c r="N2642" s="11">
        <f t="shared" si="415"/>
        <v>19.2</v>
      </c>
      <c r="O2642" s="11">
        <f t="shared" si="416"/>
        <v>0.12</v>
      </c>
      <c r="P2642" s="12">
        <f t="shared" si="417"/>
        <v>0</v>
      </c>
      <c r="Q2642" s="17" t="str">
        <f t="shared" si="419"/>
        <v>Pas d'écart</v>
      </c>
      <c r="R2642" s="38"/>
    </row>
    <row r="2643" spans="1:18" x14ac:dyDescent="0.3">
      <c r="A2643" s="34" t="str">
        <f>base!J2643</f>
        <v>RS</v>
      </c>
      <c r="B2643" s="34" t="str">
        <f>base!V2643</f>
        <v>75011</v>
      </c>
      <c r="C2643" s="37">
        <v>75</v>
      </c>
      <c r="D2643" s="36">
        <f>base!H2643</f>
        <v>16</v>
      </c>
      <c r="E2643" s="44"/>
      <c r="F2643" s="16">
        <f>base!W2643</f>
        <v>0</v>
      </c>
      <c r="G2643" s="11">
        <f t="shared" si="410"/>
        <v>0</v>
      </c>
      <c r="H2643" s="11">
        <f t="shared" si="411"/>
        <v>0</v>
      </c>
      <c r="I2643" s="11">
        <f t="shared" si="412"/>
        <v>0</v>
      </c>
      <c r="J2643" s="12">
        <f t="shared" si="413"/>
        <v>0</v>
      </c>
      <c r="K2643" s="17" t="str">
        <f t="shared" si="418"/>
        <v>Pas d'écart</v>
      </c>
      <c r="L2643" s="16">
        <f>base!X2643</f>
        <v>0</v>
      </c>
      <c r="M2643" s="11">
        <f t="shared" si="414"/>
        <v>0</v>
      </c>
      <c r="N2643" s="11">
        <f t="shared" si="415"/>
        <v>0</v>
      </c>
      <c r="O2643" s="11">
        <f t="shared" si="416"/>
        <v>0</v>
      </c>
      <c r="P2643" s="12">
        <f t="shared" si="417"/>
        <v>0</v>
      </c>
      <c r="Q2643" s="17" t="str">
        <f t="shared" si="419"/>
        <v>Pas d'écart</v>
      </c>
    </row>
    <row r="2644" spans="1:18" x14ac:dyDescent="0.3">
      <c r="A2644" s="34" t="str">
        <f>base!J2644</f>
        <v>RS</v>
      </c>
      <c r="B2644" s="34" t="str">
        <f>base!V2644</f>
        <v>38330</v>
      </c>
      <c r="C2644" s="37">
        <v>38</v>
      </c>
      <c r="D2644" s="36">
        <f>base!H2644</f>
        <v>110.2</v>
      </c>
      <c r="E2644" s="44"/>
      <c r="F2644" s="16">
        <f>base!W2644</f>
        <v>0</v>
      </c>
      <c r="G2644" s="11">
        <f t="shared" si="410"/>
        <v>0</v>
      </c>
      <c r="H2644" s="11">
        <f t="shared" si="411"/>
        <v>29.754000000000001</v>
      </c>
      <c r="I2644" s="11">
        <f t="shared" si="412"/>
        <v>0.27</v>
      </c>
      <c r="J2644" s="12">
        <f t="shared" si="413"/>
        <v>-29.754000000000001</v>
      </c>
      <c r="K2644" s="17" t="str">
        <f t="shared" si="418"/>
        <v>Ecart négatif</v>
      </c>
      <c r="L2644" s="16">
        <f>base!X2644</f>
        <v>0</v>
      </c>
      <c r="M2644" s="11">
        <f t="shared" si="414"/>
        <v>0</v>
      </c>
      <c r="N2644" s="11">
        <f t="shared" si="415"/>
        <v>0</v>
      </c>
      <c r="O2644" s="11">
        <f t="shared" si="416"/>
        <v>0</v>
      </c>
      <c r="P2644" s="12">
        <f t="shared" si="417"/>
        <v>0</v>
      </c>
      <c r="Q2644" s="17" t="str">
        <f t="shared" si="419"/>
        <v>Pas d'écart</v>
      </c>
    </row>
    <row r="2645" spans="1:18" x14ac:dyDescent="0.3">
      <c r="A2645" s="34" t="str">
        <f>base!J2645</f>
        <v>LS</v>
      </c>
      <c r="B2645" s="34" t="str">
        <f>base!V2645</f>
        <v>41200</v>
      </c>
      <c r="C2645" s="37">
        <v>72</v>
      </c>
      <c r="D2645" s="36">
        <f>base!H2645</f>
        <v>55.34</v>
      </c>
      <c r="E2645" s="44"/>
      <c r="F2645" s="16">
        <f>base!W2645</f>
        <v>11.62</v>
      </c>
      <c r="G2645" s="11">
        <f t="shared" si="410"/>
        <v>0.2099747018431514</v>
      </c>
      <c r="H2645" s="11">
        <f t="shared" si="411"/>
        <v>11.6214</v>
      </c>
      <c r="I2645" s="11">
        <f t="shared" si="412"/>
        <v>0.20999999999999996</v>
      </c>
      <c r="J2645" s="12">
        <f t="shared" si="413"/>
        <v>-1.4000000000002899E-3</v>
      </c>
      <c r="K2645" s="17" t="str">
        <f t="shared" si="418"/>
        <v>Ecart négatif</v>
      </c>
      <c r="L2645" s="16">
        <f>base!X2645</f>
        <v>0</v>
      </c>
      <c r="M2645" s="11">
        <f t="shared" si="414"/>
        <v>0</v>
      </c>
      <c r="N2645" s="11">
        <f t="shared" si="415"/>
        <v>6.6408000000000005</v>
      </c>
      <c r="O2645" s="11">
        <f t="shared" si="416"/>
        <v>0.12</v>
      </c>
      <c r="P2645" s="12">
        <f t="shared" si="417"/>
        <v>-6.6408000000000005</v>
      </c>
      <c r="Q2645" s="17" t="str">
        <f t="shared" si="419"/>
        <v>Ecart négatif</v>
      </c>
    </row>
    <row r="2646" spans="1:18" x14ac:dyDescent="0.3">
      <c r="A2646" s="34" t="str">
        <f>base!J2646</f>
        <v>RM</v>
      </c>
      <c r="B2646" s="34" t="str">
        <f>base!V2646</f>
        <v>63000</v>
      </c>
      <c r="C2646" s="37">
        <v>63</v>
      </c>
      <c r="D2646" s="36">
        <f>base!H2646</f>
        <v>14.6</v>
      </c>
      <c r="E2646" s="44"/>
      <c r="F2646" s="16">
        <f>base!W2646</f>
        <v>0</v>
      </c>
      <c r="G2646" s="11">
        <f t="shared" si="410"/>
        <v>0</v>
      </c>
      <c r="H2646" s="11">
        <f t="shared" si="411"/>
        <v>4.234</v>
      </c>
      <c r="I2646" s="11">
        <f t="shared" si="412"/>
        <v>0.28999999999999998</v>
      </c>
      <c r="J2646" s="12">
        <f t="shared" si="413"/>
        <v>-4.234</v>
      </c>
      <c r="K2646" s="17" t="str">
        <f t="shared" si="418"/>
        <v>Ecart négatif</v>
      </c>
      <c r="L2646" s="16">
        <f>base!X2646</f>
        <v>1.75</v>
      </c>
      <c r="M2646" s="11">
        <f t="shared" si="414"/>
        <v>0.11986301369863014</v>
      </c>
      <c r="N2646" s="11">
        <f t="shared" si="415"/>
        <v>1.752</v>
      </c>
      <c r="O2646" s="11">
        <f t="shared" si="416"/>
        <v>0.12000000000000001</v>
      </c>
      <c r="P2646" s="12">
        <f t="shared" si="417"/>
        <v>-2.0000000000000018E-3</v>
      </c>
      <c r="Q2646" s="17" t="str">
        <f t="shared" si="419"/>
        <v>Ecart négatif</v>
      </c>
      <c r="R2646" s="38"/>
    </row>
    <row r="2647" spans="1:18" x14ac:dyDescent="0.3">
      <c r="A2647" s="34" t="str">
        <f>base!J2647</f>
        <v>RM</v>
      </c>
      <c r="B2647" s="34" t="str">
        <f>base!V2647</f>
        <v>56560</v>
      </c>
      <c r="C2647" s="37">
        <v>56</v>
      </c>
      <c r="D2647" s="36">
        <f>base!H2647</f>
        <v>180</v>
      </c>
      <c r="E2647" s="44"/>
      <c r="F2647" s="16">
        <f>base!W2647</f>
        <v>0</v>
      </c>
      <c r="G2647" s="11">
        <f t="shared" si="410"/>
        <v>0</v>
      </c>
      <c r="H2647" s="11">
        <f t="shared" si="411"/>
        <v>48.6</v>
      </c>
      <c r="I2647" s="11">
        <f t="shared" si="412"/>
        <v>0.27</v>
      </c>
      <c r="J2647" s="12">
        <f t="shared" si="413"/>
        <v>-48.6</v>
      </c>
      <c r="K2647" s="17" t="str">
        <f t="shared" si="418"/>
        <v>Ecart négatif</v>
      </c>
      <c r="L2647" s="16">
        <f>base!X2647</f>
        <v>0</v>
      </c>
      <c r="M2647" s="11">
        <f t="shared" si="414"/>
        <v>0</v>
      </c>
      <c r="N2647" s="11">
        <f t="shared" si="415"/>
        <v>0</v>
      </c>
      <c r="O2647" s="11">
        <f t="shared" si="416"/>
        <v>0</v>
      </c>
      <c r="P2647" s="12">
        <f t="shared" si="417"/>
        <v>0</v>
      </c>
      <c r="Q2647" s="17" t="str">
        <f t="shared" si="419"/>
        <v>Pas d'écart</v>
      </c>
    </row>
    <row r="2648" spans="1:18" x14ac:dyDescent="0.3">
      <c r="A2648" s="34" t="str">
        <f>base!J2648</f>
        <v>RM</v>
      </c>
      <c r="B2648" s="34" t="str">
        <f>base!V2648</f>
        <v>54000</v>
      </c>
      <c r="C2648" s="37">
        <v>54</v>
      </c>
      <c r="D2648" s="36">
        <f>base!H2648</f>
        <v>183.98</v>
      </c>
      <c r="E2648" s="44"/>
      <c r="F2648" s="16">
        <f>base!W2648</f>
        <v>0</v>
      </c>
      <c r="G2648" s="11">
        <f t="shared" si="410"/>
        <v>0</v>
      </c>
      <c r="H2648" s="11">
        <f t="shared" si="411"/>
        <v>45.994999999999997</v>
      </c>
      <c r="I2648" s="11">
        <f t="shared" si="412"/>
        <v>0.25</v>
      </c>
      <c r="J2648" s="12">
        <f t="shared" si="413"/>
        <v>-45.994999999999997</v>
      </c>
      <c r="K2648" s="17" t="str">
        <f t="shared" si="418"/>
        <v>Ecart négatif</v>
      </c>
      <c r="L2648" s="16">
        <f>base!X2648</f>
        <v>46</v>
      </c>
      <c r="M2648" s="11">
        <f t="shared" si="414"/>
        <v>0.25002717686705078</v>
      </c>
      <c r="N2648" s="11">
        <f t="shared" si="415"/>
        <v>45.994999999999997</v>
      </c>
      <c r="O2648" s="11">
        <f t="shared" si="416"/>
        <v>0.25</v>
      </c>
      <c r="P2648" s="12">
        <f t="shared" si="417"/>
        <v>5.000000000002558E-3</v>
      </c>
      <c r="Q2648" s="17" t="str">
        <f t="shared" si="419"/>
        <v>Ecart positif</v>
      </c>
      <c r="R2648" s="38"/>
    </row>
    <row r="2649" spans="1:18" x14ac:dyDescent="0.3">
      <c r="A2649" s="34" t="str">
        <f>base!J2649</f>
        <v>RM</v>
      </c>
      <c r="B2649" s="34" t="str">
        <f>base!V2649</f>
        <v>85700</v>
      </c>
      <c r="C2649" s="37">
        <v>85</v>
      </c>
      <c r="D2649" s="36">
        <f>base!H2649</f>
        <v>93.97</v>
      </c>
      <c r="E2649" s="44"/>
      <c r="F2649" s="16">
        <f>base!W2649</f>
        <v>0</v>
      </c>
      <c r="G2649" s="11">
        <f t="shared" si="410"/>
        <v>0</v>
      </c>
      <c r="H2649" s="11">
        <f t="shared" si="411"/>
        <v>25.3719</v>
      </c>
      <c r="I2649" s="11">
        <f t="shared" si="412"/>
        <v>0.27</v>
      </c>
      <c r="J2649" s="12">
        <f t="shared" si="413"/>
        <v>-25.3719</v>
      </c>
      <c r="K2649" s="17" t="str">
        <f t="shared" si="418"/>
        <v>Ecart négatif</v>
      </c>
      <c r="L2649" s="16">
        <f>base!X2649</f>
        <v>0</v>
      </c>
      <c r="M2649" s="11">
        <f t="shared" si="414"/>
        <v>0</v>
      </c>
      <c r="N2649" s="11">
        <f t="shared" si="415"/>
        <v>0</v>
      </c>
      <c r="O2649" s="11">
        <f t="shared" si="416"/>
        <v>0</v>
      </c>
      <c r="P2649" s="12">
        <f t="shared" si="417"/>
        <v>0</v>
      </c>
      <c r="Q2649" s="17" t="str">
        <f t="shared" si="419"/>
        <v>Pas d'écart</v>
      </c>
    </row>
    <row r="2650" spans="1:18" x14ac:dyDescent="0.3">
      <c r="A2650" s="34" t="str">
        <f>base!J2650</f>
        <v>RM</v>
      </c>
      <c r="B2650" s="34" t="str">
        <f>base!V2650</f>
        <v>85700</v>
      </c>
      <c r="C2650" s="37">
        <v>85</v>
      </c>
      <c r="D2650" s="36">
        <f>base!H2650</f>
        <v>25</v>
      </c>
      <c r="E2650" s="44"/>
      <c r="F2650" s="16">
        <f>base!W2650</f>
        <v>0</v>
      </c>
      <c r="G2650" s="11">
        <f t="shared" si="410"/>
        <v>0</v>
      </c>
      <c r="H2650" s="11">
        <f t="shared" si="411"/>
        <v>6.75</v>
      </c>
      <c r="I2650" s="11">
        <f t="shared" si="412"/>
        <v>0.27</v>
      </c>
      <c r="J2650" s="12">
        <f t="shared" si="413"/>
        <v>-6.75</v>
      </c>
      <c r="K2650" s="17" t="str">
        <f t="shared" si="418"/>
        <v>Ecart négatif</v>
      </c>
      <c r="L2650" s="16">
        <f>base!X2650</f>
        <v>0</v>
      </c>
      <c r="M2650" s="11">
        <f t="shared" si="414"/>
        <v>0</v>
      </c>
      <c r="N2650" s="11">
        <f t="shared" si="415"/>
        <v>0</v>
      </c>
      <c r="O2650" s="11">
        <f t="shared" si="416"/>
        <v>0</v>
      </c>
      <c r="P2650" s="12">
        <f t="shared" si="417"/>
        <v>0</v>
      </c>
      <c r="Q2650" s="17" t="str">
        <f t="shared" si="419"/>
        <v>Pas d'écart</v>
      </c>
    </row>
    <row r="2651" spans="1:18" x14ac:dyDescent="0.3">
      <c r="A2651" s="34" t="str">
        <f>base!J2651</f>
        <v>RM</v>
      </c>
      <c r="B2651" s="34" t="str">
        <f>base!V2651</f>
        <v>70000</v>
      </c>
      <c r="C2651" s="37">
        <v>70</v>
      </c>
      <c r="D2651" s="36">
        <f>base!H2651</f>
        <v>151</v>
      </c>
      <c r="E2651" s="44"/>
      <c r="F2651" s="16">
        <f>base!W2651</f>
        <v>0</v>
      </c>
      <c r="G2651" s="11">
        <f t="shared" si="410"/>
        <v>0</v>
      </c>
      <c r="H2651" s="11">
        <f t="shared" si="411"/>
        <v>36.24</v>
      </c>
      <c r="I2651" s="11">
        <f t="shared" si="412"/>
        <v>0.24000000000000002</v>
      </c>
      <c r="J2651" s="12">
        <f t="shared" si="413"/>
        <v>-36.24</v>
      </c>
      <c r="K2651" s="17" t="str">
        <f t="shared" si="418"/>
        <v>Ecart négatif</v>
      </c>
      <c r="L2651" s="16">
        <f>base!X2651</f>
        <v>18.12</v>
      </c>
      <c r="M2651" s="11">
        <f t="shared" si="414"/>
        <v>0.12000000000000001</v>
      </c>
      <c r="N2651" s="11">
        <f t="shared" si="415"/>
        <v>18.12</v>
      </c>
      <c r="O2651" s="11">
        <f t="shared" si="416"/>
        <v>0.12000000000000001</v>
      </c>
      <c r="P2651" s="12">
        <f t="shared" si="417"/>
        <v>0</v>
      </c>
      <c r="Q2651" s="17" t="str">
        <f t="shared" si="419"/>
        <v>Pas d'écart</v>
      </c>
      <c r="R2651" s="38"/>
    </row>
    <row r="2652" spans="1:18" x14ac:dyDescent="0.3">
      <c r="A2652" s="34" t="str">
        <f>base!J2652</f>
        <v>RM</v>
      </c>
      <c r="B2652" s="34" t="str">
        <f>base!V2652</f>
        <v>70000</v>
      </c>
      <c r="C2652" s="37">
        <v>70</v>
      </c>
      <c r="D2652" s="36">
        <f>base!H2652</f>
        <v>25</v>
      </c>
      <c r="E2652" s="44"/>
      <c r="F2652" s="16">
        <f>base!W2652</f>
        <v>0</v>
      </c>
      <c r="G2652" s="11">
        <f t="shared" si="410"/>
        <v>0</v>
      </c>
      <c r="H2652" s="11">
        <f t="shared" si="411"/>
        <v>6</v>
      </c>
      <c r="I2652" s="11">
        <f t="shared" si="412"/>
        <v>0.24</v>
      </c>
      <c r="J2652" s="12">
        <f t="shared" si="413"/>
        <v>-6</v>
      </c>
      <c r="K2652" s="17" t="str">
        <f t="shared" si="418"/>
        <v>Ecart négatif</v>
      </c>
      <c r="L2652" s="16">
        <f>base!X2652</f>
        <v>0</v>
      </c>
      <c r="M2652" s="11">
        <f t="shared" si="414"/>
        <v>0</v>
      </c>
      <c r="N2652" s="11">
        <f t="shared" si="415"/>
        <v>3</v>
      </c>
      <c r="O2652" s="11">
        <f t="shared" si="416"/>
        <v>0.12</v>
      </c>
      <c r="P2652" s="12">
        <f t="shared" si="417"/>
        <v>-3</v>
      </c>
      <c r="Q2652" s="17" t="str">
        <f t="shared" si="419"/>
        <v>Ecart négatif</v>
      </c>
    </row>
    <row r="2653" spans="1:18" x14ac:dyDescent="0.3">
      <c r="A2653" s="34" t="str">
        <f>base!J2653</f>
        <v>RS</v>
      </c>
      <c r="B2653" s="34" t="str">
        <f>base!V2653</f>
        <v>81990</v>
      </c>
      <c r="C2653" s="37">
        <v>81</v>
      </c>
      <c r="D2653" s="36">
        <f>base!H2653</f>
        <v>40</v>
      </c>
      <c r="E2653" s="44"/>
      <c r="F2653" s="16">
        <f>base!W2653</f>
        <v>0</v>
      </c>
      <c r="G2653" s="11">
        <f t="shared" si="410"/>
        <v>0</v>
      </c>
      <c r="H2653" s="11">
        <f t="shared" si="411"/>
        <v>8.8000000000000007</v>
      </c>
      <c r="I2653" s="11">
        <f t="shared" si="412"/>
        <v>0.22000000000000003</v>
      </c>
      <c r="J2653" s="12">
        <f t="shared" si="413"/>
        <v>-8.8000000000000007</v>
      </c>
      <c r="K2653" s="17" t="str">
        <f t="shared" si="418"/>
        <v>Ecart négatif</v>
      </c>
      <c r="L2653" s="16">
        <f>base!X2653</f>
        <v>10.8</v>
      </c>
      <c r="M2653" s="11">
        <f t="shared" si="414"/>
        <v>0.27</v>
      </c>
      <c r="N2653" s="11">
        <f t="shared" si="415"/>
        <v>10.4</v>
      </c>
      <c r="O2653" s="11">
        <f t="shared" si="416"/>
        <v>0.26</v>
      </c>
      <c r="P2653" s="12">
        <f t="shared" si="417"/>
        <v>0.40000000000000036</v>
      </c>
      <c r="Q2653" s="17" t="str">
        <f t="shared" si="419"/>
        <v>Ecart positif</v>
      </c>
      <c r="R2653" s="38"/>
    </row>
    <row r="2654" spans="1:18" x14ac:dyDescent="0.3">
      <c r="A2654" s="34" t="str">
        <f>base!J2654</f>
        <v>LM</v>
      </c>
      <c r="B2654" s="34" t="str">
        <f>base!V2654</f>
        <v>92000</v>
      </c>
      <c r="C2654" s="37">
        <v>92</v>
      </c>
      <c r="D2654" s="36">
        <f>base!H2654</f>
        <v>50.84</v>
      </c>
      <c r="E2654" s="44"/>
      <c r="F2654" s="16">
        <f>base!W2654</f>
        <v>0</v>
      </c>
      <c r="G2654" s="11">
        <f t="shared" si="410"/>
        <v>0</v>
      </c>
      <c r="H2654" s="11">
        <f t="shared" si="411"/>
        <v>0</v>
      </c>
      <c r="I2654" s="11">
        <f t="shared" si="412"/>
        <v>0</v>
      </c>
      <c r="J2654" s="12">
        <f t="shared" si="413"/>
        <v>0</v>
      </c>
      <c r="K2654" s="17" t="str">
        <f t="shared" si="418"/>
        <v>Pas d'écart</v>
      </c>
      <c r="L2654" s="16">
        <f>base!X2654</f>
        <v>0</v>
      </c>
      <c r="M2654" s="11">
        <f t="shared" si="414"/>
        <v>0</v>
      </c>
      <c r="N2654" s="11">
        <f t="shared" si="415"/>
        <v>0</v>
      </c>
      <c r="O2654" s="11">
        <f t="shared" si="416"/>
        <v>0</v>
      </c>
      <c r="P2654" s="12">
        <f t="shared" si="417"/>
        <v>0</v>
      </c>
      <c r="Q2654" s="17" t="str">
        <f t="shared" si="419"/>
        <v>Pas d'écart</v>
      </c>
    </row>
    <row r="2655" spans="1:18" x14ac:dyDescent="0.3">
      <c r="A2655" s="34" t="str">
        <f>base!J2655</f>
        <v>RS</v>
      </c>
      <c r="B2655" s="34" t="str">
        <f>base!V2655</f>
        <v>34000</v>
      </c>
      <c r="C2655" s="37">
        <v>34</v>
      </c>
      <c r="D2655" s="36">
        <f>base!H2655</f>
        <v>151</v>
      </c>
      <c r="E2655" s="44"/>
      <c r="F2655" s="16">
        <f>base!W2655</f>
        <v>0</v>
      </c>
      <c r="G2655" s="11">
        <f t="shared" si="410"/>
        <v>0</v>
      </c>
      <c r="H2655" s="11">
        <f t="shared" si="411"/>
        <v>58.89</v>
      </c>
      <c r="I2655" s="11">
        <f t="shared" si="412"/>
        <v>0.39</v>
      </c>
      <c r="J2655" s="12">
        <f t="shared" si="413"/>
        <v>-58.89</v>
      </c>
      <c r="K2655" s="17" t="str">
        <f t="shared" si="418"/>
        <v>Ecart négatif</v>
      </c>
      <c r="L2655" s="16">
        <f>base!X2655</f>
        <v>0</v>
      </c>
      <c r="M2655" s="11">
        <f t="shared" si="414"/>
        <v>0</v>
      </c>
      <c r="N2655" s="11">
        <f t="shared" si="415"/>
        <v>42.28</v>
      </c>
      <c r="O2655" s="11">
        <f t="shared" si="416"/>
        <v>0.28000000000000003</v>
      </c>
      <c r="P2655" s="12">
        <f t="shared" si="417"/>
        <v>-42.28</v>
      </c>
      <c r="Q2655" s="17" t="str">
        <f t="shared" si="419"/>
        <v>Ecart négatif</v>
      </c>
    </row>
    <row r="2656" spans="1:18" x14ac:dyDescent="0.3">
      <c r="A2656" s="34" t="str">
        <f>base!J2656</f>
        <v>RM</v>
      </c>
      <c r="B2656" s="34" t="str">
        <f>base!V2656</f>
        <v>45120</v>
      </c>
      <c r="C2656" s="37">
        <v>45</v>
      </c>
      <c r="D2656" s="36">
        <f>base!H2656</f>
        <v>180</v>
      </c>
      <c r="E2656" s="44"/>
      <c r="F2656" s="16">
        <f>base!W2656</f>
        <v>0</v>
      </c>
      <c r="G2656" s="11">
        <f t="shared" si="410"/>
        <v>0</v>
      </c>
      <c r="H2656" s="11">
        <f t="shared" si="411"/>
        <v>37.799999999999997</v>
      </c>
      <c r="I2656" s="11">
        <f t="shared" si="412"/>
        <v>0.21</v>
      </c>
      <c r="J2656" s="12">
        <f t="shared" si="413"/>
        <v>-37.799999999999997</v>
      </c>
      <c r="K2656" s="17" t="str">
        <f t="shared" si="418"/>
        <v>Ecart négatif</v>
      </c>
      <c r="L2656" s="16">
        <f>base!X2656</f>
        <v>70.2</v>
      </c>
      <c r="M2656" s="11">
        <f t="shared" si="414"/>
        <v>0.39</v>
      </c>
      <c r="N2656" s="11">
        <f t="shared" si="415"/>
        <v>21.599999999999998</v>
      </c>
      <c r="O2656" s="11">
        <f t="shared" si="416"/>
        <v>0.11999999999999998</v>
      </c>
      <c r="P2656" s="12">
        <f t="shared" si="417"/>
        <v>48.600000000000009</v>
      </c>
      <c r="Q2656" s="17" t="str">
        <f t="shared" si="419"/>
        <v>Ecart positif</v>
      </c>
      <c r="R2656" s="38"/>
    </row>
    <row r="2657" spans="1:18" x14ac:dyDescent="0.3">
      <c r="A2657" s="34" t="str">
        <f>base!J2657</f>
        <v>RM</v>
      </c>
      <c r="B2657" s="34" t="str">
        <f>base!V2657</f>
        <v>28000</v>
      </c>
      <c r="C2657" s="37">
        <v>28</v>
      </c>
      <c r="D2657" s="36">
        <f>base!H2657</f>
        <v>40</v>
      </c>
      <c r="E2657" s="44"/>
      <c r="F2657" s="16">
        <f>base!W2657</f>
        <v>0</v>
      </c>
      <c r="G2657" s="11">
        <f t="shared" si="410"/>
        <v>0</v>
      </c>
      <c r="H2657" s="11">
        <f t="shared" si="411"/>
        <v>8</v>
      </c>
      <c r="I2657" s="11">
        <f t="shared" si="412"/>
        <v>0.2</v>
      </c>
      <c r="J2657" s="12">
        <f t="shared" si="413"/>
        <v>-8</v>
      </c>
      <c r="K2657" s="17" t="str">
        <f t="shared" si="418"/>
        <v>Ecart négatif</v>
      </c>
      <c r="L2657" s="16">
        <f>base!X2657</f>
        <v>10.8</v>
      </c>
      <c r="M2657" s="11">
        <f t="shared" si="414"/>
        <v>0.27</v>
      </c>
      <c r="N2657" s="11">
        <f t="shared" si="415"/>
        <v>4.8</v>
      </c>
      <c r="O2657" s="11">
        <f t="shared" si="416"/>
        <v>0.12</v>
      </c>
      <c r="P2657" s="12">
        <f t="shared" si="417"/>
        <v>6.0000000000000009</v>
      </c>
      <c r="Q2657" s="17" t="str">
        <f t="shared" si="419"/>
        <v>Ecart positif</v>
      </c>
      <c r="R2657" s="38"/>
    </row>
    <row r="2658" spans="1:18" x14ac:dyDescent="0.3">
      <c r="A2658" s="34" t="str">
        <f>base!J2658</f>
        <v>LS</v>
      </c>
      <c r="B2658" s="34" t="str">
        <f>base!V2658</f>
        <v>92000</v>
      </c>
      <c r="C2658" s="37">
        <v>92</v>
      </c>
      <c r="D2658" s="36">
        <f>base!H2658</f>
        <v>50.84</v>
      </c>
      <c r="E2658" s="44"/>
      <c r="F2658" s="16">
        <f>base!W2658</f>
        <v>0</v>
      </c>
      <c r="G2658" s="11">
        <f t="shared" si="410"/>
        <v>0</v>
      </c>
      <c r="H2658" s="11">
        <f t="shared" si="411"/>
        <v>0</v>
      </c>
      <c r="I2658" s="11">
        <f t="shared" si="412"/>
        <v>0</v>
      </c>
      <c r="J2658" s="12">
        <f t="shared" si="413"/>
        <v>0</v>
      </c>
      <c r="K2658" s="17" t="str">
        <f t="shared" si="418"/>
        <v>Pas d'écart</v>
      </c>
      <c r="L2658" s="16">
        <f>base!X2658</f>
        <v>0</v>
      </c>
      <c r="M2658" s="11">
        <f t="shared" si="414"/>
        <v>0</v>
      </c>
      <c r="N2658" s="11">
        <f t="shared" si="415"/>
        <v>0</v>
      </c>
      <c r="O2658" s="11">
        <f t="shared" si="416"/>
        <v>0</v>
      </c>
      <c r="P2658" s="12">
        <f t="shared" si="417"/>
        <v>0</v>
      </c>
      <c r="Q2658" s="17" t="str">
        <f t="shared" si="419"/>
        <v>Pas d'écart</v>
      </c>
    </row>
    <row r="2659" spans="1:18" x14ac:dyDescent="0.3">
      <c r="A2659" s="34" t="str">
        <f>base!J2659</f>
        <v>DLM</v>
      </c>
      <c r="B2659" s="34" t="str">
        <f>base!V2659</f>
        <v>16000</v>
      </c>
      <c r="C2659" s="37">
        <v>16</v>
      </c>
      <c r="D2659" s="36">
        <f>base!H2659</f>
        <v>52.5</v>
      </c>
      <c r="E2659" s="44"/>
      <c r="F2659" s="16">
        <f>base!W2659</f>
        <v>0</v>
      </c>
      <c r="G2659" s="11">
        <f t="shared" si="410"/>
        <v>0</v>
      </c>
      <c r="H2659" s="11">
        <f t="shared" si="411"/>
        <v>11.025</v>
      </c>
      <c r="I2659" s="11">
        <f t="shared" si="412"/>
        <v>0.21000000000000002</v>
      </c>
      <c r="J2659" s="12">
        <f t="shared" si="413"/>
        <v>-11.025</v>
      </c>
      <c r="K2659" s="17" t="str">
        <f t="shared" si="418"/>
        <v>Ecart négatif</v>
      </c>
      <c r="L2659" s="16">
        <f>base!X2659</f>
        <v>0</v>
      </c>
      <c r="M2659" s="11">
        <f t="shared" si="414"/>
        <v>0</v>
      </c>
      <c r="N2659" s="11">
        <f t="shared" si="415"/>
        <v>8.9250000000000007</v>
      </c>
      <c r="O2659" s="11">
        <f t="shared" si="416"/>
        <v>0.17</v>
      </c>
      <c r="P2659" s="12">
        <f t="shared" si="417"/>
        <v>-8.9250000000000007</v>
      </c>
      <c r="Q2659" s="17" t="str">
        <f t="shared" si="419"/>
        <v>Ecart négatif</v>
      </c>
    </row>
    <row r="2660" spans="1:18" x14ac:dyDescent="0.3">
      <c r="A2660" s="34" t="str">
        <f>base!J2660</f>
        <v>DLM</v>
      </c>
      <c r="B2660" s="34" t="str">
        <f>base!V2660</f>
        <v>31300</v>
      </c>
      <c r="C2660" s="37">
        <v>31</v>
      </c>
      <c r="D2660" s="36">
        <f>base!H2660</f>
        <v>52.5</v>
      </c>
      <c r="E2660" s="44"/>
      <c r="F2660" s="16">
        <f>base!W2660</f>
        <v>0</v>
      </c>
      <c r="G2660" s="11">
        <f t="shared" si="410"/>
        <v>0</v>
      </c>
      <c r="H2660" s="11">
        <f t="shared" si="411"/>
        <v>9.9749999999999996</v>
      </c>
      <c r="I2660" s="11">
        <f t="shared" si="412"/>
        <v>0.19</v>
      </c>
      <c r="J2660" s="12">
        <f t="shared" si="413"/>
        <v>-9.9749999999999996</v>
      </c>
      <c r="K2660" s="17" t="str">
        <f t="shared" si="418"/>
        <v>Ecart négatif</v>
      </c>
      <c r="L2660" s="16">
        <f>base!X2660</f>
        <v>0</v>
      </c>
      <c r="M2660" s="11">
        <f t="shared" si="414"/>
        <v>0</v>
      </c>
      <c r="N2660" s="11">
        <f t="shared" si="415"/>
        <v>13.65</v>
      </c>
      <c r="O2660" s="11">
        <f t="shared" si="416"/>
        <v>0.26</v>
      </c>
      <c r="P2660" s="12">
        <f t="shared" si="417"/>
        <v>-13.65</v>
      </c>
      <c r="Q2660" s="17" t="str">
        <f t="shared" si="419"/>
        <v>Ecart négatif</v>
      </c>
    </row>
    <row r="2661" spans="1:18" x14ac:dyDescent="0.3">
      <c r="A2661" s="34" t="str">
        <f>base!J2661</f>
        <v>RS</v>
      </c>
      <c r="B2661" s="34" t="str">
        <f>base!V2661</f>
        <v>51000</v>
      </c>
      <c r="C2661" s="37">
        <v>51</v>
      </c>
      <c r="D2661" s="36">
        <f>base!H2661</f>
        <v>250</v>
      </c>
      <c r="E2661" s="44"/>
      <c r="F2661" s="16">
        <f>base!W2661</f>
        <v>0</v>
      </c>
      <c r="G2661" s="11">
        <f t="shared" si="410"/>
        <v>0</v>
      </c>
      <c r="H2661" s="11">
        <f t="shared" si="411"/>
        <v>62.5</v>
      </c>
      <c r="I2661" s="11">
        <f t="shared" si="412"/>
        <v>0.25</v>
      </c>
      <c r="J2661" s="12">
        <f t="shared" si="413"/>
        <v>-62.5</v>
      </c>
      <c r="K2661" s="17" t="str">
        <f t="shared" si="418"/>
        <v>Ecart négatif</v>
      </c>
      <c r="L2661" s="16">
        <f>base!X2661</f>
        <v>62.5</v>
      </c>
      <c r="M2661" s="11">
        <f t="shared" si="414"/>
        <v>0.25</v>
      </c>
      <c r="N2661" s="11">
        <f t="shared" si="415"/>
        <v>62.5</v>
      </c>
      <c r="O2661" s="11">
        <f t="shared" si="416"/>
        <v>0.25</v>
      </c>
      <c r="P2661" s="12">
        <f t="shared" si="417"/>
        <v>0</v>
      </c>
      <c r="Q2661" s="17" t="str">
        <f t="shared" si="419"/>
        <v>Pas d'écart</v>
      </c>
    </row>
    <row r="2662" spans="1:18" x14ac:dyDescent="0.3">
      <c r="A2662" s="34" t="str">
        <f>base!J2662</f>
        <v>LM</v>
      </c>
      <c r="B2662" s="34" t="str">
        <f>base!V2662</f>
        <v>92000</v>
      </c>
      <c r="C2662" s="37">
        <v>92</v>
      </c>
      <c r="D2662" s="36">
        <f>base!H2662</f>
        <v>50.84</v>
      </c>
      <c r="E2662" s="44"/>
      <c r="F2662" s="16">
        <f>base!W2662</f>
        <v>0</v>
      </c>
      <c r="G2662" s="11">
        <f t="shared" si="410"/>
        <v>0</v>
      </c>
      <c r="H2662" s="11">
        <f t="shared" si="411"/>
        <v>0</v>
      </c>
      <c r="I2662" s="11">
        <f t="shared" si="412"/>
        <v>0</v>
      </c>
      <c r="J2662" s="12">
        <f t="shared" si="413"/>
        <v>0</v>
      </c>
      <c r="K2662" s="17" t="str">
        <f t="shared" si="418"/>
        <v>Pas d'écart</v>
      </c>
      <c r="L2662" s="16">
        <f>base!X2662</f>
        <v>0</v>
      </c>
      <c r="M2662" s="11">
        <f t="shared" si="414"/>
        <v>0</v>
      </c>
      <c r="N2662" s="11">
        <f t="shared" si="415"/>
        <v>0</v>
      </c>
      <c r="O2662" s="11">
        <f t="shared" si="416"/>
        <v>0</v>
      </c>
      <c r="P2662" s="12">
        <f t="shared" si="417"/>
        <v>0</v>
      </c>
      <c r="Q2662" s="17" t="str">
        <f t="shared" si="419"/>
        <v>Pas d'écart</v>
      </c>
    </row>
    <row r="2663" spans="1:18" x14ac:dyDescent="0.3">
      <c r="A2663" s="34" t="str">
        <f>base!J2663</f>
        <v>LM</v>
      </c>
      <c r="B2663" s="34" t="str">
        <f>base!V2663</f>
        <v>57070</v>
      </c>
      <c r="C2663" s="37">
        <v>16</v>
      </c>
      <c r="D2663" s="36">
        <f>base!H2663</f>
        <v>34.590000000000003</v>
      </c>
      <c r="E2663" s="44"/>
      <c r="F2663" s="16">
        <f>base!W2663</f>
        <v>8.65</v>
      </c>
      <c r="G2663" s="11">
        <f t="shared" si="410"/>
        <v>0.25007227522405318</v>
      </c>
      <c r="H2663" s="11">
        <f t="shared" si="411"/>
        <v>7.2639000000000005</v>
      </c>
      <c r="I2663" s="11">
        <f t="shared" si="412"/>
        <v>0.21</v>
      </c>
      <c r="J2663" s="12">
        <f t="shared" si="413"/>
        <v>1.3860999999999999</v>
      </c>
      <c r="K2663" s="17" t="str">
        <f t="shared" si="418"/>
        <v>Ecart positif</v>
      </c>
      <c r="L2663" s="16">
        <f>base!X2663</f>
        <v>0</v>
      </c>
      <c r="M2663" s="11">
        <f t="shared" si="414"/>
        <v>0</v>
      </c>
      <c r="N2663" s="11">
        <f t="shared" si="415"/>
        <v>5.880300000000001</v>
      </c>
      <c r="O2663" s="11">
        <f t="shared" si="416"/>
        <v>0.17</v>
      </c>
      <c r="P2663" s="12">
        <f t="shared" si="417"/>
        <v>-5.880300000000001</v>
      </c>
      <c r="Q2663" s="17" t="str">
        <f t="shared" si="419"/>
        <v>Ecart négatif</v>
      </c>
    </row>
    <row r="2664" spans="1:18" x14ac:dyDescent="0.3">
      <c r="A2664" s="34" t="str">
        <f>base!J2664</f>
        <v>RM</v>
      </c>
      <c r="B2664" s="34" t="str">
        <f>base!V2664</f>
        <v>93290</v>
      </c>
      <c r="C2664" s="37">
        <v>93</v>
      </c>
      <c r="D2664" s="36">
        <f>base!H2664</f>
        <v>32</v>
      </c>
      <c r="E2664" s="44"/>
      <c r="F2664" s="16">
        <f>base!W2664</f>
        <v>0</v>
      </c>
      <c r="G2664" s="11">
        <f t="shared" si="410"/>
        <v>0</v>
      </c>
      <c r="H2664" s="11">
        <f t="shared" si="411"/>
        <v>0</v>
      </c>
      <c r="I2664" s="11">
        <f t="shared" si="412"/>
        <v>0</v>
      </c>
      <c r="J2664" s="12">
        <f t="shared" si="413"/>
        <v>0</v>
      </c>
      <c r="K2664" s="17" t="str">
        <f t="shared" si="418"/>
        <v>Pas d'écart</v>
      </c>
      <c r="L2664" s="16">
        <f>base!X2664</f>
        <v>0</v>
      </c>
      <c r="M2664" s="11">
        <f t="shared" si="414"/>
        <v>0</v>
      </c>
      <c r="N2664" s="11">
        <f t="shared" si="415"/>
        <v>0</v>
      </c>
      <c r="O2664" s="11">
        <f t="shared" si="416"/>
        <v>0</v>
      </c>
      <c r="P2664" s="12">
        <f t="shared" si="417"/>
        <v>0</v>
      </c>
      <c r="Q2664" s="17" t="str">
        <f t="shared" si="419"/>
        <v>Pas d'écart</v>
      </c>
    </row>
    <row r="2665" spans="1:18" x14ac:dyDescent="0.3">
      <c r="A2665" s="34" t="str">
        <f>base!J2665</f>
        <v>RM</v>
      </c>
      <c r="B2665" s="34" t="str">
        <f>base!V2665</f>
        <v>93290</v>
      </c>
      <c r="C2665" s="37">
        <v>93</v>
      </c>
      <c r="D2665" s="36">
        <f>base!H2665</f>
        <v>32</v>
      </c>
      <c r="E2665" s="44"/>
      <c r="F2665" s="16">
        <f>base!W2665</f>
        <v>0</v>
      </c>
      <c r="G2665" s="11">
        <f t="shared" si="410"/>
        <v>0</v>
      </c>
      <c r="H2665" s="11">
        <f t="shared" si="411"/>
        <v>0</v>
      </c>
      <c r="I2665" s="11">
        <f t="shared" si="412"/>
        <v>0</v>
      </c>
      <c r="J2665" s="12">
        <f t="shared" si="413"/>
        <v>0</v>
      </c>
      <c r="K2665" s="17" t="str">
        <f t="shared" si="418"/>
        <v>Pas d'écart</v>
      </c>
      <c r="L2665" s="16">
        <f>base!X2665</f>
        <v>0</v>
      </c>
      <c r="M2665" s="11">
        <f t="shared" si="414"/>
        <v>0</v>
      </c>
      <c r="N2665" s="11">
        <f t="shared" si="415"/>
        <v>0</v>
      </c>
      <c r="O2665" s="11">
        <f t="shared" si="416"/>
        <v>0</v>
      </c>
      <c r="P2665" s="12">
        <f t="shared" si="417"/>
        <v>0</v>
      </c>
      <c r="Q2665" s="17" t="str">
        <f t="shared" si="419"/>
        <v>Pas d'écart</v>
      </c>
    </row>
    <row r="2666" spans="1:18" x14ac:dyDescent="0.3">
      <c r="A2666" s="34" t="str">
        <f>base!J2666</f>
        <v>LM</v>
      </c>
      <c r="B2666" s="34" t="str">
        <f>base!V2666</f>
        <v>93013</v>
      </c>
      <c r="C2666" s="37">
        <v>93</v>
      </c>
      <c r="D2666" s="36">
        <f>base!H2666</f>
        <v>55.16</v>
      </c>
      <c r="E2666" s="44"/>
      <c r="F2666" s="16">
        <f>base!W2666</f>
        <v>0</v>
      </c>
      <c r="G2666" s="11">
        <f t="shared" si="410"/>
        <v>0</v>
      </c>
      <c r="H2666" s="11">
        <f t="shared" si="411"/>
        <v>0</v>
      </c>
      <c r="I2666" s="11">
        <f t="shared" si="412"/>
        <v>0</v>
      </c>
      <c r="J2666" s="12">
        <f t="shared" si="413"/>
        <v>0</v>
      </c>
      <c r="K2666" s="17" t="str">
        <f t="shared" si="418"/>
        <v>Pas d'écart</v>
      </c>
      <c r="L2666" s="16">
        <f>base!X2666</f>
        <v>0</v>
      </c>
      <c r="M2666" s="11">
        <f t="shared" si="414"/>
        <v>0</v>
      </c>
      <c r="N2666" s="11">
        <f t="shared" si="415"/>
        <v>0</v>
      </c>
      <c r="O2666" s="11">
        <f t="shared" si="416"/>
        <v>0</v>
      </c>
      <c r="P2666" s="12">
        <f t="shared" si="417"/>
        <v>0</v>
      </c>
      <c r="Q2666" s="17" t="str">
        <f t="shared" si="419"/>
        <v>Pas d'écart</v>
      </c>
    </row>
    <row r="2667" spans="1:18" x14ac:dyDescent="0.3">
      <c r="A2667" s="34" t="str">
        <f>base!J2667</f>
        <v>DLM</v>
      </c>
      <c r="B2667" s="34" t="str">
        <f>base!V2667</f>
        <v>38300</v>
      </c>
      <c r="C2667" s="37">
        <v>38</v>
      </c>
      <c r="D2667" s="36">
        <f>base!H2667</f>
        <v>23.4</v>
      </c>
      <c r="E2667" s="44"/>
      <c r="F2667" s="16">
        <f>base!W2667</f>
        <v>0</v>
      </c>
      <c r="G2667" s="11">
        <f t="shared" si="410"/>
        <v>0</v>
      </c>
      <c r="H2667" s="11">
        <f t="shared" si="411"/>
        <v>6.3179999999999996</v>
      </c>
      <c r="I2667" s="11">
        <f t="shared" si="412"/>
        <v>0.27</v>
      </c>
      <c r="J2667" s="12">
        <f t="shared" si="413"/>
        <v>-6.3179999999999996</v>
      </c>
      <c r="K2667" s="17" t="str">
        <f t="shared" si="418"/>
        <v>Ecart négatif</v>
      </c>
      <c r="L2667" s="16">
        <f>base!X2667</f>
        <v>0</v>
      </c>
      <c r="M2667" s="11">
        <f t="shared" si="414"/>
        <v>0</v>
      </c>
      <c r="N2667" s="11">
        <f t="shared" si="415"/>
        <v>0</v>
      </c>
      <c r="O2667" s="11">
        <f t="shared" si="416"/>
        <v>0</v>
      </c>
      <c r="P2667" s="12">
        <f t="shared" si="417"/>
        <v>0</v>
      </c>
      <c r="Q2667" s="17" t="str">
        <f t="shared" si="419"/>
        <v>Pas d'écart</v>
      </c>
    </row>
    <row r="2668" spans="1:18" x14ac:dyDescent="0.3">
      <c r="A2668" s="34" t="str">
        <f>base!J2668</f>
        <v>DLM</v>
      </c>
      <c r="B2668" s="34" t="str">
        <f>base!V2668</f>
        <v>38300</v>
      </c>
      <c r="C2668" s="37">
        <v>38</v>
      </c>
      <c r="D2668" s="36">
        <f>base!H2668</f>
        <v>23.4</v>
      </c>
      <c r="E2668" s="44"/>
      <c r="F2668" s="16">
        <f>base!W2668</f>
        <v>0</v>
      </c>
      <c r="G2668" s="11">
        <f t="shared" si="410"/>
        <v>0</v>
      </c>
      <c r="H2668" s="11">
        <f t="shared" si="411"/>
        <v>6.3179999999999996</v>
      </c>
      <c r="I2668" s="11">
        <f t="shared" si="412"/>
        <v>0.27</v>
      </c>
      <c r="J2668" s="12">
        <f t="shared" si="413"/>
        <v>-6.3179999999999996</v>
      </c>
      <c r="K2668" s="17" t="str">
        <f t="shared" si="418"/>
        <v>Ecart négatif</v>
      </c>
      <c r="L2668" s="16">
        <f>base!X2668</f>
        <v>0</v>
      </c>
      <c r="M2668" s="11">
        <f t="shared" si="414"/>
        <v>0</v>
      </c>
      <c r="N2668" s="11">
        <f t="shared" si="415"/>
        <v>0</v>
      </c>
      <c r="O2668" s="11">
        <f t="shared" si="416"/>
        <v>0</v>
      </c>
      <c r="P2668" s="12">
        <f t="shared" si="417"/>
        <v>0</v>
      </c>
      <c r="Q2668" s="17" t="str">
        <f t="shared" si="419"/>
        <v>Pas d'écart</v>
      </c>
    </row>
    <row r="2669" spans="1:18" x14ac:dyDescent="0.3">
      <c r="A2669" s="34" t="str">
        <f>base!J2669</f>
        <v>LS</v>
      </c>
      <c r="B2669" s="34" t="str">
        <f>base!V2669</f>
        <v>53100</v>
      </c>
      <c r="C2669" s="37">
        <v>72</v>
      </c>
      <c r="D2669" s="36">
        <f>base!H2669</f>
        <v>130.25</v>
      </c>
      <c r="E2669" s="44"/>
      <c r="F2669" s="16">
        <f>base!W2669</f>
        <v>35.17</v>
      </c>
      <c r="G2669" s="11">
        <f t="shared" si="410"/>
        <v>0.27001919385796547</v>
      </c>
      <c r="H2669" s="11">
        <f t="shared" si="411"/>
        <v>27.352499999999999</v>
      </c>
      <c r="I2669" s="11">
        <f t="shared" si="412"/>
        <v>0.21</v>
      </c>
      <c r="J2669" s="12">
        <f t="shared" si="413"/>
        <v>7.8175000000000026</v>
      </c>
      <c r="K2669" s="17" t="str">
        <f t="shared" si="418"/>
        <v>Ecart positif</v>
      </c>
      <c r="L2669" s="16">
        <f>base!X2669</f>
        <v>0</v>
      </c>
      <c r="M2669" s="11">
        <f t="shared" si="414"/>
        <v>0</v>
      </c>
      <c r="N2669" s="11">
        <f t="shared" si="415"/>
        <v>15.629999999999999</v>
      </c>
      <c r="O2669" s="11">
        <f t="shared" si="416"/>
        <v>0.12</v>
      </c>
      <c r="P2669" s="12">
        <f t="shared" si="417"/>
        <v>-15.629999999999999</v>
      </c>
      <c r="Q2669" s="17" t="str">
        <f t="shared" si="419"/>
        <v>Ecart négatif</v>
      </c>
    </row>
    <row r="2670" spans="1:18" x14ac:dyDescent="0.3">
      <c r="A2670" s="34" t="str">
        <f>base!J2670</f>
        <v>RS</v>
      </c>
      <c r="B2670" s="34" t="str">
        <f>base!V2670</f>
        <v>27000</v>
      </c>
      <c r="C2670" s="37">
        <v>27</v>
      </c>
      <c r="D2670" s="36">
        <f>base!H2670</f>
        <v>26.6</v>
      </c>
      <c r="E2670" s="44"/>
      <c r="F2670" s="16">
        <f>base!W2670</f>
        <v>0</v>
      </c>
      <c r="G2670" s="11">
        <f t="shared" si="410"/>
        <v>0</v>
      </c>
      <c r="H2670" s="11">
        <f t="shared" si="411"/>
        <v>4.5220000000000002</v>
      </c>
      <c r="I2670" s="11">
        <f t="shared" si="412"/>
        <v>0.17</v>
      </c>
      <c r="J2670" s="12">
        <f t="shared" si="413"/>
        <v>-4.5220000000000002</v>
      </c>
      <c r="K2670" s="17" t="str">
        <f t="shared" si="418"/>
        <v>Ecart négatif</v>
      </c>
      <c r="L2670" s="16">
        <f>base!X2670</f>
        <v>0</v>
      </c>
      <c r="M2670" s="11">
        <f t="shared" si="414"/>
        <v>0</v>
      </c>
      <c r="N2670" s="11">
        <f t="shared" si="415"/>
        <v>4.5220000000000002</v>
      </c>
      <c r="O2670" s="11">
        <f t="shared" si="416"/>
        <v>0.17</v>
      </c>
      <c r="P2670" s="12">
        <f t="shared" si="417"/>
        <v>-4.5220000000000002</v>
      </c>
      <c r="Q2670" s="17" t="str">
        <f t="shared" si="419"/>
        <v>Ecart négatif</v>
      </c>
    </row>
    <row r="2671" spans="1:18" x14ac:dyDescent="0.3">
      <c r="A2671" s="34">
        <f>base!J2671</f>
        <v>0</v>
      </c>
      <c r="B2671" s="34" t="str">
        <f>base!V2671</f>
        <v>77184</v>
      </c>
      <c r="C2671" s="37">
        <v>77</v>
      </c>
      <c r="D2671" s="36">
        <f>base!H2671</f>
        <v>20</v>
      </c>
      <c r="E2671" s="44"/>
      <c r="F2671" s="16">
        <f>base!W2671</f>
        <v>0</v>
      </c>
      <c r="G2671" s="11">
        <f t="shared" si="410"/>
        <v>0</v>
      </c>
      <c r="H2671" s="11">
        <f t="shared" si="411"/>
        <v>0</v>
      </c>
      <c r="I2671" s="11">
        <f t="shared" si="412"/>
        <v>0</v>
      </c>
      <c r="J2671" s="12">
        <f t="shared" si="413"/>
        <v>0</v>
      </c>
      <c r="K2671" s="17" t="str">
        <f t="shared" si="418"/>
        <v>Pas d'écart</v>
      </c>
      <c r="L2671" s="16">
        <f>base!X2671</f>
        <v>0</v>
      </c>
      <c r="M2671" s="11">
        <f t="shared" si="414"/>
        <v>0</v>
      </c>
      <c r="N2671" s="11">
        <f t="shared" si="415"/>
        <v>0</v>
      </c>
      <c r="O2671" s="11">
        <f t="shared" si="416"/>
        <v>0</v>
      </c>
      <c r="P2671" s="12">
        <f t="shared" si="417"/>
        <v>0</v>
      </c>
      <c r="Q2671" s="17" t="str">
        <f t="shared" si="419"/>
        <v>Pas d'écart</v>
      </c>
    </row>
    <row r="2672" spans="1:18" x14ac:dyDescent="0.3">
      <c r="A2672" s="34" t="str">
        <f>base!J2672</f>
        <v>DLS</v>
      </c>
      <c r="B2672" s="34" t="str">
        <f>base!V2672</f>
        <v>66000</v>
      </c>
      <c r="C2672" s="37">
        <v>66</v>
      </c>
      <c r="D2672" s="36">
        <f>base!H2672</f>
        <v>92</v>
      </c>
      <c r="E2672" s="44"/>
      <c r="F2672" s="16">
        <f>base!W2672</f>
        <v>35.880000000000003</v>
      </c>
      <c r="G2672" s="11">
        <f t="shared" si="410"/>
        <v>0.39</v>
      </c>
      <c r="H2672" s="11">
        <f t="shared" si="411"/>
        <v>31.28</v>
      </c>
      <c r="I2672" s="11">
        <f t="shared" si="412"/>
        <v>0.34</v>
      </c>
      <c r="J2672" s="12">
        <f t="shared" si="413"/>
        <v>4.6000000000000014</v>
      </c>
      <c r="K2672" s="17" t="str">
        <f t="shared" si="418"/>
        <v>Ecart positif</v>
      </c>
      <c r="L2672" s="16">
        <f>base!X2672</f>
        <v>0</v>
      </c>
      <c r="M2672" s="11">
        <f t="shared" si="414"/>
        <v>0</v>
      </c>
      <c r="N2672" s="11">
        <f t="shared" si="415"/>
        <v>25.76</v>
      </c>
      <c r="O2672" s="11">
        <f t="shared" si="416"/>
        <v>0.28000000000000003</v>
      </c>
      <c r="P2672" s="12">
        <f t="shared" si="417"/>
        <v>-25.76</v>
      </c>
      <c r="Q2672" s="17" t="str">
        <f t="shared" si="419"/>
        <v>Ecart négatif</v>
      </c>
    </row>
    <row r="2673" spans="1:18" x14ac:dyDescent="0.3">
      <c r="A2673" s="34" t="str">
        <f>base!J2673</f>
        <v>RS</v>
      </c>
      <c r="B2673" s="34" t="str">
        <f>base!V2673</f>
        <v>57400</v>
      </c>
      <c r="C2673" s="37">
        <v>57</v>
      </c>
      <c r="D2673" s="36">
        <f>base!H2673</f>
        <v>151</v>
      </c>
      <c r="E2673" s="44"/>
      <c r="F2673" s="16">
        <f>base!W2673</f>
        <v>0</v>
      </c>
      <c r="G2673" s="11">
        <f t="shared" si="410"/>
        <v>0</v>
      </c>
      <c r="H2673" s="11">
        <f t="shared" si="411"/>
        <v>36.24</v>
      </c>
      <c r="I2673" s="11">
        <f t="shared" si="412"/>
        <v>0.24000000000000002</v>
      </c>
      <c r="J2673" s="12">
        <f t="shared" si="413"/>
        <v>-36.24</v>
      </c>
      <c r="K2673" s="17" t="str">
        <f t="shared" si="418"/>
        <v>Ecart négatif</v>
      </c>
      <c r="L2673" s="16">
        <f>base!X2673</f>
        <v>0</v>
      </c>
      <c r="M2673" s="11">
        <f t="shared" si="414"/>
        <v>0</v>
      </c>
      <c r="N2673" s="11">
        <f t="shared" si="415"/>
        <v>37.75</v>
      </c>
      <c r="O2673" s="11">
        <f t="shared" si="416"/>
        <v>0.25</v>
      </c>
      <c r="P2673" s="12">
        <f t="shared" si="417"/>
        <v>-37.75</v>
      </c>
      <c r="Q2673" s="17" t="str">
        <f t="shared" si="419"/>
        <v>Ecart négatif</v>
      </c>
    </row>
    <row r="2674" spans="1:18" x14ac:dyDescent="0.3">
      <c r="A2674" s="34" t="str">
        <f>base!J2674</f>
        <v>LM</v>
      </c>
      <c r="B2674" s="34" t="str">
        <f>base!V2674</f>
        <v>67200</v>
      </c>
      <c r="C2674" s="37">
        <v>88</v>
      </c>
      <c r="D2674" s="36">
        <f>base!H2674</f>
        <v>36.82</v>
      </c>
      <c r="E2674" s="44"/>
      <c r="F2674" s="16">
        <f>base!W2674</f>
        <v>10.68</v>
      </c>
      <c r="G2674" s="11">
        <f t="shared" si="410"/>
        <v>0.29005975013579577</v>
      </c>
      <c r="H2674" s="11">
        <f t="shared" si="411"/>
        <v>10.309600000000001</v>
      </c>
      <c r="I2674" s="11">
        <f t="shared" si="412"/>
        <v>0.28000000000000003</v>
      </c>
      <c r="J2674" s="12">
        <f t="shared" si="413"/>
        <v>0.37039999999999829</v>
      </c>
      <c r="K2674" s="17" t="str">
        <f t="shared" si="418"/>
        <v>Ecart positif</v>
      </c>
      <c r="L2674" s="16">
        <f>base!X2674</f>
        <v>0</v>
      </c>
      <c r="M2674" s="11">
        <f t="shared" si="414"/>
        <v>0</v>
      </c>
      <c r="N2674" s="11">
        <f t="shared" si="415"/>
        <v>2.9456000000000002</v>
      </c>
      <c r="O2674" s="11">
        <f t="shared" si="416"/>
        <v>0.08</v>
      </c>
      <c r="P2674" s="12">
        <f t="shared" si="417"/>
        <v>-2.9456000000000002</v>
      </c>
      <c r="Q2674" s="17" t="str">
        <f t="shared" si="419"/>
        <v>Ecart négatif</v>
      </c>
    </row>
    <row r="2675" spans="1:18" x14ac:dyDescent="0.3">
      <c r="A2675" s="34" t="str">
        <f>base!J2675</f>
        <v>RM</v>
      </c>
      <c r="B2675" s="34" t="str">
        <f>base!V2675</f>
        <v>28000</v>
      </c>
      <c r="C2675" s="37">
        <v>28</v>
      </c>
      <c r="D2675" s="36">
        <f>base!H2675</f>
        <v>54.2</v>
      </c>
      <c r="E2675" s="44"/>
      <c r="F2675" s="16">
        <f>base!W2675</f>
        <v>0</v>
      </c>
      <c r="G2675" s="11">
        <f t="shared" si="410"/>
        <v>0</v>
      </c>
      <c r="H2675" s="11">
        <f t="shared" si="411"/>
        <v>10.840000000000002</v>
      </c>
      <c r="I2675" s="11">
        <f t="shared" si="412"/>
        <v>0.2</v>
      </c>
      <c r="J2675" s="12">
        <f t="shared" si="413"/>
        <v>-10.840000000000002</v>
      </c>
      <c r="K2675" s="17" t="str">
        <f t="shared" si="418"/>
        <v>Ecart négatif</v>
      </c>
      <c r="L2675" s="16">
        <f>base!X2675</f>
        <v>0</v>
      </c>
      <c r="M2675" s="11">
        <f t="shared" si="414"/>
        <v>0</v>
      </c>
      <c r="N2675" s="11">
        <f t="shared" si="415"/>
        <v>6.5040000000000004</v>
      </c>
      <c r="O2675" s="11">
        <f t="shared" si="416"/>
        <v>0.12</v>
      </c>
      <c r="P2675" s="12">
        <f t="shared" si="417"/>
        <v>-6.5040000000000004</v>
      </c>
      <c r="Q2675" s="17" t="str">
        <f t="shared" si="419"/>
        <v>Ecart négatif</v>
      </c>
    </row>
    <row r="2676" spans="1:18" x14ac:dyDescent="0.3">
      <c r="A2676" s="34" t="str">
        <f>base!J2676</f>
        <v>LM</v>
      </c>
      <c r="B2676" s="34" t="str">
        <f>base!V2676</f>
        <v>13790</v>
      </c>
      <c r="C2676" s="37">
        <v>95</v>
      </c>
      <c r="D2676" s="36">
        <f>base!H2676</f>
        <v>73</v>
      </c>
      <c r="E2676" s="44"/>
      <c r="F2676" s="16">
        <f>base!W2676</f>
        <v>37.229999999999997</v>
      </c>
      <c r="G2676" s="11">
        <f t="shared" si="410"/>
        <v>0.51</v>
      </c>
      <c r="H2676" s="11">
        <f t="shared" si="411"/>
        <v>0</v>
      </c>
      <c r="I2676" s="11">
        <f t="shared" si="412"/>
        <v>0</v>
      </c>
      <c r="J2676" s="12">
        <f t="shared" si="413"/>
        <v>37.229999999999997</v>
      </c>
      <c r="K2676" s="17" t="str">
        <f t="shared" si="418"/>
        <v>Ecart positif</v>
      </c>
      <c r="L2676" s="16">
        <f>base!X2676</f>
        <v>0</v>
      </c>
      <c r="M2676" s="11">
        <f t="shared" si="414"/>
        <v>0</v>
      </c>
      <c r="N2676" s="11">
        <f t="shared" si="415"/>
        <v>0</v>
      </c>
      <c r="O2676" s="11">
        <f t="shared" si="416"/>
        <v>0</v>
      </c>
      <c r="P2676" s="12">
        <f t="shared" si="417"/>
        <v>0</v>
      </c>
      <c r="Q2676" s="17" t="str">
        <f t="shared" si="419"/>
        <v>Pas d'écart</v>
      </c>
    </row>
    <row r="2677" spans="1:18" x14ac:dyDescent="0.3">
      <c r="A2677" s="34" t="str">
        <f>base!J2677</f>
        <v>LM</v>
      </c>
      <c r="B2677" s="34" t="str">
        <f>base!V2677</f>
        <v>13790</v>
      </c>
      <c r="C2677" s="37">
        <v>87</v>
      </c>
      <c r="D2677" s="36">
        <f>base!H2677</f>
        <v>73</v>
      </c>
      <c r="E2677" s="44"/>
      <c r="F2677" s="16">
        <f>base!W2677</f>
        <v>37.229999999999997</v>
      </c>
      <c r="G2677" s="11">
        <f t="shared" si="410"/>
        <v>0.51</v>
      </c>
      <c r="H2677" s="11">
        <f t="shared" si="411"/>
        <v>20.440000000000001</v>
      </c>
      <c r="I2677" s="11">
        <f t="shared" si="412"/>
        <v>0.28000000000000003</v>
      </c>
      <c r="J2677" s="12">
        <f t="shared" si="413"/>
        <v>16.789999999999996</v>
      </c>
      <c r="K2677" s="17" t="str">
        <f t="shared" si="418"/>
        <v>Ecart positif</v>
      </c>
      <c r="L2677" s="16">
        <f>base!X2677</f>
        <v>0</v>
      </c>
      <c r="M2677" s="11">
        <f t="shared" si="414"/>
        <v>0</v>
      </c>
      <c r="N2677" s="11">
        <f t="shared" si="415"/>
        <v>8.76</v>
      </c>
      <c r="O2677" s="11">
        <f t="shared" si="416"/>
        <v>0.12</v>
      </c>
      <c r="P2677" s="12">
        <f t="shared" si="417"/>
        <v>-8.76</v>
      </c>
      <c r="Q2677" s="17" t="str">
        <f t="shared" si="419"/>
        <v>Ecart négatif</v>
      </c>
    </row>
    <row r="2678" spans="1:18" x14ac:dyDescent="0.3">
      <c r="A2678" s="34" t="str">
        <f>base!J2678</f>
        <v>LM</v>
      </c>
      <c r="B2678" s="34" t="str">
        <f>base!V2678</f>
        <v>13790</v>
      </c>
      <c r="C2678" s="37">
        <v>87</v>
      </c>
      <c r="D2678" s="36">
        <f>base!H2678</f>
        <v>73</v>
      </c>
      <c r="E2678" s="44"/>
      <c r="F2678" s="16">
        <f>base!W2678</f>
        <v>37.229999999999997</v>
      </c>
      <c r="G2678" s="11">
        <f t="shared" si="410"/>
        <v>0.51</v>
      </c>
      <c r="H2678" s="11">
        <f t="shared" si="411"/>
        <v>20.440000000000001</v>
      </c>
      <c r="I2678" s="11">
        <f t="shared" si="412"/>
        <v>0.28000000000000003</v>
      </c>
      <c r="J2678" s="12">
        <f t="shared" si="413"/>
        <v>16.789999999999996</v>
      </c>
      <c r="K2678" s="17" t="str">
        <f t="shared" si="418"/>
        <v>Ecart positif</v>
      </c>
      <c r="L2678" s="16">
        <f>base!X2678</f>
        <v>0</v>
      </c>
      <c r="M2678" s="11">
        <f t="shared" si="414"/>
        <v>0</v>
      </c>
      <c r="N2678" s="11">
        <f t="shared" si="415"/>
        <v>8.76</v>
      </c>
      <c r="O2678" s="11">
        <f t="shared" si="416"/>
        <v>0.12</v>
      </c>
      <c r="P2678" s="12">
        <f t="shared" si="417"/>
        <v>-8.76</v>
      </c>
      <c r="Q2678" s="17" t="str">
        <f t="shared" si="419"/>
        <v>Ecart négatif</v>
      </c>
    </row>
    <row r="2679" spans="1:18" x14ac:dyDescent="0.3">
      <c r="A2679" s="34" t="str">
        <f>base!J2679</f>
        <v>RM</v>
      </c>
      <c r="B2679" s="34" t="str">
        <f>base!V2679</f>
        <v>76600</v>
      </c>
      <c r="C2679" s="37">
        <v>76</v>
      </c>
      <c r="D2679" s="36">
        <f>base!H2679</f>
        <v>151</v>
      </c>
      <c r="E2679" s="44"/>
      <c r="F2679" s="16">
        <f>base!W2679</f>
        <v>0</v>
      </c>
      <c r="G2679" s="11">
        <f t="shared" si="410"/>
        <v>0</v>
      </c>
      <c r="H2679" s="11">
        <f t="shared" si="411"/>
        <v>25.67</v>
      </c>
      <c r="I2679" s="11">
        <f t="shared" si="412"/>
        <v>0.17</v>
      </c>
      <c r="J2679" s="12">
        <f t="shared" si="413"/>
        <v>-25.67</v>
      </c>
      <c r="K2679" s="17" t="str">
        <f t="shared" si="418"/>
        <v>Ecart négatif</v>
      </c>
      <c r="L2679" s="16">
        <f>base!X2679</f>
        <v>25.67</v>
      </c>
      <c r="M2679" s="11">
        <f t="shared" si="414"/>
        <v>0.17</v>
      </c>
      <c r="N2679" s="11">
        <f t="shared" si="415"/>
        <v>25.67</v>
      </c>
      <c r="O2679" s="11">
        <f t="shared" si="416"/>
        <v>0.17</v>
      </c>
      <c r="P2679" s="12">
        <f t="shared" si="417"/>
        <v>0</v>
      </c>
      <c r="Q2679" s="17" t="str">
        <f t="shared" si="419"/>
        <v>Pas d'écart</v>
      </c>
      <c r="R2679" s="38"/>
    </row>
    <row r="2680" spans="1:18" x14ac:dyDescent="0.3">
      <c r="A2680" s="34" t="str">
        <f>base!J2680</f>
        <v>RS</v>
      </c>
      <c r="B2680" s="34" t="str">
        <f>base!V2680</f>
        <v>16340</v>
      </c>
      <c r="C2680" s="37">
        <v>16</v>
      </c>
      <c r="D2680" s="36">
        <f>base!H2680</f>
        <v>80</v>
      </c>
      <c r="E2680" s="44"/>
      <c r="F2680" s="16">
        <f>base!W2680</f>
        <v>0</v>
      </c>
      <c r="G2680" s="11">
        <f t="shared" si="410"/>
        <v>0</v>
      </c>
      <c r="H2680" s="11">
        <f t="shared" si="411"/>
        <v>16.8</v>
      </c>
      <c r="I2680" s="11">
        <f t="shared" si="412"/>
        <v>0.21000000000000002</v>
      </c>
      <c r="J2680" s="12">
        <f t="shared" si="413"/>
        <v>-16.8</v>
      </c>
      <c r="K2680" s="17" t="str">
        <f t="shared" si="418"/>
        <v>Ecart négatif</v>
      </c>
      <c r="L2680" s="16">
        <f>base!X2680</f>
        <v>16.8</v>
      </c>
      <c r="M2680" s="11">
        <f t="shared" si="414"/>
        <v>0.21000000000000002</v>
      </c>
      <c r="N2680" s="11">
        <f t="shared" si="415"/>
        <v>13.600000000000001</v>
      </c>
      <c r="O2680" s="11">
        <f t="shared" si="416"/>
        <v>0.17</v>
      </c>
      <c r="P2680" s="12">
        <f t="shared" si="417"/>
        <v>3.1999999999999993</v>
      </c>
      <c r="Q2680" s="17" t="str">
        <f t="shared" si="419"/>
        <v>Ecart positif</v>
      </c>
    </row>
    <row r="2681" spans="1:18" x14ac:dyDescent="0.3">
      <c r="A2681" s="34" t="str">
        <f>base!J2681</f>
        <v>RM</v>
      </c>
      <c r="B2681" s="34" t="str">
        <f>base!V2681</f>
        <v>92400</v>
      </c>
      <c r="C2681" s="37">
        <v>92</v>
      </c>
      <c r="D2681" s="36">
        <f>base!H2681</f>
        <v>29.59</v>
      </c>
      <c r="E2681" s="44"/>
      <c r="F2681" s="16">
        <f>base!W2681</f>
        <v>0</v>
      </c>
      <c r="G2681" s="11">
        <f t="shared" si="410"/>
        <v>0</v>
      </c>
      <c r="H2681" s="11">
        <f t="shared" si="411"/>
        <v>0</v>
      </c>
      <c r="I2681" s="11">
        <f t="shared" si="412"/>
        <v>0</v>
      </c>
      <c r="J2681" s="12">
        <f t="shared" si="413"/>
        <v>0</v>
      </c>
      <c r="K2681" s="17" t="str">
        <f t="shared" si="418"/>
        <v>Pas d'écart</v>
      </c>
      <c r="L2681" s="16">
        <f>base!X2681</f>
        <v>0</v>
      </c>
      <c r="M2681" s="11">
        <f t="shared" si="414"/>
        <v>0</v>
      </c>
      <c r="N2681" s="11">
        <f t="shared" si="415"/>
        <v>0</v>
      </c>
      <c r="O2681" s="11">
        <f t="shared" si="416"/>
        <v>0</v>
      </c>
      <c r="P2681" s="12">
        <f t="shared" si="417"/>
        <v>0</v>
      </c>
      <c r="Q2681" s="17" t="str">
        <f t="shared" si="419"/>
        <v>Pas d'écart</v>
      </c>
    </row>
    <row r="2682" spans="1:18" x14ac:dyDescent="0.3">
      <c r="A2682" s="34" t="str">
        <f>base!J2682</f>
        <v>RM</v>
      </c>
      <c r="B2682" s="34" t="str">
        <f>base!V2682</f>
        <v>92400</v>
      </c>
      <c r="C2682" s="37">
        <v>92</v>
      </c>
      <c r="D2682" s="36">
        <f>base!H2682</f>
        <v>29.59</v>
      </c>
      <c r="E2682" s="44"/>
      <c r="F2682" s="16">
        <f>base!W2682</f>
        <v>0</v>
      </c>
      <c r="G2682" s="11">
        <f t="shared" si="410"/>
        <v>0</v>
      </c>
      <c r="H2682" s="11">
        <f t="shared" si="411"/>
        <v>0</v>
      </c>
      <c r="I2682" s="11">
        <f t="shared" si="412"/>
        <v>0</v>
      </c>
      <c r="J2682" s="12">
        <f t="shared" si="413"/>
        <v>0</v>
      </c>
      <c r="K2682" s="17" t="str">
        <f t="shared" si="418"/>
        <v>Pas d'écart</v>
      </c>
      <c r="L2682" s="16">
        <f>base!X2682</f>
        <v>0</v>
      </c>
      <c r="M2682" s="11">
        <f t="shared" si="414"/>
        <v>0</v>
      </c>
      <c r="N2682" s="11">
        <f t="shared" si="415"/>
        <v>0</v>
      </c>
      <c r="O2682" s="11">
        <f t="shared" si="416"/>
        <v>0</v>
      </c>
      <c r="P2682" s="12">
        <f t="shared" si="417"/>
        <v>0</v>
      </c>
      <c r="Q2682" s="17" t="str">
        <f t="shared" si="419"/>
        <v>Pas d'écart</v>
      </c>
    </row>
    <row r="2683" spans="1:18" x14ac:dyDescent="0.3">
      <c r="A2683" s="34" t="str">
        <f>base!J2683</f>
        <v>RS</v>
      </c>
      <c r="B2683" s="34" t="str">
        <f>base!V2683</f>
        <v>62320</v>
      </c>
      <c r="C2683" s="37">
        <v>62</v>
      </c>
      <c r="D2683" s="36">
        <f>base!H2683</f>
        <v>180</v>
      </c>
      <c r="E2683" s="44"/>
      <c r="F2683" s="16">
        <f>base!W2683</f>
        <v>0</v>
      </c>
      <c r="G2683" s="11">
        <f t="shared" si="410"/>
        <v>0</v>
      </c>
      <c r="H2683" s="11">
        <f t="shared" si="411"/>
        <v>34.200000000000003</v>
      </c>
      <c r="I2683" s="11">
        <f t="shared" si="412"/>
        <v>0.19</v>
      </c>
      <c r="J2683" s="12">
        <f t="shared" si="413"/>
        <v>-34.200000000000003</v>
      </c>
      <c r="K2683" s="17" t="str">
        <f t="shared" si="418"/>
        <v>Ecart négatif</v>
      </c>
      <c r="L2683" s="16">
        <f>base!X2683</f>
        <v>0</v>
      </c>
      <c r="M2683" s="11">
        <f t="shared" si="414"/>
        <v>0</v>
      </c>
      <c r="N2683" s="11">
        <f t="shared" si="415"/>
        <v>0</v>
      </c>
      <c r="O2683" s="11">
        <f t="shared" si="416"/>
        <v>0</v>
      </c>
      <c r="P2683" s="12">
        <f t="shared" si="417"/>
        <v>0</v>
      </c>
      <c r="Q2683" s="17" t="str">
        <f t="shared" si="419"/>
        <v>Pas d'écart</v>
      </c>
    </row>
    <row r="2684" spans="1:18" x14ac:dyDescent="0.3">
      <c r="A2684" s="34" t="str">
        <f>base!J2684</f>
        <v>RM</v>
      </c>
      <c r="B2684" s="34" t="str">
        <f>base!V2684</f>
        <v>06560</v>
      </c>
      <c r="C2684" s="37">
        <v>6</v>
      </c>
      <c r="D2684" s="36">
        <f>base!H2684</f>
        <v>151</v>
      </c>
      <c r="E2684" s="44"/>
      <c r="F2684" s="16">
        <f>base!W2684</f>
        <v>0</v>
      </c>
      <c r="G2684" s="11">
        <f t="shared" si="410"/>
        <v>0</v>
      </c>
      <c r="H2684" s="11">
        <f t="shared" si="411"/>
        <v>45.3</v>
      </c>
      <c r="I2684" s="11">
        <f t="shared" si="412"/>
        <v>0.3</v>
      </c>
      <c r="J2684" s="12">
        <f t="shared" si="413"/>
        <v>-45.3</v>
      </c>
      <c r="K2684" s="17" t="str">
        <f t="shared" si="418"/>
        <v>Ecart négatif</v>
      </c>
      <c r="L2684" s="16">
        <f>base!X2684</f>
        <v>0</v>
      </c>
      <c r="M2684" s="11">
        <f t="shared" si="414"/>
        <v>0</v>
      </c>
      <c r="N2684" s="11">
        <f t="shared" si="415"/>
        <v>31.709999999999997</v>
      </c>
      <c r="O2684" s="11">
        <f t="shared" si="416"/>
        <v>0.21</v>
      </c>
      <c r="P2684" s="12">
        <f t="shared" si="417"/>
        <v>-31.709999999999997</v>
      </c>
      <c r="Q2684" s="17" t="str">
        <f t="shared" si="419"/>
        <v>Ecart négatif</v>
      </c>
    </row>
    <row r="2685" spans="1:18" x14ac:dyDescent="0.3">
      <c r="A2685" s="34">
        <f>base!J2685</f>
        <v>0</v>
      </c>
      <c r="B2685" s="34" t="str">
        <f>base!V2685</f>
        <v>77184</v>
      </c>
      <c r="C2685" s="37">
        <v>77</v>
      </c>
      <c r="D2685" s="36">
        <f>base!H2685</f>
        <v>25</v>
      </c>
      <c r="E2685" s="44"/>
      <c r="F2685" s="16">
        <f>base!W2685</f>
        <v>0</v>
      </c>
      <c r="G2685" s="11">
        <f t="shared" si="410"/>
        <v>0</v>
      </c>
      <c r="H2685" s="11">
        <f t="shared" si="411"/>
        <v>0</v>
      </c>
      <c r="I2685" s="11">
        <f t="shared" si="412"/>
        <v>0</v>
      </c>
      <c r="J2685" s="12">
        <f t="shared" si="413"/>
        <v>0</v>
      </c>
      <c r="K2685" s="17" t="str">
        <f t="shared" si="418"/>
        <v>Pas d'écart</v>
      </c>
      <c r="L2685" s="16">
        <f>base!X2685</f>
        <v>0</v>
      </c>
      <c r="M2685" s="11">
        <f t="shared" si="414"/>
        <v>0</v>
      </c>
      <c r="N2685" s="11">
        <f t="shared" si="415"/>
        <v>0</v>
      </c>
      <c r="O2685" s="11">
        <f t="shared" si="416"/>
        <v>0</v>
      </c>
      <c r="P2685" s="12">
        <f t="shared" si="417"/>
        <v>0</v>
      </c>
      <c r="Q2685" s="17" t="str">
        <f t="shared" si="419"/>
        <v>Pas d'écart</v>
      </c>
    </row>
    <row r="2686" spans="1:18" x14ac:dyDescent="0.3">
      <c r="A2686" s="34" t="str">
        <f>base!J2686</f>
        <v>RM</v>
      </c>
      <c r="B2686" s="34" t="str">
        <f>base!V2686</f>
        <v>27310</v>
      </c>
      <c r="C2686" s="37">
        <v>27</v>
      </c>
      <c r="D2686" s="36">
        <f>base!H2686</f>
        <v>140.72</v>
      </c>
      <c r="E2686" s="44"/>
      <c r="F2686" s="16">
        <f>base!W2686</f>
        <v>0</v>
      </c>
      <c r="G2686" s="11">
        <f t="shared" si="410"/>
        <v>0</v>
      </c>
      <c r="H2686" s="11">
        <f t="shared" si="411"/>
        <v>23.922400000000003</v>
      </c>
      <c r="I2686" s="11">
        <f t="shared" si="412"/>
        <v>0.17</v>
      </c>
      <c r="J2686" s="12">
        <f t="shared" si="413"/>
        <v>-23.922400000000003</v>
      </c>
      <c r="K2686" s="17" t="str">
        <f t="shared" si="418"/>
        <v>Ecart négatif</v>
      </c>
      <c r="L2686" s="16">
        <f>base!X2686</f>
        <v>23.92</v>
      </c>
      <c r="M2686" s="11">
        <f t="shared" si="414"/>
        <v>0.16998294485503129</v>
      </c>
      <c r="N2686" s="11">
        <f t="shared" si="415"/>
        <v>23.922400000000003</v>
      </c>
      <c r="O2686" s="11">
        <f t="shared" si="416"/>
        <v>0.17</v>
      </c>
      <c r="P2686" s="12">
        <f t="shared" si="417"/>
        <v>-2.400000000001512E-3</v>
      </c>
      <c r="Q2686" s="17" t="str">
        <f t="shared" si="419"/>
        <v>Ecart négatif</v>
      </c>
      <c r="R2686" s="38"/>
    </row>
    <row r="2687" spans="1:18" x14ac:dyDescent="0.3">
      <c r="A2687" s="34" t="str">
        <f>base!J2687</f>
        <v>LM</v>
      </c>
      <c r="B2687" s="34" t="str">
        <f>base!V2687</f>
        <v>71380</v>
      </c>
      <c r="C2687" s="37">
        <v>87</v>
      </c>
      <c r="D2687" s="36">
        <f>base!H2687</f>
        <v>55.16</v>
      </c>
      <c r="E2687" s="44"/>
      <c r="F2687" s="16">
        <f>base!W2687</f>
        <v>14.89</v>
      </c>
      <c r="G2687" s="11">
        <f t="shared" si="410"/>
        <v>0.26994198694706312</v>
      </c>
      <c r="H2687" s="11">
        <f t="shared" si="411"/>
        <v>15.444800000000001</v>
      </c>
      <c r="I2687" s="11">
        <f t="shared" si="412"/>
        <v>0.28000000000000003</v>
      </c>
      <c r="J2687" s="12">
        <f t="shared" si="413"/>
        <v>-0.55480000000000018</v>
      </c>
      <c r="K2687" s="17" t="str">
        <f t="shared" si="418"/>
        <v>Ecart négatif</v>
      </c>
      <c r="L2687" s="16">
        <f>base!X2687</f>
        <v>0</v>
      </c>
      <c r="M2687" s="11">
        <f t="shared" si="414"/>
        <v>0</v>
      </c>
      <c r="N2687" s="11">
        <f t="shared" si="415"/>
        <v>6.6191999999999993</v>
      </c>
      <c r="O2687" s="11">
        <f t="shared" si="416"/>
        <v>0.12</v>
      </c>
      <c r="P2687" s="12">
        <f t="shared" si="417"/>
        <v>-6.6191999999999993</v>
      </c>
      <c r="Q2687" s="17" t="str">
        <f t="shared" si="419"/>
        <v>Ecart négatif</v>
      </c>
    </row>
    <row r="2688" spans="1:18" x14ac:dyDescent="0.3">
      <c r="A2688" s="34" t="str">
        <f>base!J2688</f>
        <v>LM</v>
      </c>
      <c r="B2688" s="34" t="str">
        <f>base!V2688</f>
        <v>44000</v>
      </c>
      <c r="C2688" s="37">
        <v>28</v>
      </c>
      <c r="D2688" s="36">
        <f>base!H2688</f>
        <v>184.39</v>
      </c>
      <c r="E2688" s="44"/>
      <c r="F2688" s="16">
        <f>base!W2688</f>
        <v>49.79</v>
      </c>
      <c r="G2688" s="11">
        <f t="shared" si="410"/>
        <v>0.27002548945170562</v>
      </c>
      <c r="H2688" s="11">
        <f t="shared" si="411"/>
        <v>36.878</v>
      </c>
      <c r="I2688" s="11">
        <f t="shared" si="412"/>
        <v>0.2</v>
      </c>
      <c r="J2688" s="12">
        <f t="shared" si="413"/>
        <v>12.911999999999999</v>
      </c>
      <c r="K2688" s="17" t="str">
        <f t="shared" si="418"/>
        <v>Ecart positif</v>
      </c>
      <c r="L2688" s="16">
        <f>base!X2688</f>
        <v>0</v>
      </c>
      <c r="M2688" s="11">
        <f t="shared" si="414"/>
        <v>0</v>
      </c>
      <c r="N2688" s="11">
        <f t="shared" si="415"/>
        <v>22.126799999999996</v>
      </c>
      <c r="O2688" s="11">
        <f t="shared" si="416"/>
        <v>0.11999999999999998</v>
      </c>
      <c r="P2688" s="12">
        <f t="shared" si="417"/>
        <v>-22.126799999999996</v>
      </c>
      <c r="Q2688" s="17" t="str">
        <f t="shared" si="419"/>
        <v>Ecart négatif</v>
      </c>
    </row>
    <row r="2689" spans="1:18" x14ac:dyDescent="0.3">
      <c r="A2689" s="34" t="str">
        <f>base!J2689</f>
        <v>LM</v>
      </c>
      <c r="B2689" s="34" t="str">
        <f>base!V2689</f>
        <v>44100</v>
      </c>
      <c r="C2689" s="37">
        <v>41</v>
      </c>
      <c r="D2689" s="36">
        <f>base!H2689</f>
        <v>184.39</v>
      </c>
      <c r="E2689" s="44"/>
      <c r="F2689" s="16">
        <f>base!W2689</f>
        <v>49.79</v>
      </c>
      <c r="G2689" s="11">
        <f t="shared" si="410"/>
        <v>0.27002548945170562</v>
      </c>
      <c r="H2689" s="11">
        <f t="shared" si="411"/>
        <v>38.721899999999998</v>
      </c>
      <c r="I2689" s="11">
        <f t="shared" si="412"/>
        <v>0.21</v>
      </c>
      <c r="J2689" s="12">
        <f t="shared" si="413"/>
        <v>11.068100000000001</v>
      </c>
      <c r="K2689" s="17" t="str">
        <f t="shared" si="418"/>
        <v>Ecart positif</v>
      </c>
      <c r="L2689" s="16">
        <f>base!X2689</f>
        <v>0</v>
      </c>
      <c r="M2689" s="11">
        <f t="shared" si="414"/>
        <v>0</v>
      </c>
      <c r="N2689" s="11">
        <f t="shared" si="415"/>
        <v>22.126799999999996</v>
      </c>
      <c r="O2689" s="11">
        <f t="shared" si="416"/>
        <v>0.11999999999999998</v>
      </c>
      <c r="P2689" s="12">
        <f t="shared" si="417"/>
        <v>-22.126799999999996</v>
      </c>
      <c r="Q2689" s="17" t="str">
        <f t="shared" si="419"/>
        <v>Ecart négatif</v>
      </c>
    </row>
    <row r="2690" spans="1:18" x14ac:dyDescent="0.3">
      <c r="A2690" s="34" t="str">
        <f>base!J2690</f>
        <v>LS</v>
      </c>
      <c r="B2690" s="34" t="str">
        <f>base!V2690</f>
        <v>63100</v>
      </c>
      <c r="C2690" s="37">
        <v>45</v>
      </c>
      <c r="D2690" s="36">
        <f>base!H2690</f>
        <v>142.9</v>
      </c>
      <c r="E2690" s="44"/>
      <c r="F2690" s="16">
        <f>base!W2690</f>
        <v>41.44</v>
      </c>
      <c r="G2690" s="11">
        <f t="shared" ref="G2690:G2753" si="420">F2690/D2690</f>
        <v>0.28999300209937018</v>
      </c>
      <c r="H2690" s="11">
        <f t="shared" ref="H2690:H2753" si="421">VLOOKUP(C2690,tout_cout_traction,2,FALSE)*D2690</f>
        <v>30.009</v>
      </c>
      <c r="I2690" s="11">
        <f t="shared" ref="I2690:I2753" si="422">H2690/D2690</f>
        <v>0.21</v>
      </c>
      <c r="J2690" s="12">
        <f t="shared" ref="J2690:J2753" si="423">F2690-H2690</f>
        <v>11.430999999999997</v>
      </c>
      <c r="K2690" s="17" t="str">
        <f t="shared" si="418"/>
        <v>Ecart positif</v>
      </c>
      <c r="L2690" s="16">
        <f>base!X2690</f>
        <v>0</v>
      </c>
      <c r="M2690" s="11">
        <f t="shared" ref="M2690:M2753" si="424">L2690/D2690</f>
        <v>0</v>
      </c>
      <c r="N2690" s="11">
        <f t="shared" ref="N2690:N2753" si="425">VLOOKUP(C2690,tout_cout_traction,3,FALSE)*D2690</f>
        <v>17.148</v>
      </c>
      <c r="O2690" s="11">
        <f t="shared" ref="O2690:O2753" si="426">N2690/D2690</f>
        <v>0.12</v>
      </c>
      <c r="P2690" s="12">
        <f t="shared" ref="P2690:P2753" si="427">L2690-N2690</f>
        <v>-17.148</v>
      </c>
      <c r="Q2690" s="17" t="str">
        <f t="shared" si="419"/>
        <v>Ecart négatif</v>
      </c>
    </row>
    <row r="2691" spans="1:18" x14ac:dyDescent="0.3">
      <c r="A2691" s="34">
        <f>base!J2691</f>
        <v>0</v>
      </c>
      <c r="B2691" s="34" t="str">
        <f>base!V2691</f>
        <v>77184</v>
      </c>
      <c r="C2691" s="37">
        <v>77</v>
      </c>
      <c r="D2691" s="36">
        <f>base!H2691</f>
        <v>69.5</v>
      </c>
      <c r="E2691" s="44"/>
      <c r="F2691" s="16">
        <f>base!W2691</f>
        <v>0</v>
      </c>
      <c r="G2691" s="11">
        <f t="shared" si="420"/>
        <v>0</v>
      </c>
      <c r="H2691" s="11">
        <f t="shared" si="421"/>
        <v>0</v>
      </c>
      <c r="I2691" s="11">
        <f t="shared" si="422"/>
        <v>0</v>
      </c>
      <c r="J2691" s="12">
        <f t="shared" si="423"/>
        <v>0</v>
      </c>
      <c r="K2691" s="17" t="str">
        <f t="shared" ref="K2691:K2754" si="428">IF(H2691=F2691,"Pas d'écart",IF(H2691&lt;F2691,"Ecart positif",IF(H2691&gt;F2691,"Ecart négatif")))</f>
        <v>Pas d'écart</v>
      </c>
      <c r="L2691" s="16">
        <f>base!X2691</f>
        <v>0</v>
      </c>
      <c r="M2691" s="11">
        <f t="shared" si="424"/>
        <v>0</v>
      </c>
      <c r="N2691" s="11">
        <f t="shared" si="425"/>
        <v>0</v>
      </c>
      <c r="O2691" s="11">
        <f t="shared" si="426"/>
        <v>0</v>
      </c>
      <c r="P2691" s="12">
        <f t="shared" si="427"/>
        <v>0</v>
      </c>
      <c r="Q2691" s="17" t="str">
        <f t="shared" ref="Q2691:Q2754" si="429">IF(N2691=L2691,"Pas d'écart",IF(N2691&lt;L2691,"Ecart positif",IF(N2691&gt;L2691,"Ecart négatif")))</f>
        <v>Pas d'écart</v>
      </c>
    </row>
    <row r="2692" spans="1:18" x14ac:dyDescent="0.3">
      <c r="A2692" s="34">
        <f>base!J2692</f>
        <v>0</v>
      </c>
      <c r="B2692" s="34" t="str">
        <f>base!V2692</f>
        <v>77184</v>
      </c>
      <c r="C2692" s="37">
        <v>77</v>
      </c>
      <c r="D2692" s="36">
        <f>base!H2692</f>
        <v>84.5</v>
      </c>
      <c r="E2692" s="44"/>
      <c r="F2692" s="16">
        <f>base!W2692</f>
        <v>0</v>
      </c>
      <c r="G2692" s="11">
        <f t="shared" si="420"/>
        <v>0</v>
      </c>
      <c r="H2692" s="11">
        <f t="shared" si="421"/>
        <v>0</v>
      </c>
      <c r="I2692" s="11">
        <f t="shared" si="422"/>
        <v>0</v>
      </c>
      <c r="J2692" s="12">
        <f t="shared" si="423"/>
        <v>0</v>
      </c>
      <c r="K2692" s="17" t="str">
        <f t="shared" si="428"/>
        <v>Pas d'écart</v>
      </c>
      <c r="L2692" s="16">
        <f>base!X2692</f>
        <v>0</v>
      </c>
      <c r="M2692" s="11">
        <f t="shared" si="424"/>
        <v>0</v>
      </c>
      <c r="N2692" s="11">
        <f t="shared" si="425"/>
        <v>0</v>
      </c>
      <c r="O2692" s="11">
        <f t="shared" si="426"/>
        <v>0</v>
      </c>
      <c r="P2692" s="12">
        <f t="shared" si="427"/>
        <v>0</v>
      </c>
      <c r="Q2692" s="17" t="str">
        <f t="shared" si="429"/>
        <v>Pas d'écart</v>
      </c>
    </row>
    <row r="2693" spans="1:18" x14ac:dyDescent="0.3">
      <c r="A2693" s="34">
        <f>base!J2693</f>
        <v>0</v>
      </c>
      <c r="B2693" s="34" t="str">
        <f>base!V2693</f>
        <v>77184</v>
      </c>
      <c r="C2693" s="37">
        <v>77</v>
      </c>
      <c r="D2693" s="36">
        <f>base!H2693</f>
        <v>31.6</v>
      </c>
      <c r="E2693" s="44"/>
      <c r="F2693" s="16">
        <f>base!W2693</f>
        <v>0</v>
      </c>
      <c r="G2693" s="11">
        <f t="shared" si="420"/>
        <v>0</v>
      </c>
      <c r="H2693" s="11">
        <f t="shared" si="421"/>
        <v>0</v>
      </c>
      <c r="I2693" s="11">
        <f t="shared" si="422"/>
        <v>0</v>
      </c>
      <c r="J2693" s="12">
        <f t="shared" si="423"/>
        <v>0</v>
      </c>
      <c r="K2693" s="17" t="str">
        <f t="shared" si="428"/>
        <v>Pas d'écart</v>
      </c>
      <c r="L2693" s="16">
        <f>base!X2693</f>
        <v>0</v>
      </c>
      <c r="M2693" s="11">
        <f t="shared" si="424"/>
        <v>0</v>
      </c>
      <c r="N2693" s="11">
        <f t="shared" si="425"/>
        <v>0</v>
      </c>
      <c r="O2693" s="11">
        <f t="shared" si="426"/>
        <v>0</v>
      </c>
      <c r="P2693" s="12">
        <f t="shared" si="427"/>
        <v>0</v>
      </c>
      <c r="Q2693" s="17" t="str">
        <f t="shared" si="429"/>
        <v>Pas d'écart</v>
      </c>
    </row>
    <row r="2694" spans="1:18" x14ac:dyDescent="0.3">
      <c r="A2694" s="34" t="str">
        <f>base!J2694</f>
        <v>LS</v>
      </c>
      <c r="B2694" s="34" t="str">
        <f>base!V2694</f>
        <v>80000</v>
      </c>
      <c r="C2694" s="37">
        <v>10</v>
      </c>
      <c r="D2694" s="36">
        <f>base!H2694</f>
        <v>33.35</v>
      </c>
      <c r="E2694" s="44"/>
      <c r="F2694" s="16">
        <f>base!W2694</f>
        <v>6.34</v>
      </c>
      <c r="G2694" s="11">
        <f t="shared" si="420"/>
        <v>0.19010494752623686</v>
      </c>
      <c r="H2694" s="11">
        <f t="shared" si="421"/>
        <v>7.6705000000000005</v>
      </c>
      <c r="I2694" s="11">
        <f t="shared" si="422"/>
        <v>0.23</v>
      </c>
      <c r="J2694" s="12">
        <f t="shared" si="423"/>
        <v>-1.3305000000000007</v>
      </c>
      <c r="K2694" s="17" t="str">
        <f t="shared" si="428"/>
        <v>Ecart négatif</v>
      </c>
      <c r="L2694" s="16">
        <f>base!X2694</f>
        <v>0</v>
      </c>
      <c r="M2694" s="11">
        <f t="shared" si="424"/>
        <v>0</v>
      </c>
      <c r="N2694" s="11">
        <f t="shared" si="425"/>
        <v>4.0019999999999998</v>
      </c>
      <c r="O2694" s="11">
        <f t="shared" si="426"/>
        <v>0.11999999999999998</v>
      </c>
      <c r="P2694" s="12">
        <f t="shared" si="427"/>
        <v>-4.0019999999999998</v>
      </c>
      <c r="Q2694" s="17" t="str">
        <f t="shared" si="429"/>
        <v>Ecart négatif</v>
      </c>
    </row>
    <row r="2695" spans="1:18" x14ac:dyDescent="0.3">
      <c r="A2695" s="34">
        <f>base!J2695</f>
        <v>0</v>
      </c>
      <c r="B2695" s="34" t="str">
        <f>base!V2695</f>
        <v>77184</v>
      </c>
      <c r="C2695" s="37">
        <v>77</v>
      </c>
      <c r="D2695" s="36">
        <f>base!H2695</f>
        <v>10</v>
      </c>
      <c r="E2695" s="44"/>
      <c r="F2695" s="16">
        <f>base!W2695</f>
        <v>0</v>
      </c>
      <c r="G2695" s="11">
        <f t="shared" si="420"/>
        <v>0</v>
      </c>
      <c r="H2695" s="11">
        <f t="shared" si="421"/>
        <v>0</v>
      </c>
      <c r="I2695" s="11">
        <f t="shared" si="422"/>
        <v>0</v>
      </c>
      <c r="J2695" s="12">
        <f t="shared" si="423"/>
        <v>0</v>
      </c>
      <c r="K2695" s="17" t="str">
        <f t="shared" si="428"/>
        <v>Pas d'écart</v>
      </c>
      <c r="L2695" s="16">
        <f>base!X2695</f>
        <v>0</v>
      </c>
      <c r="M2695" s="11">
        <f t="shared" si="424"/>
        <v>0</v>
      </c>
      <c r="N2695" s="11">
        <f t="shared" si="425"/>
        <v>0</v>
      </c>
      <c r="O2695" s="11">
        <f t="shared" si="426"/>
        <v>0</v>
      </c>
      <c r="P2695" s="12">
        <f t="shared" si="427"/>
        <v>0</v>
      </c>
      <c r="Q2695" s="17" t="str">
        <f t="shared" si="429"/>
        <v>Pas d'écart</v>
      </c>
    </row>
    <row r="2696" spans="1:18" x14ac:dyDescent="0.3">
      <c r="A2696" s="34" t="str">
        <f>base!J2696</f>
        <v>RM</v>
      </c>
      <c r="B2696" s="34" t="str">
        <f>base!V2696</f>
        <v>42160</v>
      </c>
      <c r="C2696" s="37">
        <v>42</v>
      </c>
      <c r="D2696" s="36">
        <f>base!H2696</f>
        <v>94.3</v>
      </c>
      <c r="E2696" s="44"/>
      <c r="F2696" s="16">
        <f>base!W2696</f>
        <v>0</v>
      </c>
      <c r="G2696" s="11">
        <f t="shared" si="420"/>
        <v>0</v>
      </c>
      <c r="H2696" s="11">
        <f t="shared" si="421"/>
        <v>24.518000000000001</v>
      </c>
      <c r="I2696" s="11">
        <f t="shared" si="422"/>
        <v>0.26</v>
      </c>
      <c r="J2696" s="12">
        <f t="shared" si="423"/>
        <v>-24.518000000000001</v>
      </c>
      <c r="K2696" s="17" t="str">
        <f t="shared" si="428"/>
        <v>Ecart négatif</v>
      </c>
      <c r="L2696" s="16">
        <f>base!X2696</f>
        <v>0</v>
      </c>
      <c r="M2696" s="11">
        <f t="shared" si="424"/>
        <v>0</v>
      </c>
      <c r="N2696" s="11">
        <f t="shared" si="425"/>
        <v>0</v>
      </c>
      <c r="O2696" s="11">
        <f t="shared" si="426"/>
        <v>0</v>
      </c>
      <c r="P2696" s="12">
        <f t="shared" si="427"/>
        <v>0</v>
      </c>
      <c r="Q2696" s="17" t="str">
        <f t="shared" si="429"/>
        <v>Pas d'écart</v>
      </c>
    </row>
    <row r="2697" spans="1:18" x14ac:dyDescent="0.3">
      <c r="A2697" s="34" t="str">
        <f>base!J2697</f>
        <v>LM</v>
      </c>
      <c r="B2697" s="34" t="str">
        <f>base!V2697</f>
        <v>69002</v>
      </c>
      <c r="C2697" s="37">
        <v>33</v>
      </c>
      <c r="D2697" s="36">
        <f>base!H2697</f>
        <v>331.39</v>
      </c>
      <c r="E2697" s="44"/>
      <c r="F2697" s="16">
        <f>base!W2697</f>
        <v>89.48</v>
      </c>
      <c r="G2697" s="11">
        <f t="shared" si="420"/>
        <v>0.27001418268505389</v>
      </c>
      <c r="H2697" s="11">
        <f t="shared" si="421"/>
        <v>69.591899999999995</v>
      </c>
      <c r="I2697" s="11">
        <f t="shared" si="422"/>
        <v>0.21</v>
      </c>
      <c r="J2697" s="12">
        <f t="shared" si="423"/>
        <v>19.888100000000009</v>
      </c>
      <c r="K2697" s="17" t="str">
        <f t="shared" si="428"/>
        <v>Ecart positif</v>
      </c>
      <c r="L2697" s="16">
        <f>base!X2697</f>
        <v>0</v>
      </c>
      <c r="M2697" s="11">
        <f t="shared" si="424"/>
        <v>0</v>
      </c>
      <c r="N2697" s="11">
        <f t="shared" si="425"/>
        <v>56.336300000000001</v>
      </c>
      <c r="O2697" s="11">
        <f t="shared" si="426"/>
        <v>0.17</v>
      </c>
      <c r="P2697" s="12">
        <f t="shared" si="427"/>
        <v>-56.336300000000001</v>
      </c>
      <c r="Q2697" s="17" t="str">
        <f t="shared" si="429"/>
        <v>Ecart négatif</v>
      </c>
    </row>
    <row r="2698" spans="1:18" x14ac:dyDescent="0.3">
      <c r="A2698" s="34" t="str">
        <f>base!J2698</f>
        <v>LM</v>
      </c>
      <c r="B2698" s="34" t="str">
        <f>base!V2698</f>
        <v>35044</v>
      </c>
      <c r="C2698" s="37">
        <v>45</v>
      </c>
      <c r="D2698" s="36">
        <f>base!H2698</f>
        <v>55.16</v>
      </c>
      <c r="E2698" s="44"/>
      <c r="F2698" s="16">
        <f>base!W2698</f>
        <v>14.89</v>
      </c>
      <c r="G2698" s="11">
        <f t="shared" si="420"/>
        <v>0.26994198694706312</v>
      </c>
      <c r="H2698" s="11">
        <f t="shared" si="421"/>
        <v>11.583599999999999</v>
      </c>
      <c r="I2698" s="11">
        <f t="shared" si="422"/>
        <v>0.21</v>
      </c>
      <c r="J2698" s="12">
        <f t="shared" si="423"/>
        <v>3.3064000000000018</v>
      </c>
      <c r="K2698" s="17" t="str">
        <f t="shared" si="428"/>
        <v>Ecart positif</v>
      </c>
      <c r="L2698" s="16">
        <f>base!X2698</f>
        <v>0</v>
      </c>
      <c r="M2698" s="11">
        <f t="shared" si="424"/>
        <v>0</v>
      </c>
      <c r="N2698" s="11">
        <f t="shared" si="425"/>
        <v>6.6191999999999993</v>
      </c>
      <c r="O2698" s="11">
        <f t="shared" si="426"/>
        <v>0.12</v>
      </c>
      <c r="P2698" s="12">
        <f t="shared" si="427"/>
        <v>-6.6191999999999993</v>
      </c>
      <c r="Q2698" s="17" t="str">
        <f t="shared" si="429"/>
        <v>Ecart négatif</v>
      </c>
    </row>
    <row r="2699" spans="1:18" x14ac:dyDescent="0.3">
      <c r="A2699" s="34" t="str">
        <f>base!J2699</f>
        <v>LM</v>
      </c>
      <c r="B2699" s="34" t="str">
        <f>base!V2699</f>
        <v>75018</v>
      </c>
      <c r="C2699" s="37">
        <v>75</v>
      </c>
      <c r="D2699" s="36">
        <f>base!H2699</f>
        <v>20.23</v>
      </c>
      <c r="E2699" s="44"/>
      <c r="F2699" s="16">
        <f>base!W2699</f>
        <v>0</v>
      </c>
      <c r="G2699" s="11">
        <f t="shared" si="420"/>
        <v>0</v>
      </c>
      <c r="H2699" s="11">
        <f t="shared" si="421"/>
        <v>0</v>
      </c>
      <c r="I2699" s="11">
        <f t="shared" si="422"/>
        <v>0</v>
      </c>
      <c r="J2699" s="12">
        <f t="shared" si="423"/>
        <v>0</v>
      </c>
      <c r="K2699" s="17" t="str">
        <f t="shared" si="428"/>
        <v>Pas d'écart</v>
      </c>
      <c r="L2699" s="16">
        <f>base!X2699</f>
        <v>0</v>
      </c>
      <c r="M2699" s="11">
        <f t="shared" si="424"/>
        <v>0</v>
      </c>
      <c r="N2699" s="11">
        <f t="shared" si="425"/>
        <v>0</v>
      </c>
      <c r="O2699" s="11">
        <f t="shared" si="426"/>
        <v>0</v>
      </c>
      <c r="P2699" s="12">
        <f t="shared" si="427"/>
        <v>0</v>
      </c>
      <c r="Q2699" s="17" t="str">
        <f t="shared" si="429"/>
        <v>Pas d'écart</v>
      </c>
    </row>
    <row r="2700" spans="1:18" x14ac:dyDescent="0.3">
      <c r="A2700" s="34" t="str">
        <f>base!J2700</f>
        <v>LM</v>
      </c>
      <c r="B2700" s="34" t="str">
        <f>base!V2700</f>
        <v>56920</v>
      </c>
      <c r="C2700" s="37">
        <v>79</v>
      </c>
      <c r="D2700" s="36">
        <f>base!H2700</f>
        <v>49.08</v>
      </c>
      <c r="E2700" s="44"/>
      <c r="F2700" s="16">
        <f>base!W2700</f>
        <v>13.25</v>
      </c>
      <c r="G2700" s="11">
        <f t="shared" si="420"/>
        <v>0.26996740016299919</v>
      </c>
      <c r="H2700" s="11">
        <f t="shared" si="421"/>
        <v>10.306799999999999</v>
      </c>
      <c r="I2700" s="11">
        <f t="shared" si="422"/>
        <v>0.21</v>
      </c>
      <c r="J2700" s="12">
        <f t="shared" si="423"/>
        <v>2.9432000000000009</v>
      </c>
      <c r="K2700" s="17" t="str">
        <f t="shared" si="428"/>
        <v>Ecart positif</v>
      </c>
      <c r="L2700" s="16">
        <f>base!X2700</f>
        <v>0</v>
      </c>
      <c r="M2700" s="11">
        <f t="shared" si="424"/>
        <v>0</v>
      </c>
      <c r="N2700" s="11">
        <f t="shared" si="425"/>
        <v>5.8895999999999997</v>
      </c>
      <c r="O2700" s="11">
        <f t="shared" si="426"/>
        <v>0.12</v>
      </c>
      <c r="P2700" s="12">
        <f t="shared" si="427"/>
        <v>-5.8895999999999997</v>
      </c>
      <c r="Q2700" s="17" t="str">
        <f t="shared" si="429"/>
        <v>Ecart négatif</v>
      </c>
    </row>
    <row r="2701" spans="1:18" x14ac:dyDescent="0.3">
      <c r="A2701" s="34" t="str">
        <f>base!J2701</f>
        <v>LM</v>
      </c>
      <c r="B2701" s="34" t="str">
        <f>base!V2701</f>
        <v>68520</v>
      </c>
      <c r="C2701" s="37">
        <v>17</v>
      </c>
      <c r="D2701" s="36">
        <f>base!H2701</f>
        <v>153.81</v>
      </c>
      <c r="E2701" s="44"/>
      <c r="F2701" s="16">
        <f>base!W2701</f>
        <v>44.6</v>
      </c>
      <c r="G2701" s="11">
        <f t="shared" si="420"/>
        <v>0.28996814251349068</v>
      </c>
      <c r="H2701" s="11">
        <f t="shared" si="421"/>
        <v>32.3001</v>
      </c>
      <c r="I2701" s="11">
        <f t="shared" si="422"/>
        <v>0.21</v>
      </c>
      <c r="J2701" s="12">
        <f t="shared" si="423"/>
        <v>12.299900000000001</v>
      </c>
      <c r="K2701" s="17" t="str">
        <f t="shared" si="428"/>
        <v>Ecart positif</v>
      </c>
      <c r="L2701" s="16">
        <f>base!X2701</f>
        <v>0</v>
      </c>
      <c r="M2701" s="11">
        <f t="shared" si="424"/>
        <v>0</v>
      </c>
      <c r="N2701" s="11">
        <f t="shared" si="425"/>
        <v>26.147700000000004</v>
      </c>
      <c r="O2701" s="11">
        <f t="shared" si="426"/>
        <v>0.17</v>
      </c>
      <c r="P2701" s="12">
        <f t="shared" si="427"/>
        <v>-26.147700000000004</v>
      </c>
      <c r="Q2701" s="17" t="str">
        <f t="shared" si="429"/>
        <v>Ecart négatif</v>
      </c>
    </row>
    <row r="2702" spans="1:18" x14ac:dyDescent="0.3">
      <c r="A2702" s="34">
        <f>base!J2702</f>
        <v>0</v>
      </c>
      <c r="B2702" s="34" t="str">
        <f>base!V2702</f>
        <v>77184</v>
      </c>
      <c r="C2702" s="37">
        <v>77</v>
      </c>
      <c r="D2702" s="36">
        <f>base!H2702</f>
        <v>84.5</v>
      </c>
      <c r="E2702" s="44"/>
      <c r="F2702" s="16">
        <f>base!W2702</f>
        <v>0</v>
      </c>
      <c r="G2702" s="11">
        <f t="shared" si="420"/>
        <v>0</v>
      </c>
      <c r="H2702" s="11">
        <f t="shared" si="421"/>
        <v>0</v>
      </c>
      <c r="I2702" s="11">
        <f t="shared" si="422"/>
        <v>0</v>
      </c>
      <c r="J2702" s="12">
        <f t="shared" si="423"/>
        <v>0</v>
      </c>
      <c r="K2702" s="17" t="str">
        <f t="shared" si="428"/>
        <v>Pas d'écart</v>
      </c>
      <c r="L2702" s="16">
        <f>base!X2702</f>
        <v>0</v>
      </c>
      <c r="M2702" s="11">
        <f t="shared" si="424"/>
        <v>0</v>
      </c>
      <c r="N2702" s="11">
        <f t="shared" si="425"/>
        <v>0</v>
      </c>
      <c r="O2702" s="11">
        <f t="shared" si="426"/>
        <v>0</v>
      </c>
      <c r="P2702" s="12">
        <f t="shared" si="427"/>
        <v>0</v>
      </c>
      <c r="Q2702" s="17" t="str">
        <f t="shared" si="429"/>
        <v>Pas d'écart</v>
      </c>
    </row>
    <row r="2703" spans="1:18" x14ac:dyDescent="0.3">
      <c r="A2703" s="34" t="str">
        <f>base!J2703</f>
        <v>RM</v>
      </c>
      <c r="B2703" s="34" t="str">
        <f>base!V2703</f>
        <v>57000</v>
      </c>
      <c r="C2703" s="37">
        <v>57</v>
      </c>
      <c r="D2703" s="36">
        <f>base!H2703</f>
        <v>17</v>
      </c>
      <c r="E2703" s="44"/>
      <c r="F2703" s="16">
        <f>base!W2703</f>
        <v>0</v>
      </c>
      <c r="G2703" s="11">
        <f t="shared" si="420"/>
        <v>0</v>
      </c>
      <c r="H2703" s="11">
        <f t="shared" si="421"/>
        <v>4.08</v>
      </c>
      <c r="I2703" s="11">
        <f t="shared" si="422"/>
        <v>0.24</v>
      </c>
      <c r="J2703" s="12">
        <f t="shared" si="423"/>
        <v>-4.08</v>
      </c>
      <c r="K2703" s="17" t="str">
        <f t="shared" si="428"/>
        <v>Ecart négatif</v>
      </c>
      <c r="L2703" s="16">
        <f>base!X2703</f>
        <v>4.25</v>
      </c>
      <c r="M2703" s="11">
        <f t="shared" si="424"/>
        <v>0.25</v>
      </c>
      <c r="N2703" s="11">
        <f t="shared" si="425"/>
        <v>4.25</v>
      </c>
      <c r="O2703" s="11">
        <f t="shared" si="426"/>
        <v>0.25</v>
      </c>
      <c r="P2703" s="12">
        <f t="shared" si="427"/>
        <v>0</v>
      </c>
      <c r="Q2703" s="17" t="str">
        <f t="shared" si="429"/>
        <v>Pas d'écart</v>
      </c>
      <c r="R2703" s="38"/>
    </row>
    <row r="2704" spans="1:18" x14ac:dyDescent="0.3">
      <c r="A2704" s="34" t="str">
        <f>base!J2704</f>
        <v>LS</v>
      </c>
      <c r="B2704" s="34" t="str">
        <f>base!V2704</f>
        <v>57130</v>
      </c>
      <c r="C2704" s="37">
        <v>17</v>
      </c>
      <c r="D2704" s="36">
        <f>base!H2704</f>
        <v>12</v>
      </c>
      <c r="E2704" s="44"/>
      <c r="F2704" s="16">
        <f>base!W2704</f>
        <v>3</v>
      </c>
      <c r="G2704" s="11">
        <f t="shared" si="420"/>
        <v>0.25</v>
      </c>
      <c r="H2704" s="11">
        <f t="shared" si="421"/>
        <v>2.52</v>
      </c>
      <c r="I2704" s="11">
        <f t="shared" si="422"/>
        <v>0.21</v>
      </c>
      <c r="J2704" s="12">
        <f t="shared" si="423"/>
        <v>0.48</v>
      </c>
      <c r="K2704" s="17" t="str">
        <f t="shared" si="428"/>
        <v>Ecart positif</v>
      </c>
      <c r="L2704" s="16">
        <f>base!X2704</f>
        <v>0</v>
      </c>
      <c r="M2704" s="11">
        <f t="shared" si="424"/>
        <v>0</v>
      </c>
      <c r="N2704" s="11">
        <f t="shared" si="425"/>
        <v>2.04</v>
      </c>
      <c r="O2704" s="11">
        <f t="shared" si="426"/>
        <v>0.17</v>
      </c>
      <c r="P2704" s="12">
        <f t="shared" si="427"/>
        <v>-2.04</v>
      </c>
      <c r="Q2704" s="17" t="str">
        <f t="shared" si="429"/>
        <v>Ecart négatif</v>
      </c>
    </row>
    <row r="2705" spans="1:18" x14ac:dyDescent="0.3">
      <c r="A2705" s="34" t="str">
        <f>base!J2705</f>
        <v>LM</v>
      </c>
      <c r="B2705" s="34" t="str">
        <f>base!V2705</f>
        <v>75008</v>
      </c>
      <c r="C2705" s="37">
        <v>75</v>
      </c>
      <c r="D2705" s="36">
        <f>base!H2705</f>
        <v>162</v>
      </c>
      <c r="E2705" s="44"/>
      <c r="F2705" s="16">
        <f>base!W2705</f>
        <v>0</v>
      </c>
      <c r="G2705" s="11">
        <f t="shared" si="420"/>
        <v>0</v>
      </c>
      <c r="H2705" s="11">
        <f t="shared" si="421"/>
        <v>0</v>
      </c>
      <c r="I2705" s="11">
        <f t="shared" si="422"/>
        <v>0</v>
      </c>
      <c r="J2705" s="12">
        <f t="shared" si="423"/>
        <v>0</v>
      </c>
      <c r="K2705" s="17" t="str">
        <f t="shared" si="428"/>
        <v>Pas d'écart</v>
      </c>
      <c r="L2705" s="16">
        <f>base!X2705</f>
        <v>0</v>
      </c>
      <c r="M2705" s="11">
        <f t="shared" si="424"/>
        <v>0</v>
      </c>
      <c r="N2705" s="11">
        <f t="shared" si="425"/>
        <v>0</v>
      </c>
      <c r="O2705" s="11">
        <f t="shared" si="426"/>
        <v>0</v>
      </c>
      <c r="P2705" s="12">
        <f t="shared" si="427"/>
        <v>0</v>
      </c>
      <c r="Q2705" s="17" t="str">
        <f t="shared" si="429"/>
        <v>Pas d'écart</v>
      </c>
    </row>
    <row r="2706" spans="1:18" x14ac:dyDescent="0.3">
      <c r="A2706" s="34" t="str">
        <f>base!J2706</f>
        <v>LM</v>
      </c>
      <c r="B2706" s="34" t="str">
        <f>base!V2706</f>
        <v>14790</v>
      </c>
      <c r="C2706" s="37">
        <v>14</v>
      </c>
      <c r="D2706" s="36">
        <f>base!H2706</f>
        <v>140</v>
      </c>
      <c r="E2706" s="44"/>
      <c r="F2706" s="16">
        <f>base!W2706</f>
        <v>23.8</v>
      </c>
      <c r="G2706" s="11">
        <f t="shared" si="420"/>
        <v>0.17</v>
      </c>
      <c r="H2706" s="11">
        <f t="shared" si="421"/>
        <v>23.8</v>
      </c>
      <c r="I2706" s="11">
        <f t="shared" si="422"/>
        <v>0.17</v>
      </c>
      <c r="J2706" s="12">
        <f t="shared" si="423"/>
        <v>0</v>
      </c>
      <c r="K2706" s="17" t="str">
        <f t="shared" si="428"/>
        <v>Pas d'écart</v>
      </c>
      <c r="L2706" s="16">
        <f>base!X2706</f>
        <v>0</v>
      </c>
      <c r="M2706" s="11">
        <f t="shared" si="424"/>
        <v>0</v>
      </c>
      <c r="N2706" s="11">
        <f t="shared" si="425"/>
        <v>23.8</v>
      </c>
      <c r="O2706" s="11">
        <f t="shared" si="426"/>
        <v>0.17</v>
      </c>
      <c r="P2706" s="12">
        <f t="shared" si="427"/>
        <v>-23.8</v>
      </c>
      <c r="Q2706" s="17" t="str">
        <f t="shared" si="429"/>
        <v>Ecart négatif</v>
      </c>
    </row>
    <row r="2707" spans="1:18" x14ac:dyDescent="0.3">
      <c r="A2707" s="34" t="str">
        <f>base!J2707</f>
        <v>LS</v>
      </c>
      <c r="B2707" s="34" t="str">
        <f>base!V2707</f>
        <v>92000</v>
      </c>
      <c r="C2707" s="37">
        <v>92</v>
      </c>
      <c r="D2707" s="36">
        <f>base!H2707</f>
        <v>443.05</v>
      </c>
      <c r="E2707" s="44"/>
      <c r="F2707" s="16">
        <f>base!W2707</f>
        <v>0</v>
      </c>
      <c r="G2707" s="11">
        <f t="shared" si="420"/>
        <v>0</v>
      </c>
      <c r="H2707" s="11">
        <f t="shared" si="421"/>
        <v>0</v>
      </c>
      <c r="I2707" s="11">
        <f t="shared" si="422"/>
        <v>0</v>
      </c>
      <c r="J2707" s="12">
        <f t="shared" si="423"/>
        <v>0</v>
      </c>
      <c r="K2707" s="17" t="str">
        <f t="shared" si="428"/>
        <v>Pas d'écart</v>
      </c>
      <c r="L2707" s="16">
        <f>base!X2707</f>
        <v>0</v>
      </c>
      <c r="M2707" s="11">
        <f t="shared" si="424"/>
        <v>0</v>
      </c>
      <c r="N2707" s="11">
        <f t="shared" si="425"/>
        <v>0</v>
      </c>
      <c r="O2707" s="11">
        <f t="shared" si="426"/>
        <v>0</v>
      </c>
      <c r="P2707" s="12">
        <f t="shared" si="427"/>
        <v>0</v>
      </c>
      <c r="Q2707" s="17" t="str">
        <f t="shared" si="429"/>
        <v>Pas d'écart</v>
      </c>
    </row>
    <row r="2708" spans="1:18" x14ac:dyDescent="0.3">
      <c r="A2708" s="34" t="str">
        <f>base!J2708</f>
        <v>LM</v>
      </c>
      <c r="B2708" s="34" t="str">
        <f>base!V2708</f>
        <v>14000</v>
      </c>
      <c r="C2708" s="37">
        <v>45</v>
      </c>
      <c r="D2708" s="36">
        <f>base!H2708</f>
        <v>156.57</v>
      </c>
      <c r="E2708" s="44"/>
      <c r="F2708" s="16">
        <f>base!W2708</f>
        <v>26.62</v>
      </c>
      <c r="G2708" s="11">
        <f t="shared" si="420"/>
        <v>0.17001979945072493</v>
      </c>
      <c r="H2708" s="11">
        <f t="shared" si="421"/>
        <v>32.8797</v>
      </c>
      <c r="I2708" s="11">
        <f t="shared" si="422"/>
        <v>0.21000000000000002</v>
      </c>
      <c r="J2708" s="12">
        <f t="shared" si="423"/>
        <v>-6.2596999999999987</v>
      </c>
      <c r="K2708" s="17" t="str">
        <f t="shared" si="428"/>
        <v>Ecart négatif</v>
      </c>
      <c r="L2708" s="16">
        <f>base!X2708</f>
        <v>0</v>
      </c>
      <c r="M2708" s="11">
        <f t="shared" si="424"/>
        <v>0</v>
      </c>
      <c r="N2708" s="11">
        <f t="shared" si="425"/>
        <v>18.788399999999999</v>
      </c>
      <c r="O2708" s="11">
        <f t="shared" si="426"/>
        <v>0.12</v>
      </c>
      <c r="P2708" s="12">
        <f t="shared" si="427"/>
        <v>-18.788399999999999</v>
      </c>
      <c r="Q2708" s="17" t="str">
        <f t="shared" si="429"/>
        <v>Ecart négatif</v>
      </c>
    </row>
    <row r="2709" spans="1:18" x14ac:dyDescent="0.3">
      <c r="A2709" s="34">
        <f>base!J2709</f>
        <v>0</v>
      </c>
      <c r="B2709" s="34" t="str">
        <f>base!V2709</f>
        <v>44240</v>
      </c>
      <c r="C2709" s="37">
        <v>44</v>
      </c>
      <c r="D2709" s="36">
        <f>base!H2709</f>
        <v>29.89</v>
      </c>
      <c r="E2709" s="44"/>
      <c r="F2709" s="16">
        <f>base!W2709</f>
        <v>0</v>
      </c>
      <c r="G2709" s="11">
        <f t="shared" si="420"/>
        <v>0</v>
      </c>
      <c r="H2709" s="11">
        <f t="shared" si="421"/>
        <v>8.0703000000000014</v>
      </c>
      <c r="I2709" s="11">
        <f t="shared" si="422"/>
        <v>0.27</v>
      </c>
      <c r="J2709" s="12">
        <f t="shared" si="423"/>
        <v>-8.0703000000000014</v>
      </c>
      <c r="K2709" s="17" t="str">
        <f t="shared" si="428"/>
        <v>Ecart négatif</v>
      </c>
      <c r="L2709" s="16">
        <f>base!X2709</f>
        <v>0</v>
      </c>
      <c r="M2709" s="11">
        <f t="shared" si="424"/>
        <v>0</v>
      </c>
      <c r="N2709" s="11">
        <f t="shared" si="425"/>
        <v>0</v>
      </c>
      <c r="O2709" s="11">
        <f t="shared" si="426"/>
        <v>0</v>
      </c>
      <c r="P2709" s="12">
        <f t="shared" si="427"/>
        <v>0</v>
      </c>
      <c r="Q2709" s="17" t="str">
        <f t="shared" si="429"/>
        <v>Pas d'écart</v>
      </c>
    </row>
    <row r="2710" spans="1:18" x14ac:dyDescent="0.3">
      <c r="A2710" s="34">
        <f>base!J2710</f>
        <v>0</v>
      </c>
      <c r="B2710" s="34" t="str">
        <f>base!V2710</f>
        <v>77184</v>
      </c>
      <c r="C2710" s="37">
        <v>77</v>
      </c>
      <c r="D2710" s="36">
        <f>base!H2710</f>
        <v>37.19</v>
      </c>
      <c r="E2710" s="44"/>
      <c r="F2710" s="16">
        <f>base!W2710</f>
        <v>0</v>
      </c>
      <c r="G2710" s="11">
        <f t="shared" si="420"/>
        <v>0</v>
      </c>
      <c r="H2710" s="11">
        <f t="shared" si="421"/>
        <v>0</v>
      </c>
      <c r="I2710" s="11">
        <f t="shared" si="422"/>
        <v>0</v>
      </c>
      <c r="J2710" s="12">
        <f t="shared" si="423"/>
        <v>0</v>
      </c>
      <c r="K2710" s="17" t="str">
        <f t="shared" si="428"/>
        <v>Pas d'écart</v>
      </c>
      <c r="L2710" s="16">
        <f>base!X2710</f>
        <v>0</v>
      </c>
      <c r="M2710" s="11">
        <f t="shared" si="424"/>
        <v>0</v>
      </c>
      <c r="N2710" s="11">
        <f t="shared" si="425"/>
        <v>0</v>
      </c>
      <c r="O2710" s="11">
        <f t="shared" si="426"/>
        <v>0</v>
      </c>
      <c r="P2710" s="12">
        <f t="shared" si="427"/>
        <v>0</v>
      </c>
      <c r="Q2710" s="17" t="str">
        <f t="shared" si="429"/>
        <v>Pas d'écart</v>
      </c>
    </row>
    <row r="2711" spans="1:18" x14ac:dyDescent="0.3">
      <c r="A2711" s="34" t="str">
        <f>base!J2711</f>
        <v>RM</v>
      </c>
      <c r="B2711" s="34" t="str">
        <f>base!V2711</f>
        <v>67000</v>
      </c>
      <c r="C2711" s="37">
        <v>67</v>
      </c>
      <c r="D2711" s="36">
        <f>base!H2711</f>
        <v>29.8</v>
      </c>
      <c r="E2711" s="44"/>
      <c r="F2711" s="16">
        <f>base!W2711</f>
        <v>0</v>
      </c>
      <c r="G2711" s="11">
        <f t="shared" si="420"/>
        <v>0</v>
      </c>
      <c r="H2711" s="11">
        <f t="shared" si="421"/>
        <v>8.6419999999999995</v>
      </c>
      <c r="I2711" s="11">
        <f t="shared" si="422"/>
        <v>0.28999999999999998</v>
      </c>
      <c r="J2711" s="12">
        <f t="shared" si="423"/>
        <v>-8.6419999999999995</v>
      </c>
      <c r="K2711" s="17" t="str">
        <f t="shared" si="428"/>
        <v>Ecart négatif</v>
      </c>
      <c r="L2711" s="16">
        <f>base!X2711</f>
        <v>2.38</v>
      </c>
      <c r="M2711" s="11">
        <f t="shared" si="424"/>
        <v>7.986577181208053E-2</v>
      </c>
      <c r="N2711" s="11">
        <f t="shared" si="425"/>
        <v>2.3839999999999999</v>
      </c>
      <c r="O2711" s="11">
        <f t="shared" si="426"/>
        <v>7.9999999999999988E-2</v>
      </c>
      <c r="P2711" s="12">
        <f t="shared" si="427"/>
        <v>-4.0000000000000036E-3</v>
      </c>
      <c r="Q2711" s="17" t="str">
        <f t="shared" si="429"/>
        <v>Ecart négatif</v>
      </c>
      <c r="R2711" s="38"/>
    </row>
    <row r="2712" spans="1:18" x14ac:dyDescent="0.3">
      <c r="A2712" s="34" t="str">
        <f>base!J2712</f>
        <v>LS</v>
      </c>
      <c r="B2712" s="34" t="str">
        <f>base!V2712</f>
        <v>69800</v>
      </c>
      <c r="C2712" s="37">
        <v>79</v>
      </c>
      <c r="D2712" s="36">
        <f>base!H2712</f>
        <v>48</v>
      </c>
      <c r="E2712" s="44"/>
      <c r="F2712" s="16">
        <f>base!W2712</f>
        <v>12.96</v>
      </c>
      <c r="G2712" s="11">
        <f t="shared" si="420"/>
        <v>0.27</v>
      </c>
      <c r="H2712" s="11">
        <f t="shared" si="421"/>
        <v>10.08</v>
      </c>
      <c r="I2712" s="11">
        <f t="shared" si="422"/>
        <v>0.21</v>
      </c>
      <c r="J2712" s="12">
        <f t="shared" si="423"/>
        <v>2.8800000000000008</v>
      </c>
      <c r="K2712" s="17" t="str">
        <f t="shared" si="428"/>
        <v>Ecart positif</v>
      </c>
      <c r="L2712" s="16">
        <f>base!X2712</f>
        <v>0</v>
      </c>
      <c r="M2712" s="11">
        <f t="shared" si="424"/>
        <v>0</v>
      </c>
      <c r="N2712" s="11">
        <f t="shared" si="425"/>
        <v>5.76</v>
      </c>
      <c r="O2712" s="11">
        <f t="shared" si="426"/>
        <v>0.12</v>
      </c>
      <c r="P2712" s="12">
        <f t="shared" si="427"/>
        <v>-5.76</v>
      </c>
      <c r="Q2712" s="17" t="str">
        <f t="shared" si="429"/>
        <v>Ecart négatif</v>
      </c>
    </row>
    <row r="2713" spans="1:18" x14ac:dyDescent="0.3">
      <c r="A2713" s="34">
        <f>base!J2713</f>
        <v>0</v>
      </c>
      <c r="B2713" s="34" t="str">
        <f>base!V2713</f>
        <v>77184</v>
      </c>
      <c r="C2713" s="37">
        <v>77</v>
      </c>
      <c r="D2713" s="36">
        <f>base!H2713</f>
        <v>84.5</v>
      </c>
      <c r="E2713" s="44"/>
      <c r="F2713" s="16">
        <f>base!W2713</f>
        <v>0</v>
      </c>
      <c r="G2713" s="11">
        <f t="shared" si="420"/>
        <v>0</v>
      </c>
      <c r="H2713" s="11">
        <f t="shared" si="421"/>
        <v>0</v>
      </c>
      <c r="I2713" s="11">
        <f t="shared" si="422"/>
        <v>0</v>
      </c>
      <c r="J2713" s="12">
        <f t="shared" si="423"/>
        <v>0</v>
      </c>
      <c r="K2713" s="17" t="str">
        <f t="shared" si="428"/>
        <v>Pas d'écart</v>
      </c>
      <c r="L2713" s="16">
        <f>base!X2713</f>
        <v>0</v>
      </c>
      <c r="M2713" s="11">
        <f t="shared" si="424"/>
        <v>0</v>
      </c>
      <c r="N2713" s="11">
        <f t="shared" si="425"/>
        <v>0</v>
      </c>
      <c r="O2713" s="11">
        <f t="shared" si="426"/>
        <v>0</v>
      </c>
      <c r="P2713" s="12">
        <f t="shared" si="427"/>
        <v>0</v>
      </c>
      <c r="Q2713" s="17" t="str">
        <f t="shared" si="429"/>
        <v>Pas d'écart</v>
      </c>
    </row>
    <row r="2714" spans="1:18" x14ac:dyDescent="0.3">
      <c r="A2714" s="34">
        <f>base!J2714</f>
        <v>0</v>
      </c>
      <c r="B2714" s="34" t="str">
        <f>base!V2714</f>
        <v>77184</v>
      </c>
      <c r="C2714" s="37">
        <v>77</v>
      </c>
      <c r="D2714" s="36">
        <f>base!H2714</f>
        <v>171</v>
      </c>
      <c r="E2714" s="44"/>
      <c r="F2714" s="16">
        <f>base!W2714</f>
        <v>0</v>
      </c>
      <c r="G2714" s="11">
        <f t="shared" si="420"/>
        <v>0</v>
      </c>
      <c r="H2714" s="11">
        <f t="shared" si="421"/>
        <v>0</v>
      </c>
      <c r="I2714" s="11">
        <f t="shared" si="422"/>
        <v>0</v>
      </c>
      <c r="J2714" s="12">
        <f t="shared" si="423"/>
        <v>0</v>
      </c>
      <c r="K2714" s="17" t="str">
        <f t="shared" si="428"/>
        <v>Pas d'écart</v>
      </c>
      <c r="L2714" s="16">
        <f>base!X2714</f>
        <v>0</v>
      </c>
      <c r="M2714" s="11">
        <f t="shared" si="424"/>
        <v>0</v>
      </c>
      <c r="N2714" s="11">
        <f t="shared" si="425"/>
        <v>0</v>
      </c>
      <c r="O2714" s="11">
        <f t="shared" si="426"/>
        <v>0</v>
      </c>
      <c r="P2714" s="12">
        <f t="shared" si="427"/>
        <v>0</v>
      </c>
      <c r="Q2714" s="17" t="str">
        <f t="shared" si="429"/>
        <v>Pas d'écart</v>
      </c>
    </row>
    <row r="2715" spans="1:18" x14ac:dyDescent="0.3">
      <c r="A2715" s="34">
        <f>base!J2715</f>
        <v>0</v>
      </c>
      <c r="B2715" s="34" t="str">
        <f>base!V2715</f>
        <v>77184</v>
      </c>
      <c r="C2715" s="37">
        <v>77</v>
      </c>
      <c r="D2715" s="36">
        <f>base!H2715</f>
        <v>170</v>
      </c>
      <c r="E2715" s="44"/>
      <c r="F2715" s="16">
        <f>base!W2715</f>
        <v>0</v>
      </c>
      <c r="G2715" s="11">
        <f t="shared" si="420"/>
        <v>0</v>
      </c>
      <c r="H2715" s="11">
        <f t="shared" si="421"/>
        <v>0</v>
      </c>
      <c r="I2715" s="11">
        <f t="shared" si="422"/>
        <v>0</v>
      </c>
      <c r="J2715" s="12">
        <f t="shared" si="423"/>
        <v>0</v>
      </c>
      <c r="K2715" s="17" t="str">
        <f t="shared" si="428"/>
        <v>Pas d'écart</v>
      </c>
      <c r="L2715" s="16">
        <f>base!X2715</f>
        <v>0</v>
      </c>
      <c r="M2715" s="11">
        <f t="shared" si="424"/>
        <v>0</v>
      </c>
      <c r="N2715" s="11">
        <f t="shared" si="425"/>
        <v>0</v>
      </c>
      <c r="O2715" s="11">
        <f t="shared" si="426"/>
        <v>0</v>
      </c>
      <c r="P2715" s="12">
        <f t="shared" si="427"/>
        <v>0</v>
      </c>
      <c r="Q2715" s="17" t="str">
        <f t="shared" si="429"/>
        <v>Pas d'écart</v>
      </c>
    </row>
    <row r="2716" spans="1:18" x14ac:dyDescent="0.3">
      <c r="A2716" s="34">
        <f>base!J2716</f>
        <v>0</v>
      </c>
      <c r="B2716" s="34" t="str">
        <f>base!V2716</f>
        <v>77184</v>
      </c>
      <c r="C2716" s="37">
        <v>77</v>
      </c>
      <c r="D2716" s="36">
        <f>base!H2716</f>
        <v>156</v>
      </c>
      <c r="E2716" s="44"/>
      <c r="F2716" s="16">
        <f>base!W2716</f>
        <v>0</v>
      </c>
      <c r="G2716" s="11">
        <f t="shared" si="420"/>
        <v>0</v>
      </c>
      <c r="H2716" s="11">
        <f t="shared" si="421"/>
        <v>0</v>
      </c>
      <c r="I2716" s="11">
        <f t="shared" si="422"/>
        <v>0</v>
      </c>
      <c r="J2716" s="12">
        <f t="shared" si="423"/>
        <v>0</v>
      </c>
      <c r="K2716" s="17" t="str">
        <f t="shared" si="428"/>
        <v>Pas d'écart</v>
      </c>
      <c r="L2716" s="16">
        <f>base!X2716</f>
        <v>0</v>
      </c>
      <c r="M2716" s="11">
        <f t="shared" si="424"/>
        <v>0</v>
      </c>
      <c r="N2716" s="11">
        <f t="shared" si="425"/>
        <v>0</v>
      </c>
      <c r="O2716" s="11">
        <f t="shared" si="426"/>
        <v>0</v>
      </c>
      <c r="P2716" s="12">
        <f t="shared" si="427"/>
        <v>0</v>
      </c>
      <c r="Q2716" s="17" t="str">
        <f t="shared" si="429"/>
        <v>Pas d'écart</v>
      </c>
    </row>
    <row r="2717" spans="1:18" x14ac:dyDescent="0.3">
      <c r="A2717" s="34" t="str">
        <f>base!J2717</f>
        <v>LS</v>
      </c>
      <c r="B2717" s="34" t="str">
        <f>base!V2717</f>
        <v>30000</v>
      </c>
      <c r="C2717" s="37">
        <v>17</v>
      </c>
      <c r="D2717" s="36">
        <f>base!H2717</f>
        <v>84</v>
      </c>
      <c r="E2717" s="44"/>
      <c r="F2717" s="16">
        <f>base!W2717</f>
        <v>32.76</v>
      </c>
      <c r="G2717" s="11">
        <f t="shared" si="420"/>
        <v>0.38999999999999996</v>
      </c>
      <c r="H2717" s="11">
        <f t="shared" si="421"/>
        <v>17.64</v>
      </c>
      <c r="I2717" s="11">
        <f t="shared" si="422"/>
        <v>0.21000000000000002</v>
      </c>
      <c r="J2717" s="12">
        <f t="shared" si="423"/>
        <v>15.119999999999997</v>
      </c>
      <c r="K2717" s="17" t="str">
        <f t="shared" si="428"/>
        <v>Ecart positif</v>
      </c>
      <c r="L2717" s="16">
        <f>base!X2717</f>
        <v>0</v>
      </c>
      <c r="M2717" s="11">
        <f t="shared" si="424"/>
        <v>0</v>
      </c>
      <c r="N2717" s="11">
        <f t="shared" si="425"/>
        <v>14.280000000000001</v>
      </c>
      <c r="O2717" s="11">
        <f t="shared" si="426"/>
        <v>0.17</v>
      </c>
      <c r="P2717" s="12">
        <f t="shared" si="427"/>
        <v>-14.280000000000001</v>
      </c>
      <c r="Q2717" s="17" t="str">
        <f t="shared" si="429"/>
        <v>Ecart négatif</v>
      </c>
    </row>
    <row r="2718" spans="1:18" x14ac:dyDescent="0.3">
      <c r="A2718" s="34" t="str">
        <f>base!J2718</f>
        <v>LS</v>
      </c>
      <c r="B2718" s="34" t="str">
        <f>base!V2718</f>
        <v>69800</v>
      </c>
      <c r="C2718" s="37">
        <v>17</v>
      </c>
      <c r="D2718" s="36">
        <f>base!H2718</f>
        <v>151</v>
      </c>
      <c r="E2718" s="44"/>
      <c r="F2718" s="16">
        <f>base!W2718</f>
        <v>40.770000000000003</v>
      </c>
      <c r="G2718" s="11">
        <f t="shared" si="420"/>
        <v>0.27</v>
      </c>
      <c r="H2718" s="11">
        <f t="shared" si="421"/>
        <v>31.709999999999997</v>
      </c>
      <c r="I2718" s="11">
        <f t="shared" si="422"/>
        <v>0.21</v>
      </c>
      <c r="J2718" s="12">
        <f t="shared" si="423"/>
        <v>9.0600000000000058</v>
      </c>
      <c r="K2718" s="17" t="str">
        <f t="shared" si="428"/>
        <v>Ecart positif</v>
      </c>
      <c r="L2718" s="16">
        <f>base!X2718</f>
        <v>0</v>
      </c>
      <c r="M2718" s="11">
        <f t="shared" si="424"/>
        <v>0</v>
      </c>
      <c r="N2718" s="11">
        <f t="shared" si="425"/>
        <v>25.67</v>
      </c>
      <c r="O2718" s="11">
        <f t="shared" si="426"/>
        <v>0.17</v>
      </c>
      <c r="P2718" s="12">
        <f t="shared" si="427"/>
        <v>-25.67</v>
      </c>
      <c r="Q2718" s="17" t="str">
        <f t="shared" si="429"/>
        <v>Ecart négatif</v>
      </c>
    </row>
    <row r="2719" spans="1:18" x14ac:dyDescent="0.3">
      <c r="A2719" s="34" t="str">
        <f>base!J2719</f>
        <v>LS</v>
      </c>
      <c r="B2719" s="34" t="str">
        <f>base!V2719</f>
        <v>69100</v>
      </c>
      <c r="C2719" s="37">
        <v>17</v>
      </c>
      <c r="D2719" s="36">
        <f>base!H2719</f>
        <v>15.8</v>
      </c>
      <c r="E2719" s="44"/>
      <c r="F2719" s="16">
        <f>base!W2719</f>
        <v>4.2699999999999996</v>
      </c>
      <c r="G2719" s="11">
        <f t="shared" si="420"/>
        <v>0.27025316455696197</v>
      </c>
      <c r="H2719" s="11">
        <f t="shared" si="421"/>
        <v>3.3180000000000001</v>
      </c>
      <c r="I2719" s="11">
        <f t="shared" si="422"/>
        <v>0.21</v>
      </c>
      <c r="J2719" s="12">
        <f t="shared" si="423"/>
        <v>0.95199999999999951</v>
      </c>
      <c r="K2719" s="17" t="str">
        <f t="shared" si="428"/>
        <v>Ecart positif</v>
      </c>
      <c r="L2719" s="16">
        <f>base!X2719</f>
        <v>0</v>
      </c>
      <c r="M2719" s="11">
        <f t="shared" si="424"/>
        <v>0</v>
      </c>
      <c r="N2719" s="11">
        <f t="shared" si="425"/>
        <v>2.6860000000000004</v>
      </c>
      <c r="O2719" s="11">
        <f t="shared" si="426"/>
        <v>0.17</v>
      </c>
      <c r="P2719" s="12">
        <f t="shared" si="427"/>
        <v>-2.6860000000000004</v>
      </c>
      <c r="Q2719" s="17" t="str">
        <f t="shared" si="429"/>
        <v>Ecart négatif</v>
      </c>
    </row>
    <row r="2720" spans="1:18" x14ac:dyDescent="0.3">
      <c r="A2720" s="34">
        <f>base!J2720</f>
        <v>0</v>
      </c>
      <c r="B2720" s="34" t="str">
        <f>base!V2720</f>
        <v>77184</v>
      </c>
      <c r="C2720" s="37">
        <v>77</v>
      </c>
      <c r="D2720" s="36">
        <f>base!H2720</f>
        <v>69.7</v>
      </c>
      <c r="E2720" s="44"/>
      <c r="F2720" s="16">
        <f>base!W2720</f>
        <v>0</v>
      </c>
      <c r="G2720" s="11">
        <f t="shared" si="420"/>
        <v>0</v>
      </c>
      <c r="H2720" s="11">
        <f t="shared" si="421"/>
        <v>0</v>
      </c>
      <c r="I2720" s="11">
        <f t="shared" si="422"/>
        <v>0</v>
      </c>
      <c r="J2720" s="12">
        <f t="shared" si="423"/>
        <v>0</v>
      </c>
      <c r="K2720" s="17" t="str">
        <f t="shared" si="428"/>
        <v>Pas d'écart</v>
      </c>
      <c r="L2720" s="16">
        <f>base!X2720</f>
        <v>0</v>
      </c>
      <c r="M2720" s="11">
        <f t="shared" si="424"/>
        <v>0</v>
      </c>
      <c r="N2720" s="11">
        <f t="shared" si="425"/>
        <v>0</v>
      </c>
      <c r="O2720" s="11">
        <f t="shared" si="426"/>
        <v>0</v>
      </c>
      <c r="P2720" s="12">
        <f t="shared" si="427"/>
        <v>0</v>
      </c>
      <c r="Q2720" s="17" t="str">
        <f t="shared" si="429"/>
        <v>Pas d'écart</v>
      </c>
    </row>
    <row r="2721" spans="1:18" x14ac:dyDescent="0.3">
      <c r="A2721" s="34">
        <f>base!J2721</f>
        <v>0</v>
      </c>
      <c r="B2721" s="34" t="str">
        <f>base!V2721</f>
        <v>77184</v>
      </c>
      <c r="C2721" s="37">
        <v>77</v>
      </c>
      <c r="D2721" s="36">
        <f>base!H2721</f>
        <v>169</v>
      </c>
      <c r="E2721" s="44"/>
      <c r="F2721" s="16">
        <f>base!W2721</f>
        <v>0</v>
      </c>
      <c r="G2721" s="11">
        <f t="shared" si="420"/>
        <v>0</v>
      </c>
      <c r="H2721" s="11">
        <f t="shared" si="421"/>
        <v>0</v>
      </c>
      <c r="I2721" s="11">
        <f t="shared" si="422"/>
        <v>0</v>
      </c>
      <c r="J2721" s="12">
        <f t="shared" si="423"/>
        <v>0</v>
      </c>
      <c r="K2721" s="17" t="str">
        <f t="shared" si="428"/>
        <v>Pas d'écart</v>
      </c>
      <c r="L2721" s="16">
        <f>base!X2721</f>
        <v>0</v>
      </c>
      <c r="M2721" s="11">
        <f t="shared" si="424"/>
        <v>0</v>
      </c>
      <c r="N2721" s="11">
        <f t="shared" si="425"/>
        <v>0</v>
      </c>
      <c r="O2721" s="11">
        <f t="shared" si="426"/>
        <v>0</v>
      </c>
      <c r="P2721" s="12">
        <f t="shared" si="427"/>
        <v>0</v>
      </c>
      <c r="Q2721" s="17" t="str">
        <f t="shared" si="429"/>
        <v>Pas d'écart</v>
      </c>
    </row>
    <row r="2722" spans="1:18" x14ac:dyDescent="0.3">
      <c r="A2722" s="34">
        <f>base!J2722</f>
        <v>0</v>
      </c>
      <c r="B2722" s="34" t="str">
        <f>base!V2722</f>
        <v>77184</v>
      </c>
      <c r="C2722" s="37">
        <v>77</v>
      </c>
      <c r="D2722" s="36">
        <f>base!H2722</f>
        <v>117</v>
      </c>
      <c r="E2722" s="44"/>
      <c r="F2722" s="16">
        <f>base!W2722</f>
        <v>0</v>
      </c>
      <c r="G2722" s="11">
        <f t="shared" si="420"/>
        <v>0</v>
      </c>
      <c r="H2722" s="11">
        <f t="shared" si="421"/>
        <v>0</v>
      </c>
      <c r="I2722" s="11">
        <f t="shared" si="422"/>
        <v>0</v>
      </c>
      <c r="J2722" s="12">
        <f t="shared" si="423"/>
        <v>0</v>
      </c>
      <c r="K2722" s="17" t="str">
        <f t="shared" si="428"/>
        <v>Pas d'écart</v>
      </c>
      <c r="L2722" s="16">
        <f>base!X2722</f>
        <v>0</v>
      </c>
      <c r="M2722" s="11">
        <f t="shared" si="424"/>
        <v>0</v>
      </c>
      <c r="N2722" s="11">
        <f t="shared" si="425"/>
        <v>0</v>
      </c>
      <c r="O2722" s="11">
        <f t="shared" si="426"/>
        <v>0</v>
      </c>
      <c r="P2722" s="12">
        <f t="shared" si="427"/>
        <v>0</v>
      </c>
      <c r="Q2722" s="17" t="str">
        <f t="shared" si="429"/>
        <v>Pas d'écart</v>
      </c>
    </row>
    <row r="2723" spans="1:18" x14ac:dyDescent="0.3">
      <c r="A2723" s="34">
        <f>base!J2723</f>
        <v>0</v>
      </c>
      <c r="B2723" s="34" t="str">
        <f>base!V2723</f>
        <v>77184</v>
      </c>
      <c r="C2723" s="37">
        <v>77</v>
      </c>
      <c r="D2723" s="36">
        <f>base!H2723</f>
        <v>109</v>
      </c>
      <c r="E2723" s="44"/>
      <c r="F2723" s="16">
        <f>base!W2723</f>
        <v>0</v>
      </c>
      <c r="G2723" s="11">
        <f t="shared" si="420"/>
        <v>0</v>
      </c>
      <c r="H2723" s="11">
        <f t="shared" si="421"/>
        <v>0</v>
      </c>
      <c r="I2723" s="11">
        <f t="shared" si="422"/>
        <v>0</v>
      </c>
      <c r="J2723" s="12">
        <f t="shared" si="423"/>
        <v>0</v>
      </c>
      <c r="K2723" s="17" t="str">
        <f t="shared" si="428"/>
        <v>Pas d'écart</v>
      </c>
      <c r="L2723" s="16">
        <f>base!X2723</f>
        <v>0</v>
      </c>
      <c r="M2723" s="11">
        <f t="shared" si="424"/>
        <v>0</v>
      </c>
      <c r="N2723" s="11">
        <f t="shared" si="425"/>
        <v>0</v>
      </c>
      <c r="O2723" s="11">
        <f t="shared" si="426"/>
        <v>0</v>
      </c>
      <c r="P2723" s="12">
        <f t="shared" si="427"/>
        <v>0</v>
      </c>
      <c r="Q2723" s="17" t="str">
        <f t="shared" si="429"/>
        <v>Pas d'écart</v>
      </c>
    </row>
    <row r="2724" spans="1:18" x14ac:dyDescent="0.3">
      <c r="A2724" s="34">
        <f>base!J2724</f>
        <v>0</v>
      </c>
      <c r="B2724" s="34" t="str">
        <f>base!V2724</f>
        <v>77184</v>
      </c>
      <c r="C2724" s="37">
        <v>77</v>
      </c>
      <c r="D2724" s="36">
        <f>base!H2724</f>
        <v>31</v>
      </c>
      <c r="E2724" s="44"/>
      <c r="F2724" s="16">
        <f>base!W2724</f>
        <v>0</v>
      </c>
      <c r="G2724" s="11">
        <f t="shared" si="420"/>
        <v>0</v>
      </c>
      <c r="H2724" s="11">
        <f t="shared" si="421"/>
        <v>0</v>
      </c>
      <c r="I2724" s="11">
        <f t="shared" si="422"/>
        <v>0</v>
      </c>
      <c r="J2724" s="12">
        <f t="shared" si="423"/>
        <v>0</v>
      </c>
      <c r="K2724" s="17" t="str">
        <f t="shared" si="428"/>
        <v>Pas d'écart</v>
      </c>
      <c r="L2724" s="16">
        <f>base!X2724</f>
        <v>0</v>
      </c>
      <c r="M2724" s="11">
        <f t="shared" si="424"/>
        <v>0</v>
      </c>
      <c r="N2724" s="11">
        <f t="shared" si="425"/>
        <v>0</v>
      </c>
      <c r="O2724" s="11">
        <f t="shared" si="426"/>
        <v>0</v>
      </c>
      <c r="P2724" s="12">
        <f t="shared" si="427"/>
        <v>0</v>
      </c>
      <c r="Q2724" s="17" t="str">
        <f t="shared" si="429"/>
        <v>Pas d'écart</v>
      </c>
    </row>
    <row r="2725" spans="1:18" x14ac:dyDescent="0.3">
      <c r="A2725" s="34">
        <f>base!J2725</f>
        <v>0</v>
      </c>
      <c r="B2725" s="34" t="str">
        <f>base!V2725</f>
        <v>77184</v>
      </c>
      <c r="C2725" s="37">
        <v>77</v>
      </c>
      <c r="D2725" s="36">
        <f>base!H2725</f>
        <v>85.04</v>
      </c>
      <c r="E2725" s="44"/>
      <c r="F2725" s="16">
        <f>base!W2725</f>
        <v>0</v>
      </c>
      <c r="G2725" s="11">
        <f t="shared" si="420"/>
        <v>0</v>
      </c>
      <c r="H2725" s="11">
        <f t="shared" si="421"/>
        <v>0</v>
      </c>
      <c r="I2725" s="11">
        <f t="shared" si="422"/>
        <v>0</v>
      </c>
      <c r="J2725" s="12">
        <f t="shared" si="423"/>
        <v>0</v>
      </c>
      <c r="K2725" s="17" t="str">
        <f t="shared" si="428"/>
        <v>Pas d'écart</v>
      </c>
      <c r="L2725" s="16">
        <f>base!X2725</f>
        <v>0</v>
      </c>
      <c r="M2725" s="11">
        <f t="shared" si="424"/>
        <v>0</v>
      </c>
      <c r="N2725" s="11">
        <f t="shared" si="425"/>
        <v>0</v>
      </c>
      <c r="O2725" s="11">
        <f t="shared" si="426"/>
        <v>0</v>
      </c>
      <c r="P2725" s="12">
        <f t="shared" si="427"/>
        <v>0</v>
      </c>
      <c r="Q2725" s="17" t="str">
        <f t="shared" si="429"/>
        <v>Pas d'écart</v>
      </c>
    </row>
    <row r="2726" spans="1:18" x14ac:dyDescent="0.3">
      <c r="A2726" s="34">
        <f>base!J2726</f>
        <v>0</v>
      </c>
      <c r="B2726" s="34" t="str">
        <f>base!V2726</f>
        <v>77184</v>
      </c>
      <c r="C2726" s="37">
        <v>77</v>
      </c>
      <c r="D2726" s="36">
        <f>base!H2726</f>
        <v>33.630000000000003</v>
      </c>
      <c r="E2726" s="44"/>
      <c r="F2726" s="16">
        <f>base!W2726</f>
        <v>0</v>
      </c>
      <c r="G2726" s="11">
        <f t="shared" si="420"/>
        <v>0</v>
      </c>
      <c r="H2726" s="11">
        <f t="shared" si="421"/>
        <v>0</v>
      </c>
      <c r="I2726" s="11">
        <f t="shared" si="422"/>
        <v>0</v>
      </c>
      <c r="J2726" s="12">
        <f t="shared" si="423"/>
        <v>0</v>
      </c>
      <c r="K2726" s="17" t="str">
        <f t="shared" si="428"/>
        <v>Pas d'écart</v>
      </c>
      <c r="L2726" s="16">
        <f>base!X2726</f>
        <v>0</v>
      </c>
      <c r="M2726" s="11">
        <f t="shared" si="424"/>
        <v>0</v>
      </c>
      <c r="N2726" s="11">
        <f t="shared" si="425"/>
        <v>0</v>
      </c>
      <c r="O2726" s="11">
        <f t="shared" si="426"/>
        <v>0</v>
      </c>
      <c r="P2726" s="12">
        <f t="shared" si="427"/>
        <v>0</v>
      </c>
      <c r="Q2726" s="17" t="str">
        <f t="shared" si="429"/>
        <v>Pas d'écart</v>
      </c>
    </row>
    <row r="2727" spans="1:18" x14ac:dyDescent="0.3">
      <c r="A2727" s="34" t="str">
        <f>base!J2727</f>
        <v>LM</v>
      </c>
      <c r="B2727" s="34" t="str">
        <f>base!V2727</f>
        <v>06190</v>
      </c>
      <c r="C2727" s="37">
        <v>17</v>
      </c>
      <c r="D2727" s="36">
        <f>base!H2727</f>
        <v>92</v>
      </c>
      <c r="E2727" s="44"/>
      <c r="F2727" s="16">
        <f>base!W2727</f>
        <v>27.6</v>
      </c>
      <c r="G2727" s="11">
        <f t="shared" si="420"/>
        <v>0.3</v>
      </c>
      <c r="H2727" s="11">
        <f t="shared" si="421"/>
        <v>19.32</v>
      </c>
      <c r="I2727" s="11">
        <f t="shared" si="422"/>
        <v>0.21</v>
      </c>
      <c r="J2727" s="12">
        <f t="shared" si="423"/>
        <v>8.2800000000000011</v>
      </c>
      <c r="K2727" s="17" t="str">
        <f t="shared" si="428"/>
        <v>Ecart positif</v>
      </c>
      <c r="L2727" s="16">
        <f>base!X2727</f>
        <v>0</v>
      </c>
      <c r="M2727" s="11">
        <f t="shared" si="424"/>
        <v>0</v>
      </c>
      <c r="N2727" s="11">
        <f t="shared" si="425"/>
        <v>15.64</v>
      </c>
      <c r="O2727" s="11">
        <f t="shared" si="426"/>
        <v>0.17</v>
      </c>
      <c r="P2727" s="12">
        <f t="shared" si="427"/>
        <v>-15.64</v>
      </c>
      <c r="Q2727" s="17" t="str">
        <f t="shared" si="429"/>
        <v>Ecart négatif</v>
      </c>
    </row>
    <row r="2728" spans="1:18" x14ac:dyDescent="0.3">
      <c r="A2728" s="34" t="str">
        <f>base!J2728</f>
        <v>LM</v>
      </c>
      <c r="B2728" s="34" t="str">
        <f>base!V2728</f>
        <v>06190</v>
      </c>
      <c r="C2728" s="37">
        <v>79</v>
      </c>
      <c r="D2728" s="36">
        <f>base!H2728</f>
        <v>92</v>
      </c>
      <c r="E2728" s="44"/>
      <c r="F2728" s="16">
        <f>base!W2728</f>
        <v>27.6</v>
      </c>
      <c r="G2728" s="11">
        <f t="shared" si="420"/>
        <v>0.3</v>
      </c>
      <c r="H2728" s="11">
        <f t="shared" si="421"/>
        <v>19.32</v>
      </c>
      <c r="I2728" s="11">
        <f t="shared" si="422"/>
        <v>0.21</v>
      </c>
      <c r="J2728" s="12">
        <f t="shared" si="423"/>
        <v>8.2800000000000011</v>
      </c>
      <c r="K2728" s="17" t="str">
        <f t="shared" si="428"/>
        <v>Ecart positif</v>
      </c>
      <c r="L2728" s="16">
        <f>base!X2728</f>
        <v>0</v>
      </c>
      <c r="M2728" s="11">
        <f t="shared" si="424"/>
        <v>0</v>
      </c>
      <c r="N2728" s="11">
        <f t="shared" si="425"/>
        <v>11.04</v>
      </c>
      <c r="O2728" s="11">
        <f t="shared" si="426"/>
        <v>0.12</v>
      </c>
      <c r="P2728" s="12">
        <f t="shared" si="427"/>
        <v>-11.04</v>
      </c>
      <c r="Q2728" s="17" t="str">
        <f t="shared" si="429"/>
        <v>Ecart négatif</v>
      </c>
    </row>
    <row r="2729" spans="1:18" x14ac:dyDescent="0.3">
      <c r="A2729" s="34" t="str">
        <f>base!J2729</f>
        <v>RM</v>
      </c>
      <c r="B2729" s="34" t="str">
        <f>base!V2729</f>
        <v>06190</v>
      </c>
      <c r="C2729" s="37">
        <v>6</v>
      </c>
      <c r="D2729" s="36">
        <f>base!H2729</f>
        <v>92</v>
      </c>
      <c r="E2729" s="44"/>
      <c r="F2729" s="16">
        <f>base!W2729</f>
        <v>0</v>
      </c>
      <c r="G2729" s="11">
        <f t="shared" si="420"/>
        <v>0</v>
      </c>
      <c r="H2729" s="11">
        <f t="shared" si="421"/>
        <v>27.599999999999998</v>
      </c>
      <c r="I2729" s="11">
        <f t="shared" si="422"/>
        <v>0.3</v>
      </c>
      <c r="J2729" s="12">
        <f t="shared" si="423"/>
        <v>-27.599999999999998</v>
      </c>
      <c r="K2729" s="17" t="str">
        <f t="shared" si="428"/>
        <v>Ecart négatif</v>
      </c>
      <c r="L2729" s="16">
        <f>base!X2729</f>
        <v>27.6</v>
      </c>
      <c r="M2729" s="11">
        <f t="shared" si="424"/>
        <v>0.3</v>
      </c>
      <c r="N2729" s="11">
        <f t="shared" si="425"/>
        <v>19.32</v>
      </c>
      <c r="O2729" s="11">
        <f t="shared" si="426"/>
        <v>0.21</v>
      </c>
      <c r="P2729" s="12">
        <f t="shared" si="427"/>
        <v>8.2800000000000011</v>
      </c>
      <c r="Q2729" s="17" t="str">
        <f t="shared" si="429"/>
        <v>Ecart positif</v>
      </c>
      <c r="R2729" s="38"/>
    </row>
    <row r="2730" spans="1:18" x14ac:dyDescent="0.3">
      <c r="A2730" s="34" t="str">
        <f>base!J2730</f>
        <v>RS</v>
      </c>
      <c r="B2730" s="34" t="str">
        <f>base!V2730</f>
        <v>13800</v>
      </c>
      <c r="C2730" s="37">
        <v>13</v>
      </c>
      <c r="D2730" s="36">
        <f>base!H2730</f>
        <v>27.72</v>
      </c>
      <c r="E2730" s="44"/>
      <c r="F2730" s="16">
        <f>base!W2730</f>
        <v>0</v>
      </c>
      <c r="G2730" s="11">
        <f t="shared" si="420"/>
        <v>0</v>
      </c>
      <c r="H2730" s="11">
        <f t="shared" si="421"/>
        <v>8.0387999999999984</v>
      </c>
      <c r="I2730" s="11">
        <f t="shared" si="422"/>
        <v>0.28999999999999998</v>
      </c>
      <c r="J2730" s="12">
        <f t="shared" si="423"/>
        <v>-8.0387999999999984</v>
      </c>
      <c r="K2730" s="17" t="str">
        <f t="shared" si="428"/>
        <v>Ecart négatif</v>
      </c>
      <c r="L2730" s="16">
        <f>base!X2730</f>
        <v>12.75</v>
      </c>
      <c r="M2730" s="11">
        <f t="shared" si="424"/>
        <v>0.45995670995670995</v>
      </c>
      <c r="N2730" s="11">
        <f t="shared" si="425"/>
        <v>5.2667999999999999</v>
      </c>
      <c r="O2730" s="11">
        <f t="shared" si="426"/>
        <v>0.19</v>
      </c>
      <c r="P2730" s="12">
        <f t="shared" si="427"/>
        <v>7.4832000000000001</v>
      </c>
      <c r="Q2730" s="17" t="str">
        <f t="shared" si="429"/>
        <v>Ecart positif</v>
      </c>
      <c r="R2730" s="38"/>
    </row>
    <row r="2731" spans="1:18" x14ac:dyDescent="0.3">
      <c r="A2731" s="34" t="str">
        <f>base!J2731</f>
        <v>LM</v>
      </c>
      <c r="B2731" s="34" t="str">
        <f>base!V2731</f>
        <v>37140</v>
      </c>
      <c r="C2731" s="37">
        <v>17</v>
      </c>
      <c r="D2731" s="36">
        <f>base!H2731</f>
        <v>120.65</v>
      </c>
      <c r="E2731" s="44"/>
      <c r="F2731" s="16">
        <f>base!W2731</f>
        <v>25.34</v>
      </c>
      <c r="G2731" s="11">
        <f t="shared" si="420"/>
        <v>0.21002900953170325</v>
      </c>
      <c r="H2731" s="11">
        <f t="shared" si="421"/>
        <v>25.336500000000001</v>
      </c>
      <c r="I2731" s="11">
        <f t="shared" si="422"/>
        <v>0.21</v>
      </c>
      <c r="J2731" s="12">
        <f t="shared" si="423"/>
        <v>3.4999999999989484E-3</v>
      </c>
      <c r="K2731" s="17" t="str">
        <f t="shared" si="428"/>
        <v>Ecart positif</v>
      </c>
      <c r="L2731" s="16">
        <f>base!X2731</f>
        <v>0</v>
      </c>
      <c r="M2731" s="11">
        <f t="shared" si="424"/>
        <v>0</v>
      </c>
      <c r="N2731" s="11">
        <f t="shared" si="425"/>
        <v>20.510500000000004</v>
      </c>
      <c r="O2731" s="11">
        <f t="shared" si="426"/>
        <v>0.17</v>
      </c>
      <c r="P2731" s="12">
        <f t="shared" si="427"/>
        <v>-20.510500000000004</v>
      </c>
      <c r="Q2731" s="17" t="str">
        <f t="shared" si="429"/>
        <v>Ecart négatif</v>
      </c>
    </row>
    <row r="2732" spans="1:18" x14ac:dyDescent="0.3">
      <c r="A2732" s="34" t="str">
        <f>base!J2732</f>
        <v>LS</v>
      </c>
      <c r="B2732" s="34" t="str">
        <f>base!V2732</f>
        <v>44470</v>
      </c>
      <c r="C2732" s="37">
        <v>79</v>
      </c>
      <c r="D2732" s="36">
        <f>base!H2732</f>
        <v>155.04</v>
      </c>
      <c r="E2732" s="44"/>
      <c r="F2732" s="16">
        <f>base!W2732</f>
        <v>41.86</v>
      </c>
      <c r="G2732" s="11">
        <f t="shared" si="420"/>
        <v>0.26999484004127966</v>
      </c>
      <c r="H2732" s="11">
        <f t="shared" si="421"/>
        <v>32.558399999999999</v>
      </c>
      <c r="I2732" s="11">
        <f t="shared" si="422"/>
        <v>0.21</v>
      </c>
      <c r="J2732" s="12">
        <f t="shared" si="423"/>
        <v>9.3016000000000005</v>
      </c>
      <c r="K2732" s="17" t="str">
        <f t="shared" si="428"/>
        <v>Ecart positif</v>
      </c>
      <c r="L2732" s="16">
        <f>base!X2732</f>
        <v>0</v>
      </c>
      <c r="M2732" s="11">
        <f t="shared" si="424"/>
        <v>0</v>
      </c>
      <c r="N2732" s="11">
        <f t="shared" si="425"/>
        <v>18.604799999999997</v>
      </c>
      <c r="O2732" s="11">
        <f t="shared" si="426"/>
        <v>0.12</v>
      </c>
      <c r="P2732" s="12">
        <f t="shared" si="427"/>
        <v>-18.604799999999997</v>
      </c>
      <c r="Q2732" s="17" t="str">
        <f t="shared" si="429"/>
        <v>Ecart négatif</v>
      </c>
    </row>
    <row r="2733" spans="1:18" x14ac:dyDescent="0.3">
      <c r="A2733" s="34" t="str">
        <f>base!J2733</f>
        <v>LS</v>
      </c>
      <c r="B2733" s="34" t="str">
        <f>base!V2733</f>
        <v>31100</v>
      </c>
      <c r="C2733" s="37">
        <v>17</v>
      </c>
      <c r="D2733" s="36">
        <f>base!H2733</f>
        <v>52.52</v>
      </c>
      <c r="E2733" s="44"/>
      <c r="F2733" s="16">
        <f>base!W2733</f>
        <v>11.55</v>
      </c>
      <c r="G2733" s="11">
        <f t="shared" si="420"/>
        <v>0.21991622239146991</v>
      </c>
      <c r="H2733" s="11">
        <f t="shared" si="421"/>
        <v>11.029199999999999</v>
      </c>
      <c r="I2733" s="11">
        <f t="shared" si="422"/>
        <v>0.20999999999999996</v>
      </c>
      <c r="J2733" s="12">
        <f t="shared" si="423"/>
        <v>0.52080000000000126</v>
      </c>
      <c r="K2733" s="17" t="str">
        <f t="shared" si="428"/>
        <v>Ecart positif</v>
      </c>
      <c r="L2733" s="16">
        <f>base!X2733</f>
        <v>0</v>
      </c>
      <c r="M2733" s="11">
        <f t="shared" si="424"/>
        <v>0</v>
      </c>
      <c r="N2733" s="11">
        <f t="shared" si="425"/>
        <v>8.9284000000000017</v>
      </c>
      <c r="O2733" s="11">
        <f t="shared" si="426"/>
        <v>0.17</v>
      </c>
      <c r="P2733" s="12">
        <f t="shared" si="427"/>
        <v>-8.9284000000000017</v>
      </c>
      <c r="Q2733" s="17" t="str">
        <f t="shared" si="429"/>
        <v>Ecart négatif</v>
      </c>
    </row>
    <row r="2734" spans="1:18" x14ac:dyDescent="0.3">
      <c r="A2734" s="34" t="str">
        <f>base!J2734</f>
        <v>LM</v>
      </c>
      <c r="B2734" s="34" t="str">
        <f>base!V2734</f>
        <v>06560</v>
      </c>
      <c r="C2734" s="37">
        <v>17</v>
      </c>
      <c r="D2734" s="36">
        <f>base!H2734</f>
        <v>69.400000000000006</v>
      </c>
      <c r="E2734" s="44"/>
      <c r="F2734" s="16">
        <f>base!W2734</f>
        <v>20.82</v>
      </c>
      <c r="G2734" s="11">
        <f t="shared" si="420"/>
        <v>0.3</v>
      </c>
      <c r="H2734" s="11">
        <f t="shared" si="421"/>
        <v>14.574</v>
      </c>
      <c r="I2734" s="11">
        <f t="shared" si="422"/>
        <v>0.21</v>
      </c>
      <c r="J2734" s="12">
        <f t="shared" si="423"/>
        <v>6.2460000000000004</v>
      </c>
      <c r="K2734" s="17" t="str">
        <f t="shared" si="428"/>
        <v>Ecart positif</v>
      </c>
      <c r="L2734" s="16">
        <f>base!X2734</f>
        <v>0</v>
      </c>
      <c r="M2734" s="11">
        <f t="shared" si="424"/>
        <v>0</v>
      </c>
      <c r="N2734" s="11">
        <f t="shared" si="425"/>
        <v>11.798000000000002</v>
      </c>
      <c r="O2734" s="11">
        <f t="shared" si="426"/>
        <v>0.17</v>
      </c>
      <c r="P2734" s="12">
        <f t="shared" si="427"/>
        <v>-11.798000000000002</v>
      </c>
      <c r="Q2734" s="17" t="str">
        <f t="shared" si="429"/>
        <v>Ecart négatif</v>
      </c>
    </row>
    <row r="2735" spans="1:18" x14ac:dyDescent="0.3">
      <c r="A2735" s="34" t="str">
        <f>base!J2735</f>
        <v>LM</v>
      </c>
      <c r="B2735" s="34" t="str">
        <f>base!V2735</f>
        <v>06560</v>
      </c>
      <c r="C2735" s="37">
        <v>17</v>
      </c>
      <c r="D2735" s="36">
        <f>base!H2735</f>
        <v>32.450000000000003</v>
      </c>
      <c r="E2735" s="44"/>
      <c r="F2735" s="16">
        <f>base!W2735</f>
        <v>9.74</v>
      </c>
      <c r="G2735" s="11">
        <f t="shared" si="420"/>
        <v>0.30015408320493064</v>
      </c>
      <c r="H2735" s="11">
        <f t="shared" si="421"/>
        <v>6.8145000000000007</v>
      </c>
      <c r="I2735" s="11">
        <f t="shared" si="422"/>
        <v>0.21</v>
      </c>
      <c r="J2735" s="12">
        <f t="shared" si="423"/>
        <v>2.9254999999999995</v>
      </c>
      <c r="K2735" s="17" t="str">
        <f t="shared" si="428"/>
        <v>Ecart positif</v>
      </c>
      <c r="L2735" s="16">
        <f>base!X2735</f>
        <v>0</v>
      </c>
      <c r="M2735" s="11">
        <f t="shared" si="424"/>
        <v>0</v>
      </c>
      <c r="N2735" s="11">
        <f t="shared" si="425"/>
        <v>5.5165000000000006</v>
      </c>
      <c r="O2735" s="11">
        <f t="shared" si="426"/>
        <v>0.17</v>
      </c>
      <c r="P2735" s="12">
        <f t="shared" si="427"/>
        <v>-5.5165000000000006</v>
      </c>
      <c r="Q2735" s="17" t="str">
        <f t="shared" si="429"/>
        <v>Ecart négatif</v>
      </c>
    </row>
    <row r="2736" spans="1:18" x14ac:dyDescent="0.3">
      <c r="A2736" s="34" t="str">
        <f>base!J2736</f>
        <v>LM</v>
      </c>
      <c r="B2736" s="34" t="str">
        <f>base!V2736</f>
        <v>75014</v>
      </c>
      <c r="C2736" s="37">
        <v>75</v>
      </c>
      <c r="D2736" s="36">
        <f>base!H2736</f>
        <v>137.59</v>
      </c>
      <c r="E2736" s="44"/>
      <c r="F2736" s="16">
        <f>base!W2736</f>
        <v>0</v>
      </c>
      <c r="G2736" s="11">
        <f t="shared" si="420"/>
        <v>0</v>
      </c>
      <c r="H2736" s="11">
        <f t="shared" si="421"/>
        <v>0</v>
      </c>
      <c r="I2736" s="11">
        <f t="shared" si="422"/>
        <v>0</v>
      </c>
      <c r="J2736" s="12">
        <f t="shared" si="423"/>
        <v>0</v>
      </c>
      <c r="K2736" s="17" t="str">
        <f t="shared" si="428"/>
        <v>Pas d'écart</v>
      </c>
      <c r="L2736" s="16">
        <f>base!X2736</f>
        <v>0</v>
      </c>
      <c r="M2736" s="11">
        <f t="shared" si="424"/>
        <v>0</v>
      </c>
      <c r="N2736" s="11">
        <f t="shared" si="425"/>
        <v>0</v>
      </c>
      <c r="O2736" s="11">
        <f t="shared" si="426"/>
        <v>0</v>
      </c>
      <c r="P2736" s="12">
        <f t="shared" si="427"/>
        <v>0</v>
      </c>
      <c r="Q2736" s="17" t="str">
        <f t="shared" si="429"/>
        <v>Pas d'écart</v>
      </c>
    </row>
    <row r="2737" spans="1:17" x14ac:dyDescent="0.3">
      <c r="A2737" s="34" t="str">
        <f>base!J2737</f>
        <v>LM</v>
      </c>
      <c r="B2737" s="34" t="str">
        <f>base!V2737</f>
        <v>75014</v>
      </c>
      <c r="C2737" s="37">
        <v>75</v>
      </c>
      <c r="D2737" s="36">
        <f>base!H2737</f>
        <v>107.6</v>
      </c>
      <c r="E2737" s="44"/>
      <c r="F2737" s="16">
        <f>base!W2737</f>
        <v>0</v>
      </c>
      <c r="G2737" s="11">
        <f t="shared" si="420"/>
        <v>0</v>
      </c>
      <c r="H2737" s="11">
        <f t="shared" si="421"/>
        <v>0</v>
      </c>
      <c r="I2737" s="11">
        <f t="shared" si="422"/>
        <v>0</v>
      </c>
      <c r="J2737" s="12">
        <f t="shared" si="423"/>
        <v>0</v>
      </c>
      <c r="K2737" s="17" t="str">
        <f t="shared" si="428"/>
        <v>Pas d'écart</v>
      </c>
      <c r="L2737" s="16">
        <f>base!X2737</f>
        <v>0</v>
      </c>
      <c r="M2737" s="11">
        <f t="shared" si="424"/>
        <v>0</v>
      </c>
      <c r="N2737" s="11">
        <f t="shared" si="425"/>
        <v>0</v>
      </c>
      <c r="O2737" s="11">
        <f t="shared" si="426"/>
        <v>0</v>
      </c>
      <c r="P2737" s="12">
        <f t="shared" si="427"/>
        <v>0</v>
      </c>
      <c r="Q2737" s="17" t="str">
        <f t="shared" si="429"/>
        <v>Pas d'écart</v>
      </c>
    </row>
    <row r="2738" spans="1:17" x14ac:dyDescent="0.3">
      <c r="A2738" s="34" t="str">
        <f>base!J2738</f>
        <v>LM</v>
      </c>
      <c r="B2738" s="34" t="str">
        <f>base!V2738</f>
        <v>67000</v>
      </c>
      <c r="C2738" s="37">
        <v>17</v>
      </c>
      <c r="D2738" s="36">
        <f>base!H2738</f>
        <v>55.14</v>
      </c>
      <c r="E2738" s="44"/>
      <c r="F2738" s="16">
        <f>base!W2738</f>
        <v>15.99</v>
      </c>
      <c r="G2738" s="11">
        <f t="shared" si="420"/>
        <v>0.28998911860718174</v>
      </c>
      <c r="H2738" s="11">
        <f t="shared" si="421"/>
        <v>11.5794</v>
      </c>
      <c r="I2738" s="11">
        <f t="shared" si="422"/>
        <v>0.21</v>
      </c>
      <c r="J2738" s="12">
        <f t="shared" si="423"/>
        <v>4.4106000000000005</v>
      </c>
      <c r="K2738" s="17" t="str">
        <f t="shared" si="428"/>
        <v>Ecart positif</v>
      </c>
      <c r="L2738" s="16">
        <f>base!X2738</f>
        <v>0</v>
      </c>
      <c r="M2738" s="11">
        <f t="shared" si="424"/>
        <v>0</v>
      </c>
      <c r="N2738" s="11">
        <f t="shared" si="425"/>
        <v>9.373800000000001</v>
      </c>
      <c r="O2738" s="11">
        <f t="shared" si="426"/>
        <v>0.17</v>
      </c>
      <c r="P2738" s="12">
        <f t="shared" si="427"/>
        <v>-9.373800000000001</v>
      </c>
      <c r="Q2738" s="17" t="str">
        <f t="shared" si="429"/>
        <v>Ecart négatif</v>
      </c>
    </row>
    <row r="2739" spans="1:17" x14ac:dyDescent="0.3">
      <c r="A2739" s="34" t="str">
        <f>base!J2739</f>
        <v>LM</v>
      </c>
      <c r="B2739" s="34" t="str">
        <f>base!V2739</f>
        <v>67000</v>
      </c>
      <c r="C2739" s="37">
        <v>17</v>
      </c>
      <c r="D2739" s="36">
        <f>base!H2739</f>
        <v>127.55</v>
      </c>
      <c r="E2739" s="44"/>
      <c r="F2739" s="16">
        <f>base!W2739</f>
        <v>36.99</v>
      </c>
      <c r="G2739" s="11">
        <f t="shared" si="420"/>
        <v>0.29000392003136027</v>
      </c>
      <c r="H2739" s="11">
        <f t="shared" si="421"/>
        <v>26.785499999999999</v>
      </c>
      <c r="I2739" s="11">
        <f t="shared" si="422"/>
        <v>0.21</v>
      </c>
      <c r="J2739" s="12">
        <f t="shared" si="423"/>
        <v>10.204500000000003</v>
      </c>
      <c r="K2739" s="17" t="str">
        <f t="shared" si="428"/>
        <v>Ecart positif</v>
      </c>
      <c r="L2739" s="16">
        <f>base!X2739</f>
        <v>0</v>
      </c>
      <c r="M2739" s="11">
        <f t="shared" si="424"/>
        <v>0</v>
      </c>
      <c r="N2739" s="11">
        <f t="shared" si="425"/>
        <v>21.683500000000002</v>
      </c>
      <c r="O2739" s="11">
        <f t="shared" si="426"/>
        <v>0.17</v>
      </c>
      <c r="P2739" s="12">
        <f t="shared" si="427"/>
        <v>-21.683500000000002</v>
      </c>
      <c r="Q2739" s="17" t="str">
        <f t="shared" si="429"/>
        <v>Ecart négatif</v>
      </c>
    </row>
    <row r="2740" spans="1:17" x14ac:dyDescent="0.3">
      <c r="A2740" s="34" t="str">
        <f>base!J2740</f>
        <v>LS</v>
      </c>
      <c r="B2740" s="34" t="str">
        <f>base!V2740</f>
        <v>79220</v>
      </c>
      <c r="C2740" s="37">
        <v>28</v>
      </c>
      <c r="D2740" s="36">
        <f>base!H2740</f>
        <v>75.75</v>
      </c>
      <c r="E2740" s="44"/>
      <c r="F2740" s="16">
        <f>base!W2740</f>
        <v>15.91</v>
      </c>
      <c r="G2740" s="11">
        <f t="shared" si="420"/>
        <v>0.21003300330033003</v>
      </c>
      <c r="H2740" s="11">
        <f t="shared" si="421"/>
        <v>15.15</v>
      </c>
      <c r="I2740" s="11">
        <f t="shared" si="422"/>
        <v>0.2</v>
      </c>
      <c r="J2740" s="12">
        <f t="shared" si="423"/>
        <v>0.75999999999999979</v>
      </c>
      <c r="K2740" s="17" t="str">
        <f t="shared" si="428"/>
        <v>Ecart positif</v>
      </c>
      <c r="L2740" s="16">
        <f>base!X2740</f>
        <v>0</v>
      </c>
      <c r="M2740" s="11">
        <f t="shared" si="424"/>
        <v>0</v>
      </c>
      <c r="N2740" s="11">
        <f t="shared" si="425"/>
        <v>9.09</v>
      </c>
      <c r="O2740" s="11">
        <f t="shared" si="426"/>
        <v>0.12</v>
      </c>
      <c r="P2740" s="12">
        <f t="shared" si="427"/>
        <v>-9.09</v>
      </c>
      <c r="Q2740" s="17" t="str">
        <f t="shared" si="429"/>
        <v>Ecart négatif</v>
      </c>
    </row>
    <row r="2741" spans="1:17" x14ac:dyDescent="0.3">
      <c r="A2741" s="34" t="str">
        <f>base!J2741</f>
        <v>Metre Aller</v>
      </c>
      <c r="B2741" s="34" t="str">
        <f>base!V2741</f>
        <v>77184</v>
      </c>
      <c r="C2741" s="37">
        <v>77</v>
      </c>
      <c r="D2741" s="36">
        <f>base!H2741</f>
        <v>136.97999999999999</v>
      </c>
      <c r="E2741" s="44"/>
      <c r="F2741" s="16">
        <f>base!W2741</f>
        <v>0</v>
      </c>
      <c r="G2741" s="11">
        <f t="shared" si="420"/>
        <v>0</v>
      </c>
      <c r="H2741" s="11">
        <f t="shared" si="421"/>
        <v>0</v>
      </c>
      <c r="I2741" s="11">
        <f t="shared" si="422"/>
        <v>0</v>
      </c>
      <c r="J2741" s="12">
        <f t="shared" si="423"/>
        <v>0</v>
      </c>
      <c r="K2741" s="17" t="str">
        <f t="shared" si="428"/>
        <v>Pas d'écart</v>
      </c>
      <c r="L2741" s="16">
        <f>base!X2741</f>
        <v>0</v>
      </c>
      <c r="M2741" s="11">
        <f t="shared" si="424"/>
        <v>0</v>
      </c>
      <c r="N2741" s="11">
        <f t="shared" si="425"/>
        <v>0</v>
      </c>
      <c r="O2741" s="11">
        <f t="shared" si="426"/>
        <v>0</v>
      </c>
      <c r="P2741" s="12">
        <f t="shared" si="427"/>
        <v>0</v>
      </c>
      <c r="Q2741" s="17" t="str">
        <f t="shared" si="429"/>
        <v>Pas d'écart</v>
      </c>
    </row>
    <row r="2742" spans="1:17" x14ac:dyDescent="0.3">
      <c r="A2742" s="34" t="str">
        <f>base!J2742</f>
        <v>LM</v>
      </c>
      <c r="B2742" s="34" t="str">
        <f>base!V2742</f>
        <v>67320</v>
      </c>
      <c r="C2742" s="37">
        <v>18</v>
      </c>
      <c r="D2742" s="36">
        <f>base!H2742</f>
        <v>171.08</v>
      </c>
      <c r="E2742" s="44"/>
      <c r="F2742" s="16">
        <f>base!W2742</f>
        <v>49.61</v>
      </c>
      <c r="G2742" s="11">
        <f t="shared" si="420"/>
        <v>0.2899812953004442</v>
      </c>
      <c r="H2742" s="11">
        <f t="shared" si="421"/>
        <v>35.9268</v>
      </c>
      <c r="I2742" s="11">
        <f t="shared" si="422"/>
        <v>0.21</v>
      </c>
      <c r="J2742" s="12">
        <f t="shared" si="423"/>
        <v>13.683199999999999</v>
      </c>
      <c r="K2742" s="17" t="str">
        <f t="shared" si="428"/>
        <v>Ecart positif</v>
      </c>
      <c r="L2742" s="16">
        <f>base!X2742</f>
        <v>0</v>
      </c>
      <c r="M2742" s="11">
        <f t="shared" si="424"/>
        <v>0</v>
      </c>
      <c r="N2742" s="11">
        <f t="shared" si="425"/>
        <v>20.529600000000002</v>
      </c>
      <c r="O2742" s="11">
        <f t="shared" si="426"/>
        <v>0.12000000000000001</v>
      </c>
      <c r="P2742" s="12">
        <f t="shared" si="427"/>
        <v>-20.529600000000002</v>
      </c>
      <c r="Q2742" s="17" t="str">
        <f t="shared" si="429"/>
        <v>Ecart négatif</v>
      </c>
    </row>
    <row r="2743" spans="1:17" x14ac:dyDescent="0.3">
      <c r="A2743" s="34" t="str">
        <f>base!J2743</f>
        <v>RS</v>
      </c>
      <c r="B2743" s="34" t="str">
        <f>base!V2743</f>
        <v>94150</v>
      </c>
      <c r="C2743" s="37">
        <v>94</v>
      </c>
      <c r="D2743" s="36">
        <f>base!H2743</f>
        <v>0</v>
      </c>
      <c r="E2743" s="44"/>
      <c r="F2743" s="16">
        <f>base!W2743</f>
        <v>0</v>
      </c>
      <c r="G2743" s="11" t="e">
        <f t="shared" si="420"/>
        <v>#DIV/0!</v>
      </c>
      <c r="H2743" s="11">
        <f t="shared" si="421"/>
        <v>0</v>
      </c>
      <c r="I2743" s="11" t="e">
        <f t="shared" si="422"/>
        <v>#DIV/0!</v>
      </c>
      <c r="J2743" s="12">
        <f t="shared" si="423"/>
        <v>0</v>
      </c>
      <c r="K2743" s="17" t="str">
        <f t="shared" si="428"/>
        <v>Pas d'écart</v>
      </c>
      <c r="L2743" s="16">
        <f>base!X2743</f>
        <v>0</v>
      </c>
      <c r="M2743" s="11" t="e">
        <f t="shared" si="424"/>
        <v>#DIV/0!</v>
      </c>
      <c r="N2743" s="11">
        <f t="shared" si="425"/>
        <v>0</v>
      </c>
      <c r="O2743" s="11" t="e">
        <f t="shared" si="426"/>
        <v>#DIV/0!</v>
      </c>
      <c r="P2743" s="12">
        <f t="shared" si="427"/>
        <v>0</v>
      </c>
      <c r="Q2743" s="17" t="str">
        <f t="shared" si="429"/>
        <v>Pas d'écart</v>
      </c>
    </row>
    <row r="2744" spans="1:17" x14ac:dyDescent="0.3">
      <c r="A2744" s="34" t="str">
        <f>base!J2744</f>
        <v>RM</v>
      </c>
      <c r="B2744" s="34" t="str">
        <f>base!V2744</f>
        <v>44350</v>
      </c>
      <c r="C2744" s="37">
        <v>44</v>
      </c>
      <c r="D2744" s="36">
        <f>base!H2744</f>
        <v>247.08</v>
      </c>
      <c r="E2744" s="44"/>
      <c r="F2744" s="16">
        <f>base!W2744</f>
        <v>0</v>
      </c>
      <c r="G2744" s="11">
        <f t="shared" si="420"/>
        <v>0</v>
      </c>
      <c r="H2744" s="11">
        <f t="shared" si="421"/>
        <v>66.711600000000004</v>
      </c>
      <c r="I2744" s="11">
        <f t="shared" si="422"/>
        <v>0.27</v>
      </c>
      <c r="J2744" s="12">
        <f t="shared" si="423"/>
        <v>-66.711600000000004</v>
      </c>
      <c r="K2744" s="17" t="str">
        <f t="shared" si="428"/>
        <v>Ecart négatif</v>
      </c>
      <c r="L2744" s="16">
        <f>base!X2744</f>
        <v>0</v>
      </c>
      <c r="M2744" s="11">
        <f t="shared" si="424"/>
        <v>0</v>
      </c>
      <c r="N2744" s="11">
        <f t="shared" si="425"/>
        <v>0</v>
      </c>
      <c r="O2744" s="11">
        <f t="shared" si="426"/>
        <v>0</v>
      </c>
      <c r="P2744" s="12">
        <f t="shared" si="427"/>
        <v>0</v>
      </c>
      <c r="Q2744" s="17" t="str">
        <f t="shared" si="429"/>
        <v>Pas d'écart</v>
      </c>
    </row>
    <row r="2745" spans="1:17" x14ac:dyDescent="0.3">
      <c r="A2745" s="34" t="str">
        <f>base!J2745</f>
        <v>LM</v>
      </c>
      <c r="B2745" s="34" t="str">
        <f>base!V2745</f>
        <v>75014</v>
      </c>
      <c r="C2745" s="37">
        <v>75</v>
      </c>
      <c r="D2745" s="36">
        <f>base!H2745</f>
        <v>19.649999999999999</v>
      </c>
      <c r="E2745" s="44"/>
      <c r="F2745" s="16">
        <f>base!W2745</f>
        <v>0</v>
      </c>
      <c r="G2745" s="11">
        <f t="shared" si="420"/>
        <v>0</v>
      </c>
      <c r="H2745" s="11">
        <f t="shared" si="421"/>
        <v>0</v>
      </c>
      <c r="I2745" s="11">
        <f t="shared" si="422"/>
        <v>0</v>
      </c>
      <c r="J2745" s="12">
        <f t="shared" si="423"/>
        <v>0</v>
      </c>
      <c r="K2745" s="17" t="str">
        <f t="shared" si="428"/>
        <v>Pas d'écart</v>
      </c>
      <c r="L2745" s="16">
        <f>base!X2745</f>
        <v>0</v>
      </c>
      <c r="M2745" s="11">
        <f t="shared" si="424"/>
        <v>0</v>
      </c>
      <c r="N2745" s="11">
        <f t="shared" si="425"/>
        <v>0</v>
      </c>
      <c r="O2745" s="11">
        <f t="shared" si="426"/>
        <v>0</v>
      </c>
      <c r="P2745" s="12">
        <f t="shared" si="427"/>
        <v>0</v>
      </c>
      <c r="Q2745" s="17" t="str">
        <f t="shared" si="429"/>
        <v>Pas d'écart</v>
      </c>
    </row>
    <row r="2746" spans="1:17" x14ac:dyDescent="0.3">
      <c r="A2746" s="34" t="str">
        <f>base!J2746</f>
        <v>LS</v>
      </c>
      <c r="B2746" s="34" t="str">
        <f>base!V2746</f>
        <v>30105</v>
      </c>
      <c r="C2746" s="37">
        <v>30</v>
      </c>
      <c r="D2746" s="36">
        <f>base!H2746</f>
        <v>0</v>
      </c>
      <c r="E2746" s="44"/>
      <c r="F2746" s="16">
        <f>base!W2746</f>
        <v>0</v>
      </c>
      <c r="G2746" s="11" t="e">
        <f t="shared" si="420"/>
        <v>#DIV/0!</v>
      </c>
      <c r="H2746" s="11">
        <f t="shared" si="421"/>
        <v>0</v>
      </c>
      <c r="I2746" s="11" t="e">
        <f t="shared" si="422"/>
        <v>#DIV/0!</v>
      </c>
      <c r="J2746" s="12">
        <f t="shared" si="423"/>
        <v>0</v>
      </c>
      <c r="K2746" s="17" t="str">
        <f t="shared" si="428"/>
        <v>Pas d'écart</v>
      </c>
      <c r="L2746" s="16">
        <f>base!X2746</f>
        <v>0</v>
      </c>
      <c r="M2746" s="11" t="e">
        <f t="shared" si="424"/>
        <v>#DIV/0!</v>
      </c>
      <c r="N2746" s="11">
        <f t="shared" si="425"/>
        <v>0</v>
      </c>
      <c r="O2746" s="11" t="e">
        <f t="shared" si="426"/>
        <v>#DIV/0!</v>
      </c>
      <c r="P2746" s="12">
        <f t="shared" si="427"/>
        <v>0</v>
      </c>
      <c r="Q2746" s="17" t="str">
        <f t="shared" si="429"/>
        <v>Pas d'écart</v>
      </c>
    </row>
    <row r="2747" spans="1:17" x14ac:dyDescent="0.3">
      <c r="A2747" s="34">
        <f>base!J2747</f>
        <v>0</v>
      </c>
      <c r="B2747" s="34" t="str">
        <f>base!V2747</f>
        <v>77184</v>
      </c>
      <c r="C2747" s="37">
        <v>77</v>
      </c>
      <c r="D2747" s="36">
        <f>base!H2747</f>
        <v>84.5</v>
      </c>
      <c r="E2747" s="44"/>
      <c r="F2747" s="16">
        <f>base!W2747</f>
        <v>0</v>
      </c>
      <c r="G2747" s="11">
        <f t="shared" si="420"/>
        <v>0</v>
      </c>
      <c r="H2747" s="11">
        <f t="shared" si="421"/>
        <v>0</v>
      </c>
      <c r="I2747" s="11">
        <f t="shared" si="422"/>
        <v>0</v>
      </c>
      <c r="J2747" s="12">
        <f t="shared" si="423"/>
        <v>0</v>
      </c>
      <c r="K2747" s="17" t="str">
        <f t="shared" si="428"/>
        <v>Pas d'écart</v>
      </c>
      <c r="L2747" s="16">
        <f>base!X2747</f>
        <v>0</v>
      </c>
      <c r="M2747" s="11">
        <f t="shared" si="424"/>
        <v>0</v>
      </c>
      <c r="N2747" s="11">
        <f t="shared" si="425"/>
        <v>0</v>
      </c>
      <c r="O2747" s="11">
        <f t="shared" si="426"/>
        <v>0</v>
      </c>
      <c r="P2747" s="12">
        <f t="shared" si="427"/>
        <v>0</v>
      </c>
      <c r="Q2747" s="17" t="str">
        <f t="shared" si="429"/>
        <v>Pas d'écart</v>
      </c>
    </row>
    <row r="2748" spans="1:17" x14ac:dyDescent="0.3">
      <c r="A2748" s="34">
        <f>base!J2748</f>
        <v>0</v>
      </c>
      <c r="B2748" s="34" t="str">
        <f>base!V2748</f>
        <v>77184</v>
      </c>
      <c r="C2748" s="37">
        <v>77</v>
      </c>
      <c r="D2748" s="36">
        <f>base!H2748</f>
        <v>70</v>
      </c>
      <c r="E2748" s="44"/>
      <c r="F2748" s="16">
        <f>base!W2748</f>
        <v>0</v>
      </c>
      <c r="G2748" s="11">
        <f t="shared" si="420"/>
        <v>0</v>
      </c>
      <c r="H2748" s="11">
        <f t="shared" si="421"/>
        <v>0</v>
      </c>
      <c r="I2748" s="11">
        <f t="shared" si="422"/>
        <v>0</v>
      </c>
      <c r="J2748" s="12">
        <f t="shared" si="423"/>
        <v>0</v>
      </c>
      <c r="K2748" s="17" t="str">
        <f t="shared" si="428"/>
        <v>Pas d'écart</v>
      </c>
      <c r="L2748" s="16">
        <f>base!X2748</f>
        <v>0</v>
      </c>
      <c r="M2748" s="11">
        <f t="shared" si="424"/>
        <v>0</v>
      </c>
      <c r="N2748" s="11">
        <f t="shared" si="425"/>
        <v>0</v>
      </c>
      <c r="O2748" s="11">
        <f t="shared" si="426"/>
        <v>0</v>
      </c>
      <c r="P2748" s="12">
        <f t="shared" si="427"/>
        <v>0</v>
      </c>
      <c r="Q2748" s="17" t="str">
        <f t="shared" si="429"/>
        <v>Pas d'écart</v>
      </c>
    </row>
    <row r="2749" spans="1:17" x14ac:dyDescent="0.3">
      <c r="A2749" s="34" t="str">
        <f>base!J2749</f>
        <v>DRS</v>
      </c>
      <c r="B2749" s="34" t="str">
        <f>base!V2749</f>
        <v>92110</v>
      </c>
      <c r="C2749" s="37">
        <v>92</v>
      </c>
      <c r="D2749" s="36">
        <f>base!H2749</f>
        <v>180</v>
      </c>
      <c r="E2749" s="44"/>
      <c r="F2749" s="16">
        <f>base!W2749</f>
        <v>0</v>
      </c>
      <c r="G2749" s="11">
        <f t="shared" si="420"/>
        <v>0</v>
      </c>
      <c r="H2749" s="11">
        <f t="shared" si="421"/>
        <v>0</v>
      </c>
      <c r="I2749" s="11">
        <f t="shared" si="422"/>
        <v>0</v>
      </c>
      <c r="J2749" s="12">
        <f t="shared" si="423"/>
        <v>0</v>
      </c>
      <c r="K2749" s="17" t="str">
        <f t="shared" si="428"/>
        <v>Pas d'écart</v>
      </c>
      <c r="L2749" s="16">
        <f>base!X2749</f>
        <v>0</v>
      </c>
      <c r="M2749" s="11">
        <f t="shared" si="424"/>
        <v>0</v>
      </c>
      <c r="N2749" s="11">
        <f t="shared" si="425"/>
        <v>0</v>
      </c>
      <c r="O2749" s="11">
        <f t="shared" si="426"/>
        <v>0</v>
      </c>
      <c r="P2749" s="12">
        <f t="shared" si="427"/>
        <v>0</v>
      </c>
      <c r="Q2749" s="17" t="str">
        <f t="shared" si="429"/>
        <v>Pas d'écart</v>
      </c>
    </row>
    <row r="2750" spans="1:17" x14ac:dyDescent="0.3">
      <c r="A2750" s="34" t="str">
        <f>base!J2750</f>
        <v>LM</v>
      </c>
      <c r="B2750" s="34" t="str">
        <f>base!V2750</f>
        <v>75014</v>
      </c>
      <c r="C2750" s="37">
        <v>75</v>
      </c>
      <c r="D2750" s="36">
        <f>base!H2750</f>
        <v>19.649999999999999</v>
      </c>
      <c r="E2750" s="44"/>
      <c r="F2750" s="16">
        <f>base!W2750</f>
        <v>0</v>
      </c>
      <c r="G2750" s="11">
        <f t="shared" si="420"/>
        <v>0</v>
      </c>
      <c r="H2750" s="11">
        <f t="shared" si="421"/>
        <v>0</v>
      </c>
      <c r="I2750" s="11">
        <f t="shared" si="422"/>
        <v>0</v>
      </c>
      <c r="J2750" s="12">
        <f t="shared" si="423"/>
        <v>0</v>
      </c>
      <c r="K2750" s="17" t="str">
        <f t="shared" si="428"/>
        <v>Pas d'écart</v>
      </c>
      <c r="L2750" s="16">
        <f>base!X2750</f>
        <v>0</v>
      </c>
      <c r="M2750" s="11">
        <f t="shared" si="424"/>
        <v>0</v>
      </c>
      <c r="N2750" s="11">
        <f t="shared" si="425"/>
        <v>0</v>
      </c>
      <c r="O2750" s="11">
        <f t="shared" si="426"/>
        <v>0</v>
      </c>
      <c r="P2750" s="12">
        <f t="shared" si="427"/>
        <v>0</v>
      </c>
      <c r="Q2750" s="17" t="str">
        <f t="shared" si="429"/>
        <v>Pas d'écart</v>
      </c>
    </row>
    <row r="2751" spans="1:17" x14ac:dyDescent="0.3">
      <c r="A2751" s="34" t="str">
        <f>base!J2751</f>
        <v>LM</v>
      </c>
      <c r="B2751" s="34" t="str">
        <f>base!V2751</f>
        <v>75014</v>
      </c>
      <c r="C2751" s="37">
        <v>75</v>
      </c>
      <c r="D2751" s="36">
        <f>base!H2751</f>
        <v>19.649999999999999</v>
      </c>
      <c r="E2751" s="44"/>
      <c r="F2751" s="16">
        <f>base!W2751</f>
        <v>0</v>
      </c>
      <c r="G2751" s="11">
        <f t="shared" si="420"/>
        <v>0</v>
      </c>
      <c r="H2751" s="11">
        <f t="shared" si="421"/>
        <v>0</v>
      </c>
      <c r="I2751" s="11">
        <f t="shared" si="422"/>
        <v>0</v>
      </c>
      <c r="J2751" s="12">
        <f t="shared" si="423"/>
        <v>0</v>
      </c>
      <c r="K2751" s="17" t="str">
        <f t="shared" si="428"/>
        <v>Pas d'écart</v>
      </c>
      <c r="L2751" s="16">
        <f>base!X2751</f>
        <v>0</v>
      </c>
      <c r="M2751" s="11">
        <f t="shared" si="424"/>
        <v>0</v>
      </c>
      <c r="N2751" s="11">
        <f t="shared" si="425"/>
        <v>0</v>
      </c>
      <c r="O2751" s="11">
        <f t="shared" si="426"/>
        <v>0</v>
      </c>
      <c r="P2751" s="12">
        <f t="shared" si="427"/>
        <v>0</v>
      </c>
      <c r="Q2751" s="17" t="str">
        <f t="shared" si="429"/>
        <v>Pas d'écart</v>
      </c>
    </row>
    <row r="2752" spans="1:17" x14ac:dyDescent="0.3">
      <c r="A2752" s="34" t="str">
        <f>base!J2752</f>
        <v>LS</v>
      </c>
      <c r="B2752" s="34" t="str">
        <f>base!V2752</f>
        <v>80000</v>
      </c>
      <c r="C2752" s="37">
        <v>79</v>
      </c>
      <c r="D2752" s="36">
        <f>base!H2752</f>
        <v>137.09</v>
      </c>
      <c r="E2752" s="44"/>
      <c r="F2752" s="16">
        <f>base!W2752</f>
        <v>26.05</v>
      </c>
      <c r="G2752" s="11">
        <f t="shared" si="420"/>
        <v>0.19002115398643227</v>
      </c>
      <c r="H2752" s="11">
        <f t="shared" si="421"/>
        <v>28.788899999999998</v>
      </c>
      <c r="I2752" s="11">
        <f t="shared" si="422"/>
        <v>0.21</v>
      </c>
      <c r="J2752" s="12">
        <f t="shared" si="423"/>
        <v>-2.7388999999999974</v>
      </c>
      <c r="K2752" s="17" t="str">
        <f t="shared" si="428"/>
        <v>Ecart négatif</v>
      </c>
      <c r="L2752" s="16">
        <f>base!X2752</f>
        <v>0</v>
      </c>
      <c r="M2752" s="11">
        <f t="shared" si="424"/>
        <v>0</v>
      </c>
      <c r="N2752" s="11">
        <f t="shared" si="425"/>
        <v>16.450800000000001</v>
      </c>
      <c r="O2752" s="11">
        <f t="shared" si="426"/>
        <v>0.12000000000000001</v>
      </c>
      <c r="P2752" s="12">
        <f t="shared" si="427"/>
        <v>-16.450800000000001</v>
      </c>
      <c r="Q2752" s="17" t="str">
        <f t="shared" si="429"/>
        <v>Ecart négatif</v>
      </c>
    </row>
    <row r="2753" spans="1:18" x14ac:dyDescent="0.3">
      <c r="A2753" s="34" t="str">
        <f>base!J2753</f>
        <v>LS</v>
      </c>
      <c r="B2753" s="34" t="str">
        <f>base!V2753</f>
        <v>44600</v>
      </c>
      <c r="C2753" s="37">
        <v>64</v>
      </c>
      <c r="D2753" s="36">
        <f>base!H2753</f>
        <v>112.08</v>
      </c>
      <c r="E2753" s="44"/>
      <c r="F2753" s="16">
        <f>base!W2753</f>
        <v>30.26</v>
      </c>
      <c r="G2753" s="11">
        <f t="shared" si="420"/>
        <v>0.26998572448251251</v>
      </c>
      <c r="H2753" s="11">
        <f t="shared" si="421"/>
        <v>23.536799999999999</v>
      </c>
      <c r="I2753" s="11">
        <f t="shared" si="422"/>
        <v>0.21</v>
      </c>
      <c r="J2753" s="12">
        <f t="shared" si="423"/>
        <v>6.7232000000000021</v>
      </c>
      <c r="K2753" s="17" t="str">
        <f t="shared" si="428"/>
        <v>Ecart positif</v>
      </c>
      <c r="L2753" s="16">
        <f>base!X2753</f>
        <v>0</v>
      </c>
      <c r="M2753" s="11">
        <f t="shared" si="424"/>
        <v>0</v>
      </c>
      <c r="N2753" s="11">
        <f t="shared" si="425"/>
        <v>19.053599999999999</v>
      </c>
      <c r="O2753" s="11">
        <f t="shared" si="426"/>
        <v>0.16999999999999998</v>
      </c>
      <c r="P2753" s="12">
        <f t="shared" si="427"/>
        <v>-19.053599999999999</v>
      </c>
      <c r="Q2753" s="17" t="str">
        <f t="shared" si="429"/>
        <v>Ecart négatif</v>
      </c>
    </row>
    <row r="2754" spans="1:18" x14ac:dyDescent="0.3">
      <c r="A2754" s="34" t="str">
        <f>base!J2754</f>
        <v>LS</v>
      </c>
      <c r="B2754" s="34" t="str">
        <f>base!V2754</f>
        <v>85000</v>
      </c>
      <c r="C2754" s="37">
        <v>28</v>
      </c>
      <c r="D2754" s="36">
        <f>base!H2754</f>
        <v>149.13999999999999</v>
      </c>
      <c r="E2754" s="44"/>
      <c r="F2754" s="16">
        <f>base!W2754</f>
        <v>40.270000000000003</v>
      </c>
      <c r="G2754" s="11">
        <f t="shared" ref="G2754:G2817" si="430">F2754/D2754</f>
        <v>0.27001475124044527</v>
      </c>
      <c r="H2754" s="11">
        <f t="shared" ref="H2754:H2817" si="431">VLOOKUP(C2754,tout_cout_traction,2,FALSE)*D2754</f>
        <v>29.827999999999999</v>
      </c>
      <c r="I2754" s="11">
        <f t="shared" ref="I2754:I2817" si="432">H2754/D2754</f>
        <v>0.2</v>
      </c>
      <c r="J2754" s="12">
        <f t="shared" ref="J2754:J2817" si="433">F2754-H2754</f>
        <v>10.442000000000004</v>
      </c>
      <c r="K2754" s="17" t="str">
        <f t="shared" si="428"/>
        <v>Ecart positif</v>
      </c>
      <c r="L2754" s="16">
        <f>base!X2754</f>
        <v>0</v>
      </c>
      <c r="M2754" s="11">
        <f t="shared" ref="M2754:M2817" si="434">L2754/D2754</f>
        <v>0</v>
      </c>
      <c r="N2754" s="11">
        <f t="shared" ref="N2754:N2817" si="435">VLOOKUP(C2754,tout_cout_traction,3,FALSE)*D2754</f>
        <v>17.896799999999999</v>
      </c>
      <c r="O2754" s="11">
        <f t="shared" ref="O2754:O2817" si="436">N2754/D2754</f>
        <v>0.12000000000000001</v>
      </c>
      <c r="P2754" s="12">
        <f t="shared" ref="P2754:P2817" si="437">L2754-N2754</f>
        <v>-17.896799999999999</v>
      </c>
      <c r="Q2754" s="17" t="str">
        <f t="shared" si="429"/>
        <v>Ecart négatif</v>
      </c>
    </row>
    <row r="2755" spans="1:18" x14ac:dyDescent="0.3">
      <c r="A2755" s="34" t="str">
        <f>base!J2755</f>
        <v>LS</v>
      </c>
      <c r="B2755" s="34" t="str">
        <f>base!V2755</f>
        <v>57140</v>
      </c>
      <c r="C2755" s="37">
        <v>45</v>
      </c>
      <c r="D2755" s="36">
        <f>base!H2755</f>
        <v>139.19999999999999</v>
      </c>
      <c r="E2755" s="44"/>
      <c r="F2755" s="16">
        <f>base!W2755</f>
        <v>34.799999999999997</v>
      </c>
      <c r="G2755" s="11">
        <f t="shared" si="430"/>
        <v>0.25</v>
      </c>
      <c r="H2755" s="11">
        <f t="shared" si="431"/>
        <v>29.231999999999996</v>
      </c>
      <c r="I2755" s="11">
        <f t="shared" si="432"/>
        <v>0.21</v>
      </c>
      <c r="J2755" s="12">
        <f t="shared" si="433"/>
        <v>5.5680000000000014</v>
      </c>
      <c r="K2755" s="17" t="str">
        <f t="shared" ref="K2755:K2818" si="438">IF(H2755=F2755,"Pas d'écart",IF(H2755&lt;F2755,"Ecart positif",IF(H2755&gt;F2755,"Ecart négatif")))</f>
        <v>Ecart positif</v>
      </c>
      <c r="L2755" s="16">
        <f>base!X2755</f>
        <v>0</v>
      </c>
      <c r="M2755" s="11">
        <f t="shared" si="434"/>
        <v>0</v>
      </c>
      <c r="N2755" s="11">
        <f t="shared" si="435"/>
        <v>16.703999999999997</v>
      </c>
      <c r="O2755" s="11">
        <f t="shared" si="436"/>
        <v>0.12</v>
      </c>
      <c r="P2755" s="12">
        <f t="shared" si="437"/>
        <v>-16.703999999999997</v>
      </c>
      <c r="Q2755" s="17" t="str">
        <f t="shared" ref="Q2755:Q2818" si="439">IF(N2755=L2755,"Pas d'écart",IF(N2755&lt;L2755,"Ecart positif",IF(N2755&gt;L2755,"Ecart négatif")))</f>
        <v>Ecart négatif</v>
      </c>
    </row>
    <row r="2756" spans="1:18" x14ac:dyDescent="0.3">
      <c r="A2756" s="34" t="str">
        <f>base!J2756</f>
        <v>LM</v>
      </c>
      <c r="B2756" s="34" t="str">
        <f>base!V2756</f>
        <v>26000</v>
      </c>
      <c r="C2756" s="37">
        <v>89</v>
      </c>
      <c r="D2756" s="36">
        <f>base!H2756</f>
        <v>26</v>
      </c>
      <c r="E2756" s="44"/>
      <c r="F2756" s="16">
        <f>base!W2756</f>
        <v>7.02</v>
      </c>
      <c r="G2756" s="11">
        <f t="shared" si="430"/>
        <v>0.26999999999999996</v>
      </c>
      <c r="H2756" s="11">
        <f t="shared" si="431"/>
        <v>5.98</v>
      </c>
      <c r="I2756" s="11">
        <f t="shared" si="432"/>
        <v>0.23</v>
      </c>
      <c r="J2756" s="12">
        <f t="shared" si="433"/>
        <v>1.0399999999999991</v>
      </c>
      <c r="K2756" s="17" t="str">
        <f t="shared" si="438"/>
        <v>Ecart positif</v>
      </c>
      <c r="L2756" s="16">
        <f>base!X2756</f>
        <v>0</v>
      </c>
      <c r="M2756" s="11">
        <f t="shared" si="434"/>
        <v>0</v>
      </c>
      <c r="N2756" s="11">
        <f t="shared" si="435"/>
        <v>3.12</v>
      </c>
      <c r="O2756" s="11">
        <f t="shared" si="436"/>
        <v>0.12000000000000001</v>
      </c>
      <c r="P2756" s="12">
        <f t="shared" si="437"/>
        <v>-3.12</v>
      </c>
      <c r="Q2756" s="17" t="str">
        <f t="shared" si="439"/>
        <v>Ecart négatif</v>
      </c>
    </row>
    <row r="2757" spans="1:18" x14ac:dyDescent="0.3">
      <c r="A2757" s="34" t="str">
        <f>base!J2757</f>
        <v>RM</v>
      </c>
      <c r="B2757" s="34" t="str">
        <f>base!V2757</f>
        <v>62740</v>
      </c>
      <c r="C2757" s="37">
        <v>62</v>
      </c>
      <c r="D2757" s="36">
        <f>base!H2757</f>
        <v>29.89</v>
      </c>
      <c r="E2757" s="44"/>
      <c r="F2757" s="16">
        <f>base!W2757</f>
        <v>0</v>
      </c>
      <c r="G2757" s="11">
        <f t="shared" si="430"/>
        <v>0</v>
      </c>
      <c r="H2757" s="11">
        <f t="shared" si="431"/>
        <v>5.6791</v>
      </c>
      <c r="I2757" s="11">
        <f t="shared" si="432"/>
        <v>0.19</v>
      </c>
      <c r="J2757" s="12">
        <f t="shared" si="433"/>
        <v>-5.6791</v>
      </c>
      <c r="K2757" s="17" t="str">
        <f t="shared" si="438"/>
        <v>Ecart négatif</v>
      </c>
      <c r="L2757" s="16">
        <f>base!X2757</f>
        <v>0</v>
      </c>
      <c r="M2757" s="11">
        <f t="shared" si="434"/>
        <v>0</v>
      </c>
      <c r="N2757" s="11">
        <f t="shared" si="435"/>
        <v>0</v>
      </c>
      <c r="O2757" s="11">
        <f t="shared" si="436"/>
        <v>0</v>
      </c>
      <c r="P2757" s="12">
        <f t="shared" si="437"/>
        <v>0</v>
      </c>
      <c r="Q2757" s="17" t="str">
        <f t="shared" si="439"/>
        <v>Pas d'écart</v>
      </c>
    </row>
    <row r="2758" spans="1:18" x14ac:dyDescent="0.3">
      <c r="A2758" s="34" t="str">
        <f>base!J2758</f>
        <v>RM</v>
      </c>
      <c r="B2758" s="34" t="str">
        <f>base!V2758</f>
        <v>62740</v>
      </c>
      <c r="C2758" s="37">
        <v>62</v>
      </c>
      <c r="D2758" s="36">
        <f>base!H2758</f>
        <v>140</v>
      </c>
      <c r="E2758" s="44"/>
      <c r="F2758" s="16">
        <f>base!W2758</f>
        <v>0</v>
      </c>
      <c r="G2758" s="11">
        <f t="shared" si="430"/>
        <v>0</v>
      </c>
      <c r="H2758" s="11">
        <f t="shared" si="431"/>
        <v>26.6</v>
      </c>
      <c r="I2758" s="11">
        <f t="shared" si="432"/>
        <v>0.19</v>
      </c>
      <c r="J2758" s="12">
        <f t="shared" si="433"/>
        <v>-26.6</v>
      </c>
      <c r="K2758" s="17" t="str">
        <f t="shared" si="438"/>
        <v>Ecart négatif</v>
      </c>
      <c r="L2758" s="16">
        <f>base!X2758</f>
        <v>0</v>
      </c>
      <c r="M2758" s="11">
        <f t="shared" si="434"/>
        <v>0</v>
      </c>
      <c r="N2758" s="11">
        <f t="shared" si="435"/>
        <v>0</v>
      </c>
      <c r="O2758" s="11">
        <f t="shared" si="436"/>
        <v>0</v>
      </c>
      <c r="P2758" s="12">
        <f t="shared" si="437"/>
        <v>0</v>
      </c>
      <c r="Q2758" s="17" t="str">
        <f t="shared" si="439"/>
        <v>Pas d'écart</v>
      </c>
    </row>
    <row r="2759" spans="1:18" x14ac:dyDescent="0.3">
      <c r="A2759" s="34">
        <f>base!J2759</f>
        <v>0</v>
      </c>
      <c r="B2759" s="34" t="str">
        <f>base!V2759</f>
        <v>77184</v>
      </c>
      <c r="C2759" s="37">
        <v>77</v>
      </c>
      <c r="D2759" s="36">
        <f>base!H2759</f>
        <v>159.53</v>
      </c>
      <c r="E2759" s="44"/>
      <c r="F2759" s="16">
        <f>base!W2759</f>
        <v>0</v>
      </c>
      <c r="G2759" s="11">
        <f t="shared" si="430"/>
        <v>0</v>
      </c>
      <c r="H2759" s="11">
        <f t="shared" si="431"/>
        <v>0</v>
      </c>
      <c r="I2759" s="11">
        <f t="shared" si="432"/>
        <v>0</v>
      </c>
      <c r="J2759" s="12">
        <f t="shared" si="433"/>
        <v>0</v>
      </c>
      <c r="K2759" s="17" t="str">
        <f t="shared" si="438"/>
        <v>Pas d'écart</v>
      </c>
      <c r="L2759" s="16">
        <f>base!X2759</f>
        <v>0</v>
      </c>
      <c r="M2759" s="11">
        <f t="shared" si="434"/>
        <v>0</v>
      </c>
      <c r="N2759" s="11">
        <f t="shared" si="435"/>
        <v>0</v>
      </c>
      <c r="O2759" s="11">
        <f t="shared" si="436"/>
        <v>0</v>
      </c>
      <c r="P2759" s="12">
        <f t="shared" si="437"/>
        <v>0</v>
      </c>
      <c r="Q2759" s="17" t="str">
        <f t="shared" si="439"/>
        <v>Pas d'écart</v>
      </c>
    </row>
    <row r="2760" spans="1:18" x14ac:dyDescent="0.3">
      <c r="A2760" s="34">
        <f>base!J2760</f>
        <v>0</v>
      </c>
      <c r="B2760" s="34" t="str">
        <f>base!V2760</f>
        <v>77184</v>
      </c>
      <c r="C2760" s="37">
        <v>77</v>
      </c>
      <c r="D2760" s="36">
        <f>base!H2760</f>
        <v>84.5</v>
      </c>
      <c r="E2760" s="44"/>
      <c r="F2760" s="16">
        <f>base!W2760</f>
        <v>0</v>
      </c>
      <c r="G2760" s="11">
        <f t="shared" si="430"/>
        <v>0</v>
      </c>
      <c r="H2760" s="11">
        <f t="shared" si="431"/>
        <v>0</v>
      </c>
      <c r="I2760" s="11">
        <f t="shared" si="432"/>
        <v>0</v>
      </c>
      <c r="J2760" s="12">
        <f t="shared" si="433"/>
        <v>0</v>
      </c>
      <c r="K2760" s="17" t="str">
        <f t="shared" si="438"/>
        <v>Pas d'écart</v>
      </c>
      <c r="L2760" s="16">
        <f>base!X2760</f>
        <v>0</v>
      </c>
      <c r="M2760" s="11">
        <f t="shared" si="434"/>
        <v>0</v>
      </c>
      <c r="N2760" s="11">
        <f t="shared" si="435"/>
        <v>0</v>
      </c>
      <c r="O2760" s="11">
        <f t="shared" si="436"/>
        <v>0</v>
      </c>
      <c r="P2760" s="12">
        <f t="shared" si="437"/>
        <v>0</v>
      </c>
      <c r="Q2760" s="17" t="str">
        <f t="shared" si="439"/>
        <v>Pas d'écart</v>
      </c>
    </row>
    <row r="2761" spans="1:18" x14ac:dyDescent="0.3">
      <c r="A2761" s="34">
        <f>base!J2761</f>
        <v>0</v>
      </c>
      <c r="B2761" s="34" t="str">
        <f>base!V2761</f>
        <v>77184</v>
      </c>
      <c r="C2761" s="37">
        <v>77</v>
      </c>
      <c r="D2761" s="36">
        <f>base!H2761</f>
        <v>133</v>
      </c>
      <c r="E2761" s="44"/>
      <c r="F2761" s="16">
        <f>base!W2761</f>
        <v>0</v>
      </c>
      <c r="G2761" s="11">
        <f t="shared" si="430"/>
        <v>0</v>
      </c>
      <c r="H2761" s="11">
        <f t="shared" si="431"/>
        <v>0</v>
      </c>
      <c r="I2761" s="11">
        <f t="shared" si="432"/>
        <v>0</v>
      </c>
      <c r="J2761" s="12">
        <f t="shared" si="433"/>
        <v>0</v>
      </c>
      <c r="K2761" s="17" t="str">
        <f t="shared" si="438"/>
        <v>Pas d'écart</v>
      </c>
      <c r="L2761" s="16">
        <f>base!X2761</f>
        <v>0</v>
      </c>
      <c r="M2761" s="11">
        <f t="shared" si="434"/>
        <v>0</v>
      </c>
      <c r="N2761" s="11">
        <f t="shared" si="435"/>
        <v>0</v>
      </c>
      <c r="O2761" s="11">
        <f t="shared" si="436"/>
        <v>0</v>
      </c>
      <c r="P2761" s="12">
        <f t="shared" si="437"/>
        <v>0</v>
      </c>
      <c r="Q2761" s="17" t="str">
        <f t="shared" si="439"/>
        <v>Pas d'écart</v>
      </c>
    </row>
    <row r="2762" spans="1:18" x14ac:dyDescent="0.3">
      <c r="A2762" s="34" t="str">
        <f>base!J2762</f>
        <v>LS</v>
      </c>
      <c r="B2762" s="34" t="str">
        <f>base!V2762</f>
        <v>33000</v>
      </c>
      <c r="C2762" s="37">
        <v>57</v>
      </c>
      <c r="D2762" s="36">
        <f>base!H2762</f>
        <v>130.13999999999999</v>
      </c>
      <c r="E2762" s="44"/>
      <c r="F2762" s="16">
        <f>base!W2762</f>
        <v>27.33</v>
      </c>
      <c r="G2762" s="11">
        <f t="shared" si="430"/>
        <v>0.21000461041954818</v>
      </c>
      <c r="H2762" s="11">
        <f t="shared" si="431"/>
        <v>31.233599999999996</v>
      </c>
      <c r="I2762" s="11">
        <f t="shared" si="432"/>
        <v>0.24</v>
      </c>
      <c r="J2762" s="12">
        <f t="shared" si="433"/>
        <v>-3.9035999999999973</v>
      </c>
      <c r="K2762" s="17" t="str">
        <f t="shared" si="438"/>
        <v>Ecart négatif</v>
      </c>
      <c r="L2762" s="16">
        <f>base!X2762</f>
        <v>0</v>
      </c>
      <c r="M2762" s="11">
        <f t="shared" si="434"/>
        <v>0</v>
      </c>
      <c r="N2762" s="11">
        <f t="shared" si="435"/>
        <v>32.534999999999997</v>
      </c>
      <c r="O2762" s="11">
        <f t="shared" si="436"/>
        <v>0.25</v>
      </c>
      <c r="P2762" s="12">
        <f t="shared" si="437"/>
        <v>-32.534999999999997</v>
      </c>
      <c r="Q2762" s="17" t="str">
        <f t="shared" si="439"/>
        <v>Ecart négatif</v>
      </c>
    </row>
    <row r="2763" spans="1:18" x14ac:dyDescent="0.3">
      <c r="A2763" s="34" t="str">
        <f>base!J2763</f>
        <v>LM</v>
      </c>
      <c r="B2763" s="34" t="str">
        <f>base!V2763</f>
        <v>44327</v>
      </c>
      <c r="C2763" s="37">
        <v>54</v>
      </c>
      <c r="D2763" s="36">
        <f>base!H2763</f>
        <v>186.98</v>
      </c>
      <c r="E2763" s="44"/>
      <c r="F2763" s="16">
        <f>base!W2763</f>
        <v>50.48</v>
      </c>
      <c r="G2763" s="11">
        <f t="shared" si="430"/>
        <v>0.26997539843833562</v>
      </c>
      <c r="H2763" s="11">
        <f t="shared" si="431"/>
        <v>46.744999999999997</v>
      </c>
      <c r="I2763" s="11">
        <f t="shared" si="432"/>
        <v>0.25</v>
      </c>
      <c r="J2763" s="12">
        <f t="shared" si="433"/>
        <v>3.7349999999999994</v>
      </c>
      <c r="K2763" s="17" t="str">
        <f t="shared" si="438"/>
        <v>Ecart positif</v>
      </c>
      <c r="L2763" s="16">
        <f>base!X2763</f>
        <v>0</v>
      </c>
      <c r="M2763" s="11">
        <f t="shared" si="434"/>
        <v>0</v>
      </c>
      <c r="N2763" s="11">
        <f t="shared" si="435"/>
        <v>46.744999999999997</v>
      </c>
      <c r="O2763" s="11">
        <f t="shared" si="436"/>
        <v>0.25</v>
      </c>
      <c r="P2763" s="12">
        <f t="shared" si="437"/>
        <v>-46.744999999999997</v>
      </c>
      <c r="Q2763" s="17" t="str">
        <f t="shared" si="439"/>
        <v>Ecart négatif</v>
      </c>
    </row>
    <row r="2764" spans="1:18" x14ac:dyDescent="0.3">
      <c r="A2764" s="34" t="str">
        <f>base!J2764</f>
        <v>LS</v>
      </c>
      <c r="B2764" s="34" t="str">
        <f>base!V2764</f>
        <v>14800</v>
      </c>
      <c r="C2764" s="37">
        <v>54</v>
      </c>
      <c r="D2764" s="36">
        <f>base!H2764</f>
        <v>401.17</v>
      </c>
      <c r="E2764" s="44"/>
      <c r="F2764" s="16">
        <f>base!W2764</f>
        <v>68.2</v>
      </c>
      <c r="G2764" s="11">
        <f t="shared" si="430"/>
        <v>0.17000274197970935</v>
      </c>
      <c r="H2764" s="11">
        <f t="shared" si="431"/>
        <v>100.2925</v>
      </c>
      <c r="I2764" s="11">
        <f t="shared" si="432"/>
        <v>0.25</v>
      </c>
      <c r="J2764" s="12">
        <f t="shared" si="433"/>
        <v>-32.092500000000001</v>
      </c>
      <c r="K2764" s="17" t="str">
        <f t="shared" si="438"/>
        <v>Ecart négatif</v>
      </c>
      <c r="L2764" s="16">
        <f>base!X2764</f>
        <v>0</v>
      </c>
      <c r="M2764" s="11">
        <f t="shared" si="434"/>
        <v>0</v>
      </c>
      <c r="N2764" s="11">
        <f t="shared" si="435"/>
        <v>100.2925</v>
      </c>
      <c r="O2764" s="11">
        <f t="shared" si="436"/>
        <v>0.25</v>
      </c>
      <c r="P2764" s="12">
        <f t="shared" si="437"/>
        <v>-100.2925</v>
      </c>
      <c r="Q2764" s="17" t="str">
        <f t="shared" si="439"/>
        <v>Ecart négatif</v>
      </c>
    </row>
    <row r="2765" spans="1:18" x14ac:dyDescent="0.3">
      <c r="A2765" s="34" t="str">
        <f>base!J2765</f>
        <v>LM</v>
      </c>
      <c r="B2765" s="34" t="str">
        <f>base!V2765</f>
        <v>59120</v>
      </c>
      <c r="C2765" s="37">
        <v>72</v>
      </c>
      <c r="D2765" s="36">
        <f>base!H2765</f>
        <v>1.46</v>
      </c>
      <c r="E2765" s="44"/>
      <c r="F2765" s="16">
        <f>base!W2765</f>
        <v>0.28000000000000003</v>
      </c>
      <c r="G2765" s="11">
        <f t="shared" si="430"/>
        <v>0.19178082191780824</v>
      </c>
      <c r="H2765" s="11">
        <f t="shared" si="431"/>
        <v>0.30659999999999998</v>
      </c>
      <c r="I2765" s="11">
        <f t="shared" si="432"/>
        <v>0.21</v>
      </c>
      <c r="J2765" s="12">
        <f t="shared" si="433"/>
        <v>-2.6599999999999957E-2</v>
      </c>
      <c r="K2765" s="17" t="str">
        <f t="shared" si="438"/>
        <v>Ecart négatif</v>
      </c>
      <c r="L2765" s="16">
        <f>base!X2765</f>
        <v>0</v>
      </c>
      <c r="M2765" s="11">
        <f t="shared" si="434"/>
        <v>0</v>
      </c>
      <c r="N2765" s="11">
        <f t="shared" si="435"/>
        <v>0.17519999999999999</v>
      </c>
      <c r="O2765" s="11">
        <f t="shared" si="436"/>
        <v>0.12</v>
      </c>
      <c r="P2765" s="12">
        <f t="shared" si="437"/>
        <v>-0.17519999999999999</v>
      </c>
      <c r="Q2765" s="17" t="str">
        <f t="shared" si="439"/>
        <v>Ecart négatif</v>
      </c>
    </row>
    <row r="2766" spans="1:18" x14ac:dyDescent="0.3">
      <c r="A2766" s="34" t="str">
        <f>base!J2766</f>
        <v>RS</v>
      </c>
      <c r="B2766" s="34" t="str">
        <f>base!V2766</f>
        <v>83310</v>
      </c>
      <c r="C2766" s="37">
        <v>83</v>
      </c>
      <c r="D2766" s="36">
        <f>base!H2766</f>
        <v>151</v>
      </c>
      <c r="E2766" s="44"/>
      <c r="F2766" s="16">
        <f>base!W2766</f>
        <v>0</v>
      </c>
      <c r="G2766" s="11">
        <f t="shared" si="430"/>
        <v>0</v>
      </c>
      <c r="H2766" s="11">
        <f t="shared" si="431"/>
        <v>45.3</v>
      </c>
      <c r="I2766" s="11">
        <f t="shared" si="432"/>
        <v>0.3</v>
      </c>
      <c r="J2766" s="12">
        <f t="shared" si="433"/>
        <v>-45.3</v>
      </c>
      <c r="K2766" s="17" t="str">
        <f t="shared" si="438"/>
        <v>Ecart négatif</v>
      </c>
      <c r="L2766" s="16">
        <f>base!X2766</f>
        <v>0</v>
      </c>
      <c r="M2766" s="11">
        <f t="shared" si="434"/>
        <v>0</v>
      </c>
      <c r="N2766" s="11">
        <f t="shared" si="435"/>
        <v>31.709999999999997</v>
      </c>
      <c r="O2766" s="11">
        <f t="shared" si="436"/>
        <v>0.21</v>
      </c>
      <c r="P2766" s="12">
        <f t="shared" si="437"/>
        <v>-31.709999999999997</v>
      </c>
      <c r="Q2766" s="17" t="str">
        <f t="shared" si="439"/>
        <v>Ecart négatif</v>
      </c>
    </row>
    <row r="2767" spans="1:18" x14ac:dyDescent="0.3">
      <c r="A2767" s="34" t="str">
        <f>base!J2767</f>
        <v>RS</v>
      </c>
      <c r="B2767" s="34" t="str">
        <f>base!V2767</f>
        <v>56100</v>
      </c>
      <c r="C2767" s="37">
        <v>56</v>
      </c>
      <c r="D2767" s="36">
        <f>base!H2767</f>
        <v>149.63</v>
      </c>
      <c r="E2767" s="44"/>
      <c r="F2767" s="16">
        <f>base!W2767</f>
        <v>0</v>
      </c>
      <c r="G2767" s="11">
        <f t="shared" si="430"/>
        <v>0</v>
      </c>
      <c r="H2767" s="11">
        <f t="shared" si="431"/>
        <v>40.400100000000002</v>
      </c>
      <c r="I2767" s="11">
        <f t="shared" si="432"/>
        <v>0.27</v>
      </c>
      <c r="J2767" s="12">
        <f t="shared" si="433"/>
        <v>-40.400100000000002</v>
      </c>
      <c r="K2767" s="17" t="str">
        <f t="shared" si="438"/>
        <v>Ecart négatif</v>
      </c>
      <c r="L2767" s="16">
        <f>base!X2767</f>
        <v>40.4</v>
      </c>
      <c r="M2767" s="11">
        <f t="shared" si="434"/>
        <v>0.26999933168482254</v>
      </c>
      <c r="N2767" s="11">
        <f t="shared" si="435"/>
        <v>0</v>
      </c>
      <c r="O2767" s="11">
        <f t="shared" si="436"/>
        <v>0</v>
      </c>
      <c r="P2767" s="12">
        <f t="shared" si="437"/>
        <v>40.4</v>
      </c>
      <c r="Q2767" s="17" t="str">
        <f t="shared" si="439"/>
        <v>Ecart positif</v>
      </c>
      <c r="R2767" s="38"/>
    </row>
    <row r="2768" spans="1:18" x14ac:dyDescent="0.3">
      <c r="A2768" s="34" t="str">
        <f>base!J2768</f>
        <v>LS</v>
      </c>
      <c r="B2768" s="34" t="str">
        <f>base!V2768</f>
        <v>72026</v>
      </c>
      <c r="C2768" s="37">
        <v>64</v>
      </c>
      <c r="D2768" s="36">
        <f>base!H2768</f>
        <v>138.12</v>
      </c>
      <c r="E2768" s="44"/>
      <c r="F2768" s="16">
        <f>base!W2768</f>
        <v>29.01</v>
      </c>
      <c r="G2768" s="11">
        <f t="shared" si="430"/>
        <v>0.21003475238922675</v>
      </c>
      <c r="H2768" s="11">
        <f t="shared" si="431"/>
        <v>29.005199999999999</v>
      </c>
      <c r="I2768" s="11">
        <f t="shared" si="432"/>
        <v>0.21</v>
      </c>
      <c r="J2768" s="12">
        <f t="shared" si="433"/>
        <v>4.8000000000030241E-3</v>
      </c>
      <c r="K2768" s="17" t="str">
        <f t="shared" si="438"/>
        <v>Ecart positif</v>
      </c>
      <c r="L2768" s="16">
        <f>base!X2768</f>
        <v>0</v>
      </c>
      <c r="M2768" s="11">
        <f t="shared" si="434"/>
        <v>0</v>
      </c>
      <c r="N2768" s="11">
        <f t="shared" si="435"/>
        <v>23.480400000000003</v>
      </c>
      <c r="O2768" s="11">
        <f t="shared" si="436"/>
        <v>0.17</v>
      </c>
      <c r="P2768" s="12">
        <f t="shared" si="437"/>
        <v>-23.480400000000003</v>
      </c>
      <c r="Q2768" s="17" t="str">
        <f t="shared" si="439"/>
        <v>Ecart négatif</v>
      </c>
    </row>
    <row r="2769" spans="1:18" x14ac:dyDescent="0.3">
      <c r="A2769" s="34" t="str">
        <f>base!J2769</f>
        <v>LS</v>
      </c>
      <c r="B2769" s="34" t="str">
        <f>base!V2769</f>
        <v>69100</v>
      </c>
      <c r="C2769" s="37">
        <v>47</v>
      </c>
      <c r="D2769" s="36">
        <f>base!H2769</f>
        <v>153.44999999999999</v>
      </c>
      <c r="E2769" s="44"/>
      <c r="F2769" s="16">
        <f>base!W2769</f>
        <v>41.43</v>
      </c>
      <c r="G2769" s="11">
        <f t="shared" si="430"/>
        <v>0.26999022482893453</v>
      </c>
      <c r="H2769" s="11">
        <f t="shared" si="431"/>
        <v>32.224499999999999</v>
      </c>
      <c r="I2769" s="11">
        <f t="shared" si="432"/>
        <v>0.21000000000000002</v>
      </c>
      <c r="J2769" s="12">
        <f t="shared" si="433"/>
        <v>9.2055000000000007</v>
      </c>
      <c r="K2769" s="17" t="str">
        <f t="shared" si="438"/>
        <v>Ecart positif</v>
      </c>
      <c r="L2769" s="16">
        <f>base!X2769</f>
        <v>0</v>
      </c>
      <c r="M2769" s="11">
        <f t="shared" si="434"/>
        <v>0</v>
      </c>
      <c r="N2769" s="11">
        <f t="shared" si="435"/>
        <v>26.086500000000001</v>
      </c>
      <c r="O2769" s="11">
        <f t="shared" si="436"/>
        <v>0.17</v>
      </c>
      <c r="P2769" s="12">
        <f t="shared" si="437"/>
        <v>-26.086500000000001</v>
      </c>
      <c r="Q2769" s="17" t="str">
        <f t="shared" si="439"/>
        <v>Ecart négatif</v>
      </c>
    </row>
    <row r="2770" spans="1:18" x14ac:dyDescent="0.3">
      <c r="A2770" s="34" t="str">
        <f>base!J2770</f>
        <v>LS</v>
      </c>
      <c r="B2770" s="34" t="str">
        <f>base!V2770</f>
        <v>62600</v>
      </c>
      <c r="C2770" s="37">
        <v>45</v>
      </c>
      <c r="D2770" s="36">
        <f>base!H2770</f>
        <v>18.350000000000001</v>
      </c>
      <c r="E2770" s="44"/>
      <c r="F2770" s="16">
        <f>base!W2770</f>
        <v>3.49</v>
      </c>
      <c r="G2770" s="11">
        <f t="shared" si="430"/>
        <v>0.19019073569482289</v>
      </c>
      <c r="H2770" s="11">
        <f t="shared" si="431"/>
        <v>3.8535000000000004</v>
      </c>
      <c r="I2770" s="11">
        <f t="shared" si="432"/>
        <v>0.21</v>
      </c>
      <c r="J2770" s="12">
        <f t="shared" si="433"/>
        <v>-0.36350000000000016</v>
      </c>
      <c r="K2770" s="17" t="str">
        <f t="shared" si="438"/>
        <v>Ecart négatif</v>
      </c>
      <c r="L2770" s="16">
        <f>base!X2770</f>
        <v>0</v>
      </c>
      <c r="M2770" s="11">
        <f t="shared" si="434"/>
        <v>0</v>
      </c>
      <c r="N2770" s="11">
        <f t="shared" si="435"/>
        <v>2.202</v>
      </c>
      <c r="O2770" s="11">
        <f t="shared" si="436"/>
        <v>0.11999999999999998</v>
      </c>
      <c r="P2770" s="12">
        <f t="shared" si="437"/>
        <v>-2.202</v>
      </c>
      <c r="Q2770" s="17" t="str">
        <f t="shared" si="439"/>
        <v>Ecart négatif</v>
      </c>
    </row>
    <row r="2771" spans="1:18" x14ac:dyDescent="0.3">
      <c r="A2771" s="34" t="str">
        <f>base!J2771</f>
        <v>LM</v>
      </c>
      <c r="B2771" s="34" t="str">
        <f>base!V2771</f>
        <v>62000</v>
      </c>
      <c r="C2771" s="37">
        <v>86</v>
      </c>
      <c r="D2771" s="36">
        <f>base!H2771</f>
        <v>33.25</v>
      </c>
      <c r="E2771" s="44"/>
      <c r="F2771" s="16">
        <f>base!W2771</f>
        <v>6.32</v>
      </c>
      <c r="G2771" s="11">
        <f t="shared" si="430"/>
        <v>0.19007518796992481</v>
      </c>
      <c r="H2771" s="11">
        <f t="shared" si="431"/>
        <v>6.9824999999999999</v>
      </c>
      <c r="I2771" s="11">
        <f t="shared" si="432"/>
        <v>0.21</v>
      </c>
      <c r="J2771" s="12">
        <f t="shared" si="433"/>
        <v>-0.66249999999999964</v>
      </c>
      <c r="K2771" s="17" t="str">
        <f t="shared" si="438"/>
        <v>Ecart négatif</v>
      </c>
      <c r="L2771" s="16">
        <f>base!X2771</f>
        <v>0</v>
      </c>
      <c r="M2771" s="11">
        <f t="shared" si="434"/>
        <v>0</v>
      </c>
      <c r="N2771" s="11">
        <f t="shared" si="435"/>
        <v>3.9899999999999998</v>
      </c>
      <c r="O2771" s="11">
        <f t="shared" si="436"/>
        <v>0.12</v>
      </c>
      <c r="P2771" s="12">
        <f t="shared" si="437"/>
        <v>-3.9899999999999998</v>
      </c>
      <c r="Q2771" s="17" t="str">
        <f t="shared" si="439"/>
        <v>Ecart négatif</v>
      </c>
    </row>
    <row r="2772" spans="1:18" x14ac:dyDescent="0.3">
      <c r="A2772" s="34" t="str">
        <f>base!J2772</f>
        <v>LM</v>
      </c>
      <c r="B2772" s="34" t="str">
        <f>base!V2772</f>
        <v>02570</v>
      </c>
      <c r="C2772" s="37">
        <v>45</v>
      </c>
      <c r="D2772" s="36">
        <f>base!H2772</f>
        <v>67.25</v>
      </c>
      <c r="E2772" s="44"/>
      <c r="F2772" s="16">
        <f>base!W2772</f>
        <v>12.78</v>
      </c>
      <c r="G2772" s="11">
        <f t="shared" si="430"/>
        <v>0.19003717472118958</v>
      </c>
      <c r="H2772" s="11">
        <f t="shared" si="431"/>
        <v>14.122499999999999</v>
      </c>
      <c r="I2772" s="11">
        <f t="shared" si="432"/>
        <v>0.21</v>
      </c>
      <c r="J2772" s="12">
        <f t="shared" si="433"/>
        <v>-1.3424999999999994</v>
      </c>
      <c r="K2772" s="17" t="str">
        <f t="shared" si="438"/>
        <v>Ecart négatif</v>
      </c>
      <c r="L2772" s="16">
        <f>base!X2772</f>
        <v>0</v>
      </c>
      <c r="M2772" s="11">
        <f t="shared" si="434"/>
        <v>0</v>
      </c>
      <c r="N2772" s="11">
        <f t="shared" si="435"/>
        <v>8.07</v>
      </c>
      <c r="O2772" s="11">
        <f t="shared" si="436"/>
        <v>0.12000000000000001</v>
      </c>
      <c r="P2772" s="12">
        <f t="shared" si="437"/>
        <v>-8.07</v>
      </c>
      <c r="Q2772" s="17" t="str">
        <f t="shared" si="439"/>
        <v>Ecart négatif</v>
      </c>
    </row>
    <row r="2773" spans="1:18" x14ac:dyDescent="0.3">
      <c r="A2773" s="34" t="str">
        <f>base!J2773</f>
        <v>RM</v>
      </c>
      <c r="B2773" s="34" t="str">
        <f>base!V2773</f>
        <v>45000</v>
      </c>
      <c r="C2773" s="37">
        <v>45</v>
      </c>
      <c r="D2773" s="36">
        <f>base!H2773</f>
        <v>25.6</v>
      </c>
      <c r="E2773" s="44"/>
      <c r="F2773" s="16">
        <f>base!W2773</f>
        <v>0</v>
      </c>
      <c r="G2773" s="11">
        <f t="shared" si="430"/>
        <v>0</v>
      </c>
      <c r="H2773" s="11">
        <f t="shared" si="431"/>
        <v>5.3760000000000003</v>
      </c>
      <c r="I2773" s="11">
        <f t="shared" si="432"/>
        <v>0.21</v>
      </c>
      <c r="J2773" s="12">
        <f t="shared" si="433"/>
        <v>-5.3760000000000003</v>
      </c>
      <c r="K2773" s="17" t="str">
        <f t="shared" si="438"/>
        <v>Ecart négatif</v>
      </c>
      <c r="L2773" s="16">
        <f>base!X2773</f>
        <v>0</v>
      </c>
      <c r="M2773" s="11">
        <f t="shared" si="434"/>
        <v>0</v>
      </c>
      <c r="N2773" s="11">
        <f t="shared" si="435"/>
        <v>3.0720000000000001</v>
      </c>
      <c r="O2773" s="11">
        <f t="shared" si="436"/>
        <v>0.12</v>
      </c>
      <c r="P2773" s="12">
        <f t="shared" si="437"/>
        <v>-3.0720000000000001</v>
      </c>
      <c r="Q2773" s="17" t="str">
        <f t="shared" si="439"/>
        <v>Ecart négatif</v>
      </c>
    </row>
    <row r="2774" spans="1:18" x14ac:dyDescent="0.3">
      <c r="A2774" s="34" t="str">
        <f>base!J2774</f>
        <v>LS</v>
      </c>
      <c r="B2774" s="34" t="str">
        <f>base!V2774</f>
        <v>94360</v>
      </c>
      <c r="C2774" s="37">
        <v>94</v>
      </c>
      <c r="D2774" s="36">
        <f>base!H2774</f>
        <v>8.34</v>
      </c>
      <c r="E2774" s="44"/>
      <c r="F2774" s="16">
        <f>base!W2774</f>
        <v>0</v>
      </c>
      <c r="G2774" s="11">
        <f t="shared" si="430"/>
        <v>0</v>
      </c>
      <c r="H2774" s="11">
        <f t="shared" si="431"/>
        <v>0</v>
      </c>
      <c r="I2774" s="11">
        <f t="shared" si="432"/>
        <v>0</v>
      </c>
      <c r="J2774" s="12">
        <f t="shared" si="433"/>
        <v>0</v>
      </c>
      <c r="K2774" s="17" t="str">
        <f t="shared" si="438"/>
        <v>Pas d'écart</v>
      </c>
      <c r="L2774" s="16">
        <f>base!X2774</f>
        <v>0</v>
      </c>
      <c r="M2774" s="11">
        <f t="shared" si="434"/>
        <v>0</v>
      </c>
      <c r="N2774" s="11">
        <f t="shared" si="435"/>
        <v>0</v>
      </c>
      <c r="O2774" s="11">
        <f t="shared" si="436"/>
        <v>0</v>
      </c>
      <c r="P2774" s="12">
        <f t="shared" si="437"/>
        <v>0</v>
      </c>
      <c r="Q2774" s="17" t="str">
        <f t="shared" si="439"/>
        <v>Pas d'écart</v>
      </c>
    </row>
    <row r="2775" spans="1:18" x14ac:dyDescent="0.3">
      <c r="A2775" s="34" t="str">
        <f>base!J2775</f>
        <v>LS</v>
      </c>
      <c r="B2775" s="34" t="str">
        <f>base!V2775</f>
        <v>77183</v>
      </c>
      <c r="C2775" s="37">
        <v>77</v>
      </c>
      <c r="D2775" s="36">
        <f>base!H2775</f>
        <v>136.65</v>
      </c>
      <c r="E2775" s="44"/>
      <c r="F2775" s="16">
        <f>base!W2775</f>
        <v>0</v>
      </c>
      <c r="G2775" s="11">
        <f t="shared" si="430"/>
        <v>0</v>
      </c>
      <c r="H2775" s="11">
        <f t="shared" si="431"/>
        <v>0</v>
      </c>
      <c r="I2775" s="11">
        <f t="shared" si="432"/>
        <v>0</v>
      </c>
      <c r="J2775" s="12">
        <f t="shared" si="433"/>
        <v>0</v>
      </c>
      <c r="K2775" s="17" t="str">
        <f t="shared" si="438"/>
        <v>Pas d'écart</v>
      </c>
      <c r="L2775" s="16">
        <f>base!X2775</f>
        <v>0</v>
      </c>
      <c r="M2775" s="11">
        <f t="shared" si="434"/>
        <v>0</v>
      </c>
      <c r="N2775" s="11">
        <f t="shared" si="435"/>
        <v>0</v>
      </c>
      <c r="O2775" s="11">
        <f t="shared" si="436"/>
        <v>0</v>
      </c>
      <c r="P2775" s="12">
        <f t="shared" si="437"/>
        <v>0</v>
      </c>
      <c r="Q2775" s="17" t="str">
        <f t="shared" si="439"/>
        <v>Pas d'écart</v>
      </c>
    </row>
    <row r="2776" spans="1:18" x14ac:dyDescent="0.3">
      <c r="A2776" s="34" t="str">
        <f>base!J2776</f>
        <v>LM</v>
      </c>
      <c r="B2776" s="34" t="str">
        <f>base!V2776</f>
        <v>06140</v>
      </c>
      <c r="C2776" s="37">
        <v>79</v>
      </c>
      <c r="D2776" s="36">
        <f>base!H2776</f>
        <v>75.34</v>
      </c>
      <c r="E2776" s="44"/>
      <c r="F2776" s="16">
        <f>base!W2776</f>
        <v>22.6</v>
      </c>
      <c r="G2776" s="11">
        <f t="shared" si="430"/>
        <v>0.29997345367666578</v>
      </c>
      <c r="H2776" s="11">
        <f t="shared" si="431"/>
        <v>15.821400000000001</v>
      </c>
      <c r="I2776" s="11">
        <f t="shared" si="432"/>
        <v>0.21</v>
      </c>
      <c r="J2776" s="12">
        <f t="shared" si="433"/>
        <v>6.7786000000000008</v>
      </c>
      <c r="K2776" s="17" t="str">
        <f t="shared" si="438"/>
        <v>Ecart positif</v>
      </c>
      <c r="L2776" s="16">
        <f>base!X2776</f>
        <v>0</v>
      </c>
      <c r="M2776" s="11">
        <f t="shared" si="434"/>
        <v>0</v>
      </c>
      <c r="N2776" s="11">
        <f t="shared" si="435"/>
        <v>9.0408000000000008</v>
      </c>
      <c r="O2776" s="11">
        <f t="shared" si="436"/>
        <v>0.12000000000000001</v>
      </c>
      <c r="P2776" s="12">
        <f t="shared" si="437"/>
        <v>-9.0408000000000008</v>
      </c>
      <c r="Q2776" s="17" t="str">
        <f t="shared" si="439"/>
        <v>Ecart négatif</v>
      </c>
    </row>
    <row r="2777" spans="1:18" x14ac:dyDescent="0.3">
      <c r="A2777" s="34" t="str">
        <f>base!J2777</f>
        <v>LM</v>
      </c>
      <c r="B2777" s="34" t="str">
        <f>base!V2777</f>
        <v>06284</v>
      </c>
      <c r="C2777" s="37">
        <v>57</v>
      </c>
      <c r="D2777" s="36">
        <f>base!H2777</f>
        <v>142.01</v>
      </c>
      <c r="E2777" s="44"/>
      <c r="F2777" s="16">
        <f>base!W2777</f>
        <v>42.6</v>
      </c>
      <c r="G2777" s="11">
        <f t="shared" si="430"/>
        <v>0.29997887472713192</v>
      </c>
      <c r="H2777" s="11">
        <f t="shared" si="431"/>
        <v>34.0824</v>
      </c>
      <c r="I2777" s="11">
        <f t="shared" si="432"/>
        <v>0.24000000000000002</v>
      </c>
      <c r="J2777" s="12">
        <f t="shared" si="433"/>
        <v>8.5176000000000016</v>
      </c>
      <c r="K2777" s="17" t="str">
        <f t="shared" si="438"/>
        <v>Ecart positif</v>
      </c>
      <c r="L2777" s="16">
        <f>base!X2777</f>
        <v>0</v>
      </c>
      <c r="M2777" s="11">
        <f t="shared" si="434"/>
        <v>0</v>
      </c>
      <c r="N2777" s="11">
        <f t="shared" si="435"/>
        <v>35.502499999999998</v>
      </c>
      <c r="O2777" s="11">
        <f t="shared" si="436"/>
        <v>0.25</v>
      </c>
      <c r="P2777" s="12">
        <f t="shared" si="437"/>
        <v>-35.502499999999998</v>
      </c>
      <c r="Q2777" s="17" t="str">
        <f t="shared" si="439"/>
        <v>Ecart négatif</v>
      </c>
    </row>
    <row r="2778" spans="1:18" x14ac:dyDescent="0.3">
      <c r="A2778" s="34" t="str">
        <f>base!J2778</f>
        <v>LM</v>
      </c>
      <c r="B2778" s="34" t="str">
        <f>base!V2778</f>
        <v>95240</v>
      </c>
      <c r="C2778" s="37">
        <v>95</v>
      </c>
      <c r="D2778" s="36">
        <f>base!H2778</f>
        <v>55.34</v>
      </c>
      <c r="E2778" s="44"/>
      <c r="F2778" s="16">
        <f>base!W2778</f>
        <v>0</v>
      </c>
      <c r="G2778" s="11">
        <f t="shared" si="430"/>
        <v>0</v>
      </c>
      <c r="H2778" s="11">
        <f t="shared" si="431"/>
        <v>0</v>
      </c>
      <c r="I2778" s="11">
        <f t="shared" si="432"/>
        <v>0</v>
      </c>
      <c r="J2778" s="12">
        <f t="shared" si="433"/>
        <v>0</v>
      </c>
      <c r="K2778" s="17" t="str">
        <f t="shared" si="438"/>
        <v>Pas d'écart</v>
      </c>
      <c r="L2778" s="16">
        <f>base!X2778</f>
        <v>0</v>
      </c>
      <c r="M2778" s="11">
        <f t="shared" si="434"/>
        <v>0</v>
      </c>
      <c r="N2778" s="11">
        <f t="shared" si="435"/>
        <v>0</v>
      </c>
      <c r="O2778" s="11">
        <f t="shared" si="436"/>
        <v>0</v>
      </c>
      <c r="P2778" s="12">
        <f t="shared" si="437"/>
        <v>0</v>
      </c>
      <c r="Q2778" s="17" t="str">
        <f t="shared" si="439"/>
        <v>Pas d'écart</v>
      </c>
    </row>
    <row r="2779" spans="1:18" x14ac:dyDescent="0.3">
      <c r="A2779" s="34" t="str">
        <f>base!J2779</f>
        <v>LS</v>
      </c>
      <c r="B2779" s="34" t="str">
        <f>base!V2779</f>
        <v>06284</v>
      </c>
      <c r="C2779" s="37">
        <v>38</v>
      </c>
      <c r="D2779" s="36">
        <f>base!H2779</f>
        <v>55.34</v>
      </c>
      <c r="E2779" s="44"/>
      <c r="F2779" s="16">
        <f>base!W2779</f>
        <v>16.600000000000001</v>
      </c>
      <c r="G2779" s="11">
        <f t="shared" si="430"/>
        <v>0.2999638597759306</v>
      </c>
      <c r="H2779" s="11">
        <f t="shared" si="431"/>
        <v>14.941800000000002</v>
      </c>
      <c r="I2779" s="11">
        <f t="shared" si="432"/>
        <v>0.27</v>
      </c>
      <c r="J2779" s="12">
        <f t="shared" si="433"/>
        <v>1.658199999999999</v>
      </c>
      <c r="K2779" s="17" t="str">
        <f t="shared" si="438"/>
        <v>Ecart positif</v>
      </c>
      <c r="L2779" s="16">
        <f>base!X2779</f>
        <v>0</v>
      </c>
      <c r="M2779" s="11">
        <f t="shared" si="434"/>
        <v>0</v>
      </c>
      <c r="N2779" s="11">
        <f t="shared" si="435"/>
        <v>0</v>
      </c>
      <c r="O2779" s="11">
        <f t="shared" si="436"/>
        <v>0</v>
      </c>
      <c r="P2779" s="12">
        <f t="shared" si="437"/>
        <v>0</v>
      </c>
      <c r="Q2779" s="17" t="str">
        <f t="shared" si="439"/>
        <v>Pas d'écart</v>
      </c>
    </row>
    <row r="2780" spans="1:18" x14ac:dyDescent="0.3">
      <c r="A2780" s="34" t="str">
        <f>base!J2780</f>
        <v>LS</v>
      </c>
      <c r="B2780" s="34" t="str">
        <f>base!V2780</f>
        <v>06410</v>
      </c>
      <c r="C2780" s="37">
        <v>64</v>
      </c>
      <c r="D2780" s="36">
        <f>base!H2780</f>
        <v>19.8</v>
      </c>
      <c r="E2780" s="44"/>
      <c r="F2780" s="16">
        <f>base!W2780</f>
        <v>5.94</v>
      </c>
      <c r="G2780" s="11">
        <f t="shared" si="430"/>
        <v>0.3</v>
      </c>
      <c r="H2780" s="11">
        <f t="shared" si="431"/>
        <v>4.1580000000000004</v>
      </c>
      <c r="I2780" s="11">
        <f t="shared" si="432"/>
        <v>0.21000000000000002</v>
      </c>
      <c r="J2780" s="12">
        <f t="shared" si="433"/>
        <v>1.782</v>
      </c>
      <c r="K2780" s="17" t="str">
        <f t="shared" si="438"/>
        <v>Ecart positif</v>
      </c>
      <c r="L2780" s="16">
        <f>base!X2780</f>
        <v>0</v>
      </c>
      <c r="M2780" s="11">
        <f t="shared" si="434"/>
        <v>0</v>
      </c>
      <c r="N2780" s="11">
        <f t="shared" si="435"/>
        <v>3.3660000000000005</v>
      </c>
      <c r="O2780" s="11">
        <f t="shared" si="436"/>
        <v>0.17</v>
      </c>
      <c r="P2780" s="12">
        <f t="shared" si="437"/>
        <v>-3.3660000000000005</v>
      </c>
      <c r="Q2780" s="17" t="str">
        <f t="shared" si="439"/>
        <v>Ecart négatif</v>
      </c>
    </row>
    <row r="2781" spans="1:18" x14ac:dyDescent="0.3">
      <c r="A2781" s="34" t="str">
        <f>base!J2781</f>
        <v>RM</v>
      </c>
      <c r="B2781" s="34" t="str">
        <f>base!V2781</f>
        <v>78190</v>
      </c>
      <c r="C2781" s="37">
        <v>78</v>
      </c>
      <c r="D2781" s="36">
        <f>base!H2781</f>
        <v>183.87</v>
      </c>
      <c r="E2781" s="44"/>
      <c r="F2781" s="16">
        <f>base!W2781</f>
        <v>0</v>
      </c>
      <c r="G2781" s="11">
        <f t="shared" si="430"/>
        <v>0</v>
      </c>
      <c r="H2781" s="11">
        <f t="shared" si="431"/>
        <v>0</v>
      </c>
      <c r="I2781" s="11">
        <f t="shared" si="432"/>
        <v>0</v>
      </c>
      <c r="J2781" s="12">
        <f t="shared" si="433"/>
        <v>0</v>
      </c>
      <c r="K2781" s="17" t="str">
        <f t="shared" si="438"/>
        <v>Pas d'écart</v>
      </c>
      <c r="L2781" s="16">
        <f>base!X2781</f>
        <v>0</v>
      </c>
      <c r="M2781" s="11">
        <f t="shared" si="434"/>
        <v>0</v>
      </c>
      <c r="N2781" s="11">
        <f t="shared" si="435"/>
        <v>0</v>
      </c>
      <c r="O2781" s="11">
        <f t="shared" si="436"/>
        <v>0</v>
      </c>
      <c r="P2781" s="12">
        <f t="shared" si="437"/>
        <v>0</v>
      </c>
      <c r="Q2781" s="17" t="str">
        <f t="shared" si="439"/>
        <v>Pas d'écart</v>
      </c>
    </row>
    <row r="2782" spans="1:18" x14ac:dyDescent="0.3">
      <c r="A2782" s="34" t="str">
        <f>base!J2782</f>
        <v>RM</v>
      </c>
      <c r="B2782" s="34" t="str">
        <f>base!V2782</f>
        <v>34500</v>
      </c>
      <c r="C2782" s="37">
        <v>34</v>
      </c>
      <c r="D2782" s="36">
        <f>base!H2782</f>
        <v>140</v>
      </c>
      <c r="E2782" s="44"/>
      <c r="F2782" s="16">
        <f>base!W2782</f>
        <v>0</v>
      </c>
      <c r="G2782" s="11">
        <f t="shared" si="430"/>
        <v>0</v>
      </c>
      <c r="H2782" s="11">
        <f t="shared" si="431"/>
        <v>54.6</v>
      </c>
      <c r="I2782" s="11">
        <f t="shared" si="432"/>
        <v>0.39</v>
      </c>
      <c r="J2782" s="12">
        <f t="shared" si="433"/>
        <v>-54.6</v>
      </c>
      <c r="K2782" s="17" t="str">
        <f t="shared" si="438"/>
        <v>Ecart négatif</v>
      </c>
      <c r="L2782" s="16">
        <f>base!X2782</f>
        <v>39.200000000000003</v>
      </c>
      <c r="M2782" s="11">
        <f t="shared" si="434"/>
        <v>0.28000000000000003</v>
      </c>
      <c r="N2782" s="11">
        <f t="shared" si="435"/>
        <v>39.200000000000003</v>
      </c>
      <c r="O2782" s="11">
        <f t="shared" si="436"/>
        <v>0.28000000000000003</v>
      </c>
      <c r="P2782" s="12">
        <f t="shared" si="437"/>
        <v>0</v>
      </c>
      <c r="Q2782" s="17" t="str">
        <f t="shared" si="439"/>
        <v>Pas d'écart</v>
      </c>
      <c r="R2782" s="38"/>
    </row>
    <row r="2783" spans="1:18" x14ac:dyDescent="0.3">
      <c r="A2783" s="34" t="str">
        <f>base!J2783</f>
        <v>LM</v>
      </c>
      <c r="B2783" s="34" t="str">
        <f>base!V2783</f>
        <v>06560</v>
      </c>
      <c r="C2783" s="37">
        <v>72</v>
      </c>
      <c r="D2783" s="36">
        <f>base!H2783</f>
        <v>19.89</v>
      </c>
      <c r="E2783" s="44"/>
      <c r="F2783" s="16">
        <f>base!W2783</f>
        <v>5.97</v>
      </c>
      <c r="G2783" s="11">
        <f t="shared" si="430"/>
        <v>0.30015082956259426</v>
      </c>
      <c r="H2783" s="11">
        <f t="shared" si="431"/>
        <v>4.1768999999999998</v>
      </c>
      <c r="I2783" s="11">
        <f t="shared" si="432"/>
        <v>0.21</v>
      </c>
      <c r="J2783" s="12">
        <f t="shared" si="433"/>
        <v>1.7930999999999999</v>
      </c>
      <c r="K2783" s="17" t="str">
        <f t="shared" si="438"/>
        <v>Ecart positif</v>
      </c>
      <c r="L2783" s="16">
        <f>base!X2783</f>
        <v>0</v>
      </c>
      <c r="M2783" s="11">
        <f t="shared" si="434"/>
        <v>0</v>
      </c>
      <c r="N2783" s="11">
        <f t="shared" si="435"/>
        <v>2.3868</v>
      </c>
      <c r="O2783" s="11">
        <f t="shared" si="436"/>
        <v>0.12</v>
      </c>
      <c r="P2783" s="12">
        <f t="shared" si="437"/>
        <v>-2.3868</v>
      </c>
      <c r="Q2783" s="17" t="str">
        <f t="shared" si="439"/>
        <v>Ecart négatif</v>
      </c>
    </row>
    <row r="2784" spans="1:18" x14ac:dyDescent="0.3">
      <c r="A2784" s="34" t="str">
        <f>base!J2784</f>
        <v>LM</v>
      </c>
      <c r="B2784" s="34" t="str">
        <f>base!V2784</f>
        <v>60300</v>
      </c>
      <c r="C2784" s="37">
        <v>72</v>
      </c>
      <c r="D2784" s="36">
        <f>base!H2784</f>
        <v>82.33</v>
      </c>
      <c r="E2784" s="44"/>
      <c r="F2784" s="16">
        <f>base!W2784</f>
        <v>15.64</v>
      </c>
      <c r="G2784" s="11">
        <f t="shared" si="430"/>
        <v>0.18996720515000609</v>
      </c>
      <c r="H2784" s="11">
        <f t="shared" si="431"/>
        <v>17.289299999999997</v>
      </c>
      <c r="I2784" s="11">
        <f t="shared" si="432"/>
        <v>0.20999999999999996</v>
      </c>
      <c r="J2784" s="12">
        <f t="shared" si="433"/>
        <v>-1.6492999999999967</v>
      </c>
      <c r="K2784" s="17" t="str">
        <f t="shared" si="438"/>
        <v>Ecart négatif</v>
      </c>
      <c r="L2784" s="16">
        <f>base!X2784</f>
        <v>0</v>
      </c>
      <c r="M2784" s="11">
        <f t="shared" si="434"/>
        <v>0</v>
      </c>
      <c r="N2784" s="11">
        <f t="shared" si="435"/>
        <v>9.8795999999999999</v>
      </c>
      <c r="O2784" s="11">
        <f t="shared" si="436"/>
        <v>0.12</v>
      </c>
      <c r="P2784" s="12">
        <f t="shared" si="437"/>
        <v>-9.8795999999999999</v>
      </c>
      <c r="Q2784" s="17" t="str">
        <f t="shared" si="439"/>
        <v>Ecart négatif</v>
      </c>
    </row>
    <row r="2785" spans="1:18" x14ac:dyDescent="0.3">
      <c r="A2785" s="34" t="str">
        <f>base!J2785</f>
        <v>LS</v>
      </c>
      <c r="B2785" s="34" t="str">
        <f>base!V2785</f>
        <v>88100</v>
      </c>
      <c r="C2785" s="37">
        <v>45</v>
      </c>
      <c r="D2785" s="36">
        <f>base!H2785</f>
        <v>563.16999999999996</v>
      </c>
      <c r="E2785" s="44"/>
      <c r="F2785" s="16">
        <f>base!W2785</f>
        <v>163.32</v>
      </c>
      <c r="G2785" s="11">
        <f t="shared" si="430"/>
        <v>0.29000124296393631</v>
      </c>
      <c r="H2785" s="11">
        <f t="shared" si="431"/>
        <v>118.26569999999998</v>
      </c>
      <c r="I2785" s="11">
        <f t="shared" si="432"/>
        <v>0.21</v>
      </c>
      <c r="J2785" s="12">
        <f t="shared" si="433"/>
        <v>45.054300000000012</v>
      </c>
      <c r="K2785" s="17" t="str">
        <f t="shared" si="438"/>
        <v>Ecart positif</v>
      </c>
      <c r="L2785" s="16">
        <f>base!X2785</f>
        <v>0</v>
      </c>
      <c r="M2785" s="11">
        <f t="shared" si="434"/>
        <v>0</v>
      </c>
      <c r="N2785" s="11">
        <f t="shared" si="435"/>
        <v>67.580399999999997</v>
      </c>
      <c r="O2785" s="11">
        <f t="shared" si="436"/>
        <v>0.12000000000000001</v>
      </c>
      <c r="P2785" s="12">
        <f t="shared" si="437"/>
        <v>-67.580399999999997</v>
      </c>
      <c r="Q2785" s="17" t="str">
        <f t="shared" si="439"/>
        <v>Ecart négatif</v>
      </c>
    </row>
    <row r="2786" spans="1:18" x14ac:dyDescent="0.3">
      <c r="A2786" s="34" t="str">
        <f>base!J2786</f>
        <v>RM</v>
      </c>
      <c r="B2786" s="34" t="str">
        <f>base!V2786</f>
        <v>37140</v>
      </c>
      <c r="C2786" s="37">
        <v>37</v>
      </c>
      <c r="D2786" s="36">
        <f>base!H2786</f>
        <v>151</v>
      </c>
      <c r="E2786" s="44"/>
      <c r="F2786" s="16">
        <f>base!W2786</f>
        <v>0</v>
      </c>
      <c r="G2786" s="11">
        <f t="shared" si="430"/>
        <v>0</v>
      </c>
      <c r="H2786" s="11">
        <f t="shared" si="431"/>
        <v>28.69</v>
      </c>
      <c r="I2786" s="11">
        <f t="shared" si="432"/>
        <v>0.19</v>
      </c>
      <c r="J2786" s="12">
        <f t="shared" si="433"/>
        <v>-28.69</v>
      </c>
      <c r="K2786" s="17" t="str">
        <f t="shared" si="438"/>
        <v>Ecart négatif</v>
      </c>
      <c r="L2786" s="16">
        <f>base!X2786</f>
        <v>0</v>
      </c>
      <c r="M2786" s="11">
        <f t="shared" si="434"/>
        <v>0</v>
      </c>
      <c r="N2786" s="11">
        <f t="shared" si="435"/>
        <v>18.12</v>
      </c>
      <c r="O2786" s="11">
        <f t="shared" si="436"/>
        <v>0.12000000000000001</v>
      </c>
      <c r="P2786" s="12">
        <f t="shared" si="437"/>
        <v>-18.12</v>
      </c>
      <c r="Q2786" s="17" t="str">
        <f t="shared" si="439"/>
        <v>Ecart négatif</v>
      </c>
    </row>
    <row r="2787" spans="1:18" x14ac:dyDescent="0.3">
      <c r="A2787" s="34" t="str">
        <f>base!J2787</f>
        <v>RS</v>
      </c>
      <c r="B2787" s="34" t="str">
        <f>base!V2787</f>
        <v>29850</v>
      </c>
      <c r="C2787" s="37">
        <v>29</v>
      </c>
      <c r="D2787" s="36">
        <f>base!H2787</f>
        <v>129.81</v>
      </c>
      <c r="E2787" s="44"/>
      <c r="F2787" s="16">
        <f>base!W2787</f>
        <v>0</v>
      </c>
      <c r="G2787" s="11">
        <f t="shared" si="430"/>
        <v>0</v>
      </c>
      <c r="H2787" s="11">
        <f t="shared" si="431"/>
        <v>50.625900000000001</v>
      </c>
      <c r="I2787" s="11">
        <f t="shared" si="432"/>
        <v>0.39</v>
      </c>
      <c r="J2787" s="12">
        <f t="shared" si="433"/>
        <v>-50.625900000000001</v>
      </c>
      <c r="K2787" s="17" t="str">
        <f t="shared" si="438"/>
        <v>Ecart négatif</v>
      </c>
      <c r="L2787" s="16">
        <f>base!X2787</f>
        <v>50.63</v>
      </c>
      <c r="M2787" s="11">
        <f t="shared" si="434"/>
        <v>0.39003158462368076</v>
      </c>
      <c r="N2787" s="11">
        <f t="shared" si="435"/>
        <v>15.577199999999999</v>
      </c>
      <c r="O2787" s="11">
        <f t="shared" si="436"/>
        <v>0.12</v>
      </c>
      <c r="P2787" s="12">
        <f t="shared" si="437"/>
        <v>35.052800000000005</v>
      </c>
      <c r="Q2787" s="17" t="str">
        <f t="shared" si="439"/>
        <v>Ecart positif</v>
      </c>
      <c r="R2787" s="38"/>
    </row>
    <row r="2788" spans="1:18" x14ac:dyDescent="0.3">
      <c r="A2788" s="34" t="str">
        <f>base!J2788</f>
        <v>LM</v>
      </c>
      <c r="B2788" s="34" t="str">
        <f>base!V2788</f>
        <v>91120</v>
      </c>
      <c r="C2788" s="37">
        <v>91</v>
      </c>
      <c r="D2788" s="36">
        <f>base!H2788</f>
        <v>183.25</v>
      </c>
      <c r="E2788" s="44"/>
      <c r="F2788" s="16">
        <f>base!W2788</f>
        <v>0</v>
      </c>
      <c r="G2788" s="11">
        <f t="shared" si="430"/>
        <v>0</v>
      </c>
      <c r="H2788" s="11">
        <f t="shared" si="431"/>
        <v>0</v>
      </c>
      <c r="I2788" s="11">
        <f t="shared" si="432"/>
        <v>0</v>
      </c>
      <c r="J2788" s="12">
        <f t="shared" si="433"/>
        <v>0</v>
      </c>
      <c r="K2788" s="17" t="str">
        <f t="shared" si="438"/>
        <v>Pas d'écart</v>
      </c>
      <c r="L2788" s="16">
        <f>base!X2788</f>
        <v>0</v>
      </c>
      <c r="M2788" s="11">
        <f t="shared" si="434"/>
        <v>0</v>
      </c>
      <c r="N2788" s="11">
        <f t="shared" si="435"/>
        <v>0</v>
      </c>
      <c r="O2788" s="11">
        <f t="shared" si="436"/>
        <v>0</v>
      </c>
      <c r="P2788" s="12">
        <f t="shared" si="437"/>
        <v>0</v>
      </c>
      <c r="Q2788" s="17" t="str">
        <f t="shared" si="439"/>
        <v>Pas d'écart</v>
      </c>
    </row>
    <row r="2789" spans="1:18" x14ac:dyDescent="0.3">
      <c r="A2789" s="34" t="str">
        <f>base!J2789</f>
        <v>LM</v>
      </c>
      <c r="B2789" s="34" t="str">
        <f>base!V2789</f>
        <v>06560</v>
      </c>
      <c r="C2789" s="37">
        <v>79</v>
      </c>
      <c r="D2789" s="36">
        <f>base!H2789</f>
        <v>19.89</v>
      </c>
      <c r="E2789" s="44"/>
      <c r="F2789" s="16">
        <f>base!W2789</f>
        <v>5.97</v>
      </c>
      <c r="G2789" s="11">
        <f t="shared" si="430"/>
        <v>0.30015082956259426</v>
      </c>
      <c r="H2789" s="11">
        <f t="shared" si="431"/>
        <v>4.1768999999999998</v>
      </c>
      <c r="I2789" s="11">
        <f t="shared" si="432"/>
        <v>0.21</v>
      </c>
      <c r="J2789" s="12">
        <f t="shared" si="433"/>
        <v>1.7930999999999999</v>
      </c>
      <c r="K2789" s="17" t="str">
        <f t="shared" si="438"/>
        <v>Ecart positif</v>
      </c>
      <c r="L2789" s="16">
        <f>base!X2789</f>
        <v>0</v>
      </c>
      <c r="M2789" s="11">
        <f t="shared" si="434"/>
        <v>0</v>
      </c>
      <c r="N2789" s="11">
        <f t="shared" si="435"/>
        <v>2.3868</v>
      </c>
      <c r="O2789" s="11">
        <f t="shared" si="436"/>
        <v>0.12</v>
      </c>
      <c r="P2789" s="12">
        <f t="shared" si="437"/>
        <v>-2.3868</v>
      </c>
      <c r="Q2789" s="17" t="str">
        <f t="shared" si="439"/>
        <v>Ecart négatif</v>
      </c>
    </row>
    <row r="2790" spans="1:18" x14ac:dyDescent="0.3">
      <c r="A2790" s="34" t="str">
        <f>base!J2790</f>
        <v>LS</v>
      </c>
      <c r="B2790" s="34" t="str">
        <f>base!V2790</f>
        <v>13210</v>
      </c>
      <c r="C2790" s="37">
        <v>64</v>
      </c>
      <c r="D2790" s="36">
        <f>base!H2790</f>
        <v>83</v>
      </c>
      <c r="E2790" s="44"/>
      <c r="F2790" s="16">
        <f>base!W2790</f>
        <v>24.07</v>
      </c>
      <c r="G2790" s="11">
        <f t="shared" si="430"/>
        <v>0.28999999999999998</v>
      </c>
      <c r="H2790" s="11">
        <f t="shared" si="431"/>
        <v>17.43</v>
      </c>
      <c r="I2790" s="11">
        <f t="shared" si="432"/>
        <v>0.21</v>
      </c>
      <c r="J2790" s="12">
        <f t="shared" si="433"/>
        <v>6.6400000000000006</v>
      </c>
      <c r="K2790" s="17" t="str">
        <f t="shared" si="438"/>
        <v>Ecart positif</v>
      </c>
      <c r="L2790" s="16">
        <f>base!X2790</f>
        <v>0</v>
      </c>
      <c r="M2790" s="11">
        <f t="shared" si="434"/>
        <v>0</v>
      </c>
      <c r="N2790" s="11">
        <f t="shared" si="435"/>
        <v>14.110000000000001</v>
      </c>
      <c r="O2790" s="11">
        <f t="shared" si="436"/>
        <v>0.17</v>
      </c>
      <c r="P2790" s="12">
        <f t="shared" si="437"/>
        <v>-14.110000000000001</v>
      </c>
      <c r="Q2790" s="17" t="str">
        <f t="shared" si="439"/>
        <v>Ecart négatif</v>
      </c>
    </row>
    <row r="2791" spans="1:18" x14ac:dyDescent="0.3">
      <c r="A2791" s="34" t="str">
        <f>base!J2791</f>
        <v>LS</v>
      </c>
      <c r="B2791" s="34" t="str">
        <f>base!V2791</f>
        <v>27400</v>
      </c>
      <c r="C2791" s="37">
        <v>72</v>
      </c>
      <c r="D2791" s="36">
        <f>base!H2791</f>
        <v>102.04</v>
      </c>
      <c r="E2791" s="44"/>
      <c r="F2791" s="16">
        <f>base!W2791</f>
        <v>17.350000000000001</v>
      </c>
      <c r="G2791" s="11">
        <f t="shared" si="430"/>
        <v>0.170031360250882</v>
      </c>
      <c r="H2791" s="11">
        <f t="shared" si="431"/>
        <v>21.4284</v>
      </c>
      <c r="I2791" s="11">
        <f t="shared" si="432"/>
        <v>0.21</v>
      </c>
      <c r="J2791" s="12">
        <f t="shared" si="433"/>
        <v>-4.0783999999999985</v>
      </c>
      <c r="K2791" s="17" t="str">
        <f t="shared" si="438"/>
        <v>Ecart négatif</v>
      </c>
      <c r="L2791" s="16">
        <f>base!X2791</f>
        <v>0</v>
      </c>
      <c r="M2791" s="11">
        <f t="shared" si="434"/>
        <v>0</v>
      </c>
      <c r="N2791" s="11">
        <f t="shared" si="435"/>
        <v>12.2448</v>
      </c>
      <c r="O2791" s="11">
        <f t="shared" si="436"/>
        <v>0.12</v>
      </c>
      <c r="P2791" s="12">
        <f t="shared" si="437"/>
        <v>-12.2448</v>
      </c>
      <c r="Q2791" s="17" t="str">
        <f t="shared" si="439"/>
        <v>Ecart négatif</v>
      </c>
    </row>
    <row r="2792" spans="1:18" x14ac:dyDescent="0.3">
      <c r="A2792" s="34" t="str">
        <f>base!J2792</f>
        <v>LS</v>
      </c>
      <c r="B2792" s="34" t="str">
        <f>base!V2792</f>
        <v>75018</v>
      </c>
      <c r="C2792" s="37">
        <v>75</v>
      </c>
      <c r="D2792" s="36">
        <f>base!H2792</f>
        <v>75.14</v>
      </c>
      <c r="E2792" s="44"/>
      <c r="F2792" s="16">
        <f>base!W2792</f>
        <v>0</v>
      </c>
      <c r="G2792" s="11">
        <f t="shared" si="430"/>
        <v>0</v>
      </c>
      <c r="H2792" s="11">
        <f t="shared" si="431"/>
        <v>0</v>
      </c>
      <c r="I2792" s="11">
        <f t="shared" si="432"/>
        <v>0</v>
      </c>
      <c r="J2792" s="12">
        <f t="shared" si="433"/>
        <v>0</v>
      </c>
      <c r="K2792" s="17" t="str">
        <f t="shared" si="438"/>
        <v>Pas d'écart</v>
      </c>
      <c r="L2792" s="16">
        <f>base!X2792</f>
        <v>0</v>
      </c>
      <c r="M2792" s="11">
        <f t="shared" si="434"/>
        <v>0</v>
      </c>
      <c r="N2792" s="11">
        <f t="shared" si="435"/>
        <v>0</v>
      </c>
      <c r="O2792" s="11">
        <f t="shared" si="436"/>
        <v>0</v>
      </c>
      <c r="P2792" s="12">
        <f t="shared" si="437"/>
        <v>0</v>
      </c>
      <c r="Q2792" s="17" t="str">
        <f t="shared" si="439"/>
        <v>Pas d'écart</v>
      </c>
    </row>
    <row r="2793" spans="1:18" x14ac:dyDescent="0.3">
      <c r="A2793" s="34" t="str">
        <f>base!J2793</f>
        <v>LM</v>
      </c>
      <c r="B2793" s="34" t="str">
        <f>base!V2793</f>
        <v>75006</v>
      </c>
      <c r="C2793" s="37">
        <v>75</v>
      </c>
      <c r="D2793" s="36">
        <f>base!H2793</f>
        <v>193.92</v>
      </c>
      <c r="E2793" s="44"/>
      <c r="F2793" s="16">
        <f>base!W2793</f>
        <v>0</v>
      </c>
      <c r="G2793" s="11">
        <f t="shared" si="430"/>
        <v>0</v>
      </c>
      <c r="H2793" s="11">
        <f t="shared" si="431"/>
        <v>0</v>
      </c>
      <c r="I2793" s="11">
        <f t="shared" si="432"/>
        <v>0</v>
      </c>
      <c r="J2793" s="12">
        <f t="shared" si="433"/>
        <v>0</v>
      </c>
      <c r="K2793" s="17" t="str">
        <f t="shared" si="438"/>
        <v>Pas d'écart</v>
      </c>
      <c r="L2793" s="16">
        <f>base!X2793</f>
        <v>0</v>
      </c>
      <c r="M2793" s="11">
        <f t="shared" si="434"/>
        <v>0</v>
      </c>
      <c r="N2793" s="11">
        <f t="shared" si="435"/>
        <v>0</v>
      </c>
      <c r="O2793" s="11">
        <f t="shared" si="436"/>
        <v>0</v>
      </c>
      <c r="P2793" s="12">
        <f t="shared" si="437"/>
        <v>0</v>
      </c>
      <c r="Q2793" s="17" t="str">
        <f t="shared" si="439"/>
        <v>Pas d'écart</v>
      </c>
    </row>
    <row r="2794" spans="1:18" x14ac:dyDescent="0.3">
      <c r="A2794" s="34" t="str">
        <f>base!J2794</f>
        <v>LS</v>
      </c>
      <c r="B2794" s="34" t="str">
        <f>base!V2794</f>
        <v>92000</v>
      </c>
      <c r="C2794" s="37">
        <v>92</v>
      </c>
      <c r="D2794" s="36">
        <f>base!H2794</f>
        <v>80</v>
      </c>
      <c r="E2794" s="44"/>
      <c r="F2794" s="16">
        <f>base!W2794</f>
        <v>0</v>
      </c>
      <c r="G2794" s="11">
        <f t="shared" si="430"/>
        <v>0</v>
      </c>
      <c r="H2794" s="11">
        <f t="shared" si="431"/>
        <v>0</v>
      </c>
      <c r="I2794" s="11">
        <f t="shared" si="432"/>
        <v>0</v>
      </c>
      <c r="J2794" s="12">
        <f t="shared" si="433"/>
        <v>0</v>
      </c>
      <c r="K2794" s="17" t="str">
        <f t="shared" si="438"/>
        <v>Pas d'écart</v>
      </c>
      <c r="L2794" s="16">
        <f>base!X2794</f>
        <v>0</v>
      </c>
      <c r="M2794" s="11">
        <f t="shared" si="434"/>
        <v>0</v>
      </c>
      <c r="N2794" s="11">
        <f t="shared" si="435"/>
        <v>0</v>
      </c>
      <c r="O2794" s="11">
        <f t="shared" si="436"/>
        <v>0</v>
      </c>
      <c r="P2794" s="12">
        <f t="shared" si="437"/>
        <v>0</v>
      </c>
      <c r="Q2794" s="17" t="str">
        <f t="shared" si="439"/>
        <v>Pas d'écart</v>
      </c>
    </row>
    <row r="2795" spans="1:18" x14ac:dyDescent="0.3">
      <c r="A2795" s="34" t="str">
        <f>base!J2795</f>
        <v>RS</v>
      </c>
      <c r="B2795" s="34" t="str">
        <f>base!V2795</f>
        <v>94270</v>
      </c>
      <c r="C2795" s="37">
        <v>94</v>
      </c>
      <c r="D2795" s="36">
        <f>base!H2795</f>
        <v>136.80000000000001</v>
      </c>
      <c r="E2795" s="44"/>
      <c r="F2795" s="16">
        <f>base!W2795</f>
        <v>0</v>
      </c>
      <c r="G2795" s="11">
        <f t="shared" si="430"/>
        <v>0</v>
      </c>
      <c r="H2795" s="11">
        <f t="shared" si="431"/>
        <v>0</v>
      </c>
      <c r="I2795" s="11">
        <f t="shared" si="432"/>
        <v>0</v>
      </c>
      <c r="J2795" s="12">
        <f t="shared" si="433"/>
        <v>0</v>
      </c>
      <c r="K2795" s="17" t="str">
        <f t="shared" si="438"/>
        <v>Pas d'écart</v>
      </c>
      <c r="L2795" s="16">
        <f>base!X2795</f>
        <v>0</v>
      </c>
      <c r="M2795" s="11">
        <f t="shared" si="434"/>
        <v>0</v>
      </c>
      <c r="N2795" s="11">
        <f t="shared" si="435"/>
        <v>0</v>
      </c>
      <c r="O2795" s="11">
        <f t="shared" si="436"/>
        <v>0</v>
      </c>
      <c r="P2795" s="12">
        <f t="shared" si="437"/>
        <v>0</v>
      </c>
      <c r="Q2795" s="17" t="str">
        <f t="shared" si="439"/>
        <v>Pas d'écart</v>
      </c>
    </row>
    <row r="2796" spans="1:18" x14ac:dyDescent="0.3">
      <c r="A2796" s="34" t="str">
        <f>base!J2796</f>
        <v>LS</v>
      </c>
      <c r="B2796" s="34" t="str">
        <f>base!V2796</f>
        <v>25000</v>
      </c>
      <c r="C2796" s="37">
        <v>41</v>
      </c>
      <c r="D2796" s="36">
        <f>base!H2796</f>
        <v>55</v>
      </c>
      <c r="E2796" s="44"/>
      <c r="F2796" s="16">
        <f>base!W2796</f>
        <v>13.2</v>
      </c>
      <c r="G2796" s="11">
        <f t="shared" si="430"/>
        <v>0.24</v>
      </c>
      <c r="H2796" s="11">
        <f t="shared" si="431"/>
        <v>11.549999999999999</v>
      </c>
      <c r="I2796" s="11">
        <f t="shared" si="432"/>
        <v>0.21</v>
      </c>
      <c r="J2796" s="12">
        <f t="shared" si="433"/>
        <v>1.6500000000000004</v>
      </c>
      <c r="K2796" s="17" t="str">
        <f t="shared" si="438"/>
        <v>Ecart positif</v>
      </c>
      <c r="L2796" s="16">
        <f>base!X2796</f>
        <v>0</v>
      </c>
      <c r="M2796" s="11">
        <f t="shared" si="434"/>
        <v>0</v>
      </c>
      <c r="N2796" s="11">
        <f t="shared" si="435"/>
        <v>6.6</v>
      </c>
      <c r="O2796" s="11">
        <f t="shared" si="436"/>
        <v>0.12</v>
      </c>
      <c r="P2796" s="12">
        <f t="shared" si="437"/>
        <v>-6.6</v>
      </c>
      <c r="Q2796" s="17" t="str">
        <f t="shared" si="439"/>
        <v>Ecart négatif</v>
      </c>
    </row>
    <row r="2797" spans="1:18" x14ac:dyDescent="0.3">
      <c r="A2797" s="34" t="str">
        <f>base!J2797</f>
        <v>RM</v>
      </c>
      <c r="B2797" s="34" t="str">
        <f>base!V2797</f>
        <v>59270</v>
      </c>
      <c r="C2797" s="37">
        <v>59</v>
      </c>
      <c r="D2797" s="36">
        <f>base!H2797</f>
        <v>40</v>
      </c>
      <c r="E2797" s="44"/>
      <c r="F2797" s="16">
        <f>base!W2797</f>
        <v>0</v>
      </c>
      <c r="G2797" s="11">
        <f t="shared" si="430"/>
        <v>0</v>
      </c>
      <c r="H2797" s="11">
        <f t="shared" si="431"/>
        <v>7.6</v>
      </c>
      <c r="I2797" s="11">
        <f t="shared" si="432"/>
        <v>0.19</v>
      </c>
      <c r="J2797" s="12">
        <f t="shared" si="433"/>
        <v>-7.6</v>
      </c>
      <c r="K2797" s="17" t="str">
        <f t="shared" si="438"/>
        <v>Ecart négatif</v>
      </c>
      <c r="L2797" s="16">
        <f>base!X2797</f>
        <v>0</v>
      </c>
      <c r="M2797" s="11">
        <f t="shared" si="434"/>
        <v>0</v>
      </c>
      <c r="N2797" s="11">
        <f t="shared" si="435"/>
        <v>0</v>
      </c>
      <c r="O2797" s="11">
        <f t="shared" si="436"/>
        <v>0</v>
      </c>
      <c r="P2797" s="12">
        <f t="shared" si="437"/>
        <v>0</v>
      </c>
      <c r="Q2797" s="17" t="str">
        <f t="shared" si="439"/>
        <v>Pas d'écart</v>
      </c>
    </row>
    <row r="2798" spans="1:18" x14ac:dyDescent="0.3">
      <c r="A2798" s="34" t="str">
        <f>base!J2798</f>
        <v>LS</v>
      </c>
      <c r="B2798" s="34" t="str">
        <f>base!V2798</f>
        <v>75010</v>
      </c>
      <c r="C2798" s="37">
        <v>75</v>
      </c>
      <c r="D2798" s="36">
        <f>base!H2798</f>
        <v>148.78</v>
      </c>
      <c r="E2798" s="44"/>
      <c r="F2798" s="16">
        <f>base!W2798</f>
        <v>0</v>
      </c>
      <c r="G2798" s="11">
        <f t="shared" si="430"/>
        <v>0</v>
      </c>
      <c r="H2798" s="11">
        <f t="shared" si="431"/>
        <v>0</v>
      </c>
      <c r="I2798" s="11">
        <f t="shared" si="432"/>
        <v>0</v>
      </c>
      <c r="J2798" s="12">
        <f t="shared" si="433"/>
        <v>0</v>
      </c>
      <c r="K2798" s="17" t="str">
        <f t="shared" si="438"/>
        <v>Pas d'écart</v>
      </c>
      <c r="L2798" s="16">
        <f>base!X2798</f>
        <v>0</v>
      </c>
      <c r="M2798" s="11">
        <f t="shared" si="434"/>
        <v>0</v>
      </c>
      <c r="N2798" s="11">
        <f t="shared" si="435"/>
        <v>0</v>
      </c>
      <c r="O2798" s="11">
        <f t="shared" si="436"/>
        <v>0</v>
      </c>
      <c r="P2798" s="12">
        <f t="shared" si="437"/>
        <v>0</v>
      </c>
      <c r="Q2798" s="17" t="str">
        <f t="shared" si="439"/>
        <v>Pas d'écart</v>
      </c>
    </row>
    <row r="2799" spans="1:18" x14ac:dyDescent="0.3">
      <c r="A2799" s="34" t="str">
        <f>base!J2799</f>
        <v>LS</v>
      </c>
      <c r="B2799" s="34" t="str">
        <f>base!V2799</f>
        <v>75002</v>
      </c>
      <c r="C2799" s="37">
        <v>75</v>
      </c>
      <c r="D2799" s="36">
        <f>base!H2799</f>
        <v>147.19999999999999</v>
      </c>
      <c r="E2799" s="44"/>
      <c r="F2799" s="16">
        <f>base!W2799</f>
        <v>0</v>
      </c>
      <c r="G2799" s="11">
        <f t="shared" si="430"/>
        <v>0</v>
      </c>
      <c r="H2799" s="11">
        <f t="shared" si="431"/>
        <v>0</v>
      </c>
      <c r="I2799" s="11">
        <f t="shared" si="432"/>
        <v>0</v>
      </c>
      <c r="J2799" s="12">
        <f t="shared" si="433"/>
        <v>0</v>
      </c>
      <c r="K2799" s="17" t="str">
        <f t="shared" si="438"/>
        <v>Pas d'écart</v>
      </c>
      <c r="L2799" s="16">
        <f>base!X2799</f>
        <v>0</v>
      </c>
      <c r="M2799" s="11">
        <f t="shared" si="434"/>
        <v>0</v>
      </c>
      <c r="N2799" s="11">
        <f t="shared" si="435"/>
        <v>0</v>
      </c>
      <c r="O2799" s="11">
        <f t="shared" si="436"/>
        <v>0</v>
      </c>
      <c r="P2799" s="12">
        <f t="shared" si="437"/>
        <v>0</v>
      </c>
      <c r="Q2799" s="17" t="str">
        <f t="shared" si="439"/>
        <v>Pas d'écart</v>
      </c>
    </row>
    <row r="2800" spans="1:18" x14ac:dyDescent="0.3">
      <c r="A2800" s="34" t="str">
        <f>base!J2800</f>
        <v>LM</v>
      </c>
      <c r="B2800" s="34" t="str">
        <f>base!V2800</f>
        <v>55270</v>
      </c>
      <c r="C2800" s="37">
        <v>16</v>
      </c>
      <c r="D2800" s="36">
        <f>base!H2800</f>
        <v>25.8</v>
      </c>
      <c r="E2800" s="44"/>
      <c r="F2800" s="16">
        <f>base!W2800</f>
        <v>6.45</v>
      </c>
      <c r="G2800" s="11">
        <f t="shared" si="430"/>
        <v>0.25</v>
      </c>
      <c r="H2800" s="11">
        <f t="shared" si="431"/>
        <v>5.4180000000000001</v>
      </c>
      <c r="I2800" s="11">
        <f t="shared" si="432"/>
        <v>0.21</v>
      </c>
      <c r="J2800" s="12">
        <f t="shared" si="433"/>
        <v>1.032</v>
      </c>
      <c r="K2800" s="17" t="str">
        <f t="shared" si="438"/>
        <v>Ecart positif</v>
      </c>
      <c r="L2800" s="16">
        <f>base!X2800</f>
        <v>0</v>
      </c>
      <c r="M2800" s="11">
        <f t="shared" si="434"/>
        <v>0</v>
      </c>
      <c r="N2800" s="11">
        <f t="shared" si="435"/>
        <v>4.3860000000000001</v>
      </c>
      <c r="O2800" s="11">
        <f t="shared" si="436"/>
        <v>0.17</v>
      </c>
      <c r="P2800" s="12">
        <f t="shared" si="437"/>
        <v>-4.3860000000000001</v>
      </c>
      <c r="Q2800" s="17" t="str">
        <f t="shared" si="439"/>
        <v>Ecart négatif</v>
      </c>
    </row>
    <row r="2801" spans="1:18" x14ac:dyDescent="0.3">
      <c r="A2801" s="34" t="str">
        <f>base!J2801</f>
        <v>LS</v>
      </c>
      <c r="B2801" s="34" t="str">
        <f>base!V2801</f>
        <v>68000</v>
      </c>
      <c r="C2801" s="37">
        <v>16</v>
      </c>
      <c r="D2801" s="36">
        <f>base!H2801</f>
        <v>139.19999999999999</v>
      </c>
      <c r="E2801" s="44"/>
      <c r="F2801" s="16">
        <f>base!W2801</f>
        <v>40.369999999999997</v>
      </c>
      <c r="G2801" s="11">
        <f t="shared" si="430"/>
        <v>0.29001436781609197</v>
      </c>
      <c r="H2801" s="11">
        <f t="shared" si="431"/>
        <v>29.231999999999996</v>
      </c>
      <c r="I2801" s="11">
        <f t="shared" si="432"/>
        <v>0.21</v>
      </c>
      <c r="J2801" s="12">
        <f t="shared" si="433"/>
        <v>11.138000000000002</v>
      </c>
      <c r="K2801" s="17" t="str">
        <f t="shared" si="438"/>
        <v>Ecart positif</v>
      </c>
      <c r="L2801" s="16">
        <f>base!X2801</f>
        <v>0</v>
      </c>
      <c r="M2801" s="11">
        <f t="shared" si="434"/>
        <v>0</v>
      </c>
      <c r="N2801" s="11">
        <f t="shared" si="435"/>
        <v>23.664000000000001</v>
      </c>
      <c r="O2801" s="11">
        <f t="shared" si="436"/>
        <v>0.17</v>
      </c>
      <c r="P2801" s="12">
        <f t="shared" si="437"/>
        <v>-23.664000000000001</v>
      </c>
      <c r="Q2801" s="17" t="str">
        <f t="shared" si="439"/>
        <v>Ecart négatif</v>
      </c>
    </row>
    <row r="2802" spans="1:18" x14ac:dyDescent="0.3">
      <c r="A2802" s="34" t="str">
        <f>base!J2802</f>
        <v>LS</v>
      </c>
      <c r="B2802" s="34" t="str">
        <f>base!V2802</f>
        <v>38100</v>
      </c>
      <c r="C2802" s="37">
        <v>16</v>
      </c>
      <c r="D2802" s="36">
        <f>base!H2802</f>
        <v>130.19999999999999</v>
      </c>
      <c r="E2802" s="44"/>
      <c r="F2802" s="16">
        <f>base!W2802</f>
        <v>35.15</v>
      </c>
      <c r="G2802" s="11">
        <f t="shared" si="430"/>
        <v>0.26996927803379417</v>
      </c>
      <c r="H2802" s="11">
        <f t="shared" si="431"/>
        <v>27.341999999999995</v>
      </c>
      <c r="I2802" s="11">
        <f t="shared" si="432"/>
        <v>0.21</v>
      </c>
      <c r="J2802" s="12">
        <f t="shared" si="433"/>
        <v>7.8080000000000034</v>
      </c>
      <c r="K2802" s="17" t="str">
        <f t="shared" si="438"/>
        <v>Ecart positif</v>
      </c>
      <c r="L2802" s="16">
        <f>base!X2802</f>
        <v>0</v>
      </c>
      <c r="M2802" s="11">
        <f t="shared" si="434"/>
        <v>0</v>
      </c>
      <c r="N2802" s="11">
        <f t="shared" si="435"/>
        <v>22.134</v>
      </c>
      <c r="O2802" s="11">
        <f t="shared" si="436"/>
        <v>0.17</v>
      </c>
      <c r="P2802" s="12">
        <f t="shared" si="437"/>
        <v>-22.134</v>
      </c>
      <c r="Q2802" s="17" t="str">
        <f t="shared" si="439"/>
        <v>Ecart négatif</v>
      </c>
    </row>
    <row r="2803" spans="1:18" x14ac:dyDescent="0.3">
      <c r="A2803" s="34" t="str">
        <f>base!J2803</f>
        <v>LS</v>
      </c>
      <c r="B2803" s="34" t="str">
        <f>base!V2803</f>
        <v>77170</v>
      </c>
      <c r="C2803" s="37">
        <v>77</v>
      </c>
      <c r="D2803" s="36">
        <f>base!H2803</f>
        <v>139.91</v>
      </c>
      <c r="E2803" s="44"/>
      <c r="F2803" s="16">
        <f>base!W2803</f>
        <v>0</v>
      </c>
      <c r="G2803" s="11">
        <f t="shared" si="430"/>
        <v>0</v>
      </c>
      <c r="H2803" s="11">
        <f t="shared" si="431"/>
        <v>0</v>
      </c>
      <c r="I2803" s="11">
        <f t="shared" si="432"/>
        <v>0</v>
      </c>
      <c r="J2803" s="12">
        <f t="shared" si="433"/>
        <v>0</v>
      </c>
      <c r="K2803" s="17" t="str">
        <f t="shared" si="438"/>
        <v>Pas d'écart</v>
      </c>
      <c r="L2803" s="16">
        <f>base!X2803</f>
        <v>0</v>
      </c>
      <c r="M2803" s="11">
        <f t="shared" si="434"/>
        <v>0</v>
      </c>
      <c r="N2803" s="11">
        <f t="shared" si="435"/>
        <v>0</v>
      </c>
      <c r="O2803" s="11">
        <f t="shared" si="436"/>
        <v>0</v>
      </c>
      <c r="P2803" s="12">
        <f t="shared" si="437"/>
        <v>0</v>
      </c>
      <c r="Q2803" s="17" t="str">
        <f t="shared" si="439"/>
        <v>Pas d'écart</v>
      </c>
    </row>
    <row r="2804" spans="1:18" x14ac:dyDescent="0.3">
      <c r="A2804" s="34" t="str">
        <f>base!J2804</f>
        <v>LM</v>
      </c>
      <c r="B2804" s="34" t="str">
        <f>base!V2804</f>
        <v>59231</v>
      </c>
      <c r="C2804" s="37">
        <v>16</v>
      </c>
      <c r="D2804" s="36">
        <f>base!H2804</f>
        <v>288.20999999999998</v>
      </c>
      <c r="E2804" s="44"/>
      <c r="F2804" s="16">
        <f>base!W2804</f>
        <v>54.76</v>
      </c>
      <c r="G2804" s="11">
        <f t="shared" si="430"/>
        <v>0.19000034696922383</v>
      </c>
      <c r="H2804" s="11">
        <f t="shared" si="431"/>
        <v>60.52409999999999</v>
      </c>
      <c r="I2804" s="11">
        <f t="shared" si="432"/>
        <v>0.21</v>
      </c>
      <c r="J2804" s="12">
        <f t="shared" si="433"/>
        <v>-5.764099999999992</v>
      </c>
      <c r="K2804" s="17" t="str">
        <f t="shared" si="438"/>
        <v>Ecart négatif</v>
      </c>
      <c r="L2804" s="16">
        <f>base!X2804</f>
        <v>0</v>
      </c>
      <c r="M2804" s="11">
        <f t="shared" si="434"/>
        <v>0</v>
      </c>
      <c r="N2804" s="11">
        <f t="shared" si="435"/>
        <v>48.995699999999999</v>
      </c>
      <c r="O2804" s="11">
        <f t="shared" si="436"/>
        <v>0.17</v>
      </c>
      <c r="P2804" s="12">
        <f t="shared" si="437"/>
        <v>-48.995699999999999</v>
      </c>
      <c r="Q2804" s="17" t="str">
        <f t="shared" si="439"/>
        <v>Ecart négatif</v>
      </c>
    </row>
    <row r="2805" spans="1:18" x14ac:dyDescent="0.3">
      <c r="A2805" s="34" t="str">
        <f>base!J2805</f>
        <v>LM</v>
      </c>
      <c r="B2805" s="34" t="str">
        <f>base!V2805</f>
        <v>75008</v>
      </c>
      <c r="C2805" s="37">
        <v>75</v>
      </c>
      <c r="D2805" s="36">
        <f>base!H2805</f>
        <v>32.85</v>
      </c>
      <c r="E2805" s="44"/>
      <c r="F2805" s="16">
        <f>base!W2805</f>
        <v>0</v>
      </c>
      <c r="G2805" s="11">
        <f t="shared" si="430"/>
        <v>0</v>
      </c>
      <c r="H2805" s="11">
        <f t="shared" si="431"/>
        <v>0</v>
      </c>
      <c r="I2805" s="11">
        <f t="shared" si="432"/>
        <v>0</v>
      </c>
      <c r="J2805" s="12">
        <f t="shared" si="433"/>
        <v>0</v>
      </c>
      <c r="K2805" s="17" t="str">
        <f t="shared" si="438"/>
        <v>Pas d'écart</v>
      </c>
      <c r="L2805" s="16">
        <f>base!X2805</f>
        <v>0</v>
      </c>
      <c r="M2805" s="11">
        <f t="shared" si="434"/>
        <v>0</v>
      </c>
      <c r="N2805" s="11">
        <f t="shared" si="435"/>
        <v>0</v>
      </c>
      <c r="O2805" s="11">
        <f t="shared" si="436"/>
        <v>0</v>
      </c>
      <c r="P2805" s="12">
        <f t="shared" si="437"/>
        <v>0</v>
      </c>
      <c r="Q2805" s="17" t="str">
        <f t="shared" si="439"/>
        <v>Pas d'écart</v>
      </c>
    </row>
    <row r="2806" spans="1:18" x14ac:dyDescent="0.3">
      <c r="A2806" s="34">
        <f>base!J2806</f>
        <v>0</v>
      </c>
      <c r="B2806" s="34" t="str">
        <f>base!V2806</f>
        <v>44240</v>
      </c>
      <c r="C2806" s="37">
        <v>44</v>
      </c>
      <c r="D2806" s="36">
        <f>base!H2806</f>
        <v>31.6</v>
      </c>
      <c r="E2806" s="44"/>
      <c r="F2806" s="16">
        <f>base!W2806</f>
        <v>0</v>
      </c>
      <c r="G2806" s="11">
        <f t="shared" si="430"/>
        <v>0</v>
      </c>
      <c r="H2806" s="11">
        <f t="shared" si="431"/>
        <v>8.5320000000000018</v>
      </c>
      <c r="I2806" s="11">
        <f t="shared" si="432"/>
        <v>0.27</v>
      </c>
      <c r="J2806" s="12">
        <f t="shared" si="433"/>
        <v>-8.5320000000000018</v>
      </c>
      <c r="K2806" s="17" t="str">
        <f t="shared" si="438"/>
        <v>Ecart négatif</v>
      </c>
      <c r="L2806" s="16">
        <f>base!X2806</f>
        <v>0</v>
      </c>
      <c r="M2806" s="11">
        <f t="shared" si="434"/>
        <v>0</v>
      </c>
      <c r="N2806" s="11">
        <f t="shared" si="435"/>
        <v>0</v>
      </c>
      <c r="O2806" s="11">
        <f t="shared" si="436"/>
        <v>0</v>
      </c>
      <c r="P2806" s="12">
        <f t="shared" si="437"/>
        <v>0</v>
      </c>
      <c r="Q2806" s="17" t="str">
        <f t="shared" si="439"/>
        <v>Pas d'écart</v>
      </c>
    </row>
    <row r="2807" spans="1:18" x14ac:dyDescent="0.3">
      <c r="A2807" s="34" t="str">
        <f>base!J2807</f>
        <v>LM</v>
      </c>
      <c r="B2807" s="34" t="str">
        <f>base!V2807</f>
        <v>45000</v>
      </c>
      <c r="C2807" s="37">
        <v>45</v>
      </c>
      <c r="D2807" s="36">
        <f>base!H2807</f>
        <v>80</v>
      </c>
      <c r="E2807" s="44"/>
      <c r="F2807" s="16">
        <f>base!W2807</f>
        <v>16.8</v>
      </c>
      <c r="G2807" s="11">
        <f t="shared" si="430"/>
        <v>0.21000000000000002</v>
      </c>
      <c r="H2807" s="11">
        <f t="shared" si="431"/>
        <v>16.8</v>
      </c>
      <c r="I2807" s="11">
        <f t="shared" si="432"/>
        <v>0.21000000000000002</v>
      </c>
      <c r="J2807" s="12">
        <f t="shared" si="433"/>
        <v>0</v>
      </c>
      <c r="K2807" s="17" t="str">
        <f t="shared" si="438"/>
        <v>Pas d'écart</v>
      </c>
      <c r="L2807" s="16">
        <f>base!X2807</f>
        <v>0</v>
      </c>
      <c r="M2807" s="11">
        <f t="shared" si="434"/>
        <v>0</v>
      </c>
      <c r="N2807" s="11">
        <f t="shared" si="435"/>
        <v>9.6</v>
      </c>
      <c r="O2807" s="11">
        <f t="shared" si="436"/>
        <v>0.12</v>
      </c>
      <c r="P2807" s="12">
        <f t="shared" si="437"/>
        <v>-9.6</v>
      </c>
      <c r="Q2807" s="17" t="str">
        <f t="shared" si="439"/>
        <v>Ecart négatif</v>
      </c>
    </row>
    <row r="2808" spans="1:18" x14ac:dyDescent="0.3">
      <c r="A2808" s="34" t="str">
        <f>base!J2808</f>
        <v>RM</v>
      </c>
      <c r="B2808" s="34" t="str">
        <f>base!V2808</f>
        <v>50260</v>
      </c>
      <c r="C2808" s="37">
        <v>50</v>
      </c>
      <c r="D2808" s="36">
        <f>base!H2808</f>
        <v>151</v>
      </c>
      <c r="E2808" s="44"/>
      <c r="F2808" s="16">
        <f>base!W2808</f>
        <v>0</v>
      </c>
      <c r="G2808" s="11">
        <f t="shared" si="430"/>
        <v>0</v>
      </c>
      <c r="H2808" s="11">
        <f t="shared" si="431"/>
        <v>25.67</v>
      </c>
      <c r="I2808" s="11">
        <f t="shared" si="432"/>
        <v>0.17</v>
      </c>
      <c r="J2808" s="12">
        <f t="shared" si="433"/>
        <v>-25.67</v>
      </c>
      <c r="K2808" s="17" t="str">
        <f t="shared" si="438"/>
        <v>Ecart négatif</v>
      </c>
      <c r="L2808" s="16">
        <f>base!X2808</f>
        <v>25.67</v>
      </c>
      <c r="M2808" s="11">
        <f t="shared" si="434"/>
        <v>0.17</v>
      </c>
      <c r="N2808" s="11">
        <f t="shared" si="435"/>
        <v>25.67</v>
      </c>
      <c r="O2808" s="11">
        <f t="shared" si="436"/>
        <v>0.17</v>
      </c>
      <c r="P2808" s="12">
        <f t="shared" si="437"/>
        <v>0</v>
      </c>
      <c r="Q2808" s="17" t="str">
        <f t="shared" si="439"/>
        <v>Pas d'écart</v>
      </c>
      <c r="R2808" s="38"/>
    </row>
    <row r="2809" spans="1:18" x14ac:dyDescent="0.3">
      <c r="A2809" s="34" t="str">
        <f>base!J2809</f>
        <v>RM</v>
      </c>
      <c r="B2809" s="34" t="str">
        <f>base!V2809</f>
        <v>61330</v>
      </c>
      <c r="C2809" s="37">
        <v>61</v>
      </c>
      <c r="D2809" s="36">
        <f>base!H2809</f>
        <v>70</v>
      </c>
      <c r="E2809" s="44"/>
      <c r="F2809" s="16">
        <f>base!W2809</f>
        <v>0</v>
      </c>
      <c r="G2809" s="11">
        <f t="shared" si="430"/>
        <v>0</v>
      </c>
      <c r="H2809" s="11">
        <f t="shared" si="431"/>
        <v>11.9</v>
      </c>
      <c r="I2809" s="11">
        <f t="shared" si="432"/>
        <v>0.17</v>
      </c>
      <c r="J2809" s="12">
        <f t="shared" si="433"/>
        <v>-11.9</v>
      </c>
      <c r="K2809" s="17" t="str">
        <f t="shared" si="438"/>
        <v>Ecart négatif</v>
      </c>
      <c r="L2809" s="16">
        <f>base!X2809</f>
        <v>0</v>
      </c>
      <c r="M2809" s="11">
        <f t="shared" si="434"/>
        <v>0</v>
      </c>
      <c r="N2809" s="11">
        <f t="shared" si="435"/>
        <v>11.9</v>
      </c>
      <c r="O2809" s="11">
        <f t="shared" si="436"/>
        <v>0.17</v>
      </c>
      <c r="P2809" s="12">
        <f t="shared" si="437"/>
        <v>-11.9</v>
      </c>
      <c r="Q2809" s="17" t="str">
        <f t="shared" si="439"/>
        <v>Ecart négatif</v>
      </c>
    </row>
    <row r="2810" spans="1:18" x14ac:dyDescent="0.3">
      <c r="A2810" s="34" t="str">
        <f>base!J2810</f>
        <v>LM</v>
      </c>
      <c r="B2810" s="34" t="str">
        <f>base!V2810</f>
        <v>65290</v>
      </c>
      <c r="C2810" s="37">
        <v>74</v>
      </c>
      <c r="D2810" s="36">
        <f>base!H2810</f>
        <v>161.01</v>
      </c>
      <c r="E2810" s="44"/>
      <c r="F2810" s="16">
        <f>base!W2810</f>
        <v>35.42</v>
      </c>
      <c r="G2810" s="11">
        <f t="shared" si="430"/>
        <v>0.21998633625240671</v>
      </c>
      <c r="H2810" s="11">
        <f t="shared" si="431"/>
        <v>41.8626</v>
      </c>
      <c r="I2810" s="11">
        <f t="shared" si="432"/>
        <v>0.26</v>
      </c>
      <c r="J2810" s="12">
        <f t="shared" si="433"/>
        <v>-6.4425999999999988</v>
      </c>
      <c r="K2810" s="17" t="str">
        <f t="shared" si="438"/>
        <v>Ecart négatif</v>
      </c>
      <c r="L2810" s="16">
        <f>base!X2810</f>
        <v>0</v>
      </c>
      <c r="M2810" s="11">
        <f t="shared" si="434"/>
        <v>0</v>
      </c>
      <c r="N2810" s="11">
        <f t="shared" si="435"/>
        <v>0</v>
      </c>
      <c r="O2810" s="11">
        <f t="shared" si="436"/>
        <v>0</v>
      </c>
      <c r="P2810" s="12">
        <f t="shared" si="437"/>
        <v>0</v>
      </c>
      <c r="Q2810" s="17" t="str">
        <f t="shared" si="439"/>
        <v>Pas d'écart</v>
      </c>
    </row>
    <row r="2811" spans="1:18" x14ac:dyDescent="0.3">
      <c r="A2811" s="34" t="str">
        <f>base!J2811</f>
        <v>LS</v>
      </c>
      <c r="B2811" s="34" t="str">
        <f>base!V2811</f>
        <v>69001</v>
      </c>
      <c r="C2811" s="37">
        <v>21</v>
      </c>
      <c r="D2811" s="36">
        <f>base!H2811</f>
        <v>154.91999999999999</v>
      </c>
      <c r="E2811" s="44"/>
      <c r="F2811" s="16">
        <f>base!W2811</f>
        <v>41.83</v>
      </c>
      <c r="G2811" s="11">
        <f t="shared" si="430"/>
        <v>0.27001032791117996</v>
      </c>
      <c r="H2811" s="11">
        <f t="shared" si="431"/>
        <v>37.180799999999998</v>
      </c>
      <c r="I2811" s="11">
        <f t="shared" si="432"/>
        <v>0.24000000000000002</v>
      </c>
      <c r="J2811" s="12">
        <f t="shared" si="433"/>
        <v>4.6492000000000004</v>
      </c>
      <c r="K2811" s="17" t="str">
        <f t="shared" si="438"/>
        <v>Ecart positif</v>
      </c>
      <c r="L2811" s="16">
        <f>base!X2811</f>
        <v>0</v>
      </c>
      <c r="M2811" s="11">
        <f t="shared" si="434"/>
        <v>0</v>
      </c>
      <c r="N2811" s="11">
        <f t="shared" si="435"/>
        <v>18.590399999999999</v>
      </c>
      <c r="O2811" s="11">
        <f t="shared" si="436"/>
        <v>0.12000000000000001</v>
      </c>
      <c r="P2811" s="12">
        <f t="shared" si="437"/>
        <v>-18.590399999999999</v>
      </c>
      <c r="Q2811" s="17" t="str">
        <f t="shared" si="439"/>
        <v>Ecart négatif</v>
      </c>
    </row>
    <row r="2812" spans="1:18" x14ac:dyDescent="0.3">
      <c r="A2812" s="34" t="str">
        <f>base!J2812</f>
        <v>LS</v>
      </c>
      <c r="B2812" s="34" t="str">
        <f>base!V2812</f>
        <v>90000</v>
      </c>
      <c r="C2812" s="37">
        <v>73</v>
      </c>
      <c r="D2812" s="36">
        <f>base!H2812</f>
        <v>0.36</v>
      </c>
      <c r="E2812" s="44"/>
      <c r="F2812" s="16">
        <f>base!W2812</f>
        <v>0.1</v>
      </c>
      <c r="G2812" s="11">
        <f t="shared" si="430"/>
        <v>0.27777777777777779</v>
      </c>
      <c r="H2812" s="11">
        <f t="shared" si="431"/>
        <v>9.7200000000000009E-2</v>
      </c>
      <c r="I2812" s="11">
        <f t="shared" si="432"/>
        <v>0.27</v>
      </c>
      <c r="J2812" s="12">
        <f t="shared" si="433"/>
        <v>2.7999999999999969E-3</v>
      </c>
      <c r="K2812" s="17" t="str">
        <f t="shared" si="438"/>
        <v>Ecart positif</v>
      </c>
      <c r="L2812" s="16">
        <f>base!X2812</f>
        <v>0</v>
      </c>
      <c r="M2812" s="11">
        <f t="shared" si="434"/>
        <v>0</v>
      </c>
      <c r="N2812" s="11">
        <f t="shared" si="435"/>
        <v>0</v>
      </c>
      <c r="O2812" s="11">
        <f t="shared" si="436"/>
        <v>0</v>
      </c>
      <c r="P2812" s="12">
        <f t="shared" si="437"/>
        <v>0</v>
      </c>
      <c r="Q2812" s="17" t="str">
        <f t="shared" si="439"/>
        <v>Pas d'écart</v>
      </c>
    </row>
    <row r="2813" spans="1:18" x14ac:dyDescent="0.3">
      <c r="A2813" s="34">
        <f>base!J2813</f>
        <v>0</v>
      </c>
      <c r="B2813" s="34" t="str">
        <f>base!V2813</f>
        <v>44240</v>
      </c>
      <c r="C2813" s="37">
        <v>44</v>
      </c>
      <c r="D2813" s="36">
        <f>base!H2813</f>
        <v>155</v>
      </c>
      <c r="E2813" s="44"/>
      <c r="F2813" s="16">
        <f>base!W2813</f>
        <v>0</v>
      </c>
      <c r="G2813" s="11">
        <f t="shared" si="430"/>
        <v>0</v>
      </c>
      <c r="H2813" s="11">
        <f t="shared" si="431"/>
        <v>41.85</v>
      </c>
      <c r="I2813" s="11">
        <f t="shared" si="432"/>
        <v>0.27</v>
      </c>
      <c r="J2813" s="12">
        <f t="shared" si="433"/>
        <v>-41.85</v>
      </c>
      <c r="K2813" s="17" t="str">
        <f t="shared" si="438"/>
        <v>Ecart négatif</v>
      </c>
      <c r="L2813" s="16">
        <f>base!X2813</f>
        <v>0</v>
      </c>
      <c r="M2813" s="11">
        <f t="shared" si="434"/>
        <v>0</v>
      </c>
      <c r="N2813" s="11">
        <f t="shared" si="435"/>
        <v>0</v>
      </c>
      <c r="O2813" s="11">
        <f t="shared" si="436"/>
        <v>0</v>
      </c>
      <c r="P2813" s="12">
        <f t="shared" si="437"/>
        <v>0</v>
      </c>
      <c r="Q2813" s="17" t="str">
        <f t="shared" si="439"/>
        <v>Pas d'écart</v>
      </c>
    </row>
    <row r="2814" spans="1:18" x14ac:dyDescent="0.3">
      <c r="A2814" s="34" t="str">
        <f>base!J2814</f>
        <v>RM</v>
      </c>
      <c r="B2814" s="34" t="str">
        <f>base!V2814</f>
        <v>54000</v>
      </c>
      <c r="C2814" s="37">
        <v>54</v>
      </c>
      <c r="D2814" s="36">
        <f>base!H2814</f>
        <v>25</v>
      </c>
      <c r="E2814" s="44"/>
      <c r="F2814" s="16">
        <f>base!W2814</f>
        <v>0</v>
      </c>
      <c r="G2814" s="11">
        <f t="shared" si="430"/>
        <v>0</v>
      </c>
      <c r="H2814" s="11">
        <f t="shared" si="431"/>
        <v>6.25</v>
      </c>
      <c r="I2814" s="11">
        <f t="shared" si="432"/>
        <v>0.25</v>
      </c>
      <c r="J2814" s="12">
        <f t="shared" si="433"/>
        <v>-6.25</v>
      </c>
      <c r="K2814" s="17" t="str">
        <f t="shared" si="438"/>
        <v>Ecart négatif</v>
      </c>
      <c r="L2814" s="16">
        <f>base!X2814</f>
        <v>0</v>
      </c>
      <c r="M2814" s="11">
        <f t="shared" si="434"/>
        <v>0</v>
      </c>
      <c r="N2814" s="11">
        <f t="shared" si="435"/>
        <v>6.25</v>
      </c>
      <c r="O2814" s="11">
        <f t="shared" si="436"/>
        <v>0.25</v>
      </c>
      <c r="P2814" s="12">
        <f t="shared" si="437"/>
        <v>-6.25</v>
      </c>
      <c r="Q2814" s="17" t="str">
        <f t="shared" si="439"/>
        <v>Ecart négatif</v>
      </c>
    </row>
    <row r="2815" spans="1:18" x14ac:dyDescent="0.3">
      <c r="A2815" s="34" t="str">
        <f>base!J2815</f>
        <v>LM</v>
      </c>
      <c r="B2815" s="34" t="str">
        <f>base!V2815</f>
        <v>75008</v>
      </c>
      <c r="C2815" s="37">
        <v>75</v>
      </c>
      <c r="D2815" s="36">
        <f>base!H2815</f>
        <v>303.74</v>
      </c>
      <c r="E2815" s="44"/>
      <c r="F2815" s="16">
        <f>base!W2815</f>
        <v>0</v>
      </c>
      <c r="G2815" s="11">
        <f t="shared" si="430"/>
        <v>0</v>
      </c>
      <c r="H2815" s="11">
        <f t="shared" si="431"/>
        <v>0</v>
      </c>
      <c r="I2815" s="11">
        <f t="shared" si="432"/>
        <v>0</v>
      </c>
      <c r="J2815" s="12">
        <f t="shared" si="433"/>
        <v>0</v>
      </c>
      <c r="K2815" s="17" t="str">
        <f t="shared" si="438"/>
        <v>Pas d'écart</v>
      </c>
      <c r="L2815" s="16">
        <f>base!X2815</f>
        <v>0</v>
      </c>
      <c r="M2815" s="11">
        <f t="shared" si="434"/>
        <v>0</v>
      </c>
      <c r="N2815" s="11">
        <f t="shared" si="435"/>
        <v>0</v>
      </c>
      <c r="O2815" s="11">
        <f t="shared" si="436"/>
        <v>0</v>
      </c>
      <c r="P2815" s="12">
        <f t="shared" si="437"/>
        <v>0</v>
      </c>
      <c r="Q2815" s="17" t="str">
        <f t="shared" si="439"/>
        <v>Pas d'écart</v>
      </c>
    </row>
    <row r="2816" spans="1:18" x14ac:dyDescent="0.3">
      <c r="A2816" s="34">
        <f>base!J2816</f>
        <v>0</v>
      </c>
      <c r="B2816" s="34" t="str">
        <f>base!V2816</f>
        <v>77184</v>
      </c>
      <c r="C2816" s="37">
        <v>77</v>
      </c>
      <c r="D2816" s="36">
        <f>base!H2816</f>
        <v>55</v>
      </c>
      <c r="E2816" s="44"/>
      <c r="F2816" s="16">
        <f>base!W2816</f>
        <v>0</v>
      </c>
      <c r="G2816" s="11">
        <f t="shared" si="430"/>
        <v>0</v>
      </c>
      <c r="H2816" s="11">
        <f t="shared" si="431"/>
        <v>0</v>
      </c>
      <c r="I2816" s="11">
        <f t="shared" si="432"/>
        <v>0</v>
      </c>
      <c r="J2816" s="12">
        <f t="shared" si="433"/>
        <v>0</v>
      </c>
      <c r="K2816" s="17" t="str">
        <f t="shared" si="438"/>
        <v>Pas d'écart</v>
      </c>
      <c r="L2816" s="16">
        <f>base!X2816</f>
        <v>0</v>
      </c>
      <c r="M2816" s="11">
        <f t="shared" si="434"/>
        <v>0</v>
      </c>
      <c r="N2816" s="11">
        <f t="shared" si="435"/>
        <v>0</v>
      </c>
      <c r="O2816" s="11">
        <f t="shared" si="436"/>
        <v>0</v>
      </c>
      <c r="P2816" s="12">
        <f t="shared" si="437"/>
        <v>0</v>
      </c>
      <c r="Q2816" s="17" t="str">
        <f t="shared" si="439"/>
        <v>Pas d'écart</v>
      </c>
    </row>
    <row r="2817" spans="1:17" x14ac:dyDescent="0.3">
      <c r="A2817" s="34">
        <f>base!J2817</f>
        <v>0</v>
      </c>
      <c r="B2817" s="34" t="str">
        <f>base!V2817</f>
        <v>77184</v>
      </c>
      <c r="C2817" s="37">
        <v>77</v>
      </c>
      <c r="D2817" s="36">
        <f>base!H2817</f>
        <v>55</v>
      </c>
      <c r="E2817" s="44"/>
      <c r="F2817" s="16">
        <f>base!W2817</f>
        <v>0</v>
      </c>
      <c r="G2817" s="11">
        <f t="shared" si="430"/>
        <v>0</v>
      </c>
      <c r="H2817" s="11">
        <f t="shared" si="431"/>
        <v>0</v>
      </c>
      <c r="I2817" s="11">
        <f t="shared" si="432"/>
        <v>0</v>
      </c>
      <c r="J2817" s="12">
        <f t="shared" si="433"/>
        <v>0</v>
      </c>
      <c r="K2817" s="17" t="str">
        <f t="shared" si="438"/>
        <v>Pas d'écart</v>
      </c>
      <c r="L2817" s="16">
        <f>base!X2817</f>
        <v>0</v>
      </c>
      <c r="M2817" s="11">
        <f t="shared" si="434"/>
        <v>0</v>
      </c>
      <c r="N2817" s="11">
        <f t="shared" si="435"/>
        <v>0</v>
      </c>
      <c r="O2817" s="11">
        <f t="shared" si="436"/>
        <v>0</v>
      </c>
      <c r="P2817" s="12">
        <f t="shared" si="437"/>
        <v>0</v>
      </c>
      <c r="Q2817" s="17" t="str">
        <f t="shared" si="439"/>
        <v>Pas d'écart</v>
      </c>
    </row>
    <row r="2818" spans="1:17" x14ac:dyDescent="0.3">
      <c r="A2818" s="34">
        <f>base!J2818</f>
        <v>0</v>
      </c>
      <c r="B2818" s="34" t="str">
        <f>base!V2818</f>
        <v>77184</v>
      </c>
      <c r="C2818" s="37">
        <v>77</v>
      </c>
      <c r="D2818" s="36">
        <f>base!H2818</f>
        <v>171</v>
      </c>
      <c r="E2818" s="44"/>
      <c r="F2818" s="16">
        <f>base!W2818</f>
        <v>0</v>
      </c>
      <c r="G2818" s="11">
        <f t="shared" ref="G2818:G2881" si="440">F2818/D2818</f>
        <v>0</v>
      </c>
      <c r="H2818" s="11">
        <f t="shared" ref="H2818:H2881" si="441">VLOOKUP(C2818,tout_cout_traction,2,FALSE)*D2818</f>
        <v>0</v>
      </c>
      <c r="I2818" s="11">
        <f t="shared" ref="I2818:I2881" si="442">H2818/D2818</f>
        <v>0</v>
      </c>
      <c r="J2818" s="12">
        <f t="shared" ref="J2818:J2881" si="443">F2818-H2818</f>
        <v>0</v>
      </c>
      <c r="K2818" s="17" t="str">
        <f t="shared" si="438"/>
        <v>Pas d'écart</v>
      </c>
      <c r="L2818" s="16">
        <f>base!X2818</f>
        <v>0</v>
      </c>
      <c r="M2818" s="11">
        <f t="shared" ref="M2818:M2881" si="444">L2818/D2818</f>
        <v>0</v>
      </c>
      <c r="N2818" s="11">
        <f t="shared" ref="N2818:N2881" si="445">VLOOKUP(C2818,tout_cout_traction,3,FALSE)*D2818</f>
        <v>0</v>
      </c>
      <c r="O2818" s="11">
        <f t="shared" ref="O2818:O2881" si="446">N2818/D2818</f>
        <v>0</v>
      </c>
      <c r="P2818" s="12">
        <f t="shared" ref="P2818:P2881" si="447">L2818-N2818</f>
        <v>0</v>
      </c>
      <c r="Q2818" s="17" t="str">
        <f t="shared" si="439"/>
        <v>Pas d'écart</v>
      </c>
    </row>
    <row r="2819" spans="1:17" x14ac:dyDescent="0.3">
      <c r="A2819" s="34">
        <f>base!J2819</f>
        <v>0</v>
      </c>
      <c r="B2819" s="34" t="str">
        <f>base!V2819</f>
        <v>77184</v>
      </c>
      <c r="C2819" s="37">
        <v>77</v>
      </c>
      <c r="D2819" s="36">
        <f>base!H2819</f>
        <v>171</v>
      </c>
      <c r="E2819" s="44"/>
      <c r="F2819" s="16">
        <f>base!W2819</f>
        <v>0</v>
      </c>
      <c r="G2819" s="11">
        <f t="shared" si="440"/>
        <v>0</v>
      </c>
      <c r="H2819" s="11">
        <f t="shared" si="441"/>
        <v>0</v>
      </c>
      <c r="I2819" s="11">
        <f t="shared" si="442"/>
        <v>0</v>
      </c>
      <c r="J2819" s="12">
        <f t="shared" si="443"/>
        <v>0</v>
      </c>
      <c r="K2819" s="17" t="str">
        <f t="shared" ref="K2819:K2882" si="448">IF(H2819=F2819,"Pas d'écart",IF(H2819&lt;F2819,"Ecart positif",IF(H2819&gt;F2819,"Ecart négatif")))</f>
        <v>Pas d'écart</v>
      </c>
      <c r="L2819" s="16">
        <f>base!X2819</f>
        <v>0</v>
      </c>
      <c r="M2819" s="11">
        <f t="shared" si="444"/>
        <v>0</v>
      </c>
      <c r="N2819" s="11">
        <f t="shared" si="445"/>
        <v>0</v>
      </c>
      <c r="O2819" s="11">
        <f t="shared" si="446"/>
        <v>0</v>
      </c>
      <c r="P2819" s="12">
        <f t="shared" si="447"/>
        <v>0</v>
      </c>
      <c r="Q2819" s="17" t="str">
        <f t="shared" ref="Q2819:Q2882" si="449">IF(N2819=L2819,"Pas d'écart",IF(N2819&lt;L2819,"Ecart positif",IF(N2819&gt;L2819,"Ecart négatif")))</f>
        <v>Pas d'écart</v>
      </c>
    </row>
    <row r="2820" spans="1:17" x14ac:dyDescent="0.3">
      <c r="A2820" s="34">
        <f>base!J2820</f>
        <v>0</v>
      </c>
      <c r="B2820" s="34" t="str">
        <f>base!V2820</f>
        <v>77184</v>
      </c>
      <c r="C2820" s="37">
        <v>77</v>
      </c>
      <c r="D2820" s="36">
        <f>base!H2820</f>
        <v>171</v>
      </c>
      <c r="E2820" s="44"/>
      <c r="F2820" s="16">
        <f>base!W2820</f>
        <v>0</v>
      </c>
      <c r="G2820" s="11">
        <f t="shared" si="440"/>
        <v>0</v>
      </c>
      <c r="H2820" s="11">
        <f t="shared" si="441"/>
        <v>0</v>
      </c>
      <c r="I2820" s="11">
        <f t="shared" si="442"/>
        <v>0</v>
      </c>
      <c r="J2820" s="12">
        <f t="shared" si="443"/>
        <v>0</v>
      </c>
      <c r="K2820" s="17" t="str">
        <f t="shared" si="448"/>
        <v>Pas d'écart</v>
      </c>
      <c r="L2820" s="16">
        <f>base!X2820</f>
        <v>0</v>
      </c>
      <c r="M2820" s="11">
        <f t="shared" si="444"/>
        <v>0</v>
      </c>
      <c r="N2820" s="11">
        <f t="shared" si="445"/>
        <v>0</v>
      </c>
      <c r="O2820" s="11">
        <f t="shared" si="446"/>
        <v>0</v>
      </c>
      <c r="P2820" s="12">
        <f t="shared" si="447"/>
        <v>0</v>
      </c>
      <c r="Q2820" s="17" t="str">
        <f t="shared" si="449"/>
        <v>Pas d'écart</v>
      </c>
    </row>
    <row r="2821" spans="1:17" x14ac:dyDescent="0.3">
      <c r="A2821" s="34" t="str">
        <f>base!J2821</f>
        <v>LS</v>
      </c>
      <c r="B2821" s="34" t="str">
        <f>base!V2821</f>
        <v>57071</v>
      </c>
      <c r="C2821" s="37">
        <v>72</v>
      </c>
      <c r="D2821" s="36">
        <f>base!H2821</f>
        <v>19.8</v>
      </c>
      <c r="E2821" s="44"/>
      <c r="F2821" s="16">
        <f>base!W2821</f>
        <v>4.95</v>
      </c>
      <c r="G2821" s="11">
        <f t="shared" si="440"/>
        <v>0.25</v>
      </c>
      <c r="H2821" s="11">
        <f t="shared" si="441"/>
        <v>4.1580000000000004</v>
      </c>
      <c r="I2821" s="11">
        <f t="shared" si="442"/>
        <v>0.21000000000000002</v>
      </c>
      <c r="J2821" s="12">
        <f t="shared" si="443"/>
        <v>0.79199999999999982</v>
      </c>
      <c r="K2821" s="17" t="str">
        <f t="shared" si="448"/>
        <v>Ecart positif</v>
      </c>
      <c r="L2821" s="16">
        <f>base!X2821</f>
        <v>0</v>
      </c>
      <c r="M2821" s="11">
        <f t="shared" si="444"/>
        <v>0</v>
      </c>
      <c r="N2821" s="11">
        <f t="shared" si="445"/>
        <v>2.3759999999999999</v>
      </c>
      <c r="O2821" s="11">
        <f t="shared" si="446"/>
        <v>0.12</v>
      </c>
      <c r="P2821" s="12">
        <f t="shared" si="447"/>
        <v>-2.3759999999999999</v>
      </c>
      <c r="Q2821" s="17" t="str">
        <f t="shared" si="449"/>
        <v>Ecart négatif</v>
      </c>
    </row>
    <row r="2822" spans="1:17" x14ac:dyDescent="0.3">
      <c r="A2822" s="34" t="str">
        <f>base!J2822</f>
        <v>LS</v>
      </c>
      <c r="B2822" s="34" t="str">
        <f>base!V2822</f>
        <v>60300</v>
      </c>
      <c r="C2822" s="37">
        <v>86</v>
      </c>
      <c r="D2822" s="36">
        <f>base!H2822</f>
        <v>25.8</v>
      </c>
      <c r="E2822" s="44"/>
      <c r="F2822" s="16">
        <f>base!W2822</f>
        <v>4.9000000000000004</v>
      </c>
      <c r="G2822" s="11">
        <f t="shared" si="440"/>
        <v>0.18992248062015504</v>
      </c>
      <c r="H2822" s="11">
        <f t="shared" si="441"/>
        <v>5.4180000000000001</v>
      </c>
      <c r="I2822" s="11">
        <f t="shared" si="442"/>
        <v>0.21</v>
      </c>
      <c r="J2822" s="12">
        <f t="shared" si="443"/>
        <v>-0.51799999999999979</v>
      </c>
      <c r="K2822" s="17" t="str">
        <f t="shared" si="448"/>
        <v>Ecart négatif</v>
      </c>
      <c r="L2822" s="16">
        <f>base!X2822</f>
        <v>0</v>
      </c>
      <c r="M2822" s="11">
        <f t="shared" si="444"/>
        <v>0</v>
      </c>
      <c r="N2822" s="11">
        <f t="shared" si="445"/>
        <v>3.0960000000000001</v>
      </c>
      <c r="O2822" s="11">
        <f t="shared" si="446"/>
        <v>0.12</v>
      </c>
      <c r="P2822" s="12">
        <f t="shared" si="447"/>
        <v>-3.0960000000000001</v>
      </c>
      <c r="Q2822" s="17" t="str">
        <f t="shared" si="449"/>
        <v>Ecart négatif</v>
      </c>
    </row>
    <row r="2823" spans="1:17" x14ac:dyDescent="0.3">
      <c r="A2823" s="34" t="str">
        <f>base!J2823</f>
        <v>LS</v>
      </c>
      <c r="B2823" s="34" t="str">
        <f>base!V2823</f>
        <v>75002</v>
      </c>
      <c r="C2823" s="37">
        <v>75</v>
      </c>
      <c r="D2823" s="36">
        <f>base!H2823</f>
        <v>19.8</v>
      </c>
      <c r="E2823" s="44"/>
      <c r="F2823" s="16">
        <f>base!W2823</f>
        <v>0</v>
      </c>
      <c r="G2823" s="11">
        <f t="shared" si="440"/>
        <v>0</v>
      </c>
      <c r="H2823" s="11">
        <f t="shared" si="441"/>
        <v>0</v>
      </c>
      <c r="I2823" s="11">
        <f t="shared" si="442"/>
        <v>0</v>
      </c>
      <c r="J2823" s="12">
        <f t="shared" si="443"/>
        <v>0</v>
      </c>
      <c r="K2823" s="17" t="str">
        <f t="shared" si="448"/>
        <v>Pas d'écart</v>
      </c>
      <c r="L2823" s="16">
        <f>base!X2823</f>
        <v>0</v>
      </c>
      <c r="M2823" s="11">
        <f t="shared" si="444"/>
        <v>0</v>
      </c>
      <c r="N2823" s="11">
        <f t="shared" si="445"/>
        <v>0</v>
      </c>
      <c r="O2823" s="11">
        <f t="shared" si="446"/>
        <v>0</v>
      </c>
      <c r="P2823" s="12">
        <f t="shared" si="447"/>
        <v>0</v>
      </c>
      <c r="Q2823" s="17" t="str">
        <f t="shared" si="449"/>
        <v>Pas d'écart</v>
      </c>
    </row>
    <row r="2824" spans="1:17" x14ac:dyDescent="0.3">
      <c r="A2824" s="34" t="str">
        <f>base!J2824</f>
        <v>LM</v>
      </c>
      <c r="B2824" s="34" t="str">
        <f>base!V2824</f>
        <v>60300</v>
      </c>
      <c r="C2824" s="37">
        <v>28</v>
      </c>
      <c r="D2824" s="36">
        <f>base!H2824</f>
        <v>25.8</v>
      </c>
      <c r="E2824" s="44"/>
      <c r="F2824" s="16">
        <f>base!W2824</f>
        <v>4.9000000000000004</v>
      </c>
      <c r="G2824" s="11">
        <f t="shared" si="440"/>
        <v>0.18992248062015504</v>
      </c>
      <c r="H2824" s="11">
        <f t="shared" si="441"/>
        <v>5.16</v>
      </c>
      <c r="I2824" s="11">
        <f t="shared" si="442"/>
        <v>0.2</v>
      </c>
      <c r="J2824" s="12">
        <f t="shared" si="443"/>
        <v>-0.25999999999999979</v>
      </c>
      <c r="K2824" s="17" t="str">
        <f t="shared" si="448"/>
        <v>Ecart négatif</v>
      </c>
      <c r="L2824" s="16">
        <f>base!X2824</f>
        <v>0</v>
      </c>
      <c r="M2824" s="11">
        <f t="shared" si="444"/>
        <v>0</v>
      </c>
      <c r="N2824" s="11">
        <f t="shared" si="445"/>
        <v>3.0960000000000001</v>
      </c>
      <c r="O2824" s="11">
        <f t="shared" si="446"/>
        <v>0.12</v>
      </c>
      <c r="P2824" s="12">
        <f t="shared" si="447"/>
        <v>-3.0960000000000001</v>
      </c>
      <c r="Q2824" s="17" t="str">
        <f t="shared" si="449"/>
        <v>Ecart négatif</v>
      </c>
    </row>
    <row r="2825" spans="1:17" x14ac:dyDescent="0.3">
      <c r="A2825" s="34" t="str">
        <f>base!J2825</f>
        <v>LM</v>
      </c>
      <c r="B2825" s="34" t="str">
        <f>base!V2825</f>
        <v>62380</v>
      </c>
      <c r="C2825" s="37">
        <v>16</v>
      </c>
      <c r="D2825" s="36">
        <f>base!H2825</f>
        <v>19.8</v>
      </c>
      <c r="E2825" s="44"/>
      <c r="F2825" s="16">
        <f>base!W2825</f>
        <v>3.76</v>
      </c>
      <c r="G2825" s="11">
        <f t="shared" si="440"/>
        <v>0.18989898989898987</v>
      </c>
      <c r="H2825" s="11">
        <f t="shared" si="441"/>
        <v>4.1580000000000004</v>
      </c>
      <c r="I2825" s="11">
        <f t="shared" si="442"/>
        <v>0.21000000000000002</v>
      </c>
      <c r="J2825" s="12">
        <f t="shared" si="443"/>
        <v>-0.39800000000000058</v>
      </c>
      <c r="K2825" s="17" t="str">
        <f t="shared" si="448"/>
        <v>Ecart négatif</v>
      </c>
      <c r="L2825" s="16">
        <f>base!X2825</f>
        <v>0</v>
      </c>
      <c r="M2825" s="11">
        <f t="shared" si="444"/>
        <v>0</v>
      </c>
      <c r="N2825" s="11">
        <f t="shared" si="445"/>
        <v>3.3660000000000005</v>
      </c>
      <c r="O2825" s="11">
        <f t="shared" si="446"/>
        <v>0.17</v>
      </c>
      <c r="P2825" s="12">
        <f t="shared" si="447"/>
        <v>-3.3660000000000005</v>
      </c>
      <c r="Q2825" s="17" t="str">
        <f t="shared" si="449"/>
        <v>Ecart négatif</v>
      </c>
    </row>
    <row r="2826" spans="1:17" x14ac:dyDescent="0.3">
      <c r="A2826" s="34" t="str">
        <f>base!J2826</f>
        <v>LM</v>
      </c>
      <c r="B2826" s="34" t="str">
        <f>base!V2826</f>
        <v>38590</v>
      </c>
      <c r="C2826" s="37">
        <v>31</v>
      </c>
      <c r="D2826" s="36">
        <f>base!H2826</f>
        <v>25.8</v>
      </c>
      <c r="E2826" s="44"/>
      <c r="F2826" s="16">
        <f>base!W2826</f>
        <v>6.97</v>
      </c>
      <c r="G2826" s="11">
        <f t="shared" si="440"/>
        <v>0.27015503875968988</v>
      </c>
      <c r="H2826" s="11">
        <f t="shared" si="441"/>
        <v>4.9020000000000001</v>
      </c>
      <c r="I2826" s="11">
        <f t="shared" si="442"/>
        <v>0.19</v>
      </c>
      <c r="J2826" s="12">
        <f t="shared" si="443"/>
        <v>2.0679999999999996</v>
      </c>
      <c r="K2826" s="17" t="str">
        <f t="shared" si="448"/>
        <v>Ecart positif</v>
      </c>
      <c r="L2826" s="16">
        <f>base!X2826</f>
        <v>0</v>
      </c>
      <c r="M2826" s="11">
        <f t="shared" si="444"/>
        <v>0</v>
      </c>
      <c r="N2826" s="11">
        <f t="shared" si="445"/>
        <v>6.7080000000000002</v>
      </c>
      <c r="O2826" s="11">
        <f t="shared" si="446"/>
        <v>0.26</v>
      </c>
      <c r="P2826" s="12">
        <f t="shared" si="447"/>
        <v>-6.7080000000000002</v>
      </c>
      <c r="Q2826" s="17" t="str">
        <f t="shared" si="449"/>
        <v>Ecart négatif</v>
      </c>
    </row>
    <row r="2827" spans="1:17" x14ac:dyDescent="0.3">
      <c r="A2827" s="34" t="str">
        <f>base!J2827</f>
        <v>LM</v>
      </c>
      <c r="B2827" s="34" t="str">
        <f>base!V2827</f>
        <v>14490</v>
      </c>
      <c r="C2827" s="37">
        <v>64</v>
      </c>
      <c r="D2827" s="36">
        <f>base!H2827</f>
        <v>141.66</v>
      </c>
      <c r="E2827" s="44"/>
      <c r="F2827" s="16">
        <f>base!W2827</f>
        <v>24.08</v>
      </c>
      <c r="G2827" s="11">
        <f t="shared" si="440"/>
        <v>0.16998446985740504</v>
      </c>
      <c r="H2827" s="11">
        <f t="shared" si="441"/>
        <v>29.7486</v>
      </c>
      <c r="I2827" s="11">
        <f t="shared" si="442"/>
        <v>0.21</v>
      </c>
      <c r="J2827" s="12">
        <f t="shared" si="443"/>
        <v>-5.6686000000000014</v>
      </c>
      <c r="K2827" s="17" t="str">
        <f t="shared" si="448"/>
        <v>Ecart négatif</v>
      </c>
      <c r="L2827" s="16">
        <f>base!X2827</f>
        <v>0</v>
      </c>
      <c r="M2827" s="11">
        <f t="shared" si="444"/>
        <v>0</v>
      </c>
      <c r="N2827" s="11">
        <f t="shared" si="445"/>
        <v>24.0822</v>
      </c>
      <c r="O2827" s="11">
        <f t="shared" si="446"/>
        <v>0.17</v>
      </c>
      <c r="P2827" s="12">
        <f t="shared" si="447"/>
        <v>-24.0822</v>
      </c>
      <c r="Q2827" s="17" t="str">
        <f t="shared" si="449"/>
        <v>Ecart négatif</v>
      </c>
    </row>
    <row r="2828" spans="1:17" x14ac:dyDescent="0.3">
      <c r="A2828" s="34" t="str">
        <f>base!J2828</f>
        <v>RS</v>
      </c>
      <c r="B2828" s="34" t="str">
        <f>base!V2828</f>
        <v>56000</v>
      </c>
      <c r="C2828" s="37">
        <v>56</v>
      </c>
      <c r="D2828" s="36">
        <f>base!H2828</f>
        <v>15.8</v>
      </c>
      <c r="E2828" s="44"/>
      <c r="F2828" s="16">
        <f>base!W2828</f>
        <v>0</v>
      </c>
      <c r="G2828" s="11">
        <f t="shared" si="440"/>
        <v>0</v>
      </c>
      <c r="H2828" s="11">
        <f t="shared" si="441"/>
        <v>4.2660000000000009</v>
      </c>
      <c r="I2828" s="11">
        <f t="shared" si="442"/>
        <v>0.27</v>
      </c>
      <c r="J2828" s="12">
        <f t="shared" si="443"/>
        <v>-4.2660000000000009</v>
      </c>
      <c r="K2828" s="17" t="str">
        <f t="shared" si="448"/>
        <v>Ecart négatif</v>
      </c>
      <c r="L2828" s="16">
        <f>base!X2828</f>
        <v>0</v>
      </c>
      <c r="M2828" s="11">
        <f t="shared" si="444"/>
        <v>0</v>
      </c>
      <c r="N2828" s="11">
        <f t="shared" si="445"/>
        <v>0</v>
      </c>
      <c r="O2828" s="11">
        <f t="shared" si="446"/>
        <v>0</v>
      </c>
      <c r="P2828" s="12">
        <f t="shared" si="447"/>
        <v>0</v>
      </c>
      <c r="Q2828" s="17" t="str">
        <f t="shared" si="449"/>
        <v>Pas d'écart</v>
      </c>
    </row>
    <row r="2829" spans="1:17" x14ac:dyDescent="0.3">
      <c r="A2829" s="34" t="str">
        <f>base!J2829</f>
        <v>RS</v>
      </c>
      <c r="B2829" s="34" t="str">
        <f>base!V2829</f>
        <v>26110</v>
      </c>
      <c r="C2829" s="37">
        <v>26</v>
      </c>
      <c r="D2829" s="36">
        <f>base!H2829</f>
        <v>172.84</v>
      </c>
      <c r="E2829" s="44"/>
      <c r="F2829" s="16">
        <f>base!W2829</f>
        <v>0</v>
      </c>
      <c r="G2829" s="11">
        <f t="shared" si="440"/>
        <v>0</v>
      </c>
      <c r="H2829" s="11">
        <f t="shared" si="441"/>
        <v>46.666800000000002</v>
      </c>
      <c r="I2829" s="11">
        <f t="shared" si="442"/>
        <v>0.27</v>
      </c>
      <c r="J2829" s="12">
        <f t="shared" si="443"/>
        <v>-46.666800000000002</v>
      </c>
      <c r="K2829" s="17" t="str">
        <f t="shared" si="448"/>
        <v>Ecart négatif</v>
      </c>
      <c r="L2829" s="16">
        <f>base!X2829</f>
        <v>0</v>
      </c>
      <c r="M2829" s="11">
        <f t="shared" si="444"/>
        <v>0</v>
      </c>
      <c r="N2829" s="11">
        <f t="shared" si="445"/>
        <v>0</v>
      </c>
      <c r="O2829" s="11">
        <f t="shared" si="446"/>
        <v>0</v>
      </c>
      <c r="P2829" s="12">
        <f t="shared" si="447"/>
        <v>0</v>
      </c>
      <c r="Q2829" s="17" t="str">
        <f t="shared" si="449"/>
        <v>Pas d'écart</v>
      </c>
    </row>
    <row r="2830" spans="1:17" x14ac:dyDescent="0.3">
      <c r="A2830" s="34" t="str">
        <f>base!J2830</f>
        <v>LS</v>
      </c>
      <c r="B2830" s="34" t="str">
        <f>base!V2830</f>
        <v>75016</v>
      </c>
      <c r="C2830" s="37">
        <v>75</v>
      </c>
      <c r="D2830" s="36">
        <f>base!H2830</f>
        <v>55.34</v>
      </c>
      <c r="E2830" s="44"/>
      <c r="F2830" s="16">
        <f>base!W2830</f>
        <v>0</v>
      </c>
      <c r="G2830" s="11">
        <f t="shared" si="440"/>
        <v>0</v>
      </c>
      <c r="H2830" s="11">
        <f t="shared" si="441"/>
        <v>0</v>
      </c>
      <c r="I2830" s="11">
        <f t="shared" si="442"/>
        <v>0</v>
      </c>
      <c r="J2830" s="12">
        <f t="shared" si="443"/>
        <v>0</v>
      </c>
      <c r="K2830" s="17" t="str">
        <f t="shared" si="448"/>
        <v>Pas d'écart</v>
      </c>
      <c r="L2830" s="16">
        <f>base!X2830</f>
        <v>0</v>
      </c>
      <c r="M2830" s="11">
        <f t="shared" si="444"/>
        <v>0</v>
      </c>
      <c r="N2830" s="11">
        <f t="shared" si="445"/>
        <v>0</v>
      </c>
      <c r="O2830" s="11">
        <f t="shared" si="446"/>
        <v>0</v>
      </c>
      <c r="P2830" s="12">
        <f t="shared" si="447"/>
        <v>0</v>
      </c>
      <c r="Q2830" s="17" t="str">
        <f t="shared" si="449"/>
        <v>Pas d'écart</v>
      </c>
    </row>
    <row r="2831" spans="1:17" x14ac:dyDescent="0.3">
      <c r="A2831" s="34" t="str">
        <f>base!J2831</f>
        <v>LM</v>
      </c>
      <c r="B2831" s="34" t="str">
        <f>base!V2831</f>
        <v>62500</v>
      </c>
      <c r="C2831" s="37">
        <v>16</v>
      </c>
      <c r="D2831" s="36">
        <f>base!H2831</f>
        <v>186.91</v>
      </c>
      <c r="E2831" s="44"/>
      <c r="F2831" s="16">
        <f>base!W2831</f>
        <v>35.51</v>
      </c>
      <c r="G2831" s="11">
        <f t="shared" si="440"/>
        <v>0.1899844845112621</v>
      </c>
      <c r="H2831" s="11">
        <f t="shared" si="441"/>
        <v>39.251100000000001</v>
      </c>
      <c r="I2831" s="11">
        <f t="shared" si="442"/>
        <v>0.21000000000000002</v>
      </c>
      <c r="J2831" s="12">
        <f t="shared" si="443"/>
        <v>-3.741100000000003</v>
      </c>
      <c r="K2831" s="17" t="str">
        <f t="shared" si="448"/>
        <v>Ecart négatif</v>
      </c>
      <c r="L2831" s="16">
        <f>base!X2831</f>
        <v>0</v>
      </c>
      <c r="M2831" s="11">
        <f t="shared" si="444"/>
        <v>0</v>
      </c>
      <c r="N2831" s="11">
        <f t="shared" si="445"/>
        <v>31.774700000000003</v>
      </c>
      <c r="O2831" s="11">
        <f t="shared" si="446"/>
        <v>0.17</v>
      </c>
      <c r="P2831" s="12">
        <f t="shared" si="447"/>
        <v>-31.774700000000003</v>
      </c>
      <c r="Q2831" s="17" t="str">
        <f t="shared" si="449"/>
        <v>Ecart négatif</v>
      </c>
    </row>
    <row r="2832" spans="1:17" x14ac:dyDescent="0.3">
      <c r="A2832" s="34" t="str">
        <f>base!J2832</f>
        <v>RM</v>
      </c>
      <c r="B2832" s="34" t="str">
        <f>base!V2832</f>
        <v>59000</v>
      </c>
      <c r="C2832" s="37">
        <v>59</v>
      </c>
      <c r="D2832" s="36">
        <f>base!H2832</f>
        <v>180</v>
      </c>
      <c r="E2832" s="44"/>
      <c r="F2832" s="16">
        <f>base!W2832</f>
        <v>0</v>
      </c>
      <c r="G2832" s="11">
        <f t="shared" si="440"/>
        <v>0</v>
      </c>
      <c r="H2832" s="11">
        <f t="shared" si="441"/>
        <v>34.200000000000003</v>
      </c>
      <c r="I2832" s="11">
        <f t="shared" si="442"/>
        <v>0.19</v>
      </c>
      <c r="J2832" s="12">
        <f t="shared" si="443"/>
        <v>-34.200000000000003</v>
      </c>
      <c r="K2832" s="17" t="str">
        <f t="shared" si="448"/>
        <v>Ecart négatif</v>
      </c>
      <c r="L2832" s="16">
        <f>base!X2832</f>
        <v>0</v>
      </c>
      <c r="M2832" s="11">
        <f t="shared" si="444"/>
        <v>0</v>
      </c>
      <c r="N2832" s="11">
        <f t="shared" si="445"/>
        <v>0</v>
      </c>
      <c r="O2832" s="11">
        <f t="shared" si="446"/>
        <v>0</v>
      </c>
      <c r="P2832" s="12">
        <f t="shared" si="447"/>
        <v>0</v>
      </c>
      <c r="Q2832" s="17" t="str">
        <f t="shared" si="449"/>
        <v>Pas d'écart</v>
      </c>
    </row>
    <row r="2833" spans="1:18" x14ac:dyDescent="0.3">
      <c r="A2833" s="34" t="str">
        <f>base!J2833</f>
        <v>RM</v>
      </c>
      <c r="B2833" s="34" t="str">
        <f>base!V2833</f>
        <v>59000</v>
      </c>
      <c r="C2833" s="37">
        <v>59</v>
      </c>
      <c r="D2833" s="36">
        <f>base!H2833</f>
        <v>140</v>
      </c>
      <c r="E2833" s="44"/>
      <c r="F2833" s="16">
        <f>base!W2833</f>
        <v>0</v>
      </c>
      <c r="G2833" s="11">
        <f t="shared" si="440"/>
        <v>0</v>
      </c>
      <c r="H2833" s="11">
        <f t="shared" si="441"/>
        <v>26.6</v>
      </c>
      <c r="I2833" s="11">
        <f t="shared" si="442"/>
        <v>0.19</v>
      </c>
      <c r="J2833" s="12">
        <f t="shared" si="443"/>
        <v>-26.6</v>
      </c>
      <c r="K2833" s="17" t="str">
        <f t="shared" si="448"/>
        <v>Ecart négatif</v>
      </c>
      <c r="L2833" s="16">
        <f>base!X2833</f>
        <v>0</v>
      </c>
      <c r="M2833" s="11">
        <f t="shared" si="444"/>
        <v>0</v>
      </c>
      <c r="N2833" s="11">
        <f t="shared" si="445"/>
        <v>0</v>
      </c>
      <c r="O2833" s="11">
        <f t="shared" si="446"/>
        <v>0</v>
      </c>
      <c r="P2833" s="12">
        <f t="shared" si="447"/>
        <v>0</v>
      </c>
      <c r="Q2833" s="17" t="str">
        <f t="shared" si="449"/>
        <v>Pas d'écart</v>
      </c>
    </row>
    <row r="2834" spans="1:18" x14ac:dyDescent="0.3">
      <c r="A2834" s="34" t="str">
        <f>base!J2834</f>
        <v>LM</v>
      </c>
      <c r="B2834" s="34" t="str">
        <f>base!V2834</f>
        <v>51160</v>
      </c>
      <c r="C2834" s="37">
        <v>16</v>
      </c>
      <c r="D2834" s="36">
        <f>base!H2834</f>
        <v>187.45</v>
      </c>
      <c r="E2834" s="44"/>
      <c r="F2834" s="16">
        <f>base!W2834</f>
        <v>46.86</v>
      </c>
      <c r="G2834" s="11">
        <f t="shared" si="440"/>
        <v>0.24998666311016271</v>
      </c>
      <c r="H2834" s="11">
        <f t="shared" si="441"/>
        <v>39.3645</v>
      </c>
      <c r="I2834" s="11">
        <f t="shared" si="442"/>
        <v>0.21000000000000002</v>
      </c>
      <c r="J2834" s="12">
        <f t="shared" si="443"/>
        <v>7.4954999999999998</v>
      </c>
      <c r="K2834" s="17" t="str">
        <f t="shared" si="448"/>
        <v>Ecart positif</v>
      </c>
      <c r="L2834" s="16">
        <f>base!X2834</f>
        <v>0</v>
      </c>
      <c r="M2834" s="11">
        <f t="shared" si="444"/>
        <v>0</v>
      </c>
      <c r="N2834" s="11">
        <f t="shared" si="445"/>
        <v>31.866500000000002</v>
      </c>
      <c r="O2834" s="11">
        <f t="shared" si="446"/>
        <v>0.17</v>
      </c>
      <c r="P2834" s="12">
        <f t="shared" si="447"/>
        <v>-31.866500000000002</v>
      </c>
      <c r="Q2834" s="17" t="str">
        <f t="shared" si="449"/>
        <v>Ecart négatif</v>
      </c>
    </row>
    <row r="2835" spans="1:18" x14ac:dyDescent="0.3">
      <c r="A2835" s="34">
        <f>base!J2835</f>
        <v>0</v>
      </c>
      <c r="B2835" s="34" t="str">
        <f>base!V2835</f>
        <v>77184</v>
      </c>
      <c r="C2835" s="37">
        <v>77</v>
      </c>
      <c r="D2835" s="36">
        <f>base!H2835</f>
        <v>128.57</v>
      </c>
      <c r="E2835" s="44"/>
      <c r="F2835" s="16">
        <f>base!W2835</f>
        <v>0</v>
      </c>
      <c r="G2835" s="11">
        <f t="shared" si="440"/>
        <v>0</v>
      </c>
      <c r="H2835" s="11">
        <f t="shared" si="441"/>
        <v>0</v>
      </c>
      <c r="I2835" s="11">
        <f t="shared" si="442"/>
        <v>0</v>
      </c>
      <c r="J2835" s="12">
        <f t="shared" si="443"/>
        <v>0</v>
      </c>
      <c r="K2835" s="17" t="str">
        <f t="shared" si="448"/>
        <v>Pas d'écart</v>
      </c>
      <c r="L2835" s="16">
        <f>base!X2835</f>
        <v>0</v>
      </c>
      <c r="M2835" s="11">
        <f t="shared" si="444"/>
        <v>0</v>
      </c>
      <c r="N2835" s="11">
        <f t="shared" si="445"/>
        <v>0</v>
      </c>
      <c r="O2835" s="11">
        <f t="shared" si="446"/>
        <v>0</v>
      </c>
      <c r="P2835" s="12">
        <f t="shared" si="447"/>
        <v>0</v>
      </c>
      <c r="Q2835" s="17" t="str">
        <f t="shared" si="449"/>
        <v>Pas d'écart</v>
      </c>
    </row>
    <row r="2836" spans="1:18" x14ac:dyDescent="0.3">
      <c r="A2836" s="34" t="str">
        <f>base!J2836</f>
        <v>LS</v>
      </c>
      <c r="B2836" s="34" t="str">
        <f>base!V2836</f>
        <v>61340</v>
      </c>
      <c r="C2836" s="37">
        <v>16</v>
      </c>
      <c r="D2836" s="36">
        <f>base!H2836</f>
        <v>145.07</v>
      </c>
      <c r="E2836" s="44"/>
      <c r="F2836" s="16">
        <f>base!W2836</f>
        <v>24.66</v>
      </c>
      <c r="G2836" s="11">
        <f t="shared" si="440"/>
        <v>0.1699869028744744</v>
      </c>
      <c r="H2836" s="11">
        <f t="shared" si="441"/>
        <v>30.464699999999997</v>
      </c>
      <c r="I2836" s="11">
        <f t="shared" si="442"/>
        <v>0.21</v>
      </c>
      <c r="J2836" s="12">
        <f t="shared" si="443"/>
        <v>-5.8046999999999969</v>
      </c>
      <c r="K2836" s="17" t="str">
        <f t="shared" si="448"/>
        <v>Ecart négatif</v>
      </c>
      <c r="L2836" s="16">
        <f>base!X2836</f>
        <v>0</v>
      </c>
      <c r="M2836" s="11">
        <f t="shared" si="444"/>
        <v>0</v>
      </c>
      <c r="N2836" s="11">
        <f t="shared" si="445"/>
        <v>24.661899999999999</v>
      </c>
      <c r="O2836" s="11">
        <f t="shared" si="446"/>
        <v>0.17</v>
      </c>
      <c r="P2836" s="12">
        <f t="shared" si="447"/>
        <v>-24.661899999999999</v>
      </c>
      <c r="Q2836" s="17" t="str">
        <f t="shared" si="449"/>
        <v>Ecart négatif</v>
      </c>
    </row>
    <row r="2837" spans="1:18" x14ac:dyDescent="0.3">
      <c r="A2837" s="34" t="str">
        <f>base!J2837</f>
        <v>LS</v>
      </c>
      <c r="B2837" s="34" t="str">
        <f>base!V2837</f>
        <v>59125</v>
      </c>
      <c r="C2837" s="37">
        <v>64</v>
      </c>
      <c r="D2837" s="36">
        <f>base!H2837</f>
        <v>185.14</v>
      </c>
      <c r="E2837" s="44"/>
      <c r="F2837" s="16">
        <f>base!W2837</f>
        <v>35.18</v>
      </c>
      <c r="G2837" s="11">
        <f t="shared" si="440"/>
        <v>0.19001836448093337</v>
      </c>
      <c r="H2837" s="11">
        <f t="shared" si="441"/>
        <v>38.879399999999997</v>
      </c>
      <c r="I2837" s="11">
        <f t="shared" si="442"/>
        <v>0.21</v>
      </c>
      <c r="J2837" s="12">
        <f t="shared" si="443"/>
        <v>-3.6993999999999971</v>
      </c>
      <c r="K2837" s="17" t="str">
        <f t="shared" si="448"/>
        <v>Ecart négatif</v>
      </c>
      <c r="L2837" s="16">
        <f>base!X2837</f>
        <v>0</v>
      </c>
      <c r="M2837" s="11">
        <f t="shared" si="444"/>
        <v>0</v>
      </c>
      <c r="N2837" s="11">
        <f t="shared" si="445"/>
        <v>31.473800000000001</v>
      </c>
      <c r="O2837" s="11">
        <f t="shared" si="446"/>
        <v>0.17</v>
      </c>
      <c r="P2837" s="12">
        <f t="shared" si="447"/>
        <v>-31.473800000000001</v>
      </c>
      <c r="Q2837" s="17" t="str">
        <f t="shared" si="449"/>
        <v>Ecart négatif</v>
      </c>
    </row>
    <row r="2838" spans="1:18" x14ac:dyDescent="0.3">
      <c r="A2838" s="34" t="str">
        <f>base!J2838</f>
        <v>LM</v>
      </c>
      <c r="B2838" s="34" t="str">
        <f>base!V2838</f>
        <v>69005</v>
      </c>
      <c r="C2838" s="37">
        <v>86</v>
      </c>
      <c r="D2838" s="36">
        <f>base!H2838</f>
        <v>210.09</v>
      </c>
      <c r="E2838" s="44"/>
      <c r="F2838" s="16">
        <f>base!W2838</f>
        <v>56.72</v>
      </c>
      <c r="G2838" s="11">
        <f t="shared" si="440"/>
        <v>0.26997953258127466</v>
      </c>
      <c r="H2838" s="11">
        <f t="shared" si="441"/>
        <v>44.118899999999996</v>
      </c>
      <c r="I2838" s="11">
        <f t="shared" si="442"/>
        <v>0.21</v>
      </c>
      <c r="J2838" s="12">
        <f t="shared" si="443"/>
        <v>12.601100000000002</v>
      </c>
      <c r="K2838" s="17" t="str">
        <f t="shared" si="448"/>
        <v>Ecart positif</v>
      </c>
      <c r="L2838" s="16">
        <f>base!X2838</f>
        <v>0</v>
      </c>
      <c r="M2838" s="11">
        <f t="shared" si="444"/>
        <v>0</v>
      </c>
      <c r="N2838" s="11">
        <f t="shared" si="445"/>
        <v>25.210799999999999</v>
      </c>
      <c r="O2838" s="11">
        <f t="shared" si="446"/>
        <v>0.12</v>
      </c>
      <c r="P2838" s="12">
        <f t="shared" si="447"/>
        <v>-25.210799999999999</v>
      </c>
      <c r="Q2838" s="17" t="str">
        <f t="shared" si="449"/>
        <v>Ecart négatif</v>
      </c>
    </row>
    <row r="2839" spans="1:18" x14ac:dyDescent="0.3">
      <c r="A2839" s="34" t="str">
        <f>base!J2839</f>
        <v>LM</v>
      </c>
      <c r="B2839" s="34" t="str">
        <f>base!V2839</f>
        <v>69005</v>
      </c>
      <c r="C2839" s="37">
        <v>86</v>
      </c>
      <c r="D2839" s="36">
        <f>base!H2839</f>
        <v>33.35</v>
      </c>
      <c r="E2839" s="44"/>
      <c r="F2839" s="16">
        <f>base!W2839</f>
        <v>9</v>
      </c>
      <c r="G2839" s="11">
        <f t="shared" si="440"/>
        <v>0.26986506746626687</v>
      </c>
      <c r="H2839" s="11">
        <f t="shared" si="441"/>
        <v>7.0034999999999998</v>
      </c>
      <c r="I2839" s="11">
        <f t="shared" si="442"/>
        <v>0.21</v>
      </c>
      <c r="J2839" s="12">
        <f t="shared" si="443"/>
        <v>1.9965000000000002</v>
      </c>
      <c r="K2839" s="17" t="str">
        <f t="shared" si="448"/>
        <v>Ecart positif</v>
      </c>
      <c r="L2839" s="16">
        <f>base!X2839</f>
        <v>0</v>
      </c>
      <c r="M2839" s="11">
        <f t="shared" si="444"/>
        <v>0</v>
      </c>
      <c r="N2839" s="11">
        <f t="shared" si="445"/>
        <v>4.0019999999999998</v>
      </c>
      <c r="O2839" s="11">
        <f t="shared" si="446"/>
        <v>0.11999999999999998</v>
      </c>
      <c r="P2839" s="12">
        <f t="shared" si="447"/>
        <v>-4.0019999999999998</v>
      </c>
      <c r="Q2839" s="17" t="str">
        <f t="shared" si="449"/>
        <v>Ecart négatif</v>
      </c>
    </row>
    <row r="2840" spans="1:18" x14ac:dyDescent="0.3">
      <c r="A2840" s="34" t="str">
        <f>base!J2840</f>
        <v>LS</v>
      </c>
      <c r="B2840" s="34" t="str">
        <f>base!V2840</f>
        <v>83300</v>
      </c>
      <c r="C2840" s="37">
        <v>16</v>
      </c>
      <c r="D2840" s="36">
        <f>base!H2840</f>
        <v>55.36</v>
      </c>
      <c r="E2840" s="44"/>
      <c r="F2840" s="16">
        <f>base!W2840</f>
        <v>32.659999999999997</v>
      </c>
      <c r="G2840" s="11">
        <f t="shared" si="440"/>
        <v>0.5899566473988439</v>
      </c>
      <c r="H2840" s="11">
        <f t="shared" si="441"/>
        <v>11.625599999999999</v>
      </c>
      <c r="I2840" s="11">
        <f t="shared" si="442"/>
        <v>0.20999999999999996</v>
      </c>
      <c r="J2840" s="12">
        <f t="shared" si="443"/>
        <v>21.034399999999998</v>
      </c>
      <c r="K2840" s="17" t="str">
        <f t="shared" si="448"/>
        <v>Ecart positif</v>
      </c>
      <c r="L2840" s="16">
        <f>base!X2840</f>
        <v>0</v>
      </c>
      <c r="M2840" s="11">
        <f t="shared" si="444"/>
        <v>0</v>
      </c>
      <c r="N2840" s="11">
        <f t="shared" si="445"/>
        <v>9.4112000000000009</v>
      </c>
      <c r="O2840" s="11">
        <f t="shared" si="446"/>
        <v>0.17</v>
      </c>
      <c r="P2840" s="12">
        <f t="shared" si="447"/>
        <v>-9.4112000000000009</v>
      </c>
      <c r="Q2840" s="17" t="str">
        <f t="shared" si="449"/>
        <v>Ecart négatif</v>
      </c>
    </row>
    <row r="2841" spans="1:18" x14ac:dyDescent="0.3">
      <c r="A2841" s="34" t="str">
        <f>base!J2841</f>
        <v>DRM</v>
      </c>
      <c r="B2841" s="34" t="str">
        <f>base!V2841</f>
        <v>94150</v>
      </c>
      <c r="C2841" s="37">
        <v>94</v>
      </c>
      <c r="D2841" s="36">
        <f>base!H2841</f>
        <v>284</v>
      </c>
      <c r="E2841" s="44"/>
      <c r="F2841" s="16">
        <f>base!W2841</f>
        <v>0</v>
      </c>
      <c r="G2841" s="11">
        <f t="shared" si="440"/>
        <v>0</v>
      </c>
      <c r="H2841" s="11">
        <f t="shared" si="441"/>
        <v>0</v>
      </c>
      <c r="I2841" s="11">
        <f t="shared" si="442"/>
        <v>0</v>
      </c>
      <c r="J2841" s="12">
        <f t="shared" si="443"/>
        <v>0</v>
      </c>
      <c r="K2841" s="17" t="str">
        <f t="shared" si="448"/>
        <v>Pas d'écart</v>
      </c>
      <c r="L2841" s="16">
        <f>base!X2841</f>
        <v>0</v>
      </c>
      <c r="M2841" s="11">
        <f t="shared" si="444"/>
        <v>0</v>
      </c>
      <c r="N2841" s="11">
        <f t="shared" si="445"/>
        <v>0</v>
      </c>
      <c r="O2841" s="11">
        <f t="shared" si="446"/>
        <v>0</v>
      </c>
      <c r="P2841" s="12">
        <f t="shared" si="447"/>
        <v>0</v>
      </c>
      <c r="Q2841" s="17" t="str">
        <f t="shared" si="449"/>
        <v>Pas d'écart</v>
      </c>
    </row>
    <row r="2842" spans="1:18" x14ac:dyDescent="0.3">
      <c r="A2842" s="34" t="str">
        <f>base!J2842</f>
        <v>RS</v>
      </c>
      <c r="B2842" s="34" t="str">
        <f>base!V2842</f>
        <v>54710</v>
      </c>
      <c r="C2842" s="37">
        <v>54</v>
      </c>
      <c r="D2842" s="36">
        <f>base!H2842</f>
        <v>71.819999999999993</v>
      </c>
      <c r="E2842" s="44"/>
      <c r="F2842" s="16">
        <f>base!W2842</f>
        <v>0</v>
      </c>
      <c r="G2842" s="11">
        <f t="shared" si="440"/>
        <v>0</v>
      </c>
      <c r="H2842" s="11">
        <f t="shared" si="441"/>
        <v>17.954999999999998</v>
      </c>
      <c r="I2842" s="11">
        <f t="shared" si="442"/>
        <v>0.25</v>
      </c>
      <c r="J2842" s="12">
        <f t="shared" si="443"/>
        <v>-17.954999999999998</v>
      </c>
      <c r="K2842" s="17" t="str">
        <f t="shared" si="448"/>
        <v>Ecart négatif</v>
      </c>
      <c r="L2842" s="16">
        <f>base!X2842</f>
        <v>17.96</v>
      </c>
      <c r="M2842" s="11">
        <f t="shared" si="444"/>
        <v>0.25006961849067116</v>
      </c>
      <c r="N2842" s="11">
        <f t="shared" si="445"/>
        <v>17.954999999999998</v>
      </c>
      <c r="O2842" s="11">
        <f t="shared" si="446"/>
        <v>0.25</v>
      </c>
      <c r="P2842" s="12">
        <f t="shared" si="447"/>
        <v>5.000000000002558E-3</v>
      </c>
      <c r="Q2842" s="17" t="str">
        <f t="shared" si="449"/>
        <v>Ecart positif</v>
      </c>
      <c r="R2842" s="38"/>
    </row>
    <row r="2843" spans="1:18" x14ac:dyDescent="0.3">
      <c r="A2843" s="34" t="str">
        <f>base!J2843</f>
        <v>RS</v>
      </c>
      <c r="B2843" s="34" t="str">
        <f>base!V2843</f>
        <v>70100</v>
      </c>
      <c r="C2843" s="37">
        <v>70</v>
      </c>
      <c r="D2843" s="36">
        <f>base!H2843</f>
        <v>71.819999999999993</v>
      </c>
      <c r="E2843" s="44"/>
      <c r="F2843" s="16">
        <f>base!W2843</f>
        <v>0</v>
      </c>
      <c r="G2843" s="11">
        <f t="shared" si="440"/>
        <v>0</v>
      </c>
      <c r="H2843" s="11">
        <f t="shared" si="441"/>
        <v>17.236799999999999</v>
      </c>
      <c r="I2843" s="11">
        <f t="shared" si="442"/>
        <v>0.24000000000000002</v>
      </c>
      <c r="J2843" s="12">
        <f t="shared" si="443"/>
        <v>-17.236799999999999</v>
      </c>
      <c r="K2843" s="17" t="str">
        <f t="shared" si="448"/>
        <v>Ecart négatif</v>
      </c>
      <c r="L2843" s="16">
        <f>base!X2843</f>
        <v>8.6199999999999992</v>
      </c>
      <c r="M2843" s="11">
        <f t="shared" si="444"/>
        <v>0.12002227791701477</v>
      </c>
      <c r="N2843" s="11">
        <f t="shared" si="445"/>
        <v>8.6183999999999994</v>
      </c>
      <c r="O2843" s="11">
        <f t="shared" si="446"/>
        <v>0.12000000000000001</v>
      </c>
      <c r="P2843" s="12">
        <f t="shared" si="447"/>
        <v>1.5999999999998238E-3</v>
      </c>
      <c r="Q2843" s="17" t="str">
        <f t="shared" si="449"/>
        <v>Ecart positif</v>
      </c>
      <c r="R2843" s="38"/>
    </row>
    <row r="2844" spans="1:18" x14ac:dyDescent="0.3">
      <c r="A2844" s="34" t="str">
        <f>base!J2844</f>
        <v>RM</v>
      </c>
      <c r="B2844" s="34" t="str">
        <f>base!V2844</f>
        <v>80400</v>
      </c>
      <c r="C2844" s="37">
        <v>80</v>
      </c>
      <c r="D2844" s="36">
        <f>base!H2844</f>
        <v>183.98</v>
      </c>
      <c r="E2844" s="44"/>
      <c r="F2844" s="16">
        <f>base!W2844</f>
        <v>0</v>
      </c>
      <c r="G2844" s="11">
        <f t="shared" si="440"/>
        <v>0</v>
      </c>
      <c r="H2844" s="11">
        <f t="shared" si="441"/>
        <v>34.956199999999995</v>
      </c>
      <c r="I2844" s="11">
        <f t="shared" si="442"/>
        <v>0.18999999999999997</v>
      </c>
      <c r="J2844" s="12">
        <f t="shared" si="443"/>
        <v>-34.956199999999995</v>
      </c>
      <c r="K2844" s="17" t="str">
        <f t="shared" si="448"/>
        <v>Ecart négatif</v>
      </c>
      <c r="L2844" s="16">
        <f>base!X2844</f>
        <v>34.96</v>
      </c>
      <c r="M2844" s="11">
        <f t="shared" si="444"/>
        <v>0.1900206544189586</v>
      </c>
      <c r="N2844" s="11">
        <f t="shared" si="445"/>
        <v>0</v>
      </c>
      <c r="O2844" s="11">
        <f t="shared" si="446"/>
        <v>0</v>
      </c>
      <c r="P2844" s="12">
        <f t="shared" si="447"/>
        <v>34.96</v>
      </c>
      <c r="Q2844" s="17" t="str">
        <f t="shared" si="449"/>
        <v>Ecart positif</v>
      </c>
      <c r="R2844" s="38"/>
    </row>
    <row r="2845" spans="1:18" x14ac:dyDescent="0.3">
      <c r="A2845" s="34">
        <f>base!J2845</f>
        <v>0</v>
      </c>
      <c r="B2845" s="34" t="str">
        <f>base!V2845</f>
        <v>77184</v>
      </c>
      <c r="C2845" s="37">
        <v>77</v>
      </c>
      <c r="D2845" s="36">
        <f>base!H2845</f>
        <v>150</v>
      </c>
      <c r="E2845" s="44"/>
      <c r="F2845" s="16">
        <f>base!W2845</f>
        <v>0</v>
      </c>
      <c r="G2845" s="11">
        <f t="shared" si="440"/>
        <v>0</v>
      </c>
      <c r="H2845" s="11">
        <f t="shared" si="441"/>
        <v>0</v>
      </c>
      <c r="I2845" s="11">
        <f t="shared" si="442"/>
        <v>0</v>
      </c>
      <c r="J2845" s="12">
        <f t="shared" si="443"/>
        <v>0</v>
      </c>
      <c r="K2845" s="17" t="str">
        <f t="shared" si="448"/>
        <v>Pas d'écart</v>
      </c>
      <c r="L2845" s="16">
        <f>base!X2845</f>
        <v>0</v>
      </c>
      <c r="M2845" s="11">
        <f t="shared" si="444"/>
        <v>0</v>
      </c>
      <c r="N2845" s="11">
        <f t="shared" si="445"/>
        <v>0</v>
      </c>
      <c r="O2845" s="11">
        <f t="shared" si="446"/>
        <v>0</v>
      </c>
      <c r="P2845" s="12">
        <f t="shared" si="447"/>
        <v>0</v>
      </c>
      <c r="Q2845" s="17" t="str">
        <f t="shared" si="449"/>
        <v>Pas d'écart</v>
      </c>
    </row>
    <row r="2846" spans="1:18" x14ac:dyDescent="0.3">
      <c r="A2846" s="34" t="str">
        <f>base!J2846</f>
        <v>RM</v>
      </c>
      <c r="B2846" s="34" t="str">
        <f>base!V2846</f>
        <v>75008</v>
      </c>
      <c r="C2846" s="37">
        <v>75</v>
      </c>
      <c r="D2846" s="36">
        <f>base!H2846</f>
        <v>151</v>
      </c>
      <c r="E2846" s="44"/>
      <c r="F2846" s="16">
        <f>base!W2846</f>
        <v>0</v>
      </c>
      <c r="G2846" s="11">
        <f t="shared" si="440"/>
        <v>0</v>
      </c>
      <c r="H2846" s="11">
        <f t="shared" si="441"/>
        <v>0</v>
      </c>
      <c r="I2846" s="11">
        <f t="shared" si="442"/>
        <v>0</v>
      </c>
      <c r="J2846" s="12">
        <f t="shared" si="443"/>
        <v>0</v>
      </c>
      <c r="K2846" s="17" t="str">
        <f t="shared" si="448"/>
        <v>Pas d'écart</v>
      </c>
      <c r="L2846" s="16">
        <f>base!X2846</f>
        <v>0</v>
      </c>
      <c r="M2846" s="11">
        <f t="shared" si="444"/>
        <v>0</v>
      </c>
      <c r="N2846" s="11">
        <f t="shared" si="445"/>
        <v>0</v>
      </c>
      <c r="O2846" s="11">
        <f t="shared" si="446"/>
        <v>0</v>
      </c>
      <c r="P2846" s="12">
        <f t="shared" si="447"/>
        <v>0</v>
      </c>
      <c r="Q2846" s="17" t="str">
        <f t="shared" si="449"/>
        <v>Pas d'écart</v>
      </c>
    </row>
    <row r="2847" spans="1:18" x14ac:dyDescent="0.3">
      <c r="A2847" s="34" t="str">
        <f>base!J2847</f>
        <v>LS</v>
      </c>
      <c r="B2847" s="34" t="str">
        <f>base!V2847</f>
        <v>62800</v>
      </c>
      <c r="C2847" s="37">
        <v>16</v>
      </c>
      <c r="D2847" s="36">
        <f>base!H2847</f>
        <v>19.8</v>
      </c>
      <c r="E2847" s="44"/>
      <c r="F2847" s="16">
        <f>base!W2847</f>
        <v>3.76</v>
      </c>
      <c r="G2847" s="11">
        <f t="shared" si="440"/>
        <v>0.18989898989898987</v>
      </c>
      <c r="H2847" s="11">
        <f t="shared" si="441"/>
        <v>4.1580000000000004</v>
      </c>
      <c r="I2847" s="11">
        <f t="shared" si="442"/>
        <v>0.21000000000000002</v>
      </c>
      <c r="J2847" s="12">
        <f t="shared" si="443"/>
        <v>-0.39800000000000058</v>
      </c>
      <c r="K2847" s="17" t="str">
        <f t="shared" si="448"/>
        <v>Ecart négatif</v>
      </c>
      <c r="L2847" s="16">
        <f>base!X2847</f>
        <v>0</v>
      </c>
      <c r="M2847" s="11">
        <f t="shared" si="444"/>
        <v>0</v>
      </c>
      <c r="N2847" s="11">
        <f t="shared" si="445"/>
        <v>3.3660000000000005</v>
      </c>
      <c r="O2847" s="11">
        <f t="shared" si="446"/>
        <v>0.17</v>
      </c>
      <c r="P2847" s="12">
        <f t="shared" si="447"/>
        <v>-3.3660000000000005</v>
      </c>
      <c r="Q2847" s="17" t="str">
        <f t="shared" si="449"/>
        <v>Ecart négatif</v>
      </c>
    </row>
    <row r="2848" spans="1:18" x14ac:dyDescent="0.3">
      <c r="A2848" s="34" t="str">
        <f>base!J2848</f>
        <v>LM</v>
      </c>
      <c r="B2848" s="34" t="str">
        <f>base!V2848</f>
        <v>84140</v>
      </c>
      <c r="C2848" s="37">
        <v>45</v>
      </c>
      <c r="D2848" s="36">
        <f>base!H2848</f>
        <v>106.2</v>
      </c>
      <c r="E2848" s="44"/>
      <c r="F2848" s="16">
        <f>base!W2848</f>
        <v>30.8</v>
      </c>
      <c r="G2848" s="11">
        <f t="shared" si="440"/>
        <v>0.29001883239171372</v>
      </c>
      <c r="H2848" s="11">
        <f t="shared" si="441"/>
        <v>22.302</v>
      </c>
      <c r="I2848" s="11">
        <f t="shared" si="442"/>
        <v>0.21</v>
      </c>
      <c r="J2848" s="12">
        <f t="shared" si="443"/>
        <v>8.4980000000000011</v>
      </c>
      <c r="K2848" s="17" t="str">
        <f t="shared" si="448"/>
        <v>Ecart positif</v>
      </c>
      <c r="L2848" s="16">
        <f>base!X2848</f>
        <v>0</v>
      </c>
      <c r="M2848" s="11">
        <f t="shared" si="444"/>
        <v>0</v>
      </c>
      <c r="N2848" s="11">
        <f t="shared" si="445"/>
        <v>12.744</v>
      </c>
      <c r="O2848" s="11">
        <f t="shared" si="446"/>
        <v>0.12</v>
      </c>
      <c r="P2848" s="12">
        <f t="shared" si="447"/>
        <v>-12.744</v>
      </c>
      <c r="Q2848" s="17" t="str">
        <f t="shared" si="449"/>
        <v>Ecart négatif</v>
      </c>
    </row>
    <row r="2849" spans="1:17" x14ac:dyDescent="0.3">
      <c r="A2849" s="34" t="str">
        <f>base!J2849</f>
        <v>LS</v>
      </c>
      <c r="B2849" s="34" t="str">
        <f>base!V2849</f>
        <v>84140</v>
      </c>
      <c r="C2849" s="37">
        <v>18</v>
      </c>
      <c r="D2849" s="36">
        <f>base!H2849</f>
        <v>18.350000000000001</v>
      </c>
      <c r="E2849" s="44"/>
      <c r="F2849" s="16">
        <f>base!W2849</f>
        <v>5.32</v>
      </c>
      <c r="G2849" s="11">
        <f t="shared" si="440"/>
        <v>0.2899182561307902</v>
      </c>
      <c r="H2849" s="11">
        <f t="shared" si="441"/>
        <v>3.8535000000000004</v>
      </c>
      <c r="I2849" s="11">
        <f t="shared" si="442"/>
        <v>0.21</v>
      </c>
      <c r="J2849" s="12">
        <f t="shared" si="443"/>
        <v>1.4664999999999999</v>
      </c>
      <c r="K2849" s="17" t="str">
        <f t="shared" si="448"/>
        <v>Ecart positif</v>
      </c>
      <c r="L2849" s="16">
        <f>base!X2849</f>
        <v>0</v>
      </c>
      <c r="M2849" s="11">
        <f t="shared" si="444"/>
        <v>0</v>
      </c>
      <c r="N2849" s="11">
        <f t="shared" si="445"/>
        <v>2.202</v>
      </c>
      <c r="O2849" s="11">
        <f t="shared" si="446"/>
        <v>0.11999999999999998</v>
      </c>
      <c r="P2849" s="12">
        <f t="shared" si="447"/>
        <v>-2.202</v>
      </c>
      <c r="Q2849" s="17" t="str">
        <f t="shared" si="449"/>
        <v>Ecart négatif</v>
      </c>
    </row>
    <row r="2850" spans="1:17" x14ac:dyDescent="0.3">
      <c r="A2850" s="34" t="str">
        <f>base!J2850</f>
        <v>LM</v>
      </c>
      <c r="B2850" s="34" t="str">
        <f>base!V2850</f>
        <v>54300</v>
      </c>
      <c r="C2850" s="37">
        <v>28</v>
      </c>
      <c r="D2850" s="36">
        <f>base!H2850</f>
        <v>18.36</v>
      </c>
      <c r="E2850" s="44"/>
      <c r="F2850" s="16">
        <f>base!W2850</f>
        <v>4.59</v>
      </c>
      <c r="G2850" s="11">
        <f t="shared" si="440"/>
        <v>0.25</v>
      </c>
      <c r="H2850" s="11">
        <f t="shared" si="441"/>
        <v>3.6720000000000002</v>
      </c>
      <c r="I2850" s="11">
        <f t="shared" si="442"/>
        <v>0.2</v>
      </c>
      <c r="J2850" s="12">
        <f t="shared" si="443"/>
        <v>0.91799999999999971</v>
      </c>
      <c r="K2850" s="17" t="str">
        <f t="shared" si="448"/>
        <v>Ecart positif</v>
      </c>
      <c r="L2850" s="16">
        <f>base!X2850</f>
        <v>0</v>
      </c>
      <c r="M2850" s="11">
        <f t="shared" si="444"/>
        <v>0</v>
      </c>
      <c r="N2850" s="11">
        <f t="shared" si="445"/>
        <v>2.2031999999999998</v>
      </c>
      <c r="O2850" s="11">
        <f t="shared" si="446"/>
        <v>0.12</v>
      </c>
      <c r="P2850" s="12">
        <f t="shared" si="447"/>
        <v>-2.2031999999999998</v>
      </c>
      <c r="Q2850" s="17" t="str">
        <f t="shared" si="449"/>
        <v>Ecart négatif</v>
      </c>
    </row>
    <row r="2851" spans="1:17" x14ac:dyDescent="0.3">
      <c r="A2851" s="34" t="str">
        <f>base!J2851</f>
        <v>LM</v>
      </c>
      <c r="B2851" s="34" t="str">
        <f>base!V2851</f>
        <v>80450</v>
      </c>
      <c r="C2851" s="37">
        <v>45</v>
      </c>
      <c r="D2851" s="36">
        <f>base!H2851</f>
        <v>18.36</v>
      </c>
      <c r="E2851" s="44"/>
      <c r="F2851" s="16">
        <f>base!W2851</f>
        <v>3.49</v>
      </c>
      <c r="G2851" s="11">
        <f t="shared" si="440"/>
        <v>0.19008714596949894</v>
      </c>
      <c r="H2851" s="11">
        <f t="shared" si="441"/>
        <v>3.8555999999999999</v>
      </c>
      <c r="I2851" s="11">
        <f t="shared" si="442"/>
        <v>0.21</v>
      </c>
      <c r="J2851" s="12">
        <f t="shared" si="443"/>
        <v>-0.3655999999999997</v>
      </c>
      <c r="K2851" s="17" t="str">
        <f t="shared" si="448"/>
        <v>Ecart négatif</v>
      </c>
      <c r="L2851" s="16">
        <f>base!X2851</f>
        <v>0</v>
      </c>
      <c r="M2851" s="11">
        <f t="shared" si="444"/>
        <v>0</v>
      </c>
      <c r="N2851" s="11">
        <f t="shared" si="445"/>
        <v>2.2031999999999998</v>
      </c>
      <c r="O2851" s="11">
        <f t="shared" si="446"/>
        <v>0.12</v>
      </c>
      <c r="P2851" s="12">
        <f t="shared" si="447"/>
        <v>-2.2031999999999998</v>
      </c>
      <c r="Q2851" s="17" t="str">
        <f t="shared" si="449"/>
        <v>Ecart négatif</v>
      </c>
    </row>
    <row r="2852" spans="1:17" x14ac:dyDescent="0.3">
      <c r="A2852" s="34" t="str">
        <f>base!J2852</f>
        <v>LS</v>
      </c>
      <c r="B2852" s="34" t="str">
        <f>base!V2852</f>
        <v>76100</v>
      </c>
      <c r="C2852" s="37">
        <v>45</v>
      </c>
      <c r="D2852" s="36">
        <f>base!H2852</f>
        <v>55.36</v>
      </c>
      <c r="E2852" s="44"/>
      <c r="F2852" s="16">
        <f>base!W2852</f>
        <v>9.41</v>
      </c>
      <c r="G2852" s="11">
        <f t="shared" si="440"/>
        <v>0.16997832369942198</v>
      </c>
      <c r="H2852" s="11">
        <f t="shared" si="441"/>
        <v>11.625599999999999</v>
      </c>
      <c r="I2852" s="11">
        <f t="shared" si="442"/>
        <v>0.20999999999999996</v>
      </c>
      <c r="J2852" s="12">
        <f t="shared" si="443"/>
        <v>-2.2155999999999985</v>
      </c>
      <c r="K2852" s="17" t="str">
        <f t="shared" si="448"/>
        <v>Ecart négatif</v>
      </c>
      <c r="L2852" s="16">
        <f>base!X2852</f>
        <v>0</v>
      </c>
      <c r="M2852" s="11">
        <f t="shared" si="444"/>
        <v>0</v>
      </c>
      <c r="N2852" s="11">
        <f t="shared" si="445"/>
        <v>6.6431999999999993</v>
      </c>
      <c r="O2852" s="11">
        <f t="shared" si="446"/>
        <v>0.12</v>
      </c>
      <c r="P2852" s="12">
        <f t="shared" si="447"/>
        <v>-6.6431999999999993</v>
      </c>
      <c r="Q2852" s="17" t="str">
        <f t="shared" si="449"/>
        <v>Ecart négatif</v>
      </c>
    </row>
    <row r="2853" spans="1:17" x14ac:dyDescent="0.3">
      <c r="A2853" s="34" t="str">
        <f>base!J2853</f>
        <v>LS</v>
      </c>
      <c r="B2853" s="34" t="str">
        <f>base!V2853</f>
        <v>59230</v>
      </c>
      <c r="C2853" s="37">
        <v>45</v>
      </c>
      <c r="D2853" s="36">
        <f>base!H2853</f>
        <v>2.5</v>
      </c>
      <c r="E2853" s="44"/>
      <c r="F2853" s="16">
        <f>base!W2853</f>
        <v>0.48</v>
      </c>
      <c r="G2853" s="11">
        <f t="shared" si="440"/>
        <v>0.192</v>
      </c>
      <c r="H2853" s="11">
        <f t="shared" si="441"/>
        <v>0.52500000000000002</v>
      </c>
      <c r="I2853" s="11">
        <f t="shared" si="442"/>
        <v>0.21000000000000002</v>
      </c>
      <c r="J2853" s="12">
        <f t="shared" si="443"/>
        <v>-4.500000000000004E-2</v>
      </c>
      <c r="K2853" s="17" t="str">
        <f t="shared" si="448"/>
        <v>Ecart négatif</v>
      </c>
      <c r="L2853" s="16">
        <f>base!X2853</f>
        <v>0</v>
      </c>
      <c r="M2853" s="11">
        <f t="shared" si="444"/>
        <v>0</v>
      </c>
      <c r="N2853" s="11">
        <f t="shared" si="445"/>
        <v>0.3</v>
      </c>
      <c r="O2853" s="11">
        <f t="shared" si="446"/>
        <v>0.12</v>
      </c>
      <c r="P2853" s="12">
        <f t="shared" si="447"/>
        <v>-0.3</v>
      </c>
      <c r="Q2853" s="17" t="str">
        <f t="shared" si="449"/>
        <v>Ecart négatif</v>
      </c>
    </row>
    <row r="2854" spans="1:17" x14ac:dyDescent="0.3">
      <c r="A2854" s="34" t="str">
        <f>base!J2854</f>
        <v>LM</v>
      </c>
      <c r="B2854" s="34" t="str">
        <f>base!V2854</f>
        <v>75014</v>
      </c>
      <c r="C2854" s="37">
        <v>75</v>
      </c>
      <c r="D2854" s="36">
        <f>base!H2854</f>
        <v>137.59</v>
      </c>
      <c r="E2854" s="44"/>
      <c r="F2854" s="16">
        <f>base!W2854</f>
        <v>0</v>
      </c>
      <c r="G2854" s="11">
        <f t="shared" si="440"/>
        <v>0</v>
      </c>
      <c r="H2854" s="11">
        <f t="shared" si="441"/>
        <v>0</v>
      </c>
      <c r="I2854" s="11">
        <f t="shared" si="442"/>
        <v>0</v>
      </c>
      <c r="J2854" s="12">
        <f t="shared" si="443"/>
        <v>0</v>
      </c>
      <c r="K2854" s="17" t="str">
        <f t="shared" si="448"/>
        <v>Pas d'écart</v>
      </c>
      <c r="L2854" s="16">
        <f>base!X2854</f>
        <v>0</v>
      </c>
      <c r="M2854" s="11">
        <f t="shared" si="444"/>
        <v>0</v>
      </c>
      <c r="N2854" s="11">
        <f t="shared" si="445"/>
        <v>0</v>
      </c>
      <c r="O2854" s="11">
        <f t="shared" si="446"/>
        <v>0</v>
      </c>
      <c r="P2854" s="12">
        <f t="shared" si="447"/>
        <v>0</v>
      </c>
      <c r="Q2854" s="17" t="str">
        <f t="shared" si="449"/>
        <v>Pas d'écart</v>
      </c>
    </row>
    <row r="2855" spans="1:17" x14ac:dyDescent="0.3">
      <c r="A2855" s="34" t="str">
        <f>base!J2855</f>
        <v>LM</v>
      </c>
      <c r="B2855" s="34" t="str">
        <f>base!V2855</f>
        <v>80480</v>
      </c>
      <c r="C2855" s="37">
        <v>80</v>
      </c>
      <c r="D2855" s="36">
        <f>base!H2855</f>
        <v>180</v>
      </c>
      <c r="E2855" s="44"/>
      <c r="F2855" s="16">
        <f>base!W2855</f>
        <v>34.200000000000003</v>
      </c>
      <c r="G2855" s="11">
        <f t="shared" si="440"/>
        <v>0.19</v>
      </c>
      <c r="H2855" s="11">
        <f t="shared" si="441"/>
        <v>34.200000000000003</v>
      </c>
      <c r="I2855" s="11">
        <f t="shared" si="442"/>
        <v>0.19</v>
      </c>
      <c r="J2855" s="12">
        <f t="shared" si="443"/>
        <v>0</v>
      </c>
      <c r="K2855" s="17" t="str">
        <f t="shared" si="448"/>
        <v>Pas d'écart</v>
      </c>
      <c r="L2855" s="16">
        <f>base!X2855</f>
        <v>0</v>
      </c>
      <c r="M2855" s="11">
        <f t="shared" si="444"/>
        <v>0</v>
      </c>
      <c r="N2855" s="11">
        <f t="shared" si="445"/>
        <v>0</v>
      </c>
      <c r="O2855" s="11">
        <f t="shared" si="446"/>
        <v>0</v>
      </c>
      <c r="P2855" s="12">
        <f t="shared" si="447"/>
        <v>0</v>
      </c>
      <c r="Q2855" s="17" t="str">
        <f t="shared" si="449"/>
        <v>Pas d'écart</v>
      </c>
    </row>
    <row r="2856" spans="1:17" x14ac:dyDescent="0.3">
      <c r="A2856" s="34" t="str">
        <f>base!J2856</f>
        <v>LS</v>
      </c>
      <c r="B2856" s="34" t="str">
        <f>base!V2856</f>
        <v>74370</v>
      </c>
      <c r="C2856" s="37">
        <v>54</v>
      </c>
      <c r="D2856" s="36">
        <f>base!H2856</f>
        <v>180</v>
      </c>
      <c r="E2856" s="44"/>
      <c r="F2856" s="16">
        <f>base!W2856</f>
        <v>48.6</v>
      </c>
      <c r="G2856" s="11">
        <f t="shared" si="440"/>
        <v>0.27</v>
      </c>
      <c r="H2856" s="11">
        <f t="shared" si="441"/>
        <v>45</v>
      </c>
      <c r="I2856" s="11">
        <f t="shared" si="442"/>
        <v>0.25</v>
      </c>
      <c r="J2856" s="12">
        <f t="shared" si="443"/>
        <v>3.6000000000000014</v>
      </c>
      <c r="K2856" s="17" t="str">
        <f t="shared" si="448"/>
        <v>Ecart positif</v>
      </c>
      <c r="L2856" s="16">
        <f>base!X2856</f>
        <v>0</v>
      </c>
      <c r="M2856" s="11">
        <f t="shared" si="444"/>
        <v>0</v>
      </c>
      <c r="N2856" s="11">
        <f t="shared" si="445"/>
        <v>45</v>
      </c>
      <c r="O2856" s="11">
        <f t="shared" si="446"/>
        <v>0.25</v>
      </c>
      <c r="P2856" s="12">
        <f t="shared" si="447"/>
        <v>-45</v>
      </c>
      <c r="Q2856" s="17" t="str">
        <f t="shared" si="449"/>
        <v>Ecart négatif</v>
      </c>
    </row>
    <row r="2857" spans="1:17" x14ac:dyDescent="0.3">
      <c r="A2857" s="34" t="str">
        <f>base!J2857</f>
        <v>DLS</v>
      </c>
      <c r="B2857" s="34" t="str">
        <f>base!V2857</f>
        <v>75014</v>
      </c>
      <c r="C2857" s="37">
        <v>75</v>
      </c>
      <c r="D2857" s="36">
        <f>base!H2857</f>
        <v>134</v>
      </c>
      <c r="E2857" s="44"/>
      <c r="F2857" s="16">
        <f>base!W2857</f>
        <v>0</v>
      </c>
      <c r="G2857" s="11">
        <f t="shared" si="440"/>
        <v>0</v>
      </c>
      <c r="H2857" s="11">
        <f t="shared" si="441"/>
        <v>0</v>
      </c>
      <c r="I2857" s="11">
        <f t="shared" si="442"/>
        <v>0</v>
      </c>
      <c r="J2857" s="12">
        <f t="shared" si="443"/>
        <v>0</v>
      </c>
      <c r="K2857" s="17" t="str">
        <f t="shared" si="448"/>
        <v>Pas d'écart</v>
      </c>
      <c r="L2857" s="16">
        <f>base!X2857</f>
        <v>0</v>
      </c>
      <c r="M2857" s="11">
        <f t="shared" si="444"/>
        <v>0</v>
      </c>
      <c r="N2857" s="11">
        <f t="shared" si="445"/>
        <v>0</v>
      </c>
      <c r="O2857" s="11">
        <f t="shared" si="446"/>
        <v>0</v>
      </c>
      <c r="P2857" s="12">
        <f t="shared" si="447"/>
        <v>0</v>
      </c>
      <c r="Q2857" s="17" t="str">
        <f t="shared" si="449"/>
        <v>Pas d'écart</v>
      </c>
    </row>
    <row r="2858" spans="1:17" x14ac:dyDescent="0.3">
      <c r="A2858" s="34">
        <f>base!J2858</f>
        <v>0</v>
      </c>
      <c r="B2858" s="34" t="str">
        <f>base!V2858</f>
        <v>77184</v>
      </c>
      <c r="C2858" s="37">
        <v>77</v>
      </c>
      <c r="D2858" s="36">
        <f>base!H2858</f>
        <v>68.2</v>
      </c>
      <c r="E2858" s="44"/>
      <c r="F2858" s="16">
        <f>base!W2858</f>
        <v>0</v>
      </c>
      <c r="G2858" s="11">
        <f t="shared" si="440"/>
        <v>0</v>
      </c>
      <c r="H2858" s="11">
        <f t="shared" si="441"/>
        <v>0</v>
      </c>
      <c r="I2858" s="11">
        <f t="shared" si="442"/>
        <v>0</v>
      </c>
      <c r="J2858" s="12">
        <f t="shared" si="443"/>
        <v>0</v>
      </c>
      <c r="K2858" s="17" t="str">
        <f t="shared" si="448"/>
        <v>Pas d'écart</v>
      </c>
      <c r="L2858" s="16">
        <f>base!X2858</f>
        <v>0</v>
      </c>
      <c r="M2858" s="11">
        <f t="shared" si="444"/>
        <v>0</v>
      </c>
      <c r="N2858" s="11">
        <f t="shared" si="445"/>
        <v>0</v>
      </c>
      <c r="O2858" s="11">
        <f t="shared" si="446"/>
        <v>0</v>
      </c>
      <c r="P2858" s="12">
        <f t="shared" si="447"/>
        <v>0</v>
      </c>
      <c r="Q2858" s="17" t="str">
        <f t="shared" si="449"/>
        <v>Pas d'écart</v>
      </c>
    </row>
    <row r="2859" spans="1:17" x14ac:dyDescent="0.3">
      <c r="A2859" s="34" t="str">
        <f>base!J2859</f>
        <v>Stockage</v>
      </c>
      <c r="B2859" s="34" t="str">
        <f>base!V2859</f>
        <v/>
      </c>
      <c r="C2859" s="40" t="s">
        <v>11</v>
      </c>
      <c r="D2859" s="36">
        <f>base!H2859</f>
        <v>0</v>
      </c>
      <c r="E2859" s="44"/>
      <c r="F2859" s="16">
        <f>base!W2859</f>
        <v>0</v>
      </c>
      <c r="G2859" s="11" t="e">
        <f t="shared" si="440"/>
        <v>#DIV/0!</v>
      </c>
      <c r="H2859" s="11" t="e">
        <f t="shared" si="441"/>
        <v>#N/A</v>
      </c>
      <c r="I2859" s="11" t="e">
        <f t="shared" si="442"/>
        <v>#N/A</v>
      </c>
      <c r="J2859" s="12" t="e">
        <f t="shared" si="443"/>
        <v>#N/A</v>
      </c>
      <c r="K2859" s="17" t="e">
        <f t="shared" si="448"/>
        <v>#N/A</v>
      </c>
      <c r="L2859" s="16">
        <f>base!X2859</f>
        <v>0</v>
      </c>
      <c r="M2859" s="11" t="e">
        <f t="shared" si="444"/>
        <v>#DIV/0!</v>
      </c>
      <c r="N2859" s="11" t="e">
        <f t="shared" si="445"/>
        <v>#N/A</v>
      </c>
      <c r="O2859" s="11" t="e">
        <f t="shared" si="446"/>
        <v>#N/A</v>
      </c>
      <c r="P2859" s="12" t="e">
        <f t="shared" si="447"/>
        <v>#N/A</v>
      </c>
      <c r="Q2859" s="17" t="e">
        <f t="shared" si="449"/>
        <v>#N/A</v>
      </c>
    </row>
    <row r="2860" spans="1:17" x14ac:dyDescent="0.3">
      <c r="A2860" s="34" t="str">
        <f>base!J2860</f>
        <v>RS</v>
      </c>
      <c r="B2860" s="34" t="str">
        <f>base!V2860</f>
        <v>83430</v>
      </c>
      <c r="C2860" s="37">
        <v>83</v>
      </c>
      <c r="D2860" s="36">
        <f>base!H2860</f>
        <v>25.8</v>
      </c>
      <c r="E2860" s="44"/>
      <c r="F2860" s="16">
        <f>base!W2860</f>
        <v>0</v>
      </c>
      <c r="G2860" s="11">
        <f t="shared" si="440"/>
        <v>0</v>
      </c>
      <c r="H2860" s="11">
        <f t="shared" si="441"/>
        <v>7.74</v>
      </c>
      <c r="I2860" s="11">
        <f t="shared" si="442"/>
        <v>0.3</v>
      </c>
      <c r="J2860" s="12">
        <f t="shared" si="443"/>
        <v>-7.74</v>
      </c>
      <c r="K2860" s="17" t="str">
        <f t="shared" si="448"/>
        <v>Ecart négatif</v>
      </c>
      <c r="L2860" s="16">
        <f>base!X2860</f>
        <v>0</v>
      </c>
      <c r="M2860" s="11">
        <f t="shared" si="444"/>
        <v>0</v>
      </c>
      <c r="N2860" s="11">
        <f t="shared" si="445"/>
        <v>5.4180000000000001</v>
      </c>
      <c r="O2860" s="11">
        <f t="shared" si="446"/>
        <v>0.21</v>
      </c>
      <c r="P2860" s="12">
        <f t="shared" si="447"/>
        <v>-5.4180000000000001</v>
      </c>
      <c r="Q2860" s="17" t="str">
        <f t="shared" si="449"/>
        <v>Ecart négatif</v>
      </c>
    </row>
    <row r="2861" spans="1:17" x14ac:dyDescent="0.3">
      <c r="A2861" s="34" t="str">
        <f>base!J2861</f>
        <v>RS</v>
      </c>
      <c r="B2861" s="34" t="str">
        <f>base!V2861</f>
        <v>69700</v>
      </c>
      <c r="C2861" s="37">
        <v>69</v>
      </c>
      <c r="D2861" s="36">
        <f>base!H2861</f>
        <v>40</v>
      </c>
      <c r="E2861" s="44"/>
      <c r="F2861" s="16">
        <f>base!W2861</f>
        <v>0</v>
      </c>
      <c r="G2861" s="11">
        <f t="shared" si="440"/>
        <v>0</v>
      </c>
      <c r="H2861" s="11">
        <f t="shared" si="441"/>
        <v>10.8</v>
      </c>
      <c r="I2861" s="11">
        <f t="shared" si="442"/>
        <v>0.27</v>
      </c>
      <c r="J2861" s="12">
        <f t="shared" si="443"/>
        <v>-10.8</v>
      </c>
      <c r="K2861" s="17" t="str">
        <f t="shared" si="448"/>
        <v>Ecart négatif</v>
      </c>
      <c r="L2861" s="16">
        <f>base!X2861</f>
        <v>0</v>
      </c>
      <c r="M2861" s="11">
        <f t="shared" si="444"/>
        <v>0</v>
      </c>
      <c r="N2861" s="11">
        <f t="shared" si="445"/>
        <v>0</v>
      </c>
      <c r="O2861" s="11">
        <f t="shared" si="446"/>
        <v>0</v>
      </c>
      <c r="P2861" s="12">
        <f t="shared" si="447"/>
        <v>0</v>
      </c>
      <c r="Q2861" s="17" t="str">
        <f t="shared" si="449"/>
        <v>Pas d'écart</v>
      </c>
    </row>
    <row r="2862" spans="1:17" x14ac:dyDescent="0.3">
      <c r="A2862" s="34" t="str">
        <f>base!J2862</f>
        <v>RM</v>
      </c>
      <c r="B2862" s="34" t="str">
        <f>base!V2862</f>
        <v>39500</v>
      </c>
      <c r="C2862" s="37">
        <v>39</v>
      </c>
      <c r="D2862" s="36">
        <f>base!H2862</f>
        <v>29.89</v>
      </c>
      <c r="E2862" s="44"/>
      <c r="F2862" s="16">
        <f>base!W2862</f>
        <v>0</v>
      </c>
      <c r="G2862" s="11">
        <f t="shared" si="440"/>
        <v>0</v>
      </c>
      <c r="H2862" s="11">
        <f t="shared" si="441"/>
        <v>8.0703000000000014</v>
      </c>
      <c r="I2862" s="11">
        <f t="shared" si="442"/>
        <v>0.27</v>
      </c>
      <c r="J2862" s="12">
        <f t="shared" si="443"/>
        <v>-8.0703000000000014</v>
      </c>
      <c r="K2862" s="17" t="str">
        <f t="shared" si="448"/>
        <v>Ecart négatif</v>
      </c>
      <c r="L2862" s="16">
        <f>base!X2862</f>
        <v>0</v>
      </c>
      <c r="M2862" s="11">
        <f t="shared" si="444"/>
        <v>0</v>
      </c>
      <c r="N2862" s="11">
        <f t="shared" si="445"/>
        <v>0</v>
      </c>
      <c r="O2862" s="11">
        <f t="shared" si="446"/>
        <v>0</v>
      </c>
      <c r="P2862" s="12">
        <f t="shared" si="447"/>
        <v>0</v>
      </c>
      <c r="Q2862" s="17" t="str">
        <f t="shared" si="449"/>
        <v>Pas d'écart</v>
      </c>
    </row>
    <row r="2863" spans="1:17" x14ac:dyDescent="0.3">
      <c r="A2863" s="34" t="str">
        <f>base!J2863</f>
        <v>RS</v>
      </c>
      <c r="B2863" s="34" t="str">
        <f>base!V2863</f>
        <v>39500</v>
      </c>
      <c r="C2863" s="37">
        <v>39</v>
      </c>
      <c r="D2863" s="36">
        <f>base!H2863</f>
        <v>25</v>
      </c>
      <c r="E2863" s="44"/>
      <c r="F2863" s="16">
        <f>base!W2863</f>
        <v>0</v>
      </c>
      <c r="G2863" s="11">
        <f t="shared" si="440"/>
        <v>0</v>
      </c>
      <c r="H2863" s="11">
        <f t="shared" si="441"/>
        <v>6.75</v>
      </c>
      <c r="I2863" s="11">
        <f t="shared" si="442"/>
        <v>0.27</v>
      </c>
      <c r="J2863" s="12">
        <f t="shared" si="443"/>
        <v>-6.75</v>
      </c>
      <c r="K2863" s="17" t="str">
        <f t="shared" si="448"/>
        <v>Ecart négatif</v>
      </c>
      <c r="L2863" s="16">
        <f>base!X2863</f>
        <v>0</v>
      </c>
      <c r="M2863" s="11">
        <f t="shared" si="444"/>
        <v>0</v>
      </c>
      <c r="N2863" s="11">
        <f t="shared" si="445"/>
        <v>0</v>
      </c>
      <c r="O2863" s="11">
        <f t="shared" si="446"/>
        <v>0</v>
      </c>
      <c r="P2863" s="12">
        <f t="shared" si="447"/>
        <v>0</v>
      </c>
      <c r="Q2863" s="17" t="str">
        <f t="shared" si="449"/>
        <v>Pas d'écart</v>
      </c>
    </row>
    <row r="2864" spans="1:17" x14ac:dyDescent="0.3">
      <c r="A2864" s="34" t="str">
        <f>base!J2864</f>
        <v>RS</v>
      </c>
      <c r="B2864" s="34" t="str">
        <f>base!V2864</f>
        <v>13014</v>
      </c>
      <c r="C2864" s="37">
        <v>13</v>
      </c>
      <c r="D2864" s="36">
        <f>base!H2864</f>
        <v>70</v>
      </c>
      <c r="E2864" s="44"/>
      <c r="F2864" s="16">
        <f>base!W2864</f>
        <v>0</v>
      </c>
      <c r="G2864" s="11">
        <f t="shared" si="440"/>
        <v>0</v>
      </c>
      <c r="H2864" s="11">
        <f t="shared" si="441"/>
        <v>20.299999999999997</v>
      </c>
      <c r="I2864" s="11">
        <f t="shared" si="442"/>
        <v>0.28999999999999998</v>
      </c>
      <c r="J2864" s="12">
        <f t="shared" si="443"/>
        <v>-20.299999999999997</v>
      </c>
      <c r="K2864" s="17" t="str">
        <f t="shared" si="448"/>
        <v>Ecart négatif</v>
      </c>
      <c r="L2864" s="16">
        <f>base!X2864</f>
        <v>0</v>
      </c>
      <c r="M2864" s="11">
        <f t="shared" si="444"/>
        <v>0</v>
      </c>
      <c r="N2864" s="11">
        <f t="shared" si="445"/>
        <v>13.3</v>
      </c>
      <c r="O2864" s="11">
        <f t="shared" si="446"/>
        <v>0.19</v>
      </c>
      <c r="P2864" s="12">
        <f t="shared" si="447"/>
        <v>-13.3</v>
      </c>
      <c r="Q2864" s="17" t="str">
        <f t="shared" si="449"/>
        <v>Ecart négatif</v>
      </c>
    </row>
    <row r="2865" spans="1:18" x14ac:dyDescent="0.3">
      <c r="A2865" s="34" t="str">
        <f>base!J2865</f>
        <v>RS</v>
      </c>
      <c r="B2865" s="34" t="str">
        <f>base!V2865</f>
        <v>14000</v>
      </c>
      <c r="C2865" s="37">
        <v>14</v>
      </c>
      <c r="D2865" s="36">
        <f>base!H2865</f>
        <v>180</v>
      </c>
      <c r="E2865" s="44"/>
      <c r="F2865" s="16">
        <f>base!W2865</f>
        <v>0</v>
      </c>
      <c r="G2865" s="11">
        <f t="shared" si="440"/>
        <v>0</v>
      </c>
      <c r="H2865" s="11">
        <f t="shared" si="441"/>
        <v>30.6</v>
      </c>
      <c r="I2865" s="11">
        <f t="shared" si="442"/>
        <v>0.17</v>
      </c>
      <c r="J2865" s="12">
        <f t="shared" si="443"/>
        <v>-30.6</v>
      </c>
      <c r="K2865" s="17" t="str">
        <f t="shared" si="448"/>
        <v>Ecart négatif</v>
      </c>
      <c r="L2865" s="16">
        <f>base!X2865</f>
        <v>30.6</v>
      </c>
      <c r="M2865" s="11">
        <f t="shared" si="444"/>
        <v>0.17</v>
      </c>
      <c r="N2865" s="11">
        <f t="shared" si="445"/>
        <v>30.6</v>
      </c>
      <c r="O2865" s="11">
        <f t="shared" si="446"/>
        <v>0.17</v>
      </c>
      <c r="P2865" s="12">
        <f t="shared" si="447"/>
        <v>0</v>
      </c>
      <c r="Q2865" s="17" t="str">
        <f t="shared" si="449"/>
        <v>Pas d'écart</v>
      </c>
    </row>
    <row r="2866" spans="1:18" x14ac:dyDescent="0.3">
      <c r="A2866" s="34" t="str">
        <f>base!J2866</f>
        <v>RM</v>
      </c>
      <c r="B2866" s="34" t="str">
        <f>base!V2866</f>
        <v>14000</v>
      </c>
      <c r="C2866" s="37">
        <v>14</v>
      </c>
      <c r="D2866" s="36">
        <f>base!H2866</f>
        <v>184.02</v>
      </c>
      <c r="E2866" s="44"/>
      <c r="F2866" s="16">
        <f>base!W2866</f>
        <v>0</v>
      </c>
      <c r="G2866" s="11">
        <f t="shared" si="440"/>
        <v>0</v>
      </c>
      <c r="H2866" s="11">
        <f t="shared" si="441"/>
        <v>31.283400000000004</v>
      </c>
      <c r="I2866" s="11">
        <f t="shared" si="442"/>
        <v>0.17</v>
      </c>
      <c r="J2866" s="12">
        <f t="shared" si="443"/>
        <v>-31.283400000000004</v>
      </c>
      <c r="K2866" s="17" t="str">
        <f t="shared" si="448"/>
        <v>Ecart négatif</v>
      </c>
      <c r="L2866" s="16">
        <f>base!X2866</f>
        <v>31.28</v>
      </c>
      <c r="M2866" s="11">
        <f t="shared" si="444"/>
        <v>0.16998152374741876</v>
      </c>
      <c r="N2866" s="11">
        <f t="shared" si="445"/>
        <v>31.283400000000004</v>
      </c>
      <c r="O2866" s="11">
        <f t="shared" si="446"/>
        <v>0.17</v>
      </c>
      <c r="P2866" s="12">
        <f t="shared" si="447"/>
        <v>-3.4000000000027342E-3</v>
      </c>
      <c r="Q2866" s="17" t="str">
        <f t="shared" si="449"/>
        <v>Ecart négatif</v>
      </c>
      <c r="R2866" s="38"/>
    </row>
    <row r="2867" spans="1:18" x14ac:dyDescent="0.3">
      <c r="A2867" s="34" t="str">
        <f>base!J2867</f>
        <v>RS</v>
      </c>
      <c r="B2867" s="34" t="str">
        <f>base!V2867</f>
        <v>14000</v>
      </c>
      <c r="C2867" s="37">
        <v>14</v>
      </c>
      <c r="D2867" s="36">
        <f>base!H2867</f>
        <v>180</v>
      </c>
      <c r="E2867" s="44"/>
      <c r="F2867" s="16">
        <f>base!W2867</f>
        <v>0</v>
      </c>
      <c r="G2867" s="11">
        <f t="shared" si="440"/>
        <v>0</v>
      </c>
      <c r="H2867" s="11">
        <f t="shared" si="441"/>
        <v>30.6</v>
      </c>
      <c r="I2867" s="11">
        <f t="shared" si="442"/>
        <v>0.17</v>
      </c>
      <c r="J2867" s="12">
        <f t="shared" si="443"/>
        <v>-30.6</v>
      </c>
      <c r="K2867" s="17" t="str">
        <f t="shared" si="448"/>
        <v>Ecart négatif</v>
      </c>
      <c r="L2867" s="16">
        <f>base!X2867</f>
        <v>30.6</v>
      </c>
      <c r="M2867" s="11">
        <f t="shared" si="444"/>
        <v>0.17</v>
      </c>
      <c r="N2867" s="11">
        <f t="shared" si="445"/>
        <v>30.6</v>
      </c>
      <c r="O2867" s="11">
        <f t="shared" si="446"/>
        <v>0.17</v>
      </c>
      <c r="P2867" s="12">
        <f t="shared" si="447"/>
        <v>0</v>
      </c>
      <c r="Q2867" s="17" t="str">
        <f t="shared" si="449"/>
        <v>Pas d'écart</v>
      </c>
    </row>
    <row r="2868" spans="1:18" x14ac:dyDescent="0.3">
      <c r="A2868" s="34" t="str">
        <f>base!J2868</f>
        <v>Metre Aller</v>
      </c>
      <c r="B2868" s="34" t="str">
        <f>base!V2868</f>
        <v>77184</v>
      </c>
      <c r="C2868" s="37">
        <v>77</v>
      </c>
      <c r="D2868" s="36">
        <f>base!H2868</f>
        <v>42.65</v>
      </c>
      <c r="E2868" s="44"/>
      <c r="F2868" s="16">
        <f>base!W2868</f>
        <v>8.1</v>
      </c>
      <c r="G2868" s="11">
        <f t="shared" si="440"/>
        <v>0.1899179366940211</v>
      </c>
      <c r="H2868" s="11">
        <f t="shared" si="441"/>
        <v>0</v>
      </c>
      <c r="I2868" s="11">
        <f t="shared" si="442"/>
        <v>0</v>
      </c>
      <c r="J2868" s="12">
        <f t="shared" si="443"/>
        <v>8.1</v>
      </c>
      <c r="K2868" s="17" t="str">
        <f t="shared" si="448"/>
        <v>Ecart positif</v>
      </c>
      <c r="L2868" s="16">
        <f>base!X2868</f>
        <v>0</v>
      </c>
      <c r="M2868" s="11">
        <f t="shared" si="444"/>
        <v>0</v>
      </c>
      <c r="N2868" s="11">
        <f t="shared" si="445"/>
        <v>0</v>
      </c>
      <c r="O2868" s="11">
        <f t="shared" si="446"/>
        <v>0</v>
      </c>
      <c r="P2868" s="12">
        <f t="shared" si="447"/>
        <v>0</v>
      </c>
      <c r="Q2868" s="17" t="str">
        <f t="shared" si="449"/>
        <v>Pas d'écart</v>
      </c>
    </row>
    <row r="2869" spans="1:18" x14ac:dyDescent="0.3">
      <c r="A2869" s="34" t="str">
        <f>base!J2869</f>
        <v>RM</v>
      </c>
      <c r="B2869" s="34" t="str">
        <f>base!V2869</f>
        <v>38120</v>
      </c>
      <c r="C2869" s="37">
        <v>38</v>
      </c>
      <c r="D2869" s="36">
        <f>base!H2869</f>
        <v>140</v>
      </c>
      <c r="E2869" s="44"/>
      <c r="F2869" s="16">
        <f>base!W2869</f>
        <v>0</v>
      </c>
      <c r="G2869" s="11">
        <f t="shared" si="440"/>
        <v>0</v>
      </c>
      <c r="H2869" s="11">
        <f t="shared" si="441"/>
        <v>37.800000000000004</v>
      </c>
      <c r="I2869" s="11">
        <f t="shared" si="442"/>
        <v>0.27</v>
      </c>
      <c r="J2869" s="12">
        <f t="shared" si="443"/>
        <v>-37.800000000000004</v>
      </c>
      <c r="K2869" s="17" t="str">
        <f t="shared" si="448"/>
        <v>Ecart négatif</v>
      </c>
      <c r="L2869" s="16">
        <f>base!X2869</f>
        <v>0</v>
      </c>
      <c r="M2869" s="11">
        <f t="shared" si="444"/>
        <v>0</v>
      </c>
      <c r="N2869" s="11">
        <f t="shared" si="445"/>
        <v>0</v>
      </c>
      <c r="O2869" s="11">
        <f t="shared" si="446"/>
        <v>0</v>
      </c>
      <c r="P2869" s="12">
        <f t="shared" si="447"/>
        <v>0</v>
      </c>
      <c r="Q2869" s="17" t="str">
        <f t="shared" si="449"/>
        <v>Pas d'écart</v>
      </c>
    </row>
    <row r="2870" spans="1:18" x14ac:dyDescent="0.3">
      <c r="A2870" s="34" t="str">
        <f>base!J2870</f>
        <v>LS</v>
      </c>
      <c r="B2870" s="34" t="str">
        <f>base!V2870</f>
        <v>61250</v>
      </c>
      <c r="C2870" s="37">
        <v>61</v>
      </c>
      <c r="D2870" s="36">
        <f>base!H2870</f>
        <v>40</v>
      </c>
      <c r="E2870" s="44"/>
      <c r="F2870" s="16">
        <f>base!W2870</f>
        <v>6.8</v>
      </c>
      <c r="G2870" s="11">
        <f t="shared" si="440"/>
        <v>0.16999999999999998</v>
      </c>
      <c r="H2870" s="11">
        <f t="shared" si="441"/>
        <v>6.8000000000000007</v>
      </c>
      <c r="I2870" s="11">
        <f t="shared" si="442"/>
        <v>0.17</v>
      </c>
      <c r="J2870" s="12">
        <f t="shared" si="443"/>
        <v>0</v>
      </c>
      <c r="K2870" s="17" t="str">
        <f t="shared" si="448"/>
        <v>Pas d'écart</v>
      </c>
      <c r="L2870" s="16">
        <f>base!X2870</f>
        <v>0</v>
      </c>
      <c r="M2870" s="11">
        <f t="shared" si="444"/>
        <v>0</v>
      </c>
      <c r="N2870" s="11">
        <f t="shared" si="445"/>
        <v>6.8000000000000007</v>
      </c>
      <c r="O2870" s="11">
        <f t="shared" si="446"/>
        <v>0.17</v>
      </c>
      <c r="P2870" s="12">
        <f t="shared" si="447"/>
        <v>-6.8000000000000007</v>
      </c>
      <c r="Q2870" s="17" t="str">
        <f t="shared" si="449"/>
        <v>Ecart négatif</v>
      </c>
    </row>
    <row r="2871" spans="1:18" x14ac:dyDescent="0.3">
      <c r="A2871" s="34" t="str">
        <f>base!J2871</f>
        <v>RM</v>
      </c>
      <c r="B2871" s="34" t="str">
        <f>base!V2871</f>
        <v>71380</v>
      </c>
      <c r="C2871" s="37">
        <v>71</v>
      </c>
      <c r="D2871" s="36">
        <f>base!H2871</f>
        <v>70</v>
      </c>
      <c r="E2871" s="44"/>
      <c r="F2871" s="16">
        <f>base!W2871</f>
        <v>0</v>
      </c>
      <c r="G2871" s="11">
        <f t="shared" si="440"/>
        <v>0</v>
      </c>
      <c r="H2871" s="11">
        <f t="shared" si="441"/>
        <v>18.900000000000002</v>
      </c>
      <c r="I2871" s="11">
        <f t="shared" si="442"/>
        <v>0.27</v>
      </c>
      <c r="J2871" s="12">
        <f t="shared" si="443"/>
        <v>-18.900000000000002</v>
      </c>
      <c r="K2871" s="17" t="str">
        <f t="shared" si="448"/>
        <v>Ecart négatif</v>
      </c>
      <c r="L2871" s="16">
        <f>base!X2871</f>
        <v>0</v>
      </c>
      <c r="M2871" s="11">
        <f t="shared" si="444"/>
        <v>0</v>
      </c>
      <c r="N2871" s="11">
        <f t="shared" si="445"/>
        <v>0</v>
      </c>
      <c r="O2871" s="11">
        <f t="shared" si="446"/>
        <v>0</v>
      </c>
      <c r="P2871" s="12">
        <f t="shared" si="447"/>
        <v>0</v>
      </c>
      <c r="Q2871" s="17" t="str">
        <f t="shared" si="449"/>
        <v>Pas d'écart</v>
      </c>
    </row>
    <row r="2872" spans="1:18" x14ac:dyDescent="0.3">
      <c r="A2872" s="34" t="str">
        <f>base!J2872</f>
        <v>RS</v>
      </c>
      <c r="B2872" s="34" t="str">
        <f>base!V2872</f>
        <v>77380</v>
      </c>
      <c r="C2872" s="37">
        <v>77</v>
      </c>
      <c r="D2872" s="36">
        <f>base!H2872</f>
        <v>70</v>
      </c>
      <c r="E2872" s="44"/>
      <c r="F2872" s="16">
        <f>base!W2872</f>
        <v>0</v>
      </c>
      <c r="G2872" s="11">
        <f t="shared" si="440"/>
        <v>0</v>
      </c>
      <c r="H2872" s="11">
        <f t="shared" si="441"/>
        <v>0</v>
      </c>
      <c r="I2872" s="11">
        <f t="shared" si="442"/>
        <v>0</v>
      </c>
      <c r="J2872" s="12">
        <f t="shared" si="443"/>
        <v>0</v>
      </c>
      <c r="K2872" s="17" t="str">
        <f t="shared" si="448"/>
        <v>Pas d'écart</v>
      </c>
      <c r="L2872" s="16">
        <f>base!X2872</f>
        <v>0</v>
      </c>
      <c r="M2872" s="11">
        <f t="shared" si="444"/>
        <v>0</v>
      </c>
      <c r="N2872" s="11">
        <f t="shared" si="445"/>
        <v>0</v>
      </c>
      <c r="O2872" s="11">
        <f t="shared" si="446"/>
        <v>0</v>
      </c>
      <c r="P2872" s="12">
        <f t="shared" si="447"/>
        <v>0</v>
      </c>
      <c r="Q2872" s="17" t="str">
        <f t="shared" si="449"/>
        <v>Pas d'écart</v>
      </c>
    </row>
    <row r="2873" spans="1:18" x14ac:dyDescent="0.3">
      <c r="A2873" s="34" t="str">
        <f>base!J2873</f>
        <v>RS</v>
      </c>
      <c r="B2873" s="34" t="str">
        <f>base!V2873</f>
        <v>69120</v>
      </c>
      <c r="C2873" s="37">
        <v>69</v>
      </c>
      <c r="D2873" s="36">
        <f>base!H2873</f>
        <v>151</v>
      </c>
      <c r="E2873" s="44"/>
      <c r="F2873" s="16">
        <f>base!W2873</f>
        <v>0</v>
      </c>
      <c r="G2873" s="11">
        <f t="shared" si="440"/>
        <v>0</v>
      </c>
      <c r="H2873" s="11">
        <f t="shared" si="441"/>
        <v>40.770000000000003</v>
      </c>
      <c r="I2873" s="11">
        <f t="shared" si="442"/>
        <v>0.27</v>
      </c>
      <c r="J2873" s="12">
        <f t="shared" si="443"/>
        <v>-40.770000000000003</v>
      </c>
      <c r="K2873" s="17" t="str">
        <f t="shared" si="448"/>
        <v>Ecart négatif</v>
      </c>
      <c r="L2873" s="16">
        <f>base!X2873</f>
        <v>0</v>
      </c>
      <c r="M2873" s="11">
        <f t="shared" si="444"/>
        <v>0</v>
      </c>
      <c r="N2873" s="11">
        <f t="shared" si="445"/>
        <v>0</v>
      </c>
      <c r="O2873" s="11">
        <f t="shared" si="446"/>
        <v>0</v>
      </c>
      <c r="P2873" s="12">
        <f t="shared" si="447"/>
        <v>0</v>
      </c>
      <c r="Q2873" s="17" t="str">
        <f t="shared" si="449"/>
        <v>Pas d'écart</v>
      </c>
    </row>
    <row r="2874" spans="1:18" x14ac:dyDescent="0.3">
      <c r="A2874" s="34" t="str">
        <f>base!J2874</f>
        <v>LS</v>
      </c>
      <c r="B2874" s="34" t="str">
        <f>base!V2874</f>
        <v>38400</v>
      </c>
      <c r="C2874" s="37">
        <v>45</v>
      </c>
      <c r="D2874" s="36">
        <f>base!H2874</f>
        <v>173.64</v>
      </c>
      <c r="E2874" s="44"/>
      <c r="F2874" s="16">
        <f>base!W2874</f>
        <v>46.88</v>
      </c>
      <c r="G2874" s="11">
        <f t="shared" si="440"/>
        <v>0.26998387468325274</v>
      </c>
      <c r="H2874" s="11">
        <f t="shared" si="441"/>
        <v>36.464399999999998</v>
      </c>
      <c r="I2874" s="11">
        <f t="shared" si="442"/>
        <v>0.21</v>
      </c>
      <c r="J2874" s="12">
        <f t="shared" si="443"/>
        <v>10.415600000000005</v>
      </c>
      <c r="K2874" s="17" t="str">
        <f t="shared" si="448"/>
        <v>Ecart positif</v>
      </c>
      <c r="L2874" s="16">
        <f>base!X2874</f>
        <v>0</v>
      </c>
      <c r="M2874" s="11">
        <f t="shared" si="444"/>
        <v>0</v>
      </c>
      <c r="N2874" s="11">
        <f t="shared" si="445"/>
        <v>20.836799999999997</v>
      </c>
      <c r="O2874" s="11">
        <f t="shared" si="446"/>
        <v>0.12</v>
      </c>
      <c r="P2874" s="12">
        <f t="shared" si="447"/>
        <v>-20.836799999999997</v>
      </c>
      <c r="Q2874" s="17" t="str">
        <f t="shared" si="449"/>
        <v>Ecart négatif</v>
      </c>
    </row>
    <row r="2875" spans="1:18" x14ac:dyDescent="0.3">
      <c r="A2875" s="34" t="str">
        <f>base!J2875</f>
        <v>RM</v>
      </c>
      <c r="B2875" s="34" t="str">
        <f>base!V2875</f>
        <v>63120</v>
      </c>
      <c r="C2875" s="37">
        <v>63</v>
      </c>
      <c r="D2875" s="36">
        <f>base!H2875</f>
        <v>97.82</v>
      </c>
      <c r="E2875" s="44"/>
      <c r="F2875" s="16">
        <f>base!W2875</f>
        <v>0</v>
      </c>
      <c r="G2875" s="11">
        <f t="shared" si="440"/>
        <v>0</v>
      </c>
      <c r="H2875" s="11">
        <f t="shared" si="441"/>
        <v>28.367799999999995</v>
      </c>
      <c r="I2875" s="11">
        <f t="shared" si="442"/>
        <v>0.28999999999999998</v>
      </c>
      <c r="J2875" s="12">
        <f t="shared" si="443"/>
        <v>-28.367799999999995</v>
      </c>
      <c r="K2875" s="17" t="str">
        <f t="shared" si="448"/>
        <v>Ecart négatif</v>
      </c>
      <c r="L2875" s="16">
        <f>base!X2875</f>
        <v>11.74</v>
      </c>
      <c r="M2875" s="11">
        <f t="shared" si="444"/>
        <v>0.1200163565732979</v>
      </c>
      <c r="N2875" s="11">
        <f t="shared" si="445"/>
        <v>11.738399999999999</v>
      </c>
      <c r="O2875" s="11">
        <f t="shared" si="446"/>
        <v>0.12</v>
      </c>
      <c r="P2875" s="12">
        <f t="shared" si="447"/>
        <v>1.6000000000016001E-3</v>
      </c>
      <c r="Q2875" s="17" t="str">
        <f t="shared" si="449"/>
        <v>Ecart positif</v>
      </c>
      <c r="R2875" s="38"/>
    </row>
    <row r="2876" spans="1:18" x14ac:dyDescent="0.3">
      <c r="A2876" s="34" t="str">
        <f>base!J2876</f>
        <v>RS</v>
      </c>
      <c r="B2876" s="34" t="str">
        <f>base!V2876</f>
        <v>06000</v>
      </c>
      <c r="C2876" s="37">
        <v>6</v>
      </c>
      <c r="D2876" s="36">
        <f>base!H2876</f>
        <v>40</v>
      </c>
      <c r="E2876" s="44"/>
      <c r="F2876" s="16">
        <f>base!W2876</f>
        <v>0</v>
      </c>
      <c r="G2876" s="11">
        <f t="shared" si="440"/>
        <v>0</v>
      </c>
      <c r="H2876" s="11">
        <f t="shared" si="441"/>
        <v>12</v>
      </c>
      <c r="I2876" s="11">
        <f t="shared" si="442"/>
        <v>0.3</v>
      </c>
      <c r="J2876" s="12">
        <f t="shared" si="443"/>
        <v>-12</v>
      </c>
      <c r="K2876" s="17" t="str">
        <f t="shared" si="448"/>
        <v>Ecart négatif</v>
      </c>
      <c r="L2876" s="16">
        <f>base!X2876</f>
        <v>8.4</v>
      </c>
      <c r="M2876" s="11">
        <f t="shared" si="444"/>
        <v>0.21000000000000002</v>
      </c>
      <c r="N2876" s="11">
        <f t="shared" si="445"/>
        <v>8.4</v>
      </c>
      <c r="O2876" s="11">
        <f t="shared" si="446"/>
        <v>0.21000000000000002</v>
      </c>
      <c r="P2876" s="12">
        <f t="shared" si="447"/>
        <v>0</v>
      </c>
      <c r="Q2876" s="17" t="str">
        <f t="shared" si="449"/>
        <v>Pas d'écart</v>
      </c>
      <c r="R2876" s="38"/>
    </row>
    <row r="2877" spans="1:18" x14ac:dyDescent="0.3">
      <c r="A2877" s="34" t="str">
        <f>base!J2877</f>
        <v>RS</v>
      </c>
      <c r="B2877" s="34" t="str">
        <f>base!V2877</f>
        <v>16390</v>
      </c>
      <c r="C2877" s="37">
        <v>16</v>
      </c>
      <c r="D2877" s="36">
        <f>base!H2877</f>
        <v>62.6</v>
      </c>
      <c r="E2877" s="44"/>
      <c r="F2877" s="16">
        <f>base!W2877</f>
        <v>0</v>
      </c>
      <c r="G2877" s="11">
        <f t="shared" si="440"/>
        <v>0</v>
      </c>
      <c r="H2877" s="11">
        <f t="shared" si="441"/>
        <v>13.145999999999999</v>
      </c>
      <c r="I2877" s="11">
        <f t="shared" si="442"/>
        <v>0.21</v>
      </c>
      <c r="J2877" s="12">
        <f t="shared" si="443"/>
        <v>-13.145999999999999</v>
      </c>
      <c r="K2877" s="17" t="str">
        <f t="shared" si="448"/>
        <v>Ecart négatif</v>
      </c>
      <c r="L2877" s="16">
        <f>base!X2877</f>
        <v>10.64</v>
      </c>
      <c r="M2877" s="11">
        <f t="shared" si="444"/>
        <v>0.16996805111821087</v>
      </c>
      <c r="N2877" s="11">
        <f t="shared" si="445"/>
        <v>10.642000000000001</v>
      </c>
      <c r="O2877" s="11">
        <f t="shared" si="446"/>
        <v>0.17</v>
      </c>
      <c r="P2877" s="12">
        <f t="shared" si="447"/>
        <v>-2.0000000000006679E-3</v>
      </c>
      <c r="Q2877" s="17" t="str">
        <f t="shared" si="449"/>
        <v>Ecart négatif</v>
      </c>
      <c r="R2877" s="38"/>
    </row>
    <row r="2878" spans="1:18" x14ac:dyDescent="0.3">
      <c r="A2878" s="34" t="str">
        <f>base!J2878</f>
        <v>RM</v>
      </c>
      <c r="B2878" s="34" t="str">
        <f>base!V2878</f>
        <v>63450</v>
      </c>
      <c r="C2878" s="37">
        <v>63</v>
      </c>
      <c r="D2878" s="36">
        <f>base!H2878</f>
        <v>151</v>
      </c>
      <c r="E2878" s="44"/>
      <c r="F2878" s="16">
        <f>base!W2878</f>
        <v>0</v>
      </c>
      <c r="G2878" s="11">
        <f t="shared" si="440"/>
        <v>0</v>
      </c>
      <c r="H2878" s="11">
        <f t="shared" si="441"/>
        <v>43.79</v>
      </c>
      <c r="I2878" s="11">
        <f t="shared" si="442"/>
        <v>0.28999999999999998</v>
      </c>
      <c r="J2878" s="12">
        <f t="shared" si="443"/>
        <v>-43.79</v>
      </c>
      <c r="K2878" s="17" t="str">
        <f t="shared" si="448"/>
        <v>Ecart négatif</v>
      </c>
      <c r="L2878" s="16">
        <f>base!X2878</f>
        <v>0</v>
      </c>
      <c r="M2878" s="11">
        <f t="shared" si="444"/>
        <v>0</v>
      </c>
      <c r="N2878" s="11">
        <f t="shared" si="445"/>
        <v>18.12</v>
      </c>
      <c r="O2878" s="11">
        <f t="shared" si="446"/>
        <v>0.12000000000000001</v>
      </c>
      <c r="P2878" s="12">
        <f t="shared" si="447"/>
        <v>-18.12</v>
      </c>
      <c r="Q2878" s="17" t="str">
        <f t="shared" si="449"/>
        <v>Ecart négatif</v>
      </c>
    </row>
    <row r="2879" spans="1:18" x14ac:dyDescent="0.3">
      <c r="A2879" s="34" t="str">
        <f>base!J2879</f>
        <v>RM</v>
      </c>
      <c r="B2879" s="34" t="str">
        <f>base!V2879</f>
        <v>13003</v>
      </c>
      <c r="C2879" s="37">
        <v>13</v>
      </c>
      <c r="D2879" s="36">
        <f>base!H2879</f>
        <v>157.55000000000001</v>
      </c>
      <c r="E2879" s="44"/>
      <c r="F2879" s="16">
        <f>base!W2879</f>
        <v>0</v>
      </c>
      <c r="G2879" s="11">
        <f t="shared" si="440"/>
        <v>0</v>
      </c>
      <c r="H2879" s="11">
        <f t="shared" si="441"/>
        <v>45.689500000000002</v>
      </c>
      <c r="I2879" s="11">
        <f t="shared" si="442"/>
        <v>0.28999999999999998</v>
      </c>
      <c r="J2879" s="12">
        <f t="shared" si="443"/>
        <v>-45.689500000000002</v>
      </c>
      <c r="K2879" s="17" t="str">
        <f t="shared" si="448"/>
        <v>Ecart négatif</v>
      </c>
      <c r="L2879" s="16">
        <f>base!X2879</f>
        <v>29.93</v>
      </c>
      <c r="M2879" s="11">
        <f t="shared" si="444"/>
        <v>0.1899714376388448</v>
      </c>
      <c r="N2879" s="11">
        <f t="shared" si="445"/>
        <v>29.934500000000003</v>
      </c>
      <c r="O2879" s="11">
        <f t="shared" si="446"/>
        <v>0.19</v>
      </c>
      <c r="P2879" s="12">
        <f t="shared" si="447"/>
        <v>-4.5000000000037232E-3</v>
      </c>
      <c r="Q2879" s="17" t="str">
        <f t="shared" si="449"/>
        <v>Ecart négatif</v>
      </c>
      <c r="R2879" s="38"/>
    </row>
    <row r="2880" spans="1:18" x14ac:dyDescent="0.3">
      <c r="A2880" s="34" t="str">
        <f>base!J2880</f>
        <v>RM</v>
      </c>
      <c r="B2880" s="34" t="str">
        <f>base!V2880</f>
        <v>80100</v>
      </c>
      <c r="C2880" s="37">
        <v>80</v>
      </c>
      <c r="D2880" s="36">
        <f>base!H2880</f>
        <v>71.23</v>
      </c>
      <c r="E2880" s="44"/>
      <c r="F2880" s="16">
        <f>base!W2880</f>
        <v>0</v>
      </c>
      <c r="G2880" s="11">
        <f t="shared" si="440"/>
        <v>0</v>
      </c>
      <c r="H2880" s="11">
        <f t="shared" si="441"/>
        <v>13.533700000000001</v>
      </c>
      <c r="I2880" s="11">
        <f t="shared" si="442"/>
        <v>0.19</v>
      </c>
      <c r="J2880" s="12">
        <f t="shared" si="443"/>
        <v>-13.533700000000001</v>
      </c>
      <c r="K2880" s="17" t="str">
        <f t="shared" si="448"/>
        <v>Ecart négatif</v>
      </c>
      <c r="L2880" s="16">
        <f>base!X2880</f>
        <v>0</v>
      </c>
      <c r="M2880" s="11">
        <f t="shared" si="444"/>
        <v>0</v>
      </c>
      <c r="N2880" s="11">
        <f t="shared" si="445"/>
        <v>0</v>
      </c>
      <c r="O2880" s="11">
        <f t="shared" si="446"/>
        <v>0</v>
      </c>
      <c r="P2880" s="12">
        <f t="shared" si="447"/>
        <v>0</v>
      </c>
      <c r="Q2880" s="17" t="str">
        <f t="shared" si="449"/>
        <v>Pas d'écart</v>
      </c>
    </row>
    <row r="2881" spans="1:18" x14ac:dyDescent="0.3">
      <c r="A2881" s="34" t="str">
        <f>base!J2881</f>
        <v>RM</v>
      </c>
      <c r="B2881" s="34" t="str">
        <f>base!V2881</f>
        <v>54000</v>
      </c>
      <c r="C2881" s="37">
        <v>54</v>
      </c>
      <c r="D2881" s="36">
        <f>base!H2881</f>
        <v>213.98</v>
      </c>
      <c r="E2881" s="44"/>
      <c r="F2881" s="16">
        <f>base!W2881</f>
        <v>0</v>
      </c>
      <c r="G2881" s="11">
        <f t="shared" si="440"/>
        <v>0</v>
      </c>
      <c r="H2881" s="11">
        <f t="shared" si="441"/>
        <v>53.494999999999997</v>
      </c>
      <c r="I2881" s="11">
        <f t="shared" si="442"/>
        <v>0.25</v>
      </c>
      <c r="J2881" s="12">
        <f t="shared" si="443"/>
        <v>-53.494999999999997</v>
      </c>
      <c r="K2881" s="17" t="str">
        <f t="shared" si="448"/>
        <v>Ecart négatif</v>
      </c>
      <c r="L2881" s="16">
        <f>base!X2881</f>
        <v>53.5</v>
      </c>
      <c r="M2881" s="11">
        <f t="shared" si="444"/>
        <v>0.25002336666978225</v>
      </c>
      <c r="N2881" s="11">
        <f t="shared" si="445"/>
        <v>53.494999999999997</v>
      </c>
      <c r="O2881" s="11">
        <f t="shared" si="446"/>
        <v>0.25</v>
      </c>
      <c r="P2881" s="12">
        <f t="shared" si="447"/>
        <v>5.000000000002558E-3</v>
      </c>
      <c r="Q2881" s="17" t="str">
        <f t="shared" si="449"/>
        <v>Ecart positif</v>
      </c>
      <c r="R2881" s="38"/>
    </row>
    <row r="2882" spans="1:18" x14ac:dyDescent="0.3">
      <c r="A2882" s="34" t="str">
        <f>base!J2882</f>
        <v>RM</v>
      </c>
      <c r="B2882" s="34" t="str">
        <f>base!V2882</f>
        <v>98000</v>
      </c>
      <c r="C2882" s="37">
        <v>98</v>
      </c>
      <c r="D2882" s="36">
        <f>base!H2882</f>
        <v>38.54</v>
      </c>
      <c r="E2882" s="44"/>
      <c r="F2882" s="16">
        <f>base!W2882</f>
        <v>0</v>
      </c>
      <c r="G2882" s="11">
        <f t="shared" ref="G2882:G2945" si="450">F2882/D2882</f>
        <v>0</v>
      </c>
      <c r="H2882" s="11">
        <f t="shared" ref="H2882:H2945" si="451">VLOOKUP(C2882,tout_cout_traction,2,FALSE)*D2882</f>
        <v>10.405800000000001</v>
      </c>
      <c r="I2882" s="11">
        <f t="shared" ref="I2882:I2945" si="452">H2882/D2882</f>
        <v>0.27</v>
      </c>
      <c r="J2882" s="12">
        <f t="shared" ref="J2882:J2945" si="453">F2882-H2882</f>
        <v>-10.405800000000001</v>
      </c>
      <c r="K2882" s="17" t="str">
        <f t="shared" si="448"/>
        <v>Ecart négatif</v>
      </c>
      <c r="L2882" s="16">
        <f>base!X2882</f>
        <v>0</v>
      </c>
      <c r="M2882" s="11">
        <f t="shared" ref="M2882:M2945" si="454">L2882/D2882</f>
        <v>0</v>
      </c>
      <c r="N2882" s="11">
        <f t="shared" ref="N2882:N2945" si="455">VLOOKUP(C2882,tout_cout_traction,3,FALSE)*D2882</f>
        <v>8.093399999999999</v>
      </c>
      <c r="O2882" s="11">
        <f t="shared" ref="O2882:O2945" si="456">N2882/D2882</f>
        <v>0.21</v>
      </c>
      <c r="P2882" s="12">
        <f t="shared" ref="P2882:P2945" si="457">L2882-N2882</f>
        <v>-8.093399999999999</v>
      </c>
      <c r="Q2882" s="17" t="str">
        <f t="shared" si="449"/>
        <v>Ecart négatif</v>
      </c>
    </row>
    <row r="2883" spans="1:18" x14ac:dyDescent="0.3">
      <c r="A2883" s="34" t="str">
        <f>base!J2883</f>
        <v>RM</v>
      </c>
      <c r="B2883" s="34" t="str">
        <f>base!V2883</f>
        <v>54000</v>
      </c>
      <c r="C2883" s="37">
        <v>54</v>
      </c>
      <c r="D2883" s="36">
        <f>base!H2883</f>
        <v>32.6</v>
      </c>
      <c r="E2883" s="44"/>
      <c r="F2883" s="16">
        <f>base!W2883</f>
        <v>0</v>
      </c>
      <c r="G2883" s="11">
        <f t="shared" si="450"/>
        <v>0</v>
      </c>
      <c r="H2883" s="11">
        <f t="shared" si="451"/>
        <v>8.15</v>
      </c>
      <c r="I2883" s="11">
        <f t="shared" si="452"/>
        <v>0.25</v>
      </c>
      <c r="J2883" s="12">
        <f t="shared" si="453"/>
        <v>-8.15</v>
      </c>
      <c r="K2883" s="17" t="str">
        <f t="shared" ref="K2883:K2946" si="458">IF(H2883=F2883,"Pas d'écart",IF(H2883&lt;F2883,"Ecart positif",IF(H2883&gt;F2883,"Ecart négatif")))</f>
        <v>Ecart négatif</v>
      </c>
      <c r="L2883" s="16">
        <f>base!X2883</f>
        <v>8.15</v>
      </c>
      <c r="M2883" s="11">
        <f t="shared" si="454"/>
        <v>0.25</v>
      </c>
      <c r="N2883" s="11">
        <f t="shared" si="455"/>
        <v>8.15</v>
      </c>
      <c r="O2883" s="11">
        <f t="shared" si="456"/>
        <v>0.25</v>
      </c>
      <c r="P2883" s="12">
        <f t="shared" si="457"/>
        <v>0</v>
      </c>
      <c r="Q2883" s="17" t="str">
        <f t="shared" ref="Q2883:Q2946" si="459">IF(N2883=L2883,"Pas d'écart",IF(N2883&lt;L2883,"Ecart positif",IF(N2883&gt;L2883,"Ecart négatif")))</f>
        <v>Pas d'écart</v>
      </c>
      <c r="R2883" s="38"/>
    </row>
    <row r="2884" spans="1:18" x14ac:dyDescent="0.3">
      <c r="A2884" s="34" t="str">
        <f>base!J2884</f>
        <v>RM</v>
      </c>
      <c r="B2884" s="34" t="str">
        <f>base!V2884</f>
        <v>70000</v>
      </c>
      <c r="C2884" s="37">
        <v>70</v>
      </c>
      <c r="D2884" s="36">
        <f>base!H2884</f>
        <v>40.4</v>
      </c>
      <c r="E2884" s="44"/>
      <c r="F2884" s="16">
        <f>base!W2884</f>
        <v>0</v>
      </c>
      <c r="G2884" s="11">
        <f t="shared" si="450"/>
        <v>0</v>
      </c>
      <c r="H2884" s="11">
        <f t="shared" si="451"/>
        <v>9.6959999999999997</v>
      </c>
      <c r="I2884" s="11">
        <f t="shared" si="452"/>
        <v>0.24</v>
      </c>
      <c r="J2884" s="12">
        <f t="shared" si="453"/>
        <v>-9.6959999999999997</v>
      </c>
      <c r="K2884" s="17" t="str">
        <f t="shared" si="458"/>
        <v>Ecart négatif</v>
      </c>
      <c r="L2884" s="16">
        <f>base!X2884</f>
        <v>4.8499999999999996</v>
      </c>
      <c r="M2884" s="11">
        <f t="shared" si="454"/>
        <v>0.12004950495049505</v>
      </c>
      <c r="N2884" s="11">
        <f t="shared" si="455"/>
        <v>4.8479999999999999</v>
      </c>
      <c r="O2884" s="11">
        <f t="shared" si="456"/>
        <v>0.12</v>
      </c>
      <c r="P2884" s="12">
        <f t="shared" si="457"/>
        <v>1.9999999999997797E-3</v>
      </c>
      <c r="Q2884" s="17" t="str">
        <f t="shared" si="459"/>
        <v>Ecart positif</v>
      </c>
      <c r="R2884" s="38"/>
    </row>
    <row r="2885" spans="1:18" x14ac:dyDescent="0.3">
      <c r="A2885" s="34" t="str">
        <f>base!J2885</f>
        <v>LM</v>
      </c>
      <c r="B2885" s="34" t="str">
        <f>base!V2885</f>
        <v>92000</v>
      </c>
      <c r="C2885" s="37">
        <v>92</v>
      </c>
      <c r="D2885" s="36">
        <f>base!H2885</f>
        <v>50.84</v>
      </c>
      <c r="E2885" s="44"/>
      <c r="F2885" s="16">
        <f>base!W2885</f>
        <v>0</v>
      </c>
      <c r="G2885" s="11">
        <f t="shared" si="450"/>
        <v>0</v>
      </c>
      <c r="H2885" s="11">
        <f t="shared" si="451"/>
        <v>0</v>
      </c>
      <c r="I2885" s="11">
        <f t="shared" si="452"/>
        <v>0</v>
      </c>
      <c r="J2885" s="12">
        <f t="shared" si="453"/>
        <v>0</v>
      </c>
      <c r="K2885" s="17" t="str">
        <f t="shared" si="458"/>
        <v>Pas d'écart</v>
      </c>
      <c r="L2885" s="16">
        <f>base!X2885</f>
        <v>0</v>
      </c>
      <c r="M2885" s="11">
        <f t="shared" si="454"/>
        <v>0</v>
      </c>
      <c r="N2885" s="11">
        <f t="shared" si="455"/>
        <v>0</v>
      </c>
      <c r="O2885" s="11">
        <f t="shared" si="456"/>
        <v>0</v>
      </c>
      <c r="P2885" s="12">
        <f t="shared" si="457"/>
        <v>0</v>
      </c>
      <c r="Q2885" s="17" t="str">
        <f t="shared" si="459"/>
        <v>Pas d'écart</v>
      </c>
    </row>
    <row r="2886" spans="1:18" x14ac:dyDescent="0.3">
      <c r="A2886" s="34" t="str">
        <f>base!J2886</f>
        <v>LM</v>
      </c>
      <c r="B2886" s="34" t="str">
        <f>base!V2886</f>
        <v>92000</v>
      </c>
      <c r="C2886" s="37">
        <v>92</v>
      </c>
      <c r="D2886" s="36">
        <f>base!H2886</f>
        <v>50.84</v>
      </c>
      <c r="E2886" s="44"/>
      <c r="F2886" s="16">
        <f>base!W2886</f>
        <v>0</v>
      </c>
      <c r="G2886" s="11">
        <f t="shared" si="450"/>
        <v>0</v>
      </c>
      <c r="H2886" s="11">
        <f t="shared" si="451"/>
        <v>0</v>
      </c>
      <c r="I2886" s="11">
        <f t="shared" si="452"/>
        <v>0</v>
      </c>
      <c r="J2886" s="12">
        <f t="shared" si="453"/>
        <v>0</v>
      </c>
      <c r="K2886" s="17" t="str">
        <f t="shared" si="458"/>
        <v>Pas d'écart</v>
      </c>
      <c r="L2886" s="16">
        <f>base!X2886</f>
        <v>0</v>
      </c>
      <c r="M2886" s="11">
        <f t="shared" si="454"/>
        <v>0</v>
      </c>
      <c r="N2886" s="11">
        <f t="shared" si="455"/>
        <v>0</v>
      </c>
      <c r="O2886" s="11">
        <f t="shared" si="456"/>
        <v>0</v>
      </c>
      <c r="P2886" s="12">
        <f t="shared" si="457"/>
        <v>0</v>
      </c>
      <c r="Q2886" s="17" t="str">
        <f t="shared" si="459"/>
        <v>Pas d'écart</v>
      </c>
    </row>
    <row r="2887" spans="1:18" x14ac:dyDescent="0.3">
      <c r="A2887" s="34" t="str">
        <f>base!J2887</f>
        <v>LM</v>
      </c>
      <c r="B2887" s="34" t="str">
        <f>base!V2887</f>
        <v>92000</v>
      </c>
      <c r="C2887" s="37">
        <v>92</v>
      </c>
      <c r="D2887" s="36">
        <f>base!H2887</f>
        <v>50.84</v>
      </c>
      <c r="E2887" s="44"/>
      <c r="F2887" s="16">
        <f>base!W2887</f>
        <v>0</v>
      </c>
      <c r="G2887" s="11">
        <f t="shared" si="450"/>
        <v>0</v>
      </c>
      <c r="H2887" s="11">
        <f t="shared" si="451"/>
        <v>0</v>
      </c>
      <c r="I2887" s="11">
        <f t="shared" si="452"/>
        <v>0</v>
      </c>
      <c r="J2887" s="12">
        <f t="shared" si="453"/>
        <v>0</v>
      </c>
      <c r="K2887" s="17" t="str">
        <f t="shared" si="458"/>
        <v>Pas d'écart</v>
      </c>
      <c r="L2887" s="16">
        <f>base!X2887</f>
        <v>0</v>
      </c>
      <c r="M2887" s="11">
        <f t="shared" si="454"/>
        <v>0</v>
      </c>
      <c r="N2887" s="11">
        <f t="shared" si="455"/>
        <v>0</v>
      </c>
      <c r="O2887" s="11">
        <f t="shared" si="456"/>
        <v>0</v>
      </c>
      <c r="P2887" s="12">
        <f t="shared" si="457"/>
        <v>0</v>
      </c>
      <c r="Q2887" s="17" t="str">
        <f t="shared" si="459"/>
        <v>Pas d'écart</v>
      </c>
    </row>
    <row r="2888" spans="1:18" x14ac:dyDescent="0.3">
      <c r="A2888" s="34" t="str">
        <f>base!J2888</f>
        <v>RM</v>
      </c>
      <c r="B2888" s="34" t="str">
        <f>base!V2888</f>
        <v>37540</v>
      </c>
      <c r="C2888" s="37">
        <v>37</v>
      </c>
      <c r="D2888" s="36">
        <f>base!H2888</f>
        <v>40</v>
      </c>
      <c r="E2888" s="44"/>
      <c r="F2888" s="16">
        <f>base!W2888</f>
        <v>0</v>
      </c>
      <c r="G2888" s="11">
        <f t="shared" si="450"/>
        <v>0</v>
      </c>
      <c r="H2888" s="11">
        <f t="shared" si="451"/>
        <v>7.6</v>
      </c>
      <c r="I2888" s="11">
        <f t="shared" si="452"/>
        <v>0.19</v>
      </c>
      <c r="J2888" s="12">
        <f t="shared" si="453"/>
        <v>-7.6</v>
      </c>
      <c r="K2888" s="17" t="str">
        <f t="shared" si="458"/>
        <v>Ecart négatif</v>
      </c>
      <c r="L2888" s="16">
        <f>base!X2888</f>
        <v>0</v>
      </c>
      <c r="M2888" s="11">
        <f t="shared" si="454"/>
        <v>0</v>
      </c>
      <c r="N2888" s="11">
        <f t="shared" si="455"/>
        <v>4.8</v>
      </c>
      <c r="O2888" s="11">
        <f t="shared" si="456"/>
        <v>0.12</v>
      </c>
      <c r="P2888" s="12">
        <f t="shared" si="457"/>
        <v>-4.8</v>
      </c>
      <c r="Q2888" s="17" t="str">
        <f t="shared" si="459"/>
        <v>Ecart négatif</v>
      </c>
    </row>
    <row r="2889" spans="1:18" x14ac:dyDescent="0.3">
      <c r="A2889" s="34" t="str">
        <f>base!J2889</f>
        <v>LM</v>
      </c>
      <c r="B2889" s="34" t="str">
        <f>base!V2889</f>
        <v>92000</v>
      </c>
      <c r="C2889" s="37">
        <v>92</v>
      </c>
      <c r="D2889" s="36">
        <f>base!H2889</f>
        <v>50.84</v>
      </c>
      <c r="E2889" s="44"/>
      <c r="F2889" s="16">
        <f>base!W2889</f>
        <v>0</v>
      </c>
      <c r="G2889" s="11">
        <f t="shared" si="450"/>
        <v>0</v>
      </c>
      <c r="H2889" s="11">
        <f t="shared" si="451"/>
        <v>0</v>
      </c>
      <c r="I2889" s="11">
        <f t="shared" si="452"/>
        <v>0</v>
      </c>
      <c r="J2889" s="12">
        <f t="shared" si="453"/>
        <v>0</v>
      </c>
      <c r="K2889" s="17" t="str">
        <f t="shared" si="458"/>
        <v>Pas d'écart</v>
      </c>
      <c r="L2889" s="16">
        <f>base!X2889</f>
        <v>0</v>
      </c>
      <c r="M2889" s="11">
        <f t="shared" si="454"/>
        <v>0</v>
      </c>
      <c r="N2889" s="11">
        <f t="shared" si="455"/>
        <v>0</v>
      </c>
      <c r="O2889" s="11">
        <f t="shared" si="456"/>
        <v>0</v>
      </c>
      <c r="P2889" s="12">
        <f t="shared" si="457"/>
        <v>0</v>
      </c>
      <c r="Q2889" s="17" t="str">
        <f t="shared" si="459"/>
        <v>Pas d'écart</v>
      </c>
    </row>
    <row r="2890" spans="1:18" x14ac:dyDescent="0.3">
      <c r="A2890" s="34" t="str">
        <f>base!J2890</f>
        <v>LM</v>
      </c>
      <c r="B2890" s="34" t="str">
        <f>base!V2890</f>
        <v>92000</v>
      </c>
      <c r="C2890" s="37">
        <v>92</v>
      </c>
      <c r="D2890" s="36">
        <f>base!H2890</f>
        <v>50.84</v>
      </c>
      <c r="E2890" s="44"/>
      <c r="F2890" s="16">
        <f>base!W2890</f>
        <v>0</v>
      </c>
      <c r="G2890" s="11">
        <f t="shared" si="450"/>
        <v>0</v>
      </c>
      <c r="H2890" s="11">
        <f t="shared" si="451"/>
        <v>0</v>
      </c>
      <c r="I2890" s="11">
        <f t="shared" si="452"/>
        <v>0</v>
      </c>
      <c r="J2890" s="12">
        <f t="shared" si="453"/>
        <v>0</v>
      </c>
      <c r="K2890" s="17" t="str">
        <f t="shared" si="458"/>
        <v>Pas d'écart</v>
      </c>
      <c r="L2890" s="16">
        <f>base!X2890</f>
        <v>0</v>
      </c>
      <c r="M2890" s="11">
        <f t="shared" si="454"/>
        <v>0</v>
      </c>
      <c r="N2890" s="11">
        <f t="shared" si="455"/>
        <v>0</v>
      </c>
      <c r="O2890" s="11">
        <f t="shared" si="456"/>
        <v>0</v>
      </c>
      <c r="P2890" s="12">
        <f t="shared" si="457"/>
        <v>0</v>
      </c>
      <c r="Q2890" s="17" t="str">
        <f t="shared" si="459"/>
        <v>Pas d'écart</v>
      </c>
    </row>
    <row r="2891" spans="1:18" x14ac:dyDescent="0.3">
      <c r="A2891" s="34" t="str">
        <f>base!J2891</f>
        <v>DLM</v>
      </c>
      <c r="B2891" s="34" t="str">
        <f>base!V2891</f>
        <v>38100</v>
      </c>
      <c r="C2891" s="37">
        <v>38</v>
      </c>
      <c r="D2891" s="36">
        <f>base!H2891</f>
        <v>52.5</v>
      </c>
      <c r="E2891" s="44"/>
      <c r="F2891" s="16">
        <f>base!W2891</f>
        <v>14.18</v>
      </c>
      <c r="G2891" s="11">
        <f t="shared" si="450"/>
        <v>0.27009523809523811</v>
      </c>
      <c r="H2891" s="11">
        <f t="shared" si="451"/>
        <v>14.175000000000001</v>
      </c>
      <c r="I2891" s="11">
        <f t="shared" si="452"/>
        <v>0.27</v>
      </c>
      <c r="J2891" s="12">
        <f t="shared" si="453"/>
        <v>4.9999999999990052E-3</v>
      </c>
      <c r="K2891" s="17" t="str">
        <f t="shared" si="458"/>
        <v>Ecart positif</v>
      </c>
      <c r="L2891" s="16">
        <f>base!X2891</f>
        <v>0</v>
      </c>
      <c r="M2891" s="11">
        <f t="shared" si="454"/>
        <v>0</v>
      </c>
      <c r="N2891" s="11">
        <f t="shared" si="455"/>
        <v>0</v>
      </c>
      <c r="O2891" s="11">
        <f t="shared" si="456"/>
        <v>0</v>
      </c>
      <c r="P2891" s="12">
        <f t="shared" si="457"/>
        <v>0</v>
      </c>
      <c r="Q2891" s="17" t="str">
        <f t="shared" si="459"/>
        <v>Pas d'écart</v>
      </c>
    </row>
    <row r="2892" spans="1:18" x14ac:dyDescent="0.3">
      <c r="A2892" s="34" t="str">
        <f>base!J2892</f>
        <v>DLM</v>
      </c>
      <c r="B2892" s="34" t="str">
        <f>base!V2892</f>
        <v>59000</v>
      </c>
      <c r="C2892" s="37">
        <v>59</v>
      </c>
      <c r="D2892" s="36">
        <f>base!H2892</f>
        <v>52.5</v>
      </c>
      <c r="E2892" s="44"/>
      <c r="F2892" s="16">
        <f>base!W2892</f>
        <v>0</v>
      </c>
      <c r="G2892" s="11">
        <f t="shared" si="450"/>
        <v>0</v>
      </c>
      <c r="H2892" s="11">
        <f t="shared" si="451"/>
        <v>9.9749999999999996</v>
      </c>
      <c r="I2892" s="11">
        <f t="shared" si="452"/>
        <v>0.19</v>
      </c>
      <c r="J2892" s="12">
        <f t="shared" si="453"/>
        <v>-9.9749999999999996</v>
      </c>
      <c r="K2892" s="17" t="str">
        <f t="shared" si="458"/>
        <v>Ecart négatif</v>
      </c>
      <c r="L2892" s="16">
        <f>base!X2892</f>
        <v>0</v>
      </c>
      <c r="M2892" s="11">
        <f t="shared" si="454"/>
        <v>0</v>
      </c>
      <c r="N2892" s="11">
        <f t="shared" si="455"/>
        <v>0</v>
      </c>
      <c r="O2892" s="11">
        <f t="shared" si="456"/>
        <v>0</v>
      </c>
      <c r="P2892" s="12">
        <f t="shared" si="457"/>
        <v>0</v>
      </c>
      <c r="Q2892" s="17" t="str">
        <f t="shared" si="459"/>
        <v>Pas d'écart</v>
      </c>
    </row>
    <row r="2893" spans="1:18" x14ac:dyDescent="0.3">
      <c r="A2893" s="34" t="str">
        <f>base!J2893</f>
        <v>DLM</v>
      </c>
      <c r="B2893" s="34" t="str">
        <f>base!V2893</f>
        <v>69003</v>
      </c>
      <c r="C2893" s="37">
        <v>69</v>
      </c>
      <c r="D2893" s="36">
        <f>base!H2893</f>
        <v>52.5</v>
      </c>
      <c r="E2893" s="44"/>
      <c r="F2893" s="16">
        <f>base!W2893</f>
        <v>0</v>
      </c>
      <c r="G2893" s="11">
        <f t="shared" si="450"/>
        <v>0</v>
      </c>
      <c r="H2893" s="11">
        <f t="shared" si="451"/>
        <v>14.175000000000001</v>
      </c>
      <c r="I2893" s="11">
        <f t="shared" si="452"/>
        <v>0.27</v>
      </c>
      <c r="J2893" s="12">
        <f t="shared" si="453"/>
        <v>-14.175000000000001</v>
      </c>
      <c r="K2893" s="17" t="str">
        <f t="shared" si="458"/>
        <v>Ecart négatif</v>
      </c>
      <c r="L2893" s="16">
        <f>base!X2893</f>
        <v>0</v>
      </c>
      <c r="M2893" s="11">
        <f t="shared" si="454"/>
        <v>0</v>
      </c>
      <c r="N2893" s="11">
        <f t="shared" si="455"/>
        <v>0</v>
      </c>
      <c r="O2893" s="11">
        <f t="shared" si="456"/>
        <v>0</v>
      </c>
      <c r="P2893" s="12">
        <f t="shared" si="457"/>
        <v>0</v>
      </c>
      <c r="Q2893" s="17" t="str">
        <f t="shared" si="459"/>
        <v>Pas d'écart</v>
      </c>
    </row>
    <row r="2894" spans="1:18" x14ac:dyDescent="0.3">
      <c r="A2894" s="34" t="str">
        <f>base!J2894</f>
        <v>DLM</v>
      </c>
      <c r="B2894" s="34" t="str">
        <f>base!V2894</f>
        <v>59600</v>
      </c>
      <c r="C2894" s="37">
        <v>59</v>
      </c>
      <c r="D2894" s="36">
        <f>base!H2894</f>
        <v>52.5</v>
      </c>
      <c r="E2894" s="44"/>
      <c r="F2894" s="16">
        <f>base!W2894</f>
        <v>0</v>
      </c>
      <c r="G2894" s="11">
        <f t="shared" si="450"/>
        <v>0</v>
      </c>
      <c r="H2894" s="11">
        <f t="shared" si="451"/>
        <v>9.9749999999999996</v>
      </c>
      <c r="I2894" s="11">
        <f t="shared" si="452"/>
        <v>0.19</v>
      </c>
      <c r="J2894" s="12">
        <f t="shared" si="453"/>
        <v>-9.9749999999999996</v>
      </c>
      <c r="K2894" s="17" t="str">
        <f t="shared" si="458"/>
        <v>Ecart négatif</v>
      </c>
      <c r="L2894" s="16">
        <f>base!X2894</f>
        <v>0</v>
      </c>
      <c r="M2894" s="11">
        <f t="shared" si="454"/>
        <v>0</v>
      </c>
      <c r="N2894" s="11">
        <f t="shared" si="455"/>
        <v>0</v>
      </c>
      <c r="O2894" s="11">
        <f t="shared" si="456"/>
        <v>0</v>
      </c>
      <c r="P2894" s="12">
        <f t="shared" si="457"/>
        <v>0</v>
      </c>
      <c r="Q2894" s="17" t="str">
        <f t="shared" si="459"/>
        <v>Pas d'écart</v>
      </c>
    </row>
    <row r="2895" spans="1:18" x14ac:dyDescent="0.3">
      <c r="A2895" s="34" t="str">
        <f>base!J2895</f>
        <v>DLM</v>
      </c>
      <c r="B2895" s="34" t="str">
        <f>base!V2895</f>
        <v>93000</v>
      </c>
      <c r="C2895" s="37">
        <v>93</v>
      </c>
      <c r="D2895" s="36">
        <f>base!H2895</f>
        <v>52.5</v>
      </c>
      <c r="E2895" s="44"/>
      <c r="F2895" s="16">
        <f>base!W2895</f>
        <v>0</v>
      </c>
      <c r="G2895" s="11">
        <f t="shared" si="450"/>
        <v>0</v>
      </c>
      <c r="H2895" s="11">
        <f t="shared" si="451"/>
        <v>0</v>
      </c>
      <c r="I2895" s="11">
        <f t="shared" si="452"/>
        <v>0</v>
      </c>
      <c r="J2895" s="12">
        <f t="shared" si="453"/>
        <v>0</v>
      </c>
      <c r="K2895" s="17" t="str">
        <f t="shared" si="458"/>
        <v>Pas d'écart</v>
      </c>
      <c r="L2895" s="16">
        <f>base!X2895</f>
        <v>0</v>
      </c>
      <c r="M2895" s="11">
        <f t="shared" si="454"/>
        <v>0</v>
      </c>
      <c r="N2895" s="11">
        <f t="shared" si="455"/>
        <v>0</v>
      </c>
      <c r="O2895" s="11">
        <f t="shared" si="456"/>
        <v>0</v>
      </c>
      <c r="P2895" s="12">
        <f t="shared" si="457"/>
        <v>0</v>
      </c>
      <c r="Q2895" s="17" t="str">
        <f t="shared" si="459"/>
        <v>Pas d'écart</v>
      </c>
    </row>
    <row r="2896" spans="1:18" x14ac:dyDescent="0.3">
      <c r="A2896" s="34" t="str">
        <f>base!J2896</f>
        <v>RS</v>
      </c>
      <c r="B2896" s="34" t="str">
        <f>base!V2896</f>
        <v>54300</v>
      </c>
      <c r="C2896" s="37">
        <v>54</v>
      </c>
      <c r="D2896" s="36">
        <f>base!H2896</f>
        <v>140</v>
      </c>
      <c r="E2896" s="44"/>
      <c r="F2896" s="16">
        <f>base!W2896</f>
        <v>0</v>
      </c>
      <c r="G2896" s="11">
        <f t="shared" si="450"/>
        <v>0</v>
      </c>
      <c r="H2896" s="11">
        <f t="shared" si="451"/>
        <v>35</v>
      </c>
      <c r="I2896" s="11">
        <f t="shared" si="452"/>
        <v>0.25</v>
      </c>
      <c r="J2896" s="12">
        <f t="shared" si="453"/>
        <v>-35</v>
      </c>
      <c r="K2896" s="17" t="str">
        <f t="shared" si="458"/>
        <v>Ecart négatif</v>
      </c>
      <c r="L2896" s="16">
        <f>base!X2896</f>
        <v>35</v>
      </c>
      <c r="M2896" s="11">
        <f t="shared" si="454"/>
        <v>0.25</v>
      </c>
      <c r="N2896" s="11">
        <f t="shared" si="455"/>
        <v>35</v>
      </c>
      <c r="O2896" s="11">
        <f t="shared" si="456"/>
        <v>0.25</v>
      </c>
      <c r="P2896" s="12">
        <f t="shared" si="457"/>
        <v>0</v>
      </c>
      <c r="Q2896" s="17" t="str">
        <f t="shared" si="459"/>
        <v>Pas d'écart</v>
      </c>
    </row>
    <row r="2897" spans="1:18" x14ac:dyDescent="0.3">
      <c r="A2897" s="34" t="str">
        <f>base!J2897</f>
        <v>RS</v>
      </c>
      <c r="B2897" s="34" t="str">
        <f>base!V2897</f>
        <v>13009</v>
      </c>
      <c r="C2897" s="37">
        <v>13</v>
      </c>
      <c r="D2897" s="36">
        <f>base!H2897</f>
        <v>140</v>
      </c>
      <c r="E2897" s="44"/>
      <c r="F2897" s="16">
        <f>base!W2897</f>
        <v>0</v>
      </c>
      <c r="G2897" s="11">
        <f t="shared" si="450"/>
        <v>0</v>
      </c>
      <c r="H2897" s="11">
        <f t="shared" si="451"/>
        <v>40.599999999999994</v>
      </c>
      <c r="I2897" s="11">
        <f t="shared" si="452"/>
        <v>0.28999999999999998</v>
      </c>
      <c r="J2897" s="12">
        <f t="shared" si="453"/>
        <v>-40.599999999999994</v>
      </c>
      <c r="K2897" s="17" t="str">
        <f t="shared" si="458"/>
        <v>Ecart négatif</v>
      </c>
      <c r="L2897" s="16">
        <f>base!X2897</f>
        <v>0</v>
      </c>
      <c r="M2897" s="11">
        <f t="shared" si="454"/>
        <v>0</v>
      </c>
      <c r="N2897" s="11">
        <f t="shared" si="455"/>
        <v>26.6</v>
      </c>
      <c r="O2897" s="11">
        <f t="shared" si="456"/>
        <v>0.19</v>
      </c>
      <c r="P2897" s="12">
        <f t="shared" si="457"/>
        <v>-26.6</v>
      </c>
      <c r="Q2897" s="17" t="str">
        <f t="shared" si="459"/>
        <v>Ecart négatif</v>
      </c>
    </row>
    <row r="2898" spans="1:18" x14ac:dyDescent="0.3">
      <c r="A2898" s="34" t="str">
        <f>base!J2898</f>
        <v>LM</v>
      </c>
      <c r="B2898" s="34" t="str">
        <f>base!V2898</f>
        <v>92000</v>
      </c>
      <c r="C2898" s="37">
        <v>92</v>
      </c>
      <c r="D2898" s="36">
        <f>base!H2898</f>
        <v>50.84</v>
      </c>
      <c r="E2898" s="44"/>
      <c r="F2898" s="16">
        <f>base!W2898</f>
        <v>0</v>
      </c>
      <c r="G2898" s="11">
        <f t="shared" si="450"/>
        <v>0</v>
      </c>
      <c r="H2898" s="11">
        <f t="shared" si="451"/>
        <v>0</v>
      </c>
      <c r="I2898" s="11">
        <f t="shared" si="452"/>
        <v>0</v>
      </c>
      <c r="J2898" s="12">
        <f t="shared" si="453"/>
        <v>0</v>
      </c>
      <c r="K2898" s="17" t="str">
        <f t="shared" si="458"/>
        <v>Pas d'écart</v>
      </c>
      <c r="L2898" s="16">
        <f>base!X2898</f>
        <v>0</v>
      </c>
      <c r="M2898" s="11">
        <f t="shared" si="454"/>
        <v>0</v>
      </c>
      <c r="N2898" s="11">
        <f t="shared" si="455"/>
        <v>0</v>
      </c>
      <c r="O2898" s="11">
        <f t="shared" si="456"/>
        <v>0</v>
      </c>
      <c r="P2898" s="12">
        <f t="shared" si="457"/>
        <v>0</v>
      </c>
      <c r="Q2898" s="17" t="str">
        <f t="shared" si="459"/>
        <v>Pas d'écart</v>
      </c>
    </row>
    <row r="2899" spans="1:18" x14ac:dyDescent="0.3">
      <c r="A2899" s="34" t="str">
        <f>base!J2899</f>
        <v>LM</v>
      </c>
      <c r="B2899" s="34" t="str">
        <f>base!V2899</f>
        <v>92000</v>
      </c>
      <c r="C2899" s="37">
        <v>92</v>
      </c>
      <c r="D2899" s="36">
        <f>base!H2899</f>
        <v>50.84</v>
      </c>
      <c r="E2899" s="44"/>
      <c r="F2899" s="16">
        <f>base!W2899</f>
        <v>0</v>
      </c>
      <c r="G2899" s="11">
        <f t="shared" si="450"/>
        <v>0</v>
      </c>
      <c r="H2899" s="11">
        <f t="shared" si="451"/>
        <v>0</v>
      </c>
      <c r="I2899" s="11">
        <f t="shared" si="452"/>
        <v>0</v>
      </c>
      <c r="J2899" s="12">
        <f t="shared" si="453"/>
        <v>0</v>
      </c>
      <c r="K2899" s="17" t="str">
        <f t="shared" si="458"/>
        <v>Pas d'écart</v>
      </c>
      <c r="L2899" s="16">
        <f>base!X2899</f>
        <v>0</v>
      </c>
      <c r="M2899" s="11">
        <f t="shared" si="454"/>
        <v>0</v>
      </c>
      <c r="N2899" s="11">
        <f t="shared" si="455"/>
        <v>0</v>
      </c>
      <c r="O2899" s="11">
        <f t="shared" si="456"/>
        <v>0</v>
      </c>
      <c r="P2899" s="12">
        <f t="shared" si="457"/>
        <v>0</v>
      </c>
      <c r="Q2899" s="17" t="str">
        <f t="shared" si="459"/>
        <v>Pas d'écart</v>
      </c>
    </row>
    <row r="2900" spans="1:18" x14ac:dyDescent="0.3">
      <c r="A2900" s="34" t="str">
        <f>base!J2900</f>
        <v>RM</v>
      </c>
      <c r="B2900" s="34" t="str">
        <f>base!V2900</f>
        <v>93290</v>
      </c>
      <c r="C2900" s="37">
        <v>93</v>
      </c>
      <c r="D2900" s="36">
        <f>base!H2900</f>
        <v>135.28</v>
      </c>
      <c r="E2900" s="44"/>
      <c r="F2900" s="16">
        <f>base!W2900</f>
        <v>0</v>
      </c>
      <c r="G2900" s="11">
        <f t="shared" si="450"/>
        <v>0</v>
      </c>
      <c r="H2900" s="11">
        <f t="shared" si="451"/>
        <v>0</v>
      </c>
      <c r="I2900" s="11">
        <f t="shared" si="452"/>
        <v>0</v>
      </c>
      <c r="J2900" s="12">
        <f t="shared" si="453"/>
        <v>0</v>
      </c>
      <c r="K2900" s="17" t="str">
        <f t="shared" si="458"/>
        <v>Pas d'écart</v>
      </c>
      <c r="L2900" s="16">
        <f>base!X2900</f>
        <v>0</v>
      </c>
      <c r="M2900" s="11">
        <f t="shared" si="454"/>
        <v>0</v>
      </c>
      <c r="N2900" s="11">
        <f t="shared" si="455"/>
        <v>0</v>
      </c>
      <c r="O2900" s="11">
        <f t="shared" si="456"/>
        <v>0</v>
      </c>
      <c r="P2900" s="12">
        <f t="shared" si="457"/>
        <v>0</v>
      </c>
      <c r="Q2900" s="17" t="str">
        <f t="shared" si="459"/>
        <v>Pas d'écart</v>
      </c>
    </row>
    <row r="2901" spans="1:18" x14ac:dyDescent="0.3">
      <c r="A2901" s="34" t="str">
        <f>base!J2901</f>
        <v>LS</v>
      </c>
      <c r="B2901" s="34" t="str">
        <f>base!V2901</f>
        <v>35131</v>
      </c>
      <c r="C2901" s="37">
        <v>45</v>
      </c>
      <c r="D2901" s="36">
        <f>base!H2901</f>
        <v>173.25</v>
      </c>
      <c r="E2901" s="44"/>
      <c r="F2901" s="16">
        <f>base!W2901</f>
        <v>46.78</v>
      </c>
      <c r="G2901" s="11">
        <f t="shared" si="450"/>
        <v>0.27001443001443004</v>
      </c>
      <c r="H2901" s="11">
        <f t="shared" si="451"/>
        <v>36.3825</v>
      </c>
      <c r="I2901" s="11">
        <f t="shared" si="452"/>
        <v>0.21</v>
      </c>
      <c r="J2901" s="12">
        <f t="shared" si="453"/>
        <v>10.397500000000001</v>
      </c>
      <c r="K2901" s="17" t="str">
        <f t="shared" si="458"/>
        <v>Ecart positif</v>
      </c>
      <c r="L2901" s="16">
        <f>base!X2901</f>
        <v>0</v>
      </c>
      <c r="M2901" s="11">
        <f t="shared" si="454"/>
        <v>0</v>
      </c>
      <c r="N2901" s="11">
        <f t="shared" si="455"/>
        <v>20.79</v>
      </c>
      <c r="O2901" s="11">
        <f t="shared" si="456"/>
        <v>0.12</v>
      </c>
      <c r="P2901" s="12">
        <f t="shared" si="457"/>
        <v>-20.79</v>
      </c>
      <c r="Q2901" s="17" t="str">
        <f t="shared" si="459"/>
        <v>Ecart négatif</v>
      </c>
    </row>
    <row r="2902" spans="1:18" x14ac:dyDescent="0.3">
      <c r="A2902" s="34" t="str">
        <f>base!J2902</f>
        <v>LM</v>
      </c>
      <c r="B2902" s="34" t="str">
        <f>base!V2902</f>
        <v>38110</v>
      </c>
      <c r="C2902" s="37">
        <v>79</v>
      </c>
      <c r="D2902" s="36">
        <f>base!H2902</f>
        <v>19.649999999999999</v>
      </c>
      <c r="E2902" s="44"/>
      <c r="F2902" s="16">
        <f>base!W2902</f>
        <v>5.31</v>
      </c>
      <c r="G2902" s="11">
        <f t="shared" si="450"/>
        <v>0.27022900763358776</v>
      </c>
      <c r="H2902" s="11">
        <f t="shared" si="451"/>
        <v>4.1264999999999992</v>
      </c>
      <c r="I2902" s="11">
        <f t="shared" si="452"/>
        <v>0.20999999999999996</v>
      </c>
      <c r="J2902" s="12">
        <f t="shared" si="453"/>
        <v>1.1835000000000004</v>
      </c>
      <c r="K2902" s="17" t="str">
        <f t="shared" si="458"/>
        <v>Ecart positif</v>
      </c>
      <c r="L2902" s="16">
        <f>base!X2902</f>
        <v>0</v>
      </c>
      <c r="M2902" s="11">
        <f t="shared" si="454"/>
        <v>0</v>
      </c>
      <c r="N2902" s="11">
        <f t="shared" si="455"/>
        <v>2.3579999999999997</v>
      </c>
      <c r="O2902" s="11">
        <f t="shared" si="456"/>
        <v>0.12</v>
      </c>
      <c r="P2902" s="12">
        <f t="shared" si="457"/>
        <v>-2.3579999999999997</v>
      </c>
      <c r="Q2902" s="17" t="str">
        <f t="shared" si="459"/>
        <v>Ecart négatif</v>
      </c>
    </row>
    <row r="2903" spans="1:18" x14ac:dyDescent="0.3">
      <c r="A2903" s="34" t="str">
        <f>base!J2903</f>
        <v>DRM</v>
      </c>
      <c r="B2903" s="34" t="str">
        <f>base!V2903</f>
        <v>38230</v>
      </c>
      <c r="C2903" s="37">
        <v>38</v>
      </c>
      <c r="D2903" s="36">
        <f>base!H2903</f>
        <v>23.4</v>
      </c>
      <c r="E2903" s="44"/>
      <c r="F2903" s="16">
        <f>base!W2903</f>
        <v>0</v>
      </c>
      <c r="G2903" s="11">
        <f t="shared" si="450"/>
        <v>0</v>
      </c>
      <c r="H2903" s="11">
        <f t="shared" si="451"/>
        <v>6.3179999999999996</v>
      </c>
      <c r="I2903" s="11">
        <f t="shared" si="452"/>
        <v>0.27</v>
      </c>
      <c r="J2903" s="12">
        <f t="shared" si="453"/>
        <v>-6.3179999999999996</v>
      </c>
      <c r="K2903" s="17" t="str">
        <f t="shared" si="458"/>
        <v>Ecart négatif</v>
      </c>
      <c r="L2903" s="16">
        <f>base!X2903</f>
        <v>0</v>
      </c>
      <c r="M2903" s="11">
        <f t="shared" si="454"/>
        <v>0</v>
      </c>
      <c r="N2903" s="11">
        <f t="shared" si="455"/>
        <v>0</v>
      </c>
      <c r="O2903" s="11">
        <f t="shared" si="456"/>
        <v>0</v>
      </c>
      <c r="P2903" s="12">
        <f t="shared" si="457"/>
        <v>0</v>
      </c>
      <c r="Q2903" s="17" t="str">
        <f t="shared" si="459"/>
        <v>Pas d'écart</v>
      </c>
    </row>
    <row r="2904" spans="1:18" x14ac:dyDescent="0.3">
      <c r="A2904" s="34" t="str">
        <f>base!J2904</f>
        <v>DLM</v>
      </c>
      <c r="B2904" s="34" t="str">
        <f>base!V2904</f>
        <v>07800</v>
      </c>
      <c r="C2904" s="37">
        <v>7</v>
      </c>
      <c r="D2904" s="36">
        <f>base!H2904</f>
        <v>23.4</v>
      </c>
      <c r="E2904" s="44"/>
      <c r="F2904" s="16">
        <f>base!W2904</f>
        <v>0</v>
      </c>
      <c r="G2904" s="11">
        <f t="shared" si="450"/>
        <v>0</v>
      </c>
      <c r="H2904" s="11">
        <f t="shared" si="451"/>
        <v>6.3179999999999996</v>
      </c>
      <c r="I2904" s="11">
        <f t="shared" si="452"/>
        <v>0.27</v>
      </c>
      <c r="J2904" s="12">
        <f t="shared" si="453"/>
        <v>-6.3179999999999996</v>
      </c>
      <c r="K2904" s="17" t="str">
        <f t="shared" si="458"/>
        <v>Ecart négatif</v>
      </c>
      <c r="L2904" s="16">
        <f>base!X2904</f>
        <v>0</v>
      </c>
      <c r="M2904" s="11">
        <f t="shared" si="454"/>
        <v>0</v>
      </c>
      <c r="N2904" s="11">
        <f t="shared" si="455"/>
        <v>0</v>
      </c>
      <c r="O2904" s="11">
        <f t="shared" si="456"/>
        <v>0</v>
      </c>
      <c r="P2904" s="12">
        <f t="shared" si="457"/>
        <v>0</v>
      </c>
      <c r="Q2904" s="17" t="str">
        <f t="shared" si="459"/>
        <v>Pas d'écart</v>
      </c>
    </row>
    <row r="2905" spans="1:18" x14ac:dyDescent="0.3">
      <c r="A2905" s="34">
        <f>base!J2905</f>
        <v>0</v>
      </c>
      <c r="B2905" s="34" t="str">
        <f>base!V2905</f>
        <v>77184</v>
      </c>
      <c r="C2905" s="37">
        <v>77</v>
      </c>
      <c r="D2905" s="36">
        <f>base!H2905</f>
        <v>20</v>
      </c>
      <c r="E2905" s="44"/>
      <c r="F2905" s="16">
        <f>base!W2905</f>
        <v>0</v>
      </c>
      <c r="G2905" s="11">
        <f t="shared" si="450"/>
        <v>0</v>
      </c>
      <c r="H2905" s="11">
        <f t="shared" si="451"/>
        <v>0</v>
      </c>
      <c r="I2905" s="11">
        <f t="shared" si="452"/>
        <v>0</v>
      </c>
      <c r="J2905" s="12">
        <f t="shared" si="453"/>
        <v>0</v>
      </c>
      <c r="K2905" s="17" t="str">
        <f t="shared" si="458"/>
        <v>Pas d'écart</v>
      </c>
      <c r="L2905" s="16">
        <f>base!X2905</f>
        <v>0</v>
      </c>
      <c r="M2905" s="11">
        <f t="shared" si="454"/>
        <v>0</v>
      </c>
      <c r="N2905" s="11">
        <f t="shared" si="455"/>
        <v>0</v>
      </c>
      <c r="O2905" s="11">
        <f t="shared" si="456"/>
        <v>0</v>
      </c>
      <c r="P2905" s="12">
        <f t="shared" si="457"/>
        <v>0</v>
      </c>
      <c r="Q2905" s="17" t="str">
        <f t="shared" si="459"/>
        <v>Pas d'écart</v>
      </c>
    </row>
    <row r="2906" spans="1:18" x14ac:dyDescent="0.3">
      <c r="A2906" s="34" t="str">
        <f>base!J2906</f>
        <v>LS</v>
      </c>
      <c r="B2906" s="34" t="str">
        <f>base!V2906</f>
        <v>50303</v>
      </c>
      <c r="C2906" s="37">
        <v>86</v>
      </c>
      <c r="D2906" s="36">
        <f>base!H2906</f>
        <v>371.73</v>
      </c>
      <c r="E2906" s="44"/>
      <c r="F2906" s="16">
        <f>base!W2906</f>
        <v>63.19</v>
      </c>
      <c r="G2906" s="11">
        <f t="shared" si="450"/>
        <v>0.16998897048933365</v>
      </c>
      <c r="H2906" s="11">
        <f t="shared" si="451"/>
        <v>78.063299999999998</v>
      </c>
      <c r="I2906" s="11">
        <f t="shared" si="452"/>
        <v>0.21</v>
      </c>
      <c r="J2906" s="12">
        <f t="shared" si="453"/>
        <v>-14.8733</v>
      </c>
      <c r="K2906" s="17" t="str">
        <f t="shared" si="458"/>
        <v>Ecart négatif</v>
      </c>
      <c r="L2906" s="16">
        <f>base!X2906</f>
        <v>0</v>
      </c>
      <c r="M2906" s="11">
        <f t="shared" si="454"/>
        <v>0</v>
      </c>
      <c r="N2906" s="11">
        <f t="shared" si="455"/>
        <v>44.607599999999998</v>
      </c>
      <c r="O2906" s="11">
        <f t="shared" si="456"/>
        <v>0.11999999999999998</v>
      </c>
      <c r="P2906" s="12">
        <f t="shared" si="457"/>
        <v>-44.607599999999998</v>
      </c>
      <c r="Q2906" s="17" t="str">
        <f t="shared" si="459"/>
        <v>Ecart négatif</v>
      </c>
    </row>
    <row r="2907" spans="1:18" x14ac:dyDescent="0.3">
      <c r="A2907" s="34" t="str">
        <f>base!J2907</f>
        <v>RM</v>
      </c>
      <c r="B2907" s="34" t="str">
        <f>base!V2907</f>
        <v>01000</v>
      </c>
      <c r="C2907" s="37">
        <v>1</v>
      </c>
      <c r="D2907" s="36">
        <f>base!H2907</f>
        <v>198.89</v>
      </c>
      <c r="E2907" s="44"/>
      <c r="F2907" s="16">
        <f>base!W2907</f>
        <v>0</v>
      </c>
      <c r="G2907" s="11">
        <f t="shared" si="450"/>
        <v>0</v>
      </c>
      <c r="H2907" s="11">
        <f t="shared" si="451"/>
        <v>51.711399999999998</v>
      </c>
      <c r="I2907" s="11">
        <f t="shared" si="452"/>
        <v>0.26</v>
      </c>
      <c r="J2907" s="12">
        <f t="shared" si="453"/>
        <v>-51.711399999999998</v>
      </c>
      <c r="K2907" s="17" t="str">
        <f t="shared" si="458"/>
        <v>Ecart négatif</v>
      </c>
      <c r="L2907" s="16">
        <f>base!X2907</f>
        <v>0</v>
      </c>
      <c r="M2907" s="11">
        <f t="shared" si="454"/>
        <v>0</v>
      </c>
      <c r="N2907" s="11">
        <f t="shared" si="455"/>
        <v>0</v>
      </c>
      <c r="O2907" s="11">
        <f t="shared" si="456"/>
        <v>0</v>
      </c>
      <c r="P2907" s="12">
        <f t="shared" si="457"/>
        <v>0</v>
      </c>
      <c r="Q2907" s="17" t="str">
        <f t="shared" si="459"/>
        <v>Pas d'écart</v>
      </c>
    </row>
    <row r="2908" spans="1:18" x14ac:dyDescent="0.3">
      <c r="A2908" s="34" t="str">
        <f>base!J2908</f>
        <v>RM</v>
      </c>
      <c r="B2908" s="34" t="str">
        <f>base!V2908</f>
        <v>26000</v>
      </c>
      <c r="C2908" s="37">
        <v>26</v>
      </c>
      <c r="D2908" s="36">
        <f>base!H2908</f>
        <v>180</v>
      </c>
      <c r="E2908" s="44"/>
      <c r="F2908" s="16">
        <f>base!W2908</f>
        <v>0</v>
      </c>
      <c r="G2908" s="11">
        <f t="shared" si="450"/>
        <v>0</v>
      </c>
      <c r="H2908" s="11">
        <f t="shared" si="451"/>
        <v>48.6</v>
      </c>
      <c r="I2908" s="11">
        <f t="shared" si="452"/>
        <v>0.27</v>
      </c>
      <c r="J2908" s="12">
        <f t="shared" si="453"/>
        <v>-48.6</v>
      </c>
      <c r="K2908" s="17" t="str">
        <f t="shared" si="458"/>
        <v>Ecart négatif</v>
      </c>
      <c r="L2908" s="16">
        <f>base!X2908</f>
        <v>0</v>
      </c>
      <c r="M2908" s="11">
        <f t="shared" si="454"/>
        <v>0</v>
      </c>
      <c r="N2908" s="11">
        <f t="shared" si="455"/>
        <v>0</v>
      </c>
      <c r="O2908" s="11">
        <f t="shared" si="456"/>
        <v>0</v>
      </c>
      <c r="P2908" s="12">
        <f t="shared" si="457"/>
        <v>0</v>
      </c>
      <c r="Q2908" s="17" t="str">
        <f t="shared" si="459"/>
        <v>Pas d'écart</v>
      </c>
    </row>
    <row r="2909" spans="1:18" x14ac:dyDescent="0.3">
      <c r="A2909" s="34" t="str">
        <f>base!J2909</f>
        <v>LM</v>
      </c>
      <c r="B2909" s="34" t="str">
        <f>base!V2909</f>
        <v>16340</v>
      </c>
      <c r="C2909" s="37">
        <v>79</v>
      </c>
      <c r="D2909" s="36">
        <f>base!H2909</f>
        <v>126.65</v>
      </c>
      <c r="E2909" s="44"/>
      <c r="F2909" s="16">
        <f>base!W2909</f>
        <v>26.6</v>
      </c>
      <c r="G2909" s="11">
        <f t="shared" si="450"/>
        <v>0.21002763521515988</v>
      </c>
      <c r="H2909" s="11">
        <f t="shared" si="451"/>
        <v>26.596499999999999</v>
      </c>
      <c r="I2909" s="11">
        <f t="shared" si="452"/>
        <v>0.21</v>
      </c>
      <c r="J2909" s="12">
        <f t="shared" si="453"/>
        <v>3.5000000000025011E-3</v>
      </c>
      <c r="K2909" s="17" t="str">
        <f t="shared" si="458"/>
        <v>Ecart positif</v>
      </c>
      <c r="L2909" s="16">
        <f>base!X2909</f>
        <v>0</v>
      </c>
      <c r="M2909" s="11">
        <f t="shared" si="454"/>
        <v>0</v>
      </c>
      <c r="N2909" s="11">
        <f t="shared" si="455"/>
        <v>15.198</v>
      </c>
      <c r="O2909" s="11">
        <f t="shared" si="456"/>
        <v>0.12</v>
      </c>
      <c r="P2909" s="12">
        <f t="shared" si="457"/>
        <v>-15.198</v>
      </c>
      <c r="Q2909" s="17" t="str">
        <f t="shared" si="459"/>
        <v>Ecart négatif</v>
      </c>
    </row>
    <row r="2910" spans="1:18" x14ac:dyDescent="0.3">
      <c r="A2910" s="34" t="str">
        <f>base!J2910</f>
        <v>LM</v>
      </c>
      <c r="B2910" s="34" t="str">
        <f>base!V2910</f>
        <v>14200</v>
      </c>
      <c r="C2910" s="37">
        <v>16</v>
      </c>
      <c r="D2910" s="36">
        <f>base!H2910</f>
        <v>55.16</v>
      </c>
      <c r="E2910" s="44"/>
      <c r="F2910" s="16">
        <f>base!W2910</f>
        <v>9.3800000000000008</v>
      </c>
      <c r="G2910" s="11">
        <f t="shared" si="450"/>
        <v>0.17005076142131983</v>
      </c>
      <c r="H2910" s="11">
        <f t="shared" si="451"/>
        <v>11.583599999999999</v>
      </c>
      <c r="I2910" s="11">
        <f t="shared" si="452"/>
        <v>0.21</v>
      </c>
      <c r="J2910" s="12">
        <f t="shared" si="453"/>
        <v>-2.203599999999998</v>
      </c>
      <c r="K2910" s="17" t="str">
        <f t="shared" si="458"/>
        <v>Ecart négatif</v>
      </c>
      <c r="L2910" s="16">
        <f>base!X2910</f>
        <v>0</v>
      </c>
      <c r="M2910" s="11">
        <f t="shared" si="454"/>
        <v>0</v>
      </c>
      <c r="N2910" s="11">
        <f t="shared" si="455"/>
        <v>9.3772000000000002</v>
      </c>
      <c r="O2910" s="11">
        <f t="shared" si="456"/>
        <v>0.17</v>
      </c>
      <c r="P2910" s="12">
        <f t="shared" si="457"/>
        <v>-9.3772000000000002</v>
      </c>
      <c r="Q2910" s="17" t="str">
        <f t="shared" si="459"/>
        <v>Ecart négatif</v>
      </c>
    </row>
    <row r="2911" spans="1:18" x14ac:dyDescent="0.3">
      <c r="A2911" s="34" t="str">
        <f>base!J2911</f>
        <v>LM</v>
      </c>
      <c r="B2911" s="34" t="str">
        <f>base!V2911</f>
        <v>13790</v>
      </c>
      <c r="C2911" s="37">
        <v>16</v>
      </c>
      <c r="D2911" s="36">
        <f>base!H2911</f>
        <v>73</v>
      </c>
      <c r="E2911" s="44"/>
      <c r="F2911" s="16">
        <f>base!W2911</f>
        <v>37.229999999999997</v>
      </c>
      <c r="G2911" s="11">
        <f t="shared" si="450"/>
        <v>0.51</v>
      </c>
      <c r="H2911" s="11">
        <f t="shared" si="451"/>
        <v>15.33</v>
      </c>
      <c r="I2911" s="11">
        <f t="shared" si="452"/>
        <v>0.21</v>
      </c>
      <c r="J2911" s="12">
        <f t="shared" si="453"/>
        <v>21.9</v>
      </c>
      <c r="K2911" s="17" t="str">
        <f t="shared" si="458"/>
        <v>Ecart positif</v>
      </c>
      <c r="L2911" s="16">
        <f>base!X2911</f>
        <v>0</v>
      </c>
      <c r="M2911" s="11">
        <f t="shared" si="454"/>
        <v>0</v>
      </c>
      <c r="N2911" s="11">
        <f t="shared" si="455"/>
        <v>12.41</v>
      </c>
      <c r="O2911" s="11">
        <f t="shared" si="456"/>
        <v>0.17</v>
      </c>
      <c r="P2911" s="12">
        <f t="shared" si="457"/>
        <v>-12.41</v>
      </c>
      <c r="Q2911" s="17" t="str">
        <f t="shared" si="459"/>
        <v>Ecart négatif</v>
      </c>
    </row>
    <row r="2912" spans="1:18" x14ac:dyDescent="0.3">
      <c r="A2912" s="34" t="str">
        <f>base!J2912</f>
        <v>RS</v>
      </c>
      <c r="B2912" s="34" t="str">
        <f>base!V2912</f>
        <v>90000</v>
      </c>
      <c r="C2912" s="37">
        <v>90</v>
      </c>
      <c r="D2912" s="36">
        <f>base!H2912</f>
        <v>140</v>
      </c>
      <c r="E2912" s="44"/>
      <c r="F2912" s="16">
        <f>base!W2912</f>
        <v>0</v>
      </c>
      <c r="G2912" s="11">
        <f t="shared" si="450"/>
        <v>0</v>
      </c>
      <c r="H2912" s="11">
        <f t="shared" si="451"/>
        <v>40.599999999999994</v>
      </c>
      <c r="I2912" s="11">
        <f t="shared" si="452"/>
        <v>0.28999999999999998</v>
      </c>
      <c r="J2912" s="12">
        <f t="shared" si="453"/>
        <v>-40.599999999999994</v>
      </c>
      <c r="K2912" s="17" t="str">
        <f t="shared" si="458"/>
        <v>Ecart négatif</v>
      </c>
      <c r="L2912" s="16">
        <f>base!X2912</f>
        <v>11.2</v>
      </c>
      <c r="M2912" s="11">
        <f t="shared" si="454"/>
        <v>0.08</v>
      </c>
      <c r="N2912" s="11">
        <f t="shared" si="455"/>
        <v>11.200000000000001</v>
      </c>
      <c r="O2912" s="11">
        <f t="shared" si="456"/>
        <v>0.08</v>
      </c>
      <c r="P2912" s="12">
        <f t="shared" si="457"/>
        <v>0</v>
      </c>
      <c r="Q2912" s="17" t="str">
        <f t="shared" si="459"/>
        <v>Pas d'écart</v>
      </c>
      <c r="R2912" s="38"/>
    </row>
    <row r="2913" spans="1:18" x14ac:dyDescent="0.3">
      <c r="A2913" s="34" t="str">
        <f>base!J2913</f>
        <v>RM</v>
      </c>
      <c r="B2913" s="34" t="str">
        <f>base!V2913</f>
        <v>39400</v>
      </c>
      <c r="C2913" s="37">
        <v>39</v>
      </c>
      <c r="D2913" s="36">
        <f>base!H2913</f>
        <v>22.8</v>
      </c>
      <c r="E2913" s="44"/>
      <c r="F2913" s="16">
        <f>base!W2913</f>
        <v>0</v>
      </c>
      <c r="G2913" s="11">
        <f t="shared" si="450"/>
        <v>0</v>
      </c>
      <c r="H2913" s="11">
        <f t="shared" si="451"/>
        <v>6.1560000000000006</v>
      </c>
      <c r="I2913" s="11">
        <f t="shared" si="452"/>
        <v>0.27</v>
      </c>
      <c r="J2913" s="12">
        <f t="shared" si="453"/>
        <v>-6.1560000000000006</v>
      </c>
      <c r="K2913" s="17" t="str">
        <f t="shared" si="458"/>
        <v>Ecart négatif</v>
      </c>
      <c r="L2913" s="16">
        <f>base!X2913</f>
        <v>0</v>
      </c>
      <c r="M2913" s="11">
        <f t="shared" si="454"/>
        <v>0</v>
      </c>
      <c r="N2913" s="11">
        <f t="shared" si="455"/>
        <v>0</v>
      </c>
      <c r="O2913" s="11">
        <f t="shared" si="456"/>
        <v>0</v>
      </c>
      <c r="P2913" s="12">
        <f t="shared" si="457"/>
        <v>0</v>
      </c>
      <c r="Q2913" s="17" t="str">
        <f t="shared" si="459"/>
        <v>Pas d'écart</v>
      </c>
    </row>
    <row r="2914" spans="1:18" x14ac:dyDescent="0.3">
      <c r="A2914" s="34" t="str">
        <f>base!J2914</f>
        <v>RS</v>
      </c>
      <c r="B2914" s="34" t="str">
        <f>base!V2914</f>
        <v>76600</v>
      </c>
      <c r="C2914" s="37">
        <v>76</v>
      </c>
      <c r="D2914" s="36">
        <f>base!H2914</f>
        <v>290.27</v>
      </c>
      <c r="E2914" s="44"/>
      <c r="F2914" s="16">
        <f>base!W2914</f>
        <v>0</v>
      </c>
      <c r="G2914" s="11">
        <f t="shared" si="450"/>
        <v>0</v>
      </c>
      <c r="H2914" s="11">
        <f t="shared" si="451"/>
        <v>49.3459</v>
      </c>
      <c r="I2914" s="11">
        <f t="shared" si="452"/>
        <v>0.17</v>
      </c>
      <c r="J2914" s="12">
        <f t="shared" si="453"/>
        <v>-49.3459</v>
      </c>
      <c r="K2914" s="17" t="str">
        <f t="shared" si="458"/>
        <v>Ecart négatif</v>
      </c>
      <c r="L2914" s="16">
        <f>base!X2914</f>
        <v>0</v>
      </c>
      <c r="M2914" s="11">
        <f t="shared" si="454"/>
        <v>0</v>
      </c>
      <c r="N2914" s="11">
        <f t="shared" si="455"/>
        <v>49.3459</v>
      </c>
      <c r="O2914" s="11">
        <f t="shared" si="456"/>
        <v>0.17</v>
      </c>
      <c r="P2914" s="12">
        <f t="shared" si="457"/>
        <v>-49.3459</v>
      </c>
      <c r="Q2914" s="17" t="str">
        <f t="shared" si="459"/>
        <v>Ecart négatif</v>
      </c>
    </row>
    <row r="2915" spans="1:18" x14ac:dyDescent="0.3">
      <c r="A2915" s="34" t="str">
        <f>base!J2915</f>
        <v>RM</v>
      </c>
      <c r="B2915" s="34" t="str">
        <f>base!V2915</f>
        <v>06560</v>
      </c>
      <c r="C2915" s="37">
        <v>6</v>
      </c>
      <c r="D2915" s="36">
        <f>base!H2915</f>
        <v>151</v>
      </c>
      <c r="E2915" s="44"/>
      <c r="F2915" s="16">
        <f>base!W2915</f>
        <v>0</v>
      </c>
      <c r="G2915" s="11">
        <f t="shared" si="450"/>
        <v>0</v>
      </c>
      <c r="H2915" s="11">
        <f t="shared" si="451"/>
        <v>45.3</v>
      </c>
      <c r="I2915" s="11">
        <f t="shared" si="452"/>
        <v>0.3</v>
      </c>
      <c r="J2915" s="12">
        <f t="shared" si="453"/>
        <v>-45.3</v>
      </c>
      <c r="K2915" s="17" t="str">
        <f t="shared" si="458"/>
        <v>Ecart négatif</v>
      </c>
      <c r="L2915" s="16">
        <f>base!X2915</f>
        <v>0</v>
      </c>
      <c r="M2915" s="11">
        <f t="shared" si="454"/>
        <v>0</v>
      </c>
      <c r="N2915" s="11">
        <f t="shared" si="455"/>
        <v>31.709999999999997</v>
      </c>
      <c r="O2915" s="11">
        <f t="shared" si="456"/>
        <v>0.21</v>
      </c>
      <c r="P2915" s="12">
        <f t="shared" si="457"/>
        <v>-31.709999999999997</v>
      </c>
      <c r="Q2915" s="17" t="str">
        <f t="shared" si="459"/>
        <v>Ecart négatif</v>
      </c>
    </row>
    <row r="2916" spans="1:18" x14ac:dyDescent="0.3">
      <c r="A2916" s="34" t="str">
        <f>base!J2916</f>
        <v>RM</v>
      </c>
      <c r="B2916" s="34" t="str">
        <f>base!V2916</f>
        <v>06560</v>
      </c>
      <c r="C2916" s="37">
        <v>6</v>
      </c>
      <c r="D2916" s="36">
        <f>base!H2916</f>
        <v>151</v>
      </c>
      <c r="E2916" s="44"/>
      <c r="F2916" s="16">
        <f>base!W2916</f>
        <v>0</v>
      </c>
      <c r="G2916" s="11">
        <f t="shared" si="450"/>
        <v>0</v>
      </c>
      <c r="H2916" s="11">
        <f t="shared" si="451"/>
        <v>45.3</v>
      </c>
      <c r="I2916" s="11">
        <f t="shared" si="452"/>
        <v>0.3</v>
      </c>
      <c r="J2916" s="12">
        <f t="shared" si="453"/>
        <v>-45.3</v>
      </c>
      <c r="K2916" s="17" t="str">
        <f t="shared" si="458"/>
        <v>Ecart négatif</v>
      </c>
      <c r="L2916" s="16">
        <f>base!X2916</f>
        <v>0</v>
      </c>
      <c r="M2916" s="11">
        <f t="shared" si="454"/>
        <v>0</v>
      </c>
      <c r="N2916" s="11">
        <f t="shared" si="455"/>
        <v>31.709999999999997</v>
      </c>
      <c r="O2916" s="11">
        <f t="shared" si="456"/>
        <v>0.21</v>
      </c>
      <c r="P2916" s="12">
        <f t="shared" si="457"/>
        <v>-31.709999999999997</v>
      </c>
      <c r="Q2916" s="17" t="str">
        <f t="shared" si="459"/>
        <v>Ecart négatif</v>
      </c>
    </row>
    <row r="2917" spans="1:18" x14ac:dyDescent="0.3">
      <c r="A2917" s="34" t="str">
        <f>base!J2917</f>
        <v>RM</v>
      </c>
      <c r="B2917" s="34" t="str">
        <f>base!V2917</f>
        <v>06560</v>
      </c>
      <c r="C2917" s="37">
        <v>6</v>
      </c>
      <c r="D2917" s="36">
        <f>base!H2917</f>
        <v>151</v>
      </c>
      <c r="E2917" s="44"/>
      <c r="F2917" s="16">
        <f>base!W2917</f>
        <v>0</v>
      </c>
      <c r="G2917" s="11">
        <f t="shared" si="450"/>
        <v>0</v>
      </c>
      <c r="H2917" s="11">
        <f t="shared" si="451"/>
        <v>45.3</v>
      </c>
      <c r="I2917" s="11">
        <f t="shared" si="452"/>
        <v>0.3</v>
      </c>
      <c r="J2917" s="12">
        <f t="shared" si="453"/>
        <v>-45.3</v>
      </c>
      <c r="K2917" s="17" t="str">
        <f t="shared" si="458"/>
        <v>Ecart négatif</v>
      </c>
      <c r="L2917" s="16">
        <f>base!X2917</f>
        <v>0</v>
      </c>
      <c r="M2917" s="11">
        <f t="shared" si="454"/>
        <v>0</v>
      </c>
      <c r="N2917" s="11">
        <f t="shared" si="455"/>
        <v>31.709999999999997</v>
      </c>
      <c r="O2917" s="11">
        <f t="shared" si="456"/>
        <v>0.21</v>
      </c>
      <c r="P2917" s="12">
        <f t="shared" si="457"/>
        <v>-31.709999999999997</v>
      </c>
      <c r="Q2917" s="17" t="str">
        <f t="shared" si="459"/>
        <v>Ecart négatif</v>
      </c>
    </row>
    <row r="2918" spans="1:18" x14ac:dyDescent="0.3">
      <c r="A2918" s="34" t="str">
        <f>base!J2918</f>
        <v>RM</v>
      </c>
      <c r="B2918" s="34" t="str">
        <f>base!V2918</f>
        <v>06560</v>
      </c>
      <c r="C2918" s="37">
        <v>6</v>
      </c>
      <c r="D2918" s="36">
        <f>base!H2918</f>
        <v>151</v>
      </c>
      <c r="E2918" s="44"/>
      <c r="F2918" s="16">
        <f>base!W2918</f>
        <v>0</v>
      </c>
      <c r="G2918" s="11">
        <f t="shared" si="450"/>
        <v>0</v>
      </c>
      <c r="H2918" s="11">
        <f t="shared" si="451"/>
        <v>45.3</v>
      </c>
      <c r="I2918" s="11">
        <f t="shared" si="452"/>
        <v>0.3</v>
      </c>
      <c r="J2918" s="12">
        <f t="shared" si="453"/>
        <v>-45.3</v>
      </c>
      <c r="K2918" s="17" t="str">
        <f t="shared" si="458"/>
        <v>Ecart négatif</v>
      </c>
      <c r="L2918" s="16">
        <f>base!X2918</f>
        <v>0</v>
      </c>
      <c r="M2918" s="11">
        <f t="shared" si="454"/>
        <v>0</v>
      </c>
      <c r="N2918" s="11">
        <f t="shared" si="455"/>
        <v>31.709999999999997</v>
      </c>
      <c r="O2918" s="11">
        <f t="shared" si="456"/>
        <v>0.21</v>
      </c>
      <c r="P2918" s="12">
        <f t="shared" si="457"/>
        <v>-31.709999999999997</v>
      </c>
      <c r="Q2918" s="17" t="str">
        <f t="shared" si="459"/>
        <v>Ecart négatif</v>
      </c>
    </row>
    <row r="2919" spans="1:18" x14ac:dyDescent="0.3">
      <c r="A2919" s="34" t="str">
        <f>base!J2919</f>
        <v>RS</v>
      </c>
      <c r="B2919" s="34" t="str">
        <f>base!V2919</f>
        <v>06800</v>
      </c>
      <c r="C2919" s="37">
        <v>6</v>
      </c>
      <c r="D2919" s="36">
        <f>base!H2919</f>
        <v>90.1</v>
      </c>
      <c r="E2919" s="44"/>
      <c r="F2919" s="16">
        <f>base!W2919</f>
        <v>0</v>
      </c>
      <c r="G2919" s="11">
        <f t="shared" si="450"/>
        <v>0</v>
      </c>
      <c r="H2919" s="11">
        <f t="shared" si="451"/>
        <v>27.029999999999998</v>
      </c>
      <c r="I2919" s="11">
        <f t="shared" si="452"/>
        <v>0.3</v>
      </c>
      <c r="J2919" s="12">
        <f t="shared" si="453"/>
        <v>-27.029999999999998</v>
      </c>
      <c r="K2919" s="17" t="str">
        <f t="shared" si="458"/>
        <v>Ecart négatif</v>
      </c>
      <c r="L2919" s="16">
        <f>base!X2919</f>
        <v>18.920000000000002</v>
      </c>
      <c r="M2919" s="11">
        <f t="shared" si="454"/>
        <v>0.20998890122086575</v>
      </c>
      <c r="N2919" s="11">
        <f t="shared" si="455"/>
        <v>18.920999999999999</v>
      </c>
      <c r="O2919" s="11">
        <f t="shared" si="456"/>
        <v>0.21000000000000002</v>
      </c>
      <c r="P2919" s="12">
        <f t="shared" si="457"/>
        <v>-9.9999999999766942E-4</v>
      </c>
      <c r="Q2919" s="17" t="str">
        <f t="shared" si="459"/>
        <v>Ecart négatif</v>
      </c>
      <c r="R2919" s="38"/>
    </row>
    <row r="2920" spans="1:18" x14ac:dyDescent="0.3">
      <c r="A2920" s="34" t="str">
        <f>base!J2920</f>
        <v>LM</v>
      </c>
      <c r="B2920" s="34" t="str">
        <f>base!V2920</f>
        <v>22600</v>
      </c>
      <c r="C2920" s="37">
        <v>79</v>
      </c>
      <c r="D2920" s="36">
        <f>base!H2920</f>
        <v>49.08</v>
      </c>
      <c r="E2920" s="44"/>
      <c r="F2920" s="16">
        <f>base!W2920</f>
        <v>19.14</v>
      </c>
      <c r="G2920" s="11">
        <f t="shared" si="450"/>
        <v>0.38997555012224944</v>
      </c>
      <c r="H2920" s="11">
        <f t="shared" si="451"/>
        <v>10.306799999999999</v>
      </c>
      <c r="I2920" s="11">
        <f t="shared" si="452"/>
        <v>0.21</v>
      </c>
      <c r="J2920" s="12">
        <f t="shared" si="453"/>
        <v>8.8332000000000015</v>
      </c>
      <c r="K2920" s="17" t="str">
        <f t="shared" si="458"/>
        <v>Ecart positif</v>
      </c>
      <c r="L2920" s="16">
        <f>base!X2920</f>
        <v>0</v>
      </c>
      <c r="M2920" s="11">
        <f t="shared" si="454"/>
        <v>0</v>
      </c>
      <c r="N2920" s="11">
        <f t="shared" si="455"/>
        <v>5.8895999999999997</v>
      </c>
      <c r="O2920" s="11">
        <f t="shared" si="456"/>
        <v>0.12</v>
      </c>
      <c r="P2920" s="12">
        <f t="shared" si="457"/>
        <v>-5.8895999999999997</v>
      </c>
      <c r="Q2920" s="17" t="str">
        <f t="shared" si="459"/>
        <v>Ecart négatif</v>
      </c>
    </row>
    <row r="2921" spans="1:18" x14ac:dyDescent="0.3">
      <c r="A2921" s="34" t="str">
        <f>base!J2921</f>
        <v>LS</v>
      </c>
      <c r="B2921" s="34" t="str">
        <f>base!V2921</f>
        <v>06130</v>
      </c>
      <c r="C2921" s="37">
        <v>86</v>
      </c>
      <c r="D2921" s="36">
        <f>base!H2921</f>
        <v>55.14</v>
      </c>
      <c r="E2921" s="44"/>
      <c r="F2921" s="16">
        <f>base!W2921</f>
        <v>16.54</v>
      </c>
      <c r="G2921" s="11">
        <f t="shared" si="450"/>
        <v>0.29996372869060572</v>
      </c>
      <c r="H2921" s="11">
        <f t="shared" si="451"/>
        <v>11.5794</v>
      </c>
      <c r="I2921" s="11">
        <f t="shared" si="452"/>
        <v>0.21</v>
      </c>
      <c r="J2921" s="12">
        <f t="shared" si="453"/>
        <v>4.9605999999999995</v>
      </c>
      <c r="K2921" s="17" t="str">
        <f t="shared" si="458"/>
        <v>Ecart positif</v>
      </c>
      <c r="L2921" s="16">
        <f>base!X2921</f>
        <v>0</v>
      </c>
      <c r="M2921" s="11">
        <f t="shared" si="454"/>
        <v>0</v>
      </c>
      <c r="N2921" s="11">
        <f t="shared" si="455"/>
        <v>6.6167999999999996</v>
      </c>
      <c r="O2921" s="11">
        <f t="shared" si="456"/>
        <v>0.12</v>
      </c>
      <c r="P2921" s="12">
        <f t="shared" si="457"/>
        <v>-6.6167999999999996</v>
      </c>
      <c r="Q2921" s="17" t="str">
        <f t="shared" si="459"/>
        <v>Ecart négatif</v>
      </c>
    </row>
    <row r="2922" spans="1:18" x14ac:dyDescent="0.3">
      <c r="A2922" s="34" t="str">
        <f>base!J2922</f>
        <v>RM</v>
      </c>
      <c r="B2922" s="34" t="str">
        <f>base!V2922</f>
        <v>30750</v>
      </c>
      <c r="C2922" s="37">
        <v>30</v>
      </c>
      <c r="D2922" s="36">
        <f>base!H2922</f>
        <v>160.97999999999999</v>
      </c>
      <c r="E2922" s="44"/>
      <c r="F2922" s="16">
        <f>base!W2922</f>
        <v>0</v>
      </c>
      <c r="G2922" s="11">
        <f t="shared" si="450"/>
        <v>0</v>
      </c>
      <c r="H2922" s="11">
        <f t="shared" si="451"/>
        <v>62.782199999999996</v>
      </c>
      <c r="I2922" s="11">
        <f t="shared" si="452"/>
        <v>0.39</v>
      </c>
      <c r="J2922" s="12">
        <f t="shared" si="453"/>
        <v>-62.782199999999996</v>
      </c>
      <c r="K2922" s="17" t="str">
        <f t="shared" si="458"/>
        <v>Ecart négatif</v>
      </c>
      <c r="L2922" s="16">
        <f>base!X2922</f>
        <v>45.07</v>
      </c>
      <c r="M2922" s="11">
        <f t="shared" si="454"/>
        <v>0.27997266741210092</v>
      </c>
      <c r="N2922" s="11">
        <f t="shared" si="455"/>
        <v>45.074400000000004</v>
      </c>
      <c r="O2922" s="11">
        <f t="shared" si="456"/>
        <v>0.28000000000000003</v>
      </c>
      <c r="P2922" s="12">
        <f t="shared" si="457"/>
        <v>-4.4000000000039563E-3</v>
      </c>
      <c r="Q2922" s="17" t="str">
        <f t="shared" si="459"/>
        <v>Ecart négatif</v>
      </c>
      <c r="R2922" s="38"/>
    </row>
    <row r="2923" spans="1:18" x14ac:dyDescent="0.3">
      <c r="A2923" s="34" t="str">
        <f>base!J2923</f>
        <v>RS</v>
      </c>
      <c r="B2923" s="34" t="str">
        <f>base!V2923</f>
        <v>94853</v>
      </c>
      <c r="C2923" s="37">
        <v>94</v>
      </c>
      <c r="D2923" s="36">
        <f>base!H2923</f>
        <v>30</v>
      </c>
      <c r="E2923" s="44"/>
      <c r="F2923" s="16">
        <f>base!W2923</f>
        <v>0</v>
      </c>
      <c r="G2923" s="11">
        <f t="shared" si="450"/>
        <v>0</v>
      </c>
      <c r="H2923" s="11">
        <f t="shared" si="451"/>
        <v>0</v>
      </c>
      <c r="I2923" s="11">
        <f t="shared" si="452"/>
        <v>0</v>
      </c>
      <c r="J2923" s="12">
        <f t="shared" si="453"/>
        <v>0</v>
      </c>
      <c r="K2923" s="17" t="str">
        <f t="shared" si="458"/>
        <v>Pas d'écart</v>
      </c>
      <c r="L2923" s="16">
        <f>base!X2923</f>
        <v>0</v>
      </c>
      <c r="M2923" s="11">
        <f t="shared" si="454"/>
        <v>0</v>
      </c>
      <c r="N2923" s="11">
        <f t="shared" si="455"/>
        <v>0</v>
      </c>
      <c r="O2923" s="11">
        <f t="shared" si="456"/>
        <v>0</v>
      </c>
      <c r="P2923" s="12">
        <f t="shared" si="457"/>
        <v>0</v>
      </c>
      <c r="Q2923" s="17" t="str">
        <f t="shared" si="459"/>
        <v>Pas d'écart</v>
      </c>
    </row>
    <row r="2924" spans="1:18" x14ac:dyDescent="0.3">
      <c r="A2924" s="34">
        <f>base!J2924</f>
        <v>0</v>
      </c>
      <c r="B2924" s="34" t="str">
        <f>base!V2924</f>
        <v>77184</v>
      </c>
      <c r="C2924" s="37">
        <v>77</v>
      </c>
      <c r="D2924" s="36">
        <f>base!H2924</f>
        <v>129.06</v>
      </c>
      <c r="E2924" s="44"/>
      <c r="F2924" s="16">
        <f>base!W2924</f>
        <v>0</v>
      </c>
      <c r="G2924" s="11">
        <f t="shared" si="450"/>
        <v>0</v>
      </c>
      <c r="H2924" s="11">
        <f t="shared" si="451"/>
        <v>0</v>
      </c>
      <c r="I2924" s="11">
        <f t="shared" si="452"/>
        <v>0</v>
      </c>
      <c r="J2924" s="12">
        <f t="shared" si="453"/>
        <v>0</v>
      </c>
      <c r="K2924" s="17" t="str">
        <f t="shared" si="458"/>
        <v>Pas d'écart</v>
      </c>
      <c r="L2924" s="16">
        <f>base!X2924</f>
        <v>0</v>
      </c>
      <c r="M2924" s="11">
        <f t="shared" si="454"/>
        <v>0</v>
      </c>
      <c r="N2924" s="11">
        <f t="shared" si="455"/>
        <v>0</v>
      </c>
      <c r="O2924" s="11">
        <f t="shared" si="456"/>
        <v>0</v>
      </c>
      <c r="P2924" s="12">
        <f t="shared" si="457"/>
        <v>0</v>
      </c>
      <c r="Q2924" s="17" t="str">
        <f t="shared" si="459"/>
        <v>Pas d'écart</v>
      </c>
    </row>
    <row r="2925" spans="1:18" x14ac:dyDescent="0.3">
      <c r="A2925" s="34" t="str">
        <f>base!J2925</f>
        <v>RS</v>
      </c>
      <c r="B2925" s="34" t="str">
        <f>base!V2925</f>
        <v>75003</v>
      </c>
      <c r="C2925" s="37">
        <v>75</v>
      </c>
      <c r="D2925" s="36">
        <f>base!H2925</f>
        <v>201.98</v>
      </c>
      <c r="E2925" s="44"/>
      <c r="F2925" s="16">
        <f>base!W2925</f>
        <v>0</v>
      </c>
      <c r="G2925" s="11">
        <f t="shared" si="450"/>
        <v>0</v>
      </c>
      <c r="H2925" s="11">
        <f t="shared" si="451"/>
        <v>0</v>
      </c>
      <c r="I2925" s="11">
        <f t="shared" si="452"/>
        <v>0</v>
      </c>
      <c r="J2925" s="12">
        <f t="shared" si="453"/>
        <v>0</v>
      </c>
      <c r="K2925" s="17" t="str">
        <f t="shared" si="458"/>
        <v>Pas d'écart</v>
      </c>
      <c r="L2925" s="16">
        <f>base!X2925</f>
        <v>0</v>
      </c>
      <c r="M2925" s="11">
        <f t="shared" si="454"/>
        <v>0</v>
      </c>
      <c r="N2925" s="11">
        <f t="shared" si="455"/>
        <v>0</v>
      </c>
      <c r="O2925" s="11">
        <f t="shared" si="456"/>
        <v>0</v>
      </c>
      <c r="P2925" s="12">
        <f t="shared" si="457"/>
        <v>0</v>
      </c>
      <c r="Q2925" s="17" t="str">
        <f t="shared" si="459"/>
        <v>Pas d'écart</v>
      </c>
    </row>
    <row r="2926" spans="1:18" x14ac:dyDescent="0.3">
      <c r="A2926" s="34" t="str">
        <f>base!J2926</f>
        <v>DLM</v>
      </c>
      <c r="B2926" s="34" t="str">
        <f>base!V2926</f>
        <v>63100</v>
      </c>
      <c r="C2926" s="37">
        <v>63</v>
      </c>
      <c r="D2926" s="36">
        <f>base!H2926</f>
        <v>114.52</v>
      </c>
      <c r="E2926" s="44"/>
      <c r="F2926" s="16">
        <f>base!W2926</f>
        <v>0</v>
      </c>
      <c r="G2926" s="11">
        <f t="shared" si="450"/>
        <v>0</v>
      </c>
      <c r="H2926" s="11">
        <f t="shared" si="451"/>
        <v>33.210799999999999</v>
      </c>
      <c r="I2926" s="11">
        <f t="shared" si="452"/>
        <v>0.28999999999999998</v>
      </c>
      <c r="J2926" s="12">
        <f t="shared" si="453"/>
        <v>-33.210799999999999</v>
      </c>
      <c r="K2926" s="17" t="str">
        <f t="shared" si="458"/>
        <v>Ecart négatif</v>
      </c>
      <c r="L2926" s="16">
        <f>base!X2926</f>
        <v>0</v>
      </c>
      <c r="M2926" s="11">
        <f t="shared" si="454"/>
        <v>0</v>
      </c>
      <c r="N2926" s="11">
        <f t="shared" si="455"/>
        <v>13.742399999999998</v>
      </c>
      <c r="O2926" s="11">
        <f t="shared" si="456"/>
        <v>0.11999999999999998</v>
      </c>
      <c r="P2926" s="12">
        <f t="shared" si="457"/>
        <v>-13.742399999999998</v>
      </c>
      <c r="Q2926" s="17" t="str">
        <f t="shared" si="459"/>
        <v>Ecart négatif</v>
      </c>
    </row>
    <row r="2927" spans="1:18" x14ac:dyDescent="0.3">
      <c r="A2927" s="34" t="str">
        <f>base!J2927</f>
        <v>RM</v>
      </c>
      <c r="B2927" s="34" t="str">
        <f>base!V2927</f>
        <v>13115</v>
      </c>
      <c r="C2927" s="37">
        <v>13</v>
      </c>
      <c r="D2927" s="36">
        <f>base!H2927</f>
        <v>137.05000000000001</v>
      </c>
      <c r="E2927" s="44"/>
      <c r="F2927" s="16">
        <f>base!W2927</f>
        <v>0</v>
      </c>
      <c r="G2927" s="11">
        <f t="shared" si="450"/>
        <v>0</v>
      </c>
      <c r="H2927" s="11">
        <f t="shared" si="451"/>
        <v>39.744500000000002</v>
      </c>
      <c r="I2927" s="11">
        <f t="shared" si="452"/>
        <v>0.28999999999999998</v>
      </c>
      <c r="J2927" s="12">
        <f t="shared" si="453"/>
        <v>-39.744500000000002</v>
      </c>
      <c r="K2927" s="17" t="str">
        <f t="shared" si="458"/>
        <v>Ecart négatif</v>
      </c>
      <c r="L2927" s="16">
        <f>base!X2927</f>
        <v>26.04</v>
      </c>
      <c r="M2927" s="11">
        <f t="shared" si="454"/>
        <v>0.19000364830353883</v>
      </c>
      <c r="N2927" s="11">
        <f t="shared" si="455"/>
        <v>26.039500000000004</v>
      </c>
      <c r="O2927" s="11">
        <f t="shared" si="456"/>
        <v>0.19</v>
      </c>
      <c r="P2927" s="12">
        <f t="shared" si="457"/>
        <v>4.99999999995282E-4</v>
      </c>
      <c r="Q2927" s="17" t="str">
        <f t="shared" si="459"/>
        <v>Ecart positif</v>
      </c>
      <c r="R2927" s="38"/>
    </row>
    <row r="2928" spans="1:18" x14ac:dyDescent="0.3">
      <c r="A2928" s="34" t="str">
        <f>base!J2928</f>
        <v>RM</v>
      </c>
      <c r="B2928" s="34" t="str">
        <f>base!V2928</f>
        <v>13115</v>
      </c>
      <c r="C2928" s="37">
        <v>13</v>
      </c>
      <c r="D2928" s="36">
        <f>base!H2928</f>
        <v>137.05000000000001</v>
      </c>
      <c r="E2928" s="44"/>
      <c r="F2928" s="16">
        <f>base!W2928</f>
        <v>0</v>
      </c>
      <c r="G2928" s="11">
        <f t="shared" si="450"/>
        <v>0</v>
      </c>
      <c r="H2928" s="11">
        <f t="shared" si="451"/>
        <v>39.744500000000002</v>
      </c>
      <c r="I2928" s="11">
        <f t="shared" si="452"/>
        <v>0.28999999999999998</v>
      </c>
      <c r="J2928" s="12">
        <f t="shared" si="453"/>
        <v>-39.744500000000002</v>
      </c>
      <c r="K2928" s="17" t="str">
        <f t="shared" si="458"/>
        <v>Ecart négatif</v>
      </c>
      <c r="L2928" s="16">
        <f>base!X2928</f>
        <v>26.04</v>
      </c>
      <c r="M2928" s="11">
        <f t="shared" si="454"/>
        <v>0.19000364830353883</v>
      </c>
      <c r="N2928" s="11">
        <f t="shared" si="455"/>
        <v>26.039500000000004</v>
      </c>
      <c r="O2928" s="11">
        <f t="shared" si="456"/>
        <v>0.19</v>
      </c>
      <c r="P2928" s="12">
        <f t="shared" si="457"/>
        <v>4.99999999995282E-4</v>
      </c>
      <c r="Q2928" s="17" t="str">
        <f t="shared" si="459"/>
        <v>Ecart positif</v>
      </c>
      <c r="R2928" s="38"/>
    </row>
    <row r="2929" spans="1:18" x14ac:dyDescent="0.3">
      <c r="A2929" s="34" t="str">
        <f>base!J2929</f>
        <v>RM</v>
      </c>
      <c r="B2929" s="34" t="str">
        <f>base!V2929</f>
        <v>13115</v>
      </c>
      <c r="C2929" s="37">
        <v>13</v>
      </c>
      <c r="D2929" s="36">
        <f>base!H2929</f>
        <v>137.05000000000001</v>
      </c>
      <c r="E2929" s="44"/>
      <c r="F2929" s="16">
        <f>base!W2929</f>
        <v>0</v>
      </c>
      <c r="G2929" s="11">
        <f t="shared" si="450"/>
        <v>0</v>
      </c>
      <c r="H2929" s="11">
        <f t="shared" si="451"/>
        <v>39.744500000000002</v>
      </c>
      <c r="I2929" s="11">
        <f t="shared" si="452"/>
        <v>0.28999999999999998</v>
      </c>
      <c r="J2929" s="12">
        <f t="shared" si="453"/>
        <v>-39.744500000000002</v>
      </c>
      <c r="K2929" s="17" t="str">
        <f t="shared" si="458"/>
        <v>Ecart négatif</v>
      </c>
      <c r="L2929" s="16">
        <f>base!X2929</f>
        <v>26.04</v>
      </c>
      <c r="M2929" s="11">
        <f t="shared" si="454"/>
        <v>0.19000364830353883</v>
      </c>
      <c r="N2929" s="11">
        <f t="shared" si="455"/>
        <v>26.039500000000004</v>
      </c>
      <c r="O2929" s="11">
        <f t="shared" si="456"/>
        <v>0.19</v>
      </c>
      <c r="P2929" s="12">
        <f t="shared" si="457"/>
        <v>4.99999999995282E-4</v>
      </c>
      <c r="Q2929" s="17" t="str">
        <f t="shared" si="459"/>
        <v>Ecart positif</v>
      </c>
      <c r="R2929" s="38"/>
    </row>
    <row r="2930" spans="1:18" x14ac:dyDescent="0.3">
      <c r="A2930" s="34" t="str">
        <f>base!J2930</f>
        <v>RM</v>
      </c>
      <c r="B2930" s="34" t="str">
        <f>base!V2930</f>
        <v>42160</v>
      </c>
      <c r="C2930" s="37">
        <v>42</v>
      </c>
      <c r="D2930" s="36">
        <f>base!H2930</f>
        <v>95.02</v>
      </c>
      <c r="E2930" s="44"/>
      <c r="F2930" s="16">
        <f>base!W2930</f>
        <v>0</v>
      </c>
      <c r="G2930" s="11">
        <f t="shared" si="450"/>
        <v>0</v>
      </c>
      <c r="H2930" s="11">
        <f t="shared" si="451"/>
        <v>24.705200000000001</v>
      </c>
      <c r="I2930" s="11">
        <f t="shared" si="452"/>
        <v>0.26</v>
      </c>
      <c r="J2930" s="12">
        <f t="shared" si="453"/>
        <v>-24.705200000000001</v>
      </c>
      <c r="K2930" s="17" t="str">
        <f t="shared" si="458"/>
        <v>Ecart négatif</v>
      </c>
      <c r="L2930" s="16">
        <f>base!X2930</f>
        <v>0</v>
      </c>
      <c r="M2930" s="11">
        <f t="shared" si="454"/>
        <v>0</v>
      </c>
      <c r="N2930" s="11">
        <f t="shared" si="455"/>
        <v>0</v>
      </c>
      <c r="O2930" s="11">
        <f t="shared" si="456"/>
        <v>0</v>
      </c>
      <c r="P2930" s="12">
        <f t="shared" si="457"/>
        <v>0</v>
      </c>
      <c r="Q2930" s="17" t="str">
        <f t="shared" si="459"/>
        <v>Pas d'écart</v>
      </c>
    </row>
    <row r="2931" spans="1:18" x14ac:dyDescent="0.3">
      <c r="A2931" s="34" t="str">
        <f>base!J2931</f>
        <v>RM</v>
      </c>
      <c r="B2931" s="34" t="str">
        <f>base!V2931</f>
        <v>38490</v>
      </c>
      <c r="C2931" s="37">
        <v>38</v>
      </c>
      <c r="D2931" s="36">
        <f>base!H2931</f>
        <v>40</v>
      </c>
      <c r="E2931" s="44"/>
      <c r="F2931" s="16">
        <f>base!W2931</f>
        <v>0</v>
      </c>
      <c r="G2931" s="11">
        <f t="shared" si="450"/>
        <v>0</v>
      </c>
      <c r="H2931" s="11">
        <f t="shared" si="451"/>
        <v>10.8</v>
      </c>
      <c r="I2931" s="11">
        <f t="shared" si="452"/>
        <v>0.27</v>
      </c>
      <c r="J2931" s="12">
        <f t="shared" si="453"/>
        <v>-10.8</v>
      </c>
      <c r="K2931" s="17" t="str">
        <f t="shared" si="458"/>
        <v>Ecart négatif</v>
      </c>
      <c r="L2931" s="16">
        <f>base!X2931</f>
        <v>0</v>
      </c>
      <c r="M2931" s="11">
        <f t="shared" si="454"/>
        <v>0</v>
      </c>
      <c r="N2931" s="11">
        <f t="shared" si="455"/>
        <v>0</v>
      </c>
      <c r="O2931" s="11">
        <f t="shared" si="456"/>
        <v>0</v>
      </c>
      <c r="P2931" s="12">
        <f t="shared" si="457"/>
        <v>0</v>
      </c>
      <c r="Q2931" s="17" t="str">
        <f t="shared" si="459"/>
        <v>Pas d'écart</v>
      </c>
    </row>
    <row r="2932" spans="1:18" x14ac:dyDescent="0.3">
      <c r="A2932" s="34" t="str">
        <f>base!J2932</f>
        <v>LS</v>
      </c>
      <c r="B2932" s="34" t="str">
        <f>base!V2932</f>
        <v>75012</v>
      </c>
      <c r="C2932" s="37">
        <v>75</v>
      </c>
      <c r="D2932" s="36">
        <f>base!H2932</f>
        <v>59.68</v>
      </c>
      <c r="E2932" s="44"/>
      <c r="F2932" s="16">
        <f>base!W2932</f>
        <v>0</v>
      </c>
      <c r="G2932" s="11">
        <f t="shared" si="450"/>
        <v>0</v>
      </c>
      <c r="H2932" s="11">
        <f t="shared" si="451"/>
        <v>0</v>
      </c>
      <c r="I2932" s="11">
        <f t="shared" si="452"/>
        <v>0</v>
      </c>
      <c r="J2932" s="12">
        <f t="shared" si="453"/>
        <v>0</v>
      </c>
      <c r="K2932" s="17" t="str">
        <f t="shared" si="458"/>
        <v>Pas d'écart</v>
      </c>
      <c r="L2932" s="16">
        <f>base!X2932</f>
        <v>0</v>
      </c>
      <c r="M2932" s="11">
        <f t="shared" si="454"/>
        <v>0</v>
      </c>
      <c r="N2932" s="11">
        <f t="shared" si="455"/>
        <v>0</v>
      </c>
      <c r="O2932" s="11">
        <f t="shared" si="456"/>
        <v>0</v>
      </c>
      <c r="P2932" s="12">
        <f t="shared" si="457"/>
        <v>0</v>
      </c>
      <c r="Q2932" s="17" t="str">
        <f t="shared" si="459"/>
        <v>Pas d'écart</v>
      </c>
    </row>
    <row r="2933" spans="1:18" x14ac:dyDescent="0.3">
      <c r="A2933" s="34" t="str">
        <f>base!J2933</f>
        <v>RS</v>
      </c>
      <c r="B2933" s="34" t="str">
        <f>base!V2933</f>
        <v>77370</v>
      </c>
      <c r="C2933" s="37">
        <v>77</v>
      </c>
      <c r="D2933" s="36">
        <f>base!H2933</f>
        <v>40</v>
      </c>
      <c r="E2933" s="44"/>
      <c r="F2933" s="16">
        <f>base!W2933</f>
        <v>0</v>
      </c>
      <c r="G2933" s="11">
        <f t="shared" si="450"/>
        <v>0</v>
      </c>
      <c r="H2933" s="11">
        <f t="shared" si="451"/>
        <v>0</v>
      </c>
      <c r="I2933" s="11">
        <f t="shared" si="452"/>
        <v>0</v>
      </c>
      <c r="J2933" s="12">
        <f t="shared" si="453"/>
        <v>0</v>
      </c>
      <c r="K2933" s="17" t="str">
        <f t="shared" si="458"/>
        <v>Pas d'écart</v>
      </c>
      <c r="L2933" s="16">
        <f>base!X2933</f>
        <v>0</v>
      </c>
      <c r="M2933" s="11">
        <f t="shared" si="454"/>
        <v>0</v>
      </c>
      <c r="N2933" s="11">
        <f t="shared" si="455"/>
        <v>0</v>
      </c>
      <c r="O2933" s="11">
        <f t="shared" si="456"/>
        <v>0</v>
      </c>
      <c r="P2933" s="12">
        <f t="shared" si="457"/>
        <v>0</v>
      </c>
      <c r="Q2933" s="17" t="str">
        <f t="shared" si="459"/>
        <v>Pas d'écart</v>
      </c>
    </row>
    <row r="2934" spans="1:18" x14ac:dyDescent="0.3">
      <c r="A2934" s="34" t="str">
        <f>base!J2934</f>
        <v>LS</v>
      </c>
      <c r="B2934" s="34" t="str">
        <f>base!V2934</f>
        <v>57690</v>
      </c>
      <c r="C2934" s="37">
        <v>86</v>
      </c>
      <c r="D2934" s="36">
        <f>base!H2934</f>
        <v>16</v>
      </c>
      <c r="E2934" s="44"/>
      <c r="F2934" s="16">
        <f>base!W2934</f>
        <v>4</v>
      </c>
      <c r="G2934" s="11">
        <f t="shared" si="450"/>
        <v>0.25</v>
      </c>
      <c r="H2934" s="11">
        <f t="shared" si="451"/>
        <v>3.36</v>
      </c>
      <c r="I2934" s="11">
        <f t="shared" si="452"/>
        <v>0.21</v>
      </c>
      <c r="J2934" s="12">
        <f t="shared" si="453"/>
        <v>0.64000000000000012</v>
      </c>
      <c r="K2934" s="17" t="str">
        <f t="shared" si="458"/>
        <v>Ecart positif</v>
      </c>
      <c r="L2934" s="16">
        <f>base!X2934</f>
        <v>0</v>
      </c>
      <c r="M2934" s="11">
        <f t="shared" si="454"/>
        <v>0</v>
      </c>
      <c r="N2934" s="11">
        <f t="shared" si="455"/>
        <v>1.92</v>
      </c>
      <c r="O2934" s="11">
        <f t="shared" si="456"/>
        <v>0.12</v>
      </c>
      <c r="P2934" s="12">
        <f t="shared" si="457"/>
        <v>-1.92</v>
      </c>
      <c r="Q2934" s="17" t="str">
        <f t="shared" si="459"/>
        <v>Ecart négatif</v>
      </c>
    </row>
    <row r="2935" spans="1:18" x14ac:dyDescent="0.3">
      <c r="A2935" s="34" t="str">
        <f>base!J2935</f>
        <v>LM</v>
      </c>
      <c r="B2935" s="34" t="str">
        <f>base!V2935</f>
        <v>56920</v>
      </c>
      <c r="C2935" s="37">
        <v>72</v>
      </c>
      <c r="D2935" s="36">
        <f>base!H2935</f>
        <v>49.08</v>
      </c>
      <c r="E2935" s="44"/>
      <c r="F2935" s="16">
        <f>base!W2935</f>
        <v>13.25</v>
      </c>
      <c r="G2935" s="11">
        <f t="shared" si="450"/>
        <v>0.26996740016299919</v>
      </c>
      <c r="H2935" s="11">
        <f t="shared" si="451"/>
        <v>10.306799999999999</v>
      </c>
      <c r="I2935" s="11">
        <f t="shared" si="452"/>
        <v>0.21</v>
      </c>
      <c r="J2935" s="12">
        <f t="shared" si="453"/>
        <v>2.9432000000000009</v>
      </c>
      <c r="K2935" s="17" t="str">
        <f t="shared" si="458"/>
        <v>Ecart positif</v>
      </c>
      <c r="L2935" s="16">
        <f>base!X2935</f>
        <v>0</v>
      </c>
      <c r="M2935" s="11">
        <f t="shared" si="454"/>
        <v>0</v>
      </c>
      <c r="N2935" s="11">
        <f t="shared" si="455"/>
        <v>5.8895999999999997</v>
      </c>
      <c r="O2935" s="11">
        <f t="shared" si="456"/>
        <v>0.12</v>
      </c>
      <c r="P2935" s="12">
        <f t="shared" si="457"/>
        <v>-5.8895999999999997</v>
      </c>
      <c r="Q2935" s="17" t="str">
        <f t="shared" si="459"/>
        <v>Ecart négatif</v>
      </c>
    </row>
    <row r="2936" spans="1:18" x14ac:dyDescent="0.3">
      <c r="A2936" s="34" t="str">
        <f>base!J2936</f>
        <v>RM</v>
      </c>
      <c r="B2936" s="34" t="str">
        <f>base!V2936</f>
        <v>75013</v>
      </c>
      <c r="C2936" s="37">
        <v>75</v>
      </c>
      <c r="D2936" s="36">
        <f>base!H2936</f>
        <v>151</v>
      </c>
      <c r="E2936" s="44"/>
      <c r="F2936" s="16">
        <f>base!W2936</f>
        <v>0</v>
      </c>
      <c r="G2936" s="11">
        <f t="shared" si="450"/>
        <v>0</v>
      </c>
      <c r="H2936" s="11">
        <f t="shared" si="451"/>
        <v>0</v>
      </c>
      <c r="I2936" s="11">
        <f t="shared" si="452"/>
        <v>0</v>
      </c>
      <c r="J2936" s="12">
        <f t="shared" si="453"/>
        <v>0</v>
      </c>
      <c r="K2936" s="17" t="str">
        <f t="shared" si="458"/>
        <v>Pas d'écart</v>
      </c>
      <c r="L2936" s="16">
        <f>base!X2936</f>
        <v>0</v>
      </c>
      <c r="M2936" s="11">
        <f t="shared" si="454"/>
        <v>0</v>
      </c>
      <c r="N2936" s="11">
        <f t="shared" si="455"/>
        <v>0</v>
      </c>
      <c r="O2936" s="11">
        <f t="shared" si="456"/>
        <v>0</v>
      </c>
      <c r="P2936" s="12">
        <f t="shared" si="457"/>
        <v>0</v>
      </c>
      <c r="Q2936" s="17" t="str">
        <f t="shared" si="459"/>
        <v>Pas d'écart</v>
      </c>
    </row>
    <row r="2937" spans="1:18" x14ac:dyDescent="0.3">
      <c r="A2937" s="34" t="str">
        <f>base!J2937</f>
        <v>LM</v>
      </c>
      <c r="B2937" s="34" t="str">
        <f>base!V2937</f>
        <v>13008</v>
      </c>
      <c r="C2937" s="37">
        <v>72</v>
      </c>
      <c r="D2937" s="36">
        <f>base!H2937</f>
        <v>267.95999999999998</v>
      </c>
      <c r="E2937" s="44"/>
      <c r="F2937" s="16">
        <f>base!W2937</f>
        <v>77.709999999999994</v>
      </c>
      <c r="G2937" s="11">
        <f t="shared" si="450"/>
        <v>0.29000597104045378</v>
      </c>
      <c r="H2937" s="11">
        <f t="shared" si="451"/>
        <v>56.271599999999992</v>
      </c>
      <c r="I2937" s="11">
        <f t="shared" si="452"/>
        <v>0.21</v>
      </c>
      <c r="J2937" s="12">
        <f t="shared" si="453"/>
        <v>21.438400000000001</v>
      </c>
      <c r="K2937" s="17" t="str">
        <f t="shared" si="458"/>
        <v>Ecart positif</v>
      </c>
      <c r="L2937" s="16">
        <f>base!X2937</f>
        <v>0</v>
      </c>
      <c r="M2937" s="11">
        <f t="shared" si="454"/>
        <v>0</v>
      </c>
      <c r="N2937" s="11">
        <f t="shared" si="455"/>
        <v>32.155199999999994</v>
      </c>
      <c r="O2937" s="11">
        <f t="shared" si="456"/>
        <v>0.11999999999999998</v>
      </c>
      <c r="P2937" s="12">
        <f t="shared" si="457"/>
        <v>-32.155199999999994</v>
      </c>
      <c r="Q2937" s="17" t="str">
        <f t="shared" si="459"/>
        <v>Ecart négatif</v>
      </c>
    </row>
    <row r="2938" spans="1:18" x14ac:dyDescent="0.3">
      <c r="A2938" s="34">
        <f>base!J2938</f>
        <v>0</v>
      </c>
      <c r="B2938" s="34" t="str">
        <f>base!V2938</f>
        <v>77184</v>
      </c>
      <c r="C2938" s="37">
        <v>77</v>
      </c>
      <c r="D2938" s="36">
        <f>base!H2938</f>
        <v>156.05000000000001</v>
      </c>
      <c r="E2938" s="44"/>
      <c r="F2938" s="16">
        <f>base!W2938</f>
        <v>0</v>
      </c>
      <c r="G2938" s="11">
        <f t="shared" si="450"/>
        <v>0</v>
      </c>
      <c r="H2938" s="11">
        <f t="shared" si="451"/>
        <v>0</v>
      </c>
      <c r="I2938" s="11">
        <f t="shared" si="452"/>
        <v>0</v>
      </c>
      <c r="J2938" s="12">
        <f t="shared" si="453"/>
        <v>0</v>
      </c>
      <c r="K2938" s="17" t="str">
        <f t="shared" si="458"/>
        <v>Pas d'écart</v>
      </c>
      <c r="L2938" s="16">
        <f>base!X2938</f>
        <v>0</v>
      </c>
      <c r="M2938" s="11">
        <f t="shared" si="454"/>
        <v>0</v>
      </c>
      <c r="N2938" s="11">
        <f t="shared" si="455"/>
        <v>0</v>
      </c>
      <c r="O2938" s="11">
        <f t="shared" si="456"/>
        <v>0</v>
      </c>
      <c r="P2938" s="12">
        <f t="shared" si="457"/>
        <v>0</v>
      </c>
      <c r="Q2938" s="17" t="str">
        <f t="shared" si="459"/>
        <v>Pas d'écart</v>
      </c>
    </row>
    <row r="2939" spans="1:18" x14ac:dyDescent="0.3">
      <c r="A2939" s="34">
        <f>base!J2939</f>
        <v>0</v>
      </c>
      <c r="B2939" s="34" t="str">
        <f>base!V2939</f>
        <v>77184</v>
      </c>
      <c r="C2939" s="37">
        <v>77</v>
      </c>
      <c r="D2939" s="36">
        <f>base!H2939</f>
        <v>90</v>
      </c>
      <c r="E2939" s="44"/>
      <c r="F2939" s="16">
        <f>base!W2939</f>
        <v>0</v>
      </c>
      <c r="G2939" s="11">
        <f t="shared" si="450"/>
        <v>0</v>
      </c>
      <c r="H2939" s="11">
        <f t="shared" si="451"/>
        <v>0</v>
      </c>
      <c r="I2939" s="11">
        <f t="shared" si="452"/>
        <v>0</v>
      </c>
      <c r="J2939" s="12">
        <f t="shared" si="453"/>
        <v>0</v>
      </c>
      <c r="K2939" s="17" t="str">
        <f t="shared" si="458"/>
        <v>Pas d'écart</v>
      </c>
      <c r="L2939" s="16">
        <f>base!X2939</f>
        <v>0</v>
      </c>
      <c r="M2939" s="11">
        <f t="shared" si="454"/>
        <v>0</v>
      </c>
      <c r="N2939" s="11">
        <f t="shared" si="455"/>
        <v>0</v>
      </c>
      <c r="O2939" s="11">
        <f t="shared" si="456"/>
        <v>0</v>
      </c>
      <c r="P2939" s="12">
        <f t="shared" si="457"/>
        <v>0</v>
      </c>
      <c r="Q2939" s="17" t="str">
        <f t="shared" si="459"/>
        <v>Pas d'écart</v>
      </c>
    </row>
    <row r="2940" spans="1:18" x14ac:dyDescent="0.3">
      <c r="A2940" s="34" t="str">
        <f>base!J2940</f>
        <v>RM</v>
      </c>
      <c r="B2940" s="34" t="str">
        <f>base!V2940</f>
        <v>62600</v>
      </c>
      <c r="C2940" s="37">
        <v>62</v>
      </c>
      <c r="D2940" s="36">
        <f>base!H2940</f>
        <v>137.80000000000001</v>
      </c>
      <c r="E2940" s="44"/>
      <c r="F2940" s="16">
        <f>base!W2940</f>
        <v>0</v>
      </c>
      <c r="G2940" s="11">
        <f t="shared" si="450"/>
        <v>0</v>
      </c>
      <c r="H2940" s="11">
        <f t="shared" si="451"/>
        <v>26.182000000000002</v>
      </c>
      <c r="I2940" s="11">
        <f t="shared" si="452"/>
        <v>0.19</v>
      </c>
      <c r="J2940" s="12">
        <f t="shared" si="453"/>
        <v>-26.182000000000002</v>
      </c>
      <c r="K2940" s="17" t="str">
        <f t="shared" si="458"/>
        <v>Ecart négatif</v>
      </c>
      <c r="L2940" s="16">
        <f>base!X2940</f>
        <v>0</v>
      </c>
      <c r="M2940" s="11">
        <f t="shared" si="454"/>
        <v>0</v>
      </c>
      <c r="N2940" s="11">
        <f t="shared" si="455"/>
        <v>0</v>
      </c>
      <c r="O2940" s="11">
        <f t="shared" si="456"/>
        <v>0</v>
      </c>
      <c r="P2940" s="12">
        <f t="shared" si="457"/>
        <v>0</v>
      </c>
      <c r="Q2940" s="17" t="str">
        <f t="shared" si="459"/>
        <v>Pas d'écart</v>
      </c>
    </row>
    <row r="2941" spans="1:18" x14ac:dyDescent="0.3">
      <c r="A2941" s="34" t="str">
        <f>base!J2941</f>
        <v>RM</v>
      </c>
      <c r="B2941" s="34" t="str">
        <f>base!V2941</f>
        <v>62600</v>
      </c>
      <c r="C2941" s="37">
        <v>62</v>
      </c>
      <c r="D2941" s="36">
        <f>base!H2941</f>
        <v>140</v>
      </c>
      <c r="E2941" s="44"/>
      <c r="F2941" s="16">
        <f>base!W2941</f>
        <v>0</v>
      </c>
      <c r="G2941" s="11">
        <f t="shared" si="450"/>
        <v>0</v>
      </c>
      <c r="H2941" s="11">
        <f t="shared" si="451"/>
        <v>26.6</v>
      </c>
      <c r="I2941" s="11">
        <f t="shared" si="452"/>
        <v>0.19</v>
      </c>
      <c r="J2941" s="12">
        <f t="shared" si="453"/>
        <v>-26.6</v>
      </c>
      <c r="K2941" s="17" t="str">
        <f t="shared" si="458"/>
        <v>Ecart négatif</v>
      </c>
      <c r="L2941" s="16">
        <f>base!X2941</f>
        <v>0</v>
      </c>
      <c r="M2941" s="11">
        <f t="shared" si="454"/>
        <v>0</v>
      </c>
      <c r="N2941" s="11">
        <f t="shared" si="455"/>
        <v>0</v>
      </c>
      <c r="O2941" s="11">
        <f t="shared" si="456"/>
        <v>0</v>
      </c>
      <c r="P2941" s="12">
        <f t="shared" si="457"/>
        <v>0</v>
      </c>
      <c r="Q2941" s="17" t="str">
        <f t="shared" si="459"/>
        <v>Pas d'écart</v>
      </c>
    </row>
    <row r="2942" spans="1:18" x14ac:dyDescent="0.3">
      <c r="A2942" s="34" t="str">
        <f>base!J2942</f>
        <v>RS</v>
      </c>
      <c r="B2942" s="34" t="str">
        <f>base!V2942</f>
        <v>35000</v>
      </c>
      <c r="C2942" s="37">
        <v>35</v>
      </c>
      <c r="D2942" s="36">
        <f>base!H2942</f>
        <v>139.57</v>
      </c>
      <c r="E2942" s="44"/>
      <c r="F2942" s="16">
        <f>base!W2942</f>
        <v>0</v>
      </c>
      <c r="G2942" s="11">
        <f t="shared" si="450"/>
        <v>0</v>
      </c>
      <c r="H2942" s="11">
        <f t="shared" si="451"/>
        <v>37.683900000000001</v>
      </c>
      <c r="I2942" s="11">
        <f t="shared" si="452"/>
        <v>0.27</v>
      </c>
      <c r="J2942" s="12">
        <f t="shared" si="453"/>
        <v>-37.683900000000001</v>
      </c>
      <c r="K2942" s="17" t="str">
        <f t="shared" si="458"/>
        <v>Ecart négatif</v>
      </c>
      <c r="L2942" s="16">
        <f>base!X2942</f>
        <v>37.68</v>
      </c>
      <c r="M2942" s="11">
        <f t="shared" si="454"/>
        <v>0.26997205703231353</v>
      </c>
      <c r="N2942" s="11">
        <f t="shared" si="455"/>
        <v>0</v>
      </c>
      <c r="O2942" s="11">
        <f t="shared" si="456"/>
        <v>0</v>
      </c>
      <c r="P2942" s="12">
        <f t="shared" si="457"/>
        <v>37.68</v>
      </c>
      <c r="Q2942" s="17" t="str">
        <f t="shared" si="459"/>
        <v>Ecart positif</v>
      </c>
      <c r="R2942" s="38"/>
    </row>
    <row r="2943" spans="1:18" x14ac:dyDescent="0.3">
      <c r="A2943" s="34" t="str">
        <f>base!J2943</f>
        <v>RM</v>
      </c>
      <c r="B2943" s="34" t="str">
        <f>base!V2943</f>
        <v>94150</v>
      </c>
      <c r="C2943" s="37">
        <v>94</v>
      </c>
      <c r="D2943" s="36">
        <f>base!H2943</f>
        <v>220.52</v>
      </c>
      <c r="E2943" s="44"/>
      <c r="F2943" s="16">
        <f>base!W2943</f>
        <v>0</v>
      </c>
      <c r="G2943" s="11">
        <f t="shared" si="450"/>
        <v>0</v>
      </c>
      <c r="H2943" s="11">
        <f t="shared" si="451"/>
        <v>0</v>
      </c>
      <c r="I2943" s="11">
        <f t="shared" si="452"/>
        <v>0</v>
      </c>
      <c r="J2943" s="12">
        <f t="shared" si="453"/>
        <v>0</v>
      </c>
      <c r="K2943" s="17" t="str">
        <f t="shared" si="458"/>
        <v>Pas d'écart</v>
      </c>
      <c r="L2943" s="16">
        <f>base!X2943</f>
        <v>59.54</v>
      </c>
      <c r="M2943" s="11">
        <f t="shared" si="454"/>
        <v>0.26999818610556864</v>
      </c>
      <c r="N2943" s="11">
        <f t="shared" si="455"/>
        <v>0</v>
      </c>
      <c r="O2943" s="11">
        <f t="shared" si="456"/>
        <v>0</v>
      </c>
      <c r="P2943" s="12">
        <f t="shared" si="457"/>
        <v>59.54</v>
      </c>
      <c r="Q2943" s="17" t="str">
        <f t="shared" si="459"/>
        <v>Ecart positif</v>
      </c>
      <c r="R2943" s="38"/>
    </row>
    <row r="2944" spans="1:18" x14ac:dyDescent="0.3">
      <c r="A2944" s="34" t="str">
        <f>base!J2944</f>
        <v>RM</v>
      </c>
      <c r="B2944" s="34" t="str">
        <f>base!V2944</f>
        <v>88000</v>
      </c>
      <c r="C2944" s="37">
        <v>88</v>
      </c>
      <c r="D2944" s="36">
        <f>base!H2944</f>
        <v>17</v>
      </c>
      <c r="E2944" s="44"/>
      <c r="F2944" s="16">
        <f>base!W2944</f>
        <v>0</v>
      </c>
      <c r="G2944" s="11">
        <f t="shared" si="450"/>
        <v>0</v>
      </c>
      <c r="H2944" s="11">
        <f t="shared" si="451"/>
        <v>4.7600000000000007</v>
      </c>
      <c r="I2944" s="11">
        <f t="shared" si="452"/>
        <v>0.28000000000000003</v>
      </c>
      <c r="J2944" s="12">
        <f t="shared" si="453"/>
        <v>-4.7600000000000007</v>
      </c>
      <c r="K2944" s="17" t="str">
        <f t="shared" si="458"/>
        <v>Ecart négatif</v>
      </c>
      <c r="L2944" s="16">
        <f>base!X2944</f>
        <v>0</v>
      </c>
      <c r="M2944" s="11">
        <f t="shared" si="454"/>
        <v>0</v>
      </c>
      <c r="N2944" s="11">
        <f t="shared" si="455"/>
        <v>1.36</v>
      </c>
      <c r="O2944" s="11">
        <f t="shared" si="456"/>
        <v>0.08</v>
      </c>
      <c r="P2944" s="12">
        <f t="shared" si="457"/>
        <v>-1.36</v>
      </c>
      <c r="Q2944" s="17" t="str">
        <f t="shared" si="459"/>
        <v>Ecart négatif</v>
      </c>
    </row>
    <row r="2945" spans="1:17" x14ac:dyDescent="0.3">
      <c r="A2945" s="34" t="str">
        <f>base!J2945</f>
        <v>RS</v>
      </c>
      <c r="B2945" s="34" t="str">
        <f>base!V2945</f>
        <v>94150</v>
      </c>
      <c r="C2945" s="37">
        <v>94</v>
      </c>
      <c r="D2945" s="36">
        <f>base!H2945</f>
        <v>151</v>
      </c>
      <c r="E2945" s="44"/>
      <c r="F2945" s="16">
        <f>base!W2945</f>
        <v>0</v>
      </c>
      <c r="G2945" s="11">
        <f t="shared" si="450"/>
        <v>0</v>
      </c>
      <c r="H2945" s="11">
        <f t="shared" si="451"/>
        <v>0</v>
      </c>
      <c r="I2945" s="11">
        <f t="shared" si="452"/>
        <v>0</v>
      </c>
      <c r="J2945" s="12">
        <f t="shared" si="453"/>
        <v>0</v>
      </c>
      <c r="K2945" s="17" t="str">
        <f t="shared" si="458"/>
        <v>Pas d'écart</v>
      </c>
      <c r="L2945" s="16">
        <f>base!X2945</f>
        <v>0</v>
      </c>
      <c r="M2945" s="11">
        <f t="shared" si="454"/>
        <v>0</v>
      </c>
      <c r="N2945" s="11">
        <f t="shared" si="455"/>
        <v>0</v>
      </c>
      <c r="O2945" s="11">
        <f t="shared" si="456"/>
        <v>0</v>
      </c>
      <c r="P2945" s="12">
        <f t="shared" si="457"/>
        <v>0</v>
      </c>
      <c r="Q2945" s="17" t="str">
        <f t="shared" si="459"/>
        <v>Pas d'écart</v>
      </c>
    </row>
    <row r="2946" spans="1:17" x14ac:dyDescent="0.3">
      <c r="A2946" s="34" t="str">
        <f>base!J2946</f>
        <v>RM</v>
      </c>
      <c r="B2946" s="34" t="str">
        <f>base!V2946</f>
        <v>94150</v>
      </c>
      <c r="C2946" s="37">
        <v>94</v>
      </c>
      <c r="D2946" s="36">
        <f>base!H2946</f>
        <v>151</v>
      </c>
      <c r="E2946" s="44"/>
      <c r="F2946" s="16">
        <f>base!W2946</f>
        <v>0</v>
      </c>
      <c r="G2946" s="11">
        <f t="shared" ref="G2946:G3009" si="460">F2946/D2946</f>
        <v>0</v>
      </c>
      <c r="H2946" s="11">
        <f t="shared" ref="H2946:H3009" si="461">VLOOKUP(C2946,tout_cout_traction,2,FALSE)*D2946</f>
        <v>0</v>
      </c>
      <c r="I2946" s="11">
        <f t="shared" ref="I2946:I3009" si="462">H2946/D2946</f>
        <v>0</v>
      </c>
      <c r="J2946" s="12">
        <f t="shared" ref="J2946:J3009" si="463">F2946-H2946</f>
        <v>0</v>
      </c>
      <c r="K2946" s="17" t="str">
        <f t="shared" si="458"/>
        <v>Pas d'écart</v>
      </c>
      <c r="L2946" s="16">
        <f>base!X2946</f>
        <v>0</v>
      </c>
      <c r="M2946" s="11">
        <f t="shared" ref="M2946:M3009" si="464">L2946/D2946</f>
        <v>0</v>
      </c>
      <c r="N2946" s="11">
        <f t="shared" ref="N2946:N3009" si="465">VLOOKUP(C2946,tout_cout_traction,3,FALSE)*D2946</f>
        <v>0</v>
      </c>
      <c r="O2946" s="11">
        <f t="shared" ref="O2946:O3009" si="466">N2946/D2946</f>
        <v>0</v>
      </c>
      <c r="P2946" s="12">
        <f t="shared" ref="P2946:P3009" si="467">L2946-N2946</f>
        <v>0</v>
      </c>
      <c r="Q2946" s="17" t="str">
        <f t="shared" si="459"/>
        <v>Pas d'écart</v>
      </c>
    </row>
    <row r="2947" spans="1:17" x14ac:dyDescent="0.3">
      <c r="A2947" s="34" t="str">
        <f>base!J2947</f>
        <v>LS</v>
      </c>
      <c r="B2947" s="34" t="str">
        <f>base!V2947</f>
        <v>59980</v>
      </c>
      <c r="C2947" s="37">
        <v>16</v>
      </c>
      <c r="D2947" s="36">
        <f>base!H2947</f>
        <v>120.29</v>
      </c>
      <c r="E2947" s="44"/>
      <c r="F2947" s="16">
        <f>base!W2947</f>
        <v>22.86</v>
      </c>
      <c r="G2947" s="11">
        <f t="shared" si="460"/>
        <v>0.19004073489068085</v>
      </c>
      <c r="H2947" s="11">
        <f t="shared" si="461"/>
        <v>25.260899999999999</v>
      </c>
      <c r="I2947" s="11">
        <f t="shared" si="462"/>
        <v>0.21</v>
      </c>
      <c r="J2947" s="12">
        <f t="shared" si="463"/>
        <v>-2.4009</v>
      </c>
      <c r="K2947" s="17" t="str">
        <f t="shared" ref="K2947:K3010" si="468">IF(H2947=F2947,"Pas d'écart",IF(H2947&lt;F2947,"Ecart positif",IF(H2947&gt;F2947,"Ecart négatif")))</f>
        <v>Ecart négatif</v>
      </c>
      <c r="L2947" s="16">
        <f>base!X2947</f>
        <v>0</v>
      </c>
      <c r="M2947" s="11">
        <f t="shared" si="464"/>
        <v>0</v>
      </c>
      <c r="N2947" s="11">
        <f t="shared" si="465"/>
        <v>20.449300000000001</v>
      </c>
      <c r="O2947" s="11">
        <f t="shared" si="466"/>
        <v>0.17</v>
      </c>
      <c r="P2947" s="12">
        <f t="shared" si="467"/>
        <v>-20.449300000000001</v>
      </c>
      <c r="Q2947" s="17" t="str">
        <f t="shared" ref="Q2947:Q3010" si="469">IF(N2947=L2947,"Pas d'écart",IF(N2947&lt;L2947,"Ecart positif",IF(N2947&gt;L2947,"Ecart négatif")))</f>
        <v>Ecart négatif</v>
      </c>
    </row>
    <row r="2948" spans="1:17" x14ac:dyDescent="0.3">
      <c r="A2948" s="34" t="str">
        <f>base!J2948</f>
        <v>DLM</v>
      </c>
      <c r="B2948" s="34" t="str">
        <f>base!V2948</f>
        <v>69290</v>
      </c>
      <c r="C2948" s="37">
        <v>69</v>
      </c>
      <c r="D2948" s="36">
        <f>base!H2948</f>
        <v>180.3</v>
      </c>
      <c r="E2948" s="44"/>
      <c r="F2948" s="16">
        <f>base!W2948</f>
        <v>0</v>
      </c>
      <c r="G2948" s="11">
        <f t="shared" si="460"/>
        <v>0</v>
      </c>
      <c r="H2948" s="11">
        <f t="shared" si="461"/>
        <v>48.681000000000004</v>
      </c>
      <c r="I2948" s="11">
        <f t="shared" si="462"/>
        <v>0.27</v>
      </c>
      <c r="J2948" s="12">
        <f t="shared" si="463"/>
        <v>-48.681000000000004</v>
      </c>
      <c r="K2948" s="17" t="str">
        <f t="shared" si="468"/>
        <v>Ecart négatif</v>
      </c>
      <c r="L2948" s="16">
        <f>base!X2948</f>
        <v>0</v>
      </c>
      <c r="M2948" s="11">
        <f t="shared" si="464"/>
        <v>0</v>
      </c>
      <c r="N2948" s="11">
        <f t="shared" si="465"/>
        <v>0</v>
      </c>
      <c r="O2948" s="11">
        <f t="shared" si="466"/>
        <v>0</v>
      </c>
      <c r="P2948" s="12">
        <f t="shared" si="467"/>
        <v>0</v>
      </c>
      <c r="Q2948" s="17" t="str">
        <f t="shared" si="469"/>
        <v>Pas d'écart</v>
      </c>
    </row>
    <row r="2949" spans="1:17" x14ac:dyDescent="0.3">
      <c r="A2949" s="34" t="str">
        <f>base!J2949</f>
        <v>LS</v>
      </c>
      <c r="B2949" s="34" t="str">
        <f>base!V2949</f>
        <v>14760</v>
      </c>
      <c r="C2949" s="37">
        <v>79</v>
      </c>
      <c r="D2949" s="36">
        <f>base!H2949</f>
        <v>195.02</v>
      </c>
      <c r="E2949" s="44"/>
      <c r="F2949" s="16">
        <f>base!W2949</f>
        <v>33.15</v>
      </c>
      <c r="G2949" s="11">
        <f t="shared" si="460"/>
        <v>0.16998256589067787</v>
      </c>
      <c r="H2949" s="11">
        <f t="shared" si="461"/>
        <v>40.9542</v>
      </c>
      <c r="I2949" s="11">
        <f t="shared" si="462"/>
        <v>0.21</v>
      </c>
      <c r="J2949" s="12">
        <f t="shared" si="463"/>
        <v>-7.8042000000000016</v>
      </c>
      <c r="K2949" s="17" t="str">
        <f t="shared" si="468"/>
        <v>Ecart négatif</v>
      </c>
      <c r="L2949" s="16">
        <f>base!X2949</f>
        <v>0</v>
      </c>
      <c r="M2949" s="11">
        <f t="shared" si="464"/>
        <v>0</v>
      </c>
      <c r="N2949" s="11">
        <f t="shared" si="465"/>
        <v>23.4024</v>
      </c>
      <c r="O2949" s="11">
        <f t="shared" si="466"/>
        <v>0.12</v>
      </c>
      <c r="P2949" s="12">
        <f t="shared" si="467"/>
        <v>-23.4024</v>
      </c>
      <c r="Q2949" s="17" t="str">
        <f t="shared" si="469"/>
        <v>Ecart négatif</v>
      </c>
    </row>
    <row r="2950" spans="1:17" x14ac:dyDescent="0.3">
      <c r="A2950" s="34">
        <f>base!J2950</f>
        <v>0</v>
      </c>
      <c r="B2950" s="34" t="str">
        <f>base!V2950</f>
        <v>44240</v>
      </c>
      <c r="C2950" s="37">
        <v>44</v>
      </c>
      <c r="D2950" s="36">
        <f>base!H2950</f>
        <v>40</v>
      </c>
      <c r="E2950" s="44"/>
      <c r="F2950" s="16">
        <f>base!W2950</f>
        <v>0</v>
      </c>
      <c r="G2950" s="11">
        <f t="shared" si="460"/>
        <v>0</v>
      </c>
      <c r="H2950" s="11">
        <f t="shared" si="461"/>
        <v>10.8</v>
      </c>
      <c r="I2950" s="11">
        <f t="shared" si="462"/>
        <v>0.27</v>
      </c>
      <c r="J2950" s="12">
        <f t="shared" si="463"/>
        <v>-10.8</v>
      </c>
      <c r="K2950" s="17" t="str">
        <f t="shared" si="468"/>
        <v>Ecart négatif</v>
      </c>
      <c r="L2950" s="16">
        <f>base!X2950</f>
        <v>0</v>
      </c>
      <c r="M2950" s="11">
        <f t="shared" si="464"/>
        <v>0</v>
      </c>
      <c r="N2950" s="11">
        <f t="shared" si="465"/>
        <v>0</v>
      </c>
      <c r="O2950" s="11">
        <f t="shared" si="466"/>
        <v>0</v>
      </c>
      <c r="P2950" s="12">
        <f t="shared" si="467"/>
        <v>0</v>
      </c>
      <c r="Q2950" s="17" t="str">
        <f t="shared" si="469"/>
        <v>Pas d'écart</v>
      </c>
    </row>
    <row r="2951" spans="1:17" x14ac:dyDescent="0.3">
      <c r="A2951" s="34">
        <f>base!J2951</f>
        <v>0</v>
      </c>
      <c r="B2951" s="34" t="str">
        <f>base!V2951</f>
        <v>44240</v>
      </c>
      <c r="C2951" s="37">
        <v>44</v>
      </c>
      <c r="D2951" s="36">
        <f>base!H2951</f>
        <v>130.53</v>
      </c>
      <c r="E2951" s="44"/>
      <c r="F2951" s="16">
        <f>base!W2951</f>
        <v>0</v>
      </c>
      <c r="G2951" s="11">
        <f t="shared" si="460"/>
        <v>0</v>
      </c>
      <c r="H2951" s="11">
        <f t="shared" si="461"/>
        <v>35.243100000000005</v>
      </c>
      <c r="I2951" s="11">
        <f t="shared" si="462"/>
        <v>0.27</v>
      </c>
      <c r="J2951" s="12">
        <f t="shared" si="463"/>
        <v>-35.243100000000005</v>
      </c>
      <c r="K2951" s="17" t="str">
        <f t="shared" si="468"/>
        <v>Ecart négatif</v>
      </c>
      <c r="L2951" s="16">
        <f>base!X2951</f>
        <v>0</v>
      </c>
      <c r="M2951" s="11">
        <f t="shared" si="464"/>
        <v>0</v>
      </c>
      <c r="N2951" s="11">
        <f t="shared" si="465"/>
        <v>0</v>
      </c>
      <c r="O2951" s="11">
        <f t="shared" si="466"/>
        <v>0</v>
      </c>
      <c r="P2951" s="12">
        <f t="shared" si="467"/>
        <v>0</v>
      </c>
      <c r="Q2951" s="17" t="str">
        <f t="shared" si="469"/>
        <v>Pas d'écart</v>
      </c>
    </row>
    <row r="2952" spans="1:17" x14ac:dyDescent="0.3">
      <c r="A2952" s="34" t="str">
        <f>base!J2952</f>
        <v>Metre Aller</v>
      </c>
      <c r="B2952" s="34" t="str">
        <f>base!V2952</f>
        <v>77184</v>
      </c>
      <c r="C2952" s="37">
        <v>77</v>
      </c>
      <c r="D2952" s="36">
        <f>base!H2952</f>
        <v>31.6</v>
      </c>
      <c r="E2952" s="44"/>
      <c r="F2952" s="16">
        <f>base!W2952</f>
        <v>0</v>
      </c>
      <c r="G2952" s="11">
        <f t="shared" si="460"/>
        <v>0</v>
      </c>
      <c r="H2952" s="11">
        <f t="shared" si="461"/>
        <v>0</v>
      </c>
      <c r="I2952" s="11">
        <f t="shared" si="462"/>
        <v>0</v>
      </c>
      <c r="J2952" s="12">
        <f t="shared" si="463"/>
        <v>0</v>
      </c>
      <c r="K2952" s="17" t="str">
        <f t="shared" si="468"/>
        <v>Pas d'écart</v>
      </c>
      <c r="L2952" s="16">
        <f>base!X2952</f>
        <v>0</v>
      </c>
      <c r="M2952" s="11">
        <f t="shared" si="464"/>
        <v>0</v>
      </c>
      <c r="N2952" s="11">
        <f t="shared" si="465"/>
        <v>0</v>
      </c>
      <c r="O2952" s="11">
        <f t="shared" si="466"/>
        <v>0</v>
      </c>
      <c r="P2952" s="12">
        <f t="shared" si="467"/>
        <v>0</v>
      </c>
      <c r="Q2952" s="17" t="str">
        <f t="shared" si="469"/>
        <v>Pas d'écart</v>
      </c>
    </row>
    <row r="2953" spans="1:17" x14ac:dyDescent="0.3">
      <c r="A2953" s="34">
        <f>base!J2953</f>
        <v>0</v>
      </c>
      <c r="B2953" s="34" t="str">
        <f>base!V2953</f>
        <v>77184</v>
      </c>
      <c r="C2953" s="37">
        <v>77</v>
      </c>
      <c r="D2953" s="36">
        <f>base!H2953</f>
        <v>37.19</v>
      </c>
      <c r="E2953" s="44"/>
      <c r="F2953" s="16">
        <f>base!W2953</f>
        <v>0</v>
      </c>
      <c r="G2953" s="11">
        <f t="shared" si="460"/>
        <v>0</v>
      </c>
      <c r="H2953" s="11">
        <f t="shared" si="461"/>
        <v>0</v>
      </c>
      <c r="I2953" s="11">
        <f t="shared" si="462"/>
        <v>0</v>
      </c>
      <c r="J2953" s="12">
        <f t="shared" si="463"/>
        <v>0</v>
      </c>
      <c r="K2953" s="17" t="str">
        <f t="shared" si="468"/>
        <v>Pas d'écart</v>
      </c>
      <c r="L2953" s="16">
        <f>base!X2953</f>
        <v>0</v>
      </c>
      <c r="M2953" s="11">
        <f t="shared" si="464"/>
        <v>0</v>
      </c>
      <c r="N2953" s="11">
        <f t="shared" si="465"/>
        <v>0</v>
      </c>
      <c r="O2953" s="11">
        <f t="shared" si="466"/>
        <v>0</v>
      </c>
      <c r="P2953" s="12">
        <f t="shared" si="467"/>
        <v>0</v>
      </c>
      <c r="Q2953" s="17" t="str">
        <f t="shared" si="469"/>
        <v>Pas d'écart</v>
      </c>
    </row>
    <row r="2954" spans="1:17" x14ac:dyDescent="0.3">
      <c r="A2954" s="34">
        <f>base!J2954</f>
        <v>0</v>
      </c>
      <c r="B2954" s="34" t="str">
        <f>base!V2954</f>
        <v>77184</v>
      </c>
      <c r="C2954" s="37">
        <v>77</v>
      </c>
      <c r="D2954" s="36">
        <f>base!H2954</f>
        <v>57</v>
      </c>
      <c r="E2954" s="44"/>
      <c r="F2954" s="16">
        <f>base!W2954</f>
        <v>0</v>
      </c>
      <c r="G2954" s="11">
        <f t="shared" si="460"/>
        <v>0</v>
      </c>
      <c r="H2954" s="11">
        <f t="shared" si="461"/>
        <v>0</v>
      </c>
      <c r="I2954" s="11">
        <f t="shared" si="462"/>
        <v>0</v>
      </c>
      <c r="J2954" s="12">
        <f t="shared" si="463"/>
        <v>0</v>
      </c>
      <c r="K2954" s="17" t="str">
        <f t="shared" si="468"/>
        <v>Pas d'écart</v>
      </c>
      <c r="L2954" s="16">
        <f>base!X2954</f>
        <v>0</v>
      </c>
      <c r="M2954" s="11">
        <f t="shared" si="464"/>
        <v>0</v>
      </c>
      <c r="N2954" s="11">
        <f t="shared" si="465"/>
        <v>0</v>
      </c>
      <c r="O2954" s="11">
        <f t="shared" si="466"/>
        <v>0</v>
      </c>
      <c r="P2954" s="12">
        <f t="shared" si="467"/>
        <v>0</v>
      </c>
      <c r="Q2954" s="17" t="str">
        <f t="shared" si="469"/>
        <v>Pas d'écart</v>
      </c>
    </row>
    <row r="2955" spans="1:17" x14ac:dyDescent="0.3">
      <c r="A2955" s="34">
        <f>base!J2955</f>
        <v>0</v>
      </c>
      <c r="B2955" s="34" t="str">
        <f>base!V2955</f>
        <v>77184</v>
      </c>
      <c r="C2955" s="37">
        <v>77</v>
      </c>
      <c r="D2955" s="36">
        <f>base!H2955</f>
        <v>129</v>
      </c>
      <c r="E2955" s="44"/>
      <c r="F2955" s="16">
        <f>base!W2955</f>
        <v>0</v>
      </c>
      <c r="G2955" s="11">
        <f t="shared" si="460"/>
        <v>0</v>
      </c>
      <c r="H2955" s="11">
        <f t="shared" si="461"/>
        <v>0</v>
      </c>
      <c r="I2955" s="11">
        <f t="shared" si="462"/>
        <v>0</v>
      </c>
      <c r="J2955" s="12">
        <f t="shared" si="463"/>
        <v>0</v>
      </c>
      <c r="K2955" s="17" t="str">
        <f t="shared" si="468"/>
        <v>Pas d'écart</v>
      </c>
      <c r="L2955" s="16">
        <f>base!X2955</f>
        <v>0</v>
      </c>
      <c r="M2955" s="11">
        <f t="shared" si="464"/>
        <v>0</v>
      </c>
      <c r="N2955" s="11">
        <f t="shared" si="465"/>
        <v>0</v>
      </c>
      <c r="O2955" s="11">
        <f t="shared" si="466"/>
        <v>0</v>
      </c>
      <c r="P2955" s="12">
        <f t="shared" si="467"/>
        <v>0</v>
      </c>
      <c r="Q2955" s="17" t="str">
        <f t="shared" si="469"/>
        <v>Pas d'écart</v>
      </c>
    </row>
    <row r="2956" spans="1:17" x14ac:dyDescent="0.3">
      <c r="A2956" s="34">
        <f>base!J2956</f>
        <v>0</v>
      </c>
      <c r="B2956" s="34" t="str">
        <f>base!V2956</f>
        <v>77184</v>
      </c>
      <c r="C2956" s="37">
        <v>77</v>
      </c>
      <c r="D2956" s="36">
        <f>base!H2956</f>
        <v>66</v>
      </c>
      <c r="E2956" s="44"/>
      <c r="F2956" s="16">
        <f>base!W2956</f>
        <v>0</v>
      </c>
      <c r="G2956" s="11">
        <f t="shared" si="460"/>
        <v>0</v>
      </c>
      <c r="H2956" s="11">
        <f t="shared" si="461"/>
        <v>0</v>
      </c>
      <c r="I2956" s="11">
        <f t="shared" si="462"/>
        <v>0</v>
      </c>
      <c r="J2956" s="12">
        <f t="shared" si="463"/>
        <v>0</v>
      </c>
      <c r="K2956" s="17" t="str">
        <f t="shared" si="468"/>
        <v>Pas d'écart</v>
      </c>
      <c r="L2956" s="16">
        <f>base!X2956</f>
        <v>0</v>
      </c>
      <c r="M2956" s="11">
        <f t="shared" si="464"/>
        <v>0</v>
      </c>
      <c r="N2956" s="11">
        <f t="shared" si="465"/>
        <v>0</v>
      </c>
      <c r="O2956" s="11">
        <f t="shared" si="466"/>
        <v>0</v>
      </c>
      <c r="P2956" s="12">
        <f t="shared" si="467"/>
        <v>0</v>
      </c>
      <c r="Q2956" s="17" t="str">
        <f t="shared" si="469"/>
        <v>Pas d'écart</v>
      </c>
    </row>
    <row r="2957" spans="1:17" x14ac:dyDescent="0.3">
      <c r="A2957" s="34">
        <f>base!J2957</f>
        <v>0</v>
      </c>
      <c r="B2957" s="34" t="str">
        <f>base!V2957</f>
        <v>77184</v>
      </c>
      <c r="C2957" s="37">
        <v>77</v>
      </c>
      <c r="D2957" s="36">
        <f>base!H2957</f>
        <v>84.5</v>
      </c>
      <c r="E2957" s="44"/>
      <c r="F2957" s="16">
        <f>base!W2957</f>
        <v>0</v>
      </c>
      <c r="G2957" s="11">
        <f t="shared" si="460"/>
        <v>0</v>
      </c>
      <c r="H2957" s="11">
        <f t="shared" si="461"/>
        <v>0</v>
      </c>
      <c r="I2957" s="11">
        <f t="shared" si="462"/>
        <v>0</v>
      </c>
      <c r="J2957" s="12">
        <f t="shared" si="463"/>
        <v>0</v>
      </c>
      <c r="K2957" s="17" t="str">
        <f t="shared" si="468"/>
        <v>Pas d'écart</v>
      </c>
      <c r="L2957" s="16">
        <f>base!X2957</f>
        <v>0</v>
      </c>
      <c r="M2957" s="11">
        <f t="shared" si="464"/>
        <v>0</v>
      </c>
      <c r="N2957" s="11">
        <f t="shared" si="465"/>
        <v>0</v>
      </c>
      <c r="O2957" s="11">
        <f t="shared" si="466"/>
        <v>0</v>
      </c>
      <c r="P2957" s="12">
        <f t="shared" si="467"/>
        <v>0</v>
      </c>
      <c r="Q2957" s="17" t="str">
        <f t="shared" si="469"/>
        <v>Pas d'écart</v>
      </c>
    </row>
    <row r="2958" spans="1:17" x14ac:dyDescent="0.3">
      <c r="A2958" s="34">
        <f>base!J2958</f>
        <v>0</v>
      </c>
      <c r="B2958" s="34" t="str">
        <f>base!V2958</f>
        <v>77184</v>
      </c>
      <c r="C2958" s="37">
        <v>77</v>
      </c>
      <c r="D2958" s="36">
        <f>base!H2958</f>
        <v>171</v>
      </c>
      <c r="E2958" s="44"/>
      <c r="F2958" s="16">
        <f>base!W2958</f>
        <v>0</v>
      </c>
      <c r="G2958" s="11">
        <f t="shared" si="460"/>
        <v>0</v>
      </c>
      <c r="H2958" s="11">
        <f t="shared" si="461"/>
        <v>0</v>
      </c>
      <c r="I2958" s="11">
        <f t="shared" si="462"/>
        <v>0</v>
      </c>
      <c r="J2958" s="12">
        <f t="shared" si="463"/>
        <v>0</v>
      </c>
      <c r="K2958" s="17" t="str">
        <f t="shared" si="468"/>
        <v>Pas d'écart</v>
      </c>
      <c r="L2958" s="16">
        <f>base!X2958</f>
        <v>0</v>
      </c>
      <c r="M2958" s="11">
        <f t="shared" si="464"/>
        <v>0</v>
      </c>
      <c r="N2958" s="11">
        <f t="shared" si="465"/>
        <v>0</v>
      </c>
      <c r="O2958" s="11">
        <f t="shared" si="466"/>
        <v>0</v>
      </c>
      <c r="P2958" s="12">
        <f t="shared" si="467"/>
        <v>0</v>
      </c>
      <c r="Q2958" s="17" t="str">
        <f t="shared" si="469"/>
        <v>Pas d'écart</v>
      </c>
    </row>
    <row r="2959" spans="1:17" x14ac:dyDescent="0.3">
      <c r="A2959" s="34">
        <f>base!J2959</f>
        <v>0</v>
      </c>
      <c r="B2959" s="34" t="str">
        <f>base!V2959</f>
        <v>77184</v>
      </c>
      <c r="C2959" s="37">
        <v>77</v>
      </c>
      <c r="D2959" s="36">
        <f>base!H2959</f>
        <v>156</v>
      </c>
      <c r="E2959" s="44"/>
      <c r="F2959" s="16">
        <f>base!W2959</f>
        <v>0</v>
      </c>
      <c r="G2959" s="11">
        <f t="shared" si="460"/>
        <v>0</v>
      </c>
      <c r="H2959" s="11">
        <f t="shared" si="461"/>
        <v>0</v>
      </c>
      <c r="I2959" s="11">
        <f t="shared" si="462"/>
        <v>0</v>
      </c>
      <c r="J2959" s="12">
        <f t="shared" si="463"/>
        <v>0</v>
      </c>
      <c r="K2959" s="17" t="str">
        <f t="shared" si="468"/>
        <v>Pas d'écart</v>
      </c>
      <c r="L2959" s="16">
        <f>base!X2959</f>
        <v>0</v>
      </c>
      <c r="M2959" s="11">
        <f t="shared" si="464"/>
        <v>0</v>
      </c>
      <c r="N2959" s="11">
        <f t="shared" si="465"/>
        <v>0</v>
      </c>
      <c r="O2959" s="11">
        <f t="shared" si="466"/>
        <v>0</v>
      </c>
      <c r="P2959" s="12">
        <f t="shared" si="467"/>
        <v>0</v>
      </c>
      <c r="Q2959" s="17" t="str">
        <f t="shared" si="469"/>
        <v>Pas d'écart</v>
      </c>
    </row>
    <row r="2960" spans="1:17" x14ac:dyDescent="0.3">
      <c r="A2960" s="34" t="str">
        <f>base!J2960</f>
        <v>RS</v>
      </c>
      <c r="B2960" s="34" t="str">
        <f>base!V2960</f>
        <v>62380</v>
      </c>
      <c r="C2960" s="37">
        <v>62</v>
      </c>
      <c r="D2960" s="36">
        <f>base!H2960</f>
        <v>35</v>
      </c>
      <c r="E2960" s="44"/>
      <c r="F2960" s="16">
        <f>base!W2960</f>
        <v>0</v>
      </c>
      <c r="G2960" s="11">
        <f t="shared" si="460"/>
        <v>0</v>
      </c>
      <c r="H2960" s="11">
        <f t="shared" si="461"/>
        <v>6.65</v>
      </c>
      <c r="I2960" s="11">
        <f t="shared" si="462"/>
        <v>0.19</v>
      </c>
      <c r="J2960" s="12">
        <f t="shared" si="463"/>
        <v>-6.65</v>
      </c>
      <c r="K2960" s="17" t="str">
        <f t="shared" si="468"/>
        <v>Ecart négatif</v>
      </c>
      <c r="L2960" s="16">
        <f>base!X2960</f>
        <v>0</v>
      </c>
      <c r="M2960" s="11">
        <f t="shared" si="464"/>
        <v>0</v>
      </c>
      <c r="N2960" s="11">
        <f t="shared" si="465"/>
        <v>0</v>
      </c>
      <c r="O2960" s="11">
        <f t="shared" si="466"/>
        <v>0</v>
      </c>
      <c r="P2960" s="12">
        <f t="shared" si="467"/>
        <v>0</v>
      </c>
      <c r="Q2960" s="17" t="str">
        <f t="shared" si="469"/>
        <v>Pas d'écart</v>
      </c>
    </row>
    <row r="2961" spans="1:18" x14ac:dyDescent="0.3">
      <c r="A2961" s="34">
        <f>base!J2961</f>
        <v>0</v>
      </c>
      <c r="B2961" s="34" t="str">
        <f>base!V2961</f>
        <v>77184</v>
      </c>
      <c r="C2961" s="37">
        <v>77</v>
      </c>
      <c r="D2961" s="36">
        <f>base!H2961</f>
        <v>122.2</v>
      </c>
      <c r="E2961" s="44"/>
      <c r="F2961" s="16">
        <f>base!W2961</f>
        <v>0</v>
      </c>
      <c r="G2961" s="11">
        <f t="shared" si="460"/>
        <v>0</v>
      </c>
      <c r="H2961" s="11">
        <f t="shared" si="461"/>
        <v>0</v>
      </c>
      <c r="I2961" s="11">
        <f t="shared" si="462"/>
        <v>0</v>
      </c>
      <c r="J2961" s="12">
        <f t="shared" si="463"/>
        <v>0</v>
      </c>
      <c r="K2961" s="17" t="str">
        <f t="shared" si="468"/>
        <v>Pas d'écart</v>
      </c>
      <c r="L2961" s="16">
        <f>base!X2961</f>
        <v>0</v>
      </c>
      <c r="M2961" s="11">
        <f t="shared" si="464"/>
        <v>0</v>
      </c>
      <c r="N2961" s="11">
        <f t="shared" si="465"/>
        <v>0</v>
      </c>
      <c r="O2961" s="11">
        <f t="shared" si="466"/>
        <v>0</v>
      </c>
      <c r="P2961" s="12">
        <f t="shared" si="467"/>
        <v>0</v>
      </c>
      <c r="Q2961" s="17" t="str">
        <f t="shared" si="469"/>
        <v>Pas d'écart</v>
      </c>
    </row>
    <row r="2962" spans="1:18" x14ac:dyDescent="0.3">
      <c r="A2962" s="34">
        <f>base!J2962</f>
        <v>0</v>
      </c>
      <c r="B2962" s="34" t="str">
        <f>base!V2962</f>
        <v>77184</v>
      </c>
      <c r="C2962" s="37">
        <v>77</v>
      </c>
      <c r="D2962" s="36">
        <f>base!H2962</f>
        <v>69.5</v>
      </c>
      <c r="E2962" s="44"/>
      <c r="F2962" s="16">
        <f>base!W2962</f>
        <v>0</v>
      </c>
      <c r="G2962" s="11">
        <f t="shared" si="460"/>
        <v>0</v>
      </c>
      <c r="H2962" s="11">
        <f t="shared" si="461"/>
        <v>0</v>
      </c>
      <c r="I2962" s="11">
        <f t="shared" si="462"/>
        <v>0</v>
      </c>
      <c r="J2962" s="12">
        <f t="shared" si="463"/>
        <v>0</v>
      </c>
      <c r="K2962" s="17" t="str">
        <f t="shared" si="468"/>
        <v>Pas d'écart</v>
      </c>
      <c r="L2962" s="16">
        <f>base!X2962</f>
        <v>0</v>
      </c>
      <c r="M2962" s="11">
        <f t="shared" si="464"/>
        <v>0</v>
      </c>
      <c r="N2962" s="11">
        <f t="shared" si="465"/>
        <v>0</v>
      </c>
      <c r="O2962" s="11">
        <f t="shared" si="466"/>
        <v>0</v>
      </c>
      <c r="P2962" s="12">
        <f t="shared" si="467"/>
        <v>0</v>
      </c>
      <c r="Q2962" s="17" t="str">
        <f t="shared" si="469"/>
        <v>Pas d'écart</v>
      </c>
    </row>
    <row r="2963" spans="1:18" x14ac:dyDescent="0.3">
      <c r="A2963" s="34">
        <f>base!J2963</f>
        <v>0</v>
      </c>
      <c r="B2963" s="34" t="str">
        <f>base!V2963</f>
        <v>77184</v>
      </c>
      <c r="C2963" s="37">
        <v>77</v>
      </c>
      <c r="D2963" s="36">
        <f>base!H2963</f>
        <v>31</v>
      </c>
      <c r="E2963" s="44"/>
      <c r="F2963" s="16">
        <f>base!W2963</f>
        <v>0</v>
      </c>
      <c r="G2963" s="11">
        <f t="shared" si="460"/>
        <v>0</v>
      </c>
      <c r="H2963" s="11">
        <f t="shared" si="461"/>
        <v>0</v>
      </c>
      <c r="I2963" s="11">
        <f t="shared" si="462"/>
        <v>0</v>
      </c>
      <c r="J2963" s="12">
        <f t="shared" si="463"/>
        <v>0</v>
      </c>
      <c r="K2963" s="17" t="str">
        <f t="shared" si="468"/>
        <v>Pas d'écart</v>
      </c>
      <c r="L2963" s="16">
        <f>base!X2963</f>
        <v>0</v>
      </c>
      <c r="M2963" s="11">
        <f t="shared" si="464"/>
        <v>0</v>
      </c>
      <c r="N2963" s="11">
        <f t="shared" si="465"/>
        <v>0</v>
      </c>
      <c r="O2963" s="11">
        <f t="shared" si="466"/>
        <v>0</v>
      </c>
      <c r="P2963" s="12">
        <f t="shared" si="467"/>
        <v>0</v>
      </c>
      <c r="Q2963" s="17" t="str">
        <f t="shared" si="469"/>
        <v>Pas d'écart</v>
      </c>
    </row>
    <row r="2964" spans="1:18" x14ac:dyDescent="0.3">
      <c r="A2964" s="34" t="str">
        <f>base!J2964</f>
        <v>LM</v>
      </c>
      <c r="B2964" s="34" t="str">
        <f>base!V2964</f>
        <v>06190</v>
      </c>
      <c r="C2964" s="37">
        <v>16</v>
      </c>
      <c r="D2964" s="36">
        <f>base!H2964</f>
        <v>92</v>
      </c>
      <c r="E2964" s="44"/>
      <c r="F2964" s="16">
        <f>base!W2964</f>
        <v>27.6</v>
      </c>
      <c r="G2964" s="11">
        <f t="shared" si="460"/>
        <v>0.3</v>
      </c>
      <c r="H2964" s="11">
        <f t="shared" si="461"/>
        <v>19.32</v>
      </c>
      <c r="I2964" s="11">
        <f t="shared" si="462"/>
        <v>0.21</v>
      </c>
      <c r="J2964" s="12">
        <f t="shared" si="463"/>
        <v>8.2800000000000011</v>
      </c>
      <c r="K2964" s="17" t="str">
        <f t="shared" si="468"/>
        <v>Ecart positif</v>
      </c>
      <c r="L2964" s="16">
        <f>base!X2964</f>
        <v>0</v>
      </c>
      <c r="M2964" s="11">
        <f t="shared" si="464"/>
        <v>0</v>
      </c>
      <c r="N2964" s="11">
        <f t="shared" si="465"/>
        <v>15.64</v>
      </c>
      <c r="O2964" s="11">
        <f t="shared" si="466"/>
        <v>0.17</v>
      </c>
      <c r="P2964" s="12">
        <f t="shared" si="467"/>
        <v>-15.64</v>
      </c>
      <c r="Q2964" s="17" t="str">
        <f t="shared" si="469"/>
        <v>Ecart négatif</v>
      </c>
    </row>
    <row r="2965" spans="1:18" x14ac:dyDescent="0.3">
      <c r="A2965" s="34" t="str">
        <f>base!J2965</f>
        <v>LM</v>
      </c>
      <c r="B2965" s="34" t="str">
        <f>base!V2965</f>
        <v>06190</v>
      </c>
      <c r="C2965" s="37">
        <v>40</v>
      </c>
      <c r="D2965" s="36">
        <f>base!H2965</f>
        <v>64</v>
      </c>
      <c r="E2965" s="44"/>
      <c r="F2965" s="16">
        <f>base!W2965</f>
        <v>19.2</v>
      </c>
      <c r="G2965" s="11">
        <f t="shared" si="460"/>
        <v>0.3</v>
      </c>
      <c r="H2965" s="11">
        <f t="shared" si="461"/>
        <v>13.44</v>
      </c>
      <c r="I2965" s="11">
        <f t="shared" si="462"/>
        <v>0.21</v>
      </c>
      <c r="J2965" s="12">
        <f t="shared" si="463"/>
        <v>5.76</v>
      </c>
      <c r="K2965" s="17" t="str">
        <f t="shared" si="468"/>
        <v>Ecart positif</v>
      </c>
      <c r="L2965" s="16">
        <f>base!X2965</f>
        <v>0</v>
      </c>
      <c r="M2965" s="11">
        <f t="shared" si="464"/>
        <v>0</v>
      </c>
      <c r="N2965" s="11">
        <f t="shared" si="465"/>
        <v>10.88</v>
      </c>
      <c r="O2965" s="11">
        <f t="shared" si="466"/>
        <v>0.17</v>
      </c>
      <c r="P2965" s="12">
        <f t="shared" si="467"/>
        <v>-10.88</v>
      </c>
      <c r="Q2965" s="17" t="str">
        <f t="shared" si="469"/>
        <v>Ecart négatif</v>
      </c>
    </row>
    <row r="2966" spans="1:18" x14ac:dyDescent="0.3">
      <c r="A2966" s="34" t="str">
        <f>base!J2966</f>
        <v>RM</v>
      </c>
      <c r="B2966" s="34" t="str">
        <f>base!V2966</f>
        <v>06190</v>
      </c>
      <c r="C2966" s="37">
        <v>6</v>
      </c>
      <c r="D2966" s="36">
        <f>base!H2966</f>
        <v>92</v>
      </c>
      <c r="E2966" s="44"/>
      <c r="F2966" s="16">
        <f>base!W2966</f>
        <v>0</v>
      </c>
      <c r="G2966" s="11">
        <f t="shared" si="460"/>
        <v>0</v>
      </c>
      <c r="H2966" s="11">
        <f t="shared" si="461"/>
        <v>27.599999999999998</v>
      </c>
      <c r="I2966" s="11">
        <f t="shared" si="462"/>
        <v>0.3</v>
      </c>
      <c r="J2966" s="12">
        <f t="shared" si="463"/>
        <v>-27.599999999999998</v>
      </c>
      <c r="K2966" s="17" t="str">
        <f t="shared" si="468"/>
        <v>Ecart négatif</v>
      </c>
      <c r="L2966" s="16">
        <f>base!X2966</f>
        <v>27.6</v>
      </c>
      <c r="M2966" s="11">
        <f t="shared" si="464"/>
        <v>0.3</v>
      </c>
      <c r="N2966" s="11">
        <f t="shared" si="465"/>
        <v>19.32</v>
      </c>
      <c r="O2966" s="11">
        <f t="shared" si="466"/>
        <v>0.21</v>
      </c>
      <c r="P2966" s="12">
        <f t="shared" si="467"/>
        <v>8.2800000000000011</v>
      </c>
      <c r="Q2966" s="17" t="str">
        <f t="shared" si="469"/>
        <v>Ecart positif</v>
      </c>
      <c r="R2966" s="38"/>
    </row>
    <row r="2967" spans="1:18" x14ac:dyDescent="0.3">
      <c r="A2967" s="34" t="str">
        <f>base!J2967</f>
        <v>RS</v>
      </c>
      <c r="B2967" s="34" t="str">
        <f>base!V2967</f>
        <v>02100</v>
      </c>
      <c r="C2967" s="37">
        <v>2</v>
      </c>
      <c r="D2967" s="36">
        <f>base!H2967</f>
        <v>140</v>
      </c>
      <c r="E2967" s="44"/>
      <c r="F2967" s="16">
        <f>base!W2967</f>
        <v>0</v>
      </c>
      <c r="G2967" s="11">
        <f t="shared" si="460"/>
        <v>0</v>
      </c>
      <c r="H2967" s="11">
        <f t="shared" si="461"/>
        <v>25.2</v>
      </c>
      <c r="I2967" s="11">
        <f t="shared" si="462"/>
        <v>0.18</v>
      </c>
      <c r="J2967" s="12">
        <f t="shared" si="463"/>
        <v>-25.2</v>
      </c>
      <c r="K2967" s="17" t="str">
        <f t="shared" si="468"/>
        <v>Ecart négatif</v>
      </c>
      <c r="L2967" s="16">
        <f>base!X2967</f>
        <v>0</v>
      </c>
      <c r="M2967" s="11">
        <f t="shared" si="464"/>
        <v>0</v>
      </c>
      <c r="N2967" s="11">
        <f t="shared" si="465"/>
        <v>0</v>
      </c>
      <c r="O2967" s="11">
        <f t="shared" si="466"/>
        <v>0</v>
      </c>
      <c r="P2967" s="12">
        <f t="shared" si="467"/>
        <v>0</v>
      </c>
      <c r="Q2967" s="17" t="str">
        <f t="shared" si="469"/>
        <v>Pas d'écart</v>
      </c>
    </row>
    <row r="2968" spans="1:18" x14ac:dyDescent="0.3">
      <c r="A2968" s="34" t="str">
        <f>base!J2968</f>
        <v>RS</v>
      </c>
      <c r="B2968" s="34" t="str">
        <f>base!V2968</f>
        <v>08000</v>
      </c>
      <c r="C2968" s="37">
        <v>8</v>
      </c>
      <c r="D2968" s="36">
        <f>base!H2968</f>
        <v>140</v>
      </c>
      <c r="E2968" s="44"/>
      <c r="F2968" s="16">
        <f>base!W2968</f>
        <v>0</v>
      </c>
      <c r="G2968" s="11">
        <f t="shared" si="460"/>
        <v>0</v>
      </c>
      <c r="H2968" s="11">
        <f t="shared" si="461"/>
        <v>25.2</v>
      </c>
      <c r="I2968" s="11">
        <f t="shared" si="462"/>
        <v>0.18</v>
      </c>
      <c r="J2968" s="12">
        <f t="shared" si="463"/>
        <v>-25.2</v>
      </c>
      <c r="K2968" s="17" t="str">
        <f t="shared" si="468"/>
        <v>Ecart négatif</v>
      </c>
      <c r="L2968" s="16">
        <f>base!X2968</f>
        <v>0</v>
      </c>
      <c r="M2968" s="11">
        <f t="shared" si="464"/>
        <v>0</v>
      </c>
      <c r="N2968" s="11">
        <f t="shared" si="465"/>
        <v>0</v>
      </c>
      <c r="O2968" s="11">
        <f t="shared" si="466"/>
        <v>0</v>
      </c>
      <c r="P2968" s="12">
        <f t="shared" si="467"/>
        <v>0</v>
      </c>
      <c r="Q2968" s="17" t="str">
        <f t="shared" si="469"/>
        <v>Pas d'écart</v>
      </c>
    </row>
    <row r="2969" spans="1:18" x14ac:dyDescent="0.3">
      <c r="A2969" s="34" t="str">
        <f>base!J2969</f>
        <v>RS</v>
      </c>
      <c r="B2969" s="34" t="str">
        <f>base!V2969</f>
        <v>02400</v>
      </c>
      <c r="C2969" s="37">
        <v>2</v>
      </c>
      <c r="D2969" s="36">
        <f>base!H2969</f>
        <v>22.5</v>
      </c>
      <c r="E2969" s="44"/>
      <c r="F2969" s="16">
        <f>base!W2969</f>
        <v>0</v>
      </c>
      <c r="G2969" s="11">
        <f t="shared" si="460"/>
        <v>0</v>
      </c>
      <c r="H2969" s="11">
        <f t="shared" si="461"/>
        <v>4.05</v>
      </c>
      <c r="I2969" s="11">
        <f t="shared" si="462"/>
        <v>0.18</v>
      </c>
      <c r="J2969" s="12">
        <f t="shared" si="463"/>
        <v>-4.05</v>
      </c>
      <c r="K2969" s="17" t="str">
        <f t="shared" si="468"/>
        <v>Ecart négatif</v>
      </c>
      <c r="L2969" s="16">
        <f>base!X2969</f>
        <v>0</v>
      </c>
      <c r="M2969" s="11">
        <f t="shared" si="464"/>
        <v>0</v>
      </c>
      <c r="N2969" s="11">
        <f t="shared" si="465"/>
        <v>0</v>
      </c>
      <c r="O2969" s="11">
        <f t="shared" si="466"/>
        <v>0</v>
      </c>
      <c r="P2969" s="12">
        <f t="shared" si="467"/>
        <v>0</v>
      </c>
      <c r="Q2969" s="17" t="str">
        <f t="shared" si="469"/>
        <v>Pas d'écart</v>
      </c>
    </row>
    <row r="2970" spans="1:18" x14ac:dyDescent="0.3">
      <c r="A2970" s="34" t="str">
        <f>base!J2970</f>
        <v>LS</v>
      </c>
      <c r="B2970" s="34" t="str">
        <f>base!V2970</f>
        <v>79402</v>
      </c>
      <c r="C2970" s="37">
        <v>79</v>
      </c>
      <c r="D2970" s="36">
        <f>base!H2970</f>
        <v>136.72</v>
      </c>
      <c r="E2970" s="44"/>
      <c r="F2970" s="16">
        <f>base!W2970</f>
        <v>28.71</v>
      </c>
      <c r="G2970" s="11">
        <f t="shared" si="460"/>
        <v>0.20999122293739028</v>
      </c>
      <c r="H2970" s="11">
        <f t="shared" si="461"/>
        <v>28.711199999999998</v>
      </c>
      <c r="I2970" s="11">
        <f t="shared" si="462"/>
        <v>0.21</v>
      </c>
      <c r="J2970" s="12">
        <f t="shared" si="463"/>
        <v>-1.1999999999972033E-3</v>
      </c>
      <c r="K2970" s="17" t="str">
        <f t="shared" si="468"/>
        <v>Ecart négatif</v>
      </c>
      <c r="L2970" s="16">
        <f>base!X2970</f>
        <v>0</v>
      </c>
      <c r="M2970" s="11">
        <f t="shared" si="464"/>
        <v>0</v>
      </c>
      <c r="N2970" s="11">
        <f t="shared" si="465"/>
        <v>16.406399999999998</v>
      </c>
      <c r="O2970" s="11">
        <f t="shared" si="466"/>
        <v>0.11999999999999998</v>
      </c>
      <c r="P2970" s="12">
        <f t="shared" si="467"/>
        <v>-16.406399999999998</v>
      </c>
      <c r="Q2970" s="17" t="str">
        <f t="shared" si="469"/>
        <v>Ecart négatif</v>
      </c>
    </row>
    <row r="2971" spans="1:18" x14ac:dyDescent="0.3">
      <c r="A2971" s="34" t="str">
        <f>base!J2971</f>
        <v>LM</v>
      </c>
      <c r="B2971" s="34" t="str">
        <f>base!V2971</f>
        <v>38340</v>
      </c>
      <c r="C2971" s="37">
        <v>86</v>
      </c>
      <c r="D2971" s="36">
        <f>base!H2971</f>
        <v>59.53</v>
      </c>
      <c r="E2971" s="44"/>
      <c r="F2971" s="16">
        <f>base!W2971</f>
        <v>16.07</v>
      </c>
      <c r="G2971" s="11">
        <f t="shared" si="460"/>
        <v>0.26994792541575674</v>
      </c>
      <c r="H2971" s="11">
        <f t="shared" si="461"/>
        <v>12.501300000000001</v>
      </c>
      <c r="I2971" s="11">
        <f t="shared" si="462"/>
        <v>0.21</v>
      </c>
      <c r="J2971" s="12">
        <f t="shared" si="463"/>
        <v>3.5686999999999998</v>
      </c>
      <c r="K2971" s="17" t="str">
        <f t="shared" si="468"/>
        <v>Ecart positif</v>
      </c>
      <c r="L2971" s="16">
        <f>base!X2971</f>
        <v>0</v>
      </c>
      <c r="M2971" s="11">
        <f t="shared" si="464"/>
        <v>0</v>
      </c>
      <c r="N2971" s="11">
        <f t="shared" si="465"/>
        <v>7.1436000000000002</v>
      </c>
      <c r="O2971" s="11">
        <f t="shared" si="466"/>
        <v>0.12</v>
      </c>
      <c r="P2971" s="12">
        <f t="shared" si="467"/>
        <v>-7.1436000000000002</v>
      </c>
      <c r="Q2971" s="17" t="str">
        <f t="shared" si="469"/>
        <v>Ecart négatif</v>
      </c>
    </row>
    <row r="2972" spans="1:18" x14ac:dyDescent="0.3">
      <c r="A2972" s="34" t="str">
        <f>base!J2972</f>
        <v>LS</v>
      </c>
      <c r="B2972" s="34" t="str">
        <f>base!V2972</f>
        <v>22440</v>
      </c>
      <c r="C2972" s="37">
        <v>18</v>
      </c>
      <c r="D2972" s="36">
        <f>base!H2972</f>
        <v>143.34</v>
      </c>
      <c r="E2972" s="44"/>
      <c r="F2972" s="16">
        <f>base!W2972</f>
        <v>55.9</v>
      </c>
      <c r="G2972" s="11">
        <f t="shared" si="460"/>
        <v>0.38998186130877632</v>
      </c>
      <c r="H2972" s="11">
        <f t="shared" si="461"/>
        <v>30.101399999999998</v>
      </c>
      <c r="I2972" s="11">
        <f t="shared" si="462"/>
        <v>0.21</v>
      </c>
      <c r="J2972" s="12">
        <f t="shared" si="463"/>
        <v>25.7986</v>
      </c>
      <c r="K2972" s="17" t="str">
        <f t="shared" si="468"/>
        <v>Ecart positif</v>
      </c>
      <c r="L2972" s="16">
        <f>base!X2972</f>
        <v>0</v>
      </c>
      <c r="M2972" s="11">
        <f t="shared" si="464"/>
        <v>0</v>
      </c>
      <c r="N2972" s="11">
        <f t="shared" si="465"/>
        <v>17.200800000000001</v>
      </c>
      <c r="O2972" s="11">
        <f t="shared" si="466"/>
        <v>0.12000000000000001</v>
      </c>
      <c r="P2972" s="12">
        <f t="shared" si="467"/>
        <v>-17.200800000000001</v>
      </c>
      <c r="Q2972" s="17" t="str">
        <f t="shared" si="469"/>
        <v>Ecart négatif</v>
      </c>
    </row>
    <row r="2973" spans="1:18" x14ac:dyDescent="0.3">
      <c r="A2973" s="34" t="str">
        <f>base!J2973</f>
        <v>LM</v>
      </c>
      <c r="B2973" s="34" t="str">
        <f>base!V2973</f>
        <v>75014</v>
      </c>
      <c r="C2973" s="37">
        <v>75</v>
      </c>
      <c r="D2973" s="36">
        <f>base!H2973</f>
        <v>137.59</v>
      </c>
      <c r="E2973" s="44"/>
      <c r="F2973" s="16">
        <f>base!W2973</f>
        <v>0</v>
      </c>
      <c r="G2973" s="11">
        <f t="shared" si="460"/>
        <v>0</v>
      </c>
      <c r="H2973" s="11">
        <f t="shared" si="461"/>
        <v>0</v>
      </c>
      <c r="I2973" s="11">
        <f t="shared" si="462"/>
        <v>0</v>
      </c>
      <c r="J2973" s="12">
        <f t="shared" si="463"/>
        <v>0</v>
      </c>
      <c r="K2973" s="17" t="str">
        <f t="shared" si="468"/>
        <v>Pas d'écart</v>
      </c>
      <c r="L2973" s="16">
        <f>base!X2973</f>
        <v>0</v>
      </c>
      <c r="M2973" s="11">
        <f t="shared" si="464"/>
        <v>0</v>
      </c>
      <c r="N2973" s="11">
        <f t="shared" si="465"/>
        <v>0</v>
      </c>
      <c r="O2973" s="11">
        <f t="shared" si="466"/>
        <v>0</v>
      </c>
      <c r="P2973" s="12">
        <f t="shared" si="467"/>
        <v>0</v>
      </c>
      <c r="Q2973" s="17" t="str">
        <f t="shared" si="469"/>
        <v>Pas d'écart</v>
      </c>
    </row>
    <row r="2974" spans="1:18" x14ac:dyDescent="0.3">
      <c r="A2974" s="34" t="str">
        <f>base!J2974</f>
        <v>LS</v>
      </c>
      <c r="B2974" s="34" t="str">
        <f>base!V2974</f>
        <v>75014</v>
      </c>
      <c r="C2974" s="37">
        <v>75</v>
      </c>
      <c r="D2974" s="36">
        <f>base!H2974</f>
        <v>107.6</v>
      </c>
      <c r="E2974" s="44"/>
      <c r="F2974" s="16">
        <f>base!W2974</f>
        <v>0</v>
      </c>
      <c r="G2974" s="11">
        <f t="shared" si="460"/>
        <v>0</v>
      </c>
      <c r="H2974" s="11">
        <f t="shared" si="461"/>
        <v>0</v>
      </c>
      <c r="I2974" s="11">
        <f t="shared" si="462"/>
        <v>0</v>
      </c>
      <c r="J2974" s="12">
        <f t="shared" si="463"/>
        <v>0</v>
      </c>
      <c r="K2974" s="17" t="str">
        <f t="shared" si="468"/>
        <v>Pas d'écart</v>
      </c>
      <c r="L2974" s="16">
        <f>base!X2974</f>
        <v>0</v>
      </c>
      <c r="M2974" s="11">
        <f t="shared" si="464"/>
        <v>0</v>
      </c>
      <c r="N2974" s="11">
        <f t="shared" si="465"/>
        <v>0</v>
      </c>
      <c r="O2974" s="11">
        <f t="shared" si="466"/>
        <v>0</v>
      </c>
      <c r="P2974" s="12">
        <f t="shared" si="467"/>
        <v>0</v>
      </c>
      <c r="Q2974" s="17" t="str">
        <f t="shared" si="469"/>
        <v>Pas d'écart</v>
      </c>
    </row>
    <row r="2975" spans="1:18" x14ac:dyDescent="0.3">
      <c r="A2975" s="34" t="str">
        <f>base!J2975</f>
        <v>LM</v>
      </c>
      <c r="B2975" s="34" t="str">
        <f>base!V2975</f>
        <v>49000</v>
      </c>
      <c r="C2975" s="37">
        <v>33</v>
      </c>
      <c r="D2975" s="36">
        <f>base!H2975</f>
        <v>37.92</v>
      </c>
      <c r="E2975" s="44"/>
      <c r="F2975" s="16">
        <f>base!W2975</f>
        <v>0</v>
      </c>
      <c r="G2975" s="11">
        <f t="shared" si="460"/>
        <v>0</v>
      </c>
      <c r="H2975" s="11">
        <f t="shared" si="461"/>
        <v>7.9632000000000005</v>
      </c>
      <c r="I2975" s="11">
        <f t="shared" si="462"/>
        <v>0.21</v>
      </c>
      <c r="J2975" s="12">
        <f t="shared" si="463"/>
        <v>-7.9632000000000005</v>
      </c>
      <c r="K2975" s="17" t="str">
        <f t="shared" si="468"/>
        <v>Ecart négatif</v>
      </c>
      <c r="L2975" s="16">
        <f>base!X2975</f>
        <v>0</v>
      </c>
      <c r="M2975" s="11">
        <f t="shared" si="464"/>
        <v>0</v>
      </c>
      <c r="N2975" s="11">
        <f t="shared" si="465"/>
        <v>6.4464000000000006</v>
      </c>
      <c r="O2975" s="11">
        <f t="shared" si="466"/>
        <v>0.17</v>
      </c>
      <c r="P2975" s="12">
        <f t="shared" si="467"/>
        <v>-6.4464000000000006</v>
      </c>
      <c r="Q2975" s="17" t="str">
        <f t="shared" si="469"/>
        <v>Ecart négatif</v>
      </c>
    </row>
    <row r="2976" spans="1:18" x14ac:dyDescent="0.3">
      <c r="A2976" s="34" t="str">
        <f>base!J2976</f>
        <v>LM</v>
      </c>
      <c r="B2976" s="34" t="str">
        <f>base!V2976</f>
        <v>13880</v>
      </c>
      <c r="C2976" s="37">
        <v>45</v>
      </c>
      <c r="D2976" s="36">
        <f>base!H2976</f>
        <v>120.85</v>
      </c>
      <c r="E2976" s="44"/>
      <c r="F2976" s="16">
        <f>base!W2976</f>
        <v>35.049999999999997</v>
      </c>
      <c r="G2976" s="11">
        <f t="shared" si="460"/>
        <v>0.29002896152254859</v>
      </c>
      <c r="H2976" s="11">
        <f t="shared" si="461"/>
        <v>25.378499999999999</v>
      </c>
      <c r="I2976" s="11">
        <f t="shared" si="462"/>
        <v>0.21</v>
      </c>
      <c r="J2976" s="12">
        <f t="shared" si="463"/>
        <v>9.6714999999999982</v>
      </c>
      <c r="K2976" s="17" t="str">
        <f t="shared" si="468"/>
        <v>Ecart positif</v>
      </c>
      <c r="L2976" s="16">
        <f>base!X2976</f>
        <v>0</v>
      </c>
      <c r="M2976" s="11">
        <f t="shared" si="464"/>
        <v>0</v>
      </c>
      <c r="N2976" s="11">
        <f t="shared" si="465"/>
        <v>14.501999999999999</v>
      </c>
      <c r="O2976" s="11">
        <f t="shared" si="466"/>
        <v>0.12</v>
      </c>
      <c r="P2976" s="12">
        <f t="shared" si="467"/>
        <v>-14.501999999999999</v>
      </c>
      <c r="Q2976" s="17" t="str">
        <f t="shared" si="469"/>
        <v>Ecart négatif</v>
      </c>
    </row>
    <row r="2977" spans="1:17" x14ac:dyDescent="0.3">
      <c r="A2977" s="34" t="str">
        <f>base!J2977</f>
        <v>LS</v>
      </c>
      <c r="B2977" s="34" t="str">
        <f>base!V2977</f>
        <v>50100</v>
      </c>
      <c r="C2977" s="37">
        <v>72</v>
      </c>
      <c r="D2977" s="36">
        <f>base!H2977</f>
        <v>0.53</v>
      </c>
      <c r="E2977" s="44"/>
      <c r="F2977" s="16">
        <f>base!W2977</f>
        <v>0.09</v>
      </c>
      <c r="G2977" s="11">
        <f t="shared" si="460"/>
        <v>0.16981132075471697</v>
      </c>
      <c r="H2977" s="11">
        <f t="shared" si="461"/>
        <v>0.1113</v>
      </c>
      <c r="I2977" s="11">
        <f t="shared" si="462"/>
        <v>0.21</v>
      </c>
      <c r="J2977" s="12">
        <f t="shared" si="463"/>
        <v>-2.1299999999999999E-2</v>
      </c>
      <c r="K2977" s="17" t="str">
        <f t="shared" si="468"/>
        <v>Ecart négatif</v>
      </c>
      <c r="L2977" s="16">
        <f>base!X2977</f>
        <v>0</v>
      </c>
      <c r="M2977" s="11">
        <f t="shared" si="464"/>
        <v>0</v>
      </c>
      <c r="N2977" s="11">
        <f t="shared" si="465"/>
        <v>6.3600000000000004E-2</v>
      </c>
      <c r="O2977" s="11">
        <f t="shared" si="466"/>
        <v>0.12</v>
      </c>
      <c r="P2977" s="12">
        <f t="shared" si="467"/>
        <v>-6.3600000000000004E-2</v>
      </c>
      <c r="Q2977" s="17" t="str">
        <f t="shared" si="469"/>
        <v>Ecart négatif</v>
      </c>
    </row>
    <row r="2978" spans="1:17" x14ac:dyDescent="0.3">
      <c r="A2978" s="34" t="str">
        <f>base!J2978</f>
        <v>LS</v>
      </c>
      <c r="B2978" s="34" t="str">
        <f>base!V2978</f>
        <v>75002</v>
      </c>
      <c r="C2978" s="37">
        <v>75</v>
      </c>
      <c r="D2978" s="36">
        <f>base!H2978</f>
        <v>0</v>
      </c>
      <c r="E2978" s="44"/>
      <c r="F2978" s="16">
        <f>base!W2978</f>
        <v>0</v>
      </c>
      <c r="G2978" s="11" t="e">
        <f t="shared" si="460"/>
        <v>#DIV/0!</v>
      </c>
      <c r="H2978" s="11">
        <f t="shared" si="461"/>
        <v>0</v>
      </c>
      <c r="I2978" s="11" t="e">
        <f t="shared" si="462"/>
        <v>#DIV/0!</v>
      </c>
      <c r="J2978" s="12">
        <f t="shared" si="463"/>
        <v>0</v>
      </c>
      <c r="K2978" s="17" t="str">
        <f t="shared" si="468"/>
        <v>Pas d'écart</v>
      </c>
      <c r="L2978" s="16">
        <f>base!X2978</f>
        <v>0</v>
      </c>
      <c r="M2978" s="11" t="e">
        <f t="shared" si="464"/>
        <v>#DIV/0!</v>
      </c>
      <c r="N2978" s="11">
        <f t="shared" si="465"/>
        <v>0</v>
      </c>
      <c r="O2978" s="11" t="e">
        <f t="shared" si="466"/>
        <v>#DIV/0!</v>
      </c>
      <c r="P2978" s="12">
        <f t="shared" si="467"/>
        <v>0</v>
      </c>
      <c r="Q2978" s="17" t="str">
        <f t="shared" si="469"/>
        <v>Pas d'écart</v>
      </c>
    </row>
    <row r="2979" spans="1:17" x14ac:dyDescent="0.3">
      <c r="A2979" s="34">
        <f>base!J2979</f>
        <v>0</v>
      </c>
      <c r="B2979" s="34" t="str">
        <f>base!V2979</f>
        <v>44240</v>
      </c>
      <c r="C2979" s="37">
        <v>44</v>
      </c>
      <c r="D2979" s="36">
        <f>base!H2979</f>
        <v>140</v>
      </c>
      <c r="E2979" s="44"/>
      <c r="F2979" s="16">
        <f>base!W2979</f>
        <v>0</v>
      </c>
      <c r="G2979" s="11">
        <f t="shared" si="460"/>
        <v>0</v>
      </c>
      <c r="H2979" s="11">
        <f t="shared" si="461"/>
        <v>37.800000000000004</v>
      </c>
      <c r="I2979" s="11">
        <f t="shared" si="462"/>
        <v>0.27</v>
      </c>
      <c r="J2979" s="12">
        <f t="shared" si="463"/>
        <v>-37.800000000000004</v>
      </c>
      <c r="K2979" s="17" t="str">
        <f t="shared" si="468"/>
        <v>Ecart négatif</v>
      </c>
      <c r="L2979" s="16">
        <f>base!X2979</f>
        <v>0</v>
      </c>
      <c r="M2979" s="11">
        <f t="shared" si="464"/>
        <v>0</v>
      </c>
      <c r="N2979" s="11">
        <f t="shared" si="465"/>
        <v>0</v>
      </c>
      <c r="O2979" s="11">
        <f t="shared" si="466"/>
        <v>0</v>
      </c>
      <c r="P2979" s="12">
        <f t="shared" si="467"/>
        <v>0</v>
      </c>
      <c r="Q2979" s="17" t="str">
        <f t="shared" si="469"/>
        <v>Pas d'écart</v>
      </c>
    </row>
    <row r="2980" spans="1:17" x14ac:dyDescent="0.3">
      <c r="A2980" s="34">
        <f>base!J2980</f>
        <v>0</v>
      </c>
      <c r="B2980" s="34" t="str">
        <f>base!V2980</f>
        <v>77184</v>
      </c>
      <c r="C2980" s="37">
        <v>77</v>
      </c>
      <c r="D2980" s="36">
        <f>base!H2980</f>
        <v>187.1</v>
      </c>
      <c r="E2980" s="44"/>
      <c r="F2980" s="16">
        <f>base!W2980</f>
        <v>0</v>
      </c>
      <c r="G2980" s="11">
        <f t="shared" si="460"/>
        <v>0</v>
      </c>
      <c r="H2980" s="11">
        <f t="shared" si="461"/>
        <v>0</v>
      </c>
      <c r="I2980" s="11">
        <f t="shared" si="462"/>
        <v>0</v>
      </c>
      <c r="J2980" s="12">
        <f t="shared" si="463"/>
        <v>0</v>
      </c>
      <c r="K2980" s="17" t="str">
        <f t="shared" si="468"/>
        <v>Pas d'écart</v>
      </c>
      <c r="L2980" s="16">
        <f>base!X2980</f>
        <v>0</v>
      </c>
      <c r="M2980" s="11">
        <f t="shared" si="464"/>
        <v>0</v>
      </c>
      <c r="N2980" s="11">
        <f t="shared" si="465"/>
        <v>0</v>
      </c>
      <c r="O2980" s="11">
        <f t="shared" si="466"/>
        <v>0</v>
      </c>
      <c r="P2980" s="12">
        <f t="shared" si="467"/>
        <v>0</v>
      </c>
      <c r="Q2980" s="17" t="str">
        <f t="shared" si="469"/>
        <v>Pas d'écart</v>
      </c>
    </row>
    <row r="2981" spans="1:17" x14ac:dyDescent="0.3">
      <c r="A2981" s="34" t="str">
        <f>base!J2981</f>
        <v>RM</v>
      </c>
      <c r="B2981" s="34" t="str">
        <f>base!V2981</f>
        <v>69002</v>
      </c>
      <c r="C2981" s="37">
        <v>69</v>
      </c>
      <c r="D2981" s="36">
        <f>base!H2981</f>
        <v>200</v>
      </c>
      <c r="E2981" s="44"/>
      <c r="F2981" s="16">
        <f>base!W2981</f>
        <v>0</v>
      </c>
      <c r="G2981" s="11">
        <f t="shared" si="460"/>
        <v>0</v>
      </c>
      <c r="H2981" s="11">
        <f t="shared" si="461"/>
        <v>54</v>
      </c>
      <c r="I2981" s="11">
        <f t="shared" si="462"/>
        <v>0.27</v>
      </c>
      <c r="J2981" s="12">
        <f t="shared" si="463"/>
        <v>-54</v>
      </c>
      <c r="K2981" s="17" t="str">
        <f t="shared" si="468"/>
        <v>Ecart négatif</v>
      </c>
      <c r="L2981" s="16">
        <f>base!X2981</f>
        <v>54</v>
      </c>
      <c r="M2981" s="11">
        <f t="shared" si="464"/>
        <v>0.27</v>
      </c>
      <c r="N2981" s="11">
        <f t="shared" si="465"/>
        <v>0</v>
      </c>
      <c r="O2981" s="11">
        <f t="shared" si="466"/>
        <v>0</v>
      </c>
      <c r="P2981" s="12">
        <f t="shared" si="467"/>
        <v>54</v>
      </c>
      <c r="Q2981" s="17" t="str">
        <f t="shared" si="469"/>
        <v>Ecart positif</v>
      </c>
    </row>
    <row r="2982" spans="1:17" x14ac:dyDescent="0.3">
      <c r="A2982" s="34" t="str">
        <f>base!J2982</f>
        <v>LS</v>
      </c>
      <c r="B2982" s="34" t="str">
        <f>base!V2982</f>
        <v>49300</v>
      </c>
      <c r="C2982" s="37">
        <v>41</v>
      </c>
      <c r="D2982" s="36">
        <f>base!H2982</f>
        <v>138.12</v>
      </c>
      <c r="E2982" s="44"/>
      <c r="F2982" s="16">
        <f>base!W2982</f>
        <v>37.29</v>
      </c>
      <c r="G2982" s="11">
        <f t="shared" si="460"/>
        <v>0.26998262380538662</v>
      </c>
      <c r="H2982" s="11">
        <f t="shared" si="461"/>
        <v>29.005199999999999</v>
      </c>
      <c r="I2982" s="11">
        <f t="shared" si="462"/>
        <v>0.21</v>
      </c>
      <c r="J2982" s="12">
        <f t="shared" si="463"/>
        <v>8.2848000000000006</v>
      </c>
      <c r="K2982" s="17" t="str">
        <f t="shared" si="468"/>
        <v>Ecart positif</v>
      </c>
      <c r="L2982" s="16">
        <f>base!X2982</f>
        <v>0</v>
      </c>
      <c r="M2982" s="11">
        <f t="shared" si="464"/>
        <v>0</v>
      </c>
      <c r="N2982" s="11">
        <f t="shared" si="465"/>
        <v>16.574400000000001</v>
      </c>
      <c r="O2982" s="11">
        <f t="shared" si="466"/>
        <v>0.12</v>
      </c>
      <c r="P2982" s="12">
        <f t="shared" si="467"/>
        <v>-16.574400000000001</v>
      </c>
      <c r="Q2982" s="17" t="str">
        <f t="shared" si="469"/>
        <v>Ecart négatif</v>
      </c>
    </row>
    <row r="2983" spans="1:17" x14ac:dyDescent="0.3">
      <c r="A2983" s="34" t="str">
        <f>base!J2983</f>
        <v>LS</v>
      </c>
      <c r="B2983" s="34" t="str">
        <f>base!V2983</f>
        <v>94340</v>
      </c>
      <c r="C2983" s="37">
        <v>94</v>
      </c>
      <c r="D2983" s="36">
        <f>base!H2983</f>
        <v>209.52</v>
      </c>
      <c r="E2983" s="44"/>
      <c r="F2983" s="16">
        <f>base!W2983</f>
        <v>0</v>
      </c>
      <c r="G2983" s="11">
        <f t="shared" si="460"/>
        <v>0</v>
      </c>
      <c r="H2983" s="11">
        <f t="shared" si="461"/>
        <v>0</v>
      </c>
      <c r="I2983" s="11">
        <f t="shared" si="462"/>
        <v>0</v>
      </c>
      <c r="J2983" s="12">
        <f t="shared" si="463"/>
        <v>0</v>
      </c>
      <c r="K2983" s="17" t="str">
        <f t="shared" si="468"/>
        <v>Pas d'écart</v>
      </c>
      <c r="L2983" s="16">
        <f>base!X2983</f>
        <v>0</v>
      </c>
      <c r="M2983" s="11">
        <f t="shared" si="464"/>
        <v>0</v>
      </c>
      <c r="N2983" s="11">
        <f t="shared" si="465"/>
        <v>0</v>
      </c>
      <c r="O2983" s="11">
        <f t="shared" si="466"/>
        <v>0</v>
      </c>
      <c r="P2983" s="12">
        <f t="shared" si="467"/>
        <v>0</v>
      </c>
      <c r="Q2983" s="17" t="str">
        <f t="shared" si="469"/>
        <v>Pas d'écart</v>
      </c>
    </row>
    <row r="2984" spans="1:17" x14ac:dyDescent="0.3">
      <c r="A2984" s="34" t="str">
        <f>base!J2984</f>
        <v>LS</v>
      </c>
      <c r="B2984" s="34" t="str">
        <f>base!V2984</f>
        <v>75011</v>
      </c>
      <c r="C2984" s="37">
        <v>75</v>
      </c>
      <c r="D2984" s="36">
        <f>base!H2984</f>
        <v>141.65</v>
      </c>
      <c r="E2984" s="44"/>
      <c r="F2984" s="16">
        <f>base!W2984</f>
        <v>0</v>
      </c>
      <c r="G2984" s="11">
        <f t="shared" si="460"/>
        <v>0</v>
      </c>
      <c r="H2984" s="11">
        <f t="shared" si="461"/>
        <v>0</v>
      </c>
      <c r="I2984" s="11">
        <f t="shared" si="462"/>
        <v>0</v>
      </c>
      <c r="J2984" s="12">
        <f t="shared" si="463"/>
        <v>0</v>
      </c>
      <c r="K2984" s="17" t="str">
        <f t="shared" si="468"/>
        <v>Pas d'écart</v>
      </c>
      <c r="L2984" s="16">
        <f>base!X2984</f>
        <v>0</v>
      </c>
      <c r="M2984" s="11">
        <f t="shared" si="464"/>
        <v>0</v>
      </c>
      <c r="N2984" s="11">
        <f t="shared" si="465"/>
        <v>0</v>
      </c>
      <c r="O2984" s="11">
        <f t="shared" si="466"/>
        <v>0</v>
      </c>
      <c r="P2984" s="12">
        <f t="shared" si="467"/>
        <v>0</v>
      </c>
      <c r="Q2984" s="17" t="str">
        <f t="shared" si="469"/>
        <v>Pas d'écart</v>
      </c>
    </row>
    <row r="2985" spans="1:17" x14ac:dyDescent="0.3">
      <c r="A2985" s="34" t="str">
        <f>base!J2985</f>
        <v>LM</v>
      </c>
      <c r="B2985" s="34" t="str">
        <f>base!V2985</f>
        <v>75014</v>
      </c>
      <c r="C2985" s="37">
        <v>75</v>
      </c>
      <c r="D2985" s="36">
        <f>base!H2985</f>
        <v>19.649999999999999</v>
      </c>
      <c r="E2985" s="44"/>
      <c r="F2985" s="16">
        <f>base!W2985</f>
        <v>0</v>
      </c>
      <c r="G2985" s="11">
        <f t="shared" si="460"/>
        <v>0</v>
      </c>
      <c r="H2985" s="11">
        <f t="shared" si="461"/>
        <v>0</v>
      </c>
      <c r="I2985" s="11">
        <f t="shared" si="462"/>
        <v>0</v>
      </c>
      <c r="J2985" s="12">
        <f t="shared" si="463"/>
        <v>0</v>
      </c>
      <c r="K2985" s="17" t="str">
        <f t="shared" si="468"/>
        <v>Pas d'écart</v>
      </c>
      <c r="L2985" s="16">
        <f>base!X2985</f>
        <v>0</v>
      </c>
      <c r="M2985" s="11">
        <f t="shared" si="464"/>
        <v>0</v>
      </c>
      <c r="N2985" s="11">
        <f t="shared" si="465"/>
        <v>0</v>
      </c>
      <c r="O2985" s="11">
        <f t="shared" si="466"/>
        <v>0</v>
      </c>
      <c r="P2985" s="12">
        <f t="shared" si="467"/>
        <v>0</v>
      </c>
      <c r="Q2985" s="17" t="str">
        <f t="shared" si="469"/>
        <v>Pas d'écart</v>
      </c>
    </row>
    <row r="2986" spans="1:17" x14ac:dyDescent="0.3">
      <c r="A2986" s="34" t="str">
        <f>base!J2986</f>
        <v>LM</v>
      </c>
      <c r="B2986" s="34" t="str">
        <f>base!V2986</f>
        <v>75014</v>
      </c>
      <c r="C2986" s="37">
        <v>75</v>
      </c>
      <c r="D2986" s="36">
        <f>base!H2986</f>
        <v>19.649999999999999</v>
      </c>
      <c r="E2986" s="44"/>
      <c r="F2986" s="16">
        <f>base!W2986</f>
        <v>0</v>
      </c>
      <c r="G2986" s="11">
        <f t="shared" si="460"/>
        <v>0</v>
      </c>
      <c r="H2986" s="11">
        <f t="shared" si="461"/>
        <v>0</v>
      </c>
      <c r="I2986" s="11">
        <f t="shared" si="462"/>
        <v>0</v>
      </c>
      <c r="J2986" s="12">
        <f t="shared" si="463"/>
        <v>0</v>
      </c>
      <c r="K2986" s="17" t="str">
        <f t="shared" si="468"/>
        <v>Pas d'écart</v>
      </c>
      <c r="L2986" s="16">
        <f>base!X2986</f>
        <v>0</v>
      </c>
      <c r="M2986" s="11">
        <f t="shared" si="464"/>
        <v>0</v>
      </c>
      <c r="N2986" s="11">
        <f t="shared" si="465"/>
        <v>0</v>
      </c>
      <c r="O2986" s="11">
        <f t="shared" si="466"/>
        <v>0</v>
      </c>
      <c r="P2986" s="12">
        <f t="shared" si="467"/>
        <v>0</v>
      </c>
      <c r="Q2986" s="17" t="str">
        <f t="shared" si="469"/>
        <v>Pas d'écart</v>
      </c>
    </row>
    <row r="2987" spans="1:17" x14ac:dyDescent="0.3">
      <c r="A2987" s="34" t="str">
        <f>base!J2987</f>
        <v>LS</v>
      </c>
      <c r="B2987" s="34" t="str">
        <f>base!V2987</f>
        <v>27110</v>
      </c>
      <c r="C2987" s="37">
        <v>28</v>
      </c>
      <c r="D2987" s="36">
        <f>base!H2987</f>
        <v>55.36</v>
      </c>
      <c r="E2987" s="44"/>
      <c r="F2987" s="16">
        <f>base!W2987</f>
        <v>9.41</v>
      </c>
      <c r="G2987" s="11">
        <f t="shared" si="460"/>
        <v>0.16997832369942198</v>
      </c>
      <c r="H2987" s="11">
        <f t="shared" si="461"/>
        <v>11.072000000000001</v>
      </c>
      <c r="I2987" s="11">
        <f t="shared" si="462"/>
        <v>0.2</v>
      </c>
      <c r="J2987" s="12">
        <f t="shared" si="463"/>
        <v>-1.6620000000000008</v>
      </c>
      <c r="K2987" s="17" t="str">
        <f t="shared" si="468"/>
        <v>Ecart négatif</v>
      </c>
      <c r="L2987" s="16">
        <f>base!X2987</f>
        <v>0</v>
      </c>
      <c r="M2987" s="11">
        <f t="shared" si="464"/>
        <v>0</v>
      </c>
      <c r="N2987" s="11">
        <f t="shared" si="465"/>
        <v>6.6431999999999993</v>
      </c>
      <c r="O2987" s="11">
        <f t="shared" si="466"/>
        <v>0.12</v>
      </c>
      <c r="P2987" s="12">
        <f t="shared" si="467"/>
        <v>-6.6431999999999993</v>
      </c>
      <c r="Q2987" s="17" t="str">
        <f t="shared" si="469"/>
        <v>Ecart négatif</v>
      </c>
    </row>
    <row r="2988" spans="1:17" x14ac:dyDescent="0.3">
      <c r="A2988" s="34" t="str">
        <f>base!J2988</f>
        <v>LM</v>
      </c>
      <c r="B2988" s="34" t="str">
        <f>base!V2988</f>
        <v>77160</v>
      </c>
      <c r="C2988" s="37">
        <v>77</v>
      </c>
      <c r="D2988" s="36">
        <f>base!H2988</f>
        <v>126.65</v>
      </c>
      <c r="E2988" s="44"/>
      <c r="F2988" s="16">
        <f>base!W2988</f>
        <v>0</v>
      </c>
      <c r="G2988" s="11">
        <f t="shared" si="460"/>
        <v>0</v>
      </c>
      <c r="H2988" s="11">
        <f t="shared" si="461"/>
        <v>0</v>
      </c>
      <c r="I2988" s="11">
        <f t="shared" si="462"/>
        <v>0</v>
      </c>
      <c r="J2988" s="12">
        <f t="shared" si="463"/>
        <v>0</v>
      </c>
      <c r="K2988" s="17" t="str">
        <f t="shared" si="468"/>
        <v>Pas d'écart</v>
      </c>
      <c r="L2988" s="16">
        <f>base!X2988</f>
        <v>0</v>
      </c>
      <c r="M2988" s="11">
        <f t="shared" si="464"/>
        <v>0</v>
      </c>
      <c r="N2988" s="11">
        <f t="shared" si="465"/>
        <v>0</v>
      </c>
      <c r="O2988" s="11">
        <f t="shared" si="466"/>
        <v>0</v>
      </c>
      <c r="P2988" s="12">
        <f t="shared" si="467"/>
        <v>0</v>
      </c>
      <c r="Q2988" s="17" t="str">
        <f t="shared" si="469"/>
        <v>Pas d'écart</v>
      </c>
    </row>
    <row r="2989" spans="1:17" x14ac:dyDescent="0.3">
      <c r="A2989" s="34" t="str">
        <f>base!J2989</f>
        <v>LM</v>
      </c>
      <c r="B2989" s="34" t="str">
        <f>base!V2989</f>
        <v>77160</v>
      </c>
      <c r="C2989" s="37">
        <v>77</v>
      </c>
      <c r="D2989" s="36">
        <f>base!H2989</f>
        <v>142.99</v>
      </c>
      <c r="E2989" s="44"/>
      <c r="F2989" s="16">
        <f>base!W2989</f>
        <v>0</v>
      </c>
      <c r="G2989" s="11">
        <f t="shared" si="460"/>
        <v>0</v>
      </c>
      <c r="H2989" s="11">
        <f t="shared" si="461"/>
        <v>0</v>
      </c>
      <c r="I2989" s="11">
        <f t="shared" si="462"/>
        <v>0</v>
      </c>
      <c r="J2989" s="12">
        <f t="shared" si="463"/>
        <v>0</v>
      </c>
      <c r="K2989" s="17" t="str">
        <f t="shared" si="468"/>
        <v>Pas d'écart</v>
      </c>
      <c r="L2989" s="16">
        <f>base!X2989</f>
        <v>0</v>
      </c>
      <c r="M2989" s="11">
        <f t="shared" si="464"/>
        <v>0</v>
      </c>
      <c r="N2989" s="11">
        <f t="shared" si="465"/>
        <v>0</v>
      </c>
      <c r="O2989" s="11">
        <f t="shared" si="466"/>
        <v>0</v>
      </c>
      <c r="P2989" s="12">
        <f t="shared" si="467"/>
        <v>0</v>
      </c>
      <c r="Q2989" s="17" t="str">
        <f t="shared" si="469"/>
        <v>Pas d'écart</v>
      </c>
    </row>
    <row r="2990" spans="1:17" x14ac:dyDescent="0.3">
      <c r="A2990" s="34" t="str">
        <f>base!J2990</f>
        <v>LM</v>
      </c>
      <c r="B2990" s="34" t="str">
        <f>base!V2990</f>
        <v>14000</v>
      </c>
      <c r="C2990" s="37">
        <v>47</v>
      </c>
      <c r="D2990" s="36">
        <f>base!H2990</f>
        <v>115.22</v>
      </c>
      <c r="E2990" s="44"/>
      <c r="F2990" s="16">
        <f>base!W2990</f>
        <v>19.59</v>
      </c>
      <c r="G2990" s="11">
        <f t="shared" si="460"/>
        <v>0.17002256552681827</v>
      </c>
      <c r="H2990" s="11">
        <f t="shared" si="461"/>
        <v>24.196199999999997</v>
      </c>
      <c r="I2990" s="11">
        <f t="shared" si="462"/>
        <v>0.21</v>
      </c>
      <c r="J2990" s="12">
        <f t="shared" si="463"/>
        <v>-4.6061999999999976</v>
      </c>
      <c r="K2990" s="17" t="str">
        <f t="shared" si="468"/>
        <v>Ecart négatif</v>
      </c>
      <c r="L2990" s="16">
        <f>base!X2990</f>
        <v>0</v>
      </c>
      <c r="M2990" s="11">
        <f t="shared" si="464"/>
        <v>0</v>
      </c>
      <c r="N2990" s="11">
        <f t="shared" si="465"/>
        <v>19.587400000000002</v>
      </c>
      <c r="O2990" s="11">
        <f t="shared" si="466"/>
        <v>0.17</v>
      </c>
      <c r="P2990" s="12">
        <f t="shared" si="467"/>
        <v>-19.587400000000002</v>
      </c>
      <c r="Q2990" s="17" t="str">
        <f t="shared" si="469"/>
        <v>Ecart négatif</v>
      </c>
    </row>
    <row r="2991" spans="1:17" x14ac:dyDescent="0.3">
      <c r="A2991" s="34">
        <f>base!J2991</f>
        <v>0</v>
      </c>
      <c r="B2991" s="34" t="str">
        <f>base!V2991</f>
        <v>77184</v>
      </c>
      <c r="C2991" s="37">
        <v>77</v>
      </c>
      <c r="D2991" s="36">
        <f>base!H2991</f>
        <v>68.2</v>
      </c>
      <c r="E2991" s="44"/>
      <c r="F2991" s="16">
        <f>base!W2991</f>
        <v>0</v>
      </c>
      <c r="G2991" s="11">
        <f t="shared" si="460"/>
        <v>0</v>
      </c>
      <c r="H2991" s="11">
        <f t="shared" si="461"/>
        <v>0</v>
      </c>
      <c r="I2991" s="11">
        <f t="shared" si="462"/>
        <v>0</v>
      </c>
      <c r="J2991" s="12">
        <f t="shared" si="463"/>
        <v>0</v>
      </c>
      <c r="K2991" s="17" t="str">
        <f t="shared" si="468"/>
        <v>Pas d'écart</v>
      </c>
      <c r="L2991" s="16">
        <f>base!X2991</f>
        <v>0</v>
      </c>
      <c r="M2991" s="11">
        <f t="shared" si="464"/>
        <v>0</v>
      </c>
      <c r="N2991" s="11">
        <f t="shared" si="465"/>
        <v>0</v>
      </c>
      <c r="O2991" s="11">
        <f t="shared" si="466"/>
        <v>0</v>
      </c>
      <c r="P2991" s="12">
        <f t="shared" si="467"/>
        <v>0</v>
      </c>
      <c r="Q2991" s="17" t="str">
        <f t="shared" si="469"/>
        <v>Pas d'écart</v>
      </c>
    </row>
    <row r="2992" spans="1:17" x14ac:dyDescent="0.3">
      <c r="A2992" s="34">
        <f>base!J2992</f>
        <v>0</v>
      </c>
      <c r="B2992" s="34" t="str">
        <f>base!V2992</f>
        <v>77184</v>
      </c>
      <c r="C2992" s="37">
        <v>77</v>
      </c>
      <c r="D2992" s="36">
        <f>base!H2992</f>
        <v>245.8</v>
      </c>
      <c r="E2992" s="44"/>
      <c r="F2992" s="16">
        <f>base!W2992</f>
        <v>0</v>
      </c>
      <c r="G2992" s="11">
        <f t="shared" si="460"/>
        <v>0</v>
      </c>
      <c r="H2992" s="11">
        <f t="shared" si="461"/>
        <v>0</v>
      </c>
      <c r="I2992" s="11">
        <f t="shared" si="462"/>
        <v>0</v>
      </c>
      <c r="J2992" s="12">
        <f t="shared" si="463"/>
        <v>0</v>
      </c>
      <c r="K2992" s="17" t="str">
        <f t="shared" si="468"/>
        <v>Pas d'écart</v>
      </c>
      <c r="L2992" s="16">
        <f>base!X2992</f>
        <v>0</v>
      </c>
      <c r="M2992" s="11">
        <f t="shared" si="464"/>
        <v>0</v>
      </c>
      <c r="N2992" s="11">
        <f t="shared" si="465"/>
        <v>0</v>
      </c>
      <c r="O2992" s="11">
        <f t="shared" si="466"/>
        <v>0</v>
      </c>
      <c r="P2992" s="12">
        <f t="shared" si="467"/>
        <v>0</v>
      </c>
      <c r="Q2992" s="17" t="str">
        <f t="shared" si="469"/>
        <v>Pas d'écart</v>
      </c>
    </row>
    <row r="2993" spans="1:18" x14ac:dyDescent="0.3">
      <c r="A2993" s="34" t="str">
        <f>base!J2993</f>
        <v>RM</v>
      </c>
      <c r="B2993" s="34" t="str">
        <f>base!V2993</f>
        <v>75017</v>
      </c>
      <c r="C2993" s="37">
        <v>75</v>
      </c>
      <c r="D2993" s="36">
        <f>base!H2993</f>
        <v>299</v>
      </c>
      <c r="E2993" s="44"/>
      <c r="F2993" s="16">
        <f>base!W2993</f>
        <v>0</v>
      </c>
      <c r="G2993" s="11">
        <f t="shared" si="460"/>
        <v>0</v>
      </c>
      <c r="H2993" s="11">
        <f t="shared" si="461"/>
        <v>0</v>
      </c>
      <c r="I2993" s="11">
        <f t="shared" si="462"/>
        <v>0</v>
      </c>
      <c r="J2993" s="12">
        <f t="shared" si="463"/>
        <v>0</v>
      </c>
      <c r="K2993" s="17" t="str">
        <f t="shared" si="468"/>
        <v>Pas d'écart</v>
      </c>
      <c r="L2993" s="16">
        <f>base!X2993</f>
        <v>0</v>
      </c>
      <c r="M2993" s="11">
        <f t="shared" si="464"/>
        <v>0</v>
      </c>
      <c r="N2993" s="11">
        <f t="shared" si="465"/>
        <v>0</v>
      </c>
      <c r="O2993" s="11">
        <f t="shared" si="466"/>
        <v>0</v>
      </c>
      <c r="P2993" s="12">
        <f t="shared" si="467"/>
        <v>0</v>
      </c>
      <c r="Q2993" s="17" t="str">
        <f t="shared" si="469"/>
        <v>Pas d'écart</v>
      </c>
    </row>
    <row r="2994" spans="1:18" x14ac:dyDescent="0.3">
      <c r="A2994" s="34" t="str">
        <f>base!J2994</f>
        <v>LM</v>
      </c>
      <c r="B2994" s="34" t="str">
        <f>base!V2994</f>
        <v>52800</v>
      </c>
      <c r="C2994" s="37">
        <v>45</v>
      </c>
      <c r="D2994" s="36">
        <f>base!H2994</f>
        <v>22.62</v>
      </c>
      <c r="E2994" s="44"/>
      <c r="F2994" s="16">
        <f>base!W2994</f>
        <v>5.43</v>
      </c>
      <c r="G2994" s="11">
        <f t="shared" si="460"/>
        <v>0.24005305039787797</v>
      </c>
      <c r="H2994" s="11">
        <f t="shared" si="461"/>
        <v>4.7502000000000004</v>
      </c>
      <c r="I2994" s="11">
        <f t="shared" si="462"/>
        <v>0.21000000000000002</v>
      </c>
      <c r="J2994" s="12">
        <f t="shared" si="463"/>
        <v>0.67979999999999929</v>
      </c>
      <c r="K2994" s="17" t="str">
        <f t="shared" si="468"/>
        <v>Ecart positif</v>
      </c>
      <c r="L2994" s="16">
        <f>base!X2994</f>
        <v>0</v>
      </c>
      <c r="M2994" s="11">
        <f t="shared" si="464"/>
        <v>0</v>
      </c>
      <c r="N2994" s="11">
        <f t="shared" si="465"/>
        <v>2.7143999999999999</v>
      </c>
      <c r="O2994" s="11">
        <f t="shared" si="466"/>
        <v>0.12</v>
      </c>
      <c r="P2994" s="12">
        <f t="shared" si="467"/>
        <v>-2.7143999999999999</v>
      </c>
      <c r="Q2994" s="17" t="str">
        <f t="shared" si="469"/>
        <v>Ecart négatif</v>
      </c>
    </row>
    <row r="2995" spans="1:18" x14ac:dyDescent="0.3">
      <c r="A2995" s="34" t="str">
        <f>base!J2995</f>
        <v>DRM</v>
      </c>
      <c r="B2995" s="34" t="str">
        <f>base!V2995</f>
        <v>63100</v>
      </c>
      <c r="C2995" s="37">
        <v>63</v>
      </c>
      <c r="D2995" s="36">
        <f>base!H2995</f>
        <v>149.62</v>
      </c>
      <c r="E2995" s="44"/>
      <c r="F2995" s="16">
        <f>base!W2995</f>
        <v>0</v>
      </c>
      <c r="G2995" s="11">
        <f t="shared" si="460"/>
        <v>0</v>
      </c>
      <c r="H2995" s="11">
        <f t="shared" si="461"/>
        <v>43.389800000000001</v>
      </c>
      <c r="I2995" s="11">
        <f t="shared" si="462"/>
        <v>0.28999999999999998</v>
      </c>
      <c r="J2995" s="12">
        <f t="shared" si="463"/>
        <v>-43.389800000000001</v>
      </c>
      <c r="K2995" s="17" t="str">
        <f t="shared" si="468"/>
        <v>Ecart négatif</v>
      </c>
      <c r="L2995" s="16">
        <f>base!X2995</f>
        <v>0</v>
      </c>
      <c r="M2995" s="11">
        <f t="shared" si="464"/>
        <v>0</v>
      </c>
      <c r="N2995" s="11">
        <f t="shared" si="465"/>
        <v>17.9544</v>
      </c>
      <c r="O2995" s="11">
        <f t="shared" si="466"/>
        <v>0.12</v>
      </c>
      <c r="P2995" s="12">
        <f t="shared" si="467"/>
        <v>-17.9544</v>
      </c>
      <c r="Q2995" s="17" t="str">
        <f t="shared" si="469"/>
        <v>Ecart négatif</v>
      </c>
    </row>
    <row r="2996" spans="1:18" x14ac:dyDescent="0.3">
      <c r="A2996" s="34" t="str">
        <f>base!J2996</f>
        <v>LS</v>
      </c>
      <c r="B2996" s="34" t="str">
        <f>base!V2996</f>
        <v>75014</v>
      </c>
      <c r="C2996" s="37">
        <v>75</v>
      </c>
      <c r="D2996" s="36">
        <f>base!H2996</f>
        <v>414.67</v>
      </c>
      <c r="E2996" s="44"/>
      <c r="F2996" s="16">
        <f>base!W2996</f>
        <v>0</v>
      </c>
      <c r="G2996" s="11">
        <f t="shared" si="460"/>
        <v>0</v>
      </c>
      <c r="H2996" s="11">
        <f t="shared" si="461"/>
        <v>0</v>
      </c>
      <c r="I2996" s="11">
        <f t="shared" si="462"/>
        <v>0</v>
      </c>
      <c r="J2996" s="12">
        <f t="shared" si="463"/>
        <v>0</v>
      </c>
      <c r="K2996" s="17" t="str">
        <f t="shared" si="468"/>
        <v>Pas d'écart</v>
      </c>
      <c r="L2996" s="16">
        <f>base!X2996</f>
        <v>0</v>
      </c>
      <c r="M2996" s="11">
        <f t="shared" si="464"/>
        <v>0</v>
      </c>
      <c r="N2996" s="11">
        <f t="shared" si="465"/>
        <v>0</v>
      </c>
      <c r="O2996" s="11">
        <f t="shared" si="466"/>
        <v>0</v>
      </c>
      <c r="P2996" s="12">
        <f t="shared" si="467"/>
        <v>0</v>
      </c>
      <c r="Q2996" s="17" t="str">
        <f t="shared" si="469"/>
        <v>Pas d'écart</v>
      </c>
    </row>
    <row r="2997" spans="1:18" x14ac:dyDescent="0.3">
      <c r="A2997" s="34" t="str">
        <f>base!J2997</f>
        <v>LM</v>
      </c>
      <c r="B2997" s="34" t="str">
        <f>base!V2997</f>
        <v>59270</v>
      </c>
      <c r="C2997" s="37">
        <v>64</v>
      </c>
      <c r="D2997" s="36">
        <f>base!H2997</f>
        <v>39.25</v>
      </c>
      <c r="E2997" s="44"/>
      <c r="F2997" s="16">
        <f>base!W2997</f>
        <v>7.46</v>
      </c>
      <c r="G2997" s="11">
        <f t="shared" si="460"/>
        <v>0.19006369426751593</v>
      </c>
      <c r="H2997" s="11">
        <f t="shared" si="461"/>
        <v>8.2424999999999997</v>
      </c>
      <c r="I2997" s="11">
        <f t="shared" si="462"/>
        <v>0.21</v>
      </c>
      <c r="J2997" s="12">
        <f t="shared" si="463"/>
        <v>-0.78249999999999975</v>
      </c>
      <c r="K2997" s="17" t="str">
        <f t="shared" si="468"/>
        <v>Ecart négatif</v>
      </c>
      <c r="L2997" s="16">
        <f>base!X2997</f>
        <v>0</v>
      </c>
      <c r="M2997" s="11">
        <f t="shared" si="464"/>
        <v>0</v>
      </c>
      <c r="N2997" s="11">
        <f t="shared" si="465"/>
        <v>6.6725000000000003</v>
      </c>
      <c r="O2997" s="11">
        <f t="shared" si="466"/>
        <v>0.17</v>
      </c>
      <c r="P2997" s="12">
        <f t="shared" si="467"/>
        <v>-6.6725000000000003</v>
      </c>
      <c r="Q2997" s="17" t="str">
        <f t="shared" si="469"/>
        <v>Ecart négatif</v>
      </c>
    </row>
    <row r="2998" spans="1:18" x14ac:dyDescent="0.3">
      <c r="A2998" s="34" t="str">
        <f>base!J2998</f>
        <v>LS</v>
      </c>
      <c r="B2998" s="34" t="str">
        <f>base!V2998</f>
        <v>88300</v>
      </c>
      <c r="C2998" s="37">
        <v>33</v>
      </c>
      <c r="D2998" s="36">
        <f>base!H2998</f>
        <v>33.35</v>
      </c>
      <c r="E2998" s="44"/>
      <c r="F2998" s="16">
        <f>base!W2998</f>
        <v>9.67</v>
      </c>
      <c r="G2998" s="11">
        <f t="shared" si="460"/>
        <v>0.2899550224887556</v>
      </c>
      <c r="H2998" s="11">
        <f t="shared" si="461"/>
        <v>7.0034999999999998</v>
      </c>
      <c r="I2998" s="11">
        <f t="shared" si="462"/>
        <v>0.21</v>
      </c>
      <c r="J2998" s="12">
        <f t="shared" si="463"/>
        <v>2.6665000000000001</v>
      </c>
      <c r="K2998" s="17" t="str">
        <f t="shared" si="468"/>
        <v>Ecart positif</v>
      </c>
      <c r="L2998" s="16">
        <f>base!X2998</f>
        <v>0</v>
      </c>
      <c r="M2998" s="11">
        <f t="shared" si="464"/>
        <v>0</v>
      </c>
      <c r="N2998" s="11">
        <f t="shared" si="465"/>
        <v>5.6695000000000002</v>
      </c>
      <c r="O2998" s="11">
        <f t="shared" si="466"/>
        <v>0.17</v>
      </c>
      <c r="P2998" s="12">
        <f t="shared" si="467"/>
        <v>-5.6695000000000002</v>
      </c>
      <c r="Q2998" s="17" t="str">
        <f t="shared" si="469"/>
        <v>Ecart négatif</v>
      </c>
    </row>
    <row r="2999" spans="1:18" x14ac:dyDescent="0.3">
      <c r="A2999" s="34">
        <f>base!J2999</f>
        <v>0</v>
      </c>
      <c r="B2999" s="34" t="str">
        <f>base!V2999</f>
        <v>77184</v>
      </c>
      <c r="C2999" s="37">
        <v>77</v>
      </c>
      <c r="D2999" s="36">
        <f>base!H2999</f>
        <v>180</v>
      </c>
      <c r="E2999" s="44"/>
      <c r="F2999" s="16">
        <f>base!W2999</f>
        <v>0</v>
      </c>
      <c r="G2999" s="11">
        <f t="shared" si="460"/>
        <v>0</v>
      </c>
      <c r="H2999" s="11">
        <f t="shared" si="461"/>
        <v>0</v>
      </c>
      <c r="I2999" s="11">
        <f t="shared" si="462"/>
        <v>0</v>
      </c>
      <c r="J2999" s="12">
        <f t="shared" si="463"/>
        <v>0</v>
      </c>
      <c r="K2999" s="17" t="str">
        <f t="shared" si="468"/>
        <v>Pas d'écart</v>
      </c>
      <c r="L2999" s="16">
        <f>base!X2999</f>
        <v>0</v>
      </c>
      <c r="M2999" s="11">
        <f t="shared" si="464"/>
        <v>0</v>
      </c>
      <c r="N2999" s="11">
        <f t="shared" si="465"/>
        <v>0</v>
      </c>
      <c r="O2999" s="11">
        <f t="shared" si="466"/>
        <v>0</v>
      </c>
      <c r="P2999" s="12">
        <f t="shared" si="467"/>
        <v>0</v>
      </c>
      <c r="Q2999" s="17" t="str">
        <f t="shared" si="469"/>
        <v>Pas d'écart</v>
      </c>
    </row>
    <row r="3000" spans="1:18" x14ac:dyDescent="0.3">
      <c r="A3000" s="34" t="str">
        <f>base!J3000</f>
        <v>RM</v>
      </c>
      <c r="B3000" s="34" t="str">
        <f>base!V3000</f>
        <v>45000</v>
      </c>
      <c r="C3000" s="37">
        <v>45</v>
      </c>
      <c r="D3000" s="36">
        <f>base!H3000</f>
        <v>25.6</v>
      </c>
      <c r="E3000" s="44"/>
      <c r="F3000" s="16">
        <f>base!W3000</f>
        <v>0</v>
      </c>
      <c r="G3000" s="11">
        <f t="shared" si="460"/>
        <v>0</v>
      </c>
      <c r="H3000" s="11">
        <f t="shared" si="461"/>
        <v>5.3760000000000003</v>
      </c>
      <c r="I3000" s="11">
        <f t="shared" si="462"/>
        <v>0.21</v>
      </c>
      <c r="J3000" s="12">
        <f t="shared" si="463"/>
        <v>-5.3760000000000003</v>
      </c>
      <c r="K3000" s="17" t="str">
        <f t="shared" si="468"/>
        <v>Ecart négatif</v>
      </c>
      <c r="L3000" s="16">
        <f>base!X3000</f>
        <v>0</v>
      </c>
      <c r="M3000" s="11">
        <f t="shared" si="464"/>
        <v>0</v>
      </c>
      <c r="N3000" s="11">
        <f t="shared" si="465"/>
        <v>3.0720000000000001</v>
      </c>
      <c r="O3000" s="11">
        <f t="shared" si="466"/>
        <v>0.12</v>
      </c>
      <c r="P3000" s="12">
        <f t="shared" si="467"/>
        <v>-3.0720000000000001</v>
      </c>
      <c r="Q3000" s="17" t="str">
        <f t="shared" si="469"/>
        <v>Ecart négatif</v>
      </c>
    </row>
    <row r="3001" spans="1:18" x14ac:dyDescent="0.3">
      <c r="A3001" s="34" t="str">
        <f>base!J3001</f>
        <v>LM</v>
      </c>
      <c r="B3001" s="34" t="str">
        <f>base!V3001</f>
        <v>76520</v>
      </c>
      <c r="C3001" s="37">
        <v>45</v>
      </c>
      <c r="D3001" s="36">
        <f>base!H3001</f>
        <v>172.73</v>
      </c>
      <c r="E3001" s="44"/>
      <c r="F3001" s="16">
        <f>base!W3001</f>
        <v>29.36</v>
      </c>
      <c r="G3001" s="11">
        <f t="shared" si="460"/>
        <v>0.16997626353268108</v>
      </c>
      <c r="H3001" s="11">
        <f t="shared" si="461"/>
        <v>36.273299999999999</v>
      </c>
      <c r="I3001" s="11">
        <f t="shared" si="462"/>
        <v>0.21000000000000002</v>
      </c>
      <c r="J3001" s="12">
        <f t="shared" si="463"/>
        <v>-6.9132999999999996</v>
      </c>
      <c r="K3001" s="17" t="str">
        <f t="shared" si="468"/>
        <v>Ecart négatif</v>
      </c>
      <c r="L3001" s="16">
        <f>base!X3001</f>
        <v>0</v>
      </c>
      <c r="M3001" s="11">
        <f t="shared" si="464"/>
        <v>0</v>
      </c>
      <c r="N3001" s="11">
        <f t="shared" si="465"/>
        <v>20.727599999999999</v>
      </c>
      <c r="O3001" s="11">
        <f t="shared" si="466"/>
        <v>0.12</v>
      </c>
      <c r="P3001" s="12">
        <f t="shared" si="467"/>
        <v>-20.727599999999999</v>
      </c>
      <c r="Q3001" s="17" t="str">
        <f t="shared" si="469"/>
        <v>Ecart négatif</v>
      </c>
    </row>
    <row r="3002" spans="1:18" x14ac:dyDescent="0.3">
      <c r="A3002" s="34">
        <f>base!J3002</f>
        <v>0</v>
      </c>
      <c r="B3002" s="34" t="str">
        <f>base!V3002</f>
        <v>77184</v>
      </c>
      <c r="C3002" s="37">
        <v>77</v>
      </c>
      <c r="D3002" s="36">
        <f>base!H3002</f>
        <v>66.92</v>
      </c>
      <c r="E3002" s="44"/>
      <c r="F3002" s="16">
        <f>base!W3002</f>
        <v>0</v>
      </c>
      <c r="G3002" s="11">
        <f t="shared" si="460"/>
        <v>0</v>
      </c>
      <c r="H3002" s="11">
        <f t="shared" si="461"/>
        <v>0</v>
      </c>
      <c r="I3002" s="11">
        <f t="shared" si="462"/>
        <v>0</v>
      </c>
      <c r="J3002" s="12">
        <f t="shared" si="463"/>
        <v>0</v>
      </c>
      <c r="K3002" s="17" t="str">
        <f t="shared" si="468"/>
        <v>Pas d'écart</v>
      </c>
      <c r="L3002" s="16">
        <f>base!X3002</f>
        <v>0</v>
      </c>
      <c r="M3002" s="11">
        <f t="shared" si="464"/>
        <v>0</v>
      </c>
      <c r="N3002" s="11">
        <f t="shared" si="465"/>
        <v>0</v>
      </c>
      <c r="O3002" s="11">
        <f t="shared" si="466"/>
        <v>0</v>
      </c>
      <c r="P3002" s="12">
        <f t="shared" si="467"/>
        <v>0</v>
      </c>
      <c r="Q3002" s="17" t="str">
        <f t="shared" si="469"/>
        <v>Pas d'écart</v>
      </c>
    </row>
    <row r="3003" spans="1:18" x14ac:dyDescent="0.3">
      <c r="A3003" s="34" t="str">
        <f>base!J3003</f>
        <v>LM</v>
      </c>
      <c r="B3003" s="34" t="str">
        <f>base!V3003</f>
        <v>78190</v>
      </c>
      <c r="C3003" s="37">
        <v>78</v>
      </c>
      <c r="D3003" s="36">
        <f>base!H3003</f>
        <v>137.22999999999999</v>
      </c>
      <c r="E3003" s="44"/>
      <c r="F3003" s="16">
        <f>base!W3003</f>
        <v>0</v>
      </c>
      <c r="G3003" s="11">
        <f t="shared" si="460"/>
        <v>0</v>
      </c>
      <c r="H3003" s="11">
        <f t="shared" si="461"/>
        <v>0</v>
      </c>
      <c r="I3003" s="11">
        <f t="shared" si="462"/>
        <v>0</v>
      </c>
      <c r="J3003" s="12">
        <f t="shared" si="463"/>
        <v>0</v>
      </c>
      <c r="K3003" s="17" t="str">
        <f t="shared" si="468"/>
        <v>Pas d'écart</v>
      </c>
      <c r="L3003" s="16">
        <f>base!X3003</f>
        <v>0</v>
      </c>
      <c r="M3003" s="11">
        <f t="shared" si="464"/>
        <v>0</v>
      </c>
      <c r="N3003" s="11">
        <f t="shared" si="465"/>
        <v>0</v>
      </c>
      <c r="O3003" s="11">
        <f t="shared" si="466"/>
        <v>0</v>
      </c>
      <c r="P3003" s="12">
        <f t="shared" si="467"/>
        <v>0</v>
      </c>
      <c r="Q3003" s="17" t="str">
        <f t="shared" si="469"/>
        <v>Pas d'écart</v>
      </c>
    </row>
    <row r="3004" spans="1:18" x14ac:dyDescent="0.3">
      <c r="A3004" s="34" t="str">
        <f>base!J3004</f>
        <v>LS</v>
      </c>
      <c r="B3004" s="34" t="str">
        <f>base!V3004</f>
        <v>35400</v>
      </c>
      <c r="C3004" s="37">
        <v>64</v>
      </c>
      <c r="D3004" s="36">
        <f>base!H3004</f>
        <v>51.6</v>
      </c>
      <c r="E3004" s="44"/>
      <c r="F3004" s="16">
        <f>base!W3004</f>
        <v>13.93</v>
      </c>
      <c r="G3004" s="11">
        <f t="shared" si="460"/>
        <v>0.26996124031007751</v>
      </c>
      <c r="H3004" s="11">
        <f t="shared" si="461"/>
        <v>10.836</v>
      </c>
      <c r="I3004" s="11">
        <f t="shared" si="462"/>
        <v>0.21</v>
      </c>
      <c r="J3004" s="12">
        <f t="shared" si="463"/>
        <v>3.0939999999999994</v>
      </c>
      <c r="K3004" s="17" t="str">
        <f t="shared" si="468"/>
        <v>Ecart positif</v>
      </c>
      <c r="L3004" s="16">
        <f>base!X3004</f>
        <v>0</v>
      </c>
      <c r="M3004" s="11">
        <f t="shared" si="464"/>
        <v>0</v>
      </c>
      <c r="N3004" s="11">
        <f t="shared" si="465"/>
        <v>8.7720000000000002</v>
      </c>
      <c r="O3004" s="11">
        <f t="shared" si="466"/>
        <v>0.17</v>
      </c>
      <c r="P3004" s="12">
        <f t="shared" si="467"/>
        <v>-8.7720000000000002</v>
      </c>
      <c r="Q3004" s="17" t="str">
        <f t="shared" si="469"/>
        <v>Ecart négatif</v>
      </c>
    </row>
    <row r="3005" spans="1:18" x14ac:dyDescent="0.3">
      <c r="A3005" s="34" t="str">
        <f>base!J3005</f>
        <v>RS</v>
      </c>
      <c r="B3005" s="34" t="str">
        <f>base!V3005</f>
        <v>06000</v>
      </c>
      <c r="C3005" s="37">
        <v>6</v>
      </c>
      <c r="D3005" s="36">
        <f>base!H3005</f>
        <v>250</v>
      </c>
      <c r="E3005" s="44"/>
      <c r="F3005" s="16">
        <f>base!W3005</f>
        <v>0</v>
      </c>
      <c r="G3005" s="11">
        <f t="shared" si="460"/>
        <v>0</v>
      </c>
      <c r="H3005" s="11">
        <f t="shared" si="461"/>
        <v>75</v>
      </c>
      <c r="I3005" s="11">
        <f t="shared" si="462"/>
        <v>0.3</v>
      </c>
      <c r="J3005" s="12">
        <f t="shared" si="463"/>
        <v>-75</v>
      </c>
      <c r="K3005" s="17" t="str">
        <f t="shared" si="468"/>
        <v>Ecart négatif</v>
      </c>
      <c r="L3005" s="16">
        <f>base!X3005</f>
        <v>52.5</v>
      </c>
      <c r="M3005" s="11">
        <f t="shared" si="464"/>
        <v>0.21</v>
      </c>
      <c r="N3005" s="11">
        <f t="shared" si="465"/>
        <v>52.5</v>
      </c>
      <c r="O3005" s="11">
        <f t="shared" si="466"/>
        <v>0.21</v>
      </c>
      <c r="P3005" s="12">
        <f t="shared" si="467"/>
        <v>0</v>
      </c>
      <c r="Q3005" s="17" t="str">
        <f t="shared" si="469"/>
        <v>Pas d'écart</v>
      </c>
      <c r="R3005" s="38"/>
    </row>
    <row r="3006" spans="1:18" x14ac:dyDescent="0.3">
      <c r="A3006" s="34" t="str">
        <f>base!J3006</f>
        <v>RM</v>
      </c>
      <c r="B3006" s="34" t="str">
        <f>base!V3006</f>
        <v>54000</v>
      </c>
      <c r="C3006" s="37">
        <v>54</v>
      </c>
      <c r="D3006" s="36">
        <f>base!H3006</f>
        <v>37.24</v>
      </c>
      <c r="E3006" s="44"/>
      <c r="F3006" s="16">
        <f>base!W3006</f>
        <v>0</v>
      </c>
      <c r="G3006" s="11">
        <f t="shared" si="460"/>
        <v>0</v>
      </c>
      <c r="H3006" s="11">
        <f t="shared" si="461"/>
        <v>9.31</v>
      </c>
      <c r="I3006" s="11">
        <f t="shared" si="462"/>
        <v>0.25</v>
      </c>
      <c r="J3006" s="12">
        <f t="shared" si="463"/>
        <v>-9.31</v>
      </c>
      <c r="K3006" s="17" t="str">
        <f t="shared" si="468"/>
        <v>Ecart négatif</v>
      </c>
      <c r="L3006" s="16">
        <f>base!X3006</f>
        <v>9.31</v>
      </c>
      <c r="M3006" s="11">
        <f t="shared" si="464"/>
        <v>0.25</v>
      </c>
      <c r="N3006" s="11">
        <f t="shared" si="465"/>
        <v>9.31</v>
      </c>
      <c r="O3006" s="11">
        <f t="shared" si="466"/>
        <v>0.25</v>
      </c>
      <c r="P3006" s="12">
        <f t="shared" si="467"/>
        <v>0</v>
      </c>
      <c r="Q3006" s="17" t="str">
        <f t="shared" si="469"/>
        <v>Pas d'écart</v>
      </c>
      <c r="R3006" s="38"/>
    </row>
    <row r="3007" spans="1:18" x14ac:dyDescent="0.3">
      <c r="A3007" s="34" t="str">
        <f>base!J3007</f>
        <v>LS</v>
      </c>
      <c r="B3007" s="34" t="str">
        <f>base!V3007</f>
        <v>62230</v>
      </c>
      <c r="C3007" s="37">
        <v>65</v>
      </c>
      <c r="D3007" s="36">
        <f>base!H3007</f>
        <v>55.16</v>
      </c>
      <c r="E3007" s="44"/>
      <c r="F3007" s="16">
        <f>base!W3007</f>
        <v>10.48</v>
      </c>
      <c r="G3007" s="11">
        <f t="shared" si="460"/>
        <v>0.1899927483683829</v>
      </c>
      <c r="H3007" s="11">
        <f t="shared" si="461"/>
        <v>12.135199999999999</v>
      </c>
      <c r="I3007" s="11">
        <f t="shared" si="462"/>
        <v>0.22</v>
      </c>
      <c r="J3007" s="12">
        <f t="shared" si="463"/>
        <v>-1.6551999999999989</v>
      </c>
      <c r="K3007" s="17" t="str">
        <f t="shared" si="468"/>
        <v>Ecart négatif</v>
      </c>
      <c r="L3007" s="16">
        <f>base!X3007</f>
        <v>0</v>
      </c>
      <c r="M3007" s="11">
        <f t="shared" si="464"/>
        <v>0</v>
      </c>
      <c r="N3007" s="11">
        <f t="shared" si="465"/>
        <v>14.3416</v>
      </c>
      <c r="O3007" s="11">
        <f t="shared" si="466"/>
        <v>0.26</v>
      </c>
      <c r="P3007" s="12">
        <f t="shared" si="467"/>
        <v>-14.3416</v>
      </c>
      <c r="Q3007" s="17" t="str">
        <f t="shared" si="469"/>
        <v>Ecart négatif</v>
      </c>
    </row>
    <row r="3008" spans="1:18" x14ac:dyDescent="0.3">
      <c r="A3008" s="34" t="str">
        <f>base!J3008</f>
        <v>RS</v>
      </c>
      <c r="B3008" s="34" t="str">
        <f>base!V3008</f>
        <v>75012</v>
      </c>
      <c r="C3008" s="37">
        <v>75</v>
      </c>
      <c r="D3008" s="36">
        <f>base!H3008</f>
        <v>40</v>
      </c>
      <c r="E3008" s="44"/>
      <c r="F3008" s="16">
        <f>base!W3008</f>
        <v>0</v>
      </c>
      <c r="G3008" s="11">
        <f t="shared" si="460"/>
        <v>0</v>
      </c>
      <c r="H3008" s="11">
        <f t="shared" si="461"/>
        <v>0</v>
      </c>
      <c r="I3008" s="11">
        <f t="shared" si="462"/>
        <v>0</v>
      </c>
      <c r="J3008" s="12">
        <f t="shared" si="463"/>
        <v>0</v>
      </c>
      <c r="K3008" s="17" t="str">
        <f t="shared" si="468"/>
        <v>Pas d'écart</v>
      </c>
      <c r="L3008" s="16">
        <f>base!X3008</f>
        <v>0</v>
      </c>
      <c r="M3008" s="11">
        <f t="shared" si="464"/>
        <v>0</v>
      </c>
      <c r="N3008" s="11">
        <f t="shared" si="465"/>
        <v>0</v>
      </c>
      <c r="O3008" s="11">
        <f t="shared" si="466"/>
        <v>0</v>
      </c>
      <c r="P3008" s="12">
        <f t="shared" si="467"/>
        <v>0</v>
      </c>
      <c r="Q3008" s="17" t="str">
        <f t="shared" si="469"/>
        <v>Pas d'écart</v>
      </c>
    </row>
    <row r="3009" spans="1:17" x14ac:dyDescent="0.3">
      <c r="A3009" s="34" t="str">
        <f>base!J3009</f>
        <v>RS</v>
      </c>
      <c r="B3009" s="34" t="str">
        <f>base!V3009</f>
        <v>94270</v>
      </c>
      <c r="C3009" s="37">
        <v>94</v>
      </c>
      <c r="D3009" s="36">
        <f>base!H3009</f>
        <v>93.9</v>
      </c>
      <c r="E3009" s="44"/>
      <c r="F3009" s="16">
        <f>base!W3009</f>
        <v>0</v>
      </c>
      <c r="G3009" s="11">
        <f t="shared" si="460"/>
        <v>0</v>
      </c>
      <c r="H3009" s="11">
        <f t="shared" si="461"/>
        <v>0</v>
      </c>
      <c r="I3009" s="11">
        <f t="shared" si="462"/>
        <v>0</v>
      </c>
      <c r="J3009" s="12">
        <f t="shared" si="463"/>
        <v>0</v>
      </c>
      <c r="K3009" s="17" t="str">
        <f t="shared" si="468"/>
        <v>Pas d'écart</v>
      </c>
      <c r="L3009" s="16">
        <f>base!X3009</f>
        <v>0</v>
      </c>
      <c r="M3009" s="11">
        <f t="shared" si="464"/>
        <v>0</v>
      </c>
      <c r="N3009" s="11">
        <f t="shared" si="465"/>
        <v>0</v>
      </c>
      <c r="O3009" s="11">
        <f t="shared" si="466"/>
        <v>0</v>
      </c>
      <c r="P3009" s="12">
        <f t="shared" si="467"/>
        <v>0</v>
      </c>
      <c r="Q3009" s="17" t="str">
        <f t="shared" si="469"/>
        <v>Pas d'écart</v>
      </c>
    </row>
    <row r="3010" spans="1:17" x14ac:dyDescent="0.3">
      <c r="A3010" s="34" t="str">
        <f>base!J3010</f>
        <v>DLS</v>
      </c>
      <c r="B3010" s="34" t="str">
        <f>base!V3010</f>
        <v>56000</v>
      </c>
      <c r="C3010" s="37">
        <v>56</v>
      </c>
      <c r="D3010" s="36">
        <f>base!H3010</f>
        <v>140</v>
      </c>
      <c r="E3010" s="44"/>
      <c r="F3010" s="16">
        <f>base!W3010</f>
        <v>0</v>
      </c>
      <c r="G3010" s="11">
        <f t="shared" ref="G3010:G3073" si="470">F3010/D3010</f>
        <v>0</v>
      </c>
      <c r="H3010" s="11">
        <f t="shared" ref="H3010:H3073" si="471">VLOOKUP(C3010,tout_cout_traction,2,FALSE)*D3010</f>
        <v>37.800000000000004</v>
      </c>
      <c r="I3010" s="11">
        <f t="shared" ref="I3010:I3073" si="472">H3010/D3010</f>
        <v>0.27</v>
      </c>
      <c r="J3010" s="12">
        <f t="shared" ref="J3010:J3073" si="473">F3010-H3010</f>
        <v>-37.800000000000004</v>
      </c>
      <c r="K3010" s="17" t="str">
        <f t="shared" si="468"/>
        <v>Ecart négatif</v>
      </c>
      <c r="L3010" s="16">
        <f>base!X3010</f>
        <v>29.4</v>
      </c>
      <c r="M3010" s="11">
        <f t="shared" ref="M3010:M3073" si="474">L3010/D3010</f>
        <v>0.21</v>
      </c>
      <c r="N3010" s="11">
        <f t="shared" ref="N3010:N3073" si="475">VLOOKUP(C3010,tout_cout_traction,3,FALSE)*D3010</f>
        <v>0</v>
      </c>
      <c r="O3010" s="11">
        <f t="shared" ref="O3010:O3073" si="476">N3010/D3010</f>
        <v>0</v>
      </c>
      <c r="P3010" s="12">
        <f t="shared" ref="P3010:P3073" si="477">L3010-N3010</f>
        <v>29.4</v>
      </c>
      <c r="Q3010" s="17" t="str">
        <f t="shared" si="469"/>
        <v>Ecart positif</v>
      </c>
    </row>
    <row r="3011" spans="1:17" x14ac:dyDescent="0.3">
      <c r="A3011" s="34" t="str">
        <f>base!J3011</f>
        <v>LS</v>
      </c>
      <c r="B3011" s="34" t="str">
        <f>base!V3011</f>
        <v>44200</v>
      </c>
      <c r="C3011" s="37">
        <v>44</v>
      </c>
      <c r="D3011" s="36">
        <f>base!H3011</f>
        <v>80</v>
      </c>
      <c r="E3011" s="44"/>
      <c r="F3011" s="16">
        <f>base!W3011</f>
        <v>21.6</v>
      </c>
      <c r="G3011" s="11">
        <f t="shared" si="470"/>
        <v>0.27</v>
      </c>
      <c r="H3011" s="11">
        <f t="shared" si="471"/>
        <v>21.6</v>
      </c>
      <c r="I3011" s="11">
        <f t="shared" si="472"/>
        <v>0.27</v>
      </c>
      <c r="J3011" s="12">
        <f t="shared" si="473"/>
        <v>0</v>
      </c>
      <c r="K3011" s="17" t="str">
        <f t="shared" ref="K3011:K3074" si="478">IF(H3011=F3011,"Pas d'écart",IF(H3011&lt;F3011,"Ecart positif",IF(H3011&gt;F3011,"Ecart négatif")))</f>
        <v>Pas d'écart</v>
      </c>
      <c r="L3011" s="16">
        <f>base!X3011</f>
        <v>0</v>
      </c>
      <c r="M3011" s="11">
        <f t="shared" si="474"/>
        <v>0</v>
      </c>
      <c r="N3011" s="11">
        <f t="shared" si="475"/>
        <v>0</v>
      </c>
      <c r="O3011" s="11">
        <f t="shared" si="476"/>
        <v>0</v>
      </c>
      <c r="P3011" s="12">
        <f t="shared" si="477"/>
        <v>0</v>
      </c>
      <c r="Q3011" s="17" t="str">
        <f t="shared" ref="Q3011:Q3074" si="479">IF(N3011=L3011,"Pas d'écart",IF(N3011&lt;L3011,"Ecart positif",IF(N3011&gt;L3011,"Ecart négatif")))</f>
        <v>Pas d'écart</v>
      </c>
    </row>
    <row r="3012" spans="1:17" x14ac:dyDescent="0.3">
      <c r="A3012" s="34" t="str">
        <f>base!J3012</f>
        <v>LM</v>
      </c>
      <c r="B3012" s="34" t="str">
        <f>base!V3012</f>
        <v>75010</v>
      </c>
      <c r="C3012" s="37">
        <v>75</v>
      </c>
      <c r="D3012" s="36">
        <f>base!H3012</f>
        <v>148.78</v>
      </c>
      <c r="E3012" s="44"/>
      <c r="F3012" s="16">
        <f>base!W3012</f>
        <v>0</v>
      </c>
      <c r="G3012" s="11">
        <f t="shared" si="470"/>
        <v>0</v>
      </c>
      <c r="H3012" s="11">
        <f t="shared" si="471"/>
        <v>0</v>
      </c>
      <c r="I3012" s="11">
        <f t="shared" si="472"/>
        <v>0</v>
      </c>
      <c r="J3012" s="12">
        <f t="shared" si="473"/>
        <v>0</v>
      </c>
      <c r="K3012" s="17" t="str">
        <f t="shared" si="478"/>
        <v>Pas d'écart</v>
      </c>
      <c r="L3012" s="16">
        <f>base!X3012</f>
        <v>0</v>
      </c>
      <c r="M3012" s="11">
        <f t="shared" si="474"/>
        <v>0</v>
      </c>
      <c r="N3012" s="11">
        <f t="shared" si="475"/>
        <v>0</v>
      </c>
      <c r="O3012" s="11">
        <f t="shared" si="476"/>
        <v>0</v>
      </c>
      <c r="P3012" s="12">
        <f t="shared" si="477"/>
        <v>0</v>
      </c>
      <c r="Q3012" s="17" t="str">
        <f t="shared" si="479"/>
        <v>Pas d'écart</v>
      </c>
    </row>
    <row r="3013" spans="1:17" x14ac:dyDescent="0.3">
      <c r="A3013" s="34" t="str">
        <f>base!J3013</f>
        <v>LM</v>
      </c>
      <c r="B3013" s="34" t="str">
        <f>base!V3013</f>
        <v>75010</v>
      </c>
      <c r="C3013" s="37">
        <v>75</v>
      </c>
      <c r="D3013" s="36">
        <f>base!H3013</f>
        <v>55.14</v>
      </c>
      <c r="E3013" s="44"/>
      <c r="F3013" s="16">
        <f>base!W3013</f>
        <v>0</v>
      </c>
      <c r="G3013" s="11">
        <f t="shared" si="470"/>
        <v>0</v>
      </c>
      <c r="H3013" s="11">
        <f t="shared" si="471"/>
        <v>0</v>
      </c>
      <c r="I3013" s="11">
        <f t="shared" si="472"/>
        <v>0</v>
      </c>
      <c r="J3013" s="12">
        <f t="shared" si="473"/>
        <v>0</v>
      </c>
      <c r="K3013" s="17" t="str">
        <f t="shared" si="478"/>
        <v>Pas d'écart</v>
      </c>
      <c r="L3013" s="16">
        <f>base!X3013</f>
        <v>0</v>
      </c>
      <c r="M3013" s="11">
        <f t="shared" si="474"/>
        <v>0</v>
      </c>
      <c r="N3013" s="11">
        <f t="shared" si="475"/>
        <v>0</v>
      </c>
      <c r="O3013" s="11">
        <f t="shared" si="476"/>
        <v>0</v>
      </c>
      <c r="P3013" s="12">
        <f t="shared" si="477"/>
        <v>0</v>
      </c>
      <c r="Q3013" s="17" t="str">
        <f t="shared" si="479"/>
        <v>Pas d'écart</v>
      </c>
    </row>
    <row r="3014" spans="1:17" x14ac:dyDescent="0.3">
      <c r="A3014" s="34" t="str">
        <f>base!J3014</f>
        <v>LS</v>
      </c>
      <c r="B3014" s="34" t="str">
        <f>base!V3014</f>
        <v>54160</v>
      </c>
      <c r="C3014" s="37">
        <v>86</v>
      </c>
      <c r="D3014" s="36">
        <f>base!H3014</f>
        <v>120.29</v>
      </c>
      <c r="E3014" s="44"/>
      <c r="F3014" s="16">
        <f>base!W3014</f>
        <v>30.07</v>
      </c>
      <c r="G3014" s="11">
        <f t="shared" si="470"/>
        <v>0.24997921689250976</v>
      </c>
      <c r="H3014" s="11">
        <f t="shared" si="471"/>
        <v>25.260899999999999</v>
      </c>
      <c r="I3014" s="11">
        <f t="shared" si="472"/>
        <v>0.21</v>
      </c>
      <c r="J3014" s="12">
        <f t="shared" si="473"/>
        <v>4.8091000000000008</v>
      </c>
      <c r="K3014" s="17" t="str">
        <f t="shared" si="478"/>
        <v>Ecart positif</v>
      </c>
      <c r="L3014" s="16">
        <f>base!X3014</f>
        <v>0</v>
      </c>
      <c r="M3014" s="11">
        <f t="shared" si="474"/>
        <v>0</v>
      </c>
      <c r="N3014" s="11">
        <f t="shared" si="475"/>
        <v>14.434800000000001</v>
      </c>
      <c r="O3014" s="11">
        <f t="shared" si="476"/>
        <v>0.12</v>
      </c>
      <c r="P3014" s="12">
        <f t="shared" si="477"/>
        <v>-14.434800000000001</v>
      </c>
      <c r="Q3014" s="17" t="str">
        <f t="shared" si="479"/>
        <v>Ecart négatif</v>
      </c>
    </row>
    <row r="3015" spans="1:17" x14ac:dyDescent="0.3">
      <c r="A3015" s="34" t="str">
        <f>base!J3015</f>
        <v>LS</v>
      </c>
      <c r="B3015" s="34" t="str">
        <f>base!V3015</f>
        <v>14150</v>
      </c>
      <c r="C3015" s="37">
        <v>16</v>
      </c>
      <c r="D3015" s="36">
        <f>base!H3015</f>
        <v>142.62</v>
      </c>
      <c r="E3015" s="44"/>
      <c r="F3015" s="16">
        <f>base!W3015</f>
        <v>24.25</v>
      </c>
      <c r="G3015" s="11">
        <f t="shared" si="470"/>
        <v>0.17003225354087786</v>
      </c>
      <c r="H3015" s="11">
        <f t="shared" si="471"/>
        <v>29.950199999999999</v>
      </c>
      <c r="I3015" s="11">
        <f t="shared" si="472"/>
        <v>0.21</v>
      </c>
      <c r="J3015" s="12">
        <f t="shared" si="473"/>
        <v>-5.7001999999999988</v>
      </c>
      <c r="K3015" s="17" t="str">
        <f t="shared" si="478"/>
        <v>Ecart négatif</v>
      </c>
      <c r="L3015" s="16">
        <f>base!X3015</f>
        <v>0</v>
      </c>
      <c r="M3015" s="11">
        <f t="shared" si="474"/>
        <v>0</v>
      </c>
      <c r="N3015" s="11">
        <f t="shared" si="475"/>
        <v>24.245400000000004</v>
      </c>
      <c r="O3015" s="11">
        <f t="shared" si="476"/>
        <v>0.17</v>
      </c>
      <c r="P3015" s="12">
        <f t="shared" si="477"/>
        <v>-24.245400000000004</v>
      </c>
      <c r="Q3015" s="17" t="str">
        <f t="shared" si="479"/>
        <v>Ecart négatif</v>
      </c>
    </row>
    <row r="3016" spans="1:17" x14ac:dyDescent="0.3">
      <c r="A3016" s="34" t="str">
        <f>base!J3016</f>
        <v>LS</v>
      </c>
      <c r="B3016" s="34" t="str">
        <f>base!V3016</f>
        <v>14150</v>
      </c>
      <c r="C3016" s="37">
        <v>41</v>
      </c>
      <c r="D3016" s="36">
        <f>base!H3016</f>
        <v>142.62</v>
      </c>
      <c r="E3016" s="44"/>
      <c r="F3016" s="16">
        <f>base!W3016</f>
        <v>24.25</v>
      </c>
      <c r="G3016" s="11">
        <f t="shared" si="470"/>
        <v>0.17003225354087786</v>
      </c>
      <c r="H3016" s="11">
        <f t="shared" si="471"/>
        <v>29.950199999999999</v>
      </c>
      <c r="I3016" s="11">
        <f t="shared" si="472"/>
        <v>0.21</v>
      </c>
      <c r="J3016" s="12">
        <f t="shared" si="473"/>
        <v>-5.7001999999999988</v>
      </c>
      <c r="K3016" s="17" t="str">
        <f t="shared" si="478"/>
        <v>Ecart négatif</v>
      </c>
      <c r="L3016" s="16">
        <f>base!X3016</f>
        <v>0</v>
      </c>
      <c r="M3016" s="11">
        <f t="shared" si="474"/>
        <v>0</v>
      </c>
      <c r="N3016" s="11">
        <f t="shared" si="475"/>
        <v>17.1144</v>
      </c>
      <c r="O3016" s="11">
        <f t="shared" si="476"/>
        <v>0.12</v>
      </c>
      <c r="P3016" s="12">
        <f t="shared" si="477"/>
        <v>-17.1144</v>
      </c>
      <c r="Q3016" s="17" t="str">
        <f t="shared" si="479"/>
        <v>Ecart négatif</v>
      </c>
    </row>
    <row r="3017" spans="1:17" x14ac:dyDescent="0.3">
      <c r="A3017" s="34" t="str">
        <f>base!J3017</f>
        <v>LS</v>
      </c>
      <c r="B3017" s="34" t="str">
        <f>base!V3017</f>
        <v>25460</v>
      </c>
      <c r="C3017" s="37">
        <v>72</v>
      </c>
      <c r="D3017" s="36">
        <f>base!H3017</f>
        <v>55.14</v>
      </c>
      <c r="E3017" s="44"/>
      <c r="F3017" s="16">
        <f>base!W3017</f>
        <v>13.23</v>
      </c>
      <c r="G3017" s="11">
        <f t="shared" si="470"/>
        <v>0.23993471164309033</v>
      </c>
      <c r="H3017" s="11">
        <f t="shared" si="471"/>
        <v>11.5794</v>
      </c>
      <c r="I3017" s="11">
        <f t="shared" si="472"/>
        <v>0.21</v>
      </c>
      <c r="J3017" s="12">
        <f t="shared" si="473"/>
        <v>1.6506000000000007</v>
      </c>
      <c r="K3017" s="17" t="str">
        <f t="shared" si="478"/>
        <v>Ecart positif</v>
      </c>
      <c r="L3017" s="16">
        <f>base!X3017</f>
        <v>0</v>
      </c>
      <c r="M3017" s="11">
        <f t="shared" si="474"/>
        <v>0</v>
      </c>
      <c r="N3017" s="11">
        <f t="shared" si="475"/>
        <v>6.6167999999999996</v>
      </c>
      <c r="O3017" s="11">
        <f t="shared" si="476"/>
        <v>0.12</v>
      </c>
      <c r="P3017" s="12">
        <f t="shared" si="477"/>
        <v>-6.6167999999999996</v>
      </c>
      <c r="Q3017" s="17" t="str">
        <f t="shared" si="479"/>
        <v>Ecart négatif</v>
      </c>
    </row>
    <row r="3018" spans="1:17" x14ac:dyDescent="0.3">
      <c r="A3018" s="34" t="str">
        <f>base!J3018</f>
        <v>RM</v>
      </c>
      <c r="B3018" s="34" t="str">
        <f>base!V3018</f>
        <v>75010</v>
      </c>
      <c r="C3018" s="37">
        <v>75</v>
      </c>
      <c r="D3018" s="36">
        <f>base!H3018</f>
        <v>25</v>
      </c>
      <c r="E3018" s="44"/>
      <c r="F3018" s="16">
        <f>base!W3018</f>
        <v>0</v>
      </c>
      <c r="G3018" s="11">
        <f t="shared" si="470"/>
        <v>0</v>
      </c>
      <c r="H3018" s="11">
        <f t="shared" si="471"/>
        <v>0</v>
      </c>
      <c r="I3018" s="11">
        <f t="shared" si="472"/>
        <v>0</v>
      </c>
      <c r="J3018" s="12">
        <f t="shared" si="473"/>
        <v>0</v>
      </c>
      <c r="K3018" s="17" t="str">
        <f t="shared" si="478"/>
        <v>Pas d'écart</v>
      </c>
      <c r="L3018" s="16">
        <f>base!X3018</f>
        <v>0</v>
      </c>
      <c r="M3018" s="11">
        <f t="shared" si="474"/>
        <v>0</v>
      </c>
      <c r="N3018" s="11">
        <f t="shared" si="475"/>
        <v>0</v>
      </c>
      <c r="O3018" s="11">
        <f t="shared" si="476"/>
        <v>0</v>
      </c>
      <c r="P3018" s="12">
        <f t="shared" si="477"/>
        <v>0</v>
      </c>
      <c r="Q3018" s="17" t="str">
        <f t="shared" si="479"/>
        <v>Pas d'écart</v>
      </c>
    </row>
    <row r="3019" spans="1:17" x14ac:dyDescent="0.3">
      <c r="A3019" s="34">
        <f>base!J3019</f>
        <v>0</v>
      </c>
      <c r="B3019" s="34" t="str">
        <f>base!V3019</f>
        <v>44240</v>
      </c>
      <c r="C3019" s="37">
        <v>44</v>
      </c>
      <c r="D3019" s="36">
        <f>base!H3019</f>
        <v>38.590000000000003</v>
      </c>
      <c r="E3019" s="44"/>
      <c r="F3019" s="16">
        <f>base!W3019</f>
        <v>0</v>
      </c>
      <c r="G3019" s="11">
        <f t="shared" si="470"/>
        <v>0</v>
      </c>
      <c r="H3019" s="11">
        <f t="shared" si="471"/>
        <v>10.419300000000002</v>
      </c>
      <c r="I3019" s="11">
        <f t="shared" si="472"/>
        <v>0.27</v>
      </c>
      <c r="J3019" s="12">
        <f t="shared" si="473"/>
        <v>-10.419300000000002</v>
      </c>
      <c r="K3019" s="17" t="str">
        <f t="shared" si="478"/>
        <v>Ecart négatif</v>
      </c>
      <c r="L3019" s="16">
        <f>base!X3019</f>
        <v>0</v>
      </c>
      <c r="M3019" s="11">
        <f t="shared" si="474"/>
        <v>0</v>
      </c>
      <c r="N3019" s="11">
        <f t="shared" si="475"/>
        <v>0</v>
      </c>
      <c r="O3019" s="11">
        <f t="shared" si="476"/>
        <v>0</v>
      </c>
      <c r="P3019" s="12">
        <f t="shared" si="477"/>
        <v>0</v>
      </c>
      <c r="Q3019" s="17" t="str">
        <f t="shared" si="479"/>
        <v>Pas d'écart</v>
      </c>
    </row>
    <row r="3020" spans="1:17" x14ac:dyDescent="0.3">
      <c r="A3020" s="34">
        <f>base!J3020</f>
        <v>0</v>
      </c>
      <c r="B3020" s="34" t="str">
        <f>base!V3020</f>
        <v>44240</v>
      </c>
      <c r="C3020" s="37">
        <v>44</v>
      </c>
      <c r="D3020" s="36">
        <f>base!H3020</f>
        <v>38.9</v>
      </c>
      <c r="E3020" s="44"/>
      <c r="F3020" s="16">
        <f>base!W3020</f>
        <v>0</v>
      </c>
      <c r="G3020" s="11">
        <f t="shared" si="470"/>
        <v>0</v>
      </c>
      <c r="H3020" s="11">
        <f t="shared" si="471"/>
        <v>10.503</v>
      </c>
      <c r="I3020" s="11">
        <f t="shared" si="472"/>
        <v>0.27</v>
      </c>
      <c r="J3020" s="12">
        <f t="shared" si="473"/>
        <v>-10.503</v>
      </c>
      <c r="K3020" s="17" t="str">
        <f t="shared" si="478"/>
        <v>Ecart négatif</v>
      </c>
      <c r="L3020" s="16">
        <f>base!X3020</f>
        <v>0</v>
      </c>
      <c r="M3020" s="11">
        <f t="shared" si="474"/>
        <v>0</v>
      </c>
      <c r="N3020" s="11">
        <f t="shared" si="475"/>
        <v>0</v>
      </c>
      <c r="O3020" s="11">
        <f t="shared" si="476"/>
        <v>0</v>
      </c>
      <c r="P3020" s="12">
        <f t="shared" si="477"/>
        <v>0</v>
      </c>
      <c r="Q3020" s="17" t="str">
        <f t="shared" si="479"/>
        <v>Pas d'écart</v>
      </c>
    </row>
    <row r="3021" spans="1:17" x14ac:dyDescent="0.3">
      <c r="A3021" s="34">
        <f>base!J3021</f>
        <v>0</v>
      </c>
      <c r="B3021" s="34" t="str">
        <f>base!V3021</f>
        <v>44240</v>
      </c>
      <c r="C3021" s="37">
        <v>44</v>
      </c>
      <c r="D3021" s="36">
        <f>base!H3021</f>
        <v>133.06</v>
      </c>
      <c r="E3021" s="44"/>
      <c r="F3021" s="16">
        <f>base!W3021</f>
        <v>0</v>
      </c>
      <c r="G3021" s="11">
        <f t="shared" si="470"/>
        <v>0</v>
      </c>
      <c r="H3021" s="11">
        <f t="shared" si="471"/>
        <v>35.926200000000001</v>
      </c>
      <c r="I3021" s="11">
        <f t="shared" si="472"/>
        <v>0.27</v>
      </c>
      <c r="J3021" s="12">
        <f t="shared" si="473"/>
        <v>-35.926200000000001</v>
      </c>
      <c r="K3021" s="17" t="str">
        <f t="shared" si="478"/>
        <v>Ecart négatif</v>
      </c>
      <c r="L3021" s="16">
        <f>base!X3021</f>
        <v>0</v>
      </c>
      <c r="M3021" s="11">
        <f t="shared" si="474"/>
        <v>0</v>
      </c>
      <c r="N3021" s="11">
        <f t="shared" si="475"/>
        <v>0</v>
      </c>
      <c r="O3021" s="11">
        <f t="shared" si="476"/>
        <v>0</v>
      </c>
      <c r="P3021" s="12">
        <f t="shared" si="477"/>
        <v>0</v>
      </c>
      <c r="Q3021" s="17" t="str">
        <f t="shared" si="479"/>
        <v>Pas d'écart</v>
      </c>
    </row>
    <row r="3022" spans="1:17" x14ac:dyDescent="0.3">
      <c r="A3022" s="34" t="str">
        <f>base!J3022</f>
        <v>LS</v>
      </c>
      <c r="B3022" s="34" t="str">
        <f>base!V3022</f>
        <v>34000</v>
      </c>
      <c r="C3022" s="37">
        <v>34</v>
      </c>
      <c r="D3022" s="36">
        <f>base!H3022</f>
        <v>80</v>
      </c>
      <c r="E3022" s="44"/>
      <c r="F3022" s="16">
        <f>base!W3022</f>
        <v>31.2</v>
      </c>
      <c r="G3022" s="11">
        <f t="shared" si="470"/>
        <v>0.39</v>
      </c>
      <c r="H3022" s="11">
        <f t="shared" si="471"/>
        <v>31.200000000000003</v>
      </c>
      <c r="I3022" s="11">
        <f t="shared" si="472"/>
        <v>0.39</v>
      </c>
      <c r="J3022" s="12">
        <f t="shared" si="473"/>
        <v>0</v>
      </c>
      <c r="K3022" s="17" t="str">
        <f t="shared" si="478"/>
        <v>Pas d'écart</v>
      </c>
      <c r="L3022" s="16">
        <f>base!X3022</f>
        <v>0</v>
      </c>
      <c r="M3022" s="11">
        <f t="shared" si="474"/>
        <v>0</v>
      </c>
      <c r="N3022" s="11">
        <f t="shared" si="475"/>
        <v>22.400000000000002</v>
      </c>
      <c r="O3022" s="11">
        <f t="shared" si="476"/>
        <v>0.28000000000000003</v>
      </c>
      <c r="P3022" s="12">
        <f t="shared" si="477"/>
        <v>-22.400000000000002</v>
      </c>
      <c r="Q3022" s="17" t="str">
        <f t="shared" si="479"/>
        <v>Ecart négatif</v>
      </c>
    </row>
    <row r="3023" spans="1:17" x14ac:dyDescent="0.3">
      <c r="A3023" s="34" t="str">
        <f>base!J3023</f>
        <v>LS</v>
      </c>
      <c r="B3023" s="34" t="str">
        <f>base!V3023</f>
        <v>62620</v>
      </c>
      <c r="C3023" s="37">
        <v>16</v>
      </c>
      <c r="D3023" s="36">
        <f>base!H3023</f>
        <v>137.07</v>
      </c>
      <c r="E3023" s="44"/>
      <c r="F3023" s="16">
        <f>base!W3023</f>
        <v>26.04</v>
      </c>
      <c r="G3023" s="11">
        <f t="shared" si="470"/>
        <v>0.18997592471000219</v>
      </c>
      <c r="H3023" s="11">
        <f t="shared" si="471"/>
        <v>28.784699999999997</v>
      </c>
      <c r="I3023" s="11">
        <f t="shared" si="472"/>
        <v>0.21</v>
      </c>
      <c r="J3023" s="12">
        <f t="shared" si="473"/>
        <v>-2.7446999999999981</v>
      </c>
      <c r="K3023" s="17" t="str">
        <f t="shared" si="478"/>
        <v>Ecart négatif</v>
      </c>
      <c r="L3023" s="16">
        <f>base!X3023</f>
        <v>0</v>
      </c>
      <c r="M3023" s="11">
        <f t="shared" si="474"/>
        <v>0</v>
      </c>
      <c r="N3023" s="11">
        <f t="shared" si="475"/>
        <v>23.3019</v>
      </c>
      <c r="O3023" s="11">
        <f t="shared" si="476"/>
        <v>0.17</v>
      </c>
      <c r="P3023" s="12">
        <f t="shared" si="477"/>
        <v>-23.3019</v>
      </c>
      <c r="Q3023" s="17" t="str">
        <f t="shared" si="479"/>
        <v>Ecart négatif</v>
      </c>
    </row>
    <row r="3024" spans="1:17" x14ac:dyDescent="0.3">
      <c r="A3024" s="34" t="str">
        <f>base!J3024</f>
        <v>LM</v>
      </c>
      <c r="B3024" s="34" t="str">
        <f>base!V3024</f>
        <v>61330</v>
      </c>
      <c r="C3024" s="37">
        <v>16</v>
      </c>
      <c r="D3024" s="36">
        <f>base!H3024</f>
        <v>55.34</v>
      </c>
      <c r="E3024" s="44"/>
      <c r="F3024" s="16">
        <f>base!W3024</f>
        <v>9.41</v>
      </c>
      <c r="G3024" s="11">
        <f t="shared" si="470"/>
        <v>0.17003975424647633</v>
      </c>
      <c r="H3024" s="11">
        <f t="shared" si="471"/>
        <v>11.6214</v>
      </c>
      <c r="I3024" s="11">
        <f t="shared" si="472"/>
        <v>0.20999999999999996</v>
      </c>
      <c r="J3024" s="12">
        <f t="shared" si="473"/>
        <v>-2.2113999999999994</v>
      </c>
      <c r="K3024" s="17" t="str">
        <f t="shared" si="478"/>
        <v>Ecart négatif</v>
      </c>
      <c r="L3024" s="16">
        <f>base!X3024</f>
        <v>0</v>
      </c>
      <c r="M3024" s="11">
        <f t="shared" si="474"/>
        <v>0</v>
      </c>
      <c r="N3024" s="11">
        <f t="shared" si="475"/>
        <v>9.4078000000000017</v>
      </c>
      <c r="O3024" s="11">
        <f t="shared" si="476"/>
        <v>0.17</v>
      </c>
      <c r="P3024" s="12">
        <f t="shared" si="477"/>
        <v>-9.4078000000000017</v>
      </c>
      <c r="Q3024" s="17" t="str">
        <f t="shared" si="479"/>
        <v>Ecart négatif</v>
      </c>
    </row>
    <row r="3025" spans="1:18" x14ac:dyDescent="0.3">
      <c r="A3025" s="34" t="str">
        <f>base!J3025</f>
        <v>LS</v>
      </c>
      <c r="B3025" s="34" t="str">
        <f>base!V3025</f>
        <v>44300</v>
      </c>
      <c r="C3025" s="37">
        <v>44</v>
      </c>
      <c r="D3025" s="36">
        <f>base!H3025</f>
        <v>40</v>
      </c>
      <c r="E3025" s="44"/>
      <c r="F3025" s="16">
        <f>base!W3025</f>
        <v>10.8</v>
      </c>
      <c r="G3025" s="11">
        <f t="shared" si="470"/>
        <v>0.27</v>
      </c>
      <c r="H3025" s="11">
        <f t="shared" si="471"/>
        <v>10.8</v>
      </c>
      <c r="I3025" s="11">
        <f t="shared" si="472"/>
        <v>0.27</v>
      </c>
      <c r="J3025" s="12">
        <f t="shared" si="473"/>
        <v>0</v>
      </c>
      <c r="K3025" s="17" t="str">
        <f t="shared" si="478"/>
        <v>Pas d'écart</v>
      </c>
      <c r="L3025" s="16">
        <f>base!X3025</f>
        <v>0</v>
      </c>
      <c r="M3025" s="11">
        <f t="shared" si="474"/>
        <v>0</v>
      </c>
      <c r="N3025" s="11">
        <f t="shared" si="475"/>
        <v>0</v>
      </c>
      <c r="O3025" s="11">
        <f t="shared" si="476"/>
        <v>0</v>
      </c>
      <c r="P3025" s="12">
        <f t="shared" si="477"/>
        <v>0</v>
      </c>
      <c r="Q3025" s="17" t="str">
        <f t="shared" si="479"/>
        <v>Pas d'écart</v>
      </c>
    </row>
    <row r="3026" spans="1:18" x14ac:dyDescent="0.3">
      <c r="A3026" s="34">
        <f>base!J3026</f>
        <v>0</v>
      </c>
      <c r="B3026" s="34" t="str">
        <f>base!V3026</f>
        <v>77184</v>
      </c>
      <c r="C3026" s="37">
        <v>77</v>
      </c>
      <c r="D3026" s="36">
        <f>base!H3026</f>
        <v>66.400000000000006</v>
      </c>
      <c r="E3026" s="44"/>
      <c r="F3026" s="16">
        <f>base!W3026</f>
        <v>0</v>
      </c>
      <c r="G3026" s="11">
        <f t="shared" si="470"/>
        <v>0</v>
      </c>
      <c r="H3026" s="11">
        <f t="shared" si="471"/>
        <v>0</v>
      </c>
      <c r="I3026" s="11">
        <f t="shared" si="472"/>
        <v>0</v>
      </c>
      <c r="J3026" s="12">
        <f t="shared" si="473"/>
        <v>0</v>
      </c>
      <c r="K3026" s="17" t="str">
        <f t="shared" si="478"/>
        <v>Pas d'écart</v>
      </c>
      <c r="L3026" s="16">
        <f>base!X3026</f>
        <v>0</v>
      </c>
      <c r="M3026" s="11">
        <f t="shared" si="474"/>
        <v>0</v>
      </c>
      <c r="N3026" s="11">
        <f t="shared" si="475"/>
        <v>0</v>
      </c>
      <c r="O3026" s="11">
        <f t="shared" si="476"/>
        <v>0</v>
      </c>
      <c r="P3026" s="12">
        <f t="shared" si="477"/>
        <v>0</v>
      </c>
      <c r="Q3026" s="17" t="str">
        <f t="shared" si="479"/>
        <v>Pas d'écart</v>
      </c>
    </row>
    <row r="3027" spans="1:18" x14ac:dyDescent="0.3">
      <c r="A3027" s="34">
        <f>base!J3027</f>
        <v>0</v>
      </c>
      <c r="B3027" s="34" t="str">
        <f>base!V3027</f>
        <v>77184</v>
      </c>
      <c r="C3027" s="37">
        <v>77</v>
      </c>
      <c r="D3027" s="36">
        <f>base!H3027</f>
        <v>220.04</v>
      </c>
      <c r="E3027" s="44"/>
      <c r="F3027" s="16">
        <f>base!W3027</f>
        <v>0</v>
      </c>
      <c r="G3027" s="11">
        <f t="shared" si="470"/>
        <v>0</v>
      </c>
      <c r="H3027" s="11">
        <f t="shared" si="471"/>
        <v>0</v>
      </c>
      <c r="I3027" s="11">
        <f t="shared" si="472"/>
        <v>0</v>
      </c>
      <c r="J3027" s="12">
        <f t="shared" si="473"/>
        <v>0</v>
      </c>
      <c r="K3027" s="17" t="str">
        <f t="shared" si="478"/>
        <v>Pas d'écart</v>
      </c>
      <c r="L3027" s="16">
        <f>base!X3027</f>
        <v>0</v>
      </c>
      <c r="M3027" s="11">
        <f t="shared" si="474"/>
        <v>0</v>
      </c>
      <c r="N3027" s="11">
        <f t="shared" si="475"/>
        <v>0</v>
      </c>
      <c r="O3027" s="11">
        <f t="shared" si="476"/>
        <v>0</v>
      </c>
      <c r="P3027" s="12">
        <f t="shared" si="477"/>
        <v>0</v>
      </c>
      <c r="Q3027" s="17" t="str">
        <f t="shared" si="479"/>
        <v>Pas d'écart</v>
      </c>
    </row>
    <row r="3028" spans="1:18" x14ac:dyDescent="0.3">
      <c r="A3028" s="34" t="str">
        <f>base!J3028</f>
        <v>RS</v>
      </c>
      <c r="B3028" s="34" t="str">
        <f>base!V3028</f>
        <v>57535</v>
      </c>
      <c r="C3028" s="37">
        <v>57</v>
      </c>
      <c r="D3028" s="36">
        <f>base!H3028</f>
        <v>180</v>
      </c>
      <c r="E3028" s="44"/>
      <c r="F3028" s="16">
        <f>base!W3028</f>
        <v>0</v>
      </c>
      <c r="G3028" s="11">
        <f t="shared" si="470"/>
        <v>0</v>
      </c>
      <c r="H3028" s="11">
        <f t="shared" si="471"/>
        <v>43.199999999999996</v>
      </c>
      <c r="I3028" s="11">
        <f t="shared" si="472"/>
        <v>0.23999999999999996</v>
      </c>
      <c r="J3028" s="12">
        <f t="shared" si="473"/>
        <v>-43.199999999999996</v>
      </c>
      <c r="K3028" s="17" t="str">
        <f t="shared" si="478"/>
        <v>Ecart négatif</v>
      </c>
      <c r="L3028" s="16">
        <f>base!X3028</f>
        <v>45</v>
      </c>
      <c r="M3028" s="11">
        <f t="shared" si="474"/>
        <v>0.25</v>
      </c>
      <c r="N3028" s="11">
        <f t="shared" si="475"/>
        <v>45</v>
      </c>
      <c r="O3028" s="11">
        <f t="shared" si="476"/>
        <v>0.25</v>
      </c>
      <c r="P3028" s="12">
        <f t="shared" si="477"/>
        <v>0</v>
      </c>
      <c r="Q3028" s="17" t="str">
        <f t="shared" si="479"/>
        <v>Pas d'écart</v>
      </c>
    </row>
    <row r="3029" spans="1:18" x14ac:dyDescent="0.3">
      <c r="A3029" s="34" t="str">
        <f>base!J3029</f>
        <v>DLM</v>
      </c>
      <c r="B3029" s="34" t="str">
        <f>base!V3029</f>
        <v>76700</v>
      </c>
      <c r="C3029" s="37">
        <v>76</v>
      </c>
      <c r="D3029" s="36">
        <f>base!H3029</f>
        <v>173.44</v>
      </c>
      <c r="E3029" s="44"/>
      <c r="F3029" s="16">
        <f>base!W3029</f>
        <v>0</v>
      </c>
      <c r="G3029" s="11">
        <f t="shared" si="470"/>
        <v>0</v>
      </c>
      <c r="H3029" s="11">
        <f t="shared" si="471"/>
        <v>29.484800000000003</v>
      </c>
      <c r="I3029" s="11">
        <f t="shared" si="472"/>
        <v>0.17</v>
      </c>
      <c r="J3029" s="12">
        <f t="shared" si="473"/>
        <v>-29.484800000000003</v>
      </c>
      <c r="K3029" s="17" t="str">
        <f t="shared" si="478"/>
        <v>Ecart négatif</v>
      </c>
      <c r="L3029" s="16">
        <f>base!X3029</f>
        <v>0</v>
      </c>
      <c r="M3029" s="11">
        <f t="shared" si="474"/>
        <v>0</v>
      </c>
      <c r="N3029" s="11">
        <f t="shared" si="475"/>
        <v>29.484800000000003</v>
      </c>
      <c r="O3029" s="11">
        <f t="shared" si="476"/>
        <v>0.17</v>
      </c>
      <c r="P3029" s="12">
        <f t="shared" si="477"/>
        <v>-29.484800000000003</v>
      </c>
      <c r="Q3029" s="17" t="str">
        <f t="shared" si="479"/>
        <v>Ecart négatif</v>
      </c>
    </row>
    <row r="3030" spans="1:18" x14ac:dyDescent="0.3">
      <c r="A3030" s="34" t="str">
        <f>base!J3030</f>
        <v>RM</v>
      </c>
      <c r="B3030" s="34" t="str">
        <f>base!V3030</f>
        <v>60300</v>
      </c>
      <c r="C3030" s="37">
        <v>60</v>
      </c>
      <c r="D3030" s="36">
        <f>base!H3030</f>
        <v>151</v>
      </c>
      <c r="E3030" s="44"/>
      <c r="F3030" s="16">
        <f>base!W3030</f>
        <v>0</v>
      </c>
      <c r="G3030" s="11">
        <f t="shared" si="470"/>
        <v>0</v>
      </c>
      <c r="H3030" s="11">
        <f t="shared" si="471"/>
        <v>28.69</v>
      </c>
      <c r="I3030" s="11">
        <f t="shared" si="472"/>
        <v>0.19</v>
      </c>
      <c r="J3030" s="12">
        <f t="shared" si="473"/>
        <v>-28.69</v>
      </c>
      <c r="K3030" s="17" t="str">
        <f t="shared" si="478"/>
        <v>Ecart négatif</v>
      </c>
      <c r="L3030" s="16">
        <f>base!X3030</f>
        <v>0</v>
      </c>
      <c r="M3030" s="11">
        <f t="shared" si="474"/>
        <v>0</v>
      </c>
      <c r="N3030" s="11">
        <f t="shared" si="475"/>
        <v>0</v>
      </c>
      <c r="O3030" s="11">
        <f t="shared" si="476"/>
        <v>0</v>
      </c>
      <c r="P3030" s="12">
        <f t="shared" si="477"/>
        <v>0</v>
      </c>
      <c r="Q3030" s="17" t="str">
        <f t="shared" si="479"/>
        <v>Pas d'écart</v>
      </c>
    </row>
    <row r="3031" spans="1:18" x14ac:dyDescent="0.3">
      <c r="A3031" s="34" t="str">
        <f>base!J3031</f>
        <v>LM</v>
      </c>
      <c r="B3031" s="34" t="str">
        <f>base!V3031</f>
        <v>27100</v>
      </c>
      <c r="C3031" s="37">
        <v>86</v>
      </c>
      <c r="D3031" s="36">
        <f>base!H3031</f>
        <v>197.85</v>
      </c>
      <c r="E3031" s="44"/>
      <c r="F3031" s="16">
        <f>base!W3031</f>
        <v>33.630000000000003</v>
      </c>
      <c r="G3031" s="11">
        <f t="shared" si="470"/>
        <v>0.16997725549658835</v>
      </c>
      <c r="H3031" s="11">
        <f t="shared" si="471"/>
        <v>41.548499999999997</v>
      </c>
      <c r="I3031" s="11">
        <f t="shared" si="472"/>
        <v>0.21</v>
      </c>
      <c r="J3031" s="12">
        <f t="shared" si="473"/>
        <v>-7.9184999999999945</v>
      </c>
      <c r="K3031" s="17" t="str">
        <f t="shared" si="478"/>
        <v>Ecart négatif</v>
      </c>
      <c r="L3031" s="16">
        <f>base!X3031</f>
        <v>0</v>
      </c>
      <c r="M3031" s="11">
        <f t="shared" si="474"/>
        <v>0</v>
      </c>
      <c r="N3031" s="11">
        <f t="shared" si="475"/>
        <v>23.741999999999997</v>
      </c>
      <c r="O3031" s="11">
        <f t="shared" si="476"/>
        <v>0.12</v>
      </c>
      <c r="P3031" s="12">
        <f t="shared" si="477"/>
        <v>-23.741999999999997</v>
      </c>
      <c r="Q3031" s="17" t="str">
        <f t="shared" si="479"/>
        <v>Ecart négatif</v>
      </c>
    </row>
    <row r="3032" spans="1:18" x14ac:dyDescent="0.3">
      <c r="A3032" s="34" t="str">
        <f>base!J3032</f>
        <v>LS</v>
      </c>
      <c r="B3032" s="34" t="str">
        <f>base!V3032</f>
        <v>83000</v>
      </c>
      <c r="C3032" s="37">
        <v>69</v>
      </c>
      <c r="D3032" s="36">
        <f>base!H3032</f>
        <v>75.34</v>
      </c>
      <c r="E3032" s="44"/>
      <c r="F3032" s="16">
        <f>base!W3032</f>
        <v>22.6</v>
      </c>
      <c r="G3032" s="11">
        <f t="shared" si="470"/>
        <v>0.29997345367666578</v>
      </c>
      <c r="H3032" s="11">
        <f t="shared" si="471"/>
        <v>20.341800000000003</v>
      </c>
      <c r="I3032" s="11">
        <f t="shared" si="472"/>
        <v>0.27</v>
      </c>
      <c r="J3032" s="12">
        <f t="shared" si="473"/>
        <v>2.2581999999999987</v>
      </c>
      <c r="K3032" s="17" t="str">
        <f t="shared" si="478"/>
        <v>Ecart positif</v>
      </c>
      <c r="L3032" s="16">
        <f>base!X3032</f>
        <v>0</v>
      </c>
      <c r="M3032" s="11">
        <f t="shared" si="474"/>
        <v>0</v>
      </c>
      <c r="N3032" s="11">
        <f t="shared" si="475"/>
        <v>0</v>
      </c>
      <c r="O3032" s="11">
        <f t="shared" si="476"/>
        <v>0</v>
      </c>
      <c r="P3032" s="12">
        <f t="shared" si="477"/>
        <v>0</v>
      </c>
      <c r="Q3032" s="17" t="str">
        <f t="shared" si="479"/>
        <v>Pas d'écart</v>
      </c>
    </row>
    <row r="3033" spans="1:18" x14ac:dyDescent="0.3">
      <c r="A3033" s="34" t="str">
        <f>base!J3033</f>
        <v>LS</v>
      </c>
      <c r="B3033" s="34" t="str">
        <f>base!V3033</f>
        <v>26000</v>
      </c>
      <c r="C3033" s="37">
        <v>16</v>
      </c>
      <c r="D3033" s="36">
        <f>base!H3033</f>
        <v>5.6</v>
      </c>
      <c r="E3033" s="44"/>
      <c r="F3033" s="16">
        <f>base!W3033</f>
        <v>1.51</v>
      </c>
      <c r="G3033" s="11">
        <f t="shared" si="470"/>
        <v>0.26964285714285718</v>
      </c>
      <c r="H3033" s="11">
        <f t="shared" si="471"/>
        <v>1.1759999999999999</v>
      </c>
      <c r="I3033" s="11">
        <f t="shared" si="472"/>
        <v>0.21</v>
      </c>
      <c r="J3033" s="12">
        <f t="shared" si="473"/>
        <v>0.33400000000000007</v>
      </c>
      <c r="K3033" s="17" t="str">
        <f t="shared" si="478"/>
        <v>Ecart positif</v>
      </c>
      <c r="L3033" s="16">
        <f>base!X3033</f>
        <v>0</v>
      </c>
      <c r="M3033" s="11">
        <f t="shared" si="474"/>
        <v>0</v>
      </c>
      <c r="N3033" s="11">
        <f t="shared" si="475"/>
        <v>0.95199999999999996</v>
      </c>
      <c r="O3033" s="11">
        <f t="shared" si="476"/>
        <v>0.17</v>
      </c>
      <c r="P3033" s="12">
        <f t="shared" si="477"/>
        <v>-0.95199999999999996</v>
      </c>
      <c r="Q3033" s="17" t="str">
        <f t="shared" si="479"/>
        <v>Ecart négatif</v>
      </c>
    </row>
    <row r="3034" spans="1:18" x14ac:dyDescent="0.3">
      <c r="A3034" s="34" t="str">
        <f>base!J3034</f>
        <v>RS</v>
      </c>
      <c r="B3034" s="34" t="str">
        <f>base!V3034</f>
        <v>50380</v>
      </c>
      <c r="C3034" s="37">
        <v>50</v>
      </c>
      <c r="D3034" s="36">
        <f>base!H3034</f>
        <v>180</v>
      </c>
      <c r="E3034" s="44"/>
      <c r="F3034" s="16">
        <f>base!W3034</f>
        <v>0</v>
      </c>
      <c r="G3034" s="11">
        <f t="shared" si="470"/>
        <v>0</v>
      </c>
      <c r="H3034" s="11">
        <f t="shared" si="471"/>
        <v>30.6</v>
      </c>
      <c r="I3034" s="11">
        <f t="shared" si="472"/>
        <v>0.17</v>
      </c>
      <c r="J3034" s="12">
        <f t="shared" si="473"/>
        <v>-30.6</v>
      </c>
      <c r="K3034" s="17" t="str">
        <f t="shared" si="478"/>
        <v>Ecart négatif</v>
      </c>
      <c r="L3034" s="16">
        <f>base!X3034</f>
        <v>0</v>
      </c>
      <c r="M3034" s="11">
        <f t="shared" si="474"/>
        <v>0</v>
      </c>
      <c r="N3034" s="11">
        <f t="shared" si="475"/>
        <v>30.6</v>
      </c>
      <c r="O3034" s="11">
        <f t="shared" si="476"/>
        <v>0.17</v>
      </c>
      <c r="P3034" s="12">
        <f t="shared" si="477"/>
        <v>-30.6</v>
      </c>
      <c r="Q3034" s="17" t="str">
        <f t="shared" si="479"/>
        <v>Ecart négatif</v>
      </c>
    </row>
    <row r="3035" spans="1:18" x14ac:dyDescent="0.3">
      <c r="A3035" s="34" t="str">
        <f>base!J3035</f>
        <v>RM</v>
      </c>
      <c r="B3035" s="34" t="str">
        <f>base!V3035</f>
        <v>69005</v>
      </c>
      <c r="C3035" s="37">
        <v>69</v>
      </c>
      <c r="D3035" s="36">
        <f>base!H3035</f>
        <v>176</v>
      </c>
      <c r="E3035" s="44"/>
      <c r="F3035" s="16">
        <f>base!W3035</f>
        <v>0</v>
      </c>
      <c r="G3035" s="11">
        <f t="shared" si="470"/>
        <v>0</v>
      </c>
      <c r="H3035" s="11">
        <f t="shared" si="471"/>
        <v>47.52</v>
      </c>
      <c r="I3035" s="11">
        <f t="shared" si="472"/>
        <v>0.27</v>
      </c>
      <c r="J3035" s="12">
        <f t="shared" si="473"/>
        <v>-47.52</v>
      </c>
      <c r="K3035" s="17" t="str">
        <f t="shared" si="478"/>
        <v>Ecart négatif</v>
      </c>
      <c r="L3035" s="16">
        <f>base!X3035</f>
        <v>0</v>
      </c>
      <c r="M3035" s="11">
        <f t="shared" si="474"/>
        <v>0</v>
      </c>
      <c r="N3035" s="11">
        <f t="shared" si="475"/>
        <v>0</v>
      </c>
      <c r="O3035" s="11">
        <f t="shared" si="476"/>
        <v>0</v>
      </c>
      <c r="P3035" s="12">
        <f t="shared" si="477"/>
        <v>0</v>
      </c>
      <c r="Q3035" s="17" t="str">
        <f t="shared" si="479"/>
        <v>Pas d'écart</v>
      </c>
    </row>
    <row r="3036" spans="1:18" x14ac:dyDescent="0.3">
      <c r="A3036" s="34" t="str">
        <f>base!J3036</f>
        <v>LS</v>
      </c>
      <c r="B3036" s="34" t="str">
        <f>base!V3036</f>
        <v>85000</v>
      </c>
      <c r="C3036" s="37">
        <v>64</v>
      </c>
      <c r="D3036" s="36">
        <f>base!H3036</f>
        <v>55.36</v>
      </c>
      <c r="E3036" s="44"/>
      <c r="F3036" s="16">
        <f>base!W3036</f>
        <v>14.95</v>
      </c>
      <c r="G3036" s="11">
        <f t="shared" si="470"/>
        <v>0.27005057803468208</v>
      </c>
      <c r="H3036" s="11">
        <f t="shared" si="471"/>
        <v>11.625599999999999</v>
      </c>
      <c r="I3036" s="11">
        <f t="shared" si="472"/>
        <v>0.20999999999999996</v>
      </c>
      <c r="J3036" s="12">
        <f t="shared" si="473"/>
        <v>3.3244000000000007</v>
      </c>
      <c r="K3036" s="17" t="str">
        <f t="shared" si="478"/>
        <v>Ecart positif</v>
      </c>
      <c r="L3036" s="16">
        <f>base!X3036</f>
        <v>0</v>
      </c>
      <c r="M3036" s="11">
        <f t="shared" si="474"/>
        <v>0</v>
      </c>
      <c r="N3036" s="11">
        <f t="shared" si="475"/>
        <v>9.4112000000000009</v>
      </c>
      <c r="O3036" s="11">
        <f t="shared" si="476"/>
        <v>0.17</v>
      </c>
      <c r="P3036" s="12">
        <f t="shared" si="477"/>
        <v>-9.4112000000000009</v>
      </c>
      <c r="Q3036" s="17" t="str">
        <f t="shared" si="479"/>
        <v>Ecart négatif</v>
      </c>
    </row>
    <row r="3037" spans="1:18" x14ac:dyDescent="0.3">
      <c r="A3037" s="34" t="str">
        <f>base!J3037</f>
        <v>LS</v>
      </c>
      <c r="B3037" s="34" t="str">
        <f>base!V3037</f>
        <v>06220</v>
      </c>
      <c r="C3037" s="37">
        <v>64</v>
      </c>
      <c r="D3037" s="36">
        <f>base!H3037</f>
        <v>25</v>
      </c>
      <c r="E3037" s="44"/>
      <c r="F3037" s="16">
        <f>base!W3037</f>
        <v>7.5</v>
      </c>
      <c r="G3037" s="11">
        <f t="shared" si="470"/>
        <v>0.3</v>
      </c>
      <c r="H3037" s="11">
        <f t="shared" si="471"/>
        <v>5.25</v>
      </c>
      <c r="I3037" s="11">
        <f t="shared" si="472"/>
        <v>0.21</v>
      </c>
      <c r="J3037" s="12">
        <f t="shared" si="473"/>
        <v>2.25</v>
      </c>
      <c r="K3037" s="17" t="str">
        <f t="shared" si="478"/>
        <v>Ecart positif</v>
      </c>
      <c r="L3037" s="16">
        <f>base!X3037</f>
        <v>0</v>
      </c>
      <c r="M3037" s="11">
        <f t="shared" si="474"/>
        <v>0</v>
      </c>
      <c r="N3037" s="11">
        <f t="shared" si="475"/>
        <v>4.25</v>
      </c>
      <c r="O3037" s="11">
        <f t="shared" si="476"/>
        <v>0.17</v>
      </c>
      <c r="P3037" s="12">
        <f t="shared" si="477"/>
        <v>-4.25</v>
      </c>
      <c r="Q3037" s="17" t="str">
        <f t="shared" si="479"/>
        <v>Ecart négatif</v>
      </c>
    </row>
    <row r="3038" spans="1:18" x14ac:dyDescent="0.3">
      <c r="A3038" s="34" t="str">
        <f>base!J3038</f>
        <v>LM</v>
      </c>
      <c r="B3038" s="34" t="str">
        <f>base!V3038</f>
        <v>62150</v>
      </c>
      <c r="C3038" s="37">
        <v>62</v>
      </c>
      <c r="D3038" s="36">
        <f>base!H3038</f>
        <v>140</v>
      </c>
      <c r="E3038" s="44"/>
      <c r="F3038" s="16">
        <f>base!W3038</f>
        <v>26.6</v>
      </c>
      <c r="G3038" s="11">
        <f t="shared" si="470"/>
        <v>0.19</v>
      </c>
      <c r="H3038" s="11">
        <f t="shared" si="471"/>
        <v>26.6</v>
      </c>
      <c r="I3038" s="11">
        <f t="shared" si="472"/>
        <v>0.19</v>
      </c>
      <c r="J3038" s="12">
        <f t="shared" si="473"/>
        <v>0</v>
      </c>
      <c r="K3038" s="17" t="str">
        <f t="shared" si="478"/>
        <v>Pas d'écart</v>
      </c>
      <c r="L3038" s="16">
        <f>base!X3038</f>
        <v>0</v>
      </c>
      <c r="M3038" s="11">
        <f t="shared" si="474"/>
        <v>0</v>
      </c>
      <c r="N3038" s="11">
        <f t="shared" si="475"/>
        <v>0</v>
      </c>
      <c r="O3038" s="11">
        <f t="shared" si="476"/>
        <v>0</v>
      </c>
      <c r="P3038" s="12">
        <f t="shared" si="477"/>
        <v>0</v>
      </c>
      <c r="Q3038" s="17" t="str">
        <f t="shared" si="479"/>
        <v>Pas d'écart</v>
      </c>
    </row>
    <row r="3039" spans="1:18" x14ac:dyDescent="0.3">
      <c r="A3039" s="34" t="str">
        <f>base!J3039</f>
        <v>RM</v>
      </c>
      <c r="B3039" s="34" t="str">
        <f>base!V3039</f>
        <v>68270</v>
      </c>
      <c r="C3039" s="37">
        <v>68</v>
      </c>
      <c r="D3039" s="36">
        <f>base!H3039</f>
        <v>20</v>
      </c>
      <c r="E3039" s="44"/>
      <c r="F3039" s="16">
        <f>base!W3039</f>
        <v>0</v>
      </c>
      <c r="G3039" s="11">
        <f t="shared" si="470"/>
        <v>0</v>
      </c>
      <c r="H3039" s="11">
        <f t="shared" si="471"/>
        <v>5.8</v>
      </c>
      <c r="I3039" s="11">
        <f t="shared" si="472"/>
        <v>0.28999999999999998</v>
      </c>
      <c r="J3039" s="12">
        <f t="shared" si="473"/>
        <v>-5.8</v>
      </c>
      <c r="K3039" s="17" t="str">
        <f t="shared" si="478"/>
        <v>Ecart négatif</v>
      </c>
      <c r="L3039" s="16">
        <f>base!X3039</f>
        <v>1.6</v>
      </c>
      <c r="M3039" s="11">
        <f t="shared" si="474"/>
        <v>0.08</v>
      </c>
      <c r="N3039" s="11">
        <f t="shared" si="475"/>
        <v>1.6</v>
      </c>
      <c r="O3039" s="11">
        <f t="shared" si="476"/>
        <v>0.08</v>
      </c>
      <c r="P3039" s="12">
        <f t="shared" si="477"/>
        <v>0</v>
      </c>
      <c r="Q3039" s="17" t="str">
        <f t="shared" si="479"/>
        <v>Pas d'écart</v>
      </c>
      <c r="R3039" s="38"/>
    </row>
    <row r="3040" spans="1:18" x14ac:dyDescent="0.3">
      <c r="A3040" s="34" t="str">
        <f>base!J3040</f>
        <v>RM</v>
      </c>
      <c r="B3040" s="34" t="str">
        <f>base!V3040</f>
        <v>73000</v>
      </c>
      <c r="C3040" s="37">
        <v>73</v>
      </c>
      <c r="D3040" s="36">
        <f>base!H3040</f>
        <v>140</v>
      </c>
      <c r="E3040" s="44"/>
      <c r="F3040" s="16">
        <f>base!W3040</f>
        <v>0</v>
      </c>
      <c r="G3040" s="11">
        <f t="shared" si="470"/>
        <v>0</v>
      </c>
      <c r="H3040" s="11">
        <f t="shared" si="471"/>
        <v>37.800000000000004</v>
      </c>
      <c r="I3040" s="11">
        <f t="shared" si="472"/>
        <v>0.27</v>
      </c>
      <c r="J3040" s="12">
        <f t="shared" si="473"/>
        <v>-37.800000000000004</v>
      </c>
      <c r="K3040" s="17" t="str">
        <f t="shared" si="478"/>
        <v>Ecart négatif</v>
      </c>
      <c r="L3040" s="16">
        <f>base!X3040</f>
        <v>0</v>
      </c>
      <c r="M3040" s="11">
        <f t="shared" si="474"/>
        <v>0</v>
      </c>
      <c r="N3040" s="11">
        <f t="shared" si="475"/>
        <v>0</v>
      </c>
      <c r="O3040" s="11">
        <f t="shared" si="476"/>
        <v>0</v>
      </c>
      <c r="P3040" s="12">
        <f t="shared" si="477"/>
        <v>0</v>
      </c>
      <c r="Q3040" s="17" t="str">
        <f t="shared" si="479"/>
        <v>Pas d'écart</v>
      </c>
    </row>
    <row r="3041" spans="1:17" x14ac:dyDescent="0.3">
      <c r="A3041" s="34" t="str">
        <f>base!J3041</f>
        <v>LS</v>
      </c>
      <c r="B3041" s="34" t="str">
        <f>base!V3041</f>
        <v>06300</v>
      </c>
      <c r="C3041" s="37">
        <v>64</v>
      </c>
      <c r="D3041" s="36">
        <f>base!H3041</f>
        <v>199.44</v>
      </c>
      <c r="E3041" s="44"/>
      <c r="F3041" s="16">
        <f>base!W3041</f>
        <v>0</v>
      </c>
      <c r="G3041" s="11">
        <f t="shared" si="470"/>
        <v>0</v>
      </c>
      <c r="H3041" s="11">
        <f t="shared" si="471"/>
        <v>41.882399999999997</v>
      </c>
      <c r="I3041" s="11">
        <f t="shared" si="472"/>
        <v>0.21</v>
      </c>
      <c r="J3041" s="12">
        <f t="shared" si="473"/>
        <v>-41.882399999999997</v>
      </c>
      <c r="K3041" s="17" t="str">
        <f t="shared" si="478"/>
        <v>Ecart négatif</v>
      </c>
      <c r="L3041" s="16">
        <f>base!X3041</f>
        <v>0</v>
      </c>
      <c r="M3041" s="11">
        <f t="shared" si="474"/>
        <v>0</v>
      </c>
      <c r="N3041" s="11">
        <f t="shared" si="475"/>
        <v>33.904800000000002</v>
      </c>
      <c r="O3041" s="11">
        <f t="shared" si="476"/>
        <v>0.17</v>
      </c>
      <c r="P3041" s="12">
        <f t="shared" si="477"/>
        <v>-33.904800000000002</v>
      </c>
      <c r="Q3041" s="17" t="str">
        <f t="shared" si="479"/>
        <v>Ecart négatif</v>
      </c>
    </row>
    <row r="3042" spans="1:17" x14ac:dyDescent="0.3">
      <c r="A3042" s="34" t="str">
        <f>base!J3042</f>
        <v>LM</v>
      </c>
      <c r="B3042" s="34" t="str">
        <f>base!V3042</f>
        <v>69005</v>
      </c>
      <c r="C3042" s="37">
        <v>64</v>
      </c>
      <c r="D3042" s="36">
        <f>base!H3042</f>
        <v>138.16</v>
      </c>
      <c r="E3042" s="44"/>
      <c r="F3042" s="16">
        <f>base!W3042</f>
        <v>37.299999999999997</v>
      </c>
      <c r="G3042" s="11">
        <f t="shared" si="470"/>
        <v>0.26997683844817599</v>
      </c>
      <c r="H3042" s="11">
        <f t="shared" si="471"/>
        <v>29.013599999999997</v>
      </c>
      <c r="I3042" s="11">
        <f t="shared" si="472"/>
        <v>0.21</v>
      </c>
      <c r="J3042" s="12">
        <f t="shared" si="473"/>
        <v>8.2864000000000004</v>
      </c>
      <c r="K3042" s="17" t="str">
        <f t="shared" si="478"/>
        <v>Ecart positif</v>
      </c>
      <c r="L3042" s="16">
        <f>base!X3042</f>
        <v>0</v>
      </c>
      <c r="M3042" s="11">
        <f t="shared" si="474"/>
        <v>0</v>
      </c>
      <c r="N3042" s="11">
        <f t="shared" si="475"/>
        <v>23.487200000000001</v>
      </c>
      <c r="O3042" s="11">
        <f t="shared" si="476"/>
        <v>0.17</v>
      </c>
      <c r="P3042" s="12">
        <f t="shared" si="477"/>
        <v>-23.487200000000001</v>
      </c>
      <c r="Q3042" s="17" t="str">
        <f t="shared" si="479"/>
        <v>Ecart négatif</v>
      </c>
    </row>
    <row r="3043" spans="1:17" x14ac:dyDescent="0.3">
      <c r="A3043" s="34" t="str">
        <f>base!J3043</f>
        <v>LM</v>
      </c>
      <c r="B3043" s="34" t="str">
        <f>base!V3043</f>
        <v>63670</v>
      </c>
      <c r="C3043" s="37">
        <v>65</v>
      </c>
      <c r="D3043" s="36">
        <f>base!H3043</f>
        <v>0.01</v>
      </c>
      <c r="E3043" s="44"/>
      <c r="F3043" s="16">
        <f>base!W3043</f>
        <v>0</v>
      </c>
      <c r="G3043" s="11">
        <f t="shared" si="470"/>
        <v>0</v>
      </c>
      <c r="H3043" s="11">
        <f t="shared" si="471"/>
        <v>2.2000000000000001E-3</v>
      </c>
      <c r="I3043" s="11">
        <f t="shared" si="472"/>
        <v>0.22</v>
      </c>
      <c r="J3043" s="12">
        <f t="shared" si="473"/>
        <v>-2.2000000000000001E-3</v>
      </c>
      <c r="K3043" s="17" t="str">
        <f t="shared" si="478"/>
        <v>Ecart négatif</v>
      </c>
      <c r="L3043" s="16">
        <f>base!X3043</f>
        <v>0</v>
      </c>
      <c r="M3043" s="11">
        <f t="shared" si="474"/>
        <v>0</v>
      </c>
      <c r="N3043" s="11">
        <f t="shared" si="475"/>
        <v>2.6000000000000003E-3</v>
      </c>
      <c r="O3043" s="11">
        <f t="shared" si="476"/>
        <v>0.26</v>
      </c>
      <c r="P3043" s="12">
        <f t="shared" si="477"/>
        <v>-2.6000000000000003E-3</v>
      </c>
      <c r="Q3043" s="17" t="str">
        <f t="shared" si="479"/>
        <v>Ecart négatif</v>
      </c>
    </row>
    <row r="3044" spans="1:17" x14ac:dyDescent="0.3">
      <c r="A3044" s="34">
        <f>base!J3044</f>
        <v>0</v>
      </c>
      <c r="B3044" s="34" t="str">
        <f>base!V3044</f>
        <v>77184</v>
      </c>
      <c r="C3044" s="37">
        <v>77</v>
      </c>
      <c r="D3044" s="36">
        <f>base!H3044</f>
        <v>139</v>
      </c>
      <c r="E3044" s="44"/>
      <c r="F3044" s="16">
        <f>base!W3044</f>
        <v>0</v>
      </c>
      <c r="G3044" s="11">
        <f t="shared" si="470"/>
        <v>0</v>
      </c>
      <c r="H3044" s="11">
        <f t="shared" si="471"/>
        <v>0</v>
      </c>
      <c r="I3044" s="11">
        <f t="shared" si="472"/>
        <v>0</v>
      </c>
      <c r="J3044" s="12">
        <f t="shared" si="473"/>
        <v>0</v>
      </c>
      <c r="K3044" s="17" t="str">
        <f t="shared" si="478"/>
        <v>Pas d'écart</v>
      </c>
      <c r="L3044" s="16">
        <f>base!X3044</f>
        <v>0</v>
      </c>
      <c r="M3044" s="11">
        <f t="shared" si="474"/>
        <v>0</v>
      </c>
      <c r="N3044" s="11">
        <f t="shared" si="475"/>
        <v>0</v>
      </c>
      <c r="O3044" s="11">
        <f t="shared" si="476"/>
        <v>0</v>
      </c>
      <c r="P3044" s="12">
        <f t="shared" si="477"/>
        <v>0</v>
      </c>
      <c r="Q3044" s="17" t="str">
        <f t="shared" si="479"/>
        <v>Pas d'écart</v>
      </c>
    </row>
    <row r="3045" spans="1:17" x14ac:dyDescent="0.3">
      <c r="A3045" s="34" t="str">
        <f>base!J3045</f>
        <v>RM</v>
      </c>
      <c r="B3045" s="34" t="str">
        <f>base!V3045</f>
        <v>06000</v>
      </c>
      <c r="C3045" s="37">
        <v>6</v>
      </c>
      <c r="D3045" s="36">
        <f>base!H3045</f>
        <v>40</v>
      </c>
      <c r="E3045" s="44"/>
      <c r="F3045" s="16">
        <f>base!W3045</f>
        <v>0</v>
      </c>
      <c r="G3045" s="11">
        <f t="shared" si="470"/>
        <v>0</v>
      </c>
      <c r="H3045" s="11">
        <f t="shared" si="471"/>
        <v>12</v>
      </c>
      <c r="I3045" s="11">
        <f t="shared" si="472"/>
        <v>0.3</v>
      </c>
      <c r="J3045" s="12">
        <f t="shared" si="473"/>
        <v>-12</v>
      </c>
      <c r="K3045" s="17" t="str">
        <f t="shared" si="478"/>
        <v>Ecart négatif</v>
      </c>
      <c r="L3045" s="16">
        <f>base!X3045</f>
        <v>0</v>
      </c>
      <c r="M3045" s="11">
        <f t="shared" si="474"/>
        <v>0</v>
      </c>
      <c r="N3045" s="11">
        <f t="shared" si="475"/>
        <v>8.4</v>
      </c>
      <c r="O3045" s="11">
        <f t="shared" si="476"/>
        <v>0.21000000000000002</v>
      </c>
      <c r="P3045" s="12">
        <f t="shared" si="477"/>
        <v>-8.4</v>
      </c>
      <c r="Q3045" s="17" t="str">
        <f t="shared" si="479"/>
        <v>Ecart négatif</v>
      </c>
    </row>
    <row r="3046" spans="1:17" x14ac:dyDescent="0.3">
      <c r="A3046" s="34" t="str">
        <f>base!J3046</f>
        <v>LS</v>
      </c>
      <c r="B3046" s="34" t="str">
        <f>base!V3046</f>
        <v>38500</v>
      </c>
      <c r="C3046" s="37">
        <v>51</v>
      </c>
      <c r="D3046" s="36">
        <f>base!H3046</f>
        <v>122.84</v>
      </c>
      <c r="E3046" s="44"/>
      <c r="F3046" s="16">
        <f>base!W3046</f>
        <v>33.17</v>
      </c>
      <c r="G3046" s="11">
        <f t="shared" si="470"/>
        <v>0.27002605014653208</v>
      </c>
      <c r="H3046" s="11">
        <f t="shared" si="471"/>
        <v>30.71</v>
      </c>
      <c r="I3046" s="11">
        <f t="shared" si="472"/>
        <v>0.25</v>
      </c>
      <c r="J3046" s="12">
        <f t="shared" si="473"/>
        <v>2.4600000000000009</v>
      </c>
      <c r="K3046" s="17" t="str">
        <f t="shared" si="478"/>
        <v>Ecart positif</v>
      </c>
      <c r="L3046" s="16">
        <f>base!X3046</f>
        <v>0</v>
      </c>
      <c r="M3046" s="11">
        <f t="shared" si="474"/>
        <v>0</v>
      </c>
      <c r="N3046" s="11">
        <f t="shared" si="475"/>
        <v>30.71</v>
      </c>
      <c r="O3046" s="11">
        <f t="shared" si="476"/>
        <v>0.25</v>
      </c>
      <c r="P3046" s="12">
        <f t="shared" si="477"/>
        <v>-30.71</v>
      </c>
      <c r="Q3046" s="17" t="str">
        <f t="shared" si="479"/>
        <v>Ecart négatif</v>
      </c>
    </row>
    <row r="3047" spans="1:17" x14ac:dyDescent="0.3">
      <c r="A3047" s="34" t="str">
        <f>base!J3047</f>
        <v>LS</v>
      </c>
      <c r="B3047" s="34" t="str">
        <f>base!V3047</f>
        <v>17200</v>
      </c>
      <c r="C3047" s="37">
        <v>51</v>
      </c>
      <c r="D3047" s="36">
        <f>base!H3047</f>
        <v>131.97999999999999</v>
      </c>
      <c r="E3047" s="44"/>
      <c r="F3047" s="16">
        <f>base!W3047</f>
        <v>27.72</v>
      </c>
      <c r="G3047" s="11">
        <f t="shared" si="470"/>
        <v>0.21003182300348539</v>
      </c>
      <c r="H3047" s="11">
        <f t="shared" si="471"/>
        <v>32.994999999999997</v>
      </c>
      <c r="I3047" s="11">
        <f t="shared" si="472"/>
        <v>0.25</v>
      </c>
      <c r="J3047" s="12">
        <f t="shared" si="473"/>
        <v>-5.2749999999999986</v>
      </c>
      <c r="K3047" s="17" t="str">
        <f t="shared" si="478"/>
        <v>Ecart négatif</v>
      </c>
      <c r="L3047" s="16">
        <f>base!X3047</f>
        <v>0</v>
      </c>
      <c r="M3047" s="11">
        <f t="shared" si="474"/>
        <v>0</v>
      </c>
      <c r="N3047" s="11">
        <f t="shared" si="475"/>
        <v>32.994999999999997</v>
      </c>
      <c r="O3047" s="11">
        <f t="shared" si="476"/>
        <v>0.25</v>
      </c>
      <c r="P3047" s="12">
        <f t="shared" si="477"/>
        <v>-32.994999999999997</v>
      </c>
      <c r="Q3047" s="17" t="str">
        <f t="shared" si="479"/>
        <v>Ecart négatif</v>
      </c>
    </row>
    <row r="3048" spans="1:17" x14ac:dyDescent="0.3">
      <c r="A3048" s="34" t="str">
        <f>base!J3048</f>
        <v>LM</v>
      </c>
      <c r="B3048" s="34" t="str">
        <f>base!V3048</f>
        <v>54300</v>
      </c>
      <c r="C3048" s="37">
        <v>51</v>
      </c>
      <c r="D3048" s="36">
        <f>base!H3048</f>
        <v>55.34</v>
      </c>
      <c r="E3048" s="44"/>
      <c r="F3048" s="16">
        <f>base!W3048</f>
        <v>13.84</v>
      </c>
      <c r="G3048" s="11">
        <f t="shared" si="470"/>
        <v>0.25009035056017348</v>
      </c>
      <c r="H3048" s="11">
        <f t="shared" si="471"/>
        <v>13.835000000000001</v>
      </c>
      <c r="I3048" s="11">
        <f t="shared" si="472"/>
        <v>0.25</v>
      </c>
      <c r="J3048" s="12">
        <f t="shared" si="473"/>
        <v>4.9999999999990052E-3</v>
      </c>
      <c r="K3048" s="17" t="str">
        <f t="shared" si="478"/>
        <v>Ecart positif</v>
      </c>
      <c r="L3048" s="16">
        <f>base!X3048</f>
        <v>0</v>
      </c>
      <c r="M3048" s="11">
        <f t="shared" si="474"/>
        <v>0</v>
      </c>
      <c r="N3048" s="11">
        <f t="shared" si="475"/>
        <v>13.835000000000001</v>
      </c>
      <c r="O3048" s="11">
        <f t="shared" si="476"/>
        <v>0.25</v>
      </c>
      <c r="P3048" s="12">
        <f t="shared" si="477"/>
        <v>-13.835000000000001</v>
      </c>
      <c r="Q3048" s="17" t="str">
        <f t="shared" si="479"/>
        <v>Ecart négatif</v>
      </c>
    </row>
    <row r="3049" spans="1:17" x14ac:dyDescent="0.3">
      <c r="A3049" s="34" t="str">
        <f>base!J3049</f>
        <v>RM</v>
      </c>
      <c r="B3049" s="34" t="str">
        <f>base!V3049</f>
        <v>69006</v>
      </c>
      <c r="C3049" s="37">
        <v>69</v>
      </c>
      <c r="D3049" s="36">
        <f>base!H3049</f>
        <v>29.59</v>
      </c>
      <c r="E3049" s="44"/>
      <c r="F3049" s="16">
        <f>base!W3049</f>
        <v>0</v>
      </c>
      <c r="G3049" s="11">
        <f t="shared" si="470"/>
        <v>0</v>
      </c>
      <c r="H3049" s="11">
        <f t="shared" si="471"/>
        <v>7.9893000000000001</v>
      </c>
      <c r="I3049" s="11">
        <f t="shared" si="472"/>
        <v>0.27</v>
      </c>
      <c r="J3049" s="12">
        <f t="shared" si="473"/>
        <v>-7.9893000000000001</v>
      </c>
      <c r="K3049" s="17" t="str">
        <f t="shared" si="478"/>
        <v>Ecart négatif</v>
      </c>
      <c r="L3049" s="16">
        <f>base!X3049</f>
        <v>0</v>
      </c>
      <c r="M3049" s="11">
        <f t="shared" si="474"/>
        <v>0</v>
      </c>
      <c r="N3049" s="11">
        <f t="shared" si="475"/>
        <v>0</v>
      </c>
      <c r="O3049" s="11">
        <f t="shared" si="476"/>
        <v>0</v>
      </c>
      <c r="P3049" s="12">
        <f t="shared" si="477"/>
        <v>0</v>
      </c>
      <c r="Q3049" s="17" t="str">
        <f t="shared" si="479"/>
        <v>Pas d'écart</v>
      </c>
    </row>
    <row r="3050" spans="1:17" x14ac:dyDescent="0.3">
      <c r="A3050" s="34" t="str">
        <f>base!J3050</f>
        <v>DRS</v>
      </c>
      <c r="B3050" s="34" t="str">
        <f>base!V3050</f>
        <v>94550</v>
      </c>
      <c r="C3050" s="37">
        <v>94</v>
      </c>
      <c r="D3050" s="36">
        <f>base!H3050</f>
        <v>140</v>
      </c>
      <c r="E3050" s="44"/>
      <c r="F3050" s="16">
        <f>base!W3050</f>
        <v>0</v>
      </c>
      <c r="G3050" s="11">
        <f t="shared" si="470"/>
        <v>0</v>
      </c>
      <c r="H3050" s="11">
        <f t="shared" si="471"/>
        <v>0</v>
      </c>
      <c r="I3050" s="11">
        <f t="shared" si="472"/>
        <v>0</v>
      </c>
      <c r="J3050" s="12">
        <f t="shared" si="473"/>
        <v>0</v>
      </c>
      <c r="K3050" s="17" t="str">
        <f t="shared" si="478"/>
        <v>Pas d'écart</v>
      </c>
      <c r="L3050" s="16">
        <f>base!X3050</f>
        <v>0</v>
      </c>
      <c r="M3050" s="11">
        <f t="shared" si="474"/>
        <v>0</v>
      </c>
      <c r="N3050" s="11">
        <f t="shared" si="475"/>
        <v>0</v>
      </c>
      <c r="O3050" s="11">
        <f t="shared" si="476"/>
        <v>0</v>
      </c>
      <c r="P3050" s="12">
        <f t="shared" si="477"/>
        <v>0</v>
      </c>
      <c r="Q3050" s="17" t="str">
        <f t="shared" si="479"/>
        <v>Pas d'écart</v>
      </c>
    </row>
    <row r="3051" spans="1:17" x14ac:dyDescent="0.3">
      <c r="A3051" s="34" t="str">
        <f>base!J3051</f>
        <v>LS</v>
      </c>
      <c r="B3051" s="34" t="str">
        <f>base!V3051</f>
        <v>89800</v>
      </c>
      <c r="C3051" s="37">
        <v>79</v>
      </c>
      <c r="D3051" s="36">
        <f>base!H3051</f>
        <v>2.5</v>
      </c>
      <c r="E3051" s="44"/>
      <c r="F3051" s="16">
        <f>base!W3051</f>
        <v>0.6</v>
      </c>
      <c r="G3051" s="11">
        <f t="shared" si="470"/>
        <v>0.24</v>
      </c>
      <c r="H3051" s="11">
        <f t="shared" si="471"/>
        <v>0.52500000000000002</v>
      </c>
      <c r="I3051" s="11">
        <f t="shared" si="472"/>
        <v>0.21000000000000002</v>
      </c>
      <c r="J3051" s="12">
        <f t="shared" si="473"/>
        <v>7.4999999999999956E-2</v>
      </c>
      <c r="K3051" s="17" t="str">
        <f t="shared" si="478"/>
        <v>Ecart positif</v>
      </c>
      <c r="L3051" s="16">
        <f>base!X3051</f>
        <v>0</v>
      </c>
      <c r="M3051" s="11">
        <f t="shared" si="474"/>
        <v>0</v>
      </c>
      <c r="N3051" s="11">
        <f t="shared" si="475"/>
        <v>0.3</v>
      </c>
      <c r="O3051" s="11">
        <f t="shared" si="476"/>
        <v>0.12</v>
      </c>
      <c r="P3051" s="12">
        <f t="shared" si="477"/>
        <v>-0.3</v>
      </c>
      <c r="Q3051" s="17" t="str">
        <f t="shared" si="479"/>
        <v>Ecart négatif</v>
      </c>
    </row>
    <row r="3052" spans="1:17" x14ac:dyDescent="0.3">
      <c r="A3052" s="34" t="str">
        <f>base!J3052</f>
        <v>RM</v>
      </c>
      <c r="B3052" s="34" t="str">
        <f>base!V3052</f>
        <v>13290</v>
      </c>
      <c r="C3052" s="37">
        <v>13</v>
      </c>
      <c r="D3052" s="36">
        <f>base!H3052</f>
        <v>151</v>
      </c>
      <c r="E3052" s="44"/>
      <c r="F3052" s="16">
        <f>base!W3052</f>
        <v>0</v>
      </c>
      <c r="G3052" s="11">
        <f t="shared" si="470"/>
        <v>0</v>
      </c>
      <c r="H3052" s="11">
        <f t="shared" si="471"/>
        <v>43.79</v>
      </c>
      <c r="I3052" s="11">
        <f t="shared" si="472"/>
        <v>0.28999999999999998</v>
      </c>
      <c r="J3052" s="12">
        <f t="shared" si="473"/>
        <v>-43.79</v>
      </c>
      <c r="K3052" s="17" t="str">
        <f t="shared" si="478"/>
        <v>Ecart négatif</v>
      </c>
      <c r="L3052" s="16">
        <f>base!X3052</f>
        <v>0</v>
      </c>
      <c r="M3052" s="11">
        <f t="shared" si="474"/>
        <v>0</v>
      </c>
      <c r="N3052" s="11">
        <f t="shared" si="475"/>
        <v>28.69</v>
      </c>
      <c r="O3052" s="11">
        <f t="shared" si="476"/>
        <v>0.19</v>
      </c>
      <c r="P3052" s="12">
        <f t="shared" si="477"/>
        <v>-28.69</v>
      </c>
      <c r="Q3052" s="17" t="str">
        <f t="shared" si="479"/>
        <v>Ecart négatif</v>
      </c>
    </row>
    <row r="3053" spans="1:17" x14ac:dyDescent="0.3">
      <c r="A3053" s="34" t="str">
        <f>base!J3053</f>
        <v>RM</v>
      </c>
      <c r="B3053" s="34" t="str">
        <f>base!V3053</f>
        <v>69006</v>
      </c>
      <c r="C3053" s="37">
        <v>69</v>
      </c>
      <c r="D3053" s="36">
        <f>base!H3053</f>
        <v>225.07</v>
      </c>
      <c r="E3053" s="44"/>
      <c r="F3053" s="16">
        <f>base!W3053</f>
        <v>0</v>
      </c>
      <c r="G3053" s="11">
        <f t="shared" si="470"/>
        <v>0</v>
      </c>
      <c r="H3053" s="11">
        <f t="shared" si="471"/>
        <v>60.768900000000002</v>
      </c>
      <c r="I3053" s="11">
        <f t="shared" si="472"/>
        <v>0.27</v>
      </c>
      <c r="J3053" s="12">
        <f t="shared" si="473"/>
        <v>-60.768900000000002</v>
      </c>
      <c r="K3053" s="17" t="str">
        <f t="shared" si="478"/>
        <v>Ecart négatif</v>
      </c>
      <c r="L3053" s="16">
        <f>base!X3053</f>
        <v>0</v>
      </c>
      <c r="M3053" s="11">
        <f t="shared" si="474"/>
        <v>0</v>
      </c>
      <c r="N3053" s="11">
        <f t="shared" si="475"/>
        <v>0</v>
      </c>
      <c r="O3053" s="11">
        <f t="shared" si="476"/>
        <v>0</v>
      </c>
      <c r="P3053" s="12">
        <f t="shared" si="477"/>
        <v>0</v>
      </c>
      <c r="Q3053" s="17" t="str">
        <f t="shared" si="479"/>
        <v>Pas d'écart</v>
      </c>
    </row>
    <row r="3054" spans="1:17" x14ac:dyDescent="0.3">
      <c r="A3054" s="34" t="str">
        <f>base!J3054</f>
        <v>LM</v>
      </c>
      <c r="B3054" s="34" t="str">
        <f>base!V3054</f>
        <v>75014</v>
      </c>
      <c r="C3054" s="37">
        <v>75</v>
      </c>
      <c r="D3054" s="36">
        <f>base!H3054</f>
        <v>137.59</v>
      </c>
      <c r="E3054" s="44"/>
      <c r="F3054" s="16">
        <f>base!W3054</f>
        <v>0</v>
      </c>
      <c r="G3054" s="11">
        <f t="shared" si="470"/>
        <v>0</v>
      </c>
      <c r="H3054" s="11">
        <f t="shared" si="471"/>
        <v>0</v>
      </c>
      <c r="I3054" s="11">
        <f t="shared" si="472"/>
        <v>0</v>
      </c>
      <c r="J3054" s="12">
        <f t="shared" si="473"/>
        <v>0</v>
      </c>
      <c r="K3054" s="17" t="str">
        <f t="shared" si="478"/>
        <v>Pas d'écart</v>
      </c>
      <c r="L3054" s="16">
        <f>base!X3054</f>
        <v>0</v>
      </c>
      <c r="M3054" s="11">
        <f t="shared" si="474"/>
        <v>0</v>
      </c>
      <c r="N3054" s="11">
        <f t="shared" si="475"/>
        <v>0</v>
      </c>
      <c r="O3054" s="11">
        <f t="shared" si="476"/>
        <v>0</v>
      </c>
      <c r="P3054" s="12">
        <f t="shared" si="477"/>
        <v>0</v>
      </c>
      <c r="Q3054" s="17" t="str">
        <f t="shared" si="479"/>
        <v>Pas d'écart</v>
      </c>
    </row>
    <row r="3055" spans="1:17" x14ac:dyDescent="0.3">
      <c r="A3055" s="34" t="str">
        <f>base!J3055</f>
        <v>LM</v>
      </c>
      <c r="B3055" s="34" t="str">
        <f>base!V3055</f>
        <v>92200</v>
      </c>
      <c r="C3055" s="37">
        <v>92</v>
      </c>
      <c r="D3055" s="36">
        <f>base!H3055</f>
        <v>30</v>
      </c>
      <c r="E3055" s="44"/>
      <c r="F3055" s="16">
        <f>base!W3055</f>
        <v>0</v>
      </c>
      <c r="G3055" s="11">
        <f t="shared" si="470"/>
        <v>0</v>
      </c>
      <c r="H3055" s="11">
        <f t="shared" si="471"/>
        <v>0</v>
      </c>
      <c r="I3055" s="11">
        <f t="shared" si="472"/>
        <v>0</v>
      </c>
      <c r="J3055" s="12">
        <f t="shared" si="473"/>
        <v>0</v>
      </c>
      <c r="K3055" s="17" t="str">
        <f t="shared" si="478"/>
        <v>Pas d'écart</v>
      </c>
      <c r="L3055" s="16">
        <f>base!X3055</f>
        <v>0</v>
      </c>
      <c r="M3055" s="11">
        <f t="shared" si="474"/>
        <v>0</v>
      </c>
      <c r="N3055" s="11">
        <f t="shared" si="475"/>
        <v>0</v>
      </c>
      <c r="O3055" s="11">
        <f t="shared" si="476"/>
        <v>0</v>
      </c>
      <c r="P3055" s="12">
        <f t="shared" si="477"/>
        <v>0</v>
      </c>
      <c r="Q3055" s="17" t="str">
        <f t="shared" si="479"/>
        <v>Pas d'écart</v>
      </c>
    </row>
    <row r="3056" spans="1:17" x14ac:dyDescent="0.3">
      <c r="A3056" s="34" t="str">
        <f>base!J3056</f>
        <v>RM</v>
      </c>
      <c r="B3056" s="34" t="str">
        <f>base!V3056</f>
        <v>76220</v>
      </c>
      <c r="C3056" s="37">
        <v>76</v>
      </c>
      <c r="D3056" s="36">
        <f>base!H3056</f>
        <v>180</v>
      </c>
      <c r="E3056" s="44"/>
      <c r="F3056" s="16">
        <f>base!W3056</f>
        <v>0</v>
      </c>
      <c r="G3056" s="11">
        <f t="shared" si="470"/>
        <v>0</v>
      </c>
      <c r="H3056" s="11">
        <f t="shared" si="471"/>
        <v>30.6</v>
      </c>
      <c r="I3056" s="11">
        <f t="shared" si="472"/>
        <v>0.17</v>
      </c>
      <c r="J3056" s="12">
        <f t="shared" si="473"/>
        <v>-30.6</v>
      </c>
      <c r="K3056" s="17" t="str">
        <f t="shared" si="478"/>
        <v>Ecart négatif</v>
      </c>
      <c r="L3056" s="16">
        <f>base!X3056</f>
        <v>30.6</v>
      </c>
      <c r="M3056" s="11">
        <f t="shared" si="474"/>
        <v>0.17</v>
      </c>
      <c r="N3056" s="11">
        <f t="shared" si="475"/>
        <v>30.6</v>
      </c>
      <c r="O3056" s="11">
        <f t="shared" si="476"/>
        <v>0.17</v>
      </c>
      <c r="P3056" s="12">
        <f t="shared" si="477"/>
        <v>0</v>
      </c>
      <c r="Q3056" s="17" t="str">
        <f t="shared" si="479"/>
        <v>Pas d'écart</v>
      </c>
    </row>
    <row r="3057" spans="1:18" x14ac:dyDescent="0.3">
      <c r="A3057" s="34" t="str">
        <f>base!J3057</f>
        <v>RM</v>
      </c>
      <c r="B3057" s="34" t="str">
        <f>base!V3057</f>
        <v>59175</v>
      </c>
      <c r="C3057" s="37">
        <v>59</v>
      </c>
      <c r="D3057" s="36">
        <f>base!H3057</f>
        <v>193.58</v>
      </c>
      <c r="E3057" s="44"/>
      <c r="F3057" s="16">
        <f>base!W3057</f>
        <v>0</v>
      </c>
      <c r="G3057" s="11">
        <f t="shared" si="470"/>
        <v>0</v>
      </c>
      <c r="H3057" s="11">
        <f t="shared" si="471"/>
        <v>36.780200000000001</v>
      </c>
      <c r="I3057" s="11">
        <f t="shared" si="472"/>
        <v>0.19</v>
      </c>
      <c r="J3057" s="12">
        <f t="shared" si="473"/>
        <v>-36.780200000000001</v>
      </c>
      <c r="K3057" s="17" t="str">
        <f t="shared" si="478"/>
        <v>Ecart négatif</v>
      </c>
      <c r="L3057" s="16">
        <f>base!X3057</f>
        <v>0</v>
      </c>
      <c r="M3057" s="11">
        <f t="shared" si="474"/>
        <v>0</v>
      </c>
      <c r="N3057" s="11">
        <f t="shared" si="475"/>
        <v>0</v>
      </c>
      <c r="O3057" s="11">
        <f t="shared" si="476"/>
        <v>0</v>
      </c>
      <c r="P3057" s="12">
        <f t="shared" si="477"/>
        <v>0</v>
      </c>
      <c r="Q3057" s="17" t="str">
        <f t="shared" si="479"/>
        <v>Pas d'écart</v>
      </c>
    </row>
    <row r="3058" spans="1:18" x14ac:dyDescent="0.3">
      <c r="A3058" s="34" t="str">
        <f>base!J3058</f>
        <v>RS</v>
      </c>
      <c r="B3058" s="34" t="str">
        <f>base!V3058</f>
        <v>29490</v>
      </c>
      <c r="C3058" s="37">
        <v>29</v>
      </c>
      <c r="D3058" s="36">
        <f>base!H3058</f>
        <v>140</v>
      </c>
      <c r="E3058" s="44"/>
      <c r="F3058" s="16">
        <f>base!W3058</f>
        <v>0</v>
      </c>
      <c r="G3058" s="11">
        <f t="shared" si="470"/>
        <v>0</v>
      </c>
      <c r="H3058" s="11">
        <f t="shared" si="471"/>
        <v>54.6</v>
      </c>
      <c r="I3058" s="11">
        <f t="shared" si="472"/>
        <v>0.39</v>
      </c>
      <c r="J3058" s="12">
        <f t="shared" si="473"/>
        <v>-54.6</v>
      </c>
      <c r="K3058" s="17" t="str">
        <f t="shared" si="478"/>
        <v>Ecart négatif</v>
      </c>
      <c r="L3058" s="16">
        <f>base!X3058</f>
        <v>0</v>
      </c>
      <c r="M3058" s="11">
        <f t="shared" si="474"/>
        <v>0</v>
      </c>
      <c r="N3058" s="11">
        <f t="shared" si="475"/>
        <v>16.8</v>
      </c>
      <c r="O3058" s="11">
        <f t="shared" si="476"/>
        <v>0.12000000000000001</v>
      </c>
      <c r="P3058" s="12">
        <f t="shared" si="477"/>
        <v>-16.8</v>
      </c>
      <c r="Q3058" s="17" t="str">
        <f t="shared" si="479"/>
        <v>Ecart négatif</v>
      </c>
    </row>
    <row r="3059" spans="1:18" x14ac:dyDescent="0.3">
      <c r="A3059" s="34">
        <f>base!J3059</f>
        <v>0</v>
      </c>
      <c r="B3059" s="34" t="str">
        <f>base!V3059</f>
        <v>77184</v>
      </c>
      <c r="C3059" s="37">
        <v>77</v>
      </c>
      <c r="D3059" s="36">
        <f>base!H3059</f>
        <v>100</v>
      </c>
      <c r="E3059" s="44"/>
      <c r="F3059" s="16">
        <f>base!W3059</f>
        <v>0</v>
      </c>
      <c r="G3059" s="11">
        <f t="shared" si="470"/>
        <v>0</v>
      </c>
      <c r="H3059" s="11">
        <f t="shared" si="471"/>
        <v>0</v>
      </c>
      <c r="I3059" s="11">
        <f t="shared" si="472"/>
        <v>0</v>
      </c>
      <c r="J3059" s="12">
        <f t="shared" si="473"/>
        <v>0</v>
      </c>
      <c r="K3059" s="17" t="str">
        <f t="shared" si="478"/>
        <v>Pas d'écart</v>
      </c>
      <c r="L3059" s="16">
        <f>base!X3059</f>
        <v>0</v>
      </c>
      <c r="M3059" s="11">
        <f t="shared" si="474"/>
        <v>0</v>
      </c>
      <c r="N3059" s="11">
        <f t="shared" si="475"/>
        <v>0</v>
      </c>
      <c r="O3059" s="11">
        <f t="shared" si="476"/>
        <v>0</v>
      </c>
      <c r="P3059" s="12">
        <f t="shared" si="477"/>
        <v>0</v>
      </c>
      <c r="Q3059" s="17" t="str">
        <f t="shared" si="479"/>
        <v>Pas d'écart</v>
      </c>
    </row>
    <row r="3060" spans="1:18" x14ac:dyDescent="0.3">
      <c r="A3060" s="34" t="str">
        <f>base!J3060</f>
        <v>RS</v>
      </c>
      <c r="B3060" s="34" t="str">
        <f>base!V3060</f>
        <v>38500</v>
      </c>
      <c r="C3060" s="37">
        <v>38</v>
      </c>
      <c r="D3060" s="36">
        <f>base!H3060</f>
        <v>205</v>
      </c>
      <c r="E3060" s="44"/>
      <c r="F3060" s="16">
        <f>base!W3060</f>
        <v>0</v>
      </c>
      <c r="G3060" s="11">
        <f t="shared" si="470"/>
        <v>0</v>
      </c>
      <c r="H3060" s="11">
        <f t="shared" si="471"/>
        <v>55.35</v>
      </c>
      <c r="I3060" s="11">
        <f t="shared" si="472"/>
        <v>0.27</v>
      </c>
      <c r="J3060" s="12">
        <f t="shared" si="473"/>
        <v>-55.35</v>
      </c>
      <c r="K3060" s="17" t="str">
        <f t="shared" si="478"/>
        <v>Ecart négatif</v>
      </c>
      <c r="L3060" s="16">
        <f>base!X3060</f>
        <v>0</v>
      </c>
      <c r="M3060" s="11">
        <f t="shared" si="474"/>
        <v>0</v>
      </c>
      <c r="N3060" s="11">
        <f t="shared" si="475"/>
        <v>0</v>
      </c>
      <c r="O3060" s="11">
        <f t="shared" si="476"/>
        <v>0</v>
      </c>
      <c r="P3060" s="12">
        <f t="shared" si="477"/>
        <v>0</v>
      </c>
      <c r="Q3060" s="17" t="str">
        <f t="shared" si="479"/>
        <v>Pas d'écart</v>
      </c>
    </row>
    <row r="3061" spans="1:18" x14ac:dyDescent="0.3">
      <c r="A3061" s="34" t="str">
        <f>base!J3061</f>
        <v>RM</v>
      </c>
      <c r="B3061" s="34" t="str">
        <f>base!V3061</f>
        <v>92350</v>
      </c>
      <c r="C3061" s="37">
        <v>92</v>
      </c>
      <c r="D3061" s="36">
        <f>base!H3061</f>
        <v>22.8</v>
      </c>
      <c r="E3061" s="44"/>
      <c r="F3061" s="16">
        <f>base!W3061</f>
        <v>0</v>
      </c>
      <c r="G3061" s="11">
        <f t="shared" si="470"/>
        <v>0</v>
      </c>
      <c r="H3061" s="11">
        <f t="shared" si="471"/>
        <v>0</v>
      </c>
      <c r="I3061" s="11">
        <f t="shared" si="472"/>
        <v>0</v>
      </c>
      <c r="J3061" s="12">
        <f t="shared" si="473"/>
        <v>0</v>
      </c>
      <c r="K3061" s="17" t="str">
        <f t="shared" si="478"/>
        <v>Pas d'écart</v>
      </c>
      <c r="L3061" s="16">
        <f>base!X3061</f>
        <v>0</v>
      </c>
      <c r="M3061" s="11">
        <f t="shared" si="474"/>
        <v>0</v>
      </c>
      <c r="N3061" s="11">
        <f t="shared" si="475"/>
        <v>0</v>
      </c>
      <c r="O3061" s="11">
        <f t="shared" si="476"/>
        <v>0</v>
      </c>
      <c r="P3061" s="12">
        <f t="shared" si="477"/>
        <v>0</v>
      </c>
      <c r="Q3061" s="17" t="str">
        <f t="shared" si="479"/>
        <v>Pas d'écart</v>
      </c>
    </row>
    <row r="3062" spans="1:18" x14ac:dyDescent="0.3">
      <c r="A3062" s="34" t="str">
        <f>base!J3062</f>
        <v>RM</v>
      </c>
      <c r="B3062" s="34" t="str">
        <f>base!V3062</f>
        <v>77190</v>
      </c>
      <c r="C3062" s="37">
        <v>77</v>
      </c>
      <c r="D3062" s="36">
        <f>base!H3062</f>
        <v>40</v>
      </c>
      <c r="E3062" s="44"/>
      <c r="F3062" s="16">
        <f>base!W3062</f>
        <v>0</v>
      </c>
      <c r="G3062" s="11">
        <f t="shared" si="470"/>
        <v>0</v>
      </c>
      <c r="H3062" s="11">
        <f t="shared" si="471"/>
        <v>0</v>
      </c>
      <c r="I3062" s="11">
        <f t="shared" si="472"/>
        <v>0</v>
      </c>
      <c r="J3062" s="12">
        <f t="shared" si="473"/>
        <v>0</v>
      </c>
      <c r="K3062" s="17" t="str">
        <f t="shared" si="478"/>
        <v>Pas d'écart</v>
      </c>
      <c r="L3062" s="16">
        <f>base!X3062</f>
        <v>0</v>
      </c>
      <c r="M3062" s="11">
        <f t="shared" si="474"/>
        <v>0</v>
      </c>
      <c r="N3062" s="11">
        <f t="shared" si="475"/>
        <v>0</v>
      </c>
      <c r="O3062" s="11">
        <f t="shared" si="476"/>
        <v>0</v>
      </c>
      <c r="P3062" s="12">
        <f t="shared" si="477"/>
        <v>0</v>
      </c>
      <c r="Q3062" s="17" t="str">
        <f t="shared" si="479"/>
        <v>Pas d'écart</v>
      </c>
    </row>
    <row r="3063" spans="1:18" x14ac:dyDescent="0.3">
      <c r="A3063" s="34" t="str">
        <f>base!J3063</f>
        <v>RM</v>
      </c>
      <c r="B3063" s="34" t="str">
        <f>base!V3063</f>
        <v>31670</v>
      </c>
      <c r="C3063" s="37">
        <v>31</v>
      </c>
      <c r="D3063" s="36">
        <f>base!H3063</f>
        <v>129.81</v>
      </c>
      <c r="E3063" s="44"/>
      <c r="F3063" s="16">
        <f>base!W3063</f>
        <v>0</v>
      </c>
      <c r="G3063" s="11">
        <f t="shared" si="470"/>
        <v>0</v>
      </c>
      <c r="H3063" s="11">
        <f t="shared" si="471"/>
        <v>24.663900000000002</v>
      </c>
      <c r="I3063" s="11">
        <f t="shared" si="472"/>
        <v>0.19</v>
      </c>
      <c r="J3063" s="12">
        <f t="shared" si="473"/>
        <v>-24.663900000000002</v>
      </c>
      <c r="K3063" s="17" t="str">
        <f t="shared" si="478"/>
        <v>Ecart négatif</v>
      </c>
      <c r="L3063" s="16">
        <f>base!X3063</f>
        <v>35.049999999999997</v>
      </c>
      <c r="M3063" s="11">
        <f t="shared" si="474"/>
        <v>0.27001001463677682</v>
      </c>
      <c r="N3063" s="11">
        <f t="shared" si="475"/>
        <v>33.750599999999999</v>
      </c>
      <c r="O3063" s="11">
        <f t="shared" si="476"/>
        <v>0.26</v>
      </c>
      <c r="P3063" s="12">
        <f t="shared" si="477"/>
        <v>1.2993999999999986</v>
      </c>
      <c r="Q3063" s="17" t="str">
        <f t="shared" si="479"/>
        <v>Ecart positif</v>
      </c>
      <c r="R3063" s="38"/>
    </row>
    <row r="3064" spans="1:18" x14ac:dyDescent="0.3">
      <c r="A3064" s="34" t="str">
        <f>base!J3064</f>
        <v>RS</v>
      </c>
      <c r="B3064" s="34" t="str">
        <f>base!V3064</f>
        <v>59110</v>
      </c>
      <c r="C3064" s="37">
        <v>59</v>
      </c>
      <c r="D3064" s="36">
        <f>base!H3064</f>
        <v>140</v>
      </c>
      <c r="E3064" s="44"/>
      <c r="F3064" s="16">
        <f>base!W3064</f>
        <v>0</v>
      </c>
      <c r="G3064" s="11">
        <f t="shared" si="470"/>
        <v>0</v>
      </c>
      <c r="H3064" s="11">
        <f t="shared" si="471"/>
        <v>26.6</v>
      </c>
      <c r="I3064" s="11">
        <f t="shared" si="472"/>
        <v>0.19</v>
      </c>
      <c r="J3064" s="12">
        <f t="shared" si="473"/>
        <v>-26.6</v>
      </c>
      <c r="K3064" s="17" t="str">
        <f t="shared" si="478"/>
        <v>Ecart négatif</v>
      </c>
      <c r="L3064" s="16">
        <f>base!X3064</f>
        <v>0</v>
      </c>
      <c r="M3064" s="11">
        <f t="shared" si="474"/>
        <v>0</v>
      </c>
      <c r="N3064" s="11">
        <f t="shared" si="475"/>
        <v>0</v>
      </c>
      <c r="O3064" s="11">
        <f t="shared" si="476"/>
        <v>0</v>
      </c>
      <c r="P3064" s="12">
        <f t="shared" si="477"/>
        <v>0</v>
      </c>
      <c r="Q3064" s="17" t="str">
        <f t="shared" si="479"/>
        <v>Pas d'écart</v>
      </c>
    </row>
    <row r="3065" spans="1:18" x14ac:dyDescent="0.3">
      <c r="A3065" s="34" t="str">
        <f>base!J3065</f>
        <v>RM</v>
      </c>
      <c r="B3065" s="34" t="str">
        <f>base!V3065</f>
        <v>59148</v>
      </c>
      <c r="C3065" s="37">
        <v>59</v>
      </c>
      <c r="D3065" s="36">
        <f>base!H3065</f>
        <v>163.98</v>
      </c>
      <c r="E3065" s="44"/>
      <c r="F3065" s="16">
        <f>base!W3065</f>
        <v>0</v>
      </c>
      <c r="G3065" s="11">
        <f t="shared" si="470"/>
        <v>0</v>
      </c>
      <c r="H3065" s="11">
        <f t="shared" si="471"/>
        <v>31.156199999999998</v>
      </c>
      <c r="I3065" s="11">
        <f t="shared" si="472"/>
        <v>0.19</v>
      </c>
      <c r="J3065" s="12">
        <f t="shared" si="473"/>
        <v>-31.156199999999998</v>
      </c>
      <c r="K3065" s="17" t="str">
        <f t="shared" si="478"/>
        <v>Ecart négatif</v>
      </c>
      <c r="L3065" s="16">
        <f>base!X3065</f>
        <v>0</v>
      </c>
      <c r="M3065" s="11">
        <f t="shared" si="474"/>
        <v>0</v>
      </c>
      <c r="N3065" s="11">
        <f t="shared" si="475"/>
        <v>0</v>
      </c>
      <c r="O3065" s="11">
        <f t="shared" si="476"/>
        <v>0</v>
      </c>
      <c r="P3065" s="12">
        <f t="shared" si="477"/>
        <v>0</v>
      </c>
      <c r="Q3065" s="17" t="str">
        <f t="shared" si="479"/>
        <v>Pas d'écart</v>
      </c>
    </row>
    <row r="3066" spans="1:18" x14ac:dyDescent="0.3">
      <c r="A3066" s="34" t="str">
        <f>base!J3066</f>
        <v>RM</v>
      </c>
      <c r="B3066" s="34" t="str">
        <f>base!V3066</f>
        <v>78125</v>
      </c>
      <c r="C3066" s="37">
        <v>78</v>
      </c>
      <c r="D3066" s="36">
        <f>base!H3066</f>
        <v>38.54</v>
      </c>
      <c r="E3066" s="44"/>
      <c r="F3066" s="16">
        <f>base!W3066</f>
        <v>0</v>
      </c>
      <c r="G3066" s="11">
        <f t="shared" si="470"/>
        <v>0</v>
      </c>
      <c r="H3066" s="11">
        <f t="shared" si="471"/>
        <v>0</v>
      </c>
      <c r="I3066" s="11">
        <f t="shared" si="472"/>
        <v>0</v>
      </c>
      <c r="J3066" s="12">
        <f t="shared" si="473"/>
        <v>0</v>
      </c>
      <c r="K3066" s="17" t="str">
        <f t="shared" si="478"/>
        <v>Pas d'écart</v>
      </c>
      <c r="L3066" s="16">
        <f>base!X3066</f>
        <v>0</v>
      </c>
      <c r="M3066" s="11">
        <f t="shared" si="474"/>
        <v>0</v>
      </c>
      <c r="N3066" s="11">
        <f t="shared" si="475"/>
        <v>0</v>
      </c>
      <c r="O3066" s="11">
        <f t="shared" si="476"/>
        <v>0</v>
      </c>
      <c r="P3066" s="12">
        <f t="shared" si="477"/>
        <v>0</v>
      </c>
      <c r="Q3066" s="17" t="str">
        <f t="shared" si="479"/>
        <v>Pas d'écart</v>
      </c>
    </row>
    <row r="3067" spans="1:18" x14ac:dyDescent="0.3">
      <c r="A3067" s="34" t="str">
        <f>base!J3067</f>
        <v>RS</v>
      </c>
      <c r="B3067" s="34" t="str">
        <f>base!V3067</f>
        <v>35137</v>
      </c>
      <c r="C3067" s="37">
        <v>35</v>
      </c>
      <c r="D3067" s="36">
        <f>base!H3067</f>
        <v>151</v>
      </c>
      <c r="E3067" s="44"/>
      <c r="F3067" s="16">
        <f>base!W3067</f>
        <v>0</v>
      </c>
      <c r="G3067" s="11">
        <f t="shared" si="470"/>
        <v>0</v>
      </c>
      <c r="H3067" s="11">
        <f t="shared" si="471"/>
        <v>40.770000000000003</v>
      </c>
      <c r="I3067" s="11">
        <f t="shared" si="472"/>
        <v>0.27</v>
      </c>
      <c r="J3067" s="12">
        <f t="shared" si="473"/>
        <v>-40.770000000000003</v>
      </c>
      <c r="K3067" s="17" t="str">
        <f t="shared" si="478"/>
        <v>Ecart négatif</v>
      </c>
      <c r="L3067" s="16">
        <f>base!X3067</f>
        <v>40.770000000000003</v>
      </c>
      <c r="M3067" s="11">
        <f t="shared" si="474"/>
        <v>0.27</v>
      </c>
      <c r="N3067" s="11">
        <f t="shared" si="475"/>
        <v>0</v>
      </c>
      <c r="O3067" s="11">
        <f t="shared" si="476"/>
        <v>0</v>
      </c>
      <c r="P3067" s="12">
        <f t="shared" si="477"/>
        <v>40.770000000000003</v>
      </c>
      <c r="Q3067" s="17" t="str">
        <f t="shared" si="479"/>
        <v>Ecart positif</v>
      </c>
      <c r="R3067" s="38"/>
    </row>
    <row r="3068" spans="1:18" x14ac:dyDescent="0.3">
      <c r="A3068" s="34" t="str">
        <f>base!J3068</f>
        <v>RM</v>
      </c>
      <c r="B3068" s="34" t="str">
        <f>base!V3068</f>
        <v>75014</v>
      </c>
      <c r="C3068" s="37">
        <v>75</v>
      </c>
      <c r="D3068" s="36">
        <f>base!H3068</f>
        <v>70</v>
      </c>
      <c r="E3068" s="44"/>
      <c r="F3068" s="16">
        <f>base!W3068</f>
        <v>0</v>
      </c>
      <c r="G3068" s="11">
        <f t="shared" si="470"/>
        <v>0</v>
      </c>
      <c r="H3068" s="11">
        <f t="shared" si="471"/>
        <v>0</v>
      </c>
      <c r="I3068" s="11">
        <f t="shared" si="472"/>
        <v>0</v>
      </c>
      <c r="J3068" s="12">
        <f t="shared" si="473"/>
        <v>0</v>
      </c>
      <c r="K3068" s="17" t="str">
        <f t="shared" si="478"/>
        <v>Pas d'écart</v>
      </c>
      <c r="L3068" s="16">
        <f>base!X3068</f>
        <v>0</v>
      </c>
      <c r="M3068" s="11">
        <f t="shared" si="474"/>
        <v>0</v>
      </c>
      <c r="N3068" s="11">
        <f t="shared" si="475"/>
        <v>0</v>
      </c>
      <c r="O3068" s="11">
        <f t="shared" si="476"/>
        <v>0</v>
      </c>
      <c r="P3068" s="12">
        <f t="shared" si="477"/>
        <v>0</v>
      </c>
      <c r="Q3068" s="17" t="str">
        <f t="shared" si="479"/>
        <v>Pas d'écart</v>
      </c>
    </row>
    <row r="3069" spans="1:18" x14ac:dyDescent="0.3">
      <c r="A3069" s="34" t="str">
        <f>base!J3069</f>
        <v>RM</v>
      </c>
      <c r="B3069" s="34" t="str">
        <f>base!V3069</f>
        <v>83190</v>
      </c>
      <c r="C3069" s="37">
        <v>83</v>
      </c>
      <c r="D3069" s="36">
        <f>base!H3069</f>
        <v>70</v>
      </c>
      <c r="E3069" s="44"/>
      <c r="F3069" s="16">
        <f>base!W3069</f>
        <v>0</v>
      </c>
      <c r="G3069" s="11">
        <f t="shared" si="470"/>
        <v>0</v>
      </c>
      <c r="H3069" s="11">
        <f t="shared" si="471"/>
        <v>21</v>
      </c>
      <c r="I3069" s="11">
        <f t="shared" si="472"/>
        <v>0.3</v>
      </c>
      <c r="J3069" s="12">
        <f t="shared" si="473"/>
        <v>-21</v>
      </c>
      <c r="K3069" s="17" t="str">
        <f t="shared" si="478"/>
        <v>Ecart négatif</v>
      </c>
      <c r="L3069" s="16">
        <f>base!X3069</f>
        <v>14.7</v>
      </c>
      <c r="M3069" s="11">
        <f t="shared" si="474"/>
        <v>0.21</v>
      </c>
      <c r="N3069" s="11">
        <f t="shared" si="475"/>
        <v>14.7</v>
      </c>
      <c r="O3069" s="11">
        <f t="shared" si="476"/>
        <v>0.21</v>
      </c>
      <c r="P3069" s="12">
        <f t="shared" si="477"/>
        <v>0</v>
      </c>
      <c r="Q3069" s="17" t="str">
        <f t="shared" si="479"/>
        <v>Pas d'écart</v>
      </c>
      <c r="R3069" s="38"/>
    </row>
    <row r="3070" spans="1:18" x14ac:dyDescent="0.3">
      <c r="A3070" s="34" t="str">
        <f>base!J3070</f>
        <v>RM</v>
      </c>
      <c r="B3070" s="34" t="str">
        <f>base!V3070</f>
        <v>69120</v>
      </c>
      <c r="C3070" s="37">
        <v>69</v>
      </c>
      <c r="D3070" s="36">
        <f>base!H3070</f>
        <v>151</v>
      </c>
      <c r="E3070" s="44"/>
      <c r="F3070" s="16">
        <f>base!W3070</f>
        <v>0</v>
      </c>
      <c r="G3070" s="11">
        <f t="shared" si="470"/>
        <v>0</v>
      </c>
      <c r="H3070" s="11">
        <f t="shared" si="471"/>
        <v>40.770000000000003</v>
      </c>
      <c r="I3070" s="11">
        <f t="shared" si="472"/>
        <v>0.27</v>
      </c>
      <c r="J3070" s="12">
        <f t="shared" si="473"/>
        <v>-40.770000000000003</v>
      </c>
      <c r="K3070" s="17" t="str">
        <f t="shared" si="478"/>
        <v>Ecart négatif</v>
      </c>
      <c r="L3070" s="16">
        <f>base!X3070</f>
        <v>0</v>
      </c>
      <c r="M3070" s="11">
        <f t="shared" si="474"/>
        <v>0</v>
      </c>
      <c r="N3070" s="11">
        <f t="shared" si="475"/>
        <v>0</v>
      </c>
      <c r="O3070" s="11">
        <f t="shared" si="476"/>
        <v>0</v>
      </c>
      <c r="P3070" s="12">
        <f t="shared" si="477"/>
        <v>0</v>
      </c>
      <c r="Q3070" s="17" t="str">
        <f t="shared" si="479"/>
        <v>Pas d'écart</v>
      </c>
    </row>
    <row r="3071" spans="1:18" x14ac:dyDescent="0.3">
      <c r="A3071" s="34" t="str">
        <f>base!J3071</f>
        <v>RS</v>
      </c>
      <c r="B3071" s="34" t="str">
        <f>base!V3071</f>
        <v>25000</v>
      </c>
      <c r="C3071" s="37">
        <v>25</v>
      </c>
      <c r="D3071" s="36">
        <f>base!H3071</f>
        <v>140</v>
      </c>
      <c r="E3071" s="44"/>
      <c r="F3071" s="16">
        <f>base!W3071</f>
        <v>0</v>
      </c>
      <c r="G3071" s="11">
        <f t="shared" si="470"/>
        <v>0</v>
      </c>
      <c r="H3071" s="11">
        <f t="shared" si="471"/>
        <v>33.6</v>
      </c>
      <c r="I3071" s="11">
        <f t="shared" si="472"/>
        <v>0.24000000000000002</v>
      </c>
      <c r="J3071" s="12">
        <f t="shared" si="473"/>
        <v>-33.6</v>
      </c>
      <c r="K3071" s="17" t="str">
        <f t="shared" si="478"/>
        <v>Ecart négatif</v>
      </c>
      <c r="L3071" s="16">
        <f>base!X3071</f>
        <v>0</v>
      </c>
      <c r="M3071" s="11">
        <f t="shared" si="474"/>
        <v>0</v>
      </c>
      <c r="N3071" s="11">
        <f t="shared" si="475"/>
        <v>16.8</v>
      </c>
      <c r="O3071" s="11">
        <f t="shared" si="476"/>
        <v>0.12000000000000001</v>
      </c>
      <c r="P3071" s="12">
        <f t="shared" si="477"/>
        <v>-16.8</v>
      </c>
      <c r="Q3071" s="17" t="str">
        <f t="shared" si="479"/>
        <v>Ecart négatif</v>
      </c>
    </row>
    <row r="3072" spans="1:18" x14ac:dyDescent="0.3">
      <c r="A3072" s="34" t="str">
        <f>base!J3072</f>
        <v>RS</v>
      </c>
      <c r="B3072" s="34" t="str">
        <f>base!V3072</f>
        <v>63000</v>
      </c>
      <c r="C3072" s="37">
        <v>63</v>
      </c>
      <c r="D3072" s="36">
        <f>base!H3072</f>
        <v>140</v>
      </c>
      <c r="E3072" s="44"/>
      <c r="F3072" s="16">
        <f>base!W3072</f>
        <v>0</v>
      </c>
      <c r="G3072" s="11">
        <f t="shared" si="470"/>
        <v>0</v>
      </c>
      <c r="H3072" s="11">
        <f t="shared" si="471"/>
        <v>40.599999999999994</v>
      </c>
      <c r="I3072" s="11">
        <f t="shared" si="472"/>
        <v>0.28999999999999998</v>
      </c>
      <c r="J3072" s="12">
        <f t="shared" si="473"/>
        <v>-40.599999999999994</v>
      </c>
      <c r="K3072" s="17" t="str">
        <f t="shared" si="478"/>
        <v>Ecart négatif</v>
      </c>
      <c r="L3072" s="16">
        <f>base!X3072</f>
        <v>0</v>
      </c>
      <c r="M3072" s="11">
        <f t="shared" si="474"/>
        <v>0</v>
      </c>
      <c r="N3072" s="11">
        <f t="shared" si="475"/>
        <v>16.8</v>
      </c>
      <c r="O3072" s="11">
        <f t="shared" si="476"/>
        <v>0.12000000000000001</v>
      </c>
      <c r="P3072" s="12">
        <f t="shared" si="477"/>
        <v>-16.8</v>
      </c>
      <c r="Q3072" s="17" t="str">
        <f t="shared" si="479"/>
        <v>Ecart négatif</v>
      </c>
    </row>
    <row r="3073" spans="1:18" x14ac:dyDescent="0.3">
      <c r="A3073" s="34" t="str">
        <f>base!J3073</f>
        <v>RS</v>
      </c>
      <c r="B3073" s="34" t="str">
        <f>base!V3073</f>
        <v>77186</v>
      </c>
      <c r="C3073" s="37">
        <v>77</v>
      </c>
      <c r="D3073" s="36">
        <f>base!H3073</f>
        <v>335.23</v>
      </c>
      <c r="E3073" s="44"/>
      <c r="F3073" s="16">
        <f>base!W3073</f>
        <v>0</v>
      </c>
      <c r="G3073" s="11">
        <f t="shared" si="470"/>
        <v>0</v>
      </c>
      <c r="H3073" s="11">
        <f t="shared" si="471"/>
        <v>0</v>
      </c>
      <c r="I3073" s="11">
        <f t="shared" si="472"/>
        <v>0</v>
      </c>
      <c r="J3073" s="12">
        <f t="shared" si="473"/>
        <v>0</v>
      </c>
      <c r="K3073" s="17" t="str">
        <f t="shared" si="478"/>
        <v>Pas d'écart</v>
      </c>
      <c r="L3073" s="16">
        <f>base!X3073</f>
        <v>0</v>
      </c>
      <c r="M3073" s="11">
        <f t="shared" si="474"/>
        <v>0</v>
      </c>
      <c r="N3073" s="11">
        <f t="shared" si="475"/>
        <v>0</v>
      </c>
      <c r="O3073" s="11">
        <f t="shared" si="476"/>
        <v>0</v>
      </c>
      <c r="P3073" s="12">
        <f t="shared" si="477"/>
        <v>0</v>
      </c>
      <c r="Q3073" s="17" t="str">
        <f t="shared" si="479"/>
        <v>Pas d'écart</v>
      </c>
    </row>
    <row r="3074" spans="1:18" x14ac:dyDescent="0.3">
      <c r="A3074" s="34" t="str">
        <f>base!J3074</f>
        <v>RS</v>
      </c>
      <c r="B3074" s="34" t="str">
        <f>base!V3074</f>
        <v>83190</v>
      </c>
      <c r="C3074" s="37">
        <v>83</v>
      </c>
      <c r="D3074" s="36">
        <f>base!H3074</f>
        <v>70</v>
      </c>
      <c r="E3074" s="44"/>
      <c r="F3074" s="16">
        <f>base!W3074</f>
        <v>0</v>
      </c>
      <c r="G3074" s="11">
        <f t="shared" ref="G3074:G3137" si="480">F3074/D3074</f>
        <v>0</v>
      </c>
      <c r="H3074" s="11">
        <f t="shared" ref="H3074:H3137" si="481">VLOOKUP(C3074,tout_cout_traction,2,FALSE)*D3074</f>
        <v>21</v>
      </c>
      <c r="I3074" s="11">
        <f t="shared" ref="I3074:I3137" si="482">H3074/D3074</f>
        <v>0.3</v>
      </c>
      <c r="J3074" s="12">
        <f t="shared" ref="J3074:J3137" si="483">F3074-H3074</f>
        <v>-21</v>
      </c>
      <c r="K3074" s="17" t="str">
        <f t="shared" si="478"/>
        <v>Ecart négatif</v>
      </c>
      <c r="L3074" s="16">
        <f>base!X3074</f>
        <v>14.7</v>
      </c>
      <c r="M3074" s="11">
        <f t="shared" ref="M3074:M3137" si="484">L3074/D3074</f>
        <v>0.21</v>
      </c>
      <c r="N3074" s="11">
        <f t="shared" ref="N3074:N3137" si="485">VLOOKUP(C3074,tout_cout_traction,3,FALSE)*D3074</f>
        <v>14.7</v>
      </c>
      <c r="O3074" s="11">
        <f t="shared" ref="O3074:O3137" si="486">N3074/D3074</f>
        <v>0.21</v>
      </c>
      <c r="P3074" s="12">
        <f t="shared" ref="P3074:P3137" si="487">L3074-N3074</f>
        <v>0</v>
      </c>
      <c r="Q3074" s="17" t="str">
        <f t="shared" si="479"/>
        <v>Pas d'écart</v>
      </c>
      <c r="R3074" s="38"/>
    </row>
    <row r="3075" spans="1:18" x14ac:dyDescent="0.3">
      <c r="A3075" s="34" t="str">
        <f>base!J3075</f>
        <v>RS</v>
      </c>
      <c r="B3075" s="34" t="str">
        <f>base!V3075</f>
        <v>41000</v>
      </c>
      <c r="C3075" s="37">
        <v>41</v>
      </c>
      <c r="D3075" s="36">
        <f>base!H3075</f>
        <v>604.03</v>
      </c>
      <c r="E3075" s="44"/>
      <c r="F3075" s="16">
        <f>base!W3075</f>
        <v>0</v>
      </c>
      <c r="G3075" s="11">
        <f t="shared" si="480"/>
        <v>0</v>
      </c>
      <c r="H3075" s="11">
        <f t="shared" si="481"/>
        <v>126.84629999999999</v>
      </c>
      <c r="I3075" s="11">
        <f t="shared" si="482"/>
        <v>0.21</v>
      </c>
      <c r="J3075" s="12">
        <f t="shared" si="483"/>
        <v>-126.84629999999999</v>
      </c>
      <c r="K3075" s="17" t="str">
        <f t="shared" ref="K3075:K3138" si="488">IF(H3075=F3075,"Pas d'écart",IF(H3075&lt;F3075,"Ecart positif",IF(H3075&gt;F3075,"Ecart négatif")))</f>
        <v>Ecart négatif</v>
      </c>
      <c r="L3075" s="16">
        <f>base!X3075</f>
        <v>0</v>
      </c>
      <c r="M3075" s="11">
        <f t="shared" si="484"/>
        <v>0</v>
      </c>
      <c r="N3075" s="11">
        <f t="shared" si="485"/>
        <v>72.483599999999996</v>
      </c>
      <c r="O3075" s="11">
        <f t="shared" si="486"/>
        <v>0.12</v>
      </c>
      <c r="P3075" s="12">
        <f t="shared" si="487"/>
        <v>-72.483599999999996</v>
      </c>
      <c r="Q3075" s="17" t="str">
        <f t="shared" ref="Q3075:Q3138" si="489">IF(N3075=L3075,"Pas d'écart",IF(N3075&lt;L3075,"Ecart positif",IF(N3075&gt;L3075,"Ecart négatif")))</f>
        <v>Ecart négatif</v>
      </c>
    </row>
    <row r="3076" spans="1:18" x14ac:dyDescent="0.3">
      <c r="A3076" s="34" t="str">
        <f>base!J3076</f>
        <v>RS</v>
      </c>
      <c r="B3076" s="34" t="str">
        <f>base!V3076</f>
        <v>83000</v>
      </c>
      <c r="C3076" s="37">
        <v>83</v>
      </c>
      <c r="D3076" s="36">
        <f>base!H3076</f>
        <v>180</v>
      </c>
      <c r="E3076" s="44"/>
      <c r="F3076" s="16">
        <f>base!W3076</f>
        <v>0</v>
      </c>
      <c r="G3076" s="11">
        <f t="shared" si="480"/>
        <v>0</v>
      </c>
      <c r="H3076" s="11">
        <f t="shared" si="481"/>
        <v>54</v>
      </c>
      <c r="I3076" s="11">
        <f t="shared" si="482"/>
        <v>0.3</v>
      </c>
      <c r="J3076" s="12">
        <f t="shared" si="483"/>
        <v>-54</v>
      </c>
      <c r="K3076" s="17" t="str">
        <f t="shared" si="488"/>
        <v>Ecart négatif</v>
      </c>
      <c r="L3076" s="16">
        <f>base!X3076</f>
        <v>37.799999999999997</v>
      </c>
      <c r="M3076" s="11">
        <f t="shared" si="484"/>
        <v>0.21</v>
      </c>
      <c r="N3076" s="11">
        <f t="shared" si="485"/>
        <v>37.799999999999997</v>
      </c>
      <c r="O3076" s="11">
        <f t="shared" si="486"/>
        <v>0.21</v>
      </c>
      <c r="P3076" s="12">
        <f t="shared" si="487"/>
        <v>0</v>
      </c>
      <c r="Q3076" s="17" t="str">
        <f t="shared" si="489"/>
        <v>Pas d'écart</v>
      </c>
      <c r="R3076" s="38"/>
    </row>
    <row r="3077" spans="1:18" x14ac:dyDescent="0.3">
      <c r="A3077" s="34" t="str">
        <f>base!J3077</f>
        <v>RS</v>
      </c>
      <c r="B3077" s="34" t="str">
        <f>base!V3077</f>
        <v>78370</v>
      </c>
      <c r="C3077" s="37">
        <v>78</v>
      </c>
      <c r="D3077" s="36">
        <f>base!H3077</f>
        <v>180</v>
      </c>
      <c r="E3077" s="44"/>
      <c r="F3077" s="16">
        <f>base!W3077</f>
        <v>0</v>
      </c>
      <c r="G3077" s="11">
        <f t="shared" si="480"/>
        <v>0</v>
      </c>
      <c r="H3077" s="11">
        <f t="shared" si="481"/>
        <v>0</v>
      </c>
      <c r="I3077" s="11">
        <f t="shared" si="482"/>
        <v>0</v>
      </c>
      <c r="J3077" s="12">
        <f t="shared" si="483"/>
        <v>0</v>
      </c>
      <c r="K3077" s="17" t="str">
        <f t="shared" si="488"/>
        <v>Pas d'écart</v>
      </c>
      <c r="L3077" s="16">
        <f>base!X3077</f>
        <v>0</v>
      </c>
      <c r="M3077" s="11">
        <f t="shared" si="484"/>
        <v>0</v>
      </c>
      <c r="N3077" s="11">
        <f t="shared" si="485"/>
        <v>0</v>
      </c>
      <c r="O3077" s="11">
        <f t="shared" si="486"/>
        <v>0</v>
      </c>
      <c r="P3077" s="12">
        <f t="shared" si="487"/>
        <v>0</v>
      </c>
      <c r="Q3077" s="17" t="str">
        <f t="shared" si="489"/>
        <v>Pas d'écart</v>
      </c>
    </row>
    <row r="3078" spans="1:18" x14ac:dyDescent="0.3">
      <c r="A3078" s="34" t="str">
        <f>base!J3078</f>
        <v>RS</v>
      </c>
      <c r="B3078" s="34" t="str">
        <f>base!V3078</f>
        <v>83000</v>
      </c>
      <c r="C3078" s="37">
        <v>83</v>
      </c>
      <c r="D3078" s="36">
        <f>base!H3078</f>
        <v>137.05000000000001</v>
      </c>
      <c r="E3078" s="44"/>
      <c r="F3078" s="16">
        <f>base!W3078</f>
        <v>0</v>
      </c>
      <c r="G3078" s="11">
        <f t="shared" si="480"/>
        <v>0</v>
      </c>
      <c r="H3078" s="11">
        <f t="shared" si="481"/>
        <v>41.115000000000002</v>
      </c>
      <c r="I3078" s="11">
        <f t="shared" si="482"/>
        <v>0.3</v>
      </c>
      <c r="J3078" s="12">
        <f t="shared" si="483"/>
        <v>-41.115000000000002</v>
      </c>
      <c r="K3078" s="17" t="str">
        <f t="shared" si="488"/>
        <v>Ecart négatif</v>
      </c>
      <c r="L3078" s="16">
        <f>base!X3078</f>
        <v>28.78</v>
      </c>
      <c r="M3078" s="11">
        <f t="shared" si="484"/>
        <v>0.20999635169646114</v>
      </c>
      <c r="N3078" s="11">
        <f t="shared" si="485"/>
        <v>28.7805</v>
      </c>
      <c r="O3078" s="11">
        <f t="shared" si="486"/>
        <v>0.21</v>
      </c>
      <c r="P3078" s="12">
        <f t="shared" si="487"/>
        <v>-4.9999999999883471E-4</v>
      </c>
      <c r="Q3078" s="17" t="str">
        <f t="shared" si="489"/>
        <v>Ecart négatif</v>
      </c>
      <c r="R3078" s="38"/>
    </row>
    <row r="3079" spans="1:18" x14ac:dyDescent="0.3">
      <c r="A3079" s="34" t="str">
        <f>base!J3079</f>
        <v>RM</v>
      </c>
      <c r="B3079" s="34" t="str">
        <f>base!V3079</f>
        <v>70000</v>
      </c>
      <c r="C3079" s="37">
        <v>70</v>
      </c>
      <c r="D3079" s="36">
        <f>base!H3079</f>
        <v>55</v>
      </c>
      <c r="E3079" s="44"/>
      <c r="F3079" s="16">
        <f>base!W3079</f>
        <v>0</v>
      </c>
      <c r="G3079" s="11">
        <f t="shared" si="480"/>
        <v>0</v>
      </c>
      <c r="H3079" s="11">
        <f t="shared" si="481"/>
        <v>13.2</v>
      </c>
      <c r="I3079" s="11">
        <f t="shared" si="482"/>
        <v>0.24</v>
      </c>
      <c r="J3079" s="12">
        <f t="shared" si="483"/>
        <v>-13.2</v>
      </c>
      <c r="K3079" s="17" t="str">
        <f t="shared" si="488"/>
        <v>Ecart négatif</v>
      </c>
      <c r="L3079" s="16">
        <f>base!X3079</f>
        <v>6.6</v>
      </c>
      <c r="M3079" s="11">
        <f t="shared" si="484"/>
        <v>0.12</v>
      </c>
      <c r="N3079" s="11">
        <f t="shared" si="485"/>
        <v>6.6</v>
      </c>
      <c r="O3079" s="11">
        <f t="shared" si="486"/>
        <v>0.12</v>
      </c>
      <c r="P3079" s="12">
        <f t="shared" si="487"/>
        <v>0</v>
      </c>
      <c r="Q3079" s="17" t="str">
        <f t="shared" si="489"/>
        <v>Pas d'écart</v>
      </c>
      <c r="R3079" s="38"/>
    </row>
    <row r="3080" spans="1:18" x14ac:dyDescent="0.3">
      <c r="A3080" s="34" t="str">
        <f>base!J3080</f>
        <v>RM</v>
      </c>
      <c r="B3080" s="34" t="str">
        <f>base!V3080</f>
        <v>70000</v>
      </c>
      <c r="C3080" s="37">
        <v>70</v>
      </c>
      <c r="D3080" s="36">
        <f>base!H3080</f>
        <v>40</v>
      </c>
      <c r="E3080" s="44"/>
      <c r="F3080" s="16">
        <f>base!W3080</f>
        <v>0</v>
      </c>
      <c r="G3080" s="11">
        <f t="shared" si="480"/>
        <v>0</v>
      </c>
      <c r="H3080" s="11">
        <f t="shared" si="481"/>
        <v>9.6</v>
      </c>
      <c r="I3080" s="11">
        <f t="shared" si="482"/>
        <v>0.24</v>
      </c>
      <c r="J3080" s="12">
        <f t="shared" si="483"/>
        <v>-9.6</v>
      </c>
      <c r="K3080" s="17" t="str">
        <f t="shared" si="488"/>
        <v>Ecart négatif</v>
      </c>
      <c r="L3080" s="16">
        <f>base!X3080</f>
        <v>0</v>
      </c>
      <c r="M3080" s="11">
        <f t="shared" si="484"/>
        <v>0</v>
      </c>
      <c r="N3080" s="11">
        <f t="shared" si="485"/>
        <v>4.8</v>
      </c>
      <c r="O3080" s="11">
        <f t="shared" si="486"/>
        <v>0.12</v>
      </c>
      <c r="P3080" s="12">
        <f t="shared" si="487"/>
        <v>-4.8</v>
      </c>
      <c r="Q3080" s="17" t="str">
        <f t="shared" si="489"/>
        <v>Ecart négatif</v>
      </c>
    </row>
    <row r="3081" spans="1:18" x14ac:dyDescent="0.3">
      <c r="A3081" s="34" t="str">
        <f>base!J3081</f>
        <v>RM</v>
      </c>
      <c r="B3081" s="34" t="str">
        <f>base!V3081</f>
        <v>70000</v>
      </c>
      <c r="C3081" s="37">
        <v>70</v>
      </c>
      <c r="D3081" s="36">
        <f>base!H3081</f>
        <v>22.5</v>
      </c>
      <c r="E3081" s="44"/>
      <c r="F3081" s="16">
        <f>base!W3081</f>
        <v>0</v>
      </c>
      <c r="G3081" s="11">
        <f t="shared" si="480"/>
        <v>0</v>
      </c>
      <c r="H3081" s="11">
        <f t="shared" si="481"/>
        <v>5.3999999999999995</v>
      </c>
      <c r="I3081" s="11">
        <f t="shared" si="482"/>
        <v>0.23999999999999996</v>
      </c>
      <c r="J3081" s="12">
        <f t="shared" si="483"/>
        <v>-5.3999999999999995</v>
      </c>
      <c r="K3081" s="17" t="str">
        <f t="shared" si="488"/>
        <v>Ecart négatif</v>
      </c>
      <c r="L3081" s="16">
        <f>base!X3081</f>
        <v>0</v>
      </c>
      <c r="M3081" s="11">
        <f t="shared" si="484"/>
        <v>0</v>
      </c>
      <c r="N3081" s="11">
        <f t="shared" si="485"/>
        <v>2.6999999999999997</v>
      </c>
      <c r="O3081" s="11">
        <f t="shared" si="486"/>
        <v>0.11999999999999998</v>
      </c>
      <c r="P3081" s="12">
        <f t="shared" si="487"/>
        <v>-2.6999999999999997</v>
      </c>
      <c r="Q3081" s="17" t="str">
        <f t="shared" si="489"/>
        <v>Ecart négatif</v>
      </c>
    </row>
    <row r="3082" spans="1:18" x14ac:dyDescent="0.3">
      <c r="A3082" s="34" t="str">
        <f>base!J3082</f>
        <v>RS</v>
      </c>
      <c r="B3082" s="34" t="str">
        <f>base!V3082</f>
        <v>34000</v>
      </c>
      <c r="C3082" s="37">
        <v>34</v>
      </c>
      <c r="D3082" s="36">
        <f>base!H3082</f>
        <v>100.5</v>
      </c>
      <c r="E3082" s="44"/>
      <c r="F3082" s="16">
        <f>base!W3082</f>
        <v>0</v>
      </c>
      <c r="G3082" s="11">
        <f t="shared" si="480"/>
        <v>0</v>
      </c>
      <c r="H3082" s="11">
        <f t="shared" si="481"/>
        <v>39.195</v>
      </c>
      <c r="I3082" s="11">
        <f t="shared" si="482"/>
        <v>0.39</v>
      </c>
      <c r="J3082" s="12">
        <f t="shared" si="483"/>
        <v>-39.195</v>
      </c>
      <c r="K3082" s="17" t="str">
        <f t="shared" si="488"/>
        <v>Ecart négatif</v>
      </c>
      <c r="L3082" s="16">
        <f>base!X3082</f>
        <v>0</v>
      </c>
      <c r="M3082" s="11">
        <f t="shared" si="484"/>
        <v>0</v>
      </c>
      <c r="N3082" s="11">
        <f t="shared" si="485"/>
        <v>28.140000000000004</v>
      </c>
      <c r="O3082" s="11">
        <f t="shared" si="486"/>
        <v>0.28000000000000003</v>
      </c>
      <c r="P3082" s="12">
        <f t="shared" si="487"/>
        <v>-28.140000000000004</v>
      </c>
      <c r="Q3082" s="17" t="str">
        <f t="shared" si="489"/>
        <v>Ecart négatif</v>
      </c>
    </row>
    <row r="3083" spans="1:18" x14ac:dyDescent="0.3">
      <c r="A3083" s="34" t="str">
        <f>base!J3083</f>
        <v>RS</v>
      </c>
      <c r="B3083" s="34" t="str">
        <f>base!V3083</f>
        <v>34000</v>
      </c>
      <c r="C3083" s="37">
        <v>34</v>
      </c>
      <c r="D3083" s="36">
        <f>base!H3083</f>
        <v>250</v>
      </c>
      <c r="E3083" s="44"/>
      <c r="F3083" s="16">
        <f>base!W3083</f>
        <v>0</v>
      </c>
      <c r="G3083" s="11">
        <f t="shared" si="480"/>
        <v>0</v>
      </c>
      <c r="H3083" s="11">
        <f t="shared" si="481"/>
        <v>97.5</v>
      </c>
      <c r="I3083" s="11">
        <f t="shared" si="482"/>
        <v>0.39</v>
      </c>
      <c r="J3083" s="12">
        <f t="shared" si="483"/>
        <v>-97.5</v>
      </c>
      <c r="K3083" s="17" t="str">
        <f t="shared" si="488"/>
        <v>Ecart négatif</v>
      </c>
      <c r="L3083" s="16">
        <f>base!X3083</f>
        <v>0</v>
      </c>
      <c r="M3083" s="11">
        <f t="shared" si="484"/>
        <v>0</v>
      </c>
      <c r="N3083" s="11">
        <f t="shared" si="485"/>
        <v>70</v>
      </c>
      <c r="O3083" s="11">
        <f t="shared" si="486"/>
        <v>0.28000000000000003</v>
      </c>
      <c r="P3083" s="12">
        <f t="shared" si="487"/>
        <v>-70</v>
      </c>
      <c r="Q3083" s="17" t="str">
        <f t="shared" si="489"/>
        <v>Ecart négatif</v>
      </c>
    </row>
    <row r="3084" spans="1:18" x14ac:dyDescent="0.3">
      <c r="A3084" s="34" t="str">
        <f>base!J3084</f>
        <v>DLM</v>
      </c>
      <c r="B3084" s="34" t="str">
        <f>base!V3084</f>
        <v>76600</v>
      </c>
      <c r="C3084" s="37">
        <v>76</v>
      </c>
      <c r="D3084" s="36">
        <f>base!H3084</f>
        <v>52.5</v>
      </c>
      <c r="E3084" s="44"/>
      <c r="F3084" s="16">
        <f>base!W3084</f>
        <v>0</v>
      </c>
      <c r="G3084" s="11">
        <f t="shared" si="480"/>
        <v>0</v>
      </c>
      <c r="H3084" s="11">
        <f t="shared" si="481"/>
        <v>8.9250000000000007</v>
      </c>
      <c r="I3084" s="11">
        <f t="shared" si="482"/>
        <v>0.17</v>
      </c>
      <c r="J3084" s="12">
        <f t="shared" si="483"/>
        <v>-8.9250000000000007</v>
      </c>
      <c r="K3084" s="17" t="str">
        <f t="shared" si="488"/>
        <v>Ecart négatif</v>
      </c>
      <c r="L3084" s="16">
        <f>base!X3084</f>
        <v>0</v>
      </c>
      <c r="M3084" s="11">
        <f t="shared" si="484"/>
        <v>0</v>
      </c>
      <c r="N3084" s="11">
        <f t="shared" si="485"/>
        <v>8.9250000000000007</v>
      </c>
      <c r="O3084" s="11">
        <f t="shared" si="486"/>
        <v>0.17</v>
      </c>
      <c r="P3084" s="12">
        <f t="shared" si="487"/>
        <v>-8.9250000000000007</v>
      </c>
      <c r="Q3084" s="17" t="str">
        <f t="shared" si="489"/>
        <v>Ecart négatif</v>
      </c>
    </row>
    <row r="3085" spans="1:18" x14ac:dyDescent="0.3">
      <c r="A3085" s="34" t="str">
        <f>base!J3085</f>
        <v>DLM</v>
      </c>
      <c r="B3085" s="34" t="str">
        <f>base!V3085</f>
        <v>69003</v>
      </c>
      <c r="C3085" s="37">
        <v>69</v>
      </c>
      <c r="D3085" s="36">
        <f>base!H3085</f>
        <v>52.5</v>
      </c>
      <c r="E3085" s="44"/>
      <c r="F3085" s="16">
        <f>base!W3085</f>
        <v>0</v>
      </c>
      <c r="G3085" s="11">
        <f t="shared" si="480"/>
        <v>0</v>
      </c>
      <c r="H3085" s="11">
        <f t="shared" si="481"/>
        <v>14.175000000000001</v>
      </c>
      <c r="I3085" s="11">
        <f t="shared" si="482"/>
        <v>0.27</v>
      </c>
      <c r="J3085" s="12">
        <f t="shared" si="483"/>
        <v>-14.175000000000001</v>
      </c>
      <c r="K3085" s="17" t="str">
        <f t="shared" si="488"/>
        <v>Ecart négatif</v>
      </c>
      <c r="L3085" s="16">
        <f>base!X3085</f>
        <v>0</v>
      </c>
      <c r="M3085" s="11">
        <f t="shared" si="484"/>
        <v>0</v>
      </c>
      <c r="N3085" s="11">
        <f t="shared" si="485"/>
        <v>0</v>
      </c>
      <c r="O3085" s="11">
        <f t="shared" si="486"/>
        <v>0</v>
      </c>
      <c r="P3085" s="12">
        <f t="shared" si="487"/>
        <v>0</v>
      </c>
      <c r="Q3085" s="17" t="str">
        <f t="shared" si="489"/>
        <v>Pas d'écart</v>
      </c>
    </row>
    <row r="3086" spans="1:18" x14ac:dyDescent="0.3">
      <c r="A3086" s="34" t="str">
        <f>base!J3086</f>
        <v>DLM</v>
      </c>
      <c r="B3086" s="34" t="str">
        <f>base!V3086</f>
        <v>31200</v>
      </c>
      <c r="C3086" s="37">
        <v>31</v>
      </c>
      <c r="D3086" s="36">
        <f>base!H3086</f>
        <v>52.5</v>
      </c>
      <c r="E3086" s="44"/>
      <c r="F3086" s="16">
        <f>base!W3086</f>
        <v>0</v>
      </c>
      <c r="G3086" s="11">
        <f t="shared" si="480"/>
        <v>0</v>
      </c>
      <c r="H3086" s="11">
        <f t="shared" si="481"/>
        <v>9.9749999999999996</v>
      </c>
      <c r="I3086" s="11">
        <f t="shared" si="482"/>
        <v>0.19</v>
      </c>
      <c r="J3086" s="12">
        <f t="shared" si="483"/>
        <v>-9.9749999999999996</v>
      </c>
      <c r="K3086" s="17" t="str">
        <f t="shared" si="488"/>
        <v>Ecart négatif</v>
      </c>
      <c r="L3086" s="16">
        <f>base!X3086</f>
        <v>0</v>
      </c>
      <c r="M3086" s="11">
        <f t="shared" si="484"/>
        <v>0</v>
      </c>
      <c r="N3086" s="11">
        <f t="shared" si="485"/>
        <v>13.65</v>
      </c>
      <c r="O3086" s="11">
        <f t="shared" si="486"/>
        <v>0.26</v>
      </c>
      <c r="P3086" s="12">
        <f t="shared" si="487"/>
        <v>-13.65</v>
      </c>
      <c r="Q3086" s="17" t="str">
        <f t="shared" si="489"/>
        <v>Ecart négatif</v>
      </c>
    </row>
    <row r="3087" spans="1:18" x14ac:dyDescent="0.3">
      <c r="A3087" s="34" t="str">
        <f>base!J3087</f>
        <v>DLM</v>
      </c>
      <c r="B3087" s="34" t="str">
        <f>base!V3087</f>
        <v>62200</v>
      </c>
      <c r="C3087" s="37">
        <v>62</v>
      </c>
      <c r="D3087" s="36">
        <f>base!H3087</f>
        <v>52.5</v>
      </c>
      <c r="E3087" s="44"/>
      <c r="F3087" s="16">
        <f>base!W3087</f>
        <v>0</v>
      </c>
      <c r="G3087" s="11">
        <f t="shared" si="480"/>
        <v>0</v>
      </c>
      <c r="H3087" s="11">
        <f t="shared" si="481"/>
        <v>9.9749999999999996</v>
      </c>
      <c r="I3087" s="11">
        <f t="shared" si="482"/>
        <v>0.19</v>
      </c>
      <c r="J3087" s="12">
        <f t="shared" si="483"/>
        <v>-9.9749999999999996</v>
      </c>
      <c r="K3087" s="17" t="str">
        <f t="shared" si="488"/>
        <v>Ecart négatif</v>
      </c>
      <c r="L3087" s="16">
        <f>base!X3087</f>
        <v>0</v>
      </c>
      <c r="M3087" s="11">
        <f t="shared" si="484"/>
        <v>0</v>
      </c>
      <c r="N3087" s="11">
        <f t="shared" si="485"/>
        <v>0</v>
      </c>
      <c r="O3087" s="11">
        <f t="shared" si="486"/>
        <v>0</v>
      </c>
      <c r="P3087" s="12">
        <f t="shared" si="487"/>
        <v>0</v>
      </c>
      <c r="Q3087" s="17" t="str">
        <f t="shared" si="489"/>
        <v>Pas d'écart</v>
      </c>
    </row>
    <row r="3088" spans="1:18" x14ac:dyDescent="0.3">
      <c r="A3088" s="34" t="str">
        <f>base!J3088</f>
        <v>DLM</v>
      </c>
      <c r="B3088" s="34" t="str">
        <f>base!V3088</f>
        <v>01000</v>
      </c>
      <c r="C3088" s="37">
        <v>1</v>
      </c>
      <c r="D3088" s="36">
        <f>base!H3088</f>
        <v>52.5</v>
      </c>
      <c r="E3088" s="44"/>
      <c r="F3088" s="16">
        <f>base!W3088</f>
        <v>0</v>
      </c>
      <c r="G3088" s="11">
        <f t="shared" si="480"/>
        <v>0</v>
      </c>
      <c r="H3088" s="11">
        <f t="shared" si="481"/>
        <v>13.65</v>
      </c>
      <c r="I3088" s="11">
        <f t="shared" si="482"/>
        <v>0.26</v>
      </c>
      <c r="J3088" s="12">
        <f t="shared" si="483"/>
        <v>-13.65</v>
      </c>
      <c r="K3088" s="17" t="str">
        <f t="shared" si="488"/>
        <v>Ecart négatif</v>
      </c>
      <c r="L3088" s="16">
        <f>base!X3088</f>
        <v>0</v>
      </c>
      <c r="M3088" s="11">
        <f t="shared" si="484"/>
        <v>0</v>
      </c>
      <c r="N3088" s="11">
        <f t="shared" si="485"/>
        <v>0</v>
      </c>
      <c r="O3088" s="11">
        <f t="shared" si="486"/>
        <v>0</v>
      </c>
      <c r="P3088" s="12">
        <f t="shared" si="487"/>
        <v>0</v>
      </c>
      <c r="Q3088" s="17" t="str">
        <f t="shared" si="489"/>
        <v>Pas d'écart</v>
      </c>
    </row>
    <row r="3089" spans="1:18" x14ac:dyDescent="0.3">
      <c r="A3089" s="34" t="str">
        <f>base!J3089</f>
        <v>DLM</v>
      </c>
      <c r="B3089" s="34" t="str">
        <f>base!V3089</f>
        <v>69003</v>
      </c>
      <c r="C3089" s="37">
        <v>69</v>
      </c>
      <c r="D3089" s="36">
        <f>base!H3089</f>
        <v>52.5</v>
      </c>
      <c r="E3089" s="44"/>
      <c r="F3089" s="16">
        <f>base!W3089</f>
        <v>0</v>
      </c>
      <c r="G3089" s="11">
        <f t="shared" si="480"/>
        <v>0</v>
      </c>
      <c r="H3089" s="11">
        <f t="shared" si="481"/>
        <v>14.175000000000001</v>
      </c>
      <c r="I3089" s="11">
        <f t="shared" si="482"/>
        <v>0.27</v>
      </c>
      <c r="J3089" s="12">
        <f t="shared" si="483"/>
        <v>-14.175000000000001</v>
      </c>
      <c r="K3089" s="17" t="str">
        <f t="shared" si="488"/>
        <v>Ecart négatif</v>
      </c>
      <c r="L3089" s="16">
        <f>base!X3089</f>
        <v>0</v>
      </c>
      <c r="M3089" s="11">
        <f t="shared" si="484"/>
        <v>0</v>
      </c>
      <c r="N3089" s="11">
        <f t="shared" si="485"/>
        <v>0</v>
      </c>
      <c r="O3089" s="11">
        <f t="shared" si="486"/>
        <v>0</v>
      </c>
      <c r="P3089" s="12">
        <f t="shared" si="487"/>
        <v>0</v>
      </c>
      <c r="Q3089" s="17" t="str">
        <f t="shared" si="489"/>
        <v>Pas d'écart</v>
      </c>
    </row>
    <row r="3090" spans="1:18" x14ac:dyDescent="0.3">
      <c r="A3090" s="34" t="str">
        <f>base!J3090</f>
        <v>RS</v>
      </c>
      <c r="B3090" s="34" t="str">
        <f>base!V3090</f>
        <v>77700</v>
      </c>
      <c r="C3090" s="37">
        <v>77</v>
      </c>
      <c r="D3090" s="36">
        <f>base!H3090</f>
        <v>40</v>
      </c>
      <c r="E3090" s="44"/>
      <c r="F3090" s="16">
        <f>base!W3090</f>
        <v>0</v>
      </c>
      <c r="G3090" s="11">
        <f t="shared" si="480"/>
        <v>0</v>
      </c>
      <c r="H3090" s="11">
        <f t="shared" si="481"/>
        <v>0</v>
      </c>
      <c r="I3090" s="11">
        <f t="shared" si="482"/>
        <v>0</v>
      </c>
      <c r="J3090" s="12">
        <f t="shared" si="483"/>
        <v>0</v>
      </c>
      <c r="K3090" s="17" t="str">
        <f t="shared" si="488"/>
        <v>Pas d'écart</v>
      </c>
      <c r="L3090" s="16">
        <f>base!X3090</f>
        <v>0</v>
      </c>
      <c r="M3090" s="11">
        <f t="shared" si="484"/>
        <v>0</v>
      </c>
      <c r="N3090" s="11">
        <f t="shared" si="485"/>
        <v>0</v>
      </c>
      <c r="O3090" s="11">
        <f t="shared" si="486"/>
        <v>0</v>
      </c>
      <c r="P3090" s="12">
        <f t="shared" si="487"/>
        <v>0</v>
      </c>
      <c r="Q3090" s="17" t="str">
        <f t="shared" si="489"/>
        <v>Pas d'écart</v>
      </c>
    </row>
    <row r="3091" spans="1:18" x14ac:dyDescent="0.3">
      <c r="A3091" s="34" t="str">
        <f>base!J3091</f>
        <v>RS</v>
      </c>
      <c r="B3091" s="34" t="str">
        <f>base!V3091</f>
        <v>75017</v>
      </c>
      <c r="C3091" s="37">
        <v>75</v>
      </c>
      <c r="D3091" s="36">
        <f>base!H3091</f>
        <v>180</v>
      </c>
      <c r="E3091" s="44"/>
      <c r="F3091" s="16">
        <f>base!W3091</f>
        <v>0</v>
      </c>
      <c r="G3091" s="11">
        <f t="shared" si="480"/>
        <v>0</v>
      </c>
      <c r="H3091" s="11">
        <f t="shared" si="481"/>
        <v>0</v>
      </c>
      <c r="I3091" s="11">
        <f t="shared" si="482"/>
        <v>0</v>
      </c>
      <c r="J3091" s="12">
        <f t="shared" si="483"/>
        <v>0</v>
      </c>
      <c r="K3091" s="17" t="str">
        <f t="shared" si="488"/>
        <v>Pas d'écart</v>
      </c>
      <c r="L3091" s="16">
        <f>base!X3091</f>
        <v>0</v>
      </c>
      <c r="M3091" s="11">
        <f t="shared" si="484"/>
        <v>0</v>
      </c>
      <c r="N3091" s="11">
        <f t="shared" si="485"/>
        <v>0</v>
      </c>
      <c r="O3091" s="11">
        <f t="shared" si="486"/>
        <v>0</v>
      </c>
      <c r="P3091" s="12">
        <f t="shared" si="487"/>
        <v>0</v>
      </c>
      <c r="Q3091" s="17" t="str">
        <f t="shared" si="489"/>
        <v>Pas d'écart</v>
      </c>
    </row>
    <row r="3092" spans="1:18" x14ac:dyDescent="0.3">
      <c r="A3092" s="34" t="str">
        <f>base!J3092</f>
        <v>RM</v>
      </c>
      <c r="B3092" s="34" t="str">
        <f>base!V3092</f>
        <v>93290</v>
      </c>
      <c r="C3092" s="37">
        <v>93</v>
      </c>
      <c r="D3092" s="36">
        <f>base!H3092</f>
        <v>33.119999999999997</v>
      </c>
      <c r="E3092" s="44"/>
      <c r="F3092" s="16">
        <f>base!W3092</f>
        <v>0</v>
      </c>
      <c r="G3092" s="11">
        <f t="shared" si="480"/>
        <v>0</v>
      </c>
      <c r="H3092" s="11">
        <f t="shared" si="481"/>
        <v>0</v>
      </c>
      <c r="I3092" s="11">
        <f t="shared" si="482"/>
        <v>0</v>
      </c>
      <c r="J3092" s="12">
        <f t="shared" si="483"/>
        <v>0</v>
      </c>
      <c r="K3092" s="17" t="str">
        <f t="shared" si="488"/>
        <v>Pas d'écart</v>
      </c>
      <c r="L3092" s="16">
        <f>base!X3092</f>
        <v>0</v>
      </c>
      <c r="M3092" s="11">
        <f t="shared" si="484"/>
        <v>0</v>
      </c>
      <c r="N3092" s="11">
        <f t="shared" si="485"/>
        <v>0</v>
      </c>
      <c r="O3092" s="11">
        <f t="shared" si="486"/>
        <v>0</v>
      </c>
      <c r="P3092" s="12">
        <f t="shared" si="487"/>
        <v>0</v>
      </c>
      <c r="Q3092" s="17" t="str">
        <f t="shared" si="489"/>
        <v>Pas d'écart</v>
      </c>
    </row>
    <row r="3093" spans="1:18" x14ac:dyDescent="0.3">
      <c r="A3093" s="34" t="str">
        <f>base!J3093</f>
        <v>LS</v>
      </c>
      <c r="B3093" s="34" t="str">
        <f>base!V3093</f>
        <v>86110</v>
      </c>
      <c r="C3093" s="37">
        <v>33</v>
      </c>
      <c r="D3093" s="36">
        <f>base!H3093</f>
        <v>64</v>
      </c>
      <c r="E3093" s="44"/>
      <c r="F3093" s="16">
        <f>base!W3093</f>
        <v>13.44</v>
      </c>
      <c r="G3093" s="11">
        <f t="shared" si="480"/>
        <v>0.21</v>
      </c>
      <c r="H3093" s="11">
        <f t="shared" si="481"/>
        <v>13.44</v>
      </c>
      <c r="I3093" s="11">
        <f t="shared" si="482"/>
        <v>0.21</v>
      </c>
      <c r="J3093" s="12">
        <f t="shared" si="483"/>
        <v>0</v>
      </c>
      <c r="K3093" s="17" t="str">
        <f t="shared" si="488"/>
        <v>Pas d'écart</v>
      </c>
      <c r="L3093" s="16">
        <f>base!X3093</f>
        <v>0</v>
      </c>
      <c r="M3093" s="11">
        <f t="shared" si="484"/>
        <v>0</v>
      </c>
      <c r="N3093" s="11">
        <f t="shared" si="485"/>
        <v>10.88</v>
      </c>
      <c r="O3093" s="11">
        <f t="shared" si="486"/>
        <v>0.17</v>
      </c>
      <c r="P3093" s="12">
        <f t="shared" si="487"/>
        <v>-10.88</v>
      </c>
      <c r="Q3093" s="17" t="str">
        <f t="shared" si="489"/>
        <v>Ecart négatif</v>
      </c>
    </row>
    <row r="3094" spans="1:18" x14ac:dyDescent="0.3">
      <c r="A3094" s="34" t="str">
        <f>base!J3094</f>
        <v>LM</v>
      </c>
      <c r="B3094" s="34" t="str">
        <f>base!V3094</f>
        <v>93013</v>
      </c>
      <c r="C3094" s="37">
        <v>93</v>
      </c>
      <c r="D3094" s="36">
        <f>base!H3094</f>
        <v>75.16</v>
      </c>
      <c r="E3094" s="44"/>
      <c r="F3094" s="16">
        <f>base!W3094</f>
        <v>0</v>
      </c>
      <c r="G3094" s="11">
        <f t="shared" si="480"/>
        <v>0</v>
      </c>
      <c r="H3094" s="11">
        <f t="shared" si="481"/>
        <v>0</v>
      </c>
      <c r="I3094" s="11">
        <f t="shared" si="482"/>
        <v>0</v>
      </c>
      <c r="J3094" s="12">
        <f t="shared" si="483"/>
        <v>0</v>
      </c>
      <c r="K3094" s="17" t="str">
        <f t="shared" si="488"/>
        <v>Pas d'écart</v>
      </c>
      <c r="L3094" s="16">
        <f>base!X3094</f>
        <v>0</v>
      </c>
      <c r="M3094" s="11">
        <f t="shared" si="484"/>
        <v>0</v>
      </c>
      <c r="N3094" s="11">
        <f t="shared" si="485"/>
        <v>0</v>
      </c>
      <c r="O3094" s="11">
        <f t="shared" si="486"/>
        <v>0</v>
      </c>
      <c r="P3094" s="12">
        <f t="shared" si="487"/>
        <v>0</v>
      </c>
      <c r="Q3094" s="17" t="str">
        <f t="shared" si="489"/>
        <v>Pas d'écart</v>
      </c>
    </row>
    <row r="3095" spans="1:18" x14ac:dyDescent="0.3">
      <c r="A3095" s="34" t="str">
        <f>base!J3095</f>
        <v>LM</v>
      </c>
      <c r="B3095" s="34" t="str">
        <f>base!V3095</f>
        <v>38230</v>
      </c>
      <c r="C3095" s="37">
        <v>79</v>
      </c>
      <c r="D3095" s="36">
        <f>base!H3095</f>
        <v>19.649999999999999</v>
      </c>
      <c r="E3095" s="44"/>
      <c r="F3095" s="16">
        <f>base!W3095</f>
        <v>5.31</v>
      </c>
      <c r="G3095" s="11">
        <f t="shared" si="480"/>
        <v>0.27022900763358776</v>
      </c>
      <c r="H3095" s="11">
        <f t="shared" si="481"/>
        <v>4.1264999999999992</v>
      </c>
      <c r="I3095" s="11">
        <f t="shared" si="482"/>
        <v>0.20999999999999996</v>
      </c>
      <c r="J3095" s="12">
        <f t="shared" si="483"/>
        <v>1.1835000000000004</v>
      </c>
      <c r="K3095" s="17" t="str">
        <f t="shared" si="488"/>
        <v>Ecart positif</v>
      </c>
      <c r="L3095" s="16">
        <f>base!X3095</f>
        <v>0</v>
      </c>
      <c r="M3095" s="11">
        <f t="shared" si="484"/>
        <v>0</v>
      </c>
      <c r="N3095" s="11">
        <f t="shared" si="485"/>
        <v>2.3579999999999997</v>
      </c>
      <c r="O3095" s="11">
        <f t="shared" si="486"/>
        <v>0.12</v>
      </c>
      <c r="P3095" s="12">
        <f t="shared" si="487"/>
        <v>-2.3579999999999997</v>
      </c>
      <c r="Q3095" s="17" t="str">
        <f t="shared" si="489"/>
        <v>Ecart négatif</v>
      </c>
    </row>
    <row r="3096" spans="1:18" x14ac:dyDescent="0.3">
      <c r="A3096" s="34" t="str">
        <f>base!J3096</f>
        <v>RS</v>
      </c>
      <c r="B3096" s="34" t="str">
        <f>base!V3096</f>
        <v>67120</v>
      </c>
      <c r="C3096" s="37">
        <v>67</v>
      </c>
      <c r="D3096" s="36">
        <f>base!H3096</f>
        <v>250</v>
      </c>
      <c r="E3096" s="44"/>
      <c r="F3096" s="16">
        <f>base!W3096</f>
        <v>0</v>
      </c>
      <c r="G3096" s="11">
        <f t="shared" si="480"/>
        <v>0</v>
      </c>
      <c r="H3096" s="11">
        <f t="shared" si="481"/>
        <v>72.5</v>
      </c>
      <c r="I3096" s="11">
        <f t="shared" si="482"/>
        <v>0.28999999999999998</v>
      </c>
      <c r="J3096" s="12">
        <f t="shared" si="483"/>
        <v>-72.5</v>
      </c>
      <c r="K3096" s="17" t="str">
        <f t="shared" si="488"/>
        <v>Ecart négatif</v>
      </c>
      <c r="L3096" s="16">
        <f>base!X3096</f>
        <v>20</v>
      </c>
      <c r="M3096" s="11">
        <f t="shared" si="484"/>
        <v>0.08</v>
      </c>
      <c r="N3096" s="11">
        <f t="shared" si="485"/>
        <v>20</v>
      </c>
      <c r="O3096" s="11">
        <f t="shared" si="486"/>
        <v>0.08</v>
      </c>
      <c r="P3096" s="12">
        <f t="shared" si="487"/>
        <v>0</v>
      </c>
      <c r="Q3096" s="17" t="str">
        <f t="shared" si="489"/>
        <v>Pas d'écart</v>
      </c>
      <c r="R3096" s="38"/>
    </row>
    <row r="3097" spans="1:18" x14ac:dyDescent="0.3">
      <c r="A3097" s="34" t="str">
        <f>base!J3097</f>
        <v>RM</v>
      </c>
      <c r="B3097" s="34" t="str">
        <f>base!V3097</f>
        <v>63500</v>
      </c>
      <c r="C3097" s="37">
        <v>63</v>
      </c>
      <c r="D3097" s="36">
        <f>base!H3097</f>
        <v>36.89</v>
      </c>
      <c r="E3097" s="44"/>
      <c r="F3097" s="16">
        <f>base!W3097</f>
        <v>0</v>
      </c>
      <c r="G3097" s="11">
        <f t="shared" si="480"/>
        <v>0</v>
      </c>
      <c r="H3097" s="11">
        <f t="shared" si="481"/>
        <v>10.6981</v>
      </c>
      <c r="I3097" s="11">
        <f t="shared" si="482"/>
        <v>0.28999999999999998</v>
      </c>
      <c r="J3097" s="12">
        <f t="shared" si="483"/>
        <v>-10.6981</v>
      </c>
      <c r="K3097" s="17" t="str">
        <f t="shared" si="488"/>
        <v>Ecart négatif</v>
      </c>
      <c r="L3097" s="16">
        <f>base!X3097</f>
        <v>4.43</v>
      </c>
      <c r="M3097" s="11">
        <f t="shared" si="484"/>
        <v>0.12008674437516942</v>
      </c>
      <c r="N3097" s="11">
        <f t="shared" si="485"/>
        <v>4.4268000000000001</v>
      </c>
      <c r="O3097" s="11">
        <f t="shared" si="486"/>
        <v>0.12</v>
      </c>
      <c r="P3097" s="12">
        <f t="shared" si="487"/>
        <v>3.1999999999996476E-3</v>
      </c>
      <c r="Q3097" s="17" t="str">
        <f t="shared" si="489"/>
        <v>Ecart positif</v>
      </c>
      <c r="R3097" s="38"/>
    </row>
    <row r="3098" spans="1:18" x14ac:dyDescent="0.3">
      <c r="A3098" s="34">
        <f>base!J3098</f>
        <v>0</v>
      </c>
      <c r="B3098" s="34" t="str">
        <f>base!V3098</f>
        <v>77184</v>
      </c>
      <c r="C3098" s="37">
        <v>77</v>
      </c>
      <c r="D3098" s="36">
        <f>base!H3098</f>
        <v>20</v>
      </c>
      <c r="E3098" s="44"/>
      <c r="F3098" s="16">
        <f>base!W3098</f>
        <v>0</v>
      </c>
      <c r="G3098" s="11">
        <f t="shared" si="480"/>
        <v>0</v>
      </c>
      <c r="H3098" s="11">
        <f t="shared" si="481"/>
        <v>0</v>
      </c>
      <c r="I3098" s="11">
        <f t="shared" si="482"/>
        <v>0</v>
      </c>
      <c r="J3098" s="12">
        <f t="shared" si="483"/>
        <v>0</v>
      </c>
      <c r="K3098" s="17" t="str">
        <f t="shared" si="488"/>
        <v>Pas d'écart</v>
      </c>
      <c r="L3098" s="16">
        <f>base!X3098</f>
        <v>0</v>
      </c>
      <c r="M3098" s="11">
        <f t="shared" si="484"/>
        <v>0</v>
      </c>
      <c r="N3098" s="11">
        <f t="shared" si="485"/>
        <v>0</v>
      </c>
      <c r="O3098" s="11">
        <f t="shared" si="486"/>
        <v>0</v>
      </c>
      <c r="P3098" s="12">
        <f t="shared" si="487"/>
        <v>0</v>
      </c>
      <c r="Q3098" s="17" t="str">
        <f t="shared" si="489"/>
        <v>Pas d'écart</v>
      </c>
    </row>
    <row r="3099" spans="1:18" x14ac:dyDescent="0.3">
      <c r="A3099" s="34" t="str">
        <f>base!J3099</f>
        <v>RM</v>
      </c>
      <c r="B3099" s="34" t="str">
        <f>base!V3099</f>
        <v>92400</v>
      </c>
      <c r="C3099" s="37">
        <v>92</v>
      </c>
      <c r="D3099" s="36">
        <f>base!H3099</f>
        <v>40</v>
      </c>
      <c r="E3099" s="44"/>
      <c r="F3099" s="16">
        <f>base!W3099</f>
        <v>0</v>
      </c>
      <c r="G3099" s="11">
        <f t="shared" si="480"/>
        <v>0</v>
      </c>
      <c r="H3099" s="11">
        <f t="shared" si="481"/>
        <v>0</v>
      </c>
      <c r="I3099" s="11">
        <f t="shared" si="482"/>
        <v>0</v>
      </c>
      <c r="J3099" s="12">
        <f t="shared" si="483"/>
        <v>0</v>
      </c>
      <c r="K3099" s="17" t="str">
        <f t="shared" si="488"/>
        <v>Pas d'écart</v>
      </c>
      <c r="L3099" s="16">
        <f>base!X3099</f>
        <v>0</v>
      </c>
      <c r="M3099" s="11">
        <f t="shared" si="484"/>
        <v>0</v>
      </c>
      <c r="N3099" s="11">
        <f t="shared" si="485"/>
        <v>0</v>
      </c>
      <c r="O3099" s="11">
        <f t="shared" si="486"/>
        <v>0</v>
      </c>
      <c r="P3099" s="12">
        <f t="shared" si="487"/>
        <v>0</v>
      </c>
      <c r="Q3099" s="17" t="str">
        <f t="shared" si="489"/>
        <v>Pas d'écart</v>
      </c>
    </row>
    <row r="3100" spans="1:18" x14ac:dyDescent="0.3">
      <c r="A3100" s="34" t="str">
        <f>base!J3100</f>
        <v>LM</v>
      </c>
      <c r="B3100" s="34" t="str">
        <f>base!V3100</f>
        <v>21160</v>
      </c>
      <c r="C3100" s="37">
        <v>79</v>
      </c>
      <c r="D3100" s="36">
        <f>base!H3100</f>
        <v>55.16</v>
      </c>
      <c r="E3100" s="44"/>
      <c r="F3100" s="16">
        <f>base!W3100</f>
        <v>13.24</v>
      </c>
      <c r="G3100" s="11">
        <f t="shared" si="480"/>
        <v>0.24002900652646847</v>
      </c>
      <c r="H3100" s="11">
        <f t="shared" si="481"/>
        <v>11.583599999999999</v>
      </c>
      <c r="I3100" s="11">
        <f t="shared" si="482"/>
        <v>0.21</v>
      </c>
      <c r="J3100" s="12">
        <f t="shared" si="483"/>
        <v>1.6564000000000014</v>
      </c>
      <c r="K3100" s="17" t="str">
        <f t="shared" si="488"/>
        <v>Ecart positif</v>
      </c>
      <c r="L3100" s="16">
        <f>base!X3100</f>
        <v>0</v>
      </c>
      <c r="M3100" s="11">
        <f t="shared" si="484"/>
        <v>0</v>
      </c>
      <c r="N3100" s="11">
        <f t="shared" si="485"/>
        <v>6.6191999999999993</v>
      </c>
      <c r="O3100" s="11">
        <f t="shared" si="486"/>
        <v>0.12</v>
      </c>
      <c r="P3100" s="12">
        <f t="shared" si="487"/>
        <v>-6.6191999999999993</v>
      </c>
      <c r="Q3100" s="17" t="str">
        <f t="shared" si="489"/>
        <v>Ecart négatif</v>
      </c>
    </row>
    <row r="3101" spans="1:18" x14ac:dyDescent="0.3">
      <c r="A3101" s="34" t="str">
        <f>base!J3101</f>
        <v>RM</v>
      </c>
      <c r="B3101" s="34" t="str">
        <f>base!V3101</f>
        <v>06560</v>
      </c>
      <c r="C3101" s="37">
        <v>6</v>
      </c>
      <c r="D3101" s="36">
        <f>base!H3101</f>
        <v>151</v>
      </c>
      <c r="E3101" s="44"/>
      <c r="F3101" s="16">
        <f>base!W3101</f>
        <v>0</v>
      </c>
      <c r="G3101" s="11">
        <f t="shared" si="480"/>
        <v>0</v>
      </c>
      <c r="H3101" s="11">
        <f t="shared" si="481"/>
        <v>45.3</v>
      </c>
      <c r="I3101" s="11">
        <f t="shared" si="482"/>
        <v>0.3</v>
      </c>
      <c r="J3101" s="12">
        <f t="shared" si="483"/>
        <v>-45.3</v>
      </c>
      <c r="K3101" s="17" t="str">
        <f t="shared" si="488"/>
        <v>Ecart négatif</v>
      </c>
      <c r="L3101" s="16">
        <f>base!X3101</f>
        <v>31.71</v>
      </c>
      <c r="M3101" s="11">
        <f t="shared" si="484"/>
        <v>0.21</v>
      </c>
      <c r="N3101" s="11">
        <f t="shared" si="485"/>
        <v>31.709999999999997</v>
      </c>
      <c r="O3101" s="11">
        <f t="shared" si="486"/>
        <v>0.21</v>
      </c>
      <c r="P3101" s="12">
        <f t="shared" si="487"/>
        <v>0</v>
      </c>
      <c r="Q3101" s="17" t="str">
        <f t="shared" si="489"/>
        <v>Pas d'écart</v>
      </c>
      <c r="R3101" s="38"/>
    </row>
    <row r="3102" spans="1:18" x14ac:dyDescent="0.3">
      <c r="A3102" s="34" t="str">
        <f>base!J3102</f>
        <v>RM</v>
      </c>
      <c r="B3102" s="34" t="str">
        <f>base!V3102</f>
        <v>06560</v>
      </c>
      <c r="C3102" s="37">
        <v>6</v>
      </c>
      <c r="D3102" s="36">
        <f>base!H3102</f>
        <v>151</v>
      </c>
      <c r="E3102" s="44"/>
      <c r="F3102" s="16">
        <f>base!W3102</f>
        <v>0</v>
      </c>
      <c r="G3102" s="11">
        <f t="shared" si="480"/>
        <v>0</v>
      </c>
      <c r="H3102" s="11">
        <f t="shared" si="481"/>
        <v>45.3</v>
      </c>
      <c r="I3102" s="11">
        <f t="shared" si="482"/>
        <v>0.3</v>
      </c>
      <c r="J3102" s="12">
        <f t="shared" si="483"/>
        <v>-45.3</v>
      </c>
      <c r="K3102" s="17" t="str">
        <f t="shared" si="488"/>
        <v>Ecart négatif</v>
      </c>
      <c r="L3102" s="16">
        <f>base!X3102</f>
        <v>0</v>
      </c>
      <c r="M3102" s="11">
        <f t="shared" si="484"/>
        <v>0</v>
      </c>
      <c r="N3102" s="11">
        <f t="shared" si="485"/>
        <v>31.709999999999997</v>
      </c>
      <c r="O3102" s="11">
        <f t="shared" si="486"/>
        <v>0.21</v>
      </c>
      <c r="P3102" s="12">
        <f t="shared" si="487"/>
        <v>-31.709999999999997</v>
      </c>
      <c r="Q3102" s="17" t="str">
        <f t="shared" si="489"/>
        <v>Ecart négatif</v>
      </c>
    </row>
    <row r="3103" spans="1:18" x14ac:dyDescent="0.3">
      <c r="A3103" s="34" t="str">
        <f>base!J3103</f>
        <v>RS</v>
      </c>
      <c r="B3103" s="34" t="str">
        <f>base!V3103</f>
        <v>64700</v>
      </c>
      <c r="C3103" s="37">
        <v>64</v>
      </c>
      <c r="D3103" s="36">
        <f>base!H3103</f>
        <v>40</v>
      </c>
      <c r="E3103" s="44"/>
      <c r="F3103" s="16">
        <f>base!W3103</f>
        <v>0</v>
      </c>
      <c r="G3103" s="11">
        <f t="shared" si="480"/>
        <v>0</v>
      </c>
      <c r="H3103" s="11">
        <f t="shared" si="481"/>
        <v>8.4</v>
      </c>
      <c r="I3103" s="11">
        <f t="shared" si="482"/>
        <v>0.21000000000000002</v>
      </c>
      <c r="J3103" s="12">
        <f t="shared" si="483"/>
        <v>-8.4</v>
      </c>
      <c r="K3103" s="17" t="str">
        <f t="shared" si="488"/>
        <v>Ecart négatif</v>
      </c>
      <c r="L3103" s="16">
        <f>base!X3103</f>
        <v>6.8</v>
      </c>
      <c r="M3103" s="11">
        <f t="shared" si="484"/>
        <v>0.16999999999999998</v>
      </c>
      <c r="N3103" s="11">
        <f t="shared" si="485"/>
        <v>6.8000000000000007</v>
      </c>
      <c r="O3103" s="11">
        <f t="shared" si="486"/>
        <v>0.17</v>
      </c>
      <c r="P3103" s="12">
        <f t="shared" si="487"/>
        <v>0</v>
      </c>
      <c r="Q3103" s="17" t="str">
        <f t="shared" si="489"/>
        <v>Pas d'écart</v>
      </c>
      <c r="R3103" s="38"/>
    </row>
    <row r="3104" spans="1:18" x14ac:dyDescent="0.3">
      <c r="A3104" s="34" t="str">
        <f>base!J3104</f>
        <v>RM</v>
      </c>
      <c r="B3104" s="34" t="str">
        <f>base!V3104</f>
        <v>25400</v>
      </c>
      <c r="C3104" s="37">
        <v>25</v>
      </c>
      <c r="D3104" s="36">
        <f>base!H3104</f>
        <v>40</v>
      </c>
      <c r="E3104" s="44"/>
      <c r="F3104" s="16">
        <f>base!W3104</f>
        <v>0</v>
      </c>
      <c r="G3104" s="11">
        <f t="shared" si="480"/>
        <v>0</v>
      </c>
      <c r="H3104" s="11">
        <f t="shared" si="481"/>
        <v>9.6</v>
      </c>
      <c r="I3104" s="11">
        <f t="shared" si="482"/>
        <v>0.24</v>
      </c>
      <c r="J3104" s="12">
        <f t="shared" si="483"/>
        <v>-9.6</v>
      </c>
      <c r="K3104" s="17" t="str">
        <f t="shared" si="488"/>
        <v>Ecart négatif</v>
      </c>
      <c r="L3104" s="16">
        <f>base!X3104</f>
        <v>4.8</v>
      </c>
      <c r="M3104" s="11">
        <f t="shared" si="484"/>
        <v>0.12</v>
      </c>
      <c r="N3104" s="11">
        <f t="shared" si="485"/>
        <v>4.8</v>
      </c>
      <c r="O3104" s="11">
        <f t="shared" si="486"/>
        <v>0.12</v>
      </c>
      <c r="P3104" s="12">
        <f t="shared" si="487"/>
        <v>0</v>
      </c>
      <c r="Q3104" s="17" t="str">
        <f t="shared" si="489"/>
        <v>Pas d'écart</v>
      </c>
      <c r="R3104" s="38"/>
    </row>
    <row r="3105" spans="1:17" x14ac:dyDescent="0.3">
      <c r="A3105" s="34" t="str">
        <f>base!J3105</f>
        <v>RM</v>
      </c>
      <c r="B3105" s="34" t="str">
        <f>base!V3105</f>
        <v>27550</v>
      </c>
      <c r="C3105" s="37">
        <v>27</v>
      </c>
      <c r="D3105" s="36">
        <f>base!H3105</f>
        <v>151</v>
      </c>
      <c r="E3105" s="44"/>
      <c r="F3105" s="16">
        <f>base!W3105</f>
        <v>0</v>
      </c>
      <c r="G3105" s="11">
        <f t="shared" si="480"/>
        <v>0</v>
      </c>
      <c r="H3105" s="11">
        <f t="shared" si="481"/>
        <v>25.67</v>
      </c>
      <c r="I3105" s="11">
        <f t="shared" si="482"/>
        <v>0.17</v>
      </c>
      <c r="J3105" s="12">
        <f t="shared" si="483"/>
        <v>-25.67</v>
      </c>
      <c r="K3105" s="17" t="str">
        <f t="shared" si="488"/>
        <v>Ecart négatif</v>
      </c>
      <c r="L3105" s="16">
        <f>base!X3105</f>
        <v>0</v>
      </c>
      <c r="M3105" s="11">
        <f t="shared" si="484"/>
        <v>0</v>
      </c>
      <c r="N3105" s="11">
        <f t="shared" si="485"/>
        <v>25.67</v>
      </c>
      <c r="O3105" s="11">
        <f t="shared" si="486"/>
        <v>0.17</v>
      </c>
      <c r="P3105" s="12">
        <f t="shared" si="487"/>
        <v>-25.67</v>
      </c>
      <c r="Q3105" s="17" t="str">
        <f t="shared" si="489"/>
        <v>Ecart négatif</v>
      </c>
    </row>
    <row r="3106" spans="1:17" x14ac:dyDescent="0.3">
      <c r="A3106" s="34" t="str">
        <f>base!J3106</f>
        <v>RM</v>
      </c>
      <c r="B3106" s="34" t="str">
        <f>base!V3106</f>
        <v>73870</v>
      </c>
      <c r="C3106" s="37">
        <v>73</v>
      </c>
      <c r="D3106" s="36">
        <f>base!H3106</f>
        <v>84.9</v>
      </c>
      <c r="E3106" s="44"/>
      <c r="F3106" s="16">
        <f>base!W3106</f>
        <v>0</v>
      </c>
      <c r="G3106" s="11">
        <f t="shared" si="480"/>
        <v>0</v>
      </c>
      <c r="H3106" s="11">
        <f t="shared" si="481"/>
        <v>22.923000000000002</v>
      </c>
      <c r="I3106" s="11">
        <f t="shared" si="482"/>
        <v>0.27</v>
      </c>
      <c r="J3106" s="12">
        <f t="shared" si="483"/>
        <v>-22.923000000000002</v>
      </c>
      <c r="K3106" s="17" t="str">
        <f t="shared" si="488"/>
        <v>Ecart négatif</v>
      </c>
      <c r="L3106" s="16">
        <f>base!X3106</f>
        <v>0</v>
      </c>
      <c r="M3106" s="11">
        <f t="shared" si="484"/>
        <v>0</v>
      </c>
      <c r="N3106" s="11">
        <f t="shared" si="485"/>
        <v>0</v>
      </c>
      <c r="O3106" s="11">
        <f t="shared" si="486"/>
        <v>0</v>
      </c>
      <c r="P3106" s="12">
        <f t="shared" si="487"/>
        <v>0</v>
      </c>
      <c r="Q3106" s="17" t="str">
        <f t="shared" si="489"/>
        <v>Pas d'écart</v>
      </c>
    </row>
    <row r="3107" spans="1:17" x14ac:dyDescent="0.3">
      <c r="A3107" s="34" t="str">
        <f>base!J3107</f>
        <v>DLM</v>
      </c>
      <c r="B3107" s="34" t="str">
        <f>base!V3107</f>
        <v>06000</v>
      </c>
      <c r="C3107" s="37">
        <v>6</v>
      </c>
      <c r="D3107" s="36">
        <f>base!H3107</f>
        <v>198.02</v>
      </c>
      <c r="E3107" s="44"/>
      <c r="F3107" s="16">
        <f>base!W3107</f>
        <v>0</v>
      </c>
      <c r="G3107" s="11">
        <f t="shared" si="480"/>
        <v>0</v>
      </c>
      <c r="H3107" s="11">
        <f t="shared" si="481"/>
        <v>59.405999999999999</v>
      </c>
      <c r="I3107" s="11">
        <f t="shared" si="482"/>
        <v>0.3</v>
      </c>
      <c r="J3107" s="12">
        <f t="shared" si="483"/>
        <v>-59.405999999999999</v>
      </c>
      <c r="K3107" s="17" t="str">
        <f t="shared" si="488"/>
        <v>Ecart négatif</v>
      </c>
      <c r="L3107" s="16">
        <f>base!X3107</f>
        <v>0</v>
      </c>
      <c r="M3107" s="11">
        <f t="shared" si="484"/>
        <v>0</v>
      </c>
      <c r="N3107" s="11">
        <f t="shared" si="485"/>
        <v>41.584200000000003</v>
      </c>
      <c r="O3107" s="11">
        <f t="shared" si="486"/>
        <v>0.21</v>
      </c>
      <c r="P3107" s="12">
        <f t="shared" si="487"/>
        <v>-41.584200000000003</v>
      </c>
      <c r="Q3107" s="17" t="str">
        <f t="shared" si="489"/>
        <v>Ecart négatif</v>
      </c>
    </row>
    <row r="3108" spans="1:17" x14ac:dyDescent="0.3">
      <c r="A3108" s="34">
        <f>base!J3108</f>
        <v>0</v>
      </c>
      <c r="B3108" s="34" t="str">
        <f>base!V3108</f>
        <v>77184</v>
      </c>
      <c r="C3108" s="37">
        <v>77</v>
      </c>
      <c r="D3108" s="36">
        <f>base!H3108</f>
        <v>31</v>
      </c>
      <c r="E3108" s="44"/>
      <c r="F3108" s="16">
        <f>base!W3108</f>
        <v>0</v>
      </c>
      <c r="G3108" s="11">
        <f t="shared" si="480"/>
        <v>0</v>
      </c>
      <c r="H3108" s="11">
        <f t="shared" si="481"/>
        <v>0</v>
      </c>
      <c r="I3108" s="11">
        <f t="shared" si="482"/>
        <v>0</v>
      </c>
      <c r="J3108" s="12">
        <f t="shared" si="483"/>
        <v>0</v>
      </c>
      <c r="K3108" s="17" t="str">
        <f t="shared" si="488"/>
        <v>Pas d'écart</v>
      </c>
      <c r="L3108" s="16">
        <f>base!X3108</f>
        <v>0</v>
      </c>
      <c r="M3108" s="11">
        <f t="shared" si="484"/>
        <v>0</v>
      </c>
      <c r="N3108" s="11">
        <f t="shared" si="485"/>
        <v>0</v>
      </c>
      <c r="O3108" s="11">
        <f t="shared" si="486"/>
        <v>0</v>
      </c>
      <c r="P3108" s="12">
        <f t="shared" si="487"/>
        <v>0</v>
      </c>
      <c r="Q3108" s="17" t="str">
        <f t="shared" si="489"/>
        <v>Pas d'écart</v>
      </c>
    </row>
    <row r="3109" spans="1:17" x14ac:dyDescent="0.3">
      <c r="A3109" s="34" t="str">
        <f>base!J3109</f>
        <v>LM</v>
      </c>
      <c r="B3109" s="34" t="str">
        <f>base!V3109</f>
        <v>35044</v>
      </c>
      <c r="C3109" s="37">
        <v>69</v>
      </c>
      <c r="D3109" s="36">
        <f>base!H3109</f>
        <v>55.16</v>
      </c>
      <c r="E3109" s="44"/>
      <c r="F3109" s="16">
        <f>base!W3109</f>
        <v>14.89</v>
      </c>
      <c r="G3109" s="11">
        <f t="shared" si="480"/>
        <v>0.26994198694706312</v>
      </c>
      <c r="H3109" s="11">
        <f t="shared" si="481"/>
        <v>14.8932</v>
      </c>
      <c r="I3109" s="11">
        <f t="shared" si="482"/>
        <v>0.27</v>
      </c>
      <c r="J3109" s="12">
        <f t="shared" si="483"/>
        <v>-3.1999999999996476E-3</v>
      </c>
      <c r="K3109" s="17" t="str">
        <f t="shared" si="488"/>
        <v>Ecart négatif</v>
      </c>
      <c r="L3109" s="16">
        <f>base!X3109</f>
        <v>0</v>
      </c>
      <c r="M3109" s="11">
        <f t="shared" si="484"/>
        <v>0</v>
      </c>
      <c r="N3109" s="11">
        <f t="shared" si="485"/>
        <v>0</v>
      </c>
      <c r="O3109" s="11">
        <f t="shared" si="486"/>
        <v>0</v>
      </c>
      <c r="P3109" s="12">
        <f t="shared" si="487"/>
        <v>0</v>
      </c>
      <c r="Q3109" s="17" t="str">
        <f t="shared" si="489"/>
        <v>Pas d'écart</v>
      </c>
    </row>
    <row r="3110" spans="1:17" x14ac:dyDescent="0.3">
      <c r="A3110" s="34" t="str">
        <f>base!J3110</f>
        <v>LS</v>
      </c>
      <c r="B3110" s="34" t="str">
        <f>base!V3110</f>
        <v>75008</v>
      </c>
      <c r="C3110" s="37">
        <v>75</v>
      </c>
      <c r="D3110" s="36">
        <f>base!H3110</f>
        <v>174.26</v>
      </c>
      <c r="E3110" s="44"/>
      <c r="F3110" s="16">
        <f>base!W3110</f>
        <v>0</v>
      </c>
      <c r="G3110" s="11">
        <f t="shared" si="480"/>
        <v>0</v>
      </c>
      <c r="H3110" s="11">
        <f t="shared" si="481"/>
        <v>0</v>
      </c>
      <c r="I3110" s="11">
        <f t="shared" si="482"/>
        <v>0</v>
      </c>
      <c r="J3110" s="12">
        <f t="shared" si="483"/>
        <v>0</v>
      </c>
      <c r="K3110" s="17" t="str">
        <f t="shared" si="488"/>
        <v>Pas d'écart</v>
      </c>
      <c r="L3110" s="16">
        <f>base!X3110</f>
        <v>0</v>
      </c>
      <c r="M3110" s="11">
        <f t="shared" si="484"/>
        <v>0</v>
      </c>
      <c r="N3110" s="11">
        <f t="shared" si="485"/>
        <v>0</v>
      </c>
      <c r="O3110" s="11">
        <f t="shared" si="486"/>
        <v>0</v>
      </c>
      <c r="P3110" s="12">
        <f t="shared" si="487"/>
        <v>0</v>
      </c>
      <c r="Q3110" s="17" t="str">
        <f t="shared" si="489"/>
        <v>Pas d'écart</v>
      </c>
    </row>
    <row r="3111" spans="1:17" x14ac:dyDescent="0.3">
      <c r="A3111" s="34" t="str">
        <f>base!J3111</f>
        <v>RM</v>
      </c>
      <c r="B3111" s="34" t="str">
        <f>base!V3111</f>
        <v>62200</v>
      </c>
      <c r="C3111" s="37">
        <v>62</v>
      </c>
      <c r="D3111" s="36">
        <f>base!H3111</f>
        <v>140</v>
      </c>
      <c r="E3111" s="44"/>
      <c r="F3111" s="16">
        <f>base!W3111</f>
        <v>0</v>
      </c>
      <c r="G3111" s="11">
        <f t="shared" si="480"/>
        <v>0</v>
      </c>
      <c r="H3111" s="11">
        <f t="shared" si="481"/>
        <v>26.6</v>
      </c>
      <c r="I3111" s="11">
        <f t="shared" si="482"/>
        <v>0.19</v>
      </c>
      <c r="J3111" s="12">
        <f t="shared" si="483"/>
        <v>-26.6</v>
      </c>
      <c r="K3111" s="17" t="str">
        <f t="shared" si="488"/>
        <v>Ecart négatif</v>
      </c>
      <c r="L3111" s="16">
        <f>base!X3111</f>
        <v>0</v>
      </c>
      <c r="M3111" s="11">
        <f t="shared" si="484"/>
        <v>0</v>
      </c>
      <c r="N3111" s="11">
        <f t="shared" si="485"/>
        <v>0</v>
      </c>
      <c r="O3111" s="11">
        <f t="shared" si="486"/>
        <v>0</v>
      </c>
      <c r="P3111" s="12">
        <f t="shared" si="487"/>
        <v>0</v>
      </c>
      <c r="Q3111" s="17" t="str">
        <f t="shared" si="489"/>
        <v>Pas d'écart</v>
      </c>
    </row>
    <row r="3112" spans="1:17" x14ac:dyDescent="0.3">
      <c r="A3112" s="34" t="str">
        <f>base!J3112</f>
        <v>LS</v>
      </c>
      <c r="B3112" s="34" t="str">
        <f>base!V3112</f>
        <v>26000</v>
      </c>
      <c r="C3112" s="37">
        <v>45</v>
      </c>
      <c r="D3112" s="36">
        <f>base!H3112</f>
        <v>55.16</v>
      </c>
      <c r="E3112" s="44"/>
      <c r="F3112" s="16">
        <f>base!W3112</f>
        <v>14.89</v>
      </c>
      <c r="G3112" s="11">
        <f t="shared" si="480"/>
        <v>0.26994198694706312</v>
      </c>
      <c r="H3112" s="11">
        <f t="shared" si="481"/>
        <v>11.583599999999999</v>
      </c>
      <c r="I3112" s="11">
        <f t="shared" si="482"/>
        <v>0.21</v>
      </c>
      <c r="J3112" s="12">
        <f t="shared" si="483"/>
        <v>3.3064000000000018</v>
      </c>
      <c r="K3112" s="17" t="str">
        <f t="shared" si="488"/>
        <v>Ecart positif</v>
      </c>
      <c r="L3112" s="16">
        <f>base!X3112</f>
        <v>0</v>
      </c>
      <c r="M3112" s="11">
        <f t="shared" si="484"/>
        <v>0</v>
      </c>
      <c r="N3112" s="11">
        <f t="shared" si="485"/>
        <v>6.6191999999999993</v>
      </c>
      <c r="O3112" s="11">
        <f t="shared" si="486"/>
        <v>0.12</v>
      </c>
      <c r="P3112" s="12">
        <f t="shared" si="487"/>
        <v>-6.6191999999999993</v>
      </c>
      <c r="Q3112" s="17" t="str">
        <f t="shared" si="489"/>
        <v>Ecart négatif</v>
      </c>
    </row>
    <row r="3113" spans="1:17" x14ac:dyDescent="0.3">
      <c r="A3113" s="34" t="str">
        <f>base!J3113</f>
        <v>LM</v>
      </c>
      <c r="B3113" s="34" t="str">
        <f>base!V3113</f>
        <v>14200</v>
      </c>
      <c r="C3113" s="37">
        <v>72</v>
      </c>
      <c r="D3113" s="36">
        <f>base!H3113</f>
        <v>20.23</v>
      </c>
      <c r="E3113" s="44"/>
      <c r="F3113" s="16">
        <f>base!W3113</f>
        <v>3.44</v>
      </c>
      <c r="G3113" s="11">
        <f t="shared" si="480"/>
        <v>0.17004448838358871</v>
      </c>
      <c r="H3113" s="11">
        <f t="shared" si="481"/>
        <v>4.2482999999999995</v>
      </c>
      <c r="I3113" s="11">
        <f t="shared" si="482"/>
        <v>0.20999999999999996</v>
      </c>
      <c r="J3113" s="12">
        <f t="shared" si="483"/>
        <v>-0.80829999999999957</v>
      </c>
      <c r="K3113" s="17" t="str">
        <f t="shared" si="488"/>
        <v>Ecart négatif</v>
      </c>
      <c r="L3113" s="16">
        <f>base!X3113</f>
        <v>0</v>
      </c>
      <c r="M3113" s="11">
        <f t="shared" si="484"/>
        <v>0</v>
      </c>
      <c r="N3113" s="11">
        <f t="shared" si="485"/>
        <v>2.4276</v>
      </c>
      <c r="O3113" s="11">
        <f t="shared" si="486"/>
        <v>0.12</v>
      </c>
      <c r="P3113" s="12">
        <f t="shared" si="487"/>
        <v>-2.4276</v>
      </c>
      <c r="Q3113" s="17" t="str">
        <f t="shared" si="489"/>
        <v>Ecart négatif</v>
      </c>
    </row>
    <row r="3114" spans="1:17" x14ac:dyDescent="0.3">
      <c r="A3114" s="34" t="str">
        <f>base!J3114</f>
        <v>LS</v>
      </c>
      <c r="B3114" s="34" t="str">
        <f>base!V3114</f>
        <v>63590</v>
      </c>
      <c r="C3114" s="37">
        <v>40</v>
      </c>
      <c r="D3114" s="36">
        <f>base!H3114</f>
        <v>120.29</v>
      </c>
      <c r="E3114" s="44"/>
      <c r="F3114" s="16">
        <f>base!W3114</f>
        <v>34.880000000000003</v>
      </c>
      <c r="G3114" s="11">
        <f t="shared" si="480"/>
        <v>0.28996591570371605</v>
      </c>
      <c r="H3114" s="11">
        <f t="shared" si="481"/>
        <v>25.260899999999999</v>
      </c>
      <c r="I3114" s="11">
        <f t="shared" si="482"/>
        <v>0.21</v>
      </c>
      <c r="J3114" s="12">
        <f t="shared" si="483"/>
        <v>9.6191000000000031</v>
      </c>
      <c r="K3114" s="17" t="str">
        <f t="shared" si="488"/>
        <v>Ecart positif</v>
      </c>
      <c r="L3114" s="16">
        <f>base!X3114</f>
        <v>0</v>
      </c>
      <c r="M3114" s="11">
        <f t="shared" si="484"/>
        <v>0</v>
      </c>
      <c r="N3114" s="11">
        <f t="shared" si="485"/>
        <v>20.449300000000001</v>
      </c>
      <c r="O3114" s="11">
        <f t="shared" si="486"/>
        <v>0.17</v>
      </c>
      <c r="P3114" s="12">
        <f t="shared" si="487"/>
        <v>-20.449300000000001</v>
      </c>
      <c r="Q3114" s="17" t="str">
        <f t="shared" si="489"/>
        <v>Ecart négatif</v>
      </c>
    </row>
    <row r="3115" spans="1:17" x14ac:dyDescent="0.3">
      <c r="A3115" s="34" t="str">
        <f>base!J3115</f>
        <v>LS</v>
      </c>
      <c r="B3115" s="34" t="str">
        <f>base!V3115</f>
        <v>63000</v>
      </c>
      <c r="C3115" s="37">
        <v>28</v>
      </c>
      <c r="D3115" s="36">
        <f>base!H3115</f>
        <v>0.53</v>
      </c>
      <c r="E3115" s="44"/>
      <c r="F3115" s="16">
        <f>base!W3115</f>
        <v>0.15</v>
      </c>
      <c r="G3115" s="11">
        <f t="shared" si="480"/>
        <v>0.28301886792452829</v>
      </c>
      <c r="H3115" s="11">
        <f t="shared" si="481"/>
        <v>0.10600000000000001</v>
      </c>
      <c r="I3115" s="11">
        <f t="shared" si="482"/>
        <v>0.2</v>
      </c>
      <c r="J3115" s="12">
        <f t="shared" si="483"/>
        <v>4.3999999999999984E-2</v>
      </c>
      <c r="K3115" s="17" t="str">
        <f t="shared" si="488"/>
        <v>Ecart positif</v>
      </c>
      <c r="L3115" s="16">
        <f>base!X3115</f>
        <v>0</v>
      </c>
      <c r="M3115" s="11">
        <f t="shared" si="484"/>
        <v>0</v>
      </c>
      <c r="N3115" s="11">
        <f t="shared" si="485"/>
        <v>6.3600000000000004E-2</v>
      </c>
      <c r="O3115" s="11">
        <f t="shared" si="486"/>
        <v>0.12</v>
      </c>
      <c r="P3115" s="12">
        <f t="shared" si="487"/>
        <v>-6.3600000000000004E-2</v>
      </c>
      <c r="Q3115" s="17" t="str">
        <f t="shared" si="489"/>
        <v>Ecart négatif</v>
      </c>
    </row>
    <row r="3116" spans="1:17" x14ac:dyDescent="0.3">
      <c r="A3116" s="34" t="str">
        <f>base!J3116</f>
        <v>LS</v>
      </c>
      <c r="B3116" s="34" t="str">
        <f>base!V3116</f>
        <v>14000</v>
      </c>
      <c r="C3116" s="37">
        <v>45</v>
      </c>
      <c r="D3116" s="36">
        <f>base!H3116</f>
        <v>76</v>
      </c>
      <c r="E3116" s="44"/>
      <c r="F3116" s="16">
        <f>base!W3116</f>
        <v>12.92</v>
      </c>
      <c r="G3116" s="11">
        <f t="shared" si="480"/>
        <v>0.17</v>
      </c>
      <c r="H3116" s="11">
        <f t="shared" si="481"/>
        <v>15.959999999999999</v>
      </c>
      <c r="I3116" s="11">
        <f t="shared" si="482"/>
        <v>0.21</v>
      </c>
      <c r="J3116" s="12">
        <f t="shared" si="483"/>
        <v>-3.0399999999999991</v>
      </c>
      <c r="K3116" s="17" t="str">
        <f t="shared" si="488"/>
        <v>Ecart négatif</v>
      </c>
      <c r="L3116" s="16">
        <f>base!X3116</f>
        <v>0</v>
      </c>
      <c r="M3116" s="11">
        <f t="shared" si="484"/>
        <v>0</v>
      </c>
      <c r="N3116" s="11">
        <f t="shared" si="485"/>
        <v>9.1199999999999992</v>
      </c>
      <c r="O3116" s="11">
        <f t="shared" si="486"/>
        <v>0.12</v>
      </c>
      <c r="P3116" s="12">
        <f t="shared" si="487"/>
        <v>-9.1199999999999992</v>
      </c>
      <c r="Q3116" s="17" t="str">
        <f t="shared" si="489"/>
        <v>Ecart négatif</v>
      </c>
    </row>
    <row r="3117" spans="1:17" x14ac:dyDescent="0.3">
      <c r="A3117" s="34">
        <f>base!J3117</f>
        <v>0</v>
      </c>
      <c r="B3117" s="34" t="str">
        <f>base!V3117</f>
        <v>77184</v>
      </c>
      <c r="C3117" s="37">
        <v>77</v>
      </c>
      <c r="D3117" s="36">
        <f>base!H3117</f>
        <v>84.5</v>
      </c>
      <c r="E3117" s="44"/>
      <c r="F3117" s="16">
        <f>base!W3117</f>
        <v>0</v>
      </c>
      <c r="G3117" s="11">
        <f t="shared" si="480"/>
        <v>0</v>
      </c>
      <c r="H3117" s="11">
        <f t="shared" si="481"/>
        <v>0</v>
      </c>
      <c r="I3117" s="11">
        <f t="shared" si="482"/>
        <v>0</v>
      </c>
      <c r="J3117" s="12">
        <f t="shared" si="483"/>
        <v>0</v>
      </c>
      <c r="K3117" s="17" t="str">
        <f t="shared" si="488"/>
        <v>Pas d'écart</v>
      </c>
      <c r="L3117" s="16">
        <f>base!X3117</f>
        <v>0</v>
      </c>
      <c r="M3117" s="11">
        <f t="shared" si="484"/>
        <v>0</v>
      </c>
      <c r="N3117" s="11">
        <f t="shared" si="485"/>
        <v>0</v>
      </c>
      <c r="O3117" s="11">
        <f t="shared" si="486"/>
        <v>0</v>
      </c>
      <c r="P3117" s="12">
        <f t="shared" si="487"/>
        <v>0</v>
      </c>
      <c r="Q3117" s="17" t="str">
        <f t="shared" si="489"/>
        <v>Pas d'écart</v>
      </c>
    </row>
    <row r="3118" spans="1:17" x14ac:dyDescent="0.3">
      <c r="A3118" s="34" t="str">
        <f>base!J3118</f>
        <v>LM</v>
      </c>
      <c r="B3118" s="34" t="str">
        <f>base!V3118</f>
        <v>77230</v>
      </c>
      <c r="C3118" s="37">
        <v>77</v>
      </c>
      <c r="D3118" s="36">
        <f>base!H3118</f>
        <v>40</v>
      </c>
      <c r="E3118" s="44"/>
      <c r="F3118" s="16">
        <f>base!W3118</f>
        <v>0</v>
      </c>
      <c r="G3118" s="11">
        <f t="shared" si="480"/>
        <v>0</v>
      </c>
      <c r="H3118" s="11">
        <f t="shared" si="481"/>
        <v>0</v>
      </c>
      <c r="I3118" s="11">
        <f t="shared" si="482"/>
        <v>0</v>
      </c>
      <c r="J3118" s="12">
        <f t="shared" si="483"/>
        <v>0</v>
      </c>
      <c r="K3118" s="17" t="str">
        <f t="shared" si="488"/>
        <v>Pas d'écart</v>
      </c>
      <c r="L3118" s="16">
        <f>base!X3118</f>
        <v>0</v>
      </c>
      <c r="M3118" s="11">
        <f t="shared" si="484"/>
        <v>0</v>
      </c>
      <c r="N3118" s="11">
        <f t="shared" si="485"/>
        <v>0</v>
      </c>
      <c r="O3118" s="11">
        <f t="shared" si="486"/>
        <v>0</v>
      </c>
      <c r="P3118" s="12">
        <f t="shared" si="487"/>
        <v>0</v>
      </c>
      <c r="Q3118" s="17" t="str">
        <f t="shared" si="489"/>
        <v>Pas d'écart</v>
      </c>
    </row>
    <row r="3119" spans="1:17" x14ac:dyDescent="0.3">
      <c r="A3119" s="34" t="str">
        <f>base!J3119</f>
        <v>LS</v>
      </c>
      <c r="B3119" s="34" t="str">
        <f>base!V3119</f>
        <v>41260</v>
      </c>
      <c r="C3119" s="37">
        <v>33</v>
      </c>
      <c r="D3119" s="36">
        <f>base!H3119</f>
        <v>33.35</v>
      </c>
      <c r="E3119" s="44"/>
      <c r="F3119" s="16">
        <f>base!W3119</f>
        <v>7</v>
      </c>
      <c r="G3119" s="11">
        <f t="shared" si="480"/>
        <v>0.20989505247376311</v>
      </c>
      <c r="H3119" s="11">
        <f t="shared" si="481"/>
        <v>7.0034999999999998</v>
      </c>
      <c r="I3119" s="11">
        <f t="shared" si="482"/>
        <v>0.21</v>
      </c>
      <c r="J3119" s="12">
        <f t="shared" si="483"/>
        <v>-3.4999999999998366E-3</v>
      </c>
      <c r="K3119" s="17" t="str">
        <f t="shared" si="488"/>
        <v>Ecart négatif</v>
      </c>
      <c r="L3119" s="16">
        <f>base!X3119</f>
        <v>0</v>
      </c>
      <c r="M3119" s="11">
        <f t="shared" si="484"/>
        <v>0</v>
      </c>
      <c r="N3119" s="11">
        <f t="shared" si="485"/>
        <v>5.6695000000000002</v>
      </c>
      <c r="O3119" s="11">
        <f t="shared" si="486"/>
        <v>0.17</v>
      </c>
      <c r="P3119" s="12">
        <f t="shared" si="487"/>
        <v>-5.6695000000000002</v>
      </c>
      <c r="Q3119" s="17" t="str">
        <f t="shared" si="489"/>
        <v>Ecart négatif</v>
      </c>
    </row>
    <row r="3120" spans="1:17" x14ac:dyDescent="0.3">
      <c r="A3120" s="34" t="str">
        <f>base!J3120</f>
        <v>LS</v>
      </c>
      <c r="B3120" s="34" t="str">
        <f>base!V3120</f>
        <v>06516</v>
      </c>
      <c r="C3120" s="37">
        <v>6</v>
      </c>
      <c r="D3120" s="36">
        <f>base!H3120</f>
        <v>20</v>
      </c>
      <c r="E3120" s="44"/>
      <c r="F3120" s="16">
        <f>base!W3120</f>
        <v>6</v>
      </c>
      <c r="G3120" s="11">
        <f t="shared" si="480"/>
        <v>0.3</v>
      </c>
      <c r="H3120" s="11">
        <f t="shared" si="481"/>
        <v>6</v>
      </c>
      <c r="I3120" s="11">
        <f t="shared" si="482"/>
        <v>0.3</v>
      </c>
      <c r="J3120" s="12">
        <f t="shared" si="483"/>
        <v>0</v>
      </c>
      <c r="K3120" s="17" t="str">
        <f t="shared" si="488"/>
        <v>Pas d'écart</v>
      </c>
      <c r="L3120" s="16">
        <f>base!X3120</f>
        <v>0</v>
      </c>
      <c r="M3120" s="11">
        <f t="shared" si="484"/>
        <v>0</v>
      </c>
      <c r="N3120" s="11">
        <f t="shared" si="485"/>
        <v>4.2</v>
      </c>
      <c r="O3120" s="11">
        <f t="shared" si="486"/>
        <v>0.21000000000000002</v>
      </c>
      <c r="P3120" s="12">
        <f t="shared" si="487"/>
        <v>-4.2</v>
      </c>
      <c r="Q3120" s="17" t="str">
        <f t="shared" si="489"/>
        <v>Ecart négatif</v>
      </c>
    </row>
    <row r="3121" spans="1:18" x14ac:dyDescent="0.3">
      <c r="A3121" s="34">
        <f>base!J3121</f>
        <v>0</v>
      </c>
      <c r="B3121" s="34" t="str">
        <f>base!V3121</f>
        <v>44240</v>
      </c>
      <c r="C3121" s="37">
        <v>44</v>
      </c>
      <c r="D3121" s="36">
        <f>base!H3121</f>
        <v>33</v>
      </c>
      <c r="E3121" s="44"/>
      <c r="F3121" s="16">
        <f>base!W3121</f>
        <v>0</v>
      </c>
      <c r="G3121" s="11">
        <f t="shared" si="480"/>
        <v>0</v>
      </c>
      <c r="H3121" s="11">
        <f t="shared" si="481"/>
        <v>8.91</v>
      </c>
      <c r="I3121" s="11">
        <f t="shared" si="482"/>
        <v>0.27</v>
      </c>
      <c r="J3121" s="12">
        <f t="shared" si="483"/>
        <v>-8.91</v>
      </c>
      <c r="K3121" s="17" t="str">
        <f t="shared" si="488"/>
        <v>Ecart négatif</v>
      </c>
      <c r="L3121" s="16">
        <f>base!X3121</f>
        <v>0</v>
      </c>
      <c r="M3121" s="11">
        <f t="shared" si="484"/>
        <v>0</v>
      </c>
      <c r="N3121" s="11">
        <f t="shared" si="485"/>
        <v>0</v>
      </c>
      <c r="O3121" s="11">
        <f t="shared" si="486"/>
        <v>0</v>
      </c>
      <c r="P3121" s="12">
        <f t="shared" si="487"/>
        <v>0</v>
      </c>
      <c r="Q3121" s="17" t="str">
        <f t="shared" si="489"/>
        <v>Pas d'écart</v>
      </c>
    </row>
    <row r="3122" spans="1:18" x14ac:dyDescent="0.3">
      <c r="A3122" s="34">
        <f>base!J3122</f>
        <v>0</v>
      </c>
      <c r="B3122" s="34" t="str">
        <f>base!V3122</f>
        <v>44240</v>
      </c>
      <c r="C3122" s="37">
        <v>44</v>
      </c>
      <c r="D3122" s="36">
        <f>base!H3122</f>
        <v>60</v>
      </c>
      <c r="E3122" s="44"/>
      <c r="F3122" s="16">
        <f>base!W3122</f>
        <v>0</v>
      </c>
      <c r="G3122" s="11">
        <f t="shared" si="480"/>
        <v>0</v>
      </c>
      <c r="H3122" s="11">
        <f t="shared" si="481"/>
        <v>16.200000000000003</v>
      </c>
      <c r="I3122" s="11">
        <f t="shared" si="482"/>
        <v>0.27000000000000007</v>
      </c>
      <c r="J3122" s="12">
        <f t="shared" si="483"/>
        <v>-16.200000000000003</v>
      </c>
      <c r="K3122" s="17" t="str">
        <f t="shared" si="488"/>
        <v>Ecart négatif</v>
      </c>
      <c r="L3122" s="16">
        <f>base!X3122</f>
        <v>0</v>
      </c>
      <c r="M3122" s="11">
        <f t="shared" si="484"/>
        <v>0</v>
      </c>
      <c r="N3122" s="11">
        <f t="shared" si="485"/>
        <v>0</v>
      </c>
      <c r="O3122" s="11">
        <f t="shared" si="486"/>
        <v>0</v>
      </c>
      <c r="P3122" s="12">
        <f t="shared" si="487"/>
        <v>0</v>
      </c>
      <c r="Q3122" s="17" t="str">
        <f t="shared" si="489"/>
        <v>Pas d'écart</v>
      </c>
    </row>
    <row r="3123" spans="1:18" x14ac:dyDescent="0.3">
      <c r="A3123" s="34">
        <f>base!J3123</f>
        <v>0</v>
      </c>
      <c r="B3123" s="34" t="str">
        <f>base!V3123</f>
        <v>44240</v>
      </c>
      <c r="C3123" s="37">
        <v>44</v>
      </c>
      <c r="D3123" s="36">
        <f>base!H3123</f>
        <v>35</v>
      </c>
      <c r="E3123" s="44"/>
      <c r="F3123" s="16">
        <f>base!W3123</f>
        <v>0</v>
      </c>
      <c r="G3123" s="11">
        <f t="shared" si="480"/>
        <v>0</v>
      </c>
      <c r="H3123" s="11">
        <f t="shared" si="481"/>
        <v>9.4500000000000011</v>
      </c>
      <c r="I3123" s="11">
        <f t="shared" si="482"/>
        <v>0.27</v>
      </c>
      <c r="J3123" s="12">
        <f t="shared" si="483"/>
        <v>-9.4500000000000011</v>
      </c>
      <c r="K3123" s="17" t="str">
        <f t="shared" si="488"/>
        <v>Ecart négatif</v>
      </c>
      <c r="L3123" s="16">
        <f>base!X3123</f>
        <v>0</v>
      </c>
      <c r="M3123" s="11">
        <f t="shared" si="484"/>
        <v>0</v>
      </c>
      <c r="N3123" s="11">
        <f t="shared" si="485"/>
        <v>0</v>
      </c>
      <c r="O3123" s="11">
        <f t="shared" si="486"/>
        <v>0</v>
      </c>
      <c r="P3123" s="12">
        <f t="shared" si="487"/>
        <v>0</v>
      </c>
      <c r="Q3123" s="17" t="str">
        <f t="shared" si="489"/>
        <v>Pas d'écart</v>
      </c>
    </row>
    <row r="3124" spans="1:18" x14ac:dyDescent="0.3">
      <c r="A3124" s="34" t="str">
        <f>base!J3124</f>
        <v>Metre Aller</v>
      </c>
      <c r="B3124" s="34" t="str">
        <f>base!V3124</f>
        <v>77184</v>
      </c>
      <c r="C3124" s="37">
        <v>77</v>
      </c>
      <c r="D3124" s="36">
        <f>base!H3124</f>
        <v>114</v>
      </c>
      <c r="E3124" s="44"/>
      <c r="F3124" s="16">
        <f>base!W3124</f>
        <v>0</v>
      </c>
      <c r="G3124" s="11">
        <f t="shared" si="480"/>
        <v>0</v>
      </c>
      <c r="H3124" s="11">
        <f t="shared" si="481"/>
        <v>0</v>
      </c>
      <c r="I3124" s="11">
        <f t="shared" si="482"/>
        <v>0</v>
      </c>
      <c r="J3124" s="12">
        <f t="shared" si="483"/>
        <v>0</v>
      </c>
      <c r="K3124" s="17" t="str">
        <f t="shared" si="488"/>
        <v>Pas d'écart</v>
      </c>
      <c r="L3124" s="16">
        <f>base!X3124</f>
        <v>0</v>
      </c>
      <c r="M3124" s="11">
        <f t="shared" si="484"/>
        <v>0</v>
      </c>
      <c r="N3124" s="11">
        <f t="shared" si="485"/>
        <v>0</v>
      </c>
      <c r="O3124" s="11">
        <f t="shared" si="486"/>
        <v>0</v>
      </c>
      <c r="P3124" s="12">
        <f t="shared" si="487"/>
        <v>0</v>
      </c>
      <c r="Q3124" s="17" t="str">
        <f t="shared" si="489"/>
        <v>Pas d'écart</v>
      </c>
    </row>
    <row r="3125" spans="1:18" x14ac:dyDescent="0.3">
      <c r="A3125" s="34">
        <f>base!J3125</f>
        <v>0</v>
      </c>
      <c r="B3125" s="34" t="str">
        <f>base!V3125</f>
        <v>77184</v>
      </c>
      <c r="C3125" s="37">
        <v>77</v>
      </c>
      <c r="D3125" s="36">
        <f>base!H3125</f>
        <v>15</v>
      </c>
      <c r="E3125" s="44"/>
      <c r="F3125" s="16">
        <f>base!W3125</f>
        <v>0</v>
      </c>
      <c r="G3125" s="11">
        <f t="shared" si="480"/>
        <v>0</v>
      </c>
      <c r="H3125" s="11">
        <f t="shared" si="481"/>
        <v>0</v>
      </c>
      <c r="I3125" s="11">
        <f t="shared" si="482"/>
        <v>0</v>
      </c>
      <c r="J3125" s="12">
        <f t="shared" si="483"/>
        <v>0</v>
      </c>
      <c r="K3125" s="17" t="str">
        <f t="shared" si="488"/>
        <v>Pas d'écart</v>
      </c>
      <c r="L3125" s="16">
        <f>base!X3125</f>
        <v>0</v>
      </c>
      <c r="M3125" s="11">
        <f t="shared" si="484"/>
        <v>0</v>
      </c>
      <c r="N3125" s="11">
        <f t="shared" si="485"/>
        <v>0</v>
      </c>
      <c r="O3125" s="11">
        <f t="shared" si="486"/>
        <v>0</v>
      </c>
      <c r="P3125" s="12">
        <f t="shared" si="487"/>
        <v>0</v>
      </c>
      <c r="Q3125" s="17" t="str">
        <f t="shared" si="489"/>
        <v>Pas d'écart</v>
      </c>
    </row>
    <row r="3126" spans="1:18" x14ac:dyDescent="0.3">
      <c r="A3126" s="34">
        <f>base!J3126</f>
        <v>0</v>
      </c>
      <c r="B3126" s="34" t="str">
        <f>base!V3126</f>
        <v>77184</v>
      </c>
      <c r="C3126" s="37">
        <v>77</v>
      </c>
      <c r="D3126" s="36">
        <f>base!H3126</f>
        <v>71</v>
      </c>
      <c r="E3126" s="44"/>
      <c r="F3126" s="16">
        <f>base!W3126</f>
        <v>0</v>
      </c>
      <c r="G3126" s="11">
        <f t="shared" si="480"/>
        <v>0</v>
      </c>
      <c r="H3126" s="11">
        <f t="shared" si="481"/>
        <v>0</v>
      </c>
      <c r="I3126" s="11">
        <f t="shared" si="482"/>
        <v>0</v>
      </c>
      <c r="J3126" s="12">
        <f t="shared" si="483"/>
        <v>0</v>
      </c>
      <c r="K3126" s="17" t="str">
        <f t="shared" si="488"/>
        <v>Pas d'écart</v>
      </c>
      <c r="L3126" s="16">
        <f>base!X3126</f>
        <v>0</v>
      </c>
      <c r="M3126" s="11">
        <f t="shared" si="484"/>
        <v>0</v>
      </c>
      <c r="N3126" s="11">
        <f t="shared" si="485"/>
        <v>0</v>
      </c>
      <c r="O3126" s="11">
        <f t="shared" si="486"/>
        <v>0</v>
      </c>
      <c r="P3126" s="12">
        <f t="shared" si="487"/>
        <v>0</v>
      </c>
      <c r="Q3126" s="17" t="str">
        <f t="shared" si="489"/>
        <v>Pas d'écart</v>
      </c>
    </row>
    <row r="3127" spans="1:18" x14ac:dyDescent="0.3">
      <c r="A3127" s="34">
        <f>base!J3127</f>
        <v>0</v>
      </c>
      <c r="B3127" s="34" t="str">
        <f>base!V3127</f>
        <v>77184</v>
      </c>
      <c r="C3127" s="37">
        <v>77</v>
      </c>
      <c r="D3127" s="36">
        <f>base!H3127</f>
        <v>84.5</v>
      </c>
      <c r="E3127" s="44"/>
      <c r="F3127" s="16">
        <f>base!W3127</f>
        <v>0</v>
      </c>
      <c r="G3127" s="11">
        <f t="shared" si="480"/>
        <v>0</v>
      </c>
      <c r="H3127" s="11">
        <f t="shared" si="481"/>
        <v>0</v>
      </c>
      <c r="I3127" s="11">
        <f t="shared" si="482"/>
        <v>0</v>
      </c>
      <c r="J3127" s="12">
        <f t="shared" si="483"/>
        <v>0</v>
      </c>
      <c r="K3127" s="17" t="str">
        <f t="shared" si="488"/>
        <v>Pas d'écart</v>
      </c>
      <c r="L3127" s="16">
        <f>base!X3127</f>
        <v>0</v>
      </c>
      <c r="M3127" s="11">
        <f t="shared" si="484"/>
        <v>0</v>
      </c>
      <c r="N3127" s="11">
        <f t="shared" si="485"/>
        <v>0</v>
      </c>
      <c r="O3127" s="11">
        <f t="shared" si="486"/>
        <v>0</v>
      </c>
      <c r="P3127" s="12">
        <f t="shared" si="487"/>
        <v>0</v>
      </c>
      <c r="Q3127" s="17" t="str">
        <f t="shared" si="489"/>
        <v>Pas d'écart</v>
      </c>
    </row>
    <row r="3128" spans="1:18" x14ac:dyDescent="0.3">
      <c r="A3128" s="34">
        <f>base!J3128</f>
        <v>0</v>
      </c>
      <c r="B3128" s="34" t="str">
        <f>base!V3128</f>
        <v>77184</v>
      </c>
      <c r="C3128" s="37">
        <v>77</v>
      </c>
      <c r="D3128" s="36">
        <f>base!H3128</f>
        <v>171</v>
      </c>
      <c r="E3128" s="44"/>
      <c r="F3128" s="16">
        <f>base!W3128</f>
        <v>0</v>
      </c>
      <c r="G3128" s="11">
        <f t="shared" si="480"/>
        <v>0</v>
      </c>
      <c r="H3128" s="11">
        <f t="shared" si="481"/>
        <v>0</v>
      </c>
      <c r="I3128" s="11">
        <f t="shared" si="482"/>
        <v>0</v>
      </c>
      <c r="J3128" s="12">
        <f t="shared" si="483"/>
        <v>0</v>
      </c>
      <c r="K3128" s="17" t="str">
        <f t="shared" si="488"/>
        <v>Pas d'écart</v>
      </c>
      <c r="L3128" s="16">
        <f>base!X3128</f>
        <v>0</v>
      </c>
      <c r="M3128" s="11">
        <f t="shared" si="484"/>
        <v>0</v>
      </c>
      <c r="N3128" s="11">
        <f t="shared" si="485"/>
        <v>0</v>
      </c>
      <c r="O3128" s="11">
        <f t="shared" si="486"/>
        <v>0</v>
      </c>
      <c r="P3128" s="12">
        <f t="shared" si="487"/>
        <v>0</v>
      </c>
      <c r="Q3128" s="17" t="str">
        <f t="shared" si="489"/>
        <v>Pas d'écart</v>
      </c>
    </row>
    <row r="3129" spans="1:18" x14ac:dyDescent="0.3">
      <c r="A3129" s="34">
        <f>base!J3129</f>
        <v>0</v>
      </c>
      <c r="B3129" s="34" t="str">
        <f>base!V3129</f>
        <v>77184</v>
      </c>
      <c r="C3129" s="37">
        <v>77</v>
      </c>
      <c r="D3129" s="36">
        <f>base!H3129</f>
        <v>97</v>
      </c>
      <c r="E3129" s="44"/>
      <c r="F3129" s="16">
        <f>base!W3129</f>
        <v>0</v>
      </c>
      <c r="G3129" s="11">
        <f t="shared" si="480"/>
        <v>0</v>
      </c>
      <c r="H3129" s="11">
        <f t="shared" si="481"/>
        <v>0</v>
      </c>
      <c r="I3129" s="11">
        <f t="shared" si="482"/>
        <v>0</v>
      </c>
      <c r="J3129" s="12">
        <f t="shared" si="483"/>
        <v>0</v>
      </c>
      <c r="K3129" s="17" t="str">
        <f t="shared" si="488"/>
        <v>Pas d'écart</v>
      </c>
      <c r="L3129" s="16">
        <f>base!X3129</f>
        <v>0</v>
      </c>
      <c r="M3129" s="11">
        <f t="shared" si="484"/>
        <v>0</v>
      </c>
      <c r="N3129" s="11">
        <f t="shared" si="485"/>
        <v>0</v>
      </c>
      <c r="O3129" s="11">
        <f t="shared" si="486"/>
        <v>0</v>
      </c>
      <c r="P3129" s="12">
        <f t="shared" si="487"/>
        <v>0</v>
      </c>
      <c r="Q3129" s="17" t="str">
        <f t="shared" si="489"/>
        <v>Pas d'écart</v>
      </c>
    </row>
    <row r="3130" spans="1:18" x14ac:dyDescent="0.3">
      <c r="A3130" s="34">
        <f>base!J3130</f>
        <v>0</v>
      </c>
      <c r="B3130" s="34" t="str">
        <f>base!V3130</f>
        <v>77184</v>
      </c>
      <c r="C3130" s="37">
        <v>77</v>
      </c>
      <c r="D3130" s="36">
        <f>base!H3130</f>
        <v>151</v>
      </c>
      <c r="E3130" s="44"/>
      <c r="F3130" s="16">
        <f>base!W3130</f>
        <v>0</v>
      </c>
      <c r="G3130" s="11">
        <f t="shared" si="480"/>
        <v>0</v>
      </c>
      <c r="H3130" s="11">
        <f t="shared" si="481"/>
        <v>0</v>
      </c>
      <c r="I3130" s="11">
        <f t="shared" si="482"/>
        <v>0</v>
      </c>
      <c r="J3130" s="12">
        <f t="shared" si="483"/>
        <v>0</v>
      </c>
      <c r="K3130" s="17" t="str">
        <f t="shared" si="488"/>
        <v>Pas d'écart</v>
      </c>
      <c r="L3130" s="16">
        <f>base!X3130</f>
        <v>0</v>
      </c>
      <c r="M3130" s="11">
        <f t="shared" si="484"/>
        <v>0</v>
      </c>
      <c r="N3130" s="11">
        <f t="shared" si="485"/>
        <v>0</v>
      </c>
      <c r="O3130" s="11">
        <f t="shared" si="486"/>
        <v>0</v>
      </c>
      <c r="P3130" s="12">
        <f t="shared" si="487"/>
        <v>0</v>
      </c>
      <c r="Q3130" s="17" t="str">
        <f t="shared" si="489"/>
        <v>Pas d'écart</v>
      </c>
    </row>
    <row r="3131" spans="1:18" x14ac:dyDescent="0.3">
      <c r="A3131" s="34" t="str">
        <f>base!J3131</f>
        <v>RS</v>
      </c>
      <c r="B3131" s="34" t="str">
        <f>base!V3131</f>
        <v>59491</v>
      </c>
      <c r="C3131" s="37">
        <v>59</v>
      </c>
      <c r="D3131" s="36">
        <f>base!H3131</f>
        <v>58.2</v>
      </c>
      <c r="E3131" s="44"/>
      <c r="F3131" s="16">
        <f>base!W3131</f>
        <v>0</v>
      </c>
      <c r="G3131" s="11">
        <f t="shared" si="480"/>
        <v>0</v>
      </c>
      <c r="H3131" s="11">
        <f t="shared" si="481"/>
        <v>11.058</v>
      </c>
      <c r="I3131" s="11">
        <f t="shared" si="482"/>
        <v>0.18999999999999997</v>
      </c>
      <c r="J3131" s="12">
        <f t="shared" si="483"/>
        <v>-11.058</v>
      </c>
      <c r="K3131" s="17" t="str">
        <f t="shared" si="488"/>
        <v>Ecart négatif</v>
      </c>
      <c r="L3131" s="16">
        <f>base!X3131</f>
        <v>0</v>
      </c>
      <c r="M3131" s="11">
        <f t="shared" si="484"/>
        <v>0</v>
      </c>
      <c r="N3131" s="11">
        <f t="shared" si="485"/>
        <v>0</v>
      </c>
      <c r="O3131" s="11">
        <f t="shared" si="486"/>
        <v>0</v>
      </c>
      <c r="P3131" s="12">
        <f t="shared" si="487"/>
        <v>0</v>
      </c>
      <c r="Q3131" s="17" t="str">
        <f t="shared" si="489"/>
        <v>Pas d'écart</v>
      </c>
    </row>
    <row r="3132" spans="1:18" x14ac:dyDescent="0.3">
      <c r="A3132" s="34" t="str">
        <f>base!J3132</f>
        <v>RM</v>
      </c>
      <c r="B3132" s="34" t="str">
        <f>base!V3132</f>
        <v>67118</v>
      </c>
      <c r="C3132" s="37">
        <v>67</v>
      </c>
      <c r="D3132" s="36">
        <f>base!H3132</f>
        <v>180.38</v>
      </c>
      <c r="E3132" s="44"/>
      <c r="F3132" s="16">
        <f>base!W3132</f>
        <v>0</v>
      </c>
      <c r="G3132" s="11">
        <f t="shared" si="480"/>
        <v>0</v>
      </c>
      <c r="H3132" s="11">
        <f t="shared" si="481"/>
        <v>52.310199999999995</v>
      </c>
      <c r="I3132" s="11">
        <f t="shared" si="482"/>
        <v>0.28999999999999998</v>
      </c>
      <c r="J3132" s="12">
        <f t="shared" si="483"/>
        <v>-52.310199999999995</v>
      </c>
      <c r="K3132" s="17" t="str">
        <f t="shared" si="488"/>
        <v>Ecart négatif</v>
      </c>
      <c r="L3132" s="16">
        <f>base!X3132</f>
        <v>14.43</v>
      </c>
      <c r="M3132" s="11">
        <f t="shared" si="484"/>
        <v>7.9997782459252695E-2</v>
      </c>
      <c r="N3132" s="11">
        <f t="shared" si="485"/>
        <v>14.430400000000001</v>
      </c>
      <c r="O3132" s="11">
        <f t="shared" si="486"/>
        <v>0.08</v>
      </c>
      <c r="P3132" s="12">
        <f t="shared" si="487"/>
        <v>-4.0000000000084412E-4</v>
      </c>
      <c r="Q3132" s="17" t="str">
        <f t="shared" si="489"/>
        <v>Ecart négatif</v>
      </c>
      <c r="R3132" s="38"/>
    </row>
    <row r="3133" spans="1:18" x14ac:dyDescent="0.3">
      <c r="A3133" s="34">
        <f>base!J3133</f>
        <v>0</v>
      </c>
      <c r="B3133" s="34" t="str">
        <f>base!V3133</f>
        <v>77184</v>
      </c>
      <c r="C3133" s="37">
        <v>77</v>
      </c>
      <c r="D3133" s="36">
        <f>base!H3133</f>
        <v>31</v>
      </c>
      <c r="E3133" s="44"/>
      <c r="F3133" s="16">
        <f>base!W3133</f>
        <v>0</v>
      </c>
      <c r="G3133" s="11">
        <f t="shared" si="480"/>
        <v>0</v>
      </c>
      <c r="H3133" s="11">
        <f t="shared" si="481"/>
        <v>0</v>
      </c>
      <c r="I3133" s="11">
        <f t="shared" si="482"/>
        <v>0</v>
      </c>
      <c r="J3133" s="12">
        <f t="shared" si="483"/>
        <v>0</v>
      </c>
      <c r="K3133" s="17" t="str">
        <f t="shared" si="488"/>
        <v>Pas d'écart</v>
      </c>
      <c r="L3133" s="16">
        <f>base!X3133</f>
        <v>0</v>
      </c>
      <c r="M3133" s="11">
        <f t="shared" si="484"/>
        <v>0</v>
      </c>
      <c r="N3133" s="11">
        <f t="shared" si="485"/>
        <v>0</v>
      </c>
      <c r="O3133" s="11">
        <f t="shared" si="486"/>
        <v>0</v>
      </c>
      <c r="P3133" s="12">
        <f t="shared" si="487"/>
        <v>0</v>
      </c>
      <c r="Q3133" s="17" t="str">
        <f t="shared" si="489"/>
        <v>Pas d'écart</v>
      </c>
    </row>
    <row r="3134" spans="1:18" x14ac:dyDescent="0.3">
      <c r="A3134" s="34" t="str">
        <f>base!J3134</f>
        <v>LM</v>
      </c>
      <c r="B3134" s="34" t="str">
        <f>base!V3134</f>
        <v>69800</v>
      </c>
      <c r="C3134" s="37">
        <v>79</v>
      </c>
      <c r="D3134" s="36">
        <f>base!H3134</f>
        <v>120.29</v>
      </c>
      <c r="E3134" s="44"/>
      <c r="F3134" s="16">
        <f>base!W3134</f>
        <v>32.479999999999997</v>
      </c>
      <c r="G3134" s="11">
        <f t="shared" si="480"/>
        <v>0.27001413251309331</v>
      </c>
      <c r="H3134" s="11">
        <f t="shared" si="481"/>
        <v>25.260899999999999</v>
      </c>
      <c r="I3134" s="11">
        <f t="shared" si="482"/>
        <v>0.21</v>
      </c>
      <c r="J3134" s="12">
        <f t="shared" si="483"/>
        <v>7.2190999999999974</v>
      </c>
      <c r="K3134" s="17" t="str">
        <f t="shared" si="488"/>
        <v>Ecart positif</v>
      </c>
      <c r="L3134" s="16">
        <f>base!X3134</f>
        <v>0</v>
      </c>
      <c r="M3134" s="11">
        <f t="shared" si="484"/>
        <v>0</v>
      </c>
      <c r="N3134" s="11">
        <f t="shared" si="485"/>
        <v>14.434800000000001</v>
      </c>
      <c r="O3134" s="11">
        <f t="shared" si="486"/>
        <v>0.12</v>
      </c>
      <c r="P3134" s="12">
        <f t="shared" si="487"/>
        <v>-14.434800000000001</v>
      </c>
      <c r="Q3134" s="17" t="str">
        <f t="shared" si="489"/>
        <v>Ecart négatif</v>
      </c>
    </row>
    <row r="3135" spans="1:18" x14ac:dyDescent="0.3">
      <c r="A3135" s="34" t="str">
        <f>base!J3135</f>
        <v>LS</v>
      </c>
      <c r="B3135" s="34" t="str">
        <f>base!V3135</f>
        <v>01220</v>
      </c>
      <c r="C3135" s="37">
        <v>41</v>
      </c>
      <c r="D3135" s="36">
        <f>base!H3135</f>
        <v>86.34</v>
      </c>
      <c r="E3135" s="44"/>
      <c r="F3135" s="16">
        <f>base!W3135</f>
        <v>23.31</v>
      </c>
      <c r="G3135" s="11">
        <f t="shared" si="480"/>
        <v>0.26997915218902013</v>
      </c>
      <c r="H3135" s="11">
        <f t="shared" si="481"/>
        <v>18.131399999999999</v>
      </c>
      <c r="I3135" s="11">
        <f t="shared" si="482"/>
        <v>0.21</v>
      </c>
      <c r="J3135" s="12">
        <f t="shared" si="483"/>
        <v>5.1785999999999994</v>
      </c>
      <c r="K3135" s="17" t="str">
        <f t="shared" si="488"/>
        <v>Ecart positif</v>
      </c>
      <c r="L3135" s="16">
        <f>base!X3135</f>
        <v>0</v>
      </c>
      <c r="M3135" s="11">
        <f t="shared" si="484"/>
        <v>0</v>
      </c>
      <c r="N3135" s="11">
        <f t="shared" si="485"/>
        <v>10.360799999999999</v>
      </c>
      <c r="O3135" s="11">
        <f t="shared" si="486"/>
        <v>0.11999999999999998</v>
      </c>
      <c r="P3135" s="12">
        <f t="shared" si="487"/>
        <v>-10.360799999999999</v>
      </c>
      <c r="Q3135" s="17" t="str">
        <f t="shared" si="489"/>
        <v>Ecart négatif</v>
      </c>
    </row>
    <row r="3136" spans="1:18" x14ac:dyDescent="0.3">
      <c r="A3136" s="34" t="str">
        <f>base!J3136</f>
        <v>LM</v>
      </c>
      <c r="B3136" s="34" t="str">
        <f>base!V3136</f>
        <v>68250</v>
      </c>
      <c r="C3136" s="37">
        <v>45</v>
      </c>
      <c r="D3136" s="36">
        <f>base!H3136</f>
        <v>144.19999999999999</v>
      </c>
      <c r="E3136" s="44"/>
      <c r="F3136" s="16">
        <f>base!W3136</f>
        <v>41.82</v>
      </c>
      <c r="G3136" s="11">
        <f t="shared" si="480"/>
        <v>0.29001386962552012</v>
      </c>
      <c r="H3136" s="11">
        <f t="shared" si="481"/>
        <v>30.281999999999996</v>
      </c>
      <c r="I3136" s="11">
        <f t="shared" si="482"/>
        <v>0.21</v>
      </c>
      <c r="J3136" s="12">
        <f t="shared" si="483"/>
        <v>11.538000000000004</v>
      </c>
      <c r="K3136" s="17" t="str">
        <f t="shared" si="488"/>
        <v>Ecart positif</v>
      </c>
      <c r="L3136" s="16">
        <f>base!X3136</f>
        <v>0</v>
      </c>
      <c r="M3136" s="11">
        <f t="shared" si="484"/>
        <v>0</v>
      </c>
      <c r="N3136" s="11">
        <f t="shared" si="485"/>
        <v>17.303999999999998</v>
      </c>
      <c r="O3136" s="11">
        <f t="shared" si="486"/>
        <v>0.12</v>
      </c>
      <c r="P3136" s="12">
        <f t="shared" si="487"/>
        <v>-17.303999999999998</v>
      </c>
      <c r="Q3136" s="17" t="str">
        <f t="shared" si="489"/>
        <v>Ecart négatif</v>
      </c>
    </row>
    <row r="3137" spans="1:18" x14ac:dyDescent="0.3">
      <c r="A3137" s="34" t="str">
        <f>base!J3137</f>
        <v>LM</v>
      </c>
      <c r="B3137" s="34" t="str">
        <f>base!V3137</f>
        <v>75014</v>
      </c>
      <c r="C3137" s="37">
        <v>75</v>
      </c>
      <c r="D3137" s="36">
        <f>base!H3137</f>
        <v>107.6</v>
      </c>
      <c r="E3137" s="44"/>
      <c r="F3137" s="16">
        <f>base!W3137</f>
        <v>0</v>
      </c>
      <c r="G3137" s="11">
        <f t="shared" si="480"/>
        <v>0</v>
      </c>
      <c r="H3137" s="11">
        <f t="shared" si="481"/>
        <v>0</v>
      </c>
      <c r="I3137" s="11">
        <f t="shared" si="482"/>
        <v>0</v>
      </c>
      <c r="J3137" s="12">
        <f t="shared" si="483"/>
        <v>0</v>
      </c>
      <c r="K3137" s="17" t="str">
        <f t="shared" si="488"/>
        <v>Pas d'écart</v>
      </c>
      <c r="L3137" s="16">
        <f>base!X3137</f>
        <v>0</v>
      </c>
      <c r="M3137" s="11">
        <f t="shared" si="484"/>
        <v>0</v>
      </c>
      <c r="N3137" s="11">
        <f t="shared" si="485"/>
        <v>0</v>
      </c>
      <c r="O3137" s="11">
        <f t="shared" si="486"/>
        <v>0</v>
      </c>
      <c r="P3137" s="12">
        <f t="shared" si="487"/>
        <v>0</v>
      </c>
      <c r="Q3137" s="17" t="str">
        <f t="shared" si="489"/>
        <v>Pas d'écart</v>
      </c>
    </row>
    <row r="3138" spans="1:18" x14ac:dyDescent="0.3">
      <c r="A3138" s="34" t="str">
        <f>base!J3138</f>
        <v>LM</v>
      </c>
      <c r="B3138" s="34" t="str">
        <f>base!V3138</f>
        <v>67000</v>
      </c>
      <c r="C3138" s="37">
        <v>67</v>
      </c>
      <c r="D3138" s="36">
        <f>base!H3138</f>
        <v>40</v>
      </c>
      <c r="E3138" s="44"/>
      <c r="F3138" s="16">
        <f>base!W3138</f>
        <v>11.6</v>
      </c>
      <c r="G3138" s="11">
        <f t="shared" ref="G3138:G3201" si="490">F3138/D3138</f>
        <v>0.28999999999999998</v>
      </c>
      <c r="H3138" s="11">
        <f t="shared" ref="H3138:H3201" si="491">VLOOKUP(C3138,tout_cout_traction,2,FALSE)*D3138</f>
        <v>11.6</v>
      </c>
      <c r="I3138" s="11">
        <f t="shared" ref="I3138:I3201" si="492">H3138/D3138</f>
        <v>0.28999999999999998</v>
      </c>
      <c r="J3138" s="12">
        <f t="shared" ref="J3138:J3201" si="493">F3138-H3138</f>
        <v>0</v>
      </c>
      <c r="K3138" s="17" t="str">
        <f t="shared" si="488"/>
        <v>Pas d'écart</v>
      </c>
      <c r="L3138" s="16">
        <f>base!X3138</f>
        <v>0</v>
      </c>
      <c r="M3138" s="11">
        <f t="shared" ref="M3138:M3201" si="494">L3138/D3138</f>
        <v>0</v>
      </c>
      <c r="N3138" s="11">
        <f t="shared" ref="N3138:N3201" si="495">VLOOKUP(C3138,tout_cout_traction,3,FALSE)*D3138</f>
        <v>3.2</v>
      </c>
      <c r="O3138" s="11">
        <f t="shared" ref="O3138:O3201" si="496">N3138/D3138</f>
        <v>0.08</v>
      </c>
      <c r="P3138" s="12">
        <f t="shared" ref="P3138:P3201" si="497">L3138-N3138</f>
        <v>-3.2</v>
      </c>
      <c r="Q3138" s="17" t="str">
        <f t="shared" si="489"/>
        <v>Ecart négatif</v>
      </c>
    </row>
    <row r="3139" spans="1:18" x14ac:dyDescent="0.3">
      <c r="A3139" s="34" t="str">
        <f>base!J3139</f>
        <v>LS</v>
      </c>
      <c r="B3139" s="34" t="str">
        <f>base!V3139</f>
        <v>75014</v>
      </c>
      <c r="C3139" s="37">
        <v>75</v>
      </c>
      <c r="D3139" s="36">
        <f>base!H3139</f>
        <v>53.38</v>
      </c>
      <c r="E3139" s="44"/>
      <c r="F3139" s="16">
        <f>base!W3139</f>
        <v>0</v>
      </c>
      <c r="G3139" s="11">
        <f t="shared" si="490"/>
        <v>0</v>
      </c>
      <c r="H3139" s="11">
        <f t="shared" si="491"/>
        <v>0</v>
      </c>
      <c r="I3139" s="11">
        <f t="shared" si="492"/>
        <v>0</v>
      </c>
      <c r="J3139" s="12">
        <f t="shared" si="493"/>
        <v>0</v>
      </c>
      <c r="K3139" s="17" t="str">
        <f t="shared" ref="K3139:K3202" si="498">IF(H3139=F3139,"Pas d'écart",IF(H3139&lt;F3139,"Ecart positif",IF(H3139&gt;F3139,"Ecart négatif")))</f>
        <v>Pas d'écart</v>
      </c>
      <c r="L3139" s="16">
        <f>base!X3139</f>
        <v>0</v>
      </c>
      <c r="M3139" s="11">
        <f t="shared" si="494"/>
        <v>0</v>
      </c>
      <c r="N3139" s="11">
        <f t="shared" si="495"/>
        <v>0</v>
      </c>
      <c r="O3139" s="11">
        <f t="shared" si="496"/>
        <v>0</v>
      </c>
      <c r="P3139" s="12">
        <f t="shared" si="497"/>
        <v>0</v>
      </c>
      <c r="Q3139" s="17" t="str">
        <f t="shared" ref="Q3139:Q3202" si="499">IF(N3139=L3139,"Pas d'écart",IF(N3139&lt;L3139,"Ecart positif",IF(N3139&gt;L3139,"Ecart négatif")))</f>
        <v>Pas d'écart</v>
      </c>
    </row>
    <row r="3140" spans="1:18" x14ac:dyDescent="0.3">
      <c r="A3140" s="34" t="str">
        <f>base!J3140</f>
        <v>LM</v>
      </c>
      <c r="B3140" s="34" t="str">
        <f>base!V3140</f>
        <v>62170</v>
      </c>
      <c r="C3140" s="37">
        <v>45</v>
      </c>
      <c r="D3140" s="36">
        <f>base!H3140</f>
        <v>75.34</v>
      </c>
      <c r="E3140" s="44"/>
      <c r="F3140" s="16">
        <f>base!W3140</f>
        <v>14.31</v>
      </c>
      <c r="G3140" s="11">
        <f t="shared" si="490"/>
        <v>0.18993894345633131</v>
      </c>
      <c r="H3140" s="11">
        <f t="shared" si="491"/>
        <v>15.821400000000001</v>
      </c>
      <c r="I3140" s="11">
        <f t="shared" si="492"/>
        <v>0.21</v>
      </c>
      <c r="J3140" s="12">
        <f t="shared" si="493"/>
        <v>-1.5114000000000001</v>
      </c>
      <c r="K3140" s="17" t="str">
        <f t="shared" si="498"/>
        <v>Ecart négatif</v>
      </c>
      <c r="L3140" s="16">
        <f>base!X3140</f>
        <v>0</v>
      </c>
      <c r="M3140" s="11">
        <f t="shared" si="494"/>
        <v>0</v>
      </c>
      <c r="N3140" s="11">
        <f t="shared" si="495"/>
        <v>9.0408000000000008</v>
      </c>
      <c r="O3140" s="11">
        <f t="shared" si="496"/>
        <v>0.12000000000000001</v>
      </c>
      <c r="P3140" s="12">
        <f t="shared" si="497"/>
        <v>-9.0408000000000008</v>
      </c>
      <c r="Q3140" s="17" t="str">
        <f t="shared" si="499"/>
        <v>Ecart négatif</v>
      </c>
    </row>
    <row r="3141" spans="1:18" x14ac:dyDescent="0.3">
      <c r="A3141" s="34" t="str">
        <f>base!J3141</f>
        <v>RM</v>
      </c>
      <c r="B3141" s="34" t="str">
        <f>base!V3141</f>
        <v>59410</v>
      </c>
      <c r="C3141" s="37">
        <v>59</v>
      </c>
      <c r="D3141" s="36">
        <f>base!H3141</f>
        <v>250</v>
      </c>
      <c r="E3141" s="44"/>
      <c r="F3141" s="16">
        <f>base!W3141</f>
        <v>0</v>
      </c>
      <c r="G3141" s="11">
        <f t="shared" si="490"/>
        <v>0</v>
      </c>
      <c r="H3141" s="11">
        <f t="shared" si="491"/>
        <v>47.5</v>
      </c>
      <c r="I3141" s="11">
        <f t="shared" si="492"/>
        <v>0.19</v>
      </c>
      <c r="J3141" s="12">
        <f t="shared" si="493"/>
        <v>-47.5</v>
      </c>
      <c r="K3141" s="17" t="str">
        <f t="shared" si="498"/>
        <v>Ecart négatif</v>
      </c>
      <c r="L3141" s="16">
        <f>base!X3141</f>
        <v>0</v>
      </c>
      <c r="M3141" s="11">
        <f t="shared" si="494"/>
        <v>0</v>
      </c>
      <c r="N3141" s="11">
        <f t="shared" si="495"/>
        <v>0</v>
      </c>
      <c r="O3141" s="11">
        <f t="shared" si="496"/>
        <v>0</v>
      </c>
      <c r="P3141" s="12">
        <f t="shared" si="497"/>
        <v>0</v>
      </c>
      <c r="Q3141" s="17" t="str">
        <f t="shared" si="499"/>
        <v>Pas d'écart</v>
      </c>
    </row>
    <row r="3142" spans="1:18" x14ac:dyDescent="0.3">
      <c r="A3142" s="34" t="str">
        <f>base!J3142</f>
        <v>RS</v>
      </c>
      <c r="B3142" s="34" t="str">
        <f>base!V3142</f>
        <v>59000</v>
      </c>
      <c r="C3142" s="37">
        <v>59</v>
      </c>
      <c r="D3142" s="36">
        <f>base!H3142</f>
        <v>140</v>
      </c>
      <c r="E3142" s="44"/>
      <c r="F3142" s="16">
        <f>base!W3142</f>
        <v>0</v>
      </c>
      <c r="G3142" s="11">
        <f t="shared" si="490"/>
        <v>0</v>
      </c>
      <c r="H3142" s="11">
        <f t="shared" si="491"/>
        <v>26.6</v>
      </c>
      <c r="I3142" s="11">
        <f t="shared" si="492"/>
        <v>0.19</v>
      </c>
      <c r="J3142" s="12">
        <f t="shared" si="493"/>
        <v>-26.6</v>
      </c>
      <c r="K3142" s="17" t="str">
        <f t="shared" si="498"/>
        <v>Ecart négatif</v>
      </c>
      <c r="L3142" s="16">
        <f>base!X3142</f>
        <v>0</v>
      </c>
      <c r="M3142" s="11">
        <f t="shared" si="494"/>
        <v>0</v>
      </c>
      <c r="N3142" s="11">
        <f t="shared" si="495"/>
        <v>0</v>
      </c>
      <c r="O3142" s="11">
        <f t="shared" si="496"/>
        <v>0</v>
      </c>
      <c r="P3142" s="12">
        <f t="shared" si="497"/>
        <v>0</v>
      </c>
      <c r="Q3142" s="17" t="str">
        <f t="shared" si="499"/>
        <v>Pas d'écart</v>
      </c>
    </row>
    <row r="3143" spans="1:18" x14ac:dyDescent="0.3">
      <c r="A3143" s="34" t="str">
        <f>base!J3143</f>
        <v>RS</v>
      </c>
      <c r="B3143" s="34" t="str">
        <f>base!V3143</f>
        <v>67100</v>
      </c>
      <c r="C3143" s="37">
        <v>67</v>
      </c>
      <c r="D3143" s="36">
        <f>base!H3143</f>
        <v>151</v>
      </c>
      <c r="E3143" s="44"/>
      <c r="F3143" s="16">
        <f>base!W3143</f>
        <v>0</v>
      </c>
      <c r="G3143" s="11">
        <f t="shared" si="490"/>
        <v>0</v>
      </c>
      <c r="H3143" s="11">
        <f t="shared" si="491"/>
        <v>43.79</v>
      </c>
      <c r="I3143" s="11">
        <f t="shared" si="492"/>
        <v>0.28999999999999998</v>
      </c>
      <c r="J3143" s="12">
        <f t="shared" si="493"/>
        <v>-43.79</v>
      </c>
      <c r="K3143" s="17" t="str">
        <f t="shared" si="498"/>
        <v>Ecart négatif</v>
      </c>
      <c r="L3143" s="16">
        <f>base!X3143</f>
        <v>12.08</v>
      </c>
      <c r="M3143" s="11">
        <f t="shared" si="494"/>
        <v>0.08</v>
      </c>
      <c r="N3143" s="11">
        <f t="shared" si="495"/>
        <v>12.08</v>
      </c>
      <c r="O3143" s="11">
        <f t="shared" si="496"/>
        <v>0.08</v>
      </c>
      <c r="P3143" s="12">
        <f t="shared" si="497"/>
        <v>0</v>
      </c>
      <c r="Q3143" s="17" t="str">
        <f t="shared" si="499"/>
        <v>Pas d'écart</v>
      </c>
      <c r="R3143" s="38"/>
    </row>
    <row r="3144" spans="1:18" x14ac:dyDescent="0.3">
      <c r="A3144" s="34" t="str">
        <f>base!J3144</f>
        <v>LM</v>
      </c>
      <c r="B3144" s="34" t="str">
        <f>base!V3144</f>
        <v>75014</v>
      </c>
      <c r="C3144" s="37">
        <v>75</v>
      </c>
      <c r="D3144" s="36">
        <f>base!H3144</f>
        <v>19.649999999999999</v>
      </c>
      <c r="E3144" s="44"/>
      <c r="F3144" s="16">
        <f>base!W3144</f>
        <v>0</v>
      </c>
      <c r="G3144" s="11">
        <f t="shared" si="490"/>
        <v>0</v>
      </c>
      <c r="H3144" s="11">
        <f t="shared" si="491"/>
        <v>0</v>
      </c>
      <c r="I3144" s="11">
        <f t="shared" si="492"/>
        <v>0</v>
      </c>
      <c r="J3144" s="12">
        <f t="shared" si="493"/>
        <v>0</v>
      </c>
      <c r="K3144" s="17" t="str">
        <f t="shared" si="498"/>
        <v>Pas d'écart</v>
      </c>
      <c r="L3144" s="16">
        <f>base!X3144</f>
        <v>0</v>
      </c>
      <c r="M3144" s="11">
        <f t="shared" si="494"/>
        <v>0</v>
      </c>
      <c r="N3144" s="11">
        <f t="shared" si="495"/>
        <v>0</v>
      </c>
      <c r="O3144" s="11">
        <f t="shared" si="496"/>
        <v>0</v>
      </c>
      <c r="P3144" s="12">
        <f t="shared" si="497"/>
        <v>0</v>
      </c>
      <c r="Q3144" s="17" t="str">
        <f t="shared" si="499"/>
        <v>Pas d'écart</v>
      </c>
    </row>
    <row r="3145" spans="1:18" x14ac:dyDescent="0.3">
      <c r="A3145" s="34">
        <f>base!J3145</f>
        <v>0</v>
      </c>
      <c r="B3145" s="34" t="str">
        <f>base!V3145</f>
        <v>77184</v>
      </c>
      <c r="C3145" s="37">
        <v>77</v>
      </c>
      <c r="D3145" s="36">
        <f>base!H3145</f>
        <v>115.84</v>
      </c>
      <c r="E3145" s="44"/>
      <c r="F3145" s="16">
        <f>base!W3145</f>
        <v>0</v>
      </c>
      <c r="G3145" s="11">
        <f t="shared" si="490"/>
        <v>0</v>
      </c>
      <c r="H3145" s="11">
        <f t="shared" si="491"/>
        <v>0</v>
      </c>
      <c r="I3145" s="11">
        <f t="shared" si="492"/>
        <v>0</v>
      </c>
      <c r="J3145" s="12">
        <f t="shared" si="493"/>
        <v>0</v>
      </c>
      <c r="K3145" s="17" t="str">
        <f t="shared" si="498"/>
        <v>Pas d'écart</v>
      </c>
      <c r="L3145" s="16">
        <f>base!X3145</f>
        <v>0</v>
      </c>
      <c r="M3145" s="11">
        <f t="shared" si="494"/>
        <v>0</v>
      </c>
      <c r="N3145" s="11">
        <f t="shared" si="495"/>
        <v>0</v>
      </c>
      <c r="O3145" s="11">
        <f t="shared" si="496"/>
        <v>0</v>
      </c>
      <c r="P3145" s="12">
        <f t="shared" si="497"/>
        <v>0</v>
      </c>
      <c r="Q3145" s="17" t="str">
        <f t="shared" si="499"/>
        <v>Pas d'écart</v>
      </c>
    </row>
    <row r="3146" spans="1:18" x14ac:dyDescent="0.3">
      <c r="A3146" s="34" t="str">
        <f>base!J3146</f>
        <v>LS</v>
      </c>
      <c r="B3146" s="34" t="str">
        <f>base!V3146</f>
        <v>49400</v>
      </c>
      <c r="C3146" s="37">
        <v>37</v>
      </c>
      <c r="D3146" s="36">
        <f>base!H3146</f>
        <v>138.12</v>
      </c>
      <c r="E3146" s="44"/>
      <c r="F3146" s="16">
        <f>base!W3146</f>
        <v>37.29</v>
      </c>
      <c r="G3146" s="11">
        <f t="shared" si="490"/>
        <v>0.26998262380538662</v>
      </c>
      <c r="H3146" s="11">
        <f t="shared" si="491"/>
        <v>26.242800000000003</v>
      </c>
      <c r="I3146" s="11">
        <f t="shared" si="492"/>
        <v>0.19</v>
      </c>
      <c r="J3146" s="12">
        <f t="shared" si="493"/>
        <v>11.047199999999997</v>
      </c>
      <c r="K3146" s="17" t="str">
        <f t="shared" si="498"/>
        <v>Ecart positif</v>
      </c>
      <c r="L3146" s="16">
        <f>base!X3146</f>
        <v>0</v>
      </c>
      <c r="M3146" s="11">
        <f t="shared" si="494"/>
        <v>0</v>
      </c>
      <c r="N3146" s="11">
        <f t="shared" si="495"/>
        <v>16.574400000000001</v>
      </c>
      <c r="O3146" s="11">
        <f t="shared" si="496"/>
        <v>0.12</v>
      </c>
      <c r="P3146" s="12">
        <f t="shared" si="497"/>
        <v>-16.574400000000001</v>
      </c>
      <c r="Q3146" s="17" t="str">
        <f t="shared" si="499"/>
        <v>Ecart négatif</v>
      </c>
    </row>
    <row r="3147" spans="1:18" x14ac:dyDescent="0.3">
      <c r="A3147" s="34" t="str">
        <f>base!J3147</f>
        <v>LM</v>
      </c>
      <c r="B3147" s="34" t="str">
        <f>base!V3147</f>
        <v>75014</v>
      </c>
      <c r="C3147" s="37">
        <v>75</v>
      </c>
      <c r="D3147" s="36">
        <f>base!H3147</f>
        <v>19.649999999999999</v>
      </c>
      <c r="E3147" s="44"/>
      <c r="F3147" s="16">
        <f>base!W3147</f>
        <v>0</v>
      </c>
      <c r="G3147" s="11">
        <f t="shared" si="490"/>
        <v>0</v>
      </c>
      <c r="H3147" s="11">
        <f t="shared" si="491"/>
        <v>0</v>
      </c>
      <c r="I3147" s="11">
        <f t="shared" si="492"/>
        <v>0</v>
      </c>
      <c r="J3147" s="12">
        <f t="shared" si="493"/>
        <v>0</v>
      </c>
      <c r="K3147" s="17" t="str">
        <f t="shared" si="498"/>
        <v>Pas d'écart</v>
      </c>
      <c r="L3147" s="16">
        <f>base!X3147</f>
        <v>0</v>
      </c>
      <c r="M3147" s="11">
        <f t="shared" si="494"/>
        <v>0</v>
      </c>
      <c r="N3147" s="11">
        <f t="shared" si="495"/>
        <v>0</v>
      </c>
      <c r="O3147" s="11">
        <f t="shared" si="496"/>
        <v>0</v>
      </c>
      <c r="P3147" s="12">
        <f t="shared" si="497"/>
        <v>0</v>
      </c>
      <c r="Q3147" s="17" t="str">
        <f t="shared" si="499"/>
        <v>Pas d'écart</v>
      </c>
    </row>
    <row r="3148" spans="1:18" x14ac:dyDescent="0.3">
      <c r="A3148" s="34" t="str">
        <f>base!J3148</f>
        <v>LM</v>
      </c>
      <c r="B3148" s="34" t="str">
        <f>base!V3148</f>
        <v>75014</v>
      </c>
      <c r="C3148" s="37">
        <v>75</v>
      </c>
      <c r="D3148" s="36">
        <f>base!H3148</f>
        <v>19.649999999999999</v>
      </c>
      <c r="E3148" s="44"/>
      <c r="F3148" s="16">
        <f>base!W3148</f>
        <v>0</v>
      </c>
      <c r="G3148" s="11">
        <f t="shared" si="490"/>
        <v>0</v>
      </c>
      <c r="H3148" s="11">
        <f t="shared" si="491"/>
        <v>0</v>
      </c>
      <c r="I3148" s="11">
        <f t="shared" si="492"/>
        <v>0</v>
      </c>
      <c r="J3148" s="12">
        <f t="shared" si="493"/>
        <v>0</v>
      </c>
      <c r="K3148" s="17" t="str">
        <f t="shared" si="498"/>
        <v>Pas d'écart</v>
      </c>
      <c r="L3148" s="16">
        <f>base!X3148</f>
        <v>0</v>
      </c>
      <c r="M3148" s="11">
        <f t="shared" si="494"/>
        <v>0</v>
      </c>
      <c r="N3148" s="11">
        <f t="shared" si="495"/>
        <v>0</v>
      </c>
      <c r="O3148" s="11">
        <f t="shared" si="496"/>
        <v>0</v>
      </c>
      <c r="P3148" s="12">
        <f t="shared" si="497"/>
        <v>0</v>
      </c>
      <c r="Q3148" s="17" t="str">
        <f t="shared" si="499"/>
        <v>Pas d'écart</v>
      </c>
    </row>
    <row r="3149" spans="1:18" x14ac:dyDescent="0.3">
      <c r="A3149" s="34" t="str">
        <f>base!J3149</f>
        <v>LM</v>
      </c>
      <c r="B3149" s="34" t="str">
        <f>base!V3149</f>
        <v>75014</v>
      </c>
      <c r="C3149" s="37">
        <v>75</v>
      </c>
      <c r="D3149" s="36">
        <f>base!H3149</f>
        <v>19.649999999999999</v>
      </c>
      <c r="E3149" s="44"/>
      <c r="F3149" s="16">
        <f>base!W3149</f>
        <v>0</v>
      </c>
      <c r="G3149" s="11">
        <f t="shared" si="490"/>
        <v>0</v>
      </c>
      <c r="H3149" s="11">
        <f t="shared" si="491"/>
        <v>0</v>
      </c>
      <c r="I3149" s="11">
        <f t="shared" si="492"/>
        <v>0</v>
      </c>
      <c r="J3149" s="12">
        <f t="shared" si="493"/>
        <v>0</v>
      </c>
      <c r="K3149" s="17" t="str">
        <f t="shared" si="498"/>
        <v>Pas d'écart</v>
      </c>
      <c r="L3149" s="16">
        <f>base!X3149</f>
        <v>0</v>
      </c>
      <c r="M3149" s="11">
        <f t="shared" si="494"/>
        <v>0</v>
      </c>
      <c r="N3149" s="11">
        <f t="shared" si="495"/>
        <v>0</v>
      </c>
      <c r="O3149" s="11">
        <f t="shared" si="496"/>
        <v>0</v>
      </c>
      <c r="P3149" s="12">
        <f t="shared" si="497"/>
        <v>0</v>
      </c>
      <c r="Q3149" s="17" t="str">
        <f t="shared" si="499"/>
        <v>Pas d'écart</v>
      </c>
    </row>
    <row r="3150" spans="1:18" x14ac:dyDescent="0.3">
      <c r="A3150" s="34" t="str">
        <f>base!J3150</f>
        <v>LS</v>
      </c>
      <c r="B3150" s="34" t="str">
        <f>base!V3150</f>
        <v>94150</v>
      </c>
      <c r="C3150" s="37">
        <v>94</v>
      </c>
      <c r="D3150" s="36">
        <f>base!H3150</f>
        <v>67.2</v>
      </c>
      <c r="E3150" s="44"/>
      <c r="F3150" s="16">
        <f>base!W3150</f>
        <v>0</v>
      </c>
      <c r="G3150" s="11">
        <f t="shared" si="490"/>
        <v>0</v>
      </c>
      <c r="H3150" s="11">
        <f t="shared" si="491"/>
        <v>0</v>
      </c>
      <c r="I3150" s="11">
        <f t="shared" si="492"/>
        <v>0</v>
      </c>
      <c r="J3150" s="12">
        <f t="shared" si="493"/>
        <v>0</v>
      </c>
      <c r="K3150" s="17" t="str">
        <f t="shared" si="498"/>
        <v>Pas d'écart</v>
      </c>
      <c r="L3150" s="16">
        <f>base!X3150</f>
        <v>0</v>
      </c>
      <c r="M3150" s="11">
        <f t="shared" si="494"/>
        <v>0</v>
      </c>
      <c r="N3150" s="11">
        <f t="shared" si="495"/>
        <v>0</v>
      </c>
      <c r="O3150" s="11">
        <f t="shared" si="496"/>
        <v>0</v>
      </c>
      <c r="P3150" s="12">
        <f t="shared" si="497"/>
        <v>0</v>
      </c>
      <c r="Q3150" s="17" t="str">
        <f t="shared" si="499"/>
        <v>Pas d'écart</v>
      </c>
    </row>
    <row r="3151" spans="1:18" x14ac:dyDescent="0.3">
      <c r="A3151" s="34">
        <f>base!J3151</f>
        <v>0</v>
      </c>
      <c r="B3151" s="34" t="str">
        <f>base!V3151</f>
        <v>77184</v>
      </c>
      <c r="C3151" s="37">
        <v>77</v>
      </c>
      <c r="D3151" s="36">
        <f>base!H3151</f>
        <v>140</v>
      </c>
      <c r="E3151" s="44"/>
      <c r="F3151" s="16">
        <f>base!W3151</f>
        <v>0</v>
      </c>
      <c r="G3151" s="11">
        <f t="shared" si="490"/>
        <v>0</v>
      </c>
      <c r="H3151" s="11">
        <f t="shared" si="491"/>
        <v>0</v>
      </c>
      <c r="I3151" s="11">
        <f t="shared" si="492"/>
        <v>0</v>
      </c>
      <c r="J3151" s="12">
        <f t="shared" si="493"/>
        <v>0</v>
      </c>
      <c r="K3151" s="17" t="str">
        <f t="shared" si="498"/>
        <v>Pas d'écart</v>
      </c>
      <c r="L3151" s="16">
        <f>base!X3151</f>
        <v>0</v>
      </c>
      <c r="M3151" s="11">
        <f t="shared" si="494"/>
        <v>0</v>
      </c>
      <c r="N3151" s="11">
        <f t="shared" si="495"/>
        <v>0</v>
      </c>
      <c r="O3151" s="11">
        <f t="shared" si="496"/>
        <v>0</v>
      </c>
      <c r="P3151" s="12">
        <f t="shared" si="497"/>
        <v>0</v>
      </c>
      <c r="Q3151" s="17" t="str">
        <f t="shared" si="499"/>
        <v>Pas d'écart</v>
      </c>
    </row>
    <row r="3152" spans="1:18" x14ac:dyDescent="0.3">
      <c r="A3152" s="34" t="str">
        <f>base!J3152</f>
        <v>RM</v>
      </c>
      <c r="B3152" s="34" t="str">
        <f>base!V3152</f>
        <v>01000</v>
      </c>
      <c r="C3152" s="37">
        <v>1</v>
      </c>
      <c r="D3152" s="36">
        <f>base!H3152</f>
        <v>171.33</v>
      </c>
      <c r="E3152" s="44"/>
      <c r="F3152" s="16">
        <f>base!W3152</f>
        <v>0</v>
      </c>
      <c r="G3152" s="11">
        <f t="shared" si="490"/>
        <v>0</v>
      </c>
      <c r="H3152" s="11">
        <f t="shared" si="491"/>
        <v>44.545800000000007</v>
      </c>
      <c r="I3152" s="11">
        <f t="shared" si="492"/>
        <v>0.26</v>
      </c>
      <c r="J3152" s="12">
        <f t="shared" si="493"/>
        <v>-44.545800000000007</v>
      </c>
      <c r="K3152" s="17" t="str">
        <f t="shared" si="498"/>
        <v>Ecart négatif</v>
      </c>
      <c r="L3152" s="16">
        <f>base!X3152</f>
        <v>0</v>
      </c>
      <c r="M3152" s="11">
        <f t="shared" si="494"/>
        <v>0</v>
      </c>
      <c r="N3152" s="11">
        <f t="shared" si="495"/>
        <v>0</v>
      </c>
      <c r="O3152" s="11">
        <f t="shared" si="496"/>
        <v>0</v>
      </c>
      <c r="P3152" s="12">
        <f t="shared" si="497"/>
        <v>0</v>
      </c>
      <c r="Q3152" s="17" t="str">
        <f t="shared" si="499"/>
        <v>Pas d'écart</v>
      </c>
    </row>
    <row r="3153" spans="1:18" x14ac:dyDescent="0.3">
      <c r="A3153" s="34" t="str">
        <f>base!J3153</f>
        <v>LM</v>
      </c>
      <c r="B3153" s="34" t="str">
        <f>base!V3153</f>
        <v>25110</v>
      </c>
      <c r="C3153" s="37">
        <v>10</v>
      </c>
      <c r="D3153" s="36">
        <f>base!H3153</f>
        <v>158.81</v>
      </c>
      <c r="E3153" s="44"/>
      <c r="F3153" s="16">
        <f>base!W3153</f>
        <v>38.11</v>
      </c>
      <c r="G3153" s="11">
        <f t="shared" si="490"/>
        <v>0.23997229393615011</v>
      </c>
      <c r="H3153" s="11">
        <f t="shared" si="491"/>
        <v>36.526299999999999</v>
      </c>
      <c r="I3153" s="11">
        <f t="shared" si="492"/>
        <v>0.22999999999999998</v>
      </c>
      <c r="J3153" s="12">
        <f t="shared" si="493"/>
        <v>1.5837000000000003</v>
      </c>
      <c r="K3153" s="17" t="str">
        <f t="shared" si="498"/>
        <v>Ecart positif</v>
      </c>
      <c r="L3153" s="16">
        <f>base!X3153</f>
        <v>0</v>
      </c>
      <c r="M3153" s="11">
        <f t="shared" si="494"/>
        <v>0</v>
      </c>
      <c r="N3153" s="11">
        <f t="shared" si="495"/>
        <v>19.057199999999998</v>
      </c>
      <c r="O3153" s="11">
        <f t="shared" si="496"/>
        <v>0.11999999999999998</v>
      </c>
      <c r="P3153" s="12">
        <f t="shared" si="497"/>
        <v>-19.057199999999998</v>
      </c>
      <c r="Q3153" s="17" t="str">
        <f t="shared" si="499"/>
        <v>Ecart négatif</v>
      </c>
    </row>
    <row r="3154" spans="1:18" x14ac:dyDescent="0.3">
      <c r="A3154" s="34" t="str">
        <f>base!J3154</f>
        <v>LM</v>
      </c>
      <c r="B3154" s="34" t="str">
        <f>base!V3154</f>
        <v>59120</v>
      </c>
      <c r="C3154" s="37">
        <v>28</v>
      </c>
      <c r="D3154" s="36">
        <f>base!H3154</f>
        <v>1.46</v>
      </c>
      <c r="E3154" s="44"/>
      <c r="F3154" s="16">
        <f>base!W3154</f>
        <v>0.28000000000000003</v>
      </c>
      <c r="G3154" s="11">
        <f t="shared" si="490"/>
        <v>0.19178082191780824</v>
      </c>
      <c r="H3154" s="11">
        <f t="shared" si="491"/>
        <v>0.29199999999999998</v>
      </c>
      <c r="I3154" s="11">
        <f t="shared" si="492"/>
        <v>0.19999999999999998</v>
      </c>
      <c r="J3154" s="12">
        <f t="shared" si="493"/>
        <v>-1.1999999999999955E-2</v>
      </c>
      <c r="K3154" s="17" t="str">
        <f t="shared" si="498"/>
        <v>Ecart négatif</v>
      </c>
      <c r="L3154" s="16">
        <f>base!X3154</f>
        <v>0</v>
      </c>
      <c r="M3154" s="11">
        <f t="shared" si="494"/>
        <v>0</v>
      </c>
      <c r="N3154" s="11">
        <f t="shared" si="495"/>
        <v>0.17519999999999999</v>
      </c>
      <c r="O3154" s="11">
        <f t="shared" si="496"/>
        <v>0.12</v>
      </c>
      <c r="P3154" s="12">
        <f t="shared" si="497"/>
        <v>-0.17519999999999999</v>
      </c>
      <c r="Q3154" s="17" t="str">
        <f t="shared" si="499"/>
        <v>Ecart négatif</v>
      </c>
    </row>
    <row r="3155" spans="1:18" x14ac:dyDescent="0.3">
      <c r="A3155" s="34" t="str">
        <f>base!J3155</f>
        <v>LM</v>
      </c>
      <c r="B3155" s="34" t="str">
        <f>base!V3155</f>
        <v>02570</v>
      </c>
      <c r="C3155" s="37">
        <v>28</v>
      </c>
      <c r="D3155" s="36">
        <f>base!H3155</f>
        <v>67.25</v>
      </c>
      <c r="E3155" s="44"/>
      <c r="F3155" s="16">
        <f>base!W3155</f>
        <v>12.78</v>
      </c>
      <c r="G3155" s="11">
        <f t="shared" si="490"/>
        <v>0.19003717472118958</v>
      </c>
      <c r="H3155" s="11">
        <f t="shared" si="491"/>
        <v>13.450000000000001</v>
      </c>
      <c r="I3155" s="11">
        <f t="shared" si="492"/>
        <v>0.2</v>
      </c>
      <c r="J3155" s="12">
        <f t="shared" si="493"/>
        <v>-0.67000000000000171</v>
      </c>
      <c r="K3155" s="17" t="str">
        <f t="shared" si="498"/>
        <v>Ecart négatif</v>
      </c>
      <c r="L3155" s="16">
        <f>base!X3155</f>
        <v>0</v>
      </c>
      <c r="M3155" s="11">
        <f t="shared" si="494"/>
        <v>0</v>
      </c>
      <c r="N3155" s="11">
        <f t="shared" si="495"/>
        <v>8.07</v>
      </c>
      <c r="O3155" s="11">
        <f t="shared" si="496"/>
        <v>0.12000000000000001</v>
      </c>
      <c r="P3155" s="12">
        <f t="shared" si="497"/>
        <v>-8.07</v>
      </c>
      <c r="Q3155" s="17" t="str">
        <f t="shared" si="499"/>
        <v>Ecart négatif</v>
      </c>
    </row>
    <row r="3156" spans="1:18" x14ac:dyDescent="0.3">
      <c r="A3156" s="34" t="str">
        <f>base!J3156</f>
        <v>LM</v>
      </c>
      <c r="B3156" s="34" t="str">
        <f>base!V3156</f>
        <v>02570</v>
      </c>
      <c r="C3156" s="37">
        <v>77</v>
      </c>
      <c r="D3156" s="36">
        <f>base!H3156</f>
        <v>67.25</v>
      </c>
      <c r="E3156" s="44"/>
      <c r="F3156" s="16">
        <f>base!W3156</f>
        <v>12.78</v>
      </c>
      <c r="G3156" s="11">
        <f t="shared" si="490"/>
        <v>0.19003717472118958</v>
      </c>
      <c r="H3156" s="11">
        <f t="shared" si="491"/>
        <v>0</v>
      </c>
      <c r="I3156" s="11">
        <f t="shared" si="492"/>
        <v>0</v>
      </c>
      <c r="J3156" s="12">
        <f t="shared" si="493"/>
        <v>12.78</v>
      </c>
      <c r="K3156" s="17" t="str">
        <f t="shared" si="498"/>
        <v>Ecart positif</v>
      </c>
      <c r="L3156" s="16">
        <f>base!X3156</f>
        <v>0</v>
      </c>
      <c r="M3156" s="11">
        <f t="shared" si="494"/>
        <v>0</v>
      </c>
      <c r="N3156" s="11">
        <f t="shared" si="495"/>
        <v>0</v>
      </c>
      <c r="O3156" s="11">
        <f t="shared" si="496"/>
        <v>0</v>
      </c>
      <c r="P3156" s="12">
        <f t="shared" si="497"/>
        <v>0</v>
      </c>
      <c r="Q3156" s="17" t="str">
        <f t="shared" si="499"/>
        <v>Pas d'écart</v>
      </c>
    </row>
    <row r="3157" spans="1:18" x14ac:dyDescent="0.3">
      <c r="A3157" s="34" t="str">
        <f>base!J3157</f>
        <v>LS</v>
      </c>
      <c r="B3157" s="34" t="str">
        <f>base!V3157</f>
        <v>92230</v>
      </c>
      <c r="C3157" s="37">
        <v>92</v>
      </c>
      <c r="D3157" s="36">
        <f>base!H3157</f>
        <v>155.69</v>
      </c>
      <c r="E3157" s="44"/>
      <c r="F3157" s="16">
        <f>base!W3157</f>
        <v>0</v>
      </c>
      <c r="G3157" s="11">
        <f t="shared" si="490"/>
        <v>0</v>
      </c>
      <c r="H3157" s="11">
        <f t="shared" si="491"/>
        <v>0</v>
      </c>
      <c r="I3157" s="11">
        <f t="shared" si="492"/>
        <v>0</v>
      </c>
      <c r="J3157" s="12">
        <f t="shared" si="493"/>
        <v>0</v>
      </c>
      <c r="K3157" s="17" t="str">
        <f t="shared" si="498"/>
        <v>Pas d'écart</v>
      </c>
      <c r="L3157" s="16">
        <f>base!X3157</f>
        <v>0</v>
      </c>
      <c r="M3157" s="11">
        <f t="shared" si="494"/>
        <v>0</v>
      </c>
      <c r="N3157" s="11">
        <f t="shared" si="495"/>
        <v>0</v>
      </c>
      <c r="O3157" s="11">
        <f t="shared" si="496"/>
        <v>0</v>
      </c>
      <c r="P3157" s="12">
        <f t="shared" si="497"/>
        <v>0</v>
      </c>
      <c r="Q3157" s="17" t="str">
        <f t="shared" si="499"/>
        <v>Pas d'écart</v>
      </c>
    </row>
    <row r="3158" spans="1:18" x14ac:dyDescent="0.3">
      <c r="A3158" s="34">
        <f>base!J3158</f>
        <v>0</v>
      </c>
      <c r="B3158" s="34" t="str">
        <f>base!V3158</f>
        <v>77184</v>
      </c>
      <c r="C3158" s="37">
        <v>77</v>
      </c>
      <c r="D3158" s="36">
        <f>base!H3158</f>
        <v>31</v>
      </c>
      <c r="E3158" s="44"/>
      <c r="F3158" s="16">
        <f>base!W3158</f>
        <v>0</v>
      </c>
      <c r="G3158" s="11">
        <f t="shared" si="490"/>
        <v>0</v>
      </c>
      <c r="H3158" s="11">
        <f t="shared" si="491"/>
        <v>0</v>
      </c>
      <c r="I3158" s="11">
        <f t="shared" si="492"/>
        <v>0</v>
      </c>
      <c r="J3158" s="12">
        <f t="shared" si="493"/>
        <v>0</v>
      </c>
      <c r="K3158" s="17" t="str">
        <f t="shared" si="498"/>
        <v>Pas d'écart</v>
      </c>
      <c r="L3158" s="16">
        <f>base!X3158</f>
        <v>0</v>
      </c>
      <c r="M3158" s="11">
        <f t="shared" si="494"/>
        <v>0</v>
      </c>
      <c r="N3158" s="11">
        <f t="shared" si="495"/>
        <v>0</v>
      </c>
      <c r="O3158" s="11">
        <f t="shared" si="496"/>
        <v>0</v>
      </c>
      <c r="P3158" s="12">
        <f t="shared" si="497"/>
        <v>0</v>
      </c>
      <c r="Q3158" s="17" t="str">
        <f t="shared" si="499"/>
        <v>Pas d'écart</v>
      </c>
    </row>
    <row r="3159" spans="1:18" x14ac:dyDescent="0.3">
      <c r="A3159" s="34" t="str">
        <f>base!J3159</f>
        <v>RM</v>
      </c>
      <c r="B3159" s="34" t="str">
        <f>base!V3159</f>
        <v>77160</v>
      </c>
      <c r="C3159" s="37">
        <v>77</v>
      </c>
      <c r="D3159" s="36">
        <f>base!H3159</f>
        <v>70.36</v>
      </c>
      <c r="E3159" s="44"/>
      <c r="F3159" s="16">
        <f>base!W3159</f>
        <v>0</v>
      </c>
      <c r="G3159" s="11">
        <f t="shared" si="490"/>
        <v>0</v>
      </c>
      <c r="H3159" s="11">
        <f t="shared" si="491"/>
        <v>0</v>
      </c>
      <c r="I3159" s="11">
        <f t="shared" si="492"/>
        <v>0</v>
      </c>
      <c r="J3159" s="12">
        <f t="shared" si="493"/>
        <v>0</v>
      </c>
      <c r="K3159" s="17" t="str">
        <f t="shared" si="498"/>
        <v>Pas d'écart</v>
      </c>
      <c r="L3159" s="16">
        <f>base!X3159</f>
        <v>0</v>
      </c>
      <c r="M3159" s="11">
        <f t="shared" si="494"/>
        <v>0</v>
      </c>
      <c r="N3159" s="11">
        <f t="shared" si="495"/>
        <v>0</v>
      </c>
      <c r="O3159" s="11">
        <f t="shared" si="496"/>
        <v>0</v>
      </c>
      <c r="P3159" s="12">
        <f t="shared" si="497"/>
        <v>0</v>
      </c>
      <c r="Q3159" s="17" t="str">
        <f t="shared" si="499"/>
        <v>Pas d'écart</v>
      </c>
    </row>
    <row r="3160" spans="1:18" x14ac:dyDescent="0.3">
      <c r="A3160" s="34" t="str">
        <f>base!J3160</f>
        <v>RS</v>
      </c>
      <c r="B3160" s="34" t="str">
        <f>base!V3160</f>
        <v>69100</v>
      </c>
      <c r="C3160" s="37">
        <v>69</v>
      </c>
      <c r="D3160" s="36">
        <f>base!H3160</f>
        <v>180</v>
      </c>
      <c r="E3160" s="44"/>
      <c r="F3160" s="16">
        <f>base!W3160</f>
        <v>0</v>
      </c>
      <c r="G3160" s="11">
        <f t="shared" si="490"/>
        <v>0</v>
      </c>
      <c r="H3160" s="11">
        <f t="shared" si="491"/>
        <v>48.6</v>
      </c>
      <c r="I3160" s="11">
        <f t="shared" si="492"/>
        <v>0.27</v>
      </c>
      <c r="J3160" s="12">
        <f t="shared" si="493"/>
        <v>-48.6</v>
      </c>
      <c r="K3160" s="17" t="str">
        <f t="shared" si="498"/>
        <v>Ecart négatif</v>
      </c>
      <c r="L3160" s="16">
        <f>base!X3160</f>
        <v>0</v>
      </c>
      <c r="M3160" s="11">
        <f t="shared" si="494"/>
        <v>0</v>
      </c>
      <c r="N3160" s="11">
        <f t="shared" si="495"/>
        <v>0</v>
      </c>
      <c r="O3160" s="11">
        <f t="shared" si="496"/>
        <v>0</v>
      </c>
      <c r="P3160" s="12">
        <f t="shared" si="497"/>
        <v>0</v>
      </c>
      <c r="Q3160" s="17" t="str">
        <f t="shared" si="499"/>
        <v>Pas d'écart</v>
      </c>
    </row>
    <row r="3161" spans="1:18" x14ac:dyDescent="0.3">
      <c r="A3161" s="34" t="str">
        <f>base!J3161</f>
        <v>RS</v>
      </c>
      <c r="B3161" s="34" t="str">
        <f>base!V3161</f>
        <v>67920</v>
      </c>
      <c r="C3161" s="37">
        <v>67</v>
      </c>
      <c r="D3161" s="36">
        <f>base!H3161</f>
        <v>183.98</v>
      </c>
      <c r="E3161" s="44"/>
      <c r="F3161" s="16">
        <f>base!W3161</f>
        <v>0</v>
      </c>
      <c r="G3161" s="11">
        <f t="shared" si="490"/>
        <v>0</v>
      </c>
      <c r="H3161" s="11">
        <f t="shared" si="491"/>
        <v>53.354199999999992</v>
      </c>
      <c r="I3161" s="11">
        <f t="shared" si="492"/>
        <v>0.28999999999999998</v>
      </c>
      <c r="J3161" s="12">
        <f t="shared" si="493"/>
        <v>-53.354199999999992</v>
      </c>
      <c r="K3161" s="17" t="str">
        <f t="shared" si="498"/>
        <v>Ecart négatif</v>
      </c>
      <c r="L3161" s="16">
        <f>base!X3161</f>
        <v>14.72</v>
      </c>
      <c r="M3161" s="11">
        <f t="shared" si="494"/>
        <v>8.0008696597456255E-2</v>
      </c>
      <c r="N3161" s="11">
        <f t="shared" si="495"/>
        <v>14.718399999999999</v>
      </c>
      <c r="O3161" s="11">
        <f t="shared" si="496"/>
        <v>0.08</v>
      </c>
      <c r="P3161" s="12">
        <f t="shared" si="497"/>
        <v>1.6000000000016001E-3</v>
      </c>
      <c r="Q3161" s="17" t="str">
        <f t="shared" si="499"/>
        <v>Ecart positif</v>
      </c>
      <c r="R3161" s="38"/>
    </row>
    <row r="3162" spans="1:18" x14ac:dyDescent="0.3">
      <c r="A3162" s="34" t="str">
        <f>base!J3162</f>
        <v>LM</v>
      </c>
      <c r="B3162" s="34" t="str">
        <f>base!V3162</f>
        <v>95240</v>
      </c>
      <c r="C3162" s="37">
        <v>95</v>
      </c>
      <c r="D3162" s="36">
        <f>base!H3162</f>
        <v>141.65</v>
      </c>
      <c r="E3162" s="44"/>
      <c r="F3162" s="16">
        <f>base!W3162</f>
        <v>0</v>
      </c>
      <c r="G3162" s="11">
        <f t="shared" si="490"/>
        <v>0</v>
      </c>
      <c r="H3162" s="11">
        <f t="shared" si="491"/>
        <v>0</v>
      </c>
      <c r="I3162" s="11">
        <f t="shared" si="492"/>
        <v>0</v>
      </c>
      <c r="J3162" s="12">
        <f t="shared" si="493"/>
        <v>0</v>
      </c>
      <c r="K3162" s="17" t="str">
        <f t="shared" si="498"/>
        <v>Pas d'écart</v>
      </c>
      <c r="L3162" s="16">
        <f>base!X3162</f>
        <v>0</v>
      </c>
      <c r="M3162" s="11">
        <f t="shared" si="494"/>
        <v>0</v>
      </c>
      <c r="N3162" s="11">
        <f t="shared" si="495"/>
        <v>0</v>
      </c>
      <c r="O3162" s="11">
        <f t="shared" si="496"/>
        <v>0</v>
      </c>
      <c r="P3162" s="12">
        <f t="shared" si="497"/>
        <v>0</v>
      </c>
      <c r="Q3162" s="17" t="str">
        <f t="shared" si="499"/>
        <v>Pas d'écart</v>
      </c>
    </row>
    <row r="3163" spans="1:18" x14ac:dyDescent="0.3">
      <c r="A3163" s="34" t="str">
        <f>base!J3163</f>
        <v>LS</v>
      </c>
      <c r="B3163" s="34" t="str">
        <f>base!V3163</f>
        <v>75008</v>
      </c>
      <c r="C3163" s="37">
        <v>75</v>
      </c>
      <c r="D3163" s="36">
        <f>base!H3163</f>
        <v>173.25</v>
      </c>
      <c r="E3163" s="44"/>
      <c r="F3163" s="16">
        <f>base!W3163</f>
        <v>0</v>
      </c>
      <c r="G3163" s="11">
        <f t="shared" si="490"/>
        <v>0</v>
      </c>
      <c r="H3163" s="11">
        <f t="shared" si="491"/>
        <v>0</v>
      </c>
      <c r="I3163" s="11">
        <f t="shared" si="492"/>
        <v>0</v>
      </c>
      <c r="J3163" s="12">
        <f t="shared" si="493"/>
        <v>0</v>
      </c>
      <c r="K3163" s="17" t="str">
        <f t="shared" si="498"/>
        <v>Pas d'écart</v>
      </c>
      <c r="L3163" s="16">
        <f>base!X3163</f>
        <v>0</v>
      </c>
      <c r="M3163" s="11">
        <f t="shared" si="494"/>
        <v>0</v>
      </c>
      <c r="N3163" s="11">
        <f t="shared" si="495"/>
        <v>0</v>
      </c>
      <c r="O3163" s="11">
        <f t="shared" si="496"/>
        <v>0</v>
      </c>
      <c r="P3163" s="12">
        <f t="shared" si="497"/>
        <v>0</v>
      </c>
      <c r="Q3163" s="17" t="str">
        <f t="shared" si="499"/>
        <v>Pas d'écart</v>
      </c>
    </row>
    <row r="3164" spans="1:18" x14ac:dyDescent="0.3">
      <c r="A3164" s="34" t="str">
        <f>base!J3164</f>
        <v>LM</v>
      </c>
      <c r="B3164" s="34" t="str">
        <f>base!V3164</f>
        <v>06560</v>
      </c>
      <c r="C3164" s="37">
        <v>35</v>
      </c>
      <c r="D3164" s="36">
        <f>base!H3164</f>
        <v>19.89</v>
      </c>
      <c r="E3164" s="44"/>
      <c r="F3164" s="16">
        <f>base!W3164</f>
        <v>5.97</v>
      </c>
      <c r="G3164" s="11">
        <f t="shared" si="490"/>
        <v>0.30015082956259426</v>
      </c>
      <c r="H3164" s="11">
        <f t="shared" si="491"/>
        <v>5.3703000000000003</v>
      </c>
      <c r="I3164" s="11">
        <f t="shared" si="492"/>
        <v>0.27</v>
      </c>
      <c r="J3164" s="12">
        <f t="shared" si="493"/>
        <v>0.59969999999999946</v>
      </c>
      <c r="K3164" s="17" t="str">
        <f t="shared" si="498"/>
        <v>Ecart positif</v>
      </c>
      <c r="L3164" s="16">
        <f>base!X3164</f>
        <v>0</v>
      </c>
      <c r="M3164" s="11">
        <f t="shared" si="494"/>
        <v>0</v>
      </c>
      <c r="N3164" s="11">
        <f t="shared" si="495"/>
        <v>0</v>
      </c>
      <c r="O3164" s="11">
        <f t="shared" si="496"/>
        <v>0</v>
      </c>
      <c r="P3164" s="12">
        <f t="shared" si="497"/>
        <v>0</v>
      </c>
      <c r="Q3164" s="17" t="str">
        <f t="shared" si="499"/>
        <v>Pas d'écart</v>
      </c>
    </row>
    <row r="3165" spans="1:18" x14ac:dyDescent="0.3">
      <c r="A3165" s="34" t="str">
        <f>base!J3165</f>
        <v>LS</v>
      </c>
      <c r="B3165" s="34" t="str">
        <f>base!V3165</f>
        <v>84130</v>
      </c>
      <c r="C3165" s="37">
        <v>69</v>
      </c>
      <c r="D3165" s="36">
        <f>base!H3165</f>
        <v>77.09</v>
      </c>
      <c r="E3165" s="44"/>
      <c r="F3165" s="16">
        <f>base!W3165</f>
        <v>22.36</v>
      </c>
      <c r="G3165" s="11">
        <f t="shared" si="490"/>
        <v>0.29005059021922425</v>
      </c>
      <c r="H3165" s="11">
        <f t="shared" si="491"/>
        <v>20.814300000000003</v>
      </c>
      <c r="I3165" s="11">
        <f t="shared" si="492"/>
        <v>0.27</v>
      </c>
      <c r="J3165" s="12">
        <f t="shared" si="493"/>
        <v>1.5456999999999965</v>
      </c>
      <c r="K3165" s="17" t="str">
        <f t="shared" si="498"/>
        <v>Ecart positif</v>
      </c>
      <c r="L3165" s="16">
        <f>base!X3165</f>
        <v>0</v>
      </c>
      <c r="M3165" s="11">
        <f t="shared" si="494"/>
        <v>0</v>
      </c>
      <c r="N3165" s="11">
        <f t="shared" si="495"/>
        <v>0</v>
      </c>
      <c r="O3165" s="11">
        <f t="shared" si="496"/>
        <v>0</v>
      </c>
      <c r="P3165" s="12">
        <f t="shared" si="497"/>
        <v>0</v>
      </c>
      <c r="Q3165" s="17" t="str">
        <f t="shared" si="499"/>
        <v>Pas d'écart</v>
      </c>
    </row>
    <row r="3166" spans="1:18" x14ac:dyDescent="0.3">
      <c r="A3166" s="34" t="str">
        <f>base!J3166</f>
        <v>LS</v>
      </c>
      <c r="B3166" s="34" t="str">
        <f>base!V3166</f>
        <v>02000</v>
      </c>
      <c r="C3166" s="37">
        <v>56</v>
      </c>
      <c r="D3166" s="36">
        <f>base!H3166</f>
        <v>82.33</v>
      </c>
      <c r="E3166" s="44"/>
      <c r="F3166" s="16">
        <f>base!W3166</f>
        <v>15.64</v>
      </c>
      <c r="G3166" s="11">
        <f t="shared" si="490"/>
        <v>0.18996720515000609</v>
      </c>
      <c r="H3166" s="11">
        <f t="shared" si="491"/>
        <v>22.229100000000003</v>
      </c>
      <c r="I3166" s="11">
        <f t="shared" si="492"/>
        <v>0.27</v>
      </c>
      <c r="J3166" s="12">
        <f t="shared" si="493"/>
        <v>-6.589100000000002</v>
      </c>
      <c r="K3166" s="17" t="str">
        <f t="shared" si="498"/>
        <v>Ecart négatif</v>
      </c>
      <c r="L3166" s="16">
        <f>base!X3166</f>
        <v>0</v>
      </c>
      <c r="M3166" s="11">
        <f t="shared" si="494"/>
        <v>0</v>
      </c>
      <c r="N3166" s="11">
        <f t="shared" si="495"/>
        <v>0</v>
      </c>
      <c r="O3166" s="11">
        <f t="shared" si="496"/>
        <v>0</v>
      </c>
      <c r="P3166" s="12">
        <f t="shared" si="497"/>
        <v>0</v>
      </c>
      <c r="Q3166" s="17" t="str">
        <f t="shared" si="499"/>
        <v>Pas d'écart</v>
      </c>
    </row>
    <row r="3167" spans="1:18" x14ac:dyDescent="0.3">
      <c r="A3167" s="34" t="str">
        <f>base!J3167</f>
        <v>LM</v>
      </c>
      <c r="B3167" s="34" t="str">
        <f>base!V3167</f>
        <v>14500</v>
      </c>
      <c r="C3167" s="37">
        <v>69</v>
      </c>
      <c r="D3167" s="36">
        <f>base!H3167</f>
        <v>55.14</v>
      </c>
      <c r="E3167" s="44"/>
      <c r="F3167" s="16">
        <f>base!W3167</f>
        <v>9.3699999999999992</v>
      </c>
      <c r="G3167" s="11">
        <f t="shared" si="490"/>
        <v>0.16993108451215086</v>
      </c>
      <c r="H3167" s="11">
        <f t="shared" si="491"/>
        <v>14.8878</v>
      </c>
      <c r="I3167" s="11">
        <f t="shared" si="492"/>
        <v>0.27</v>
      </c>
      <c r="J3167" s="12">
        <f t="shared" si="493"/>
        <v>-5.5178000000000011</v>
      </c>
      <c r="K3167" s="17" t="str">
        <f t="shared" si="498"/>
        <v>Ecart négatif</v>
      </c>
      <c r="L3167" s="16">
        <f>base!X3167</f>
        <v>0</v>
      </c>
      <c r="M3167" s="11">
        <f t="shared" si="494"/>
        <v>0</v>
      </c>
      <c r="N3167" s="11">
        <f t="shared" si="495"/>
        <v>0</v>
      </c>
      <c r="O3167" s="11">
        <f t="shared" si="496"/>
        <v>0</v>
      </c>
      <c r="P3167" s="12">
        <f t="shared" si="497"/>
        <v>0</v>
      </c>
      <c r="Q3167" s="17" t="str">
        <f t="shared" si="499"/>
        <v>Pas d'écart</v>
      </c>
    </row>
    <row r="3168" spans="1:18" x14ac:dyDescent="0.3">
      <c r="A3168" s="34" t="str">
        <f>base!J3168</f>
        <v>LM</v>
      </c>
      <c r="B3168" s="34" t="str">
        <f>base!V3168</f>
        <v>77183</v>
      </c>
      <c r="C3168" s="37">
        <v>77</v>
      </c>
      <c r="D3168" s="36">
        <f>base!H3168</f>
        <v>60</v>
      </c>
      <c r="E3168" s="44"/>
      <c r="F3168" s="16">
        <f>base!W3168</f>
        <v>0</v>
      </c>
      <c r="G3168" s="11">
        <f t="shared" si="490"/>
        <v>0</v>
      </c>
      <c r="H3168" s="11">
        <f t="shared" si="491"/>
        <v>0</v>
      </c>
      <c r="I3168" s="11">
        <f t="shared" si="492"/>
        <v>0</v>
      </c>
      <c r="J3168" s="12">
        <f t="shared" si="493"/>
        <v>0</v>
      </c>
      <c r="K3168" s="17" t="str">
        <f t="shared" si="498"/>
        <v>Pas d'écart</v>
      </c>
      <c r="L3168" s="16">
        <f>base!X3168</f>
        <v>0</v>
      </c>
      <c r="M3168" s="11">
        <f t="shared" si="494"/>
        <v>0</v>
      </c>
      <c r="N3168" s="11">
        <f t="shared" si="495"/>
        <v>0</v>
      </c>
      <c r="O3168" s="11">
        <f t="shared" si="496"/>
        <v>0</v>
      </c>
      <c r="P3168" s="12">
        <f t="shared" si="497"/>
        <v>0</v>
      </c>
      <c r="Q3168" s="17" t="str">
        <f t="shared" si="499"/>
        <v>Pas d'écart</v>
      </c>
    </row>
    <row r="3169" spans="1:18" x14ac:dyDescent="0.3">
      <c r="A3169" s="34" t="str">
        <f>base!J3169</f>
        <v>RM</v>
      </c>
      <c r="B3169" s="34" t="str">
        <f>base!V3169</f>
        <v>68520</v>
      </c>
      <c r="C3169" s="37">
        <v>68</v>
      </c>
      <c r="D3169" s="36">
        <f>base!H3169</f>
        <v>171.25</v>
      </c>
      <c r="E3169" s="44"/>
      <c r="F3169" s="16">
        <f>base!W3169</f>
        <v>0</v>
      </c>
      <c r="G3169" s="11">
        <f t="shared" si="490"/>
        <v>0</v>
      </c>
      <c r="H3169" s="11">
        <f t="shared" si="491"/>
        <v>49.662499999999994</v>
      </c>
      <c r="I3169" s="11">
        <f t="shared" si="492"/>
        <v>0.28999999999999998</v>
      </c>
      <c r="J3169" s="12">
        <f t="shared" si="493"/>
        <v>-49.662499999999994</v>
      </c>
      <c r="K3169" s="17" t="str">
        <f t="shared" si="498"/>
        <v>Ecart négatif</v>
      </c>
      <c r="L3169" s="16">
        <f>base!X3169</f>
        <v>13.7</v>
      </c>
      <c r="M3169" s="11">
        <f t="shared" si="494"/>
        <v>0.08</v>
      </c>
      <c r="N3169" s="11">
        <f t="shared" si="495"/>
        <v>13.700000000000001</v>
      </c>
      <c r="O3169" s="11">
        <f t="shared" si="496"/>
        <v>0.08</v>
      </c>
      <c r="P3169" s="12">
        <f t="shared" si="497"/>
        <v>0</v>
      </c>
      <c r="Q3169" s="17" t="str">
        <f t="shared" si="499"/>
        <v>Pas d'écart</v>
      </c>
      <c r="R3169" s="38"/>
    </row>
    <row r="3170" spans="1:18" x14ac:dyDescent="0.3">
      <c r="A3170" s="34" t="str">
        <f>base!J3170</f>
        <v>LM</v>
      </c>
      <c r="B3170" s="34" t="str">
        <f>base!V3170</f>
        <v>13790</v>
      </c>
      <c r="C3170" s="37">
        <v>1</v>
      </c>
      <c r="D3170" s="36">
        <f>base!H3170</f>
        <v>107.72</v>
      </c>
      <c r="E3170" s="44"/>
      <c r="F3170" s="16">
        <f>base!W3170</f>
        <v>31.24</v>
      </c>
      <c r="G3170" s="11">
        <f t="shared" si="490"/>
        <v>0.29001113999257333</v>
      </c>
      <c r="H3170" s="11">
        <f t="shared" si="491"/>
        <v>28.007200000000001</v>
      </c>
      <c r="I3170" s="11">
        <f t="shared" si="492"/>
        <v>0.26</v>
      </c>
      <c r="J3170" s="12">
        <f t="shared" si="493"/>
        <v>3.2327999999999975</v>
      </c>
      <c r="K3170" s="17" t="str">
        <f t="shared" si="498"/>
        <v>Ecart positif</v>
      </c>
      <c r="L3170" s="16">
        <f>base!X3170</f>
        <v>0</v>
      </c>
      <c r="M3170" s="11">
        <f t="shared" si="494"/>
        <v>0</v>
      </c>
      <c r="N3170" s="11">
        <f t="shared" si="495"/>
        <v>0</v>
      </c>
      <c r="O3170" s="11">
        <f t="shared" si="496"/>
        <v>0</v>
      </c>
      <c r="P3170" s="12">
        <f t="shared" si="497"/>
        <v>0</v>
      </c>
      <c r="Q3170" s="17" t="str">
        <f t="shared" si="499"/>
        <v>Pas d'écart</v>
      </c>
    </row>
    <row r="3171" spans="1:18" x14ac:dyDescent="0.3">
      <c r="A3171" s="34" t="str">
        <f>base!J3171</f>
        <v>LS</v>
      </c>
      <c r="B3171" s="34" t="str">
        <f>base!V3171</f>
        <v>67400</v>
      </c>
      <c r="C3171" s="37">
        <v>12</v>
      </c>
      <c r="D3171" s="36">
        <f>base!H3171</f>
        <v>69.34</v>
      </c>
      <c r="E3171" s="44"/>
      <c r="F3171" s="16">
        <f>base!W3171</f>
        <v>20.11</v>
      </c>
      <c r="G3171" s="11">
        <f t="shared" si="490"/>
        <v>0.29002019036631088</v>
      </c>
      <c r="H3171" s="11">
        <f t="shared" si="491"/>
        <v>15.254800000000001</v>
      </c>
      <c r="I3171" s="11">
        <f t="shared" si="492"/>
        <v>0.22</v>
      </c>
      <c r="J3171" s="12">
        <f t="shared" si="493"/>
        <v>4.8551999999999982</v>
      </c>
      <c r="K3171" s="17" t="str">
        <f t="shared" si="498"/>
        <v>Ecart positif</v>
      </c>
      <c r="L3171" s="16">
        <f>base!X3171</f>
        <v>0</v>
      </c>
      <c r="M3171" s="11">
        <f t="shared" si="494"/>
        <v>0</v>
      </c>
      <c r="N3171" s="11">
        <f t="shared" si="495"/>
        <v>18.028400000000001</v>
      </c>
      <c r="O3171" s="11">
        <f t="shared" si="496"/>
        <v>0.26</v>
      </c>
      <c r="P3171" s="12">
        <f t="shared" si="497"/>
        <v>-18.028400000000001</v>
      </c>
      <c r="Q3171" s="17" t="str">
        <f t="shared" si="499"/>
        <v>Ecart négatif</v>
      </c>
    </row>
    <row r="3172" spans="1:18" x14ac:dyDescent="0.3">
      <c r="A3172" s="34" t="str">
        <f>base!J3172</f>
        <v>LM</v>
      </c>
      <c r="B3172" s="34" t="str">
        <f>base!V3172</f>
        <v>89100</v>
      </c>
      <c r="C3172" s="37">
        <v>55</v>
      </c>
      <c r="D3172" s="36">
        <f>base!H3172</f>
        <v>18.350000000000001</v>
      </c>
      <c r="E3172" s="44"/>
      <c r="F3172" s="16">
        <f>base!W3172</f>
        <v>4.4000000000000004</v>
      </c>
      <c r="G3172" s="11">
        <f t="shared" si="490"/>
        <v>0.23978201634877383</v>
      </c>
      <c r="H3172" s="11">
        <f t="shared" si="491"/>
        <v>4.5875000000000004</v>
      </c>
      <c r="I3172" s="11">
        <f t="shared" si="492"/>
        <v>0.25</v>
      </c>
      <c r="J3172" s="12">
        <f t="shared" si="493"/>
        <v>-0.1875</v>
      </c>
      <c r="K3172" s="17" t="str">
        <f t="shared" si="498"/>
        <v>Ecart négatif</v>
      </c>
      <c r="L3172" s="16">
        <f>base!X3172</f>
        <v>0</v>
      </c>
      <c r="M3172" s="11">
        <f t="shared" si="494"/>
        <v>0</v>
      </c>
      <c r="N3172" s="11">
        <f t="shared" si="495"/>
        <v>4.5875000000000004</v>
      </c>
      <c r="O3172" s="11">
        <f t="shared" si="496"/>
        <v>0.25</v>
      </c>
      <c r="P3172" s="12">
        <f t="shared" si="497"/>
        <v>-4.5875000000000004</v>
      </c>
      <c r="Q3172" s="17" t="str">
        <f t="shared" si="499"/>
        <v>Ecart négatif</v>
      </c>
    </row>
    <row r="3173" spans="1:18" x14ac:dyDescent="0.3">
      <c r="A3173" s="34" t="str">
        <f>base!J3173</f>
        <v>LM</v>
      </c>
      <c r="B3173" s="34" t="str">
        <f>base!V3173</f>
        <v>16270</v>
      </c>
      <c r="C3173" s="37">
        <v>69</v>
      </c>
      <c r="D3173" s="36">
        <f>base!H3173</f>
        <v>130.19999999999999</v>
      </c>
      <c r="E3173" s="44"/>
      <c r="F3173" s="16">
        <f>base!W3173</f>
        <v>27.34</v>
      </c>
      <c r="G3173" s="11">
        <f t="shared" si="490"/>
        <v>0.2099846390168971</v>
      </c>
      <c r="H3173" s="11">
        <f t="shared" si="491"/>
        <v>35.153999999999996</v>
      </c>
      <c r="I3173" s="11">
        <f t="shared" si="492"/>
        <v>0.27</v>
      </c>
      <c r="J3173" s="12">
        <f t="shared" si="493"/>
        <v>-7.8139999999999965</v>
      </c>
      <c r="K3173" s="17" t="str">
        <f t="shared" si="498"/>
        <v>Ecart négatif</v>
      </c>
      <c r="L3173" s="16">
        <f>base!X3173</f>
        <v>0</v>
      </c>
      <c r="M3173" s="11">
        <f t="shared" si="494"/>
        <v>0</v>
      </c>
      <c r="N3173" s="11">
        <f t="shared" si="495"/>
        <v>0</v>
      </c>
      <c r="O3173" s="11">
        <f t="shared" si="496"/>
        <v>0</v>
      </c>
      <c r="P3173" s="12">
        <f t="shared" si="497"/>
        <v>0</v>
      </c>
      <c r="Q3173" s="17" t="str">
        <f t="shared" si="499"/>
        <v>Pas d'écart</v>
      </c>
    </row>
    <row r="3174" spans="1:18" x14ac:dyDescent="0.3">
      <c r="A3174" s="34" t="str">
        <f>base!J3174</f>
        <v>LS</v>
      </c>
      <c r="B3174" s="34" t="str">
        <f>base!V3174</f>
        <v>38000</v>
      </c>
      <c r="C3174" s="37">
        <v>57</v>
      </c>
      <c r="D3174" s="36">
        <f>base!H3174</f>
        <v>55.21</v>
      </c>
      <c r="E3174" s="44"/>
      <c r="F3174" s="16">
        <f>base!W3174</f>
        <v>14.91</v>
      </c>
      <c r="G3174" s="11">
        <f t="shared" si="490"/>
        <v>0.27005977178047452</v>
      </c>
      <c r="H3174" s="11">
        <f t="shared" si="491"/>
        <v>13.250399999999999</v>
      </c>
      <c r="I3174" s="11">
        <f t="shared" si="492"/>
        <v>0.24</v>
      </c>
      <c r="J3174" s="12">
        <f t="shared" si="493"/>
        <v>1.6596000000000011</v>
      </c>
      <c r="K3174" s="17" t="str">
        <f t="shared" si="498"/>
        <v>Ecart positif</v>
      </c>
      <c r="L3174" s="16">
        <f>base!X3174</f>
        <v>0</v>
      </c>
      <c r="M3174" s="11">
        <f t="shared" si="494"/>
        <v>0</v>
      </c>
      <c r="N3174" s="11">
        <f t="shared" si="495"/>
        <v>13.8025</v>
      </c>
      <c r="O3174" s="11">
        <f t="shared" si="496"/>
        <v>0.25</v>
      </c>
      <c r="P3174" s="12">
        <f t="shared" si="497"/>
        <v>-13.8025</v>
      </c>
      <c r="Q3174" s="17" t="str">
        <f t="shared" si="499"/>
        <v>Ecart négatif</v>
      </c>
    </row>
    <row r="3175" spans="1:18" x14ac:dyDescent="0.3">
      <c r="A3175" s="34" t="str">
        <f>base!J3175</f>
        <v>LS</v>
      </c>
      <c r="B3175" s="34" t="str">
        <f>base!V3175</f>
        <v>67000</v>
      </c>
      <c r="C3175" s="37">
        <v>57</v>
      </c>
      <c r="D3175" s="36">
        <f>base!H3175</f>
        <v>3.45</v>
      </c>
      <c r="E3175" s="44"/>
      <c r="F3175" s="16">
        <f>base!W3175</f>
        <v>1.01</v>
      </c>
      <c r="G3175" s="11">
        <f t="shared" si="490"/>
        <v>0.29275362318840581</v>
      </c>
      <c r="H3175" s="11">
        <f t="shared" si="491"/>
        <v>0.82799999999999996</v>
      </c>
      <c r="I3175" s="11">
        <f t="shared" si="492"/>
        <v>0.23999999999999996</v>
      </c>
      <c r="J3175" s="12">
        <f t="shared" si="493"/>
        <v>0.18200000000000005</v>
      </c>
      <c r="K3175" s="17" t="str">
        <f t="shared" si="498"/>
        <v>Ecart positif</v>
      </c>
      <c r="L3175" s="16">
        <f>base!X3175</f>
        <v>0</v>
      </c>
      <c r="M3175" s="11">
        <f t="shared" si="494"/>
        <v>0</v>
      </c>
      <c r="N3175" s="11">
        <f t="shared" si="495"/>
        <v>0.86250000000000004</v>
      </c>
      <c r="O3175" s="11">
        <f t="shared" si="496"/>
        <v>0.25</v>
      </c>
      <c r="P3175" s="12">
        <f t="shared" si="497"/>
        <v>-0.86250000000000004</v>
      </c>
      <c r="Q3175" s="17" t="str">
        <f t="shared" si="499"/>
        <v>Ecart négatif</v>
      </c>
    </row>
    <row r="3176" spans="1:18" x14ac:dyDescent="0.3">
      <c r="A3176" s="34" t="str">
        <f>base!J3176</f>
        <v>RS</v>
      </c>
      <c r="B3176" s="34" t="str">
        <f>base!V3176</f>
        <v>75010</v>
      </c>
      <c r="C3176" s="37">
        <v>75</v>
      </c>
      <c r="D3176" s="36">
        <f>base!H3176</f>
        <v>25</v>
      </c>
      <c r="E3176" s="44"/>
      <c r="F3176" s="16">
        <f>base!W3176</f>
        <v>0</v>
      </c>
      <c r="G3176" s="11">
        <f t="shared" si="490"/>
        <v>0</v>
      </c>
      <c r="H3176" s="11">
        <f t="shared" si="491"/>
        <v>0</v>
      </c>
      <c r="I3176" s="11">
        <f t="shared" si="492"/>
        <v>0</v>
      </c>
      <c r="J3176" s="12">
        <f t="shared" si="493"/>
        <v>0</v>
      </c>
      <c r="K3176" s="17" t="str">
        <f t="shared" si="498"/>
        <v>Pas d'écart</v>
      </c>
      <c r="L3176" s="16">
        <f>base!X3176</f>
        <v>0</v>
      </c>
      <c r="M3176" s="11">
        <f t="shared" si="494"/>
        <v>0</v>
      </c>
      <c r="N3176" s="11">
        <f t="shared" si="495"/>
        <v>0</v>
      </c>
      <c r="O3176" s="11">
        <f t="shared" si="496"/>
        <v>0</v>
      </c>
      <c r="P3176" s="12">
        <f t="shared" si="497"/>
        <v>0</v>
      </c>
      <c r="Q3176" s="17" t="str">
        <f t="shared" si="499"/>
        <v>Pas d'écart</v>
      </c>
    </row>
    <row r="3177" spans="1:18" x14ac:dyDescent="0.3">
      <c r="A3177" s="34">
        <f>base!J3177</f>
        <v>0</v>
      </c>
      <c r="B3177" s="34" t="str">
        <f>base!V3177</f>
        <v>44240</v>
      </c>
      <c r="C3177" s="37">
        <v>44</v>
      </c>
      <c r="D3177" s="36">
        <f>base!H3177</f>
        <v>60</v>
      </c>
      <c r="E3177" s="44"/>
      <c r="F3177" s="16">
        <f>base!W3177</f>
        <v>0</v>
      </c>
      <c r="G3177" s="11">
        <f t="shared" si="490"/>
        <v>0</v>
      </c>
      <c r="H3177" s="11">
        <f t="shared" si="491"/>
        <v>16.200000000000003</v>
      </c>
      <c r="I3177" s="11">
        <f t="shared" si="492"/>
        <v>0.27000000000000007</v>
      </c>
      <c r="J3177" s="12">
        <f t="shared" si="493"/>
        <v>-16.200000000000003</v>
      </c>
      <c r="K3177" s="17" t="str">
        <f t="shared" si="498"/>
        <v>Ecart négatif</v>
      </c>
      <c r="L3177" s="16">
        <f>base!X3177</f>
        <v>0</v>
      </c>
      <c r="M3177" s="11">
        <f t="shared" si="494"/>
        <v>0</v>
      </c>
      <c r="N3177" s="11">
        <f t="shared" si="495"/>
        <v>0</v>
      </c>
      <c r="O3177" s="11">
        <f t="shared" si="496"/>
        <v>0</v>
      </c>
      <c r="P3177" s="12">
        <f t="shared" si="497"/>
        <v>0</v>
      </c>
      <c r="Q3177" s="17" t="str">
        <f t="shared" si="499"/>
        <v>Pas d'écart</v>
      </c>
    </row>
    <row r="3178" spans="1:18" x14ac:dyDescent="0.3">
      <c r="A3178" s="34">
        <f>base!J3178</f>
        <v>0</v>
      </c>
      <c r="B3178" s="34" t="str">
        <f>base!V3178</f>
        <v>44240</v>
      </c>
      <c r="C3178" s="37">
        <v>44</v>
      </c>
      <c r="D3178" s="36">
        <f>base!H3178</f>
        <v>34.08</v>
      </c>
      <c r="E3178" s="44"/>
      <c r="F3178" s="16">
        <f>base!W3178</f>
        <v>0</v>
      </c>
      <c r="G3178" s="11">
        <f t="shared" si="490"/>
        <v>0</v>
      </c>
      <c r="H3178" s="11">
        <f t="shared" si="491"/>
        <v>9.2016000000000009</v>
      </c>
      <c r="I3178" s="11">
        <f t="shared" si="492"/>
        <v>0.27</v>
      </c>
      <c r="J3178" s="12">
        <f t="shared" si="493"/>
        <v>-9.2016000000000009</v>
      </c>
      <c r="K3178" s="17" t="str">
        <f t="shared" si="498"/>
        <v>Ecart négatif</v>
      </c>
      <c r="L3178" s="16">
        <f>base!X3178</f>
        <v>0</v>
      </c>
      <c r="M3178" s="11">
        <f t="shared" si="494"/>
        <v>0</v>
      </c>
      <c r="N3178" s="11">
        <f t="shared" si="495"/>
        <v>0</v>
      </c>
      <c r="O3178" s="11">
        <f t="shared" si="496"/>
        <v>0</v>
      </c>
      <c r="P3178" s="12">
        <f t="shared" si="497"/>
        <v>0</v>
      </c>
      <c r="Q3178" s="17" t="str">
        <f t="shared" si="499"/>
        <v>Pas d'écart</v>
      </c>
    </row>
    <row r="3179" spans="1:18" x14ac:dyDescent="0.3">
      <c r="A3179" s="34" t="str">
        <f>base!J3179</f>
        <v>RS</v>
      </c>
      <c r="B3179" s="34" t="str">
        <f>base!V3179</f>
        <v>59110</v>
      </c>
      <c r="C3179" s="37">
        <v>59</v>
      </c>
      <c r="D3179" s="36">
        <f>base!H3179</f>
        <v>390.47</v>
      </c>
      <c r="E3179" s="44"/>
      <c r="F3179" s="16">
        <f>base!W3179</f>
        <v>0</v>
      </c>
      <c r="G3179" s="11">
        <f t="shared" si="490"/>
        <v>0</v>
      </c>
      <c r="H3179" s="11">
        <f t="shared" si="491"/>
        <v>74.189300000000003</v>
      </c>
      <c r="I3179" s="11">
        <f t="shared" si="492"/>
        <v>0.19</v>
      </c>
      <c r="J3179" s="12">
        <f t="shared" si="493"/>
        <v>-74.189300000000003</v>
      </c>
      <c r="K3179" s="17" t="str">
        <f t="shared" si="498"/>
        <v>Ecart négatif</v>
      </c>
      <c r="L3179" s="16">
        <f>base!X3179</f>
        <v>0</v>
      </c>
      <c r="M3179" s="11">
        <f t="shared" si="494"/>
        <v>0</v>
      </c>
      <c r="N3179" s="11">
        <f t="shared" si="495"/>
        <v>0</v>
      </c>
      <c r="O3179" s="11">
        <f t="shared" si="496"/>
        <v>0</v>
      </c>
      <c r="P3179" s="12">
        <f t="shared" si="497"/>
        <v>0</v>
      </c>
      <c r="Q3179" s="17" t="str">
        <f t="shared" si="499"/>
        <v>Pas d'écart</v>
      </c>
    </row>
    <row r="3180" spans="1:18" x14ac:dyDescent="0.3">
      <c r="A3180" s="34" t="str">
        <f>base!J3180</f>
        <v>LS</v>
      </c>
      <c r="B3180" s="34" t="str">
        <f>base!V3180</f>
        <v>19100</v>
      </c>
      <c r="C3180" s="37">
        <v>57</v>
      </c>
      <c r="D3180" s="36">
        <f>base!H3180</f>
        <v>126.25</v>
      </c>
      <c r="E3180" s="44"/>
      <c r="F3180" s="16">
        <f>base!W3180</f>
        <v>36.61</v>
      </c>
      <c r="G3180" s="11">
        <f t="shared" si="490"/>
        <v>0.28998019801980196</v>
      </c>
      <c r="H3180" s="11">
        <f t="shared" si="491"/>
        <v>30.299999999999997</v>
      </c>
      <c r="I3180" s="11">
        <f t="shared" si="492"/>
        <v>0.24</v>
      </c>
      <c r="J3180" s="12">
        <f t="shared" si="493"/>
        <v>6.3100000000000023</v>
      </c>
      <c r="K3180" s="17" t="str">
        <f t="shared" si="498"/>
        <v>Ecart positif</v>
      </c>
      <c r="L3180" s="16">
        <f>base!X3180</f>
        <v>0</v>
      </c>
      <c r="M3180" s="11">
        <f t="shared" si="494"/>
        <v>0</v>
      </c>
      <c r="N3180" s="11">
        <f t="shared" si="495"/>
        <v>31.5625</v>
      </c>
      <c r="O3180" s="11">
        <f t="shared" si="496"/>
        <v>0.25</v>
      </c>
      <c r="P3180" s="12">
        <f t="shared" si="497"/>
        <v>-31.5625</v>
      </c>
      <c r="Q3180" s="17" t="str">
        <f t="shared" si="499"/>
        <v>Ecart négatif</v>
      </c>
    </row>
    <row r="3181" spans="1:18" x14ac:dyDescent="0.3">
      <c r="A3181" s="34">
        <f>base!J3181</f>
        <v>0</v>
      </c>
      <c r="B3181" s="34" t="str">
        <f>base!V3181</f>
        <v>77184</v>
      </c>
      <c r="C3181" s="37">
        <v>77</v>
      </c>
      <c r="D3181" s="36">
        <f>base!H3181</f>
        <v>156.4</v>
      </c>
      <c r="E3181" s="44"/>
      <c r="F3181" s="16">
        <f>base!W3181</f>
        <v>0</v>
      </c>
      <c r="G3181" s="11">
        <f t="shared" si="490"/>
        <v>0</v>
      </c>
      <c r="H3181" s="11">
        <f t="shared" si="491"/>
        <v>0</v>
      </c>
      <c r="I3181" s="11">
        <f t="shared" si="492"/>
        <v>0</v>
      </c>
      <c r="J3181" s="12">
        <f t="shared" si="493"/>
        <v>0</v>
      </c>
      <c r="K3181" s="17" t="str">
        <f t="shared" si="498"/>
        <v>Pas d'écart</v>
      </c>
      <c r="L3181" s="16">
        <f>base!X3181</f>
        <v>0</v>
      </c>
      <c r="M3181" s="11">
        <f t="shared" si="494"/>
        <v>0</v>
      </c>
      <c r="N3181" s="11">
        <f t="shared" si="495"/>
        <v>0</v>
      </c>
      <c r="O3181" s="11">
        <f t="shared" si="496"/>
        <v>0</v>
      </c>
      <c r="P3181" s="12">
        <f t="shared" si="497"/>
        <v>0</v>
      </c>
      <c r="Q3181" s="17" t="str">
        <f t="shared" si="499"/>
        <v>Pas d'écart</v>
      </c>
    </row>
    <row r="3182" spans="1:18" x14ac:dyDescent="0.3">
      <c r="A3182" s="34">
        <f>base!J3182</f>
        <v>0</v>
      </c>
      <c r="B3182" s="34" t="str">
        <f>base!V3182</f>
        <v>77184</v>
      </c>
      <c r="C3182" s="37">
        <v>77</v>
      </c>
      <c r="D3182" s="36">
        <f>base!H3182</f>
        <v>162.72999999999999</v>
      </c>
      <c r="E3182" s="44"/>
      <c r="F3182" s="16">
        <f>base!W3182</f>
        <v>0</v>
      </c>
      <c r="G3182" s="11">
        <f t="shared" si="490"/>
        <v>0</v>
      </c>
      <c r="H3182" s="11">
        <f t="shared" si="491"/>
        <v>0</v>
      </c>
      <c r="I3182" s="11">
        <f t="shared" si="492"/>
        <v>0</v>
      </c>
      <c r="J3182" s="12">
        <f t="shared" si="493"/>
        <v>0</v>
      </c>
      <c r="K3182" s="17" t="str">
        <f t="shared" si="498"/>
        <v>Pas d'écart</v>
      </c>
      <c r="L3182" s="16">
        <f>base!X3182</f>
        <v>0</v>
      </c>
      <c r="M3182" s="11">
        <f t="shared" si="494"/>
        <v>0</v>
      </c>
      <c r="N3182" s="11">
        <f t="shared" si="495"/>
        <v>0</v>
      </c>
      <c r="O3182" s="11">
        <f t="shared" si="496"/>
        <v>0</v>
      </c>
      <c r="P3182" s="12">
        <f t="shared" si="497"/>
        <v>0</v>
      </c>
      <c r="Q3182" s="17" t="str">
        <f t="shared" si="499"/>
        <v>Pas d'écart</v>
      </c>
    </row>
    <row r="3183" spans="1:18" x14ac:dyDescent="0.3">
      <c r="A3183" s="34" t="str">
        <f>base!J3183</f>
        <v>LM</v>
      </c>
      <c r="B3183" s="34" t="str">
        <f>base!V3183</f>
        <v>62500</v>
      </c>
      <c r="C3183" s="37">
        <v>31</v>
      </c>
      <c r="D3183" s="36">
        <f>base!H3183</f>
        <v>19.8</v>
      </c>
      <c r="E3183" s="44"/>
      <c r="F3183" s="16">
        <f>base!W3183</f>
        <v>3.76</v>
      </c>
      <c r="G3183" s="11">
        <f t="shared" si="490"/>
        <v>0.18989898989898987</v>
      </c>
      <c r="H3183" s="11">
        <f t="shared" si="491"/>
        <v>3.762</v>
      </c>
      <c r="I3183" s="11">
        <f t="shared" si="492"/>
        <v>0.19</v>
      </c>
      <c r="J3183" s="12">
        <f t="shared" si="493"/>
        <v>-2.0000000000002238E-3</v>
      </c>
      <c r="K3183" s="17" t="str">
        <f t="shared" si="498"/>
        <v>Ecart négatif</v>
      </c>
      <c r="L3183" s="16">
        <f>base!X3183</f>
        <v>0</v>
      </c>
      <c r="M3183" s="11">
        <f t="shared" si="494"/>
        <v>0</v>
      </c>
      <c r="N3183" s="11">
        <f t="shared" si="495"/>
        <v>5.1480000000000006</v>
      </c>
      <c r="O3183" s="11">
        <f t="shared" si="496"/>
        <v>0.26</v>
      </c>
      <c r="P3183" s="12">
        <f t="shared" si="497"/>
        <v>-5.1480000000000006</v>
      </c>
      <c r="Q3183" s="17" t="str">
        <f t="shared" si="499"/>
        <v>Ecart négatif</v>
      </c>
    </row>
    <row r="3184" spans="1:18" x14ac:dyDescent="0.3">
      <c r="A3184" s="34" t="str">
        <f>base!J3184</f>
        <v>LM</v>
      </c>
      <c r="B3184" s="34" t="str">
        <f>base!V3184</f>
        <v>60300</v>
      </c>
      <c r="C3184" s="37">
        <v>12</v>
      </c>
      <c r="D3184" s="36">
        <f>base!H3184</f>
        <v>25.8</v>
      </c>
      <c r="E3184" s="44"/>
      <c r="F3184" s="16">
        <f>base!W3184</f>
        <v>4.9000000000000004</v>
      </c>
      <c r="G3184" s="11">
        <f t="shared" si="490"/>
        <v>0.18992248062015504</v>
      </c>
      <c r="H3184" s="11">
        <f t="shared" si="491"/>
        <v>5.6760000000000002</v>
      </c>
      <c r="I3184" s="11">
        <f t="shared" si="492"/>
        <v>0.22</v>
      </c>
      <c r="J3184" s="12">
        <f t="shared" si="493"/>
        <v>-0.7759999999999998</v>
      </c>
      <c r="K3184" s="17" t="str">
        <f t="shared" si="498"/>
        <v>Ecart négatif</v>
      </c>
      <c r="L3184" s="16">
        <f>base!X3184</f>
        <v>0</v>
      </c>
      <c r="M3184" s="11">
        <f t="shared" si="494"/>
        <v>0</v>
      </c>
      <c r="N3184" s="11">
        <f t="shared" si="495"/>
        <v>6.7080000000000002</v>
      </c>
      <c r="O3184" s="11">
        <f t="shared" si="496"/>
        <v>0.26</v>
      </c>
      <c r="P3184" s="12">
        <f t="shared" si="497"/>
        <v>-6.7080000000000002</v>
      </c>
      <c r="Q3184" s="17" t="str">
        <f t="shared" si="499"/>
        <v>Ecart négatif</v>
      </c>
    </row>
    <row r="3185" spans="1:18" x14ac:dyDescent="0.3">
      <c r="A3185" s="34" t="str">
        <f>base!J3185</f>
        <v>LS</v>
      </c>
      <c r="B3185" s="34" t="str">
        <f>base!V3185</f>
        <v>66300</v>
      </c>
      <c r="C3185" s="37">
        <v>54</v>
      </c>
      <c r="D3185" s="36">
        <f>base!H3185</f>
        <v>16.2</v>
      </c>
      <c r="E3185" s="44"/>
      <c r="F3185" s="16">
        <f>base!W3185</f>
        <v>6.32</v>
      </c>
      <c r="G3185" s="11">
        <f t="shared" si="490"/>
        <v>0.3901234567901235</v>
      </c>
      <c r="H3185" s="11">
        <f t="shared" si="491"/>
        <v>4.05</v>
      </c>
      <c r="I3185" s="11">
        <f t="shared" si="492"/>
        <v>0.25</v>
      </c>
      <c r="J3185" s="12">
        <f t="shared" si="493"/>
        <v>2.2700000000000005</v>
      </c>
      <c r="K3185" s="17" t="str">
        <f t="shared" si="498"/>
        <v>Ecart positif</v>
      </c>
      <c r="L3185" s="16">
        <f>base!X3185</f>
        <v>0</v>
      </c>
      <c r="M3185" s="11">
        <f t="shared" si="494"/>
        <v>0</v>
      </c>
      <c r="N3185" s="11">
        <f t="shared" si="495"/>
        <v>4.05</v>
      </c>
      <c r="O3185" s="11">
        <f t="shared" si="496"/>
        <v>0.25</v>
      </c>
      <c r="P3185" s="12">
        <f t="shared" si="497"/>
        <v>-4.05</v>
      </c>
      <c r="Q3185" s="17" t="str">
        <f t="shared" si="499"/>
        <v>Ecart négatif</v>
      </c>
    </row>
    <row r="3186" spans="1:18" x14ac:dyDescent="0.3">
      <c r="A3186" s="34" t="str">
        <f>base!J3186</f>
        <v>RS</v>
      </c>
      <c r="B3186" s="34" t="str">
        <f>base!V3186</f>
        <v>94420</v>
      </c>
      <c r="C3186" s="37">
        <v>94</v>
      </c>
      <c r="D3186" s="36">
        <f>base!H3186</f>
        <v>80.400000000000006</v>
      </c>
      <c r="E3186" s="44"/>
      <c r="F3186" s="16">
        <f>base!W3186</f>
        <v>0</v>
      </c>
      <c r="G3186" s="11">
        <f t="shared" si="490"/>
        <v>0</v>
      </c>
      <c r="H3186" s="11">
        <f t="shared" si="491"/>
        <v>0</v>
      </c>
      <c r="I3186" s="11">
        <f t="shared" si="492"/>
        <v>0</v>
      </c>
      <c r="J3186" s="12">
        <f t="shared" si="493"/>
        <v>0</v>
      </c>
      <c r="K3186" s="17" t="str">
        <f t="shared" si="498"/>
        <v>Pas d'écart</v>
      </c>
      <c r="L3186" s="16">
        <f>base!X3186</f>
        <v>0</v>
      </c>
      <c r="M3186" s="11">
        <f t="shared" si="494"/>
        <v>0</v>
      </c>
      <c r="N3186" s="11">
        <f t="shared" si="495"/>
        <v>0</v>
      </c>
      <c r="O3186" s="11">
        <f t="shared" si="496"/>
        <v>0</v>
      </c>
      <c r="P3186" s="12">
        <f t="shared" si="497"/>
        <v>0</v>
      </c>
      <c r="Q3186" s="17" t="str">
        <f t="shared" si="499"/>
        <v>Pas d'écart</v>
      </c>
    </row>
    <row r="3187" spans="1:18" x14ac:dyDescent="0.3">
      <c r="A3187" s="34" t="str">
        <f>base!J3187</f>
        <v>RS</v>
      </c>
      <c r="B3187" s="34" t="str">
        <f>base!V3187</f>
        <v>67120</v>
      </c>
      <c r="C3187" s="37">
        <v>67</v>
      </c>
      <c r="D3187" s="36">
        <f>base!H3187</f>
        <v>74.540000000000006</v>
      </c>
      <c r="E3187" s="44"/>
      <c r="F3187" s="16">
        <f>base!W3187</f>
        <v>0</v>
      </c>
      <c r="G3187" s="11">
        <f t="shared" si="490"/>
        <v>0</v>
      </c>
      <c r="H3187" s="11">
        <f t="shared" si="491"/>
        <v>21.616600000000002</v>
      </c>
      <c r="I3187" s="11">
        <f t="shared" si="492"/>
        <v>0.28999999999999998</v>
      </c>
      <c r="J3187" s="12">
        <f t="shared" si="493"/>
        <v>-21.616600000000002</v>
      </c>
      <c r="K3187" s="17" t="str">
        <f t="shared" si="498"/>
        <v>Ecart négatif</v>
      </c>
      <c r="L3187" s="16">
        <f>base!X3187</f>
        <v>5.96</v>
      </c>
      <c r="M3187" s="11">
        <f t="shared" si="494"/>
        <v>7.9957070029514354E-2</v>
      </c>
      <c r="N3187" s="11">
        <f t="shared" si="495"/>
        <v>5.9632000000000005</v>
      </c>
      <c r="O3187" s="11">
        <f t="shared" si="496"/>
        <v>0.08</v>
      </c>
      <c r="P3187" s="12">
        <f t="shared" si="497"/>
        <v>-3.2000000000005357E-3</v>
      </c>
      <c r="Q3187" s="17" t="str">
        <f t="shared" si="499"/>
        <v>Ecart négatif</v>
      </c>
      <c r="R3187" s="38"/>
    </row>
    <row r="3188" spans="1:18" x14ac:dyDescent="0.3">
      <c r="A3188" s="34" t="str">
        <f>base!J3188</f>
        <v>LS</v>
      </c>
      <c r="B3188" s="34" t="str">
        <f>base!V3188</f>
        <v>14740</v>
      </c>
      <c r="C3188" s="37">
        <v>54</v>
      </c>
      <c r="D3188" s="36">
        <f>base!H3188</f>
        <v>32.46</v>
      </c>
      <c r="E3188" s="44"/>
      <c r="F3188" s="16">
        <f>base!W3188</f>
        <v>5.52</v>
      </c>
      <c r="G3188" s="11">
        <f t="shared" si="490"/>
        <v>0.17005545286506468</v>
      </c>
      <c r="H3188" s="11">
        <f t="shared" si="491"/>
        <v>8.1150000000000002</v>
      </c>
      <c r="I3188" s="11">
        <f t="shared" si="492"/>
        <v>0.25</v>
      </c>
      <c r="J3188" s="12">
        <f t="shared" si="493"/>
        <v>-2.5950000000000006</v>
      </c>
      <c r="K3188" s="17" t="str">
        <f t="shared" si="498"/>
        <v>Ecart négatif</v>
      </c>
      <c r="L3188" s="16">
        <f>base!X3188</f>
        <v>0</v>
      </c>
      <c r="M3188" s="11">
        <f t="shared" si="494"/>
        <v>0</v>
      </c>
      <c r="N3188" s="11">
        <f t="shared" si="495"/>
        <v>8.1150000000000002</v>
      </c>
      <c r="O3188" s="11">
        <f t="shared" si="496"/>
        <v>0.25</v>
      </c>
      <c r="P3188" s="12">
        <f t="shared" si="497"/>
        <v>-8.1150000000000002</v>
      </c>
      <c r="Q3188" s="17" t="str">
        <f t="shared" si="499"/>
        <v>Ecart négatif</v>
      </c>
    </row>
    <row r="3189" spans="1:18" x14ac:dyDescent="0.3">
      <c r="A3189" s="34" t="str">
        <f>base!J3189</f>
        <v>LS</v>
      </c>
      <c r="B3189" s="34" t="str">
        <f>base!V3189</f>
        <v>91300</v>
      </c>
      <c r="C3189" s="37">
        <v>91</v>
      </c>
      <c r="D3189" s="36">
        <f>base!H3189</f>
        <v>120</v>
      </c>
      <c r="E3189" s="44"/>
      <c r="F3189" s="16">
        <f>base!W3189</f>
        <v>0</v>
      </c>
      <c r="G3189" s="11">
        <f t="shared" si="490"/>
        <v>0</v>
      </c>
      <c r="H3189" s="11">
        <f t="shared" si="491"/>
        <v>0</v>
      </c>
      <c r="I3189" s="11">
        <f t="shared" si="492"/>
        <v>0</v>
      </c>
      <c r="J3189" s="12">
        <f t="shared" si="493"/>
        <v>0</v>
      </c>
      <c r="K3189" s="17" t="str">
        <f t="shared" si="498"/>
        <v>Pas d'écart</v>
      </c>
      <c r="L3189" s="16">
        <f>base!X3189</f>
        <v>0</v>
      </c>
      <c r="M3189" s="11">
        <f t="shared" si="494"/>
        <v>0</v>
      </c>
      <c r="N3189" s="11">
        <f t="shared" si="495"/>
        <v>0</v>
      </c>
      <c r="O3189" s="11">
        <f t="shared" si="496"/>
        <v>0</v>
      </c>
      <c r="P3189" s="12">
        <f t="shared" si="497"/>
        <v>0</v>
      </c>
      <c r="Q3189" s="17" t="str">
        <f t="shared" si="499"/>
        <v>Pas d'écart</v>
      </c>
    </row>
    <row r="3190" spans="1:18" x14ac:dyDescent="0.3">
      <c r="A3190" s="34" t="str">
        <f>base!J3190</f>
        <v>RS</v>
      </c>
      <c r="B3190" s="34" t="str">
        <f>base!V3190</f>
        <v>75016</v>
      </c>
      <c r="C3190" s="37">
        <v>75</v>
      </c>
      <c r="D3190" s="36">
        <f>base!H3190</f>
        <v>70</v>
      </c>
      <c r="E3190" s="44"/>
      <c r="F3190" s="16">
        <f>base!W3190</f>
        <v>0</v>
      </c>
      <c r="G3190" s="11">
        <f t="shared" si="490"/>
        <v>0</v>
      </c>
      <c r="H3190" s="11">
        <f t="shared" si="491"/>
        <v>0</v>
      </c>
      <c r="I3190" s="11">
        <f t="shared" si="492"/>
        <v>0</v>
      </c>
      <c r="J3190" s="12">
        <f t="shared" si="493"/>
        <v>0</v>
      </c>
      <c r="K3190" s="17" t="str">
        <f t="shared" si="498"/>
        <v>Pas d'écart</v>
      </c>
      <c r="L3190" s="16">
        <f>base!X3190</f>
        <v>0</v>
      </c>
      <c r="M3190" s="11">
        <f t="shared" si="494"/>
        <v>0</v>
      </c>
      <c r="N3190" s="11">
        <f t="shared" si="495"/>
        <v>0</v>
      </c>
      <c r="O3190" s="11">
        <f t="shared" si="496"/>
        <v>0</v>
      </c>
      <c r="P3190" s="12">
        <f t="shared" si="497"/>
        <v>0</v>
      </c>
      <c r="Q3190" s="17" t="str">
        <f t="shared" si="499"/>
        <v>Pas d'écart</v>
      </c>
    </row>
    <row r="3191" spans="1:18" x14ac:dyDescent="0.3">
      <c r="A3191" s="34">
        <f>base!J3191</f>
        <v>0</v>
      </c>
      <c r="B3191" s="34" t="str">
        <f>base!V3191</f>
        <v>77184</v>
      </c>
      <c r="C3191" s="37">
        <v>77</v>
      </c>
      <c r="D3191" s="36">
        <f>base!H3191</f>
        <v>194</v>
      </c>
      <c r="E3191" s="44"/>
      <c r="F3191" s="16">
        <f>base!W3191</f>
        <v>0</v>
      </c>
      <c r="G3191" s="11">
        <f t="shared" si="490"/>
        <v>0</v>
      </c>
      <c r="H3191" s="11">
        <f t="shared" si="491"/>
        <v>0</v>
      </c>
      <c r="I3191" s="11">
        <f t="shared" si="492"/>
        <v>0</v>
      </c>
      <c r="J3191" s="12">
        <f t="shared" si="493"/>
        <v>0</v>
      </c>
      <c r="K3191" s="17" t="str">
        <f t="shared" si="498"/>
        <v>Pas d'écart</v>
      </c>
      <c r="L3191" s="16">
        <f>base!X3191</f>
        <v>0</v>
      </c>
      <c r="M3191" s="11">
        <f t="shared" si="494"/>
        <v>0</v>
      </c>
      <c r="N3191" s="11">
        <f t="shared" si="495"/>
        <v>0</v>
      </c>
      <c r="O3191" s="11">
        <f t="shared" si="496"/>
        <v>0</v>
      </c>
      <c r="P3191" s="12">
        <f t="shared" si="497"/>
        <v>0</v>
      </c>
      <c r="Q3191" s="17" t="str">
        <f t="shared" si="499"/>
        <v>Pas d'écart</v>
      </c>
    </row>
    <row r="3192" spans="1:18" x14ac:dyDescent="0.3">
      <c r="A3192" s="34" t="str">
        <f>base!J3192</f>
        <v>RM</v>
      </c>
      <c r="B3192" s="34" t="str">
        <f>base!V3192</f>
        <v>80400</v>
      </c>
      <c r="C3192" s="37">
        <v>80</v>
      </c>
      <c r="D3192" s="36">
        <f>base!H3192</f>
        <v>196.98</v>
      </c>
      <c r="E3192" s="44"/>
      <c r="F3192" s="16">
        <f>base!W3192</f>
        <v>0</v>
      </c>
      <c r="G3192" s="11">
        <f t="shared" si="490"/>
        <v>0</v>
      </c>
      <c r="H3192" s="11">
        <f t="shared" si="491"/>
        <v>37.426200000000001</v>
      </c>
      <c r="I3192" s="11">
        <f t="shared" si="492"/>
        <v>0.19000000000000003</v>
      </c>
      <c r="J3192" s="12">
        <f t="shared" si="493"/>
        <v>-37.426200000000001</v>
      </c>
      <c r="K3192" s="17" t="str">
        <f t="shared" si="498"/>
        <v>Ecart négatif</v>
      </c>
      <c r="L3192" s="16">
        <f>base!X3192</f>
        <v>37.43</v>
      </c>
      <c r="M3192" s="11">
        <f t="shared" si="494"/>
        <v>0.19001929129860901</v>
      </c>
      <c r="N3192" s="11">
        <f t="shared" si="495"/>
        <v>0</v>
      </c>
      <c r="O3192" s="11">
        <f t="shared" si="496"/>
        <v>0</v>
      </c>
      <c r="P3192" s="12">
        <f t="shared" si="497"/>
        <v>37.43</v>
      </c>
      <c r="Q3192" s="17" t="str">
        <f t="shared" si="499"/>
        <v>Ecart positif</v>
      </c>
      <c r="R3192" s="38"/>
    </row>
    <row r="3193" spans="1:18" x14ac:dyDescent="0.3">
      <c r="A3193" s="34" t="str">
        <f>base!J3193</f>
        <v>RM</v>
      </c>
      <c r="B3193" s="34" t="str">
        <f>base!V3193</f>
        <v>69006</v>
      </c>
      <c r="C3193" s="37">
        <v>69</v>
      </c>
      <c r="D3193" s="36">
        <f>base!H3193</f>
        <v>200.07</v>
      </c>
      <c r="E3193" s="44"/>
      <c r="F3193" s="16">
        <f>base!W3193</f>
        <v>0</v>
      </c>
      <c r="G3193" s="11">
        <f t="shared" si="490"/>
        <v>0</v>
      </c>
      <c r="H3193" s="11">
        <f t="shared" si="491"/>
        <v>54.018900000000002</v>
      </c>
      <c r="I3193" s="11">
        <f t="shared" si="492"/>
        <v>0.27</v>
      </c>
      <c r="J3193" s="12">
        <f t="shared" si="493"/>
        <v>-54.018900000000002</v>
      </c>
      <c r="K3193" s="17" t="str">
        <f t="shared" si="498"/>
        <v>Ecart négatif</v>
      </c>
      <c r="L3193" s="16">
        <f>base!X3193</f>
        <v>0</v>
      </c>
      <c r="M3193" s="11">
        <f t="shared" si="494"/>
        <v>0</v>
      </c>
      <c r="N3193" s="11">
        <f t="shared" si="495"/>
        <v>0</v>
      </c>
      <c r="O3193" s="11">
        <f t="shared" si="496"/>
        <v>0</v>
      </c>
      <c r="P3193" s="12">
        <f t="shared" si="497"/>
        <v>0</v>
      </c>
      <c r="Q3193" s="17" t="str">
        <f t="shared" si="499"/>
        <v>Pas d'écart</v>
      </c>
    </row>
    <row r="3194" spans="1:18" x14ac:dyDescent="0.3">
      <c r="A3194" s="34" t="str">
        <f>base!J3194</f>
        <v>LM</v>
      </c>
      <c r="B3194" s="34" t="str">
        <f>base!V3194</f>
        <v>92200</v>
      </c>
      <c r="C3194" s="37">
        <v>92</v>
      </c>
      <c r="D3194" s="36">
        <f>base!H3194</f>
        <v>30</v>
      </c>
      <c r="E3194" s="44"/>
      <c r="F3194" s="16">
        <f>base!W3194</f>
        <v>0</v>
      </c>
      <c r="G3194" s="11">
        <f t="shared" si="490"/>
        <v>0</v>
      </c>
      <c r="H3194" s="11">
        <f t="shared" si="491"/>
        <v>0</v>
      </c>
      <c r="I3194" s="11">
        <f t="shared" si="492"/>
        <v>0</v>
      </c>
      <c r="J3194" s="12">
        <f t="shared" si="493"/>
        <v>0</v>
      </c>
      <c r="K3194" s="17" t="str">
        <f t="shared" si="498"/>
        <v>Pas d'écart</v>
      </c>
      <c r="L3194" s="16">
        <f>base!X3194</f>
        <v>0</v>
      </c>
      <c r="M3194" s="11">
        <f t="shared" si="494"/>
        <v>0</v>
      </c>
      <c r="N3194" s="11">
        <f t="shared" si="495"/>
        <v>0</v>
      </c>
      <c r="O3194" s="11">
        <f t="shared" si="496"/>
        <v>0</v>
      </c>
      <c r="P3194" s="12">
        <f t="shared" si="497"/>
        <v>0</v>
      </c>
      <c r="Q3194" s="17" t="str">
        <f t="shared" si="499"/>
        <v>Pas d'écart</v>
      </c>
    </row>
    <row r="3195" spans="1:18" x14ac:dyDescent="0.3">
      <c r="A3195" s="34" t="str">
        <f>base!J3195</f>
        <v>Stockage</v>
      </c>
      <c r="B3195" s="34" t="str">
        <f>base!V3195</f>
        <v/>
      </c>
      <c r="C3195" s="40" t="s">
        <v>11</v>
      </c>
      <c r="D3195" s="36">
        <f>base!H3195</f>
        <v>0</v>
      </c>
      <c r="E3195" s="44"/>
      <c r="F3195" s="16">
        <f>base!W3195</f>
        <v>0</v>
      </c>
      <c r="G3195" s="11" t="e">
        <f t="shared" si="490"/>
        <v>#DIV/0!</v>
      </c>
      <c r="H3195" s="11" t="e">
        <f t="shared" si="491"/>
        <v>#N/A</v>
      </c>
      <c r="I3195" s="11" t="e">
        <f t="shared" si="492"/>
        <v>#N/A</v>
      </c>
      <c r="J3195" s="12" t="e">
        <f t="shared" si="493"/>
        <v>#N/A</v>
      </c>
      <c r="K3195" s="17" t="e">
        <f t="shared" si="498"/>
        <v>#N/A</v>
      </c>
      <c r="L3195" s="16">
        <f>base!X3195</f>
        <v>0</v>
      </c>
      <c r="M3195" s="11" t="e">
        <f t="shared" si="494"/>
        <v>#DIV/0!</v>
      </c>
      <c r="N3195" s="11" t="e">
        <f t="shared" si="495"/>
        <v>#N/A</v>
      </c>
      <c r="O3195" s="11" t="e">
        <f t="shared" si="496"/>
        <v>#N/A</v>
      </c>
      <c r="P3195" s="12" t="e">
        <f t="shared" si="497"/>
        <v>#N/A</v>
      </c>
      <c r="Q3195" s="17" t="e">
        <f t="shared" si="499"/>
        <v>#N/A</v>
      </c>
    </row>
    <row r="3196" spans="1:18" x14ac:dyDescent="0.3">
      <c r="A3196" s="34" t="str">
        <f>base!J3196</f>
        <v>RS</v>
      </c>
      <c r="B3196" s="34" t="str">
        <f>base!V3196</f>
        <v>93100</v>
      </c>
      <c r="C3196" s="37">
        <v>93</v>
      </c>
      <c r="D3196" s="36">
        <f>base!H3196</f>
        <v>151</v>
      </c>
      <c r="E3196" s="44"/>
      <c r="F3196" s="16">
        <f>base!W3196</f>
        <v>0</v>
      </c>
      <c r="G3196" s="11">
        <f t="shared" si="490"/>
        <v>0</v>
      </c>
      <c r="H3196" s="11">
        <f t="shared" si="491"/>
        <v>0</v>
      </c>
      <c r="I3196" s="11">
        <f t="shared" si="492"/>
        <v>0</v>
      </c>
      <c r="J3196" s="12">
        <f t="shared" si="493"/>
        <v>0</v>
      </c>
      <c r="K3196" s="17" t="str">
        <f t="shared" si="498"/>
        <v>Pas d'écart</v>
      </c>
      <c r="L3196" s="16">
        <f>base!X3196</f>
        <v>0</v>
      </c>
      <c r="M3196" s="11">
        <f t="shared" si="494"/>
        <v>0</v>
      </c>
      <c r="N3196" s="11">
        <f t="shared" si="495"/>
        <v>0</v>
      </c>
      <c r="O3196" s="11">
        <f t="shared" si="496"/>
        <v>0</v>
      </c>
      <c r="P3196" s="12">
        <f t="shared" si="497"/>
        <v>0</v>
      </c>
      <c r="Q3196" s="17" t="str">
        <f t="shared" si="499"/>
        <v>Pas d'écart</v>
      </c>
    </row>
    <row r="3197" spans="1:18" x14ac:dyDescent="0.3">
      <c r="A3197" s="34" t="str">
        <f>base!J3197</f>
        <v>RS</v>
      </c>
      <c r="B3197" s="34" t="str">
        <f>base!V3197</f>
        <v>77183</v>
      </c>
      <c r="C3197" s="37">
        <v>77</v>
      </c>
      <c r="D3197" s="36">
        <f>base!H3197</f>
        <v>156.43</v>
      </c>
      <c r="E3197" s="44"/>
      <c r="F3197" s="16">
        <f>base!W3197</f>
        <v>0</v>
      </c>
      <c r="G3197" s="11">
        <f t="shared" si="490"/>
        <v>0</v>
      </c>
      <c r="H3197" s="11">
        <f t="shared" si="491"/>
        <v>0</v>
      </c>
      <c r="I3197" s="11">
        <f t="shared" si="492"/>
        <v>0</v>
      </c>
      <c r="J3197" s="12">
        <f t="shared" si="493"/>
        <v>0</v>
      </c>
      <c r="K3197" s="17" t="str">
        <f t="shared" si="498"/>
        <v>Pas d'écart</v>
      </c>
      <c r="L3197" s="16">
        <f>base!X3197</f>
        <v>0</v>
      </c>
      <c r="M3197" s="11">
        <f t="shared" si="494"/>
        <v>0</v>
      </c>
      <c r="N3197" s="11">
        <f t="shared" si="495"/>
        <v>0</v>
      </c>
      <c r="O3197" s="11">
        <f t="shared" si="496"/>
        <v>0</v>
      </c>
      <c r="P3197" s="12">
        <f t="shared" si="497"/>
        <v>0</v>
      </c>
      <c r="Q3197" s="17" t="str">
        <f t="shared" si="499"/>
        <v>Pas d'écart</v>
      </c>
    </row>
    <row r="3198" spans="1:18" x14ac:dyDescent="0.3">
      <c r="A3198" s="34" t="str">
        <f>base!J3198</f>
        <v>RS</v>
      </c>
      <c r="B3198" s="34" t="str">
        <f>base!V3198</f>
        <v>75007</v>
      </c>
      <c r="C3198" s="37">
        <v>75</v>
      </c>
      <c r="D3198" s="36">
        <f>base!H3198</f>
        <v>41.75</v>
      </c>
      <c r="E3198" s="44"/>
      <c r="F3198" s="16">
        <f>base!W3198</f>
        <v>0</v>
      </c>
      <c r="G3198" s="11">
        <f t="shared" si="490"/>
        <v>0</v>
      </c>
      <c r="H3198" s="11">
        <f t="shared" si="491"/>
        <v>0</v>
      </c>
      <c r="I3198" s="11">
        <f t="shared" si="492"/>
        <v>0</v>
      </c>
      <c r="J3198" s="12">
        <f t="shared" si="493"/>
        <v>0</v>
      </c>
      <c r="K3198" s="17" t="str">
        <f t="shared" si="498"/>
        <v>Pas d'écart</v>
      </c>
      <c r="L3198" s="16">
        <f>base!X3198</f>
        <v>0</v>
      </c>
      <c r="M3198" s="11">
        <f t="shared" si="494"/>
        <v>0</v>
      </c>
      <c r="N3198" s="11">
        <f t="shared" si="495"/>
        <v>0</v>
      </c>
      <c r="O3198" s="11">
        <f t="shared" si="496"/>
        <v>0</v>
      </c>
      <c r="P3198" s="12">
        <f t="shared" si="497"/>
        <v>0</v>
      </c>
      <c r="Q3198" s="17" t="str">
        <f t="shared" si="499"/>
        <v>Pas d'écart</v>
      </c>
    </row>
    <row r="3199" spans="1:18" x14ac:dyDescent="0.3">
      <c r="A3199" s="34" t="str">
        <f>base!J3199</f>
        <v>RM</v>
      </c>
      <c r="B3199" s="34" t="str">
        <f>base!V3199</f>
        <v>14000</v>
      </c>
      <c r="C3199" s="37">
        <v>14</v>
      </c>
      <c r="D3199" s="36">
        <f>base!H3199</f>
        <v>180</v>
      </c>
      <c r="E3199" s="44"/>
      <c r="F3199" s="16">
        <f>base!W3199</f>
        <v>0</v>
      </c>
      <c r="G3199" s="11">
        <f t="shared" si="490"/>
        <v>0</v>
      </c>
      <c r="H3199" s="11">
        <f t="shared" si="491"/>
        <v>30.6</v>
      </c>
      <c r="I3199" s="11">
        <f t="shared" si="492"/>
        <v>0.17</v>
      </c>
      <c r="J3199" s="12">
        <f t="shared" si="493"/>
        <v>-30.6</v>
      </c>
      <c r="K3199" s="17" t="str">
        <f t="shared" si="498"/>
        <v>Ecart négatif</v>
      </c>
      <c r="L3199" s="16">
        <f>base!X3199</f>
        <v>0</v>
      </c>
      <c r="M3199" s="11">
        <f t="shared" si="494"/>
        <v>0</v>
      </c>
      <c r="N3199" s="11">
        <f t="shared" si="495"/>
        <v>30.6</v>
      </c>
      <c r="O3199" s="11">
        <f t="shared" si="496"/>
        <v>0.17</v>
      </c>
      <c r="P3199" s="12">
        <f t="shared" si="497"/>
        <v>-30.6</v>
      </c>
      <c r="Q3199" s="17" t="str">
        <f t="shared" si="499"/>
        <v>Ecart négatif</v>
      </c>
    </row>
    <row r="3200" spans="1:18" x14ac:dyDescent="0.3">
      <c r="A3200" s="34" t="str">
        <f>base!J3200</f>
        <v>LS</v>
      </c>
      <c r="B3200" s="34" t="str">
        <f>base!V3200</f>
        <v xml:space="preserve">38120 </v>
      </c>
      <c r="C3200" s="37">
        <v>25</v>
      </c>
      <c r="D3200" s="36">
        <f>base!H3200</f>
        <v>116.14</v>
      </c>
      <c r="E3200" s="44"/>
      <c r="F3200" s="16">
        <f>base!W3200</f>
        <v>31.36</v>
      </c>
      <c r="G3200" s="11">
        <f t="shared" si="490"/>
        <v>0.27001894265541587</v>
      </c>
      <c r="H3200" s="11">
        <f t="shared" si="491"/>
        <v>27.8736</v>
      </c>
      <c r="I3200" s="11">
        <f t="shared" si="492"/>
        <v>0.24</v>
      </c>
      <c r="J3200" s="12">
        <f t="shared" si="493"/>
        <v>3.4863999999999997</v>
      </c>
      <c r="K3200" s="17" t="str">
        <f t="shared" si="498"/>
        <v>Ecart positif</v>
      </c>
      <c r="L3200" s="16">
        <f>base!X3200</f>
        <v>0</v>
      </c>
      <c r="M3200" s="11">
        <f t="shared" si="494"/>
        <v>0</v>
      </c>
      <c r="N3200" s="11">
        <f t="shared" si="495"/>
        <v>13.9368</v>
      </c>
      <c r="O3200" s="11">
        <f t="shared" si="496"/>
        <v>0.12</v>
      </c>
      <c r="P3200" s="12">
        <f t="shared" si="497"/>
        <v>-13.9368</v>
      </c>
      <c r="Q3200" s="17" t="str">
        <f t="shared" si="499"/>
        <v>Ecart négatif</v>
      </c>
    </row>
    <row r="3201" spans="1:17" x14ac:dyDescent="0.3">
      <c r="A3201" s="34" t="str">
        <f>base!J3201</f>
        <v>RS</v>
      </c>
      <c r="B3201" s="34" t="str">
        <f>base!V3201</f>
        <v>75014</v>
      </c>
      <c r="C3201" s="37">
        <v>75</v>
      </c>
      <c r="D3201" s="36">
        <f>base!H3201</f>
        <v>250</v>
      </c>
      <c r="E3201" s="44"/>
      <c r="F3201" s="16">
        <f>base!W3201</f>
        <v>0</v>
      </c>
      <c r="G3201" s="11">
        <f t="shared" si="490"/>
        <v>0</v>
      </c>
      <c r="H3201" s="11">
        <f t="shared" si="491"/>
        <v>0</v>
      </c>
      <c r="I3201" s="11">
        <f t="shared" si="492"/>
        <v>0</v>
      </c>
      <c r="J3201" s="12">
        <f t="shared" si="493"/>
        <v>0</v>
      </c>
      <c r="K3201" s="17" t="str">
        <f t="shared" si="498"/>
        <v>Pas d'écart</v>
      </c>
      <c r="L3201" s="16">
        <f>base!X3201</f>
        <v>0</v>
      </c>
      <c r="M3201" s="11">
        <f t="shared" si="494"/>
        <v>0</v>
      </c>
      <c r="N3201" s="11">
        <f t="shared" si="495"/>
        <v>0</v>
      </c>
      <c r="O3201" s="11">
        <f t="shared" si="496"/>
        <v>0</v>
      </c>
      <c r="P3201" s="12">
        <f t="shared" si="497"/>
        <v>0</v>
      </c>
      <c r="Q3201" s="17" t="str">
        <f t="shared" si="499"/>
        <v>Pas d'écart</v>
      </c>
    </row>
    <row r="3202" spans="1:17" x14ac:dyDescent="0.3">
      <c r="A3202" s="34" t="str">
        <f>base!J3202</f>
        <v>LM</v>
      </c>
      <c r="B3202" s="34" t="str">
        <f>base!V3202</f>
        <v>61250</v>
      </c>
      <c r="C3202" s="37">
        <v>69</v>
      </c>
      <c r="D3202" s="36">
        <f>base!H3202</f>
        <v>86.56</v>
      </c>
      <c r="E3202" s="44"/>
      <c r="F3202" s="16">
        <f>base!W3202</f>
        <v>14.72</v>
      </c>
      <c r="G3202" s="11">
        <f t="shared" ref="G3202:G3265" si="500">F3202/D3202</f>
        <v>0.17005545286506471</v>
      </c>
      <c r="H3202" s="11">
        <f t="shared" ref="H3202:H3265" si="501">VLOOKUP(C3202,tout_cout_traction,2,FALSE)*D3202</f>
        <v>23.371200000000002</v>
      </c>
      <c r="I3202" s="11">
        <f t="shared" ref="I3202:I3265" si="502">H3202/D3202</f>
        <v>0.27</v>
      </c>
      <c r="J3202" s="12">
        <f t="shared" ref="J3202:J3265" si="503">F3202-H3202</f>
        <v>-8.6512000000000011</v>
      </c>
      <c r="K3202" s="17" t="str">
        <f t="shared" si="498"/>
        <v>Ecart négatif</v>
      </c>
      <c r="L3202" s="16">
        <f>base!X3202</f>
        <v>0</v>
      </c>
      <c r="M3202" s="11">
        <f t="shared" ref="M3202:M3265" si="504">L3202/D3202</f>
        <v>0</v>
      </c>
      <c r="N3202" s="11">
        <f t="shared" ref="N3202:N3265" si="505">VLOOKUP(C3202,tout_cout_traction,3,FALSE)*D3202</f>
        <v>0</v>
      </c>
      <c r="O3202" s="11">
        <f t="shared" ref="O3202:O3265" si="506">N3202/D3202</f>
        <v>0</v>
      </c>
      <c r="P3202" s="12">
        <f t="shared" ref="P3202:P3265" si="507">L3202-N3202</f>
        <v>0</v>
      </c>
      <c r="Q3202" s="17" t="str">
        <f t="shared" si="499"/>
        <v>Pas d'écart</v>
      </c>
    </row>
    <row r="3203" spans="1:17" x14ac:dyDescent="0.3">
      <c r="A3203" s="34" t="str">
        <f>base!J3203</f>
        <v>RS</v>
      </c>
      <c r="B3203" s="34" t="str">
        <f>base!V3203</f>
        <v>77380</v>
      </c>
      <c r="C3203" s="37">
        <v>77</v>
      </c>
      <c r="D3203" s="36">
        <f>base!H3203</f>
        <v>62.1</v>
      </c>
      <c r="E3203" s="44"/>
      <c r="F3203" s="16">
        <f>base!W3203</f>
        <v>0</v>
      </c>
      <c r="G3203" s="11">
        <f t="shared" si="500"/>
        <v>0</v>
      </c>
      <c r="H3203" s="11">
        <f t="shared" si="501"/>
        <v>0</v>
      </c>
      <c r="I3203" s="11">
        <f t="shared" si="502"/>
        <v>0</v>
      </c>
      <c r="J3203" s="12">
        <f t="shared" si="503"/>
        <v>0</v>
      </c>
      <c r="K3203" s="17" t="str">
        <f t="shared" ref="K3203:K3266" si="508">IF(H3203=F3203,"Pas d'écart",IF(H3203&lt;F3203,"Ecart positif",IF(H3203&gt;F3203,"Ecart négatif")))</f>
        <v>Pas d'écart</v>
      </c>
      <c r="L3203" s="16">
        <f>base!X3203</f>
        <v>0</v>
      </c>
      <c r="M3203" s="11">
        <f t="shared" si="504"/>
        <v>0</v>
      </c>
      <c r="N3203" s="11">
        <f t="shared" si="505"/>
        <v>0</v>
      </c>
      <c r="O3203" s="11">
        <f t="shared" si="506"/>
        <v>0</v>
      </c>
      <c r="P3203" s="12">
        <f t="shared" si="507"/>
        <v>0</v>
      </c>
      <c r="Q3203" s="17" t="str">
        <f t="shared" ref="Q3203:Q3266" si="509">IF(N3203=L3203,"Pas d'écart",IF(N3203&lt;L3203,"Ecart positif",IF(N3203&gt;L3203,"Ecart négatif")))</f>
        <v>Pas d'écart</v>
      </c>
    </row>
    <row r="3204" spans="1:17" x14ac:dyDescent="0.3">
      <c r="A3204" s="34" t="str">
        <f>base!J3204</f>
        <v>RM</v>
      </c>
      <c r="B3204" s="34" t="str">
        <f>base!V3204</f>
        <v>44600</v>
      </c>
      <c r="C3204" s="37">
        <v>44</v>
      </c>
      <c r="D3204" s="36">
        <f>base!H3204</f>
        <v>40</v>
      </c>
      <c r="E3204" s="44"/>
      <c r="F3204" s="16">
        <f>base!W3204</f>
        <v>0</v>
      </c>
      <c r="G3204" s="11">
        <f t="shared" si="500"/>
        <v>0</v>
      </c>
      <c r="H3204" s="11">
        <f t="shared" si="501"/>
        <v>10.8</v>
      </c>
      <c r="I3204" s="11">
        <f t="shared" si="502"/>
        <v>0.27</v>
      </c>
      <c r="J3204" s="12">
        <f t="shared" si="503"/>
        <v>-10.8</v>
      </c>
      <c r="K3204" s="17" t="str">
        <f t="shared" si="508"/>
        <v>Ecart négatif</v>
      </c>
      <c r="L3204" s="16">
        <f>base!X3204</f>
        <v>0</v>
      </c>
      <c r="M3204" s="11">
        <f t="shared" si="504"/>
        <v>0</v>
      </c>
      <c r="N3204" s="11">
        <f t="shared" si="505"/>
        <v>0</v>
      </c>
      <c r="O3204" s="11">
        <f t="shared" si="506"/>
        <v>0</v>
      </c>
      <c r="P3204" s="12">
        <f t="shared" si="507"/>
        <v>0</v>
      </c>
      <c r="Q3204" s="17" t="str">
        <f t="shared" si="509"/>
        <v>Pas d'écart</v>
      </c>
    </row>
    <row r="3205" spans="1:17" x14ac:dyDescent="0.3">
      <c r="A3205" s="34" t="str">
        <f>base!J3205</f>
        <v>RM</v>
      </c>
      <c r="B3205" s="34" t="str">
        <f>base!V3205</f>
        <v>69340</v>
      </c>
      <c r="C3205" s="37">
        <v>69</v>
      </c>
      <c r="D3205" s="36">
        <f>base!H3205</f>
        <v>110.91</v>
      </c>
      <c r="E3205" s="44"/>
      <c r="F3205" s="16">
        <f>base!W3205</f>
        <v>0</v>
      </c>
      <c r="G3205" s="11">
        <f t="shared" si="500"/>
        <v>0</v>
      </c>
      <c r="H3205" s="11">
        <f t="shared" si="501"/>
        <v>29.945700000000002</v>
      </c>
      <c r="I3205" s="11">
        <f t="shared" si="502"/>
        <v>0.27</v>
      </c>
      <c r="J3205" s="12">
        <f t="shared" si="503"/>
        <v>-29.945700000000002</v>
      </c>
      <c r="K3205" s="17" t="str">
        <f t="shared" si="508"/>
        <v>Ecart négatif</v>
      </c>
      <c r="L3205" s="16">
        <f>base!X3205</f>
        <v>0</v>
      </c>
      <c r="M3205" s="11">
        <f t="shared" si="504"/>
        <v>0</v>
      </c>
      <c r="N3205" s="11">
        <f t="shared" si="505"/>
        <v>0</v>
      </c>
      <c r="O3205" s="11">
        <f t="shared" si="506"/>
        <v>0</v>
      </c>
      <c r="P3205" s="12">
        <f t="shared" si="507"/>
        <v>0</v>
      </c>
      <c r="Q3205" s="17" t="str">
        <f t="shared" si="509"/>
        <v>Pas d'écart</v>
      </c>
    </row>
    <row r="3206" spans="1:17" x14ac:dyDescent="0.3">
      <c r="A3206" s="34" t="str">
        <f>base!J3206</f>
        <v>RM</v>
      </c>
      <c r="B3206" s="34" t="str">
        <f>base!V3206</f>
        <v>26000</v>
      </c>
      <c r="C3206" s="37">
        <v>26</v>
      </c>
      <c r="D3206" s="36">
        <f>base!H3206</f>
        <v>133.6</v>
      </c>
      <c r="E3206" s="44"/>
      <c r="F3206" s="16">
        <f>base!W3206</f>
        <v>0</v>
      </c>
      <c r="G3206" s="11">
        <f t="shared" si="500"/>
        <v>0</v>
      </c>
      <c r="H3206" s="11">
        <f t="shared" si="501"/>
        <v>36.072000000000003</v>
      </c>
      <c r="I3206" s="11">
        <f t="shared" si="502"/>
        <v>0.27</v>
      </c>
      <c r="J3206" s="12">
        <f t="shared" si="503"/>
        <v>-36.072000000000003</v>
      </c>
      <c r="K3206" s="17" t="str">
        <f t="shared" si="508"/>
        <v>Ecart négatif</v>
      </c>
      <c r="L3206" s="16">
        <f>base!X3206</f>
        <v>0</v>
      </c>
      <c r="M3206" s="11">
        <f t="shared" si="504"/>
        <v>0</v>
      </c>
      <c r="N3206" s="11">
        <f t="shared" si="505"/>
        <v>0</v>
      </c>
      <c r="O3206" s="11">
        <f t="shared" si="506"/>
        <v>0</v>
      </c>
      <c r="P3206" s="12">
        <f t="shared" si="507"/>
        <v>0</v>
      </c>
      <c r="Q3206" s="17" t="str">
        <f t="shared" si="509"/>
        <v>Pas d'écart</v>
      </c>
    </row>
    <row r="3207" spans="1:17" x14ac:dyDescent="0.3">
      <c r="A3207" s="34" t="str">
        <f>base!J3207</f>
        <v>RS</v>
      </c>
      <c r="B3207" s="34" t="str">
        <f>base!V3207</f>
        <v>44220</v>
      </c>
      <c r="C3207" s="37">
        <v>44</v>
      </c>
      <c r="D3207" s="36">
        <f>base!H3207</f>
        <v>180</v>
      </c>
      <c r="E3207" s="44"/>
      <c r="F3207" s="16">
        <f>base!W3207</f>
        <v>0</v>
      </c>
      <c r="G3207" s="11">
        <f t="shared" si="500"/>
        <v>0</v>
      </c>
      <c r="H3207" s="11">
        <f t="shared" si="501"/>
        <v>48.6</v>
      </c>
      <c r="I3207" s="11">
        <f t="shared" si="502"/>
        <v>0.27</v>
      </c>
      <c r="J3207" s="12">
        <f t="shared" si="503"/>
        <v>-48.6</v>
      </c>
      <c r="K3207" s="17" t="str">
        <f t="shared" si="508"/>
        <v>Ecart négatif</v>
      </c>
      <c r="L3207" s="16">
        <f>base!X3207</f>
        <v>48.6</v>
      </c>
      <c r="M3207" s="11">
        <f t="shared" si="504"/>
        <v>0.27</v>
      </c>
      <c r="N3207" s="11">
        <f t="shared" si="505"/>
        <v>0</v>
      </c>
      <c r="O3207" s="11">
        <f t="shared" si="506"/>
        <v>0</v>
      </c>
      <c r="P3207" s="12">
        <f t="shared" si="507"/>
        <v>48.6</v>
      </c>
      <c r="Q3207" s="17" t="str">
        <f t="shared" si="509"/>
        <v>Ecart positif</v>
      </c>
    </row>
    <row r="3208" spans="1:17" x14ac:dyDescent="0.3">
      <c r="A3208" s="34" t="str">
        <f>base!J3208</f>
        <v>LS</v>
      </c>
      <c r="B3208" s="34" t="str">
        <f>base!V3208</f>
        <v>56360</v>
      </c>
      <c r="C3208" s="37">
        <v>69</v>
      </c>
      <c r="D3208" s="36">
        <f>base!H3208</f>
        <v>6</v>
      </c>
      <c r="E3208" s="44"/>
      <c r="F3208" s="16">
        <f>base!W3208</f>
        <v>1.62</v>
      </c>
      <c r="G3208" s="11">
        <f t="shared" si="500"/>
        <v>0.27</v>
      </c>
      <c r="H3208" s="11">
        <f t="shared" si="501"/>
        <v>1.62</v>
      </c>
      <c r="I3208" s="11">
        <f t="shared" si="502"/>
        <v>0.27</v>
      </c>
      <c r="J3208" s="12">
        <f t="shared" si="503"/>
        <v>0</v>
      </c>
      <c r="K3208" s="17" t="str">
        <f t="shared" si="508"/>
        <v>Pas d'écart</v>
      </c>
      <c r="L3208" s="16">
        <f>base!X3208</f>
        <v>0</v>
      </c>
      <c r="M3208" s="11">
        <f t="shared" si="504"/>
        <v>0</v>
      </c>
      <c r="N3208" s="11">
        <f t="shared" si="505"/>
        <v>0</v>
      </c>
      <c r="O3208" s="11">
        <f t="shared" si="506"/>
        <v>0</v>
      </c>
      <c r="P3208" s="12">
        <f t="shared" si="507"/>
        <v>0</v>
      </c>
      <c r="Q3208" s="17" t="str">
        <f t="shared" si="509"/>
        <v>Pas d'écart</v>
      </c>
    </row>
    <row r="3209" spans="1:17" x14ac:dyDescent="0.3">
      <c r="A3209" s="34" t="str">
        <f>base!J3209</f>
        <v>RS</v>
      </c>
      <c r="B3209" s="34" t="str">
        <f>base!V3209</f>
        <v>67960</v>
      </c>
      <c r="C3209" s="37">
        <v>67</v>
      </c>
      <c r="D3209" s="36">
        <f>base!H3209</f>
        <v>10</v>
      </c>
      <c r="E3209" s="44"/>
      <c r="F3209" s="16">
        <f>base!W3209</f>
        <v>0</v>
      </c>
      <c r="G3209" s="11">
        <f t="shared" si="500"/>
        <v>0</v>
      </c>
      <c r="H3209" s="11">
        <f t="shared" si="501"/>
        <v>2.9</v>
      </c>
      <c r="I3209" s="11">
        <f t="shared" si="502"/>
        <v>0.28999999999999998</v>
      </c>
      <c r="J3209" s="12">
        <f t="shared" si="503"/>
        <v>-2.9</v>
      </c>
      <c r="K3209" s="17" t="str">
        <f t="shared" si="508"/>
        <v>Ecart négatif</v>
      </c>
      <c r="L3209" s="16">
        <f>base!X3209</f>
        <v>2.9</v>
      </c>
      <c r="M3209" s="11">
        <f t="shared" si="504"/>
        <v>0.28999999999999998</v>
      </c>
      <c r="N3209" s="11">
        <f t="shared" si="505"/>
        <v>0.8</v>
      </c>
      <c r="O3209" s="11">
        <f t="shared" si="506"/>
        <v>0.08</v>
      </c>
      <c r="P3209" s="12">
        <f t="shared" si="507"/>
        <v>2.0999999999999996</v>
      </c>
      <c r="Q3209" s="17" t="str">
        <f t="shared" si="509"/>
        <v>Ecart positif</v>
      </c>
    </row>
    <row r="3210" spans="1:17" x14ac:dyDescent="0.3">
      <c r="A3210" s="34" t="str">
        <f>base!J3210</f>
        <v>RM</v>
      </c>
      <c r="B3210" s="34" t="str">
        <f>base!V3210</f>
        <v>13008</v>
      </c>
      <c r="C3210" s="37">
        <v>13</v>
      </c>
      <c r="D3210" s="36">
        <f>base!H3210</f>
        <v>25.6</v>
      </c>
      <c r="E3210" s="44"/>
      <c r="F3210" s="16">
        <f>base!W3210</f>
        <v>0</v>
      </c>
      <c r="G3210" s="11">
        <f t="shared" si="500"/>
        <v>0</v>
      </c>
      <c r="H3210" s="11">
        <f t="shared" si="501"/>
        <v>7.4239999999999995</v>
      </c>
      <c r="I3210" s="11">
        <f t="shared" si="502"/>
        <v>0.28999999999999998</v>
      </c>
      <c r="J3210" s="12">
        <f t="shared" si="503"/>
        <v>-7.4239999999999995</v>
      </c>
      <c r="K3210" s="17" t="str">
        <f t="shared" si="508"/>
        <v>Ecart négatif</v>
      </c>
      <c r="L3210" s="16">
        <f>base!X3210</f>
        <v>0</v>
      </c>
      <c r="M3210" s="11">
        <f t="shared" si="504"/>
        <v>0</v>
      </c>
      <c r="N3210" s="11">
        <f t="shared" si="505"/>
        <v>4.8640000000000008</v>
      </c>
      <c r="O3210" s="11">
        <f t="shared" si="506"/>
        <v>0.19000000000000003</v>
      </c>
      <c r="P3210" s="12">
        <f t="shared" si="507"/>
        <v>-4.8640000000000008</v>
      </c>
      <c r="Q3210" s="17" t="str">
        <f t="shared" si="509"/>
        <v>Ecart négatif</v>
      </c>
    </row>
    <row r="3211" spans="1:17" x14ac:dyDescent="0.3">
      <c r="A3211" s="34" t="str">
        <f>base!J3211</f>
        <v>RS</v>
      </c>
      <c r="B3211" s="34" t="str">
        <f>base!V3211</f>
        <v>57370</v>
      </c>
      <c r="C3211" s="37">
        <v>57</v>
      </c>
      <c r="D3211" s="36">
        <f>base!H3211</f>
        <v>151</v>
      </c>
      <c r="E3211" s="44"/>
      <c r="F3211" s="16">
        <f>base!W3211</f>
        <v>0</v>
      </c>
      <c r="G3211" s="11">
        <f t="shared" si="500"/>
        <v>0</v>
      </c>
      <c r="H3211" s="11">
        <f t="shared" si="501"/>
        <v>36.24</v>
      </c>
      <c r="I3211" s="11">
        <f t="shared" si="502"/>
        <v>0.24000000000000002</v>
      </c>
      <c r="J3211" s="12">
        <f t="shared" si="503"/>
        <v>-36.24</v>
      </c>
      <c r="K3211" s="17" t="str">
        <f t="shared" si="508"/>
        <v>Ecart négatif</v>
      </c>
      <c r="L3211" s="16">
        <f>base!X3211</f>
        <v>0</v>
      </c>
      <c r="M3211" s="11">
        <f t="shared" si="504"/>
        <v>0</v>
      </c>
      <c r="N3211" s="11">
        <f t="shared" si="505"/>
        <v>37.75</v>
      </c>
      <c r="O3211" s="11">
        <f t="shared" si="506"/>
        <v>0.25</v>
      </c>
      <c r="P3211" s="12">
        <f t="shared" si="507"/>
        <v>-37.75</v>
      </c>
      <c r="Q3211" s="17" t="str">
        <f t="shared" si="509"/>
        <v>Ecart négatif</v>
      </c>
    </row>
    <row r="3212" spans="1:17" x14ac:dyDescent="0.3">
      <c r="A3212" s="34" t="str">
        <f>base!J3212</f>
        <v>RM</v>
      </c>
      <c r="B3212" s="34" t="str">
        <f>base!V3212</f>
        <v>69800</v>
      </c>
      <c r="C3212" s="37">
        <v>69</v>
      </c>
      <c r="D3212" s="36">
        <f>base!H3212</f>
        <v>70.14</v>
      </c>
      <c r="E3212" s="44"/>
      <c r="F3212" s="16">
        <f>base!W3212</f>
        <v>0</v>
      </c>
      <c r="G3212" s="11">
        <f t="shared" si="500"/>
        <v>0</v>
      </c>
      <c r="H3212" s="11">
        <f t="shared" si="501"/>
        <v>18.937800000000003</v>
      </c>
      <c r="I3212" s="11">
        <f t="shared" si="502"/>
        <v>0.27</v>
      </c>
      <c r="J3212" s="12">
        <f t="shared" si="503"/>
        <v>-18.937800000000003</v>
      </c>
      <c r="K3212" s="17" t="str">
        <f t="shared" si="508"/>
        <v>Ecart négatif</v>
      </c>
      <c r="L3212" s="16">
        <f>base!X3212</f>
        <v>0</v>
      </c>
      <c r="M3212" s="11">
        <f t="shared" si="504"/>
        <v>0</v>
      </c>
      <c r="N3212" s="11">
        <f t="shared" si="505"/>
        <v>0</v>
      </c>
      <c r="O3212" s="11">
        <f t="shared" si="506"/>
        <v>0</v>
      </c>
      <c r="P3212" s="12">
        <f t="shared" si="507"/>
        <v>0</v>
      </c>
      <c r="Q3212" s="17" t="str">
        <f t="shared" si="509"/>
        <v>Pas d'écart</v>
      </c>
    </row>
    <row r="3213" spans="1:17" x14ac:dyDescent="0.3">
      <c r="A3213" s="34" t="str">
        <f>base!J3213</f>
        <v>RM</v>
      </c>
      <c r="B3213" s="34" t="str">
        <f>base!V3213</f>
        <v>27300</v>
      </c>
      <c r="C3213" s="37">
        <v>27</v>
      </c>
      <c r="D3213" s="36">
        <f>base!H3213</f>
        <v>19.399999999999999</v>
      </c>
      <c r="E3213" s="44"/>
      <c r="F3213" s="16">
        <f>base!W3213</f>
        <v>0</v>
      </c>
      <c r="G3213" s="11">
        <f t="shared" si="500"/>
        <v>0</v>
      </c>
      <c r="H3213" s="11">
        <f t="shared" si="501"/>
        <v>3.298</v>
      </c>
      <c r="I3213" s="11">
        <f t="shared" si="502"/>
        <v>0.17</v>
      </c>
      <c r="J3213" s="12">
        <f t="shared" si="503"/>
        <v>-3.298</v>
      </c>
      <c r="K3213" s="17" t="str">
        <f t="shared" si="508"/>
        <v>Ecart négatif</v>
      </c>
      <c r="L3213" s="16">
        <f>base!X3213</f>
        <v>0</v>
      </c>
      <c r="M3213" s="11">
        <f t="shared" si="504"/>
        <v>0</v>
      </c>
      <c r="N3213" s="11">
        <f t="shared" si="505"/>
        <v>3.298</v>
      </c>
      <c r="O3213" s="11">
        <f t="shared" si="506"/>
        <v>0.17</v>
      </c>
      <c r="P3213" s="12">
        <f t="shared" si="507"/>
        <v>-3.298</v>
      </c>
      <c r="Q3213" s="17" t="str">
        <f t="shared" si="509"/>
        <v>Ecart négatif</v>
      </c>
    </row>
    <row r="3214" spans="1:17" x14ac:dyDescent="0.3">
      <c r="A3214" s="34" t="str">
        <f>base!J3214</f>
        <v>RS</v>
      </c>
      <c r="B3214" s="34" t="str">
        <f>base!V3214</f>
        <v>44980</v>
      </c>
      <c r="C3214" s="37">
        <v>44</v>
      </c>
      <c r="D3214" s="36">
        <f>base!H3214</f>
        <v>140.72</v>
      </c>
      <c r="E3214" s="44"/>
      <c r="F3214" s="16">
        <f>base!W3214</f>
        <v>0</v>
      </c>
      <c r="G3214" s="11">
        <f t="shared" si="500"/>
        <v>0</v>
      </c>
      <c r="H3214" s="11">
        <f t="shared" si="501"/>
        <v>37.994399999999999</v>
      </c>
      <c r="I3214" s="11">
        <f t="shared" si="502"/>
        <v>0.27</v>
      </c>
      <c r="J3214" s="12">
        <f t="shared" si="503"/>
        <v>-37.994399999999999</v>
      </c>
      <c r="K3214" s="17" t="str">
        <f t="shared" si="508"/>
        <v>Ecart négatif</v>
      </c>
      <c r="L3214" s="16">
        <f>base!X3214</f>
        <v>0</v>
      </c>
      <c r="M3214" s="11">
        <f t="shared" si="504"/>
        <v>0</v>
      </c>
      <c r="N3214" s="11">
        <f t="shared" si="505"/>
        <v>0</v>
      </c>
      <c r="O3214" s="11">
        <f t="shared" si="506"/>
        <v>0</v>
      </c>
      <c r="P3214" s="12">
        <f t="shared" si="507"/>
        <v>0</v>
      </c>
      <c r="Q3214" s="17" t="str">
        <f t="shared" si="509"/>
        <v>Pas d'écart</v>
      </c>
    </row>
    <row r="3215" spans="1:17" x14ac:dyDescent="0.3">
      <c r="A3215" s="34" t="str">
        <f>base!J3215</f>
        <v>DRM</v>
      </c>
      <c r="B3215" s="34" t="str">
        <f>base!V3215</f>
        <v>37000</v>
      </c>
      <c r="C3215" s="37">
        <v>37</v>
      </c>
      <c r="D3215" s="36">
        <f>base!H3215</f>
        <v>195.34</v>
      </c>
      <c r="E3215" s="44"/>
      <c r="F3215" s="16">
        <f>base!W3215</f>
        <v>0</v>
      </c>
      <c r="G3215" s="11">
        <f t="shared" si="500"/>
        <v>0</v>
      </c>
      <c r="H3215" s="11">
        <f t="shared" si="501"/>
        <v>37.114600000000003</v>
      </c>
      <c r="I3215" s="11">
        <f t="shared" si="502"/>
        <v>0.19</v>
      </c>
      <c r="J3215" s="12">
        <f t="shared" si="503"/>
        <v>-37.114600000000003</v>
      </c>
      <c r="K3215" s="17" t="str">
        <f t="shared" si="508"/>
        <v>Ecart négatif</v>
      </c>
      <c r="L3215" s="16">
        <f>base!X3215</f>
        <v>0</v>
      </c>
      <c r="M3215" s="11">
        <f t="shared" si="504"/>
        <v>0</v>
      </c>
      <c r="N3215" s="11">
        <f t="shared" si="505"/>
        <v>23.440799999999999</v>
      </c>
      <c r="O3215" s="11">
        <f t="shared" si="506"/>
        <v>0.12</v>
      </c>
      <c r="P3215" s="12">
        <f t="shared" si="507"/>
        <v>-23.440799999999999</v>
      </c>
      <c r="Q3215" s="17" t="str">
        <f t="shared" si="509"/>
        <v>Ecart négatif</v>
      </c>
    </row>
    <row r="3216" spans="1:17" x14ac:dyDescent="0.3">
      <c r="A3216" s="34" t="str">
        <f>base!J3216</f>
        <v>RM</v>
      </c>
      <c r="B3216" s="34" t="str">
        <f>base!V3216</f>
        <v>04800</v>
      </c>
      <c r="C3216" s="37">
        <v>4</v>
      </c>
      <c r="D3216" s="36">
        <f>base!H3216</f>
        <v>140</v>
      </c>
      <c r="E3216" s="44"/>
      <c r="F3216" s="16">
        <f>base!W3216</f>
        <v>0</v>
      </c>
      <c r="G3216" s="11">
        <f t="shared" si="500"/>
        <v>0</v>
      </c>
      <c r="H3216" s="11">
        <f t="shared" si="501"/>
        <v>40.599999999999994</v>
      </c>
      <c r="I3216" s="11">
        <f t="shared" si="502"/>
        <v>0.28999999999999998</v>
      </c>
      <c r="J3216" s="12">
        <f t="shared" si="503"/>
        <v>-40.599999999999994</v>
      </c>
      <c r="K3216" s="17" t="str">
        <f t="shared" si="508"/>
        <v>Ecart négatif</v>
      </c>
      <c r="L3216" s="16">
        <f>base!X3216</f>
        <v>0</v>
      </c>
      <c r="M3216" s="11">
        <f t="shared" si="504"/>
        <v>0</v>
      </c>
      <c r="N3216" s="11">
        <f t="shared" si="505"/>
        <v>26.6</v>
      </c>
      <c r="O3216" s="11">
        <f t="shared" si="506"/>
        <v>0.19</v>
      </c>
      <c r="P3216" s="12">
        <f t="shared" si="507"/>
        <v>-26.6</v>
      </c>
      <c r="Q3216" s="17" t="str">
        <f t="shared" si="509"/>
        <v>Ecart négatif</v>
      </c>
    </row>
    <row r="3217" spans="1:18" x14ac:dyDescent="0.3">
      <c r="A3217" s="34" t="str">
        <f>base!J3217</f>
        <v>RS</v>
      </c>
      <c r="B3217" s="34" t="str">
        <f>base!V3217</f>
        <v>47200</v>
      </c>
      <c r="C3217" s="37">
        <v>47</v>
      </c>
      <c r="D3217" s="36">
        <f>base!H3217</f>
        <v>40</v>
      </c>
      <c r="E3217" s="44"/>
      <c r="F3217" s="16">
        <f>base!W3217</f>
        <v>0</v>
      </c>
      <c r="G3217" s="11">
        <f t="shared" si="500"/>
        <v>0</v>
      </c>
      <c r="H3217" s="11">
        <f t="shared" si="501"/>
        <v>8.4</v>
      </c>
      <c r="I3217" s="11">
        <f t="shared" si="502"/>
        <v>0.21000000000000002</v>
      </c>
      <c r="J3217" s="12">
        <f t="shared" si="503"/>
        <v>-8.4</v>
      </c>
      <c r="K3217" s="17" t="str">
        <f t="shared" si="508"/>
        <v>Ecart négatif</v>
      </c>
      <c r="L3217" s="16">
        <f>base!X3217</f>
        <v>6.8</v>
      </c>
      <c r="M3217" s="11">
        <f t="shared" si="504"/>
        <v>0.16999999999999998</v>
      </c>
      <c r="N3217" s="11">
        <f t="shared" si="505"/>
        <v>6.8000000000000007</v>
      </c>
      <c r="O3217" s="11">
        <f t="shared" si="506"/>
        <v>0.17</v>
      </c>
      <c r="P3217" s="12">
        <f t="shared" si="507"/>
        <v>0</v>
      </c>
      <c r="Q3217" s="17" t="str">
        <f t="shared" si="509"/>
        <v>Pas d'écart</v>
      </c>
      <c r="R3217" s="38"/>
    </row>
    <row r="3218" spans="1:18" x14ac:dyDescent="0.3">
      <c r="A3218" s="34" t="str">
        <f>base!J3218</f>
        <v>RM</v>
      </c>
      <c r="B3218" s="34" t="str">
        <f>base!V3218</f>
        <v>69150</v>
      </c>
      <c r="C3218" s="37">
        <v>69</v>
      </c>
      <c r="D3218" s="36">
        <f>base!H3218</f>
        <v>25</v>
      </c>
      <c r="E3218" s="44"/>
      <c r="F3218" s="16">
        <f>base!W3218</f>
        <v>0</v>
      </c>
      <c r="G3218" s="11">
        <f t="shared" si="500"/>
        <v>0</v>
      </c>
      <c r="H3218" s="11">
        <f t="shared" si="501"/>
        <v>6.75</v>
      </c>
      <c r="I3218" s="11">
        <f t="shared" si="502"/>
        <v>0.27</v>
      </c>
      <c r="J3218" s="12">
        <f t="shared" si="503"/>
        <v>-6.75</v>
      </c>
      <c r="K3218" s="17" t="str">
        <f t="shared" si="508"/>
        <v>Ecart négatif</v>
      </c>
      <c r="L3218" s="16">
        <f>base!X3218</f>
        <v>0</v>
      </c>
      <c r="M3218" s="11">
        <f t="shared" si="504"/>
        <v>0</v>
      </c>
      <c r="N3218" s="11">
        <f t="shared" si="505"/>
        <v>0</v>
      </c>
      <c r="O3218" s="11">
        <f t="shared" si="506"/>
        <v>0</v>
      </c>
      <c r="P3218" s="12">
        <f t="shared" si="507"/>
        <v>0</v>
      </c>
      <c r="Q3218" s="17" t="str">
        <f t="shared" si="509"/>
        <v>Pas d'écart</v>
      </c>
    </row>
    <row r="3219" spans="1:18" x14ac:dyDescent="0.3">
      <c r="A3219" s="34" t="str">
        <f>base!J3219</f>
        <v>RM</v>
      </c>
      <c r="B3219" s="34" t="str">
        <f>base!V3219</f>
        <v>06190</v>
      </c>
      <c r="C3219" s="37">
        <v>6</v>
      </c>
      <c r="D3219" s="36">
        <f>base!H3219</f>
        <v>27</v>
      </c>
      <c r="E3219" s="44"/>
      <c r="F3219" s="16">
        <f>base!W3219</f>
        <v>0</v>
      </c>
      <c r="G3219" s="11">
        <f t="shared" si="500"/>
        <v>0</v>
      </c>
      <c r="H3219" s="11">
        <f t="shared" si="501"/>
        <v>8.1</v>
      </c>
      <c r="I3219" s="11">
        <f t="shared" si="502"/>
        <v>0.3</v>
      </c>
      <c r="J3219" s="12">
        <f t="shared" si="503"/>
        <v>-8.1</v>
      </c>
      <c r="K3219" s="17" t="str">
        <f t="shared" si="508"/>
        <v>Ecart négatif</v>
      </c>
      <c r="L3219" s="16">
        <f>base!X3219</f>
        <v>8.1</v>
      </c>
      <c r="M3219" s="11">
        <f t="shared" si="504"/>
        <v>0.3</v>
      </c>
      <c r="N3219" s="11">
        <f t="shared" si="505"/>
        <v>5.67</v>
      </c>
      <c r="O3219" s="11">
        <f t="shared" si="506"/>
        <v>0.21</v>
      </c>
      <c r="P3219" s="12">
        <f t="shared" si="507"/>
        <v>2.4299999999999997</v>
      </c>
      <c r="Q3219" s="17" t="str">
        <f t="shared" si="509"/>
        <v>Ecart positif</v>
      </c>
      <c r="R3219" s="38"/>
    </row>
    <row r="3220" spans="1:18" x14ac:dyDescent="0.3">
      <c r="A3220" s="34" t="str">
        <f>base!J3220</f>
        <v>DLM</v>
      </c>
      <c r="B3220" s="34" t="str">
        <f>base!V3220</f>
        <v>54000</v>
      </c>
      <c r="C3220" s="37">
        <v>54</v>
      </c>
      <c r="D3220" s="36">
        <f>base!H3220</f>
        <v>52.5</v>
      </c>
      <c r="E3220" s="44"/>
      <c r="F3220" s="16">
        <f>base!W3220</f>
        <v>0</v>
      </c>
      <c r="G3220" s="11">
        <f t="shared" si="500"/>
        <v>0</v>
      </c>
      <c r="H3220" s="11">
        <f t="shared" si="501"/>
        <v>13.125</v>
      </c>
      <c r="I3220" s="11">
        <f t="shared" si="502"/>
        <v>0.25</v>
      </c>
      <c r="J3220" s="12">
        <f t="shared" si="503"/>
        <v>-13.125</v>
      </c>
      <c r="K3220" s="17" t="str">
        <f t="shared" si="508"/>
        <v>Ecart négatif</v>
      </c>
      <c r="L3220" s="16">
        <f>base!X3220</f>
        <v>0</v>
      </c>
      <c r="M3220" s="11">
        <f t="shared" si="504"/>
        <v>0</v>
      </c>
      <c r="N3220" s="11">
        <f t="shared" si="505"/>
        <v>13.125</v>
      </c>
      <c r="O3220" s="11">
        <f t="shared" si="506"/>
        <v>0.25</v>
      </c>
      <c r="P3220" s="12">
        <f t="shared" si="507"/>
        <v>-13.125</v>
      </c>
      <c r="Q3220" s="17" t="str">
        <f t="shared" si="509"/>
        <v>Ecart négatif</v>
      </c>
    </row>
    <row r="3221" spans="1:18" x14ac:dyDescent="0.3">
      <c r="A3221" s="34" t="str">
        <f>base!J3221</f>
        <v>DLM</v>
      </c>
      <c r="B3221" s="34" t="str">
        <f>base!V3221</f>
        <v>31300</v>
      </c>
      <c r="C3221" s="37">
        <v>31</v>
      </c>
      <c r="D3221" s="36">
        <f>base!H3221</f>
        <v>52.5</v>
      </c>
      <c r="E3221" s="44"/>
      <c r="F3221" s="16">
        <f>base!W3221</f>
        <v>11.55</v>
      </c>
      <c r="G3221" s="11">
        <f t="shared" si="500"/>
        <v>0.22</v>
      </c>
      <c r="H3221" s="11">
        <f t="shared" si="501"/>
        <v>9.9749999999999996</v>
      </c>
      <c r="I3221" s="11">
        <f t="shared" si="502"/>
        <v>0.19</v>
      </c>
      <c r="J3221" s="12">
        <f t="shared" si="503"/>
        <v>1.5750000000000011</v>
      </c>
      <c r="K3221" s="17" t="str">
        <f t="shared" si="508"/>
        <v>Ecart positif</v>
      </c>
      <c r="L3221" s="16">
        <f>base!X3221</f>
        <v>0</v>
      </c>
      <c r="M3221" s="11">
        <f t="shared" si="504"/>
        <v>0</v>
      </c>
      <c r="N3221" s="11">
        <f t="shared" si="505"/>
        <v>13.65</v>
      </c>
      <c r="O3221" s="11">
        <f t="shared" si="506"/>
        <v>0.26</v>
      </c>
      <c r="P3221" s="12">
        <f t="shared" si="507"/>
        <v>-13.65</v>
      </c>
      <c r="Q3221" s="17" t="str">
        <f t="shared" si="509"/>
        <v>Ecart négatif</v>
      </c>
    </row>
    <row r="3222" spans="1:18" x14ac:dyDescent="0.3">
      <c r="A3222" s="34" t="str">
        <f>base!J3222</f>
        <v>DLM</v>
      </c>
      <c r="B3222" s="34" t="str">
        <f>base!V3222</f>
        <v>73000</v>
      </c>
      <c r="C3222" s="37">
        <v>73</v>
      </c>
      <c r="D3222" s="36">
        <f>base!H3222</f>
        <v>52.5</v>
      </c>
      <c r="E3222" s="44"/>
      <c r="F3222" s="16">
        <f>base!W3222</f>
        <v>0</v>
      </c>
      <c r="G3222" s="11">
        <f t="shared" si="500"/>
        <v>0</v>
      </c>
      <c r="H3222" s="11">
        <f t="shared" si="501"/>
        <v>14.175000000000001</v>
      </c>
      <c r="I3222" s="11">
        <f t="shared" si="502"/>
        <v>0.27</v>
      </c>
      <c r="J3222" s="12">
        <f t="shared" si="503"/>
        <v>-14.175000000000001</v>
      </c>
      <c r="K3222" s="17" t="str">
        <f t="shared" si="508"/>
        <v>Ecart négatif</v>
      </c>
      <c r="L3222" s="16">
        <f>base!X3222</f>
        <v>0</v>
      </c>
      <c r="M3222" s="11">
        <f t="shared" si="504"/>
        <v>0</v>
      </c>
      <c r="N3222" s="11">
        <f t="shared" si="505"/>
        <v>0</v>
      </c>
      <c r="O3222" s="11">
        <f t="shared" si="506"/>
        <v>0</v>
      </c>
      <c r="P3222" s="12">
        <f t="shared" si="507"/>
        <v>0</v>
      </c>
      <c r="Q3222" s="17" t="str">
        <f t="shared" si="509"/>
        <v>Pas d'écart</v>
      </c>
    </row>
    <row r="3223" spans="1:18" x14ac:dyDescent="0.3">
      <c r="A3223" s="34" t="str">
        <f>base!J3223</f>
        <v>DLM</v>
      </c>
      <c r="B3223" s="34" t="str">
        <f>base!V3223</f>
        <v>69150</v>
      </c>
      <c r="C3223" s="37">
        <v>69</v>
      </c>
      <c r="D3223" s="36">
        <f>base!H3223</f>
        <v>52.5</v>
      </c>
      <c r="E3223" s="44"/>
      <c r="F3223" s="16">
        <f>base!W3223</f>
        <v>0</v>
      </c>
      <c r="G3223" s="11">
        <f t="shared" si="500"/>
        <v>0</v>
      </c>
      <c r="H3223" s="11">
        <f t="shared" si="501"/>
        <v>14.175000000000001</v>
      </c>
      <c r="I3223" s="11">
        <f t="shared" si="502"/>
        <v>0.27</v>
      </c>
      <c r="J3223" s="12">
        <f t="shared" si="503"/>
        <v>-14.175000000000001</v>
      </c>
      <c r="K3223" s="17" t="str">
        <f t="shared" si="508"/>
        <v>Ecart négatif</v>
      </c>
      <c r="L3223" s="16">
        <f>base!X3223</f>
        <v>0</v>
      </c>
      <c r="M3223" s="11">
        <f t="shared" si="504"/>
        <v>0</v>
      </c>
      <c r="N3223" s="11">
        <f t="shared" si="505"/>
        <v>0</v>
      </c>
      <c r="O3223" s="11">
        <f t="shared" si="506"/>
        <v>0</v>
      </c>
      <c r="P3223" s="12">
        <f t="shared" si="507"/>
        <v>0</v>
      </c>
      <c r="Q3223" s="17" t="str">
        <f t="shared" si="509"/>
        <v>Pas d'écart</v>
      </c>
    </row>
    <row r="3224" spans="1:18" x14ac:dyDescent="0.3">
      <c r="A3224" s="34" t="str">
        <f>base!J3224</f>
        <v>RS</v>
      </c>
      <c r="B3224" s="34" t="str">
        <f>base!V3224</f>
        <v>63000</v>
      </c>
      <c r="C3224" s="37">
        <v>63</v>
      </c>
      <c r="D3224" s="36">
        <f>base!H3224</f>
        <v>140</v>
      </c>
      <c r="E3224" s="44"/>
      <c r="F3224" s="16">
        <f>base!W3224</f>
        <v>0</v>
      </c>
      <c r="G3224" s="11">
        <f t="shared" si="500"/>
        <v>0</v>
      </c>
      <c r="H3224" s="11">
        <f t="shared" si="501"/>
        <v>40.599999999999994</v>
      </c>
      <c r="I3224" s="11">
        <f t="shared" si="502"/>
        <v>0.28999999999999998</v>
      </c>
      <c r="J3224" s="12">
        <f t="shared" si="503"/>
        <v>-40.599999999999994</v>
      </c>
      <c r="K3224" s="17" t="str">
        <f t="shared" si="508"/>
        <v>Ecart négatif</v>
      </c>
      <c r="L3224" s="16">
        <f>base!X3224</f>
        <v>16.8</v>
      </c>
      <c r="M3224" s="11">
        <f t="shared" si="504"/>
        <v>0.12000000000000001</v>
      </c>
      <c r="N3224" s="11">
        <f t="shared" si="505"/>
        <v>16.8</v>
      </c>
      <c r="O3224" s="11">
        <f t="shared" si="506"/>
        <v>0.12000000000000001</v>
      </c>
      <c r="P3224" s="12">
        <f t="shared" si="507"/>
        <v>0</v>
      </c>
      <c r="Q3224" s="17" t="str">
        <f t="shared" si="509"/>
        <v>Pas d'écart</v>
      </c>
      <c r="R3224" s="38"/>
    </row>
    <row r="3225" spans="1:18" x14ac:dyDescent="0.3">
      <c r="A3225" s="34" t="str">
        <f>base!J3225</f>
        <v>RS</v>
      </c>
      <c r="B3225" s="34" t="str">
        <f>base!V3225</f>
        <v>94310</v>
      </c>
      <c r="C3225" s="37">
        <v>94</v>
      </c>
      <c r="D3225" s="36">
        <f>base!H3225</f>
        <v>84.5</v>
      </c>
      <c r="E3225" s="44"/>
      <c r="F3225" s="16">
        <f>base!W3225</f>
        <v>0</v>
      </c>
      <c r="G3225" s="11">
        <f t="shared" si="500"/>
        <v>0</v>
      </c>
      <c r="H3225" s="11">
        <f t="shared" si="501"/>
        <v>0</v>
      </c>
      <c r="I3225" s="11">
        <f t="shared" si="502"/>
        <v>0</v>
      </c>
      <c r="J3225" s="12">
        <f t="shared" si="503"/>
        <v>0</v>
      </c>
      <c r="K3225" s="17" t="str">
        <f t="shared" si="508"/>
        <v>Pas d'écart</v>
      </c>
      <c r="L3225" s="16">
        <f>base!X3225</f>
        <v>0</v>
      </c>
      <c r="M3225" s="11">
        <f t="shared" si="504"/>
        <v>0</v>
      </c>
      <c r="N3225" s="11">
        <f t="shared" si="505"/>
        <v>0</v>
      </c>
      <c r="O3225" s="11">
        <f t="shared" si="506"/>
        <v>0</v>
      </c>
      <c r="P3225" s="12">
        <f t="shared" si="507"/>
        <v>0</v>
      </c>
      <c r="Q3225" s="17" t="str">
        <f t="shared" si="509"/>
        <v>Pas d'écart</v>
      </c>
    </row>
    <row r="3226" spans="1:18" x14ac:dyDescent="0.3">
      <c r="A3226" s="34" t="str">
        <f>base!J3226</f>
        <v>LM</v>
      </c>
      <c r="B3226" s="34" t="str">
        <f>base!V3226</f>
        <v>92000</v>
      </c>
      <c r="C3226" s="37">
        <v>92</v>
      </c>
      <c r="D3226" s="36">
        <f>base!H3226</f>
        <v>50.84</v>
      </c>
      <c r="E3226" s="44"/>
      <c r="F3226" s="16">
        <f>base!W3226</f>
        <v>0</v>
      </c>
      <c r="G3226" s="11">
        <f t="shared" si="500"/>
        <v>0</v>
      </c>
      <c r="H3226" s="11">
        <f t="shared" si="501"/>
        <v>0</v>
      </c>
      <c r="I3226" s="11">
        <f t="shared" si="502"/>
        <v>0</v>
      </c>
      <c r="J3226" s="12">
        <f t="shared" si="503"/>
        <v>0</v>
      </c>
      <c r="K3226" s="17" t="str">
        <f t="shared" si="508"/>
        <v>Pas d'écart</v>
      </c>
      <c r="L3226" s="16">
        <f>base!X3226</f>
        <v>0</v>
      </c>
      <c r="M3226" s="11">
        <f t="shared" si="504"/>
        <v>0</v>
      </c>
      <c r="N3226" s="11">
        <f t="shared" si="505"/>
        <v>0</v>
      </c>
      <c r="O3226" s="11">
        <f t="shared" si="506"/>
        <v>0</v>
      </c>
      <c r="P3226" s="12">
        <f t="shared" si="507"/>
        <v>0</v>
      </c>
      <c r="Q3226" s="17" t="str">
        <f t="shared" si="509"/>
        <v>Pas d'écart</v>
      </c>
    </row>
    <row r="3227" spans="1:18" x14ac:dyDescent="0.3">
      <c r="A3227" s="34" t="str">
        <f>base!J3227</f>
        <v>DRM</v>
      </c>
      <c r="B3227" s="34" t="str">
        <f>base!V3227</f>
        <v>38230</v>
      </c>
      <c r="C3227" s="37">
        <v>38</v>
      </c>
      <c r="D3227" s="36">
        <f>base!H3227</f>
        <v>23.4</v>
      </c>
      <c r="E3227" s="44"/>
      <c r="F3227" s="16">
        <f>base!W3227</f>
        <v>0</v>
      </c>
      <c r="G3227" s="11">
        <f t="shared" si="500"/>
        <v>0</v>
      </c>
      <c r="H3227" s="11">
        <f t="shared" si="501"/>
        <v>6.3179999999999996</v>
      </c>
      <c r="I3227" s="11">
        <f t="shared" si="502"/>
        <v>0.27</v>
      </c>
      <c r="J3227" s="12">
        <f t="shared" si="503"/>
        <v>-6.3179999999999996</v>
      </c>
      <c r="K3227" s="17" t="str">
        <f t="shared" si="508"/>
        <v>Ecart négatif</v>
      </c>
      <c r="L3227" s="16">
        <f>base!X3227</f>
        <v>0</v>
      </c>
      <c r="M3227" s="11">
        <f t="shared" si="504"/>
        <v>0</v>
      </c>
      <c r="N3227" s="11">
        <f t="shared" si="505"/>
        <v>0</v>
      </c>
      <c r="O3227" s="11">
        <f t="shared" si="506"/>
        <v>0</v>
      </c>
      <c r="P3227" s="12">
        <f t="shared" si="507"/>
        <v>0</v>
      </c>
      <c r="Q3227" s="17" t="str">
        <f t="shared" si="509"/>
        <v>Pas d'écart</v>
      </c>
    </row>
    <row r="3228" spans="1:18" x14ac:dyDescent="0.3">
      <c r="A3228" s="34" t="str">
        <f>base!J3228</f>
        <v>DLM</v>
      </c>
      <c r="B3228" s="34" t="str">
        <f>base!V3228</f>
        <v>38230</v>
      </c>
      <c r="C3228" s="37">
        <v>38</v>
      </c>
      <c r="D3228" s="36">
        <f>base!H3228</f>
        <v>23.4</v>
      </c>
      <c r="E3228" s="44"/>
      <c r="F3228" s="16">
        <f>base!W3228</f>
        <v>0</v>
      </c>
      <c r="G3228" s="11">
        <f t="shared" si="500"/>
        <v>0</v>
      </c>
      <c r="H3228" s="11">
        <f t="shared" si="501"/>
        <v>6.3179999999999996</v>
      </c>
      <c r="I3228" s="11">
        <f t="shared" si="502"/>
        <v>0.27</v>
      </c>
      <c r="J3228" s="12">
        <f t="shared" si="503"/>
        <v>-6.3179999999999996</v>
      </c>
      <c r="K3228" s="17" t="str">
        <f t="shared" si="508"/>
        <v>Ecart négatif</v>
      </c>
      <c r="L3228" s="16">
        <f>base!X3228</f>
        <v>0</v>
      </c>
      <c r="M3228" s="11">
        <f t="shared" si="504"/>
        <v>0</v>
      </c>
      <c r="N3228" s="11">
        <f t="shared" si="505"/>
        <v>0</v>
      </c>
      <c r="O3228" s="11">
        <f t="shared" si="506"/>
        <v>0</v>
      </c>
      <c r="P3228" s="12">
        <f t="shared" si="507"/>
        <v>0</v>
      </c>
      <c r="Q3228" s="17" t="str">
        <f t="shared" si="509"/>
        <v>Pas d'écart</v>
      </c>
    </row>
    <row r="3229" spans="1:18" x14ac:dyDescent="0.3">
      <c r="A3229" s="34">
        <f>base!J3229</f>
        <v>0</v>
      </c>
      <c r="B3229" s="34" t="str">
        <f>base!V3229</f>
        <v>77184</v>
      </c>
      <c r="C3229" s="37">
        <v>77</v>
      </c>
      <c r="D3229" s="36">
        <f>base!H3229</f>
        <v>20</v>
      </c>
      <c r="E3229" s="44"/>
      <c r="F3229" s="16">
        <f>base!W3229</f>
        <v>0</v>
      </c>
      <c r="G3229" s="11">
        <f t="shared" si="500"/>
        <v>0</v>
      </c>
      <c r="H3229" s="11">
        <f t="shared" si="501"/>
        <v>0</v>
      </c>
      <c r="I3229" s="11">
        <f t="shared" si="502"/>
        <v>0</v>
      </c>
      <c r="J3229" s="12">
        <f t="shared" si="503"/>
        <v>0</v>
      </c>
      <c r="K3229" s="17" t="str">
        <f t="shared" si="508"/>
        <v>Pas d'écart</v>
      </c>
      <c r="L3229" s="16">
        <f>base!X3229</f>
        <v>0</v>
      </c>
      <c r="M3229" s="11">
        <f t="shared" si="504"/>
        <v>0</v>
      </c>
      <c r="N3229" s="11">
        <f t="shared" si="505"/>
        <v>0</v>
      </c>
      <c r="O3229" s="11">
        <f t="shared" si="506"/>
        <v>0</v>
      </c>
      <c r="P3229" s="12">
        <f t="shared" si="507"/>
        <v>0</v>
      </c>
      <c r="Q3229" s="17" t="str">
        <f t="shared" si="509"/>
        <v>Pas d'écart</v>
      </c>
    </row>
    <row r="3230" spans="1:18" x14ac:dyDescent="0.3">
      <c r="A3230" s="34" t="str">
        <f>base!J3230</f>
        <v>LM</v>
      </c>
      <c r="B3230" s="34" t="str">
        <f>base!V3230</f>
        <v>16380</v>
      </c>
      <c r="C3230" s="37">
        <v>69</v>
      </c>
      <c r="D3230" s="36">
        <f>base!H3230</f>
        <v>97.48</v>
      </c>
      <c r="E3230" s="44"/>
      <c r="F3230" s="16">
        <f>base!W3230</f>
        <v>20.47</v>
      </c>
      <c r="G3230" s="11">
        <f t="shared" si="500"/>
        <v>0.20999179318834632</v>
      </c>
      <c r="H3230" s="11">
        <f t="shared" si="501"/>
        <v>26.319600000000001</v>
      </c>
      <c r="I3230" s="11">
        <f t="shared" si="502"/>
        <v>0.27</v>
      </c>
      <c r="J3230" s="12">
        <f t="shared" si="503"/>
        <v>-5.8496000000000024</v>
      </c>
      <c r="K3230" s="17" t="str">
        <f t="shared" si="508"/>
        <v>Ecart négatif</v>
      </c>
      <c r="L3230" s="16">
        <f>base!X3230</f>
        <v>0</v>
      </c>
      <c r="M3230" s="11">
        <f t="shared" si="504"/>
        <v>0</v>
      </c>
      <c r="N3230" s="11">
        <f t="shared" si="505"/>
        <v>0</v>
      </c>
      <c r="O3230" s="11">
        <f t="shared" si="506"/>
        <v>0</v>
      </c>
      <c r="P3230" s="12">
        <f t="shared" si="507"/>
        <v>0</v>
      </c>
      <c r="Q3230" s="17" t="str">
        <f t="shared" si="509"/>
        <v>Pas d'écart</v>
      </c>
    </row>
    <row r="3231" spans="1:18" x14ac:dyDescent="0.3">
      <c r="A3231" s="34" t="str">
        <f>base!J3231</f>
        <v>LM</v>
      </c>
      <c r="B3231" s="34" t="str">
        <f>base!V3231</f>
        <v>72300</v>
      </c>
      <c r="C3231" s="37">
        <v>44</v>
      </c>
      <c r="D3231" s="36">
        <f>base!H3231</f>
        <v>18.350000000000001</v>
      </c>
      <c r="E3231" s="44"/>
      <c r="F3231" s="16">
        <f>base!W3231</f>
        <v>3.85</v>
      </c>
      <c r="G3231" s="11">
        <f t="shared" si="500"/>
        <v>0.2098092643051771</v>
      </c>
      <c r="H3231" s="11">
        <f t="shared" si="501"/>
        <v>4.9545000000000003</v>
      </c>
      <c r="I3231" s="11">
        <f t="shared" si="502"/>
        <v>0.27</v>
      </c>
      <c r="J3231" s="12">
        <f t="shared" si="503"/>
        <v>-1.1045000000000003</v>
      </c>
      <c r="K3231" s="17" t="str">
        <f t="shared" si="508"/>
        <v>Ecart négatif</v>
      </c>
      <c r="L3231" s="16">
        <f>base!X3231</f>
        <v>0</v>
      </c>
      <c r="M3231" s="11">
        <f t="shared" si="504"/>
        <v>0</v>
      </c>
      <c r="N3231" s="11">
        <f t="shared" si="505"/>
        <v>0</v>
      </c>
      <c r="O3231" s="11">
        <f t="shared" si="506"/>
        <v>0</v>
      </c>
      <c r="P3231" s="12">
        <f t="shared" si="507"/>
        <v>0</v>
      </c>
      <c r="Q3231" s="17" t="str">
        <f t="shared" si="509"/>
        <v>Pas d'écart</v>
      </c>
    </row>
    <row r="3232" spans="1:18" x14ac:dyDescent="0.3">
      <c r="A3232" s="34" t="str">
        <f>base!J3232</f>
        <v>RM</v>
      </c>
      <c r="B3232" s="34" t="str">
        <f>base!V3232</f>
        <v>92400</v>
      </c>
      <c r="C3232" s="37">
        <v>92</v>
      </c>
      <c r="D3232" s="36">
        <f>base!H3232</f>
        <v>29.59</v>
      </c>
      <c r="E3232" s="44"/>
      <c r="F3232" s="16">
        <f>base!W3232</f>
        <v>0</v>
      </c>
      <c r="G3232" s="11">
        <f t="shared" si="500"/>
        <v>0</v>
      </c>
      <c r="H3232" s="11">
        <f t="shared" si="501"/>
        <v>0</v>
      </c>
      <c r="I3232" s="11">
        <f t="shared" si="502"/>
        <v>0</v>
      </c>
      <c r="J3232" s="12">
        <f t="shared" si="503"/>
        <v>0</v>
      </c>
      <c r="K3232" s="17" t="str">
        <f t="shared" si="508"/>
        <v>Pas d'écart</v>
      </c>
      <c r="L3232" s="16">
        <f>base!X3232</f>
        <v>0</v>
      </c>
      <c r="M3232" s="11">
        <f t="shared" si="504"/>
        <v>0</v>
      </c>
      <c r="N3232" s="11">
        <f t="shared" si="505"/>
        <v>0</v>
      </c>
      <c r="O3232" s="11">
        <f t="shared" si="506"/>
        <v>0</v>
      </c>
      <c r="P3232" s="12">
        <f t="shared" si="507"/>
        <v>0</v>
      </c>
      <c r="Q3232" s="17" t="str">
        <f t="shared" si="509"/>
        <v>Pas d'écart</v>
      </c>
    </row>
    <row r="3233" spans="1:18" x14ac:dyDescent="0.3">
      <c r="A3233" s="34" t="str">
        <f>base!J3233</f>
        <v>RS</v>
      </c>
      <c r="B3233" s="34" t="str">
        <f>base!V3233</f>
        <v>62320</v>
      </c>
      <c r="C3233" s="37">
        <v>62</v>
      </c>
      <c r="D3233" s="36">
        <f>base!H3233</f>
        <v>180</v>
      </c>
      <c r="E3233" s="44"/>
      <c r="F3233" s="16">
        <f>base!W3233</f>
        <v>0</v>
      </c>
      <c r="G3233" s="11">
        <f t="shared" si="500"/>
        <v>0</v>
      </c>
      <c r="H3233" s="11">
        <f t="shared" si="501"/>
        <v>34.200000000000003</v>
      </c>
      <c r="I3233" s="11">
        <f t="shared" si="502"/>
        <v>0.19</v>
      </c>
      <c r="J3233" s="12">
        <f t="shared" si="503"/>
        <v>-34.200000000000003</v>
      </c>
      <c r="K3233" s="17" t="str">
        <f t="shared" si="508"/>
        <v>Ecart négatif</v>
      </c>
      <c r="L3233" s="16">
        <f>base!X3233</f>
        <v>0</v>
      </c>
      <c r="M3233" s="11">
        <f t="shared" si="504"/>
        <v>0</v>
      </c>
      <c r="N3233" s="11">
        <f t="shared" si="505"/>
        <v>0</v>
      </c>
      <c r="O3233" s="11">
        <f t="shared" si="506"/>
        <v>0</v>
      </c>
      <c r="P3233" s="12">
        <f t="shared" si="507"/>
        <v>0</v>
      </c>
      <c r="Q3233" s="17" t="str">
        <f t="shared" si="509"/>
        <v>Pas d'écart</v>
      </c>
    </row>
    <row r="3234" spans="1:18" x14ac:dyDescent="0.3">
      <c r="A3234" s="34" t="str">
        <f>base!J3234</f>
        <v>RM</v>
      </c>
      <c r="B3234" s="34" t="str">
        <f>base!V3234</f>
        <v>06560</v>
      </c>
      <c r="C3234" s="37">
        <v>6</v>
      </c>
      <c r="D3234" s="36">
        <f>base!H3234</f>
        <v>151</v>
      </c>
      <c r="E3234" s="44"/>
      <c r="F3234" s="16">
        <f>base!W3234</f>
        <v>0</v>
      </c>
      <c r="G3234" s="11">
        <f t="shared" si="500"/>
        <v>0</v>
      </c>
      <c r="H3234" s="11">
        <f t="shared" si="501"/>
        <v>45.3</v>
      </c>
      <c r="I3234" s="11">
        <f t="shared" si="502"/>
        <v>0.3</v>
      </c>
      <c r="J3234" s="12">
        <f t="shared" si="503"/>
        <v>-45.3</v>
      </c>
      <c r="K3234" s="17" t="str">
        <f t="shared" si="508"/>
        <v>Ecart négatif</v>
      </c>
      <c r="L3234" s="16">
        <f>base!X3234</f>
        <v>0</v>
      </c>
      <c r="M3234" s="11">
        <f t="shared" si="504"/>
        <v>0</v>
      </c>
      <c r="N3234" s="11">
        <f t="shared" si="505"/>
        <v>31.709999999999997</v>
      </c>
      <c r="O3234" s="11">
        <f t="shared" si="506"/>
        <v>0.21</v>
      </c>
      <c r="P3234" s="12">
        <f t="shared" si="507"/>
        <v>-31.709999999999997</v>
      </c>
      <c r="Q3234" s="17" t="str">
        <f t="shared" si="509"/>
        <v>Ecart négatif</v>
      </c>
    </row>
    <row r="3235" spans="1:18" x14ac:dyDescent="0.3">
      <c r="A3235" s="34" t="str">
        <f>base!J3235</f>
        <v>RM</v>
      </c>
      <c r="B3235" s="34" t="str">
        <f>base!V3235</f>
        <v>67450</v>
      </c>
      <c r="C3235" s="37">
        <v>67</v>
      </c>
      <c r="D3235" s="36">
        <f>base!H3235</f>
        <v>140</v>
      </c>
      <c r="E3235" s="44"/>
      <c r="F3235" s="16">
        <f>base!W3235</f>
        <v>0</v>
      </c>
      <c r="G3235" s="11">
        <f t="shared" si="500"/>
        <v>0</v>
      </c>
      <c r="H3235" s="11">
        <f t="shared" si="501"/>
        <v>40.599999999999994</v>
      </c>
      <c r="I3235" s="11">
        <f t="shared" si="502"/>
        <v>0.28999999999999998</v>
      </c>
      <c r="J3235" s="12">
        <f t="shared" si="503"/>
        <v>-40.599999999999994</v>
      </c>
      <c r="K3235" s="17" t="str">
        <f t="shared" si="508"/>
        <v>Ecart négatif</v>
      </c>
      <c r="L3235" s="16">
        <f>base!X3235</f>
        <v>11.2</v>
      </c>
      <c r="M3235" s="11">
        <f t="shared" si="504"/>
        <v>0.08</v>
      </c>
      <c r="N3235" s="11">
        <f t="shared" si="505"/>
        <v>11.200000000000001</v>
      </c>
      <c r="O3235" s="11">
        <f t="shared" si="506"/>
        <v>0.08</v>
      </c>
      <c r="P3235" s="12">
        <f t="shared" si="507"/>
        <v>0</v>
      </c>
      <c r="Q3235" s="17" t="str">
        <f t="shared" si="509"/>
        <v>Pas d'écart</v>
      </c>
      <c r="R3235" s="38"/>
    </row>
    <row r="3236" spans="1:18" x14ac:dyDescent="0.3">
      <c r="A3236" s="34" t="str">
        <f>base!J3236</f>
        <v>RM</v>
      </c>
      <c r="B3236" s="34" t="str">
        <f>base!V3236</f>
        <v>84000</v>
      </c>
      <c r="C3236" s="37">
        <v>84</v>
      </c>
      <c r="D3236" s="36">
        <f>base!H3236</f>
        <v>154</v>
      </c>
      <c r="E3236" s="44"/>
      <c r="F3236" s="16">
        <f>base!W3236</f>
        <v>0</v>
      </c>
      <c r="G3236" s="11">
        <f t="shared" si="500"/>
        <v>0</v>
      </c>
      <c r="H3236" s="11">
        <f t="shared" si="501"/>
        <v>44.66</v>
      </c>
      <c r="I3236" s="11">
        <f t="shared" si="502"/>
        <v>0.28999999999999998</v>
      </c>
      <c r="J3236" s="12">
        <f t="shared" si="503"/>
        <v>-44.66</v>
      </c>
      <c r="K3236" s="17" t="str">
        <f t="shared" si="508"/>
        <v>Ecart négatif</v>
      </c>
      <c r="L3236" s="16">
        <f>base!X3236</f>
        <v>29.26</v>
      </c>
      <c r="M3236" s="11">
        <f t="shared" si="504"/>
        <v>0.19</v>
      </c>
      <c r="N3236" s="11">
        <f t="shared" si="505"/>
        <v>29.26</v>
      </c>
      <c r="O3236" s="11">
        <f t="shared" si="506"/>
        <v>0.19</v>
      </c>
      <c r="P3236" s="12">
        <f t="shared" si="507"/>
        <v>0</v>
      </c>
      <c r="Q3236" s="17" t="str">
        <f t="shared" si="509"/>
        <v>Pas d'écart</v>
      </c>
      <c r="R3236" s="38"/>
    </row>
    <row r="3237" spans="1:18" x14ac:dyDescent="0.3">
      <c r="A3237" s="34" t="str">
        <f>base!J3237</f>
        <v>RM</v>
      </c>
      <c r="B3237" s="34" t="str">
        <f>base!V3237</f>
        <v>01000</v>
      </c>
      <c r="C3237" s="37">
        <v>1</v>
      </c>
      <c r="D3237" s="36">
        <f>base!H3237</f>
        <v>215.58</v>
      </c>
      <c r="E3237" s="44"/>
      <c r="F3237" s="16">
        <f>base!W3237</f>
        <v>0</v>
      </c>
      <c r="G3237" s="11">
        <f t="shared" si="500"/>
        <v>0</v>
      </c>
      <c r="H3237" s="11">
        <f t="shared" si="501"/>
        <v>56.050800000000002</v>
      </c>
      <c r="I3237" s="11">
        <f t="shared" si="502"/>
        <v>0.26</v>
      </c>
      <c r="J3237" s="12">
        <f t="shared" si="503"/>
        <v>-56.050800000000002</v>
      </c>
      <c r="K3237" s="17" t="str">
        <f t="shared" si="508"/>
        <v>Ecart négatif</v>
      </c>
      <c r="L3237" s="16">
        <f>base!X3237</f>
        <v>0</v>
      </c>
      <c r="M3237" s="11">
        <f t="shared" si="504"/>
        <v>0</v>
      </c>
      <c r="N3237" s="11">
        <f t="shared" si="505"/>
        <v>0</v>
      </c>
      <c r="O3237" s="11">
        <f t="shared" si="506"/>
        <v>0</v>
      </c>
      <c r="P3237" s="12">
        <f t="shared" si="507"/>
        <v>0</v>
      </c>
      <c r="Q3237" s="17" t="str">
        <f t="shared" si="509"/>
        <v>Pas d'écart</v>
      </c>
    </row>
    <row r="3238" spans="1:18" x14ac:dyDescent="0.3">
      <c r="A3238" s="34" t="str">
        <f>base!J3238</f>
        <v>LS</v>
      </c>
      <c r="B3238" s="34" t="str">
        <f>base!V3238</f>
        <v>75012</v>
      </c>
      <c r="C3238" s="37">
        <v>75</v>
      </c>
      <c r="D3238" s="36">
        <f>base!H3238</f>
        <v>59.68</v>
      </c>
      <c r="E3238" s="44"/>
      <c r="F3238" s="16">
        <f>base!W3238</f>
        <v>0</v>
      </c>
      <c r="G3238" s="11">
        <f t="shared" si="500"/>
        <v>0</v>
      </c>
      <c r="H3238" s="11">
        <f t="shared" si="501"/>
        <v>0</v>
      </c>
      <c r="I3238" s="11">
        <f t="shared" si="502"/>
        <v>0</v>
      </c>
      <c r="J3238" s="12">
        <f t="shared" si="503"/>
        <v>0</v>
      </c>
      <c r="K3238" s="17" t="str">
        <f t="shared" si="508"/>
        <v>Pas d'écart</v>
      </c>
      <c r="L3238" s="16">
        <f>base!X3238</f>
        <v>0</v>
      </c>
      <c r="M3238" s="11">
        <f t="shared" si="504"/>
        <v>0</v>
      </c>
      <c r="N3238" s="11">
        <f t="shared" si="505"/>
        <v>0</v>
      </c>
      <c r="O3238" s="11">
        <f t="shared" si="506"/>
        <v>0</v>
      </c>
      <c r="P3238" s="12">
        <f t="shared" si="507"/>
        <v>0</v>
      </c>
      <c r="Q3238" s="17" t="str">
        <f t="shared" si="509"/>
        <v>Pas d'écart</v>
      </c>
    </row>
    <row r="3239" spans="1:18" x14ac:dyDescent="0.3">
      <c r="A3239" s="34" t="str">
        <f>base!J3239</f>
        <v>LM</v>
      </c>
      <c r="B3239" s="34" t="str">
        <f>base!V3239</f>
        <v>01000</v>
      </c>
      <c r="C3239" s="37">
        <v>65</v>
      </c>
      <c r="D3239" s="36">
        <f>base!H3239</f>
        <v>160.61000000000001</v>
      </c>
      <c r="E3239" s="44"/>
      <c r="F3239" s="16">
        <f>base!W3239</f>
        <v>43.36</v>
      </c>
      <c r="G3239" s="11">
        <f t="shared" si="500"/>
        <v>0.2699707365668389</v>
      </c>
      <c r="H3239" s="11">
        <f t="shared" si="501"/>
        <v>35.334200000000003</v>
      </c>
      <c r="I3239" s="11">
        <f t="shared" si="502"/>
        <v>0.22</v>
      </c>
      <c r="J3239" s="12">
        <f t="shared" si="503"/>
        <v>8.0257999999999967</v>
      </c>
      <c r="K3239" s="17" t="str">
        <f t="shared" si="508"/>
        <v>Ecart positif</v>
      </c>
      <c r="L3239" s="16">
        <f>base!X3239</f>
        <v>0</v>
      </c>
      <c r="M3239" s="11">
        <f t="shared" si="504"/>
        <v>0</v>
      </c>
      <c r="N3239" s="11">
        <f t="shared" si="505"/>
        <v>41.758600000000008</v>
      </c>
      <c r="O3239" s="11">
        <f t="shared" si="506"/>
        <v>0.26</v>
      </c>
      <c r="P3239" s="12">
        <f t="shared" si="507"/>
        <v>-41.758600000000008</v>
      </c>
      <c r="Q3239" s="17" t="str">
        <f t="shared" si="509"/>
        <v>Ecart négatif</v>
      </c>
    </row>
    <row r="3240" spans="1:18" x14ac:dyDescent="0.3">
      <c r="A3240" s="34" t="str">
        <f>base!J3240</f>
        <v>RS</v>
      </c>
      <c r="B3240" s="34" t="str">
        <f>base!V3240</f>
        <v>53400</v>
      </c>
      <c r="C3240" s="37">
        <v>53</v>
      </c>
      <c r="D3240" s="36">
        <f>base!H3240</f>
        <v>70</v>
      </c>
      <c r="E3240" s="44"/>
      <c r="F3240" s="16">
        <f>base!W3240</f>
        <v>0</v>
      </c>
      <c r="G3240" s="11">
        <f t="shared" si="500"/>
        <v>0</v>
      </c>
      <c r="H3240" s="11">
        <f t="shared" si="501"/>
        <v>18.900000000000002</v>
      </c>
      <c r="I3240" s="11">
        <f t="shared" si="502"/>
        <v>0.27</v>
      </c>
      <c r="J3240" s="12">
        <f t="shared" si="503"/>
        <v>-18.900000000000002</v>
      </c>
      <c r="K3240" s="17" t="str">
        <f t="shared" si="508"/>
        <v>Ecart négatif</v>
      </c>
      <c r="L3240" s="16">
        <f>base!X3240</f>
        <v>0</v>
      </c>
      <c r="M3240" s="11">
        <f t="shared" si="504"/>
        <v>0</v>
      </c>
      <c r="N3240" s="11">
        <f t="shared" si="505"/>
        <v>0</v>
      </c>
      <c r="O3240" s="11">
        <f t="shared" si="506"/>
        <v>0</v>
      </c>
      <c r="P3240" s="12">
        <f t="shared" si="507"/>
        <v>0</v>
      </c>
      <c r="Q3240" s="17" t="str">
        <f t="shared" si="509"/>
        <v>Pas d'écart</v>
      </c>
    </row>
    <row r="3241" spans="1:18" x14ac:dyDescent="0.3">
      <c r="A3241" s="34" t="str">
        <f>base!J3241</f>
        <v>LM</v>
      </c>
      <c r="B3241" s="34" t="str">
        <f>base!V3241</f>
        <v>87000</v>
      </c>
      <c r="C3241" s="37">
        <v>65</v>
      </c>
      <c r="D3241" s="36">
        <f>base!H3241</f>
        <v>137.43</v>
      </c>
      <c r="E3241" s="44"/>
      <c r="F3241" s="16">
        <f>base!W3241</f>
        <v>39.85</v>
      </c>
      <c r="G3241" s="11">
        <f t="shared" si="500"/>
        <v>0.28996580077130174</v>
      </c>
      <c r="H3241" s="11">
        <f t="shared" si="501"/>
        <v>30.2346</v>
      </c>
      <c r="I3241" s="11">
        <f t="shared" si="502"/>
        <v>0.22</v>
      </c>
      <c r="J3241" s="12">
        <f t="shared" si="503"/>
        <v>9.6154000000000011</v>
      </c>
      <c r="K3241" s="17" t="str">
        <f t="shared" si="508"/>
        <v>Ecart positif</v>
      </c>
      <c r="L3241" s="16">
        <f>base!X3241</f>
        <v>0</v>
      </c>
      <c r="M3241" s="11">
        <f t="shared" si="504"/>
        <v>0</v>
      </c>
      <c r="N3241" s="11">
        <f t="shared" si="505"/>
        <v>35.7318</v>
      </c>
      <c r="O3241" s="11">
        <f t="shared" si="506"/>
        <v>0.26</v>
      </c>
      <c r="P3241" s="12">
        <f t="shared" si="507"/>
        <v>-35.7318</v>
      </c>
      <c r="Q3241" s="17" t="str">
        <f t="shared" si="509"/>
        <v>Ecart négatif</v>
      </c>
    </row>
    <row r="3242" spans="1:18" x14ac:dyDescent="0.3">
      <c r="A3242" s="34" t="str">
        <f>base!J3242</f>
        <v>LM</v>
      </c>
      <c r="B3242" s="34" t="str">
        <f>base!V3242</f>
        <v>14200</v>
      </c>
      <c r="C3242" s="37">
        <v>31</v>
      </c>
      <c r="D3242" s="36">
        <f>base!H3242</f>
        <v>20.23</v>
      </c>
      <c r="E3242" s="44"/>
      <c r="F3242" s="16">
        <f>base!W3242</f>
        <v>3.44</v>
      </c>
      <c r="G3242" s="11">
        <f t="shared" si="500"/>
        <v>0.17004448838358871</v>
      </c>
      <c r="H3242" s="11">
        <f t="shared" si="501"/>
        <v>3.8437000000000001</v>
      </c>
      <c r="I3242" s="11">
        <f t="shared" si="502"/>
        <v>0.19</v>
      </c>
      <c r="J3242" s="12">
        <f t="shared" si="503"/>
        <v>-0.40370000000000017</v>
      </c>
      <c r="K3242" s="17" t="str">
        <f t="shared" si="508"/>
        <v>Ecart négatif</v>
      </c>
      <c r="L3242" s="16">
        <f>base!X3242</f>
        <v>0</v>
      </c>
      <c r="M3242" s="11">
        <f t="shared" si="504"/>
        <v>0</v>
      </c>
      <c r="N3242" s="11">
        <f t="shared" si="505"/>
        <v>5.2598000000000003</v>
      </c>
      <c r="O3242" s="11">
        <f t="shared" si="506"/>
        <v>0.26</v>
      </c>
      <c r="P3242" s="12">
        <f t="shared" si="507"/>
        <v>-5.2598000000000003</v>
      </c>
      <c r="Q3242" s="17" t="str">
        <f t="shared" si="509"/>
        <v>Ecart négatif</v>
      </c>
    </row>
    <row r="3243" spans="1:18" x14ac:dyDescent="0.3">
      <c r="A3243" s="34" t="str">
        <f>base!J3243</f>
        <v>RM</v>
      </c>
      <c r="B3243" s="34" t="str">
        <f>base!V3243</f>
        <v>84000</v>
      </c>
      <c r="C3243" s="37">
        <v>84</v>
      </c>
      <c r="D3243" s="36">
        <f>base!H3243</f>
        <v>38.54</v>
      </c>
      <c r="E3243" s="44"/>
      <c r="F3243" s="16">
        <f>base!W3243</f>
        <v>0</v>
      </c>
      <c r="G3243" s="11">
        <f t="shared" si="500"/>
        <v>0</v>
      </c>
      <c r="H3243" s="11">
        <f t="shared" si="501"/>
        <v>11.176599999999999</v>
      </c>
      <c r="I3243" s="11">
        <f t="shared" si="502"/>
        <v>0.28999999999999998</v>
      </c>
      <c r="J3243" s="12">
        <f t="shared" si="503"/>
        <v>-11.176599999999999</v>
      </c>
      <c r="K3243" s="17" t="str">
        <f t="shared" si="508"/>
        <v>Ecart négatif</v>
      </c>
      <c r="L3243" s="16">
        <f>base!X3243</f>
        <v>7.32</v>
      </c>
      <c r="M3243" s="11">
        <f t="shared" si="504"/>
        <v>0.18993253762324858</v>
      </c>
      <c r="N3243" s="11">
        <f t="shared" si="505"/>
        <v>7.3225999999999996</v>
      </c>
      <c r="O3243" s="11">
        <f t="shared" si="506"/>
        <v>0.19</v>
      </c>
      <c r="P3243" s="12">
        <f t="shared" si="507"/>
        <v>-2.5999999999992696E-3</v>
      </c>
      <c r="Q3243" s="17" t="str">
        <f t="shared" si="509"/>
        <v>Ecart négatif</v>
      </c>
      <c r="R3243" s="38"/>
    </row>
    <row r="3244" spans="1:18" x14ac:dyDescent="0.3">
      <c r="A3244" s="34" t="str">
        <f>base!J3244</f>
        <v>RS</v>
      </c>
      <c r="B3244" s="34" t="str">
        <f>base!V3244</f>
        <v>26700</v>
      </c>
      <c r="C3244" s="37">
        <v>26</v>
      </c>
      <c r="D3244" s="36">
        <f>base!H3244</f>
        <v>40</v>
      </c>
      <c r="E3244" s="44"/>
      <c r="F3244" s="16">
        <f>base!W3244</f>
        <v>0</v>
      </c>
      <c r="G3244" s="11">
        <f t="shared" si="500"/>
        <v>0</v>
      </c>
      <c r="H3244" s="11">
        <f t="shared" si="501"/>
        <v>10.8</v>
      </c>
      <c r="I3244" s="11">
        <f t="shared" si="502"/>
        <v>0.27</v>
      </c>
      <c r="J3244" s="12">
        <f t="shared" si="503"/>
        <v>-10.8</v>
      </c>
      <c r="K3244" s="17" t="str">
        <f t="shared" si="508"/>
        <v>Ecart négatif</v>
      </c>
      <c r="L3244" s="16">
        <f>base!X3244</f>
        <v>0</v>
      </c>
      <c r="M3244" s="11">
        <f t="shared" si="504"/>
        <v>0</v>
      </c>
      <c r="N3244" s="11">
        <f t="shared" si="505"/>
        <v>0</v>
      </c>
      <c r="O3244" s="11">
        <f t="shared" si="506"/>
        <v>0</v>
      </c>
      <c r="P3244" s="12">
        <f t="shared" si="507"/>
        <v>0</v>
      </c>
      <c r="Q3244" s="17" t="str">
        <f t="shared" si="509"/>
        <v>Pas d'écart</v>
      </c>
    </row>
    <row r="3245" spans="1:18" x14ac:dyDescent="0.3">
      <c r="A3245" s="34" t="str">
        <f>base!J3245</f>
        <v>RM</v>
      </c>
      <c r="B3245" s="34" t="str">
        <f>base!V3245</f>
        <v>88000</v>
      </c>
      <c r="C3245" s="37">
        <v>88</v>
      </c>
      <c r="D3245" s="36">
        <f>base!H3245</f>
        <v>17</v>
      </c>
      <c r="E3245" s="44"/>
      <c r="F3245" s="16">
        <f>base!W3245</f>
        <v>0</v>
      </c>
      <c r="G3245" s="11">
        <f t="shared" si="500"/>
        <v>0</v>
      </c>
      <c r="H3245" s="11">
        <f t="shared" si="501"/>
        <v>4.7600000000000007</v>
      </c>
      <c r="I3245" s="11">
        <f t="shared" si="502"/>
        <v>0.28000000000000003</v>
      </c>
      <c r="J3245" s="12">
        <f t="shared" si="503"/>
        <v>-4.7600000000000007</v>
      </c>
      <c r="K3245" s="17" t="str">
        <f t="shared" si="508"/>
        <v>Ecart négatif</v>
      </c>
      <c r="L3245" s="16">
        <f>base!X3245</f>
        <v>0</v>
      </c>
      <c r="M3245" s="11">
        <f t="shared" si="504"/>
        <v>0</v>
      </c>
      <c r="N3245" s="11">
        <f t="shared" si="505"/>
        <v>1.36</v>
      </c>
      <c r="O3245" s="11">
        <f t="shared" si="506"/>
        <v>0.08</v>
      </c>
      <c r="P3245" s="12">
        <f t="shared" si="507"/>
        <v>-1.36</v>
      </c>
      <c r="Q3245" s="17" t="str">
        <f t="shared" si="509"/>
        <v>Ecart négatif</v>
      </c>
    </row>
    <row r="3246" spans="1:18" x14ac:dyDescent="0.3">
      <c r="A3246" s="34" t="str">
        <f>base!J3246</f>
        <v>Metre Aller</v>
      </c>
      <c r="B3246" s="34" t="str">
        <f>base!V3246</f>
        <v>77184</v>
      </c>
      <c r="C3246" s="37">
        <v>77</v>
      </c>
      <c r="D3246" s="36">
        <f>base!H3246</f>
        <v>106.8</v>
      </c>
      <c r="E3246" s="44"/>
      <c r="F3246" s="16">
        <f>base!W3246</f>
        <v>0</v>
      </c>
      <c r="G3246" s="11">
        <f t="shared" si="500"/>
        <v>0</v>
      </c>
      <c r="H3246" s="11">
        <f t="shared" si="501"/>
        <v>0</v>
      </c>
      <c r="I3246" s="11">
        <f t="shared" si="502"/>
        <v>0</v>
      </c>
      <c r="J3246" s="12">
        <f t="shared" si="503"/>
        <v>0</v>
      </c>
      <c r="K3246" s="17" t="str">
        <f t="shared" si="508"/>
        <v>Pas d'écart</v>
      </c>
      <c r="L3246" s="16">
        <f>base!X3246</f>
        <v>0</v>
      </c>
      <c r="M3246" s="11">
        <f t="shared" si="504"/>
        <v>0</v>
      </c>
      <c r="N3246" s="11">
        <f t="shared" si="505"/>
        <v>0</v>
      </c>
      <c r="O3246" s="11">
        <f t="shared" si="506"/>
        <v>0</v>
      </c>
      <c r="P3246" s="12">
        <f t="shared" si="507"/>
        <v>0</v>
      </c>
      <c r="Q3246" s="17" t="str">
        <f t="shared" si="509"/>
        <v>Pas d'écart</v>
      </c>
    </row>
    <row r="3247" spans="1:18" x14ac:dyDescent="0.3">
      <c r="A3247" s="34" t="str">
        <f>base!J3247</f>
        <v>LS</v>
      </c>
      <c r="B3247" s="34" t="str">
        <f>base!V3247</f>
        <v>59000</v>
      </c>
      <c r="C3247" s="37">
        <v>1</v>
      </c>
      <c r="D3247" s="36">
        <f>base!H3247</f>
        <v>183.98</v>
      </c>
      <c r="E3247" s="44"/>
      <c r="F3247" s="16">
        <f>base!W3247</f>
        <v>34.96</v>
      </c>
      <c r="G3247" s="11">
        <f t="shared" si="500"/>
        <v>0.1900206544189586</v>
      </c>
      <c r="H3247" s="11">
        <f t="shared" si="501"/>
        <v>47.834800000000001</v>
      </c>
      <c r="I3247" s="11">
        <f t="shared" si="502"/>
        <v>0.26</v>
      </c>
      <c r="J3247" s="12">
        <f t="shared" si="503"/>
        <v>-12.8748</v>
      </c>
      <c r="K3247" s="17" t="str">
        <f t="shared" si="508"/>
        <v>Ecart négatif</v>
      </c>
      <c r="L3247" s="16">
        <f>base!X3247</f>
        <v>0</v>
      </c>
      <c r="M3247" s="11">
        <f t="shared" si="504"/>
        <v>0</v>
      </c>
      <c r="N3247" s="11">
        <f t="shared" si="505"/>
        <v>0</v>
      </c>
      <c r="O3247" s="11">
        <f t="shared" si="506"/>
        <v>0</v>
      </c>
      <c r="P3247" s="12">
        <f t="shared" si="507"/>
        <v>0</v>
      </c>
      <c r="Q3247" s="17" t="str">
        <f t="shared" si="509"/>
        <v>Pas d'écart</v>
      </c>
    </row>
    <row r="3248" spans="1:18" x14ac:dyDescent="0.3">
      <c r="A3248" s="34">
        <f>base!J3248</f>
        <v>0</v>
      </c>
      <c r="B3248" s="34" t="str">
        <f>base!V3248</f>
        <v>44240</v>
      </c>
      <c r="C3248" s="37">
        <v>44</v>
      </c>
      <c r="D3248" s="36">
        <f>base!H3248</f>
        <v>37.19</v>
      </c>
      <c r="E3248" s="44"/>
      <c r="F3248" s="16">
        <f>base!W3248</f>
        <v>0</v>
      </c>
      <c r="G3248" s="11">
        <f t="shared" si="500"/>
        <v>0</v>
      </c>
      <c r="H3248" s="11">
        <f t="shared" si="501"/>
        <v>10.0413</v>
      </c>
      <c r="I3248" s="11">
        <f t="shared" si="502"/>
        <v>0.27</v>
      </c>
      <c r="J3248" s="12">
        <f t="shared" si="503"/>
        <v>-10.0413</v>
      </c>
      <c r="K3248" s="17" t="str">
        <f t="shared" si="508"/>
        <v>Ecart négatif</v>
      </c>
      <c r="L3248" s="16">
        <f>base!X3248</f>
        <v>0</v>
      </c>
      <c r="M3248" s="11">
        <f t="shared" si="504"/>
        <v>0</v>
      </c>
      <c r="N3248" s="11">
        <f t="shared" si="505"/>
        <v>0</v>
      </c>
      <c r="O3248" s="11">
        <f t="shared" si="506"/>
        <v>0</v>
      </c>
      <c r="P3248" s="12">
        <f t="shared" si="507"/>
        <v>0</v>
      </c>
      <c r="Q3248" s="17" t="str">
        <f t="shared" si="509"/>
        <v>Pas d'écart</v>
      </c>
    </row>
    <row r="3249" spans="1:18" x14ac:dyDescent="0.3">
      <c r="A3249" s="34">
        <f>base!J3249</f>
        <v>0</v>
      </c>
      <c r="B3249" s="34" t="str">
        <f>base!V3249</f>
        <v>44240</v>
      </c>
      <c r="C3249" s="37">
        <v>44</v>
      </c>
      <c r="D3249" s="36">
        <f>base!H3249</f>
        <v>60</v>
      </c>
      <c r="E3249" s="44"/>
      <c r="F3249" s="16">
        <f>base!W3249</f>
        <v>0</v>
      </c>
      <c r="G3249" s="11">
        <f t="shared" si="500"/>
        <v>0</v>
      </c>
      <c r="H3249" s="11">
        <f t="shared" si="501"/>
        <v>16.200000000000003</v>
      </c>
      <c r="I3249" s="11">
        <f t="shared" si="502"/>
        <v>0.27000000000000007</v>
      </c>
      <c r="J3249" s="12">
        <f t="shared" si="503"/>
        <v>-16.200000000000003</v>
      </c>
      <c r="K3249" s="17" t="str">
        <f t="shared" si="508"/>
        <v>Ecart négatif</v>
      </c>
      <c r="L3249" s="16">
        <f>base!X3249</f>
        <v>0</v>
      </c>
      <c r="M3249" s="11">
        <f t="shared" si="504"/>
        <v>0</v>
      </c>
      <c r="N3249" s="11">
        <f t="shared" si="505"/>
        <v>0</v>
      </c>
      <c r="O3249" s="11">
        <f t="shared" si="506"/>
        <v>0</v>
      </c>
      <c r="P3249" s="12">
        <f t="shared" si="507"/>
        <v>0</v>
      </c>
      <c r="Q3249" s="17" t="str">
        <f t="shared" si="509"/>
        <v>Pas d'écart</v>
      </c>
    </row>
    <row r="3250" spans="1:18" x14ac:dyDescent="0.3">
      <c r="A3250" s="34" t="str">
        <f>base!J3250</f>
        <v>LS</v>
      </c>
      <c r="B3250" s="34" t="str">
        <f>base!V3250</f>
        <v>34500</v>
      </c>
      <c r="C3250" s="37">
        <v>49</v>
      </c>
      <c r="D3250" s="36">
        <f>base!H3250</f>
        <v>143.51</v>
      </c>
      <c r="E3250" s="44"/>
      <c r="F3250" s="16">
        <f>base!W3250</f>
        <v>55.97</v>
      </c>
      <c r="G3250" s="11">
        <f t="shared" si="500"/>
        <v>0.39000766497108219</v>
      </c>
      <c r="H3250" s="11">
        <f t="shared" si="501"/>
        <v>38.747700000000002</v>
      </c>
      <c r="I3250" s="11">
        <f t="shared" si="502"/>
        <v>0.27</v>
      </c>
      <c r="J3250" s="12">
        <f t="shared" si="503"/>
        <v>17.222299999999997</v>
      </c>
      <c r="K3250" s="17" t="str">
        <f t="shared" si="508"/>
        <v>Ecart positif</v>
      </c>
      <c r="L3250" s="16">
        <f>base!X3250</f>
        <v>0</v>
      </c>
      <c r="M3250" s="11">
        <f t="shared" si="504"/>
        <v>0</v>
      </c>
      <c r="N3250" s="11">
        <f t="shared" si="505"/>
        <v>0</v>
      </c>
      <c r="O3250" s="11">
        <f t="shared" si="506"/>
        <v>0</v>
      </c>
      <c r="P3250" s="12">
        <f t="shared" si="507"/>
        <v>0</v>
      </c>
      <c r="Q3250" s="17" t="str">
        <f t="shared" si="509"/>
        <v>Pas d'écart</v>
      </c>
    </row>
    <row r="3251" spans="1:18" x14ac:dyDescent="0.3">
      <c r="A3251" s="34">
        <f>base!J3251</f>
        <v>0</v>
      </c>
      <c r="B3251" s="34" t="str">
        <f>base!V3251</f>
        <v>77184</v>
      </c>
      <c r="C3251" s="37">
        <v>77</v>
      </c>
      <c r="D3251" s="36">
        <f>base!H3251</f>
        <v>11</v>
      </c>
      <c r="E3251" s="44"/>
      <c r="F3251" s="16">
        <f>base!W3251</f>
        <v>0</v>
      </c>
      <c r="G3251" s="11">
        <f t="shared" si="500"/>
        <v>0</v>
      </c>
      <c r="H3251" s="11">
        <f t="shared" si="501"/>
        <v>0</v>
      </c>
      <c r="I3251" s="11">
        <f t="shared" si="502"/>
        <v>0</v>
      </c>
      <c r="J3251" s="12">
        <f t="shared" si="503"/>
        <v>0</v>
      </c>
      <c r="K3251" s="17" t="str">
        <f t="shared" si="508"/>
        <v>Pas d'écart</v>
      </c>
      <c r="L3251" s="16">
        <f>base!X3251</f>
        <v>0</v>
      </c>
      <c r="M3251" s="11">
        <f t="shared" si="504"/>
        <v>0</v>
      </c>
      <c r="N3251" s="11">
        <f t="shared" si="505"/>
        <v>0</v>
      </c>
      <c r="O3251" s="11">
        <f t="shared" si="506"/>
        <v>0</v>
      </c>
      <c r="P3251" s="12">
        <f t="shared" si="507"/>
        <v>0</v>
      </c>
      <c r="Q3251" s="17" t="str">
        <f t="shared" si="509"/>
        <v>Pas d'écart</v>
      </c>
    </row>
    <row r="3252" spans="1:18" x14ac:dyDescent="0.3">
      <c r="A3252" s="34">
        <f>base!J3252</f>
        <v>0</v>
      </c>
      <c r="B3252" s="34" t="str">
        <f>base!V3252</f>
        <v>77184</v>
      </c>
      <c r="C3252" s="37">
        <v>77</v>
      </c>
      <c r="D3252" s="36">
        <f>base!H3252</f>
        <v>140</v>
      </c>
      <c r="E3252" s="44"/>
      <c r="F3252" s="16">
        <f>base!W3252</f>
        <v>0</v>
      </c>
      <c r="G3252" s="11">
        <f t="shared" si="500"/>
        <v>0</v>
      </c>
      <c r="H3252" s="11">
        <f t="shared" si="501"/>
        <v>0</v>
      </c>
      <c r="I3252" s="11">
        <f t="shared" si="502"/>
        <v>0</v>
      </c>
      <c r="J3252" s="12">
        <f t="shared" si="503"/>
        <v>0</v>
      </c>
      <c r="K3252" s="17" t="str">
        <f t="shared" si="508"/>
        <v>Pas d'écart</v>
      </c>
      <c r="L3252" s="16">
        <f>base!X3252</f>
        <v>0</v>
      </c>
      <c r="M3252" s="11">
        <f t="shared" si="504"/>
        <v>0</v>
      </c>
      <c r="N3252" s="11">
        <f t="shared" si="505"/>
        <v>0</v>
      </c>
      <c r="O3252" s="11">
        <f t="shared" si="506"/>
        <v>0</v>
      </c>
      <c r="P3252" s="12">
        <f t="shared" si="507"/>
        <v>0</v>
      </c>
      <c r="Q3252" s="17" t="str">
        <f t="shared" si="509"/>
        <v>Pas d'écart</v>
      </c>
    </row>
    <row r="3253" spans="1:18" x14ac:dyDescent="0.3">
      <c r="A3253" s="34">
        <f>base!J3253</f>
        <v>0</v>
      </c>
      <c r="B3253" s="34" t="str">
        <f>base!V3253</f>
        <v>77184</v>
      </c>
      <c r="C3253" s="37">
        <v>77</v>
      </c>
      <c r="D3253" s="36">
        <f>base!H3253</f>
        <v>52</v>
      </c>
      <c r="E3253" s="44"/>
      <c r="F3253" s="16">
        <f>base!W3253</f>
        <v>0</v>
      </c>
      <c r="G3253" s="11">
        <f t="shared" si="500"/>
        <v>0</v>
      </c>
      <c r="H3253" s="11">
        <f t="shared" si="501"/>
        <v>0</v>
      </c>
      <c r="I3253" s="11">
        <f t="shared" si="502"/>
        <v>0</v>
      </c>
      <c r="J3253" s="12">
        <f t="shared" si="503"/>
        <v>0</v>
      </c>
      <c r="K3253" s="17" t="str">
        <f t="shared" si="508"/>
        <v>Pas d'écart</v>
      </c>
      <c r="L3253" s="16">
        <f>base!X3253</f>
        <v>0</v>
      </c>
      <c r="M3253" s="11">
        <f t="shared" si="504"/>
        <v>0</v>
      </c>
      <c r="N3253" s="11">
        <f t="shared" si="505"/>
        <v>0</v>
      </c>
      <c r="O3253" s="11">
        <f t="shared" si="506"/>
        <v>0</v>
      </c>
      <c r="P3253" s="12">
        <f t="shared" si="507"/>
        <v>0</v>
      </c>
      <c r="Q3253" s="17" t="str">
        <f t="shared" si="509"/>
        <v>Pas d'écart</v>
      </c>
    </row>
    <row r="3254" spans="1:18" x14ac:dyDescent="0.3">
      <c r="A3254" s="34">
        <f>base!J3254</f>
        <v>0</v>
      </c>
      <c r="B3254" s="34" t="str">
        <f>base!V3254</f>
        <v>77184</v>
      </c>
      <c r="C3254" s="37">
        <v>77</v>
      </c>
      <c r="D3254" s="36">
        <f>base!H3254</f>
        <v>160</v>
      </c>
      <c r="E3254" s="44"/>
      <c r="F3254" s="16">
        <f>base!W3254</f>
        <v>0</v>
      </c>
      <c r="G3254" s="11">
        <f t="shared" si="500"/>
        <v>0</v>
      </c>
      <c r="H3254" s="11">
        <f t="shared" si="501"/>
        <v>0</v>
      </c>
      <c r="I3254" s="11">
        <f t="shared" si="502"/>
        <v>0</v>
      </c>
      <c r="J3254" s="12">
        <f t="shared" si="503"/>
        <v>0</v>
      </c>
      <c r="K3254" s="17" t="str">
        <f t="shared" si="508"/>
        <v>Pas d'écart</v>
      </c>
      <c r="L3254" s="16">
        <f>base!X3254</f>
        <v>0</v>
      </c>
      <c r="M3254" s="11">
        <f t="shared" si="504"/>
        <v>0</v>
      </c>
      <c r="N3254" s="11">
        <f t="shared" si="505"/>
        <v>0</v>
      </c>
      <c r="O3254" s="11">
        <f t="shared" si="506"/>
        <v>0</v>
      </c>
      <c r="P3254" s="12">
        <f t="shared" si="507"/>
        <v>0</v>
      </c>
      <c r="Q3254" s="17" t="str">
        <f t="shared" si="509"/>
        <v>Pas d'écart</v>
      </c>
    </row>
    <row r="3255" spans="1:18" x14ac:dyDescent="0.3">
      <c r="A3255" s="34">
        <f>base!J3255</f>
        <v>0</v>
      </c>
      <c r="B3255" s="34" t="str">
        <f>base!V3255</f>
        <v>77184</v>
      </c>
      <c r="C3255" s="37">
        <v>77</v>
      </c>
      <c r="D3255" s="36">
        <f>base!H3255</f>
        <v>171</v>
      </c>
      <c r="E3255" s="44"/>
      <c r="F3255" s="16">
        <f>base!W3255</f>
        <v>0</v>
      </c>
      <c r="G3255" s="11">
        <f t="shared" si="500"/>
        <v>0</v>
      </c>
      <c r="H3255" s="11">
        <f t="shared" si="501"/>
        <v>0</v>
      </c>
      <c r="I3255" s="11">
        <f t="shared" si="502"/>
        <v>0</v>
      </c>
      <c r="J3255" s="12">
        <f t="shared" si="503"/>
        <v>0</v>
      </c>
      <c r="K3255" s="17" t="str">
        <f t="shared" si="508"/>
        <v>Pas d'écart</v>
      </c>
      <c r="L3255" s="16">
        <f>base!X3255</f>
        <v>0</v>
      </c>
      <c r="M3255" s="11">
        <f t="shared" si="504"/>
        <v>0</v>
      </c>
      <c r="N3255" s="11">
        <f t="shared" si="505"/>
        <v>0</v>
      </c>
      <c r="O3255" s="11">
        <f t="shared" si="506"/>
        <v>0</v>
      </c>
      <c r="P3255" s="12">
        <f t="shared" si="507"/>
        <v>0</v>
      </c>
      <c r="Q3255" s="17" t="str">
        <f t="shared" si="509"/>
        <v>Pas d'écart</v>
      </c>
    </row>
    <row r="3256" spans="1:18" x14ac:dyDescent="0.3">
      <c r="A3256" s="34">
        <f>base!J3256</f>
        <v>0</v>
      </c>
      <c r="B3256" s="34" t="str">
        <f>base!V3256</f>
        <v>77184</v>
      </c>
      <c r="C3256" s="37">
        <v>77</v>
      </c>
      <c r="D3256" s="36">
        <f>base!H3256</f>
        <v>156</v>
      </c>
      <c r="E3256" s="44"/>
      <c r="F3256" s="16">
        <f>base!W3256</f>
        <v>0</v>
      </c>
      <c r="G3256" s="11">
        <f t="shared" si="500"/>
        <v>0</v>
      </c>
      <c r="H3256" s="11">
        <f t="shared" si="501"/>
        <v>0</v>
      </c>
      <c r="I3256" s="11">
        <f t="shared" si="502"/>
        <v>0</v>
      </c>
      <c r="J3256" s="12">
        <f t="shared" si="503"/>
        <v>0</v>
      </c>
      <c r="K3256" s="17" t="str">
        <f t="shared" si="508"/>
        <v>Pas d'écart</v>
      </c>
      <c r="L3256" s="16">
        <f>base!X3256</f>
        <v>0</v>
      </c>
      <c r="M3256" s="11">
        <f t="shared" si="504"/>
        <v>0</v>
      </c>
      <c r="N3256" s="11">
        <f t="shared" si="505"/>
        <v>0</v>
      </c>
      <c r="O3256" s="11">
        <f t="shared" si="506"/>
        <v>0</v>
      </c>
      <c r="P3256" s="12">
        <f t="shared" si="507"/>
        <v>0</v>
      </c>
      <c r="Q3256" s="17" t="str">
        <f t="shared" si="509"/>
        <v>Pas d'écart</v>
      </c>
    </row>
    <row r="3257" spans="1:18" x14ac:dyDescent="0.3">
      <c r="A3257" s="34" t="str">
        <f>base!J3257</f>
        <v>LS</v>
      </c>
      <c r="B3257" s="34" t="str">
        <f>base!V3257</f>
        <v>08090</v>
      </c>
      <c r="C3257" s="37">
        <v>25</v>
      </c>
      <c r="D3257" s="36">
        <f>base!H3257</f>
        <v>140</v>
      </c>
      <c r="E3257" s="44"/>
      <c r="F3257" s="16">
        <f>base!W3257</f>
        <v>26.6</v>
      </c>
      <c r="G3257" s="11">
        <f t="shared" si="500"/>
        <v>0.19</v>
      </c>
      <c r="H3257" s="11">
        <f t="shared" si="501"/>
        <v>33.6</v>
      </c>
      <c r="I3257" s="11">
        <f t="shared" si="502"/>
        <v>0.24000000000000002</v>
      </c>
      <c r="J3257" s="12">
        <f t="shared" si="503"/>
        <v>-7</v>
      </c>
      <c r="K3257" s="17" t="str">
        <f t="shared" si="508"/>
        <v>Ecart négatif</v>
      </c>
      <c r="L3257" s="16">
        <f>base!X3257</f>
        <v>0</v>
      </c>
      <c r="M3257" s="11">
        <f t="shared" si="504"/>
        <v>0</v>
      </c>
      <c r="N3257" s="11">
        <f t="shared" si="505"/>
        <v>16.8</v>
      </c>
      <c r="O3257" s="11">
        <f t="shared" si="506"/>
        <v>0.12000000000000001</v>
      </c>
      <c r="P3257" s="12">
        <f t="shared" si="507"/>
        <v>-16.8</v>
      </c>
      <c r="Q3257" s="17" t="str">
        <f t="shared" si="509"/>
        <v>Ecart négatif</v>
      </c>
    </row>
    <row r="3258" spans="1:18" x14ac:dyDescent="0.3">
      <c r="A3258" s="34" t="str">
        <f>base!J3258</f>
        <v>LS</v>
      </c>
      <c r="B3258" s="34" t="str">
        <f>base!V3258</f>
        <v>42650</v>
      </c>
      <c r="C3258" s="37">
        <v>31</v>
      </c>
      <c r="D3258" s="36">
        <f>base!H3258</f>
        <v>174.85</v>
      </c>
      <c r="E3258" s="44"/>
      <c r="F3258" s="16">
        <f>base!W3258</f>
        <v>47.21</v>
      </c>
      <c r="G3258" s="11">
        <f t="shared" si="500"/>
        <v>0.27000285959393766</v>
      </c>
      <c r="H3258" s="11">
        <f t="shared" si="501"/>
        <v>33.221499999999999</v>
      </c>
      <c r="I3258" s="11">
        <f t="shared" si="502"/>
        <v>0.19</v>
      </c>
      <c r="J3258" s="12">
        <f t="shared" si="503"/>
        <v>13.988500000000002</v>
      </c>
      <c r="K3258" s="17" t="str">
        <f t="shared" si="508"/>
        <v>Ecart positif</v>
      </c>
      <c r="L3258" s="16">
        <f>base!X3258</f>
        <v>0</v>
      </c>
      <c r="M3258" s="11">
        <f t="shared" si="504"/>
        <v>0</v>
      </c>
      <c r="N3258" s="11">
        <f t="shared" si="505"/>
        <v>45.460999999999999</v>
      </c>
      <c r="O3258" s="11">
        <f t="shared" si="506"/>
        <v>0.26</v>
      </c>
      <c r="P3258" s="12">
        <f t="shared" si="507"/>
        <v>-45.460999999999999</v>
      </c>
      <c r="Q3258" s="17" t="str">
        <f t="shared" si="509"/>
        <v>Ecart négatif</v>
      </c>
    </row>
    <row r="3259" spans="1:18" x14ac:dyDescent="0.3">
      <c r="A3259" s="34">
        <f>base!J3259</f>
        <v>0</v>
      </c>
      <c r="B3259" s="34" t="str">
        <f>base!V3259</f>
        <v>77184</v>
      </c>
      <c r="C3259" s="37">
        <v>77</v>
      </c>
      <c r="D3259" s="36">
        <f>base!H3259</f>
        <v>137.97999999999999</v>
      </c>
      <c r="E3259" s="44"/>
      <c r="F3259" s="16">
        <f>base!W3259</f>
        <v>0</v>
      </c>
      <c r="G3259" s="11">
        <f t="shared" si="500"/>
        <v>0</v>
      </c>
      <c r="H3259" s="11">
        <f t="shared" si="501"/>
        <v>0</v>
      </c>
      <c r="I3259" s="11">
        <f t="shared" si="502"/>
        <v>0</v>
      </c>
      <c r="J3259" s="12">
        <f t="shared" si="503"/>
        <v>0</v>
      </c>
      <c r="K3259" s="17" t="str">
        <f t="shared" si="508"/>
        <v>Pas d'écart</v>
      </c>
      <c r="L3259" s="16">
        <f>base!X3259</f>
        <v>0</v>
      </c>
      <c r="M3259" s="11">
        <f t="shared" si="504"/>
        <v>0</v>
      </c>
      <c r="N3259" s="11">
        <f t="shared" si="505"/>
        <v>0</v>
      </c>
      <c r="O3259" s="11">
        <f t="shared" si="506"/>
        <v>0</v>
      </c>
      <c r="P3259" s="12">
        <f t="shared" si="507"/>
        <v>0</v>
      </c>
      <c r="Q3259" s="17" t="str">
        <f t="shared" si="509"/>
        <v>Pas d'écart</v>
      </c>
    </row>
    <row r="3260" spans="1:18" x14ac:dyDescent="0.3">
      <c r="A3260" s="34">
        <f>base!J3260</f>
        <v>0</v>
      </c>
      <c r="B3260" s="34" t="str">
        <f>base!V3260</f>
        <v>77184</v>
      </c>
      <c r="C3260" s="37">
        <v>77</v>
      </c>
      <c r="D3260" s="36">
        <f>base!H3260</f>
        <v>157</v>
      </c>
      <c r="E3260" s="44"/>
      <c r="F3260" s="16">
        <f>base!W3260</f>
        <v>0</v>
      </c>
      <c r="G3260" s="11">
        <f t="shared" si="500"/>
        <v>0</v>
      </c>
      <c r="H3260" s="11">
        <f t="shared" si="501"/>
        <v>0</v>
      </c>
      <c r="I3260" s="11">
        <f t="shared" si="502"/>
        <v>0</v>
      </c>
      <c r="J3260" s="12">
        <f t="shared" si="503"/>
        <v>0</v>
      </c>
      <c r="K3260" s="17" t="str">
        <f t="shared" si="508"/>
        <v>Pas d'écart</v>
      </c>
      <c r="L3260" s="16">
        <f>base!X3260</f>
        <v>0</v>
      </c>
      <c r="M3260" s="11">
        <f t="shared" si="504"/>
        <v>0</v>
      </c>
      <c r="N3260" s="11">
        <f t="shared" si="505"/>
        <v>0</v>
      </c>
      <c r="O3260" s="11">
        <f t="shared" si="506"/>
        <v>0</v>
      </c>
      <c r="P3260" s="12">
        <f t="shared" si="507"/>
        <v>0</v>
      </c>
      <c r="Q3260" s="17" t="str">
        <f t="shared" si="509"/>
        <v>Pas d'écart</v>
      </c>
    </row>
    <row r="3261" spans="1:18" x14ac:dyDescent="0.3">
      <c r="A3261" s="34" t="str">
        <f>base!J3261</f>
        <v>RM</v>
      </c>
      <c r="B3261" s="34" t="str">
        <f>base!V3261</f>
        <v>06190</v>
      </c>
      <c r="C3261" s="37">
        <v>6</v>
      </c>
      <c r="D3261" s="36">
        <f>base!H3261</f>
        <v>181</v>
      </c>
      <c r="E3261" s="44"/>
      <c r="F3261" s="16">
        <f>base!W3261</f>
        <v>0</v>
      </c>
      <c r="G3261" s="11">
        <f t="shared" si="500"/>
        <v>0</v>
      </c>
      <c r="H3261" s="11">
        <f t="shared" si="501"/>
        <v>54.3</v>
      </c>
      <c r="I3261" s="11">
        <f t="shared" si="502"/>
        <v>0.3</v>
      </c>
      <c r="J3261" s="12">
        <f t="shared" si="503"/>
        <v>-54.3</v>
      </c>
      <c r="K3261" s="17" t="str">
        <f t="shared" si="508"/>
        <v>Ecart négatif</v>
      </c>
      <c r="L3261" s="16">
        <f>base!X3261</f>
        <v>54.3</v>
      </c>
      <c r="M3261" s="11">
        <f t="shared" si="504"/>
        <v>0.3</v>
      </c>
      <c r="N3261" s="11">
        <f t="shared" si="505"/>
        <v>38.01</v>
      </c>
      <c r="O3261" s="11">
        <f t="shared" si="506"/>
        <v>0.21</v>
      </c>
      <c r="P3261" s="12">
        <f t="shared" si="507"/>
        <v>16.29</v>
      </c>
      <c r="Q3261" s="17" t="str">
        <f t="shared" si="509"/>
        <v>Ecart positif</v>
      </c>
      <c r="R3261" s="38"/>
    </row>
    <row r="3262" spans="1:18" x14ac:dyDescent="0.3">
      <c r="A3262" s="34" t="str">
        <f>base!J3262</f>
        <v>LS</v>
      </c>
      <c r="B3262" s="34" t="str">
        <f>base!V3262</f>
        <v>06400</v>
      </c>
      <c r="C3262" s="37">
        <v>31</v>
      </c>
      <c r="D3262" s="36">
        <f>base!H3262</f>
        <v>192.93</v>
      </c>
      <c r="E3262" s="44"/>
      <c r="F3262" s="16">
        <f>base!W3262</f>
        <v>57.88</v>
      </c>
      <c r="G3262" s="11">
        <f t="shared" si="500"/>
        <v>0.3000051832270772</v>
      </c>
      <c r="H3262" s="11">
        <f t="shared" si="501"/>
        <v>36.656700000000001</v>
      </c>
      <c r="I3262" s="11">
        <f t="shared" si="502"/>
        <v>0.19</v>
      </c>
      <c r="J3262" s="12">
        <f t="shared" si="503"/>
        <v>21.223300000000002</v>
      </c>
      <c r="K3262" s="17" t="str">
        <f t="shared" si="508"/>
        <v>Ecart positif</v>
      </c>
      <c r="L3262" s="16">
        <f>base!X3262</f>
        <v>0</v>
      </c>
      <c r="M3262" s="11">
        <f t="shared" si="504"/>
        <v>0</v>
      </c>
      <c r="N3262" s="11">
        <f t="shared" si="505"/>
        <v>50.161800000000007</v>
      </c>
      <c r="O3262" s="11">
        <f t="shared" si="506"/>
        <v>0.26</v>
      </c>
      <c r="P3262" s="12">
        <f t="shared" si="507"/>
        <v>-50.161800000000007</v>
      </c>
      <c r="Q3262" s="17" t="str">
        <f t="shared" si="509"/>
        <v>Ecart négatif</v>
      </c>
    </row>
    <row r="3263" spans="1:18" x14ac:dyDescent="0.3">
      <c r="A3263" s="34" t="str">
        <f>base!J3263</f>
        <v>LM</v>
      </c>
      <c r="B3263" s="34" t="str">
        <f>base!V3263</f>
        <v>13610</v>
      </c>
      <c r="C3263" s="37">
        <v>89</v>
      </c>
      <c r="D3263" s="36">
        <f>base!H3263</f>
        <v>28.62</v>
      </c>
      <c r="E3263" s="44"/>
      <c r="F3263" s="16">
        <f>base!W3263</f>
        <v>8.3000000000000007</v>
      </c>
      <c r="G3263" s="11">
        <f t="shared" si="500"/>
        <v>0.29000698812019571</v>
      </c>
      <c r="H3263" s="11">
        <f t="shared" si="501"/>
        <v>6.5826000000000002</v>
      </c>
      <c r="I3263" s="11">
        <f t="shared" si="502"/>
        <v>0.23</v>
      </c>
      <c r="J3263" s="12">
        <f t="shared" si="503"/>
        <v>1.7174000000000005</v>
      </c>
      <c r="K3263" s="17" t="str">
        <f t="shared" si="508"/>
        <v>Ecart positif</v>
      </c>
      <c r="L3263" s="16">
        <f>base!X3263</f>
        <v>0</v>
      </c>
      <c r="M3263" s="11">
        <f t="shared" si="504"/>
        <v>0</v>
      </c>
      <c r="N3263" s="11">
        <f t="shared" si="505"/>
        <v>3.4344000000000001</v>
      </c>
      <c r="O3263" s="11">
        <f t="shared" si="506"/>
        <v>0.12</v>
      </c>
      <c r="P3263" s="12">
        <f t="shared" si="507"/>
        <v>-3.4344000000000001</v>
      </c>
      <c r="Q3263" s="17" t="str">
        <f t="shared" si="509"/>
        <v>Ecart négatif</v>
      </c>
    </row>
    <row r="3264" spans="1:18" x14ac:dyDescent="0.3">
      <c r="A3264" s="34" t="str">
        <f>base!J3264</f>
        <v>LM</v>
      </c>
      <c r="B3264" s="34" t="str">
        <f>base!V3264</f>
        <v>75014</v>
      </c>
      <c r="C3264" s="37">
        <v>75</v>
      </c>
      <c r="D3264" s="36">
        <f>base!H3264</f>
        <v>107.6</v>
      </c>
      <c r="E3264" s="44"/>
      <c r="F3264" s="16">
        <f>base!W3264</f>
        <v>0</v>
      </c>
      <c r="G3264" s="11">
        <f t="shared" si="500"/>
        <v>0</v>
      </c>
      <c r="H3264" s="11">
        <f t="shared" si="501"/>
        <v>0</v>
      </c>
      <c r="I3264" s="11">
        <f t="shared" si="502"/>
        <v>0</v>
      </c>
      <c r="J3264" s="12">
        <f t="shared" si="503"/>
        <v>0</v>
      </c>
      <c r="K3264" s="17" t="str">
        <f t="shared" si="508"/>
        <v>Pas d'écart</v>
      </c>
      <c r="L3264" s="16">
        <f>base!X3264</f>
        <v>0</v>
      </c>
      <c r="M3264" s="11">
        <f t="shared" si="504"/>
        <v>0</v>
      </c>
      <c r="N3264" s="11">
        <f t="shared" si="505"/>
        <v>0</v>
      </c>
      <c r="O3264" s="11">
        <f t="shared" si="506"/>
        <v>0</v>
      </c>
      <c r="P3264" s="12">
        <f t="shared" si="507"/>
        <v>0</v>
      </c>
      <c r="Q3264" s="17" t="str">
        <f t="shared" si="509"/>
        <v>Pas d'écart</v>
      </c>
    </row>
    <row r="3265" spans="1:18" x14ac:dyDescent="0.3">
      <c r="A3265" s="34" t="str">
        <f>base!J3265</f>
        <v>LS</v>
      </c>
      <c r="B3265" s="34" t="str">
        <f>base!V3265</f>
        <v>85400</v>
      </c>
      <c r="C3265" s="37">
        <v>89</v>
      </c>
      <c r="D3265" s="36">
        <f>base!H3265</f>
        <v>55.34</v>
      </c>
      <c r="E3265" s="44"/>
      <c r="F3265" s="16">
        <f>base!W3265</f>
        <v>14.94</v>
      </c>
      <c r="G3265" s="11">
        <f t="shared" si="500"/>
        <v>0.26996747379833752</v>
      </c>
      <c r="H3265" s="11">
        <f t="shared" si="501"/>
        <v>12.728200000000001</v>
      </c>
      <c r="I3265" s="11">
        <f t="shared" si="502"/>
        <v>0.23</v>
      </c>
      <c r="J3265" s="12">
        <f t="shared" si="503"/>
        <v>2.2117999999999984</v>
      </c>
      <c r="K3265" s="17" t="str">
        <f t="shared" si="508"/>
        <v>Ecart positif</v>
      </c>
      <c r="L3265" s="16">
        <f>base!X3265</f>
        <v>0</v>
      </c>
      <c r="M3265" s="11">
        <f t="shared" si="504"/>
        <v>0</v>
      </c>
      <c r="N3265" s="11">
        <f t="shared" si="505"/>
        <v>6.6408000000000005</v>
      </c>
      <c r="O3265" s="11">
        <f t="shared" si="506"/>
        <v>0.12</v>
      </c>
      <c r="P3265" s="12">
        <f t="shared" si="507"/>
        <v>-6.6408000000000005</v>
      </c>
      <c r="Q3265" s="17" t="str">
        <f t="shared" si="509"/>
        <v>Ecart négatif</v>
      </c>
    </row>
    <row r="3266" spans="1:18" x14ac:dyDescent="0.3">
      <c r="A3266" s="34" t="str">
        <f>base!J3266</f>
        <v>LS</v>
      </c>
      <c r="B3266" s="34" t="str">
        <f>base!V3266</f>
        <v>94120</v>
      </c>
      <c r="C3266" s="37">
        <v>94</v>
      </c>
      <c r="D3266" s="36">
        <f>base!H3266</f>
        <v>40</v>
      </c>
      <c r="E3266" s="44"/>
      <c r="F3266" s="16">
        <f>base!W3266</f>
        <v>0</v>
      </c>
      <c r="G3266" s="11">
        <f t="shared" ref="G3266:G3329" si="510">F3266/D3266</f>
        <v>0</v>
      </c>
      <c r="H3266" s="11">
        <f t="shared" ref="H3266:H3329" si="511">VLOOKUP(C3266,tout_cout_traction,2,FALSE)*D3266</f>
        <v>0</v>
      </c>
      <c r="I3266" s="11">
        <f t="shared" ref="I3266:I3329" si="512">H3266/D3266</f>
        <v>0</v>
      </c>
      <c r="J3266" s="12">
        <f t="shared" ref="J3266:J3329" si="513">F3266-H3266</f>
        <v>0</v>
      </c>
      <c r="K3266" s="17" t="str">
        <f t="shared" si="508"/>
        <v>Pas d'écart</v>
      </c>
      <c r="L3266" s="16">
        <f>base!X3266</f>
        <v>0</v>
      </c>
      <c r="M3266" s="11">
        <f t="shared" ref="M3266:M3329" si="514">L3266/D3266</f>
        <v>0</v>
      </c>
      <c r="N3266" s="11">
        <f t="shared" ref="N3266:N3329" si="515">VLOOKUP(C3266,tout_cout_traction,3,FALSE)*D3266</f>
        <v>0</v>
      </c>
      <c r="O3266" s="11">
        <f t="shared" ref="O3266:O3329" si="516">N3266/D3266</f>
        <v>0</v>
      </c>
      <c r="P3266" s="12">
        <f t="shared" ref="P3266:P3329" si="517">L3266-N3266</f>
        <v>0</v>
      </c>
      <c r="Q3266" s="17" t="str">
        <f t="shared" si="509"/>
        <v>Pas d'écart</v>
      </c>
    </row>
    <row r="3267" spans="1:18" x14ac:dyDescent="0.3">
      <c r="A3267" s="34">
        <f>base!J3267</f>
        <v>0</v>
      </c>
      <c r="B3267" s="34" t="str">
        <f>base!V3267</f>
        <v>44240</v>
      </c>
      <c r="C3267" s="37">
        <v>44</v>
      </c>
      <c r="D3267" s="36">
        <f>base!H3267</f>
        <v>109</v>
      </c>
      <c r="E3267" s="44"/>
      <c r="F3267" s="16">
        <f>base!W3267</f>
        <v>0</v>
      </c>
      <c r="G3267" s="11">
        <f t="shared" si="510"/>
        <v>0</v>
      </c>
      <c r="H3267" s="11">
        <f t="shared" si="511"/>
        <v>29.430000000000003</v>
      </c>
      <c r="I3267" s="11">
        <f t="shared" si="512"/>
        <v>0.27</v>
      </c>
      <c r="J3267" s="12">
        <f t="shared" si="513"/>
        <v>-29.430000000000003</v>
      </c>
      <c r="K3267" s="17" t="str">
        <f t="shared" ref="K3267:K3330" si="518">IF(H3267=F3267,"Pas d'écart",IF(H3267&lt;F3267,"Ecart positif",IF(H3267&gt;F3267,"Ecart négatif")))</f>
        <v>Ecart négatif</v>
      </c>
      <c r="L3267" s="16">
        <f>base!X3267</f>
        <v>0</v>
      </c>
      <c r="M3267" s="11">
        <f t="shared" si="514"/>
        <v>0</v>
      </c>
      <c r="N3267" s="11">
        <f t="shared" si="515"/>
        <v>0</v>
      </c>
      <c r="O3267" s="11">
        <f t="shared" si="516"/>
        <v>0</v>
      </c>
      <c r="P3267" s="12">
        <f t="shared" si="517"/>
        <v>0</v>
      </c>
      <c r="Q3267" s="17" t="str">
        <f t="shared" ref="Q3267:Q3330" si="519">IF(N3267=L3267,"Pas d'écart",IF(N3267&lt;L3267,"Ecart positif",IF(N3267&gt;L3267,"Ecart négatif")))</f>
        <v>Pas d'écart</v>
      </c>
    </row>
    <row r="3268" spans="1:18" x14ac:dyDescent="0.3">
      <c r="A3268" s="34" t="str">
        <f>base!J3268</f>
        <v>LS</v>
      </c>
      <c r="B3268" s="34" t="str">
        <f>base!V3268</f>
        <v>83190</v>
      </c>
      <c r="C3268" s="37">
        <v>25</v>
      </c>
      <c r="D3268" s="36">
        <f>base!H3268</f>
        <v>13</v>
      </c>
      <c r="E3268" s="44"/>
      <c r="F3268" s="16">
        <f>base!W3268</f>
        <v>0</v>
      </c>
      <c r="G3268" s="11">
        <f t="shared" si="510"/>
        <v>0</v>
      </c>
      <c r="H3268" s="11">
        <f t="shared" si="511"/>
        <v>3.12</v>
      </c>
      <c r="I3268" s="11">
        <f t="shared" si="512"/>
        <v>0.24000000000000002</v>
      </c>
      <c r="J3268" s="12">
        <f t="shared" si="513"/>
        <v>-3.12</v>
      </c>
      <c r="K3268" s="17" t="str">
        <f t="shared" si="518"/>
        <v>Ecart négatif</v>
      </c>
      <c r="L3268" s="16">
        <f>base!X3268</f>
        <v>0</v>
      </c>
      <c r="M3268" s="11">
        <f t="shared" si="514"/>
        <v>0</v>
      </c>
      <c r="N3268" s="11">
        <f t="shared" si="515"/>
        <v>1.56</v>
      </c>
      <c r="O3268" s="11">
        <f t="shared" si="516"/>
        <v>0.12000000000000001</v>
      </c>
      <c r="P3268" s="12">
        <f t="shared" si="517"/>
        <v>-1.56</v>
      </c>
      <c r="Q3268" s="17" t="str">
        <f t="shared" si="519"/>
        <v>Ecart négatif</v>
      </c>
    </row>
    <row r="3269" spans="1:18" x14ac:dyDescent="0.3">
      <c r="A3269" s="34" t="str">
        <f>base!J3269</f>
        <v>LS</v>
      </c>
      <c r="B3269" s="34" t="str">
        <f>base!V3269</f>
        <v>69002</v>
      </c>
      <c r="C3269" s="37">
        <v>69</v>
      </c>
      <c r="D3269" s="36">
        <f>base!H3269</f>
        <v>0</v>
      </c>
      <c r="E3269" s="44"/>
      <c r="F3269" s="16">
        <f>base!W3269</f>
        <v>0</v>
      </c>
      <c r="G3269" s="11" t="e">
        <f t="shared" si="510"/>
        <v>#DIV/0!</v>
      </c>
      <c r="H3269" s="11">
        <f t="shared" si="511"/>
        <v>0</v>
      </c>
      <c r="I3269" s="11" t="e">
        <f t="shared" si="512"/>
        <v>#DIV/0!</v>
      </c>
      <c r="J3269" s="12">
        <f t="shared" si="513"/>
        <v>0</v>
      </c>
      <c r="K3269" s="17" t="str">
        <f t="shared" si="518"/>
        <v>Pas d'écart</v>
      </c>
      <c r="L3269" s="16">
        <f>base!X3269</f>
        <v>0</v>
      </c>
      <c r="M3269" s="11" t="e">
        <f t="shared" si="514"/>
        <v>#DIV/0!</v>
      </c>
      <c r="N3269" s="11">
        <f t="shared" si="515"/>
        <v>0</v>
      </c>
      <c r="O3269" s="11" t="e">
        <f t="shared" si="516"/>
        <v>#DIV/0!</v>
      </c>
      <c r="P3269" s="12">
        <f t="shared" si="517"/>
        <v>0</v>
      </c>
      <c r="Q3269" s="17" t="str">
        <f t="shared" si="519"/>
        <v>Pas d'écart</v>
      </c>
    </row>
    <row r="3270" spans="1:18" x14ac:dyDescent="0.3">
      <c r="A3270" s="34">
        <f>base!J3270</f>
        <v>0</v>
      </c>
      <c r="B3270" s="34" t="str">
        <f>base!V3270</f>
        <v>77184</v>
      </c>
      <c r="C3270" s="37">
        <v>77</v>
      </c>
      <c r="D3270" s="36">
        <f>base!H3270</f>
        <v>133.97999999999999</v>
      </c>
      <c r="E3270" s="44"/>
      <c r="F3270" s="16">
        <f>base!W3270</f>
        <v>0</v>
      </c>
      <c r="G3270" s="11">
        <f t="shared" si="510"/>
        <v>0</v>
      </c>
      <c r="H3270" s="11">
        <f t="shared" si="511"/>
        <v>0</v>
      </c>
      <c r="I3270" s="11">
        <f t="shared" si="512"/>
        <v>0</v>
      </c>
      <c r="J3270" s="12">
        <f t="shared" si="513"/>
        <v>0</v>
      </c>
      <c r="K3270" s="17" t="str">
        <f t="shared" si="518"/>
        <v>Pas d'écart</v>
      </c>
      <c r="L3270" s="16">
        <f>base!X3270</f>
        <v>0</v>
      </c>
      <c r="M3270" s="11">
        <f t="shared" si="514"/>
        <v>0</v>
      </c>
      <c r="N3270" s="11">
        <f t="shared" si="515"/>
        <v>0</v>
      </c>
      <c r="O3270" s="11">
        <f t="shared" si="516"/>
        <v>0</v>
      </c>
      <c r="P3270" s="12">
        <f t="shared" si="517"/>
        <v>0</v>
      </c>
      <c r="Q3270" s="17" t="str">
        <f t="shared" si="519"/>
        <v>Pas d'écart</v>
      </c>
    </row>
    <row r="3271" spans="1:18" x14ac:dyDescent="0.3">
      <c r="A3271" s="34" t="str">
        <f>base!J3271</f>
        <v>LM</v>
      </c>
      <c r="B3271" s="34" t="str">
        <f>base!V3271</f>
        <v>75014</v>
      </c>
      <c r="C3271" s="37">
        <v>75</v>
      </c>
      <c r="D3271" s="36">
        <f>base!H3271</f>
        <v>19.649999999999999</v>
      </c>
      <c r="E3271" s="44"/>
      <c r="F3271" s="16">
        <f>base!W3271</f>
        <v>0</v>
      </c>
      <c r="G3271" s="11">
        <f t="shared" si="510"/>
        <v>0</v>
      </c>
      <c r="H3271" s="11">
        <f t="shared" si="511"/>
        <v>0</v>
      </c>
      <c r="I3271" s="11">
        <f t="shared" si="512"/>
        <v>0</v>
      </c>
      <c r="J3271" s="12">
        <f t="shared" si="513"/>
        <v>0</v>
      </c>
      <c r="K3271" s="17" t="str">
        <f t="shared" si="518"/>
        <v>Pas d'écart</v>
      </c>
      <c r="L3271" s="16">
        <f>base!X3271</f>
        <v>0</v>
      </c>
      <c r="M3271" s="11">
        <f t="shared" si="514"/>
        <v>0</v>
      </c>
      <c r="N3271" s="11">
        <f t="shared" si="515"/>
        <v>0</v>
      </c>
      <c r="O3271" s="11">
        <f t="shared" si="516"/>
        <v>0</v>
      </c>
      <c r="P3271" s="12">
        <f t="shared" si="517"/>
        <v>0</v>
      </c>
      <c r="Q3271" s="17" t="str">
        <f t="shared" si="519"/>
        <v>Pas d'écart</v>
      </c>
    </row>
    <row r="3272" spans="1:18" x14ac:dyDescent="0.3">
      <c r="A3272" s="34" t="str">
        <f>base!J3272</f>
        <v>LM</v>
      </c>
      <c r="B3272" s="34" t="str">
        <f>base!V3272</f>
        <v>75014</v>
      </c>
      <c r="C3272" s="37">
        <v>75</v>
      </c>
      <c r="D3272" s="36">
        <f>base!H3272</f>
        <v>19.649999999999999</v>
      </c>
      <c r="E3272" s="44"/>
      <c r="F3272" s="16">
        <f>base!W3272</f>
        <v>0</v>
      </c>
      <c r="G3272" s="11">
        <f t="shared" si="510"/>
        <v>0</v>
      </c>
      <c r="H3272" s="11">
        <f t="shared" si="511"/>
        <v>0</v>
      </c>
      <c r="I3272" s="11">
        <f t="shared" si="512"/>
        <v>0</v>
      </c>
      <c r="J3272" s="12">
        <f t="shared" si="513"/>
        <v>0</v>
      </c>
      <c r="K3272" s="17" t="str">
        <f t="shared" si="518"/>
        <v>Pas d'écart</v>
      </c>
      <c r="L3272" s="16">
        <f>base!X3272</f>
        <v>0</v>
      </c>
      <c r="M3272" s="11">
        <f t="shared" si="514"/>
        <v>0</v>
      </c>
      <c r="N3272" s="11">
        <f t="shared" si="515"/>
        <v>0</v>
      </c>
      <c r="O3272" s="11">
        <f t="shared" si="516"/>
        <v>0</v>
      </c>
      <c r="P3272" s="12">
        <f t="shared" si="517"/>
        <v>0</v>
      </c>
      <c r="Q3272" s="17" t="str">
        <f t="shared" si="519"/>
        <v>Pas d'écart</v>
      </c>
    </row>
    <row r="3273" spans="1:18" x14ac:dyDescent="0.3">
      <c r="A3273" s="34" t="str">
        <f>base!J3273</f>
        <v>LS</v>
      </c>
      <c r="B3273" s="34" t="str">
        <f>base!V3273</f>
        <v>38400</v>
      </c>
      <c r="C3273" s="37">
        <v>38</v>
      </c>
      <c r="D3273" s="36">
        <f>base!H3273</f>
        <v>40</v>
      </c>
      <c r="E3273" s="44"/>
      <c r="F3273" s="16">
        <f>base!W3273</f>
        <v>10.8</v>
      </c>
      <c r="G3273" s="11">
        <f t="shared" si="510"/>
        <v>0.27</v>
      </c>
      <c r="H3273" s="11">
        <f t="shared" si="511"/>
        <v>10.8</v>
      </c>
      <c r="I3273" s="11">
        <f t="shared" si="512"/>
        <v>0.27</v>
      </c>
      <c r="J3273" s="12">
        <f t="shared" si="513"/>
        <v>0</v>
      </c>
      <c r="K3273" s="17" t="str">
        <f t="shared" si="518"/>
        <v>Pas d'écart</v>
      </c>
      <c r="L3273" s="16">
        <f>base!X3273</f>
        <v>0</v>
      </c>
      <c r="M3273" s="11">
        <f t="shared" si="514"/>
        <v>0</v>
      </c>
      <c r="N3273" s="11">
        <f t="shared" si="515"/>
        <v>0</v>
      </c>
      <c r="O3273" s="11">
        <f t="shared" si="516"/>
        <v>0</v>
      </c>
      <c r="P3273" s="12">
        <f t="shared" si="517"/>
        <v>0</v>
      </c>
      <c r="Q3273" s="17" t="str">
        <f t="shared" si="519"/>
        <v>Pas d'écart</v>
      </c>
    </row>
    <row r="3274" spans="1:18" x14ac:dyDescent="0.3">
      <c r="A3274" s="34" t="str">
        <f>base!J3274</f>
        <v>LS</v>
      </c>
      <c r="B3274" s="34" t="str">
        <f>base!V3274</f>
        <v>34200</v>
      </c>
      <c r="C3274" s="37">
        <v>21</v>
      </c>
      <c r="D3274" s="36">
        <f>base!H3274</f>
        <v>4.54</v>
      </c>
      <c r="E3274" s="44"/>
      <c r="F3274" s="16">
        <f>base!W3274</f>
        <v>1.77</v>
      </c>
      <c r="G3274" s="11">
        <f t="shared" si="510"/>
        <v>0.38986784140969161</v>
      </c>
      <c r="H3274" s="11">
        <f t="shared" si="511"/>
        <v>1.0895999999999999</v>
      </c>
      <c r="I3274" s="11">
        <f t="shared" si="512"/>
        <v>0.23999999999999996</v>
      </c>
      <c r="J3274" s="12">
        <f t="shared" si="513"/>
        <v>0.68040000000000012</v>
      </c>
      <c r="K3274" s="17" t="str">
        <f t="shared" si="518"/>
        <v>Ecart positif</v>
      </c>
      <c r="L3274" s="16">
        <f>base!X3274</f>
        <v>0</v>
      </c>
      <c r="M3274" s="11">
        <f t="shared" si="514"/>
        <v>0</v>
      </c>
      <c r="N3274" s="11">
        <f t="shared" si="515"/>
        <v>0.54479999999999995</v>
      </c>
      <c r="O3274" s="11">
        <f t="shared" si="516"/>
        <v>0.11999999999999998</v>
      </c>
      <c r="P3274" s="12">
        <f t="shared" si="517"/>
        <v>-0.54479999999999995</v>
      </c>
      <c r="Q3274" s="17" t="str">
        <f t="shared" si="519"/>
        <v>Ecart négatif</v>
      </c>
    </row>
    <row r="3275" spans="1:18" x14ac:dyDescent="0.3">
      <c r="A3275" s="34" t="str">
        <f>base!J3275</f>
        <v>RM</v>
      </c>
      <c r="B3275" s="34" t="str">
        <f>base!V3275</f>
        <v>25110</v>
      </c>
      <c r="C3275" s="37">
        <v>25</v>
      </c>
      <c r="D3275" s="36">
        <f>base!H3275</f>
        <v>151</v>
      </c>
      <c r="E3275" s="44"/>
      <c r="F3275" s="16">
        <f>base!W3275</f>
        <v>0</v>
      </c>
      <c r="G3275" s="11">
        <f t="shared" si="510"/>
        <v>0</v>
      </c>
      <c r="H3275" s="11">
        <f t="shared" si="511"/>
        <v>36.24</v>
      </c>
      <c r="I3275" s="11">
        <f t="shared" si="512"/>
        <v>0.24000000000000002</v>
      </c>
      <c r="J3275" s="12">
        <f t="shared" si="513"/>
        <v>-36.24</v>
      </c>
      <c r="K3275" s="17" t="str">
        <f t="shared" si="518"/>
        <v>Ecart négatif</v>
      </c>
      <c r="L3275" s="16">
        <f>base!X3275</f>
        <v>0</v>
      </c>
      <c r="M3275" s="11">
        <f t="shared" si="514"/>
        <v>0</v>
      </c>
      <c r="N3275" s="11">
        <f t="shared" si="515"/>
        <v>18.12</v>
      </c>
      <c r="O3275" s="11">
        <f t="shared" si="516"/>
        <v>0.12000000000000001</v>
      </c>
      <c r="P3275" s="12">
        <f t="shared" si="517"/>
        <v>-18.12</v>
      </c>
      <c r="Q3275" s="17" t="str">
        <f t="shared" si="519"/>
        <v>Ecart négatif</v>
      </c>
    </row>
    <row r="3276" spans="1:18" x14ac:dyDescent="0.3">
      <c r="A3276" s="34" t="str">
        <f>base!J3276</f>
        <v>DLM</v>
      </c>
      <c r="B3276" s="34" t="str">
        <f>base!V3276</f>
        <v>63100</v>
      </c>
      <c r="C3276" s="37">
        <v>63</v>
      </c>
      <c r="D3276" s="36">
        <f>base!H3276</f>
        <v>149.62</v>
      </c>
      <c r="E3276" s="44"/>
      <c r="F3276" s="16">
        <f>base!W3276</f>
        <v>0</v>
      </c>
      <c r="G3276" s="11">
        <f t="shared" si="510"/>
        <v>0</v>
      </c>
      <c r="H3276" s="11">
        <f t="shared" si="511"/>
        <v>43.389800000000001</v>
      </c>
      <c r="I3276" s="11">
        <f t="shared" si="512"/>
        <v>0.28999999999999998</v>
      </c>
      <c r="J3276" s="12">
        <f t="shared" si="513"/>
        <v>-43.389800000000001</v>
      </c>
      <c r="K3276" s="17" t="str">
        <f t="shared" si="518"/>
        <v>Ecart négatif</v>
      </c>
      <c r="L3276" s="16">
        <f>base!X3276</f>
        <v>0</v>
      </c>
      <c r="M3276" s="11">
        <f t="shared" si="514"/>
        <v>0</v>
      </c>
      <c r="N3276" s="11">
        <f t="shared" si="515"/>
        <v>17.9544</v>
      </c>
      <c r="O3276" s="11">
        <f t="shared" si="516"/>
        <v>0.12</v>
      </c>
      <c r="P3276" s="12">
        <f t="shared" si="517"/>
        <v>-17.9544</v>
      </c>
      <c r="Q3276" s="17" t="str">
        <f t="shared" si="519"/>
        <v>Ecart négatif</v>
      </c>
    </row>
    <row r="3277" spans="1:18" x14ac:dyDescent="0.3">
      <c r="A3277" s="34" t="str">
        <f>base!J3277</f>
        <v>DRM</v>
      </c>
      <c r="B3277" s="34" t="str">
        <f>base!V3277</f>
        <v>63100</v>
      </c>
      <c r="C3277" s="37">
        <v>63</v>
      </c>
      <c r="D3277" s="36">
        <f>base!H3277</f>
        <v>160.28</v>
      </c>
      <c r="E3277" s="44"/>
      <c r="F3277" s="16">
        <f>base!W3277</f>
        <v>0</v>
      </c>
      <c r="G3277" s="11">
        <f t="shared" si="510"/>
        <v>0</v>
      </c>
      <c r="H3277" s="11">
        <f t="shared" si="511"/>
        <v>46.481199999999994</v>
      </c>
      <c r="I3277" s="11">
        <f t="shared" si="512"/>
        <v>0.28999999999999998</v>
      </c>
      <c r="J3277" s="12">
        <f t="shared" si="513"/>
        <v>-46.481199999999994</v>
      </c>
      <c r="K3277" s="17" t="str">
        <f t="shared" si="518"/>
        <v>Ecart négatif</v>
      </c>
      <c r="L3277" s="16">
        <f>base!X3277</f>
        <v>0</v>
      </c>
      <c r="M3277" s="11">
        <f t="shared" si="514"/>
        <v>0</v>
      </c>
      <c r="N3277" s="11">
        <f t="shared" si="515"/>
        <v>19.233599999999999</v>
      </c>
      <c r="O3277" s="11">
        <f t="shared" si="516"/>
        <v>0.12</v>
      </c>
      <c r="P3277" s="12">
        <f t="shared" si="517"/>
        <v>-19.233599999999999</v>
      </c>
      <c r="Q3277" s="17" t="str">
        <f t="shared" si="519"/>
        <v>Ecart négatif</v>
      </c>
    </row>
    <row r="3278" spans="1:18" x14ac:dyDescent="0.3">
      <c r="A3278" s="34" t="str">
        <f>base!J3278</f>
        <v>RS</v>
      </c>
      <c r="B3278" s="34" t="str">
        <f>base!V3278</f>
        <v>69800</v>
      </c>
      <c r="C3278" s="37">
        <v>69</v>
      </c>
      <c r="D3278" s="36">
        <f>base!H3278</f>
        <v>99.01</v>
      </c>
      <c r="E3278" s="44"/>
      <c r="F3278" s="16">
        <f>base!W3278</f>
        <v>0</v>
      </c>
      <c r="G3278" s="11">
        <f t="shared" si="510"/>
        <v>0</v>
      </c>
      <c r="H3278" s="11">
        <f t="shared" si="511"/>
        <v>26.732700000000005</v>
      </c>
      <c r="I3278" s="11">
        <f t="shared" si="512"/>
        <v>0.27</v>
      </c>
      <c r="J3278" s="12">
        <f t="shared" si="513"/>
        <v>-26.732700000000005</v>
      </c>
      <c r="K3278" s="17" t="str">
        <f t="shared" si="518"/>
        <v>Ecart négatif</v>
      </c>
      <c r="L3278" s="16">
        <f>base!X3278</f>
        <v>26.73</v>
      </c>
      <c r="M3278" s="11">
        <f t="shared" si="514"/>
        <v>0.26997273002726996</v>
      </c>
      <c r="N3278" s="11">
        <f t="shared" si="515"/>
        <v>0</v>
      </c>
      <c r="O3278" s="11">
        <f t="shared" si="516"/>
        <v>0</v>
      </c>
      <c r="P3278" s="12">
        <f t="shared" si="517"/>
        <v>26.73</v>
      </c>
      <c r="Q3278" s="17" t="str">
        <f t="shared" si="519"/>
        <v>Ecart positif</v>
      </c>
      <c r="R3278" s="38"/>
    </row>
    <row r="3279" spans="1:18" x14ac:dyDescent="0.3">
      <c r="A3279" s="34">
        <f>base!J3279</f>
        <v>0</v>
      </c>
      <c r="B3279" s="34" t="str">
        <f>base!V3279</f>
        <v>77184</v>
      </c>
      <c r="C3279" s="37">
        <v>77</v>
      </c>
      <c r="D3279" s="36">
        <f>base!H3279</f>
        <v>84.5</v>
      </c>
      <c r="E3279" s="44"/>
      <c r="F3279" s="16">
        <f>base!W3279</f>
        <v>0</v>
      </c>
      <c r="G3279" s="11">
        <f t="shared" si="510"/>
        <v>0</v>
      </c>
      <c r="H3279" s="11">
        <f t="shared" si="511"/>
        <v>0</v>
      </c>
      <c r="I3279" s="11">
        <f t="shared" si="512"/>
        <v>0</v>
      </c>
      <c r="J3279" s="12">
        <f t="shared" si="513"/>
        <v>0</v>
      </c>
      <c r="K3279" s="17" t="str">
        <f t="shared" si="518"/>
        <v>Pas d'écart</v>
      </c>
      <c r="L3279" s="16">
        <f>base!X3279</f>
        <v>0</v>
      </c>
      <c r="M3279" s="11">
        <f t="shared" si="514"/>
        <v>0</v>
      </c>
      <c r="N3279" s="11">
        <f t="shared" si="515"/>
        <v>0</v>
      </c>
      <c r="O3279" s="11">
        <f t="shared" si="516"/>
        <v>0</v>
      </c>
      <c r="P3279" s="12">
        <f t="shared" si="517"/>
        <v>0</v>
      </c>
      <c r="Q3279" s="17" t="str">
        <f t="shared" si="519"/>
        <v>Pas d'écart</v>
      </c>
    </row>
    <row r="3280" spans="1:18" x14ac:dyDescent="0.3">
      <c r="A3280" s="34">
        <f>base!J3280</f>
        <v>0</v>
      </c>
      <c r="B3280" s="34" t="str">
        <f>base!V3280</f>
        <v>77184</v>
      </c>
      <c r="C3280" s="37">
        <v>77</v>
      </c>
      <c r="D3280" s="36">
        <f>base!H3280</f>
        <v>25</v>
      </c>
      <c r="E3280" s="44"/>
      <c r="F3280" s="16">
        <f>base!W3280</f>
        <v>0</v>
      </c>
      <c r="G3280" s="11">
        <f t="shared" si="510"/>
        <v>0</v>
      </c>
      <c r="H3280" s="11">
        <f t="shared" si="511"/>
        <v>0</v>
      </c>
      <c r="I3280" s="11">
        <f t="shared" si="512"/>
        <v>0</v>
      </c>
      <c r="J3280" s="12">
        <f t="shared" si="513"/>
        <v>0</v>
      </c>
      <c r="K3280" s="17" t="str">
        <f t="shared" si="518"/>
        <v>Pas d'écart</v>
      </c>
      <c r="L3280" s="16">
        <f>base!X3280</f>
        <v>0</v>
      </c>
      <c r="M3280" s="11">
        <f t="shared" si="514"/>
        <v>0</v>
      </c>
      <c r="N3280" s="11">
        <f t="shared" si="515"/>
        <v>0</v>
      </c>
      <c r="O3280" s="11">
        <f t="shared" si="516"/>
        <v>0</v>
      </c>
      <c r="P3280" s="12">
        <f t="shared" si="517"/>
        <v>0</v>
      </c>
      <c r="Q3280" s="17" t="str">
        <f t="shared" si="519"/>
        <v>Pas d'écart</v>
      </c>
    </row>
    <row r="3281" spans="1:17" x14ac:dyDescent="0.3">
      <c r="A3281" s="34">
        <f>base!J3281</f>
        <v>0</v>
      </c>
      <c r="B3281" s="34" t="str">
        <f>base!V3281</f>
        <v>77184</v>
      </c>
      <c r="C3281" s="37">
        <v>77</v>
      </c>
      <c r="D3281" s="36">
        <f>base!H3281</f>
        <v>32.65</v>
      </c>
      <c r="E3281" s="44"/>
      <c r="F3281" s="16">
        <f>base!W3281</f>
        <v>0</v>
      </c>
      <c r="G3281" s="11">
        <f t="shared" si="510"/>
        <v>0</v>
      </c>
      <c r="H3281" s="11">
        <f t="shared" si="511"/>
        <v>0</v>
      </c>
      <c r="I3281" s="11">
        <f t="shared" si="512"/>
        <v>0</v>
      </c>
      <c r="J3281" s="12">
        <f t="shared" si="513"/>
        <v>0</v>
      </c>
      <c r="K3281" s="17" t="str">
        <f t="shared" si="518"/>
        <v>Pas d'écart</v>
      </c>
      <c r="L3281" s="16">
        <f>base!X3281</f>
        <v>0</v>
      </c>
      <c r="M3281" s="11">
        <f t="shared" si="514"/>
        <v>0</v>
      </c>
      <c r="N3281" s="11">
        <f t="shared" si="515"/>
        <v>0</v>
      </c>
      <c r="O3281" s="11">
        <f t="shared" si="516"/>
        <v>0</v>
      </c>
      <c r="P3281" s="12">
        <f t="shared" si="517"/>
        <v>0</v>
      </c>
      <c r="Q3281" s="17" t="str">
        <f t="shared" si="519"/>
        <v>Pas d'écart</v>
      </c>
    </row>
    <row r="3282" spans="1:17" x14ac:dyDescent="0.3">
      <c r="A3282" s="34">
        <f>base!J3282</f>
        <v>0</v>
      </c>
      <c r="B3282" s="34" t="str">
        <f>base!V3282</f>
        <v>77184</v>
      </c>
      <c r="C3282" s="37">
        <v>77</v>
      </c>
      <c r="D3282" s="36">
        <f>base!H3282</f>
        <v>26</v>
      </c>
      <c r="E3282" s="44"/>
      <c r="F3282" s="16">
        <f>base!W3282</f>
        <v>0</v>
      </c>
      <c r="G3282" s="11">
        <f t="shared" si="510"/>
        <v>0</v>
      </c>
      <c r="H3282" s="11">
        <f t="shared" si="511"/>
        <v>0</v>
      </c>
      <c r="I3282" s="11">
        <f t="shared" si="512"/>
        <v>0</v>
      </c>
      <c r="J3282" s="12">
        <f t="shared" si="513"/>
        <v>0</v>
      </c>
      <c r="K3282" s="17" t="str">
        <f t="shared" si="518"/>
        <v>Pas d'écart</v>
      </c>
      <c r="L3282" s="16">
        <f>base!X3282</f>
        <v>0</v>
      </c>
      <c r="M3282" s="11">
        <f t="shared" si="514"/>
        <v>0</v>
      </c>
      <c r="N3282" s="11">
        <f t="shared" si="515"/>
        <v>0</v>
      </c>
      <c r="O3282" s="11">
        <f t="shared" si="516"/>
        <v>0</v>
      </c>
      <c r="P3282" s="12">
        <f t="shared" si="517"/>
        <v>0</v>
      </c>
      <c r="Q3282" s="17" t="str">
        <f t="shared" si="519"/>
        <v>Pas d'écart</v>
      </c>
    </row>
    <row r="3283" spans="1:17" x14ac:dyDescent="0.3">
      <c r="A3283" s="34" t="str">
        <f>base!J3283</f>
        <v>LS</v>
      </c>
      <c r="B3283" s="34" t="str">
        <f>base!V3283</f>
        <v>14430</v>
      </c>
      <c r="C3283" s="37">
        <v>21</v>
      </c>
      <c r="D3283" s="36">
        <f>base!H3283</f>
        <v>188.94</v>
      </c>
      <c r="E3283" s="44"/>
      <c r="F3283" s="16">
        <f>base!W3283</f>
        <v>32.119999999999997</v>
      </c>
      <c r="G3283" s="11">
        <f t="shared" si="510"/>
        <v>0.17000105853710171</v>
      </c>
      <c r="H3283" s="11">
        <f t="shared" si="511"/>
        <v>45.345599999999997</v>
      </c>
      <c r="I3283" s="11">
        <f t="shared" si="512"/>
        <v>0.24</v>
      </c>
      <c r="J3283" s="12">
        <f t="shared" si="513"/>
        <v>-13.2256</v>
      </c>
      <c r="K3283" s="17" t="str">
        <f t="shared" si="518"/>
        <v>Ecart négatif</v>
      </c>
      <c r="L3283" s="16">
        <f>base!X3283</f>
        <v>0</v>
      </c>
      <c r="M3283" s="11">
        <f t="shared" si="514"/>
        <v>0</v>
      </c>
      <c r="N3283" s="11">
        <f t="shared" si="515"/>
        <v>22.672799999999999</v>
      </c>
      <c r="O3283" s="11">
        <f t="shared" si="516"/>
        <v>0.12</v>
      </c>
      <c r="P3283" s="12">
        <f t="shared" si="517"/>
        <v>-22.672799999999999</v>
      </c>
      <c r="Q3283" s="17" t="str">
        <f t="shared" si="519"/>
        <v>Ecart négatif</v>
      </c>
    </row>
    <row r="3284" spans="1:17" x14ac:dyDescent="0.3">
      <c r="A3284" s="34">
        <f>base!J3284</f>
        <v>0</v>
      </c>
      <c r="B3284" s="34" t="str">
        <f>base!V3284</f>
        <v>77184</v>
      </c>
      <c r="C3284" s="37">
        <v>77</v>
      </c>
      <c r="D3284" s="36">
        <f>base!H3284</f>
        <v>131.80000000000001</v>
      </c>
      <c r="E3284" s="44"/>
      <c r="F3284" s="16">
        <f>base!W3284</f>
        <v>0</v>
      </c>
      <c r="G3284" s="11">
        <f t="shared" si="510"/>
        <v>0</v>
      </c>
      <c r="H3284" s="11">
        <f t="shared" si="511"/>
        <v>0</v>
      </c>
      <c r="I3284" s="11">
        <f t="shared" si="512"/>
        <v>0</v>
      </c>
      <c r="J3284" s="12">
        <f t="shared" si="513"/>
        <v>0</v>
      </c>
      <c r="K3284" s="17" t="str">
        <f t="shared" si="518"/>
        <v>Pas d'écart</v>
      </c>
      <c r="L3284" s="16">
        <f>base!X3284</f>
        <v>0</v>
      </c>
      <c r="M3284" s="11">
        <f t="shared" si="514"/>
        <v>0</v>
      </c>
      <c r="N3284" s="11">
        <f t="shared" si="515"/>
        <v>0</v>
      </c>
      <c r="O3284" s="11">
        <f t="shared" si="516"/>
        <v>0</v>
      </c>
      <c r="P3284" s="12">
        <f t="shared" si="517"/>
        <v>0</v>
      </c>
      <c r="Q3284" s="17" t="str">
        <f t="shared" si="519"/>
        <v>Pas d'écart</v>
      </c>
    </row>
    <row r="3285" spans="1:17" x14ac:dyDescent="0.3">
      <c r="A3285" s="34" t="str">
        <f>base!J3285</f>
        <v>LS</v>
      </c>
      <c r="B3285" s="34" t="str">
        <f>base!V3285</f>
        <v>62300</v>
      </c>
      <c r="C3285" s="37">
        <v>21</v>
      </c>
      <c r="D3285" s="36">
        <f>base!H3285</f>
        <v>140</v>
      </c>
      <c r="E3285" s="44"/>
      <c r="F3285" s="16">
        <f>base!W3285</f>
        <v>0</v>
      </c>
      <c r="G3285" s="11">
        <f t="shared" si="510"/>
        <v>0</v>
      </c>
      <c r="H3285" s="11">
        <f t="shared" si="511"/>
        <v>33.6</v>
      </c>
      <c r="I3285" s="11">
        <f t="shared" si="512"/>
        <v>0.24000000000000002</v>
      </c>
      <c r="J3285" s="12">
        <f t="shared" si="513"/>
        <v>-33.6</v>
      </c>
      <c r="K3285" s="17" t="str">
        <f t="shared" si="518"/>
        <v>Ecart négatif</v>
      </c>
      <c r="L3285" s="16">
        <f>base!X3285</f>
        <v>0</v>
      </c>
      <c r="M3285" s="11">
        <f t="shared" si="514"/>
        <v>0</v>
      </c>
      <c r="N3285" s="11">
        <f t="shared" si="515"/>
        <v>16.8</v>
      </c>
      <c r="O3285" s="11">
        <f t="shared" si="516"/>
        <v>0.12000000000000001</v>
      </c>
      <c r="P3285" s="12">
        <f t="shared" si="517"/>
        <v>-16.8</v>
      </c>
      <c r="Q3285" s="17" t="str">
        <f t="shared" si="519"/>
        <v>Ecart négatif</v>
      </c>
    </row>
    <row r="3286" spans="1:17" x14ac:dyDescent="0.3">
      <c r="A3286" s="34" t="str">
        <f>base!J3286</f>
        <v>LM</v>
      </c>
      <c r="B3286" s="34" t="str">
        <f>base!V3286</f>
        <v>95240</v>
      </c>
      <c r="C3286" s="37">
        <v>95</v>
      </c>
      <c r="D3286" s="36">
        <f>base!H3286</f>
        <v>55.34</v>
      </c>
      <c r="E3286" s="44"/>
      <c r="F3286" s="16">
        <f>base!W3286</f>
        <v>0</v>
      </c>
      <c r="G3286" s="11">
        <f t="shared" si="510"/>
        <v>0</v>
      </c>
      <c r="H3286" s="11">
        <f t="shared" si="511"/>
        <v>0</v>
      </c>
      <c r="I3286" s="11">
        <f t="shared" si="512"/>
        <v>0</v>
      </c>
      <c r="J3286" s="12">
        <f t="shared" si="513"/>
        <v>0</v>
      </c>
      <c r="K3286" s="17" t="str">
        <f t="shared" si="518"/>
        <v>Pas d'écart</v>
      </c>
      <c r="L3286" s="16">
        <f>base!X3286</f>
        <v>0</v>
      </c>
      <c r="M3286" s="11">
        <f t="shared" si="514"/>
        <v>0</v>
      </c>
      <c r="N3286" s="11">
        <f t="shared" si="515"/>
        <v>0</v>
      </c>
      <c r="O3286" s="11">
        <f t="shared" si="516"/>
        <v>0</v>
      </c>
      <c r="P3286" s="12">
        <f t="shared" si="517"/>
        <v>0</v>
      </c>
      <c r="Q3286" s="17" t="str">
        <f t="shared" si="519"/>
        <v>Pas d'écart</v>
      </c>
    </row>
    <row r="3287" spans="1:17" x14ac:dyDescent="0.3">
      <c r="A3287" s="34" t="str">
        <f>base!J3287</f>
        <v>LM</v>
      </c>
      <c r="B3287" s="34" t="str">
        <f>base!V3287</f>
        <v>95240</v>
      </c>
      <c r="C3287" s="37">
        <v>95</v>
      </c>
      <c r="D3287" s="36">
        <f>base!H3287</f>
        <v>36.85</v>
      </c>
      <c r="E3287" s="44"/>
      <c r="F3287" s="16">
        <f>base!W3287</f>
        <v>0</v>
      </c>
      <c r="G3287" s="11">
        <f t="shared" si="510"/>
        <v>0</v>
      </c>
      <c r="H3287" s="11">
        <f t="shared" si="511"/>
        <v>0</v>
      </c>
      <c r="I3287" s="11">
        <f t="shared" si="512"/>
        <v>0</v>
      </c>
      <c r="J3287" s="12">
        <f t="shared" si="513"/>
        <v>0</v>
      </c>
      <c r="K3287" s="17" t="str">
        <f t="shared" si="518"/>
        <v>Pas d'écart</v>
      </c>
      <c r="L3287" s="16">
        <f>base!X3287</f>
        <v>0</v>
      </c>
      <c r="M3287" s="11">
        <f t="shared" si="514"/>
        <v>0</v>
      </c>
      <c r="N3287" s="11">
        <f t="shared" si="515"/>
        <v>0</v>
      </c>
      <c r="O3287" s="11">
        <f t="shared" si="516"/>
        <v>0</v>
      </c>
      <c r="P3287" s="12">
        <f t="shared" si="517"/>
        <v>0</v>
      </c>
      <c r="Q3287" s="17" t="str">
        <f t="shared" si="519"/>
        <v>Pas d'écart</v>
      </c>
    </row>
    <row r="3288" spans="1:17" x14ac:dyDescent="0.3">
      <c r="A3288" s="34" t="str">
        <f>base!J3288</f>
        <v>LM</v>
      </c>
      <c r="B3288" s="34" t="str">
        <f>base!V3288</f>
        <v>44327</v>
      </c>
      <c r="C3288" s="37">
        <v>21</v>
      </c>
      <c r="D3288" s="36">
        <f>base!H3288</f>
        <v>57.65</v>
      </c>
      <c r="E3288" s="44"/>
      <c r="F3288" s="16">
        <f>base!W3288</f>
        <v>15.57</v>
      </c>
      <c r="G3288" s="11">
        <f t="shared" si="510"/>
        <v>0.27007805724197748</v>
      </c>
      <c r="H3288" s="11">
        <f t="shared" si="511"/>
        <v>13.835999999999999</v>
      </c>
      <c r="I3288" s="11">
        <f t="shared" si="512"/>
        <v>0.24</v>
      </c>
      <c r="J3288" s="12">
        <f t="shared" si="513"/>
        <v>1.7340000000000018</v>
      </c>
      <c r="K3288" s="17" t="str">
        <f t="shared" si="518"/>
        <v>Ecart positif</v>
      </c>
      <c r="L3288" s="16">
        <f>base!X3288</f>
        <v>0</v>
      </c>
      <c r="M3288" s="11">
        <f t="shared" si="514"/>
        <v>0</v>
      </c>
      <c r="N3288" s="11">
        <f t="shared" si="515"/>
        <v>6.9179999999999993</v>
      </c>
      <c r="O3288" s="11">
        <f t="shared" si="516"/>
        <v>0.12</v>
      </c>
      <c r="P3288" s="12">
        <f t="shared" si="517"/>
        <v>-6.9179999999999993</v>
      </c>
      <c r="Q3288" s="17" t="str">
        <f t="shared" si="519"/>
        <v>Ecart négatif</v>
      </c>
    </row>
    <row r="3289" spans="1:17" x14ac:dyDescent="0.3">
      <c r="A3289" s="34" t="str">
        <f>base!J3289</f>
        <v>LS</v>
      </c>
      <c r="B3289" s="34" t="str">
        <f>base!V3289</f>
        <v>13510</v>
      </c>
      <c r="C3289" s="37">
        <v>21</v>
      </c>
      <c r="D3289" s="36">
        <f>base!H3289</f>
        <v>83.4</v>
      </c>
      <c r="E3289" s="44"/>
      <c r="F3289" s="16">
        <f>base!W3289</f>
        <v>24.19</v>
      </c>
      <c r="G3289" s="11">
        <f t="shared" si="510"/>
        <v>0.29004796163069546</v>
      </c>
      <c r="H3289" s="11">
        <f t="shared" si="511"/>
        <v>20.016000000000002</v>
      </c>
      <c r="I3289" s="11">
        <f t="shared" si="512"/>
        <v>0.24000000000000002</v>
      </c>
      <c r="J3289" s="12">
        <f t="shared" si="513"/>
        <v>4.1739999999999995</v>
      </c>
      <c r="K3289" s="17" t="str">
        <f t="shared" si="518"/>
        <v>Ecart positif</v>
      </c>
      <c r="L3289" s="16">
        <f>base!X3289</f>
        <v>0</v>
      </c>
      <c r="M3289" s="11">
        <f t="shared" si="514"/>
        <v>0</v>
      </c>
      <c r="N3289" s="11">
        <f t="shared" si="515"/>
        <v>10.008000000000001</v>
      </c>
      <c r="O3289" s="11">
        <f t="shared" si="516"/>
        <v>0.12000000000000001</v>
      </c>
      <c r="P3289" s="12">
        <f t="shared" si="517"/>
        <v>-10.008000000000001</v>
      </c>
      <c r="Q3289" s="17" t="str">
        <f t="shared" si="519"/>
        <v>Ecart négatif</v>
      </c>
    </row>
    <row r="3290" spans="1:17" x14ac:dyDescent="0.3">
      <c r="A3290" s="34" t="str">
        <f>base!J3290</f>
        <v>LM</v>
      </c>
      <c r="B3290" s="34" t="str">
        <f>base!V3290</f>
        <v>75009</v>
      </c>
      <c r="C3290" s="37">
        <v>75</v>
      </c>
      <c r="D3290" s="36">
        <f>base!H3290</f>
        <v>28.26</v>
      </c>
      <c r="E3290" s="44"/>
      <c r="F3290" s="16">
        <f>base!W3290</f>
        <v>0</v>
      </c>
      <c r="G3290" s="11">
        <f t="shared" si="510"/>
        <v>0</v>
      </c>
      <c r="H3290" s="11">
        <f t="shared" si="511"/>
        <v>0</v>
      </c>
      <c r="I3290" s="11">
        <f t="shared" si="512"/>
        <v>0</v>
      </c>
      <c r="J3290" s="12">
        <f t="shared" si="513"/>
        <v>0</v>
      </c>
      <c r="K3290" s="17" t="str">
        <f t="shared" si="518"/>
        <v>Pas d'écart</v>
      </c>
      <c r="L3290" s="16">
        <f>base!X3290</f>
        <v>0</v>
      </c>
      <c r="M3290" s="11">
        <f t="shared" si="514"/>
        <v>0</v>
      </c>
      <c r="N3290" s="11">
        <f t="shared" si="515"/>
        <v>0</v>
      </c>
      <c r="O3290" s="11">
        <f t="shared" si="516"/>
        <v>0</v>
      </c>
      <c r="P3290" s="12">
        <f t="shared" si="517"/>
        <v>0</v>
      </c>
      <c r="Q3290" s="17" t="str">
        <f t="shared" si="519"/>
        <v>Pas d'écart</v>
      </c>
    </row>
    <row r="3291" spans="1:17" x14ac:dyDescent="0.3">
      <c r="A3291" s="34" t="str">
        <f>base!J3291</f>
        <v>RM</v>
      </c>
      <c r="B3291" s="34" t="str">
        <f>base!V3291</f>
        <v>59430</v>
      </c>
      <c r="C3291" s="37">
        <v>59</v>
      </c>
      <c r="D3291" s="36">
        <f>base!H3291</f>
        <v>192</v>
      </c>
      <c r="E3291" s="44"/>
      <c r="F3291" s="16">
        <f>base!W3291</f>
        <v>0</v>
      </c>
      <c r="G3291" s="11">
        <f t="shared" si="510"/>
        <v>0</v>
      </c>
      <c r="H3291" s="11">
        <f t="shared" si="511"/>
        <v>36.480000000000004</v>
      </c>
      <c r="I3291" s="11">
        <f t="shared" si="512"/>
        <v>0.19000000000000003</v>
      </c>
      <c r="J3291" s="12">
        <f t="shared" si="513"/>
        <v>-36.480000000000004</v>
      </c>
      <c r="K3291" s="17" t="str">
        <f t="shared" si="518"/>
        <v>Ecart négatif</v>
      </c>
      <c r="L3291" s="16">
        <f>base!X3291</f>
        <v>0</v>
      </c>
      <c r="M3291" s="11">
        <f t="shared" si="514"/>
        <v>0</v>
      </c>
      <c r="N3291" s="11">
        <f t="shared" si="515"/>
        <v>0</v>
      </c>
      <c r="O3291" s="11">
        <f t="shared" si="516"/>
        <v>0</v>
      </c>
      <c r="P3291" s="12">
        <f t="shared" si="517"/>
        <v>0</v>
      </c>
      <c r="Q3291" s="17" t="str">
        <f t="shared" si="519"/>
        <v>Pas d'écart</v>
      </c>
    </row>
    <row r="3292" spans="1:17" x14ac:dyDescent="0.3">
      <c r="A3292" s="34" t="str">
        <f>base!J3292</f>
        <v>LS</v>
      </c>
      <c r="B3292" s="34" t="str">
        <f>base!V3292</f>
        <v>73000</v>
      </c>
      <c r="C3292" s="37">
        <v>73</v>
      </c>
      <c r="D3292" s="36">
        <f>base!H3292</f>
        <v>180</v>
      </c>
      <c r="E3292" s="44"/>
      <c r="F3292" s="16">
        <f>base!W3292</f>
        <v>48.6</v>
      </c>
      <c r="G3292" s="11">
        <f t="shared" si="510"/>
        <v>0.27</v>
      </c>
      <c r="H3292" s="11">
        <f t="shared" si="511"/>
        <v>48.6</v>
      </c>
      <c r="I3292" s="11">
        <f t="shared" si="512"/>
        <v>0.27</v>
      </c>
      <c r="J3292" s="12">
        <f t="shared" si="513"/>
        <v>0</v>
      </c>
      <c r="K3292" s="17" t="str">
        <f t="shared" si="518"/>
        <v>Pas d'écart</v>
      </c>
      <c r="L3292" s="16">
        <f>base!X3292</f>
        <v>0</v>
      </c>
      <c r="M3292" s="11">
        <f t="shared" si="514"/>
        <v>0</v>
      </c>
      <c r="N3292" s="11">
        <f t="shared" si="515"/>
        <v>0</v>
      </c>
      <c r="O3292" s="11">
        <f t="shared" si="516"/>
        <v>0</v>
      </c>
      <c r="P3292" s="12">
        <f t="shared" si="517"/>
        <v>0</v>
      </c>
      <c r="Q3292" s="17" t="str">
        <f t="shared" si="519"/>
        <v>Pas d'écart</v>
      </c>
    </row>
    <row r="3293" spans="1:17" x14ac:dyDescent="0.3">
      <c r="A3293" s="34" t="str">
        <f>base!J3293</f>
        <v>DLS</v>
      </c>
      <c r="B3293" s="34" t="str">
        <f>base!V3293</f>
        <v>94150</v>
      </c>
      <c r="C3293" s="37">
        <v>94</v>
      </c>
      <c r="D3293" s="36">
        <f>base!H3293</f>
        <v>1503.29</v>
      </c>
      <c r="E3293" s="44"/>
      <c r="F3293" s="16">
        <f>base!W3293</f>
        <v>0</v>
      </c>
      <c r="G3293" s="11">
        <f t="shared" si="510"/>
        <v>0</v>
      </c>
      <c r="H3293" s="11">
        <f t="shared" si="511"/>
        <v>0</v>
      </c>
      <c r="I3293" s="11">
        <f t="shared" si="512"/>
        <v>0</v>
      </c>
      <c r="J3293" s="12">
        <f t="shared" si="513"/>
        <v>0</v>
      </c>
      <c r="K3293" s="17" t="str">
        <f t="shared" si="518"/>
        <v>Pas d'écart</v>
      </c>
      <c r="L3293" s="16">
        <f>base!X3293</f>
        <v>0</v>
      </c>
      <c r="M3293" s="11">
        <f t="shared" si="514"/>
        <v>0</v>
      </c>
      <c r="N3293" s="11">
        <f t="shared" si="515"/>
        <v>0</v>
      </c>
      <c r="O3293" s="11">
        <f t="shared" si="516"/>
        <v>0</v>
      </c>
      <c r="P3293" s="12">
        <f t="shared" si="517"/>
        <v>0</v>
      </c>
      <c r="Q3293" s="17" t="str">
        <f t="shared" si="519"/>
        <v>Pas d'écart</v>
      </c>
    </row>
    <row r="3294" spans="1:17" x14ac:dyDescent="0.3">
      <c r="A3294" s="34" t="str">
        <f>base!J3294</f>
        <v>LS</v>
      </c>
      <c r="B3294" s="34" t="str">
        <f>base!V3294</f>
        <v>49000</v>
      </c>
      <c r="C3294" s="37">
        <v>49</v>
      </c>
      <c r="D3294" s="36">
        <f>base!H3294</f>
        <v>80</v>
      </c>
      <c r="E3294" s="44"/>
      <c r="F3294" s="16">
        <f>base!W3294</f>
        <v>21.6</v>
      </c>
      <c r="G3294" s="11">
        <f t="shared" si="510"/>
        <v>0.27</v>
      </c>
      <c r="H3294" s="11">
        <f t="shared" si="511"/>
        <v>21.6</v>
      </c>
      <c r="I3294" s="11">
        <f t="shared" si="512"/>
        <v>0.27</v>
      </c>
      <c r="J3294" s="12">
        <f t="shared" si="513"/>
        <v>0</v>
      </c>
      <c r="K3294" s="17" t="str">
        <f t="shared" si="518"/>
        <v>Pas d'écart</v>
      </c>
      <c r="L3294" s="16">
        <f>base!X3294</f>
        <v>0</v>
      </c>
      <c r="M3294" s="11">
        <f t="shared" si="514"/>
        <v>0</v>
      </c>
      <c r="N3294" s="11">
        <f t="shared" si="515"/>
        <v>0</v>
      </c>
      <c r="O3294" s="11">
        <f t="shared" si="516"/>
        <v>0</v>
      </c>
      <c r="P3294" s="12">
        <f t="shared" si="517"/>
        <v>0</v>
      </c>
      <c r="Q3294" s="17" t="str">
        <f t="shared" si="519"/>
        <v>Pas d'écart</v>
      </c>
    </row>
    <row r="3295" spans="1:17" x14ac:dyDescent="0.3">
      <c r="A3295" s="34" t="str">
        <f>base!J3295</f>
        <v>RM</v>
      </c>
      <c r="B3295" s="34" t="str">
        <f>base!V3295</f>
        <v>59270</v>
      </c>
      <c r="C3295" s="37">
        <v>59</v>
      </c>
      <c r="D3295" s="36">
        <f>base!H3295</f>
        <v>40.93</v>
      </c>
      <c r="E3295" s="44"/>
      <c r="F3295" s="16">
        <f>base!W3295</f>
        <v>0</v>
      </c>
      <c r="G3295" s="11">
        <f t="shared" si="510"/>
        <v>0</v>
      </c>
      <c r="H3295" s="11">
        <f t="shared" si="511"/>
        <v>7.7766999999999999</v>
      </c>
      <c r="I3295" s="11">
        <f t="shared" si="512"/>
        <v>0.19</v>
      </c>
      <c r="J3295" s="12">
        <f t="shared" si="513"/>
        <v>-7.7766999999999999</v>
      </c>
      <c r="K3295" s="17" t="str">
        <f t="shared" si="518"/>
        <v>Ecart négatif</v>
      </c>
      <c r="L3295" s="16">
        <f>base!X3295</f>
        <v>0</v>
      </c>
      <c r="M3295" s="11">
        <f t="shared" si="514"/>
        <v>0</v>
      </c>
      <c r="N3295" s="11">
        <f t="shared" si="515"/>
        <v>0</v>
      </c>
      <c r="O3295" s="11">
        <f t="shared" si="516"/>
        <v>0</v>
      </c>
      <c r="P3295" s="12">
        <f t="shared" si="517"/>
        <v>0</v>
      </c>
      <c r="Q3295" s="17" t="str">
        <f t="shared" si="519"/>
        <v>Pas d'écart</v>
      </c>
    </row>
    <row r="3296" spans="1:17" x14ac:dyDescent="0.3">
      <c r="A3296" s="34" t="str">
        <f>base!J3296</f>
        <v>LS</v>
      </c>
      <c r="B3296" s="34" t="str">
        <f>base!V3296</f>
        <v>59300</v>
      </c>
      <c r="C3296" s="37">
        <v>21</v>
      </c>
      <c r="D3296" s="36">
        <f>base!H3296</f>
        <v>108.8</v>
      </c>
      <c r="E3296" s="44"/>
      <c r="F3296" s="16">
        <f>base!W3296</f>
        <v>20.67</v>
      </c>
      <c r="G3296" s="11">
        <f t="shared" si="510"/>
        <v>0.18998161764705884</v>
      </c>
      <c r="H3296" s="11">
        <f t="shared" si="511"/>
        <v>26.111999999999998</v>
      </c>
      <c r="I3296" s="11">
        <f t="shared" si="512"/>
        <v>0.24</v>
      </c>
      <c r="J3296" s="12">
        <f t="shared" si="513"/>
        <v>-5.4419999999999966</v>
      </c>
      <c r="K3296" s="17" t="str">
        <f t="shared" si="518"/>
        <v>Ecart négatif</v>
      </c>
      <c r="L3296" s="16">
        <f>base!X3296</f>
        <v>0</v>
      </c>
      <c r="M3296" s="11">
        <f t="shared" si="514"/>
        <v>0</v>
      </c>
      <c r="N3296" s="11">
        <f t="shared" si="515"/>
        <v>13.055999999999999</v>
      </c>
      <c r="O3296" s="11">
        <f t="shared" si="516"/>
        <v>0.12</v>
      </c>
      <c r="P3296" s="12">
        <f t="shared" si="517"/>
        <v>-13.055999999999999</v>
      </c>
      <c r="Q3296" s="17" t="str">
        <f t="shared" si="519"/>
        <v>Ecart négatif</v>
      </c>
    </row>
    <row r="3297" spans="1:18" x14ac:dyDescent="0.3">
      <c r="A3297" s="34" t="str">
        <f>base!J3297</f>
        <v>LM</v>
      </c>
      <c r="B3297" s="34" t="str">
        <f>base!V3297</f>
        <v>34000</v>
      </c>
      <c r="C3297" s="37">
        <v>21</v>
      </c>
      <c r="D3297" s="36">
        <f>base!H3297</f>
        <v>112.08</v>
      </c>
      <c r="E3297" s="44"/>
      <c r="F3297" s="16">
        <f>base!W3297</f>
        <v>43.71</v>
      </c>
      <c r="G3297" s="11">
        <f t="shared" si="510"/>
        <v>0.38998929336188437</v>
      </c>
      <c r="H3297" s="11">
        <f t="shared" si="511"/>
        <v>26.899199999999997</v>
      </c>
      <c r="I3297" s="11">
        <f t="shared" si="512"/>
        <v>0.23999999999999996</v>
      </c>
      <c r="J3297" s="12">
        <f t="shared" si="513"/>
        <v>16.810800000000004</v>
      </c>
      <c r="K3297" s="17" t="str">
        <f t="shared" si="518"/>
        <v>Ecart positif</v>
      </c>
      <c r="L3297" s="16">
        <f>base!X3297</f>
        <v>0</v>
      </c>
      <c r="M3297" s="11">
        <f t="shared" si="514"/>
        <v>0</v>
      </c>
      <c r="N3297" s="11">
        <f t="shared" si="515"/>
        <v>13.449599999999998</v>
      </c>
      <c r="O3297" s="11">
        <f t="shared" si="516"/>
        <v>0.11999999999999998</v>
      </c>
      <c r="P3297" s="12">
        <f t="shared" si="517"/>
        <v>-13.449599999999998</v>
      </c>
      <c r="Q3297" s="17" t="str">
        <f t="shared" si="519"/>
        <v>Ecart négatif</v>
      </c>
    </row>
    <row r="3298" spans="1:18" x14ac:dyDescent="0.3">
      <c r="A3298" s="34" t="str">
        <f>base!J3298</f>
        <v>LM</v>
      </c>
      <c r="B3298" s="34" t="str">
        <f>base!V3298</f>
        <v>62500</v>
      </c>
      <c r="C3298" s="37">
        <v>10</v>
      </c>
      <c r="D3298" s="36">
        <f>base!H3298</f>
        <v>19.8</v>
      </c>
      <c r="E3298" s="44"/>
      <c r="F3298" s="16">
        <f>base!W3298</f>
        <v>3.76</v>
      </c>
      <c r="G3298" s="11">
        <f t="shared" si="510"/>
        <v>0.18989898989898987</v>
      </c>
      <c r="H3298" s="11">
        <f t="shared" si="511"/>
        <v>4.5540000000000003</v>
      </c>
      <c r="I3298" s="11">
        <f t="shared" si="512"/>
        <v>0.23</v>
      </c>
      <c r="J3298" s="12">
        <f t="shared" si="513"/>
        <v>-0.79400000000000048</v>
      </c>
      <c r="K3298" s="17" t="str">
        <f t="shared" si="518"/>
        <v>Ecart négatif</v>
      </c>
      <c r="L3298" s="16">
        <f>base!X3298</f>
        <v>0</v>
      </c>
      <c r="M3298" s="11">
        <f t="shared" si="514"/>
        <v>0</v>
      </c>
      <c r="N3298" s="11">
        <f t="shared" si="515"/>
        <v>2.3759999999999999</v>
      </c>
      <c r="O3298" s="11">
        <f t="shared" si="516"/>
        <v>0.12</v>
      </c>
      <c r="P3298" s="12">
        <f t="shared" si="517"/>
        <v>-2.3759999999999999</v>
      </c>
      <c r="Q3298" s="17" t="str">
        <f t="shared" si="519"/>
        <v>Ecart négatif</v>
      </c>
    </row>
    <row r="3299" spans="1:18" x14ac:dyDescent="0.3">
      <c r="A3299" s="34" t="str">
        <f>base!J3299</f>
        <v>LS</v>
      </c>
      <c r="B3299" s="34" t="str">
        <f>base!V3299</f>
        <v>47310</v>
      </c>
      <c r="C3299" s="37">
        <v>47</v>
      </c>
      <c r="D3299" s="36">
        <f>base!H3299</f>
        <v>80</v>
      </c>
      <c r="E3299" s="44"/>
      <c r="F3299" s="16">
        <f>base!W3299</f>
        <v>16.8</v>
      </c>
      <c r="G3299" s="11">
        <f t="shared" si="510"/>
        <v>0.21000000000000002</v>
      </c>
      <c r="H3299" s="11">
        <f t="shared" si="511"/>
        <v>16.8</v>
      </c>
      <c r="I3299" s="11">
        <f t="shared" si="512"/>
        <v>0.21000000000000002</v>
      </c>
      <c r="J3299" s="12">
        <f t="shared" si="513"/>
        <v>0</v>
      </c>
      <c r="K3299" s="17" t="str">
        <f t="shared" si="518"/>
        <v>Pas d'écart</v>
      </c>
      <c r="L3299" s="16">
        <f>base!X3299</f>
        <v>0</v>
      </c>
      <c r="M3299" s="11">
        <f t="shared" si="514"/>
        <v>0</v>
      </c>
      <c r="N3299" s="11">
        <f t="shared" si="515"/>
        <v>13.600000000000001</v>
      </c>
      <c r="O3299" s="11">
        <f t="shared" si="516"/>
        <v>0.17</v>
      </c>
      <c r="P3299" s="12">
        <f t="shared" si="517"/>
        <v>-13.600000000000001</v>
      </c>
      <c r="Q3299" s="17" t="str">
        <f t="shared" si="519"/>
        <v>Ecart négatif</v>
      </c>
    </row>
    <row r="3300" spans="1:18" x14ac:dyDescent="0.3">
      <c r="A3300" s="34" t="str">
        <f>base!J3300</f>
        <v>LS</v>
      </c>
      <c r="B3300" s="34" t="str">
        <f>base!V3300</f>
        <v>92110</v>
      </c>
      <c r="C3300" s="37">
        <v>92</v>
      </c>
      <c r="D3300" s="36">
        <f>base!H3300</f>
        <v>194.97</v>
      </c>
      <c r="E3300" s="44"/>
      <c r="F3300" s="16">
        <f>base!W3300</f>
        <v>0</v>
      </c>
      <c r="G3300" s="11">
        <f t="shared" si="510"/>
        <v>0</v>
      </c>
      <c r="H3300" s="11">
        <f t="shared" si="511"/>
        <v>0</v>
      </c>
      <c r="I3300" s="11">
        <f t="shared" si="512"/>
        <v>0</v>
      </c>
      <c r="J3300" s="12">
        <f t="shared" si="513"/>
        <v>0</v>
      </c>
      <c r="K3300" s="17" t="str">
        <f t="shared" si="518"/>
        <v>Pas d'écart</v>
      </c>
      <c r="L3300" s="16">
        <f>base!X3300</f>
        <v>0</v>
      </c>
      <c r="M3300" s="11">
        <f t="shared" si="514"/>
        <v>0</v>
      </c>
      <c r="N3300" s="11">
        <f t="shared" si="515"/>
        <v>0</v>
      </c>
      <c r="O3300" s="11">
        <f t="shared" si="516"/>
        <v>0</v>
      </c>
      <c r="P3300" s="12">
        <f t="shared" si="517"/>
        <v>0</v>
      </c>
      <c r="Q3300" s="17" t="str">
        <f t="shared" si="519"/>
        <v>Pas d'écart</v>
      </c>
    </row>
    <row r="3301" spans="1:18" x14ac:dyDescent="0.3">
      <c r="A3301" s="34" t="str">
        <f>base!J3301</f>
        <v>RS</v>
      </c>
      <c r="B3301" s="34" t="str">
        <f>base!V3301</f>
        <v>59000</v>
      </c>
      <c r="C3301" s="37">
        <v>59</v>
      </c>
      <c r="D3301" s="36">
        <f>base!H3301</f>
        <v>40.93</v>
      </c>
      <c r="E3301" s="44"/>
      <c r="F3301" s="16">
        <f>base!W3301</f>
        <v>0</v>
      </c>
      <c r="G3301" s="11">
        <f t="shared" si="510"/>
        <v>0</v>
      </c>
      <c r="H3301" s="11">
        <f t="shared" si="511"/>
        <v>7.7766999999999999</v>
      </c>
      <c r="I3301" s="11">
        <f t="shared" si="512"/>
        <v>0.19</v>
      </c>
      <c r="J3301" s="12">
        <f t="shared" si="513"/>
        <v>-7.7766999999999999</v>
      </c>
      <c r="K3301" s="17" t="str">
        <f t="shared" si="518"/>
        <v>Ecart négatif</v>
      </c>
      <c r="L3301" s="16">
        <f>base!X3301</f>
        <v>0</v>
      </c>
      <c r="M3301" s="11">
        <f t="shared" si="514"/>
        <v>0</v>
      </c>
      <c r="N3301" s="11">
        <f t="shared" si="515"/>
        <v>0</v>
      </c>
      <c r="O3301" s="11">
        <f t="shared" si="516"/>
        <v>0</v>
      </c>
      <c r="P3301" s="12">
        <f t="shared" si="517"/>
        <v>0</v>
      </c>
      <c r="Q3301" s="17" t="str">
        <f t="shared" si="519"/>
        <v>Pas d'écart</v>
      </c>
    </row>
    <row r="3302" spans="1:18" x14ac:dyDescent="0.3">
      <c r="A3302" s="34" t="str">
        <f>base!J3302</f>
        <v>LM</v>
      </c>
      <c r="B3302" s="34" t="str">
        <f>base!V3302</f>
        <v>54300</v>
      </c>
      <c r="C3302" s="37">
        <v>38</v>
      </c>
      <c r="D3302" s="36">
        <f>base!H3302</f>
        <v>55.34</v>
      </c>
      <c r="E3302" s="44"/>
      <c r="F3302" s="16">
        <f>base!W3302</f>
        <v>13.84</v>
      </c>
      <c r="G3302" s="11">
        <f t="shared" si="510"/>
        <v>0.25009035056017348</v>
      </c>
      <c r="H3302" s="11">
        <f t="shared" si="511"/>
        <v>14.941800000000002</v>
      </c>
      <c r="I3302" s="11">
        <f t="shared" si="512"/>
        <v>0.27</v>
      </c>
      <c r="J3302" s="12">
        <f t="shared" si="513"/>
        <v>-1.1018000000000026</v>
      </c>
      <c r="K3302" s="17" t="str">
        <f t="shared" si="518"/>
        <v>Ecart négatif</v>
      </c>
      <c r="L3302" s="16">
        <f>base!X3302</f>
        <v>0</v>
      </c>
      <c r="M3302" s="11">
        <f t="shared" si="514"/>
        <v>0</v>
      </c>
      <c r="N3302" s="11">
        <f t="shared" si="515"/>
        <v>0</v>
      </c>
      <c r="O3302" s="11">
        <f t="shared" si="516"/>
        <v>0</v>
      </c>
      <c r="P3302" s="12">
        <f t="shared" si="517"/>
        <v>0</v>
      </c>
      <c r="Q3302" s="17" t="str">
        <f t="shared" si="519"/>
        <v>Pas d'écart</v>
      </c>
    </row>
    <row r="3303" spans="1:18" x14ac:dyDescent="0.3">
      <c r="A3303" s="34" t="str">
        <f>base!J3303</f>
        <v>RM</v>
      </c>
      <c r="B3303" s="34" t="str">
        <f>base!V3303</f>
        <v>69006</v>
      </c>
      <c r="C3303" s="37">
        <v>69</v>
      </c>
      <c r="D3303" s="36">
        <f>base!H3303</f>
        <v>29.59</v>
      </c>
      <c r="E3303" s="44"/>
      <c r="F3303" s="16">
        <f>base!W3303</f>
        <v>0</v>
      </c>
      <c r="G3303" s="11">
        <f t="shared" si="510"/>
        <v>0</v>
      </c>
      <c r="H3303" s="11">
        <f t="shared" si="511"/>
        <v>7.9893000000000001</v>
      </c>
      <c r="I3303" s="11">
        <f t="shared" si="512"/>
        <v>0.27</v>
      </c>
      <c r="J3303" s="12">
        <f t="shared" si="513"/>
        <v>-7.9893000000000001</v>
      </c>
      <c r="K3303" s="17" t="str">
        <f t="shared" si="518"/>
        <v>Ecart négatif</v>
      </c>
      <c r="L3303" s="16">
        <f>base!X3303</f>
        <v>0</v>
      </c>
      <c r="M3303" s="11">
        <f t="shared" si="514"/>
        <v>0</v>
      </c>
      <c r="N3303" s="11">
        <f t="shared" si="515"/>
        <v>0</v>
      </c>
      <c r="O3303" s="11">
        <f t="shared" si="516"/>
        <v>0</v>
      </c>
      <c r="P3303" s="12">
        <f t="shared" si="517"/>
        <v>0</v>
      </c>
      <c r="Q3303" s="17" t="str">
        <f t="shared" si="519"/>
        <v>Pas d'écart</v>
      </c>
    </row>
    <row r="3304" spans="1:18" x14ac:dyDescent="0.3">
      <c r="A3304" s="34" t="str">
        <f>base!J3304</f>
        <v>DRS</v>
      </c>
      <c r="B3304" s="34" t="str">
        <f>base!V3304</f>
        <v>69002</v>
      </c>
      <c r="C3304" s="37">
        <v>69</v>
      </c>
      <c r="D3304" s="36">
        <f>base!H3304</f>
        <v>180</v>
      </c>
      <c r="E3304" s="44"/>
      <c r="F3304" s="16">
        <f>base!W3304</f>
        <v>0</v>
      </c>
      <c r="G3304" s="11">
        <f t="shared" si="510"/>
        <v>0</v>
      </c>
      <c r="H3304" s="11">
        <f t="shared" si="511"/>
        <v>48.6</v>
      </c>
      <c r="I3304" s="11">
        <f t="shared" si="512"/>
        <v>0.27</v>
      </c>
      <c r="J3304" s="12">
        <f t="shared" si="513"/>
        <v>-48.6</v>
      </c>
      <c r="K3304" s="17" t="str">
        <f t="shared" si="518"/>
        <v>Ecart négatif</v>
      </c>
      <c r="L3304" s="16">
        <f>base!X3304</f>
        <v>0</v>
      </c>
      <c r="M3304" s="11">
        <f t="shared" si="514"/>
        <v>0</v>
      </c>
      <c r="N3304" s="11">
        <f t="shared" si="515"/>
        <v>0</v>
      </c>
      <c r="O3304" s="11">
        <f t="shared" si="516"/>
        <v>0</v>
      </c>
      <c r="P3304" s="12">
        <f t="shared" si="517"/>
        <v>0</v>
      </c>
      <c r="Q3304" s="17" t="str">
        <f t="shared" si="519"/>
        <v>Pas d'écart</v>
      </c>
    </row>
    <row r="3305" spans="1:18" x14ac:dyDescent="0.3">
      <c r="A3305" s="34" t="str">
        <f>base!J3305</f>
        <v>RS</v>
      </c>
      <c r="B3305" s="34" t="str">
        <f>base!V3305</f>
        <v>79500</v>
      </c>
      <c r="C3305" s="37">
        <v>79</v>
      </c>
      <c r="D3305" s="36">
        <f>base!H3305</f>
        <v>140</v>
      </c>
      <c r="E3305" s="44"/>
      <c r="F3305" s="16">
        <f>base!W3305</f>
        <v>0</v>
      </c>
      <c r="G3305" s="11">
        <f t="shared" si="510"/>
        <v>0</v>
      </c>
      <c r="H3305" s="11">
        <f t="shared" si="511"/>
        <v>29.4</v>
      </c>
      <c r="I3305" s="11">
        <f t="shared" si="512"/>
        <v>0.21</v>
      </c>
      <c r="J3305" s="12">
        <f t="shared" si="513"/>
        <v>-29.4</v>
      </c>
      <c r="K3305" s="17" t="str">
        <f t="shared" si="518"/>
        <v>Ecart négatif</v>
      </c>
      <c r="L3305" s="16">
        <f>base!X3305</f>
        <v>0</v>
      </c>
      <c r="M3305" s="11">
        <f t="shared" si="514"/>
        <v>0</v>
      </c>
      <c r="N3305" s="11">
        <f t="shared" si="515"/>
        <v>16.8</v>
      </c>
      <c r="O3305" s="11">
        <f t="shared" si="516"/>
        <v>0.12000000000000001</v>
      </c>
      <c r="P3305" s="12">
        <f t="shared" si="517"/>
        <v>-16.8</v>
      </c>
      <c r="Q3305" s="17" t="str">
        <f t="shared" si="519"/>
        <v>Ecart négatif</v>
      </c>
    </row>
    <row r="3306" spans="1:18" x14ac:dyDescent="0.3">
      <c r="A3306" s="34" t="str">
        <f>base!J3306</f>
        <v>DLS</v>
      </c>
      <c r="B3306" s="34" t="str">
        <f>base!V3306</f>
        <v>76700</v>
      </c>
      <c r="C3306" s="37">
        <v>76</v>
      </c>
      <c r="D3306" s="36">
        <f>base!H3306</f>
        <v>170.88</v>
      </c>
      <c r="E3306" s="44"/>
      <c r="F3306" s="16">
        <f>base!W3306</f>
        <v>0</v>
      </c>
      <c r="G3306" s="11">
        <f t="shared" si="510"/>
        <v>0</v>
      </c>
      <c r="H3306" s="11">
        <f t="shared" si="511"/>
        <v>29.049600000000002</v>
      </c>
      <c r="I3306" s="11">
        <f t="shared" si="512"/>
        <v>0.17</v>
      </c>
      <c r="J3306" s="12">
        <f t="shared" si="513"/>
        <v>-29.049600000000002</v>
      </c>
      <c r="K3306" s="17" t="str">
        <f t="shared" si="518"/>
        <v>Ecart négatif</v>
      </c>
      <c r="L3306" s="16">
        <f>base!X3306</f>
        <v>0</v>
      </c>
      <c r="M3306" s="11">
        <f t="shared" si="514"/>
        <v>0</v>
      </c>
      <c r="N3306" s="11">
        <f t="shared" si="515"/>
        <v>29.049600000000002</v>
      </c>
      <c r="O3306" s="11">
        <f t="shared" si="516"/>
        <v>0.17</v>
      </c>
      <c r="P3306" s="12">
        <f t="shared" si="517"/>
        <v>-29.049600000000002</v>
      </c>
      <c r="Q3306" s="17" t="str">
        <f t="shared" si="519"/>
        <v>Ecart négatif</v>
      </c>
    </row>
    <row r="3307" spans="1:18" x14ac:dyDescent="0.3">
      <c r="A3307" s="34" t="str">
        <f>base!J3307</f>
        <v>LS</v>
      </c>
      <c r="B3307" s="34" t="str">
        <f>base!V3307</f>
        <v>62820</v>
      </c>
      <c r="C3307" s="37">
        <v>57</v>
      </c>
      <c r="D3307" s="36">
        <f>base!H3307</f>
        <v>28.02</v>
      </c>
      <c r="E3307" s="44"/>
      <c r="F3307" s="16">
        <f>base!W3307</f>
        <v>5.32</v>
      </c>
      <c r="G3307" s="11">
        <f t="shared" si="510"/>
        <v>0.18986438258386867</v>
      </c>
      <c r="H3307" s="11">
        <f t="shared" si="511"/>
        <v>6.7247999999999992</v>
      </c>
      <c r="I3307" s="11">
        <f t="shared" si="512"/>
        <v>0.23999999999999996</v>
      </c>
      <c r="J3307" s="12">
        <f t="shared" si="513"/>
        <v>-1.4047999999999989</v>
      </c>
      <c r="K3307" s="17" t="str">
        <f t="shared" si="518"/>
        <v>Ecart négatif</v>
      </c>
      <c r="L3307" s="16">
        <f>base!X3307</f>
        <v>0</v>
      </c>
      <c r="M3307" s="11">
        <f t="shared" si="514"/>
        <v>0</v>
      </c>
      <c r="N3307" s="11">
        <f t="shared" si="515"/>
        <v>7.0049999999999999</v>
      </c>
      <c r="O3307" s="11">
        <f t="shared" si="516"/>
        <v>0.25</v>
      </c>
      <c r="P3307" s="12">
        <f t="shared" si="517"/>
        <v>-7.0049999999999999</v>
      </c>
      <c r="Q3307" s="17" t="str">
        <f t="shared" si="519"/>
        <v>Ecart négatif</v>
      </c>
    </row>
    <row r="3308" spans="1:18" x14ac:dyDescent="0.3">
      <c r="A3308" s="34" t="str">
        <f>base!J3308</f>
        <v>DRS</v>
      </c>
      <c r="B3308" s="34" t="str">
        <f>base!V3308</f>
        <v xml:space="preserve">73000     </v>
      </c>
      <c r="C3308" s="37">
        <v>73</v>
      </c>
      <c r="D3308" s="36">
        <f>base!H3308</f>
        <v>90</v>
      </c>
      <c r="E3308" s="44"/>
      <c r="F3308" s="16">
        <f>base!W3308</f>
        <v>0</v>
      </c>
      <c r="G3308" s="11">
        <f t="shared" si="510"/>
        <v>0</v>
      </c>
      <c r="H3308" s="11">
        <f t="shared" si="511"/>
        <v>24.3</v>
      </c>
      <c r="I3308" s="11">
        <f t="shared" si="512"/>
        <v>0.27</v>
      </c>
      <c r="J3308" s="12">
        <f t="shared" si="513"/>
        <v>-24.3</v>
      </c>
      <c r="K3308" s="17" t="str">
        <f t="shared" si="518"/>
        <v>Ecart négatif</v>
      </c>
      <c r="L3308" s="16">
        <f>base!X3308</f>
        <v>0</v>
      </c>
      <c r="M3308" s="11">
        <f t="shared" si="514"/>
        <v>0</v>
      </c>
      <c r="N3308" s="11">
        <f t="shared" si="515"/>
        <v>0</v>
      </c>
      <c r="O3308" s="11">
        <f t="shared" si="516"/>
        <v>0</v>
      </c>
      <c r="P3308" s="12">
        <f t="shared" si="517"/>
        <v>0</v>
      </c>
      <c r="Q3308" s="17" t="str">
        <f t="shared" si="519"/>
        <v>Pas d'écart</v>
      </c>
    </row>
    <row r="3309" spans="1:18" x14ac:dyDescent="0.3">
      <c r="A3309" s="34" t="str">
        <f>base!J3309</f>
        <v>RM</v>
      </c>
      <c r="B3309" s="34" t="str">
        <f>base!V3309</f>
        <v>71200</v>
      </c>
      <c r="C3309" s="37">
        <v>71</v>
      </c>
      <c r="D3309" s="36">
        <f>base!H3309</f>
        <v>140</v>
      </c>
      <c r="E3309" s="44"/>
      <c r="F3309" s="16">
        <f>base!W3309</f>
        <v>0</v>
      </c>
      <c r="G3309" s="11">
        <f t="shared" si="510"/>
        <v>0</v>
      </c>
      <c r="H3309" s="11">
        <f t="shared" si="511"/>
        <v>37.800000000000004</v>
      </c>
      <c r="I3309" s="11">
        <f t="shared" si="512"/>
        <v>0.27</v>
      </c>
      <c r="J3309" s="12">
        <f t="shared" si="513"/>
        <v>-37.800000000000004</v>
      </c>
      <c r="K3309" s="17" t="str">
        <f t="shared" si="518"/>
        <v>Ecart négatif</v>
      </c>
      <c r="L3309" s="16">
        <f>base!X3309</f>
        <v>0</v>
      </c>
      <c r="M3309" s="11">
        <f t="shared" si="514"/>
        <v>0</v>
      </c>
      <c r="N3309" s="11">
        <f t="shared" si="515"/>
        <v>0</v>
      </c>
      <c r="O3309" s="11">
        <f t="shared" si="516"/>
        <v>0</v>
      </c>
      <c r="P3309" s="12">
        <f t="shared" si="517"/>
        <v>0</v>
      </c>
      <c r="Q3309" s="17" t="str">
        <f t="shared" si="519"/>
        <v>Pas d'écart</v>
      </c>
    </row>
    <row r="3310" spans="1:18" x14ac:dyDescent="0.3">
      <c r="A3310" s="34" t="str">
        <f>base!J3310</f>
        <v>RM</v>
      </c>
      <c r="B3310" s="34" t="str">
        <f>base!V3310</f>
        <v>31670</v>
      </c>
      <c r="C3310" s="37">
        <v>31</v>
      </c>
      <c r="D3310" s="36">
        <f>base!H3310</f>
        <v>199.33</v>
      </c>
      <c r="E3310" s="44"/>
      <c r="F3310" s="16">
        <f>base!W3310</f>
        <v>0</v>
      </c>
      <c r="G3310" s="11">
        <f t="shared" si="510"/>
        <v>0</v>
      </c>
      <c r="H3310" s="11">
        <f t="shared" si="511"/>
        <v>37.872700000000002</v>
      </c>
      <c r="I3310" s="11">
        <f t="shared" si="512"/>
        <v>0.19</v>
      </c>
      <c r="J3310" s="12">
        <f t="shared" si="513"/>
        <v>-37.872700000000002</v>
      </c>
      <c r="K3310" s="17" t="str">
        <f t="shared" si="518"/>
        <v>Ecart négatif</v>
      </c>
      <c r="L3310" s="16">
        <f>base!X3310</f>
        <v>53.82</v>
      </c>
      <c r="M3310" s="11">
        <f t="shared" si="514"/>
        <v>0.27000451512567097</v>
      </c>
      <c r="N3310" s="11">
        <f t="shared" si="515"/>
        <v>51.825800000000008</v>
      </c>
      <c r="O3310" s="11">
        <f t="shared" si="516"/>
        <v>0.26</v>
      </c>
      <c r="P3310" s="12">
        <f t="shared" si="517"/>
        <v>1.9941999999999922</v>
      </c>
      <c r="Q3310" s="17" t="str">
        <f t="shared" si="519"/>
        <v>Ecart positif</v>
      </c>
      <c r="R3310" s="38"/>
    </row>
    <row r="3311" spans="1:18" x14ac:dyDescent="0.3">
      <c r="A3311" s="34" t="str">
        <f>base!J3311</f>
        <v>RS</v>
      </c>
      <c r="B3311" s="34" t="str">
        <f>base!V3311</f>
        <v>98000</v>
      </c>
      <c r="C3311" s="37">
        <v>98</v>
      </c>
      <c r="D3311" s="36">
        <f>base!H3311</f>
        <v>16</v>
      </c>
      <c r="E3311" s="44"/>
      <c r="F3311" s="16">
        <f>base!W3311</f>
        <v>0</v>
      </c>
      <c r="G3311" s="11">
        <f t="shared" si="510"/>
        <v>0</v>
      </c>
      <c r="H3311" s="11">
        <f t="shared" si="511"/>
        <v>4.32</v>
      </c>
      <c r="I3311" s="11">
        <f t="shared" si="512"/>
        <v>0.27</v>
      </c>
      <c r="J3311" s="12">
        <f t="shared" si="513"/>
        <v>-4.32</v>
      </c>
      <c r="K3311" s="17" t="str">
        <f t="shared" si="518"/>
        <v>Ecart négatif</v>
      </c>
      <c r="L3311" s="16">
        <f>base!X3311</f>
        <v>0</v>
      </c>
      <c r="M3311" s="11">
        <f t="shared" si="514"/>
        <v>0</v>
      </c>
      <c r="N3311" s="11">
        <f t="shared" si="515"/>
        <v>3.36</v>
      </c>
      <c r="O3311" s="11">
        <f t="shared" si="516"/>
        <v>0.21</v>
      </c>
      <c r="P3311" s="12">
        <f t="shared" si="517"/>
        <v>-3.36</v>
      </c>
      <c r="Q3311" s="17" t="str">
        <f t="shared" si="519"/>
        <v>Ecart négatif</v>
      </c>
    </row>
    <row r="3312" spans="1:18" x14ac:dyDescent="0.3">
      <c r="A3312" s="34" t="str">
        <f>base!J3312</f>
        <v>RS</v>
      </c>
      <c r="B3312" s="34" t="str">
        <f>base!V3312</f>
        <v>35510</v>
      </c>
      <c r="C3312" s="37">
        <v>35</v>
      </c>
      <c r="D3312" s="36">
        <f>base!H3312</f>
        <v>151</v>
      </c>
      <c r="E3312" s="44"/>
      <c r="F3312" s="16">
        <f>base!W3312</f>
        <v>0</v>
      </c>
      <c r="G3312" s="11">
        <f t="shared" si="510"/>
        <v>0</v>
      </c>
      <c r="H3312" s="11">
        <f t="shared" si="511"/>
        <v>40.770000000000003</v>
      </c>
      <c r="I3312" s="11">
        <f t="shared" si="512"/>
        <v>0.27</v>
      </c>
      <c r="J3312" s="12">
        <f t="shared" si="513"/>
        <v>-40.770000000000003</v>
      </c>
      <c r="K3312" s="17" t="str">
        <f t="shared" si="518"/>
        <v>Ecart négatif</v>
      </c>
      <c r="L3312" s="16">
        <f>base!X3312</f>
        <v>40.770000000000003</v>
      </c>
      <c r="M3312" s="11">
        <f t="shared" si="514"/>
        <v>0.27</v>
      </c>
      <c r="N3312" s="11">
        <f t="shared" si="515"/>
        <v>0</v>
      </c>
      <c r="O3312" s="11">
        <f t="shared" si="516"/>
        <v>0</v>
      </c>
      <c r="P3312" s="12">
        <f t="shared" si="517"/>
        <v>40.770000000000003</v>
      </c>
      <c r="Q3312" s="17" t="str">
        <f t="shared" si="519"/>
        <v>Ecart positif</v>
      </c>
      <c r="R3312" s="38"/>
    </row>
    <row r="3313" spans="1:18" x14ac:dyDescent="0.3">
      <c r="A3313" s="34" t="str">
        <f>base!J3313</f>
        <v>RM</v>
      </c>
      <c r="B3313" s="34" t="str">
        <f>base!V3313</f>
        <v>30100</v>
      </c>
      <c r="C3313" s="37">
        <v>30</v>
      </c>
      <c r="D3313" s="36">
        <f>base!H3313</f>
        <v>140</v>
      </c>
      <c r="E3313" s="44"/>
      <c r="F3313" s="16">
        <f>base!W3313</f>
        <v>0</v>
      </c>
      <c r="G3313" s="11">
        <f t="shared" si="510"/>
        <v>0</v>
      </c>
      <c r="H3313" s="11">
        <f t="shared" si="511"/>
        <v>54.6</v>
      </c>
      <c r="I3313" s="11">
        <f t="shared" si="512"/>
        <v>0.39</v>
      </c>
      <c r="J3313" s="12">
        <f t="shared" si="513"/>
        <v>-54.6</v>
      </c>
      <c r="K3313" s="17" t="str">
        <f t="shared" si="518"/>
        <v>Ecart négatif</v>
      </c>
      <c r="L3313" s="16">
        <f>base!X3313</f>
        <v>0</v>
      </c>
      <c r="M3313" s="11">
        <f t="shared" si="514"/>
        <v>0</v>
      </c>
      <c r="N3313" s="11">
        <f t="shared" si="515"/>
        <v>39.200000000000003</v>
      </c>
      <c r="O3313" s="11">
        <f t="shared" si="516"/>
        <v>0.28000000000000003</v>
      </c>
      <c r="P3313" s="12">
        <f t="shared" si="517"/>
        <v>-39.200000000000003</v>
      </c>
      <c r="Q3313" s="17" t="str">
        <f t="shared" si="519"/>
        <v>Ecart négatif</v>
      </c>
    </row>
    <row r="3314" spans="1:18" x14ac:dyDescent="0.3">
      <c r="A3314" s="34" t="str">
        <f>base!J3314</f>
        <v>RM</v>
      </c>
      <c r="B3314" s="34" t="str">
        <f>base!V3314</f>
        <v>63000</v>
      </c>
      <c r="C3314" s="37">
        <v>63</v>
      </c>
      <c r="D3314" s="36">
        <f>base!H3314</f>
        <v>151</v>
      </c>
      <c r="E3314" s="44"/>
      <c r="F3314" s="16">
        <f>base!W3314</f>
        <v>0</v>
      </c>
      <c r="G3314" s="11">
        <f t="shared" si="510"/>
        <v>0</v>
      </c>
      <c r="H3314" s="11">
        <f t="shared" si="511"/>
        <v>43.79</v>
      </c>
      <c r="I3314" s="11">
        <f t="shared" si="512"/>
        <v>0.28999999999999998</v>
      </c>
      <c r="J3314" s="12">
        <f t="shared" si="513"/>
        <v>-43.79</v>
      </c>
      <c r="K3314" s="17" t="str">
        <f t="shared" si="518"/>
        <v>Ecart négatif</v>
      </c>
      <c r="L3314" s="16">
        <f>base!X3314</f>
        <v>0</v>
      </c>
      <c r="M3314" s="11">
        <f t="shared" si="514"/>
        <v>0</v>
      </c>
      <c r="N3314" s="11">
        <f t="shared" si="515"/>
        <v>18.12</v>
      </c>
      <c r="O3314" s="11">
        <f t="shared" si="516"/>
        <v>0.12000000000000001</v>
      </c>
      <c r="P3314" s="12">
        <f t="shared" si="517"/>
        <v>-18.12</v>
      </c>
      <c r="Q3314" s="17" t="str">
        <f t="shared" si="519"/>
        <v>Ecart négatif</v>
      </c>
    </row>
    <row r="3315" spans="1:18" x14ac:dyDescent="0.3">
      <c r="A3315" s="34" t="str">
        <f>base!J3315</f>
        <v>RM</v>
      </c>
      <c r="B3315" s="34" t="str">
        <f>base!V3315</f>
        <v>70000</v>
      </c>
      <c r="C3315" s="37">
        <v>70</v>
      </c>
      <c r="D3315" s="36">
        <f>base!H3315</f>
        <v>22.5</v>
      </c>
      <c r="E3315" s="44"/>
      <c r="F3315" s="16">
        <f>base!W3315</f>
        <v>0</v>
      </c>
      <c r="G3315" s="11">
        <f t="shared" si="510"/>
        <v>0</v>
      </c>
      <c r="H3315" s="11">
        <f t="shared" si="511"/>
        <v>5.3999999999999995</v>
      </c>
      <c r="I3315" s="11">
        <f t="shared" si="512"/>
        <v>0.23999999999999996</v>
      </c>
      <c r="J3315" s="12">
        <f t="shared" si="513"/>
        <v>-5.3999999999999995</v>
      </c>
      <c r="K3315" s="17" t="str">
        <f t="shared" si="518"/>
        <v>Ecart négatif</v>
      </c>
      <c r="L3315" s="16">
        <f>base!X3315</f>
        <v>0</v>
      </c>
      <c r="M3315" s="11">
        <f t="shared" si="514"/>
        <v>0</v>
      </c>
      <c r="N3315" s="11">
        <f t="shared" si="515"/>
        <v>2.6999999999999997</v>
      </c>
      <c r="O3315" s="11">
        <f t="shared" si="516"/>
        <v>0.11999999999999998</v>
      </c>
      <c r="P3315" s="12">
        <f t="shared" si="517"/>
        <v>-2.6999999999999997</v>
      </c>
      <c r="Q3315" s="17" t="str">
        <f t="shared" si="519"/>
        <v>Ecart négatif</v>
      </c>
    </row>
    <row r="3316" spans="1:18" x14ac:dyDescent="0.3">
      <c r="A3316" s="34" t="str">
        <f>base!J3316</f>
        <v>LM</v>
      </c>
      <c r="B3316" s="34" t="str">
        <f>base!V3316</f>
        <v>92000</v>
      </c>
      <c r="C3316" s="37">
        <v>92</v>
      </c>
      <c r="D3316" s="36">
        <f>base!H3316</f>
        <v>50.84</v>
      </c>
      <c r="E3316" s="44"/>
      <c r="F3316" s="16">
        <f>base!W3316</f>
        <v>0</v>
      </c>
      <c r="G3316" s="11">
        <f t="shared" si="510"/>
        <v>0</v>
      </c>
      <c r="H3316" s="11">
        <f t="shared" si="511"/>
        <v>0</v>
      </c>
      <c r="I3316" s="11">
        <f t="shared" si="512"/>
        <v>0</v>
      </c>
      <c r="J3316" s="12">
        <f t="shared" si="513"/>
        <v>0</v>
      </c>
      <c r="K3316" s="17" t="str">
        <f t="shared" si="518"/>
        <v>Pas d'écart</v>
      </c>
      <c r="L3316" s="16">
        <f>base!X3316</f>
        <v>0</v>
      </c>
      <c r="M3316" s="11">
        <f t="shared" si="514"/>
        <v>0</v>
      </c>
      <c r="N3316" s="11">
        <f t="shared" si="515"/>
        <v>0</v>
      </c>
      <c r="O3316" s="11">
        <f t="shared" si="516"/>
        <v>0</v>
      </c>
      <c r="P3316" s="12">
        <f t="shared" si="517"/>
        <v>0</v>
      </c>
      <c r="Q3316" s="17" t="str">
        <f t="shared" si="519"/>
        <v>Pas d'écart</v>
      </c>
    </row>
    <row r="3317" spans="1:18" x14ac:dyDescent="0.3">
      <c r="A3317" s="34" t="str">
        <f>base!J3317</f>
        <v>RS</v>
      </c>
      <c r="B3317" s="34" t="str">
        <f>base!V3317</f>
        <v>63800</v>
      </c>
      <c r="C3317" s="37">
        <v>63</v>
      </c>
      <c r="D3317" s="36">
        <f>base!H3317</f>
        <v>178.65</v>
      </c>
      <c r="E3317" s="44"/>
      <c r="F3317" s="16">
        <f>base!W3317</f>
        <v>0</v>
      </c>
      <c r="G3317" s="11">
        <f t="shared" si="510"/>
        <v>0</v>
      </c>
      <c r="H3317" s="11">
        <f t="shared" si="511"/>
        <v>51.808499999999995</v>
      </c>
      <c r="I3317" s="11">
        <f t="shared" si="512"/>
        <v>0.28999999999999998</v>
      </c>
      <c r="J3317" s="12">
        <f t="shared" si="513"/>
        <v>-51.808499999999995</v>
      </c>
      <c r="K3317" s="17" t="str">
        <f t="shared" si="518"/>
        <v>Ecart négatif</v>
      </c>
      <c r="L3317" s="16">
        <f>base!X3317</f>
        <v>21.44</v>
      </c>
      <c r="M3317" s="11">
        <f t="shared" si="514"/>
        <v>0.12001119507416737</v>
      </c>
      <c r="N3317" s="11">
        <f t="shared" si="515"/>
        <v>21.437999999999999</v>
      </c>
      <c r="O3317" s="11">
        <f t="shared" si="516"/>
        <v>0.12</v>
      </c>
      <c r="P3317" s="12">
        <f t="shared" si="517"/>
        <v>2.0000000000024443E-3</v>
      </c>
      <c r="Q3317" s="17" t="str">
        <f t="shared" si="519"/>
        <v>Ecart positif</v>
      </c>
      <c r="R3317" s="38"/>
    </row>
    <row r="3318" spans="1:18" x14ac:dyDescent="0.3">
      <c r="A3318" s="34" t="str">
        <f>base!J3318</f>
        <v>RS</v>
      </c>
      <c r="B3318" s="34" t="str">
        <f>base!V3318</f>
        <v>69380</v>
      </c>
      <c r="C3318" s="37">
        <v>69</v>
      </c>
      <c r="D3318" s="36">
        <f>base!H3318</f>
        <v>18.8</v>
      </c>
      <c r="E3318" s="44"/>
      <c r="F3318" s="16">
        <f>base!W3318</f>
        <v>0</v>
      </c>
      <c r="G3318" s="11">
        <f t="shared" si="510"/>
        <v>0</v>
      </c>
      <c r="H3318" s="11">
        <f t="shared" si="511"/>
        <v>5.0760000000000005</v>
      </c>
      <c r="I3318" s="11">
        <f t="shared" si="512"/>
        <v>0.27</v>
      </c>
      <c r="J3318" s="12">
        <f t="shared" si="513"/>
        <v>-5.0760000000000005</v>
      </c>
      <c r="K3318" s="17" t="str">
        <f t="shared" si="518"/>
        <v>Ecart négatif</v>
      </c>
      <c r="L3318" s="16">
        <f>base!X3318</f>
        <v>0</v>
      </c>
      <c r="M3318" s="11">
        <f t="shared" si="514"/>
        <v>0</v>
      </c>
      <c r="N3318" s="11">
        <f t="shared" si="515"/>
        <v>0</v>
      </c>
      <c r="O3318" s="11">
        <f t="shared" si="516"/>
        <v>0</v>
      </c>
      <c r="P3318" s="12">
        <f t="shared" si="517"/>
        <v>0</v>
      </c>
      <c r="Q3318" s="17" t="str">
        <f t="shared" si="519"/>
        <v>Pas d'écart</v>
      </c>
    </row>
    <row r="3319" spans="1:18" x14ac:dyDescent="0.3">
      <c r="A3319" s="34" t="str">
        <f>base!J3319</f>
        <v>DLM</v>
      </c>
      <c r="B3319" s="34" t="str">
        <f>base!V3319</f>
        <v>17000</v>
      </c>
      <c r="C3319" s="37">
        <v>17</v>
      </c>
      <c r="D3319" s="36">
        <f>base!H3319</f>
        <v>52.5</v>
      </c>
      <c r="E3319" s="44"/>
      <c r="F3319" s="16">
        <f>base!W3319</f>
        <v>0</v>
      </c>
      <c r="G3319" s="11">
        <f t="shared" si="510"/>
        <v>0</v>
      </c>
      <c r="H3319" s="11">
        <f t="shared" si="511"/>
        <v>11.025</v>
      </c>
      <c r="I3319" s="11">
        <f t="shared" si="512"/>
        <v>0.21000000000000002</v>
      </c>
      <c r="J3319" s="12">
        <f t="shared" si="513"/>
        <v>-11.025</v>
      </c>
      <c r="K3319" s="17" t="str">
        <f t="shared" si="518"/>
        <v>Ecart négatif</v>
      </c>
      <c r="L3319" s="16">
        <f>base!X3319</f>
        <v>0</v>
      </c>
      <c r="M3319" s="11">
        <f t="shared" si="514"/>
        <v>0</v>
      </c>
      <c r="N3319" s="11">
        <f t="shared" si="515"/>
        <v>8.9250000000000007</v>
      </c>
      <c r="O3319" s="11">
        <f t="shared" si="516"/>
        <v>0.17</v>
      </c>
      <c r="P3319" s="12">
        <f t="shared" si="517"/>
        <v>-8.9250000000000007</v>
      </c>
      <c r="Q3319" s="17" t="str">
        <f t="shared" si="519"/>
        <v>Ecart négatif</v>
      </c>
    </row>
    <row r="3320" spans="1:18" x14ac:dyDescent="0.3">
      <c r="A3320" s="34" t="str">
        <f>base!J3320</f>
        <v>DLM</v>
      </c>
      <c r="B3320" s="34" t="str">
        <f>base!V3320</f>
        <v>69003</v>
      </c>
      <c r="C3320" s="37">
        <v>69</v>
      </c>
      <c r="D3320" s="36">
        <f>base!H3320</f>
        <v>52.5</v>
      </c>
      <c r="E3320" s="44"/>
      <c r="F3320" s="16">
        <f>base!W3320</f>
        <v>0</v>
      </c>
      <c r="G3320" s="11">
        <f t="shared" si="510"/>
        <v>0</v>
      </c>
      <c r="H3320" s="11">
        <f t="shared" si="511"/>
        <v>14.175000000000001</v>
      </c>
      <c r="I3320" s="11">
        <f t="shared" si="512"/>
        <v>0.27</v>
      </c>
      <c r="J3320" s="12">
        <f t="shared" si="513"/>
        <v>-14.175000000000001</v>
      </c>
      <c r="K3320" s="17" t="str">
        <f t="shared" si="518"/>
        <v>Ecart négatif</v>
      </c>
      <c r="L3320" s="16">
        <f>base!X3320</f>
        <v>0</v>
      </c>
      <c r="M3320" s="11">
        <f t="shared" si="514"/>
        <v>0</v>
      </c>
      <c r="N3320" s="11">
        <f t="shared" si="515"/>
        <v>0</v>
      </c>
      <c r="O3320" s="11">
        <f t="shared" si="516"/>
        <v>0</v>
      </c>
      <c r="P3320" s="12">
        <f t="shared" si="517"/>
        <v>0</v>
      </c>
      <c r="Q3320" s="17" t="str">
        <f t="shared" si="519"/>
        <v>Pas d'écart</v>
      </c>
    </row>
    <row r="3321" spans="1:18" x14ac:dyDescent="0.3">
      <c r="A3321" s="34" t="str">
        <f>base!J3321</f>
        <v>DLM</v>
      </c>
      <c r="B3321" s="34" t="str">
        <f>base!V3321</f>
        <v>34000</v>
      </c>
      <c r="C3321" s="37">
        <v>34</v>
      </c>
      <c r="D3321" s="36">
        <f>base!H3321</f>
        <v>52.5</v>
      </c>
      <c r="E3321" s="44"/>
      <c r="F3321" s="16">
        <f>base!W3321</f>
        <v>0</v>
      </c>
      <c r="G3321" s="11">
        <f t="shared" si="510"/>
        <v>0</v>
      </c>
      <c r="H3321" s="11">
        <f t="shared" si="511"/>
        <v>20.475000000000001</v>
      </c>
      <c r="I3321" s="11">
        <f t="shared" si="512"/>
        <v>0.39</v>
      </c>
      <c r="J3321" s="12">
        <f t="shared" si="513"/>
        <v>-20.475000000000001</v>
      </c>
      <c r="K3321" s="17" t="str">
        <f t="shared" si="518"/>
        <v>Ecart négatif</v>
      </c>
      <c r="L3321" s="16">
        <f>base!X3321</f>
        <v>0</v>
      </c>
      <c r="M3321" s="11">
        <f t="shared" si="514"/>
        <v>0</v>
      </c>
      <c r="N3321" s="11">
        <f t="shared" si="515"/>
        <v>14.700000000000001</v>
      </c>
      <c r="O3321" s="11">
        <f t="shared" si="516"/>
        <v>0.28000000000000003</v>
      </c>
      <c r="P3321" s="12">
        <f t="shared" si="517"/>
        <v>-14.700000000000001</v>
      </c>
      <c r="Q3321" s="17" t="str">
        <f t="shared" si="519"/>
        <v>Ecart négatif</v>
      </c>
    </row>
    <row r="3322" spans="1:18" x14ac:dyDescent="0.3">
      <c r="A3322" s="34" t="str">
        <f>base!J3322</f>
        <v>DLM</v>
      </c>
      <c r="B3322" s="34" t="str">
        <f>base!V3322</f>
        <v>69600</v>
      </c>
      <c r="C3322" s="37">
        <v>69</v>
      </c>
      <c r="D3322" s="36">
        <f>base!H3322</f>
        <v>52.5</v>
      </c>
      <c r="E3322" s="44"/>
      <c r="F3322" s="16">
        <f>base!W3322</f>
        <v>0</v>
      </c>
      <c r="G3322" s="11">
        <f t="shared" si="510"/>
        <v>0</v>
      </c>
      <c r="H3322" s="11">
        <f t="shared" si="511"/>
        <v>14.175000000000001</v>
      </c>
      <c r="I3322" s="11">
        <f t="shared" si="512"/>
        <v>0.27</v>
      </c>
      <c r="J3322" s="12">
        <f t="shared" si="513"/>
        <v>-14.175000000000001</v>
      </c>
      <c r="K3322" s="17" t="str">
        <f t="shared" si="518"/>
        <v>Ecart négatif</v>
      </c>
      <c r="L3322" s="16">
        <f>base!X3322</f>
        <v>0</v>
      </c>
      <c r="M3322" s="11">
        <f t="shared" si="514"/>
        <v>0</v>
      </c>
      <c r="N3322" s="11">
        <f t="shared" si="515"/>
        <v>0</v>
      </c>
      <c r="O3322" s="11">
        <f t="shared" si="516"/>
        <v>0</v>
      </c>
      <c r="P3322" s="12">
        <f t="shared" si="517"/>
        <v>0</v>
      </c>
      <c r="Q3322" s="17" t="str">
        <f t="shared" si="519"/>
        <v>Pas d'écart</v>
      </c>
    </row>
    <row r="3323" spans="1:18" x14ac:dyDescent="0.3">
      <c r="A3323" s="34" t="str">
        <f>base!J3323</f>
        <v>DLM</v>
      </c>
      <c r="B3323" s="34" t="str">
        <f>base!V3323</f>
        <v>63000</v>
      </c>
      <c r="C3323" s="37">
        <v>63</v>
      </c>
      <c r="D3323" s="36">
        <f>base!H3323</f>
        <v>52.5</v>
      </c>
      <c r="E3323" s="44"/>
      <c r="F3323" s="16">
        <f>base!W3323</f>
        <v>0</v>
      </c>
      <c r="G3323" s="11">
        <f t="shared" si="510"/>
        <v>0</v>
      </c>
      <c r="H3323" s="11">
        <f t="shared" si="511"/>
        <v>15.225</v>
      </c>
      <c r="I3323" s="11">
        <f t="shared" si="512"/>
        <v>0.28999999999999998</v>
      </c>
      <c r="J3323" s="12">
        <f t="shared" si="513"/>
        <v>-15.225</v>
      </c>
      <c r="K3323" s="17" t="str">
        <f t="shared" si="518"/>
        <v>Ecart négatif</v>
      </c>
      <c r="L3323" s="16">
        <f>base!X3323</f>
        <v>29.41</v>
      </c>
      <c r="M3323" s="11">
        <f t="shared" si="514"/>
        <v>0.56019047619047624</v>
      </c>
      <c r="N3323" s="11">
        <f t="shared" si="515"/>
        <v>6.3</v>
      </c>
      <c r="O3323" s="11">
        <f t="shared" si="516"/>
        <v>0.12</v>
      </c>
      <c r="P3323" s="12">
        <f t="shared" si="517"/>
        <v>23.11</v>
      </c>
      <c r="Q3323" s="17" t="str">
        <f t="shared" si="519"/>
        <v>Ecart positif</v>
      </c>
    </row>
    <row r="3324" spans="1:18" x14ac:dyDescent="0.3">
      <c r="A3324" s="34" t="str">
        <f>base!J3324</f>
        <v>RS</v>
      </c>
      <c r="B3324" s="34" t="str">
        <f>base!V3324</f>
        <v>56600</v>
      </c>
      <c r="C3324" s="37">
        <v>56</v>
      </c>
      <c r="D3324" s="36">
        <f>base!H3324</f>
        <v>68</v>
      </c>
      <c r="E3324" s="44"/>
      <c r="F3324" s="16">
        <f>base!W3324</f>
        <v>0</v>
      </c>
      <c r="G3324" s="11">
        <f t="shared" si="510"/>
        <v>0</v>
      </c>
      <c r="H3324" s="11">
        <f t="shared" si="511"/>
        <v>18.36</v>
      </c>
      <c r="I3324" s="11">
        <f t="shared" si="512"/>
        <v>0.27</v>
      </c>
      <c r="J3324" s="12">
        <f t="shared" si="513"/>
        <v>-18.36</v>
      </c>
      <c r="K3324" s="17" t="str">
        <f t="shared" si="518"/>
        <v>Ecart négatif</v>
      </c>
      <c r="L3324" s="16">
        <f>base!X3324</f>
        <v>0</v>
      </c>
      <c r="M3324" s="11">
        <f t="shared" si="514"/>
        <v>0</v>
      </c>
      <c r="N3324" s="11">
        <f t="shared" si="515"/>
        <v>0</v>
      </c>
      <c r="O3324" s="11">
        <f t="shared" si="516"/>
        <v>0</v>
      </c>
      <c r="P3324" s="12">
        <f t="shared" si="517"/>
        <v>0</v>
      </c>
      <c r="Q3324" s="17" t="str">
        <f t="shared" si="519"/>
        <v>Pas d'écart</v>
      </c>
    </row>
    <row r="3325" spans="1:18" x14ac:dyDescent="0.3">
      <c r="A3325" s="34" t="str">
        <f>base!J3325</f>
        <v>DRM</v>
      </c>
      <c r="B3325" s="34" t="str">
        <f>base!V3325</f>
        <v>38230</v>
      </c>
      <c r="C3325" s="37">
        <v>38</v>
      </c>
      <c r="D3325" s="36">
        <f>base!H3325</f>
        <v>23.4</v>
      </c>
      <c r="E3325" s="44"/>
      <c r="F3325" s="16">
        <f>base!W3325</f>
        <v>0</v>
      </c>
      <c r="G3325" s="11">
        <f t="shared" si="510"/>
        <v>0</v>
      </c>
      <c r="H3325" s="11">
        <f t="shared" si="511"/>
        <v>6.3179999999999996</v>
      </c>
      <c r="I3325" s="11">
        <f t="shared" si="512"/>
        <v>0.27</v>
      </c>
      <c r="J3325" s="12">
        <f t="shared" si="513"/>
        <v>-6.3179999999999996</v>
      </c>
      <c r="K3325" s="17" t="str">
        <f t="shared" si="518"/>
        <v>Ecart négatif</v>
      </c>
      <c r="L3325" s="16">
        <f>base!X3325</f>
        <v>0</v>
      </c>
      <c r="M3325" s="11">
        <f t="shared" si="514"/>
        <v>0</v>
      </c>
      <c r="N3325" s="11">
        <f t="shared" si="515"/>
        <v>0</v>
      </c>
      <c r="O3325" s="11">
        <f t="shared" si="516"/>
        <v>0</v>
      </c>
      <c r="P3325" s="12">
        <f t="shared" si="517"/>
        <v>0</v>
      </c>
      <c r="Q3325" s="17" t="str">
        <f t="shared" si="519"/>
        <v>Pas d'écart</v>
      </c>
    </row>
    <row r="3326" spans="1:18" x14ac:dyDescent="0.3">
      <c r="A3326" s="34" t="str">
        <f>base!J3326</f>
        <v>RM</v>
      </c>
      <c r="B3326" s="34" t="str">
        <f>base!V3326</f>
        <v>75009</v>
      </c>
      <c r="C3326" s="37">
        <v>75</v>
      </c>
      <c r="D3326" s="36">
        <f>base!H3326</f>
        <v>70</v>
      </c>
      <c r="E3326" s="44"/>
      <c r="F3326" s="16">
        <f>base!W3326</f>
        <v>0</v>
      </c>
      <c r="G3326" s="11">
        <f t="shared" si="510"/>
        <v>0</v>
      </c>
      <c r="H3326" s="11">
        <f t="shared" si="511"/>
        <v>0</v>
      </c>
      <c r="I3326" s="11">
        <f t="shared" si="512"/>
        <v>0</v>
      </c>
      <c r="J3326" s="12">
        <f t="shared" si="513"/>
        <v>0</v>
      </c>
      <c r="K3326" s="17" t="str">
        <f t="shared" si="518"/>
        <v>Pas d'écart</v>
      </c>
      <c r="L3326" s="16">
        <f>base!X3326</f>
        <v>0</v>
      </c>
      <c r="M3326" s="11">
        <f t="shared" si="514"/>
        <v>0</v>
      </c>
      <c r="N3326" s="11">
        <f t="shared" si="515"/>
        <v>0</v>
      </c>
      <c r="O3326" s="11">
        <f t="shared" si="516"/>
        <v>0</v>
      </c>
      <c r="P3326" s="12">
        <f t="shared" si="517"/>
        <v>0</v>
      </c>
      <c r="Q3326" s="17" t="str">
        <f t="shared" si="519"/>
        <v>Pas d'écart</v>
      </c>
    </row>
    <row r="3327" spans="1:18" x14ac:dyDescent="0.3">
      <c r="A3327" s="34" t="str">
        <f>base!J3327</f>
        <v>RM</v>
      </c>
      <c r="B3327" s="34" t="str">
        <f>base!V3327</f>
        <v>39400</v>
      </c>
      <c r="C3327" s="37">
        <v>39</v>
      </c>
      <c r="D3327" s="36">
        <f>base!H3327</f>
        <v>22.8</v>
      </c>
      <c r="E3327" s="44"/>
      <c r="F3327" s="16">
        <f>base!W3327</f>
        <v>0</v>
      </c>
      <c r="G3327" s="11">
        <f t="shared" si="510"/>
        <v>0</v>
      </c>
      <c r="H3327" s="11">
        <f t="shared" si="511"/>
        <v>6.1560000000000006</v>
      </c>
      <c r="I3327" s="11">
        <f t="shared" si="512"/>
        <v>0.27</v>
      </c>
      <c r="J3327" s="12">
        <f t="shared" si="513"/>
        <v>-6.1560000000000006</v>
      </c>
      <c r="K3327" s="17" t="str">
        <f t="shared" si="518"/>
        <v>Ecart négatif</v>
      </c>
      <c r="L3327" s="16">
        <f>base!X3327</f>
        <v>0</v>
      </c>
      <c r="M3327" s="11">
        <f t="shared" si="514"/>
        <v>0</v>
      </c>
      <c r="N3327" s="11">
        <f t="shared" si="515"/>
        <v>0</v>
      </c>
      <c r="O3327" s="11">
        <f t="shared" si="516"/>
        <v>0</v>
      </c>
      <c r="P3327" s="12">
        <f t="shared" si="517"/>
        <v>0</v>
      </c>
      <c r="Q3327" s="17" t="str">
        <f t="shared" si="519"/>
        <v>Pas d'écart</v>
      </c>
    </row>
    <row r="3328" spans="1:18" x14ac:dyDescent="0.3">
      <c r="A3328" s="34" t="str">
        <f>base!J3328</f>
        <v>LM</v>
      </c>
      <c r="B3328" s="34" t="str">
        <f>base!V3328</f>
        <v>21160</v>
      </c>
      <c r="C3328" s="37">
        <v>25</v>
      </c>
      <c r="D3328" s="36">
        <f>base!H3328</f>
        <v>55.16</v>
      </c>
      <c r="E3328" s="44"/>
      <c r="F3328" s="16">
        <f>base!W3328</f>
        <v>13.24</v>
      </c>
      <c r="G3328" s="11">
        <f t="shared" si="510"/>
        <v>0.24002900652646847</v>
      </c>
      <c r="H3328" s="11">
        <f t="shared" si="511"/>
        <v>13.238399999999999</v>
      </c>
      <c r="I3328" s="11">
        <f t="shared" si="512"/>
        <v>0.24</v>
      </c>
      <c r="J3328" s="12">
        <f t="shared" si="513"/>
        <v>1.6000000000016001E-3</v>
      </c>
      <c r="K3328" s="17" t="str">
        <f t="shared" si="518"/>
        <v>Ecart positif</v>
      </c>
      <c r="L3328" s="16">
        <f>base!X3328</f>
        <v>0</v>
      </c>
      <c r="M3328" s="11">
        <f t="shared" si="514"/>
        <v>0</v>
      </c>
      <c r="N3328" s="11">
        <f t="shared" si="515"/>
        <v>6.6191999999999993</v>
      </c>
      <c r="O3328" s="11">
        <f t="shared" si="516"/>
        <v>0.12</v>
      </c>
      <c r="P3328" s="12">
        <f t="shared" si="517"/>
        <v>-6.6191999999999993</v>
      </c>
      <c r="Q3328" s="17" t="str">
        <f t="shared" si="519"/>
        <v>Ecart négatif</v>
      </c>
    </row>
    <row r="3329" spans="1:18" x14ac:dyDescent="0.3">
      <c r="A3329" s="34" t="str">
        <f>base!J3329</f>
        <v>LM</v>
      </c>
      <c r="B3329" s="34" t="str">
        <f>base!V3329</f>
        <v>21160</v>
      </c>
      <c r="C3329" s="37">
        <v>58</v>
      </c>
      <c r="D3329" s="36">
        <f>base!H3329</f>
        <v>55.16</v>
      </c>
      <c r="E3329" s="44"/>
      <c r="F3329" s="16">
        <f>base!W3329</f>
        <v>13.24</v>
      </c>
      <c r="G3329" s="11">
        <f t="shared" si="510"/>
        <v>0.24002900652646847</v>
      </c>
      <c r="H3329" s="11">
        <f t="shared" si="511"/>
        <v>12.6868</v>
      </c>
      <c r="I3329" s="11">
        <f t="shared" si="512"/>
        <v>0.23</v>
      </c>
      <c r="J3329" s="12">
        <f t="shared" si="513"/>
        <v>0.55320000000000036</v>
      </c>
      <c r="K3329" s="17" t="str">
        <f t="shared" si="518"/>
        <v>Ecart positif</v>
      </c>
      <c r="L3329" s="16">
        <f>base!X3329</f>
        <v>0</v>
      </c>
      <c r="M3329" s="11">
        <f t="shared" si="514"/>
        <v>0</v>
      </c>
      <c r="N3329" s="11">
        <f t="shared" si="515"/>
        <v>6.6191999999999993</v>
      </c>
      <c r="O3329" s="11">
        <f t="shared" si="516"/>
        <v>0.12</v>
      </c>
      <c r="P3329" s="12">
        <f t="shared" si="517"/>
        <v>-6.6191999999999993</v>
      </c>
      <c r="Q3329" s="17" t="str">
        <f t="shared" si="519"/>
        <v>Ecart négatif</v>
      </c>
    </row>
    <row r="3330" spans="1:18" x14ac:dyDescent="0.3">
      <c r="A3330" s="34" t="str">
        <f>base!J3330</f>
        <v>RM</v>
      </c>
      <c r="B3330" s="34" t="str">
        <f>base!V3330</f>
        <v>67000</v>
      </c>
      <c r="C3330" s="37">
        <v>67</v>
      </c>
      <c r="D3330" s="36">
        <f>base!H3330</f>
        <v>250</v>
      </c>
      <c r="E3330" s="44"/>
      <c r="F3330" s="16">
        <f>base!W3330</f>
        <v>0</v>
      </c>
      <c r="G3330" s="11">
        <f t="shared" ref="G3330:G3393" si="520">F3330/D3330</f>
        <v>0</v>
      </c>
      <c r="H3330" s="11">
        <f t="shared" ref="H3330:H3393" si="521">VLOOKUP(C3330,tout_cout_traction,2,FALSE)*D3330</f>
        <v>72.5</v>
      </c>
      <c r="I3330" s="11">
        <f t="shared" ref="I3330:I3393" si="522">H3330/D3330</f>
        <v>0.28999999999999998</v>
      </c>
      <c r="J3330" s="12">
        <f t="shared" ref="J3330:J3393" si="523">F3330-H3330</f>
        <v>-72.5</v>
      </c>
      <c r="K3330" s="17" t="str">
        <f t="shared" si="518"/>
        <v>Ecart négatif</v>
      </c>
      <c r="L3330" s="16">
        <f>base!X3330</f>
        <v>20</v>
      </c>
      <c r="M3330" s="11">
        <f t="shared" ref="M3330:M3393" si="524">L3330/D3330</f>
        <v>0.08</v>
      </c>
      <c r="N3330" s="11">
        <f t="shared" ref="N3330:N3393" si="525">VLOOKUP(C3330,tout_cout_traction,3,FALSE)*D3330</f>
        <v>20</v>
      </c>
      <c r="O3330" s="11">
        <f t="shared" ref="O3330:O3393" si="526">N3330/D3330</f>
        <v>0.08</v>
      </c>
      <c r="P3330" s="12">
        <f t="shared" ref="P3330:P3393" si="527">L3330-N3330</f>
        <v>0</v>
      </c>
      <c r="Q3330" s="17" t="str">
        <f t="shared" si="519"/>
        <v>Pas d'écart</v>
      </c>
      <c r="R3330" s="38"/>
    </row>
    <row r="3331" spans="1:18" x14ac:dyDescent="0.3">
      <c r="A3331" s="34" t="str">
        <f>base!J3331</f>
        <v>RM</v>
      </c>
      <c r="B3331" s="34" t="str">
        <f>base!V3331</f>
        <v>06560</v>
      </c>
      <c r="C3331" s="37">
        <v>6</v>
      </c>
      <c r="D3331" s="36">
        <f>base!H3331</f>
        <v>151</v>
      </c>
      <c r="E3331" s="44"/>
      <c r="F3331" s="16">
        <f>base!W3331</f>
        <v>0</v>
      </c>
      <c r="G3331" s="11">
        <f t="shared" si="520"/>
        <v>0</v>
      </c>
      <c r="H3331" s="11">
        <f t="shared" si="521"/>
        <v>45.3</v>
      </c>
      <c r="I3331" s="11">
        <f t="shared" si="522"/>
        <v>0.3</v>
      </c>
      <c r="J3331" s="12">
        <f t="shared" si="523"/>
        <v>-45.3</v>
      </c>
      <c r="K3331" s="17" t="str">
        <f t="shared" ref="K3331:K3394" si="528">IF(H3331=F3331,"Pas d'écart",IF(H3331&lt;F3331,"Ecart positif",IF(H3331&gt;F3331,"Ecart négatif")))</f>
        <v>Ecart négatif</v>
      </c>
      <c r="L3331" s="16">
        <f>base!X3331</f>
        <v>0</v>
      </c>
      <c r="M3331" s="11">
        <f t="shared" si="524"/>
        <v>0</v>
      </c>
      <c r="N3331" s="11">
        <f t="shared" si="525"/>
        <v>31.709999999999997</v>
      </c>
      <c r="O3331" s="11">
        <f t="shared" si="526"/>
        <v>0.21</v>
      </c>
      <c r="P3331" s="12">
        <f t="shared" si="527"/>
        <v>-31.709999999999997</v>
      </c>
      <c r="Q3331" s="17" t="str">
        <f t="shared" ref="Q3331:Q3394" si="529">IF(N3331=L3331,"Pas d'écart",IF(N3331&lt;L3331,"Ecart positif",IF(N3331&gt;L3331,"Ecart négatif")))</f>
        <v>Ecart négatif</v>
      </c>
    </row>
    <row r="3332" spans="1:18" x14ac:dyDescent="0.3">
      <c r="A3332" s="34" t="str">
        <f>base!J3332</f>
        <v>RM</v>
      </c>
      <c r="B3332" s="34" t="str">
        <f>base!V3332</f>
        <v>06560</v>
      </c>
      <c r="C3332" s="37">
        <v>6</v>
      </c>
      <c r="D3332" s="36">
        <f>base!H3332</f>
        <v>151</v>
      </c>
      <c r="E3332" s="44"/>
      <c r="F3332" s="16">
        <f>base!W3332</f>
        <v>0</v>
      </c>
      <c r="G3332" s="11">
        <f t="shared" si="520"/>
        <v>0</v>
      </c>
      <c r="H3332" s="11">
        <f t="shared" si="521"/>
        <v>45.3</v>
      </c>
      <c r="I3332" s="11">
        <f t="shared" si="522"/>
        <v>0.3</v>
      </c>
      <c r="J3332" s="12">
        <f t="shared" si="523"/>
        <v>-45.3</v>
      </c>
      <c r="K3332" s="17" t="str">
        <f t="shared" si="528"/>
        <v>Ecart négatif</v>
      </c>
      <c r="L3332" s="16">
        <f>base!X3332</f>
        <v>0</v>
      </c>
      <c r="M3332" s="11">
        <f t="shared" si="524"/>
        <v>0</v>
      </c>
      <c r="N3332" s="11">
        <f t="shared" si="525"/>
        <v>31.709999999999997</v>
      </c>
      <c r="O3332" s="11">
        <f t="shared" si="526"/>
        <v>0.21</v>
      </c>
      <c r="P3332" s="12">
        <f t="shared" si="527"/>
        <v>-31.709999999999997</v>
      </c>
      <c r="Q3332" s="17" t="str">
        <f t="shared" si="529"/>
        <v>Ecart négatif</v>
      </c>
    </row>
    <row r="3333" spans="1:18" x14ac:dyDescent="0.3">
      <c r="A3333" s="34" t="str">
        <f>base!J3333</f>
        <v>RM</v>
      </c>
      <c r="B3333" s="34" t="str">
        <f>base!V3333</f>
        <v>06560</v>
      </c>
      <c r="C3333" s="37">
        <v>6</v>
      </c>
      <c r="D3333" s="36">
        <f>base!H3333</f>
        <v>151</v>
      </c>
      <c r="E3333" s="44"/>
      <c r="F3333" s="16">
        <f>base!W3333</f>
        <v>0</v>
      </c>
      <c r="G3333" s="11">
        <f t="shared" si="520"/>
        <v>0</v>
      </c>
      <c r="H3333" s="11">
        <f t="shared" si="521"/>
        <v>45.3</v>
      </c>
      <c r="I3333" s="11">
        <f t="shared" si="522"/>
        <v>0.3</v>
      </c>
      <c r="J3333" s="12">
        <f t="shared" si="523"/>
        <v>-45.3</v>
      </c>
      <c r="K3333" s="17" t="str">
        <f t="shared" si="528"/>
        <v>Ecart négatif</v>
      </c>
      <c r="L3333" s="16">
        <f>base!X3333</f>
        <v>0</v>
      </c>
      <c r="M3333" s="11">
        <f t="shared" si="524"/>
        <v>0</v>
      </c>
      <c r="N3333" s="11">
        <f t="shared" si="525"/>
        <v>31.709999999999997</v>
      </c>
      <c r="O3333" s="11">
        <f t="shared" si="526"/>
        <v>0.21</v>
      </c>
      <c r="P3333" s="12">
        <f t="shared" si="527"/>
        <v>-31.709999999999997</v>
      </c>
      <c r="Q3333" s="17" t="str">
        <f t="shared" si="529"/>
        <v>Ecart négatif</v>
      </c>
    </row>
    <row r="3334" spans="1:18" x14ac:dyDescent="0.3">
      <c r="A3334" s="34">
        <f>base!J3334</f>
        <v>0</v>
      </c>
      <c r="B3334" s="34" t="str">
        <f>base!V3334</f>
        <v>77184</v>
      </c>
      <c r="C3334" s="37">
        <v>77</v>
      </c>
      <c r="D3334" s="36">
        <f>base!H3334</f>
        <v>25</v>
      </c>
      <c r="E3334" s="44"/>
      <c r="F3334" s="16">
        <f>base!W3334</f>
        <v>0</v>
      </c>
      <c r="G3334" s="11">
        <f t="shared" si="520"/>
        <v>0</v>
      </c>
      <c r="H3334" s="11">
        <f t="shared" si="521"/>
        <v>0</v>
      </c>
      <c r="I3334" s="11">
        <f t="shared" si="522"/>
        <v>0</v>
      </c>
      <c r="J3334" s="12">
        <f t="shared" si="523"/>
        <v>0</v>
      </c>
      <c r="K3334" s="17" t="str">
        <f t="shared" si="528"/>
        <v>Pas d'écart</v>
      </c>
      <c r="L3334" s="16">
        <f>base!X3334</f>
        <v>0</v>
      </c>
      <c r="M3334" s="11">
        <f t="shared" si="524"/>
        <v>0</v>
      </c>
      <c r="N3334" s="11">
        <f t="shared" si="525"/>
        <v>0</v>
      </c>
      <c r="O3334" s="11">
        <f t="shared" si="526"/>
        <v>0</v>
      </c>
      <c r="P3334" s="12">
        <f t="shared" si="527"/>
        <v>0</v>
      </c>
      <c r="Q3334" s="17" t="str">
        <f t="shared" si="529"/>
        <v>Pas d'écart</v>
      </c>
    </row>
    <row r="3335" spans="1:18" x14ac:dyDescent="0.3">
      <c r="A3335" s="34" t="str">
        <f>base!J3335</f>
        <v>LS</v>
      </c>
      <c r="B3335" s="34" t="str">
        <f>base!V3335</f>
        <v>62231</v>
      </c>
      <c r="C3335" s="37">
        <v>62</v>
      </c>
      <c r="D3335" s="36">
        <f>base!H3335</f>
        <v>40</v>
      </c>
      <c r="E3335" s="44"/>
      <c r="F3335" s="16">
        <f>base!W3335</f>
        <v>7.6</v>
      </c>
      <c r="G3335" s="11">
        <f t="shared" si="520"/>
        <v>0.19</v>
      </c>
      <c r="H3335" s="11">
        <f t="shared" si="521"/>
        <v>7.6</v>
      </c>
      <c r="I3335" s="11">
        <f t="shared" si="522"/>
        <v>0.19</v>
      </c>
      <c r="J3335" s="12">
        <f t="shared" si="523"/>
        <v>0</v>
      </c>
      <c r="K3335" s="17" t="str">
        <f t="shared" si="528"/>
        <v>Pas d'écart</v>
      </c>
      <c r="L3335" s="16">
        <f>base!X3335</f>
        <v>0</v>
      </c>
      <c r="M3335" s="11">
        <f t="shared" si="524"/>
        <v>0</v>
      </c>
      <c r="N3335" s="11">
        <f t="shared" si="525"/>
        <v>0</v>
      </c>
      <c r="O3335" s="11">
        <f t="shared" si="526"/>
        <v>0</v>
      </c>
      <c r="P3335" s="12">
        <f t="shared" si="527"/>
        <v>0</v>
      </c>
      <c r="Q3335" s="17" t="str">
        <f t="shared" si="529"/>
        <v>Pas d'écart</v>
      </c>
    </row>
    <row r="3336" spans="1:18" x14ac:dyDescent="0.3">
      <c r="A3336" s="34">
        <f>base!J3336</f>
        <v>0</v>
      </c>
      <c r="B3336" s="34" t="str">
        <f>base!V3336</f>
        <v>77184</v>
      </c>
      <c r="C3336" s="37">
        <v>77</v>
      </c>
      <c r="D3336" s="36">
        <f>base!H3336</f>
        <v>30</v>
      </c>
      <c r="E3336" s="44"/>
      <c r="F3336" s="16">
        <f>base!W3336</f>
        <v>0</v>
      </c>
      <c r="G3336" s="11">
        <f t="shared" si="520"/>
        <v>0</v>
      </c>
      <c r="H3336" s="11">
        <f t="shared" si="521"/>
        <v>0</v>
      </c>
      <c r="I3336" s="11">
        <f t="shared" si="522"/>
        <v>0</v>
      </c>
      <c r="J3336" s="12">
        <f t="shared" si="523"/>
        <v>0</v>
      </c>
      <c r="K3336" s="17" t="str">
        <f t="shared" si="528"/>
        <v>Pas d'écart</v>
      </c>
      <c r="L3336" s="16">
        <f>base!X3336</f>
        <v>0</v>
      </c>
      <c r="M3336" s="11">
        <f t="shared" si="524"/>
        <v>0</v>
      </c>
      <c r="N3336" s="11">
        <f t="shared" si="525"/>
        <v>0</v>
      </c>
      <c r="O3336" s="11">
        <f t="shared" si="526"/>
        <v>0</v>
      </c>
      <c r="P3336" s="12">
        <f t="shared" si="527"/>
        <v>0</v>
      </c>
      <c r="Q3336" s="17" t="str">
        <f t="shared" si="529"/>
        <v>Pas d'écart</v>
      </c>
    </row>
    <row r="3337" spans="1:18" x14ac:dyDescent="0.3">
      <c r="A3337" s="34" t="str">
        <f>base!J3337</f>
        <v>LM</v>
      </c>
      <c r="B3337" s="34" t="str">
        <f>base!V3337</f>
        <v>75008</v>
      </c>
      <c r="C3337" s="37">
        <v>75</v>
      </c>
      <c r="D3337" s="36">
        <f>base!H3337</f>
        <v>174.26</v>
      </c>
      <c r="E3337" s="44"/>
      <c r="F3337" s="16">
        <f>base!W3337</f>
        <v>0</v>
      </c>
      <c r="G3337" s="11">
        <f t="shared" si="520"/>
        <v>0</v>
      </c>
      <c r="H3337" s="11">
        <f t="shared" si="521"/>
        <v>0</v>
      </c>
      <c r="I3337" s="11">
        <f t="shared" si="522"/>
        <v>0</v>
      </c>
      <c r="J3337" s="12">
        <f t="shared" si="523"/>
        <v>0</v>
      </c>
      <c r="K3337" s="17" t="str">
        <f t="shared" si="528"/>
        <v>Pas d'écart</v>
      </c>
      <c r="L3337" s="16">
        <f>base!X3337</f>
        <v>0</v>
      </c>
      <c r="M3337" s="11">
        <f t="shared" si="524"/>
        <v>0</v>
      </c>
      <c r="N3337" s="11">
        <f t="shared" si="525"/>
        <v>0</v>
      </c>
      <c r="O3337" s="11">
        <f t="shared" si="526"/>
        <v>0</v>
      </c>
      <c r="P3337" s="12">
        <f t="shared" si="527"/>
        <v>0</v>
      </c>
      <c r="Q3337" s="17" t="str">
        <f t="shared" si="529"/>
        <v>Pas d'écart</v>
      </c>
    </row>
    <row r="3338" spans="1:18" x14ac:dyDescent="0.3">
      <c r="A3338" s="34" t="str">
        <f>base!J3338</f>
        <v>RM</v>
      </c>
      <c r="B3338" s="34" t="str">
        <f>base!V3338</f>
        <v>69002</v>
      </c>
      <c r="C3338" s="37">
        <v>69</v>
      </c>
      <c r="D3338" s="36">
        <f>base!H3338</f>
        <v>29.59</v>
      </c>
      <c r="E3338" s="44"/>
      <c r="F3338" s="16">
        <f>base!W3338</f>
        <v>0</v>
      </c>
      <c r="G3338" s="11">
        <f t="shared" si="520"/>
        <v>0</v>
      </c>
      <c r="H3338" s="11">
        <f t="shared" si="521"/>
        <v>7.9893000000000001</v>
      </c>
      <c r="I3338" s="11">
        <f t="shared" si="522"/>
        <v>0.27</v>
      </c>
      <c r="J3338" s="12">
        <f t="shared" si="523"/>
        <v>-7.9893000000000001</v>
      </c>
      <c r="K3338" s="17" t="str">
        <f t="shared" si="528"/>
        <v>Ecart négatif</v>
      </c>
      <c r="L3338" s="16">
        <f>base!X3338</f>
        <v>0</v>
      </c>
      <c r="M3338" s="11">
        <f t="shared" si="524"/>
        <v>0</v>
      </c>
      <c r="N3338" s="11">
        <f t="shared" si="525"/>
        <v>0</v>
      </c>
      <c r="O3338" s="11">
        <f t="shared" si="526"/>
        <v>0</v>
      </c>
      <c r="P3338" s="12">
        <f t="shared" si="527"/>
        <v>0</v>
      </c>
      <c r="Q3338" s="17" t="str">
        <f t="shared" si="529"/>
        <v>Pas d'écart</v>
      </c>
    </row>
    <row r="3339" spans="1:18" x14ac:dyDescent="0.3">
      <c r="A3339" s="34" t="str">
        <f>base!J3339</f>
        <v>RM</v>
      </c>
      <c r="B3339" s="34" t="str">
        <f>base!V3339</f>
        <v>13008</v>
      </c>
      <c r="C3339" s="37">
        <v>13</v>
      </c>
      <c r="D3339" s="36">
        <f>base!H3339</f>
        <v>151</v>
      </c>
      <c r="E3339" s="44"/>
      <c r="F3339" s="16">
        <f>base!W3339</f>
        <v>0</v>
      </c>
      <c r="G3339" s="11">
        <f t="shared" si="520"/>
        <v>0</v>
      </c>
      <c r="H3339" s="11">
        <f t="shared" si="521"/>
        <v>43.79</v>
      </c>
      <c r="I3339" s="11">
        <f t="shared" si="522"/>
        <v>0.28999999999999998</v>
      </c>
      <c r="J3339" s="12">
        <f t="shared" si="523"/>
        <v>-43.79</v>
      </c>
      <c r="K3339" s="17" t="str">
        <f t="shared" si="528"/>
        <v>Ecart négatif</v>
      </c>
      <c r="L3339" s="16">
        <f>base!X3339</f>
        <v>0</v>
      </c>
      <c r="M3339" s="11">
        <f t="shared" si="524"/>
        <v>0</v>
      </c>
      <c r="N3339" s="11">
        <f t="shared" si="525"/>
        <v>28.69</v>
      </c>
      <c r="O3339" s="11">
        <f t="shared" si="526"/>
        <v>0.19</v>
      </c>
      <c r="P3339" s="12">
        <f t="shared" si="527"/>
        <v>-28.69</v>
      </c>
      <c r="Q3339" s="17" t="str">
        <f t="shared" si="529"/>
        <v>Ecart négatif</v>
      </c>
    </row>
    <row r="3340" spans="1:18" x14ac:dyDescent="0.3">
      <c r="A3340" s="34" t="str">
        <f>base!J3340</f>
        <v>RM</v>
      </c>
      <c r="B3340" s="34" t="str">
        <f>base!V3340</f>
        <v>68390</v>
      </c>
      <c r="C3340" s="37">
        <v>68</v>
      </c>
      <c r="D3340" s="36">
        <f>base!H3340</f>
        <v>29.59</v>
      </c>
      <c r="E3340" s="44"/>
      <c r="F3340" s="16">
        <f>base!W3340</f>
        <v>0</v>
      </c>
      <c r="G3340" s="11">
        <f t="shared" si="520"/>
        <v>0</v>
      </c>
      <c r="H3340" s="11">
        <f t="shared" si="521"/>
        <v>8.5810999999999993</v>
      </c>
      <c r="I3340" s="11">
        <f t="shared" si="522"/>
        <v>0.28999999999999998</v>
      </c>
      <c r="J3340" s="12">
        <f t="shared" si="523"/>
        <v>-8.5810999999999993</v>
      </c>
      <c r="K3340" s="17" t="str">
        <f t="shared" si="528"/>
        <v>Ecart négatif</v>
      </c>
      <c r="L3340" s="16">
        <f>base!X3340</f>
        <v>2.37</v>
      </c>
      <c r="M3340" s="11">
        <f t="shared" si="524"/>
        <v>8.0094626563028057E-2</v>
      </c>
      <c r="N3340" s="11">
        <f t="shared" si="525"/>
        <v>2.3672</v>
      </c>
      <c r="O3340" s="11">
        <f t="shared" si="526"/>
        <v>0.08</v>
      </c>
      <c r="P3340" s="12">
        <f t="shared" si="527"/>
        <v>2.8000000000001357E-3</v>
      </c>
      <c r="Q3340" s="17" t="str">
        <f t="shared" si="529"/>
        <v>Ecart positif</v>
      </c>
      <c r="R3340" s="38"/>
    </row>
    <row r="3341" spans="1:18" x14ac:dyDescent="0.3">
      <c r="A3341" s="34">
        <f>base!J3341</f>
        <v>0</v>
      </c>
      <c r="B3341" s="34" t="str">
        <f>base!V3341</f>
        <v>77184</v>
      </c>
      <c r="C3341" s="37">
        <v>77</v>
      </c>
      <c r="D3341" s="36">
        <f>base!H3341</f>
        <v>84.5</v>
      </c>
      <c r="E3341" s="44"/>
      <c r="F3341" s="16">
        <f>base!W3341</f>
        <v>0</v>
      </c>
      <c r="G3341" s="11">
        <f t="shared" si="520"/>
        <v>0</v>
      </c>
      <c r="H3341" s="11">
        <f t="shared" si="521"/>
        <v>0</v>
      </c>
      <c r="I3341" s="11">
        <f t="shared" si="522"/>
        <v>0</v>
      </c>
      <c r="J3341" s="12">
        <f t="shared" si="523"/>
        <v>0</v>
      </c>
      <c r="K3341" s="17" t="str">
        <f t="shared" si="528"/>
        <v>Pas d'écart</v>
      </c>
      <c r="L3341" s="16">
        <f>base!X3341</f>
        <v>0</v>
      </c>
      <c r="M3341" s="11">
        <f t="shared" si="524"/>
        <v>0</v>
      </c>
      <c r="N3341" s="11">
        <f t="shared" si="525"/>
        <v>0</v>
      </c>
      <c r="O3341" s="11">
        <f t="shared" si="526"/>
        <v>0</v>
      </c>
      <c r="P3341" s="12">
        <f t="shared" si="527"/>
        <v>0</v>
      </c>
      <c r="Q3341" s="17" t="str">
        <f t="shared" si="529"/>
        <v>Pas d'écart</v>
      </c>
    </row>
    <row r="3342" spans="1:18" x14ac:dyDescent="0.3">
      <c r="A3342" s="34">
        <f>base!J3342</f>
        <v>0</v>
      </c>
      <c r="B3342" s="34" t="str">
        <f>base!V3342</f>
        <v>77184</v>
      </c>
      <c r="C3342" s="37">
        <v>77</v>
      </c>
      <c r="D3342" s="36">
        <f>base!H3342</f>
        <v>68.3</v>
      </c>
      <c r="E3342" s="44"/>
      <c r="F3342" s="16">
        <f>base!W3342</f>
        <v>0</v>
      </c>
      <c r="G3342" s="11">
        <f t="shared" si="520"/>
        <v>0</v>
      </c>
      <c r="H3342" s="11">
        <f t="shared" si="521"/>
        <v>0</v>
      </c>
      <c r="I3342" s="11">
        <f t="shared" si="522"/>
        <v>0</v>
      </c>
      <c r="J3342" s="12">
        <f t="shared" si="523"/>
        <v>0</v>
      </c>
      <c r="K3342" s="17" t="str">
        <f t="shared" si="528"/>
        <v>Pas d'écart</v>
      </c>
      <c r="L3342" s="16">
        <f>base!X3342</f>
        <v>0</v>
      </c>
      <c r="M3342" s="11">
        <f t="shared" si="524"/>
        <v>0</v>
      </c>
      <c r="N3342" s="11">
        <f t="shared" si="525"/>
        <v>0</v>
      </c>
      <c r="O3342" s="11">
        <f t="shared" si="526"/>
        <v>0</v>
      </c>
      <c r="P3342" s="12">
        <f t="shared" si="527"/>
        <v>0</v>
      </c>
      <c r="Q3342" s="17" t="str">
        <f t="shared" si="529"/>
        <v>Pas d'écart</v>
      </c>
    </row>
    <row r="3343" spans="1:18" x14ac:dyDescent="0.3">
      <c r="A3343" s="34" t="str">
        <f>base!J3343</f>
        <v>LS</v>
      </c>
      <c r="B3343" s="34" t="str">
        <f>base!V3343</f>
        <v>68360</v>
      </c>
      <c r="C3343" s="37">
        <v>25</v>
      </c>
      <c r="D3343" s="36">
        <f>base!H3343</f>
        <v>75.16</v>
      </c>
      <c r="E3343" s="44"/>
      <c r="F3343" s="16">
        <f>base!W3343</f>
        <v>21.8</v>
      </c>
      <c r="G3343" s="11">
        <f t="shared" si="520"/>
        <v>0.29004789781798829</v>
      </c>
      <c r="H3343" s="11">
        <f t="shared" si="521"/>
        <v>18.038399999999999</v>
      </c>
      <c r="I3343" s="11">
        <f t="shared" si="522"/>
        <v>0.24</v>
      </c>
      <c r="J3343" s="12">
        <f t="shared" si="523"/>
        <v>3.7616000000000014</v>
      </c>
      <c r="K3343" s="17" t="str">
        <f t="shared" si="528"/>
        <v>Ecart positif</v>
      </c>
      <c r="L3343" s="16">
        <f>base!X3343</f>
        <v>0</v>
      </c>
      <c r="M3343" s="11">
        <f t="shared" si="524"/>
        <v>0</v>
      </c>
      <c r="N3343" s="11">
        <f t="shared" si="525"/>
        <v>9.0191999999999997</v>
      </c>
      <c r="O3343" s="11">
        <f t="shared" si="526"/>
        <v>0.12</v>
      </c>
      <c r="P3343" s="12">
        <f t="shared" si="527"/>
        <v>-9.0191999999999997</v>
      </c>
      <c r="Q3343" s="17" t="str">
        <f t="shared" si="529"/>
        <v>Ecart négatif</v>
      </c>
    </row>
    <row r="3344" spans="1:18" x14ac:dyDescent="0.3">
      <c r="A3344" s="34" t="str">
        <f>base!J3344</f>
        <v>LS</v>
      </c>
      <c r="B3344" s="34" t="str">
        <f>base!V3344</f>
        <v>55000</v>
      </c>
      <c r="C3344" s="37">
        <v>25</v>
      </c>
      <c r="D3344" s="36">
        <f>base!H3344</f>
        <v>12</v>
      </c>
      <c r="E3344" s="44"/>
      <c r="F3344" s="16">
        <f>base!W3344</f>
        <v>3</v>
      </c>
      <c r="G3344" s="11">
        <f t="shared" si="520"/>
        <v>0.25</v>
      </c>
      <c r="H3344" s="11">
        <f t="shared" si="521"/>
        <v>2.88</v>
      </c>
      <c r="I3344" s="11">
        <f t="shared" si="522"/>
        <v>0.24</v>
      </c>
      <c r="J3344" s="12">
        <f t="shared" si="523"/>
        <v>0.12000000000000011</v>
      </c>
      <c r="K3344" s="17" t="str">
        <f t="shared" si="528"/>
        <v>Ecart positif</v>
      </c>
      <c r="L3344" s="16">
        <f>base!X3344</f>
        <v>0</v>
      </c>
      <c r="M3344" s="11">
        <f t="shared" si="524"/>
        <v>0</v>
      </c>
      <c r="N3344" s="11">
        <f t="shared" si="525"/>
        <v>1.44</v>
      </c>
      <c r="O3344" s="11">
        <f t="shared" si="526"/>
        <v>0.12</v>
      </c>
      <c r="P3344" s="12">
        <f t="shared" si="527"/>
        <v>-1.44</v>
      </c>
      <c r="Q3344" s="17" t="str">
        <f t="shared" si="529"/>
        <v>Ecart négatif</v>
      </c>
    </row>
    <row r="3345" spans="1:17" x14ac:dyDescent="0.3">
      <c r="A3345" s="34" t="str">
        <f>base!J3345</f>
        <v>LS</v>
      </c>
      <c r="B3345" s="34" t="str">
        <f>base!V3345</f>
        <v>34000</v>
      </c>
      <c r="C3345" s="37">
        <v>34</v>
      </c>
      <c r="D3345" s="36">
        <f>base!H3345</f>
        <v>60</v>
      </c>
      <c r="E3345" s="44"/>
      <c r="F3345" s="16">
        <f>base!W3345</f>
        <v>23.4</v>
      </c>
      <c r="G3345" s="11">
        <f t="shared" si="520"/>
        <v>0.38999999999999996</v>
      </c>
      <c r="H3345" s="11">
        <f t="shared" si="521"/>
        <v>23.400000000000002</v>
      </c>
      <c r="I3345" s="11">
        <f t="shared" si="522"/>
        <v>0.39</v>
      </c>
      <c r="J3345" s="12">
        <f t="shared" si="523"/>
        <v>0</v>
      </c>
      <c r="K3345" s="17" t="str">
        <f t="shared" si="528"/>
        <v>Pas d'écart</v>
      </c>
      <c r="L3345" s="16">
        <f>base!X3345</f>
        <v>0</v>
      </c>
      <c r="M3345" s="11">
        <f t="shared" si="524"/>
        <v>0</v>
      </c>
      <c r="N3345" s="11">
        <f t="shared" si="525"/>
        <v>16.8</v>
      </c>
      <c r="O3345" s="11">
        <f t="shared" si="526"/>
        <v>0.28000000000000003</v>
      </c>
      <c r="P3345" s="12">
        <f t="shared" si="527"/>
        <v>-16.8</v>
      </c>
      <c r="Q3345" s="17" t="str">
        <f t="shared" si="529"/>
        <v>Ecart négatif</v>
      </c>
    </row>
    <row r="3346" spans="1:17" x14ac:dyDescent="0.3">
      <c r="A3346" s="34" t="str">
        <f>base!J3346</f>
        <v>RM</v>
      </c>
      <c r="B3346" s="34" t="str">
        <f>base!V3346</f>
        <v>75008</v>
      </c>
      <c r="C3346" s="37">
        <v>75</v>
      </c>
      <c r="D3346" s="36">
        <f>base!H3346</f>
        <v>130</v>
      </c>
      <c r="E3346" s="44"/>
      <c r="F3346" s="16">
        <f>base!W3346</f>
        <v>0</v>
      </c>
      <c r="G3346" s="11">
        <f t="shared" si="520"/>
        <v>0</v>
      </c>
      <c r="H3346" s="11">
        <f t="shared" si="521"/>
        <v>0</v>
      </c>
      <c r="I3346" s="11">
        <f t="shared" si="522"/>
        <v>0</v>
      </c>
      <c r="J3346" s="12">
        <f t="shared" si="523"/>
        <v>0</v>
      </c>
      <c r="K3346" s="17" t="str">
        <f t="shared" si="528"/>
        <v>Pas d'écart</v>
      </c>
      <c r="L3346" s="16">
        <f>base!X3346</f>
        <v>0</v>
      </c>
      <c r="M3346" s="11">
        <f t="shared" si="524"/>
        <v>0</v>
      </c>
      <c r="N3346" s="11">
        <f t="shared" si="525"/>
        <v>0</v>
      </c>
      <c r="O3346" s="11">
        <f t="shared" si="526"/>
        <v>0</v>
      </c>
      <c r="P3346" s="12">
        <f t="shared" si="527"/>
        <v>0</v>
      </c>
      <c r="Q3346" s="17" t="str">
        <f t="shared" si="529"/>
        <v>Pas d'écart</v>
      </c>
    </row>
    <row r="3347" spans="1:17" x14ac:dyDescent="0.3">
      <c r="A3347" s="34">
        <f>base!J3347</f>
        <v>0</v>
      </c>
      <c r="B3347" s="34" t="str">
        <f>base!V3347</f>
        <v>44240</v>
      </c>
      <c r="C3347" s="37">
        <v>44</v>
      </c>
      <c r="D3347" s="36">
        <f>base!H3347</f>
        <v>22.8</v>
      </c>
      <c r="E3347" s="44"/>
      <c r="F3347" s="16">
        <f>base!W3347</f>
        <v>0</v>
      </c>
      <c r="G3347" s="11">
        <f t="shared" si="520"/>
        <v>0</v>
      </c>
      <c r="H3347" s="11">
        <f t="shared" si="521"/>
        <v>6.1560000000000006</v>
      </c>
      <c r="I3347" s="11">
        <f t="shared" si="522"/>
        <v>0.27</v>
      </c>
      <c r="J3347" s="12">
        <f t="shared" si="523"/>
        <v>-6.1560000000000006</v>
      </c>
      <c r="K3347" s="17" t="str">
        <f t="shared" si="528"/>
        <v>Ecart négatif</v>
      </c>
      <c r="L3347" s="16">
        <f>base!X3347</f>
        <v>0</v>
      </c>
      <c r="M3347" s="11">
        <f t="shared" si="524"/>
        <v>0</v>
      </c>
      <c r="N3347" s="11">
        <f t="shared" si="525"/>
        <v>0</v>
      </c>
      <c r="O3347" s="11">
        <f t="shared" si="526"/>
        <v>0</v>
      </c>
      <c r="P3347" s="12">
        <f t="shared" si="527"/>
        <v>0</v>
      </c>
      <c r="Q3347" s="17" t="str">
        <f t="shared" si="529"/>
        <v>Pas d'écart</v>
      </c>
    </row>
    <row r="3348" spans="1:17" x14ac:dyDescent="0.3">
      <c r="A3348" s="34" t="str">
        <f>base!J3348</f>
        <v>LS</v>
      </c>
      <c r="B3348" s="34" t="str">
        <f>base!V3348</f>
        <v>75019</v>
      </c>
      <c r="C3348" s="37">
        <v>75</v>
      </c>
      <c r="D3348" s="36">
        <f>base!H3348</f>
        <v>180</v>
      </c>
      <c r="E3348" s="44"/>
      <c r="F3348" s="16">
        <f>base!W3348</f>
        <v>0</v>
      </c>
      <c r="G3348" s="11">
        <f t="shared" si="520"/>
        <v>0</v>
      </c>
      <c r="H3348" s="11">
        <f t="shared" si="521"/>
        <v>0</v>
      </c>
      <c r="I3348" s="11">
        <f t="shared" si="522"/>
        <v>0</v>
      </c>
      <c r="J3348" s="12">
        <f t="shared" si="523"/>
        <v>0</v>
      </c>
      <c r="K3348" s="17" t="str">
        <f t="shared" si="528"/>
        <v>Pas d'écart</v>
      </c>
      <c r="L3348" s="16">
        <f>base!X3348</f>
        <v>0</v>
      </c>
      <c r="M3348" s="11">
        <f t="shared" si="524"/>
        <v>0</v>
      </c>
      <c r="N3348" s="11">
        <f t="shared" si="525"/>
        <v>0</v>
      </c>
      <c r="O3348" s="11">
        <f t="shared" si="526"/>
        <v>0</v>
      </c>
      <c r="P3348" s="12">
        <f t="shared" si="527"/>
        <v>0</v>
      </c>
      <c r="Q3348" s="17" t="str">
        <f t="shared" si="529"/>
        <v>Pas d'écart</v>
      </c>
    </row>
    <row r="3349" spans="1:17" x14ac:dyDescent="0.3">
      <c r="A3349" s="34">
        <f>base!J3349</f>
        <v>0</v>
      </c>
      <c r="B3349" s="34" t="str">
        <f>base!V3349</f>
        <v>77184</v>
      </c>
      <c r="C3349" s="37">
        <v>77</v>
      </c>
      <c r="D3349" s="36">
        <f>base!H3349</f>
        <v>84.5</v>
      </c>
      <c r="E3349" s="44"/>
      <c r="F3349" s="16">
        <f>base!W3349</f>
        <v>0</v>
      </c>
      <c r="G3349" s="11">
        <f t="shared" si="520"/>
        <v>0</v>
      </c>
      <c r="H3349" s="11">
        <f t="shared" si="521"/>
        <v>0</v>
      </c>
      <c r="I3349" s="11">
        <f t="shared" si="522"/>
        <v>0</v>
      </c>
      <c r="J3349" s="12">
        <f t="shared" si="523"/>
        <v>0</v>
      </c>
      <c r="K3349" s="17" t="str">
        <f t="shared" si="528"/>
        <v>Pas d'écart</v>
      </c>
      <c r="L3349" s="16">
        <f>base!X3349</f>
        <v>0</v>
      </c>
      <c r="M3349" s="11">
        <f t="shared" si="524"/>
        <v>0</v>
      </c>
      <c r="N3349" s="11">
        <f t="shared" si="525"/>
        <v>0</v>
      </c>
      <c r="O3349" s="11">
        <f t="shared" si="526"/>
        <v>0</v>
      </c>
      <c r="P3349" s="12">
        <f t="shared" si="527"/>
        <v>0</v>
      </c>
      <c r="Q3349" s="17" t="str">
        <f t="shared" si="529"/>
        <v>Pas d'écart</v>
      </c>
    </row>
    <row r="3350" spans="1:17" x14ac:dyDescent="0.3">
      <c r="A3350" s="34">
        <f>base!J3350</f>
        <v>0</v>
      </c>
      <c r="B3350" s="34" t="str">
        <f>base!V3350</f>
        <v>77184</v>
      </c>
      <c r="C3350" s="37">
        <v>77</v>
      </c>
      <c r="D3350" s="36">
        <f>base!H3350</f>
        <v>211.06</v>
      </c>
      <c r="E3350" s="44"/>
      <c r="F3350" s="16">
        <f>base!W3350</f>
        <v>0</v>
      </c>
      <c r="G3350" s="11">
        <f t="shared" si="520"/>
        <v>0</v>
      </c>
      <c r="H3350" s="11">
        <f t="shared" si="521"/>
        <v>0</v>
      </c>
      <c r="I3350" s="11">
        <f t="shared" si="522"/>
        <v>0</v>
      </c>
      <c r="J3350" s="12">
        <f t="shared" si="523"/>
        <v>0</v>
      </c>
      <c r="K3350" s="17" t="str">
        <f t="shared" si="528"/>
        <v>Pas d'écart</v>
      </c>
      <c r="L3350" s="16">
        <f>base!X3350</f>
        <v>0</v>
      </c>
      <c r="M3350" s="11">
        <f t="shared" si="524"/>
        <v>0</v>
      </c>
      <c r="N3350" s="11">
        <f t="shared" si="525"/>
        <v>0</v>
      </c>
      <c r="O3350" s="11">
        <f t="shared" si="526"/>
        <v>0</v>
      </c>
      <c r="P3350" s="12">
        <f t="shared" si="527"/>
        <v>0</v>
      </c>
      <c r="Q3350" s="17" t="str">
        <f t="shared" si="529"/>
        <v>Pas d'écart</v>
      </c>
    </row>
    <row r="3351" spans="1:17" x14ac:dyDescent="0.3">
      <c r="A3351" s="34">
        <f>base!J3351</f>
        <v>0</v>
      </c>
      <c r="B3351" s="34" t="str">
        <f>base!V3351</f>
        <v>77184</v>
      </c>
      <c r="C3351" s="37">
        <v>77</v>
      </c>
      <c r="D3351" s="36">
        <f>base!H3351</f>
        <v>156</v>
      </c>
      <c r="E3351" s="44"/>
      <c r="F3351" s="16">
        <f>base!W3351</f>
        <v>0</v>
      </c>
      <c r="G3351" s="11">
        <f t="shared" si="520"/>
        <v>0</v>
      </c>
      <c r="H3351" s="11">
        <f t="shared" si="521"/>
        <v>0</v>
      </c>
      <c r="I3351" s="11">
        <f t="shared" si="522"/>
        <v>0</v>
      </c>
      <c r="J3351" s="12">
        <f t="shared" si="523"/>
        <v>0</v>
      </c>
      <c r="K3351" s="17" t="str">
        <f t="shared" si="528"/>
        <v>Pas d'écart</v>
      </c>
      <c r="L3351" s="16">
        <f>base!X3351</f>
        <v>0</v>
      </c>
      <c r="M3351" s="11">
        <f t="shared" si="524"/>
        <v>0</v>
      </c>
      <c r="N3351" s="11">
        <f t="shared" si="525"/>
        <v>0</v>
      </c>
      <c r="O3351" s="11">
        <f t="shared" si="526"/>
        <v>0</v>
      </c>
      <c r="P3351" s="12">
        <f t="shared" si="527"/>
        <v>0</v>
      </c>
      <c r="Q3351" s="17" t="str">
        <f t="shared" si="529"/>
        <v>Pas d'écart</v>
      </c>
    </row>
    <row r="3352" spans="1:17" x14ac:dyDescent="0.3">
      <c r="A3352" s="34" t="str">
        <f>base!J3352</f>
        <v>RS</v>
      </c>
      <c r="B3352" s="34" t="str">
        <f>base!V3352</f>
        <v>85000</v>
      </c>
      <c r="C3352" s="37">
        <v>85</v>
      </c>
      <c r="D3352" s="36">
        <f>base!H3352</f>
        <v>138.33000000000001</v>
      </c>
      <c r="E3352" s="44"/>
      <c r="F3352" s="16">
        <f>base!W3352</f>
        <v>0</v>
      </c>
      <c r="G3352" s="11">
        <f t="shared" si="520"/>
        <v>0</v>
      </c>
      <c r="H3352" s="11">
        <f t="shared" si="521"/>
        <v>37.349100000000007</v>
      </c>
      <c r="I3352" s="11">
        <f t="shared" si="522"/>
        <v>0.27</v>
      </c>
      <c r="J3352" s="12">
        <f t="shared" si="523"/>
        <v>-37.349100000000007</v>
      </c>
      <c r="K3352" s="17" t="str">
        <f t="shared" si="528"/>
        <v>Ecart négatif</v>
      </c>
      <c r="L3352" s="16">
        <f>base!X3352</f>
        <v>0</v>
      </c>
      <c r="M3352" s="11">
        <f t="shared" si="524"/>
        <v>0</v>
      </c>
      <c r="N3352" s="11">
        <f t="shared" si="525"/>
        <v>0</v>
      </c>
      <c r="O3352" s="11">
        <f t="shared" si="526"/>
        <v>0</v>
      </c>
      <c r="P3352" s="12">
        <f t="shared" si="527"/>
        <v>0</v>
      </c>
      <c r="Q3352" s="17" t="str">
        <f t="shared" si="529"/>
        <v>Pas d'écart</v>
      </c>
    </row>
    <row r="3353" spans="1:17" x14ac:dyDescent="0.3">
      <c r="A3353" s="34">
        <f>base!J3353</f>
        <v>0</v>
      </c>
      <c r="B3353" s="34" t="str">
        <f>base!V3353</f>
        <v>77184</v>
      </c>
      <c r="C3353" s="37">
        <v>77</v>
      </c>
      <c r="D3353" s="36">
        <f>base!H3353</f>
        <v>118</v>
      </c>
      <c r="E3353" s="44"/>
      <c r="F3353" s="16">
        <f>base!W3353</f>
        <v>0</v>
      </c>
      <c r="G3353" s="11">
        <f t="shared" si="520"/>
        <v>0</v>
      </c>
      <c r="H3353" s="11">
        <f t="shared" si="521"/>
        <v>0</v>
      </c>
      <c r="I3353" s="11">
        <f t="shared" si="522"/>
        <v>0</v>
      </c>
      <c r="J3353" s="12">
        <f t="shared" si="523"/>
        <v>0</v>
      </c>
      <c r="K3353" s="17" t="str">
        <f t="shared" si="528"/>
        <v>Pas d'écart</v>
      </c>
      <c r="L3353" s="16">
        <f>base!X3353</f>
        <v>0</v>
      </c>
      <c r="M3353" s="11">
        <f t="shared" si="524"/>
        <v>0</v>
      </c>
      <c r="N3353" s="11">
        <f t="shared" si="525"/>
        <v>0</v>
      </c>
      <c r="O3353" s="11">
        <f t="shared" si="526"/>
        <v>0</v>
      </c>
      <c r="P3353" s="12">
        <f t="shared" si="527"/>
        <v>0</v>
      </c>
      <c r="Q3353" s="17" t="str">
        <f t="shared" si="529"/>
        <v>Pas d'écart</v>
      </c>
    </row>
    <row r="3354" spans="1:17" x14ac:dyDescent="0.3">
      <c r="A3354" s="34">
        <f>base!J3354</f>
        <v>0</v>
      </c>
      <c r="B3354" s="34" t="str">
        <f>base!V3354</f>
        <v>77184</v>
      </c>
      <c r="C3354" s="37">
        <v>77</v>
      </c>
      <c r="D3354" s="36">
        <f>base!H3354</f>
        <v>35</v>
      </c>
      <c r="E3354" s="44"/>
      <c r="F3354" s="16">
        <f>base!W3354</f>
        <v>0</v>
      </c>
      <c r="G3354" s="11">
        <f t="shared" si="520"/>
        <v>0</v>
      </c>
      <c r="H3354" s="11">
        <f t="shared" si="521"/>
        <v>0</v>
      </c>
      <c r="I3354" s="11">
        <f t="shared" si="522"/>
        <v>0</v>
      </c>
      <c r="J3354" s="12">
        <f t="shared" si="523"/>
        <v>0</v>
      </c>
      <c r="K3354" s="17" t="str">
        <f t="shared" si="528"/>
        <v>Pas d'écart</v>
      </c>
      <c r="L3354" s="16">
        <f>base!X3354</f>
        <v>0</v>
      </c>
      <c r="M3354" s="11">
        <f t="shared" si="524"/>
        <v>0</v>
      </c>
      <c r="N3354" s="11">
        <f t="shared" si="525"/>
        <v>0</v>
      </c>
      <c r="O3354" s="11">
        <f t="shared" si="526"/>
        <v>0</v>
      </c>
      <c r="P3354" s="12">
        <f t="shared" si="527"/>
        <v>0</v>
      </c>
      <c r="Q3354" s="17" t="str">
        <f t="shared" si="529"/>
        <v>Pas d'écart</v>
      </c>
    </row>
    <row r="3355" spans="1:17" x14ac:dyDescent="0.3">
      <c r="A3355" s="34" t="str">
        <f>base!J3355</f>
        <v>LM</v>
      </c>
      <c r="B3355" s="34" t="str">
        <f>base!V3355</f>
        <v>06190</v>
      </c>
      <c r="C3355" s="37">
        <v>25</v>
      </c>
      <c r="D3355" s="36">
        <f>base!H3355</f>
        <v>92</v>
      </c>
      <c r="E3355" s="44"/>
      <c r="F3355" s="16">
        <f>base!W3355</f>
        <v>27.6</v>
      </c>
      <c r="G3355" s="11">
        <f t="shared" si="520"/>
        <v>0.3</v>
      </c>
      <c r="H3355" s="11">
        <f t="shared" si="521"/>
        <v>22.08</v>
      </c>
      <c r="I3355" s="11">
        <f t="shared" si="522"/>
        <v>0.24</v>
      </c>
      <c r="J3355" s="12">
        <f t="shared" si="523"/>
        <v>5.5200000000000031</v>
      </c>
      <c r="K3355" s="17" t="str">
        <f t="shared" si="528"/>
        <v>Ecart positif</v>
      </c>
      <c r="L3355" s="16">
        <f>base!X3355</f>
        <v>0</v>
      </c>
      <c r="M3355" s="11">
        <f t="shared" si="524"/>
        <v>0</v>
      </c>
      <c r="N3355" s="11">
        <f t="shared" si="525"/>
        <v>11.04</v>
      </c>
      <c r="O3355" s="11">
        <f t="shared" si="526"/>
        <v>0.12</v>
      </c>
      <c r="P3355" s="12">
        <f t="shared" si="527"/>
        <v>-11.04</v>
      </c>
      <c r="Q3355" s="17" t="str">
        <f t="shared" si="529"/>
        <v>Ecart négatif</v>
      </c>
    </row>
    <row r="3356" spans="1:17" x14ac:dyDescent="0.3">
      <c r="A3356" s="34" t="str">
        <f>base!J3356</f>
        <v>RS</v>
      </c>
      <c r="B3356" s="34" t="str">
        <f>base!V3356</f>
        <v>06140</v>
      </c>
      <c r="C3356" s="37">
        <v>6</v>
      </c>
      <c r="D3356" s="36">
        <f>base!H3356</f>
        <v>40</v>
      </c>
      <c r="E3356" s="44"/>
      <c r="F3356" s="16">
        <f>base!W3356</f>
        <v>0</v>
      </c>
      <c r="G3356" s="11">
        <f t="shared" si="520"/>
        <v>0</v>
      </c>
      <c r="H3356" s="11">
        <f t="shared" si="521"/>
        <v>12</v>
      </c>
      <c r="I3356" s="11">
        <f t="shared" si="522"/>
        <v>0.3</v>
      </c>
      <c r="J3356" s="12">
        <f t="shared" si="523"/>
        <v>-12</v>
      </c>
      <c r="K3356" s="17" t="str">
        <f t="shared" si="528"/>
        <v>Ecart négatif</v>
      </c>
      <c r="L3356" s="16">
        <f>base!X3356</f>
        <v>0</v>
      </c>
      <c r="M3356" s="11">
        <f t="shared" si="524"/>
        <v>0</v>
      </c>
      <c r="N3356" s="11">
        <f t="shared" si="525"/>
        <v>8.4</v>
      </c>
      <c r="O3356" s="11">
        <f t="shared" si="526"/>
        <v>0.21000000000000002</v>
      </c>
      <c r="P3356" s="12">
        <f t="shared" si="527"/>
        <v>-8.4</v>
      </c>
      <c r="Q3356" s="17" t="str">
        <f t="shared" si="529"/>
        <v>Ecart négatif</v>
      </c>
    </row>
    <row r="3357" spans="1:17" x14ac:dyDescent="0.3">
      <c r="A3357" s="34" t="str">
        <f>base!J3357</f>
        <v>RM</v>
      </c>
      <c r="B3357" s="34" t="str">
        <f>base!V3357</f>
        <v>62170</v>
      </c>
      <c r="C3357" s="37">
        <v>62</v>
      </c>
      <c r="D3357" s="36">
        <f>base!H3357</f>
        <v>140</v>
      </c>
      <c r="E3357" s="44"/>
      <c r="F3357" s="16">
        <f>base!W3357</f>
        <v>0</v>
      </c>
      <c r="G3357" s="11">
        <f t="shared" si="520"/>
        <v>0</v>
      </c>
      <c r="H3357" s="11">
        <f t="shared" si="521"/>
        <v>26.6</v>
      </c>
      <c r="I3357" s="11">
        <f t="shared" si="522"/>
        <v>0.19</v>
      </c>
      <c r="J3357" s="12">
        <f t="shared" si="523"/>
        <v>-26.6</v>
      </c>
      <c r="K3357" s="17" t="str">
        <f t="shared" si="528"/>
        <v>Ecart négatif</v>
      </c>
      <c r="L3357" s="16">
        <f>base!X3357</f>
        <v>0</v>
      </c>
      <c r="M3357" s="11">
        <f t="shared" si="524"/>
        <v>0</v>
      </c>
      <c r="N3357" s="11">
        <f t="shared" si="525"/>
        <v>0</v>
      </c>
      <c r="O3357" s="11">
        <f t="shared" si="526"/>
        <v>0</v>
      </c>
      <c r="P3357" s="12">
        <f t="shared" si="527"/>
        <v>0</v>
      </c>
      <c r="Q3357" s="17" t="str">
        <f t="shared" si="529"/>
        <v>Pas d'écart</v>
      </c>
    </row>
    <row r="3358" spans="1:17" x14ac:dyDescent="0.3">
      <c r="A3358" s="34" t="str">
        <f>base!J3358</f>
        <v>LM</v>
      </c>
      <c r="B3358" s="34" t="str">
        <f>base!V3358</f>
        <v>34500</v>
      </c>
      <c r="C3358" s="37">
        <v>25</v>
      </c>
      <c r="D3358" s="36">
        <f>base!H3358</f>
        <v>143.51</v>
      </c>
      <c r="E3358" s="44"/>
      <c r="F3358" s="16">
        <f>base!W3358</f>
        <v>55.97</v>
      </c>
      <c r="G3358" s="11">
        <f t="shared" si="520"/>
        <v>0.39000766497108219</v>
      </c>
      <c r="H3358" s="11">
        <f t="shared" si="521"/>
        <v>34.442399999999999</v>
      </c>
      <c r="I3358" s="11">
        <f t="shared" si="522"/>
        <v>0.24000000000000002</v>
      </c>
      <c r="J3358" s="12">
        <f t="shared" si="523"/>
        <v>21.5276</v>
      </c>
      <c r="K3358" s="17" t="str">
        <f t="shared" si="528"/>
        <v>Ecart positif</v>
      </c>
      <c r="L3358" s="16">
        <f>base!X3358</f>
        <v>0</v>
      </c>
      <c r="M3358" s="11">
        <f t="shared" si="524"/>
        <v>0</v>
      </c>
      <c r="N3358" s="11">
        <f t="shared" si="525"/>
        <v>17.2212</v>
      </c>
      <c r="O3358" s="11">
        <f t="shared" si="526"/>
        <v>0.12000000000000001</v>
      </c>
      <c r="P3358" s="12">
        <f t="shared" si="527"/>
        <v>-17.2212</v>
      </c>
      <c r="Q3358" s="17" t="str">
        <f t="shared" si="529"/>
        <v>Ecart négatif</v>
      </c>
    </row>
    <row r="3359" spans="1:17" x14ac:dyDescent="0.3">
      <c r="A3359" s="34" t="str">
        <f>base!J3359</f>
        <v>LM</v>
      </c>
      <c r="B3359" s="34" t="str">
        <f>base!V3359</f>
        <v>34500</v>
      </c>
      <c r="C3359" s="37">
        <v>25</v>
      </c>
      <c r="D3359" s="36">
        <f>base!H3359</f>
        <v>149.79</v>
      </c>
      <c r="E3359" s="44"/>
      <c r="F3359" s="16">
        <f>base!W3359</f>
        <v>58.42</v>
      </c>
      <c r="G3359" s="11">
        <f t="shared" si="520"/>
        <v>0.39001268442486148</v>
      </c>
      <c r="H3359" s="11">
        <f t="shared" si="521"/>
        <v>35.949599999999997</v>
      </c>
      <c r="I3359" s="11">
        <f t="shared" si="522"/>
        <v>0.24</v>
      </c>
      <c r="J3359" s="12">
        <f t="shared" si="523"/>
        <v>22.470400000000005</v>
      </c>
      <c r="K3359" s="17" t="str">
        <f t="shared" si="528"/>
        <v>Ecart positif</v>
      </c>
      <c r="L3359" s="16">
        <f>base!X3359</f>
        <v>0</v>
      </c>
      <c r="M3359" s="11">
        <f t="shared" si="524"/>
        <v>0</v>
      </c>
      <c r="N3359" s="11">
        <f t="shared" si="525"/>
        <v>17.974799999999998</v>
      </c>
      <c r="O3359" s="11">
        <f t="shared" si="526"/>
        <v>0.12</v>
      </c>
      <c r="P3359" s="12">
        <f t="shared" si="527"/>
        <v>-17.974799999999998</v>
      </c>
      <c r="Q3359" s="17" t="str">
        <f t="shared" si="529"/>
        <v>Ecart négatif</v>
      </c>
    </row>
    <row r="3360" spans="1:17" x14ac:dyDescent="0.3">
      <c r="A3360" s="34" t="str">
        <f>base!J3360</f>
        <v>LM</v>
      </c>
      <c r="B3360" s="34" t="str">
        <f>base!V3360</f>
        <v>75014</v>
      </c>
      <c r="C3360" s="37">
        <v>75</v>
      </c>
      <c r="D3360" s="36">
        <f>base!H3360</f>
        <v>107.6</v>
      </c>
      <c r="E3360" s="44"/>
      <c r="F3360" s="16">
        <f>base!W3360</f>
        <v>0</v>
      </c>
      <c r="G3360" s="11">
        <f t="shared" si="520"/>
        <v>0</v>
      </c>
      <c r="H3360" s="11">
        <f t="shared" si="521"/>
        <v>0</v>
      </c>
      <c r="I3360" s="11">
        <f t="shared" si="522"/>
        <v>0</v>
      </c>
      <c r="J3360" s="12">
        <f t="shared" si="523"/>
        <v>0</v>
      </c>
      <c r="K3360" s="17" t="str">
        <f t="shared" si="528"/>
        <v>Pas d'écart</v>
      </c>
      <c r="L3360" s="16">
        <f>base!X3360</f>
        <v>0</v>
      </c>
      <c r="M3360" s="11">
        <f t="shared" si="524"/>
        <v>0</v>
      </c>
      <c r="N3360" s="11">
        <f t="shared" si="525"/>
        <v>0</v>
      </c>
      <c r="O3360" s="11">
        <f t="shared" si="526"/>
        <v>0</v>
      </c>
      <c r="P3360" s="12">
        <f t="shared" si="527"/>
        <v>0</v>
      </c>
      <c r="Q3360" s="17" t="str">
        <f t="shared" si="529"/>
        <v>Pas d'écart</v>
      </c>
    </row>
    <row r="3361" spans="1:18" x14ac:dyDescent="0.3">
      <c r="A3361" s="34" t="str">
        <f>base!J3361</f>
        <v>LM</v>
      </c>
      <c r="B3361" s="34" t="str">
        <f>base!V3361</f>
        <v>75014</v>
      </c>
      <c r="C3361" s="37">
        <v>75</v>
      </c>
      <c r="D3361" s="36">
        <f>base!H3361</f>
        <v>107.6</v>
      </c>
      <c r="E3361" s="44"/>
      <c r="F3361" s="16">
        <f>base!W3361</f>
        <v>0</v>
      </c>
      <c r="G3361" s="11">
        <f t="shared" si="520"/>
        <v>0</v>
      </c>
      <c r="H3361" s="11">
        <f t="shared" si="521"/>
        <v>0</v>
      </c>
      <c r="I3361" s="11">
        <f t="shared" si="522"/>
        <v>0</v>
      </c>
      <c r="J3361" s="12">
        <f t="shared" si="523"/>
        <v>0</v>
      </c>
      <c r="K3361" s="17" t="str">
        <f t="shared" si="528"/>
        <v>Pas d'écart</v>
      </c>
      <c r="L3361" s="16">
        <f>base!X3361</f>
        <v>0</v>
      </c>
      <c r="M3361" s="11">
        <f t="shared" si="524"/>
        <v>0</v>
      </c>
      <c r="N3361" s="11">
        <f t="shared" si="525"/>
        <v>0</v>
      </c>
      <c r="O3361" s="11">
        <f t="shared" si="526"/>
        <v>0</v>
      </c>
      <c r="P3361" s="12">
        <f t="shared" si="527"/>
        <v>0</v>
      </c>
      <c r="Q3361" s="17" t="str">
        <f t="shared" si="529"/>
        <v>Pas d'écart</v>
      </c>
    </row>
    <row r="3362" spans="1:18" x14ac:dyDescent="0.3">
      <c r="A3362" s="34" t="str">
        <f>base!J3362</f>
        <v>LM</v>
      </c>
      <c r="B3362" s="34" t="str">
        <f>base!V3362</f>
        <v>69800</v>
      </c>
      <c r="C3362" s="37">
        <v>25</v>
      </c>
      <c r="D3362" s="36">
        <f>base!H3362</f>
        <v>136.97999999999999</v>
      </c>
      <c r="E3362" s="44"/>
      <c r="F3362" s="16">
        <f>base!W3362</f>
        <v>36.979999999999997</v>
      </c>
      <c r="G3362" s="11">
        <f t="shared" si="520"/>
        <v>0.26996641845524894</v>
      </c>
      <c r="H3362" s="11">
        <f t="shared" si="521"/>
        <v>32.8752</v>
      </c>
      <c r="I3362" s="11">
        <f t="shared" si="522"/>
        <v>0.24000000000000002</v>
      </c>
      <c r="J3362" s="12">
        <f t="shared" si="523"/>
        <v>4.1047999999999973</v>
      </c>
      <c r="K3362" s="17" t="str">
        <f t="shared" si="528"/>
        <v>Ecart positif</v>
      </c>
      <c r="L3362" s="16">
        <f>base!X3362</f>
        <v>0</v>
      </c>
      <c r="M3362" s="11">
        <f t="shared" si="524"/>
        <v>0</v>
      </c>
      <c r="N3362" s="11">
        <f t="shared" si="525"/>
        <v>16.4376</v>
      </c>
      <c r="O3362" s="11">
        <f t="shared" si="526"/>
        <v>0.12000000000000001</v>
      </c>
      <c r="P3362" s="12">
        <f t="shared" si="527"/>
        <v>-16.4376</v>
      </c>
      <c r="Q3362" s="17" t="str">
        <f t="shared" si="529"/>
        <v>Ecart négatif</v>
      </c>
    </row>
    <row r="3363" spans="1:18" x14ac:dyDescent="0.3">
      <c r="A3363" s="34" t="str">
        <f>base!J3363</f>
        <v>DLS</v>
      </c>
      <c r="B3363" s="34" t="str">
        <f>base!V3363</f>
        <v>35220</v>
      </c>
      <c r="C3363" s="37">
        <v>35</v>
      </c>
      <c r="D3363" s="36">
        <f>base!H3363</f>
        <v>188.26</v>
      </c>
      <c r="E3363" s="44"/>
      <c r="F3363" s="16">
        <f>base!W3363</f>
        <v>0</v>
      </c>
      <c r="G3363" s="11">
        <f t="shared" si="520"/>
        <v>0</v>
      </c>
      <c r="H3363" s="11">
        <f t="shared" si="521"/>
        <v>50.830199999999998</v>
      </c>
      <c r="I3363" s="11">
        <f t="shared" si="522"/>
        <v>0.27</v>
      </c>
      <c r="J3363" s="12">
        <f t="shared" si="523"/>
        <v>-50.830199999999998</v>
      </c>
      <c r="K3363" s="17" t="str">
        <f t="shared" si="528"/>
        <v>Ecart négatif</v>
      </c>
      <c r="L3363" s="16">
        <f>base!X3363</f>
        <v>0</v>
      </c>
      <c r="M3363" s="11">
        <f t="shared" si="524"/>
        <v>0</v>
      </c>
      <c r="N3363" s="11">
        <f t="shared" si="525"/>
        <v>0</v>
      </c>
      <c r="O3363" s="11">
        <f t="shared" si="526"/>
        <v>0</v>
      </c>
      <c r="P3363" s="12">
        <f t="shared" si="527"/>
        <v>0</v>
      </c>
      <c r="Q3363" s="17" t="str">
        <f t="shared" si="529"/>
        <v>Pas d'écart</v>
      </c>
    </row>
    <row r="3364" spans="1:18" x14ac:dyDescent="0.3">
      <c r="A3364" s="34" t="str">
        <f>base!J3364</f>
        <v>LS</v>
      </c>
      <c r="B3364" s="34" t="str">
        <f>base!V3364</f>
        <v>94150</v>
      </c>
      <c r="C3364" s="37">
        <v>94</v>
      </c>
      <c r="D3364" s="36">
        <f>base!H3364</f>
        <v>0</v>
      </c>
      <c r="E3364" s="44"/>
      <c r="F3364" s="16">
        <f>base!W3364</f>
        <v>0</v>
      </c>
      <c r="G3364" s="11" t="e">
        <f t="shared" si="520"/>
        <v>#DIV/0!</v>
      </c>
      <c r="H3364" s="11">
        <f t="shared" si="521"/>
        <v>0</v>
      </c>
      <c r="I3364" s="11" t="e">
        <f t="shared" si="522"/>
        <v>#DIV/0!</v>
      </c>
      <c r="J3364" s="12">
        <f t="shared" si="523"/>
        <v>0</v>
      </c>
      <c r="K3364" s="17" t="str">
        <f t="shared" si="528"/>
        <v>Pas d'écart</v>
      </c>
      <c r="L3364" s="16">
        <f>base!X3364</f>
        <v>0</v>
      </c>
      <c r="M3364" s="11" t="e">
        <f t="shared" si="524"/>
        <v>#DIV/0!</v>
      </c>
      <c r="N3364" s="11">
        <f t="shared" si="525"/>
        <v>0</v>
      </c>
      <c r="O3364" s="11" t="e">
        <f t="shared" si="526"/>
        <v>#DIV/0!</v>
      </c>
      <c r="P3364" s="12">
        <f t="shared" si="527"/>
        <v>0</v>
      </c>
      <c r="Q3364" s="17" t="str">
        <f t="shared" si="529"/>
        <v>Pas d'écart</v>
      </c>
    </row>
    <row r="3365" spans="1:18" x14ac:dyDescent="0.3">
      <c r="A3365" s="34" t="str">
        <f>base!J3365</f>
        <v>DLM</v>
      </c>
      <c r="B3365" s="34" t="str">
        <f>base!V3365</f>
        <v>44800</v>
      </c>
      <c r="C3365" s="37">
        <v>44</v>
      </c>
      <c r="D3365" s="36">
        <f>base!H3365</f>
        <v>114.06</v>
      </c>
      <c r="E3365" s="44"/>
      <c r="F3365" s="16">
        <f>base!W3365</f>
        <v>0</v>
      </c>
      <c r="G3365" s="11">
        <f t="shared" si="520"/>
        <v>0</v>
      </c>
      <c r="H3365" s="11">
        <f t="shared" si="521"/>
        <v>30.796200000000002</v>
      </c>
      <c r="I3365" s="11">
        <f t="shared" si="522"/>
        <v>0.27</v>
      </c>
      <c r="J3365" s="12">
        <f t="shared" si="523"/>
        <v>-30.796200000000002</v>
      </c>
      <c r="K3365" s="17" t="str">
        <f t="shared" si="528"/>
        <v>Ecart négatif</v>
      </c>
      <c r="L3365" s="16">
        <f>base!X3365</f>
        <v>0</v>
      </c>
      <c r="M3365" s="11">
        <f t="shared" si="524"/>
        <v>0</v>
      </c>
      <c r="N3365" s="11">
        <f t="shared" si="525"/>
        <v>0</v>
      </c>
      <c r="O3365" s="11">
        <f t="shared" si="526"/>
        <v>0</v>
      </c>
      <c r="P3365" s="12">
        <f t="shared" si="527"/>
        <v>0</v>
      </c>
      <c r="Q3365" s="17" t="str">
        <f t="shared" si="529"/>
        <v>Pas d'écart</v>
      </c>
    </row>
    <row r="3366" spans="1:18" x14ac:dyDescent="0.3">
      <c r="A3366" s="34" t="str">
        <f>base!J3366</f>
        <v>DRM</v>
      </c>
      <c r="B3366" s="34" t="str">
        <f>base!V3366</f>
        <v>44700</v>
      </c>
      <c r="C3366" s="37">
        <v>44</v>
      </c>
      <c r="D3366" s="36">
        <f>base!H3366</f>
        <v>181</v>
      </c>
      <c r="E3366" s="44"/>
      <c r="F3366" s="16">
        <f>base!W3366</f>
        <v>0</v>
      </c>
      <c r="G3366" s="11">
        <f t="shared" si="520"/>
        <v>0</v>
      </c>
      <c r="H3366" s="11">
        <f t="shared" si="521"/>
        <v>48.870000000000005</v>
      </c>
      <c r="I3366" s="11">
        <f t="shared" si="522"/>
        <v>0.27</v>
      </c>
      <c r="J3366" s="12">
        <f t="shared" si="523"/>
        <v>-48.870000000000005</v>
      </c>
      <c r="K3366" s="17" t="str">
        <f t="shared" si="528"/>
        <v>Ecart négatif</v>
      </c>
      <c r="L3366" s="16">
        <f>base!X3366</f>
        <v>0</v>
      </c>
      <c r="M3366" s="11">
        <f t="shared" si="524"/>
        <v>0</v>
      </c>
      <c r="N3366" s="11">
        <f t="shared" si="525"/>
        <v>0</v>
      </c>
      <c r="O3366" s="11">
        <f t="shared" si="526"/>
        <v>0</v>
      </c>
      <c r="P3366" s="12">
        <f t="shared" si="527"/>
        <v>0</v>
      </c>
      <c r="Q3366" s="17" t="str">
        <f t="shared" si="529"/>
        <v>Pas d'écart</v>
      </c>
    </row>
    <row r="3367" spans="1:18" x14ac:dyDescent="0.3">
      <c r="A3367" s="34" t="str">
        <f>base!J3367</f>
        <v>RS</v>
      </c>
      <c r="B3367" s="34" t="str">
        <f>base!V3367</f>
        <v>75001</v>
      </c>
      <c r="C3367" s="37">
        <v>75</v>
      </c>
      <c r="D3367" s="36">
        <f>base!H3367</f>
        <v>400</v>
      </c>
      <c r="E3367" s="44"/>
      <c r="F3367" s="16">
        <f>base!W3367</f>
        <v>0</v>
      </c>
      <c r="G3367" s="11">
        <f t="shared" si="520"/>
        <v>0</v>
      </c>
      <c r="H3367" s="11">
        <f t="shared" si="521"/>
        <v>0</v>
      </c>
      <c r="I3367" s="11">
        <f t="shared" si="522"/>
        <v>0</v>
      </c>
      <c r="J3367" s="12">
        <f t="shared" si="523"/>
        <v>0</v>
      </c>
      <c r="K3367" s="17" t="str">
        <f t="shared" si="528"/>
        <v>Pas d'écart</v>
      </c>
      <c r="L3367" s="16">
        <f>base!X3367</f>
        <v>0</v>
      </c>
      <c r="M3367" s="11">
        <f t="shared" si="524"/>
        <v>0</v>
      </c>
      <c r="N3367" s="11">
        <f t="shared" si="525"/>
        <v>0</v>
      </c>
      <c r="O3367" s="11">
        <f t="shared" si="526"/>
        <v>0</v>
      </c>
      <c r="P3367" s="12">
        <f t="shared" si="527"/>
        <v>0</v>
      </c>
      <c r="Q3367" s="17" t="str">
        <f t="shared" si="529"/>
        <v>Pas d'écart</v>
      </c>
    </row>
    <row r="3368" spans="1:18" x14ac:dyDescent="0.3">
      <c r="A3368" s="34" t="str">
        <f>base!J3368</f>
        <v>LM</v>
      </c>
      <c r="B3368" s="34" t="str">
        <f>base!V3368</f>
        <v>67000</v>
      </c>
      <c r="C3368" s="37">
        <v>25</v>
      </c>
      <c r="D3368" s="36">
        <f>base!H3368</f>
        <v>32.450000000000003</v>
      </c>
      <c r="E3368" s="44"/>
      <c r="F3368" s="16">
        <f>base!W3368</f>
        <v>9.41</v>
      </c>
      <c r="G3368" s="11">
        <f t="shared" si="520"/>
        <v>0.28998459167950691</v>
      </c>
      <c r="H3368" s="11">
        <f t="shared" si="521"/>
        <v>7.7880000000000003</v>
      </c>
      <c r="I3368" s="11">
        <f t="shared" si="522"/>
        <v>0.24</v>
      </c>
      <c r="J3368" s="12">
        <f t="shared" si="523"/>
        <v>1.6219999999999999</v>
      </c>
      <c r="K3368" s="17" t="str">
        <f t="shared" si="528"/>
        <v>Ecart positif</v>
      </c>
      <c r="L3368" s="16">
        <f>base!X3368</f>
        <v>0</v>
      </c>
      <c r="M3368" s="11">
        <f t="shared" si="524"/>
        <v>0</v>
      </c>
      <c r="N3368" s="11">
        <f t="shared" si="525"/>
        <v>3.8940000000000001</v>
      </c>
      <c r="O3368" s="11">
        <f t="shared" si="526"/>
        <v>0.12</v>
      </c>
      <c r="P3368" s="12">
        <f t="shared" si="527"/>
        <v>-3.8940000000000001</v>
      </c>
      <c r="Q3368" s="17" t="str">
        <f t="shared" si="529"/>
        <v>Ecart négatif</v>
      </c>
    </row>
    <row r="3369" spans="1:18" x14ac:dyDescent="0.3">
      <c r="A3369" s="34" t="str">
        <f>base!J3369</f>
        <v>RS</v>
      </c>
      <c r="B3369" s="34" t="str">
        <f>base!V3369</f>
        <v>13008</v>
      </c>
      <c r="C3369" s="37">
        <v>13</v>
      </c>
      <c r="D3369" s="36">
        <f>base!H3369</f>
        <v>20</v>
      </c>
      <c r="E3369" s="44"/>
      <c r="F3369" s="16">
        <f>base!W3369</f>
        <v>0</v>
      </c>
      <c r="G3369" s="11">
        <f t="shared" si="520"/>
        <v>0</v>
      </c>
      <c r="H3369" s="11">
        <f t="shared" si="521"/>
        <v>5.8</v>
      </c>
      <c r="I3369" s="11">
        <f t="shared" si="522"/>
        <v>0.28999999999999998</v>
      </c>
      <c r="J3369" s="12">
        <f t="shared" si="523"/>
        <v>-5.8</v>
      </c>
      <c r="K3369" s="17" t="str">
        <f t="shared" si="528"/>
        <v>Ecart négatif</v>
      </c>
      <c r="L3369" s="16">
        <f>base!X3369</f>
        <v>5.8</v>
      </c>
      <c r="M3369" s="11">
        <f t="shared" si="524"/>
        <v>0.28999999999999998</v>
      </c>
      <c r="N3369" s="11">
        <f t="shared" si="525"/>
        <v>3.8</v>
      </c>
      <c r="O3369" s="11">
        <f t="shared" si="526"/>
        <v>0.19</v>
      </c>
      <c r="P3369" s="12">
        <f t="shared" si="527"/>
        <v>2</v>
      </c>
      <c r="Q3369" s="17" t="str">
        <f t="shared" si="529"/>
        <v>Ecart positif</v>
      </c>
    </row>
    <row r="3370" spans="1:18" x14ac:dyDescent="0.3">
      <c r="A3370" s="34">
        <f>base!J3370</f>
        <v>0</v>
      </c>
      <c r="B3370" s="34" t="str">
        <f>base!V3370</f>
        <v>77184</v>
      </c>
      <c r="C3370" s="37">
        <v>77</v>
      </c>
      <c r="D3370" s="36">
        <f>base!H3370</f>
        <v>201</v>
      </c>
      <c r="E3370" s="44"/>
      <c r="F3370" s="16">
        <f>base!W3370</f>
        <v>0</v>
      </c>
      <c r="G3370" s="11">
        <f t="shared" si="520"/>
        <v>0</v>
      </c>
      <c r="H3370" s="11">
        <f t="shared" si="521"/>
        <v>0</v>
      </c>
      <c r="I3370" s="11">
        <f t="shared" si="522"/>
        <v>0</v>
      </c>
      <c r="J3370" s="12">
        <f t="shared" si="523"/>
        <v>0</v>
      </c>
      <c r="K3370" s="17" t="str">
        <f t="shared" si="528"/>
        <v>Pas d'écart</v>
      </c>
      <c r="L3370" s="16">
        <f>base!X3370</f>
        <v>0</v>
      </c>
      <c r="M3370" s="11">
        <f t="shared" si="524"/>
        <v>0</v>
      </c>
      <c r="N3370" s="11">
        <f t="shared" si="525"/>
        <v>0</v>
      </c>
      <c r="O3370" s="11">
        <f t="shared" si="526"/>
        <v>0</v>
      </c>
      <c r="P3370" s="12">
        <f t="shared" si="527"/>
        <v>0</v>
      </c>
      <c r="Q3370" s="17" t="str">
        <f t="shared" si="529"/>
        <v>Pas d'écart</v>
      </c>
    </row>
    <row r="3371" spans="1:18" x14ac:dyDescent="0.3">
      <c r="A3371" s="34">
        <f>base!J3371</f>
        <v>0</v>
      </c>
      <c r="B3371" s="34" t="str">
        <f>base!V3371</f>
        <v>77184</v>
      </c>
      <c r="C3371" s="37">
        <v>77</v>
      </c>
      <c r="D3371" s="36">
        <f>base!H3371</f>
        <v>157</v>
      </c>
      <c r="E3371" s="44"/>
      <c r="F3371" s="16">
        <f>base!W3371</f>
        <v>0</v>
      </c>
      <c r="G3371" s="11">
        <f t="shared" si="520"/>
        <v>0</v>
      </c>
      <c r="H3371" s="11">
        <f t="shared" si="521"/>
        <v>0</v>
      </c>
      <c r="I3371" s="11">
        <f t="shared" si="522"/>
        <v>0</v>
      </c>
      <c r="J3371" s="12">
        <f t="shared" si="523"/>
        <v>0</v>
      </c>
      <c r="K3371" s="17" t="str">
        <f t="shared" si="528"/>
        <v>Pas d'écart</v>
      </c>
      <c r="L3371" s="16">
        <f>base!X3371</f>
        <v>0</v>
      </c>
      <c r="M3371" s="11">
        <f t="shared" si="524"/>
        <v>0</v>
      </c>
      <c r="N3371" s="11">
        <f t="shared" si="525"/>
        <v>0</v>
      </c>
      <c r="O3371" s="11">
        <f t="shared" si="526"/>
        <v>0</v>
      </c>
      <c r="P3371" s="12">
        <f t="shared" si="527"/>
        <v>0</v>
      </c>
      <c r="Q3371" s="17" t="str">
        <f t="shared" si="529"/>
        <v>Pas d'écart</v>
      </c>
    </row>
    <row r="3372" spans="1:18" x14ac:dyDescent="0.3">
      <c r="A3372" s="34" t="str">
        <f>base!J3372</f>
        <v>LS</v>
      </c>
      <c r="B3372" s="34" t="str">
        <f>base!V3372</f>
        <v>73400</v>
      </c>
      <c r="C3372" s="37">
        <v>25</v>
      </c>
      <c r="D3372" s="36">
        <f>base!H3372</f>
        <v>22.62</v>
      </c>
      <c r="E3372" s="44"/>
      <c r="F3372" s="16">
        <f>base!W3372</f>
        <v>6.11</v>
      </c>
      <c r="G3372" s="11">
        <f t="shared" si="520"/>
        <v>0.27011494252873564</v>
      </c>
      <c r="H3372" s="11">
        <f t="shared" si="521"/>
        <v>5.4287999999999998</v>
      </c>
      <c r="I3372" s="11">
        <f t="shared" si="522"/>
        <v>0.24</v>
      </c>
      <c r="J3372" s="12">
        <f t="shared" si="523"/>
        <v>0.68120000000000047</v>
      </c>
      <c r="K3372" s="17" t="str">
        <f t="shared" si="528"/>
        <v>Ecart positif</v>
      </c>
      <c r="L3372" s="16">
        <f>base!X3372</f>
        <v>0</v>
      </c>
      <c r="M3372" s="11">
        <f t="shared" si="524"/>
        <v>0</v>
      </c>
      <c r="N3372" s="11">
        <f t="shared" si="525"/>
        <v>2.7143999999999999</v>
      </c>
      <c r="O3372" s="11">
        <f t="shared" si="526"/>
        <v>0.12</v>
      </c>
      <c r="P3372" s="12">
        <f t="shared" si="527"/>
        <v>-2.7143999999999999</v>
      </c>
      <c r="Q3372" s="17" t="str">
        <f t="shared" si="529"/>
        <v>Ecart négatif</v>
      </c>
    </row>
    <row r="3373" spans="1:18" x14ac:dyDescent="0.3">
      <c r="A3373" s="34" t="str">
        <f>base!J3373</f>
        <v>RM</v>
      </c>
      <c r="B3373" s="34" t="str">
        <f>base!V3373</f>
        <v>45000</v>
      </c>
      <c r="C3373" s="37">
        <v>45</v>
      </c>
      <c r="D3373" s="36">
        <f>base!H3373</f>
        <v>26.6</v>
      </c>
      <c r="E3373" s="44"/>
      <c r="F3373" s="16">
        <f>base!W3373</f>
        <v>0</v>
      </c>
      <c r="G3373" s="11">
        <f t="shared" si="520"/>
        <v>0</v>
      </c>
      <c r="H3373" s="11">
        <f t="shared" si="521"/>
        <v>5.5860000000000003</v>
      </c>
      <c r="I3373" s="11">
        <f t="shared" si="522"/>
        <v>0.21</v>
      </c>
      <c r="J3373" s="12">
        <f t="shared" si="523"/>
        <v>-5.5860000000000003</v>
      </c>
      <c r="K3373" s="17" t="str">
        <f t="shared" si="528"/>
        <v>Ecart négatif</v>
      </c>
      <c r="L3373" s="16">
        <f>base!X3373</f>
        <v>0</v>
      </c>
      <c r="M3373" s="11">
        <f t="shared" si="524"/>
        <v>0</v>
      </c>
      <c r="N3373" s="11">
        <f t="shared" si="525"/>
        <v>3.1920000000000002</v>
      </c>
      <c r="O3373" s="11">
        <f t="shared" si="526"/>
        <v>0.12</v>
      </c>
      <c r="P3373" s="12">
        <f t="shared" si="527"/>
        <v>-3.1920000000000002</v>
      </c>
      <c r="Q3373" s="17" t="str">
        <f t="shared" si="529"/>
        <v>Ecart négatif</v>
      </c>
    </row>
    <row r="3374" spans="1:18" x14ac:dyDescent="0.3">
      <c r="A3374" s="34" t="str">
        <f>base!J3374</f>
        <v>RS</v>
      </c>
      <c r="B3374" s="34" t="str">
        <f>base!V3374</f>
        <v>76600</v>
      </c>
      <c r="C3374" s="37">
        <v>76</v>
      </c>
      <c r="D3374" s="36">
        <f>base!H3374</f>
        <v>200.8</v>
      </c>
      <c r="E3374" s="44"/>
      <c r="F3374" s="16">
        <f>base!W3374</f>
        <v>0</v>
      </c>
      <c r="G3374" s="11">
        <f t="shared" si="520"/>
        <v>0</v>
      </c>
      <c r="H3374" s="11">
        <f t="shared" si="521"/>
        <v>34.136000000000003</v>
      </c>
      <c r="I3374" s="11">
        <f t="shared" si="522"/>
        <v>0.17</v>
      </c>
      <c r="J3374" s="12">
        <f t="shared" si="523"/>
        <v>-34.136000000000003</v>
      </c>
      <c r="K3374" s="17" t="str">
        <f t="shared" si="528"/>
        <v>Ecart négatif</v>
      </c>
      <c r="L3374" s="16">
        <f>base!X3374</f>
        <v>34.14</v>
      </c>
      <c r="M3374" s="11">
        <f t="shared" si="524"/>
        <v>0.17001992031872509</v>
      </c>
      <c r="N3374" s="11">
        <f t="shared" si="525"/>
        <v>34.136000000000003</v>
      </c>
      <c r="O3374" s="11">
        <f t="shared" si="526"/>
        <v>0.17</v>
      </c>
      <c r="P3374" s="12">
        <f t="shared" si="527"/>
        <v>3.9999999999977831E-3</v>
      </c>
      <c r="Q3374" s="17" t="str">
        <f t="shared" si="529"/>
        <v>Ecart positif</v>
      </c>
      <c r="R3374" s="38"/>
    </row>
    <row r="3375" spans="1:18" x14ac:dyDescent="0.3">
      <c r="A3375" s="34" t="str">
        <f>base!J3375</f>
        <v>DLS</v>
      </c>
      <c r="B3375" s="34" t="str">
        <f>base!V3375</f>
        <v>35510</v>
      </c>
      <c r="C3375" s="37">
        <v>35</v>
      </c>
      <c r="D3375" s="36">
        <f>base!H3375</f>
        <v>55</v>
      </c>
      <c r="E3375" s="44"/>
      <c r="F3375" s="16">
        <f>base!W3375</f>
        <v>14.85</v>
      </c>
      <c r="G3375" s="11">
        <f t="shared" si="520"/>
        <v>0.27</v>
      </c>
      <c r="H3375" s="11">
        <f t="shared" si="521"/>
        <v>14.850000000000001</v>
      </c>
      <c r="I3375" s="11">
        <f t="shared" si="522"/>
        <v>0.27</v>
      </c>
      <c r="J3375" s="12">
        <f t="shared" si="523"/>
        <v>0</v>
      </c>
      <c r="K3375" s="17" t="str">
        <f t="shared" si="528"/>
        <v>Pas d'écart</v>
      </c>
      <c r="L3375" s="16">
        <f>base!X3375</f>
        <v>0</v>
      </c>
      <c r="M3375" s="11">
        <f t="shared" si="524"/>
        <v>0</v>
      </c>
      <c r="N3375" s="11">
        <f t="shared" si="525"/>
        <v>0</v>
      </c>
      <c r="O3375" s="11">
        <f t="shared" si="526"/>
        <v>0</v>
      </c>
      <c r="P3375" s="12">
        <f t="shared" si="527"/>
        <v>0</v>
      </c>
      <c r="Q3375" s="17" t="str">
        <f t="shared" si="529"/>
        <v>Pas d'écart</v>
      </c>
    </row>
    <row r="3376" spans="1:18" x14ac:dyDescent="0.3">
      <c r="A3376" s="34">
        <f>base!J3376</f>
        <v>0</v>
      </c>
      <c r="B3376" s="34" t="str">
        <f>base!V3376</f>
        <v>77184</v>
      </c>
      <c r="C3376" s="37">
        <v>77</v>
      </c>
      <c r="D3376" s="36">
        <f>base!H3376</f>
        <v>26.6</v>
      </c>
      <c r="E3376" s="44"/>
      <c r="F3376" s="16">
        <f>base!W3376</f>
        <v>0</v>
      </c>
      <c r="G3376" s="11">
        <f t="shared" si="520"/>
        <v>0</v>
      </c>
      <c r="H3376" s="11">
        <f t="shared" si="521"/>
        <v>0</v>
      </c>
      <c r="I3376" s="11">
        <f t="shared" si="522"/>
        <v>0</v>
      </c>
      <c r="J3376" s="12">
        <f t="shared" si="523"/>
        <v>0</v>
      </c>
      <c r="K3376" s="17" t="str">
        <f t="shared" si="528"/>
        <v>Pas d'écart</v>
      </c>
      <c r="L3376" s="16">
        <f>base!X3376</f>
        <v>0</v>
      </c>
      <c r="M3376" s="11">
        <f t="shared" si="524"/>
        <v>0</v>
      </c>
      <c r="N3376" s="11">
        <f t="shared" si="525"/>
        <v>0</v>
      </c>
      <c r="O3376" s="11">
        <f t="shared" si="526"/>
        <v>0</v>
      </c>
      <c r="P3376" s="12">
        <f t="shared" si="527"/>
        <v>0</v>
      </c>
      <c r="Q3376" s="17" t="str">
        <f t="shared" si="529"/>
        <v>Pas d'écart</v>
      </c>
    </row>
    <row r="3377" spans="1:18" x14ac:dyDescent="0.3">
      <c r="A3377" s="34" t="str">
        <f>base!J3377</f>
        <v>DLS</v>
      </c>
      <c r="B3377" s="34" t="str">
        <f>base!V3377</f>
        <v>22000</v>
      </c>
      <c r="C3377" s="37">
        <v>22</v>
      </c>
      <c r="D3377" s="36">
        <f>base!H3377</f>
        <v>147.46</v>
      </c>
      <c r="E3377" s="44"/>
      <c r="F3377" s="16">
        <f>base!W3377</f>
        <v>0</v>
      </c>
      <c r="G3377" s="11">
        <f t="shared" si="520"/>
        <v>0</v>
      </c>
      <c r="H3377" s="11">
        <f t="shared" si="521"/>
        <v>56.034800000000004</v>
      </c>
      <c r="I3377" s="11">
        <f t="shared" si="522"/>
        <v>0.38</v>
      </c>
      <c r="J3377" s="12">
        <f t="shared" si="523"/>
        <v>-56.034800000000004</v>
      </c>
      <c r="K3377" s="17" t="str">
        <f t="shared" si="528"/>
        <v>Ecart négatif</v>
      </c>
      <c r="L3377" s="16">
        <f>base!X3377</f>
        <v>0</v>
      </c>
      <c r="M3377" s="11">
        <f t="shared" si="524"/>
        <v>0</v>
      </c>
      <c r="N3377" s="11">
        <f t="shared" si="525"/>
        <v>17.6952</v>
      </c>
      <c r="O3377" s="11">
        <f t="shared" si="526"/>
        <v>0.12</v>
      </c>
      <c r="P3377" s="12">
        <f t="shared" si="527"/>
        <v>-17.6952</v>
      </c>
      <c r="Q3377" s="17" t="str">
        <f t="shared" si="529"/>
        <v>Ecart négatif</v>
      </c>
    </row>
    <row r="3378" spans="1:18" x14ac:dyDescent="0.3">
      <c r="A3378" s="34" t="str">
        <f>base!J3378</f>
        <v>RS</v>
      </c>
      <c r="B3378" s="34" t="str">
        <f>base!V3378</f>
        <v>34500</v>
      </c>
      <c r="C3378" s="37">
        <v>34</v>
      </c>
      <c r="D3378" s="36">
        <f>base!H3378</f>
        <v>180</v>
      </c>
      <c r="E3378" s="44"/>
      <c r="F3378" s="16">
        <f>base!W3378</f>
        <v>0</v>
      </c>
      <c r="G3378" s="11">
        <f t="shared" si="520"/>
        <v>0</v>
      </c>
      <c r="H3378" s="11">
        <f t="shared" si="521"/>
        <v>70.2</v>
      </c>
      <c r="I3378" s="11">
        <f t="shared" si="522"/>
        <v>0.39</v>
      </c>
      <c r="J3378" s="12">
        <f t="shared" si="523"/>
        <v>-70.2</v>
      </c>
      <c r="K3378" s="17" t="str">
        <f t="shared" si="528"/>
        <v>Ecart négatif</v>
      </c>
      <c r="L3378" s="16">
        <f>base!X3378</f>
        <v>0</v>
      </c>
      <c r="M3378" s="11">
        <f t="shared" si="524"/>
        <v>0</v>
      </c>
      <c r="N3378" s="11">
        <f t="shared" si="525"/>
        <v>50.400000000000006</v>
      </c>
      <c r="O3378" s="11">
        <f t="shared" si="526"/>
        <v>0.28000000000000003</v>
      </c>
      <c r="P3378" s="12">
        <f t="shared" si="527"/>
        <v>-50.400000000000006</v>
      </c>
      <c r="Q3378" s="17" t="str">
        <f t="shared" si="529"/>
        <v>Ecart négatif</v>
      </c>
    </row>
    <row r="3379" spans="1:18" x14ac:dyDescent="0.3">
      <c r="A3379" s="34" t="str">
        <f>base!J3379</f>
        <v>LS</v>
      </c>
      <c r="B3379" s="34" t="str">
        <f>base!V3379</f>
        <v>79000</v>
      </c>
      <c r="C3379" s="37">
        <v>25</v>
      </c>
      <c r="D3379" s="36">
        <f>base!H3379</f>
        <v>21.28</v>
      </c>
      <c r="E3379" s="44"/>
      <c r="F3379" s="16">
        <f>base!W3379</f>
        <v>4.47</v>
      </c>
      <c r="G3379" s="11">
        <f t="shared" si="520"/>
        <v>0.21005639097744358</v>
      </c>
      <c r="H3379" s="11">
        <f t="shared" si="521"/>
        <v>5.1071999999999997</v>
      </c>
      <c r="I3379" s="11">
        <f t="shared" si="522"/>
        <v>0.23999999999999996</v>
      </c>
      <c r="J3379" s="12">
        <f t="shared" si="523"/>
        <v>-0.63719999999999999</v>
      </c>
      <c r="K3379" s="17" t="str">
        <f t="shared" si="528"/>
        <v>Ecart négatif</v>
      </c>
      <c r="L3379" s="16">
        <f>base!X3379</f>
        <v>0</v>
      </c>
      <c r="M3379" s="11">
        <f t="shared" si="524"/>
        <v>0</v>
      </c>
      <c r="N3379" s="11">
        <f t="shared" si="525"/>
        <v>2.5535999999999999</v>
      </c>
      <c r="O3379" s="11">
        <f t="shared" si="526"/>
        <v>0.11999999999999998</v>
      </c>
      <c r="P3379" s="12">
        <f t="shared" si="527"/>
        <v>-2.5535999999999999</v>
      </c>
      <c r="Q3379" s="17" t="str">
        <f t="shared" si="529"/>
        <v>Ecart négatif</v>
      </c>
    </row>
    <row r="3380" spans="1:18" x14ac:dyDescent="0.3">
      <c r="A3380" s="34" t="str">
        <f>base!J3380</f>
        <v>LS</v>
      </c>
      <c r="B3380" s="34" t="str">
        <f>base!V3380</f>
        <v>80000</v>
      </c>
      <c r="C3380" s="37">
        <v>25</v>
      </c>
      <c r="D3380" s="36">
        <f>base!H3380</f>
        <v>82.33</v>
      </c>
      <c r="E3380" s="44"/>
      <c r="F3380" s="16">
        <f>base!W3380</f>
        <v>15.64</v>
      </c>
      <c r="G3380" s="11">
        <f t="shared" si="520"/>
        <v>0.18996720515000609</v>
      </c>
      <c r="H3380" s="11">
        <f t="shared" si="521"/>
        <v>19.7592</v>
      </c>
      <c r="I3380" s="11">
        <f t="shared" si="522"/>
        <v>0.24</v>
      </c>
      <c r="J3380" s="12">
        <f t="shared" si="523"/>
        <v>-4.1191999999999993</v>
      </c>
      <c r="K3380" s="17" t="str">
        <f t="shared" si="528"/>
        <v>Ecart négatif</v>
      </c>
      <c r="L3380" s="16">
        <f>base!X3380</f>
        <v>0</v>
      </c>
      <c r="M3380" s="11">
        <f t="shared" si="524"/>
        <v>0</v>
      </c>
      <c r="N3380" s="11">
        <f t="shared" si="525"/>
        <v>9.8795999999999999</v>
      </c>
      <c r="O3380" s="11">
        <f t="shared" si="526"/>
        <v>0.12</v>
      </c>
      <c r="P3380" s="12">
        <f t="shared" si="527"/>
        <v>-9.8795999999999999</v>
      </c>
      <c r="Q3380" s="17" t="str">
        <f t="shared" si="529"/>
        <v>Ecart négatif</v>
      </c>
    </row>
    <row r="3381" spans="1:18" x14ac:dyDescent="0.3">
      <c r="A3381" s="34" t="str">
        <f>base!J3381</f>
        <v>DRS</v>
      </c>
      <c r="B3381" s="34" t="str">
        <f>base!V3381</f>
        <v>35000</v>
      </c>
      <c r="C3381" s="37">
        <v>35</v>
      </c>
      <c r="D3381" s="36">
        <f>base!H3381</f>
        <v>188.5</v>
      </c>
      <c r="E3381" s="44"/>
      <c r="F3381" s="16">
        <f>base!W3381</f>
        <v>0</v>
      </c>
      <c r="G3381" s="11">
        <f t="shared" si="520"/>
        <v>0</v>
      </c>
      <c r="H3381" s="11">
        <f t="shared" si="521"/>
        <v>50.895000000000003</v>
      </c>
      <c r="I3381" s="11">
        <f t="shared" si="522"/>
        <v>0.27</v>
      </c>
      <c r="J3381" s="12">
        <f t="shared" si="523"/>
        <v>-50.895000000000003</v>
      </c>
      <c r="K3381" s="17" t="str">
        <f t="shared" si="528"/>
        <v>Ecart négatif</v>
      </c>
      <c r="L3381" s="16">
        <f>base!X3381</f>
        <v>0</v>
      </c>
      <c r="M3381" s="11">
        <f t="shared" si="524"/>
        <v>0</v>
      </c>
      <c r="N3381" s="11">
        <f t="shared" si="525"/>
        <v>0</v>
      </c>
      <c r="O3381" s="11">
        <f t="shared" si="526"/>
        <v>0</v>
      </c>
      <c r="P3381" s="12">
        <f t="shared" si="527"/>
        <v>0</v>
      </c>
      <c r="Q3381" s="17" t="str">
        <f t="shared" si="529"/>
        <v>Pas d'écart</v>
      </c>
    </row>
    <row r="3382" spans="1:18" x14ac:dyDescent="0.3">
      <c r="A3382" s="34" t="str">
        <f>base!J3382</f>
        <v>RM</v>
      </c>
      <c r="B3382" s="34" t="str">
        <f>base!V3382</f>
        <v>62600</v>
      </c>
      <c r="C3382" s="37">
        <v>62</v>
      </c>
      <c r="D3382" s="36">
        <f>base!H3382</f>
        <v>140</v>
      </c>
      <c r="E3382" s="44"/>
      <c r="F3382" s="16">
        <f>base!W3382</f>
        <v>0</v>
      </c>
      <c r="G3382" s="11">
        <f t="shared" si="520"/>
        <v>0</v>
      </c>
      <c r="H3382" s="11">
        <f t="shared" si="521"/>
        <v>26.6</v>
      </c>
      <c r="I3382" s="11">
        <f t="shared" si="522"/>
        <v>0.19</v>
      </c>
      <c r="J3382" s="12">
        <f t="shared" si="523"/>
        <v>-26.6</v>
      </c>
      <c r="K3382" s="17" t="str">
        <f t="shared" si="528"/>
        <v>Ecart négatif</v>
      </c>
      <c r="L3382" s="16">
        <f>base!X3382</f>
        <v>0</v>
      </c>
      <c r="M3382" s="11">
        <f t="shared" si="524"/>
        <v>0</v>
      </c>
      <c r="N3382" s="11">
        <f t="shared" si="525"/>
        <v>0</v>
      </c>
      <c r="O3382" s="11">
        <f t="shared" si="526"/>
        <v>0</v>
      </c>
      <c r="P3382" s="12">
        <f t="shared" si="527"/>
        <v>0</v>
      </c>
      <c r="Q3382" s="17" t="str">
        <f t="shared" si="529"/>
        <v>Pas d'écart</v>
      </c>
    </row>
    <row r="3383" spans="1:18" x14ac:dyDescent="0.3">
      <c r="A3383" s="34" t="str">
        <f>base!J3383</f>
        <v>LS</v>
      </c>
      <c r="B3383" s="34" t="str">
        <f>base!V3383</f>
        <v>21004</v>
      </c>
      <c r="C3383" s="37">
        <v>21</v>
      </c>
      <c r="D3383" s="36">
        <f>base!H3383</f>
        <v>40</v>
      </c>
      <c r="E3383" s="44"/>
      <c r="F3383" s="16">
        <f>base!W3383</f>
        <v>9.6</v>
      </c>
      <c r="G3383" s="11">
        <f t="shared" si="520"/>
        <v>0.24</v>
      </c>
      <c r="H3383" s="11">
        <f t="shared" si="521"/>
        <v>9.6</v>
      </c>
      <c r="I3383" s="11">
        <f t="shared" si="522"/>
        <v>0.24</v>
      </c>
      <c r="J3383" s="12">
        <f t="shared" si="523"/>
        <v>0</v>
      </c>
      <c r="K3383" s="17" t="str">
        <f t="shared" si="528"/>
        <v>Pas d'écart</v>
      </c>
      <c r="L3383" s="16">
        <f>base!X3383</f>
        <v>0</v>
      </c>
      <c r="M3383" s="11">
        <f t="shared" si="524"/>
        <v>0</v>
      </c>
      <c r="N3383" s="11">
        <f t="shared" si="525"/>
        <v>4.8</v>
      </c>
      <c r="O3383" s="11">
        <f t="shared" si="526"/>
        <v>0.12</v>
      </c>
      <c r="P3383" s="12">
        <f t="shared" si="527"/>
        <v>-4.8</v>
      </c>
      <c r="Q3383" s="17" t="str">
        <f t="shared" si="529"/>
        <v>Ecart négatif</v>
      </c>
    </row>
    <row r="3384" spans="1:18" x14ac:dyDescent="0.3">
      <c r="A3384" s="34">
        <f>base!J3384</f>
        <v>0</v>
      </c>
      <c r="B3384" s="34" t="str">
        <f>base!V3384</f>
        <v>77184</v>
      </c>
      <c r="C3384" s="37">
        <v>77</v>
      </c>
      <c r="D3384" s="36">
        <f>base!H3384</f>
        <v>220.04</v>
      </c>
      <c r="E3384" s="44"/>
      <c r="F3384" s="16">
        <f>base!W3384</f>
        <v>0</v>
      </c>
      <c r="G3384" s="11">
        <f t="shared" si="520"/>
        <v>0</v>
      </c>
      <c r="H3384" s="11">
        <f t="shared" si="521"/>
        <v>0</v>
      </c>
      <c r="I3384" s="11">
        <f t="shared" si="522"/>
        <v>0</v>
      </c>
      <c r="J3384" s="12">
        <f t="shared" si="523"/>
        <v>0</v>
      </c>
      <c r="K3384" s="17" t="str">
        <f t="shared" si="528"/>
        <v>Pas d'écart</v>
      </c>
      <c r="L3384" s="16">
        <f>base!X3384</f>
        <v>0</v>
      </c>
      <c r="M3384" s="11">
        <f t="shared" si="524"/>
        <v>0</v>
      </c>
      <c r="N3384" s="11">
        <f t="shared" si="525"/>
        <v>0</v>
      </c>
      <c r="O3384" s="11">
        <f t="shared" si="526"/>
        <v>0</v>
      </c>
      <c r="P3384" s="12">
        <f t="shared" si="527"/>
        <v>0</v>
      </c>
      <c r="Q3384" s="17" t="str">
        <f t="shared" si="529"/>
        <v>Pas d'écart</v>
      </c>
    </row>
    <row r="3385" spans="1:18" x14ac:dyDescent="0.3">
      <c r="A3385" s="34">
        <f>base!J3385</f>
        <v>0</v>
      </c>
      <c r="B3385" s="34" t="str">
        <f>base!V3385</f>
        <v>77184</v>
      </c>
      <c r="C3385" s="37">
        <v>77</v>
      </c>
      <c r="D3385" s="36">
        <f>base!H3385</f>
        <v>194</v>
      </c>
      <c r="E3385" s="44"/>
      <c r="F3385" s="16">
        <f>base!W3385</f>
        <v>0</v>
      </c>
      <c r="G3385" s="11">
        <f t="shared" si="520"/>
        <v>0</v>
      </c>
      <c r="H3385" s="11">
        <f t="shared" si="521"/>
        <v>0</v>
      </c>
      <c r="I3385" s="11">
        <f t="shared" si="522"/>
        <v>0</v>
      </c>
      <c r="J3385" s="12">
        <f t="shared" si="523"/>
        <v>0</v>
      </c>
      <c r="K3385" s="17" t="str">
        <f t="shared" si="528"/>
        <v>Pas d'écart</v>
      </c>
      <c r="L3385" s="16">
        <f>base!X3385</f>
        <v>0</v>
      </c>
      <c r="M3385" s="11">
        <f t="shared" si="524"/>
        <v>0</v>
      </c>
      <c r="N3385" s="11">
        <f t="shared" si="525"/>
        <v>0</v>
      </c>
      <c r="O3385" s="11">
        <f t="shared" si="526"/>
        <v>0</v>
      </c>
      <c r="P3385" s="12">
        <f t="shared" si="527"/>
        <v>0</v>
      </c>
      <c r="Q3385" s="17" t="str">
        <f t="shared" si="529"/>
        <v>Pas d'écart</v>
      </c>
    </row>
    <row r="3386" spans="1:18" x14ac:dyDescent="0.3">
      <c r="A3386" s="34" t="str">
        <f>base!J3386</f>
        <v>RM</v>
      </c>
      <c r="B3386" s="34" t="str">
        <f>base!V3386</f>
        <v>76700</v>
      </c>
      <c r="C3386" s="37">
        <v>76</v>
      </c>
      <c r="D3386" s="36">
        <f>base!H3386</f>
        <v>151</v>
      </c>
      <c r="E3386" s="44"/>
      <c r="F3386" s="16">
        <f>base!W3386</f>
        <v>0</v>
      </c>
      <c r="G3386" s="11">
        <f t="shared" si="520"/>
        <v>0</v>
      </c>
      <c r="H3386" s="11">
        <f t="shared" si="521"/>
        <v>25.67</v>
      </c>
      <c r="I3386" s="11">
        <f t="shared" si="522"/>
        <v>0.17</v>
      </c>
      <c r="J3386" s="12">
        <f t="shared" si="523"/>
        <v>-25.67</v>
      </c>
      <c r="K3386" s="17" t="str">
        <f t="shared" si="528"/>
        <v>Ecart négatif</v>
      </c>
      <c r="L3386" s="16">
        <f>base!X3386</f>
        <v>25.67</v>
      </c>
      <c r="M3386" s="11">
        <f t="shared" si="524"/>
        <v>0.17</v>
      </c>
      <c r="N3386" s="11">
        <f t="shared" si="525"/>
        <v>25.67</v>
      </c>
      <c r="O3386" s="11">
        <f t="shared" si="526"/>
        <v>0.17</v>
      </c>
      <c r="P3386" s="12">
        <f t="shared" si="527"/>
        <v>0</v>
      </c>
      <c r="Q3386" s="17" t="str">
        <f t="shared" si="529"/>
        <v>Pas d'écart</v>
      </c>
      <c r="R3386" s="38"/>
    </row>
    <row r="3387" spans="1:18" x14ac:dyDescent="0.3">
      <c r="A3387" s="34" t="str">
        <f>base!J3387</f>
        <v>RM</v>
      </c>
      <c r="B3387" s="34" t="str">
        <f>base!V3387</f>
        <v>50200</v>
      </c>
      <c r="C3387" s="37">
        <v>50</v>
      </c>
      <c r="D3387" s="36">
        <f>base!H3387</f>
        <v>36.119999999999997</v>
      </c>
      <c r="E3387" s="44"/>
      <c r="F3387" s="16">
        <f>base!W3387</f>
        <v>0</v>
      </c>
      <c r="G3387" s="11">
        <f t="shared" si="520"/>
        <v>0</v>
      </c>
      <c r="H3387" s="11">
        <f t="shared" si="521"/>
        <v>6.1403999999999996</v>
      </c>
      <c r="I3387" s="11">
        <f t="shared" si="522"/>
        <v>0.17</v>
      </c>
      <c r="J3387" s="12">
        <f t="shared" si="523"/>
        <v>-6.1403999999999996</v>
      </c>
      <c r="K3387" s="17" t="str">
        <f t="shared" si="528"/>
        <v>Ecart négatif</v>
      </c>
      <c r="L3387" s="16">
        <f>base!X3387</f>
        <v>0</v>
      </c>
      <c r="M3387" s="11">
        <f t="shared" si="524"/>
        <v>0</v>
      </c>
      <c r="N3387" s="11">
        <f t="shared" si="525"/>
        <v>6.1403999999999996</v>
      </c>
      <c r="O3387" s="11">
        <f t="shared" si="526"/>
        <v>0.17</v>
      </c>
      <c r="P3387" s="12">
        <f t="shared" si="527"/>
        <v>-6.1403999999999996</v>
      </c>
      <c r="Q3387" s="17" t="str">
        <f t="shared" si="529"/>
        <v>Ecart négatif</v>
      </c>
    </row>
    <row r="3388" spans="1:18" x14ac:dyDescent="0.3">
      <c r="A3388" s="34" t="str">
        <f>base!J3388</f>
        <v>RS</v>
      </c>
      <c r="B3388" s="34" t="str">
        <f>base!V3388</f>
        <v>38000</v>
      </c>
      <c r="C3388" s="37">
        <v>38</v>
      </c>
      <c r="D3388" s="36">
        <f>base!H3388</f>
        <v>183</v>
      </c>
      <c r="E3388" s="44"/>
      <c r="F3388" s="16">
        <f>base!W3388</f>
        <v>0</v>
      </c>
      <c r="G3388" s="11">
        <f t="shared" si="520"/>
        <v>0</v>
      </c>
      <c r="H3388" s="11">
        <f t="shared" si="521"/>
        <v>49.410000000000004</v>
      </c>
      <c r="I3388" s="11">
        <f t="shared" si="522"/>
        <v>0.27</v>
      </c>
      <c r="J3388" s="12">
        <f t="shared" si="523"/>
        <v>-49.410000000000004</v>
      </c>
      <c r="K3388" s="17" t="str">
        <f t="shared" si="528"/>
        <v>Ecart négatif</v>
      </c>
      <c r="L3388" s="16">
        <f>base!X3388</f>
        <v>0</v>
      </c>
      <c r="M3388" s="11">
        <f t="shared" si="524"/>
        <v>0</v>
      </c>
      <c r="N3388" s="11">
        <f t="shared" si="525"/>
        <v>0</v>
      </c>
      <c r="O3388" s="11">
        <f t="shared" si="526"/>
        <v>0</v>
      </c>
      <c r="P3388" s="12">
        <f t="shared" si="527"/>
        <v>0</v>
      </c>
      <c r="Q3388" s="17" t="str">
        <f t="shared" si="529"/>
        <v>Pas d'écart</v>
      </c>
    </row>
    <row r="3389" spans="1:18" x14ac:dyDescent="0.3">
      <c r="A3389" s="34" t="str">
        <f>base!J3389</f>
        <v>RM</v>
      </c>
      <c r="B3389" s="34" t="str">
        <f>base!V3389</f>
        <v>06000</v>
      </c>
      <c r="C3389" s="37">
        <v>6</v>
      </c>
      <c r="D3389" s="36">
        <f>base!H3389</f>
        <v>400</v>
      </c>
      <c r="E3389" s="44"/>
      <c r="F3389" s="16">
        <f>base!W3389</f>
        <v>0</v>
      </c>
      <c r="G3389" s="11">
        <f t="shared" si="520"/>
        <v>0</v>
      </c>
      <c r="H3389" s="11">
        <f t="shared" si="521"/>
        <v>120</v>
      </c>
      <c r="I3389" s="11">
        <f t="shared" si="522"/>
        <v>0.3</v>
      </c>
      <c r="J3389" s="12">
        <f t="shared" si="523"/>
        <v>-120</v>
      </c>
      <c r="K3389" s="17" t="str">
        <f t="shared" si="528"/>
        <v>Ecart négatif</v>
      </c>
      <c r="L3389" s="16">
        <f>base!X3389</f>
        <v>0</v>
      </c>
      <c r="M3389" s="11">
        <f t="shared" si="524"/>
        <v>0</v>
      </c>
      <c r="N3389" s="11">
        <f t="shared" si="525"/>
        <v>84</v>
      </c>
      <c r="O3389" s="11">
        <f t="shared" si="526"/>
        <v>0.21</v>
      </c>
      <c r="P3389" s="12">
        <f t="shared" si="527"/>
        <v>-84</v>
      </c>
      <c r="Q3389" s="17" t="str">
        <f t="shared" si="529"/>
        <v>Ecart négatif</v>
      </c>
    </row>
    <row r="3390" spans="1:18" x14ac:dyDescent="0.3">
      <c r="A3390" s="34" t="str">
        <f>base!J3390</f>
        <v>RM</v>
      </c>
      <c r="B3390" s="34" t="str">
        <f>base!V3390</f>
        <v>69006</v>
      </c>
      <c r="C3390" s="37">
        <v>69</v>
      </c>
      <c r="D3390" s="36">
        <f>base!H3390</f>
        <v>29.59</v>
      </c>
      <c r="E3390" s="44"/>
      <c r="F3390" s="16">
        <f>base!W3390</f>
        <v>0</v>
      </c>
      <c r="G3390" s="11">
        <f t="shared" si="520"/>
        <v>0</v>
      </c>
      <c r="H3390" s="11">
        <f t="shared" si="521"/>
        <v>7.9893000000000001</v>
      </c>
      <c r="I3390" s="11">
        <f t="shared" si="522"/>
        <v>0.27</v>
      </c>
      <c r="J3390" s="12">
        <f t="shared" si="523"/>
        <v>-7.9893000000000001</v>
      </c>
      <c r="K3390" s="17" t="str">
        <f t="shared" si="528"/>
        <v>Ecart négatif</v>
      </c>
      <c r="L3390" s="16">
        <f>base!X3390</f>
        <v>0</v>
      </c>
      <c r="M3390" s="11">
        <f t="shared" si="524"/>
        <v>0</v>
      </c>
      <c r="N3390" s="11">
        <f t="shared" si="525"/>
        <v>0</v>
      </c>
      <c r="O3390" s="11">
        <f t="shared" si="526"/>
        <v>0</v>
      </c>
      <c r="P3390" s="12">
        <f t="shared" si="527"/>
        <v>0</v>
      </c>
      <c r="Q3390" s="17" t="str">
        <f t="shared" si="529"/>
        <v>Pas d'écart</v>
      </c>
    </row>
    <row r="3391" spans="1:18" x14ac:dyDescent="0.3">
      <c r="A3391" s="34" t="str">
        <f>base!J3391</f>
        <v>DRS</v>
      </c>
      <c r="B3391" s="34" t="str">
        <f>base!V3391</f>
        <v>75014</v>
      </c>
      <c r="C3391" s="37">
        <v>75</v>
      </c>
      <c r="D3391" s="36">
        <f>base!H3391</f>
        <v>140</v>
      </c>
      <c r="E3391" s="44"/>
      <c r="F3391" s="16">
        <f>base!W3391</f>
        <v>0</v>
      </c>
      <c r="G3391" s="11">
        <f t="shared" si="520"/>
        <v>0</v>
      </c>
      <c r="H3391" s="11">
        <f t="shared" si="521"/>
        <v>0</v>
      </c>
      <c r="I3391" s="11">
        <f t="shared" si="522"/>
        <v>0</v>
      </c>
      <c r="J3391" s="12">
        <f t="shared" si="523"/>
        <v>0</v>
      </c>
      <c r="K3391" s="17" t="str">
        <f t="shared" si="528"/>
        <v>Pas d'écart</v>
      </c>
      <c r="L3391" s="16">
        <f>base!X3391</f>
        <v>0</v>
      </c>
      <c r="M3391" s="11">
        <f t="shared" si="524"/>
        <v>0</v>
      </c>
      <c r="N3391" s="11">
        <f t="shared" si="525"/>
        <v>0</v>
      </c>
      <c r="O3391" s="11">
        <f t="shared" si="526"/>
        <v>0</v>
      </c>
      <c r="P3391" s="12">
        <f t="shared" si="527"/>
        <v>0</v>
      </c>
      <c r="Q3391" s="17" t="str">
        <f t="shared" si="529"/>
        <v>Pas d'écart</v>
      </c>
    </row>
    <row r="3392" spans="1:18" x14ac:dyDescent="0.3">
      <c r="A3392" s="34" t="str">
        <f>base!J3392</f>
        <v>LM</v>
      </c>
      <c r="B3392" s="34" t="str">
        <f>base!V3392</f>
        <v>33260</v>
      </c>
      <c r="C3392" s="37">
        <v>25</v>
      </c>
      <c r="D3392" s="36">
        <f>base!H3392</f>
        <v>7.99</v>
      </c>
      <c r="E3392" s="44"/>
      <c r="F3392" s="16">
        <f>base!W3392</f>
        <v>1.68</v>
      </c>
      <c r="G3392" s="11">
        <f t="shared" si="520"/>
        <v>0.21026282853566958</v>
      </c>
      <c r="H3392" s="11">
        <f t="shared" si="521"/>
        <v>1.9176</v>
      </c>
      <c r="I3392" s="11">
        <f t="shared" si="522"/>
        <v>0.24</v>
      </c>
      <c r="J3392" s="12">
        <f t="shared" si="523"/>
        <v>-0.23760000000000003</v>
      </c>
      <c r="K3392" s="17" t="str">
        <f t="shared" si="528"/>
        <v>Ecart négatif</v>
      </c>
      <c r="L3392" s="16">
        <f>base!X3392</f>
        <v>0</v>
      </c>
      <c r="M3392" s="11">
        <f t="shared" si="524"/>
        <v>0</v>
      </c>
      <c r="N3392" s="11">
        <f t="shared" si="525"/>
        <v>0.95879999999999999</v>
      </c>
      <c r="O3392" s="11">
        <f t="shared" si="526"/>
        <v>0.12</v>
      </c>
      <c r="P3392" s="12">
        <f t="shared" si="527"/>
        <v>-0.95879999999999999</v>
      </c>
      <c r="Q3392" s="17" t="str">
        <f t="shared" si="529"/>
        <v>Ecart négatif</v>
      </c>
    </row>
    <row r="3393" spans="1:18" x14ac:dyDescent="0.3">
      <c r="A3393" s="34" t="str">
        <f>base!J3393</f>
        <v>LM</v>
      </c>
      <c r="B3393" s="34" t="str">
        <f>base!V3393</f>
        <v>92200</v>
      </c>
      <c r="C3393" s="37">
        <v>92</v>
      </c>
      <c r="D3393" s="36">
        <f>base!H3393</f>
        <v>30</v>
      </c>
      <c r="E3393" s="44"/>
      <c r="F3393" s="16">
        <f>base!W3393</f>
        <v>0</v>
      </c>
      <c r="G3393" s="11">
        <f t="shared" si="520"/>
        <v>0</v>
      </c>
      <c r="H3393" s="11">
        <f t="shared" si="521"/>
        <v>0</v>
      </c>
      <c r="I3393" s="11">
        <f t="shared" si="522"/>
        <v>0</v>
      </c>
      <c r="J3393" s="12">
        <f t="shared" si="523"/>
        <v>0</v>
      </c>
      <c r="K3393" s="17" t="str">
        <f t="shared" si="528"/>
        <v>Pas d'écart</v>
      </c>
      <c r="L3393" s="16">
        <f>base!X3393</f>
        <v>0</v>
      </c>
      <c r="M3393" s="11">
        <f t="shared" si="524"/>
        <v>0</v>
      </c>
      <c r="N3393" s="11">
        <f t="shared" si="525"/>
        <v>0</v>
      </c>
      <c r="O3393" s="11">
        <f t="shared" si="526"/>
        <v>0</v>
      </c>
      <c r="P3393" s="12">
        <f t="shared" si="527"/>
        <v>0</v>
      </c>
      <c r="Q3393" s="17" t="str">
        <f t="shared" si="529"/>
        <v>Pas d'écart</v>
      </c>
    </row>
    <row r="3394" spans="1:18" x14ac:dyDescent="0.3">
      <c r="A3394" s="34" t="str">
        <f>base!J3394</f>
        <v>DRS</v>
      </c>
      <c r="B3394" s="34" t="str">
        <f>base!V3394</f>
        <v>59220</v>
      </c>
      <c r="C3394" s="37">
        <v>59</v>
      </c>
      <c r="D3394" s="36">
        <f>base!H3394</f>
        <v>136.47</v>
      </c>
      <c r="E3394" s="44"/>
      <c r="F3394" s="16">
        <f>base!W3394</f>
        <v>0</v>
      </c>
      <c r="G3394" s="11">
        <f t="shared" ref="G3394:G3457" si="530">F3394/D3394</f>
        <v>0</v>
      </c>
      <c r="H3394" s="11">
        <f t="shared" ref="H3394:H3457" si="531">VLOOKUP(C3394,tout_cout_traction,2,FALSE)*D3394</f>
        <v>25.929300000000001</v>
      </c>
      <c r="I3394" s="11">
        <f t="shared" ref="I3394:I3457" si="532">H3394/D3394</f>
        <v>0.19</v>
      </c>
      <c r="J3394" s="12">
        <f t="shared" ref="J3394:J3457" si="533">F3394-H3394</f>
        <v>-25.929300000000001</v>
      </c>
      <c r="K3394" s="17" t="str">
        <f t="shared" si="528"/>
        <v>Ecart négatif</v>
      </c>
      <c r="L3394" s="16">
        <f>base!X3394</f>
        <v>0</v>
      </c>
      <c r="M3394" s="11">
        <f t="shared" ref="M3394:M3457" si="534">L3394/D3394</f>
        <v>0</v>
      </c>
      <c r="N3394" s="11">
        <f t="shared" ref="N3394:N3457" si="535">VLOOKUP(C3394,tout_cout_traction,3,FALSE)*D3394</f>
        <v>0</v>
      </c>
      <c r="O3394" s="11">
        <f t="shared" ref="O3394:O3457" si="536">N3394/D3394</f>
        <v>0</v>
      </c>
      <c r="P3394" s="12">
        <f t="shared" ref="P3394:P3457" si="537">L3394-N3394</f>
        <v>0</v>
      </c>
      <c r="Q3394" s="17" t="str">
        <f t="shared" si="529"/>
        <v>Pas d'écart</v>
      </c>
    </row>
    <row r="3395" spans="1:18" x14ac:dyDescent="0.3">
      <c r="A3395" s="34" t="str">
        <f>base!J3395</f>
        <v>RS</v>
      </c>
      <c r="B3395" s="34" t="str">
        <f>base!V3395</f>
        <v>33820</v>
      </c>
      <c r="C3395" s="37">
        <v>33</v>
      </c>
      <c r="D3395" s="36">
        <f>base!H3395</f>
        <v>140</v>
      </c>
      <c r="E3395" s="44"/>
      <c r="F3395" s="16">
        <f>base!W3395</f>
        <v>0</v>
      </c>
      <c r="G3395" s="11">
        <f t="shared" si="530"/>
        <v>0</v>
      </c>
      <c r="H3395" s="11">
        <f t="shared" si="531"/>
        <v>29.4</v>
      </c>
      <c r="I3395" s="11">
        <f t="shared" si="532"/>
        <v>0.21</v>
      </c>
      <c r="J3395" s="12">
        <f t="shared" si="533"/>
        <v>-29.4</v>
      </c>
      <c r="K3395" s="17" t="str">
        <f t="shared" ref="K3395:K3458" si="538">IF(H3395=F3395,"Pas d'écart",IF(H3395&lt;F3395,"Ecart positif",IF(H3395&gt;F3395,"Ecart négatif")))</f>
        <v>Ecart négatif</v>
      </c>
      <c r="L3395" s="16">
        <f>base!X3395</f>
        <v>0</v>
      </c>
      <c r="M3395" s="11">
        <f t="shared" si="534"/>
        <v>0</v>
      </c>
      <c r="N3395" s="11">
        <f t="shared" si="535"/>
        <v>23.8</v>
      </c>
      <c r="O3395" s="11">
        <f t="shared" si="536"/>
        <v>0.17</v>
      </c>
      <c r="P3395" s="12">
        <f t="shared" si="537"/>
        <v>-23.8</v>
      </c>
      <c r="Q3395" s="17" t="str">
        <f t="shared" ref="Q3395:Q3458" si="539">IF(N3395=L3395,"Pas d'écart",IF(N3395&lt;L3395,"Ecart positif",IF(N3395&gt;L3395,"Ecart négatif")))</f>
        <v>Ecart négatif</v>
      </c>
    </row>
    <row r="3396" spans="1:18" x14ac:dyDescent="0.3">
      <c r="A3396" s="34" t="str">
        <f>base!J3396</f>
        <v>RM</v>
      </c>
      <c r="B3396" s="34" t="str">
        <f>base!V3396</f>
        <v>39500</v>
      </c>
      <c r="C3396" s="37">
        <v>39</v>
      </c>
      <c r="D3396" s="36">
        <f>base!H3396</f>
        <v>29.89</v>
      </c>
      <c r="E3396" s="44"/>
      <c r="F3396" s="16">
        <f>base!W3396</f>
        <v>0</v>
      </c>
      <c r="G3396" s="11">
        <f t="shared" si="530"/>
        <v>0</v>
      </c>
      <c r="H3396" s="11">
        <f t="shared" si="531"/>
        <v>8.0703000000000014</v>
      </c>
      <c r="I3396" s="11">
        <f t="shared" si="532"/>
        <v>0.27</v>
      </c>
      <c r="J3396" s="12">
        <f t="shared" si="533"/>
        <v>-8.0703000000000014</v>
      </c>
      <c r="K3396" s="17" t="str">
        <f t="shared" si="538"/>
        <v>Ecart négatif</v>
      </c>
      <c r="L3396" s="16">
        <f>base!X3396</f>
        <v>0</v>
      </c>
      <c r="M3396" s="11">
        <f t="shared" si="534"/>
        <v>0</v>
      </c>
      <c r="N3396" s="11">
        <f t="shared" si="535"/>
        <v>0</v>
      </c>
      <c r="O3396" s="11">
        <f t="shared" si="536"/>
        <v>0</v>
      </c>
      <c r="P3396" s="12">
        <f t="shared" si="537"/>
        <v>0</v>
      </c>
      <c r="Q3396" s="17" t="str">
        <f t="shared" si="539"/>
        <v>Pas d'écart</v>
      </c>
    </row>
    <row r="3397" spans="1:18" x14ac:dyDescent="0.3">
      <c r="A3397" s="34" t="str">
        <f>base!J3397</f>
        <v>RM</v>
      </c>
      <c r="B3397" s="34" t="str">
        <f>base!V3397</f>
        <v>54600</v>
      </c>
      <c r="C3397" s="37">
        <v>54</v>
      </c>
      <c r="D3397" s="36">
        <f>base!H3397</f>
        <v>180</v>
      </c>
      <c r="E3397" s="44"/>
      <c r="F3397" s="16">
        <f>base!W3397</f>
        <v>0</v>
      </c>
      <c r="G3397" s="11">
        <f t="shared" si="530"/>
        <v>0</v>
      </c>
      <c r="H3397" s="11">
        <f t="shared" si="531"/>
        <v>45</v>
      </c>
      <c r="I3397" s="11">
        <f t="shared" si="532"/>
        <v>0.25</v>
      </c>
      <c r="J3397" s="12">
        <f t="shared" si="533"/>
        <v>-45</v>
      </c>
      <c r="K3397" s="17" t="str">
        <f t="shared" si="538"/>
        <v>Ecart négatif</v>
      </c>
      <c r="L3397" s="16">
        <f>base!X3397</f>
        <v>45</v>
      </c>
      <c r="M3397" s="11">
        <f t="shared" si="534"/>
        <v>0.25</v>
      </c>
      <c r="N3397" s="11">
        <f t="shared" si="535"/>
        <v>45</v>
      </c>
      <c r="O3397" s="11">
        <f t="shared" si="536"/>
        <v>0.25</v>
      </c>
      <c r="P3397" s="12">
        <f t="shared" si="537"/>
        <v>0</v>
      </c>
      <c r="Q3397" s="17" t="str">
        <f t="shared" si="539"/>
        <v>Pas d'écart</v>
      </c>
    </row>
    <row r="3398" spans="1:18" x14ac:dyDescent="0.3">
      <c r="A3398" s="34" t="str">
        <f>base!J3398</f>
        <v>RM</v>
      </c>
      <c r="B3398" s="34" t="str">
        <f>base!V3398</f>
        <v>13001</v>
      </c>
      <c r="C3398" s="37">
        <v>13</v>
      </c>
      <c r="D3398" s="36">
        <f>base!H3398</f>
        <v>170.88</v>
      </c>
      <c r="E3398" s="44"/>
      <c r="F3398" s="16">
        <f>base!W3398</f>
        <v>0</v>
      </c>
      <c r="G3398" s="11">
        <f t="shared" si="530"/>
        <v>0</v>
      </c>
      <c r="H3398" s="11">
        <f t="shared" si="531"/>
        <v>49.555199999999992</v>
      </c>
      <c r="I3398" s="11">
        <f t="shared" si="532"/>
        <v>0.28999999999999998</v>
      </c>
      <c r="J3398" s="12">
        <f t="shared" si="533"/>
        <v>-49.555199999999992</v>
      </c>
      <c r="K3398" s="17" t="str">
        <f t="shared" si="538"/>
        <v>Ecart négatif</v>
      </c>
      <c r="L3398" s="16">
        <f>base!X3398</f>
        <v>0</v>
      </c>
      <c r="M3398" s="11">
        <f t="shared" si="534"/>
        <v>0</v>
      </c>
      <c r="N3398" s="11">
        <f t="shared" si="535"/>
        <v>32.467199999999998</v>
      </c>
      <c r="O3398" s="11">
        <f t="shared" si="536"/>
        <v>0.19</v>
      </c>
      <c r="P3398" s="12">
        <f t="shared" si="537"/>
        <v>-32.467199999999998</v>
      </c>
      <c r="Q3398" s="17" t="str">
        <f t="shared" si="539"/>
        <v>Ecart négatif</v>
      </c>
    </row>
    <row r="3399" spans="1:18" x14ac:dyDescent="0.3">
      <c r="A3399" s="34" t="str">
        <f>base!J3399</f>
        <v>RM</v>
      </c>
      <c r="B3399" s="34" t="str">
        <f>base!V3399</f>
        <v>69320</v>
      </c>
      <c r="C3399" s="37">
        <v>69</v>
      </c>
      <c r="D3399" s="36">
        <f>base!H3399</f>
        <v>205</v>
      </c>
      <c r="E3399" s="44"/>
      <c r="F3399" s="16">
        <f>base!W3399</f>
        <v>0</v>
      </c>
      <c r="G3399" s="11">
        <f t="shared" si="530"/>
        <v>0</v>
      </c>
      <c r="H3399" s="11">
        <f t="shared" si="531"/>
        <v>55.35</v>
      </c>
      <c r="I3399" s="11">
        <f t="shared" si="532"/>
        <v>0.27</v>
      </c>
      <c r="J3399" s="12">
        <f t="shared" si="533"/>
        <v>-55.35</v>
      </c>
      <c r="K3399" s="17" t="str">
        <f t="shared" si="538"/>
        <v>Ecart négatif</v>
      </c>
      <c r="L3399" s="16">
        <f>base!X3399</f>
        <v>0</v>
      </c>
      <c r="M3399" s="11">
        <f t="shared" si="534"/>
        <v>0</v>
      </c>
      <c r="N3399" s="11">
        <f t="shared" si="535"/>
        <v>0</v>
      </c>
      <c r="O3399" s="11">
        <f t="shared" si="536"/>
        <v>0</v>
      </c>
      <c r="P3399" s="12">
        <f t="shared" si="537"/>
        <v>0</v>
      </c>
      <c r="Q3399" s="17" t="str">
        <f t="shared" si="539"/>
        <v>Pas d'écart</v>
      </c>
    </row>
    <row r="3400" spans="1:18" x14ac:dyDescent="0.3">
      <c r="A3400" s="34" t="str">
        <f>base!J3400</f>
        <v>RM</v>
      </c>
      <c r="B3400" s="34" t="str">
        <f>base!V3400</f>
        <v>75013</v>
      </c>
      <c r="C3400" s="37">
        <v>75</v>
      </c>
      <c r="D3400" s="36">
        <f>base!H3400</f>
        <v>151</v>
      </c>
      <c r="E3400" s="44"/>
      <c r="F3400" s="16">
        <f>base!W3400</f>
        <v>0</v>
      </c>
      <c r="G3400" s="11">
        <f t="shared" si="530"/>
        <v>0</v>
      </c>
      <c r="H3400" s="11">
        <f t="shared" si="531"/>
        <v>0</v>
      </c>
      <c r="I3400" s="11">
        <f t="shared" si="532"/>
        <v>0</v>
      </c>
      <c r="J3400" s="12">
        <f t="shared" si="533"/>
        <v>0</v>
      </c>
      <c r="K3400" s="17" t="str">
        <f t="shared" si="538"/>
        <v>Pas d'écart</v>
      </c>
      <c r="L3400" s="16">
        <f>base!X3400</f>
        <v>0</v>
      </c>
      <c r="M3400" s="11">
        <f t="shared" si="534"/>
        <v>0</v>
      </c>
      <c r="N3400" s="11">
        <f t="shared" si="535"/>
        <v>0</v>
      </c>
      <c r="O3400" s="11">
        <f t="shared" si="536"/>
        <v>0</v>
      </c>
      <c r="P3400" s="12">
        <f t="shared" si="537"/>
        <v>0</v>
      </c>
      <c r="Q3400" s="17" t="str">
        <f t="shared" si="539"/>
        <v>Pas d'écart</v>
      </c>
    </row>
    <row r="3401" spans="1:18" x14ac:dyDescent="0.3">
      <c r="A3401" s="34" t="str">
        <f>base!J3401</f>
        <v>RS</v>
      </c>
      <c r="B3401" s="34" t="str">
        <f>base!V3401</f>
        <v>30132</v>
      </c>
      <c r="C3401" s="37">
        <v>30</v>
      </c>
      <c r="D3401" s="36">
        <f>base!H3401</f>
        <v>151</v>
      </c>
      <c r="E3401" s="44"/>
      <c r="F3401" s="16">
        <f>base!W3401</f>
        <v>0</v>
      </c>
      <c r="G3401" s="11">
        <f t="shared" si="530"/>
        <v>0</v>
      </c>
      <c r="H3401" s="11">
        <f t="shared" si="531"/>
        <v>58.89</v>
      </c>
      <c r="I3401" s="11">
        <f t="shared" si="532"/>
        <v>0.39</v>
      </c>
      <c r="J3401" s="12">
        <f t="shared" si="533"/>
        <v>-58.89</v>
      </c>
      <c r="K3401" s="17" t="str">
        <f t="shared" si="538"/>
        <v>Ecart négatif</v>
      </c>
      <c r="L3401" s="16">
        <f>base!X3401</f>
        <v>0</v>
      </c>
      <c r="M3401" s="11">
        <f t="shared" si="534"/>
        <v>0</v>
      </c>
      <c r="N3401" s="11">
        <f t="shared" si="535"/>
        <v>42.28</v>
      </c>
      <c r="O3401" s="11">
        <f t="shared" si="536"/>
        <v>0.28000000000000003</v>
      </c>
      <c r="P3401" s="12">
        <f t="shared" si="537"/>
        <v>-42.28</v>
      </c>
      <c r="Q3401" s="17" t="str">
        <f t="shared" si="539"/>
        <v>Ecart négatif</v>
      </c>
    </row>
    <row r="3402" spans="1:18" x14ac:dyDescent="0.3">
      <c r="A3402" s="34" t="str">
        <f>base!J3402</f>
        <v>RM</v>
      </c>
      <c r="B3402" s="34" t="str">
        <f>base!V3402</f>
        <v>68000</v>
      </c>
      <c r="C3402" s="37">
        <v>68</v>
      </c>
      <c r="D3402" s="36">
        <f>base!H3402</f>
        <v>40</v>
      </c>
      <c r="E3402" s="44"/>
      <c r="F3402" s="16">
        <f>base!W3402</f>
        <v>0</v>
      </c>
      <c r="G3402" s="11">
        <f t="shared" si="530"/>
        <v>0</v>
      </c>
      <c r="H3402" s="11">
        <f t="shared" si="531"/>
        <v>11.6</v>
      </c>
      <c r="I3402" s="11">
        <f t="shared" si="532"/>
        <v>0.28999999999999998</v>
      </c>
      <c r="J3402" s="12">
        <f t="shared" si="533"/>
        <v>-11.6</v>
      </c>
      <c r="K3402" s="17" t="str">
        <f t="shared" si="538"/>
        <v>Ecart négatif</v>
      </c>
      <c r="L3402" s="16">
        <f>base!X3402</f>
        <v>0</v>
      </c>
      <c r="M3402" s="11">
        <f t="shared" si="534"/>
        <v>0</v>
      </c>
      <c r="N3402" s="11">
        <f t="shared" si="535"/>
        <v>3.2</v>
      </c>
      <c r="O3402" s="11">
        <f t="shared" si="536"/>
        <v>0.08</v>
      </c>
      <c r="P3402" s="12">
        <f t="shared" si="537"/>
        <v>-3.2</v>
      </c>
      <c r="Q3402" s="17" t="str">
        <f t="shared" si="539"/>
        <v>Ecart négatif</v>
      </c>
    </row>
    <row r="3403" spans="1:18" x14ac:dyDescent="0.3">
      <c r="A3403" s="34" t="str">
        <f>base!J3403</f>
        <v>DLM</v>
      </c>
      <c r="B3403" s="34" t="str">
        <f>base!V3403</f>
        <v>51000</v>
      </c>
      <c r="C3403" s="37">
        <v>51</v>
      </c>
      <c r="D3403" s="36">
        <f>base!H3403</f>
        <v>18.8</v>
      </c>
      <c r="E3403" s="44"/>
      <c r="F3403" s="16">
        <f>base!W3403</f>
        <v>0</v>
      </c>
      <c r="G3403" s="11">
        <f t="shared" si="530"/>
        <v>0</v>
      </c>
      <c r="H3403" s="11">
        <f t="shared" si="531"/>
        <v>4.7</v>
      </c>
      <c r="I3403" s="11">
        <f t="shared" si="532"/>
        <v>0.25</v>
      </c>
      <c r="J3403" s="12">
        <f t="shared" si="533"/>
        <v>-4.7</v>
      </c>
      <c r="K3403" s="17" t="str">
        <f t="shared" si="538"/>
        <v>Ecart négatif</v>
      </c>
      <c r="L3403" s="16">
        <f>base!X3403</f>
        <v>0</v>
      </c>
      <c r="M3403" s="11">
        <f t="shared" si="534"/>
        <v>0</v>
      </c>
      <c r="N3403" s="11">
        <f t="shared" si="535"/>
        <v>4.7</v>
      </c>
      <c r="O3403" s="11">
        <f t="shared" si="536"/>
        <v>0.25</v>
      </c>
      <c r="P3403" s="12">
        <f t="shared" si="537"/>
        <v>-4.7</v>
      </c>
      <c r="Q3403" s="17" t="str">
        <f t="shared" si="539"/>
        <v>Ecart négatif</v>
      </c>
    </row>
    <row r="3404" spans="1:18" x14ac:dyDescent="0.3">
      <c r="A3404" s="34" t="str">
        <f>base!J3404</f>
        <v>RS</v>
      </c>
      <c r="B3404" s="34" t="str">
        <f>base!V3404</f>
        <v>57000</v>
      </c>
      <c r="C3404" s="37">
        <v>57</v>
      </c>
      <c r="D3404" s="36">
        <f>base!H3404</f>
        <v>109.06</v>
      </c>
      <c r="E3404" s="44"/>
      <c r="F3404" s="16">
        <f>base!W3404</f>
        <v>0</v>
      </c>
      <c r="G3404" s="11">
        <f t="shared" si="530"/>
        <v>0</v>
      </c>
      <c r="H3404" s="11">
        <f t="shared" si="531"/>
        <v>26.174399999999999</v>
      </c>
      <c r="I3404" s="11">
        <f t="shared" si="532"/>
        <v>0.24</v>
      </c>
      <c r="J3404" s="12">
        <f t="shared" si="533"/>
        <v>-26.174399999999999</v>
      </c>
      <c r="K3404" s="17" t="str">
        <f t="shared" si="538"/>
        <v>Ecart négatif</v>
      </c>
      <c r="L3404" s="16">
        <f>base!X3404</f>
        <v>27.26</v>
      </c>
      <c r="M3404" s="11">
        <f t="shared" si="534"/>
        <v>0.24995415367687512</v>
      </c>
      <c r="N3404" s="11">
        <f t="shared" si="535"/>
        <v>27.265000000000001</v>
      </c>
      <c r="O3404" s="11">
        <f t="shared" si="536"/>
        <v>0.25</v>
      </c>
      <c r="P3404" s="12">
        <f t="shared" si="537"/>
        <v>-4.9999999999990052E-3</v>
      </c>
      <c r="Q3404" s="17" t="str">
        <f t="shared" si="539"/>
        <v>Ecart négatif</v>
      </c>
      <c r="R3404" s="38"/>
    </row>
    <row r="3405" spans="1:18" x14ac:dyDescent="0.3">
      <c r="A3405" s="34" t="str">
        <f>base!J3405</f>
        <v>RS</v>
      </c>
      <c r="B3405" s="34" t="str">
        <f>base!V3405</f>
        <v>71150</v>
      </c>
      <c r="C3405" s="37">
        <v>71</v>
      </c>
      <c r="D3405" s="36">
        <f>base!H3405</f>
        <v>85.8</v>
      </c>
      <c r="E3405" s="44"/>
      <c r="F3405" s="16">
        <f>base!W3405</f>
        <v>0</v>
      </c>
      <c r="G3405" s="11">
        <f t="shared" si="530"/>
        <v>0</v>
      </c>
      <c r="H3405" s="11">
        <f t="shared" si="531"/>
        <v>23.166</v>
      </c>
      <c r="I3405" s="11">
        <f t="shared" si="532"/>
        <v>0.27</v>
      </c>
      <c r="J3405" s="12">
        <f t="shared" si="533"/>
        <v>-23.166</v>
      </c>
      <c r="K3405" s="17" t="str">
        <f t="shared" si="538"/>
        <v>Ecart négatif</v>
      </c>
      <c r="L3405" s="16">
        <f>base!X3405</f>
        <v>0</v>
      </c>
      <c r="M3405" s="11">
        <f t="shared" si="534"/>
        <v>0</v>
      </c>
      <c r="N3405" s="11">
        <f t="shared" si="535"/>
        <v>0</v>
      </c>
      <c r="O3405" s="11">
        <f t="shared" si="536"/>
        <v>0</v>
      </c>
      <c r="P3405" s="12">
        <f t="shared" si="537"/>
        <v>0</v>
      </c>
      <c r="Q3405" s="17" t="str">
        <f t="shared" si="539"/>
        <v>Pas d'écart</v>
      </c>
    </row>
    <row r="3406" spans="1:18" x14ac:dyDescent="0.3">
      <c r="A3406" s="34" t="str">
        <f>base!J3406</f>
        <v>DLM</v>
      </c>
      <c r="B3406" s="34" t="str">
        <f>base!V3406</f>
        <v>69003</v>
      </c>
      <c r="C3406" s="37">
        <v>69</v>
      </c>
      <c r="D3406" s="36">
        <f>base!H3406</f>
        <v>52.5</v>
      </c>
      <c r="E3406" s="44"/>
      <c r="F3406" s="16">
        <f>base!W3406</f>
        <v>0</v>
      </c>
      <c r="G3406" s="11">
        <f t="shared" si="530"/>
        <v>0</v>
      </c>
      <c r="H3406" s="11">
        <f t="shared" si="531"/>
        <v>14.175000000000001</v>
      </c>
      <c r="I3406" s="11">
        <f t="shared" si="532"/>
        <v>0.27</v>
      </c>
      <c r="J3406" s="12">
        <f t="shared" si="533"/>
        <v>-14.175000000000001</v>
      </c>
      <c r="K3406" s="17" t="str">
        <f t="shared" si="538"/>
        <v>Ecart négatif</v>
      </c>
      <c r="L3406" s="16">
        <f>base!X3406</f>
        <v>0</v>
      </c>
      <c r="M3406" s="11">
        <f t="shared" si="534"/>
        <v>0</v>
      </c>
      <c r="N3406" s="11">
        <f t="shared" si="535"/>
        <v>0</v>
      </c>
      <c r="O3406" s="11">
        <f t="shared" si="536"/>
        <v>0</v>
      </c>
      <c r="P3406" s="12">
        <f t="shared" si="537"/>
        <v>0</v>
      </c>
      <c r="Q3406" s="17" t="str">
        <f t="shared" si="539"/>
        <v>Pas d'écart</v>
      </c>
    </row>
    <row r="3407" spans="1:18" x14ac:dyDescent="0.3">
      <c r="A3407" s="34" t="str">
        <f>base!J3407</f>
        <v>DLM</v>
      </c>
      <c r="B3407" s="34" t="str">
        <f>base!V3407</f>
        <v>69200</v>
      </c>
      <c r="C3407" s="37">
        <v>69</v>
      </c>
      <c r="D3407" s="36">
        <f>base!H3407</f>
        <v>52.5</v>
      </c>
      <c r="E3407" s="44"/>
      <c r="F3407" s="16">
        <f>base!W3407</f>
        <v>0</v>
      </c>
      <c r="G3407" s="11">
        <f t="shared" si="530"/>
        <v>0</v>
      </c>
      <c r="H3407" s="11">
        <f t="shared" si="531"/>
        <v>14.175000000000001</v>
      </c>
      <c r="I3407" s="11">
        <f t="shared" si="532"/>
        <v>0.27</v>
      </c>
      <c r="J3407" s="12">
        <f t="shared" si="533"/>
        <v>-14.175000000000001</v>
      </c>
      <c r="K3407" s="17" t="str">
        <f t="shared" si="538"/>
        <v>Ecart négatif</v>
      </c>
      <c r="L3407" s="16">
        <f>base!X3407</f>
        <v>0</v>
      </c>
      <c r="M3407" s="11">
        <f t="shared" si="534"/>
        <v>0</v>
      </c>
      <c r="N3407" s="11">
        <f t="shared" si="535"/>
        <v>0</v>
      </c>
      <c r="O3407" s="11">
        <f t="shared" si="536"/>
        <v>0</v>
      </c>
      <c r="P3407" s="12">
        <f t="shared" si="537"/>
        <v>0</v>
      </c>
      <c r="Q3407" s="17" t="str">
        <f t="shared" si="539"/>
        <v>Pas d'écart</v>
      </c>
    </row>
    <row r="3408" spans="1:18" x14ac:dyDescent="0.3">
      <c r="A3408" s="34" t="str">
        <f>base!J3408</f>
        <v>DLM</v>
      </c>
      <c r="B3408" s="34" t="str">
        <f>base!V3408</f>
        <v>94140</v>
      </c>
      <c r="C3408" s="37">
        <v>94</v>
      </c>
      <c r="D3408" s="36">
        <f>base!H3408</f>
        <v>52.5</v>
      </c>
      <c r="E3408" s="44"/>
      <c r="F3408" s="16">
        <f>base!W3408</f>
        <v>0</v>
      </c>
      <c r="G3408" s="11">
        <f t="shared" si="530"/>
        <v>0</v>
      </c>
      <c r="H3408" s="11">
        <f t="shared" si="531"/>
        <v>0</v>
      </c>
      <c r="I3408" s="11">
        <f t="shared" si="532"/>
        <v>0</v>
      </c>
      <c r="J3408" s="12">
        <f t="shared" si="533"/>
        <v>0</v>
      </c>
      <c r="K3408" s="17" t="str">
        <f t="shared" si="538"/>
        <v>Pas d'écart</v>
      </c>
      <c r="L3408" s="16">
        <f>base!X3408</f>
        <v>0</v>
      </c>
      <c r="M3408" s="11">
        <f t="shared" si="534"/>
        <v>0</v>
      </c>
      <c r="N3408" s="11">
        <f t="shared" si="535"/>
        <v>0</v>
      </c>
      <c r="O3408" s="11">
        <f t="shared" si="536"/>
        <v>0</v>
      </c>
      <c r="P3408" s="12">
        <f t="shared" si="537"/>
        <v>0</v>
      </c>
      <c r="Q3408" s="17" t="str">
        <f t="shared" si="539"/>
        <v>Pas d'écart</v>
      </c>
    </row>
    <row r="3409" spans="1:17" x14ac:dyDescent="0.3">
      <c r="A3409" s="34" t="str">
        <f>base!J3409</f>
        <v>DLM</v>
      </c>
      <c r="B3409" s="34" t="str">
        <f>base!V3409</f>
        <v>69003</v>
      </c>
      <c r="C3409" s="37">
        <v>69</v>
      </c>
      <c r="D3409" s="36">
        <f>base!H3409</f>
        <v>52.5</v>
      </c>
      <c r="E3409" s="44"/>
      <c r="F3409" s="16">
        <f>base!W3409</f>
        <v>0</v>
      </c>
      <c r="G3409" s="11">
        <f t="shared" si="530"/>
        <v>0</v>
      </c>
      <c r="H3409" s="11">
        <f t="shared" si="531"/>
        <v>14.175000000000001</v>
      </c>
      <c r="I3409" s="11">
        <f t="shared" si="532"/>
        <v>0.27</v>
      </c>
      <c r="J3409" s="12">
        <f t="shared" si="533"/>
        <v>-14.175000000000001</v>
      </c>
      <c r="K3409" s="17" t="str">
        <f t="shared" si="538"/>
        <v>Ecart négatif</v>
      </c>
      <c r="L3409" s="16">
        <f>base!X3409</f>
        <v>0</v>
      </c>
      <c r="M3409" s="11">
        <f t="shared" si="534"/>
        <v>0</v>
      </c>
      <c r="N3409" s="11">
        <f t="shared" si="535"/>
        <v>0</v>
      </c>
      <c r="O3409" s="11">
        <f t="shared" si="536"/>
        <v>0</v>
      </c>
      <c r="P3409" s="12">
        <f t="shared" si="537"/>
        <v>0</v>
      </c>
      <c r="Q3409" s="17" t="str">
        <f t="shared" si="539"/>
        <v>Pas d'écart</v>
      </c>
    </row>
    <row r="3410" spans="1:17" x14ac:dyDescent="0.3">
      <c r="A3410" s="34" t="str">
        <f>base!J3410</f>
        <v>RS</v>
      </c>
      <c r="B3410" s="34" t="str">
        <f>base!V3410</f>
        <v>45310</v>
      </c>
      <c r="C3410" s="37">
        <v>45</v>
      </c>
      <c r="D3410" s="36">
        <f>base!H3410</f>
        <v>22.5</v>
      </c>
      <c r="E3410" s="44"/>
      <c r="F3410" s="16">
        <f>base!W3410</f>
        <v>0</v>
      </c>
      <c r="G3410" s="11">
        <f t="shared" si="530"/>
        <v>0</v>
      </c>
      <c r="H3410" s="11">
        <f t="shared" si="531"/>
        <v>4.7249999999999996</v>
      </c>
      <c r="I3410" s="11">
        <f t="shared" si="532"/>
        <v>0.21</v>
      </c>
      <c r="J3410" s="12">
        <f t="shared" si="533"/>
        <v>-4.7249999999999996</v>
      </c>
      <c r="K3410" s="17" t="str">
        <f t="shared" si="538"/>
        <v>Ecart négatif</v>
      </c>
      <c r="L3410" s="16">
        <f>base!X3410</f>
        <v>0</v>
      </c>
      <c r="M3410" s="11">
        <f t="shared" si="534"/>
        <v>0</v>
      </c>
      <c r="N3410" s="11">
        <f t="shared" si="535"/>
        <v>2.6999999999999997</v>
      </c>
      <c r="O3410" s="11">
        <f t="shared" si="536"/>
        <v>0.11999999999999998</v>
      </c>
      <c r="P3410" s="12">
        <f t="shared" si="537"/>
        <v>-2.6999999999999997</v>
      </c>
      <c r="Q3410" s="17" t="str">
        <f t="shared" si="539"/>
        <v>Ecart négatif</v>
      </c>
    </row>
    <row r="3411" spans="1:17" x14ac:dyDescent="0.3">
      <c r="A3411" s="34" t="str">
        <f>base!J3411</f>
        <v>RM</v>
      </c>
      <c r="B3411" s="34" t="str">
        <f>base!V3411</f>
        <v>69200</v>
      </c>
      <c r="C3411" s="37">
        <v>69</v>
      </c>
      <c r="D3411" s="36">
        <f>base!H3411</f>
        <v>28</v>
      </c>
      <c r="E3411" s="44"/>
      <c r="F3411" s="16">
        <f>base!W3411</f>
        <v>0</v>
      </c>
      <c r="G3411" s="11">
        <f t="shared" si="530"/>
        <v>0</v>
      </c>
      <c r="H3411" s="11">
        <f t="shared" si="531"/>
        <v>7.5600000000000005</v>
      </c>
      <c r="I3411" s="11">
        <f t="shared" si="532"/>
        <v>0.27</v>
      </c>
      <c r="J3411" s="12">
        <f t="shared" si="533"/>
        <v>-7.5600000000000005</v>
      </c>
      <c r="K3411" s="17" t="str">
        <f t="shared" si="538"/>
        <v>Ecart négatif</v>
      </c>
      <c r="L3411" s="16">
        <f>base!X3411</f>
        <v>0</v>
      </c>
      <c r="M3411" s="11">
        <f t="shared" si="534"/>
        <v>0</v>
      </c>
      <c r="N3411" s="11">
        <f t="shared" si="535"/>
        <v>0</v>
      </c>
      <c r="O3411" s="11">
        <f t="shared" si="536"/>
        <v>0</v>
      </c>
      <c r="P3411" s="12">
        <f t="shared" si="537"/>
        <v>0</v>
      </c>
      <c r="Q3411" s="17" t="str">
        <f t="shared" si="539"/>
        <v>Pas d'écart</v>
      </c>
    </row>
    <row r="3412" spans="1:17" x14ac:dyDescent="0.3">
      <c r="A3412" s="34" t="str">
        <f>base!J3412</f>
        <v>DRS</v>
      </c>
      <c r="B3412" s="34" t="str">
        <f>base!V3412</f>
        <v>91940</v>
      </c>
      <c r="C3412" s="37">
        <v>91</v>
      </c>
      <c r="D3412" s="36">
        <f>base!H3412</f>
        <v>55</v>
      </c>
      <c r="E3412" s="44"/>
      <c r="F3412" s="16">
        <f>base!W3412</f>
        <v>0</v>
      </c>
      <c r="G3412" s="11">
        <f t="shared" si="530"/>
        <v>0</v>
      </c>
      <c r="H3412" s="11">
        <f t="shared" si="531"/>
        <v>0</v>
      </c>
      <c r="I3412" s="11">
        <f t="shared" si="532"/>
        <v>0</v>
      </c>
      <c r="J3412" s="12">
        <f t="shared" si="533"/>
        <v>0</v>
      </c>
      <c r="K3412" s="17" t="str">
        <f t="shared" si="538"/>
        <v>Pas d'écart</v>
      </c>
      <c r="L3412" s="16">
        <f>base!X3412</f>
        <v>0</v>
      </c>
      <c r="M3412" s="11">
        <f t="shared" si="534"/>
        <v>0</v>
      </c>
      <c r="N3412" s="11">
        <f t="shared" si="535"/>
        <v>0</v>
      </c>
      <c r="O3412" s="11">
        <f t="shared" si="536"/>
        <v>0</v>
      </c>
      <c r="P3412" s="12">
        <f t="shared" si="537"/>
        <v>0</v>
      </c>
      <c r="Q3412" s="17" t="str">
        <f t="shared" si="539"/>
        <v>Pas d'écart</v>
      </c>
    </row>
    <row r="3413" spans="1:17" x14ac:dyDescent="0.3">
      <c r="A3413" s="34" t="str">
        <f>base!J3413</f>
        <v>RM</v>
      </c>
      <c r="B3413" s="34" t="str">
        <f>base!V3413</f>
        <v>06560</v>
      </c>
      <c r="C3413" s="37">
        <v>6</v>
      </c>
      <c r="D3413" s="36">
        <f>base!H3413</f>
        <v>151</v>
      </c>
      <c r="E3413" s="44"/>
      <c r="F3413" s="16">
        <f>base!W3413</f>
        <v>0</v>
      </c>
      <c r="G3413" s="11">
        <f t="shared" si="530"/>
        <v>0</v>
      </c>
      <c r="H3413" s="11">
        <f t="shared" si="531"/>
        <v>45.3</v>
      </c>
      <c r="I3413" s="11">
        <f t="shared" si="532"/>
        <v>0.3</v>
      </c>
      <c r="J3413" s="12">
        <f t="shared" si="533"/>
        <v>-45.3</v>
      </c>
      <c r="K3413" s="17" t="str">
        <f t="shared" si="538"/>
        <v>Ecart négatif</v>
      </c>
      <c r="L3413" s="16">
        <f>base!X3413</f>
        <v>0</v>
      </c>
      <c r="M3413" s="11">
        <f t="shared" si="534"/>
        <v>0</v>
      </c>
      <c r="N3413" s="11">
        <f t="shared" si="535"/>
        <v>31.709999999999997</v>
      </c>
      <c r="O3413" s="11">
        <f t="shared" si="536"/>
        <v>0.21</v>
      </c>
      <c r="P3413" s="12">
        <f t="shared" si="537"/>
        <v>-31.709999999999997</v>
      </c>
      <c r="Q3413" s="17" t="str">
        <f t="shared" si="539"/>
        <v>Ecart négatif</v>
      </c>
    </row>
    <row r="3414" spans="1:17" x14ac:dyDescent="0.3">
      <c r="A3414" s="34" t="str">
        <f>base!J3414</f>
        <v>RS</v>
      </c>
      <c r="B3414" s="34" t="str">
        <f>base!V3414</f>
        <v>06560</v>
      </c>
      <c r="C3414" s="37">
        <v>6</v>
      </c>
      <c r="D3414" s="36">
        <f>base!H3414</f>
        <v>151</v>
      </c>
      <c r="E3414" s="44"/>
      <c r="F3414" s="16">
        <f>base!W3414</f>
        <v>0</v>
      </c>
      <c r="G3414" s="11">
        <f t="shared" si="530"/>
        <v>0</v>
      </c>
      <c r="H3414" s="11">
        <f t="shared" si="531"/>
        <v>45.3</v>
      </c>
      <c r="I3414" s="11">
        <f t="shared" si="532"/>
        <v>0.3</v>
      </c>
      <c r="J3414" s="12">
        <f t="shared" si="533"/>
        <v>-45.3</v>
      </c>
      <c r="K3414" s="17" t="str">
        <f t="shared" si="538"/>
        <v>Ecart négatif</v>
      </c>
      <c r="L3414" s="16">
        <f>base!X3414</f>
        <v>0</v>
      </c>
      <c r="M3414" s="11">
        <f t="shared" si="534"/>
        <v>0</v>
      </c>
      <c r="N3414" s="11">
        <f t="shared" si="535"/>
        <v>31.709999999999997</v>
      </c>
      <c r="O3414" s="11">
        <f t="shared" si="536"/>
        <v>0.21</v>
      </c>
      <c r="P3414" s="12">
        <f t="shared" si="537"/>
        <v>-31.709999999999997</v>
      </c>
      <c r="Q3414" s="17" t="str">
        <f t="shared" si="539"/>
        <v>Ecart négatif</v>
      </c>
    </row>
    <row r="3415" spans="1:17" x14ac:dyDescent="0.3">
      <c r="A3415" s="34">
        <f>base!J3415</f>
        <v>0</v>
      </c>
      <c r="B3415" s="34" t="str">
        <f>base!V3415</f>
        <v>77184</v>
      </c>
      <c r="C3415" s="37">
        <v>77</v>
      </c>
      <c r="D3415" s="36">
        <f>base!H3415</f>
        <v>25</v>
      </c>
      <c r="E3415" s="44"/>
      <c r="F3415" s="16">
        <f>base!W3415</f>
        <v>0</v>
      </c>
      <c r="G3415" s="11">
        <f t="shared" si="530"/>
        <v>0</v>
      </c>
      <c r="H3415" s="11">
        <f t="shared" si="531"/>
        <v>0</v>
      </c>
      <c r="I3415" s="11">
        <f t="shared" si="532"/>
        <v>0</v>
      </c>
      <c r="J3415" s="12">
        <f t="shared" si="533"/>
        <v>0</v>
      </c>
      <c r="K3415" s="17" t="str">
        <f t="shared" si="538"/>
        <v>Pas d'écart</v>
      </c>
      <c r="L3415" s="16">
        <f>base!X3415</f>
        <v>0</v>
      </c>
      <c r="M3415" s="11">
        <f t="shared" si="534"/>
        <v>0</v>
      </c>
      <c r="N3415" s="11">
        <f t="shared" si="535"/>
        <v>0</v>
      </c>
      <c r="O3415" s="11">
        <f t="shared" si="536"/>
        <v>0</v>
      </c>
      <c r="P3415" s="12">
        <f t="shared" si="537"/>
        <v>0</v>
      </c>
      <c r="Q3415" s="17" t="str">
        <f t="shared" si="539"/>
        <v>Pas d'écart</v>
      </c>
    </row>
    <row r="3416" spans="1:17" x14ac:dyDescent="0.3">
      <c r="A3416" s="34" t="str">
        <f>base!J3416</f>
        <v>DRM</v>
      </c>
      <c r="B3416" s="34" t="str">
        <f>base!V3416</f>
        <v>38230</v>
      </c>
      <c r="C3416" s="37">
        <v>38</v>
      </c>
      <c r="D3416" s="36">
        <f>base!H3416</f>
        <v>23.4</v>
      </c>
      <c r="E3416" s="44"/>
      <c r="F3416" s="16">
        <f>base!W3416</f>
        <v>0</v>
      </c>
      <c r="G3416" s="11">
        <f t="shared" si="530"/>
        <v>0</v>
      </c>
      <c r="H3416" s="11">
        <f t="shared" si="531"/>
        <v>6.3179999999999996</v>
      </c>
      <c r="I3416" s="11">
        <f t="shared" si="532"/>
        <v>0.27</v>
      </c>
      <c r="J3416" s="12">
        <f t="shared" si="533"/>
        <v>-6.3179999999999996</v>
      </c>
      <c r="K3416" s="17" t="str">
        <f t="shared" si="538"/>
        <v>Ecart négatif</v>
      </c>
      <c r="L3416" s="16">
        <f>base!X3416</f>
        <v>0</v>
      </c>
      <c r="M3416" s="11">
        <f t="shared" si="534"/>
        <v>0</v>
      </c>
      <c r="N3416" s="11">
        <f t="shared" si="535"/>
        <v>0</v>
      </c>
      <c r="O3416" s="11">
        <f t="shared" si="536"/>
        <v>0</v>
      </c>
      <c r="P3416" s="12">
        <f t="shared" si="537"/>
        <v>0</v>
      </c>
      <c r="Q3416" s="17" t="str">
        <f t="shared" si="539"/>
        <v>Pas d'écart</v>
      </c>
    </row>
    <row r="3417" spans="1:17" x14ac:dyDescent="0.3">
      <c r="A3417" s="34">
        <f>base!J3417</f>
        <v>0</v>
      </c>
      <c r="B3417" s="34" t="str">
        <f>base!V3417</f>
        <v>77184</v>
      </c>
      <c r="C3417" s="37">
        <v>77</v>
      </c>
      <c r="D3417" s="36">
        <f>base!H3417</f>
        <v>84.5</v>
      </c>
      <c r="E3417" s="44"/>
      <c r="F3417" s="16">
        <f>base!W3417</f>
        <v>0</v>
      </c>
      <c r="G3417" s="11">
        <f t="shared" si="530"/>
        <v>0</v>
      </c>
      <c r="H3417" s="11">
        <f t="shared" si="531"/>
        <v>0</v>
      </c>
      <c r="I3417" s="11">
        <f t="shared" si="532"/>
        <v>0</v>
      </c>
      <c r="J3417" s="12">
        <f t="shared" si="533"/>
        <v>0</v>
      </c>
      <c r="K3417" s="17" t="str">
        <f t="shared" si="538"/>
        <v>Pas d'écart</v>
      </c>
      <c r="L3417" s="16">
        <f>base!X3417</f>
        <v>0</v>
      </c>
      <c r="M3417" s="11">
        <f t="shared" si="534"/>
        <v>0</v>
      </c>
      <c r="N3417" s="11">
        <f t="shared" si="535"/>
        <v>0</v>
      </c>
      <c r="O3417" s="11">
        <f t="shared" si="536"/>
        <v>0</v>
      </c>
      <c r="P3417" s="12">
        <f t="shared" si="537"/>
        <v>0</v>
      </c>
      <c r="Q3417" s="17" t="str">
        <f t="shared" si="539"/>
        <v>Pas d'écart</v>
      </c>
    </row>
    <row r="3418" spans="1:17" x14ac:dyDescent="0.3">
      <c r="A3418" s="34" t="str">
        <f>base!J3418</f>
        <v>LM</v>
      </c>
      <c r="B3418" s="34" t="str">
        <f>base!V3418</f>
        <v>69002</v>
      </c>
      <c r="C3418" s="37">
        <v>69</v>
      </c>
      <c r="D3418" s="36">
        <f>base!H3418</f>
        <v>19.8</v>
      </c>
      <c r="E3418" s="44"/>
      <c r="F3418" s="16">
        <f>base!W3418</f>
        <v>5.35</v>
      </c>
      <c r="G3418" s="11">
        <f t="shared" si="530"/>
        <v>0.27020202020202017</v>
      </c>
      <c r="H3418" s="11">
        <f t="shared" si="531"/>
        <v>5.346000000000001</v>
      </c>
      <c r="I3418" s="11">
        <f t="shared" si="532"/>
        <v>0.27</v>
      </c>
      <c r="J3418" s="12">
        <f t="shared" si="533"/>
        <v>3.9999999999986713E-3</v>
      </c>
      <c r="K3418" s="17" t="str">
        <f t="shared" si="538"/>
        <v>Ecart positif</v>
      </c>
      <c r="L3418" s="16">
        <f>base!X3418</f>
        <v>0</v>
      </c>
      <c r="M3418" s="11">
        <f t="shared" si="534"/>
        <v>0</v>
      </c>
      <c r="N3418" s="11">
        <f t="shared" si="535"/>
        <v>0</v>
      </c>
      <c r="O3418" s="11">
        <f t="shared" si="536"/>
        <v>0</v>
      </c>
      <c r="P3418" s="12">
        <f t="shared" si="537"/>
        <v>0</v>
      </c>
      <c r="Q3418" s="17" t="str">
        <f t="shared" si="539"/>
        <v>Pas d'écart</v>
      </c>
    </row>
    <row r="3419" spans="1:17" x14ac:dyDescent="0.3">
      <c r="A3419" s="34" t="str">
        <f>base!J3419</f>
        <v>LM</v>
      </c>
      <c r="B3419" s="34" t="str">
        <f>base!V3419</f>
        <v>01000</v>
      </c>
      <c r="C3419" s="37">
        <v>69</v>
      </c>
      <c r="D3419" s="36">
        <f>base!H3419</f>
        <v>67.569999999999993</v>
      </c>
      <c r="E3419" s="44"/>
      <c r="F3419" s="16">
        <f>base!W3419</f>
        <v>18.239999999999998</v>
      </c>
      <c r="G3419" s="11">
        <f t="shared" si="530"/>
        <v>0.26994228207784521</v>
      </c>
      <c r="H3419" s="11">
        <f t="shared" si="531"/>
        <v>18.2439</v>
      </c>
      <c r="I3419" s="11">
        <f t="shared" si="532"/>
        <v>0.27</v>
      </c>
      <c r="J3419" s="12">
        <f t="shared" si="533"/>
        <v>-3.9000000000015689E-3</v>
      </c>
      <c r="K3419" s="17" t="str">
        <f t="shared" si="538"/>
        <v>Ecart négatif</v>
      </c>
      <c r="L3419" s="16">
        <f>base!X3419</f>
        <v>0</v>
      </c>
      <c r="M3419" s="11">
        <f t="shared" si="534"/>
        <v>0</v>
      </c>
      <c r="N3419" s="11">
        <f t="shared" si="535"/>
        <v>0</v>
      </c>
      <c r="O3419" s="11">
        <f t="shared" si="536"/>
        <v>0</v>
      </c>
      <c r="P3419" s="12">
        <f t="shared" si="537"/>
        <v>0</v>
      </c>
      <c r="Q3419" s="17" t="str">
        <f t="shared" si="539"/>
        <v>Pas d'écart</v>
      </c>
    </row>
    <row r="3420" spans="1:17" x14ac:dyDescent="0.3">
      <c r="A3420" s="34" t="str">
        <f>base!J3420</f>
        <v>DLM</v>
      </c>
      <c r="B3420" s="34" t="str">
        <f>base!V3420</f>
        <v>38510</v>
      </c>
      <c r="C3420" s="37">
        <v>38</v>
      </c>
      <c r="D3420" s="36">
        <f>base!H3420</f>
        <v>140</v>
      </c>
      <c r="E3420" s="44"/>
      <c r="F3420" s="16">
        <f>base!W3420</f>
        <v>0</v>
      </c>
      <c r="G3420" s="11">
        <f t="shared" si="530"/>
        <v>0</v>
      </c>
      <c r="H3420" s="11">
        <f t="shared" si="531"/>
        <v>37.800000000000004</v>
      </c>
      <c r="I3420" s="11">
        <f t="shared" si="532"/>
        <v>0.27</v>
      </c>
      <c r="J3420" s="12">
        <f t="shared" si="533"/>
        <v>-37.800000000000004</v>
      </c>
      <c r="K3420" s="17" t="str">
        <f t="shared" si="538"/>
        <v>Ecart négatif</v>
      </c>
      <c r="L3420" s="16">
        <f>base!X3420</f>
        <v>0</v>
      </c>
      <c r="M3420" s="11">
        <f t="shared" si="534"/>
        <v>0</v>
      </c>
      <c r="N3420" s="11">
        <f t="shared" si="535"/>
        <v>0</v>
      </c>
      <c r="O3420" s="11">
        <f t="shared" si="536"/>
        <v>0</v>
      </c>
      <c r="P3420" s="12">
        <f t="shared" si="537"/>
        <v>0</v>
      </c>
      <c r="Q3420" s="17" t="str">
        <f t="shared" si="539"/>
        <v>Pas d'écart</v>
      </c>
    </row>
    <row r="3421" spans="1:17" x14ac:dyDescent="0.3">
      <c r="A3421" s="34" t="str">
        <f>base!J3421</f>
        <v>RM</v>
      </c>
      <c r="B3421" s="34" t="str">
        <f>base!V3421</f>
        <v>75013</v>
      </c>
      <c r="C3421" s="37">
        <v>75</v>
      </c>
      <c r="D3421" s="36">
        <f>base!H3421</f>
        <v>151</v>
      </c>
      <c r="E3421" s="44"/>
      <c r="F3421" s="16">
        <f>base!W3421</f>
        <v>0</v>
      </c>
      <c r="G3421" s="11">
        <f t="shared" si="530"/>
        <v>0</v>
      </c>
      <c r="H3421" s="11">
        <f t="shared" si="531"/>
        <v>0</v>
      </c>
      <c r="I3421" s="11">
        <f t="shared" si="532"/>
        <v>0</v>
      </c>
      <c r="J3421" s="12">
        <f t="shared" si="533"/>
        <v>0</v>
      </c>
      <c r="K3421" s="17" t="str">
        <f t="shared" si="538"/>
        <v>Pas d'écart</v>
      </c>
      <c r="L3421" s="16">
        <f>base!X3421</f>
        <v>0</v>
      </c>
      <c r="M3421" s="11">
        <f t="shared" si="534"/>
        <v>0</v>
      </c>
      <c r="N3421" s="11">
        <f t="shared" si="535"/>
        <v>0</v>
      </c>
      <c r="O3421" s="11">
        <f t="shared" si="536"/>
        <v>0</v>
      </c>
      <c r="P3421" s="12">
        <f t="shared" si="537"/>
        <v>0</v>
      </c>
      <c r="Q3421" s="17" t="str">
        <f t="shared" si="539"/>
        <v>Pas d'écart</v>
      </c>
    </row>
    <row r="3422" spans="1:17" x14ac:dyDescent="0.3">
      <c r="A3422" s="34" t="str">
        <f>base!J3422</f>
        <v>LM</v>
      </c>
      <c r="B3422" s="34" t="str">
        <f>base!V3422</f>
        <v>25300</v>
      </c>
      <c r="C3422" s="37">
        <v>69</v>
      </c>
      <c r="D3422" s="36">
        <f>base!H3422</f>
        <v>28.26</v>
      </c>
      <c r="E3422" s="44"/>
      <c r="F3422" s="16">
        <f>base!W3422</f>
        <v>0</v>
      </c>
      <c r="G3422" s="11">
        <f t="shared" si="530"/>
        <v>0</v>
      </c>
      <c r="H3422" s="11">
        <f t="shared" si="531"/>
        <v>7.6302000000000012</v>
      </c>
      <c r="I3422" s="11">
        <f t="shared" si="532"/>
        <v>0.27</v>
      </c>
      <c r="J3422" s="12">
        <f t="shared" si="533"/>
        <v>-7.6302000000000012</v>
      </c>
      <c r="K3422" s="17" t="str">
        <f t="shared" si="538"/>
        <v>Ecart négatif</v>
      </c>
      <c r="L3422" s="16">
        <f>base!X3422</f>
        <v>0</v>
      </c>
      <c r="M3422" s="11">
        <f t="shared" si="534"/>
        <v>0</v>
      </c>
      <c r="N3422" s="11">
        <f t="shared" si="535"/>
        <v>0</v>
      </c>
      <c r="O3422" s="11">
        <f t="shared" si="536"/>
        <v>0</v>
      </c>
      <c r="P3422" s="12">
        <f t="shared" si="537"/>
        <v>0</v>
      </c>
      <c r="Q3422" s="17" t="str">
        <f t="shared" si="539"/>
        <v>Pas d'écart</v>
      </c>
    </row>
    <row r="3423" spans="1:17" x14ac:dyDescent="0.3">
      <c r="A3423" s="34">
        <f>base!J3423</f>
        <v>0</v>
      </c>
      <c r="B3423" s="34" t="str">
        <f>base!V3423</f>
        <v>77184</v>
      </c>
      <c r="C3423" s="37">
        <v>77</v>
      </c>
      <c r="D3423" s="36">
        <f>base!H3423</f>
        <v>90.94</v>
      </c>
      <c r="E3423" s="44"/>
      <c r="F3423" s="16">
        <f>base!W3423</f>
        <v>0</v>
      </c>
      <c r="G3423" s="11">
        <f t="shared" si="530"/>
        <v>0</v>
      </c>
      <c r="H3423" s="11">
        <f t="shared" si="531"/>
        <v>0</v>
      </c>
      <c r="I3423" s="11">
        <f t="shared" si="532"/>
        <v>0</v>
      </c>
      <c r="J3423" s="12">
        <f t="shared" si="533"/>
        <v>0</v>
      </c>
      <c r="K3423" s="17" t="str">
        <f t="shared" si="538"/>
        <v>Pas d'écart</v>
      </c>
      <c r="L3423" s="16">
        <f>base!X3423</f>
        <v>0</v>
      </c>
      <c r="M3423" s="11">
        <f t="shared" si="534"/>
        <v>0</v>
      </c>
      <c r="N3423" s="11">
        <f t="shared" si="535"/>
        <v>0</v>
      </c>
      <c r="O3423" s="11">
        <f t="shared" si="536"/>
        <v>0</v>
      </c>
      <c r="P3423" s="12">
        <f t="shared" si="537"/>
        <v>0</v>
      </c>
      <c r="Q3423" s="17" t="str">
        <f t="shared" si="539"/>
        <v>Pas d'écart</v>
      </c>
    </row>
    <row r="3424" spans="1:17" x14ac:dyDescent="0.3">
      <c r="A3424" s="34" t="str">
        <f>base!J3424</f>
        <v>DLM</v>
      </c>
      <c r="B3424" s="34" t="str">
        <f>base!V3424</f>
        <v>69800</v>
      </c>
      <c r="C3424" s="37">
        <v>69</v>
      </c>
      <c r="D3424" s="36">
        <f>base!H3424</f>
        <v>151</v>
      </c>
      <c r="E3424" s="44"/>
      <c r="F3424" s="16">
        <f>base!W3424</f>
        <v>0</v>
      </c>
      <c r="G3424" s="11">
        <f t="shared" si="530"/>
        <v>0</v>
      </c>
      <c r="H3424" s="11">
        <f t="shared" si="531"/>
        <v>40.770000000000003</v>
      </c>
      <c r="I3424" s="11">
        <f t="shared" si="532"/>
        <v>0.27</v>
      </c>
      <c r="J3424" s="12">
        <f t="shared" si="533"/>
        <v>-40.770000000000003</v>
      </c>
      <c r="K3424" s="17" t="str">
        <f t="shared" si="538"/>
        <v>Ecart négatif</v>
      </c>
      <c r="L3424" s="16">
        <f>base!X3424</f>
        <v>0</v>
      </c>
      <c r="M3424" s="11">
        <f t="shared" si="534"/>
        <v>0</v>
      </c>
      <c r="N3424" s="11">
        <f t="shared" si="535"/>
        <v>0</v>
      </c>
      <c r="O3424" s="11">
        <f t="shared" si="536"/>
        <v>0</v>
      </c>
      <c r="P3424" s="12">
        <f t="shared" si="537"/>
        <v>0</v>
      </c>
      <c r="Q3424" s="17" t="str">
        <f t="shared" si="539"/>
        <v>Pas d'écart</v>
      </c>
    </row>
    <row r="3425" spans="1:18" x14ac:dyDescent="0.3">
      <c r="A3425" s="34">
        <f>base!J3425</f>
        <v>0</v>
      </c>
      <c r="B3425" s="34" t="str">
        <f>base!V3425</f>
        <v>77184</v>
      </c>
      <c r="C3425" s="37">
        <v>77</v>
      </c>
      <c r="D3425" s="36">
        <f>base!H3425</f>
        <v>180</v>
      </c>
      <c r="E3425" s="44"/>
      <c r="F3425" s="16">
        <f>base!W3425</f>
        <v>0</v>
      </c>
      <c r="G3425" s="11">
        <f t="shared" si="530"/>
        <v>0</v>
      </c>
      <c r="H3425" s="11">
        <f t="shared" si="531"/>
        <v>0</v>
      </c>
      <c r="I3425" s="11">
        <f t="shared" si="532"/>
        <v>0</v>
      </c>
      <c r="J3425" s="12">
        <f t="shared" si="533"/>
        <v>0</v>
      </c>
      <c r="K3425" s="17" t="str">
        <f t="shared" si="538"/>
        <v>Pas d'écart</v>
      </c>
      <c r="L3425" s="16">
        <f>base!X3425</f>
        <v>0</v>
      </c>
      <c r="M3425" s="11">
        <f t="shared" si="534"/>
        <v>0</v>
      </c>
      <c r="N3425" s="11">
        <f t="shared" si="535"/>
        <v>0</v>
      </c>
      <c r="O3425" s="11">
        <f t="shared" si="536"/>
        <v>0</v>
      </c>
      <c r="P3425" s="12">
        <f t="shared" si="537"/>
        <v>0</v>
      </c>
      <c r="Q3425" s="17" t="str">
        <f t="shared" si="539"/>
        <v>Pas d'écart</v>
      </c>
    </row>
    <row r="3426" spans="1:18" x14ac:dyDescent="0.3">
      <c r="A3426" s="34">
        <f>base!J3426</f>
        <v>0</v>
      </c>
      <c r="B3426" s="34" t="str">
        <f>base!V3426</f>
        <v>77184</v>
      </c>
      <c r="C3426" s="37">
        <v>77</v>
      </c>
      <c r="D3426" s="36">
        <f>base!H3426</f>
        <v>25</v>
      </c>
      <c r="E3426" s="44"/>
      <c r="F3426" s="16">
        <f>base!W3426</f>
        <v>0</v>
      </c>
      <c r="G3426" s="11">
        <f t="shared" si="530"/>
        <v>0</v>
      </c>
      <c r="H3426" s="11">
        <f t="shared" si="531"/>
        <v>0</v>
      </c>
      <c r="I3426" s="11">
        <f t="shared" si="532"/>
        <v>0</v>
      </c>
      <c r="J3426" s="12">
        <f t="shared" si="533"/>
        <v>0</v>
      </c>
      <c r="K3426" s="17" t="str">
        <f t="shared" si="538"/>
        <v>Pas d'écart</v>
      </c>
      <c r="L3426" s="16">
        <f>base!X3426</f>
        <v>0</v>
      </c>
      <c r="M3426" s="11">
        <f t="shared" si="534"/>
        <v>0</v>
      </c>
      <c r="N3426" s="11">
        <f t="shared" si="535"/>
        <v>0</v>
      </c>
      <c r="O3426" s="11">
        <f t="shared" si="536"/>
        <v>0</v>
      </c>
      <c r="P3426" s="12">
        <f t="shared" si="537"/>
        <v>0</v>
      </c>
      <c r="Q3426" s="17" t="str">
        <f t="shared" si="539"/>
        <v>Pas d'écart</v>
      </c>
    </row>
    <row r="3427" spans="1:18" x14ac:dyDescent="0.3">
      <c r="A3427" s="34" t="str">
        <f>base!J3427</f>
        <v>RM</v>
      </c>
      <c r="B3427" s="34" t="str">
        <f>base!V3427</f>
        <v>67100</v>
      </c>
      <c r="C3427" s="37">
        <v>67</v>
      </c>
      <c r="D3427" s="36">
        <f>base!H3427</f>
        <v>29</v>
      </c>
      <c r="E3427" s="44"/>
      <c r="F3427" s="16">
        <f>base!W3427</f>
        <v>0</v>
      </c>
      <c r="G3427" s="11">
        <f t="shared" si="530"/>
        <v>0</v>
      </c>
      <c r="H3427" s="11">
        <f t="shared" si="531"/>
        <v>8.41</v>
      </c>
      <c r="I3427" s="11">
        <f t="shared" si="532"/>
        <v>0.28999999999999998</v>
      </c>
      <c r="J3427" s="12">
        <f t="shared" si="533"/>
        <v>-8.41</v>
      </c>
      <c r="K3427" s="17" t="str">
        <f t="shared" si="538"/>
        <v>Ecart négatif</v>
      </c>
      <c r="L3427" s="16">
        <f>base!X3427</f>
        <v>2.3199999999999998</v>
      </c>
      <c r="M3427" s="11">
        <f t="shared" si="534"/>
        <v>7.9999999999999988E-2</v>
      </c>
      <c r="N3427" s="11">
        <f t="shared" si="535"/>
        <v>2.3199999999999998</v>
      </c>
      <c r="O3427" s="11">
        <f t="shared" si="536"/>
        <v>7.9999999999999988E-2</v>
      </c>
      <c r="P3427" s="12">
        <f t="shared" si="537"/>
        <v>0</v>
      </c>
      <c r="Q3427" s="17" t="str">
        <f t="shared" si="539"/>
        <v>Pas d'écart</v>
      </c>
      <c r="R3427" s="38"/>
    </row>
    <row r="3428" spans="1:18" x14ac:dyDescent="0.3">
      <c r="A3428" s="34" t="str">
        <f>base!J3428</f>
        <v>RM</v>
      </c>
      <c r="B3428" s="34" t="str">
        <f>base!V3428</f>
        <v>60230</v>
      </c>
      <c r="C3428" s="37">
        <v>60</v>
      </c>
      <c r="D3428" s="36">
        <f>base!H3428</f>
        <v>180</v>
      </c>
      <c r="E3428" s="44"/>
      <c r="F3428" s="16">
        <f>base!W3428</f>
        <v>0</v>
      </c>
      <c r="G3428" s="11">
        <f t="shared" si="530"/>
        <v>0</v>
      </c>
      <c r="H3428" s="11">
        <f t="shared" si="531"/>
        <v>34.200000000000003</v>
      </c>
      <c r="I3428" s="11">
        <f t="shared" si="532"/>
        <v>0.19</v>
      </c>
      <c r="J3428" s="12">
        <f t="shared" si="533"/>
        <v>-34.200000000000003</v>
      </c>
      <c r="K3428" s="17" t="str">
        <f t="shared" si="538"/>
        <v>Ecart négatif</v>
      </c>
      <c r="L3428" s="16">
        <f>base!X3428</f>
        <v>0</v>
      </c>
      <c r="M3428" s="11">
        <f t="shared" si="534"/>
        <v>0</v>
      </c>
      <c r="N3428" s="11">
        <f t="shared" si="535"/>
        <v>0</v>
      </c>
      <c r="O3428" s="11">
        <f t="shared" si="536"/>
        <v>0</v>
      </c>
      <c r="P3428" s="12">
        <f t="shared" si="537"/>
        <v>0</v>
      </c>
      <c r="Q3428" s="17" t="str">
        <f t="shared" si="539"/>
        <v>Pas d'écart</v>
      </c>
    </row>
    <row r="3429" spans="1:18" x14ac:dyDescent="0.3">
      <c r="A3429" s="34">
        <f>base!J3429</f>
        <v>0</v>
      </c>
      <c r="B3429" s="34" t="str">
        <f>base!V3429</f>
        <v>77184</v>
      </c>
      <c r="C3429" s="37">
        <v>77</v>
      </c>
      <c r="D3429" s="36">
        <f>base!H3429</f>
        <v>84.5</v>
      </c>
      <c r="E3429" s="44"/>
      <c r="F3429" s="16">
        <f>base!W3429</f>
        <v>0</v>
      </c>
      <c r="G3429" s="11">
        <f t="shared" si="530"/>
        <v>0</v>
      </c>
      <c r="H3429" s="11">
        <f t="shared" si="531"/>
        <v>0</v>
      </c>
      <c r="I3429" s="11">
        <f t="shared" si="532"/>
        <v>0</v>
      </c>
      <c r="J3429" s="12">
        <f t="shared" si="533"/>
        <v>0</v>
      </c>
      <c r="K3429" s="17" t="str">
        <f t="shared" si="538"/>
        <v>Pas d'écart</v>
      </c>
      <c r="L3429" s="16">
        <f>base!X3429</f>
        <v>0</v>
      </c>
      <c r="M3429" s="11">
        <f t="shared" si="534"/>
        <v>0</v>
      </c>
      <c r="N3429" s="11">
        <f t="shared" si="535"/>
        <v>0</v>
      </c>
      <c r="O3429" s="11">
        <f t="shared" si="536"/>
        <v>0</v>
      </c>
      <c r="P3429" s="12">
        <f t="shared" si="537"/>
        <v>0</v>
      </c>
      <c r="Q3429" s="17" t="str">
        <f t="shared" si="539"/>
        <v>Pas d'écart</v>
      </c>
    </row>
    <row r="3430" spans="1:18" x14ac:dyDescent="0.3">
      <c r="A3430" s="34" t="str">
        <f>base!J3430</f>
        <v>RM</v>
      </c>
      <c r="B3430" s="34" t="str">
        <f>base!V3430</f>
        <v>06190</v>
      </c>
      <c r="C3430" s="37">
        <v>6</v>
      </c>
      <c r="D3430" s="36">
        <f>base!H3430</f>
        <v>83</v>
      </c>
      <c r="E3430" s="44"/>
      <c r="F3430" s="16">
        <f>base!W3430</f>
        <v>0</v>
      </c>
      <c r="G3430" s="11">
        <f t="shared" si="530"/>
        <v>0</v>
      </c>
      <c r="H3430" s="11">
        <f t="shared" si="531"/>
        <v>24.9</v>
      </c>
      <c r="I3430" s="11">
        <f t="shared" si="532"/>
        <v>0.3</v>
      </c>
      <c r="J3430" s="12">
        <f t="shared" si="533"/>
        <v>-24.9</v>
      </c>
      <c r="K3430" s="17" t="str">
        <f t="shared" si="538"/>
        <v>Ecart négatif</v>
      </c>
      <c r="L3430" s="16">
        <f>base!X3430</f>
        <v>24.9</v>
      </c>
      <c r="M3430" s="11">
        <f t="shared" si="534"/>
        <v>0.3</v>
      </c>
      <c r="N3430" s="11">
        <f t="shared" si="535"/>
        <v>17.43</v>
      </c>
      <c r="O3430" s="11">
        <f t="shared" si="536"/>
        <v>0.21</v>
      </c>
      <c r="P3430" s="12">
        <f t="shared" si="537"/>
        <v>7.4699999999999989</v>
      </c>
      <c r="Q3430" s="17" t="str">
        <f t="shared" si="539"/>
        <v>Ecart positif</v>
      </c>
      <c r="R3430" s="38"/>
    </row>
    <row r="3431" spans="1:18" x14ac:dyDescent="0.3">
      <c r="A3431" s="34" t="str">
        <f>base!J3431</f>
        <v>RS</v>
      </c>
      <c r="B3431" s="34" t="str">
        <f>base!V3431</f>
        <v>80000</v>
      </c>
      <c r="C3431" s="37">
        <v>80</v>
      </c>
      <c r="D3431" s="36">
        <f>base!H3431</f>
        <v>180</v>
      </c>
      <c r="E3431" s="44"/>
      <c r="F3431" s="16">
        <f>base!W3431</f>
        <v>0</v>
      </c>
      <c r="G3431" s="11">
        <f t="shared" si="530"/>
        <v>0</v>
      </c>
      <c r="H3431" s="11">
        <f t="shared" si="531"/>
        <v>34.200000000000003</v>
      </c>
      <c r="I3431" s="11">
        <f t="shared" si="532"/>
        <v>0.19</v>
      </c>
      <c r="J3431" s="12">
        <f t="shared" si="533"/>
        <v>-34.200000000000003</v>
      </c>
      <c r="K3431" s="17" t="str">
        <f t="shared" si="538"/>
        <v>Ecart négatif</v>
      </c>
      <c r="L3431" s="16">
        <f>base!X3431</f>
        <v>0</v>
      </c>
      <c r="M3431" s="11">
        <f t="shared" si="534"/>
        <v>0</v>
      </c>
      <c r="N3431" s="11">
        <f t="shared" si="535"/>
        <v>0</v>
      </c>
      <c r="O3431" s="11">
        <f t="shared" si="536"/>
        <v>0</v>
      </c>
      <c r="P3431" s="12">
        <f t="shared" si="537"/>
        <v>0</v>
      </c>
      <c r="Q3431" s="17" t="str">
        <f t="shared" si="539"/>
        <v>Pas d'écart</v>
      </c>
    </row>
    <row r="3432" spans="1:18" x14ac:dyDescent="0.3">
      <c r="A3432" s="34" t="str">
        <f>base!J3432</f>
        <v>LS</v>
      </c>
      <c r="B3432" s="34" t="str">
        <f>base!V3432</f>
        <v>28000</v>
      </c>
      <c r="C3432" s="37">
        <v>69</v>
      </c>
      <c r="D3432" s="36">
        <f>base!H3432</f>
        <v>55.34</v>
      </c>
      <c r="E3432" s="44"/>
      <c r="F3432" s="16">
        <f>base!W3432</f>
        <v>11.62</v>
      </c>
      <c r="G3432" s="11">
        <f t="shared" si="530"/>
        <v>0.2099747018431514</v>
      </c>
      <c r="H3432" s="11">
        <f t="shared" si="531"/>
        <v>14.941800000000002</v>
      </c>
      <c r="I3432" s="11">
        <f t="shared" si="532"/>
        <v>0.27</v>
      </c>
      <c r="J3432" s="12">
        <f t="shared" si="533"/>
        <v>-3.3218000000000032</v>
      </c>
      <c r="K3432" s="17" t="str">
        <f t="shared" si="538"/>
        <v>Ecart négatif</v>
      </c>
      <c r="L3432" s="16">
        <f>base!X3432</f>
        <v>0</v>
      </c>
      <c r="M3432" s="11">
        <f t="shared" si="534"/>
        <v>0</v>
      </c>
      <c r="N3432" s="11">
        <f t="shared" si="535"/>
        <v>0</v>
      </c>
      <c r="O3432" s="11">
        <f t="shared" si="536"/>
        <v>0</v>
      </c>
      <c r="P3432" s="12">
        <f t="shared" si="537"/>
        <v>0</v>
      </c>
      <c r="Q3432" s="17" t="str">
        <f t="shared" si="539"/>
        <v>Pas d'écart</v>
      </c>
    </row>
    <row r="3433" spans="1:18" x14ac:dyDescent="0.3">
      <c r="A3433" s="34" t="str">
        <f>base!J3433</f>
        <v>RS</v>
      </c>
      <c r="B3433" s="34" t="str">
        <f>base!V3433</f>
        <v>69002</v>
      </c>
      <c r="C3433" s="37">
        <v>69</v>
      </c>
      <c r="D3433" s="36">
        <f>base!H3433</f>
        <v>0</v>
      </c>
      <c r="E3433" s="44"/>
      <c r="F3433" s="16">
        <f>base!W3433</f>
        <v>0</v>
      </c>
      <c r="G3433" s="11" t="e">
        <f t="shared" si="530"/>
        <v>#DIV/0!</v>
      </c>
      <c r="H3433" s="11">
        <f t="shared" si="531"/>
        <v>0</v>
      </c>
      <c r="I3433" s="11" t="e">
        <f t="shared" si="532"/>
        <v>#DIV/0!</v>
      </c>
      <c r="J3433" s="12">
        <f t="shared" si="533"/>
        <v>0</v>
      </c>
      <c r="K3433" s="17" t="str">
        <f t="shared" si="538"/>
        <v>Pas d'écart</v>
      </c>
      <c r="L3433" s="16">
        <f>base!X3433</f>
        <v>0</v>
      </c>
      <c r="M3433" s="11" t="e">
        <f t="shared" si="534"/>
        <v>#DIV/0!</v>
      </c>
      <c r="N3433" s="11">
        <f t="shared" si="535"/>
        <v>0</v>
      </c>
      <c r="O3433" s="11" t="e">
        <f t="shared" si="536"/>
        <v>#DIV/0!</v>
      </c>
      <c r="P3433" s="12">
        <f t="shared" si="537"/>
        <v>0</v>
      </c>
      <c r="Q3433" s="17" t="str">
        <f t="shared" si="539"/>
        <v>Pas d'écart</v>
      </c>
    </row>
    <row r="3434" spans="1:18" x14ac:dyDescent="0.3">
      <c r="A3434" s="34">
        <f>base!J3434</f>
        <v>0</v>
      </c>
      <c r="B3434" s="34" t="str">
        <f>base!V3434</f>
        <v>77184</v>
      </c>
      <c r="C3434" s="37">
        <v>77</v>
      </c>
      <c r="D3434" s="36">
        <f>base!H3434</f>
        <v>202.62</v>
      </c>
      <c r="E3434" s="44"/>
      <c r="F3434" s="16">
        <f>base!W3434</f>
        <v>0</v>
      </c>
      <c r="G3434" s="11">
        <f t="shared" si="530"/>
        <v>0</v>
      </c>
      <c r="H3434" s="11">
        <f t="shared" si="531"/>
        <v>0</v>
      </c>
      <c r="I3434" s="11">
        <f t="shared" si="532"/>
        <v>0</v>
      </c>
      <c r="J3434" s="12">
        <f t="shared" si="533"/>
        <v>0</v>
      </c>
      <c r="K3434" s="17" t="str">
        <f t="shared" si="538"/>
        <v>Pas d'écart</v>
      </c>
      <c r="L3434" s="16">
        <f>base!X3434</f>
        <v>0</v>
      </c>
      <c r="M3434" s="11">
        <f t="shared" si="534"/>
        <v>0</v>
      </c>
      <c r="N3434" s="11">
        <f t="shared" si="535"/>
        <v>0</v>
      </c>
      <c r="O3434" s="11">
        <f t="shared" si="536"/>
        <v>0</v>
      </c>
      <c r="P3434" s="12">
        <f t="shared" si="537"/>
        <v>0</v>
      </c>
      <c r="Q3434" s="17" t="str">
        <f t="shared" si="539"/>
        <v>Pas d'écart</v>
      </c>
    </row>
    <row r="3435" spans="1:18" x14ac:dyDescent="0.3">
      <c r="A3435" s="34">
        <f>base!J3435</f>
        <v>0</v>
      </c>
      <c r="B3435" s="34" t="str">
        <f>base!V3435</f>
        <v>77184</v>
      </c>
      <c r="C3435" s="37">
        <v>77</v>
      </c>
      <c r="D3435" s="36">
        <f>base!H3435</f>
        <v>243.02</v>
      </c>
      <c r="E3435" s="44"/>
      <c r="F3435" s="16">
        <f>base!W3435</f>
        <v>0</v>
      </c>
      <c r="G3435" s="11">
        <f t="shared" si="530"/>
        <v>0</v>
      </c>
      <c r="H3435" s="11">
        <f t="shared" si="531"/>
        <v>0</v>
      </c>
      <c r="I3435" s="11">
        <f t="shared" si="532"/>
        <v>0</v>
      </c>
      <c r="J3435" s="12">
        <f t="shared" si="533"/>
        <v>0</v>
      </c>
      <c r="K3435" s="17" t="str">
        <f t="shared" si="538"/>
        <v>Pas d'écart</v>
      </c>
      <c r="L3435" s="16">
        <f>base!X3435</f>
        <v>0</v>
      </c>
      <c r="M3435" s="11">
        <f t="shared" si="534"/>
        <v>0</v>
      </c>
      <c r="N3435" s="11">
        <f t="shared" si="535"/>
        <v>0</v>
      </c>
      <c r="O3435" s="11">
        <f t="shared" si="536"/>
        <v>0</v>
      </c>
      <c r="P3435" s="12">
        <f t="shared" si="537"/>
        <v>0</v>
      </c>
      <c r="Q3435" s="17" t="str">
        <f t="shared" si="539"/>
        <v>Pas d'écart</v>
      </c>
    </row>
    <row r="3436" spans="1:18" x14ac:dyDescent="0.3">
      <c r="A3436" s="34" t="str">
        <f>base!J3436</f>
        <v>LM</v>
      </c>
      <c r="B3436" s="34" t="str">
        <f>base!V3436</f>
        <v>75014</v>
      </c>
      <c r="C3436" s="37">
        <v>75</v>
      </c>
      <c r="D3436" s="36">
        <f>base!H3436</f>
        <v>19.649999999999999</v>
      </c>
      <c r="E3436" s="44"/>
      <c r="F3436" s="16">
        <f>base!W3436</f>
        <v>0</v>
      </c>
      <c r="G3436" s="11">
        <f t="shared" si="530"/>
        <v>0</v>
      </c>
      <c r="H3436" s="11">
        <f t="shared" si="531"/>
        <v>0</v>
      </c>
      <c r="I3436" s="11">
        <f t="shared" si="532"/>
        <v>0</v>
      </c>
      <c r="J3436" s="12">
        <f t="shared" si="533"/>
        <v>0</v>
      </c>
      <c r="K3436" s="17" t="str">
        <f t="shared" si="538"/>
        <v>Pas d'écart</v>
      </c>
      <c r="L3436" s="16">
        <f>base!X3436</f>
        <v>0</v>
      </c>
      <c r="M3436" s="11">
        <f t="shared" si="534"/>
        <v>0</v>
      </c>
      <c r="N3436" s="11">
        <f t="shared" si="535"/>
        <v>0</v>
      </c>
      <c r="O3436" s="11">
        <f t="shared" si="536"/>
        <v>0</v>
      </c>
      <c r="P3436" s="12">
        <f t="shared" si="537"/>
        <v>0</v>
      </c>
      <c r="Q3436" s="17" t="str">
        <f t="shared" si="539"/>
        <v>Pas d'écart</v>
      </c>
    </row>
    <row r="3437" spans="1:18" x14ac:dyDescent="0.3">
      <c r="A3437" s="34" t="str">
        <f>base!J3437</f>
        <v>LM</v>
      </c>
      <c r="B3437" s="34" t="str">
        <f>base!V3437</f>
        <v>75014</v>
      </c>
      <c r="C3437" s="37">
        <v>75</v>
      </c>
      <c r="D3437" s="36">
        <f>base!H3437</f>
        <v>19.649999999999999</v>
      </c>
      <c r="E3437" s="44"/>
      <c r="F3437" s="16">
        <f>base!W3437</f>
        <v>0</v>
      </c>
      <c r="G3437" s="11">
        <f t="shared" si="530"/>
        <v>0</v>
      </c>
      <c r="H3437" s="11">
        <f t="shared" si="531"/>
        <v>0</v>
      </c>
      <c r="I3437" s="11">
        <f t="shared" si="532"/>
        <v>0</v>
      </c>
      <c r="J3437" s="12">
        <f t="shared" si="533"/>
        <v>0</v>
      </c>
      <c r="K3437" s="17" t="str">
        <f t="shared" si="538"/>
        <v>Pas d'écart</v>
      </c>
      <c r="L3437" s="16">
        <f>base!X3437</f>
        <v>0</v>
      </c>
      <c r="M3437" s="11">
        <f t="shared" si="534"/>
        <v>0</v>
      </c>
      <c r="N3437" s="11">
        <f t="shared" si="535"/>
        <v>0</v>
      </c>
      <c r="O3437" s="11">
        <f t="shared" si="536"/>
        <v>0</v>
      </c>
      <c r="P3437" s="12">
        <f t="shared" si="537"/>
        <v>0</v>
      </c>
      <c r="Q3437" s="17" t="str">
        <f t="shared" si="539"/>
        <v>Pas d'écart</v>
      </c>
    </row>
    <row r="3438" spans="1:18" x14ac:dyDescent="0.3">
      <c r="A3438" s="34" t="str">
        <f>base!J3438</f>
        <v>LM</v>
      </c>
      <c r="B3438" s="34" t="str">
        <f>base!V3438</f>
        <v>75014</v>
      </c>
      <c r="C3438" s="37">
        <v>75</v>
      </c>
      <c r="D3438" s="36">
        <f>base!H3438</f>
        <v>19.649999999999999</v>
      </c>
      <c r="E3438" s="44"/>
      <c r="F3438" s="16">
        <f>base!W3438</f>
        <v>0</v>
      </c>
      <c r="G3438" s="11">
        <f t="shared" si="530"/>
        <v>0</v>
      </c>
      <c r="H3438" s="11">
        <f t="shared" si="531"/>
        <v>0</v>
      </c>
      <c r="I3438" s="11">
        <f t="shared" si="532"/>
        <v>0</v>
      </c>
      <c r="J3438" s="12">
        <f t="shared" si="533"/>
        <v>0</v>
      </c>
      <c r="K3438" s="17" t="str">
        <f t="shared" si="538"/>
        <v>Pas d'écart</v>
      </c>
      <c r="L3438" s="16">
        <f>base!X3438</f>
        <v>0</v>
      </c>
      <c r="M3438" s="11">
        <f t="shared" si="534"/>
        <v>0</v>
      </c>
      <c r="N3438" s="11">
        <f t="shared" si="535"/>
        <v>0</v>
      </c>
      <c r="O3438" s="11">
        <f t="shared" si="536"/>
        <v>0</v>
      </c>
      <c r="P3438" s="12">
        <f t="shared" si="537"/>
        <v>0</v>
      </c>
      <c r="Q3438" s="17" t="str">
        <f t="shared" si="539"/>
        <v>Pas d'écart</v>
      </c>
    </row>
    <row r="3439" spans="1:18" x14ac:dyDescent="0.3">
      <c r="A3439" s="34" t="str">
        <f>base!J3439</f>
        <v>LM</v>
      </c>
      <c r="B3439" s="34" t="str">
        <f>base!V3439</f>
        <v>75014</v>
      </c>
      <c r="C3439" s="37">
        <v>75</v>
      </c>
      <c r="D3439" s="36">
        <f>base!H3439</f>
        <v>19.649999999999999</v>
      </c>
      <c r="E3439" s="44"/>
      <c r="F3439" s="16">
        <f>base!W3439</f>
        <v>0</v>
      </c>
      <c r="G3439" s="11">
        <f t="shared" si="530"/>
        <v>0</v>
      </c>
      <c r="H3439" s="11">
        <f t="shared" si="531"/>
        <v>0</v>
      </c>
      <c r="I3439" s="11">
        <f t="shared" si="532"/>
        <v>0</v>
      </c>
      <c r="J3439" s="12">
        <f t="shared" si="533"/>
        <v>0</v>
      </c>
      <c r="K3439" s="17" t="str">
        <f t="shared" si="538"/>
        <v>Pas d'écart</v>
      </c>
      <c r="L3439" s="16">
        <f>base!X3439</f>
        <v>0</v>
      </c>
      <c r="M3439" s="11">
        <f t="shared" si="534"/>
        <v>0</v>
      </c>
      <c r="N3439" s="11">
        <f t="shared" si="535"/>
        <v>0</v>
      </c>
      <c r="O3439" s="11">
        <f t="shared" si="536"/>
        <v>0</v>
      </c>
      <c r="P3439" s="12">
        <f t="shared" si="537"/>
        <v>0</v>
      </c>
      <c r="Q3439" s="17" t="str">
        <f t="shared" si="539"/>
        <v>Pas d'écart</v>
      </c>
    </row>
    <row r="3440" spans="1:18" x14ac:dyDescent="0.3">
      <c r="A3440" s="34" t="str">
        <f>base!J3440</f>
        <v>LM</v>
      </c>
      <c r="B3440" s="34" t="str">
        <f>base!V3440</f>
        <v>75014</v>
      </c>
      <c r="C3440" s="37">
        <v>75</v>
      </c>
      <c r="D3440" s="36">
        <f>base!H3440</f>
        <v>19.649999999999999</v>
      </c>
      <c r="E3440" s="44"/>
      <c r="F3440" s="16">
        <f>base!W3440</f>
        <v>0</v>
      </c>
      <c r="G3440" s="11">
        <f t="shared" si="530"/>
        <v>0</v>
      </c>
      <c r="H3440" s="11">
        <f t="shared" si="531"/>
        <v>0</v>
      </c>
      <c r="I3440" s="11">
        <f t="shared" si="532"/>
        <v>0</v>
      </c>
      <c r="J3440" s="12">
        <f t="shared" si="533"/>
        <v>0</v>
      </c>
      <c r="K3440" s="17" t="str">
        <f t="shared" si="538"/>
        <v>Pas d'écart</v>
      </c>
      <c r="L3440" s="16">
        <f>base!X3440</f>
        <v>0</v>
      </c>
      <c r="M3440" s="11">
        <f t="shared" si="534"/>
        <v>0</v>
      </c>
      <c r="N3440" s="11">
        <f t="shared" si="535"/>
        <v>0</v>
      </c>
      <c r="O3440" s="11">
        <f t="shared" si="536"/>
        <v>0</v>
      </c>
      <c r="P3440" s="12">
        <f t="shared" si="537"/>
        <v>0</v>
      </c>
      <c r="Q3440" s="17" t="str">
        <f t="shared" si="539"/>
        <v>Pas d'écart</v>
      </c>
    </row>
    <row r="3441" spans="1:18" x14ac:dyDescent="0.3">
      <c r="A3441" s="34" t="str">
        <f>base!J3441</f>
        <v>LM</v>
      </c>
      <c r="B3441" s="34" t="str">
        <f>base!V3441</f>
        <v>95240</v>
      </c>
      <c r="C3441" s="37">
        <v>95</v>
      </c>
      <c r="D3441" s="36">
        <f>base!H3441</f>
        <v>141.65</v>
      </c>
      <c r="E3441" s="44"/>
      <c r="F3441" s="16">
        <f>base!W3441</f>
        <v>0</v>
      </c>
      <c r="G3441" s="11">
        <f t="shared" si="530"/>
        <v>0</v>
      </c>
      <c r="H3441" s="11">
        <f t="shared" si="531"/>
        <v>0</v>
      </c>
      <c r="I3441" s="11">
        <f t="shared" si="532"/>
        <v>0</v>
      </c>
      <c r="J3441" s="12">
        <f t="shared" si="533"/>
        <v>0</v>
      </c>
      <c r="K3441" s="17" t="str">
        <f t="shared" si="538"/>
        <v>Pas d'écart</v>
      </c>
      <c r="L3441" s="16">
        <f>base!X3441</f>
        <v>0</v>
      </c>
      <c r="M3441" s="11">
        <f t="shared" si="534"/>
        <v>0</v>
      </c>
      <c r="N3441" s="11">
        <f t="shared" si="535"/>
        <v>0</v>
      </c>
      <c r="O3441" s="11">
        <f t="shared" si="536"/>
        <v>0</v>
      </c>
      <c r="P3441" s="12">
        <f t="shared" si="537"/>
        <v>0</v>
      </c>
      <c r="Q3441" s="17" t="str">
        <f t="shared" si="539"/>
        <v>Pas d'écart</v>
      </c>
    </row>
    <row r="3442" spans="1:18" x14ac:dyDescent="0.3">
      <c r="A3442" s="34" t="str">
        <f>base!J3442</f>
        <v>RM</v>
      </c>
      <c r="B3442" s="34" t="str">
        <f>base!V3442</f>
        <v>91300</v>
      </c>
      <c r="C3442" s="37">
        <v>91</v>
      </c>
      <c r="D3442" s="36">
        <f>base!H3442</f>
        <v>80</v>
      </c>
      <c r="E3442" s="44"/>
      <c r="F3442" s="16">
        <f>base!W3442</f>
        <v>0</v>
      </c>
      <c r="G3442" s="11">
        <f t="shared" si="530"/>
        <v>0</v>
      </c>
      <c r="H3442" s="11">
        <f t="shared" si="531"/>
        <v>0</v>
      </c>
      <c r="I3442" s="11">
        <f t="shared" si="532"/>
        <v>0</v>
      </c>
      <c r="J3442" s="12">
        <f t="shared" si="533"/>
        <v>0</v>
      </c>
      <c r="K3442" s="17" t="str">
        <f t="shared" si="538"/>
        <v>Pas d'écart</v>
      </c>
      <c r="L3442" s="16">
        <f>base!X3442</f>
        <v>0</v>
      </c>
      <c r="M3442" s="11">
        <f t="shared" si="534"/>
        <v>0</v>
      </c>
      <c r="N3442" s="11">
        <f t="shared" si="535"/>
        <v>0</v>
      </c>
      <c r="O3442" s="11">
        <f t="shared" si="536"/>
        <v>0</v>
      </c>
      <c r="P3442" s="12">
        <f t="shared" si="537"/>
        <v>0</v>
      </c>
      <c r="Q3442" s="17" t="str">
        <f t="shared" si="539"/>
        <v>Pas d'écart</v>
      </c>
    </row>
    <row r="3443" spans="1:18" x14ac:dyDescent="0.3">
      <c r="A3443" s="34" t="str">
        <f>base!J3443</f>
        <v>RS</v>
      </c>
      <c r="B3443" s="34" t="str">
        <f>base!V3443</f>
        <v>59650</v>
      </c>
      <c r="C3443" s="37">
        <v>59</v>
      </c>
      <c r="D3443" s="36">
        <f>base!H3443</f>
        <v>151</v>
      </c>
      <c r="E3443" s="44"/>
      <c r="F3443" s="16">
        <f>base!W3443</f>
        <v>0</v>
      </c>
      <c r="G3443" s="11">
        <f t="shared" si="530"/>
        <v>0</v>
      </c>
      <c r="H3443" s="11">
        <f t="shared" si="531"/>
        <v>28.69</v>
      </c>
      <c r="I3443" s="11">
        <f t="shared" si="532"/>
        <v>0.19</v>
      </c>
      <c r="J3443" s="12">
        <f t="shared" si="533"/>
        <v>-28.69</v>
      </c>
      <c r="K3443" s="17" t="str">
        <f t="shared" si="538"/>
        <v>Ecart négatif</v>
      </c>
      <c r="L3443" s="16">
        <f>base!X3443</f>
        <v>0</v>
      </c>
      <c r="M3443" s="11">
        <f t="shared" si="534"/>
        <v>0</v>
      </c>
      <c r="N3443" s="11">
        <f t="shared" si="535"/>
        <v>0</v>
      </c>
      <c r="O3443" s="11">
        <f t="shared" si="536"/>
        <v>0</v>
      </c>
      <c r="P3443" s="12">
        <f t="shared" si="537"/>
        <v>0</v>
      </c>
      <c r="Q3443" s="17" t="str">
        <f t="shared" si="539"/>
        <v>Pas d'écart</v>
      </c>
    </row>
    <row r="3444" spans="1:18" x14ac:dyDescent="0.3">
      <c r="A3444" s="34" t="str">
        <f>base!J3444</f>
        <v>RM</v>
      </c>
      <c r="B3444" s="34" t="str">
        <f>base!V3444</f>
        <v>75010</v>
      </c>
      <c r="C3444" s="37">
        <v>75</v>
      </c>
      <c r="D3444" s="36">
        <f>base!H3444</f>
        <v>25</v>
      </c>
      <c r="E3444" s="44"/>
      <c r="F3444" s="16">
        <f>base!W3444</f>
        <v>0</v>
      </c>
      <c r="G3444" s="11">
        <f t="shared" si="530"/>
        <v>0</v>
      </c>
      <c r="H3444" s="11">
        <f t="shared" si="531"/>
        <v>0</v>
      </c>
      <c r="I3444" s="11">
        <f t="shared" si="532"/>
        <v>0</v>
      </c>
      <c r="J3444" s="12">
        <f t="shared" si="533"/>
        <v>0</v>
      </c>
      <c r="K3444" s="17" t="str">
        <f t="shared" si="538"/>
        <v>Pas d'écart</v>
      </c>
      <c r="L3444" s="16">
        <f>base!X3444</f>
        <v>0</v>
      </c>
      <c r="M3444" s="11">
        <f t="shared" si="534"/>
        <v>0</v>
      </c>
      <c r="N3444" s="11">
        <f t="shared" si="535"/>
        <v>0</v>
      </c>
      <c r="O3444" s="11">
        <f t="shared" si="536"/>
        <v>0</v>
      </c>
      <c r="P3444" s="12">
        <f t="shared" si="537"/>
        <v>0</v>
      </c>
      <c r="Q3444" s="17" t="str">
        <f t="shared" si="539"/>
        <v>Pas d'écart</v>
      </c>
    </row>
    <row r="3445" spans="1:18" x14ac:dyDescent="0.3">
      <c r="A3445" s="34">
        <f>base!J3445</f>
        <v>0</v>
      </c>
      <c r="B3445" s="34" t="str">
        <f>base!V3445</f>
        <v>44240</v>
      </c>
      <c r="C3445" s="37">
        <v>44</v>
      </c>
      <c r="D3445" s="36">
        <f>base!H3445</f>
        <v>25.5</v>
      </c>
      <c r="E3445" s="44"/>
      <c r="F3445" s="16">
        <f>base!W3445</f>
        <v>0</v>
      </c>
      <c r="G3445" s="11">
        <f t="shared" si="530"/>
        <v>0</v>
      </c>
      <c r="H3445" s="11">
        <f t="shared" si="531"/>
        <v>6.8850000000000007</v>
      </c>
      <c r="I3445" s="11">
        <f t="shared" si="532"/>
        <v>0.27</v>
      </c>
      <c r="J3445" s="12">
        <f t="shared" si="533"/>
        <v>-6.8850000000000007</v>
      </c>
      <c r="K3445" s="17" t="str">
        <f t="shared" si="538"/>
        <v>Ecart négatif</v>
      </c>
      <c r="L3445" s="16">
        <f>base!X3445</f>
        <v>0</v>
      </c>
      <c r="M3445" s="11">
        <f t="shared" si="534"/>
        <v>0</v>
      </c>
      <c r="N3445" s="11">
        <f t="shared" si="535"/>
        <v>0</v>
      </c>
      <c r="O3445" s="11">
        <f t="shared" si="536"/>
        <v>0</v>
      </c>
      <c r="P3445" s="12">
        <f t="shared" si="537"/>
        <v>0</v>
      </c>
      <c r="Q3445" s="17" t="str">
        <f t="shared" si="539"/>
        <v>Pas d'écart</v>
      </c>
    </row>
    <row r="3446" spans="1:18" x14ac:dyDescent="0.3">
      <c r="A3446" s="34" t="str">
        <f>base!J3446</f>
        <v>RS</v>
      </c>
      <c r="B3446" s="34" t="str">
        <f>base!V3446</f>
        <v>59163</v>
      </c>
      <c r="C3446" s="37">
        <v>59</v>
      </c>
      <c r="D3446" s="36">
        <f>base!H3446</f>
        <v>140</v>
      </c>
      <c r="E3446" s="44"/>
      <c r="F3446" s="16">
        <f>base!W3446</f>
        <v>0</v>
      </c>
      <c r="G3446" s="11">
        <f t="shared" si="530"/>
        <v>0</v>
      </c>
      <c r="H3446" s="11">
        <f t="shared" si="531"/>
        <v>26.6</v>
      </c>
      <c r="I3446" s="11">
        <f t="shared" si="532"/>
        <v>0.19</v>
      </c>
      <c r="J3446" s="12">
        <f t="shared" si="533"/>
        <v>-26.6</v>
      </c>
      <c r="K3446" s="17" t="str">
        <f t="shared" si="538"/>
        <v>Ecart négatif</v>
      </c>
      <c r="L3446" s="16">
        <f>base!X3446</f>
        <v>0</v>
      </c>
      <c r="M3446" s="11">
        <f t="shared" si="534"/>
        <v>0</v>
      </c>
      <c r="N3446" s="11">
        <f t="shared" si="535"/>
        <v>0</v>
      </c>
      <c r="O3446" s="11">
        <f t="shared" si="536"/>
        <v>0</v>
      </c>
      <c r="P3446" s="12">
        <f t="shared" si="537"/>
        <v>0</v>
      </c>
      <c r="Q3446" s="17" t="str">
        <f t="shared" si="539"/>
        <v>Pas d'écart</v>
      </c>
    </row>
    <row r="3447" spans="1:18" x14ac:dyDescent="0.3">
      <c r="A3447" s="34" t="str">
        <f>base!J3447</f>
        <v>LS</v>
      </c>
      <c r="B3447" s="34" t="str">
        <f>base!V3447</f>
        <v>70170</v>
      </c>
      <c r="C3447" s="37">
        <v>69</v>
      </c>
      <c r="D3447" s="36">
        <f>base!H3447</f>
        <v>198.92</v>
      </c>
      <c r="E3447" s="44"/>
      <c r="F3447" s="16">
        <f>base!W3447</f>
        <v>47.74</v>
      </c>
      <c r="G3447" s="11">
        <f t="shared" si="530"/>
        <v>0.23999597828272676</v>
      </c>
      <c r="H3447" s="11">
        <f t="shared" si="531"/>
        <v>53.708399999999997</v>
      </c>
      <c r="I3447" s="11">
        <f t="shared" si="532"/>
        <v>0.27</v>
      </c>
      <c r="J3447" s="12">
        <f t="shared" si="533"/>
        <v>-5.9683999999999955</v>
      </c>
      <c r="K3447" s="17" t="str">
        <f t="shared" si="538"/>
        <v>Ecart négatif</v>
      </c>
      <c r="L3447" s="16">
        <f>base!X3447</f>
        <v>0</v>
      </c>
      <c r="M3447" s="11">
        <f t="shared" si="534"/>
        <v>0</v>
      </c>
      <c r="N3447" s="11">
        <f t="shared" si="535"/>
        <v>0</v>
      </c>
      <c r="O3447" s="11">
        <f t="shared" si="536"/>
        <v>0</v>
      </c>
      <c r="P3447" s="12">
        <f t="shared" si="537"/>
        <v>0</v>
      </c>
      <c r="Q3447" s="17" t="str">
        <f t="shared" si="539"/>
        <v>Pas d'écart</v>
      </c>
    </row>
    <row r="3448" spans="1:18" x14ac:dyDescent="0.3">
      <c r="A3448" s="34" t="str">
        <f>base!J3448</f>
        <v>LM</v>
      </c>
      <c r="B3448" s="34" t="str">
        <f>base!V3448</f>
        <v>19100</v>
      </c>
      <c r="C3448" s="37">
        <v>49</v>
      </c>
      <c r="D3448" s="36">
        <f>base!H3448</f>
        <v>138.84</v>
      </c>
      <c r="E3448" s="44"/>
      <c r="F3448" s="16">
        <f>base!W3448</f>
        <v>40.26</v>
      </c>
      <c r="G3448" s="11">
        <f t="shared" si="530"/>
        <v>0.28997407087294724</v>
      </c>
      <c r="H3448" s="11">
        <f t="shared" si="531"/>
        <v>37.486800000000002</v>
      </c>
      <c r="I3448" s="11">
        <f t="shared" si="532"/>
        <v>0.27</v>
      </c>
      <c r="J3448" s="12">
        <f t="shared" si="533"/>
        <v>2.7731999999999957</v>
      </c>
      <c r="K3448" s="17" t="str">
        <f t="shared" si="538"/>
        <v>Ecart positif</v>
      </c>
      <c r="L3448" s="16">
        <f>base!X3448</f>
        <v>0</v>
      </c>
      <c r="M3448" s="11">
        <f t="shared" si="534"/>
        <v>0</v>
      </c>
      <c r="N3448" s="11">
        <f t="shared" si="535"/>
        <v>0</v>
      </c>
      <c r="O3448" s="11">
        <f t="shared" si="536"/>
        <v>0</v>
      </c>
      <c r="P3448" s="12">
        <f t="shared" si="537"/>
        <v>0</v>
      </c>
      <c r="Q3448" s="17" t="str">
        <f t="shared" si="539"/>
        <v>Pas d'écart</v>
      </c>
    </row>
    <row r="3449" spans="1:18" x14ac:dyDescent="0.3">
      <c r="A3449" s="34" t="str">
        <f>base!J3449</f>
        <v>LM</v>
      </c>
      <c r="B3449" s="34" t="str">
        <f>base!V3449</f>
        <v>76700</v>
      </c>
      <c r="C3449" s="37">
        <v>69</v>
      </c>
      <c r="D3449" s="36">
        <f>base!H3449</f>
        <v>153.52000000000001</v>
      </c>
      <c r="E3449" s="44"/>
      <c r="F3449" s="16">
        <f>base!W3449</f>
        <v>26.1</v>
      </c>
      <c r="G3449" s="11">
        <f t="shared" si="530"/>
        <v>0.17001042209484107</v>
      </c>
      <c r="H3449" s="11">
        <f t="shared" si="531"/>
        <v>41.450400000000009</v>
      </c>
      <c r="I3449" s="11">
        <f t="shared" si="532"/>
        <v>0.27</v>
      </c>
      <c r="J3449" s="12">
        <f t="shared" si="533"/>
        <v>-15.350400000000008</v>
      </c>
      <c r="K3449" s="17" t="str">
        <f t="shared" si="538"/>
        <v>Ecart négatif</v>
      </c>
      <c r="L3449" s="16">
        <f>base!X3449</f>
        <v>0</v>
      </c>
      <c r="M3449" s="11">
        <f t="shared" si="534"/>
        <v>0</v>
      </c>
      <c r="N3449" s="11">
        <f t="shared" si="535"/>
        <v>0</v>
      </c>
      <c r="O3449" s="11">
        <f t="shared" si="536"/>
        <v>0</v>
      </c>
      <c r="P3449" s="12">
        <f t="shared" si="537"/>
        <v>0</v>
      </c>
      <c r="Q3449" s="17" t="str">
        <f t="shared" si="539"/>
        <v>Pas d'écart</v>
      </c>
    </row>
    <row r="3450" spans="1:18" x14ac:dyDescent="0.3">
      <c r="A3450" s="34" t="str">
        <f>base!J3450</f>
        <v>RM</v>
      </c>
      <c r="B3450" s="34" t="str">
        <f>base!V3450</f>
        <v>73000</v>
      </c>
      <c r="C3450" s="37">
        <v>73</v>
      </c>
      <c r="D3450" s="36">
        <f>base!H3450</f>
        <v>126.4</v>
      </c>
      <c r="E3450" s="44"/>
      <c r="F3450" s="16">
        <f>base!W3450</f>
        <v>0</v>
      </c>
      <c r="G3450" s="11">
        <f t="shared" si="530"/>
        <v>0</v>
      </c>
      <c r="H3450" s="11">
        <f t="shared" si="531"/>
        <v>34.128000000000007</v>
      </c>
      <c r="I3450" s="11">
        <f t="shared" si="532"/>
        <v>0.27</v>
      </c>
      <c r="J3450" s="12">
        <f t="shared" si="533"/>
        <v>-34.128000000000007</v>
      </c>
      <c r="K3450" s="17" t="str">
        <f t="shared" si="538"/>
        <v>Ecart négatif</v>
      </c>
      <c r="L3450" s="16">
        <f>base!X3450</f>
        <v>0</v>
      </c>
      <c r="M3450" s="11">
        <f t="shared" si="534"/>
        <v>0</v>
      </c>
      <c r="N3450" s="11">
        <f t="shared" si="535"/>
        <v>0</v>
      </c>
      <c r="O3450" s="11">
        <f t="shared" si="536"/>
        <v>0</v>
      </c>
      <c r="P3450" s="12">
        <f t="shared" si="537"/>
        <v>0</v>
      </c>
      <c r="Q3450" s="17" t="str">
        <f t="shared" si="539"/>
        <v>Pas d'écart</v>
      </c>
    </row>
    <row r="3451" spans="1:18" x14ac:dyDescent="0.3">
      <c r="A3451" s="34" t="str">
        <f>base!J3451</f>
        <v>DLS</v>
      </c>
      <c r="B3451" s="34" t="str">
        <f>base!V3451</f>
        <v>23100</v>
      </c>
      <c r="C3451" s="37">
        <v>23</v>
      </c>
      <c r="D3451" s="36">
        <f>base!H3451</f>
        <v>122.09</v>
      </c>
      <c r="E3451" s="44"/>
      <c r="F3451" s="16">
        <f>base!W3451</f>
        <v>0</v>
      </c>
      <c r="G3451" s="11">
        <f t="shared" si="530"/>
        <v>0</v>
      </c>
      <c r="H3451" s="11">
        <f t="shared" si="531"/>
        <v>35.406099999999995</v>
      </c>
      <c r="I3451" s="11">
        <f t="shared" si="532"/>
        <v>0.28999999999999992</v>
      </c>
      <c r="J3451" s="12">
        <f t="shared" si="533"/>
        <v>-35.406099999999995</v>
      </c>
      <c r="K3451" s="17" t="str">
        <f t="shared" si="538"/>
        <v>Ecart négatif</v>
      </c>
      <c r="L3451" s="16">
        <f>base!X3451</f>
        <v>0</v>
      </c>
      <c r="M3451" s="11">
        <f t="shared" si="534"/>
        <v>0</v>
      </c>
      <c r="N3451" s="11">
        <f t="shared" si="535"/>
        <v>14.6508</v>
      </c>
      <c r="O3451" s="11">
        <f t="shared" si="536"/>
        <v>0.12</v>
      </c>
      <c r="P3451" s="12">
        <f t="shared" si="537"/>
        <v>-14.6508</v>
      </c>
      <c r="Q3451" s="17" t="str">
        <f t="shared" si="539"/>
        <v>Ecart négatif</v>
      </c>
    </row>
    <row r="3452" spans="1:18" x14ac:dyDescent="0.3">
      <c r="A3452" s="34" t="str">
        <f>base!J3452</f>
        <v>LS</v>
      </c>
      <c r="B3452" s="34" t="str">
        <f>base!V3452</f>
        <v>68200</v>
      </c>
      <c r="C3452" s="37">
        <v>69</v>
      </c>
      <c r="D3452" s="36">
        <f>base!H3452</f>
        <v>37.92</v>
      </c>
      <c r="E3452" s="44"/>
      <c r="F3452" s="16">
        <f>base!W3452</f>
        <v>11</v>
      </c>
      <c r="G3452" s="11">
        <f t="shared" si="530"/>
        <v>0.29008438818565402</v>
      </c>
      <c r="H3452" s="11">
        <f t="shared" si="531"/>
        <v>10.2384</v>
      </c>
      <c r="I3452" s="11">
        <f t="shared" si="532"/>
        <v>0.27</v>
      </c>
      <c r="J3452" s="12">
        <f t="shared" si="533"/>
        <v>0.76159999999999961</v>
      </c>
      <c r="K3452" s="17" t="str">
        <f t="shared" si="538"/>
        <v>Ecart positif</v>
      </c>
      <c r="L3452" s="16">
        <f>base!X3452</f>
        <v>0</v>
      </c>
      <c r="M3452" s="11">
        <f t="shared" si="534"/>
        <v>0</v>
      </c>
      <c r="N3452" s="11">
        <f t="shared" si="535"/>
        <v>0</v>
      </c>
      <c r="O3452" s="11">
        <f t="shared" si="536"/>
        <v>0</v>
      </c>
      <c r="P3452" s="12">
        <f t="shared" si="537"/>
        <v>0</v>
      </c>
      <c r="Q3452" s="17" t="str">
        <f t="shared" si="539"/>
        <v>Pas d'écart</v>
      </c>
    </row>
    <row r="3453" spans="1:18" x14ac:dyDescent="0.3">
      <c r="A3453" s="34" t="str">
        <f>base!J3453</f>
        <v>RS</v>
      </c>
      <c r="B3453" s="34" t="str">
        <f>base!V3453</f>
        <v>44600</v>
      </c>
      <c r="C3453" s="37">
        <v>44</v>
      </c>
      <c r="D3453" s="36">
        <f>base!H3453</f>
        <v>151</v>
      </c>
      <c r="E3453" s="44"/>
      <c r="F3453" s="16">
        <f>base!W3453</f>
        <v>0</v>
      </c>
      <c r="G3453" s="11">
        <f t="shared" si="530"/>
        <v>0</v>
      </c>
      <c r="H3453" s="11">
        <f t="shared" si="531"/>
        <v>40.770000000000003</v>
      </c>
      <c r="I3453" s="11">
        <f t="shared" si="532"/>
        <v>0.27</v>
      </c>
      <c r="J3453" s="12">
        <f t="shared" si="533"/>
        <v>-40.770000000000003</v>
      </c>
      <c r="K3453" s="17" t="str">
        <f t="shared" si="538"/>
        <v>Ecart négatif</v>
      </c>
      <c r="L3453" s="16">
        <f>base!X3453</f>
        <v>0</v>
      </c>
      <c r="M3453" s="11">
        <f t="shared" si="534"/>
        <v>0</v>
      </c>
      <c r="N3453" s="11">
        <f t="shared" si="535"/>
        <v>0</v>
      </c>
      <c r="O3453" s="11">
        <f t="shared" si="536"/>
        <v>0</v>
      </c>
      <c r="P3453" s="12">
        <f t="shared" si="537"/>
        <v>0</v>
      </c>
      <c r="Q3453" s="17" t="str">
        <f t="shared" si="539"/>
        <v>Pas d'écart</v>
      </c>
    </row>
    <row r="3454" spans="1:18" x14ac:dyDescent="0.3">
      <c r="A3454" s="34" t="str">
        <f>base!J3454</f>
        <v>LS</v>
      </c>
      <c r="B3454" s="34" t="str">
        <f>base!V3454</f>
        <v>34070</v>
      </c>
      <c r="C3454" s="37">
        <v>69</v>
      </c>
      <c r="D3454" s="36">
        <f>base!H3454</f>
        <v>14.2</v>
      </c>
      <c r="E3454" s="44"/>
      <c r="F3454" s="16">
        <f>base!W3454</f>
        <v>5.54</v>
      </c>
      <c r="G3454" s="11">
        <f t="shared" si="530"/>
        <v>0.39014084507042257</v>
      </c>
      <c r="H3454" s="11">
        <f t="shared" si="531"/>
        <v>3.8340000000000001</v>
      </c>
      <c r="I3454" s="11">
        <f t="shared" si="532"/>
        <v>0.27</v>
      </c>
      <c r="J3454" s="12">
        <f t="shared" si="533"/>
        <v>1.706</v>
      </c>
      <c r="K3454" s="17" t="str">
        <f t="shared" si="538"/>
        <v>Ecart positif</v>
      </c>
      <c r="L3454" s="16">
        <f>base!X3454</f>
        <v>0</v>
      </c>
      <c r="M3454" s="11">
        <f t="shared" si="534"/>
        <v>0</v>
      </c>
      <c r="N3454" s="11">
        <f t="shared" si="535"/>
        <v>0</v>
      </c>
      <c r="O3454" s="11">
        <f t="shared" si="536"/>
        <v>0</v>
      </c>
      <c r="P3454" s="12">
        <f t="shared" si="537"/>
        <v>0</v>
      </c>
      <c r="Q3454" s="17" t="str">
        <f t="shared" si="539"/>
        <v>Pas d'écart</v>
      </c>
    </row>
    <row r="3455" spans="1:18" x14ac:dyDescent="0.3">
      <c r="A3455" s="34" t="str">
        <f>base!J3455</f>
        <v>RS</v>
      </c>
      <c r="B3455" s="34" t="str">
        <f>base!V3455</f>
        <v>27700</v>
      </c>
      <c r="C3455" s="37">
        <v>27</v>
      </c>
      <c r="D3455" s="36">
        <f>base!H3455</f>
        <v>126.4</v>
      </c>
      <c r="E3455" s="44"/>
      <c r="F3455" s="16">
        <f>base!W3455</f>
        <v>0</v>
      </c>
      <c r="G3455" s="11">
        <f t="shared" si="530"/>
        <v>0</v>
      </c>
      <c r="H3455" s="11">
        <f t="shared" si="531"/>
        <v>21.488000000000003</v>
      </c>
      <c r="I3455" s="11">
        <f t="shared" si="532"/>
        <v>0.17</v>
      </c>
      <c r="J3455" s="12">
        <f t="shared" si="533"/>
        <v>-21.488000000000003</v>
      </c>
      <c r="K3455" s="17" t="str">
        <f t="shared" si="538"/>
        <v>Ecart négatif</v>
      </c>
      <c r="L3455" s="16">
        <f>base!X3455</f>
        <v>21.49</v>
      </c>
      <c r="M3455" s="11">
        <f t="shared" si="534"/>
        <v>0.17001582278481012</v>
      </c>
      <c r="N3455" s="11">
        <f t="shared" si="535"/>
        <v>21.488000000000003</v>
      </c>
      <c r="O3455" s="11">
        <f t="shared" si="536"/>
        <v>0.17</v>
      </c>
      <c r="P3455" s="12">
        <f t="shared" si="537"/>
        <v>1.9999999999953388E-3</v>
      </c>
      <c r="Q3455" s="17" t="str">
        <f t="shared" si="539"/>
        <v>Ecart positif</v>
      </c>
      <c r="R3455" s="38"/>
    </row>
    <row r="3456" spans="1:18" x14ac:dyDescent="0.3">
      <c r="A3456" s="34" t="str">
        <f>base!J3456</f>
        <v>RM</v>
      </c>
      <c r="B3456" s="34" t="str">
        <f>base!V3456</f>
        <v>59225</v>
      </c>
      <c r="C3456" s="37">
        <v>59</v>
      </c>
      <c r="D3456" s="36">
        <f>base!H3456</f>
        <v>140.22999999999999</v>
      </c>
      <c r="E3456" s="44"/>
      <c r="F3456" s="16">
        <f>base!W3456</f>
        <v>0</v>
      </c>
      <c r="G3456" s="11">
        <f t="shared" si="530"/>
        <v>0</v>
      </c>
      <c r="H3456" s="11">
        <f t="shared" si="531"/>
        <v>26.643699999999999</v>
      </c>
      <c r="I3456" s="11">
        <f t="shared" si="532"/>
        <v>0.19</v>
      </c>
      <c r="J3456" s="12">
        <f t="shared" si="533"/>
        <v>-26.643699999999999</v>
      </c>
      <c r="K3456" s="17" t="str">
        <f t="shared" si="538"/>
        <v>Ecart négatif</v>
      </c>
      <c r="L3456" s="16">
        <f>base!X3456</f>
        <v>0</v>
      </c>
      <c r="M3456" s="11">
        <f t="shared" si="534"/>
        <v>0</v>
      </c>
      <c r="N3456" s="11">
        <f t="shared" si="535"/>
        <v>0</v>
      </c>
      <c r="O3456" s="11">
        <f t="shared" si="536"/>
        <v>0</v>
      </c>
      <c r="P3456" s="12">
        <f t="shared" si="537"/>
        <v>0</v>
      </c>
      <c r="Q3456" s="17" t="str">
        <f t="shared" si="539"/>
        <v>Pas d'écart</v>
      </c>
    </row>
    <row r="3457" spans="1:18" x14ac:dyDescent="0.3">
      <c r="A3457" s="34" t="str">
        <f>base!J3457</f>
        <v>RS</v>
      </c>
      <c r="B3457" s="34" t="str">
        <f>base!V3457</f>
        <v>75014</v>
      </c>
      <c r="C3457" s="37">
        <v>75</v>
      </c>
      <c r="D3457" s="36">
        <f>base!H3457</f>
        <v>105.6</v>
      </c>
      <c r="E3457" s="44"/>
      <c r="F3457" s="16">
        <f>base!W3457</f>
        <v>0</v>
      </c>
      <c r="G3457" s="11">
        <f t="shared" si="530"/>
        <v>0</v>
      </c>
      <c r="H3457" s="11">
        <f t="shared" si="531"/>
        <v>0</v>
      </c>
      <c r="I3457" s="11">
        <f t="shared" si="532"/>
        <v>0</v>
      </c>
      <c r="J3457" s="12">
        <f t="shared" si="533"/>
        <v>0</v>
      </c>
      <c r="K3457" s="17" t="str">
        <f t="shared" si="538"/>
        <v>Pas d'écart</v>
      </c>
      <c r="L3457" s="16">
        <f>base!X3457</f>
        <v>0</v>
      </c>
      <c r="M3457" s="11">
        <f t="shared" si="534"/>
        <v>0</v>
      </c>
      <c r="N3457" s="11">
        <f t="shared" si="535"/>
        <v>0</v>
      </c>
      <c r="O3457" s="11">
        <f t="shared" si="536"/>
        <v>0</v>
      </c>
      <c r="P3457" s="12">
        <f t="shared" si="537"/>
        <v>0</v>
      </c>
      <c r="Q3457" s="17" t="str">
        <f t="shared" si="539"/>
        <v>Pas d'écart</v>
      </c>
    </row>
    <row r="3458" spans="1:18" x14ac:dyDescent="0.3">
      <c r="A3458" s="34" t="str">
        <f>base!J3458</f>
        <v>RS</v>
      </c>
      <c r="B3458" s="34" t="str">
        <f>base!V3458</f>
        <v>17700</v>
      </c>
      <c r="C3458" s="37">
        <v>17</v>
      </c>
      <c r="D3458" s="36">
        <f>base!H3458</f>
        <v>140</v>
      </c>
      <c r="E3458" s="44"/>
      <c r="F3458" s="16">
        <f>base!W3458</f>
        <v>0</v>
      </c>
      <c r="G3458" s="11">
        <f t="shared" ref="G3458:G3521" si="540">F3458/D3458</f>
        <v>0</v>
      </c>
      <c r="H3458" s="11">
        <f t="shared" ref="H3458:H3521" si="541">VLOOKUP(C3458,tout_cout_traction,2,FALSE)*D3458</f>
        <v>29.4</v>
      </c>
      <c r="I3458" s="11">
        <f t="shared" ref="I3458:I3521" si="542">H3458/D3458</f>
        <v>0.21</v>
      </c>
      <c r="J3458" s="12">
        <f t="shared" ref="J3458:J3521" si="543">F3458-H3458</f>
        <v>-29.4</v>
      </c>
      <c r="K3458" s="17" t="str">
        <f t="shared" si="538"/>
        <v>Ecart négatif</v>
      </c>
      <c r="L3458" s="16">
        <f>base!X3458</f>
        <v>0</v>
      </c>
      <c r="M3458" s="11">
        <f t="shared" ref="M3458:M3521" si="544">L3458/D3458</f>
        <v>0</v>
      </c>
      <c r="N3458" s="11">
        <f t="shared" ref="N3458:N3521" si="545">VLOOKUP(C3458,tout_cout_traction,3,FALSE)*D3458</f>
        <v>23.8</v>
      </c>
      <c r="O3458" s="11">
        <f t="shared" ref="O3458:O3521" si="546">N3458/D3458</f>
        <v>0.17</v>
      </c>
      <c r="P3458" s="12">
        <f t="shared" ref="P3458:P3521" si="547">L3458-N3458</f>
        <v>-23.8</v>
      </c>
      <c r="Q3458" s="17" t="str">
        <f t="shared" si="539"/>
        <v>Ecart négatif</v>
      </c>
    </row>
    <row r="3459" spans="1:18" x14ac:dyDescent="0.3">
      <c r="A3459" s="34" t="str">
        <f>base!J3459</f>
        <v>Stockage</v>
      </c>
      <c r="B3459" s="34" t="str">
        <f>base!V3459</f>
        <v/>
      </c>
      <c r="C3459" s="40" t="s">
        <v>11</v>
      </c>
      <c r="D3459" s="36">
        <f>base!H3459</f>
        <v>0</v>
      </c>
      <c r="E3459" s="44"/>
      <c r="F3459" s="16">
        <f>base!W3459</f>
        <v>0</v>
      </c>
      <c r="G3459" s="11" t="e">
        <f t="shared" si="540"/>
        <v>#DIV/0!</v>
      </c>
      <c r="H3459" s="11" t="e">
        <f t="shared" si="541"/>
        <v>#N/A</v>
      </c>
      <c r="I3459" s="11" t="e">
        <f t="shared" si="542"/>
        <v>#N/A</v>
      </c>
      <c r="J3459" s="12" t="e">
        <f t="shared" si="543"/>
        <v>#N/A</v>
      </c>
      <c r="K3459" s="17" t="e">
        <f t="shared" ref="K3459:K3522" si="548">IF(H3459=F3459,"Pas d'écart",IF(H3459&lt;F3459,"Ecart positif",IF(H3459&gt;F3459,"Ecart négatif")))</f>
        <v>#N/A</v>
      </c>
      <c r="L3459" s="16">
        <f>base!X3459</f>
        <v>0</v>
      </c>
      <c r="M3459" s="11" t="e">
        <f t="shared" si="544"/>
        <v>#DIV/0!</v>
      </c>
      <c r="N3459" s="11" t="e">
        <f t="shared" si="545"/>
        <v>#N/A</v>
      </c>
      <c r="O3459" s="11" t="e">
        <f t="shared" si="546"/>
        <v>#N/A</v>
      </c>
      <c r="P3459" s="12" t="e">
        <f t="shared" si="547"/>
        <v>#N/A</v>
      </c>
      <c r="Q3459" s="17" t="e">
        <f t="shared" ref="Q3459:Q3522" si="549">IF(N3459=L3459,"Pas d'écart",IF(N3459&lt;L3459,"Ecart positif",IF(N3459&gt;L3459,"Ecart négatif")))</f>
        <v>#N/A</v>
      </c>
    </row>
    <row r="3460" spans="1:18" x14ac:dyDescent="0.3">
      <c r="A3460" s="34" t="str">
        <f>base!J3460</f>
        <v>RS</v>
      </c>
      <c r="B3460" s="34" t="str">
        <f>base!V3460</f>
        <v>14000</v>
      </c>
      <c r="C3460" s="37">
        <v>14</v>
      </c>
      <c r="D3460" s="36">
        <f>base!H3460</f>
        <v>183.98</v>
      </c>
      <c r="E3460" s="44"/>
      <c r="F3460" s="16">
        <f>base!W3460</f>
        <v>0</v>
      </c>
      <c r="G3460" s="11">
        <f t="shared" si="540"/>
        <v>0</v>
      </c>
      <c r="H3460" s="11">
        <f t="shared" si="541"/>
        <v>31.276600000000002</v>
      </c>
      <c r="I3460" s="11">
        <f t="shared" si="542"/>
        <v>0.17</v>
      </c>
      <c r="J3460" s="12">
        <f t="shared" si="543"/>
        <v>-31.276600000000002</v>
      </c>
      <c r="K3460" s="17" t="str">
        <f t="shared" si="548"/>
        <v>Ecart négatif</v>
      </c>
      <c r="L3460" s="16">
        <f>base!X3460</f>
        <v>0</v>
      </c>
      <c r="M3460" s="11">
        <f t="shared" si="544"/>
        <v>0</v>
      </c>
      <c r="N3460" s="11">
        <f t="shared" si="545"/>
        <v>31.276600000000002</v>
      </c>
      <c r="O3460" s="11">
        <f t="shared" si="546"/>
        <v>0.17</v>
      </c>
      <c r="P3460" s="12">
        <f t="shared" si="547"/>
        <v>-31.276600000000002</v>
      </c>
      <c r="Q3460" s="17" t="str">
        <f t="shared" si="549"/>
        <v>Ecart négatif</v>
      </c>
    </row>
    <row r="3461" spans="1:18" x14ac:dyDescent="0.3">
      <c r="A3461" s="34" t="str">
        <f>base!J3461</f>
        <v>RM</v>
      </c>
      <c r="B3461" s="34" t="str">
        <f>base!V3461</f>
        <v>49430</v>
      </c>
      <c r="C3461" s="37">
        <v>49</v>
      </c>
      <c r="D3461" s="36">
        <f>base!H3461</f>
        <v>160</v>
      </c>
      <c r="E3461" s="44"/>
      <c r="F3461" s="16">
        <f>base!W3461</f>
        <v>0</v>
      </c>
      <c r="G3461" s="11">
        <f t="shared" si="540"/>
        <v>0</v>
      </c>
      <c r="H3461" s="11">
        <f t="shared" si="541"/>
        <v>43.2</v>
      </c>
      <c r="I3461" s="11">
        <f t="shared" si="542"/>
        <v>0.27</v>
      </c>
      <c r="J3461" s="12">
        <f t="shared" si="543"/>
        <v>-43.2</v>
      </c>
      <c r="K3461" s="17" t="str">
        <f t="shared" si="548"/>
        <v>Ecart négatif</v>
      </c>
      <c r="L3461" s="16">
        <f>base!X3461</f>
        <v>0</v>
      </c>
      <c r="M3461" s="11">
        <f t="shared" si="544"/>
        <v>0</v>
      </c>
      <c r="N3461" s="11">
        <f t="shared" si="545"/>
        <v>0</v>
      </c>
      <c r="O3461" s="11">
        <f t="shared" si="546"/>
        <v>0</v>
      </c>
      <c r="P3461" s="12">
        <f t="shared" si="547"/>
        <v>0</v>
      </c>
      <c r="Q3461" s="17" t="str">
        <f t="shared" si="549"/>
        <v>Pas d'écart</v>
      </c>
    </row>
    <row r="3462" spans="1:18" x14ac:dyDescent="0.3">
      <c r="A3462" s="34" t="str">
        <f>base!J3462</f>
        <v>RM</v>
      </c>
      <c r="B3462" s="34" t="str">
        <f>base!V3462</f>
        <v>13001</v>
      </c>
      <c r="C3462" s="37">
        <v>13</v>
      </c>
      <c r="D3462" s="36">
        <f>base!H3462</f>
        <v>212.52</v>
      </c>
      <c r="E3462" s="44"/>
      <c r="F3462" s="16">
        <f>base!W3462</f>
        <v>0</v>
      </c>
      <c r="G3462" s="11">
        <f t="shared" si="540"/>
        <v>0</v>
      </c>
      <c r="H3462" s="11">
        <f t="shared" si="541"/>
        <v>61.630800000000001</v>
      </c>
      <c r="I3462" s="11">
        <f t="shared" si="542"/>
        <v>0.28999999999999998</v>
      </c>
      <c r="J3462" s="12">
        <f t="shared" si="543"/>
        <v>-61.630800000000001</v>
      </c>
      <c r="K3462" s="17" t="str">
        <f t="shared" si="548"/>
        <v>Ecart négatif</v>
      </c>
      <c r="L3462" s="16">
        <f>base!X3462</f>
        <v>0</v>
      </c>
      <c r="M3462" s="11">
        <f t="shared" si="544"/>
        <v>0</v>
      </c>
      <c r="N3462" s="11">
        <f t="shared" si="545"/>
        <v>40.378800000000005</v>
      </c>
      <c r="O3462" s="11">
        <f t="shared" si="546"/>
        <v>0.19</v>
      </c>
      <c r="P3462" s="12">
        <f t="shared" si="547"/>
        <v>-40.378800000000005</v>
      </c>
      <c r="Q3462" s="17" t="str">
        <f t="shared" si="549"/>
        <v>Ecart négatif</v>
      </c>
    </row>
    <row r="3463" spans="1:18" x14ac:dyDescent="0.3">
      <c r="A3463" s="34" t="str">
        <f>base!J3463</f>
        <v>RM</v>
      </c>
      <c r="B3463" s="34" t="str">
        <f>base!V3463</f>
        <v>67000</v>
      </c>
      <c r="C3463" s="37">
        <v>67</v>
      </c>
      <c r="D3463" s="36">
        <f>base!H3463</f>
        <v>140</v>
      </c>
      <c r="E3463" s="44"/>
      <c r="F3463" s="16">
        <f>base!W3463</f>
        <v>0</v>
      </c>
      <c r="G3463" s="11">
        <f t="shared" si="540"/>
        <v>0</v>
      </c>
      <c r="H3463" s="11">
        <f t="shared" si="541"/>
        <v>40.599999999999994</v>
      </c>
      <c r="I3463" s="11">
        <f t="shared" si="542"/>
        <v>0.28999999999999998</v>
      </c>
      <c r="J3463" s="12">
        <f t="shared" si="543"/>
        <v>-40.599999999999994</v>
      </c>
      <c r="K3463" s="17" t="str">
        <f t="shared" si="548"/>
        <v>Ecart négatif</v>
      </c>
      <c r="L3463" s="16">
        <f>base!X3463</f>
        <v>11.2</v>
      </c>
      <c r="M3463" s="11">
        <f t="shared" si="544"/>
        <v>0.08</v>
      </c>
      <c r="N3463" s="11">
        <f t="shared" si="545"/>
        <v>11.200000000000001</v>
      </c>
      <c r="O3463" s="11">
        <f t="shared" si="546"/>
        <v>0.08</v>
      </c>
      <c r="P3463" s="12">
        <f t="shared" si="547"/>
        <v>0</v>
      </c>
      <c r="Q3463" s="17" t="str">
        <f t="shared" si="549"/>
        <v>Pas d'écart</v>
      </c>
      <c r="R3463" s="38"/>
    </row>
    <row r="3464" spans="1:18" x14ac:dyDescent="0.3">
      <c r="A3464" s="34" t="str">
        <f>base!J3464</f>
        <v>RS</v>
      </c>
      <c r="B3464" s="34" t="str">
        <f>base!V3464</f>
        <v>69003</v>
      </c>
      <c r="C3464" s="37">
        <v>69</v>
      </c>
      <c r="D3464" s="36">
        <f>base!H3464</f>
        <v>80</v>
      </c>
      <c r="E3464" s="44"/>
      <c r="F3464" s="16">
        <f>base!W3464</f>
        <v>0</v>
      </c>
      <c r="G3464" s="11">
        <f t="shared" si="540"/>
        <v>0</v>
      </c>
      <c r="H3464" s="11">
        <f t="shared" si="541"/>
        <v>21.6</v>
      </c>
      <c r="I3464" s="11">
        <f t="shared" si="542"/>
        <v>0.27</v>
      </c>
      <c r="J3464" s="12">
        <f t="shared" si="543"/>
        <v>-21.6</v>
      </c>
      <c r="K3464" s="17" t="str">
        <f t="shared" si="548"/>
        <v>Ecart négatif</v>
      </c>
      <c r="L3464" s="16">
        <f>base!X3464</f>
        <v>21.6</v>
      </c>
      <c r="M3464" s="11">
        <f t="shared" si="544"/>
        <v>0.27</v>
      </c>
      <c r="N3464" s="11">
        <f t="shared" si="545"/>
        <v>0</v>
      </c>
      <c r="O3464" s="11">
        <f t="shared" si="546"/>
        <v>0</v>
      </c>
      <c r="P3464" s="12">
        <f t="shared" si="547"/>
        <v>21.6</v>
      </c>
      <c r="Q3464" s="17" t="str">
        <f t="shared" si="549"/>
        <v>Ecart positif</v>
      </c>
    </row>
    <row r="3465" spans="1:18" x14ac:dyDescent="0.3">
      <c r="A3465" s="34" t="str">
        <f>base!J3465</f>
        <v>RM</v>
      </c>
      <c r="B3465" s="34" t="str">
        <f>base!V3465</f>
        <v>26000</v>
      </c>
      <c r="C3465" s="37">
        <v>26</v>
      </c>
      <c r="D3465" s="36">
        <f>base!H3465</f>
        <v>124.8</v>
      </c>
      <c r="E3465" s="44"/>
      <c r="F3465" s="16">
        <f>base!W3465</f>
        <v>0</v>
      </c>
      <c r="G3465" s="11">
        <f t="shared" si="540"/>
        <v>0</v>
      </c>
      <c r="H3465" s="11">
        <f t="shared" si="541"/>
        <v>33.695999999999998</v>
      </c>
      <c r="I3465" s="11">
        <f t="shared" si="542"/>
        <v>0.26999999999999996</v>
      </c>
      <c r="J3465" s="12">
        <f t="shared" si="543"/>
        <v>-33.695999999999998</v>
      </c>
      <c r="K3465" s="17" t="str">
        <f t="shared" si="548"/>
        <v>Ecart négatif</v>
      </c>
      <c r="L3465" s="16">
        <f>base!X3465</f>
        <v>0</v>
      </c>
      <c r="M3465" s="11">
        <f t="shared" si="544"/>
        <v>0</v>
      </c>
      <c r="N3465" s="11">
        <f t="shared" si="545"/>
        <v>0</v>
      </c>
      <c r="O3465" s="11">
        <f t="shared" si="546"/>
        <v>0</v>
      </c>
      <c r="P3465" s="12">
        <f t="shared" si="547"/>
        <v>0</v>
      </c>
      <c r="Q3465" s="17" t="str">
        <f t="shared" si="549"/>
        <v>Pas d'écart</v>
      </c>
    </row>
    <row r="3466" spans="1:18" x14ac:dyDescent="0.3">
      <c r="A3466" s="34" t="str">
        <f>base!J3466</f>
        <v>RM</v>
      </c>
      <c r="B3466" s="34" t="str">
        <f>base!V3466</f>
        <v>37210</v>
      </c>
      <c r="C3466" s="37">
        <v>37</v>
      </c>
      <c r="D3466" s="36">
        <f>base!H3466</f>
        <v>140</v>
      </c>
      <c r="E3466" s="44"/>
      <c r="F3466" s="16">
        <f>base!W3466</f>
        <v>0</v>
      </c>
      <c r="G3466" s="11">
        <f t="shared" si="540"/>
        <v>0</v>
      </c>
      <c r="H3466" s="11">
        <f t="shared" si="541"/>
        <v>26.6</v>
      </c>
      <c r="I3466" s="11">
        <f t="shared" si="542"/>
        <v>0.19</v>
      </c>
      <c r="J3466" s="12">
        <f t="shared" si="543"/>
        <v>-26.6</v>
      </c>
      <c r="K3466" s="17" t="str">
        <f t="shared" si="548"/>
        <v>Ecart négatif</v>
      </c>
      <c r="L3466" s="16">
        <f>base!X3466</f>
        <v>0</v>
      </c>
      <c r="M3466" s="11">
        <f t="shared" si="544"/>
        <v>0</v>
      </c>
      <c r="N3466" s="11">
        <f t="shared" si="545"/>
        <v>16.8</v>
      </c>
      <c r="O3466" s="11">
        <f t="shared" si="546"/>
        <v>0.12000000000000001</v>
      </c>
      <c r="P3466" s="12">
        <f t="shared" si="547"/>
        <v>-16.8</v>
      </c>
      <c r="Q3466" s="17" t="str">
        <f t="shared" si="549"/>
        <v>Ecart négatif</v>
      </c>
    </row>
    <row r="3467" spans="1:18" x14ac:dyDescent="0.3">
      <c r="A3467" s="34" t="str">
        <f>base!J3467</f>
        <v>RS</v>
      </c>
      <c r="B3467" s="34" t="str">
        <f>base!V3467</f>
        <v>01000</v>
      </c>
      <c r="C3467" s="37">
        <v>1</v>
      </c>
      <c r="D3467" s="36">
        <f>base!H3467</f>
        <v>84.53</v>
      </c>
      <c r="E3467" s="44"/>
      <c r="F3467" s="16">
        <f>base!W3467</f>
        <v>0</v>
      </c>
      <c r="G3467" s="11">
        <f t="shared" si="540"/>
        <v>0</v>
      </c>
      <c r="H3467" s="11">
        <f t="shared" si="541"/>
        <v>21.977800000000002</v>
      </c>
      <c r="I3467" s="11">
        <f t="shared" si="542"/>
        <v>0.26</v>
      </c>
      <c r="J3467" s="12">
        <f t="shared" si="543"/>
        <v>-21.977800000000002</v>
      </c>
      <c r="K3467" s="17" t="str">
        <f t="shared" si="548"/>
        <v>Ecart négatif</v>
      </c>
      <c r="L3467" s="16">
        <f>base!X3467</f>
        <v>0</v>
      </c>
      <c r="M3467" s="11">
        <f t="shared" si="544"/>
        <v>0</v>
      </c>
      <c r="N3467" s="11">
        <f t="shared" si="545"/>
        <v>0</v>
      </c>
      <c r="O3467" s="11">
        <f t="shared" si="546"/>
        <v>0</v>
      </c>
      <c r="P3467" s="12">
        <f t="shared" si="547"/>
        <v>0</v>
      </c>
      <c r="Q3467" s="17" t="str">
        <f t="shared" si="549"/>
        <v>Pas d'écart</v>
      </c>
    </row>
    <row r="3468" spans="1:18" x14ac:dyDescent="0.3">
      <c r="A3468" s="34" t="str">
        <f>base!J3468</f>
        <v>DLS</v>
      </c>
      <c r="B3468" s="34" t="str">
        <f>base!V3468</f>
        <v>59000</v>
      </c>
      <c r="C3468" s="37">
        <v>59</v>
      </c>
      <c r="D3468" s="36">
        <f>base!H3468</f>
        <v>121.14</v>
      </c>
      <c r="E3468" s="44"/>
      <c r="F3468" s="16">
        <f>base!W3468</f>
        <v>0</v>
      </c>
      <c r="G3468" s="11">
        <f t="shared" si="540"/>
        <v>0</v>
      </c>
      <c r="H3468" s="11">
        <f t="shared" si="541"/>
        <v>23.0166</v>
      </c>
      <c r="I3468" s="11">
        <f t="shared" si="542"/>
        <v>0.19</v>
      </c>
      <c r="J3468" s="12">
        <f t="shared" si="543"/>
        <v>-23.0166</v>
      </c>
      <c r="K3468" s="17" t="str">
        <f t="shared" si="548"/>
        <v>Ecart négatif</v>
      </c>
      <c r="L3468" s="16">
        <f>base!X3468</f>
        <v>0</v>
      </c>
      <c r="M3468" s="11">
        <f t="shared" si="544"/>
        <v>0</v>
      </c>
      <c r="N3468" s="11">
        <f t="shared" si="545"/>
        <v>0</v>
      </c>
      <c r="O3468" s="11">
        <f t="shared" si="546"/>
        <v>0</v>
      </c>
      <c r="P3468" s="12">
        <f t="shared" si="547"/>
        <v>0</v>
      </c>
      <c r="Q3468" s="17" t="str">
        <f t="shared" si="549"/>
        <v>Pas d'écart</v>
      </c>
    </row>
    <row r="3469" spans="1:18" x14ac:dyDescent="0.3">
      <c r="A3469" s="34" t="str">
        <f>base!J3469</f>
        <v>RM</v>
      </c>
      <c r="B3469" s="34" t="str">
        <f>base!V3469</f>
        <v>70000</v>
      </c>
      <c r="C3469" s="37">
        <v>70</v>
      </c>
      <c r="D3469" s="36">
        <f>base!H3469</f>
        <v>22.5</v>
      </c>
      <c r="E3469" s="44"/>
      <c r="F3469" s="16">
        <f>base!W3469</f>
        <v>0</v>
      </c>
      <c r="G3469" s="11">
        <f t="shared" si="540"/>
        <v>0</v>
      </c>
      <c r="H3469" s="11">
        <f t="shared" si="541"/>
        <v>5.3999999999999995</v>
      </c>
      <c r="I3469" s="11">
        <f t="shared" si="542"/>
        <v>0.23999999999999996</v>
      </c>
      <c r="J3469" s="12">
        <f t="shared" si="543"/>
        <v>-5.3999999999999995</v>
      </c>
      <c r="K3469" s="17" t="str">
        <f t="shared" si="548"/>
        <v>Ecart négatif</v>
      </c>
      <c r="L3469" s="16">
        <f>base!X3469</f>
        <v>0</v>
      </c>
      <c r="M3469" s="11">
        <f t="shared" si="544"/>
        <v>0</v>
      </c>
      <c r="N3469" s="11">
        <f t="shared" si="545"/>
        <v>2.6999999999999997</v>
      </c>
      <c r="O3469" s="11">
        <f t="shared" si="546"/>
        <v>0.11999999999999998</v>
      </c>
      <c r="P3469" s="12">
        <f t="shared" si="547"/>
        <v>-2.6999999999999997</v>
      </c>
      <c r="Q3469" s="17" t="str">
        <f t="shared" si="549"/>
        <v>Ecart négatif</v>
      </c>
    </row>
    <row r="3470" spans="1:18" x14ac:dyDescent="0.3">
      <c r="A3470" s="34" t="str">
        <f>base!J3470</f>
        <v>LS</v>
      </c>
      <c r="B3470" s="34" t="str">
        <f>base!V3470</f>
        <v>92000</v>
      </c>
      <c r="C3470" s="37">
        <v>92</v>
      </c>
      <c r="D3470" s="36">
        <f>base!H3470</f>
        <v>50.84</v>
      </c>
      <c r="E3470" s="44"/>
      <c r="F3470" s="16">
        <f>base!W3470</f>
        <v>0</v>
      </c>
      <c r="G3470" s="11">
        <f t="shared" si="540"/>
        <v>0</v>
      </c>
      <c r="H3470" s="11">
        <f t="shared" si="541"/>
        <v>0</v>
      </c>
      <c r="I3470" s="11">
        <f t="shared" si="542"/>
        <v>0</v>
      </c>
      <c r="J3470" s="12">
        <f t="shared" si="543"/>
        <v>0</v>
      </c>
      <c r="K3470" s="17" t="str">
        <f t="shared" si="548"/>
        <v>Pas d'écart</v>
      </c>
      <c r="L3470" s="16">
        <f>base!X3470</f>
        <v>0</v>
      </c>
      <c r="M3470" s="11">
        <f t="shared" si="544"/>
        <v>0</v>
      </c>
      <c r="N3470" s="11">
        <f t="shared" si="545"/>
        <v>0</v>
      </c>
      <c r="O3470" s="11">
        <f t="shared" si="546"/>
        <v>0</v>
      </c>
      <c r="P3470" s="12">
        <f t="shared" si="547"/>
        <v>0</v>
      </c>
      <c r="Q3470" s="17" t="str">
        <f t="shared" si="549"/>
        <v>Pas d'écart</v>
      </c>
    </row>
    <row r="3471" spans="1:18" x14ac:dyDescent="0.3">
      <c r="A3471" s="34" t="str">
        <f>base!J3471</f>
        <v>DLM</v>
      </c>
      <c r="B3471" s="34" t="str">
        <f>base!V3471</f>
        <v>90000</v>
      </c>
      <c r="C3471" s="37">
        <v>90</v>
      </c>
      <c r="D3471" s="36">
        <f>base!H3471</f>
        <v>52.5</v>
      </c>
      <c r="E3471" s="44"/>
      <c r="F3471" s="16">
        <f>base!W3471</f>
        <v>15.23</v>
      </c>
      <c r="G3471" s="11">
        <f t="shared" si="540"/>
        <v>0.29009523809523813</v>
      </c>
      <c r="H3471" s="11">
        <f t="shared" si="541"/>
        <v>15.225</v>
      </c>
      <c r="I3471" s="11">
        <f t="shared" si="542"/>
        <v>0.28999999999999998</v>
      </c>
      <c r="J3471" s="12">
        <f t="shared" si="543"/>
        <v>5.0000000000007816E-3</v>
      </c>
      <c r="K3471" s="17" t="str">
        <f t="shared" si="548"/>
        <v>Ecart positif</v>
      </c>
      <c r="L3471" s="16">
        <f>base!X3471</f>
        <v>0</v>
      </c>
      <c r="M3471" s="11">
        <f t="shared" si="544"/>
        <v>0</v>
      </c>
      <c r="N3471" s="11">
        <f t="shared" si="545"/>
        <v>4.2</v>
      </c>
      <c r="O3471" s="11">
        <f t="shared" si="546"/>
        <v>0.08</v>
      </c>
      <c r="P3471" s="12">
        <f t="shared" si="547"/>
        <v>-4.2</v>
      </c>
      <c r="Q3471" s="17" t="str">
        <f t="shared" si="549"/>
        <v>Ecart négatif</v>
      </c>
    </row>
    <row r="3472" spans="1:18" x14ac:dyDescent="0.3">
      <c r="A3472" s="34" t="str">
        <f>base!J3472</f>
        <v>DRS</v>
      </c>
      <c r="B3472" s="34" t="str">
        <f>base!V3472</f>
        <v>21000</v>
      </c>
      <c r="C3472" s="37">
        <v>21</v>
      </c>
      <c r="D3472" s="36">
        <f>base!H3472</f>
        <v>151</v>
      </c>
      <c r="E3472" s="44"/>
      <c r="F3472" s="16">
        <f>base!W3472</f>
        <v>0</v>
      </c>
      <c r="G3472" s="11">
        <f t="shared" si="540"/>
        <v>0</v>
      </c>
      <c r="H3472" s="11">
        <f t="shared" si="541"/>
        <v>36.24</v>
      </c>
      <c r="I3472" s="11">
        <f t="shared" si="542"/>
        <v>0.24000000000000002</v>
      </c>
      <c r="J3472" s="12">
        <f t="shared" si="543"/>
        <v>-36.24</v>
      </c>
      <c r="K3472" s="17" t="str">
        <f t="shared" si="548"/>
        <v>Ecart négatif</v>
      </c>
      <c r="L3472" s="16">
        <f>base!X3472</f>
        <v>0</v>
      </c>
      <c r="M3472" s="11">
        <f t="shared" si="544"/>
        <v>0</v>
      </c>
      <c r="N3472" s="11">
        <f t="shared" si="545"/>
        <v>18.12</v>
      </c>
      <c r="O3472" s="11">
        <f t="shared" si="546"/>
        <v>0.12000000000000001</v>
      </c>
      <c r="P3472" s="12">
        <f t="shared" si="547"/>
        <v>-18.12</v>
      </c>
      <c r="Q3472" s="17" t="str">
        <f t="shared" si="549"/>
        <v>Ecart négatif</v>
      </c>
    </row>
    <row r="3473" spans="1:18" x14ac:dyDescent="0.3">
      <c r="A3473" s="34" t="str">
        <f>base!J3473</f>
        <v>DRS</v>
      </c>
      <c r="B3473" s="34" t="str">
        <f>base!V3473</f>
        <v>30204</v>
      </c>
      <c r="C3473" s="37">
        <v>30</v>
      </c>
      <c r="D3473" s="36">
        <f>base!H3473</f>
        <v>198</v>
      </c>
      <c r="E3473" s="44"/>
      <c r="F3473" s="16">
        <f>base!W3473</f>
        <v>0</v>
      </c>
      <c r="G3473" s="11">
        <f t="shared" si="540"/>
        <v>0</v>
      </c>
      <c r="H3473" s="11">
        <f t="shared" si="541"/>
        <v>77.22</v>
      </c>
      <c r="I3473" s="11">
        <f t="shared" si="542"/>
        <v>0.39</v>
      </c>
      <c r="J3473" s="12">
        <f t="shared" si="543"/>
        <v>-77.22</v>
      </c>
      <c r="K3473" s="17" t="str">
        <f t="shared" si="548"/>
        <v>Ecart négatif</v>
      </c>
      <c r="L3473" s="16">
        <f>base!X3473</f>
        <v>0</v>
      </c>
      <c r="M3473" s="11">
        <f t="shared" si="544"/>
        <v>0</v>
      </c>
      <c r="N3473" s="11">
        <f t="shared" si="545"/>
        <v>55.440000000000005</v>
      </c>
      <c r="O3473" s="11">
        <f t="shared" si="546"/>
        <v>0.28000000000000003</v>
      </c>
      <c r="P3473" s="12">
        <f t="shared" si="547"/>
        <v>-55.440000000000005</v>
      </c>
      <c r="Q3473" s="17" t="str">
        <f t="shared" si="549"/>
        <v>Ecart négatif</v>
      </c>
    </row>
    <row r="3474" spans="1:18" x14ac:dyDescent="0.3">
      <c r="A3474" s="34" t="str">
        <f>base!J3474</f>
        <v>RS</v>
      </c>
      <c r="B3474" s="34" t="str">
        <f>base!V3474</f>
        <v>88000</v>
      </c>
      <c r="C3474" s="37">
        <v>88</v>
      </c>
      <c r="D3474" s="36">
        <f>base!H3474</f>
        <v>140</v>
      </c>
      <c r="E3474" s="44"/>
      <c r="F3474" s="16">
        <f>base!W3474</f>
        <v>0</v>
      </c>
      <c r="G3474" s="11">
        <f t="shared" si="540"/>
        <v>0</v>
      </c>
      <c r="H3474" s="11">
        <f t="shared" si="541"/>
        <v>39.200000000000003</v>
      </c>
      <c r="I3474" s="11">
        <f t="shared" si="542"/>
        <v>0.28000000000000003</v>
      </c>
      <c r="J3474" s="12">
        <f t="shared" si="543"/>
        <v>-39.200000000000003</v>
      </c>
      <c r="K3474" s="17" t="str">
        <f t="shared" si="548"/>
        <v>Ecart négatif</v>
      </c>
      <c r="L3474" s="16">
        <f>base!X3474</f>
        <v>11.2</v>
      </c>
      <c r="M3474" s="11">
        <f t="shared" si="544"/>
        <v>0.08</v>
      </c>
      <c r="N3474" s="11">
        <f t="shared" si="545"/>
        <v>11.200000000000001</v>
      </c>
      <c r="O3474" s="11">
        <f t="shared" si="546"/>
        <v>0.08</v>
      </c>
      <c r="P3474" s="12">
        <f t="shared" si="547"/>
        <v>0</v>
      </c>
      <c r="Q3474" s="17" t="str">
        <f t="shared" si="549"/>
        <v>Pas d'écart</v>
      </c>
      <c r="R3474" s="38"/>
    </row>
    <row r="3475" spans="1:18" x14ac:dyDescent="0.3">
      <c r="A3475" s="34" t="str">
        <f>base!J3475</f>
        <v>LM</v>
      </c>
      <c r="B3475" s="34" t="str">
        <f>base!V3475</f>
        <v>35044</v>
      </c>
      <c r="C3475" s="37">
        <v>69</v>
      </c>
      <c r="D3475" s="36">
        <f>base!H3475</f>
        <v>55.16</v>
      </c>
      <c r="E3475" s="44"/>
      <c r="F3475" s="16">
        <f>base!W3475</f>
        <v>14.89</v>
      </c>
      <c r="G3475" s="11">
        <f t="shared" si="540"/>
        <v>0.26994198694706312</v>
      </c>
      <c r="H3475" s="11">
        <f t="shared" si="541"/>
        <v>14.8932</v>
      </c>
      <c r="I3475" s="11">
        <f t="shared" si="542"/>
        <v>0.27</v>
      </c>
      <c r="J3475" s="12">
        <f t="shared" si="543"/>
        <v>-3.1999999999996476E-3</v>
      </c>
      <c r="K3475" s="17" t="str">
        <f t="shared" si="548"/>
        <v>Ecart négatif</v>
      </c>
      <c r="L3475" s="16">
        <f>base!X3475</f>
        <v>0</v>
      </c>
      <c r="M3475" s="11">
        <f t="shared" si="544"/>
        <v>0</v>
      </c>
      <c r="N3475" s="11">
        <f t="shared" si="545"/>
        <v>0</v>
      </c>
      <c r="O3475" s="11">
        <f t="shared" si="546"/>
        <v>0</v>
      </c>
      <c r="P3475" s="12">
        <f t="shared" si="547"/>
        <v>0</v>
      </c>
      <c r="Q3475" s="17" t="str">
        <f t="shared" si="549"/>
        <v>Pas d'écart</v>
      </c>
    </row>
    <row r="3476" spans="1:18" x14ac:dyDescent="0.3">
      <c r="A3476" s="34" t="str">
        <f>base!J3476</f>
        <v>RM</v>
      </c>
      <c r="B3476" s="34" t="str">
        <f>base!V3476</f>
        <v>67100</v>
      </c>
      <c r="C3476" s="37">
        <v>67</v>
      </c>
      <c r="D3476" s="36">
        <f>base!H3476</f>
        <v>25</v>
      </c>
      <c r="E3476" s="44"/>
      <c r="F3476" s="16">
        <f>base!W3476</f>
        <v>0</v>
      </c>
      <c r="G3476" s="11">
        <f t="shared" si="540"/>
        <v>0</v>
      </c>
      <c r="H3476" s="11">
        <f t="shared" si="541"/>
        <v>7.2499999999999991</v>
      </c>
      <c r="I3476" s="11">
        <f t="shared" si="542"/>
        <v>0.28999999999999998</v>
      </c>
      <c r="J3476" s="12">
        <f t="shared" si="543"/>
        <v>-7.2499999999999991</v>
      </c>
      <c r="K3476" s="17" t="str">
        <f t="shared" si="548"/>
        <v>Ecart négatif</v>
      </c>
      <c r="L3476" s="16">
        <f>base!X3476</f>
        <v>2</v>
      </c>
      <c r="M3476" s="11">
        <f t="shared" si="544"/>
        <v>0.08</v>
      </c>
      <c r="N3476" s="11">
        <f t="shared" si="545"/>
        <v>2</v>
      </c>
      <c r="O3476" s="11">
        <f t="shared" si="546"/>
        <v>0.08</v>
      </c>
      <c r="P3476" s="12">
        <f t="shared" si="547"/>
        <v>0</v>
      </c>
      <c r="Q3476" s="17" t="str">
        <f t="shared" si="549"/>
        <v>Pas d'écart</v>
      </c>
      <c r="R3476" s="38"/>
    </row>
    <row r="3477" spans="1:18" x14ac:dyDescent="0.3">
      <c r="A3477" s="34" t="str">
        <f>base!J3477</f>
        <v>LM</v>
      </c>
      <c r="B3477" s="34" t="str">
        <f>base!V3477</f>
        <v>75014</v>
      </c>
      <c r="C3477" s="37">
        <v>75</v>
      </c>
      <c r="D3477" s="36">
        <f>base!H3477</f>
        <v>19.649999999999999</v>
      </c>
      <c r="E3477" s="44"/>
      <c r="F3477" s="16">
        <f>base!W3477</f>
        <v>0</v>
      </c>
      <c r="G3477" s="11">
        <f t="shared" si="540"/>
        <v>0</v>
      </c>
      <c r="H3477" s="11">
        <f t="shared" si="541"/>
        <v>0</v>
      </c>
      <c r="I3477" s="11">
        <f t="shared" si="542"/>
        <v>0</v>
      </c>
      <c r="J3477" s="12">
        <f t="shared" si="543"/>
        <v>0</v>
      </c>
      <c r="K3477" s="17" t="str">
        <f t="shared" si="548"/>
        <v>Pas d'écart</v>
      </c>
      <c r="L3477" s="16">
        <f>base!X3477</f>
        <v>0</v>
      </c>
      <c r="M3477" s="11">
        <f t="shared" si="544"/>
        <v>0</v>
      </c>
      <c r="N3477" s="11">
        <f t="shared" si="545"/>
        <v>0</v>
      </c>
      <c r="O3477" s="11">
        <f t="shared" si="546"/>
        <v>0</v>
      </c>
      <c r="P3477" s="12">
        <f t="shared" si="547"/>
        <v>0</v>
      </c>
      <c r="Q3477" s="17" t="str">
        <f t="shared" si="549"/>
        <v>Pas d'écart</v>
      </c>
    </row>
    <row r="3478" spans="1:18" x14ac:dyDescent="0.3">
      <c r="A3478" s="34" t="str">
        <f>base!J3478</f>
        <v>RM</v>
      </c>
      <c r="B3478" s="34" t="str">
        <f>base!V3478</f>
        <v>30105</v>
      </c>
      <c r="C3478" s="37">
        <v>30</v>
      </c>
      <c r="D3478" s="36">
        <f>base!H3478</f>
        <v>50</v>
      </c>
      <c r="E3478" s="44"/>
      <c r="F3478" s="16">
        <f>base!W3478</f>
        <v>0</v>
      </c>
      <c r="G3478" s="11">
        <f t="shared" si="540"/>
        <v>0</v>
      </c>
      <c r="H3478" s="11">
        <f t="shared" si="541"/>
        <v>19.5</v>
      </c>
      <c r="I3478" s="11">
        <f t="shared" si="542"/>
        <v>0.39</v>
      </c>
      <c r="J3478" s="12">
        <f t="shared" si="543"/>
        <v>-19.5</v>
      </c>
      <c r="K3478" s="17" t="str">
        <f t="shared" si="548"/>
        <v>Ecart négatif</v>
      </c>
      <c r="L3478" s="16">
        <f>base!X3478</f>
        <v>0</v>
      </c>
      <c r="M3478" s="11">
        <f t="shared" si="544"/>
        <v>0</v>
      </c>
      <c r="N3478" s="11">
        <f t="shared" si="545"/>
        <v>14.000000000000002</v>
      </c>
      <c r="O3478" s="11">
        <f t="shared" si="546"/>
        <v>0.28000000000000003</v>
      </c>
      <c r="P3478" s="12">
        <f t="shared" si="547"/>
        <v>-14.000000000000002</v>
      </c>
      <c r="Q3478" s="17" t="str">
        <f t="shared" si="549"/>
        <v>Ecart négatif</v>
      </c>
    </row>
    <row r="3479" spans="1:18" x14ac:dyDescent="0.3">
      <c r="A3479" s="34" t="str">
        <f>base!J3479</f>
        <v>RM</v>
      </c>
      <c r="B3479" s="34" t="str">
        <f>base!V3479</f>
        <v>25200</v>
      </c>
      <c r="C3479" s="37">
        <v>25</v>
      </c>
      <c r="D3479" s="36">
        <f>base!H3479</f>
        <v>151</v>
      </c>
      <c r="E3479" s="44"/>
      <c r="F3479" s="16">
        <f>base!W3479</f>
        <v>0</v>
      </c>
      <c r="G3479" s="11">
        <f t="shared" si="540"/>
        <v>0</v>
      </c>
      <c r="H3479" s="11">
        <f t="shared" si="541"/>
        <v>36.24</v>
      </c>
      <c r="I3479" s="11">
        <f t="shared" si="542"/>
        <v>0.24000000000000002</v>
      </c>
      <c r="J3479" s="12">
        <f t="shared" si="543"/>
        <v>-36.24</v>
      </c>
      <c r="K3479" s="17" t="str">
        <f t="shared" si="548"/>
        <v>Ecart négatif</v>
      </c>
      <c r="L3479" s="16">
        <f>base!X3479</f>
        <v>0</v>
      </c>
      <c r="M3479" s="11">
        <f t="shared" si="544"/>
        <v>0</v>
      </c>
      <c r="N3479" s="11">
        <f t="shared" si="545"/>
        <v>18.12</v>
      </c>
      <c r="O3479" s="11">
        <f t="shared" si="546"/>
        <v>0.12000000000000001</v>
      </c>
      <c r="P3479" s="12">
        <f t="shared" si="547"/>
        <v>-18.12</v>
      </c>
      <c r="Q3479" s="17" t="str">
        <f t="shared" si="549"/>
        <v>Ecart négatif</v>
      </c>
    </row>
    <row r="3480" spans="1:18" x14ac:dyDescent="0.3">
      <c r="A3480" s="34">
        <f>base!J3480</f>
        <v>0</v>
      </c>
      <c r="B3480" s="34" t="str">
        <f>base!V3480</f>
        <v>77184</v>
      </c>
      <c r="C3480" s="37">
        <v>77</v>
      </c>
      <c r="D3480" s="36">
        <f>base!H3480</f>
        <v>26.6</v>
      </c>
      <c r="E3480" s="44"/>
      <c r="F3480" s="16">
        <f>base!W3480</f>
        <v>0</v>
      </c>
      <c r="G3480" s="11">
        <f t="shared" si="540"/>
        <v>0</v>
      </c>
      <c r="H3480" s="11">
        <f t="shared" si="541"/>
        <v>0</v>
      </c>
      <c r="I3480" s="11">
        <f t="shared" si="542"/>
        <v>0</v>
      </c>
      <c r="J3480" s="12">
        <f t="shared" si="543"/>
        <v>0</v>
      </c>
      <c r="K3480" s="17" t="str">
        <f t="shared" si="548"/>
        <v>Pas d'écart</v>
      </c>
      <c r="L3480" s="16">
        <f>base!X3480</f>
        <v>0</v>
      </c>
      <c r="M3480" s="11">
        <f t="shared" si="544"/>
        <v>0</v>
      </c>
      <c r="N3480" s="11">
        <f t="shared" si="545"/>
        <v>0</v>
      </c>
      <c r="O3480" s="11">
        <f t="shared" si="546"/>
        <v>0</v>
      </c>
      <c r="P3480" s="12">
        <f t="shared" si="547"/>
        <v>0</v>
      </c>
      <c r="Q3480" s="17" t="str">
        <f t="shared" si="549"/>
        <v>Pas d'écart</v>
      </c>
    </row>
    <row r="3481" spans="1:18" x14ac:dyDescent="0.3">
      <c r="A3481" s="34" t="str">
        <f>base!J3481</f>
        <v>RM</v>
      </c>
      <c r="B3481" s="34" t="str">
        <f>base!V3481</f>
        <v>37140</v>
      </c>
      <c r="C3481" s="37">
        <v>37</v>
      </c>
      <c r="D3481" s="36">
        <f>base!H3481</f>
        <v>16.7</v>
      </c>
      <c r="E3481" s="44"/>
      <c r="F3481" s="16">
        <f>base!W3481</f>
        <v>0</v>
      </c>
      <c r="G3481" s="11">
        <f t="shared" si="540"/>
        <v>0</v>
      </c>
      <c r="H3481" s="11">
        <f t="shared" si="541"/>
        <v>3.173</v>
      </c>
      <c r="I3481" s="11">
        <f t="shared" si="542"/>
        <v>0.19</v>
      </c>
      <c r="J3481" s="12">
        <f t="shared" si="543"/>
        <v>-3.173</v>
      </c>
      <c r="K3481" s="17" t="str">
        <f t="shared" si="548"/>
        <v>Ecart négatif</v>
      </c>
      <c r="L3481" s="16">
        <f>base!X3481</f>
        <v>0</v>
      </c>
      <c r="M3481" s="11">
        <f t="shared" si="544"/>
        <v>0</v>
      </c>
      <c r="N3481" s="11">
        <f t="shared" si="545"/>
        <v>2.004</v>
      </c>
      <c r="O3481" s="11">
        <f t="shared" si="546"/>
        <v>0.12000000000000001</v>
      </c>
      <c r="P3481" s="12">
        <f t="shared" si="547"/>
        <v>-2.004</v>
      </c>
      <c r="Q3481" s="17" t="str">
        <f t="shared" si="549"/>
        <v>Ecart négatif</v>
      </c>
    </row>
    <row r="3482" spans="1:18" x14ac:dyDescent="0.3">
      <c r="A3482" s="34" t="str">
        <f>base!J3482</f>
        <v>LS</v>
      </c>
      <c r="B3482" s="34" t="str">
        <f>base!V3482</f>
        <v>94150</v>
      </c>
      <c r="C3482" s="37">
        <v>94</v>
      </c>
      <c r="D3482" s="36">
        <f>base!H3482</f>
        <v>80</v>
      </c>
      <c r="E3482" s="44"/>
      <c r="F3482" s="16">
        <f>base!W3482</f>
        <v>0</v>
      </c>
      <c r="G3482" s="11">
        <f t="shared" si="540"/>
        <v>0</v>
      </c>
      <c r="H3482" s="11">
        <f t="shared" si="541"/>
        <v>0</v>
      </c>
      <c r="I3482" s="11">
        <f t="shared" si="542"/>
        <v>0</v>
      </c>
      <c r="J3482" s="12">
        <f t="shared" si="543"/>
        <v>0</v>
      </c>
      <c r="K3482" s="17" t="str">
        <f t="shared" si="548"/>
        <v>Pas d'écart</v>
      </c>
      <c r="L3482" s="16">
        <f>base!X3482</f>
        <v>0</v>
      </c>
      <c r="M3482" s="11">
        <f t="shared" si="544"/>
        <v>0</v>
      </c>
      <c r="N3482" s="11">
        <f t="shared" si="545"/>
        <v>0</v>
      </c>
      <c r="O3482" s="11">
        <f t="shared" si="546"/>
        <v>0</v>
      </c>
      <c r="P3482" s="12">
        <f t="shared" si="547"/>
        <v>0</v>
      </c>
      <c r="Q3482" s="17" t="str">
        <f t="shared" si="549"/>
        <v>Pas d'écart</v>
      </c>
    </row>
    <row r="3483" spans="1:18" x14ac:dyDescent="0.3">
      <c r="A3483" s="34" t="str">
        <f>base!J3483</f>
        <v>DLS</v>
      </c>
      <c r="B3483" s="34" t="str">
        <f>base!V3483</f>
        <v>35000</v>
      </c>
      <c r="C3483" s="37">
        <v>35</v>
      </c>
      <c r="D3483" s="36">
        <f>base!H3483</f>
        <v>188.5</v>
      </c>
      <c r="E3483" s="44"/>
      <c r="F3483" s="16">
        <f>base!W3483</f>
        <v>0</v>
      </c>
      <c r="G3483" s="11">
        <f t="shared" si="540"/>
        <v>0</v>
      </c>
      <c r="H3483" s="11">
        <f t="shared" si="541"/>
        <v>50.895000000000003</v>
      </c>
      <c r="I3483" s="11">
        <f t="shared" si="542"/>
        <v>0.27</v>
      </c>
      <c r="J3483" s="12">
        <f t="shared" si="543"/>
        <v>-50.895000000000003</v>
      </c>
      <c r="K3483" s="17" t="str">
        <f t="shared" si="548"/>
        <v>Ecart négatif</v>
      </c>
      <c r="L3483" s="16">
        <f>base!X3483</f>
        <v>0</v>
      </c>
      <c r="M3483" s="11">
        <f t="shared" si="544"/>
        <v>0</v>
      </c>
      <c r="N3483" s="11">
        <f t="shared" si="545"/>
        <v>0</v>
      </c>
      <c r="O3483" s="11">
        <f t="shared" si="546"/>
        <v>0</v>
      </c>
      <c r="P3483" s="12">
        <f t="shared" si="547"/>
        <v>0</v>
      </c>
      <c r="Q3483" s="17" t="str">
        <f t="shared" si="549"/>
        <v>Pas d'écart</v>
      </c>
    </row>
    <row r="3484" spans="1:18" x14ac:dyDescent="0.3">
      <c r="A3484" s="34" t="str">
        <f>base!J3484</f>
        <v>LS</v>
      </c>
      <c r="B3484" s="34" t="str">
        <f>base!V3484</f>
        <v>27520</v>
      </c>
      <c r="C3484" s="37">
        <v>27</v>
      </c>
      <c r="D3484" s="36">
        <f>base!H3484</f>
        <v>0</v>
      </c>
      <c r="E3484" s="44"/>
      <c r="F3484" s="16">
        <f>base!W3484</f>
        <v>0</v>
      </c>
      <c r="G3484" s="11" t="e">
        <f t="shared" si="540"/>
        <v>#DIV/0!</v>
      </c>
      <c r="H3484" s="11">
        <f t="shared" si="541"/>
        <v>0</v>
      </c>
      <c r="I3484" s="11" t="e">
        <f t="shared" si="542"/>
        <v>#DIV/0!</v>
      </c>
      <c r="J3484" s="12">
        <f t="shared" si="543"/>
        <v>0</v>
      </c>
      <c r="K3484" s="17" t="str">
        <f t="shared" si="548"/>
        <v>Pas d'écart</v>
      </c>
      <c r="L3484" s="16">
        <f>base!X3484</f>
        <v>0</v>
      </c>
      <c r="M3484" s="11" t="e">
        <f t="shared" si="544"/>
        <v>#DIV/0!</v>
      </c>
      <c r="N3484" s="11">
        <f t="shared" si="545"/>
        <v>0</v>
      </c>
      <c r="O3484" s="11" t="e">
        <f t="shared" si="546"/>
        <v>#DIV/0!</v>
      </c>
      <c r="P3484" s="12">
        <f t="shared" si="547"/>
        <v>0</v>
      </c>
      <c r="Q3484" s="17" t="str">
        <f t="shared" si="549"/>
        <v>Pas d'écart</v>
      </c>
    </row>
    <row r="3485" spans="1:18" x14ac:dyDescent="0.3">
      <c r="A3485" s="34" t="str">
        <f>base!J3485</f>
        <v>RS</v>
      </c>
      <c r="B3485" s="34" t="str">
        <f>base!V3485</f>
        <v>21000</v>
      </c>
      <c r="C3485" s="37">
        <v>21</v>
      </c>
      <c r="D3485" s="36">
        <f>base!H3485</f>
        <v>140</v>
      </c>
      <c r="E3485" s="44"/>
      <c r="F3485" s="16">
        <f>base!W3485</f>
        <v>0</v>
      </c>
      <c r="G3485" s="11">
        <f t="shared" si="540"/>
        <v>0</v>
      </c>
      <c r="H3485" s="11">
        <f t="shared" si="541"/>
        <v>33.6</v>
      </c>
      <c r="I3485" s="11">
        <f t="shared" si="542"/>
        <v>0.24000000000000002</v>
      </c>
      <c r="J3485" s="12">
        <f t="shared" si="543"/>
        <v>-33.6</v>
      </c>
      <c r="K3485" s="17" t="str">
        <f t="shared" si="548"/>
        <v>Ecart négatif</v>
      </c>
      <c r="L3485" s="16">
        <f>base!X3485</f>
        <v>0</v>
      </c>
      <c r="M3485" s="11">
        <f t="shared" si="544"/>
        <v>0</v>
      </c>
      <c r="N3485" s="11">
        <f t="shared" si="545"/>
        <v>16.8</v>
      </c>
      <c r="O3485" s="11">
        <f t="shared" si="546"/>
        <v>0.12000000000000001</v>
      </c>
      <c r="P3485" s="12">
        <f t="shared" si="547"/>
        <v>-16.8</v>
      </c>
      <c r="Q3485" s="17" t="str">
        <f t="shared" si="549"/>
        <v>Ecart négatif</v>
      </c>
    </row>
    <row r="3486" spans="1:18" x14ac:dyDescent="0.3">
      <c r="A3486" s="34" t="str">
        <f>base!J3486</f>
        <v>RM</v>
      </c>
      <c r="B3486" s="34" t="str">
        <f>base!V3486</f>
        <v>28320</v>
      </c>
      <c r="C3486" s="37">
        <v>28</v>
      </c>
      <c r="D3486" s="36">
        <f>base!H3486</f>
        <v>140</v>
      </c>
      <c r="E3486" s="44"/>
      <c r="F3486" s="16">
        <f>base!W3486</f>
        <v>0</v>
      </c>
      <c r="G3486" s="11">
        <f t="shared" si="540"/>
        <v>0</v>
      </c>
      <c r="H3486" s="11">
        <f t="shared" si="541"/>
        <v>28</v>
      </c>
      <c r="I3486" s="11">
        <f t="shared" si="542"/>
        <v>0.2</v>
      </c>
      <c r="J3486" s="12">
        <f t="shared" si="543"/>
        <v>-28</v>
      </c>
      <c r="K3486" s="17" t="str">
        <f t="shared" si="548"/>
        <v>Ecart négatif</v>
      </c>
      <c r="L3486" s="16">
        <f>base!X3486</f>
        <v>0</v>
      </c>
      <c r="M3486" s="11">
        <f t="shared" si="544"/>
        <v>0</v>
      </c>
      <c r="N3486" s="11">
        <f t="shared" si="545"/>
        <v>16.8</v>
      </c>
      <c r="O3486" s="11">
        <f t="shared" si="546"/>
        <v>0.12000000000000001</v>
      </c>
      <c r="P3486" s="12">
        <f t="shared" si="547"/>
        <v>-16.8</v>
      </c>
      <c r="Q3486" s="17" t="str">
        <f t="shared" si="549"/>
        <v>Ecart négatif</v>
      </c>
    </row>
    <row r="3487" spans="1:18" x14ac:dyDescent="0.3">
      <c r="A3487" s="34" t="str">
        <f>base!J3487</f>
        <v>LS</v>
      </c>
      <c r="B3487" s="34" t="str">
        <f>base!V3487</f>
        <v>76320</v>
      </c>
      <c r="C3487" s="37">
        <v>76</v>
      </c>
      <c r="D3487" s="36">
        <f>base!H3487</f>
        <v>40</v>
      </c>
      <c r="E3487" s="44"/>
      <c r="F3487" s="16">
        <f>base!W3487</f>
        <v>6.8</v>
      </c>
      <c r="G3487" s="11">
        <f t="shared" si="540"/>
        <v>0.16999999999999998</v>
      </c>
      <c r="H3487" s="11">
        <f t="shared" si="541"/>
        <v>6.8000000000000007</v>
      </c>
      <c r="I3487" s="11">
        <f t="shared" si="542"/>
        <v>0.17</v>
      </c>
      <c r="J3487" s="12">
        <f t="shared" si="543"/>
        <v>0</v>
      </c>
      <c r="K3487" s="17" t="str">
        <f t="shared" si="548"/>
        <v>Pas d'écart</v>
      </c>
      <c r="L3487" s="16">
        <f>base!X3487</f>
        <v>0</v>
      </c>
      <c r="M3487" s="11">
        <f t="shared" si="544"/>
        <v>0</v>
      </c>
      <c r="N3487" s="11">
        <f t="shared" si="545"/>
        <v>6.8000000000000007</v>
      </c>
      <c r="O3487" s="11">
        <f t="shared" si="546"/>
        <v>0.17</v>
      </c>
      <c r="P3487" s="12">
        <f t="shared" si="547"/>
        <v>-6.8000000000000007</v>
      </c>
      <c r="Q3487" s="17" t="str">
        <f t="shared" si="549"/>
        <v>Ecart négatif</v>
      </c>
    </row>
    <row r="3488" spans="1:18" x14ac:dyDescent="0.3">
      <c r="A3488" s="34" t="str">
        <f>base!J3488</f>
        <v>RS</v>
      </c>
      <c r="B3488" s="34" t="str">
        <f>base!V3488</f>
        <v>06200</v>
      </c>
      <c r="C3488" s="37">
        <v>6</v>
      </c>
      <c r="D3488" s="36">
        <f>base!H3488</f>
        <v>140</v>
      </c>
      <c r="E3488" s="44"/>
      <c r="F3488" s="16">
        <f>base!W3488</f>
        <v>0</v>
      </c>
      <c r="G3488" s="11">
        <f t="shared" si="540"/>
        <v>0</v>
      </c>
      <c r="H3488" s="11">
        <f t="shared" si="541"/>
        <v>42</v>
      </c>
      <c r="I3488" s="11">
        <f t="shared" si="542"/>
        <v>0.3</v>
      </c>
      <c r="J3488" s="12">
        <f t="shared" si="543"/>
        <v>-42</v>
      </c>
      <c r="K3488" s="17" t="str">
        <f t="shared" si="548"/>
        <v>Ecart négatif</v>
      </c>
      <c r="L3488" s="16">
        <f>base!X3488</f>
        <v>0</v>
      </c>
      <c r="M3488" s="11">
        <f t="shared" si="544"/>
        <v>0</v>
      </c>
      <c r="N3488" s="11">
        <f t="shared" si="545"/>
        <v>29.4</v>
      </c>
      <c r="O3488" s="11">
        <f t="shared" si="546"/>
        <v>0.21</v>
      </c>
      <c r="P3488" s="12">
        <f t="shared" si="547"/>
        <v>-29.4</v>
      </c>
      <c r="Q3488" s="17" t="str">
        <f t="shared" si="549"/>
        <v>Ecart négatif</v>
      </c>
    </row>
    <row r="3489" spans="1:17" x14ac:dyDescent="0.3">
      <c r="A3489" s="34" t="str">
        <f>base!J3489</f>
        <v>DRS</v>
      </c>
      <c r="B3489" s="34" t="str">
        <f>base!V3489</f>
        <v>76700</v>
      </c>
      <c r="C3489" s="37">
        <v>76</v>
      </c>
      <c r="D3489" s="36">
        <f>base!H3489</f>
        <v>170.88</v>
      </c>
      <c r="E3489" s="44"/>
      <c r="F3489" s="16">
        <f>base!W3489</f>
        <v>0</v>
      </c>
      <c r="G3489" s="11">
        <f t="shared" si="540"/>
        <v>0</v>
      </c>
      <c r="H3489" s="11">
        <f t="shared" si="541"/>
        <v>29.049600000000002</v>
      </c>
      <c r="I3489" s="11">
        <f t="shared" si="542"/>
        <v>0.17</v>
      </c>
      <c r="J3489" s="12">
        <f t="shared" si="543"/>
        <v>-29.049600000000002</v>
      </c>
      <c r="K3489" s="17" t="str">
        <f t="shared" si="548"/>
        <v>Ecart négatif</v>
      </c>
      <c r="L3489" s="16">
        <f>base!X3489</f>
        <v>0</v>
      </c>
      <c r="M3489" s="11">
        <f t="shared" si="544"/>
        <v>0</v>
      </c>
      <c r="N3489" s="11">
        <f t="shared" si="545"/>
        <v>29.049600000000002</v>
      </c>
      <c r="O3489" s="11">
        <f t="shared" si="546"/>
        <v>0.17</v>
      </c>
      <c r="P3489" s="12">
        <f t="shared" si="547"/>
        <v>-29.049600000000002</v>
      </c>
      <c r="Q3489" s="17" t="str">
        <f t="shared" si="549"/>
        <v>Ecart négatif</v>
      </c>
    </row>
    <row r="3490" spans="1:17" x14ac:dyDescent="0.3">
      <c r="A3490" s="34" t="str">
        <f>base!J3490</f>
        <v>LS</v>
      </c>
      <c r="B3490" s="34" t="str">
        <f>base!V3490</f>
        <v>62740</v>
      </c>
      <c r="C3490" s="37">
        <v>69</v>
      </c>
      <c r="D3490" s="36">
        <f>base!H3490</f>
        <v>45.85</v>
      </c>
      <c r="E3490" s="44"/>
      <c r="F3490" s="16">
        <f>base!W3490</f>
        <v>8.7100000000000009</v>
      </c>
      <c r="G3490" s="11">
        <f t="shared" si="540"/>
        <v>0.18996728462377319</v>
      </c>
      <c r="H3490" s="11">
        <f t="shared" si="541"/>
        <v>12.379500000000002</v>
      </c>
      <c r="I3490" s="11">
        <f t="shared" si="542"/>
        <v>0.27</v>
      </c>
      <c r="J3490" s="12">
        <f t="shared" si="543"/>
        <v>-3.6695000000000011</v>
      </c>
      <c r="K3490" s="17" t="str">
        <f t="shared" si="548"/>
        <v>Ecart négatif</v>
      </c>
      <c r="L3490" s="16">
        <f>base!X3490</f>
        <v>0</v>
      </c>
      <c r="M3490" s="11">
        <f t="shared" si="544"/>
        <v>0</v>
      </c>
      <c r="N3490" s="11">
        <f t="shared" si="545"/>
        <v>0</v>
      </c>
      <c r="O3490" s="11">
        <f t="shared" si="546"/>
        <v>0</v>
      </c>
      <c r="P3490" s="12">
        <f t="shared" si="547"/>
        <v>0</v>
      </c>
      <c r="Q3490" s="17" t="str">
        <f t="shared" si="549"/>
        <v>Pas d'écart</v>
      </c>
    </row>
    <row r="3491" spans="1:17" x14ac:dyDescent="0.3">
      <c r="A3491" s="34" t="str">
        <f>base!J3491</f>
        <v>DLS</v>
      </c>
      <c r="B3491" s="34" t="str">
        <f>base!V3491</f>
        <v>69002</v>
      </c>
      <c r="C3491" s="37">
        <v>69</v>
      </c>
      <c r="D3491" s="36">
        <f>base!H3491</f>
        <v>180</v>
      </c>
      <c r="E3491" s="44"/>
      <c r="F3491" s="16">
        <f>base!W3491</f>
        <v>0</v>
      </c>
      <c r="G3491" s="11">
        <f t="shared" si="540"/>
        <v>0</v>
      </c>
      <c r="H3491" s="11">
        <f t="shared" si="541"/>
        <v>48.6</v>
      </c>
      <c r="I3491" s="11">
        <f t="shared" si="542"/>
        <v>0.27</v>
      </c>
      <c r="J3491" s="12">
        <f t="shared" si="543"/>
        <v>-48.6</v>
      </c>
      <c r="K3491" s="17" t="str">
        <f t="shared" si="548"/>
        <v>Ecart négatif</v>
      </c>
      <c r="L3491" s="16">
        <f>base!X3491</f>
        <v>0</v>
      </c>
      <c r="M3491" s="11">
        <f t="shared" si="544"/>
        <v>0</v>
      </c>
      <c r="N3491" s="11">
        <f t="shared" si="545"/>
        <v>0</v>
      </c>
      <c r="O3491" s="11">
        <f t="shared" si="546"/>
        <v>0</v>
      </c>
      <c r="P3491" s="12">
        <f t="shared" si="547"/>
        <v>0</v>
      </c>
      <c r="Q3491" s="17" t="str">
        <f t="shared" si="549"/>
        <v>Pas d'écart</v>
      </c>
    </row>
    <row r="3492" spans="1:17" x14ac:dyDescent="0.3">
      <c r="A3492" s="34" t="str">
        <f>base!J3492</f>
        <v>DRS</v>
      </c>
      <c r="B3492" s="34" t="str">
        <f>base!V3492</f>
        <v>34400</v>
      </c>
      <c r="C3492" s="37">
        <v>34</v>
      </c>
      <c r="D3492" s="36">
        <f>base!H3492</f>
        <v>0</v>
      </c>
      <c r="E3492" s="44"/>
      <c r="F3492" s="16">
        <f>base!W3492</f>
        <v>0</v>
      </c>
      <c r="G3492" s="11" t="e">
        <f t="shared" si="540"/>
        <v>#DIV/0!</v>
      </c>
      <c r="H3492" s="11">
        <f t="shared" si="541"/>
        <v>0</v>
      </c>
      <c r="I3492" s="11" t="e">
        <f t="shared" si="542"/>
        <v>#DIV/0!</v>
      </c>
      <c r="J3492" s="12">
        <f t="shared" si="543"/>
        <v>0</v>
      </c>
      <c r="K3492" s="17" t="str">
        <f t="shared" si="548"/>
        <v>Pas d'écart</v>
      </c>
      <c r="L3492" s="16">
        <f>base!X3492</f>
        <v>0</v>
      </c>
      <c r="M3492" s="11" t="e">
        <f t="shared" si="544"/>
        <v>#DIV/0!</v>
      </c>
      <c r="N3492" s="11">
        <f t="shared" si="545"/>
        <v>0</v>
      </c>
      <c r="O3492" s="11" t="e">
        <f t="shared" si="546"/>
        <v>#DIV/0!</v>
      </c>
      <c r="P3492" s="12">
        <f t="shared" si="547"/>
        <v>0</v>
      </c>
      <c r="Q3492" s="17" t="str">
        <f t="shared" si="549"/>
        <v>Pas d'écart</v>
      </c>
    </row>
    <row r="3493" spans="1:17" x14ac:dyDescent="0.3">
      <c r="A3493" s="34" t="str">
        <f>base!J3493</f>
        <v>DRS</v>
      </c>
      <c r="B3493" s="34" t="str">
        <f>base!V3493</f>
        <v>69003</v>
      </c>
      <c r="C3493" s="37">
        <v>69</v>
      </c>
      <c r="D3493" s="36">
        <f>base!H3493</f>
        <v>109.06</v>
      </c>
      <c r="E3493" s="44"/>
      <c r="F3493" s="16">
        <f>base!W3493</f>
        <v>0</v>
      </c>
      <c r="G3493" s="11">
        <f t="shared" si="540"/>
        <v>0</v>
      </c>
      <c r="H3493" s="11">
        <f t="shared" si="541"/>
        <v>29.446200000000001</v>
      </c>
      <c r="I3493" s="11">
        <f t="shared" si="542"/>
        <v>0.27</v>
      </c>
      <c r="J3493" s="12">
        <f t="shared" si="543"/>
        <v>-29.446200000000001</v>
      </c>
      <c r="K3493" s="17" t="str">
        <f t="shared" si="548"/>
        <v>Ecart négatif</v>
      </c>
      <c r="L3493" s="16">
        <f>base!X3493</f>
        <v>0</v>
      </c>
      <c r="M3493" s="11">
        <f t="shared" si="544"/>
        <v>0</v>
      </c>
      <c r="N3493" s="11">
        <f t="shared" si="545"/>
        <v>0</v>
      </c>
      <c r="O3493" s="11">
        <f t="shared" si="546"/>
        <v>0</v>
      </c>
      <c r="P3493" s="12">
        <f t="shared" si="547"/>
        <v>0</v>
      </c>
      <c r="Q3493" s="17" t="str">
        <f t="shared" si="549"/>
        <v>Pas d'écart</v>
      </c>
    </row>
    <row r="3494" spans="1:17" x14ac:dyDescent="0.3">
      <c r="A3494" s="34" t="str">
        <f>base!J3494</f>
        <v>DLM</v>
      </c>
      <c r="B3494" s="34" t="str">
        <f>base!V3494</f>
        <v>14000</v>
      </c>
      <c r="C3494" s="37">
        <v>14</v>
      </c>
      <c r="D3494" s="36">
        <f>base!H3494</f>
        <v>143.57</v>
      </c>
      <c r="E3494" s="44"/>
      <c r="F3494" s="16">
        <f>base!W3494</f>
        <v>0</v>
      </c>
      <c r="G3494" s="11">
        <f t="shared" si="540"/>
        <v>0</v>
      </c>
      <c r="H3494" s="11">
        <f t="shared" si="541"/>
        <v>24.4069</v>
      </c>
      <c r="I3494" s="11">
        <f t="shared" si="542"/>
        <v>0.17</v>
      </c>
      <c r="J3494" s="12">
        <f t="shared" si="543"/>
        <v>-24.4069</v>
      </c>
      <c r="K3494" s="17" t="str">
        <f t="shared" si="548"/>
        <v>Ecart négatif</v>
      </c>
      <c r="L3494" s="16">
        <f>base!X3494</f>
        <v>0</v>
      </c>
      <c r="M3494" s="11">
        <f t="shared" si="544"/>
        <v>0</v>
      </c>
      <c r="N3494" s="11">
        <f t="shared" si="545"/>
        <v>24.4069</v>
      </c>
      <c r="O3494" s="11">
        <f t="shared" si="546"/>
        <v>0.17</v>
      </c>
      <c r="P3494" s="12">
        <f t="shared" si="547"/>
        <v>-24.4069</v>
      </c>
      <c r="Q3494" s="17" t="str">
        <f t="shared" si="549"/>
        <v>Ecart négatif</v>
      </c>
    </row>
    <row r="3495" spans="1:17" x14ac:dyDescent="0.3">
      <c r="A3495" s="34" t="str">
        <f>base!J3495</f>
        <v>LM</v>
      </c>
      <c r="B3495" s="34" t="str">
        <f>base!V3495</f>
        <v>75002</v>
      </c>
      <c r="C3495" s="37">
        <v>75</v>
      </c>
      <c r="D3495" s="36">
        <f>base!H3495</f>
        <v>86.6</v>
      </c>
      <c r="E3495" s="44"/>
      <c r="F3495" s="16">
        <f>base!W3495</f>
        <v>0</v>
      </c>
      <c r="G3495" s="11">
        <f t="shared" si="540"/>
        <v>0</v>
      </c>
      <c r="H3495" s="11">
        <f t="shared" si="541"/>
        <v>0</v>
      </c>
      <c r="I3495" s="11">
        <f t="shared" si="542"/>
        <v>0</v>
      </c>
      <c r="J3495" s="12">
        <f t="shared" si="543"/>
        <v>0</v>
      </c>
      <c r="K3495" s="17" t="str">
        <f t="shared" si="548"/>
        <v>Pas d'écart</v>
      </c>
      <c r="L3495" s="16">
        <f>base!X3495</f>
        <v>0</v>
      </c>
      <c r="M3495" s="11">
        <f t="shared" si="544"/>
        <v>0</v>
      </c>
      <c r="N3495" s="11">
        <f t="shared" si="545"/>
        <v>0</v>
      </c>
      <c r="O3495" s="11">
        <f t="shared" si="546"/>
        <v>0</v>
      </c>
      <c r="P3495" s="12">
        <f t="shared" si="547"/>
        <v>0</v>
      </c>
      <c r="Q3495" s="17" t="str">
        <f t="shared" si="549"/>
        <v>Pas d'écart</v>
      </c>
    </row>
    <row r="3496" spans="1:17" x14ac:dyDescent="0.3">
      <c r="A3496" s="34" t="str">
        <f>base!J3496</f>
        <v>DLS</v>
      </c>
      <c r="B3496" s="34" t="str">
        <f>base!V3496</f>
        <v>73000</v>
      </c>
      <c r="C3496" s="37">
        <v>73</v>
      </c>
      <c r="D3496" s="36">
        <f>base!H3496</f>
        <v>90</v>
      </c>
      <c r="E3496" s="44"/>
      <c r="F3496" s="16">
        <f>base!W3496</f>
        <v>0</v>
      </c>
      <c r="G3496" s="11">
        <f t="shared" si="540"/>
        <v>0</v>
      </c>
      <c r="H3496" s="11">
        <f t="shared" si="541"/>
        <v>24.3</v>
      </c>
      <c r="I3496" s="11">
        <f t="shared" si="542"/>
        <v>0.27</v>
      </c>
      <c r="J3496" s="12">
        <f t="shared" si="543"/>
        <v>-24.3</v>
      </c>
      <c r="K3496" s="17" t="str">
        <f t="shared" si="548"/>
        <v>Ecart négatif</v>
      </c>
      <c r="L3496" s="16">
        <f>base!X3496</f>
        <v>0</v>
      </c>
      <c r="M3496" s="11">
        <f t="shared" si="544"/>
        <v>0</v>
      </c>
      <c r="N3496" s="11">
        <f t="shared" si="545"/>
        <v>0</v>
      </c>
      <c r="O3496" s="11">
        <f t="shared" si="546"/>
        <v>0</v>
      </c>
      <c r="P3496" s="12">
        <f t="shared" si="547"/>
        <v>0</v>
      </c>
      <c r="Q3496" s="17" t="str">
        <f t="shared" si="549"/>
        <v>Pas d'écart</v>
      </c>
    </row>
    <row r="3497" spans="1:17" x14ac:dyDescent="0.3">
      <c r="A3497" s="34" t="str">
        <f>base!J3497</f>
        <v>RM</v>
      </c>
      <c r="B3497" s="34" t="str">
        <f>base!V3497</f>
        <v>77600</v>
      </c>
      <c r="C3497" s="37">
        <v>77</v>
      </c>
      <c r="D3497" s="36">
        <f>base!H3497</f>
        <v>151</v>
      </c>
      <c r="E3497" s="44"/>
      <c r="F3497" s="16">
        <f>base!W3497</f>
        <v>0</v>
      </c>
      <c r="G3497" s="11">
        <f t="shared" si="540"/>
        <v>0</v>
      </c>
      <c r="H3497" s="11">
        <f t="shared" si="541"/>
        <v>0</v>
      </c>
      <c r="I3497" s="11">
        <f t="shared" si="542"/>
        <v>0</v>
      </c>
      <c r="J3497" s="12">
        <f t="shared" si="543"/>
        <v>0</v>
      </c>
      <c r="K3497" s="17" t="str">
        <f t="shared" si="548"/>
        <v>Pas d'écart</v>
      </c>
      <c r="L3497" s="16">
        <f>base!X3497</f>
        <v>0</v>
      </c>
      <c r="M3497" s="11">
        <f t="shared" si="544"/>
        <v>0</v>
      </c>
      <c r="N3497" s="11">
        <f t="shared" si="545"/>
        <v>0</v>
      </c>
      <c r="O3497" s="11">
        <f t="shared" si="546"/>
        <v>0</v>
      </c>
      <c r="P3497" s="12">
        <f t="shared" si="547"/>
        <v>0</v>
      </c>
      <c r="Q3497" s="17" t="str">
        <f t="shared" si="549"/>
        <v>Pas d'écart</v>
      </c>
    </row>
    <row r="3498" spans="1:17" x14ac:dyDescent="0.3">
      <c r="A3498" s="34" t="str">
        <f>base!J3498</f>
        <v>RM</v>
      </c>
      <c r="B3498" s="34" t="str">
        <f>base!V3498</f>
        <v>69100</v>
      </c>
      <c r="C3498" s="37">
        <v>69</v>
      </c>
      <c r="D3498" s="36">
        <f>base!H3498</f>
        <v>180</v>
      </c>
      <c r="E3498" s="44"/>
      <c r="F3498" s="16">
        <f>base!W3498</f>
        <v>0</v>
      </c>
      <c r="G3498" s="11">
        <f t="shared" si="540"/>
        <v>0</v>
      </c>
      <c r="H3498" s="11">
        <f t="shared" si="541"/>
        <v>48.6</v>
      </c>
      <c r="I3498" s="11">
        <f t="shared" si="542"/>
        <v>0.27</v>
      </c>
      <c r="J3498" s="12">
        <f t="shared" si="543"/>
        <v>-48.6</v>
      </c>
      <c r="K3498" s="17" t="str">
        <f t="shared" si="548"/>
        <v>Ecart négatif</v>
      </c>
      <c r="L3498" s="16">
        <f>base!X3498</f>
        <v>0</v>
      </c>
      <c r="M3498" s="11">
        <f t="shared" si="544"/>
        <v>0</v>
      </c>
      <c r="N3498" s="11">
        <f t="shared" si="545"/>
        <v>0</v>
      </c>
      <c r="O3498" s="11">
        <f t="shared" si="546"/>
        <v>0</v>
      </c>
      <c r="P3498" s="12">
        <f t="shared" si="547"/>
        <v>0</v>
      </c>
      <c r="Q3498" s="17" t="str">
        <f t="shared" si="549"/>
        <v>Pas d'écart</v>
      </c>
    </row>
    <row r="3499" spans="1:17" x14ac:dyDescent="0.3">
      <c r="A3499" s="34" t="str">
        <f>base!J3499</f>
        <v>RM</v>
      </c>
      <c r="B3499" s="34" t="str">
        <f>base!V3499</f>
        <v>69100</v>
      </c>
      <c r="C3499" s="37">
        <v>69</v>
      </c>
      <c r="D3499" s="36">
        <f>base!H3499</f>
        <v>90.99</v>
      </c>
      <c r="E3499" s="44"/>
      <c r="F3499" s="16">
        <f>base!W3499</f>
        <v>0</v>
      </c>
      <c r="G3499" s="11">
        <f t="shared" si="540"/>
        <v>0</v>
      </c>
      <c r="H3499" s="11">
        <f t="shared" si="541"/>
        <v>24.567299999999999</v>
      </c>
      <c r="I3499" s="11">
        <f t="shared" si="542"/>
        <v>0.27</v>
      </c>
      <c r="J3499" s="12">
        <f t="shared" si="543"/>
        <v>-24.567299999999999</v>
      </c>
      <c r="K3499" s="17" t="str">
        <f t="shared" si="548"/>
        <v>Ecart négatif</v>
      </c>
      <c r="L3499" s="16">
        <f>base!X3499</f>
        <v>0</v>
      </c>
      <c r="M3499" s="11">
        <f t="shared" si="544"/>
        <v>0</v>
      </c>
      <c r="N3499" s="11">
        <f t="shared" si="545"/>
        <v>0</v>
      </c>
      <c r="O3499" s="11">
        <f t="shared" si="546"/>
        <v>0</v>
      </c>
      <c r="P3499" s="12">
        <f t="shared" si="547"/>
        <v>0</v>
      </c>
      <c r="Q3499" s="17" t="str">
        <f t="shared" si="549"/>
        <v>Pas d'écart</v>
      </c>
    </row>
    <row r="3500" spans="1:17" x14ac:dyDescent="0.3">
      <c r="A3500" s="34" t="str">
        <f>base!J3500</f>
        <v>RM</v>
      </c>
      <c r="B3500" s="34" t="str">
        <f>base!V3500</f>
        <v>42230</v>
      </c>
      <c r="C3500" s="37">
        <v>42</v>
      </c>
      <c r="D3500" s="36">
        <f>base!H3500</f>
        <v>180</v>
      </c>
      <c r="E3500" s="44"/>
      <c r="F3500" s="16">
        <f>base!W3500</f>
        <v>0</v>
      </c>
      <c r="G3500" s="11">
        <f t="shared" si="540"/>
        <v>0</v>
      </c>
      <c r="H3500" s="11">
        <f t="shared" si="541"/>
        <v>46.800000000000004</v>
      </c>
      <c r="I3500" s="11">
        <f t="shared" si="542"/>
        <v>0.26</v>
      </c>
      <c r="J3500" s="12">
        <f t="shared" si="543"/>
        <v>-46.800000000000004</v>
      </c>
      <c r="K3500" s="17" t="str">
        <f t="shared" si="548"/>
        <v>Ecart négatif</v>
      </c>
      <c r="L3500" s="16">
        <f>base!X3500</f>
        <v>0</v>
      </c>
      <c r="M3500" s="11">
        <f t="shared" si="544"/>
        <v>0</v>
      </c>
      <c r="N3500" s="11">
        <f t="shared" si="545"/>
        <v>0</v>
      </c>
      <c r="O3500" s="11">
        <f t="shared" si="546"/>
        <v>0</v>
      </c>
      <c r="P3500" s="12">
        <f t="shared" si="547"/>
        <v>0</v>
      </c>
      <c r="Q3500" s="17" t="str">
        <f t="shared" si="549"/>
        <v>Pas d'écart</v>
      </c>
    </row>
    <row r="3501" spans="1:17" x14ac:dyDescent="0.3">
      <c r="A3501" s="34" t="str">
        <f>base!J3501</f>
        <v>RS</v>
      </c>
      <c r="B3501" s="34" t="str">
        <f>base!V3501</f>
        <v>01120</v>
      </c>
      <c r="C3501" s="37">
        <v>1</v>
      </c>
      <c r="D3501" s="36">
        <f>base!H3501</f>
        <v>42.96</v>
      </c>
      <c r="E3501" s="44"/>
      <c r="F3501" s="16">
        <f>base!W3501</f>
        <v>0</v>
      </c>
      <c r="G3501" s="11">
        <f t="shared" si="540"/>
        <v>0</v>
      </c>
      <c r="H3501" s="11">
        <f t="shared" si="541"/>
        <v>11.169600000000001</v>
      </c>
      <c r="I3501" s="11">
        <f t="shared" si="542"/>
        <v>0.26</v>
      </c>
      <c r="J3501" s="12">
        <f t="shared" si="543"/>
        <v>-11.169600000000001</v>
      </c>
      <c r="K3501" s="17" t="str">
        <f t="shared" si="548"/>
        <v>Ecart négatif</v>
      </c>
      <c r="L3501" s="16">
        <f>base!X3501</f>
        <v>0</v>
      </c>
      <c r="M3501" s="11">
        <f t="shared" si="544"/>
        <v>0</v>
      </c>
      <c r="N3501" s="11">
        <f t="shared" si="545"/>
        <v>0</v>
      </c>
      <c r="O3501" s="11">
        <f t="shared" si="546"/>
        <v>0</v>
      </c>
      <c r="P3501" s="12">
        <f t="shared" si="547"/>
        <v>0</v>
      </c>
      <c r="Q3501" s="17" t="str">
        <f t="shared" si="549"/>
        <v>Pas d'écart</v>
      </c>
    </row>
    <row r="3502" spans="1:17" x14ac:dyDescent="0.3">
      <c r="A3502" s="34" t="str">
        <f>base!J3502</f>
        <v>RS</v>
      </c>
      <c r="B3502" s="34" t="str">
        <f>base!V3502</f>
        <v>69120</v>
      </c>
      <c r="C3502" s="37">
        <v>69</v>
      </c>
      <c r="D3502" s="36">
        <f>base!H3502</f>
        <v>151</v>
      </c>
      <c r="E3502" s="44"/>
      <c r="F3502" s="16">
        <f>base!W3502</f>
        <v>0</v>
      </c>
      <c r="G3502" s="11">
        <f t="shared" si="540"/>
        <v>0</v>
      </c>
      <c r="H3502" s="11">
        <f t="shared" si="541"/>
        <v>40.770000000000003</v>
      </c>
      <c r="I3502" s="11">
        <f t="shared" si="542"/>
        <v>0.27</v>
      </c>
      <c r="J3502" s="12">
        <f t="shared" si="543"/>
        <v>-40.770000000000003</v>
      </c>
      <c r="K3502" s="17" t="str">
        <f t="shared" si="548"/>
        <v>Ecart négatif</v>
      </c>
      <c r="L3502" s="16">
        <f>base!X3502</f>
        <v>0</v>
      </c>
      <c r="M3502" s="11">
        <f t="shared" si="544"/>
        <v>0</v>
      </c>
      <c r="N3502" s="11">
        <f t="shared" si="545"/>
        <v>0</v>
      </c>
      <c r="O3502" s="11">
        <f t="shared" si="546"/>
        <v>0</v>
      </c>
      <c r="P3502" s="12">
        <f t="shared" si="547"/>
        <v>0</v>
      </c>
      <c r="Q3502" s="17" t="str">
        <f t="shared" si="549"/>
        <v>Pas d'écart</v>
      </c>
    </row>
    <row r="3503" spans="1:17" x14ac:dyDescent="0.3">
      <c r="A3503" s="34" t="str">
        <f>base!J3503</f>
        <v>LS</v>
      </c>
      <c r="B3503" s="34" t="str">
        <f>base!V3503</f>
        <v>91160</v>
      </c>
      <c r="C3503" s="37">
        <v>91</v>
      </c>
      <c r="D3503" s="36">
        <f>base!H3503</f>
        <v>0</v>
      </c>
      <c r="E3503" s="44"/>
      <c r="F3503" s="16">
        <f>base!W3503</f>
        <v>0</v>
      </c>
      <c r="G3503" s="11" t="e">
        <f t="shared" si="540"/>
        <v>#DIV/0!</v>
      </c>
      <c r="H3503" s="11">
        <f t="shared" si="541"/>
        <v>0</v>
      </c>
      <c r="I3503" s="11" t="e">
        <f t="shared" si="542"/>
        <v>#DIV/0!</v>
      </c>
      <c r="J3503" s="12">
        <f t="shared" si="543"/>
        <v>0</v>
      </c>
      <c r="K3503" s="17" t="str">
        <f t="shared" si="548"/>
        <v>Pas d'écart</v>
      </c>
      <c r="L3503" s="16">
        <f>base!X3503</f>
        <v>0</v>
      </c>
      <c r="M3503" s="11" t="e">
        <f t="shared" si="544"/>
        <v>#DIV/0!</v>
      </c>
      <c r="N3503" s="11">
        <f t="shared" si="545"/>
        <v>0</v>
      </c>
      <c r="O3503" s="11" t="e">
        <f t="shared" si="546"/>
        <v>#DIV/0!</v>
      </c>
      <c r="P3503" s="12">
        <f t="shared" si="547"/>
        <v>0</v>
      </c>
      <c r="Q3503" s="17" t="str">
        <f t="shared" si="549"/>
        <v>Pas d'écart</v>
      </c>
    </row>
    <row r="3504" spans="1:17" x14ac:dyDescent="0.3">
      <c r="A3504" s="34" t="str">
        <f>base!J3504</f>
        <v>DRS</v>
      </c>
      <c r="B3504" s="34" t="str">
        <f>base!V3504</f>
        <v>74200</v>
      </c>
      <c r="C3504" s="37">
        <v>74</v>
      </c>
      <c r="D3504" s="36">
        <f>base!H3504</f>
        <v>123.1</v>
      </c>
      <c r="E3504" s="44"/>
      <c r="F3504" s="16">
        <f>base!W3504</f>
        <v>0</v>
      </c>
      <c r="G3504" s="11">
        <f t="shared" si="540"/>
        <v>0</v>
      </c>
      <c r="H3504" s="11">
        <f t="shared" si="541"/>
        <v>32.006</v>
      </c>
      <c r="I3504" s="11">
        <f t="shared" si="542"/>
        <v>0.26</v>
      </c>
      <c r="J3504" s="12">
        <f t="shared" si="543"/>
        <v>-32.006</v>
      </c>
      <c r="K3504" s="17" t="str">
        <f t="shared" si="548"/>
        <v>Ecart négatif</v>
      </c>
      <c r="L3504" s="16">
        <f>base!X3504</f>
        <v>0</v>
      </c>
      <c r="M3504" s="11">
        <f t="shared" si="544"/>
        <v>0</v>
      </c>
      <c r="N3504" s="11">
        <f t="shared" si="545"/>
        <v>0</v>
      </c>
      <c r="O3504" s="11">
        <f t="shared" si="546"/>
        <v>0</v>
      </c>
      <c r="P3504" s="12">
        <f t="shared" si="547"/>
        <v>0</v>
      </c>
      <c r="Q3504" s="17" t="str">
        <f t="shared" si="549"/>
        <v>Pas d'écart</v>
      </c>
    </row>
    <row r="3505" spans="1:18" x14ac:dyDescent="0.3">
      <c r="A3505" s="34" t="str">
        <f>base!J3505</f>
        <v>RS</v>
      </c>
      <c r="B3505" s="34" t="str">
        <f>base!V3505</f>
        <v>47300</v>
      </c>
      <c r="C3505" s="37">
        <v>47</v>
      </c>
      <c r="D3505" s="36">
        <f>base!H3505</f>
        <v>40</v>
      </c>
      <c r="E3505" s="44"/>
      <c r="F3505" s="16">
        <f>base!W3505</f>
        <v>0</v>
      </c>
      <c r="G3505" s="11">
        <f t="shared" si="540"/>
        <v>0</v>
      </c>
      <c r="H3505" s="11">
        <f t="shared" si="541"/>
        <v>8.4</v>
      </c>
      <c r="I3505" s="11">
        <f t="shared" si="542"/>
        <v>0.21000000000000002</v>
      </c>
      <c r="J3505" s="12">
        <f t="shared" si="543"/>
        <v>-8.4</v>
      </c>
      <c r="K3505" s="17" t="str">
        <f t="shared" si="548"/>
        <v>Ecart négatif</v>
      </c>
      <c r="L3505" s="16">
        <f>base!X3505</f>
        <v>6.8</v>
      </c>
      <c r="M3505" s="11">
        <f t="shared" si="544"/>
        <v>0.16999999999999998</v>
      </c>
      <c r="N3505" s="11">
        <f t="shared" si="545"/>
        <v>6.8000000000000007</v>
      </c>
      <c r="O3505" s="11">
        <f t="shared" si="546"/>
        <v>0.17</v>
      </c>
      <c r="P3505" s="12">
        <f t="shared" si="547"/>
        <v>0</v>
      </c>
      <c r="Q3505" s="17" t="str">
        <f t="shared" si="549"/>
        <v>Pas d'écart</v>
      </c>
      <c r="R3505" s="38"/>
    </row>
    <row r="3506" spans="1:18" x14ac:dyDescent="0.3">
      <c r="A3506" s="34" t="str">
        <f>base!J3506</f>
        <v>RM</v>
      </c>
      <c r="B3506" s="34" t="str">
        <f>base!V3506</f>
        <v>06690</v>
      </c>
      <c r="C3506" s="37">
        <v>6</v>
      </c>
      <c r="D3506" s="36">
        <f>base!H3506</f>
        <v>151</v>
      </c>
      <c r="E3506" s="44"/>
      <c r="F3506" s="16">
        <f>base!W3506</f>
        <v>0</v>
      </c>
      <c r="G3506" s="11">
        <f t="shared" si="540"/>
        <v>0</v>
      </c>
      <c r="H3506" s="11">
        <f t="shared" si="541"/>
        <v>45.3</v>
      </c>
      <c r="I3506" s="11">
        <f t="shared" si="542"/>
        <v>0.3</v>
      </c>
      <c r="J3506" s="12">
        <f t="shared" si="543"/>
        <v>-45.3</v>
      </c>
      <c r="K3506" s="17" t="str">
        <f t="shared" si="548"/>
        <v>Ecart négatif</v>
      </c>
      <c r="L3506" s="16">
        <f>base!X3506</f>
        <v>0</v>
      </c>
      <c r="M3506" s="11">
        <f t="shared" si="544"/>
        <v>0</v>
      </c>
      <c r="N3506" s="11">
        <f t="shared" si="545"/>
        <v>31.709999999999997</v>
      </c>
      <c r="O3506" s="11">
        <f t="shared" si="546"/>
        <v>0.21</v>
      </c>
      <c r="P3506" s="12">
        <f t="shared" si="547"/>
        <v>-31.709999999999997</v>
      </c>
      <c r="Q3506" s="17" t="str">
        <f t="shared" si="549"/>
        <v>Ecart négatif</v>
      </c>
    </row>
    <row r="3507" spans="1:18" x14ac:dyDescent="0.3">
      <c r="A3507" s="34" t="str">
        <f>base!J3507</f>
        <v>RS</v>
      </c>
      <c r="B3507" s="34" t="str">
        <f>base!V3507</f>
        <v>69380</v>
      </c>
      <c r="C3507" s="37">
        <v>69</v>
      </c>
      <c r="D3507" s="36">
        <f>base!H3507</f>
        <v>18.8</v>
      </c>
      <c r="E3507" s="44"/>
      <c r="F3507" s="16">
        <f>base!W3507</f>
        <v>0</v>
      </c>
      <c r="G3507" s="11">
        <f t="shared" si="540"/>
        <v>0</v>
      </c>
      <c r="H3507" s="11">
        <f t="shared" si="541"/>
        <v>5.0760000000000005</v>
      </c>
      <c r="I3507" s="11">
        <f t="shared" si="542"/>
        <v>0.27</v>
      </c>
      <c r="J3507" s="12">
        <f t="shared" si="543"/>
        <v>-5.0760000000000005</v>
      </c>
      <c r="K3507" s="17" t="str">
        <f t="shared" si="548"/>
        <v>Ecart négatif</v>
      </c>
      <c r="L3507" s="16">
        <f>base!X3507</f>
        <v>0</v>
      </c>
      <c r="M3507" s="11">
        <f t="shared" si="544"/>
        <v>0</v>
      </c>
      <c r="N3507" s="11">
        <f t="shared" si="545"/>
        <v>0</v>
      </c>
      <c r="O3507" s="11">
        <f t="shared" si="546"/>
        <v>0</v>
      </c>
      <c r="P3507" s="12">
        <f t="shared" si="547"/>
        <v>0</v>
      </c>
      <c r="Q3507" s="17" t="str">
        <f t="shared" si="549"/>
        <v>Pas d'écart</v>
      </c>
    </row>
    <row r="3508" spans="1:18" x14ac:dyDescent="0.3">
      <c r="A3508" s="34" t="str">
        <f>base!J3508</f>
        <v>RM</v>
      </c>
      <c r="B3508" s="34" t="str">
        <f>base!V3508</f>
        <v>75009</v>
      </c>
      <c r="C3508" s="37">
        <v>75</v>
      </c>
      <c r="D3508" s="36">
        <f>base!H3508</f>
        <v>70</v>
      </c>
      <c r="E3508" s="44"/>
      <c r="F3508" s="16">
        <f>base!W3508</f>
        <v>0</v>
      </c>
      <c r="G3508" s="11">
        <f t="shared" si="540"/>
        <v>0</v>
      </c>
      <c r="H3508" s="11">
        <f t="shared" si="541"/>
        <v>0</v>
      </c>
      <c r="I3508" s="11">
        <f t="shared" si="542"/>
        <v>0</v>
      </c>
      <c r="J3508" s="12">
        <f t="shared" si="543"/>
        <v>0</v>
      </c>
      <c r="K3508" s="17" t="str">
        <f t="shared" si="548"/>
        <v>Pas d'écart</v>
      </c>
      <c r="L3508" s="16">
        <f>base!X3508</f>
        <v>0</v>
      </c>
      <c r="M3508" s="11">
        <f t="shared" si="544"/>
        <v>0</v>
      </c>
      <c r="N3508" s="11">
        <f t="shared" si="545"/>
        <v>0</v>
      </c>
      <c r="O3508" s="11">
        <f t="shared" si="546"/>
        <v>0</v>
      </c>
      <c r="P3508" s="12">
        <f t="shared" si="547"/>
        <v>0</v>
      </c>
      <c r="Q3508" s="17" t="str">
        <f t="shared" si="549"/>
        <v>Pas d'écart</v>
      </c>
    </row>
    <row r="3509" spans="1:18" x14ac:dyDescent="0.3">
      <c r="A3509" s="34" t="str">
        <f>base!J3509</f>
        <v>DRM</v>
      </c>
      <c r="B3509" s="34" t="str">
        <f>base!V3509</f>
        <v>38230</v>
      </c>
      <c r="C3509" s="37">
        <v>38</v>
      </c>
      <c r="D3509" s="36">
        <f>base!H3509</f>
        <v>23.4</v>
      </c>
      <c r="E3509" s="44"/>
      <c r="F3509" s="16">
        <f>base!W3509</f>
        <v>0</v>
      </c>
      <c r="G3509" s="11">
        <f t="shared" si="540"/>
        <v>0</v>
      </c>
      <c r="H3509" s="11">
        <f t="shared" si="541"/>
        <v>6.3179999999999996</v>
      </c>
      <c r="I3509" s="11">
        <f t="shared" si="542"/>
        <v>0.27</v>
      </c>
      <c r="J3509" s="12">
        <f t="shared" si="543"/>
        <v>-6.3179999999999996</v>
      </c>
      <c r="K3509" s="17" t="str">
        <f t="shared" si="548"/>
        <v>Ecart négatif</v>
      </c>
      <c r="L3509" s="16">
        <f>base!X3509</f>
        <v>0</v>
      </c>
      <c r="M3509" s="11">
        <f t="shared" si="544"/>
        <v>0</v>
      </c>
      <c r="N3509" s="11">
        <f t="shared" si="545"/>
        <v>0</v>
      </c>
      <c r="O3509" s="11">
        <f t="shared" si="546"/>
        <v>0</v>
      </c>
      <c r="P3509" s="12">
        <f t="shared" si="547"/>
        <v>0</v>
      </c>
      <c r="Q3509" s="17" t="str">
        <f t="shared" si="549"/>
        <v>Pas d'écart</v>
      </c>
    </row>
    <row r="3510" spans="1:18" x14ac:dyDescent="0.3">
      <c r="A3510" s="34" t="str">
        <f>base!J3510</f>
        <v>RM</v>
      </c>
      <c r="B3510" s="34" t="str">
        <f>base!V3510</f>
        <v>27400</v>
      </c>
      <c r="C3510" s="37">
        <v>27</v>
      </c>
      <c r="D3510" s="36">
        <f>base!H3510</f>
        <v>40</v>
      </c>
      <c r="E3510" s="44"/>
      <c r="F3510" s="16">
        <f>base!W3510</f>
        <v>0</v>
      </c>
      <c r="G3510" s="11">
        <f t="shared" si="540"/>
        <v>0</v>
      </c>
      <c r="H3510" s="11">
        <f t="shared" si="541"/>
        <v>6.8000000000000007</v>
      </c>
      <c r="I3510" s="11">
        <f t="shared" si="542"/>
        <v>0.17</v>
      </c>
      <c r="J3510" s="12">
        <f t="shared" si="543"/>
        <v>-6.8000000000000007</v>
      </c>
      <c r="K3510" s="17" t="str">
        <f t="shared" si="548"/>
        <v>Ecart négatif</v>
      </c>
      <c r="L3510" s="16">
        <f>base!X3510</f>
        <v>0</v>
      </c>
      <c r="M3510" s="11">
        <f t="shared" si="544"/>
        <v>0</v>
      </c>
      <c r="N3510" s="11">
        <f t="shared" si="545"/>
        <v>6.8000000000000007</v>
      </c>
      <c r="O3510" s="11">
        <f t="shared" si="546"/>
        <v>0.17</v>
      </c>
      <c r="P3510" s="12">
        <f t="shared" si="547"/>
        <v>-6.8000000000000007</v>
      </c>
      <c r="Q3510" s="17" t="str">
        <f t="shared" si="549"/>
        <v>Ecart négatif</v>
      </c>
    </row>
    <row r="3511" spans="1:18" x14ac:dyDescent="0.3">
      <c r="A3511" s="34" t="str">
        <f>base!J3511</f>
        <v>DRM</v>
      </c>
      <c r="B3511" s="34" t="str">
        <f>base!V3511</f>
        <v>57000</v>
      </c>
      <c r="C3511" s="37">
        <v>57</v>
      </c>
      <c r="D3511" s="36">
        <f>base!H3511</f>
        <v>108.32</v>
      </c>
      <c r="E3511" s="44"/>
      <c r="F3511" s="16">
        <f>base!W3511</f>
        <v>0</v>
      </c>
      <c r="G3511" s="11">
        <f t="shared" si="540"/>
        <v>0</v>
      </c>
      <c r="H3511" s="11">
        <f t="shared" si="541"/>
        <v>25.996799999999997</v>
      </c>
      <c r="I3511" s="11">
        <f t="shared" si="542"/>
        <v>0.24</v>
      </c>
      <c r="J3511" s="12">
        <f t="shared" si="543"/>
        <v>-25.996799999999997</v>
      </c>
      <c r="K3511" s="17" t="str">
        <f t="shared" si="548"/>
        <v>Ecart négatif</v>
      </c>
      <c r="L3511" s="16">
        <f>base!X3511</f>
        <v>0</v>
      </c>
      <c r="M3511" s="11">
        <f t="shared" si="544"/>
        <v>0</v>
      </c>
      <c r="N3511" s="11">
        <f t="shared" si="545"/>
        <v>27.08</v>
      </c>
      <c r="O3511" s="11">
        <f t="shared" si="546"/>
        <v>0.25</v>
      </c>
      <c r="P3511" s="12">
        <f t="shared" si="547"/>
        <v>-27.08</v>
      </c>
      <c r="Q3511" s="17" t="str">
        <f t="shared" si="549"/>
        <v>Ecart négatif</v>
      </c>
    </row>
    <row r="3512" spans="1:18" x14ac:dyDescent="0.3">
      <c r="A3512" s="34" t="str">
        <f>base!J3512</f>
        <v>RM</v>
      </c>
      <c r="B3512" s="34" t="str">
        <f>base!V3512</f>
        <v>76200</v>
      </c>
      <c r="C3512" s="37">
        <v>76</v>
      </c>
      <c r="D3512" s="36">
        <f>base!H3512</f>
        <v>103</v>
      </c>
      <c r="E3512" s="44"/>
      <c r="F3512" s="16">
        <f>base!W3512</f>
        <v>0</v>
      </c>
      <c r="G3512" s="11">
        <f t="shared" si="540"/>
        <v>0</v>
      </c>
      <c r="H3512" s="11">
        <f t="shared" si="541"/>
        <v>17.510000000000002</v>
      </c>
      <c r="I3512" s="11">
        <f t="shared" si="542"/>
        <v>0.17</v>
      </c>
      <c r="J3512" s="12">
        <f t="shared" si="543"/>
        <v>-17.510000000000002</v>
      </c>
      <c r="K3512" s="17" t="str">
        <f t="shared" si="548"/>
        <v>Ecart négatif</v>
      </c>
      <c r="L3512" s="16">
        <f>base!X3512</f>
        <v>0</v>
      </c>
      <c r="M3512" s="11">
        <f t="shared" si="544"/>
        <v>0</v>
      </c>
      <c r="N3512" s="11">
        <f t="shared" si="545"/>
        <v>17.510000000000002</v>
      </c>
      <c r="O3512" s="11">
        <f t="shared" si="546"/>
        <v>0.17</v>
      </c>
      <c r="P3512" s="12">
        <f t="shared" si="547"/>
        <v>-17.510000000000002</v>
      </c>
      <c r="Q3512" s="17" t="str">
        <f t="shared" si="549"/>
        <v>Ecart négatif</v>
      </c>
    </row>
    <row r="3513" spans="1:18" x14ac:dyDescent="0.3">
      <c r="A3513" s="34" t="str">
        <f>base!J3513</f>
        <v>DLS</v>
      </c>
      <c r="B3513" s="34" t="str">
        <f>base!V3513</f>
        <v>34560</v>
      </c>
      <c r="C3513" s="37">
        <v>34</v>
      </c>
      <c r="D3513" s="36">
        <f>base!H3513</f>
        <v>190.63</v>
      </c>
      <c r="E3513" s="44"/>
      <c r="F3513" s="16">
        <f>base!W3513</f>
        <v>0</v>
      </c>
      <c r="G3513" s="11">
        <f t="shared" si="540"/>
        <v>0</v>
      </c>
      <c r="H3513" s="11">
        <f t="shared" si="541"/>
        <v>74.345699999999994</v>
      </c>
      <c r="I3513" s="11">
        <f t="shared" si="542"/>
        <v>0.38999999999999996</v>
      </c>
      <c r="J3513" s="12">
        <f t="shared" si="543"/>
        <v>-74.345699999999994</v>
      </c>
      <c r="K3513" s="17" t="str">
        <f t="shared" si="548"/>
        <v>Ecart négatif</v>
      </c>
      <c r="L3513" s="16">
        <f>base!X3513</f>
        <v>0</v>
      </c>
      <c r="M3513" s="11">
        <f t="shared" si="544"/>
        <v>0</v>
      </c>
      <c r="N3513" s="11">
        <f t="shared" si="545"/>
        <v>53.376400000000004</v>
      </c>
      <c r="O3513" s="11">
        <f t="shared" si="546"/>
        <v>0.28000000000000003</v>
      </c>
      <c r="P3513" s="12">
        <f t="shared" si="547"/>
        <v>-53.376400000000004</v>
      </c>
      <c r="Q3513" s="17" t="str">
        <f t="shared" si="549"/>
        <v>Ecart négatif</v>
      </c>
    </row>
    <row r="3514" spans="1:18" x14ac:dyDescent="0.3">
      <c r="A3514" s="34" t="str">
        <f>base!J3514</f>
        <v>DLS</v>
      </c>
      <c r="B3514" s="34" t="str">
        <f>base!V3514</f>
        <v>67541</v>
      </c>
      <c r="C3514" s="37">
        <v>67</v>
      </c>
      <c r="D3514" s="36">
        <f>base!H3514</f>
        <v>200.33</v>
      </c>
      <c r="E3514" s="44"/>
      <c r="F3514" s="16">
        <f>base!W3514</f>
        <v>58.1</v>
      </c>
      <c r="G3514" s="11">
        <f t="shared" si="540"/>
        <v>0.29002146458343731</v>
      </c>
      <c r="H3514" s="11">
        <f t="shared" si="541"/>
        <v>58.095700000000001</v>
      </c>
      <c r="I3514" s="11">
        <f t="shared" si="542"/>
        <v>0.28999999999999998</v>
      </c>
      <c r="J3514" s="12">
        <f t="shared" si="543"/>
        <v>4.3000000000006366E-3</v>
      </c>
      <c r="K3514" s="17" t="str">
        <f t="shared" si="548"/>
        <v>Ecart positif</v>
      </c>
      <c r="L3514" s="16">
        <f>base!X3514</f>
        <v>0</v>
      </c>
      <c r="M3514" s="11">
        <f t="shared" si="544"/>
        <v>0</v>
      </c>
      <c r="N3514" s="11">
        <f t="shared" si="545"/>
        <v>16.026400000000002</v>
      </c>
      <c r="O3514" s="11">
        <f t="shared" si="546"/>
        <v>0.08</v>
      </c>
      <c r="P3514" s="12">
        <f t="shared" si="547"/>
        <v>-16.026400000000002</v>
      </c>
      <c r="Q3514" s="17" t="str">
        <f t="shared" si="549"/>
        <v>Ecart négatif</v>
      </c>
    </row>
    <row r="3515" spans="1:18" x14ac:dyDescent="0.3">
      <c r="A3515" s="34" t="str">
        <f>base!J3515</f>
        <v>RM</v>
      </c>
      <c r="B3515" s="34" t="str">
        <f>base!V3515</f>
        <v>35044</v>
      </c>
      <c r="C3515" s="37">
        <v>35</v>
      </c>
      <c r="D3515" s="36">
        <f>base!H3515</f>
        <v>151</v>
      </c>
      <c r="E3515" s="44"/>
      <c r="F3515" s="16">
        <f>base!W3515</f>
        <v>0</v>
      </c>
      <c r="G3515" s="11">
        <f t="shared" si="540"/>
        <v>0</v>
      </c>
      <c r="H3515" s="11">
        <f t="shared" si="541"/>
        <v>40.770000000000003</v>
      </c>
      <c r="I3515" s="11">
        <f t="shared" si="542"/>
        <v>0.27</v>
      </c>
      <c r="J3515" s="12">
        <f t="shared" si="543"/>
        <v>-40.770000000000003</v>
      </c>
      <c r="K3515" s="17" t="str">
        <f t="shared" si="548"/>
        <v>Ecart négatif</v>
      </c>
      <c r="L3515" s="16">
        <f>base!X3515</f>
        <v>0</v>
      </c>
      <c r="M3515" s="11">
        <f t="shared" si="544"/>
        <v>0</v>
      </c>
      <c r="N3515" s="11">
        <f t="shared" si="545"/>
        <v>0</v>
      </c>
      <c r="O3515" s="11">
        <f t="shared" si="546"/>
        <v>0</v>
      </c>
      <c r="P3515" s="12">
        <f t="shared" si="547"/>
        <v>0</v>
      </c>
      <c r="Q3515" s="17" t="str">
        <f t="shared" si="549"/>
        <v>Pas d'écart</v>
      </c>
    </row>
    <row r="3516" spans="1:18" x14ac:dyDescent="0.3">
      <c r="A3516" s="34" t="str">
        <f>base!J3516</f>
        <v>DLM</v>
      </c>
      <c r="B3516" s="34" t="str">
        <f>base!V3516</f>
        <v>69800</v>
      </c>
      <c r="C3516" s="37">
        <v>69</v>
      </c>
      <c r="D3516" s="36">
        <f>base!H3516</f>
        <v>151</v>
      </c>
      <c r="E3516" s="44"/>
      <c r="F3516" s="16">
        <f>base!W3516</f>
        <v>0</v>
      </c>
      <c r="G3516" s="11">
        <f t="shared" si="540"/>
        <v>0</v>
      </c>
      <c r="H3516" s="11">
        <f t="shared" si="541"/>
        <v>40.770000000000003</v>
      </c>
      <c r="I3516" s="11">
        <f t="shared" si="542"/>
        <v>0.27</v>
      </c>
      <c r="J3516" s="12">
        <f t="shared" si="543"/>
        <v>-40.770000000000003</v>
      </c>
      <c r="K3516" s="17" t="str">
        <f t="shared" si="548"/>
        <v>Ecart négatif</v>
      </c>
      <c r="L3516" s="16">
        <f>base!X3516</f>
        <v>0</v>
      </c>
      <c r="M3516" s="11">
        <f t="shared" si="544"/>
        <v>0</v>
      </c>
      <c r="N3516" s="11">
        <f t="shared" si="545"/>
        <v>0</v>
      </c>
      <c r="O3516" s="11">
        <f t="shared" si="546"/>
        <v>0</v>
      </c>
      <c r="P3516" s="12">
        <f t="shared" si="547"/>
        <v>0</v>
      </c>
      <c r="Q3516" s="17" t="str">
        <f t="shared" si="549"/>
        <v>Pas d'écart</v>
      </c>
    </row>
    <row r="3517" spans="1:18" x14ac:dyDescent="0.3">
      <c r="A3517" s="34" t="str">
        <f>base!J3517</f>
        <v>DLS</v>
      </c>
      <c r="B3517" s="34" t="str">
        <f>base!V3517</f>
        <v>54390</v>
      </c>
      <c r="C3517" s="37">
        <v>54</v>
      </c>
      <c r="D3517" s="36">
        <f>base!H3517</f>
        <v>186.99</v>
      </c>
      <c r="E3517" s="44"/>
      <c r="F3517" s="16">
        <f>base!W3517</f>
        <v>0</v>
      </c>
      <c r="G3517" s="11">
        <f t="shared" si="540"/>
        <v>0</v>
      </c>
      <c r="H3517" s="11">
        <f t="shared" si="541"/>
        <v>46.747500000000002</v>
      </c>
      <c r="I3517" s="11">
        <f t="shared" si="542"/>
        <v>0.25</v>
      </c>
      <c r="J3517" s="12">
        <f t="shared" si="543"/>
        <v>-46.747500000000002</v>
      </c>
      <c r="K3517" s="17" t="str">
        <f t="shared" si="548"/>
        <v>Ecart négatif</v>
      </c>
      <c r="L3517" s="16">
        <f>base!X3517</f>
        <v>0</v>
      </c>
      <c r="M3517" s="11">
        <f t="shared" si="544"/>
        <v>0</v>
      </c>
      <c r="N3517" s="11">
        <f t="shared" si="545"/>
        <v>46.747500000000002</v>
      </c>
      <c r="O3517" s="11">
        <f t="shared" si="546"/>
        <v>0.25</v>
      </c>
      <c r="P3517" s="12">
        <f t="shared" si="547"/>
        <v>-46.747500000000002</v>
      </c>
      <c r="Q3517" s="17" t="str">
        <f t="shared" si="549"/>
        <v>Ecart négatif</v>
      </c>
    </row>
    <row r="3518" spans="1:18" x14ac:dyDescent="0.3">
      <c r="A3518" s="34" t="str">
        <f>base!J3518</f>
        <v>RS</v>
      </c>
      <c r="B3518" s="34" t="str">
        <f>base!V3518</f>
        <v>01000</v>
      </c>
      <c r="C3518" s="37">
        <v>1</v>
      </c>
      <c r="D3518" s="36">
        <f>base!H3518</f>
        <v>126.17</v>
      </c>
      <c r="E3518" s="44"/>
      <c r="F3518" s="16">
        <f>base!W3518</f>
        <v>0</v>
      </c>
      <c r="G3518" s="11">
        <f t="shared" si="540"/>
        <v>0</v>
      </c>
      <c r="H3518" s="11">
        <f t="shared" si="541"/>
        <v>32.804200000000002</v>
      </c>
      <c r="I3518" s="11">
        <f t="shared" si="542"/>
        <v>0.26</v>
      </c>
      <c r="J3518" s="12">
        <f t="shared" si="543"/>
        <v>-32.804200000000002</v>
      </c>
      <c r="K3518" s="17" t="str">
        <f t="shared" si="548"/>
        <v>Ecart négatif</v>
      </c>
      <c r="L3518" s="16">
        <f>base!X3518</f>
        <v>0</v>
      </c>
      <c r="M3518" s="11">
        <f t="shared" si="544"/>
        <v>0</v>
      </c>
      <c r="N3518" s="11">
        <f t="shared" si="545"/>
        <v>0</v>
      </c>
      <c r="O3518" s="11">
        <f t="shared" si="546"/>
        <v>0</v>
      </c>
      <c r="P3518" s="12">
        <f t="shared" si="547"/>
        <v>0</v>
      </c>
      <c r="Q3518" s="17" t="str">
        <f t="shared" si="549"/>
        <v>Pas d'écart</v>
      </c>
    </row>
    <row r="3519" spans="1:18" x14ac:dyDescent="0.3">
      <c r="A3519" s="34" t="str">
        <f>base!J3519</f>
        <v>RS</v>
      </c>
      <c r="B3519" s="34" t="str">
        <f>base!V3519</f>
        <v>56300</v>
      </c>
      <c r="C3519" s="37">
        <v>56</v>
      </c>
      <c r="D3519" s="36">
        <f>base!H3519</f>
        <v>140</v>
      </c>
      <c r="E3519" s="44"/>
      <c r="F3519" s="16">
        <f>base!W3519</f>
        <v>0</v>
      </c>
      <c r="G3519" s="11">
        <f t="shared" si="540"/>
        <v>0</v>
      </c>
      <c r="H3519" s="11">
        <f t="shared" si="541"/>
        <v>37.800000000000004</v>
      </c>
      <c r="I3519" s="11">
        <f t="shared" si="542"/>
        <v>0.27</v>
      </c>
      <c r="J3519" s="12">
        <f t="shared" si="543"/>
        <v>-37.800000000000004</v>
      </c>
      <c r="K3519" s="17" t="str">
        <f t="shared" si="548"/>
        <v>Ecart négatif</v>
      </c>
      <c r="L3519" s="16">
        <f>base!X3519</f>
        <v>0</v>
      </c>
      <c r="M3519" s="11">
        <f t="shared" si="544"/>
        <v>0</v>
      </c>
      <c r="N3519" s="11">
        <f t="shared" si="545"/>
        <v>0</v>
      </c>
      <c r="O3519" s="11">
        <f t="shared" si="546"/>
        <v>0</v>
      </c>
      <c r="P3519" s="12">
        <f t="shared" si="547"/>
        <v>0</v>
      </c>
      <c r="Q3519" s="17" t="str">
        <f t="shared" si="549"/>
        <v>Pas d'écart</v>
      </c>
    </row>
    <row r="3520" spans="1:18" x14ac:dyDescent="0.3">
      <c r="A3520" s="34">
        <f>base!J3520</f>
        <v>0</v>
      </c>
      <c r="B3520" s="34" t="str">
        <f>base!V3520</f>
        <v>77184</v>
      </c>
      <c r="C3520" s="37">
        <v>77</v>
      </c>
      <c r="D3520" s="36">
        <f>base!H3520</f>
        <v>155</v>
      </c>
      <c r="E3520" s="44"/>
      <c r="F3520" s="16">
        <f>base!W3520</f>
        <v>0</v>
      </c>
      <c r="G3520" s="11">
        <f t="shared" si="540"/>
        <v>0</v>
      </c>
      <c r="H3520" s="11">
        <f t="shared" si="541"/>
        <v>0</v>
      </c>
      <c r="I3520" s="11">
        <f t="shared" si="542"/>
        <v>0</v>
      </c>
      <c r="J3520" s="12">
        <f t="shared" si="543"/>
        <v>0</v>
      </c>
      <c r="K3520" s="17" t="str">
        <f t="shared" si="548"/>
        <v>Pas d'écart</v>
      </c>
      <c r="L3520" s="16">
        <f>base!X3520</f>
        <v>0</v>
      </c>
      <c r="M3520" s="11">
        <f t="shared" si="544"/>
        <v>0</v>
      </c>
      <c r="N3520" s="11">
        <f t="shared" si="545"/>
        <v>0</v>
      </c>
      <c r="O3520" s="11">
        <f t="shared" si="546"/>
        <v>0</v>
      </c>
      <c r="P3520" s="12">
        <f t="shared" si="547"/>
        <v>0</v>
      </c>
      <c r="Q3520" s="17" t="str">
        <f t="shared" si="549"/>
        <v>Pas d'écart</v>
      </c>
    </row>
    <row r="3521" spans="1:18" x14ac:dyDescent="0.3">
      <c r="A3521" s="34" t="str">
        <f>base!J3521</f>
        <v>LM</v>
      </c>
      <c r="B3521" s="34" t="str">
        <f>base!V3521</f>
        <v>29800</v>
      </c>
      <c r="C3521" s="37">
        <v>69</v>
      </c>
      <c r="D3521" s="36">
        <f>base!H3521</f>
        <v>151</v>
      </c>
      <c r="E3521" s="44"/>
      <c r="F3521" s="16">
        <f>base!W3521</f>
        <v>58.89</v>
      </c>
      <c r="G3521" s="11">
        <f t="shared" si="540"/>
        <v>0.39</v>
      </c>
      <c r="H3521" s="11">
        <f t="shared" si="541"/>
        <v>40.770000000000003</v>
      </c>
      <c r="I3521" s="11">
        <f t="shared" si="542"/>
        <v>0.27</v>
      </c>
      <c r="J3521" s="12">
        <f t="shared" si="543"/>
        <v>18.119999999999997</v>
      </c>
      <c r="K3521" s="17" t="str">
        <f t="shared" si="548"/>
        <v>Ecart positif</v>
      </c>
      <c r="L3521" s="16">
        <f>base!X3521</f>
        <v>0</v>
      </c>
      <c r="M3521" s="11">
        <f t="shared" si="544"/>
        <v>0</v>
      </c>
      <c r="N3521" s="11">
        <f t="shared" si="545"/>
        <v>0</v>
      </c>
      <c r="O3521" s="11">
        <f t="shared" si="546"/>
        <v>0</v>
      </c>
      <c r="P3521" s="12">
        <f t="shared" si="547"/>
        <v>0</v>
      </c>
      <c r="Q3521" s="17" t="str">
        <f t="shared" si="549"/>
        <v>Pas d'écart</v>
      </c>
    </row>
    <row r="3522" spans="1:18" x14ac:dyDescent="0.3">
      <c r="A3522" s="34" t="str">
        <f>base!J3522</f>
        <v>DRM</v>
      </c>
      <c r="B3522" s="34" t="str">
        <f>base!V3522</f>
        <v>75116</v>
      </c>
      <c r="C3522" s="37">
        <v>75</v>
      </c>
      <c r="D3522" s="36">
        <f>base!H3522</f>
        <v>180.86</v>
      </c>
      <c r="E3522" s="44"/>
      <c r="F3522" s="16">
        <f>base!W3522</f>
        <v>0</v>
      </c>
      <c r="G3522" s="11">
        <f t="shared" ref="G3522:G3585" si="550">F3522/D3522</f>
        <v>0</v>
      </c>
      <c r="H3522" s="11">
        <f t="shared" ref="H3522:H3585" si="551">VLOOKUP(C3522,tout_cout_traction,2,FALSE)*D3522</f>
        <v>0</v>
      </c>
      <c r="I3522" s="11">
        <f t="shared" ref="I3522:I3585" si="552">H3522/D3522</f>
        <v>0</v>
      </c>
      <c r="J3522" s="12">
        <f t="shared" ref="J3522:J3585" si="553">F3522-H3522</f>
        <v>0</v>
      </c>
      <c r="K3522" s="17" t="str">
        <f t="shared" si="548"/>
        <v>Pas d'écart</v>
      </c>
      <c r="L3522" s="16">
        <f>base!X3522</f>
        <v>0</v>
      </c>
      <c r="M3522" s="11">
        <f t="shared" ref="M3522:M3585" si="554">L3522/D3522</f>
        <v>0</v>
      </c>
      <c r="N3522" s="11">
        <f t="shared" ref="N3522:N3585" si="555">VLOOKUP(C3522,tout_cout_traction,3,FALSE)*D3522</f>
        <v>0</v>
      </c>
      <c r="O3522" s="11">
        <f t="shared" ref="O3522:O3585" si="556">N3522/D3522</f>
        <v>0</v>
      </c>
      <c r="P3522" s="12">
        <f t="shared" ref="P3522:P3585" si="557">L3522-N3522</f>
        <v>0</v>
      </c>
      <c r="Q3522" s="17" t="str">
        <f t="shared" si="549"/>
        <v>Pas d'écart</v>
      </c>
    </row>
    <row r="3523" spans="1:18" x14ac:dyDescent="0.3">
      <c r="A3523" s="34" t="str">
        <f>base!J3523</f>
        <v>RS</v>
      </c>
      <c r="B3523" s="34" t="str">
        <f>base!V3523</f>
        <v>50000</v>
      </c>
      <c r="C3523" s="37">
        <v>50</v>
      </c>
      <c r="D3523" s="36">
        <f>base!H3523</f>
        <v>30.2</v>
      </c>
      <c r="E3523" s="44"/>
      <c r="F3523" s="16">
        <f>base!W3523</f>
        <v>0</v>
      </c>
      <c r="G3523" s="11">
        <f t="shared" si="550"/>
        <v>0</v>
      </c>
      <c r="H3523" s="11">
        <f t="shared" si="551"/>
        <v>5.1340000000000003</v>
      </c>
      <c r="I3523" s="11">
        <f t="shared" si="552"/>
        <v>0.17</v>
      </c>
      <c r="J3523" s="12">
        <f t="shared" si="553"/>
        <v>-5.1340000000000003</v>
      </c>
      <c r="K3523" s="17" t="str">
        <f t="shared" ref="K3523:K3586" si="558">IF(H3523=F3523,"Pas d'écart",IF(H3523&lt;F3523,"Ecart positif",IF(H3523&gt;F3523,"Ecart négatif")))</f>
        <v>Ecart négatif</v>
      </c>
      <c r="L3523" s="16">
        <f>base!X3523</f>
        <v>0</v>
      </c>
      <c r="M3523" s="11">
        <f t="shared" si="554"/>
        <v>0</v>
      </c>
      <c r="N3523" s="11">
        <f t="shared" si="555"/>
        <v>5.1340000000000003</v>
      </c>
      <c r="O3523" s="11">
        <f t="shared" si="556"/>
        <v>0.17</v>
      </c>
      <c r="P3523" s="12">
        <f t="shared" si="557"/>
        <v>-5.1340000000000003</v>
      </c>
      <c r="Q3523" s="17" t="str">
        <f t="shared" ref="Q3523:Q3586" si="559">IF(N3523=L3523,"Pas d'écart",IF(N3523&lt;L3523,"Ecart positif",IF(N3523&gt;L3523,"Ecart négatif")))</f>
        <v>Ecart négatif</v>
      </c>
    </row>
    <row r="3524" spans="1:18" x14ac:dyDescent="0.3">
      <c r="A3524" s="34" t="str">
        <f>base!J3524</f>
        <v>DRS</v>
      </c>
      <c r="B3524" s="34" t="str">
        <f>base!V3524</f>
        <v xml:space="preserve">93400 </v>
      </c>
      <c r="C3524" s="37">
        <v>93</v>
      </c>
      <c r="D3524" s="36">
        <f>base!H3524</f>
        <v>220</v>
      </c>
      <c r="E3524" s="44"/>
      <c r="F3524" s="16">
        <f>base!W3524</f>
        <v>0</v>
      </c>
      <c r="G3524" s="11">
        <f t="shared" si="550"/>
        <v>0</v>
      </c>
      <c r="H3524" s="11">
        <f t="shared" si="551"/>
        <v>0</v>
      </c>
      <c r="I3524" s="11">
        <f t="shared" si="552"/>
        <v>0</v>
      </c>
      <c r="J3524" s="12">
        <f t="shared" si="553"/>
        <v>0</v>
      </c>
      <c r="K3524" s="17" t="str">
        <f t="shared" si="558"/>
        <v>Pas d'écart</v>
      </c>
      <c r="L3524" s="16">
        <f>base!X3524</f>
        <v>0</v>
      </c>
      <c r="M3524" s="11">
        <f t="shared" si="554"/>
        <v>0</v>
      </c>
      <c r="N3524" s="11">
        <f t="shared" si="555"/>
        <v>0</v>
      </c>
      <c r="O3524" s="11">
        <f t="shared" si="556"/>
        <v>0</v>
      </c>
      <c r="P3524" s="12">
        <f t="shared" si="557"/>
        <v>0</v>
      </c>
      <c r="Q3524" s="17" t="str">
        <f t="shared" si="559"/>
        <v>Pas d'écart</v>
      </c>
    </row>
    <row r="3525" spans="1:18" x14ac:dyDescent="0.3">
      <c r="A3525" s="34" t="str">
        <f>base!J3525</f>
        <v>DRS</v>
      </c>
      <c r="B3525" s="34" t="str">
        <f>base!V3525</f>
        <v>59220</v>
      </c>
      <c r="C3525" s="37">
        <v>59</v>
      </c>
      <c r="D3525" s="36">
        <f>base!H3525</f>
        <v>142.44999999999999</v>
      </c>
      <c r="E3525" s="44"/>
      <c r="F3525" s="16">
        <f>base!W3525</f>
        <v>0</v>
      </c>
      <c r="G3525" s="11">
        <f t="shared" si="550"/>
        <v>0</v>
      </c>
      <c r="H3525" s="11">
        <f t="shared" si="551"/>
        <v>27.065499999999997</v>
      </c>
      <c r="I3525" s="11">
        <f t="shared" si="552"/>
        <v>0.19</v>
      </c>
      <c r="J3525" s="12">
        <f t="shared" si="553"/>
        <v>-27.065499999999997</v>
      </c>
      <c r="K3525" s="17" t="str">
        <f t="shared" si="558"/>
        <v>Ecart négatif</v>
      </c>
      <c r="L3525" s="16">
        <f>base!X3525</f>
        <v>0</v>
      </c>
      <c r="M3525" s="11">
        <f t="shared" si="554"/>
        <v>0</v>
      </c>
      <c r="N3525" s="11">
        <f t="shared" si="555"/>
        <v>0</v>
      </c>
      <c r="O3525" s="11">
        <f t="shared" si="556"/>
        <v>0</v>
      </c>
      <c r="P3525" s="12">
        <f t="shared" si="557"/>
        <v>0</v>
      </c>
      <c r="Q3525" s="17" t="str">
        <f t="shared" si="559"/>
        <v>Pas d'écart</v>
      </c>
    </row>
    <row r="3526" spans="1:18" x14ac:dyDescent="0.3">
      <c r="A3526" s="34" t="str">
        <f>base!J3526</f>
        <v>LS</v>
      </c>
      <c r="B3526" s="34" t="str">
        <f>base!V3526</f>
        <v>27101</v>
      </c>
      <c r="C3526" s="37">
        <v>27</v>
      </c>
      <c r="D3526" s="36">
        <f>base!H3526</f>
        <v>0</v>
      </c>
      <c r="E3526" s="44"/>
      <c r="F3526" s="16">
        <f>base!W3526</f>
        <v>0</v>
      </c>
      <c r="G3526" s="11" t="e">
        <f t="shared" si="550"/>
        <v>#DIV/0!</v>
      </c>
      <c r="H3526" s="11">
        <f t="shared" si="551"/>
        <v>0</v>
      </c>
      <c r="I3526" s="11" t="e">
        <f t="shared" si="552"/>
        <v>#DIV/0!</v>
      </c>
      <c r="J3526" s="12">
        <f t="shared" si="553"/>
        <v>0</v>
      </c>
      <c r="K3526" s="17" t="str">
        <f t="shared" si="558"/>
        <v>Pas d'écart</v>
      </c>
      <c r="L3526" s="16">
        <f>base!X3526</f>
        <v>0</v>
      </c>
      <c r="M3526" s="11" t="e">
        <f t="shared" si="554"/>
        <v>#DIV/0!</v>
      </c>
      <c r="N3526" s="11">
        <f t="shared" si="555"/>
        <v>0</v>
      </c>
      <c r="O3526" s="11" t="e">
        <f t="shared" si="556"/>
        <v>#DIV/0!</v>
      </c>
      <c r="P3526" s="12">
        <f t="shared" si="557"/>
        <v>0</v>
      </c>
      <c r="Q3526" s="17" t="str">
        <f t="shared" si="559"/>
        <v>Pas d'écart</v>
      </c>
    </row>
    <row r="3527" spans="1:18" x14ac:dyDescent="0.3">
      <c r="A3527" s="34" t="str">
        <f>base!J3527</f>
        <v>RM</v>
      </c>
      <c r="B3527" s="34" t="str">
        <f>base!V3527</f>
        <v>59000</v>
      </c>
      <c r="C3527" s="37">
        <v>59</v>
      </c>
      <c r="D3527" s="36">
        <f>base!H3527</f>
        <v>70</v>
      </c>
      <c r="E3527" s="44"/>
      <c r="F3527" s="16">
        <f>base!W3527</f>
        <v>0</v>
      </c>
      <c r="G3527" s="11">
        <f t="shared" si="550"/>
        <v>0</v>
      </c>
      <c r="H3527" s="11">
        <f t="shared" si="551"/>
        <v>13.3</v>
      </c>
      <c r="I3527" s="11">
        <f t="shared" si="552"/>
        <v>0.19</v>
      </c>
      <c r="J3527" s="12">
        <f t="shared" si="553"/>
        <v>-13.3</v>
      </c>
      <c r="K3527" s="17" t="str">
        <f t="shared" si="558"/>
        <v>Ecart négatif</v>
      </c>
      <c r="L3527" s="16">
        <f>base!X3527</f>
        <v>13.3</v>
      </c>
      <c r="M3527" s="11">
        <f t="shared" si="554"/>
        <v>0.19</v>
      </c>
      <c r="N3527" s="11">
        <f t="shared" si="555"/>
        <v>0</v>
      </c>
      <c r="O3527" s="11">
        <f t="shared" si="556"/>
        <v>0</v>
      </c>
      <c r="P3527" s="12">
        <f t="shared" si="557"/>
        <v>13.3</v>
      </c>
      <c r="Q3527" s="17" t="str">
        <f t="shared" si="559"/>
        <v>Ecart positif</v>
      </c>
    </row>
    <row r="3528" spans="1:18" x14ac:dyDescent="0.3">
      <c r="A3528" s="34" t="str">
        <f>base!J3528</f>
        <v>RS</v>
      </c>
      <c r="B3528" s="34" t="str">
        <f>base!V3528</f>
        <v>59440</v>
      </c>
      <c r="C3528" s="37">
        <v>59</v>
      </c>
      <c r="D3528" s="36">
        <f>base!H3528</f>
        <v>180</v>
      </c>
      <c r="E3528" s="44"/>
      <c r="F3528" s="16">
        <f>base!W3528</f>
        <v>0</v>
      </c>
      <c r="G3528" s="11">
        <f t="shared" si="550"/>
        <v>0</v>
      </c>
      <c r="H3528" s="11">
        <f t="shared" si="551"/>
        <v>34.200000000000003</v>
      </c>
      <c r="I3528" s="11">
        <f t="shared" si="552"/>
        <v>0.19</v>
      </c>
      <c r="J3528" s="12">
        <f t="shared" si="553"/>
        <v>-34.200000000000003</v>
      </c>
      <c r="K3528" s="17" t="str">
        <f t="shared" si="558"/>
        <v>Ecart négatif</v>
      </c>
      <c r="L3528" s="16">
        <f>base!X3528</f>
        <v>34.200000000000003</v>
      </c>
      <c r="M3528" s="11">
        <f t="shared" si="554"/>
        <v>0.19</v>
      </c>
      <c r="N3528" s="11">
        <f t="shared" si="555"/>
        <v>0</v>
      </c>
      <c r="O3528" s="11">
        <f t="shared" si="556"/>
        <v>0</v>
      </c>
      <c r="P3528" s="12">
        <f t="shared" si="557"/>
        <v>34.200000000000003</v>
      </c>
      <c r="Q3528" s="17" t="str">
        <f t="shared" si="559"/>
        <v>Ecart positif</v>
      </c>
    </row>
    <row r="3529" spans="1:18" x14ac:dyDescent="0.3">
      <c r="A3529" s="34" t="str">
        <f>base!J3529</f>
        <v>RM</v>
      </c>
      <c r="B3529" s="34" t="str">
        <f>base!V3529</f>
        <v>71200</v>
      </c>
      <c r="C3529" s="37">
        <v>71</v>
      </c>
      <c r="D3529" s="36">
        <f>base!H3529</f>
        <v>140</v>
      </c>
      <c r="E3529" s="44"/>
      <c r="F3529" s="16">
        <f>base!W3529</f>
        <v>0</v>
      </c>
      <c r="G3529" s="11">
        <f t="shared" si="550"/>
        <v>0</v>
      </c>
      <c r="H3529" s="11">
        <f t="shared" si="551"/>
        <v>37.800000000000004</v>
      </c>
      <c r="I3529" s="11">
        <f t="shared" si="552"/>
        <v>0.27</v>
      </c>
      <c r="J3529" s="12">
        <f t="shared" si="553"/>
        <v>-37.800000000000004</v>
      </c>
      <c r="K3529" s="17" t="str">
        <f t="shared" si="558"/>
        <v>Ecart négatif</v>
      </c>
      <c r="L3529" s="16">
        <f>base!X3529</f>
        <v>37.799999999999997</v>
      </c>
      <c r="M3529" s="11">
        <f t="shared" si="554"/>
        <v>0.26999999999999996</v>
      </c>
      <c r="N3529" s="11">
        <f t="shared" si="555"/>
        <v>0</v>
      </c>
      <c r="O3529" s="11">
        <f t="shared" si="556"/>
        <v>0</v>
      </c>
      <c r="P3529" s="12">
        <f t="shared" si="557"/>
        <v>37.799999999999997</v>
      </c>
      <c r="Q3529" s="17" t="str">
        <f t="shared" si="559"/>
        <v>Ecart positif</v>
      </c>
    </row>
    <row r="3530" spans="1:18" x14ac:dyDescent="0.3">
      <c r="A3530" s="34" t="str">
        <f>base!J3530</f>
        <v>RS</v>
      </c>
      <c r="B3530" s="34" t="str">
        <f>base!V3530</f>
        <v>94110</v>
      </c>
      <c r="C3530" s="37">
        <v>94</v>
      </c>
      <c r="D3530" s="36">
        <f>base!H3530</f>
        <v>140</v>
      </c>
      <c r="E3530" s="44"/>
      <c r="F3530" s="16">
        <f>base!W3530</f>
        <v>0</v>
      </c>
      <c r="G3530" s="11">
        <f t="shared" si="550"/>
        <v>0</v>
      </c>
      <c r="H3530" s="11">
        <f t="shared" si="551"/>
        <v>0</v>
      </c>
      <c r="I3530" s="11">
        <f t="shared" si="552"/>
        <v>0</v>
      </c>
      <c r="J3530" s="12">
        <f t="shared" si="553"/>
        <v>0</v>
      </c>
      <c r="K3530" s="17" t="str">
        <f t="shared" si="558"/>
        <v>Pas d'écart</v>
      </c>
      <c r="L3530" s="16">
        <f>base!X3530</f>
        <v>0</v>
      </c>
      <c r="M3530" s="11">
        <f t="shared" si="554"/>
        <v>0</v>
      </c>
      <c r="N3530" s="11">
        <f t="shared" si="555"/>
        <v>0</v>
      </c>
      <c r="O3530" s="11">
        <f t="shared" si="556"/>
        <v>0</v>
      </c>
      <c r="P3530" s="12">
        <f t="shared" si="557"/>
        <v>0</v>
      </c>
      <c r="Q3530" s="17" t="str">
        <f t="shared" si="559"/>
        <v>Pas d'écart</v>
      </c>
    </row>
    <row r="3531" spans="1:18" x14ac:dyDescent="0.3">
      <c r="A3531" s="34" t="str">
        <f>base!J3531</f>
        <v>RS</v>
      </c>
      <c r="B3531" s="34" t="str">
        <f>base!V3531</f>
        <v>76600</v>
      </c>
      <c r="C3531" s="37">
        <v>76</v>
      </c>
      <c r="D3531" s="36">
        <f>base!H3531</f>
        <v>140</v>
      </c>
      <c r="E3531" s="44"/>
      <c r="F3531" s="16">
        <f>base!W3531</f>
        <v>0</v>
      </c>
      <c r="G3531" s="11">
        <f t="shared" si="550"/>
        <v>0</v>
      </c>
      <c r="H3531" s="11">
        <f t="shared" si="551"/>
        <v>23.8</v>
      </c>
      <c r="I3531" s="11">
        <f t="shared" si="552"/>
        <v>0.17</v>
      </c>
      <c r="J3531" s="12">
        <f t="shared" si="553"/>
        <v>-23.8</v>
      </c>
      <c r="K3531" s="17" t="str">
        <f t="shared" si="558"/>
        <v>Ecart négatif</v>
      </c>
      <c r="L3531" s="16">
        <f>base!X3531</f>
        <v>0</v>
      </c>
      <c r="M3531" s="11">
        <f t="shared" si="554"/>
        <v>0</v>
      </c>
      <c r="N3531" s="11">
        <f t="shared" si="555"/>
        <v>23.8</v>
      </c>
      <c r="O3531" s="11">
        <f t="shared" si="556"/>
        <v>0.17</v>
      </c>
      <c r="P3531" s="12">
        <f t="shared" si="557"/>
        <v>-23.8</v>
      </c>
      <c r="Q3531" s="17" t="str">
        <f t="shared" si="559"/>
        <v>Ecart négatif</v>
      </c>
    </row>
    <row r="3532" spans="1:18" x14ac:dyDescent="0.3">
      <c r="A3532" s="34" t="str">
        <f>base!J3532</f>
        <v>RS</v>
      </c>
      <c r="B3532" s="34" t="str">
        <f>base!V3532</f>
        <v>27460</v>
      </c>
      <c r="C3532" s="37">
        <v>27</v>
      </c>
      <c r="D3532" s="36">
        <f>base!H3532</f>
        <v>140</v>
      </c>
      <c r="E3532" s="44"/>
      <c r="F3532" s="16">
        <f>base!W3532</f>
        <v>0</v>
      </c>
      <c r="G3532" s="11">
        <f t="shared" si="550"/>
        <v>0</v>
      </c>
      <c r="H3532" s="11">
        <f t="shared" si="551"/>
        <v>23.8</v>
      </c>
      <c r="I3532" s="11">
        <f t="shared" si="552"/>
        <v>0.17</v>
      </c>
      <c r="J3532" s="12">
        <f t="shared" si="553"/>
        <v>-23.8</v>
      </c>
      <c r="K3532" s="17" t="str">
        <f t="shared" si="558"/>
        <v>Ecart négatif</v>
      </c>
      <c r="L3532" s="16">
        <f>base!X3532</f>
        <v>23.8</v>
      </c>
      <c r="M3532" s="11">
        <f t="shared" si="554"/>
        <v>0.17</v>
      </c>
      <c r="N3532" s="11">
        <f t="shared" si="555"/>
        <v>23.8</v>
      </c>
      <c r="O3532" s="11">
        <f t="shared" si="556"/>
        <v>0.17</v>
      </c>
      <c r="P3532" s="12">
        <f t="shared" si="557"/>
        <v>0</v>
      </c>
      <c r="Q3532" s="17" t="str">
        <f t="shared" si="559"/>
        <v>Pas d'écart</v>
      </c>
    </row>
    <row r="3533" spans="1:18" x14ac:dyDescent="0.3">
      <c r="A3533" s="34" t="str">
        <f>base!J3533</f>
        <v>RM</v>
      </c>
      <c r="B3533" s="34" t="str">
        <f>base!V3533</f>
        <v>56360</v>
      </c>
      <c r="C3533" s="37">
        <v>56</v>
      </c>
      <c r="D3533" s="36">
        <f>base!H3533</f>
        <v>92.94</v>
      </c>
      <c r="E3533" s="44"/>
      <c r="F3533" s="16">
        <f>base!W3533</f>
        <v>0</v>
      </c>
      <c r="G3533" s="11">
        <f t="shared" si="550"/>
        <v>0</v>
      </c>
      <c r="H3533" s="11">
        <f t="shared" si="551"/>
        <v>25.093800000000002</v>
      </c>
      <c r="I3533" s="11">
        <f t="shared" si="552"/>
        <v>0.27</v>
      </c>
      <c r="J3533" s="12">
        <f t="shared" si="553"/>
        <v>-25.093800000000002</v>
      </c>
      <c r="K3533" s="17" t="str">
        <f t="shared" si="558"/>
        <v>Ecart négatif</v>
      </c>
      <c r="L3533" s="16">
        <f>base!X3533</f>
        <v>0</v>
      </c>
      <c r="M3533" s="11">
        <f t="shared" si="554"/>
        <v>0</v>
      </c>
      <c r="N3533" s="11">
        <f t="shared" si="555"/>
        <v>0</v>
      </c>
      <c r="O3533" s="11">
        <f t="shared" si="556"/>
        <v>0</v>
      </c>
      <c r="P3533" s="12">
        <f t="shared" si="557"/>
        <v>0</v>
      </c>
      <c r="Q3533" s="17" t="str">
        <f t="shared" si="559"/>
        <v>Pas d'écart</v>
      </c>
    </row>
    <row r="3534" spans="1:18" x14ac:dyDescent="0.3">
      <c r="A3534" s="34" t="str">
        <f>base!J3534</f>
        <v>RS</v>
      </c>
      <c r="B3534" s="34" t="str">
        <f>base!V3534</f>
        <v>15800</v>
      </c>
      <c r="C3534" s="37">
        <v>15</v>
      </c>
      <c r="D3534" s="36">
        <f>base!H3534</f>
        <v>140</v>
      </c>
      <c r="E3534" s="44"/>
      <c r="F3534" s="16">
        <f>base!W3534</f>
        <v>0</v>
      </c>
      <c r="G3534" s="11">
        <f t="shared" si="550"/>
        <v>0</v>
      </c>
      <c r="H3534" s="11">
        <f t="shared" si="551"/>
        <v>40.599999999999994</v>
      </c>
      <c r="I3534" s="11">
        <f t="shared" si="552"/>
        <v>0.28999999999999998</v>
      </c>
      <c r="J3534" s="12">
        <f t="shared" si="553"/>
        <v>-40.599999999999994</v>
      </c>
      <c r="K3534" s="17" t="str">
        <f t="shared" si="558"/>
        <v>Ecart négatif</v>
      </c>
      <c r="L3534" s="16">
        <f>base!X3534</f>
        <v>0</v>
      </c>
      <c r="M3534" s="11">
        <f t="shared" si="554"/>
        <v>0</v>
      </c>
      <c r="N3534" s="11">
        <f t="shared" si="555"/>
        <v>16.8</v>
      </c>
      <c r="O3534" s="11">
        <f t="shared" si="556"/>
        <v>0.12000000000000001</v>
      </c>
      <c r="P3534" s="12">
        <f t="shared" si="557"/>
        <v>-16.8</v>
      </c>
      <c r="Q3534" s="17" t="str">
        <f t="shared" si="559"/>
        <v>Ecart négatif</v>
      </c>
    </row>
    <row r="3535" spans="1:18" x14ac:dyDescent="0.3">
      <c r="A3535" s="34" t="str">
        <f>base!J3535</f>
        <v>RS</v>
      </c>
      <c r="B3535" s="34" t="str">
        <f>base!V3535</f>
        <v>73800</v>
      </c>
      <c r="C3535" s="37">
        <v>73</v>
      </c>
      <c r="D3535" s="36">
        <f>base!H3535</f>
        <v>40</v>
      </c>
      <c r="E3535" s="44"/>
      <c r="F3535" s="16">
        <f>base!W3535</f>
        <v>0</v>
      </c>
      <c r="G3535" s="11">
        <f t="shared" si="550"/>
        <v>0</v>
      </c>
      <c r="H3535" s="11">
        <f t="shared" si="551"/>
        <v>10.8</v>
      </c>
      <c r="I3535" s="11">
        <f t="shared" si="552"/>
        <v>0.27</v>
      </c>
      <c r="J3535" s="12">
        <f t="shared" si="553"/>
        <v>-10.8</v>
      </c>
      <c r="K3535" s="17" t="str">
        <f t="shared" si="558"/>
        <v>Ecart négatif</v>
      </c>
      <c r="L3535" s="16">
        <f>base!X3535</f>
        <v>0</v>
      </c>
      <c r="M3535" s="11">
        <f t="shared" si="554"/>
        <v>0</v>
      </c>
      <c r="N3535" s="11">
        <f t="shared" si="555"/>
        <v>0</v>
      </c>
      <c r="O3535" s="11">
        <f t="shared" si="556"/>
        <v>0</v>
      </c>
      <c r="P3535" s="12">
        <f t="shared" si="557"/>
        <v>0</v>
      </c>
      <c r="Q3535" s="17" t="str">
        <f t="shared" si="559"/>
        <v>Pas d'écart</v>
      </c>
    </row>
    <row r="3536" spans="1:18" x14ac:dyDescent="0.3">
      <c r="A3536" s="34" t="str">
        <f>base!J3536</f>
        <v>RM</v>
      </c>
      <c r="B3536" s="34" t="str">
        <f>base!V3536</f>
        <v>54600</v>
      </c>
      <c r="C3536" s="37">
        <v>54</v>
      </c>
      <c r="D3536" s="36">
        <f>base!H3536</f>
        <v>190.58</v>
      </c>
      <c r="E3536" s="44"/>
      <c r="F3536" s="16">
        <f>base!W3536</f>
        <v>0</v>
      </c>
      <c r="G3536" s="11">
        <f t="shared" si="550"/>
        <v>0</v>
      </c>
      <c r="H3536" s="11">
        <f t="shared" si="551"/>
        <v>47.645000000000003</v>
      </c>
      <c r="I3536" s="11">
        <f t="shared" si="552"/>
        <v>0.25</v>
      </c>
      <c r="J3536" s="12">
        <f t="shared" si="553"/>
        <v>-47.645000000000003</v>
      </c>
      <c r="K3536" s="17" t="str">
        <f t="shared" si="558"/>
        <v>Ecart négatif</v>
      </c>
      <c r="L3536" s="16">
        <f>base!X3536</f>
        <v>47.65</v>
      </c>
      <c r="M3536" s="11">
        <f t="shared" si="554"/>
        <v>0.25002623570154264</v>
      </c>
      <c r="N3536" s="11">
        <f t="shared" si="555"/>
        <v>47.645000000000003</v>
      </c>
      <c r="O3536" s="11">
        <f t="shared" si="556"/>
        <v>0.25</v>
      </c>
      <c r="P3536" s="12">
        <f t="shared" si="557"/>
        <v>4.9999999999954525E-3</v>
      </c>
      <c r="Q3536" s="17" t="str">
        <f t="shared" si="559"/>
        <v>Ecart positif</v>
      </c>
      <c r="R3536" s="38"/>
    </row>
    <row r="3537" spans="1:18" x14ac:dyDescent="0.3">
      <c r="A3537" s="34" t="str">
        <f>base!J3537</f>
        <v>RS</v>
      </c>
      <c r="B3537" s="34" t="str">
        <f>base!V3537</f>
        <v>14000</v>
      </c>
      <c r="C3537" s="37">
        <v>14</v>
      </c>
      <c r="D3537" s="36">
        <f>base!H3537</f>
        <v>180</v>
      </c>
      <c r="E3537" s="44"/>
      <c r="F3537" s="16">
        <f>base!W3537</f>
        <v>0</v>
      </c>
      <c r="G3537" s="11">
        <f t="shared" si="550"/>
        <v>0</v>
      </c>
      <c r="H3537" s="11">
        <f t="shared" si="551"/>
        <v>30.6</v>
      </c>
      <c r="I3537" s="11">
        <f t="shared" si="552"/>
        <v>0.17</v>
      </c>
      <c r="J3537" s="12">
        <f t="shared" si="553"/>
        <v>-30.6</v>
      </c>
      <c r="K3537" s="17" t="str">
        <f t="shared" si="558"/>
        <v>Ecart négatif</v>
      </c>
      <c r="L3537" s="16">
        <f>base!X3537</f>
        <v>30.6</v>
      </c>
      <c r="M3537" s="11">
        <f t="shared" si="554"/>
        <v>0.17</v>
      </c>
      <c r="N3537" s="11">
        <f t="shared" si="555"/>
        <v>30.6</v>
      </c>
      <c r="O3537" s="11">
        <f t="shared" si="556"/>
        <v>0.17</v>
      </c>
      <c r="P3537" s="12">
        <f t="shared" si="557"/>
        <v>0</v>
      </c>
      <c r="Q3537" s="17" t="str">
        <f t="shared" si="559"/>
        <v>Pas d'écart</v>
      </c>
    </row>
    <row r="3538" spans="1:18" x14ac:dyDescent="0.3">
      <c r="A3538" s="34" t="str">
        <f>base!J3538</f>
        <v>LS</v>
      </c>
      <c r="B3538" s="34" t="str">
        <f>base!V3538</f>
        <v>55400</v>
      </c>
      <c r="C3538" s="37">
        <v>69</v>
      </c>
      <c r="D3538" s="36">
        <f>base!H3538</f>
        <v>183.88</v>
      </c>
      <c r="E3538" s="44"/>
      <c r="F3538" s="16">
        <f>base!W3538</f>
        <v>45.97</v>
      </c>
      <c r="G3538" s="11">
        <f t="shared" si="550"/>
        <v>0.25</v>
      </c>
      <c r="H3538" s="11">
        <f t="shared" si="551"/>
        <v>49.647600000000004</v>
      </c>
      <c r="I3538" s="11">
        <f t="shared" si="552"/>
        <v>0.27</v>
      </c>
      <c r="J3538" s="12">
        <f t="shared" si="553"/>
        <v>-3.6776000000000053</v>
      </c>
      <c r="K3538" s="17" t="str">
        <f t="shared" si="558"/>
        <v>Ecart négatif</v>
      </c>
      <c r="L3538" s="16">
        <f>base!X3538</f>
        <v>0</v>
      </c>
      <c r="M3538" s="11">
        <f t="shared" si="554"/>
        <v>0</v>
      </c>
      <c r="N3538" s="11">
        <f t="shared" si="555"/>
        <v>0</v>
      </c>
      <c r="O3538" s="11">
        <f t="shared" si="556"/>
        <v>0</v>
      </c>
      <c r="P3538" s="12">
        <f t="shared" si="557"/>
        <v>0</v>
      </c>
      <c r="Q3538" s="17" t="str">
        <f t="shared" si="559"/>
        <v>Pas d'écart</v>
      </c>
    </row>
    <row r="3539" spans="1:18" x14ac:dyDescent="0.3">
      <c r="A3539" s="34" t="str">
        <f>base!J3539</f>
        <v>LM</v>
      </c>
      <c r="B3539" s="34" t="str">
        <f>base!V3539</f>
        <v>13001</v>
      </c>
      <c r="C3539" s="37">
        <v>69</v>
      </c>
      <c r="D3539" s="36">
        <f>base!H3539</f>
        <v>183.25</v>
      </c>
      <c r="E3539" s="44"/>
      <c r="F3539" s="16">
        <f>base!W3539</f>
        <v>53.14</v>
      </c>
      <c r="G3539" s="11">
        <f t="shared" si="550"/>
        <v>0.28998635743519779</v>
      </c>
      <c r="H3539" s="11">
        <f t="shared" si="551"/>
        <v>49.477500000000006</v>
      </c>
      <c r="I3539" s="11">
        <f t="shared" si="552"/>
        <v>0.27</v>
      </c>
      <c r="J3539" s="12">
        <f t="shared" si="553"/>
        <v>3.6624999999999943</v>
      </c>
      <c r="K3539" s="17" t="str">
        <f t="shared" si="558"/>
        <v>Ecart positif</v>
      </c>
      <c r="L3539" s="16">
        <f>base!X3539</f>
        <v>0</v>
      </c>
      <c r="M3539" s="11">
        <f t="shared" si="554"/>
        <v>0</v>
      </c>
      <c r="N3539" s="11">
        <f t="shared" si="555"/>
        <v>0</v>
      </c>
      <c r="O3539" s="11">
        <f t="shared" si="556"/>
        <v>0</v>
      </c>
      <c r="P3539" s="12">
        <f t="shared" si="557"/>
        <v>0</v>
      </c>
      <c r="Q3539" s="17" t="str">
        <f t="shared" si="559"/>
        <v>Pas d'écart</v>
      </c>
    </row>
    <row r="3540" spans="1:18" x14ac:dyDescent="0.3">
      <c r="A3540" s="34" t="str">
        <f>base!J3540</f>
        <v>RM</v>
      </c>
      <c r="B3540" s="34" t="str">
        <f>base!V3540</f>
        <v>39200</v>
      </c>
      <c r="C3540" s="37">
        <v>39</v>
      </c>
      <c r="D3540" s="36">
        <f>base!H3540</f>
        <v>70</v>
      </c>
      <c r="E3540" s="44"/>
      <c r="F3540" s="16">
        <f>base!W3540</f>
        <v>0</v>
      </c>
      <c r="G3540" s="11">
        <f t="shared" si="550"/>
        <v>0</v>
      </c>
      <c r="H3540" s="11">
        <f t="shared" si="551"/>
        <v>18.900000000000002</v>
      </c>
      <c r="I3540" s="11">
        <f t="shared" si="552"/>
        <v>0.27</v>
      </c>
      <c r="J3540" s="12">
        <f t="shared" si="553"/>
        <v>-18.900000000000002</v>
      </c>
      <c r="K3540" s="17" t="str">
        <f t="shared" si="558"/>
        <v>Ecart négatif</v>
      </c>
      <c r="L3540" s="16">
        <f>base!X3540</f>
        <v>0</v>
      </c>
      <c r="M3540" s="11">
        <f t="shared" si="554"/>
        <v>0</v>
      </c>
      <c r="N3540" s="11">
        <f t="shared" si="555"/>
        <v>0</v>
      </c>
      <c r="O3540" s="11">
        <f t="shared" si="556"/>
        <v>0</v>
      </c>
      <c r="P3540" s="12">
        <f t="shared" si="557"/>
        <v>0</v>
      </c>
      <c r="Q3540" s="17" t="str">
        <f t="shared" si="559"/>
        <v>Pas d'écart</v>
      </c>
    </row>
    <row r="3541" spans="1:18" x14ac:dyDescent="0.3">
      <c r="A3541" s="34" t="str">
        <f>base!J3541</f>
        <v>RM</v>
      </c>
      <c r="B3541" s="34" t="str">
        <f>base!V3541</f>
        <v>71200</v>
      </c>
      <c r="C3541" s="37">
        <v>71</v>
      </c>
      <c r="D3541" s="36">
        <f>base!H3541</f>
        <v>70</v>
      </c>
      <c r="E3541" s="44"/>
      <c r="F3541" s="16">
        <f>base!W3541</f>
        <v>0</v>
      </c>
      <c r="G3541" s="11">
        <f t="shared" si="550"/>
        <v>0</v>
      </c>
      <c r="H3541" s="11">
        <f t="shared" si="551"/>
        <v>18.900000000000002</v>
      </c>
      <c r="I3541" s="11">
        <f t="shared" si="552"/>
        <v>0.27</v>
      </c>
      <c r="J3541" s="12">
        <f t="shared" si="553"/>
        <v>-18.900000000000002</v>
      </c>
      <c r="K3541" s="17" t="str">
        <f t="shared" si="558"/>
        <v>Ecart négatif</v>
      </c>
      <c r="L3541" s="16">
        <f>base!X3541</f>
        <v>0</v>
      </c>
      <c r="M3541" s="11">
        <f t="shared" si="554"/>
        <v>0</v>
      </c>
      <c r="N3541" s="11">
        <f t="shared" si="555"/>
        <v>0</v>
      </c>
      <c r="O3541" s="11">
        <f t="shared" si="556"/>
        <v>0</v>
      </c>
      <c r="P3541" s="12">
        <f t="shared" si="557"/>
        <v>0</v>
      </c>
      <c r="Q3541" s="17" t="str">
        <f t="shared" si="559"/>
        <v>Pas d'écart</v>
      </c>
    </row>
    <row r="3542" spans="1:18" x14ac:dyDescent="0.3">
      <c r="A3542" s="34" t="str">
        <f>base!J3542</f>
        <v>RS</v>
      </c>
      <c r="B3542" s="34" t="str">
        <f>base!V3542</f>
        <v>77380</v>
      </c>
      <c r="C3542" s="37">
        <v>77</v>
      </c>
      <c r="D3542" s="36">
        <f>base!H3542</f>
        <v>70</v>
      </c>
      <c r="E3542" s="44"/>
      <c r="F3542" s="16">
        <f>base!W3542</f>
        <v>0</v>
      </c>
      <c r="G3542" s="11">
        <f t="shared" si="550"/>
        <v>0</v>
      </c>
      <c r="H3542" s="11">
        <f t="shared" si="551"/>
        <v>0</v>
      </c>
      <c r="I3542" s="11">
        <f t="shared" si="552"/>
        <v>0</v>
      </c>
      <c r="J3542" s="12">
        <f t="shared" si="553"/>
        <v>0</v>
      </c>
      <c r="K3542" s="17" t="str">
        <f t="shared" si="558"/>
        <v>Pas d'écart</v>
      </c>
      <c r="L3542" s="16">
        <f>base!X3542</f>
        <v>0</v>
      </c>
      <c r="M3542" s="11">
        <f t="shared" si="554"/>
        <v>0</v>
      </c>
      <c r="N3542" s="11">
        <f t="shared" si="555"/>
        <v>0</v>
      </c>
      <c r="O3542" s="11">
        <f t="shared" si="556"/>
        <v>0</v>
      </c>
      <c r="P3542" s="12">
        <f t="shared" si="557"/>
        <v>0</v>
      </c>
      <c r="Q3542" s="17" t="str">
        <f t="shared" si="559"/>
        <v>Pas d'écart</v>
      </c>
    </row>
    <row r="3543" spans="1:18" x14ac:dyDescent="0.3">
      <c r="A3543" s="34" t="str">
        <f>base!J3543</f>
        <v>RM</v>
      </c>
      <c r="B3543" s="34" t="str">
        <f>base!V3543</f>
        <v>67000</v>
      </c>
      <c r="C3543" s="37">
        <v>67</v>
      </c>
      <c r="D3543" s="36">
        <f>base!H3543</f>
        <v>40</v>
      </c>
      <c r="E3543" s="44"/>
      <c r="F3543" s="16">
        <f>base!W3543</f>
        <v>0</v>
      </c>
      <c r="G3543" s="11">
        <f t="shared" si="550"/>
        <v>0</v>
      </c>
      <c r="H3543" s="11">
        <f t="shared" si="551"/>
        <v>11.6</v>
      </c>
      <c r="I3543" s="11">
        <f t="shared" si="552"/>
        <v>0.28999999999999998</v>
      </c>
      <c r="J3543" s="12">
        <f t="shared" si="553"/>
        <v>-11.6</v>
      </c>
      <c r="K3543" s="17" t="str">
        <f t="shared" si="558"/>
        <v>Ecart négatif</v>
      </c>
      <c r="L3543" s="16">
        <f>base!X3543</f>
        <v>3.2</v>
      </c>
      <c r="M3543" s="11">
        <f t="shared" si="554"/>
        <v>0.08</v>
      </c>
      <c r="N3543" s="11">
        <f t="shared" si="555"/>
        <v>3.2</v>
      </c>
      <c r="O3543" s="11">
        <f t="shared" si="556"/>
        <v>0.08</v>
      </c>
      <c r="P3543" s="12">
        <f t="shared" si="557"/>
        <v>0</v>
      </c>
      <c r="Q3543" s="17" t="str">
        <f t="shared" si="559"/>
        <v>Pas d'écart</v>
      </c>
      <c r="R3543" s="38"/>
    </row>
    <row r="3544" spans="1:18" x14ac:dyDescent="0.3">
      <c r="A3544" s="34" t="str">
        <f>base!J3544</f>
        <v>LM</v>
      </c>
      <c r="B3544" s="34" t="str">
        <f>base!V3544</f>
        <v>38400</v>
      </c>
      <c r="C3544" s="37">
        <v>69</v>
      </c>
      <c r="D3544" s="36">
        <f>base!H3544</f>
        <v>124.46</v>
      </c>
      <c r="E3544" s="44"/>
      <c r="F3544" s="16">
        <f>base!W3544</f>
        <v>33.6</v>
      </c>
      <c r="G3544" s="11">
        <f t="shared" si="550"/>
        <v>0.26996625421822273</v>
      </c>
      <c r="H3544" s="11">
        <f t="shared" si="551"/>
        <v>33.604199999999999</v>
      </c>
      <c r="I3544" s="11">
        <f t="shared" si="552"/>
        <v>0.27</v>
      </c>
      <c r="J3544" s="12">
        <f t="shared" si="553"/>
        <v>-4.199999999997317E-3</v>
      </c>
      <c r="K3544" s="17" t="str">
        <f t="shared" si="558"/>
        <v>Ecart négatif</v>
      </c>
      <c r="L3544" s="16">
        <f>base!X3544</f>
        <v>0</v>
      </c>
      <c r="M3544" s="11">
        <f t="shared" si="554"/>
        <v>0</v>
      </c>
      <c r="N3544" s="11">
        <f t="shared" si="555"/>
        <v>0</v>
      </c>
      <c r="O3544" s="11">
        <f t="shared" si="556"/>
        <v>0</v>
      </c>
      <c r="P3544" s="12">
        <f t="shared" si="557"/>
        <v>0</v>
      </c>
      <c r="Q3544" s="17" t="str">
        <f t="shared" si="559"/>
        <v>Pas d'écart</v>
      </c>
    </row>
    <row r="3545" spans="1:18" x14ac:dyDescent="0.3">
      <c r="A3545" s="34" t="str">
        <f>base!J3545</f>
        <v>DLS</v>
      </c>
      <c r="B3545" s="34" t="str">
        <f>base!V3545</f>
        <v>44323</v>
      </c>
      <c r="C3545" s="37">
        <v>44</v>
      </c>
      <c r="D3545" s="36">
        <f>base!H3545</f>
        <v>140</v>
      </c>
      <c r="E3545" s="44"/>
      <c r="F3545" s="16">
        <f>base!W3545</f>
        <v>0</v>
      </c>
      <c r="G3545" s="11">
        <f t="shared" si="550"/>
        <v>0</v>
      </c>
      <c r="H3545" s="11">
        <f t="shared" si="551"/>
        <v>37.800000000000004</v>
      </c>
      <c r="I3545" s="11">
        <f t="shared" si="552"/>
        <v>0.27</v>
      </c>
      <c r="J3545" s="12">
        <f t="shared" si="553"/>
        <v>-37.800000000000004</v>
      </c>
      <c r="K3545" s="17" t="str">
        <f t="shared" si="558"/>
        <v>Ecart négatif</v>
      </c>
      <c r="L3545" s="16">
        <f>base!X3545</f>
        <v>37.799999999999997</v>
      </c>
      <c r="M3545" s="11">
        <f t="shared" si="554"/>
        <v>0.26999999999999996</v>
      </c>
      <c r="N3545" s="11">
        <f t="shared" si="555"/>
        <v>0</v>
      </c>
      <c r="O3545" s="11">
        <f t="shared" si="556"/>
        <v>0</v>
      </c>
      <c r="P3545" s="12">
        <f t="shared" si="557"/>
        <v>37.799999999999997</v>
      </c>
      <c r="Q3545" s="17" t="str">
        <f t="shared" si="559"/>
        <v>Ecart positif</v>
      </c>
    </row>
    <row r="3546" spans="1:18" x14ac:dyDescent="0.3">
      <c r="A3546" s="34" t="str">
        <f>base!J3546</f>
        <v>RS</v>
      </c>
      <c r="B3546" s="34" t="str">
        <f>base!V3546</f>
        <v>14000</v>
      </c>
      <c r="C3546" s="37">
        <v>14</v>
      </c>
      <c r="D3546" s="36">
        <f>base!H3546</f>
        <v>151</v>
      </c>
      <c r="E3546" s="44"/>
      <c r="F3546" s="16">
        <f>base!W3546</f>
        <v>0</v>
      </c>
      <c r="G3546" s="11">
        <f t="shared" si="550"/>
        <v>0</v>
      </c>
      <c r="H3546" s="11">
        <f t="shared" si="551"/>
        <v>25.67</v>
      </c>
      <c r="I3546" s="11">
        <f t="shared" si="552"/>
        <v>0.17</v>
      </c>
      <c r="J3546" s="12">
        <f t="shared" si="553"/>
        <v>-25.67</v>
      </c>
      <c r="K3546" s="17" t="str">
        <f t="shared" si="558"/>
        <v>Ecart négatif</v>
      </c>
      <c r="L3546" s="16">
        <f>base!X3546</f>
        <v>25.67</v>
      </c>
      <c r="M3546" s="11">
        <f t="shared" si="554"/>
        <v>0.17</v>
      </c>
      <c r="N3546" s="11">
        <f t="shared" si="555"/>
        <v>25.67</v>
      </c>
      <c r="O3546" s="11">
        <f t="shared" si="556"/>
        <v>0.17</v>
      </c>
      <c r="P3546" s="12">
        <f t="shared" si="557"/>
        <v>0</v>
      </c>
      <c r="Q3546" s="17" t="str">
        <f t="shared" si="559"/>
        <v>Pas d'écart</v>
      </c>
      <c r="R3546" s="38"/>
    </row>
    <row r="3547" spans="1:18" x14ac:dyDescent="0.3">
      <c r="A3547" s="34" t="str">
        <f>base!J3547</f>
        <v>RS</v>
      </c>
      <c r="B3547" s="34" t="str">
        <f>base!V3547</f>
        <v>54000</v>
      </c>
      <c r="C3547" s="37">
        <v>54</v>
      </c>
      <c r="D3547" s="36">
        <f>base!H3547</f>
        <v>190</v>
      </c>
      <c r="E3547" s="44"/>
      <c r="F3547" s="16">
        <f>base!W3547</f>
        <v>0</v>
      </c>
      <c r="G3547" s="11">
        <f t="shared" si="550"/>
        <v>0</v>
      </c>
      <c r="H3547" s="11">
        <f t="shared" si="551"/>
        <v>47.5</v>
      </c>
      <c r="I3547" s="11">
        <f t="shared" si="552"/>
        <v>0.25</v>
      </c>
      <c r="J3547" s="12">
        <f t="shared" si="553"/>
        <v>-47.5</v>
      </c>
      <c r="K3547" s="17" t="str">
        <f t="shared" si="558"/>
        <v>Ecart négatif</v>
      </c>
      <c r="L3547" s="16">
        <f>base!X3547</f>
        <v>47.5</v>
      </c>
      <c r="M3547" s="11">
        <f t="shared" si="554"/>
        <v>0.25</v>
      </c>
      <c r="N3547" s="11">
        <f t="shared" si="555"/>
        <v>47.5</v>
      </c>
      <c r="O3547" s="11">
        <f t="shared" si="556"/>
        <v>0.25</v>
      </c>
      <c r="P3547" s="12">
        <f t="shared" si="557"/>
        <v>0</v>
      </c>
      <c r="Q3547" s="17" t="str">
        <f t="shared" si="559"/>
        <v>Pas d'écart</v>
      </c>
    </row>
    <row r="3548" spans="1:18" x14ac:dyDescent="0.3">
      <c r="A3548" s="34" t="str">
        <f>base!J3548</f>
        <v>RM</v>
      </c>
      <c r="B3548" s="34" t="str">
        <f>base!V3548</f>
        <v>13757</v>
      </c>
      <c r="C3548" s="37">
        <v>13</v>
      </c>
      <c r="D3548" s="36">
        <f>base!H3548</f>
        <v>151</v>
      </c>
      <c r="E3548" s="44"/>
      <c r="F3548" s="16">
        <f>base!W3548</f>
        <v>0</v>
      </c>
      <c r="G3548" s="11">
        <f t="shared" si="550"/>
        <v>0</v>
      </c>
      <c r="H3548" s="11">
        <f t="shared" si="551"/>
        <v>43.79</v>
      </c>
      <c r="I3548" s="11">
        <f t="shared" si="552"/>
        <v>0.28999999999999998</v>
      </c>
      <c r="J3548" s="12">
        <f t="shared" si="553"/>
        <v>-43.79</v>
      </c>
      <c r="K3548" s="17" t="str">
        <f t="shared" si="558"/>
        <v>Ecart négatif</v>
      </c>
      <c r="L3548" s="16">
        <f>base!X3548</f>
        <v>0</v>
      </c>
      <c r="M3548" s="11">
        <f t="shared" si="554"/>
        <v>0</v>
      </c>
      <c r="N3548" s="11">
        <f t="shared" si="555"/>
        <v>28.69</v>
      </c>
      <c r="O3548" s="11">
        <f t="shared" si="556"/>
        <v>0.19</v>
      </c>
      <c r="P3548" s="12">
        <f t="shared" si="557"/>
        <v>-28.69</v>
      </c>
      <c r="Q3548" s="17" t="str">
        <f t="shared" si="559"/>
        <v>Ecart négatif</v>
      </c>
    </row>
    <row r="3549" spans="1:18" x14ac:dyDescent="0.3">
      <c r="A3549" s="34" t="str">
        <f>base!J3549</f>
        <v>RS</v>
      </c>
      <c r="B3549" s="34" t="str">
        <f>base!V3549</f>
        <v>14140</v>
      </c>
      <c r="C3549" s="37">
        <v>14</v>
      </c>
      <c r="D3549" s="36">
        <f>base!H3549</f>
        <v>40</v>
      </c>
      <c r="E3549" s="44"/>
      <c r="F3549" s="16">
        <f>base!W3549</f>
        <v>0</v>
      </c>
      <c r="G3549" s="11">
        <f t="shared" si="550"/>
        <v>0</v>
      </c>
      <c r="H3549" s="11">
        <f t="shared" si="551"/>
        <v>6.8000000000000007</v>
      </c>
      <c r="I3549" s="11">
        <f t="shared" si="552"/>
        <v>0.17</v>
      </c>
      <c r="J3549" s="12">
        <f t="shared" si="553"/>
        <v>-6.8000000000000007</v>
      </c>
      <c r="K3549" s="17" t="str">
        <f t="shared" si="558"/>
        <v>Ecart négatif</v>
      </c>
      <c r="L3549" s="16">
        <f>base!X3549</f>
        <v>6.8</v>
      </c>
      <c r="M3549" s="11">
        <f t="shared" si="554"/>
        <v>0.16999999999999998</v>
      </c>
      <c r="N3549" s="11">
        <f t="shared" si="555"/>
        <v>6.8000000000000007</v>
      </c>
      <c r="O3549" s="11">
        <f t="shared" si="556"/>
        <v>0.17</v>
      </c>
      <c r="P3549" s="12">
        <f t="shared" si="557"/>
        <v>0</v>
      </c>
      <c r="Q3549" s="17" t="str">
        <f t="shared" si="559"/>
        <v>Pas d'écart</v>
      </c>
    </row>
    <row r="3550" spans="1:18" x14ac:dyDescent="0.3">
      <c r="A3550" s="34" t="str">
        <f>base!J3550</f>
        <v>RS</v>
      </c>
      <c r="B3550" s="34" t="str">
        <f>base!V3550</f>
        <v>69125</v>
      </c>
      <c r="C3550" s="37">
        <v>69</v>
      </c>
      <c r="D3550" s="36">
        <f>base!H3550</f>
        <v>140</v>
      </c>
      <c r="E3550" s="44"/>
      <c r="F3550" s="16">
        <f>base!W3550</f>
        <v>0</v>
      </c>
      <c r="G3550" s="11">
        <f t="shared" si="550"/>
        <v>0</v>
      </c>
      <c r="H3550" s="11">
        <f t="shared" si="551"/>
        <v>37.800000000000004</v>
      </c>
      <c r="I3550" s="11">
        <f t="shared" si="552"/>
        <v>0.27</v>
      </c>
      <c r="J3550" s="12">
        <f t="shared" si="553"/>
        <v>-37.800000000000004</v>
      </c>
      <c r="K3550" s="17" t="str">
        <f t="shared" si="558"/>
        <v>Ecart négatif</v>
      </c>
      <c r="L3550" s="16">
        <f>base!X3550</f>
        <v>0</v>
      </c>
      <c r="M3550" s="11">
        <f t="shared" si="554"/>
        <v>0</v>
      </c>
      <c r="N3550" s="11">
        <f t="shared" si="555"/>
        <v>0</v>
      </c>
      <c r="O3550" s="11">
        <f t="shared" si="556"/>
        <v>0</v>
      </c>
      <c r="P3550" s="12">
        <f t="shared" si="557"/>
        <v>0</v>
      </c>
      <c r="Q3550" s="17" t="str">
        <f t="shared" si="559"/>
        <v>Pas d'écart</v>
      </c>
    </row>
    <row r="3551" spans="1:18" x14ac:dyDescent="0.3">
      <c r="A3551" s="34" t="str">
        <f>base!J3551</f>
        <v>RS</v>
      </c>
      <c r="B3551" s="34" t="str">
        <f>base!V3551</f>
        <v>16480</v>
      </c>
      <c r="C3551" s="37">
        <v>16</v>
      </c>
      <c r="D3551" s="36">
        <f>base!H3551</f>
        <v>62.6</v>
      </c>
      <c r="E3551" s="44"/>
      <c r="F3551" s="16">
        <f>base!W3551</f>
        <v>0</v>
      </c>
      <c r="G3551" s="11">
        <f t="shared" si="550"/>
        <v>0</v>
      </c>
      <c r="H3551" s="11">
        <f t="shared" si="551"/>
        <v>13.145999999999999</v>
      </c>
      <c r="I3551" s="11">
        <f t="shared" si="552"/>
        <v>0.21</v>
      </c>
      <c r="J3551" s="12">
        <f t="shared" si="553"/>
        <v>-13.145999999999999</v>
      </c>
      <c r="K3551" s="17" t="str">
        <f t="shared" si="558"/>
        <v>Ecart négatif</v>
      </c>
      <c r="L3551" s="16">
        <f>base!X3551</f>
        <v>10.64</v>
      </c>
      <c r="M3551" s="11">
        <f t="shared" si="554"/>
        <v>0.16996805111821087</v>
      </c>
      <c r="N3551" s="11">
        <f t="shared" si="555"/>
        <v>10.642000000000001</v>
      </c>
      <c r="O3551" s="11">
        <f t="shared" si="556"/>
        <v>0.17</v>
      </c>
      <c r="P3551" s="12">
        <f t="shared" si="557"/>
        <v>-2.0000000000006679E-3</v>
      </c>
      <c r="Q3551" s="17" t="str">
        <f t="shared" si="559"/>
        <v>Ecart négatif</v>
      </c>
      <c r="R3551" s="38"/>
    </row>
    <row r="3552" spans="1:18" x14ac:dyDescent="0.3">
      <c r="A3552" s="34" t="str">
        <f>base!J3552</f>
        <v>DLS</v>
      </c>
      <c r="B3552" s="34" t="str">
        <f>base!V3552</f>
        <v>76300</v>
      </c>
      <c r="C3552" s="37">
        <v>76</v>
      </c>
      <c r="D3552" s="36">
        <f>base!H3552</f>
        <v>180</v>
      </c>
      <c r="E3552" s="44"/>
      <c r="F3552" s="16">
        <f>base!W3552</f>
        <v>0</v>
      </c>
      <c r="G3552" s="11">
        <f t="shared" si="550"/>
        <v>0</v>
      </c>
      <c r="H3552" s="11">
        <f t="shared" si="551"/>
        <v>30.6</v>
      </c>
      <c r="I3552" s="11">
        <f t="shared" si="552"/>
        <v>0.17</v>
      </c>
      <c r="J3552" s="12">
        <f t="shared" si="553"/>
        <v>-30.6</v>
      </c>
      <c r="K3552" s="17" t="str">
        <f t="shared" si="558"/>
        <v>Ecart négatif</v>
      </c>
      <c r="L3552" s="16">
        <f>base!X3552</f>
        <v>0</v>
      </c>
      <c r="M3552" s="11">
        <f t="shared" si="554"/>
        <v>0</v>
      </c>
      <c r="N3552" s="11">
        <f t="shared" si="555"/>
        <v>30.6</v>
      </c>
      <c r="O3552" s="11">
        <f t="shared" si="556"/>
        <v>0.17</v>
      </c>
      <c r="P3552" s="12">
        <f t="shared" si="557"/>
        <v>-30.6</v>
      </c>
      <c r="Q3552" s="17" t="str">
        <f t="shared" si="559"/>
        <v>Ecart négatif</v>
      </c>
    </row>
    <row r="3553" spans="1:18" x14ac:dyDescent="0.3">
      <c r="A3553" s="34" t="str">
        <f>base!J3553</f>
        <v>RM</v>
      </c>
      <c r="B3553" s="34" t="str">
        <f>base!V3553</f>
        <v>63000</v>
      </c>
      <c r="C3553" s="37">
        <v>63</v>
      </c>
      <c r="D3553" s="36">
        <f>base!H3553</f>
        <v>14.6</v>
      </c>
      <c r="E3553" s="44"/>
      <c r="F3553" s="16">
        <f>base!W3553</f>
        <v>0</v>
      </c>
      <c r="G3553" s="11">
        <f t="shared" si="550"/>
        <v>0</v>
      </c>
      <c r="H3553" s="11">
        <f t="shared" si="551"/>
        <v>4.234</v>
      </c>
      <c r="I3553" s="11">
        <f t="shared" si="552"/>
        <v>0.28999999999999998</v>
      </c>
      <c r="J3553" s="12">
        <f t="shared" si="553"/>
        <v>-4.234</v>
      </c>
      <c r="K3553" s="17" t="str">
        <f t="shared" si="558"/>
        <v>Ecart négatif</v>
      </c>
      <c r="L3553" s="16">
        <f>base!X3553</f>
        <v>1.75</v>
      </c>
      <c r="M3553" s="11">
        <f t="shared" si="554"/>
        <v>0.11986301369863014</v>
      </c>
      <c r="N3553" s="11">
        <f t="shared" si="555"/>
        <v>1.752</v>
      </c>
      <c r="O3553" s="11">
        <f t="shared" si="556"/>
        <v>0.12000000000000001</v>
      </c>
      <c r="P3553" s="12">
        <f t="shared" si="557"/>
        <v>-2.0000000000000018E-3</v>
      </c>
      <c r="Q3553" s="17" t="str">
        <f t="shared" si="559"/>
        <v>Ecart négatif</v>
      </c>
      <c r="R3553" s="38"/>
    </row>
    <row r="3554" spans="1:18" x14ac:dyDescent="0.3">
      <c r="A3554" s="34">
        <f>base!J3554</f>
        <v>0</v>
      </c>
      <c r="B3554" s="34" t="str">
        <f>base!V3554</f>
        <v>77184</v>
      </c>
      <c r="C3554" s="37">
        <v>77</v>
      </c>
      <c r="D3554" s="36">
        <f>base!H3554</f>
        <v>57</v>
      </c>
      <c r="E3554" s="44"/>
      <c r="F3554" s="16">
        <f>base!W3554</f>
        <v>0</v>
      </c>
      <c r="G3554" s="11">
        <f t="shared" si="550"/>
        <v>0</v>
      </c>
      <c r="H3554" s="11">
        <f t="shared" si="551"/>
        <v>0</v>
      </c>
      <c r="I3554" s="11">
        <f t="shared" si="552"/>
        <v>0</v>
      </c>
      <c r="J3554" s="12">
        <f t="shared" si="553"/>
        <v>0</v>
      </c>
      <c r="K3554" s="17" t="str">
        <f t="shared" si="558"/>
        <v>Pas d'écart</v>
      </c>
      <c r="L3554" s="16">
        <f>base!X3554</f>
        <v>0</v>
      </c>
      <c r="M3554" s="11">
        <f t="shared" si="554"/>
        <v>0</v>
      </c>
      <c r="N3554" s="11">
        <f t="shared" si="555"/>
        <v>0</v>
      </c>
      <c r="O3554" s="11">
        <f t="shared" si="556"/>
        <v>0</v>
      </c>
      <c r="P3554" s="12">
        <f t="shared" si="557"/>
        <v>0</v>
      </c>
      <c r="Q3554" s="17" t="str">
        <f t="shared" si="559"/>
        <v>Pas d'écart</v>
      </c>
    </row>
    <row r="3555" spans="1:18" x14ac:dyDescent="0.3">
      <c r="A3555" s="34" t="str">
        <f>base!J3555</f>
        <v>RM</v>
      </c>
      <c r="B3555" s="34" t="str">
        <f>base!V3555</f>
        <v>70000</v>
      </c>
      <c r="C3555" s="37">
        <v>70</v>
      </c>
      <c r="D3555" s="36">
        <f>base!H3555</f>
        <v>22.5</v>
      </c>
      <c r="E3555" s="44"/>
      <c r="F3555" s="16">
        <f>base!W3555</f>
        <v>0</v>
      </c>
      <c r="G3555" s="11">
        <f t="shared" si="550"/>
        <v>0</v>
      </c>
      <c r="H3555" s="11">
        <f t="shared" si="551"/>
        <v>5.3999999999999995</v>
      </c>
      <c r="I3555" s="11">
        <f t="shared" si="552"/>
        <v>0.23999999999999996</v>
      </c>
      <c r="J3555" s="12">
        <f t="shared" si="553"/>
        <v>-5.3999999999999995</v>
      </c>
      <c r="K3555" s="17" t="str">
        <f t="shared" si="558"/>
        <v>Ecart négatif</v>
      </c>
      <c r="L3555" s="16">
        <f>base!X3555</f>
        <v>0</v>
      </c>
      <c r="M3555" s="11">
        <f t="shared" si="554"/>
        <v>0</v>
      </c>
      <c r="N3555" s="11">
        <f t="shared" si="555"/>
        <v>2.6999999999999997</v>
      </c>
      <c r="O3555" s="11">
        <f t="shared" si="556"/>
        <v>0.11999999999999998</v>
      </c>
      <c r="P3555" s="12">
        <f t="shared" si="557"/>
        <v>-2.6999999999999997</v>
      </c>
      <c r="Q3555" s="17" t="str">
        <f t="shared" si="559"/>
        <v>Ecart négatif</v>
      </c>
    </row>
    <row r="3556" spans="1:18" x14ac:dyDescent="0.3">
      <c r="A3556" s="34" t="str">
        <f>base!J3556</f>
        <v>RM</v>
      </c>
      <c r="B3556" s="34" t="str">
        <f>base!V3556</f>
        <v>70000</v>
      </c>
      <c r="C3556" s="37">
        <v>70</v>
      </c>
      <c r="D3556" s="36">
        <f>base!H3556</f>
        <v>22.5</v>
      </c>
      <c r="E3556" s="44"/>
      <c r="F3556" s="16">
        <f>base!W3556</f>
        <v>0</v>
      </c>
      <c r="G3556" s="11">
        <f t="shared" si="550"/>
        <v>0</v>
      </c>
      <c r="H3556" s="11">
        <f t="shared" si="551"/>
        <v>5.3999999999999995</v>
      </c>
      <c r="I3556" s="11">
        <f t="shared" si="552"/>
        <v>0.23999999999999996</v>
      </c>
      <c r="J3556" s="12">
        <f t="shared" si="553"/>
        <v>-5.3999999999999995</v>
      </c>
      <c r="K3556" s="17" t="str">
        <f t="shared" si="558"/>
        <v>Ecart négatif</v>
      </c>
      <c r="L3556" s="16">
        <f>base!X3556</f>
        <v>0</v>
      </c>
      <c r="M3556" s="11">
        <f t="shared" si="554"/>
        <v>0</v>
      </c>
      <c r="N3556" s="11">
        <f t="shared" si="555"/>
        <v>2.6999999999999997</v>
      </c>
      <c r="O3556" s="11">
        <f t="shared" si="556"/>
        <v>0.11999999999999998</v>
      </c>
      <c r="P3556" s="12">
        <f t="shared" si="557"/>
        <v>-2.6999999999999997</v>
      </c>
      <c r="Q3556" s="17" t="str">
        <f t="shared" si="559"/>
        <v>Ecart négatif</v>
      </c>
    </row>
    <row r="3557" spans="1:18" x14ac:dyDescent="0.3">
      <c r="A3557" s="34" t="str">
        <f>base!J3557</f>
        <v>LM</v>
      </c>
      <c r="B3557" s="34" t="str">
        <f>base!V3557</f>
        <v>92000</v>
      </c>
      <c r="C3557" s="37">
        <v>92</v>
      </c>
      <c r="D3557" s="36">
        <f>base!H3557</f>
        <v>50.84</v>
      </c>
      <c r="E3557" s="44"/>
      <c r="F3557" s="16">
        <f>base!W3557</f>
        <v>0</v>
      </c>
      <c r="G3557" s="11">
        <f t="shared" si="550"/>
        <v>0</v>
      </c>
      <c r="H3557" s="11">
        <f t="shared" si="551"/>
        <v>0</v>
      </c>
      <c r="I3557" s="11">
        <f t="shared" si="552"/>
        <v>0</v>
      </c>
      <c r="J3557" s="12">
        <f t="shared" si="553"/>
        <v>0</v>
      </c>
      <c r="K3557" s="17" t="str">
        <f t="shared" si="558"/>
        <v>Pas d'écart</v>
      </c>
      <c r="L3557" s="16">
        <f>base!X3557</f>
        <v>0</v>
      </c>
      <c r="M3557" s="11">
        <f t="shared" si="554"/>
        <v>0</v>
      </c>
      <c r="N3557" s="11">
        <f t="shared" si="555"/>
        <v>0</v>
      </c>
      <c r="O3557" s="11">
        <f t="shared" si="556"/>
        <v>0</v>
      </c>
      <c r="P3557" s="12">
        <f t="shared" si="557"/>
        <v>0</v>
      </c>
      <c r="Q3557" s="17" t="str">
        <f t="shared" si="559"/>
        <v>Pas d'écart</v>
      </c>
    </row>
    <row r="3558" spans="1:18" x14ac:dyDescent="0.3">
      <c r="A3558" s="34" t="str">
        <f>base!J3558</f>
        <v>RM</v>
      </c>
      <c r="B3558" s="34" t="str">
        <f>base!V3558</f>
        <v>63800</v>
      </c>
      <c r="C3558" s="37">
        <v>63</v>
      </c>
      <c r="D3558" s="36">
        <f>base!H3558</f>
        <v>140</v>
      </c>
      <c r="E3558" s="44"/>
      <c r="F3558" s="16">
        <f>base!W3558</f>
        <v>0</v>
      </c>
      <c r="G3558" s="11">
        <f t="shared" si="550"/>
        <v>0</v>
      </c>
      <c r="H3558" s="11">
        <f t="shared" si="551"/>
        <v>40.599999999999994</v>
      </c>
      <c r="I3558" s="11">
        <f t="shared" si="552"/>
        <v>0.28999999999999998</v>
      </c>
      <c r="J3558" s="12">
        <f t="shared" si="553"/>
        <v>-40.599999999999994</v>
      </c>
      <c r="K3558" s="17" t="str">
        <f t="shared" si="558"/>
        <v>Ecart négatif</v>
      </c>
      <c r="L3558" s="16">
        <f>base!X3558</f>
        <v>16.8</v>
      </c>
      <c r="M3558" s="11">
        <f t="shared" si="554"/>
        <v>0.12000000000000001</v>
      </c>
      <c r="N3558" s="11">
        <f t="shared" si="555"/>
        <v>16.8</v>
      </c>
      <c r="O3558" s="11">
        <f t="shared" si="556"/>
        <v>0.12000000000000001</v>
      </c>
      <c r="P3558" s="12">
        <f t="shared" si="557"/>
        <v>0</v>
      </c>
      <c r="Q3558" s="17" t="str">
        <f t="shared" si="559"/>
        <v>Pas d'écart</v>
      </c>
      <c r="R3558" s="38"/>
    </row>
    <row r="3559" spans="1:18" x14ac:dyDescent="0.3">
      <c r="A3559" s="34" t="str">
        <f>base!J3559</f>
        <v>DLM</v>
      </c>
      <c r="B3559" s="34" t="str">
        <f>base!V3559</f>
        <v>69003</v>
      </c>
      <c r="C3559" s="37">
        <v>69</v>
      </c>
      <c r="D3559" s="36">
        <f>base!H3559</f>
        <v>52.5</v>
      </c>
      <c r="E3559" s="44"/>
      <c r="F3559" s="16">
        <f>base!W3559</f>
        <v>0</v>
      </c>
      <c r="G3559" s="11">
        <f t="shared" si="550"/>
        <v>0</v>
      </c>
      <c r="H3559" s="11">
        <f t="shared" si="551"/>
        <v>14.175000000000001</v>
      </c>
      <c r="I3559" s="11">
        <f t="shared" si="552"/>
        <v>0.27</v>
      </c>
      <c r="J3559" s="12">
        <f t="shared" si="553"/>
        <v>-14.175000000000001</v>
      </c>
      <c r="K3559" s="17" t="str">
        <f t="shared" si="558"/>
        <v>Ecart négatif</v>
      </c>
      <c r="L3559" s="16">
        <f>base!X3559</f>
        <v>0</v>
      </c>
      <c r="M3559" s="11">
        <f t="shared" si="554"/>
        <v>0</v>
      </c>
      <c r="N3559" s="11">
        <f t="shared" si="555"/>
        <v>0</v>
      </c>
      <c r="O3559" s="11">
        <f t="shared" si="556"/>
        <v>0</v>
      </c>
      <c r="P3559" s="12">
        <f t="shared" si="557"/>
        <v>0</v>
      </c>
      <c r="Q3559" s="17" t="str">
        <f t="shared" si="559"/>
        <v>Pas d'écart</v>
      </c>
    </row>
    <row r="3560" spans="1:18" x14ac:dyDescent="0.3">
      <c r="A3560" s="34" t="str">
        <f>base!J3560</f>
        <v>DLM</v>
      </c>
      <c r="B3560" s="34" t="str">
        <f>base!V3560</f>
        <v>69003</v>
      </c>
      <c r="C3560" s="37">
        <v>69</v>
      </c>
      <c r="D3560" s="36">
        <f>base!H3560</f>
        <v>52.5</v>
      </c>
      <c r="E3560" s="44"/>
      <c r="F3560" s="16">
        <f>base!W3560</f>
        <v>0</v>
      </c>
      <c r="G3560" s="11">
        <f t="shared" si="550"/>
        <v>0</v>
      </c>
      <c r="H3560" s="11">
        <f t="shared" si="551"/>
        <v>14.175000000000001</v>
      </c>
      <c r="I3560" s="11">
        <f t="shared" si="552"/>
        <v>0.27</v>
      </c>
      <c r="J3560" s="12">
        <f t="shared" si="553"/>
        <v>-14.175000000000001</v>
      </c>
      <c r="K3560" s="17" t="str">
        <f t="shared" si="558"/>
        <v>Ecart négatif</v>
      </c>
      <c r="L3560" s="16">
        <f>base!X3560</f>
        <v>0</v>
      </c>
      <c r="M3560" s="11">
        <f t="shared" si="554"/>
        <v>0</v>
      </c>
      <c r="N3560" s="11">
        <f t="shared" si="555"/>
        <v>0</v>
      </c>
      <c r="O3560" s="11">
        <f t="shared" si="556"/>
        <v>0</v>
      </c>
      <c r="P3560" s="12">
        <f t="shared" si="557"/>
        <v>0</v>
      </c>
      <c r="Q3560" s="17" t="str">
        <f t="shared" si="559"/>
        <v>Pas d'écart</v>
      </c>
    </row>
    <row r="3561" spans="1:18" x14ac:dyDescent="0.3">
      <c r="A3561" s="34" t="str">
        <f>base!J3561</f>
        <v>DLM</v>
      </c>
      <c r="B3561" s="34" t="str">
        <f>base!V3561</f>
        <v>44700</v>
      </c>
      <c r="C3561" s="37">
        <v>44</v>
      </c>
      <c r="D3561" s="36">
        <f>base!H3561</f>
        <v>52.5</v>
      </c>
      <c r="E3561" s="44"/>
      <c r="F3561" s="16">
        <f>base!W3561</f>
        <v>0</v>
      </c>
      <c r="G3561" s="11">
        <f t="shared" si="550"/>
        <v>0</v>
      </c>
      <c r="H3561" s="11">
        <f t="shared" si="551"/>
        <v>14.175000000000001</v>
      </c>
      <c r="I3561" s="11">
        <f t="shared" si="552"/>
        <v>0.27</v>
      </c>
      <c r="J3561" s="12">
        <f t="shared" si="553"/>
        <v>-14.175000000000001</v>
      </c>
      <c r="K3561" s="17" t="str">
        <f t="shared" si="558"/>
        <v>Ecart négatif</v>
      </c>
      <c r="L3561" s="16">
        <f>base!X3561</f>
        <v>0</v>
      </c>
      <c r="M3561" s="11">
        <f t="shared" si="554"/>
        <v>0</v>
      </c>
      <c r="N3561" s="11">
        <f t="shared" si="555"/>
        <v>0</v>
      </c>
      <c r="O3561" s="11">
        <f t="shared" si="556"/>
        <v>0</v>
      </c>
      <c r="P3561" s="12">
        <f t="shared" si="557"/>
        <v>0</v>
      </c>
      <c r="Q3561" s="17" t="str">
        <f t="shared" si="559"/>
        <v>Pas d'écart</v>
      </c>
    </row>
    <row r="3562" spans="1:18" x14ac:dyDescent="0.3">
      <c r="A3562" s="34" t="str">
        <f>base!J3562</f>
        <v>RS</v>
      </c>
      <c r="B3562" s="34" t="str">
        <f>base!V3562</f>
        <v>75004</v>
      </c>
      <c r="C3562" s="37">
        <v>75</v>
      </c>
      <c r="D3562" s="36">
        <f>base!H3562</f>
        <v>40</v>
      </c>
      <c r="E3562" s="44"/>
      <c r="F3562" s="16">
        <f>base!W3562</f>
        <v>0</v>
      </c>
      <c r="G3562" s="11">
        <f t="shared" si="550"/>
        <v>0</v>
      </c>
      <c r="H3562" s="11">
        <f t="shared" si="551"/>
        <v>0</v>
      </c>
      <c r="I3562" s="11">
        <f t="shared" si="552"/>
        <v>0</v>
      </c>
      <c r="J3562" s="12">
        <f t="shared" si="553"/>
        <v>0</v>
      </c>
      <c r="K3562" s="17" t="str">
        <f t="shared" si="558"/>
        <v>Pas d'écart</v>
      </c>
      <c r="L3562" s="16">
        <f>base!X3562</f>
        <v>0</v>
      </c>
      <c r="M3562" s="11">
        <f t="shared" si="554"/>
        <v>0</v>
      </c>
      <c r="N3562" s="11">
        <f t="shared" si="555"/>
        <v>0</v>
      </c>
      <c r="O3562" s="11">
        <f t="shared" si="556"/>
        <v>0</v>
      </c>
      <c r="P3562" s="12">
        <f t="shared" si="557"/>
        <v>0</v>
      </c>
      <c r="Q3562" s="17" t="str">
        <f t="shared" si="559"/>
        <v>Pas d'écart</v>
      </c>
    </row>
    <row r="3563" spans="1:18" x14ac:dyDescent="0.3">
      <c r="A3563" s="34" t="str">
        <f>base!J3563</f>
        <v>RS</v>
      </c>
      <c r="B3563" s="34" t="str">
        <f>base!V3563</f>
        <v>75010</v>
      </c>
      <c r="C3563" s="37">
        <v>75</v>
      </c>
      <c r="D3563" s="36">
        <f>base!H3563</f>
        <v>140</v>
      </c>
      <c r="E3563" s="44"/>
      <c r="F3563" s="16">
        <f>base!W3563</f>
        <v>0</v>
      </c>
      <c r="G3563" s="11">
        <f t="shared" si="550"/>
        <v>0</v>
      </c>
      <c r="H3563" s="11">
        <f t="shared" si="551"/>
        <v>0</v>
      </c>
      <c r="I3563" s="11">
        <f t="shared" si="552"/>
        <v>0</v>
      </c>
      <c r="J3563" s="12">
        <f t="shared" si="553"/>
        <v>0</v>
      </c>
      <c r="K3563" s="17" t="str">
        <f t="shared" si="558"/>
        <v>Pas d'écart</v>
      </c>
      <c r="L3563" s="16">
        <f>base!X3563</f>
        <v>0</v>
      </c>
      <c r="M3563" s="11">
        <f t="shared" si="554"/>
        <v>0</v>
      </c>
      <c r="N3563" s="11">
        <f t="shared" si="555"/>
        <v>0</v>
      </c>
      <c r="O3563" s="11">
        <f t="shared" si="556"/>
        <v>0</v>
      </c>
      <c r="P3563" s="12">
        <f t="shared" si="557"/>
        <v>0</v>
      </c>
      <c r="Q3563" s="17" t="str">
        <f t="shared" si="559"/>
        <v>Pas d'écart</v>
      </c>
    </row>
    <row r="3564" spans="1:18" x14ac:dyDescent="0.3">
      <c r="A3564" s="34" t="str">
        <f>base!J3564</f>
        <v>RM</v>
      </c>
      <c r="B3564" s="34" t="str">
        <f>base!V3564</f>
        <v>13001</v>
      </c>
      <c r="C3564" s="37">
        <v>13</v>
      </c>
      <c r="D3564" s="36">
        <f>base!H3564</f>
        <v>250</v>
      </c>
      <c r="E3564" s="44"/>
      <c r="F3564" s="16">
        <f>base!W3564</f>
        <v>0</v>
      </c>
      <c r="G3564" s="11">
        <f t="shared" si="550"/>
        <v>0</v>
      </c>
      <c r="H3564" s="11">
        <f t="shared" si="551"/>
        <v>72.5</v>
      </c>
      <c r="I3564" s="11">
        <f t="shared" si="552"/>
        <v>0.28999999999999998</v>
      </c>
      <c r="J3564" s="12">
        <f t="shared" si="553"/>
        <v>-72.5</v>
      </c>
      <c r="K3564" s="17" t="str">
        <f t="shared" si="558"/>
        <v>Ecart négatif</v>
      </c>
      <c r="L3564" s="16">
        <f>base!X3564</f>
        <v>0</v>
      </c>
      <c r="M3564" s="11">
        <f t="shared" si="554"/>
        <v>0</v>
      </c>
      <c r="N3564" s="11">
        <f t="shared" si="555"/>
        <v>47.5</v>
      </c>
      <c r="O3564" s="11">
        <f t="shared" si="556"/>
        <v>0.19</v>
      </c>
      <c r="P3564" s="12">
        <f t="shared" si="557"/>
        <v>-47.5</v>
      </c>
      <c r="Q3564" s="17" t="str">
        <f t="shared" si="559"/>
        <v>Ecart négatif</v>
      </c>
    </row>
    <row r="3565" spans="1:18" x14ac:dyDescent="0.3">
      <c r="A3565" s="34" t="str">
        <f>base!J3565</f>
        <v>RM</v>
      </c>
      <c r="B3565" s="34" t="str">
        <f>base!V3565</f>
        <v>45400</v>
      </c>
      <c r="C3565" s="37">
        <v>45</v>
      </c>
      <c r="D3565" s="36">
        <f>base!H3565</f>
        <v>18.8</v>
      </c>
      <c r="E3565" s="44"/>
      <c r="F3565" s="16">
        <f>base!W3565</f>
        <v>0</v>
      </c>
      <c r="G3565" s="11">
        <f t="shared" si="550"/>
        <v>0</v>
      </c>
      <c r="H3565" s="11">
        <f t="shared" si="551"/>
        <v>3.948</v>
      </c>
      <c r="I3565" s="11">
        <f t="shared" si="552"/>
        <v>0.21</v>
      </c>
      <c r="J3565" s="12">
        <f t="shared" si="553"/>
        <v>-3.948</v>
      </c>
      <c r="K3565" s="17" t="str">
        <f t="shared" si="558"/>
        <v>Ecart négatif</v>
      </c>
      <c r="L3565" s="16">
        <f>base!X3565</f>
        <v>5.08</v>
      </c>
      <c r="M3565" s="11">
        <f t="shared" si="554"/>
        <v>0.27021276595744681</v>
      </c>
      <c r="N3565" s="11">
        <f t="shared" si="555"/>
        <v>2.2559999999999998</v>
      </c>
      <c r="O3565" s="11">
        <f t="shared" si="556"/>
        <v>0.11999999999999998</v>
      </c>
      <c r="P3565" s="12">
        <f t="shared" si="557"/>
        <v>2.8240000000000003</v>
      </c>
      <c r="Q3565" s="17" t="str">
        <f t="shared" si="559"/>
        <v>Ecart positif</v>
      </c>
      <c r="R3565" s="38"/>
    </row>
    <row r="3566" spans="1:18" x14ac:dyDescent="0.3">
      <c r="A3566" s="34" t="str">
        <f>base!J3566</f>
        <v>LM</v>
      </c>
      <c r="B3566" s="34" t="str">
        <f>base!V3566</f>
        <v>92000</v>
      </c>
      <c r="C3566" s="37">
        <v>92</v>
      </c>
      <c r="D3566" s="36">
        <f>base!H3566</f>
        <v>50.84</v>
      </c>
      <c r="E3566" s="44"/>
      <c r="F3566" s="16">
        <f>base!W3566</f>
        <v>0</v>
      </c>
      <c r="G3566" s="11">
        <f t="shared" si="550"/>
        <v>0</v>
      </c>
      <c r="H3566" s="11">
        <f t="shared" si="551"/>
        <v>0</v>
      </c>
      <c r="I3566" s="11">
        <f t="shared" si="552"/>
        <v>0</v>
      </c>
      <c r="J3566" s="12">
        <f t="shared" si="553"/>
        <v>0</v>
      </c>
      <c r="K3566" s="17" t="str">
        <f t="shared" si="558"/>
        <v>Pas d'écart</v>
      </c>
      <c r="L3566" s="16">
        <f>base!X3566</f>
        <v>0</v>
      </c>
      <c r="M3566" s="11">
        <f t="shared" si="554"/>
        <v>0</v>
      </c>
      <c r="N3566" s="11">
        <f t="shared" si="555"/>
        <v>0</v>
      </c>
      <c r="O3566" s="11">
        <f t="shared" si="556"/>
        <v>0</v>
      </c>
      <c r="P3566" s="12">
        <f t="shared" si="557"/>
        <v>0</v>
      </c>
      <c r="Q3566" s="17" t="str">
        <f t="shared" si="559"/>
        <v>Pas d'écart</v>
      </c>
    </row>
    <row r="3567" spans="1:18" x14ac:dyDescent="0.3">
      <c r="A3567" s="34" t="str">
        <f>base!J3567</f>
        <v>LM</v>
      </c>
      <c r="B3567" s="34" t="str">
        <f>base!V3567</f>
        <v>92000</v>
      </c>
      <c r="C3567" s="37">
        <v>92</v>
      </c>
      <c r="D3567" s="36">
        <f>base!H3567</f>
        <v>50.84</v>
      </c>
      <c r="E3567" s="44"/>
      <c r="F3567" s="16">
        <f>base!W3567</f>
        <v>0</v>
      </c>
      <c r="G3567" s="11">
        <f t="shared" si="550"/>
        <v>0</v>
      </c>
      <c r="H3567" s="11">
        <f t="shared" si="551"/>
        <v>0</v>
      </c>
      <c r="I3567" s="11">
        <f t="shared" si="552"/>
        <v>0</v>
      </c>
      <c r="J3567" s="12">
        <f t="shared" si="553"/>
        <v>0</v>
      </c>
      <c r="K3567" s="17" t="str">
        <f t="shared" si="558"/>
        <v>Pas d'écart</v>
      </c>
      <c r="L3567" s="16">
        <f>base!X3567</f>
        <v>0</v>
      </c>
      <c r="M3567" s="11">
        <f t="shared" si="554"/>
        <v>0</v>
      </c>
      <c r="N3567" s="11">
        <f t="shared" si="555"/>
        <v>0</v>
      </c>
      <c r="O3567" s="11">
        <f t="shared" si="556"/>
        <v>0</v>
      </c>
      <c r="P3567" s="12">
        <f t="shared" si="557"/>
        <v>0</v>
      </c>
      <c r="Q3567" s="17" t="str">
        <f t="shared" si="559"/>
        <v>Pas d'écart</v>
      </c>
    </row>
    <row r="3568" spans="1:18" x14ac:dyDescent="0.3">
      <c r="A3568" s="34" t="str">
        <f>base!J3568</f>
        <v>LM</v>
      </c>
      <c r="B3568" s="34" t="str">
        <f>base!V3568</f>
        <v>93013</v>
      </c>
      <c r="C3568" s="37">
        <v>93</v>
      </c>
      <c r="D3568" s="36">
        <f>base!H3568</f>
        <v>75.16</v>
      </c>
      <c r="E3568" s="44"/>
      <c r="F3568" s="16">
        <f>base!W3568</f>
        <v>0</v>
      </c>
      <c r="G3568" s="11">
        <f t="shared" si="550"/>
        <v>0</v>
      </c>
      <c r="H3568" s="11">
        <f t="shared" si="551"/>
        <v>0</v>
      </c>
      <c r="I3568" s="11">
        <f t="shared" si="552"/>
        <v>0</v>
      </c>
      <c r="J3568" s="12">
        <f t="shared" si="553"/>
        <v>0</v>
      </c>
      <c r="K3568" s="17" t="str">
        <f t="shared" si="558"/>
        <v>Pas d'écart</v>
      </c>
      <c r="L3568" s="16">
        <f>base!X3568</f>
        <v>0</v>
      </c>
      <c r="M3568" s="11">
        <f t="shared" si="554"/>
        <v>0</v>
      </c>
      <c r="N3568" s="11">
        <f t="shared" si="555"/>
        <v>0</v>
      </c>
      <c r="O3568" s="11">
        <f t="shared" si="556"/>
        <v>0</v>
      </c>
      <c r="P3568" s="12">
        <f t="shared" si="557"/>
        <v>0</v>
      </c>
      <c r="Q3568" s="17" t="str">
        <f t="shared" si="559"/>
        <v>Pas d'écart</v>
      </c>
    </row>
    <row r="3569" spans="1:18" x14ac:dyDescent="0.3">
      <c r="A3569" s="34" t="str">
        <f>base!J3569</f>
        <v>LM</v>
      </c>
      <c r="B3569" s="34" t="str">
        <f>base!V3569</f>
        <v>38230</v>
      </c>
      <c r="C3569" s="37">
        <v>69</v>
      </c>
      <c r="D3569" s="36">
        <f>base!H3569</f>
        <v>19.649999999999999</v>
      </c>
      <c r="E3569" s="44"/>
      <c r="F3569" s="16">
        <f>base!W3569</f>
        <v>5.31</v>
      </c>
      <c r="G3569" s="11">
        <f t="shared" si="550"/>
        <v>0.27022900763358776</v>
      </c>
      <c r="H3569" s="11">
        <f t="shared" si="551"/>
        <v>5.3055000000000003</v>
      </c>
      <c r="I3569" s="11">
        <f t="shared" si="552"/>
        <v>0.27</v>
      </c>
      <c r="J3569" s="12">
        <f t="shared" si="553"/>
        <v>4.4999999999992824E-3</v>
      </c>
      <c r="K3569" s="17" t="str">
        <f t="shared" si="558"/>
        <v>Ecart positif</v>
      </c>
      <c r="L3569" s="16">
        <f>base!X3569</f>
        <v>0</v>
      </c>
      <c r="M3569" s="11">
        <f t="shared" si="554"/>
        <v>0</v>
      </c>
      <c r="N3569" s="11">
        <f t="shared" si="555"/>
        <v>0</v>
      </c>
      <c r="O3569" s="11">
        <f t="shared" si="556"/>
        <v>0</v>
      </c>
      <c r="P3569" s="12">
        <f t="shared" si="557"/>
        <v>0</v>
      </c>
      <c r="Q3569" s="17" t="str">
        <f t="shared" si="559"/>
        <v>Pas d'écart</v>
      </c>
    </row>
    <row r="3570" spans="1:18" x14ac:dyDescent="0.3">
      <c r="A3570" s="34" t="str">
        <f>base!J3570</f>
        <v>LM</v>
      </c>
      <c r="B3570" s="34" t="str">
        <f>base!V3570</f>
        <v>38300</v>
      </c>
      <c r="C3570" s="37">
        <v>69</v>
      </c>
      <c r="D3570" s="36">
        <f>base!H3570</f>
        <v>19.649999999999999</v>
      </c>
      <c r="E3570" s="44"/>
      <c r="F3570" s="16">
        <f>base!W3570</f>
        <v>5.31</v>
      </c>
      <c r="G3570" s="11">
        <f t="shared" si="550"/>
        <v>0.27022900763358776</v>
      </c>
      <c r="H3570" s="11">
        <f t="shared" si="551"/>
        <v>5.3055000000000003</v>
      </c>
      <c r="I3570" s="11">
        <f t="shared" si="552"/>
        <v>0.27</v>
      </c>
      <c r="J3570" s="12">
        <f t="shared" si="553"/>
        <v>4.4999999999992824E-3</v>
      </c>
      <c r="K3570" s="17" t="str">
        <f t="shared" si="558"/>
        <v>Ecart positif</v>
      </c>
      <c r="L3570" s="16">
        <f>base!X3570</f>
        <v>0</v>
      </c>
      <c r="M3570" s="11">
        <f t="shared" si="554"/>
        <v>0</v>
      </c>
      <c r="N3570" s="11">
        <f t="shared" si="555"/>
        <v>0</v>
      </c>
      <c r="O3570" s="11">
        <f t="shared" si="556"/>
        <v>0</v>
      </c>
      <c r="P3570" s="12">
        <f t="shared" si="557"/>
        <v>0</v>
      </c>
      <c r="Q3570" s="17" t="str">
        <f t="shared" si="559"/>
        <v>Pas d'écart</v>
      </c>
    </row>
    <row r="3571" spans="1:18" x14ac:dyDescent="0.3">
      <c r="A3571" s="34" t="str">
        <f>base!J3571</f>
        <v>RM</v>
      </c>
      <c r="B3571" s="34" t="str">
        <f>base!V3571</f>
        <v>13400</v>
      </c>
      <c r="C3571" s="37">
        <v>13</v>
      </c>
      <c r="D3571" s="36">
        <f>base!H3571</f>
        <v>70</v>
      </c>
      <c r="E3571" s="44"/>
      <c r="F3571" s="16">
        <f>base!W3571</f>
        <v>0</v>
      </c>
      <c r="G3571" s="11">
        <f t="shared" si="550"/>
        <v>0</v>
      </c>
      <c r="H3571" s="11">
        <f t="shared" si="551"/>
        <v>20.299999999999997</v>
      </c>
      <c r="I3571" s="11">
        <f t="shared" si="552"/>
        <v>0.28999999999999998</v>
      </c>
      <c r="J3571" s="12">
        <f t="shared" si="553"/>
        <v>-20.299999999999997</v>
      </c>
      <c r="K3571" s="17" t="str">
        <f t="shared" si="558"/>
        <v>Ecart négatif</v>
      </c>
      <c r="L3571" s="16">
        <f>base!X3571</f>
        <v>0</v>
      </c>
      <c r="M3571" s="11">
        <f t="shared" si="554"/>
        <v>0</v>
      </c>
      <c r="N3571" s="11">
        <f t="shared" si="555"/>
        <v>13.3</v>
      </c>
      <c r="O3571" s="11">
        <f t="shared" si="556"/>
        <v>0.19</v>
      </c>
      <c r="P3571" s="12">
        <f t="shared" si="557"/>
        <v>-13.3</v>
      </c>
      <c r="Q3571" s="17" t="str">
        <f t="shared" si="559"/>
        <v>Ecart négatif</v>
      </c>
    </row>
    <row r="3572" spans="1:18" x14ac:dyDescent="0.3">
      <c r="A3572" s="34" t="str">
        <f>base!J3572</f>
        <v>RS</v>
      </c>
      <c r="B3572" s="34" t="str">
        <f>base!V3572</f>
        <v>63500</v>
      </c>
      <c r="C3572" s="37">
        <v>63</v>
      </c>
      <c r="D3572" s="36">
        <f>base!H3572</f>
        <v>40</v>
      </c>
      <c r="E3572" s="44"/>
      <c r="F3572" s="16">
        <f>base!W3572</f>
        <v>0</v>
      </c>
      <c r="G3572" s="11">
        <f t="shared" si="550"/>
        <v>0</v>
      </c>
      <c r="H3572" s="11">
        <f t="shared" si="551"/>
        <v>11.6</v>
      </c>
      <c r="I3572" s="11">
        <f t="shared" si="552"/>
        <v>0.28999999999999998</v>
      </c>
      <c r="J3572" s="12">
        <f t="shared" si="553"/>
        <v>-11.6</v>
      </c>
      <c r="K3572" s="17" t="str">
        <f t="shared" si="558"/>
        <v>Ecart négatif</v>
      </c>
      <c r="L3572" s="16">
        <f>base!X3572</f>
        <v>4.8</v>
      </c>
      <c r="M3572" s="11">
        <f t="shared" si="554"/>
        <v>0.12</v>
      </c>
      <c r="N3572" s="11">
        <f t="shared" si="555"/>
        <v>4.8</v>
      </c>
      <c r="O3572" s="11">
        <f t="shared" si="556"/>
        <v>0.12</v>
      </c>
      <c r="P3572" s="12">
        <f t="shared" si="557"/>
        <v>0</v>
      </c>
      <c r="Q3572" s="17" t="str">
        <f t="shared" si="559"/>
        <v>Pas d'écart</v>
      </c>
      <c r="R3572" s="38"/>
    </row>
    <row r="3573" spans="1:18" x14ac:dyDescent="0.3">
      <c r="A3573" s="34" t="str">
        <f>base!J3573</f>
        <v>DRS</v>
      </c>
      <c r="B3573" s="34" t="str">
        <f>base!V3573</f>
        <v>49380</v>
      </c>
      <c r="C3573" s="37">
        <v>49</v>
      </c>
      <c r="D3573" s="36">
        <f>base!H3573</f>
        <v>70</v>
      </c>
      <c r="E3573" s="44"/>
      <c r="F3573" s="16">
        <f>base!W3573</f>
        <v>0</v>
      </c>
      <c r="G3573" s="11">
        <f t="shared" si="550"/>
        <v>0</v>
      </c>
      <c r="H3573" s="11">
        <f t="shared" si="551"/>
        <v>18.900000000000002</v>
      </c>
      <c r="I3573" s="11">
        <f t="shared" si="552"/>
        <v>0.27</v>
      </c>
      <c r="J3573" s="12">
        <f t="shared" si="553"/>
        <v>-18.900000000000002</v>
      </c>
      <c r="K3573" s="17" t="str">
        <f t="shared" si="558"/>
        <v>Ecart négatif</v>
      </c>
      <c r="L3573" s="16">
        <f>base!X3573</f>
        <v>0</v>
      </c>
      <c r="M3573" s="11">
        <f t="shared" si="554"/>
        <v>0</v>
      </c>
      <c r="N3573" s="11">
        <f t="shared" si="555"/>
        <v>0</v>
      </c>
      <c r="O3573" s="11">
        <f t="shared" si="556"/>
        <v>0</v>
      </c>
      <c r="P3573" s="12">
        <f t="shared" si="557"/>
        <v>0</v>
      </c>
      <c r="Q3573" s="17" t="str">
        <f t="shared" si="559"/>
        <v>Pas d'écart</v>
      </c>
    </row>
    <row r="3574" spans="1:18" x14ac:dyDescent="0.3">
      <c r="A3574" s="34" t="str">
        <f>base!J3574</f>
        <v>RM</v>
      </c>
      <c r="B3574" s="34" t="str">
        <f>base!V3574</f>
        <v>44000</v>
      </c>
      <c r="C3574" s="37">
        <v>44</v>
      </c>
      <c r="D3574" s="36">
        <f>base!H3574</f>
        <v>140</v>
      </c>
      <c r="E3574" s="44"/>
      <c r="F3574" s="16">
        <f>base!W3574</f>
        <v>0</v>
      </c>
      <c r="G3574" s="11">
        <f t="shared" si="550"/>
        <v>0</v>
      </c>
      <c r="H3574" s="11">
        <f t="shared" si="551"/>
        <v>37.800000000000004</v>
      </c>
      <c r="I3574" s="11">
        <f t="shared" si="552"/>
        <v>0.27</v>
      </c>
      <c r="J3574" s="12">
        <f t="shared" si="553"/>
        <v>-37.800000000000004</v>
      </c>
      <c r="K3574" s="17" t="str">
        <f t="shared" si="558"/>
        <v>Ecart négatif</v>
      </c>
      <c r="L3574" s="16">
        <f>base!X3574</f>
        <v>0</v>
      </c>
      <c r="M3574" s="11">
        <f t="shared" si="554"/>
        <v>0</v>
      </c>
      <c r="N3574" s="11">
        <f t="shared" si="555"/>
        <v>0</v>
      </c>
      <c r="O3574" s="11">
        <f t="shared" si="556"/>
        <v>0</v>
      </c>
      <c r="P3574" s="12">
        <f t="shared" si="557"/>
        <v>0</v>
      </c>
      <c r="Q3574" s="17" t="str">
        <f t="shared" si="559"/>
        <v>Pas d'écart</v>
      </c>
    </row>
    <row r="3575" spans="1:18" x14ac:dyDescent="0.3">
      <c r="A3575" s="34" t="str">
        <f>base!J3575</f>
        <v>DLS</v>
      </c>
      <c r="B3575" s="34" t="str">
        <f>base!V3575</f>
        <v>51100</v>
      </c>
      <c r="C3575" s="37">
        <v>51</v>
      </c>
      <c r="D3575" s="36">
        <f>base!H3575</f>
        <v>55</v>
      </c>
      <c r="E3575" s="44"/>
      <c r="F3575" s="16">
        <f>base!W3575</f>
        <v>0</v>
      </c>
      <c r="G3575" s="11">
        <f t="shared" si="550"/>
        <v>0</v>
      </c>
      <c r="H3575" s="11">
        <f t="shared" si="551"/>
        <v>13.75</v>
      </c>
      <c r="I3575" s="11">
        <f t="shared" si="552"/>
        <v>0.25</v>
      </c>
      <c r="J3575" s="12">
        <f t="shared" si="553"/>
        <v>-13.75</v>
      </c>
      <c r="K3575" s="17" t="str">
        <f t="shared" si="558"/>
        <v>Ecart négatif</v>
      </c>
      <c r="L3575" s="16">
        <f>base!X3575</f>
        <v>0</v>
      </c>
      <c r="M3575" s="11">
        <f t="shared" si="554"/>
        <v>0</v>
      </c>
      <c r="N3575" s="11">
        <f t="shared" si="555"/>
        <v>13.75</v>
      </c>
      <c r="O3575" s="11">
        <f t="shared" si="556"/>
        <v>0.25</v>
      </c>
      <c r="P3575" s="12">
        <f t="shared" si="557"/>
        <v>-13.75</v>
      </c>
      <c r="Q3575" s="17" t="str">
        <f t="shared" si="559"/>
        <v>Ecart négatif</v>
      </c>
    </row>
    <row r="3576" spans="1:18" x14ac:dyDescent="0.3">
      <c r="A3576" s="34" t="str">
        <f>base!J3576</f>
        <v>RS</v>
      </c>
      <c r="B3576" s="34" t="str">
        <f>base!V3576</f>
        <v>34000</v>
      </c>
      <c r="C3576" s="37">
        <v>34</v>
      </c>
      <c r="D3576" s="36">
        <f>base!H3576</f>
        <v>201.46</v>
      </c>
      <c r="E3576" s="44"/>
      <c r="F3576" s="16">
        <f>base!W3576</f>
        <v>0</v>
      </c>
      <c r="G3576" s="11">
        <f t="shared" si="550"/>
        <v>0</v>
      </c>
      <c r="H3576" s="11">
        <f t="shared" si="551"/>
        <v>78.569400000000002</v>
      </c>
      <c r="I3576" s="11">
        <f t="shared" si="552"/>
        <v>0.39</v>
      </c>
      <c r="J3576" s="12">
        <f t="shared" si="553"/>
        <v>-78.569400000000002</v>
      </c>
      <c r="K3576" s="17" t="str">
        <f t="shared" si="558"/>
        <v>Ecart négatif</v>
      </c>
      <c r="L3576" s="16">
        <f>base!X3576</f>
        <v>56.41</v>
      </c>
      <c r="M3576" s="11">
        <f t="shared" si="554"/>
        <v>0.28000595651742277</v>
      </c>
      <c r="N3576" s="11">
        <f t="shared" si="555"/>
        <v>56.408800000000006</v>
      </c>
      <c r="O3576" s="11">
        <f t="shared" si="556"/>
        <v>0.28000000000000003</v>
      </c>
      <c r="P3576" s="12">
        <f t="shared" si="557"/>
        <v>1.1999999999900979E-3</v>
      </c>
      <c r="Q3576" s="17" t="str">
        <f t="shared" si="559"/>
        <v>Ecart positif</v>
      </c>
      <c r="R3576" s="38"/>
    </row>
    <row r="3577" spans="1:18" x14ac:dyDescent="0.3">
      <c r="A3577" s="34" t="str">
        <f>base!J3577</f>
        <v>RS</v>
      </c>
      <c r="B3577" s="34" t="str">
        <f>base!V3577</f>
        <v>89140</v>
      </c>
      <c r="C3577" s="37">
        <v>89</v>
      </c>
      <c r="D3577" s="36">
        <f>base!H3577</f>
        <v>140</v>
      </c>
      <c r="E3577" s="44"/>
      <c r="F3577" s="16">
        <f>base!W3577</f>
        <v>0</v>
      </c>
      <c r="G3577" s="11">
        <f t="shared" si="550"/>
        <v>0</v>
      </c>
      <c r="H3577" s="11">
        <f t="shared" si="551"/>
        <v>32.200000000000003</v>
      </c>
      <c r="I3577" s="11">
        <f t="shared" si="552"/>
        <v>0.23</v>
      </c>
      <c r="J3577" s="12">
        <f t="shared" si="553"/>
        <v>-32.200000000000003</v>
      </c>
      <c r="K3577" s="17" t="str">
        <f t="shared" si="558"/>
        <v>Ecart négatif</v>
      </c>
      <c r="L3577" s="16">
        <f>base!X3577</f>
        <v>16.8</v>
      </c>
      <c r="M3577" s="11">
        <f t="shared" si="554"/>
        <v>0.12000000000000001</v>
      </c>
      <c r="N3577" s="11">
        <f t="shared" si="555"/>
        <v>16.8</v>
      </c>
      <c r="O3577" s="11">
        <f t="shared" si="556"/>
        <v>0.12000000000000001</v>
      </c>
      <c r="P3577" s="12">
        <f t="shared" si="557"/>
        <v>0</v>
      </c>
      <c r="Q3577" s="17" t="str">
        <f t="shared" si="559"/>
        <v>Pas d'écart</v>
      </c>
      <c r="R3577" s="38"/>
    </row>
    <row r="3578" spans="1:18" x14ac:dyDescent="0.3">
      <c r="A3578" s="34" t="str">
        <f>base!J3578</f>
        <v>RM</v>
      </c>
      <c r="B3578" s="34" t="str">
        <f>base!V3578</f>
        <v>92400</v>
      </c>
      <c r="C3578" s="37">
        <v>92</v>
      </c>
      <c r="D3578" s="36">
        <f>base!H3578</f>
        <v>29.59</v>
      </c>
      <c r="E3578" s="44"/>
      <c r="F3578" s="16">
        <f>base!W3578</f>
        <v>0</v>
      </c>
      <c r="G3578" s="11">
        <f t="shared" si="550"/>
        <v>0</v>
      </c>
      <c r="H3578" s="11">
        <f t="shared" si="551"/>
        <v>0</v>
      </c>
      <c r="I3578" s="11">
        <f t="shared" si="552"/>
        <v>0</v>
      </c>
      <c r="J3578" s="12">
        <f t="shared" si="553"/>
        <v>0</v>
      </c>
      <c r="K3578" s="17" t="str">
        <f t="shared" si="558"/>
        <v>Pas d'écart</v>
      </c>
      <c r="L3578" s="16">
        <f>base!X3578</f>
        <v>0</v>
      </c>
      <c r="M3578" s="11">
        <f t="shared" si="554"/>
        <v>0</v>
      </c>
      <c r="N3578" s="11">
        <f t="shared" si="555"/>
        <v>0</v>
      </c>
      <c r="O3578" s="11">
        <f t="shared" si="556"/>
        <v>0</v>
      </c>
      <c r="P3578" s="12">
        <f t="shared" si="557"/>
        <v>0</v>
      </c>
      <c r="Q3578" s="17" t="str">
        <f t="shared" si="559"/>
        <v>Pas d'écart</v>
      </c>
    </row>
    <row r="3579" spans="1:18" x14ac:dyDescent="0.3">
      <c r="A3579" s="34" t="str">
        <f>base!J3579</f>
        <v>DLM</v>
      </c>
      <c r="B3579" s="34" t="str">
        <f>base!V3579</f>
        <v>57000</v>
      </c>
      <c r="C3579" s="37">
        <v>57</v>
      </c>
      <c r="D3579" s="36">
        <f>base!H3579</f>
        <v>32</v>
      </c>
      <c r="E3579" s="44"/>
      <c r="F3579" s="16">
        <f>base!W3579</f>
        <v>0</v>
      </c>
      <c r="G3579" s="11">
        <f t="shared" si="550"/>
        <v>0</v>
      </c>
      <c r="H3579" s="11">
        <f t="shared" si="551"/>
        <v>7.68</v>
      </c>
      <c r="I3579" s="11">
        <f t="shared" si="552"/>
        <v>0.24</v>
      </c>
      <c r="J3579" s="12">
        <f t="shared" si="553"/>
        <v>-7.68</v>
      </c>
      <c r="K3579" s="17" t="str">
        <f t="shared" si="558"/>
        <v>Ecart négatif</v>
      </c>
      <c r="L3579" s="16">
        <f>base!X3579</f>
        <v>0</v>
      </c>
      <c r="M3579" s="11">
        <f t="shared" si="554"/>
        <v>0</v>
      </c>
      <c r="N3579" s="11">
        <f t="shared" si="555"/>
        <v>8</v>
      </c>
      <c r="O3579" s="11">
        <f t="shared" si="556"/>
        <v>0.25</v>
      </c>
      <c r="P3579" s="12">
        <f t="shared" si="557"/>
        <v>-8</v>
      </c>
      <c r="Q3579" s="17" t="str">
        <f t="shared" si="559"/>
        <v>Ecart négatif</v>
      </c>
    </row>
    <row r="3580" spans="1:18" x14ac:dyDescent="0.3">
      <c r="A3580" s="34" t="str">
        <f>base!J3580</f>
        <v>RS</v>
      </c>
      <c r="B3580" s="34" t="str">
        <f>base!V3580</f>
        <v>67000</v>
      </c>
      <c r="C3580" s="37">
        <v>67</v>
      </c>
      <c r="D3580" s="36">
        <f>base!H3580</f>
        <v>185.4</v>
      </c>
      <c r="E3580" s="44"/>
      <c r="F3580" s="16">
        <f>base!W3580</f>
        <v>0</v>
      </c>
      <c r="G3580" s="11">
        <f t="shared" si="550"/>
        <v>0</v>
      </c>
      <c r="H3580" s="11">
        <f t="shared" si="551"/>
        <v>53.765999999999998</v>
      </c>
      <c r="I3580" s="11">
        <f t="shared" si="552"/>
        <v>0.28999999999999998</v>
      </c>
      <c r="J3580" s="12">
        <f t="shared" si="553"/>
        <v>-53.765999999999998</v>
      </c>
      <c r="K3580" s="17" t="str">
        <f t="shared" si="558"/>
        <v>Ecart négatif</v>
      </c>
      <c r="L3580" s="16">
        <f>base!X3580</f>
        <v>14.83</v>
      </c>
      <c r="M3580" s="11">
        <f t="shared" si="554"/>
        <v>7.9989212513484356E-2</v>
      </c>
      <c r="N3580" s="11">
        <f t="shared" si="555"/>
        <v>14.832000000000001</v>
      </c>
      <c r="O3580" s="11">
        <f t="shared" si="556"/>
        <v>0.08</v>
      </c>
      <c r="P3580" s="12">
        <f t="shared" si="557"/>
        <v>-2.0000000000006679E-3</v>
      </c>
      <c r="Q3580" s="17" t="str">
        <f t="shared" si="559"/>
        <v>Ecart négatif</v>
      </c>
      <c r="R3580" s="38"/>
    </row>
    <row r="3581" spans="1:18" x14ac:dyDescent="0.3">
      <c r="A3581" s="34" t="str">
        <f>base!J3581</f>
        <v>RM</v>
      </c>
      <c r="B3581" s="34" t="str">
        <f>base!V3581</f>
        <v>06560</v>
      </c>
      <c r="C3581" s="37">
        <v>6</v>
      </c>
      <c r="D3581" s="36">
        <f>base!H3581</f>
        <v>151</v>
      </c>
      <c r="E3581" s="44"/>
      <c r="F3581" s="16">
        <f>base!W3581</f>
        <v>0</v>
      </c>
      <c r="G3581" s="11">
        <f t="shared" si="550"/>
        <v>0</v>
      </c>
      <c r="H3581" s="11">
        <f t="shared" si="551"/>
        <v>45.3</v>
      </c>
      <c r="I3581" s="11">
        <f t="shared" si="552"/>
        <v>0.3</v>
      </c>
      <c r="J3581" s="12">
        <f t="shared" si="553"/>
        <v>-45.3</v>
      </c>
      <c r="K3581" s="17" t="str">
        <f t="shared" si="558"/>
        <v>Ecart négatif</v>
      </c>
      <c r="L3581" s="16">
        <f>base!X3581</f>
        <v>0</v>
      </c>
      <c r="M3581" s="11">
        <f t="shared" si="554"/>
        <v>0</v>
      </c>
      <c r="N3581" s="11">
        <f t="shared" si="555"/>
        <v>31.709999999999997</v>
      </c>
      <c r="O3581" s="11">
        <f t="shared" si="556"/>
        <v>0.21</v>
      </c>
      <c r="P3581" s="12">
        <f t="shared" si="557"/>
        <v>-31.709999999999997</v>
      </c>
      <c r="Q3581" s="17" t="str">
        <f t="shared" si="559"/>
        <v>Ecart négatif</v>
      </c>
    </row>
    <row r="3582" spans="1:18" x14ac:dyDescent="0.3">
      <c r="A3582" s="34" t="str">
        <f>base!J3582</f>
        <v>RM</v>
      </c>
      <c r="B3582" s="34" t="str">
        <f>base!V3582</f>
        <v>06560</v>
      </c>
      <c r="C3582" s="37">
        <v>6</v>
      </c>
      <c r="D3582" s="36">
        <f>base!H3582</f>
        <v>151</v>
      </c>
      <c r="E3582" s="44"/>
      <c r="F3582" s="16">
        <f>base!W3582</f>
        <v>0</v>
      </c>
      <c r="G3582" s="11">
        <f t="shared" si="550"/>
        <v>0</v>
      </c>
      <c r="H3582" s="11">
        <f t="shared" si="551"/>
        <v>45.3</v>
      </c>
      <c r="I3582" s="11">
        <f t="shared" si="552"/>
        <v>0.3</v>
      </c>
      <c r="J3582" s="12">
        <f t="shared" si="553"/>
        <v>-45.3</v>
      </c>
      <c r="K3582" s="17" t="str">
        <f t="shared" si="558"/>
        <v>Ecart négatif</v>
      </c>
      <c r="L3582" s="16">
        <f>base!X3582</f>
        <v>0</v>
      </c>
      <c r="M3582" s="11">
        <f t="shared" si="554"/>
        <v>0</v>
      </c>
      <c r="N3582" s="11">
        <f t="shared" si="555"/>
        <v>31.709999999999997</v>
      </c>
      <c r="O3582" s="11">
        <f t="shared" si="556"/>
        <v>0.21</v>
      </c>
      <c r="P3582" s="12">
        <f t="shared" si="557"/>
        <v>-31.709999999999997</v>
      </c>
      <c r="Q3582" s="17" t="str">
        <f t="shared" si="559"/>
        <v>Ecart négatif</v>
      </c>
    </row>
    <row r="3583" spans="1:18" x14ac:dyDescent="0.3">
      <c r="A3583" s="34" t="str">
        <f>base!J3583</f>
        <v>RS</v>
      </c>
      <c r="B3583" s="34" t="str">
        <f>base!V3583</f>
        <v>06560</v>
      </c>
      <c r="C3583" s="37">
        <v>6</v>
      </c>
      <c r="D3583" s="36">
        <f>base!H3583</f>
        <v>151</v>
      </c>
      <c r="E3583" s="44"/>
      <c r="F3583" s="16">
        <f>base!W3583</f>
        <v>0</v>
      </c>
      <c r="G3583" s="11">
        <f t="shared" si="550"/>
        <v>0</v>
      </c>
      <c r="H3583" s="11">
        <f t="shared" si="551"/>
        <v>45.3</v>
      </c>
      <c r="I3583" s="11">
        <f t="shared" si="552"/>
        <v>0.3</v>
      </c>
      <c r="J3583" s="12">
        <f t="shared" si="553"/>
        <v>-45.3</v>
      </c>
      <c r="K3583" s="17" t="str">
        <f t="shared" si="558"/>
        <v>Ecart négatif</v>
      </c>
      <c r="L3583" s="16">
        <f>base!X3583</f>
        <v>0</v>
      </c>
      <c r="M3583" s="11">
        <f t="shared" si="554"/>
        <v>0</v>
      </c>
      <c r="N3583" s="11">
        <f t="shared" si="555"/>
        <v>31.709999999999997</v>
      </c>
      <c r="O3583" s="11">
        <f t="shared" si="556"/>
        <v>0.21</v>
      </c>
      <c r="P3583" s="12">
        <f t="shared" si="557"/>
        <v>-31.709999999999997</v>
      </c>
      <c r="Q3583" s="17" t="str">
        <f t="shared" si="559"/>
        <v>Ecart négatif</v>
      </c>
    </row>
    <row r="3584" spans="1:18" x14ac:dyDescent="0.3">
      <c r="A3584" s="34" t="str">
        <f>base!J3584</f>
        <v>RM</v>
      </c>
      <c r="B3584" s="34" t="str">
        <f>base!V3584</f>
        <v>06560</v>
      </c>
      <c r="C3584" s="37">
        <v>6</v>
      </c>
      <c r="D3584" s="36">
        <f>base!H3584</f>
        <v>151</v>
      </c>
      <c r="E3584" s="44"/>
      <c r="F3584" s="16">
        <f>base!W3584</f>
        <v>0</v>
      </c>
      <c r="G3584" s="11">
        <f t="shared" si="550"/>
        <v>0</v>
      </c>
      <c r="H3584" s="11">
        <f t="shared" si="551"/>
        <v>45.3</v>
      </c>
      <c r="I3584" s="11">
        <f t="shared" si="552"/>
        <v>0.3</v>
      </c>
      <c r="J3584" s="12">
        <f t="shared" si="553"/>
        <v>-45.3</v>
      </c>
      <c r="K3584" s="17" t="str">
        <f t="shared" si="558"/>
        <v>Ecart négatif</v>
      </c>
      <c r="L3584" s="16">
        <f>base!X3584</f>
        <v>0</v>
      </c>
      <c r="M3584" s="11">
        <f t="shared" si="554"/>
        <v>0</v>
      </c>
      <c r="N3584" s="11">
        <f t="shared" si="555"/>
        <v>31.709999999999997</v>
      </c>
      <c r="O3584" s="11">
        <f t="shared" si="556"/>
        <v>0.21</v>
      </c>
      <c r="P3584" s="12">
        <f t="shared" si="557"/>
        <v>-31.709999999999997</v>
      </c>
      <c r="Q3584" s="17" t="str">
        <f t="shared" si="559"/>
        <v>Ecart négatif</v>
      </c>
    </row>
    <row r="3585" spans="1:18" x14ac:dyDescent="0.3">
      <c r="A3585" s="34">
        <f>base!J3585</f>
        <v>0</v>
      </c>
      <c r="B3585" s="34" t="str">
        <f>base!V3585</f>
        <v>77184</v>
      </c>
      <c r="C3585" s="37">
        <v>77</v>
      </c>
      <c r="D3585" s="36">
        <f>base!H3585</f>
        <v>25</v>
      </c>
      <c r="E3585" s="44"/>
      <c r="F3585" s="16">
        <f>base!W3585</f>
        <v>0</v>
      </c>
      <c r="G3585" s="11">
        <f t="shared" si="550"/>
        <v>0</v>
      </c>
      <c r="H3585" s="11">
        <f t="shared" si="551"/>
        <v>0</v>
      </c>
      <c r="I3585" s="11">
        <f t="shared" si="552"/>
        <v>0</v>
      </c>
      <c r="J3585" s="12">
        <f t="shared" si="553"/>
        <v>0</v>
      </c>
      <c r="K3585" s="17" t="str">
        <f t="shared" si="558"/>
        <v>Pas d'écart</v>
      </c>
      <c r="L3585" s="16">
        <f>base!X3585</f>
        <v>0</v>
      </c>
      <c r="M3585" s="11">
        <f t="shared" si="554"/>
        <v>0</v>
      </c>
      <c r="N3585" s="11">
        <f t="shared" si="555"/>
        <v>0</v>
      </c>
      <c r="O3585" s="11">
        <f t="shared" si="556"/>
        <v>0</v>
      </c>
      <c r="P3585" s="12">
        <f t="shared" si="557"/>
        <v>0</v>
      </c>
      <c r="Q3585" s="17" t="str">
        <f t="shared" si="559"/>
        <v>Pas d'écart</v>
      </c>
    </row>
    <row r="3586" spans="1:18" x14ac:dyDescent="0.3">
      <c r="A3586" s="34" t="str">
        <f>base!J3586</f>
        <v>DLM</v>
      </c>
      <c r="B3586" s="34" t="str">
        <f>base!V3586</f>
        <v>45000</v>
      </c>
      <c r="C3586" s="37">
        <v>45</v>
      </c>
      <c r="D3586" s="36">
        <f>base!H3586</f>
        <v>140</v>
      </c>
      <c r="E3586" s="44"/>
      <c r="F3586" s="16">
        <f>base!W3586</f>
        <v>0</v>
      </c>
      <c r="G3586" s="11">
        <f t="shared" ref="G3586:G3649" si="560">F3586/D3586</f>
        <v>0</v>
      </c>
      <c r="H3586" s="11">
        <f t="shared" ref="H3586:H3649" si="561">VLOOKUP(C3586,tout_cout_traction,2,FALSE)*D3586</f>
        <v>29.4</v>
      </c>
      <c r="I3586" s="11">
        <f t="shared" ref="I3586:I3649" si="562">H3586/D3586</f>
        <v>0.21</v>
      </c>
      <c r="J3586" s="12">
        <f t="shared" ref="J3586:J3649" si="563">F3586-H3586</f>
        <v>-29.4</v>
      </c>
      <c r="K3586" s="17" t="str">
        <f t="shared" si="558"/>
        <v>Ecart négatif</v>
      </c>
      <c r="L3586" s="16">
        <f>base!X3586</f>
        <v>0</v>
      </c>
      <c r="M3586" s="11">
        <f t="shared" ref="M3586:M3649" si="564">L3586/D3586</f>
        <v>0</v>
      </c>
      <c r="N3586" s="11">
        <f t="shared" ref="N3586:N3649" si="565">VLOOKUP(C3586,tout_cout_traction,3,FALSE)*D3586</f>
        <v>16.8</v>
      </c>
      <c r="O3586" s="11">
        <f t="shared" ref="O3586:O3649" si="566">N3586/D3586</f>
        <v>0.12000000000000001</v>
      </c>
      <c r="P3586" s="12">
        <f t="shared" ref="P3586:P3649" si="567">L3586-N3586</f>
        <v>-16.8</v>
      </c>
      <c r="Q3586" s="17" t="str">
        <f t="shared" si="559"/>
        <v>Ecart négatif</v>
      </c>
    </row>
    <row r="3587" spans="1:18" x14ac:dyDescent="0.3">
      <c r="A3587" s="34" t="str">
        <f>base!J3587</f>
        <v>RS</v>
      </c>
      <c r="B3587" s="34" t="str">
        <f>base!V3587</f>
        <v>37000</v>
      </c>
      <c r="C3587" s="37">
        <v>37</v>
      </c>
      <c r="D3587" s="36">
        <f>base!H3587</f>
        <v>325</v>
      </c>
      <c r="E3587" s="44"/>
      <c r="F3587" s="16">
        <f>base!W3587</f>
        <v>0</v>
      </c>
      <c r="G3587" s="11">
        <f t="shared" si="560"/>
        <v>0</v>
      </c>
      <c r="H3587" s="11">
        <f t="shared" si="561"/>
        <v>61.75</v>
      </c>
      <c r="I3587" s="11">
        <f t="shared" si="562"/>
        <v>0.19</v>
      </c>
      <c r="J3587" s="12">
        <f t="shared" si="563"/>
        <v>-61.75</v>
      </c>
      <c r="K3587" s="17" t="str">
        <f t="shared" ref="K3587:K3650" si="568">IF(H3587=F3587,"Pas d'écart",IF(H3587&lt;F3587,"Ecart positif",IF(H3587&gt;F3587,"Ecart négatif")))</f>
        <v>Ecart négatif</v>
      </c>
      <c r="L3587" s="16">
        <f>base!X3587</f>
        <v>39</v>
      </c>
      <c r="M3587" s="11">
        <f t="shared" si="564"/>
        <v>0.12</v>
      </c>
      <c r="N3587" s="11">
        <f t="shared" si="565"/>
        <v>39</v>
      </c>
      <c r="O3587" s="11">
        <f t="shared" si="566"/>
        <v>0.12</v>
      </c>
      <c r="P3587" s="12">
        <f t="shared" si="567"/>
        <v>0</v>
      </c>
      <c r="Q3587" s="17" t="str">
        <f t="shared" ref="Q3587:Q3650" si="569">IF(N3587=L3587,"Pas d'écart",IF(N3587&lt;L3587,"Ecart positif",IF(N3587&gt;L3587,"Ecart négatif")))</f>
        <v>Pas d'écart</v>
      </c>
      <c r="R3587" s="38"/>
    </row>
    <row r="3588" spans="1:18" x14ac:dyDescent="0.3">
      <c r="A3588" s="34" t="str">
        <f>base!J3588</f>
        <v>RS</v>
      </c>
      <c r="B3588" s="34" t="str">
        <f>base!V3588</f>
        <v>54290</v>
      </c>
      <c r="C3588" s="37">
        <v>54</v>
      </c>
      <c r="D3588" s="36">
        <f>base!H3588</f>
        <v>4.54</v>
      </c>
      <c r="E3588" s="44"/>
      <c r="F3588" s="16">
        <f>base!W3588</f>
        <v>0</v>
      </c>
      <c r="G3588" s="11">
        <f t="shared" si="560"/>
        <v>0</v>
      </c>
      <c r="H3588" s="11">
        <f t="shared" si="561"/>
        <v>1.135</v>
      </c>
      <c r="I3588" s="11">
        <f t="shared" si="562"/>
        <v>0.25</v>
      </c>
      <c r="J3588" s="12">
        <f t="shared" si="563"/>
        <v>-1.135</v>
      </c>
      <c r="K3588" s="17" t="str">
        <f t="shared" si="568"/>
        <v>Ecart négatif</v>
      </c>
      <c r="L3588" s="16">
        <f>base!X3588</f>
        <v>1.1299999999999999</v>
      </c>
      <c r="M3588" s="11">
        <f t="shared" si="564"/>
        <v>0.24889867841409688</v>
      </c>
      <c r="N3588" s="11">
        <f t="shared" si="565"/>
        <v>1.135</v>
      </c>
      <c r="O3588" s="11">
        <f t="shared" si="566"/>
        <v>0.25</v>
      </c>
      <c r="P3588" s="12">
        <f t="shared" si="567"/>
        <v>-5.0000000000001155E-3</v>
      </c>
      <c r="Q3588" s="17" t="str">
        <f t="shared" si="569"/>
        <v>Ecart négatif</v>
      </c>
      <c r="R3588" s="38"/>
    </row>
    <row r="3589" spans="1:18" x14ac:dyDescent="0.3">
      <c r="A3589" s="34">
        <f>base!J3589</f>
        <v>0</v>
      </c>
      <c r="B3589" s="34" t="str">
        <f>base!V3589</f>
        <v>77184</v>
      </c>
      <c r="C3589" s="37">
        <v>77</v>
      </c>
      <c r="D3589" s="36">
        <f>base!H3589</f>
        <v>31</v>
      </c>
      <c r="E3589" s="44"/>
      <c r="F3589" s="16">
        <f>base!W3589</f>
        <v>0</v>
      </c>
      <c r="G3589" s="11">
        <f t="shared" si="560"/>
        <v>0</v>
      </c>
      <c r="H3589" s="11">
        <f t="shared" si="561"/>
        <v>0</v>
      </c>
      <c r="I3589" s="11">
        <f t="shared" si="562"/>
        <v>0</v>
      </c>
      <c r="J3589" s="12">
        <f t="shared" si="563"/>
        <v>0</v>
      </c>
      <c r="K3589" s="17" t="str">
        <f t="shared" si="568"/>
        <v>Pas d'écart</v>
      </c>
      <c r="L3589" s="16">
        <f>base!X3589</f>
        <v>0</v>
      </c>
      <c r="M3589" s="11">
        <f t="shared" si="564"/>
        <v>0</v>
      </c>
      <c r="N3589" s="11">
        <f t="shared" si="565"/>
        <v>0</v>
      </c>
      <c r="O3589" s="11">
        <f t="shared" si="566"/>
        <v>0</v>
      </c>
      <c r="P3589" s="12">
        <f t="shared" si="567"/>
        <v>0</v>
      </c>
      <c r="Q3589" s="17" t="str">
        <f t="shared" si="569"/>
        <v>Pas d'écart</v>
      </c>
    </row>
    <row r="3590" spans="1:18" x14ac:dyDescent="0.3">
      <c r="A3590" s="34" t="str">
        <f>base!J3590</f>
        <v>RS</v>
      </c>
      <c r="B3590" s="34" t="str">
        <f>base!V3590</f>
        <v>50110</v>
      </c>
      <c r="C3590" s="37">
        <v>50</v>
      </c>
      <c r="D3590" s="36">
        <f>base!H3590</f>
        <v>250</v>
      </c>
      <c r="E3590" s="44"/>
      <c r="F3590" s="16">
        <f>base!W3590</f>
        <v>0</v>
      </c>
      <c r="G3590" s="11">
        <f t="shared" si="560"/>
        <v>0</v>
      </c>
      <c r="H3590" s="11">
        <f t="shared" si="561"/>
        <v>42.5</v>
      </c>
      <c r="I3590" s="11">
        <f t="shared" si="562"/>
        <v>0.17</v>
      </c>
      <c r="J3590" s="12">
        <f t="shared" si="563"/>
        <v>-42.5</v>
      </c>
      <c r="K3590" s="17" t="str">
        <f t="shared" si="568"/>
        <v>Ecart négatif</v>
      </c>
      <c r="L3590" s="16">
        <f>base!X3590</f>
        <v>42.5</v>
      </c>
      <c r="M3590" s="11">
        <f t="shared" si="564"/>
        <v>0.17</v>
      </c>
      <c r="N3590" s="11">
        <f t="shared" si="565"/>
        <v>42.5</v>
      </c>
      <c r="O3590" s="11">
        <f t="shared" si="566"/>
        <v>0.17</v>
      </c>
      <c r="P3590" s="12">
        <f t="shared" si="567"/>
        <v>0</v>
      </c>
      <c r="Q3590" s="17" t="str">
        <f t="shared" si="569"/>
        <v>Pas d'écart</v>
      </c>
    </row>
    <row r="3591" spans="1:18" x14ac:dyDescent="0.3">
      <c r="A3591" s="34" t="str">
        <f>base!J3591</f>
        <v>RM</v>
      </c>
      <c r="B3591" s="34" t="str">
        <f>base!V3591</f>
        <v>75007</v>
      </c>
      <c r="C3591" s="37">
        <v>75</v>
      </c>
      <c r="D3591" s="36">
        <f>base!H3591</f>
        <v>180</v>
      </c>
      <c r="E3591" s="44"/>
      <c r="F3591" s="16">
        <f>base!W3591</f>
        <v>0</v>
      </c>
      <c r="G3591" s="11">
        <f t="shared" si="560"/>
        <v>0</v>
      </c>
      <c r="H3591" s="11">
        <f t="shared" si="561"/>
        <v>0</v>
      </c>
      <c r="I3591" s="11">
        <f t="shared" si="562"/>
        <v>0</v>
      </c>
      <c r="J3591" s="12">
        <f t="shared" si="563"/>
        <v>0</v>
      </c>
      <c r="K3591" s="17" t="str">
        <f t="shared" si="568"/>
        <v>Pas d'écart</v>
      </c>
      <c r="L3591" s="16">
        <f>base!X3591</f>
        <v>0</v>
      </c>
      <c r="M3591" s="11">
        <f t="shared" si="564"/>
        <v>0</v>
      </c>
      <c r="N3591" s="11">
        <f t="shared" si="565"/>
        <v>0</v>
      </c>
      <c r="O3591" s="11">
        <f t="shared" si="566"/>
        <v>0</v>
      </c>
      <c r="P3591" s="12">
        <f t="shared" si="567"/>
        <v>0</v>
      </c>
      <c r="Q3591" s="17" t="str">
        <f t="shared" si="569"/>
        <v>Pas d'écart</v>
      </c>
    </row>
    <row r="3592" spans="1:18" x14ac:dyDescent="0.3">
      <c r="A3592" s="34" t="str">
        <f>base!J3592</f>
        <v>RS</v>
      </c>
      <c r="B3592" s="34" t="str">
        <f>base!V3592</f>
        <v>76420</v>
      </c>
      <c r="C3592" s="37">
        <v>76</v>
      </c>
      <c r="D3592" s="36">
        <f>base!H3592</f>
        <v>140</v>
      </c>
      <c r="E3592" s="44"/>
      <c r="F3592" s="16">
        <f>base!W3592</f>
        <v>0</v>
      </c>
      <c r="G3592" s="11">
        <f t="shared" si="560"/>
        <v>0</v>
      </c>
      <c r="H3592" s="11">
        <f t="shared" si="561"/>
        <v>23.8</v>
      </c>
      <c r="I3592" s="11">
        <f t="shared" si="562"/>
        <v>0.17</v>
      </c>
      <c r="J3592" s="12">
        <f t="shared" si="563"/>
        <v>-23.8</v>
      </c>
      <c r="K3592" s="17" t="str">
        <f t="shared" si="568"/>
        <v>Ecart négatif</v>
      </c>
      <c r="L3592" s="16">
        <f>base!X3592</f>
        <v>23.8</v>
      </c>
      <c r="M3592" s="11">
        <f t="shared" si="564"/>
        <v>0.17</v>
      </c>
      <c r="N3592" s="11">
        <f t="shared" si="565"/>
        <v>23.8</v>
      </c>
      <c r="O3592" s="11">
        <f t="shared" si="566"/>
        <v>0.17</v>
      </c>
      <c r="P3592" s="12">
        <f t="shared" si="567"/>
        <v>0</v>
      </c>
      <c r="Q3592" s="17" t="str">
        <f t="shared" si="569"/>
        <v>Pas d'écart</v>
      </c>
    </row>
    <row r="3593" spans="1:18" x14ac:dyDescent="0.3">
      <c r="A3593" s="34" t="str">
        <f>base!J3593</f>
        <v>RS</v>
      </c>
      <c r="B3593" s="34" t="str">
        <f>base!V3593</f>
        <v>75015</v>
      </c>
      <c r="C3593" s="37">
        <v>75</v>
      </c>
      <c r="D3593" s="36">
        <f>base!H3593</f>
        <v>129.81</v>
      </c>
      <c r="E3593" s="44"/>
      <c r="F3593" s="16">
        <f>base!W3593</f>
        <v>0</v>
      </c>
      <c r="G3593" s="11">
        <f t="shared" si="560"/>
        <v>0</v>
      </c>
      <c r="H3593" s="11">
        <f t="shared" si="561"/>
        <v>0</v>
      </c>
      <c r="I3593" s="11">
        <f t="shared" si="562"/>
        <v>0</v>
      </c>
      <c r="J3593" s="12">
        <f t="shared" si="563"/>
        <v>0</v>
      </c>
      <c r="K3593" s="17" t="str">
        <f t="shared" si="568"/>
        <v>Pas d'écart</v>
      </c>
      <c r="L3593" s="16">
        <f>base!X3593</f>
        <v>0</v>
      </c>
      <c r="M3593" s="11">
        <f t="shared" si="564"/>
        <v>0</v>
      </c>
      <c r="N3593" s="11">
        <f t="shared" si="565"/>
        <v>0</v>
      </c>
      <c r="O3593" s="11">
        <f t="shared" si="566"/>
        <v>0</v>
      </c>
      <c r="P3593" s="12">
        <f t="shared" si="567"/>
        <v>0</v>
      </c>
      <c r="Q3593" s="17" t="str">
        <f t="shared" si="569"/>
        <v>Pas d'écart</v>
      </c>
    </row>
    <row r="3594" spans="1:18" x14ac:dyDescent="0.3">
      <c r="A3594" s="34">
        <f>base!J3594</f>
        <v>0</v>
      </c>
      <c r="B3594" s="34" t="str">
        <f>base!V3594</f>
        <v>77184</v>
      </c>
      <c r="C3594" s="37">
        <v>77</v>
      </c>
      <c r="D3594" s="36">
        <f>base!H3594</f>
        <v>30</v>
      </c>
      <c r="E3594" s="44"/>
      <c r="F3594" s="16">
        <f>base!W3594</f>
        <v>0</v>
      </c>
      <c r="G3594" s="11">
        <f t="shared" si="560"/>
        <v>0</v>
      </c>
      <c r="H3594" s="11">
        <f t="shared" si="561"/>
        <v>0</v>
      </c>
      <c r="I3594" s="11">
        <f t="shared" si="562"/>
        <v>0</v>
      </c>
      <c r="J3594" s="12">
        <f t="shared" si="563"/>
        <v>0</v>
      </c>
      <c r="K3594" s="17" t="str">
        <f t="shared" si="568"/>
        <v>Pas d'écart</v>
      </c>
      <c r="L3594" s="16">
        <f>base!X3594</f>
        <v>0</v>
      </c>
      <c r="M3594" s="11">
        <f t="shared" si="564"/>
        <v>0</v>
      </c>
      <c r="N3594" s="11">
        <f t="shared" si="565"/>
        <v>0</v>
      </c>
      <c r="O3594" s="11">
        <f t="shared" si="566"/>
        <v>0</v>
      </c>
      <c r="P3594" s="12">
        <f t="shared" si="567"/>
        <v>0</v>
      </c>
      <c r="Q3594" s="17" t="str">
        <f t="shared" si="569"/>
        <v>Pas d'écart</v>
      </c>
    </row>
    <row r="3595" spans="1:18" x14ac:dyDescent="0.3">
      <c r="A3595" s="34" t="str">
        <f>base!J3595</f>
        <v>RS</v>
      </c>
      <c r="B3595" s="34" t="str">
        <f>base!V3595</f>
        <v>68200</v>
      </c>
      <c r="C3595" s="37">
        <v>68</v>
      </c>
      <c r="D3595" s="36">
        <f>base!H3595</f>
        <v>201.98</v>
      </c>
      <c r="E3595" s="44"/>
      <c r="F3595" s="16">
        <f>base!W3595</f>
        <v>0</v>
      </c>
      <c r="G3595" s="11">
        <f t="shared" si="560"/>
        <v>0</v>
      </c>
      <c r="H3595" s="11">
        <f t="shared" si="561"/>
        <v>58.57419999999999</v>
      </c>
      <c r="I3595" s="11">
        <f t="shared" si="562"/>
        <v>0.28999999999999998</v>
      </c>
      <c r="J3595" s="12">
        <f t="shared" si="563"/>
        <v>-58.57419999999999</v>
      </c>
      <c r="K3595" s="17" t="str">
        <f t="shared" si="568"/>
        <v>Ecart négatif</v>
      </c>
      <c r="L3595" s="16">
        <f>base!X3595</f>
        <v>16.16</v>
      </c>
      <c r="M3595" s="11">
        <f t="shared" si="564"/>
        <v>8.0007921576393706E-2</v>
      </c>
      <c r="N3595" s="11">
        <f t="shared" si="565"/>
        <v>16.1584</v>
      </c>
      <c r="O3595" s="11">
        <f t="shared" si="566"/>
        <v>0.08</v>
      </c>
      <c r="P3595" s="12">
        <f t="shared" si="567"/>
        <v>1.5999999999998238E-3</v>
      </c>
      <c r="Q3595" s="17" t="str">
        <f t="shared" si="569"/>
        <v>Ecart positif</v>
      </c>
      <c r="R3595" s="38"/>
    </row>
    <row r="3596" spans="1:18" x14ac:dyDescent="0.3">
      <c r="A3596" s="34" t="str">
        <f>base!J3596</f>
        <v>RM</v>
      </c>
      <c r="B3596" s="34" t="str">
        <f>base!V3596</f>
        <v>69002</v>
      </c>
      <c r="C3596" s="37">
        <v>69</v>
      </c>
      <c r="D3596" s="36">
        <f>base!H3596</f>
        <v>29.59</v>
      </c>
      <c r="E3596" s="44"/>
      <c r="F3596" s="16">
        <f>base!W3596</f>
        <v>0</v>
      </c>
      <c r="G3596" s="11">
        <f t="shared" si="560"/>
        <v>0</v>
      </c>
      <c r="H3596" s="11">
        <f t="shared" si="561"/>
        <v>7.9893000000000001</v>
      </c>
      <c r="I3596" s="11">
        <f t="shared" si="562"/>
        <v>0.27</v>
      </c>
      <c r="J3596" s="12">
        <f t="shared" si="563"/>
        <v>-7.9893000000000001</v>
      </c>
      <c r="K3596" s="17" t="str">
        <f t="shared" si="568"/>
        <v>Ecart négatif</v>
      </c>
      <c r="L3596" s="16">
        <f>base!X3596</f>
        <v>0</v>
      </c>
      <c r="M3596" s="11">
        <f t="shared" si="564"/>
        <v>0</v>
      </c>
      <c r="N3596" s="11">
        <f t="shared" si="565"/>
        <v>0</v>
      </c>
      <c r="O3596" s="11">
        <f t="shared" si="566"/>
        <v>0</v>
      </c>
      <c r="P3596" s="12">
        <f t="shared" si="567"/>
        <v>0</v>
      </c>
      <c r="Q3596" s="17" t="str">
        <f t="shared" si="569"/>
        <v>Pas d'écart</v>
      </c>
    </row>
    <row r="3597" spans="1:18" x14ac:dyDescent="0.3">
      <c r="A3597" s="34" t="str">
        <f>base!J3597</f>
        <v>RM</v>
      </c>
      <c r="B3597" s="34" t="str">
        <f>base!V3597</f>
        <v>69002</v>
      </c>
      <c r="C3597" s="37">
        <v>69</v>
      </c>
      <c r="D3597" s="36">
        <f>base!H3597</f>
        <v>205</v>
      </c>
      <c r="E3597" s="44"/>
      <c r="F3597" s="16">
        <f>base!W3597</f>
        <v>0</v>
      </c>
      <c r="G3597" s="11">
        <f t="shared" si="560"/>
        <v>0</v>
      </c>
      <c r="H3597" s="11">
        <f t="shared" si="561"/>
        <v>55.35</v>
      </c>
      <c r="I3597" s="11">
        <f t="shared" si="562"/>
        <v>0.27</v>
      </c>
      <c r="J3597" s="12">
        <f t="shared" si="563"/>
        <v>-55.35</v>
      </c>
      <c r="K3597" s="17" t="str">
        <f t="shared" si="568"/>
        <v>Ecart négatif</v>
      </c>
      <c r="L3597" s="16">
        <f>base!X3597</f>
        <v>0</v>
      </c>
      <c r="M3597" s="11">
        <f t="shared" si="564"/>
        <v>0</v>
      </c>
      <c r="N3597" s="11">
        <f t="shared" si="565"/>
        <v>0</v>
      </c>
      <c r="O3597" s="11">
        <f t="shared" si="566"/>
        <v>0</v>
      </c>
      <c r="P3597" s="12">
        <f t="shared" si="567"/>
        <v>0</v>
      </c>
      <c r="Q3597" s="17" t="str">
        <f t="shared" si="569"/>
        <v>Pas d'écart</v>
      </c>
    </row>
    <row r="3598" spans="1:18" x14ac:dyDescent="0.3">
      <c r="A3598" s="34" t="str">
        <f>base!J3598</f>
        <v>DRM</v>
      </c>
      <c r="B3598" s="34" t="str">
        <f>base!V3598</f>
        <v>63100</v>
      </c>
      <c r="C3598" s="37">
        <v>63</v>
      </c>
      <c r="D3598" s="36">
        <f>base!H3598</f>
        <v>142.44999999999999</v>
      </c>
      <c r="E3598" s="44"/>
      <c r="F3598" s="16">
        <f>base!W3598</f>
        <v>0</v>
      </c>
      <c r="G3598" s="11">
        <f t="shared" si="560"/>
        <v>0</v>
      </c>
      <c r="H3598" s="11">
        <f t="shared" si="561"/>
        <v>41.31049999999999</v>
      </c>
      <c r="I3598" s="11">
        <f t="shared" si="562"/>
        <v>0.28999999999999998</v>
      </c>
      <c r="J3598" s="12">
        <f t="shared" si="563"/>
        <v>-41.31049999999999</v>
      </c>
      <c r="K3598" s="17" t="str">
        <f t="shared" si="568"/>
        <v>Ecart négatif</v>
      </c>
      <c r="L3598" s="16">
        <f>base!X3598</f>
        <v>0</v>
      </c>
      <c r="M3598" s="11">
        <f t="shared" si="564"/>
        <v>0</v>
      </c>
      <c r="N3598" s="11">
        <f t="shared" si="565"/>
        <v>17.093999999999998</v>
      </c>
      <c r="O3598" s="11">
        <f t="shared" si="566"/>
        <v>0.12</v>
      </c>
      <c r="P3598" s="12">
        <f t="shared" si="567"/>
        <v>-17.093999999999998</v>
      </c>
      <c r="Q3598" s="17" t="str">
        <f t="shared" si="569"/>
        <v>Ecart négatif</v>
      </c>
    </row>
    <row r="3599" spans="1:18" x14ac:dyDescent="0.3">
      <c r="A3599" s="34" t="str">
        <f>base!J3599</f>
        <v>LM</v>
      </c>
      <c r="B3599" s="34" t="str">
        <f>base!V3599</f>
        <v>61230</v>
      </c>
      <c r="C3599" s="37">
        <v>38</v>
      </c>
      <c r="D3599" s="36">
        <f>base!H3599</f>
        <v>172.08</v>
      </c>
      <c r="E3599" s="44"/>
      <c r="F3599" s="16">
        <f>base!W3599</f>
        <v>29.25</v>
      </c>
      <c r="G3599" s="11">
        <f t="shared" si="560"/>
        <v>0.16997907949790794</v>
      </c>
      <c r="H3599" s="11">
        <f t="shared" si="561"/>
        <v>46.461600000000004</v>
      </c>
      <c r="I3599" s="11">
        <f t="shared" si="562"/>
        <v>0.27</v>
      </c>
      <c r="J3599" s="12">
        <f t="shared" si="563"/>
        <v>-17.211600000000004</v>
      </c>
      <c r="K3599" s="17" t="str">
        <f t="shared" si="568"/>
        <v>Ecart négatif</v>
      </c>
      <c r="L3599" s="16">
        <f>base!X3599</f>
        <v>0</v>
      </c>
      <c r="M3599" s="11">
        <f t="shared" si="564"/>
        <v>0</v>
      </c>
      <c r="N3599" s="11">
        <f t="shared" si="565"/>
        <v>0</v>
      </c>
      <c r="O3599" s="11">
        <f t="shared" si="566"/>
        <v>0</v>
      </c>
      <c r="P3599" s="12">
        <f t="shared" si="567"/>
        <v>0</v>
      </c>
      <c r="Q3599" s="17" t="str">
        <f t="shared" si="569"/>
        <v>Pas d'écart</v>
      </c>
    </row>
    <row r="3600" spans="1:18" x14ac:dyDescent="0.3">
      <c r="A3600" s="34" t="str">
        <f>base!J3600</f>
        <v>RM</v>
      </c>
      <c r="B3600" s="34" t="str">
        <f>base!V3600</f>
        <v>13115</v>
      </c>
      <c r="C3600" s="37">
        <v>13</v>
      </c>
      <c r="D3600" s="36">
        <f>base!H3600</f>
        <v>137.05000000000001</v>
      </c>
      <c r="E3600" s="44"/>
      <c r="F3600" s="16">
        <f>base!W3600</f>
        <v>0</v>
      </c>
      <c r="G3600" s="11">
        <f t="shared" si="560"/>
        <v>0</v>
      </c>
      <c r="H3600" s="11">
        <f t="shared" si="561"/>
        <v>39.744500000000002</v>
      </c>
      <c r="I3600" s="11">
        <f t="shared" si="562"/>
        <v>0.28999999999999998</v>
      </c>
      <c r="J3600" s="12">
        <f t="shared" si="563"/>
        <v>-39.744500000000002</v>
      </c>
      <c r="K3600" s="17" t="str">
        <f t="shared" si="568"/>
        <v>Ecart négatif</v>
      </c>
      <c r="L3600" s="16">
        <f>base!X3600</f>
        <v>26.04</v>
      </c>
      <c r="M3600" s="11">
        <f t="shared" si="564"/>
        <v>0.19000364830353883</v>
      </c>
      <c r="N3600" s="11">
        <f t="shared" si="565"/>
        <v>26.039500000000004</v>
      </c>
      <c r="O3600" s="11">
        <f t="shared" si="566"/>
        <v>0.19</v>
      </c>
      <c r="P3600" s="12">
        <f t="shared" si="567"/>
        <v>4.99999999995282E-4</v>
      </c>
      <c r="Q3600" s="17" t="str">
        <f t="shared" si="569"/>
        <v>Ecart positif</v>
      </c>
      <c r="R3600" s="38"/>
    </row>
    <row r="3601" spans="1:18" x14ac:dyDescent="0.3">
      <c r="A3601" s="34" t="str">
        <f>base!J3601</f>
        <v>RM</v>
      </c>
      <c r="B3601" s="34" t="str">
        <f>base!V3601</f>
        <v>13115</v>
      </c>
      <c r="C3601" s="37">
        <v>13</v>
      </c>
      <c r="D3601" s="36">
        <f>base!H3601</f>
        <v>137.05000000000001</v>
      </c>
      <c r="E3601" s="44"/>
      <c r="F3601" s="16">
        <f>base!W3601</f>
        <v>0</v>
      </c>
      <c r="G3601" s="11">
        <f t="shared" si="560"/>
        <v>0</v>
      </c>
      <c r="H3601" s="11">
        <f t="shared" si="561"/>
        <v>39.744500000000002</v>
      </c>
      <c r="I3601" s="11">
        <f t="shared" si="562"/>
        <v>0.28999999999999998</v>
      </c>
      <c r="J3601" s="12">
        <f t="shared" si="563"/>
        <v>-39.744500000000002</v>
      </c>
      <c r="K3601" s="17" t="str">
        <f t="shared" si="568"/>
        <v>Ecart négatif</v>
      </c>
      <c r="L3601" s="16">
        <f>base!X3601</f>
        <v>26.04</v>
      </c>
      <c r="M3601" s="11">
        <f t="shared" si="564"/>
        <v>0.19000364830353883</v>
      </c>
      <c r="N3601" s="11">
        <f t="shared" si="565"/>
        <v>26.039500000000004</v>
      </c>
      <c r="O3601" s="11">
        <f t="shared" si="566"/>
        <v>0.19</v>
      </c>
      <c r="P3601" s="12">
        <f t="shared" si="567"/>
        <v>4.99999999995282E-4</v>
      </c>
      <c r="Q3601" s="17" t="str">
        <f t="shared" si="569"/>
        <v>Ecart positif</v>
      </c>
      <c r="R3601" s="38"/>
    </row>
    <row r="3602" spans="1:18" x14ac:dyDescent="0.3">
      <c r="A3602" s="34" t="str">
        <f>base!J3602</f>
        <v>RS</v>
      </c>
      <c r="B3602" s="34" t="str">
        <f>base!V3602</f>
        <v>42100</v>
      </c>
      <c r="C3602" s="37">
        <v>42</v>
      </c>
      <c r="D3602" s="36">
        <f>base!H3602</f>
        <v>140</v>
      </c>
      <c r="E3602" s="44"/>
      <c r="F3602" s="16">
        <f>base!W3602</f>
        <v>0</v>
      </c>
      <c r="G3602" s="11">
        <f t="shared" si="560"/>
        <v>0</v>
      </c>
      <c r="H3602" s="11">
        <f t="shared" si="561"/>
        <v>36.4</v>
      </c>
      <c r="I3602" s="11">
        <f t="shared" si="562"/>
        <v>0.26</v>
      </c>
      <c r="J3602" s="12">
        <f t="shared" si="563"/>
        <v>-36.4</v>
      </c>
      <c r="K3602" s="17" t="str">
        <f t="shared" si="568"/>
        <v>Ecart négatif</v>
      </c>
      <c r="L3602" s="16">
        <f>base!X3602</f>
        <v>0</v>
      </c>
      <c r="M3602" s="11">
        <f t="shared" si="564"/>
        <v>0</v>
      </c>
      <c r="N3602" s="11">
        <f t="shared" si="565"/>
        <v>0</v>
      </c>
      <c r="O3602" s="11">
        <f t="shared" si="566"/>
        <v>0</v>
      </c>
      <c r="P3602" s="12">
        <f t="shared" si="567"/>
        <v>0</v>
      </c>
      <c r="Q3602" s="17" t="str">
        <f t="shared" si="569"/>
        <v>Pas d'écart</v>
      </c>
    </row>
    <row r="3603" spans="1:18" x14ac:dyDescent="0.3">
      <c r="A3603" s="34" t="str">
        <f>base!J3603</f>
        <v>LM</v>
      </c>
      <c r="B3603" s="34" t="str">
        <f>base!V3603</f>
        <v>42160</v>
      </c>
      <c r="C3603" s="37">
        <v>69</v>
      </c>
      <c r="D3603" s="36">
        <f>base!H3603</f>
        <v>20.23</v>
      </c>
      <c r="E3603" s="44"/>
      <c r="F3603" s="16">
        <f>base!W3603</f>
        <v>5.46</v>
      </c>
      <c r="G3603" s="11">
        <f t="shared" si="560"/>
        <v>0.26989619377162627</v>
      </c>
      <c r="H3603" s="11">
        <f t="shared" si="561"/>
        <v>5.4621000000000004</v>
      </c>
      <c r="I3603" s="11">
        <f t="shared" si="562"/>
        <v>0.27</v>
      </c>
      <c r="J3603" s="12">
        <f t="shared" si="563"/>
        <v>-2.1000000000004349E-3</v>
      </c>
      <c r="K3603" s="17" t="str">
        <f t="shared" si="568"/>
        <v>Ecart négatif</v>
      </c>
      <c r="L3603" s="16">
        <f>base!X3603</f>
        <v>0</v>
      </c>
      <c r="M3603" s="11">
        <f t="shared" si="564"/>
        <v>0</v>
      </c>
      <c r="N3603" s="11">
        <f t="shared" si="565"/>
        <v>0</v>
      </c>
      <c r="O3603" s="11">
        <f t="shared" si="566"/>
        <v>0</v>
      </c>
      <c r="P3603" s="12">
        <f t="shared" si="567"/>
        <v>0</v>
      </c>
      <c r="Q3603" s="17" t="str">
        <f t="shared" si="569"/>
        <v>Pas d'écart</v>
      </c>
    </row>
    <row r="3604" spans="1:18" x14ac:dyDescent="0.3">
      <c r="A3604" s="34" t="str">
        <f>base!J3604</f>
        <v>RS</v>
      </c>
      <c r="B3604" s="34" t="str">
        <f>base!V3604</f>
        <v>91420</v>
      </c>
      <c r="C3604" s="37">
        <v>91</v>
      </c>
      <c r="D3604" s="36">
        <f>base!H3604</f>
        <v>140</v>
      </c>
      <c r="E3604" s="44"/>
      <c r="F3604" s="16">
        <f>base!W3604</f>
        <v>0</v>
      </c>
      <c r="G3604" s="11">
        <f t="shared" si="560"/>
        <v>0</v>
      </c>
      <c r="H3604" s="11">
        <f t="shared" si="561"/>
        <v>0</v>
      </c>
      <c r="I3604" s="11">
        <f t="shared" si="562"/>
        <v>0</v>
      </c>
      <c r="J3604" s="12">
        <f t="shared" si="563"/>
        <v>0</v>
      </c>
      <c r="K3604" s="17" t="str">
        <f t="shared" si="568"/>
        <v>Pas d'écart</v>
      </c>
      <c r="L3604" s="16">
        <f>base!X3604</f>
        <v>0</v>
      </c>
      <c r="M3604" s="11">
        <f t="shared" si="564"/>
        <v>0</v>
      </c>
      <c r="N3604" s="11">
        <f t="shared" si="565"/>
        <v>0</v>
      </c>
      <c r="O3604" s="11">
        <f t="shared" si="566"/>
        <v>0</v>
      </c>
      <c r="P3604" s="12">
        <f t="shared" si="567"/>
        <v>0</v>
      </c>
      <c r="Q3604" s="17" t="str">
        <f t="shared" si="569"/>
        <v>Pas d'écart</v>
      </c>
    </row>
    <row r="3605" spans="1:18" x14ac:dyDescent="0.3">
      <c r="A3605" s="34" t="str">
        <f>base!J3605</f>
        <v>LM</v>
      </c>
      <c r="B3605" s="34" t="str">
        <f>base!V3605</f>
        <v>35044</v>
      </c>
      <c r="C3605" s="37">
        <v>69</v>
      </c>
      <c r="D3605" s="36">
        <f>base!H3605</f>
        <v>55.16</v>
      </c>
      <c r="E3605" s="44"/>
      <c r="F3605" s="16">
        <f>base!W3605</f>
        <v>14.89</v>
      </c>
      <c r="G3605" s="11">
        <f t="shared" si="560"/>
        <v>0.26994198694706312</v>
      </c>
      <c r="H3605" s="11">
        <f t="shared" si="561"/>
        <v>14.8932</v>
      </c>
      <c r="I3605" s="11">
        <f t="shared" si="562"/>
        <v>0.27</v>
      </c>
      <c r="J3605" s="12">
        <f t="shared" si="563"/>
        <v>-3.1999999999996476E-3</v>
      </c>
      <c r="K3605" s="17" t="str">
        <f t="shared" si="568"/>
        <v>Ecart négatif</v>
      </c>
      <c r="L3605" s="16">
        <f>base!X3605</f>
        <v>0</v>
      </c>
      <c r="M3605" s="11">
        <f t="shared" si="564"/>
        <v>0</v>
      </c>
      <c r="N3605" s="11">
        <f t="shared" si="565"/>
        <v>0</v>
      </c>
      <c r="O3605" s="11">
        <f t="shared" si="566"/>
        <v>0</v>
      </c>
      <c r="P3605" s="12">
        <f t="shared" si="567"/>
        <v>0</v>
      </c>
      <c r="Q3605" s="17" t="str">
        <f t="shared" si="569"/>
        <v>Pas d'écart</v>
      </c>
    </row>
    <row r="3606" spans="1:18" x14ac:dyDescent="0.3">
      <c r="A3606" s="34" t="str">
        <f>base!J3606</f>
        <v>LM</v>
      </c>
      <c r="B3606" s="34" t="str">
        <f>base!V3606</f>
        <v>26000</v>
      </c>
      <c r="C3606" s="37">
        <v>69</v>
      </c>
      <c r="D3606" s="36">
        <f>base!H3606</f>
        <v>20.23</v>
      </c>
      <c r="E3606" s="44"/>
      <c r="F3606" s="16">
        <f>base!W3606</f>
        <v>5.46</v>
      </c>
      <c r="G3606" s="11">
        <f t="shared" si="560"/>
        <v>0.26989619377162627</v>
      </c>
      <c r="H3606" s="11">
        <f t="shared" si="561"/>
        <v>5.4621000000000004</v>
      </c>
      <c r="I3606" s="11">
        <f t="shared" si="562"/>
        <v>0.27</v>
      </c>
      <c r="J3606" s="12">
        <f t="shared" si="563"/>
        <v>-2.1000000000004349E-3</v>
      </c>
      <c r="K3606" s="17" t="str">
        <f t="shared" si="568"/>
        <v>Ecart négatif</v>
      </c>
      <c r="L3606" s="16">
        <f>base!X3606</f>
        <v>0</v>
      </c>
      <c r="M3606" s="11">
        <f t="shared" si="564"/>
        <v>0</v>
      </c>
      <c r="N3606" s="11">
        <f t="shared" si="565"/>
        <v>0</v>
      </c>
      <c r="O3606" s="11">
        <f t="shared" si="566"/>
        <v>0</v>
      </c>
      <c r="P3606" s="12">
        <f t="shared" si="567"/>
        <v>0</v>
      </c>
      <c r="Q3606" s="17" t="str">
        <f t="shared" si="569"/>
        <v>Pas d'écart</v>
      </c>
    </row>
    <row r="3607" spans="1:18" x14ac:dyDescent="0.3">
      <c r="A3607" s="34" t="str">
        <f>base!J3607</f>
        <v>LM</v>
      </c>
      <c r="B3607" s="34" t="str">
        <f>base!V3607</f>
        <v>26000</v>
      </c>
      <c r="C3607" s="37">
        <v>69</v>
      </c>
      <c r="D3607" s="36">
        <f>base!H3607</f>
        <v>20.23</v>
      </c>
      <c r="E3607" s="44"/>
      <c r="F3607" s="16">
        <f>base!W3607</f>
        <v>5.46</v>
      </c>
      <c r="G3607" s="11">
        <f t="shared" si="560"/>
        <v>0.26989619377162627</v>
      </c>
      <c r="H3607" s="11">
        <f t="shared" si="561"/>
        <v>5.4621000000000004</v>
      </c>
      <c r="I3607" s="11">
        <f t="shared" si="562"/>
        <v>0.27</v>
      </c>
      <c r="J3607" s="12">
        <f t="shared" si="563"/>
        <v>-2.1000000000004349E-3</v>
      </c>
      <c r="K3607" s="17" t="str">
        <f t="shared" si="568"/>
        <v>Ecart négatif</v>
      </c>
      <c r="L3607" s="16">
        <f>base!X3607</f>
        <v>0</v>
      </c>
      <c r="M3607" s="11">
        <f t="shared" si="564"/>
        <v>0</v>
      </c>
      <c r="N3607" s="11">
        <f t="shared" si="565"/>
        <v>0</v>
      </c>
      <c r="O3607" s="11">
        <f t="shared" si="566"/>
        <v>0</v>
      </c>
      <c r="P3607" s="12">
        <f t="shared" si="567"/>
        <v>0</v>
      </c>
      <c r="Q3607" s="17" t="str">
        <f t="shared" si="569"/>
        <v>Pas d'écart</v>
      </c>
    </row>
    <row r="3608" spans="1:18" x14ac:dyDescent="0.3">
      <c r="A3608" s="34" t="str">
        <f>base!J3608</f>
        <v>LS</v>
      </c>
      <c r="B3608" s="34" t="str">
        <f>base!V3608</f>
        <v>03150</v>
      </c>
      <c r="C3608" s="37">
        <v>44</v>
      </c>
      <c r="D3608" s="36">
        <f>base!H3608</f>
        <v>32.85</v>
      </c>
      <c r="E3608" s="44"/>
      <c r="F3608" s="16">
        <f>base!W3608</f>
        <v>9.5299999999999994</v>
      </c>
      <c r="G3608" s="11">
        <f t="shared" si="560"/>
        <v>0.29010654490106541</v>
      </c>
      <c r="H3608" s="11">
        <f t="shared" si="561"/>
        <v>8.8695000000000004</v>
      </c>
      <c r="I3608" s="11">
        <f t="shared" si="562"/>
        <v>0.27</v>
      </c>
      <c r="J3608" s="12">
        <f t="shared" si="563"/>
        <v>0.66049999999999898</v>
      </c>
      <c r="K3608" s="17" t="str">
        <f t="shared" si="568"/>
        <v>Ecart positif</v>
      </c>
      <c r="L3608" s="16">
        <f>base!X3608</f>
        <v>0</v>
      </c>
      <c r="M3608" s="11">
        <f t="shared" si="564"/>
        <v>0</v>
      </c>
      <c r="N3608" s="11">
        <f t="shared" si="565"/>
        <v>0</v>
      </c>
      <c r="O3608" s="11">
        <f t="shared" si="566"/>
        <v>0</v>
      </c>
      <c r="P3608" s="12">
        <f t="shared" si="567"/>
        <v>0</v>
      </c>
      <c r="Q3608" s="17" t="str">
        <f t="shared" si="569"/>
        <v>Pas d'écart</v>
      </c>
    </row>
    <row r="3609" spans="1:18" x14ac:dyDescent="0.3">
      <c r="A3609" s="34" t="str">
        <f>base!J3609</f>
        <v>LM</v>
      </c>
      <c r="B3609" s="34" t="str">
        <f>base!V3609</f>
        <v>56920</v>
      </c>
      <c r="C3609" s="37">
        <v>38</v>
      </c>
      <c r="D3609" s="36">
        <f>base!H3609</f>
        <v>49.08</v>
      </c>
      <c r="E3609" s="44"/>
      <c r="F3609" s="16">
        <f>base!W3609</f>
        <v>13.25</v>
      </c>
      <c r="G3609" s="11">
        <f t="shared" si="560"/>
        <v>0.26996740016299919</v>
      </c>
      <c r="H3609" s="11">
        <f t="shared" si="561"/>
        <v>13.2516</v>
      </c>
      <c r="I3609" s="11">
        <f t="shared" si="562"/>
        <v>0.27</v>
      </c>
      <c r="J3609" s="12">
        <f t="shared" si="563"/>
        <v>-1.5999999999998238E-3</v>
      </c>
      <c r="K3609" s="17" t="str">
        <f t="shared" si="568"/>
        <v>Ecart négatif</v>
      </c>
      <c r="L3609" s="16">
        <f>base!X3609</f>
        <v>0</v>
      </c>
      <c r="M3609" s="11">
        <f t="shared" si="564"/>
        <v>0</v>
      </c>
      <c r="N3609" s="11">
        <f t="shared" si="565"/>
        <v>0</v>
      </c>
      <c r="O3609" s="11">
        <f t="shared" si="566"/>
        <v>0</v>
      </c>
      <c r="P3609" s="12">
        <f t="shared" si="567"/>
        <v>0</v>
      </c>
      <c r="Q3609" s="17" t="str">
        <f t="shared" si="569"/>
        <v>Pas d'écart</v>
      </c>
    </row>
    <row r="3610" spans="1:18" x14ac:dyDescent="0.3">
      <c r="A3610" s="34" t="str">
        <f>base!J3610</f>
        <v>LM</v>
      </c>
      <c r="B3610" s="34" t="str">
        <f>base!V3610</f>
        <v>56920</v>
      </c>
      <c r="C3610" s="37">
        <v>69</v>
      </c>
      <c r="D3610" s="36">
        <f>base!H3610</f>
        <v>49.08</v>
      </c>
      <c r="E3610" s="44"/>
      <c r="F3610" s="16">
        <f>base!W3610</f>
        <v>13.25</v>
      </c>
      <c r="G3610" s="11">
        <f t="shared" si="560"/>
        <v>0.26996740016299919</v>
      </c>
      <c r="H3610" s="11">
        <f t="shared" si="561"/>
        <v>13.2516</v>
      </c>
      <c r="I3610" s="11">
        <f t="shared" si="562"/>
        <v>0.27</v>
      </c>
      <c r="J3610" s="12">
        <f t="shared" si="563"/>
        <v>-1.5999999999998238E-3</v>
      </c>
      <c r="K3610" s="17" t="str">
        <f t="shared" si="568"/>
        <v>Ecart négatif</v>
      </c>
      <c r="L3610" s="16">
        <f>base!X3610</f>
        <v>0</v>
      </c>
      <c r="M3610" s="11">
        <f t="shared" si="564"/>
        <v>0</v>
      </c>
      <c r="N3610" s="11">
        <f t="shared" si="565"/>
        <v>0</v>
      </c>
      <c r="O3610" s="11">
        <f t="shared" si="566"/>
        <v>0</v>
      </c>
      <c r="P3610" s="12">
        <f t="shared" si="567"/>
        <v>0</v>
      </c>
      <c r="Q3610" s="17" t="str">
        <f t="shared" si="569"/>
        <v>Pas d'écart</v>
      </c>
    </row>
    <row r="3611" spans="1:18" x14ac:dyDescent="0.3">
      <c r="A3611" s="34" t="str">
        <f>base!J3611</f>
        <v>LM</v>
      </c>
      <c r="B3611" s="34" t="str">
        <f>base!V3611</f>
        <v>56920</v>
      </c>
      <c r="C3611" s="37">
        <v>69</v>
      </c>
      <c r="D3611" s="36">
        <f>base!H3611</f>
        <v>49.08</v>
      </c>
      <c r="E3611" s="44"/>
      <c r="F3611" s="16">
        <f>base!W3611</f>
        <v>13.25</v>
      </c>
      <c r="G3611" s="11">
        <f t="shared" si="560"/>
        <v>0.26996740016299919</v>
      </c>
      <c r="H3611" s="11">
        <f t="shared" si="561"/>
        <v>13.2516</v>
      </c>
      <c r="I3611" s="11">
        <f t="shared" si="562"/>
        <v>0.27</v>
      </c>
      <c r="J3611" s="12">
        <f t="shared" si="563"/>
        <v>-1.5999999999998238E-3</v>
      </c>
      <c r="K3611" s="17" t="str">
        <f t="shared" si="568"/>
        <v>Ecart négatif</v>
      </c>
      <c r="L3611" s="16">
        <f>base!X3611</f>
        <v>0</v>
      </c>
      <c r="M3611" s="11">
        <f t="shared" si="564"/>
        <v>0</v>
      </c>
      <c r="N3611" s="11">
        <f t="shared" si="565"/>
        <v>0</v>
      </c>
      <c r="O3611" s="11">
        <f t="shared" si="566"/>
        <v>0</v>
      </c>
      <c r="P3611" s="12">
        <f t="shared" si="567"/>
        <v>0</v>
      </c>
      <c r="Q3611" s="17" t="str">
        <f t="shared" si="569"/>
        <v>Pas d'écart</v>
      </c>
    </row>
    <row r="3612" spans="1:18" x14ac:dyDescent="0.3">
      <c r="A3612" s="34" t="str">
        <f>base!J3612</f>
        <v>LM</v>
      </c>
      <c r="B3612" s="34" t="str">
        <f>base!V3612</f>
        <v>56920</v>
      </c>
      <c r="C3612" s="37">
        <v>38</v>
      </c>
      <c r="D3612" s="36">
        <f>base!H3612</f>
        <v>49.08</v>
      </c>
      <c r="E3612" s="44"/>
      <c r="F3612" s="16">
        <f>base!W3612</f>
        <v>13.25</v>
      </c>
      <c r="G3612" s="11">
        <f t="shared" si="560"/>
        <v>0.26996740016299919</v>
      </c>
      <c r="H3612" s="11">
        <f t="shared" si="561"/>
        <v>13.2516</v>
      </c>
      <c r="I3612" s="11">
        <f t="shared" si="562"/>
        <v>0.27</v>
      </c>
      <c r="J3612" s="12">
        <f t="shared" si="563"/>
        <v>-1.5999999999998238E-3</v>
      </c>
      <c r="K3612" s="17" t="str">
        <f t="shared" si="568"/>
        <v>Ecart négatif</v>
      </c>
      <c r="L3612" s="16">
        <f>base!X3612</f>
        <v>0</v>
      </c>
      <c r="M3612" s="11">
        <f t="shared" si="564"/>
        <v>0</v>
      </c>
      <c r="N3612" s="11">
        <f t="shared" si="565"/>
        <v>0</v>
      </c>
      <c r="O3612" s="11">
        <f t="shared" si="566"/>
        <v>0</v>
      </c>
      <c r="P3612" s="12">
        <f t="shared" si="567"/>
        <v>0</v>
      </c>
      <c r="Q3612" s="17" t="str">
        <f t="shared" si="569"/>
        <v>Pas d'écart</v>
      </c>
    </row>
    <row r="3613" spans="1:18" x14ac:dyDescent="0.3">
      <c r="A3613" s="34" t="str">
        <f>base!J3613</f>
        <v>LS</v>
      </c>
      <c r="B3613" s="34" t="str">
        <f>base!V3613</f>
        <v>60200</v>
      </c>
      <c r="C3613" s="37">
        <v>69</v>
      </c>
      <c r="D3613" s="36">
        <f>base!H3613</f>
        <v>55.14</v>
      </c>
      <c r="E3613" s="44"/>
      <c r="F3613" s="16">
        <f>base!W3613</f>
        <v>10.48</v>
      </c>
      <c r="G3613" s="11">
        <f t="shared" si="560"/>
        <v>0.19006166122597026</v>
      </c>
      <c r="H3613" s="11">
        <f t="shared" si="561"/>
        <v>14.8878</v>
      </c>
      <c r="I3613" s="11">
        <f t="shared" si="562"/>
        <v>0.27</v>
      </c>
      <c r="J3613" s="12">
        <f t="shared" si="563"/>
        <v>-4.4077999999999999</v>
      </c>
      <c r="K3613" s="17" t="str">
        <f t="shared" si="568"/>
        <v>Ecart négatif</v>
      </c>
      <c r="L3613" s="16">
        <f>base!X3613</f>
        <v>0</v>
      </c>
      <c r="M3613" s="11">
        <f t="shared" si="564"/>
        <v>0</v>
      </c>
      <c r="N3613" s="11">
        <f t="shared" si="565"/>
        <v>0</v>
      </c>
      <c r="O3613" s="11">
        <f t="shared" si="566"/>
        <v>0</v>
      </c>
      <c r="P3613" s="12">
        <f t="shared" si="567"/>
        <v>0</v>
      </c>
      <c r="Q3613" s="17" t="str">
        <f t="shared" si="569"/>
        <v>Pas d'écart</v>
      </c>
    </row>
    <row r="3614" spans="1:18" x14ac:dyDescent="0.3">
      <c r="A3614" s="34" t="str">
        <f>base!J3614</f>
        <v>RS</v>
      </c>
      <c r="B3614" s="34" t="str">
        <f>base!V3614</f>
        <v>76117</v>
      </c>
      <c r="C3614" s="37">
        <v>76</v>
      </c>
      <c r="D3614" s="36">
        <f>base!H3614</f>
        <v>70</v>
      </c>
      <c r="E3614" s="44"/>
      <c r="F3614" s="16">
        <f>base!W3614</f>
        <v>0</v>
      </c>
      <c r="G3614" s="11">
        <f t="shared" si="560"/>
        <v>0</v>
      </c>
      <c r="H3614" s="11">
        <f t="shared" si="561"/>
        <v>11.9</v>
      </c>
      <c r="I3614" s="11">
        <f t="shared" si="562"/>
        <v>0.17</v>
      </c>
      <c r="J3614" s="12">
        <f t="shared" si="563"/>
        <v>-11.9</v>
      </c>
      <c r="K3614" s="17" t="str">
        <f t="shared" si="568"/>
        <v>Ecart négatif</v>
      </c>
      <c r="L3614" s="16">
        <f>base!X3614</f>
        <v>11.9</v>
      </c>
      <c r="M3614" s="11">
        <f t="shared" si="564"/>
        <v>0.17</v>
      </c>
      <c r="N3614" s="11">
        <f t="shared" si="565"/>
        <v>11.9</v>
      </c>
      <c r="O3614" s="11">
        <f t="shared" si="566"/>
        <v>0.17</v>
      </c>
      <c r="P3614" s="12">
        <f t="shared" si="567"/>
        <v>0</v>
      </c>
      <c r="Q3614" s="17" t="str">
        <f t="shared" si="569"/>
        <v>Pas d'écart</v>
      </c>
    </row>
    <row r="3615" spans="1:18" x14ac:dyDescent="0.3">
      <c r="A3615" s="34" t="str">
        <f>base!J3615</f>
        <v>RS</v>
      </c>
      <c r="B3615" s="34" t="str">
        <f>base!V3615</f>
        <v>62400</v>
      </c>
      <c r="C3615" s="37">
        <v>62</v>
      </c>
      <c r="D3615" s="36">
        <f>base!H3615</f>
        <v>25</v>
      </c>
      <c r="E3615" s="44"/>
      <c r="F3615" s="16">
        <f>base!W3615</f>
        <v>0</v>
      </c>
      <c r="G3615" s="11">
        <f t="shared" si="560"/>
        <v>0</v>
      </c>
      <c r="H3615" s="11">
        <f t="shared" si="561"/>
        <v>4.75</v>
      </c>
      <c r="I3615" s="11">
        <f t="shared" si="562"/>
        <v>0.19</v>
      </c>
      <c r="J3615" s="12">
        <f t="shared" si="563"/>
        <v>-4.75</v>
      </c>
      <c r="K3615" s="17" t="str">
        <f t="shared" si="568"/>
        <v>Ecart négatif</v>
      </c>
      <c r="L3615" s="16">
        <f>base!X3615</f>
        <v>0</v>
      </c>
      <c r="M3615" s="11">
        <f t="shared" si="564"/>
        <v>0</v>
      </c>
      <c r="N3615" s="11">
        <f t="shared" si="565"/>
        <v>0</v>
      </c>
      <c r="O3615" s="11">
        <f t="shared" si="566"/>
        <v>0</v>
      </c>
      <c r="P3615" s="12">
        <f t="shared" si="567"/>
        <v>0</v>
      </c>
      <c r="Q3615" s="17" t="str">
        <f t="shared" si="569"/>
        <v>Pas d'écart</v>
      </c>
    </row>
    <row r="3616" spans="1:18" x14ac:dyDescent="0.3">
      <c r="A3616" s="34" t="str">
        <f>base!J3616</f>
        <v>DLS</v>
      </c>
      <c r="B3616" s="34" t="str">
        <f>base!V3616</f>
        <v>31700</v>
      </c>
      <c r="C3616" s="37">
        <v>31</v>
      </c>
      <c r="D3616" s="36">
        <f>base!H3616</f>
        <v>53.54</v>
      </c>
      <c r="E3616" s="44"/>
      <c r="F3616" s="16">
        <f>base!W3616</f>
        <v>0</v>
      </c>
      <c r="G3616" s="11">
        <f t="shared" si="560"/>
        <v>0</v>
      </c>
      <c r="H3616" s="11">
        <f t="shared" si="561"/>
        <v>10.172599999999999</v>
      </c>
      <c r="I3616" s="11">
        <f t="shared" si="562"/>
        <v>0.18999999999999997</v>
      </c>
      <c r="J3616" s="12">
        <f t="shared" si="563"/>
        <v>-10.172599999999999</v>
      </c>
      <c r="K3616" s="17" t="str">
        <f t="shared" si="568"/>
        <v>Ecart négatif</v>
      </c>
      <c r="L3616" s="16">
        <f>base!X3616</f>
        <v>0</v>
      </c>
      <c r="M3616" s="11">
        <f t="shared" si="564"/>
        <v>0</v>
      </c>
      <c r="N3616" s="11">
        <f t="shared" si="565"/>
        <v>13.920400000000001</v>
      </c>
      <c r="O3616" s="11">
        <f t="shared" si="566"/>
        <v>0.26</v>
      </c>
      <c r="P3616" s="12">
        <f t="shared" si="567"/>
        <v>-13.920400000000001</v>
      </c>
      <c r="Q3616" s="17" t="str">
        <f t="shared" si="569"/>
        <v>Ecart négatif</v>
      </c>
    </row>
    <row r="3617" spans="1:17" x14ac:dyDescent="0.3">
      <c r="A3617" s="34" t="str">
        <f>base!J3617</f>
        <v>RM</v>
      </c>
      <c r="B3617" s="34" t="str">
        <f>base!V3617</f>
        <v>68390</v>
      </c>
      <c r="C3617" s="37">
        <v>68</v>
      </c>
      <c r="D3617" s="36">
        <f>base!H3617</f>
        <v>57.2</v>
      </c>
      <c r="E3617" s="44"/>
      <c r="F3617" s="16">
        <f>base!W3617</f>
        <v>0</v>
      </c>
      <c r="G3617" s="11">
        <f t="shared" si="560"/>
        <v>0</v>
      </c>
      <c r="H3617" s="11">
        <f t="shared" si="561"/>
        <v>16.588000000000001</v>
      </c>
      <c r="I3617" s="11">
        <f t="shared" si="562"/>
        <v>0.28999999999999998</v>
      </c>
      <c r="J3617" s="12">
        <f t="shared" si="563"/>
        <v>-16.588000000000001</v>
      </c>
      <c r="K3617" s="17" t="str">
        <f t="shared" si="568"/>
        <v>Ecart négatif</v>
      </c>
      <c r="L3617" s="16">
        <f>base!X3617</f>
        <v>0</v>
      </c>
      <c r="M3617" s="11">
        <f t="shared" si="564"/>
        <v>0</v>
      </c>
      <c r="N3617" s="11">
        <f t="shared" si="565"/>
        <v>4.5760000000000005</v>
      </c>
      <c r="O3617" s="11">
        <f t="shared" si="566"/>
        <v>0.08</v>
      </c>
      <c r="P3617" s="12">
        <f t="shared" si="567"/>
        <v>-4.5760000000000005</v>
      </c>
      <c r="Q3617" s="17" t="str">
        <f t="shared" si="569"/>
        <v>Ecart négatif</v>
      </c>
    </row>
    <row r="3618" spans="1:17" x14ac:dyDescent="0.3">
      <c r="A3618" s="34" t="str">
        <f>base!J3618</f>
        <v>LM</v>
      </c>
      <c r="B3618" s="34" t="str">
        <f>base!V3618</f>
        <v>13210</v>
      </c>
      <c r="C3618" s="37">
        <v>49</v>
      </c>
      <c r="D3618" s="36">
        <f>base!H3618</f>
        <v>120.49</v>
      </c>
      <c r="E3618" s="44"/>
      <c r="F3618" s="16">
        <f>base!W3618</f>
        <v>34.94</v>
      </c>
      <c r="G3618" s="11">
        <f t="shared" si="560"/>
        <v>0.28998257116773174</v>
      </c>
      <c r="H3618" s="11">
        <f t="shared" si="561"/>
        <v>32.532299999999999</v>
      </c>
      <c r="I3618" s="11">
        <f t="shared" si="562"/>
        <v>0.27</v>
      </c>
      <c r="J3618" s="12">
        <f t="shared" si="563"/>
        <v>2.4076999999999984</v>
      </c>
      <c r="K3618" s="17" t="str">
        <f t="shared" si="568"/>
        <v>Ecart positif</v>
      </c>
      <c r="L3618" s="16">
        <f>base!X3618</f>
        <v>0</v>
      </c>
      <c r="M3618" s="11">
        <f t="shared" si="564"/>
        <v>0</v>
      </c>
      <c r="N3618" s="11">
        <f t="shared" si="565"/>
        <v>0</v>
      </c>
      <c r="O3618" s="11">
        <f t="shared" si="566"/>
        <v>0</v>
      </c>
      <c r="P3618" s="12">
        <f t="shared" si="567"/>
        <v>0</v>
      </c>
      <c r="Q3618" s="17" t="str">
        <f t="shared" si="569"/>
        <v>Pas d'écart</v>
      </c>
    </row>
    <row r="3619" spans="1:17" x14ac:dyDescent="0.3">
      <c r="A3619" s="34" t="str">
        <f>base!J3619</f>
        <v>LS</v>
      </c>
      <c r="B3619" s="34" t="str">
        <f>base!V3619</f>
        <v>69002</v>
      </c>
      <c r="C3619" s="37">
        <v>69</v>
      </c>
      <c r="D3619" s="36">
        <f>base!H3619</f>
        <v>43.44</v>
      </c>
      <c r="E3619" s="44"/>
      <c r="F3619" s="16">
        <f>base!W3619</f>
        <v>11.73</v>
      </c>
      <c r="G3619" s="11">
        <f t="shared" si="560"/>
        <v>0.27002762430939231</v>
      </c>
      <c r="H3619" s="11">
        <f t="shared" si="561"/>
        <v>11.7288</v>
      </c>
      <c r="I3619" s="11">
        <f t="shared" si="562"/>
        <v>0.27</v>
      </c>
      <c r="J3619" s="12">
        <f t="shared" si="563"/>
        <v>1.200000000000756E-3</v>
      </c>
      <c r="K3619" s="17" t="str">
        <f t="shared" si="568"/>
        <v>Ecart positif</v>
      </c>
      <c r="L3619" s="16">
        <f>base!X3619</f>
        <v>0</v>
      </c>
      <c r="M3619" s="11">
        <f t="shared" si="564"/>
        <v>0</v>
      </c>
      <c r="N3619" s="11">
        <f t="shared" si="565"/>
        <v>0</v>
      </c>
      <c r="O3619" s="11">
        <f t="shared" si="566"/>
        <v>0</v>
      </c>
      <c r="P3619" s="12">
        <f t="shared" si="567"/>
        <v>0</v>
      </c>
      <c r="Q3619" s="17" t="str">
        <f t="shared" si="569"/>
        <v>Pas d'écart</v>
      </c>
    </row>
    <row r="3620" spans="1:17" x14ac:dyDescent="0.3">
      <c r="A3620" s="34" t="str">
        <f>base!J3620</f>
        <v>LS</v>
      </c>
      <c r="B3620" s="34" t="str">
        <f>base!V3620</f>
        <v>83790</v>
      </c>
      <c r="C3620" s="37">
        <v>69</v>
      </c>
      <c r="D3620" s="36">
        <f>base!H3620</f>
        <v>58.21</v>
      </c>
      <c r="E3620" s="44"/>
      <c r="F3620" s="16">
        <f>base!W3620</f>
        <v>17.46</v>
      </c>
      <c r="G3620" s="11">
        <f t="shared" si="560"/>
        <v>0.29994846246349427</v>
      </c>
      <c r="H3620" s="11">
        <f t="shared" si="561"/>
        <v>15.716700000000001</v>
      </c>
      <c r="I3620" s="11">
        <f t="shared" si="562"/>
        <v>0.27</v>
      </c>
      <c r="J3620" s="12">
        <f t="shared" si="563"/>
        <v>1.7432999999999996</v>
      </c>
      <c r="K3620" s="17" t="str">
        <f t="shared" si="568"/>
        <v>Ecart positif</v>
      </c>
      <c r="L3620" s="16">
        <f>base!X3620</f>
        <v>0</v>
      </c>
      <c r="M3620" s="11">
        <f t="shared" si="564"/>
        <v>0</v>
      </c>
      <c r="N3620" s="11">
        <f t="shared" si="565"/>
        <v>0</v>
      </c>
      <c r="O3620" s="11">
        <f t="shared" si="566"/>
        <v>0</v>
      </c>
      <c r="P3620" s="12">
        <f t="shared" si="567"/>
        <v>0</v>
      </c>
      <c r="Q3620" s="17" t="str">
        <f t="shared" si="569"/>
        <v>Pas d'écart</v>
      </c>
    </row>
    <row r="3621" spans="1:17" x14ac:dyDescent="0.3">
      <c r="A3621" s="34" t="str">
        <f>base!J3621</f>
        <v>RM</v>
      </c>
      <c r="B3621" s="34" t="str">
        <f>base!V3621</f>
        <v>25000</v>
      </c>
      <c r="C3621" s="37">
        <v>25</v>
      </c>
      <c r="D3621" s="36">
        <f>base!H3621</f>
        <v>151</v>
      </c>
      <c r="E3621" s="44"/>
      <c r="F3621" s="16">
        <f>base!W3621</f>
        <v>0</v>
      </c>
      <c r="G3621" s="11">
        <f t="shared" si="560"/>
        <v>0</v>
      </c>
      <c r="H3621" s="11">
        <f t="shared" si="561"/>
        <v>36.24</v>
      </c>
      <c r="I3621" s="11">
        <f t="shared" si="562"/>
        <v>0.24000000000000002</v>
      </c>
      <c r="J3621" s="12">
        <f t="shared" si="563"/>
        <v>-36.24</v>
      </c>
      <c r="K3621" s="17" t="str">
        <f t="shared" si="568"/>
        <v>Ecart négatif</v>
      </c>
      <c r="L3621" s="16">
        <f>base!X3621</f>
        <v>0</v>
      </c>
      <c r="M3621" s="11">
        <f t="shared" si="564"/>
        <v>0</v>
      </c>
      <c r="N3621" s="11">
        <f t="shared" si="565"/>
        <v>18.12</v>
      </c>
      <c r="O3621" s="11">
        <f t="shared" si="566"/>
        <v>0.12000000000000001</v>
      </c>
      <c r="P3621" s="12">
        <f t="shared" si="567"/>
        <v>-18.12</v>
      </c>
      <c r="Q3621" s="17" t="str">
        <f t="shared" si="569"/>
        <v>Ecart négatif</v>
      </c>
    </row>
    <row r="3622" spans="1:17" x14ac:dyDescent="0.3">
      <c r="A3622" s="34">
        <f>base!J3622</f>
        <v>0</v>
      </c>
      <c r="B3622" s="34" t="str">
        <f>base!V3622</f>
        <v>77184</v>
      </c>
      <c r="C3622" s="37">
        <v>77</v>
      </c>
      <c r="D3622" s="36">
        <f>base!H3622</f>
        <v>180</v>
      </c>
      <c r="E3622" s="44"/>
      <c r="F3622" s="16">
        <f>base!W3622</f>
        <v>0</v>
      </c>
      <c r="G3622" s="11">
        <f t="shared" si="560"/>
        <v>0</v>
      </c>
      <c r="H3622" s="11">
        <f t="shared" si="561"/>
        <v>0</v>
      </c>
      <c r="I3622" s="11">
        <f t="shared" si="562"/>
        <v>0</v>
      </c>
      <c r="J3622" s="12">
        <f t="shared" si="563"/>
        <v>0</v>
      </c>
      <c r="K3622" s="17" t="str">
        <f t="shared" si="568"/>
        <v>Pas d'écart</v>
      </c>
      <c r="L3622" s="16">
        <f>base!X3622</f>
        <v>0</v>
      </c>
      <c r="M3622" s="11">
        <f t="shared" si="564"/>
        <v>0</v>
      </c>
      <c r="N3622" s="11">
        <f t="shared" si="565"/>
        <v>0</v>
      </c>
      <c r="O3622" s="11">
        <f t="shared" si="566"/>
        <v>0</v>
      </c>
      <c r="P3622" s="12">
        <f t="shared" si="567"/>
        <v>0</v>
      </c>
      <c r="Q3622" s="17" t="str">
        <f t="shared" si="569"/>
        <v>Pas d'écart</v>
      </c>
    </row>
    <row r="3623" spans="1:17" x14ac:dyDescent="0.3">
      <c r="A3623" s="34" t="str">
        <f>base!J3623</f>
        <v>RS</v>
      </c>
      <c r="B3623" s="34" t="str">
        <f>base!V3623</f>
        <v>38390</v>
      </c>
      <c r="C3623" s="37">
        <v>38</v>
      </c>
      <c r="D3623" s="36">
        <f>base!H3623</f>
        <v>37.93</v>
      </c>
      <c r="E3623" s="44"/>
      <c r="F3623" s="16">
        <f>base!W3623</f>
        <v>0</v>
      </c>
      <c r="G3623" s="11">
        <f t="shared" si="560"/>
        <v>0</v>
      </c>
      <c r="H3623" s="11">
        <f t="shared" si="561"/>
        <v>10.241100000000001</v>
      </c>
      <c r="I3623" s="11">
        <f t="shared" si="562"/>
        <v>0.27</v>
      </c>
      <c r="J3623" s="12">
        <f t="shared" si="563"/>
        <v>-10.241100000000001</v>
      </c>
      <c r="K3623" s="17" t="str">
        <f t="shared" si="568"/>
        <v>Ecart négatif</v>
      </c>
      <c r="L3623" s="16">
        <f>base!X3623</f>
        <v>0</v>
      </c>
      <c r="M3623" s="11">
        <f t="shared" si="564"/>
        <v>0</v>
      </c>
      <c r="N3623" s="11">
        <f t="shared" si="565"/>
        <v>0</v>
      </c>
      <c r="O3623" s="11">
        <f t="shared" si="566"/>
        <v>0</v>
      </c>
      <c r="P3623" s="12">
        <f t="shared" si="567"/>
        <v>0</v>
      </c>
      <c r="Q3623" s="17" t="str">
        <f t="shared" si="569"/>
        <v>Pas d'écart</v>
      </c>
    </row>
    <row r="3624" spans="1:17" x14ac:dyDescent="0.3">
      <c r="A3624" s="34" t="str">
        <f>base!J3624</f>
        <v>DLM</v>
      </c>
      <c r="B3624" s="34" t="str">
        <f>base!V3624</f>
        <v>68360</v>
      </c>
      <c r="C3624" s="37">
        <v>68</v>
      </c>
      <c r="D3624" s="36">
        <f>base!H3624</f>
        <v>163.98</v>
      </c>
      <c r="E3624" s="44"/>
      <c r="F3624" s="16">
        <f>base!W3624</f>
        <v>0</v>
      </c>
      <c r="G3624" s="11">
        <f t="shared" si="560"/>
        <v>0</v>
      </c>
      <c r="H3624" s="11">
        <f t="shared" si="561"/>
        <v>47.554199999999994</v>
      </c>
      <c r="I3624" s="11">
        <f t="shared" si="562"/>
        <v>0.28999999999999998</v>
      </c>
      <c r="J3624" s="12">
        <f t="shared" si="563"/>
        <v>-47.554199999999994</v>
      </c>
      <c r="K3624" s="17" t="str">
        <f t="shared" si="568"/>
        <v>Ecart négatif</v>
      </c>
      <c r="L3624" s="16">
        <f>base!X3624</f>
        <v>0</v>
      </c>
      <c r="M3624" s="11">
        <f t="shared" si="564"/>
        <v>0</v>
      </c>
      <c r="N3624" s="11">
        <f t="shared" si="565"/>
        <v>13.118399999999999</v>
      </c>
      <c r="O3624" s="11">
        <f t="shared" si="566"/>
        <v>0.08</v>
      </c>
      <c r="P3624" s="12">
        <f t="shared" si="567"/>
        <v>-13.118399999999999</v>
      </c>
      <c r="Q3624" s="17" t="str">
        <f t="shared" si="569"/>
        <v>Ecart négatif</v>
      </c>
    </row>
    <row r="3625" spans="1:17" x14ac:dyDescent="0.3">
      <c r="A3625" s="34" t="str">
        <f>base!J3625</f>
        <v>LS</v>
      </c>
      <c r="B3625" s="34" t="str">
        <f>base!V3625</f>
        <v>62740</v>
      </c>
      <c r="C3625" s="37">
        <v>69</v>
      </c>
      <c r="D3625" s="36">
        <f>base!H3625</f>
        <v>55.31</v>
      </c>
      <c r="E3625" s="44"/>
      <c r="F3625" s="16">
        <f>base!W3625</f>
        <v>10.51</v>
      </c>
      <c r="G3625" s="11">
        <f t="shared" si="560"/>
        <v>0.19001988790453805</v>
      </c>
      <c r="H3625" s="11">
        <f t="shared" si="561"/>
        <v>14.933700000000002</v>
      </c>
      <c r="I3625" s="11">
        <f t="shared" si="562"/>
        <v>0.27</v>
      </c>
      <c r="J3625" s="12">
        <f t="shared" si="563"/>
        <v>-4.423700000000002</v>
      </c>
      <c r="K3625" s="17" t="str">
        <f t="shared" si="568"/>
        <v>Ecart négatif</v>
      </c>
      <c r="L3625" s="16">
        <f>base!X3625</f>
        <v>0</v>
      </c>
      <c r="M3625" s="11">
        <f t="shared" si="564"/>
        <v>0</v>
      </c>
      <c r="N3625" s="11">
        <f t="shared" si="565"/>
        <v>0</v>
      </c>
      <c r="O3625" s="11">
        <f t="shared" si="566"/>
        <v>0</v>
      </c>
      <c r="P3625" s="12">
        <f t="shared" si="567"/>
        <v>0</v>
      </c>
      <c r="Q3625" s="17" t="str">
        <f t="shared" si="569"/>
        <v>Pas d'écart</v>
      </c>
    </row>
    <row r="3626" spans="1:17" x14ac:dyDescent="0.3">
      <c r="A3626" s="34" t="str">
        <f>base!J3626</f>
        <v>LM</v>
      </c>
      <c r="B3626" s="34" t="str">
        <f>base!V3626</f>
        <v>62740</v>
      </c>
      <c r="C3626" s="37">
        <v>69</v>
      </c>
      <c r="D3626" s="36">
        <f>base!H3626</f>
        <v>55.31</v>
      </c>
      <c r="E3626" s="44"/>
      <c r="F3626" s="16">
        <f>base!W3626</f>
        <v>10.51</v>
      </c>
      <c r="G3626" s="11">
        <f t="shared" si="560"/>
        <v>0.19001988790453805</v>
      </c>
      <c r="H3626" s="11">
        <f t="shared" si="561"/>
        <v>14.933700000000002</v>
      </c>
      <c r="I3626" s="11">
        <f t="shared" si="562"/>
        <v>0.27</v>
      </c>
      <c r="J3626" s="12">
        <f t="shared" si="563"/>
        <v>-4.423700000000002</v>
      </c>
      <c r="K3626" s="17" t="str">
        <f t="shared" si="568"/>
        <v>Ecart négatif</v>
      </c>
      <c r="L3626" s="16">
        <f>base!X3626</f>
        <v>0</v>
      </c>
      <c r="M3626" s="11">
        <f t="shared" si="564"/>
        <v>0</v>
      </c>
      <c r="N3626" s="11">
        <f t="shared" si="565"/>
        <v>0</v>
      </c>
      <c r="O3626" s="11">
        <f t="shared" si="566"/>
        <v>0</v>
      </c>
      <c r="P3626" s="12">
        <f t="shared" si="567"/>
        <v>0</v>
      </c>
      <c r="Q3626" s="17" t="str">
        <f t="shared" si="569"/>
        <v>Pas d'écart</v>
      </c>
    </row>
    <row r="3627" spans="1:17" x14ac:dyDescent="0.3">
      <c r="A3627" s="34" t="str">
        <f>base!J3627</f>
        <v>LM</v>
      </c>
      <c r="B3627" s="34" t="str">
        <f>base!V3627</f>
        <v>58120</v>
      </c>
      <c r="C3627" s="37">
        <v>69</v>
      </c>
      <c r="D3627" s="36">
        <f>base!H3627</f>
        <v>220.21</v>
      </c>
      <c r="E3627" s="44"/>
      <c r="F3627" s="16">
        <f>base!W3627</f>
        <v>52.85</v>
      </c>
      <c r="G3627" s="11">
        <f t="shared" si="560"/>
        <v>0.23999818355206393</v>
      </c>
      <c r="H3627" s="11">
        <f t="shared" si="561"/>
        <v>59.456700000000005</v>
      </c>
      <c r="I3627" s="11">
        <f t="shared" si="562"/>
        <v>0.27</v>
      </c>
      <c r="J3627" s="12">
        <f t="shared" si="563"/>
        <v>-6.6067000000000036</v>
      </c>
      <c r="K3627" s="17" t="str">
        <f t="shared" si="568"/>
        <v>Ecart négatif</v>
      </c>
      <c r="L3627" s="16">
        <f>base!X3627</f>
        <v>0</v>
      </c>
      <c r="M3627" s="11">
        <f t="shared" si="564"/>
        <v>0</v>
      </c>
      <c r="N3627" s="11">
        <f t="shared" si="565"/>
        <v>0</v>
      </c>
      <c r="O3627" s="11">
        <f t="shared" si="566"/>
        <v>0</v>
      </c>
      <c r="P3627" s="12">
        <f t="shared" si="567"/>
        <v>0</v>
      </c>
      <c r="Q3627" s="17" t="str">
        <f t="shared" si="569"/>
        <v>Pas d'écart</v>
      </c>
    </row>
    <row r="3628" spans="1:17" x14ac:dyDescent="0.3">
      <c r="A3628" s="34">
        <f>base!J3628</f>
        <v>0</v>
      </c>
      <c r="B3628" s="34" t="str">
        <f>base!V3628</f>
        <v>44240</v>
      </c>
      <c r="C3628" s="37">
        <v>44</v>
      </c>
      <c r="D3628" s="36">
        <f>base!H3628</f>
        <v>34.72</v>
      </c>
      <c r="E3628" s="44"/>
      <c r="F3628" s="16">
        <f>base!W3628</f>
        <v>0</v>
      </c>
      <c r="G3628" s="11">
        <f t="shared" si="560"/>
        <v>0</v>
      </c>
      <c r="H3628" s="11">
        <f t="shared" si="561"/>
        <v>9.3743999999999996</v>
      </c>
      <c r="I3628" s="11">
        <f t="shared" si="562"/>
        <v>0.27</v>
      </c>
      <c r="J3628" s="12">
        <f t="shared" si="563"/>
        <v>-9.3743999999999996</v>
      </c>
      <c r="K3628" s="17" t="str">
        <f t="shared" si="568"/>
        <v>Ecart négatif</v>
      </c>
      <c r="L3628" s="16">
        <f>base!X3628</f>
        <v>0</v>
      </c>
      <c r="M3628" s="11">
        <f t="shared" si="564"/>
        <v>0</v>
      </c>
      <c r="N3628" s="11">
        <f t="shared" si="565"/>
        <v>0</v>
      </c>
      <c r="O3628" s="11">
        <f t="shared" si="566"/>
        <v>0</v>
      </c>
      <c r="P3628" s="12">
        <f t="shared" si="567"/>
        <v>0</v>
      </c>
      <c r="Q3628" s="17" t="str">
        <f t="shared" si="569"/>
        <v>Pas d'écart</v>
      </c>
    </row>
    <row r="3629" spans="1:17" x14ac:dyDescent="0.3">
      <c r="A3629" s="34">
        <f>base!J3629</f>
        <v>0</v>
      </c>
      <c r="B3629" s="34" t="str">
        <f>base!V3629</f>
        <v>77184</v>
      </c>
      <c r="C3629" s="37">
        <v>77</v>
      </c>
      <c r="D3629" s="36">
        <f>base!H3629</f>
        <v>175.82</v>
      </c>
      <c r="E3629" s="44"/>
      <c r="F3629" s="16">
        <f>base!W3629</f>
        <v>0</v>
      </c>
      <c r="G3629" s="11">
        <f t="shared" si="560"/>
        <v>0</v>
      </c>
      <c r="H3629" s="11">
        <f t="shared" si="561"/>
        <v>0</v>
      </c>
      <c r="I3629" s="11">
        <f t="shared" si="562"/>
        <v>0</v>
      </c>
      <c r="J3629" s="12">
        <f t="shared" si="563"/>
        <v>0</v>
      </c>
      <c r="K3629" s="17" t="str">
        <f t="shared" si="568"/>
        <v>Pas d'écart</v>
      </c>
      <c r="L3629" s="16">
        <f>base!X3629</f>
        <v>0</v>
      </c>
      <c r="M3629" s="11">
        <f t="shared" si="564"/>
        <v>0</v>
      </c>
      <c r="N3629" s="11">
        <f t="shared" si="565"/>
        <v>0</v>
      </c>
      <c r="O3629" s="11">
        <f t="shared" si="566"/>
        <v>0</v>
      </c>
      <c r="P3629" s="12">
        <f t="shared" si="567"/>
        <v>0</v>
      </c>
      <c r="Q3629" s="17" t="str">
        <f t="shared" si="569"/>
        <v>Pas d'écart</v>
      </c>
    </row>
    <row r="3630" spans="1:17" x14ac:dyDescent="0.3">
      <c r="A3630" s="34" t="str">
        <f>base!J3630</f>
        <v>RM</v>
      </c>
      <c r="B3630" s="34" t="str">
        <f>base!V3630</f>
        <v>95150</v>
      </c>
      <c r="C3630" s="37">
        <v>95</v>
      </c>
      <c r="D3630" s="36">
        <f>base!H3630</f>
        <v>680.14</v>
      </c>
      <c r="E3630" s="44"/>
      <c r="F3630" s="16">
        <f>base!W3630</f>
        <v>0</v>
      </c>
      <c r="G3630" s="11">
        <f t="shared" si="560"/>
        <v>0</v>
      </c>
      <c r="H3630" s="11">
        <f t="shared" si="561"/>
        <v>0</v>
      </c>
      <c r="I3630" s="11">
        <f t="shared" si="562"/>
        <v>0</v>
      </c>
      <c r="J3630" s="12">
        <f t="shared" si="563"/>
        <v>0</v>
      </c>
      <c r="K3630" s="17" t="str">
        <f t="shared" si="568"/>
        <v>Pas d'écart</v>
      </c>
      <c r="L3630" s="16">
        <f>base!X3630</f>
        <v>0</v>
      </c>
      <c r="M3630" s="11">
        <f t="shared" si="564"/>
        <v>0</v>
      </c>
      <c r="N3630" s="11">
        <f t="shared" si="565"/>
        <v>0</v>
      </c>
      <c r="O3630" s="11">
        <f t="shared" si="566"/>
        <v>0</v>
      </c>
      <c r="P3630" s="12">
        <f t="shared" si="567"/>
        <v>0</v>
      </c>
      <c r="Q3630" s="17" t="str">
        <f t="shared" si="569"/>
        <v>Pas d'écart</v>
      </c>
    </row>
    <row r="3631" spans="1:17" x14ac:dyDescent="0.3">
      <c r="A3631" s="34">
        <f>base!J3631</f>
        <v>0</v>
      </c>
      <c r="B3631" s="34" t="str">
        <f>base!V3631</f>
        <v>77184</v>
      </c>
      <c r="C3631" s="37">
        <v>77</v>
      </c>
      <c r="D3631" s="36">
        <f>base!H3631</f>
        <v>30</v>
      </c>
      <c r="E3631" s="44"/>
      <c r="F3631" s="16">
        <f>base!W3631</f>
        <v>0</v>
      </c>
      <c r="G3631" s="11">
        <f t="shared" si="560"/>
        <v>0</v>
      </c>
      <c r="H3631" s="11">
        <f t="shared" si="561"/>
        <v>0</v>
      </c>
      <c r="I3631" s="11">
        <f t="shared" si="562"/>
        <v>0</v>
      </c>
      <c r="J3631" s="12">
        <f t="shared" si="563"/>
        <v>0</v>
      </c>
      <c r="K3631" s="17" t="str">
        <f t="shared" si="568"/>
        <v>Pas d'écart</v>
      </c>
      <c r="L3631" s="16">
        <f>base!X3631</f>
        <v>0</v>
      </c>
      <c r="M3631" s="11">
        <f t="shared" si="564"/>
        <v>0</v>
      </c>
      <c r="N3631" s="11">
        <f t="shared" si="565"/>
        <v>0</v>
      </c>
      <c r="O3631" s="11">
        <f t="shared" si="566"/>
        <v>0</v>
      </c>
      <c r="P3631" s="12">
        <f t="shared" si="567"/>
        <v>0</v>
      </c>
      <c r="Q3631" s="17" t="str">
        <f t="shared" si="569"/>
        <v>Pas d'écart</v>
      </c>
    </row>
    <row r="3632" spans="1:17" x14ac:dyDescent="0.3">
      <c r="A3632" s="34">
        <f>base!J3632</f>
        <v>0</v>
      </c>
      <c r="B3632" s="34" t="str">
        <f>base!V3632</f>
        <v>77184</v>
      </c>
      <c r="C3632" s="37">
        <v>77</v>
      </c>
      <c r="D3632" s="36">
        <f>base!H3632</f>
        <v>68</v>
      </c>
      <c r="E3632" s="44"/>
      <c r="F3632" s="16">
        <f>base!W3632</f>
        <v>0</v>
      </c>
      <c r="G3632" s="11">
        <f t="shared" si="560"/>
        <v>0</v>
      </c>
      <c r="H3632" s="11">
        <f t="shared" si="561"/>
        <v>0</v>
      </c>
      <c r="I3632" s="11">
        <f t="shared" si="562"/>
        <v>0</v>
      </c>
      <c r="J3632" s="12">
        <f t="shared" si="563"/>
        <v>0</v>
      </c>
      <c r="K3632" s="17" t="str">
        <f t="shared" si="568"/>
        <v>Pas d'écart</v>
      </c>
      <c r="L3632" s="16">
        <f>base!X3632</f>
        <v>0</v>
      </c>
      <c r="M3632" s="11">
        <f t="shared" si="564"/>
        <v>0</v>
      </c>
      <c r="N3632" s="11">
        <f t="shared" si="565"/>
        <v>0</v>
      </c>
      <c r="O3632" s="11">
        <f t="shared" si="566"/>
        <v>0</v>
      </c>
      <c r="P3632" s="12">
        <f t="shared" si="567"/>
        <v>0</v>
      </c>
      <c r="Q3632" s="17" t="str">
        <f t="shared" si="569"/>
        <v>Pas d'écart</v>
      </c>
    </row>
    <row r="3633" spans="1:18" x14ac:dyDescent="0.3">
      <c r="A3633" s="34">
        <f>base!J3633</f>
        <v>0</v>
      </c>
      <c r="B3633" s="34" t="str">
        <f>base!V3633</f>
        <v>77184</v>
      </c>
      <c r="C3633" s="37">
        <v>77</v>
      </c>
      <c r="D3633" s="36">
        <f>base!H3633</f>
        <v>104</v>
      </c>
      <c r="E3633" s="44"/>
      <c r="F3633" s="16">
        <f>base!W3633</f>
        <v>0</v>
      </c>
      <c r="G3633" s="11">
        <f t="shared" si="560"/>
        <v>0</v>
      </c>
      <c r="H3633" s="11">
        <f t="shared" si="561"/>
        <v>0</v>
      </c>
      <c r="I3633" s="11">
        <f t="shared" si="562"/>
        <v>0</v>
      </c>
      <c r="J3633" s="12">
        <f t="shared" si="563"/>
        <v>0</v>
      </c>
      <c r="K3633" s="17" t="str">
        <f t="shared" si="568"/>
        <v>Pas d'écart</v>
      </c>
      <c r="L3633" s="16">
        <f>base!X3633</f>
        <v>0</v>
      </c>
      <c r="M3633" s="11">
        <f t="shared" si="564"/>
        <v>0</v>
      </c>
      <c r="N3633" s="11">
        <f t="shared" si="565"/>
        <v>0</v>
      </c>
      <c r="O3633" s="11">
        <f t="shared" si="566"/>
        <v>0</v>
      </c>
      <c r="P3633" s="12">
        <f t="shared" si="567"/>
        <v>0</v>
      </c>
      <c r="Q3633" s="17" t="str">
        <f t="shared" si="569"/>
        <v>Pas d'écart</v>
      </c>
    </row>
    <row r="3634" spans="1:18" x14ac:dyDescent="0.3">
      <c r="A3634" s="34" t="str">
        <f>base!J3634</f>
        <v>RS</v>
      </c>
      <c r="B3634" s="34" t="str">
        <f>base!V3634</f>
        <v>35510</v>
      </c>
      <c r="C3634" s="37">
        <v>35</v>
      </c>
      <c r="D3634" s="36">
        <f>base!H3634</f>
        <v>140</v>
      </c>
      <c r="E3634" s="44"/>
      <c r="F3634" s="16">
        <f>base!W3634</f>
        <v>0</v>
      </c>
      <c r="G3634" s="11">
        <f t="shared" si="560"/>
        <v>0</v>
      </c>
      <c r="H3634" s="11">
        <f t="shared" si="561"/>
        <v>37.800000000000004</v>
      </c>
      <c r="I3634" s="11">
        <f t="shared" si="562"/>
        <v>0.27</v>
      </c>
      <c r="J3634" s="12">
        <f t="shared" si="563"/>
        <v>-37.800000000000004</v>
      </c>
      <c r="K3634" s="17" t="str">
        <f t="shared" si="568"/>
        <v>Ecart négatif</v>
      </c>
      <c r="L3634" s="16">
        <f>base!X3634</f>
        <v>0</v>
      </c>
      <c r="M3634" s="11">
        <f t="shared" si="564"/>
        <v>0</v>
      </c>
      <c r="N3634" s="11">
        <f t="shared" si="565"/>
        <v>0</v>
      </c>
      <c r="O3634" s="11">
        <f t="shared" si="566"/>
        <v>0</v>
      </c>
      <c r="P3634" s="12">
        <f t="shared" si="567"/>
        <v>0</v>
      </c>
      <c r="Q3634" s="17" t="str">
        <f t="shared" si="569"/>
        <v>Pas d'écart</v>
      </c>
    </row>
    <row r="3635" spans="1:18" x14ac:dyDescent="0.3">
      <c r="A3635" s="34" t="str">
        <f>base!J3635</f>
        <v>RS</v>
      </c>
      <c r="B3635" s="34" t="str">
        <f>base!V3635</f>
        <v>14000</v>
      </c>
      <c r="C3635" s="37">
        <v>14</v>
      </c>
      <c r="D3635" s="36">
        <f>base!H3635</f>
        <v>186.98</v>
      </c>
      <c r="E3635" s="44"/>
      <c r="F3635" s="16">
        <f>base!W3635</f>
        <v>0</v>
      </c>
      <c r="G3635" s="11">
        <f t="shared" si="560"/>
        <v>0</v>
      </c>
      <c r="H3635" s="11">
        <f t="shared" si="561"/>
        <v>31.7866</v>
      </c>
      <c r="I3635" s="11">
        <f t="shared" si="562"/>
        <v>0.17</v>
      </c>
      <c r="J3635" s="12">
        <f t="shared" si="563"/>
        <v>-31.7866</v>
      </c>
      <c r="K3635" s="17" t="str">
        <f t="shared" si="568"/>
        <v>Ecart négatif</v>
      </c>
      <c r="L3635" s="16">
        <f>base!X3635</f>
        <v>31.79</v>
      </c>
      <c r="M3635" s="11">
        <f t="shared" si="564"/>
        <v>0.17001818376296932</v>
      </c>
      <c r="N3635" s="11">
        <f t="shared" si="565"/>
        <v>31.7866</v>
      </c>
      <c r="O3635" s="11">
        <f t="shared" si="566"/>
        <v>0.17</v>
      </c>
      <c r="P3635" s="12">
        <f t="shared" si="567"/>
        <v>3.3999999999991815E-3</v>
      </c>
      <c r="Q3635" s="17" t="str">
        <f t="shared" si="569"/>
        <v>Ecart positif</v>
      </c>
      <c r="R3635" s="38"/>
    </row>
    <row r="3636" spans="1:18" x14ac:dyDescent="0.3">
      <c r="A3636" s="34">
        <f>base!J3636</f>
        <v>0</v>
      </c>
      <c r="B3636" s="34" t="str">
        <f>base!V3636</f>
        <v>77184</v>
      </c>
      <c r="C3636" s="37">
        <v>77</v>
      </c>
      <c r="D3636" s="36">
        <f>base!H3636</f>
        <v>84.5</v>
      </c>
      <c r="E3636" s="44"/>
      <c r="F3636" s="16">
        <f>base!W3636</f>
        <v>0</v>
      </c>
      <c r="G3636" s="11">
        <f t="shared" si="560"/>
        <v>0</v>
      </c>
      <c r="H3636" s="11">
        <f t="shared" si="561"/>
        <v>0</v>
      </c>
      <c r="I3636" s="11">
        <f t="shared" si="562"/>
        <v>0</v>
      </c>
      <c r="J3636" s="12">
        <f t="shared" si="563"/>
        <v>0</v>
      </c>
      <c r="K3636" s="17" t="str">
        <f t="shared" si="568"/>
        <v>Pas d'écart</v>
      </c>
      <c r="L3636" s="16">
        <f>base!X3636</f>
        <v>0</v>
      </c>
      <c r="M3636" s="11">
        <f t="shared" si="564"/>
        <v>0</v>
      </c>
      <c r="N3636" s="11">
        <f t="shared" si="565"/>
        <v>0</v>
      </c>
      <c r="O3636" s="11">
        <f t="shared" si="566"/>
        <v>0</v>
      </c>
      <c r="P3636" s="12">
        <f t="shared" si="567"/>
        <v>0</v>
      </c>
      <c r="Q3636" s="17" t="str">
        <f t="shared" si="569"/>
        <v>Pas d'écart</v>
      </c>
    </row>
    <row r="3637" spans="1:18" x14ac:dyDescent="0.3">
      <c r="A3637" s="34">
        <f>base!J3637</f>
        <v>0</v>
      </c>
      <c r="B3637" s="34" t="str">
        <f>base!V3637</f>
        <v>77184</v>
      </c>
      <c r="C3637" s="37">
        <v>77</v>
      </c>
      <c r="D3637" s="36">
        <f>base!H3637</f>
        <v>178.52</v>
      </c>
      <c r="E3637" s="44"/>
      <c r="F3637" s="16">
        <f>base!W3637</f>
        <v>0</v>
      </c>
      <c r="G3637" s="11">
        <f t="shared" si="560"/>
        <v>0</v>
      </c>
      <c r="H3637" s="11">
        <f t="shared" si="561"/>
        <v>0</v>
      </c>
      <c r="I3637" s="11">
        <f t="shared" si="562"/>
        <v>0</v>
      </c>
      <c r="J3637" s="12">
        <f t="shared" si="563"/>
        <v>0</v>
      </c>
      <c r="K3637" s="17" t="str">
        <f t="shared" si="568"/>
        <v>Pas d'écart</v>
      </c>
      <c r="L3637" s="16">
        <f>base!X3637</f>
        <v>0</v>
      </c>
      <c r="M3637" s="11">
        <f t="shared" si="564"/>
        <v>0</v>
      </c>
      <c r="N3637" s="11">
        <f t="shared" si="565"/>
        <v>0</v>
      </c>
      <c r="O3637" s="11">
        <f t="shared" si="566"/>
        <v>0</v>
      </c>
      <c r="P3637" s="12">
        <f t="shared" si="567"/>
        <v>0</v>
      </c>
      <c r="Q3637" s="17" t="str">
        <f t="shared" si="569"/>
        <v>Pas d'écart</v>
      </c>
    </row>
    <row r="3638" spans="1:18" x14ac:dyDescent="0.3">
      <c r="A3638" s="34">
        <f>base!J3638</f>
        <v>0</v>
      </c>
      <c r="B3638" s="34" t="str">
        <f>base!V3638</f>
        <v>77184</v>
      </c>
      <c r="C3638" s="37">
        <v>77</v>
      </c>
      <c r="D3638" s="36">
        <f>base!H3638</f>
        <v>156</v>
      </c>
      <c r="E3638" s="44"/>
      <c r="F3638" s="16">
        <f>base!W3638</f>
        <v>0</v>
      </c>
      <c r="G3638" s="11">
        <f t="shared" si="560"/>
        <v>0</v>
      </c>
      <c r="H3638" s="11">
        <f t="shared" si="561"/>
        <v>0</v>
      </c>
      <c r="I3638" s="11">
        <f t="shared" si="562"/>
        <v>0</v>
      </c>
      <c r="J3638" s="12">
        <f t="shared" si="563"/>
        <v>0</v>
      </c>
      <c r="K3638" s="17" t="str">
        <f t="shared" si="568"/>
        <v>Pas d'écart</v>
      </c>
      <c r="L3638" s="16">
        <f>base!X3638</f>
        <v>0</v>
      </c>
      <c r="M3638" s="11">
        <f t="shared" si="564"/>
        <v>0</v>
      </c>
      <c r="N3638" s="11">
        <f t="shared" si="565"/>
        <v>0</v>
      </c>
      <c r="O3638" s="11">
        <f t="shared" si="566"/>
        <v>0</v>
      </c>
      <c r="P3638" s="12">
        <f t="shared" si="567"/>
        <v>0</v>
      </c>
      <c r="Q3638" s="17" t="str">
        <f t="shared" si="569"/>
        <v>Pas d'écart</v>
      </c>
    </row>
    <row r="3639" spans="1:18" x14ac:dyDescent="0.3">
      <c r="A3639" s="34" t="str">
        <f>base!J3639</f>
        <v>RS</v>
      </c>
      <c r="B3639" s="34" t="str">
        <f>base!V3639</f>
        <v>34410</v>
      </c>
      <c r="C3639" s="37">
        <v>34</v>
      </c>
      <c r="D3639" s="36">
        <f>base!H3639</f>
        <v>40</v>
      </c>
      <c r="E3639" s="44"/>
      <c r="F3639" s="16">
        <f>base!W3639</f>
        <v>0</v>
      </c>
      <c r="G3639" s="11">
        <f t="shared" si="560"/>
        <v>0</v>
      </c>
      <c r="H3639" s="11">
        <f t="shared" si="561"/>
        <v>15.600000000000001</v>
      </c>
      <c r="I3639" s="11">
        <f t="shared" si="562"/>
        <v>0.39</v>
      </c>
      <c r="J3639" s="12">
        <f t="shared" si="563"/>
        <v>-15.600000000000001</v>
      </c>
      <c r="K3639" s="17" t="str">
        <f t="shared" si="568"/>
        <v>Ecart négatif</v>
      </c>
      <c r="L3639" s="16">
        <f>base!X3639</f>
        <v>11.2</v>
      </c>
      <c r="M3639" s="11">
        <f t="shared" si="564"/>
        <v>0.27999999999999997</v>
      </c>
      <c r="N3639" s="11">
        <f t="shared" si="565"/>
        <v>11.200000000000001</v>
      </c>
      <c r="O3639" s="11">
        <f t="shared" si="566"/>
        <v>0.28000000000000003</v>
      </c>
      <c r="P3639" s="12">
        <f t="shared" si="567"/>
        <v>0</v>
      </c>
      <c r="Q3639" s="17" t="str">
        <f t="shared" si="569"/>
        <v>Pas d'écart</v>
      </c>
      <c r="R3639" s="38"/>
    </row>
    <row r="3640" spans="1:18" x14ac:dyDescent="0.3">
      <c r="A3640" s="34" t="str">
        <f>base!J3640</f>
        <v>LS</v>
      </c>
      <c r="B3640" s="34" t="str">
        <f>base!V3640</f>
        <v>62138</v>
      </c>
      <c r="C3640" s="37">
        <v>69</v>
      </c>
      <c r="D3640" s="36">
        <f>base!H3640</f>
        <v>47.93</v>
      </c>
      <c r="E3640" s="44"/>
      <c r="F3640" s="16">
        <f>base!W3640</f>
        <v>9.11</v>
      </c>
      <c r="G3640" s="11">
        <f t="shared" si="560"/>
        <v>0.19006885040684329</v>
      </c>
      <c r="H3640" s="11">
        <f t="shared" si="561"/>
        <v>12.9411</v>
      </c>
      <c r="I3640" s="11">
        <f t="shared" si="562"/>
        <v>0.27</v>
      </c>
      <c r="J3640" s="12">
        <f t="shared" si="563"/>
        <v>-3.8311000000000011</v>
      </c>
      <c r="K3640" s="17" t="str">
        <f t="shared" si="568"/>
        <v>Ecart négatif</v>
      </c>
      <c r="L3640" s="16">
        <f>base!X3640</f>
        <v>0</v>
      </c>
      <c r="M3640" s="11">
        <f t="shared" si="564"/>
        <v>0</v>
      </c>
      <c r="N3640" s="11">
        <f t="shared" si="565"/>
        <v>0</v>
      </c>
      <c r="O3640" s="11">
        <f t="shared" si="566"/>
        <v>0</v>
      </c>
      <c r="P3640" s="12">
        <f t="shared" si="567"/>
        <v>0</v>
      </c>
      <c r="Q3640" s="17" t="str">
        <f t="shared" si="569"/>
        <v>Pas d'écart</v>
      </c>
    </row>
    <row r="3641" spans="1:18" x14ac:dyDescent="0.3">
      <c r="A3641" s="34" t="str">
        <f>base!J3641</f>
        <v>LS</v>
      </c>
      <c r="B3641" s="34" t="str">
        <f>base!V3641</f>
        <v>62138</v>
      </c>
      <c r="C3641" s="37">
        <v>69</v>
      </c>
      <c r="D3641" s="36">
        <f>base!H3641</f>
        <v>108.01</v>
      </c>
      <c r="E3641" s="44"/>
      <c r="F3641" s="16">
        <f>base!W3641</f>
        <v>20.52</v>
      </c>
      <c r="G3641" s="11">
        <f t="shared" si="560"/>
        <v>0.18998240903620034</v>
      </c>
      <c r="H3641" s="11">
        <f t="shared" si="561"/>
        <v>29.162700000000005</v>
      </c>
      <c r="I3641" s="11">
        <f t="shared" si="562"/>
        <v>0.27</v>
      </c>
      <c r="J3641" s="12">
        <f t="shared" si="563"/>
        <v>-8.6427000000000049</v>
      </c>
      <c r="K3641" s="17" t="str">
        <f t="shared" si="568"/>
        <v>Ecart négatif</v>
      </c>
      <c r="L3641" s="16">
        <f>base!X3641</f>
        <v>0</v>
      </c>
      <c r="M3641" s="11">
        <f t="shared" si="564"/>
        <v>0</v>
      </c>
      <c r="N3641" s="11">
        <f t="shared" si="565"/>
        <v>0</v>
      </c>
      <c r="O3641" s="11">
        <f t="shared" si="566"/>
        <v>0</v>
      </c>
      <c r="P3641" s="12">
        <f t="shared" si="567"/>
        <v>0</v>
      </c>
      <c r="Q3641" s="17" t="str">
        <f t="shared" si="569"/>
        <v>Pas d'écart</v>
      </c>
    </row>
    <row r="3642" spans="1:18" x14ac:dyDescent="0.3">
      <c r="A3642" s="34">
        <f>base!J3642</f>
        <v>0</v>
      </c>
      <c r="B3642" s="34" t="str">
        <f>base!V3642</f>
        <v>77184</v>
      </c>
      <c r="C3642" s="37">
        <v>77</v>
      </c>
      <c r="D3642" s="36">
        <f>base!H3642</f>
        <v>130</v>
      </c>
      <c r="E3642" s="44"/>
      <c r="F3642" s="16">
        <f>base!W3642</f>
        <v>0</v>
      </c>
      <c r="G3642" s="11">
        <f t="shared" si="560"/>
        <v>0</v>
      </c>
      <c r="H3642" s="11">
        <f t="shared" si="561"/>
        <v>0</v>
      </c>
      <c r="I3642" s="11">
        <f t="shared" si="562"/>
        <v>0</v>
      </c>
      <c r="J3642" s="12">
        <f t="shared" si="563"/>
        <v>0</v>
      </c>
      <c r="K3642" s="17" t="str">
        <f t="shared" si="568"/>
        <v>Pas d'écart</v>
      </c>
      <c r="L3642" s="16">
        <f>base!X3642</f>
        <v>0</v>
      </c>
      <c r="M3642" s="11">
        <f t="shared" si="564"/>
        <v>0</v>
      </c>
      <c r="N3642" s="11">
        <f t="shared" si="565"/>
        <v>0</v>
      </c>
      <c r="O3642" s="11">
        <f t="shared" si="566"/>
        <v>0</v>
      </c>
      <c r="P3642" s="12">
        <f t="shared" si="567"/>
        <v>0</v>
      </c>
      <c r="Q3642" s="17" t="str">
        <f t="shared" si="569"/>
        <v>Pas d'écart</v>
      </c>
    </row>
    <row r="3643" spans="1:18" x14ac:dyDescent="0.3">
      <c r="A3643" s="34" t="str">
        <f>base!J3643</f>
        <v>RS</v>
      </c>
      <c r="B3643" s="34" t="str">
        <f>base!V3643</f>
        <v>50160</v>
      </c>
      <c r="C3643" s="37">
        <v>50</v>
      </c>
      <c r="D3643" s="36">
        <f>base!H3643</f>
        <v>140</v>
      </c>
      <c r="E3643" s="44"/>
      <c r="F3643" s="16">
        <f>base!W3643</f>
        <v>0</v>
      </c>
      <c r="G3643" s="11">
        <f t="shared" si="560"/>
        <v>0</v>
      </c>
      <c r="H3643" s="11">
        <f t="shared" si="561"/>
        <v>23.8</v>
      </c>
      <c r="I3643" s="11">
        <f t="shared" si="562"/>
        <v>0.17</v>
      </c>
      <c r="J3643" s="12">
        <f t="shared" si="563"/>
        <v>-23.8</v>
      </c>
      <c r="K3643" s="17" t="str">
        <f t="shared" si="568"/>
        <v>Ecart négatif</v>
      </c>
      <c r="L3643" s="16">
        <f>base!X3643</f>
        <v>23.8</v>
      </c>
      <c r="M3643" s="11">
        <f t="shared" si="564"/>
        <v>0.17</v>
      </c>
      <c r="N3643" s="11">
        <f t="shared" si="565"/>
        <v>23.8</v>
      </c>
      <c r="O3643" s="11">
        <f t="shared" si="566"/>
        <v>0.17</v>
      </c>
      <c r="P3643" s="12">
        <f t="shared" si="567"/>
        <v>0</v>
      </c>
      <c r="Q3643" s="17" t="str">
        <f t="shared" si="569"/>
        <v>Pas d'écart</v>
      </c>
    </row>
    <row r="3644" spans="1:18" x14ac:dyDescent="0.3">
      <c r="A3644" s="34" t="str">
        <f>base!J3644</f>
        <v>RS</v>
      </c>
      <c r="B3644" s="34" t="str">
        <f>base!V3644</f>
        <v>69125</v>
      </c>
      <c r="C3644" s="37">
        <v>69</v>
      </c>
      <c r="D3644" s="36">
        <f>base!H3644</f>
        <v>250</v>
      </c>
      <c r="E3644" s="44"/>
      <c r="F3644" s="16">
        <f>base!W3644</f>
        <v>0</v>
      </c>
      <c r="G3644" s="11">
        <f t="shared" si="560"/>
        <v>0</v>
      </c>
      <c r="H3644" s="11">
        <f t="shared" si="561"/>
        <v>67.5</v>
      </c>
      <c r="I3644" s="11">
        <f t="shared" si="562"/>
        <v>0.27</v>
      </c>
      <c r="J3644" s="12">
        <f t="shared" si="563"/>
        <v>-67.5</v>
      </c>
      <c r="K3644" s="17" t="str">
        <f t="shared" si="568"/>
        <v>Ecart négatif</v>
      </c>
      <c r="L3644" s="16">
        <f>base!X3644</f>
        <v>0</v>
      </c>
      <c r="M3644" s="11">
        <f t="shared" si="564"/>
        <v>0</v>
      </c>
      <c r="N3644" s="11">
        <f t="shared" si="565"/>
        <v>0</v>
      </c>
      <c r="O3644" s="11">
        <f t="shared" si="566"/>
        <v>0</v>
      </c>
      <c r="P3644" s="12">
        <f t="shared" si="567"/>
        <v>0</v>
      </c>
      <c r="Q3644" s="17" t="str">
        <f t="shared" si="569"/>
        <v>Pas d'écart</v>
      </c>
    </row>
    <row r="3645" spans="1:18" x14ac:dyDescent="0.3">
      <c r="A3645" s="34" t="str">
        <f>base!J3645</f>
        <v>LS</v>
      </c>
      <c r="B3645" s="34" t="str">
        <f>base!V3645</f>
        <v>75012</v>
      </c>
      <c r="C3645" s="37">
        <v>75</v>
      </c>
      <c r="D3645" s="36">
        <f>base!H3645</f>
        <v>38.409999999999997</v>
      </c>
      <c r="E3645" s="44"/>
      <c r="F3645" s="16">
        <f>base!W3645</f>
        <v>0</v>
      </c>
      <c r="G3645" s="11">
        <f t="shared" si="560"/>
        <v>0</v>
      </c>
      <c r="H3645" s="11">
        <f t="shared" si="561"/>
        <v>0</v>
      </c>
      <c r="I3645" s="11">
        <f t="shared" si="562"/>
        <v>0</v>
      </c>
      <c r="J3645" s="12">
        <f t="shared" si="563"/>
        <v>0</v>
      </c>
      <c r="K3645" s="17" t="str">
        <f t="shared" si="568"/>
        <v>Pas d'écart</v>
      </c>
      <c r="L3645" s="16">
        <f>base!X3645</f>
        <v>0</v>
      </c>
      <c r="M3645" s="11">
        <f t="shared" si="564"/>
        <v>0</v>
      </c>
      <c r="N3645" s="11">
        <f t="shared" si="565"/>
        <v>0</v>
      </c>
      <c r="O3645" s="11">
        <f t="shared" si="566"/>
        <v>0</v>
      </c>
      <c r="P3645" s="12">
        <f t="shared" si="567"/>
        <v>0</v>
      </c>
      <c r="Q3645" s="17" t="str">
        <f t="shared" si="569"/>
        <v>Pas d'écart</v>
      </c>
    </row>
    <row r="3646" spans="1:18" x14ac:dyDescent="0.3">
      <c r="A3646" s="34">
        <f>base!J3646</f>
        <v>0</v>
      </c>
      <c r="B3646" s="34" t="str">
        <f>base!V3646</f>
        <v>77184</v>
      </c>
      <c r="C3646" s="37">
        <v>77</v>
      </c>
      <c r="D3646" s="36">
        <f>base!H3646</f>
        <v>84.5</v>
      </c>
      <c r="E3646" s="44"/>
      <c r="F3646" s="16">
        <f>base!W3646</f>
        <v>0</v>
      </c>
      <c r="G3646" s="11">
        <f t="shared" si="560"/>
        <v>0</v>
      </c>
      <c r="H3646" s="11">
        <f t="shared" si="561"/>
        <v>0</v>
      </c>
      <c r="I3646" s="11">
        <f t="shared" si="562"/>
        <v>0</v>
      </c>
      <c r="J3646" s="12">
        <f t="shared" si="563"/>
        <v>0</v>
      </c>
      <c r="K3646" s="17" t="str">
        <f t="shared" si="568"/>
        <v>Pas d'écart</v>
      </c>
      <c r="L3646" s="16">
        <f>base!X3646</f>
        <v>0</v>
      </c>
      <c r="M3646" s="11">
        <f t="shared" si="564"/>
        <v>0</v>
      </c>
      <c r="N3646" s="11">
        <f t="shared" si="565"/>
        <v>0</v>
      </c>
      <c r="O3646" s="11">
        <f t="shared" si="566"/>
        <v>0</v>
      </c>
      <c r="P3646" s="12">
        <f t="shared" si="567"/>
        <v>0</v>
      </c>
      <c r="Q3646" s="17" t="str">
        <f t="shared" si="569"/>
        <v>Pas d'écart</v>
      </c>
    </row>
    <row r="3647" spans="1:18" x14ac:dyDescent="0.3">
      <c r="A3647" s="34" t="str">
        <f>base!J3647</f>
        <v>RS</v>
      </c>
      <c r="B3647" s="34" t="str">
        <f>base!V3647</f>
        <v>44000</v>
      </c>
      <c r="C3647" s="37">
        <v>44</v>
      </c>
      <c r="D3647" s="36">
        <f>base!H3647</f>
        <v>195.52</v>
      </c>
      <c r="E3647" s="44"/>
      <c r="F3647" s="16">
        <f>base!W3647</f>
        <v>0</v>
      </c>
      <c r="G3647" s="11">
        <f t="shared" si="560"/>
        <v>0</v>
      </c>
      <c r="H3647" s="11">
        <f t="shared" si="561"/>
        <v>52.790400000000005</v>
      </c>
      <c r="I3647" s="11">
        <f t="shared" si="562"/>
        <v>0.27</v>
      </c>
      <c r="J3647" s="12">
        <f t="shared" si="563"/>
        <v>-52.790400000000005</v>
      </c>
      <c r="K3647" s="17" t="str">
        <f t="shared" si="568"/>
        <v>Ecart négatif</v>
      </c>
      <c r="L3647" s="16">
        <f>base!X3647</f>
        <v>0</v>
      </c>
      <c r="M3647" s="11">
        <f t="shared" si="564"/>
        <v>0</v>
      </c>
      <c r="N3647" s="11">
        <f t="shared" si="565"/>
        <v>0</v>
      </c>
      <c r="O3647" s="11">
        <f t="shared" si="566"/>
        <v>0</v>
      </c>
      <c r="P3647" s="12">
        <f t="shared" si="567"/>
        <v>0</v>
      </c>
      <c r="Q3647" s="17" t="str">
        <f t="shared" si="569"/>
        <v>Pas d'écart</v>
      </c>
    </row>
    <row r="3648" spans="1:18" x14ac:dyDescent="0.3">
      <c r="A3648" s="34">
        <f>base!J3648</f>
        <v>0</v>
      </c>
      <c r="B3648" s="34" t="str">
        <f>base!V3648</f>
        <v>77184</v>
      </c>
      <c r="C3648" s="37">
        <v>77</v>
      </c>
      <c r="D3648" s="36">
        <f>base!H3648</f>
        <v>33.630000000000003</v>
      </c>
      <c r="E3648" s="44"/>
      <c r="F3648" s="16">
        <f>base!W3648</f>
        <v>0</v>
      </c>
      <c r="G3648" s="11">
        <f t="shared" si="560"/>
        <v>0</v>
      </c>
      <c r="H3648" s="11">
        <f t="shared" si="561"/>
        <v>0</v>
      </c>
      <c r="I3648" s="11">
        <f t="shared" si="562"/>
        <v>0</v>
      </c>
      <c r="J3648" s="12">
        <f t="shared" si="563"/>
        <v>0</v>
      </c>
      <c r="K3648" s="17" t="str">
        <f t="shared" si="568"/>
        <v>Pas d'écart</v>
      </c>
      <c r="L3648" s="16">
        <f>base!X3648</f>
        <v>0</v>
      </c>
      <c r="M3648" s="11">
        <f t="shared" si="564"/>
        <v>0</v>
      </c>
      <c r="N3648" s="11">
        <f t="shared" si="565"/>
        <v>0</v>
      </c>
      <c r="O3648" s="11">
        <f t="shared" si="566"/>
        <v>0</v>
      </c>
      <c r="P3648" s="12">
        <f t="shared" si="567"/>
        <v>0</v>
      </c>
      <c r="Q3648" s="17" t="str">
        <f t="shared" si="569"/>
        <v>Pas d'écart</v>
      </c>
    </row>
    <row r="3649" spans="1:18" x14ac:dyDescent="0.3">
      <c r="A3649" s="34">
        <f>base!J3649</f>
        <v>0</v>
      </c>
      <c r="B3649" s="34" t="str">
        <f>base!V3649</f>
        <v>77184</v>
      </c>
      <c r="C3649" s="37">
        <v>77</v>
      </c>
      <c r="D3649" s="36">
        <f>base!H3649</f>
        <v>99.5</v>
      </c>
      <c r="E3649" s="44"/>
      <c r="F3649" s="16">
        <f>base!W3649</f>
        <v>0</v>
      </c>
      <c r="G3649" s="11">
        <f t="shared" si="560"/>
        <v>0</v>
      </c>
      <c r="H3649" s="11">
        <f t="shared" si="561"/>
        <v>0</v>
      </c>
      <c r="I3649" s="11">
        <f t="shared" si="562"/>
        <v>0</v>
      </c>
      <c r="J3649" s="12">
        <f t="shared" si="563"/>
        <v>0</v>
      </c>
      <c r="K3649" s="17" t="str">
        <f t="shared" si="568"/>
        <v>Pas d'écart</v>
      </c>
      <c r="L3649" s="16">
        <f>base!X3649</f>
        <v>0</v>
      </c>
      <c r="M3649" s="11">
        <f t="shared" si="564"/>
        <v>0</v>
      </c>
      <c r="N3649" s="11">
        <f t="shared" si="565"/>
        <v>0</v>
      </c>
      <c r="O3649" s="11">
        <f t="shared" si="566"/>
        <v>0</v>
      </c>
      <c r="P3649" s="12">
        <f t="shared" si="567"/>
        <v>0</v>
      </c>
      <c r="Q3649" s="17" t="str">
        <f t="shared" si="569"/>
        <v>Pas d'écart</v>
      </c>
    </row>
    <row r="3650" spans="1:18" x14ac:dyDescent="0.3">
      <c r="A3650" s="34">
        <f>base!J3650</f>
        <v>0</v>
      </c>
      <c r="B3650" s="34" t="str">
        <f>base!V3650</f>
        <v>77184</v>
      </c>
      <c r="C3650" s="37">
        <v>77</v>
      </c>
      <c r="D3650" s="36">
        <f>base!H3650</f>
        <v>72.12</v>
      </c>
      <c r="E3650" s="44"/>
      <c r="F3650" s="16">
        <f>base!W3650</f>
        <v>0</v>
      </c>
      <c r="G3650" s="11">
        <f t="shared" ref="G3650:G3713" si="570">F3650/D3650</f>
        <v>0</v>
      </c>
      <c r="H3650" s="11">
        <f t="shared" ref="H3650:H3713" si="571">VLOOKUP(C3650,tout_cout_traction,2,FALSE)*D3650</f>
        <v>0</v>
      </c>
      <c r="I3650" s="11">
        <f t="shared" ref="I3650:I3713" si="572">H3650/D3650</f>
        <v>0</v>
      </c>
      <c r="J3650" s="12">
        <f t="shared" ref="J3650:J3713" si="573">F3650-H3650</f>
        <v>0</v>
      </c>
      <c r="K3650" s="17" t="str">
        <f t="shared" si="568"/>
        <v>Pas d'écart</v>
      </c>
      <c r="L3650" s="16">
        <f>base!X3650</f>
        <v>0</v>
      </c>
      <c r="M3650" s="11">
        <f t="shared" ref="M3650:M3713" si="574">L3650/D3650</f>
        <v>0</v>
      </c>
      <c r="N3650" s="11">
        <f t="shared" ref="N3650:N3713" si="575">VLOOKUP(C3650,tout_cout_traction,3,FALSE)*D3650</f>
        <v>0</v>
      </c>
      <c r="O3650" s="11">
        <f t="shared" ref="O3650:O3713" si="576">N3650/D3650</f>
        <v>0</v>
      </c>
      <c r="P3650" s="12">
        <f t="shared" ref="P3650:P3713" si="577">L3650-N3650</f>
        <v>0</v>
      </c>
      <c r="Q3650" s="17" t="str">
        <f t="shared" si="569"/>
        <v>Pas d'écart</v>
      </c>
    </row>
    <row r="3651" spans="1:18" x14ac:dyDescent="0.3">
      <c r="A3651" s="34" t="str">
        <f>base!J3651</f>
        <v>RM</v>
      </c>
      <c r="B3651" s="34" t="str">
        <f>base!V3651</f>
        <v>06190</v>
      </c>
      <c r="C3651" s="37">
        <v>6</v>
      </c>
      <c r="D3651" s="36">
        <f>base!H3651</f>
        <v>92</v>
      </c>
      <c r="E3651" s="44"/>
      <c r="F3651" s="16">
        <f>base!W3651</f>
        <v>0</v>
      </c>
      <c r="G3651" s="11">
        <f t="shared" si="570"/>
        <v>0</v>
      </c>
      <c r="H3651" s="11">
        <f t="shared" si="571"/>
        <v>27.599999999999998</v>
      </c>
      <c r="I3651" s="11">
        <f t="shared" si="572"/>
        <v>0.3</v>
      </c>
      <c r="J3651" s="12">
        <f t="shared" si="573"/>
        <v>-27.599999999999998</v>
      </c>
      <c r="K3651" s="17" t="str">
        <f t="shared" ref="K3651:K3714" si="578">IF(H3651=F3651,"Pas d'écart",IF(H3651&lt;F3651,"Ecart positif",IF(H3651&gt;F3651,"Ecart négatif")))</f>
        <v>Ecart négatif</v>
      </c>
      <c r="L3651" s="16">
        <f>base!X3651</f>
        <v>27.6</v>
      </c>
      <c r="M3651" s="11">
        <f t="shared" si="574"/>
        <v>0.3</v>
      </c>
      <c r="N3651" s="11">
        <f t="shared" si="575"/>
        <v>19.32</v>
      </c>
      <c r="O3651" s="11">
        <f t="shared" si="576"/>
        <v>0.21</v>
      </c>
      <c r="P3651" s="12">
        <f t="shared" si="577"/>
        <v>8.2800000000000011</v>
      </c>
      <c r="Q3651" s="17" t="str">
        <f t="shared" ref="Q3651:Q3714" si="579">IF(N3651=L3651,"Pas d'écart",IF(N3651&lt;L3651,"Ecart positif",IF(N3651&gt;L3651,"Ecart négatif")))</f>
        <v>Ecart positif</v>
      </c>
      <c r="R3651" s="38"/>
    </row>
    <row r="3652" spans="1:18" x14ac:dyDescent="0.3">
      <c r="A3652" s="34" t="str">
        <f>base!J3652</f>
        <v>RM</v>
      </c>
      <c r="B3652" s="34" t="str">
        <f>base!V3652</f>
        <v>06190</v>
      </c>
      <c r="C3652" s="37">
        <v>6</v>
      </c>
      <c r="D3652" s="36">
        <f>base!H3652</f>
        <v>325</v>
      </c>
      <c r="E3652" s="44"/>
      <c r="F3652" s="16">
        <f>base!W3652</f>
        <v>0</v>
      </c>
      <c r="G3652" s="11">
        <f t="shared" si="570"/>
        <v>0</v>
      </c>
      <c r="H3652" s="11">
        <f t="shared" si="571"/>
        <v>97.5</v>
      </c>
      <c r="I3652" s="11">
        <f t="shared" si="572"/>
        <v>0.3</v>
      </c>
      <c r="J3652" s="12">
        <f t="shared" si="573"/>
        <v>-97.5</v>
      </c>
      <c r="K3652" s="17" t="str">
        <f t="shared" si="578"/>
        <v>Ecart négatif</v>
      </c>
      <c r="L3652" s="16">
        <f>base!X3652</f>
        <v>97.5</v>
      </c>
      <c r="M3652" s="11">
        <f t="shared" si="574"/>
        <v>0.3</v>
      </c>
      <c r="N3652" s="11">
        <f t="shared" si="575"/>
        <v>68.25</v>
      </c>
      <c r="O3652" s="11">
        <f t="shared" si="576"/>
        <v>0.21</v>
      </c>
      <c r="P3652" s="12">
        <f t="shared" si="577"/>
        <v>29.25</v>
      </c>
      <c r="Q3652" s="17" t="str">
        <f t="shared" si="579"/>
        <v>Ecart positif</v>
      </c>
      <c r="R3652" s="38"/>
    </row>
    <row r="3653" spans="1:18" x14ac:dyDescent="0.3">
      <c r="A3653" s="34" t="str">
        <f>base!J3653</f>
        <v>LM</v>
      </c>
      <c r="B3653" s="34" t="str">
        <f>base!V3653</f>
        <v>06190</v>
      </c>
      <c r="C3653" s="37">
        <v>69</v>
      </c>
      <c r="D3653" s="36">
        <f>base!H3653</f>
        <v>64</v>
      </c>
      <c r="E3653" s="44"/>
      <c r="F3653" s="16">
        <f>base!W3653</f>
        <v>19.2</v>
      </c>
      <c r="G3653" s="11">
        <f t="shared" si="570"/>
        <v>0.3</v>
      </c>
      <c r="H3653" s="11">
        <f t="shared" si="571"/>
        <v>17.28</v>
      </c>
      <c r="I3653" s="11">
        <f t="shared" si="572"/>
        <v>0.27</v>
      </c>
      <c r="J3653" s="12">
        <f t="shared" si="573"/>
        <v>1.9199999999999982</v>
      </c>
      <c r="K3653" s="17" t="str">
        <f t="shared" si="578"/>
        <v>Ecart positif</v>
      </c>
      <c r="L3653" s="16">
        <f>base!X3653</f>
        <v>0</v>
      </c>
      <c r="M3653" s="11">
        <f t="shared" si="574"/>
        <v>0</v>
      </c>
      <c r="N3653" s="11">
        <f t="shared" si="575"/>
        <v>0</v>
      </c>
      <c r="O3653" s="11">
        <f t="shared" si="576"/>
        <v>0</v>
      </c>
      <c r="P3653" s="12">
        <f t="shared" si="577"/>
        <v>0</v>
      </c>
      <c r="Q3653" s="17" t="str">
        <f t="shared" si="579"/>
        <v>Pas d'écart</v>
      </c>
    </row>
    <row r="3654" spans="1:18" x14ac:dyDescent="0.3">
      <c r="A3654" s="34" t="str">
        <f>base!J3654</f>
        <v>LS</v>
      </c>
      <c r="B3654" s="34" t="str">
        <f>base!V3654</f>
        <v>25600</v>
      </c>
      <c r="C3654" s="37">
        <v>69</v>
      </c>
      <c r="D3654" s="36">
        <f>base!H3654</f>
        <v>503.21</v>
      </c>
      <c r="E3654" s="44"/>
      <c r="F3654" s="16">
        <f>base!W3654</f>
        <v>120.77</v>
      </c>
      <c r="G3654" s="11">
        <f t="shared" si="570"/>
        <v>0.23999920510323722</v>
      </c>
      <c r="H3654" s="11">
        <f t="shared" si="571"/>
        <v>135.86670000000001</v>
      </c>
      <c r="I3654" s="11">
        <f t="shared" si="572"/>
        <v>0.27</v>
      </c>
      <c r="J3654" s="12">
        <f t="shared" si="573"/>
        <v>-15.096700000000013</v>
      </c>
      <c r="K3654" s="17" t="str">
        <f t="shared" si="578"/>
        <v>Ecart négatif</v>
      </c>
      <c r="L3654" s="16">
        <f>base!X3654</f>
        <v>0</v>
      </c>
      <c r="M3654" s="11">
        <f t="shared" si="574"/>
        <v>0</v>
      </c>
      <c r="N3654" s="11">
        <f t="shared" si="575"/>
        <v>0</v>
      </c>
      <c r="O3654" s="11">
        <f t="shared" si="576"/>
        <v>0</v>
      </c>
      <c r="P3654" s="12">
        <f t="shared" si="577"/>
        <v>0</v>
      </c>
      <c r="Q3654" s="17" t="str">
        <f t="shared" si="579"/>
        <v>Pas d'écart</v>
      </c>
    </row>
    <row r="3655" spans="1:18" x14ac:dyDescent="0.3">
      <c r="A3655" s="34" t="str">
        <f>base!J3655</f>
        <v>LM</v>
      </c>
      <c r="B3655" s="34" t="str">
        <f>base!V3655</f>
        <v>49280</v>
      </c>
      <c r="C3655" s="37">
        <v>69</v>
      </c>
      <c r="D3655" s="36">
        <f>base!H3655</f>
        <v>140.31</v>
      </c>
      <c r="E3655" s="44"/>
      <c r="F3655" s="16">
        <f>base!W3655</f>
        <v>37.880000000000003</v>
      </c>
      <c r="G3655" s="11">
        <f t="shared" si="570"/>
        <v>0.26997362981968498</v>
      </c>
      <c r="H3655" s="11">
        <f t="shared" si="571"/>
        <v>37.883700000000005</v>
      </c>
      <c r="I3655" s="11">
        <f t="shared" si="572"/>
        <v>0.27</v>
      </c>
      <c r="J3655" s="12">
        <f t="shared" si="573"/>
        <v>-3.700000000002035E-3</v>
      </c>
      <c r="K3655" s="17" t="str">
        <f t="shared" si="578"/>
        <v>Ecart négatif</v>
      </c>
      <c r="L3655" s="16">
        <f>base!X3655</f>
        <v>0</v>
      </c>
      <c r="M3655" s="11">
        <f t="shared" si="574"/>
        <v>0</v>
      </c>
      <c r="N3655" s="11">
        <f t="shared" si="575"/>
        <v>0</v>
      </c>
      <c r="O3655" s="11">
        <f t="shared" si="576"/>
        <v>0</v>
      </c>
      <c r="P3655" s="12">
        <f t="shared" si="577"/>
        <v>0</v>
      </c>
      <c r="Q3655" s="17" t="str">
        <f t="shared" si="579"/>
        <v>Pas d'écart</v>
      </c>
    </row>
    <row r="3656" spans="1:18" x14ac:dyDescent="0.3">
      <c r="A3656" s="34" t="str">
        <f>base!J3656</f>
        <v>LS</v>
      </c>
      <c r="B3656" s="34" t="str">
        <f>base!V3656</f>
        <v>73000</v>
      </c>
      <c r="C3656" s="37">
        <v>69</v>
      </c>
      <c r="D3656" s="36">
        <f>base!H3656</f>
        <v>142.99</v>
      </c>
      <c r="E3656" s="44"/>
      <c r="F3656" s="16">
        <f>base!W3656</f>
        <v>38.61</v>
      </c>
      <c r="G3656" s="11">
        <f t="shared" si="570"/>
        <v>0.27001888243933142</v>
      </c>
      <c r="H3656" s="11">
        <f t="shared" si="571"/>
        <v>38.607300000000002</v>
      </c>
      <c r="I3656" s="11">
        <f t="shared" si="572"/>
        <v>0.27</v>
      </c>
      <c r="J3656" s="12">
        <f t="shared" si="573"/>
        <v>2.6999999999972601E-3</v>
      </c>
      <c r="K3656" s="17" t="str">
        <f t="shared" si="578"/>
        <v>Ecart positif</v>
      </c>
      <c r="L3656" s="16">
        <f>base!X3656</f>
        <v>0</v>
      </c>
      <c r="M3656" s="11">
        <f t="shared" si="574"/>
        <v>0</v>
      </c>
      <c r="N3656" s="11">
        <f t="shared" si="575"/>
        <v>0</v>
      </c>
      <c r="O3656" s="11">
        <f t="shared" si="576"/>
        <v>0</v>
      </c>
      <c r="P3656" s="12">
        <f t="shared" si="577"/>
        <v>0</v>
      </c>
      <c r="Q3656" s="17" t="str">
        <f t="shared" si="579"/>
        <v>Pas d'écart</v>
      </c>
    </row>
    <row r="3657" spans="1:18" x14ac:dyDescent="0.3">
      <c r="A3657" s="34" t="str">
        <f>base!J3657</f>
        <v>RM</v>
      </c>
      <c r="B3657" s="34" t="str">
        <f>base!V3657</f>
        <v>68250</v>
      </c>
      <c r="C3657" s="37">
        <v>68</v>
      </c>
      <c r="D3657" s="36">
        <f>base!H3657</f>
        <v>140</v>
      </c>
      <c r="E3657" s="44"/>
      <c r="F3657" s="16">
        <f>base!W3657</f>
        <v>0</v>
      </c>
      <c r="G3657" s="11">
        <f t="shared" si="570"/>
        <v>0</v>
      </c>
      <c r="H3657" s="11">
        <f t="shared" si="571"/>
        <v>40.599999999999994</v>
      </c>
      <c r="I3657" s="11">
        <f t="shared" si="572"/>
        <v>0.28999999999999998</v>
      </c>
      <c r="J3657" s="12">
        <f t="shared" si="573"/>
        <v>-40.599999999999994</v>
      </c>
      <c r="K3657" s="17" t="str">
        <f t="shared" si="578"/>
        <v>Ecart négatif</v>
      </c>
      <c r="L3657" s="16">
        <f>base!X3657</f>
        <v>11.2</v>
      </c>
      <c r="M3657" s="11">
        <f t="shared" si="574"/>
        <v>0.08</v>
      </c>
      <c r="N3657" s="11">
        <f t="shared" si="575"/>
        <v>11.200000000000001</v>
      </c>
      <c r="O3657" s="11">
        <f t="shared" si="576"/>
        <v>0.08</v>
      </c>
      <c r="P3657" s="12">
        <f t="shared" si="577"/>
        <v>0</v>
      </c>
      <c r="Q3657" s="17" t="str">
        <f t="shared" si="579"/>
        <v>Pas d'écart</v>
      </c>
      <c r="R3657" s="38"/>
    </row>
    <row r="3658" spans="1:18" x14ac:dyDescent="0.3">
      <c r="A3658" s="34" t="str">
        <f>base!J3658</f>
        <v>RM</v>
      </c>
      <c r="B3658" s="34" t="str">
        <f>base!V3658</f>
        <v>57740</v>
      </c>
      <c r="C3658" s="37">
        <v>57</v>
      </c>
      <c r="D3658" s="36">
        <f>base!H3658</f>
        <v>79</v>
      </c>
      <c r="E3658" s="44"/>
      <c r="F3658" s="16">
        <f>base!W3658</f>
        <v>0</v>
      </c>
      <c r="G3658" s="11">
        <f t="shared" si="570"/>
        <v>0</v>
      </c>
      <c r="H3658" s="11">
        <f t="shared" si="571"/>
        <v>18.96</v>
      </c>
      <c r="I3658" s="11">
        <f t="shared" si="572"/>
        <v>0.24000000000000002</v>
      </c>
      <c r="J3658" s="12">
        <f t="shared" si="573"/>
        <v>-18.96</v>
      </c>
      <c r="K3658" s="17" t="str">
        <f t="shared" si="578"/>
        <v>Ecart négatif</v>
      </c>
      <c r="L3658" s="16">
        <f>base!X3658</f>
        <v>19.75</v>
      </c>
      <c r="M3658" s="11">
        <f t="shared" si="574"/>
        <v>0.25</v>
      </c>
      <c r="N3658" s="11">
        <f t="shared" si="575"/>
        <v>19.75</v>
      </c>
      <c r="O3658" s="11">
        <f t="shared" si="576"/>
        <v>0.25</v>
      </c>
      <c r="P3658" s="12">
        <f t="shared" si="577"/>
        <v>0</v>
      </c>
      <c r="Q3658" s="17" t="str">
        <f t="shared" si="579"/>
        <v>Pas d'écart</v>
      </c>
      <c r="R3658" s="38"/>
    </row>
    <row r="3659" spans="1:18" x14ac:dyDescent="0.3">
      <c r="A3659" s="34" t="str">
        <f>base!J3659</f>
        <v>LS</v>
      </c>
      <c r="B3659" s="34" t="str">
        <f>base!V3659</f>
        <v>62300</v>
      </c>
      <c r="C3659" s="37">
        <v>69</v>
      </c>
      <c r="D3659" s="36">
        <f>base!H3659</f>
        <v>184.94</v>
      </c>
      <c r="E3659" s="44"/>
      <c r="F3659" s="16">
        <f>base!W3659</f>
        <v>35.14</v>
      </c>
      <c r="G3659" s="11">
        <f t="shared" si="570"/>
        <v>0.19000757002271007</v>
      </c>
      <c r="H3659" s="11">
        <f t="shared" si="571"/>
        <v>49.933800000000005</v>
      </c>
      <c r="I3659" s="11">
        <f t="shared" si="572"/>
        <v>0.27</v>
      </c>
      <c r="J3659" s="12">
        <f t="shared" si="573"/>
        <v>-14.793800000000005</v>
      </c>
      <c r="K3659" s="17" t="str">
        <f t="shared" si="578"/>
        <v>Ecart négatif</v>
      </c>
      <c r="L3659" s="16">
        <f>base!X3659</f>
        <v>0</v>
      </c>
      <c r="M3659" s="11">
        <f t="shared" si="574"/>
        <v>0</v>
      </c>
      <c r="N3659" s="11">
        <f t="shared" si="575"/>
        <v>0</v>
      </c>
      <c r="O3659" s="11">
        <f t="shared" si="576"/>
        <v>0</v>
      </c>
      <c r="P3659" s="12">
        <f t="shared" si="577"/>
        <v>0</v>
      </c>
      <c r="Q3659" s="17" t="str">
        <f t="shared" si="579"/>
        <v>Pas d'écart</v>
      </c>
    </row>
    <row r="3660" spans="1:18" x14ac:dyDescent="0.3">
      <c r="A3660" s="34" t="str">
        <f>base!J3660</f>
        <v>LS</v>
      </c>
      <c r="B3660" s="34" t="str">
        <f>base!V3660</f>
        <v>64121</v>
      </c>
      <c r="C3660" s="37">
        <v>70</v>
      </c>
      <c r="D3660" s="36">
        <f>base!H3660</f>
        <v>126.65</v>
      </c>
      <c r="E3660" s="44"/>
      <c r="F3660" s="16">
        <f>base!W3660</f>
        <v>26.6</v>
      </c>
      <c r="G3660" s="11">
        <f t="shared" si="570"/>
        <v>0.21002763521515988</v>
      </c>
      <c r="H3660" s="11">
        <f t="shared" si="571"/>
        <v>30.396000000000001</v>
      </c>
      <c r="I3660" s="11">
        <f t="shared" si="572"/>
        <v>0.24</v>
      </c>
      <c r="J3660" s="12">
        <f t="shared" si="573"/>
        <v>-3.7959999999999994</v>
      </c>
      <c r="K3660" s="17" t="str">
        <f t="shared" si="578"/>
        <v>Ecart négatif</v>
      </c>
      <c r="L3660" s="16">
        <f>base!X3660</f>
        <v>0</v>
      </c>
      <c r="M3660" s="11">
        <f t="shared" si="574"/>
        <v>0</v>
      </c>
      <c r="N3660" s="11">
        <f t="shared" si="575"/>
        <v>15.198</v>
      </c>
      <c r="O3660" s="11">
        <f t="shared" si="576"/>
        <v>0.12</v>
      </c>
      <c r="P3660" s="12">
        <f t="shared" si="577"/>
        <v>-15.198</v>
      </c>
      <c r="Q3660" s="17" t="str">
        <f t="shared" si="579"/>
        <v>Ecart négatif</v>
      </c>
    </row>
    <row r="3661" spans="1:18" x14ac:dyDescent="0.3">
      <c r="A3661" s="34" t="str">
        <f>base!J3661</f>
        <v>LS</v>
      </c>
      <c r="B3661" s="34" t="str">
        <f>base!V3661</f>
        <v>31100</v>
      </c>
      <c r="C3661" s="37">
        <v>44</v>
      </c>
      <c r="D3661" s="36">
        <f>base!H3661</f>
        <v>52.52</v>
      </c>
      <c r="E3661" s="44"/>
      <c r="F3661" s="16">
        <f>base!W3661</f>
        <v>11.55</v>
      </c>
      <c r="G3661" s="11">
        <f t="shared" si="570"/>
        <v>0.21991622239146991</v>
      </c>
      <c r="H3661" s="11">
        <f t="shared" si="571"/>
        <v>14.180400000000002</v>
      </c>
      <c r="I3661" s="11">
        <f t="shared" si="572"/>
        <v>0.27</v>
      </c>
      <c r="J3661" s="12">
        <f t="shared" si="573"/>
        <v>-2.6304000000000016</v>
      </c>
      <c r="K3661" s="17" t="str">
        <f t="shared" si="578"/>
        <v>Ecart négatif</v>
      </c>
      <c r="L3661" s="16">
        <f>base!X3661</f>
        <v>0</v>
      </c>
      <c r="M3661" s="11">
        <f t="shared" si="574"/>
        <v>0</v>
      </c>
      <c r="N3661" s="11">
        <f t="shared" si="575"/>
        <v>0</v>
      </c>
      <c r="O3661" s="11">
        <f t="shared" si="576"/>
        <v>0</v>
      </c>
      <c r="P3661" s="12">
        <f t="shared" si="577"/>
        <v>0</v>
      </c>
      <c r="Q3661" s="17" t="str">
        <f t="shared" si="579"/>
        <v>Pas d'écart</v>
      </c>
    </row>
    <row r="3662" spans="1:18" x14ac:dyDescent="0.3">
      <c r="A3662" s="34" t="str">
        <f>base!J3662</f>
        <v>LM</v>
      </c>
      <c r="B3662" s="34" t="str">
        <f>base!V3662</f>
        <v>13610</v>
      </c>
      <c r="C3662" s="37">
        <v>69</v>
      </c>
      <c r="D3662" s="36">
        <f>base!H3662</f>
        <v>28.62</v>
      </c>
      <c r="E3662" s="44"/>
      <c r="F3662" s="16">
        <f>base!W3662</f>
        <v>8.3000000000000007</v>
      </c>
      <c r="G3662" s="11">
        <f t="shared" si="570"/>
        <v>0.29000698812019571</v>
      </c>
      <c r="H3662" s="11">
        <f t="shared" si="571"/>
        <v>7.7274000000000012</v>
      </c>
      <c r="I3662" s="11">
        <f t="shared" si="572"/>
        <v>0.27</v>
      </c>
      <c r="J3662" s="12">
        <f t="shared" si="573"/>
        <v>0.57259999999999955</v>
      </c>
      <c r="K3662" s="17" t="str">
        <f t="shared" si="578"/>
        <v>Ecart positif</v>
      </c>
      <c r="L3662" s="16">
        <f>base!X3662</f>
        <v>0</v>
      </c>
      <c r="M3662" s="11">
        <f t="shared" si="574"/>
        <v>0</v>
      </c>
      <c r="N3662" s="11">
        <f t="shared" si="575"/>
        <v>0</v>
      </c>
      <c r="O3662" s="11">
        <f t="shared" si="576"/>
        <v>0</v>
      </c>
      <c r="P3662" s="12">
        <f t="shared" si="577"/>
        <v>0</v>
      </c>
      <c r="Q3662" s="17" t="str">
        <f t="shared" si="579"/>
        <v>Pas d'écart</v>
      </c>
    </row>
    <row r="3663" spans="1:18" x14ac:dyDescent="0.3">
      <c r="A3663" s="34" t="str">
        <f>base!J3663</f>
        <v>LM</v>
      </c>
      <c r="B3663" s="34" t="str">
        <f>base!V3663</f>
        <v>75014</v>
      </c>
      <c r="C3663" s="37">
        <v>75</v>
      </c>
      <c r="D3663" s="36">
        <f>base!H3663</f>
        <v>107.6</v>
      </c>
      <c r="E3663" s="44"/>
      <c r="F3663" s="16">
        <f>base!W3663</f>
        <v>0</v>
      </c>
      <c r="G3663" s="11">
        <f t="shared" si="570"/>
        <v>0</v>
      </c>
      <c r="H3663" s="11">
        <f t="shared" si="571"/>
        <v>0</v>
      </c>
      <c r="I3663" s="11">
        <f t="shared" si="572"/>
        <v>0</v>
      </c>
      <c r="J3663" s="12">
        <f t="shared" si="573"/>
        <v>0</v>
      </c>
      <c r="K3663" s="17" t="str">
        <f t="shared" si="578"/>
        <v>Pas d'écart</v>
      </c>
      <c r="L3663" s="16">
        <f>base!X3663</f>
        <v>0</v>
      </c>
      <c r="M3663" s="11">
        <f t="shared" si="574"/>
        <v>0</v>
      </c>
      <c r="N3663" s="11">
        <f t="shared" si="575"/>
        <v>0</v>
      </c>
      <c r="O3663" s="11">
        <f t="shared" si="576"/>
        <v>0</v>
      </c>
      <c r="P3663" s="12">
        <f t="shared" si="577"/>
        <v>0</v>
      </c>
      <c r="Q3663" s="17" t="str">
        <f t="shared" si="579"/>
        <v>Pas d'écart</v>
      </c>
    </row>
    <row r="3664" spans="1:18" x14ac:dyDescent="0.3">
      <c r="A3664" s="34" t="str">
        <f>base!J3664</f>
        <v>LS</v>
      </c>
      <c r="B3664" s="34" t="str">
        <f>base!V3664</f>
        <v>79110</v>
      </c>
      <c r="C3664" s="37">
        <v>74</v>
      </c>
      <c r="D3664" s="36">
        <f>base!H3664</f>
        <v>137.44999999999999</v>
      </c>
      <c r="E3664" s="44"/>
      <c r="F3664" s="16">
        <f>base!W3664</f>
        <v>28.86</v>
      </c>
      <c r="G3664" s="11">
        <f t="shared" si="570"/>
        <v>0.20996726082211714</v>
      </c>
      <c r="H3664" s="11">
        <f t="shared" si="571"/>
        <v>35.736999999999995</v>
      </c>
      <c r="I3664" s="11">
        <f t="shared" si="572"/>
        <v>0.26</v>
      </c>
      <c r="J3664" s="12">
        <f t="shared" si="573"/>
        <v>-6.8769999999999953</v>
      </c>
      <c r="K3664" s="17" t="str">
        <f t="shared" si="578"/>
        <v>Ecart négatif</v>
      </c>
      <c r="L3664" s="16">
        <f>base!X3664</f>
        <v>0</v>
      </c>
      <c r="M3664" s="11">
        <f t="shared" si="574"/>
        <v>0</v>
      </c>
      <c r="N3664" s="11">
        <f t="shared" si="575"/>
        <v>0</v>
      </c>
      <c r="O3664" s="11">
        <f t="shared" si="576"/>
        <v>0</v>
      </c>
      <c r="P3664" s="12">
        <f t="shared" si="577"/>
        <v>0</v>
      </c>
      <c r="Q3664" s="17" t="str">
        <f t="shared" si="579"/>
        <v>Pas d'écart</v>
      </c>
    </row>
    <row r="3665" spans="1:18" x14ac:dyDescent="0.3">
      <c r="A3665" s="34" t="str">
        <f>base!J3665</f>
        <v>LM</v>
      </c>
      <c r="B3665" s="34" t="str">
        <f>base!V3665</f>
        <v>67000</v>
      </c>
      <c r="C3665" s="37">
        <v>88</v>
      </c>
      <c r="D3665" s="36">
        <f>base!H3665</f>
        <v>55.14</v>
      </c>
      <c r="E3665" s="44"/>
      <c r="F3665" s="16">
        <f>base!W3665</f>
        <v>15.99</v>
      </c>
      <c r="G3665" s="11">
        <f t="shared" si="570"/>
        <v>0.28998911860718174</v>
      </c>
      <c r="H3665" s="11">
        <f t="shared" si="571"/>
        <v>15.439200000000001</v>
      </c>
      <c r="I3665" s="11">
        <f t="shared" si="572"/>
        <v>0.28000000000000003</v>
      </c>
      <c r="J3665" s="12">
        <f t="shared" si="573"/>
        <v>0.55079999999999885</v>
      </c>
      <c r="K3665" s="17" t="str">
        <f t="shared" si="578"/>
        <v>Ecart positif</v>
      </c>
      <c r="L3665" s="16">
        <f>base!X3665</f>
        <v>0</v>
      </c>
      <c r="M3665" s="11">
        <f t="shared" si="574"/>
        <v>0</v>
      </c>
      <c r="N3665" s="11">
        <f t="shared" si="575"/>
        <v>4.4112</v>
      </c>
      <c r="O3665" s="11">
        <f t="shared" si="576"/>
        <v>0.08</v>
      </c>
      <c r="P3665" s="12">
        <f t="shared" si="577"/>
        <v>-4.4112</v>
      </c>
      <c r="Q3665" s="17" t="str">
        <f t="shared" si="579"/>
        <v>Ecart négatif</v>
      </c>
    </row>
    <row r="3666" spans="1:18" x14ac:dyDescent="0.3">
      <c r="A3666" s="34" t="str">
        <f>base!J3666</f>
        <v>LM</v>
      </c>
      <c r="B3666" s="34" t="str">
        <f>base!V3666</f>
        <v>69800</v>
      </c>
      <c r="C3666" s="37">
        <v>25</v>
      </c>
      <c r="D3666" s="36">
        <f>base!H3666</f>
        <v>136.97999999999999</v>
      </c>
      <c r="E3666" s="44"/>
      <c r="F3666" s="16">
        <f>base!W3666</f>
        <v>36.979999999999997</v>
      </c>
      <c r="G3666" s="11">
        <f t="shared" si="570"/>
        <v>0.26996641845524894</v>
      </c>
      <c r="H3666" s="11">
        <f t="shared" si="571"/>
        <v>32.8752</v>
      </c>
      <c r="I3666" s="11">
        <f t="shared" si="572"/>
        <v>0.24000000000000002</v>
      </c>
      <c r="J3666" s="12">
        <f t="shared" si="573"/>
        <v>4.1047999999999973</v>
      </c>
      <c r="K3666" s="17" t="str">
        <f t="shared" si="578"/>
        <v>Ecart positif</v>
      </c>
      <c r="L3666" s="16">
        <f>base!X3666</f>
        <v>0</v>
      </c>
      <c r="M3666" s="11">
        <f t="shared" si="574"/>
        <v>0</v>
      </c>
      <c r="N3666" s="11">
        <f t="shared" si="575"/>
        <v>16.4376</v>
      </c>
      <c r="O3666" s="11">
        <f t="shared" si="576"/>
        <v>0.12000000000000001</v>
      </c>
      <c r="P3666" s="12">
        <f t="shared" si="577"/>
        <v>-16.4376</v>
      </c>
      <c r="Q3666" s="17" t="str">
        <f t="shared" si="579"/>
        <v>Ecart négatif</v>
      </c>
    </row>
    <row r="3667" spans="1:18" x14ac:dyDescent="0.3">
      <c r="A3667" s="34" t="str">
        <f>base!J3667</f>
        <v>LS</v>
      </c>
      <c r="B3667" s="34" t="str">
        <f>base!V3667</f>
        <v>75014</v>
      </c>
      <c r="C3667" s="37">
        <v>75</v>
      </c>
      <c r="D3667" s="36">
        <f>base!H3667</f>
        <v>53.38</v>
      </c>
      <c r="E3667" s="44"/>
      <c r="F3667" s="16">
        <f>base!W3667</f>
        <v>0</v>
      </c>
      <c r="G3667" s="11">
        <f t="shared" si="570"/>
        <v>0</v>
      </c>
      <c r="H3667" s="11">
        <f t="shared" si="571"/>
        <v>0</v>
      </c>
      <c r="I3667" s="11">
        <f t="shared" si="572"/>
        <v>0</v>
      </c>
      <c r="J3667" s="12">
        <f t="shared" si="573"/>
        <v>0</v>
      </c>
      <c r="K3667" s="17" t="str">
        <f t="shared" si="578"/>
        <v>Pas d'écart</v>
      </c>
      <c r="L3667" s="16">
        <f>base!X3667</f>
        <v>0</v>
      </c>
      <c r="M3667" s="11">
        <f t="shared" si="574"/>
        <v>0</v>
      </c>
      <c r="N3667" s="11">
        <f t="shared" si="575"/>
        <v>0</v>
      </c>
      <c r="O3667" s="11">
        <f t="shared" si="576"/>
        <v>0</v>
      </c>
      <c r="P3667" s="12">
        <f t="shared" si="577"/>
        <v>0</v>
      </c>
      <c r="Q3667" s="17" t="str">
        <f t="shared" si="579"/>
        <v>Pas d'écart</v>
      </c>
    </row>
    <row r="3668" spans="1:18" x14ac:dyDescent="0.3">
      <c r="A3668" s="34" t="str">
        <f>base!J3668</f>
        <v>LS</v>
      </c>
      <c r="B3668" s="34" t="str">
        <f>base!V3668</f>
        <v>69002</v>
      </c>
      <c r="C3668" s="37">
        <v>25</v>
      </c>
      <c r="D3668" s="36">
        <f>base!H3668</f>
        <v>75.27</v>
      </c>
      <c r="E3668" s="44"/>
      <c r="F3668" s="16">
        <f>base!W3668</f>
        <v>20.32</v>
      </c>
      <c r="G3668" s="11">
        <f t="shared" si="570"/>
        <v>0.26996147203401089</v>
      </c>
      <c r="H3668" s="11">
        <f t="shared" si="571"/>
        <v>18.064799999999998</v>
      </c>
      <c r="I3668" s="11">
        <f t="shared" si="572"/>
        <v>0.24</v>
      </c>
      <c r="J3668" s="12">
        <f t="shared" si="573"/>
        <v>2.2552000000000021</v>
      </c>
      <c r="K3668" s="17" t="str">
        <f t="shared" si="578"/>
        <v>Ecart positif</v>
      </c>
      <c r="L3668" s="16">
        <f>base!X3668</f>
        <v>0</v>
      </c>
      <c r="M3668" s="11">
        <f t="shared" si="574"/>
        <v>0</v>
      </c>
      <c r="N3668" s="11">
        <f t="shared" si="575"/>
        <v>9.0323999999999991</v>
      </c>
      <c r="O3668" s="11">
        <f t="shared" si="576"/>
        <v>0.12</v>
      </c>
      <c r="P3668" s="12">
        <f t="shared" si="577"/>
        <v>-9.0323999999999991</v>
      </c>
      <c r="Q3668" s="17" t="str">
        <f t="shared" si="579"/>
        <v>Ecart négatif</v>
      </c>
    </row>
    <row r="3669" spans="1:18" x14ac:dyDescent="0.3">
      <c r="A3669" s="34">
        <f>base!J3669</f>
        <v>0</v>
      </c>
      <c r="B3669" s="34" t="str">
        <f>base!V3669</f>
        <v>44240</v>
      </c>
      <c r="C3669" s="37">
        <v>44</v>
      </c>
      <c r="D3669" s="36">
        <f>base!H3669</f>
        <v>112</v>
      </c>
      <c r="E3669" s="44"/>
      <c r="F3669" s="16">
        <f>base!W3669</f>
        <v>0</v>
      </c>
      <c r="G3669" s="11">
        <f t="shared" si="570"/>
        <v>0</v>
      </c>
      <c r="H3669" s="11">
        <f t="shared" si="571"/>
        <v>30.240000000000002</v>
      </c>
      <c r="I3669" s="11">
        <f t="shared" si="572"/>
        <v>0.27</v>
      </c>
      <c r="J3669" s="12">
        <f t="shared" si="573"/>
        <v>-30.240000000000002</v>
      </c>
      <c r="K3669" s="17" t="str">
        <f t="shared" si="578"/>
        <v>Ecart négatif</v>
      </c>
      <c r="L3669" s="16">
        <f>base!X3669</f>
        <v>0</v>
      </c>
      <c r="M3669" s="11">
        <f t="shared" si="574"/>
        <v>0</v>
      </c>
      <c r="N3669" s="11">
        <f t="shared" si="575"/>
        <v>0</v>
      </c>
      <c r="O3669" s="11">
        <f t="shared" si="576"/>
        <v>0</v>
      </c>
      <c r="P3669" s="12">
        <f t="shared" si="577"/>
        <v>0</v>
      </c>
      <c r="Q3669" s="17" t="str">
        <f t="shared" si="579"/>
        <v>Pas d'écart</v>
      </c>
    </row>
    <row r="3670" spans="1:18" x14ac:dyDescent="0.3">
      <c r="A3670" s="34">
        <f>base!J3670</f>
        <v>0</v>
      </c>
      <c r="B3670" s="34" t="str">
        <f>base!V3670</f>
        <v>44240</v>
      </c>
      <c r="C3670" s="37">
        <v>44</v>
      </c>
      <c r="D3670" s="36">
        <f>base!H3670</f>
        <v>182</v>
      </c>
      <c r="E3670" s="44"/>
      <c r="F3670" s="16">
        <f>base!W3670</f>
        <v>0</v>
      </c>
      <c r="G3670" s="11">
        <f t="shared" si="570"/>
        <v>0</v>
      </c>
      <c r="H3670" s="11">
        <f t="shared" si="571"/>
        <v>49.14</v>
      </c>
      <c r="I3670" s="11">
        <f t="shared" si="572"/>
        <v>0.27</v>
      </c>
      <c r="J3670" s="12">
        <f t="shared" si="573"/>
        <v>-49.14</v>
      </c>
      <c r="K3670" s="17" t="str">
        <f t="shared" si="578"/>
        <v>Ecart négatif</v>
      </c>
      <c r="L3670" s="16">
        <f>base!X3670</f>
        <v>0</v>
      </c>
      <c r="M3670" s="11">
        <f t="shared" si="574"/>
        <v>0</v>
      </c>
      <c r="N3670" s="11">
        <f t="shared" si="575"/>
        <v>0</v>
      </c>
      <c r="O3670" s="11">
        <f t="shared" si="576"/>
        <v>0</v>
      </c>
      <c r="P3670" s="12">
        <f t="shared" si="577"/>
        <v>0</v>
      </c>
      <c r="Q3670" s="17" t="str">
        <f t="shared" si="579"/>
        <v>Pas d'écart</v>
      </c>
    </row>
    <row r="3671" spans="1:18" x14ac:dyDescent="0.3">
      <c r="A3671" s="34">
        <f>base!J3671</f>
        <v>0</v>
      </c>
      <c r="B3671" s="34" t="str">
        <f>base!V3671</f>
        <v>44240</v>
      </c>
      <c r="C3671" s="37">
        <v>44</v>
      </c>
      <c r="D3671" s="36">
        <f>base!H3671</f>
        <v>22.5</v>
      </c>
      <c r="E3671" s="44"/>
      <c r="F3671" s="16">
        <f>base!W3671</f>
        <v>0</v>
      </c>
      <c r="G3671" s="11">
        <f t="shared" si="570"/>
        <v>0</v>
      </c>
      <c r="H3671" s="11">
        <f t="shared" si="571"/>
        <v>6.0750000000000002</v>
      </c>
      <c r="I3671" s="11">
        <f t="shared" si="572"/>
        <v>0.27</v>
      </c>
      <c r="J3671" s="12">
        <f t="shared" si="573"/>
        <v>-6.0750000000000002</v>
      </c>
      <c r="K3671" s="17" t="str">
        <f t="shared" si="578"/>
        <v>Ecart négatif</v>
      </c>
      <c r="L3671" s="16">
        <f>base!X3671</f>
        <v>0</v>
      </c>
      <c r="M3671" s="11">
        <f t="shared" si="574"/>
        <v>0</v>
      </c>
      <c r="N3671" s="11">
        <f t="shared" si="575"/>
        <v>0</v>
      </c>
      <c r="O3671" s="11">
        <f t="shared" si="576"/>
        <v>0</v>
      </c>
      <c r="P3671" s="12">
        <f t="shared" si="577"/>
        <v>0</v>
      </c>
      <c r="Q3671" s="17" t="str">
        <f t="shared" si="579"/>
        <v>Pas d'écart</v>
      </c>
    </row>
    <row r="3672" spans="1:18" x14ac:dyDescent="0.3">
      <c r="A3672" s="34" t="str">
        <f>base!J3672</f>
        <v>RS</v>
      </c>
      <c r="B3672" s="34" t="str">
        <f>base!V3672</f>
        <v>26500</v>
      </c>
      <c r="C3672" s="37">
        <v>26</v>
      </c>
      <c r="D3672" s="36">
        <f>base!H3672</f>
        <v>180</v>
      </c>
      <c r="E3672" s="44"/>
      <c r="F3672" s="16">
        <f>base!W3672</f>
        <v>0</v>
      </c>
      <c r="G3672" s="11">
        <f t="shared" si="570"/>
        <v>0</v>
      </c>
      <c r="H3672" s="11">
        <f t="shared" si="571"/>
        <v>48.6</v>
      </c>
      <c r="I3672" s="11">
        <f t="shared" si="572"/>
        <v>0.27</v>
      </c>
      <c r="J3672" s="12">
        <f t="shared" si="573"/>
        <v>-48.6</v>
      </c>
      <c r="K3672" s="17" t="str">
        <f t="shared" si="578"/>
        <v>Ecart négatif</v>
      </c>
      <c r="L3672" s="16">
        <f>base!X3672</f>
        <v>0</v>
      </c>
      <c r="M3672" s="11">
        <f t="shared" si="574"/>
        <v>0</v>
      </c>
      <c r="N3672" s="11">
        <f t="shared" si="575"/>
        <v>0</v>
      </c>
      <c r="O3672" s="11">
        <f t="shared" si="576"/>
        <v>0</v>
      </c>
      <c r="P3672" s="12">
        <f t="shared" si="577"/>
        <v>0</v>
      </c>
      <c r="Q3672" s="17" t="str">
        <f t="shared" si="579"/>
        <v>Pas d'écart</v>
      </c>
    </row>
    <row r="3673" spans="1:18" x14ac:dyDescent="0.3">
      <c r="A3673" s="34" t="str">
        <f>base!J3673</f>
        <v>LS</v>
      </c>
      <c r="B3673" s="34" t="str">
        <f>base!V3673</f>
        <v>83190</v>
      </c>
      <c r="C3673" s="37">
        <v>25</v>
      </c>
      <c r="D3673" s="36">
        <f>base!H3673</f>
        <v>13</v>
      </c>
      <c r="E3673" s="44"/>
      <c r="F3673" s="16">
        <f>base!W3673</f>
        <v>0</v>
      </c>
      <c r="G3673" s="11">
        <f t="shared" si="570"/>
        <v>0</v>
      </c>
      <c r="H3673" s="11">
        <f t="shared" si="571"/>
        <v>3.12</v>
      </c>
      <c r="I3673" s="11">
        <f t="shared" si="572"/>
        <v>0.24000000000000002</v>
      </c>
      <c r="J3673" s="12">
        <f t="shared" si="573"/>
        <v>-3.12</v>
      </c>
      <c r="K3673" s="17" t="str">
        <f t="shared" si="578"/>
        <v>Ecart négatif</v>
      </c>
      <c r="L3673" s="16">
        <f>base!X3673</f>
        <v>0</v>
      </c>
      <c r="M3673" s="11">
        <f t="shared" si="574"/>
        <v>0</v>
      </c>
      <c r="N3673" s="11">
        <f t="shared" si="575"/>
        <v>1.56</v>
      </c>
      <c r="O3673" s="11">
        <f t="shared" si="576"/>
        <v>0.12000000000000001</v>
      </c>
      <c r="P3673" s="12">
        <f t="shared" si="577"/>
        <v>-1.56</v>
      </c>
      <c r="Q3673" s="17" t="str">
        <f t="shared" si="579"/>
        <v>Ecart négatif</v>
      </c>
    </row>
    <row r="3674" spans="1:18" x14ac:dyDescent="0.3">
      <c r="A3674" s="34" t="str">
        <f>base!J3674</f>
        <v>RM</v>
      </c>
      <c r="B3674" s="34" t="str">
        <f>base!V3674</f>
        <v>37400</v>
      </c>
      <c r="C3674" s="37">
        <v>37</v>
      </c>
      <c r="D3674" s="36">
        <f>base!H3674</f>
        <v>180</v>
      </c>
      <c r="E3674" s="44"/>
      <c r="F3674" s="16">
        <f>base!W3674</f>
        <v>0</v>
      </c>
      <c r="G3674" s="11">
        <f t="shared" si="570"/>
        <v>0</v>
      </c>
      <c r="H3674" s="11">
        <f t="shared" si="571"/>
        <v>34.200000000000003</v>
      </c>
      <c r="I3674" s="11">
        <f t="shared" si="572"/>
        <v>0.19</v>
      </c>
      <c r="J3674" s="12">
        <f t="shared" si="573"/>
        <v>-34.200000000000003</v>
      </c>
      <c r="K3674" s="17" t="str">
        <f t="shared" si="578"/>
        <v>Ecart négatif</v>
      </c>
      <c r="L3674" s="16">
        <f>base!X3674</f>
        <v>21.6</v>
      </c>
      <c r="M3674" s="11">
        <f t="shared" si="574"/>
        <v>0.12000000000000001</v>
      </c>
      <c r="N3674" s="11">
        <f t="shared" si="575"/>
        <v>21.599999999999998</v>
      </c>
      <c r="O3674" s="11">
        <f t="shared" si="576"/>
        <v>0.11999999999999998</v>
      </c>
      <c r="P3674" s="12">
        <f t="shared" si="577"/>
        <v>0</v>
      </c>
      <c r="Q3674" s="17" t="str">
        <f t="shared" si="579"/>
        <v>Pas d'écart</v>
      </c>
      <c r="R3674" s="38"/>
    </row>
    <row r="3675" spans="1:18" x14ac:dyDescent="0.3">
      <c r="A3675" s="34" t="str">
        <f>base!J3675</f>
        <v>LM</v>
      </c>
      <c r="B3675" s="34" t="str">
        <f>base!V3675</f>
        <v>75014</v>
      </c>
      <c r="C3675" s="37">
        <v>75</v>
      </c>
      <c r="D3675" s="36">
        <f>base!H3675</f>
        <v>19.649999999999999</v>
      </c>
      <c r="E3675" s="44"/>
      <c r="F3675" s="16">
        <f>base!W3675</f>
        <v>0</v>
      </c>
      <c r="G3675" s="11">
        <f t="shared" si="570"/>
        <v>0</v>
      </c>
      <c r="H3675" s="11">
        <f t="shared" si="571"/>
        <v>0</v>
      </c>
      <c r="I3675" s="11">
        <f t="shared" si="572"/>
        <v>0</v>
      </c>
      <c r="J3675" s="12">
        <f t="shared" si="573"/>
        <v>0</v>
      </c>
      <c r="K3675" s="17" t="str">
        <f t="shared" si="578"/>
        <v>Pas d'écart</v>
      </c>
      <c r="L3675" s="16">
        <f>base!X3675</f>
        <v>0</v>
      </c>
      <c r="M3675" s="11">
        <f t="shared" si="574"/>
        <v>0</v>
      </c>
      <c r="N3675" s="11">
        <f t="shared" si="575"/>
        <v>0</v>
      </c>
      <c r="O3675" s="11">
        <f t="shared" si="576"/>
        <v>0</v>
      </c>
      <c r="P3675" s="12">
        <f t="shared" si="577"/>
        <v>0</v>
      </c>
      <c r="Q3675" s="17" t="str">
        <f t="shared" si="579"/>
        <v>Pas d'écart</v>
      </c>
    </row>
    <row r="3676" spans="1:18" x14ac:dyDescent="0.3">
      <c r="A3676" s="34" t="str">
        <f>base!J3676</f>
        <v>LM</v>
      </c>
      <c r="B3676" s="34" t="str">
        <f>base!V3676</f>
        <v>75014</v>
      </c>
      <c r="C3676" s="37">
        <v>75</v>
      </c>
      <c r="D3676" s="36">
        <f>base!H3676</f>
        <v>19.649999999999999</v>
      </c>
      <c r="E3676" s="44"/>
      <c r="F3676" s="16">
        <f>base!W3676</f>
        <v>0</v>
      </c>
      <c r="G3676" s="11">
        <f t="shared" si="570"/>
        <v>0</v>
      </c>
      <c r="H3676" s="11">
        <f t="shared" si="571"/>
        <v>0</v>
      </c>
      <c r="I3676" s="11">
        <f t="shared" si="572"/>
        <v>0</v>
      </c>
      <c r="J3676" s="12">
        <f t="shared" si="573"/>
        <v>0</v>
      </c>
      <c r="K3676" s="17" t="str">
        <f t="shared" si="578"/>
        <v>Pas d'écart</v>
      </c>
      <c r="L3676" s="16">
        <f>base!X3676</f>
        <v>0</v>
      </c>
      <c r="M3676" s="11">
        <f t="shared" si="574"/>
        <v>0</v>
      </c>
      <c r="N3676" s="11">
        <f t="shared" si="575"/>
        <v>0</v>
      </c>
      <c r="O3676" s="11">
        <f t="shared" si="576"/>
        <v>0</v>
      </c>
      <c r="P3676" s="12">
        <f t="shared" si="577"/>
        <v>0</v>
      </c>
      <c r="Q3676" s="17" t="str">
        <f t="shared" si="579"/>
        <v>Pas d'écart</v>
      </c>
    </row>
    <row r="3677" spans="1:18" x14ac:dyDescent="0.3">
      <c r="A3677" s="34" t="str">
        <f>base!J3677</f>
        <v>LM</v>
      </c>
      <c r="B3677" s="34" t="str">
        <f>base!V3677</f>
        <v>75014</v>
      </c>
      <c r="C3677" s="37">
        <v>75</v>
      </c>
      <c r="D3677" s="36">
        <f>base!H3677</f>
        <v>19.649999999999999</v>
      </c>
      <c r="E3677" s="44"/>
      <c r="F3677" s="16">
        <f>base!W3677</f>
        <v>0</v>
      </c>
      <c r="G3677" s="11">
        <f t="shared" si="570"/>
        <v>0</v>
      </c>
      <c r="H3677" s="11">
        <f t="shared" si="571"/>
        <v>0</v>
      </c>
      <c r="I3677" s="11">
        <f t="shared" si="572"/>
        <v>0</v>
      </c>
      <c r="J3677" s="12">
        <f t="shared" si="573"/>
        <v>0</v>
      </c>
      <c r="K3677" s="17" t="str">
        <f t="shared" si="578"/>
        <v>Pas d'écart</v>
      </c>
      <c r="L3677" s="16">
        <f>base!X3677</f>
        <v>0</v>
      </c>
      <c r="M3677" s="11">
        <f t="shared" si="574"/>
        <v>0</v>
      </c>
      <c r="N3677" s="11">
        <f t="shared" si="575"/>
        <v>0</v>
      </c>
      <c r="O3677" s="11">
        <f t="shared" si="576"/>
        <v>0</v>
      </c>
      <c r="P3677" s="12">
        <f t="shared" si="577"/>
        <v>0</v>
      </c>
      <c r="Q3677" s="17" t="str">
        <f t="shared" si="579"/>
        <v>Pas d'écart</v>
      </c>
    </row>
    <row r="3678" spans="1:18" x14ac:dyDescent="0.3">
      <c r="A3678" s="34" t="str">
        <f>base!J3678</f>
        <v>LM</v>
      </c>
      <c r="B3678" s="34" t="str">
        <f>base!V3678</f>
        <v>75014</v>
      </c>
      <c r="C3678" s="37">
        <v>75</v>
      </c>
      <c r="D3678" s="36">
        <f>base!H3678</f>
        <v>19.649999999999999</v>
      </c>
      <c r="E3678" s="44"/>
      <c r="F3678" s="16">
        <f>base!W3678</f>
        <v>0</v>
      </c>
      <c r="G3678" s="11">
        <f t="shared" si="570"/>
        <v>0</v>
      </c>
      <c r="H3678" s="11">
        <f t="shared" si="571"/>
        <v>0</v>
      </c>
      <c r="I3678" s="11">
        <f t="shared" si="572"/>
        <v>0</v>
      </c>
      <c r="J3678" s="12">
        <f t="shared" si="573"/>
        <v>0</v>
      </c>
      <c r="K3678" s="17" t="str">
        <f t="shared" si="578"/>
        <v>Pas d'écart</v>
      </c>
      <c r="L3678" s="16">
        <f>base!X3678</f>
        <v>0</v>
      </c>
      <c r="M3678" s="11">
        <f t="shared" si="574"/>
        <v>0</v>
      </c>
      <c r="N3678" s="11">
        <f t="shared" si="575"/>
        <v>0</v>
      </c>
      <c r="O3678" s="11">
        <f t="shared" si="576"/>
        <v>0</v>
      </c>
      <c r="P3678" s="12">
        <f t="shared" si="577"/>
        <v>0</v>
      </c>
      <c r="Q3678" s="17" t="str">
        <f t="shared" si="579"/>
        <v>Pas d'écart</v>
      </c>
    </row>
    <row r="3679" spans="1:18" x14ac:dyDescent="0.3">
      <c r="A3679" s="34" t="str">
        <f>base!J3679</f>
        <v>LS</v>
      </c>
      <c r="B3679" s="34" t="str">
        <f>base!V3679</f>
        <v>21000</v>
      </c>
      <c r="C3679" s="37">
        <v>25</v>
      </c>
      <c r="D3679" s="36">
        <f>base!H3679</f>
        <v>0.53</v>
      </c>
      <c r="E3679" s="44"/>
      <c r="F3679" s="16">
        <f>base!W3679</f>
        <v>0.13</v>
      </c>
      <c r="G3679" s="11">
        <f t="shared" si="570"/>
        <v>0.24528301886792453</v>
      </c>
      <c r="H3679" s="11">
        <f t="shared" si="571"/>
        <v>0.12720000000000001</v>
      </c>
      <c r="I3679" s="11">
        <f t="shared" si="572"/>
        <v>0.24</v>
      </c>
      <c r="J3679" s="12">
        <f t="shared" si="573"/>
        <v>2.7999999999999969E-3</v>
      </c>
      <c r="K3679" s="17" t="str">
        <f t="shared" si="578"/>
        <v>Ecart positif</v>
      </c>
      <c r="L3679" s="16">
        <f>base!X3679</f>
        <v>0</v>
      </c>
      <c r="M3679" s="11">
        <f t="shared" si="574"/>
        <v>0</v>
      </c>
      <c r="N3679" s="11">
        <f t="shared" si="575"/>
        <v>6.3600000000000004E-2</v>
      </c>
      <c r="O3679" s="11">
        <f t="shared" si="576"/>
        <v>0.12</v>
      </c>
      <c r="P3679" s="12">
        <f t="shared" si="577"/>
        <v>-6.3600000000000004E-2</v>
      </c>
      <c r="Q3679" s="17" t="str">
        <f t="shared" si="579"/>
        <v>Ecart négatif</v>
      </c>
    </row>
    <row r="3680" spans="1:18" x14ac:dyDescent="0.3">
      <c r="A3680" s="34" t="str">
        <f>base!J3680</f>
        <v>LS</v>
      </c>
      <c r="B3680" s="34" t="str">
        <f>base!V3680</f>
        <v>03000</v>
      </c>
      <c r="C3680" s="37">
        <v>58</v>
      </c>
      <c r="D3680" s="36">
        <f>base!H3680</f>
        <v>55.34</v>
      </c>
      <c r="E3680" s="44"/>
      <c r="F3680" s="16">
        <f>base!W3680</f>
        <v>16.05</v>
      </c>
      <c r="G3680" s="11">
        <f t="shared" si="570"/>
        <v>0.29002529815684858</v>
      </c>
      <c r="H3680" s="11">
        <f t="shared" si="571"/>
        <v>12.728200000000001</v>
      </c>
      <c r="I3680" s="11">
        <f t="shared" si="572"/>
        <v>0.23</v>
      </c>
      <c r="J3680" s="12">
        <f t="shared" si="573"/>
        <v>3.3217999999999996</v>
      </c>
      <c r="K3680" s="17" t="str">
        <f t="shared" si="578"/>
        <v>Ecart positif</v>
      </c>
      <c r="L3680" s="16">
        <f>base!X3680</f>
        <v>0</v>
      </c>
      <c r="M3680" s="11">
        <f t="shared" si="574"/>
        <v>0</v>
      </c>
      <c r="N3680" s="11">
        <f t="shared" si="575"/>
        <v>6.6408000000000005</v>
      </c>
      <c r="O3680" s="11">
        <f t="shared" si="576"/>
        <v>0.12</v>
      </c>
      <c r="P3680" s="12">
        <f t="shared" si="577"/>
        <v>-6.6408000000000005</v>
      </c>
      <c r="Q3680" s="17" t="str">
        <f t="shared" si="579"/>
        <v>Ecart négatif</v>
      </c>
    </row>
    <row r="3681" spans="1:18" x14ac:dyDescent="0.3">
      <c r="A3681" s="34" t="str">
        <f>base!J3681</f>
        <v>LS</v>
      </c>
      <c r="B3681" s="34" t="str">
        <f>base!V3681</f>
        <v>67280</v>
      </c>
      <c r="C3681" s="37">
        <v>25</v>
      </c>
      <c r="D3681" s="36">
        <f>base!H3681</f>
        <v>127.01</v>
      </c>
      <c r="E3681" s="44"/>
      <c r="F3681" s="16">
        <f>base!W3681</f>
        <v>36.83</v>
      </c>
      <c r="G3681" s="11">
        <f t="shared" si="570"/>
        <v>0.28997716715219274</v>
      </c>
      <c r="H3681" s="11">
        <f t="shared" si="571"/>
        <v>30.482399999999998</v>
      </c>
      <c r="I3681" s="11">
        <f t="shared" si="572"/>
        <v>0.24</v>
      </c>
      <c r="J3681" s="12">
        <f t="shared" si="573"/>
        <v>6.3475999999999999</v>
      </c>
      <c r="K3681" s="17" t="str">
        <f t="shared" si="578"/>
        <v>Ecart positif</v>
      </c>
      <c r="L3681" s="16">
        <f>base!X3681</f>
        <v>0</v>
      </c>
      <c r="M3681" s="11">
        <f t="shared" si="574"/>
        <v>0</v>
      </c>
      <c r="N3681" s="11">
        <f t="shared" si="575"/>
        <v>15.241199999999999</v>
      </c>
      <c r="O3681" s="11">
        <f t="shared" si="576"/>
        <v>0.12</v>
      </c>
      <c r="P3681" s="12">
        <f t="shared" si="577"/>
        <v>-15.241199999999999</v>
      </c>
      <c r="Q3681" s="17" t="str">
        <f t="shared" si="579"/>
        <v>Ecart négatif</v>
      </c>
    </row>
    <row r="3682" spans="1:18" x14ac:dyDescent="0.3">
      <c r="A3682" s="34" t="str">
        <f>base!J3682</f>
        <v>LS</v>
      </c>
      <c r="B3682" s="34" t="str">
        <f>base!V3682</f>
        <v>25200</v>
      </c>
      <c r="C3682" s="37">
        <v>54</v>
      </c>
      <c r="D3682" s="36">
        <f>base!H3682</f>
        <v>171.81</v>
      </c>
      <c r="E3682" s="44"/>
      <c r="F3682" s="16">
        <f>base!W3682</f>
        <v>41.23</v>
      </c>
      <c r="G3682" s="11">
        <f t="shared" si="570"/>
        <v>0.23997439031488269</v>
      </c>
      <c r="H3682" s="11">
        <f t="shared" si="571"/>
        <v>42.952500000000001</v>
      </c>
      <c r="I3682" s="11">
        <f t="shared" si="572"/>
        <v>0.25</v>
      </c>
      <c r="J3682" s="12">
        <f t="shared" si="573"/>
        <v>-1.7225000000000037</v>
      </c>
      <c r="K3682" s="17" t="str">
        <f t="shared" si="578"/>
        <v>Ecart négatif</v>
      </c>
      <c r="L3682" s="16">
        <f>base!X3682</f>
        <v>0</v>
      </c>
      <c r="M3682" s="11">
        <f t="shared" si="574"/>
        <v>0</v>
      </c>
      <c r="N3682" s="11">
        <f t="shared" si="575"/>
        <v>42.952500000000001</v>
      </c>
      <c r="O3682" s="11">
        <f t="shared" si="576"/>
        <v>0.25</v>
      </c>
      <c r="P3682" s="12">
        <f t="shared" si="577"/>
        <v>-42.952500000000001</v>
      </c>
      <c r="Q3682" s="17" t="str">
        <f t="shared" si="579"/>
        <v>Ecart négatif</v>
      </c>
    </row>
    <row r="3683" spans="1:18" x14ac:dyDescent="0.3">
      <c r="A3683" s="34">
        <f>base!J3683</f>
        <v>0</v>
      </c>
      <c r="B3683" s="34" t="str">
        <f>base!V3683</f>
        <v>77184</v>
      </c>
      <c r="C3683" s="37">
        <v>77</v>
      </c>
      <c r="D3683" s="36">
        <f>base!H3683</f>
        <v>169.03</v>
      </c>
      <c r="E3683" s="44"/>
      <c r="F3683" s="16">
        <f>base!W3683</f>
        <v>0</v>
      </c>
      <c r="G3683" s="11">
        <f t="shared" si="570"/>
        <v>0</v>
      </c>
      <c r="H3683" s="11">
        <f t="shared" si="571"/>
        <v>0</v>
      </c>
      <c r="I3683" s="11">
        <f t="shared" si="572"/>
        <v>0</v>
      </c>
      <c r="J3683" s="12">
        <f t="shared" si="573"/>
        <v>0</v>
      </c>
      <c r="K3683" s="17" t="str">
        <f t="shared" si="578"/>
        <v>Pas d'écart</v>
      </c>
      <c r="L3683" s="16">
        <f>base!X3683</f>
        <v>0</v>
      </c>
      <c r="M3683" s="11">
        <f t="shared" si="574"/>
        <v>0</v>
      </c>
      <c r="N3683" s="11">
        <f t="shared" si="575"/>
        <v>0</v>
      </c>
      <c r="O3683" s="11">
        <f t="shared" si="576"/>
        <v>0</v>
      </c>
      <c r="P3683" s="12">
        <f t="shared" si="577"/>
        <v>0</v>
      </c>
      <c r="Q3683" s="17" t="str">
        <f t="shared" si="579"/>
        <v>Pas d'écart</v>
      </c>
    </row>
    <row r="3684" spans="1:18" x14ac:dyDescent="0.3">
      <c r="A3684" s="34" t="str">
        <f>base!J3684</f>
        <v>RM</v>
      </c>
      <c r="B3684" s="34" t="str">
        <f>base!V3684</f>
        <v>17350</v>
      </c>
      <c r="C3684" s="37">
        <v>17</v>
      </c>
      <c r="D3684" s="36">
        <f>base!H3684</f>
        <v>30</v>
      </c>
      <c r="E3684" s="44"/>
      <c r="F3684" s="16">
        <f>base!W3684</f>
        <v>0</v>
      </c>
      <c r="G3684" s="11">
        <f t="shared" si="570"/>
        <v>0</v>
      </c>
      <c r="H3684" s="11">
        <f t="shared" si="571"/>
        <v>6.3</v>
      </c>
      <c r="I3684" s="11">
        <f t="shared" si="572"/>
        <v>0.21</v>
      </c>
      <c r="J3684" s="12">
        <f t="shared" si="573"/>
        <v>-6.3</v>
      </c>
      <c r="K3684" s="17" t="str">
        <f t="shared" si="578"/>
        <v>Ecart négatif</v>
      </c>
      <c r="L3684" s="16">
        <f>base!X3684</f>
        <v>0</v>
      </c>
      <c r="M3684" s="11">
        <f t="shared" si="574"/>
        <v>0</v>
      </c>
      <c r="N3684" s="11">
        <f t="shared" si="575"/>
        <v>5.1000000000000005</v>
      </c>
      <c r="O3684" s="11">
        <f t="shared" si="576"/>
        <v>0.17</v>
      </c>
      <c r="P3684" s="12">
        <f t="shared" si="577"/>
        <v>-5.1000000000000005</v>
      </c>
      <c r="Q3684" s="17" t="str">
        <f t="shared" si="579"/>
        <v>Ecart négatif</v>
      </c>
    </row>
    <row r="3685" spans="1:18" x14ac:dyDescent="0.3">
      <c r="A3685" s="34" t="str">
        <f>base!J3685</f>
        <v>LM</v>
      </c>
      <c r="B3685" s="34" t="str">
        <f>base!V3685</f>
        <v>62000</v>
      </c>
      <c r="C3685" s="37">
        <v>54</v>
      </c>
      <c r="D3685" s="36">
        <f>base!H3685</f>
        <v>140.53</v>
      </c>
      <c r="E3685" s="44"/>
      <c r="F3685" s="16">
        <f>base!W3685</f>
        <v>26.7</v>
      </c>
      <c r="G3685" s="11">
        <f t="shared" si="570"/>
        <v>0.18999501885718351</v>
      </c>
      <c r="H3685" s="11">
        <f t="shared" si="571"/>
        <v>35.1325</v>
      </c>
      <c r="I3685" s="11">
        <f t="shared" si="572"/>
        <v>0.25</v>
      </c>
      <c r="J3685" s="12">
        <f t="shared" si="573"/>
        <v>-8.432500000000001</v>
      </c>
      <c r="K3685" s="17" t="str">
        <f t="shared" si="578"/>
        <v>Ecart négatif</v>
      </c>
      <c r="L3685" s="16">
        <f>base!X3685</f>
        <v>0</v>
      </c>
      <c r="M3685" s="11">
        <f t="shared" si="574"/>
        <v>0</v>
      </c>
      <c r="N3685" s="11">
        <f t="shared" si="575"/>
        <v>35.1325</v>
      </c>
      <c r="O3685" s="11">
        <f t="shared" si="576"/>
        <v>0.25</v>
      </c>
      <c r="P3685" s="12">
        <f t="shared" si="577"/>
        <v>-35.1325</v>
      </c>
      <c r="Q3685" s="17" t="str">
        <f t="shared" si="579"/>
        <v>Ecart négatif</v>
      </c>
    </row>
    <row r="3686" spans="1:18" x14ac:dyDescent="0.3">
      <c r="A3686" s="34" t="str">
        <f>base!J3686</f>
        <v>LS</v>
      </c>
      <c r="B3686" s="34" t="str">
        <f>base!V3686</f>
        <v>22300</v>
      </c>
      <c r="C3686" s="37">
        <v>57</v>
      </c>
      <c r="D3686" s="36">
        <f>base!H3686</f>
        <v>132.01</v>
      </c>
      <c r="E3686" s="44"/>
      <c r="F3686" s="16">
        <f>base!W3686</f>
        <v>51.48</v>
      </c>
      <c r="G3686" s="11">
        <f t="shared" si="570"/>
        <v>0.389970456783577</v>
      </c>
      <c r="H3686" s="11">
        <f t="shared" si="571"/>
        <v>31.682399999999998</v>
      </c>
      <c r="I3686" s="11">
        <f t="shared" si="572"/>
        <v>0.24</v>
      </c>
      <c r="J3686" s="12">
        <f t="shared" si="573"/>
        <v>19.797599999999999</v>
      </c>
      <c r="K3686" s="17" t="str">
        <f t="shared" si="578"/>
        <v>Ecart positif</v>
      </c>
      <c r="L3686" s="16">
        <f>base!X3686</f>
        <v>0</v>
      </c>
      <c r="M3686" s="11">
        <f t="shared" si="574"/>
        <v>0</v>
      </c>
      <c r="N3686" s="11">
        <f t="shared" si="575"/>
        <v>33.002499999999998</v>
      </c>
      <c r="O3686" s="11">
        <f t="shared" si="576"/>
        <v>0.25</v>
      </c>
      <c r="P3686" s="12">
        <f t="shared" si="577"/>
        <v>-33.002499999999998</v>
      </c>
      <c r="Q3686" s="17" t="str">
        <f t="shared" si="579"/>
        <v>Ecart négatif</v>
      </c>
    </row>
    <row r="3687" spans="1:18" x14ac:dyDescent="0.3">
      <c r="A3687" s="34" t="str">
        <f>base!J3687</f>
        <v>LS</v>
      </c>
      <c r="B3687" s="34" t="str">
        <f>base!V3687</f>
        <v>94550</v>
      </c>
      <c r="C3687" s="37">
        <v>94</v>
      </c>
      <c r="D3687" s="36">
        <f>base!H3687</f>
        <v>142.01</v>
      </c>
      <c r="E3687" s="44"/>
      <c r="F3687" s="16">
        <f>base!W3687</f>
        <v>0</v>
      </c>
      <c r="G3687" s="11">
        <f t="shared" si="570"/>
        <v>0</v>
      </c>
      <c r="H3687" s="11">
        <f t="shared" si="571"/>
        <v>0</v>
      </c>
      <c r="I3687" s="11">
        <f t="shared" si="572"/>
        <v>0</v>
      </c>
      <c r="J3687" s="12">
        <f t="shared" si="573"/>
        <v>0</v>
      </c>
      <c r="K3687" s="17" t="str">
        <f t="shared" si="578"/>
        <v>Pas d'écart</v>
      </c>
      <c r="L3687" s="16">
        <f>base!X3687</f>
        <v>0</v>
      </c>
      <c r="M3687" s="11">
        <f t="shared" si="574"/>
        <v>0</v>
      </c>
      <c r="N3687" s="11">
        <f t="shared" si="575"/>
        <v>0</v>
      </c>
      <c r="O3687" s="11">
        <f t="shared" si="576"/>
        <v>0</v>
      </c>
      <c r="P3687" s="12">
        <f t="shared" si="577"/>
        <v>0</v>
      </c>
      <c r="Q3687" s="17" t="str">
        <f t="shared" si="579"/>
        <v>Pas d'écart</v>
      </c>
    </row>
    <row r="3688" spans="1:18" x14ac:dyDescent="0.3">
      <c r="A3688" s="34" t="str">
        <f>base!J3688</f>
        <v>LM</v>
      </c>
      <c r="B3688" s="34" t="str">
        <f>base!V3688</f>
        <v>52800</v>
      </c>
      <c r="C3688" s="37">
        <v>58</v>
      </c>
      <c r="D3688" s="36">
        <f>base!H3688</f>
        <v>22.62</v>
      </c>
      <c r="E3688" s="44"/>
      <c r="F3688" s="16">
        <f>base!W3688</f>
        <v>5.43</v>
      </c>
      <c r="G3688" s="11">
        <f t="shared" si="570"/>
        <v>0.24005305039787797</v>
      </c>
      <c r="H3688" s="11">
        <f t="shared" si="571"/>
        <v>5.2026000000000003</v>
      </c>
      <c r="I3688" s="11">
        <f t="shared" si="572"/>
        <v>0.23</v>
      </c>
      <c r="J3688" s="12">
        <f t="shared" si="573"/>
        <v>0.22739999999999938</v>
      </c>
      <c r="K3688" s="17" t="str">
        <f t="shared" si="578"/>
        <v>Ecart positif</v>
      </c>
      <c r="L3688" s="16">
        <f>base!X3688</f>
        <v>0</v>
      </c>
      <c r="M3688" s="11">
        <f t="shared" si="574"/>
        <v>0</v>
      </c>
      <c r="N3688" s="11">
        <f t="shared" si="575"/>
        <v>2.7143999999999999</v>
      </c>
      <c r="O3688" s="11">
        <f t="shared" si="576"/>
        <v>0.12</v>
      </c>
      <c r="P3688" s="12">
        <f t="shared" si="577"/>
        <v>-2.7143999999999999</v>
      </c>
      <c r="Q3688" s="17" t="str">
        <f t="shared" si="579"/>
        <v>Ecart négatif</v>
      </c>
    </row>
    <row r="3689" spans="1:18" x14ac:dyDescent="0.3">
      <c r="A3689" s="34" t="str">
        <f>base!J3689</f>
        <v>LS</v>
      </c>
      <c r="B3689" s="34" t="str">
        <f>base!V3689</f>
        <v>75007</v>
      </c>
      <c r="C3689" s="37">
        <v>75</v>
      </c>
      <c r="D3689" s="36">
        <f>base!H3689</f>
        <v>32.85</v>
      </c>
      <c r="E3689" s="44"/>
      <c r="F3689" s="16">
        <f>base!W3689</f>
        <v>0</v>
      </c>
      <c r="G3689" s="11">
        <f t="shared" si="570"/>
        <v>0</v>
      </c>
      <c r="H3689" s="11">
        <f t="shared" si="571"/>
        <v>0</v>
      </c>
      <c r="I3689" s="11">
        <f t="shared" si="572"/>
        <v>0</v>
      </c>
      <c r="J3689" s="12">
        <f t="shared" si="573"/>
        <v>0</v>
      </c>
      <c r="K3689" s="17" t="str">
        <f t="shared" si="578"/>
        <v>Pas d'écart</v>
      </c>
      <c r="L3689" s="16">
        <f>base!X3689</f>
        <v>0</v>
      </c>
      <c r="M3689" s="11">
        <f t="shared" si="574"/>
        <v>0</v>
      </c>
      <c r="N3689" s="11">
        <f t="shared" si="575"/>
        <v>0</v>
      </c>
      <c r="O3689" s="11">
        <f t="shared" si="576"/>
        <v>0</v>
      </c>
      <c r="P3689" s="12">
        <f t="shared" si="577"/>
        <v>0</v>
      </c>
      <c r="Q3689" s="17" t="str">
        <f t="shared" si="579"/>
        <v>Pas d'écart</v>
      </c>
    </row>
    <row r="3690" spans="1:18" x14ac:dyDescent="0.3">
      <c r="A3690" s="34" t="str">
        <f>base!J3690</f>
        <v>LS</v>
      </c>
      <c r="B3690" s="34" t="str">
        <f>base!V3690</f>
        <v>84000</v>
      </c>
      <c r="C3690" s="37">
        <v>51</v>
      </c>
      <c r="D3690" s="36">
        <f>base!H3690</f>
        <v>132.24</v>
      </c>
      <c r="E3690" s="44"/>
      <c r="F3690" s="16">
        <f>base!W3690</f>
        <v>38.35</v>
      </c>
      <c r="G3690" s="11">
        <f t="shared" si="570"/>
        <v>0.29000302480338774</v>
      </c>
      <c r="H3690" s="11">
        <f t="shared" si="571"/>
        <v>33.06</v>
      </c>
      <c r="I3690" s="11">
        <f t="shared" si="572"/>
        <v>0.25</v>
      </c>
      <c r="J3690" s="12">
        <f t="shared" si="573"/>
        <v>5.2899999999999991</v>
      </c>
      <c r="K3690" s="17" t="str">
        <f t="shared" si="578"/>
        <v>Ecart positif</v>
      </c>
      <c r="L3690" s="16">
        <f>base!X3690</f>
        <v>0</v>
      </c>
      <c r="M3690" s="11">
        <f t="shared" si="574"/>
        <v>0</v>
      </c>
      <c r="N3690" s="11">
        <f t="shared" si="575"/>
        <v>33.06</v>
      </c>
      <c r="O3690" s="11">
        <f t="shared" si="576"/>
        <v>0.25</v>
      </c>
      <c r="P3690" s="12">
        <f t="shared" si="577"/>
        <v>-33.06</v>
      </c>
      <c r="Q3690" s="17" t="str">
        <f t="shared" si="579"/>
        <v>Ecart négatif</v>
      </c>
    </row>
    <row r="3691" spans="1:18" x14ac:dyDescent="0.3">
      <c r="A3691" s="34" t="str">
        <f>base!J3691</f>
        <v>LS</v>
      </c>
      <c r="B3691" s="34" t="str">
        <f>base!V3691</f>
        <v>89150</v>
      </c>
      <c r="C3691" s="37">
        <v>21</v>
      </c>
      <c r="D3691" s="36">
        <f>base!H3691</f>
        <v>19.8</v>
      </c>
      <c r="E3691" s="44"/>
      <c r="F3691" s="16">
        <f>base!W3691</f>
        <v>4.75</v>
      </c>
      <c r="G3691" s="11">
        <f t="shared" si="570"/>
        <v>0.23989898989898989</v>
      </c>
      <c r="H3691" s="11">
        <f t="shared" si="571"/>
        <v>4.7519999999999998</v>
      </c>
      <c r="I3691" s="11">
        <f t="shared" si="572"/>
        <v>0.24</v>
      </c>
      <c r="J3691" s="12">
        <f t="shared" si="573"/>
        <v>-1.9999999999997797E-3</v>
      </c>
      <c r="K3691" s="17" t="str">
        <f t="shared" si="578"/>
        <v>Ecart négatif</v>
      </c>
      <c r="L3691" s="16">
        <f>base!X3691</f>
        <v>0</v>
      </c>
      <c r="M3691" s="11">
        <f t="shared" si="574"/>
        <v>0</v>
      </c>
      <c r="N3691" s="11">
        <f t="shared" si="575"/>
        <v>2.3759999999999999</v>
      </c>
      <c r="O3691" s="11">
        <f t="shared" si="576"/>
        <v>0.12</v>
      </c>
      <c r="P3691" s="12">
        <f t="shared" si="577"/>
        <v>-2.3759999999999999</v>
      </c>
      <c r="Q3691" s="17" t="str">
        <f t="shared" si="579"/>
        <v>Ecart négatif</v>
      </c>
    </row>
    <row r="3692" spans="1:18" x14ac:dyDescent="0.3">
      <c r="A3692" s="34">
        <f>base!J3692</f>
        <v>0</v>
      </c>
      <c r="B3692" s="34" t="str">
        <f>base!V3692</f>
        <v>77184</v>
      </c>
      <c r="C3692" s="37">
        <v>77</v>
      </c>
      <c r="D3692" s="36">
        <f>base!H3692</f>
        <v>66.2</v>
      </c>
      <c r="E3692" s="44"/>
      <c r="F3692" s="16">
        <f>base!W3692</f>
        <v>0</v>
      </c>
      <c r="G3692" s="11">
        <f t="shared" si="570"/>
        <v>0</v>
      </c>
      <c r="H3692" s="11">
        <f t="shared" si="571"/>
        <v>0</v>
      </c>
      <c r="I3692" s="11">
        <f t="shared" si="572"/>
        <v>0</v>
      </c>
      <c r="J3692" s="12">
        <f t="shared" si="573"/>
        <v>0</v>
      </c>
      <c r="K3692" s="17" t="str">
        <f t="shared" si="578"/>
        <v>Pas d'écart</v>
      </c>
      <c r="L3692" s="16">
        <f>base!X3692</f>
        <v>0</v>
      </c>
      <c r="M3692" s="11">
        <f t="shared" si="574"/>
        <v>0</v>
      </c>
      <c r="N3692" s="11">
        <f t="shared" si="575"/>
        <v>0</v>
      </c>
      <c r="O3692" s="11">
        <f t="shared" si="576"/>
        <v>0</v>
      </c>
      <c r="P3692" s="12">
        <f t="shared" si="577"/>
        <v>0</v>
      </c>
      <c r="Q3692" s="17" t="str">
        <f t="shared" si="579"/>
        <v>Pas d'écart</v>
      </c>
    </row>
    <row r="3693" spans="1:18" x14ac:dyDescent="0.3">
      <c r="A3693" s="34">
        <f>base!J3693</f>
        <v>0</v>
      </c>
      <c r="B3693" s="34" t="str">
        <f>base!V3693</f>
        <v>77184</v>
      </c>
      <c r="C3693" s="37">
        <v>77</v>
      </c>
      <c r="D3693" s="36">
        <f>base!H3693</f>
        <v>25</v>
      </c>
      <c r="E3693" s="44"/>
      <c r="F3693" s="16">
        <f>base!W3693</f>
        <v>0</v>
      </c>
      <c r="G3693" s="11">
        <f t="shared" si="570"/>
        <v>0</v>
      </c>
      <c r="H3693" s="11">
        <f t="shared" si="571"/>
        <v>0</v>
      </c>
      <c r="I3693" s="11">
        <f t="shared" si="572"/>
        <v>0</v>
      </c>
      <c r="J3693" s="12">
        <f t="shared" si="573"/>
        <v>0</v>
      </c>
      <c r="K3693" s="17" t="str">
        <f t="shared" si="578"/>
        <v>Pas d'écart</v>
      </c>
      <c r="L3693" s="16">
        <f>base!X3693</f>
        <v>0</v>
      </c>
      <c r="M3693" s="11">
        <f t="shared" si="574"/>
        <v>0</v>
      </c>
      <c r="N3693" s="11">
        <f t="shared" si="575"/>
        <v>0</v>
      </c>
      <c r="O3693" s="11">
        <f t="shared" si="576"/>
        <v>0</v>
      </c>
      <c r="P3693" s="12">
        <f t="shared" si="577"/>
        <v>0</v>
      </c>
      <c r="Q3693" s="17" t="str">
        <f t="shared" si="579"/>
        <v>Pas d'écart</v>
      </c>
    </row>
    <row r="3694" spans="1:18" x14ac:dyDescent="0.3">
      <c r="A3694" s="34">
        <f>base!J3694</f>
        <v>0</v>
      </c>
      <c r="B3694" s="34" t="str">
        <f>base!V3694</f>
        <v>77184</v>
      </c>
      <c r="C3694" s="37">
        <v>77</v>
      </c>
      <c r="D3694" s="36">
        <f>base!H3694</f>
        <v>157</v>
      </c>
      <c r="E3694" s="44"/>
      <c r="F3694" s="16">
        <f>base!W3694</f>
        <v>0</v>
      </c>
      <c r="G3694" s="11">
        <f t="shared" si="570"/>
        <v>0</v>
      </c>
      <c r="H3694" s="11">
        <f t="shared" si="571"/>
        <v>0</v>
      </c>
      <c r="I3694" s="11">
        <f t="shared" si="572"/>
        <v>0</v>
      </c>
      <c r="J3694" s="12">
        <f t="shared" si="573"/>
        <v>0</v>
      </c>
      <c r="K3694" s="17" t="str">
        <f t="shared" si="578"/>
        <v>Pas d'écart</v>
      </c>
      <c r="L3694" s="16">
        <f>base!X3694</f>
        <v>0</v>
      </c>
      <c r="M3694" s="11">
        <f t="shared" si="574"/>
        <v>0</v>
      </c>
      <c r="N3694" s="11">
        <f t="shared" si="575"/>
        <v>0</v>
      </c>
      <c r="O3694" s="11">
        <f t="shared" si="576"/>
        <v>0</v>
      </c>
      <c r="P3694" s="12">
        <f t="shared" si="577"/>
        <v>0</v>
      </c>
      <c r="Q3694" s="17" t="str">
        <f t="shared" si="579"/>
        <v>Pas d'écart</v>
      </c>
    </row>
    <row r="3695" spans="1:18" x14ac:dyDescent="0.3">
      <c r="A3695" s="34" t="str">
        <f>base!J3695</f>
        <v>RM</v>
      </c>
      <c r="B3695" s="34" t="str">
        <f>base!V3695</f>
        <v>67230</v>
      </c>
      <c r="C3695" s="37">
        <v>67</v>
      </c>
      <c r="D3695" s="36">
        <f>base!H3695</f>
        <v>140</v>
      </c>
      <c r="E3695" s="44"/>
      <c r="F3695" s="16">
        <f>base!W3695</f>
        <v>0</v>
      </c>
      <c r="G3695" s="11">
        <f t="shared" si="570"/>
        <v>0</v>
      </c>
      <c r="H3695" s="11">
        <f t="shared" si="571"/>
        <v>40.599999999999994</v>
      </c>
      <c r="I3695" s="11">
        <f t="shared" si="572"/>
        <v>0.28999999999999998</v>
      </c>
      <c r="J3695" s="12">
        <f t="shared" si="573"/>
        <v>-40.599999999999994</v>
      </c>
      <c r="K3695" s="17" t="str">
        <f t="shared" si="578"/>
        <v>Ecart négatif</v>
      </c>
      <c r="L3695" s="16">
        <f>base!X3695</f>
        <v>11.2</v>
      </c>
      <c r="M3695" s="11">
        <f t="shared" si="574"/>
        <v>0.08</v>
      </c>
      <c r="N3695" s="11">
        <f t="shared" si="575"/>
        <v>11.200000000000001</v>
      </c>
      <c r="O3695" s="11">
        <f t="shared" si="576"/>
        <v>0.08</v>
      </c>
      <c r="P3695" s="12">
        <f t="shared" si="577"/>
        <v>0</v>
      </c>
      <c r="Q3695" s="17" t="str">
        <f t="shared" si="579"/>
        <v>Pas d'écart</v>
      </c>
      <c r="R3695" s="38"/>
    </row>
    <row r="3696" spans="1:18" x14ac:dyDescent="0.3">
      <c r="A3696" s="34" t="str">
        <f>base!J3696</f>
        <v>LM</v>
      </c>
      <c r="B3696" s="34" t="str">
        <f>base!V3696</f>
        <v>94405</v>
      </c>
      <c r="C3696" s="37">
        <v>94</v>
      </c>
      <c r="D3696" s="36">
        <f>base!H3696</f>
        <v>5.85</v>
      </c>
      <c r="E3696" s="44"/>
      <c r="F3696" s="16">
        <f>base!W3696</f>
        <v>0</v>
      </c>
      <c r="G3696" s="11">
        <f t="shared" si="570"/>
        <v>0</v>
      </c>
      <c r="H3696" s="11">
        <f t="shared" si="571"/>
        <v>0</v>
      </c>
      <c r="I3696" s="11">
        <f t="shared" si="572"/>
        <v>0</v>
      </c>
      <c r="J3696" s="12">
        <f t="shared" si="573"/>
        <v>0</v>
      </c>
      <c r="K3696" s="17" t="str">
        <f t="shared" si="578"/>
        <v>Pas d'écart</v>
      </c>
      <c r="L3696" s="16">
        <f>base!X3696</f>
        <v>0</v>
      </c>
      <c r="M3696" s="11">
        <f t="shared" si="574"/>
        <v>0</v>
      </c>
      <c r="N3696" s="11">
        <f t="shared" si="575"/>
        <v>0</v>
      </c>
      <c r="O3696" s="11">
        <f t="shared" si="576"/>
        <v>0</v>
      </c>
      <c r="P3696" s="12">
        <f t="shared" si="577"/>
        <v>0</v>
      </c>
      <c r="Q3696" s="17" t="str">
        <f t="shared" si="579"/>
        <v>Pas d'écart</v>
      </c>
    </row>
    <row r="3697" spans="1:18" x14ac:dyDescent="0.3">
      <c r="A3697" s="34" t="str">
        <f>base!J3697</f>
        <v>LS</v>
      </c>
      <c r="B3697" s="34" t="str">
        <f>base!V3697</f>
        <v>25310</v>
      </c>
      <c r="C3697" s="37">
        <v>57</v>
      </c>
      <c r="D3697" s="36">
        <f>base!H3697</f>
        <v>103.06</v>
      </c>
      <c r="E3697" s="44"/>
      <c r="F3697" s="16">
        <f>base!W3697</f>
        <v>24.73</v>
      </c>
      <c r="G3697" s="11">
        <f t="shared" si="570"/>
        <v>0.23995730642344265</v>
      </c>
      <c r="H3697" s="11">
        <f t="shared" si="571"/>
        <v>24.734400000000001</v>
      </c>
      <c r="I3697" s="11">
        <f t="shared" si="572"/>
        <v>0.24</v>
      </c>
      <c r="J3697" s="12">
        <f t="shared" si="573"/>
        <v>-4.4000000000004036E-3</v>
      </c>
      <c r="K3697" s="17" t="str">
        <f t="shared" si="578"/>
        <v>Ecart négatif</v>
      </c>
      <c r="L3697" s="16">
        <f>base!X3697</f>
        <v>0</v>
      </c>
      <c r="M3697" s="11">
        <f t="shared" si="574"/>
        <v>0</v>
      </c>
      <c r="N3697" s="11">
        <f t="shared" si="575"/>
        <v>25.765000000000001</v>
      </c>
      <c r="O3697" s="11">
        <f t="shared" si="576"/>
        <v>0.25</v>
      </c>
      <c r="P3697" s="12">
        <f t="shared" si="577"/>
        <v>-25.765000000000001</v>
      </c>
      <c r="Q3697" s="17" t="str">
        <f t="shared" si="579"/>
        <v>Ecart négatif</v>
      </c>
    </row>
    <row r="3698" spans="1:18" x14ac:dyDescent="0.3">
      <c r="A3698" s="34" t="str">
        <f>base!J3698</f>
        <v>LS</v>
      </c>
      <c r="B3698" s="34" t="str">
        <f>base!V3698</f>
        <v>31150</v>
      </c>
      <c r="C3698" s="37">
        <v>31</v>
      </c>
      <c r="D3698" s="36">
        <f>base!H3698</f>
        <v>0</v>
      </c>
      <c r="E3698" s="44"/>
      <c r="F3698" s="16">
        <f>base!W3698</f>
        <v>0</v>
      </c>
      <c r="G3698" s="11" t="e">
        <f t="shared" si="570"/>
        <v>#DIV/0!</v>
      </c>
      <c r="H3698" s="11">
        <f t="shared" si="571"/>
        <v>0</v>
      </c>
      <c r="I3698" s="11" t="e">
        <f t="shared" si="572"/>
        <v>#DIV/0!</v>
      </c>
      <c r="J3698" s="12">
        <f t="shared" si="573"/>
        <v>0</v>
      </c>
      <c r="K3698" s="17" t="str">
        <f t="shared" si="578"/>
        <v>Pas d'écart</v>
      </c>
      <c r="L3698" s="16">
        <f>base!X3698</f>
        <v>0</v>
      </c>
      <c r="M3698" s="11" t="e">
        <f t="shared" si="574"/>
        <v>#DIV/0!</v>
      </c>
      <c r="N3698" s="11">
        <f t="shared" si="575"/>
        <v>0</v>
      </c>
      <c r="O3698" s="11" t="e">
        <f t="shared" si="576"/>
        <v>#DIV/0!</v>
      </c>
      <c r="P3698" s="12">
        <f t="shared" si="577"/>
        <v>0</v>
      </c>
      <c r="Q3698" s="17" t="str">
        <f t="shared" si="579"/>
        <v>Pas d'écart</v>
      </c>
    </row>
    <row r="3699" spans="1:18" x14ac:dyDescent="0.3">
      <c r="A3699" s="34" t="str">
        <f>base!J3699</f>
        <v>RS</v>
      </c>
      <c r="B3699" s="34" t="str">
        <f>base!V3699</f>
        <v>62220</v>
      </c>
      <c r="C3699" s="37">
        <v>62</v>
      </c>
      <c r="D3699" s="36">
        <f>base!H3699</f>
        <v>180</v>
      </c>
      <c r="E3699" s="44"/>
      <c r="F3699" s="16">
        <f>base!W3699</f>
        <v>0</v>
      </c>
      <c r="G3699" s="11">
        <f t="shared" si="570"/>
        <v>0</v>
      </c>
      <c r="H3699" s="11">
        <f t="shared" si="571"/>
        <v>34.200000000000003</v>
      </c>
      <c r="I3699" s="11">
        <f t="shared" si="572"/>
        <v>0.19</v>
      </c>
      <c r="J3699" s="12">
        <f t="shared" si="573"/>
        <v>-34.200000000000003</v>
      </c>
      <c r="K3699" s="17" t="str">
        <f t="shared" si="578"/>
        <v>Ecart négatif</v>
      </c>
      <c r="L3699" s="16">
        <f>base!X3699</f>
        <v>0</v>
      </c>
      <c r="M3699" s="11">
        <f t="shared" si="574"/>
        <v>0</v>
      </c>
      <c r="N3699" s="11">
        <f t="shared" si="575"/>
        <v>0</v>
      </c>
      <c r="O3699" s="11">
        <f t="shared" si="576"/>
        <v>0</v>
      </c>
      <c r="P3699" s="12">
        <f t="shared" si="577"/>
        <v>0</v>
      </c>
      <c r="Q3699" s="17" t="str">
        <f t="shared" si="579"/>
        <v>Pas d'écart</v>
      </c>
    </row>
    <row r="3700" spans="1:18" x14ac:dyDescent="0.3">
      <c r="A3700" s="34" t="str">
        <f>base!J3700</f>
        <v>RS</v>
      </c>
      <c r="B3700" s="34" t="str">
        <f>base!V3700</f>
        <v>55800</v>
      </c>
      <c r="C3700" s="37">
        <v>55</v>
      </c>
      <c r="D3700" s="36">
        <f>base!H3700</f>
        <v>140</v>
      </c>
      <c r="E3700" s="44"/>
      <c r="F3700" s="16">
        <f>base!W3700</f>
        <v>0</v>
      </c>
      <c r="G3700" s="11">
        <f t="shared" si="570"/>
        <v>0</v>
      </c>
      <c r="H3700" s="11">
        <f t="shared" si="571"/>
        <v>35</v>
      </c>
      <c r="I3700" s="11">
        <f t="shared" si="572"/>
        <v>0.25</v>
      </c>
      <c r="J3700" s="12">
        <f t="shared" si="573"/>
        <v>-35</v>
      </c>
      <c r="K3700" s="17" t="str">
        <f t="shared" si="578"/>
        <v>Ecart négatif</v>
      </c>
      <c r="L3700" s="16">
        <f>base!X3700</f>
        <v>35</v>
      </c>
      <c r="M3700" s="11">
        <f t="shared" si="574"/>
        <v>0.25</v>
      </c>
      <c r="N3700" s="11">
        <f t="shared" si="575"/>
        <v>35</v>
      </c>
      <c r="O3700" s="11">
        <f t="shared" si="576"/>
        <v>0.25</v>
      </c>
      <c r="P3700" s="12">
        <f t="shared" si="577"/>
        <v>0</v>
      </c>
      <c r="Q3700" s="17" t="str">
        <f t="shared" si="579"/>
        <v>Pas d'écart</v>
      </c>
    </row>
    <row r="3701" spans="1:18" x14ac:dyDescent="0.3">
      <c r="A3701" s="34" t="str">
        <f>base!J3701</f>
        <v>LS</v>
      </c>
      <c r="B3701" s="34" t="str">
        <f>base!V3701</f>
        <v>29860</v>
      </c>
      <c r="C3701" s="37">
        <v>89</v>
      </c>
      <c r="D3701" s="36">
        <f>base!H3701</f>
        <v>1084.4000000000001</v>
      </c>
      <c r="E3701" s="44"/>
      <c r="F3701" s="16">
        <f>base!W3701</f>
        <v>422.92</v>
      </c>
      <c r="G3701" s="11">
        <f t="shared" si="570"/>
        <v>0.3900036886757654</v>
      </c>
      <c r="H3701" s="11">
        <f t="shared" si="571"/>
        <v>249.41200000000003</v>
      </c>
      <c r="I3701" s="11">
        <f t="shared" si="572"/>
        <v>0.23</v>
      </c>
      <c r="J3701" s="12">
        <f t="shared" si="573"/>
        <v>173.50799999999998</v>
      </c>
      <c r="K3701" s="17" t="str">
        <f t="shared" si="578"/>
        <v>Ecart positif</v>
      </c>
      <c r="L3701" s="16">
        <f>base!X3701</f>
        <v>0</v>
      </c>
      <c r="M3701" s="11">
        <f t="shared" si="574"/>
        <v>0</v>
      </c>
      <c r="N3701" s="11">
        <f t="shared" si="575"/>
        <v>130.12800000000001</v>
      </c>
      <c r="O3701" s="11">
        <f t="shared" si="576"/>
        <v>0.12000000000000001</v>
      </c>
      <c r="P3701" s="12">
        <f t="shared" si="577"/>
        <v>-130.12800000000001</v>
      </c>
      <c r="Q3701" s="17" t="str">
        <f t="shared" si="579"/>
        <v>Ecart négatif</v>
      </c>
    </row>
    <row r="3702" spans="1:18" x14ac:dyDescent="0.3">
      <c r="A3702" s="34" t="str">
        <f>base!J3702</f>
        <v>LM</v>
      </c>
      <c r="B3702" s="34" t="str">
        <f>base!V3702</f>
        <v>78190</v>
      </c>
      <c r="C3702" s="37">
        <v>78</v>
      </c>
      <c r="D3702" s="36">
        <f>base!H3702</f>
        <v>40.75</v>
      </c>
      <c r="E3702" s="44"/>
      <c r="F3702" s="16">
        <f>base!W3702</f>
        <v>0</v>
      </c>
      <c r="G3702" s="11">
        <f t="shared" si="570"/>
        <v>0</v>
      </c>
      <c r="H3702" s="11">
        <f t="shared" si="571"/>
        <v>0</v>
      </c>
      <c r="I3702" s="11">
        <f t="shared" si="572"/>
        <v>0</v>
      </c>
      <c r="J3702" s="12">
        <f t="shared" si="573"/>
        <v>0</v>
      </c>
      <c r="K3702" s="17" t="str">
        <f t="shared" si="578"/>
        <v>Pas d'écart</v>
      </c>
      <c r="L3702" s="16">
        <f>base!X3702</f>
        <v>0</v>
      </c>
      <c r="M3702" s="11">
        <f t="shared" si="574"/>
        <v>0</v>
      </c>
      <c r="N3702" s="11">
        <f t="shared" si="575"/>
        <v>0</v>
      </c>
      <c r="O3702" s="11">
        <f t="shared" si="576"/>
        <v>0</v>
      </c>
      <c r="P3702" s="12">
        <f t="shared" si="577"/>
        <v>0</v>
      </c>
      <c r="Q3702" s="17" t="str">
        <f t="shared" si="579"/>
        <v>Pas d'écart</v>
      </c>
    </row>
    <row r="3703" spans="1:18" x14ac:dyDescent="0.3">
      <c r="A3703" s="34" t="str">
        <f>base!J3703</f>
        <v>LS</v>
      </c>
      <c r="B3703" s="34" t="str">
        <f>base!V3703</f>
        <v>35380</v>
      </c>
      <c r="C3703" s="37">
        <v>21</v>
      </c>
      <c r="D3703" s="36">
        <f>base!H3703</f>
        <v>158.81</v>
      </c>
      <c r="E3703" s="44"/>
      <c r="F3703" s="16">
        <f>base!W3703</f>
        <v>42.88</v>
      </c>
      <c r="G3703" s="11">
        <f t="shared" si="570"/>
        <v>0.27000818588250114</v>
      </c>
      <c r="H3703" s="11">
        <f t="shared" si="571"/>
        <v>38.114399999999996</v>
      </c>
      <c r="I3703" s="11">
        <f t="shared" si="572"/>
        <v>0.23999999999999996</v>
      </c>
      <c r="J3703" s="12">
        <f t="shared" si="573"/>
        <v>4.7656000000000063</v>
      </c>
      <c r="K3703" s="17" t="str">
        <f t="shared" si="578"/>
        <v>Ecart positif</v>
      </c>
      <c r="L3703" s="16">
        <f>base!X3703</f>
        <v>0</v>
      </c>
      <c r="M3703" s="11">
        <f t="shared" si="574"/>
        <v>0</v>
      </c>
      <c r="N3703" s="11">
        <f t="shared" si="575"/>
        <v>19.057199999999998</v>
      </c>
      <c r="O3703" s="11">
        <f t="shared" si="576"/>
        <v>0.11999999999999998</v>
      </c>
      <c r="P3703" s="12">
        <f t="shared" si="577"/>
        <v>-19.057199999999998</v>
      </c>
      <c r="Q3703" s="17" t="str">
        <f t="shared" si="579"/>
        <v>Ecart négatif</v>
      </c>
    </row>
    <row r="3704" spans="1:18" x14ac:dyDescent="0.3">
      <c r="A3704" s="34" t="str">
        <f>base!J3704</f>
        <v>LS</v>
      </c>
      <c r="B3704" s="34" t="str">
        <f>base!V3704</f>
        <v>78820</v>
      </c>
      <c r="C3704" s="37">
        <v>78</v>
      </c>
      <c r="D3704" s="36">
        <f>base!H3704</f>
        <v>8.0399999999999991</v>
      </c>
      <c r="E3704" s="44"/>
      <c r="F3704" s="16">
        <f>base!W3704</f>
        <v>0</v>
      </c>
      <c r="G3704" s="11">
        <f t="shared" si="570"/>
        <v>0</v>
      </c>
      <c r="H3704" s="11">
        <f t="shared" si="571"/>
        <v>0</v>
      </c>
      <c r="I3704" s="11">
        <f t="shared" si="572"/>
        <v>0</v>
      </c>
      <c r="J3704" s="12">
        <f t="shared" si="573"/>
        <v>0</v>
      </c>
      <c r="K3704" s="17" t="str">
        <f t="shared" si="578"/>
        <v>Pas d'écart</v>
      </c>
      <c r="L3704" s="16">
        <f>base!X3704</f>
        <v>0</v>
      </c>
      <c r="M3704" s="11">
        <f t="shared" si="574"/>
        <v>0</v>
      </c>
      <c r="N3704" s="11">
        <f t="shared" si="575"/>
        <v>0</v>
      </c>
      <c r="O3704" s="11">
        <f t="shared" si="576"/>
        <v>0</v>
      </c>
      <c r="P3704" s="12">
        <f t="shared" si="577"/>
        <v>0</v>
      </c>
      <c r="Q3704" s="17" t="str">
        <f t="shared" si="579"/>
        <v>Pas d'écart</v>
      </c>
    </row>
    <row r="3705" spans="1:18" x14ac:dyDescent="0.3">
      <c r="A3705" s="34" t="str">
        <f>base!J3705</f>
        <v>LS</v>
      </c>
      <c r="B3705" s="34" t="str">
        <f>base!V3705</f>
        <v>57310</v>
      </c>
      <c r="C3705" s="37">
        <v>57</v>
      </c>
      <c r="D3705" s="36">
        <f>base!H3705</f>
        <v>76.73</v>
      </c>
      <c r="E3705" s="44"/>
      <c r="F3705" s="16">
        <f>base!W3705</f>
        <v>19.18</v>
      </c>
      <c r="G3705" s="11">
        <f t="shared" si="570"/>
        <v>0.24996741821973151</v>
      </c>
      <c r="H3705" s="11">
        <f t="shared" si="571"/>
        <v>18.415199999999999</v>
      </c>
      <c r="I3705" s="11">
        <f t="shared" si="572"/>
        <v>0.23999999999999996</v>
      </c>
      <c r="J3705" s="12">
        <f t="shared" si="573"/>
        <v>0.76480000000000103</v>
      </c>
      <c r="K3705" s="17" t="str">
        <f t="shared" si="578"/>
        <v>Ecart positif</v>
      </c>
      <c r="L3705" s="16">
        <f>base!X3705</f>
        <v>0</v>
      </c>
      <c r="M3705" s="11">
        <f t="shared" si="574"/>
        <v>0</v>
      </c>
      <c r="N3705" s="11">
        <f t="shared" si="575"/>
        <v>19.182500000000001</v>
      </c>
      <c r="O3705" s="11">
        <f t="shared" si="576"/>
        <v>0.25</v>
      </c>
      <c r="P3705" s="12">
        <f t="shared" si="577"/>
        <v>-19.182500000000001</v>
      </c>
      <c r="Q3705" s="17" t="str">
        <f t="shared" si="579"/>
        <v>Ecart négatif</v>
      </c>
    </row>
    <row r="3706" spans="1:18" x14ac:dyDescent="0.3">
      <c r="A3706" s="34" t="str">
        <f>base!J3706</f>
        <v>LM</v>
      </c>
      <c r="B3706" s="34" t="str">
        <f>base!V3706</f>
        <v>76600</v>
      </c>
      <c r="C3706" s="37">
        <v>57</v>
      </c>
      <c r="D3706" s="36">
        <f>base!H3706</f>
        <v>143.19999999999999</v>
      </c>
      <c r="E3706" s="44"/>
      <c r="F3706" s="16">
        <f>base!W3706</f>
        <v>24.34</v>
      </c>
      <c r="G3706" s="11">
        <f t="shared" si="570"/>
        <v>0.16997206703910617</v>
      </c>
      <c r="H3706" s="11">
        <f t="shared" si="571"/>
        <v>34.367999999999995</v>
      </c>
      <c r="I3706" s="11">
        <f t="shared" si="572"/>
        <v>0.24</v>
      </c>
      <c r="J3706" s="12">
        <f t="shared" si="573"/>
        <v>-10.027999999999995</v>
      </c>
      <c r="K3706" s="17" t="str">
        <f t="shared" si="578"/>
        <v>Ecart négatif</v>
      </c>
      <c r="L3706" s="16">
        <f>base!X3706</f>
        <v>0</v>
      </c>
      <c r="M3706" s="11">
        <f t="shared" si="574"/>
        <v>0</v>
      </c>
      <c r="N3706" s="11">
        <f t="shared" si="575"/>
        <v>35.799999999999997</v>
      </c>
      <c r="O3706" s="11">
        <f t="shared" si="576"/>
        <v>0.25</v>
      </c>
      <c r="P3706" s="12">
        <f t="shared" si="577"/>
        <v>-35.799999999999997</v>
      </c>
      <c r="Q3706" s="17" t="str">
        <f t="shared" si="579"/>
        <v>Ecart négatif</v>
      </c>
    </row>
    <row r="3707" spans="1:18" x14ac:dyDescent="0.3">
      <c r="A3707" s="34" t="str">
        <f>base!J3707</f>
        <v>LS</v>
      </c>
      <c r="B3707" s="34" t="str">
        <f>base!V3707</f>
        <v>45100</v>
      </c>
      <c r="C3707" s="37">
        <v>54</v>
      </c>
      <c r="D3707" s="36">
        <f>base!H3707</f>
        <v>92</v>
      </c>
      <c r="E3707" s="44"/>
      <c r="F3707" s="16">
        <f>base!W3707</f>
        <v>19.32</v>
      </c>
      <c r="G3707" s="11">
        <f t="shared" si="570"/>
        <v>0.21</v>
      </c>
      <c r="H3707" s="11">
        <f t="shared" si="571"/>
        <v>23</v>
      </c>
      <c r="I3707" s="11">
        <f t="shared" si="572"/>
        <v>0.25</v>
      </c>
      <c r="J3707" s="12">
        <f t="shared" si="573"/>
        <v>-3.6799999999999997</v>
      </c>
      <c r="K3707" s="17" t="str">
        <f t="shared" si="578"/>
        <v>Ecart négatif</v>
      </c>
      <c r="L3707" s="16">
        <f>base!X3707</f>
        <v>0</v>
      </c>
      <c r="M3707" s="11">
        <f t="shared" si="574"/>
        <v>0</v>
      </c>
      <c r="N3707" s="11">
        <f t="shared" si="575"/>
        <v>23</v>
      </c>
      <c r="O3707" s="11">
        <f t="shared" si="576"/>
        <v>0.25</v>
      </c>
      <c r="P3707" s="12">
        <f t="shared" si="577"/>
        <v>-23</v>
      </c>
      <c r="Q3707" s="17" t="str">
        <f t="shared" si="579"/>
        <v>Ecart négatif</v>
      </c>
    </row>
    <row r="3708" spans="1:18" x14ac:dyDescent="0.3">
      <c r="A3708" s="34">
        <f>base!J3708</f>
        <v>0</v>
      </c>
      <c r="B3708" s="34" t="str">
        <f>base!V3708</f>
        <v>77184</v>
      </c>
      <c r="C3708" s="37">
        <v>77</v>
      </c>
      <c r="D3708" s="36">
        <f>base!H3708</f>
        <v>375.5</v>
      </c>
      <c r="E3708" s="44"/>
      <c r="F3708" s="16">
        <f>base!W3708</f>
        <v>0</v>
      </c>
      <c r="G3708" s="11">
        <f t="shared" si="570"/>
        <v>0</v>
      </c>
      <c r="H3708" s="11">
        <f t="shared" si="571"/>
        <v>0</v>
      </c>
      <c r="I3708" s="11">
        <f t="shared" si="572"/>
        <v>0</v>
      </c>
      <c r="J3708" s="12">
        <f t="shared" si="573"/>
        <v>0</v>
      </c>
      <c r="K3708" s="17" t="str">
        <f t="shared" si="578"/>
        <v>Pas d'écart</v>
      </c>
      <c r="L3708" s="16">
        <f>base!X3708</f>
        <v>0</v>
      </c>
      <c r="M3708" s="11">
        <f t="shared" si="574"/>
        <v>0</v>
      </c>
      <c r="N3708" s="11">
        <f t="shared" si="575"/>
        <v>0</v>
      </c>
      <c r="O3708" s="11">
        <f t="shared" si="576"/>
        <v>0</v>
      </c>
      <c r="P3708" s="12">
        <f t="shared" si="577"/>
        <v>0</v>
      </c>
      <c r="Q3708" s="17" t="str">
        <f t="shared" si="579"/>
        <v>Pas d'écart</v>
      </c>
    </row>
    <row r="3709" spans="1:18" x14ac:dyDescent="0.3">
      <c r="A3709" s="34" t="str">
        <f>base!J3709</f>
        <v>RS</v>
      </c>
      <c r="B3709" s="34" t="str">
        <f>base!V3709</f>
        <v>42380</v>
      </c>
      <c r="C3709" s="37">
        <v>42</v>
      </c>
      <c r="D3709" s="36">
        <f>base!H3709</f>
        <v>180</v>
      </c>
      <c r="E3709" s="44"/>
      <c r="F3709" s="16">
        <f>base!W3709</f>
        <v>0</v>
      </c>
      <c r="G3709" s="11">
        <f t="shared" si="570"/>
        <v>0</v>
      </c>
      <c r="H3709" s="11">
        <f t="shared" si="571"/>
        <v>46.800000000000004</v>
      </c>
      <c r="I3709" s="11">
        <f t="shared" si="572"/>
        <v>0.26</v>
      </c>
      <c r="J3709" s="12">
        <f t="shared" si="573"/>
        <v>-46.800000000000004</v>
      </c>
      <c r="K3709" s="17" t="str">
        <f t="shared" si="578"/>
        <v>Ecart négatif</v>
      </c>
      <c r="L3709" s="16">
        <f>base!X3709</f>
        <v>0</v>
      </c>
      <c r="M3709" s="11">
        <f t="shared" si="574"/>
        <v>0</v>
      </c>
      <c r="N3709" s="11">
        <f t="shared" si="575"/>
        <v>0</v>
      </c>
      <c r="O3709" s="11">
        <f t="shared" si="576"/>
        <v>0</v>
      </c>
      <c r="P3709" s="12">
        <f t="shared" si="577"/>
        <v>0</v>
      </c>
      <c r="Q3709" s="17" t="str">
        <f t="shared" si="579"/>
        <v>Pas d'écart</v>
      </c>
    </row>
    <row r="3710" spans="1:18" x14ac:dyDescent="0.3">
      <c r="A3710" s="34" t="str">
        <f>base!J3710</f>
        <v>RM</v>
      </c>
      <c r="B3710" s="34" t="str">
        <f>base!V3710</f>
        <v>68520</v>
      </c>
      <c r="C3710" s="37">
        <v>68</v>
      </c>
      <c r="D3710" s="36">
        <f>base!H3710</f>
        <v>171.25</v>
      </c>
      <c r="E3710" s="44"/>
      <c r="F3710" s="16">
        <f>base!W3710</f>
        <v>0</v>
      </c>
      <c r="G3710" s="11">
        <f t="shared" si="570"/>
        <v>0</v>
      </c>
      <c r="H3710" s="11">
        <f t="shared" si="571"/>
        <v>49.662499999999994</v>
      </c>
      <c r="I3710" s="11">
        <f t="shared" si="572"/>
        <v>0.28999999999999998</v>
      </c>
      <c r="J3710" s="12">
        <f t="shared" si="573"/>
        <v>-49.662499999999994</v>
      </c>
      <c r="K3710" s="17" t="str">
        <f t="shared" si="578"/>
        <v>Ecart négatif</v>
      </c>
      <c r="L3710" s="16">
        <f>base!X3710</f>
        <v>13.7</v>
      </c>
      <c r="M3710" s="11">
        <f t="shared" si="574"/>
        <v>0.08</v>
      </c>
      <c r="N3710" s="11">
        <f t="shared" si="575"/>
        <v>13.700000000000001</v>
      </c>
      <c r="O3710" s="11">
        <f t="shared" si="576"/>
        <v>0.08</v>
      </c>
      <c r="P3710" s="12">
        <f t="shared" si="577"/>
        <v>0</v>
      </c>
      <c r="Q3710" s="17" t="str">
        <f t="shared" si="579"/>
        <v>Pas d'écart</v>
      </c>
      <c r="R3710" s="38"/>
    </row>
    <row r="3711" spans="1:18" x14ac:dyDescent="0.3">
      <c r="A3711" s="34" t="str">
        <f>base!J3711</f>
        <v>RS</v>
      </c>
      <c r="B3711" s="34" t="str">
        <f>base!V3711</f>
        <v>75004</v>
      </c>
      <c r="C3711" s="37">
        <v>75</v>
      </c>
      <c r="D3711" s="36">
        <f>base!H3711</f>
        <v>74.540000000000006</v>
      </c>
      <c r="E3711" s="44"/>
      <c r="F3711" s="16">
        <f>base!W3711</f>
        <v>0</v>
      </c>
      <c r="G3711" s="11">
        <f t="shared" si="570"/>
        <v>0</v>
      </c>
      <c r="H3711" s="11">
        <f t="shared" si="571"/>
        <v>0</v>
      </c>
      <c r="I3711" s="11">
        <f t="shared" si="572"/>
        <v>0</v>
      </c>
      <c r="J3711" s="12">
        <f t="shared" si="573"/>
        <v>0</v>
      </c>
      <c r="K3711" s="17" t="str">
        <f t="shared" si="578"/>
        <v>Pas d'écart</v>
      </c>
      <c r="L3711" s="16">
        <f>base!X3711</f>
        <v>0</v>
      </c>
      <c r="M3711" s="11">
        <f t="shared" si="574"/>
        <v>0</v>
      </c>
      <c r="N3711" s="11">
        <f t="shared" si="575"/>
        <v>0</v>
      </c>
      <c r="O3711" s="11">
        <f t="shared" si="576"/>
        <v>0</v>
      </c>
      <c r="P3711" s="12">
        <f t="shared" si="577"/>
        <v>0</v>
      </c>
      <c r="Q3711" s="17" t="str">
        <f t="shared" si="579"/>
        <v>Pas d'écart</v>
      </c>
    </row>
    <row r="3712" spans="1:18" x14ac:dyDescent="0.3">
      <c r="A3712" s="34" t="str">
        <f>base!J3712</f>
        <v>DLS</v>
      </c>
      <c r="B3712" s="34" t="str">
        <f>base!V3712</f>
        <v>94150</v>
      </c>
      <c r="C3712" s="37">
        <v>94</v>
      </c>
      <c r="D3712" s="36">
        <f>base!H3712</f>
        <v>1503.29</v>
      </c>
      <c r="E3712" s="44"/>
      <c r="F3712" s="16">
        <f>base!W3712</f>
        <v>0</v>
      </c>
      <c r="G3712" s="11">
        <f t="shared" si="570"/>
        <v>0</v>
      </c>
      <c r="H3712" s="11">
        <f t="shared" si="571"/>
        <v>0</v>
      </c>
      <c r="I3712" s="11">
        <f t="shared" si="572"/>
        <v>0</v>
      </c>
      <c r="J3712" s="12">
        <f t="shared" si="573"/>
        <v>0</v>
      </c>
      <c r="K3712" s="17" t="str">
        <f t="shared" si="578"/>
        <v>Pas d'écart</v>
      </c>
      <c r="L3712" s="16">
        <f>base!X3712</f>
        <v>255.56</v>
      </c>
      <c r="M3712" s="11">
        <f t="shared" si="574"/>
        <v>0.17000046564535121</v>
      </c>
      <c r="N3712" s="11">
        <f t="shared" si="575"/>
        <v>0</v>
      </c>
      <c r="O3712" s="11">
        <f t="shared" si="576"/>
        <v>0</v>
      </c>
      <c r="P3712" s="12">
        <f t="shared" si="577"/>
        <v>255.56</v>
      </c>
      <c r="Q3712" s="17" t="str">
        <f t="shared" si="579"/>
        <v>Ecart positif</v>
      </c>
    </row>
    <row r="3713" spans="1:17" x14ac:dyDescent="0.3">
      <c r="A3713" s="34" t="str">
        <f>base!J3713</f>
        <v>RM</v>
      </c>
      <c r="B3713" s="34" t="str">
        <f>base!V3713</f>
        <v>59270</v>
      </c>
      <c r="C3713" s="37">
        <v>59</v>
      </c>
      <c r="D3713" s="36">
        <f>base!H3713</f>
        <v>180</v>
      </c>
      <c r="E3713" s="44"/>
      <c r="F3713" s="16">
        <f>base!W3713</f>
        <v>0</v>
      </c>
      <c r="G3713" s="11">
        <f t="shared" si="570"/>
        <v>0</v>
      </c>
      <c r="H3713" s="11">
        <f t="shared" si="571"/>
        <v>34.200000000000003</v>
      </c>
      <c r="I3713" s="11">
        <f t="shared" si="572"/>
        <v>0.19</v>
      </c>
      <c r="J3713" s="12">
        <f t="shared" si="573"/>
        <v>-34.200000000000003</v>
      </c>
      <c r="K3713" s="17" t="str">
        <f t="shared" si="578"/>
        <v>Ecart négatif</v>
      </c>
      <c r="L3713" s="16">
        <f>base!X3713</f>
        <v>0</v>
      </c>
      <c r="M3713" s="11">
        <f t="shared" si="574"/>
        <v>0</v>
      </c>
      <c r="N3713" s="11">
        <f t="shared" si="575"/>
        <v>0</v>
      </c>
      <c r="O3713" s="11">
        <f t="shared" si="576"/>
        <v>0</v>
      </c>
      <c r="P3713" s="12">
        <f t="shared" si="577"/>
        <v>0</v>
      </c>
      <c r="Q3713" s="17" t="str">
        <f t="shared" si="579"/>
        <v>Pas d'écart</v>
      </c>
    </row>
    <row r="3714" spans="1:17" x14ac:dyDescent="0.3">
      <c r="A3714" s="34" t="str">
        <f>base!J3714</f>
        <v>LS</v>
      </c>
      <c r="B3714" s="34" t="str">
        <f>base!V3714</f>
        <v>75116</v>
      </c>
      <c r="C3714" s="37">
        <v>75</v>
      </c>
      <c r="D3714" s="36">
        <f>base!H3714</f>
        <v>147.19999999999999</v>
      </c>
      <c r="E3714" s="44"/>
      <c r="F3714" s="16">
        <f>base!W3714</f>
        <v>0</v>
      </c>
      <c r="G3714" s="11">
        <f t="shared" ref="G3714:G3777" si="580">F3714/D3714</f>
        <v>0</v>
      </c>
      <c r="H3714" s="11">
        <f t="shared" ref="H3714:H3777" si="581">VLOOKUP(C3714,tout_cout_traction,2,FALSE)*D3714</f>
        <v>0</v>
      </c>
      <c r="I3714" s="11">
        <f t="shared" ref="I3714:I3777" si="582">H3714/D3714</f>
        <v>0</v>
      </c>
      <c r="J3714" s="12">
        <f t="shared" ref="J3714:J3777" si="583">F3714-H3714</f>
        <v>0</v>
      </c>
      <c r="K3714" s="17" t="str">
        <f t="shared" si="578"/>
        <v>Pas d'écart</v>
      </c>
      <c r="L3714" s="16">
        <f>base!X3714</f>
        <v>0</v>
      </c>
      <c r="M3714" s="11">
        <f t="shared" ref="M3714:M3777" si="584">L3714/D3714</f>
        <v>0</v>
      </c>
      <c r="N3714" s="11">
        <f t="shared" ref="N3714:N3777" si="585">VLOOKUP(C3714,tout_cout_traction,3,FALSE)*D3714</f>
        <v>0</v>
      </c>
      <c r="O3714" s="11">
        <f t="shared" ref="O3714:O3777" si="586">N3714/D3714</f>
        <v>0</v>
      </c>
      <c r="P3714" s="12">
        <f t="shared" ref="P3714:P3777" si="587">L3714-N3714</f>
        <v>0</v>
      </c>
      <c r="Q3714" s="17" t="str">
        <f t="shared" si="579"/>
        <v>Pas d'écart</v>
      </c>
    </row>
    <row r="3715" spans="1:17" x14ac:dyDescent="0.3">
      <c r="A3715" s="34" t="str">
        <f>base!J3715</f>
        <v>LS</v>
      </c>
      <c r="B3715" s="34" t="str">
        <f>base!V3715</f>
        <v>62118</v>
      </c>
      <c r="C3715" s="37">
        <v>54</v>
      </c>
      <c r="D3715" s="36">
        <f>base!H3715</f>
        <v>129.59</v>
      </c>
      <c r="E3715" s="44"/>
      <c r="F3715" s="16">
        <f>base!W3715</f>
        <v>24.62</v>
      </c>
      <c r="G3715" s="11">
        <f t="shared" si="580"/>
        <v>0.18998379504591403</v>
      </c>
      <c r="H3715" s="11">
        <f t="shared" si="581"/>
        <v>32.397500000000001</v>
      </c>
      <c r="I3715" s="11">
        <f t="shared" si="582"/>
        <v>0.25</v>
      </c>
      <c r="J3715" s="12">
        <f t="shared" si="583"/>
        <v>-7.7774999999999999</v>
      </c>
      <c r="K3715" s="17" t="str">
        <f t="shared" ref="K3715:K3778" si="588">IF(H3715=F3715,"Pas d'écart",IF(H3715&lt;F3715,"Ecart positif",IF(H3715&gt;F3715,"Ecart négatif")))</f>
        <v>Ecart négatif</v>
      </c>
      <c r="L3715" s="16">
        <f>base!X3715</f>
        <v>0</v>
      </c>
      <c r="M3715" s="11">
        <f t="shared" si="584"/>
        <v>0</v>
      </c>
      <c r="N3715" s="11">
        <f t="shared" si="585"/>
        <v>32.397500000000001</v>
      </c>
      <c r="O3715" s="11">
        <f t="shared" si="586"/>
        <v>0.25</v>
      </c>
      <c r="P3715" s="12">
        <f t="shared" si="587"/>
        <v>-32.397500000000001</v>
      </c>
      <c r="Q3715" s="17" t="str">
        <f t="shared" ref="Q3715:Q3778" si="589">IF(N3715=L3715,"Pas d'écart",IF(N3715&lt;L3715,"Ecart positif",IF(N3715&gt;L3715,"Ecart négatif")))</f>
        <v>Ecart négatif</v>
      </c>
    </row>
    <row r="3716" spans="1:17" x14ac:dyDescent="0.3">
      <c r="A3716" s="34" t="str">
        <f>base!J3716</f>
        <v>LS</v>
      </c>
      <c r="B3716" s="34" t="str">
        <f>base!V3716</f>
        <v>86600</v>
      </c>
      <c r="C3716" s="37">
        <v>54</v>
      </c>
      <c r="D3716" s="36">
        <f>base!H3716</f>
        <v>106.88</v>
      </c>
      <c r="E3716" s="44"/>
      <c r="F3716" s="16">
        <f>base!W3716</f>
        <v>22.44</v>
      </c>
      <c r="G3716" s="11">
        <f t="shared" si="580"/>
        <v>0.20995508982035929</v>
      </c>
      <c r="H3716" s="11">
        <f t="shared" si="581"/>
        <v>26.72</v>
      </c>
      <c r="I3716" s="11">
        <f t="shared" si="582"/>
        <v>0.25</v>
      </c>
      <c r="J3716" s="12">
        <f t="shared" si="583"/>
        <v>-4.2799999999999976</v>
      </c>
      <c r="K3716" s="17" t="str">
        <f t="shared" si="588"/>
        <v>Ecart négatif</v>
      </c>
      <c r="L3716" s="16">
        <f>base!X3716</f>
        <v>0</v>
      </c>
      <c r="M3716" s="11">
        <f t="shared" si="584"/>
        <v>0</v>
      </c>
      <c r="N3716" s="11">
        <f t="shared" si="585"/>
        <v>26.72</v>
      </c>
      <c r="O3716" s="11">
        <f t="shared" si="586"/>
        <v>0.25</v>
      </c>
      <c r="P3716" s="12">
        <f t="shared" si="587"/>
        <v>-26.72</v>
      </c>
      <c r="Q3716" s="17" t="str">
        <f t="shared" si="589"/>
        <v>Ecart négatif</v>
      </c>
    </row>
    <row r="3717" spans="1:17" x14ac:dyDescent="0.3">
      <c r="A3717" s="34" t="str">
        <f>base!J3717</f>
        <v>LS</v>
      </c>
      <c r="B3717" s="34" t="str">
        <f>base!V3717</f>
        <v>85120</v>
      </c>
      <c r="C3717" s="37">
        <v>57</v>
      </c>
      <c r="D3717" s="36">
        <f>base!H3717</f>
        <v>130.19999999999999</v>
      </c>
      <c r="E3717" s="44"/>
      <c r="F3717" s="16">
        <f>base!W3717</f>
        <v>35.15</v>
      </c>
      <c r="G3717" s="11">
        <f t="shared" si="580"/>
        <v>0.26996927803379417</v>
      </c>
      <c r="H3717" s="11">
        <f t="shared" si="581"/>
        <v>31.247999999999998</v>
      </c>
      <c r="I3717" s="11">
        <f t="shared" si="582"/>
        <v>0.24</v>
      </c>
      <c r="J3717" s="12">
        <f t="shared" si="583"/>
        <v>3.902000000000001</v>
      </c>
      <c r="K3717" s="17" t="str">
        <f t="shared" si="588"/>
        <v>Ecart positif</v>
      </c>
      <c r="L3717" s="16">
        <f>base!X3717</f>
        <v>0</v>
      </c>
      <c r="M3717" s="11">
        <f t="shared" si="584"/>
        <v>0</v>
      </c>
      <c r="N3717" s="11">
        <f t="shared" si="585"/>
        <v>32.549999999999997</v>
      </c>
      <c r="O3717" s="11">
        <f t="shared" si="586"/>
        <v>0.25</v>
      </c>
      <c r="P3717" s="12">
        <f t="shared" si="587"/>
        <v>-32.549999999999997</v>
      </c>
      <c r="Q3717" s="17" t="str">
        <f t="shared" si="589"/>
        <v>Ecart négatif</v>
      </c>
    </row>
    <row r="3718" spans="1:17" x14ac:dyDescent="0.3">
      <c r="A3718" s="34" t="str">
        <f>base!J3718</f>
        <v>LS</v>
      </c>
      <c r="B3718" s="34" t="str">
        <f>base!V3718</f>
        <v>62620</v>
      </c>
      <c r="C3718" s="37">
        <v>25</v>
      </c>
      <c r="D3718" s="36">
        <f>base!H3718</f>
        <v>125.62</v>
      </c>
      <c r="E3718" s="44"/>
      <c r="F3718" s="16">
        <f>base!W3718</f>
        <v>23.87</v>
      </c>
      <c r="G3718" s="11">
        <f t="shared" si="580"/>
        <v>0.19001751313485113</v>
      </c>
      <c r="H3718" s="11">
        <f t="shared" si="581"/>
        <v>30.148800000000001</v>
      </c>
      <c r="I3718" s="11">
        <f t="shared" si="582"/>
        <v>0.24</v>
      </c>
      <c r="J3718" s="12">
        <f t="shared" si="583"/>
        <v>-6.2788000000000004</v>
      </c>
      <c r="K3718" s="17" t="str">
        <f t="shared" si="588"/>
        <v>Ecart négatif</v>
      </c>
      <c r="L3718" s="16">
        <f>base!X3718</f>
        <v>0</v>
      </c>
      <c r="M3718" s="11">
        <f t="shared" si="584"/>
        <v>0</v>
      </c>
      <c r="N3718" s="11">
        <f t="shared" si="585"/>
        <v>15.074400000000001</v>
      </c>
      <c r="O3718" s="11">
        <f t="shared" si="586"/>
        <v>0.12</v>
      </c>
      <c r="P3718" s="12">
        <f t="shared" si="587"/>
        <v>-15.074400000000001</v>
      </c>
      <c r="Q3718" s="17" t="str">
        <f t="shared" si="589"/>
        <v>Ecart négatif</v>
      </c>
    </row>
    <row r="3719" spans="1:17" x14ac:dyDescent="0.3">
      <c r="A3719" s="34" t="str">
        <f>base!J3719</f>
        <v>LS</v>
      </c>
      <c r="B3719" s="34" t="str">
        <f>base!V3719</f>
        <v>62182</v>
      </c>
      <c r="C3719" s="37">
        <v>62</v>
      </c>
      <c r="D3719" s="36">
        <f>base!H3719</f>
        <v>0</v>
      </c>
      <c r="E3719" s="44"/>
      <c r="F3719" s="16">
        <f>base!W3719</f>
        <v>0</v>
      </c>
      <c r="G3719" s="11" t="e">
        <f t="shared" si="580"/>
        <v>#DIV/0!</v>
      </c>
      <c r="H3719" s="11">
        <f t="shared" si="581"/>
        <v>0</v>
      </c>
      <c r="I3719" s="11" t="e">
        <f t="shared" si="582"/>
        <v>#DIV/0!</v>
      </c>
      <c r="J3719" s="12">
        <f t="shared" si="583"/>
        <v>0</v>
      </c>
      <c r="K3719" s="17" t="str">
        <f t="shared" si="588"/>
        <v>Pas d'écart</v>
      </c>
      <c r="L3719" s="16">
        <f>base!X3719</f>
        <v>0</v>
      </c>
      <c r="M3719" s="11" t="e">
        <f t="shared" si="584"/>
        <v>#DIV/0!</v>
      </c>
      <c r="N3719" s="11">
        <f t="shared" si="585"/>
        <v>0</v>
      </c>
      <c r="O3719" s="11" t="e">
        <f t="shared" si="586"/>
        <v>#DIV/0!</v>
      </c>
      <c r="P3719" s="12">
        <f t="shared" si="587"/>
        <v>0</v>
      </c>
      <c r="Q3719" s="17" t="str">
        <f t="shared" si="589"/>
        <v>Pas d'écart</v>
      </c>
    </row>
    <row r="3720" spans="1:17" x14ac:dyDescent="0.3">
      <c r="A3720" s="34" t="str">
        <f>base!J3720</f>
        <v>LS</v>
      </c>
      <c r="B3720" s="34" t="str">
        <f>base!V3720</f>
        <v>28320</v>
      </c>
      <c r="C3720" s="37">
        <v>25</v>
      </c>
      <c r="D3720" s="36">
        <f>base!H3720</f>
        <v>189.59</v>
      </c>
      <c r="E3720" s="44"/>
      <c r="F3720" s="16">
        <f>base!W3720</f>
        <v>39.81</v>
      </c>
      <c r="G3720" s="11">
        <f t="shared" si="580"/>
        <v>0.20997942929479405</v>
      </c>
      <c r="H3720" s="11">
        <f t="shared" si="581"/>
        <v>45.501599999999996</v>
      </c>
      <c r="I3720" s="11">
        <f t="shared" si="582"/>
        <v>0.23999999999999996</v>
      </c>
      <c r="J3720" s="12">
        <f t="shared" si="583"/>
        <v>-5.691599999999994</v>
      </c>
      <c r="K3720" s="17" t="str">
        <f t="shared" si="588"/>
        <v>Ecart négatif</v>
      </c>
      <c r="L3720" s="16">
        <f>base!X3720</f>
        <v>0</v>
      </c>
      <c r="M3720" s="11">
        <f t="shared" si="584"/>
        <v>0</v>
      </c>
      <c r="N3720" s="11">
        <f t="shared" si="585"/>
        <v>22.750799999999998</v>
      </c>
      <c r="O3720" s="11">
        <f t="shared" si="586"/>
        <v>0.11999999999999998</v>
      </c>
      <c r="P3720" s="12">
        <f t="shared" si="587"/>
        <v>-22.750799999999998</v>
      </c>
      <c r="Q3720" s="17" t="str">
        <f t="shared" si="589"/>
        <v>Ecart négatif</v>
      </c>
    </row>
    <row r="3721" spans="1:17" x14ac:dyDescent="0.3">
      <c r="A3721" s="34" t="str">
        <f>base!J3721</f>
        <v>LM</v>
      </c>
      <c r="B3721" s="34" t="str">
        <f>base!V3721</f>
        <v>44327</v>
      </c>
      <c r="C3721" s="37">
        <v>25</v>
      </c>
      <c r="D3721" s="36">
        <f>base!H3721</f>
        <v>183.32</v>
      </c>
      <c r="E3721" s="44"/>
      <c r="F3721" s="16">
        <f>base!W3721</f>
        <v>49.5</v>
      </c>
      <c r="G3721" s="11">
        <f t="shared" si="580"/>
        <v>0.27001963779183941</v>
      </c>
      <c r="H3721" s="11">
        <f t="shared" si="581"/>
        <v>43.996799999999993</v>
      </c>
      <c r="I3721" s="11">
        <f t="shared" si="582"/>
        <v>0.23999999999999996</v>
      </c>
      <c r="J3721" s="12">
        <f t="shared" si="583"/>
        <v>5.5032000000000068</v>
      </c>
      <c r="K3721" s="17" t="str">
        <f t="shared" si="588"/>
        <v>Ecart positif</v>
      </c>
      <c r="L3721" s="16">
        <f>base!X3721</f>
        <v>0</v>
      </c>
      <c r="M3721" s="11">
        <f t="shared" si="584"/>
        <v>0</v>
      </c>
      <c r="N3721" s="11">
        <f t="shared" si="585"/>
        <v>21.998399999999997</v>
      </c>
      <c r="O3721" s="11">
        <f t="shared" si="586"/>
        <v>0.11999999999999998</v>
      </c>
      <c r="P3721" s="12">
        <f t="shared" si="587"/>
        <v>-21.998399999999997</v>
      </c>
      <c r="Q3721" s="17" t="str">
        <f t="shared" si="589"/>
        <v>Ecart négatif</v>
      </c>
    </row>
    <row r="3722" spans="1:17" x14ac:dyDescent="0.3">
      <c r="A3722" s="34" t="str">
        <f>base!J3722</f>
        <v>RS</v>
      </c>
      <c r="B3722" s="34" t="str">
        <f>base!V3722</f>
        <v>59640</v>
      </c>
      <c r="C3722" s="37">
        <v>59</v>
      </c>
      <c r="D3722" s="36">
        <f>base!H3722</f>
        <v>140</v>
      </c>
      <c r="E3722" s="44"/>
      <c r="F3722" s="16">
        <f>base!W3722</f>
        <v>0</v>
      </c>
      <c r="G3722" s="11">
        <f t="shared" si="580"/>
        <v>0</v>
      </c>
      <c r="H3722" s="11">
        <f t="shared" si="581"/>
        <v>26.6</v>
      </c>
      <c r="I3722" s="11">
        <f t="shared" si="582"/>
        <v>0.19</v>
      </c>
      <c r="J3722" s="12">
        <f t="shared" si="583"/>
        <v>-26.6</v>
      </c>
      <c r="K3722" s="17" t="str">
        <f t="shared" si="588"/>
        <v>Ecart négatif</v>
      </c>
      <c r="L3722" s="16">
        <f>base!X3722</f>
        <v>26.6</v>
      </c>
      <c r="M3722" s="11">
        <f t="shared" si="584"/>
        <v>0.19</v>
      </c>
      <c r="N3722" s="11">
        <f t="shared" si="585"/>
        <v>0</v>
      </c>
      <c r="O3722" s="11">
        <f t="shared" si="586"/>
        <v>0</v>
      </c>
      <c r="P3722" s="12">
        <f t="shared" si="587"/>
        <v>26.6</v>
      </c>
      <c r="Q3722" s="17" t="str">
        <f t="shared" si="589"/>
        <v>Ecart positif</v>
      </c>
    </row>
    <row r="3723" spans="1:17" x14ac:dyDescent="0.3">
      <c r="A3723" s="34">
        <f>base!J3723</f>
        <v>0</v>
      </c>
      <c r="B3723" s="34" t="str">
        <f>base!V3723</f>
        <v>77184</v>
      </c>
      <c r="C3723" s="37">
        <v>77</v>
      </c>
      <c r="D3723" s="36">
        <f>base!H3723</f>
        <v>171</v>
      </c>
      <c r="E3723" s="44"/>
      <c r="F3723" s="16">
        <f>base!W3723</f>
        <v>0</v>
      </c>
      <c r="G3723" s="11">
        <f t="shared" si="580"/>
        <v>0</v>
      </c>
      <c r="H3723" s="11">
        <f t="shared" si="581"/>
        <v>0</v>
      </c>
      <c r="I3723" s="11">
        <f t="shared" si="582"/>
        <v>0</v>
      </c>
      <c r="J3723" s="12">
        <f t="shared" si="583"/>
        <v>0</v>
      </c>
      <c r="K3723" s="17" t="str">
        <f t="shared" si="588"/>
        <v>Pas d'écart</v>
      </c>
      <c r="L3723" s="16">
        <f>base!X3723</f>
        <v>0</v>
      </c>
      <c r="M3723" s="11">
        <f t="shared" si="584"/>
        <v>0</v>
      </c>
      <c r="N3723" s="11">
        <f t="shared" si="585"/>
        <v>0</v>
      </c>
      <c r="O3723" s="11">
        <f t="shared" si="586"/>
        <v>0</v>
      </c>
      <c r="P3723" s="12">
        <f t="shared" si="587"/>
        <v>0</v>
      </c>
      <c r="Q3723" s="17" t="str">
        <f t="shared" si="589"/>
        <v>Pas d'écart</v>
      </c>
    </row>
    <row r="3724" spans="1:17" x14ac:dyDescent="0.3">
      <c r="A3724" s="34">
        <f>base!J3724</f>
        <v>0</v>
      </c>
      <c r="B3724" s="34" t="str">
        <f>base!V3724</f>
        <v>77184</v>
      </c>
      <c r="C3724" s="37">
        <v>77</v>
      </c>
      <c r="D3724" s="36">
        <f>base!H3724</f>
        <v>187</v>
      </c>
      <c r="E3724" s="44"/>
      <c r="F3724" s="16">
        <f>base!W3724</f>
        <v>0</v>
      </c>
      <c r="G3724" s="11">
        <f t="shared" si="580"/>
        <v>0</v>
      </c>
      <c r="H3724" s="11">
        <f t="shared" si="581"/>
        <v>0</v>
      </c>
      <c r="I3724" s="11">
        <f t="shared" si="582"/>
        <v>0</v>
      </c>
      <c r="J3724" s="12">
        <f t="shared" si="583"/>
        <v>0</v>
      </c>
      <c r="K3724" s="17" t="str">
        <f t="shared" si="588"/>
        <v>Pas d'écart</v>
      </c>
      <c r="L3724" s="16">
        <f>base!X3724</f>
        <v>0</v>
      </c>
      <c r="M3724" s="11">
        <f t="shared" si="584"/>
        <v>0</v>
      </c>
      <c r="N3724" s="11">
        <f t="shared" si="585"/>
        <v>0</v>
      </c>
      <c r="O3724" s="11">
        <f t="shared" si="586"/>
        <v>0</v>
      </c>
      <c r="P3724" s="12">
        <f t="shared" si="587"/>
        <v>0</v>
      </c>
      <c r="Q3724" s="17" t="str">
        <f t="shared" si="589"/>
        <v>Pas d'écart</v>
      </c>
    </row>
    <row r="3725" spans="1:17" x14ac:dyDescent="0.3">
      <c r="A3725" s="34" t="str">
        <f>base!J3725</f>
        <v>LM</v>
      </c>
      <c r="B3725" s="34" t="str">
        <f>base!V3725</f>
        <v>76530</v>
      </c>
      <c r="C3725" s="37">
        <v>51</v>
      </c>
      <c r="D3725" s="36">
        <f>base!H3725</f>
        <v>97.48</v>
      </c>
      <c r="E3725" s="44"/>
      <c r="F3725" s="16">
        <f>base!W3725</f>
        <v>16.57</v>
      </c>
      <c r="G3725" s="11">
        <f t="shared" si="580"/>
        <v>0.16998358637669264</v>
      </c>
      <c r="H3725" s="11">
        <f t="shared" si="581"/>
        <v>24.37</v>
      </c>
      <c r="I3725" s="11">
        <f t="shared" si="582"/>
        <v>0.25</v>
      </c>
      <c r="J3725" s="12">
        <f t="shared" si="583"/>
        <v>-7.8000000000000007</v>
      </c>
      <c r="K3725" s="17" t="str">
        <f t="shared" si="588"/>
        <v>Ecart négatif</v>
      </c>
      <c r="L3725" s="16">
        <f>base!X3725</f>
        <v>0</v>
      </c>
      <c r="M3725" s="11">
        <f t="shared" si="584"/>
        <v>0</v>
      </c>
      <c r="N3725" s="11">
        <f t="shared" si="585"/>
        <v>24.37</v>
      </c>
      <c r="O3725" s="11">
        <f t="shared" si="586"/>
        <v>0.25</v>
      </c>
      <c r="P3725" s="12">
        <f t="shared" si="587"/>
        <v>-24.37</v>
      </c>
      <c r="Q3725" s="17" t="str">
        <f t="shared" si="589"/>
        <v>Ecart négatif</v>
      </c>
    </row>
    <row r="3726" spans="1:17" x14ac:dyDescent="0.3">
      <c r="A3726" s="34" t="str">
        <f>base!J3726</f>
        <v>LS</v>
      </c>
      <c r="B3726" s="34" t="str">
        <f>base!V3726</f>
        <v>44840</v>
      </c>
      <c r="C3726" s="37">
        <v>51</v>
      </c>
      <c r="D3726" s="36">
        <f>base!H3726</f>
        <v>55.14</v>
      </c>
      <c r="E3726" s="44"/>
      <c r="F3726" s="16">
        <f>base!W3726</f>
        <v>14.89</v>
      </c>
      <c r="G3726" s="11">
        <f t="shared" si="580"/>
        <v>0.27003989844033371</v>
      </c>
      <c r="H3726" s="11">
        <f t="shared" si="581"/>
        <v>13.785</v>
      </c>
      <c r="I3726" s="11">
        <f t="shared" si="582"/>
        <v>0.25</v>
      </c>
      <c r="J3726" s="12">
        <f t="shared" si="583"/>
        <v>1.1050000000000004</v>
      </c>
      <c r="K3726" s="17" t="str">
        <f t="shared" si="588"/>
        <v>Ecart positif</v>
      </c>
      <c r="L3726" s="16">
        <f>base!X3726</f>
        <v>0</v>
      </c>
      <c r="M3726" s="11">
        <f t="shared" si="584"/>
        <v>0</v>
      </c>
      <c r="N3726" s="11">
        <f t="shared" si="585"/>
        <v>13.785</v>
      </c>
      <c r="O3726" s="11">
        <f t="shared" si="586"/>
        <v>0.25</v>
      </c>
      <c r="P3726" s="12">
        <f t="shared" si="587"/>
        <v>-13.785</v>
      </c>
      <c r="Q3726" s="17" t="str">
        <f t="shared" si="589"/>
        <v>Ecart négatif</v>
      </c>
    </row>
    <row r="3727" spans="1:17" x14ac:dyDescent="0.3">
      <c r="A3727" s="34" t="str">
        <f>base!J3727</f>
        <v>LM</v>
      </c>
      <c r="B3727" s="34" t="str">
        <f>base!V3727</f>
        <v>60290</v>
      </c>
      <c r="C3727" s="37">
        <v>54</v>
      </c>
      <c r="D3727" s="36">
        <f>base!H3727</f>
        <v>19.8</v>
      </c>
      <c r="E3727" s="44"/>
      <c r="F3727" s="16">
        <f>base!W3727</f>
        <v>3.76</v>
      </c>
      <c r="G3727" s="11">
        <f t="shared" si="580"/>
        <v>0.18989898989898987</v>
      </c>
      <c r="H3727" s="11">
        <f t="shared" si="581"/>
        <v>4.95</v>
      </c>
      <c r="I3727" s="11">
        <f t="shared" si="582"/>
        <v>0.25</v>
      </c>
      <c r="J3727" s="12">
        <f t="shared" si="583"/>
        <v>-1.1900000000000004</v>
      </c>
      <c r="K3727" s="17" t="str">
        <f t="shared" si="588"/>
        <v>Ecart négatif</v>
      </c>
      <c r="L3727" s="16">
        <f>base!X3727</f>
        <v>0</v>
      </c>
      <c r="M3727" s="11">
        <f t="shared" si="584"/>
        <v>0</v>
      </c>
      <c r="N3727" s="11">
        <f t="shared" si="585"/>
        <v>4.95</v>
      </c>
      <c r="O3727" s="11">
        <f t="shared" si="586"/>
        <v>0.25</v>
      </c>
      <c r="P3727" s="12">
        <f t="shared" si="587"/>
        <v>-4.95</v>
      </c>
      <c r="Q3727" s="17" t="str">
        <f t="shared" si="589"/>
        <v>Ecart négatif</v>
      </c>
    </row>
    <row r="3728" spans="1:17" x14ac:dyDescent="0.3">
      <c r="A3728" s="34" t="str">
        <f>base!J3728</f>
        <v>LS</v>
      </c>
      <c r="B3728" s="34" t="str">
        <f>base!V3728</f>
        <v>25680</v>
      </c>
      <c r="C3728" s="37">
        <v>54</v>
      </c>
      <c r="D3728" s="36">
        <f>base!H3728</f>
        <v>103.06</v>
      </c>
      <c r="E3728" s="44"/>
      <c r="F3728" s="16">
        <f>base!W3728</f>
        <v>24.73</v>
      </c>
      <c r="G3728" s="11">
        <f t="shared" si="580"/>
        <v>0.23995730642344265</v>
      </c>
      <c r="H3728" s="11">
        <f t="shared" si="581"/>
        <v>25.765000000000001</v>
      </c>
      <c r="I3728" s="11">
        <f t="shared" si="582"/>
        <v>0.25</v>
      </c>
      <c r="J3728" s="12">
        <f t="shared" si="583"/>
        <v>-1.0350000000000001</v>
      </c>
      <c r="K3728" s="17" t="str">
        <f t="shared" si="588"/>
        <v>Ecart négatif</v>
      </c>
      <c r="L3728" s="16">
        <f>base!X3728</f>
        <v>0</v>
      </c>
      <c r="M3728" s="11">
        <f t="shared" si="584"/>
        <v>0</v>
      </c>
      <c r="N3728" s="11">
        <f t="shared" si="585"/>
        <v>25.765000000000001</v>
      </c>
      <c r="O3728" s="11">
        <f t="shared" si="586"/>
        <v>0.25</v>
      </c>
      <c r="P3728" s="12">
        <f t="shared" si="587"/>
        <v>-25.765000000000001</v>
      </c>
      <c r="Q3728" s="17" t="str">
        <f t="shared" si="589"/>
        <v>Ecart négatif</v>
      </c>
    </row>
    <row r="3729" spans="1:17" x14ac:dyDescent="0.3">
      <c r="A3729" s="34" t="str">
        <f>base!J3729</f>
        <v>RS</v>
      </c>
      <c r="B3729" s="34" t="str">
        <f>base!V3729</f>
        <v>94420</v>
      </c>
      <c r="C3729" s="37">
        <v>94</v>
      </c>
      <c r="D3729" s="36">
        <f>base!H3729</f>
        <v>80.400000000000006</v>
      </c>
      <c r="E3729" s="44"/>
      <c r="F3729" s="16">
        <f>base!W3729</f>
        <v>0</v>
      </c>
      <c r="G3729" s="11">
        <f t="shared" si="580"/>
        <v>0</v>
      </c>
      <c r="H3729" s="11">
        <f t="shared" si="581"/>
        <v>0</v>
      </c>
      <c r="I3729" s="11">
        <f t="shared" si="582"/>
        <v>0</v>
      </c>
      <c r="J3729" s="12">
        <f t="shared" si="583"/>
        <v>0</v>
      </c>
      <c r="K3729" s="17" t="str">
        <f t="shared" si="588"/>
        <v>Pas d'écart</v>
      </c>
      <c r="L3729" s="16">
        <f>base!X3729</f>
        <v>0</v>
      </c>
      <c r="M3729" s="11">
        <f t="shared" si="584"/>
        <v>0</v>
      </c>
      <c r="N3729" s="11">
        <f t="shared" si="585"/>
        <v>0</v>
      </c>
      <c r="O3729" s="11">
        <f t="shared" si="586"/>
        <v>0</v>
      </c>
      <c r="P3729" s="12">
        <f t="shared" si="587"/>
        <v>0</v>
      </c>
      <c r="Q3729" s="17" t="str">
        <f t="shared" si="589"/>
        <v>Pas d'écart</v>
      </c>
    </row>
    <row r="3730" spans="1:17" x14ac:dyDescent="0.3">
      <c r="A3730" s="34" t="str">
        <f>base!J3730</f>
        <v>LS</v>
      </c>
      <c r="B3730" s="34" t="str">
        <f>base!V3730</f>
        <v>94150</v>
      </c>
      <c r="C3730" s="37">
        <v>94</v>
      </c>
      <c r="D3730" s="36">
        <f>base!H3730</f>
        <v>129.69</v>
      </c>
      <c r="E3730" s="44"/>
      <c r="F3730" s="16">
        <f>base!W3730</f>
        <v>0</v>
      </c>
      <c r="G3730" s="11">
        <f t="shared" si="580"/>
        <v>0</v>
      </c>
      <c r="H3730" s="11">
        <f t="shared" si="581"/>
        <v>0</v>
      </c>
      <c r="I3730" s="11">
        <f t="shared" si="582"/>
        <v>0</v>
      </c>
      <c r="J3730" s="12">
        <f t="shared" si="583"/>
        <v>0</v>
      </c>
      <c r="K3730" s="17" t="str">
        <f t="shared" si="588"/>
        <v>Pas d'écart</v>
      </c>
      <c r="L3730" s="16">
        <f>base!X3730</f>
        <v>0</v>
      </c>
      <c r="M3730" s="11">
        <f t="shared" si="584"/>
        <v>0</v>
      </c>
      <c r="N3730" s="11">
        <f t="shared" si="585"/>
        <v>0</v>
      </c>
      <c r="O3730" s="11">
        <f t="shared" si="586"/>
        <v>0</v>
      </c>
      <c r="P3730" s="12">
        <f t="shared" si="587"/>
        <v>0</v>
      </c>
      <c r="Q3730" s="17" t="str">
        <f t="shared" si="589"/>
        <v>Pas d'écart</v>
      </c>
    </row>
    <row r="3731" spans="1:17" x14ac:dyDescent="0.3">
      <c r="A3731" s="34" t="str">
        <f>base!J3731</f>
        <v>LS</v>
      </c>
      <c r="B3731" s="34" t="str">
        <f>base!V3731</f>
        <v>45520</v>
      </c>
      <c r="C3731" s="37">
        <v>56</v>
      </c>
      <c r="D3731" s="36">
        <f>base!H3731</f>
        <v>120.29</v>
      </c>
      <c r="E3731" s="44"/>
      <c r="F3731" s="16">
        <f>base!W3731</f>
        <v>25.26</v>
      </c>
      <c r="G3731" s="11">
        <f t="shared" si="580"/>
        <v>0.20999251808130351</v>
      </c>
      <c r="H3731" s="11">
        <f t="shared" si="581"/>
        <v>32.478300000000004</v>
      </c>
      <c r="I3731" s="11">
        <f t="shared" si="582"/>
        <v>0.27</v>
      </c>
      <c r="J3731" s="12">
        <f t="shared" si="583"/>
        <v>-7.2183000000000028</v>
      </c>
      <c r="K3731" s="17" t="str">
        <f t="shared" si="588"/>
        <v>Ecart négatif</v>
      </c>
      <c r="L3731" s="16">
        <f>base!X3731</f>
        <v>0</v>
      </c>
      <c r="M3731" s="11">
        <f t="shared" si="584"/>
        <v>0</v>
      </c>
      <c r="N3731" s="11">
        <f t="shared" si="585"/>
        <v>0</v>
      </c>
      <c r="O3731" s="11">
        <f t="shared" si="586"/>
        <v>0</v>
      </c>
      <c r="P3731" s="12">
        <f t="shared" si="587"/>
        <v>0</v>
      </c>
      <c r="Q3731" s="17" t="str">
        <f t="shared" si="589"/>
        <v>Pas d'écart</v>
      </c>
    </row>
    <row r="3732" spans="1:17" x14ac:dyDescent="0.3">
      <c r="A3732" s="34" t="str">
        <f>base!J3732</f>
        <v>LM</v>
      </c>
      <c r="B3732" s="34" t="str">
        <f>base!V3732</f>
        <v>93210</v>
      </c>
      <c r="C3732" s="37">
        <v>93</v>
      </c>
      <c r="D3732" s="36">
        <f>base!H3732</f>
        <v>30</v>
      </c>
      <c r="E3732" s="44"/>
      <c r="F3732" s="16">
        <f>base!W3732</f>
        <v>0</v>
      </c>
      <c r="G3732" s="11">
        <f t="shared" si="580"/>
        <v>0</v>
      </c>
      <c r="H3732" s="11">
        <f t="shared" si="581"/>
        <v>0</v>
      </c>
      <c r="I3732" s="11">
        <f t="shared" si="582"/>
        <v>0</v>
      </c>
      <c r="J3732" s="12">
        <f t="shared" si="583"/>
        <v>0</v>
      </c>
      <c r="K3732" s="17" t="str">
        <f t="shared" si="588"/>
        <v>Pas d'écart</v>
      </c>
      <c r="L3732" s="16">
        <f>base!X3732</f>
        <v>0</v>
      </c>
      <c r="M3732" s="11">
        <f t="shared" si="584"/>
        <v>0</v>
      </c>
      <c r="N3732" s="11">
        <f t="shared" si="585"/>
        <v>0</v>
      </c>
      <c r="O3732" s="11">
        <f t="shared" si="586"/>
        <v>0</v>
      </c>
      <c r="P3732" s="12">
        <f t="shared" si="587"/>
        <v>0</v>
      </c>
      <c r="Q3732" s="17" t="str">
        <f t="shared" si="589"/>
        <v>Pas d'écart</v>
      </c>
    </row>
    <row r="3733" spans="1:17" x14ac:dyDescent="0.3">
      <c r="A3733" s="34" t="str">
        <f>base!J3733</f>
        <v>RM</v>
      </c>
      <c r="B3733" s="34" t="str">
        <f>base!V3733</f>
        <v>62000</v>
      </c>
      <c r="C3733" s="37">
        <v>62</v>
      </c>
      <c r="D3733" s="36">
        <f>base!H3733</f>
        <v>194.34</v>
      </c>
      <c r="E3733" s="44"/>
      <c r="F3733" s="16">
        <f>base!W3733</f>
        <v>0</v>
      </c>
      <c r="G3733" s="11">
        <f t="shared" si="580"/>
        <v>0</v>
      </c>
      <c r="H3733" s="11">
        <f t="shared" si="581"/>
        <v>36.924599999999998</v>
      </c>
      <c r="I3733" s="11">
        <f t="shared" si="582"/>
        <v>0.18999999999999997</v>
      </c>
      <c r="J3733" s="12">
        <f t="shared" si="583"/>
        <v>-36.924599999999998</v>
      </c>
      <c r="K3733" s="17" t="str">
        <f t="shared" si="588"/>
        <v>Ecart négatif</v>
      </c>
      <c r="L3733" s="16">
        <f>base!X3733</f>
        <v>0</v>
      </c>
      <c r="M3733" s="11">
        <f t="shared" si="584"/>
        <v>0</v>
      </c>
      <c r="N3733" s="11">
        <f t="shared" si="585"/>
        <v>0</v>
      </c>
      <c r="O3733" s="11">
        <f t="shared" si="586"/>
        <v>0</v>
      </c>
      <c r="P3733" s="12">
        <f t="shared" si="587"/>
        <v>0</v>
      </c>
      <c r="Q3733" s="17" t="str">
        <f t="shared" si="589"/>
        <v>Pas d'écart</v>
      </c>
    </row>
    <row r="3734" spans="1:17" x14ac:dyDescent="0.3">
      <c r="A3734" s="34" t="str">
        <f>base!J3734</f>
        <v>RM</v>
      </c>
      <c r="B3734" s="34" t="str">
        <f>base!V3734</f>
        <v>51160</v>
      </c>
      <c r="C3734" s="37">
        <v>51</v>
      </c>
      <c r="D3734" s="36">
        <f>base!H3734</f>
        <v>151</v>
      </c>
      <c r="E3734" s="44"/>
      <c r="F3734" s="16">
        <f>base!W3734</f>
        <v>0</v>
      </c>
      <c r="G3734" s="11">
        <f t="shared" si="580"/>
        <v>0</v>
      </c>
      <c r="H3734" s="11">
        <f t="shared" si="581"/>
        <v>37.75</v>
      </c>
      <c r="I3734" s="11">
        <f t="shared" si="582"/>
        <v>0.25</v>
      </c>
      <c r="J3734" s="12">
        <f t="shared" si="583"/>
        <v>-37.75</v>
      </c>
      <c r="K3734" s="17" t="str">
        <f t="shared" si="588"/>
        <v>Ecart négatif</v>
      </c>
      <c r="L3734" s="16">
        <f>base!X3734</f>
        <v>0</v>
      </c>
      <c r="M3734" s="11">
        <f t="shared" si="584"/>
        <v>0</v>
      </c>
      <c r="N3734" s="11">
        <f t="shared" si="585"/>
        <v>37.75</v>
      </c>
      <c r="O3734" s="11">
        <f t="shared" si="586"/>
        <v>0.25</v>
      </c>
      <c r="P3734" s="12">
        <f t="shared" si="587"/>
        <v>-37.75</v>
      </c>
      <c r="Q3734" s="17" t="str">
        <f t="shared" si="589"/>
        <v>Ecart négatif</v>
      </c>
    </row>
    <row r="3735" spans="1:17" x14ac:dyDescent="0.3">
      <c r="A3735" s="34" t="str">
        <f>base!J3735</f>
        <v>RM</v>
      </c>
      <c r="B3735" s="34" t="str">
        <f>base!V3735</f>
        <v>59000</v>
      </c>
      <c r="C3735" s="37">
        <v>59</v>
      </c>
      <c r="D3735" s="36">
        <f>base!H3735</f>
        <v>184</v>
      </c>
      <c r="E3735" s="44"/>
      <c r="F3735" s="16">
        <f>base!W3735</f>
        <v>0</v>
      </c>
      <c r="G3735" s="11">
        <f t="shared" si="580"/>
        <v>0</v>
      </c>
      <c r="H3735" s="11">
        <f t="shared" si="581"/>
        <v>34.96</v>
      </c>
      <c r="I3735" s="11">
        <f t="shared" si="582"/>
        <v>0.19</v>
      </c>
      <c r="J3735" s="12">
        <f t="shared" si="583"/>
        <v>-34.96</v>
      </c>
      <c r="K3735" s="17" t="str">
        <f t="shared" si="588"/>
        <v>Ecart négatif</v>
      </c>
      <c r="L3735" s="16">
        <f>base!X3735</f>
        <v>0</v>
      </c>
      <c r="M3735" s="11">
        <f t="shared" si="584"/>
        <v>0</v>
      </c>
      <c r="N3735" s="11">
        <f t="shared" si="585"/>
        <v>0</v>
      </c>
      <c r="O3735" s="11">
        <f t="shared" si="586"/>
        <v>0</v>
      </c>
      <c r="P3735" s="12">
        <f t="shared" si="587"/>
        <v>0</v>
      </c>
      <c r="Q3735" s="17" t="str">
        <f t="shared" si="589"/>
        <v>Pas d'écart</v>
      </c>
    </row>
    <row r="3736" spans="1:17" x14ac:dyDescent="0.3">
      <c r="A3736" s="34" t="str">
        <f>base!J3736</f>
        <v>LS</v>
      </c>
      <c r="B3736" s="34" t="str">
        <f>base!V3736</f>
        <v>69800</v>
      </c>
      <c r="C3736" s="37">
        <v>69</v>
      </c>
      <c r="D3736" s="36">
        <f>base!H3736</f>
        <v>140</v>
      </c>
      <c r="E3736" s="44"/>
      <c r="F3736" s="16">
        <f>base!W3736</f>
        <v>37.799999999999997</v>
      </c>
      <c r="G3736" s="11">
        <f t="shared" si="580"/>
        <v>0.26999999999999996</v>
      </c>
      <c r="H3736" s="11">
        <f t="shared" si="581"/>
        <v>37.800000000000004</v>
      </c>
      <c r="I3736" s="11">
        <f t="shared" si="582"/>
        <v>0.27</v>
      </c>
      <c r="J3736" s="12">
        <f t="shared" si="583"/>
        <v>0</v>
      </c>
      <c r="K3736" s="17" t="str">
        <f t="shared" si="588"/>
        <v>Pas d'écart</v>
      </c>
      <c r="L3736" s="16">
        <f>base!X3736</f>
        <v>0</v>
      </c>
      <c r="M3736" s="11">
        <f t="shared" si="584"/>
        <v>0</v>
      </c>
      <c r="N3736" s="11">
        <f t="shared" si="585"/>
        <v>0</v>
      </c>
      <c r="O3736" s="11">
        <f t="shared" si="586"/>
        <v>0</v>
      </c>
      <c r="P3736" s="12">
        <f t="shared" si="587"/>
        <v>0</v>
      </c>
      <c r="Q3736" s="17" t="str">
        <f t="shared" si="589"/>
        <v>Pas d'écart</v>
      </c>
    </row>
    <row r="3737" spans="1:17" x14ac:dyDescent="0.3">
      <c r="A3737" s="34" t="str">
        <f>base!J3737</f>
        <v>LS</v>
      </c>
      <c r="B3737" s="34" t="str">
        <f>base!V3737</f>
        <v>76600</v>
      </c>
      <c r="C3737" s="37">
        <v>25</v>
      </c>
      <c r="D3737" s="36">
        <f>base!H3737</f>
        <v>187.25</v>
      </c>
      <c r="E3737" s="44"/>
      <c r="F3737" s="16">
        <f>base!W3737</f>
        <v>31.83</v>
      </c>
      <c r="G3737" s="11">
        <f t="shared" si="580"/>
        <v>0.16998664886515352</v>
      </c>
      <c r="H3737" s="11">
        <f t="shared" si="581"/>
        <v>44.94</v>
      </c>
      <c r="I3737" s="11">
        <f t="shared" si="582"/>
        <v>0.24</v>
      </c>
      <c r="J3737" s="12">
        <f t="shared" si="583"/>
        <v>-13.11</v>
      </c>
      <c r="K3737" s="17" t="str">
        <f t="shared" si="588"/>
        <v>Ecart négatif</v>
      </c>
      <c r="L3737" s="16">
        <f>base!X3737</f>
        <v>0</v>
      </c>
      <c r="M3737" s="11">
        <f t="shared" si="584"/>
        <v>0</v>
      </c>
      <c r="N3737" s="11">
        <f t="shared" si="585"/>
        <v>22.47</v>
      </c>
      <c r="O3737" s="11">
        <f t="shared" si="586"/>
        <v>0.12</v>
      </c>
      <c r="P3737" s="12">
        <f t="shared" si="587"/>
        <v>-22.47</v>
      </c>
      <c r="Q3737" s="17" t="str">
        <f t="shared" si="589"/>
        <v>Ecart négatif</v>
      </c>
    </row>
    <row r="3738" spans="1:17" x14ac:dyDescent="0.3">
      <c r="A3738" s="34" t="str">
        <f>base!J3738</f>
        <v>LM</v>
      </c>
      <c r="B3738" s="34" t="str">
        <f>base!V3738</f>
        <v>51160</v>
      </c>
      <c r="C3738" s="37">
        <v>51</v>
      </c>
      <c r="D3738" s="36">
        <f>base!H3738</f>
        <v>140</v>
      </c>
      <c r="E3738" s="44"/>
      <c r="F3738" s="16">
        <f>base!W3738</f>
        <v>35</v>
      </c>
      <c r="G3738" s="11">
        <f t="shared" si="580"/>
        <v>0.25</v>
      </c>
      <c r="H3738" s="11">
        <f t="shared" si="581"/>
        <v>35</v>
      </c>
      <c r="I3738" s="11">
        <f t="shared" si="582"/>
        <v>0.25</v>
      </c>
      <c r="J3738" s="12">
        <f t="shared" si="583"/>
        <v>0</v>
      </c>
      <c r="K3738" s="17" t="str">
        <f t="shared" si="588"/>
        <v>Pas d'écart</v>
      </c>
      <c r="L3738" s="16">
        <f>base!X3738</f>
        <v>0</v>
      </c>
      <c r="M3738" s="11">
        <f t="shared" si="584"/>
        <v>0</v>
      </c>
      <c r="N3738" s="11">
        <f t="shared" si="585"/>
        <v>35</v>
      </c>
      <c r="O3738" s="11">
        <f t="shared" si="586"/>
        <v>0.25</v>
      </c>
      <c r="P3738" s="12">
        <f t="shared" si="587"/>
        <v>-35</v>
      </c>
      <c r="Q3738" s="17" t="str">
        <f t="shared" si="589"/>
        <v>Ecart négatif</v>
      </c>
    </row>
    <row r="3739" spans="1:17" x14ac:dyDescent="0.3">
      <c r="A3739" s="34">
        <f>base!J3739</f>
        <v>0</v>
      </c>
      <c r="B3739" s="34" t="str">
        <f>base!V3739</f>
        <v>77184</v>
      </c>
      <c r="C3739" s="37">
        <v>77</v>
      </c>
      <c r="D3739" s="36">
        <f>base!H3739</f>
        <v>186</v>
      </c>
      <c r="E3739" s="44"/>
      <c r="F3739" s="16">
        <f>base!W3739</f>
        <v>0</v>
      </c>
      <c r="G3739" s="11">
        <f t="shared" si="580"/>
        <v>0</v>
      </c>
      <c r="H3739" s="11">
        <f t="shared" si="581"/>
        <v>0</v>
      </c>
      <c r="I3739" s="11">
        <f t="shared" si="582"/>
        <v>0</v>
      </c>
      <c r="J3739" s="12">
        <f t="shared" si="583"/>
        <v>0</v>
      </c>
      <c r="K3739" s="17" t="str">
        <f t="shared" si="588"/>
        <v>Pas d'écart</v>
      </c>
      <c r="L3739" s="16">
        <f>base!X3739</f>
        <v>0</v>
      </c>
      <c r="M3739" s="11">
        <f t="shared" si="584"/>
        <v>0</v>
      </c>
      <c r="N3739" s="11">
        <f t="shared" si="585"/>
        <v>0</v>
      </c>
      <c r="O3739" s="11">
        <f t="shared" si="586"/>
        <v>0</v>
      </c>
      <c r="P3739" s="12">
        <f t="shared" si="587"/>
        <v>0</v>
      </c>
      <c r="Q3739" s="17" t="str">
        <f t="shared" si="589"/>
        <v>Pas d'écart</v>
      </c>
    </row>
    <row r="3740" spans="1:17" x14ac:dyDescent="0.3">
      <c r="A3740" s="34" t="str">
        <f>base!J3740</f>
        <v>LS</v>
      </c>
      <c r="B3740" s="34" t="str">
        <f>base!V3740</f>
        <v>56400</v>
      </c>
      <c r="C3740" s="37">
        <v>63</v>
      </c>
      <c r="D3740" s="36">
        <f>base!H3740</f>
        <v>55.14</v>
      </c>
      <c r="E3740" s="44"/>
      <c r="F3740" s="16">
        <f>base!W3740</f>
        <v>14.89</v>
      </c>
      <c r="G3740" s="11">
        <f t="shared" si="580"/>
        <v>0.27003989844033371</v>
      </c>
      <c r="H3740" s="11">
        <f t="shared" si="581"/>
        <v>15.990599999999999</v>
      </c>
      <c r="I3740" s="11">
        <f t="shared" si="582"/>
        <v>0.28999999999999998</v>
      </c>
      <c r="J3740" s="12">
        <f t="shared" si="583"/>
        <v>-1.1005999999999982</v>
      </c>
      <c r="K3740" s="17" t="str">
        <f t="shared" si="588"/>
        <v>Ecart négatif</v>
      </c>
      <c r="L3740" s="16">
        <f>base!X3740</f>
        <v>0</v>
      </c>
      <c r="M3740" s="11">
        <f t="shared" si="584"/>
        <v>0</v>
      </c>
      <c r="N3740" s="11">
        <f t="shared" si="585"/>
        <v>6.6167999999999996</v>
      </c>
      <c r="O3740" s="11">
        <f t="shared" si="586"/>
        <v>0.12</v>
      </c>
      <c r="P3740" s="12">
        <f t="shared" si="587"/>
        <v>-6.6167999999999996</v>
      </c>
      <c r="Q3740" s="17" t="str">
        <f t="shared" si="589"/>
        <v>Ecart négatif</v>
      </c>
    </row>
    <row r="3741" spans="1:17" x14ac:dyDescent="0.3">
      <c r="A3741" s="34" t="str">
        <f>base!J3741</f>
        <v>LM</v>
      </c>
      <c r="B3741" s="34" t="str">
        <f>base!V3741</f>
        <v>35680</v>
      </c>
      <c r="C3741" s="37">
        <v>35</v>
      </c>
      <c r="D3741" s="36">
        <f>base!H3741</f>
        <v>40</v>
      </c>
      <c r="E3741" s="44"/>
      <c r="F3741" s="16">
        <f>base!W3741</f>
        <v>10.8</v>
      </c>
      <c r="G3741" s="11">
        <f t="shared" si="580"/>
        <v>0.27</v>
      </c>
      <c r="H3741" s="11">
        <f t="shared" si="581"/>
        <v>10.8</v>
      </c>
      <c r="I3741" s="11">
        <f t="shared" si="582"/>
        <v>0.27</v>
      </c>
      <c r="J3741" s="12">
        <f t="shared" si="583"/>
        <v>0</v>
      </c>
      <c r="K3741" s="17" t="str">
        <f t="shared" si="588"/>
        <v>Pas d'écart</v>
      </c>
      <c r="L3741" s="16">
        <f>base!X3741</f>
        <v>0</v>
      </c>
      <c r="M3741" s="11">
        <f t="shared" si="584"/>
        <v>0</v>
      </c>
      <c r="N3741" s="11">
        <f t="shared" si="585"/>
        <v>0</v>
      </c>
      <c r="O3741" s="11">
        <f t="shared" si="586"/>
        <v>0</v>
      </c>
      <c r="P3741" s="12">
        <f t="shared" si="587"/>
        <v>0</v>
      </c>
      <c r="Q3741" s="17" t="str">
        <f t="shared" si="589"/>
        <v>Pas d'écart</v>
      </c>
    </row>
    <row r="3742" spans="1:17" x14ac:dyDescent="0.3">
      <c r="A3742" s="34" t="str">
        <f>base!J3742</f>
        <v>LS</v>
      </c>
      <c r="B3742" s="34" t="str">
        <f>base!V3742</f>
        <v>41400</v>
      </c>
      <c r="C3742" s="37">
        <v>63</v>
      </c>
      <c r="D3742" s="36">
        <f>base!H3742</f>
        <v>189.79</v>
      </c>
      <c r="E3742" s="44"/>
      <c r="F3742" s="16">
        <f>base!W3742</f>
        <v>39.86</v>
      </c>
      <c r="G3742" s="11">
        <f t="shared" si="580"/>
        <v>0.21002160282417409</v>
      </c>
      <c r="H3742" s="11">
        <f t="shared" si="581"/>
        <v>55.039099999999991</v>
      </c>
      <c r="I3742" s="11">
        <f t="shared" si="582"/>
        <v>0.28999999999999998</v>
      </c>
      <c r="J3742" s="12">
        <f t="shared" si="583"/>
        <v>-15.179099999999991</v>
      </c>
      <c r="K3742" s="17" t="str">
        <f t="shared" si="588"/>
        <v>Ecart négatif</v>
      </c>
      <c r="L3742" s="16">
        <f>base!X3742</f>
        <v>0</v>
      </c>
      <c r="M3742" s="11">
        <f t="shared" si="584"/>
        <v>0</v>
      </c>
      <c r="N3742" s="11">
        <f t="shared" si="585"/>
        <v>22.774799999999999</v>
      </c>
      <c r="O3742" s="11">
        <f t="shared" si="586"/>
        <v>0.12</v>
      </c>
      <c r="P3742" s="12">
        <f t="shared" si="587"/>
        <v>-22.774799999999999</v>
      </c>
      <c r="Q3742" s="17" t="str">
        <f t="shared" si="589"/>
        <v>Ecart négatif</v>
      </c>
    </row>
    <row r="3743" spans="1:17" x14ac:dyDescent="0.3">
      <c r="A3743" s="34" t="str">
        <f>base!J3743</f>
        <v>LS</v>
      </c>
      <c r="B3743" s="34" t="str">
        <f>base!V3743</f>
        <v>27540</v>
      </c>
      <c r="C3743" s="37">
        <v>63</v>
      </c>
      <c r="D3743" s="36">
        <f>base!H3743</f>
        <v>99.34</v>
      </c>
      <c r="E3743" s="44"/>
      <c r="F3743" s="16">
        <f>base!W3743</f>
        <v>16.89</v>
      </c>
      <c r="G3743" s="11">
        <f t="shared" si="580"/>
        <v>0.17002214616468694</v>
      </c>
      <c r="H3743" s="11">
        <f t="shared" si="581"/>
        <v>28.808599999999998</v>
      </c>
      <c r="I3743" s="11">
        <f t="shared" si="582"/>
        <v>0.28999999999999998</v>
      </c>
      <c r="J3743" s="12">
        <f t="shared" si="583"/>
        <v>-11.918599999999998</v>
      </c>
      <c r="K3743" s="17" t="str">
        <f t="shared" si="588"/>
        <v>Ecart négatif</v>
      </c>
      <c r="L3743" s="16">
        <f>base!X3743</f>
        <v>0</v>
      </c>
      <c r="M3743" s="11">
        <f t="shared" si="584"/>
        <v>0</v>
      </c>
      <c r="N3743" s="11">
        <f t="shared" si="585"/>
        <v>11.9208</v>
      </c>
      <c r="O3743" s="11">
        <f t="shared" si="586"/>
        <v>0.12</v>
      </c>
      <c r="P3743" s="12">
        <f t="shared" si="587"/>
        <v>-11.9208</v>
      </c>
      <c r="Q3743" s="17" t="str">
        <f t="shared" si="589"/>
        <v>Ecart négatif</v>
      </c>
    </row>
    <row r="3744" spans="1:17" x14ac:dyDescent="0.3">
      <c r="A3744" s="34" t="str">
        <f>base!J3744</f>
        <v>LM</v>
      </c>
      <c r="B3744" s="34" t="str">
        <f>base!V3744</f>
        <v>69006</v>
      </c>
      <c r="C3744" s="37">
        <v>54</v>
      </c>
      <c r="D3744" s="36">
        <f>base!H3744</f>
        <v>6.53</v>
      </c>
      <c r="E3744" s="44"/>
      <c r="F3744" s="16">
        <f>base!W3744</f>
        <v>1.76</v>
      </c>
      <c r="G3744" s="11">
        <f t="shared" si="580"/>
        <v>0.26952526799387444</v>
      </c>
      <c r="H3744" s="11">
        <f t="shared" si="581"/>
        <v>1.6325000000000001</v>
      </c>
      <c r="I3744" s="11">
        <f t="shared" si="582"/>
        <v>0.25</v>
      </c>
      <c r="J3744" s="12">
        <f t="shared" si="583"/>
        <v>0.12749999999999995</v>
      </c>
      <c r="K3744" s="17" t="str">
        <f t="shared" si="588"/>
        <v>Ecart positif</v>
      </c>
      <c r="L3744" s="16">
        <f>base!X3744</f>
        <v>0</v>
      </c>
      <c r="M3744" s="11">
        <f t="shared" si="584"/>
        <v>0</v>
      </c>
      <c r="N3744" s="11">
        <f t="shared" si="585"/>
        <v>1.6325000000000001</v>
      </c>
      <c r="O3744" s="11">
        <f t="shared" si="586"/>
        <v>0.25</v>
      </c>
      <c r="P3744" s="12">
        <f t="shared" si="587"/>
        <v>-1.6325000000000001</v>
      </c>
      <c r="Q3744" s="17" t="str">
        <f t="shared" si="589"/>
        <v>Ecart négatif</v>
      </c>
    </row>
    <row r="3745" spans="1:18" x14ac:dyDescent="0.3">
      <c r="A3745" s="34" t="str">
        <f>base!J3745</f>
        <v>LM</v>
      </c>
      <c r="B3745" s="34" t="str">
        <f>base!V3745</f>
        <v>69005</v>
      </c>
      <c r="C3745" s="37">
        <v>21</v>
      </c>
      <c r="D3745" s="36">
        <f>base!H3745</f>
        <v>33.35</v>
      </c>
      <c r="E3745" s="44"/>
      <c r="F3745" s="16">
        <f>base!W3745</f>
        <v>9</v>
      </c>
      <c r="G3745" s="11">
        <f t="shared" si="580"/>
        <v>0.26986506746626687</v>
      </c>
      <c r="H3745" s="11">
        <f t="shared" si="581"/>
        <v>8.0039999999999996</v>
      </c>
      <c r="I3745" s="11">
        <f t="shared" si="582"/>
        <v>0.23999999999999996</v>
      </c>
      <c r="J3745" s="12">
        <f t="shared" si="583"/>
        <v>0.99600000000000044</v>
      </c>
      <c r="K3745" s="17" t="str">
        <f t="shared" si="588"/>
        <v>Ecart positif</v>
      </c>
      <c r="L3745" s="16">
        <f>base!X3745</f>
        <v>0</v>
      </c>
      <c r="M3745" s="11">
        <f t="shared" si="584"/>
        <v>0</v>
      </c>
      <c r="N3745" s="11">
        <f t="shared" si="585"/>
        <v>4.0019999999999998</v>
      </c>
      <c r="O3745" s="11">
        <f t="shared" si="586"/>
        <v>0.11999999999999998</v>
      </c>
      <c r="P3745" s="12">
        <f t="shared" si="587"/>
        <v>-4.0019999999999998</v>
      </c>
      <c r="Q3745" s="17" t="str">
        <f t="shared" si="589"/>
        <v>Ecart négatif</v>
      </c>
    </row>
    <row r="3746" spans="1:18" x14ac:dyDescent="0.3">
      <c r="A3746" s="34" t="str">
        <f>base!J3746</f>
        <v>LS</v>
      </c>
      <c r="B3746" s="34" t="str">
        <f>base!V3746</f>
        <v>59160</v>
      </c>
      <c r="C3746" s="37">
        <v>35</v>
      </c>
      <c r="D3746" s="36">
        <f>base!H3746</f>
        <v>14.2</v>
      </c>
      <c r="E3746" s="44"/>
      <c r="F3746" s="16">
        <f>base!W3746</f>
        <v>2.7</v>
      </c>
      <c r="G3746" s="11">
        <f t="shared" si="580"/>
        <v>0.19014084507042256</v>
      </c>
      <c r="H3746" s="11">
        <f t="shared" si="581"/>
        <v>3.8340000000000001</v>
      </c>
      <c r="I3746" s="11">
        <f t="shared" si="582"/>
        <v>0.27</v>
      </c>
      <c r="J3746" s="12">
        <f t="shared" si="583"/>
        <v>-1.1339999999999999</v>
      </c>
      <c r="K3746" s="17" t="str">
        <f t="shared" si="588"/>
        <v>Ecart négatif</v>
      </c>
      <c r="L3746" s="16">
        <f>base!X3746</f>
        <v>0</v>
      </c>
      <c r="M3746" s="11">
        <f t="shared" si="584"/>
        <v>0</v>
      </c>
      <c r="N3746" s="11">
        <f t="shared" si="585"/>
        <v>0</v>
      </c>
      <c r="O3746" s="11">
        <f t="shared" si="586"/>
        <v>0</v>
      </c>
      <c r="P3746" s="12">
        <f t="shared" si="587"/>
        <v>0</v>
      </c>
      <c r="Q3746" s="17" t="str">
        <f t="shared" si="589"/>
        <v>Pas d'écart</v>
      </c>
    </row>
    <row r="3747" spans="1:18" x14ac:dyDescent="0.3">
      <c r="A3747" s="34" t="str">
        <f>base!J3747</f>
        <v>RS</v>
      </c>
      <c r="B3747" s="34" t="str">
        <f>base!V3747</f>
        <v>68300</v>
      </c>
      <c r="C3747" s="37">
        <v>68</v>
      </c>
      <c r="D3747" s="36">
        <f>base!H3747</f>
        <v>71.900000000000006</v>
      </c>
      <c r="E3747" s="44"/>
      <c r="F3747" s="16">
        <f>base!W3747</f>
        <v>0</v>
      </c>
      <c r="G3747" s="11">
        <f t="shared" si="580"/>
        <v>0</v>
      </c>
      <c r="H3747" s="11">
        <f t="shared" si="581"/>
        <v>20.850999999999999</v>
      </c>
      <c r="I3747" s="11">
        <f t="shared" si="582"/>
        <v>0.28999999999999998</v>
      </c>
      <c r="J3747" s="12">
        <f t="shared" si="583"/>
        <v>-20.850999999999999</v>
      </c>
      <c r="K3747" s="17" t="str">
        <f t="shared" si="588"/>
        <v>Ecart négatif</v>
      </c>
      <c r="L3747" s="16">
        <f>base!X3747</f>
        <v>5.75</v>
      </c>
      <c r="M3747" s="11">
        <f t="shared" si="584"/>
        <v>7.9972183588317106E-2</v>
      </c>
      <c r="N3747" s="11">
        <f t="shared" si="585"/>
        <v>5.7520000000000007</v>
      </c>
      <c r="O3747" s="11">
        <f t="shared" si="586"/>
        <v>0.08</v>
      </c>
      <c r="P3747" s="12">
        <f t="shared" si="587"/>
        <v>-2.0000000000006679E-3</v>
      </c>
      <c r="Q3747" s="17" t="str">
        <f t="shared" si="589"/>
        <v>Ecart négatif</v>
      </c>
      <c r="R3747" s="38"/>
    </row>
    <row r="3748" spans="1:18" x14ac:dyDescent="0.3">
      <c r="A3748" s="34" t="str">
        <f>base!J3748</f>
        <v>RS</v>
      </c>
      <c r="B3748" s="34" t="str">
        <f>base!V3748</f>
        <v>94400</v>
      </c>
      <c r="C3748" s="37">
        <v>94</v>
      </c>
      <c r="D3748" s="36">
        <f>base!H3748</f>
        <v>180</v>
      </c>
      <c r="E3748" s="44"/>
      <c r="F3748" s="16">
        <f>base!W3748</f>
        <v>0</v>
      </c>
      <c r="G3748" s="11">
        <f t="shared" si="580"/>
        <v>0</v>
      </c>
      <c r="H3748" s="11">
        <f t="shared" si="581"/>
        <v>0</v>
      </c>
      <c r="I3748" s="11">
        <f t="shared" si="582"/>
        <v>0</v>
      </c>
      <c r="J3748" s="12">
        <f t="shared" si="583"/>
        <v>0</v>
      </c>
      <c r="K3748" s="17" t="str">
        <f t="shared" si="588"/>
        <v>Pas d'écart</v>
      </c>
      <c r="L3748" s="16">
        <f>base!X3748</f>
        <v>0</v>
      </c>
      <c r="M3748" s="11">
        <f t="shared" si="584"/>
        <v>0</v>
      </c>
      <c r="N3748" s="11">
        <f t="shared" si="585"/>
        <v>0</v>
      </c>
      <c r="O3748" s="11">
        <f t="shared" si="586"/>
        <v>0</v>
      </c>
      <c r="P3748" s="12">
        <f t="shared" si="587"/>
        <v>0</v>
      </c>
      <c r="Q3748" s="17" t="str">
        <f t="shared" si="589"/>
        <v>Pas d'écart</v>
      </c>
    </row>
    <row r="3749" spans="1:18" x14ac:dyDescent="0.3">
      <c r="A3749" s="34" t="str">
        <f>base!J3749</f>
        <v>LS</v>
      </c>
      <c r="B3749" s="34" t="str">
        <f>base!V3749</f>
        <v>17670</v>
      </c>
      <c r="C3749" s="37">
        <v>38</v>
      </c>
      <c r="D3749" s="36">
        <f>base!H3749</f>
        <v>131.97999999999999</v>
      </c>
      <c r="E3749" s="44"/>
      <c r="F3749" s="16">
        <f>base!W3749</f>
        <v>27.72</v>
      </c>
      <c r="G3749" s="11">
        <f t="shared" si="580"/>
        <v>0.21003182300348539</v>
      </c>
      <c r="H3749" s="11">
        <f t="shared" si="581"/>
        <v>35.634599999999999</v>
      </c>
      <c r="I3749" s="11">
        <f t="shared" si="582"/>
        <v>0.27</v>
      </c>
      <c r="J3749" s="12">
        <f t="shared" si="583"/>
        <v>-7.9146000000000001</v>
      </c>
      <c r="K3749" s="17" t="str">
        <f t="shared" si="588"/>
        <v>Ecart négatif</v>
      </c>
      <c r="L3749" s="16">
        <f>base!X3749</f>
        <v>0</v>
      </c>
      <c r="M3749" s="11">
        <f t="shared" si="584"/>
        <v>0</v>
      </c>
      <c r="N3749" s="11">
        <f t="shared" si="585"/>
        <v>0</v>
      </c>
      <c r="O3749" s="11">
        <f t="shared" si="586"/>
        <v>0</v>
      </c>
      <c r="P3749" s="12">
        <f t="shared" si="587"/>
        <v>0</v>
      </c>
      <c r="Q3749" s="17" t="str">
        <f t="shared" si="589"/>
        <v>Pas d'écart</v>
      </c>
    </row>
    <row r="3750" spans="1:18" x14ac:dyDescent="0.3">
      <c r="A3750" s="34" t="str">
        <f>base!J3750</f>
        <v>LM</v>
      </c>
      <c r="B3750" s="34" t="str">
        <f>base!V3750</f>
        <v>54300</v>
      </c>
      <c r="C3750" s="37">
        <v>38</v>
      </c>
      <c r="D3750" s="36">
        <f>base!H3750</f>
        <v>18.36</v>
      </c>
      <c r="E3750" s="44"/>
      <c r="F3750" s="16">
        <f>base!W3750</f>
        <v>4.59</v>
      </c>
      <c r="G3750" s="11">
        <f t="shared" si="580"/>
        <v>0.25</v>
      </c>
      <c r="H3750" s="11">
        <f t="shared" si="581"/>
        <v>4.9572000000000003</v>
      </c>
      <c r="I3750" s="11">
        <f t="shared" si="582"/>
        <v>0.27</v>
      </c>
      <c r="J3750" s="12">
        <f t="shared" si="583"/>
        <v>-0.36720000000000041</v>
      </c>
      <c r="K3750" s="17" t="str">
        <f t="shared" si="588"/>
        <v>Ecart négatif</v>
      </c>
      <c r="L3750" s="16">
        <f>base!X3750</f>
        <v>0</v>
      </c>
      <c r="M3750" s="11">
        <f t="shared" si="584"/>
        <v>0</v>
      </c>
      <c r="N3750" s="11">
        <f t="shared" si="585"/>
        <v>0</v>
      </c>
      <c r="O3750" s="11">
        <f t="shared" si="586"/>
        <v>0</v>
      </c>
      <c r="P3750" s="12">
        <f t="shared" si="587"/>
        <v>0</v>
      </c>
      <c r="Q3750" s="17" t="str">
        <f t="shared" si="589"/>
        <v>Pas d'écart</v>
      </c>
    </row>
    <row r="3751" spans="1:18" x14ac:dyDescent="0.3">
      <c r="A3751" s="34" t="str">
        <f>base!J3751</f>
        <v>DLS</v>
      </c>
      <c r="B3751" s="34" t="str">
        <f>base!V3751</f>
        <v>69002</v>
      </c>
      <c r="C3751" s="37">
        <v>69</v>
      </c>
      <c r="D3751" s="36">
        <f>base!H3751</f>
        <v>53.2</v>
      </c>
      <c r="E3751" s="44"/>
      <c r="F3751" s="16">
        <f>base!W3751</f>
        <v>14.36</v>
      </c>
      <c r="G3751" s="11">
        <f t="shared" si="580"/>
        <v>0.26992481203007518</v>
      </c>
      <c r="H3751" s="11">
        <f t="shared" si="581"/>
        <v>14.364000000000003</v>
      </c>
      <c r="I3751" s="11">
        <f t="shared" si="582"/>
        <v>0.27</v>
      </c>
      <c r="J3751" s="12">
        <f t="shared" si="583"/>
        <v>-4.0000000000031122E-3</v>
      </c>
      <c r="K3751" s="17" t="str">
        <f t="shared" si="588"/>
        <v>Ecart négatif</v>
      </c>
      <c r="L3751" s="16">
        <f>base!X3751</f>
        <v>0</v>
      </c>
      <c r="M3751" s="11">
        <f t="shared" si="584"/>
        <v>0</v>
      </c>
      <c r="N3751" s="11">
        <f t="shared" si="585"/>
        <v>0</v>
      </c>
      <c r="O3751" s="11">
        <f t="shared" si="586"/>
        <v>0</v>
      </c>
      <c r="P3751" s="12">
        <f t="shared" si="587"/>
        <v>0</v>
      </c>
      <c r="Q3751" s="17" t="str">
        <f t="shared" si="589"/>
        <v>Pas d'écart</v>
      </c>
    </row>
    <row r="3752" spans="1:18" x14ac:dyDescent="0.3">
      <c r="A3752" s="34" t="str">
        <f>base!J3752</f>
        <v>LS</v>
      </c>
      <c r="B3752" s="34" t="str">
        <f>base!V3752</f>
        <v>35136</v>
      </c>
      <c r="C3752" s="37">
        <v>38</v>
      </c>
      <c r="D3752" s="36">
        <f>base!H3752</f>
        <v>139.91</v>
      </c>
      <c r="E3752" s="44"/>
      <c r="F3752" s="16">
        <f>base!W3752</f>
        <v>37.78</v>
      </c>
      <c r="G3752" s="11">
        <f t="shared" si="580"/>
        <v>0.27003073404331357</v>
      </c>
      <c r="H3752" s="11">
        <f t="shared" si="581"/>
        <v>37.775700000000001</v>
      </c>
      <c r="I3752" s="11">
        <f t="shared" si="582"/>
        <v>0.27</v>
      </c>
      <c r="J3752" s="12">
        <f t="shared" si="583"/>
        <v>4.3000000000006366E-3</v>
      </c>
      <c r="K3752" s="17" t="str">
        <f t="shared" si="588"/>
        <v>Ecart positif</v>
      </c>
      <c r="L3752" s="16">
        <f>base!X3752</f>
        <v>0</v>
      </c>
      <c r="M3752" s="11">
        <f t="shared" si="584"/>
        <v>0</v>
      </c>
      <c r="N3752" s="11">
        <f t="shared" si="585"/>
        <v>0</v>
      </c>
      <c r="O3752" s="11">
        <f t="shared" si="586"/>
        <v>0</v>
      </c>
      <c r="P3752" s="12">
        <f t="shared" si="587"/>
        <v>0</v>
      </c>
      <c r="Q3752" s="17" t="str">
        <f t="shared" si="589"/>
        <v>Pas d'écart</v>
      </c>
    </row>
    <row r="3753" spans="1:18" x14ac:dyDescent="0.3">
      <c r="A3753" s="34" t="str">
        <f>base!J3753</f>
        <v>LM</v>
      </c>
      <c r="B3753" s="34" t="str">
        <f>base!V3753</f>
        <v>92078</v>
      </c>
      <c r="C3753" s="37">
        <v>92</v>
      </c>
      <c r="D3753" s="36">
        <f>base!H3753</f>
        <v>86.34</v>
      </c>
      <c r="E3753" s="44"/>
      <c r="F3753" s="16">
        <f>base!W3753</f>
        <v>0</v>
      </c>
      <c r="G3753" s="11">
        <f t="shared" si="580"/>
        <v>0</v>
      </c>
      <c r="H3753" s="11">
        <f t="shared" si="581"/>
        <v>0</v>
      </c>
      <c r="I3753" s="11">
        <f t="shared" si="582"/>
        <v>0</v>
      </c>
      <c r="J3753" s="12">
        <f t="shared" si="583"/>
        <v>0</v>
      </c>
      <c r="K3753" s="17" t="str">
        <f t="shared" si="588"/>
        <v>Pas d'écart</v>
      </c>
      <c r="L3753" s="16">
        <f>base!X3753</f>
        <v>0</v>
      </c>
      <c r="M3753" s="11">
        <f t="shared" si="584"/>
        <v>0</v>
      </c>
      <c r="N3753" s="11">
        <f t="shared" si="585"/>
        <v>0</v>
      </c>
      <c r="O3753" s="11">
        <f t="shared" si="586"/>
        <v>0</v>
      </c>
      <c r="P3753" s="12">
        <f t="shared" si="587"/>
        <v>0</v>
      </c>
      <c r="Q3753" s="17" t="str">
        <f t="shared" si="589"/>
        <v>Pas d'écart</v>
      </c>
    </row>
    <row r="3754" spans="1:18" x14ac:dyDescent="0.3">
      <c r="A3754" s="34" t="str">
        <f>base!J3754</f>
        <v>LS</v>
      </c>
      <c r="B3754" s="34" t="str">
        <f>base!V3754</f>
        <v>49480</v>
      </c>
      <c r="C3754" s="37">
        <v>38</v>
      </c>
      <c r="D3754" s="36">
        <f>base!H3754</f>
        <v>138.22999999999999</v>
      </c>
      <c r="E3754" s="44"/>
      <c r="F3754" s="16">
        <f>base!W3754</f>
        <v>37.32</v>
      </c>
      <c r="G3754" s="11">
        <f t="shared" si="580"/>
        <v>0.2699848079288143</v>
      </c>
      <c r="H3754" s="11">
        <f t="shared" si="581"/>
        <v>37.322099999999999</v>
      </c>
      <c r="I3754" s="11">
        <f t="shared" si="582"/>
        <v>0.27</v>
      </c>
      <c r="J3754" s="12">
        <f t="shared" si="583"/>
        <v>-2.0999999999986585E-3</v>
      </c>
      <c r="K3754" s="17" t="str">
        <f t="shared" si="588"/>
        <v>Ecart négatif</v>
      </c>
      <c r="L3754" s="16">
        <f>base!X3754</f>
        <v>0</v>
      </c>
      <c r="M3754" s="11">
        <f t="shared" si="584"/>
        <v>0</v>
      </c>
      <c r="N3754" s="11">
        <f t="shared" si="585"/>
        <v>0</v>
      </c>
      <c r="O3754" s="11">
        <f t="shared" si="586"/>
        <v>0</v>
      </c>
      <c r="P3754" s="12">
        <f t="shared" si="587"/>
        <v>0</v>
      </c>
      <c r="Q3754" s="17" t="str">
        <f t="shared" si="589"/>
        <v>Pas d'écart</v>
      </c>
    </row>
    <row r="3755" spans="1:18" x14ac:dyDescent="0.3">
      <c r="A3755" s="34" t="str">
        <f>base!J3755</f>
        <v>LS</v>
      </c>
      <c r="B3755" s="34" t="str">
        <f>base!V3755</f>
        <v>69390</v>
      </c>
      <c r="C3755" s="37">
        <v>38</v>
      </c>
      <c r="D3755" s="36">
        <f>base!H3755</f>
        <v>55.14</v>
      </c>
      <c r="E3755" s="44"/>
      <c r="F3755" s="16">
        <f>base!W3755</f>
        <v>14.89</v>
      </c>
      <c r="G3755" s="11">
        <f t="shared" si="580"/>
        <v>0.27003989844033371</v>
      </c>
      <c r="H3755" s="11">
        <f t="shared" si="581"/>
        <v>14.8878</v>
      </c>
      <c r="I3755" s="11">
        <f t="shared" si="582"/>
        <v>0.27</v>
      </c>
      <c r="J3755" s="12">
        <f t="shared" si="583"/>
        <v>2.2000000000002018E-3</v>
      </c>
      <c r="K3755" s="17" t="str">
        <f t="shared" si="588"/>
        <v>Ecart positif</v>
      </c>
      <c r="L3755" s="16">
        <f>base!X3755</f>
        <v>0</v>
      </c>
      <c r="M3755" s="11">
        <f t="shared" si="584"/>
        <v>0</v>
      </c>
      <c r="N3755" s="11">
        <f t="shared" si="585"/>
        <v>0</v>
      </c>
      <c r="O3755" s="11">
        <f t="shared" si="586"/>
        <v>0</v>
      </c>
      <c r="P3755" s="12">
        <f t="shared" si="587"/>
        <v>0</v>
      </c>
      <c r="Q3755" s="17" t="str">
        <f t="shared" si="589"/>
        <v>Pas d'écart</v>
      </c>
    </row>
    <row r="3756" spans="1:18" x14ac:dyDescent="0.3">
      <c r="A3756" s="34" t="str">
        <f>base!J3756</f>
        <v>LS</v>
      </c>
      <c r="B3756" s="34" t="str">
        <f>base!V3756</f>
        <v>71870</v>
      </c>
      <c r="C3756" s="37">
        <v>38</v>
      </c>
      <c r="D3756" s="36">
        <f>base!H3756</f>
        <v>142.78</v>
      </c>
      <c r="E3756" s="44"/>
      <c r="F3756" s="16">
        <f>base!W3756</f>
        <v>38.549999999999997</v>
      </c>
      <c r="G3756" s="11">
        <f t="shared" si="580"/>
        <v>0.26999579773077459</v>
      </c>
      <c r="H3756" s="11">
        <f t="shared" si="581"/>
        <v>38.550600000000003</v>
      </c>
      <c r="I3756" s="11">
        <f t="shared" si="582"/>
        <v>0.27</v>
      </c>
      <c r="J3756" s="12">
        <f t="shared" si="583"/>
        <v>-6.0000000000570708E-4</v>
      </c>
      <c r="K3756" s="17" t="str">
        <f t="shared" si="588"/>
        <v>Ecart négatif</v>
      </c>
      <c r="L3756" s="16">
        <f>base!X3756</f>
        <v>0</v>
      </c>
      <c r="M3756" s="11">
        <f t="shared" si="584"/>
        <v>0</v>
      </c>
      <c r="N3756" s="11">
        <f t="shared" si="585"/>
        <v>0</v>
      </c>
      <c r="O3756" s="11">
        <f t="shared" si="586"/>
        <v>0</v>
      </c>
      <c r="P3756" s="12">
        <f t="shared" si="587"/>
        <v>0</v>
      </c>
      <c r="Q3756" s="17" t="str">
        <f t="shared" si="589"/>
        <v>Pas d'écart</v>
      </c>
    </row>
    <row r="3757" spans="1:18" x14ac:dyDescent="0.3">
      <c r="A3757" s="34" t="str">
        <f>base!J3757</f>
        <v>LS</v>
      </c>
      <c r="B3757" s="34" t="str">
        <f>base!V3757</f>
        <v>38290</v>
      </c>
      <c r="C3757" s="37">
        <v>38</v>
      </c>
      <c r="D3757" s="36">
        <f>base!H3757</f>
        <v>86.48</v>
      </c>
      <c r="E3757" s="44"/>
      <c r="F3757" s="16">
        <f>base!W3757</f>
        <v>23.35</v>
      </c>
      <c r="G3757" s="11">
        <f t="shared" si="580"/>
        <v>0.27000462534690101</v>
      </c>
      <c r="H3757" s="11">
        <f t="shared" si="581"/>
        <v>23.349600000000002</v>
      </c>
      <c r="I3757" s="11">
        <f t="shared" si="582"/>
        <v>0.27</v>
      </c>
      <c r="J3757" s="12">
        <f t="shared" si="583"/>
        <v>3.9999999999906777E-4</v>
      </c>
      <c r="K3757" s="17" t="str">
        <f t="shared" si="588"/>
        <v>Ecart positif</v>
      </c>
      <c r="L3757" s="16">
        <f>base!X3757</f>
        <v>0</v>
      </c>
      <c r="M3757" s="11">
        <f t="shared" si="584"/>
        <v>0</v>
      </c>
      <c r="N3757" s="11">
        <f t="shared" si="585"/>
        <v>0</v>
      </c>
      <c r="O3757" s="11">
        <f t="shared" si="586"/>
        <v>0</v>
      </c>
      <c r="P3757" s="12">
        <f t="shared" si="587"/>
        <v>0</v>
      </c>
      <c r="Q3757" s="17" t="str">
        <f t="shared" si="589"/>
        <v>Pas d'écart</v>
      </c>
    </row>
    <row r="3758" spans="1:18" x14ac:dyDescent="0.3">
      <c r="A3758" s="34" t="str">
        <f>base!J3758</f>
        <v>RM</v>
      </c>
      <c r="B3758" s="34" t="str">
        <f>base!V3758</f>
        <v>67000</v>
      </c>
      <c r="C3758" s="37">
        <v>67</v>
      </c>
      <c r="D3758" s="36">
        <f>base!H3758</f>
        <v>37.19</v>
      </c>
      <c r="E3758" s="44"/>
      <c r="F3758" s="16">
        <f>base!W3758</f>
        <v>0</v>
      </c>
      <c r="G3758" s="11">
        <f t="shared" si="580"/>
        <v>0</v>
      </c>
      <c r="H3758" s="11">
        <f t="shared" si="581"/>
        <v>10.785099999999998</v>
      </c>
      <c r="I3758" s="11">
        <f t="shared" si="582"/>
        <v>0.28999999999999998</v>
      </c>
      <c r="J3758" s="12">
        <f t="shared" si="583"/>
        <v>-10.785099999999998</v>
      </c>
      <c r="K3758" s="17" t="str">
        <f t="shared" si="588"/>
        <v>Ecart négatif</v>
      </c>
      <c r="L3758" s="16">
        <f>base!X3758</f>
        <v>0</v>
      </c>
      <c r="M3758" s="11">
        <f t="shared" si="584"/>
        <v>0</v>
      </c>
      <c r="N3758" s="11">
        <f t="shared" si="585"/>
        <v>2.9752000000000001</v>
      </c>
      <c r="O3758" s="11">
        <f t="shared" si="586"/>
        <v>0.08</v>
      </c>
      <c r="P3758" s="12">
        <f t="shared" si="587"/>
        <v>-2.9752000000000001</v>
      </c>
      <c r="Q3758" s="17" t="str">
        <f t="shared" si="589"/>
        <v>Ecart négatif</v>
      </c>
    </row>
    <row r="3759" spans="1:18" x14ac:dyDescent="0.3">
      <c r="A3759" s="34" t="str">
        <f>base!J3759</f>
        <v>LS</v>
      </c>
      <c r="B3759" s="34" t="str">
        <f>base!V3759</f>
        <v>38500</v>
      </c>
      <c r="C3759" s="37">
        <v>38</v>
      </c>
      <c r="D3759" s="36">
        <f>base!H3759</f>
        <v>40</v>
      </c>
      <c r="E3759" s="44"/>
      <c r="F3759" s="16">
        <f>base!W3759</f>
        <v>10.8</v>
      </c>
      <c r="G3759" s="11">
        <f t="shared" si="580"/>
        <v>0.27</v>
      </c>
      <c r="H3759" s="11">
        <f t="shared" si="581"/>
        <v>10.8</v>
      </c>
      <c r="I3759" s="11">
        <f t="shared" si="582"/>
        <v>0.27</v>
      </c>
      <c r="J3759" s="12">
        <f t="shared" si="583"/>
        <v>0</v>
      </c>
      <c r="K3759" s="17" t="str">
        <f t="shared" si="588"/>
        <v>Pas d'écart</v>
      </c>
      <c r="L3759" s="16">
        <f>base!X3759</f>
        <v>0</v>
      </c>
      <c r="M3759" s="11">
        <f t="shared" si="584"/>
        <v>0</v>
      </c>
      <c r="N3759" s="11">
        <f t="shared" si="585"/>
        <v>0</v>
      </c>
      <c r="O3759" s="11">
        <f t="shared" si="586"/>
        <v>0</v>
      </c>
      <c r="P3759" s="12">
        <f t="shared" si="587"/>
        <v>0</v>
      </c>
      <c r="Q3759" s="17" t="str">
        <f t="shared" si="589"/>
        <v>Pas d'écart</v>
      </c>
    </row>
    <row r="3760" spans="1:18" x14ac:dyDescent="0.3">
      <c r="A3760" s="34" t="str">
        <f>base!J3760</f>
        <v>RM</v>
      </c>
      <c r="B3760" s="34" t="str">
        <f>base!V3760</f>
        <v>77600</v>
      </c>
      <c r="C3760" s="37">
        <v>77</v>
      </c>
      <c r="D3760" s="36">
        <f>base!H3760</f>
        <v>151</v>
      </c>
      <c r="E3760" s="44"/>
      <c r="F3760" s="16">
        <f>base!W3760</f>
        <v>0</v>
      </c>
      <c r="G3760" s="11">
        <f t="shared" si="580"/>
        <v>0</v>
      </c>
      <c r="H3760" s="11">
        <f t="shared" si="581"/>
        <v>0</v>
      </c>
      <c r="I3760" s="11">
        <f t="shared" si="582"/>
        <v>0</v>
      </c>
      <c r="J3760" s="12">
        <f t="shared" si="583"/>
        <v>0</v>
      </c>
      <c r="K3760" s="17" t="str">
        <f t="shared" si="588"/>
        <v>Pas d'écart</v>
      </c>
      <c r="L3760" s="16">
        <f>base!X3760</f>
        <v>0</v>
      </c>
      <c r="M3760" s="11">
        <f t="shared" si="584"/>
        <v>0</v>
      </c>
      <c r="N3760" s="11">
        <f t="shared" si="585"/>
        <v>0</v>
      </c>
      <c r="O3760" s="11">
        <f t="shared" si="586"/>
        <v>0</v>
      </c>
      <c r="P3760" s="12">
        <f t="shared" si="587"/>
        <v>0</v>
      </c>
      <c r="Q3760" s="17" t="str">
        <f t="shared" si="589"/>
        <v>Pas d'écart</v>
      </c>
    </row>
    <row r="3761" spans="1:18" x14ac:dyDescent="0.3">
      <c r="A3761" s="34" t="str">
        <f>base!J3761</f>
        <v>RS</v>
      </c>
      <c r="B3761" s="34" t="str">
        <f>base!V3761</f>
        <v>69100</v>
      </c>
      <c r="C3761" s="37">
        <v>69</v>
      </c>
      <c r="D3761" s="36">
        <f>base!H3761</f>
        <v>90.99</v>
      </c>
      <c r="E3761" s="44"/>
      <c r="F3761" s="16">
        <f>base!W3761</f>
        <v>0</v>
      </c>
      <c r="G3761" s="11">
        <f t="shared" si="580"/>
        <v>0</v>
      </c>
      <c r="H3761" s="11">
        <f t="shared" si="581"/>
        <v>24.567299999999999</v>
      </c>
      <c r="I3761" s="11">
        <f t="shared" si="582"/>
        <v>0.27</v>
      </c>
      <c r="J3761" s="12">
        <f t="shared" si="583"/>
        <v>-24.567299999999999</v>
      </c>
      <c r="K3761" s="17" t="str">
        <f t="shared" si="588"/>
        <v>Ecart négatif</v>
      </c>
      <c r="L3761" s="16">
        <f>base!X3761</f>
        <v>0</v>
      </c>
      <c r="M3761" s="11">
        <f t="shared" si="584"/>
        <v>0</v>
      </c>
      <c r="N3761" s="11">
        <f t="shared" si="585"/>
        <v>0</v>
      </c>
      <c r="O3761" s="11">
        <f t="shared" si="586"/>
        <v>0</v>
      </c>
      <c r="P3761" s="12">
        <f t="shared" si="587"/>
        <v>0</v>
      </c>
      <c r="Q3761" s="17" t="str">
        <f t="shared" si="589"/>
        <v>Pas d'écart</v>
      </c>
    </row>
    <row r="3762" spans="1:18" x14ac:dyDescent="0.3">
      <c r="A3762" s="34" t="str">
        <f>base!J3762</f>
        <v>RS</v>
      </c>
      <c r="B3762" s="34" t="str">
        <f>base!V3762</f>
        <v>62120</v>
      </c>
      <c r="C3762" s="37">
        <v>62</v>
      </c>
      <c r="D3762" s="36">
        <f>base!H3762</f>
        <v>40</v>
      </c>
      <c r="E3762" s="44"/>
      <c r="F3762" s="16">
        <f>base!W3762</f>
        <v>0</v>
      </c>
      <c r="G3762" s="11">
        <f t="shared" si="580"/>
        <v>0</v>
      </c>
      <c r="H3762" s="11">
        <f t="shared" si="581"/>
        <v>7.6</v>
      </c>
      <c r="I3762" s="11">
        <f t="shared" si="582"/>
        <v>0.19</v>
      </c>
      <c r="J3762" s="12">
        <f t="shared" si="583"/>
        <v>-7.6</v>
      </c>
      <c r="K3762" s="17" t="str">
        <f t="shared" si="588"/>
        <v>Ecart négatif</v>
      </c>
      <c r="L3762" s="16">
        <f>base!X3762</f>
        <v>0</v>
      </c>
      <c r="M3762" s="11">
        <f t="shared" si="584"/>
        <v>0</v>
      </c>
      <c r="N3762" s="11">
        <f t="shared" si="585"/>
        <v>0</v>
      </c>
      <c r="O3762" s="11">
        <f t="shared" si="586"/>
        <v>0</v>
      </c>
      <c r="P3762" s="12">
        <f t="shared" si="587"/>
        <v>0</v>
      </c>
      <c r="Q3762" s="17" t="str">
        <f t="shared" si="589"/>
        <v>Pas d'écart</v>
      </c>
    </row>
    <row r="3763" spans="1:18" x14ac:dyDescent="0.3">
      <c r="A3763" s="34" t="str">
        <f>base!J3763</f>
        <v>LM</v>
      </c>
      <c r="B3763" s="34" t="str">
        <f>base!V3763</f>
        <v>14200</v>
      </c>
      <c r="C3763" s="37">
        <v>38</v>
      </c>
      <c r="D3763" s="36">
        <f>base!H3763</f>
        <v>55.16</v>
      </c>
      <c r="E3763" s="44"/>
      <c r="F3763" s="16">
        <f>base!W3763</f>
        <v>9.3800000000000008</v>
      </c>
      <c r="G3763" s="11">
        <f t="shared" si="580"/>
        <v>0.17005076142131983</v>
      </c>
      <c r="H3763" s="11">
        <f t="shared" si="581"/>
        <v>14.8932</v>
      </c>
      <c r="I3763" s="11">
        <f t="shared" si="582"/>
        <v>0.27</v>
      </c>
      <c r="J3763" s="12">
        <f t="shared" si="583"/>
        <v>-5.5131999999999994</v>
      </c>
      <c r="K3763" s="17" t="str">
        <f t="shared" si="588"/>
        <v>Ecart négatif</v>
      </c>
      <c r="L3763" s="16">
        <f>base!X3763</f>
        <v>0</v>
      </c>
      <c r="M3763" s="11">
        <f t="shared" si="584"/>
        <v>0</v>
      </c>
      <c r="N3763" s="11">
        <f t="shared" si="585"/>
        <v>0</v>
      </c>
      <c r="O3763" s="11">
        <f t="shared" si="586"/>
        <v>0</v>
      </c>
      <c r="P3763" s="12">
        <f t="shared" si="587"/>
        <v>0</v>
      </c>
      <c r="Q3763" s="17" t="str">
        <f t="shared" si="589"/>
        <v>Pas d'écart</v>
      </c>
    </row>
    <row r="3764" spans="1:18" x14ac:dyDescent="0.3">
      <c r="A3764" s="34" t="str">
        <f>base!J3764</f>
        <v>LM</v>
      </c>
      <c r="B3764" s="34" t="str">
        <f>base!V3764</f>
        <v>61250</v>
      </c>
      <c r="C3764" s="37">
        <v>38</v>
      </c>
      <c r="D3764" s="36">
        <f>base!H3764</f>
        <v>194.11</v>
      </c>
      <c r="E3764" s="44"/>
      <c r="F3764" s="16">
        <f>base!W3764</f>
        <v>33</v>
      </c>
      <c r="G3764" s="11">
        <f t="shared" si="580"/>
        <v>0.17000669723352738</v>
      </c>
      <c r="H3764" s="11">
        <f t="shared" si="581"/>
        <v>52.409700000000008</v>
      </c>
      <c r="I3764" s="11">
        <f t="shared" si="582"/>
        <v>0.27</v>
      </c>
      <c r="J3764" s="12">
        <f t="shared" si="583"/>
        <v>-19.409700000000008</v>
      </c>
      <c r="K3764" s="17" t="str">
        <f t="shared" si="588"/>
        <v>Ecart négatif</v>
      </c>
      <c r="L3764" s="16">
        <f>base!X3764</f>
        <v>0</v>
      </c>
      <c r="M3764" s="11">
        <f t="shared" si="584"/>
        <v>0</v>
      </c>
      <c r="N3764" s="11">
        <f t="shared" si="585"/>
        <v>0</v>
      </c>
      <c r="O3764" s="11">
        <f t="shared" si="586"/>
        <v>0</v>
      </c>
      <c r="P3764" s="12">
        <f t="shared" si="587"/>
        <v>0</v>
      </c>
      <c r="Q3764" s="17" t="str">
        <f t="shared" si="589"/>
        <v>Pas d'écart</v>
      </c>
    </row>
    <row r="3765" spans="1:18" x14ac:dyDescent="0.3">
      <c r="A3765" s="34" t="str">
        <f>base!J3765</f>
        <v>RS</v>
      </c>
      <c r="B3765" s="34" t="str">
        <f>base!V3765</f>
        <v>77380</v>
      </c>
      <c r="C3765" s="37">
        <v>77</v>
      </c>
      <c r="D3765" s="36">
        <f>base!H3765</f>
        <v>62.1</v>
      </c>
      <c r="E3765" s="44"/>
      <c r="F3765" s="16">
        <f>base!W3765</f>
        <v>0</v>
      </c>
      <c r="G3765" s="11">
        <f t="shared" si="580"/>
        <v>0</v>
      </c>
      <c r="H3765" s="11">
        <f t="shared" si="581"/>
        <v>0</v>
      </c>
      <c r="I3765" s="11">
        <f t="shared" si="582"/>
        <v>0</v>
      </c>
      <c r="J3765" s="12">
        <f t="shared" si="583"/>
        <v>0</v>
      </c>
      <c r="K3765" s="17" t="str">
        <f t="shared" si="588"/>
        <v>Pas d'écart</v>
      </c>
      <c r="L3765" s="16">
        <f>base!X3765</f>
        <v>0</v>
      </c>
      <c r="M3765" s="11">
        <f t="shared" si="584"/>
        <v>0</v>
      </c>
      <c r="N3765" s="11">
        <f t="shared" si="585"/>
        <v>0</v>
      </c>
      <c r="O3765" s="11">
        <f t="shared" si="586"/>
        <v>0</v>
      </c>
      <c r="P3765" s="12">
        <f t="shared" si="587"/>
        <v>0</v>
      </c>
      <c r="Q3765" s="17" t="str">
        <f t="shared" si="589"/>
        <v>Pas d'écart</v>
      </c>
    </row>
    <row r="3766" spans="1:18" x14ac:dyDescent="0.3">
      <c r="A3766" s="34" t="str">
        <f>base!J3766</f>
        <v>RM</v>
      </c>
      <c r="B3766" s="34" t="str">
        <f>base!V3766</f>
        <v>04200</v>
      </c>
      <c r="C3766" s="37">
        <v>4</v>
      </c>
      <c r="D3766" s="36">
        <f>base!H3766</f>
        <v>32</v>
      </c>
      <c r="E3766" s="44"/>
      <c r="F3766" s="16">
        <f>base!W3766</f>
        <v>0</v>
      </c>
      <c r="G3766" s="11">
        <f t="shared" si="580"/>
        <v>0</v>
      </c>
      <c r="H3766" s="11">
        <f t="shared" si="581"/>
        <v>9.2799999999999994</v>
      </c>
      <c r="I3766" s="11">
        <f t="shared" si="582"/>
        <v>0.28999999999999998</v>
      </c>
      <c r="J3766" s="12">
        <f t="shared" si="583"/>
        <v>-9.2799999999999994</v>
      </c>
      <c r="K3766" s="17" t="str">
        <f t="shared" si="588"/>
        <v>Ecart négatif</v>
      </c>
      <c r="L3766" s="16">
        <f>base!X3766</f>
        <v>8.64</v>
      </c>
      <c r="M3766" s="11">
        <f t="shared" si="584"/>
        <v>0.27</v>
      </c>
      <c r="N3766" s="11">
        <f t="shared" si="585"/>
        <v>6.08</v>
      </c>
      <c r="O3766" s="11">
        <f t="shared" si="586"/>
        <v>0.19</v>
      </c>
      <c r="P3766" s="12">
        <f t="shared" si="587"/>
        <v>2.5600000000000005</v>
      </c>
      <c r="Q3766" s="17" t="str">
        <f t="shared" si="589"/>
        <v>Ecart positif</v>
      </c>
      <c r="R3766" s="38"/>
    </row>
    <row r="3767" spans="1:18" x14ac:dyDescent="0.3">
      <c r="A3767" s="34" t="str">
        <f>base!J3767</f>
        <v>RS</v>
      </c>
      <c r="B3767" s="34" t="str">
        <f>base!V3767</f>
        <v>21800</v>
      </c>
      <c r="C3767" s="37">
        <v>21</v>
      </c>
      <c r="D3767" s="36">
        <f>base!H3767</f>
        <v>190.59</v>
      </c>
      <c r="E3767" s="44"/>
      <c r="F3767" s="16">
        <f>base!W3767</f>
        <v>0</v>
      </c>
      <c r="G3767" s="11">
        <f t="shared" si="580"/>
        <v>0</v>
      </c>
      <c r="H3767" s="11">
        <f t="shared" si="581"/>
        <v>45.741599999999998</v>
      </c>
      <c r="I3767" s="11">
        <f t="shared" si="582"/>
        <v>0.24</v>
      </c>
      <c r="J3767" s="12">
        <f t="shared" si="583"/>
        <v>-45.741599999999998</v>
      </c>
      <c r="K3767" s="17" t="str">
        <f t="shared" si="588"/>
        <v>Ecart négatif</v>
      </c>
      <c r="L3767" s="16">
        <f>base!X3767</f>
        <v>0</v>
      </c>
      <c r="M3767" s="11">
        <f t="shared" si="584"/>
        <v>0</v>
      </c>
      <c r="N3767" s="11">
        <f t="shared" si="585"/>
        <v>22.870799999999999</v>
      </c>
      <c r="O3767" s="11">
        <f t="shared" si="586"/>
        <v>0.12</v>
      </c>
      <c r="P3767" s="12">
        <f t="shared" si="587"/>
        <v>-22.870799999999999</v>
      </c>
      <c r="Q3767" s="17" t="str">
        <f t="shared" si="589"/>
        <v>Ecart négatif</v>
      </c>
    </row>
    <row r="3768" spans="1:18" x14ac:dyDescent="0.3">
      <c r="A3768" s="34" t="str">
        <f>base!J3768</f>
        <v>RS</v>
      </c>
      <c r="B3768" s="34" t="str">
        <f>base!V3768</f>
        <v>69120</v>
      </c>
      <c r="C3768" s="37">
        <v>69</v>
      </c>
      <c r="D3768" s="36">
        <f>base!H3768</f>
        <v>151</v>
      </c>
      <c r="E3768" s="44"/>
      <c r="F3768" s="16">
        <f>base!W3768</f>
        <v>0</v>
      </c>
      <c r="G3768" s="11">
        <f t="shared" si="580"/>
        <v>0</v>
      </c>
      <c r="H3768" s="11">
        <f t="shared" si="581"/>
        <v>40.770000000000003</v>
      </c>
      <c r="I3768" s="11">
        <f t="shared" si="582"/>
        <v>0.27</v>
      </c>
      <c r="J3768" s="12">
        <f t="shared" si="583"/>
        <v>-40.770000000000003</v>
      </c>
      <c r="K3768" s="17" t="str">
        <f t="shared" si="588"/>
        <v>Ecart négatif</v>
      </c>
      <c r="L3768" s="16">
        <f>base!X3768</f>
        <v>0</v>
      </c>
      <c r="M3768" s="11">
        <f t="shared" si="584"/>
        <v>0</v>
      </c>
      <c r="N3768" s="11">
        <f t="shared" si="585"/>
        <v>0</v>
      </c>
      <c r="O3768" s="11">
        <f t="shared" si="586"/>
        <v>0</v>
      </c>
      <c r="P3768" s="12">
        <f t="shared" si="587"/>
        <v>0</v>
      </c>
      <c r="Q3768" s="17" t="str">
        <f t="shared" si="589"/>
        <v>Pas d'écart</v>
      </c>
    </row>
    <row r="3769" spans="1:18" x14ac:dyDescent="0.3">
      <c r="A3769" s="34" t="str">
        <f>base!J3769</f>
        <v>RM</v>
      </c>
      <c r="B3769" s="34" t="str">
        <f>base!V3769</f>
        <v>76140</v>
      </c>
      <c r="C3769" s="37">
        <v>76</v>
      </c>
      <c r="D3769" s="36">
        <f>base!H3769</f>
        <v>195.02</v>
      </c>
      <c r="E3769" s="44"/>
      <c r="F3769" s="16">
        <f>base!W3769</f>
        <v>0</v>
      </c>
      <c r="G3769" s="11">
        <f t="shared" si="580"/>
        <v>0</v>
      </c>
      <c r="H3769" s="11">
        <f t="shared" si="581"/>
        <v>33.153400000000005</v>
      </c>
      <c r="I3769" s="11">
        <f t="shared" si="582"/>
        <v>0.17</v>
      </c>
      <c r="J3769" s="12">
        <f t="shared" si="583"/>
        <v>-33.153400000000005</v>
      </c>
      <c r="K3769" s="17" t="str">
        <f t="shared" si="588"/>
        <v>Ecart négatif</v>
      </c>
      <c r="L3769" s="16">
        <f>base!X3769</f>
        <v>33.15</v>
      </c>
      <c r="M3769" s="11">
        <f t="shared" si="584"/>
        <v>0.16998256589067787</v>
      </c>
      <c r="N3769" s="11">
        <f t="shared" si="585"/>
        <v>33.153400000000005</v>
      </c>
      <c r="O3769" s="11">
        <f t="shared" si="586"/>
        <v>0.17</v>
      </c>
      <c r="P3769" s="12">
        <f t="shared" si="587"/>
        <v>-3.4000000000062869E-3</v>
      </c>
      <c r="Q3769" s="17" t="str">
        <f t="shared" si="589"/>
        <v>Ecart négatif</v>
      </c>
      <c r="R3769" s="38"/>
    </row>
    <row r="3770" spans="1:18" x14ac:dyDescent="0.3">
      <c r="A3770" s="34" t="str">
        <f>base!J3770</f>
        <v>RS</v>
      </c>
      <c r="B3770" s="34" t="str">
        <f>base!V3770</f>
        <v>38000</v>
      </c>
      <c r="C3770" s="37">
        <v>38</v>
      </c>
      <c r="D3770" s="36">
        <f>base!H3770</f>
        <v>24.8</v>
      </c>
      <c r="E3770" s="44"/>
      <c r="F3770" s="16">
        <f>base!W3770</f>
        <v>0</v>
      </c>
      <c r="G3770" s="11">
        <f t="shared" si="580"/>
        <v>0</v>
      </c>
      <c r="H3770" s="11">
        <f t="shared" si="581"/>
        <v>6.6960000000000006</v>
      </c>
      <c r="I3770" s="11">
        <f t="shared" si="582"/>
        <v>0.27</v>
      </c>
      <c r="J3770" s="12">
        <f t="shared" si="583"/>
        <v>-6.6960000000000006</v>
      </c>
      <c r="K3770" s="17" t="str">
        <f t="shared" si="588"/>
        <v>Ecart négatif</v>
      </c>
      <c r="L3770" s="16">
        <f>base!X3770</f>
        <v>0</v>
      </c>
      <c r="M3770" s="11">
        <f t="shared" si="584"/>
        <v>0</v>
      </c>
      <c r="N3770" s="11">
        <f t="shared" si="585"/>
        <v>0</v>
      </c>
      <c r="O3770" s="11">
        <f t="shared" si="586"/>
        <v>0</v>
      </c>
      <c r="P3770" s="12">
        <f t="shared" si="587"/>
        <v>0</v>
      </c>
      <c r="Q3770" s="17" t="str">
        <f t="shared" si="589"/>
        <v>Pas d'écart</v>
      </c>
    </row>
    <row r="3771" spans="1:18" x14ac:dyDescent="0.3">
      <c r="A3771" s="34" t="str">
        <f>base!J3771</f>
        <v>RS</v>
      </c>
      <c r="B3771" s="34" t="str">
        <f>base!V3771</f>
        <v>69800</v>
      </c>
      <c r="C3771" s="37">
        <v>69</v>
      </c>
      <c r="D3771" s="36">
        <f>base!H3771</f>
        <v>205</v>
      </c>
      <c r="E3771" s="44"/>
      <c r="F3771" s="16">
        <f>base!W3771</f>
        <v>0</v>
      </c>
      <c r="G3771" s="11">
        <f t="shared" si="580"/>
        <v>0</v>
      </c>
      <c r="H3771" s="11">
        <f t="shared" si="581"/>
        <v>55.35</v>
      </c>
      <c r="I3771" s="11">
        <f t="shared" si="582"/>
        <v>0.27</v>
      </c>
      <c r="J3771" s="12">
        <f t="shared" si="583"/>
        <v>-55.35</v>
      </c>
      <c r="K3771" s="17" t="str">
        <f t="shared" si="588"/>
        <v>Ecart négatif</v>
      </c>
      <c r="L3771" s="16">
        <f>base!X3771</f>
        <v>0</v>
      </c>
      <c r="M3771" s="11">
        <f t="shared" si="584"/>
        <v>0</v>
      </c>
      <c r="N3771" s="11">
        <f t="shared" si="585"/>
        <v>0</v>
      </c>
      <c r="O3771" s="11">
        <f t="shared" si="586"/>
        <v>0</v>
      </c>
      <c r="P3771" s="12">
        <f t="shared" si="587"/>
        <v>0</v>
      </c>
      <c r="Q3771" s="17" t="str">
        <f t="shared" si="589"/>
        <v>Pas d'écart</v>
      </c>
    </row>
    <row r="3772" spans="1:18" x14ac:dyDescent="0.3">
      <c r="A3772" s="34" t="str">
        <f>base!J3772</f>
        <v>RM</v>
      </c>
      <c r="B3772" s="34" t="str">
        <f>base!V3772</f>
        <v>50000</v>
      </c>
      <c r="C3772" s="37">
        <v>50</v>
      </c>
      <c r="D3772" s="36">
        <f>base!H3772</f>
        <v>180</v>
      </c>
      <c r="E3772" s="44"/>
      <c r="F3772" s="16">
        <f>base!W3772</f>
        <v>0</v>
      </c>
      <c r="G3772" s="11">
        <f t="shared" si="580"/>
        <v>0</v>
      </c>
      <c r="H3772" s="11">
        <f t="shared" si="581"/>
        <v>30.6</v>
      </c>
      <c r="I3772" s="11">
        <f t="shared" si="582"/>
        <v>0.17</v>
      </c>
      <c r="J3772" s="12">
        <f t="shared" si="583"/>
        <v>-30.6</v>
      </c>
      <c r="K3772" s="17" t="str">
        <f t="shared" si="588"/>
        <v>Ecart négatif</v>
      </c>
      <c r="L3772" s="16">
        <f>base!X3772</f>
        <v>30.6</v>
      </c>
      <c r="M3772" s="11">
        <f t="shared" si="584"/>
        <v>0.17</v>
      </c>
      <c r="N3772" s="11">
        <f t="shared" si="585"/>
        <v>30.6</v>
      </c>
      <c r="O3772" s="11">
        <f t="shared" si="586"/>
        <v>0.17</v>
      </c>
      <c r="P3772" s="12">
        <f t="shared" si="587"/>
        <v>0</v>
      </c>
      <c r="Q3772" s="17" t="str">
        <f t="shared" si="589"/>
        <v>Pas d'écart</v>
      </c>
    </row>
    <row r="3773" spans="1:18" x14ac:dyDescent="0.3">
      <c r="A3773" s="34" t="str">
        <f>base!J3773</f>
        <v>LS</v>
      </c>
      <c r="B3773" s="34" t="str">
        <f>base!V3773</f>
        <v>33700</v>
      </c>
      <c r="C3773" s="37">
        <v>38</v>
      </c>
      <c r="D3773" s="36">
        <f>base!H3773</f>
        <v>59.73</v>
      </c>
      <c r="E3773" s="44"/>
      <c r="F3773" s="16">
        <f>base!W3773</f>
        <v>12.54</v>
      </c>
      <c r="G3773" s="11">
        <f t="shared" si="580"/>
        <v>0.20994475138121546</v>
      </c>
      <c r="H3773" s="11">
        <f t="shared" si="581"/>
        <v>16.127099999999999</v>
      </c>
      <c r="I3773" s="11">
        <f t="shared" si="582"/>
        <v>0.27</v>
      </c>
      <c r="J3773" s="12">
        <f t="shared" si="583"/>
        <v>-3.5870999999999995</v>
      </c>
      <c r="K3773" s="17" t="str">
        <f t="shared" si="588"/>
        <v>Ecart négatif</v>
      </c>
      <c r="L3773" s="16">
        <f>base!X3773</f>
        <v>0</v>
      </c>
      <c r="M3773" s="11">
        <f t="shared" si="584"/>
        <v>0</v>
      </c>
      <c r="N3773" s="11">
        <f t="shared" si="585"/>
        <v>0</v>
      </c>
      <c r="O3773" s="11">
        <f t="shared" si="586"/>
        <v>0</v>
      </c>
      <c r="P3773" s="12">
        <f t="shared" si="587"/>
        <v>0</v>
      </c>
      <c r="Q3773" s="17" t="str">
        <f t="shared" si="589"/>
        <v>Pas d'écart</v>
      </c>
    </row>
    <row r="3774" spans="1:18" x14ac:dyDescent="0.3">
      <c r="A3774" s="34" t="str">
        <f>base!J3774</f>
        <v>RM</v>
      </c>
      <c r="B3774" s="34" t="str">
        <f>base!V3774</f>
        <v>68290</v>
      </c>
      <c r="C3774" s="37">
        <v>68</v>
      </c>
      <c r="D3774" s="36">
        <f>base!H3774</f>
        <v>126</v>
      </c>
      <c r="E3774" s="44"/>
      <c r="F3774" s="16">
        <f>base!W3774</f>
        <v>0</v>
      </c>
      <c r="G3774" s="11">
        <f t="shared" si="580"/>
        <v>0</v>
      </c>
      <c r="H3774" s="11">
        <f t="shared" si="581"/>
        <v>36.54</v>
      </c>
      <c r="I3774" s="11">
        <f t="shared" si="582"/>
        <v>0.28999999999999998</v>
      </c>
      <c r="J3774" s="12">
        <f t="shared" si="583"/>
        <v>-36.54</v>
      </c>
      <c r="K3774" s="17" t="str">
        <f t="shared" si="588"/>
        <v>Ecart négatif</v>
      </c>
      <c r="L3774" s="16">
        <f>base!X3774</f>
        <v>10.08</v>
      </c>
      <c r="M3774" s="11">
        <f t="shared" si="584"/>
        <v>0.08</v>
      </c>
      <c r="N3774" s="11">
        <f t="shared" si="585"/>
        <v>10.08</v>
      </c>
      <c r="O3774" s="11">
        <f t="shared" si="586"/>
        <v>0.08</v>
      </c>
      <c r="P3774" s="12">
        <f t="shared" si="587"/>
        <v>0</v>
      </c>
      <c r="Q3774" s="17" t="str">
        <f t="shared" si="589"/>
        <v>Pas d'écart</v>
      </c>
      <c r="R3774" s="38"/>
    </row>
    <row r="3775" spans="1:18" x14ac:dyDescent="0.3">
      <c r="A3775" s="34" t="str">
        <f>base!J3775</f>
        <v>LS</v>
      </c>
      <c r="B3775" s="34" t="str">
        <f>base!V3775</f>
        <v>06000</v>
      </c>
      <c r="C3775" s="37">
        <v>57</v>
      </c>
      <c r="D3775" s="36">
        <f>base!H3775</f>
        <v>5.6</v>
      </c>
      <c r="E3775" s="44"/>
      <c r="F3775" s="16">
        <f>base!W3775</f>
        <v>1.68</v>
      </c>
      <c r="G3775" s="11">
        <f t="shared" si="580"/>
        <v>0.3</v>
      </c>
      <c r="H3775" s="11">
        <f t="shared" si="581"/>
        <v>1.3439999999999999</v>
      </c>
      <c r="I3775" s="11">
        <f t="shared" si="582"/>
        <v>0.24</v>
      </c>
      <c r="J3775" s="12">
        <f t="shared" si="583"/>
        <v>0.33600000000000008</v>
      </c>
      <c r="K3775" s="17" t="str">
        <f t="shared" si="588"/>
        <v>Ecart positif</v>
      </c>
      <c r="L3775" s="16">
        <f>base!X3775</f>
        <v>0</v>
      </c>
      <c r="M3775" s="11">
        <f t="shared" si="584"/>
        <v>0</v>
      </c>
      <c r="N3775" s="11">
        <f t="shared" si="585"/>
        <v>1.4</v>
      </c>
      <c r="O3775" s="11">
        <f t="shared" si="586"/>
        <v>0.25</v>
      </c>
      <c r="P3775" s="12">
        <f t="shared" si="587"/>
        <v>-1.4</v>
      </c>
      <c r="Q3775" s="17" t="str">
        <f t="shared" si="589"/>
        <v>Ecart négatif</v>
      </c>
    </row>
    <row r="3776" spans="1:18" x14ac:dyDescent="0.3">
      <c r="A3776" s="34" t="str">
        <f>base!J3776</f>
        <v>RS</v>
      </c>
      <c r="B3776" s="34" t="str">
        <f>base!V3776</f>
        <v>86170</v>
      </c>
      <c r="C3776" s="37">
        <v>86</v>
      </c>
      <c r="D3776" s="36">
        <f>base!H3776</f>
        <v>192.88</v>
      </c>
      <c r="E3776" s="44"/>
      <c r="F3776" s="16">
        <f>base!W3776</f>
        <v>0</v>
      </c>
      <c r="G3776" s="11">
        <f t="shared" si="580"/>
        <v>0</v>
      </c>
      <c r="H3776" s="11">
        <f t="shared" si="581"/>
        <v>40.504799999999996</v>
      </c>
      <c r="I3776" s="11">
        <f t="shared" si="582"/>
        <v>0.21</v>
      </c>
      <c r="J3776" s="12">
        <f t="shared" si="583"/>
        <v>-40.504799999999996</v>
      </c>
      <c r="K3776" s="17" t="str">
        <f t="shared" si="588"/>
        <v>Ecart négatif</v>
      </c>
      <c r="L3776" s="16">
        <f>base!X3776</f>
        <v>0</v>
      </c>
      <c r="M3776" s="11">
        <f t="shared" si="584"/>
        <v>0</v>
      </c>
      <c r="N3776" s="11">
        <f t="shared" si="585"/>
        <v>23.145599999999998</v>
      </c>
      <c r="O3776" s="11">
        <f t="shared" si="586"/>
        <v>0.12</v>
      </c>
      <c r="P3776" s="12">
        <f t="shared" si="587"/>
        <v>-23.145599999999998</v>
      </c>
      <c r="Q3776" s="17" t="str">
        <f t="shared" si="589"/>
        <v>Ecart négatif</v>
      </c>
    </row>
    <row r="3777" spans="1:18" x14ac:dyDescent="0.3">
      <c r="A3777" s="34" t="str">
        <f>base!J3777</f>
        <v>RS</v>
      </c>
      <c r="B3777" s="34" t="str">
        <f>base!V3777</f>
        <v>31700</v>
      </c>
      <c r="C3777" s="37">
        <v>31</v>
      </c>
      <c r="D3777" s="36">
        <f>base!H3777</f>
        <v>46.66</v>
      </c>
      <c r="E3777" s="44"/>
      <c r="F3777" s="16">
        <f>base!W3777</f>
        <v>0</v>
      </c>
      <c r="G3777" s="11">
        <f t="shared" si="580"/>
        <v>0</v>
      </c>
      <c r="H3777" s="11">
        <f t="shared" si="581"/>
        <v>8.8653999999999993</v>
      </c>
      <c r="I3777" s="11">
        <f t="shared" si="582"/>
        <v>0.19</v>
      </c>
      <c r="J3777" s="12">
        <f t="shared" si="583"/>
        <v>-8.8653999999999993</v>
      </c>
      <c r="K3777" s="17" t="str">
        <f t="shared" si="588"/>
        <v>Ecart négatif</v>
      </c>
      <c r="L3777" s="16">
        <f>base!X3777</f>
        <v>0</v>
      </c>
      <c r="M3777" s="11">
        <f t="shared" si="584"/>
        <v>0</v>
      </c>
      <c r="N3777" s="11">
        <f t="shared" si="585"/>
        <v>12.131599999999999</v>
      </c>
      <c r="O3777" s="11">
        <f t="shared" si="586"/>
        <v>0.26</v>
      </c>
      <c r="P3777" s="12">
        <f t="shared" si="587"/>
        <v>-12.131599999999999</v>
      </c>
      <c r="Q3777" s="17" t="str">
        <f t="shared" si="589"/>
        <v>Ecart négatif</v>
      </c>
    </row>
    <row r="3778" spans="1:18" x14ac:dyDescent="0.3">
      <c r="A3778" s="34" t="str">
        <f>base!J3778</f>
        <v>RM</v>
      </c>
      <c r="B3778" s="34" t="str">
        <f>base!V3778</f>
        <v>70000</v>
      </c>
      <c r="C3778" s="37">
        <v>70</v>
      </c>
      <c r="D3778" s="36">
        <f>base!H3778</f>
        <v>25</v>
      </c>
      <c r="E3778" s="44"/>
      <c r="F3778" s="16">
        <f>base!W3778</f>
        <v>0</v>
      </c>
      <c r="G3778" s="11">
        <f t="shared" ref="G3778:G3841" si="590">F3778/D3778</f>
        <v>0</v>
      </c>
      <c r="H3778" s="11">
        <f t="shared" ref="H3778:H3841" si="591">VLOOKUP(C3778,tout_cout_traction,2,FALSE)*D3778</f>
        <v>6</v>
      </c>
      <c r="I3778" s="11">
        <f t="shared" ref="I3778:I3841" si="592">H3778/D3778</f>
        <v>0.24</v>
      </c>
      <c r="J3778" s="12">
        <f t="shared" ref="J3778:J3841" si="593">F3778-H3778</f>
        <v>-6</v>
      </c>
      <c r="K3778" s="17" t="str">
        <f t="shared" si="588"/>
        <v>Ecart négatif</v>
      </c>
      <c r="L3778" s="16">
        <f>base!X3778</f>
        <v>0</v>
      </c>
      <c r="M3778" s="11">
        <f t="shared" ref="M3778:M3841" si="594">L3778/D3778</f>
        <v>0</v>
      </c>
      <c r="N3778" s="11">
        <f t="shared" ref="N3778:N3841" si="595">VLOOKUP(C3778,tout_cout_traction,3,FALSE)*D3778</f>
        <v>3</v>
      </c>
      <c r="O3778" s="11">
        <f t="shared" ref="O3778:O3841" si="596">N3778/D3778</f>
        <v>0.12</v>
      </c>
      <c r="P3778" s="12">
        <f t="shared" ref="P3778:P3841" si="597">L3778-N3778</f>
        <v>-3</v>
      </c>
      <c r="Q3778" s="17" t="str">
        <f t="shared" si="589"/>
        <v>Ecart négatif</v>
      </c>
    </row>
    <row r="3779" spans="1:18" x14ac:dyDescent="0.3">
      <c r="A3779" s="34" t="str">
        <f>base!J3779</f>
        <v>RM</v>
      </c>
      <c r="B3779" s="34" t="str">
        <f>base!V3779</f>
        <v>70000</v>
      </c>
      <c r="C3779" s="37">
        <v>70</v>
      </c>
      <c r="D3779" s="36">
        <f>base!H3779</f>
        <v>22.5</v>
      </c>
      <c r="E3779" s="44"/>
      <c r="F3779" s="16">
        <f>base!W3779</f>
        <v>0</v>
      </c>
      <c r="G3779" s="11">
        <f t="shared" si="590"/>
        <v>0</v>
      </c>
      <c r="H3779" s="11">
        <f t="shared" si="591"/>
        <v>5.3999999999999995</v>
      </c>
      <c r="I3779" s="11">
        <f t="shared" si="592"/>
        <v>0.23999999999999996</v>
      </c>
      <c r="J3779" s="12">
        <f t="shared" si="593"/>
        <v>-5.3999999999999995</v>
      </c>
      <c r="K3779" s="17" t="str">
        <f t="shared" ref="K3779:K3842" si="598">IF(H3779=F3779,"Pas d'écart",IF(H3779&lt;F3779,"Ecart positif",IF(H3779&gt;F3779,"Ecart négatif")))</f>
        <v>Ecart négatif</v>
      </c>
      <c r="L3779" s="16">
        <f>base!X3779</f>
        <v>0</v>
      </c>
      <c r="M3779" s="11">
        <f t="shared" si="594"/>
        <v>0</v>
      </c>
      <c r="N3779" s="11">
        <f t="shared" si="595"/>
        <v>2.6999999999999997</v>
      </c>
      <c r="O3779" s="11">
        <f t="shared" si="596"/>
        <v>0.11999999999999998</v>
      </c>
      <c r="P3779" s="12">
        <f t="shared" si="597"/>
        <v>-2.6999999999999997</v>
      </c>
      <c r="Q3779" s="17" t="str">
        <f t="shared" ref="Q3779:Q3842" si="599">IF(N3779=L3779,"Pas d'écart",IF(N3779&lt;L3779,"Ecart positif",IF(N3779&gt;L3779,"Ecart négatif")))</f>
        <v>Ecart négatif</v>
      </c>
    </row>
    <row r="3780" spans="1:18" x14ac:dyDescent="0.3">
      <c r="A3780" s="34" t="str">
        <f>base!J3780</f>
        <v>RS</v>
      </c>
      <c r="B3780" s="34" t="str">
        <f>base!V3780</f>
        <v>24650</v>
      </c>
      <c r="C3780" s="37">
        <v>24</v>
      </c>
      <c r="D3780" s="36">
        <f>base!H3780</f>
        <v>140</v>
      </c>
      <c r="E3780" s="44"/>
      <c r="F3780" s="16">
        <f>base!W3780</f>
        <v>0</v>
      </c>
      <c r="G3780" s="11">
        <f t="shared" si="590"/>
        <v>0</v>
      </c>
      <c r="H3780" s="11">
        <f t="shared" si="591"/>
        <v>29.4</v>
      </c>
      <c r="I3780" s="11">
        <f t="shared" si="592"/>
        <v>0.21</v>
      </c>
      <c r="J3780" s="12">
        <f t="shared" si="593"/>
        <v>-29.4</v>
      </c>
      <c r="K3780" s="17" t="str">
        <f t="shared" si="598"/>
        <v>Ecart négatif</v>
      </c>
      <c r="L3780" s="16">
        <f>base!X3780</f>
        <v>23.8</v>
      </c>
      <c r="M3780" s="11">
        <f t="shared" si="594"/>
        <v>0.17</v>
      </c>
      <c r="N3780" s="11">
        <f t="shared" si="595"/>
        <v>23.8</v>
      </c>
      <c r="O3780" s="11">
        <f t="shared" si="596"/>
        <v>0.17</v>
      </c>
      <c r="P3780" s="12">
        <f t="shared" si="597"/>
        <v>0</v>
      </c>
      <c r="Q3780" s="17" t="str">
        <f t="shared" si="599"/>
        <v>Pas d'écart</v>
      </c>
      <c r="R3780" s="38"/>
    </row>
    <row r="3781" spans="1:18" x14ac:dyDescent="0.3">
      <c r="A3781" s="34" t="str">
        <f>base!J3781</f>
        <v>LM</v>
      </c>
      <c r="B3781" s="34" t="str">
        <f>base!V3781</f>
        <v>92000</v>
      </c>
      <c r="C3781" s="37">
        <v>92</v>
      </c>
      <c r="D3781" s="36">
        <f>base!H3781</f>
        <v>50.84</v>
      </c>
      <c r="E3781" s="44"/>
      <c r="F3781" s="16">
        <f>base!W3781</f>
        <v>0</v>
      </c>
      <c r="G3781" s="11">
        <f t="shared" si="590"/>
        <v>0</v>
      </c>
      <c r="H3781" s="11">
        <f t="shared" si="591"/>
        <v>0</v>
      </c>
      <c r="I3781" s="11">
        <f t="shared" si="592"/>
        <v>0</v>
      </c>
      <c r="J3781" s="12">
        <f t="shared" si="593"/>
        <v>0</v>
      </c>
      <c r="K3781" s="17" t="str">
        <f t="shared" si="598"/>
        <v>Pas d'écart</v>
      </c>
      <c r="L3781" s="16">
        <f>base!X3781</f>
        <v>0</v>
      </c>
      <c r="M3781" s="11">
        <f t="shared" si="594"/>
        <v>0</v>
      </c>
      <c r="N3781" s="11">
        <f t="shared" si="595"/>
        <v>0</v>
      </c>
      <c r="O3781" s="11">
        <f t="shared" si="596"/>
        <v>0</v>
      </c>
      <c r="P3781" s="12">
        <f t="shared" si="597"/>
        <v>0</v>
      </c>
      <c r="Q3781" s="17" t="str">
        <f t="shared" si="599"/>
        <v>Pas d'écart</v>
      </c>
    </row>
    <row r="3782" spans="1:18" x14ac:dyDescent="0.3">
      <c r="A3782" s="34" t="str">
        <f>base!J3782</f>
        <v>RM</v>
      </c>
      <c r="B3782" s="34" t="str">
        <f>base!V3782</f>
        <v>34000</v>
      </c>
      <c r="C3782" s="37">
        <v>34</v>
      </c>
      <c r="D3782" s="36">
        <f>base!H3782</f>
        <v>135.85</v>
      </c>
      <c r="E3782" s="44"/>
      <c r="F3782" s="16">
        <f>base!W3782</f>
        <v>0</v>
      </c>
      <c r="G3782" s="11">
        <f t="shared" si="590"/>
        <v>0</v>
      </c>
      <c r="H3782" s="11">
        <f t="shared" si="591"/>
        <v>52.981499999999997</v>
      </c>
      <c r="I3782" s="11">
        <f t="shared" si="592"/>
        <v>0.39</v>
      </c>
      <c r="J3782" s="12">
        <f t="shared" si="593"/>
        <v>-52.981499999999997</v>
      </c>
      <c r="K3782" s="17" t="str">
        <f t="shared" si="598"/>
        <v>Ecart négatif</v>
      </c>
      <c r="L3782" s="16">
        <f>base!X3782</f>
        <v>38.04</v>
      </c>
      <c r="M3782" s="11">
        <f t="shared" si="594"/>
        <v>0.28001472211998529</v>
      </c>
      <c r="N3782" s="11">
        <f t="shared" si="595"/>
        <v>38.038000000000004</v>
      </c>
      <c r="O3782" s="11">
        <f t="shared" si="596"/>
        <v>0.28000000000000003</v>
      </c>
      <c r="P3782" s="12">
        <f t="shared" si="597"/>
        <v>1.9999999999953388E-3</v>
      </c>
      <c r="Q3782" s="17" t="str">
        <f t="shared" si="599"/>
        <v>Ecart positif</v>
      </c>
      <c r="R3782" s="38"/>
    </row>
    <row r="3783" spans="1:18" x14ac:dyDescent="0.3">
      <c r="A3783" s="34" t="str">
        <f>base!J3783</f>
        <v>RS</v>
      </c>
      <c r="B3783" s="34" t="str">
        <f>base!V3783</f>
        <v>59154</v>
      </c>
      <c r="C3783" s="37">
        <v>59</v>
      </c>
      <c r="D3783" s="36">
        <f>base!H3783</f>
        <v>40</v>
      </c>
      <c r="E3783" s="44"/>
      <c r="F3783" s="16">
        <f>base!W3783</f>
        <v>0</v>
      </c>
      <c r="G3783" s="11">
        <f t="shared" si="590"/>
        <v>0</v>
      </c>
      <c r="H3783" s="11">
        <f t="shared" si="591"/>
        <v>7.6</v>
      </c>
      <c r="I3783" s="11">
        <f t="shared" si="592"/>
        <v>0.19</v>
      </c>
      <c r="J3783" s="12">
        <f t="shared" si="593"/>
        <v>-7.6</v>
      </c>
      <c r="K3783" s="17" t="str">
        <f t="shared" si="598"/>
        <v>Ecart négatif</v>
      </c>
      <c r="L3783" s="16">
        <f>base!X3783</f>
        <v>0</v>
      </c>
      <c r="M3783" s="11">
        <f t="shared" si="594"/>
        <v>0</v>
      </c>
      <c r="N3783" s="11">
        <f t="shared" si="595"/>
        <v>0</v>
      </c>
      <c r="O3783" s="11">
        <f t="shared" si="596"/>
        <v>0</v>
      </c>
      <c r="P3783" s="12">
        <f t="shared" si="597"/>
        <v>0</v>
      </c>
      <c r="Q3783" s="17" t="str">
        <f t="shared" si="599"/>
        <v>Pas d'écart</v>
      </c>
    </row>
    <row r="3784" spans="1:18" x14ac:dyDescent="0.3">
      <c r="A3784" s="34" t="str">
        <f>base!J3784</f>
        <v>RS</v>
      </c>
      <c r="B3784" s="34" t="str">
        <f>base!V3784</f>
        <v>77140</v>
      </c>
      <c r="C3784" s="37">
        <v>77</v>
      </c>
      <c r="D3784" s="36">
        <f>base!H3784</f>
        <v>30.11</v>
      </c>
      <c r="E3784" s="44"/>
      <c r="F3784" s="16">
        <f>base!W3784</f>
        <v>0</v>
      </c>
      <c r="G3784" s="11">
        <f t="shared" si="590"/>
        <v>0</v>
      </c>
      <c r="H3784" s="11">
        <f t="shared" si="591"/>
        <v>0</v>
      </c>
      <c r="I3784" s="11">
        <f t="shared" si="592"/>
        <v>0</v>
      </c>
      <c r="J3784" s="12">
        <f t="shared" si="593"/>
        <v>0</v>
      </c>
      <c r="K3784" s="17" t="str">
        <f t="shared" si="598"/>
        <v>Pas d'écart</v>
      </c>
      <c r="L3784" s="16">
        <f>base!X3784</f>
        <v>0</v>
      </c>
      <c r="M3784" s="11">
        <f t="shared" si="594"/>
        <v>0</v>
      </c>
      <c r="N3784" s="11">
        <f t="shared" si="595"/>
        <v>0</v>
      </c>
      <c r="O3784" s="11">
        <f t="shared" si="596"/>
        <v>0</v>
      </c>
      <c r="P3784" s="12">
        <f t="shared" si="597"/>
        <v>0</v>
      </c>
      <c r="Q3784" s="17" t="str">
        <f t="shared" si="599"/>
        <v>Pas d'écart</v>
      </c>
    </row>
    <row r="3785" spans="1:18" x14ac:dyDescent="0.3">
      <c r="A3785" s="34" t="str">
        <f>base!J3785</f>
        <v>RS</v>
      </c>
      <c r="B3785" s="34" t="str">
        <f>base!V3785</f>
        <v>77140</v>
      </c>
      <c r="C3785" s="37">
        <v>77</v>
      </c>
      <c r="D3785" s="36">
        <f>base!H3785</f>
        <v>30.11</v>
      </c>
      <c r="E3785" s="44"/>
      <c r="F3785" s="16">
        <f>base!W3785</f>
        <v>0</v>
      </c>
      <c r="G3785" s="11">
        <f t="shared" si="590"/>
        <v>0</v>
      </c>
      <c r="H3785" s="11">
        <f t="shared" si="591"/>
        <v>0</v>
      </c>
      <c r="I3785" s="11">
        <f t="shared" si="592"/>
        <v>0</v>
      </c>
      <c r="J3785" s="12">
        <f t="shared" si="593"/>
        <v>0</v>
      </c>
      <c r="K3785" s="17" t="str">
        <f t="shared" si="598"/>
        <v>Pas d'écart</v>
      </c>
      <c r="L3785" s="16">
        <f>base!X3785</f>
        <v>0</v>
      </c>
      <c r="M3785" s="11">
        <f t="shared" si="594"/>
        <v>0</v>
      </c>
      <c r="N3785" s="11">
        <f t="shared" si="595"/>
        <v>0</v>
      </c>
      <c r="O3785" s="11">
        <f t="shared" si="596"/>
        <v>0</v>
      </c>
      <c r="P3785" s="12">
        <f t="shared" si="597"/>
        <v>0</v>
      </c>
      <c r="Q3785" s="17" t="str">
        <f t="shared" si="599"/>
        <v>Pas d'écart</v>
      </c>
    </row>
    <row r="3786" spans="1:18" x14ac:dyDescent="0.3">
      <c r="A3786" s="34" t="str">
        <f>base!J3786</f>
        <v>LM</v>
      </c>
      <c r="B3786" s="34" t="str">
        <f>base!V3786</f>
        <v>62200</v>
      </c>
      <c r="C3786" s="37">
        <v>21</v>
      </c>
      <c r="D3786" s="36">
        <f>base!H3786</f>
        <v>32.85</v>
      </c>
      <c r="E3786" s="44"/>
      <c r="F3786" s="16">
        <f>base!W3786</f>
        <v>6.24</v>
      </c>
      <c r="G3786" s="11">
        <f t="shared" si="590"/>
        <v>0.18995433789954339</v>
      </c>
      <c r="H3786" s="11">
        <f t="shared" si="591"/>
        <v>7.8840000000000003</v>
      </c>
      <c r="I3786" s="11">
        <f t="shared" si="592"/>
        <v>0.24</v>
      </c>
      <c r="J3786" s="12">
        <f t="shared" si="593"/>
        <v>-1.6440000000000001</v>
      </c>
      <c r="K3786" s="17" t="str">
        <f t="shared" si="598"/>
        <v>Ecart négatif</v>
      </c>
      <c r="L3786" s="16">
        <f>base!X3786</f>
        <v>0</v>
      </c>
      <c r="M3786" s="11">
        <f t="shared" si="594"/>
        <v>0</v>
      </c>
      <c r="N3786" s="11">
        <f t="shared" si="595"/>
        <v>3.9420000000000002</v>
      </c>
      <c r="O3786" s="11">
        <f t="shared" si="596"/>
        <v>0.12</v>
      </c>
      <c r="P3786" s="12">
        <f t="shared" si="597"/>
        <v>-3.9420000000000002</v>
      </c>
      <c r="Q3786" s="17" t="str">
        <f t="shared" si="599"/>
        <v>Ecart négatif</v>
      </c>
    </row>
    <row r="3787" spans="1:18" x14ac:dyDescent="0.3">
      <c r="A3787" s="34" t="str">
        <f>base!J3787</f>
        <v>RS</v>
      </c>
      <c r="B3787" s="34" t="str">
        <f>base!V3787</f>
        <v>69570</v>
      </c>
      <c r="C3787" s="37">
        <v>69</v>
      </c>
      <c r="D3787" s="36">
        <f>base!H3787</f>
        <v>40</v>
      </c>
      <c r="E3787" s="44"/>
      <c r="F3787" s="16">
        <f>base!W3787</f>
        <v>0</v>
      </c>
      <c r="G3787" s="11">
        <f t="shared" si="590"/>
        <v>0</v>
      </c>
      <c r="H3787" s="11">
        <f t="shared" si="591"/>
        <v>10.8</v>
      </c>
      <c r="I3787" s="11">
        <f t="shared" si="592"/>
        <v>0.27</v>
      </c>
      <c r="J3787" s="12">
        <f t="shared" si="593"/>
        <v>-10.8</v>
      </c>
      <c r="K3787" s="17" t="str">
        <f t="shared" si="598"/>
        <v>Ecart négatif</v>
      </c>
      <c r="L3787" s="16">
        <f>base!X3787</f>
        <v>0</v>
      </c>
      <c r="M3787" s="11">
        <f t="shared" si="594"/>
        <v>0</v>
      </c>
      <c r="N3787" s="11">
        <f t="shared" si="595"/>
        <v>0</v>
      </c>
      <c r="O3787" s="11">
        <f t="shared" si="596"/>
        <v>0</v>
      </c>
      <c r="P3787" s="12">
        <f t="shared" si="597"/>
        <v>0</v>
      </c>
      <c r="Q3787" s="17" t="str">
        <f t="shared" si="599"/>
        <v>Pas d'écart</v>
      </c>
    </row>
    <row r="3788" spans="1:18" x14ac:dyDescent="0.3">
      <c r="A3788" s="34" t="str">
        <f>base!J3788</f>
        <v>RM</v>
      </c>
      <c r="B3788" s="34" t="str">
        <f>base!V3788</f>
        <v>61400</v>
      </c>
      <c r="C3788" s="37">
        <v>61</v>
      </c>
      <c r="D3788" s="36">
        <f>base!H3788</f>
        <v>36.03</v>
      </c>
      <c r="E3788" s="44"/>
      <c r="F3788" s="16">
        <f>base!W3788</f>
        <v>0</v>
      </c>
      <c r="G3788" s="11">
        <f t="shared" si="590"/>
        <v>0</v>
      </c>
      <c r="H3788" s="11">
        <f t="shared" si="591"/>
        <v>6.1251000000000007</v>
      </c>
      <c r="I3788" s="11">
        <f t="shared" si="592"/>
        <v>0.17</v>
      </c>
      <c r="J3788" s="12">
        <f t="shared" si="593"/>
        <v>-6.1251000000000007</v>
      </c>
      <c r="K3788" s="17" t="str">
        <f t="shared" si="598"/>
        <v>Ecart négatif</v>
      </c>
      <c r="L3788" s="16">
        <f>base!X3788</f>
        <v>6.13</v>
      </c>
      <c r="M3788" s="11">
        <f t="shared" si="594"/>
        <v>0.17013599777962807</v>
      </c>
      <c r="N3788" s="11">
        <f t="shared" si="595"/>
        <v>6.1251000000000007</v>
      </c>
      <c r="O3788" s="11">
        <f t="shared" si="596"/>
        <v>0.17</v>
      </c>
      <c r="P3788" s="12">
        <f t="shared" si="597"/>
        <v>4.8999999999992383E-3</v>
      </c>
      <c r="Q3788" s="17" t="str">
        <f t="shared" si="599"/>
        <v>Ecart positif</v>
      </c>
      <c r="R3788" s="38"/>
    </row>
    <row r="3789" spans="1:18" x14ac:dyDescent="0.3">
      <c r="A3789" s="34" t="str">
        <f>base!J3789</f>
        <v>DRM</v>
      </c>
      <c r="B3789" s="34" t="str">
        <f>base!V3789</f>
        <v>38230</v>
      </c>
      <c r="C3789" s="37">
        <v>38</v>
      </c>
      <c r="D3789" s="36">
        <f>base!H3789</f>
        <v>23.4</v>
      </c>
      <c r="E3789" s="44"/>
      <c r="F3789" s="16">
        <f>base!W3789</f>
        <v>0</v>
      </c>
      <c r="G3789" s="11">
        <f t="shared" si="590"/>
        <v>0</v>
      </c>
      <c r="H3789" s="11">
        <f t="shared" si="591"/>
        <v>6.3179999999999996</v>
      </c>
      <c r="I3789" s="11">
        <f t="shared" si="592"/>
        <v>0.27</v>
      </c>
      <c r="J3789" s="12">
        <f t="shared" si="593"/>
        <v>-6.3179999999999996</v>
      </c>
      <c r="K3789" s="17" t="str">
        <f t="shared" si="598"/>
        <v>Ecart négatif</v>
      </c>
      <c r="L3789" s="16">
        <f>base!X3789</f>
        <v>0</v>
      </c>
      <c r="M3789" s="11">
        <f t="shared" si="594"/>
        <v>0</v>
      </c>
      <c r="N3789" s="11">
        <f t="shared" si="595"/>
        <v>0</v>
      </c>
      <c r="O3789" s="11">
        <f t="shared" si="596"/>
        <v>0</v>
      </c>
      <c r="P3789" s="12">
        <f t="shared" si="597"/>
        <v>0</v>
      </c>
      <c r="Q3789" s="17" t="str">
        <f t="shared" si="599"/>
        <v>Pas d'écart</v>
      </c>
    </row>
    <row r="3790" spans="1:18" x14ac:dyDescent="0.3">
      <c r="A3790" s="34" t="str">
        <f>base!J3790</f>
        <v>DLM</v>
      </c>
      <c r="B3790" s="34" t="str">
        <f>base!V3790</f>
        <v>38110</v>
      </c>
      <c r="C3790" s="37">
        <v>38</v>
      </c>
      <c r="D3790" s="36">
        <f>base!H3790</f>
        <v>23.4</v>
      </c>
      <c r="E3790" s="44"/>
      <c r="F3790" s="16">
        <f>base!W3790</f>
        <v>0</v>
      </c>
      <c r="G3790" s="11">
        <f t="shared" si="590"/>
        <v>0</v>
      </c>
      <c r="H3790" s="11">
        <f t="shared" si="591"/>
        <v>6.3179999999999996</v>
      </c>
      <c r="I3790" s="11">
        <f t="shared" si="592"/>
        <v>0.27</v>
      </c>
      <c r="J3790" s="12">
        <f t="shared" si="593"/>
        <v>-6.3179999999999996</v>
      </c>
      <c r="K3790" s="17" t="str">
        <f t="shared" si="598"/>
        <v>Ecart négatif</v>
      </c>
      <c r="L3790" s="16">
        <f>base!X3790</f>
        <v>0</v>
      </c>
      <c r="M3790" s="11">
        <f t="shared" si="594"/>
        <v>0</v>
      </c>
      <c r="N3790" s="11">
        <f t="shared" si="595"/>
        <v>0</v>
      </c>
      <c r="O3790" s="11">
        <f t="shared" si="596"/>
        <v>0</v>
      </c>
      <c r="P3790" s="12">
        <f t="shared" si="597"/>
        <v>0</v>
      </c>
      <c r="Q3790" s="17" t="str">
        <f t="shared" si="599"/>
        <v>Pas d'écart</v>
      </c>
    </row>
    <row r="3791" spans="1:18" x14ac:dyDescent="0.3">
      <c r="A3791" s="34">
        <f>base!J3791</f>
        <v>0</v>
      </c>
      <c r="B3791" s="34" t="str">
        <f>base!V3791</f>
        <v>77184</v>
      </c>
      <c r="C3791" s="37">
        <v>77</v>
      </c>
      <c r="D3791" s="36">
        <f>base!H3791</f>
        <v>20</v>
      </c>
      <c r="E3791" s="44"/>
      <c r="F3791" s="16">
        <f>base!W3791</f>
        <v>0</v>
      </c>
      <c r="G3791" s="11">
        <f t="shared" si="590"/>
        <v>0</v>
      </c>
      <c r="H3791" s="11">
        <f t="shared" si="591"/>
        <v>0</v>
      </c>
      <c r="I3791" s="11">
        <f t="shared" si="592"/>
        <v>0</v>
      </c>
      <c r="J3791" s="12">
        <f t="shared" si="593"/>
        <v>0</v>
      </c>
      <c r="K3791" s="17" t="str">
        <f t="shared" si="598"/>
        <v>Pas d'écart</v>
      </c>
      <c r="L3791" s="16">
        <f>base!X3791</f>
        <v>0</v>
      </c>
      <c r="M3791" s="11">
        <f t="shared" si="594"/>
        <v>0</v>
      </c>
      <c r="N3791" s="11">
        <f t="shared" si="595"/>
        <v>0</v>
      </c>
      <c r="O3791" s="11">
        <f t="shared" si="596"/>
        <v>0</v>
      </c>
      <c r="P3791" s="12">
        <f t="shared" si="597"/>
        <v>0</v>
      </c>
      <c r="Q3791" s="17" t="str">
        <f t="shared" si="599"/>
        <v>Pas d'écart</v>
      </c>
    </row>
    <row r="3792" spans="1:18" x14ac:dyDescent="0.3">
      <c r="A3792" s="34" t="str">
        <f>base!J3792</f>
        <v>RS</v>
      </c>
      <c r="B3792" s="34" t="str">
        <f>base!V3792</f>
        <v>71300</v>
      </c>
      <c r="C3792" s="37">
        <v>71</v>
      </c>
      <c r="D3792" s="36">
        <f>base!H3792</f>
        <v>40</v>
      </c>
      <c r="E3792" s="44"/>
      <c r="F3792" s="16">
        <f>base!W3792</f>
        <v>0</v>
      </c>
      <c r="G3792" s="11">
        <f t="shared" si="590"/>
        <v>0</v>
      </c>
      <c r="H3792" s="11">
        <f t="shared" si="591"/>
        <v>10.8</v>
      </c>
      <c r="I3792" s="11">
        <f t="shared" si="592"/>
        <v>0.27</v>
      </c>
      <c r="J3792" s="12">
        <f t="shared" si="593"/>
        <v>-10.8</v>
      </c>
      <c r="K3792" s="17" t="str">
        <f t="shared" si="598"/>
        <v>Ecart négatif</v>
      </c>
      <c r="L3792" s="16">
        <f>base!X3792</f>
        <v>0</v>
      </c>
      <c r="M3792" s="11">
        <f t="shared" si="594"/>
        <v>0</v>
      </c>
      <c r="N3792" s="11">
        <f t="shared" si="595"/>
        <v>0</v>
      </c>
      <c r="O3792" s="11">
        <f t="shared" si="596"/>
        <v>0</v>
      </c>
      <c r="P3792" s="12">
        <f t="shared" si="597"/>
        <v>0</v>
      </c>
      <c r="Q3792" s="17" t="str">
        <f t="shared" si="599"/>
        <v>Pas d'écart</v>
      </c>
    </row>
    <row r="3793" spans="1:18" x14ac:dyDescent="0.3">
      <c r="A3793" s="34" t="str">
        <f>base!J3793</f>
        <v>LM</v>
      </c>
      <c r="B3793" s="34" t="str">
        <f>base!V3793</f>
        <v>45330</v>
      </c>
      <c r="C3793" s="37">
        <v>25</v>
      </c>
      <c r="D3793" s="36">
        <f>base!H3793</f>
        <v>136.65</v>
      </c>
      <c r="E3793" s="44"/>
      <c r="F3793" s="16">
        <f>base!W3793</f>
        <v>28.7</v>
      </c>
      <c r="G3793" s="11">
        <f t="shared" si="590"/>
        <v>0.21002561287961946</v>
      </c>
      <c r="H3793" s="11">
        <f t="shared" si="591"/>
        <v>32.795999999999999</v>
      </c>
      <c r="I3793" s="11">
        <f t="shared" si="592"/>
        <v>0.24</v>
      </c>
      <c r="J3793" s="12">
        <f t="shared" si="593"/>
        <v>-4.0960000000000001</v>
      </c>
      <c r="K3793" s="17" t="str">
        <f t="shared" si="598"/>
        <v>Ecart négatif</v>
      </c>
      <c r="L3793" s="16">
        <f>base!X3793</f>
        <v>0</v>
      </c>
      <c r="M3793" s="11">
        <f t="shared" si="594"/>
        <v>0</v>
      </c>
      <c r="N3793" s="11">
        <f t="shared" si="595"/>
        <v>16.398</v>
      </c>
      <c r="O3793" s="11">
        <f t="shared" si="596"/>
        <v>0.12</v>
      </c>
      <c r="P3793" s="12">
        <f t="shared" si="597"/>
        <v>-16.398</v>
      </c>
      <c r="Q3793" s="17" t="str">
        <f t="shared" si="599"/>
        <v>Ecart négatif</v>
      </c>
    </row>
    <row r="3794" spans="1:18" x14ac:dyDescent="0.3">
      <c r="A3794" s="34" t="str">
        <f>base!J3794</f>
        <v>LM</v>
      </c>
      <c r="B3794" s="34" t="str">
        <f>base!V3794</f>
        <v>69002</v>
      </c>
      <c r="C3794" s="37">
        <v>26</v>
      </c>
      <c r="D3794" s="36">
        <f>base!H3794</f>
        <v>188.33</v>
      </c>
      <c r="E3794" s="44"/>
      <c r="F3794" s="16">
        <f>base!W3794</f>
        <v>50.85</v>
      </c>
      <c r="G3794" s="11">
        <f t="shared" si="590"/>
        <v>0.27000477884564328</v>
      </c>
      <c r="H3794" s="11">
        <f t="shared" si="591"/>
        <v>50.849100000000007</v>
      </c>
      <c r="I3794" s="11">
        <f t="shared" si="592"/>
        <v>0.27</v>
      </c>
      <c r="J3794" s="12">
        <f t="shared" si="593"/>
        <v>8.9999999999434976E-4</v>
      </c>
      <c r="K3794" s="17" t="str">
        <f t="shared" si="598"/>
        <v>Ecart positif</v>
      </c>
      <c r="L3794" s="16">
        <f>base!X3794</f>
        <v>0</v>
      </c>
      <c r="M3794" s="11">
        <f t="shared" si="594"/>
        <v>0</v>
      </c>
      <c r="N3794" s="11">
        <f t="shared" si="595"/>
        <v>0</v>
      </c>
      <c r="O3794" s="11">
        <f t="shared" si="596"/>
        <v>0</v>
      </c>
      <c r="P3794" s="12">
        <f t="shared" si="597"/>
        <v>0</v>
      </c>
      <c r="Q3794" s="17" t="str">
        <f t="shared" si="599"/>
        <v>Pas d'écart</v>
      </c>
    </row>
    <row r="3795" spans="1:18" x14ac:dyDescent="0.3">
      <c r="A3795" s="34" t="str">
        <f>base!J3795</f>
        <v>LM</v>
      </c>
      <c r="B3795" s="34" t="str">
        <f>base!V3795</f>
        <v>69002</v>
      </c>
      <c r="C3795" s="37">
        <v>70</v>
      </c>
      <c r="D3795" s="36">
        <f>base!H3795</f>
        <v>188.33</v>
      </c>
      <c r="E3795" s="44"/>
      <c r="F3795" s="16">
        <f>base!W3795</f>
        <v>50.85</v>
      </c>
      <c r="G3795" s="11">
        <f t="shared" si="590"/>
        <v>0.27000477884564328</v>
      </c>
      <c r="H3795" s="11">
        <f t="shared" si="591"/>
        <v>45.199200000000005</v>
      </c>
      <c r="I3795" s="11">
        <f t="shared" si="592"/>
        <v>0.24000000000000002</v>
      </c>
      <c r="J3795" s="12">
        <f t="shared" si="593"/>
        <v>5.6507999999999967</v>
      </c>
      <c r="K3795" s="17" t="str">
        <f t="shared" si="598"/>
        <v>Ecart positif</v>
      </c>
      <c r="L3795" s="16">
        <f>base!X3795</f>
        <v>0</v>
      </c>
      <c r="M3795" s="11">
        <f t="shared" si="594"/>
        <v>0</v>
      </c>
      <c r="N3795" s="11">
        <f t="shared" si="595"/>
        <v>22.599600000000002</v>
      </c>
      <c r="O3795" s="11">
        <f t="shared" si="596"/>
        <v>0.12000000000000001</v>
      </c>
      <c r="P3795" s="12">
        <f t="shared" si="597"/>
        <v>-22.599600000000002</v>
      </c>
      <c r="Q3795" s="17" t="str">
        <f t="shared" si="599"/>
        <v>Ecart négatif</v>
      </c>
    </row>
    <row r="3796" spans="1:18" x14ac:dyDescent="0.3">
      <c r="A3796" s="34" t="str">
        <f>base!J3796</f>
        <v>RS</v>
      </c>
      <c r="B3796" s="34" t="str">
        <f>base!V3796</f>
        <v>13200</v>
      </c>
      <c r="C3796" s="37">
        <v>13</v>
      </c>
      <c r="D3796" s="36">
        <f>base!H3796</f>
        <v>198.02</v>
      </c>
      <c r="E3796" s="44"/>
      <c r="F3796" s="16">
        <f>base!W3796</f>
        <v>0</v>
      </c>
      <c r="G3796" s="11">
        <f t="shared" si="590"/>
        <v>0</v>
      </c>
      <c r="H3796" s="11">
        <f t="shared" si="591"/>
        <v>57.425800000000002</v>
      </c>
      <c r="I3796" s="11">
        <f t="shared" si="592"/>
        <v>0.28999999999999998</v>
      </c>
      <c r="J3796" s="12">
        <f t="shared" si="593"/>
        <v>-57.425800000000002</v>
      </c>
      <c r="K3796" s="17" t="str">
        <f t="shared" si="598"/>
        <v>Ecart négatif</v>
      </c>
      <c r="L3796" s="16">
        <f>base!X3796</f>
        <v>0</v>
      </c>
      <c r="M3796" s="11">
        <f t="shared" si="594"/>
        <v>0</v>
      </c>
      <c r="N3796" s="11">
        <f t="shared" si="595"/>
        <v>37.623800000000003</v>
      </c>
      <c r="O3796" s="11">
        <f t="shared" si="596"/>
        <v>0.19</v>
      </c>
      <c r="P3796" s="12">
        <f t="shared" si="597"/>
        <v>-37.623800000000003</v>
      </c>
      <c r="Q3796" s="17" t="str">
        <f t="shared" si="599"/>
        <v>Ecart négatif</v>
      </c>
    </row>
    <row r="3797" spans="1:18" x14ac:dyDescent="0.3">
      <c r="A3797" s="34" t="str">
        <f>base!J3797</f>
        <v>LM</v>
      </c>
      <c r="B3797" s="34" t="str">
        <f>base!V3797</f>
        <v>44350</v>
      </c>
      <c r="C3797" s="37">
        <v>84</v>
      </c>
      <c r="D3797" s="36">
        <f>base!H3797</f>
        <v>33.35</v>
      </c>
      <c r="E3797" s="44"/>
      <c r="F3797" s="16">
        <f>base!W3797</f>
        <v>9</v>
      </c>
      <c r="G3797" s="11">
        <f t="shared" si="590"/>
        <v>0.26986506746626687</v>
      </c>
      <c r="H3797" s="11">
        <f t="shared" si="591"/>
        <v>9.6715</v>
      </c>
      <c r="I3797" s="11">
        <f t="shared" si="592"/>
        <v>0.28999999999999998</v>
      </c>
      <c r="J3797" s="12">
        <f t="shared" si="593"/>
        <v>-0.67149999999999999</v>
      </c>
      <c r="K3797" s="17" t="str">
        <f t="shared" si="598"/>
        <v>Ecart négatif</v>
      </c>
      <c r="L3797" s="16">
        <f>base!X3797</f>
        <v>0</v>
      </c>
      <c r="M3797" s="11">
        <f t="shared" si="594"/>
        <v>0</v>
      </c>
      <c r="N3797" s="11">
        <f t="shared" si="595"/>
        <v>6.3365</v>
      </c>
      <c r="O3797" s="11">
        <f t="shared" si="596"/>
        <v>0.19</v>
      </c>
      <c r="P3797" s="12">
        <f t="shared" si="597"/>
        <v>-6.3365</v>
      </c>
      <c r="Q3797" s="17" t="str">
        <f t="shared" si="599"/>
        <v>Ecart négatif</v>
      </c>
    </row>
    <row r="3798" spans="1:18" x14ac:dyDescent="0.3">
      <c r="A3798" s="34">
        <f>base!J3798</f>
        <v>0</v>
      </c>
      <c r="B3798" s="34" t="str">
        <f>base!V3798</f>
        <v>77184</v>
      </c>
      <c r="C3798" s="37">
        <v>77</v>
      </c>
      <c r="D3798" s="36">
        <f>base!H3798</f>
        <v>112.6</v>
      </c>
      <c r="E3798" s="44"/>
      <c r="F3798" s="16">
        <f>base!W3798</f>
        <v>0</v>
      </c>
      <c r="G3798" s="11">
        <f t="shared" si="590"/>
        <v>0</v>
      </c>
      <c r="H3798" s="11">
        <f t="shared" si="591"/>
        <v>0</v>
      </c>
      <c r="I3798" s="11">
        <f t="shared" si="592"/>
        <v>0</v>
      </c>
      <c r="J3798" s="12">
        <f t="shared" si="593"/>
        <v>0</v>
      </c>
      <c r="K3798" s="17" t="str">
        <f t="shared" si="598"/>
        <v>Pas d'écart</v>
      </c>
      <c r="L3798" s="16">
        <f>base!X3798</f>
        <v>0</v>
      </c>
      <c r="M3798" s="11">
        <f t="shared" si="594"/>
        <v>0</v>
      </c>
      <c r="N3798" s="11">
        <f t="shared" si="595"/>
        <v>0</v>
      </c>
      <c r="O3798" s="11">
        <f t="shared" si="596"/>
        <v>0</v>
      </c>
      <c r="P3798" s="12">
        <f t="shared" si="597"/>
        <v>0</v>
      </c>
      <c r="Q3798" s="17" t="str">
        <f t="shared" si="599"/>
        <v>Pas d'écart</v>
      </c>
    </row>
    <row r="3799" spans="1:18" x14ac:dyDescent="0.3">
      <c r="A3799" s="34" t="str">
        <f>base!J3799</f>
        <v>RS</v>
      </c>
      <c r="B3799" s="34" t="str">
        <f>base!V3799</f>
        <v>14120</v>
      </c>
      <c r="C3799" s="37">
        <v>14</v>
      </c>
      <c r="D3799" s="36">
        <f>base!H3799</f>
        <v>140</v>
      </c>
      <c r="E3799" s="44"/>
      <c r="F3799" s="16">
        <f>base!W3799</f>
        <v>0</v>
      </c>
      <c r="G3799" s="11">
        <f t="shared" si="590"/>
        <v>0</v>
      </c>
      <c r="H3799" s="11">
        <f t="shared" si="591"/>
        <v>23.8</v>
      </c>
      <c r="I3799" s="11">
        <f t="shared" si="592"/>
        <v>0.17</v>
      </c>
      <c r="J3799" s="12">
        <f t="shared" si="593"/>
        <v>-23.8</v>
      </c>
      <c r="K3799" s="17" t="str">
        <f t="shared" si="598"/>
        <v>Ecart négatif</v>
      </c>
      <c r="L3799" s="16">
        <f>base!X3799</f>
        <v>23.8</v>
      </c>
      <c r="M3799" s="11">
        <f t="shared" si="594"/>
        <v>0.17</v>
      </c>
      <c r="N3799" s="11">
        <f t="shared" si="595"/>
        <v>23.8</v>
      </c>
      <c r="O3799" s="11">
        <f t="shared" si="596"/>
        <v>0.17</v>
      </c>
      <c r="P3799" s="12">
        <f t="shared" si="597"/>
        <v>0</v>
      </c>
      <c r="Q3799" s="17" t="str">
        <f t="shared" si="599"/>
        <v>Pas d'écart</v>
      </c>
    </row>
    <row r="3800" spans="1:18" x14ac:dyDescent="0.3">
      <c r="A3800" s="34" t="str">
        <f>base!J3800</f>
        <v>RS</v>
      </c>
      <c r="B3800" s="34" t="str">
        <f>base!V3800</f>
        <v>94600</v>
      </c>
      <c r="C3800" s="37">
        <v>94</v>
      </c>
      <c r="D3800" s="36">
        <f>base!H3800</f>
        <v>234.6</v>
      </c>
      <c r="E3800" s="44"/>
      <c r="F3800" s="16">
        <f>base!W3800</f>
        <v>0</v>
      </c>
      <c r="G3800" s="11">
        <f t="shared" si="590"/>
        <v>0</v>
      </c>
      <c r="H3800" s="11">
        <f t="shared" si="591"/>
        <v>0</v>
      </c>
      <c r="I3800" s="11">
        <f t="shared" si="592"/>
        <v>0</v>
      </c>
      <c r="J3800" s="12">
        <f t="shared" si="593"/>
        <v>0</v>
      </c>
      <c r="K3800" s="17" t="str">
        <f t="shared" si="598"/>
        <v>Pas d'écart</v>
      </c>
      <c r="L3800" s="16">
        <f>base!X3800</f>
        <v>0</v>
      </c>
      <c r="M3800" s="11">
        <f t="shared" si="594"/>
        <v>0</v>
      </c>
      <c r="N3800" s="11">
        <f t="shared" si="595"/>
        <v>0</v>
      </c>
      <c r="O3800" s="11">
        <f t="shared" si="596"/>
        <v>0</v>
      </c>
      <c r="P3800" s="12">
        <f t="shared" si="597"/>
        <v>0</v>
      </c>
      <c r="Q3800" s="17" t="str">
        <f t="shared" si="599"/>
        <v>Pas d'écart</v>
      </c>
    </row>
    <row r="3801" spans="1:18" x14ac:dyDescent="0.3">
      <c r="A3801" s="34" t="str">
        <f>base!J3801</f>
        <v>RM</v>
      </c>
      <c r="B3801" s="34" t="str">
        <f>base!V3801</f>
        <v>14120</v>
      </c>
      <c r="C3801" s="37">
        <v>14</v>
      </c>
      <c r="D3801" s="36">
        <f>base!H3801</f>
        <v>186.98</v>
      </c>
      <c r="E3801" s="44"/>
      <c r="F3801" s="16">
        <f>base!W3801</f>
        <v>0</v>
      </c>
      <c r="G3801" s="11">
        <f t="shared" si="590"/>
        <v>0</v>
      </c>
      <c r="H3801" s="11">
        <f t="shared" si="591"/>
        <v>31.7866</v>
      </c>
      <c r="I3801" s="11">
        <f t="shared" si="592"/>
        <v>0.17</v>
      </c>
      <c r="J3801" s="12">
        <f t="shared" si="593"/>
        <v>-31.7866</v>
      </c>
      <c r="K3801" s="17" t="str">
        <f t="shared" si="598"/>
        <v>Ecart négatif</v>
      </c>
      <c r="L3801" s="16">
        <f>base!X3801</f>
        <v>31.79</v>
      </c>
      <c r="M3801" s="11">
        <f t="shared" si="594"/>
        <v>0.17001818376296932</v>
      </c>
      <c r="N3801" s="11">
        <f t="shared" si="595"/>
        <v>31.7866</v>
      </c>
      <c r="O3801" s="11">
        <f t="shared" si="596"/>
        <v>0.17</v>
      </c>
      <c r="P3801" s="12">
        <f t="shared" si="597"/>
        <v>3.3999999999991815E-3</v>
      </c>
      <c r="Q3801" s="17" t="str">
        <f t="shared" si="599"/>
        <v>Ecart positif</v>
      </c>
      <c r="R3801" s="38"/>
    </row>
    <row r="3802" spans="1:18" x14ac:dyDescent="0.3">
      <c r="A3802" s="34" t="str">
        <f>base!J3802</f>
        <v>LM</v>
      </c>
      <c r="B3802" s="34" t="str">
        <f>base!V3802</f>
        <v>21160</v>
      </c>
      <c r="C3802" s="37">
        <v>57</v>
      </c>
      <c r="D3802" s="36">
        <f>base!H3802</f>
        <v>55.16</v>
      </c>
      <c r="E3802" s="44"/>
      <c r="F3802" s="16">
        <f>base!W3802</f>
        <v>13.24</v>
      </c>
      <c r="G3802" s="11">
        <f t="shared" si="590"/>
        <v>0.24002900652646847</v>
      </c>
      <c r="H3802" s="11">
        <f t="shared" si="591"/>
        <v>13.238399999999999</v>
      </c>
      <c r="I3802" s="11">
        <f t="shared" si="592"/>
        <v>0.24</v>
      </c>
      <c r="J3802" s="12">
        <f t="shared" si="593"/>
        <v>1.6000000000016001E-3</v>
      </c>
      <c r="K3802" s="17" t="str">
        <f t="shared" si="598"/>
        <v>Ecart positif</v>
      </c>
      <c r="L3802" s="16">
        <f>base!X3802</f>
        <v>0</v>
      </c>
      <c r="M3802" s="11">
        <f t="shared" si="594"/>
        <v>0</v>
      </c>
      <c r="N3802" s="11">
        <f t="shared" si="595"/>
        <v>13.79</v>
      </c>
      <c r="O3802" s="11">
        <f t="shared" si="596"/>
        <v>0.25</v>
      </c>
      <c r="P3802" s="12">
        <f t="shared" si="597"/>
        <v>-13.79</v>
      </c>
      <c r="Q3802" s="17" t="str">
        <f t="shared" si="599"/>
        <v>Ecart négatif</v>
      </c>
    </row>
    <row r="3803" spans="1:18" x14ac:dyDescent="0.3">
      <c r="A3803" s="34" t="str">
        <f>base!J3803</f>
        <v>RM</v>
      </c>
      <c r="B3803" s="34" t="str">
        <f>base!V3803</f>
        <v>06560</v>
      </c>
      <c r="C3803" s="37">
        <v>6</v>
      </c>
      <c r="D3803" s="36">
        <f>base!H3803</f>
        <v>151</v>
      </c>
      <c r="E3803" s="44"/>
      <c r="F3803" s="16">
        <f>base!W3803</f>
        <v>0</v>
      </c>
      <c r="G3803" s="11">
        <f t="shared" si="590"/>
        <v>0</v>
      </c>
      <c r="H3803" s="11">
        <f t="shared" si="591"/>
        <v>45.3</v>
      </c>
      <c r="I3803" s="11">
        <f t="shared" si="592"/>
        <v>0.3</v>
      </c>
      <c r="J3803" s="12">
        <f t="shared" si="593"/>
        <v>-45.3</v>
      </c>
      <c r="K3803" s="17" t="str">
        <f t="shared" si="598"/>
        <v>Ecart négatif</v>
      </c>
      <c r="L3803" s="16">
        <f>base!X3803</f>
        <v>0</v>
      </c>
      <c r="M3803" s="11">
        <f t="shared" si="594"/>
        <v>0</v>
      </c>
      <c r="N3803" s="11">
        <f t="shared" si="595"/>
        <v>31.709999999999997</v>
      </c>
      <c r="O3803" s="11">
        <f t="shared" si="596"/>
        <v>0.21</v>
      </c>
      <c r="P3803" s="12">
        <f t="shared" si="597"/>
        <v>-31.709999999999997</v>
      </c>
      <c r="Q3803" s="17" t="str">
        <f t="shared" si="599"/>
        <v>Ecart négatif</v>
      </c>
    </row>
    <row r="3804" spans="1:18" x14ac:dyDescent="0.3">
      <c r="A3804" s="34" t="str">
        <f>base!J3804</f>
        <v>RM</v>
      </c>
      <c r="B3804" s="34" t="str">
        <f>base!V3804</f>
        <v>06560</v>
      </c>
      <c r="C3804" s="37">
        <v>6</v>
      </c>
      <c r="D3804" s="36">
        <f>base!H3804</f>
        <v>151</v>
      </c>
      <c r="E3804" s="44"/>
      <c r="F3804" s="16">
        <f>base!W3804</f>
        <v>0</v>
      </c>
      <c r="G3804" s="11">
        <f t="shared" si="590"/>
        <v>0</v>
      </c>
      <c r="H3804" s="11">
        <f t="shared" si="591"/>
        <v>45.3</v>
      </c>
      <c r="I3804" s="11">
        <f t="shared" si="592"/>
        <v>0.3</v>
      </c>
      <c r="J3804" s="12">
        <f t="shared" si="593"/>
        <v>-45.3</v>
      </c>
      <c r="K3804" s="17" t="str">
        <f t="shared" si="598"/>
        <v>Ecart négatif</v>
      </c>
      <c r="L3804" s="16">
        <f>base!X3804</f>
        <v>31.71</v>
      </c>
      <c r="M3804" s="11">
        <f t="shared" si="594"/>
        <v>0.21</v>
      </c>
      <c r="N3804" s="11">
        <f t="shared" si="595"/>
        <v>31.709999999999997</v>
      </c>
      <c r="O3804" s="11">
        <f t="shared" si="596"/>
        <v>0.21</v>
      </c>
      <c r="P3804" s="12">
        <f t="shared" si="597"/>
        <v>0</v>
      </c>
      <c r="Q3804" s="17" t="str">
        <f t="shared" si="599"/>
        <v>Pas d'écart</v>
      </c>
      <c r="R3804" s="38"/>
    </row>
    <row r="3805" spans="1:18" x14ac:dyDescent="0.3">
      <c r="A3805" s="34">
        <f>base!J3805</f>
        <v>0</v>
      </c>
      <c r="B3805" s="34" t="str">
        <f>base!V3805</f>
        <v>77184</v>
      </c>
      <c r="C3805" s="37">
        <v>77</v>
      </c>
      <c r="D3805" s="36">
        <f>base!H3805</f>
        <v>50</v>
      </c>
      <c r="E3805" s="44"/>
      <c r="F3805" s="16">
        <f>base!W3805</f>
        <v>0</v>
      </c>
      <c r="G3805" s="11">
        <f t="shared" si="590"/>
        <v>0</v>
      </c>
      <c r="H3805" s="11">
        <f t="shared" si="591"/>
        <v>0</v>
      </c>
      <c r="I3805" s="11">
        <f t="shared" si="592"/>
        <v>0</v>
      </c>
      <c r="J3805" s="12">
        <f t="shared" si="593"/>
        <v>0</v>
      </c>
      <c r="K3805" s="17" t="str">
        <f t="shared" si="598"/>
        <v>Pas d'écart</v>
      </c>
      <c r="L3805" s="16">
        <f>base!X3805</f>
        <v>0</v>
      </c>
      <c r="M3805" s="11">
        <f t="shared" si="594"/>
        <v>0</v>
      </c>
      <c r="N3805" s="11">
        <f t="shared" si="595"/>
        <v>0</v>
      </c>
      <c r="O3805" s="11">
        <f t="shared" si="596"/>
        <v>0</v>
      </c>
      <c r="P3805" s="12">
        <f t="shared" si="597"/>
        <v>0</v>
      </c>
      <c r="Q3805" s="17" t="str">
        <f t="shared" si="599"/>
        <v>Pas d'écart</v>
      </c>
    </row>
    <row r="3806" spans="1:18" x14ac:dyDescent="0.3">
      <c r="A3806" s="34" t="str">
        <f>base!J3806</f>
        <v>RM</v>
      </c>
      <c r="B3806" s="34" t="str">
        <f>base!V3806</f>
        <v>21000</v>
      </c>
      <c r="C3806" s="37">
        <v>21</v>
      </c>
      <c r="D3806" s="36">
        <f>base!H3806</f>
        <v>25</v>
      </c>
      <c r="E3806" s="44"/>
      <c r="F3806" s="16">
        <f>base!W3806</f>
        <v>0</v>
      </c>
      <c r="G3806" s="11">
        <f t="shared" si="590"/>
        <v>0</v>
      </c>
      <c r="H3806" s="11">
        <f t="shared" si="591"/>
        <v>6</v>
      </c>
      <c r="I3806" s="11">
        <f t="shared" si="592"/>
        <v>0.24</v>
      </c>
      <c r="J3806" s="12">
        <f t="shared" si="593"/>
        <v>-6</v>
      </c>
      <c r="K3806" s="17" t="str">
        <f t="shared" si="598"/>
        <v>Ecart négatif</v>
      </c>
      <c r="L3806" s="16">
        <f>base!X3806</f>
        <v>0</v>
      </c>
      <c r="M3806" s="11">
        <f t="shared" si="594"/>
        <v>0</v>
      </c>
      <c r="N3806" s="11">
        <f t="shared" si="595"/>
        <v>3</v>
      </c>
      <c r="O3806" s="11">
        <f t="shared" si="596"/>
        <v>0.12</v>
      </c>
      <c r="P3806" s="12">
        <f t="shared" si="597"/>
        <v>-3</v>
      </c>
      <c r="Q3806" s="17" t="str">
        <f t="shared" si="599"/>
        <v>Ecart négatif</v>
      </c>
    </row>
    <row r="3807" spans="1:18" x14ac:dyDescent="0.3">
      <c r="A3807" s="34" t="str">
        <f>base!J3807</f>
        <v>RS</v>
      </c>
      <c r="B3807" s="34" t="str">
        <f>base!V3807</f>
        <v>45570</v>
      </c>
      <c r="C3807" s="37">
        <v>45</v>
      </c>
      <c r="D3807" s="36">
        <f>base!H3807</f>
        <v>140</v>
      </c>
      <c r="E3807" s="44"/>
      <c r="F3807" s="16">
        <f>base!W3807</f>
        <v>0</v>
      </c>
      <c r="G3807" s="11">
        <f t="shared" si="590"/>
        <v>0</v>
      </c>
      <c r="H3807" s="11">
        <f t="shared" si="591"/>
        <v>29.4</v>
      </c>
      <c r="I3807" s="11">
        <f t="shared" si="592"/>
        <v>0.21</v>
      </c>
      <c r="J3807" s="12">
        <f t="shared" si="593"/>
        <v>-29.4</v>
      </c>
      <c r="K3807" s="17" t="str">
        <f t="shared" si="598"/>
        <v>Ecart négatif</v>
      </c>
      <c r="L3807" s="16">
        <f>base!X3807</f>
        <v>16.8</v>
      </c>
      <c r="M3807" s="11">
        <f t="shared" si="594"/>
        <v>0.12000000000000001</v>
      </c>
      <c r="N3807" s="11">
        <f t="shared" si="595"/>
        <v>16.8</v>
      </c>
      <c r="O3807" s="11">
        <f t="shared" si="596"/>
        <v>0.12000000000000001</v>
      </c>
      <c r="P3807" s="12">
        <f t="shared" si="597"/>
        <v>0</v>
      </c>
      <c r="Q3807" s="17" t="str">
        <f t="shared" si="599"/>
        <v>Pas d'écart</v>
      </c>
      <c r="R3807" s="38"/>
    </row>
    <row r="3808" spans="1:18" x14ac:dyDescent="0.3">
      <c r="A3808" s="34" t="str">
        <f>base!J3808</f>
        <v>LS</v>
      </c>
      <c r="B3808" s="34" t="str">
        <f>base!V3808</f>
        <v>89000</v>
      </c>
      <c r="C3808" s="37">
        <v>10</v>
      </c>
      <c r="D3808" s="36">
        <f>base!H3808</f>
        <v>524.94000000000005</v>
      </c>
      <c r="E3808" s="44"/>
      <c r="F3808" s="16">
        <f>base!W3808</f>
        <v>125.99</v>
      </c>
      <c r="G3808" s="11">
        <f t="shared" si="590"/>
        <v>0.24000838191031351</v>
      </c>
      <c r="H3808" s="11">
        <f t="shared" si="591"/>
        <v>120.73620000000001</v>
      </c>
      <c r="I3808" s="11">
        <f t="shared" si="592"/>
        <v>0.23</v>
      </c>
      <c r="J3808" s="12">
        <f t="shared" si="593"/>
        <v>5.253799999999984</v>
      </c>
      <c r="K3808" s="17" t="str">
        <f t="shared" si="598"/>
        <v>Ecart positif</v>
      </c>
      <c r="L3808" s="16">
        <f>base!X3808</f>
        <v>0</v>
      </c>
      <c r="M3808" s="11">
        <f t="shared" si="594"/>
        <v>0</v>
      </c>
      <c r="N3808" s="11">
        <f t="shared" si="595"/>
        <v>62.992800000000003</v>
      </c>
      <c r="O3808" s="11">
        <f t="shared" si="596"/>
        <v>0.12</v>
      </c>
      <c r="P3808" s="12">
        <f t="shared" si="597"/>
        <v>-62.992800000000003</v>
      </c>
      <c r="Q3808" s="17" t="str">
        <f t="shared" si="599"/>
        <v>Ecart négatif</v>
      </c>
    </row>
    <row r="3809" spans="1:18" x14ac:dyDescent="0.3">
      <c r="A3809" s="34">
        <f>base!J3809</f>
        <v>0</v>
      </c>
      <c r="B3809" s="34" t="str">
        <f>base!V3809</f>
        <v>77184</v>
      </c>
      <c r="C3809" s="37">
        <v>77</v>
      </c>
      <c r="D3809" s="36">
        <f>base!H3809</f>
        <v>31.6</v>
      </c>
      <c r="E3809" s="44"/>
      <c r="F3809" s="16">
        <f>base!W3809</f>
        <v>0</v>
      </c>
      <c r="G3809" s="11">
        <f t="shared" si="590"/>
        <v>0</v>
      </c>
      <c r="H3809" s="11">
        <f t="shared" si="591"/>
        <v>0</v>
      </c>
      <c r="I3809" s="11">
        <f t="shared" si="592"/>
        <v>0</v>
      </c>
      <c r="J3809" s="12">
        <f t="shared" si="593"/>
        <v>0</v>
      </c>
      <c r="K3809" s="17" t="str">
        <f t="shared" si="598"/>
        <v>Pas d'écart</v>
      </c>
      <c r="L3809" s="16">
        <f>base!X3809</f>
        <v>0</v>
      </c>
      <c r="M3809" s="11">
        <f t="shared" si="594"/>
        <v>0</v>
      </c>
      <c r="N3809" s="11">
        <f t="shared" si="595"/>
        <v>0</v>
      </c>
      <c r="O3809" s="11">
        <f t="shared" si="596"/>
        <v>0</v>
      </c>
      <c r="P3809" s="12">
        <f t="shared" si="597"/>
        <v>0</v>
      </c>
      <c r="Q3809" s="17" t="str">
        <f t="shared" si="599"/>
        <v>Pas d'écart</v>
      </c>
    </row>
    <row r="3810" spans="1:18" x14ac:dyDescent="0.3">
      <c r="A3810" s="34">
        <f>base!J3810</f>
        <v>0</v>
      </c>
      <c r="B3810" s="34" t="str">
        <f>base!V3810</f>
        <v>77184</v>
      </c>
      <c r="C3810" s="37">
        <v>77</v>
      </c>
      <c r="D3810" s="36">
        <f>base!H3810</f>
        <v>10</v>
      </c>
      <c r="E3810" s="44"/>
      <c r="F3810" s="16">
        <f>base!W3810</f>
        <v>0</v>
      </c>
      <c r="G3810" s="11">
        <f t="shared" si="590"/>
        <v>0</v>
      </c>
      <c r="H3810" s="11">
        <f t="shared" si="591"/>
        <v>0</v>
      </c>
      <c r="I3810" s="11">
        <f t="shared" si="592"/>
        <v>0</v>
      </c>
      <c r="J3810" s="12">
        <f t="shared" si="593"/>
        <v>0</v>
      </c>
      <c r="K3810" s="17" t="str">
        <f t="shared" si="598"/>
        <v>Pas d'écart</v>
      </c>
      <c r="L3810" s="16">
        <f>base!X3810</f>
        <v>0</v>
      </c>
      <c r="M3810" s="11">
        <f t="shared" si="594"/>
        <v>0</v>
      </c>
      <c r="N3810" s="11">
        <f t="shared" si="595"/>
        <v>0</v>
      </c>
      <c r="O3810" s="11">
        <f t="shared" si="596"/>
        <v>0</v>
      </c>
      <c r="P3810" s="12">
        <f t="shared" si="597"/>
        <v>0</v>
      </c>
      <c r="Q3810" s="17" t="str">
        <f t="shared" si="599"/>
        <v>Pas d'écart</v>
      </c>
    </row>
    <row r="3811" spans="1:18" x14ac:dyDescent="0.3">
      <c r="A3811" s="34" t="str">
        <f>base!J3811</f>
        <v>LM</v>
      </c>
      <c r="B3811" s="34" t="str">
        <f>base!V3811</f>
        <v>01000</v>
      </c>
      <c r="C3811" s="37">
        <v>56</v>
      </c>
      <c r="D3811" s="36">
        <f>base!H3811</f>
        <v>67.569999999999993</v>
      </c>
      <c r="E3811" s="44"/>
      <c r="F3811" s="16">
        <f>base!W3811</f>
        <v>18.239999999999998</v>
      </c>
      <c r="G3811" s="11">
        <f t="shared" si="590"/>
        <v>0.26994228207784521</v>
      </c>
      <c r="H3811" s="11">
        <f t="shared" si="591"/>
        <v>18.2439</v>
      </c>
      <c r="I3811" s="11">
        <f t="shared" si="592"/>
        <v>0.27</v>
      </c>
      <c r="J3811" s="12">
        <f t="shared" si="593"/>
        <v>-3.9000000000015689E-3</v>
      </c>
      <c r="K3811" s="17" t="str">
        <f t="shared" si="598"/>
        <v>Ecart négatif</v>
      </c>
      <c r="L3811" s="16">
        <f>base!X3811</f>
        <v>0</v>
      </c>
      <c r="M3811" s="11">
        <f t="shared" si="594"/>
        <v>0</v>
      </c>
      <c r="N3811" s="11">
        <f t="shared" si="595"/>
        <v>0</v>
      </c>
      <c r="O3811" s="11">
        <f t="shared" si="596"/>
        <v>0</v>
      </c>
      <c r="P3811" s="12">
        <f t="shared" si="597"/>
        <v>0</v>
      </c>
      <c r="Q3811" s="17" t="str">
        <f t="shared" si="599"/>
        <v>Pas d'écart</v>
      </c>
    </row>
    <row r="3812" spans="1:18" x14ac:dyDescent="0.3">
      <c r="A3812" s="34" t="str">
        <f>base!J3812</f>
        <v>RM</v>
      </c>
      <c r="B3812" s="34" t="str">
        <f>base!V3812</f>
        <v>14790</v>
      </c>
      <c r="C3812" s="37">
        <v>14</v>
      </c>
      <c r="D3812" s="36">
        <f>base!H3812</f>
        <v>25</v>
      </c>
      <c r="E3812" s="44"/>
      <c r="F3812" s="16">
        <f>base!W3812</f>
        <v>0</v>
      </c>
      <c r="G3812" s="11">
        <f t="shared" si="590"/>
        <v>0</v>
      </c>
      <c r="H3812" s="11">
        <f t="shared" si="591"/>
        <v>4.25</v>
      </c>
      <c r="I3812" s="11">
        <f t="shared" si="592"/>
        <v>0.17</v>
      </c>
      <c r="J3812" s="12">
        <f t="shared" si="593"/>
        <v>-4.25</v>
      </c>
      <c r="K3812" s="17" t="str">
        <f t="shared" si="598"/>
        <v>Ecart négatif</v>
      </c>
      <c r="L3812" s="16">
        <f>base!X3812</f>
        <v>4.25</v>
      </c>
      <c r="M3812" s="11">
        <f t="shared" si="594"/>
        <v>0.17</v>
      </c>
      <c r="N3812" s="11">
        <f t="shared" si="595"/>
        <v>4.25</v>
      </c>
      <c r="O3812" s="11">
        <f t="shared" si="596"/>
        <v>0.17</v>
      </c>
      <c r="P3812" s="12">
        <f t="shared" si="597"/>
        <v>0</v>
      </c>
      <c r="Q3812" s="17" t="str">
        <f t="shared" si="599"/>
        <v>Pas d'écart</v>
      </c>
      <c r="R3812" s="38"/>
    </row>
    <row r="3813" spans="1:18" x14ac:dyDescent="0.3">
      <c r="A3813" s="34" t="str">
        <f>base!J3813</f>
        <v>LM</v>
      </c>
      <c r="B3813" s="34" t="str">
        <f>base!V3813</f>
        <v>22210</v>
      </c>
      <c r="C3813" s="37">
        <v>69</v>
      </c>
      <c r="D3813" s="36">
        <f>base!H3813</f>
        <v>49.08</v>
      </c>
      <c r="E3813" s="44"/>
      <c r="F3813" s="16">
        <f>base!W3813</f>
        <v>19.14</v>
      </c>
      <c r="G3813" s="11">
        <f t="shared" si="590"/>
        <v>0.38997555012224944</v>
      </c>
      <c r="H3813" s="11">
        <f t="shared" si="591"/>
        <v>13.2516</v>
      </c>
      <c r="I3813" s="11">
        <f t="shared" si="592"/>
        <v>0.27</v>
      </c>
      <c r="J3813" s="12">
        <f t="shared" si="593"/>
        <v>5.8884000000000007</v>
      </c>
      <c r="K3813" s="17" t="str">
        <f t="shared" si="598"/>
        <v>Ecart positif</v>
      </c>
      <c r="L3813" s="16">
        <f>base!X3813</f>
        <v>0</v>
      </c>
      <c r="M3813" s="11">
        <f t="shared" si="594"/>
        <v>0</v>
      </c>
      <c r="N3813" s="11">
        <f t="shared" si="595"/>
        <v>0</v>
      </c>
      <c r="O3813" s="11">
        <f t="shared" si="596"/>
        <v>0</v>
      </c>
      <c r="P3813" s="12">
        <f t="shared" si="597"/>
        <v>0</v>
      </c>
      <c r="Q3813" s="17" t="str">
        <f t="shared" si="599"/>
        <v>Pas d'écart</v>
      </c>
    </row>
    <row r="3814" spans="1:18" x14ac:dyDescent="0.3">
      <c r="A3814" s="34" t="str">
        <f>base!J3814</f>
        <v>RS</v>
      </c>
      <c r="B3814" s="34" t="str">
        <f>base!V3814</f>
        <v>59000</v>
      </c>
      <c r="C3814" s="37">
        <v>59</v>
      </c>
      <c r="D3814" s="36">
        <f>base!H3814</f>
        <v>57.2</v>
      </c>
      <c r="E3814" s="44"/>
      <c r="F3814" s="16">
        <f>base!W3814</f>
        <v>0</v>
      </c>
      <c r="G3814" s="11">
        <f t="shared" si="590"/>
        <v>0</v>
      </c>
      <c r="H3814" s="11">
        <f t="shared" si="591"/>
        <v>10.868</v>
      </c>
      <c r="I3814" s="11">
        <f t="shared" si="592"/>
        <v>0.19</v>
      </c>
      <c r="J3814" s="12">
        <f t="shared" si="593"/>
        <v>-10.868</v>
      </c>
      <c r="K3814" s="17" t="str">
        <f t="shared" si="598"/>
        <v>Ecart négatif</v>
      </c>
      <c r="L3814" s="16">
        <f>base!X3814</f>
        <v>0</v>
      </c>
      <c r="M3814" s="11">
        <f t="shared" si="594"/>
        <v>0</v>
      </c>
      <c r="N3814" s="11">
        <f t="shared" si="595"/>
        <v>0</v>
      </c>
      <c r="O3814" s="11">
        <f t="shared" si="596"/>
        <v>0</v>
      </c>
      <c r="P3814" s="12">
        <f t="shared" si="597"/>
        <v>0</v>
      </c>
      <c r="Q3814" s="17" t="str">
        <f t="shared" si="599"/>
        <v>Pas d'écart</v>
      </c>
    </row>
    <row r="3815" spans="1:18" x14ac:dyDescent="0.3">
      <c r="A3815" s="34" t="str">
        <f>base!J3815</f>
        <v>RM</v>
      </c>
      <c r="B3815" s="34" t="str">
        <f>base!V3815</f>
        <v>75013</v>
      </c>
      <c r="C3815" s="37">
        <v>75</v>
      </c>
      <c r="D3815" s="36">
        <f>base!H3815</f>
        <v>151</v>
      </c>
      <c r="E3815" s="44"/>
      <c r="F3815" s="16">
        <f>base!W3815</f>
        <v>0</v>
      </c>
      <c r="G3815" s="11">
        <f t="shared" si="590"/>
        <v>0</v>
      </c>
      <c r="H3815" s="11">
        <f t="shared" si="591"/>
        <v>0</v>
      </c>
      <c r="I3815" s="11">
        <f t="shared" si="592"/>
        <v>0</v>
      </c>
      <c r="J3815" s="12">
        <f t="shared" si="593"/>
        <v>0</v>
      </c>
      <c r="K3815" s="17" t="str">
        <f t="shared" si="598"/>
        <v>Pas d'écart</v>
      </c>
      <c r="L3815" s="16">
        <f>base!X3815</f>
        <v>0</v>
      </c>
      <c r="M3815" s="11">
        <f t="shared" si="594"/>
        <v>0</v>
      </c>
      <c r="N3815" s="11">
        <f t="shared" si="595"/>
        <v>0</v>
      </c>
      <c r="O3815" s="11">
        <f t="shared" si="596"/>
        <v>0</v>
      </c>
      <c r="P3815" s="12">
        <f t="shared" si="597"/>
        <v>0</v>
      </c>
      <c r="Q3815" s="17" t="str">
        <f t="shared" si="599"/>
        <v>Pas d'écart</v>
      </c>
    </row>
    <row r="3816" spans="1:18" x14ac:dyDescent="0.3">
      <c r="A3816" s="34" t="str">
        <f>base!J3816</f>
        <v>LM</v>
      </c>
      <c r="B3816" s="34" t="str">
        <f>base!V3816</f>
        <v>51320</v>
      </c>
      <c r="C3816" s="37">
        <v>51</v>
      </c>
      <c r="D3816" s="36">
        <f>base!H3816</f>
        <v>40</v>
      </c>
      <c r="E3816" s="44"/>
      <c r="F3816" s="16">
        <f>base!W3816</f>
        <v>10</v>
      </c>
      <c r="G3816" s="11">
        <f t="shared" si="590"/>
        <v>0.25</v>
      </c>
      <c r="H3816" s="11">
        <f t="shared" si="591"/>
        <v>10</v>
      </c>
      <c r="I3816" s="11">
        <f t="shared" si="592"/>
        <v>0.25</v>
      </c>
      <c r="J3816" s="12">
        <f t="shared" si="593"/>
        <v>0</v>
      </c>
      <c r="K3816" s="17" t="str">
        <f t="shared" si="598"/>
        <v>Pas d'écart</v>
      </c>
      <c r="L3816" s="16">
        <f>base!X3816</f>
        <v>0</v>
      </c>
      <c r="M3816" s="11">
        <f t="shared" si="594"/>
        <v>0</v>
      </c>
      <c r="N3816" s="11">
        <f t="shared" si="595"/>
        <v>10</v>
      </c>
      <c r="O3816" s="11">
        <f t="shared" si="596"/>
        <v>0.25</v>
      </c>
      <c r="P3816" s="12">
        <f t="shared" si="597"/>
        <v>-10</v>
      </c>
      <c r="Q3816" s="17" t="str">
        <f t="shared" si="599"/>
        <v>Ecart négatif</v>
      </c>
    </row>
    <row r="3817" spans="1:18" x14ac:dyDescent="0.3">
      <c r="A3817" s="34" t="str">
        <f>base!J3817</f>
        <v>LS</v>
      </c>
      <c r="B3817" s="34" t="str">
        <f>base!V3817</f>
        <v>74300</v>
      </c>
      <c r="C3817" s="37">
        <v>51</v>
      </c>
      <c r="D3817" s="36">
        <f>base!H3817</f>
        <v>55.34</v>
      </c>
      <c r="E3817" s="44"/>
      <c r="F3817" s="16">
        <f>base!W3817</f>
        <v>14.94</v>
      </c>
      <c r="G3817" s="11">
        <f t="shared" si="590"/>
        <v>0.26996747379833752</v>
      </c>
      <c r="H3817" s="11">
        <f t="shared" si="591"/>
        <v>13.835000000000001</v>
      </c>
      <c r="I3817" s="11">
        <f t="shared" si="592"/>
        <v>0.25</v>
      </c>
      <c r="J3817" s="12">
        <f t="shared" si="593"/>
        <v>1.1049999999999986</v>
      </c>
      <c r="K3817" s="17" t="str">
        <f t="shared" si="598"/>
        <v>Ecart positif</v>
      </c>
      <c r="L3817" s="16">
        <f>base!X3817</f>
        <v>0</v>
      </c>
      <c r="M3817" s="11">
        <f t="shared" si="594"/>
        <v>0</v>
      </c>
      <c r="N3817" s="11">
        <f t="shared" si="595"/>
        <v>13.835000000000001</v>
      </c>
      <c r="O3817" s="11">
        <f t="shared" si="596"/>
        <v>0.25</v>
      </c>
      <c r="P3817" s="12">
        <f t="shared" si="597"/>
        <v>-13.835000000000001</v>
      </c>
      <c r="Q3817" s="17" t="str">
        <f t="shared" si="599"/>
        <v>Ecart négatif</v>
      </c>
    </row>
    <row r="3818" spans="1:18" x14ac:dyDescent="0.3">
      <c r="A3818" s="34" t="str">
        <f>base!J3818</f>
        <v>LM</v>
      </c>
      <c r="B3818" s="34" t="str">
        <f>base!V3818</f>
        <v>25300</v>
      </c>
      <c r="C3818" s="37">
        <v>67</v>
      </c>
      <c r="D3818" s="36">
        <f>base!H3818</f>
        <v>22.62</v>
      </c>
      <c r="E3818" s="44"/>
      <c r="F3818" s="16">
        <f>base!W3818</f>
        <v>0</v>
      </c>
      <c r="G3818" s="11">
        <f t="shared" si="590"/>
        <v>0</v>
      </c>
      <c r="H3818" s="11">
        <f t="shared" si="591"/>
        <v>6.5598000000000001</v>
      </c>
      <c r="I3818" s="11">
        <f t="shared" si="592"/>
        <v>0.28999999999999998</v>
      </c>
      <c r="J3818" s="12">
        <f t="shared" si="593"/>
        <v>-6.5598000000000001</v>
      </c>
      <c r="K3818" s="17" t="str">
        <f t="shared" si="598"/>
        <v>Ecart négatif</v>
      </c>
      <c r="L3818" s="16">
        <f>base!X3818</f>
        <v>0</v>
      </c>
      <c r="M3818" s="11">
        <f t="shared" si="594"/>
        <v>0</v>
      </c>
      <c r="N3818" s="11">
        <f t="shared" si="595"/>
        <v>1.8096000000000001</v>
      </c>
      <c r="O3818" s="11">
        <f t="shared" si="596"/>
        <v>0.08</v>
      </c>
      <c r="P3818" s="12">
        <f t="shared" si="597"/>
        <v>-1.8096000000000001</v>
      </c>
      <c r="Q3818" s="17" t="str">
        <f t="shared" si="599"/>
        <v>Ecart négatif</v>
      </c>
    </row>
    <row r="3819" spans="1:18" x14ac:dyDescent="0.3">
      <c r="A3819" s="34" t="str">
        <f>base!J3819</f>
        <v>RM</v>
      </c>
      <c r="B3819" s="34" t="str">
        <f>base!V3819</f>
        <v>14100</v>
      </c>
      <c r="C3819" s="37">
        <v>14</v>
      </c>
      <c r="D3819" s="36">
        <f>base!H3819</f>
        <v>180</v>
      </c>
      <c r="E3819" s="44"/>
      <c r="F3819" s="16">
        <f>base!W3819</f>
        <v>0</v>
      </c>
      <c r="G3819" s="11">
        <f t="shared" si="590"/>
        <v>0</v>
      </c>
      <c r="H3819" s="11">
        <f t="shared" si="591"/>
        <v>30.6</v>
      </c>
      <c r="I3819" s="11">
        <f t="shared" si="592"/>
        <v>0.17</v>
      </c>
      <c r="J3819" s="12">
        <f t="shared" si="593"/>
        <v>-30.6</v>
      </c>
      <c r="K3819" s="17" t="str">
        <f t="shared" si="598"/>
        <v>Ecart négatif</v>
      </c>
      <c r="L3819" s="16">
        <f>base!X3819</f>
        <v>30.6</v>
      </c>
      <c r="M3819" s="11">
        <f t="shared" si="594"/>
        <v>0.17</v>
      </c>
      <c r="N3819" s="11">
        <f t="shared" si="595"/>
        <v>30.6</v>
      </c>
      <c r="O3819" s="11">
        <f t="shared" si="596"/>
        <v>0.17</v>
      </c>
      <c r="P3819" s="12">
        <f t="shared" si="597"/>
        <v>0</v>
      </c>
      <c r="Q3819" s="17" t="str">
        <f t="shared" si="599"/>
        <v>Pas d'écart</v>
      </c>
    </row>
    <row r="3820" spans="1:18" x14ac:dyDescent="0.3">
      <c r="A3820" s="34" t="str">
        <f>base!J3820</f>
        <v>LS</v>
      </c>
      <c r="B3820" s="34" t="str">
        <f>base!V3820</f>
        <v>93190</v>
      </c>
      <c r="C3820" s="37">
        <v>93</v>
      </c>
      <c r="D3820" s="36">
        <f>base!H3820</f>
        <v>393.96</v>
      </c>
      <c r="E3820" s="44"/>
      <c r="F3820" s="16">
        <f>base!W3820</f>
        <v>0</v>
      </c>
      <c r="G3820" s="11">
        <f t="shared" si="590"/>
        <v>0</v>
      </c>
      <c r="H3820" s="11">
        <f t="shared" si="591"/>
        <v>0</v>
      </c>
      <c r="I3820" s="11">
        <f t="shared" si="592"/>
        <v>0</v>
      </c>
      <c r="J3820" s="12">
        <f t="shared" si="593"/>
        <v>0</v>
      </c>
      <c r="K3820" s="17" t="str">
        <f t="shared" si="598"/>
        <v>Pas d'écart</v>
      </c>
      <c r="L3820" s="16">
        <f>base!X3820</f>
        <v>0</v>
      </c>
      <c r="M3820" s="11">
        <f t="shared" si="594"/>
        <v>0</v>
      </c>
      <c r="N3820" s="11">
        <f t="shared" si="595"/>
        <v>0</v>
      </c>
      <c r="O3820" s="11">
        <f t="shared" si="596"/>
        <v>0</v>
      </c>
      <c r="P3820" s="12">
        <f t="shared" si="597"/>
        <v>0</v>
      </c>
      <c r="Q3820" s="17" t="str">
        <f t="shared" si="599"/>
        <v>Pas d'écart</v>
      </c>
    </row>
    <row r="3821" spans="1:18" x14ac:dyDescent="0.3">
      <c r="A3821" s="34" t="str">
        <f>base!J3821</f>
        <v>RS</v>
      </c>
      <c r="B3821" s="34" t="str">
        <f>base!V3821</f>
        <v>94150</v>
      </c>
      <c r="C3821" s="37">
        <v>94</v>
      </c>
      <c r="D3821" s="36">
        <f>base!H3821</f>
        <v>25</v>
      </c>
      <c r="E3821" s="44"/>
      <c r="F3821" s="16">
        <f>base!W3821</f>
        <v>0</v>
      </c>
      <c r="G3821" s="11">
        <f t="shared" si="590"/>
        <v>0</v>
      </c>
      <c r="H3821" s="11">
        <f t="shared" si="591"/>
        <v>0</v>
      </c>
      <c r="I3821" s="11">
        <f t="shared" si="592"/>
        <v>0</v>
      </c>
      <c r="J3821" s="12">
        <f t="shared" si="593"/>
        <v>0</v>
      </c>
      <c r="K3821" s="17" t="str">
        <f t="shared" si="598"/>
        <v>Pas d'écart</v>
      </c>
      <c r="L3821" s="16">
        <f>base!X3821</f>
        <v>0</v>
      </c>
      <c r="M3821" s="11">
        <f t="shared" si="594"/>
        <v>0</v>
      </c>
      <c r="N3821" s="11">
        <f t="shared" si="595"/>
        <v>0</v>
      </c>
      <c r="O3821" s="11">
        <f t="shared" si="596"/>
        <v>0</v>
      </c>
      <c r="P3821" s="12">
        <f t="shared" si="597"/>
        <v>0</v>
      </c>
      <c r="Q3821" s="17" t="str">
        <f t="shared" si="599"/>
        <v>Pas d'écart</v>
      </c>
    </row>
    <row r="3822" spans="1:18" x14ac:dyDescent="0.3">
      <c r="A3822" s="34" t="str">
        <f>base!J3822</f>
        <v>RM</v>
      </c>
      <c r="B3822" s="34" t="str">
        <f>base!V3822</f>
        <v>11100</v>
      </c>
      <c r="C3822" s="37">
        <v>11</v>
      </c>
      <c r="D3822" s="36">
        <f>base!H3822</f>
        <v>151</v>
      </c>
      <c r="E3822" s="44"/>
      <c r="F3822" s="16">
        <f>base!W3822</f>
        <v>0</v>
      </c>
      <c r="G3822" s="11">
        <f t="shared" si="590"/>
        <v>0</v>
      </c>
      <c r="H3822" s="11">
        <f t="shared" si="591"/>
        <v>54.36</v>
      </c>
      <c r="I3822" s="11">
        <f t="shared" si="592"/>
        <v>0.36</v>
      </c>
      <c r="J3822" s="12">
        <f t="shared" si="593"/>
        <v>-54.36</v>
      </c>
      <c r="K3822" s="17" t="str">
        <f t="shared" si="598"/>
        <v>Ecart négatif</v>
      </c>
      <c r="L3822" s="16">
        <f>base!X3822</f>
        <v>42.28</v>
      </c>
      <c r="M3822" s="11">
        <f t="shared" si="594"/>
        <v>0.28000000000000003</v>
      </c>
      <c r="N3822" s="11">
        <f t="shared" si="595"/>
        <v>42.28</v>
      </c>
      <c r="O3822" s="11">
        <f t="shared" si="596"/>
        <v>0.28000000000000003</v>
      </c>
      <c r="P3822" s="12">
        <f t="shared" si="597"/>
        <v>0</v>
      </c>
      <c r="Q3822" s="17" t="str">
        <f t="shared" si="599"/>
        <v>Pas d'écart</v>
      </c>
      <c r="R3822" s="38"/>
    </row>
    <row r="3823" spans="1:18" x14ac:dyDescent="0.3">
      <c r="A3823" s="34" t="str">
        <f>base!J3823</f>
        <v>RS</v>
      </c>
      <c r="B3823" s="34" t="str">
        <f>base!V3823</f>
        <v>76940</v>
      </c>
      <c r="C3823" s="37">
        <v>76</v>
      </c>
      <c r="D3823" s="36">
        <f>base!H3823</f>
        <v>126.4</v>
      </c>
      <c r="E3823" s="44"/>
      <c r="F3823" s="16">
        <f>base!W3823</f>
        <v>0</v>
      </c>
      <c r="G3823" s="11">
        <f t="shared" si="590"/>
        <v>0</v>
      </c>
      <c r="H3823" s="11">
        <f t="shared" si="591"/>
        <v>21.488000000000003</v>
      </c>
      <c r="I3823" s="11">
        <f t="shared" si="592"/>
        <v>0.17</v>
      </c>
      <c r="J3823" s="12">
        <f t="shared" si="593"/>
        <v>-21.488000000000003</v>
      </c>
      <c r="K3823" s="17" t="str">
        <f t="shared" si="598"/>
        <v>Ecart négatif</v>
      </c>
      <c r="L3823" s="16">
        <f>base!X3823</f>
        <v>21.49</v>
      </c>
      <c r="M3823" s="11">
        <f t="shared" si="594"/>
        <v>0.17001582278481012</v>
      </c>
      <c r="N3823" s="11">
        <f t="shared" si="595"/>
        <v>21.488000000000003</v>
      </c>
      <c r="O3823" s="11">
        <f t="shared" si="596"/>
        <v>0.17</v>
      </c>
      <c r="P3823" s="12">
        <f t="shared" si="597"/>
        <v>1.9999999999953388E-3</v>
      </c>
      <c r="Q3823" s="17" t="str">
        <f t="shared" si="599"/>
        <v>Ecart positif</v>
      </c>
      <c r="R3823" s="38"/>
    </row>
    <row r="3824" spans="1:18" x14ac:dyDescent="0.3">
      <c r="A3824" s="34" t="str">
        <f>base!J3824</f>
        <v>LM</v>
      </c>
      <c r="B3824" s="34" t="str">
        <f>base!V3824</f>
        <v>89100</v>
      </c>
      <c r="C3824" s="37">
        <v>67</v>
      </c>
      <c r="D3824" s="36">
        <f>base!H3824</f>
        <v>0.7</v>
      </c>
      <c r="E3824" s="44"/>
      <c r="F3824" s="16">
        <f>base!W3824</f>
        <v>0.17</v>
      </c>
      <c r="G3824" s="11">
        <f t="shared" si="590"/>
        <v>0.24285714285714288</v>
      </c>
      <c r="H3824" s="11">
        <f t="shared" si="591"/>
        <v>0.20299999999999999</v>
      </c>
      <c r="I3824" s="11">
        <f t="shared" si="592"/>
        <v>0.28999999999999998</v>
      </c>
      <c r="J3824" s="12">
        <f t="shared" si="593"/>
        <v>-3.2999999999999974E-2</v>
      </c>
      <c r="K3824" s="17" t="str">
        <f t="shared" si="598"/>
        <v>Ecart négatif</v>
      </c>
      <c r="L3824" s="16">
        <f>base!X3824</f>
        <v>0</v>
      </c>
      <c r="M3824" s="11">
        <f t="shared" si="594"/>
        <v>0</v>
      </c>
      <c r="N3824" s="11">
        <f t="shared" si="595"/>
        <v>5.5999999999999994E-2</v>
      </c>
      <c r="O3824" s="11">
        <f t="shared" si="596"/>
        <v>0.08</v>
      </c>
      <c r="P3824" s="12">
        <f t="shared" si="597"/>
        <v>-5.5999999999999994E-2</v>
      </c>
      <c r="Q3824" s="17" t="str">
        <f t="shared" si="599"/>
        <v>Ecart négatif</v>
      </c>
    </row>
    <row r="3825" spans="1:18" x14ac:dyDescent="0.3">
      <c r="A3825" s="34" t="str">
        <f>base!J3825</f>
        <v>LS</v>
      </c>
      <c r="B3825" s="34" t="str">
        <f>base!V3825</f>
        <v>63100</v>
      </c>
      <c r="C3825" s="37">
        <v>63</v>
      </c>
      <c r="D3825" s="36">
        <f>base!H3825</f>
        <v>60</v>
      </c>
      <c r="E3825" s="44"/>
      <c r="F3825" s="16">
        <f>base!W3825</f>
        <v>17.399999999999999</v>
      </c>
      <c r="G3825" s="11">
        <f t="shared" si="590"/>
        <v>0.28999999999999998</v>
      </c>
      <c r="H3825" s="11">
        <f t="shared" si="591"/>
        <v>17.399999999999999</v>
      </c>
      <c r="I3825" s="11">
        <f t="shared" si="592"/>
        <v>0.28999999999999998</v>
      </c>
      <c r="J3825" s="12">
        <f t="shared" si="593"/>
        <v>0</v>
      </c>
      <c r="K3825" s="17" t="str">
        <f t="shared" si="598"/>
        <v>Pas d'écart</v>
      </c>
      <c r="L3825" s="16">
        <f>base!X3825</f>
        <v>0</v>
      </c>
      <c r="M3825" s="11">
        <f t="shared" si="594"/>
        <v>0</v>
      </c>
      <c r="N3825" s="11">
        <f t="shared" si="595"/>
        <v>7.1999999999999993</v>
      </c>
      <c r="O3825" s="11">
        <f t="shared" si="596"/>
        <v>0.11999999999999998</v>
      </c>
      <c r="P3825" s="12">
        <f t="shared" si="597"/>
        <v>-7.1999999999999993</v>
      </c>
      <c r="Q3825" s="17" t="str">
        <f t="shared" si="599"/>
        <v>Ecart négatif</v>
      </c>
    </row>
    <row r="3826" spans="1:18" x14ac:dyDescent="0.3">
      <c r="A3826" s="34">
        <f>base!J3826</f>
        <v>0</v>
      </c>
      <c r="B3826" s="34" t="str">
        <f>base!V3826</f>
        <v>77184</v>
      </c>
      <c r="C3826" s="37">
        <v>77</v>
      </c>
      <c r="D3826" s="36">
        <f>base!H3826</f>
        <v>180</v>
      </c>
      <c r="E3826" s="44"/>
      <c r="F3826" s="16">
        <f>base!W3826</f>
        <v>0</v>
      </c>
      <c r="G3826" s="11">
        <f t="shared" si="590"/>
        <v>0</v>
      </c>
      <c r="H3826" s="11">
        <f t="shared" si="591"/>
        <v>0</v>
      </c>
      <c r="I3826" s="11">
        <f t="shared" si="592"/>
        <v>0</v>
      </c>
      <c r="J3826" s="12">
        <f t="shared" si="593"/>
        <v>0</v>
      </c>
      <c r="K3826" s="17" t="str">
        <f t="shared" si="598"/>
        <v>Pas d'écart</v>
      </c>
      <c r="L3826" s="16">
        <f>base!X3826</f>
        <v>0</v>
      </c>
      <c r="M3826" s="11">
        <f t="shared" si="594"/>
        <v>0</v>
      </c>
      <c r="N3826" s="11">
        <f t="shared" si="595"/>
        <v>0</v>
      </c>
      <c r="O3826" s="11">
        <f t="shared" si="596"/>
        <v>0</v>
      </c>
      <c r="P3826" s="12">
        <f t="shared" si="597"/>
        <v>0</v>
      </c>
      <c r="Q3826" s="17" t="str">
        <f t="shared" si="599"/>
        <v>Pas d'écart</v>
      </c>
    </row>
    <row r="3827" spans="1:18" x14ac:dyDescent="0.3">
      <c r="A3827" s="34" t="str">
        <f>base!J3827</f>
        <v>LM</v>
      </c>
      <c r="B3827" s="34" t="str">
        <f>base!V3827</f>
        <v>62740</v>
      </c>
      <c r="C3827" s="37">
        <v>67</v>
      </c>
      <c r="D3827" s="36">
        <f>base!H3827</f>
        <v>139.19999999999999</v>
      </c>
      <c r="E3827" s="44"/>
      <c r="F3827" s="16">
        <f>base!W3827</f>
        <v>26.45</v>
      </c>
      <c r="G3827" s="11">
        <f t="shared" si="590"/>
        <v>0.19001436781609196</v>
      </c>
      <c r="H3827" s="11">
        <f t="shared" si="591"/>
        <v>40.367999999999995</v>
      </c>
      <c r="I3827" s="11">
        <f t="shared" si="592"/>
        <v>0.28999999999999998</v>
      </c>
      <c r="J3827" s="12">
        <f t="shared" si="593"/>
        <v>-13.917999999999996</v>
      </c>
      <c r="K3827" s="17" t="str">
        <f t="shared" si="598"/>
        <v>Ecart négatif</v>
      </c>
      <c r="L3827" s="16">
        <f>base!X3827</f>
        <v>0</v>
      </c>
      <c r="M3827" s="11">
        <f t="shared" si="594"/>
        <v>0</v>
      </c>
      <c r="N3827" s="11">
        <f t="shared" si="595"/>
        <v>11.135999999999999</v>
      </c>
      <c r="O3827" s="11">
        <f t="shared" si="596"/>
        <v>0.08</v>
      </c>
      <c r="P3827" s="12">
        <f t="shared" si="597"/>
        <v>-11.135999999999999</v>
      </c>
      <c r="Q3827" s="17" t="str">
        <f t="shared" si="599"/>
        <v>Ecart négatif</v>
      </c>
    </row>
    <row r="3828" spans="1:18" x14ac:dyDescent="0.3">
      <c r="A3828" s="34" t="str">
        <f>base!J3828</f>
        <v>LM</v>
      </c>
      <c r="B3828" s="34" t="str">
        <f>base!V3828</f>
        <v>62740</v>
      </c>
      <c r="C3828" s="37">
        <v>67</v>
      </c>
      <c r="D3828" s="36">
        <f>base!H3828</f>
        <v>139.19999999999999</v>
      </c>
      <c r="E3828" s="44"/>
      <c r="F3828" s="16">
        <f>base!W3828</f>
        <v>26.45</v>
      </c>
      <c r="G3828" s="11">
        <f t="shared" si="590"/>
        <v>0.19001436781609196</v>
      </c>
      <c r="H3828" s="11">
        <f t="shared" si="591"/>
        <v>40.367999999999995</v>
      </c>
      <c r="I3828" s="11">
        <f t="shared" si="592"/>
        <v>0.28999999999999998</v>
      </c>
      <c r="J3828" s="12">
        <f t="shared" si="593"/>
        <v>-13.917999999999996</v>
      </c>
      <c r="K3828" s="17" t="str">
        <f t="shared" si="598"/>
        <v>Ecart négatif</v>
      </c>
      <c r="L3828" s="16">
        <f>base!X3828</f>
        <v>0</v>
      </c>
      <c r="M3828" s="11">
        <f t="shared" si="594"/>
        <v>0</v>
      </c>
      <c r="N3828" s="11">
        <f t="shared" si="595"/>
        <v>11.135999999999999</v>
      </c>
      <c r="O3828" s="11">
        <f t="shared" si="596"/>
        <v>0.08</v>
      </c>
      <c r="P3828" s="12">
        <f t="shared" si="597"/>
        <v>-11.135999999999999</v>
      </c>
      <c r="Q3828" s="17" t="str">
        <f t="shared" si="599"/>
        <v>Ecart négatif</v>
      </c>
    </row>
    <row r="3829" spans="1:18" x14ac:dyDescent="0.3">
      <c r="A3829" s="34">
        <f>base!J3829</f>
        <v>0</v>
      </c>
      <c r="B3829" s="34" t="str">
        <f>base!V3829</f>
        <v>44240</v>
      </c>
      <c r="C3829" s="37">
        <v>44</v>
      </c>
      <c r="D3829" s="36">
        <f>base!H3829</f>
        <v>22.8</v>
      </c>
      <c r="E3829" s="44"/>
      <c r="F3829" s="16">
        <f>base!W3829</f>
        <v>0</v>
      </c>
      <c r="G3829" s="11">
        <f t="shared" si="590"/>
        <v>0</v>
      </c>
      <c r="H3829" s="11">
        <f t="shared" si="591"/>
        <v>6.1560000000000006</v>
      </c>
      <c r="I3829" s="11">
        <f t="shared" si="592"/>
        <v>0.27</v>
      </c>
      <c r="J3829" s="12">
        <f t="shared" si="593"/>
        <v>-6.1560000000000006</v>
      </c>
      <c r="K3829" s="17" t="str">
        <f t="shared" si="598"/>
        <v>Ecart négatif</v>
      </c>
      <c r="L3829" s="16">
        <f>base!X3829</f>
        <v>0</v>
      </c>
      <c r="M3829" s="11">
        <f t="shared" si="594"/>
        <v>0</v>
      </c>
      <c r="N3829" s="11">
        <f t="shared" si="595"/>
        <v>0</v>
      </c>
      <c r="O3829" s="11">
        <f t="shared" si="596"/>
        <v>0</v>
      </c>
      <c r="P3829" s="12">
        <f t="shared" si="597"/>
        <v>0</v>
      </c>
      <c r="Q3829" s="17" t="str">
        <f t="shared" si="599"/>
        <v>Pas d'écart</v>
      </c>
    </row>
    <row r="3830" spans="1:18" x14ac:dyDescent="0.3">
      <c r="A3830" s="34">
        <f>base!J3830</f>
        <v>0</v>
      </c>
      <c r="B3830" s="34" t="str">
        <f>base!V3830</f>
        <v>44240</v>
      </c>
      <c r="C3830" s="37">
        <v>44</v>
      </c>
      <c r="D3830" s="36">
        <f>base!H3830</f>
        <v>31</v>
      </c>
      <c r="E3830" s="44"/>
      <c r="F3830" s="16">
        <f>base!W3830</f>
        <v>0</v>
      </c>
      <c r="G3830" s="11">
        <f t="shared" si="590"/>
        <v>0</v>
      </c>
      <c r="H3830" s="11">
        <f t="shared" si="591"/>
        <v>8.370000000000001</v>
      </c>
      <c r="I3830" s="11">
        <f t="shared" si="592"/>
        <v>0.27</v>
      </c>
      <c r="J3830" s="12">
        <f t="shared" si="593"/>
        <v>-8.370000000000001</v>
      </c>
      <c r="K3830" s="17" t="str">
        <f t="shared" si="598"/>
        <v>Ecart négatif</v>
      </c>
      <c r="L3830" s="16">
        <f>base!X3830</f>
        <v>0</v>
      </c>
      <c r="M3830" s="11">
        <f t="shared" si="594"/>
        <v>0</v>
      </c>
      <c r="N3830" s="11">
        <f t="shared" si="595"/>
        <v>0</v>
      </c>
      <c r="O3830" s="11">
        <f t="shared" si="596"/>
        <v>0</v>
      </c>
      <c r="P3830" s="12">
        <f t="shared" si="597"/>
        <v>0</v>
      </c>
      <c r="Q3830" s="17" t="str">
        <f t="shared" si="599"/>
        <v>Pas d'écart</v>
      </c>
    </row>
    <row r="3831" spans="1:18" x14ac:dyDescent="0.3">
      <c r="A3831" s="34">
        <f>base!J3831</f>
        <v>0</v>
      </c>
      <c r="B3831" s="34" t="str">
        <f>base!V3831</f>
        <v>44240</v>
      </c>
      <c r="C3831" s="37">
        <v>44</v>
      </c>
      <c r="D3831" s="36">
        <f>base!H3831</f>
        <v>31</v>
      </c>
      <c r="E3831" s="44"/>
      <c r="F3831" s="16">
        <f>base!W3831</f>
        <v>0</v>
      </c>
      <c r="G3831" s="11">
        <f t="shared" si="590"/>
        <v>0</v>
      </c>
      <c r="H3831" s="11">
        <f t="shared" si="591"/>
        <v>8.370000000000001</v>
      </c>
      <c r="I3831" s="11">
        <f t="shared" si="592"/>
        <v>0.27</v>
      </c>
      <c r="J3831" s="12">
        <f t="shared" si="593"/>
        <v>-8.370000000000001</v>
      </c>
      <c r="K3831" s="17" t="str">
        <f t="shared" si="598"/>
        <v>Ecart négatif</v>
      </c>
      <c r="L3831" s="16">
        <f>base!X3831</f>
        <v>0</v>
      </c>
      <c r="M3831" s="11">
        <f t="shared" si="594"/>
        <v>0</v>
      </c>
      <c r="N3831" s="11">
        <f t="shared" si="595"/>
        <v>0</v>
      </c>
      <c r="O3831" s="11">
        <f t="shared" si="596"/>
        <v>0</v>
      </c>
      <c r="P3831" s="12">
        <f t="shared" si="597"/>
        <v>0</v>
      </c>
      <c r="Q3831" s="17" t="str">
        <f t="shared" si="599"/>
        <v>Pas d'écart</v>
      </c>
    </row>
    <row r="3832" spans="1:18" x14ac:dyDescent="0.3">
      <c r="A3832" s="34">
        <f>base!J3832</f>
        <v>0</v>
      </c>
      <c r="B3832" s="34" t="str">
        <f>base!V3832</f>
        <v>44240</v>
      </c>
      <c r="C3832" s="37">
        <v>44</v>
      </c>
      <c r="D3832" s="36">
        <f>base!H3832</f>
        <v>65</v>
      </c>
      <c r="E3832" s="44"/>
      <c r="F3832" s="16">
        <f>base!W3832</f>
        <v>0</v>
      </c>
      <c r="G3832" s="11">
        <f t="shared" si="590"/>
        <v>0</v>
      </c>
      <c r="H3832" s="11">
        <f t="shared" si="591"/>
        <v>17.55</v>
      </c>
      <c r="I3832" s="11">
        <f t="shared" si="592"/>
        <v>0.27</v>
      </c>
      <c r="J3832" s="12">
        <f t="shared" si="593"/>
        <v>-17.55</v>
      </c>
      <c r="K3832" s="17" t="str">
        <f t="shared" si="598"/>
        <v>Ecart négatif</v>
      </c>
      <c r="L3832" s="16">
        <f>base!X3832</f>
        <v>0</v>
      </c>
      <c r="M3832" s="11">
        <f t="shared" si="594"/>
        <v>0</v>
      </c>
      <c r="N3832" s="11">
        <f t="shared" si="595"/>
        <v>0</v>
      </c>
      <c r="O3832" s="11">
        <f t="shared" si="596"/>
        <v>0</v>
      </c>
      <c r="P3832" s="12">
        <f t="shared" si="597"/>
        <v>0</v>
      </c>
      <c r="Q3832" s="17" t="str">
        <f t="shared" si="599"/>
        <v>Pas d'écart</v>
      </c>
    </row>
    <row r="3833" spans="1:18" x14ac:dyDescent="0.3">
      <c r="A3833" s="34" t="str">
        <f>base!J3833</f>
        <v>LM</v>
      </c>
      <c r="B3833" s="34" t="str">
        <f>base!V3833</f>
        <v>62740</v>
      </c>
      <c r="C3833" s="37">
        <v>62</v>
      </c>
      <c r="D3833" s="36">
        <f>base!H3833</f>
        <v>40</v>
      </c>
      <c r="E3833" s="44"/>
      <c r="F3833" s="16">
        <f>base!W3833</f>
        <v>7.6</v>
      </c>
      <c r="G3833" s="11">
        <f t="shared" si="590"/>
        <v>0.19</v>
      </c>
      <c r="H3833" s="11">
        <f t="shared" si="591"/>
        <v>7.6</v>
      </c>
      <c r="I3833" s="11">
        <f t="shared" si="592"/>
        <v>0.19</v>
      </c>
      <c r="J3833" s="12">
        <f t="shared" si="593"/>
        <v>0</v>
      </c>
      <c r="K3833" s="17" t="str">
        <f t="shared" si="598"/>
        <v>Pas d'écart</v>
      </c>
      <c r="L3833" s="16">
        <f>base!X3833</f>
        <v>0</v>
      </c>
      <c r="M3833" s="11">
        <f t="shared" si="594"/>
        <v>0</v>
      </c>
      <c r="N3833" s="11">
        <f t="shared" si="595"/>
        <v>0</v>
      </c>
      <c r="O3833" s="11">
        <f t="shared" si="596"/>
        <v>0</v>
      </c>
      <c r="P3833" s="12">
        <f t="shared" si="597"/>
        <v>0</v>
      </c>
      <c r="Q3833" s="17" t="str">
        <f t="shared" si="599"/>
        <v>Pas d'écart</v>
      </c>
    </row>
    <row r="3834" spans="1:18" x14ac:dyDescent="0.3">
      <c r="A3834" s="34">
        <f>base!J3834</f>
        <v>0</v>
      </c>
      <c r="B3834" s="34" t="str">
        <f>base!V3834</f>
        <v>77184</v>
      </c>
      <c r="C3834" s="37">
        <v>77</v>
      </c>
      <c r="D3834" s="36">
        <f>base!H3834</f>
        <v>57</v>
      </c>
      <c r="E3834" s="44"/>
      <c r="F3834" s="16">
        <f>base!W3834</f>
        <v>0</v>
      </c>
      <c r="G3834" s="11">
        <f t="shared" si="590"/>
        <v>0</v>
      </c>
      <c r="H3834" s="11">
        <f t="shared" si="591"/>
        <v>0</v>
      </c>
      <c r="I3834" s="11">
        <f t="shared" si="592"/>
        <v>0</v>
      </c>
      <c r="J3834" s="12">
        <f t="shared" si="593"/>
        <v>0</v>
      </c>
      <c r="K3834" s="17" t="str">
        <f t="shared" si="598"/>
        <v>Pas d'écart</v>
      </c>
      <c r="L3834" s="16">
        <f>base!X3834</f>
        <v>0</v>
      </c>
      <c r="M3834" s="11">
        <f t="shared" si="594"/>
        <v>0</v>
      </c>
      <c r="N3834" s="11">
        <f t="shared" si="595"/>
        <v>0</v>
      </c>
      <c r="O3834" s="11">
        <f t="shared" si="596"/>
        <v>0</v>
      </c>
      <c r="P3834" s="12">
        <f t="shared" si="597"/>
        <v>0</v>
      </c>
      <c r="Q3834" s="17" t="str">
        <f t="shared" si="599"/>
        <v>Pas d'écart</v>
      </c>
    </row>
    <row r="3835" spans="1:18" x14ac:dyDescent="0.3">
      <c r="A3835" s="34">
        <f>base!J3835</f>
        <v>0</v>
      </c>
      <c r="B3835" s="34" t="str">
        <f>base!V3835</f>
        <v>77184</v>
      </c>
      <c r="C3835" s="37">
        <v>77</v>
      </c>
      <c r="D3835" s="36">
        <f>base!H3835</f>
        <v>56</v>
      </c>
      <c r="E3835" s="44"/>
      <c r="F3835" s="16">
        <f>base!W3835</f>
        <v>0</v>
      </c>
      <c r="G3835" s="11">
        <f t="shared" si="590"/>
        <v>0</v>
      </c>
      <c r="H3835" s="11">
        <f t="shared" si="591"/>
        <v>0</v>
      </c>
      <c r="I3835" s="11">
        <f t="shared" si="592"/>
        <v>0</v>
      </c>
      <c r="J3835" s="12">
        <f t="shared" si="593"/>
        <v>0</v>
      </c>
      <c r="K3835" s="17" t="str">
        <f t="shared" si="598"/>
        <v>Pas d'écart</v>
      </c>
      <c r="L3835" s="16">
        <f>base!X3835</f>
        <v>0</v>
      </c>
      <c r="M3835" s="11">
        <f t="shared" si="594"/>
        <v>0</v>
      </c>
      <c r="N3835" s="11">
        <f t="shared" si="595"/>
        <v>0</v>
      </c>
      <c r="O3835" s="11">
        <f t="shared" si="596"/>
        <v>0</v>
      </c>
      <c r="P3835" s="12">
        <f t="shared" si="597"/>
        <v>0</v>
      </c>
      <c r="Q3835" s="17" t="str">
        <f t="shared" si="599"/>
        <v>Pas d'écart</v>
      </c>
    </row>
    <row r="3836" spans="1:18" x14ac:dyDescent="0.3">
      <c r="A3836" s="34" t="str">
        <f>base!J3836</f>
        <v>RS</v>
      </c>
      <c r="B3836" s="34" t="str">
        <f>base!V3836</f>
        <v>67000</v>
      </c>
      <c r="C3836" s="37">
        <v>67</v>
      </c>
      <c r="D3836" s="36">
        <f>base!H3836</f>
        <v>25</v>
      </c>
      <c r="E3836" s="44"/>
      <c r="F3836" s="16">
        <f>base!W3836</f>
        <v>0</v>
      </c>
      <c r="G3836" s="11">
        <f t="shared" si="590"/>
        <v>0</v>
      </c>
      <c r="H3836" s="11">
        <f t="shared" si="591"/>
        <v>7.2499999999999991</v>
      </c>
      <c r="I3836" s="11">
        <f t="shared" si="592"/>
        <v>0.28999999999999998</v>
      </c>
      <c r="J3836" s="12">
        <f t="shared" si="593"/>
        <v>-7.2499999999999991</v>
      </c>
      <c r="K3836" s="17" t="str">
        <f t="shared" si="598"/>
        <v>Ecart négatif</v>
      </c>
      <c r="L3836" s="16">
        <f>base!X3836</f>
        <v>2</v>
      </c>
      <c r="M3836" s="11">
        <f t="shared" si="594"/>
        <v>0.08</v>
      </c>
      <c r="N3836" s="11">
        <f t="shared" si="595"/>
        <v>2</v>
      </c>
      <c r="O3836" s="11">
        <f t="shared" si="596"/>
        <v>0.08</v>
      </c>
      <c r="P3836" s="12">
        <f t="shared" si="597"/>
        <v>0</v>
      </c>
      <c r="Q3836" s="17" t="str">
        <f t="shared" si="599"/>
        <v>Pas d'écart</v>
      </c>
      <c r="R3836" s="38"/>
    </row>
    <row r="3837" spans="1:18" x14ac:dyDescent="0.3">
      <c r="A3837" s="34" t="str">
        <f>base!J3837</f>
        <v>DLM</v>
      </c>
      <c r="B3837" s="34" t="str">
        <f>base!V3837</f>
        <v>75007</v>
      </c>
      <c r="C3837" s="37">
        <v>75</v>
      </c>
      <c r="D3837" s="36">
        <f>base!H3837</f>
        <v>180</v>
      </c>
      <c r="E3837" s="44"/>
      <c r="F3837" s="16">
        <f>base!W3837</f>
        <v>0</v>
      </c>
      <c r="G3837" s="11">
        <f t="shared" si="590"/>
        <v>0</v>
      </c>
      <c r="H3837" s="11">
        <f t="shared" si="591"/>
        <v>0</v>
      </c>
      <c r="I3837" s="11">
        <f t="shared" si="592"/>
        <v>0</v>
      </c>
      <c r="J3837" s="12">
        <f t="shared" si="593"/>
        <v>0</v>
      </c>
      <c r="K3837" s="17" t="str">
        <f t="shared" si="598"/>
        <v>Pas d'écart</v>
      </c>
      <c r="L3837" s="16">
        <f>base!X3837</f>
        <v>0</v>
      </c>
      <c r="M3837" s="11">
        <f t="shared" si="594"/>
        <v>0</v>
      </c>
      <c r="N3837" s="11">
        <f t="shared" si="595"/>
        <v>0</v>
      </c>
      <c r="O3837" s="11">
        <f t="shared" si="596"/>
        <v>0</v>
      </c>
      <c r="P3837" s="12">
        <f t="shared" si="597"/>
        <v>0</v>
      </c>
      <c r="Q3837" s="17" t="str">
        <f t="shared" si="599"/>
        <v>Pas d'écart</v>
      </c>
    </row>
    <row r="3838" spans="1:18" x14ac:dyDescent="0.3">
      <c r="A3838" s="34" t="str">
        <f>base!J3838</f>
        <v>DLS</v>
      </c>
      <c r="B3838" s="34" t="str">
        <f>base!V3838</f>
        <v>35500</v>
      </c>
      <c r="C3838" s="37">
        <v>35</v>
      </c>
      <c r="D3838" s="36">
        <f>base!H3838</f>
        <v>180</v>
      </c>
      <c r="E3838" s="44"/>
      <c r="F3838" s="16">
        <f>base!W3838</f>
        <v>0</v>
      </c>
      <c r="G3838" s="11">
        <f t="shared" si="590"/>
        <v>0</v>
      </c>
      <c r="H3838" s="11">
        <f t="shared" si="591"/>
        <v>48.6</v>
      </c>
      <c r="I3838" s="11">
        <f t="shared" si="592"/>
        <v>0.27</v>
      </c>
      <c r="J3838" s="12">
        <f t="shared" si="593"/>
        <v>-48.6</v>
      </c>
      <c r="K3838" s="17" t="str">
        <f t="shared" si="598"/>
        <v>Ecart négatif</v>
      </c>
      <c r="L3838" s="16">
        <f>base!X3838</f>
        <v>0</v>
      </c>
      <c r="M3838" s="11">
        <f t="shared" si="594"/>
        <v>0</v>
      </c>
      <c r="N3838" s="11">
        <f t="shared" si="595"/>
        <v>0</v>
      </c>
      <c r="O3838" s="11">
        <f t="shared" si="596"/>
        <v>0</v>
      </c>
      <c r="P3838" s="12">
        <f t="shared" si="597"/>
        <v>0</v>
      </c>
      <c r="Q3838" s="17" t="str">
        <f t="shared" si="599"/>
        <v>Pas d'écart</v>
      </c>
    </row>
    <row r="3839" spans="1:18" x14ac:dyDescent="0.3">
      <c r="A3839" s="34">
        <f>base!J3839</f>
        <v>0</v>
      </c>
      <c r="B3839" s="34" t="str">
        <f>base!V3839</f>
        <v>77184</v>
      </c>
      <c r="C3839" s="37">
        <v>77</v>
      </c>
      <c r="D3839" s="36">
        <f>base!H3839</f>
        <v>84.5</v>
      </c>
      <c r="E3839" s="44"/>
      <c r="F3839" s="16">
        <f>base!W3839</f>
        <v>0</v>
      </c>
      <c r="G3839" s="11">
        <f t="shared" si="590"/>
        <v>0</v>
      </c>
      <c r="H3839" s="11">
        <f t="shared" si="591"/>
        <v>0</v>
      </c>
      <c r="I3839" s="11">
        <f t="shared" si="592"/>
        <v>0</v>
      </c>
      <c r="J3839" s="12">
        <f t="shared" si="593"/>
        <v>0</v>
      </c>
      <c r="K3839" s="17" t="str">
        <f t="shared" si="598"/>
        <v>Pas d'écart</v>
      </c>
      <c r="L3839" s="16">
        <f>base!X3839</f>
        <v>0</v>
      </c>
      <c r="M3839" s="11">
        <f t="shared" si="594"/>
        <v>0</v>
      </c>
      <c r="N3839" s="11">
        <f t="shared" si="595"/>
        <v>0</v>
      </c>
      <c r="O3839" s="11">
        <f t="shared" si="596"/>
        <v>0</v>
      </c>
      <c r="P3839" s="12">
        <f t="shared" si="597"/>
        <v>0</v>
      </c>
      <c r="Q3839" s="17" t="str">
        <f t="shared" si="599"/>
        <v>Pas d'écart</v>
      </c>
    </row>
    <row r="3840" spans="1:18" x14ac:dyDescent="0.3">
      <c r="A3840" s="34">
        <f>base!J3840</f>
        <v>0</v>
      </c>
      <c r="B3840" s="34" t="str">
        <f>base!V3840</f>
        <v>77184</v>
      </c>
      <c r="C3840" s="37">
        <v>77</v>
      </c>
      <c r="D3840" s="36">
        <f>base!H3840</f>
        <v>160</v>
      </c>
      <c r="E3840" s="44"/>
      <c r="F3840" s="16">
        <f>base!W3840</f>
        <v>0</v>
      </c>
      <c r="G3840" s="11">
        <f t="shared" si="590"/>
        <v>0</v>
      </c>
      <c r="H3840" s="11">
        <f t="shared" si="591"/>
        <v>0</v>
      </c>
      <c r="I3840" s="11">
        <f t="shared" si="592"/>
        <v>0</v>
      </c>
      <c r="J3840" s="12">
        <f t="shared" si="593"/>
        <v>0</v>
      </c>
      <c r="K3840" s="17" t="str">
        <f t="shared" si="598"/>
        <v>Pas d'écart</v>
      </c>
      <c r="L3840" s="16">
        <f>base!X3840</f>
        <v>0</v>
      </c>
      <c r="M3840" s="11">
        <f t="shared" si="594"/>
        <v>0</v>
      </c>
      <c r="N3840" s="11">
        <f t="shared" si="595"/>
        <v>0</v>
      </c>
      <c r="O3840" s="11">
        <f t="shared" si="596"/>
        <v>0</v>
      </c>
      <c r="P3840" s="12">
        <f t="shared" si="597"/>
        <v>0</v>
      </c>
      <c r="Q3840" s="17" t="str">
        <f t="shared" si="599"/>
        <v>Pas d'écart</v>
      </c>
    </row>
    <row r="3841" spans="1:17" x14ac:dyDescent="0.3">
      <c r="A3841" s="34">
        <f>base!J3841</f>
        <v>0</v>
      </c>
      <c r="B3841" s="34" t="str">
        <f>base!V3841</f>
        <v>77184</v>
      </c>
      <c r="C3841" s="37">
        <v>77</v>
      </c>
      <c r="D3841" s="36">
        <f>base!H3841</f>
        <v>171</v>
      </c>
      <c r="E3841" s="44"/>
      <c r="F3841" s="16">
        <f>base!W3841</f>
        <v>0</v>
      </c>
      <c r="G3841" s="11">
        <f t="shared" si="590"/>
        <v>0</v>
      </c>
      <c r="H3841" s="11">
        <f t="shared" si="591"/>
        <v>0</v>
      </c>
      <c r="I3841" s="11">
        <f t="shared" si="592"/>
        <v>0</v>
      </c>
      <c r="J3841" s="12">
        <f t="shared" si="593"/>
        <v>0</v>
      </c>
      <c r="K3841" s="17" t="str">
        <f t="shared" si="598"/>
        <v>Pas d'écart</v>
      </c>
      <c r="L3841" s="16">
        <f>base!X3841</f>
        <v>0</v>
      </c>
      <c r="M3841" s="11">
        <f t="shared" si="594"/>
        <v>0</v>
      </c>
      <c r="N3841" s="11">
        <f t="shared" si="595"/>
        <v>0</v>
      </c>
      <c r="O3841" s="11">
        <f t="shared" si="596"/>
        <v>0</v>
      </c>
      <c r="P3841" s="12">
        <f t="shared" si="597"/>
        <v>0</v>
      </c>
      <c r="Q3841" s="17" t="str">
        <f t="shared" si="599"/>
        <v>Pas d'écart</v>
      </c>
    </row>
    <row r="3842" spans="1:17" x14ac:dyDescent="0.3">
      <c r="A3842" s="34" t="str">
        <f>base!J3842</f>
        <v>LS</v>
      </c>
      <c r="B3842" s="34" t="str">
        <f>base!V3842</f>
        <v>67300</v>
      </c>
      <c r="C3842" s="37">
        <v>67</v>
      </c>
      <c r="D3842" s="36">
        <f>base!H3842</f>
        <v>180</v>
      </c>
      <c r="E3842" s="44"/>
      <c r="F3842" s="16">
        <f>base!W3842</f>
        <v>52.2</v>
      </c>
      <c r="G3842" s="11">
        <f t="shared" ref="G3842:G3905" si="600">F3842/D3842</f>
        <v>0.29000000000000004</v>
      </c>
      <c r="H3842" s="11">
        <f t="shared" ref="H3842:H3905" si="601">VLOOKUP(C3842,tout_cout_traction,2,FALSE)*D3842</f>
        <v>52.199999999999996</v>
      </c>
      <c r="I3842" s="11">
        <f t="shared" ref="I3842:I3905" si="602">H3842/D3842</f>
        <v>0.28999999999999998</v>
      </c>
      <c r="J3842" s="12">
        <f t="shared" ref="J3842:J3905" si="603">F3842-H3842</f>
        <v>0</v>
      </c>
      <c r="K3842" s="17" t="str">
        <f t="shared" si="598"/>
        <v>Pas d'écart</v>
      </c>
      <c r="L3842" s="16">
        <f>base!X3842</f>
        <v>0</v>
      </c>
      <c r="M3842" s="11">
        <f t="shared" ref="M3842:M3905" si="604">L3842/D3842</f>
        <v>0</v>
      </c>
      <c r="N3842" s="11">
        <f t="shared" ref="N3842:N3905" si="605">VLOOKUP(C3842,tout_cout_traction,3,FALSE)*D3842</f>
        <v>14.4</v>
      </c>
      <c r="O3842" s="11">
        <f t="shared" ref="O3842:O3905" si="606">N3842/D3842</f>
        <v>0.08</v>
      </c>
      <c r="P3842" s="12">
        <f t="shared" ref="P3842:P3905" si="607">L3842-N3842</f>
        <v>-14.4</v>
      </c>
      <c r="Q3842" s="17" t="str">
        <f t="shared" si="599"/>
        <v>Ecart négatif</v>
      </c>
    </row>
    <row r="3843" spans="1:17" x14ac:dyDescent="0.3">
      <c r="A3843" s="34">
        <f>base!J3843</f>
        <v>0</v>
      </c>
      <c r="B3843" s="34" t="str">
        <f>base!V3843</f>
        <v>77184</v>
      </c>
      <c r="C3843" s="37">
        <v>77</v>
      </c>
      <c r="D3843" s="36">
        <f>base!H3843</f>
        <v>800</v>
      </c>
      <c r="E3843" s="44"/>
      <c r="F3843" s="16">
        <f>base!W3843</f>
        <v>0</v>
      </c>
      <c r="G3843" s="11">
        <f t="shared" si="600"/>
        <v>0</v>
      </c>
      <c r="H3843" s="11">
        <f t="shared" si="601"/>
        <v>0</v>
      </c>
      <c r="I3843" s="11">
        <f t="shared" si="602"/>
        <v>0</v>
      </c>
      <c r="J3843" s="12">
        <f t="shared" si="603"/>
        <v>0</v>
      </c>
      <c r="K3843" s="17" t="str">
        <f t="shared" ref="K3843:K3906" si="608">IF(H3843=F3843,"Pas d'écart",IF(H3843&lt;F3843,"Ecart positif",IF(H3843&gt;F3843,"Ecart négatif")))</f>
        <v>Pas d'écart</v>
      </c>
      <c r="L3843" s="16">
        <f>base!X3843</f>
        <v>0</v>
      </c>
      <c r="M3843" s="11">
        <f t="shared" si="604"/>
        <v>0</v>
      </c>
      <c r="N3843" s="11">
        <f t="shared" si="605"/>
        <v>0</v>
      </c>
      <c r="O3843" s="11">
        <f t="shared" si="606"/>
        <v>0</v>
      </c>
      <c r="P3843" s="12">
        <f t="shared" si="607"/>
        <v>0</v>
      </c>
      <c r="Q3843" s="17" t="str">
        <f t="shared" ref="Q3843:Q3906" si="609">IF(N3843=L3843,"Pas d'écart",IF(N3843&lt;L3843,"Ecart positif",IF(N3843&gt;L3843,"Ecart négatif")))</f>
        <v>Pas d'écart</v>
      </c>
    </row>
    <row r="3844" spans="1:17" x14ac:dyDescent="0.3">
      <c r="A3844" s="34">
        <f>base!J3844</f>
        <v>0</v>
      </c>
      <c r="B3844" s="34" t="str">
        <f>base!V3844</f>
        <v>77184</v>
      </c>
      <c r="C3844" s="37">
        <v>77</v>
      </c>
      <c r="D3844" s="36">
        <f>base!H3844</f>
        <v>161.78</v>
      </c>
      <c r="E3844" s="44"/>
      <c r="F3844" s="16">
        <f>base!W3844</f>
        <v>0</v>
      </c>
      <c r="G3844" s="11">
        <f t="shared" si="600"/>
        <v>0</v>
      </c>
      <c r="H3844" s="11">
        <f t="shared" si="601"/>
        <v>0</v>
      </c>
      <c r="I3844" s="11">
        <f t="shared" si="602"/>
        <v>0</v>
      </c>
      <c r="J3844" s="12">
        <f t="shared" si="603"/>
        <v>0</v>
      </c>
      <c r="K3844" s="17" t="str">
        <f t="shared" si="608"/>
        <v>Pas d'écart</v>
      </c>
      <c r="L3844" s="16">
        <f>base!X3844</f>
        <v>0</v>
      </c>
      <c r="M3844" s="11">
        <f t="shared" si="604"/>
        <v>0</v>
      </c>
      <c r="N3844" s="11">
        <f t="shared" si="605"/>
        <v>0</v>
      </c>
      <c r="O3844" s="11">
        <f t="shared" si="606"/>
        <v>0</v>
      </c>
      <c r="P3844" s="12">
        <f t="shared" si="607"/>
        <v>0</v>
      </c>
      <c r="Q3844" s="17" t="str">
        <f t="shared" si="609"/>
        <v>Pas d'écart</v>
      </c>
    </row>
    <row r="3845" spans="1:17" x14ac:dyDescent="0.3">
      <c r="A3845" s="34">
        <f>base!J3845</f>
        <v>0</v>
      </c>
      <c r="B3845" s="34" t="str">
        <f>base!V3845</f>
        <v>77184</v>
      </c>
      <c r="C3845" s="37">
        <v>77</v>
      </c>
      <c r="D3845" s="36">
        <f>base!H3845</f>
        <v>144.32</v>
      </c>
      <c r="E3845" s="44"/>
      <c r="F3845" s="16">
        <f>base!W3845</f>
        <v>0</v>
      </c>
      <c r="G3845" s="11">
        <f t="shared" si="600"/>
        <v>0</v>
      </c>
      <c r="H3845" s="11">
        <f t="shared" si="601"/>
        <v>0</v>
      </c>
      <c r="I3845" s="11">
        <f t="shared" si="602"/>
        <v>0</v>
      </c>
      <c r="J3845" s="12">
        <f t="shared" si="603"/>
        <v>0</v>
      </c>
      <c r="K3845" s="17" t="str">
        <f t="shared" si="608"/>
        <v>Pas d'écart</v>
      </c>
      <c r="L3845" s="16">
        <f>base!X3845</f>
        <v>0</v>
      </c>
      <c r="M3845" s="11">
        <f t="shared" si="604"/>
        <v>0</v>
      </c>
      <c r="N3845" s="11">
        <f t="shared" si="605"/>
        <v>0</v>
      </c>
      <c r="O3845" s="11">
        <f t="shared" si="606"/>
        <v>0</v>
      </c>
      <c r="P3845" s="12">
        <f t="shared" si="607"/>
        <v>0</v>
      </c>
      <c r="Q3845" s="17" t="str">
        <f t="shared" si="609"/>
        <v>Pas d'écart</v>
      </c>
    </row>
    <row r="3846" spans="1:17" x14ac:dyDescent="0.3">
      <c r="A3846" s="34">
        <f>base!J3846</f>
        <v>0</v>
      </c>
      <c r="B3846" s="34" t="str">
        <f>base!V3846</f>
        <v>77184</v>
      </c>
      <c r="C3846" s="37">
        <v>77</v>
      </c>
      <c r="D3846" s="36">
        <f>base!H3846</f>
        <v>160</v>
      </c>
      <c r="E3846" s="44"/>
      <c r="F3846" s="16">
        <f>base!W3846</f>
        <v>0</v>
      </c>
      <c r="G3846" s="11">
        <f t="shared" si="600"/>
        <v>0</v>
      </c>
      <c r="H3846" s="11">
        <f t="shared" si="601"/>
        <v>0</v>
      </c>
      <c r="I3846" s="11">
        <f t="shared" si="602"/>
        <v>0</v>
      </c>
      <c r="J3846" s="12">
        <f t="shared" si="603"/>
        <v>0</v>
      </c>
      <c r="K3846" s="17" t="str">
        <f t="shared" si="608"/>
        <v>Pas d'écart</v>
      </c>
      <c r="L3846" s="16">
        <f>base!X3846</f>
        <v>0</v>
      </c>
      <c r="M3846" s="11">
        <f t="shared" si="604"/>
        <v>0</v>
      </c>
      <c r="N3846" s="11">
        <f t="shared" si="605"/>
        <v>0</v>
      </c>
      <c r="O3846" s="11">
        <f t="shared" si="606"/>
        <v>0</v>
      </c>
      <c r="P3846" s="12">
        <f t="shared" si="607"/>
        <v>0</v>
      </c>
      <c r="Q3846" s="17" t="str">
        <f t="shared" si="609"/>
        <v>Pas d'écart</v>
      </c>
    </row>
    <row r="3847" spans="1:17" x14ac:dyDescent="0.3">
      <c r="A3847" s="34">
        <f>base!J3847</f>
        <v>0</v>
      </c>
      <c r="B3847" s="34" t="str">
        <f>base!V3847</f>
        <v>77184</v>
      </c>
      <c r="C3847" s="37">
        <v>77</v>
      </c>
      <c r="D3847" s="36">
        <f>base!H3847</f>
        <v>156.4</v>
      </c>
      <c r="E3847" s="44"/>
      <c r="F3847" s="16">
        <f>base!W3847</f>
        <v>0</v>
      </c>
      <c r="G3847" s="11">
        <f t="shared" si="600"/>
        <v>0</v>
      </c>
      <c r="H3847" s="11">
        <f t="shared" si="601"/>
        <v>0</v>
      </c>
      <c r="I3847" s="11">
        <f t="shared" si="602"/>
        <v>0</v>
      </c>
      <c r="J3847" s="12">
        <f t="shared" si="603"/>
        <v>0</v>
      </c>
      <c r="K3847" s="17" t="str">
        <f t="shared" si="608"/>
        <v>Pas d'écart</v>
      </c>
      <c r="L3847" s="16">
        <f>base!X3847</f>
        <v>0</v>
      </c>
      <c r="M3847" s="11">
        <f t="shared" si="604"/>
        <v>0</v>
      </c>
      <c r="N3847" s="11">
        <f t="shared" si="605"/>
        <v>0</v>
      </c>
      <c r="O3847" s="11">
        <f t="shared" si="606"/>
        <v>0</v>
      </c>
      <c r="P3847" s="12">
        <f t="shared" si="607"/>
        <v>0</v>
      </c>
      <c r="Q3847" s="17" t="str">
        <f t="shared" si="609"/>
        <v>Pas d'écart</v>
      </c>
    </row>
    <row r="3848" spans="1:17" x14ac:dyDescent="0.3">
      <c r="A3848" s="34" t="str">
        <f>base!J3848</f>
        <v>LS</v>
      </c>
      <c r="B3848" s="34" t="str">
        <f>base!V3848</f>
        <v>83150</v>
      </c>
      <c r="C3848" s="37">
        <v>83</v>
      </c>
      <c r="D3848" s="36">
        <f>base!H3848</f>
        <v>0</v>
      </c>
      <c r="E3848" s="44"/>
      <c r="F3848" s="16">
        <f>base!W3848</f>
        <v>0</v>
      </c>
      <c r="G3848" s="11" t="e">
        <f t="shared" si="600"/>
        <v>#DIV/0!</v>
      </c>
      <c r="H3848" s="11">
        <f t="shared" si="601"/>
        <v>0</v>
      </c>
      <c r="I3848" s="11" t="e">
        <f t="shared" si="602"/>
        <v>#DIV/0!</v>
      </c>
      <c r="J3848" s="12">
        <f t="shared" si="603"/>
        <v>0</v>
      </c>
      <c r="K3848" s="17" t="str">
        <f t="shared" si="608"/>
        <v>Pas d'écart</v>
      </c>
      <c r="L3848" s="16">
        <f>base!X3848</f>
        <v>0</v>
      </c>
      <c r="M3848" s="11" t="e">
        <f t="shared" si="604"/>
        <v>#DIV/0!</v>
      </c>
      <c r="N3848" s="11">
        <f t="shared" si="605"/>
        <v>0</v>
      </c>
      <c r="O3848" s="11" t="e">
        <f t="shared" si="606"/>
        <v>#DIV/0!</v>
      </c>
      <c r="P3848" s="12">
        <f t="shared" si="607"/>
        <v>0</v>
      </c>
      <c r="Q3848" s="17" t="str">
        <f t="shared" si="609"/>
        <v>Pas d'écart</v>
      </c>
    </row>
    <row r="3849" spans="1:17" x14ac:dyDescent="0.3">
      <c r="A3849" s="34">
        <f>base!J3849</f>
        <v>0</v>
      </c>
      <c r="B3849" s="34" t="str">
        <f>base!V3849</f>
        <v>77184</v>
      </c>
      <c r="C3849" s="37">
        <v>77</v>
      </c>
      <c r="D3849" s="36">
        <f>base!H3849</f>
        <v>183</v>
      </c>
      <c r="E3849" s="44"/>
      <c r="F3849" s="16">
        <f>base!W3849</f>
        <v>0</v>
      </c>
      <c r="G3849" s="11">
        <f t="shared" si="600"/>
        <v>0</v>
      </c>
      <c r="H3849" s="11">
        <f t="shared" si="601"/>
        <v>0</v>
      </c>
      <c r="I3849" s="11">
        <f t="shared" si="602"/>
        <v>0</v>
      </c>
      <c r="J3849" s="12">
        <f t="shared" si="603"/>
        <v>0</v>
      </c>
      <c r="K3849" s="17" t="str">
        <f t="shared" si="608"/>
        <v>Pas d'écart</v>
      </c>
      <c r="L3849" s="16">
        <f>base!X3849</f>
        <v>0</v>
      </c>
      <c r="M3849" s="11">
        <f t="shared" si="604"/>
        <v>0</v>
      </c>
      <c r="N3849" s="11">
        <f t="shared" si="605"/>
        <v>0</v>
      </c>
      <c r="O3849" s="11">
        <f t="shared" si="606"/>
        <v>0</v>
      </c>
      <c r="P3849" s="12">
        <f t="shared" si="607"/>
        <v>0</v>
      </c>
      <c r="Q3849" s="17" t="str">
        <f t="shared" si="609"/>
        <v>Pas d'écart</v>
      </c>
    </row>
    <row r="3850" spans="1:17" x14ac:dyDescent="0.3">
      <c r="A3850" s="34" t="str">
        <f>base!J3850</f>
        <v>LS</v>
      </c>
      <c r="B3850" s="34" t="str">
        <f>base!V3850</f>
        <v>92130</v>
      </c>
      <c r="C3850" s="37">
        <v>92</v>
      </c>
      <c r="D3850" s="36">
        <f>base!H3850</f>
        <v>0</v>
      </c>
      <c r="E3850" s="44"/>
      <c r="F3850" s="16">
        <f>base!W3850</f>
        <v>0</v>
      </c>
      <c r="G3850" s="11" t="e">
        <f t="shared" si="600"/>
        <v>#DIV/0!</v>
      </c>
      <c r="H3850" s="11">
        <f t="shared" si="601"/>
        <v>0</v>
      </c>
      <c r="I3850" s="11" t="e">
        <f t="shared" si="602"/>
        <v>#DIV/0!</v>
      </c>
      <c r="J3850" s="12">
        <f t="shared" si="603"/>
        <v>0</v>
      </c>
      <c r="K3850" s="17" t="str">
        <f t="shared" si="608"/>
        <v>Pas d'écart</v>
      </c>
      <c r="L3850" s="16">
        <f>base!X3850</f>
        <v>0</v>
      </c>
      <c r="M3850" s="11" t="e">
        <f t="shared" si="604"/>
        <v>#DIV/0!</v>
      </c>
      <c r="N3850" s="11">
        <f t="shared" si="605"/>
        <v>0</v>
      </c>
      <c r="O3850" s="11" t="e">
        <f t="shared" si="606"/>
        <v>#DIV/0!</v>
      </c>
      <c r="P3850" s="12">
        <f t="shared" si="607"/>
        <v>0</v>
      </c>
      <c r="Q3850" s="17" t="str">
        <f t="shared" si="609"/>
        <v>Pas d'écart</v>
      </c>
    </row>
    <row r="3851" spans="1:17" x14ac:dyDescent="0.3">
      <c r="A3851" s="34" t="str">
        <f>base!J3851</f>
        <v>LS</v>
      </c>
      <c r="B3851" s="34" t="str">
        <f>base!V3851</f>
        <v>76000</v>
      </c>
      <c r="C3851" s="37">
        <v>54</v>
      </c>
      <c r="D3851" s="36">
        <f>base!H3851</f>
        <v>141.65</v>
      </c>
      <c r="E3851" s="44"/>
      <c r="F3851" s="16">
        <f>base!W3851</f>
        <v>24.08</v>
      </c>
      <c r="G3851" s="11">
        <f t="shared" si="600"/>
        <v>0.16999647017296152</v>
      </c>
      <c r="H3851" s="11">
        <f t="shared" si="601"/>
        <v>35.412500000000001</v>
      </c>
      <c r="I3851" s="11">
        <f t="shared" si="602"/>
        <v>0.25</v>
      </c>
      <c r="J3851" s="12">
        <f t="shared" si="603"/>
        <v>-11.332500000000003</v>
      </c>
      <c r="K3851" s="17" t="str">
        <f t="shared" si="608"/>
        <v>Ecart négatif</v>
      </c>
      <c r="L3851" s="16">
        <f>base!X3851</f>
        <v>0</v>
      </c>
      <c r="M3851" s="11">
        <f t="shared" si="604"/>
        <v>0</v>
      </c>
      <c r="N3851" s="11">
        <f t="shared" si="605"/>
        <v>35.412500000000001</v>
      </c>
      <c r="O3851" s="11">
        <f t="shared" si="606"/>
        <v>0.25</v>
      </c>
      <c r="P3851" s="12">
        <f t="shared" si="607"/>
        <v>-35.412500000000001</v>
      </c>
      <c r="Q3851" s="17" t="str">
        <f t="shared" si="609"/>
        <v>Ecart négatif</v>
      </c>
    </row>
    <row r="3852" spans="1:17" x14ac:dyDescent="0.3">
      <c r="A3852" s="34" t="str">
        <f>base!J3852</f>
        <v>LS</v>
      </c>
      <c r="B3852" s="34" t="str">
        <f>base!V3852</f>
        <v>70300</v>
      </c>
      <c r="C3852" s="37">
        <v>21</v>
      </c>
      <c r="D3852" s="36">
        <f>base!H3852</f>
        <v>156</v>
      </c>
      <c r="E3852" s="44"/>
      <c r="F3852" s="16">
        <f>base!W3852</f>
        <v>37.44</v>
      </c>
      <c r="G3852" s="11">
        <f t="shared" si="600"/>
        <v>0.24</v>
      </c>
      <c r="H3852" s="11">
        <f t="shared" si="601"/>
        <v>37.44</v>
      </c>
      <c r="I3852" s="11">
        <f t="shared" si="602"/>
        <v>0.24</v>
      </c>
      <c r="J3852" s="12">
        <f t="shared" si="603"/>
        <v>0</v>
      </c>
      <c r="K3852" s="17" t="str">
        <f t="shared" si="608"/>
        <v>Pas d'écart</v>
      </c>
      <c r="L3852" s="16">
        <f>base!X3852</f>
        <v>0</v>
      </c>
      <c r="M3852" s="11">
        <f t="shared" si="604"/>
        <v>0</v>
      </c>
      <c r="N3852" s="11">
        <f t="shared" si="605"/>
        <v>18.72</v>
      </c>
      <c r="O3852" s="11">
        <f t="shared" si="606"/>
        <v>0.12</v>
      </c>
      <c r="P3852" s="12">
        <f t="shared" si="607"/>
        <v>-18.72</v>
      </c>
      <c r="Q3852" s="17" t="str">
        <f t="shared" si="609"/>
        <v>Ecart négatif</v>
      </c>
    </row>
    <row r="3853" spans="1:17" x14ac:dyDescent="0.3">
      <c r="A3853" s="34" t="str">
        <f>base!J3853</f>
        <v>DLS</v>
      </c>
      <c r="B3853" s="34" t="str">
        <f>base!V3853</f>
        <v>86320</v>
      </c>
      <c r="C3853" s="37">
        <v>86</v>
      </c>
      <c r="D3853" s="36">
        <f>base!H3853</f>
        <v>180</v>
      </c>
      <c r="E3853" s="44"/>
      <c r="F3853" s="16">
        <f>base!W3853</f>
        <v>0</v>
      </c>
      <c r="G3853" s="11">
        <f t="shared" si="600"/>
        <v>0</v>
      </c>
      <c r="H3853" s="11">
        <f t="shared" si="601"/>
        <v>37.799999999999997</v>
      </c>
      <c r="I3853" s="11">
        <f t="shared" si="602"/>
        <v>0.21</v>
      </c>
      <c r="J3853" s="12">
        <f t="shared" si="603"/>
        <v>-37.799999999999997</v>
      </c>
      <c r="K3853" s="17" t="str">
        <f t="shared" si="608"/>
        <v>Ecart négatif</v>
      </c>
      <c r="L3853" s="16">
        <f>base!X3853</f>
        <v>0</v>
      </c>
      <c r="M3853" s="11">
        <f t="shared" si="604"/>
        <v>0</v>
      </c>
      <c r="N3853" s="11">
        <f t="shared" si="605"/>
        <v>21.599999999999998</v>
      </c>
      <c r="O3853" s="11">
        <f t="shared" si="606"/>
        <v>0.11999999999999998</v>
      </c>
      <c r="P3853" s="12">
        <f t="shared" si="607"/>
        <v>-21.599999999999998</v>
      </c>
      <c r="Q3853" s="17" t="str">
        <f t="shared" si="609"/>
        <v>Ecart négatif</v>
      </c>
    </row>
    <row r="3854" spans="1:17" x14ac:dyDescent="0.3">
      <c r="A3854" s="34" t="str">
        <f>base!J3854</f>
        <v>LS</v>
      </c>
      <c r="B3854" s="34" t="str">
        <f>base!V3854</f>
        <v>75014</v>
      </c>
      <c r="C3854" s="37">
        <v>75</v>
      </c>
      <c r="D3854" s="36">
        <f>base!H3854</f>
        <v>107.6</v>
      </c>
      <c r="E3854" s="44"/>
      <c r="F3854" s="16">
        <f>base!W3854</f>
        <v>0</v>
      </c>
      <c r="G3854" s="11">
        <f t="shared" si="600"/>
        <v>0</v>
      </c>
      <c r="H3854" s="11">
        <f t="shared" si="601"/>
        <v>0</v>
      </c>
      <c r="I3854" s="11">
        <f t="shared" si="602"/>
        <v>0</v>
      </c>
      <c r="J3854" s="12">
        <f t="shared" si="603"/>
        <v>0</v>
      </c>
      <c r="K3854" s="17" t="str">
        <f t="shared" si="608"/>
        <v>Pas d'écart</v>
      </c>
      <c r="L3854" s="16">
        <f>base!X3854</f>
        <v>0</v>
      </c>
      <c r="M3854" s="11">
        <f t="shared" si="604"/>
        <v>0</v>
      </c>
      <c r="N3854" s="11">
        <f t="shared" si="605"/>
        <v>0</v>
      </c>
      <c r="O3854" s="11">
        <f t="shared" si="606"/>
        <v>0</v>
      </c>
      <c r="P3854" s="12">
        <f t="shared" si="607"/>
        <v>0</v>
      </c>
      <c r="Q3854" s="17" t="str">
        <f t="shared" si="609"/>
        <v>Pas d'écart</v>
      </c>
    </row>
    <row r="3855" spans="1:17" x14ac:dyDescent="0.3">
      <c r="A3855" s="34" t="str">
        <f>base!J3855</f>
        <v>LM</v>
      </c>
      <c r="B3855" s="34" t="str">
        <f>base!V3855</f>
        <v>75014</v>
      </c>
      <c r="C3855" s="37">
        <v>75</v>
      </c>
      <c r="D3855" s="36">
        <f>base!H3855</f>
        <v>107.6</v>
      </c>
      <c r="E3855" s="44"/>
      <c r="F3855" s="16">
        <f>base!W3855</f>
        <v>0</v>
      </c>
      <c r="G3855" s="11">
        <f t="shared" si="600"/>
        <v>0</v>
      </c>
      <c r="H3855" s="11">
        <f t="shared" si="601"/>
        <v>0</v>
      </c>
      <c r="I3855" s="11">
        <f t="shared" si="602"/>
        <v>0</v>
      </c>
      <c r="J3855" s="12">
        <f t="shared" si="603"/>
        <v>0</v>
      </c>
      <c r="K3855" s="17" t="str">
        <f t="shared" si="608"/>
        <v>Pas d'écart</v>
      </c>
      <c r="L3855" s="16">
        <f>base!X3855</f>
        <v>0</v>
      </c>
      <c r="M3855" s="11">
        <f t="shared" si="604"/>
        <v>0</v>
      </c>
      <c r="N3855" s="11">
        <f t="shared" si="605"/>
        <v>0</v>
      </c>
      <c r="O3855" s="11">
        <f t="shared" si="606"/>
        <v>0</v>
      </c>
      <c r="P3855" s="12">
        <f t="shared" si="607"/>
        <v>0</v>
      </c>
      <c r="Q3855" s="17" t="str">
        <f t="shared" si="609"/>
        <v>Pas d'écart</v>
      </c>
    </row>
    <row r="3856" spans="1:17" x14ac:dyDescent="0.3">
      <c r="A3856" s="34" t="str">
        <f>base!J3856</f>
        <v>LM</v>
      </c>
      <c r="B3856" s="34" t="str">
        <f>base!V3856</f>
        <v>69800</v>
      </c>
      <c r="C3856" s="37">
        <v>51</v>
      </c>
      <c r="D3856" s="36">
        <f>base!H3856</f>
        <v>125.62</v>
      </c>
      <c r="E3856" s="44"/>
      <c r="F3856" s="16">
        <f>base!W3856</f>
        <v>33.92</v>
      </c>
      <c r="G3856" s="11">
        <f t="shared" si="600"/>
        <v>0.27002069734118772</v>
      </c>
      <c r="H3856" s="11">
        <f t="shared" si="601"/>
        <v>31.405000000000001</v>
      </c>
      <c r="I3856" s="11">
        <f t="shared" si="602"/>
        <v>0.25</v>
      </c>
      <c r="J3856" s="12">
        <f t="shared" si="603"/>
        <v>2.5150000000000006</v>
      </c>
      <c r="K3856" s="17" t="str">
        <f t="shared" si="608"/>
        <v>Ecart positif</v>
      </c>
      <c r="L3856" s="16">
        <f>base!X3856</f>
        <v>0</v>
      </c>
      <c r="M3856" s="11">
        <f t="shared" si="604"/>
        <v>0</v>
      </c>
      <c r="N3856" s="11">
        <f t="shared" si="605"/>
        <v>31.405000000000001</v>
      </c>
      <c r="O3856" s="11">
        <f t="shared" si="606"/>
        <v>0.25</v>
      </c>
      <c r="P3856" s="12">
        <f t="shared" si="607"/>
        <v>-31.405000000000001</v>
      </c>
      <c r="Q3856" s="17" t="str">
        <f t="shared" si="609"/>
        <v>Ecart négatif</v>
      </c>
    </row>
    <row r="3857" spans="1:18" x14ac:dyDescent="0.3">
      <c r="A3857" s="34" t="str">
        <f>base!J3857</f>
        <v>LM</v>
      </c>
      <c r="B3857" s="34" t="str">
        <f>base!V3857</f>
        <v>59380</v>
      </c>
      <c r="C3857" s="37">
        <v>57</v>
      </c>
      <c r="D3857" s="36">
        <f>base!H3857</f>
        <v>18.350000000000001</v>
      </c>
      <c r="E3857" s="44"/>
      <c r="F3857" s="16">
        <f>base!W3857</f>
        <v>3.49</v>
      </c>
      <c r="G3857" s="11">
        <f t="shared" si="600"/>
        <v>0.19019073569482289</v>
      </c>
      <c r="H3857" s="11">
        <f t="shared" si="601"/>
        <v>4.4039999999999999</v>
      </c>
      <c r="I3857" s="11">
        <f t="shared" si="602"/>
        <v>0.23999999999999996</v>
      </c>
      <c r="J3857" s="12">
        <f t="shared" si="603"/>
        <v>-0.9139999999999997</v>
      </c>
      <c r="K3857" s="17" t="str">
        <f t="shared" si="608"/>
        <v>Ecart négatif</v>
      </c>
      <c r="L3857" s="16">
        <f>base!X3857</f>
        <v>0</v>
      </c>
      <c r="M3857" s="11">
        <f t="shared" si="604"/>
        <v>0</v>
      </c>
      <c r="N3857" s="11">
        <f t="shared" si="605"/>
        <v>4.5875000000000004</v>
      </c>
      <c r="O3857" s="11">
        <f t="shared" si="606"/>
        <v>0.25</v>
      </c>
      <c r="P3857" s="12">
        <f t="shared" si="607"/>
        <v>-4.5875000000000004</v>
      </c>
      <c r="Q3857" s="17" t="str">
        <f t="shared" si="609"/>
        <v>Ecart négatif</v>
      </c>
    </row>
    <row r="3858" spans="1:18" x14ac:dyDescent="0.3">
      <c r="A3858" s="34" t="str">
        <f>base!J3858</f>
        <v>LS</v>
      </c>
      <c r="B3858" s="34" t="str">
        <f>base!V3858</f>
        <v>13002</v>
      </c>
      <c r="C3858" s="37">
        <v>51</v>
      </c>
      <c r="D3858" s="36">
        <f>base!H3858</f>
        <v>75.27</v>
      </c>
      <c r="E3858" s="44"/>
      <c r="F3858" s="16">
        <f>base!W3858</f>
        <v>21.83</v>
      </c>
      <c r="G3858" s="11">
        <f t="shared" si="600"/>
        <v>0.29002258535937292</v>
      </c>
      <c r="H3858" s="11">
        <f t="shared" si="601"/>
        <v>18.817499999999999</v>
      </c>
      <c r="I3858" s="11">
        <f t="shared" si="602"/>
        <v>0.25</v>
      </c>
      <c r="J3858" s="12">
        <f t="shared" si="603"/>
        <v>3.0124999999999993</v>
      </c>
      <c r="K3858" s="17" t="str">
        <f t="shared" si="608"/>
        <v>Ecart positif</v>
      </c>
      <c r="L3858" s="16">
        <f>base!X3858</f>
        <v>0</v>
      </c>
      <c r="M3858" s="11">
        <f t="shared" si="604"/>
        <v>0</v>
      </c>
      <c r="N3858" s="11">
        <f t="shared" si="605"/>
        <v>18.817499999999999</v>
      </c>
      <c r="O3858" s="11">
        <f t="shared" si="606"/>
        <v>0.25</v>
      </c>
      <c r="P3858" s="12">
        <f t="shared" si="607"/>
        <v>-18.817499999999999</v>
      </c>
      <c r="Q3858" s="17" t="str">
        <f t="shared" si="609"/>
        <v>Ecart négatif</v>
      </c>
    </row>
    <row r="3859" spans="1:18" x14ac:dyDescent="0.3">
      <c r="A3859" s="34" t="str">
        <f>base!J3859</f>
        <v>RS</v>
      </c>
      <c r="B3859" s="34" t="str">
        <f>base!V3859</f>
        <v>37400</v>
      </c>
      <c r="C3859" s="37">
        <v>37</v>
      </c>
      <c r="D3859" s="36">
        <f>base!H3859</f>
        <v>40</v>
      </c>
      <c r="E3859" s="44"/>
      <c r="F3859" s="16">
        <f>base!W3859</f>
        <v>0</v>
      </c>
      <c r="G3859" s="11">
        <f t="shared" si="600"/>
        <v>0</v>
      </c>
      <c r="H3859" s="11">
        <f t="shared" si="601"/>
        <v>7.6</v>
      </c>
      <c r="I3859" s="11">
        <f t="shared" si="602"/>
        <v>0.19</v>
      </c>
      <c r="J3859" s="12">
        <f t="shared" si="603"/>
        <v>-7.6</v>
      </c>
      <c r="K3859" s="17" t="str">
        <f t="shared" si="608"/>
        <v>Ecart négatif</v>
      </c>
      <c r="L3859" s="16">
        <f>base!X3859</f>
        <v>4.8</v>
      </c>
      <c r="M3859" s="11">
        <f t="shared" si="604"/>
        <v>0.12</v>
      </c>
      <c r="N3859" s="11">
        <f t="shared" si="605"/>
        <v>4.8</v>
      </c>
      <c r="O3859" s="11">
        <f t="shared" si="606"/>
        <v>0.12</v>
      </c>
      <c r="P3859" s="12">
        <f t="shared" si="607"/>
        <v>0</v>
      </c>
      <c r="Q3859" s="17" t="str">
        <f t="shared" si="609"/>
        <v>Pas d'écart</v>
      </c>
      <c r="R3859" s="38"/>
    </row>
    <row r="3860" spans="1:18" x14ac:dyDescent="0.3">
      <c r="A3860" s="34" t="str">
        <f>base!J3860</f>
        <v>DRM</v>
      </c>
      <c r="B3860" s="34" t="str">
        <f>base!V3860</f>
        <v>44700</v>
      </c>
      <c r="C3860" s="37">
        <v>44</v>
      </c>
      <c r="D3860" s="36">
        <f>base!H3860</f>
        <v>181</v>
      </c>
      <c r="E3860" s="44"/>
      <c r="F3860" s="16">
        <f>base!W3860</f>
        <v>0</v>
      </c>
      <c r="G3860" s="11">
        <f t="shared" si="600"/>
        <v>0</v>
      </c>
      <c r="H3860" s="11">
        <f t="shared" si="601"/>
        <v>48.870000000000005</v>
      </c>
      <c r="I3860" s="11">
        <f t="shared" si="602"/>
        <v>0.27</v>
      </c>
      <c r="J3860" s="12">
        <f t="shared" si="603"/>
        <v>-48.870000000000005</v>
      </c>
      <c r="K3860" s="17" t="str">
        <f t="shared" si="608"/>
        <v>Ecart négatif</v>
      </c>
      <c r="L3860" s="16">
        <f>base!X3860</f>
        <v>0</v>
      </c>
      <c r="M3860" s="11">
        <f t="shared" si="604"/>
        <v>0</v>
      </c>
      <c r="N3860" s="11">
        <f t="shared" si="605"/>
        <v>0</v>
      </c>
      <c r="O3860" s="11">
        <f t="shared" si="606"/>
        <v>0</v>
      </c>
      <c r="P3860" s="12">
        <f t="shared" si="607"/>
        <v>0</v>
      </c>
      <c r="Q3860" s="17" t="str">
        <f t="shared" si="609"/>
        <v>Pas d'écart</v>
      </c>
    </row>
    <row r="3861" spans="1:18" x14ac:dyDescent="0.3">
      <c r="A3861" s="34" t="str">
        <f>base!J3861</f>
        <v>LM</v>
      </c>
      <c r="B3861" s="34" t="str">
        <f>base!V3861</f>
        <v>75014</v>
      </c>
      <c r="C3861" s="37">
        <v>75</v>
      </c>
      <c r="D3861" s="36">
        <f>base!H3861</f>
        <v>19.649999999999999</v>
      </c>
      <c r="E3861" s="44"/>
      <c r="F3861" s="16">
        <f>base!W3861</f>
        <v>0</v>
      </c>
      <c r="G3861" s="11">
        <f t="shared" si="600"/>
        <v>0</v>
      </c>
      <c r="H3861" s="11">
        <f t="shared" si="601"/>
        <v>0</v>
      </c>
      <c r="I3861" s="11">
        <f t="shared" si="602"/>
        <v>0</v>
      </c>
      <c r="J3861" s="12">
        <f t="shared" si="603"/>
        <v>0</v>
      </c>
      <c r="K3861" s="17" t="str">
        <f t="shared" si="608"/>
        <v>Pas d'écart</v>
      </c>
      <c r="L3861" s="16">
        <f>base!X3861</f>
        <v>0</v>
      </c>
      <c r="M3861" s="11">
        <f t="shared" si="604"/>
        <v>0</v>
      </c>
      <c r="N3861" s="11">
        <f t="shared" si="605"/>
        <v>0</v>
      </c>
      <c r="O3861" s="11">
        <f t="shared" si="606"/>
        <v>0</v>
      </c>
      <c r="P3861" s="12">
        <f t="shared" si="607"/>
        <v>0</v>
      </c>
      <c r="Q3861" s="17" t="str">
        <f t="shared" si="609"/>
        <v>Pas d'écart</v>
      </c>
    </row>
    <row r="3862" spans="1:18" x14ac:dyDescent="0.3">
      <c r="A3862" s="34" t="str">
        <f>base!J3862</f>
        <v>LM</v>
      </c>
      <c r="B3862" s="34" t="str">
        <f>base!V3862</f>
        <v>75014</v>
      </c>
      <c r="C3862" s="37">
        <v>75</v>
      </c>
      <c r="D3862" s="36">
        <f>base!H3862</f>
        <v>19.649999999999999</v>
      </c>
      <c r="E3862" s="44"/>
      <c r="F3862" s="16">
        <f>base!W3862</f>
        <v>0</v>
      </c>
      <c r="G3862" s="11">
        <f t="shared" si="600"/>
        <v>0</v>
      </c>
      <c r="H3862" s="11">
        <f t="shared" si="601"/>
        <v>0</v>
      </c>
      <c r="I3862" s="11">
        <f t="shared" si="602"/>
        <v>0</v>
      </c>
      <c r="J3862" s="12">
        <f t="shared" si="603"/>
        <v>0</v>
      </c>
      <c r="K3862" s="17" t="str">
        <f t="shared" si="608"/>
        <v>Pas d'écart</v>
      </c>
      <c r="L3862" s="16">
        <f>base!X3862</f>
        <v>0</v>
      </c>
      <c r="M3862" s="11">
        <f t="shared" si="604"/>
        <v>0</v>
      </c>
      <c r="N3862" s="11">
        <f t="shared" si="605"/>
        <v>0</v>
      </c>
      <c r="O3862" s="11">
        <f t="shared" si="606"/>
        <v>0</v>
      </c>
      <c r="P3862" s="12">
        <f t="shared" si="607"/>
        <v>0</v>
      </c>
      <c r="Q3862" s="17" t="str">
        <f t="shared" si="609"/>
        <v>Pas d'écart</v>
      </c>
    </row>
    <row r="3863" spans="1:18" x14ac:dyDescent="0.3">
      <c r="A3863" s="34" t="str">
        <f>base!J3863</f>
        <v>LM</v>
      </c>
      <c r="B3863" s="34" t="str">
        <f>base!V3863</f>
        <v>67000</v>
      </c>
      <c r="C3863" s="37">
        <v>57</v>
      </c>
      <c r="D3863" s="36">
        <f>base!H3863</f>
        <v>32.450000000000003</v>
      </c>
      <c r="E3863" s="44"/>
      <c r="F3863" s="16">
        <f>base!W3863</f>
        <v>9.41</v>
      </c>
      <c r="G3863" s="11">
        <f t="shared" si="600"/>
        <v>0.28998459167950691</v>
      </c>
      <c r="H3863" s="11">
        <f t="shared" si="601"/>
        <v>7.7880000000000003</v>
      </c>
      <c r="I3863" s="11">
        <f t="shared" si="602"/>
        <v>0.24</v>
      </c>
      <c r="J3863" s="12">
        <f t="shared" si="603"/>
        <v>1.6219999999999999</v>
      </c>
      <c r="K3863" s="17" t="str">
        <f t="shared" si="608"/>
        <v>Ecart positif</v>
      </c>
      <c r="L3863" s="16">
        <f>base!X3863</f>
        <v>0</v>
      </c>
      <c r="M3863" s="11">
        <f t="shared" si="604"/>
        <v>0</v>
      </c>
      <c r="N3863" s="11">
        <f t="shared" si="605"/>
        <v>8.1125000000000007</v>
      </c>
      <c r="O3863" s="11">
        <f t="shared" si="606"/>
        <v>0.25</v>
      </c>
      <c r="P3863" s="12">
        <f t="shared" si="607"/>
        <v>-8.1125000000000007</v>
      </c>
      <c r="Q3863" s="17" t="str">
        <f t="shared" si="609"/>
        <v>Ecart négatif</v>
      </c>
    </row>
    <row r="3864" spans="1:18" x14ac:dyDescent="0.3">
      <c r="A3864" s="34" t="str">
        <f>base!J3864</f>
        <v>LS</v>
      </c>
      <c r="B3864" s="34" t="str">
        <f>base!V3864</f>
        <v>75003</v>
      </c>
      <c r="C3864" s="37">
        <v>75</v>
      </c>
      <c r="D3864" s="36">
        <f>base!H3864</f>
        <v>136.65</v>
      </c>
      <c r="E3864" s="44"/>
      <c r="F3864" s="16">
        <f>base!W3864</f>
        <v>0</v>
      </c>
      <c r="G3864" s="11">
        <f t="shared" si="600"/>
        <v>0</v>
      </c>
      <c r="H3864" s="11">
        <f t="shared" si="601"/>
        <v>0</v>
      </c>
      <c r="I3864" s="11">
        <f t="shared" si="602"/>
        <v>0</v>
      </c>
      <c r="J3864" s="12">
        <f t="shared" si="603"/>
        <v>0</v>
      </c>
      <c r="K3864" s="17" t="str">
        <f t="shared" si="608"/>
        <v>Pas d'écart</v>
      </c>
      <c r="L3864" s="16">
        <f>base!X3864</f>
        <v>0</v>
      </c>
      <c r="M3864" s="11">
        <f t="shared" si="604"/>
        <v>0</v>
      </c>
      <c r="N3864" s="11">
        <f t="shared" si="605"/>
        <v>0</v>
      </c>
      <c r="O3864" s="11">
        <f t="shared" si="606"/>
        <v>0</v>
      </c>
      <c r="P3864" s="12">
        <f t="shared" si="607"/>
        <v>0</v>
      </c>
      <c r="Q3864" s="17" t="str">
        <f t="shared" si="609"/>
        <v>Pas d'écart</v>
      </c>
    </row>
    <row r="3865" spans="1:18" x14ac:dyDescent="0.3">
      <c r="A3865" s="34" t="str">
        <f>base!J3865</f>
        <v>LM</v>
      </c>
      <c r="B3865" s="34" t="str">
        <f>base!V3865</f>
        <v>75014</v>
      </c>
      <c r="C3865" s="37">
        <v>75</v>
      </c>
      <c r="D3865" s="36">
        <f>base!H3865</f>
        <v>19.649999999999999</v>
      </c>
      <c r="E3865" s="44"/>
      <c r="F3865" s="16">
        <f>base!W3865</f>
        <v>0</v>
      </c>
      <c r="G3865" s="11">
        <f t="shared" si="600"/>
        <v>0</v>
      </c>
      <c r="H3865" s="11">
        <f t="shared" si="601"/>
        <v>0</v>
      </c>
      <c r="I3865" s="11">
        <f t="shared" si="602"/>
        <v>0</v>
      </c>
      <c r="J3865" s="12">
        <f t="shared" si="603"/>
        <v>0</v>
      </c>
      <c r="K3865" s="17" t="str">
        <f t="shared" si="608"/>
        <v>Pas d'écart</v>
      </c>
      <c r="L3865" s="16">
        <f>base!X3865</f>
        <v>0</v>
      </c>
      <c r="M3865" s="11">
        <f t="shared" si="604"/>
        <v>0</v>
      </c>
      <c r="N3865" s="11">
        <f t="shared" si="605"/>
        <v>0</v>
      </c>
      <c r="O3865" s="11">
        <f t="shared" si="606"/>
        <v>0</v>
      </c>
      <c r="P3865" s="12">
        <f t="shared" si="607"/>
        <v>0</v>
      </c>
      <c r="Q3865" s="17" t="str">
        <f t="shared" si="609"/>
        <v>Pas d'écart</v>
      </c>
    </row>
    <row r="3866" spans="1:18" x14ac:dyDescent="0.3">
      <c r="A3866" s="34" t="str">
        <f>base!J3866</f>
        <v>LM</v>
      </c>
      <c r="B3866" s="34" t="str">
        <f>base!V3866</f>
        <v>75014</v>
      </c>
      <c r="C3866" s="37">
        <v>75</v>
      </c>
      <c r="D3866" s="36">
        <f>base!H3866</f>
        <v>19.649999999999999</v>
      </c>
      <c r="E3866" s="44"/>
      <c r="F3866" s="16">
        <f>base!W3866</f>
        <v>0</v>
      </c>
      <c r="G3866" s="11">
        <f t="shared" si="600"/>
        <v>0</v>
      </c>
      <c r="H3866" s="11">
        <f t="shared" si="601"/>
        <v>0</v>
      </c>
      <c r="I3866" s="11">
        <f t="shared" si="602"/>
        <v>0</v>
      </c>
      <c r="J3866" s="12">
        <f t="shared" si="603"/>
        <v>0</v>
      </c>
      <c r="K3866" s="17" t="str">
        <f t="shared" si="608"/>
        <v>Pas d'écart</v>
      </c>
      <c r="L3866" s="16">
        <f>base!X3866</f>
        <v>0</v>
      </c>
      <c r="M3866" s="11">
        <f t="shared" si="604"/>
        <v>0</v>
      </c>
      <c r="N3866" s="11">
        <f t="shared" si="605"/>
        <v>0</v>
      </c>
      <c r="O3866" s="11">
        <f t="shared" si="606"/>
        <v>0</v>
      </c>
      <c r="P3866" s="12">
        <f t="shared" si="607"/>
        <v>0</v>
      </c>
      <c r="Q3866" s="17" t="str">
        <f t="shared" si="609"/>
        <v>Pas d'écart</v>
      </c>
    </row>
    <row r="3867" spans="1:18" x14ac:dyDescent="0.3">
      <c r="A3867" s="34" t="str">
        <f>base!J3867</f>
        <v>LM</v>
      </c>
      <c r="B3867" s="34" t="str">
        <f>base!V3867</f>
        <v>75014</v>
      </c>
      <c r="C3867" s="37">
        <v>75</v>
      </c>
      <c r="D3867" s="36">
        <f>base!H3867</f>
        <v>19.649999999999999</v>
      </c>
      <c r="E3867" s="44"/>
      <c r="F3867" s="16">
        <f>base!W3867</f>
        <v>0</v>
      </c>
      <c r="G3867" s="11">
        <f t="shared" si="600"/>
        <v>0</v>
      </c>
      <c r="H3867" s="11">
        <f t="shared" si="601"/>
        <v>0</v>
      </c>
      <c r="I3867" s="11">
        <f t="shared" si="602"/>
        <v>0</v>
      </c>
      <c r="J3867" s="12">
        <f t="shared" si="603"/>
        <v>0</v>
      </c>
      <c r="K3867" s="17" t="str">
        <f t="shared" si="608"/>
        <v>Pas d'écart</v>
      </c>
      <c r="L3867" s="16">
        <f>base!X3867</f>
        <v>0</v>
      </c>
      <c r="M3867" s="11">
        <f t="shared" si="604"/>
        <v>0</v>
      </c>
      <c r="N3867" s="11">
        <f t="shared" si="605"/>
        <v>0</v>
      </c>
      <c r="O3867" s="11">
        <f t="shared" si="606"/>
        <v>0</v>
      </c>
      <c r="P3867" s="12">
        <f t="shared" si="607"/>
        <v>0</v>
      </c>
      <c r="Q3867" s="17" t="str">
        <f t="shared" si="609"/>
        <v>Pas d'écart</v>
      </c>
    </row>
    <row r="3868" spans="1:18" x14ac:dyDescent="0.3">
      <c r="A3868" s="34" t="str">
        <f>base!J3868</f>
        <v>LM</v>
      </c>
      <c r="B3868" s="34" t="str">
        <f>base!V3868</f>
        <v>75014</v>
      </c>
      <c r="C3868" s="37">
        <v>75</v>
      </c>
      <c r="D3868" s="36">
        <f>base!H3868</f>
        <v>19.649999999999999</v>
      </c>
      <c r="E3868" s="44"/>
      <c r="F3868" s="16">
        <f>base!W3868</f>
        <v>0</v>
      </c>
      <c r="G3868" s="11">
        <f t="shared" si="600"/>
        <v>0</v>
      </c>
      <c r="H3868" s="11">
        <f t="shared" si="601"/>
        <v>0</v>
      </c>
      <c r="I3868" s="11">
        <f t="shared" si="602"/>
        <v>0</v>
      </c>
      <c r="J3868" s="12">
        <f t="shared" si="603"/>
        <v>0</v>
      </c>
      <c r="K3868" s="17" t="str">
        <f t="shared" si="608"/>
        <v>Pas d'écart</v>
      </c>
      <c r="L3868" s="16">
        <f>base!X3868</f>
        <v>0</v>
      </c>
      <c r="M3868" s="11">
        <f t="shared" si="604"/>
        <v>0</v>
      </c>
      <c r="N3868" s="11">
        <f t="shared" si="605"/>
        <v>0</v>
      </c>
      <c r="O3868" s="11">
        <f t="shared" si="606"/>
        <v>0</v>
      </c>
      <c r="P3868" s="12">
        <f t="shared" si="607"/>
        <v>0</v>
      </c>
      <c r="Q3868" s="17" t="str">
        <f t="shared" si="609"/>
        <v>Pas d'écart</v>
      </c>
    </row>
    <row r="3869" spans="1:18" x14ac:dyDescent="0.3">
      <c r="A3869" s="34" t="str">
        <f>base!J3869</f>
        <v>LS</v>
      </c>
      <c r="B3869" s="34" t="str">
        <f>base!V3869</f>
        <v>75015</v>
      </c>
      <c r="C3869" s="37">
        <v>75</v>
      </c>
      <c r="D3869" s="36">
        <f>base!H3869</f>
        <v>83.8</v>
      </c>
      <c r="E3869" s="44"/>
      <c r="F3869" s="16">
        <f>base!W3869</f>
        <v>0</v>
      </c>
      <c r="G3869" s="11">
        <f t="shared" si="600"/>
        <v>0</v>
      </c>
      <c r="H3869" s="11">
        <f t="shared" si="601"/>
        <v>0</v>
      </c>
      <c r="I3869" s="11">
        <f t="shared" si="602"/>
        <v>0</v>
      </c>
      <c r="J3869" s="12">
        <f t="shared" si="603"/>
        <v>0</v>
      </c>
      <c r="K3869" s="17" t="str">
        <f t="shared" si="608"/>
        <v>Pas d'écart</v>
      </c>
      <c r="L3869" s="16">
        <f>base!X3869</f>
        <v>0</v>
      </c>
      <c r="M3869" s="11">
        <f t="shared" si="604"/>
        <v>0</v>
      </c>
      <c r="N3869" s="11">
        <f t="shared" si="605"/>
        <v>0</v>
      </c>
      <c r="O3869" s="11">
        <f t="shared" si="606"/>
        <v>0</v>
      </c>
      <c r="P3869" s="12">
        <f t="shared" si="607"/>
        <v>0</v>
      </c>
      <c r="Q3869" s="17" t="str">
        <f t="shared" si="609"/>
        <v>Pas d'écart</v>
      </c>
    </row>
    <row r="3870" spans="1:18" x14ac:dyDescent="0.3">
      <c r="A3870" s="34" t="str">
        <f>base!J3870</f>
        <v>LS</v>
      </c>
      <c r="B3870" s="34" t="str">
        <f>base!V3870</f>
        <v>57500</v>
      </c>
      <c r="C3870" s="37">
        <v>10</v>
      </c>
      <c r="D3870" s="36">
        <f>base!H3870</f>
        <v>18.350000000000001</v>
      </c>
      <c r="E3870" s="44"/>
      <c r="F3870" s="16">
        <f>base!W3870</f>
        <v>4.59</v>
      </c>
      <c r="G3870" s="11">
        <f t="shared" si="600"/>
        <v>0.25013623978201632</v>
      </c>
      <c r="H3870" s="11">
        <f t="shared" si="601"/>
        <v>4.2205000000000004</v>
      </c>
      <c r="I3870" s="11">
        <f t="shared" si="602"/>
        <v>0.23</v>
      </c>
      <c r="J3870" s="12">
        <f t="shared" si="603"/>
        <v>0.3694999999999995</v>
      </c>
      <c r="K3870" s="17" t="str">
        <f t="shared" si="608"/>
        <v>Ecart positif</v>
      </c>
      <c r="L3870" s="16">
        <f>base!X3870</f>
        <v>0</v>
      </c>
      <c r="M3870" s="11">
        <f t="shared" si="604"/>
        <v>0</v>
      </c>
      <c r="N3870" s="11">
        <f t="shared" si="605"/>
        <v>2.202</v>
      </c>
      <c r="O3870" s="11">
        <f t="shared" si="606"/>
        <v>0.11999999999999998</v>
      </c>
      <c r="P3870" s="12">
        <f t="shared" si="607"/>
        <v>-2.202</v>
      </c>
      <c r="Q3870" s="17" t="str">
        <f t="shared" si="609"/>
        <v>Ecart négatif</v>
      </c>
    </row>
    <row r="3871" spans="1:18" x14ac:dyDescent="0.3">
      <c r="A3871" s="34" t="str">
        <f>base!J3871</f>
        <v>LS</v>
      </c>
      <c r="B3871" s="34" t="str">
        <f>base!V3871</f>
        <v>63170</v>
      </c>
      <c r="C3871" s="37">
        <v>25</v>
      </c>
      <c r="D3871" s="36">
        <f>base!H3871</f>
        <v>0.81</v>
      </c>
      <c r="E3871" s="44"/>
      <c r="F3871" s="16">
        <f>base!W3871</f>
        <v>0.23</v>
      </c>
      <c r="G3871" s="11">
        <f t="shared" si="600"/>
        <v>0.2839506172839506</v>
      </c>
      <c r="H3871" s="11">
        <f t="shared" si="601"/>
        <v>0.19440000000000002</v>
      </c>
      <c r="I3871" s="11">
        <f t="shared" si="602"/>
        <v>0.24000000000000002</v>
      </c>
      <c r="J3871" s="12">
        <f t="shared" si="603"/>
        <v>3.5599999999999993E-2</v>
      </c>
      <c r="K3871" s="17" t="str">
        <f t="shared" si="608"/>
        <v>Ecart positif</v>
      </c>
      <c r="L3871" s="16">
        <f>base!X3871</f>
        <v>0</v>
      </c>
      <c r="M3871" s="11">
        <f t="shared" si="604"/>
        <v>0</v>
      </c>
      <c r="N3871" s="11">
        <f t="shared" si="605"/>
        <v>9.7200000000000009E-2</v>
      </c>
      <c r="O3871" s="11">
        <f t="shared" si="606"/>
        <v>0.12000000000000001</v>
      </c>
      <c r="P3871" s="12">
        <f t="shared" si="607"/>
        <v>-9.7200000000000009E-2</v>
      </c>
      <c r="Q3871" s="17" t="str">
        <f t="shared" si="609"/>
        <v>Ecart négatif</v>
      </c>
    </row>
    <row r="3872" spans="1:18" x14ac:dyDescent="0.3">
      <c r="A3872" s="34" t="str">
        <f>base!J3872</f>
        <v>RM</v>
      </c>
      <c r="B3872" s="34" t="str">
        <f>base!V3872</f>
        <v>62740</v>
      </c>
      <c r="C3872" s="37">
        <v>62</v>
      </c>
      <c r="D3872" s="36">
        <f>base!H3872</f>
        <v>70</v>
      </c>
      <c r="E3872" s="44"/>
      <c r="F3872" s="16">
        <f>base!W3872</f>
        <v>0</v>
      </c>
      <c r="G3872" s="11">
        <f t="shared" si="600"/>
        <v>0</v>
      </c>
      <c r="H3872" s="11">
        <f t="shared" si="601"/>
        <v>13.3</v>
      </c>
      <c r="I3872" s="11">
        <f t="shared" si="602"/>
        <v>0.19</v>
      </c>
      <c r="J3872" s="12">
        <f t="shared" si="603"/>
        <v>-13.3</v>
      </c>
      <c r="K3872" s="17" t="str">
        <f t="shared" si="608"/>
        <v>Ecart négatif</v>
      </c>
      <c r="L3872" s="16">
        <f>base!X3872</f>
        <v>0</v>
      </c>
      <c r="M3872" s="11">
        <f t="shared" si="604"/>
        <v>0</v>
      </c>
      <c r="N3872" s="11">
        <f t="shared" si="605"/>
        <v>0</v>
      </c>
      <c r="O3872" s="11">
        <f t="shared" si="606"/>
        <v>0</v>
      </c>
      <c r="P3872" s="12">
        <f t="shared" si="607"/>
        <v>0</v>
      </c>
      <c r="Q3872" s="17" t="str">
        <f t="shared" si="609"/>
        <v>Pas d'écart</v>
      </c>
    </row>
    <row r="3873" spans="1:18" x14ac:dyDescent="0.3">
      <c r="A3873" s="34">
        <f>base!J3873</f>
        <v>0</v>
      </c>
      <c r="B3873" s="34" t="str">
        <f>base!V3873</f>
        <v>77184</v>
      </c>
      <c r="C3873" s="37">
        <v>77</v>
      </c>
      <c r="D3873" s="36">
        <f>base!H3873</f>
        <v>290.27</v>
      </c>
      <c r="E3873" s="44"/>
      <c r="F3873" s="16">
        <f>base!W3873</f>
        <v>0</v>
      </c>
      <c r="G3873" s="11">
        <f t="shared" si="600"/>
        <v>0</v>
      </c>
      <c r="H3873" s="11">
        <f t="shared" si="601"/>
        <v>0</v>
      </c>
      <c r="I3873" s="11">
        <f t="shared" si="602"/>
        <v>0</v>
      </c>
      <c r="J3873" s="12">
        <f t="shared" si="603"/>
        <v>0</v>
      </c>
      <c r="K3873" s="17" t="str">
        <f t="shared" si="608"/>
        <v>Pas d'écart</v>
      </c>
      <c r="L3873" s="16">
        <f>base!X3873</f>
        <v>0</v>
      </c>
      <c r="M3873" s="11">
        <f t="shared" si="604"/>
        <v>0</v>
      </c>
      <c r="N3873" s="11">
        <f t="shared" si="605"/>
        <v>0</v>
      </c>
      <c r="O3873" s="11">
        <f t="shared" si="606"/>
        <v>0</v>
      </c>
      <c r="P3873" s="12">
        <f t="shared" si="607"/>
        <v>0</v>
      </c>
      <c r="Q3873" s="17" t="str">
        <f t="shared" si="609"/>
        <v>Pas d'écart</v>
      </c>
    </row>
    <row r="3874" spans="1:18" x14ac:dyDescent="0.3">
      <c r="A3874" s="34">
        <f>base!J3874</f>
        <v>0</v>
      </c>
      <c r="B3874" s="34" t="str">
        <f>base!V3874</f>
        <v>77184</v>
      </c>
      <c r="C3874" s="37">
        <v>77</v>
      </c>
      <c r="D3874" s="36">
        <f>base!H3874</f>
        <v>31.6</v>
      </c>
      <c r="E3874" s="44"/>
      <c r="F3874" s="16">
        <f>base!W3874</f>
        <v>0</v>
      </c>
      <c r="G3874" s="11">
        <f t="shared" si="600"/>
        <v>0</v>
      </c>
      <c r="H3874" s="11">
        <f t="shared" si="601"/>
        <v>0</v>
      </c>
      <c r="I3874" s="11">
        <f t="shared" si="602"/>
        <v>0</v>
      </c>
      <c r="J3874" s="12">
        <f t="shared" si="603"/>
        <v>0</v>
      </c>
      <c r="K3874" s="17" t="str">
        <f t="shared" si="608"/>
        <v>Pas d'écart</v>
      </c>
      <c r="L3874" s="16">
        <f>base!X3874</f>
        <v>0</v>
      </c>
      <c r="M3874" s="11">
        <f t="shared" si="604"/>
        <v>0</v>
      </c>
      <c r="N3874" s="11">
        <f t="shared" si="605"/>
        <v>0</v>
      </c>
      <c r="O3874" s="11">
        <f t="shared" si="606"/>
        <v>0</v>
      </c>
      <c r="P3874" s="12">
        <f t="shared" si="607"/>
        <v>0</v>
      </c>
      <c r="Q3874" s="17" t="str">
        <f t="shared" si="609"/>
        <v>Pas d'écart</v>
      </c>
    </row>
    <row r="3875" spans="1:18" x14ac:dyDescent="0.3">
      <c r="A3875" s="34" t="str">
        <f>base!J3875</f>
        <v>RS</v>
      </c>
      <c r="B3875" s="34" t="str">
        <f>base!V3875</f>
        <v>75015</v>
      </c>
      <c r="C3875" s="37">
        <v>75</v>
      </c>
      <c r="D3875" s="36">
        <f>base!H3875</f>
        <v>38.36</v>
      </c>
      <c r="E3875" s="44"/>
      <c r="F3875" s="16">
        <f>base!W3875</f>
        <v>0</v>
      </c>
      <c r="G3875" s="11">
        <f t="shared" si="600"/>
        <v>0</v>
      </c>
      <c r="H3875" s="11">
        <f t="shared" si="601"/>
        <v>0</v>
      </c>
      <c r="I3875" s="11">
        <f t="shared" si="602"/>
        <v>0</v>
      </c>
      <c r="J3875" s="12">
        <f t="shared" si="603"/>
        <v>0</v>
      </c>
      <c r="K3875" s="17" t="str">
        <f t="shared" si="608"/>
        <v>Pas d'écart</v>
      </c>
      <c r="L3875" s="16">
        <f>base!X3875</f>
        <v>0</v>
      </c>
      <c r="M3875" s="11">
        <f t="shared" si="604"/>
        <v>0</v>
      </c>
      <c r="N3875" s="11">
        <f t="shared" si="605"/>
        <v>0</v>
      </c>
      <c r="O3875" s="11">
        <f t="shared" si="606"/>
        <v>0</v>
      </c>
      <c r="P3875" s="12">
        <f t="shared" si="607"/>
        <v>0</v>
      </c>
      <c r="Q3875" s="17" t="str">
        <f t="shared" si="609"/>
        <v>Pas d'écart</v>
      </c>
    </row>
    <row r="3876" spans="1:18" x14ac:dyDescent="0.3">
      <c r="A3876" s="34" t="str">
        <f>base!J3876</f>
        <v>RM</v>
      </c>
      <c r="B3876" s="34" t="str">
        <f>base!V3876</f>
        <v>21230</v>
      </c>
      <c r="C3876" s="37">
        <v>21</v>
      </c>
      <c r="D3876" s="36">
        <f>base!H3876</f>
        <v>42.96</v>
      </c>
      <c r="E3876" s="44"/>
      <c r="F3876" s="16">
        <f>base!W3876</f>
        <v>0</v>
      </c>
      <c r="G3876" s="11">
        <f t="shared" si="600"/>
        <v>0</v>
      </c>
      <c r="H3876" s="11">
        <f t="shared" si="601"/>
        <v>10.3104</v>
      </c>
      <c r="I3876" s="11">
        <f t="shared" si="602"/>
        <v>0.24</v>
      </c>
      <c r="J3876" s="12">
        <f t="shared" si="603"/>
        <v>-10.3104</v>
      </c>
      <c r="K3876" s="17" t="str">
        <f t="shared" si="608"/>
        <v>Ecart négatif</v>
      </c>
      <c r="L3876" s="16">
        <f>base!X3876</f>
        <v>5.16</v>
      </c>
      <c r="M3876" s="11">
        <f t="shared" si="604"/>
        <v>0.12011173184357542</v>
      </c>
      <c r="N3876" s="11">
        <f t="shared" si="605"/>
        <v>5.1551999999999998</v>
      </c>
      <c r="O3876" s="11">
        <f t="shared" si="606"/>
        <v>0.12</v>
      </c>
      <c r="P3876" s="12">
        <f t="shared" si="607"/>
        <v>4.8000000000003595E-3</v>
      </c>
      <c r="Q3876" s="17" t="str">
        <f t="shared" si="609"/>
        <v>Ecart positif</v>
      </c>
      <c r="R3876" s="38"/>
    </row>
    <row r="3877" spans="1:18" x14ac:dyDescent="0.3">
      <c r="A3877" s="34" t="str">
        <f>base!J3877</f>
        <v>LS</v>
      </c>
      <c r="B3877" s="34" t="str">
        <f>base!V3877</f>
        <v>75013</v>
      </c>
      <c r="C3877" s="37">
        <v>75</v>
      </c>
      <c r="D3877" s="36">
        <f>base!H3877</f>
        <v>53.93</v>
      </c>
      <c r="E3877" s="44"/>
      <c r="F3877" s="16">
        <f>base!W3877</f>
        <v>0</v>
      </c>
      <c r="G3877" s="11">
        <f t="shared" si="600"/>
        <v>0</v>
      </c>
      <c r="H3877" s="11">
        <f t="shared" si="601"/>
        <v>0</v>
      </c>
      <c r="I3877" s="11">
        <f t="shared" si="602"/>
        <v>0</v>
      </c>
      <c r="J3877" s="12">
        <f t="shared" si="603"/>
        <v>0</v>
      </c>
      <c r="K3877" s="17" t="str">
        <f t="shared" si="608"/>
        <v>Pas d'écart</v>
      </c>
      <c r="L3877" s="16">
        <f>base!X3877</f>
        <v>0</v>
      </c>
      <c r="M3877" s="11">
        <f t="shared" si="604"/>
        <v>0</v>
      </c>
      <c r="N3877" s="11">
        <f t="shared" si="605"/>
        <v>0</v>
      </c>
      <c r="O3877" s="11">
        <f t="shared" si="606"/>
        <v>0</v>
      </c>
      <c r="P3877" s="12">
        <f t="shared" si="607"/>
        <v>0</v>
      </c>
      <c r="Q3877" s="17" t="str">
        <f t="shared" si="609"/>
        <v>Pas d'écart</v>
      </c>
    </row>
    <row r="3878" spans="1:18" x14ac:dyDescent="0.3">
      <c r="A3878" s="34" t="str">
        <f>base!J3878</f>
        <v>LS</v>
      </c>
      <c r="B3878" s="34" t="str">
        <f>base!V3878</f>
        <v>66700</v>
      </c>
      <c r="C3878" s="37">
        <v>54</v>
      </c>
      <c r="D3878" s="36">
        <f>base!H3878</f>
        <v>120.85</v>
      </c>
      <c r="E3878" s="44"/>
      <c r="F3878" s="16">
        <f>base!W3878</f>
        <v>47.13</v>
      </c>
      <c r="G3878" s="11">
        <f t="shared" si="600"/>
        <v>0.38998758791890775</v>
      </c>
      <c r="H3878" s="11">
        <f t="shared" si="601"/>
        <v>30.212499999999999</v>
      </c>
      <c r="I3878" s="11">
        <f t="shared" si="602"/>
        <v>0.25</v>
      </c>
      <c r="J3878" s="12">
        <f t="shared" si="603"/>
        <v>16.917500000000004</v>
      </c>
      <c r="K3878" s="17" t="str">
        <f t="shared" si="608"/>
        <v>Ecart positif</v>
      </c>
      <c r="L3878" s="16">
        <f>base!X3878</f>
        <v>0</v>
      </c>
      <c r="M3878" s="11">
        <f t="shared" si="604"/>
        <v>0</v>
      </c>
      <c r="N3878" s="11">
        <f t="shared" si="605"/>
        <v>30.212499999999999</v>
      </c>
      <c r="O3878" s="11">
        <f t="shared" si="606"/>
        <v>0.25</v>
      </c>
      <c r="P3878" s="12">
        <f t="shared" si="607"/>
        <v>-30.212499999999999</v>
      </c>
      <c r="Q3878" s="17" t="str">
        <f t="shared" si="609"/>
        <v>Ecart négatif</v>
      </c>
    </row>
    <row r="3879" spans="1:18" x14ac:dyDescent="0.3">
      <c r="A3879" s="34" t="str">
        <f>base!J3879</f>
        <v>LM</v>
      </c>
      <c r="B3879" s="34" t="str">
        <f>base!V3879</f>
        <v>59120</v>
      </c>
      <c r="C3879" s="37">
        <v>54</v>
      </c>
      <c r="D3879" s="36">
        <f>base!H3879</f>
        <v>1.46</v>
      </c>
      <c r="E3879" s="44"/>
      <c r="F3879" s="16">
        <f>base!W3879</f>
        <v>0.28000000000000003</v>
      </c>
      <c r="G3879" s="11">
        <f t="shared" si="600"/>
        <v>0.19178082191780824</v>
      </c>
      <c r="H3879" s="11">
        <f t="shared" si="601"/>
        <v>0.36499999999999999</v>
      </c>
      <c r="I3879" s="11">
        <f t="shared" si="602"/>
        <v>0.25</v>
      </c>
      <c r="J3879" s="12">
        <f t="shared" si="603"/>
        <v>-8.4999999999999964E-2</v>
      </c>
      <c r="K3879" s="17" t="str">
        <f t="shared" si="608"/>
        <v>Ecart négatif</v>
      </c>
      <c r="L3879" s="16">
        <f>base!X3879</f>
        <v>0</v>
      </c>
      <c r="M3879" s="11">
        <f t="shared" si="604"/>
        <v>0</v>
      </c>
      <c r="N3879" s="11">
        <f t="shared" si="605"/>
        <v>0.36499999999999999</v>
      </c>
      <c r="O3879" s="11">
        <f t="shared" si="606"/>
        <v>0.25</v>
      </c>
      <c r="P3879" s="12">
        <f t="shared" si="607"/>
        <v>-0.36499999999999999</v>
      </c>
      <c r="Q3879" s="17" t="str">
        <f t="shared" si="609"/>
        <v>Ecart négatif</v>
      </c>
    </row>
    <row r="3880" spans="1:18" x14ac:dyDescent="0.3">
      <c r="A3880" s="34" t="str">
        <f>base!J3880</f>
        <v>LM</v>
      </c>
      <c r="B3880" s="34" t="str">
        <f>base!V3880</f>
        <v>59120</v>
      </c>
      <c r="C3880" s="37">
        <v>51</v>
      </c>
      <c r="D3880" s="36">
        <f>base!H3880</f>
        <v>1.46</v>
      </c>
      <c r="E3880" s="44"/>
      <c r="F3880" s="16">
        <f>base!W3880</f>
        <v>0.28000000000000003</v>
      </c>
      <c r="G3880" s="11">
        <f t="shared" si="600"/>
        <v>0.19178082191780824</v>
      </c>
      <c r="H3880" s="11">
        <f t="shared" si="601"/>
        <v>0.36499999999999999</v>
      </c>
      <c r="I3880" s="11">
        <f t="shared" si="602"/>
        <v>0.25</v>
      </c>
      <c r="J3880" s="12">
        <f t="shared" si="603"/>
        <v>-8.4999999999999964E-2</v>
      </c>
      <c r="K3880" s="17" t="str">
        <f t="shared" si="608"/>
        <v>Ecart négatif</v>
      </c>
      <c r="L3880" s="16">
        <f>base!X3880</f>
        <v>0</v>
      </c>
      <c r="M3880" s="11">
        <f t="shared" si="604"/>
        <v>0</v>
      </c>
      <c r="N3880" s="11">
        <f t="shared" si="605"/>
        <v>0.36499999999999999</v>
      </c>
      <c r="O3880" s="11">
        <f t="shared" si="606"/>
        <v>0.25</v>
      </c>
      <c r="P3880" s="12">
        <f t="shared" si="607"/>
        <v>-0.36499999999999999</v>
      </c>
      <c r="Q3880" s="17" t="str">
        <f t="shared" si="609"/>
        <v>Ecart négatif</v>
      </c>
    </row>
    <row r="3881" spans="1:18" x14ac:dyDescent="0.3">
      <c r="A3881" s="34" t="str">
        <f>base!J3881</f>
        <v>LM</v>
      </c>
      <c r="B3881" s="34" t="str">
        <f>base!V3881</f>
        <v>59120</v>
      </c>
      <c r="C3881" s="37">
        <v>54</v>
      </c>
      <c r="D3881" s="36">
        <f>base!H3881</f>
        <v>1.46</v>
      </c>
      <c r="E3881" s="44"/>
      <c r="F3881" s="16">
        <f>base!W3881</f>
        <v>0.28000000000000003</v>
      </c>
      <c r="G3881" s="11">
        <f t="shared" si="600"/>
        <v>0.19178082191780824</v>
      </c>
      <c r="H3881" s="11">
        <f t="shared" si="601"/>
        <v>0.36499999999999999</v>
      </c>
      <c r="I3881" s="11">
        <f t="shared" si="602"/>
        <v>0.25</v>
      </c>
      <c r="J3881" s="12">
        <f t="shared" si="603"/>
        <v>-8.4999999999999964E-2</v>
      </c>
      <c r="K3881" s="17" t="str">
        <f t="shared" si="608"/>
        <v>Ecart négatif</v>
      </c>
      <c r="L3881" s="16">
        <f>base!X3881</f>
        <v>0</v>
      </c>
      <c r="M3881" s="11">
        <f t="shared" si="604"/>
        <v>0</v>
      </c>
      <c r="N3881" s="11">
        <f t="shared" si="605"/>
        <v>0.36499999999999999</v>
      </c>
      <c r="O3881" s="11">
        <f t="shared" si="606"/>
        <v>0.25</v>
      </c>
      <c r="P3881" s="12">
        <f t="shared" si="607"/>
        <v>-0.36499999999999999</v>
      </c>
      <c r="Q3881" s="17" t="str">
        <f t="shared" si="609"/>
        <v>Ecart négatif</v>
      </c>
    </row>
    <row r="3882" spans="1:18" x14ac:dyDescent="0.3">
      <c r="A3882" s="34">
        <f>base!J3882</f>
        <v>0</v>
      </c>
      <c r="B3882" s="34" t="str">
        <f>base!V3882</f>
        <v>77184</v>
      </c>
      <c r="C3882" s="37">
        <v>77</v>
      </c>
      <c r="D3882" s="36">
        <f>base!H3882</f>
        <v>35.659999999999997</v>
      </c>
      <c r="E3882" s="44"/>
      <c r="F3882" s="16">
        <f>base!W3882</f>
        <v>0</v>
      </c>
      <c r="G3882" s="11">
        <f t="shared" si="600"/>
        <v>0</v>
      </c>
      <c r="H3882" s="11">
        <f t="shared" si="601"/>
        <v>0</v>
      </c>
      <c r="I3882" s="11">
        <f t="shared" si="602"/>
        <v>0</v>
      </c>
      <c r="J3882" s="12">
        <f t="shared" si="603"/>
        <v>0</v>
      </c>
      <c r="K3882" s="17" t="str">
        <f t="shared" si="608"/>
        <v>Pas d'écart</v>
      </c>
      <c r="L3882" s="16">
        <f>base!X3882</f>
        <v>0</v>
      </c>
      <c r="M3882" s="11">
        <f t="shared" si="604"/>
        <v>0</v>
      </c>
      <c r="N3882" s="11">
        <f t="shared" si="605"/>
        <v>0</v>
      </c>
      <c r="O3882" s="11">
        <f t="shared" si="606"/>
        <v>0</v>
      </c>
      <c r="P3882" s="12">
        <f t="shared" si="607"/>
        <v>0</v>
      </c>
      <c r="Q3882" s="17" t="str">
        <f t="shared" si="609"/>
        <v>Pas d'écart</v>
      </c>
    </row>
    <row r="3883" spans="1:18" x14ac:dyDescent="0.3">
      <c r="A3883" s="34">
        <f>base!J3883</f>
        <v>0</v>
      </c>
      <c r="B3883" s="34" t="str">
        <f>base!V3883</f>
        <v>77184</v>
      </c>
      <c r="C3883" s="37">
        <v>77</v>
      </c>
      <c r="D3883" s="36">
        <f>base!H3883</f>
        <v>31</v>
      </c>
      <c r="E3883" s="44"/>
      <c r="F3883" s="16">
        <f>base!W3883</f>
        <v>0</v>
      </c>
      <c r="G3883" s="11">
        <f t="shared" si="600"/>
        <v>0</v>
      </c>
      <c r="H3883" s="11">
        <f t="shared" si="601"/>
        <v>0</v>
      </c>
      <c r="I3883" s="11">
        <f t="shared" si="602"/>
        <v>0</v>
      </c>
      <c r="J3883" s="12">
        <f t="shared" si="603"/>
        <v>0</v>
      </c>
      <c r="K3883" s="17" t="str">
        <f t="shared" si="608"/>
        <v>Pas d'écart</v>
      </c>
      <c r="L3883" s="16">
        <f>base!X3883</f>
        <v>0</v>
      </c>
      <c r="M3883" s="11">
        <f t="shared" si="604"/>
        <v>0</v>
      </c>
      <c r="N3883" s="11">
        <f t="shared" si="605"/>
        <v>0</v>
      </c>
      <c r="O3883" s="11">
        <f t="shared" si="606"/>
        <v>0</v>
      </c>
      <c r="P3883" s="12">
        <f t="shared" si="607"/>
        <v>0</v>
      </c>
      <c r="Q3883" s="17" t="str">
        <f t="shared" si="609"/>
        <v>Pas d'écart</v>
      </c>
    </row>
    <row r="3884" spans="1:18" x14ac:dyDescent="0.3">
      <c r="A3884" s="34">
        <f>base!J3884</f>
        <v>0</v>
      </c>
      <c r="B3884" s="34" t="str">
        <f>base!V3884</f>
        <v>77184</v>
      </c>
      <c r="C3884" s="37">
        <v>77</v>
      </c>
      <c r="D3884" s="36">
        <f>base!H3884</f>
        <v>25</v>
      </c>
      <c r="E3884" s="44"/>
      <c r="F3884" s="16">
        <f>base!W3884</f>
        <v>0</v>
      </c>
      <c r="G3884" s="11">
        <f t="shared" si="600"/>
        <v>0</v>
      </c>
      <c r="H3884" s="11">
        <f t="shared" si="601"/>
        <v>0</v>
      </c>
      <c r="I3884" s="11">
        <f t="shared" si="602"/>
        <v>0</v>
      </c>
      <c r="J3884" s="12">
        <f t="shared" si="603"/>
        <v>0</v>
      </c>
      <c r="K3884" s="17" t="str">
        <f t="shared" si="608"/>
        <v>Pas d'écart</v>
      </c>
      <c r="L3884" s="16">
        <f>base!X3884</f>
        <v>0</v>
      </c>
      <c r="M3884" s="11">
        <f t="shared" si="604"/>
        <v>0</v>
      </c>
      <c r="N3884" s="11">
        <f t="shared" si="605"/>
        <v>0</v>
      </c>
      <c r="O3884" s="11">
        <f t="shared" si="606"/>
        <v>0</v>
      </c>
      <c r="P3884" s="12">
        <f t="shared" si="607"/>
        <v>0</v>
      </c>
      <c r="Q3884" s="17" t="str">
        <f t="shared" si="609"/>
        <v>Pas d'écart</v>
      </c>
    </row>
    <row r="3885" spans="1:18" x14ac:dyDescent="0.3">
      <c r="A3885" s="34">
        <f>base!J3885</f>
        <v>0</v>
      </c>
      <c r="B3885" s="34" t="str">
        <f>base!V3885</f>
        <v>77184</v>
      </c>
      <c r="C3885" s="37">
        <v>77</v>
      </c>
      <c r="D3885" s="36">
        <f>base!H3885</f>
        <v>26</v>
      </c>
      <c r="E3885" s="44"/>
      <c r="F3885" s="16">
        <f>base!W3885</f>
        <v>0</v>
      </c>
      <c r="G3885" s="11">
        <f t="shared" si="600"/>
        <v>0</v>
      </c>
      <c r="H3885" s="11">
        <f t="shared" si="601"/>
        <v>0</v>
      </c>
      <c r="I3885" s="11">
        <f t="shared" si="602"/>
        <v>0</v>
      </c>
      <c r="J3885" s="12">
        <f t="shared" si="603"/>
        <v>0</v>
      </c>
      <c r="K3885" s="17" t="str">
        <f t="shared" si="608"/>
        <v>Pas d'écart</v>
      </c>
      <c r="L3885" s="16">
        <f>base!X3885</f>
        <v>0</v>
      </c>
      <c r="M3885" s="11">
        <f t="shared" si="604"/>
        <v>0</v>
      </c>
      <c r="N3885" s="11">
        <f t="shared" si="605"/>
        <v>0</v>
      </c>
      <c r="O3885" s="11">
        <f t="shared" si="606"/>
        <v>0</v>
      </c>
      <c r="P3885" s="12">
        <f t="shared" si="607"/>
        <v>0</v>
      </c>
      <c r="Q3885" s="17" t="str">
        <f t="shared" si="609"/>
        <v>Pas d'écart</v>
      </c>
    </row>
    <row r="3886" spans="1:18" x14ac:dyDescent="0.3">
      <c r="A3886" s="34">
        <f>base!J3886</f>
        <v>0</v>
      </c>
      <c r="B3886" s="34" t="str">
        <f>base!V3886</f>
        <v>77184</v>
      </c>
      <c r="C3886" s="37">
        <v>77</v>
      </c>
      <c r="D3886" s="36">
        <f>base!H3886</f>
        <v>149</v>
      </c>
      <c r="E3886" s="44"/>
      <c r="F3886" s="16">
        <f>base!W3886</f>
        <v>0</v>
      </c>
      <c r="G3886" s="11">
        <f t="shared" si="600"/>
        <v>0</v>
      </c>
      <c r="H3886" s="11">
        <f t="shared" si="601"/>
        <v>0</v>
      </c>
      <c r="I3886" s="11">
        <f t="shared" si="602"/>
        <v>0</v>
      </c>
      <c r="J3886" s="12">
        <f t="shared" si="603"/>
        <v>0</v>
      </c>
      <c r="K3886" s="17" t="str">
        <f t="shared" si="608"/>
        <v>Pas d'écart</v>
      </c>
      <c r="L3886" s="16">
        <f>base!X3886</f>
        <v>0</v>
      </c>
      <c r="M3886" s="11">
        <f t="shared" si="604"/>
        <v>0</v>
      </c>
      <c r="N3886" s="11">
        <f t="shared" si="605"/>
        <v>0</v>
      </c>
      <c r="O3886" s="11">
        <f t="shared" si="606"/>
        <v>0</v>
      </c>
      <c r="P3886" s="12">
        <f t="shared" si="607"/>
        <v>0</v>
      </c>
      <c r="Q3886" s="17" t="str">
        <f t="shared" si="609"/>
        <v>Pas d'écart</v>
      </c>
    </row>
    <row r="3887" spans="1:18" x14ac:dyDescent="0.3">
      <c r="A3887" s="34" t="str">
        <f>base!J3887</f>
        <v>LM</v>
      </c>
      <c r="B3887" s="34" t="str">
        <f>base!V3887</f>
        <v>59880</v>
      </c>
      <c r="C3887" s="37">
        <v>89</v>
      </c>
      <c r="D3887" s="36">
        <f>base!H3887</f>
        <v>193.85</v>
      </c>
      <c r="E3887" s="44"/>
      <c r="F3887" s="16">
        <f>base!W3887</f>
        <v>36.83</v>
      </c>
      <c r="G3887" s="11">
        <f t="shared" si="600"/>
        <v>0.1899922620582925</v>
      </c>
      <c r="H3887" s="11">
        <f t="shared" si="601"/>
        <v>44.585500000000003</v>
      </c>
      <c r="I3887" s="11">
        <f t="shared" si="602"/>
        <v>0.23</v>
      </c>
      <c r="J3887" s="12">
        <f t="shared" si="603"/>
        <v>-7.7555000000000049</v>
      </c>
      <c r="K3887" s="17" t="str">
        <f t="shared" si="608"/>
        <v>Ecart négatif</v>
      </c>
      <c r="L3887" s="16">
        <f>base!X3887</f>
        <v>0</v>
      </c>
      <c r="M3887" s="11">
        <f t="shared" si="604"/>
        <v>0</v>
      </c>
      <c r="N3887" s="11">
        <f t="shared" si="605"/>
        <v>23.261999999999997</v>
      </c>
      <c r="O3887" s="11">
        <f t="shared" si="606"/>
        <v>0.11999999999999998</v>
      </c>
      <c r="P3887" s="12">
        <f t="shared" si="607"/>
        <v>-23.261999999999997</v>
      </c>
      <c r="Q3887" s="17" t="str">
        <f t="shared" si="609"/>
        <v>Ecart négatif</v>
      </c>
    </row>
    <row r="3888" spans="1:18" x14ac:dyDescent="0.3">
      <c r="A3888" s="34" t="str">
        <f>base!J3888</f>
        <v>LS</v>
      </c>
      <c r="B3888" s="34" t="str">
        <f>base!V3888</f>
        <v>11100</v>
      </c>
      <c r="C3888" s="37">
        <v>10</v>
      </c>
      <c r="D3888" s="36">
        <f>base!H3888</f>
        <v>1.46</v>
      </c>
      <c r="E3888" s="44"/>
      <c r="F3888" s="16">
        <f>base!W3888</f>
        <v>0.56999999999999995</v>
      </c>
      <c r="G3888" s="11">
        <f t="shared" si="600"/>
        <v>0.39041095890410954</v>
      </c>
      <c r="H3888" s="11">
        <f t="shared" si="601"/>
        <v>0.33579999999999999</v>
      </c>
      <c r="I3888" s="11">
        <f t="shared" si="602"/>
        <v>0.23</v>
      </c>
      <c r="J3888" s="12">
        <f t="shared" si="603"/>
        <v>0.23419999999999996</v>
      </c>
      <c r="K3888" s="17" t="str">
        <f t="shared" si="608"/>
        <v>Ecart positif</v>
      </c>
      <c r="L3888" s="16">
        <f>base!X3888</f>
        <v>0</v>
      </c>
      <c r="M3888" s="11">
        <f t="shared" si="604"/>
        <v>0</v>
      </c>
      <c r="N3888" s="11">
        <f t="shared" si="605"/>
        <v>0.17519999999999999</v>
      </c>
      <c r="O3888" s="11">
        <f t="shared" si="606"/>
        <v>0.12</v>
      </c>
      <c r="P3888" s="12">
        <f t="shared" si="607"/>
        <v>-0.17519999999999999</v>
      </c>
      <c r="Q3888" s="17" t="str">
        <f t="shared" si="609"/>
        <v>Ecart négatif</v>
      </c>
    </row>
    <row r="3889" spans="1:18" x14ac:dyDescent="0.3">
      <c r="A3889" s="34" t="str">
        <f>base!J3889</f>
        <v>LM</v>
      </c>
      <c r="B3889" s="34" t="str">
        <f>base!V3889</f>
        <v>44350</v>
      </c>
      <c r="C3889" s="37">
        <v>89</v>
      </c>
      <c r="D3889" s="36">
        <f>base!H3889</f>
        <v>171.54</v>
      </c>
      <c r="E3889" s="44"/>
      <c r="F3889" s="16">
        <f>base!W3889</f>
        <v>46.32</v>
      </c>
      <c r="G3889" s="11">
        <f t="shared" si="600"/>
        <v>0.27002448408534452</v>
      </c>
      <c r="H3889" s="11">
        <f t="shared" si="601"/>
        <v>39.4542</v>
      </c>
      <c r="I3889" s="11">
        <f t="shared" si="602"/>
        <v>0.23</v>
      </c>
      <c r="J3889" s="12">
        <f t="shared" si="603"/>
        <v>6.8658000000000001</v>
      </c>
      <c r="K3889" s="17" t="str">
        <f t="shared" si="608"/>
        <v>Ecart positif</v>
      </c>
      <c r="L3889" s="16">
        <f>base!X3889</f>
        <v>0</v>
      </c>
      <c r="M3889" s="11">
        <f t="shared" si="604"/>
        <v>0</v>
      </c>
      <c r="N3889" s="11">
        <f t="shared" si="605"/>
        <v>20.584799999999998</v>
      </c>
      <c r="O3889" s="11">
        <f t="shared" si="606"/>
        <v>0.12</v>
      </c>
      <c r="P3889" s="12">
        <f t="shared" si="607"/>
        <v>-20.584799999999998</v>
      </c>
      <c r="Q3889" s="17" t="str">
        <f t="shared" si="609"/>
        <v>Ecart négatif</v>
      </c>
    </row>
    <row r="3890" spans="1:18" x14ac:dyDescent="0.3">
      <c r="A3890" s="34" t="str">
        <f>base!J3890</f>
        <v>LS</v>
      </c>
      <c r="B3890" s="34" t="str">
        <f>base!V3890</f>
        <v>59800</v>
      </c>
      <c r="C3890" s="37">
        <v>25</v>
      </c>
      <c r="D3890" s="36">
        <f>base!H3890</f>
        <v>139.57</v>
      </c>
      <c r="E3890" s="44"/>
      <c r="F3890" s="16">
        <f>base!W3890</f>
        <v>26.52</v>
      </c>
      <c r="G3890" s="11">
        <f t="shared" si="600"/>
        <v>0.1900121802679659</v>
      </c>
      <c r="H3890" s="11">
        <f t="shared" si="601"/>
        <v>33.4968</v>
      </c>
      <c r="I3890" s="11">
        <f t="shared" si="602"/>
        <v>0.24000000000000002</v>
      </c>
      <c r="J3890" s="12">
        <f t="shared" si="603"/>
        <v>-6.9768000000000008</v>
      </c>
      <c r="K3890" s="17" t="str">
        <f t="shared" si="608"/>
        <v>Ecart négatif</v>
      </c>
      <c r="L3890" s="16">
        <f>base!X3890</f>
        <v>0</v>
      </c>
      <c r="M3890" s="11">
        <f t="shared" si="604"/>
        <v>0</v>
      </c>
      <c r="N3890" s="11">
        <f t="shared" si="605"/>
        <v>16.7484</v>
      </c>
      <c r="O3890" s="11">
        <f t="shared" si="606"/>
        <v>0.12000000000000001</v>
      </c>
      <c r="P3890" s="12">
        <f t="shared" si="607"/>
        <v>-16.7484</v>
      </c>
      <c r="Q3890" s="17" t="str">
        <f t="shared" si="609"/>
        <v>Ecart négatif</v>
      </c>
    </row>
    <row r="3891" spans="1:18" x14ac:dyDescent="0.3">
      <c r="A3891" s="34" t="str">
        <f>base!J3891</f>
        <v>RM</v>
      </c>
      <c r="B3891" s="34" t="str">
        <f>base!V3891</f>
        <v>62000</v>
      </c>
      <c r="C3891" s="37">
        <v>62</v>
      </c>
      <c r="D3891" s="36">
        <f>base!H3891</f>
        <v>33.6</v>
      </c>
      <c r="E3891" s="44"/>
      <c r="F3891" s="16">
        <f>base!W3891</f>
        <v>0</v>
      </c>
      <c r="G3891" s="11">
        <f t="shared" si="600"/>
        <v>0</v>
      </c>
      <c r="H3891" s="11">
        <f t="shared" si="601"/>
        <v>6.3840000000000003</v>
      </c>
      <c r="I3891" s="11">
        <f t="shared" si="602"/>
        <v>0.19</v>
      </c>
      <c r="J3891" s="12">
        <f t="shared" si="603"/>
        <v>-6.3840000000000003</v>
      </c>
      <c r="K3891" s="17" t="str">
        <f t="shared" si="608"/>
        <v>Ecart négatif</v>
      </c>
      <c r="L3891" s="16">
        <f>base!X3891</f>
        <v>0</v>
      </c>
      <c r="M3891" s="11">
        <f t="shared" si="604"/>
        <v>0</v>
      </c>
      <c r="N3891" s="11">
        <f t="shared" si="605"/>
        <v>0</v>
      </c>
      <c r="O3891" s="11">
        <f t="shared" si="606"/>
        <v>0</v>
      </c>
      <c r="P3891" s="12">
        <f t="shared" si="607"/>
        <v>0</v>
      </c>
      <c r="Q3891" s="17" t="str">
        <f t="shared" si="609"/>
        <v>Pas d'écart</v>
      </c>
    </row>
    <row r="3892" spans="1:18" x14ac:dyDescent="0.3">
      <c r="A3892" s="34" t="str">
        <f>base!J3892</f>
        <v>RS</v>
      </c>
      <c r="B3892" s="34" t="str">
        <f>base!V3892</f>
        <v>94510</v>
      </c>
      <c r="C3892" s="37">
        <v>94</v>
      </c>
      <c r="D3892" s="36">
        <f>base!H3892</f>
        <v>180</v>
      </c>
      <c r="E3892" s="44"/>
      <c r="F3892" s="16">
        <f>base!W3892</f>
        <v>0</v>
      </c>
      <c r="G3892" s="11">
        <f t="shared" si="600"/>
        <v>0</v>
      </c>
      <c r="H3892" s="11">
        <f t="shared" si="601"/>
        <v>0</v>
      </c>
      <c r="I3892" s="11">
        <f t="shared" si="602"/>
        <v>0</v>
      </c>
      <c r="J3892" s="12">
        <f t="shared" si="603"/>
        <v>0</v>
      </c>
      <c r="K3892" s="17" t="str">
        <f t="shared" si="608"/>
        <v>Pas d'écart</v>
      </c>
      <c r="L3892" s="16">
        <f>base!X3892</f>
        <v>0</v>
      </c>
      <c r="M3892" s="11">
        <f t="shared" si="604"/>
        <v>0</v>
      </c>
      <c r="N3892" s="11">
        <f t="shared" si="605"/>
        <v>0</v>
      </c>
      <c r="O3892" s="11">
        <f t="shared" si="606"/>
        <v>0</v>
      </c>
      <c r="P3892" s="12">
        <f t="shared" si="607"/>
        <v>0</v>
      </c>
      <c r="Q3892" s="17" t="str">
        <f t="shared" si="609"/>
        <v>Pas d'écart</v>
      </c>
    </row>
    <row r="3893" spans="1:18" x14ac:dyDescent="0.3">
      <c r="A3893" s="34" t="str">
        <f>base!J3893</f>
        <v>LS</v>
      </c>
      <c r="B3893" s="34" t="str">
        <f>base!V3893</f>
        <v>59800</v>
      </c>
      <c r="C3893" s="37">
        <v>59</v>
      </c>
      <c r="D3893" s="36">
        <f>base!H3893</f>
        <v>180</v>
      </c>
      <c r="E3893" s="44"/>
      <c r="F3893" s="16">
        <f>base!W3893</f>
        <v>34.200000000000003</v>
      </c>
      <c r="G3893" s="11">
        <f t="shared" si="600"/>
        <v>0.19</v>
      </c>
      <c r="H3893" s="11">
        <f t="shared" si="601"/>
        <v>34.200000000000003</v>
      </c>
      <c r="I3893" s="11">
        <f t="shared" si="602"/>
        <v>0.19</v>
      </c>
      <c r="J3893" s="12">
        <f t="shared" si="603"/>
        <v>0</v>
      </c>
      <c r="K3893" s="17" t="str">
        <f t="shared" si="608"/>
        <v>Pas d'écart</v>
      </c>
      <c r="L3893" s="16">
        <f>base!X3893</f>
        <v>0</v>
      </c>
      <c r="M3893" s="11">
        <f t="shared" si="604"/>
        <v>0</v>
      </c>
      <c r="N3893" s="11">
        <f t="shared" si="605"/>
        <v>0</v>
      </c>
      <c r="O3893" s="11">
        <f t="shared" si="606"/>
        <v>0</v>
      </c>
      <c r="P3893" s="12">
        <f t="shared" si="607"/>
        <v>0</v>
      </c>
      <c r="Q3893" s="17" t="str">
        <f t="shared" si="609"/>
        <v>Pas d'écart</v>
      </c>
    </row>
    <row r="3894" spans="1:18" x14ac:dyDescent="0.3">
      <c r="A3894" s="34" t="str">
        <f>base!J3894</f>
        <v>LM</v>
      </c>
      <c r="B3894" s="34" t="str">
        <f>base!V3894</f>
        <v>78190</v>
      </c>
      <c r="C3894" s="37">
        <v>78</v>
      </c>
      <c r="D3894" s="36">
        <f>base!H3894</f>
        <v>137.22999999999999</v>
      </c>
      <c r="E3894" s="44"/>
      <c r="F3894" s="16">
        <f>base!W3894</f>
        <v>0</v>
      </c>
      <c r="G3894" s="11">
        <f t="shared" si="600"/>
        <v>0</v>
      </c>
      <c r="H3894" s="11">
        <f t="shared" si="601"/>
        <v>0</v>
      </c>
      <c r="I3894" s="11">
        <f t="shared" si="602"/>
        <v>0</v>
      </c>
      <c r="J3894" s="12">
        <f t="shared" si="603"/>
        <v>0</v>
      </c>
      <c r="K3894" s="17" t="str">
        <f t="shared" si="608"/>
        <v>Pas d'écart</v>
      </c>
      <c r="L3894" s="16">
        <f>base!X3894</f>
        <v>0</v>
      </c>
      <c r="M3894" s="11">
        <f t="shared" si="604"/>
        <v>0</v>
      </c>
      <c r="N3894" s="11">
        <f t="shared" si="605"/>
        <v>0</v>
      </c>
      <c r="O3894" s="11">
        <f t="shared" si="606"/>
        <v>0</v>
      </c>
      <c r="P3894" s="12">
        <f t="shared" si="607"/>
        <v>0</v>
      </c>
      <c r="Q3894" s="17" t="str">
        <f t="shared" si="609"/>
        <v>Pas d'écart</v>
      </c>
    </row>
    <row r="3895" spans="1:18" x14ac:dyDescent="0.3">
      <c r="A3895" s="34" t="str">
        <f>base!J3895</f>
        <v>LS</v>
      </c>
      <c r="B3895" s="34" t="str">
        <f>base!V3895</f>
        <v>13400</v>
      </c>
      <c r="C3895" s="37">
        <v>25</v>
      </c>
      <c r="D3895" s="36">
        <f>base!H3895</f>
        <v>138.12</v>
      </c>
      <c r="E3895" s="44"/>
      <c r="F3895" s="16">
        <f>base!W3895</f>
        <v>40.049999999999997</v>
      </c>
      <c r="G3895" s="11">
        <f t="shared" si="600"/>
        <v>0.28996524761077319</v>
      </c>
      <c r="H3895" s="11">
        <f t="shared" si="601"/>
        <v>33.148800000000001</v>
      </c>
      <c r="I3895" s="11">
        <f t="shared" si="602"/>
        <v>0.24</v>
      </c>
      <c r="J3895" s="12">
        <f t="shared" si="603"/>
        <v>6.9011999999999958</v>
      </c>
      <c r="K3895" s="17" t="str">
        <f t="shared" si="608"/>
        <v>Ecart positif</v>
      </c>
      <c r="L3895" s="16">
        <f>base!X3895</f>
        <v>0</v>
      </c>
      <c r="M3895" s="11">
        <f t="shared" si="604"/>
        <v>0</v>
      </c>
      <c r="N3895" s="11">
        <f t="shared" si="605"/>
        <v>16.574400000000001</v>
      </c>
      <c r="O3895" s="11">
        <f t="shared" si="606"/>
        <v>0.12</v>
      </c>
      <c r="P3895" s="12">
        <f t="shared" si="607"/>
        <v>-16.574400000000001</v>
      </c>
      <c r="Q3895" s="17" t="str">
        <f t="shared" si="609"/>
        <v>Ecart négatif</v>
      </c>
    </row>
    <row r="3896" spans="1:18" x14ac:dyDescent="0.3">
      <c r="A3896" s="34" t="str">
        <f>base!J3896</f>
        <v>RS</v>
      </c>
      <c r="B3896" s="34" t="str">
        <f>base!V3896</f>
        <v>37700</v>
      </c>
      <c r="C3896" s="37">
        <v>37</v>
      </c>
      <c r="D3896" s="36">
        <f>base!H3896</f>
        <v>40</v>
      </c>
      <c r="E3896" s="44"/>
      <c r="F3896" s="16">
        <f>base!W3896</f>
        <v>0</v>
      </c>
      <c r="G3896" s="11">
        <f t="shared" si="600"/>
        <v>0</v>
      </c>
      <c r="H3896" s="11">
        <f t="shared" si="601"/>
        <v>7.6</v>
      </c>
      <c r="I3896" s="11">
        <f t="shared" si="602"/>
        <v>0.19</v>
      </c>
      <c r="J3896" s="12">
        <f t="shared" si="603"/>
        <v>-7.6</v>
      </c>
      <c r="K3896" s="17" t="str">
        <f t="shared" si="608"/>
        <v>Ecart négatif</v>
      </c>
      <c r="L3896" s="16">
        <f>base!X3896</f>
        <v>4.8</v>
      </c>
      <c r="M3896" s="11">
        <f t="shared" si="604"/>
        <v>0.12</v>
      </c>
      <c r="N3896" s="11">
        <f t="shared" si="605"/>
        <v>4.8</v>
      </c>
      <c r="O3896" s="11">
        <f t="shared" si="606"/>
        <v>0.12</v>
      </c>
      <c r="P3896" s="12">
        <f t="shared" si="607"/>
        <v>0</v>
      </c>
      <c r="Q3896" s="17" t="str">
        <f t="shared" si="609"/>
        <v>Pas d'écart</v>
      </c>
      <c r="R3896" s="38"/>
    </row>
    <row r="3897" spans="1:18" x14ac:dyDescent="0.3">
      <c r="A3897" s="34" t="str">
        <f>base!J3897</f>
        <v>RS</v>
      </c>
      <c r="B3897" s="34" t="str">
        <f>base!V3897</f>
        <v>34500</v>
      </c>
      <c r="C3897" s="37">
        <v>34</v>
      </c>
      <c r="D3897" s="36">
        <f>base!H3897</f>
        <v>180</v>
      </c>
      <c r="E3897" s="44"/>
      <c r="F3897" s="16">
        <f>base!W3897</f>
        <v>0</v>
      </c>
      <c r="G3897" s="11">
        <f t="shared" si="600"/>
        <v>0</v>
      </c>
      <c r="H3897" s="11">
        <f t="shared" si="601"/>
        <v>70.2</v>
      </c>
      <c r="I3897" s="11">
        <f t="shared" si="602"/>
        <v>0.39</v>
      </c>
      <c r="J3897" s="12">
        <f t="shared" si="603"/>
        <v>-70.2</v>
      </c>
      <c r="K3897" s="17" t="str">
        <f t="shared" si="608"/>
        <v>Ecart négatif</v>
      </c>
      <c r="L3897" s="16">
        <f>base!X3897</f>
        <v>50.4</v>
      </c>
      <c r="M3897" s="11">
        <f t="shared" si="604"/>
        <v>0.27999999999999997</v>
      </c>
      <c r="N3897" s="11">
        <f t="shared" si="605"/>
        <v>50.400000000000006</v>
      </c>
      <c r="O3897" s="11">
        <f t="shared" si="606"/>
        <v>0.28000000000000003</v>
      </c>
      <c r="P3897" s="12">
        <f t="shared" si="607"/>
        <v>0</v>
      </c>
      <c r="Q3897" s="17" t="str">
        <f t="shared" si="609"/>
        <v>Pas d'écart</v>
      </c>
      <c r="R3897" s="38"/>
    </row>
    <row r="3898" spans="1:18" x14ac:dyDescent="0.3">
      <c r="A3898" s="34" t="str">
        <f>base!J3898</f>
        <v>RM</v>
      </c>
      <c r="B3898" s="34" t="str">
        <f>base!V3898</f>
        <v>54000</v>
      </c>
      <c r="C3898" s="37">
        <v>54</v>
      </c>
      <c r="D3898" s="36">
        <f>base!H3898</f>
        <v>37.24</v>
      </c>
      <c r="E3898" s="44"/>
      <c r="F3898" s="16">
        <f>base!W3898</f>
        <v>0</v>
      </c>
      <c r="G3898" s="11">
        <f t="shared" si="600"/>
        <v>0</v>
      </c>
      <c r="H3898" s="11">
        <f t="shared" si="601"/>
        <v>9.31</v>
      </c>
      <c r="I3898" s="11">
        <f t="shared" si="602"/>
        <v>0.25</v>
      </c>
      <c r="J3898" s="12">
        <f t="shared" si="603"/>
        <v>-9.31</v>
      </c>
      <c r="K3898" s="17" t="str">
        <f t="shared" si="608"/>
        <v>Ecart négatif</v>
      </c>
      <c r="L3898" s="16">
        <f>base!X3898</f>
        <v>9.31</v>
      </c>
      <c r="M3898" s="11">
        <f t="shared" si="604"/>
        <v>0.25</v>
      </c>
      <c r="N3898" s="11">
        <f t="shared" si="605"/>
        <v>9.31</v>
      </c>
      <c r="O3898" s="11">
        <f t="shared" si="606"/>
        <v>0.25</v>
      </c>
      <c r="P3898" s="12">
        <f t="shared" si="607"/>
        <v>0</v>
      </c>
      <c r="Q3898" s="17" t="str">
        <f t="shared" si="609"/>
        <v>Pas d'écart</v>
      </c>
      <c r="R3898" s="38"/>
    </row>
    <row r="3899" spans="1:18" x14ac:dyDescent="0.3">
      <c r="A3899" s="34" t="str">
        <f>base!J3899</f>
        <v>LM</v>
      </c>
      <c r="B3899" s="34" t="str">
        <f>base!V3899</f>
        <v>75009</v>
      </c>
      <c r="C3899" s="37">
        <v>75</v>
      </c>
      <c r="D3899" s="36">
        <f>base!H3899</f>
        <v>28.26</v>
      </c>
      <c r="E3899" s="44"/>
      <c r="F3899" s="16">
        <f>base!W3899</f>
        <v>0</v>
      </c>
      <c r="G3899" s="11">
        <f t="shared" si="600"/>
        <v>0</v>
      </c>
      <c r="H3899" s="11">
        <f t="shared" si="601"/>
        <v>0</v>
      </c>
      <c r="I3899" s="11">
        <f t="shared" si="602"/>
        <v>0</v>
      </c>
      <c r="J3899" s="12">
        <f t="shared" si="603"/>
        <v>0</v>
      </c>
      <c r="K3899" s="17" t="str">
        <f t="shared" si="608"/>
        <v>Pas d'écart</v>
      </c>
      <c r="L3899" s="16">
        <f>base!X3899</f>
        <v>0</v>
      </c>
      <c r="M3899" s="11">
        <f t="shared" si="604"/>
        <v>0</v>
      </c>
      <c r="N3899" s="11">
        <f t="shared" si="605"/>
        <v>0</v>
      </c>
      <c r="O3899" s="11">
        <f t="shared" si="606"/>
        <v>0</v>
      </c>
      <c r="P3899" s="12">
        <f t="shared" si="607"/>
        <v>0</v>
      </c>
      <c r="Q3899" s="17" t="str">
        <f t="shared" si="609"/>
        <v>Pas d'écart</v>
      </c>
    </row>
    <row r="3900" spans="1:18" x14ac:dyDescent="0.3">
      <c r="A3900" s="34" t="str">
        <f>base!J3900</f>
        <v>RS</v>
      </c>
      <c r="B3900" s="34" t="str">
        <f>base!V3900</f>
        <v>54300</v>
      </c>
      <c r="C3900" s="37">
        <v>54</v>
      </c>
      <c r="D3900" s="36">
        <f>base!H3900</f>
        <v>180</v>
      </c>
      <c r="E3900" s="44"/>
      <c r="F3900" s="16">
        <f>base!W3900</f>
        <v>0</v>
      </c>
      <c r="G3900" s="11">
        <f t="shared" si="600"/>
        <v>0</v>
      </c>
      <c r="H3900" s="11">
        <f t="shared" si="601"/>
        <v>45</v>
      </c>
      <c r="I3900" s="11">
        <f t="shared" si="602"/>
        <v>0.25</v>
      </c>
      <c r="J3900" s="12">
        <f t="shared" si="603"/>
        <v>-45</v>
      </c>
      <c r="K3900" s="17" t="str">
        <f t="shared" si="608"/>
        <v>Ecart négatif</v>
      </c>
      <c r="L3900" s="16">
        <f>base!X3900</f>
        <v>45</v>
      </c>
      <c r="M3900" s="11">
        <f t="shared" si="604"/>
        <v>0.25</v>
      </c>
      <c r="N3900" s="11">
        <f t="shared" si="605"/>
        <v>45</v>
      </c>
      <c r="O3900" s="11">
        <f t="shared" si="606"/>
        <v>0.25</v>
      </c>
      <c r="P3900" s="12">
        <f t="shared" si="607"/>
        <v>0</v>
      </c>
      <c r="Q3900" s="17" t="str">
        <f t="shared" si="609"/>
        <v>Pas d'écart</v>
      </c>
    </row>
    <row r="3901" spans="1:18" x14ac:dyDescent="0.3">
      <c r="A3901" s="34" t="str">
        <f>base!J3901</f>
        <v>RS</v>
      </c>
      <c r="B3901" s="34" t="str">
        <f>base!V3901</f>
        <v>38300</v>
      </c>
      <c r="C3901" s="37">
        <v>38</v>
      </c>
      <c r="D3901" s="36">
        <f>base!H3901</f>
        <v>37.24</v>
      </c>
      <c r="E3901" s="44"/>
      <c r="F3901" s="16">
        <f>base!W3901</f>
        <v>0</v>
      </c>
      <c r="G3901" s="11">
        <f t="shared" si="600"/>
        <v>0</v>
      </c>
      <c r="H3901" s="11">
        <f t="shared" si="601"/>
        <v>10.054800000000002</v>
      </c>
      <c r="I3901" s="11">
        <f t="shared" si="602"/>
        <v>0.27</v>
      </c>
      <c r="J3901" s="12">
        <f t="shared" si="603"/>
        <v>-10.054800000000002</v>
      </c>
      <c r="K3901" s="17" t="str">
        <f t="shared" si="608"/>
        <v>Ecart négatif</v>
      </c>
      <c r="L3901" s="16">
        <f>base!X3901</f>
        <v>0</v>
      </c>
      <c r="M3901" s="11">
        <f t="shared" si="604"/>
        <v>0</v>
      </c>
      <c r="N3901" s="11">
        <f t="shared" si="605"/>
        <v>0</v>
      </c>
      <c r="O3901" s="11">
        <f t="shared" si="606"/>
        <v>0</v>
      </c>
      <c r="P3901" s="12">
        <f t="shared" si="607"/>
        <v>0</v>
      </c>
      <c r="Q3901" s="17" t="str">
        <f t="shared" si="609"/>
        <v>Pas d'écart</v>
      </c>
    </row>
    <row r="3902" spans="1:18" x14ac:dyDescent="0.3">
      <c r="A3902" s="34" t="str">
        <f>base!J3902</f>
        <v>RM</v>
      </c>
      <c r="B3902" s="34" t="str">
        <f>base!V3902</f>
        <v>59140</v>
      </c>
      <c r="C3902" s="37">
        <v>59</v>
      </c>
      <c r="D3902" s="36">
        <f>base!H3902</f>
        <v>220</v>
      </c>
      <c r="E3902" s="44"/>
      <c r="F3902" s="16">
        <f>base!W3902</f>
        <v>0</v>
      </c>
      <c r="G3902" s="11">
        <f t="shared" si="600"/>
        <v>0</v>
      </c>
      <c r="H3902" s="11">
        <f t="shared" si="601"/>
        <v>41.8</v>
      </c>
      <c r="I3902" s="11">
        <f t="shared" si="602"/>
        <v>0.18999999999999997</v>
      </c>
      <c r="J3902" s="12">
        <f t="shared" si="603"/>
        <v>-41.8</v>
      </c>
      <c r="K3902" s="17" t="str">
        <f t="shared" si="608"/>
        <v>Ecart négatif</v>
      </c>
      <c r="L3902" s="16">
        <f>base!X3902</f>
        <v>0</v>
      </c>
      <c r="M3902" s="11">
        <f t="shared" si="604"/>
        <v>0</v>
      </c>
      <c r="N3902" s="11">
        <f t="shared" si="605"/>
        <v>0</v>
      </c>
      <c r="O3902" s="11">
        <f t="shared" si="606"/>
        <v>0</v>
      </c>
      <c r="P3902" s="12">
        <f t="shared" si="607"/>
        <v>0</v>
      </c>
      <c r="Q3902" s="17" t="str">
        <f t="shared" si="609"/>
        <v>Pas d'écart</v>
      </c>
    </row>
    <row r="3903" spans="1:18" x14ac:dyDescent="0.3">
      <c r="A3903" s="34" t="str">
        <f>base!J3903</f>
        <v>RM</v>
      </c>
      <c r="B3903" s="34" t="str">
        <f>base!V3903</f>
        <v>75001</v>
      </c>
      <c r="C3903" s="37">
        <v>75</v>
      </c>
      <c r="D3903" s="36">
        <f>base!H3903</f>
        <v>86.75</v>
      </c>
      <c r="E3903" s="44"/>
      <c r="F3903" s="16">
        <f>base!W3903</f>
        <v>0</v>
      </c>
      <c r="G3903" s="11">
        <f t="shared" si="600"/>
        <v>0</v>
      </c>
      <c r="H3903" s="11">
        <f t="shared" si="601"/>
        <v>0</v>
      </c>
      <c r="I3903" s="11">
        <f t="shared" si="602"/>
        <v>0</v>
      </c>
      <c r="J3903" s="12">
        <f t="shared" si="603"/>
        <v>0</v>
      </c>
      <c r="K3903" s="17" t="str">
        <f t="shared" si="608"/>
        <v>Pas d'écart</v>
      </c>
      <c r="L3903" s="16">
        <f>base!X3903</f>
        <v>0</v>
      </c>
      <c r="M3903" s="11">
        <f t="shared" si="604"/>
        <v>0</v>
      </c>
      <c r="N3903" s="11">
        <f t="shared" si="605"/>
        <v>0</v>
      </c>
      <c r="O3903" s="11">
        <f t="shared" si="606"/>
        <v>0</v>
      </c>
      <c r="P3903" s="12">
        <f t="shared" si="607"/>
        <v>0</v>
      </c>
      <c r="Q3903" s="17" t="str">
        <f t="shared" si="609"/>
        <v>Pas d'écart</v>
      </c>
    </row>
    <row r="3904" spans="1:18" x14ac:dyDescent="0.3">
      <c r="A3904" s="34" t="str">
        <f>base!J3904</f>
        <v>LS</v>
      </c>
      <c r="B3904" s="34" t="str">
        <f>base!V3904</f>
        <v>14150</v>
      </c>
      <c r="C3904" s="37">
        <v>3</v>
      </c>
      <c r="D3904" s="36">
        <f>base!H3904</f>
        <v>132.26</v>
      </c>
      <c r="E3904" s="44"/>
      <c r="F3904" s="16">
        <f>base!W3904</f>
        <v>22.48</v>
      </c>
      <c r="G3904" s="11">
        <f t="shared" si="600"/>
        <v>0.16996824436715563</v>
      </c>
      <c r="H3904" s="11">
        <f t="shared" si="601"/>
        <v>38.355399999999996</v>
      </c>
      <c r="I3904" s="11">
        <f t="shared" si="602"/>
        <v>0.28999999999999998</v>
      </c>
      <c r="J3904" s="12">
        <f t="shared" si="603"/>
        <v>-15.875399999999996</v>
      </c>
      <c r="K3904" s="17" t="str">
        <f t="shared" si="608"/>
        <v>Ecart négatif</v>
      </c>
      <c r="L3904" s="16">
        <f>base!X3904</f>
        <v>0</v>
      </c>
      <c r="M3904" s="11">
        <f t="shared" si="604"/>
        <v>0</v>
      </c>
      <c r="N3904" s="11">
        <f t="shared" si="605"/>
        <v>15.871199999999998</v>
      </c>
      <c r="O3904" s="11">
        <f t="shared" si="606"/>
        <v>0.12</v>
      </c>
      <c r="P3904" s="12">
        <f t="shared" si="607"/>
        <v>-15.871199999999998</v>
      </c>
      <c r="Q3904" s="17" t="str">
        <f t="shared" si="609"/>
        <v>Ecart négatif</v>
      </c>
    </row>
    <row r="3905" spans="1:18" x14ac:dyDescent="0.3">
      <c r="A3905" s="34" t="str">
        <f>base!J3905</f>
        <v>LM</v>
      </c>
      <c r="B3905" s="34" t="str">
        <f>base!V3905</f>
        <v>14150</v>
      </c>
      <c r="C3905" s="37">
        <v>13</v>
      </c>
      <c r="D3905" s="36">
        <f>base!H3905</f>
        <v>201.16</v>
      </c>
      <c r="E3905" s="44"/>
      <c r="F3905" s="16">
        <f>base!W3905</f>
        <v>34.200000000000003</v>
      </c>
      <c r="G3905" s="11">
        <f t="shared" si="600"/>
        <v>0.17001391926824419</v>
      </c>
      <c r="H3905" s="11">
        <f t="shared" si="601"/>
        <v>58.336399999999998</v>
      </c>
      <c r="I3905" s="11">
        <f t="shared" si="602"/>
        <v>0.28999999999999998</v>
      </c>
      <c r="J3905" s="12">
        <f t="shared" si="603"/>
        <v>-24.136399999999995</v>
      </c>
      <c r="K3905" s="17" t="str">
        <f t="shared" si="608"/>
        <v>Ecart négatif</v>
      </c>
      <c r="L3905" s="16">
        <f>base!X3905</f>
        <v>0</v>
      </c>
      <c r="M3905" s="11">
        <f t="shared" si="604"/>
        <v>0</v>
      </c>
      <c r="N3905" s="11">
        <f t="shared" si="605"/>
        <v>38.220399999999998</v>
      </c>
      <c r="O3905" s="11">
        <f t="shared" si="606"/>
        <v>0.19</v>
      </c>
      <c r="P3905" s="12">
        <f t="shared" si="607"/>
        <v>-38.220399999999998</v>
      </c>
      <c r="Q3905" s="17" t="str">
        <f t="shared" si="609"/>
        <v>Ecart négatif</v>
      </c>
    </row>
    <row r="3906" spans="1:18" x14ac:dyDescent="0.3">
      <c r="A3906" s="34" t="str">
        <f>base!J3906</f>
        <v>DLS</v>
      </c>
      <c r="B3906" s="34" t="str">
        <f>base!V3906</f>
        <v>77184</v>
      </c>
      <c r="C3906" s="37">
        <v>77</v>
      </c>
      <c r="D3906" s="36">
        <f>base!H3906</f>
        <v>120</v>
      </c>
      <c r="E3906" s="44"/>
      <c r="F3906" s="16">
        <f>base!W3906</f>
        <v>0</v>
      </c>
      <c r="G3906" s="11">
        <f t="shared" ref="G3906:G3969" si="610">F3906/D3906</f>
        <v>0</v>
      </c>
      <c r="H3906" s="11">
        <f t="shared" ref="H3906:H3969" si="611">VLOOKUP(C3906,tout_cout_traction,2,FALSE)*D3906</f>
        <v>0</v>
      </c>
      <c r="I3906" s="11">
        <f t="shared" ref="I3906:I3969" si="612">H3906/D3906</f>
        <v>0</v>
      </c>
      <c r="J3906" s="12">
        <f t="shared" ref="J3906:J3969" si="613">F3906-H3906</f>
        <v>0</v>
      </c>
      <c r="K3906" s="17" t="str">
        <f t="shared" si="608"/>
        <v>Pas d'écart</v>
      </c>
      <c r="L3906" s="16">
        <f>base!X3906</f>
        <v>0</v>
      </c>
      <c r="M3906" s="11">
        <f t="shared" ref="M3906:M3969" si="614">L3906/D3906</f>
        <v>0</v>
      </c>
      <c r="N3906" s="11">
        <f t="shared" ref="N3906:N3969" si="615">VLOOKUP(C3906,tout_cout_traction,3,FALSE)*D3906</f>
        <v>0</v>
      </c>
      <c r="O3906" s="11">
        <f t="shared" ref="O3906:O3969" si="616">N3906/D3906</f>
        <v>0</v>
      </c>
      <c r="P3906" s="12">
        <f t="shared" ref="P3906:P3969" si="617">L3906-N3906</f>
        <v>0</v>
      </c>
      <c r="Q3906" s="17" t="str">
        <f t="shared" si="609"/>
        <v>Pas d'écart</v>
      </c>
    </row>
    <row r="3907" spans="1:18" x14ac:dyDescent="0.3">
      <c r="A3907" s="34" t="str">
        <f>base!J3907</f>
        <v>RM</v>
      </c>
      <c r="B3907" s="34" t="str">
        <f>base!V3907</f>
        <v>75010</v>
      </c>
      <c r="C3907" s="37">
        <v>75</v>
      </c>
      <c r="D3907" s="36">
        <f>base!H3907</f>
        <v>25</v>
      </c>
      <c r="E3907" s="44"/>
      <c r="F3907" s="16">
        <f>base!W3907</f>
        <v>0</v>
      </c>
      <c r="G3907" s="11">
        <f t="shared" si="610"/>
        <v>0</v>
      </c>
      <c r="H3907" s="11">
        <f t="shared" si="611"/>
        <v>0</v>
      </c>
      <c r="I3907" s="11">
        <f t="shared" si="612"/>
        <v>0</v>
      </c>
      <c r="J3907" s="12">
        <f t="shared" si="613"/>
        <v>0</v>
      </c>
      <c r="K3907" s="17" t="str">
        <f t="shared" ref="K3907:K3970" si="618">IF(H3907=F3907,"Pas d'écart",IF(H3907&lt;F3907,"Ecart positif",IF(H3907&gt;F3907,"Ecart négatif")))</f>
        <v>Pas d'écart</v>
      </c>
      <c r="L3907" s="16">
        <f>base!X3907</f>
        <v>0</v>
      </c>
      <c r="M3907" s="11">
        <f t="shared" si="614"/>
        <v>0</v>
      </c>
      <c r="N3907" s="11">
        <f t="shared" si="615"/>
        <v>0</v>
      </c>
      <c r="O3907" s="11">
        <f t="shared" si="616"/>
        <v>0</v>
      </c>
      <c r="P3907" s="12">
        <f t="shared" si="617"/>
        <v>0</v>
      </c>
      <c r="Q3907" s="17" t="str">
        <f t="shared" ref="Q3907:Q3970" si="619">IF(N3907=L3907,"Pas d'écart",IF(N3907&lt;L3907,"Ecart positif",IF(N3907&gt;L3907,"Ecart négatif")))</f>
        <v>Pas d'écart</v>
      </c>
    </row>
    <row r="3908" spans="1:18" x14ac:dyDescent="0.3">
      <c r="A3908" s="34">
        <f>base!J3908</f>
        <v>0</v>
      </c>
      <c r="B3908" s="34" t="str">
        <f>base!V3908</f>
        <v>44240</v>
      </c>
      <c r="C3908" s="37">
        <v>44</v>
      </c>
      <c r="D3908" s="36">
        <f>base!H3908</f>
        <v>126.4</v>
      </c>
      <c r="E3908" s="44"/>
      <c r="F3908" s="16">
        <f>base!W3908</f>
        <v>0</v>
      </c>
      <c r="G3908" s="11">
        <f t="shared" si="610"/>
        <v>0</v>
      </c>
      <c r="H3908" s="11">
        <f t="shared" si="611"/>
        <v>34.128000000000007</v>
      </c>
      <c r="I3908" s="11">
        <f t="shared" si="612"/>
        <v>0.27</v>
      </c>
      <c r="J3908" s="12">
        <f t="shared" si="613"/>
        <v>-34.128000000000007</v>
      </c>
      <c r="K3908" s="17" t="str">
        <f t="shared" si="618"/>
        <v>Ecart négatif</v>
      </c>
      <c r="L3908" s="16">
        <f>base!X3908</f>
        <v>0</v>
      </c>
      <c r="M3908" s="11">
        <f t="shared" si="614"/>
        <v>0</v>
      </c>
      <c r="N3908" s="11">
        <f t="shared" si="615"/>
        <v>0</v>
      </c>
      <c r="O3908" s="11">
        <f t="shared" si="616"/>
        <v>0</v>
      </c>
      <c r="P3908" s="12">
        <f t="shared" si="617"/>
        <v>0</v>
      </c>
      <c r="Q3908" s="17" t="str">
        <f t="shared" si="619"/>
        <v>Pas d'écart</v>
      </c>
    </row>
    <row r="3909" spans="1:18" x14ac:dyDescent="0.3">
      <c r="A3909" s="34">
        <f>base!J3909</f>
        <v>0</v>
      </c>
      <c r="B3909" s="34" t="str">
        <f>base!V3909</f>
        <v>44240</v>
      </c>
      <c r="C3909" s="37">
        <v>44</v>
      </c>
      <c r="D3909" s="36">
        <f>base!H3909</f>
        <v>203</v>
      </c>
      <c r="E3909" s="44"/>
      <c r="F3909" s="16">
        <f>base!W3909</f>
        <v>0</v>
      </c>
      <c r="G3909" s="11">
        <f t="shared" si="610"/>
        <v>0</v>
      </c>
      <c r="H3909" s="11">
        <f t="shared" si="611"/>
        <v>54.81</v>
      </c>
      <c r="I3909" s="11">
        <f t="shared" si="612"/>
        <v>0.27</v>
      </c>
      <c r="J3909" s="12">
        <f t="shared" si="613"/>
        <v>-54.81</v>
      </c>
      <c r="K3909" s="17" t="str">
        <f t="shared" si="618"/>
        <v>Ecart négatif</v>
      </c>
      <c r="L3909" s="16">
        <f>base!X3909</f>
        <v>0</v>
      </c>
      <c r="M3909" s="11">
        <f t="shared" si="614"/>
        <v>0</v>
      </c>
      <c r="N3909" s="11">
        <f t="shared" si="615"/>
        <v>0</v>
      </c>
      <c r="O3909" s="11">
        <f t="shared" si="616"/>
        <v>0</v>
      </c>
      <c r="P3909" s="12">
        <f t="shared" si="617"/>
        <v>0</v>
      </c>
      <c r="Q3909" s="17" t="str">
        <f t="shared" si="619"/>
        <v>Pas d'écart</v>
      </c>
    </row>
    <row r="3910" spans="1:18" x14ac:dyDescent="0.3">
      <c r="A3910" s="34" t="str">
        <f>base!J3910</f>
        <v>RM</v>
      </c>
      <c r="B3910" s="34" t="str">
        <f>base!V3910</f>
        <v>59960</v>
      </c>
      <c r="C3910" s="37">
        <v>59</v>
      </c>
      <c r="D3910" s="36">
        <f>base!H3910</f>
        <v>151</v>
      </c>
      <c r="E3910" s="44"/>
      <c r="F3910" s="16">
        <f>base!W3910</f>
        <v>0</v>
      </c>
      <c r="G3910" s="11">
        <f t="shared" si="610"/>
        <v>0</v>
      </c>
      <c r="H3910" s="11">
        <f t="shared" si="611"/>
        <v>28.69</v>
      </c>
      <c r="I3910" s="11">
        <f t="shared" si="612"/>
        <v>0.19</v>
      </c>
      <c r="J3910" s="12">
        <f t="shared" si="613"/>
        <v>-28.69</v>
      </c>
      <c r="K3910" s="17" t="str">
        <f t="shared" si="618"/>
        <v>Ecart négatif</v>
      </c>
      <c r="L3910" s="16">
        <f>base!X3910</f>
        <v>0</v>
      </c>
      <c r="M3910" s="11">
        <f t="shared" si="614"/>
        <v>0</v>
      </c>
      <c r="N3910" s="11">
        <f t="shared" si="615"/>
        <v>0</v>
      </c>
      <c r="O3910" s="11">
        <f t="shared" si="616"/>
        <v>0</v>
      </c>
      <c r="P3910" s="12">
        <f t="shared" si="617"/>
        <v>0</v>
      </c>
      <c r="Q3910" s="17" t="str">
        <f t="shared" si="619"/>
        <v>Pas d'écart</v>
      </c>
    </row>
    <row r="3911" spans="1:18" x14ac:dyDescent="0.3">
      <c r="A3911" s="34" t="str">
        <f>base!J3911</f>
        <v>RM</v>
      </c>
      <c r="B3911" s="34" t="str">
        <f>base!V3911</f>
        <v>62600</v>
      </c>
      <c r="C3911" s="37">
        <v>62</v>
      </c>
      <c r="D3911" s="36">
        <f>base!H3911</f>
        <v>40</v>
      </c>
      <c r="E3911" s="44"/>
      <c r="F3911" s="16">
        <f>base!W3911</f>
        <v>0</v>
      </c>
      <c r="G3911" s="11">
        <f t="shared" si="610"/>
        <v>0</v>
      </c>
      <c r="H3911" s="11">
        <f t="shared" si="611"/>
        <v>7.6</v>
      </c>
      <c r="I3911" s="11">
        <f t="shared" si="612"/>
        <v>0.19</v>
      </c>
      <c r="J3911" s="12">
        <f t="shared" si="613"/>
        <v>-7.6</v>
      </c>
      <c r="K3911" s="17" t="str">
        <f t="shared" si="618"/>
        <v>Ecart négatif</v>
      </c>
      <c r="L3911" s="16">
        <f>base!X3911</f>
        <v>0</v>
      </c>
      <c r="M3911" s="11">
        <f t="shared" si="614"/>
        <v>0</v>
      </c>
      <c r="N3911" s="11">
        <f t="shared" si="615"/>
        <v>0</v>
      </c>
      <c r="O3911" s="11">
        <f t="shared" si="616"/>
        <v>0</v>
      </c>
      <c r="P3911" s="12">
        <f t="shared" si="617"/>
        <v>0</v>
      </c>
      <c r="Q3911" s="17" t="str">
        <f t="shared" si="619"/>
        <v>Pas d'écart</v>
      </c>
    </row>
    <row r="3912" spans="1:18" x14ac:dyDescent="0.3">
      <c r="A3912" s="34" t="str">
        <f>base!J3912</f>
        <v>RM</v>
      </c>
      <c r="B3912" s="34" t="str">
        <f>base!V3912</f>
        <v>87000</v>
      </c>
      <c r="C3912" s="37">
        <v>87</v>
      </c>
      <c r="D3912" s="36">
        <f>base!H3912</f>
        <v>84</v>
      </c>
      <c r="E3912" s="44"/>
      <c r="F3912" s="16">
        <f>base!W3912</f>
        <v>0</v>
      </c>
      <c r="G3912" s="11">
        <f t="shared" si="610"/>
        <v>0</v>
      </c>
      <c r="H3912" s="11">
        <f t="shared" si="611"/>
        <v>23.520000000000003</v>
      </c>
      <c r="I3912" s="11">
        <f t="shared" si="612"/>
        <v>0.28000000000000003</v>
      </c>
      <c r="J3912" s="12">
        <f t="shared" si="613"/>
        <v>-23.520000000000003</v>
      </c>
      <c r="K3912" s="17" t="str">
        <f t="shared" si="618"/>
        <v>Ecart négatif</v>
      </c>
      <c r="L3912" s="16">
        <f>base!X3912</f>
        <v>10.08</v>
      </c>
      <c r="M3912" s="11">
        <f t="shared" si="614"/>
        <v>0.12</v>
      </c>
      <c r="N3912" s="11">
        <f t="shared" si="615"/>
        <v>10.08</v>
      </c>
      <c r="O3912" s="11">
        <f t="shared" si="616"/>
        <v>0.12</v>
      </c>
      <c r="P3912" s="12">
        <f t="shared" si="617"/>
        <v>0</v>
      </c>
      <c r="Q3912" s="17" t="str">
        <f t="shared" si="619"/>
        <v>Pas d'écart</v>
      </c>
      <c r="R3912" s="38"/>
    </row>
    <row r="3913" spans="1:18" x14ac:dyDescent="0.3">
      <c r="A3913" s="34" t="str">
        <f>base!J3913</f>
        <v>LS</v>
      </c>
      <c r="B3913" s="34" t="str">
        <f>base!V3913</f>
        <v>77500</v>
      </c>
      <c r="C3913" s="37">
        <v>77</v>
      </c>
      <c r="D3913" s="36">
        <f>base!H3913</f>
        <v>32.85</v>
      </c>
      <c r="E3913" s="44"/>
      <c r="F3913" s="16">
        <f>base!W3913</f>
        <v>0</v>
      </c>
      <c r="G3913" s="11">
        <f t="shared" si="610"/>
        <v>0</v>
      </c>
      <c r="H3913" s="11">
        <f t="shared" si="611"/>
        <v>0</v>
      </c>
      <c r="I3913" s="11">
        <f t="shared" si="612"/>
        <v>0</v>
      </c>
      <c r="J3913" s="12">
        <f t="shared" si="613"/>
        <v>0</v>
      </c>
      <c r="K3913" s="17" t="str">
        <f t="shared" si="618"/>
        <v>Pas d'écart</v>
      </c>
      <c r="L3913" s="16">
        <f>base!X3913</f>
        <v>0</v>
      </c>
      <c r="M3913" s="11">
        <f t="shared" si="614"/>
        <v>0</v>
      </c>
      <c r="N3913" s="11">
        <f t="shared" si="615"/>
        <v>0</v>
      </c>
      <c r="O3913" s="11">
        <f t="shared" si="616"/>
        <v>0</v>
      </c>
      <c r="P3913" s="12">
        <f t="shared" si="617"/>
        <v>0</v>
      </c>
      <c r="Q3913" s="17" t="str">
        <f t="shared" si="619"/>
        <v>Pas d'écart</v>
      </c>
    </row>
    <row r="3914" spans="1:18" x14ac:dyDescent="0.3">
      <c r="A3914" s="34" t="str">
        <f>base!J3914</f>
        <v>RM</v>
      </c>
      <c r="B3914" s="34" t="str">
        <f>base!V3914</f>
        <v>76290</v>
      </c>
      <c r="C3914" s="37">
        <v>76</v>
      </c>
      <c r="D3914" s="36">
        <f>base!H3914</f>
        <v>151</v>
      </c>
      <c r="E3914" s="44"/>
      <c r="F3914" s="16">
        <f>base!W3914</f>
        <v>0</v>
      </c>
      <c r="G3914" s="11">
        <f t="shared" si="610"/>
        <v>0</v>
      </c>
      <c r="H3914" s="11">
        <f t="shared" si="611"/>
        <v>25.67</v>
      </c>
      <c r="I3914" s="11">
        <f t="shared" si="612"/>
        <v>0.17</v>
      </c>
      <c r="J3914" s="12">
        <f t="shared" si="613"/>
        <v>-25.67</v>
      </c>
      <c r="K3914" s="17" t="str">
        <f t="shared" si="618"/>
        <v>Ecart négatif</v>
      </c>
      <c r="L3914" s="16">
        <f>base!X3914</f>
        <v>0</v>
      </c>
      <c r="M3914" s="11">
        <f t="shared" si="614"/>
        <v>0</v>
      </c>
      <c r="N3914" s="11">
        <f t="shared" si="615"/>
        <v>25.67</v>
      </c>
      <c r="O3914" s="11">
        <f t="shared" si="616"/>
        <v>0.17</v>
      </c>
      <c r="P3914" s="12">
        <f t="shared" si="617"/>
        <v>-25.67</v>
      </c>
      <c r="Q3914" s="17" t="str">
        <f t="shared" si="619"/>
        <v>Ecart négatif</v>
      </c>
    </row>
    <row r="3915" spans="1:18" x14ac:dyDescent="0.3">
      <c r="A3915" s="34">
        <f>base!J3915</f>
        <v>0</v>
      </c>
      <c r="B3915" s="34" t="str">
        <f>base!V3915</f>
        <v>77184</v>
      </c>
      <c r="C3915" s="37">
        <v>77</v>
      </c>
      <c r="D3915" s="36">
        <f>base!H3915</f>
        <v>171</v>
      </c>
      <c r="E3915" s="44"/>
      <c r="F3915" s="16">
        <f>base!W3915</f>
        <v>0</v>
      </c>
      <c r="G3915" s="11">
        <f t="shared" si="610"/>
        <v>0</v>
      </c>
      <c r="H3915" s="11">
        <f t="shared" si="611"/>
        <v>0</v>
      </c>
      <c r="I3915" s="11">
        <f t="shared" si="612"/>
        <v>0</v>
      </c>
      <c r="J3915" s="12">
        <f t="shared" si="613"/>
        <v>0</v>
      </c>
      <c r="K3915" s="17" t="str">
        <f t="shared" si="618"/>
        <v>Pas d'écart</v>
      </c>
      <c r="L3915" s="16">
        <f>base!X3915</f>
        <v>0</v>
      </c>
      <c r="M3915" s="11">
        <f t="shared" si="614"/>
        <v>0</v>
      </c>
      <c r="N3915" s="11">
        <f t="shared" si="615"/>
        <v>0</v>
      </c>
      <c r="O3915" s="11">
        <f t="shared" si="616"/>
        <v>0</v>
      </c>
      <c r="P3915" s="12">
        <f t="shared" si="617"/>
        <v>0</v>
      </c>
      <c r="Q3915" s="17" t="str">
        <f t="shared" si="619"/>
        <v>Pas d'écart</v>
      </c>
    </row>
    <row r="3916" spans="1:18" x14ac:dyDescent="0.3">
      <c r="A3916" s="34">
        <f>base!J3916</f>
        <v>0</v>
      </c>
      <c r="B3916" s="34" t="str">
        <f>base!V3916</f>
        <v>77184</v>
      </c>
      <c r="C3916" s="37">
        <v>77</v>
      </c>
      <c r="D3916" s="36">
        <f>base!H3916</f>
        <v>171</v>
      </c>
      <c r="E3916" s="44"/>
      <c r="F3916" s="16">
        <f>base!W3916</f>
        <v>0</v>
      </c>
      <c r="G3916" s="11">
        <f t="shared" si="610"/>
        <v>0</v>
      </c>
      <c r="H3916" s="11">
        <f t="shared" si="611"/>
        <v>0</v>
      </c>
      <c r="I3916" s="11">
        <f t="shared" si="612"/>
        <v>0</v>
      </c>
      <c r="J3916" s="12">
        <f t="shared" si="613"/>
        <v>0</v>
      </c>
      <c r="K3916" s="17" t="str">
        <f t="shared" si="618"/>
        <v>Pas d'écart</v>
      </c>
      <c r="L3916" s="16">
        <f>base!X3916</f>
        <v>0</v>
      </c>
      <c r="M3916" s="11">
        <f t="shared" si="614"/>
        <v>0</v>
      </c>
      <c r="N3916" s="11">
        <f t="shared" si="615"/>
        <v>0</v>
      </c>
      <c r="O3916" s="11">
        <f t="shared" si="616"/>
        <v>0</v>
      </c>
      <c r="P3916" s="12">
        <f t="shared" si="617"/>
        <v>0</v>
      </c>
      <c r="Q3916" s="17" t="str">
        <f t="shared" si="619"/>
        <v>Pas d'écart</v>
      </c>
    </row>
    <row r="3917" spans="1:18" x14ac:dyDescent="0.3">
      <c r="A3917" s="34" t="str">
        <f>base!J3917</f>
        <v>LS</v>
      </c>
      <c r="B3917" s="34" t="str">
        <f>base!V3917</f>
        <v>76270</v>
      </c>
      <c r="C3917" s="37">
        <v>70</v>
      </c>
      <c r="D3917" s="36">
        <f>base!H3917</f>
        <v>136.65</v>
      </c>
      <c r="E3917" s="44"/>
      <c r="F3917" s="16">
        <f>base!W3917</f>
        <v>23.23</v>
      </c>
      <c r="G3917" s="11">
        <f t="shared" si="610"/>
        <v>0.16999634101719721</v>
      </c>
      <c r="H3917" s="11">
        <f t="shared" si="611"/>
        <v>32.795999999999999</v>
      </c>
      <c r="I3917" s="11">
        <f t="shared" si="612"/>
        <v>0.24</v>
      </c>
      <c r="J3917" s="12">
        <f t="shared" si="613"/>
        <v>-9.5659999999999989</v>
      </c>
      <c r="K3917" s="17" t="str">
        <f t="shared" si="618"/>
        <v>Ecart négatif</v>
      </c>
      <c r="L3917" s="16">
        <f>base!X3917</f>
        <v>0</v>
      </c>
      <c r="M3917" s="11">
        <f t="shared" si="614"/>
        <v>0</v>
      </c>
      <c r="N3917" s="11">
        <f t="shared" si="615"/>
        <v>16.398</v>
      </c>
      <c r="O3917" s="11">
        <f t="shared" si="616"/>
        <v>0.12</v>
      </c>
      <c r="P3917" s="12">
        <f t="shared" si="617"/>
        <v>-16.398</v>
      </c>
      <c r="Q3917" s="17" t="str">
        <f t="shared" si="619"/>
        <v>Ecart négatif</v>
      </c>
    </row>
    <row r="3918" spans="1:18" x14ac:dyDescent="0.3">
      <c r="A3918" s="34" t="str">
        <f>base!J3918</f>
        <v>LS</v>
      </c>
      <c r="B3918" s="34" t="str">
        <f>base!V3918</f>
        <v>54140</v>
      </c>
      <c r="C3918" s="37">
        <v>57</v>
      </c>
      <c r="D3918" s="36">
        <f>base!H3918</f>
        <v>19.8</v>
      </c>
      <c r="E3918" s="44"/>
      <c r="F3918" s="16">
        <f>base!W3918</f>
        <v>4.95</v>
      </c>
      <c r="G3918" s="11">
        <f t="shared" si="610"/>
        <v>0.25</v>
      </c>
      <c r="H3918" s="11">
        <f t="shared" si="611"/>
        <v>4.7519999999999998</v>
      </c>
      <c r="I3918" s="11">
        <f t="shared" si="612"/>
        <v>0.24</v>
      </c>
      <c r="J3918" s="12">
        <f t="shared" si="613"/>
        <v>0.1980000000000004</v>
      </c>
      <c r="K3918" s="17" t="str">
        <f t="shared" si="618"/>
        <v>Ecart positif</v>
      </c>
      <c r="L3918" s="16">
        <f>base!X3918</f>
        <v>0</v>
      </c>
      <c r="M3918" s="11">
        <f t="shared" si="614"/>
        <v>0</v>
      </c>
      <c r="N3918" s="11">
        <f t="shared" si="615"/>
        <v>4.95</v>
      </c>
      <c r="O3918" s="11">
        <f t="shared" si="616"/>
        <v>0.25</v>
      </c>
      <c r="P3918" s="12">
        <f t="shared" si="617"/>
        <v>-4.95</v>
      </c>
      <c r="Q3918" s="17" t="str">
        <f t="shared" si="619"/>
        <v>Ecart négatif</v>
      </c>
    </row>
    <row r="3919" spans="1:18" x14ac:dyDescent="0.3">
      <c r="A3919" s="34" t="str">
        <f>base!J3919</f>
        <v>LM</v>
      </c>
      <c r="B3919" s="34" t="str">
        <f>base!V3919</f>
        <v>60300</v>
      </c>
      <c r="C3919" s="37">
        <v>51</v>
      </c>
      <c r="D3919" s="36">
        <f>base!H3919</f>
        <v>25.8</v>
      </c>
      <c r="E3919" s="44"/>
      <c r="F3919" s="16">
        <f>base!W3919</f>
        <v>4.9000000000000004</v>
      </c>
      <c r="G3919" s="11">
        <f t="shared" si="610"/>
        <v>0.18992248062015504</v>
      </c>
      <c r="H3919" s="11">
        <f t="shared" si="611"/>
        <v>6.45</v>
      </c>
      <c r="I3919" s="11">
        <f t="shared" si="612"/>
        <v>0.25</v>
      </c>
      <c r="J3919" s="12">
        <f t="shared" si="613"/>
        <v>-1.5499999999999998</v>
      </c>
      <c r="K3919" s="17" t="str">
        <f t="shared" si="618"/>
        <v>Ecart négatif</v>
      </c>
      <c r="L3919" s="16">
        <f>base!X3919</f>
        <v>0</v>
      </c>
      <c r="M3919" s="11">
        <f t="shared" si="614"/>
        <v>0</v>
      </c>
      <c r="N3919" s="11">
        <f t="shared" si="615"/>
        <v>6.45</v>
      </c>
      <c r="O3919" s="11">
        <f t="shared" si="616"/>
        <v>0.25</v>
      </c>
      <c r="P3919" s="12">
        <f t="shared" si="617"/>
        <v>-6.45</v>
      </c>
      <c r="Q3919" s="17" t="str">
        <f t="shared" si="619"/>
        <v>Ecart négatif</v>
      </c>
    </row>
    <row r="3920" spans="1:18" x14ac:dyDescent="0.3">
      <c r="A3920" s="34" t="str">
        <f>base!J3920</f>
        <v>LS</v>
      </c>
      <c r="B3920" s="34" t="str">
        <f>base!V3920</f>
        <v>67000</v>
      </c>
      <c r="C3920" s="37">
        <v>57</v>
      </c>
      <c r="D3920" s="36">
        <f>base!H3920</f>
        <v>20.03</v>
      </c>
      <c r="E3920" s="44"/>
      <c r="F3920" s="16">
        <f>base!W3920</f>
        <v>5.81</v>
      </c>
      <c r="G3920" s="11">
        <f t="shared" si="610"/>
        <v>0.29006490264603091</v>
      </c>
      <c r="H3920" s="11">
        <f t="shared" si="611"/>
        <v>4.8071999999999999</v>
      </c>
      <c r="I3920" s="11">
        <f t="shared" si="612"/>
        <v>0.24</v>
      </c>
      <c r="J3920" s="12">
        <f t="shared" si="613"/>
        <v>1.0027999999999997</v>
      </c>
      <c r="K3920" s="17" t="str">
        <f t="shared" si="618"/>
        <v>Ecart positif</v>
      </c>
      <c r="L3920" s="16">
        <f>base!X3920</f>
        <v>0</v>
      </c>
      <c r="M3920" s="11">
        <f t="shared" si="614"/>
        <v>0</v>
      </c>
      <c r="N3920" s="11">
        <f t="shared" si="615"/>
        <v>5.0075000000000003</v>
      </c>
      <c r="O3920" s="11">
        <f t="shared" si="616"/>
        <v>0.25</v>
      </c>
      <c r="P3920" s="12">
        <f t="shared" si="617"/>
        <v>-5.0075000000000003</v>
      </c>
      <c r="Q3920" s="17" t="str">
        <f t="shared" si="619"/>
        <v>Ecart négatif</v>
      </c>
    </row>
    <row r="3921" spans="1:17" x14ac:dyDescent="0.3">
      <c r="A3921" s="34" t="str">
        <f>base!J3921</f>
        <v>LM</v>
      </c>
      <c r="B3921" s="34" t="str">
        <f>base!V3921</f>
        <v>38590</v>
      </c>
      <c r="C3921" s="37">
        <v>57</v>
      </c>
      <c r="D3921" s="36">
        <f>base!H3921</f>
        <v>25.8</v>
      </c>
      <c r="E3921" s="44"/>
      <c r="F3921" s="16">
        <f>base!W3921</f>
        <v>6.97</v>
      </c>
      <c r="G3921" s="11">
        <f t="shared" si="610"/>
        <v>0.27015503875968988</v>
      </c>
      <c r="H3921" s="11">
        <f t="shared" si="611"/>
        <v>6.1920000000000002</v>
      </c>
      <c r="I3921" s="11">
        <f t="shared" si="612"/>
        <v>0.24</v>
      </c>
      <c r="J3921" s="12">
        <f t="shared" si="613"/>
        <v>0.77799999999999958</v>
      </c>
      <c r="K3921" s="17" t="str">
        <f t="shared" si="618"/>
        <v>Ecart positif</v>
      </c>
      <c r="L3921" s="16">
        <f>base!X3921</f>
        <v>0</v>
      </c>
      <c r="M3921" s="11">
        <f t="shared" si="614"/>
        <v>0</v>
      </c>
      <c r="N3921" s="11">
        <f t="shared" si="615"/>
        <v>6.45</v>
      </c>
      <c r="O3921" s="11">
        <f t="shared" si="616"/>
        <v>0.25</v>
      </c>
      <c r="P3921" s="12">
        <f t="shared" si="617"/>
        <v>-6.45</v>
      </c>
      <c r="Q3921" s="17" t="str">
        <f t="shared" si="619"/>
        <v>Ecart négatif</v>
      </c>
    </row>
    <row r="3922" spans="1:17" x14ac:dyDescent="0.3">
      <c r="A3922" s="34" t="str">
        <f>base!J3922</f>
        <v>LS</v>
      </c>
      <c r="B3922" s="34" t="str">
        <f>base!V3922</f>
        <v>51800</v>
      </c>
      <c r="C3922" s="37">
        <v>25</v>
      </c>
      <c r="D3922" s="36">
        <f>base!H3922</f>
        <v>39.35</v>
      </c>
      <c r="E3922" s="44"/>
      <c r="F3922" s="16">
        <f>base!W3922</f>
        <v>9.84</v>
      </c>
      <c r="G3922" s="11">
        <f t="shared" si="610"/>
        <v>0.25006353240152479</v>
      </c>
      <c r="H3922" s="11">
        <f t="shared" si="611"/>
        <v>9.4440000000000008</v>
      </c>
      <c r="I3922" s="11">
        <f t="shared" si="612"/>
        <v>0.24000000000000002</v>
      </c>
      <c r="J3922" s="12">
        <f t="shared" si="613"/>
        <v>0.39599999999999902</v>
      </c>
      <c r="K3922" s="17" t="str">
        <f t="shared" si="618"/>
        <v>Ecart positif</v>
      </c>
      <c r="L3922" s="16">
        <f>base!X3922</f>
        <v>0</v>
      </c>
      <c r="M3922" s="11">
        <f t="shared" si="614"/>
        <v>0</v>
      </c>
      <c r="N3922" s="11">
        <f t="shared" si="615"/>
        <v>4.7220000000000004</v>
      </c>
      <c r="O3922" s="11">
        <f t="shared" si="616"/>
        <v>0.12000000000000001</v>
      </c>
      <c r="P3922" s="12">
        <f t="shared" si="617"/>
        <v>-4.7220000000000004</v>
      </c>
      <c r="Q3922" s="17" t="str">
        <f t="shared" si="619"/>
        <v>Ecart négatif</v>
      </c>
    </row>
    <row r="3923" spans="1:17" x14ac:dyDescent="0.3">
      <c r="A3923" s="34" t="str">
        <f>base!J3923</f>
        <v>LS</v>
      </c>
      <c r="B3923" s="34" t="str">
        <f>base!V3923</f>
        <v>84200</v>
      </c>
      <c r="C3923" s="37">
        <v>21</v>
      </c>
      <c r="D3923" s="36">
        <f>base!H3923</f>
        <v>6.53</v>
      </c>
      <c r="E3923" s="44"/>
      <c r="F3923" s="16">
        <f>base!W3923</f>
        <v>1.89</v>
      </c>
      <c r="G3923" s="11">
        <f t="shared" si="610"/>
        <v>0.28943338437978555</v>
      </c>
      <c r="H3923" s="11">
        <f t="shared" si="611"/>
        <v>1.5671999999999999</v>
      </c>
      <c r="I3923" s="11">
        <f t="shared" si="612"/>
        <v>0.24</v>
      </c>
      <c r="J3923" s="12">
        <f t="shared" si="613"/>
        <v>0.32279999999999998</v>
      </c>
      <c r="K3923" s="17" t="str">
        <f t="shared" si="618"/>
        <v>Ecart positif</v>
      </c>
      <c r="L3923" s="16">
        <f>base!X3923</f>
        <v>0</v>
      </c>
      <c r="M3923" s="11">
        <f t="shared" si="614"/>
        <v>0</v>
      </c>
      <c r="N3923" s="11">
        <f t="shared" si="615"/>
        <v>0.78359999999999996</v>
      </c>
      <c r="O3923" s="11">
        <f t="shared" si="616"/>
        <v>0.12</v>
      </c>
      <c r="P3923" s="12">
        <f t="shared" si="617"/>
        <v>-0.78359999999999996</v>
      </c>
      <c r="Q3923" s="17" t="str">
        <f t="shared" si="619"/>
        <v>Ecart négatif</v>
      </c>
    </row>
    <row r="3924" spans="1:17" x14ac:dyDescent="0.3">
      <c r="A3924" s="34" t="str">
        <f>base!J3924</f>
        <v>DRM</v>
      </c>
      <c r="B3924" s="34" t="str">
        <f>base!V3924</f>
        <v>68920</v>
      </c>
      <c r="C3924" s="37">
        <v>68</v>
      </c>
      <c r="D3924" s="36">
        <f>base!H3924</f>
        <v>120</v>
      </c>
      <c r="E3924" s="44"/>
      <c r="F3924" s="16">
        <f>base!W3924</f>
        <v>0</v>
      </c>
      <c r="G3924" s="11">
        <f t="shared" si="610"/>
        <v>0</v>
      </c>
      <c r="H3924" s="11">
        <f t="shared" si="611"/>
        <v>34.799999999999997</v>
      </c>
      <c r="I3924" s="11">
        <f t="shared" si="612"/>
        <v>0.28999999999999998</v>
      </c>
      <c r="J3924" s="12">
        <f t="shared" si="613"/>
        <v>-34.799999999999997</v>
      </c>
      <c r="K3924" s="17" t="str">
        <f t="shared" si="618"/>
        <v>Ecart négatif</v>
      </c>
      <c r="L3924" s="16">
        <f>base!X3924</f>
        <v>0</v>
      </c>
      <c r="M3924" s="11">
        <f t="shared" si="614"/>
        <v>0</v>
      </c>
      <c r="N3924" s="11">
        <f t="shared" si="615"/>
        <v>9.6</v>
      </c>
      <c r="O3924" s="11">
        <f t="shared" si="616"/>
        <v>0.08</v>
      </c>
      <c r="P3924" s="12">
        <f t="shared" si="617"/>
        <v>-9.6</v>
      </c>
      <c r="Q3924" s="17" t="str">
        <f t="shared" si="619"/>
        <v>Ecart négatif</v>
      </c>
    </row>
    <row r="3925" spans="1:17" x14ac:dyDescent="0.3">
      <c r="A3925" s="34" t="str">
        <f>base!J3925</f>
        <v>RM</v>
      </c>
      <c r="B3925" s="34" t="str">
        <f>base!V3925</f>
        <v>73000</v>
      </c>
      <c r="C3925" s="37">
        <v>73</v>
      </c>
      <c r="D3925" s="36">
        <f>base!H3925</f>
        <v>205</v>
      </c>
      <c r="E3925" s="44"/>
      <c r="F3925" s="16">
        <f>base!W3925</f>
        <v>0</v>
      </c>
      <c r="G3925" s="11">
        <f t="shared" si="610"/>
        <v>0</v>
      </c>
      <c r="H3925" s="11">
        <f t="shared" si="611"/>
        <v>55.35</v>
      </c>
      <c r="I3925" s="11">
        <f t="shared" si="612"/>
        <v>0.27</v>
      </c>
      <c r="J3925" s="12">
        <f t="shared" si="613"/>
        <v>-55.35</v>
      </c>
      <c r="K3925" s="17" t="str">
        <f t="shared" si="618"/>
        <v>Ecart négatif</v>
      </c>
      <c r="L3925" s="16">
        <f>base!X3925</f>
        <v>0</v>
      </c>
      <c r="M3925" s="11">
        <f t="shared" si="614"/>
        <v>0</v>
      </c>
      <c r="N3925" s="11">
        <f t="shared" si="615"/>
        <v>0</v>
      </c>
      <c r="O3925" s="11">
        <f t="shared" si="616"/>
        <v>0</v>
      </c>
      <c r="P3925" s="12">
        <f t="shared" si="617"/>
        <v>0</v>
      </c>
      <c r="Q3925" s="17" t="str">
        <f t="shared" si="619"/>
        <v>Pas d'écart</v>
      </c>
    </row>
    <row r="3926" spans="1:17" x14ac:dyDescent="0.3">
      <c r="A3926" s="34" t="str">
        <f>base!J3926</f>
        <v>RM</v>
      </c>
      <c r="B3926" s="34" t="str">
        <f>base!V3926</f>
        <v>73000</v>
      </c>
      <c r="C3926" s="37">
        <v>73</v>
      </c>
      <c r="D3926" s="36">
        <f>base!H3926</f>
        <v>219.98</v>
      </c>
      <c r="E3926" s="44"/>
      <c r="F3926" s="16">
        <f>base!W3926</f>
        <v>0</v>
      </c>
      <c r="G3926" s="11">
        <f t="shared" si="610"/>
        <v>0</v>
      </c>
      <c r="H3926" s="11">
        <f t="shared" si="611"/>
        <v>59.394600000000004</v>
      </c>
      <c r="I3926" s="11">
        <f t="shared" si="612"/>
        <v>0.27</v>
      </c>
      <c r="J3926" s="12">
        <f t="shared" si="613"/>
        <v>-59.394600000000004</v>
      </c>
      <c r="K3926" s="17" t="str">
        <f t="shared" si="618"/>
        <v>Ecart négatif</v>
      </c>
      <c r="L3926" s="16">
        <f>base!X3926</f>
        <v>0</v>
      </c>
      <c r="M3926" s="11">
        <f t="shared" si="614"/>
        <v>0</v>
      </c>
      <c r="N3926" s="11">
        <f t="shared" si="615"/>
        <v>0</v>
      </c>
      <c r="O3926" s="11">
        <f t="shared" si="616"/>
        <v>0</v>
      </c>
      <c r="P3926" s="12">
        <f t="shared" si="617"/>
        <v>0</v>
      </c>
      <c r="Q3926" s="17" t="str">
        <f t="shared" si="619"/>
        <v>Pas d'écart</v>
      </c>
    </row>
    <row r="3927" spans="1:17" x14ac:dyDescent="0.3">
      <c r="A3927" s="34" t="str">
        <f>base!J3927</f>
        <v>LS</v>
      </c>
      <c r="B3927" s="34" t="str">
        <f>base!V3927</f>
        <v>08000</v>
      </c>
      <c r="C3927" s="37">
        <v>57</v>
      </c>
      <c r="D3927" s="36">
        <f>base!H3927</f>
        <v>0.36</v>
      </c>
      <c r="E3927" s="44"/>
      <c r="F3927" s="16">
        <f>base!W3927</f>
        <v>7.0000000000000007E-2</v>
      </c>
      <c r="G3927" s="11">
        <f t="shared" si="610"/>
        <v>0.19444444444444448</v>
      </c>
      <c r="H3927" s="11">
        <f t="shared" si="611"/>
        <v>8.6399999999999991E-2</v>
      </c>
      <c r="I3927" s="11">
        <f t="shared" si="612"/>
        <v>0.24</v>
      </c>
      <c r="J3927" s="12">
        <f t="shared" si="613"/>
        <v>-1.6399999999999984E-2</v>
      </c>
      <c r="K3927" s="17" t="str">
        <f t="shared" si="618"/>
        <v>Ecart négatif</v>
      </c>
      <c r="L3927" s="16">
        <f>base!X3927</f>
        <v>0</v>
      </c>
      <c r="M3927" s="11">
        <f t="shared" si="614"/>
        <v>0</v>
      </c>
      <c r="N3927" s="11">
        <f t="shared" si="615"/>
        <v>0.09</v>
      </c>
      <c r="O3927" s="11">
        <f t="shared" si="616"/>
        <v>0.25</v>
      </c>
      <c r="P3927" s="12">
        <f t="shared" si="617"/>
        <v>-0.09</v>
      </c>
      <c r="Q3927" s="17" t="str">
        <f t="shared" si="619"/>
        <v>Ecart négatif</v>
      </c>
    </row>
    <row r="3928" spans="1:17" x14ac:dyDescent="0.3">
      <c r="A3928" s="34" t="str">
        <f>base!J3928</f>
        <v>LS</v>
      </c>
      <c r="B3928" s="34" t="str">
        <f>base!V3928</f>
        <v>50370</v>
      </c>
      <c r="C3928" s="37">
        <v>54</v>
      </c>
      <c r="D3928" s="36">
        <f>base!H3928</f>
        <v>32.85</v>
      </c>
      <c r="E3928" s="44"/>
      <c r="F3928" s="16">
        <f>base!W3928</f>
        <v>5.58</v>
      </c>
      <c r="G3928" s="11">
        <f t="shared" si="610"/>
        <v>0.16986301369863013</v>
      </c>
      <c r="H3928" s="11">
        <f t="shared" si="611"/>
        <v>8.2125000000000004</v>
      </c>
      <c r="I3928" s="11">
        <f t="shared" si="612"/>
        <v>0.25</v>
      </c>
      <c r="J3928" s="12">
        <f t="shared" si="613"/>
        <v>-2.6325000000000003</v>
      </c>
      <c r="K3928" s="17" t="str">
        <f t="shared" si="618"/>
        <v>Ecart négatif</v>
      </c>
      <c r="L3928" s="16">
        <f>base!X3928</f>
        <v>0</v>
      </c>
      <c r="M3928" s="11">
        <f t="shared" si="614"/>
        <v>0</v>
      </c>
      <c r="N3928" s="11">
        <f t="shared" si="615"/>
        <v>8.2125000000000004</v>
      </c>
      <c r="O3928" s="11">
        <f t="shared" si="616"/>
        <v>0.25</v>
      </c>
      <c r="P3928" s="12">
        <f t="shared" si="617"/>
        <v>-8.2125000000000004</v>
      </c>
      <c r="Q3928" s="17" t="str">
        <f t="shared" si="619"/>
        <v>Ecart négatif</v>
      </c>
    </row>
    <row r="3929" spans="1:17" x14ac:dyDescent="0.3">
      <c r="A3929" s="34" t="str">
        <f>base!J3929</f>
        <v>LM</v>
      </c>
      <c r="B3929" s="34" t="str">
        <f>base!V3929</f>
        <v>35042</v>
      </c>
      <c r="C3929" s="37">
        <v>69</v>
      </c>
      <c r="D3929" s="36">
        <f>base!H3929</f>
        <v>47.39</v>
      </c>
      <c r="E3929" s="44"/>
      <c r="F3929" s="16">
        <f>base!W3929</f>
        <v>12.8</v>
      </c>
      <c r="G3929" s="11">
        <f t="shared" si="610"/>
        <v>0.27009917704156994</v>
      </c>
      <c r="H3929" s="11">
        <f t="shared" si="611"/>
        <v>12.795300000000001</v>
      </c>
      <c r="I3929" s="11">
        <f t="shared" si="612"/>
        <v>0.27</v>
      </c>
      <c r="J3929" s="12">
        <f t="shared" si="613"/>
        <v>4.6999999999997044E-3</v>
      </c>
      <c r="K3929" s="17" t="str">
        <f t="shared" si="618"/>
        <v>Ecart positif</v>
      </c>
      <c r="L3929" s="16">
        <f>base!X3929</f>
        <v>0</v>
      </c>
      <c r="M3929" s="11">
        <f t="shared" si="614"/>
        <v>0</v>
      </c>
      <c r="N3929" s="11">
        <f t="shared" si="615"/>
        <v>0</v>
      </c>
      <c r="O3929" s="11">
        <f t="shared" si="616"/>
        <v>0</v>
      </c>
      <c r="P3929" s="12">
        <f t="shared" si="617"/>
        <v>0</v>
      </c>
      <c r="Q3929" s="17" t="str">
        <f t="shared" si="619"/>
        <v>Pas d'écart</v>
      </c>
    </row>
    <row r="3930" spans="1:17" x14ac:dyDescent="0.3">
      <c r="A3930" s="34" t="str">
        <f>base!J3930</f>
        <v>RM</v>
      </c>
      <c r="B3930" s="34" t="str">
        <f>base!V3930</f>
        <v>62000</v>
      </c>
      <c r="C3930" s="37">
        <v>62</v>
      </c>
      <c r="D3930" s="36">
        <f>base!H3930</f>
        <v>334.27</v>
      </c>
      <c r="E3930" s="44"/>
      <c r="F3930" s="16">
        <f>base!W3930</f>
        <v>0</v>
      </c>
      <c r="G3930" s="11">
        <f t="shared" si="610"/>
        <v>0</v>
      </c>
      <c r="H3930" s="11">
        <f t="shared" si="611"/>
        <v>63.511299999999999</v>
      </c>
      <c r="I3930" s="11">
        <f t="shared" si="612"/>
        <v>0.19</v>
      </c>
      <c r="J3930" s="12">
        <f t="shared" si="613"/>
        <v>-63.511299999999999</v>
      </c>
      <c r="K3930" s="17" t="str">
        <f t="shared" si="618"/>
        <v>Ecart négatif</v>
      </c>
      <c r="L3930" s="16">
        <f>base!X3930</f>
        <v>0</v>
      </c>
      <c r="M3930" s="11">
        <f t="shared" si="614"/>
        <v>0</v>
      </c>
      <c r="N3930" s="11">
        <f t="shared" si="615"/>
        <v>0</v>
      </c>
      <c r="O3930" s="11">
        <f t="shared" si="616"/>
        <v>0</v>
      </c>
      <c r="P3930" s="12">
        <f t="shared" si="617"/>
        <v>0</v>
      </c>
      <c r="Q3930" s="17" t="str">
        <f t="shared" si="619"/>
        <v>Pas d'écart</v>
      </c>
    </row>
    <row r="3931" spans="1:17" x14ac:dyDescent="0.3">
      <c r="A3931" s="34" t="str">
        <f>base!J3931</f>
        <v>LS</v>
      </c>
      <c r="B3931" s="34" t="str">
        <f>base!V3931</f>
        <v>69200</v>
      </c>
      <c r="C3931" s="37">
        <v>69</v>
      </c>
      <c r="D3931" s="36">
        <f>base!H3931</f>
        <v>134.25</v>
      </c>
      <c r="E3931" s="44"/>
      <c r="F3931" s="16">
        <f>base!W3931</f>
        <v>36.25</v>
      </c>
      <c r="G3931" s="11">
        <f t="shared" si="610"/>
        <v>0.27001862197392923</v>
      </c>
      <c r="H3931" s="11">
        <f t="shared" si="611"/>
        <v>36.247500000000002</v>
      </c>
      <c r="I3931" s="11">
        <f t="shared" si="612"/>
        <v>0.27</v>
      </c>
      <c r="J3931" s="12">
        <f t="shared" si="613"/>
        <v>2.4999999999977263E-3</v>
      </c>
      <c r="K3931" s="17" t="str">
        <f t="shared" si="618"/>
        <v>Ecart positif</v>
      </c>
      <c r="L3931" s="16">
        <f>base!X3931</f>
        <v>0</v>
      </c>
      <c r="M3931" s="11">
        <f t="shared" si="614"/>
        <v>0</v>
      </c>
      <c r="N3931" s="11">
        <f t="shared" si="615"/>
        <v>0</v>
      </c>
      <c r="O3931" s="11">
        <f t="shared" si="616"/>
        <v>0</v>
      </c>
      <c r="P3931" s="12">
        <f t="shared" si="617"/>
        <v>0</v>
      </c>
      <c r="Q3931" s="17" t="str">
        <f t="shared" si="619"/>
        <v>Pas d'écart</v>
      </c>
    </row>
    <row r="3932" spans="1:17" x14ac:dyDescent="0.3">
      <c r="A3932" s="34">
        <f>base!J3932</f>
        <v>0</v>
      </c>
      <c r="B3932" s="34" t="str">
        <f>base!V3932</f>
        <v>77184</v>
      </c>
      <c r="C3932" s="37">
        <v>77</v>
      </c>
      <c r="D3932" s="36">
        <f>base!H3932</f>
        <v>188</v>
      </c>
      <c r="E3932" s="44"/>
      <c r="F3932" s="16">
        <f>base!W3932</f>
        <v>0</v>
      </c>
      <c r="G3932" s="11">
        <f t="shared" si="610"/>
        <v>0</v>
      </c>
      <c r="H3932" s="11">
        <f t="shared" si="611"/>
        <v>0</v>
      </c>
      <c r="I3932" s="11">
        <f t="shared" si="612"/>
        <v>0</v>
      </c>
      <c r="J3932" s="12">
        <f t="shared" si="613"/>
        <v>0</v>
      </c>
      <c r="K3932" s="17" t="str">
        <f t="shared" si="618"/>
        <v>Pas d'écart</v>
      </c>
      <c r="L3932" s="16">
        <f>base!X3932</f>
        <v>0</v>
      </c>
      <c r="M3932" s="11">
        <f t="shared" si="614"/>
        <v>0</v>
      </c>
      <c r="N3932" s="11">
        <f t="shared" si="615"/>
        <v>0</v>
      </c>
      <c r="O3932" s="11">
        <f t="shared" si="616"/>
        <v>0</v>
      </c>
      <c r="P3932" s="12">
        <f t="shared" si="617"/>
        <v>0</v>
      </c>
      <c r="Q3932" s="17" t="str">
        <f t="shared" si="619"/>
        <v>Pas d'écart</v>
      </c>
    </row>
    <row r="3933" spans="1:17" x14ac:dyDescent="0.3">
      <c r="A3933" s="34" t="str">
        <f>base!J3933</f>
        <v>LS</v>
      </c>
      <c r="B3933" s="34" t="str">
        <f>base!V3933</f>
        <v>75002</v>
      </c>
      <c r="C3933" s="37">
        <v>75</v>
      </c>
      <c r="D3933" s="36">
        <f>base!H3933</f>
        <v>55.07</v>
      </c>
      <c r="E3933" s="44"/>
      <c r="F3933" s="16">
        <f>base!W3933</f>
        <v>0</v>
      </c>
      <c r="G3933" s="11">
        <f t="shared" si="610"/>
        <v>0</v>
      </c>
      <c r="H3933" s="11">
        <f t="shared" si="611"/>
        <v>0</v>
      </c>
      <c r="I3933" s="11">
        <f t="shared" si="612"/>
        <v>0</v>
      </c>
      <c r="J3933" s="12">
        <f t="shared" si="613"/>
        <v>0</v>
      </c>
      <c r="K3933" s="17" t="str">
        <f t="shared" si="618"/>
        <v>Pas d'écart</v>
      </c>
      <c r="L3933" s="16">
        <f>base!X3933</f>
        <v>0</v>
      </c>
      <c r="M3933" s="11">
        <f t="shared" si="614"/>
        <v>0</v>
      </c>
      <c r="N3933" s="11">
        <f t="shared" si="615"/>
        <v>0</v>
      </c>
      <c r="O3933" s="11">
        <f t="shared" si="616"/>
        <v>0</v>
      </c>
      <c r="P3933" s="12">
        <f t="shared" si="617"/>
        <v>0</v>
      </c>
      <c r="Q3933" s="17" t="str">
        <f t="shared" si="619"/>
        <v>Pas d'écart</v>
      </c>
    </row>
    <row r="3934" spans="1:17" x14ac:dyDescent="0.3">
      <c r="A3934" s="34" t="str">
        <f>base!J3934</f>
        <v>LS</v>
      </c>
      <c r="B3934" s="34" t="str">
        <f>base!V3934</f>
        <v>14120</v>
      </c>
      <c r="C3934" s="37">
        <v>69</v>
      </c>
      <c r="D3934" s="36">
        <f>base!H3934</f>
        <v>58.35</v>
      </c>
      <c r="E3934" s="44"/>
      <c r="F3934" s="16">
        <f>base!W3934</f>
        <v>9.92</v>
      </c>
      <c r="G3934" s="11">
        <f t="shared" si="610"/>
        <v>0.17000856898029135</v>
      </c>
      <c r="H3934" s="11">
        <f t="shared" si="611"/>
        <v>15.754500000000002</v>
      </c>
      <c r="I3934" s="11">
        <f t="shared" si="612"/>
        <v>0.27</v>
      </c>
      <c r="J3934" s="12">
        <f t="shared" si="613"/>
        <v>-5.834500000000002</v>
      </c>
      <c r="K3934" s="17" t="str">
        <f t="shared" si="618"/>
        <v>Ecart négatif</v>
      </c>
      <c r="L3934" s="16">
        <f>base!X3934</f>
        <v>0</v>
      </c>
      <c r="M3934" s="11">
        <f t="shared" si="614"/>
        <v>0</v>
      </c>
      <c r="N3934" s="11">
        <f t="shared" si="615"/>
        <v>0</v>
      </c>
      <c r="O3934" s="11">
        <f t="shared" si="616"/>
        <v>0</v>
      </c>
      <c r="P3934" s="12">
        <f t="shared" si="617"/>
        <v>0</v>
      </c>
      <c r="Q3934" s="17" t="str">
        <f t="shared" si="619"/>
        <v>Pas d'écart</v>
      </c>
    </row>
    <row r="3935" spans="1:17" x14ac:dyDescent="0.3">
      <c r="A3935" s="34" t="str">
        <f>base!J3935</f>
        <v>RS</v>
      </c>
      <c r="B3935" s="34" t="str">
        <f>base!V3935</f>
        <v>59760</v>
      </c>
      <c r="C3935" s="37">
        <v>59</v>
      </c>
      <c r="D3935" s="36">
        <f>base!H3935</f>
        <v>180</v>
      </c>
      <c r="E3935" s="44"/>
      <c r="F3935" s="16">
        <f>base!W3935</f>
        <v>0</v>
      </c>
      <c r="G3935" s="11">
        <f t="shared" si="610"/>
        <v>0</v>
      </c>
      <c r="H3935" s="11">
        <f t="shared" si="611"/>
        <v>34.200000000000003</v>
      </c>
      <c r="I3935" s="11">
        <f t="shared" si="612"/>
        <v>0.19</v>
      </c>
      <c r="J3935" s="12">
        <f t="shared" si="613"/>
        <v>-34.200000000000003</v>
      </c>
      <c r="K3935" s="17" t="str">
        <f t="shared" si="618"/>
        <v>Ecart négatif</v>
      </c>
      <c r="L3935" s="16">
        <f>base!X3935</f>
        <v>0</v>
      </c>
      <c r="M3935" s="11">
        <f t="shared" si="614"/>
        <v>0</v>
      </c>
      <c r="N3935" s="11">
        <f t="shared" si="615"/>
        <v>0</v>
      </c>
      <c r="O3935" s="11">
        <f t="shared" si="616"/>
        <v>0</v>
      </c>
      <c r="P3935" s="12">
        <f t="shared" si="617"/>
        <v>0</v>
      </c>
      <c r="Q3935" s="17" t="str">
        <f t="shared" si="619"/>
        <v>Pas d'écart</v>
      </c>
    </row>
    <row r="3936" spans="1:17" x14ac:dyDescent="0.3">
      <c r="A3936" s="34">
        <f>base!J3936</f>
        <v>0</v>
      </c>
      <c r="B3936" s="34" t="str">
        <f>base!V3936</f>
        <v>77184</v>
      </c>
      <c r="C3936" s="37">
        <v>77</v>
      </c>
      <c r="D3936" s="36">
        <f>base!H3936</f>
        <v>114</v>
      </c>
      <c r="E3936" s="44"/>
      <c r="F3936" s="16">
        <f>base!W3936</f>
        <v>0</v>
      </c>
      <c r="G3936" s="11">
        <f t="shared" si="610"/>
        <v>0</v>
      </c>
      <c r="H3936" s="11">
        <f t="shared" si="611"/>
        <v>0</v>
      </c>
      <c r="I3936" s="11">
        <f t="shared" si="612"/>
        <v>0</v>
      </c>
      <c r="J3936" s="12">
        <f t="shared" si="613"/>
        <v>0</v>
      </c>
      <c r="K3936" s="17" t="str">
        <f t="shared" si="618"/>
        <v>Pas d'écart</v>
      </c>
      <c r="L3936" s="16">
        <f>base!X3936</f>
        <v>0</v>
      </c>
      <c r="M3936" s="11">
        <f t="shared" si="614"/>
        <v>0</v>
      </c>
      <c r="N3936" s="11">
        <f t="shared" si="615"/>
        <v>0</v>
      </c>
      <c r="O3936" s="11">
        <f t="shared" si="616"/>
        <v>0</v>
      </c>
      <c r="P3936" s="12">
        <f t="shared" si="617"/>
        <v>0</v>
      </c>
      <c r="Q3936" s="17" t="str">
        <f t="shared" si="619"/>
        <v>Pas d'écart</v>
      </c>
    </row>
    <row r="3937" spans="1:17" x14ac:dyDescent="0.3">
      <c r="A3937" s="34" t="str">
        <f>base!J3937</f>
        <v>LM</v>
      </c>
      <c r="B3937" s="34" t="str">
        <f>base!V3937</f>
        <v>63670</v>
      </c>
      <c r="C3937" s="37">
        <v>84</v>
      </c>
      <c r="D3937" s="36">
        <f>base!H3937</f>
        <v>130.06</v>
      </c>
      <c r="E3937" s="44"/>
      <c r="F3937" s="16">
        <f>base!W3937</f>
        <v>37.72</v>
      </c>
      <c r="G3937" s="11">
        <f t="shared" si="610"/>
        <v>0.29001999077348917</v>
      </c>
      <c r="H3937" s="11">
        <f t="shared" si="611"/>
        <v>37.717399999999998</v>
      </c>
      <c r="I3937" s="11">
        <f t="shared" si="612"/>
        <v>0.28999999999999998</v>
      </c>
      <c r="J3937" s="12">
        <f t="shared" si="613"/>
        <v>2.6000000000010459E-3</v>
      </c>
      <c r="K3937" s="17" t="str">
        <f t="shared" si="618"/>
        <v>Ecart positif</v>
      </c>
      <c r="L3937" s="16">
        <f>base!X3937</f>
        <v>0</v>
      </c>
      <c r="M3937" s="11">
        <f t="shared" si="614"/>
        <v>0</v>
      </c>
      <c r="N3937" s="11">
        <f t="shared" si="615"/>
        <v>24.711400000000001</v>
      </c>
      <c r="O3937" s="11">
        <f t="shared" si="616"/>
        <v>0.19</v>
      </c>
      <c r="P3937" s="12">
        <f t="shared" si="617"/>
        <v>-24.711400000000001</v>
      </c>
      <c r="Q3937" s="17" t="str">
        <f t="shared" si="619"/>
        <v>Ecart négatif</v>
      </c>
    </row>
    <row r="3938" spans="1:17" x14ac:dyDescent="0.3">
      <c r="A3938" s="34" t="str">
        <f>base!J3938</f>
        <v>LM</v>
      </c>
      <c r="B3938" s="34" t="str">
        <f>base!V3938</f>
        <v>54300</v>
      </c>
      <c r="C3938" s="37">
        <v>84</v>
      </c>
      <c r="D3938" s="36">
        <f>base!H3938</f>
        <v>55.34</v>
      </c>
      <c r="E3938" s="44"/>
      <c r="F3938" s="16">
        <f>base!W3938</f>
        <v>13.84</v>
      </c>
      <c r="G3938" s="11">
        <f t="shared" si="610"/>
        <v>0.25009035056017348</v>
      </c>
      <c r="H3938" s="11">
        <f t="shared" si="611"/>
        <v>16.0486</v>
      </c>
      <c r="I3938" s="11">
        <f t="shared" si="612"/>
        <v>0.28999999999999998</v>
      </c>
      <c r="J3938" s="12">
        <f t="shared" si="613"/>
        <v>-2.2086000000000006</v>
      </c>
      <c r="K3938" s="17" t="str">
        <f t="shared" si="618"/>
        <v>Ecart négatif</v>
      </c>
      <c r="L3938" s="16">
        <f>base!X3938</f>
        <v>0</v>
      </c>
      <c r="M3938" s="11">
        <f t="shared" si="614"/>
        <v>0</v>
      </c>
      <c r="N3938" s="11">
        <f t="shared" si="615"/>
        <v>10.514600000000002</v>
      </c>
      <c r="O3938" s="11">
        <f t="shared" si="616"/>
        <v>0.19</v>
      </c>
      <c r="P3938" s="12">
        <f t="shared" si="617"/>
        <v>-10.514600000000002</v>
      </c>
      <c r="Q3938" s="17" t="str">
        <f t="shared" si="619"/>
        <v>Ecart négatif</v>
      </c>
    </row>
    <row r="3939" spans="1:17" x14ac:dyDescent="0.3">
      <c r="A3939" s="34" t="str">
        <f>base!J3939</f>
        <v>LM</v>
      </c>
      <c r="B3939" s="34" t="str">
        <f>base!V3939</f>
        <v>75008</v>
      </c>
      <c r="C3939" s="37">
        <v>75</v>
      </c>
      <c r="D3939" s="36">
        <f>base!H3939</f>
        <v>83</v>
      </c>
      <c r="E3939" s="44"/>
      <c r="F3939" s="16">
        <f>base!W3939</f>
        <v>0</v>
      </c>
      <c r="G3939" s="11">
        <f t="shared" si="610"/>
        <v>0</v>
      </c>
      <c r="H3939" s="11">
        <f t="shared" si="611"/>
        <v>0</v>
      </c>
      <c r="I3939" s="11">
        <f t="shared" si="612"/>
        <v>0</v>
      </c>
      <c r="J3939" s="12">
        <f t="shared" si="613"/>
        <v>0</v>
      </c>
      <c r="K3939" s="17" t="str">
        <f t="shared" si="618"/>
        <v>Pas d'écart</v>
      </c>
      <c r="L3939" s="16">
        <f>base!X3939</f>
        <v>0</v>
      </c>
      <c r="M3939" s="11">
        <f t="shared" si="614"/>
        <v>0</v>
      </c>
      <c r="N3939" s="11">
        <f t="shared" si="615"/>
        <v>0</v>
      </c>
      <c r="O3939" s="11">
        <f t="shared" si="616"/>
        <v>0</v>
      </c>
      <c r="P3939" s="12">
        <f t="shared" si="617"/>
        <v>0</v>
      </c>
      <c r="Q3939" s="17" t="str">
        <f t="shared" si="619"/>
        <v>Pas d'écart</v>
      </c>
    </row>
    <row r="3940" spans="1:17" x14ac:dyDescent="0.3">
      <c r="A3940" s="34" t="str">
        <f>base!J3940</f>
        <v>DLS</v>
      </c>
      <c r="B3940" s="34" t="str">
        <f>base!V3940</f>
        <v>34400</v>
      </c>
      <c r="C3940" s="37">
        <v>34</v>
      </c>
      <c r="D3940" s="36">
        <f>base!H3940</f>
        <v>114.53</v>
      </c>
      <c r="E3940" s="44"/>
      <c r="F3940" s="16">
        <f>base!W3940</f>
        <v>0</v>
      </c>
      <c r="G3940" s="11">
        <f t="shared" si="610"/>
        <v>0</v>
      </c>
      <c r="H3940" s="11">
        <f t="shared" si="611"/>
        <v>44.666699999999999</v>
      </c>
      <c r="I3940" s="11">
        <f t="shared" si="612"/>
        <v>0.38999999999999996</v>
      </c>
      <c r="J3940" s="12">
        <f t="shared" si="613"/>
        <v>-44.666699999999999</v>
      </c>
      <c r="K3940" s="17" t="str">
        <f t="shared" si="618"/>
        <v>Ecart négatif</v>
      </c>
      <c r="L3940" s="16">
        <f>base!X3940</f>
        <v>0</v>
      </c>
      <c r="M3940" s="11">
        <f t="shared" si="614"/>
        <v>0</v>
      </c>
      <c r="N3940" s="11">
        <f t="shared" si="615"/>
        <v>32.068400000000004</v>
      </c>
      <c r="O3940" s="11">
        <f t="shared" si="616"/>
        <v>0.28000000000000003</v>
      </c>
      <c r="P3940" s="12">
        <f t="shared" si="617"/>
        <v>-32.068400000000004</v>
      </c>
      <c r="Q3940" s="17" t="str">
        <f t="shared" si="619"/>
        <v>Ecart négatif</v>
      </c>
    </row>
    <row r="3941" spans="1:17" x14ac:dyDescent="0.3">
      <c r="A3941" s="34" t="str">
        <f>base!J3941</f>
        <v>RM</v>
      </c>
      <c r="B3941" s="34" t="str">
        <f>base!V3941</f>
        <v>59287</v>
      </c>
      <c r="C3941" s="37">
        <v>59</v>
      </c>
      <c r="D3941" s="36">
        <f>base!H3941</f>
        <v>196.04</v>
      </c>
      <c r="E3941" s="44"/>
      <c r="F3941" s="16">
        <f>base!W3941</f>
        <v>0</v>
      </c>
      <c r="G3941" s="11">
        <f t="shared" si="610"/>
        <v>0</v>
      </c>
      <c r="H3941" s="11">
        <f t="shared" si="611"/>
        <v>37.247599999999998</v>
      </c>
      <c r="I3941" s="11">
        <f t="shared" si="612"/>
        <v>0.19</v>
      </c>
      <c r="J3941" s="12">
        <f t="shared" si="613"/>
        <v>-37.247599999999998</v>
      </c>
      <c r="K3941" s="17" t="str">
        <f t="shared" si="618"/>
        <v>Ecart négatif</v>
      </c>
      <c r="L3941" s="16">
        <f>base!X3941</f>
        <v>0</v>
      </c>
      <c r="M3941" s="11">
        <f t="shared" si="614"/>
        <v>0</v>
      </c>
      <c r="N3941" s="11">
        <f t="shared" si="615"/>
        <v>0</v>
      </c>
      <c r="O3941" s="11">
        <f t="shared" si="616"/>
        <v>0</v>
      </c>
      <c r="P3941" s="12">
        <f t="shared" si="617"/>
        <v>0</v>
      </c>
      <c r="Q3941" s="17" t="str">
        <f t="shared" si="619"/>
        <v>Pas d'écart</v>
      </c>
    </row>
    <row r="3942" spans="1:17" x14ac:dyDescent="0.3">
      <c r="A3942" s="34" t="str">
        <f>base!J3942</f>
        <v>LM</v>
      </c>
      <c r="B3942" s="34" t="str">
        <f>base!V3942</f>
        <v>63100</v>
      </c>
      <c r="C3942" s="37">
        <v>51</v>
      </c>
      <c r="D3942" s="36">
        <f>base!H3942</f>
        <v>7.99</v>
      </c>
      <c r="E3942" s="44"/>
      <c r="F3942" s="16">
        <f>base!W3942</f>
        <v>2.3199999999999998</v>
      </c>
      <c r="G3942" s="11">
        <f t="shared" si="610"/>
        <v>0.29036295369211512</v>
      </c>
      <c r="H3942" s="11">
        <f t="shared" si="611"/>
        <v>1.9975000000000001</v>
      </c>
      <c r="I3942" s="11">
        <f t="shared" si="612"/>
        <v>0.25</v>
      </c>
      <c r="J3942" s="12">
        <f t="shared" si="613"/>
        <v>0.32249999999999979</v>
      </c>
      <c r="K3942" s="17" t="str">
        <f t="shared" si="618"/>
        <v>Ecart positif</v>
      </c>
      <c r="L3942" s="16">
        <f>base!X3942</f>
        <v>0</v>
      </c>
      <c r="M3942" s="11">
        <f t="shared" si="614"/>
        <v>0</v>
      </c>
      <c r="N3942" s="11">
        <f t="shared" si="615"/>
        <v>1.9975000000000001</v>
      </c>
      <c r="O3942" s="11">
        <f t="shared" si="616"/>
        <v>0.25</v>
      </c>
      <c r="P3942" s="12">
        <f t="shared" si="617"/>
        <v>-1.9975000000000001</v>
      </c>
      <c r="Q3942" s="17" t="str">
        <f t="shared" si="619"/>
        <v>Ecart négatif</v>
      </c>
    </row>
    <row r="3943" spans="1:17" x14ac:dyDescent="0.3">
      <c r="A3943" s="34" t="str">
        <f>base!J3943</f>
        <v>LS</v>
      </c>
      <c r="B3943" s="34" t="str">
        <f>base!V3943</f>
        <v>38000</v>
      </c>
      <c r="C3943" s="37">
        <v>38</v>
      </c>
      <c r="D3943" s="36">
        <f>base!H3943</f>
        <v>30</v>
      </c>
      <c r="E3943" s="44"/>
      <c r="F3943" s="16">
        <f>base!W3943</f>
        <v>8.1</v>
      </c>
      <c r="G3943" s="11">
        <f t="shared" si="610"/>
        <v>0.26999999999999996</v>
      </c>
      <c r="H3943" s="11">
        <f t="shared" si="611"/>
        <v>8.1000000000000014</v>
      </c>
      <c r="I3943" s="11">
        <f t="shared" si="612"/>
        <v>0.27000000000000007</v>
      </c>
      <c r="J3943" s="12">
        <f t="shared" si="613"/>
        <v>0</v>
      </c>
      <c r="K3943" s="17" t="str">
        <f t="shared" si="618"/>
        <v>Pas d'écart</v>
      </c>
      <c r="L3943" s="16">
        <f>base!X3943</f>
        <v>0</v>
      </c>
      <c r="M3943" s="11">
        <f t="shared" si="614"/>
        <v>0</v>
      </c>
      <c r="N3943" s="11">
        <f t="shared" si="615"/>
        <v>0</v>
      </c>
      <c r="O3943" s="11">
        <f t="shared" si="616"/>
        <v>0</v>
      </c>
      <c r="P3943" s="12">
        <f t="shared" si="617"/>
        <v>0</v>
      </c>
      <c r="Q3943" s="17" t="str">
        <f t="shared" si="619"/>
        <v>Pas d'écart</v>
      </c>
    </row>
    <row r="3944" spans="1:17" x14ac:dyDescent="0.3">
      <c r="A3944" s="34" t="str">
        <f>base!J3944</f>
        <v>RS</v>
      </c>
      <c r="B3944" s="34" t="str">
        <f>base!V3944</f>
        <v>17500</v>
      </c>
      <c r="C3944" s="37">
        <v>17</v>
      </c>
      <c r="D3944" s="36">
        <f>base!H3944</f>
        <v>140</v>
      </c>
      <c r="E3944" s="44"/>
      <c r="F3944" s="16">
        <f>base!W3944</f>
        <v>0</v>
      </c>
      <c r="G3944" s="11">
        <f t="shared" si="610"/>
        <v>0</v>
      </c>
      <c r="H3944" s="11">
        <f t="shared" si="611"/>
        <v>29.4</v>
      </c>
      <c r="I3944" s="11">
        <f t="shared" si="612"/>
        <v>0.21</v>
      </c>
      <c r="J3944" s="12">
        <f t="shared" si="613"/>
        <v>-29.4</v>
      </c>
      <c r="K3944" s="17" t="str">
        <f t="shared" si="618"/>
        <v>Ecart négatif</v>
      </c>
      <c r="L3944" s="16">
        <f>base!X3944</f>
        <v>0</v>
      </c>
      <c r="M3944" s="11">
        <f t="shared" si="614"/>
        <v>0</v>
      </c>
      <c r="N3944" s="11">
        <f t="shared" si="615"/>
        <v>23.8</v>
      </c>
      <c r="O3944" s="11">
        <f t="shared" si="616"/>
        <v>0.17</v>
      </c>
      <c r="P3944" s="12">
        <f t="shared" si="617"/>
        <v>-23.8</v>
      </c>
      <c r="Q3944" s="17" t="str">
        <f t="shared" si="619"/>
        <v>Ecart négatif</v>
      </c>
    </row>
    <row r="3945" spans="1:17" x14ac:dyDescent="0.3">
      <c r="A3945" s="34" t="str">
        <f>base!J3945</f>
        <v>LS</v>
      </c>
      <c r="B3945" s="34" t="str">
        <f>base!V3945</f>
        <v>75009</v>
      </c>
      <c r="C3945" s="37">
        <v>75</v>
      </c>
      <c r="D3945" s="36">
        <f>base!H3945</f>
        <v>192.06</v>
      </c>
      <c r="E3945" s="44"/>
      <c r="F3945" s="16">
        <f>base!W3945</f>
        <v>0</v>
      </c>
      <c r="G3945" s="11">
        <f t="shared" si="610"/>
        <v>0</v>
      </c>
      <c r="H3945" s="11">
        <f t="shared" si="611"/>
        <v>0</v>
      </c>
      <c r="I3945" s="11">
        <f t="shared" si="612"/>
        <v>0</v>
      </c>
      <c r="J3945" s="12">
        <f t="shared" si="613"/>
        <v>0</v>
      </c>
      <c r="K3945" s="17" t="str">
        <f t="shared" si="618"/>
        <v>Pas d'écart</v>
      </c>
      <c r="L3945" s="16">
        <f>base!X3945</f>
        <v>0</v>
      </c>
      <c r="M3945" s="11">
        <f t="shared" si="614"/>
        <v>0</v>
      </c>
      <c r="N3945" s="11">
        <f t="shared" si="615"/>
        <v>0</v>
      </c>
      <c r="O3945" s="11">
        <f t="shared" si="616"/>
        <v>0</v>
      </c>
      <c r="P3945" s="12">
        <f t="shared" si="617"/>
        <v>0</v>
      </c>
      <c r="Q3945" s="17" t="str">
        <f t="shared" si="619"/>
        <v>Pas d'écart</v>
      </c>
    </row>
    <row r="3946" spans="1:17" x14ac:dyDescent="0.3">
      <c r="A3946" s="34" t="str">
        <f>base!J3946</f>
        <v>LM</v>
      </c>
      <c r="B3946" s="34" t="str">
        <f>base!V3946</f>
        <v>54940</v>
      </c>
      <c r="C3946" s="37">
        <v>13</v>
      </c>
      <c r="D3946" s="36">
        <f>base!H3946</f>
        <v>129.19999999999999</v>
      </c>
      <c r="E3946" s="44"/>
      <c r="F3946" s="16">
        <f>base!W3946</f>
        <v>32.299999999999997</v>
      </c>
      <c r="G3946" s="11">
        <f t="shared" si="610"/>
        <v>0.25</v>
      </c>
      <c r="H3946" s="11">
        <f t="shared" si="611"/>
        <v>37.467999999999996</v>
      </c>
      <c r="I3946" s="11">
        <f t="shared" si="612"/>
        <v>0.28999999999999998</v>
      </c>
      <c r="J3946" s="12">
        <f t="shared" si="613"/>
        <v>-5.1679999999999993</v>
      </c>
      <c r="K3946" s="17" t="str">
        <f t="shared" si="618"/>
        <v>Ecart négatif</v>
      </c>
      <c r="L3946" s="16">
        <f>base!X3946</f>
        <v>0</v>
      </c>
      <c r="M3946" s="11">
        <f t="shared" si="614"/>
        <v>0</v>
      </c>
      <c r="N3946" s="11">
        <f t="shared" si="615"/>
        <v>24.547999999999998</v>
      </c>
      <c r="O3946" s="11">
        <f t="shared" si="616"/>
        <v>0.19</v>
      </c>
      <c r="P3946" s="12">
        <f t="shared" si="617"/>
        <v>-24.547999999999998</v>
      </c>
      <c r="Q3946" s="17" t="str">
        <f t="shared" si="619"/>
        <v>Ecart négatif</v>
      </c>
    </row>
    <row r="3947" spans="1:17" x14ac:dyDescent="0.3">
      <c r="A3947" s="34">
        <f>base!J3947</f>
        <v>0</v>
      </c>
      <c r="B3947" s="34" t="str">
        <f>base!V3947</f>
        <v/>
      </c>
      <c r="C3947" s="40" t="s">
        <v>11</v>
      </c>
      <c r="D3947" s="36">
        <f>base!H3947</f>
        <v>0</v>
      </c>
      <c r="E3947" s="44"/>
      <c r="F3947" s="16">
        <f>base!W3947</f>
        <v>0</v>
      </c>
      <c r="G3947" s="11" t="e">
        <f t="shared" si="610"/>
        <v>#DIV/0!</v>
      </c>
      <c r="H3947" s="11" t="e">
        <f t="shared" si="611"/>
        <v>#N/A</v>
      </c>
      <c r="I3947" s="11" t="e">
        <f t="shared" si="612"/>
        <v>#N/A</v>
      </c>
      <c r="J3947" s="12" t="e">
        <f t="shared" si="613"/>
        <v>#N/A</v>
      </c>
      <c r="K3947" s="17" t="e">
        <f t="shared" si="618"/>
        <v>#N/A</v>
      </c>
      <c r="L3947" s="16">
        <f>base!X3947</f>
        <v>0</v>
      </c>
      <c r="M3947" s="11" t="e">
        <f t="shared" si="614"/>
        <v>#DIV/0!</v>
      </c>
      <c r="N3947" s="11" t="e">
        <f t="shared" si="615"/>
        <v>#N/A</v>
      </c>
      <c r="O3947" s="11" t="e">
        <f t="shared" si="616"/>
        <v>#N/A</v>
      </c>
      <c r="P3947" s="12" t="e">
        <f t="shared" si="617"/>
        <v>#N/A</v>
      </c>
      <c r="Q3947" s="17" t="e">
        <f t="shared" si="619"/>
        <v>#N/A</v>
      </c>
    </row>
    <row r="3948" spans="1:17" x14ac:dyDescent="0.3">
      <c r="A3948" s="34" t="str">
        <f>base!J3948</f>
        <v>RM</v>
      </c>
      <c r="B3948" s="34" t="str">
        <f>base!V3948</f>
        <v>94550</v>
      </c>
      <c r="C3948" s="37">
        <v>94</v>
      </c>
      <c r="D3948" s="36">
        <f>base!H3948</f>
        <v>25</v>
      </c>
      <c r="E3948" s="44"/>
      <c r="F3948" s="16">
        <f>base!W3948</f>
        <v>0</v>
      </c>
      <c r="G3948" s="11">
        <f t="shared" si="610"/>
        <v>0</v>
      </c>
      <c r="H3948" s="11">
        <f t="shared" si="611"/>
        <v>0</v>
      </c>
      <c r="I3948" s="11">
        <f t="shared" si="612"/>
        <v>0</v>
      </c>
      <c r="J3948" s="12">
        <f t="shared" si="613"/>
        <v>0</v>
      </c>
      <c r="K3948" s="17" t="str">
        <f t="shared" si="618"/>
        <v>Pas d'écart</v>
      </c>
      <c r="L3948" s="16">
        <f>base!X3948</f>
        <v>0</v>
      </c>
      <c r="M3948" s="11">
        <f t="shared" si="614"/>
        <v>0</v>
      </c>
      <c r="N3948" s="11">
        <f t="shared" si="615"/>
        <v>0</v>
      </c>
      <c r="O3948" s="11">
        <f t="shared" si="616"/>
        <v>0</v>
      </c>
      <c r="P3948" s="12">
        <f t="shared" si="617"/>
        <v>0</v>
      </c>
      <c r="Q3948" s="17" t="str">
        <f t="shared" si="619"/>
        <v>Pas d'écart</v>
      </c>
    </row>
    <row r="3949" spans="1:17" x14ac:dyDescent="0.3">
      <c r="A3949" s="34" t="str">
        <f>base!J3949</f>
        <v>RM</v>
      </c>
      <c r="B3949" s="34" t="str">
        <f>base!V3949</f>
        <v>57175</v>
      </c>
      <c r="C3949" s="37">
        <v>57</v>
      </c>
      <c r="D3949" s="36">
        <f>base!H3949</f>
        <v>40</v>
      </c>
      <c r="E3949" s="44"/>
      <c r="F3949" s="16">
        <f>base!W3949</f>
        <v>0</v>
      </c>
      <c r="G3949" s="11">
        <f t="shared" si="610"/>
        <v>0</v>
      </c>
      <c r="H3949" s="11">
        <f t="shared" si="611"/>
        <v>9.6</v>
      </c>
      <c r="I3949" s="11">
        <f t="shared" si="612"/>
        <v>0.24</v>
      </c>
      <c r="J3949" s="12">
        <f t="shared" si="613"/>
        <v>-9.6</v>
      </c>
      <c r="K3949" s="17" t="str">
        <f t="shared" si="618"/>
        <v>Ecart négatif</v>
      </c>
      <c r="L3949" s="16">
        <f>base!X3949</f>
        <v>10</v>
      </c>
      <c r="M3949" s="11">
        <f t="shared" si="614"/>
        <v>0.25</v>
      </c>
      <c r="N3949" s="11">
        <f t="shared" si="615"/>
        <v>10</v>
      </c>
      <c r="O3949" s="11">
        <f t="shared" si="616"/>
        <v>0.25</v>
      </c>
      <c r="P3949" s="12">
        <f t="shared" si="617"/>
        <v>0</v>
      </c>
      <c r="Q3949" s="17" t="str">
        <f t="shared" si="619"/>
        <v>Pas d'écart</v>
      </c>
    </row>
    <row r="3950" spans="1:17" x14ac:dyDescent="0.3">
      <c r="A3950" s="34" t="str">
        <f>base!J3950</f>
        <v>RM</v>
      </c>
      <c r="B3950" s="34" t="str">
        <f>base!V3950</f>
        <v>69100</v>
      </c>
      <c r="C3950" s="37">
        <v>69</v>
      </c>
      <c r="D3950" s="36">
        <f>base!H3950</f>
        <v>180</v>
      </c>
      <c r="E3950" s="44"/>
      <c r="F3950" s="16">
        <f>base!W3950</f>
        <v>0</v>
      </c>
      <c r="G3950" s="11">
        <f t="shared" si="610"/>
        <v>0</v>
      </c>
      <c r="H3950" s="11">
        <f t="shared" si="611"/>
        <v>48.6</v>
      </c>
      <c r="I3950" s="11">
        <f t="shared" si="612"/>
        <v>0.27</v>
      </c>
      <c r="J3950" s="12">
        <f t="shared" si="613"/>
        <v>-48.6</v>
      </c>
      <c r="K3950" s="17" t="str">
        <f t="shared" si="618"/>
        <v>Ecart négatif</v>
      </c>
      <c r="L3950" s="16">
        <f>base!X3950</f>
        <v>0</v>
      </c>
      <c r="M3950" s="11">
        <f t="shared" si="614"/>
        <v>0</v>
      </c>
      <c r="N3950" s="11">
        <f t="shared" si="615"/>
        <v>0</v>
      </c>
      <c r="O3950" s="11">
        <f t="shared" si="616"/>
        <v>0</v>
      </c>
      <c r="P3950" s="12">
        <f t="shared" si="617"/>
        <v>0</v>
      </c>
      <c r="Q3950" s="17" t="str">
        <f t="shared" si="619"/>
        <v>Pas d'écart</v>
      </c>
    </row>
    <row r="3951" spans="1:17" x14ac:dyDescent="0.3">
      <c r="A3951" s="34" t="str">
        <f>base!J3951</f>
        <v>RM</v>
      </c>
      <c r="B3951" s="34" t="str">
        <f>base!V3951</f>
        <v>69100</v>
      </c>
      <c r="C3951" s="37">
        <v>69</v>
      </c>
      <c r="D3951" s="36">
        <f>base!H3951</f>
        <v>196.6</v>
      </c>
      <c r="E3951" s="44"/>
      <c r="F3951" s="16">
        <f>base!W3951</f>
        <v>0</v>
      </c>
      <c r="G3951" s="11">
        <f t="shared" si="610"/>
        <v>0</v>
      </c>
      <c r="H3951" s="11">
        <f t="shared" si="611"/>
        <v>53.082000000000001</v>
      </c>
      <c r="I3951" s="11">
        <f t="shared" si="612"/>
        <v>0.27</v>
      </c>
      <c r="J3951" s="12">
        <f t="shared" si="613"/>
        <v>-53.082000000000001</v>
      </c>
      <c r="K3951" s="17" t="str">
        <f t="shared" si="618"/>
        <v>Ecart négatif</v>
      </c>
      <c r="L3951" s="16">
        <f>base!X3951</f>
        <v>0</v>
      </c>
      <c r="M3951" s="11">
        <f t="shared" si="614"/>
        <v>0</v>
      </c>
      <c r="N3951" s="11">
        <f t="shared" si="615"/>
        <v>0</v>
      </c>
      <c r="O3951" s="11">
        <f t="shared" si="616"/>
        <v>0</v>
      </c>
      <c r="P3951" s="12">
        <f t="shared" si="617"/>
        <v>0</v>
      </c>
      <c r="Q3951" s="17" t="str">
        <f t="shared" si="619"/>
        <v>Pas d'écart</v>
      </c>
    </row>
    <row r="3952" spans="1:17" x14ac:dyDescent="0.3">
      <c r="A3952" s="34" t="str">
        <f>base!J3952</f>
        <v>RM</v>
      </c>
      <c r="B3952" s="34" t="str">
        <f>base!V3952</f>
        <v>38420</v>
      </c>
      <c r="C3952" s="37">
        <v>38</v>
      </c>
      <c r="D3952" s="36">
        <f>base!H3952</f>
        <v>205</v>
      </c>
      <c r="E3952" s="44"/>
      <c r="F3952" s="16">
        <f>base!W3952</f>
        <v>0</v>
      </c>
      <c r="G3952" s="11">
        <f t="shared" si="610"/>
        <v>0</v>
      </c>
      <c r="H3952" s="11">
        <f t="shared" si="611"/>
        <v>55.35</v>
      </c>
      <c r="I3952" s="11">
        <f t="shared" si="612"/>
        <v>0.27</v>
      </c>
      <c r="J3952" s="12">
        <f t="shared" si="613"/>
        <v>-55.35</v>
      </c>
      <c r="K3952" s="17" t="str">
        <f t="shared" si="618"/>
        <v>Ecart négatif</v>
      </c>
      <c r="L3952" s="16">
        <f>base!X3952</f>
        <v>0</v>
      </c>
      <c r="M3952" s="11">
        <f t="shared" si="614"/>
        <v>0</v>
      </c>
      <c r="N3952" s="11">
        <f t="shared" si="615"/>
        <v>0</v>
      </c>
      <c r="O3952" s="11">
        <f t="shared" si="616"/>
        <v>0</v>
      </c>
      <c r="P3952" s="12">
        <f t="shared" si="617"/>
        <v>0</v>
      </c>
      <c r="Q3952" s="17" t="str">
        <f t="shared" si="619"/>
        <v>Pas d'écart</v>
      </c>
    </row>
    <row r="3953" spans="1:18" x14ac:dyDescent="0.3">
      <c r="A3953" s="34" t="str">
        <f>base!J3953</f>
        <v>RS</v>
      </c>
      <c r="B3953" s="34" t="str">
        <f>base!V3953</f>
        <v>84000</v>
      </c>
      <c r="C3953" s="37">
        <v>84</v>
      </c>
      <c r="D3953" s="36">
        <f>base!H3953</f>
        <v>70</v>
      </c>
      <c r="E3953" s="44"/>
      <c r="F3953" s="16">
        <f>base!W3953</f>
        <v>0</v>
      </c>
      <c r="G3953" s="11">
        <f t="shared" si="610"/>
        <v>0</v>
      </c>
      <c r="H3953" s="11">
        <f t="shared" si="611"/>
        <v>20.299999999999997</v>
      </c>
      <c r="I3953" s="11">
        <f t="shared" si="612"/>
        <v>0.28999999999999998</v>
      </c>
      <c r="J3953" s="12">
        <f t="shared" si="613"/>
        <v>-20.299999999999997</v>
      </c>
      <c r="K3953" s="17" t="str">
        <f t="shared" si="618"/>
        <v>Ecart négatif</v>
      </c>
      <c r="L3953" s="16">
        <f>base!X3953</f>
        <v>32.200000000000003</v>
      </c>
      <c r="M3953" s="11">
        <f t="shared" si="614"/>
        <v>0.46</v>
      </c>
      <c r="N3953" s="11">
        <f t="shared" si="615"/>
        <v>13.3</v>
      </c>
      <c r="O3953" s="11">
        <f t="shared" si="616"/>
        <v>0.19</v>
      </c>
      <c r="P3953" s="12">
        <f t="shared" si="617"/>
        <v>18.900000000000002</v>
      </c>
      <c r="Q3953" s="17" t="str">
        <f t="shared" si="619"/>
        <v>Ecart positif</v>
      </c>
      <c r="R3953" s="38"/>
    </row>
    <row r="3954" spans="1:18" x14ac:dyDescent="0.3">
      <c r="A3954" s="34" t="str">
        <f>base!J3954</f>
        <v>LS</v>
      </c>
      <c r="B3954" s="34" t="str">
        <f>base!V3954</f>
        <v>69400</v>
      </c>
      <c r="C3954" s="37">
        <v>13</v>
      </c>
      <c r="D3954" s="36">
        <f>base!H3954</f>
        <v>136.65</v>
      </c>
      <c r="E3954" s="44"/>
      <c r="F3954" s="16">
        <f>base!W3954</f>
        <v>36.9</v>
      </c>
      <c r="G3954" s="11">
        <f t="shared" si="610"/>
        <v>0.27003293084522501</v>
      </c>
      <c r="H3954" s="11">
        <f t="shared" si="611"/>
        <v>39.628499999999995</v>
      </c>
      <c r="I3954" s="11">
        <f t="shared" si="612"/>
        <v>0.28999999999999998</v>
      </c>
      <c r="J3954" s="12">
        <f t="shared" si="613"/>
        <v>-2.7284999999999968</v>
      </c>
      <c r="K3954" s="17" t="str">
        <f t="shared" si="618"/>
        <v>Ecart négatif</v>
      </c>
      <c r="L3954" s="16">
        <f>base!X3954</f>
        <v>0</v>
      </c>
      <c r="M3954" s="11">
        <f t="shared" si="614"/>
        <v>0</v>
      </c>
      <c r="N3954" s="11">
        <f t="shared" si="615"/>
        <v>25.9635</v>
      </c>
      <c r="O3954" s="11">
        <f t="shared" si="616"/>
        <v>0.19</v>
      </c>
      <c r="P3954" s="12">
        <f t="shared" si="617"/>
        <v>-25.9635</v>
      </c>
      <c r="Q3954" s="17" t="str">
        <f t="shared" si="619"/>
        <v>Ecart négatif</v>
      </c>
    </row>
    <row r="3955" spans="1:18" x14ac:dyDescent="0.3">
      <c r="A3955" s="34" t="str">
        <f>base!J3955</f>
        <v>LM</v>
      </c>
      <c r="B3955" s="34" t="str">
        <f>base!V3955</f>
        <v>14200</v>
      </c>
      <c r="C3955" s="37">
        <v>88</v>
      </c>
      <c r="D3955" s="36">
        <f>base!H3955</f>
        <v>55.16</v>
      </c>
      <c r="E3955" s="44"/>
      <c r="F3955" s="16">
        <f>base!W3955</f>
        <v>9.3800000000000008</v>
      </c>
      <c r="G3955" s="11">
        <f t="shared" si="610"/>
        <v>0.17005076142131983</v>
      </c>
      <c r="H3955" s="11">
        <f t="shared" si="611"/>
        <v>15.444800000000001</v>
      </c>
      <c r="I3955" s="11">
        <f t="shared" si="612"/>
        <v>0.28000000000000003</v>
      </c>
      <c r="J3955" s="12">
        <f t="shared" si="613"/>
        <v>-6.0648</v>
      </c>
      <c r="K3955" s="17" t="str">
        <f t="shared" si="618"/>
        <v>Ecart négatif</v>
      </c>
      <c r="L3955" s="16">
        <f>base!X3955</f>
        <v>0</v>
      </c>
      <c r="M3955" s="11">
        <f t="shared" si="614"/>
        <v>0</v>
      </c>
      <c r="N3955" s="11">
        <f t="shared" si="615"/>
        <v>4.4127999999999998</v>
      </c>
      <c r="O3955" s="11">
        <f t="shared" si="616"/>
        <v>0.08</v>
      </c>
      <c r="P3955" s="12">
        <f t="shared" si="617"/>
        <v>-4.4127999999999998</v>
      </c>
      <c r="Q3955" s="17" t="str">
        <f t="shared" si="619"/>
        <v>Ecart négatif</v>
      </c>
    </row>
    <row r="3956" spans="1:18" x14ac:dyDescent="0.3">
      <c r="A3956" s="34" t="str">
        <f>base!J3956</f>
        <v>RM</v>
      </c>
      <c r="B3956" s="34" t="str">
        <f>base!V3956</f>
        <v>50440</v>
      </c>
      <c r="C3956" s="37">
        <v>50</v>
      </c>
      <c r="D3956" s="36">
        <f>base!H3956</f>
        <v>198.04</v>
      </c>
      <c r="E3956" s="44"/>
      <c r="F3956" s="16">
        <f>base!W3956</f>
        <v>0</v>
      </c>
      <c r="G3956" s="11">
        <f t="shared" si="610"/>
        <v>0</v>
      </c>
      <c r="H3956" s="11">
        <f t="shared" si="611"/>
        <v>33.666800000000002</v>
      </c>
      <c r="I3956" s="11">
        <f t="shared" si="612"/>
        <v>0.17</v>
      </c>
      <c r="J3956" s="12">
        <f t="shared" si="613"/>
        <v>-33.666800000000002</v>
      </c>
      <c r="K3956" s="17" t="str">
        <f t="shared" si="618"/>
        <v>Ecart négatif</v>
      </c>
      <c r="L3956" s="16">
        <f>base!X3956</f>
        <v>33.67</v>
      </c>
      <c r="M3956" s="11">
        <f t="shared" si="614"/>
        <v>0.17001615835184813</v>
      </c>
      <c r="N3956" s="11">
        <f t="shared" si="615"/>
        <v>33.666800000000002</v>
      </c>
      <c r="O3956" s="11">
        <f t="shared" si="616"/>
        <v>0.17</v>
      </c>
      <c r="P3956" s="12">
        <f t="shared" si="617"/>
        <v>3.1999999999996476E-3</v>
      </c>
      <c r="Q3956" s="17" t="str">
        <f t="shared" si="619"/>
        <v>Ecart positif</v>
      </c>
      <c r="R3956" s="38"/>
    </row>
    <row r="3957" spans="1:18" x14ac:dyDescent="0.3">
      <c r="A3957" s="34" t="str">
        <f>base!J3957</f>
        <v>RS</v>
      </c>
      <c r="B3957" s="34" t="str">
        <f>base!V3957</f>
        <v>41000</v>
      </c>
      <c r="C3957" s="37">
        <v>41</v>
      </c>
      <c r="D3957" s="36">
        <f>base!H3957</f>
        <v>141.25</v>
      </c>
      <c r="E3957" s="44"/>
      <c r="F3957" s="16">
        <f>base!W3957</f>
        <v>0</v>
      </c>
      <c r="G3957" s="11">
        <f t="shared" si="610"/>
        <v>0</v>
      </c>
      <c r="H3957" s="11">
        <f t="shared" si="611"/>
        <v>29.662499999999998</v>
      </c>
      <c r="I3957" s="11">
        <f t="shared" si="612"/>
        <v>0.21</v>
      </c>
      <c r="J3957" s="12">
        <f t="shared" si="613"/>
        <v>-29.662499999999998</v>
      </c>
      <c r="K3957" s="17" t="str">
        <f t="shared" si="618"/>
        <v>Ecart négatif</v>
      </c>
      <c r="L3957" s="16">
        <f>base!X3957</f>
        <v>0</v>
      </c>
      <c r="M3957" s="11">
        <f t="shared" si="614"/>
        <v>0</v>
      </c>
      <c r="N3957" s="11">
        <f t="shared" si="615"/>
        <v>16.95</v>
      </c>
      <c r="O3957" s="11">
        <f t="shared" si="616"/>
        <v>0.12</v>
      </c>
      <c r="P3957" s="12">
        <f t="shared" si="617"/>
        <v>-16.95</v>
      </c>
      <c r="Q3957" s="17" t="str">
        <f t="shared" si="619"/>
        <v>Ecart négatif</v>
      </c>
    </row>
    <row r="3958" spans="1:18" x14ac:dyDescent="0.3">
      <c r="A3958" s="34" t="str">
        <f>base!J3958</f>
        <v>RS</v>
      </c>
      <c r="B3958" s="34" t="str">
        <f>base!V3958</f>
        <v>29200</v>
      </c>
      <c r="C3958" s="37">
        <v>29</v>
      </c>
      <c r="D3958" s="36">
        <f>base!H3958</f>
        <v>180</v>
      </c>
      <c r="E3958" s="44"/>
      <c r="F3958" s="16">
        <f>base!W3958</f>
        <v>0</v>
      </c>
      <c r="G3958" s="11">
        <f t="shared" si="610"/>
        <v>0</v>
      </c>
      <c r="H3958" s="11">
        <f t="shared" si="611"/>
        <v>70.2</v>
      </c>
      <c r="I3958" s="11">
        <f t="shared" si="612"/>
        <v>0.39</v>
      </c>
      <c r="J3958" s="12">
        <f t="shared" si="613"/>
        <v>-70.2</v>
      </c>
      <c r="K3958" s="17" t="str">
        <f t="shared" si="618"/>
        <v>Ecart négatif</v>
      </c>
      <c r="L3958" s="16">
        <f>base!X3958</f>
        <v>0</v>
      </c>
      <c r="M3958" s="11">
        <f t="shared" si="614"/>
        <v>0</v>
      </c>
      <c r="N3958" s="11">
        <f t="shared" si="615"/>
        <v>21.599999999999998</v>
      </c>
      <c r="O3958" s="11">
        <f t="shared" si="616"/>
        <v>0.11999999999999998</v>
      </c>
      <c r="P3958" s="12">
        <f t="shared" si="617"/>
        <v>-21.599999999999998</v>
      </c>
      <c r="Q3958" s="17" t="str">
        <f t="shared" si="619"/>
        <v>Ecart négatif</v>
      </c>
    </row>
    <row r="3959" spans="1:18" x14ac:dyDescent="0.3">
      <c r="A3959" s="34" t="str">
        <f>base!J3959</f>
        <v>RS</v>
      </c>
      <c r="B3959" s="34" t="str">
        <f>base!V3959</f>
        <v>75014</v>
      </c>
      <c r="C3959" s="37">
        <v>75</v>
      </c>
      <c r="D3959" s="36">
        <f>base!H3959</f>
        <v>140</v>
      </c>
      <c r="E3959" s="44"/>
      <c r="F3959" s="16">
        <f>base!W3959</f>
        <v>0</v>
      </c>
      <c r="G3959" s="11">
        <f t="shared" si="610"/>
        <v>0</v>
      </c>
      <c r="H3959" s="11">
        <f t="shared" si="611"/>
        <v>0</v>
      </c>
      <c r="I3959" s="11">
        <f t="shared" si="612"/>
        <v>0</v>
      </c>
      <c r="J3959" s="12">
        <f t="shared" si="613"/>
        <v>0</v>
      </c>
      <c r="K3959" s="17" t="str">
        <f t="shared" si="618"/>
        <v>Pas d'écart</v>
      </c>
      <c r="L3959" s="16">
        <f>base!X3959</f>
        <v>0</v>
      </c>
      <c r="M3959" s="11">
        <f t="shared" si="614"/>
        <v>0</v>
      </c>
      <c r="N3959" s="11">
        <f t="shared" si="615"/>
        <v>0</v>
      </c>
      <c r="O3959" s="11">
        <f t="shared" si="616"/>
        <v>0</v>
      </c>
      <c r="P3959" s="12">
        <f t="shared" si="617"/>
        <v>0</v>
      </c>
      <c r="Q3959" s="17" t="str">
        <f t="shared" si="619"/>
        <v>Pas d'écart</v>
      </c>
    </row>
    <row r="3960" spans="1:18" x14ac:dyDescent="0.3">
      <c r="A3960" s="34" t="str">
        <f>base!J3960</f>
        <v>LM</v>
      </c>
      <c r="B3960" s="34" t="str">
        <f>base!V3960</f>
        <v>61250</v>
      </c>
      <c r="C3960" s="37">
        <v>13</v>
      </c>
      <c r="D3960" s="36">
        <f>base!H3960</f>
        <v>40.049999999999997</v>
      </c>
      <c r="E3960" s="44"/>
      <c r="F3960" s="16">
        <f>base!W3960</f>
        <v>6.81</v>
      </c>
      <c r="G3960" s="11">
        <f t="shared" si="610"/>
        <v>0.17003745318352059</v>
      </c>
      <c r="H3960" s="11">
        <f t="shared" si="611"/>
        <v>11.614499999999998</v>
      </c>
      <c r="I3960" s="11">
        <f t="shared" si="612"/>
        <v>0.28999999999999998</v>
      </c>
      <c r="J3960" s="12">
        <f t="shared" si="613"/>
        <v>-4.8044999999999982</v>
      </c>
      <c r="K3960" s="17" t="str">
        <f t="shared" si="618"/>
        <v>Ecart négatif</v>
      </c>
      <c r="L3960" s="16">
        <f>base!X3960</f>
        <v>0</v>
      </c>
      <c r="M3960" s="11">
        <f t="shared" si="614"/>
        <v>0</v>
      </c>
      <c r="N3960" s="11">
        <f t="shared" si="615"/>
        <v>7.6094999999999997</v>
      </c>
      <c r="O3960" s="11">
        <f t="shared" si="616"/>
        <v>0.19</v>
      </c>
      <c r="P3960" s="12">
        <f t="shared" si="617"/>
        <v>-7.6094999999999997</v>
      </c>
      <c r="Q3960" s="17" t="str">
        <f t="shared" si="619"/>
        <v>Ecart négatif</v>
      </c>
    </row>
    <row r="3961" spans="1:18" x14ac:dyDescent="0.3">
      <c r="A3961" s="34" t="str">
        <f>base!J3961</f>
        <v>RS</v>
      </c>
      <c r="B3961" s="34" t="str">
        <f>base!V3961</f>
        <v>77380</v>
      </c>
      <c r="C3961" s="37">
        <v>77</v>
      </c>
      <c r="D3961" s="36">
        <f>base!H3961</f>
        <v>70</v>
      </c>
      <c r="E3961" s="44"/>
      <c r="F3961" s="16">
        <f>base!W3961</f>
        <v>0</v>
      </c>
      <c r="G3961" s="11">
        <f t="shared" si="610"/>
        <v>0</v>
      </c>
      <c r="H3961" s="11">
        <f t="shared" si="611"/>
        <v>0</v>
      </c>
      <c r="I3961" s="11">
        <f t="shared" si="612"/>
        <v>0</v>
      </c>
      <c r="J3961" s="12">
        <f t="shared" si="613"/>
        <v>0</v>
      </c>
      <c r="K3961" s="17" t="str">
        <f t="shared" si="618"/>
        <v>Pas d'écart</v>
      </c>
      <c r="L3961" s="16">
        <f>base!X3961</f>
        <v>0</v>
      </c>
      <c r="M3961" s="11">
        <f t="shared" si="614"/>
        <v>0</v>
      </c>
      <c r="N3961" s="11">
        <f t="shared" si="615"/>
        <v>0</v>
      </c>
      <c r="O3961" s="11">
        <f t="shared" si="616"/>
        <v>0</v>
      </c>
      <c r="P3961" s="12">
        <f t="shared" si="617"/>
        <v>0</v>
      </c>
      <c r="Q3961" s="17" t="str">
        <f t="shared" si="619"/>
        <v>Pas d'écart</v>
      </c>
    </row>
    <row r="3962" spans="1:18" x14ac:dyDescent="0.3">
      <c r="A3962" s="34" t="str">
        <f>base!J3962</f>
        <v>RM</v>
      </c>
      <c r="B3962" s="34" t="str">
        <f>base!V3962</f>
        <v>69120</v>
      </c>
      <c r="C3962" s="37">
        <v>69</v>
      </c>
      <c r="D3962" s="36">
        <f>base!H3962</f>
        <v>20</v>
      </c>
      <c r="E3962" s="44"/>
      <c r="F3962" s="16">
        <f>base!W3962</f>
        <v>0</v>
      </c>
      <c r="G3962" s="11">
        <f t="shared" si="610"/>
        <v>0</v>
      </c>
      <c r="H3962" s="11">
        <f t="shared" si="611"/>
        <v>5.4</v>
      </c>
      <c r="I3962" s="11">
        <f t="shared" si="612"/>
        <v>0.27</v>
      </c>
      <c r="J3962" s="12">
        <f t="shared" si="613"/>
        <v>-5.4</v>
      </c>
      <c r="K3962" s="17" t="str">
        <f t="shared" si="618"/>
        <v>Ecart négatif</v>
      </c>
      <c r="L3962" s="16">
        <f>base!X3962</f>
        <v>0</v>
      </c>
      <c r="M3962" s="11">
        <f t="shared" si="614"/>
        <v>0</v>
      </c>
      <c r="N3962" s="11">
        <f t="shared" si="615"/>
        <v>0</v>
      </c>
      <c r="O3962" s="11">
        <f t="shared" si="616"/>
        <v>0</v>
      </c>
      <c r="P3962" s="12">
        <f t="shared" si="617"/>
        <v>0</v>
      </c>
      <c r="Q3962" s="17" t="str">
        <f t="shared" si="619"/>
        <v>Pas d'écart</v>
      </c>
    </row>
    <row r="3963" spans="1:18" x14ac:dyDescent="0.3">
      <c r="A3963" s="34" t="str">
        <f>base!J3963</f>
        <v>RS</v>
      </c>
      <c r="B3963" s="34" t="str">
        <f>base!V3963</f>
        <v>02300</v>
      </c>
      <c r="C3963" s="37">
        <v>2</v>
      </c>
      <c r="D3963" s="36">
        <f>base!H3963</f>
        <v>140.69999999999999</v>
      </c>
      <c r="E3963" s="44"/>
      <c r="F3963" s="16">
        <f>base!W3963</f>
        <v>0</v>
      </c>
      <c r="G3963" s="11">
        <f t="shared" si="610"/>
        <v>0</v>
      </c>
      <c r="H3963" s="11">
        <f t="shared" si="611"/>
        <v>25.325999999999997</v>
      </c>
      <c r="I3963" s="11">
        <f t="shared" si="612"/>
        <v>0.18</v>
      </c>
      <c r="J3963" s="12">
        <f t="shared" si="613"/>
        <v>-25.325999999999997</v>
      </c>
      <c r="K3963" s="17" t="str">
        <f t="shared" si="618"/>
        <v>Ecart négatif</v>
      </c>
      <c r="L3963" s="16">
        <f>base!X3963</f>
        <v>0</v>
      </c>
      <c r="M3963" s="11">
        <f t="shared" si="614"/>
        <v>0</v>
      </c>
      <c r="N3963" s="11">
        <f t="shared" si="615"/>
        <v>0</v>
      </c>
      <c r="O3963" s="11">
        <f t="shared" si="616"/>
        <v>0</v>
      </c>
      <c r="P3963" s="12">
        <f t="shared" si="617"/>
        <v>0</v>
      </c>
      <c r="Q3963" s="17" t="str">
        <f t="shared" si="619"/>
        <v>Pas d'écart</v>
      </c>
    </row>
    <row r="3964" spans="1:18" x14ac:dyDescent="0.3">
      <c r="A3964" s="34" t="str">
        <f>base!J3964</f>
        <v>RS</v>
      </c>
      <c r="B3964" s="34" t="str">
        <f>base!V3964</f>
        <v>57950</v>
      </c>
      <c r="C3964" s="37">
        <v>57</v>
      </c>
      <c r="D3964" s="36">
        <f>base!H3964</f>
        <v>160.97999999999999</v>
      </c>
      <c r="E3964" s="44"/>
      <c r="F3964" s="16">
        <f>base!W3964</f>
        <v>0</v>
      </c>
      <c r="G3964" s="11">
        <f t="shared" si="610"/>
        <v>0</v>
      </c>
      <c r="H3964" s="11">
        <f t="shared" si="611"/>
        <v>38.635199999999998</v>
      </c>
      <c r="I3964" s="11">
        <f t="shared" si="612"/>
        <v>0.24</v>
      </c>
      <c r="J3964" s="12">
        <f t="shared" si="613"/>
        <v>-38.635199999999998</v>
      </c>
      <c r="K3964" s="17" t="str">
        <f t="shared" si="618"/>
        <v>Ecart négatif</v>
      </c>
      <c r="L3964" s="16">
        <f>base!X3964</f>
        <v>40.25</v>
      </c>
      <c r="M3964" s="11">
        <f t="shared" si="614"/>
        <v>0.25003105975897627</v>
      </c>
      <c r="N3964" s="11">
        <f t="shared" si="615"/>
        <v>40.244999999999997</v>
      </c>
      <c r="O3964" s="11">
        <f t="shared" si="616"/>
        <v>0.25</v>
      </c>
      <c r="P3964" s="12">
        <f t="shared" si="617"/>
        <v>5.000000000002558E-3</v>
      </c>
      <c r="Q3964" s="17" t="str">
        <f t="shared" si="619"/>
        <v>Ecart positif</v>
      </c>
      <c r="R3964" s="38"/>
    </row>
    <row r="3965" spans="1:18" x14ac:dyDescent="0.3">
      <c r="A3965" s="34" t="str">
        <f>base!J3965</f>
        <v>DLM</v>
      </c>
      <c r="B3965" s="34" t="str">
        <f>base!V3965</f>
        <v>57550</v>
      </c>
      <c r="C3965" s="37">
        <v>57</v>
      </c>
      <c r="D3965" s="36">
        <f>base!H3965</f>
        <v>151</v>
      </c>
      <c r="E3965" s="44"/>
      <c r="F3965" s="16">
        <f>base!W3965</f>
        <v>0</v>
      </c>
      <c r="G3965" s="11">
        <f t="shared" si="610"/>
        <v>0</v>
      </c>
      <c r="H3965" s="11">
        <f t="shared" si="611"/>
        <v>36.24</v>
      </c>
      <c r="I3965" s="11">
        <f t="shared" si="612"/>
        <v>0.24000000000000002</v>
      </c>
      <c r="J3965" s="12">
        <f t="shared" si="613"/>
        <v>-36.24</v>
      </c>
      <c r="K3965" s="17" t="str">
        <f t="shared" si="618"/>
        <v>Ecart négatif</v>
      </c>
      <c r="L3965" s="16">
        <f>base!X3965</f>
        <v>40.770000000000003</v>
      </c>
      <c r="M3965" s="11">
        <f t="shared" si="614"/>
        <v>0.27</v>
      </c>
      <c r="N3965" s="11">
        <f t="shared" si="615"/>
        <v>37.75</v>
      </c>
      <c r="O3965" s="11">
        <f t="shared" si="616"/>
        <v>0.25</v>
      </c>
      <c r="P3965" s="12">
        <f t="shared" si="617"/>
        <v>3.0200000000000031</v>
      </c>
      <c r="Q3965" s="17" t="str">
        <f t="shared" si="619"/>
        <v>Ecart positif</v>
      </c>
    </row>
    <row r="3966" spans="1:18" x14ac:dyDescent="0.3">
      <c r="A3966" s="34" t="str">
        <f>base!J3966</f>
        <v>DLM</v>
      </c>
      <c r="B3966" s="34" t="str">
        <f>base!V3966</f>
        <v>37000</v>
      </c>
      <c r="C3966" s="37">
        <v>37</v>
      </c>
      <c r="D3966" s="36">
        <f>base!H3966</f>
        <v>195.34</v>
      </c>
      <c r="E3966" s="44"/>
      <c r="F3966" s="16">
        <f>base!W3966</f>
        <v>0</v>
      </c>
      <c r="G3966" s="11">
        <f t="shared" si="610"/>
        <v>0</v>
      </c>
      <c r="H3966" s="11">
        <f t="shared" si="611"/>
        <v>37.114600000000003</v>
      </c>
      <c r="I3966" s="11">
        <f t="shared" si="612"/>
        <v>0.19</v>
      </c>
      <c r="J3966" s="12">
        <f t="shared" si="613"/>
        <v>-37.114600000000003</v>
      </c>
      <c r="K3966" s="17" t="str">
        <f t="shared" si="618"/>
        <v>Ecart négatif</v>
      </c>
      <c r="L3966" s="16">
        <f>base!X3966</f>
        <v>0</v>
      </c>
      <c r="M3966" s="11">
        <f t="shared" si="614"/>
        <v>0</v>
      </c>
      <c r="N3966" s="11">
        <f t="shared" si="615"/>
        <v>23.440799999999999</v>
      </c>
      <c r="O3966" s="11">
        <f t="shared" si="616"/>
        <v>0.12</v>
      </c>
      <c r="P3966" s="12">
        <f t="shared" si="617"/>
        <v>-23.440799999999999</v>
      </c>
      <c r="Q3966" s="17" t="str">
        <f t="shared" si="619"/>
        <v>Ecart négatif</v>
      </c>
    </row>
    <row r="3967" spans="1:18" x14ac:dyDescent="0.3">
      <c r="A3967" s="34" t="str">
        <f>base!J3967</f>
        <v>RS</v>
      </c>
      <c r="B3967" s="34" t="str">
        <f>base!V3967</f>
        <v>54400</v>
      </c>
      <c r="C3967" s="37">
        <v>54</v>
      </c>
      <c r="D3967" s="36">
        <f>base!H3967</f>
        <v>140</v>
      </c>
      <c r="E3967" s="44"/>
      <c r="F3967" s="16">
        <f>base!W3967</f>
        <v>0</v>
      </c>
      <c r="G3967" s="11">
        <f t="shared" si="610"/>
        <v>0</v>
      </c>
      <c r="H3967" s="11">
        <f t="shared" si="611"/>
        <v>35</v>
      </c>
      <c r="I3967" s="11">
        <f t="shared" si="612"/>
        <v>0.25</v>
      </c>
      <c r="J3967" s="12">
        <f t="shared" si="613"/>
        <v>-35</v>
      </c>
      <c r="K3967" s="17" t="str">
        <f t="shared" si="618"/>
        <v>Ecart négatif</v>
      </c>
      <c r="L3967" s="16">
        <f>base!X3967</f>
        <v>35</v>
      </c>
      <c r="M3967" s="11">
        <f t="shared" si="614"/>
        <v>0.25</v>
      </c>
      <c r="N3967" s="11">
        <f t="shared" si="615"/>
        <v>35</v>
      </c>
      <c r="O3967" s="11">
        <f t="shared" si="616"/>
        <v>0.25</v>
      </c>
      <c r="P3967" s="12">
        <f t="shared" si="617"/>
        <v>0</v>
      </c>
      <c r="Q3967" s="17" t="str">
        <f t="shared" si="619"/>
        <v>Pas d'écart</v>
      </c>
    </row>
    <row r="3968" spans="1:18" x14ac:dyDescent="0.3">
      <c r="A3968" s="34" t="str">
        <f>base!J3968</f>
        <v>DLS</v>
      </c>
      <c r="B3968" s="34" t="str">
        <f>base!V3968</f>
        <v>18000</v>
      </c>
      <c r="C3968" s="37">
        <v>18</v>
      </c>
      <c r="D3968" s="36">
        <f>base!H3968</f>
        <v>155.36000000000001</v>
      </c>
      <c r="E3968" s="44"/>
      <c r="F3968" s="16">
        <f>base!W3968</f>
        <v>0</v>
      </c>
      <c r="G3968" s="11">
        <f t="shared" si="610"/>
        <v>0</v>
      </c>
      <c r="H3968" s="11">
        <f t="shared" si="611"/>
        <v>32.625599999999999</v>
      </c>
      <c r="I3968" s="11">
        <f t="shared" si="612"/>
        <v>0.20999999999999996</v>
      </c>
      <c r="J3968" s="12">
        <f t="shared" si="613"/>
        <v>-32.625599999999999</v>
      </c>
      <c r="K3968" s="17" t="str">
        <f t="shared" si="618"/>
        <v>Ecart négatif</v>
      </c>
      <c r="L3968" s="16">
        <f>base!X3968</f>
        <v>0</v>
      </c>
      <c r="M3968" s="11">
        <f t="shared" si="614"/>
        <v>0</v>
      </c>
      <c r="N3968" s="11">
        <f t="shared" si="615"/>
        <v>18.6432</v>
      </c>
      <c r="O3968" s="11">
        <f t="shared" si="616"/>
        <v>0.12</v>
      </c>
      <c r="P3968" s="12">
        <f t="shared" si="617"/>
        <v>-18.6432</v>
      </c>
      <c r="Q3968" s="17" t="str">
        <f t="shared" si="619"/>
        <v>Ecart négatif</v>
      </c>
    </row>
    <row r="3969" spans="1:18" x14ac:dyDescent="0.3">
      <c r="A3969" s="34" t="str">
        <f>base!J3969</f>
        <v>RM</v>
      </c>
      <c r="B3969" s="34" t="str">
        <f>base!V3969</f>
        <v>69200</v>
      </c>
      <c r="C3969" s="37">
        <v>69</v>
      </c>
      <c r="D3969" s="36">
        <f>base!H3969</f>
        <v>32.6</v>
      </c>
      <c r="E3969" s="44"/>
      <c r="F3969" s="16">
        <f>base!W3969</f>
        <v>0</v>
      </c>
      <c r="G3969" s="11">
        <f t="shared" si="610"/>
        <v>0</v>
      </c>
      <c r="H3969" s="11">
        <f t="shared" si="611"/>
        <v>8.8020000000000014</v>
      </c>
      <c r="I3969" s="11">
        <f t="shared" si="612"/>
        <v>0.27</v>
      </c>
      <c r="J3969" s="12">
        <f t="shared" si="613"/>
        <v>-8.8020000000000014</v>
      </c>
      <c r="K3969" s="17" t="str">
        <f t="shared" si="618"/>
        <v>Ecart négatif</v>
      </c>
      <c r="L3969" s="16">
        <f>base!X3969</f>
        <v>0</v>
      </c>
      <c r="M3969" s="11">
        <f t="shared" si="614"/>
        <v>0</v>
      </c>
      <c r="N3969" s="11">
        <f t="shared" si="615"/>
        <v>0</v>
      </c>
      <c r="O3969" s="11">
        <f t="shared" si="616"/>
        <v>0</v>
      </c>
      <c r="P3969" s="12">
        <f t="shared" si="617"/>
        <v>0</v>
      </c>
      <c r="Q3969" s="17" t="str">
        <f t="shared" si="619"/>
        <v>Pas d'écart</v>
      </c>
    </row>
    <row r="3970" spans="1:18" x14ac:dyDescent="0.3">
      <c r="A3970" s="34" t="str">
        <f>base!J3970</f>
        <v>RS</v>
      </c>
      <c r="B3970" s="34" t="str">
        <f>base!V3970</f>
        <v>54200</v>
      </c>
      <c r="C3970" s="37">
        <v>54</v>
      </c>
      <c r="D3970" s="36">
        <f>base!H3970</f>
        <v>151</v>
      </c>
      <c r="E3970" s="44"/>
      <c r="F3970" s="16">
        <f>base!W3970</f>
        <v>0</v>
      </c>
      <c r="G3970" s="11">
        <f t="shared" ref="G3970:G4033" si="620">F3970/D3970</f>
        <v>0</v>
      </c>
      <c r="H3970" s="11">
        <f t="shared" ref="H3970:H4033" si="621">VLOOKUP(C3970,tout_cout_traction,2,FALSE)*D3970</f>
        <v>37.75</v>
      </c>
      <c r="I3970" s="11">
        <f t="shared" ref="I3970:I4033" si="622">H3970/D3970</f>
        <v>0.25</v>
      </c>
      <c r="J3970" s="12">
        <f t="shared" ref="J3970:J4033" si="623">F3970-H3970</f>
        <v>-37.75</v>
      </c>
      <c r="K3970" s="17" t="str">
        <f t="shared" si="618"/>
        <v>Ecart négatif</v>
      </c>
      <c r="L3970" s="16">
        <f>base!X3970</f>
        <v>37.75</v>
      </c>
      <c r="M3970" s="11">
        <f t="shared" ref="M3970:M4033" si="624">L3970/D3970</f>
        <v>0.25</v>
      </c>
      <c r="N3970" s="11">
        <f t="shared" ref="N3970:N4033" si="625">VLOOKUP(C3970,tout_cout_traction,3,FALSE)*D3970</f>
        <v>37.75</v>
      </c>
      <c r="O3970" s="11">
        <f t="shared" ref="O3970:O4033" si="626">N3970/D3970</f>
        <v>0.25</v>
      </c>
      <c r="P3970" s="12">
        <f t="shared" ref="P3970:P4033" si="627">L3970-N3970</f>
        <v>0</v>
      </c>
      <c r="Q3970" s="17" t="str">
        <f t="shared" si="619"/>
        <v>Pas d'écart</v>
      </c>
      <c r="R3970" s="38"/>
    </row>
    <row r="3971" spans="1:18" x14ac:dyDescent="0.3">
      <c r="A3971" s="34" t="str">
        <f>base!J3971</f>
        <v>LM</v>
      </c>
      <c r="B3971" s="34" t="str">
        <f>base!V3971</f>
        <v>92000</v>
      </c>
      <c r="C3971" s="37">
        <v>92</v>
      </c>
      <c r="D3971" s="36">
        <f>base!H3971</f>
        <v>50.84</v>
      </c>
      <c r="E3971" s="44"/>
      <c r="F3971" s="16">
        <f>base!W3971</f>
        <v>0</v>
      </c>
      <c r="G3971" s="11">
        <f t="shared" si="620"/>
        <v>0</v>
      </c>
      <c r="H3971" s="11">
        <f t="shared" si="621"/>
        <v>0</v>
      </c>
      <c r="I3971" s="11">
        <f t="shared" si="622"/>
        <v>0</v>
      </c>
      <c r="J3971" s="12">
        <f t="shared" si="623"/>
        <v>0</v>
      </c>
      <c r="K3971" s="17" t="str">
        <f t="shared" ref="K3971:K4034" si="628">IF(H3971=F3971,"Pas d'écart",IF(H3971&lt;F3971,"Ecart positif",IF(H3971&gt;F3971,"Ecart négatif")))</f>
        <v>Pas d'écart</v>
      </c>
      <c r="L3971" s="16">
        <f>base!X3971</f>
        <v>0</v>
      </c>
      <c r="M3971" s="11">
        <f t="shared" si="624"/>
        <v>0</v>
      </c>
      <c r="N3971" s="11">
        <f t="shared" si="625"/>
        <v>0</v>
      </c>
      <c r="O3971" s="11">
        <f t="shared" si="626"/>
        <v>0</v>
      </c>
      <c r="P3971" s="12">
        <f t="shared" si="627"/>
        <v>0</v>
      </c>
      <c r="Q3971" s="17" t="str">
        <f t="shared" ref="Q3971:Q4034" si="629">IF(N3971=L3971,"Pas d'écart",IF(N3971&lt;L3971,"Ecart positif",IF(N3971&gt;L3971,"Ecart négatif")))</f>
        <v>Pas d'écart</v>
      </c>
    </row>
    <row r="3972" spans="1:18" x14ac:dyDescent="0.3">
      <c r="A3972" s="34" t="str">
        <f>base!J3972</f>
        <v>LS</v>
      </c>
      <c r="B3972" s="34" t="str">
        <f>base!V3972</f>
        <v>69330</v>
      </c>
      <c r="C3972" s="37">
        <v>13</v>
      </c>
      <c r="D3972" s="36">
        <f>base!H3972</f>
        <v>151</v>
      </c>
      <c r="E3972" s="44"/>
      <c r="F3972" s="16">
        <f>base!W3972</f>
        <v>40.770000000000003</v>
      </c>
      <c r="G3972" s="11">
        <f t="shared" si="620"/>
        <v>0.27</v>
      </c>
      <c r="H3972" s="11">
        <f t="shared" si="621"/>
        <v>43.79</v>
      </c>
      <c r="I3972" s="11">
        <f t="shared" si="622"/>
        <v>0.28999999999999998</v>
      </c>
      <c r="J3972" s="12">
        <f t="shared" si="623"/>
        <v>-3.019999999999996</v>
      </c>
      <c r="K3972" s="17" t="str">
        <f t="shared" si="628"/>
        <v>Ecart négatif</v>
      </c>
      <c r="L3972" s="16">
        <f>base!X3972</f>
        <v>0</v>
      </c>
      <c r="M3972" s="11">
        <f t="shared" si="624"/>
        <v>0</v>
      </c>
      <c r="N3972" s="11">
        <f t="shared" si="625"/>
        <v>28.69</v>
      </c>
      <c r="O3972" s="11">
        <f t="shared" si="626"/>
        <v>0.19</v>
      </c>
      <c r="P3972" s="12">
        <f t="shared" si="627"/>
        <v>-28.69</v>
      </c>
      <c r="Q3972" s="17" t="str">
        <f t="shared" si="629"/>
        <v>Ecart négatif</v>
      </c>
    </row>
    <row r="3973" spans="1:18" x14ac:dyDescent="0.3">
      <c r="A3973" s="34" t="str">
        <f>base!J3973</f>
        <v>LM</v>
      </c>
      <c r="B3973" s="34" t="str">
        <f>base!V3973</f>
        <v>92000</v>
      </c>
      <c r="C3973" s="37">
        <v>92</v>
      </c>
      <c r="D3973" s="36">
        <f>base!H3973</f>
        <v>50.84</v>
      </c>
      <c r="E3973" s="44"/>
      <c r="F3973" s="16">
        <f>base!W3973</f>
        <v>0</v>
      </c>
      <c r="G3973" s="11">
        <f t="shared" si="620"/>
        <v>0</v>
      </c>
      <c r="H3973" s="11">
        <f t="shared" si="621"/>
        <v>0</v>
      </c>
      <c r="I3973" s="11">
        <f t="shared" si="622"/>
        <v>0</v>
      </c>
      <c r="J3973" s="12">
        <f t="shared" si="623"/>
        <v>0</v>
      </c>
      <c r="K3973" s="17" t="str">
        <f t="shared" si="628"/>
        <v>Pas d'écart</v>
      </c>
      <c r="L3973" s="16">
        <f>base!X3973</f>
        <v>0</v>
      </c>
      <c r="M3973" s="11">
        <f t="shared" si="624"/>
        <v>0</v>
      </c>
      <c r="N3973" s="11">
        <f t="shared" si="625"/>
        <v>0</v>
      </c>
      <c r="O3973" s="11">
        <f t="shared" si="626"/>
        <v>0</v>
      </c>
      <c r="P3973" s="12">
        <f t="shared" si="627"/>
        <v>0</v>
      </c>
      <c r="Q3973" s="17" t="str">
        <f t="shared" si="629"/>
        <v>Pas d'écart</v>
      </c>
    </row>
    <row r="3974" spans="1:18" x14ac:dyDescent="0.3">
      <c r="A3974" s="34" t="str">
        <f>base!J3974</f>
        <v>DLS</v>
      </c>
      <c r="B3974" s="34" t="str">
        <f>base!V3974</f>
        <v>67400</v>
      </c>
      <c r="C3974" s="37">
        <v>67</v>
      </c>
      <c r="D3974" s="36">
        <f>base!H3974</f>
        <v>52.5</v>
      </c>
      <c r="E3974" s="44"/>
      <c r="F3974" s="16">
        <f>base!W3974</f>
        <v>0</v>
      </c>
      <c r="G3974" s="11">
        <f t="shared" si="620"/>
        <v>0</v>
      </c>
      <c r="H3974" s="11">
        <f t="shared" si="621"/>
        <v>15.225</v>
      </c>
      <c r="I3974" s="11">
        <f t="shared" si="622"/>
        <v>0.28999999999999998</v>
      </c>
      <c r="J3974" s="12">
        <f t="shared" si="623"/>
        <v>-15.225</v>
      </c>
      <c r="K3974" s="17" t="str">
        <f t="shared" si="628"/>
        <v>Ecart négatif</v>
      </c>
      <c r="L3974" s="16">
        <f>base!X3974</f>
        <v>0</v>
      </c>
      <c r="M3974" s="11">
        <f t="shared" si="624"/>
        <v>0</v>
      </c>
      <c r="N3974" s="11">
        <f t="shared" si="625"/>
        <v>4.2</v>
      </c>
      <c r="O3974" s="11">
        <f t="shared" si="626"/>
        <v>0.08</v>
      </c>
      <c r="P3974" s="12">
        <f t="shared" si="627"/>
        <v>-4.2</v>
      </c>
      <c r="Q3974" s="17" t="str">
        <f t="shared" si="629"/>
        <v>Ecart négatif</v>
      </c>
    </row>
    <row r="3975" spans="1:18" x14ac:dyDescent="0.3">
      <c r="A3975" s="34" t="str">
        <f>base!J3975</f>
        <v>DLM</v>
      </c>
      <c r="B3975" s="34" t="str">
        <f>base!V3975</f>
        <v>95100</v>
      </c>
      <c r="C3975" s="37">
        <v>95</v>
      </c>
      <c r="D3975" s="36">
        <f>base!H3975</f>
        <v>52.5</v>
      </c>
      <c r="E3975" s="44"/>
      <c r="F3975" s="16">
        <f>base!W3975</f>
        <v>0</v>
      </c>
      <c r="G3975" s="11">
        <f t="shared" si="620"/>
        <v>0</v>
      </c>
      <c r="H3975" s="11">
        <f t="shared" si="621"/>
        <v>0</v>
      </c>
      <c r="I3975" s="11">
        <f t="shared" si="622"/>
        <v>0</v>
      </c>
      <c r="J3975" s="12">
        <f t="shared" si="623"/>
        <v>0</v>
      </c>
      <c r="K3975" s="17" t="str">
        <f t="shared" si="628"/>
        <v>Pas d'écart</v>
      </c>
      <c r="L3975" s="16">
        <f>base!X3975</f>
        <v>0</v>
      </c>
      <c r="M3975" s="11">
        <f t="shared" si="624"/>
        <v>0</v>
      </c>
      <c r="N3975" s="11">
        <f t="shared" si="625"/>
        <v>0</v>
      </c>
      <c r="O3975" s="11">
        <f t="shared" si="626"/>
        <v>0</v>
      </c>
      <c r="P3975" s="12">
        <f t="shared" si="627"/>
        <v>0</v>
      </c>
      <c r="Q3975" s="17" t="str">
        <f t="shared" si="629"/>
        <v>Pas d'écart</v>
      </c>
    </row>
    <row r="3976" spans="1:18" x14ac:dyDescent="0.3">
      <c r="A3976" s="34" t="str">
        <f>base!J3976</f>
        <v>RM</v>
      </c>
      <c r="B3976" s="34" t="str">
        <f>base!V3976</f>
        <v>13400</v>
      </c>
      <c r="C3976" s="37">
        <v>13</v>
      </c>
      <c r="D3976" s="36">
        <f>base!H3976</f>
        <v>187.02</v>
      </c>
      <c r="E3976" s="44"/>
      <c r="F3976" s="16">
        <f>base!W3976</f>
        <v>0</v>
      </c>
      <c r="G3976" s="11">
        <f t="shared" si="620"/>
        <v>0</v>
      </c>
      <c r="H3976" s="11">
        <f t="shared" si="621"/>
        <v>54.235799999999998</v>
      </c>
      <c r="I3976" s="11">
        <f t="shared" si="622"/>
        <v>0.28999999999999998</v>
      </c>
      <c r="J3976" s="12">
        <f t="shared" si="623"/>
        <v>-54.235799999999998</v>
      </c>
      <c r="K3976" s="17" t="str">
        <f t="shared" si="628"/>
        <v>Ecart négatif</v>
      </c>
      <c r="L3976" s="16">
        <f>base!X3976</f>
        <v>0</v>
      </c>
      <c r="M3976" s="11">
        <f t="shared" si="624"/>
        <v>0</v>
      </c>
      <c r="N3976" s="11">
        <f t="shared" si="625"/>
        <v>35.533799999999999</v>
      </c>
      <c r="O3976" s="11">
        <f t="shared" si="626"/>
        <v>0.18999999999999997</v>
      </c>
      <c r="P3976" s="12">
        <f t="shared" si="627"/>
        <v>-35.533799999999999</v>
      </c>
      <c r="Q3976" s="17" t="str">
        <f t="shared" si="629"/>
        <v>Ecart négatif</v>
      </c>
    </row>
    <row r="3977" spans="1:18" x14ac:dyDescent="0.3">
      <c r="A3977" s="34" t="str">
        <f>base!J3977</f>
        <v>DLM</v>
      </c>
      <c r="B3977" s="34" t="str">
        <f>base!V3977</f>
        <v>74130</v>
      </c>
      <c r="C3977" s="37">
        <v>74</v>
      </c>
      <c r="D3977" s="36">
        <f>base!H3977</f>
        <v>52.5</v>
      </c>
      <c r="E3977" s="44"/>
      <c r="F3977" s="16">
        <f>base!W3977</f>
        <v>0</v>
      </c>
      <c r="G3977" s="11">
        <f t="shared" si="620"/>
        <v>0</v>
      </c>
      <c r="H3977" s="11">
        <f t="shared" si="621"/>
        <v>13.65</v>
      </c>
      <c r="I3977" s="11">
        <f t="shared" si="622"/>
        <v>0.26</v>
      </c>
      <c r="J3977" s="12">
        <f t="shared" si="623"/>
        <v>-13.65</v>
      </c>
      <c r="K3977" s="17" t="str">
        <f t="shared" si="628"/>
        <v>Ecart négatif</v>
      </c>
      <c r="L3977" s="16">
        <f>base!X3977</f>
        <v>0</v>
      </c>
      <c r="M3977" s="11">
        <f t="shared" si="624"/>
        <v>0</v>
      </c>
      <c r="N3977" s="11">
        <f t="shared" si="625"/>
        <v>0</v>
      </c>
      <c r="O3977" s="11">
        <f t="shared" si="626"/>
        <v>0</v>
      </c>
      <c r="P3977" s="12">
        <f t="shared" si="627"/>
        <v>0</v>
      </c>
      <c r="Q3977" s="17" t="str">
        <f t="shared" si="629"/>
        <v>Pas d'écart</v>
      </c>
    </row>
    <row r="3978" spans="1:18" x14ac:dyDescent="0.3">
      <c r="A3978" s="34" t="str">
        <f>base!J3978</f>
        <v>RM</v>
      </c>
      <c r="B3978" s="34" t="str">
        <f>base!V3978</f>
        <v>62600</v>
      </c>
      <c r="C3978" s="37">
        <v>62</v>
      </c>
      <c r="D3978" s="36">
        <f>base!H3978</f>
        <v>50</v>
      </c>
      <c r="E3978" s="44"/>
      <c r="F3978" s="16">
        <f>base!W3978</f>
        <v>0</v>
      </c>
      <c r="G3978" s="11">
        <f t="shared" si="620"/>
        <v>0</v>
      </c>
      <c r="H3978" s="11">
        <f t="shared" si="621"/>
        <v>9.5</v>
      </c>
      <c r="I3978" s="11">
        <f t="shared" si="622"/>
        <v>0.19</v>
      </c>
      <c r="J3978" s="12">
        <f t="shared" si="623"/>
        <v>-9.5</v>
      </c>
      <c r="K3978" s="17" t="str">
        <f t="shared" si="628"/>
        <v>Ecart négatif</v>
      </c>
      <c r="L3978" s="16">
        <f>base!X3978</f>
        <v>9.5</v>
      </c>
      <c r="M3978" s="11">
        <f t="shared" si="624"/>
        <v>0.19</v>
      </c>
      <c r="N3978" s="11">
        <f t="shared" si="625"/>
        <v>0</v>
      </c>
      <c r="O3978" s="11">
        <f t="shared" si="626"/>
        <v>0</v>
      </c>
      <c r="P3978" s="12">
        <f t="shared" si="627"/>
        <v>9.5</v>
      </c>
      <c r="Q3978" s="17" t="str">
        <f t="shared" si="629"/>
        <v>Ecart positif</v>
      </c>
    </row>
    <row r="3979" spans="1:18" x14ac:dyDescent="0.3">
      <c r="A3979" s="34" t="str">
        <f>base!J3979</f>
        <v>RM</v>
      </c>
      <c r="B3979" s="34" t="str">
        <f>base!V3979</f>
        <v>63450</v>
      </c>
      <c r="C3979" s="37">
        <v>63</v>
      </c>
      <c r="D3979" s="36">
        <f>base!H3979</f>
        <v>140</v>
      </c>
      <c r="E3979" s="44"/>
      <c r="F3979" s="16">
        <f>base!W3979</f>
        <v>0</v>
      </c>
      <c r="G3979" s="11">
        <f t="shared" si="620"/>
        <v>0</v>
      </c>
      <c r="H3979" s="11">
        <f t="shared" si="621"/>
        <v>40.599999999999994</v>
      </c>
      <c r="I3979" s="11">
        <f t="shared" si="622"/>
        <v>0.28999999999999998</v>
      </c>
      <c r="J3979" s="12">
        <f t="shared" si="623"/>
        <v>-40.599999999999994</v>
      </c>
      <c r="K3979" s="17" t="str">
        <f t="shared" si="628"/>
        <v>Ecart négatif</v>
      </c>
      <c r="L3979" s="16">
        <f>base!X3979</f>
        <v>16.8</v>
      </c>
      <c r="M3979" s="11">
        <f t="shared" si="624"/>
        <v>0.12000000000000001</v>
      </c>
      <c r="N3979" s="11">
        <f t="shared" si="625"/>
        <v>16.8</v>
      </c>
      <c r="O3979" s="11">
        <f t="shared" si="626"/>
        <v>0.12000000000000001</v>
      </c>
      <c r="P3979" s="12">
        <f t="shared" si="627"/>
        <v>0</v>
      </c>
      <c r="Q3979" s="17" t="str">
        <f t="shared" si="629"/>
        <v>Pas d'écart</v>
      </c>
      <c r="R3979" s="38"/>
    </row>
    <row r="3980" spans="1:18" x14ac:dyDescent="0.3">
      <c r="A3980" s="34" t="str">
        <f>base!J3980</f>
        <v>RS</v>
      </c>
      <c r="B3980" s="34" t="str">
        <f>base!V3980</f>
        <v>77200</v>
      </c>
      <c r="C3980" s="37">
        <v>77</v>
      </c>
      <c r="D3980" s="36">
        <f>base!H3980</f>
        <v>140</v>
      </c>
      <c r="E3980" s="44"/>
      <c r="F3980" s="16">
        <f>base!W3980</f>
        <v>0</v>
      </c>
      <c r="G3980" s="11">
        <f t="shared" si="620"/>
        <v>0</v>
      </c>
      <c r="H3980" s="11">
        <f t="shared" si="621"/>
        <v>0</v>
      </c>
      <c r="I3980" s="11">
        <f t="shared" si="622"/>
        <v>0</v>
      </c>
      <c r="J3980" s="12">
        <f t="shared" si="623"/>
        <v>0</v>
      </c>
      <c r="K3980" s="17" t="str">
        <f t="shared" si="628"/>
        <v>Pas d'écart</v>
      </c>
      <c r="L3980" s="16">
        <f>base!X3980</f>
        <v>0</v>
      </c>
      <c r="M3980" s="11">
        <f t="shared" si="624"/>
        <v>0</v>
      </c>
      <c r="N3980" s="11">
        <f t="shared" si="625"/>
        <v>0</v>
      </c>
      <c r="O3980" s="11">
        <f t="shared" si="626"/>
        <v>0</v>
      </c>
      <c r="P3980" s="12">
        <f t="shared" si="627"/>
        <v>0</v>
      </c>
      <c r="Q3980" s="17" t="str">
        <f t="shared" si="629"/>
        <v>Pas d'écart</v>
      </c>
    </row>
    <row r="3981" spans="1:18" x14ac:dyDescent="0.3">
      <c r="A3981" s="34" t="str">
        <f>base!J3981</f>
        <v>LM</v>
      </c>
      <c r="B3981" s="34" t="str">
        <f>base!V3981</f>
        <v>57070</v>
      </c>
      <c r="C3981" s="37">
        <v>13</v>
      </c>
      <c r="D3981" s="36">
        <f>base!H3981</f>
        <v>55.34</v>
      </c>
      <c r="E3981" s="44"/>
      <c r="F3981" s="16">
        <f>base!W3981</f>
        <v>13.84</v>
      </c>
      <c r="G3981" s="11">
        <f t="shared" si="620"/>
        <v>0.25009035056017348</v>
      </c>
      <c r="H3981" s="11">
        <f t="shared" si="621"/>
        <v>16.0486</v>
      </c>
      <c r="I3981" s="11">
        <f t="shared" si="622"/>
        <v>0.28999999999999998</v>
      </c>
      <c r="J3981" s="12">
        <f t="shared" si="623"/>
        <v>-2.2086000000000006</v>
      </c>
      <c r="K3981" s="17" t="str">
        <f t="shared" si="628"/>
        <v>Ecart négatif</v>
      </c>
      <c r="L3981" s="16">
        <f>base!X3981</f>
        <v>0</v>
      </c>
      <c r="M3981" s="11">
        <f t="shared" si="624"/>
        <v>0</v>
      </c>
      <c r="N3981" s="11">
        <f t="shared" si="625"/>
        <v>10.514600000000002</v>
      </c>
      <c r="O3981" s="11">
        <f t="shared" si="626"/>
        <v>0.19</v>
      </c>
      <c r="P3981" s="12">
        <f t="shared" si="627"/>
        <v>-10.514600000000002</v>
      </c>
      <c r="Q3981" s="17" t="str">
        <f t="shared" si="629"/>
        <v>Ecart négatif</v>
      </c>
    </row>
    <row r="3982" spans="1:18" x14ac:dyDescent="0.3">
      <c r="A3982" s="34" t="str">
        <f>base!J3982</f>
        <v>RS</v>
      </c>
      <c r="B3982" s="34" t="str">
        <f>base!V3982</f>
        <v>59550</v>
      </c>
      <c r="C3982" s="37">
        <v>59</v>
      </c>
      <c r="D3982" s="36">
        <f>base!H3982</f>
        <v>70</v>
      </c>
      <c r="E3982" s="44"/>
      <c r="F3982" s="16">
        <f>base!W3982</f>
        <v>0</v>
      </c>
      <c r="G3982" s="11">
        <f t="shared" si="620"/>
        <v>0</v>
      </c>
      <c r="H3982" s="11">
        <f t="shared" si="621"/>
        <v>13.3</v>
      </c>
      <c r="I3982" s="11">
        <f t="shared" si="622"/>
        <v>0.19</v>
      </c>
      <c r="J3982" s="12">
        <f t="shared" si="623"/>
        <v>-13.3</v>
      </c>
      <c r="K3982" s="17" t="str">
        <f t="shared" si="628"/>
        <v>Ecart négatif</v>
      </c>
      <c r="L3982" s="16">
        <f>base!X3982</f>
        <v>0</v>
      </c>
      <c r="M3982" s="11">
        <f t="shared" si="624"/>
        <v>0</v>
      </c>
      <c r="N3982" s="11">
        <f t="shared" si="625"/>
        <v>0</v>
      </c>
      <c r="O3982" s="11">
        <f t="shared" si="626"/>
        <v>0</v>
      </c>
      <c r="P3982" s="12">
        <f t="shared" si="627"/>
        <v>0</v>
      </c>
      <c r="Q3982" s="17" t="str">
        <f t="shared" si="629"/>
        <v>Pas d'écart</v>
      </c>
    </row>
    <row r="3983" spans="1:18" x14ac:dyDescent="0.3">
      <c r="A3983" s="34" t="str">
        <f>base!J3983</f>
        <v>DRM</v>
      </c>
      <c r="B3983" s="34" t="str">
        <f>base!V3983</f>
        <v>73870</v>
      </c>
      <c r="C3983" s="37">
        <v>73</v>
      </c>
      <c r="D3983" s="36">
        <f>base!H3983</f>
        <v>189.52</v>
      </c>
      <c r="E3983" s="44"/>
      <c r="F3983" s="16">
        <f>base!W3983</f>
        <v>0</v>
      </c>
      <c r="G3983" s="11">
        <f t="shared" si="620"/>
        <v>0</v>
      </c>
      <c r="H3983" s="11">
        <f t="shared" si="621"/>
        <v>51.170400000000008</v>
      </c>
      <c r="I3983" s="11">
        <f t="shared" si="622"/>
        <v>0.27</v>
      </c>
      <c r="J3983" s="12">
        <f t="shared" si="623"/>
        <v>-51.170400000000008</v>
      </c>
      <c r="K3983" s="17" t="str">
        <f t="shared" si="628"/>
        <v>Ecart négatif</v>
      </c>
      <c r="L3983" s="16">
        <f>base!X3983</f>
        <v>0</v>
      </c>
      <c r="M3983" s="11">
        <f t="shared" si="624"/>
        <v>0</v>
      </c>
      <c r="N3983" s="11">
        <f t="shared" si="625"/>
        <v>0</v>
      </c>
      <c r="O3983" s="11">
        <f t="shared" si="626"/>
        <v>0</v>
      </c>
      <c r="P3983" s="12">
        <f t="shared" si="627"/>
        <v>0</v>
      </c>
      <c r="Q3983" s="17" t="str">
        <f t="shared" si="629"/>
        <v>Pas d'écart</v>
      </c>
    </row>
    <row r="3984" spans="1:18" x14ac:dyDescent="0.3">
      <c r="A3984" s="34" t="str">
        <f>base!J3984</f>
        <v>LM</v>
      </c>
      <c r="B3984" s="34" t="str">
        <f>base!V3984</f>
        <v>16340</v>
      </c>
      <c r="C3984" s="37">
        <v>13</v>
      </c>
      <c r="D3984" s="36">
        <f>base!H3984</f>
        <v>97.48</v>
      </c>
      <c r="E3984" s="44"/>
      <c r="F3984" s="16">
        <f>base!W3984</f>
        <v>20.47</v>
      </c>
      <c r="G3984" s="11">
        <f t="shared" si="620"/>
        <v>0.20999179318834632</v>
      </c>
      <c r="H3984" s="11">
        <f t="shared" si="621"/>
        <v>28.269199999999998</v>
      </c>
      <c r="I3984" s="11">
        <f t="shared" si="622"/>
        <v>0.28999999999999998</v>
      </c>
      <c r="J3984" s="12">
        <f t="shared" si="623"/>
        <v>-7.799199999999999</v>
      </c>
      <c r="K3984" s="17" t="str">
        <f t="shared" si="628"/>
        <v>Ecart négatif</v>
      </c>
      <c r="L3984" s="16">
        <f>base!X3984</f>
        <v>0</v>
      </c>
      <c r="M3984" s="11">
        <f t="shared" si="624"/>
        <v>0</v>
      </c>
      <c r="N3984" s="11">
        <f t="shared" si="625"/>
        <v>18.5212</v>
      </c>
      <c r="O3984" s="11">
        <f t="shared" si="626"/>
        <v>0.19</v>
      </c>
      <c r="P3984" s="12">
        <f t="shared" si="627"/>
        <v>-18.5212</v>
      </c>
      <c r="Q3984" s="17" t="str">
        <f t="shared" si="629"/>
        <v>Ecart négatif</v>
      </c>
    </row>
    <row r="3985" spans="1:18" x14ac:dyDescent="0.3">
      <c r="A3985" s="34" t="str">
        <f>base!J3985</f>
        <v>DLM</v>
      </c>
      <c r="B3985" s="34" t="str">
        <f>base!V3985</f>
        <v>83700</v>
      </c>
      <c r="C3985" s="37">
        <v>83</v>
      </c>
      <c r="D3985" s="36">
        <f>base!H3985</f>
        <v>120</v>
      </c>
      <c r="E3985" s="44"/>
      <c r="F3985" s="16">
        <f>base!W3985</f>
        <v>0</v>
      </c>
      <c r="G3985" s="11">
        <f t="shared" si="620"/>
        <v>0</v>
      </c>
      <c r="H3985" s="11">
        <f t="shared" si="621"/>
        <v>36</v>
      </c>
      <c r="I3985" s="11">
        <f t="shared" si="622"/>
        <v>0.3</v>
      </c>
      <c r="J3985" s="12">
        <f t="shared" si="623"/>
        <v>-36</v>
      </c>
      <c r="K3985" s="17" t="str">
        <f t="shared" si="628"/>
        <v>Ecart négatif</v>
      </c>
      <c r="L3985" s="16">
        <f>base!X3985</f>
        <v>0</v>
      </c>
      <c r="M3985" s="11">
        <f t="shared" si="624"/>
        <v>0</v>
      </c>
      <c r="N3985" s="11">
        <f t="shared" si="625"/>
        <v>25.2</v>
      </c>
      <c r="O3985" s="11">
        <f t="shared" si="626"/>
        <v>0.21</v>
      </c>
      <c r="P3985" s="12">
        <f t="shared" si="627"/>
        <v>-25.2</v>
      </c>
      <c r="Q3985" s="17" t="str">
        <f t="shared" si="629"/>
        <v>Ecart négatif</v>
      </c>
    </row>
    <row r="3986" spans="1:18" x14ac:dyDescent="0.3">
      <c r="A3986" s="34" t="str">
        <f>base!J3986</f>
        <v>RS</v>
      </c>
      <c r="B3986" s="34" t="str">
        <f>base!V3986</f>
        <v>06560</v>
      </c>
      <c r="C3986" s="37">
        <v>6</v>
      </c>
      <c r="D3986" s="36">
        <f>base!H3986</f>
        <v>151</v>
      </c>
      <c r="E3986" s="44"/>
      <c r="F3986" s="16">
        <f>base!W3986</f>
        <v>0</v>
      </c>
      <c r="G3986" s="11">
        <f t="shared" si="620"/>
        <v>0</v>
      </c>
      <c r="H3986" s="11">
        <f t="shared" si="621"/>
        <v>45.3</v>
      </c>
      <c r="I3986" s="11">
        <f t="shared" si="622"/>
        <v>0.3</v>
      </c>
      <c r="J3986" s="12">
        <f t="shared" si="623"/>
        <v>-45.3</v>
      </c>
      <c r="K3986" s="17" t="str">
        <f t="shared" si="628"/>
        <v>Ecart négatif</v>
      </c>
      <c r="L3986" s="16">
        <f>base!X3986</f>
        <v>0</v>
      </c>
      <c r="M3986" s="11">
        <f t="shared" si="624"/>
        <v>0</v>
      </c>
      <c r="N3986" s="11">
        <f t="shared" si="625"/>
        <v>31.709999999999997</v>
      </c>
      <c r="O3986" s="11">
        <f t="shared" si="626"/>
        <v>0.21</v>
      </c>
      <c r="P3986" s="12">
        <f t="shared" si="627"/>
        <v>-31.709999999999997</v>
      </c>
      <c r="Q3986" s="17" t="str">
        <f t="shared" si="629"/>
        <v>Ecart négatif</v>
      </c>
    </row>
    <row r="3987" spans="1:18" x14ac:dyDescent="0.3">
      <c r="A3987" s="34" t="str">
        <f>base!J3987</f>
        <v>LM</v>
      </c>
      <c r="B3987" s="34" t="str">
        <f>base!V3987</f>
        <v>22600</v>
      </c>
      <c r="C3987" s="37">
        <v>13</v>
      </c>
      <c r="D3987" s="36">
        <f>base!H3987</f>
        <v>49.08</v>
      </c>
      <c r="E3987" s="44"/>
      <c r="F3987" s="16">
        <f>base!W3987</f>
        <v>19.14</v>
      </c>
      <c r="G3987" s="11">
        <f t="shared" si="620"/>
        <v>0.38997555012224944</v>
      </c>
      <c r="H3987" s="11">
        <f t="shared" si="621"/>
        <v>14.233199999999998</v>
      </c>
      <c r="I3987" s="11">
        <f t="shared" si="622"/>
        <v>0.28999999999999998</v>
      </c>
      <c r="J3987" s="12">
        <f t="shared" si="623"/>
        <v>4.9068000000000023</v>
      </c>
      <c r="K3987" s="17" t="str">
        <f t="shared" si="628"/>
        <v>Ecart positif</v>
      </c>
      <c r="L3987" s="16">
        <f>base!X3987</f>
        <v>0</v>
      </c>
      <c r="M3987" s="11">
        <f t="shared" si="624"/>
        <v>0</v>
      </c>
      <c r="N3987" s="11">
        <f t="shared" si="625"/>
        <v>9.3252000000000006</v>
      </c>
      <c r="O3987" s="11">
        <f t="shared" si="626"/>
        <v>0.19000000000000003</v>
      </c>
      <c r="P3987" s="12">
        <f t="shared" si="627"/>
        <v>-9.3252000000000006</v>
      </c>
      <c r="Q3987" s="17" t="str">
        <f t="shared" si="629"/>
        <v>Ecart négatif</v>
      </c>
    </row>
    <row r="3988" spans="1:18" x14ac:dyDescent="0.3">
      <c r="A3988" s="34" t="str">
        <f>base!J3988</f>
        <v>RS</v>
      </c>
      <c r="B3988" s="34" t="str">
        <f>base!V3988</f>
        <v>76620</v>
      </c>
      <c r="C3988" s="37">
        <v>76</v>
      </c>
      <c r="D3988" s="36">
        <f>base!H3988</f>
        <v>180</v>
      </c>
      <c r="E3988" s="44"/>
      <c r="F3988" s="16">
        <f>base!W3988</f>
        <v>0</v>
      </c>
      <c r="G3988" s="11">
        <f t="shared" si="620"/>
        <v>0</v>
      </c>
      <c r="H3988" s="11">
        <f t="shared" si="621"/>
        <v>30.6</v>
      </c>
      <c r="I3988" s="11">
        <f t="shared" si="622"/>
        <v>0.17</v>
      </c>
      <c r="J3988" s="12">
        <f t="shared" si="623"/>
        <v>-30.6</v>
      </c>
      <c r="K3988" s="17" t="str">
        <f t="shared" si="628"/>
        <v>Ecart négatif</v>
      </c>
      <c r="L3988" s="16">
        <f>base!X3988</f>
        <v>30.6</v>
      </c>
      <c r="M3988" s="11">
        <f t="shared" si="624"/>
        <v>0.17</v>
      </c>
      <c r="N3988" s="11">
        <f t="shared" si="625"/>
        <v>30.6</v>
      </c>
      <c r="O3988" s="11">
        <f t="shared" si="626"/>
        <v>0.17</v>
      </c>
      <c r="P3988" s="12">
        <f t="shared" si="627"/>
        <v>0</v>
      </c>
      <c r="Q3988" s="17" t="str">
        <f t="shared" si="629"/>
        <v>Pas d'écart</v>
      </c>
    </row>
    <row r="3989" spans="1:18" x14ac:dyDescent="0.3">
      <c r="A3989" s="34">
        <f>base!J3989</f>
        <v>0</v>
      </c>
      <c r="B3989" s="34" t="str">
        <f>base!V3989</f>
        <v>77184</v>
      </c>
      <c r="C3989" s="37">
        <v>77</v>
      </c>
      <c r="D3989" s="36">
        <f>base!H3989</f>
        <v>31.6</v>
      </c>
      <c r="E3989" s="44"/>
      <c r="F3989" s="16">
        <f>base!W3989</f>
        <v>0</v>
      </c>
      <c r="G3989" s="11">
        <f t="shared" si="620"/>
        <v>0</v>
      </c>
      <c r="H3989" s="11">
        <f t="shared" si="621"/>
        <v>0</v>
      </c>
      <c r="I3989" s="11">
        <f t="shared" si="622"/>
        <v>0</v>
      </c>
      <c r="J3989" s="12">
        <f t="shared" si="623"/>
        <v>0</v>
      </c>
      <c r="K3989" s="17" t="str">
        <f t="shared" si="628"/>
        <v>Pas d'écart</v>
      </c>
      <c r="L3989" s="16">
        <f>base!X3989</f>
        <v>0</v>
      </c>
      <c r="M3989" s="11">
        <f t="shared" si="624"/>
        <v>0</v>
      </c>
      <c r="N3989" s="11">
        <f t="shared" si="625"/>
        <v>0</v>
      </c>
      <c r="O3989" s="11">
        <f t="shared" si="626"/>
        <v>0</v>
      </c>
      <c r="P3989" s="12">
        <f t="shared" si="627"/>
        <v>0</v>
      </c>
      <c r="Q3989" s="17" t="str">
        <f t="shared" si="629"/>
        <v>Pas d'écart</v>
      </c>
    </row>
    <row r="3990" spans="1:18" x14ac:dyDescent="0.3">
      <c r="A3990" s="34">
        <f>base!J3990</f>
        <v>0</v>
      </c>
      <c r="B3990" s="34" t="str">
        <f>base!V3990</f>
        <v>77184</v>
      </c>
      <c r="C3990" s="37">
        <v>77</v>
      </c>
      <c r="D3990" s="36">
        <f>base!H3990</f>
        <v>84.96</v>
      </c>
      <c r="E3990" s="44"/>
      <c r="F3990" s="16">
        <f>base!W3990</f>
        <v>0</v>
      </c>
      <c r="G3990" s="11">
        <f t="shared" si="620"/>
        <v>0</v>
      </c>
      <c r="H3990" s="11">
        <f t="shared" si="621"/>
        <v>0</v>
      </c>
      <c r="I3990" s="11">
        <f t="shared" si="622"/>
        <v>0</v>
      </c>
      <c r="J3990" s="12">
        <f t="shared" si="623"/>
        <v>0</v>
      </c>
      <c r="K3990" s="17" t="str">
        <f t="shared" si="628"/>
        <v>Pas d'écart</v>
      </c>
      <c r="L3990" s="16">
        <f>base!X3990</f>
        <v>0</v>
      </c>
      <c r="M3990" s="11">
        <f t="shared" si="624"/>
        <v>0</v>
      </c>
      <c r="N3990" s="11">
        <f t="shared" si="625"/>
        <v>0</v>
      </c>
      <c r="O3990" s="11">
        <f t="shared" si="626"/>
        <v>0</v>
      </c>
      <c r="P3990" s="12">
        <f t="shared" si="627"/>
        <v>0</v>
      </c>
      <c r="Q3990" s="17" t="str">
        <f t="shared" si="629"/>
        <v>Pas d'écart</v>
      </c>
    </row>
    <row r="3991" spans="1:18" x14ac:dyDescent="0.3">
      <c r="A3991" s="34">
        <f>base!J3991</f>
        <v>0</v>
      </c>
      <c r="B3991" s="34" t="str">
        <f>base!V3991</f>
        <v>77184</v>
      </c>
      <c r="C3991" s="37">
        <v>77</v>
      </c>
      <c r="D3991" s="36">
        <f>base!H3991</f>
        <v>31.6</v>
      </c>
      <c r="E3991" s="44"/>
      <c r="F3991" s="16">
        <f>base!W3991</f>
        <v>0</v>
      </c>
      <c r="G3991" s="11">
        <f t="shared" si="620"/>
        <v>0</v>
      </c>
      <c r="H3991" s="11">
        <f t="shared" si="621"/>
        <v>0</v>
      </c>
      <c r="I3991" s="11">
        <f t="shared" si="622"/>
        <v>0</v>
      </c>
      <c r="J3991" s="12">
        <f t="shared" si="623"/>
        <v>0</v>
      </c>
      <c r="K3991" s="17" t="str">
        <f t="shared" si="628"/>
        <v>Pas d'écart</v>
      </c>
      <c r="L3991" s="16">
        <f>base!X3991</f>
        <v>0</v>
      </c>
      <c r="M3991" s="11">
        <f t="shared" si="624"/>
        <v>0</v>
      </c>
      <c r="N3991" s="11">
        <f t="shared" si="625"/>
        <v>0</v>
      </c>
      <c r="O3991" s="11">
        <f t="shared" si="626"/>
        <v>0</v>
      </c>
      <c r="P3991" s="12">
        <f t="shared" si="627"/>
        <v>0</v>
      </c>
      <c r="Q3991" s="17" t="str">
        <f t="shared" si="629"/>
        <v>Pas d'écart</v>
      </c>
    </row>
    <row r="3992" spans="1:18" x14ac:dyDescent="0.3">
      <c r="A3992" s="34">
        <f>base!J3992</f>
        <v>0</v>
      </c>
      <c r="B3992" s="34" t="str">
        <f>base!V3992</f>
        <v>77184</v>
      </c>
      <c r="C3992" s="37">
        <v>77</v>
      </c>
      <c r="D3992" s="36">
        <f>base!H3992</f>
        <v>126.4</v>
      </c>
      <c r="E3992" s="44"/>
      <c r="F3992" s="16">
        <f>base!W3992</f>
        <v>0</v>
      </c>
      <c r="G3992" s="11">
        <f t="shared" si="620"/>
        <v>0</v>
      </c>
      <c r="H3992" s="11">
        <f t="shared" si="621"/>
        <v>0</v>
      </c>
      <c r="I3992" s="11">
        <f t="shared" si="622"/>
        <v>0</v>
      </c>
      <c r="J3992" s="12">
        <f t="shared" si="623"/>
        <v>0</v>
      </c>
      <c r="K3992" s="17" t="str">
        <f t="shared" si="628"/>
        <v>Pas d'écart</v>
      </c>
      <c r="L3992" s="16">
        <f>base!X3992</f>
        <v>0</v>
      </c>
      <c r="M3992" s="11">
        <f t="shared" si="624"/>
        <v>0</v>
      </c>
      <c r="N3992" s="11">
        <f t="shared" si="625"/>
        <v>0</v>
      </c>
      <c r="O3992" s="11">
        <f t="shared" si="626"/>
        <v>0</v>
      </c>
      <c r="P3992" s="12">
        <f t="shared" si="627"/>
        <v>0</v>
      </c>
      <c r="Q3992" s="17" t="str">
        <f t="shared" si="629"/>
        <v>Pas d'écart</v>
      </c>
    </row>
    <row r="3993" spans="1:18" x14ac:dyDescent="0.3">
      <c r="A3993" s="34">
        <f>base!J3993</f>
        <v>0</v>
      </c>
      <c r="B3993" s="34" t="str">
        <f>base!V3993</f>
        <v>77184</v>
      </c>
      <c r="C3993" s="37">
        <v>77</v>
      </c>
      <c r="D3993" s="36">
        <f>base!H3993</f>
        <v>10</v>
      </c>
      <c r="E3993" s="44"/>
      <c r="F3993" s="16">
        <f>base!W3993</f>
        <v>0</v>
      </c>
      <c r="G3993" s="11">
        <f t="shared" si="620"/>
        <v>0</v>
      </c>
      <c r="H3993" s="11">
        <f t="shared" si="621"/>
        <v>0</v>
      </c>
      <c r="I3993" s="11">
        <f t="shared" si="622"/>
        <v>0</v>
      </c>
      <c r="J3993" s="12">
        <f t="shared" si="623"/>
        <v>0</v>
      </c>
      <c r="K3993" s="17" t="str">
        <f t="shared" si="628"/>
        <v>Pas d'écart</v>
      </c>
      <c r="L3993" s="16">
        <f>base!X3993</f>
        <v>0</v>
      </c>
      <c r="M3993" s="11">
        <f t="shared" si="624"/>
        <v>0</v>
      </c>
      <c r="N3993" s="11">
        <f t="shared" si="625"/>
        <v>0</v>
      </c>
      <c r="O3993" s="11">
        <f t="shared" si="626"/>
        <v>0</v>
      </c>
      <c r="P3993" s="12">
        <f t="shared" si="627"/>
        <v>0</v>
      </c>
      <c r="Q3993" s="17" t="str">
        <f t="shared" si="629"/>
        <v>Pas d'écart</v>
      </c>
    </row>
    <row r="3994" spans="1:18" x14ac:dyDescent="0.3">
      <c r="A3994" s="34" t="str">
        <f>base!J3994</f>
        <v>RM</v>
      </c>
      <c r="B3994" s="34" t="str">
        <f>base!V3994</f>
        <v>13002</v>
      </c>
      <c r="C3994" s="37">
        <v>13</v>
      </c>
      <c r="D3994" s="36">
        <f>base!H3994</f>
        <v>133.27000000000001</v>
      </c>
      <c r="E3994" s="44"/>
      <c r="F3994" s="16">
        <f>base!W3994</f>
        <v>0</v>
      </c>
      <c r="G3994" s="11">
        <f t="shared" si="620"/>
        <v>0</v>
      </c>
      <c r="H3994" s="11">
        <f t="shared" si="621"/>
        <v>38.648299999999999</v>
      </c>
      <c r="I3994" s="11">
        <f t="shared" si="622"/>
        <v>0.28999999999999998</v>
      </c>
      <c r="J3994" s="12">
        <f t="shared" si="623"/>
        <v>-38.648299999999999</v>
      </c>
      <c r="K3994" s="17" t="str">
        <f t="shared" si="628"/>
        <v>Ecart négatif</v>
      </c>
      <c r="L3994" s="16">
        <f>base!X3994</f>
        <v>61.3</v>
      </c>
      <c r="M3994" s="11">
        <f t="shared" si="624"/>
        <v>0.4599684850303894</v>
      </c>
      <c r="N3994" s="11">
        <f t="shared" si="625"/>
        <v>25.321300000000001</v>
      </c>
      <c r="O3994" s="11">
        <f t="shared" si="626"/>
        <v>0.19</v>
      </c>
      <c r="P3994" s="12">
        <f t="shared" si="627"/>
        <v>35.978699999999996</v>
      </c>
      <c r="Q3994" s="17" t="str">
        <f t="shared" si="629"/>
        <v>Ecart positif</v>
      </c>
      <c r="R3994" s="38"/>
    </row>
    <row r="3995" spans="1:18" x14ac:dyDescent="0.3">
      <c r="A3995" s="34" t="str">
        <f>base!J3995</f>
        <v>RM</v>
      </c>
      <c r="B3995" s="34" t="str">
        <f>base!V3995</f>
        <v>42160</v>
      </c>
      <c r="C3995" s="37">
        <v>42</v>
      </c>
      <c r="D3995" s="36">
        <f>base!H3995</f>
        <v>275</v>
      </c>
      <c r="E3995" s="44"/>
      <c r="F3995" s="16">
        <f>base!W3995</f>
        <v>0</v>
      </c>
      <c r="G3995" s="11">
        <f t="shared" si="620"/>
        <v>0</v>
      </c>
      <c r="H3995" s="11">
        <f t="shared" si="621"/>
        <v>71.5</v>
      </c>
      <c r="I3995" s="11">
        <f t="shared" si="622"/>
        <v>0.26</v>
      </c>
      <c r="J3995" s="12">
        <f t="shared" si="623"/>
        <v>-71.5</v>
      </c>
      <c r="K3995" s="17" t="str">
        <f t="shared" si="628"/>
        <v>Ecart négatif</v>
      </c>
      <c r="L3995" s="16">
        <f>base!X3995</f>
        <v>0</v>
      </c>
      <c r="M3995" s="11">
        <f t="shared" si="624"/>
        <v>0</v>
      </c>
      <c r="N3995" s="11">
        <f t="shared" si="625"/>
        <v>0</v>
      </c>
      <c r="O3995" s="11">
        <f t="shared" si="626"/>
        <v>0</v>
      </c>
      <c r="P3995" s="12">
        <f t="shared" si="627"/>
        <v>0</v>
      </c>
      <c r="Q3995" s="17" t="str">
        <f t="shared" si="629"/>
        <v>Pas d'écart</v>
      </c>
    </row>
    <row r="3996" spans="1:18" x14ac:dyDescent="0.3">
      <c r="A3996" s="34" t="str">
        <f>base!J3996</f>
        <v>LM</v>
      </c>
      <c r="B3996" s="34" t="str">
        <f>base!V3996</f>
        <v>01000</v>
      </c>
      <c r="C3996" s="37">
        <v>55</v>
      </c>
      <c r="D3996" s="36">
        <f>base!H3996</f>
        <v>143.81</v>
      </c>
      <c r="E3996" s="44"/>
      <c r="F3996" s="16">
        <f>base!W3996</f>
        <v>38.83</v>
      </c>
      <c r="G3996" s="11">
        <f t="shared" si="620"/>
        <v>0.27000903970516654</v>
      </c>
      <c r="H3996" s="11">
        <f t="shared" si="621"/>
        <v>35.952500000000001</v>
      </c>
      <c r="I3996" s="11">
        <f t="shared" si="622"/>
        <v>0.25</v>
      </c>
      <c r="J3996" s="12">
        <f t="shared" si="623"/>
        <v>2.8774999999999977</v>
      </c>
      <c r="K3996" s="17" t="str">
        <f t="shared" si="628"/>
        <v>Ecart positif</v>
      </c>
      <c r="L3996" s="16">
        <f>base!X3996</f>
        <v>0</v>
      </c>
      <c r="M3996" s="11">
        <f t="shared" si="624"/>
        <v>0</v>
      </c>
      <c r="N3996" s="11">
        <f t="shared" si="625"/>
        <v>35.952500000000001</v>
      </c>
      <c r="O3996" s="11">
        <f t="shared" si="626"/>
        <v>0.25</v>
      </c>
      <c r="P3996" s="12">
        <f t="shared" si="627"/>
        <v>-35.952500000000001</v>
      </c>
      <c r="Q3996" s="17" t="str">
        <f t="shared" si="629"/>
        <v>Ecart négatif</v>
      </c>
    </row>
    <row r="3997" spans="1:18" x14ac:dyDescent="0.3">
      <c r="A3997" s="34" t="str">
        <f>base!J3997</f>
        <v>LM</v>
      </c>
      <c r="B3997" s="34" t="str">
        <f>base!V3997</f>
        <v>73200</v>
      </c>
      <c r="C3997" s="37">
        <v>57</v>
      </c>
      <c r="D3997" s="36">
        <f>base!H3997</f>
        <v>55.16</v>
      </c>
      <c r="E3997" s="44"/>
      <c r="F3997" s="16">
        <f>base!W3997</f>
        <v>14.89</v>
      </c>
      <c r="G3997" s="11">
        <f t="shared" si="620"/>
        <v>0.26994198694706312</v>
      </c>
      <c r="H3997" s="11">
        <f t="shared" si="621"/>
        <v>13.238399999999999</v>
      </c>
      <c r="I3997" s="11">
        <f t="shared" si="622"/>
        <v>0.24</v>
      </c>
      <c r="J3997" s="12">
        <f t="shared" si="623"/>
        <v>1.651600000000002</v>
      </c>
      <c r="K3997" s="17" t="str">
        <f t="shared" si="628"/>
        <v>Ecart positif</v>
      </c>
      <c r="L3997" s="16">
        <f>base!X3997</f>
        <v>0</v>
      </c>
      <c r="M3997" s="11">
        <f t="shared" si="624"/>
        <v>0</v>
      </c>
      <c r="N3997" s="11">
        <f t="shared" si="625"/>
        <v>13.79</v>
      </c>
      <c r="O3997" s="11">
        <f t="shared" si="626"/>
        <v>0.25</v>
      </c>
      <c r="P3997" s="12">
        <f t="shared" si="627"/>
        <v>-13.79</v>
      </c>
      <c r="Q3997" s="17" t="str">
        <f t="shared" si="629"/>
        <v>Ecart négatif</v>
      </c>
    </row>
    <row r="3998" spans="1:18" x14ac:dyDescent="0.3">
      <c r="A3998" s="34" t="str">
        <f>base!J3998</f>
        <v>LM</v>
      </c>
      <c r="B3998" s="34" t="str">
        <f>base!V3998</f>
        <v>35044</v>
      </c>
      <c r="C3998" s="37">
        <v>51</v>
      </c>
      <c r="D3998" s="36">
        <f>base!H3998</f>
        <v>55.16</v>
      </c>
      <c r="E3998" s="44"/>
      <c r="F3998" s="16">
        <f>base!W3998</f>
        <v>14.89</v>
      </c>
      <c r="G3998" s="11">
        <f t="shared" si="620"/>
        <v>0.26994198694706312</v>
      </c>
      <c r="H3998" s="11">
        <f t="shared" si="621"/>
        <v>13.79</v>
      </c>
      <c r="I3998" s="11">
        <f t="shared" si="622"/>
        <v>0.25</v>
      </c>
      <c r="J3998" s="12">
        <f t="shared" si="623"/>
        <v>1.1000000000000014</v>
      </c>
      <c r="K3998" s="17" t="str">
        <f t="shared" si="628"/>
        <v>Ecart positif</v>
      </c>
      <c r="L3998" s="16">
        <f>base!X3998</f>
        <v>0</v>
      </c>
      <c r="M3998" s="11">
        <f t="shared" si="624"/>
        <v>0</v>
      </c>
      <c r="N3998" s="11">
        <f t="shared" si="625"/>
        <v>13.79</v>
      </c>
      <c r="O3998" s="11">
        <f t="shared" si="626"/>
        <v>0.25</v>
      </c>
      <c r="P3998" s="12">
        <f t="shared" si="627"/>
        <v>-13.79</v>
      </c>
      <c r="Q3998" s="17" t="str">
        <f t="shared" si="629"/>
        <v>Ecart négatif</v>
      </c>
    </row>
    <row r="3999" spans="1:18" x14ac:dyDescent="0.3">
      <c r="A3999" s="34" t="str">
        <f>base!J3999</f>
        <v>LS</v>
      </c>
      <c r="B3999" s="34" t="str">
        <f>base!V3999</f>
        <v>61230</v>
      </c>
      <c r="C3999" s="37">
        <v>13</v>
      </c>
      <c r="D3999" s="36">
        <f>base!H3999</f>
        <v>86.6</v>
      </c>
      <c r="E3999" s="44"/>
      <c r="F3999" s="16">
        <f>base!W3999</f>
        <v>14.72</v>
      </c>
      <c r="G3999" s="11">
        <f t="shared" si="620"/>
        <v>0.16997690531177831</v>
      </c>
      <c r="H3999" s="11">
        <f t="shared" si="621"/>
        <v>25.113999999999997</v>
      </c>
      <c r="I3999" s="11">
        <f t="shared" si="622"/>
        <v>0.28999999999999998</v>
      </c>
      <c r="J3999" s="12">
        <f t="shared" si="623"/>
        <v>-10.393999999999997</v>
      </c>
      <c r="K3999" s="17" t="str">
        <f t="shared" si="628"/>
        <v>Ecart négatif</v>
      </c>
      <c r="L3999" s="16">
        <f>base!X3999</f>
        <v>0</v>
      </c>
      <c r="M3999" s="11">
        <f t="shared" si="624"/>
        <v>0</v>
      </c>
      <c r="N3999" s="11">
        <f t="shared" si="625"/>
        <v>16.454000000000001</v>
      </c>
      <c r="O3999" s="11">
        <f t="shared" si="626"/>
        <v>0.19000000000000003</v>
      </c>
      <c r="P3999" s="12">
        <f t="shared" si="627"/>
        <v>-16.454000000000001</v>
      </c>
      <c r="Q3999" s="17" t="str">
        <f t="shared" si="629"/>
        <v>Ecart négatif</v>
      </c>
    </row>
    <row r="4000" spans="1:18" x14ac:dyDescent="0.3">
      <c r="A4000" s="34" t="str">
        <f>base!J4000</f>
        <v>LM</v>
      </c>
      <c r="B4000" s="34" t="str">
        <f>base!V4000</f>
        <v>56920</v>
      </c>
      <c r="C4000" s="37">
        <v>51</v>
      </c>
      <c r="D4000" s="36">
        <f>base!H4000</f>
        <v>49.08</v>
      </c>
      <c r="E4000" s="44"/>
      <c r="F4000" s="16">
        <f>base!W4000</f>
        <v>13.25</v>
      </c>
      <c r="G4000" s="11">
        <f t="shared" si="620"/>
        <v>0.26996740016299919</v>
      </c>
      <c r="H4000" s="11">
        <f t="shared" si="621"/>
        <v>12.27</v>
      </c>
      <c r="I4000" s="11">
        <f t="shared" si="622"/>
        <v>0.25</v>
      </c>
      <c r="J4000" s="12">
        <f t="shared" si="623"/>
        <v>0.98000000000000043</v>
      </c>
      <c r="K4000" s="17" t="str">
        <f t="shared" si="628"/>
        <v>Ecart positif</v>
      </c>
      <c r="L4000" s="16">
        <f>base!X4000</f>
        <v>0</v>
      </c>
      <c r="M4000" s="11">
        <f t="shared" si="624"/>
        <v>0</v>
      </c>
      <c r="N4000" s="11">
        <f t="shared" si="625"/>
        <v>12.27</v>
      </c>
      <c r="O4000" s="11">
        <f t="shared" si="626"/>
        <v>0.25</v>
      </c>
      <c r="P4000" s="12">
        <f t="shared" si="627"/>
        <v>-12.27</v>
      </c>
      <c r="Q4000" s="17" t="str">
        <f t="shared" si="629"/>
        <v>Ecart négatif</v>
      </c>
    </row>
    <row r="4001" spans="1:18" x14ac:dyDescent="0.3">
      <c r="A4001" s="34" t="str">
        <f>base!J4001</f>
        <v>RS</v>
      </c>
      <c r="B4001" s="34" t="str">
        <f>base!V4001</f>
        <v>72000</v>
      </c>
      <c r="C4001" s="37">
        <v>72</v>
      </c>
      <c r="D4001" s="36">
        <f>base!H4001</f>
        <v>371.8</v>
      </c>
      <c r="E4001" s="44"/>
      <c r="F4001" s="16">
        <f>base!W4001</f>
        <v>0</v>
      </c>
      <c r="G4001" s="11">
        <f t="shared" si="620"/>
        <v>0</v>
      </c>
      <c r="H4001" s="11">
        <f t="shared" si="621"/>
        <v>78.078000000000003</v>
      </c>
      <c r="I4001" s="11">
        <f t="shared" si="622"/>
        <v>0.21</v>
      </c>
      <c r="J4001" s="12">
        <f t="shared" si="623"/>
        <v>-78.078000000000003</v>
      </c>
      <c r="K4001" s="17" t="str">
        <f t="shared" si="628"/>
        <v>Ecart négatif</v>
      </c>
      <c r="L4001" s="16">
        <f>base!X4001</f>
        <v>44.62</v>
      </c>
      <c r="M4001" s="11">
        <f t="shared" si="624"/>
        <v>0.12001075847229692</v>
      </c>
      <c r="N4001" s="11">
        <f t="shared" si="625"/>
        <v>44.616</v>
      </c>
      <c r="O4001" s="11">
        <f t="shared" si="626"/>
        <v>0.12</v>
      </c>
      <c r="P4001" s="12">
        <f t="shared" si="627"/>
        <v>3.9999999999977831E-3</v>
      </c>
      <c r="Q4001" s="17" t="str">
        <f t="shared" si="629"/>
        <v>Ecart positif</v>
      </c>
      <c r="R4001" s="38"/>
    </row>
    <row r="4002" spans="1:18" x14ac:dyDescent="0.3">
      <c r="A4002" s="34" t="str">
        <f>base!J4002</f>
        <v>RM</v>
      </c>
      <c r="B4002" s="34" t="str">
        <f>base!V4002</f>
        <v>75013</v>
      </c>
      <c r="C4002" s="37">
        <v>75</v>
      </c>
      <c r="D4002" s="36">
        <f>base!H4002</f>
        <v>33.119999999999997</v>
      </c>
      <c r="E4002" s="44"/>
      <c r="F4002" s="16">
        <f>base!W4002</f>
        <v>0</v>
      </c>
      <c r="G4002" s="11">
        <f t="shared" si="620"/>
        <v>0</v>
      </c>
      <c r="H4002" s="11">
        <f t="shared" si="621"/>
        <v>0</v>
      </c>
      <c r="I4002" s="11">
        <f t="shared" si="622"/>
        <v>0</v>
      </c>
      <c r="J4002" s="12">
        <f t="shared" si="623"/>
        <v>0</v>
      </c>
      <c r="K4002" s="17" t="str">
        <f t="shared" si="628"/>
        <v>Pas d'écart</v>
      </c>
      <c r="L4002" s="16">
        <f>base!X4002</f>
        <v>0</v>
      </c>
      <c r="M4002" s="11">
        <f t="shared" si="624"/>
        <v>0</v>
      </c>
      <c r="N4002" s="11">
        <f t="shared" si="625"/>
        <v>0</v>
      </c>
      <c r="O4002" s="11">
        <f t="shared" si="626"/>
        <v>0</v>
      </c>
      <c r="P4002" s="12">
        <f t="shared" si="627"/>
        <v>0</v>
      </c>
      <c r="Q4002" s="17" t="str">
        <f t="shared" si="629"/>
        <v>Pas d'écart</v>
      </c>
    </row>
    <row r="4003" spans="1:18" x14ac:dyDescent="0.3">
      <c r="A4003" s="34" t="str">
        <f>base!J4003</f>
        <v>LM</v>
      </c>
      <c r="B4003" s="34" t="str">
        <f>base!V4003</f>
        <v>13008</v>
      </c>
      <c r="C4003" s="37">
        <v>51</v>
      </c>
      <c r="D4003" s="36">
        <f>base!H4003</f>
        <v>219.76</v>
      </c>
      <c r="E4003" s="44"/>
      <c r="F4003" s="16">
        <f>base!W4003</f>
        <v>63.73</v>
      </c>
      <c r="G4003" s="11">
        <f t="shared" si="620"/>
        <v>0.28999817983254461</v>
      </c>
      <c r="H4003" s="11">
        <f t="shared" si="621"/>
        <v>54.94</v>
      </c>
      <c r="I4003" s="11">
        <f t="shared" si="622"/>
        <v>0.25</v>
      </c>
      <c r="J4003" s="12">
        <f t="shared" si="623"/>
        <v>8.7899999999999991</v>
      </c>
      <c r="K4003" s="17" t="str">
        <f t="shared" si="628"/>
        <v>Ecart positif</v>
      </c>
      <c r="L4003" s="16">
        <f>base!X4003</f>
        <v>0</v>
      </c>
      <c r="M4003" s="11">
        <f t="shared" si="624"/>
        <v>0</v>
      </c>
      <c r="N4003" s="11">
        <f t="shared" si="625"/>
        <v>54.94</v>
      </c>
      <c r="O4003" s="11">
        <f t="shared" si="626"/>
        <v>0.25</v>
      </c>
      <c r="P4003" s="12">
        <f t="shared" si="627"/>
        <v>-54.94</v>
      </c>
      <c r="Q4003" s="17" t="str">
        <f t="shared" si="629"/>
        <v>Ecart négatif</v>
      </c>
    </row>
    <row r="4004" spans="1:18" x14ac:dyDescent="0.3">
      <c r="A4004" s="34" t="str">
        <f>base!J4004</f>
        <v>LS</v>
      </c>
      <c r="B4004" s="34" t="str">
        <f>base!V4004</f>
        <v>38290</v>
      </c>
      <c r="C4004" s="37">
        <v>55</v>
      </c>
      <c r="D4004" s="36">
        <f>base!H4004</f>
        <v>58.35</v>
      </c>
      <c r="E4004" s="44"/>
      <c r="F4004" s="16">
        <f>base!W4004</f>
        <v>15.75</v>
      </c>
      <c r="G4004" s="11">
        <f t="shared" si="620"/>
        <v>0.26992287917737789</v>
      </c>
      <c r="H4004" s="11">
        <f t="shared" si="621"/>
        <v>14.5875</v>
      </c>
      <c r="I4004" s="11">
        <f t="shared" si="622"/>
        <v>0.25</v>
      </c>
      <c r="J4004" s="12">
        <f t="shared" si="623"/>
        <v>1.1624999999999996</v>
      </c>
      <c r="K4004" s="17" t="str">
        <f t="shared" si="628"/>
        <v>Ecart positif</v>
      </c>
      <c r="L4004" s="16">
        <f>base!X4004</f>
        <v>0</v>
      </c>
      <c r="M4004" s="11">
        <f t="shared" si="624"/>
        <v>0</v>
      </c>
      <c r="N4004" s="11">
        <f t="shared" si="625"/>
        <v>14.5875</v>
      </c>
      <c r="O4004" s="11">
        <f t="shared" si="626"/>
        <v>0.25</v>
      </c>
      <c r="P4004" s="12">
        <f t="shared" si="627"/>
        <v>-14.5875</v>
      </c>
      <c r="Q4004" s="17" t="str">
        <f t="shared" si="629"/>
        <v>Ecart négatif</v>
      </c>
    </row>
    <row r="4005" spans="1:18" x14ac:dyDescent="0.3">
      <c r="A4005" s="34" t="str">
        <f>base!J4005</f>
        <v>RM</v>
      </c>
      <c r="B4005" s="34" t="str">
        <f>base!V4005</f>
        <v>21160</v>
      </c>
      <c r="C4005" s="37">
        <v>21</v>
      </c>
      <c r="D4005" s="36">
        <f>base!H4005</f>
        <v>124</v>
      </c>
      <c r="E4005" s="44"/>
      <c r="F4005" s="16">
        <f>base!W4005</f>
        <v>0</v>
      </c>
      <c r="G4005" s="11">
        <f t="shared" si="620"/>
        <v>0</v>
      </c>
      <c r="H4005" s="11">
        <f t="shared" si="621"/>
        <v>29.759999999999998</v>
      </c>
      <c r="I4005" s="11">
        <f t="shared" si="622"/>
        <v>0.24</v>
      </c>
      <c r="J4005" s="12">
        <f t="shared" si="623"/>
        <v>-29.759999999999998</v>
      </c>
      <c r="K4005" s="17" t="str">
        <f t="shared" si="628"/>
        <v>Ecart négatif</v>
      </c>
      <c r="L4005" s="16">
        <f>base!X4005</f>
        <v>0</v>
      </c>
      <c r="M4005" s="11">
        <f t="shared" si="624"/>
        <v>0</v>
      </c>
      <c r="N4005" s="11">
        <f t="shared" si="625"/>
        <v>14.879999999999999</v>
      </c>
      <c r="O4005" s="11">
        <f t="shared" si="626"/>
        <v>0.12</v>
      </c>
      <c r="P4005" s="12">
        <f t="shared" si="627"/>
        <v>-14.879999999999999</v>
      </c>
      <c r="Q4005" s="17" t="str">
        <f t="shared" si="629"/>
        <v>Ecart négatif</v>
      </c>
    </row>
    <row r="4006" spans="1:18" x14ac:dyDescent="0.3">
      <c r="A4006" s="34">
        <f>base!J4006</f>
        <v>0</v>
      </c>
      <c r="B4006" s="34" t="str">
        <f>base!V4006</f>
        <v>77184</v>
      </c>
      <c r="C4006" s="37">
        <v>77</v>
      </c>
      <c r="D4006" s="36">
        <f>base!H4006</f>
        <v>140</v>
      </c>
      <c r="E4006" s="44"/>
      <c r="F4006" s="16">
        <f>base!W4006</f>
        <v>0</v>
      </c>
      <c r="G4006" s="11">
        <f t="shared" si="620"/>
        <v>0</v>
      </c>
      <c r="H4006" s="11">
        <f t="shared" si="621"/>
        <v>0</v>
      </c>
      <c r="I4006" s="11">
        <f t="shared" si="622"/>
        <v>0</v>
      </c>
      <c r="J4006" s="12">
        <f t="shared" si="623"/>
        <v>0</v>
      </c>
      <c r="K4006" s="17" t="str">
        <f t="shared" si="628"/>
        <v>Pas d'écart</v>
      </c>
      <c r="L4006" s="16">
        <f>base!X4006</f>
        <v>0</v>
      </c>
      <c r="M4006" s="11">
        <f t="shared" si="624"/>
        <v>0</v>
      </c>
      <c r="N4006" s="11">
        <f t="shared" si="625"/>
        <v>0</v>
      </c>
      <c r="O4006" s="11">
        <f t="shared" si="626"/>
        <v>0</v>
      </c>
      <c r="P4006" s="12">
        <f t="shared" si="627"/>
        <v>0</v>
      </c>
      <c r="Q4006" s="17" t="str">
        <f t="shared" si="629"/>
        <v>Pas d'écart</v>
      </c>
    </row>
    <row r="4007" spans="1:18" x14ac:dyDescent="0.3">
      <c r="A4007" s="34" t="str">
        <f>base!J4007</f>
        <v>LM</v>
      </c>
      <c r="B4007" s="34" t="str">
        <f>base!V4007</f>
        <v>76420</v>
      </c>
      <c r="C4007" s="37">
        <v>6</v>
      </c>
      <c r="D4007" s="36">
        <f>base!H4007</f>
        <v>171.54</v>
      </c>
      <c r="E4007" s="44"/>
      <c r="F4007" s="16">
        <f>base!W4007</f>
        <v>29.16</v>
      </c>
      <c r="G4007" s="11">
        <f t="shared" si="620"/>
        <v>0.16998950682056663</v>
      </c>
      <c r="H4007" s="11">
        <f t="shared" si="621"/>
        <v>51.461999999999996</v>
      </c>
      <c r="I4007" s="11">
        <f t="shared" si="622"/>
        <v>0.3</v>
      </c>
      <c r="J4007" s="12">
        <f t="shared" si="623"/>
        <v>-22.301999999999996</v>
      </c>
      <c r="K4007" s="17" t="str">
        <f t="shared" si="628"/>
        <v>Ecart négatif</v>
      </c>
      <c r="L4007" s="16">
        <f>base!X4007</f>
        <v>0</v>
      </c>
      <c r="M4007" s="11">
        <f t="shared" si="624"/>
        <v>0</v>
      </c>
      <c r="N4007" s="11">
        <f t="shared" si="625"/>
        <v>36.023399999999995</v>
      </c>
      <c r="O4007" s="11">
        <f t="shared" si="626"/>
        <v>0.21</v>
      </c>
      <c r="P4007" s="12">
        <f t="shared" si="627"/>
        <v>-36.023399999999995</v>
      </c>
      <c r="Q4007" s="17" t="str">
        <f t="shared" si="629"/>
        <v>Ecart négatif</v>
      </c>
    </row>
    <row r="4008" spans="1:18" x14ac:dyDescent="0.3">
      <c r="A4008" s="34" t="str">
        <f>base!J4008</f>
        <v>LM</v>
      </c>
      <c r="B4008" s="34" t="str">
        <f>base!V4008</f>
        <v>76700</v>
      </c>
      <c r="C4008" s="37">
        <v>6</v>
      </c>
      <c r="D4008" s="36">
        <f>base!H4008</f>
        <v>153.69999999999999</v>
      </c>
      <c r="E4008" s="44"/>
      <c r="F4008" s="16">
        <f>base!W4008</f>
        <v>26.13</v>
      </c>
      <c r="G4008" s="11">
        <f t="shared" si="620"/>
        <v>0.17000650618087185</v>
      </c>
      <c r="H4008" s="11">
        <f t="shared" si="621"/>
        <v>46.109999999999992</v>
      </c>
      <c r="I4008" s="11">
        <f t="shared" si="622"/>
        <v>0.3</v>
      </c>
      <c r="J4008" s="12">
        <f t="shared" si="623"/>
        <v>-19.979999999999993</v>
      </c>
      <c r="K4008" s="17" t="str">
        <f t="shared" si="628"/>
        <v>Ecart négatif</v>
      </c>
      <c r="L4008" s="16">
        <f>base!X4008</f>
        <v>0</v>
      </c>
      <c r="M4008" s="11">
        <f t="shared" si="624"/>
        <v>0</v>
      </c>
      <c r="N4008" s="11">
        <f t="shared" si="625"/>
        <v>32.276999999999994</v>
      </c>
      <c r="O4008" s="11">
        <f t="shared" si="626"/>
        <v>0.20999999999999996</v>
      </c>
      <c r="P4008" s="12">
        <f t="shared" si="627"/>
        <v>-32.276999999999994</v>
      </c>
      <c r="Q4008" s="17" t="str">
        <f t="shared" si="629"/>
        <v>Ecart négatif</v>
      </c>
    </row>
    <row r="4009" spans="1:18" x14ac:dyDescent="0.3">
      <c r="A4009" s="34">
        <f>base!J4009</f>
        <v>0</v>
      </c>
      <c r="B4009" s="34" t="str">
        <f>base!V4009</f>
        <v>44240</v>
      </c>
      <c r="C4009" s="37">
        <v>44</v>
      </c>
      <c r="D4009" s="36">
        <f>base!H4009</f>
        <v>31</v>
      </c>
      <c r="E4009" s="44"/>
      <c r="F4009" s="16">
        <f>base!W4009</f>
        <v>0</v>
      </c>
      <c r="G4009" s="11">
        <f t="shared" si="620"/>
        <v>0</v>
      </c>
      <c r="H4009" s="11">
        <f t="shared" si="621"/>
        <v>8.370000000000001</v>
      </c>
      <c r="I4009" s="11">
        <f t="shared" si="622"/>
        <v>0.27</v>
      </c>
      <c r="J4009" s="12">
        <f t="shared" si="623"/>
        <v>-8.370000000000001</v>
      </c>
      <c r="K4009" s="17" t="str">
        <f t="shared" si="628"/>
        <v>Ecart négatif</v>
      </c>
      <c r="L4009" s="16">
        <f>base!X4009</f>
        <v>0</v>
      </c>
      <c r="M4009" s="11">
        <f t="shared" si="624"/>
        <v>0</v>
      </c>
      <c r="N4009" s="11">
        <f t="shared" si="625"/>
        <v>0</v>
      </c>
      <c r="O4009" s="11">
        <f t="shared" si="626"/>
        <v>0</v>
      </c>
      <c r="P4009" s="12">
        <f t="shared" si="627"/>
        <v>0</v>
      </c>
      <c r="Q4009" s="17" t="str">
        <f t="shared" si="629"/>
        <v>Pas d'écart</v>
      </c>
    </row>
    <row r="4010" spans="1:18" x14ac:dyDescent="0.3">
      <c r="A4010" s="34">
        <f>base!J4010</f>
        <v>0</v>
      </c>
      <c r="B4010" s="34" t="str">
        <f>base!V4010</f>
        <v>44240</v>
      </c>
      <c r="C4010" s="37">
        <v>44</v>
      </c>
      <c r="D4010" s="36">
        <f>base!H4010</f>
        <v>31</v>
      </c>
      <c r="E4010" s="44"/>
      <c r="F4010" s="16">
        <f>base!W4010</f>
        <v>0</v>
      </c>
      <c r="G4010" s="11">
        <f t="shared" si="620"/>
        <v>0</v>
      </c>
      <c r="H4010" s="11">
        <f t="shared" si="621"/>
        <v>8.370000000000001</v>
      </c>
      <c r="I4010" s="11">
        <f t="shared" si="622"/>
        <v>0.27</v>
      </c>
      <c r="J4010" s="12">
        <f t="shared" si="623"/>
        <v>-8.370000000000001</v>
      </c>
      <c r="K4010" s="17" t="str">
        <f t="shared" si="628"/>
        <v>Ecart négatif</v>
      </c>
      <c r="L4010" s="16">
        <f>base!X4010</f>
        <v>0</v>
      </c>
      <c r="M4010" s="11">
        <f t="shared" si="624"/>
        <v>0</v>
      </c>
      <c r="N4010" s="11">
        <f t="shared" si="625"/>
        <v>0</v>
      </c>
      <c r="O4010" s="11">
        <f t="shared" si="626"/>
        <v>0</v>
      </c>
      <c r="P4010" s="12">
        <f t="shared" si="627"/>
        <v>0</v>
      </c>
      <c r="Q4010" s="17" t="str">
        <f t="shared" si="629"/>
        <v>Pas d'écart</v>
      </c>
    </row>
    <row r="4011" spans="1:18" x14ac:dyDescent="0.3">
      <c r="A4011" s="34">
        <f>base!J4011</f>
        <v>0</v>
      </c>
      <c r="B4011" s="34" t="str">
        <f>base!V4011</f>
        <v>44240</v>
      </c>
      <c r="C4011" s="37">
        <v>44</v>
      </c>
      <c r="D4011" s="36">
        <f>base!H4011</f>
        <v>31</v>
      </c>
      <c r="E4011" s="44"/>
      <c r="F4011" s="16">
        <f>base!W4011</f>
        <v>0</v>
      </c>
      <c r="G4011" s="11">
        <f t="shared" si="620"/>
        <v>0</v>
      </c>
      <c r="H4011" s="11">
        <f t="shared" si="621"/>
        <v>8.370000000000001</v>
      </c>
      <c r="I4011" s="11">
        <f t="shared" si="622"/>
        <v>0.27</v>
      </c>
      <c r="J4011" s="12">
        <f t="shared" si="623"/>
        <v>-8.370000000000001</v>
      </c>
      <c r="K4011" s="17" t="str">
        <f t="shared" si="628"/>
        <v>Ecart négatif</v>
      </c>
      <c r="L4011" s="16">
        <f>base!X4011</f>
        <v>0</v>
      </c>
      <c r="M4011" s="11">
        <f t="shared" si="624"/>
        <v>0</v>
      </c>
      <c r="N4011" s="11">
        <f t="shared" si="625"/>
        <v>0</v>
      </c>
      <c r="O4011" s="11">
        <f t="shared" si="626"/>
        <v>0</v>
      </c>
      <c r="P4011" s="12">
        <f t="shared" si="627"/>
        <v>0</v>
      </c>
      <c r="Q4011" s="17" t="str">
        <f t="shared" si="629"/>
        <v>Pas d'écart</v>
      </c>
    </row>
    <row r="4012" spans="1:18" x14ac:dyDescent="0.3">
      <c r="A4012" s="34">
        <f>base!J4012</f>
        <v>0</v>
      </c>
      <c r="B4012" s="34" t="str">
        <f>base!V4012</f>
        <v>44240</v>
      </c>
      <c r="C4012" s="37">
        <v>44</v>
      </c>
      <c r="D4012" s="36">
        <f>base!H4012</f>
        <v>34</v>
      </c>
      <c r="E4012" s="44"/>
      <c r="F4012" s="16">
        <f>base!W4012</f>
        <v>0</v>
      </c>
      <c r="G4012" s="11">
        <f t="shared" si="620"/>
        <v>0</v>
      </c>
      <c r="H4012" s="11">
        <f t="shared" si="621"/>
        <v>9.18</v>
      </c>
      <c r="I4012" s="11">
        <f t="shared" si="622"/>
        <v>0.27</v>
      </c>
      <c r="J4012" s="12">
        <f t="shared" si="623"/>
        <v>-9.18</v>
      </c>
      <c r="K4012" s="17" t="str">
        <f t="shared" si="628"/>
        <v>Ecart négatif</v>
      </c>
      <c r="L4012" s="16">
        <f>base!X4012</f>
        <v>0</v>
      </c>
      <c r="M4012" s="11">
        <f t="shared" si="624"/>
        <v>0</v>
      </c>
      <c r="N4012" s="11">
        <f t="shared" si="625"/>
        <v>0</v>
      </c>
      <c r="O4012" s="11">
        <f t="shared" si="626"/>
        <v>0</v>
      </c>
      <c r="P4012" s="12">
        <f t="shared" si="627"/>
        <v>0</v>
      </c>
      <c r="Q4012" s="17" t="str">
        <f t="shared" si="629"/>
        <v>Pas d'écart</v>
      </c>
    </row>
    <row r="4013" spans="1:18" x14ac:dyDescent="0.3">
      <c r="A4013" s="34">
        <f>base!J4013</f>
        <v>0</v>
      </c>
      <c r="B4013" s="34" t="str">
        <f>base!V4013</f>
        <v>77184</v>
      </c>
      <c r="C4013" s="37">
        <v>77</v>
      </c>
      <c r="D4013" s="36">
        <f>base!H4013</f>
        <v>70</v>
      </c>
      <c r="E4013" s="44"/>
      <c r="F4013" s="16">
        <f>base!W4013</f>
        <v>0</v>
      </c>
      <c r="G4013" s="11">
        <f t="shared" si="620"/>
        <v>0</v>
      </c>
      <c r="H4013" s="11">
        <f t="shared" si="621"/>
        <v>0</v>
      </c>
      <c r="I4013" s="11">
        <f t="shared" si="622"/>
        <v>0</v>
      </c>
      <c r="J4013" s="12">
        <f t="shared" si="623"/>
        <v>0</v>
      </c>
      <c r="K4013" s="17" t="str">
        <f t="shared" si="628"/>
        <v>Pas d'écart</v>
      </c>
      <c r="L4013" s="16">
        <f>base!X4013</f>
        <v>0</v>
      </c>
      <c r="M4013" s="11">
        <f t="shared" si="624"/>
        <v>0</v>
      </c>
      <c r="N4013" s="11">
        <f t="shared" si="625"/>
        <v>0</v>
      </c>
      <c r="O4013" s="11">
        <f t="shared" si="626"/>
        <v>0</v>
      </c>
      <c r="P4013" s="12">
        <f t="shared" si="627"/>
        <v>0</v>
      </c>
      <c r="Q4013" s="17" t="str">
        <f t="shared" si="629"/>
        <v>Pas d'écart</v>
      </c>
    </row>
    <row r="4014" spans="1:18" x14ac:dyDescent="0.3">
      <c r="A4014" s="34">
        <f>base!J4014</f>
        <v>0</v>
      </c>
      <c r="B4014" s="34" t="str">
        <f>base!V4014</f>
        <v>77184</v>
      </c>
      <c r="C4014" s="37">
        <v>77</v>
      </c>
      <c r="D4014" s="36">
        <f>base!H4014</f>
        <v>84.5</v>
      </c>
      <c r="E4014" s="44"/>
      <c r="F4014" s="16">
        <f>base!W4014</f>
        <v>0</v>
      </c>
      <c r="G4014" s="11">
        <f t="shared" si="620"/>
        <v>0</v>
      </c>
      <c r="H4014" s="11">
        <f t="shared" si="621"/>
        <v>0</v>
      </c>
      <c r="I4014" s="11">
        <f t="shared" si="622"/>
        <v>0</v>
      </c>
      <c r="J4014" s="12">
        <f t="shared" si="623"/>
        <v>0</v>
      </c>
      <c r="K4014" s="17" t="str">
        <f t="shared" si="628"/>
        <v>Pas d'écart</v>
      </c>
      <c r="L4014" s="16">
        <f>base!X4014</f>
        <v>0</v>
      </c>
      <c r="M4014" s="11">
        <f t="shared" si="624"/>
        <v>0</v>
      </c>
      <c r="N4014" s="11">
        <f t="shared" si="625"/>
        <v>0</v>
      </c>
      <c r="O4014" s="11">
        <f t="shared" si="626"/>
        <v>0</v>
      </c>
      <c r="P4014" s="12">
        <f t="shared" si="627"/>
        <v>0</v>
      </c>
      <c r="Q4014" s="17" t="str">
        <f t="shared" si="629"/>
        <v>Pas d'écart</v>
      </c>
    </row>
    <row r="4015" spans="1:18" x14ac:dyDescent="0.3">
      <c r="A4015" s="34">
        <f>base!J4015</f>
        <v>0</v>
      </c>
      <c r="B4015" s="34" t="str">
        <f>base!V4015</f>
        <v>77184</v>
      </c>
      <c r="C4015" s="37">
        <v>77</v>
      </c>
      <c r="D4015" s="36">
        <f>base!H4015</f>
        <v>171</v>
      </c>
      <c r="E4015" s="44"/>
      <c r="F4015" s="16">
        <f>base!W4015</f>
        <v>0</v>
      </c>
      <c r="G4015" s="11">
        <f t="shared" si="620"/>
        <v>0</v>
      </c>
      <c r="H4015" s="11">
        <f t="shared" si="621"/>
        <v>0</v>
      </c>
      <c r="I4015" s="11">
        <f t="shared" si="622"/>
        <v>0</v>
      </c>
      <c r="J4015" s="12">
        <f t="shared" si="623"/>
        <v>0</v>
      </c>
      <c r="K4015" s="17" t="str">
        <f t="shared" si="628"/>
        <v>Pas d'écart</v>
      </c>
      <c r="L4015" s="16">
        <f>base!X4015</f>
        <v>0</v>
      </c>
      <c r="M4015" s="11">
        <f t="shared" si="624"/>
        <v>0</v>
      </c>
      <c r="N4015" s="11">
        <f t="shared" si="625"/>
        <v>0</v>
      </c>
      <c r="O4015" s="11">
        <f t="shared" si="626"/>
        <v>0</v>
      </c>
      <c r="P4015" s="12">
        <f t="shared" si="627"/>
        <v>0</v>
      </c>
      <c r="Q4015" s="17" t="str">
        <f t="shared" si="629"/>
        <v>Pas d'écart</v>
      </c>
    </row>
    <row r="4016" spans="1:18" x14ac:dyDescent="0.3">
      <c r="A4016" s="34">
        <f>base!J4016</f>
        <v>0</v>
      </c>
      <c r="B4016" s="34" t="str">
        <f>base!V4016</f>
        <v>77184</v>
      </c>
      <c r="C4016" s="37">
        <v>77</v>
      </c>
      <c r="D4016" s="36">
        <f>base!H4016</f>
        <v>62.6</v>
      </c>
      <c r="E4016" s="44"/>
      <c r="F4016" s="16">
        <f>base!W4016</f>
        <v>0</v>
      </c>
      <c r="G4016" s="11">
        <f t="shared" si="620"/>
        <v>0</v>
      </c>
      <c r="H4016" s="11">
        <f t="shared" si="621"/>
        <v>0</v>
      </c>
      <c r="I4016" s="11">
        <f t="shared" si="622"/>
        <v>0</v>
      </c>
      <c r="J4016" s="12">
        <f t="shared" si="623"/>
        <v>0</v>
      </c>
      <c r="K4016" s="17" t="str">
        <f t="shared" si="628"/>
        <v>Pas d'écart</v>
      </c>
      <c r="L4016" s="16">
        <f>base!X4016</f>
        <v>0</v>
      </c>
      <c r="M4016" s="11">
        <f t="shared" si="624"/>
        <v>0</v>
      </c>
      <c r="N4016" s="11">
        <f t="shared" si="625"/>
        <v>0</v>
      </c>
      <c r="O4016" s="11">
        <f t="shared" si="626"/>
        <v>0</v>
      </c>
      <c r="P4016" s="12">
        <f t="shared" si="627"/>
        <v>0</v>
      </c>
      <c r="Q4016" s="17" t="str">
        <f t="shared" si="629"/>
        <v>Pas d'écart</v>
      </c>
    </row>
    <row r="4017" spans="1:18" x14ac:dyDescent="0.3">
      <c r="A4017" s="34">
        <f>base!J4017</f>
        <v>0</v>
      </c>
      <c r="B4017" s="34" t="str">
        <f>base!V4017</f>
        <v>77184</v>
      </c>
      <c r="C4017" s="37">
        <v>77</v>
      </c>
      <c r="D4017" s="36">
        <f>base!H4017</f>
        <v>84.5</v>
      </c>
      <c r="E4017" s="44"/>
      <c r="F4017" s="16">
        <f>base!W4017</f>
        <v>0</v>
      </c>
      <c r="G4017" s="11">
        <f t="shared" si="620"/>
        <v>0</v>
      </c>
      <c r="H4017" s="11">
        <f t="shared" si="621"/>
        <v>0</v>
      </c>
      <c r="I4017" s="11">
        <f t="shared" si="622"/>
        <v>0</v>
      </c>
      <c r="J4017" s="12">
        <f t="shared" si="623"/>
        <v>0</v>
      </c>
      <c r="K4017" s="17" t="str">
        <f t="shared" si="628"/>
        <v>Pas d'écart</v>
      </c>
      <c r="L4017" s="16">
        <f>base!X4017</f>
        <v>0</v>
      </c>
      <c r="M4017" s="11">
        <f t="shared" si="624"/>
        <v>0</v>
      </c>
      <c r="N4017" s="11">
        <f t="shared" si="625"/>
        <v>0</v>
      </c>
      <c r="O4017" s="11">
        <f t="shared" si="626"/>
        <v>0</v>
      </c>
      <c r="P4017" s="12">
        <f t="shared" si="627"/>
        <v>0</v>
      </c>
      <c r="Q4017" s="17" t="str">
        <f t="shared" si="629"/>
        <v>Pas d'écart</v>
      </c>
    </row>
    <row r="4018" spans="1:18" x14ac:dyDescent="0.3">
      <c r="A4018" s="34" t="str">
        <f>base!J4018</f>
        <v>RM</v>
      </c>
      <c r="B4018" s="34" t="str">
        <f>base!V4018</f>
        <v>06190</v>
      </c>
      <c r="C4018" s="37">
        <v>6</v>
      </c>
      <c r="D4018" s="36">
        <f>base!H4018</f>
        <v>64</v>
      </c>
      <c r="E4018" s="44"/>
      <c r="F4018" s="16">
        <f>base!W4018</f>
        <v>0</v>
      </c>
      <c r="G4018" s="11">
        <f t="shared" si="620"/>
        <v>0</v>
      </c>
      <c r="H4018" s="11">
        <f t="shared" si="621"/>
        <v>19.2</v>
      </c>
      <c r="I4018" s="11">
        <f t="shared" si="622"/>
        <v>0.3</v>
      </c>
      <c r="J4018" s="12">
        <f t="shared" si="623"/>
        <v>-19.2</v>
      </c>
      <c r="K4018" s="17" t="str">
        <f t="shared" si="628"/>
        <v>Ecart négatif</v>
      </c>
      <c r="L4018" s="16">
        <f>base!X4018</f>
        <v>19.2</v>
      </c>
      <c r="M4018" s="11">
        <f t="shared" si="624"/>
        <v>0.3</v>
      </c>
      <c r="N4018" s="11">
        <f t="shared" si="625"/>
        <v>13.44</v>
      </c>
      <c r="O4018" s="11">
        <f t="shared" si="626"/>
        <v>0.21</v>
      </c>
      <c r="P4018" s="12">
        <f t="shared" si="627"/>
        <v>5.76</v>
      </c>
      <c r="Q4018" s="17" t="str">
        <f t="shared" si="629"/>
        <v>Ecart positif</v>
      </c>
      <c r="R4018" s="38"/>
    </row>
    <row r="4019" spans="1:18" x14ac:dyDescent="0.3">
      <c r="A4019" s="34" t="str">
        <f>base!J4019</f>
        <v>RS</v>
      </c>
      <c r="B4019" s="34" t="str">
        <f>base!V4019</f>
        <v>66000</v>
      </c>
      <c r="C4019" s="37">
        <v>66</v>
      </c>
      <c r="D4019" s="36">
        <f>base!H4019</f>
        <v>70</v>
      </c>
      <c r="E4019" s="44"/>
      <c r="F4019" s="16">
        <f>base!W4019</f>
        <v>0</v>
      </c>
      <c r="G4019" s="11">
        <f t="shared" si="620"/>
        <v>0</v>
      </c>
      <c r="H4019" s="11">
        <f t="shared" si="621"/>
        <v>23.8</v>
      </c>
      <c r="I4019" s="11">
        <f t="shared" si="622"/>
        <v>0.34</v>
      </c>
      <c r="J4019" s="12">
        <f t="shared" si="623"/>
        <v>-23.8</v>
      </c>
      <c r="K4019" s="17" t="str">
        <f t="shared" si="628"/>
        <v>Ecart négatif</v>
      </c>
      <c r="L4019" s="16">
        <f>base!X4019</f>
        <v>19.600000000000001</v>
      </c>
      <c r="M4019" s="11">
        <f t="shared" si="624"/>
        <v>0.28000000000000003</v>
      </c>
      <c r="N4019" s="11">
        <f t="shared" si="625"/>
        <v>19.600000000000001</v>
      </c>
      <c r="O4019" s="11">
        <f t="shared" si="626"/>
        <v>0.28000000000000003</v>
      </c>
      <c r="P4019" s="12">
        <f t="shared" si="627"/>
        <v>0</v>
      </c>
      <c r="Q4019" s="17" t="str">
        <f t="shared" si="629"/>
        <v>Pas d'écart</v>
      </c>
      <c r="R4019" s="38"/>
    </row>
    <row r="4020" spans="1:18" x14ac:dyDescent="0.3">
      <c r="A4020" s="34" t="str">
        <f>base!J4020</f>
        <v>LS</v>
      </c>
      <c r="B4020" s="34" t="str">
        <f>base!V4020</f>
        <v>51130</v>
      </c>
      <c r="C4020" s="37">
        <v>13</v>
      </c>
      <c r="D4020" s="36">
        <f>base!H4020</f>
        <v>131.49</v>
      </c>
      <c r="E4020" s="44"/>
      <c r="F4020" s="16">
        <f>base!W4020</f>
        <v>32.869999999999997</v>
      </c>
      <c r="G4020" s="11">
        <f t="shared" si="620"/>
        <v>0.24998098714731154</v>
      </c>
      <c r="H4020" s="11">
        <f t="shared" si="621"/>
        <v>38.132100000000001</v>
      </c>
      <c r="I4020" s="11">
        <f t="shared" si="622"/>
        <v>0.28999999999999998</v>
      </c>
      <c r="J4020" s="12">
        <f t="shared" si="623"/>
        <v>-5.2621000000000038</v>
      </c>
      <c r="K4020" s="17" t="str">
        <f t="shared" si="628"/>
        <v>Ecart négatif</v>
      </c>
      <c r="L4020" s="16">
        <f>base!X4020</f>
        <v>0</v>
      </c>
      <c r="M4020" s="11">
        <f t="shared" si="624"/>
        <v>0</v>
      </c>
      <c r="N4020" s="11">
        <f t="shared" si="625"/>
        <v>24.9831</v>
      </c>
      <c r="O4020" s="11">
        <f t="shared" si="626"/>
        <v>0.19</v>
      </c>
      <c r="P4020" s="12">
        <f t="shared" si="627"/>
        <v>-24.9831</v>
      </c>
      <c r="Q4020" s="17" t="str">
        <f t="shared" si="629"/>
        <v>Ecart négatif</v>
      </c>
    </row>
    <row r="4021" spans="1:18" x14ac:dyDescent="0.3">
      <c r="A4021" s="34" t="str">
        <f>base!J4021</f>
        <v>LS</v>
      </c>
      <c r="B4021" s="34" t="str">
        <f>base!V4021</f>
        <v>59770</v>
      </c>
      <c r="C4021" s="37">
        <v>54</v>
      </c>
      <c r="D4021" s="36">
        <f>base!H4021</f>
        <v>136.65</v>
      </c>
      <c r="E4021" s="44"/>
      <c r="F4021" s="16">
        <f>base!W4021</f>
        <v>25.96</v>
      </c>
      <c r="G4021" s="11">
        <f t="shared" si="620"/>
        <v>0.18997438712038053</v>
      </c>
      <c r="H4021" s="11">
        <f t="shared" si="621"/>
        <v>34.162500000000001</v>
      </c>
      <c r="I4021" s="11">
        <f t="shared" si="622"/>
        <v>0.25</v>
      </c>
      <c r="J4021" s="12">
        <f t="shared" si="623"/>
        <v>-8.2025000000000006</v>
      </c>
      <c r="K4021" s="17" t="str">
        <f t="shared" si="628"/>
        <v>Ecart négatif</v>
      </c>
      <c r="L4021" s="16">
        <f>base!X4021</f>
        <v>0</v>
      </c>
      <c r="M4021" s="11">
        <f t="shared" si="624"/>
        <v>0</v>
      </c>
      <c r="N4021" s="11">
        <f t="shared" si="625"/>
        <v>34.162500000000001</v>
      </c>
      <c r="O4021" s="11">
        <f t="shared" si="626"/>
        <v>0.25</v>
      </c>
      <c r="P4021" s="12">
        <f t="shared" si="627"/>
        <v>-34.162500000000001</v>
      </c>
      <c r="Q4021" s="17" t="str">
        <f t="shared" si="629"/>
        <v>Ecart négatif</v>
      </c>
    </row>
    <row r="4022" spans="1:18" x14ac:dyDescent="0.3">
      <c r="A4022" s="34" t="str">
        <f>base!J4022</f>
        <v>LM</v>
      </c>
      <c r="B4022" s="34" t="str">
        <f>base!V4022</f>
        <v>38330</v>
      </c>
      <c r="C4022" s="37">
        <v>51</v>
      </c>
      <c r="D4022" s="36">
        <f>base!H4022</f>
        <v>33.35</v>
      </c>
      <c r="E4022" s="44"/>
      <c r="F4022" s="16">
        <f>base!W4022</f>
        <v>9</v>
      </c>
      <c r="G4022" s="11">
        <f t="shared" si="620"/>
        <v>0.26986506746626687</v>
      </c>
      <c r="H4022" s="11">
        <f t="shared" si="621"/>
        <v>8.3375000000000004</v>
      </c>
      <c r="I4022" s="11">
        <f t="shared" si="622"/>
        <v>0.25</v>
      </c>
      <c r="J4022" s="12">
        <f t="shared" si="623"/>
        <v>0.66249999999999964</v>
      </c>
      <c r="K4022" s="17" t="str">
        <f t="shared" si="628"/>
        <v>Ecart positif</v>
      </c>
      <c r="L4022" s="16">
        <f>base!X4022</f>
        <v>0</v>
      </c>
      <c r="M4022" s="11">
        <f t="shared" si="624"/>
        <v>0</v>
      </c>
      <c r="N4022" s="11">
        <f t="shared" si="625"/>
        <v>8.3375000000000004</v>
      </c>
      <c r="O4022" s="11">
        <f t="shared" si="626"/>
        <v>0.25</v>
      </c>
      <c r="P4022" s="12">
        <f t="shared" si="627"/>
        <v>-8.3375000000000004</v>
      </c>
      <c r="Q4022" s="17" t="str">
        <f t="shared" si="629"/>
        <v>Ecart négatif</v>
      </c>
    </row>
    <row r="4023" spans="1:18" x14ac:dyDescent="0.3">
      <c r="A4023" s="34" t="str">
        <f>base!J4023</f>
        <v>LM</v>
      </c>
      <c r="B4023" s="34" t="str">
        <f>base!V4023</f>
        <v>86510</v>
      </c>
      <c r="C4023" s="37">
        <v>51</v>
      </c>
      <c r="D4023" s="36">
        <f>base!H4023</f>
        <v>126.72</v>
      </c>
      <c r="E4023" s="44"/>
      <c r="F4023" s="16">
        <f>base!W4023</f>
        <v>26.61</v>
      </c>
      <c r="G4023" s="11">
        <f t="shared" si="620"/>
        <v>0.2099905303030303</v>
      </c>
      <c r="H4023" s="11">
        <f t="shared" si="621"/>
        <v>31.68</v>
      </c>
      <c r="I4023" s="11">
        <f t="shared" si="622"/>
        <v>0.25</v>
      </c>
      <c r="J4023" s="12">
        <f t="shared" si="623"/>
        <v>-5.07</v>
      </c>
      <c r="K4023" s="17" t="str">
        <f t="shared" si="628"/>
        <v>Ecart négatif</v>
      </c>
      <c r="L4023" s="16">
        <f>base!X4023</f>
        <v>0</v>
      </c>
      <c r="M4023" s="11">
        <f t="shared" si="624"/>
        <v>0</v>
      </c>
      <c r="N4023" s="11">
        <f t="shared" si="625"/>
        <v>31.68</v>
      </c>
      <c r="O4023" s="11">
        <f t="shared" si="626"/>
        <v>0.25</v>
      </c>
      <c r="P4023" s="12">
        <f t="shared" si="627"/>
        <v>-31.68</v>
      </c>
      <c r="Q4023" s="17" t="str">
        <f t="shared" si="629"/>
        <v>Ecart négatif</v>
      </c>
    </row>
    <row r="4024" spans="1:18" x14ac:dyDescent="0.3">
      <c r="A4024" s="34" t="str">
        <f>base!J4024</f>
        <v>LM</v>
      </c>
      <c r="B4024" s="34" t="str">
        <f>base!V4024</f>
        <v>75014</v>
      </c>
      <c r="C4024" s="37">
        <v>75</v>
      </c>
      <c r="D4024" s="36">
        <f>base!H4024</f>
        <v>107.6</v>
      </c>
      <c r="E4024" s="44"/>
      <c r="F4024" s="16">
        <f>base!W4024</f>
        <v>0</v>
      </c>
      <c r="G4024" s="11">
        <f t="shared" si="620"/>
        <v>0</v>
      </c>
      <c r="H4024" s="11">
        <f t="shared" si="621"/>
        <v>0</v>
      </c>
      <c r="I4024" s="11">
        <f t="shared" si="622"/>
        <v>0</v>
      </c>
      <c r="J4024" s="12">
        <f t="shared" si="623"/>
        <v>0</v>
      </c>
      <c r="K4024" s="17" t="str">
        <f t="shared" si="628"/>
        <v>Pas d'écart</v>
      </c>
      <c r="L4024" s="16">
        <f>base!X4024</f>
        <v>0</v>
      </c>
      <c r="M4024" s="11">
        <f t="shared" si="624"/>
        <v>0</v>
      </c>
      <c r="N4024" s="11">
        <f t="shared" si="625"/>
        <v>0</v>
      </c>
      <c r="O4024" s="11">
        <f t="shared" si="626"/>
        <v>0</v>
      </c>
      <c r="P4024" s="12">
        <f t="shared" si="627"/>
        <v>0</v>
      </c>
      <c r="Q4024" s="17" t="str">
        <f t="shared" si="629"/>
        <v>Pas d'écart</v>
      </c>
    </row>
    <row r="4025" spans="1:18" x14ac:dyDescent="0.3">
      <c r="A4025" s="34" t="str">
        <f>base!J4025</f>
        <v>LM</v>
      </c>
      <c r="B4025" s="34" t="str">
        <f>base!V4025</f>
        <v>75014</v>
      </c>
      <c r="C4025" s="37">
        <v>75</v>
      </c>
      <c r="D4025" s="36">
        <f>base!H4025</f>
        <v>107.6</v>
      </c>
      <c r="E4025" s="44"/>
      <c r="F4025" s="16">
        <f>base!W4025</f>
        <v>0</v>
      </c>
      <c r="G4025" s="11">
        <f t="shared" si="620"/>
        <v>0</v>
      </c>
      <c r="H4025" s="11">
        <f t="shared" si="621"/>
        <v>0</v>
      </c>
      <c r="I4025" s="11">
        <f t="shared" si="622"/>
        <v>0</v>
      </c>
      <c r="J4025" s="12">
        <f t="shared" si="623"/>
        <v>0</v>
      </c>
      <c r="K4025" s="17" t="str">
        <f t="shared" si="628"/>
        <v>Pas d'écart</v>
      </c>
      <c r="L4025" s="16">
        <f>base!X4025</f>
        <v>0</v>
      </c>
      <c r="M4025" s="11">
        <f t="shared" si="624"/>
        <v>0</v>
      </c>
      <c r="N4025" s="11">
        <f t="shared" si="625"/>
        <v>0</v>
      </c>
      <c r="O4025" s="11">
        <f t="shared" si="626"/>
        <v>0</v>
      </c>
      <c r="P4025" s="12">
        <f t="shared" si="627"/>
        <v>0</v>
      </c>
      <c r="Q4025" s="17" t="str">
        <f t="shared" si="629"/>
        <v>Pas d'écart</v>
      </c>
    </row>
    <row r="4026" spans="1:18" x14ac:dyDescent="0.3">
      <c r="A4026" s="34" t="str">
        <f>base!J4026</f>
        <v>LM</v>
      </c>
      <c r="B4026" s="34" t="str">
        <f>base!V4026</f>
        <v>15000</v>
      </c>
      <c r="C4026" s="37">
        <v>54</v>
      </c>
      <c r="D4026" s="36">
        <f>base!H4026</f>
        <v>138.12</v>
      </c>
      <c r="E4026" s="44"/>
      <c r="F4026" s="16">
        <f>base!W4026</f>
        <v>40.049999999999997</v>
      </c>
      <c r="G4026" s="11">
        <f t="shared" si="620"/>
        <v>0.28996524761077319</v>
      </c>
      <c r="H4026" s="11">
        <f t="shared" si="621"/>
        <v>34.53</v>
      </c>
      <c r="I4026" s="11">
        <f t="shared" si="622"/>
        <v>0.25</v>
      </c>
      <c r="J4026" s="12">
        <f t="shared" si="623"/>
        <v>5.519999999999996</v>
      </c>
      <c r="K4026" s="17" t="str">
        <f t="shared" si="628"/>
        <v>Ecart positif</v>
      </c>
      <c r="L4026" s="16">
        <f>base!X4026</f>
        <v>0</v>
      </c>
      <c r="M4026" s="11">
        <f t="shared" si="624"/>
        <v>0</v>
      </c>
      <c r="N4026" s="11">
        <f t="shared" si="625"/>
        <v>34.53</v>
      </c>
      <c r="O4026" s="11">
        <f t="shared" si="626"/>
        <v>0.25</v>
      </c>
      <c r="P4026" s="12">
        <f t="shared" si="627"/>
        <v>-34.53</v>
      </c>
      <c r="Q4026" s="17" t="str">
        <f t="shared" si="629"/>
        <v>Ecart négatif</v>
      </c>
    </row>
    <row r="4027" spans="1:18" x14ac:dyDescent="0.3">
      <c r="A4027" s="34" t="str">
        <f>base!J4027</f>
        <v>LS</v>
      </c>
      <c r="B4027" s="34" t="str">
        <f>base!V4027</f>
        <v>75014</v>
      </c>
      <c r="C4027" s="37">
        <v>75</v>
      </c>
      <c r="D4027" s="36">
        <f>base!H4027</f>
        <v>53.38</v>
      </c>
      <c r="E4027" s="44"/>
      <c r="F4027" s="16">
        <f>base!W4027</f>
        <v>0</v>
      </c>
      <c r="G4027" s="11">
        <f t="shared" si="620"/>
        <v>0</v>
      </c>
      <c r="H4027" s="11">
        <f t="shared" si="621"/>
        <v>0</v>
      </c>
      <c r="I4027" s="11">
        <f t="shared" si="622"/>
        <v>0</v>
      </c>
      <c r="J4027" s="12">
        <f t="shared" si="623"/>
        <v>0</v>
      </c>
      <c r="K4027" s="17" t="str">
        <f t="shared" si="628"/>
        <v>Pas d'écart</v>
      </c>
      <c r="L4027" s="16">
        <f>base!X4027</f>
        <v>0</v>
      </c>
      <c r="M4027" s="11">
        <f t="shared" si="624"/>
        <v>0</v>
      </c>
      <c r="N4027" s="11">
        <f t="shared" si="625"/>
        <v>0</v>
      </c>
      <c r="O4027" s="11">
        <f t="shared" si="626"/>
        <v>0</v>
      </c>
      <c r="P4027" s="12">
        <f t="shared" si="627"/>
        <v>0</v>
      </c>
      <c r="Q4027" s="17" t="str">
        <f t="shared" si="629"/>
        <v>Pas d'écart</v>
      </c>
    </row>
    <row r="4028" spans="1:18" x14ac:dyDescent="0.3">
      <c r="A4028" s="34">
        <f>base!J4028</f>
        <v>0</v>
      </c>
      <c r="B4028" s="34" t="str">
        <f>base!V4028</f>
        <v>44240</v>
      </c>
      <c r="C4028" s="37">
        <v>44</v>
      </c>
      <c r="D4028" s="36">
        <f>base!H4028</f>
        <v>126.4</v>
      </c>
      <c r="E4028" s="44"/>
      <c r="F4028" s="16">
        <f>base!W4028</f>
        <v>0</v>
      </c>
      <c r="G4028" s="11">
        <f t="shared" si="620"/>
        <v>0</v>
      </c>
      <c r="H4028" s="11">
        <f t="shared" si="621"/>
        <v>34.128000000000007</v>
      </c>
      <c r="I4028" s="11">
        <f t="shared" si="622"/>
        <v>0.27</v>
      </c>
      <c r="J4028" s="12">
        <f t="shared" si="623"/>
        <v>-34.128000000000007</v>
      </c>
      <c r="K4028" s="17" t="str">
        <f t="shared" si="628"/>
        <v>Ecart négatif</v>
      </c>
      <c r="L4028" s="16">
        <f>base!X4028</f>
        <v>0</v>
      </c>
      <c r="M4028" s="11">
        <f t="shared" si="624"/>
        <v>0</v>
      </c>
      <c r="N4028" s="11">
        <f t="shared" si="625"/>
        <v>0</v>
      </c>
      <c r="O4028" s="11">
        <f t="shared" si="626"/>
        <v>0</v>
      </c>
      <c r="P4028" s="12">
        <f t="shared" si="627"/>
        <v>0</v>
      </c>
      <c r="Q4028" s="17" t="str">
        <f t="shared" si="629"/>
        <v>Pas d'écart</v>
      </c>
    </row>
    <row r="4029" spans="1:18" x14ac:dyDescent="0.3">
      <c r="A4029" s="34" t="str">
        <f>base!J4029</f>
        <v>Metre Aller</v>
      </c>
      <c r="B4029" s="34" t="str">
        <f>base!V4029</f>
        <v>77184</v>
      </c>
      <c r="C4029" s="37">
        <v>77</v>
      </c>
      <c r="D4029" s="36">
        <f>base!H4029</f>
        <v>187.1</v>
      </c>
      <c r="E4029" s="44"/>
      <c r="F4029" s="16">
        <f>base!W4029</f>
        <v>0</v>
      </c>
      <c r="G4029" s="11">
        <f t="shared" si="620"/>
        <v>0</v>
      </c>
      <c r="H4029" s="11">
        <f t="shared" si="621"/>
        <v>0</v>
      </c>
      <c r="I4029" s="11">
        <f t="shared" si="622"/>
        <v>0</v>
      </c>
      <c r="J4029" s="12">
        <f t="shared" si="623"/>
        <v>0</v>
      </c>
      <c r="K4029" s="17" t="str">
        <f t="shared" si="628"/>
        <v>Pas d'écart</v>
      </c>
      <c r="L4029" s="16">
        <f>base!X4029</f>
        <v>0</v>
      </c>
      <c r="M4029" s="11">
        <f t="shared" si="624"/>
        <v>0</v>
      </c>
      <c r="N4029" s="11">
        <f t="shared" si="625"/>
        <v>0</v>
      </c>
      <c r="O4029" s="11">
        <f t="shared" si="626"/>
        <v>0</v>
      </c>
      <c r="P4029" s="12">
        <f t="shared" si="627"/>
        <v>0</v>
      </c>
      <c r="Q4029" s="17" t="str">
        <f t="shared" si="629"/>
        <v>Pas d'écart</v>
      </c>
    </row>
    <row r="4030" spans="1:18" x14ac:dyDescent="0.3">
      <c r="A4030" s="34">
        <f>base!J4030</f>
        <v>0</v>
      </c>
      <c r="B4030" s="34" t="str">
        <f>base!V4030</f>
        <v>44240</v>
      </c>
      <c r="C4030" s="37">
        <v>44</v>
      </c>
      <c r="D4030" s="36">
        <f>base!H4030</f>
        <v>105.2</v>
      </c>
      <c r="E4030" s="44"/>
      <c r="F4030" s="16">
        <f>base!W4030</f>
        <v>0</v>
      </c>
      <c r="G4030" s="11">
        <f t="shared" si="620"/>
        <v>0</v>
      </c>
      <c r="H4030" s="11">
        <f t="shared" si="621"/>
        <v>28.404000000000003</v>
      </c>
      <c r="I4030" s="11">
        <f t="shared" si="622"/>
        <v>0.27</v>
      </c>
      <c r="J4030" s="12">
        <f t="shared" si="623"/>
        <v>-28.404000000000003</v>
      </c>
      <c r="K4030" s="17" t="str">
        <f t="shared" si="628"/>
        <v>Ecart négatif</v>
      </c>
      <c r="L4030" s="16">
        <f>base!X4030</f>
        <v>0</v>
      </c>
      <c r="M4030" s="11">
        <f t="shared" si="624"/>
        <v>0</v>
      </c>
      <c r="N4030" s="11">
        <f t="shared" si="625"/>
        <v>0</v>
      </c>
      <c r="O4030" s="11">
        <f t="shared" si="626"/>
        <v>0</v>
      </c>
      <c r="P4030" s="12">
        <f t="shared" si="627"/>
        <v>0</v>
      </c>
      <c r="Q4030" s="17" t="str">
        <f t="shared" si="629"/>
        <v>Pas d'écart</v>
      </c>
    </row>
    <row r="4031" spans="1:18" x14ac:dyDescent="0.3">
      <c r="A4031" s="34" t="str">
        <f>base!J4031</f>
        <v>LM</v>
      </c>
      <c r="B4031" s="34" t="str">
        <f>base!V4031</f>
        <v>67320</v>
      </c>
      <c r="C4031" s="37">
        <v>67</v>
      </c>
      <c r="D4031" s="36">
        <f>base!H4031</f>
        <v>40</v>
      </c>
      <c r="E4031" s="44"/>
      <c r="F4031" s="16">
        <f>base!W4031</f>
        <v>11.6</v>
      </c>
      <c r="G4031" s="11">
        <f t="shared" si="620"/>
        <v>0.28999999999999998</v>
      </c>
      <c r="H4031" s="11">
        <f t="shared" si="621"/>
        <v>11.6</v>
      </c>
      <c r="I4031" s="11">
        <f t="shared" si="622"/>
        <v>0.28999999999999998</v>
      </c>
      <c r="J4031" s="12">
        <f t="shared" si="623"/>
        <v>0</v>
      </c>
      <c r="K4031" s="17" t="str">
        <f t="shared" si="628"/>
        <v>Pas d'écart</v>
      </c>
      <c r="L4031" s="16">
        <f>base!X4031</f>
        <v>0</v>
      </c>
      <c r="M4031" s="11">
        <f t="shared" si="624"/>
        <v>0</v>
      </c>
      <c r="N4031" s="11">
        <f t="shared" si="625"/>
        <v>3.2</v>
      </c>
      <c r="O4031" s="11">
        <f t="shared" si="626"/>
        <v>0.08</v>
      </c>
      <c r="P4031" s="12">
        <f t="shared" si="627"/>
        <v>-3.2</v>
      </c>
      <c r="Q4031" s="17" t="str">
        <f t="shared" si="629"/>
        <v>Ecart négatif</v>
      </c>
    </row>
    <row r="4032" spans="1:18" x14ac:dyDescent="0.3">
      <c r="A4032" s="34" t="str">
        <f>base!J4032</f>
        <v>LS</v>
      </c>
      <c r="B4032" s="34" t="str">
        <f>base!V4032</f>
        <v>61300</v>
      </c>
      <c r="C4032" s="37">
        <v>61</v>
      </c>
      <c r="D4032" s="36">
        <f>base!H4032</f>
        <v>0</v>
      </c>
      <c r="E4032" s="44"/>
      <c r="F4032" s="16">
        <f>base!W4032</f>
        <v>0</v>
      </c>
      <c r="G4032" s="11" t="e">
        <f t="shared" si="620"/>
        <v>#DIV/0!</v>
      </c>
      <c r="H4032" s="11">
        <f t="shared" si="621"/>
        <v>0</v>
      </c>
      <c r="I4032" s="11" t="e">
        <f t="shared" si="622"/>
        <v>#DIV/0!</v>
      </c>
      <c r="J4032" s="12">
        <f t="shared" si="623"/>
        <v>0</v>
      </c>
      <c r="K4032" s="17" t="str">
        <f t="shared" si="628"/>
        <v>Pas d'écart</v>
      </c>
      <c r="L4032" s="16">
        <f>base!X4032</f>
        <v>0</v>
      </c>
      <c r="M4032" s="11" t="e">
        <f t="shared" si="624"/>
        <v>#DIV/0!</v>
      </c>
      <c r="N4032" s="11">
        <f t="shared" si="625"/>
        <v>0</v>
      </c>
      <c r="O4032" s="11" t="e">
        <f t="shared" si="626"/>
        <v>#DIV/0!</v>
      </c>
      <c r="P4032" s="12">
        <f t="shared" si="627"/>
        <v>0</v>
      </c>
      <c r="Q4032" s="17" t="str">
        <f t="shared" si="629"/>
        <v>Pas d'écart</v>
      </c>
    </row>
    <row r="4033" spans="1:18" x14ac:dyDescent="0.3">
      <c r="A4033" s="34" t="str">
        <f>base!J4033</f>
        <v>RS</v>
      </c>
      <c r="B4033" s="34" t="str">
        <f>base!V4033</f>
        <v>94150</v>
      </c>
      <c r="C4033" s="37">
        <v>94</v>
      </c>
      <c r="D4033" s="36">
        <f>base!H4033</f>
        <v>193</v>
      </c>
      <c r="E4033" s="44"/>
      <c r="F4033" s="16">
        <f>base!W4033</f>
        <v>0</v>
      </c>
      <c r="G4033" s="11">
        <f t="shared" si="620"/>
        <v>0</v>
      </c>
      <c r="H4033" s="11">
        <f t="shared" si="621"/>
        <v>0</v>
      </c>
      <c r="I4033" s="11">
        <f t="shared" si="622"/>
        <v>0</v>
      </c>
      <c r="J4033" s="12">
        <f t="shared" si="623"/>
        <v>0</v>
      </c>
      <c r="K4033" s="17" t="str">
        <f t="shared" si="628"/>
        <v>Pas d'écart</v>
      </c>
      <c r="L4033" s="16">
        <f>base!X4033</f>
        <v>0</v>
      </c>
      <c r="M4033" s="11">
        <f t="shared" si="624"/>
        <v>0</v>
      </c>
      <c r="N4033" s="11">
        <f t="shared" si="625"/>
        <v>0</v>
      </c>
      <c r="O4033" s="11">
        <f t="shared" si="626"/>
        <v>0</v>
      </c>
      <c r="P4033" s="12">
        <f t="shared" si="627"/>
        <v>0</v>
      </c>
      <c r="Q4033" s="17" t="str">
        <f t="shared" si="629"/>
        <v>Pas d'écart</v>
      </c>
    </row>
    <row r="4034" spans="1:18" x14ac:dyDescent="0.3">
      <c r="A4034" s="34" t="str">
        <f>base!J4034</f>
        <v>RS</v>
      </c>
      <c r="B4034" s="34" t="str">
        <f>base!V4034</f>
        <v>45400</v>
      </c>
      <c r="C4034" s="37">
        <v>45</v>
      </c>
      <c r="D4034" s="36">
        <f>base!H4034</f>
        <v>151</v>
      </c>
      <c r="E4034" s="44"/>
      <c r="F4034" s="16">
        <f>base!W4034</f>
        <v>0</v>
      </c>
      <c r="G4034" s="11">
        <f t="shared" ref="G4034:G4097" si="630">F4034/D4034</f>
        <v>0</v>
      </c>
      <c r="H4034" s="11">
        <f t="shared" ref="H4034:H4097" si="631">VLOOKUP(C4034,tout_cout_traction,2,FALSE)*D4034</f>
        <v>31.709999999999997</v>
      </c>
      <c r="I4034" s="11">
        <f t="shared" ref="I4034:I4097" si="632">H4034/D4034</f>
        <v>0.21</v>
      </c>
      <c r="J4034" s="12">
        <f t="shared" ref="J4034:J4097" si="633">F4034-H4034</f>
        <v>-31.709999999999997</v>
      </c>
      <c r="K4034" s="17" t="str">
        <f t="shared" si="628"/>
        <v>Ecart négatif</v>
      </c>
      <c r="L4034" s="16">
        <f>base!X4034</f>
        <v>0</v>
      </c>
      <c r="M4034" s="11">
        <f t="shared" ref="M4034:M4097" si="634">L4034/D4034</f>
        <v>0</v>
      </c>
      <c r="N4034" s="11">
        <f t="shared" ref="N4034:N4097" si="635">VLOOKUP(C4034,tout_cout_traction,3,FALSE)*D4034</f>
        <v>18.12</v>
      </c>
      <c r="O4034" s="11">
        <f t="shared" ref="O4034:O4097" si="636">N4034/D4034</f>
        <v>0.12000000000000001</v>
      </c>
      <c r="P4034" s="12">
        <f t="shared" ref="P4034:P4097" si="637">L4034-N4034</f>
        <v>-18.12</v>
      </c>
      <c r="Q4034" s="17" t="str">
        <f t="shared" si="629"/>
        <v>Ecart négatif</v>
      </c>
    </row>
    <row r="4035" spans="1:18" x14ac:dyDescent="0.3">
      <c r="A4035" s="34" t="str">
        <f>base!J4035</f>
        <v>RS</v>
      </c>
      <c r="B4035" s="34" t="str">
        <f>base!V4035</f>
        <v>14000</v>
      </c>
      <c r="C4035" s="37">
        <v>14</v>
      </c>
      <c r="D4035" s="36">
        <f>base!H4035</f>
        <v>151</v>
      </c>
      <c r="E4035" s="44"/>
      <c r="F4035" s="16">
        <f>base!W4035</f>
        <v>0</v>
      </c>
      <c r="G4035" s="11">
        <f t="shared" si="630"/>
        <v>0</v>
      </c>
      <c r="H4035" s="11">
        <f t="shared" si="631"/>
        <v>25.67</v>
      </c>
      <c r="I4035" s="11">
        <f t="shared" si="632"/>
        <v>0.17</v>
      </c>
      <c r="J4035" s="12">
        <f t="shared" si="633"/>
        <v>-25.67</v>
      </c>
      <c r="K4035" s="17" t="str">
        <f t="shared" ref="K4035:K4098" si="638">IF(H4035=F4035,"Pas d'écart",IF(H4035&lt;F4035,"Ecart positif",IF(H4035&gt;F4035,"Ecart négatif")))</f>
        <v>Ecart négatif</v>
      </c>
      <c r="L4035" s="16">
        <f>base!X4035</f>
        <v>25.67</v>
      </c>
      <c r="M4035" s="11">
        <f t="shared" si="634"/>
        <v>0.17</v>
      </c>
      <c r="N4035" s="11">
        <f t="shared" si="635"/>
        <v>25.67</v>
      </c>
      <c r="O4035" s="11">
        <f t="shared" si="636"/>
        <v>0.17</v>
      </c>
      <c r="P4035" s="12">
        <f t="shared" si="637"/>
        <v>0</v>
      </c>
      <c r="Q4035" s="17" t="str">
        <f t="shared" ref="Q4035:Q4098" si="639">IF(N4035=L4035,"Pas d'écart",IF(N4035&lt;L4035,"Ecart positif",IF(N4035&gt;L4035,"Ecart négatif")))</f>
        <v>Pas d'écart</v>
      </c>
      <c r="R4035" s="38"/>
    </row>
    <row r="4036" spans="1:18" x14ac:dyDescent="0.3">
      <c r="A4036" s="34">
        <f>base!J4036</f>
        <v>0</v>
      </c>
      <c r="B4036" s="34" t="str">
        <f>base!V4036</f>
        <v>77184</v>
      </c>
      <c r="C4036" s="37">
        <v>77</v>
      </c>
      <c r="D4036" s="36">
        <f>base!H4036</f>
        <v>158.4</v>
      </c>
      <c r="E4036" s="44"/>
      <c r="F4036" s="16">
        <f>base!W4036</f>
        <v>0</v>
      </c>
      <c r="G4036" s="11">
        <f t="shared" si="630"/>
        <v>0</v>
      </c>
      <c r="H4036" s="11">
        <f t="shared" si="631"/>
        <v>0</v>
      </c>
      <c r="I4036" s="11">
        <f t="shared" si="632"/>
        <v>0</v>
      </c>
      <c r="J4036" s="12">
        <f t="shared" si="633"/>
        <v>0</v>
      </c>
      <c r="K4036" s="17" t="str">
        <f t="shared" si="638"/>
        <v>Pas d'écart</v>
      </c>
      <c r="L4036" s="16">
        <f>base!X4036</f>
        <v>0</v>
      </c>
      <c r="M4036" s="11">
        <f t="shared" si="634"/>
        <v>0</v>
      </c>
      <c r="N4036" s="11">
        <f t="shared" si="635"/>
        <v>0</v>
      </c>
      <c r="O4036" s="11">
        <f t="shared" si="636"/>
        <v>0</v>
      </c>
      <c r="P4036" s="12">
        <f t="shared" si="637"/>
        <v>0</v>
      </c>
      <c r="Q4036" s="17" t="str">
        <f t="shared" si="639"/>
        <v>Pas d'écart</v>
      </c>
    </row>
    <row r="4037" spans="1:18" x14ac:dyDescent="0.3">
      <c r="A4037" s="34" t="str">
        <f>base!J4037</f>
        <v>LM</v>
      </c>
      <c r="B4037" s="34" t="str">
        <f>base!V4037</f>
        <v>75014</v>
      </c>
      <c r="C4037" s="37">
        <v>75</v>
      </c>
      <c r="D4037" s="36">
        <f>base!H4037</f>
        <v>19.649999999999999</v>
      </c>
      <c r="E4037" s="44"/>
      <c r="F4037" s="16">
        <f>base!W4037</f>
        <v>0</v>
      </c>
      <c r="G4037" s="11">
        <f t="shared" si="630"/>
        <v>0</v>
      </c>
      <c r="H4037" s="11">
        <f t="shared" si="631"/>
        <v>0</v>
      </c>
      <c r="I4037" s="11">
        <f t="shared" si="632"/>
        <v>0</v>
      </c>
      <c r="J4037" s="12">
        <f t="shared" si="633"/>
        <v>0</v>
      </c>
      <c r="K4037" s="17" t="str">
        <f t="shared" si="638"/>
        <v>Pas d'écart</v>
      </c>
      <c r="L4037" s="16">
        <f>base!X4037</f>
        <v>0</v>
      </c>
      <c r="M4037" s="11">
        <f t="shared" si="634"/>
        <v>0</v>
      </c>
      <c r="N4037" s="11">
        <f t="shared" si="635"/>
        <v>0</v>
      </c>
      <c r="O4037" s="11">
        <f t="shared" si="636"/>
        <v>0</v>
      </c>
      <c r="P4037" s="12">
        <f t="shared" si="637"/>
        <v>0</v>
      </c>
      <c r="Q4037" s="17" t="str">
        <f t="shared" si="639"/>
        <v>Pas d'écart</v>
      </c>
    </row>
    <row r="4038" spans="1:18" x14ac:dyDescent="0.3">
      <c r="A4038" s="34" t="str">
        <f>base!J4038</f>
        <v>LM</v>
      </c>
      <c r="B4038" s="34" t="str">
        <f>base!V4038</f>
        <v>75014</v>
      </c>
      <c r="C4038" s="37">
        <v>75</v>
      </c>
      <c r="D4038" s="36">
        <f>base!H4038</f>
        <v>19.649999999999999</v>
      </c>
      <c r="E4038" s="44"/>
      <c r="F4038" s="16">
        <f>base!W4038</f>
        <v>0</v>
      </c>
      <c r="G4038" s="11">
        <f t="shared" si="630"/>
        <v>0</v>
      </c>
      <c r="H4038" s="11">
        <f t="shared" si="631"/>
        <v>0</v>
      </c>
      <c r="I4038" s="11">
        <f t="shared" si="632"/>
        <v>0</v>
      </c>
      <c r="J4038" s="12">
        <f t="shared" si="633"/>
        <v>0</v>
      </c>
      <c r="K4038" s="17" t="str">
        <f t="shared" si="638"/>
        <v>Pas d'écart</v>
      </c>
      <c r="L4038" s="16">
        <f>base!X4038</f>
        <v>0</v>
      </c>
      <c r="M4038" s="11">
        <f t="shared" si="634"/>
        <v>0</v>
      </c>
      <c r="N4038" s="11">
        <f t="shared" si="635"/>
        <v>0</v>
      </c>
      <c r="O4038" s="11">
        <f t="shared" si="636"/>
        <v>0</v>
      </c>
      <c r="P4038" s="12">
        <f t="shared" si="637"/>
        <v>0</v>
      </c>
      <c r="Q4038" s="17" t="str">
        <f t="shared" si="639"/>
        <v>Pas d'écart</v>
      </c>
    </row>
    <row r="4039" spans="1:18" x14ac:dyDescent="0.3">
      <c r="A4039" s="34" t="str">
        <f>base!J4039</f>
        <v>LS</v>
      </c>
      <c r="B4039" s="34" t="str">
        <f>base!V4039</f>
        <v>22600</v>
      </c>
      <c r="C4039" s="37">
        <v>51</v>
      </c>
      <c r="D4039" s="36">
        <f>base!H4039</f>
        <v>55.75</v>
      </c>
      <c r="E4039" s="44"/>
      <c r="F4039" s="16">
        <f>base!W4039</f>
        <v>21.74</v>
      </c>
      <c r="G4039" s="11">
        <f t="shared" si="630"/>
        <v>0.38995515695067262</v>
      </c>
      <c r="H4039" s="11">
        <f t="shared" si="631"/>
        <v>13.9375</v>
      </c>
      <c r="I4039" s="11">
        <f t="shared" si="632"/>
        <v>0.25</v>
      </c>
      <c r="J4039" s="12">
        <f t="shared" si="633"/>
        <v>7.8024999999999984</v>
      </c>
      <c r="K4039" s="17" t="str">
        <f t="shared" si="638"/>
        <v>Ecart positif</v>
      </c>
      <c r="L4039" s="16">
        <f>base!X4039</f>
        <v>0</v>
      </c>
      <c r="M4039" s="11">
        <f t="shared" si="634"/>
        <v>0</v>
      </c>
      <c r="N4039" s="11">
        <f t="shared" si="635"/>
        <v>13.9375</v>
      </c>
      <c r="O4039" s="11">
        <f t="shared" si="636"/>
        <v>0.25</v>
      </c>
      <c r="P4039" s="12">
        <f t="shared" si="637"/>
        <v>-13.9375</v>
      </c>
      <c r="Q4039" s="17" t="str">
        <f t="shared" si="639"/>
        <v>Ecart négatif</v>
      </c>
    </row>
    <row r="4040" spans="1:18" x14ac:dyDescent="0.3">
      <c r="A4040" s="34" t="str">
        <f>base!J4040</f>
        <v>LS</v>
      </c>
      <c r="B4040" s="34" t="str">
        <f>base!V4040</f>
        <v>14790</v>
      </c>
      <c r="C4040" s="37">
        <v>14</v>
      </c>
      <c r="D4040" s="36">
        <f>base!H4040</f>
        <v>40</v>
      </c>
      <c r="E4040" s="44"/>
      <c r="F4040" s="16">
        <f>base!W4040</f>
        <v>6.8</v>
      </c>
      <c r="G4040" s="11">
        <f t="shared" si="630"/>
        <v>0.16999999999999998</v>
      </c>
      <c r="H4040" s="11">
        <f t="shared" si="631"/>
        <v>6.8000000000000007</v>
      </c>
      <c r="I4040" s="11">
        <f t="shared" si="632"/>
        <v>0.17</v>
      </c>
      <c r="J4040" s="12">
        <f t="shared" si="633"/>
        <v>0</v>
      </c>
      <c r="K4040" s="17" t="str">
        <f t="shared" si="638"/>
        <v>Pas d'écart</v>
      </c>
      <c r="L4040" s="16">
        <f>base!X4040</f>
        <v>0</v>
      </c>
      <c r="M4040" s="11">
        <f t="shared" si="634"/>
        <v>0</v>
      </c>
      <c r="N4040" s="11">
        <f t="shared" si="635"/>
        <v>6.8000000000000007</v>
      </c>
      <c r="O4040" s="11">
        <f t="shared" si="636"/>
        <v>0.17</v>
      </c>
      <c r="P4040" s="12">
        <f t="shared" si="637"/>
        <v>-6.8000000000000007</v>
      </c>
      <c r="Q4040" s="17" t="str">
        <f t="shared" si="639"/>
        <v>Ecart négatif</v>
      </c>
    </row>
    <row r="4041" spans="1:18" x14ac:dyDescent="0.3">
      <c r="A4041" s="34">
        <f>base!J4041</f>
        <v>0</v>
      </c>
      <c r="B4041" s="34" t="str">
        <f>base!V4041</f>
        <v>77184</v>
      </c>
      <c r="C4041" s="37">
        <v>77</v>
      </c>
      <c r="D4041" s="36">
        <f>base!H4041</f>
        <v>31.6</v>
      </c>
      <c r="E4041" s="44"/>
      <c r="F4041" s="16">
        <f>base!W4041</f>
        <v>0</v>
      </c>
      <c r="G4041" s="11">
        <f t="shared" si="630"/>
        <v>0</v>
      </c>
      <c r="H4041" s="11">
        <f t="shared" si="631"/>
        <v>0</v>
      </c>
      <c r="I4041" s="11">
        <f t="shared" si="632"/>
        <v>0</v>
      </c>
      <c r="J4041" s="12">
        <f t="shared" si="633"/>
        <v>0</v>
      </c>
      <c r="K4041" s="17" t="str">
        <f t="shared" si="638"/>
        <v>Pas d'écart</v>
      </c>
      <c r="L4041" s="16">
        <f>base!X4041</f>
        <v>0</v>
      </c>
      <c r="M4041" s="11">
        <f t="shared" si="634"/>
        <v>0</v>
      </c>
      <c r="N4041" s="11">
        <f t="shared" si="635"/>
        <v>0</v>
      </c>
      <c r="O4041" s="11">
        <f t="shared" si="636"/>
        <v>0</v>
      </c>
      <c r="P4041" s="12">
        <f t="shared" si="637"/>
        <v>0</v>
      </c>
      <c r="Q4041" s="17" t="str">
        <f t="shared" si="639"/>
        <v>Pas d'écart</v>
      </c>
    </row>
    <row r="4042" spans="1:18" x14ac:dyDescent="0.3">
      <c r="A4042" s="34" t="str">
        <f>base!J4042</f>
        <v>LS</v>
      </c>
      <c r="B4042" s="34" t="str">
        <f>base!V4042</f>
        <v>84278</v>
      </c>
      <c r="C4042" s="37">
        <v>57</v>
      </c>
      <c r="D4042" s="36">
        <f>base!H4042</f>
        <v>155.13999999999999</v>
      </c>
      <c r="E4042" s="44"/>
      <c r="F4042" s="16">
        <f>base!W4042</f>
        <v>44.99</v>
      </c>
      <c r="G4042" s="11">
        <f t="shared" si="630"/>
        <v>0.28999613252546091</v>
      </c>
      <c r="H4042" s="11">
        <f t="shared" si="631"/>
        <v>37.233599999999996</v>
      </c>
      <c r="I4042" s="11">
        <f t="shared" si="632"/>
        <v>0.24</v>
      </c>
      <c r="J4042" s="12">
        <f t="shared" si="633"/>
        <v>7.7564000000000064</v>
      </c>
      <c r="K4042" s="17" t="str">
        <f t="shared" si="638"/>
        <v>Ecart positif</v>
      </c>
      <c r="L4042" s="16">
        <f>base!X4042</f>
        <v>0</v>
      </c>
      <c r="M4042" s="11">
        <f t="shared" si="634"/>
        <v>0</v>
      </c>
      <c r="N4042" s="11">
        <f t="shared" si="635"/>
        <v>38.784999999999997</v>
      </c>
      <c r="O4042" s="11">
        <f t="shared" si="636"/>
        <v>0.25</v>
      </c>
      <c r="P4042" s="12">
        <f t="shared" si="637"/>
        <v>-38.784999999999997</v>
      </c>
      <c r="Q4042" s="17" t="str">
        <f t="shared" si="639"/>
        <v>Ecart négatif</v>
      </c>
    </row>
    <row r="4043" spans="1:18" x14ac:dyDescent="0.3">
      <c r="A4043" s="34" t="str">
        <f>base!J4043</f>
        <v>LS</v>
      </c>
      <c r="B4043" s="34" t="str">
        <f>base!V4043</f>
        <v>69200</v>
      </c>
      <c r="C4043" s="37">
        <v>7</v>
      </c>
      <c r="D4043" s="36">
        <f>base!H4043</f>
        <v>183.9</v>
      </c>
      <c r="E4043" s="44"/>
      <c r="F4043" s="16">
        <f>base!W4043</f>
        <v>49.65</v>
      </c>
      <c r="G4043" s="11">
        <f t="shared" si="630"/>
        <v>0.26998368678629686</v>
      </c>
      <c r="H4043" s="11">
        <f t="shared" si="631"/>
        <v>49.653000000000006</v>
      </c>
      <c r="I4043" s="11">
        <f t="shared" si="632"/>
        <v>0.27</v>
      </c>
      <c r="J4043" s="12">
        <f t="shared" si="633"/>
        <v>-3.0000000000072191E-3</v>
      </c>
      <c r="K4043" s="17" t="str">
        <f t="shared" si="638"/>
        <v>Ecart négatif</v>
      </c>
      <c r="L4043" s="16">
        <f>base!X4043</f>
        <v>0</v>
      </c>
      <c r="M4043" s="11">
        <f t="shared" si="634"/>
        <v>0</v>
      </c>
      <c r="N4043" s="11">
        <f t="shared" si="635"/>
        <v>0</v>
      </c>
      <c r="O4043" s="11">
        <f t="shared" si="636"/>
        <v>0</v>
      </c>
      <c r="P4043" s="12">
        <f t="shared" si="637"/>
        <v>0</v>
      </c>
      <c r="Q4043" s="17" t="str">
        <f t="shared" si="639"/>
        <v>Pas d'écart</v>
      </c>
    </row>
    <row r="4044" spans="1:18" x14ac:dyDescent="0.3">
      <c r="A4044" s="34" t="str">
        <f>base!J4044</f>
        <v>RS</v>
      </c>
      <c r="B4044" s="34" t="str">
        <f>base!V4044</f>
        <v>57410</v>
      </c>
      <c r="C4044" s="37">
        <v>57</v>
      </c>
      <c r="D4044" s="36">
        <f>base!H4044</f>
        <v>180</v>
      </c>
      <c r="E4044" s="44"/>
      <c r="F4044" s="16">
        <f>base!W4044</f>
        <v>0</v>
      </c>
      <c r="G4044" s="11">
        <f t="shared" si="630"/>
        <v>0</v>
      </c>
      <c r="H4044" s="11">
        <f t="shared" si="631"/>
        <v>43.199999999999996</v>
      </c>
      <c r="I4044" s="11">
        <f t="shared" si="632"/>
        <v>0.23999999999999996</v>
      </c>
      <c r="J4044" s="12">
        <f t="shared" si="633"/>
        <v>-43.199999999999996</v>
      </c>
      <c r="K4044" s="17" t="str">
        <f t="shared" si="638"/>
        <v>Ecart négatif</v>
      </c>
      <c r="L4044" s="16">
        <f>base!X4044</f>
        <v>14.4</v>
      </c>
      <c r="M4044" s="11">
        <f t="shared" si="634"/>
        <v>0.08</v>
      </c>
      <c r="N4044" s="11">
        <f t="shared" si="635"/>
        <v>45</v>
      </c>
      <c r="O4044" s="11">
        <f t="shared" si="636"/>
        <v>0.25</v>
      </c>
      <c r="P4044" s="12">
        <f t="shared" si="637"/>
        <v>-30.6</v>
      </c>
      <c r="Q4044" s="17" t="str">
        <f t="shared" si="639"/>
        <v>Ecart négatif</v>
      </c>
      <c r="R4044" s="38"/>
    </row>
    <row r="4045" spans="1:18" x14ac:dyDescent="0.3">
      <c r="A4045" s="34">
        <f>base!J4045</f>
        <v>0</v>
      </c>
      <c r="B4045" s="34" t="str">
        <f>base!V4045</f>
        <v>77184</v>
      </c>
      <c r="C4045" s="37">
        <v>77</v>
      </c>
      <c r="D4045" s="36">
        <f>base!H4045</f>
        <v>84.5</v>
      </c>
      <c r="E4045" s="44"/>
      <c r="F4045" s="16">
        <f>base!W4045</f>
        <v>0</v>
      </c>
      <c r="G4045" s="11">
        <f t="shared" si="630"/>
        <v>0</v>
      </c>
      <c r="H4045" s="11">
        <f t="shared" si="631"/>
        <v>0</v>
      </c>
      <c r="I4045" s="11">
        <f t="shared" si="632"/>
        <v>0</v>
      </c>
      <c r="J4045" s="12">
        <f t="shared" si="633"/>
        <v>0</v>
      </c>
      <c r="K4045" s="17" t="str">
        <f t="shared" si="638"/>
        <v>Pas d'écart</v>
      </c>
      <c r="L4045" s="16">
        <f>base!X4045</f>
        <v>0</v>
      </c>
      <c r="M4045" s="11">
        <f t="shared" si="634"/>
        <v>0</v>
      </c>
      <c r="N4045" s="11">
        <f t="shared" si="635"/>
        <v>0</v>
      </c>
      <c r="O4045" s="11">
        <f t="shared" si="636"/>
        <v>0</v>
      </c>
      <c r="P4045" s="12">
        <f t="shared" si="637"/>
        <v>0</v>
      </c>
      <c r="Q4045" s="17" t="str">
        <f t="shared" si="639"/>
        <v>Pas d'écart</v>
      </c>
    </row>
    <row r="4046" spans="1:18" x14ac:dyDescent="0.3">
      <c r="A4046" s="34" t="str">
        <f>base!J4046</f>
        <v>LS</v>
      </c>
      <c r="B4046" s="34" t="str">
        <f>base!V4046</f>
        <v>69125</v>
      </c>
      <c r="C4046" s="37">
        <v>51</v>
      </c>
      <c r="D4046" s="36">
        <f>base!H4046</f>
        <v>16.8</v>
      </c>
      <c r="E4046" s="44"/>
      <c r="F4046" s="16">
        <f>base!W4046</f>
        <v>4.54</v>
      </c>
      <c r="G4046" s="11">
        <f t="shared" si="630"/>
        <v>0.27023809523809522</v>
      </c>
      <c r="H4046" s="11">
        <f t="shared" si="631"/>
        <v>4.2</v>
      </c>
      <c r="I4046" s="11">
        <f t="shared" si="632"/>
        <v>0.25</v>
      </c>
      <c r="J4046" s="12">
        <f t="shared" si="633"/>
        <v>0.33999999999999986</v>
      </c>
      <c r="K4046" s="17" t="str">
        <f t="shared" si="638"/>
        <v>Ecart positif</v>
      </c>
      <c r="L4046" s="16">
        <f>base!X4046</f>
        <v>0</v>
      </c>
      <c r="M4046" s="11">
        <f t="shared" si="634"/>
        <v>0</v>
      </c>
      <c r="N4046" s="11">
        <f t="shared" si="635"/>
        <v>4.2</v>
      </c>
      <c r="O4046" s="11">
        <f t="shared" si="636"/>
        <v>0.25</v>
      </c>
      <c r="P4046" s="12">
        <f t="shared" si="637"/>
        <v>-4.2</v>
      </c>
      <c r="Q4046" s="17" t="str">
        <f t="shared" si="639"/>
        <v>Ecart négatif</v>
      </c>
    </row>
    <row r="4047" spans="1:18" x14ac:dyDescent="0.3">
      <c r="A4047" s="34" t="str">
        <f>base!J4047</f>
        <v>RS</v>
      </c>
      <c r="B4047" s="34" t="str">
        <f>base!V4047</f>
        <v>37800</v>
      </c>
      <c r="C4047" s="37">
        <v>37</v>
      </c>
      <c r="D4047" s="36">
        <f>base!H4047</f>
        <v>70</v>
      </c>
      <c r="E4047" s="44"/>
      <c r="F4047" s="16">
        <f>base!W4047</f>
        <v>0</v>
      </c>
      <c r="G4047" s="11">
        <f t="shared" si="630"/>
        <v>0</v>
      </c>
      <c r="H4047" s="11">
        <f t="shared" si="631"/>
        <v>13.3</v>
      </c>
      <c r="I4047" s="11">
        <f t="shared" si="632"/>
        <v>0.19</v>
      </c>
      <c r="J4047" s="12">
        <f t="shared" si="633"/>
        <v>-13.3</v>
      </c>
      <c r="K4047" s="17" t="str">
        <f t="shared" si="638"/>
        <v>Ecart négatif</v>
      </c>
      <c r="L4047" s="16">
        <f>base!X4047</f>
        <v>0</v>
      </c>
      <c r="M4047" s="11">
        <f t="shared" si="634"/>
        <v>0</v>
      </c>
      <c r="N4047" s="11">
        <f t="shared" si="635"/>
        <v>8.4</v>
      </c>
      <c r="O4047" s="11">
        <f t="shared" si="636"/>
        <v>0.12000000000000001</v>
      </c>
      <c r="P4047" s="12">
        <f t="shared" si="637"/>
        <v>-8.4</v>
      </c>
      <c r="Q4047" s="17" t="str">
        <f t="shared" si="639"/>
        <v>Ecart négatif</v>
      </c>
    </row>
    <row r="4048" spans="1:18" x14ac:dyDescent="0.3">
      <c r="A4048" s="34" t="str">
        <f>base!J4048</f>
        <v>DLS</v>
      </c>
      <c r="B4048" s="34" t="str">
        <f>base!V4048</f>
        <v>35510</v>
      </c>
      <c r="C4048" s="37">
        <v>35</v>
      </c>
      <c r="D4048" s="36">
        <f>base!H4048</f>
        <v>55</v>
      </c>
      <c r="E4048" s="44"/>
      <c r="F4048" s="16">
        <f>base!W4048</f>
        <v>0</v>
      </c>
      <c r="G4048" s="11">
        <f t="shared" si="630"/>
        <v>0</v>
      </c>
      <c r="H4048" s="11">
        <f t="shared" si="631"/>
        <v>14.850000000000001</v>
      </c>
      <c r="I4048" s="11">
        <f t="shared" si="632"/>
        <v>0.27</v>
      </c>
      <c r="J4048" s="12">
        <f t="shared" si="633"/>
        <v>-14.850000000000001</v>
      </c>
      <c r="K4048" s="17" t="str">
        <f t="shared" si="638"/>
        <v>Ecart négatif</v>
      </c>
      <c r="L4048" s="16">
        <f>base!X4048</f>
        <v>9.35</v>
      </c>
      <c r="M4048" s="11">
        <f t="shared" si="634"/>
        <v>0.16999999999999998</v>
      </c>
      <c r="N4048" s="11">
        <f t="shared" si="635"/>
        <v>0</v>
      </c>
      <c r="O4048" s="11">
        <f t="shared" si="636"/>
        <v>0</v>
      </c>
      <c r="P4048" s="12">
        <f t="shared" si="637"/>
        <v>9.35</v>
      </c>
      <c r="Q4048" s="17" t="str">
        <f t="shared" si="639"/>
        <v>Ecart positif</v>
      </c>
    </row>
    <row r="4049" spans="1:18" x14ac:dyDescent="0.3">
      <c r="A4049" s="34" t="str">
        <f>base!J4049</f>
        <v>LM</v>
      </c>
      <c r="B4049" s="34" t="str">
        <f>base!V4049</f>
        <v>59600</v>
      </c>
      <c r="C4049" s="37">
        <v>51</v>
      </c>
      <c r="D4049" s="36">
        <f>base!H4049</f>
        <v>175.39</v>
      </c>
      <c r="E4049" s="44"/>
      <c r="F4049" s="16">
        <f>base!W4049</f>
        <v>33.32</v>
      </c>
      <c r="G4049" s="11">
        <f t="shared" si="630"/>
        <v>0.18997662352471636</v>
      </c>
      <c r="H4049" s="11">
        <f t="shared" si="631"/>
        <v>43.847499999999997</v>
      </c>
      <c r="I4049" s="11">
        <f t="shared" si="632"/>
        <v>0.25</v>
      </c>
      <c r="J4049" s="12">
        <f t="shared" si="633"/>
        <v>-10.527499999999996</v>
      </c>
      <c r="K4049" s="17" t="str">
        <f t="shared" si="638"/>
        <v>Ecart négatif</v>
      </c>
      <c r="L4049" s="16">
        <f>base!X4049</f>
        <v>0</v>
      </c>
      <c r="M4049" s="11">
        <f t="shared" si="634"/>
        <v>0</v>
      </c>
      <c r="N4049" s="11">
        <f t="shared" si="635"/>
        <v>43.847499999999997</v>
      </c>
      <c r="O4049" s="11">
        <f t="shared" si="636"/>
        <v>0.25</v>
      </c>
      <c r="P4049" s="12">
        <f t="shared" si="637"/>
        <v>-43.847499999999997</v>
      </c>
      <c r="Q4049" s="17" t="str">
        <f t="shared" si="639"/>
        <v>Ecart négatif</v>
      </c>
    </row>
    <row r="4050" spans="1:18" x14ac:dyDescent="0.3">
      <c r="A4050" s="34" t="str">
        <f>base!J4050</f>
        <v>RS</v>
      </c>
      <c r="B4050" s="34" t="str">
        <f>base!V4050</f>
        <v>49000</v>
      </c>
      <c r="C4050" s="37">
        <v>49</v>
      </c>
      <c r="D4050" s="36">
        <f>base!H4050</f>
        <v>151</v>
      </c>
      <c r="E4050" s="44"/>
      <c r="F4050" s="16">
        <f>base!W4050</f>
        <v>0</v>
      </c>
      <c r="G4050" s="11">
        <f t="shared" si="630"/>
        <v>0</v>
      </c>
      <c r="H4050" s="11">
        <f t="shared" si="631"/>
        <v>40.770000000000003</v>
      </c>
      <c r="I4050" s="11">
        <f t="shared" si="632"/>
        <v>0.27</v>
      </c>
      <c r="J4050" s="12">
        <f t="shared" si="633"/>
        <v>-40.770000000000003</v>
      </c>
      <c r="K4050" s="17" t="str">
        <f t="shared" si="638"/>
        <v>Ecart négatif</v>
      </c>
      <c r="L4050" s="16">
        <f>base!X4050</f>
        <v>40.770000000000003</v>
      </c>
      <c r="M4050" s="11">
        <f t="shared" si="634"/>
        <v>0.27</v>
      </c>
      <c r="N4050" s="11">
        <f t="shared" si="635"/>
        <v>0</v>
      </c>
      <c r="O4050" s="11">
        <f t="shared" si="636"/>
        <v>0</v>
      </c>
      <c r="P4050" s="12">
        <f t="shared" si="637"/>
        <v>40.770000000000003</v>
      </c>
      <c r="Q4050" s="17" t="str">
        <f t="shared" si="639"/>
        <v>Ecart positif</v>
      </c>
      <c r="R4050" s="38"/>
    </row>
    <row r="4051" spans="1:18" x14ac:dyDescent="0.3">
      <c r="A4051" s="34" t="str">
        <f>base!J4051</f>
        <v>LM</v>
      </c>
      <c r="B4051" s="34" t="str">
        <f>base!V4051</f>
        <v>35113</v>
      </c>
      <c r="C4051" s="37">
        <v>51</v>
      </c>
      <c r="D4051" s="36">
        <f>base!H4051</f>
        <v>19.8</v>
      </c>
      <c r="E4051" s="44"/>
      <c r="F4051" s="16">
        <f>base!W4051</f>
        <v>5.35</v>
      </c>
      <c r="G4051" s="11">
        <f t="shared" si="630"/>
        <v>0.27020202020202017</v>
      </c>
      <c r="H4051" s="11">
        <f t="shared" si="631"/>
        <v>4.95</v>
      </c>
      <c r="I4051" s="11">
        <f t="shared" si="632"/>
        <v>0.25</v>
      </c>
      <c r="J4051" s="12">
        <f t="shared" si="633"/>
        <v>0.39999999999999947</v>
      </c>
      <c r="K4051" s="17" t="str">
        <f t="shared" si="638"/>
        <v>Ecart positif</v>
      </c>
      <c r="L4051" s="16">
        <f>base!X4051</f>
        <v>0</v>
      </c>
      <c r="M4051" s="11">
        <f t="shared" si="634"/>
        <v>0</v>
      </c>
      <c r="N4051" s="11">
        <f t="shared" si="635"/>
        <v>4.95</v>
      </c>
      <c r="O4051" s="11">
        <f t="shared" si="636"/>
        <v>0.25</v>
      </c>
      <c r="P4051" s="12">
        <f t="shared" si="637"/>
        <v>-4.95</v>
      </c>
      <c r="Q4051" s="17" t="str">
        <f t="shared" si="639"/>
        <v>Ecart négatif</v>
      </c>
    </row>
    <row r="4052" spans="1:18" x14ac:dyDescent="0.3">
      <c r="A4052" s="34" t="str">
        <f>base!J4052</f>
        <v>RM</v>
      </c>
      <c r="B4052" s="34" t="str">
        <f>base!V4052</f>
        <v>54000</v>
      </c>
      <c r="C4052" s="37">
        <v>54</v>
      </c>
      <c r="D4052" s="36">
        <f>base!H4052</f>
        <v>140</v>
      </c>
      <c r="E4052" s="44"/>
      <c r="F4052" s="16">
        <f>base!W4052</f>
        <v>0</v>
      </c>
      <c r="G4052" s="11">
        <f t="shared" si="630"/>
        <v>0</v>
      </c>
      <c r="H4052" s="11">
        <f t="shared" si="631"/>
        <v>35</v>
      </c>
      <c r="I4052" s="11">
        <f t="shared" si="632"/>
        <v>0.25</v>
      </c>
      <c r="J4052" s="12">
        <f t="shared" si="633"/>
        <v>-35</v>
      </c>
      <c r="K4052" s="17" t="str">
        <f t="shared" si="638"/>
        <v>Ecart négatif</v>
      </c>
      <c r="L4052" s="16">
        <f>base!X4052</f>
        <v>35</v>
      </c>
      <c r="M4052" s="11">
        <f t="shared" si="634"/>
        <v>0.25</v>
      </c>
      <c r="N4052" s="11">
        <f t="shared" si="635"/>
        <v>35</v>
      </c>
      <c r="O4052" s="11">
        <f t="shared" si="636"/>
        <v>0.25</v>
      </c>
      <c r="P4052" s="12">
        <f t="shared" si="637"/>
        <v>0</v>
      </c>
      <c r="Q4052" s="17" t="str">
        <f t="shared" si="639"/>
        <v>Pas d'écart</v>
      </c>
    </row>
    <row r="4053" spans="1:18" x14ac:dyDescent="0.3">
      <c r="A4053" s="34" t="str">
        <f>base!J4053</f>
        <v>LM</v>
      </c>
      <c r="B4053" s="34" t="str">
        <f>base!V4053</f>
        <v>44300</v>
      </c>
      <c r="C4053" s="37">
        <v>13</v>
      </c>
      <c r="D4053" s="36">
        <f>base!H4053</f>
        <v>19.8</v>
      </c>
      <c r="E4053" s="44"/>
      <c r="F4053" s="16">
        <f>base!W4053</f>
        <v>5.35</v>
      </c>
      <c r="G4053" s="11">
        <f t="shared" si="630"/>
        <v>0.27020202020202017</v>
      </c>
      <c r="H4053" s="11">
        <f t="shared" si="631"/>
        <v>5.742</v>
      </c>
      <c r="I4053" s="11">
        <f t="shared" si="632"/>
        <v>0.28999999999999998</v>
      </c>
      <c r="J4053" s="12">
        <f t="shared" si="633"/>
        <v>-0.39200000000000035</v>
      </c>
      <c r="K4053" s="17" t="str">
        <f t="shared" si="638"/>
        <v>Ecart négatif</v>
      </c>
      <c r="L4053" s="16">
        <f>base!X4053</f>
        <v>0</v>
      </c>
      <c r="M4053" s="11">
        <f t="shared" si="634"/>
        <v>0</v>
      </c>
      <c r="N4053" s="11">
        <f t="shared" si="635"/>
        <v>3.762</v>
      </c>
      <c r="O4053" s="11">
        <f t="shared" si="636"/>
        <v>0.19</v>
      </c>
      <c r="P4053" s="12">
        <f t="shared" si="637"/>
        <v>-3.762</v>
      </c>
      <c r="Q4053" s="17" t="str">
        <f t="shared" si="639"/>
        <v>Ecart négatif</v>
      </c>
    </row>
    <row r="4054" spans="1:18" x14ac:dyDescent="0.3">
      <c r="A4054" s="34" t="str">
        <f>base!J4054</f>
        <v>LM</v>
      </c>
      <c r="B4054" s="34" t="str">
        <f>base!V4054</f>
        <v>06560</v>
      </c>
      <c r="C4054" s="37">
        <v>13</v>
      </c>
      <c r="D4054" s="36">
        <f>base!H4054</f>
        <v>19.89</v>
      </c>
      <c r="E4054" s="44"/>
      <c r="F4054" s="16">
        <f>base!W4054</f>
        <v>5.97</v>
      </c>
      <c r="G4054" s="11">
        <f t="shared" si="630"/>
        <v>0.30015082956259426</v>
      </c>
      <c r="H4054" s="11">
        <f t="shared" si="631"/>
        <v>5.7680999999999996</v>
      </c>
      <c r="I4054" s="11">
        <f t="shared" si="632"/>
        <v>0.28999999999999998</v>
      </c>
      <c r="J4054" s="12">
        <f t="shared" si="633"/>
        <v>0.20190000000000019</v>
      </c>
      <c r="K4054" s="17" t="str">
        <f t="shared" si="638"/>
        <v>Ecart positif</v>
      </c>
      <c r="L4054" s="16">
        <f>base!X4054</f>
        <v>0</v>
      </c>
      <c r="M4054" s="11">
        <f t="shared" si="634"/>
        <v>0</v>
      </c>
      <c r="N4054" s="11">
        <f t="shared" si="635"/>
        <v>3.7791000000000001</v>
      </c>
      <c r="O4054" s="11">
        <f t="shared" si="636"/>
        <v>0.19</v>
      </c>
      <c r="P4054" s="12">
        <f t="shared" si="637"/>
        <v>-3.7791000000000001</v>
      </c>
      <c r="Q4054" s="17" t="str">
        <f t="shared" si="639"/>
        <v>Ecart négatif</v>
      </c>
    </row>
    <row r="4055" spans="1:18" x14ac:dyDescent="0.3">
      <c r="A4055" s="34" t="str">
        <f>base!J4055</f>
        <v>LS</v>
      </c>
      <c r="B4055" s="34" t="str">
        <f>base!V4055</f>
        <v>54000</v>
      </c>
      <c r="C4055" s="37">
        <v>13</v>
      </c>
      <c r="D4055" s="36">
        <f>base!H4055</f>
        <v>7.99</v>
      </c>
      <c r="E4055" s="44"/>
      <c r="F4055" s="16">
        <f>base!W4055</f>
        <v>2</v>
      </c>
      <c r="G4055" s="11">
        <f t="shared" si="630"/>
        <v>0.25031289111389238</v>
      </c>
      <c r="H4055" s="11">
        <f t="shared" si="631"/>
        <v>2.3170999999999999</v>
      </c>
      <c r="I4055" s="11">
        <f t="shared" si="632"/>
        <v>0.28999999999999998</v>
      </c>
      <c r="J4055" s="12">
        <f t="shared" si="633"/>
        <v>-0.31709999999999994</v>
      </c>
      <c r="K4055" s="17" t="str">
        <f t="shared" si="638"/>
        <v>Ecart négatif</v>
      </c>
      <c r="L4055" s="16">
        <f>base!X4055</f>
        <v>0</v>
      </c>
      <c r="M4055" s="11">
        <f t="shared" si="634"/>
        <v>0</v>
      </c>
      <c r="N4055" s="11">
        <f t="shared" si="635"/>
        <v>1.5181</v>
      </c>
      <c r="O4055" s="11">
        <f t="shared" si="636"/>
        <v>0.19</v>
      </c>
      <c r="P4055" s="12">
        <f t="shared" si="637"/>
        <v>-1.5181</v>
      </c>
      <c r="Q4055" s="17" t="str">
        <f t="shared" si="639"/>
        <v>Ecart négatif</v>
      </c>
    </row>
    <row r="4056" spans="1:18" x14ac:dyDescent="0.3">
      <c r="A4056" s="34" t="str">
        <f>base!J4056</f>
        <v>RM</v>
      </c>
      <c r="B4056" s="34" t="str">
        <f>base!V4056</f>
        <v>68520</v>
      </c>
      <c r="C4056" s="37">
        <v>68</v>
      </c>
      <c r="D4056" s="36">
        <f>base!H4056</f>
        <v>171.25</v>
      </c>
      <c r="E4056" s="44"/>
      <c r="F4056" s="16">
        <f>base!W4056</f>
        <v>0</v>
      </c>
      <c r="G4056" s="11">
        <f t="shared" si="630"/>
        <v>0</v>
      </c>
      <c r="H4056" s="11">
        <f t="shared" si="631"/>
        <v>49.662499999999994</v>
      </c>
      <c r="I4056" s="11">
        <f t="shared" si="632"/>
        <v>0.28999999999999998</v>
      </c>
      <c r="J4056" s="12">
        <f t="shared" si="633"/>
        <v>-49.662499999999994</v>
      </c>
      <c r="K4056" s="17" t="str">
        <f t="shared" si="638"/>
        <v>Ecart négatif</v>
      </c>
      <c r="L4056" s="16">
        <f>base!X4056</f>
        <v>13.7</v>
      </c>
      <c r="M4056" s="11">
        <f t="shared" si="634"/>
        <v>0.08</v>
      </c>
      <c r="N4056" s="11">
        <f t="shared" si="635"/>
        <v>13.700000000000001</v>
      </c>
      <c r="O4056" s="11">
        <f t="shared" si="636"/>
        <v>0.08</v>
      </c>
      <c r="P4056" s="12">
        <f t="shared" si="637"/>
        <v>0</v>
      </c>
      <c r="Q4056" s="17" t="str">
        <f t="shared" si="639"/>
        <v>Pas d'écart</v>
      </c>
      <c r="R4056" s="38"/>
    </row>
    <row r="4057" spans="1:18" x14ac:dyDescent="0.3">
      <c r="A4057" s="34" t="str">
        <f>base!J4057</f>
        <v>RS</v>
      </c>
      <c r="B4057" s="34" t="str">
        <f>base!V4057</f>
        <v>63540</v>
      </c>
      <c r="C4057" s="37">
        <v>63</v>
      </c>
      <c r="D4057" s="36">
        <f>base!H4057</f>
        <v>40</v>
      </c>
      <c r="E4057" s="44"/>
      <c r="F4057" s="16">
        <f>base!W4057</f>
        <v>0</v>
      </c>
      <c r="G4057" s="11">
        <f t="shared" si="630"/>
        <v>0</v>
      </c>
      <c r="H4057" s="11">
        <f t="shared" si="631"/>
        <v>11.6</v>
      </c>
      <c r="I4057" s="11">
        <f t="shared" si="632"/>
        <v>0.28999999999999998</v>
      </c>
      <c r="J4057" s="12">
        <f t="shared" si="633"/>
        <v>-11.6</v>
      </c>
      <c r="K4057" s="17" t="str">
        <f t="shared" si="638"/>
        <v>Ecart négatif</v>
      </c>
      <c r="L4057" s="16">
        <f>base!X4057</f>
        <v>4.8</v>
      </c>
      <c r="M4057" s="11">
        <f t="shared" si="634"/>
        <v>0.12</v>
      </c>
      <c r="N4057" s="11">
        <f t="shared" si="635"/>
        <v>4.8</v>
      </c>
      <c r="O4057" s="11">
        <f t="shared" si="636"/>
        <v>0.12</v>
      </c>
      <c r="P4057" s="12">
        <f t="shared" si="637"/>
        <v>0</v>
      </c>
      <c r="Q4057" s="17" t="str">
        <f t="shared" si="639"/>
        <v>Pas d'écart</v>
      </c>
      <c r="R4057" s="38"/>
    </row>
    <row r="4058" spans="1:18" x14ac:dyDescent="0.3">
      <c r="A4058" s="34" t="str">
        <f>base!J4058</f>
        <v>LS</v>
      </c>
      <c r="B4058" s="34" t="str">
        <f>base!V4058</f>
        <v>67230</v>
      </c>
      <c r="C4058" s="37">
        <v>55</v>
      </c>
      <c r="D4058" s="36">
        <f>base!H4058</f>
        <v>126.65</v>
      </c>
      <c r="E4058" s="44"/>
      <c r="F4058" s="16">
        <f>base!W4058</f>
        <v>36.729999999999997</v>
      </c>
      <c r="G4058" s="11">
        <f t="shared" si="630"/>
        <v>0.29001184366363991</v>
      </c>
      <c r="H4058" s="11">
        <f t="shared" si="631"/>
        <v>31.662500000000001</v>
      </c>
      <c r="I4058" s="11">
        <f t="shared" si="632"/>
        <v>0.25</v>
      </c>
      <c r="J4058" s="12">
        <f t="shared" si="633"/>
        <v>5.0674999999999955</v>
      </c>
      <c r="K4058" s="17" t="str">
        <f t="shared" si="638"/>
        <v>Ecart positif</v>
      </c>
      <c r="L4058" s="16">
        <f>base!X4058</f>
        <v>0</v>
      </c>
      <c r="M4058" s="11">
        <f t="shared" si="634"/>
        <v>0</v>
      </c>
      <c r="N4058" s="11">
        <f t="shared" si="635"/>
        <v>31.662500000000001</v>
      </c>
      <c r="O4058" s="11">
        <f t="shared" si="636"/>
        <v>0.25</v>
      </c>
      <c r="P4058" s="12">
        <f t="shared" si="637"/>
        <v>-31.662500000000001</v>
      </c>
      <c r="Q4058" s="17" t="str">
        <f t="shared" si="639"/>
        <v>Ecart négatif</v>
      </c>
    </row>
    <row r="4059" spans="1:18" x14ac:dyDescent="0.3">
      <c r="A4059" s="34" t="str">
        <f>base!J4059</f>
        <v>LS</v>
      </c>
      <c r="B4059" s="34" t="str">
        <f>base!V4059</f>
        <v>14150</v>
      </c>
      <c r="C4059" s="37">
        <v>57</v>
      </c>
      <c r="D4059" s="36">
        <f>base!H4059</f>
        <v>55.34</v>
      </c>
      <c r="E4059" s="44"/>
      <c r="F4059" s="16">
        <f>base!W4059</f>
        <v>9.41</v>
      </c>
      <c r="G4059" s="11">
        <f t="shared" si="630"/>
        <v>0.17003975424647633</v>
      </c>
      <c r="H4059" s="11">
        <f t="shared" si="631"/>
        <v>13.281600000000001</v>
      </c>
      <c r="I4059" s="11">
        <f t="shared" si="632"/>
        <v>0.24</v>
      </c>
      <c r="J4059" s="12">
        <f t="shared" si="633"/>
        <v>-3.8716000000000008</v>
      </c>
      <c r="K4059" s="17" t="str">
        <f t="shared" si="638"/>
        <v>Ecart négatif</v>
      </c>
      <c r="L4059" s="16">
        <f>base!X4059</f>
        <v>0</v>
      </c>
      <c r="M4059" s="11">
        <f t="shared" si="634"/>
        <v>0</v>
      </c>
      <c r="N4059" s="11">
        <f t="shared" si="635"/>
        <v>13.835000000000001</v>
      </c>
      <c r="O4059" s="11">
        <f t="shared" si="636"/>
        <v>0.25</v>
      </c>
      <c r="P4059" s="12">
        <f t="shared" si="637"/>
        <v>-13.835000000000001</v>
      </c>
      <c r="Q4059" s="17" t="str">
        <f t="shared" si="639"/>
        <v>Ecart négatif</v>
      </c>
    </row>
    <row r="4060" spans="1:18" x14ac:dyDescent="0.3">
      <c r="A4060" s="34">
        <f>base!J4060</f>
        <v>0</v>
      </c>
      <c r="B4060" s="34" t="str">
        <f>base!V4060</f>
        <v>44240</v>
      </c>
      <c r="C4060" s="37">
        <v>44</v>
      </c>
      <c r="D4060" s="36">
        <f>base!H4060</f>
        <v>31</v>
      </c>
      <c r="E4060" s="44"/>
      <c r="F4060" s="16">
        <f>base!W4060</f>
        <v>0</v>
      </c>
      <c r="G4060" s="11">
        <f t="shared" si="630"/>
        <v>0</v>
      </c>
      <c r="H4060" s="11">
        <f t="shared" si="631"/>
        <v>8.370000000000001</v>
      </c>
      <c r="I4060" s="11">
        <f t="shared" si="632"/>
        <v>0.27</v>
      </c>
      <c r="J4060" s="12">
        <f t="shared" si="633"/>
        <v>-8.370000000000001</v>
      </c>
      <c r="K4060" s="17" t="str">
        <f t="shared" si="638"/>
        <v>Ecart négatif</v>
      </c>
      <c r="L4060" s="16">
        <f>base!X4060</f>
        <v>0</v>
      </c>
      <c r="M4060" s="11">
        <f t="shared" si="634"/>
        <v>0</v>
      </c>
      <c r="N4060" s="11">
        <f t="shared" si="635"/>
        <v>0</v>
      </c>
      <c r="O4060" s="11">
        <f t="shared" si="636"/>
        <v>0</v>
      </c>
      <c r="P4060" s="12">
        <f t="shared" si="637"/>
        <v>0</v>
      </c>
      <c r="Q4060" s="17" t="str">
        <f t="shared" si="639"/>
        <v>Pas d'écart</v>
      </c>
    </row>
    <row r="4061" spans="1:18" x14ac:dyDescent="0.3">
      <c r="A4061" s="34" t="str">
        <f>base!J4061</f>
        <v>LM</v>
      </c>
      <c r="B4061" s="34" t="str">
        <f>base!V4061</f>
        <v>59960</v>
      </c>
      <c r="C4061" s="37">
        <v>54</v>
      </c>
      <c r="D4061" s="36">
        <f>base!H4061</f>
        <v>151</v>
      </c>
      <c r="E4061" s="44"/>
      <c r="F4061" s="16">
        <f>base!W4061</f>
        <v>28.69</v>
      </c>
      <c r="G4061" s="11">
        <f t="shared" si="630"/>
        <v>0.19</v>
      </c>
      <c r="H4061" s="11">
        <f t="shared" si="631"/>
        <v>37.75</v>
      </c>
      <c r="I4061" s="11">
        <f t="shared" si="632"/>
        <v>0.25</v>
      </c>
      <c r="J4061" s="12">
        <f t="shared" si="633"/>
        <v>-9.0599999999999987</v>
      </c>
      <c r="K4061" s="17" t="str">
        <f t="shared" si="638"/>
        <v>Ecart négatif</v>
      </c>
      <c r="L4061" s="16">
        <f>base!X4061</f>
        <v>0</v>
      </c>
      <c r="M4061" s="11">
        <f t="shared" si="634"/>
        <v>0</v>
      </c>
      <c r="N4061" s="11">
        <f t="shared" si="635"/>
        <v>37.75</v>
      </c>
      <c r="O4061" s="11">
        <f t="shared" si="636"/>
        <v>0.25</v>
      </c>
      <c r="P4061" s="12">
        <f t="shared" si="637"/>
        <v>-37.75</v>
      </c>
      <c r="Q4061" s="17" t="str">
        <f t="shared" si="639"/>
        <v>Ecart négatif</v>
      </c>
    </row>
    <row r="4062" spans="1:18" x14ac:dyDescent="0.3">
      <c r="A4062" s="34" t="str">
        <f>base!J4062</f>
        <v>RM</v>
      </c>
      <c r="B4062" s="34" t="str">
        <f>base!V4062</f>
        <v>44000</v>
      </c>
      <c r="C4062" s="37">
        <v>44</v>
      </c>
      <c r="D4062" s="36">
        <f>base!H4062</f>
        <v>35</v>
      </c>
      <c r="E4062" s="44"/>
      <c r="F4062" s="16">
        <f>base!W4062</f>
        <v>0</v>
      </c>
      <c r="G4062" s="11">
        <f t="shared" si="630"/>
        <v>0</v>
      </c>
      <c r="H4062" s="11">
        <f t="shared" si="631"/>
        <v>9.4500000000000011</v>
      </c>
      <c r="I4062" s="11">
        <f t="shared" si="632"/>
        <v>0.27</v>
      </c>
      <c r="J4062" s="12">
        <f t="shared" si="633"/>
        <v>-9.4500000000000011</v>
      </c>
      <c r="K4062" s="17" t="str">
        <f t="shared" si="638"/>
        <v>Ecart négatif</v>
      </c>
      <c r="L4062" s="16">
        <f>base!X4062</f>
        <v>0</v>
      </c>
      <c r="M4062" s="11">
        <f t="shared" si="634"/>
        <v>0</v>
      </c>
      <c r="N4062" s="11">
        <f t="shared" si="635"/>
        <v>0</v>
      </c>
      <c r="O4062" s="11">
        <f t="shared" si="636"/>
        <v>0</v>
      </c>
      <c r="P4062" s="12">
        <f t="shared" si="637"/>
        <v>0</v>
      </c>
      <c r="Q4062" s="17" t="str">
        <f t="shared" si="639"/>
        <v>Pas d'écart</v>
      </c>
    </row>
    <row r="4063" spans="1:18" x14ac:dyDescent="0.3">
      <c r="A4063" s="34" t="str">
        <f>base!J4063</f>
        <v>LS</v>
      </c>
      <c r="B4063" s="34" t="str">
        <f>base!V4063</f>
        <v>69850</v>
      </c>
      <c r="C4063" s="37">
        <v>1</v>
      </c>
      <c r="D4063" s="36">
        <f>base!H4063</f>
        <v>120.29</v>
      </c>
      <c r="E4063" s="44"/>
      <c r="F4063" s="16">
        <f>base!W4063</f>
        <v>32.479999999999997</v>
      </c>
      <c r="G4063" s="11">
        <f t="shared" si="630"/>
        <v>0.27001413251309331</v>
      </c>
      <c r="H4063" s="11">
        <f t="shared" si="631"/>
        <v>31.275400000000001</v>
      </c>
      <c r="I4063" s="11">
        <f t="shared" si="632"/>
        <v>0.26</v>
      </c>
      <c r="J4063" s="12">
        <f t="shared" si="633"/>
        <v>1.2045999999999957</v>
      </c>
      <c r="K4063" s="17" t="str">
        <f t="shared" si="638"/>
        <v>Ecart positif</v>
      </c>
      <c r="L4063" s="16">
        <f>base!X4063</f>
        <v>0</v>
      </c>
      <c r="M4063" s="11">
        <f t="shared" si="634"/>
        <v>0</v>
      </c>
      <c r="N4063" s="11">
        <f t="shared" si="635"/>
        <v>0</v>
      </c>
      <c r="O4063" s="11">
        <f t="shared" si="636"/>
        <v>0</v>
      </c>
      <c r="P4063" s="12">
        <f t="shared" si="637"/>
        <v>0</v>
      </c>
      <c r="Q4063" s="17" t="str">
        <f t="shared" si="639"/>
        <v>Pas d'écart</v>
      </c>
    </row>
    <row r="4064" spans="1:18" x14ac:dyDescent="0.3">
      <c r="A4064" s="34" t="str">
        <f>base!J4064</f>
        <v>LS</v>
      </c>
      <c r="B4064" s="34" t="str">
        <f>base!V4064</f>
        <v>45120</v>
      </c>
      <c r="C4064" s="37">
        <v>38</v>
      </c>
      <c r="D4064" s="36">
        <f>base!H4064</f>
        <v>189.59</v>
      </c>
      <c r="E4064" s="44"/>
      <c r="F4064" s="16">
        <f>base!W4064</f>
        <v>39.81</v>
      </c>
      <c r="G4064" s="11">
        <f t="shared" si="630"/>
        <v>0.20997942929479405</v>
      </c>
      <c r="H4064" s="11">
        <f t="shared" si="631"/>
        <v>51.189300000000003</v>
      </c>
      <c r="I4064" s="11">
        <f t="shared" si="632"/>
        <v>0.27</v>
      </c>
      <c r="J4064" s="12">
        <f t="shared" si="633"/>
        <v>-11.379300000000001</v>
      </c>
      <c r="K4064" s="17" t="str">
        <f t="shared" si="638"/>
        <v>Ecart négatif</v>
      </c>
      <c r="L4064" s="16">
        <f>base!X4064</f>
        <v>0</v>
      </c>
      <c r="M4064" s="11">
        <f t="shared" si="634"/>
        <v>0</v>
      </c>
      <c r="N4064" s="11">
        <f t="shared" si="635"/>
        <v>0</v>
      </c>
      <c r="O4064" s="11">
        <f t="shared" si="636"/>
        <v>0</v>
      </c>
      <c r="P4064" s="12">
        <f t="shared" si="637"/>
        <v>0</v>
      </c>
      <c r="Q4064" s="17" t="str">
        <f t="shared" si="639"/>
        <v>Pas d'écart</v>
      </c>
    </row>
    <row r="4065" spans="1:17" x14ac:dyDescent="0.3">
      <c r="A4065" s="34" t="str">
        <f>base!J4065</f>
        <v>LS</v>
      </c>
      <c r="B4065" s="34" t="str">
        <f>base!V4065</f>
        <v>75015</v>
      </c>
      <c r="C4065" s="37">
        <v>75</v>
      </c>
      <c r="D4065" s="36">
        <f>base!H4065</f>
        <v>214.6</v>
      </c>
      <c r="E4065" s="44"/>
      <c r="F4065" s="16">
        <f>base!W4065</f>
        <v>0</v>
      </c>
      <c r="G4065" s="11">
        <f t="shared" si="630"/>
        <v>0</v>
      </c>
      <c r="H4065" s="11">
        <f t="shared" si="631"/>
        <v>0</v>
      </c>
      <c r="I4065" s="11">
        <f t="shared" si="632"/>
        <v>0</v>
      </c>
      <c r="J4065" s="12">
        <f t="shared" si="633"/>
        <v>0</v>
      </c>
      <c r="K4065" s="17" t="str">
        <f t="shared" si="638"/>
        <v>Pas d'écart</v>
      </c>
      <c r="L4065" s="16">
        <f>base!X4065</f>
        <v>0</v>
      </c>
      <c r="M4065" s="11">
        <f t="shared" si="634"/>
        <v>0</v>
      </c>
      <c r="N4065" s="11">
        <f t="shared" si="635"/>
        <v>0</v>
      </c>
      <c r="O4065" s="11">
        <f t="shared" si="636"/>
        <v>0</v>
      </c>
      <c r="P4065" s="12">
        <f t="shared" si="637"/>
        <v>0</v>
      </c>
      <c r="Q4065" s="17" t="str">
        <f t="shared" si="639"/>
        <v>Pas d'écart</v>
      </c>
    </row>
    <row r="4066" spans="1:17" x14ac:dyDescent="0.3">
      <c r="A4066" s="34" t="str">
        <f>base!J4066</f>
        <v>LS</v>
      </c>
      <c r="B4066" s="34" t="str">
        <f>base!V4066</f>
        <v>14000</v>
      </c>
      <c r="C4066" s="37">
        <v>54</v>
      </c>
      <c r="D4066" s="36">
        <f>base!H4066</f>
        <v>148.91999999999999</v>
      </c>
      <c r="E4066" s="44"/>
      <c r="F4066" s="16">
        <f>base!W4066</f>
        <v>25.32</v>
      </c>
      <c r="G4066" s="11">
        <f t="shared" si="630"/>
        <v>0.17002417405318293</v>
      </c>
      <c r="H4066" s="11">
        <f t="shared" si="631"/>
        <v>37.229999999999997</v>
      </c>
      <c r="I4066" s="11">
        <f t="shared" si="632"/>
        <v>0.25</v>
      </c>
      <c r="J4066" s="12">
        <f t="shared" si="633"/>
        <v>-11.909999999999997</v>
      </c>
      <c r="K4066" s="17" t="str">
        <f t="shared" si="638"/>
        <v>Ecart négatif</v>
      </c>
      <c r="L4066" s="16">
        <f>base!X4066</f>
        <v>0</v>
      </c>
      <c r="M4066" s="11">
        <f t="shared" si="634"/>
        <v>0</v>
      </c>
      <c r="N4066" s="11">
        <f t="shared" si="635"/>
        <v>37.229999999999997</v>
      </c>
      <c r="O4066" s="11">
        <f t="shared" si="636"/>
        <v>0.25</v>
      </c>
      <c r="P4066" s="12">
        <f t="shared" si="637"/>
        <v>-37.229999999999997</v>
      </c>
      <c r="Q4066" s="17" t="str">
        <f t="shared" si="639"/>
        <v>Ecart négatif</v>
      </c>
    </row>
    <row r="4067" spans="1:17" x14ac:dyDescent="0.3">
      <c r="A4067" s="34">
        <f>base!J4067</f>
        <v>0</v>
      </c>
      <c r="B4067" s="34" t="str">
        <f>base!V4067</f>
        <v>77184</v>
      </c>
      <c r="C4067" s="37">
        <v>77</v>
      </c>
      <c r="D4067" s="36">
        <f>base!H4067</f>
        <v>171</v>
      </c>
      <c r="E4067" s="44"/>
      <c r="F4067" s="16">
        <f>base!W4067</f>
        <v>0</v>
      </c>
      <c r="G4067" s="11">
        <f t="shared" si="630"/>
        <v>0</v>
      </c>
      <c r="H4067" s="11">
        <f t="shared" si="631"/>
        <v>0</v>
      </c>
      <c r="I4067" s="11">
        <f t="shared" si="632"/>
        <v>0</v>
      </c>
      <c r="J4067" s="12">
        <f t="shared" si="633"/>
        <v>0</v>
      </c>
      <c r="K4067" s="17" t="str">
        <f t="shared" si="638"/>
        <v>Pas d'écart</v>
      </c>
      <c r="L4067" s="16">
        <f>base!X4067</f>
        <v>0</v>
      </c>
      <c r="M4067" s="11">
        <f t="shared" si="634"/>
        <v>0</v>
      </c>
      <c r="N4067" s="11">
        <f t="shared" si="635"/>
        <v>0</v>
      </c>
      <c r="O4067" s="11">
        <f t="shared" si="636"/>
        <v>0</v>
      </c>
      <c r="P4067" s="12">
        <f t="shared" si="637"/>
        <v>0</v>
      </c>
      <c r="Q4067" s="17" t="str">
        <f t="shared" si="639"/>
        <v>Pas d'écart</v>
      </c>
    </row>
    <row r="4068" spans="1:17" x14ac:dyDescent="0.3">
      <c r="A4068" s="34">
        <f>base!J4068</f>
        <v>0</v>
      </c>
      <c r="B4068" s="34" t="str">
        <f>base!V4068</f>
        <v>77184</v>
      </c>
      <c r="C4068" s="37">
        <v>77</v>
      </c>
      <c r="D4068" s="36">
        <f>base!H4068</f>
        <v>171</v>
      </c>
      <c r="E4068" s="44"/>
      <c r="F4068" s="16">
        <f>base!W4068</f>
        <v>0</v>
      </c>
      <c r="G4068" s="11">
        <f t="shared" si="630"/>
        <v>0</v>
      </c>
      <c r="H4068" s="11">
        <f t="shared" si="631"/>
        <v>0</v>
      </c>
      <c r="I4068" s="11">
        <f t="shared" si="632"/>
        <v>0</v>
      </c>
      <c r="J4068" s="12">
        <f t="shared" si="633"/>
        <v>0</v>
      </c>
      <c r="K4068" s="17" t="str">
        <f t="shared" si="638"/>
        <v>Pas d'écart</v>
      </c>
      <c r="L4068" s="16">
        <f>base!X4068</f>
        <v>0</v>
      </c>
      <c r="M4068" s="11">
        <f t="shared" si="634"/>
        <v>0</v>
      </c>
      <c r="N4068" s="11">
        <f t="shared" si="635"/>
        <v>0</v>
      </c>
      <c r="O4068" s="11">
        <f t="shared" si="636"/>
        <v>0</v>
      </c>
      <c r="P4068" s="12">
        <f t="shared" si="637"/>
        <v>0</v>
      </c>
      <c r="Q4068" s="17" t="str">
        <f t="shared" si="639"/>
        <v>Pas d'écart</v>
      </c>
    </row>
    <row r="4069" spans="1:17" x14ac:dyDescent="0.3">
      <c r="A4069" s="34">
        <f>base!J4069</f>
        <v>0</v>
      </c>
      <c r="B4069" s="34" t="str">
        <f>base!V4069</f>
        <v>77184</v>
      </c>
      <c r="C4069" s="37">
        <v>77</v>
      </c>
      <c r="D4069" s="36">
        <f>base!H4069</f>
        <v>171</v>
      </c>
      <c r="E4069" s="44"/>
      <c r="F4069" s="16">
        <f>base!W4069</f>
        <v>0</v>
      </c>
      <c r="G4069" s="11">
        <f t="shared" si="630"/>
        <v>0</v>
      </c>
      <c r="H4069" s="11">
        <f t="shared" si="631"/>
        <v>0</v>
      </c>
      <c r="I4069" s="11">
        <f t="shared" si="632"/>
        <v>0</v>
      </c>
      <c r="J4069" s="12">
        <f t="shared" si="633"/>
        <v>0</v>
      </c>
      <c r="K4069" s="17" t="str">
        <f t="shared" si="638"/>
        <v>Pas d'écart</v>
      </c>
      <c r="L4069" s="16">
        <f>base!X4069</f>
        <v>0</v>
      </c>
      <c r="M4069" s="11">
        <f t="shared" si="634"/>
        <v>0</v>
      </c>
      <c r="N4069" s="11">
        <f t="shared" si="635"/>
        <v>0</v>
      </c>
      <c r="O4069" s="11">
        <f t="shared" si="636"/>
        <v>0</v>
      </c>
      <c r="P4069" s="12">
        <f t="shared" si="637"/>
        <v>0</v>
      </c>
      <c r="Q4069" s="17" t="str">
        <f t="shared" si="639"/>
        <v>Pas d'écart</v>
      </c>
    </row>
    <row r="4070" spans="1:17" x14ac:dyDescent="0.3">
      <c r="A4070" s="34" t="str">
        <f>base!J4070</f>
        <v>DRM</v>
      </c>
      <c r="B4070" s="34" t="str">
        <f>base!V4070</f>
        <v>76700</v>
      </c>
      <c r="C4070" s="37">
        <v>76</v>
      </c>
      <c r="D4070" s="36">
        <f>base!H4070</f>
        <v>173.44</v>
      </c>
      <c r="E4070" s="44"/>
      <c r="F4070" s="16">
        <f>base!W4070</f>
        <v>0</v>
      </c>
      <c r="G4070" s="11">
        <f t="shared" si="630"/>
        <v>0</v>
      </c>
      <c r="H4070" s="11">
        <f t="shared" si="631"/>
        <v>29.484800000000003</v>
      </c>
      <c r="I4070" s="11">
        <f t="shared" si="632"/>
        <v>0.17</v>
      </c>
      <c r="J4070" s="12">
        <f t="shared" si="633"/>
        <v>-29.484800000000003</v>
      </c>
      <c r="K4070" s="17" t="str">
        <f t="shared" si="638"/>
        <v>Ecart négatif</v>
      </c>
      <c r="L4070" s="16">
        <f>base!X4070</f>
        <v>0</v>
      </c>
      <c r="M4070" s="11">
        <f t="shared" si="634"/>
        <v>0</v>
      </c>
      <c r="N4070" s="11">
        <f t="shared" si="635"/>
        <v>29.484800000000003</v>
      </c>
      <c r="O4070" s="11">
        <f t="shared" si="636"/>
        <v>0.17</v>
      </c>
      <c r="P4070" s="12">
        <f t="shared" si="637"/>
        <v>-29.484800000000003</v>
      </c>
      <c r="Q4070" s="17" t="str">
        <f t="shared" si="639"/>
        <v>Ecart négatif</v>
      </c>
    </row>
    <row r="4071" spans="1:17" x14ac:dyDescent="0.3">
      <c r="A4071" s="34" t="str">
        <f>base!J4071</f>
        <v>LM</v>
      </c>
      <c r="B4071" s="34" t="str">
        <f>base!V4071</f>
        <v>62380</v>
      </c>
      <c r="C4071" s="37">
        <v>54</v>
      </c>
      <c r="D4071" s="36">
        <f>base!H4071</f>
        <v>19.8</v>
      </c>
      <c r="E4071" s="44"/>
      <c r="F4071" s="16">
        <f>base!W4071</f>
        <v>3.76</v>
      </c>
      <c r="G4071" s="11">
        <f t="shared" si="630"/>
        <v>0.18989898989898987</v>
      </c>
      <c r="H4071" s="11">
        <f t="shared" si="631"/>
        <v>4.95</v>
      </c>
      <c r="I4071" s="11">
        <f t="shared" si="632"/>
        <v>0.25</v>
      </c>
      <c r="J4071" s="12">
        <f t="shared" si="633"/>
        <v>-1.1900000000000004</v>
      </c>
      <c r="K4071" s="17" t="str">
        <f t="shared" si="638"/>
        <v>Ecart négatif</v>
      </c>
      <c r="L4071" s="16">
        <f>base!X4071</f>
        <v>0</v>
      </c>
      <c r="M4071" s="11">
        <f t="shared" si="634"/>
        <v>0</v>
      </c>
      <c r="N4071" s="11">
        <f t="shared" si="635"/>
        <v>4.95</v>
      </c>
      <c r="O4071" s="11">
        <f t="shared" si="636"/>
        <v>0.25</v>
      </c>
      <c r="P4071" s="12">
        <f t="shared" si="637"/>
        <v>-4.95</v>
      </c>
      <c r="Q4071" s="17" t="str">
        <f t="shared" si="639"/>
        <v>Ecart négatif</v>
      </c>
    </row>
    <row r="4072" spans="1:17" x14ac:dyDescent="0.3">
      <c r="A4072" s="34" t="str">
        <f>base!J4072</f>
        <v>RS</v>
      </c>
      <c r="B4072" s="34" t="str">
        <f>base!V4072</f>
        <v>79400</v>
      </c>
      <c r="C4072" s="37">
        <v>79</v>
      </c>
      <c r="D4072" s="36">
        <f>base!H4072</f>
        <v>126.5</v>
      </c>
      <c r="E4072" s="44"/>
      <c r="F4072" s="16">
        <f>base!W4072</f>
        <v>0</v>
      </c>
      <c r="G4072" s="11">
        <f t="shared" si="630"/>
        <v>0</v>
      </c>
      <c r="H4072" s="11">
        <f t="shared" si="631"/>
        <v>26.564999999999998</v>
      </c>
      <c r="I4072" s="11">
        <f t="shared" si="632"/>
        <v>0.21</v>
      </c>
      <c r="J4072" s="12">
        <f t="shared" si="633"/>
        <v>-26.564999999999998</v>
      </c>
      <c r="K4072" s="17" t="str">
        <f t="shared" si="638"/>
        <v>Ecart négatif</v>
      </c>
      <c r="L4072" s="16">
        <f>base!X4072</f>
        <v>0</v>
      </c>
      <c r="M4072" s="11">
        <f t="shared" si="634"/>
        <v>0</v>
      </c>
      <c r="N4072" s="11">
        <f t="shared" si="635"/>
        <v>15.18</v>
      </c>
      <c r="O4072" s="11">
        <f t="shared" si="636"/>
        <v>0.12</v>
      </c>
      <c r="P4072" s="12">
        <f t="shared" si="637"/>
        <v>-15.18</v>
      </c>
      <c r="Q4072" s="17" t="str">
        <f t="shared" si="639"/>
        <v>Ecart négatif</v>
      </c>
    </row>
    <row r="4073" spans="1:17" x14ac:dyDescent="0.3">
      <c r="A4073" s="34" t="str">
        <f>base!J4073</f>
        <v>LM</v>
      </c>
      <c r="B4073" s="34" t="str">
        <f>base!V4073</f>
        <v>01500</v>
      </c>
      <c r="C4073" s="37">
        <v>51</v>
      </c>
      <c r="D4073" s="36">
        <f>base!H4073</f>
        <v>37.85</v>
      </c>
      <c r="E4073" s="44"/>
      <c r="F4073" s="16">
        <f>base!W4073</f>
        <v>10.220000000000001</v>
      </c>
      <c r="G4073" s="11">
        <f t="shared" si="630"/>
        <v>0.27001321003963014</v>
      </c>
      <c r="H4073" s="11">
        <f t="shared" si="631"/>
        <v>9.4625000000000004</v>
      </c>
      <c r="I4073" s="11">
        <f t="shared" si="632"/>
        <v>0.25</v>
      </c>
      <c r="J4073" s="12">
        <f t="shared" si="633"/>
        <v>0.75750000000000028</v>
      </c>
      <c r="K4073" s="17" t="str">
        <f t="shared" si="638"/>
        <v>Ecart positif</v>
      </c>
      <c r="L4073" s="16">
        <f>base!X4073</f>
        <v>0</v>
      </c>
      <c r="M4073" s="11">
        <f t="shared" si="634"/>
        <v>0</v>
      </c>
      <c r="N4073" s="11">
        <f t="shared" si="635"/>
        <v>9.4625000000000004</v>
      </c>
      <c r="O4073" s="11">
        <f t="shared" si="636"/>
        <v>0.25</v>
      </c>
      <c r="P4073" s="12">
        <f t="shared" si="637"/>
        <v>-9.4625000000000004</v>
      </c>
      <c r="Q4073" s="17" t="str">
        <f t="shared" si="639"/>
        <v>Ecart négatif</v>
      </c>
    </row>
    <row r="4074" spans="1:17" x14ac:dyDescent="0.3">
      <c r="A4074" s="34" t="str">
        <f>base!J4074</f>
        <v>LM</v>
      </c>
      <c r="B4074" s="34" t="str">
        <f>base!V4074</f>
        <v>44000</v>
      </c>
      <c r="C4074" s="37">
        <v>44</v>
      </c>
      <c r="D4074" s="36">
        <f>base!H4074</f>
        <v>40</v>
      </c>
      <c r="E4074" s="44"/>
      <c r="F4074" s="16">
        <f>base!W4074</f>
        <v>10.8</v>
      </c>
      <c r="G4074" s="11">
        <f t="shared" si="630"/>
        <v>0.27</v>
      </c>
      <c r="H4074" s="11">
        <f t="shared" si="631"/>
        <v>10.8</v>
      </c>
      <c r="I4074" s="11">
        <f t="shared" si="632"/>
        <v>0.27</v>
      </c>
      <c r="J4074" s="12">
        <f t="shared" si="633"/>
        <v>0</v>
      </c>
      <c r="K4074" s="17" t="str">
        <f t="shared" si="638"/>
        <v>Pas d'écart</v>
      </c>
      <c r="L4074" s="16">
        <f>base!X4074</f>
        <v>0</v>
      </c>
      <c r="M4074" s="11">
        <f t="shared" si="634"/>
        <v>0</v>
      </c>
      <c r="N4074" s="11">
        <f t="shared" si="635"/>
        <v>0</v>
      </c>
      <c r="O4074" s="11">
        <f t="shared" si="636"/>
        <v>0</v>
      </c>
      <c r="P4074" s="12">
        <f t="shared" si="637"/>
        <v>0</v>
      </c>
      <c r="Q4074" s="17" t="str">
        <f t="shared" si="639"/>
        <v>Pas d'écart</v>
      </c>
    </row>
    <row r="4075" spans="1:17" x14ac:dyDescent="0.3">
      <c r="A4075" s="34" t="str">
        <f>base!J4075</f>
        <v>LS</v>
      </c>
      <c r="B4075" s="34" t="str">
        <f>base!V4075</f>
        <v>59360</v>
      </c>
      <c r="C4075" s="37">
        <v>51</v>
      </c>
      <c r="D4075" s="36">
        <f>base!H4075</f>
        <v>0.87</v>
      </c>
      <c r="E4075" s="44"/>
      <c r="F4075" s="16">
        <f>base!W4075</f>
        <v>0.17</v>
      </c>
      <c r="G4075" s="11">
        <f t="shared" si="630"/>
        <v>0.19540229885057472</v>
      </c>
      <c r="H4075" s="11">
        <f t="shared" si="631"/>
        <v>0.2175</v>
      </c>
      <c r="I4075" s="11">
        <f t="shared" si="632"/>
        <v>0.25</v>
      </c>
      <c r="J4075" s="12">
        <f t="shared" si="633"/>
        <v>-4.7499999999999987E-2</v>
      </c>
      <c r="K4075" s="17" t="str">
        <f t="shared" si="638"/>
        <v>Ecart négatif</v>
      </c>
      <c r="L4075" s="16">
        <f>base!X4075</f>
        <v>0</v>
      </c>
      <c r="M4075" s="11">
        <f t="shared" si="634"/>
        <v>0</v>
      </c>
      <c r="N4075" s="11">
        <f t="shared" si="635"/>
        <v>0.2175</v>
      </c>
      <c r="O4075" s="11">
        <f t="shared" si="636"/>
        <v>0.25</v>
      </c>
      <c r="P4075" s="12">
        <f t="shared" si="637"/>
        <v>-0.2175</v>
      </c>
      <c r="Q4075" s="17" t="str">
        <f t="shared" si="639"/>
        <v>Ecart négatif</v>
      </c>
    </row>
    <row r="4076" spans="1:17" x14ac:dyDescent="0.3">
      <c r="A4076" s="34" t="str">
        <f>base!J4076</f>
        <v>LM</v>
      </c>
      <c r="B4076" s="34" t="str">
        <f>base!V4076</f>
        <v>50200</v>
      </c>
      <c r="C4076" s="37">
        <v>51</v>
      </c>
      <c r="D4076" s="36">
        <f>base!H4076</f>
        <v>55.36</v>
      </c>
      <c r="E4076" s="44"/>
      <c r="F4076" s="16">
        <f>base!W4076</f>
        <v>9.41</v>
      </c>
      <c r="G4076" s="11">
        <f t="shared" si="630"/>
        <v>0.16997832369942198</v>
      </c>
      <c r="H4076" s="11">
        <f t="shared" si="631"/>
        <v>13.84</v>
      </c>
      <c r="I4076" s="11">
        <f t="shared" si="632"/>
        <v>0.25</v>
      </c>
      <c r="J4076" s="12">
        <f t="shared" si="633"/>
        <v>-4.43</v>
      </c>
      <c r="K4076" s="17" t="str">
        <f t="shared" si="638"/>
        <v>Ecart négatif</v>
      </c>
      <c r="L4076" s="16">
        <f>base!X4076</f>
        <v>0</v>
      </c>
      <c r="M4076" s="11">
        <f t="shared" si="634"/>
        <v>0</v>
      </c>
      <c r="N4076" s="11">
        <f t="shared" si="635"/>
        <v>13.84</v>
      </c>
      <c r="O4076" s="11">
        <f t="shared" si="636"/>
        <v>0.25</v>
      </c>
      <c r="P4076" s="12">
        <f t="shared" si="637"/>
        <v>-13.84</v>
      </c>
      <c r="Q4076" s="17" t="str">
        <f t="shared" si="639"/>
        <v>Ecart négatif</v>
      </c>
    </row>
    <row r="4077" spans="1:17" x14ac:dyDescent="0.3">
      <c r="A4077" s="34" t="str">
        <f>base!J4077</f>
        <v>LS</v>
      </c>
      <c r="B4077" s="34" t="str">
        <f>base!V4077</f>
        <v>62220</v>
      </c>
      <c r="C4077" s="37">
        <v>69</v>
      </c>
      <c r="D4077" s="36">
        <f>base!H4077</f>
        <v>136.80000000000001</v>
      </c>
      <c r="E4077" s="44"/>
      <c r="F4077" s="16">
        <f>base!W4077</f>
        <v>25.99</v>
      </c>
      <c r="G4077" s="11">
        <f t="shared" si="630"/>
        <v>0.18998538011695904</v>
      </c>
      <c r="H4077" s="11">
        <f t="shared" si="631"/>
        <v>36.936000000000007</v>
      </c>
      <c r="I4077" s="11">
        <f t="shared" si="632"/>
        <v>0.27</v>
      </c>
      <c r="J4077" s="12">
        <f t="shared" si="633"/>
        <v>-10.946000000000009</v>
      </c>
      <c r="K4077" s="17" t="str">
        <f t="shared" si="638"/>
        <v>Ecart négatif</v>
      </c>
      <c r="L4077" s="16">
        <f>base!X4077</f>
        <v>0</v>
      </c>
      <c r="M4077" s="11">
        <f t="shared" si="634"/>
        <v>0</v>
      </c>
      <c r="N4077" s="11">
        <f t="shared" si="635"/>
        <v>0</v>
      </c>
      <c r="O4077" s="11">
        <f t="shared" si="636"/>
        <v>0</v>
      </c>
      <c r="P4077" s="12">
        <f t="shared" si="637"/>
        <v>0</v>
      </c>
      <c r="Q4077" s="17" t="str">
        <f t="shared" si="639"/>
        <v>Pas d'écart</v>
      </c>
    </row>
    <row r="4078" spans="1:17" x14ac:dyDescent="0.3">
      <c r="A4078" s="34" t="str">
        <f>base!J4078</f>
        <v>LM</v>
      </c>
      <c r="B4078" s="34" t="str">
        <f>base!V4078</f>
        <v>69005</v>
      </c>
      <c r="C4078" s="37">
        <v>51</v>
      </c>
      <c r="D4078" s="36">
        <f>base!H4078</f>
        <v>33.35</v>
      </c>
      <c r="E4078" s="44"/>
      <c r="F4078" s="16">
        <f>base!W4078</f>
        <v>9</v>
      </c>
      <c r="G4078" s="11">
        <f t="shared" si="630"/>
        <v>0.26986506746626687</v>
      </c>
      <c r="H4078" s="11">
        <f t="shared" si="631"/>
        <v>8.3375000000000004</v>
      </c>
      <c r="I4078" s="11">
        <f t="shared" si="632"/>
        <v>0.25</v>
      </c>
      <c r="J4078" s="12">
        <f t="shared" si="633"/>
        <v>0.66249999999999964</v>
      </c>
      <c r="K4078" s="17" t="str">
        <f t="shared" si="638"/>
        <v>Ecart positif</v>
      </c>
      <c r="L4078" s="16">
        <f>base!X4078</f>
        <v>0</v>
      </c>
      <c r="M4078" s="11">
        <f t="shared" si="634"/>
        <v>0</v>
      </c>
      <c r="N4078" s="11">
        <f t="shared" si="635"/>
        <v>8.3375000000000004</v>
      </c>
      <c r="O4078" s="11">
        <f t="shared" si="636"/>
        <v>0.25</v>
      </c>
      <c r="P4078" s="12">
        <f t="shared" si="637"/>
        <v>-8.3375000000000004</v>
      </c>
      <c r="Q4078" s="17" t="str">
        <f t="shared" si="639"/>
        <v>Ecart négatif</v>
      </c>
    </row>
    <row r="4079" spans="1:17" x14ac:dyDescent="0.3">
      <c r="A4079" s="34" t="str">
        <f>base!J4079</f>
        <v>RS</v>
      </c>
      <c r="B4079" s="34" t="str">
        <f>base!V4079</f>
        <v>75019</v>
      </c>
      <c r="C4079" s="37">
        <v>75</v>
      </c>
      <c r="D4079" s="36">
        <f>base!H4079</f>
        <v>1198.78</v>
      </c>
      <c r="E4079" s="44"/>
      <c r="F4079" s="16">
        <f>base!W4079</f>
        <v>0</v>
      </c>
      <c r="G4079" s="11">
        <f t="shared" si="630"/>
        <v>0</v>
      </c>
      <c r="H4079" s="11">
        <f t="shared" si="631"/>
        <v>0</v>
      </c>
      <c r="I4079" s="11">
        <f t="shared" si="632"/>
        <v>0</v>
      </c>
      <c r="J4079" s="12">
        <f t="shared" si="633"/>
        <v>0</v>
      </c>
      <c r="K4079" s="17" t="str">
        <f t="shared" si="638"/>
        <v>Pas d'écart</v>
      </c>
      <c r="L4079" s="16">
        <f>base!X4079</f>
        <v>0</v>
      </c>
      <c r="M4079" s="11">
        <f t="shared" si="634"/>
        <v>0</v>
      </c>
      <c r="N4079" s="11">
        <f t="shared" si="635"/>
        <v>0</v>
      </c>
      <c r="O4079" s="11">
        <f t="shared" si="636"/>
        <v>0</v>
      </c>
      <c r="P4079" s="12">
        <f t="shared" si="637"/>
        <v>0</v>
      </c>
      <c r="Q4079" s="17" t="str">
        <f t="shared" si="639"/>
        <v>Pas d'écart</v>
      </c>
    </row>
    <row r="4080" spans="1:17" x14ac:dyDescent="0.3">
      <c r="A4080" s="34" t="str">
        <f>base!J4080</f>
        <v>LM</v>
      </c>
      <c r="B4080" s="34" t="str">
        <f>base!V4080</f>
        <v>93100</v>
      </c>
      <c r="C4080" s="37">
        <v>93</v>
      </c>
      <c r="D4080" s="36">
        <f>base!H4080</f>
        <v>478.1</v>
      </c>
      <c r="E4080" s="44"/>
      <c r="F4080" s="16">
        <f>base!W4080</f>
        <v>0</v>
      </c>
      <c r="G4080" s="11">
        <f t="shared" si="630"/>
        <v>0</v>
      </c>
      <c r="H4080" s="11">
        <f t="shared" si="631"/>
        <v>0</v>
      </c>
      <c r="I4080" s="11">
        <f t="shared" si="632"/>
        <v>0</v>
      </c>
      <c r="J4080" s="12">
        <f t="shared" si="633"/>
        <v>0</v>
      </c>
      <c r="K4080" s="17" t="str">
        <f t="shared" si="638"/>
        <v>Pas d'écart</v>
      </c>
      <c r="L4080" s="16">
        <f>base!X4080</f>
        <v>0</v>
      </c>
      <c r="M4080" s="11">
        <f t="shared" si="634"/>
        <v>0</v>
      </c>
      <c r="N4080" s="11">
        <f t="shared" si="635"/>
        <v>0</v>
      </c>
      <c r="O4080" s="11">
        <f t="shared" si="636"/>
        <v>0</v>
      </c>
      <c r="P4080" s="12">
        <f t="shared" si="637"/>
        <v>0</v>
      </c>
      <c r="Q4080" s="17" t="str">
        <f t="shared" si="639"/>
        <v>Pas d'écart</v>
      </c>
    </row>
    <row r="4081" spans="1:17" x14ac:dyDescent="0.3">
      <c r="A4081" s="34">
        <f>base!J4081</f>
        <v>0</v>
      </c>
      <c r="B4081" s="34" t="str">
        <f>base!V4081</f>
        <v>77184</v>
      </c>
      <c r="C4081" s="37">
        <v>77</v>
      </c>
      <c r="D4081" s="36">
        <f>base!H4081</f>
        <v>105</v>
      </c>
      <c r="E4081" s="44"/>
      <c r="F4081" s="16">
        <f>base!W4081</f>
        <v>0</v>
      </c>
      <c r="G4081" s="11">
        <f t="shared" si="630"/>
        <v>0</v>
      </c>
      <c r="H4081" s="11">
        <f t="shared" si="631"/>
        <v>0</v>
      </c>
      <c r="I4081" s="11">
        <f t="shared" si="632"/>
        <v>0</v>
      </c>
      <c r="J4081" s="12">
        <f t="shared" si="633"/>
        <v>0</v>
      </c>
      <c r="K4081" s="17" t="str">
        <f t="shared" si="638"/>
        <v>Pas d'écart</v>
      </c>
      <c r="L4081" s="16">
        <f>base!X4081</f>
        <v>0</v>
      </c>
      <c r="M4081" s="11">
        <f t="shared" si="634"/>
        <v>0</v>
      </c>
      <c r="N4081" s="11">
        <f t="shared" si="635"/>
        <v>0</v>
      </c>
      <c r="O4081" s="11">
        <f t="shared" si="636"/>
        <v>0</v>
      </c>
      <c r="P4081" s="12">
        <f t="shared" si="637"/>
        <v>0</v>
      </c>
      <c r="Q4081" s="17" t="str">
        <f t="shared" si="639"/>
        <v>Pas d'écart</v>
      </c>
    </row>
    <row r="4082" spans="1:17" x14ac:dyDescent="0.3">
      <c r="A4082" s="34">
        <f>base!J4082</f>
        <v>0</v>
      </c>
      <c r="B4082" s="34" t="str">
        <f>base!V4082</f>
        <v>77184</v>
      </c>
      <c r="C4082" s="37">
        <v>77</v>
      </c>
      <c r="D4082" s="36">
        <f>base!H4082</f>
        <v>135</v>
      </c>
      <c r="E4082" s="44"/>
      <c r="F4082" s="16">
        <f>base!W4082</f>
        <v>0</v>
      </c>
      <c r="G4082" s="11">
        <f t="shared" si="630"/>
        <v>0</v>
      </c>
      <c r="H4082" s="11">
        <f t="shared" si="631"/>
        <v>0</v>
      </c>
      <c r="I4082" s="11">
        <f t="shared" si="632"/>
        <v>0</v>
      </c>
      <c r="J4082" s="12">
        <f t="shared" si="633"/>
        <v>0</v>
      </c>
      <c r="K4082" s="17" t="str">
        <f t="shared" si="638"/>
        <v>Pas d'écart</v>
      </c>
      <c r="L4082" s="16">
        <f>base!X4082</f>
        <v>0</v>
      </c>
      <c r="M4082" s="11">
        <f t="shared" si="634"/>
        <v>0</v>
      </c>
      <c r="N4082" s="11">
        <f t="shared" si="635"/>
        <v>0</v>
      </c>
      <c r="O4082" s="11">
        <f t="shared" si="636"/>
        <v>0</v>
      </c>
      <c r="P4082" s="12">
        <f t="shared" si="637"/>
        <v>0</v>
      </c>
      <c r="Q4082" s="17" t="str">
        <f t="shared" si="639"/>
        <v>Pas d'écart</v>
      </c>
    </row>
    <row r="4083" spans="1:17" x14ac:dyDescent="0.3">
      <c r="A4083" s="34">
        <f>base!J4083</f>
        <v>0</v>
      </c>
      <c r="B4083" s="34" t="str">
        <f>base!V4083</f>
        <v>77184</v>
      </c>
      <c r="C4083" s="37">
        <v>77</v>
      </c>
      <c r="D4083" s="36">
        <f>base!H4083</f>
        <v>114</v>
      </c>
      <c r="E4083" s="44"/>
      <c r="F4083" s="16">
        <f>base!W4083</f>
        <v>0</v>
      </c>
      <c r="G4083" s="11">
        <f t="shared" si="630"/>
        <v>0</v>
      </c>
      <c r="H4083" s="11">
        <f t="shared" si="631"/>
        <v>0</v>
      </c>
      <c r="I4083" s="11">
        <f t="shared" si="632"/>
        <v>0</v>
      </c>
      <c r="J4083" s="12">
        <f t="shared" si="633"/>
        <v>0</v>
      </c>
      <c r="K4083" s="17" t="str">
        <f t="shared" si="638"/>
        <v>Pas d'écart</v>
      </c>
      <c r="L4083" s="16">
        <f>base!X4083</f>
        <v>0</v>
      </c>
      <c r="M4083" s="11">
        <f t="shared" si="634"/>
        <v>0</v>
      </c>
      <c r="N4083" s="11">
        <f t="shared" si="635"/>
        <v>0</v>
      </c>
      <c r="O4083" s="11">
        <f t="shared" si="636"/>
        <v>0</v>
      </c>
      <c r="P4083" s="12">
        <f t="shared" si="637"/>
        <v>0</v>
      </c>
      <c r="Q4083" s="17" t="str">
        <f t="shared" si="639"/>
        <v>Pas d'écart</v>
      </c>
    </row>
    <row r="4084" spans="1:17" x14ac:dyDescent="0.3">
      <c r="A4084" s="34" t="str">
        <f>base!J4084</f>
        <v>LS</v>
      </c>
      <c r="B4084" s="34" t="str">
        <f>base!V4084</f>
        <v>84140</v>
      </c>
      <c r="C4084" s="37">
        <v>73</v>
      </c>
      <c r="D4084" s="36">
        <f>base!H4084</f>
        <v>18.350000000000001</v>
      </c>
      <c r="E4084" s="44"/>
      <c r="F4084" s="16">
        <f>base!W4084</f>
        <v>5.32</v>
      </c>
      <c r="G4084" s="11">
        <f t="shared" si="630"/>
        <v>0.2899182561307902</v>
      </c>
      <c r="H4084" s="11">
        <f t="shared" si="631"/>
        <v>4.9545000000000003</v>
      </c>
      <c r="I4084" s="11">
        <f t="shared" si="632"/>
        <v>0.27</v>
      </c>
      <c r="J4084" s="12">
        <f t="shared" si="633"/>
        <v>0.36549999999999994</v>
      </c>
      <c r="K4084" s="17" t="str">
        <f t="shared" si="638"/>
        <v>Ecart positif</v>
      </c>
      <c r="L4084" s="16">
        <f>base!X4084</f>
        <v>0</v>
      </c>
      <c r="M4084" s="11">
        <f t="shared" si="634"/>
        <v>0</v>
      </c>
      <c r="N4084" s="11">
        <f t="shared" si="635"/>
        <v>0</v>
      </c>
      <c r="O4084" s="11">
        <f t="shared" si="636"/>
        <v>0</v>
      </c>
      <c r="P4084" s="12">
        <f t="shared" si="637"/>
        <v>0</v>
      </c>
      <c r="Q4084" s="17" t="str">
        <f t="shared" si="639"/>
        <v>Pas d'écart</v>
      </c>
    </row>
    <row r="4085" spans="1:17" x14ac:dyDescent="0.3">
      <c r="A4085" s="34" t="str">
        <f>base!J4085</f>
        <v>LM</v>
      </c>
      <c r="B4085" s="34" t="str">
        <f>base!V4085</f>
        <v>06000</v>
      </c>
      <c r="C4085" s="37">
        <v>71</v>
      </c>
      <c r="D4085" s="36">
        <f>base!H4085</f>
        <v>55.14</v>
      </c>
      <c r="E4085" s="44"/>
      <c r="F4085" s="16">
        <f>base!W4085</f>
        <v>16.54</v>
      </c>
      <c r="G4085" s="11">
        <f t="shared" si="630"/>
        <v>0.29996372869060572</v>
      </c>
      <c r="H4085" s="11">
        <f t="shared" si="631"/>
        <v>14.8878</v>
      </c>
      <c r="I4085" s="11">
        <f t="shared" si="632"/>
        <v>0.27</v>
      </c>
      <c r="J4085" s="12">
        <f t="shared" si="633"/>
        <v>1.6521999999999988</v>
      </c>
      <c r="K4085" s="17" t="str">
        <f t="shared" si="638"/>
        <v>Ecart positif</v>
      </c>
      <c r="L4085" s="16">
        <f>base!X4085</f>
        <v>0</v>
      </c>
      <c r="M4085" s="11">
        <f t="shared" si="634"/>
        <v>0</v>
      </c>
      <c r="N4085" s="11">
        <f t="shared" si="635"/>
        <v>0</v>
      </c>
      <c r="O4085" s="11">
        <f t="shared" si="636"/>
        <v>0</v>
      </c>
      <c r="P4085" s="12">
        <f t="shared" si="637"/>
        <v>0</v>
      </c>
      <c r="Q4085" s="17" t="str">
        <f t="shared" si="639"/>
        <v>Pas d'écart</v>
      </c>
    </row>
    <row r="4086" spans="1:17" x14ac:dyDescent="0.3">
      <c r="A4086" s="34" t="str">
        <f>base!J4086</f>
        <v>LS</v>
      </c>
      <c r="B4086" s="34" t="str">
        <f>base!V4086</f>
        <v>38390</v>
      </c>
      <c r="C4086" s="37">
        <v>71</v>
      </c>
      <c r="D4086" s="36">
        <f>base!H4086</f>
        <v>39.35</v>
      </c>
      <c r="E4086" s="44"/>
      <c r="F4086" s="16">
        <f>base!W4086</f>
        <v>10.62</v>
      </c>
      <c r="G4086" s="11">
        <f t="shared" si="630"/>
        <v>0.26988564167725537</v>
      </c>
      <c r="H4086" s="11">
        <f t="shared" si="631"/>
        <v>10.624500000000001</v>
      </c>
      <c r="I4086" s="11">
        <f t="shared" si="632"/>
        <v>0.27</v>
      </c>
      <c r="J4086" s="12">
        <f t="shared" si="633"/>
        <v>-4.5000000000019469E-3</v>
      </c>
      <c r="K4086" s="17" t="str">
        <f t="shared" si="638"/>
        <v>Ecart négatif</v>
      </c>
      <c r="L4086" s="16">
        <f>base!X4086</f>
        <v>0</v>
      </c>
      <c r="M4086" s="11">
        <f t="shared" si="634"/>
        <v>0</v>
      </c>
      <c r="N4086" s="11">
        <f t="shared" si="635"/>
        <v>0</v>
      </c>
      <c r="O4086" s="11">
        <f t="shared" si="636"/>
        <v>0</v>
      </c>
      <c r="P4086" s="12">
        <f t="shared" si="637"/>
        <v>0</v>
      </c>
      <c r="Q4086" s="17" t="str">
        <f t="shared" si="639"/>
        <v>Pas d'écart</v>
      </c>
    </row>
    <row r="4087" spans="1:17" x14ac:dyDescent="0.3">
      <c r="A4087" s="34" t="str">
        <f>base!J4087</f>
        <v>LS</v>
      </c>
      <c r="B4087" s="34" t="str">
        <f>base!V4087</f>
        <v>79200</v>
      </c>
      <c r="C4087" s="37">
        <v>79</v>
      </c>
      <c r="D4087" s="36">
        <f>base!H4087</f>
        <v>40</v>
      </c>
      <c r="E4087" s="44"/>
      <c r="F4087" s="16">
        <f>base!W4087</f>
        <v>8.4</v>
      </c>
      <c r="G4087" s="11">
        <f t="shared" si="630"/>
        <v>0.21000000000000002</v>
      </c>
      <c r="H4087" s="11">
        <f t="shared" si="631"/>
        <v>8.4</v>
      </c>
      <c r="I4087" s="11">
        <f t="shared" si="632"/>
        <v>0.21000000000000002</v>
      </c>
      <c r="J4087" s="12">
        <f t="shared" si="633"/>
        <v>0</v>
      </c>
      <c r="K4087" s="17" t="str">
        <f t="shared" si="638"/>
        <v>Pas d'écart</v>
      </c>
      <c r="L4087" s="16">
        <f>base!X4087</f>
        <v>0</v>
      </c>
      <c r="M4087" s="11">
        <f t="shared" si="634"/>
        <v>0</v>
      </c>
      <c r="N4087" s="11">
        <f t="shared" si="635"/>
        <v>4.8</v>
      </c>
      <c r="O4087" s="11">
        <f t="shared" si="636"/>
        <v>0.12</v>
      </c>
      <c r="P4087" s="12">
        <f t="shared" si="637"/>
        <v>-4.8</v>
      </c>
      <c r="Q4087" s="17" t="str">
        <f t="shared" si="639"/>
        <v>Ecart négatif</v>
      </c>
    </row>
    <row r="4088" spans="1:17" x14ac:dyDescent="0.3">
      <c r="A4088" s="34" t="str">
        <f>base!J4088</f>
        <v>RS</v>
      </c>
      <c r="B4088" s="34" t="str">
        <f>base!V4088</f>
        <v>62000</v>
      </c>
      <c r="C4088" s="37">
        <v>62</v>
      </c>
      <c r="D4088" s="36">
        <f>base!H4088</f>
        <v>197.98</v>
      </c>
      <c r="E4088" s="44"/>
      <c r="F4088" s="16">
        <f>base!W4088</f>
        <v>0</v>
      </c>
      <c r="G4088" s="11">
        <f t="shared" si="630"/>
        <v>0</v>
      </c>
      <c r="H4088" s="11">
        <f t="shared" si="631"/>
        <v>37.616199999999999</v>
      </c>
      <c r="I4088" s="11">
        <f t="shared" si="632"/>
        <v>0.19</v>
      </c>
      <c r="J4088" s="12">
        <f t="shared" si="633"/>
        <v>-37.616199999999999</v>
      </c>
      <c r="K4088" s="17" t="str">
        <f t="shared" si="638"/>
        <v>Ecart négatif</v>
      </c>
      <c r="L4088" s="16">
        <f>base!X4088</f>
        <v>0</v>
      </c>
      <c r="M4088" s="11">
        <f t="shared" si="634"/>
        <v>0</v>
      </c>
      <c r="N4088" s="11">
        <f t="shared" si="635"/>
        <v>0</v>
      </c>
      <c r="O4088" s="11">
        <f t="shared" si="636"/>
        <v>0</v>
      </c>
      <c r="P4088" s="12">
        <f t="shared" si="637"/>
        <v>0</v>
      </c>
      <c r="Q4088" s="17" t="str">
        <f t="shared" si="639"/>
        <v>Pas d'écart</v>
      </c>
    </row>
    <row r="4089" spans="1:17" x14ac:dyDescent="0.3">
      <c r="A4089" s="34" t="str">
        <f>base!J4089</f>
        <v>LM</v>
      </c>
      <c r="B4089" s="34" t="str">
        <f>base!V4089</f>
        <v>27091</v>
      </c>
      <c r="C4089" s="37">
        <v>35</v>
      </c>
      <c r="D4089" s="36">
        <f>base!H4089</f>
        <v>155.37</v>
      </c>
      <c r="E4089" s="44"/>
      <c r="F4089" s="16">
        <f>base!W4089</f>
        <v>0</v>
      </c>
      <c r="G4089" s="11">
        <f t="shared" si="630"/>
        <v>0</v>
      </c>
      <c r="H4089" s="11">
        <f t="shared" si="631"/>
        <v>41.949900000000007</v>
      </c>
      <c r="I4089" s="11">
        <f t="shared" si="632"/>
        <v>0.27</v>
      </c>
      <c r="J4089" s="12">
        <f t="shared" si="633"/>
        <v>-41.949900000000007</v>
      </c>
      <c r="K4089" s="17" t="str">
        <f t="shared" si="638"/>
        <v>Ecart négatif</v>
      </c>
      <c r="L4089" s="16">
        <f>base!X4089</f>
        <v>0</v>
      </c>
      <c r="M4089" s="11">
        <f t="shared" si="634"/>
        <v>0</v>
      </c>
      <c r="N4089" s="11">
        <f t="shared" si="635"/>
        <v>0</v>
      </c>
      <c r="O4089" s="11">
        <f t="shared" si="636"/>
        <v>0</v>
      </c>
      <c r="P4089" s="12">
        <f t="shared" si="637"/>
        <v>0</v>
      </c>
      <c r="Q4089" s="17" t="str">
        <f t="shared" si="639"/>
        <v>Pas d'écart</v>
      </c>
    </row>
    <row r="4090" spans="1:17" x14ac:dyDescent="0.3">
      <c r="A4090" s="34" t="str">
        <f>base!J4090</f>
        <v>LS</v>
      </c>
      <c r="B4090" s="34" t="str">
        <f>base!V4090</f>
        <v>27091</v>
      </c>
      <c r="C4090" s="37">
        <v>27</v>
      </c>
      <c r="D4090" s="36">
        <f>base!H4090</f>
        <v>0</v>
      </c>
      <c r="E4090" s="44"/>
      <c r="F4090" s="16">
        <f>base!W4090</f>
        <v>0</v>
      </c>
      <c r="G4090" s="11" t="e">
        <f t="shared" si="630"/>
        <v>#DIV/0!</v>
      </c>
      <c r="H4090" s="11">
        <f t="shared" si="631"/>
        <v>0</v>
      </c>
      <c r="I4090" s="11" t="e">
        <f t="shared" si="632"/>
        <v>#DIV/0!</v>
      </c>
      <c r="J4090" s="12">
        <f t="shared" si="633"/>
        <v>0</v>
      </c>
      <c r="K4090" s="17" t="str">
        <f t="shared" si="638"/>
        <v>Pas d'écart</v>
      </c>
      <c r="L4090" s="16">
        <f>base!X4090</f>
        <v>0</v>
      </c>
      <c r="M4090" s="11" t="e">
        <f t="shared" si="634"/>
        <v>#DIV/0!</v>
      </c>
      <c r="N4090" s="11">
        <f t="shared" si="635"/>
        <v>0</v>
      </c>
      <c r="O4090" s="11" t="e">
        <f t="shared" si="636"/>
        <v>#DIV/0!</v>
      </c>
      <c r="P4090" s="12">
        <f t="shared" si="637"/>
        <v>0</v>
      </c>
      <c r="Q4090" s="17" t="str">
        <f t="shared" si="639"/>
        <v>Pas d'écart</v>
      </c>
    </row>
    <row r="4091" spans="1:17" x14ac:dyDescent="0.3">
      <c r="A4091" s="34" t="str">
        <f>base!J4091</f>
        <v>LM</v>
      </c>
      <c r="B4091" s="34" t="str">
        <f>base!V4091</f>
        <v>63100</v>
      </c>
      <c r="C4091" s="37">
        <v>69</v>
      </c>
      <c r="D4091" s="36">
        <f>base!H4091</f>
        <v>7.99</v>
      </c>
      <c r="E4091" s="44"/>
      <c r="F4091" s="16">
        <f>base!W4091</f>
        <v>2.3199999999999998</v>
      </c>
      <c r="G4091" s="11">
        <f t="shared" si="630"/>
        <v>0.29036295369211512</v>
      </c>
      <c r="H4091" s="11">
        <f t="shared" si="631"/>
        <v>2.1573000000000002</v>
      </c>
      <c r="I4091" s="11">
        <f t="shared" si="632"/>
        <v>0.27</v>
      </c>
      <c r="J4091" s="12">
        <f t="shared" si="633"/>
        <v>0.16269999999999962</v>
      </c>
      <c r="K4091" s="17" t="str">
        <f t="shared" si="638"/>
        <v>Ecart positif</v>
      </c>
      <c r="L4091" s="16">
        <f>base!X4091</f>
        <v>0</v>
      </c>
      <c r="M4091" s="11">
        <f t="shared" si="634"/>
        <v>0</v>
      </c>
      <c r="N4091" s="11">
        <f t="shared" si="635"/>
        <v>0</v>
      </c>
      <c r="O4091" s="11">
        <f t="shared" si="636"/>
        <v>0</v>
      </c>
      <c r="P4091" s="12">
        <f t="shared" si="637"/>
        <v>0</v>
      </c>
      <c r="Q4091" s="17" t="str">
        <f t="shared" si="639"/>
        <v>Pas d'écart</v>
      </c>
    </row>
    <row r="4092" spans="1:17" x14ac:dyDescent="0.3">
      <c r="A4092" s="34" t="str">
        <f>base!J4092</f>
        <v>LM</v>
      </c>
      <c r="B4092" s="34" t="str">
        <f>base!V4092</f>
        <v>92200</v>
      </c>
      <c r="C4092" s="37">
        <v>92</v>
      </c>
      <c r="D4092" s="36">
        <f>base!H4092</f>
        <v>30</v>
      </c>
      <c r="E4092" s="44"/>
      <c r="F4092" s="16">
        <f>base!W4092</f>
        <v>0</v>
      </c>
      <c r="G4092" s="11">
        <f t="shared" si="630"/>
        <v>0</v>
      </c>
      <c r="H4092" s="11">
        <f t="shared" si="631"/>
        <v>0</v>
      </c>
      <c r="I4092" s="11">
        <f t="shared" si="632"/>
        <v>0</v>
      </c>
      <c r="J4092" s="12">
        <f t="shared" si="633"/>
        <v>0</v>
      </c>
      <c r="K4092" s="17" t="str">
        <f t="shared" si="638"/>
        <v>Pas d'écart</v>
      </c>
      <c r="L4092" s="16">
        <f>base!X4092</f>
        <v>0</v>
      </c>
      <c r="M4092" s="11">
        <f t="shared" si="634"/>
        <v>0</v>
      </c>
      <c r="N4092" s="11">
        <f t="shared" si="635"/>
        <v>0</v>
      </c>
      <c r="O4092" s="11">
        <f t="shared" si="636"/>
        <v>0</v>
      </c>
      <c r="P4092" s="12">
        <f t="shared" si="637"/>
        <v>0</v>
      </c>
      <c r="Q4092" s="17" t="str">
        <f t="shared" si="639"/>
        <v>Pas d'écart</v>
      </c>
    </row>
    <row r="4093" spans="1:17" x14ac:dyDescent="0.3">
      <c r="A4093" s="34" t="str">
        <f>base!J4093</f>
        <v>LM</v>
      </c>
      <c r="B4093" s="34" t="str">
        <f>base!V4093</f>
        <v>92200</v>
      </c>
      <c r="C4093" s="37">
        <v>92</v>
      </c>
      <c r="D4093" s="36">
        <f>base!H4093</f>
        <v>30</v>
      </c>
      <c r="E4093" s="44"/>
      <c r="F4093" s="16">
        <f>base!W4093</f>
        <v>0</v>
      </c>
      <c r="G4093" s="11">
        <f t="shared" si="630"/>
        <v>0</v>
      </c>
      <c r="H4093" s="11">
        <f t="shared" si="631"/>
        <v>0</v>
      </c>
      <c r="I4093" s="11">
        <f t="shared" si="632"/>
        <v>0</v>
      </c>
      <c r="J4093" s="12">
        <f t="shared" si="633"/>
        <v>0</v>
      </c>
      <c r="K4093" s="17" t="str">
        <f t="shared" si="638"/>
        <v>Pas d'écart</v>
      </c>
      <c r="L4093" s="16">
        <f>base!X4093</f>
        <v>0</v>
      </c>
      <c r="M4093" s="11">
        <f t="shared" si="634"/>
        <v>0</v>
      </c>
      <c r="N4093" s="11">
        <f t="shared" si="635"/>
        <v>0</v>
      </c>
      <c r="O4093" s="11">
        <f t="shared" si="636"/>
        <v>0</v>
      </c>
      <c r="P4093" s="12">
        <f t="shared" si="637"/>
        <v>0</v>
      </c>
      <c r="Q4093" s="17" t="str">
        <f t="shared" si="639"/>
        <v>Pas d'écart</v>
      </c>
    </row>
    <row r="4094" spans="1:17" x14ac:dyDescent="0.3">
      <c r="A4094" s="34" t="str">
        <f>base!J4094</f>
        <v>LS</v>
      </c>
      <c r="B4094" s="34" t="str">
        <f>base!V4094</f>
        <v>69780</v>
      </c>
      <c r="C4094" s="37">
        <v>35</v>
      </c>
      <c r="D4094" s="36">
        <f>base!H4094</f>
        <v>19.8</v>
      </c>
      <c r="E4094" s="44"/>
      <c r="F4094" s="16">
        <f>base!W4094</f>
        <v>5.35</v>
      </c>
      <c r="G4094" s="11">
        <f t="shared" si="630"/>
        <v>0.27020202020202017</v>
      </c>
      <c r="H4094" s="11">
        <f t="shared" si="631"/>
        <v>5.346000000000001</v>
      </c>
      <c r="I4094" s="11">
        <f t="shared" si="632"/>
        <v>0.27</v>
      </c>
      <c r="J4094" s="12">
        <f t="shared" si="633"/>
        <v>3.9999999999986713E-3</v>
      </c>
      <c r="K4094" s="17" t="str">
        <f t="shared" si="638"/>
        <v>Ecart positif</v>
      </c>
      <c r="L4094" s="16">
        <f>base!X4094</f>
        <v>0</v>
      </c>
      <c r="M4094" s="11">
        <f t="shared" si="634"/>
        <v>0</v>
      </c>
      <c r="N4094" s="11">
        <f t="shared" si="635"/>
        <v>0</v>
      </c>
      <c r="O4094" s="11">
        <f t="shared" si="636"/>
        <v>0</v>
      </c>
      <c r="P4094" s="12">
        <f t="shared" si="637"/>
        <v>0</v>
      </c>
      <c r="Q4094" s="17" t="str">
        <f t="shared" si="639"/>
        <v>Pas d'écart</v>
      </c>
    </row>
    <row r="4095" spans="1:17" x14ac:dyDescent="0.3">
      <c r="A4095" s="34" t="str">
        <f>base!J4095</f>
        <v>LM</v>
      </c>
      <c r="B4095" s="34" t="str">
        <f>base!V4095</f>
        <v>91000</v>
      </c>
      <c r="C4095" s="37">
        <v>91</v>
      </c>
      <c r="D4095" s="36">
        <f>base!H4095</f>
        <v>291.61</v>
      </c>
      <c r="E4095" s="44"/>
      <c r="F4095" s="16">
        <f>base!W4095</f>
        <v>0</v>
      </c>
      <c r="G4095" s="11">
        <f t="shared" si="630"/>
        <v>0</v>
      </c>
      <c r="H4095" s="11">
        <f t="shared" si="631"/>
        <v>0</v>
      </c>
      <c r="I4095" s="11">
        <f t="shared" si="632"/>
        <v>0</v>
      </c>
      <c r="J4095" s="12">
        <f t="shared" si="633"/>
        <v>0</v>
      </c>
      <c r="K4095" s="17" t="str">
        <f t="shared" si="638"/>
        <v>Pas d'écart</v>
      </c>
      <c r="L4095" s="16">
        <f>base!X4095</f>
        <v>0</v>
      </c>
      <c r="M4095" s="11">
        <f t="shared" si="634"/>
        <v>0</v>
      </c>
      <c r="N4095" s="11">
        <f t="shared" si="635"/>
        <v>0</v>
      </c>
      <c r="O4095" s="11">
        <f t="shared" si="636"/>
        <v>0</v>
      </c>
      <c r="P4095" s="12">
        <f t="shared" si="637"/>
        <v>0</v>
      </c>
      <c r="Q4095" s="17" t="str">
        <f t="shared" si="639"/>
        <v>Pas d'écart</v>
      </c>
    </row>
    <row r="4096" spans="1:17" x14ac:dyDescent="0.3">
      <c r="A4096" s="34" t="str">
        <f>base!J4096</f>
        <v>LS</v>
      </c>
      <c r="B4096" s="34" t="str">
        <f>base!V4096</f>
        <v>60200</v>
      </c>
      <c r="C4096" s="37">
        <v>35</v>
      </c>
      <c r="D4096" s="36">
        <f>base!H4096</f>
        <v>38.76</v>
      </c>
      <c r="E4096" s="44"/>
      <c r="F4096" s="16">
        <f>base!W4096</f>
        <v>7.36</v>
      </c>
      <c r="G4096" s="11">
        <f t="shared" si="630"/>
        <v>0.18988648090815274</v>
      </c>
      <c r="H4096" s="11">
        <f t="shared" si="631"/>
        <v>10.465199999999999</v>
      </c>
      <c r="I4096" s="11">
        <f t="shared" si="632"/>
        <v>0.27</v>
      </c>
      <c r="J4096" s="12">
        <f t="shared" si="633"/>
        <v>-3.1051999999999991</v>
      </c>
      <c r="K4096" s="17" t="str">
        <f t="shared" si="638"/>
        <v>Ecart négatif</v>
      </c>
      <c r="L4096" s="16">
        <f>base!X4096</f>
        <v>0</v>
      </c>
      <c r="M4096" s="11">
        <f t="shared" si="634"/>
        <v>0</v>
      </c>
      <c r="N4096" s="11">
        <f t="shared" si="635"/>
        <v>0</v>
      </c>
      <c r="O4096" s="11">
        <f t="shared" si="636"/>
        <v>0</v>
      </c>
      <c r="P4096" s="12">
        <f t="shared" si="637"/>
        <v>0</v>
      </c>
      <c r="Q4096" s="17" t="str">
        <f t="shared" si="639"/>
        <v>Pas d'écart</v>
      </c>
    </row>
    <row r="4097" spans="1:18" x14ac:dyDescent="0.3">
      <c r="A4097" s="34" t="str">
        <f>base!J4097</f>
        <v>RS</v>
      </c>
      <c r="B4097" s="34" t="str">
        <f>base!V4097</f>
        <v>49240</v>
      </c>
      <c r="C4097" s="37">
        <v>49</v>
      </c>
      <c r="D4097" s="36">
        <f>base!H4097</f>
        <v>120.57</v>
      </c>
      <c r="E4097" s="44"/>
      <c r="F4097" s="16">
        <f>base!W4097</f>
        <v>0</v>
      </c>
      <c r="G4097" s="11">
        <f t="shared" si="630"/>
        <v>0</v>
      </c>
      <c r="H4097" s="11">
        <f t="shared" si="631"/>
        <v>32.553899999999999</v>
      </c>
      <c r="I4097" s="11">
        <f t="shared" si="632"/>
        <v>0.27</v>
      </c>
      <c r="J4097" s="12">
        <f t="shared" si="633"/>
        <v>-32.553899999999999</v>
      </c>
      <c r="K4097" s="17" t="str">
        <f t="shared" si="638"/>
        <v>Ecart négatif</v>
      </c>
      <c r="L4097" s="16">
        <f>base!X4097</f>
        <v>0</v>
      </c>
      <c r="M4097" s="11">
        <f t="shared" si="634"/>
        <v>0</v>
      </c>
      <c r="N4097" s="11">
        <f t="shared" si="635"/>
        <v>0</v>
      </c>
      <c r="O4097" s="11">
        <f t="shared" si="636"/>
        <v>0</v>
      </c>
      <c r="P4097" s="12">
        <f t="shared" si="637"/>
        <v>0</v>
      </c>
      <c r="Q4097" s="17" t="str">
        <f t="shared" si="639"/>
        <v>Pas d'écart</v>
      </c>
    </row>
    <row r="4098" spans="1:18" x14ac:dyDescent="0.3">
      <c r="A4098" s="34" t="str">
        <f>base!J4098</f>
        <v>Stockage</v>
      </c>
      <c r="B4098" s="34" t="str">
        <f>base!V4098</f>
        <v/>
      </c>
      <c r="C4098" s="40" t="s">
        <v>11</v>
      </c>
      <c r="D4098" s="36">
        <f>base!H4098</f>
        <v>0</v>
      </c>
      <c r="E4098" s="44"/>
      <c r="F4098" s="16">
        <f>base!W4098</f>
        <v>0</v>
      </c>
      <c r="G4098" s="11" t="e">
        <f t="shared" ref="G4098:G4161" si="640">F4098/D4098</f>
        <v>#DIV/0!</v>
      </c>
      <c r="H4098" s="11" t="e">
        <f t="shared" ref="H4098:H4161" si="641">VLOOKUP(C4098,tout_cout_traction,2,FALSE)*D4098</f>
        <v>#N/A</v>
      </c>
      <c r="I4098" s="11" t="e">
        <f t="shared" ref="I4098:I4161" si="642">H4098/D4098</f>
        <v>#N/A</v>
      </c>
      <c r="J4098" s="12" t="e">
        <f t="shared" ref="J4098:J4161" si="643">F4098-H4098</f>
        <v>#N/A</v>
      </c>
      <c r="K4098" s="17" t="e">
        <f t="shared" si="638"/>
        <v>#N/A</v>
      </c>
      <c r="L4098" s="16">
        <f>base!X4098</f>
        <v>0</v>
      </c>
      <c r="M4098" s="11" t="e">
        <f t="shared" ref="M4098:M4161" si="644">L4098/D4098</f>
        <v>#DIV/0!</v>
      </c>
      <c r="N4098" s="11" t="e">
        <f t="shared" ref="N4098:N4161" si="645">VLOOKUP(C4098,tout_cout_traction,3,FALSE)*D4098</f>
        <v>#N/A</v>
      </c>
      <c r="O4098" s="11" t="e">
        <f t="shared" ref="O4098:O4161" si="646">N4098/D4098</f>
        <v>#N/A</v>
      </c>
      <c r="P4098" s="12" t="e">
        <f t="shared" ref="P4098:P4161" si="647">L4098-N4098</f>
        <v>#N/A</v>
      </c>
      <c r="Q4098" s="17" t="e">
        <f t="shared" si="639"/>
        <v>#N/A</v>
      </c>
    </row>
    <row r="4099" spans="1:18" x14ac:dyDescent="0.3">
      <c r="A4099" s="34" t="str">
        <f>base!J4099</f>
        <v>RS</v>
      </c>
      <c r="B4099" s="34" t="str">
        <f>base!V4099</f>
        <v>13710</v>
      </c>
      <c r="C4099" s="37">
        <v>13</v>
      </c>
      <c r="D4099" s="36">
        <f>base!H4099</f>
        <v>258.02999999999997</v>
      </c>
      <c r="E4099" s="44"/>
      <c r="F4099" s="16">
        <f>base!W4099</f>
        <v>0</v>
      </c>
      <c r="G4099" s="11">
        <f t="shared" si="640"/>
        <v>0</v>
      </c>
      <c r="H4099" s="11">
        <f t="shared" si="641"/>
        <v>74.828699999999984</v>
      </c>
      <c r="I4099" s="11">
        <f t="shared" si="642"/>
        <v>0.28999999999999998</v>
      </c>
      <c r="J4099" s="12">
        <f t="shared" si="643"/>
        <v>-74.828699999999984</v>
      </c>
      <c r="K4099" s="17" t="str">
        <f t="shared" ref="K4099:K4162" si="648">IF(H4099=F4099,"Pas d'écart",IF(H4099&lt;F4099,"Ecart positif",IF(H4099&gt;F4099,"Ecart négatif")))</f>
        <v>Ecart négatif</v>
      </c>
      <c r="L4099" s="16">
        <f>base!X4099</f>
        <v>49.03</v>
      </c>
      <c r="M4099" s="11">
        <f t="shared" si="644"/>
        <v>0.19001666472890752</v>
      </c>
      <c r="N4099" s="11">
        <f t="shared" si="645"/>
        <v>49.025699999999993</v>
      </c>
      <c r="O4099" s="11">
        <f t="shared" si="646"/>
        <v>0.19</v>
      </c>
      <c r="P4099" s="12">
        <f t="shared" si="647"/>
        <v>4.3000000000077421E-3</v>
      </c>
      <c r="Q4099" s="17" t="str">
        <f t="shared" ref="Q4099:Q4162" si="649">IF(N4099=L4099,"Pas d'écart",IF(N4099&lt;L4099,"Ecart positif",IF(N4099&gt;L4099,"Ecart négatif")))</f>
        <v>Ecart positif</v>
      </c>
      <c r="R4099" s="38"/>
    </row>
    <row r="4100" spans="1:18" x14ac:dyDescent="0.3">
      <c r="A4100" s="34" t="str">
        <f>base!J4100</f>
        <v>RS</v>
      </c>
      <c r="B4100" s="34" t="str">
        <f>base!V4100</f>
        <v>38290</v>
      </c>
      <c r="C4100" s="37">
        <v>38</v>
      </c>
      <c r="D4100" s="36">
        <f>base!H4100</f>
        <v>151</v>
      </c>
      <c r="E4100" s="44"/>
      <c r="F4100" s="16">
        <f>base!W4100</f>
        <v>0</v>
      </c>
      <c r="G4100" s="11">
        <f t="shared" si="640"/>
        <v>0</v>
      </c>
      <c r="H4100" s="11">
        <f t="shared" si="641"/>
        <v>40.770000000000003</v>
      </c>
      <c r="I4100" s="11">
        <f t="shared" si="642"/>
        <v>0.27</v>
      </c>
      <c r="J4100" s="12">
        <f t="shared" si="643"/>
        <v>-40.770000000000003</v>
      </c>
      <c r="K4100" s="17" t="str">
        <f t="shared" si="648"/>
        <v>Ecart négatif</v>
      </c>
      <c r="L4100" s="16">
        <f>base!X4100</f>
        <v>40.770000000000003</v>
      </c>
      <c r="M4100" s="11">
        <f t="shared" si="644"/>
        <v>0.27</v>
      </c>
      <c r="N4100" s="11">
        <f t="shared" si="645"/>
        <v>0</v>
      </c>
      <c r="O4100" s="11">
        <f t="shared" si="646"/>
        <v>0</v>
      </c>
      <c r="P4100" s="12">
        <f t="shared" si="647"/>
        <v>40.770000000000003</v>
      </c>
      <c r="Q4100" s="17" t="str">
        <f t="shared" si="649"/>
        <v>Ecart positif</v>
      </c>
      <c r="R4100" s="38"/>
    </row>
    <row r="4101" spans="1:18" x14ac:dyDescent="0.3">
      <c r="A4101" s="34" t="str">
        <f>base!J4101</f>
        <v>RS</v>
      </c>
      <c r="B4101" s="34" t="str">
        <f>base!V4101</f>
        <v>05600</v>
      </c>
      <c r="C4101" s="37">
        <v>5</v>
      </c>
      <c r="D4101" s="36">
        <f>base!H4101</f>
        <v>140</v>
      </c>
      <c r="E4101" s="44"/>
      <c r="F4101" s="16">
        <f>base!W4101</f>
        <v>0</v>
      </c>
      <c r="G4101" s="11">
        <f t="shared" si="640"/>
        <v>0</v>
      </c>
      <c r="H4101" s="11">
        <f t="shared" si="641"/>
        <v>40.599999999999994</v>
      </c>
      <c r="I4101" s="11">
        <f t="shared" si="642"/>
        <v>0.28999999999999998</v>
      </c>
      <c r="J4101" s="12">
        <f t="shared" si="643"/>
        <v>-40.599999999999994</v>
      </c>
      <c r="K4101" s="17" t="str">
        <f t="shared" si="648"/>
        <v>Ecart négatif</v>
      </c>
      <c r="L4101" s="16">
        <f>base!X4101</f>
        <v>0</v>
      </c>
      <c r="M4101" s="11">
        <f t="shared" si="644"/>
        <v>0</v>
      </c>
      <c r="N4101" s="11">
        <f t="shared" si="645"/>
        <v>26.6</v>
      </c>
      <c r="O4101" s="11">
        <f t="shared" si="646"/>
        <v>0.19</v>
      </c>
      <c r="P4101" s="12">
        <f t="shared" si="647"/>
        <v>-26.6</v>
      </c>
      <c r="Q4101" s="17" t="str">
        <f t="shared" si="649"/>
        <v>Ecart négatif</v>
      </c>
    </row>
    <row r="4102" spans="1:18" x14ac:dyDescent="0.3">
      <c r="A4102" s="34" t="str">
        <f>base!J4102</f>
        <v>RS</v>
      </c>
      <c r="B4102" s="34" t="str">
        <f>base!V4102</f>
        <v>25530</v>
      </c>
      <c r="C4102" s="37">
        <v>25</v>
      </c>
      <c r="D4102" s="36">
        <f>base!H4102</f>
        <v>244.77</v>
      </c>
      <c r="E4102" s="44"/>
      <c r="F4102" s="16">
        <f>base!W4102</f>
        <v>0</v>
      </c>
      <c r="G4102" s="11">
        <f t="shared" si="640"/>
        <v>0</v>
      </c>
      <c r="H4102" s="11">
        <f t="shared" si="641"/>
        <v>58.744799999999998</v>
      </c>
      <c r="I4102" s="11">
        <f t="shared" si="642"/>
        <v>0.24</v>
      </c>
      <c r="J4102" s="12">
        <f t="shared" si="643"/>
        <v>-58.744799999999998</v>
      </c>
      <c r="K4102" s="17" t="str">
        <f t="shared" si="648"/>
        <v>Ecart négatif</v>
      </c>
      <c r="L4102" s="16">
        <f>base!X4102</f>
        <v>29.37</v>
      </c>
      <c r="M4102" s="11">
        <f t="shared" si="644"/>
        <v>0.11999019487682314</v>
      </c>
      <c r="N4102" s="11">
        <f t="shared" si="645"/>
        <v>29.372399999999999</v>
      </c>
      <c r="O4102" s="11">
        <f t="shared" si="646"/>
        <v>0.12</v>
      </c>
      <c r="P4102" s="12">
        <f t="shared" si="647"/>
        <v>-2.3999999999979593E-3</v>
      </c>
      <c r="Q4102" s="17" t="str">
        <f t="shared" si="649"/>
        <v>Ecart négatif</v>
      </c>
      <c r="R4102" s="38"/>
    </row>
    <row r="4103" spans="1:18" x14ac:dyDescent="0.3">
      <c r="A4103" s="34" t="str">
        <f>base!J4103</f>
        <v>LS</v>
      </c>
      <c r="B4103" s="34" t="str">
        <f>base!V4103</f>
        <v>26000</v>
      </c>
      <c r="C4103" s="37">
        <v>71</v>
      </c>
      <c r="D4103" s="36">
        <f>base!H4103</f>
        <v>136.65</v>
      </c>
      <c r="E4103" s="44"/>
      <c r="F4103" s="16">
        <f>base!W4103</f>
        <v>36.9</v>
      </c>
      <c r="G4103" s="11">
        <f t="shared" si="640"/>
        <v>0.27003293084522501</v>
      </c>
      <c r="H4103" s="11">
        <f t="shared" si="641"/>
        <v>36.895500000000006</v>
      </c>
      <c r="I4103" s="11">
        <f t="shared" si="642"/>
        <v>0.27</v>
      </c>
      <c r="J4103" s="12">
        <f t="shared" si="643"/>
        <v>4.4999999999930651E-3</v>
      </c>
      <c r="K4103" s="17" t="str">
        <f t="shared" si="648"/>
        <v>Ecart positif</v>
      </c>
      <c r="L4103" s="16">
        <f>base!X4103</f>
        <v>0</v>
      </c>
      <c r="M4103" s="11">
        <f t="shared" si="644"/>
        <v>0</v>
      </c>
      <c r="N4103" s="11">
        <f t="shared" si="645"/>
        <v>0</v>
      </c>
      <c r="O4103" s="11">
        <f t="shared" si="646"/>
        <v>0</v>
      </c>
      <c r="P4103" s="12">
        <f t="shared" si="647"/>
        <v>0</v>
      </c>
      <c r="Q4103" s="17" t="str">
        <f t="shared" si="649"/>
        <v>Pas d'écart</v>
      </c>
    </row>
    <row r="4104" spans="1:18" x14ac:dyDescent="0.3">
      <c r="A4104" s="34" t="str">
        <f>base!J4104</f>
        <v>RS</v>
      </c>
      <c r="B4104" s="34" t="str">
        <f>base!V4104</f>
        <v>29200</v>
      </c>
      <c r="C4104" s="37">
        <v>29</v>
      </c>
      <c r="D4104" s="36">
        <f>base!H4104</f>
        <v>183.98</v>
      </c>
      <c r="E4104" s="44"/>
      <c r="F4104" s="16">
        <f>base!W4104</f>
        <v>0</v>
      </c>
      <c r="G4104" s="11">
        <f t="shared" si="640"/>
        <v>0</v>
      </c>
      <c r="H4104" s="11">
        <f t="shared" si="641"/>
        <v>71.752200000000002</v>
      </c>
      <c r="I4104" s="11">
        <f t="shared" si="642"/>
        <v>0.39</v>
      </c>
      <c r="J4104" s="12">
        <f t="shared" si="643"/>
        <v>-71.752200000000002</v>
      </c>
      <c r="K4104" s="17" t="str">
        <f t="shared" si="648"/>
        <v>Ecart négatif</v>
      </c>
      <c r="L4104" s="16">
        <f>base!X4104</f>
        <v>49.67</v>
      </c>
      <c r="M4104" s="11">
        <f t="shared" si="644"/>
        <v>0.26997499728231333</v>
      </c>
      <c r="N4104" s="11">
        <f t="shared" si="645"/>
        <v>22.077599999999997</v>
      </c>
      <c r="O4104" s="11">
        <f t="shared" si="646"/>
        <v>0.12</v>
      </c>
      <c r="P4104" s="12">
        <f t="shared" si="647"/>
        <v>27.592400000000005</v>
      </c>
      <c r="Q4104" s="17" t="str">
        <f t="shared" si="649"/>
        <v>Ecart positif</v>
      </c>
      <c r="R4104" s="38"/>
    </row>
    <row r="4105" spans="1:18" x14ac:dyDescent="0.3">
      <c r="A4105" s="34" t="str">
        <f>base!J4105</f>
        <v>RS</v>
      </c>
      <c r="B4105" s="34" t="str">
        <f>base!V4105</f>
        <v>83190</v>
      </c>
      <c r="C4105" s="37">
        <v>83</v>
      </c>
      <c r="D4105" s="36">
        <f>base!H4105</f>
        <v>70</v>
      </c>
      <c r="E4105" s="44"/>
      <c r="F4105" s="16">
        <f>base!W4105</f>
        <v>0</v>
      </c>
      <c r="G4105" s="11">
        <f t="shared" si="640"/>
        <v>0</v>
      </c>
      <c r="H4105" s="11">
        <f t="shared" si="641"/>
        <v>21</v>
      </c>
      <c r="I4105" s="11">
        <f t="shared" si="642"/>
        <v>0.3</v>
      </c>
      <c r="J4105" s="12">
        <f t="shared" si="643"/>
        <v>-21</v>
      </c>
      <c r="K4105" s="17" t="str">
        <f t="shared" si="648"/>
        <v>Ecart négatif</v>
      </c>
      <c r="L4105" s="16">
        <f>base!X4105</f>
        <v>0</v>
      </c>
      <c r="M4105" s="11">
        <f t="shared" si="644"/>
        <v>0</v>
      </c>
      <c r="N4105" s="11">
        <f t="shared" si="645"/>
        <v>14.7</v>
      </c>
      <c r="O4105" s="11">
        <f t="shared" si="646"/>
        <v>0.21</v>
      </c>
      <c r="P4105" s="12">
        <f t="shared" si="647"/>
        <v>-14.7</v>
      </c>
      <c r="Q4105" s="17" t="str">
        <f t="shared" si="649"/>
        <v>Ecart négatif</v>
      </c>
    </row>
    <row r="4106" spans="1:18" x14ac:dyDescent="0.3">
      <c r="A4106" s="34" t="str">
        <f>base!J4106</f>
        <v>RS</v>
      </c>
      <c r="B4106" s="34" t="str">
        <f>base!V4106</f>
        <v>76000</v>
      </c>
      <c r="C4106" s="37">
        <v>76</v>
      </c>
      <c r="D4106" s="36">
        <f>base!H4106</f>
        <v>197.02</v>
      </c>
      <c r="E4106" s="44"/>
      <c r="F4106" s="16">
        <f>base!W4106</f>
        <v>0</v>
      </c>
      <c r="G4106" s="11">
        <f t="shared" si="640"/>
        <v>0</v>
      </c>
      <c r="H4106" s="11">
        <f t="shared" si="641"/>
        <v>33.493400000000001</v>
      </c>
      <c r="I4106" s="11">
        <f t="shared" si="642"/>
        <v>0.16999999999999998</v>
      </c>
      <c r="J4106" s="12">
        <f t="shared" si="643"/>
        <v>-33.493400000000001</v>
      </c>
      <c r="K4106" s="17" t="str">
        <f t="shared" si="648"/>
        <v>Ecart négatif</v>
      </c>
      <c r="L4106" s="16">
        <f>base!X4106</f>
        <v>33.49</v>
      </c>
      <c r="M4106" s="11">
        <f t="shared" si="644"/>
        <v>0.16998274286874429</v>
      </c>
      <c r="N4106" s="11">
        <f t="shared" si="645"/>
        <v>33.493400000000001</v>
      </c>
      <c r="O4106" s="11">
        <f t="shared" si="646"/>
        <v>0.16999999999999998</v>
      </c>
      <c r="P4106" s="12">
        <f t="shared" si="647"/>
        <v>-3.3999999999991815E-3</v>
      </c>
      <c r="Q4106" s="17" t="str">
        <f t="shared" si="649"/>
        <v>Ecart négatif</v>
      </c>
      <c r="R4106" s="38"/>
    </row>
    <row r="4107" spans="1:18" x14ac:dyDescent="0.3">
      <c r="A4107" s="34" t="str">
        <f>base!J4107</f>
        <v>RM</v>
      </c>
      <c r="B4107" s="34" t="str">
        <f>base!V4107</f>
        <v>83000</v>
      </c>
      <c r="C4107" s="37">
        <v>83</v>
      </c>
      <c r="D4107" s="36">
        <f>base!H4107</f>
        <v>40</v>
      </c>
      <c r="E4107" s="44"/>
      <c r="F4107" s="16">
        <f>base!W4107</f>
        <v>0</v>
      </c>
      <c r="G4107" s="11">
        <f t="shared" si="640"/>
        <v>0</v>
      </c>
      <c r="H4107" s="11">
        <f t="shared" si="641"/>
        <v>12</v>
      </c>
      <c r="I4107" s="11">
        <f t="shared" si="642"/>
        <v>0.3</v>
      </c>
      <c r="J4107" s="12">
        <f t="shared" si="643"/>
        <v>-12</v>
      </c>
      <c r="K4107" s="17" t="str">
        <f t="shared" si="648"/>
        <v>Ecart négatif</v>
      </c>
      <c r="L4107" s="16">
        <f>base!X4107</f>
        <v>8.4</v>
      </c>
      <c r="M4107" s="11">
        <f t="shared" si="644"/>
        <v>0.21000000000000002</v>
      </c>
      <c r="N4107" s="11">
        <f t="shared" si="645"/>
        <v>8.4</v>
      </c>
      <c r="O4107" s="11">
        <f t="shared" si="646"/>
        <v>0.21000000000000002</v>
      </c>
      <c r="P4107" s="12">
        <f t="shared" si="647"/>
        <v>0</v>
      </c>
      <c r="Q4107" s="17" t="str">
        <f t="shared" si="649"/>
        <v>Pas d'écart</v>
      </c>
      <c r="R4107" s="38"/>
    </row>
    <row r="4108" spans="1:18" x14ac:dyDescent="0.3">
      <c r="A4108" s="34" t="str">
        <f>base!J4108</f>
        <v>RM</v>
      </c>
      <c r="B4108" s="34" t="str">
        <f>base!V4108</f>
        <v>38300</v>
      </c>
      <c r="C4108" s="37">
        <v>38</v>
      </c>
      <c r="D4108" s="36">
        <f>base!H4108</f>
        <v>205</v>
      </c>
      <c r="E4108" s="44"/>
      <c r="F4108" s="16">
        <f>base!W4108</f>
        <v>0</v>
      </c>
      <c r="G4108" s="11">
        <f t="shared" si="640"/>
        <v>0</v>
      </c>
      <c r="H4108" s="11">
        <f t="shared" si="641"/>
        <v>55.35</v>
      </c>
      <c r="I4108" s="11">
        <f t="shared" si="642"/>
        <v>0.27</v>
      </c>
      <c r="J4108" s="12">
        <f t="shared" si="643"/>
        <v>-55.35</v>
      </c>
      <c r="K4108" s="17" t="str">
        <f t="shared" si="648"/>
        <v>Ecart négatif</v>
      </c>
      <c r="L4108" s="16">
        <f>base!X4108</f>
        <v>0</v>
      </c>
      <c r="M4108" s="11">
        <f t="shared" si="644"/>
        <v>0</v>
      </c>
      <c r="N4108" s="11">
        <f t="shared" si="645"/>
        <v>0</v>
      </c>
      <c r="O4108" s="11">
        <f t="shared" si="646"/>
        <v>0</v>
      </c>
      <c r="P4108" s="12">
        <f t="shared" si="647"/>
        <v>0</v>
      </c>
      <c r="Q4108" s="17" t="str">
        <f t="shared" si="649"/>
        <v>Pas d'écart</v>
      </c>
    </row>
    <row r="4109" spans="1:18" x14ac:dyDescent="0.3">
      <c r="A4109" s="34" t="str">
        <f>base!J4109</f>
        <v>LS</v>
      </c>
      <c r="B4109" s="34" t="str">
        <f>base!V4109</f>
        <v>30200</v>
      </c>
      <c r="C4109" s="37">
        <v>74</v>
      </c>
      <c r="D4109" s="36">
        <f>base!H4109</f>
        <v>173.01</v>
      </c>
      <c r="E4109" s="44"/>
      <c r="F4109" s="16">
        <f>base!W4109</f>
        <v>67.47</v>
      </c>
      <c r="G4109" s="11">
        <f t="shared" si="640"/>
        <v>0.3899774579504075</v>
      </c>
      <c r="H4109" s="11">
        <f t="shared" si="641"/>
        <v>44.982599999999998</v>
      </c>
      <c r="I4109" s="11">
        <f t="shared" si="642"/>
        <v>0.26</v>
      </c>
      <c r="J4109" s="12">
        <f t="shared" si="643"/>
        <v>22.487400000000001</v>
      </c>
      <c r="K4109" s="17" t="str">
        <f t="shared" si="648"/>
        <v>Ecart positif</v>
      </c>
      <c r="L4109" s="16">
        <f>base!X4109</f>
        <v>0</v>
      </c>
      <c r="M4109" s="11">
        <f t="shared" si="644"/>
        <v>0</v>
      </c>
      <c r="N4109" s="11">
        <f t="shared" si="645"/>
        <v>0</v>
      </c>
      <c r="O4109" s="11">
        <f t="shared" si="646"/>
        <v>0</v>
      </c>
      <c r="P4109" s="12">
        <f t="shared" si="647"/>
        <v>0</v>
      </c>
      <c r="Q4109" s="17" t="str">
        <f t="shared" si="649"/>
        <v>Pas d'écart</v>
      </c>
    </row>
    <row r="4110" spans="1:18" x14ac:dyDescent="0.3">
      <c r="A4110" s="34" t="str">
        <f>base!J4110</f>
        <v>RM</v>
      </c>
      <c r="B4110" s="34" t="str">
        <f>base!V4110</f>
        <v>54200</v>
      </c>
      <c r="C4110" s="37">
        <v>54</v>
      </c>
      <c r="D4110" s="36">
        <f>base!H4110</f>
        <v>69.02</v>
      </c>
      <c r="E4110" s="44"/>
      <c r="F4110" s="16">
        <f>base!W4110</f>
        <v>0</v>
      </c>
      <c r="G4110" s="11">
        <f t="shared" si="640"/>
        <v>0</v>
      </c>
      <c r="H4110" s="11">
        <f t="shared" si="641"/>
        <v>17.254999999999999</v>
      </c>
      <c r="I4110" s="11">
        <f t="shared" si="642"/>
        <v>0.25</v>
      </c>
      <c r="J4110" s="12">
        <f t="shared" si="643"/>
        <v>-17.254999999999999</v>
      </c>
      <c r="K4110" s="17" t="str">
        <f t="shared" si="648"/>
        <v>Ecart négatif</v>
      </c>
      <c r="L4110" s="16">
        <f>base!X4110</f>
        <v>17.25</v>
      </c>
      <c r="M4110" s="11">
        <f t="shared" si="644"/>
        <v>0.24992755722978849</v>
      </c>
      <c r="N4110" s="11">
        <f t="shared" si="645"/>
        <v>17.254999999999999</v>
      </c>
      <c r="O4110" s="11">
        <f t="shared" si="646"/>
        <v>0.25</v>
      </c>
      <c r="P4110" s="12">
        <f t="shared" si="647"/>
        <v>-4.9999999999990052E-3</v>
      </c>
      <c r="Q4110" s="17" t="str">
        <f t="shared" si="649"/>
        <v>Ecart négatif</v>
      </c>
      <c r="R4110" s="38"/>
    </row>
    <row r="4111" spans="1:18" x14ac:dyDescent="0.3">
      <c r="A4111" s="34" t="str">
        <f>base!J4111</f>
        <v>LM</v>
      </c>
      <c r="B4111" s="34" t="str">
        <f>base!V4111</f>
        <v>92000</v>
      </c>
      <c r="C4111" s="37">
        <v>92</v>
      </c>
      <c r="D4111" s="36">
        <f>base!H4111</f>
        <v>50.84</v>
      </c>
      <c r="E4111" s="44"/>
      <c r="F4111" s="16">
        <f>base!W4111</f>
        <v>0</v>
      </c>
      <c r="G4111" s="11">
        <f t="shared" si="640"/>
        <v>0</v>
      </c>
      <c r="H4111" s="11">
        <f t="shared" si="641"/>
        <v>0</v>
      </c>
      <c r="I4111" s="11">
        <f t="shared" si="642"/>
        <v>0</v>
      </c>
      <c r="J4111" s="12">
        <f t="shared" si="643"/>
        <v>0</v>
      </c>
      <c r="K4111" s="17" t="str">
        <f t="shared" si="648"/>
        <v>Pas d'écart</v>
      </c>
      <c r="L4111" s="16">
        <f>base!X4111</f>
        <v>0</v>
      </c>
      <c r="M4111" s="11">
        <f t="shared" si="644"/>
        <v>0</v>
      </c>
      <c r="N4111" s="11">
        <f t="shared" si="645"/>
        <v>0</v>
      </c>
      <c r="O4111" s="11">
        <f t="shared" si="646"/>
        <v>0</v>
      </c>
      <c r="P4111" s="12">
        <f t="shared" si="647"/>
        <v>0</v>
      </c>
      <c r="Q4111" s="17" t="str">
        <f t="shared" si="649"/>
        <v>Pas d'écart</v>
      </c>
    </row>
    <row r="4112" spans="1:18" x14ac:dyDescent="0.3">
      <c r="A4112" s="34" t="str">
        <f>base!J4112</f>
        <v>RM</v>
      </c>
      <c r="B4112" s="34" t="str">
        <f>base!V4112</f>
        <v>69200</v>
      </c>
      <c r="C4112" s="37">
        <v>69</v>
      </c>
      <c r="D4112" s="36">
        <f>base!H4112</f>
        <v>17.399999999999999</v>
      </c>
      <c r="E4112" s="44"/>
      <c r="F4112" s="16">
        <f>base!W4112</f>
        <v>0</v>
      </c>
      <c r="G4112" s="11">
        <f t="shared" si="640"/>
        <v>0</v>
      </c>
      <c r="H4112" s="11">
        <f t="shared" si="641"/>
        <v>4.6979999999999995</v>
      </c>
      <c r="I4112" s="11">
        <f t="shared" si="642"/>
        <v>0.27</v>
      </c>
      <c r="J4112" s="12">
        <f t="shared" si="643"/>
        <v>-4.6979999999999995</v>
      </c>
      <c r="K4112" s="17" t="str">
        <f t="shared" si="648"/>
        <v>Ecart négatif</v>
      </c>
      <c r="L4112" s="16">
        <f>base!X4112</f>
        <v>0</v>
      </c>
      <c r="M4112" s="11">
        <f t="shared" si="644"/>
        <v>0</v>
      </c>
      <c r="N4112" s="11">
        <f t="shared" si="645"/>
        <v>0</v>
      </c>
      <c r="O4112" s="11">
        <f t="shared" si="646"/>
        <v>0</v>
      </c>
      <c r="P4112" s="12">
        <f t="shared" si="647"/>
        <v>0</v>
      </c>
      <c r="Q4112" s="17" t="str">
        <f t="shared" si="649"/>
        <v>Pas d'écart</v>
      </c>
    </row>
    <row r="4113" spans="1:18" x14ac:dyDescent="0.3">
      <c r="A4113" s="34" t="str">
        <f>base!J4113</f>
        <v>DLM</v>
      </c>
      <c r="B4113" s="34" t="str">
        <f>base!V4113</f>
        <v>27000</v>
      </c>
      <c r="C4113" s="37">
        <v>27</v>
      </c>
      <c r="D4113" s="36">
        <f>base!H4113</f>
        <v>52.5</v>
      </c>
      <c r="E4113" s="44"/>
      <c r="F4113" s="16">
        <f>base!W4113</f>
        <v>0</v>
      </c>
      <c r="G4113" s="11">
        <f t="shared" si="640"/>
        <v>0</v>
      </c>
      <c r="H4113" s="11">
        <f t="shared" si="641"/>
        <v>8.9250000000000007</v>
      </c>
      <c r="I4113" s="11">
        <f t="shared" si="642"/>
        <v>0.17</v>
      </c>
      <c r="J4113" s="12">
        <f t="shared" si="643"/>
        <v>-8.9250000000000007</v>
      </c>
      <c r="K4113" s="17" t="str">
        <f t="shared" si="648"/>
        <v>Ecart négatif</v>
      </c>
      <c r="L4113" s="16">
        <f>base!X4113</f>
        <v>0</v>
      </c>
      <c r="M4113" s="11">
        <f t="shared" si="644"/>
        <v>0</v>
      </c>
      <c r="N4113" s="11">
        <f t="shared" si="645"/>
        <v>8.9250000000000007</v>
      </c>
      <c r="O4113" s="11">
        <f t="shared" si="646"/>
        <v>0.17</v>
      </c>
      <c r="P4113" s="12">
        <f t="shared" si="647"/>
        <v>-8.9250000000000007</v>
      </c>
      <c r="Q4113" s="17" t="str">
        <f t="shared" si="649"/>
        <v>Ecart négatif</v>
      </c>
    </row>
    <row r="4114" spans="1:18" x14ac:dyDescent="0.3">
      <c r="A4114" s="34" t="str">
        <f>base!J4114</f>
        <v>DLM</v>
      </c>
      <c r="B4114" s="34" t="str">
        <f>base!V4114</f>
        <v>69003</v>
      </c>
      <c r="C4114" s="37">
        <v>69</v>
      </c>
      <c r="D4114" s="36">
        <f>base!H4114</f>
        <v>52.5</v>
      </c>
      <c r="E4114" s="44"/>
      <c r="F4114" s="16">
        <f>base!W4114</f>
        <v>0</v>
      </c>
      <c r="G4114" s="11">
        <f t="shared" si="640"/>
        <v>0</v>
      </c>
      <c r="H4114" s="11">
        <f t="shared" si="641"/>
        <v>14.175000000000001</v>
      </c>
      <c r="I4114" s="11">
        <f t="shared" si="642"/>
        <v>0.27</v>
      </c>
      <c r="J4114" s="12">
        <f t="shared" si="643"/>
        <v>-14.175000000000001</v>
      </c>
      <c r="K4114" s="17" t="str">
        <f t="shared" si="648"/>
        <v>Ecart négatif</v>
      </c>
      <c r="L4114" s="16">
        <f>base!X4114</f>
        <v>0</v>
      </c>
      <c r="M4114" s="11">
        <f t="shared" si="644"/>
        <v>0</v>
      </c>
      <c r="N4114" s="11">
        <f t="shared" si="645"/>
        <v>0</v>
      </c>
      <c r="O4114" s="11">
        <f t="shared" si="646"/>
        <v>0</v>
      </c>
      <c r="P4114" s="12">
        <f t="shared" si="647"/>
        <v>0</v>
      </c>
      <c r="Q4114" s="17" t="str">
        <f t="shared" si="649"/>
        <v>Pas d'écart</v>
      </c>
    </row>
    <row r="4115" spans="1:18" x14ac:dyDescent="0.3">
      <c r="A4115" s="34" t="str">
        <f>base!J4115</f>
        <v>DLM</v>
      </c>
      <c r="B4115" s="34" t="str">
        <f>base!V4115</f>
        <v>68200</v>
      </c>
      <c r="C4115" s="37">
        <v>68</v>
      </c>
      <c r="D4115" s="36">
        <f>base!H4115</f>
        <v>52.5</v>
      </c>
      <c r="E4115" s="44"/>
      <c r="F4115" s="16">
        <f>base!W4115</f>
        <v>0</v>
      </c>
      <c r="G4115" s="11">
        <f t="shared" si="640"/>
        <v>0</v>
      </c>
      <c r="H4115" s="11">
        <f t="shared" si="641"/>
        <v>15.225</v>
      </c>
      <c r="I4115" s="11">
        <f t="shared" si="642"/>
        <v>0.28999999999999998</v>
      </c>
      <c r="J4115" s="12">
        <f t="shared" si="643"/>
        <v>-15.225</v>
      </c>
      <c r="K4115" s="17" t="str">
        <f t="shared" si="648"/>
        <v>Ecart négatif</v>
      </c>
      <c r="L4115" s="16">
        <f>base!X4115</f>
        <v>0</v>
      </c>
      <c r="M4115" s="11">
        <f t="shared" si="644"/>
        <v>0</v>
      </c>
      <c r="N4115" s="11">
        <f t="shared" si="645"/>
        <v>4.2</v>
      </c>
      <c r="O4115" s="11">
        <f t="shared" si="646"/>
        <v>0.08</v>
      </c>
      <c r="P4115" s="12">
        <f t="shared" si="647"/>
        <v>-4.2</v>
      </c>
      <c r="Q4115" s="17" t="str">
        <f t="shared" si="649"/>
        <v>Ecart négatif</v>
      </c>
    </row>
    <row r="4116" spans="1:18" x14ac:dyDescent="0.3">
      <c r="A4116" s="34" t="str">
        <f>base!J4116</f>
        <v>LS</v>
      </c>
      <c r="B4116" s="34" t="str">
        <f>base!V4116</f>
        <v>51300</v>
      </c>
      <c r="C4116" s="37">
        <v>71</v>
      </c>
      <c r="D4116" s="36">
        <f>base!H4116</f>
        <v>247.98</v>
      </c>
      <c r="E4116" s="44"/>
      <c r="F4116" s="16">
        <f>base!W4116</f>
        <v>62</v>
      </c>
      <c r="G4116" s="11">
        <f t="shared" si="640"/>
        <v>0.25002016291636425</v>
      </c>
      <c r="H4116" s="11">
        <f t="shared" si="641"/>
        <v>66.954599999999999</v>
      </c>
      <c r="I4116" s="11">
        <f t="shared" si="642"/>
        <v>0.27</v>
      </c>
      <c r="J4116" s="12">
        <f t="shared" si="643"/>
        <v>-4.9545999999999992</v>
      </c>
      <c r="K4116" s="17" t="str">
        <f t="shared" si="648"/>
        <v>Ecart négatif</v>
      </c>
      <c r="L4116" s="16">
        <f>base!X4116</f>
        <v>0</v>
      </c>
      <c r="M4116" s="11">
        <f t="shared" si="644"/>
        <v>0</v>
      </c>
      <c r="N4116" s="11">
        <f t="shared" si="645"/>
        <v>0</v>
      </c>
      <c r="O4116" s="11">
        <f t="shared" si="646"/>
        <v>0</v>
      </c>
      <c r="P4116" s="12">
        <f t="shared" si="647"/>
        <v>0</v>
      </c>
      <c r="Q4116" s="17" t="str">
        <f t="shared" si="649"/>
        <v>Pas d'écart</v>
      </c>
    </row>
    <row r="4117" spans="1:18" x14ac:dyDescent="0.3">
      <c r="A4117" s="34" t="str">
        <f>base!J4117</f>
        <v>LM</v>
      </c>
      <c r="B4117" s="34" t="str">
        <f>base!V4117</f>
        <v>92000</v>
      </c>
      <c r="C4117" s="37">
        <v>92</v>
      </c>
      <c r="D4117" s="36">
        <f>base!H4117</f>
        <v>50.84</v>
      </c>
      <c r="E4117" s="44"/>
      <c r="F4117" s="16">
        <f>base!W4117</f>
        <v>0</v>
      </c>
      <c r="G4117" s="11">
        <f t="shared" si="640"/>
        <v>0</v>
      </c>
      <c r="H4117" s="11">
        <f t="shared" si="641"/>
        <v>0</v>
      </c>
      <c r="I4117" s="11">
        <f t="shared" si="642"/>
        <v>0</v>
      </c>
      <c r="J4117" s="12">
        <f t="shared" si="643"/>
        <v>0</v>
      </c>
      <c r="K4117" s="17" t="str">
        <f t="shared" si="648"/>
        <v>Pas d'écart</v>
      </c>
      <c r="L4117" s="16">
        <f>base!X4117</f>
        <v>0</v>
      </c>
      <c r="M4117" s="11">
        <f t="shared" si="644"/>
        <v>0</v>
      </c>
      <c r="N4117" s="11">
        <f t="shared" si="645"/>
        <v>0</v>
      </c>
      <c r="O4117" s="11">
        <f t="shared" si="646"/>
        <v>0</v>
      </c>
      <c r="P4117" s="12">
        <f t="shared" si="647"/>
        <v>0</v>
      </c>
      <c r="Q4117" s="17" t="str">
        <f t="shared" si="649"/>
        <v>Pas d'écart</v>
      </c>
    </row>
    <row r="4118" spans="1:18" x14ac:dyDescent="0.3">
      <c r="A4118" s="34" t="str">
        <f>base!J4118</f>
        <v>LM</v>
      </c>
      <c r="B4118" s="34" t="str">
        <f>base!V4118</f>
        <v>56920</v>
      </c>
      <c r="C4118" s="37">
        <v>35</v>
      </c>
      <c r="D4118" s="36">
        <f>base!H4118</f>
        <v>69.540000000000006</v>
      </c>
      <c r="E4118" s="44"/>
      <c r="F4118" s="16">
        <f>base!W4118</f>
        <v>18.78</v>
      </c>
      <c r="G4118" s="11">
        <f t="shared" si="640"/>
        <v>0.27006039689387401</v>
      </c>
      <c r="H4118" s="11">
        <f t="shared" si="641"/>
        <v>18.775800000000004</v>
      </c>
      <c r="I4118" s="11">
        <f t="shared" si="642"/>
        <v>0.27</v>
      </c>
      <c r="J4118" s="12">
        <f t="shared" si="643"/>
        <v>4.199999999997317E-3</v>
      </c>
      <c r="K4118" s="17" t="str">
        <f t="shared" si="648"/>
        <v>Ecart positif</v>
      </c>
      <c r="L4118" s="16">
        <f>base!X4118</f>
        <v>0</v>
      </c>
      <c r="M4118" s="11">
        <f t="shared" si="644"/>
        <v>0</v>
      </c>
      <c r="N4118" s="11">
        <f t="shared" si="645"/>
        <v>0</v>
      </c>
      <c r="O4118" s="11">
        <f t="shared" si="646"/>
        <v>0</v>
      </c>
      <c r="P4118" s="12">
        <f t="shared" si="647"/>
        <v>0</v>
      </c>
      <c r="Q4118" s="17" t="str">
        <f t="shared" si="649"/>
        <v>Pas d'écart</v>
      </c>
    </row>
    <row r="4119" spans="1:18" x14ac:dyDescent="0.3">
      <c r="A4119" s="34" t="str">
        <f>base!J4119</f>
        <v>LM</v>
      </c>
      <c r="B4119" s="34" t="str">
        <f>base!V4119</f>
        <v>22210</v>
      </c>
      <c r="C4119" s="37">
        <v>35</v>
      </c>
      <c r="D4119" s="36">
        <f>base!H4119</f>
        <v>103.62</v>
      </c>
      <c r="E4119" s="44"/>
      <c r="F4119" s="16">
        <f>base!W4119</f>
        <v>40.409999999999997</v>
      </c>
      <c r="G4119" s="11">
        <f t="shared" si="640"/>
        <v>0.38998262883613199</v>
      </c>
      <c r="H4119" s="11">
        <f t="shared" si="641"/>
        <v>27.977400000000003</v>
      </c>
      <c r="I4119" s="11">
        <f t="shared" si="642"/>
        <v>0.27</v>
      </c>
      <c r="J4119" s="12">
        <f t="shared" si="643"/>
        <v>12.432599999999994</v>
      </c>
      <c r="K4119" s="17" t="str">
        <f t="shared" si="648"/>
        <v>Ecart positif</v>
      </c>
      <c r="L4119" s="16">
        <f>base!X4119</f>
        <v>0</v>
      </c>
      <c r="M4119" s="11">
        <f t="shared" si="644"/>
        <v>0</v>
      </c>
      <c r="N4119" s="11">
        <f t="shared" si="645"/>
        <v>0</v>
      </c>
      <c r="O4119" s="11">
        <f t="shared" si="646"/>
        <v>0</v>
      </c>
      <c r="P4119" s="12">
        <f t="shared" si="647"/>
        <v>0</v>
      </c>
      <c r="Q4119" s="17" t="str">
        <f t="shared" si="649"/>
        <v>Pas d'écart</v>
      </c>
    </row>
    <row r="4120" spans="1:18" x14ac:dyDescent="0.3">
      <c r="A4120" s="34" t="str">
        <f>base!J4120</f>
        <v>RM</v>
      </c>
      <c r="B4120" s="34" t="str">
        <f>base!V4120</f>
        <v>69200</v>
      </c>
      <c r="C4120" s="37">
        <v>69</v>
      </c>
      <c r="D4120" s="36">
        <f>base!H4120</f>
        <v>198.89</v>
      </c>
      <c r="E4120" s="44"/>
      <c r="F4120" s="16">
        <f>base!W4120</f>
        <v>0</v>
      </c>
      <c r="G4120" s="11">
        <f t="shared" si="640"/>
        <v>0</v>
      </c>
      <c r="H4120" s="11">
        <f t="shared" si="641"/>
        <v>53.700299999999999</v>
      </c>
      <c r="I4120" s="11">
        <f t="shared" si="642"/>
        <v>0.27</v>
      </c>
      <c r="J4120" s="12">
        <f t="shared" si="643"/>
        <v>-53.700299999999999</v>
      </c>
      <c r="K4120" s="17" t="str">
        <f t="shared" si="648"/>
        <v>Ecart négatif</v>
      </c>
      <c r="L4120" s="16">
        <f>base!X4120</f>
        <v>0</v>
      </c>
      <c r="M4120" s="11">
        <f t="shared" si="644"/>
        <v>0</v>
      </c>
      <c r="N4120" s="11">
        <f t="shared" si="645"/>
        <v>0</v>
      </c>
      <c r="O4120" s="11">
        <f t="shared" si="646"/>
        <v>0</v>
      </c>
      <c r="P4120" s="12">
        <f t="shared" si="647"/>
        <v>0</v>
      </c>
      <c r="Q4120" s="17" t="str">
        <f t="shared" si="649"/>
        <v>Pas d'écart</v>
      </c>
    </row>
    <row r="4121" spans="1:18" x14ac:dyDescent="0.3">
      <c r="A4121" s="34" t="str">
        <f>base!J4121</f>
        <v>RM</v>
      </c>
      <c r="B4121" s="34" t="str">
        <f>base!V4121</f>
        <v>83000</v>
      </c>
      <c r="C4121" s="37">
        <v>83</v>
      </c>
      <c r="D4121" s="36">
        <f>base!H4121</f>
        <v>188.26</v>
      </c>
      <c r="E4121" s="44"/>
      <c r="F4121" s="16">
        <f>base!W4121</f>
        <v>0</v>
      </c>
      <c r="G4121" s="11">
        <f t="shared" si="640"/>
        <v>0</v>
      </c>
      <c r="H4121" s="11">
        <f t="shared" si="641"/>
        <v>56.477999999999994</v>
      </c>
      <c r="I4121" s="11">
        <f t="shared" si="642"/>
        <v>0.3</v>
      </c>
      <c r="J4121" s="12">
        <f t="shared" si="643"/>
        <v>-56.477999999999994</v>
      </c>
      <c r="K4121" s="17" t="str">
        <f t="shared" si="648"/>
        <v>Ecart négatif</v>
      </c>
      <c r="L4121" s="16">
        <f>base!X4121</f>
        <v>39.53</v>
      </c>
      <c r="M4121" s="11">
        <f t="shared" si="644"/>
        <v>0.20997556570700096</v>
      </c>
      <c r="N4121" s="11">
        <f t="shared" si="645"/>
        <v>39.534599999999998</v>
      </c>
      <c r="O4121" s="11">
        <f t="shared" si="646"/>
        <v>0.21</v>
      </c>
      <c r="P4121" s="12">
        <f t="shared" si="647"/>
        <v>-4.5999999999963848E-3</v>
      </c>
      <c r="Q4121" s="17" t="str">
        <f t="shared" si="649"/>
        <v>Ecart négatif</v>
      </c>
      <c r="R4121" s="38"/>
    </row>
    <row r="4122" spans="1:18" x14ac:dyDescent="0.3">
      <c r="A4122" s="34" t="str">
        <f>base!J4122</f>
        <v>RM</v>
      </c>
      <c r="B4122" s="34" t="str">
        <f>base!V4122</f>
        <v>13011</v>
      </c>
      <c r="C4122" s="37">
        <v>13</v>
      </c>
      <c r="D4122" s="36">
        <f>base!H4122</f>
        <v>180</v>
      </c>
      <c r="E4122" s="44"/>
      <c r="F4122" s="16">
        <f>base!W4122</f>
        <v>0</v>
      </c>
      <c r="G4122" s="11">
        <f t="shared" si="640"/>
        <v>0</v>
      </c>
      <c r="H4122" s="11">
        <f t="shared" si="641"/>
        <v>52.199999999999996</v>
      </c>
      <c r="I4122" s="11">
        <f t="shared" si="642"/>
        <v>0.28999999999999998</v>
      </c>
      <c r="J4122" s="12">
        <f t="shared" si="643"/>
        <v>-52.199999999999996</v>
      </c>
      <c r="K4122" s="17" t="str">
        <f t="shared" si="648"/>
        <v>Ecart négatif</v>
      </c>
      <c r="L4122" s="16">
        <f>base!X4122</f>
        <v>0</v>
      </c>
      <c r="M4122" s="11">
        <f t="shared" si="644"/>
        <v>0</v>
      </c>
      <c r="N4122" s="11">
        <f t="shared" si="645"/>
        <v>34.200000000000003</v>
      </c>
      <c r="O4122" s="11">
        <f t="shared" si="646"/>
        <v>0.19</v>
      </c>
      <c r="P4122" s="12">
        <f t="shared" si="647"/>
        <v>-34.200000000000003</v>
      </c>
      <c r="Q4122" s="17" t="str">
        <f t="shared" si="649"/>
        <v>Ecart négatif</v>
      </c>
    </row>
    <row r="4123" spans="1:18" x14ac:dyDescent="0.3">
      <c r="A4123" s="34" t="str">
        <f>base!J4123</f>
        <v>LM</v>
      </c>
      <c r="B4123" s="34" t="str">
        <f>base!V4123</f>
        <v>16340</v>
      </c>
      <c r="C4123" s="37">
        <v>26</v>
      </c>
      <c r="D4123" s="36">
        <f>base!H4123</f>
        <v>184.19</v>
      </c>
      <c r="E4123" s="44"/>
      <c r="F4123" s="16">
        <f>base!W4123</f>
        <v>38.68</v>
      </c>
      <c r="G4123" s="11">
        <f t="shared" si="640"/>
        <v>0.21000054291763939</v>
      </c>
      <c r="H4123" s="11">
        <f t="shared" si="641"/>
        <v>49.731300000000005</v>
      </c>
      <c r="I4123" s="11">
        <f t="shared" si="642"/>
        <v>0.27</v>
      </c>
      <c r="J4123" s="12">
        <f t="shared" si="643"/>
        <v>-11.051300000000005</v>
      </c>
      <c r="K4123" s="17" t="str">
        <f t="shared" si="648"/>
        <v>Ecart négatif</v>
      </c>
      <c r="L4123" s="16">
        <f>base!X4123</f>
        <v>0</v>
      </c>
      <c r="M4123" s="11">
        <f t="shared" si="644"/>
        <v>0</v>
      </c>
      <c r="N4123" s="11">
        <f t="shared" si="645"/>
        <v>0</v>
      </c>
      <c r="O4123" s="11">
        <f t="shared" si="646"/>
        <v>0</v>
      </c>
      <c r="P4123" s="12">
        <f t="shared" si="647"/>
        <v>0</v>
      </c>
      <c r="Q4123" s="17" t="str">
        <f t="shared" si="649"/>
        <v>Pas d'écart</v>
      </c>
    </row>
    <row r="4124" spans="1:18" x14ac:dyDescent="0.3">
      <c r="A4124" s="34" t="str">
        <f>base!J4124</f>
        <v>DRM</v>
      </c>
      <c r="B4124" s="34" t="str">
        <f>base!V4124</f>
        <v>51100</v>
      </c>
      <c r="C4124" s="37">
        <v>51</v>
      </c>
      <c r="D4124" s="36">
        <f>base!H4124</f>
        <v>32</v>
      </c>
      <c r="E4124" s="44"/>
      <c r="F4124" s="16">
        <f>base!W4124</f>
        <v>0</v>
      </c>
      <c r="G4124" s="11">
        <f t="shared" si="640"/>
        <v>0</v>
      </c>
      <c r="H4124" s="11">
        <f t="shared" si="641"/>
        <v>8</v>
      </c>
      <c r="I4124" s="11">
        <f t="shared" si="642"/>
        <v>0.25</v>
      </c>
      <c r="J4124" s="12">
        <f t="shared" si="643"/>
        <v>-8</v>
      </c>
      <c r="K4124" s="17" t="str">
        <f t="shared" si="648"/>
        <v>Ecart négatif</v>
      </c>
      <c r="L4124" s="16">
        <f>base!X4124</f>
        <v>0</v>
      </c>
      <c r="M4124" s="11">
        <f t="shared" si="644"/>
        <v>0</v>
      </c>
      <c r="N4124" s="11">
        <f t="shared" si="645"/>
        <v>8</v>
      </c>
      <c r="O4124" s="11">
        <f t="shared" si="646"/>
        <v>0.25</v>
      </c>
      <c r="P4124" s="12">
        <f t="shared" si="647"/>
        <v>-8</v>
      </c>
      <c r="Q4124" s="17" t="str">
        <f t="shared" si="649"/>
        <v>Ecart négatif</v>
      </c>
    </row>
    <row r="4125" spans="1:18" x14ac:dyDescent="0.3">
      <c r="A4125" s="34" t="str">
        <f>base!J4125</f>
        <v>LS</v>
      </c>
      <c r="B4125" s="34" t="str">
        <f>base!V4125</f>
        <v>27000</v>
      </c>
      <c r="C4125" s="37">
        <v>35</v>
      </c>
      <c r="D4125" s="36">
        <f>base!H4125</f>
        <v>159</v>
      </c>
      <c r="E4125" s="44"/>
      <c r="F4125" s="16">
        <f>base!W4125</f>
        <v>27.03</v>
      </c>
      <c r="G4125" s="11">
        <f t="shared" si="640"/>
        <v>0.17</v>
      </c>
      <c r="H4125" s="11">
        <f t="shared" si="641"/>
        <v>42.93</v>
      </c>
      <c r="I4125" s="11">
        <f t="shared" si="642"/>
        <v>0.27</v>
      </c>
      <c r="J4125" s="12">
        <f t="shared" si="643"/>
        <v>-15.899999999999999</v>
      </c>
      <c r="K4125" s="17" t="str">
        <f t="shared" si="648"/>
        <v>Ecart négatif</v>
      </c>
      <c r="L4125" s="16">
        <f>base!X4125</f>
        <v>0</v>
      </c>
      <c r="M4125" s="11">
        <f t="shared" si="644"/>
        <v>0</v>
      </c>
      <c r="N4125" s="11">
        <f t="shared" si="645"/>
        <v>0</v>
      </c>
      <c r="O4125" s="11">
        <f t="shared" si="646"/>
        <v>0</v>
      </c>
      <c r="P4125" s="12">
        <f t="shared" si="647"/>
        <v>0</v>
      </c>
      <c r="Q4125" s="17" t="str">
        <f t="shared" si="649"/>
        <v>Pas d'écart</v>
      </c>
    </row>
    <row r="4126" spans="1:18" x14ac:dyDescent="0.3">
      <c r="A4126" s="34" t="str">
        <f>base!J4126</f>
        <v>RM</v>
      </c>
      <c r="B4126" s="34" t="str">
        <f>base!V4126</f>
        <v>67000</v>
      </c>
      <c r="C4126" s="37">
        <v>67</v>
      </c>
      <c r="D4126" s="36">
        <f>base!H4126</f>
        <v>17</v>
      </c>
      <c r="E4126" s="44"/>
      <c r="F4126" s="16">
        <f>base!W4126</f>
        <v>0</v>
      </c>
      <c r="G4126" s="11">
        <f t="shared" si="640"/>
        <v>0</v>
      </c>
      <c r="H4126" s="11">
        <f t="shared" si="641"/>
        <v>4.93</v>
      </c>
      <c r="I4126" s="11">
        <f t="shared" si="642"/>
        <v>0.28999999999999998</v>
      </c>
      <c r="J4126" s="12">
        <f t="shared" si="643"/>
        <v>-4.93</v>
      </c>
      <c r="K4126" s="17" t="str">
        <f t="shared" si="648"/>
        <v>Ecart négatif</v>
      </c>
      <c r="L4126" s="16">
        <f>base!X4126</f>
        <v>1.36</v>
      </c>
      <c r="M4126" s="11">
        <f t="shared" si="644"/>
        <v>0.08</v>
      </c>
      <c r="N4126" s="11">
        <f t="shared" si="645"/>
        <v>1.36</v>
      </c>
      <c r="O4126" s="11">
        <f t="shared" si="646"/>
        <v>0.08</v>
      </c>
      <c r="P4126" s="12">
        <f t="shared" si="647"/>
        <v>0</v>
      </c>
      <c r="Q4126" s="17" t="str">
        <f t="shared" si="649"/>
        <v>Pas d'écart</v>
      </c>
      <c r="R4126" s="38"/>
    </row>
    <row r="4127" spans="1:18" x14ac:dyDescent="0.3">
      <c r="A4127" s="34" t="str">
        <f>base!J4127</f>
        <v>RM</v>
      </c>
      <c r="B4127" s="34" t="str">
        <f>base!V4127</f>
        <v>67000</v>
      </c>
      <c r="C4127" s="37">
        <v>67</v>
      </c>
      <c r="D4127" s="36">
        <f>base!H4127</f>
        <v>40</v>
      </c>
      <c r="E4127" s="44"/>
      <c r="F4127" s="16">
        <f>base!W4127</f>
        <v>0</v>
      </c>
      <c r="G4127" s="11">
        <f t="shared" si="640"/>
        <v>0</v>
      </c>
      <c r="H4127" s="11">
        <f t="shared" si="641"/>
        <v>11.6</v>
      </c>
      <c r="I4127" s="11">
        <f t="shared" si="642"/>
        <v>0.28999999999999998</v>
      </c>
      <c r="J4127" s="12">
        <f t="shared" si="643"/>
        <v>-11.6</v>
      </c>
      <c r="K4127" s="17" t="str">
        <f t="shared" si="648"/>
        <v>Ecart négatif</v>
      </c>
      <c r="L4127" s="16">
        <f>base!X4127</f>
        <v>3.2</v>
      </c>
      <c r="M4127" s="11">
        <f t="shared" si="644"/>
        <v>0.08</v>
      </c>
      <c r="N4127" s="11">
        <f t="shared" si="645"/>
        <v>3.2</v>
      </c>
      <c r="O4127" s="11">
        <f t="shared" si="646"/>
        <v>0.08</v>
      </c>
      <c r="P4127" s="12">
        <f t="shared" si="647"/>
        <v>0</v>
      </c>
      <c r="Q4127" s="17" t="str">
        <f t="shared" si="649"/>
        <v>Pas d'écart</v>
      </c>
      <c r="R4127" s="38"/>
    </row>
    <row r="4128" spans="1:18" x14ac:dyDescent="0.3">
      <c r="A4128" s="34" t="str">
        <f>base!J4128</f>
        <v>RS</v>
      </c>
      <c r="B4128" s="34" t="str">
        <f>base!V4128</f>
        <v>06560</v>
      </c>
      <c r="C4128" s="37">
        <v>6</v>
      </c>
      <c r="D4128" s="36">
        <f>base!H4128</f>
        <v>151</v>
      </c>
      <c r="E4128" s="44"/>
      <c r="F4128" s="16">
        <f>base!W4128</f>
        <v>0</v>
      </c>
      <c r="G4128" s="11">
        <f t="shared" si="640"/>
        <v>0</v>
      </c>
      <c r="H4128" s="11">
        <f t="shared" si="641"/>
        <v>45.3</v>
      </c>
      <c r="I4128" s="11">
        <f t="shared" si="642"/>
        <v>0.3</v>
      </c>
      <c r="J4128" s="12">
        <f t="shared" si="643"/>
        <v>-45.3</v>
      </c>
      <c r="K4128" s="17" t="str">
        <f t="shared" si="648"/>
        <v>Ecart négatif</v>
      </c>
      <c r="L4128" s="16">
        <f>base!X4128</f>
        <v>31.71</v>
      </c>
      <c r="M4128" s="11">
        <f t="shared" si="644"/>
        <v>0.21</v>
      </c>
      <c r="N4128" s="11">
        <f t="shared" si="645"/>
        <v>31.709999999999997</v>
      </c>
      <c r="O4128" s="11">
        <f t="shared" si="646"/>
        <v>0.21</v>
      </c>
      <c r="P4128" s="12">
        <f t="shared" si="647"/>
        <v>0</v>
      </c>
      <c r="Q4128" s="17" t="str">
        <f t="shared" si="649"/>
        <v>Pas d'écart</v>
      </c>
      <c r="R4128" s="38"/>
    </row>
    <row r="4129" spans="1:18" x14ac:dyDescent="0.3">
      <c r="A4129" s="34" t="str">
        <f>base!J4129</f>
        <v>RM</v>
      </c>
      <c r="B4129" s="34" t="str">
        <f>base!V4129</f>
        <v>06560</v>
      </c>
      <c r="C4129" s="37">
        <v>6</v>
      </c>
      <c r="D4129" s="36">
        <f>base!H4129</f>
        <v>151</v>
      </c>
      <c r="E4129" s="44"/>
      <c r="F4129" s="16">
        <f>base!W4129</f>
        <v>0</v>
      </c>
      <c r="G4129" s="11">
        <f t="shared" si="640"/>
        <v>0</v>
      </c>
      <c r="H4129" s="11">
        <f t="shared" si="641"/>
        <v>45.3</v>
      </c>
      <c r="I4129" s="11">
        <f t="shared" si="642"/>
        <v>0.3</v>
      </c>
      <c r="J4129" s="12">
        <f t="shared" si="643"/>
        <v>-45.3</v>
      </c>
      <c r="K4129" s="17" t="str">
        <f t="shared" si="648"/>
        <v>Ecart négatif</v>
      </c>
      <c r="L4129" s="16">
        <f>base!X4129</f>
        <v>0</v>
      </c>
      <c r="M4129" s="11">
        <f t="shared" si="644"/>
        <v>0</v>
      </c>
      <c r="N4129" s="11">
        <f t="shared" si="645"/>
        <v>31.709999999999997</v>
      </c>
      <c r="O4129" s="11">
        <f t="shared" si="646"/>
        <v>0.21</v>
      </c>
      <c r="P4129" s="12">
        <f t="shared" si="647"/>
        <v>-31.709999999999997</v>
      </c>
      <c r="Q4129" s="17" t="str">
        <f t="shared" si="649"/>
        <v>Ecart négatif</v>
      </c>
    </row>
    <row r="4130" spans="1:18" x14ac:dyDescent="0.3">
      <c r="A4130" s="34" t="str">
        <f>base!J4130</f>
        <v>RS</v>
      </c>
      <c r="B4130" s="34" t="str">
        <f>base!V4130</f>
        <v>06560</v>
      </c>
      <c r="C4130" s="37">
        <v>6</v>
      </c>
      <c r="D4130" s="36">
        <f>base!H4130</f>
        <v>151</v>
      </c>
      <c r="E4130" s="44"/>
      <c r="F4130" s="16">
        <f>base!W4130</f>
        <v>0</v>
      </c>
      <c r="G4130" s="11">
        <f t="shared" si="640"/>
        <v>0</v>
      </c>
      <c r="H4130" s="11">
        <f t="shared" si="641"/>
        <v>45.3</v>
      </c>
      <c r="I4130" s="11">
        <f t="shared" si="642"/>
        <v>0.3</v>
      </c>
      <c r="J4130" s="12">
        <f t="shared" si="643"/>
        <v>-45.3</v>
      </c>
      <c r="K4130" s="17" t="str">
        <f t="shared" si="648"/>
        <v>Ecart négatif</v>
      </c>
      <c r="L4130" s="16">
        <f>base!X4130</f>
        <v>0</v>
      </c>
      <c r="M4130" s="11">
        <f t="shared" si="644"/>
        <v>0</v>
      </c>
      <c r="N4130" s="11">
        <f t="shared" si="645"/>
        <v>31.709999999999997</v>
      </c>
      <c r="O4130" s="11">
        <f t="shared" si="646"/>
        <v>0.21</v>
      </c>
      <c r="P4130" s="12">
        <f t="shared" si="647"/>
        <v>-31.709999999999997</v>
      </c>
      <c r="Q4130" s="17" t="str">
        <f t="shared" si="649"/>
        <v>Ecart négatif</v>
      </c>
    </row>
    <row r="4131" spans="1:18" x14ac:dyDescent="0.3">
      <c r="A4131" s="34" t="str">
        <f>base!J4131</f>
        <v>RM</v>
      </c>
      <c r="B4131" s="34" t="str">
        <f>base!V4131</f>
        <v>06560</v>
      </c>
      <c r="C4131" s="37">
        <v>6</v>
      </c>
      <c r="D4131" s="36">
        <f>base!H4131</f>
        <v>151</v>
      </c>
      <c r="E4131" s="44"/>
      <c r="F4131" s="16">
        <f>base!W4131</f>
        <v>0</v>
      </c>
      <c r="G4131" s="11">
        <f t="shared" si="640"/>
        <v>0</v>
      </c>
      <c r="H4131" s="11">
        <f t="shared" si="641"/>
        <v>45.3</v>
      </c>
      <c r="I4131" s="11">
        <f t="shared" si="642"/>
        <v>0.3</v>
      </c>
      <c r="J4131" s="12">
        <f t="shared" si="643"/>
        <v>-45.3</v>
      </c>
      <c r="K4131" s="17" t="str">
        <f t="shared" si="648"/>
        <v>Ecart négatif</v>
      </c>
      <c r="L4131" s="16">
        <f>base!X4131</f>
        <v>0</v>
      </c>
      <c r="M4131" s="11">
        <f t="shared" si="644"/>
        <v>0</v>
      </c>
      <c r="N4131" s="11">
        <f t="shared" si="645"/>
        <v>31.709999999999997</v>
      </c>
      <c r="O4131" s="11">
        <f t="shared" si="646"/>
        <v>0.21</v>
      </c>
      <c r="P4131" s="12">
        <f t="shared" si="647"/>
        <v>-31.709999999999997</v>
      </c>
      <c r="Q4131" s="17" t="str">
        <f t="shared" si="649"/>
        <v>Ecart négatif</v>
      </c>
    </row>
    <row r="4132" spans="1:18" x14ac:dyDescent="0.3">
      <c r="A4132" s="34" t="str">
        <f>base!J4132</f>
        <v>RM</v>
      </c>
      <c r="B4132" s="34" t="str">
        <f>base!V4132</f>
        <v>06560</v>
      </c>
      <c r="C4132" s="37">
        <v>6</v>
      </c>
      <c r="D4132" s="36">
        <f>base!H4132</f>
        <v>151</v>
      </c>
      <c r="E4132" s="44"/>
      <c r="F4132" s="16">
        <f>base!W4132</f>
        <v>0</v>
      </c>
      <c r="G4132" s="11">
        <f t="shared" si="640"/>
        <v>0</v>
      </c>
      <c r="H4132" s="11">
        <f t="shared" si="641"/>
        <v>45.3</v>
      </c>
      <c r="I4132" s="11">
        <f t="shared" si="642"/>
        <v>0.3</v>
      </c>
      <c r="J4132" s="12">
        <f t="shared" si="643"/>
        <v>-45.3</v>
      </c>
      <c r="K4132" s="17" t="str">
        <f t="shared" si="648"/>
        <v>Ecart négatif</v>
      </c>
      <c r="L4132" s="16">
        <f>base!X4132</f>
        <v>0</v>
      </c>
      <c r="M4132" s="11">
        <f t="shared" si="644"/>
        <v>0</v>
      </c>
      <c r="N4132" s="11">
        <f t="shared" si="645"/>
        <v>31.709999999999997</v>
      </c>
      <c r="O4132" s="11">
        <f t="shared" si="646"/>
        <v>0.21</v>
      </c>
      <c r="P4132" s="12">
        <f t="shared" si="647"/>
        <v>-31.709999999999997</v>
      </c>
      <c r="Q4132" s="17" t="str">
        <f t="shared" si="649"/>
        <v>Ecart négatif</v>
      </c>
    </row>
    <row r="4133" spans="1:18" x14ac:dyDescent="0.3">
      <c r="A4133" s="34" t="str">
        <f>base!J4133</f>
        <v>RM</v>
      </c>
      <c r="B4133" s="34" t="str">
        <f>base!V4133</f>
        <v>38120</v>
      </c>
      <c r="C4133" s="37">
        <v>38</v>
      </c>
      <c r="D4133" s="36">
        <f>base!H4133</f>
        <v>65.38</v>
      </c>
      <c r="E4133" s="44"/>
      <c r="F4133" s="16">
        <f>base!W4133</f>
        <v>0</v>
      </c>
      <c r="G4133" s="11">
        <f t="shared" si="640"/>
        <v>0</v>
      </c>
      <c r="H4133" s="11">
        <f t="shared" si="641"/>
        <v>17.6526</v>
      </c>
      <c r="I4133" s="11">
        <f t="shared" si="642"/>
        <v>0.27</v>
      </c>
      <c r="J4133" s="12">
        <f t="shared" si="643"/>
        <v>-17.6526</v>
      </c>
      <c r="K4133" s="17" t="str">
        <f t="shared" si="648"/>
        <v>Ecart négatif</v>
      </c>
      <c r="L4133" s="16">
        <f>base!X4133</f>
        <v>0</v>
      </c>
      <c r="M4133" s="11">
        <f t="shared" si="644"/>
        <v>0</v>
      </c>
      <c r="N4133" s="11">
        <f t="shared" si="645"/>
        <v>0</v>
      </c>
      <c r="O4133" s="11">
        <f t="shared" si="646"/>
        <v>0</v>
      </c>
      <c r="P4133" s="12">
        <f t="shared" si="647"/>
        <v>0</v>
      </c>
      <c r="Q4133" s="17" t="str">
        <f t="shared" si="649"/>
        <v>Pas d'écart</v>
      </c>
    </row>
    <row r="4134" spans="1:18" x14ac:dyDescent="0.3">
      <c r="A4134" s="34" t="str">
        <f>base!J4134</f>
        <v>RM</v>
      </c>
      <c r="B4134" s="34" t="str">
        <f>base!V4134</f>
        <v>27550</v>
      </c>
      <c r="C4134" s="37">
        <v>27</v>
      </c>
      <c r="D4134" s="36">
        <f>base!H4134</f>
        <v>180</v>
      </c>
      <c r="E4134" s="44"/>
      <c r="F4134" s="16">
        <f>base!W4134</f>
        <v>0</v>
      </c>
      <c r="G4134" s="11">
        <f t="shared" si="640"/>
        <v>0</v>
      </c>
      <c r="H4134" s="11">
        <f t="shared" si="641"/>
        <v>30.6</v>
      </c>
      <c r="I4134" s="11">
        <f t="shared" si="642"/>
        <v>0.17</v>
      </c>
      <c r="J4134" s="12">
        <f t="shared" si="643"/>
        <v>-30.6</v>
      </c>
      <c r="K4134" s="17" t="str">
        <f t="shared" si="648"/>
        <v>Ecart négatif</v>
      </c>
      <c r="L4134" s="16">
        <f>base!X4134</f>
        <v>0</v>
      </c>
      <c r="M4134" s="11">
        <f t="shared" si="644"/>
        <v>0</v>
      </c>
      <c r="N4134" s="11">
        <f t="shared" si="645"/>
        <v>30.6</v>
      </c>
      <c r="O4134" s="11">
        <f t="shared" si="646"/>
        <v>0.17</v>
      </c>
      <c r="P4134" s="12">
        <f t="shared" si="647"/>
        <v>-30.6</v>
      </c>
      <c r="Q4134" s="17" t="str">
        <f t="shared" si="649"/>
        <v>Ecart négatif</v>
      </c>
    </row>
    <row r="4135" spans="1:18" x14ac:dyDescent="0.3">
      <c r="A4135" s="34">
        <f>base!J4135</f>
        <v>0</v>
      </c>
      <c r="B4135" s="34" t="str">
        <f>base!V4135</f>
        <v>77184</v>
      </c>
      <c r="C4135" s="37">
        <v>77</v>
      </c>
      <c r="D4135" s="36">
        <f>base!H4135</f>
        <v>31.6</v>
      </c>
      <c r="E4135" s="44"/>
      <c r="F4135" s="16">
        <f>base!W4135</f>
        <v>0</v>
      </c>
      <c r="G4135" s="11">
        <f t="shared" si="640"/>
        <v>0</v>
      </c>
      <c r="H4135" s="11">
        <f t="shared" si="641"/>
        <v>0</v>
      </c>
      <c r="I4135" s="11">
        <f t="shared" si="642"/>
        <v>0</v>
      </c>
      <c r="J4135" s="12">
        <f t="shared" si="643"/>
        <v>0</v>
      </c>
      <c r="K4135" s="17" t="str">
        <f t="shared" si="648"/>
        <v>Pas d'écart</v>
      </c>
      <c r="L4135" s="16">
        <f>base!X4135</f>
        <v>0</v>
      </c>
      <c r="M4135" s="11">
        <f t="shared" si="644"/>
        <v>0</v>
      </c>
      <c r="N4135" s="11">
        <f t="shared" si="645"/>
        <v>0</v>
      </c>
      <c r="O4135" s="11">
        <f t="shared" si="646"/>
        <v>0</v>
      </c>
      <c r="P4135" s="12">
        <f t="shared" si="647"/>
        <v>0</v>
      </c>
      <c r="Q4135" s="17" t="str">
        <f t="shared" si="649"/>
        <v>Pas d'écart</v>
      </c>
    </row>
    <row r="4136" spans="1:18" x14ac:dyDescent="0.3">
      <c r="A4136" s="34" t="str">
        <f>base!J4136</f>
        <v>DLM</v>
      </c>
      <c r="B4136" s="34" t="str">
        <f>base!V4136</f>
        <v>38110</v>
      </c>
      <c r="C4136" s="37">
        <v>38</v>
      </c>
      <c r="D4136" s="36">
        <f>base!H4136</f>
        <v>23.4</v>
      </c>
      <c r="E4136" s="44"/>
      <c r="F4136" s="16">
        <f>base!W4136</f>
        <v>0</v>
      </c>
      <c r="G4136" s="11">
        <f t="shared" si="640"/>
        <v>0</v>
      </c>
      <c r="H4136" s="11">
        <f t="shared" si="641"/>
        <v>6.3179999999999996</v>
      </c>
      <c r="I4136" s="11">
        <f t="shared" si="642"/>
        <v>0.27</v>
      </c>
      <c r="J4136" s="12">
        <f t="shared" si="643"/>
        <v>-6.3179999999999996</v>
      </c>
      <c r="K4136" s="17" t="str">
        <f t="shared" si="648"/>
        <v>Ecart négatif</v>
      </c>
      <c r="L4136" s="16">
        <f>base!X4136</f>
        <v>0</v>
      </c>
      <c r="M4136" s="11">
        <f t="shared" si="644"/>
        <v>0</v>
      </c>
      <c r="N4136" s="11">
        <f t="shared" si="645"/>
        <v>0</v>
      </c>
      <c r="O4136" s="11">
        <f t="shared" si="646"/>
        <v>0</v>
      </c>
      <c r="P4136" s="12">
        <f t="shared" si="647"/>
        <v>0</v>
      </c>
      <c r="Q4136" s="17" t="str">
        <f t="shared" si="649"/>
        <v>Pas d'écart</v>
      </c>
    </row>
    <row r="4137" spans="1:18" x14ac:dyDescent="0.3">
      <c r="A4137" s="34">
        <f>base!J4137</f>
        <v>0</v>
      </c>
      <c r="B4137" s="34" t="str">
        <f>base!V4137</f>
        <v>77184</v>
      </c>
      <c r="C4137" s="37">
        <v>77</v>
      </c>
      <c r="D4137" s="36">
        <f>base!H4137</f>
        <v>33.6</v>
      </c>
      <c r="E4137" s="44"/>
      <c r="F4137" s="16">
        <f>base!W4137</f>
        <v>0</v>
      </c>
      <c r="G4137" s="11">
        <f t="shared" si="640"/>
        <v>0</v>
      </c>
      <c r="H4137" s="11">
        <f t="shared" si="641"/>
        <v>0</v>
      </c>
      <c r="I4137" s="11">
        <f t="shared" si="642"/>
        <v>0</v>
      </c>
      <c r="J4137" s="12">
        <f t="shared" si="643"/>
        <v>0</v>
      </c>
      <c r="K4137" s="17" t="str">
        <f t="shared" si="648"/>
        <v>Pas d'écart</v>
      </c>
      <c r="L4137" s="16">
        <f>base!X4137</f>
        <v>0</v>
      </c>
      <c r="M4137" s="11">
        <f t="shared" si="644"/>
        <v>0</v>
      </c>
      <c r="N4137" s="11">
        <f t="shared" si="645"/>
        <v>0</v>
      </c>
      <c r="O4137" s="11">
        <f t="shared" si="646"/>
        <v>0</v>
      </c>
      <c r="P4137" s="12">
        <f t="shared" si="647"/>
        <v>0</v>
      </c>
      <c r="Q4137" s="17" t="str">
        <f t="shared" si="649"/>
        <v>Pas d'écart</v>
      </c>
    </row>
    <row r="4138" spans="1:18" x14ac:dyDescent="0.3">
      <c r="A4138" s="34">
        <f>base!J4138</f>
        <v>0</v>
      </c>
      <c r="B4138" s="34" t="str">
        <f>base!V4138</f>
        <v>77184</v>
      </c>
      <c r="C4138" s="37">
        <v>77</v>
      </c>
      <c r="D4138" s="36">
        <f>base!H4138</f>
        <v>84.5</v>
      </c>
      <c r="E4138" s="44"/>
      <c r="F4138" s="16">
        <f>base!W4138</f>
        <v>0</v>
      </c>
      <c r="G4138" s="11">
        <f t="shared" si="640"/>
        <v>0</v>
      </c>
      <c r="H4138" s="11">
        <f t="shared" si="641"/>
        <v>0</v>
      </c>
      <c r="I4138" s="11">
        <f t="shared" si="642"/>
        <v>0</v>
      </c>
      <c r="J4138" s="12">
        <f t="shared" si="643"/>
        <v>0</v>
      </c>
      <c r="K4138" s="17" t="str">
        <f t="shared" si="648"/>
        <v>Pas d'écart</v>
      </c>
      <c r="L4138" s="16">
        <f>base!X4138</f>
        <v>0</v>
      </c>
      <c r="M4138" s="11">
        <f t="shared" si="644"/>
        <v>0</v>
      </c>
      <c r="N4138" s="11">
        <f t="shared" si="645"/>
        <v>0</v>
      </c>
      <c r="O4138" s="11">
        <f t="shared" si="646"/>
        <v>0</v>
      </c>
      <c r="P4138" s="12">
        <f t="shared" si="647"/>
        <v>0</v>
      </c>
      <c r="Q4138" s="17" t="str">
        <f t="shared" si="649"/>
        <v>Pas d'écart</v>
      </c>
    </row>
    <row r="4139" spans="1:18" x14ac:dyDescent="0.3">
      <c r="A4139" s="34" t="str">
        <f>base!J4139</f>
        <v>RM</v>
      </c>
      <c r="B4139" s="34" t="str">
        <f>base!V4139</f>
        <v>42160</v>
      </c>
      <c r="C4139" s="37">
        <v>42</v>
      </c>
      <c r="D4139" s="36">
        <f>base!H4139</f>
        <v>95.02</v>
      </c>
      <c r="E4139" s="44"/>
      <c r="F4139" s="16">
        <f>base!W4139</f>
        <v>0</v>
      </c>
      <c r="G4139" s="11">
        <f t="shared" si="640"/>
        <v>0</v>
      </c>
      <c r="H4139" s="11">
        <f t="shared" si="641"/>
        <v>24.705200000000001</v>
      </c>
      <c r="I4139" s="11">
        <f t="shared" si="642"/>
        <v>0.26</v>
      </c>
      <c r="J4139" s="12">
        <f t="shared" si="643"/>
        <v>-24.705200000000001</v>
      </c>
      <c r="K4139" s="17" t="str">
        <f t="shared" si="648"/>
        <v>Ecart négatif</v>
      </c>
      <c r="L4139" s="16">
        <f>base!X4139</f>
        <v>0</v>
      </c>
      <c r="M4139" s="11">
        <f t="shared" si="644"/>
        <v>0</v>
      </c>
      <c r="N4139" s="11">
        <f t="shared" si="645"/>
        <v>0</v>
      </c>
      <c r="O4139" s="11">
        <f t="shared" si="646"/>
        <v>0</v>
      </c>
      <c r="P4139" s="12">
        <f t="shared" si="647"/>
        <v>0</v>
      </c>
      <c r="Q4139" s="17" t="str">
        <f t="shared" si="649"/>
        <v>Pas d'écart</v>
      </c>
    </row>
    <row r="4140" spans="1:18" x14ac:dyDescent="0.3">
      <c r="A4140" s="34" t="str">
        <f>base!J4140</f>
        <v>LS</v>
      </c>
      <c r="B4140" s="34" t="str">
        <f>base!V4140</f>
        <v>75013</v>
      </c>
      <c r="C4140" s="37">
        <v>75</v>
      </c>
      <c r="D4140" s="36">
        <f>base!H4140</f>
        <v>19.8</v>
      </c>
      <c r="E4140" s="44"/>
      <c r="F4140" s="16">
        <f>base!W4140</f>
        <v>0</v>
      </c>
      <c r="G4140" s="11">
        <f t="shared" si="640"/>
        <v>0</v>
      </c>
      <c r="H4140" s="11">
        <f t="shared" si="641"/>
        <v>0</v>
      </c>
      <c r="I4140" s="11">
        <f t="shared" si="642"/>
        <v>0</v>
      </c>
      <c r="J4140" s="12">
        <f t="shared" si="643"/>
        <v>0</v>
      </c>
      <c r="K4140" s="17" t="str">
        <f t="shared" si="648"/>
        <v>Pas d'écart</v>
      </c>
      <c r="L4140" s="16">
        <f>base!X4140</f>
        <v>0</v>
      </c>
      <c r="M4140" s="11">
        <f t="shared" si="644"/>
        <v>0</v>
      </c>
      <c r="N4140" s="11">
        <f t="shared" si="645"/>
        <v>0</v>
      </c>
      <c r="O4140" s="11">
        <f t="shared" si="646"/>
        <v>0</v>
      </c>
      <c r="P4140" s="12">
        <f t="shared" si="647"/>
        <v>0</v>
      </c>
      <c r="Q4140" s="17" t="str">
        <f t="shared" si="649"/>
        <v>Pas d'écart</v>
      </c>
    </row>
    <row r="4141" spans="1:18" x14ac:dyDescent="0.3">
      <c r="A4141" s="34" t="str">
        <f>base!J4141</f>
        <v>DRM</v>
      </c>
      <c r="B4141" s="34" t="str">
        <f>base!V4141</f>
        <v>68920</v>
      </c>
      <c r="C4141" s="37">
        <v>68</v>
      </c>
      <c r="D4141" s="36">
        <f>base!H4141</f>
        <v>30</v>
      </c>
      <c r="E4141" s="44"/>
      <c r="F4141" s="16">
        <f>base!W4141</f>
        <v>0</v>
      </c>
      <c r="G4141" s="11">
        <f t="shared" si="640"/>
        <v>0</v>
      </c>
      <c r="H4141" s="11">
        <f t="shared" si="641"/>
        <v>8.6999999999999993</v>
      </c>
      <c r="I4141" s="11">
        <f t="shared" si="642"/>
        <v>0.28999999999999998</v>
      </c>
      <c r="J4141" s="12">
        <f t="shared" si="643"/>
        <v>-8.6999999999999993</v>
      </c>
      <c r="K4141" s="17" t="str">
        <f t="shared" si="648"/>
        <v>Ecart négatif</v>
      </c>
      <c r="L4141" s="16">
        <f>base!X4141</f>
        <v>0</v>
      </c>
      <c r="M4141" s="11">
        <f t="shared" si="644"/>
        <v>0</v>
      </c>
      <c r="N4141" s="11">
        <f t="shared" si="645"/>
        <v>2.4</v>
      </c>
      <c r="O4141" s="11">
        <f t="shared" si="646"/>
        <v>0.08</v>
      </c>
      <c r="P4141" s="12">
        <f t="shared" si="647"/>
        <v>-2.4</v>
      </c>
      <c r="Q4141" s="17" t="str">
        <f t="shared" si="649"/>
        <v>Ecart négatif</v>
      </c>
    </row>
    <row r="4142" spans="1:18" x14ac:dyDescent="0.3">
      <c r="A4142" s="34" t="str">
        <f>base!J4142</f>
        <v>LM</v>
      </c>
      <c r="B4142" s="34" t="str">
        <f>base!V4142</f>
        <v>75008</v>
      </c>
      <c r="C4142" s="37">
        <v>75</v>
      </c>
      <c r="D4142" s="36">
        <f>base!H4142</f>
        <v>186.73</v>
      </c>
      <c r="E4142" s="44"/>
      <c r="F4142" s="16">
        <f>base!W4142</f>
        <v>0</v>
      </c>
      <c r="G4142" s="11">
        <f t="shared" si="640"/>
        <v>0</v>
      </c>
      <c r="H4142" s="11">
        <f t="shared" si="641"/>
        <v>0</v>
      </c>
      <c r="I4142" s="11">
        <f t="shared" si="642"/>
        <v>0</v>
      </c>
      <c r="J4142" s="12">
        <f t="shared" si="643"/>
        <v>0</v>
      </c>
      <c r="K4142" s="17" t="str">
        <f t="shared" si="648"/>
        <v>Pas d'écart</v>
      </c>
      <c r="L4142" s="16">
        <f>base!X4142</f>
        <v>0</v>
      </c>
      <c r="M4142" s="11">
        <f t="shared" si="644"/>
        <v>0</v>
      </c>
      <c r="N4142" s="11">
        <f t="shared" si="645"/>
        <v>0</v>
      </c>
      <c r="O4142" s="11">
        <f t="shared" si="646"/>
        <v>0</v>
      </c>
      <c r="P4142" s="12">
        <f t="shared" si="647"/>
        <v>0</v>
      </c>
      <c r="Q4142" s="17" t="str">
        <f t="shared" si="649"/>
        <v>Pas d'écart</v>
      </c>
    </row>
    <row r="4143" spans="1:18" x14ac:dyDescent="0.3">
      <c r="A4143" s="34" t="str">
        <f>base!J4143</f>
        <v>LS</v>
      </c>
      <c r="B4143" s="34" t="str">
        <f>base!V4143</f>
        <v>63110</v>
      </c>
      <c r="C4143" s="37">
        <v>35</v>
      </c>
      <c r="D4143" s="36">
        <f>base!H4143</f>
        <v>138.85</v>
      </c>
      <c r="E4143" s="44"/>
      <c r="F4143" s="16">
        <f>base!W4143</f>
        <v>40.270000000000003</v>
      </c>
      <c r="G4143" s="11">
        <f t="shared" si="640"/>
        <v>0.29002520705797624</v>
      </c>
      <c r="H4143" s="11">
        <f t="shared" si="641"/>
        <v>37.4895</v>
      </c>
      <c r="I4143" s="11">
        <f t="shared" si="642"/>
        <v>0.27</v>
      </c>
      <c r="J4143" s="12">
        <f t="shared" si="643"/>
        <v>2.7805000000000035</v>
      </c>
      <c r="K4143" s="17" t="str">
        <f t="shared" si="648"/>
        <v>Ecart positif</v>
      </c>
      <c r="L4143" s="16">
        <f>base!X4143</f>
        <v>0</v>
      </c>
      <c r="M4143" s="11">
        <f t="shared" si="644"/>
        <v>0</v>
      </c>
      <c r="N4143" s="11">
        <f t="shared" si="645"/>
        <v>0</v>
      </c>
      <c r="O4143" s="11">
        <f t="shared" si="646"/>
        <v>0</v>
      </c>
      <c r="P4143" s="12">
        <f t="shared" si="647"/>
        <v>0</v>
      </c>
      <c r="Q4143" s="17" t="str">
        <f t="shared" si="649"/>
        <v>Pas d'écart</v>
      </c>
    </row>
    <row r="4144" spans="1:18" x14ac:dyDescent="0.3">
      <c r="A4144" s="34" t="str">
        <f>base!J4144</f>
        <v>RM</v>
      </c>
      <c r="B4144" s="34" t="str">
        <f>base!V4144</f>
        <v>84000</v>
      </c>
      <c r="C4144" s="37">
        <v>84</v>
      </c>
      <c r="D4144" s="36">
        <f>base!H4144</f>
        <v>192.58</v>
      </c>
      <c r="E4144" s="44"/>
      <c r="F4144" s="16">
        <f>base!W4144</f>
        <v>0</v>
      </c>
      <c r="G4144" s="11">
        <f t="shared" si="640"/>
        <v>0</v>
      </c>
      <c r="H4144" s="11">
        <f t="shared" si="641"/>
        <v>55.848199999999999</v>
      </c>
      <c r="I4144" s="11">
        <f t="shared" si="642"/>
        <v>0.28999999999999998</v>
      </c>
      <c r="J4144" s="12">
        <f t="shared" si="643"/>
        <v>-55.848199999999999</v>
      </c>
      <c r="K4144" s="17" t="str">
        <f t="shared" si="648"/>
        <v>Ecart négatif</v>
      </c>
      <c r="L4144" s="16">
        <f>base!X4144</f>
        <v>36.590000000000003</v>
      </c>
      <c r="M4144" s="11">
        <f t="shared" si="644"/>
        <v>0.1899989614705577</v>
      </c>
      <c r="N4144" s="11">
        <f t="shared" si="645"/>
        <v>36.590200000000003</v>
      </c>
      <c r="O4144" s="11">
        <f t="shared" si="646"/>
        <v>0.19</v>
      </c>
      <c r="P4144" s="12">
        <f t="shared" si="647"/>
        <v>-1.9999999999953388E-4</v>
      </c>
      <c r="Q4144" s="17" t="str">
        <f t="shared" si="649"/>
        <v>Ecart négatif</v>
      </c>
      <c r="R4144" s="38"/>
    </row>
    <row r="4145" spans="1:18" x14ac:dyDescent="0.3">
      <c r="A4145" s="34" t="str">
        <f>base!J4145</f>
        <v>DRM</v>
      </c>
      <c r="B4145" s="34" t="str">
        <f>base!V4145</f>
        <v>38510</v>
      </c>
      <c r="C4145" s="37">
        <v>38</v>
      </c>
      <c r="D4145" s="36">
        <f>base!H4145</f>
        <v>183.04</v>
      </c>
      <c r="E4145" s="44"/>
      <c r="F4145" s="16">
        <f>base!W4145</f>
        <v>0</v>
      </c>
      <c r="G4145" s="11">
        <f t="shared" si="640"/>
        <v>0</v>
      </c>
      <c r="H4145" s="11">
        <f t="shared" si="641"/>
        <v>49.4208</v>
      </c>
      <c r="I4145" s="11">
        <f t="shared" si="642"/>
        <v>0.27</v>
      </c>
      <c r="J4145" s="12">
        <f t="shared" si="643"/>
        <v>-49.4208</v>
      </c>
      <c r="K4145" s="17" t="str">
        <f t="shared" si="648"/>
        <v>Ecart négatif</v>
      </c>
      <c r="L4145" s="16">
        <f>base!X4145</f>
        <v>0</v>
      </c>
      <c r="M4145" s="11">
        <f t="shared" si="644"/>
        <v>0</v>
      </c>
      <c r="N4145" s="11">
        <f t="shared" si="645"/>
        <v>0</v>
      </c>
      <c r="O4145" s="11">
        <f t="shared" si="646"/>
        <v>0</v>
      </c>
      <c r="P4145" s="12">
        <f t="shared" si="647"/>
        <v>0</v>
      </c>
      <c r="Q4145" s="17" t="str">
        <f t="shared" si="649"/>
        <v>Pas d'écart</v>
      </c>
    </row>
    <row r="4146" spans="1:18" x14ac:dyDescent="0.3">
      <c r="A4146" s="34" t="str">
        <f>base!J4146</f>
        <v>RM</v>
      </c>
      <c r="B4146" s="34" t="str">
        <f>base!V4146</f>
        <v>75013</v>
      </c>
      <c r="C4146" s="37">
        <v>75</v>
      </c>
      <c r="D4146" s="36">
        <f>base!H4146</f>
        <v>32</v>
      </c>
      <c r="E4146" s="44"/>
      <c r="F4146" s="16">
        <f>base!W4146</f>
        <v>0</v>
      </c>
      <c r="G4146" s="11">
        <f t="shared" si="640"/>
        <v>0</v>
      </c>
      <c r="H4146" s="11">
        <f t="shared" si="641"/>
        <v>0</v>
      </c>
      <c r="I4146" s="11">
        <f t="shared" si="642"/>
        <v>0</v>
      </c>
      <c r="J4146" s="12">
        <f t="shared" si="643"/>
        <v>0</v>
      </c>
      <c r="K4146" s="17" t="str">
        <f t="shared" si="648"/>
        <v>Pas d'écart</v>
      </c>
      <c r="L4146" s="16">
        <f>base!X4146</f>
        <v>0</v>
      </c>
      <c r="M4146" s="11">
        <f t="shared" si="644"/>
        <v>0</v>
      </c>
      <c r="N4146" s="11">
        <f t="shared" si="645"/>
        <v>0</v>
      </c>
      <c r="O4146" s="11">
        <f t="shared" si="646"/>
        <v>0</v>
      </c>
      <c r="P4146" s="12">
        <f t="shared" si="647"/>
        <v>0</v>
      </c>
      <c r="Q4146" s="17" t="str">
        <f t="shared" si="649"/>
        <v>Pas d'écart</v>
      </c>
    </row>
    <row r="4147" spans="1:18" x14ac:dyDescent="0.3">
      <c r="A4147" s="34" t="str">
        <f>base!J4147</f>
        <v>LM</v>
      </c>
      <c r="B4147" s="34" t="str">
        <f>base!V4147</f>
        <v>51320</v>
      </c>
      <c r="C4147" s="37">
        <v>51</v>
      </c>
      <c r="D4147" s="36">
        <f>base!H4147</f>
        <v>40</v>
      </c>
      <c r="E4147" s="44"/>
      <c r="F4147" s="16">
        <f>base!W4147</f>
        <v>10</v>
      </c>
      <c r="G4147" s="11">
        <f t="shared" si="640"/>
        <v>0.25</v>
      </c>
      <c r="H4147" s="11">
        <f t="shared" si="641"/>
        <v>10</v>
      </c>
      <c r="I4147" s="11">
        <f t="shared" si="642"/>
        <v>0.25</v>
      </c>
      <c r="J4147" s="12">
        <f t="shared" si="643"/>
        <v>0</v>
      </c>
      <c r="K4147" s="17" t="str">
        <f t="shared" si="648"/>
        <v>Pas d'écart</v>
      </c>
      <c r="L4147" s="16">
        <f>base!X4147</f>
        <v>0</v>
      </c>
      <c r="M4147" s="11">
        <f t="shared" si="644"/>
        <v>0</v>
      </c>
      <c r="N4147" s="11">
        <f t="shared" si="645"/>
        <v>10</v>
      </c>
      <c r="O4147" s="11">
        <f t="shared" si="646"/>
        <v>0.25</v>
      </c>
      <c r="P4147" s="12">
        <f t="shared" si="647"/>
        <v>-10</v>
      </c>
      <c r="Q4147" s="17" t="str">
        <f t="shared" si="649"/>
        <v>Ecart négatif</v>
      </c>
    </row>
    <row r="4148" spans="1:18" x14ac:dyDescent="0.3">
      <c r="A4148" s="34" t="str">
        <f>base!J4148</f>
        <v>RS</v>
      </c>
      <c r="B4148" s="34" t="str">
        <f>base!V4148</f>
        <v>79500</v>
      </c>
      <c r="C4148" s="37">
        <v>79</v>
      </c>
      <c r="D4148" s="36">
        <f>base!H4148</f>
        <v>117.76</v>
      </c>
      <c r="E4148" s="44"/>
      <c r="F4148" s="16">
        <f>base!W4148</f>
        <v>0</v>
      </c>
      <c r="G4148" s="11">
        <f t="shared" si="640"/>
        <v>0</v>
      </c>
      <c r="H4148" s="11">
        <f t="shared" si="641"/>
        <v>24.729600000000001</v>
      </c>
      <c r="I4148" s="11">
        <f t="shared" si="642"/>
        <v>0.21</v>
      </c>
      <c r="J4148" s="12">
        <f t="shared" si="643"/>
        <v>-24.729600000000001</v>
      </c>
      <c r="K4148" s="17" t="str">
        <f t="shared" si="648"/>
        <v>Ecart négatif</v>
      </c>
      <c r="L4148" s="16">
        <f>base!X4148</f>
        <v>14.13</v>
      </c>
      <c r="M4148" s="11">
        <f t="shared" si="644"/>
        <v>0.1199898097826087</v>
      </c>
      <c r="N4148" s="11">
        <f t="shared" si="645"/>
        <v>14.1312</v>
      </c>
      <c r="O4148" s="11">
        <f t="shared" si="646"/>
        <v>0.12</v>
      </c>
      <c r="P4148" s="12">
        <f t="shared" si="647"/>
        <v>-1.1999999999989797E-3</v>
      </c>
      <c r="Q4148" s="17" t="str">
        <f t="shared" si="649"/>
        <v>Ecart négatif</v>
      </c>
      <c r="R4148" s="38"/>
    </row>
    <row r="4149" spans="1:18" x14ac:dyDescent="0.3">
      <c r="A4149" s="34">
        <f>base!J4149</f>
        <v>0</v>
      </c>
      <c r="B4149" s="34" t="str">
        <f>base!V4149</f>
        <v>77184</v>
      </c>
      <c r="C4149" s="37">
        <v>77</v>
      </c>
      <c r="D4149" s="36">
        <f>base!H4149</f>
        <v>69</v>
      </c>
      <c r="E4149" s="44"/>
      <c r="F4149" s="16">
        <f>base!W4149</f>
        <v>0</v>
      </c>
      <c r="G4149" s="11">
        <f t="shared" si="640"/>
        <v>0</v>
      </c>
      <c r="H4149" s="11">
        <f t="shared" si="641"/>
        <v>0</v>
      </c>
      <c r="I4149" s="11">
        <f t="shared" si="642"/>
        <v>0</v>
      </c>
      <c r="J4149" s="12">
        <f t="shared" si="643"/>
        <v>0</v>
      </c>
      <c r="K4149" s="17" t="str">
        <f t="shared" si="648"/>
        <v>Pas d'écart</v>
      </c>
      <c r="L4149" s="16">
        <f>base!X4149</f>
        <v>0</v>
      </c>
      <c r="M4149" s="11">
        <f t="shared" si="644"/>
        <v>0</v>
      </c>
      <c r="N4149" s="11">
        <f t="shared" si="645"/>
        <v>0</v>
      </c>
      <c r="O4149" s="11">
        <f t="shared" si="646"/>
        <v>0</v>
      </c>
      <c r="P4149" s="12">
        <f t="shared" si="647"/>
        <v>0</v>
      </c>
      <c r="Q4149" s="17" t="str">
        <f t="shared" si="649"/>
        <v>Pas d'écart</v>
      </c>
    </row>
    <row r="4150" spans="1:18" x14ac:dyDescent="0.3">
      <c r="A4150" s="34" t="str">
        <f>base!J4150</f>
        <v>DLM</v>
      </c>
      <c r="B4150" s="34" t="str">
        <f>base!V4150</f>
        <v>69800</v>
      </c>
      <c r="C4150" s="37">
        <v>69</v>
      </c>
      <c r="D4150" s="36">
        <f>base!H4150</f>
        <v>151</v>
      </c>
      <c r="E4150" s="44"/>
      <c r="F4150" s="16">
        <f>base!W4150</f>
        <v>0</v>
      </c>
      <c r="G4150" s="11">
        <f t="shared" si="640"/>
        <v>0</v>
      </c>
      <c r="H4150" s="11">
        <f t="shared" si="641"/>
        <v>40.770000000000003</v>
      </c>
      <c r="I4150" s="11">
        <f t="shared" si="642"/>
        <v>0.27</v>
      </c>
      <c r="J4150" s="12">
        <f t="shared" si="643"/>
        <v>-40.770000000000003</v>
      </c>
      <c r="K4150" s="17" t="str">
        <f t="shared" si="648"/>
        <v>Ecart négatif</v>
      </c>
      <c r="L4150" s="16">
        <f>base!X4150</f>
        <v>0</v>
      </c>
      <c r="M4150" s="11">
        <f t="shared" si="644"/>
        <v>0</v>
      </c>
      <c r="N4150" s="11">
        <f t="shared" si="645"/>
        <v>0</v>
      </c>
      <c r="O4150" s="11">
        <f t="shared" si="646"/>
        <v>0</v>
      </c>
      <c r="P4150" s="12">
        <f t="shared" si="647"/>
        <v>0</v>
      </c>
      <c r="Q4150" s="17" t="str">
        <f t="shared" si="649"/>
        <v>Pas d'écart</v>
      </c>
    </row>
    <row r="4151" spans="1:18" x14ac:dyDescent="0.3">
      <c r="A4151" s="34" t="str">
        <f>base!J4151</f>
        <v>RS</v>
      </c>
      <c r="B4151" s="34" t="str">
        <f>base!V4151</f>
        <v>44470</v>
      </c>
      <c r="C4151" s="37">
        <v>44</v>
      </c>
      <c r="D4151" s="36">
        <f>base!H4151</f>
        <v>32.6</v>
      </c>
      <c r="E4151" s="44"/>
      <c r="F4151" s="16">
        <f>base!W4151</f>
        <v>0</v>
      </c>
      <c r="G4151" s="11">
        <f t="shared" si="640"/>
        <v>0</v>
      </c>
      <c r="H4151" s="11">
        <f t="shared" si="641"/>
        <v>8.8020000000000014</v>
      </c>
      <c r="I4151" s="11">
        <f t="shared" si="642"/>
        <v>0.27</v>
      </c>
      <c r="J4151" s="12">
        <f t="shared" si="643"/>
        <v>-8.8020000000000014</v>
      </c>
      <c r="K4151" s="17" t="str">
        <f t="shared" si="648"/>
        <v>Ecart négatif</v>
      </c>
      <c r="L4151" s="16">
        <f>base!X4151</f>
        <v>0</v>
      </c>
      <c r="M4151" s="11">
        <f t="shared" si="644"/>
        <v>0</v>
      </c>
      <c r="N4151" s="11">
        <f t="shared" si="645"/>
        <v>0</v>
      </c>
      <c r="O4151" s="11">
        <f t="shared" si="646"/>
        <v>0</v>
      </c>
      <c r="P4151" s="12">
        <f t="shared" si="647"/>
        <v>0</v>
      </c>
      <c r="Q4151" s="17" t="str">
        <f t="shared" si="649"/>
        <v>Pas d'écart</v>
      </c>
    </row>
    <row r="4152" spans="1:18" x14ac:dyDescent="0.3">
      <c r="A4152" s="34" t="str">
        <f>base!J4152</f>
        <v>RM</v>
      </c>
      <c r="B4152" s="34" t="str">
        <f>base!V4152</f>
        <v>44000</v>
      </c>
      <c r="C4152" s="37">
        <v>44</v>
      </c>
      <c r="D4152" s="36">
        <f>base!H4152</f>
        <v>211</v>
      </c>
      <c r="E4152" s="44"/>
      <c r="F4152" s="16">
        <f>base!W4152</f>
        <v>0</v>
      </c>
      <c r="G4152" s="11">
        <f t="shared" si="640"/>
        <v>0</v>
      </c>
      <c r="H4152" s="11">
        <f t="shared" si="641"/>
        <v>56.970000000000006</v>
      </c>
      <c r="I4152" s="11">
        <f t="shared" si="642"/>
        <v>0.27</v>
      </c>
      <c r="J4152" s="12">
        <f t="shared" si="643"/>
        <v>-56.970000000000006</v>
      </c>
      <c r="K4152" s="17" t="str">
        <f t="shared" si="648"/>
        <v>Ecart négatif</v>
      </c>
      <c r="L4152" s="16">
        <f>base!X4152</f>
        <v>0</v>
      </c>
      <c r="M4152" s="11">
        <f t="shared" si="644"/>
        <v>0</v>
      </c>
      <c r="N4152" s="11">
        <f t="shared" si="645"/>
        <v>0</v>
      </c>
      <c r="O4152" s="11">
        <f t="shared" si="646"/>
        <v>0</v>
      </c>
      <c r="P4152" s="12">
        <f t="shared" si="647"/>
        <v>0</v>
      </c>
      <c r="Q4152" s="17" t="str">
        <f t="shared" si="649"/>
        <v>Pas d'écart</v>
      </c>
    </row>
    <row r="4153" spans="1:18" x14ac:dyDescent="0.3">
      <c r="A4153" s="34" t="str">
        <f>base!J4153</f>
        <v>LS</v>
      </c>
      <c r="B4153" s="34" t="str">
        <f>base!V4153</f>
        <v>59175</v>
      </c>
      <c r="C4153" s="37">
        <v>59</v>
      </c>
      <c r="D4153" s="36">
        <f>base!H4153</f>
        <v>149.97999999999999</v>
      </c>
      <c r="E4153" s="44"/>
      <c r="F4153" s="16">
        <f>base!W4153</f>
        <v>28.5</v>
      </c>
      <c r="G4153" s="11">
        <f t="shared" si="640"/>
        <v>0.19002533671156155</v>
      </c>
      <c r="H4153" s="11">
        <f t="shared" si="641"/>
        <v>28.496199999999998</v>
      </c>
      <c r="I4153" s="11">
        <f t="shared" si="642"/>
        <v>0.19</v>
      </c>
      <c r="J4153" s="12">
        <f t="shared" si="643"/>
        <v>3.8000000000018019E-3</v>
      </c>
      <c r="K4153" s="17" t="str">
        <f t="shared" si="648"/>
        <v>Ecart positif</v>
      </c>
      <c r="L4153" s="16">
        <f>base!X4153</f>
        <v>0</v>
      </c>
      <c r="M4153" s="11">
        <f t="shared" si="644"/>
        <v>0</v>
      </c>
      <c r="N4153" s="11">
        <f t="shared" si="645"/>
        <v>0</v>
      </c>
      <c r="O4153" s="11">
        <f t="shared" si="646"/>
        <v>0</v>
      </c>
      <c r="P4153" s="12">
        <f t="shared" si="647"/>
        <v>0</v>
      </c>
      <c r="Q4153" s="17" t="str">
        <f t="shared" si="649"/>
        <v>Pas d'écart</v>
      </c>
    </row>
    <row r="4154" spans="1:18" x14ac:dyDescent="0.3">
      <c r="A4154" s="34" t="str">
        <f>base!J4154</f>
        <v>LS</v>
      </c>
      <c r="B4154" s="34" t="str">
        <f>base!V4154</f>
        <v>45000</v>
      </c>
      <c r="C4154" s="37">
        <v>44</v>
      </c>
      <c r="D4154" s="36">
        <f>base!H4154</f>
        <v>809.27</v>
      </c>
      <c r="E4154" s="44"/>
      <c r="F4154" s="16">
        <f>base!W4154</f>
        <v>169.95</v>
      </c>
      <c r="G4154" s="11">
        <f t="shared" si="640"/>
        <v>0.2100040777490825</v>
      </c>
      <c r="H4154" s="11">
        <f t="shared" si="641"/>
        <v>218.50290000000001</v>
      </c>
      <c r="I4154" s="11">
        <f t="shared" si="642"/>
        <v>0.27</v>
      </c>
      <c r="J4154" s="12">
        <f t="shared" si="643"/>
        <v>-48.552900000000022</v>
      </c>
      <c r="K4154" s="17" t="str">
        <f t="shared" si="648"/>
        <v>Ecart négatif</v>
      </c>
      <c r="L4154" s="16">
        <f>base!X4154</f>
        <v>0</v>
      </c>
      <c r="M4154" s="11">
        <f t="shared" si="644"/>
        <v>0</v>
      </c>
      <c r="N4154" s="11">
        <f t="shared" si="645"/>
        <v>0</v>
      </c>
      <c r="O4154" s="11">
        <f t="shared" si="646"/>
        <v>0</v>
      </c>
      <c r="P4154" s="12">
        <f t="shared" si="647"/>
        <v>0</v>
      </c>
      <c r="Q4154" s="17" t="str">
        <f t="shared" si="649"/>
        <v>Pas d'écart</v>
      </c>
    </row>
    <row r="4155" spans="1:18" x14ac:dyDescent="0.3">
      <c r="A4155" s="34">
        <f>base!J4155</f>
        <v>0</v>
      </c>
      <c r="B4155" s="34" t="str">
        <f>base!V4155</f>
        <v>44240</v>
      </c>
      <c r="C4155" s="37">
        <v>44</v>
      </c>
      <c r="D4155" s="36">
        <f>base!H4155</f>
        <v>40</v>
      </c>
      <c r="E4155" s="44"/>
      <c r="F4155" s="16">
        <f>base!W4155</f>
        <v>0</v>
      </c>
      <c r="G4155" s="11">
        <f t="shared" si="640"/>
        <v>0</v>
      </c>
      <c r="H4155" s="11">
        <f t="shared" si="641"/>
        <v>10.8</v>
      </c>
      <c r="I4155" s="11">
        <f t="shared" si="642"/>
        <v>0.27</v>
      </c>
      <c r="J4155" s="12">
        <f t="shared" si="643"/>
        <v>-10.8</v>
      </c>
      <c r="K4155" s="17" t="str">
        <f t="shared" si="648"/>
        <v>Ecart négatif</v>
      </c>
      <c r="L4155" s="16">
        <f>base!X4155</f>
        <v>0</v>
      </c>
      <c r="M4155" s="11">
        <f t="shared" si="644"/>
        <v>0</v>
      </c>
      <c r="N4155" s="11">
        <f t="shared" si="645"/>
        <v>0</v>
      </c>
      <c r="O4155" s="11">
        <f t="shared" si="646"/>
        <v>0</v>
      </c>
      <c r="P4155" s="12">
        <f t="shared" si="647"/>
        <v>0</v>
      </c>
      <c r="Q4155" s="17" t="str">
        <f t="shared" si="649"/>
        <v>Pas d'écart</v>
      </c>
    </row>
    <row r="4156" spans="1:18" x14ac:dyDescent="0.3">
      <c r="A4156" s="34">
        <f>base!J4156</f>
        <v>0</v>
      </c>
      <c r="B4156" s="34" t="str">
        <f>base!V4156</f>
        <v>44240</v>
      </c>
      <c r="C4156" s="37">
        <v>44</v>
      </c>
      <c r="D4156" s="36">
        <f>base!H4156</f>
        <v>31</v>
      </c>
      <c r="E4156" s="44"/>
      <c r="F4156" s="16">
        <f>base!W4156</f>
        <v>0</v>
      </c>
      <c r="G4156" s="11">
        <f t="shared" si="640"/>
        <v>0</v>
      </c>
      <c r="H4156" s="11">
        <f t="shared" si="641"/>
        <v>8.370000000000001</v>
      </c>
      <c r="I4156" s="11">
        <f t="shared" si="642"/>
        <v>0.27</v>
      </c>
      <c r="J4156" s="12">
        <f t="shared" si="643"/>
        <v>-8.370000000000001</v>
      </c>
      <c r="K4156" s="17" t="str">
        <f t="shared" si="648"/>
        <v>Ecart négatif</v>
      </c>
      <c r="L4156" s="16">
        <f>base!X4156</f>
        <v>0</v>
      </c>
      <c r="M4156" s="11">
        <f t="shared" si="644"/>
        <v>0</v>
      </c>
      <c r="N4156" s="11">
        <f t="shared" si="645"/>
        <v>0</v>
      </c>
      <c r="O4156" s="11">
        <f t="shared" si="646"/>
        <v>0</v>
      </c>
      <c r="P4156" s="12">
        <f t="shared" si="647"/>
        <v>0</v>
      </c>
      <c r="Q4156" s="17" t="str">
        <f t="shared" si="649"/>
        <v>Pas d'écart</v>
      </c>
    </row>
    <row r="4157" spans="1:18" x14ac:dyDescent="0.3">
      <c r="A4157" s="34">
        <f>base!J4157</f>
        <v>0</v>
      </c>
      <c r="B4157" s="34" t="str">
        <f>base!V4157</f>
        <v>44240</v>
      </c>
      <c r="C4157" s="37">
        <v>44</v>
      </c>
      <c r="D4157" s="36">
        <f>base!H4157</f>
        <v>31.6</v>
      </c>
      <c r="E4157" s="44"/>
      <c r="F4157" s="16">
        <f>base!W4157</f>
        <v>0</v>
      </c>
      <c r="G4157" s="11">
        <f t="shared" si="640"/>
        <v>0</v>
      </c>
      <c r="H4157" s="11">
        <f t="shared" si="641"/>
        <v>8.5320000000000018</v>
      </c>
      <c r="I4157" s="11">
        <f t="shared" si="642"/>
        <v>0.27</v>
      </c>
      <c r="J4157" s="12">
        <f t="shared" si="643"/>
        <v>-8.5320000000000018</v>
      </c>
      <c r="K4157" s="17" t="str">
        <f t="shared" si="648"/>
        <v>Ecart négatif</v>
      </c>
      <c r="L4157" s="16">
        <f>base!X4157</f>
        <v>0</v>
      </c>
      <c r="M4157" s="11">
        <f t="shared" si="644"/>
        <v>0</v>
      </c>
      <c r="N4157" s="11">
        <f t="shared" si="645"/>
        <v>0</v>
      </c>
      <c r="O4157" s="11">
        <f t="shared" si="646"/>
        <v>0</v>
      </c>
      <c r="P4157" s="12">
        <f t="shared" si="647"/>
        <v>0</v>
      </c>
      <c r="Q4157" s="17" t="str">
        <f t="shared" si="649"/>
        <v>Pas d'écart</v>
      </c>
    </row>
    <row r="4158" spans="1:18" x14ac:dyDescent="0.3">
      <c r="A4158" s="34" t="str">
        <f>base!J4158</f>
        <v>Metre Aller</v>
      </c>
      <c r="B4158" s="34" t="str">
        <f>base!V4158</f>
        <v>77184</v>
      </c>
      <c r="C4158" s="37">
        <v>77</v>
      </c>
      <c r="D4158" s="36">
        <f>base!H4158</f>
        <v>163</v>
      </c>
      <c r="E4158" s="44"/>
      <c r="F4158" s="16">
        <f>base!W4158</f>
        <v>0</v>
      </c>
      <c r="G4158" s="11">
        <f t="shared" si="640"/>
        <v>0</v>
      </c>
      <c r="H4158" s="11">
        <f t="shared" si="641"/>
        <v>0</v>
      </c>
      <c r="I4158" s="11">
        <f t="shared" si="642"/>
        <v>0</v>
      </c>
      <c r="J4158" s="12">
        <f t="shared" si="643"/>
        <v>0</v>
      </c>
      <c r="K4158" s="17" t="str">
        <f t="shared" si="648"/>
        <v>Pas d'écart</v>
      </c>
      <c r="L4158" s="16">
        <f>base!X4158</f>
        <v>0</v>
      </c>
      <c r="M4158" s="11">
        <f t="shared" si="644"/>
        <v>0</v>
      </c>
      <c r="N4158" s="11">
        <f t="shared" si="645"/>
        <v>0</v>
      </c>
      <c r="O4158" s="11">
        <f t="shared" si="646"/>
        <v>0</v>
      </c>
      <c r="P4158" s="12">
        <f t="shared" si="647"/>
        <v>0</v>
      </c>
      <c r="Q4158" s="17" t="str">
        <f t="shared" si="649"/>
        <v>Pas d'écart</v>
      </c>
    </row>
    <row r="4159" spans="1:18" x14ac:dyDescent="0.3">
      <c r="A4159" s="34">
        <f>base!J4159</f>
        <v>0</v>
      </c>
      <c r="B4159" s="34" t="str">
        <f>base!V4159</f>
        <v>77184</v>
      </c>
      <c r="C4159" s="37">
        <v>77</v>
      </c>
      <c r="D4159" s="36">
        <f>base!H4159</f>
        <v>37.19</v>
      </c>
      <c r="E4159" s="44"/>
      <c r="F4159" s="16">
        <f>base!W4159</f>
        <v>0</v>
      </c>
      <c r="G4159" s="11">
        <f t="shared" si="640"/>
        <v>0</v>
      </c>
      <c r="H4159" s="11">
        <f t="shared" si="641"/>
        <v>0</v>
      </c>
      <c r="I4159" s="11">
        <f t="shared" si="642"/>
        <v>0</v>
      </c>
      <c r="J4159" s="12">
        <f t="shared" si="643"/>
        <v>0</v>
      </c>
      <c r="K4159" s="17" t="str">
        <f t="shared" si="648"/>
        <v>Pas d'écart</v>
      </c>
      <c r="L4159" s="16">
        <f>base!X4159</f>
        <v>0</v>
      </c>
      <c r="M4159" s="11">
        <f t="shared" si="644"/>
        <v>0</v>
      </c>
      <c r="N4159" s="11">
        <f t="shared" si="645"/>
        <v>0</v>
      </c>
      <c r="O4159" s="11">
        <f t="shared" si="646"/>
        <v>0</v>
      </c>
      <c r="P4159" s="12">
        <f t="shared" si="647"/>
        <v>0</v>
      </c>
      <c r="Q4159" s="17" t="str">
        <f t="shared" si="649"/>
        <v>Pas d'écart</v>
      </c>
    </row>
    <row r="4160" spans="1:18" x14ac:dyDescent="0.3">
      <c r="A4160" s="34" t="str">
        <f>base!J4160</f>
        <v>LS</v>
      </c>
      <c r="B4160" s="34" t="str">
        <f>base!V4160</f>
        <v>76320</v>
      </c>
      <c r="C4160" s="37">
        <v>76</v>
      </c>
      <c r="D4160" s="36">
        <f>base!H4160</f>
        <v>40</v>
      </c>
      <c r="E4160" s="44"/>
      <c r="F4160" s="16">
        <f>base!W4160</f>
        <v>6.8</v>
      </c>
      <c r="G4160" s="11">
        <f t="shared" si="640"/>
        <v>0.16999999999999998</v>
      </c>
      <c r="H4160" s="11">
        <f t="shared" si="641"/>
        <v>6.8000000000000007</v>
      </c>
      <c r="I4160" s="11">
        <f t="shared" si="642"/>
        <v>0.17</v>
      </c>
      <c r="J4160" s="12">
        <f t="shared" si="643"/>
        <v>0</v>
      </c>
      <c r="K4160" s="17" t="str">
        <f t="shared" si="648"/>
        <v>Pas d'écart</v>
      </c>
      <c r="L4160" s="16">
        <f>base!X4160</f>
        <v>0</v>
      </c>
      <c r="M4160" s="11">
        <f t="shared" si="644"/>
        <v>0</v>
      </c>
      <c r="N4160" s="11">
        <f t="shared" si="645"/>
        <v>6.8000000000000007</v>
      </c>
      <c r="O4160" s="11">
        <f t="shared" si="646"/>
        <v>0.17</v>
      </c>
      <c r="P4160" s="12">
        <f t="shared" si="647"/>
        <v>-6.8000000000000007</v>
      </c>
      <c r="Q4160" s="17" t="str">
        <f t="shared" si="649"/>
        <v>Ecart négatif</v>
      </c>
    </row>
    <row r="4161" spans="1:18" x14ac:dyDescent="0.3">
      <c r="A4161" s="34" t="str">
        <f>base!J4161</f>
        <v>RS</v>
      </c>
      <c r="B4161" s="34" t="str">
        <f>base!V4161</f>
        <v>76570</v>
      </c>
      <c r="C4161" s="37">
        <v>76</v>
      </c>
      <c r="D4161" s="36">
        <f>base!H4161</f>
        <v>180</v>
      </c>
      <c r="E4161" s="44"/>
      <c r="F4161" s="16">
        <f>base!W4161</f>
        <v>0</v>
      </c>
      <c r="G4161" s="11">
        <f t="shared" si="640"/>
        <v>0</v>
      </c>
      <c r="H4161" s="11">
        <f t="shared" si="641"/>
        <v>30.6</v>
      </c>
      <c r="I4161" s="11">
        <f t="shared" si="642"/>
        <v>0.17</v>
      </c>
      <c r="J4161" s="12">
        <f t="shared" si="643"/>
        <v>-30.6</v>
      </c>
      <c r="K4161" s="17" t="str">
        <f t="shared" si="648"/>
        <v>Ecart négatif</v>
      </c>
      <c r="L4161" s="16">
        <f>base!X4161</f>
        <v>30.6</v>
      </c>
      <c r="M4161" s="11">
        <f t="shared" si="644"/>
        <v>0.17</v>
      </c>
      <c r="N4161" s="11">
        <f t="shared" si="645"/>
        <v>30.6</v>
      </c>
      <c r="O4161" s="11">
        <f t="shared" si="646"/>
        <v>0.17</v>
      </c>
      <c r="P4161" s="12">
        <f t="shared" si="647"/>
        <v>0</v>
      </c>
      <c r="Q4161" s="17" t="str">
        <f t="shared" si="649"/>
        <v>Pas d'écart</v>
      </c>
    </row>
    <row r="4162" spans="1:18" x14ac:dyDescent="0.3">
      <c r="A4162" s="34" t="str">
        <f>base!J4162</f>
        <v>DRS</v>
      </c>
      <c r="B4162" s="34" t="str">
        <f>base!V4162</f>
        <v>34000</v>
      </c>
      <c r="C4162" s="37">
        <v>34</v>
      </c>
      <c r="D4162" s="36">
        <f>base!H4162</f>
        <v>0</v>
      </c>
      <c r="E4162" s="44"/>
      <c r="F4162" s="16">
        <f>base!W4162</f>
        <v>0</v>
      </c>
      <c r="G4162" s="11" t="e">
        <f t="shared" ref="G4162:G4225" si="650">F4162/D4162</f>
        <v>#DIV/0!</v>
      </c>
      <c r="H4162" s="11">
        <f t="shared" ref="H4162:H4225" si="651">VLOOKUP(C4162,tout_cout_traction,2,FALSE)*D4162</f>
        <v>0</v>
      </c>
      <c r="I4162" s="11" t="e">
        <f t="shared" ref="I4162:I4225" si="652">H4162/D4162</f>
        <v>#DIV/0!</v>
      </c>
      <c r="J4162" s="12">
        <f t="shared" ref="J4162:J4225" si="653">F4162-H4162</f>
        <v>0</v>
      </c>
      <c r="K4162" s="17" t="str">
        <f t="shared" si="648"/>
        <v>Pas d'écart</v>
      </c>
      <c r="L4162" s="16">
        <f>base!X4162</f>
        <v>0</v>
      </c>
      <c r="M4162" s="11" t="e">
        <f t="shared" ref="M4162:M4225" si="654">L4162/D4162</f>
        <v>#DIV/0!</v>
      </c>
      <c r="N4162" s="11">
        <f t="shared" ref="N4162:N4225" si="655">VLOOKUP(C4162,tout_cout_traction,3,FALSE)*D4162</f>
        <v>0</v>
      </c>
      <c r="O4162" s="11" t="e">
        <f t="shared" ref="O4162:O4225" si="656">N4162/D4162</f>
        <v>#DIV/0!</v>
      </c>
      <c r="P4162" s="12">
        <f t="shared" ref="P4162:P4225" si="657">L4162-N4162</f>
        <v>0</v>
      </c>
      <c r="Q4162" s="17" t="str">
        <f t="shared" si="649"/>
        <v>Pas d'écart</v>
      </c>
    </row>
    <row r="4163" spans="1:18" x14ac:dyDescent="0.3">
      <c r="A4163" s="34" t="str">
        <f>base!J4163</f>
        <v>LS</v>
      </c>
      <c r="B4163" s="34" t="str">
        <f>base!V4163</f>
        <v>01100</v>
      </c>
      <c r="C4163" s="37">
        <v>56</v>
      </c>
      <c r="D4163" s="36">
        <f>base!H4163</f>
        <v>15.8</v>
      </c>
      <c r="E4163" s="44"/>
      <c r="F4163" s="16">
        <f>base!W4163</f>
        <v>4.2699999999999996</v>
      </c>
      <c r="G4163" s="11">
        <f t="shared" si="650"/>
        <v>0.27025316455696197</v>
      </c>
      <c r="H4163" s="11">
        <f t="shared" si="651"/>
        <v>4.2660000000000009</v>
      </c>
      <c r="I4163" s="11">
        <f t="shared" si="652"/>
        <v>0.27</v>
      </c>
      <c r="J4163" s="12">
        <f t="shared" si="653"/>
        <v>3.9999999999986713E-3</v>
      </c>
      <c r="K4163" s="17" t="str">
        <f t="shared" ref="K4163:K4226" si="658">IF(H4163=F4163,"Pas d'écart",IF(H4163&lt;F4163,"Ecart positif",IF(H4163&gt;F4163,"Ecart négatif")))</f>
        <v>Ecart positif</v>
      </c>
      <c r="L4163" s="16">
        <f>base!X4163</f>
        <v>0</v>
      </c>
      <c r="M4163" s="11">
        <f t="shared" si="654"/>
        <v>0</v>
      </c>
      <c r="N4163" s="11">
        <f t="shared" si="655"/>
        <v>0</v>
      </c>
      <c r="O4163" s="11">
        <f t="shared" si="656"/>
        <v>0</v>
      </c>
      <c r="P4163" s="12">
        <f t="shared" si="657"/>
        <v>0</v>
      </c>
      <c r="Q4163" s="17" t="str">
        <f t="shared" ref="Q4163:Q4226" si="659">IF(N4163=L4163,"Pas d'écart",IF(N4163&lt;L4163,"Ecart positif",IF(N4163&gt;L4163,"Ecart négatif")))</f>
        <v>Pas d'écart</v>
      </c>
    </row>
    <row r="4164" spans="1:18" x14ac:dyDescent="0.3">
      <c r="A4164" s="34">
        <f>base!J4164</f>
        <v>0</v>
      </c>
      <c r="B4164" s="34" t="str">
        <f>base!V4164</f>
        <v>77184</v>
      </c>
      <c r="C4164" s="37">
        <v>77</v>
      </c>
      <c r="D4164" s="36">
        <f>base!H4164</f>
        <v>112.72</v>
      </c>
      <c r="E4164" s="44"/>
      <c r="F4164" s="16">
        <f>base!W4164</f>
        <v>0</v>
      </c>
      <c r="G4164" s="11">
        <f t="shared" si="650"/>
        <v>0</v>
      </c>
      <c r="H4164" s="11">
        <f t="shared" si="651"/>
        <v>0</v>
      </c>
      <c r="I4164" s="11">
        <f t="shared" si="652"/>
        <v>0</v>
      </c>
      <c r="J4164" s="12">
        <f t="shared" si="653"/>
        <v>0</v>
      </c>
      <c r="K4164" s="17" t="str">
        <f t="shared" si="658"/>
        <v>Pas d'écart</v>
      </c>
      <c r="L4164" s="16">
        <f>base!X4164</f>
        <v>0</v>
      </c>
      <c r="M4164" s="11">
        <f t="shared" si="654"/>
        <v>0</v>
      </c>
      <c r="N4164" s="11">
        <f t="shared" si="655"/>
        <v>0</v>
      </c>
      <c r="O4164" s="11">
        <f t="shared" si="656"/>
        <v>0</v>
      </c>
      <c r="P4164" s="12">
        <f t="shared" si="657"/>
        <v>0</v>
      </c>
      <c r="Q4164" s="17" t="str">
        <f t="shared" si="659"/>
        <v>Pas d'écart</v>
      </c>
    </row>
    <row r="4165" spans="1:18" x14ac:dyDescent="0.3">
      <c r="A4165" s="34" t="str">
        <f>base!J4165</f>
        <v>RS</v>
      </c>
      <c r="B4165" s="34" t="str">
        <f>base!V4165</f>
        <v>75012</v>
      </c>
      <c r="C4165" s="37">
        <v>75</v>
      </c>
      <c r="D4165" s="36">
        <f>base!H4165</f>
        <v>149.57</v>
      </c>
      <c r="E4165" s="44"/>
      <c r="F4165" s="16">
        <f>base!W4165</f>
        <v>0</v>
      </c>
      <c r="G4165" s="11">
        <f t="shared" si="650"/>
        <v>0</v>
      </c>
      <c r="H4165" s="11">
        <f t="shared" si="651"/>
        <v>0</v>
      </c>
      <c r="I4165" s="11">
        <f t="shared" si="652"/>
        <v>0</v>
      </c>
      <c r="J4165" s="12">
        <f t="shared" si="653"/>
        <v>0</v>
      </c>
      <c r="K4165" s="17" t="str">
        <f t="shared" si="658"/>
        <v>Pas d'écart</v>
      </c>
      <c r="L4165" s="16">
        <f>base!X4165</f>
        <v>0</v>
      </c>
      <c r="M4165" s="11">
        <f t="shared" si="654"/>
        <v>0</v>
      </c>
      <c r="N4165" s="11">
        <f t="shared" si="655"/>
        <v>0</v>
      </c>
      <c r="O4165" s="11">
        <f t="shared" si="656"/>
        <v>0</v>
      </c>
      <c r="P4165" s="12">
        <f t="shared" si="657"/>
        <v>0</v>
      </c>
      <c r="Q4165" s="17" t="str">
        <f t="shared" si="659"/>
        <v>Pas d'écart</v>
      </c>
    </row>
    <row r="4166" spans="1:18" x14ac:dyDescent="0.3">
      <c r="A4166" s="34">
        <f>base!J4166</f>
        <v>0</v>
      </c>
      <c r="B4166" s="34" t="str">
        <f>base!V4166</f>
        <v>77184</v>
      </c>
      <c r="C4166" s="37">
        <v>77</v>
      </c>
      <c r="D4166" s="36">
        <f>base!H4166</f>
        <v>250</v>
      </c>
      <c r="E4166" s="44"/>
      <c r="F4166" s="16">
        <f>base!W4166</f>
        <v>0</v>
      </c>
      <c r="G4166" s="11">
        <f t="shared" si="650"/>
        <v>0</v>
      </c>
      <c r="H4166" s="11">
        <f t="shared" si="651"/>
        <v>0</v>
      </c>
      <c r="I4166" s="11">
        <f t="shared" si="652"/>
        <v>0</v>
      </c>
      <c r="J4166" s="12">
        <f t="shared" si="653"/>
        <v>0</v>
      </c>
      <c r="K4166" s="17" t="str">
        <f t="shared" si="658"/>
        <v>Pas d'écart</v>
      </c>
      <c r="L4166" s="16">
        <f>base!X4166</f>
        <v>0</v>
      </c>
      <c r="M4166" s="11">
        <f t="shared" si="654"/>
        <v>0</v>
      </c>
      <c r="N4166" s="11">
        <f t="shared" si="655"/>
        <v>0</v>
      </c>
      <c r="O4166" s="11">
        <f t="shared" si="656"/>
        <v>0</v>
      </c>
      <c r="P4166" s="12">
        <f t="shared" si="657"/>
        <v>0</v>
      </c>
      <c r="Q4166" s="17" t="str">
        <f t="shared" si="659"/>
        <v>Pas d'écart</v>
      </c>
    </row>
    <row r="4167" spans="1:18" x14ac:dyDescent="0.3">
      <c r="A4167" s="34">
        <f>base!J4167</f>
        <v>0</v>
      </c>
      <c r="B4167" s="34" t="str">
        <f>base!V4167</f>
        <v>77184</v>
      </c>
      <c r="C4167" s="37">
        <v>77</v>
      </c>
      <c r="D4167" s="36">
        <f>base!H4167</f>
        <v>105</v>
      </c>
      <c r="E4167" s="44"/>
      <c r="F4167" s="16">
        <f>base!W4167</f>
        <v>0</v>
      </c>
      <c r="G4167" s="11">
        <f t="shared" si="650"/>
        <v>0</v>
      </c>
      <c r="H4167" s="11">
        <f t="shared" si="651"/>
        <v>0</v>
      </c>
      <c r="I4167" s="11">
        <f t="shared" si="652"/>
        <v>0</v>
      </c>
      <c r="J4167" s="12">
        <f t="shared" si="653"/>
        <v>0</v>
      </c>
      <c r="K4167" s="17" t="str">
        <f t="shared" si="658"/>
        <v>Pas d'écart</v>
      </c>
      <c r="L4167" s="16">
        <f>base!X4167</f>
        <v>0</v>
      </c>
      <c r="M4167" s="11">
        <f t="shared" si="654"/>
        <v>0</v>
      </c>
      <c r="N4167" s="11">
        <f t="shared" si="655"/>
        <v>0</v>
      </c>
      <c r="O4167" s="11">
        <f t="shared" si="656"/>
        <v>0</v>
      </c>
      <c r="P4167" s="12">
        <f t="shared" si="657"/>
        <v>0</v>
      </c>
      <c r="Q4167" s="17" t="str">
        <f t="shared" si="659"/>
        <v>Pas d'écart</v>
      </c>
    </row>
    <row r="4168" spans="1:18" x14ac:dyDescent="0.3">
      <c r="A4168" s="34">
        <f>base!J4168</f>
        <v>0</v>
      </c>
      <c r="B4168" s="34" t="str">
        <f>base!V4168</f>
        <v>77184</v>
      </c>
      <c r="C4168" s="37">
        <v>77</v>
      </c>
      <c r="D4168" s="36">
        <f>base!H4168</f>
        <v>84.5</v>
      </c>
      <c r="E4168" s="44"/>
      <c r="F4168" s="16">
        <f>base!W4168</f>
        <v>0</v>
      </c>
      <c r="G4168" s="11">
        <f t="shared" si="650"/>
        <v>0</v>
      </c>
      <c r="H4168" s="11">
        <f t="shared" si="651"/>
        <v>0</v>
      </c>
      <c r="I4168" s="11">
        <f t="shared" si="652"/>
        <v>0</v>
      </c>
      <c r="J4168" s="12">
        <f t="shared" si="653"/>
        <v>0</v>
      </c>
      <c r="K4168" s="17" t="str">
        <f t="shared" si="658"/>
        <v>Pas d'écart</v>
      </c>
      <c r="L4168" s="16">
        <f>base!X4168</f>
        <v>0</v>
      </c>
      <c r="M4168" s="11">
        <f t="shared" si="654"/>
        <v>0</v>
      </c>
      <c r="N4168" s="11">
        <f t="shared" si="655"/>
        <v>0</v>
      </c>
      <c r="O4168" s="11">
        <f t="shared" si="656"/>
        <v>0</v>
      </c>
      <c r="P4168" s="12">
        <f t="shared" si="657"/>
        <v>0</v>
      </c>
      <c r="Q4168" s="17" t="str">
        <f t="shared" si="659"/>
        <v>Pas d'écart</v>
      </c>
    </row>
    <row r="4169" spans="1:18" x14ac:dyDescent="0.3">
      <c r="A4169" s="34" t="str">
        <f>base!J4169</f>
        <v>LS</v>
      </c>
      <c r="B4169" s="34" t="str">
        <f>base!V4169</f>
        <v>54950</v>
      </c>
      <c r="C4169" s="37">
        <v>69</v>
      </c>
      <c r="D4169" s="36">
        <f>base!H4169</f>
        <v>126.65</v>
      </c>
      <c r="E4169" s="44"/>
      <c r="F4169" s="16">
        <f>base!W4169</f>
        <v>31.66</v>
      </c>
      <c r="G4169" s="11">
        <f t="shared" si="650"/>
        <v>0.24998026056060008</v>
      </c>
      <c r="H4169" s="11">
        <f t="shared" si="651"/>
        <v>34.195500000000003</v>
      </c>
      <c r="I4169" s="11">
        <f t="shared" si="652"/>
        <v>0.27</v>
      </c>
      <c r="J4169" s="12">
        <f t="shared" si="653"/>
        <v>-2.5355000000000025</v>
      </c>
      <c r="K4169" s="17" t="str">
        <f t="shared" si="658"/>
        <v>Ecart négatif</v>
      </c>
      <c r="L4169" s="16">
        <f>base!X4169</f>
        <v>0</v>
      </c>
      <c r="M4169" s="11">
        <f t="shared" si="654"/>
        <v>0</v>
      </c>
      <c r="N4169" s="11">
        <f t="shared" si="655"/>
        <v>0</v>
      </c>
      <c r="O4169" s="11">
        <f t="shared" si="656"/>
        <v>0</v>
      </c>
      <c r="P4169" s="12">
        <f t="shared" si="657"/>
        <v>0</v>
      </c>
      <c r="Q4169" s="17" t="str">
        <f t="shared" si="659"/>
        <v>Pas d'écart</v>
      </c>
    </row>
    <row r="4170" spans="1:18" x14ac:dyDescent="0.3">
      <c r="A4170" s="34" t="str">
        <f>base!J4170</f>
        <v>LS</v>
      </c>
      <c r="B4170" s="34" t="str">
        <f>base!V4170</f>
        <v>29470</v>
      </c>
      <c r="C4170" s="37">
        <v>73</v>
      </c>
      <c r="D4170" s="36">
        <f>base!H4170</f>
        <v>131.65</v>
      </c>
      <c r="E4170" s="44"/>
      <c r="F4170" s="16">
        <f>base!W4170</f>
        <v>51.34</v>
      </c>
      <c r="G4170" s="11">
        <f t="shared" si="650"/>
        <v>0.38997341435624766</v>
      </c>
      <c r="H4170" s="11">
        <f t="shared" si="651"/>
        <v>35.545500000000004</v>
      </c>
      <c r="I4170" s="11">
        <f t="shared" si="652"/>
        <v>0.27</v>
      </c>
      <c r="J4170" s="12">
        <f t="shared" si="653"/>
        <v>15.794499999999999</v>
      </c>
      <c r="K4170" s="17" t="str">
        <f t="shared" si="658"/>
        <v>Ecart positif</v>
      </c>
      <c r="L4170" s="16">
        <f>base!X4170</f>
        <v>0</v>
      </c>
      <c r="M4170" s="11">
        <f t="shared" si="654"/>
        <v>0</v>
      </c>
      <c r="N4170" s="11">
        <f t="shared" si="655"/>
        <v>0</v>
      </c>
      <c r="O4170" s="11">
        <f t="shared" si="656"/>
        <v>0</v>
      </c>
      <c r="P4170" s="12">
        <f t="shared" si="657"/>
        <v>0</v>
      </c>
      <c r="Q4170" s="17" t="str">
        <f t="shared" si="659"/>
        <v>Pas d'écart</v>
      </c>
    </row>
    <row r="4171" spans="1:18" x14ac:dyDescent="0.3">
      <c r="A4171" s="34" t="str">
        <f>base!J4171</f>
        <v>RM</v>
      </c>
      <c r="B4171" s="34" t="str">
        <f>base!V4171</f>
        <v>68250</v>
      </c>
      <c r="C4171" s="37">
        <v>68</v>
      </c>
      <c r="D4171" s="36">
        <f>base!H4171</f>
        <v>180</v>
      </c>
      <c r="E4171" s="44"/>
      <c r="F4171" s="16">
        <f>base!W4171</f>
        <v>0</v>
      </c>
      <c r="G4171" s="11">
        <f t="shared" si="650"/>
        <v>0</v>
      </c>
      <c r="H4171" s="11">
        <f t="shared" si="651"/>
        <v>52.199999999999996</v>
      </c>
      <c r="I4171" s="11">
        <f t="shared" si="652"/>
        <v>0.28999999999999998</v>
      </c>
      <c r="J4171" s="12">
        <f t="shared" si="653"/>
        <v>-52.199999999999996</v>
      </c>
      <c r="K4171" s="17" t="str">
        <f t="shared" si="658"/>
        <v>Ecart négatif</v>
      </c>
      <c r="L4171" s="16">
        <f>base!X4171</f>
        <v>14.4</v>
      </c>
      <c r="M4171" s="11">
        <f t="shared" si="654"/>
        <v>0.08</v>
      </c>
      <c r="N4171" s="11">
        <f t="shared" si="655"/>
        <v>14.4</v>
      </c>
      <c r="O4171" s="11">
        <f t="shared" si="656"/>
        <v>0.08</v>
      </c>
      <c r="P4171" s="12">
        <f t="shared" si="657"/>
        <v>0</v>
      </c>
      <c r="Q4171" s="17" t="str">
        <f t="shared" si="659"/>
        <v>Pas d'écart</v>
      </c>
      <c r="R4171" s="38"/>
    </row>
    <row r="4172" spans="1:18" x14ac:dyDescent="0.3">
      <c r="A4172" s="34" t="str">
        <f>base!J4172</f>
        <v>LS</v>
      </c>
      <c r="B4172" s="34" t="str">
        <f>base!V4172</f>
        <v>06000</v>
      </c>
      <c r="C4172" s="37">
        <v>35</v>
      </c>
      <c r="D4172" s="36">
        <f>base!H4172</f>
        <v>55.14</v>
      </c>
      <c r="E4172" s="44"/>
      <c r="F4172" s="16">
        <f>base!W4172</f>
        <v>16.54</v>
      </c>
      <c r="G4172" s="11">
        <f t="shared" si="650"/>
        <v>0.29996372869060572</v>
      </c>
      <c r="H4172" s="11">
        <f t="shared" si="651"/>
        <v>14.8878</v>
      </c>
      <c r="I4172" s="11">
        <f t="shared" si="652"/>
        <v>0.27</v>
      </c>
      <c r="J4172" s="12">
        <f t="shared" si="653"/>
        <v>1.6521999999999988</v>
      </c>
      <c r="K4172" s="17" t="str">
        <f t="shared" si="658"/>
        <v>Ecart positif</v>
      </c>
      <c r="L4172" s="16">
        <f>base!X4172</f>
        <v>0</v>
      </c>
      <c r="M4172" s="11">
        <f t="shared" si="654"/>
        <v>0</v>
      </c>
      <c r="N4172" s="11">
        <f t="shared" si="655"/>
        <v>0</v>
      </c>
      <c r="O4172" s="11">
        <f t="shared" si="656"/>
        <v>0</v>
      </c>
      <c r="P4172" s="12">
        <f t="shared" si="657"/>
        <v>0</v>
      </c>
      <c r="Q4172" s="17" t="str">
        <f t="shared" si="659"/>
        <v>Pas d'écart</v>
      </c>
    </row>
    <row r="4173" spans="1:18" x14ac:dyDescent="0.3">
      <c r="A4173" s="34" t="str">
        <f>base!J4173</f>
        <v>LS</v>
      </c>
      <c r="B4173" s="34" t="str">
        <f>base!V4173</f>
        <v>27200</v>
      </c>
      <c r="C4173" s="37">
        <v>71</v>
      </c>
      <c r="D4173" s="36">
        <f>base!H4173</f>
        <v>138.12</v>
      </c>
      <c r="E4173" s="44"/>
      <c r="F4173" s="16">
        <f>base!W4173</f>
        <v>23.48</v>
      </c>
      <c r="G4173" s="11">
        <f t="shared" si="650"/>
        <v>0.16999710396756443</v>
      </c>
      <c r="H4173" s="11">
        <f t="shared" si="651"/>
        <v>37.292400000000001</v>
      </c>
      <c r="I4173" s="11">
        <f t="shared" si="652"/>
        <v>0.27</v>
      </c>
      <c r="J4173" s="12">
        <f t="shared" si="653"/>
        <v>-13.8124</v>
      </c>
      <c r="K4173" s="17" t="str">
        <f t="shared" si="658"/>
        <v>Ecart négatif</v>
      </c>
      <c r="L4173" s="16">
        <f>base!X4173</f>
        <v>0</v>
      </c>
      <c r="M4173" s="11">
        <f t="shared" si="654"/>
        <v>0</v>
      </c>
      <c r="N4173" s="11">
        <f t="shared" si="655"/>
        <v>0</v>
      </c>
      <c r="O4173" s="11">
        <f t="shared" si="656"/>
        <v>0</v>
      </c>
      <c r="P4173" s="12">
        <f t="shared" si="657"/>
        <v>0</v>
      </c>
      <c r="Q4173" s="17" t="str">
        <f t="shared" si="659"/>
        <v>Pas d'écart</v>
      </c>
    </row>
    <row r="4174" spans="1:18" x14ac:dyDescent="0.3">
      <c r="A4174" s="34" t="str">
        <f>base!J4174</f>
        <v>LM</v>
      </c>
      <c r="B4174" s="34" t="str">
        <f>base!V4174</f>
        <v>75014</v>
      </c>
      <c r="C4174" s="37">
        <v>75</v>
      </c>
      <c r="D4174" s="36">
        <f>base!H4174</f>
        <v>107.6</v>
      </c>
      <c r="E4174" s="44"/>
      <c r="F4174" s="16">
        <f>base!W4174</f>
        <v>0</v>
      </c>
      <c r="G4174" s="11">
        <f t="shared" si="650"/>
        <v>0</v>
      </c>
      <c r="H4174" s="11">
        <f t="shared" si="651"/>
        <v>0</v>
      </c>
      <c r="I4174" s="11">
        <f t="shared" si="652"/>
        <v>0</v>
      </c>
      <c r="J4174" s="12">
        <f t="shared" si="653"/>
        <v>0</v>
      </c>
      <c r="K4174" s="17" t="str">
        <f t="shared" si="658"/>
        <v>Pas d'écart</v>
      </c>
      <c r="L4174" s="16">
        <f>base!X4174</f>
        <v>0</v>
      </c>
      <c r="M4174" s="11">
        <f t="shared" si="654"/>
        <v>0</v>
      </c>
      <c r="N4174" s="11">
        <f t="shared" si="655"/>
        <v>0</v>
      </c>
      <c r="O4174" s="11">
        <f t="shared" si="656"/>
        <v>0</v>
      </c>
      <c r="P4174" s="12">
        <f t="shared" si="657"/>
        <v>0</v>
      </c>
      <c r="Q4174" s="17" t="str">
        <f t="shared" si="659"/>
        <v>Pas d'écart</v>
      </c>
    </row>
    <row r="4175" spans="1:18" x14ac:dyDescent="0.3">
      <c r="A4175" s="34" t="str">
        <f>base!J4175</f>
        <v>LS</v>
      </c>
      <c r="B4175" s="34" t="str">
        <f>base!V4175</f>
        <v>44410</v>
      </c>
      <c r="C4175" s="37">
        <v>44</v>
      </c>
      <c r="D4175" s="36">
        <f>base!H4175</f>
        <v>126.72</v>
      </c>
      <c r="E4175" s="44"/>
      <c r="F4175" s="16">
        <f>base!W4175</f>
        <v>34.21</v>
      </c>
      <c r="G4175" s="11">
        <f t="shared" si="650"/>
        <v>0.26996527777777779</v>
      </c>
      <c r="H4175" s="11">
        <f t="shared" si="651"/>
        <v>34.214400000000005</v>
      </c>
      <c r="I4175" s="11">
        <f t="shared" si="652"/>
        <v>0.27</v>
      </c>
      <c r="J4175" s="12">
        <f t="shared" si="653"/>
        <v>-4.4000000000039563E-3</v>
      </c>
      <c r="K4175" s="17" t="str">
        <f t="shared" si="658"/>
        <v>Ecart négatif</v>
      </c>
      <c r="L4175" s="16">
        <f>base!X4175</f>
        <v>0</v>
      </c>
      <c r="M4175" s="11">
        <f t="shared" si="654"/>
        <v>0</v>
      </c>
      <c r="N4175" s="11">
        <f t="shared" si="655"/>
        <v>0</v>
      </c>
      <c r="O4175" s="11">
        <f t="shared" si="656"/>
        <v>0</v>
      </c>
      <c r="P4175" s="12">
        <f t="shared" si="657"/>
        <v>0</v>
      </c>
      <c r="Q4175" s="17" t="str">
        <f t="shared" si="659"/>
        <v>Pas d'écart</v>
      </c>
    </row>
    <row r="4176" spans="1:18" x14ac:dyDescent="0.3">
      <c r="A4176" s="34" t="str">
        <f>base!J4176</f>
        <v>LS</v>
      </c>
      <c r="B4176" s="34" t="str">
        <f>base!V4176</f>
        <v>14200</v>
      </c>
      <c r="C4176" s="37">
        <v>35</v>
      </c>
      <c r="D4176" s="36">
        <f>base!H4176</f>
        <v>86.46</v>
      </c>
      <c r="E4176" s="44"/>
      <c r="F4176" s="16">
        <f>base!W4176</f>
        <v>14.7</v>
      </c>
      <c r="G4176" s="11">
        <f t="shared" si="650"/>
        <v>0.17002081887578072</v>
      </c>
      <c r="H4176" s="11">
        <f t="shared" si="651"/>
        <v>23.344200000000001</v>
      </c>
      <c r="I4176" s="11">
        <f t="shared" si="652"/>
        <v>0.27</v>
      </c>
      <c r="J4176" s="12">
        <f t="shared" si="653"/>
        <v>-8.6442000000000014</v>
      </c>
      <c r="K4176" s="17" t="str">
        <f t="shared" si="658"/>
        <v>Ecart négatif</v>
      </c>
      <c r="L4176" s="16">
        <f>base!X4176</f>
        <v>0</v>
      </c>
      <c r="M4176" s="11">
        <f t="shared" si="654"/>
        <v>0</v>
      </c>
      <c r="N4176" s="11">
        <f t="shared" si="655"/>
        <v>0</v>
      </c>
      <c r="O4176" s="11">
        <f t="shared" si="656"/>
        <v>0</v>
      </c>
      <c r="P4176" s="12">
        <f t="shared" si="657"/>
        <v>0</v>
      </c>
      <c r="Q4176" s="17" t="str">
        <f t="shared" si="659"/>
        <v>Pas d'écart</v>
      </c>
    </row>
    <row r="4177" spans="1:18" x14ac:dyDescent="0.3">
      <c r="A4177" s="34" t="str">
        <f>base!J4177</f>
        <v>LM</v>
      </c>
      <c r="B4177" s="34" t="str">
        <f>base!V4177</f>
        <v>67850</v>
      </c>
      <c r="C4177" s="37">
        <v>26</v>
      </c>
      <c r="D4177" s="36">
        <f>base!H4177</f>
        <v>55.34</v>
      </c>
      <c r="E4177" s="44"/>
      <c r="F4177" s="16">
        <f>base!W4177</f>
        <v>16.05</v>
      </c>
      <c r="G4177" s="11">
        <f t="shared" si="650"/>
        <v>0.29002529815684858</v>
      </c>
      <c r="H4177" s="11">
        <f t="shared" si="651"/>
        <v>14.941800000000002</v>
      </c>
      <c r="I4177" s="11">
        <f t="shared" si="652"/>
        <v>0.27</v>
      </c>
      <c r="J4177" s="12">
        <f t="shared" si="653"/>
        <v>1.1081999999999983</v>
      </c>
      <c r="K4177" s="17" t="str">
        <f t="shared" si="658"/>
        <v>Ecart positif</v>
      </c>
      <c r="L4177" s="16">
        <f>base!X4177</f>
        <v>0</v>
      </c>
      <c r="M4177" s="11">
        <f t="shared" si="654"/>
        <v>0</v>
      </c>
      <c r="N4177" s="11">
        <f t="shared" si="655"/>
        <v>0</v>
      </c>
      <c r="O4177" s="11">
        <f t="shared" si="656"/>
        <v>0</v>
      </c>
      <c r="P4177" s="12">
        <f t="shared" si="657"/>
        <v>0</v>
      </c>
      <c r="Q4177" s="17" t="str">
        <f t="shared" si="659"/>
        <v>Pas d'écart</v>
      </c>
    </row>
    <row r="4178" spans="1:18" x14ac:dyDescent="0.3">
      <c r="A4178" s="34" t="str">
        <f>base!J4178</f>
        <v>LS</v>
      </c>
      <c r="B4178" s="34" t="str">
        <f>base!V4178</f>
        <v>69800</v>
      </c>
      <c r="C4178" s="37">
        <v>26</v>
      </c>
      <c r="D4178" s="36">
        <f>base!H4178</f>
        <v>55.34</v>
      </c>
      <c r="E4178" s="44"/>
      <c r="F4178" s="16">
        <f>base!W4178</f>
        <v>14.94</v>
      </c>
      <c r="G4178" s="11">
        <f t="shared" si="650"/>
        <v>0.26996747379833752</v>
      </c>
      <c r="H4178" s="11">
        <f t="shared" si="651"/>
        <v>14.941800000000002</v>
      </c>
      <c r="I4178" s="11">
        <f t="shared" si="652"/>
        <v>0.27</v>
      </c>
      <c r="J4178" s="12">
        <f t="shared" si="653"/>
        <v>-1.8000000000029104E-3</v>
      </c>
      <c r="K4178" s="17" t="str">
        <f t="shared" si="658"/>
        <v>Ecart négatif</v>
      </c>
      <c r="L4178" s="16">
        <f>base!X4178</f>
        <v>0</v>
      </c>
      <c r="M4178" s="11">
        <f t="shared" si="654"/>
        <v>0</v>
      </c>
      <c r="N4178" s="11">
        <f t="shared" si="655"/>
        <v>0</v>
      </c>
      <c r="O4178" s="11">
        <f t="shared" si="656"/>
        <v>0</v>
      </c>
      <c r="P4178" s="12">
        <f t="shared" si="657"/>
        <v>0</v>
      </c>
      <c r="Q4178" s="17" t="str">
        <f t="shared" si="659"/>
        <v>Pas d'écart</v>
      </c>
    </row>
    <row r="4179" spans="1:18" x14ac:dyDescent="0.3">
      <c r="A4179" s="34" t="str">
        <f>base!J4179</f>
        <v>LM</v>
      </c>
      <c r="B4179" s="34" t="str">
        <f>base!V4179</f>
        <v>59380</v>
      </c>
      <c r="C4179" s="37">
        <v>73</v>
      </c>
      <c r="D4179" s="36">
        <f>base!H4179</f>
        <v>18.350000000000001</v>
      </c>
      <c r="E4179" s="44"/>
      <c r="F4179" s="16">
        <f>base!W4179</f>
        <v>3.49</v>
      </c>
      <c r="G4179" s="11">
        <f t="shared" si="650"/>
        <v>0.19019073569482289</v>
      </c>
      <c r="H4179" s="11">
        <f t="shared" si="651"/>
        <v>4.9545000000000003</v>
      </c>
      <c r="I4179" s="11">
        <f t="shared" si="652"/>
        <v>0.27</v>
      </c>
      <c r="J4179" s="12">
        <f t="shared" si="653"/>
        <v>-1.4645000000000001</v>
      </c>
      <c r="K4179" s="17" t="str">
        <f t="shared" si="658"/>
        <v>Ecart négatif</v>
      </c>
      <c r="L4179" s="16">
        <f>base!X4179</f>
        <v>0</v>
      </c>
      <c r="M4179" s="11">
        <f t="shared" si="654"/>
        <v>0</v>
      </c>
      <c r="N4179" s="11">
        <f t="shared" si="655"/>
        <v>0</v>
      </c>
      <c r="O4179" s="11">
        <f t="shared" si="656"/>
        <v>0</v>
      </c>
      <c r="P4179" s="12">
        <f t="shared" si="657"/>
        <v>0</v>
      </c>
      <c r="Q4179" s="17" t="str">
        <f t="shared" si="659"/>
        <v>Pas d'écart</v>
      </c>
    </row>
    <row r="4180" spans="1:18" x14ac:dyDescent="0.3">
      <c r="A4180" s="34" t="str">
        <f>base!J4180</f>
        <v>RM</v>
      </c>
      <c r="B4180" s="34" t="str">
        <f>base!V4180</f>
        <v>69002</v>
      </c>
      <c r="C4180" s="37">
        <v>69</v>
      </c>
      <c r="D4180" s="36">
        <f>base!H4180</f>
        <v>12</v>
      </c>
      <c r="E4180" s="44"/>
      <c r="F4180" s="16">
        <f>base!W4180</f>
        <v>0</v>
      </c>
      <c r="G4180" s="11">
        <f t="shared" si="650"/>
        <v>0</v>
      </c>
      <c r="H4180" s="11">
        <f t="shared" si="651"/>
        <v>3.24</v>
      </c>
      <c r="I4180" s="11">
        <f t="shared" si="652"/>
        <v>0.27</v>
      </c>
      <c r="J4180" s="12">
        <f t="shared" si="653"/>
        <v>-3.24</v>
      </c>
      <c r="K4180" s="17" t="str">
        <f t="shared" si="658"/>
        <v>Ecart négatif</v>
      </c>
      <c r="L4180" s="16">
        <f>base!X4180</f>
        <v>3.24</v>
      </c>
      <c r="M4180" s="11">
        <f t="shared" si="654"/>
        <v>0.27</v>
      </c>
      <c r="N4180" s="11">
        <f t="shared" si="655"/>
        <v>0</v>
      </c>
      <c r="O4180" s="11">
        <f t="shared" si="656"/>
        <v>0</v>
      </c>
      <c r="P4180" s="12">
        <f t="shared" si="657"/>
        <v>3.24</v>
      </c>
      <c r="Q4180" s="17" t="str">
        <f t="shared" si="659"/>
        <v>Ecart positif</v>
      </c>
      <c r="R4180" s="38"/>
    </row>
    <row r="4181" spans="1:18" x14ac:dyDescent="0.3">
      <c r="A4181" s="34" t="str">
        <f>base!J4181</f>
        <v>DLM</v>
      </c>
      <c r="B4181" s="34" t="str">
        <f>base!V4181</f>
        <v>44800</v>
      </c>
      <c r="C4181" s="37">
        <v>44</v>
      </c>
      <c r="D4181" s="36">
        <f>base!H4181</f>
        <v>190.58</v>
      </c>
      <c r="E4181" s="44"/>
      <c r="F4181" s="16">
        <f>base!W4181</f>
        <v>0</v>
      </c>
      <c r="G4181" s="11">
        <f t="shared" si="650"/>
        <v>0</v>
      </c>
      <c r="H4181" s="11">
        <f t="shared" si="651"/>
        <v>51.456600000000009</v>
      </c>
      <c r="I4181" s="11">
        <f t="shared" si="652"/>
        <v>0.27</v>
      </c>
      <c r="J4181" s="12">
        <f t="shared" si="653"/>
        <v>-51.456600000000009</v>
      </c>
      <c r="K4181" s="17" t="str">
        <f t="shared" si="658"/>
        <v>Ecart négatif</v>
      </c>
      <c r="L4181" s="16">
        <f>base!X4181</f>
        <v>0</v>
      </c>
      <c r="M4181" s="11">
        <f t="shared" si="654"/>
        <v>0</v>
      </c>
      <c r="N4181" s="11">
        <f t="shared" si="655"/>
        <v>0</v>
      </c>
      <c r="O4181" s="11">
        <f t="shared" si="656"/>
        <v>0</v>
      </c>
      <c r="P4181" s="12">
        <f t="shared" si="657"/>
        <v>0</v>
      </c>
      <c r="Q4181" s="17" t="str">
        <f t="shared" si="659"/>
        <v>Pas d'écart</v>
      </c>
    </row>
    <row r="4182" spans="1:18" x14ac:dyDescent="0.3">
      <c r="A4182" s="34">
        <f>base!J4182</f>
        <v>0</v>
      </c>
      <c r="B4182" s="34" t="str">
        <f>base!V4182</f>
        <v>77184</v>
      </c>
      <c r="C4182" s="37">
        <v>77</v>
      </c>
      <c r="D4182" s="36">
        <f>base!H4182</f>
        <v>130</v>
      </c>
      <c r="E4182" s="44"/>
      <c r="F4182" s="16">
        <f>base!W4182</f>
        <v>0</v>
      </c>
      <c r="G4182" s="11">
        <f t="shared" si="650"/>
        <v>0</v>
      </c>
      <c r="H4182" s="11">
        <f t="shared" si="651"/>
        <v>0</v>
      </c>
      <c r="I4182" s="11">
        <f t="shared" si="652"/>
        <v>0</v>
      </c>
      <c r="J4182" s="12">
        <f t="shared" si="653"/>
        <v>0</v>
      </c>
      <c r="K4182" s="17" t="str">
        <f t="shared" si="658"/>
        <v>Pas d'écart</v>
      </c>
      <c r="L4182" s="16">
        <f>base!X4182</f>
        <v>0</v>
      </c>
      <c r="M4182" s="11">
        <f t="shared" si="654"/>
        <v>0</v>
      </c>
      <c r="N4182" s="11">
        <f t="shared" si="655"/>
        <v>0</v>
      </c>
      <c r="O4182" s="11">
        <f t="shared" si="656"/>
        <v>0</v>
      </c>
      <c r="P4182" s="12">
        <f t="shared" si="657"/>
        <v>0</v>
      </c>
      <c r="Q4182" s="17" t="str">
        <f t="shared" si="659"/>
        <v>Pas d'écart</v>
      </c>
    </row>
    <row r="4183" spans="1:18" x14ac:dyDescent="0.3">
      <c r="A4183" s="34" t="str">
        <f>base!J4183</f>
        <v>LM</v>
      </c>
      <c r="B4183" s="34" t="str">
        <f>base!V4183</f>
        <v>75014</v>
      </c>
      <c r="C4183" s="37">
        <v>75</v>
      </c>
      <c r="D4183" s="36">
        <f>base!H4183</f>
        <v>19.649999999999999</v>
      </c>
      <c r="E4183" s="44"/>
      <c r="F4183" s="16">
        <f>base!W4183</f>
        <v>0</v>
      </c>
      <c r="G4183" s="11">
        <f t="shared" si="650"/>
        <v>0</v>
      </c>
      <c r="H4183" s="11">
        <f t="shared" si="651"/>
        <v>0</v>
      </c>
      <c r="I4183" s="11">
        <f t="shared" si="652"/>
        <v>0</v>
      </c>
      <c r="J4183" s="12">
        <f t="shared" si="653"/>
        <v>0</v>
      </c>
      <c r="K4183" s="17" t="str">
        <f t="shared" si="658"/>
        <v>Pas d'écart</v>
      </c>
      <c r="L4183" s="16">
        <f>base!X4183</f>
        <v>0</v>
      </c>
      <c r="M4183" s="11">
        <f t="shared" si="654"/>
        <v>0</v>
      </c>
      <c r="N4183" s="11">
        <f t="shared" si="655"/>
        <v>0</v>
      </c>
      <c r="O4183" s="11">
        <f t="shared" si="656"/>
        <v>0</v>
      </c>
      <c r="P4183" s="12">
        <f t="shared" si="657"/>
        <v>0</v>
      </c>
      <c r="Q4183" s="17" t="str">
        <f t="shared" si="659"/>
        <v>Pas d'écart</v>
      </c>
    </row>
    <row r="4184" spans="1:18" x14ac:dyDescent="0.3">
      <c r="A4184" s="34" t="str">
        <f>base!J4184</f>
        <v>LM</v>
      </c>
      <c r="B4184" s="34" t="str">
        <f>base!V4184</f>
        <v>75014</v>
      </c>
      <c r="C4184" s="37">
        <v>75</v>
      </c>
      <c r="D4184" s="36">
        <f>base!H4184</f>
        <v>19.649999999999999</v>
      </c>
      <c r="E4184" s="44"/>
      <c r="F4184" s="16">
        <f>base!W4184</f>
        <v>0</v>
      </c>
      <c r="G4184" s="11">
        <f t="shared" si="650"/>
        <v>0</v>
      </c>
      <c r="H4184" s="11">
        <f t="shared" si="651"/>
        <v>0</v>
      </c>
      <c r="I4184" s="11">
        <f t="shared" si="652"/>
        <v>0</v>
      </c>
      <c r="J4184" s="12">
        <f t="shared" si="653"/>
        <v>0</v>
      </c>
      <c r="K4184" s="17" t="str">
        <f t="shared" si="658"/>
        <v>Pas d'écart</v>
      </c>
      <c r="L4184" s="16">
        <f>base!X4184</f>
        <v>0</v>
      </c>
      <c r="M4184" s="11">
        <f t="shared" si="654"/>
        <v>0</v>
      </c>
      <c r="N4184" s="11">
        <f t="shared" si="655"/>
        <v>0</v>
      </c>
      <c r="O4184" s="11">
        <f t="shared" si="656"/>
        <v>0</v>
      </c>
      <c r="P4184" s="12">
        <f t="shared" si="657"/>
        <v>0</v>
      </c>
      <c r="Q4184" s="17" t="str">
        <f t="shared" si="659"/>
        <v>Pas d'écart</v>
      </c>
    </row>
    <row r="4185" spans="1:18" x14ac:dyDescent="0.3">
      <c r="A4185" s="34" t="str">
        <f>base!J4185</f>
        <v>LM</v>
      </c>
      <c r="B4185" s="34" t="str">
        <f>base!V4185</f>
        <v>75014</v>
      </c>
      <c r="C4185" s="37">
        <v>75</v>
      </c>
      <c r="D4185" s="36">
        <f>base!H4185</f>
        <v>19.649999999999999</v>
      </c>
      <c r="E4185" s="44"/>
      <c r="F4185" s="16">
        <f>base!W4185</f>
        <v>0</v>
      </c>
      <c r="G4185" s="11">
        <f t="shared" si="650"/>
        <v>0</v>
      </c>
      <c r="H4185" s="11">
        <f t="shared" si="651"/>
        <v>0</v>
      </c>
      <c r="I4185" s="11">
        <f t="shared" si="652"/>
        <v>0</v>
      </c>
      <c r="J4185" s="12">
        <f t="shared" si="653"/>
        <v>0</v>
      </c>
      <c r="K4185" s="17" t="str">
        <f t="shared" si="658"/>
        <v>Pas d'écart</v>
      </c>
      <c r="L4185" s="16">
        <f>base!X4185</f>
        <v>0</v>
      </c>
      <c r="M4185" s="11">
        <f t="shared" si="654"/>
        <v>0</v>
      </c>
      <c r="N4185" s="11">
        <f t="shared" si="655"/>
        <v>0</v>
      </c>
      <c r="O4185" s="11">
        <f t="shared" si="656"/>
        <v>0</v>
      </c>
      <c r="P4185" s="12">
        <f t="shared" si="657"/>
        <v>0</v>
      </c>
      <c r="Q4185" s="17" t="str">
        <f t="shared" si="659"/>
        <v>Pas d'écart</v>
      </c>
    </row>
    <row r="4186" spans="1:18" x14ac:dyDescent="0.3">
      <c r="A4186" s="34" t="str">
        <f>base!J4186</f>
        <v>LM</v>
      </c>
      <c r="B4186" s="34" t="str">
        <f>base!V4186</f>
        <v>75014</v>
      </c>
      <c r="C4186" s="37">
        <v>75</v>
      </c>
      <c r="D4186" s="36">
        <f>base!H4186</f>
        <v>19.649999999999999</v>
      </c>
      <c r="E4186" s="44"/>
      <c r="F4186" s="16">
        <f>base!W4186</f>
        <v>0</v>
      </c>
      <c r="G4186" s="11">
        <f t="shared" si="650"/>
        <v>0</v>
      </c>
      <c r="H4186" s="11">
        <f t="shared" si="651"/>
        <v>0</v>
      </c>
      <c r="I4186" s="11">
        <f t="shared" si="652"/>
        <v>0</v>
      </c>
      <c r="J4186" s="12">
        <f t="shared" si="653"/>
        <v>0</v>
      </c>
      <c r="K4186" s="17" t="str">
        <f t="shared" si="658"/>
        <v>Pas d'écart</v>
      </c>
      <c r="L4186" s="16">
        <f>base!X4186</f>
        <v>0</v>
      </c>
      <c r="M4186" s="11">
        <f t="shared" si="654"/>
        <v>0</v>
      </c>
      <c r="N4186" s="11">
        <f t="shared" si="655"/>
        <v>0</v>
      </c>
      <c r="O4186" s="11">
        <f t="shared" si="656"/>
        <v>0</v>
      </c>
      <c r="P4186" s="12">
        <f t="shared" si="657"/>
        <v>0</v>
      </c>
      <c r="Q4186" s="17" t="str">
        <f t="shared" si="659"/>
        <v>Pas d'écart</v>
      </c>
    </row>
    <row r="4187" spans="1:18" x14ac:dyDescent="0.3">
      <c r="A4187" s="34" t="str">
        <f>base!J4187</f>
        <v>LS</v>
      </c>
      <c r="B4187" s="34" t="str">
        <f>base!V4187</f>
        <v>26130</v>
      </c>
      <c r="C4187" s="37">
        <v>44</v>
      </c>
      <c r="D4187" s="36">
        <f>base!H4187</f>
        <v>123.61</v>
      </c>
      <c r="E4187" s="44"/>
      <c r="F4187" s="16">
        <f>base!W4187</f>
        <v>33.369999999999997</v>
      </c>
      <c r="G4187" s="11">
        <f t="shared" si="650"/>
        <v>0.26996197718631176</v>
      </c>
      <c r="H4187" s="11">
        <f t="shared" si="651"/>
        <v>33.374700000000004</v>
      </c>
      <c r="I4187" s="11">
        <f t="shared" si="652"/>
        <v>0.27</v>
      </c>
      <c r="J4187" s="12">
        <f t="shared" si="653"/>
        <v>-4.7000000000068098E-3</v>
      </c>
      <c r="K4187" s="17" t="str">
        <f t="shared" si="658"/>
        <v>Ecart négatif</v>
      </c>
      <c r="L4187" s="16">
        <f>base!X4187</f>
        <v>0</v>
      </c>
      <c r="M4187" s="11">
        <f t="shared" si="654"/>
        <v>0</v>
      </c>
      <c r="N4187" s="11">
        <f t="shared" si="655"/>
        <v>0</v>
      </c>
      <c r="O4187" s="11">
        <f t="shared" si="656"/>
        <v>0</v>
      </c>
      <c r="P4187" s="12">
        <f t="shared" si="657"/>
        <v>0</v>
      </c>
      <c r="Q4187" s="17" t="str">
        <f t="shared" si="659"/>
        <v>Pas d'écart</v>
      </c>
    </row>
    <row r="4188" spans="1:18" x14ac:dyDescent="0.3">
      <c r="A4188" s="34" t="str">
        <f>base!J4188</f>
        <v>LM</v>
      </c>
      <c r="B4188" s="34" t="str">
        <f>base!V4188</f>
        <v>25042</v>
      </c>
      <c r="C4188" s="37">
        <v>26</v>
      </c>
      <c r="D4188" s="36">
        <f>base!H4188</f>
        <v>103.06</v>
      </c>
      <c r="E4188" s="44"/>
      <c r="F4188" s="16">
        <f>base!W4188</f>
        <v>24.73</v>
      </c>
      <c r="G4188" s="11">
        <f t="shared" si="650"/>
        <v>0.23995730642344265</v>
      </c>
      <c r="H4188" s="11">
        <f t="shared" si="651"/>
        <v>27.826200000000004</v>
      </c>
      <c r="I4188" s="11">
        <f t="shared" si="652"/>
        <v>0.27</v>
      </c>
      <c r="J4188" s="12">
        <f t="shared" si="653"/>
        <v>-3.0962000000000032</v>
      </c>
      <c r="K4188" s="17" t="str">
        <f t="shared" si="658"/>
        <v>Ecart négatif</v>
      </c>
      <c r="L4188" s="16">
        <f>base!X4188</f>
        <v>0</v>
      </c>
      <c r="M4188" s="11">
        <f t="shared" si="654"/>
        <v>0</v>
      </c>
      <c r="N4188" s="11">
        <f t="shared" si="655"/>
        <v>0</v>
      </c>
      <c r="O4188" s="11">
        <f t="shared" si="656"/>
        <v>0</v>
      </c>
      <c r="P4188" s="12">
        <f t="shared" si="657"/>
        <v>0</v>
      </c>
      <c r="Q4188" s="17" t="str">
        <f t="shared" si="659"/>
        <v>Pas d'écart</v>
      </c>
    </row>
    <row r="4189" spans="1:18" x14ac:dyDescent="0.3">
      <c r="A4189" s="34" t="str">
        <f>base!J4189</f>
        <v>LS</v>
      </c>
      <c r="B4189" s="34" t="str">
        <f>base!V4189</f>
        <v>67600</v>
      </c>
      <c r="C4189" s="37">
        <v>73</v>
      </c>
      <c r="D4189" s="36">
        <f>base!H4189</f>
        <v>126.65</v>
      </c>
      <c r="E4189" s="44"/>
      <c r="F4189" s="16">
        <f>base!W4189</f>
        <v>36.729999999999997</v>
      </c>
      <c r="G4189" s="11">
        <f t="shared" si="650"/>
        <v>0.29001184366363991</v>
      </c>
      <c r="H4189" s="11">
        <f t="shared" si="651"/>
        <v>34.195500000000003</v>
      </c>
      <c r="I4189" s="11">
        <f t="shared" si="652"/>
        <v>0.27</v>
      </c>
      <c r="J4189" s="12">
        <f t="shared" si="653"/>
        <v>2.5344999999999942</v>
      </c>
      <c r="K4189" s="17" t="str">
        <f t="shared" si="658"/>
        <v>Ecart positif</v>
      </c>
      <c r="L4189" s="16">
        <f>base!X4189</f>
        <v>0</v>
      </c>
      <c r="M4189" s="11">
        <f t="shared" si="654"/>
        <v>0</v>
      </c>
      <c r="N4189" s="11">
        <f t="shared" si="655"/>
        <v>0</v>
      </c>
      <c r="O4189" s="11">
        <f t="shared" si="656"/>
        <v>0</v>
      </c>
      <c r="P4189" s="12">
        <f t="shared" si="657"/>
        <v>0</v>
      </c>
      <c r="Q4189" s="17" t="str">
        <f t="shared" si="659"/>
        <v>Pas d'écart</v>
      </c>
    </row>
    <row r="4190" spans="1:18" x14ac:dyDescent="0.3">
      <c r="A4190" s="34" t="str">
        <f>base!J4190</f>
        <v>RS</v>
      </c>
      <c r="B4190" s="34" t="str">
        <f>base!V4190</f>
        <v>03400</v>
      </c>
      <c r="C4190" s="37">
        <v>3</v>
      </c>
      <c r="D4190" s="36">
        <f>base!H4190</f>
        <v>166.92</v>
      </c>
      <c r="E4190" s="44"/>
      <c r="F4190" s="16">
        <f>base!W4190</f>
        <v>0</v>
      </c>
      <c r="G4190" s="11">
        <f t="shared" si="650"/>
        <v>0</v>
      </c>
      <c r="H4190" s="11">
        <f t="shared" si="651"/>
        <v>48.40679999999999</v>
      </c>
      <c r="I4190" s="11">
        <f t="shared" si="652"/>
        <v>0.28999999999999998</v>
      </c>
      <c r="J4190" s="12">
        <f t="shared" si="653"/>
        <v>-48.40679999999999</v>
      </c>
      <c r="K4190" s="17" t="str">
        <f t="shared" si="658"/>
        <v>Ecart négatif</v>
      </c>
      <c r="L4190" s="16">
        <f>base!X4190</f>
        <v>20.03</v>
      </c>
      <c r="M4190" s="11">
        <f t="shared" si="654"/>
        <v>0.11999760364246347</v>
      </c>
      <c r="N4190" s="11">
        <f t="shared" si="655"/>
        <v>20.030399999999997</v>
      </c>
      <c r="O4190" s="11">
        <f t="shared" si="656"/>
        <v>0.12</v>
      </c>
      <c r="P4190" s="12">
        <f t="shared" si="657"/>
        <v>-3.9999999999551505E-4</v>
      </c>
      <c r="Q4190" s="17" t="str">
        <f t="shared" si="659"/>
        <v>Ecart négatif</v>
      </c>
      <c r="R4190" s="38"/>
    </row>
    <row r="4191" spans="1:18" x14ac:dyDescent="0.3">
      <c r="A4191" s="34">
        <f>base!J4191</f>
        <v>0</v>
      </c>
      <c r="B4191" s="34" t="str">
        <f>base!V4191</f>
        <v>77184</v>
      </c>
      <c r="C4191" s="37">
        <v>77</v>
      </c>
      <c r="D4191" s="36">
        <f>base!H4191</f>
        <v>25</v>
      </c>
      <c r="E4191" s="44"/>
      <c r="F4191" s="16">
        <f>base!W4191</f>
        <v>0</v>
      </c>
      <c r="G4191" s="11">
        <f t="shared" si="650"/>
        <v>0</v>
      </c>
      <c r="H4191" s="11">
        <f t="shared" si="651"/>
        <v>0</v>
      </c>
      <c r="I4191" s="11">
        <f t="shared" si="652"/>
        <v>0</v>
      </c>
      <c r="J4191" s="12">
        <f t="shared" si="653"/>
        <v>0</v>
      </c>
      <c r="K4191" s="17" t="str">
        <f t="shared" si="658"/>
        <v>Pas d'écart</v>
      </c>
      <c r="L4191" s="16">
        <f>base!X4191</f>
        <v>0</v>
      </c>
      <c r="M4191" s="11">
        <f t="shared" si="654"/>
        <v>0</v>
      </c>
      <c r="N4191" s="11">
        <f t="shared" si="655"/>
        <v>0</v>
      </c>
      <c r="O4191" s="11">
        <f t="shared" si="656"/>
        <v>0</v>
      </c>
      <c r="P4191" s="12">
        <f t="shared" si="657"/>
        <v>0</v>
      </c>
      <c r="Q4191" s="17" t="str">
        <f t="shared" si="659"/>
        <v>Pas d'écart</v>
      </c>
    </row>
    <row r="4192" spans="1:18" x14ac:dyDescent="0.3">
      <c r="A4192" s="34">
        <f>base!J4192</f>
        <v>0</v>
      </c>
      <c r="B4192" s="34" t="str">
        <f>base!V4192</f>
        <v>77184</v>
      </c>
      <c r="C4192" s="37">
        <v>77</v>
      </c>
      <c r="D4192" s="36">
        <f>base!H4192</f>
        <v>20</v>
      </c>
      <c r="E4192" s="44"/>
      <c r="F4192" s="16">
        <f>base!W4192</f>
        <v>0</v>
      </c>
      <c r="G4192" s="11">
        <f t="shared" si="650"/>
        <v>0</v>
      </c>
      <c r="H4192" s="11">
        <f t="shared" si="651"/>
        <v>0</v>
      </c>
      <c r="I4192" s="11">
        <f t="shared" si="652"/>
        <v>0</v>
      </c>
      <c r="J4192" s="12">
        <f t="shared" si="653"/>
        <v>0</v>
      </c>
      <c r="K4192" s="17" t="str">
        <f t="shared" si="658"/>
        <v>Pas d'écart</v>
      </c>
      <c r="L4192" s="16">
        <f>base!X4192</f>
        <v>0</v>
      </c>
      <c r="M4192" s="11">
        <f t="shared" si="654"/>
        <v>0</v>
      </c>
      <c r="N4192" s="11">
        <f t="shared" si="655"/>
        <v>0</v>
      </c>
      <c r="O4192" s="11">
        <f t="shared" si="656"/>
        <v>0</v>
      </c>
      <c r="P4192" s="12">
        <f t="shared" si="657"/>
        <v>0</v>
      </c>
      <c r="Q4192" s="17" t="str">
        <f t="shared" si="659"/>
        <v>Pas d'écart</v>
      </c>
    </row>
    <row r="4193" spans="1:18" x14ac:dyDescent="0.3">
      <c r="A4193" s="34" t="str">
        <f>base!J4193</f>
        <v>LM</v>
      </c>
      <c r="B4193" s="34" t="str">
        <f>base!V4193</f>
        <v>59224</v>
      </c>
      <c r="C4193" s="37">
        <v>26</v>
      </c>
      <c r="D4193" s="36">
        <f>base!H4193</f>
        <v>192.59</v>
      </c>
      <c r="E4193" s="44"/>
      <c r="F4193" s="16">
        <f>base!W4193</f>
        <v>36.590000000000003</v>
      </c>
      <c r="G4193" s="11">
        <f t="shared" si="650"/>
        <v>0.18998909600706165</v>
      </c>
      <c r="H4193" s="11">
        <f t="shared" si="651"/>
        <v>51.999300000000005</v>
      </c>
      <c r="I4193" s="11">
        <f t="shared" si="652"/>
        <v>0.27</v>
      </c>
      <c r="J4193" s="12">
        <f t="shared" si="653"/>
        <v>-15.409300000000002</v>
      </c>
      <c r="K4193" s="17" t="str">
        <f t="shared" si="658"/>
        <v>Ecart négatif</v>
      </c>
      <c r="L4193" s="16">
        <f>base!X4193</f>
        <v>0</v>
      </c>
      <c r="M4193" s="11">
        <f t="shared" si="654"/>
        <v>0</v>
      </c>
      <c r="N4193" s="11">
        <f t="shared" si="655"/>
        <v>0</v>
      </c>
      <c r="O4193" s="11">
        <f t="shared" si="656"/>
        <v>0</v>
      </c>
      <c r="P4193" s="12">
        <f t="shared" si="657"/>
        <v>0</v>
      </c>
      <c r="Q4193" s="17" t="str">
        <f t="shared" si="659"/>
        <v>Pas d'écart</v>
      </c>
    </row>
    <row r="4194" spans="1:18" x14ac:dyDescent="0.3">
      <c r="A4194" s="34" t="str">
        <f>base!J4194</f>
        <v>RS</v>
      </c>
      <c r="B4194" s="34" t="str">
        <f>base!V4194</f>
        <v>10120</v>
      </c>
      <c r="C4194" s="37">
        <v>10</v>
      </c>
      <c r="D4194" s="36">
        <f>base!H4194</f>
        <v>151</v>
      </c>
      <c r="E4194" s="44"/>
      <c r="F4194" s="16">
        <f>base!W4194</f>
        <v>0</v>
      </c>
      <c r="G4194" s="11">
        <f t="shared" si="650"/>
        <v>0</v>
      </c>
      <c r="H4194" s="11">
        <f t="shared" si="651"/>
        <v>34.730000000000004</v>
      </c>
      <c r="I4194" s="11">
        <f t="shared" si="652"/>
        <v>0.23000000000000004</v>
      </c>
      <c r="J4194" s="12">
        <f t="shared" si="653"/>
        <v>-34.730000000000004</v>
      </c>
      <c r="K4194" s="17" t="str">
        <f t="shared" si="658"/>
        <v>Ecart négatif</v>
      </c>
      <c r="L4194" s="16">
        <f>base!X4194</f>
        <v>0</v>
      </c>
      <c r="M4194" s="11">
        <f t="shared" si="654"/>
        <v>0</v>
      </c>
      <c r="N4194" s="11">
        <f t="shared" si="655"/>
        <v>18.12</v>
      </c>
      <c r="O4194" s="11">
        <f t="shared" si="656"/>
        <v>0.12000000000000001</v>
      </c>
      <c r="P4194" s="12">
        <f t="shared" si="657"/>
        <v>-18.12</v>
      </c>
      <c r="Q4194" s="17" t="str">
        <f t="shared" si="659"/>
        <v>Ecart négatif</v>
      </c>
    </row>
    <row r="4195" spans="1:18" x14ac:dyDescent="0.3">
      <c r="A4195" s="34">
        <f>base!J4195</f>
        <v>0</v>
      </c>
      <c r="B4195" s="34" t="str">
        <f>base!V4195</f>
        <v>77184</v>
      </c>
      <c r="C4195" s="37">
        <v>77</v>
      </c>
      <c r="D4195" s="36">
        <f>base!H4195</f>
        <v>184</v>
      </c>
      <c r="E4195" s="44"/>
      <c r="F4195" s="16">
        <f>base!W4195</f>
        <v>0</v>
      </c>
      <c r="G4195" s="11">
        <f t="shared" si="650"/>
        <v>0</v>
      </c>
      <c r="H4195" s="11">
        <f t="shared" si="651"/>
        <v>0</v>
      </c>
      <c r="I4195" s="11">
        <f t="shared" si="652"/>
        <v>0</v>
      </c>
      <c r="J4195" s="12">
        <f t="shared" si="653"/>
        <v>0</v>
      </c>
      <c r="K4195" s="17" t="str">
        <f t="shared" si="658"/>
        <v>Pas d'écart</v>
      </c>
      <c r="L4195" s="16">
        <f>base!X4195</f>
        <v>0</v>
      </c>
      <c r="M4195" s="11">
        <f t="shared" si="654"/>
        <v>0</v>
      </c>
      <c r="N4195" s="11">
        <f t="shared" si="655"/>
        <v>0</v>
      </c>
      <c r="O4195" s="11">
        <f t="shared" si="656"/>
        <v>0</v>
      </c>
      <c r="P4195" s="12">
        <f t="shared" si="657"/>
        <v>0</v>
      </c>
      <c r="Q4195" s="17" t="str">
        <f t="shared" si="659"/>
        <v>Pas d'écart</v>
      </c>
    </row>
    <row r="4196" spans="1:18" x14ac:dyDescent="0.3">
      <c r="A4196" s="34" t="str">
        <f>base!J4196</f>
        <v>LS</v>
      </c>
      <c r="B4196" s="34" t="str">
        <f>base!V4196</f>
        <v>13012</v>
      </c>
      <c r="C4196" s="37">
        <v>1</v>
      </c>
      <c r="D4196" s="36">
        <f>base!H4196</f>
        <v>1.1499999999999999</v>
      </c>
      <c r="E4196" s="44"/>
      <c r="F4196" s="16">
        <f>base!W4196</f>
        <v>0.33</v>
      </c>
      <c r="G4196" s="11">
        <f t="shared" si="650"/>
        <v>0.28695652173913044</v>
      </c>
      <c r="H4196" s="11">
        <f t="shared" si="651"/>
        <v>0.29899999999999999</v>
      </c>
      <c r="I4196" s="11">
        <f t="shared" si="652"/>
        <v>0.26</v>
      </c>
      <c r="J4196" s="12">
        <f t="shared" si="653"/>
        <v>3.1000000000000028E-2</v>
      </c>
      <c r="K4196" s="17" t="str">
        <f t="shared" si="658"/>
        <v>Ecart positif</v>
      </c>
      <c r="L4196" s="16">
        <f>base!X4196</f>
        <v>0</v>
      </c>
      <c r="M4196" s="11">
        <f t="shared" si="654"/>
        <v>0</v>
      </c>
      <c r="N4196" s="11">
        <f t="shared" si="655"/>
        <v>0</v>
      </c>
      <c r="O4196" s="11">
        <f t="shared" si="656"/>
        <v>0</v>
      </c>
      <c r="P4196" s="12">
        <f t="shared" si="657"/>
        <v>0</v>
      </c>
      <c r="Q4196" s="17" t="str">
        <f t="shared" si="659"/>
        <v>Pas d'écart</v>
      </c>
    </row>
    <row r="4197" spans="1:18" x14ac:dyDescent="0.3">
      <c r="A4197" s="34" t="str">
        <f>base!J4197</f>
        <v>RM</v>
      </c>
      <c r="B4197" s="34" t="str">
        <f>base!V4197</f>
        <v>34500</v>
      </c>
      <c r="C4197" s="37">
        <v>34</v>
      </c>
      <c r="D4197" s="36">
        <f>base!H4197</f>
        <v>180</v>
      </c>
      <c r="E4197" s="44"/>
      <c r="F4197" s="16">
        <f>base!W4197</f>
        <v>0</v>
      </c>
      <c r="G4197" s="11">
        <f t="shared" si="650"/>
        <v>0</v>
      </c>
      <c r="H4197" s="11">
        <f t="shared" si="651"/>
        <v>70.2</v>
      </c>
      <c r="I4197" s="11">
        <f t="shared" si="652"/>
        <v>0.39</v>
      </c>
      <c r="J4197" s="12">
        <f t="shared" si="653"/>
        <v>-70.2</v>
      </c>
      <c r="K4197" s="17" t="str">
        <f t="shared" si="658"/>
        <v>Ecart négatif</v>
      </c>
      <c r="L4197" s="16">
        <f>base!X4197</f>
        <v>50.4</v>
      </c>
      <c r="M4197" s="11">
        <f t="shared" si="654"/>
        <v>0.27999999999999997</v>
      </c>
      <c r="N4197" s="11">
        <f t="shared" si="655"/>
        <v>50.400000000000006</v>
      </c>
      <c r="O4197" s="11">
        <f t="shared" si="656"/>
        <v>0.28000000000000003</v>
      </c>
      <c r="P4197" s="12">
        <f t="shared" si="657"/>
        <v>0</v>
      </c>
      <c r="Q4197" s="17" t="str">
        <f t="shared" si="659"/>
        <v>Pas d'écart</v>
      </c>
      <c r="R4197" s="38"/>
    </row>
    <row r="4198" spans="1:18" x14ac:dyDescent="0.3">
      <c r="A4198" s="34" t="str">
        <f>base!J4198</f>
        <v>RM</v>
      </c>
      <c r="B4198" s="34" t="str">
        <f>base!V4198</f>
        <v>34500</v>
      </c>
      <c r="C4198" s="37">
        <v>34</v>
      </c>
      <c r="D4198" s="36">
        <f>base!H4198</f>
        <v>180</v>
      </c>
      <c r="E4198" s="44"/>
      <c r="F4198" s="16">
        <f>base!W4198</f>
        <v>0</v>
      </c>
      <c r="G4198" s="11">
        <f t="shared" si="650"/>
        <v>0</v>
      </c>
      <c r="H4198" s="11">
        <f t="shared" si="651"/>
        <v>70.2</v>
      </c>
      <c r="I4198" s="11">
        <f t="shared" si="652"/>
        <v>0.39</v>
      </c>
      <c r="J4198" s="12">
        <f t="shared" si="653"/>
        <v>-70.2</v>
      </c>
      <c r="K4198" s="17" t="str">
        <f t="shared" si="658"/>
        <v>Ecart négatif</v>
      </c>
      <c r="L4198" s="16">
        <f>base!X4198</f>
        <v>0</v>
      </c>
      <c r="M4198" s="11">
        <f t="shared" si="654"/>
        <v>0</v>
      </c>
      <c r="N4198" s="11">
        <f t="shared" si="655"/>
        <v>50.400000000000006</v>
      </c>
      <c r="O4198" s="11">
        <f t="shared" si="656"/>
        <v>0.28000000000000003</v>
      </c>
      <c r="P4198" s="12">
        <f t="shared" si="657"/>
        <v>-50.400000000000006</v>
      </c>
      <c r="Q4198" s="17" t="str">
        <f t="shared" si="659"/>
        <v>Ecart négatif</v>
      </c>
    </row>
    <row r="4199" spans="1:18" x14ac:dyDescent="0.3">
      <c r="A4199" s="34" t="str">
        <f>base!J4199</f>
        <v>DRS</v>
      </c>
      <c r="B4199" s="34" t="str">
        <f>base!V4199</f>
        <v>64330</v>
      </c>
      <c r="C4199" s="37">
        <v>64</v>
      </c>
      <c r="D4199" s="36">
        <f>base!H4199</f>
        <v>67</v>
      </c>
      <c r="E4199" s="44"/>
      <c r="F4199" s="16">
        <f>base!W4199</f>
        <v>0</v>
      </c>
      <c r="G4199" s="11">
        <f t="shared" si="650"/>
        <v>0</v>
      </c>
      <c r="H4199" s="11">
        <f t="shared" si="651"/>
        <v>14.07</v>
      </c>
      <c r="I4199" s="11">
        <f t="shared" si="652"/>
        <v>0.21</v>
      </c>
      <c r="J4199" s="12">
        <f t="shared" si="653"/>
        <v>-14.07</v>
      </c>
      <c r="K4199" s="17" t="str">
        <f t="shared" si="658"/>
        <v>Ecart négatif</v>
      </c>
      <c r="L4199" s="16">
        <f>base!X4199</f>
        <v>0</v>
      </c>
      <c r="M4199" s="11">
        <f t="shared" si="654"/>
        <v>0</v>
      </c>
      <c r="N4199" s="11">
        <f t="shared" si="655"/>
        <v>11.39</v>
      </c>
      <c r="O4199" s="11">
        <f t="shared" si="656"/>
        <v>0.17</v>
      </c>
      <c r="P4199" s="12">
        <f t="shared" si="657"/>
        <v>-11.39</v>
      </c>
      <c r="Q4199" s="17" t="str">
        <f t="shared" si="659"/>
        <v>Ecart négatif</v>
      </c>
    </row>
    <row r="4200" spans="1:18" x14ac:dyDescent="0.3">
      <c r="A4200" s="34" t="str">
        <f>base!J4200</f>
        <v>LS</v>
      </c>
      <c r="B4200" s="34" t="str">
        <f>base!V4200</f>
        <v>01000</v>
      </c>
      <c r="C4200" s="37">
        <v>54</v>
      </c>
      <c r="D4200" s="36">
        <f>base!H4200</f>
        <v>18.350000000000001</v>
      </c>
      <c r="E4200" s="44"/>
      <c r="F4200" s="16">
        <f>base!W4200</f>
        <v>4.95</v>
      </c>
      <c r="G4200" s="11">
        <f t="shared" si="650"/>
        <v>0.26975476839237056</v>
      </c>
      <c r="H4200" s="11">
        <f t="shared" si="651"/>
        <v>4.5875000000000004</v>
      </c>
      <c r="I4200" s="11">
        <f t="shared" si="652"/>
        <v>0.25</v>
      </c>
      <c r="J4200" s="12">
        <f t="shared" si="653"/>
        <v>0.36249999999999982</v>
      </c>
      <c r="K4200" s="17" t="str">
        <f t="shared" si="658"/>
        <v>Ecart positif</v>
      </c>
      <c r="L4200" s="16">
        <f>base!X4200</f>
        <v>0</v>
      </c>
      <c r="M4200" s="11">
        <f t="shared" si="654"/>
        <v>0</v>
      </c>
      <c r="N4200" s="11">
        <f t="shared" si="655"/>
        <v>4.5875000000000004</v>
      </c>
      <c r="O4200" s="11">
        <f t="shared" si="656"/>
        <v>0.25</v>
      </c>
      <c r="P4200" s="12">
        <f t="shared" si="657"/>
        <v>-4.5875000000000004</v>
      </c>
      <c r="Q4200" s="17" t="str">
        <f t="shared" si="659"/>
        <v>Ecart négatif</v>
      </c>
    </row>
    <row r="4201" spans="1:18" x14ac:dyDescent="0.3">
      <c r="A4201" s="34">
        <f>base!J4201</f>
        <v>0</v>
      </c>
      <c r="B4201" s="34" t="str">
        <f>base!V4201</f>
        <v>44240</v>
      </c>
      <c r="C4201" s="37">
        <v>44</v>
      </c>
      <c r="D4201" s="36">
        <f>base!H4201</f>
        <v>31.6</v>
      </c>
      <c r="E4201" s="44"/>
      <c r="F4201" s="16">
        <f>base!W4201</f>
        <v>0</v>
      </c>
      <c r="G4201" s="11">
        <f t="shared" si="650"/>
        <v>0</v>
      </c>
      <c r="H4201" s="11">
        <f t="shared" si="651"/>
        <v>8.5320000000000018</v>
      </c>
      <c r="I4201" s="11">
        <f t="shared" si="652"/>
        <v>0.27</v>
      </c>
      <c r="J4201" s="12">
        <f t="shared" si="653"/>
        <v>-8.5320000000000018</v>
      </c>
      <c r="K4201" s="17" t="str">
        <f t="shared" si="658"/>
        <v>Ecart négatif</v>
      </c>
      <c r="L4201" s="16">
        <f>base!X4201</f>
        <v>0</v>
      </c>
      <c r="M4201" s="11">
        <f t="shared" si="654"/>
        <v>0</v>
      </c>
      <c r="N4201" s="11">
        <f t="shared" si="655"/>
        <v>0</v>
      </c>
      <c r="O4201" s="11">
        <f t="shared" si="656"/>
        <v>0</v>
      </c>
      <c r="P4201" s="12">
        <f t="shared" si="657"/>
        <v>0</v>
      </c>
      <c r="Q4201" s="17" t="str">
        <f t="shared" si="659"/>
        <v>Pas d'écart</v>
      </c>
    </row>
    <row r="4202" spans="1:18" x14ac:dyDescent="0.3">
      <c r="A4202" s="34" t="str">
        <f>base!J4202</f>
        <v>RS</v>
      </c>
      <c r="B4202" s="34" t="str">
        <f>base!V4202</f>
        <v>59490</v>
      </c>
      <c r="C4202" s="37">
        <v>59</v>
      </c>
      <c r="D4202" s="36">
        <f>base!H4202</f>
        <v>199.02</v>
      </c>
      <c r="E4202" s="44"/>
      <c r="F4202" s="16">
        <f>base!W4202</f>
        <v>0</v>
      </c>
      <c r="G4202" s="11">
        <f t="shared" si="650"/>
        <v>0</v>
      </c>
      <c r="H4202" s="11">
        <f t="shared" si="651"/>
        <v>37.813800000000001</v>
      </c>
      <c r="I4202" s="11">
        <f t="shared" si="652"/>
        <v>0.19</v>
      </c>
      <c r="J4202" s="12">
        <f t="shared" si="653"/>
        <v>-37.813800000000001</v>
      </c>
      <c r="K4202" s="17" t="str">
        <f t="shared" si="658"/>
        <v>Ecart négatif</v>
      </c>
      <c r="L4202" s="16">
        <f>base!X4202</f>
        <v>0</v>
      </c>
      <c r="M4202" s="11">
        <f t="shared" si="654"/>
        <v>0</v>
      </c>
      <c r="N4202" s="11">
        <f t="shared" si="655"/>
        <v>0</v>
      </c>
      <c r="O4202" s="11">
        <f t="shared" si="656"/>
        <v>0</v>
      </c>
      <c r="P4202" s="12">
        <f t="shared" si="657"/>
        <v>0</v>
      </c>
      <c r="Q4202" s="17" t="str">
        <f t="shared" si="659"/>
        <v>Pas d'écart</v>
      </c>
    </row>
    <row r="4203" spans="1:18" x14ac:dyDescent="0.3">
      <c r="A4203" s="34" t="str">
        <f>base!J4203</f>
        <v>DRS</v>
      </c>
      <c r="B4203" s="34" t="str">
        <f>base!V4203</f>
        <v>06320</v>
      </c>
      <c r="C4203" s="37">
        <v>6</v>
      </c>
      <c r="D4203" s="36">
        <f>base!H4203</f>
        <v>40</v>
      </c>
      <c r="E4203" s="44"/>
      <c r="F4203" s="16">
        <f>base!W4203</f>
        <v>0</v>
      </c>
      <c r="G4203" s="11">
        <f t="shared" si="650"/>
        <v>0</v>
      </c>
      <c r="H4203" s="11">
        <f t="shared" si="651"/>
        <v>12</v>
      </c>
      <c r="I4203" s="11">
        <f t="shared" si="652"/>
        <v>0.3</v>
      </c>
      <c r="J4203" s="12">
        <f t="shared" si="653"/>
        <v>-12</v>
      </c>
      <c r="K4203" s="17" t="str">
        <f t="shared" si="658"/>
        <v>Ecart négatif</v>
      </c>
      <c r="L4203" s="16">
        <f>base!X4203</f>
        <v>0</v>
      </c>
      <c r="M4203" s="11">
        <f t="shared" si="654"/>
        <v>0</v>
      </c>
      <c r="N4203" s="11">
        <f t="shared" si="655"/>
        <v>8.4</v>
      </c>
      <c r="O4203" s="11">
        <f t="shared" si="656"/>
        <v>0.21000000000000002</v>
      </c>
      <c r="P4203" s="12">
        <f t="shared" si="657"/>
        <v>-8.4</v>
      </c>
      <c r="Q4203" s="17" t="str">
        <f t="shared" si="659"/>
        <v>Ecart négatif</v>
      </c>
    </row>
    <row r="4204" spans="1:18" x14ac:dyDescent="0.3">
      <c r="A4204" s="34" t="str">
        <f>base!J4204</f>
        <v>LS</v>
      </c>
      <c r="B4204" s="34" t="str">
        <f>base!V4204</f>
        <v>19100</v>
      </c>
      <c r="C4204" s="37">
        <v>38</v>
      </c>
      <c r="D4204" s="36">
        <f>base!H4204</f>
        <v>160.63999999999999</v>
      </c>
      <c r="E4204" s="44"/>
      <c r="F4204" s="16">
        <f>base!W4204</f>
        <v>0</v>
      </c>
      <c r="G4204" s="11">
        <f t="shared" si="650"/>
        <v>0</v>
      </c>
      <c r="H4204" s="11">
        <f t="shared" si="651"/>
        <v>43.372799999999998</v>
      </c>
      <c r="I4204" s="11">
        <f t="shared" si="652"/>
        <v>0.27</v>
      </c>
      <c r="J4204" s="12">
        <f t="shared" si="653"/>
        <v>-43.372799999999998</v>
      </c>
      <c r="K4204" s="17" t="str">
        <f t="shared" si="658"/>
        <v>Ecart négatif</v>
      </c>
      <c r="L4204" s="16">
        <f>base!X4204</f>
        <v>0</v>
      </c>
      <c r="M4204" s="11">
        <f t="shared" si="654"/>
        <v>0</v>
      </c>
      <c r="N4204" s="11">
        <f t="shared" si="655"/>
        <v>0</v>
      </c>
      <c r="O4204" s="11">
        <f t="shared" si="656"/>
        <v>0</v>
      </c>
      <c r="P4204" s="12">
        <f t="shared" si="657"/>
        <v>0</v>
      </c>
      <c r="Q4204" s="17" t="str">
        <f t="shared" si="659"/>
        <v>Pas d'écart</v>
      </c>
    </row>
    <row r="4205" spans="1:18" x14ac:dyDescent="0.3">
      <c r="A4205" s="34" t="str">
        <f>base!J4205</f>
        <v>LS</v>
      </c>
      <c r="B4205" s="34" t="str">
        <f>base!V4205</f>
        <v>19130</v>
      </c>
      <c r="C4205" s="37">
        <v>44</v>
      </c>
      <c r="D4205" s="36">
        <f>base!H4205</f>
        <v>129.59</v>
      </c>
      <c r="E4205" s="44"/>
      <c r="F4205" s="16">
        <f>base!W4205</f>
        <v>0</v>
      </c>
      <c r="G4205" s="11">
        <f t="shared" si="650"/>
        <v>0</v>
      </c>
      <c r="H4205" s="11">
        <f t="shared" si="651"/>
        <v>34.9893</v>
      </c>
      <c r="I4205" s="11">
        <f t="shared" si="652"/>
        <v>0.27</v>
      </c>
      <c r="J4205" s="12">
        <f t="shared" si="653"/>
        <v>-34.9893</v>
      </c>
      <c r="K4205" s="17" t="str">
        <f t="shared" si="658"/>
        <v>Ecart négatif</v>
      </c>
      <c r="L4205" s="16">
        <f>base!X4205</f>
        <v>0</v>
      </c>
      <c r="M4205" s="11">
        <f t="shared" si="654"/>
        <v>0</v>
      </c>
      <c r="N4205" s="11">
        <f t="shared" si="655"/>
        <v>0</v>
      </c>
      <c r="O4205" s="11">
        <f t="shared" si="656"/>
        <v>0</v>
      </c>
      <c r="P4205" s="12">
        <f t="shared" si="657"/>
        <v>0</v>
      </c>
      <c r="Q4205" s="17" t="str">
        <f t="shared" si="659"/>
        <v>Pas d'écart</v>
      </c>
    </row>
    <row r="4206" spans="1:18" x14ac:dyDescent="0.3">
      <c r="A4206" s="34" t="str">
        <f>base!J4206</f>
        <v>LM</v>
      </c>
      <c r="B4206" s="34" t="str">
        <f>base!V4206</f>
        <v>28320</v>
      </c>
      <c r="C4206" s="37">
        <v>57</v>
      </c>
      <c r="D4206" s="36">
        <f>base!H4206</f>
        <v>102.68</v>
      </c>
      <c r="E4206" s="44"/>
      <c r="F4206" s="16">
        <f>base!W4206</f>
        <v>21.56</v>
      </c>
      <c r="G4206" s="11">
        <f t="shared" si="650"/>
        <v>0.20997273081417994</v>
      </c>
      <c r="H4206" s="11">
        <f t="shared" si="651"/>
        <v>24.6432</v>
      </c>
      <c r="I4206" s="11">
        <f t="shared" si="652"/>
        <v>0.24</v>
      </c>
      <c r="J4206" s="12">
        <f t="shared" si="653"/>
        <v>-3.0832000000000015</v>
      </c>
      <c r="K4206" s="17" t="str">
        <f t="shared" si="658"/>
        <v>Ecart négatif</v>
      </c>
      <c r="L4206" s="16">
        <f>base!X4206</f>
        <v>0</v>
      </c>
      <c r="M4206" s="11">
        <f t="shared" si="654"/>
        <v>0</v>
      </c>
      <c r="N4206" s="11">
        <f t="shared" si="655"/>
        <v>25.67</v>
      </c>
      <c r="O4206" s="11">
        <f t="shared" si="656"/>
        <v>0.25</v>
      </c>
      <c r="P4206" s="12">
        <f t="shared" si="657"/>
        <v>-25.67</v>
      </c>
      <c r="Q4206" s="17" t="str">
        <f t="shared" si="659"/>
        <v>Ecart négatif</v>
      </c>
    </row>
    <row r="4207" spans="1:18" x14ac:dyDescent="0.3">
      <c r="A4207" s="34" t="str">
        <f>base!J4207</f>
        <v>LM</v>
      </c>
      <c r="B4207" s="34" t="str">
        <f>base!V4207</f>
        <v>62380</v>
      </c>
      <c r="C4207" s="37">
        <v>53</v>
      </c>
      <c r="D4207" s="36">
        <f>base!H4207</f>
        <v>19.8</v>
      </c>
      <c r="E4207" s="44"/>
      <c r="F4207" s="16">
        <f>base!W4207</f>
        <v>3.76</v>
      </c>
      <c r="G4207" s="11">
        <f t="shared" si="650"/>
        <v>0.18989898989898987</v>
      </c>
      <c r="H4207" s="11">
        <f t="shared" si="651"/>
        <v>5.346000000000001</v>
      </c>
      <c r="I4207" s="11">
        <f t="shared" si="652"/>
        <v>0.27</v>
      </c>
      <c r="J4207" s="12">
        <f t="shared" si="653"/>
        <v>-1.5860000000000012</v>
      </c>
      <c r="K4207" s="17" t="str">
        <f t="shared" si="658"/>
        <v>Ecart négatif</v>
      </c>
      <c r="L4207" s="16">
        <f>base!X4207</f>
        <v>0</v>
      </c>
      <c r="M4207" s="11">
        <f t="shared" si="654"/>
        <v>0</v>
      </c>
      <c r="N4207" s="11">
        <f t="shared" si="655"/>
        <v>0</v>
      </c>
      <c r="O4207" s="11">
        <f t="shared" si="656"/>
        <v>0</v>
      </c>
      <c r="P4207" s="12">
        <f t="shared" si="657"/>
        <v>0</v>
      </c>
      <c r="Q4207" s="17" t="str">
        <f t="shared" si="659"/>
        <v>Pas d'écart</v>
      </c>
    </row>
    <row r="4208" spans="1:18" x14ac:dyDescent="0.3">
      <c r="A4208" s="34" t="str">
        <f>base!J4208</f>
        <v>LS</v>
      </c>
      <c r="B4208" s="34" t="str">
        <f>base!V4208</f>
        <v>74300</v>
      </c>
      <c r="C4208" s="37">
        <v>57</v>
      </c>
      <c r="D4208" s="36">
        <f>base!H4208</f>
        <v>183.25</v>
      </c>
      <c r="E4208" s="44"/>
      <c r="F4208" s="16">
        <f>base!W4208</f>
        <v>49.48</v>
      </c>
      <c r="G4208" s="11">
        <f t="shared" si="650"/>
        <v>0.27001364256480215</v>
      </c>
      <c r="H4208" s="11">
        <f t="shared" si="651"/>
        <v>43.98</v>
      </c>
      <c r="I4208" s="11">
        <f t="shared" si="652"/>
        <v>0.24</v>
      </c>
      <c r="J4208" s="12">
        <f t="shared" si="653"/>
        <v>5.5</v>
      </c>
      <c r="K4208" s="17" t="str">
        <f t="shared" si="658"/>
        <v>Ecart positif</v>
      </c>
      <c r="L4208" s="16">
        <f>base!X4208</f>
        <v>0</v>
      </c>
      <c r="M4208" s="11">
        <f t="shared" si="654"/>
        <v>0</v>
      </c>
      <c r="N4208" s="11">
        <f t="shared" si="655"/>
        <v>45.8125</v>
      </c>
      <c r="O4208" s="11">
        <f t="shared" si="656"/>
        <v>0.25</v>
      </c>
      <c r="P4208" s="12">
        <f t="shared" si="657"/>
        <v>-45.8125</v>
      </c>
      <c r="Q4208" s="17" t="str">
        <f t="shared" si="659"/>
        <v>Ecart négatif</v>
      </c>
    </row>
    <row r="4209" spans="1:17" x14ac:dyDescent="0.3">
      <c r="A4209" s="34" t="str">
        <f>base!J4209</f>
        <v>RM</v>
      </c>
      <c r="B4209" s="34" t="str">
        <f>base!V4209</f>
        <v>69005</v>
      </c>
      <c r="C4209" s="37">
        <v>69</v>
      </c>
      <c r="D4209" s="36">
        <f>base!H4209</f>
        <v>151</v>
      </c>
      <c r="E4209" s="44"/>
      <c r="F4209" s="16">
        <f>base!W4209</f>
        <v>0</v>
      </c>
      <c r="G4209" s="11">
        <f t="shared" si="650"/>
        <v>0</v>
      </c>
      <c r="H4209" s="11">
        <f t="shared" si="651"/>
        <v>40.770000000000003</v>
      </c>
      <c r="I4209" s="11">
        <f t="shared" si="652"/>
        <v>0.27</v>
      </c>
      <c r="J4209" s="12">
        <f t="shared" si="653"/>
        <v>-40.770000000000003</v>
      </c>
      <c r="K4209" s="17" t="str">
        <f t="shared" si="658"/>
        <v>Ecart négatif</v>
      </c>
      <c r="L4209" s="16">
        <f>base!X4209</f>
        <v>0</v>
      </c>
      <c r="M4209" s="11">
        <f t="shared" si="654"/>
        <v>0</v>
      </c>
      <c r="N4209" s="11">
        <f t="shared" si="655"/>
        <v>0</v>
      </c>
      <c r="O4209" s="11">
        <f t="shared" si="656"/>
        <v>0</v>
      </c>
      <c r="P4209" s="12">
        <f t="shared" si="657"/>
        <v>0</v>
      </c>
      <c r="Q4209" s="17" t="str">
        <f t="shared" si="659"/>
        <v>Pas d'écart</v>
      </c>
    </row>
    <row r="4210" spans="1:17" x14ac:dyDescent="0.3">
      <c r="A4210" s="34" t="str">
        <f>base!J4210</f>
        <v>LM</v>
      </c>
      <c r="B4210" s="34" t="str">
        <f>base!V4210</f>
        <v>73000</v>
      </c>
      <c r="C4210" s="37">
        <v>56</v>
      </c>
      <c r="D4210" s="36">
        <f>base!H4210</f>
        <v>153.44999999999999</v>
      </c>
      <c r="E4210" s="44"/>
      <c r="F4210" s="16">
        <f>base!W4210</f>
        <v>41.43</v>
      </c>
      <c r="G4210" s="11">
        <f t="shared" si="650"/>
        <v>0.26999022482893453</v>
      </c>
      <c r="H4210" s="11">
        <f t="shared" si="651"/>
        <v>41.4315</v>
      </c>
      <c r="I4210" s="11">
        <f t="shared" si="652"/>
        <v>0.27</v>
      </c>
      <c r="J4210" s="12">
        <f t="shared" si="653"/>
        <v>-1.5000000000000568E-3</v>
      </c>
      <c r="K4210" s="17" t="str">
        <f t="shared" si="658"/>
        <v>Ecart négatif</v>
      </c>
      <c r="L4210" s="16">
        <f>base!X4210</f>
        <v>0</v>
      </c>
      <c r="M4210" s="11">
        <f t="shared" si="654"/>
        <v>0</v>
      </c>
      <c r="N4210" s="11">
        <f t="shared" si="655"/>
        <v>0</v>
      </c>
      <c r="O4210" s="11">
        <f t="shared" si="656"/>
        <v>0</v>
      </c>
      <c r="P4210" s="12">
        <f t="shared" si="657"/>
        <v>0</v>
      </c>
      <c r="Q4210" s="17" t="str">
        <f t="shared" si="659"/>
        <v>Pas d'écart</v>
      </c>
    </row>
    <row r="4211" spans="1:17" x14ac:dyDescent="0.3">
      <c r="A4211" s="34" t="str">
        <f>base!J4211</f>
        <v>LS</v>
      </c>
      <c r="B4211" s="34" t="str">
        <f>base!V4211</f>
        <v>60400</v>
      </c>
      <c r="C4211" s="37">
        <v>56</v>
      </c>
      <c r="D4211" s="36">
        <f>base!H4211</f>
        <v>149.58000000000001</v>
      </c>
      <c r="E4211" s="44"/>
      <c r="F4211" s="16">
        <f>base!W4211</f>
        <v>28.42</v>
      </c>
      <c r="G4211" s="11">
        <f t="shared" si="650"/>
        <v>0.18999866292285064</v>
      </c>
      <c r="H4211" s="11">
        <f t="shared" si="651"/>
        <v>40.386600000000008</v>
      </c>
      <c r="I4211" s="11">
        <f t="shared" si="652"/>
        <v>0.27</v>
      </c>
      <c r="J4211" s="12">
        <f t="shared" si="653"/>
        <v>-11.966600000000007</v>
      </c>
      <c r="K4211" s="17" t="str">
        <f t="shared" si="658"/>
        <v>Ecart négatif</v>
      </c>
      <c r="L4211" s="16">
        <f>base!X4211</f>
        <v>0</v>
      </c>
      <c r="M4211" s="11">
        <f t="shared" si="654"/>
        <v>0</v>
      </c>
      <c r="N4211" s="11">
        <f t="shared" si="655"/>
        <v>0</v>
      </c>
      <c r="O4211" s="11">
        <f t="shared" si="656"/>
        <v>0</v>
      </c>
      <c r="P4211" s="12">
        <f t="shared" si="657"/>
        <v>0</v>
      </c>
      <c r="Q4211" s="17" t="str">
        <f t="shared" si="659"/>
        <v>Pas d'écart</v>
      </c>
    </row>
    <row r="4212" spans="1:17" x14ac:dyDescent="0.3">
      <c r="A4212" s="34">
        <f>base!J4212</f>
        <v>0</v>
      </c>
      <c r="B4212" s="34" t="str">
        <f>base!V4212</f>
        <v>77184</v>
      </c>
      <c r="C4212" s="37">
        <v>77</v>
      </c>
      <c r="D4212" s="36">
        <f>base!H4212</f>
        <v>26.6</v>
      </c>
      <c r="E4212" s="44"/>
      <c r="F4212" s="16">
        <f>base!W4212</f>
        <v>0</v>
      </c>
      <c r="G4212" s="11">
        <f t="shared" si="650"/>
        <v>0</v>
      </c>
      <c r="H4212" s="11">
        <f t="shared" si="651"/>
        <v>0</v>
      </c>
      <c r="I4212" s="11">
        <f t="shared" si="652"/>
        <v>0</v>
      </c>
      <c r="J4212" s="12">
        <f t="shared" si="653"/>
        <v>0</v>
      </c>
      <c r="K4212" s="17" t="str">
        <f t="shared" si="658"/>
        <v>Pas d'écart</v>
      </c>
      <c r="L4212" s="16">
        <f>base!X4212</f>
        <v>0</v>
      </c>
      <c r="M4212" s="11">
        <f t="shared" si="654"/>
        <v>0</v>
      </c>
      <c r="N4212" s="11">
        <f t="shared" si="655"/>
        <v>0</v>
      </c>
      <c r="O4212" s="11">
        <f t="shared" si="656"/>
        <v>0</v>
      </c>
      <c r="P4212" s="12">
        <f t="shared" si="657"/>
        <v>0</v>
      </c>
      <c r="Q4212" s="17" t="str">
        <f t="shared" si="659"/>
        <v>Pas d'écart</v>
      </c>
    </row>
    <row r="4213" spans="1:17" x14ac:dyDescent="0.3">
      <c r="A4213" s="34" t="str">
        <f>base!J4213</f>
        <v>DLM</v>
      </c>
      <c r="B4213" s="34" t="str">
        <f>base!V4213</f>
        <v>75009</v>
      </c>
      <c r="C4213" s="37">
        <v>75</v>
      </c>
      <c r="D4213" s="36">
        <f>base!H4213</f>
        <v>119</v>
      </c>
      <c r="E4213" s="44"/>
      <c r="F4213" s="16">
        <f>base!W4213</f>
        <v>0</v>
      </c>
      <c r="G4213" s="11">
        <f t="shared" si="650"/>
        <v>0</v>
      </c>
      <c r="H4213" s="11">
        <f t="shared" si="651"/>
        <v>0</v>
      </c>
      <c r="I4213" s="11">
        <f t="shared" si="652"/>
        <v>0</v>
      </c>
      <c r="J4213" s="12">
        <f t="shared" si="653"/>
        <v>0</v>
      </c>
      <c r="K4213" s="17" t="str">
        <f t="shared" si="658"/>
        <v>Pas d'écart</v>
      </c>
      <c r="L4213" s="16">
        <f>base!X4213</f>
        <v>0</v>
      </c>
      <c r="M4213" s="11">
        <f t="shared" si="654"/>
        <v>0</v>
      </c>
      <c r="N4213" s="11">
        <f t="shared" si="655"/>
        <v>0</v>
      </c>
      <c r="O4213" s="11">
        <f t="shared" si="656"/>
        <v>0</v>
      </c>
      <c r="P4213" s="12">
        <f t="shared" si="657"/>
        <v>0</v>
      </c>
      <c r="Q4213" s="17" t="str">
        <f t="shared" si="659"/>
        <v>Pas d'écart</v>
      </c>
    </row>
    <row r="4214" spans="1:17" x14ac:dyDescent="0.3">
      <c r="A4214" s="34" t="str">
        <f>base!J4214</f>
        <v>LS</v>
      </c>
      <c r="B4214" s="34" t="str">
        <f>base!V4214</f>
        <v>69120</v>
      </c>
      <c r="C4214" s="37">
        <v>35</v>
      </c>
      <c r="D4214" s="36">
        <f>base!H4214</f>
        <v>120.65</v>
      </c>
      <c r="E4214" s="44"/>
      <c r="F4214" s="16">
        <f>base!W4214</f>
        <v>32.58</v>
      </c>
      <c r="G4214" s="11">
        <f t="shared" si="650"/>
        <v>0.27003729796933273</v>
      </c>
      <c r="H4214" s="11">
        <f t="shared" si="651"/>
        <v>32.575500000000005</v>
      </c>
      <c r="I4214" s="11">
        <f t="shared" si="652"/>
        <v>0.27</v>
      </c>
      <c r="J4214" s="12">
        <f t="shared" si="653"/>
        <v>4.4999999999930651E-3</v>
      </c>
      <c r="K4214" s="17" t="str">
        <f t="shared" si="658"/>
        <v>Ecart positif</v>
      </c>
      <c r="L4214" s="16">
        <f>base!X4214</f>
        <v>0</v>
      </c>
      <c r="M4214" s="11">
        <f t="shared" si="654"/>
        <v>0</v>
      </c>
      <c r="N4214" s="11">
        <f t="shared" si="655"/>
        <v>0</v>
      </c>
      <c r="O4214" s="11">
        <f t="shared" si="656"/>
        <v>0</v>
      </c>
      <c r="P4214" s="12">
        <f t="shared" si="657"/>
        <v>0</v>
      </c>
      <c r="Q4214" s="17" t="str">
        <f t="shared" si="659"/>
        <v>Pas d'écart</v>
      </c>
    </row>
    <row r="4215" spans="1:17" x14ac:dyDescent="0.3">
      <c r="A4215" s="34">
        <f>base!J4215</f>
        <v>0</v>
      </c>
      <c r="B4215" s="34" t="str">
        <f>base!V4215</f>
        <v>77184</v>
      </c>
      <c r="C4215" s="37">
        <v>77</v>
      </c>
      <c r="D4215" s="36">
        <f>base!H4215</f>
        <v>135.91</v>
      </c>
      <c r="E4215" s="44"/>
      <c r="F4215" s="16">
        <f>base!W4215</f>
        <v>0</v>
      </c>
      <c r="G4215" s="11">
        <f t="shared" si="650"/>
        <v>0</v>
      </c>
      <c r="H4215" s="11">
        <f t="shared" si="651"/>
        <v>0</v>
      </c>
      <c r="I4215" s="11">
        <f t="shared" si="652"/>
        <v>0</v>
      </c>
      <c r="J4215" s="12">
        <f t="shared" si="653"/>
        <v>0</v>
      </c>
      <c r="K4215" s="17" t="str">
        <f t="shared" si="658"/>
        <v>Pas d'écart</v>
      </c>
      <c r="L4215" s="16">
        <f>base!X4215</f>
        <v>0</v>
      </c>
      <c r="M4215" s="11">
        <f t="shared" si="654"/>
        <v>0</v>
      </c>
      <c r="N4215" s="11">
        <f t="shared" si="655"/>
        <v>0</v>
      </c>
      <c r="O4215" s="11">
        <f t="shared" si="656"/>
        <v>0</v>
      </c>
      <c r="P4215" s="12">
        <f t="shared" si="657"/>
        <v>0</v>
      </c>
      <c r="Q4215" s="17" t="str">
        <f t="shared" si="659"/>
        <v>Pas d'écart</v>
      </c>
    </row>
    <row r="4216" spans="1:17" x14ac:dyDescent="0.3">
      <c r="A4216" s="34" t="str">
        <f>base!J4216</f>
        <v>LS</v>
      </c>
      <c r="B4216" s="34" t="str">
        <f>base!V4216</f>
        <v>73100</v>
      </c>
      <c r="C4216" s="37">
        <v>44</v>
      </c>
      <c r="D4216" s="36">
        <f>base!H4216</f>
        <v>146.71</v>
      </c>
      <c r="E4216" s="44"/>
      <c r="F4216" s="16">
        <f>base!W4216</f>
        <v>39.61</v>
      </c>
      <c r="G4216" s="11">
        <f t="shared" si="650"/>
        <v>0.26998841251448435</v>
      </c>
      <c r="H4216" s="11">
        <f t="shared" si="651"/>
        <v>39.611700000000006</v>
      </c>
      <c r="I4216" s="11">
        <f t="shared" si="652"/>
        <v>0.27</v>
      </c>
      <c r="J4216" s="12">
        <f t="shared" si="653"/>
        <v>-1.7000000000066962E-3</v>
      </c>
      <c r="K4216" s="17" t="str">
        <f t="shared" si="658"/>
        <v>Ecart négatif</v>
      </c>
      <c r="L4216" s="16">
        <f>base!X4216</f>
        <v>0</v>
      </c>
      <c r="M4216" s="11">
        <f t="shared" si="654"/>
        <v>0</v>
      </c>
      <c r="N4216" s="11">
        <f t="shared" si="655"/>
        <v>0</v>
      </c>
      <c r="O4216" s="11">
        <f t="shared" si="656"/>
        <v>0</v>
      </c>
      <c r="P4216" s="12">
        <f t="shared" si="657"/>
        <v>0</v>
      </c>
      <c r="Q4216" s="17" t="str">
        <f t="shared" si="659"/>
        <v>Pas d'écart</v>
      </c>
    </row>
    <row r="4217" spans="1:17" x14ac:dyDescent="0.3">
      <c r="A4217" s="34" t="str">
        <f>base!J4217</f>
        <v>LM</v>
      </c>
      <c r="B4217" s="34" t="str">
        <f>base!V4217</f>
        <v>56600</v>
      </c>
      <c r="C4217" s="37">
        <v>85</v>
      </c>
      <c r="D4217" s="36">
        <f>base!H4217</f>
        <v>14.2</v>
      </c>
      <c r="E4217" s="44"/>
      <c r="F4217" s="16">
        <f>base!W4217</f>
        <v>3.83</v>
      </c>
      <c r="G4217" s="11">
        <f t="shared" si="650"/>
        <v>0.26971830985915496</v>
      </c>
      <c r="H4217" s="11">
        <f t="shared" si="651"/>
        <v>3.8340000000000001</v>
      </c>
      <c r="I4217" s="11">
        <f t="shared" si="652"/>
        <v>0.27</v>
      </c>
      <c r="J4217" s="12">
        <f t="shared" si="653"/>
        <v>-4.0000000000000036E-3</v>
      </c>
      <c r="K4217" s="17" t="str">
        <f t="shared" si="658"/>
        <v>Ecart négatif</v>
      </c>
      <c r="L4217" s="16">
        <f>base!X4217</f>
        <v>0</v>
      </c>
      <c r="M4217" s="11">
        <f t="shared" si="654"/>
        <v>0</v>
      </c>
      <c r="N4217" s="11">
        <f t="shared" si="655"/>
        <v>0</v>
      </c>
      <c r="O4217" s="11">
        <f t="shared" si="656"/>
        <v>0</v>
      </c>
      <c r="P4217" s="12">
        <f t="shared" si="657"/>
        <v>0</v>
      </c>
      <c r="Q4217" s="17" t="str">
        <f t="shared" si="659"/>
        <v>Pas d'écart</v>
      </c>
    </row>
    <row r="4218" spans="1:17" x14ac:dyDescent="0.3">
      <c r="A4218" s="34" t="str">
        <f>base!J4218</f>
        <v>RM</v>
      </c>
      <c r="B4218" s="34" t="str">
        <f>base!V4218</f>
        <v>59287</v>
      </c>
      <c r="C4218" s="37">
        <v>59</v>
      </c>
      <c r="D4218" s="36">
        <f>base!H4218</f>
        <v>70</v>
      </c>
      <c r="E4218" s="44"/>
      <c r="F4218" s="16">
        <f>base!W4218</f>
        <v>0</v>
      </c>
      <c r="G4218" s="11">
        <f t="shared" si="650"/>
        <v>0</v>
      </c>
      <c r="H4218" s="11">
        <f t="shared" si="651"/>
        <v>13.3</v>
      </c>
      <c r="I4218" s="11">
        <f t="shared" si="652"/>
        <v>0.19</v>
      </c>
      <c r="J4218" s="12">
        <f t="shared" si="653"/>
        <v>-13.3</v>
      </c>
      <c r="K4218" s="17" t="str">
        <f t="shared" si="658"/>
        <v>Ecart négatif</v>
      </c>
      <c r="L4218" s="16">
        <f>base!X4218</f>
        <v>0</v>
      </c>
      <c r="M4218" s="11">
        <f t="shared" si="654"/>
        <v>0</v>
      </c>
      <c r="N4218" s="11">
        <f t="shared" si="655"/>
        <v>0</v>
      </c>
      <c r="O4218" s="11">
        <f t="shared" si="656"/>
        <v>0</v>
      </c>
      <c r="P4218" s="12">
        <f t="shared" si="657"/>
        <v>0</v>
      </c>
      <c r="Q4218" s="17" t="str">
        <f t="shared" si="659"/>
        <v>Pas d'écart</v>
      </c>
    </row>
    <row r="4219" spans="1:17" x14ac:dyDescent="0.3">
      <c r="A4219" s="34" t="str">
        <f>base!J4219</f>
        <v>RS</v>
      </c>
      <c r="B4219" s="34" t="str">
        <f>base!V4219</f>
        <v>79400</v>
      </c>
      <c r="C4219" s="37">
        <v>79</v>
      </c>
      <c r="D4219" s="36">
        <f>base!H4219</f>
        <v>140</v>
      </c>
      <c r="E4219" s="44"/>
      <c r="F4219" s="16">
        <f>base!W4219</f>
        <v>0</v>
      </c>
      <c r="G4219" s="11">
        <f t="shared" si="650"/>
        <v>0</v>
      </c>
      <c r="H4219" s="11">
        <f t="shared" si="651"/>
        <v>29.4</v>
      </c>
      <c r="I4219" s="11">
        <f t="shared" si="652"/>
        <v>0.21</v>
      </c>
      <c r="J4219" s="12">
        <f t="shared" si="653"/>
        <v>-29.4</v>
      </c>
      <c r="K4219" s="17" t="str">
        <f t="shared" si="658"/>
        <v>Ecart négatif</v>
      </c>
      <c r="L4219" s="16">
        <f>base!X4219</f>
        <v>0</v>
      </c>
      <c r="M4219" s="11">
        <f t="shared" si="654"/>
        <v>0</v>
      </c>
      <c r="N4219" s="11">
        <f t="shared" si="655"/>
        <v>16.8</v>
      </c>
      <c r="O4219" s="11">
        <f t="shared" si="656"/>
        <v>0.12000000000000001</v>
      </c>
      <c r="P4219" s="12">
        <f t="shared" si="657"/>
        <v>-16.8</v>
      </c>
      <c r="Q4219" s="17" t="str">
        <f t="shared" si="659"/>
        <v>Ecart négatif</v>
      </c>
    </row>
    <row r="4220" spans="1:17" x14ac:dyDescent="0.3">
      <c r="A4220" s="34" t="str">
        <f>base!J4220</f>
        <v>RM</v>
      </c>
      <c r="B4220" s="34" t="str">
        <f>base!V4220</f>
        <v>80000</v>
      </c>
      <c r="C4220" s="37">
        <v>80</v>
      </c>
      <c r="D4220" s="36">
        <f>base!H4220</f>
        <v>140</v>
      </c>
      <c r="E4220" s="44"/>
      <c r="F4220" s="16">
        <f>base!W4220</f>
        <v>0</v>
      </c>
      <c r="G4220" s="11">
        <f t="shared" si="650"/>
        <v>0</v>
      </c>
      <c r="H4220" s="11">
        <f t="shared" si="651"/>
        <v>26.6</v>
      </c>
      <c r="I4220" s="11">
        <f t="shared" si="652"/>
        <v>0.19</v>
      </c>
      <c r="J4220" s="12">
        <f t="shared" si="653"/>
        <v>-26.6</v>
      </c>
      <c r="K4220" s="17" t="str">
        <f t="shared" si="658"/>
        <v>Ecart négatif</v>
      </c>
      <c r="L4220" s="16">
        <f>base!X4220</f>
        <v>26.6</v>
      </c>
      <c r="M4220" s="11">
        <f t="shared" si="654"/>
        <v>0.19</v>
      </c>
      <c r="N4220" s="11">
        <f t="shared" si="655"/>
        <v>0</v>
      </c>
      <c r="O4220" s="11">
        <f t="shared" si="656"/>
        <v>0</v>
      </c>
      <c r="P4220" s="12">
        <f t="shared" si="657"/>
        <v>26.6</v>
      </c>
      <c r="Q4220" s="17" t="str">
        <f t="shared" si="659"/>
        <v>Ecart positif</v>
      </c>
    </row>
    <row r="4221" spans="1:17" x14ac:dyDescent="0.3">
      <c r="A4221" s="34" t="str">
        <f>base!J4221</f>
        <v>LS</v>
      </c>
      <c r="B4221" s="34" t="str">
        <f>base!V4221</f>
        <v>75019</v>
      </c>
      <c r="C4221" s="37">
        <v>75</v>
      </c>
      <c r="D4221" s="36">
        <f>base!H4221</f>
        <v>140</v>
      </c>
      <c r="E4221" s="44"/>
      <c r="F4221" s="16">
        <f>base!W4221</f>
        <v>0</v>
      </c>
      <c r="G4221" s="11">
        <f t="shared" si="650"/>
        <v>0</v>
      </c>
      <c r="H4221" s="11">
        <f t="shared" si="651"/>
        <v>0</v>
      </c>
      <c r="I4221" s="11">
        <f t="shared" si="652"/>
        <v>0</v>
      </c>
      <c r="J4221" s="12">
        <f t="shared" si="653"/>
        <v>0</v>
      </c>
      <c r="K4221" s="17" t="str">
        <f t="shared" si="658"/>
        <v>Pas d'écart</v>
      </c>
      <c r="L4221" s="16">
        <f>base!X4221</f>
        <v>0</v>
      </c>
      <c r="M4221" s="11">
        <f t="shared" si="654"/>
        <v>0</v>
      </c>
      <c r="N4221" s="11">
        <f t="shared" si="655"/>
        <v>0</v>
      </c>
      <c r="O4221" s="11">
        <f t="shared" si="656"/>
        <v>0</v>
      </c>
      <c r="P4221" s="12">
        <f t="shared" si="657"/>
        <v>0</v>
      </c>
      <c r="Q4221" s="17" t="str">
        <f t="shared" si="659"/>
        <v>Pas d'écart</v>
      </c>
    </row>
    <row r="4222" spans="1:17" x14ac:dyDescent="0.3">
      <c r="A4222" s="34">
        <f>base!J4222</f>
        <v>0</v>
      </c>
      <c r="B4222" s="34" t="str">
        <f>base!V4222</f>
        <v>77184</v>
      </c>
      <c r="C4222" s="37">
        <v>77</v>
      </c>
      <c r="D4222" s="36">
        <f>base!H4222</f>
        <v>151</v>
      </c>
      <c r="E4222" s="44"/>
      <c r="F4222" s="16">
        <f>base!W4222</f>
        <v>0</v>
      </c>
      <c r="G4222" s="11">
        <f t="shared" si="650"/>
        <v>0</v>
      </c>
      <c r="H4222" s="11">
        <f t="shared" si="651"/>
        <v>0</v>
      </c>
      <c r="I4222" s="11">
        <f t="shared" si="652"/>
        <v>0</v>
      </c>
      <c r="J4222" s="12">
        <f t="shared" si="653"/>
        <v>0</v>
      </c>
      <c r="K4222" s="17" t="str">
        <f t="shared" si="658"/>
        <v>Pas d'écart</v>
      </c>
      <c r="L4222" s="16">
        <f>base!X4222</f>
        <v>0</v>
      </c>
      <c r="M4222" s="11">
        <f t="shared" si="654"/>
        <v>0</v>
      </c>
      <c r="N4222" s="11">
        <f t="shared" si="655"/>
        <v>0</v>
      </c>
      <c r="O4222" s="11">
        <f t="shared" si="656"/>
        <v>0</v>
      </c>
      <c r="P4222" s="12">
        <f t="shared" si="657"/>
        <v>0</v>
      </c>
      <c r="Q4222" s="17" t="str">
        <f t="shared" si="659"/>
        <v>Pas d'écart</v>
      </c>
    </row>
    <row r="4223" spans="1:17" x14ac:dyDescent="0.3">
      <c r="A4223" s="34" t="str">
        <f>base!J4223</f>
        <v>RS</v>
      </c>
      <c r="B4223" s="34" t="str">
        <f>base!V4223</f>
        <v>83470</v>
      </c>
      <c r="C4223" s="37">
        <v>83</v>
      </c>
      <c r="D4223" s="36">
        <f>base!H4223</f>
        <v>73.34</v>
      </c>
      <c r="E4223" s="44"/>
      <c r="F4223" s="16">
        <f>base!W4223</f>
        <v>0</v>
      </c>
      <c r="G4223" s="11">
        <f t="shared" si="650"/>
        <v>0</v>
      </c>
      <c r="H4223" s="11">
        <f t="shared" si="651"/>
        <v>22.001999999999999</v>
      </c>
      <c r="I4223" s="11">
        <f t="shared" si="652"/>
        <v>0.3</v>
      </c>
      <c r="J4223" s="12">
        <f t="shared" si="653"/>
        <v>-22.001999999999999</v>
      </c>
      <c r="K4223" s="17" t="str">
        <f t="shared" si="658"/>
        <v>Ecart négatif</v>
      </c>
      <c r="L4223" s="16">
        <f>base!X4223</f>
        <v>0</v>
      </c>
      <c r="M4223" s="11">
        <f t="shared" si="654"/>
        <v>0</v>
      </c>
      <c r="N4223" s="11">
        <f t="shared" si="655"/>
        <v>15.401400000000001</v>
      </c>
      <c r="O4223" s="11">
        <f t="shared" si="656"/>
        <v>0.21</v>
      </c>
      <c r="P4223" s="12">
        <f t="shared" si="657"/>
        <v>-15.401400000000001</v>
      </c>
      <c r="Q4223" s="17" t="str">
        <f t="shared" si="659"/>
        <v>Ecart négatif</v>
      </c>
    </row>
    <row r="4224" spans="1:17" x14ac:dyDescent="0.3">
      <c r="A4224" s="34" t="str">
        <f>base!J4224</f>
        <v>LS</v>
      </c>
      <c r="B4224" s="34" t="str">
        <f>base!V4224</f>
        <v>60100</v>
      </c>
      <c r="C4224" s="37">
        <v>74</v>
      </c>
      <c r="D4224" s="36">
        <f>base!H4224</f>
        <v>69.37</v>
      </c>
      <c r="E4224" s="44"/>
      <c r="F4224" s="16">
        <f>base!W4224</f>
        <v>13.18</v>
      </c>
      <c r="G4224" s="11">
        <f t="shared" si="650"/>
        <v>0.18999567536399017</v>
      </c>
      <c r="H4224" s="11">
        <f t="shared" si="651"/>
        <v>18.036200000000001</v>
      </c>
      <c r="I4224" s="11">
        <f t="shared" si="652"/>
        <v>0.26</v>
      </c>
      <c r="J4224" s="12">
        <f t="shared" si="653"/>
        <v>-4.8562000000000012</v>
      </c>
      <c r="K4224" s="17" t="str">
        <f t="shared" si="658"/>
        <v>Ecart négatif</v>
      </c>
      <c r="L4224" s="16">
        <f>base!X4224</f>
        <v>0</v>
      </c>
      <c r="M4224" s="11">
        <f t="shared" si="654"/>
        <v>0</v>
      </c>
      <c r="N4224" s="11">
        <f t="shared" si="655"/>
        <v>0</v>
      </c>
      <c r="O4224" s="11">
        <f t="shared" si="656"/>
        <v>0</v>
      </c>
      <c r="P4224" s="12">
        <f t="shared" si="657"/>
        <v>0</v>
      </c>
      <c r="Q4224" s="17" t="str">
        <f t="shared" si="659"/>
        <v>Pas d'écart</v>
      </c>
    </row>
    <row r="4225" spans="1:18" x14ac:dyDescent="0.3">
      <c r="A4225" s="34">
        <f>base!J4225</f>
        <v>0</v>
      </c>
      <c r="B4225" s="34" t="str">
        <f>base!V4225</f>
        <v>77184</v>
      </c>
      <c r="C4225" s="37">
        <v>77</v>
      </c>
      <c r="D4225" s="36">
        <f>base!H4225</f>
        <v>28.52</v>
      </c>
      <c r="E4225" s="44"/>
      <c r="F4225" s="16">
        <f>base!W4225</f>
        <v>0</v>
      </c>
      <c r="G4225" s="11">
        <f t="shared" si="650"/>
        <v>0</v>
      </c>
      <c r="H4225" s="11">
        <f t="shared" si="651"/>
        <v>0</v>
      </c>
      <c r="I4225" s="11">
        <f t="shared" si="652"/>
        <v>0</v>
      </c>
      <c r="J4225" s="12">
        <f t="shared" si="653"/>
        <v>0</v>
      </c>
      <c r="K4225" s="17" t="str">
        <f t="shared" si="658"/>
        <v>Pas d'écart</v>
      </c>
      <c r="L4225" s="16">
        <f>base!X4225</f>
        <v>0</v>
      </c>
      <c r="M4225" s="11">
        <f t="shared" si="654"/>
        <v>0</v>
      </c>
      <c r="N4225" s="11">
        <f t="shared" si="655"/>
        <v>0</v>
      </c>
      <c r="O4225" s="11">
        <f t="shared" si="656"/>
        <v>0</v>
      </c>
      <c r="P4225" s="12">
        <f t="shared" si="657"/>
        <v>0</v>
      </c>
      <c r="Q4225" s="17" t="str">
        <f t="shared" si="659"/>
        <v>Pas d'écart</v>
      </c>
    </row>
    <row r="4226" spans="1:18" x14ac:dyDescent="0.3">
      <c r="A4226" s="34" t="str">
        <f>base!J4226</f>
        <v>LM</v>
      </c>
      <c r="B4226" s="34" t="str">
        <f>base!V4226</f>
        <v>44000</v>
      </c>
      <c r="C4226" s="37">
        <v>69</v>
      </c>
      <c r="D4226" s="36">
        <f>base!H4226</f>
        <v>136.33000000000001</v>
      </c>
      <c r="E4226" s="44"/>
      <c r="F4226" s="16">
        <f>base!W4226</f>
        <v>36.81</v>
      </c>
      <c r="G4226" s="11">
        <f t="shared" ref="G4226:G4289" si="660">F4226/D4226</f>
        <v>0.27000660162840168</v>
      </c>
      <c r="H4226" s="11">
        <f t="shared" ref="H4226:H4289" si="661">VLOOKUP(C4226,tout_cout_traction,2,FALSE)*D4226</f>
        <v>36.809100000000008</v>
      </c>
      <c r="I4226" s="11">
        <f t="shared" ref="I4226:I4289" si="662">H4226/D4226</f>
        <v>0.27</v>
      </c>
      <c r="J4226" s="12">
        <f t="shared" ref="J4226:J4289" si="663">F4226-H4226</f>
        <v>8.9999999999434976E-4</v>
      </c>
      <c r="K4226" s="17" t="str">
        <f t="shared" si="658"/>
        <v>Ecart positif</v>
      </c>
      <c r="L4226" s="16">
        <f>base!X4226</f>
        <v>0</v>
      </c>
      <c r="M4226" s="11">
        <f t="shared" ref="M4226:M4289" si="664">L4226/D4226</f>
        <v>0</v>
      </c>
      <c r="N4226" s="11">
        <f t="shared" ref="N4226:N4289" si="665">VLOOKUP(C4226,tout_cout_traction,3,FALSE)*D4226</f>
        <v>0</v>
      </c>
      <c r="O4226" s="11">
        <f t="shared" ref="O4226:O4289" si="666">N4226/D4226</f>
        <v>0</v>
      </c>
      <c r="P4226" s="12">
        <f t="shared" ref="P4226:P4289" si="667">L4226-N4226</f>
        <v>0</v>
      </c>
      <c r="Q4226" s="17" t="str">
        <f t="shared" si="659"/>
        <v>Pas d'écart</v>
      </c>
    </row>
    <row r="4227" spans="1:18" x14ac:dyDescent="0.3">
      <c r="A4227" s="34" t="str">
        <f>base!J4227</f>
        <v>RM</v>
      </c>
      <c r="B4227" s="34" t="str">
        <f>base!V4227</f>
        <v>69100</v>
      </c>
      <c r="C4227" s="37">
        <v>69</v>
      </c>
      <c r="D4227" s="36">
        <f>base!H4227</f>
        <v>90.99</v>
      </c>
      <c r="E4227" s="44"/>
      <c r="F4227" s="16">
        <f>base!W4227</f>
        <v>0</v>
      </c>
      <c r="G4227" s="11">
        <f t="shared" si="660"/>
        <v>0</v>
      </c>
      <c r="H4227" s="11">
        <f t="shared" si="661"/>
        <v>24.567299999999999</v>
      </c>
      <c r="I4227" s="11">
        <f t="shared" si="662"/>
        <v>0.27</v>
      </c>
      <c r="J4227" s="12">
        <f t="shared" si="663"/>
        <v>-24.567299999999999</v>
      </c>
      <c r="K4227" s="17" t="str">
        <f t="shared" ref="K4227:K4290" si="668">IF(H4227=F4227,"Pas d'écart",IF(H4227&lt;F4227,"Ecart positif",IF(H4227&gt;F4227,"Ecart négatif")))</f>
        <v>Ecart négatif</v>
      </c>
      <c r="L4227" s="16">
        <f>base!X4227</f>
        <v>0</v>
      </c>
      <c r="M4227" s="11">
        <f t="shared" si="664"/>
        <v>0</v>
      </c>
      <c r="N4227" s="11">
        <f t="shared" si="665"/>
        <v>0</v>
      </c>
      <c r="O4227" s="11">
        <f t="shared" si="666"/>
        <v>0</v>
      </c>
      <c r="P4227" s="12">
        <f t="shared" si="667"/>
        <v>0</v>
      </c>
      <c r="Q4227" s="17" t="str">
        <f t="shared" ref="Q4227:Q4290" si="669">IF(N4227=L4227,"Pas d'écart",IF(N4227&lt;L4227,"Ecart positif",IF(N4227&gt;L4227,"Ecart négatif")))</f>
        <v>Pas d'écart</v>
      </c>
    </row>
    <row r="4228" spans="1:18" x14ac:dyDescent="0.3">
      <c r="A4228" s="34" t="str">
        <f>base!J4228</f>
        <v>RS</v>
      </c>
      <c r="B4228" s="34" t="str">
        <f>base!V4228</f>
        <v>05500</v>
      </c>
      <c r="C4228" s="37">
        <v>5</v>
      </c>
      <c r="D4228" s="36">
        <f>base!H4228</f>
        <v>140</v>
      </c>
      <c r="E4228" s="44"/>
      <c r="F4228" s="16">
        <f>base!W4228</f>
        <v>0</v>
      </c>
      <c r="G4228" s="11">
        <f t="shared" si="660"/>
        <v>0</v>
      </c>
      <c r="H4228" s="11">
        <f t="shared" si="661"/>
        <v>40.599999999999994</v>
      </c>
      <c r="I4228" s="11">
        <f t="shared" si="662"/>
        <v>0.28999999999999998</v>
      </c>
      <c r="J4228" s="12">
        <f t="shared" si="663"/>
        <v>-40.599999999999994</v>
      </c>
      <c r="K4228" s="17" t="str">
        <f t="shared" si="668"/>
        <v>Ecart négatif</v>
      </c>
      <c r="L4228" s="16">
        <f>base!X4228</f>
        <v>0</v>
      </c>
      <c r="M4228" s="11">
        <f t="shared" si="664"/>
        <v>0</v>
      </c>
      <c r="N4228" s="11">
        <f t="shared" si="665"/>
        <v>26.6</v>
      </c>
      <c r="O4228" s="11">
        <f t="shared" si="666"/>
        <v>0.19</v>
      </c>
      <c r="P4228" s="12">
        <f t="shared" si="667"/>
        <v>-26.6</v>
      </c>
      <c r="Q4228" s="17" t="str">
        <f t="shared" si="669"/>
        <v>Ecart négatif</v>
      </c>
    </row>
    <row r="4229" spans="1:18" x14ac:dyDescent="0.3">
      <c r="A4229" s="34" t="str">
        <f>base!J4229</f>
        <v>RS</v>
      </c>
      <c r="B4229" s="34" t="str">
        <f>base!V4229</f>
        <v>14000</v>
      </c>
      <c r="C4229" s="37">
        <v>14</v>
      </c>
      <c r="D4229" s="36">
        <f>base!H4229</f>
        <v>183.98</v>
      </c>
      <c r="E4229" s="44"/>
      <c r="F4229" s="16">
        <f>base!W4229</f>
        <v>0</v>
      </c>
      <c r="G4229" s="11">
        <f t="shared" si="660"/>
        <v>0</v>
      </c>
      <c r="H4229" s="11">
        <f t="shared" si="661"/>
        <v>31.276600000000002</v>
      </c>
      <c r="I4229" s="11">
        <f t="shared" si="662"/>
        <v>0.17</v>
      </c>
      <c r="J4229" s="12">
        <f t="shared" si="663"/>
        <v>-31.276600000000002</v>
      </c>
      <c r="K4229" s="17" t="str">
        <f t="shared" si="668"/>
        <v>Ecart négatif</v>
      </c>
      <c r="L4229" s="16">
        <f>base!X4229</f>
        <v>0</v>
      </c>
      <c r="M4229" s="11">
        <f t="shared" si="664"/>
        <v>0</v>
      </c>
      <c r="N4229" s="11">
        <f t="shared" si="665"/>
        <v>31.276600000000002</v>
      </c>
      <c r="O4229" s="11">
        <f t="shared" si="666"/>
        <v>0.17</v>
      </c>
      <c r="P4229" s="12">
        <f t="shared" si="667"/>
        <v>-31.276600000000002</v>
      </c>
      <c r="Q4229" s="17" t="str">
        <f t="shared" si="669"/>
        <v>Ecart négatif</v>
      </c>
    </row>
    <row r="4230" spans="1:18" x14ac:dyDescent="0.3">
      <c r="A4230" s="34" t="str">
        <f>base!J4230</f>
        <v>RM</v>
      </c>
      <c r="B4230" s="34" t="str">
        <f>base!V4230</f>
        <v>13090</v>
      </c>
      <c r="C4230" s="37">
        <v>13</v>
      </c>
      <c r="D4230" s="36">
        <f>base!H4230</f>
        <v>40</v>
      </c>
      <c r="E4230" s="44"/>
      <c r="F4230" s="16">
        <f>base!W4230</f>
        <v>0</v>
      </c>
      <c r="G4230" s="11">
        <f t="shared" si="660"/>
        <v>0</v>
      </c>
      <c r="H4230" s="11">
        <f t="shared" si="661"/>
        <v>11.6</v>
      </c>
      <c r="I4230" s="11">
        <f t="shared" si="662"/>
        <v>0.28999999999999998</v>
      </c>
      <c r="J4230" s="12">
        <f t="shared" si="663"/>
        <v>-11.6</v>
      </c>
      <c r="K4230" s="17" t="str">
        <f t="shared" si="668"/>
        <v>Ecart négatif</v>
      </c>
      <c r="L4230" s="16">
        <f>base!X4230</f>
        <v>0</v>
      </c>
      <c r="M4230" s="11">
        <f t="shared" si="664"/>
        <v>0</v>
      </c>
      <c r="N4230" s="11">
        <f t="shared" si="665"/>
        <v>7.6</v>
      </c>
      <c r="O4230" s="11">
        <f t="shared" si="666"/>
        <v>0.19</v>
      </c>
      <c r="P4230" s="12">
        <f t="shared" si="667"/>
        <v>-7.6</v>
      </c>
      <c r="Q4230" s="17" t="str">
        <f t="shared" si="669"/>
        <v>Ecart négatif</v>
      </c>
    </row>
    <row r="4231" spans="1:18" x14ac:dyDescent="0.3">
      <c r="A4231" s="34" t="str">
        <f>base!J4231</f>
        <v>RS</v>
      </c>
      <c r="B4231" s="34" t="str">
        <f>base!V4231</f>
        <v>20167</v>
      </c>
      <c r="C4231" s="37">
        <v>20</v>
      </c>
      <c r="D4231" s="36">
        <f>base!H4231</f>
        <v>33</v>
      </c>
      <c r="E4231" s="44"/>
      <c r="F4231" s="16">
        <f>base!W4231</f>
        <v>0</v>
      </c>
      <c r="G4231" s="11">
        <f t="shared" si="660"/>
        <v>0</v>
      </c>
      <c r="H4231" s="11">
        <f t="shared" si="661"/>
        <v>9.5699999999999985</v>
      </c>
      <c r="I4231" s="11">
        <f t="shared" si="662"/>
        <v>0.28999999999999998</v>
      </c>
      <c r="J4231" s="12">
        <f t="shared" si="663"/>
        <v>-9.5699999999999985</v>
      </c>
      <c r="K4231" s="17" t="str">
        <f t="shared" si="668"/>
        <v>Ecart négatif</v>
      </c>
      <c r="L4231" s="16">
        <f>base!X4231</f>
        <v>0</v>
      </c>
      <c r="M4231" s="11">
        <f t="shared" si="664"/>
        <v>0</v>
      </c>
      <c r="N4231" s="11">
        <f t="shared" si="665"/>
        <v>6.93</v>
      </c>
      <c r="O4231" s="11">
        <f t="shared" si="666"/>
        <v>0.21</v>
      </c>
      <c r="P4231" s="12">
        <f t="shared" si="667"/>
        <v>-6.93</v>
      </c>
      <c r="Q4231" s="17" t="str">
        <f t="shared" si="669"/>
        <v>Ecart négatif</v>
      </c>
    </row>
    <row r="4232" spans="1:18" x14ac:dyDescent="0.3">
      <c r="A4232" s="34" t="str">
        <f>base!J4232</f>
        <v>LM</v>
      </c>
      <c r="B4232" s="34" t="str">
        <f>base!V4232</f>
        <v>61250</v>
      </c>
      <c r="C4232" s="37">
        <v>85</v>
      </c>
      <c r="D4232" s="36">
        <f>base!H4232</f>
        <v>69.56</v>
      </c>
      <c r="E4232" s="44"/>
      <c r="F4232" s="16">
        <f>base!W4232</f>
        <v>11.83</v>
      </c>
      <c r="G4232" s="11">
        <f t="shared" si="660"/>
        <v>0.17006900517538814</v>
      </c>
      <c r="H4232" s="11">
        <f t="shared" si="661"/>
        <v>18.781200000000002</v>
      </c>
      <c r="I4232" s="11">
        <f t="shared" si="662"/>
        <v>0.27</v>
      </c>
      <c r="J4232" s="12">
        <f t="shared" si="663"/>
        <v>-6.9512000000000018</v>
      </c>
      <c r="K4232" s="17" t="str">
        <f t="shared" si="668"/>
        <v>Ecart négatif</v>
      </c>
      <c r="L4232" s="16">
        <f>base!X4232</f>
        <v>0</v>
      </c>
      <c r="M4232" s="11">
        <f t="shared" si="664"/>
        <v>0</v>
      </c>
      <c r="N4232" s="11">
        <f t="shared" si="665"/>
        <v>0</v>
      </c>
      <c r="O4232" s="11">
        <f t="shared" si="666"/>
        <v>0</v>
      </c>
      <c r="P4232" s="12">
        <f t="shared" si="667"/>
        <v>0</v>
      </c>
      <c r="Q4232" s="17" t="str">
        <f t="shared" si="669"/>
        <v>Pas d'écart</v>
      </c>
    </row>
    <row r="4233" spans="1:18" x14ac:dyDescent="0.3">
      <c r="A4233" s="34" t="str">
        <f>base!J4233</f>
        <v>RM</v>
      </c>
      <c r="B4233" s="34" t="str">
        <f>base!V4233</f>
        <v>89400</v>
      </c>
      <c r="C4233" s="37">
        <v>89</v>
      </c>
      <c r="D4233" s="36">
        <f>base!H4233</f>
        <v>70</v>
      </c>
      <c r="E4233" s="44"/>
      <c r="F4233" s="16">
        <f>base!W4233</f>
        <v>0</v>
      </c>
      <c r="G4233" s="11">
        <f t="shared" si="660"/>
        <v>0</v>
      </c>
      <c r="H4233" s="11">
        <f t="shared" si="661"/>
        <v>16.100000000000001</v>
      </c>
      <c r="I4233" s="11">
        <f t="shared" si="662"/>
        <v>0.23</v>
      </c>
      <c r="J4233" s="12">
        <f t="shared" si="663"/>
        <v>-16.100000000000001</v>
      </c>
      <c r="K4233" s="17" t="str">
        <f t="shared" si="668"/>
        <v>Ecart négatif</v>
      </c>
      <c r="L4233" s="16">
        <f>base!X4233</f>
        <v>8.4</v>
      </c>
      <c r="M4233" s="11">
        <f t="shared" si="664"/>
        <v>0.12000000000000001</v>
      </c>
      <c r="N4233" s="11">
        <f t="shared" si="665"/>
        <v>8.4</v>
      </c>
      <c r="O4233" s="11">
        <f t="shared" si="666"/>
        <v>0.12000000000000001</v>
      </c>
      <c r="P4233" s="12">
        <f t="shared" si="667"/>
        <v>0</v>
      </c>
      <c r="Q4233" s="17" t="str">
        <f t="shared" si="669"/>
        <v>Pas d'écart</v>
      </c>
      <c r="R4233" s="38"/>
    </row>
    <row r="4234" spans="1:18" x14ac:dyDescent="0.3">
      <c r="A4234" s="34" t="str">
        <f>base!J4234</f>
        <v>RM</v>
      </c>
      <c r="B4234" s="34" t="str">
        <f>base!V4234</f>
        <v>89600</v>
      </c>
      <c r="C4234" s="37">
        <v>89</v>
      </c>
      <c r="D4234" s="36">
        <f>base!H4234</f>
        <v>70</v>
      </c>
      <c r="E4234" s="44"/>
      <c r="F4234" s="16">
        <f>base!W4234</f>
        <v>0</v>
      </c>
      <c r="G4234" s="11">
        <f t="shared" si="660"/>
        <v>0</v>
      </c>
      <c r="H4234" s="11">
        <f t="shared" si="661"/>
        <v>16.100000000000001</v>
      </c>
      <c r="I4234" s="11">
        <f t="shared" si="662"/>
        <v>0.23</v>
      </c>
      <c r="J4234" s="12">
        <f t="shared" si="663"/>
        <v>-16.100000000000001</v>
      </c>
      <c r="K4234" s="17" t="str">
        <f t="shared" si="668"/>
        <v>Ecart négatif</v>
      </c>
      <c r="L4234" s="16">
        <f>base!X4234</f>
        <v>8.4</v>
      </c>
      <c r="M4234" s="11">
        <f t="shared" si="664"/>
        <v>0.12000000000000001</v>
      </c>
      <c r="N4234" s="11">
        <f t="shared" si="665"/>
        <v>8.4</v>
      </c>
      <c r="O4234" s="11">
        <f t="shared" si="666"/>
        <v>0.12000000000000001</v>
      </c>
      <c r="P4234" s="12">
        <f t="shared" si="667"/>
        <v>0</v>
      </c>
      <c r="Q4234" s="17" t="str">
        <f t="shared" si="669"/>
        <v>Pas d'écart</v>
      </c>
      <c r="R4234" s="38"/>
    </row>
    <row r="4235" spans="1:18" x14ac:dyDescent="0.3">
      <c r="A4235" s="34" t="str">
        <f>base!J4235</f>
        <v>RS</v>
      </c>
      <c r="B4235" s="34" t="str">
        <f>base!V4235</f>
        <v>77380</v>
      </c>
      <c r="C4235" s="37">
        <v>77</v>
      </c>
      <c r="D4235" s="36">
        <f>base!H4235</f>
        <v>62.1</v>
      </c>
      <c r="E4235" s="44"/>
      <c r="F4235" s="16">
        <f>base!W4235</f>
        <v>0</v>
      </c>
      <c r="G4235" s="11">
        <f t="shared" si="660"/>
        <v>0</v>
      </c>
      <c r="H4235" s="11">
        <f t="shared" si="661"/>
        <v>0</v>
      </c>
      <c r="I4235" s="11">
        <f t="shared" si="662"/>
        <v>0</v>
      </c>
      <c r="J4235" s="12">
        <f t="shared" si="663"/>
        <v>0</v>
      </c>
      <c r="K4235" s="17" t="str">
        <f t="shared" si="668"/>
        <v>Pas d'écart</v>
      </c>
      <c r="L4235" s="16">
        <f>base!X4235</f>
        <v>0</v>
      </c>
      <c r="M4235" s="11">
        <f t="shared" si="664"/>
        <v>0</v>
      </c>
      <c r="N4235" s="11">
        <f t="shared" si="665"/>
        <v>0</v>
      </c>
      <c r="O4235" s="11">
        <f t="shared" si="666"/>
        <v>0</v>
      </c>
      <c r="P4235" s="12">
        <f t="shared" si="667"/>
        <v>0</v>
      </c>
      <c r="Q4235" s="17" t="str">
        <f t="shared" si="669"/>
        <v>Pas d'écart</v>
      </c>
    </row>
    <row r="4236" spans="1:18" x14ac:dyDescent="0.3">
      <c r="A4236" s="34" t="str">
        <f>base!J4236</f>
        <v>RS</v>
      </c>
      <c r="B4236" s="34" t="str">
        <f>base!V4236</f>
        <v>92100</v>
      </c>
      <c r="C4236" s="37">
        <v>92</v>
      </c>
      <c r="D4236" s="36">
        <f>base!H4236</f>
        <v>250</v>
      </c>
      <c r="E4236" s="44"/>
      <c r="F4236" s="16">
        <f>base!W4236</f>
        <v>0</v>
      </c>
      <c r="G4236" s="11">
        <f t="shared" si="660"/>
        <v>0</v>
      </c>
      <c r="H4236" s="11">
        <f t="shared" si="661"/>
        <v>0</v>
      </c>
      <c r="I4236" s="11">
        <f t="shared" si="662"/>
        <v>0</v>
      </c>
      <c r="J4236" s="12">
        <f t="shared" si="663"/>
        <v>0</v>
      </c>
      <c r="K4236" s="17" t="str">
        <f t="shared" si="668"/>
        <v>Pas d'écart</v>
      </c>
      <c r="L4236" s="16">
        <f>base!X4236</f>
        <v>0</v>
      </c>
      <c r="M4236" s="11">
        <f t="shared" si="664"/>
        <v>0</v>
      </c>
      <c r="N4236" s="11">
        <f t="shared" si="665"/>
        <v>0</v>
      </c>
      <c r="O4236" s="11">
        <f t="shared" si="666"/>
        <v>0</v>
      </c>
      <c r="P4236" s="12">
        <f t="shared" si="667"/>
        <v>0</v>
      </c>
      <c r="Q4236" s="17" t="str">
        <f t="shared" si="669"/>
        <v>Pas d'écart</v>
      </c>
    </row>
    <row r="4237" spans="1:18" x14ac:dyDescent="0.3">
      <c r="A4237" s="34" t="str">
        <f>base!J4237</f>
        <v>RS</v>
      </c>
      <c r="B4237" s="34" t="str">
        <f>base!V4237</f>
        <v>13127</v>
      </c>
      <c r="C4237" s="37">
        <v>13</v>
      </c>
      <c r="D4237" s="36">
        <f>base!H4237</f>
        <v>198.98</v>
      </c>
      <c r="E4237" s="44"/>
      <c r="F4237" s="16">
        <f>base!W4237</f>
        <v>0</v>
      </c>
      <c r="G4237" s="11">
        <f t="shared" si="660"/>
        <v>0</v>
      </c>
      <c r="H4237" s="11">
        <f t="shared" si="661"/>
        <v>57.704199999999993</v>
      </c>
      <c r="I4237" s="11">
        <f t="shared" si="662"/>
        <v>0.28999999999999998</v>
      </c>
      <c r="J4237" s="12">
        <f t="shared" si="663"/>
        <v>-57.704199999999993</v>
      </c>
      <c r="K4237" s="17" t="str">
        <f t="shared" si="668"/>
        <v>Ecart négatif</v>
      </c>
      <c r="L4237" s="16">
        <f>base!X4237</f>
        <v>0</v>
      </c>
      <c r="M4237" s="11">
        <f t="shared" si="664"/>
        <v>0</v>
      </c>
      <c r="N4237" s="11">
        <f t="shared" si="665"/>
        <v>37.806199999999997</v>
      </c>
      <c r="O4237" s="11">
        <f t="shared" si="666"/>
        <v>0.19</v>
      </c>
      <c r="P4237" s="12">
        <f t="shared" si="667"/>
        <v>-37.806199999999997</v>
      </c>
      <c r="Q4237" s="17" t="str">
        <f t="shared" si="669"/>
        <v>Ecart négatif</v>
      </c>
    </row>
    <row r="4238" spans="1:18" x14ac:dyDescent="0.3">
      <c r="A4238" s="34" t="str">
        <f>base!J4238</f>
        <v>RS</v>
      </c>
      <c r="B4238" s="34" t="str">
        <f>base!V4238</f>
        <v>06000</v>
      </c>
      <c r="C4238" s="37">
        <v>6</v>
      </c>
      <c r="D4238" s="36">
        <f>base!H4238</f>
        <v>206.44</v>
      </c>
      <c r="E4238" s="44"/>
      <c r="F4238" s="16">
        <f>base!W4238</f>
        <v>0</v>
      </c>
      <c r="G4238" s="11">
        <f t="shared" si="660"/>
        <v>0</v>
      </c>
      <c r="H4238" s="11">
        <f t="shared" si="661"/>
        <v>61.931999999999995</v>
      </c>
      <c r="I4238" s="11">
        <f t="shared" si="662"/>
        <v>0.3</v>
      </c>
      <c r="J4238" s="12">
        <f t="shared" si="663"/>
        <v>-61.931999999999995</v>
      </c>
      <c r="K4238" s="17" t="str">
        <f t="shared" si="668"/>
        <v>Ecart négatif</v>
      </c>
      <c r="L4238" s="16">
        <f>base!X4238</f>
        <v>0</v>
      </c>
      <c r="M4238" s="11">
        <f t="shared" si="664"/>
        <v>0</v>
      </c>
      <c r="N4238" s="11">
        <f t="shared" si="665"/>
        <v>43.352399999999996</v>
      </c>
      <c r="O4238" s="11">
        <f t="shared" si="666"/>
        <v>0.21</v>
      </c>
      <c r="P4238" s="12">
        <f t="shared" si="667"/>
        <v>-43.352399999999996</v>
      </c>
      <c r="Q4238" s="17" t="str">
        <f t="shared" si="669"/>
        <v>Ecart négatif</v>
      </c>
    </row>
    <row r="4239" spans="1:18" x14ac:dyDescent="0.3">
      <c r="A4239" s="34" t="str">
        <f>base!J4239</f>
        <v>RS</v>
      </c>
      <c r="B4239" s="34" t="str">
        <f>base!V4239</f>
        <v>83190</v>
      </c>
      <c r="C4239" s="37">
        <v>83</v>
      </c>
      <c r="D4239" s="36">
        <f>base!H4239</f>
        <v>70</v>
      </c>
      <c r="E4239" s="44"/>
      <c r="F4239" s="16">
        <f>base!W4239</f>
        <v>0</v>
      </c>
      <c r="G4239" s="11">
        <f t="shared" si="660"/>
        <v>0</v>
      </c>
      <c r="H4239" s="11">
        <f t="shared" si="661"/>
        <v>21</v>
      </c>
      <c r="I4239" s="11">
        <f t="shared" si="662"/>
        <v>0.3</v>
      </c>
      <c r="J4239" s="12">
        <f t="shared" si="663"/>
        <v>-21</v>
      </c>
      <c r="K4239" s="17" t="str">
        <f t="shared" si="668"/>
        <v>Ecart négatif</v>
      </c>
      <c r="L4239" s="16">
        <f>base!X4239</f>
        <v>0</v>
      </c>
      <c r="M4239" s="11">
        <f t="shared" si="664"/>
        <v>0</v>
      </c>
      <c r="N4239" s="11">
        <f t="shared" si="665"/>
        <v>14.7</v>
      </c>
      <c r="O4239" s="11">
        <f t="shared" si="666"/>
        <v>0.21</v>
      </c>
      <c r="P4239" s="12">
        <f t="shared" si="667"/>
        <v>-14.7</v>
      </c>
      <c r="Q4239" s="17" t="str">
        <f t="shared" si="669"/>
        <v>Ecart négatif</v>
      </c>
    </row>
    <row r="4240" spans="1:18" x14ac:dyDescent="0.3">
      <c r="A4240" s="34" t="str">
        <f>base!J4240</f>
        <v>RS</v>
      </c>
      <c r="B4240" s="34" t="str">
        <f>base!V4240</f>
        <v>69120</v>
      </c>
      <c r="C4240" s="37">
        <v>69</v>
      </c>
      <c r="D4240" s="36">
        <f>base!H4240</f>
        <v>151</v>
      </c>
      <c r="E4240" s="44"/>
      <c r="F4240" s="16">
        <f>base!W4240</f>
        <v>0</v>
      </c>
      <c r="G4240" s="11">
        <f t="shared" si="660"/>
        <v>0</v>
      </c>
      <c r="H4240" s="11">
        <f t="shared" si="661"/>
        <v>40.770000000000003</v>
      </c>
      <c r="I4240" s="11">
        <f t="shared" si="662"/>
        <v>0.27</v>
      </c>
      <c r="J4240" s="12">
        <f t="shared" si="663"/>
        <v>-40.770000000000003</v>
      </c>
      <c r="K4240" s="17" t="str">
        <f t="shared" si="668"/>
        <v>Ecart négatif</v>
      </c>
      <c r="L4240" s="16">
        <f>base!X4240</f>
        <v>0</v>
      </c>
      <c r="M4240" s="11">
        <f t="shared" si="664"/>
        <v>0</v>
      </c>
      <c r="N4240" s="11">
        <f t="shared" si="665"/>
        <v>0</v>
      </c>
      <c r="O4240" s="11">
        <f t="shared" si="666"/>
        <v>0</v>
      </c>
      <c r="P4240" s="12">
        <f t="shared" si="667"/>
        <v>0</v>
      </c>
      <c r="Q4240" s="17" t="str">
        <f t="shared" si="669"/>
        <v>Pas d'écart</v>
      </c>
    </row>
    <row r="4241" spans="1:18" x14ac:dyDescent="0.3">
      <c r="A4241" s="34" t="str">
        <f>base!J4241</f>
        <v>RS</v>
      </c>
      <c r="B4241" s="34" t="str">
        <f>base!V4241</f>
        <v>69340</v>
      </c>
      <c r="C4241" s="37">
        <v>69</v>
      </c>
      <c r="D4241" s="36">
        <f>base!H4241</f>
        <v>110.91</v>
      </c>
      <c r="E4241" s="44"/>
      <c r="F4241" s="16">
        <f>base!W4241</f>
        <v>0</v>
      </c>
      <c r="G4241" s="11">
        <f t="shared" si="660"/>
        <v>0</v>
      </c>
      <c r="H4241" s="11">
        <f t="shared" si="661"/>
        <v>29.945700000000002</v>
      </c>
      <c r="I4241" s="11">
        <f t="shared" si="662"/>
        <v>0.27</v>
      </c>
      <c r="J4241" s="12">
        <f t="shared" si="663"/>
        <v>-29.945700000000002</v>
      </c>
      <c r="K4241" s="17" t="str">
        <f t="shared" si="668"/>
        <v>Ecart négatif</v>
      </c>
      <c r="L4241" s="16">
        <f>base!X4241</f>
        <v>0</v>
      </c>
      <c r="M4241" s="11">
        <f t="shared" si="664"/>
        <v>0</v>
      </c>
      <c r="N4241" s="11">
        <f t="shared" si="665"/>
        <v>0</v>
      </c>
      <c r="O4241" s="11">
        <f t="shared" si="666"/>
        <v>0</v>
      </c>
      <c r="P4241" s="12">
        <f t="shared" si="667"/>
        <v>0</v>
      </c>
      <c r="Q4241" s="17" t="str">
        <f t="shared" si="669"/>
        <v>Pas d'écart</v>
      </c>
    </row>
    <row r="4242" spans="1:18" x14ac:dyDescent="0.3">
      <c r="A4242" s="34" t="str">
        <f>base!J4242</f>
        <v>RM</v>
      </c>
      <c r="B4242" s="34" t="str">
        <f>base!V4242</f>
        <v>55190</v>
      </c>
      <c r="C4242" s="37">
        <v>55</v>
      </c>
      <c r="D4242" s="36">
        <f>base!H4242</f>
        <v>40</v>
      </c>
      <c r="E4242" s="44"/>
      <c r="F4242" s="16">
        <f>base!W4242</f>
        <v>0</v>
      </c>
      <c r="G4242" s="11">
        <f t="shared" si="660"/>
        <v>0</v>
      </c>
      <c r="H4242" s="11">
        <f t="shared" si="661"/>
        <v>10</v>
      </c>
      <c r="I4242" s="11">
        <f t="shared" si="662"/>
        <v>0.25</v>
      </c>
      <c r="J4242" s="12">
        <f t="shared" si="663"/>
        <v>-10</v>
      </c>
      <c r="K4242" s="17" t="str">
        <f t="shared" si="668"/>
        <v>Ecart négatif</v>
      </c>
      <c r="L4242" s="16">
        <f>base!X4242</f>
        <v>10</v>
      </c>
      <c r="M4242" s="11">
        <f t="shared" si="664"/>
        <v>0.25</v>
      </c>
      <c r="N4242" s="11">
        <f t="shared" si="665"/>
        <v>10</v>
      </c>
      <c r="O4242" s="11">
        <f t="shared" si="666"/>
        <v>0.25</v>
      </c>
      <c r="P4242" s="12">
        <f t="shared" si="667"/>
        <v>0</v>
      </c>
      <c r="Q4242" s="17" t="str">
        <f t="shared" si="669"/>
        <v>Pas d'écart</v>
      </c>
    </row>
    <row r="4243" spans="1:18" x14ac:dyDescent="0.3">
      <c r="A4243" s="34" t="str">
        <f>base!J4243</f>
        <v>RM</v>
      </c>
      <c r="B4243" s="34" t="str">
        <f>base!V4243</f>
        <v>69800</v>
      </c>
      <c r="C4243" s="37">
        <v>69</v>
      </c>
      <c r="D4243" s="36">
        <f>base!H4243</f>
        <v>188.89</v>
      </c>
      <c r="E4243" s="44"/>
      <c r="F4243" s="16">
        <f>base!W4243</f>
        <v>0</v>
      </c>
      <c r="G4243" s="11">
        <f t="shared" si="660"/>
        <v>0</v>
      </c>
      <c r="H4243" s="11">
        <f t="shared" si="661"/>
        <v>51.000300000000003</v>
      </c>
      <c r="I4243" s="11">
        <f t="shared" si="662"/>
        <v>0.27</v>
      </c>
      <c r="J4243" s="12">
        <f t="shared" si="663"/>
        <v>-51.000300000000003</v>
      </c>
      <c r="K4243" s="17" t="str">
        <f t="shared" si="668"/>
        <v>Ecart négatif</v>
      </c>
      <c r="L4243" s="16">
        <f>base!X4243</f>
        <v>0</v>
      </c>
      <c r="M4243" s="11">
        <f t="shared" si="664"/>
        <v>0</v>
      </c>
      <c r="N4243" s="11">
        <f t="shared" si="665"/>
        <v>0</v>
      </c>
      <c r="O4243" s="11">
        <f t="shared" si="666"/>
        <v>0</v>
      </c>
      <c r="P4243" s="12">
        <f t="shared" si="667"/>
        <v>0</v>
      </c>
      <c r="Q4243" s="17" t="str">
        <f t="shared" si="669"/>
        <v>Pas d'écart</v>
      </c>
    </row>
    <row r="4244" spans="1:18" x14ac:dyDescent="0.3">
      <c r="A4244" s="34" t="str">
        <f>base!J4244</f>
        <v>RS</v>
      </c>
      <c r="B4244" s="34" t="str">
        <f>base!V4244</f>
        <v>16210</v>
      </c>
      <c r="C4244" s="37">
        <v>16</v>
      </c>
      <c r="D4244" s="36">
        <f>base!H4244</f>
        <v>62.6</v>
      </c>
      <c r="E4244" s="44"/>
      <c r="F4244" s="16">
        <f>base!W4244</f>
        <v>0</v>
      </c>
      <c r="G4244" s="11">
        <f t="shared" si="660"/>
        <v>0</v>
      </c>
      <c r="H4244" s="11">
        <f t="shared" si="661"/>
        <v>13.145999999999999</v>
      </c>
      <c r="I4244" s="11">
        <f t="shared" si="662"/>
        <v>0.21</v>
      </c>
      <c r="J4244" s="12">
        <f t="shared" si="663"/>
        <v>-13.145999999999999</v>
      </c>
      <c r="K4244" s="17" t="str">
        <f t="shared" si="668"/>
        <v>Ecart négatif</v>
      </c>
      <c r="L4244" s="16">
        <f>base!X4244</f>
        <v>10.64</v>
      </c>
      <c r="M4244" s="11">
        <f t="shared" si="664"/>
        <v>0.16996805111821087</v>
      </c>
      <c r="N4244" s="11">
        <f t="shared" si="665"/>
        <v>10.642000000000001</v>
      </c>
      <c r="O4244" s="11">
        <f t="shared" si="666"/>
        <v>0.17</v>
      </c>
      <c r="P4244" s="12">
        <f t="shared" si="667"/>
        <v>-2.0000000000006679E-3</v>
      </c>
      <c r="Q4244" s="17" t="str">
        <f t="shared" si="669"/>
        <v>Ecart négatif</v>
      </c>
      <c r="R4244" s="38"/>
    </row>
    <row r="4245" spans="1:18" x14ac:dyDescent="0.3">
      <c r="A4245" s="34" t="str">
        <f>base!J4245</f>
        <v>RS</v>
      </c>
      <c r="B4245" s="34" t="str">
        <f>base!V4245</f>
        <v>34980</v>
      </c>
      <c r="C4245" s="37">
        <v>34</v>
      </c>
      <c r="D4245" s="36">
        <f>base!H4245</f>
        <v>33</v>
      </c>
      <c r="E4245" s="44"/>
      <c r="F4245" s="16">
        <f>base!W4245</f>
        <v>0</v>
      </c>
      <c r="G4245" s="11">
        <f t="shared" si="660"/>
        <v>0</v>
      </c>
      <c r="H4245" s="11">
        <f t="shared" si="661"/>
        <v>12.870000000000001</v>
      </c>
      <c r="I4245" s="11">
        <f t="shared" si="662"/>
        <v>0.39</v>
      </c>
      <c r="J4245" s="12">
        <f t="shared" si="663"/>
        <v>-12.870000000000001</v>
      </c>
      <c r="K4245" s="17" t="str">
        <f t="shared" si="668"/>
        <v>Ecart négatif</v>
      </c>
      <c r="L4245" s="16">
        <f>base!X4245</f>
        <v>0</v>
      </c>
      <c r="M4245" s="11">
        <f t="shared" si="664"/>
        <v>0</v>
      </c>
      <c r="N4245" s="11">
        <f t="shared" si="665"/>
        <v>9.24</v>
      </c>
      <c r="O4245" s="11">
        <f t="shared" si="666"/>
        <v>0.28000000000000003</v>
      </c>
      <c r="P4245" s="12">
        <f t="shared" si="667"/>
        <v>-9.24</v>
      </c>
      <c r="Q4245" s="17" t="str">
        <f t="shared" si="669"/>
        <v>Ecart négatif</v>
      </c>
    </row>
    <row r="4246" spans="1:18" x14ac:dyDescent="0.3">
      <c r="A4246" s="34" t="str">
        <f>base!J4246</f>
        <v>RM</v>
      </c>
      <c r="B4246" s="34" t="str">
        <f>base!V4246</f>
        <v>88000</v>
      </c>
      <c r="C4246" s="37">
        <v>88</v>
      </c>
      <c r="D4246" s="36">
        <f>base!H4246</f>
        <v>109.06</v>
      </c>
      <c r="E4246" s="44"/>
      <c r="F4246" s="16">
        <f>base!W4246</f>
        <v>0</v>
      </c>
      <c r="G4246" s="11">
        <f t="shared" si="660"/>
        <v>0</v>
      </c>
      <c r="H4246" s="11">
        <f t="shared" si="661"/>
        <v>30.536800000000003</v>
      </c>
      <c r="I4246" s="11">
        <f t="shared" si="662"/>
        <v>0.28000000000000003</v>
      </c>
      <c r="J4246" s="12">
        <f t="shared" si="663"/>
        <v>-30.536800000000003</v>
      </c>
      <c r="K4246" s="17" t="str">
        <f t="shared" si="668"/>
        <v>Ecart négatif</v>
      </c>
      <c r="L4246" s="16">
        <f>base!X4246</f>
        <v>8.7200000000000006</v>
      </c>
      <c r="M4246" s="11">
        <f t="shared" si="664"/>
        <v>7.9955987529800113E-2</v>
      </c>
      <c r="N4246" s="11">
        <f t="shared" si="665"/>
        <v>8.7248000000000001</v>
      </c>
      <c r="O4246" s="11">
        <f t="shared" si="666"/>
        <v>0.08</v>
      </c>
      <c r="P4246" s="12">
        <f t="shared" si="667"/>
        <v>-4.7999999999994714E-3</v>
      </c>
      <c r="Q4246" s="17" t="str">
        <f t="shared" si="669"/>
        <v>Ecart négatif</v>
      </c>
      <c r="R4246" s="38"/>
    </row>
    <row r="4247" spans="1:18" x14ac:dyDescent="0.3">
      <c r="A4247" s="34" t="str">
        <f>base!J4247</f>
        <v>RM</v>
      </c>
      <c r="B4247" s="34" t="str">
        <f>base!V4247</f>
        <v>85700</v>
      </c>
      <c r="C4247" s="37">
        <v>85</v>
      </c>
      <c r="D4247" s="36">
        <f>base!H4247</f>
        <v>18.8</v>
      </c>
      <c r="E4247" s="44"/>
      <c r="F4247" s="16">
        <f>base!W4247</f>
        <v>0</v>
      </c>
      <c r="G4247" s="11">
        <f t="shared" si="660"/>
        <v>0</v>
      </c>
      <c r="H4247" s="11">
        <f t="shared" si="661"/>
        <v>5.0760000000000005</v>
      </c>
      <c r="I4247" s="11">
        <f t="shared" si="662"/>
        <v>0.27</v>
      </c>
      <c r="J4247" s="12">
        <f t="shared" si="663"/>
        <v>-5.0760000000000005</v>
      </c>
      <c r="K4247" s="17" t="str">
        <f t="shared" si="668"/>
        <v>Ecart négatif</v>
      </c>
      <c r="L4247" s="16">
        <f>base!X4247</f>
        <v>5.08</v>
      </c>
      <c r="M4247" s="11">
        <f t="shared" si="664"/>
        <v>0.27021276595744681</v>
      </c>
      <c r="N4247" s="11">
        <f t="shared" si="665"/>
        <v>0</v>
      </c>
      <c r="O4247" s="11">
        <f t="shared" si="666"/>
        <v>0</v>
      </c>
      <c r="P4247" s="12">
        <f t="shared" si="667"/>
        <v>5.08</v>
      </c>
      <c r="Q4247" s="17" t="str">
        <f t="shared" si="669"/>
        <v>Ecart positif</v>
      </c>
      <c r="R4247" s="38"/>
    </row>
    <row r="4248" spans="1:18" x14ac:dyDescent="0.3">
      <c r="A4248" s="34" t="str">
        <f>base!J4248</f>
        <v>RM</v>
      </c>
      <c r="B4248" s="34" t="str">
        <f>base!V4248</f>
        <v>30200</v>
      </c>
      <c r="C4248" s="37">
        <v>30</v>
      </c>
      <c r="D4248" s="36">
        <f>base!H4248</f>
        <v>197.99</v>
      </c>
      <c r="E4248" s="44"/>
      <c r="F4248" s="16">
        <f>base!W4248</f>
        <v>0</v>
      </c>
      <c r="G4248" s="11">
        <f t="shared" si="660"/>
        <v>0</v>
      </c>
      <c r="H4248" s="11">
        <f t="shared" si="661"/>
        <v>77.216100000000012</v>
      </c>
      <c r="I4248" s="11">
        <f t="shared" si="662"/>
        <v>0.39</v>
      </c>
      <c r="J4248" s="12">
        <f t="shared" si="663"/>
        <v>-77.216100000000012</v>
      </c>
      <c r="K4248" s="17" t="str">
        <f t="shared" si="668"/>
        <v>Ecart négatif</v>
      </c>
      <c r="L4248" s="16">
        <f>base!X4248</f>
        <v>0</v>
      </c>
      <c r="M4248" s="11">
        <f t="shared" si="664"/>
        <v>0</v>
      </c>
      <c r="N4248" s="11">
        <f t="shared" si="665"/>
        <v>55.437200000000011</v>
      </c>
      <c r="O4248" s="11">
        <f t="shared" si="666"/>
        <v>0.28000000000000003</v>
      </c>
      <c r="P4248" s="12">
        <f t="shared" si="667"/>
        <v>-55.437200000000011</v>
      </c>
      <c r="Q4248" s="17" t="str">
        <f t="shared" si="669"/>
        <v>Ecart négatif</v>
      </c>
    </row>
    <row r="4249" spans="1:18" x14ac:dyDescent="0.3">
      <c r="A4249" s="34" t="str">
        <f>base!J4249</f>
        <v>DLM</v>
      </c>
      <c r="B4249" s="34" t="str">
        <f>base!V4249</f>
        <v>06250</v>
      </c>
      <c r="C4249" s="37">
        <v>6</v>
      </c>
      <c r="D4249" s="36">
        <f>base!H4249</f>
        <v>250</v>
      </c>
      <c r="E4249" s="44"/>
      <c r="F4249" s="16">
        <f>base!W4249</f>
        <v>0</v>
      </c>
      <c r="G4249" s="11">
        <f t="shared" si="660"/>
        <v>0</v>
      </c>
      <c r="H4249" s="11">
        <f t="shared" si="661"/>
        <v>75</v>
      </c>
      <c r="I4249" s="11">
        <f t="shared" si="662"/>
        <v>0.3</v>
      </c>
      <c r="J4249" s="12">
        <f t="shared" si="663"/>
        <v>-75</v>
      </c>
      <c r="K4249" s="17" t="str">
        <f t="shared" si="668"/>
        <v>Ecart négatif</v>
      </c>
      <c r="L4249" s="16">
        <f>base!X4249</f>
        <v>0</v>
      </c>
      <c r="M4249" s="11">
        <f t="shared" si="664"/>
        <v>0</v>
      </c>
      <c r="N4249" s="11">
        <f t="shared" si="665"/>
        <v>52.5</v>
      </c>
      <c r="O4249" s="11">
        <f t="shared" si="666"/>
        <v>0.21</v>
      </c>
      <c r="P4249" s="12">
        <f t="shared" si="667"/>
        <v>-52.5</v>
      </c>
      <c r="Q4249" s="17" t="str">
        <f t="shared" si="669"/>
        <v>Ecart négatif</v>
      </c>
    </row>
    <row r="4250" spans="1:18" x14ac:dyDescent="0.3">
      <c r="A4250" s="34" t="str">
        <f>base!J4250</f>
        <v>RM</v>
      </c>
      <c r="B4250" s="34" t="str">
        <f>base!V4250</f>
        <v>06190</v>
      </c>
      <c r="C4250" s="37">
        <v>6</v>
      </c>
      <c r="D4250" s="36">
        <f>base!H4250</f>
        <v>92</v>
      </c>
      <c r="E4250" s="44"/>
      <c r="F4250" s="16">
        <f>base!W4250</f>
        <v>0</v>
      </c>
      <c r="G4250" s="11">
        <f t="shared" si="660"/>
        <v>0</v>
      </c>
      <c r="H4250" s="11">
        <f t="shared" si="661"/>
        <v>27.599999999999998</v>
      </c>
      <c r="I4250" s="11">
        <f t="shared" si="662"/>
        <v>0.3</v>
      </c>
      <c r="J4250" s="12">
        <f t="shared" si="663"/>
        <v>-27.599999999999998</v>
      </c>
      <c r="K4250" s="17" t="str">
        <f t="shared" si="668"/>
        <v>Ecart négatif</v>
      </c>
      <c r="L4250" s="16">
        <f>base!X4250</f>
        <v>27.6</v>
      </c>
      <c r="M4250" s="11">
        <f t="shared" si="664"/>
        <v>0.3</v>
      </c>
      <c r="N4250" s="11">
        <f t="shared" si="665"/>
        <v>19.32</v>
      </c>
      <c r="O4250" s="11">
        <f t="shared" si="666"/>
        <v>0.21</v>
      </c>
      <c r="P4250" s="12">
        <f t="shared" si="667"/>
        <v>8.2800000000000011</v>
      </c>
      <c r="Q4250" s="17" t="str">
        <f t="shared" si="669"/>
        <v>Ecart positif</v>
      </c>
      <c r="R4250" s="38"/>
    </row>
    <row r="4251" spans="1:18" x14ac:dyDescent="0.3">
      <c r="A4251" s="34" t="str">
        <f>base!J4251</f>
        <v>RS</v>
      </c>
      <c r="B4251" s="34" t="str">
        <f>base!V4251</f>
        <v>69380</v>
      </c>
      <c r="C4251" s="37">
        <v>69</v>
      </c>
      <c r="D4251" s="36">
        <f>base!H4251</f>
        <v>67.599999999999994</v>
      </c>
      <c r="E4251" s="44"/>
      <c r="F4251" s="16">
        <f>base!W4251</f>
        <v>0</v>
      </c>
      <c r="G4251" s="11">
        <f t="shared" si="660"/>
        <v>0</v>
      </c>
      <c r="H4251" s="11">
        <f t="shared" si="661"/>
        <v>18.251999999999999</v>
      </c>
      <c r="I4251" s="11">
        <f t="shared" si="662"/>
        <v>0.27</v>
      </c>
      <c r="J4251" s="12">
        <f t="shared" si="663"/>
        <v>-18.251999999999999</v>
      </c>
      <c r="K4251" s="17" t="str">
        <f t="shared" si="668"/>
        <v>Ecart négatif</v>
      </c>
      <c r="L4251" s="16">
        <f>base!X4251</f>
        <v>0</v>
      </c>
      <c r="M4251" s="11">
        <f t="shared" si="664"/>
        <v>0</v>
      </c>
      <c r="N4251" s="11">
        <f t="shared" si="665"/>
        <v>0</v>
      </c>
      <c r="O4251" s="11">
        <f t="shared" si="666"/>
        <v>0</v>
      </c>
      <c r="P4251" s="12">
        <f t="shared" si="667"/>
        <v>0</v>
      </c>
      <c r="Q4251" s="17" t="str">
        <f t="shared" si="669"/>
        <v>Pas d'écart</v>
      </c>
    </row>
    <row r="4252" spans="1:18" x14ac:dyDescent="0.3">
      <c r="A4252" s="34" t="str">
        <f>base!J4252</f>
        <v>DLM</v>
      </c>
      <c r="B4252" s="34" t="str">
        <f>base!V4252</f>
        <v>69003</v>
      </c>
      <c r="C4252" s="37">
        <v>69</v>
      </c>
      <c r="D4252" s="36">
        <f>base!H4252</f>
        <v>52.5</v>
      </c>
      <c r="E4252" s="44"/>
      <c r="F4252" s="16">
        <f>base!W4252</f>
        <v>0</v>
      </c>
      <c r="G4252" s="11">
        <f t="shared" si="660"/>
        <v>0</v>
      </c>
      <c r="H4252" s="11">
        <f t="shared" si="661"/>
        <v>14.175000000000001</v>
      </c>
      <c r="I4252" s="11">
        <f t="shared" si="662"/>
        <v>0.27</v>
      </c>
      <c r="J4252" s="12">
        <f t="shared" si="663"/>
        <v>-14.175000000000001</v>
      </c>
      <c r="K4252" s="17" t="str">
        <f t="shared" si="668"/>
        <v>Ecart négatif</v>
      </c>
      <c r="L4252" s="16">
        <f>base!X4252</f>
        <v>0</v>
      </c>
      <c r="M4252" s="11">
        <f t="shared" si="664"/>
        <v>0</v>
      </c>
      <c r="N4252" s="11">
        <f t="shared" si="665"/>
        <v>0</v>
      </c>
      <c r="O4252" s="11">
        <f t="shared" si="666"/>
        <v>0</v>
      </c>
      <c r="P4252" s="12">
        <f t="shared" si="667"/>
        <v>0</v>
      </c>
      <c r="Q4252" s="17" t="str">
        <f t="shared" si="669"/>
        <v>Pas d'écart</v>
      </c>
    </row>
    <row r="4253" spans="1:18" x14ac:dyDescent="0.3">
      <c r="A4253" s="34" t="str">
        <f>base!J4253</f>
        <v>DLM</v>
      </c>
      <c r="B4253" s="34" t="str">
        <f>base!V4253</f>
        <v>69003</v>
      </c>
      <c r="C4253" s="37">
        <v>69</v>
      </c>
      <c r="D4253" s="36">
        <f>base!H4253</f>
        <v>52.5</v>
      </c>
      <c r="E4253" s="44"/>
      <c r="F4253" s="16">
        <f>base!W4253</f>
        <v>0</v>
      </c>
      <c r="G4253" s="11">
        <f t="shared" si="660"/>
        <v>0</v>
      </c>
      <c r="H4253" s="11">
        <f t="shared" si="661"/>
        <v>14.175000000000001</v>
      </c>
      <c r="I4253" s="11">
        <f t="shared" si="662"/>
        <v>0.27</v>
      </c>
      <c r="J4253" s="12">
        <f t="shared" si="663"/>
        <v>-14.175000000000001</v>
      </c>
      <c r="K4253" s="17" t="str">
        <f t="shared" si="668"/>
        <v>Ecart négatif</v>
      </c>
      <c r="L4253" s="16">
        <f>base!X4253</f>
        <v>0</v>
      </c>
      <c r="M4253" s="11">
        <f t="shared" si="664"/>
        <v>0</v>
      </c>
      <c r="N4253" s="11">
        <f t="shared" si="665"/>
        <v>0</v>
      </c>
      <c r="O4253" s="11">
        <f t="shared" si="666"/>
        <v>0</v>
      </c>
      <c r="P4253" s="12">
        <f t="shared" si="667"/>
        <v>0</v>
      </c>
      <c r="Q4253" s="17" t="str">
        <f t="shared" si="669"/>
        <v>Pas d'écart</v>
      </c>
    </row>
    <row r="4254" spans="1:18" x14ac:dyDescent="0.3">
      <c r="A4254" s="34" t="str">
        <f>base!J4254</f>
        <v>RM</v>
      </c>
      <c r="B4254" s="34" t="str">
        <f>base!V4254</f>
        <v>10300</v>
      </c>
      <c r="C4254" s="37">
        <v>10</v>
      </c>
      <c r="D4254" s="36">
        <f>base!H4254</f>
        <v>183.98</v>
      </c>
      <c r="E4254" s="44"/>
      <c r="F4254" s="16">
        <f>base!W4254</f>
        <v>0</v>
      </c>
      <c r="G4254" s="11">
        <f t="shared" si="660"/>
        <v>0</v>
      </c>
      <c r="H4254" s="11">
        <f t="shared" si="661"/>
        <v>42.315399999999997</v>
      </c>
      <c r="I4254" s="11">
        <f t="shared" si="662"/>
        <v>0.22999999999999998</v>
      </c>
      <c r="J4254" s="12">
        <f t="shared" si="663"/>
        <v>-42.315399999999997</v>
      </c>
      <c r="K4254" s="17" t="str">
        <f t="shared" si="668"/>
        <v>Ecart négatif</v>
      </c>
      <c r="L4254" s="16">
        <f>base!X4254</f>
        <v>22.08</v>
      </c>
      <c r="M4254" s="11">
        <f t="shared" si="664"/>
        <v>0.12001304489618436</v>
      </c>
      <c r="N4254" s="11">
        <f t="shared" si="665"/>
        <v>22.077599999999997</v>
      </c>
      <c r="O4254" s="11">
        <f t="shared" si="666"/>
        <v>0.12</v>
      </c>
      <c r="P4254" s="12">
        <f t="shared" si="667"/>
        <v>2.400000000001512E-3</v>
      </c>
      <c r="Q4254" s="17" t="str">
        <f t="shared" si="669"/>
        <v>Ecart positif</v>
      </c>
      <c r="R4254" s="38"/>
    </row>
    <row r="4255" spans="1:18" x14ac:dyDescent="0.3">
      <c r="A4255" s="34" t="str">
        <f>base!J4255</f>
        <v>RM</v>
      </c>
      <c r="B4255" s="34" t="str">
        <f>base!V4255</f>
        <v>69120</v>
      </c>
      <c r="C4255" s="37">
        <v>69</v>
      </c>
      <c r="D4255" s="36">
        <f>base!H4255</f>
        <v>30</v>
      </c>
      <c r="E4255" s="44"/>
      <c r="F4255" s="16">
        <f>base!W4255</f>
        <v>0</v>
      </c>
      <c r="G4255" s="11">
        <f t="shared" si="660"/>
        <v>0</v>
      </c>
      <c r="H4255" s="11">
        <f t="shared" si="661"/>
        <v>8.1000000000000014</v>
      </c>
      <c r="I4255" s="11">
        <f t="shared" si="662"/>
        <v>0.27000000000000007</v>
      </c>
      <c r="J4255" s="12">
        <f t="shared" si="663"/>
        <v>-8.1000000000000014</v>
      </c>
      <c r="K4255" s="17" t="str">
        <f t="shared" si="668"/>
        <v>Ecart négatif</v>
      </c>
      <c r="L4255" s="16">
        <f>base!X4255</f>
        <v>0</v>
      </c>
      <c r="M4255" s="11">
        <f t="shared" si="664"/>
        <v>0</v>
      </c>
      <c r="N4255" s="11">
        <f t="shared" si="665"/>
        <v>0</v>
      </c>
      <c r="O4255" s="11">
        <f t="shared" si="666"/>
        <v>0</v>
      </c>
      <c r="P4255" s="12">
        <f t="shared" si="667"/>
        <v>0</v>
      </c>
      <c r="Q4255" s="17" t="str">
        <f t="shared" si="669"/>
        <v>Pas d'écart</v>
      </c>
    </row>
    <row r="4256" spans="1:18" x14ac:dyDescent="0.3">
      <c r="A4256" s="34" t="str">
        <f>base!J4256</f>
        <v>RS</v>
      </c>
      <c r="B4256" s="34" t="str">
        <f>base!V4256</f>
        <v>57200</v>
      </c>
      <c r="C4256" s="37">
        <v>57</v>
      </c>
      <c r="D4256" s="36">
        <f>base!H4256</f>
        <v>140</v>
      </c>
      <c r="E4256" s="44"/>
      <c r="F4256" s="16">
        <f>base!W4256</f>
        <v>0</v>
      </c>
      <c r="G4256" s="11">
        <f t="shared" si="660"/>
        <v>0</v>
      </c>
      <c r="H4256" s="11">
        <f t="shared" si="661"/>
        <v>33.6</v>
      </c>
      <c r="I4256" s="11">
        <f t="shared" si="662"/>
        <v>0.24000000000000002</v>
      </c>
      <c r="J4256" s="12">
        <f t="shared" si="663"/>
        <v>-33.6</v>
      </c>
      <c r="K4256" s="17" t="str">
        <f t="shared" si="668"/>
        <v>Ecart négatif</v>
      </c>
      <c r="L4256" s="16">
        <f>base!X4256</f>
        <v>35</v>
      </c>
      <c r="M4256" s="11">
        <f t="shared" si="664"/>
        <v>0.25</v>
      </c>
      <c r="N4256" s="11">
        <f t="shared" si="665"/>
        <v>35</v>
      </c>
      <c r="O4256" s="11">
        <f t="shared" si="666"/>
        <v>0.25</v>
      </c>
      <c r="P4256" s="12">
        <f t="shared" si="667"/>
        <v>0</v>
      </c>
      <c r="Q4256" s="17" t="str">
        <f t="shared" si="669"/>
        <v>Pas d'écart</v>
      </c>
    </row>
    <row r="4257" spans="1:18" x14ac:dyDescent="0.3">
      <c r="A4257" s="34" t="str">
        <f>base!J4257</f>
        <v>LS</v>
      </c>
      <c r="B4257" s="34" t="str">
        <f>base!V4257</f>
        <v>63000</v>
      </c>
      <c r="C4257" s="37">
        <v>69</v>
      </c>
      <c r="D4257" s="36">
        <f>base!H4257</f>
        <v>194.98</v>
      </c>
      <c r="E4257" s="44"/>
      <c r="F4257" s="16">
        <f>base!W4257</f>
        <v>56.54</v>
      </c>
      <c r="G4257" s="11">
        <f t="shared" si="660"/>
        <v>0.289978459329162</v>
      </c>
      <c r="H4257" s="11">
        <f t="shared" si="661"/>
        <v>52.644600000000004</v>
      </c>
      <c r="I4257" s="11">
        <f t="shared" si="662"/>
        <v>0.27</v>
      </c>
      <c r="J4257" s="12">
        <f t="shared" si="663"/>
        <v>3.8953999999999951</v>
      </c>
      <c r="K4257" s="17" t="str">
        <f t="shared" si="668"/>
        <v>Ecart positif</v>
      </c>
      <c r="L4257" s="16">
        <f>base!X4257</f>
        <v>0</v>
      </c>
      <c r="M4257" s="11">
        <f t="shared" si="664"/>
        <v>0</v>
      </c>
      <c r="N4257" s="11">
        <f t="shared" si="665"/>
        <v>0</v>
      </c>
      <c r="O4257" s="11">
        <f t="shared" si="666"/>
        <v>0</v>
      </c>
      <c r="P4257" s="12">
        <f t="shared" si="667"/>
        <v>0</v>
      </c>
      <c r="Q4257" s="17" t="str">
        <f t="shared" si="669"/>
        <v>Pas d'écart</v>
      </c>
    </row>
    <row r="4258" spans="1:18" x14ac:dyDescent="0.3">
      <c r="A4258" s="34" t="str">
        <f>base!J4258</f>
        <v>LM</v>
      </c>
      <c r="B4258" s="34" t="str">
        <f>base!V4258</f>
        <v>38300</v>
      </c>
      <c r="C4258" s="37">
        <v>49</v>
      </c>
      <c r="D4258" s="36">
        <f>base!H4258</f>
        <v>19.649999999999999</v>
      </c>
      <c r="E4258" s="44"/>
      <c r="F4258" s="16">
        <f>base!W4258</f>
        <v>5.31</v>
      </c>
      <c r="G4258" s="11">
        <f t="shared" si="660"/>
        <v>0.27022900763358776</v>
      </c>
      <c r="H4258" s="11">
        <f t="shared" si="661"/>
        <v>5.3055000000000003</v>
      </c>
      <c r="I4258" s="11">
        <f t="shared" si="662"/>
        <v>0.27</v>
      </c>
      <c r="J4258" s="12">
        <f t="shared" si="663"/>
        <v>4.4999999999992824E-3</v>
      </c>
      <c r="K4258" s="17" t="str">
        <f t="shared" si="668"/>
        <v>Ecart positif</v>
      </c>
      <c r="L4258" s="16">
        <f>base!X4258</f>
        <v>0</v>
      </c>
      <c r="M4258" s="11">
        <f t="shared" si="664"/>
        <v>0</v>
      </c>
      <c r="N4258" s="11">
        <f t="shared" si="665"/>
        <v>0</v>
      </c>
      <c r="O4258" s="11">
        <f t="shared" si="666"/>
        <v>0</v>
      </c>
      <c r="P4258" s="12">
        <f t="shared" si="667"/>
        <v>0</v>
      </c>
      <c r="Q4258" s="17" t="str">
        <f t="shared" si="669"/>
        <v>Pas d'écart</v>
      </c>
    </row>
    <row r="4259" spans="1:18" x14ac:dyDescent="0.3">
      <c r="A4259" s="34" t="str">
        <f>base!J4259</f>
        <v>LM</v>
      </c>
      <c r="B4259" s="34" t="str">
        <f>base!V4259</f>
        <v>38230</v>
      </c>
      <c r="C4259" s="37">
        <v>49</v>
      </c>
      <c r="D4259" s="36">
        <f>base!H4259</f>
        <v>19.649999999999999</v>
      </c>
      <c r="E4259" s="44"/>
      <c r="F4259" s="16">
        <f>base!W4259</f>
        <v>5.31</v>
      </c>
      <c r="G4259" s="11">
        <f t="shared" si="660"/>
        <v>0.27022900763358776</v>
      </c>
      <c r="H4259" s="11">
        <f t="shared" si="661"/>
        <v>5.3055000000000003</v>
      </c>
      <c r="I4259" s="11">
        <f t="shared" si="662"/>
        <v>0.27</v>
      </c>
      <c r="J4259" s="12">
        <f t="shared" si="663"/>
        <v>4.4999999999992824E-3</v>
      </c>
      <c r="K4259" s="17" t="str">
        <f t="shared" si="668"/>
        <v>Ecart positif</v>
      </c>
      <c r="L4259" s="16">
        <f>base!X4259</f>
        <v>0</v>
      </c>
      <c r="M4259" s="11">
        <f t="shared" si="664"/>
        <v>0</v>
      </c>
      <c r="N4259" s="11">
        <f t="shared" si="665"/>
        <v>0</v>
      </c>
      <c r="O4259" s="11">
        <f t="shared" si="666"/>
        <v>0</v>
      </c>
      <c r="P4259" s="12">
        <f t="shared" si="667"/>
        <v>0</v>
      </c>
      <c r="Q4259" s="17" t="str">
        <f t="shared" si="669"/>
        <v>Pas d'écart</v>
      </c>
    </row>
    <row r="4260" spans="1:18" x14ac:dyDescent="0.3">
      <c r="A4260" s="34" t="str">
        <f>base!J4260</f>
        <v>DRM</v>
      </c>
      <c r="B4260" s="34" t="str">
        <f>base!V4260</f>
        <v>38230</v>
      </c>
      <c r="C4260" s="37">
        <v>38</v>
      </c>
      <c r="D4260" s="36">
        <f>base!H4260</f>
        <v>23.4</v>
      </c>
      <c r="E4260" s="44"/>
      <c r="F4260" s="16">
        <f>base!W4260</f>
        <v>0</v>
      </c>
      <c r="G4260" s="11">
        <f t="shared" si="660"/>
        <v>0</v>
      </c>
      <c r="H4260" s="11">
        <f t="shared" si="661"/>
        <v>6.3179999999999996</v>
      </c>
      <c r="I4260" s="11">
        <f t="shared" si="662"/>
        <v>0.27</v>
      </c>
      <c r="J4260" s="12">
        <f t="shared" si="663"/>
        <v>-6.3179999999999996</v>
      </c>
      <c r="K4260" s="17" t="str">
        <f t="shared" si="668"/>
        <v>Ecart négatif</v>
      </c>
      <c r="L4260" s="16">
        <f>base!X4260</f>
        <v>0</v>
      </c>
      <c r="M4260" s="11">
        <f t="shared" si="664"/>
        <v>0</v>
      </c>
      <c r="N4260" s="11">
        <f t="shared" si="665"/>
        <v>0</v>
      </c>
      <c r="O4260" s="11">
        <f t="shared" si="666"/>
        <v>0</v>
      </c>
      <c r="P4260" s="12">
        <f t="shared" si="667"/>
        <v>0</v>
      </c>
      <c r="Q4260" s="17" t="str">
        <f t="shared" si="669"/>
        <v>Pas d'écart</v>
      </c>
    </row>
    <row r="4261" spans="1:18" x14ac:dyDescent="0.3">
      <c r="A4261" s="34">
        <f>base!J4261</f>
        <v>0</v>
      </c>
      <c r="B4261" s="34" t="str">
        <f>base!V4261</f>
        <v>77184</v>
      </c>
      <c r="C4261" s="37">
        <v>77</v>
      </c>
      <c r="D4261" s="36">
        <f>base!H4261</f>
        <v>25</v>
      </c>
      <c r="E4261" s="44"/>
      <c r="F4261" s="16">
        <f>base!W4261</f>
        <v>0</v>
      </c>
      <c r="G4261" s="11">
        <f t="shared" si="660"/>
        <v>0</v>
      </c>
      <c r="H4261" s="11">
        <f t="shared" si="661"/>
        <v>0</v>
      </c>
      <c r="I4261" s="11">
        <f t="shared" si="662"/>
        <v>0</v>
      </c>
      <c r="J4261" s="12">
        <f t="shared" si="663"/>
        <v>0</v>
      </c>
      <c r="K4261" s="17" t="str">
        <f t="shared" si="668"/>
        <v>Pas d'écart</v>
      </c>
      <c r="L4261" s="16">
        <f>base!X4261</f>
        <v>0</v>
      </c>
      <c r="M4261" s="11">
        <f t="shared" si="664"/>
        <v>0</v>
      </c>
      <c r="N4261" s="11">
        <f t="shared" si="665"/>
        <v>0</v>
      </c>
      <c r="O4261" s="11">
        <f t="shared" si="666"/>
        <v>0</v>
      </c>
      <c r="P4261" s="12">
        <f t="shared" si="667"/>
        <v>0</v>
      </c>
      <c r="Q4261" s="17" t="str">
        <f t="shared" si="669"/>
        <v>Pas d'écart</v>
      </c>
    </row>
    <row r="4262" spans="1:18" x14ac:dyDescent="0.3">
      <c r="A4262" s="34" t="str">
        <f>base!J4262</f>
        <v>RS</v>
      </c>
      <c r="B4262" s="34" t="str">
        <f>base!V4262</f>
        <v>71300</v>
      </c>
      <c r="C4262" s="37">
        <v>71</v>
      </c>
      <c r="D4262" s="36">
        <f>base!H4262</f>
        <v>40</v>
      </c>
      <c r="E4262" s="44"/>
      <c r="F4262" s="16">
        <f>base!W4262</f>
        <v>0</v>
      </c>
      <c r="G4262" s="11">
        <f t="shared" si="660"/>
        <v>0</v>
      </c>
      <c r="H4262" s="11">
        <f t="shared" si="661"/>
        <v>10.8</v>
      </c>
      <c r="I4262" s="11">
        <f t="shared" si="662"/>
        <v>0.27</v>
      </c>
      <c r="J4262" s="12">
        <f t="shared" si="663"/>
        <v>-10.8</v>
      </c>
      <c r="K4262" s="17" t="str">
        <f t="shared" si="668"/>
        <v>Ecart négatif</v>
      </c>
      <c r="L4262" s="16">
        <f>base!X4262</f>
        <v>0</v>
      </c>
      <c r="M4262" s="11">
        <f t="shared" si="664"/>
        <v>0</v>
      </c>
      <c r="N4262" s="11">
        <f t="shared" si="665"/>
        <v>0</v>
      </c>
      <c r="O4262" s="11">
        <f t="shared" si="666"/>
        <v>0</v>
      </c>
      <c r="P4262" s="12">
        <f t="shared" si="667"/>
        <v>0</v>
      </c>
      <c r="Q4262" s="17" t="str">
        <f t="shared" si="669"/>
        <v>Pas d'écart</v>
      </c>
    </row>
    <row r="4263" spans="1:18" x14ac:dyDescent="0.3">
      <c r="A4263" s="34" t="str">
        <f>base!J4263</f>
        <v>RS</v>
      </c>
      <c r="B4263" s="34" t="str">
        <f>base!V4263</f>
        <v>94400</v>
      </c>
      <c r="C4263" s="37">
        <v>94</v>
      </c>
      <c r="D4263" s="36">
        <f>base!H4263</f>
        <v>308</v>
      </c>
      <c r="E4263" s="44"/>
      <c r="F4263" s="16">
        <f>base!W4263</f>
        <v>0</v>
      </c>
      <c r="G4263" s="11">
        <f t="shared" si="660"/>
        <v>0</v>
      </c>
      <c r="H4263" s="11">
        <f t="shared" si="661"/>
        <v>0</v>
      </c>
      <c r="I4263" s="11">
        <f t="shared" si="662"/>
        <v>0</v>
      </c>
      <c r="J4263" s="12">
        <f t="shared" si="663"/>
        <v>0</v>
      </c>
      <c r="K4263" s="17" t="str">
        <f t="shared" si="668"/>
        <v>Pas d'écart</v>
      </c>
      <c r="L4263" s="16">
        <f>base!X4263</f>
        <v>0</v>
      </c>
      <c r="M4263" s="11">
        <f t="shared" si="664"/>
        <v>0</v>
      </c>
      <c r="N4263" s="11">
        <f t="shared" si="665"/>
        <v>0</v>
      </c>
      <c r="O4263" s="11">
        <f t="shared" si="666"/>
        <v>0</v>
      </c>
      <c r="P4263" s="12">
        <f t="shared" si="667"/>
        <v>0</v>
      </c>
      <c r="Q4263" s="17" t="str">
        <f t="shared" si="669"/>
        <v>Pas d'écart</v>
      </c>
    </row>
    <row r="4264" spans="1:18" x14ac:dyDescent="0.3">
      <c r="A4264" s="34" t="str">
        <f>base!J4264</f>
        <v>LS</v>
      </c>
      <c r="B4264" s="34" t="str">
        <f>base!V4264</f>
        <v>83190</v>
      </c>
      <c r="C4264" s="37">
        <v>38</v>
      </c>
      <c r="D4264" s="36">
        <f>base!H4264</f>
        <v>13</v>
      </c>
      <c r="E4264" s="44"/>
      <c r="F4264" s="16">
        <f>base!W4264</f>
        <v>0</v>
      </c>
      <c r="G4264" s="11">
        <f t="shared" si="660"/>
        <v>0</v>
      </c>
      <c r="H4264" s="11">
        <f t="shared" si="661"/>
        <v>3.5100000000000002</v>
      </c>
      <c r="I4264" s="11">
        <f t="shared" si="662"/>
        <v>0.27</v>
      </c>
      <c r="J4264" s="12">
        <f t="shared" si="663"/>
        <v>-3.5100000000000002</v>
      </c>
      <c r="K4264" s="17" t="str">
        <f t="shared" si="668"/>
        <v>Ecart négatif</v>
      </c>
      <c r="L4264" s="16">
        <f>base!X4264</f>
        <v>0</v>
      </c>
      <c r="M4264" s="11">
        <f t="shared" si="664"/>
        <v>0</v>
      </c>
      <c r="N4264" s="11">
        <f t="shared" si="665"/>
        <v>0</v>
      </c>
      <c r="O4264" s="11">
        <f t="shared" si="666"/>
        <v>0</v>
      </c>
      <c r="P4264" s="12">
        <f t="shared" si="667"/>
        <v>0</v>
      </c>
      <c r="Q4264" s="17" t="str">
        <f t="shared" si="669"/>
        <v>Pas d'écart</v>
      </c>
    </row>
    <row r="4265" spans="1:18" x14ac:dyDescent="0.3">
      <c r="A4265" s="34" t="str">
        <f>base!J4265</f>
        <v>RS</v>
      </c>
      <c r="B4265" s="34" t="str">
        <f>base!V4265</f>
        <v>69800</v>
      </c>
      <c r="C4265" s="37">
        <v>69</v>
      </c>
      <c r="D4265" s="36">
        <f>base!H4265</f>
        <v>151</v>
      </c>
      <c r="E4265" s="44"/>
      <c r="F4265" s="16">
        <f>base!W4265</f>
        <v>0</v>
      </c>
      <c r="G4265" s="11">
        <f t="shared" si="660"/>
        <v>0</v>
      </c>
      <c r="H4265" s="11">
        <f t="shared" si="661"/>
        <v>40.770000000000003</v>
      </c>
      <c r="I4265" s="11">
        <f t="shared" si="662"/>
        <v>0.27</v>
      </c>
      <c r="J4265" s="12">
        <f t="shared" si="663"/>
        <v>-40.770000000000003</v>
      </c>
      <c r="K4265" s="17" t="str">
        <f t="shared" si="668"/>
        <v>Ecart négatif</v>
      </c>
      <c r="L4265" s="16">
        <f>base!X4265</f>
        <v>0</v>
      </c>
      <c r="M4265" s="11">
        <f t="shared" si="664"/>
        <v>0</v>
      </c>
      <c r="N4265" s="11">
        <f t="shared" si="665"/>
        <v>0</v>
      </c>
      <c r="O4265" s="11">
        <f t="shared" si="666"/>
        <v>0</v>
      </c>
      <c r="P4265" s="12">
        <f t="shared" si="667"/>
        <v>0</v>
      </c>
      <c r="Q4265" s="17" t="str">
        <f t="shared" si="669"/>
        <v>Pas d'écart</v>
      </c>
    </row>
    <row r="4266" spans="1:18" x14ac:dyDescent="0.3">
      <c r="A4266" s="34" t="str">
        <f>base!J4266</f>
        <v>RM</v>
      </c>
      <c r="B4266" s="34" t="str">
        <f>base!V4266</f>
        <v>67000</v>
      </c>
      <c r="C4266" s="37">
        <v>67</v>
      </c>
      <c r="D4266" s="36">
        <f>base!H4266</f>
        <v>17</v>
      </c>
      <c r="E4266" s="44"/>
      <c r="F4266" s="16">
        <f>base!W4266</f>
        <v>0</v>
      </c>
      <c r="G4266" s="11">
        <f t="shared" si="660"/>
        <v>0</v>
      </c>
      <c r="H4266" s="11">
        <f t="shared" si="661"/>
        <v>4.93</v>
      </c>
      <c r="I4266" s="11">
        <f t="shared" si="662"/>
        <v>0.28999999999999998</v>
      </c>
      <c r="J4266" s="12">
        <f t="shared" si="663"/>
        <v>-4.93</v>
      </c>
      <c r="K4266" s="17" t="str">
        <f t="shared" si="668"/>
        <v>Ecart négatif</v>
      </c>
      <c r="L4266" s="16">
        <f>base!X4266</f>
        <v>1.36</v>
      </c>
      <c r="M4266" s="11">
        <f t="shared" si="664"/>
        <v>0.08</v>
      </c>
      <c r="N4266" s="11">
        <f t="shared" si="665"/>
        <v>1.36</v>
      </c>
      <c r="O4266" s="11">
        <f t="shared" si="666"/>
        <v>0.08</v>
      </c>
      <c r="P4266" s="12">
        <f t="shared" si="667"/>
        <v>0</v>
      </c>
      <c r="Q4266" s="17" t="str">
        <f t="shared" si="669"/>
        <v>Pas d'écart</v>
      </c>
      <c r="R4266" s="38"/>
    </row>
    <row r="4267" spans="1:18" x14ac:dyDescent="0.3">
      <c r="A4267" s="34" t="str">
        <f>base!J4267</f>
        <v>RS</v>
      </c>
      <c r="B4267" s="34" t="str">
        <f>base!V4267</f>
        <v>06560</v>
      </c>
      <c r="C4267" s="37">
        <v>6</v>
      </c>
      <c r="D4267" s="36">
        <f>base!H4267</f>
        <v>151</v>
      </c>
      <c r="E4267" s="44"/>
      <c r="F4267" s="16">
        <f>base!W4267</f>
        <v>0</v>
      </c>
      <c r="G4267" s="11">
        <f t="shared" si="660"/>
        <v>0</v>
      </c>
      <c r="H4267" s="11">
        <f t="shared" si="661"/>
        <v>45.3</v>
      </c>
      <c r="I4267" s="11">
        <f t="shared" si="662"/>
        <v>0.3</v>
      </c>
      <c r="J4267" s="12">
        <f t="shared" si="663"/>
        <v>-45.3</v>
      </c>
      <c r="K4267" s="17" t="str">
        <f t="shared" si="668"/>
        <v>Ecart négatif</v>
      </c>
      <c r="L4267" s="16">
        <f>base!X4267</f>
        <v>0</v>
      </c>
      <c r="M4267" s="11">
        <f t="shared" si="664"/>
        <v>0</v>
      </c>
      <c r="N4267" s="11">
        <f t="shared" si="665"/>
        <v>31.709999999999997</v>
      </c>
      <c r="O4267" s="11">
        <f t="shared" si="666"/>
        <v>0.21</v>
      </c>
      <c r="P4267" s="12">
        <f t="shared" si="667"/>
        <v>-31.709999999999997</v>
      </c>
      <c r="Q4267" s="17" t="str">
        <f t="shared" si="669"/>
        <v>Ecart négatif</v>
      </c>
    </row>
    <row r="4268" spans="1:18" x14ac:dyDescent="0.3">
      <c r="A4268" s="34" t="str">
        <f>base!J4268</f>
        <v>DLS</v>
      </c>
      <c r="B4268" s="34" t="str">
        <f>base!V4268</f>
        <v>75013</v>
      </c>
      <c r="C4268" s="37">
        <v>75</v>
      </c>
      <c r="D4268" s="36">
        <f>base!H4268</f>
        <v>180</v>
      </c>
      <c r="E4268" s="44"/>
      <c r="F4268" s="16">
        <f>base!W4268</f>
        <v>0</v>
      </c>
      <c r="G4268" s="11">
        <f t="shared" si="660"/>
        <v>0</v>
      </c>
      <c r="H4268" s="11">
        <f t="shared" si="661"/>
        <v>0</v>
      </c>
      <c r="I4268" s="11">
        <f t="shared" si="662"/>
        <v>0</v>
      </c>
      <c r="J4268" s="12">
        <f t="shared" si="663"/>
        <v>0</v>
      </c>
      <c r="K4268" s="17" t="str">
        <f t="shared" si="668"/>
        <v>Pas d'écart</v>
      </c>
      <c r="L4268" s="16">
        <f>base!X4268</f>
        <v>0</v>
      </c>
      <c r="M4268" s="11">
        <f t="shared" si="664"/>
        <v>0</v>
      </c>
      <c r="N4268" s="11">
        <f t="shared" si="665"/>
        <v>0</v>
      </c>
      <c r="O4268" s="11">
        <f t="shared" si="666"/>
        <v>0</v>
      </c>
      <c r="P4268" s="12">
        <f t="shared" si="667"/>
        <v>0</v>
      </c>
      <c r="Q4268" s="17" t="str">
        <f t="shared" si="669"/>
        <v>Pas d'écart</v>
      </c>
    </row>
    <row r="4269" spans="1:18" x14ac:dyDescent="0.3">
      <c r="A4269" s="34" t="str">
        <f>base!J4269</f>
        <v>LM</v>
      </c>
      <c r="B4269" s="34" t="str">
        <f>base!V4269</f>
        <v>69125</v>
      </c>
      <c r="C4269" s="37">
        <v>85</v>
      </c>
      <c r="D4269" s="36">
        <f>base!H4269</f>
        <v>53.52</v>
      </c>
      <c r="E4269" s="44"/>
      <c r="F4269" s="16">
        <f>base!W4269</f>
        <v>14.45</v>
      </c>
      <c r="G4269" s="11">
        <f t="shared" si="660"/>
        <v>0.26999252615844543</v>
      </c>
      <c r="H4269" s="11">
        <f t="shared" si="661"/>
        <v>14.450400000000002</v>
      </c>
      <c r="I4269" s="11">
        <f t="shared" si="662"/>
        <v>0.27</v>
      </c>
      <c r="J4269" s="12">
        <f t="shared" si="663"/>
        <v>-4.0000000000262048E-4</v>
      </c>
      <c r="K4269" s="17" t="str">
        <f t="shared" si="668"/>
        <v>Ecart négatif</v>
      </c>
      <c r="L4269" s="16">
        <f>base!X4269</f>
        <v>0</v>
      </c>
      <c r="M4269" s="11">
        <f t="shared" si="664"/>
        <v>0</v>
      </c>
      <c r="N4269" s="11">
        <f t="shared" si="665"/>
        <v>0</v>
      </c>
      <c r="O4269" s="11">
        <f t="shared" si="666"/>
        <v>0</v>
      </c>
      <c r="P4269" s="12">
        <f t="shared" si="667"/>
        <v>0</v>
      </c>
      <c r="Q4269" s="17" t="str">
        <f t="shared" si="669"/>
        <v>Pas d'écart</v>
      </c>
    </row>
    <row r="4270" spans="1:18" x14ac:dyDescent="0.3">
      <c r="A4270" s="34">
        <f>base!J4270</f>
        <v>0</v>
      </c>
      <c r="B4270" s="34" t="str">
        <f>base!V4270</f>
        <v>77184</v>
      </c>
      <c r="C4270" s="37">
        <v>77</v>
      </c>
      <c r="D4270" s="36">
        <f>base!H4270</f>
        <v>53.8</v>
      </c>
      <c r="E4270" s="44"/>
      <c r="F4270" s="16">
        <f>base!W4270</f>
        <v>0</v>
      </c>
      <c r="G4270" s="11">
        <f t="shared" si="660"/>
        <v>0</v>
      </c>
      <c r="H4270" s="11">
        <f t="shared" si="661"/>
        <v>0</v>
      </c>
      <c r="I4270" s="11">
        <f t="shared" si="662"/>
        <v>0</v>
      </c>
      <c r="J4270" s="12">
        <f t="shared" si="663"/>
        <v>0</v>
      </c>
      <c r="K4270" s="17" t="str">
        <f t="shared" si="668"/>
        <v>Pas d'écart</v>
      </c>
      <c r="L4270" s="16">
        <f>base!X4270</f>
        <v>0</v>
      </c>
      <c r="M4270" s="11">
        <f t="shared" si="664"/>
        <v>0</v>
      </c>
      <c r="N4270" s="11">
        <f t="shared" si="665"/>
        <v>0</v>
      </c>
      <c r="O4270" s="11">
        <f t="shared" si="666"/>
        <v>0</v>
      </c>
      <c r="P4270" s="12">
        <f t="shared" si="667"/>
        <v>0</v>
      </c>
      <c r="Q4270" s="17" t="str">
        <f t="shared" si="669"/>
        <v>Pas d'écart</v>
      </c>
    </row>
    <row r="4271" spans="1:18" x14ac:dyDescent="0.3">
      <c r="A4271" s="34" t="str">
        <f>base!J4271</f>
        <v>RS</v>
      </c>
      <c r="B4271" s="34" t="str">
        <f>base!V4271</f>
        <v>76110</v>
      </c>
      <c r="C4271" s="37">
        <v>76</v>
      </c>
      <c r="D4271" s="36">
        <f>base!H4271</f>
        <v>127.4</v>
      </c>
      <c r="E4271" s="44"/>
      <c r="F4271" s="16">
        <f>base!W4271</f>
        <v>0</v>
      </c>
      <c r="G4271" s="11">
        <f t="shared" si="660"/>
        <v>0</v>
      </c>
      <c r="H4271" s="11">
        <f t="shared" si="661"/>
        <v>21.658000000000001</v>
      </c>
      <c r="I4271" s="11">
        <f t="shared" si="662"/>
        <v>0.17</v>
      </c>
      <c r="J4271" s="12">
        <f t="shared" si="663"/>
        <v>-21.658000000000001</v>
      </c>
      <c r="K4271" s="17" t="str">
        <f t="shared" si="668"/>
        <v>Ecart négatif</v>
      </c>
      <c r="L4271" s="16">
        <f>base!X4271</f>
        <v>21.66</v>
      </c>
      <c r="M4271" s="11">
        <f t="shared" si="664"/>
        <v>0.17001569858712715</v>
      </c>
      <c r="N4271" s="11">
        <f t="shared" si="665"/>
        <v>21.658000000000001</v>
      </c>
      <c r="O4271" s="11">
        <f t="shared" si="666"/>
        <v>0.17</v>
      </c>
      <c r="P4271" s="12">
        <f t="shared" si="667"/>
        <v>1.9999999999988916E-3</v>
      </c>
      <c r="Q4271" s="17" t="str">
        <f t="shared" si="669"/>
        <v>Ecart positif</v>
      </c>
      <c r="R4271" s="38"/>
    </row>
    <row r="4272" spans="1:18" x14ac:dyDescent="0.3">
      <c r="A4272" s="34" t="str">
        <f>base!J4272</f>
        <v>LS</v>
      </c>
      <c r="B4272" s="34" t="str">
        <f>base!V4272</f>
        <v>94150</v>
      </c>
      <c r="C4272" s="37">
        <v>94</v>
      </c>
      <c r="D4272" s="36">
        <f>base!H4272</f>
        <v>220</v>
      </c>
      <c r="E4272" s="44"/>
      <c r="F4272" s="16">
        <f>base!W4272</f>
        <v>0</v>
      </c>
      <c r="G4272" s="11">
        <f t="shared" si="660"/>
        <v>0</v>
      </c>
      <c r="H4272" s="11">
        <f t="shared" si="661"/>
        <v>0</v>
      </c>
      <c r="I4272" s="11">
        <f t="shared" si="662"/>
        <v>0</v>
      </c>
      <c r="J4272" s="12">
        <f t="shared" si="663"/>
        <v>0</v>
      </c>
      <c r="K4272" s="17" t="str">
        <f t="shared" si="668"/>
        <v>Pas d'écart</v>
      </c>
      <c r="L4272" s="16">
        <f>base!X4272</f>
        <v>0</v>
      </c>
      <c r="M4272" s="11">
        <f t="shared" si="664"/>
        <v>0</v>
      </c>
      <c r="N4272" s="11">
        <f t="shared" si="665"/>
        <v>0</v>
      </c>
      <c r="O4272" s="11">
        <f t="shared" si="666"/>
        <v>0</v>
      </c>
      <c r="P4272" s="12">
        <f t="shared" si="667"/>
        <v>0</v>
      </c>
      <c r="Q4272" s="17" t="str">
        <f t="shared" si="669"/>
        <v>Pas d'écart</v>
      </c>
    </row>
    <row r="4273" spans="1:18" x14ac:dyDescent="0.3">
      <c r="A4273" s="34" t="str">
        <f>base!J4273</f>
        <v>RS</v>
      </c>
      <c r="B4273" s="34" t="str">
        <f>base!V4273</f>
        <v>49380</v>
      </c>
      <c r="C4273" s="37">
        <v>49</v>
      </c>
      <c r="D4273" s="36">
        <f>base!H4273</f>
        <v>250</v>
      </c>
      <c r="E4273" s="44"/>
      <c r="F4273" s="16">
        <f>base!W4273</f>
        <v>0</v>
      </c>
      <c r="G4273" s="11">
        <f t="shared" si="660"/>
        <v>0</v>
      </c>
      <c r="H4273" s="11">
        <f t="shared" si="661"/>
        <v>67.5</v>
      </c>
      <c r="I4273" s="11">
        <f t="shared" si="662"/>
        <v>0.27</v>
      </c>
      <c r="J4273" s="12">
        <f t="shared" si="663"/>
        <v>-67.5</v>
      </c>
      <c r="K4273" s="17" t="str">
        <f t="shared" si="668"/>
        <v>Ecart négatif</v>
      </c>
      <c r="L4273" s="16">
        <f>base!X4273</f>
        <v>0</v>
      </c>
      <c r="M4273" s="11">
        <f t="shared" si="664"/>
        <v>0</v>
      </c>
      <c r="N4273" s="11">
        <f t="shared" si="665"/>
        <v>0</v>
      </c>
      <c r="O4273" s="11">
        <f t="shared" si="666"/>
        <v>0</v>
      </c>
      <c r="P4273" s="12">
        <f t="shared" si="667"/>
        <v>0</v>
      </c>
      <c r="Q4273" s="17" t="str">
        <f t="shared" si="669"/>
        <v>Pas d'écart</v>
      </c>
    </row>
    <row r="4274" spans="1:18" x14ac:dyDescent="0.3">
      <c r="A4274" s="34" t="str">
        <f>base!J4274</f>
        <v>LM</v>
      </c>
      <c r="B4274" s="34" t="str">
        <f>base!V4274</f>
        <v>62740</v>
      </c>
      <c r="C4274" s="37">
        <v>35</v>
      </c>
      <c r="D4274" s="36">
        <f>base!H4274</f>
        <v>140.53</v>
      </c>
      <c r="E4274" s="44"/>
      <c r="F4274" s="16">
        <f>base!W4274</f>
        <v>26.7</v>
      </c>
      <c r="G4274" s="11">
        <f t="shared" si="660"/>
        <v>0.18999501885718351</v>
      </c>
      <c r="H4274" s="11">
        <f t="shared" si="661"/>
        <v>37.943100000000001</v>
      </c>
      <c r="I4274" s="11">
        <f t="shared" si="662"/>
        <v>0.27</v>
      </c>
      <c r="J4274" s="12">
        <f t="shared" si="663"/>
        <v>-11.243100000000002</v>
      </c>
      <c r="K4274" s="17" t="str">
        <f t="shared" si="668"/>
        <v>Ecart négatif</v>
      </c>
      <c r="L4274" s="16">
        <f>base!X4274</f>
        <v>0</v>
      </c>
      <c r="M4274" s="11">
        <f t="shared" si="664"/>
        <v>0</v>
      </c>
      <c r="N4274" s="11">
        <f t="shared" si="665"/>
        <v>0</v>
      </c>
      <c r="O4274" s="11">
        <f t="shared" si="666"/>
        <v>0</v>
      </c>
      <c r="P4274" s="12">
        <f t="shared" si="667"/>
        <v>0</v>
      </c>
      <c r="Q4274" s="17" t="str">
        <f t="shared" si="669"/>
        <v>Pas d'écart</v>
      </c>
    </row>
    <row r="4275" spans="1:18" x14ac:dyDescent="0.3">
      <c r="A4275" s="34">
        <f>base!J4275</f>
        <v>0</v>
      </c>
      <c r="B4275" s="34" t="str">
        <f>base!V4275</f>
        <v>44240</v>
      </c>
      <c r="C4275" s="37">
        <v>44</v>
      </c>
      <c r="D4275" s="36">
        <f>base!H4275</f>
        <v>60</v>
      </c>
      <c r="E4275" s="44"/>
      <c r="F4275" s="16">
        <f>base!W4275</f>
        <v>0</v>
      </c>
      <c r="G4275" s="11">
        <f t="shared" si="660"/>
        <v>0</v>
      </c>
      <c r="H4275" s="11">
        <f t="shared" si="661"/>
        <v>16.200000000000003</v>
      </c>
      <c r="I4275" s="11">
        <f t="shared" si="662"/>
        <v>0.27000000000000007</v>
      </c>
      <c r="J4275" s="12">
        <f t="shared" si="663"/>
        <v>-16.200000000000003</v>
      </c>
      <c r="K4275" s="17" t="str">
        <f t="shared" si="668"/>
        <v>Ecart négatif</v>
      </c>
      <c r="L4275" s="16">
        <f>base!X4275</f>
        <v>0</v>
      </c>
      <c r="M4275" s="11">
        <f t="shared" si="664"/>
        <v>0</v>
      </c>
      <c r="N4275" s="11">
        <f t="shared" si="665"/>
        <v>0</v>
      </c>
      <c r="O4275" s="11">
        <f t="shared" si="666"/>
        <v>0</v>
      </c>
      <c r="P4275" s="12">
        <f t="shared" si="667"/>
        <v>0</v>
      </c>
      <c r="Q4275" s="17" t="str">
        <f t="shared" si="669"/>
        <v>Pas d'écart</v>
      </c>
    </row>
    <row r="4276" spans="1:18" x14ac:dyDescent="0.3">
      <c r="A4276" s="34">
        <f>base!J4276</f>
        <v>0</v>
      </c>
      <c r="B4276" s="34" t="str">
        <f>base!V4276</f>
        <v>44240</v>
      </c>
      <c r="C4276" s="37">
        <v>44</v>
      </c>
      <c r="D4276" s="36">
        <f>base!H4276</f>
        <v>299</v>
      </c>
      <c r="E4276" s="44"/>
      <c r="F4276" s="16">
        <f>base!W4276</f>
        <v>0</v>
      </c>
      <c r="G4276" s="11">
        <f t="shared" si="660"/>
        <v>0</v>
      </c>
      <c r="H4276" s="11">
        <f t="shared" si="661"/>
        <v>80.73</v>
      </c>
      <c r="I4276" s="11">
        <f t="shared" si="662"/>
        <v>0.27</v>
      </c>
      <c r="J4276" s="12">
        <f t="shared" si="663"/>
        <v>-80.73</v>
      </c>
      <c r="K4276" s="17" t="str">
        <f t="shared" si="668"/>
        <v>Ecart négatif</v>
      </c>
      <c r="L4276" s="16">
        <f>base!X4276</f>
        <v>0</v>
      </c>
      <c r="M4276" s="11">
        <f t="shared" si="664"/>
        <v>0</v>
      </c>
      <c r="N4276" s="11">
        <f t="shared" si="665"/>
        <v>0</v>
      </c>
      <c r="O4276" s="11">
        <f t="shared" si="666"/>
        <v>0</v>
      </c>
      <c r="P4276" s="12">
        <f t="shared" si="667"/>
        <v>0</v>
      </c>
      <c r="Q4276" s="17" t="str">
        <f t="shared" si="669"/>
        <v>Pas d'écart</v>
      </c>
    </row>
    <row r="4277" spans="1:18" x14ac:dyDescent="0.3">
      <c r="A4277" s="34">
        <f>base!J4277</f>
        <v>0</v>
      </c>
      <c r="B4277" s="34" t="str">
        <f>base!V4277</f>
        <v>77184</v>
      </c>
      <c r="C4277" s="37">
        <v>77</v>
      </c>
      <c r="D4277" s="36">
        <f>base!H4277</f>
        <v>37.19</v>
      </c>
      <c r="E4277" s="44"/>
      <c r="F4277" s="16">
        <f>base!W4277</f>
        <v>0</v>
      </c>
      <c r="G4277" s="11">
        <f t="shared" si="660"/>
        <v>0</v>
      </c>
      <c r="H4277" s="11">
        <f t="shared" si="661"/>
        <v>0</v>
      </c>
      <c r="I4277" s="11">
        <f t="shared" si="662"/>
        <v>0</v>
      </c>
      <c r="J4277" s="12">
        <f t="shared" si="663"/>
        <v>0</v>
      </c>
      <c r="K4277" s="17" t="str">
        <f t="shared" si="668"/>
        <v>Pas d'écart</v>
      </c>
      <c r="L4277" s="16">
        <f>base!X4277</f>
        <v>0</v>
      </c>
      <c r="M4277" s="11">
        <f t="shared" si="664"/>
        <v>0</v>
      </c>
      <c r="N4277" s="11">
        <f t="shared" si="665"/>
        <v>0</v>
      </c>
      <c r="O4277" s="11">
        <f t="shared" si="666"/>
        <v>0</v>
      </c>
      <c r="P4277" s="12">
        <f t="shared" si="667"/>
        <v>0</v>
      </c>
      <c r="Q4277" s="17" t="str">
        <f t="shared" si="669"/>
        <v>Pas d'écart</v>
      </c>
    </row>
    <row r="4278" spans="1:18" x14ac:dyDescent="0.3">
      <c r="A4278" s="34" t="str">
        <f>base!J4278</f>
        <v>DLM</v>
      </c>
      <c r="B4278" s="34" t="str">
        <f>base!V4278</f>
        <v>50230</v>
      </c>
      <c r="C4278" s="37">
        <v>50</v>
      </c>
      <c r="D4278" s="36">
        <f>base!H4278</f>
        <v>250</v>
      </c>
      <c r="E4278" s="44"/>
      <c r="F4278" s="16">
        <f>base!W4278</f>
        <v>0</v>
      </c>
      <c r="G4278" s="11">
        <f t="shared" si="660"/>
        <v>0</v>
      </c>
      <c r="H4278" s="11">
        <f t="shared" si="661"/>
        <v>42.5</v>
      </c>
      <c r="I4278" s="11">
        <f t="shared" si="662"/>
        <v>0.17</v>
      </c>
      <c r="J4278" s="12">
        <f t="shared" si="663"/>
        <v>-42.5</v>
      </c>
      <c r="K4278" s="17" t="str">
        <f t="shared" si="668"/>
        <v>Ecart négatif</v>
      </c>
      <c r="L4278" s="16">
        <f>base!X4278</f>
        <v>0</v>
      </c>
      <c r="M4278" s="11">
        <f t="shared" si="664"/>
        <v>0</v>
      </c>
      <c r="N4278" s="11">
        <f t="shared" si="665"/>
        <v>42.5</v>
      </c>
      <c r="O4278" s="11">
        <f t="shared" si="666"/>
        <v>0.17</v>
      </c>
      <c r="P4278" s="12">
        <f t="shared" si="667"/>
        <v>-42.5</v>
      </c>
      <c r="Q4278" s="17" t="str">
        <f t="shared" si="669"/>
        <v>Ecart négatif</v>
      </c>
    </row>
    <row r="4279" spans="1:18" x14ac:dyDescent="0.3">
      <c r="A4279" s="34">
        <f>base!J4279</f>
        <v>0</v>
      </c>
      <c r="B4279" s="34" t="str">
        <f>base!V4279</f>
        <v>77184</v>
      </c>
      <c r="C4279" s="37">
        <v>77</v>
      </c>
      <c r="D4279" s="36">
        <f>base!H4279</f>
        <v>84.5</v>
      </c>
      <c r="E4279" s="44"/>
      <c r="F4279" s="16">
        <f>base!W4279</f>
        <v>0</v>
      </c>
      <c r="G4279" s="11">
        <f t="shared" si="660"/>
        <v>0</v>
      </c>
      <c r="H4279" s="11">
        <f t="shared" si="661"/>
        <v>0</v>
      </c>
      <c r="I4279" s="11">
        <f t="shared" si="662"/>
        <v>0</v>
      </c>
      <c r="J4279" s="12">
        <f t="shared" si="663"/>
        <v>0</v>
      </c>
      <c r="K4279" s="17" t="str">
        <f t="shared" si="668"/>
        <v>Pas d'écart</v>
      </c>
      <c r="L4279" s="16">
        <f>base!X4279</f>
        <v>0</v>
      </c>
      <c r="M4279" s="11">
        <f t="shared" si="664"/>
        <v>0</v>
      </c>
      <c r="N4279" s="11">
        <f t="shared" si="665"/>
        <v>0</v>
      </c>
      <c r="O4279" s="11">
        <f t="shared" si="666"/>
        <v>0</v>
      </c>
      <c r="P4279" s="12">
        <f t="shared" si="667"/>
        <v>0</v>
      </c>
      <c r="Q4279" s="17" t="str">
        <f t="shared" si="669"/>
        <v>Pas d'écart</v>
      </c>
    </row>
    <row r="4280" spans="1:18" x14ac:dyDescent="0.3">
      <c r="A4280" s="34">
        <f>base!J4280</f>
        <v>0</v>
      </c>
      <c r="B4280" s="34" t="str">
        <f>base!V4280</f>
        <v>77184</v>
      </c>
      <c r="C4280" s="37">
        <v>77</v>
      </c>
      <c r="D4280" s="36">
        <f>base!H4280</f>
        <v>84.5</v>
      </c>
      <c r="E4280" s="44"/>
      <c r="F4280" s="16">
        <f>base!W4280</f>
        <v>0</v>
      </c>
      <c r="G4280" s="11">
        <f t="shared" si="660"/>
        <v>0</v>
      </c>
      <c r="H4280" s="11">
        <f t="shared" si="661"/>
        <v>0</v>
      </c>
      <c r="I4280" s="11">
        <f t="shared" si="662"/>
        <v>0</v>
      </c>
      <c r="J4280" s="12">
        <f t="shared" si="663"/>
        <v>0</v>
      </c>
      <c r="K4280" s="17" t="str">
        <f t="shared" si="668"/>
        <v>Pas d'écart</v>
      </c>
      <c r="L4280" s="16">
        <f>base!X4280</f>
        <v>0</v>
      </c>
      <c r="M4280" s="11">
        <f t="shared" si="664"/>
        <v>0</v>
      </c>
      <c r="N4280" s="11">
        <f t="shared" si="665"/>
        <v>0</v>
      </c>
      <c r="O4280" s="11">
        <f t="shared" si="666"/>
        <v>0</v>
      </c>
      <c r="P4280" s="12">
        <f t="shared" si="667"/>
        <v>0</v>
      </c>
      <c r="Q4280" s="17" t="str">
        <f t="shared" si="669"/>
        <v>Pas d'écart</v>
      </c>
    </row>
    <row r="4281" spans="1:18" x14ac:dyDescent="0.3">
      <c r="A4281" s="34" t="str">
        <f>base!J4281</f>
        <v>LM</v>
      </c>
      <c r="B4281" s="34" t="str">
        <f>base!V4281</f>
        <v>14000</v>
      </c>
      <c r="C4281" s="37">
        <v>51</v>
      </c>
      <c r="D4281" s="36">
        <f>base!H4281</f>
        <v>18.350000000000001</v>
      </c>
      <c r="E4281" s="44"/>
      <c r="F4281" s="16">
        <f>base!W4281</f>
        <v>3.12</v>
      </c>
      <c r="G4281" s="11">
        <f t="shared" si="660"/>
        <v>0.17002724795640325</v>
      </c>
      <c r="H4281" s="11">
        <f t="shared" si="661"/>
        <v>4.5875000000000004</v>
      </c>
      <c r="I4281" s="11">
        <f t="shared" si="662"/>
        <v>0.25</v>
      </c>
      <c r="J4281" s="12">
        <f t="shared" si="663"/>
        <v>-1.4675000000000002</v>
      </c>
      <c r="K4281" s="17" t="str">
        <f t="shared" si="668"/>
        <v>Ecart négatif</v>
      </c>
      <c r="L4281" s="16">
        <f>base!X4281</f>
        <v>0</v>
      </c>
      <c r="M4281" s="11">
        <f t="shared" si="664"/>
        <v>0</v>
      </c>
      <c r="N4281" s="11">
        <f t="shared" si="665"/>
        <v>4.5875000000000004</v>
      </c>
      <c r="O4281" s="11">
        <f t="shared" si="666"/>
        <v>0.25</v>
      </c>
      <c r="P4281" s="12">
        <f t="shared" si="667"/>
        <v>-4.5875000000000004</v>
      </c>
      <c r="Q4281" s="17" t="str">
        <f t="shared" si="669"/>
        <v>Ecart négatif</v>
      </c>
    </row>
    <row r="4282" spans="1:18" x14ac:dyDescent="0.3">
      <c r="A4282" s="34">
        <f>base!J4282</f>
        <v>0</v>
      </c>
      <c r="B4282" s="34" t="str">
        <f>base!V4282</f>
        <v>77184</v>
      </c>
      <c r="C4282" s="37">
        <v>77</v>
      </c>
      <c r="D4282" s="36">
        <f>base!H4282</f>
        <v>84.5</v>
      </c>
      <c r="E4282" s="44"/>
      <c r="F4282" s="16">
        <f>base!W4282</f>
        <v>0</v>
      </c>
      <c r="G4282" s="11">
        <f t="shared" si="660"/>
        <v>0</v>
      </c>
      <c r="H4282" s="11">
        <f t="shared" si="661"/>
        <v>0</v>
      </c>
      <c r="I4282" s="11">
        <f t="shared" si="662"/>
        <v>0</v>
      </c>
      <c r="J4282" s="12">
        <f t="shared" si="663"/>
        <v>0</v>
      </c>
      <c r="K4282" s="17" t="str">
        <f t="shared" si="668"/>
        <v>Pas d'écart</v>
      </c>
      <c r="L4282" s="16">
        <f>base!X4282</f>
        <v>0</v>
      </c>
      <c r="M4282" s="11">
        <f t="shared" si="664"/>
        <v>0</v>
      </c>
      <c r="N4282" s="11">
        <f t="shared" si="665"/>
        <v>0</v>
      </c>
      <c r="O4282" s="11">
        <f t="shared" si="666"/>
        <v>0</v>
      </c>
      <c r="P4282" s="12">
        <f t="shared" si="667"/>
        <v>0</v>
      </c>
      <c r="Q4282" s="17" t="str">
        <f t="shared" si="669"/>
        <v>Pas d'écart</v>
      </c>
    </row>
    <row r="4283" spans="1:18" x14ac:dyDescent="0.3">
      <c r="A4283" s="34" t="str">
        <f>base!J4283</f>
        <v>LS</v>
      </c>
      <c r="B4283" s="34" t="str">
        <f>base!V4283</f>
        <v>41000</v>
      </c>
      <c r="C4283" s="37">
        <v>57</v>
      </c>
      <c r="D4283" s="36">
        <f>base!H4283</f>
        <v>138.12</v>
      </c>
      <c r="E4283" s="44"/>
      <c r="F4283" s="16">
        <f>base!W4283</f>
        <v>29.01</v>
      </c>
      <c r="G4283" s="11">
        <f t="shared" si="660"/>
        <v>0.21003475238922675</v>
      </c>
      <c r="H4283" s="11">
        <f t="shared" si="661"/>
        <v>33.148800000000001</v>
      </c>
      <c r="I4283" s="11">
        <f t="shared" si="662"/>
        <v>0.24</v>
      </c>
      <c r="J4283" s="12">
        <f t="shared" si="663"/>
        <v>-4.1387999999999998</v>
      </c>
      <c r="K4283" s="17" t="str">
        <f t="shared" si="668"/>
        <v>Ecart négatif</v>
      </c>
      <c r="L4283" s="16">
        <f>base!X4283</f>
        <v>0</v>
      </c>
      <c r="M4283" s="11">
        <f t="shared" si="664"/>
        <v>0</v>
      </c>
      <c r="N4283" s="11">
        <f t="shared" si="665"/>
        <v>34.53</v>
      </c>
      <c r="O4283" s="11">
        <f t="shared" si="666"/>
        <v>0.25</v>
      </c>
      <c r="P4283" s="12">
        <f t="shared" si="667"/>
        <v>-34.53</v>
      </c>
      <c r="Q4283" s="17" t="str">
        <f t="shared" si="669"/>
        <v>Ecart négatif</v>
      </c>
    </row>
    <row r="4284" spans="1:18" x14ac:dyDescent="0.3">
      <c r="A4284" s="34" t="str">
        <f>base!J4284</f>
        <v>LM</v>
      </c>
      <c r="B4284" s="34" t="str">
        <f>base!V4284</f>
        <v>68360</v>
      </c>
      <c r="C4284" s="37">
        <v>69</v>
      </c>
      <c r="D4284" s="36">
        <f>base!H4284</f>
        <v>139.19999999999999</v>
      </c>
      <c r="E4284" s="44"/>
      <c r="F4284" s="16">
        <f>base!W4284</f>
        <v>40.369999999999997</v>
      </c>
      <c r="G4284" s="11">
        <f t="shared" si="660"/>
        <v>0.29001436781609197</v>
      </c>
      <c r="H4284" s="11">
        <f t="shared" si="661"/>
        <v>37.583999999999996</v>
      </c>
      <c r="I4284" s="11">
        <f t="shared" si="662"/>
        <v>0.27</v>
      </c>
      <c r="J4284" s="12">
        <f t="shared" si="663"/>
        <v>2.7860000000000014</v>
      </c>
      <c r="K4284" s="17" t="str">
        <f t="shared" si="668"/>
        <v>Ecart positif</v>
      </c>
      <c r="L4284" s="16">
        <f>base!X4284</f>
        <v>0</v>
      </c>
      <c r="M4284" s="11">
        <f t="shared" si="664"/>
        <v>0</v>
      </c>
      <c r="N4284" s="11">
        <f t="shared" si="665"/>
        <v>0</v>
      </c>
      <c r="O4284" s="11">
        <f t="shared" si="666"/>
        <v>0</v>
      </c>
      <c r="P4284" s="12">
        <f t="shared" si="667"/>
        <v>0</v>
      </c>
      <c r="Q4284" s="17" t="str">
        <f t="shared" si="669"/>
        <v>Pas d'écart</v>
      </c>
    </row>
    <row r="4285" spans="1:18" x14ac:dyDescent="0.3">
      <c r="A4285" s="34">
        <f>base!J4285</f>
        <v>0</v>
      </c>
      <c r="B4285" s="34" t="str">
        <f>base!V4285</f>
        <v>44240</v>
      </c>
      <c r="C4285" s="37">
        <v>44</v>
      </c>
      <c r="D4285" s="36">
        <f>base!H4285</f>
        <v>126.2</v>
      </c>
      <c r="E4285" s="44"/>
      <c r="F4285" s="16">
        <f>base!W4285</f>
        <v>0</v>
      </c>
      <c r="G4285" s="11">
        <f t="shared" si="660"/>
        <v>0</v>
      </c>
      <c r="H4285" s="11">
        <f t="shared" si="661"/>
        <v>34.074000000000005</v>
      </c>
      <c r="I4285" s="11">
        <f t="shared" si="662"/>
        <v>0.27</v>
      </c>
      <c r="J4285" s="12">
        <f t="shared" si="663"/>
        <v>-34.074000000000005</v>
      </c>
      <c r="K4285" s="17" t="str">
        <f t="shared" si="668"/>
        <v>Ecart négatif</v>
      </c>
      <c r="L4285" s="16">
        <f>base!X4285</f>
        <v>0</v>
      </c>
      <c r="M4285" s="11">
        <f t="shared" si="664"/>
        <v>0</v>
      </c>
      <c r="N4285" s="11">
        <f t="shared" si="665"/>
        <v>0</v>
      </c>
      <c r="O4285" s="11">
        <f t="shared" si="666"/>
        <v>0</v>
      </c>
      <c r="P4285" s="12">
        <f t="shared" si="667"/>
        <v>0</v>
      </c>
      <c r="Q4285" s="17" t="str">
        <f t="shared" si="669"/>
        <v>Pas d'écart</v>
      </c>
    </row>
    <row r="4286" spans="1:18" x14ac:dyDescent="0.3">
      <c r="A4286" s="34" t="str">
        <f>base!J4286</f>
        <v>DLS</v>
      </c>
      <c r="B4286" s="34" t="str">
        <f>base!V4286</f>
        <v>35680</v>
      </c>
      <c r="C4286" s="37">
        <v>35</v>
      </c>
      <c r="D4286" s="36">
        <f>base!H4286</f>
        <v>171.28</v>
      </c>
      <c r="E4286" s="44"/>
      <c r="F4286" s="16">
        <f>base!W4286</f>
        <v>0</v>
      </c>
      <c r="G4286" s="11">
        <f t="shared" si="660"/>
        <v>0</v>
      </c>
      <c r="H4286" s="11">
        <f t="shared" si="661"/>
        <v>46.245600000000003</v>
      </c>
      <c r="I4286" s="11">
        <f t="shared" si="662"/>
        <v>0.27</v>
      </c>
      <c r="J4286" s="12">
        <f t="shared" si="663"/>
        <v>-46.245600000000003</v>
      </c>
      <c r="K4286" s="17" t="str">
        <f t="shared" si="668"/>
        <v>Ecart négatif</v>
      </c>
      <c r="L4286" s="16">
        <f>base!X4286</f>
        <v>0</v>
      </c>
      <c r="M4286" s="11">
        <f t="shared" si="664"/>
        <v>0</v>
      </c>
      <c r="N4286" s="11">
        <f t="shared" si="665"/>
        <v>0</v>
      </c>
      <c r="O4286" s="11">
        <f t="shared" si="666"/>
        <v>0</v>
      </c>
      <c r="P4286" s="12">
        <f t="shared" si="667"/>
        <v>0</v>
      </c>
      <c r="Q4286" s="17" t="str">
        <f t="shared" si="669"/>
        <v>Pas d'écart</v>
      </c>
    </row>
    <row r="4287" spans="1:18" x14ac:dyDescent="0.3">
      <c r="A4287" s="34" t="str">
        <f>base!J4287</f>
        <v>RS</v>
      </c>
      <c r="B4287" s="34" t="str">
        <f>base!V4287</f>
        <v>14000</v>
      </c>
      <c r="C4287" s="37">
        <v>14</v>
      </c>
      <c r="D4287" s="36">
        <f>base!H4287</f>
        <v>151</v>
      </c>
      <c r="E4287" s="44"/>
      <c r="F4287" s="16">
        <f>base!W4287</f>
        <v>0</v>
      </c>
      <c r="G4287" s="11">
        <f t="shared" si="660"/>
        <v>0</v>
      </c>
      <c r="H4287" s="11">
        <f t="shared" si="661"/>
        <v>25.67</v>
      </c>
      <c r="I4287" s="11">
        <f t="shared" si="662"/>
        <v>0.17</v>
      </c>
      <c r="J4287" s="12">
        <f t="shared" si="663"/>
        <v>-25.67</v>
      </c>
      <c r="K4287" s="17" t="str">
        <f t="shared" si="668"/>
        <v>Ecart négatif</v>
      </c>
      <c r="L4287" s="16">
        <f>base!X4287</f>
        <v>25.67</v>
      </c>
      <c r="M4287" s="11">
        <f t="shared" si="664"/>
        <v>0.17</v>
      </c>
      <c r="N4287" s="11">
        <f t="shared" si="665"/>
        <v>25.67</v>
      </c>
      <c r="O4287" s="11">
        <f t="shared" si="666"/>
        <v>0.17</v>
      </c>
      <c r="P4287" s="12">
        <f t="shared" si="667"/>
        <v>0</v>
      </c>
      <c r="Q4287" s="17" t="str">
        <f t="shared" si="669"/>
        <v>Pas d'écart</v>
      </c>
      <c r="R4287" s="38"/>
    </row>
    <row r="4288" spans="1:18" x14ac:dyDescent="0.3">
      <c r="A4288" s="34">
        <f>base!J4288</f>
        <v>0</v>
      </c>
      <c r="B4288" s="34" t="str">
        <f>base!V4288</f>
        <v>77184</v>
      </c>
      <c r="C4288" s="37">
        <v>77</v>
      </c>
      <c r="D4288" s="36">
        <f>base!H4288</f>
        <v>158.12</v>
      </c>
      <c r="E4288" s="44"/>
      <c r="F4288" s="16">
        <f>base!W4288</f>
        <v>0</v>
      </c>
      <c r="G4288" s="11">
        <f t="shared" si="660"/>
        <v>0</v>
      </c>
      <c r="H4288" s="11">
        <f t="shared" si="661"/>
        <v>0</v>
      </c>
      <c r="I4288" s="11">
        <f t="shared" si="662"/>
        <v>0</v>
      </c>
      <c r="J4288" s="12">
        <f t="shared" si="663"/>
        <v>0</v>
      </c>
      <c r="K4288" s="17" t="str">
        <f t="shared" si="668"/>
        <v>Pas d'écart</v>
      </c>
      <c r="L4288" s="16">
        <f>base!X4288</f>
        <v>0</v>
      </c>
      <c r="M4288" s="11">
        <f t="shared" si="664"/>
        <v>0</v>
      </c>
      <c r="N4288" s="11">
        <f t="shared" si="665"/>
        <v>0</v>
      </c>
      <c r="O4288" s="11">
        <f t="shared" si="666"/>
        <v>0</v>
      </c>
      <c r="P4288" s="12">
        <f t="shared" si="667"/>
        <v>0</v>
      </c>
      <c r="Q4288" s="17" t="str">
        <f t="shared" si="669"/>
        <v>Pas d'écart</v>
      </c>
    </row>
    <row r="4289" spans="1:18" x14ac:dyDescent="0.3">
      <c r="A4289" s="34">
        <f>base!J4289</f>
        <v>0</v>
      </c>
      <c r="B4289" s="34" t="str">
        <f>base!V4289</f>
        <v>77184</v>
      </c>
      <c r="C4289" s="37">
        <v>77</v>
      </c>
      <c r="D4289" s="36">
        <f>base!H4289</f>
        <v>130</v>
      </c>
      <c r="E4289" s="44"/>
      <c r="F4289" s="16">
        <f>base!W4289</f>
        <v>0</v>
      </c>
      <c r="G4289" s="11">
        <f t="shared" si="660"/>
        <v>0</v>
      </c>
      <c r="H4289" s="11">
        <f t="shared" si="661"/>
        <v>0</v>
      </c>
      <c r="I4289" s="11">
        <f t="shared" si="662"/>
        <v>0</v>
      </c>
      <c r="J4289" s="12">
        <f t="shared" si="663"/>
        <v>0</v>
      </c>
      <c r="K4289" s="17" t="str">
        <f t="shared" si="668"/>
        <v>Pas d'écart</v>
      </c>
      <c r="L4289" s="16">
        <f>base!X4289</f>
        <v>0</v>
      </c>
      <c r="M4289" s="11">
        <f t="shared" si="664"/>
        <v>0</v>
      </c>
      <c r="N4289" s="11">
        <f t="shared" si="665"/>
        <v>0</v>
      </c>
      <c r="O4289" s="11">
        <f t="shared" si="666"/>
        <v>0</v>
      </c>
      <c r="P4289" s="12">
        <f t="shared" si="667"/>
        <v>0</v>
      </c>
      <c r="Q4289" s="17" t="str">
        <f t="shared" si="669"/>
        <v>Pas d'écart</v>
      </c>
    </row>
    <row r="4290" spans="1:18" x14ac:dyDescent="0.3">
      <c r="A4290" s="34" t="str">
        <f>base!J4290</f>
        <v>LM</v>
      </c>
      <c r="B4290" s="34" t="str">
        <f>base!V4290</f>
        <v>75014</v>
      </c>
      <c r="C4290" s="37">
        <v>75</v>
      </c>
      <c r="D4290" s="36">
        <f>base!H4290</f>
        <v>19.649999999999999</v>
      </c>
      <c r="E4290" s="44"/>
      <c r="F4290" s="16">
        <f>base!W4290</f>
        <v>0</v>
      </c>
      <c r="G4290" s="11">
        <f t="shared" ref="G4290:G4353" si="670">F4290/D4290</f>
        <v>0</v>
      </c>
      <c r="H4290" s="11">
        <f t="shared" ref="H4290:H4353" si="671">VLOOKUP(C4290,tout_cout_traction,2,FALSE)*D4290</f>
        <v>0</v>
      </c>
      <c r="I4290" s="11">
        <f t="shared" ref="I4290:I4353" si="672">H4290/D4290</f>
        <v>0</v>
      </c>
      <c r="J4290" s="12">
        <f t="shared" ref="J4290:J4353" si="673">F4290-H4290</f>
        <v>0</v>
      </c>
      <c r="K4290" s="17" t="str">
        <f t="shared" si="668"/>
        <v>Pas d'écart</v>
      </c>
      <c r="L4290" s="16">
        <f>base!X4290</f>
        <v>0</v>
      </c>
      <c r="M4290" s="11">
        <f t="shared" ref="M4290:M4353" si="674">L4290/D4290</f>
        <v>0</v>
      </c>
      <c r="N4290" s="11">
        <f t="shared" ref="N4290:N4353" si="675">VLOOKUP(C4290,tout_cout_traction,3,FALSE)*D4290</f>
        <v>0</v>
      </c>
      <c r="O4290" s="11">
        <f t="shared" ref="O4290:O4353" si="676">N4290/D4290</f>
        <v>0</v>
      </c>
      <c r="P4290" s="12">
        <f t="shared" ref="P4290:P4353" si="677">L4290-N4290</f>
        <v>0</v>
      </c>
      <c r="Q4290" s="17" t="str">
        <f t="shared" si="669"/>
        <v>Pas d'écart</v>
      </c>
    </row>
    <row r="4291" spans="1:18" x14ac:dyDescent="0.3">
      <c r="A4291" s="34" t="str">
        <f>base!J4291</f>
        <v>LS</v>
      </c>
      <c r="B4291" s="34" t="str">
        <f>base!V4291</f>
        <v>67850</v>
      </c>
      <c r="C4291" s="37">
        <v>69</v>
      </c>
      <c r="D4291" s="36">
        <f>base!H4291</f>
        <v>1.46</v>
      </c>
      <c r="E4291" s="44"/>
      <c r="F4291" s="16">
        <f>base!W4291</f>
        <v>0.42</v>
      </c>
      <c r="G4291" s="11">
        <f t="shared" si="670"/>
        <v>0.28767123287671231</v>
      </c>
      <c r="H4291" s="11">
        <f t="shared" si="671"/>
        <v>0.39419999999999999</v>
      </c>
      <c r="I4291" s="11">
        <f t="shared" si="672"/>
        <v>0.27</v>
      </c>
      <c r="J4291" s="12">
        <f t="shared" si="673"/>
        <v>2.579999999999999E-2</v>
      </c>
      <c r="K4291" s="17" t="str">
        <f t="shared" ref="K4291:K4354" si="678">IF(H4291=F4291,"Pas d'écart",IF(H4291&lt;F4291,"Ecart positif",IF(H4291&gt;F4291,"Ecart négatif")))</f>
        <v>Ecart positif</v>
      </c>
      <c r="L4291" s="16">
        <f>base!X4291</f>
        <v>0</v>
      </c>
      <c r="M4291" s="11">
        <f t="shared" si="674"/>
        <v>0</v>
      </c>
      <c r="N4291" s="11">
        <f t="shared" si="675"/>
        <v>0</v>
      </c>
      <c r="O4291" s="11">
        <f t="shared" si="676"/>
        <v>0</v>
      </c>
      <c r="P4291" s="12">
        <f t="shared" si="677"/>
        <v>0</v>
      </c>
      <c r="Q4291" s="17" t="str">
        <f t="shared" ref="Q4291:Q4354" si="679">IF(N4291=L4291,"Pas d'écart",IF(N4291&lt;L4291,"Ecart positif",IF(N4291&gt;L4291,"Ecart négatif")))</f>
        <v>Pas d'écart</v>
      </c>
    </row>
    <row r="4292" spans="1:18" x14ac:dyDescent="0.3">
      <c r="A4292" s="34" t="str">
        <f>base!J4292</f>
        <v>RS</v>
      </c>
      <c r="B4292" s="34" t="str">
        <f>base!V4292</f>
        <v>75010</v>
      </c>
      <c r="C4292" s="37">
        <v>75</v>
      </c>
      <c r="D4292" s="36">
        <f>base!H4292</f>
        <v>80.400000000000006</v>
      </c>
      <c r="E4292" s="44"/>
      <c r="F4292" s="16">
        <f>base!W4292</f>
        <v>0</v>
      </c>
      <c r="G4292" s="11">
        <f t="shared" si="670"/>
        <v>0</v>
      </c>
      <c r="H4292" s="11">
        <f t="shared" si="671"/>
        <v>0</v>
      </c>
      <c r="I4292" s="11">
        <f t="shared" si="672"/>
        <v>0</v>
      </c>
      <c r="J4292" s="12">
        <f t="shared" si="673"/>
        <v>0</v>
      </c>
      <c r="K4292" s="17" t="str">
        <f t="shared" si="678"/>
        <v>Pas d'écart</v>
      </c>
      <c r="L4292" s="16">
        <f>base!X4292</f>
        <v>0</v>
      </c>
      <c r="M4292" s="11">
        <f t="shared" si="674"/>
        <v>0</v>
      </c>
      <c r="N4292" s="11">
        <f t="shared" si="675"/>
        <v>0</v>
      </c>
      <c r="O4292" s="11">
        <f t="shared" si="676"/>
        <v>0</v>
      </c>
      <c r="P4292" s="12">
        <f t="shared" si="677"/>
        <v>0</v>
      </c>
      <c r="Q4292" s="17" t="str">
        <f t="shared" si="679"/>
        <v>Pas d'écart</v>
      </c>
    </row>
    <row r="4293" spans="1:18" x14ac:dyDescent="0.3">
      <c r="A4293" s="34" t="str">
        <f>base!J4293</f>
        <v>LS</v>
      </c>
      <c r="B4293" s="34" t="str">
        <f>base!V4293</f>
        <v>13008</v>
      </c>
      <c r="C4293" s="37">
        <v>13</v>
      </c>
      <c r="D4293" s="36">
        <f>base!H4293</f>
        <v>50</v>
      </c>
      <c r="E4293" s="44"/>
      <c r="F4293" s="16">
        <f>base!W4293</f>
        <v>14.5</v>
      </c>
      <c r="G4293" s="11">
        <f t="shared" si="670"/>
        <v>0.28999999999999998</v>
      </c>
      <c r="H4293" s="11">
        <f t="shared" si="671"/>
        <v>14.499999999999998</v>
      </c>
      <c r="I4293" s="11">
        <f t="shared" si="672"/>
        <v>0.28999999999999998</v>
      </c>
      <c r="J4293" s="12">
        <f t="shared" si="673"/>
        <v>0</v>
      </c>
      <c r="K4293" s="17" t="str">
        <f t="shared" si="678"/>
        <v>Pas d'écart</v>
      </c>
      <c r="L4293" s="16">
        <f>base!X4293</f>
        <v>0</v>
      </c>
      <c r="M4293" s="11">
        <f t="shared" si="674"/>
        <v>0</v>
      </c>
      <c r="N4293" s="11">
        <f t="shared" si="675"/>
        <v>9.5</v>
      </c>
      <c r="O4293" s="11">
        <f t="shared" si="676"/>
        <v>0.19</v>
      </c>
      <c r="P4293" s="12">
        <f t="shared" si="677"/>
        <v>-9.5</v>
      </c>
      <c r="Q4293" s="17" t="str">
        <f t="shared" si="679"/>
        <v>Ecart négatif</v>
      </c>
    </row>
    <row r="4294" spans="1:18" x14ac:dyDescent="0.3">
      <c r="A4294" s="34" t="str">
        <f>base!J4294</f>
        <v>RS</v>
      </c>
      <c r="B4294" s="34" t="str">
        <f>base!V4294</f>
        <v>67600</v>
      </c>
      <c r="C4294" s="37">
        <v>67</v>
      </c>
      <c r="D4294" s="36">
        <f>base!H4294</f>
        <v>180</v>
      </c>
      <c r="E4294" s="44"/>
      <c r="F4294" s="16">
        <f>base!W4294</f>
        <v>0</v>
      </c>
      <c r="G4294" s="11">
        <f t="shared" si="670"/>
        <v>0</v>
      </c>
      <c r="H4294" s="11">
        <f t="shared" si="671"/>
        <v>52.199999999999996</v>
      </c>
      <c r="I4294" s="11">
        <f t="shared" si="672"/>
        <v>0.28999999999999998</v>
      </c>
      <c r="J4294" s="12">
        <f t="shared" si="673"/>
        <v>-52.199999999999996</v>
      </c>
      <c r="K4294" s="17" t="str">
        <f t="shared" si="678"/>
        <v>Ecart négatif</v>
      </c>
      <c r="L4294" s="16">
        <f>base!X4294</f>
        <v>14.4</v>
      </c>
      <c r="M4294" s="11">
        <f t="shared" si="674"/>
        <v>0.08</v>
      </c>
      <c r="N4294" s="11">
        <f t="shared" si="675"/>
        <v>14.4</v>
      </c>
      <c r="O4294" s="11">
        <f t="shared" si="676"/>
        <v>0.08</v>
      </c>
      <c r="P4294" s="12">
        <f t="shared" si="677"/>
        <v>0</v>
      </c>
      <c r="Q4294" s="17" t="str">
        <f t="shared" si="679"/>
        <v>Pas d'écart</v>
      </c>
      <c r="R4294" s="38"/>
    </row>
    <row r="4295" spans="1:18" x14ac:dyDescent="0.3">
      <c r="A4295" s="34" t="str">
        <f>base!J4295</f>
        <v>LM</v>
      </c>
      <c r="B4295" s="34" t="str">
        <f>base!V4295</f>
        <v>59270</v>
      </c>
      <c r="C4295" s="37">
        <v>1</v>
      </c>
      <c r="D4295" s="36">
        <f>base!H4295</f>
        <v>211.93</v>
      </c>
      <c r="E4295" s="44"/>
      <c r="F4295" s="16">
        <f>base!W4295</f>
        <v>40.270000000000003</v>
      </c>
      <c r="G4295" s="11">
        <f t="shared" si="670"/>
        <v>0.19001557117916293</v>
      </c>
      <c r="H4295" s="11">
        <f t="shared" si="671"/>
        <v>55.101800000000004</v>
      </c>
      <c r="I4295" s="11">
        <f t="shared" si="672"/>
        <v>0.26</v>
      </c>
      <c r="J4295" s="12">
        <f t="shared" si="673"/>
        <v>-14.831800000000001</v>
      </c>
      <c r="K4295" s="17" t="str">
        <f t="shared" si="678"/>
        <v>Ecart négatif</v>
      </c>
      <c r="L4295" s="16">
        <f>base!X4295</f>
        <v>0</v>
      </c>
      <c r="M4295" s="11">
        <f t="shared" si="674"/>
        <v>0</v>
      </c>
      <c r="N4295" s="11">
        <f t="shared" si="675"/>
        <v>0</v>
      </c>
      <c r="O4295" s="11">
        <f t="shared" si="676"/>
        <v>0</v>
      </c>
      <c r="P4295" s="12">
        <f t="shared" si="677"/>
        <v>0</v>
      </c>
      <c r="Q4295" s="17" t="str">
        <f t="shared" si="679"/>
        <v>Pas d'écart</v>
      </c>
    </row>
    <row r="4296" spans="1:18" x14ac:dyDescent="0.3">
      <c r="A4296" s="34" t="str">
        <f>base!J4296</f>
        <v>LM</v>
      </c>
      <c r="B4296" s="34" t="str">
        <f>base!V4296</f>
        <v>59270</v>
      </c>
      <c r="C4296" s="37">
        <v>69</v>
      </c>
      <c r="D4296" s="36">
        <f>base!H4296</f>
        <v>40.049999999999997</v>
      </c>
      <c r="E4296" s="44"/>
      <c r="F4296" s="16">
        <f>base!W4296</f>
        <v>7.61</v>
      </c>
      <c r="G4296" s="11">
        <f t="shared" si="670"/>
        <v>0.19001248439450688</v>
      </c>
      <c r="H4296" s="11">
        <f t="shared" si="671"/>
        <v>10.813499999999999</v>
      </c>
      <c r="I4296" s="11">
        <f t="shared" si="672"/>
        <v>0.27</v>
      </c>
      <c r="J4296" s="12">
        <f t="shared" si="673"/>
        <v>-3.2034999999999991</v>
      </c>
      <c r="K4296" s="17" t="str">
        <f t="shared" si="678"/>
        <v>Ecart négatif</v>
      </c>
      <c r="L4296" s="16">
        <f>base!X4296</f>
        <v>0</v>
      </c>
      <c r="M4296" s="11">
        <f t="shared" si="674"/>
        <v>0</v>
      </c>
      <c r="N4296" s="11">
        <f t="shared" si="675"/>
        <v>0</v>
      </c>
      <c r="O4296" s="11">
        <f t="shared" si="676"/>
        <v>0</v>
      </c>
      <c r="P4296" s="12">
        <f t="shared" si="677"/>
        <v>0</v>
      </c>
      <c r="Q4296" s="17" t="str">
        <f t="shared" si="679"/>
        <v>Pas d'écart</v>
      </c>
    </row>
    <row r="4297" spans="1:18" x14ac:dyDescent="0.3">
      <c r="A4297" s="34">
        <f>base!J4297</f>
        <v>0</v>
      </c>
      <c r="B4297" s="34" t="str">
        <f>base!V4297</f>
        <v>77184</v>
      </c>
      <c r="C4297" s="37">
        <v>77</v>
      </c>
      <c r="D4297" s="36">
        <f>base!H4297</f>
        <v>36</v>
      </c>
      <c r="E4297" s="44"/>
      <c r="F4297" s="16">
        <f>base!W4297</f>
        <v>0</v>
      </c>
      <c r="G4297" s="11">
        <f t="shared" si="670"/>
        <v>0</v>
      </c>
      <c r="H4297" s="11">
        <f t="shared" si="671"/>
        <v>0</v>
      </c>
      <c r="I4297" s="11">
        <f t="shared" si="672"/>
        <v>0</v>
      </c>
      <c r="J4297" s="12">
        <f t="shared" si="673"/>
        <v>0</v>
      </c>
      <c r="K4297" s="17" t="str">
        <f t="shared" si="678"/>
        <v>Pas d'écart</v>
      </c>
      <c r="L4297" s="16">
        <f>base!X4297</f>
        <v>0</v>
      </c>
      <c r="M4297" s="11">
        <f t="shared" si="674"/>
        <v>0</v>
      </c>
      <c r="N4297" s="11">
        <f t="shared" si="675"/>
        <v>0</v>
      </c>
      <c r="O4297" s="11">
        <f t="shared" si="676"/>
        <v>0</v>
      </c>
      <c r="P4297" s="12">
        <f t="shared" si="677"/>
        <v>0</v>
      </c>
      <c r="Q4297" s="17" t="str">
        <f t="shared" si="679"/>
        <v>Pas d'écart</v>
      </c>
    </row>
    <row r="4298" spans="1:18" x14ac:dyDescent="0.3">
      <c r="A4298" s="34">
        <f>base!J4298</f>
        <v>0</v>
      </c>
      <c r="B4298" s="34" t="str">
        <f>base!V4298</f>
        <v>77184</v>
      </c>
      <c r="C4298" s="37">
        <v>77</v>
      </c>
      <c r="D4298" s="36">
        <f>base!H4298</f>
        <v>25</v>
      </c>
      <c r="E4298" s="44"/>
      <c r="F4298" s="16">
        <f>base!W4298</f>
        <v>0</v>
      </c>
      <c r="G4298" s="11">
        <f t="shared" si="670"/>
        <v>0</v>
      </c>
      <c r="H4298" s="11">
        <f t="shared" si="671"/>
        <v>0</v>
      </c>
      <c r="I4298" s="11">
        <f t="shared" si="672"/>
        <v>0</v>
      </c>
      <c r="J4298" s="12">
        <f t="shared" si="673"/>
        <v>0</v>
      </c>
      <c r="K4298" s="17" t="str">
        <f t="shared" si="678"/>
        <v>Pas d'écart</v>
      </c>
      <c r="L4298" s="16">
        <f>base!X4298</f>
        <v>0</v>
      </c>
      <c r="M4298" s="11">
        <f t="shared" si="674"/>
        <v>0</v>
      </c>
      <c r="N4298" s="11">
        <f t="shared" si="675"/>
        <v>0</v>
      </c>
      <c r="O4298" s="11">
        <f t="shared" si="676"/>
        <v>0</v>
      </c>
      <c r="P4298" s="12">
        <f t="shared" si="677"/>
        <v>0</v>
      </c>
      <c r="Q4298" s="17" t="str">
        <f t="shared" si="679"/>
        <v>Pas d'écart</v>
      </c>
    </row>
    <row r="4299" spans="1:18" x14ac:dyDescent="0.3">
      <c r="A4299" s="34" t="str">
        <f>base!J4299</f>
        <v>LM</v>
      </c>
      <c r="B4299" s="34" t="str">
        <f>base!V4299</f>
        <v>62600</v>
      </c>
      <c r="C4299" s="37">
        <v>69</v>
      </c>
      <c r="D4299" s="36">
        <f>base!H4299</f>
        <v>39.25</v>
      </c>
      <c r="E4299" s="44"/>
      <c r="F4299" s="16">
        <f>base!W4299</f>
        <v>7.46</v>
      </c>
      <c r="G4299" s="11">
        <f t="shared" si="670"/>
        <v>0.19006369426751593</v>
      </c>
      <c r="H4299" s="11">
        <f t="shared" si="671"/>
        <v>10.5975</v>
      </c>
      <c r="I4299" s="11">
        <f t="shared" si="672"/>
        <v>0.27</v>
      </c>
      <c r="J4299" s="12">
        <f t="shared" si="673"/>
        <v>-3.1375000000000002</v>
      </c>
      <c r="K4299" s="17" t="str">
        <f t="shared" si="678"/>
        <v>Ecart négatif</v>
      </c>
      <c r="L4299" s="16">
        <f>base!X4299</f>
        <v>0</v>
      </c>
      <c r="M4299" s="11">
        <f t="shared" si="674"/>
        <v>0</v>
      </c>
      <c r="N4299" s="11">
        <f t="shared" si="675"/>
        <v>0</v>
      </c>
      <c r="O4299" s="11">
        <f t="shared" si="676"/>
        <v>0</v>
      </c>
      <c r="P4299" s="12">
        <f t="shared" si="677"/>
        <v>0</v>
      </c>
      <c r="Q4299" s="17" t="str">
        <f t="shared" si="679"/>
        <v>Pas d'écart</v>
      </c>
    </row>
    <row r="4300" spans="1:18" x14ac:dyDescent="0.3">
      <c r="A4300" s="34" t="str">
        <f>base!J4300</f>
        <v>LS</v>
      </c>
      <c r="B4300" s="34" t="str">
        <f>base!V4300</f>
        <v>35400</v>
      </c>
      <c r="C4300" s="37">
        <v>35</v>
      </c>
      <c r="D4300" s="36">
        <f>base!H4300</f>
        <v>40</v>
      </c>
      <c r="E4300" s="44"/>
      <c r="F4300" s="16">
        <f>base!W4300</f>
        <v>10.8</v>
      </c>
      <c r="G4300" s="11">
        <f t="shared" si="670"/>
        <v>0.27</v>
      </c>
      <c r="H4300" s="11">
        <f t="shared" si="671"/>
        <v>10.8</v>
      </c>
      <c r="I4300" s="11">
        <f t="shared" si="672"/>
        <v>0.27</v>
      </c>
      <c r="J4300" s="12">
        <f t="shared" si="673"/>
        <v>0</v>
      </c>
      <c r="K4300" s="17" t="str">
        <f t="shared" si="678"/>
        <v>Pas d'écart</v>
      </c>
      <c r="L4300" s="16">
        <f>base!X4300</f>
        <v>0</v>
      </c>
      <c r="M4300" s="11">
        <f t="shared" si="674"/>
        <v>0</v>
      </c>
      <c r="N4300" s="11">
        <f t="shared" si="675"/>
        <v>0</v>
      </c>
      <c r="O4300" s="11">
        <f t="shared" si="676"/>
        <v>0</v>
      </c>
      <c r="P4300" s="12">
        <f t="shared" si="677"/>
        <v>0</v>
      </c>
      <c r="Q4300" s="17" t="str">
        <f t="shared" si="679"/>
        <v>Pas d'écart</v>
      </c>
    </row>
    <row r="4301" spans="1:18" x14ac:dyDescent="0.3">
      <c r="A4301" s="34" t="str">
        <f>base!J4301</f>
        <v>DRS</v>
      </c>
      <c r="B4301" s="34" t="str">
        <f>base!V4301</f>
        <v>50400</v>
      </c>
      <c r="C4301" s="37">
        <v>50</v>
      </c>
      <c r="D4301" s="36">
        <f>base!H4301</f>
        <v>55</v>
      </c>
      <c r="E4301" s="44"/>
      <c r="F4301" s="16">
        <f>base!W4301</f>
        <v>0</v>
      </c>
      <c r="G4301" s="11">
        <f t="shared" si="670"/>
        <v>0</v>
      </c>
      <c r="H4301" s="11">
        <f t="shared" si="671"/>
        <v>9.3500000000000014</v>
      </c>
      <c r="I4301" s="11">
        <f t="shared" si="672"/>
        <v>0.17</v>
      </c>
      <c r="J4301" s="12">
        <f t="shared" si="673"/>
        <v>-9.3500000000000014</v>
      </c>
      <c r="K4301" s="17" t="str">
        <f t="shared" si="678"/>
        <v>Ecart négatif</v>
      </c>
      <c r="L4301" s="16">
        <f>base!X4301</f>
        <v>0</v>
      </c>
      <c r="M4301" s="11">
        <f t="shared" si="674"/>
        <v>0</v>
      </c>
      <c r="N4301" s="11">
        <f t="shared" si="675"/>
        <v>9.3500000000000014</v>
      </c>
      <c r="O4301" s="11">
        <f t="shared" si="676"/>
        <v>0.17</v>
      </c>
      <c r="P4301" s="12">
        <f t="shared" si="677"/>
        <v>-9.3500000000000014</v>
      </c>
      <c r="Q4301" s="17" t="str">
        <f t="shared" si="679"/>
        <v>Ecart négatif</v>
      </c>
    </row>
    <row r="4302" spans="1:18" x14ac:dyDescent="0.3">
      <c r="A4302" s="34">
        <f>base!J4302</f>
        <v>0</v>
      </c>
      <c r="B4302" s="34" t="str">
        <f>base!V4302</f>
        <v>77184</v>
      </c>
      <c r="C4302" s="37">
        <v>77</v>
      </c>
      <c r="D4302" s="36">
        <f>base!H4302</f>
        <v>135</v>
      </c>
      <c r="E4302" s="44"/>
      <c r="F4302" s="16">
        <f>base!W4302</f>
        <v>0</v>
      </c>
      <c r="G4302" s="11">
        <f t="shared" si="670"/>
        <v>0</v>
      </c>
      <c r="H4302" s="11">
        <f t="shared" si="671"/>
        <v>0</v>
      </c>
      <c r="I4302" s="11">
        <f t="shared" si="672"/>
        <v>0</v>
      </c>
      <c r="J4302" s="12">
        <f t="shared" si="673"/>
        <v>0</v>
      </c>
      <c r="K4302" s="17" t="str">
        <f t="shared" si="678"/>
        <v>Pas d'écart</v>
      </c>
      <c r="L4302" s="16">
        <f>base!X4302</f>
        <v>0</v>
      </c>
      <c r="M4302" s="11">
        <f t="shared" si="674"/>
        <v>0</v>
      </c>
      <c r="N4302" s="11">
        <f t="shared" si="675"/>
        <v>0</v>
      </c>
      <c r="O4302" s="11">
        <f t="shared" si="676"/>
        <v>0</v>
      </c>
      <c r="P4302" s="12">
        <f t="shared" si="677"/>
        <v>0</v>
      </c>
      <c r="Q4302" s="17" t="str">
        <f t="shared" si="679"/>
        <v>Pas d'écart</v>
      </c>
    </row>
    <row r="4303" spans="1:18" x14ac:dyDescent="0.3">
      <c r="A4303" s="34" t="str">
        <f>base!J4303</f>
        <v>LS</v>
      </c>
      <c r="B4303" s="34" t="str">
        <f>base!V4303</f>
        <v>76260</v>
      </c>
      <c r="C4303" s="37">
        <v>53</v>
      </c>
      <c r="D4303" s="36">
        <f>base!H4303</f>
        <v>120.49</v>
      </c>
      <c r="E4303" s="44"/>
      <c r="F4303" s="16">
        <f>base!W4303</f>
        <v>20.48</v>
      </c>
      <c r="G4303" s="11">
        <f t="shared" si="670"/>
        <v>0.16997261183500706</v>
      </c>
      <c r="H4303" s="11">
        <f t="shared" si="671"/>
        <v>32.532299999999999</v>
      </c>
      <c r="I4303" s="11">
        <f t="shared" si="672"/>
        <v>0.27</v>
      </c>
      <c r="J4303" s="12">
        <f t="shared" si="673"/>
        <v>-12.052299999999999</v>
      </c>
      <c r="K4303" s="17" t="str">
        <f t="shared" si="678"/>
        <v>Ecart négatif</v>
      </c>
      <c r="L4303" s="16">
        <f>base!X4303</f>
        <v>0</v>
      </c>
      <c r="M4303" s="11">
        <f t="shared" si="674"/>
        <v>0</v>
      </c>
      <c r="N4303" s="11">
        <f t="shared" si="675"/>
        <v>0</v>
      </c>
      <c r="O4303" s="11">
        <f t="shared" si="676"/>
        <v>0</v>
      </c>
      <c r="P4303" s="12">
        <f t="shared" si="677"/>
        <v>0</v>
      </c>
      <c r="Q4303" s="17" t="str">
        <f t="shared" si="679"/>
        <v>Pas d'écart</v>
      </c>
    </row>
    <row r="4304" spans="1:18" x14ac:dyDescent="0.3">
      <c r="A4304" s="34" t="str">
        <f>base!J4304</f>
        <v>LM</v>
      </c>
      <c r="B4304" s="34" t="str">
        <f>base!V4304</f>
        <v>06140</v>
      </c>
      <c r="C4304" s="37">
        <v>1</v>
      </c>
      <c r="D4304" s="36">
        <f>base!H4304</f>
        <v>55.34</v>
      </c>
      <c r="E4304" s="44"/>
      <c r="F4304" s="16">
        <f>base!W4304</f>
        <v>16.600000000000001</v>
      </c>
      <c r="G4304" s="11">
        <f t="shared" si="670"/>
        <v>0.2999638597759306</v>
      </c>
      <c r="H4304" s="11">
        <f t="shared" si="671"/>
        <v>14.388400000000001</v>
      </c>
      <c r="I4304" s="11">
        <f t="shared" si="672"/>
        <v>0.26</v>
      </c>
      <c r="J4304" s="12">
        <f t="shared" si="673"/>
        <v>2.2116000000000007</v>
      </c>
      <c r="K4304" s="17" t="str">
        <f t="shared" si="678"/>
        <v>Ecart positif</v>
      </c>
      <c r="L4304" s="16">
        <f>base!X4304</f>
        <v>0</v>
      </c>
      <c r="M4304" s="11">
        <f t="shared" si="674"/>
        <v>0</v>
      </c>
      <c r="N4304" s="11">
        <f t="shared" si="675"/>
        <v>0</v>
      </c>
      <c r="O4304" s="11">
        <f t="shared" si="676"/>
        <v>0</v>
      </c>
      <c r="P4304" s="12">
        <f t="shared" si="677"/>
        <v>0</v>
      </c>
      <c r="Q4304" s="17" t="str">
        <f t="shared" si="679"/>
        <v>Pas d'écart</v>
      </c>
    </row>
    <row r="4305" spans="1:17" x14ac:dyDescent="0.3">
      <c r="A4305" s="34" t="str">
        <f>base!J4305</f>
        <v>DRS</v>
      </c>
      <c r="B4305" s="34" t="str">
        <f>base!V4305</f>
        <v>85000</v>
      </c>
      <c r="C4305" s="37">
        <v>85</v>
      </c>
      <c r="D4305" s="36">
        <f>base!H4305</f>
        <v>40</v>
      </c>
      <c r="E4305" s="44"/>
      <c r="F4305" s="16">
        <f>base!W4305</f>
        <v>0</v>
      </c>
      <c r="G4305" s="11">
        <f t="shared" si="670"/>
        <v>0</v>
      </c>
      <c r="H4305" s="11">
        <f t="shared" si="671"/>
        <v>10.8</v>
      </c>
      <c r="I4305" s="11">
        <f t="shared" si="672"/>
        <v>0.27</v>
      </c>
      <c r="J4305" s="12">
        <f t="shared" si="673"/>
        <v>-10.8</v>
      </c>
      <c r="K4305" s="17" t="str">
        <f t="shared" si="678"/>
        <v>Ecart négatif</v>
      </c>
      <c r="L4305" s="16">
        <f>base!X4305</f>
        <v>0</v>
      </c>
      <c r="M4305" s="11">
        <f t="shared" si="674"/>
        <v>0</v>
      </c>
      <c r="N4305" s="11">
        <f t="shared" si="675"/>
        <v>0</v>
      </c>
      <c r="O4305" s="11">
        <f t="shared" si="676"/>
        <v>0</v>
      </c>
      <c r="P4305" s="12">
        <f t="shared" si="677"/>
        <v>0</v>
      </c>
      <c r="Q4305" s="17" t="str">
        <f t="shared" si="679"/>
        <v>Pas d'écart</v>
      </c>
    </row>
    <row r="4306" spans="1:17" x14ac:dyDescent="0.3">
      <c r="A4306" s="34" t="str">
        <f>base!J4306</f>
        <v>DLS</v>
      </c>
      <c r="B4306" s="34" t="str">
        <f>base!V4306</f>
        <v>67230</v>
      </c>
      <c r="C4306" s="37">
        <v>67</v>
      </c>
      <c r="D4306" s="36">
        <f>base!H4306</f>
        <v>67</v>
      </c>
      <c r="E4306" s="44"/>
      <c r="F4306" s="16">
        <f>base!W4306</f>
        <v>0</v>
      </c>
      <c r="G4306" s="11">
        <f t="shared" si="670"/>
        <v>0</v>
      </c>
      <c r="H4306" s="11">
        <f t="shared" si="671"/>
        <v>19.43</v>
      </c>
      <c r="I4306" s="11">
        <f t="shared" si="672"/>
        <v>0.28999999999999998</v>
      </c>
      <c r="J4306" s="12">
        <f t="shared" si="673"/>
        <v>-19.43</v>
      </c>
      <c r="K4306" s="17" t="str">
        <f t="shared" si="678"/>
        <v>Ecart négatif</v>
      </c>
      <c r="L4306" s="16">
        <f>base!X4306</f>
        <v>14.07</v>
      </c>
      <c r="M4306" s="11">
        <f t="shared" si="674"/>
        <v>0.21</v>
      </c>
      <c r="N4306" s="11">
        <f t="shared" si="675"/>
        <v>5.36</v>
      </c>
      <c r="O4306" s="11">
        <f t="shared" si="676"/>
        <v>0.08</v>
      </c>
      <c r="P4306" s="12">
        <f t="shared" si="677"/>
        <v>8.7100000000000009</v>
      </c>
      <c r="Q4306" s="17" t="str">
        <f t="shared" si="679"/>
        <v>Ecart positif</v>
      </c>
    </row>
    <row r="4307" spans="1:17" x14ac:dyDescent="0.3">
      <c r="A4307" s="34" t="str">
        <f>base!J4307</f>
        <v>DRM</v>
      </c>
      <c r="B4307" s="34" t="str">
        <f>base!V4307</f>
        <v>75116</v>
      </c>
      <c r="C4307" s="37">
        <v>75</v>
      </c>
      <c r="D4307" s="36">
        <f>base!H4307</f>
        <v>148.66</v>
      </c>
      <c r="E4307" s="44"/>
      <c r="F4307" s="16">
        <f>base!W4307</f>
        <v>0</v>
      </c>
      <c r="G4307" s="11">
        <f t="shared" si="670"/>
        <v>0</v>
      </c>
      <c r="H4307" s="11">
        <f t="shared" si="671"/>
        <v>0</v>
      </c>
      <c r="I4307" s="11">
        <f t="shared" si="672"/>
        <v>0</v>
      </c>
      <c r="J4307" s="12">
        <f t="shared" si="673"/>
        <v>0</v>
      </c>
      <c r="K4307" s="17" t="str">
        <f t="shared" si="678"/>
        <v>Pas d'écart</v>
      </c>
      <c r="L4307" s="16">
        <f>base!X4307</f>
        <v>0</v>
      </c>
      <c r="M4307" s="11">
        <f t="shared" si="674"/>
        <v>0</v>
      </c>
      <c r="N4307" s="11">
        <f t="shared" si="675"/>
        <v>0</v>
      </c>
      <c r="O4307" s="11">
        <f t="shared" si="676"/>
        <v>0</v>
      </c>
      <c r="P4307" s="12">
        <f t="shared" si="677"/>
        <v>0</v>
      </c>
      <c r="Q4307" s="17" t="str">
        <f t="shared" si="679"/>
        <v>Pas d'écart</v>
      </c>
    </row>
    <row r="4308" spans="1:17" x14ac:dyDescent="0.3">
      <c r="A4308" s="34">
        <f>base!J4308</f>
        <v>0</v>
      </c>
      <c r="B4308" s="34" t="str">
        <f>base!V4308</f>
        <v>44240</v>
      </c>
      <c r="C4308" s="37">
        <v>44</v>
      </c>
      <c r="D4308" s="36">
        <f>base!H4308</f>
        <v>60</v>
      </c>
      <c r="E4308" s="44"/>
      <c r="F4308" s="16">
        <f>base!W4308</f>
        <v>0</v>
      </c>
      <c r="G4308" s="11">
        <f t="shared" si="670"/>
        <v>0</v>
      </c>
      <c r="H4308" s="11">
        <f t="shared" si="671"/>
        <v>16.200000000000003</v>
      </c>
      <c r="I4308" s="11">
        <f t="shared" si="672"/>
        <v>0.27000000000000007</v>
      </c>
      <c r="J4308" s="12">
        <f t="shared" si="673"/>
        <v>-16.200000000000003</v>
      </c>
      <c r="K4308" s="17" t="str">
        <f t="shared" si="678"/>
        <v>Ecart négatif</v>
      </c>
      <c r="L4308" s="16">
        <f>base!X4308</f>
        <v>0</v>
      </c>
      <c r="M4308" s="11">
        <f t="shared" si="674"/>
        <v>0</v>
      </c>
      <c r="N4308" s="11">
        <f t="shared" si="675"/>
        <v>0</v>
      </c>
      <c r="O4308" s="11">
        <f t="shared" si="676"/>
        <v>0</v>
      </c>
      <c r="P4308" s="12">
        <f t="shared" si="677"/>
        <v>0</v>
      </c>
      <c r="Q4308" s="17" t="str">
        <f t="shared" si="679"/>
        <v>Pas d'écart</v>
      </c>
    </row>
    <row r="4309" spans="1:17" x14ac:dyDescent="0.3">
      <c r="A4309" s="34" t="str">
        <f>base!J4309</f>
        <v>DLS</v>
      </c>
      <c r="B4309" s="34" t="str">
        <f>base!V4309</f>
        <v>94150</v>
      </c>
      <c r="C4309" s="37">
        <v>94</v>
      </c>
      <c r="D4309" s="36">
        <f>base!H4309</f>
        <v>151</v>
      </c>
      <c r="E4309" s="44"/>
      <c r="F4309" s="16">
        <f>base!W4309</f>
        <v>0</v>
      </c>
      <c r="G4309" s="11">
        <f t="shared" si="670"/>
        <v>0</v>
      </c>
      <c r="H4309" s="11">
        <f t="shared" si="671"/>
        <v>0</v>
      </c>
      <c r="I4309" s="11">
        <f t="shared" si="672"/>
        <v>0</v>
      </c>
      <c r="J4309" s="12">
        <f t="shared" si="673"/>
        <v>0</v>
      </c>
      <c r="K4309" s="17" t="str">
        <f t="shared" si="678"/>
        <v>Pas d'écart</v>
      </c>
      <c r="L4309" s="16">
        <f>base!X4309</f>
        <v>28.69</v>
      </c>
      <c r="M4309" s="11">
        <f t="shared" si="674"/>
        <v>0.19</v>
      </c>
      <c r="N4309" s="11">
        <f t="shared" si="675"/>
        <v>0</v>
      </c>
      <c r="O4309" s="11">
        <f t="shared" si="676"/>
        <v>0</v>
      </c>
      <c r="P4309" s="12">
        <f t="shared" si="677"/>
        <v>28.69</v>
      </c>
      <c r="Q4309" s="17" t="str">
        <f t="shared" si="679"/>
        <v>Ecart positif</v>
      </c>
    </row>
    <row r="4310" spans="1:17" x14ac:dyDescent="0.3">
      <c r="A4310" s="34" t="str">
        <f>base!J4310</f>
        <v>RS</v>
      </c>
      <c r="B4310" s="34" t="str">
        <f>base!V4310</f>
        <v>83400</v>
      </c>
      <c r="C4310" s="37">
        <v>83</v>
      </c>
      <c r="D4310" s="36">
        <f>base!H4310</f>
        <v>32</v>
      </c>
      <c r="E4310" s="44"/>
      <c r="F4310" s="16">
        <f>base!W4310</f>
        <v>0</v>
      </c>
      <c r="G4310" s="11">
        <f t="shared" si="670"/>
        <v>0</v>
      </c>
      <c r="H4310" s="11">
        <f t="shared" si="671"/>
        <v>9.6</v>
      </c>
      <c r="I4310" s="11">
        <f t="shared" si="672"/>
        <v>0.3</v>
      </c>
      <c r="J4310" s="12">
        <f t="shared" si="673"/>
        <v>-9.6</v>
      </c>
      <c r="K4310" s="17" t="str">
        <f t="shared" si="678"/>
        <v>Ecart négatif</v>
      </c>
      <c r="L4310" s="16">
        <f>base!X4310</f>
        <v>0</v>
      </c>
      <c r="M4310" s="11">
        <f t="shared" si="674"/>
        <v>0</v>
      </c>
      <c r="N4310" s="11">
        <f t="shared" si="675"/>
        <v>6.72</v>
      </c>
      <c r="O4310" s="11">
        <f t="shared" si="676"/>
        <v>0.21</v>
      </c>
      <c r="P4310" s="12">
        <f t="shared" si="677"/>
        <v>-6.72</v>
      </c>
      <c r="Q4310" s="17" t="str">
        <f t="shared" si="679"/>
        <v>Ecart négatif</v>
      </c>
    </row>
    <row r="4311" spans="1:17" x14ac:dyDescent="0.3">
      <c r="A4311" s="34">
        <f>base!J4311</f>
        <v>0</v>
      </c>
      <c r="B4311" s="34" t="str">
        <f>base!V4311</f>
        <v>77184</v>
      </c>
      <c r="C4311" s="37">
        <v>77</v>
      </c>
      <c r="D4311" s="36">
        <f>base!H4311</f>
        <v>36.89</v>
      </c>
      <c r="E4311" s="44"/>
      <c r="F4311" s="16">
        <f>base!W4311</f>
        <v>0</v>
      </c>
      <c r="G4311" s="11">
        <f t="shared" si="670"/>
        <v>0</v>
      </c>
      <c r="H4311" s="11">
        <f t="shared" si="671"/>
        <v>0</v>
      </c>
      <c r="I4311" s="11">
        <f t="shared" si="672"/>
        <v>0</v>
      </c>
      <c r="J4311" s="12">
        <f t="shared" si="673"/>
        <v>0</v>
      </c>
      <c r="K4311" s="17" t="str">
        <f t="shared" si="678"/>
        <v>Pas d'écart</v>
      </c>
      <c r="L4311" s="16">
        <f>base!X4311</f>
        <v>0</v>
      </c>
      <c r="M4311" s="11">
        <f t="shared" si="674"/>
        <v>0</v>
      </c>
      <c r="N4311" s="11">
        <f t="shared" si="675"/>
        <v>0</v>
      </c>
      <c r="O4311" s="11">
        <f t="shared" si="676"/>
        <v>0</v>
      </c>
      <c r="P4311" s="12">
        <f t="shared" si="677"/>
        <v>0</v>
      </c>
      <c r="Q4311" s="17" t="str">
        <f t="shared" si="679"/>
        <v>Pas d'écart</v>
      </c>
    </row>
    <row r="4312" spans="1:17" x14ac:dyDescent="0.3">
      <c r="A4312" s="34" t="str">
        <f>base!J4312</f>
        <v>DLS</v>
      </c>
      <c r="B4312" s="34" t="str">
        <f>base!V4312</f>
        <v>72000</v>
      </c>
      <c r="C4312" s="37">
        <v>72</v>
      </c>
      <c r="D4312" s="36">
        <f>base!H4312</f>
        <v>181</v>
      </c>
      <c r="E4312" s="44"/>
      <c r="F4312" s="16">
        <f>base!W4312</f>
        <v>38.01</v>
      </c>
      <c r="G4312" s="11">
        <f t="shared" si="670"/>
        <v>0.21</v>
      </c>
      <c r="H4312" s="11">
        <f t="shared" si="671"/>
        <v>38.01</v>
      </c>
      <c r="I4312" s="11">
        <f t="shared" si="672"/>
        <v>0.21</v>
      </c>
      <c r="J4312" s="12">
        <f t="shared" si="673"/>
        <v>0</v>
      </c>
      <c r="K4312" s="17" t="str">
        <f t="shared" si="678"/>
        <v>Pas d'écart</v>
      </c>
      <c r="L4312" s="16">
        <f>base!X4312</f>
        <v>0</v>
      </c>
      <c r="M4312" s="11">
        <f t="shared" si="674"/>
        <v>0</v>
      </c>
      <c r="N4312" s="11">
        <f t="shared" si="675"/>
        <v>21.72</v>
      </c>
      <c r="O4312" s="11">
        <f t="shared" si="676"/>
        <v>0.12</v>
      </c>
      <c r="P4312" s="12">
        <f t="shared" si="677"/>
        <v>-21.72</v>
      </c>
      <c r="Q4312" s="17" t="str">
        <f t="shared" si="679"/>
        <v>Ecart négatif</v>
      </c>
    </row>
    <row r="4313" spans="1:17" x14ac:dyDescent="0.3">
      <c r="A4313" s="34" t="str">
        <f>base!J4313</f>
        <v>LM</v>
      </c>
      <c r="B4313" s="34" t="str">
        <f>base!V4313</f>
        <v>69005</v>
      </c>
      <c r="C4313" s="37">
        <v>54</v>
      </c>
      <c r="D4313" s="36">
        <f>base!H4313</f>
        <v>33.35</v>
      </c>
      <c r="E4313" s="44"/>
      <c r="F4313" s="16">
        <f>base!W4313</f>
        <v>9</v>
      </c>
      <c r="G4313" s="11">
        <f t="shared" si="670"/>
        <v>0.26986506746626687</v>
      </c>
      <c r="H4313" s="11">
        <f t="shared" si="671"/>
        <v>8.3375000000000004</v>
      </c>
      <c r="I4313" s="11">
        <f t="shared" si="672"/>
        <v>0.25</v>
      </c>
      <c r="J4313" s="12">
        <f t="shared" si="673"/>
        <v>0.66249999999999964</v>
      </c>
      <c r="K4313" s="17" t="str">
        <f t="shared" si="678"/>
        <v>Ecart positif</v>
      </c>
      <c r="L4313" s="16">
        <f>base!X4313</f>
        <v>0</v>
      </c>
      <c r="M4313" s="11">
        <f t="shared" si="674"/>
        <v>0</v>
      </c>
      <c r="N4313" s="11">
        <f t="shared" si="675"/>
        <v>8.3375000000000004</v>
      </c>
      <c r="O4313" s="11">
        <f t="shared" si="676"/>
        <v>0.25</v>
      </c>
      <c r="P4313" s="12">
        <f t="shared" si="677"/>
        <v>-8.3375000000000004</v>
      </c>
      <c r="Q4313" s="17" t="str">
        <f t="shared" si="679"/>
        <v>Ecart négatif</v>
      </c>
    </row>
    <row r="4314" spans="1:17" x14ac:dyDescent="0.3">
      <c r="A4314" s="34" t="str">
        <f>base!J4314</f>
        <v>RS</v>
      </c>
      <c r="B4314" s="34" t="str">
        <f>base!V4314</f>
        <v>69003</v>
      </c>
      <c r="C4314" s="37">
        <v>69</v>
      </c>
      <c r="D4314" s="36">
        <f>base!H4314</f>
        <v>71.819999999999993</v>
      </c>
      <c r="E4314" s="44"/>
      <c r="F4314" s="16">
        <f>base!W4314</f>
        <v>0</v>
      </c>
      <c r="G4314" s="11">
        <f t="shared" si="670"/>
        <v>0</v>
      </c>
      <c r="H4314" s="11">
        <f t="shared" si="671"/>
        <v>19.391400000000001</v>
      </c>
      <c r="I4314" s="11">
        <f t="shared" si="672"/>
        <v>0.27</v>
      </c>
      <c r="J4314" s="12">
        <f t="shared" si="673"/>
        <v>-19.391400000000001</v>
      </c>
      <c r="K4314" s="17" t="str">
        <f t="shared" si="678"/>
        <v>Ecart négatif</v>
      </c>
      <c r="L4314" s="16">
        <f>base!X4314</f>
        <v>0</v>
      </c>
      <c r="M4314" s="11">
        <f t="shared" si="674"/>
        <v>0</v>
      </c>
      <c r="N4314" s="11">
        <f t="shared" si="675"/>
        <v>0</v>
      </c>
      <c r="O4314" s="11">
        <f t="shared" si="676"/>
        <v>0</v>
      </c>
      <c r="P4314" s="12">
        <f t="shared" si="677"/>
        <v>0</v>
      </c>
      <c r="Q4314" s="17" t="str">
        <f t="shared" si="679"/>
        <v>Pas d'écart</v>
      </c>
    </row>
    <row r="4315" spans="1:17" x14ac:dyDescent="0.3">
      <c r="A4315" s="34" t="str">
        <f>base!J4315</f>
        <v>RS</v>
      </c>
      <c r="B4315" s="34" t="str">
        <f>base!V4315</f>
        <v>38110</v>
      </c>
      <c r="C4315" s="37">
        <v>38</v>
      </c>
      <c r="D4315" s="36">
        <f>base!H4315</f>
        <v>70</v>
      </c>
      <c r="E4315" s="44"/>
      <c r="F4315" s="16">
        <f>base!W4315</f>
        <v>0</v>
      </c>
      <c r="G4315" s="11">
        <f t="shared" si="670"/>
        <v>0</v>
      </c>
      <c r="H4315" s="11">
        <f t="shared" si="671"/>
        <v>18.900000000000002</v>
      </c>
      <c r="I4315" s="11">
        <f t="shared" si="672"/>
        <v>0.27</v>
      </c>
      <c r="J4315" s="12">
        <f t="shared" si="673"/>
        <v>-18.900000000000002</v>
      </c>
      <c r="K4315" s="17" t="str">
        <f t="shared" si="678"/>
        <v>Ecart négatif</v>
      </c>
      <c r="L4315" s="16">
        <f>base!X4315</f>
        <v>0</v>
      </c>
      <c r="M4315" s="11">
        <f t="shared" si="674"/>
        <v>0</v>
      </c>
      <c r="N4315" s="11">
        <f t="shared" si="675"/>
        <v>0</v>
      </c>
      <c r="O4315" s="11">
        <f t="shared" si="676"/>
        <v>0</v>
      </c>
      <c r="P4315" s="12">
        <f t="shared" si="677"/>
        <v>0</v>
      </c>
      <c r="Q4315" s="17" t="str">
        <f t="shared" si="679"/>
        <v>Pas d'écart</v>
      </c>
    </row>
    <row r="4316" spans="1:17" x14ac:dyDescent="0.3">
      <c r="A4316" s="34">
        <f>base!J4316</f>
        <v>0</v>
      </c>
      <c r="B4316" s="34" t="str">
        <f>base!V4316</f>
        <v>77184</v>
      </c>
      <c r="C4316" s="37">
        <v>77</v>
      </c>
      <c r="D4316" s="36">
        <f>base!H4316</f>
        <v>150</v>
      </c>
      <c r="E4316" s="44"/>
      <c r="F4316" s="16">
        <f>base!W4316</f>
        <v>0</v>
      </c>
      <c r="G4316" s="11">
        <f t="shared" si="670"/>
        <v>0</v>
      </c>
      <c r="H4316" s="11">
        <f t="shared" si="671"/>
        <v>0</v>
      </c>
      <c r="I4316" s="11">
        <f t="shared" si="672"/>
        <v>0</v>
      </c>
      <c r="J4316" s="12">
        <f t="shared" si="673"/>
        <v>0</v>
      </c>
      <c r="K4316" s="17" t="str">
        <f t="shared" si="678"/>
        <v>Pas d'écart</v>
      </c>
      <c r="L4316" s="16">
        <f>base!X4316</f>
        <v>0</v>
      </c>
      <c r="M4316" s="11">
        <f t="shared" si="674"/>
        <v>0</v>
      </c>
      <c r="N4316" s="11">
        <f t="shared" si="675"/>
        <v>0</v>
      </c>
      <c r="O4316" s="11">
        <f t="shared" si="676"/>
        <v>0</v>
      </c>
      <c r="P4316" s="12">
        <f t="shared" si="677"/>
        <v>0</v>
      </c>
      <c r="Q4316" s="17" t="str">
        <f t="shared" si="679"/>
        <v>Pas d'écart</v>
      </c>
    </row>
    <row r="4317" spans="1:17" x14ac:dyDescent="0.3">
      <c r="A4317" s="34" t="str">
        <f>base!J4317</f>
        <v>RM</v>
      </c>
      <c r="B4317" s="34" t="str">
        <f>base!V4317</f>
        <v>06000</v>
      </c>
      <c r="C4317" s="37">
        <v>6</v>
      </c>
      <c r="D4317" s="36">
        <f>base!H4317</f>
        <v>70</v>
      </c>
      <c r="E4317" s="44"/>
      <c r="F4317" s="16">
        <f>base!W4317</f>
        <v>0</v>
      </c>
      <c r="G4317" s="11">
        <f t="shared" si="670"/>
        <v>0</v>
      </c>
      <c r="H4317" s="11">
        <f t="shared" si="671"/>
        <v>21</v>
      </c>
      <c r="I4317" s="11">
        <f t="shared" si="672"/>
        <v>0.3</v>
      </c>
      <c r="J4317" s="12">
        <f t="shared" si="673"/>
        <v>-21</v>
      </c>
      <c r="K4317" s="17" t="str">
        <f t="shared" si="678"/>
        <v>Ecart négatif</v>
      </c>
      <c r="L4317" s="16">
        <f>base!X4317</f>
        <v>0</v>
      </c>
      <c r="M4317" s="11">
        <f t="shared" si="674"/>
        <v>0</v>
      </c>
      <c r="N4317" s="11">
        <f t="shared" si="675"/>
        <v>14.7</v>
      </c>
      <c r="O4317" s="11">
        <f t="shared" si="676"/>
        <v>0.21</v>
      </c>
      <c r="P4317" s="12">
        <f t="shared" si="677"/>
        <v>-14.7</v>
      </c>
      <c r="Q4317" s="17" t="str">
        <f t="shared" si="679"/>
        <v>Ecart négatif</v>
      </c>
    </row>
    <row r="4318" spans="1:17" x14ac:dyDescent="0.3">
      <c r="A4318" s="34" t="str">
        <f>base!J4318</f>
        <v>RM</v>
      </c>
      <c r="B4318" s="34" t="str">
        <f>base!V4318</f>
        <v>06000</v>
      </c>
      <c r="C4318" s="37">
        <v>6</v>
      </c>
      <c r="D4318" s="36">
        <f>base!H4318</f>
        <v>51.8</v>
      </c>
      <c r="E4318" s="44"/>
      <c r="F4318" s="16">
        <f>base!W4318</f>
        <v>0</v>
      </c>
      <c r="G4318" s="11">
        <f t="shared" si="670"/>
        <v>0</v>
      </c>
      <c r="H4318" s="11">
        <f t="shared" si="671"/>
        <v>15.54</v>
      </c>
      <c r="I4318" s="11">
        <f t="shared" si="672"/>
        <v>0.3</v>
      </c>
      <c r="J4318" s="12">
        <f t="shared" si="673"/>
        <v>-15.54</v>
      </c>
      <c r="K4318" s="17" t="str">
        <f t="shared" si="678"/>
        <v>Ecart négatif</v>
      </c>
      <c r="L4318" s="16">
        <f>base!X4318</f>
        <v>0</v>
      </c>
      <c r="M4318" s="11">
        <f t="shared" si="674"/>
        <v>0</v>
      </c>
      <c r="N4318" s="11">
        <f t="shared" si="675"/>
        <v>10.877999999999998</v>
      </c>
      <c r="O4318" s="11">
        <f t="shared" si="676"/>
        <v>0.21</v>
      </c>
      <c r="P4318" s="12">
        <f t="shared" si="677"/>
        <v>-10.877999999999998</v>
      </c>
      <c r="Q4318" s="17" t="str">
        <f t="shared" si="679"/>
        <v>Ecart négatif</v>
      </c>
    </row>
    <row r="4319" spans="1:17" x14ac:dyDescent="0.3">
      <c r="A4319" s="34" t="str">
        <f>base!J4319</f>
        <v>LS</v>
      </c>
      <c r="B4319" s="34" t="str">
        <f>base!V4319</f>
        <v>33700</v>
      </c>
      <c r="C4319" s="37">
        <v>33</v>
      </c>
      <c r="D4319" s="36">
        <f>base!H4319</f>
        <v>0</v>
      </c>
      <c r="E4319" s="44"/>
      <c r="F4319" s="16">
        <f>base!W4319</f>
        <v>0</v>
      </c>
      <c r="G4319" s="11" t="e">
        <f t="shared" si="670"/>
        <v>#DIV/0!</v>
      </c>
      <c r="H4319" s="11">
        <f t="shared" si="671"/>
        <v>0</v>
      </c>
      <c r="I4319" s="11" t="e">
        <f t="shared" si="672"/>
        <v>#DIV/0!</v>
      </c>
      <c r="J4319" s="12">
        <f t="shared" si="673"/>
        <v>0</v>
      </c>
      <c r="K4319" s="17" t="str">
        <f t="shared" si="678"/>
        <v>Pas d'écart</v>
      </c>
      <c r="L4319" s="16">
        <f>base!X4319</f>
        <v>0</v>
      </c>
      <c r="M4319" s="11" t="e">
        <f t="shared" si="674"/>
        <v>#DIV/0!</v>
      </c>
      <c r="N4319" s="11">
        <f t="shared" si="675"/>
        <v>0</v>
      </c>
      <c r="O4319" s="11" t="e">
        <f t="shared" si="676"/>
        <v>#DIV/0!</v>
      </c>
      <c r="P4319" s="12">
        <f t="shared" si="677"/>
        <v>0</v>
      </c>
      <c r="Q4319" s="17" t="str">
        <f t="shared" si="679"/>
        <v>Pas d'écart</v>
      </c>
    </row>
    <row r="4320" spans="1:17" x14ac:dyDescent="0.3">
      <c r="A4320" s="34" t="str">
        <f>base!J4320</f>
        <v>RM</v>
      </c>
      <c r="B4320" s="34" t="str">
        <f>base!V4320</f>
        <v>69006</v>
      </c>
      <c r="C4320" s="37">
        <v>69</v>
      </c>
      <c r="D4320" s="36">
        <f>base!H4320</f>
        <v>29.59</v>
      </c>
      <c r="E4320" s="44"/>
      <c r="F4320" s="16">
        <f>base!W4320</f>
        <v>0</v>
      </c>
      <c r="G4320" s="11">
        <f t="shared" si="670"/>
        <v>0</v>
      </c>
      <c r="H4320" s="11">
        <f t="shared" si="671"/>
        <v>7.9893000000000001</v>
      </c>
      <c r="I4320" s="11">
        <f t="shared" si="672"/>
        <v>0.27</v>
      </c>
      <c r="J4320" s="12">
        <f t="shared" si="673"/>
        <v>-7.9893000000000001</v>
      </c>
      <c r="K4320" s="17" t="str">
        <f t="shared" si="678"/>
        <v>Ecart négatif</v>
      </c>
      <c r="L4320" s="16">
        <f>base!X4320</f>
        <v>0</v>
      </c>
      <c r="M4320" s="11">
        <f t="shared" si="674"/>
        <v>0</v>
      </c>
      <c r="N4320" s="11">
        <f t="shared" si="675"/>
        <v>0</v>
      </c>
      <c r="O4320" s="11">
        <f t="shared" si="676"/>
        <v>0</v>
      </c>
      <c r="P4320" s="12">
        <f t="shared" si="677"/>
        <v>0</v>
      </c>
      <c r="Q4320" s="17" t="str">
        <f t="shared" si="679"/>
        <v>Pas d'écart</v>
      </c>
    </row>
    <row r="4321" spans="1:18" x14ac:dyDescent="0.3">
      <c r="A4321" s="34" t="str">
        <f>base!J4321</f>
        <v>RM</v>
      </c>
      <c r="B4321" s="34" t="str">
        <f>base!V4321</f>
        <v>69006</v>
      </c>
      <c r="C4321" s="37">
        <v>69</v>
      </c>
      <c r="D4321" s="36">
        <f>base!H4321</f>
        <v>29.59</v>
      </c>
      <c r="E4321" s="44"/>
      <c r="F4321" s="16">
        <f>base!W4321</f>
        <v>0</v>
      </c>
      <c r="G4321" s="11">
        <f t="shared" si="670"/>
        <v>0</v>
      </c>
      <c r="H4321" s="11">
        <f t="shared" si="671"/>
        <v>7.9893000000000001</v>
      </c>
      <c r="I4321" s="11">
        <f t="shared" si="672"/>
        <v>0.27</v>
      </c>
      <c r="J4321" s="12">
        <f t="shared" si="673"/>
        <v>-7.9893000000000001</v>
      </c>
      <c r="K4321" s="17" t="str">
        <f t="shared" si="678"/>
        <v>Ecart négatif</v>
      </c>
      <c r="L4321" s="16">
        <f>base!X4321</f>
        <v>0</v>
      </c>
      <c r="M4321" s="11">
        <f t="shared" si="674"/>
        <v>0</v>
      </c>
      <c r="N4321" s="11">
        <f t="shared" si="675"/>
        <v>0</v>
      </c>
      <c r="O4321" s="11">
        <f t="shared" si="676"/>
        <v>0</v>
      </c>
      <c r="P4321" s="12">
        <f t="shared" si="677"/>
        <v>0</v>
      </c>
      <c r="Q4321" s="17" t="str">
        <f t="shared" si="679"/>
        <v>Pas d'écart</v>
      </c>
    </row>
    <row r="4322" spans="1:18" x14ac:dyDescent="0.3">
      <c r="A4322" s="34" t="str">
        <f>base!J4322</f>
        <v>RM</v>
      </c>
      <c r="B4322" s="34" t="str">
        <f>base!V4322</f>
        <v>59550</v>
      </c>
      <c r="C4322" s="37">
        <v>59</v>
      </c>
      <c r="D4322" s="36">
        <f>base!H4322</f>
        <v>151</v>
      </c>
      <c r="E4322" s="44"/>
      <c r="F4322" s="16">
        <f>base!W4322</f>
        <v>0</v>
      </c>
      <c r="G4322" s="11">
        <f t="shared" si="670"/>
        <v>0</v>
      </c>
      <c r="H4322" s="11">
        <f t="shared" si="671"/>
        <v>28.69</v>
      </c>
      <c r="I4322" s="11">
        <f t="shared" si="672"/>
        <v>0.19</v>
      </c>
      <c r="J4322" s="12">
        <f t="shared" si="673"/>
        <v>-28.69</v>
      </c>
      <c r="K4322" s="17" t="str">
        <f t="shared" si="678"/>
        <v>Ecart négatif</v>
      </c>
      <c r="L4322" s="16">
        <f>base!X4322</f>
        <v>0</v>
      </c>
      <c r="M4322" s="11">
        <f t="shared" si="674"/>
        <v>0</v>
      </c>
      <c r="N4322" s="11">
        <f t="shared" si="675"/>
        <v>0</v>
      </c>
      <c r="O4322" s="11">
        <f t="shared" si="676"/>
        <v>0</v>
      </c>
      <c r="P4322" s="12">
        <f t="shared" si="677"/>
        <v>0</v>
      </c>
      <c r="Q4322" s="17" t="str">
        <f t="shared" si="679"/>
        <v>Pas d'écart</v>
      </c>
    </row>
    <row r="4323" spans="1:18" x14ac:dyDescent="0.3">
      <c r="A4323" s="34" t="str">
        <f>base!J4323</f>
        <v>RS</v>
      </c>
      <c r="B4323" s="34" t="str">
        <f>base!V4323</f>
        <v>38120</v>
      </c>
      <c r="C4323" s="37">
        <v>38</v>
      </c>
      <c r="D4323" s="36">
        <f>base!H4323</f>
        <v>20</v>
      </c>
      <c r="E4323" s="44"/>
      <c r="F4323" s="16">
        <f>base!W4323</f>
        <v>0</v>
      </c>
      <c r="G4323" s="11">
        <f t="shared" si="670"/>
        <v>0</v>
      </c>
      <c r="H4323" s="11">
        <f t="shared" si="671"/>
        <v>5.4</v>
      </c>
      <c r="I4323" s="11">
        <f t="shared" si="672"/>
        <v>0.27</v>
      </c>
      <c r="J4323" s="12">
        <f t="shared" si="673"/>
        <v>-5.4</v>
      </c>
      <c r="K4323" s="17" t="str">
        <f t="shared" si="678"/>
        <v>Ecart négatif</v>
      </c>
      <c r="L4323" s="16">
        <f>base!X4323</f>
        <v>0</v>
      </c>
      <c r="M4323" s="11">
        <f t="shared" si="674"/>
        <v>0</v>
      </c>
      <c r="N4323" s="11">
        <f t="shared" si="675"/>
        <v>0</v>
      </c>
      <c r="O4323" s="11">
        <f t="shared" si="676"/>
        <v>0</v>
      </c>
      <c r="P4323" s="12">
        <f t="shared" si="677"/>
        <v>0</v>
      </c>
      <c r="Q4323" s="17" t="str">
        <f t="shared" si="679"/>
        <v>Pas d'écart</v>
      </c>
    </row>
    <row r="4324" spans="1:18" x14ac:dyDescent="0.3">
      <c r="A4324" s="34" t="str">
        <f>base!J4324</f>
        <v>RS</v>
      </c>
      <c r="B4324" s="34" t="str">
        <f>base!V4324</f>
        <v>13014</v>
      </c>
      <c r="C4324" s="37">
        <v>13</v>
      </c>
      <c r="D4324" s="36">
        <f>base!H4324</f>
        <v>29.8</v>
      </c>
      <c r="E4324" s="44"/>
      <c r="F4324" s="16">
        <f>base!W4324</f>
        <v>0</v>
      </c>
      <c r="G4324" s="11">
        <f t="shared" si="670"/>
        <v>0</v>
      </c>
      <c r="H4324" s="11">
        <f t="shared" si="671"/>
        <v>8.6419999999999995</v>
      </c>
      <c r="I4324" s="11">
        <f t="shared" si="672"/>
        <v>0.28999999999999998</v>
      </c>
      <c r="J4324" s="12">
        <f t="shared" si="673"/>
        <v>-8.6419999999999995</v>
      </c>
      <c r="K4324" s="17" t="str">
        <f t="shared" si="678"/>
        <v>Ecart négatif</v>
      </c>
      <c r="L4324" s="16">
        <f>base!X4324</f>
        <v>0</v>
      </c>
      <c r="M4324" s="11">
        <f t="shared" si="674"/>
        <v>0</v>
      </c>
      <c r="N4324" s="11">
        <f t="shared" si="675"/>
        <v>5.6619999999999999</v>
      </c>
      <c r="O4324" s="11">
        <f t="shared" si="676"/>
        <v>0.19</v>
      </c>
      <c r="P4324" s="12">
        <f t="shared" si="677"/>
        <v>-5.6619999999999999</v>
      </c>
      <c r="Q4324" s="17" t="str">
        <f t="shared" si="679"/>
        <v>Ecart négatif</v>
      </c>
    </row>
    <row r="4325" spans="1:18" x14ac:dyDescent="0.3">
      <c r="A4325" s="34" t="str">
        <f>base!J4325</f>
        <v>RM</v>
      </c>
      <c r="B4325" s="34" t="str">
        <f>base!V4325</f>
        <v>69100</v>
      </c>
      <c r="C4325" s="37">
        <v>69</v>
      </c>
      <c r="D4325" s="36">
        <f>base!H4325</f>
        <v>180</v>
      </c>
      <c r="E4325" s="44"/>
      <c r="F4325" s="16">
        <f>base!W4325</f>
        <v>0</v>
      </c>
      <c r="G4325" s="11">
        <f t="shared" si="670"/>
        <v>0</v>
      </c>
      <c r="H4325" s="11">
        <f t="shared" si="671"/>
        <v>48.6</v>
      </c>
      <c r="I4325" s="11">
        <f t="shared" si="672"/>
        <v>0.27</v>
      </c>
      <c r="J4325" s="12">
        <f t="shared" si="673"/>
        <v>-48.6</v>
      </c>
      <c r="K4325" s="17" t="str">
        <f t="shared" si="678"/>
        <v>Ecart négatif</v>
      </c>
      <c r="L4325" s="16">
        <f>base!X4325</f>
        <v>0</v>
      </c>
      <c r="M4325" s="11">
        <f t="shared" si="674"/>
        <v>0</v>
      </c>
      <c r="N4325" s="11">
        <f t="shared" si="675"/>
        <v>0</v>
      </c>
      <c r="O4325" s="11">
        <f t="shared" si="676"/>
        <v>0</v>
      </c>
      <c r="P4325" s="12">
        <f t="shared" si="677"/>
        <v>0</v>
      </c>
      <c r="Q4325" s="17" t="str">
        <f t="shared" si="679"/>
        <v>Pas d'écart</v>
      </c>
    </row>
    <row r="4326" spans="1:18" x14ac:dyDescent="0.3">
      <c r="A4326" s="34" t="str">
        <f>base!J4326</f>
        <v>RM</v>
      </c>
      <c r="B4326" s="34" t="str">
        <f>base!V4326</f>
        <v>69100</v>
      </c>
      <c r="C4326" s="37">
        <v>69</v>
      </c>
      <c r="D4326" s="36">
        <f>base!H4326</f>
        <v>180</v>
      </c>
      <c r="E4326" s="44"/>
      <c r="F4326" s="16">
        <f>base!W4326</f>
        <v>0</v>
      </c>
      <c r="G4326" s="11">
        <f t="shared" si="670"/>
        <v>0</v>
      </c>
      <c r="H4326" s="11">
        <f t="shared" si="671"/>
        <v>48.6</v>
      </c>
      <c r="I4326" s="11">
        <f t="shared" si="672"/>
        <v>0.27</v>
      </c>
      <c r="J4326" s="12">
        <f t="shared" si="673"/>
        <v>-48.6</v>
      </c>
      <c r="K4326" s="17" t="str">
        <f t="shared" si="678"/>
        <v>Ecart négatif</v>
      </c>
      <c r="L4326" s="16">
        <f>base!X4326</f>
        <v>0</v>
      </c>
      <c r="M4326" s="11">
        <f t="shared" si="674"/>
        <v>0</v>
      </c>
      <c r="N4326" s="11">
        <f t="shared" si="675"/>
        <v>0</v>
      </c>
      <c r="O4326" s="11">
        <f t="shared" si="676"/>
        <v>0</v>
      </c>
      <c r="P4326" s="12">
        <f t="shared" si="677"/>
        <v>0</v>
      </c>
      <c r="Q4326" s="17" t="str">
        <f t="shared" si="679"/>
        <v>Pas d'écart</v>
      </c>
    </row>
    <row r="4327" spans="1:18" x14ac:dyDescent="0.3">
      <c r="A4327" s="34" t="str">
        <f>base!J4327</f>
        <v>RS</v>
      </c>
      <c r="B4327" s="34" t="str">
        <f>base!V4327</f>
        <v>67200</v>
      </c>
      <c r="C4327" s="37">
        <v>67</v>
      </c>
      <c r="D4327" s="36">
        <f>base!H4327</f>
        <v>40</v>
      </c>
      <c r="E4327" s="44"/>
      <c r="F4327" s="16">
        <f>base!W4327</f>
        <v>0</v>
      </c>
      <c r="G4327" s="11">
        <f t="shared" si="670"/>
        <v>0</v>
      </c>
      <c r="H4327" s="11">
        <f t="shared" si="671"/>
        <v>11.6</v>
      </c>
      <c r="I4327" s="11">
        <f t="shared" si="672"/>
        <v>0.28999999999999998</v>
      </c>
      <c r="J4327" s="12">
        <f t="shared" si="673"/>
        <v>-11.6</v>
      </c>
      <c r="K4327" s="17" t="str">
        <f t="shared" si="678"/>
        <v>Ecart négatif</v>
      </c>
      <c r="L4327" s="16">
        <f>base!X4327</f>
        <v>3.2</v>
      </c>
      <c r="M4327" s="11">
        <f t="shared" si="674"/>
        <v>0.08</v>
      </c>
      <c r="N4327" s="11">
        <f t="shared" si="675"/>
        <v>3.2</v>
      </c>
      <c r="O4327" s="11">
        <f t="shared" si="676"/>
        <v>0.08</v>
      </c>
      <c r="P4327" s="12">
        <f t="shared" si="677"/>
        <v>0</v>
      </c>
      <c r="Q4327" s="17" t="str">
        <f t="shared" si="679"/>
        <v>Pas d'écart</v>
      </c>
      <c r="R4327" s="38"/>
    </row>
    <row r="4328" spans="1:18" x14ac:dyDescent="0.3">
      <c r="A4328" s="34" t="str">
        <f>base!J4328</f>
        <v>RS</v>
      </c>
      <c r="B4328" s="34" t="str">
        <f>base!V4328</f>
        <v>13014</v>
      </c>
      <c r="C4328" s="37">
        <v>13</v>
      </c>
      <c r="D4328" s="36">
        <f>base!H4328</f>
        <v>40</v>
      </c>
      <c r="E4328" s="44"/>
      <c r="F4328" s="16">
        <f>base!W4328</f>
        <v>0</v>
      </c>
      <c r="G4328" s="11">
        <f t="shared" si="670"/>
        <v>0</v>
      </c>
      <c r="H4328" s="11">
        <f t="shared" si="671"/>
        <v>11.6</v>
      </c>
      <c r="I4328" s="11">
        <f t="shared" si="672"/>
        <v>0.28999999999999998</v>
      </c>
      <c r="J4328" s="12">
        <f t="shared" si="673"/>
        <v>-11.6</v>
      </c>
      <c r="K4328" s="17" t="str">
        <f t="shared" si="678"/>
        <v>Ecart négatif</v>
      </c>
      <c r="L4328" s="16">
        <f>base!X4328</f>
        <v>0</v>
      </c>
      <c r="M4328" s="11">
        <f t="shared" si="674"/>
        <v>0</v>
      </c>
      <c r="N4328" s="11">
        <f t="shared" si="675"/>
        <v>7.6</v>
      </c>
      <c r="O4328" s="11">
        <f t="shared" si="676"/>
        <v>0.19</v>
      </c>
      <c r="P4328" s="12">
        <f t="shared" si="677"/>
        <v>-7.6</v>
      </c>
      <c r="Q4328" s="17" t="str">
        <f t="shared" si="679"/>
        <v>Ecart négatif</v>
      </c>
    </row>
    <row r="4329" spans="1:18" x14ac:dyDescent="0.3">
      <c r="A4329" s="34" t="str">
        <f>base!J4329</f>
        <v>RM</v>
      </c>
      <c r="B4329" s="34" t="str">
        <f>base!V4329</f>
        <v>75012</v>
      </c>
      <c r="C4329" s="37">
        <v>75</v>
      </c>
      <c r="D4329" s="36">
        <f>base!H4329</f>
        <v>200</v>
      </c>
      <c r="E4329" s="44"/>
      <c r="F4329" s="16">
        <f>base!W4329</f>
        <v>0</v>
      </c>
      <c r="G4329" s="11">
        <f t="shared" si="670"/>
        <v>0</v>
      </c>
      <c r="H4329" s="11">
        <f t="shared" si="671"/>
        <v>0</v>
      </c>
      <c r="I4329" s="11">
        <f t="shared" si="672"/>
        <v>0</v>
      </c>
      <c r="J4329" s="12">
        <f t="shared" si="673"/>
        <v>0</v>
      </c>
      <c r="K4329" s="17" t="str">
        <f t="shared" si="678"/>
        <v>Pas d'écart</v>
      </c>
      <c r="L4329" s="16">
        <f>base!X4329</f>
        <v>0</v>
      </c>
      <c r="M4329" s="11">
        <f t="shared" si="674"/>
        <v>0</v>
      </c>
      <c r="N4329" s="11">
        <f t="shared" si="675"/>
        <v>0</v>
      </c>
      <c r="O4329" s="11">
        <f t="shared" si="676"/>
        <v>0</v>
      </c>
      <c r="P4329" s="12">
        <f t="shared" si="677"/>
        <v>0</v>
      </c>
      <c r="Q4329" s="17" t="str">
        <f t="shared" si="679"/>
        <v>Pas d'écart</v>
      </c>
    </row>
    <row r="4330" spans="1:18" x14ac:dyDescent="0.3">
      <c r="A4330" s="34" t="str">
        <f>base!J4330</f>
        <v>RS</v>
      </c>
      <c r="B4330" s="34" t="str">
        <f>base!V4330</f>
        <v>41000</v>
      </c>
      <c r="C4330" s="37">
        <v>41</v>
      </c>
      <c r="D4330" s="36">
        <f>base!H4330</f>
        <v>141.25</v>
      </c>
      <c r="E4330" s="44"/>
      <c r="F4330" s="16">
        <f>base!W4330</f>
        <v>0</v>
      </c>
      <c r="G4330" s="11">
        <f t="shared" si="670"/>
        <v>0</v>
      </c>
      <c r="H4330" s="11">
        <f t="shared" si="671"/>
        <v>29.662499999999998</v>
      </c>
      <c r="I4330" s="11">
        <f t="shared" si="672"/>
        <v>0.21</v>
      </c>
      <c r="J4330" s="12">
        <f t="shared" si="673"/>
        <v>-29.662499999999998</v>
      </c>
      <c r="K4330" s="17" t="str">
        <f t="shared" si="678"/>
        <v>Ecart négatif</v>
      </c>
      <c r="L4330" s="16">
        <f>base!X4330</f>
        <v>0</v>
      </c>
      <c r="M4330" s="11">
        <f t="shared" si="674"/>
        <v>0</v>
      </c>
      <c r="N4330" s="11">
        <f t="shared" si="675"/>
        <v>16.95</v>
      </c>
      <c r="O4330" s="11">
        <f t="shared" si="676"/>
        <v>0.12</v>
      </c>
      <c r="P4330" s="12">
        <f t="shared" si="677"/>
        <v>-16.95</v>
      </c>
      <c r="Q4330" s="17" t="str">
        <f t="shared" si="679"/>
        <v>Ecart négatif</v>
      </c>
    </row>
    <row r="4331" spans="1:18" x14ac:dyDescent="0.3">
      <c r="A4331" s="34" t="str">
        <f>base!J4331</f>
        <v>RS</v>
      </c>
      <c r="B4331" s="34" t="str">
        <f>base!V4331</f>
        <v>25770</v>
      </c>
      <c r="C4331" s="37">
        <v>25</v>
      </c>
      <c r="D4331" s="36">
        <f>base!H4331</f>
        <v>151</v>
      </c>
      <c r="E4331" s="44"/>
      <c r="F4331" s="16">
        <f>base!W4331</f>
        <v>0</v>
      </c>
      <c r="G4331" s="11">
        <f t="shared" si="670"/>
        <v>0</v>
      </c>
      <c r="H4331" s="11">
        <f t="shared" si="671"/>
        <v>36.24</v>
      </c>
      <c r="I4331" s="11">
        <f t="shared" si="672"/>
        <v>0.24000000000000002</v>
      </c>
      <c r="J4331" s="12">
        <f t="shared" si="673"/>
        <v>-36.24</v>
      </c>
      <c r="K4331" s="17" t="str">
        <f t="shared" si="678"/>
        <v>Ecart négatif</v>
      </c>
      <c r="L4331" s="16">
        <f>base!X4331</f>
        <v>0</v>
      </c>
      <c r="M4331" s="11">
        <f t="shared" si="674"/>
        <v>0</v>
      </c>
      <c r="N4331" s="11">
        <f t="shared" si="675"/>
        <v>18.12</v>
      </c>
      <c r="O4331" s="11">
        <f t="shared" si="676"/>
        <v>0.12000000000000001</v>
      </c>
      <c r="P4331" s="12">
        <f t="shared" si="677"/>
        <v>-18.12</v>
      </c>
      <c r="Q4331" s="17" t="str">
        <f t="shared" si="679"/>
        <v>Ecart négatif</v>
      </c>
    </row>
    <row r="4332" spans="1:18" x14ac:dyDescent="0.3">
      <c r="A4332" s="34" t="str">
        <f>base!J4332</f>
        <v>RS</v>
      </c>
      <c r="B4332" s="34" t="str">
        <f>base!V4332</f>
        <v>73370</v>
      </c>
      <c r="C4332" s="37">
        <v>73</v>
      </c>
      <c r="D4332" s="36">
        <f>base!H4332</f>
        <v>205</v>
      </c>
      <c r="E4332" s="44"/>
      <c r="F4332" s="16">
        <f>base!W4332</f>
        <v>0</v>
      </c>
      <c r="G4332" s="11">
        <f t="shared" si="670"/>
        <v>0</v>
      </c>
      <c r="H4332" s="11">
        <f t="shared" si="671"/>
        <v>55.35</v>
      </c>
      <c r="I4332" s="11">
        <f t="shared" si="672"/>
        <v>0.27</v>
      </c>
      <c r="J4332" s="12">
        <f t="shared" si="673"/>
        <v>-55.35</v>
      </c>
      <c r="K4332" s="17" t="str">
        <f t="shared" si="678"/>
        <v>Ecart négatif</v>
      </c>
      <c r="L4332" s="16">
        <f>base!X4332</f>
        <v>0</v>
      </c>
      <c r="M4332" s="11">
        <f t="shared" si="674"/>
        <v>0</v>
      </c>
      <c r="N4332" s="11">
        <f t="shared" si="675"/>
        <v>0</v>
      </c>
      <c r="O4332" s="11">
        <f t="shared" si="676"/>
        <v>0</v>
      </c>
      <c r="P4332" s="12">
        <f t="shared" si="677"/>
        <v>0</v>
      </c>
      <c r="Q4332" s="17" t="str">
        <f t="shared" si="679"/>
        <v>Pas d'écart</v>
      </c>
    </row>
    <row r="4333" spans="1:18" x14ac:dyDescent="0.3">
      <c r="A4333" s="34" t="str">
        <f>base!J4333</f>
        <v>RM</v>
      </c>
      <c r="B4333" s="34" t="str">
        <f>base!V4333</f>
        <v>74940</v>
      </c>
      <c r="C4333" s="37">
        <v>74</v>
      </c>
      <c r="D4333" s="36">
        <f>base!H4333</f>
        <v>93.38</v>
      </c>
      <c r="E4333" s="44"/>
      <c r="F4333" s="16">
        <f>base!W4333</f>
        <v>0</v>
      </c>
      <c r="G4333" s="11">
        <f t="shared" si="670"/>
        <v>0</v>
      </c>
      <c r="H4333" s="11">
        <f t="shared" si="671"/>
        <v>24.2788</v>
      </c>
      <c r="I4333" s="11">
        <f t="shared" si="672"/>
        <v>0.26</v>
      </c>
      <c r="J4333" s="12">
        <f t="shared" si="673"/>
        <v>-24.2788</v>
      </c>
      <c r="K4333" s="17" t="str">
        <f t="shared" si="678"/>
        <v>Ecart négatif</v>
      </c>
      <c r="L4333" s="16">
        <f>base!X4333</f>
        <v>0</v>
      </c>
      <c r="M4333" s="11">
        <f t="shared" si="674"/>
        <v>0</v>
      </c>
      <c r="N4333" s="11">
        <f t="shared" si="675"/>
        <v>0</v>
      </c>
      <c r="O4333" s="11">
        <f t="shared" si="676"/>
        <v>0</v>
      </c>
      <c r="P4333" s="12">
        <f t="shared" si="677"/>
        <v>0</v>
      </c>
      <c r="Q4333" s="17" t="str">
        <f t="shared" si="679"/>
        <v>Pas d'écart</v>
      </c>
    </row>
    <row r="4334" spans="1:18" x14ac:dyDescent="0.3">
      <c r="A4334" s="34" t="str">
        <f>base!J4334</f>
        <v>RM</v>
      </c>
      <c r="B4334" s="34" t="str">
        <f>base!V4334</f>
        <v>27300</v>
      </c>
      <c r="C4334" s="37">
        <v>27</v>
      </c>
      <c r="D4334" s="36">
        <f>base!H4334</f>
        <v>19.399999999999999</v>
      </c>
      <c r="E4334" s="44"/>
      <c r="F4334" s="16">
        <f>base!W4334</f>
        <v>0</v>
      </c>
      <c r="G4334" s="11">
        <f t="shared" si="670"/>
        <v>0</v>
      </c>
      <c r="H4334" s="11">
        <f t="shared" si="671"/>
        <v>3.298</v>
      </c>
      <c r="I4334" s="11">
        <f t="shared" si="672"/>
        <v>0.17</v>
      </c>
      <c r="J4334" s="12">
        <f t="shared" si="673"/>
        <v>-3.298</v>
      </c>
      <c r="K4334" s="17" t="str">
        <f t="shared" si="678"/>
        <v>Ecart négatif</v>
      </c>
      <c r="L4334" s="16">
        <f>base!X4334</f>
        <v>0</v>
      </c>
      <c r="M4334" s="11">
        <f t="shared" si="674"/>
        <v>0</v>
      </c>
      <c r="N4334" s="11">
        <f t="shared" si="675"/>
        <v>3.298</v>
      </c>
      <c r="O4334" s="11">
        <f t="shared" si="676"/>
        <v>0.17</v>
      </c>
      <c r="P4334" s="12">
        <f t="shared" si="677"/>
        <v>-3.298</v>
      </c>
      <c r="Q4334" s="17" t="str">
        <f t="shared" si="679"/>
        <v>Ecart négatif</v>
      </c>
    </row>
    <row r="4335" spans="1:18" x14ac:dyDescent="0.3">
      <c r="A4335" s="34" t="str">
        <f>base!J4335</f>
        <v>DRM</v>
      </c>
      <c r="B4335" s="34" t="str">
        <f>base!V4335</f>
        <v>51000</v>
      </c>
      <c r="C4335" s="37">
        <v>51</v>
      </c>
      <c r="D4335" s="36">
        <f>base!H4335</f>
        <v>18.8</v>
      </c>
      <c r="E4335" s="44"/>
      <c r="F4335" s="16">
        <f>base!W4335</f>
        <v>0</v>
      </c>
      <c r="G4335" s="11">
        <f t="shared" si="670"/>
        <v>0</v>
      </c>
      <c r="H4335" s="11">
        <f t="shared" si="671"/>
        <v>4.7</v>
      </c>
      <c r="I4335" s="11">
        <f t="shared" si="672"/>
        <v>0.25</v>
      </c>
      <c r="J4335" s="12">
        <f t="shared" si="673"/>
        <v>-4.7</v>
      </c>
      <c r="K4335" s="17" t="str">
        <f t="shared" si="678"/>
        <v>Ecart négatif</v>
      </c>
      <c r="L4335" s="16">
        <f>base!X4335</f>
        <v>0</v>
      </c>
      <c r="M4335" s="11">
        <f t="shared" si="674"/>
        <v>0</v>
      </c>
      <c r="N4335" s="11">
        <f t="shared" si="675"/>
        <v>4.7</v>
      </c>
      <c r="O4335" s="11">
        <f t="shared" si="676"/>
        <v>0.25</v>
      </c>
      <c r="P4335" s="12">
        <f t="shared" si="677"/>
        <v>-4.7</v>
      </c>
      <c r="Q4335" s="17" t="str">
        <f t="shared" si="679"/>
        <v>Ecart négatif</v>
      </c>
    </row>
    <row r="4336" spans="1:18" x14ac:dyDescent="0.3">
      <c r="A4336" s="34" t="str">
        <f>base!J4336</f>
        <v>DLS</v>
      </c>
      <c r="B4336" s="34" t="str">
        <f>base!V4336</f>
        <v>74200</v>
      </c>
      <c r="C4336" s="37">
        <v>74</v>
      </c>
      <c r="D4336" s="36">
        <f>base!H4336</f>
        <v>123.1</v>
      </c>
      <c r="E4336" s="44"/>
      <c r="F4336" s="16">
        <f>base!W4336</f>
        <v>0</v>
      </c>
      <c r="G4336" s="11">
        <f t="shared" si="670"/>
        <v>0</v>
      </c>
      <c r="H4336" s="11">
        <f t="shared" si="671"/>
        <v>32.006</v>
      </c>
      <c r="I4336" s="11">
        <f t="shared" si="672"/>
        <v>0.26</v>
      </c>
      <c r="J4336" s="12">
        <f t="shared" si="673"/>
        <v>-32.006</v>
      </c>
      <c r="K4336" s="17" t="str">
        <f t="shared" si="678"/>
        <v>Ecart négatif</v>
      </c>
      <c r="L4336" s="16">
        <f>base!X4336</f>
        <v>0</v>
      </c>
      <c r="M4336" s="11">
        <f t="shared" si="674"/>
        <v>0</v>
      </c>
      <c r="N4336" s="11">
        <f t="shared" si="675"/>
        <v>0</v>
      </c>
      <c r="O4336" s="11">
        <f t="shared" si="676"/>
        <v>0</v>
      </c>
      <c r="P4336" s="12">
        <f t="shared" si="677"/>
        <v>0</v>
      </c>
      <c r="Q4336" s="17" t="str">
        <f t="shared" si="679"/>
        <v>Pas d'écart</v>
      </c>
    </row>
    <row r="4337" spans="1:18" x14ac:dyDescent="0.3">
      <c r="A4337" s="34" t="str">
        <f>base!J4337</f>
        <v>RM</v>
      </c>
      <c r="B4337" s="34" t="str">
        <f>base!V4337</f>
        <v>69200</v>
      </c>
      <c r="C4337" s="37">
        <v>69</v>
      </c>
      <c r="D4337" s="36">
        <f>base!H4337</f>
        <v>275</v>
      </c>
      <c r="E4337" s="44"/>
      <c r="F4337" s="16">
        <f>base!W4337</f>
        <v>0</v>
      </c>
      <c r="G4337" s="11">
        <f t="shared" si="670"/>
        <v>0</v>
      </c>
      <c r="H4337" s="11">
        <f t="shared" si="671"/>
        <v>74.25</v>
      </c>
      <c r="I4337" s="11">
        <f t="shared" si="672"/>
        <v>0.27</v>
      </c>
      <c r="J4337" s="12">
        <f t="shared" si="673"/>
        <v>-74.25</v>
      </c>
      <c r="K4337" s="17" t="str">
        <f t="shared" si="678"/>
        <v>Ecart négatif</v>
      </c>
      <c r="L4337" s="16">
        <f>base!X4337</f>
        <v>0</v>
      </c>
      <c r="M4337" s="11">
        <f t="shared" si="674"/>
        <v>0</v>
      </c>
      <c r="N4337" s="11">
        <f t="shared" si="675"/>
        <v>0</v>
      </c>
      <c r="O4337" s="11">
        <f t="shared" si="676"/>
        <v>0</v>
      </c>
      <c r="P4337" s="12">
        <f t="shared" si="677"/>
        <v>0</v>
      </c>
      <c r="Q4337" s="17" t="str">
        <f t="shared" si="679"/>
        <v>Pas d'écart</v>
      </c>
    </row>
    <row r="4338" spans="1:18" x14ac:dyDescent="0.3">
      <c r="A4338" s="34" t="str">
        <f>base!J4338</f>
        <v>DLM</v>
      </c>
      <c r="B4338" s="34" t="str">
        <f>base!V4338</f>
        <v>59100</v>
      </c>
      <c r="C4338" s="37">
        <v>59</v>
      </c>
      <c r="D4338" s="36">
        <f>base!H4338</f>
        <v>52.5</v>
      </c>
      <c r="E4338" s="44"/>
      <c r="F4338" s="16">
        <f>base!W4338</f>
        <v>0</v>
      </c>
      <c r="G4338" s="11">
        <f t="shared" si="670"/>
        <v>0</v>
      </c>
      <c r="H4338" s="11">
        <f t="shared" si="671"/>
        <v>9.9749999999999996</v>
      </c>
      <c r="I4338" s="11">
        <f t="shared" si="672"/>
        <v>0.19</v>
      </c>
      <c r="J4338" s="12">
        <f t="shared" si="673"/>
        <v>-9.9749999999999996</v>
      </c>
      <c r="K4338" s="17" t="str">
        <f t="shared" si="678"/>
        <v>Ecart négatif</v>
      </c>
      <c r="L4338" s="16">
        <f>base!X4338</f>
        <v>0</v>
      </c>
      <c r="M4338" s="11">
        <f t="shared" si="674"/>
        <v>0</v>
      </c>
      <c r="N4338" s="11">
        <f t="shared" si="675"/>
        <v>0</v>
      </c>
      <c r="O4338" s="11">
        <f t="shared" si="676"/>
        <v>0</v>
      </c>
      <c r="P4338" s="12">
        <f t="shared" si="677"/>
        <v>0</v>
      </c>
      <c r="Q4338" s="17" t="str">
        <f t="shared" si="679"/>
        <v>Pas d'écart</v>
      </c>
    </row>
    <row r="4339" spans="1:18" x14ac:dyDescent="0.3">
      <c r="A4339" s="34" t="str">
        <f>base!J4339</f>
        <v>DLM</v>
      </c>
      <c r="B4339" s="34" t="str">
        <f>base!V4339</f>
        <v>42000</v>
      </c>
      <c r="C4339" s="37">
        <v>42</v>
      </c>
      <c r="D4339" s="36">
        <f>base!H4339</f>
        <v>52.5</v>
      </c>
      <c r="E4339" s="44"/>
      <c r="F4339" s="16">
        <f>base!W4339</f>
        <v>0</v>
      </c>
      <c r="G4339" s="11">
        <f t="shared" si="670"/>
        <v>0</v>
      </c>
      <c r="H4339" s="11">
        <f t="shared" si="671"/>
        <v>13.65</v>
      </c>
      <c r="I4339" s="11">
        <f t="shared" si="672"/>
        <v>0.26</v>
      </c>
      <c r="J4339" s="12">
        <f t="shared" si="673"/>
        <v>-13.65</v>
      </c>
      <c r="K4339" s="17" t="str">
        <f t="shared" si="678"/>
        <v>Ecart négatif</v>
      </c>
      <c r="L4339" s="16">
        <f>base!X4339</f>
        <v>0</v>
      </c>
      <c r="M4339" s="11">
        <f t="shared" si="674"/>
        <v>0</v>
      </c>
      <c r="N4339" s="11">
        <f t="shared" si="675"/>
        <v>0</v>
      </c>
      <c r="O4339" s="11">
        <f t="shared" si="676"/>
        <v>0</v>
      </c>
      <c r="P4339" s="12">
        <f t="shared" si="677"/>
        <v>0</v>
      </c>
      <c r="Q4339" s="17" t="str">
        <f t="shared" si="679"/>
        <v>Pas d'écart</v>
      </c>
    </row>
    <row r="4340" spans="1:18" x14ac:dyDescent="0.3">
      <c r="A4340" s="34" t="str">
        <f>base!J4340</f>
        <v>DLM</v>
      </c>
      <c r="B4340" s="34" t="str">
        <f>base!V4340</f>
        <v>59400</v>
      </c>
      <c r="C4340" s="37">
        <v>59</v>
      </c>
      <c r="D4340" s="36">
        <f>base!H4340</f>
        <v>52.5</v>
      </c>
      <c r="E4340" s="44"/>
      <c r="F4340" s="16">
        <f>base!W4340</f>
        <v>0</v>
      </c>
      <c r="G4340" s="11">
        <f t="shared" si="670"/>
        <v>0</v>
      </c>
      <c r="H4340" s="11">
        <f t="shared" si="671"/>
        <v>9.9749999999999996</v>
      </c>
      <c r="I4340" s="11">
        <f t="shared" si="672"/>
        <v>0.19</v>
      </c>
      <c r="J4340" s="12">
        <f t="shared" si="673"/>
        <v>-9.9749999999999996</v>
      </c>
      <c r="K4340" s="17" t="str">
        <f t="shared" si="678"/>
        <v>Ecart négatif</v>
      </c>
      <c r="L4340" s="16">
        <f>base!X4340</f>
        <v>0</v>
      </c>
      <c r="M4340" s="11">
        <f t="shared" si="674"/>
        <v>0</v>
      </c>
      <c r="N4340" s="11">
        <f t="shared" si="675"/>
        <v>0</v>
      </c>
      <c r="O4340" s="11">
        <f t="shared" si="676"/>
        <v>0</v>
      </c>
      <c r="P4340" s="12">
        <f t="shared" si="677"/>
        <v>0</v>
      </c>
      <c r="Q4340" s="17" t="str">
        <f t="shared" si="679"/>
        <v>Pas d'écart</v>
      </c>
    </row>
    <row r="4341" spans="1:18" x14ac:dyDescent="0.3">
      <c r="A4341" s="34" t="str">
        <f>base!J4341</f>
        <v>RS</v>
      </c>
      <c r="B4341" s="34" t="str">
        <f>base!V4341</f>
        <v>24000</v>
      </c>
      <c r="C4341" s="37">
        <v>24</v>
      </c>
      <c r="D4341" s="36">
        <f>base!H4341</f>
        <v>499.25</v>
      </c>
      <c r="E4341" s="44"/>
      <c r="F4341" s="16">
        <f>base!W4341</f>
        <v>0</v>
      </c>
      <c r="G4341" s="11">
        <f t="shared" si="670"/>
        <v>0</v>
      </c>
      <c r="H4341" s="11">
        <f t="shared" si="671"/>
        <v>104.8425</v>
      </c>
      <c r="I4341" s="11">
        <f t="shared" si="672"/>
        <v>0.21</v>
      </c>
      <c r="J4341" s="12">
        <f t="shared" si="673"/>
        <v>-104.8425</v>
      </c>
      <c r="K4341" s="17" t="str">
        <f t="shared" si="678"/>
        <v>Ecart négatif</v>
      </c>
      <c r="L4341" s="16">
        <f>base!X4341</f>
        <v>84.87</v>
      </c>
      <c r="M4341" s="11">
        <f t="shared" si="674"/>
        <v>0.16999499248873312</v>
      </c>
      <c r="N4341" s="11">
        <f t="shared" si="675"/>
        <v>84.872500000000002</v>
      </c>
      <c r="O4341" s="11">
        <f t="shared" si="676"/>
        <v>0.17</v>
      </c>
      <c r="P4341" s="12">
        <f t="shared" si="677"/>
        <v>-2.4999999999977263E-3</v>
      </c>
      <c r="Q4341" s="17" t="str">
        <f t="shared" si="679"/>
        <v>Ecart négatif</v>
      </c>
      <c r="R4341" s="38"/>
    </row>
    <row r="4342" spans="1:18" x14ac:dyDescent="0.3">
      <c r="A4342" s="34" t="str">
        <f>base!J4342</f>
        <v>RS</v>
      </c>
      <c r="B4342" s="34" t="str">
        <f>base!V4342</f>
        <v>76000</v>
      </c>
      <c r="C4342" s="37">
        <v>76</v>
      </c>
      <c r="D4342" s="36">
        <f>base!H4342</f>
        <v>180</v>
      </c>
      <c r="E4342" s="44"/>
      <c r="F4342" s="16">
        <f>base!W4342</f>
        <v>0</v>
      </c>
      <c r="G4342" s="11">
        <f t="shared" si="670"/>
        <v>0</v>
      </c>
      <c r="H4342" s="11">
        <f t="shared" si="671"/>
        <v>30.6</v>
      </c>
      <c r="I4342" s="11">
        <f t="shared" si="672"/>
        <v>0.17</v>
      </c>
      <c r="J4342" s="12">
        <f t="shared" si="673"/>
        <v>-30.6</v>
      </c>
      <c r="K4342" s="17" t="str">
        <f t="shared" si="678"/>
        <v>Ecart négatif</v>
      </c>
      <c r="L4342" s="16">
        <f>base!X4342</f>
        <v>0</v>
      </c>
      <c r="M4342" s="11">
        <f t="shared" si="674"/>
        <v>0</v>
      </c>
      <c r="N4342" s="11">
        <f t="shared" si="675"/>
        <v>30.6</v>
      </c>
      <c r="O4342" s="11">
        <f t="shared" si="676"/>
        <v>0.17</v>
      </c>
      <c r="P4342" s="12">
        <f t="shared" si="677"/>
        <v>-30.6</v>
      </c>
      <c r="Q4342" s="17" t="str">
        <f t="shared" si="679"/>
        <v>Ecart négatif</v>
      </c>
    </row>
    <row r="4343" spans="1:18" x14ac:dyDescent="0.3">
      <c r="A4343" s="34" t="str">
        <f>base!J4343</f>
        <v>RS</v>
      </c>
      <c r="B4343" s="34" t="str">
        <f>base!V4343</f>
        <v>81500</v>
      </c>
      <c r="C4343" s="37">
        <v>81</v>
      </c>
      <c r="D4343" s="36">
        <f>base!H4343</f>
        <v>999</v>
      </c>
      <c r="E4343" s="44"/>
      <c r="F4343" s="16">
        <f>base!W4343</f>
        <v>0</v>
      </c>
      <c r="G4343" s="11">
        <f t="shared" si="670"/>
        <v>0</v>
      </c>
      <c r="H4343" s="11">
        <f t="shared" si="671"/>
        <v>219.78</v>
      </c>
      <c r="I4343" s="11">
        <f t="shared" si="672"/>
        <v>0.22</v>
      </c>
      <c r="J4343" s="12">
        <f t="shared" si="673"/>
        <v>-219.78</v>
      </c>
      <c r="K4343" s="17" t="str">
        <f t="shared" si="678"/>
        <v>Ecart négatif</v>
      </c>
      <c r="L4343" s="16">
        <f>base!X4343</f>
        <v>0</v>
      </c>
      <c r="M4343" s="11">
        <f t="shared" si="674"/>
        <v>0</v>
      </c>
      <c r="N4343" s="11">
        <f t="shared" si="675"/>
        <v>259.74</v>
      </c>
      <c r="O4343" s="11">
        <f t="shared" si="676"/>
        <v>0.26</v>
      </c>
      <c r="P4343" s="12">
        <f t="shared" si="677"/>
        <v>-259.74</v>
      </c>
      <c r="Q4343" s="17" t="str">
        <f t="shared" si="679"/>
        <v>Ecart négatif</v>
      </c>
    </row>
    <row r="4344" spans="1:18" x14ac:dyDescent="0.3">
      <c r="A4344" s="34" t="str">
        <f>base!J4344</f>
        <v>DRS</v>
      </c>
      <c r="B4344" s="34" t="str">
        <f>base!V4344</f>
        <v>54190</v>
      </c>
      <c r="C4344" s="37">
        <v>54</v>
      </c>
      <c r="D4344" s="36">
        <f>base!H4344</f>
        <v>75.959999999999994</v>
      </c>
      <c r="E4344" s="44"/>
      <c r="F4344" s="16">
        <f>base!W4344</f>
        <v>0</v>
      </c>
      <c r="G4344" s="11">
        <f t="shared" si="670"/>
        <v>0</v>
      </c>
      <c r="H4344" s="11">
        <f t="shared" si="671"/>
        <v>18.989999999999998</v>
      </c>
      <c r="I4344" s="11">
        <f t="shared" si="672"/>
        <v>0.25</v>
      </c>
      <c r="J4344" s="12">
        <f t="shared" si="673"/>
        <v>-18.989999999999998</v>
      </c>
      <c r="K4344" s="17" t="str">
        <f t="shared" si="678"/>
        <v>Ecart négatif</v>
      </c>
      <c r="L4344" s="16">
        <f>base!X4344</f>
        <v>0</v>
      </c>
      <c r="M4344" s="11">
        <f t="shared" si="674"/>
        <v>0</v>
      </c>
      <c r="N4344" s="11">
        <f t="shared" si="675"/>
        <v>18.989999999999998</v>
      </c>
      <c r="O4344" s="11">
        <f t="shared" si="676"/>
        <v>0.25</v>
      </c>
      <c r="P4344" s="12">
        <f t="shared" si="677"/>
        <v>-18.989999999999998</v>
      </c>
      <c r="Q4344" s="17" t="str">
        <f t="shared" si="679"/>
        <v>Ecart négatif</v>
      </c>
    </row>
    <row r="4345" spans="1:18" x14ac:dyDescent="0.3">
      <c r="A4345" s="34" t="str">
        <f>base!J4345</f>
        <v>RM</v>
      </c>
      <c r="B4345" s="34" t="str">
        <f>base!V4345</f>
        <v>93000</v>
      </c>
      <c r="C4345" s="37">
        <v>93</v>
      </c>
      <c r="D4345" s="36">
        <f>base!H4345</f>
        <v>1379.65</v>
      </c>
      <c r="E4345" s="44"/>
      <c r="F4345" s="16">
        <f>base!W4345</f>
        <v>0</v>
      </c>
      <c r="G4345" s="11">
        <f t="shared" si="670"/>
        <v>0</v>
      </c>
      <c r="H4345" s="11">
        <f t="shared" si="671"/>
        <v>0</v>
      </c>
      <c r="I4345" s="11">
        <f t="shared" si="672"/>
        <v>0</v>
      </c>
      <c r="J4345" s="12">
        <f t="shared" si="673"/>
        <v>0</v>
      </c>
      <c r="K4345" s="17" t="str">
        <f t="shared" si="678"/>
        <v>Pas d'écart</v>
      </c>
      <c r="L4345" s="16">
        <f>base!X4345</f>
        <v>0</v>
      </c>
      <c r="M4345" s="11">
        <f t="shared" si="674"/>
        <v>0</v>
      </c>
      <c r="N4345" s="11">
        <f t="shared" si="675"/>
        <v>0</v>
      </c>
      <c r="O4345" s="11">
        <f t="shared" si="676"/>
        <v>0</v>
      </c>
      <c r="P4345" s="12">
        <f t="shared" si="677"/>
        <v>0</v>
      </c>
      <c r="Q4345" s="17" t="str">
        <f t="shared" si="679"/>
        <v>Pas d'écart</v>
      </c>
    </row>
    <row r="4346" spans="1:18" x14ac:dyDescent="0.3">
      <c r="A4346" s="34" t="str">
        <f>base!J4346</f>
        <v>RM</v>
      </c>
      <c r="B4346" s="34" t="str">
        <f>base!V4346</f>
        <v>61100</v>
      </c>
      <c r="C4346" s="37">
        <v>61</v>
      </c>
      <c r="D4346" s="36">
        <f>base!H4346</f>
        <v>40</v>
      </c>
      <c r="E4346" s="44"/>
      <c r="F4346" s="16">
        <f>base!W4346</f>
        <v>0</v>
      </c>
      <c r="G4346" s="11">
        <f t="shared" si="670"/>
        <v>0</v>
      </c>
      <c r="H4346" s="11">
        <f t="shared" si="671"/>
        <v>6.8000000000000007</v>
      </c>
      <c r="I4346" s="11">
        <f t="shared" si="672"/>
        <v>0.17</v>
      </c>
      <c r="J4346" s="12">
        <f t="shared" si="673"/>
        <v>-6.8000000000000007</v>
      </c>
      <c r="K4346" s="17" t="str">
        <f t="shared" si="678"/>
        <v>Ecart négatif</v>
      </c>
      <c r="L4346" s="16">
        <f>base!X4346</f>
        <v>0</v>
      </c>
      <c r="M4346" s="11">
        <f t="shared" si="674"/>
        <v>0</v>
      </c>
      <c r="N4346" s="11">
        <f t="shared" si="675"/>
        <v>6.8000000000000007</v>
      </c>
      <c r="O4346" s="11">
        <f t="shared" si="676"/>
        <v>0.17</v>
      </c>
      <c r="P4346" s="12">
        <f t="shared" si="677"/>
        <v>-6.8000000000000007</v>
      </c>
      <c r="Q4346" s="17" t="str">
        <f t="shared" si="679"/>
        <v>Ecart négatif</v>
      </c>
    </row>
    <row r="4347" spans="1:18" x14ac:dyDescent="0.3">
      <c r="A4347" s="34" t="str">
        <f>base!J4347</f>
        <v>RM</v>
      </c>
      <c r="B4347" s="34" t="str">
        <f>base!V4347</f>
        <v>26000</v>
      </c>
      <c r="C4347" s="37">
        <v>26</v>
      </c>
      <c r="D4347" s="36">
        <f>base!H4347</f>
        <v>58.2</v>
      </c>
      <c r="E4347" s="44"/>
      <c r="F4347" s="16">
        <f>base!W4347</f>
        <v>0</v>
      </c>
      <c r="G4347" s="11">
        <f t="shared" si="670"/>
        <v>0</v>
      </c>
      <c r="H4347" s="11">
        <f t="shared" si="671"/>
        <v>15.714000000000002</v>
      </c>
      <c r="I4347" s="11">
        <f t="shared" si="672"/>
        <v>0.27</v>
      </c>
      <c r="J4347" s="12">
        <f t="shared" si="673"/>
        <v>-15.714000000000002</v>
      </c>
      <c r="K4347" s="17" t="str">
        <f t="shared" si="678"/>
        <v>Ecart négatif</v>
      </c>
      <c r="L4347" s="16">
        <f>base!X4347</f>
        <v>0</v>
      </c>
      <c r="M4347" s="11">
        <f t="shared" si="674"/>
        <v>0</v>
      </c>
      <c r="N4347" s="11">
        <f t="shared" si="675"/>
        <v>0</v>
      </c>
      <c r="O4347" s="11">
        <f t="shared" si="676"/>
        <v>0</v>
      </c>
      <c r="P4347" s="12">
        <f t="shared" si="677"/>
        <v>0</v>
      </c>
      <c r="Q4347" s="17" t="str">
        <f t="shared" si="679"/>
        <v>Pas d'écart</v>
      </c>
    </row>
    <row r="4348" spans="1:18" x14ac:dyDescent="0.3">
      <c r="A4348" s="34" t="str">
        <f>base!J4348</f>
        <v>RS</v>
      </c>
      <c r="B4348" s="34" t="str">
        <f>base!V4348</f>
        <v>44300</v>
      </c>
      <c r="C4348" s="37">
        <v>44</v>
      </c>
      <c r="D4348" s="36">
        <f>base!H4348</f>
        <v>180</v>
      </c>
      <c r="E4348" s="44"/>
      <c r="F4348" s="16">
        <f>base!W4348</f>
        <v>0</v>
      </c>
      <c r="G4348" s="11">
        <f t="shared" si="670"/>
        <v>0</v>
      </c>
      <c r="H4348" s="11">
        <f t="shared" si="671"/>
        <v>48.6</v>
      </c>
      <c r="I4348" s="11">
        <f t="shared" si="672"/>
        <v>0.27</v>
      </c>
      <c r="J4348" s="12">
        <f t="shared" si="673"/>
        <v>-48.6</v>
      </c>
      <c r="K4348" s="17" t="str">
        <f t="shared" si="678"/>
        <v>Ecart négatif</v>
      </c>
      <c r="L4348" s="16">
        <f>base!X4348</f>
        <v>0</v>
      </c>
      <c r="M4348" s="11">
        <f t="shared" si="674"/>
        <v>0</v>
      </c>
      <c r="N4348" s="11">
        <f t="shared" si="675"/>
        <v>0</v>
      </c>
      <c r="O4348" s="11">
        <f t="shared" si="676"/>
        <v>0</v>
      </c>
      <c r="P4348" s="12">
        <f t="shared" si="677"/>
        <v>0</v>
      </c>
      <c r="Q4348" s="17" t="str">
        <f t="shared" si="679"/>
        <v>Pas d'écart</v>
      </c>
    </row>
    <row r="4349" spans="1:18" x14ac:dyDescent="0.3">
      <c r="A4349" s="34" t="str">
        <f>base!J4349</f>
        <v>RM</v>
      </c>
      <c r="B4349" s="34" t="str">
        <f>base!V4349</f>
        <v>67000</v>
      </c>
      <c r="C4349" s="37">
        <v>67</v>
      </c>
      <c r="D4349" s="36">
        <f>base!H4349</f>
        <v>131.19999999999999</v>
      </c>
      <c r="E4349" s="44"/>
      <c r="F4349" s="16">
        <f>base!W4349</f>
        <v>0</v>
      </c>
      <c r="G4349" s="11">
        <f t="shared" si="670"/>
        <v>0</v>
      </c>
      <c r="H4349" s="11">
        <f t="shared" si="671"/>
        <v>38.047999999999995</v>
      </c>
      <c r="I4349" s="11">
        <f t="shared" si="672"/>
        <v>0.28999999999999998</v>
      </c>
      <c r="J4349" s="12">
        <f t="shared" si="673"/>
        <v>-38.047999999999995</v>
      </c>
      <c r="K4349" s="17" t="str">
        <f t="shared" si="678"/>
        <v>Ecart négatif</v>
      </c>
      <c r="L4349" s="16">
        <f>base!X4349</f>
        <v>10.5</v>
      </c>
      <c r="M4349" s="11">
        <f t="shared" si="674"/>
        <v>8.003048780487805E-2</v>
      </c>
      <c r="N4349" s="11">
        <f t="shared" si="675"/>
        <v>10.495999999999999</v>
      </c>
      <c r="O4349" s="11">
        <f t="shared" si="676"/>
        <v>0.08</v>
      </c>
      <c r="P4349" s="12">
        <f t="shared" si="677"/>
        <v>4.0000000000013358E-3</v>
      </c>
      <c r="Q4349" s="17" t="str">
        <f t="shared" si="679"/>
        <v>Ecart positif</v>
      </c>
      <c r="R4349" s="38"/>
    </row>
    <row r="4350" spans="1:18" x14ac:dyDescent="0.3">
      <c r="A4350" s="34" t="str">
        <f>base!J4350</f>
        <v>RS</v>
      </c>
      <c r="B4350" s="34" t="str">
        <f>base!V4350</f>
        <v>62320</v>
      </c>
      <c r="C4350" s="37">
        <v>62</v>
      </c>
      <c r="D4350" s="36">
        <f>base!H4350</f>
        <v>180</v>
      </c>
      <c r="E4350" s="44"/>
      <c r="F4350" s="16">
        <f>base!W4350</f>
        <v>0</v>
      </c>
      <c r="G4350" s="11">
        <f t="shared" si="670"/>
        <v>0</v>
      </c>
      <c r="H4350" s="11">
        <f t="shared" si="671"/>
        <v>34.200000000000003</v>
      </c>
      <c r="I4350" s="11">
        <f t="shared" si="672"/>
        <v>0.19</v>
      </c>
      <c r="J4350" s="12">
        <f t="shared" si="673"/>
        <v>-34.200000000000003</v>
      </c>
      <c r="K4350" s="17" t="str">
        <f t="shared" si="678"/>
        <v>Ecart négatif</v>
      </c>
      <c r="L4350" s="16">
        <f>base!X4350</f>
        <v>0</v>
      </c>
      <c r="M4350" s="11">
        <f t="shared" si="674"/>
        <v>0</v>
      </c>
      <c r="N4350" s="11">
        <f t="shared" si="675"/>
        <v>0</v>
      </c>
      <c r="O4350" s="11">
        <f t="shared" si="676"/>
        <v>0</v>
      </c>
      <c r="P4350" s="12">
        <f t="shared" si="677"/>
        <v>0</v>
      </c>
      <c r="Q4350" s="17" t="str">
        <f t="shared" si="679"/>
        <v>Pas d'écart</v>
      </c>
    </row>
    <row r="4351" spans="1:18" x14ac:dyDescent="0.3">
      <c r="A4351" s="34" t="str">
        <f>base!J4351</f>
        <v>RM</v>
      </c>
      <c r="B4351" s="34" t="str">
        <f>base!V4351</f>
        <v>06560</v>
      </c>
      <c r="C4351" s="37">
        <v>6</v>
      </c>
      <c r="D4351" s="36">
        <f>base!H4351</f>
        <v>151</v>
      </c>
      <c r="E4351" s="44"/>
      <c r="F4351" s="16">
        <f>base!W4351</f>
        <v>0</v>
      </c>
      <c r="G4351" s="11">
        <f t="shared" si="670"/>
        <v>0</v>
      </c>
      <c r="H4351" s="11">
        <f t="shared" si="671"/>
        <v>45.3</v>
      </c>
      <c r="I4351" s="11">
        <f t="shared" si="672"/>
        <v>0.3</v>
      </c>
      <c r="J4351" s="12">
        <f t="shared" si="673"/>
        <v>-45.3</v>
      </c>
      <c r="K4351" s="17" t="str">
        <f t="shared" si="678"/>
        <v>Ecart négatif</v>
      </c>
      <c r="L4351" s="16">
        <f>base!X4351</f>
        <v>0</v>
      </c>
      <c r="M4351" s="11">
        <f t="shared" si="674"/>
        <v>0</v>
      </c>
      <c r="N4351" s="11">
        <f t="shared" si="675"/>
        <v>31.709999999999997</v>
      </c>
      <c r="O4351" s="11">
        <f t="shared" si="676"/>
        <v>0.21</v>
      </c>
      <c r="P4351" s="12">
        <f t="shared" si="677"/>
        <v>-31.709999999999997</v>
      </c>
      <c r="Q4351" s="17" t="str">
        <f t="shared" si="679"/>
        <v>Ecart négatif</v>
      </c>
    </row>
    <row r="4352" spans="1:18" x14ac:dyDescent="0.3">
      <c r="A4352" s="34" t="str">
        <f>base!J4352</f>
        <v>LM</v>
      </c>
      <c r="B4352" s="34" t="str">
        <f>base!V4352</f>
        <v>71380</v>
      </c>
      <c r="C4352" s="37">
        <v>6</v>
      </c>
      <c r="D4352" s="36">
        <f>base!H4352</f>
        <v>75.16</v>
      </c>
      <c r="E4352" s="44"/>
      <c r="F4352" s="16">
        <f>base!W4352</f>
        <v>20.29</v>
      </c>
      <c r="G4352" s="11">
        <f t="shared" si="670"/>
        <v>0.2699574241617882</v>
      </c>
      <c r="H4352" s="11">
        <f t="shared" si="671"/>
        <v>22.547999999999998</v>
      </c>
      <c r="I4352" s="11">
        <f t="shared" si="672"/>
        <v>0.3</v>
      </c>
      <c r="J4352" s="12">
        <f t="shared" si="673"/>
        <v>-2.2579999999999991</v>
      </c>
      <c r="K4352" s="17" t="str">
        <f t="shared" si="678"/>
        <v>Ecart négatif</v>
      </c>
      <c r="L4352" s="16">
        <f>base!X4352</f>
        <v>0</v>
      </c>
      <c r="M4352" s="11">
        <f t="shared" si="674"/>
        <v>0</v>
      </c>
      <c r="N4352" s="11">
        <f t="shared" si="675"/>
        <v>15.783599999999998</v>
      </c>
      <c r="O4352" s="11">
        <f t="shared" si="676"/>
        <v>0.21</v>
      </c>
      <c r="P4352" s="12">
        <f t="shared" si="677"/>
        <v>-15.783599999999998</v>
      </c>
      <c r="Q4352" s="17" t="str">
        <f t="shared" si="679"/>
        <v>Ecart négatif</v>
      </c>
    </row>
    <row r="4353" spans="1:18" x14ac:dyDescent="0.3">
      <c r="A4353" s="34" t="str">
        <f>base!J4353</f>
        <v>RS</v>
      </c>
      <c r="B4353" s="34" t="str">
        <f>base!V4353</f>
        <v>76100</v>
      </c>
      <c r="C4353" s="37">
        <v>76</v>
      </c>
      <c r="D4353" s="36">
        <f>base!H4353</f>
        <v>42.06</v>
      </c>
      <c r="E4353" s="44"/>
      <c r="F4353" s="16">
        <f>base!W4353</f>
        <v>0</v>
      </c>
      <c r="G4353" s="11">
        <f t="shared" si="670"/>
        <v>0</v>
      </c>
      <c r="H4353" s="11">
        <f t="shared" si="671"/>
        <v>7.1502000000000008</v>
      </c>
      <c r="I4353" s="11">
        <f t="shared" si="672"/>
        <v>0.17</v>
      </c>
      <c r="J4353" s="12">
        <f t="shared" si="673"/>
        <v>-7.1502000000000008</v>
      </c>
      <c r="K4353" s="17" t="str">
        <f t="shared" si="678"/>
        <v>Ecart négatif</v>
      </c>
      <c r="L4353" s="16">
        <f>base!X4353</f>
        <v>0</v>
      </c>
      <c r="M4353" s="11">
        <f t="shared" si="674"/>
        <v>0</v>
      </c>
      <c r="N4353" s="11">
        <f t="shared" si="675"/>
        <v>7.1502000000000008</v>
      </c>
      <c r="O4353" s="11">
        <f t="shared" si="676"/>
        <v>0.17</v>
      </c>
      <c r="P4353" s="12">
        <f t="shared" si="677"/>
        <v>-7.1502000000000008</v>
      </c>
      <c r="Q4353" s="17" t="str">
        <f t="shared" si="679"/>
        <v>Ecart négatif</v>
      </c>
    </row>
    <row r="4354" spans="1:18" x14ac:dyDescent="0.3">
      <c r="A4354" s="34" t="str">
        <f>base!J4354</f>
        <v>DLS</v>
      </c>
      <c r="B4354" s="34" t="str">
        <f>base!V4354</f>
        <v>38690</v>
      </c>
      <c r="C4354" s="37">
        <v>38</v>
      </c>
      <c r="D4354" s="36">
        <f>base!H4354</f>
        <v>23.4</v>
      </c>
      <c r="E4354" s="44"/>
      <c r="F4354" s="16">
        <f>base!W4354</f>
        <v>0</v>
      </c>
      <c r="G4354" s="11">
        <f t="shared" ref="G4354:G4417" si="680">F4354/D4354</f>
        <v>0</v>
      </c>
      <c r="H4354" s="11">
        <f t="shared" ref="H4354:H4417" si="681">VLOOKUP(C4354,tout_cout_traction,2,FALSE)*D4354</f>
        <v>6.3179999999999996</v>
      </c>
      <c r="I4354" s="11">
        <f t="shared" ref="I4354:I4417" si="682">H4354/D4354</f>
        <v>0.27</v>
      </c>
      <c r="J4354" s="12">
        <f t="shared" ref="J4354:J4417" si="683">F4354-H4354</f>
        <v>-6.3179999999999996</v>
      </c>
      <c r="K4354" s="17" t="str">
        <f t="shared" si="678"/>
        <v>Ecart négatif</v>
      </c>
      <c r="L4354" s="16">
        <f>base!X4354</f>
        <v>0</v>
      </c>
      <c r="M4354" s="11">
        <f t="shared" ref="M4354:M4417" si="684">L4354/D4354</f>
        <v>0</v>
      </c>
      <c r="N4354" s="11">
        <f t="shared" ref="N4354:N4417" si="685">VLOOKUP(C4354,tout_cout_traction,3,FALSE)*D4354</f>
        <v>0</v>
      </c>
      <c r="O4354" s="11">
        <f t="shared" ref="O4354:O4417" si="686">N4354/D4354</f>
        <v>0</v>
      </c>
      <c r="P4354" s="12">
        <f t="shared" ref="P4354:P4417" si="687">L4354-N4354</f>
        <v>0</v>
      </c>
      <c r="Q4354" s="17" t="str">
        <f t="shared" si="679"/>
        <v>Pas d'écart</v>
      </c>
    </row>
    <row r="4355" spans="1:18" x14ac:dyDescent="0.3">
      <c r="A4355" s="34" t="str">
        <f>base!J4355</f>
        <v>LS</v>
      </c>
      <c r="B4355" s="34" t="str">
        <f>base!V4355</f>
        <v>14000</v>
      </c>
      <c r="C4355" s="37">
        <v>44</v>
      </c>
      <c r="D4355" s="36">
        <f>base!H4355</f>
        <v>193.58</v>
      </c>
      <c r="E4355" s="44"/>
      <c r="F4355" s="16">
        <f>base!W4355</f>
        <v>32.909999999999997</v>
      </c>
      <c r="G4355" s="11">
        <f t="shared" si="680"/>
        <v>0.1700072321520818</v>
      </c>
      <c r="H4355" s="11">
        <f t="shared" si="681"/>
        <v>52.266600000000004</v>
      </c>
      <c r="I4355" s="11">
        <f t="shared" si="682"/>
        <v>0.27</v>
      </c>
      <c r="J4355" s="12">
        <f t="shared" si="683"/>
        <v>-19.356600000000007</v>
      </c>
      <c r="K4355" s="17" t="str">
        <f t="shared" ref="K4355:K4418" si="688">IF(H4355=F4355,"Pas d'écart",IF(H4355&lt;F4355,"Ecart positif",IF(H4355&gt;F4355,"Ecart négatif")))</f>
        <v>Ecart négatif</v>
      </c>
      <c r="L4355" s="16">
        <f>base!X4355</f>
        <v>0</v>
      </c>
      <c r="M4355" s="11">
        <f t="shared" si="684"/>
        <v>0</v>
      </c>
      <c r="N4355" s="11">
        <f t="shared" si="685"/>
        <v>0</v>
      </c>
      <c r="O4355" s="11">
        <f t="shared" si="686"/>
        <v>0</v>
      </c>
      <c r="P4355" s="12">
        <f t="shared" si="687"/>
        <v>0</v>
      </c>
      <c r="Q4355" s="17" t="str">
        <f t="shared" ref="Q4355:Q4418" si="689">IF(N4355=L4355,"Pas d'écart",IF(N4355&lt;L4355,"Ecart positif",IF(N4355&gt;L4355,"Ecart négatif")))</f>
        <v>Pas d'écart</v>
      </c>
    </row>
    <row r="4356" spans="1:18" x14ac:dyDescent="0.3">
      <c r="A4356" s="34" t="str">
        <f>base!J4356</f>
        <v>RS</v>
      </c>
      <c r="B4356" s="34" t="str">
        <f>base!V4356</f>
        <v>75004</v>
      </c>
      <c r="C4356" s="37">
        <v>75</v>
      </c>
      <c r="D4356" s="36">
        <f>base!H4356</f>
        <v>32.6</v>
      </c>
      <c r="E4356" s="44"/>
      <c r="F4356" s="16">
        <f>base!W4356</f>
        <v>0</v>
      </c>
      <c r="G4356" s="11">
        <f t="shared" si="680"/>
        <v>0</v>
      </c>
      <c r="H4356" s="11">
        <f t="shared" si="681"/>
        <v>0</v>
      </c>
      <c r="I4356" s="11">
        <f t="shared" si="682"/>
        <v>0</v>
      </c>
      <c r="J4356" s="12">
        <f t="shared" si="683"/>
        <v>0</v>
      </c>
      <c r="K4356" s="17" t="str">
        <f t="shared" si="688"/>
        <v>Pas d'écart</v>
      </c>
      <c r="L4356" s="16">
        <f>base!X4356</f>
        <v>0</v>
      </c>
      <c r="M4356" s="11">
        <f t="shared" si="684"/>
        <v>0</v>
      </c>
      <c r="N4356" s="11">
        <f t="shared" si="685"/>
        <v>0</v>
      </c>
      <c r="O4356" s="11">
        <f t="shared" si="686"/>
        <v>0</v>
      </c>
      <c r="P4356" s="12">
        <f t="shared" si="687"/>
        <v>0</v>
      </c>
      <c r="Q4356" s="17" t="str">
        <f t="shared" si="689"/>
        <v>Pas d'écart</v>
      </c>
    </row>
    <row r="4357" spans="1:18" x14ac:dyDescent="0.3">
      <c r="A4357" s="34" t="str">
        <f>base!J4357</f>
        <v>RS</v>
      </c>
      <c r="B4357" s="34" t="str">
        <f>base!V4357</f>
        <v>13009</v>
      </c>
      <c r="C4357" s="37">
        <v>13</v>
      </c>
      <c r="D4357" s="36">
        <f>base!H4357</f>
        <v>142.84</v>
      </c>
      <c r="E4357" s="44"/>
      <c r="F4357" s="16">
        <f>base!W4357</f>
        <v>0</v>
      </c>
      <c r="G4357" s="11">
        <f t="shared" si="680"/>
        <v>0</v>
      </c>
      <c r="H4357" s="11">
        <f t="shared" si="681"/>
        <v>41.4236</v>
      </c>
      <c r="I4357" s="11">
        <f t="shared" si="682"/>
        <v>0.28999999999999998</v>
      </c>
      <c r="J4357" s="12">
        <f t="shared" si="683"/>
        <v>-41.4236</v>
      </c>
      <c r="K4357" s="17" t="str">
        <f t="shared" si="688"/>
        <v>Ecart négatif</v>
      </c>
      <c r="L4357" s="16">
        <f>base!X4357</f>
        <v>27.14</v>
      </c>
      <c r="M4357" s="11">
        <f t="shared" si="684"/>
        <v>0.19000280033604033</v>
      </c>
      <c r="N4357" s="11">
        <f t="shared" si="685"/>
        <v>27.139600000000002</v>
      </c>
      <c r="O4357" s="11">
        <f t="shared" si="686"/>
        <v>0.19</v>
      </c>
      <c r="P4357" s="12">
        <f t="shared" si="687"/>
        <v>3.9999999999906777E-4</v>
      </c>
      <c r="Q4357" s="17" t="str">
        <f t="shared" si="689"/>
        <v>Ecart positif</v>
      </c>
      <c r="R4357" s="38"/>
    </row>
    <row r="4358" spans="1:18" x14ac:dyDescent="0.3">
      <c r="A4358" s="34" t="str">
        <f>base!J4358</f>
        <v>DLS</v>
      </c>
      <c r="B4358" s="34" t="str">
        <f>base!V4358</f>
        <v>31700</v>
      </c>
      <c r="C4358" s="37">
        <v>31</v>
      </c>
      <c r="D4358" s="36">
        <f>base!H4358</f>
        <v>53.54</v>
      </c>
      <c r="E4358" s="44"/>
      <c r="F4358" s="16">
        <f>base!W4358</f>
        <v>11.78</v>
      </c>
      <c r="G4358" s="11">
        <f t="shared" si="680"/>
        <v>0.22002241314904744</v>
      </c>
      <c r="H4358" s="11">
        <f t="shared" si="681"/>
        <v>10.172599999999999</v>
      </c>
      <c r="I4358" s="11">
        <f t="shared" si="682"/>
        <v>0.18999999999999997</v>
      </c>
      <c r="J4358" s="12">
        <f t="shared" si="683"/>
        <v>1.6074000000000002</v>
      </c>
      <c r="K4358" s="17" t="str">
        <f t="shared" si="688"/>
        <v>Ecart positif</v>
      </c>
      <c r="L4358" s="16">
        <f>base!X4358</f>
        <v>0</v>
      </c>
      <c r="M4358" s="11">
        <f t="shared" si="684"/>
        <v>0</v>
      </c>
      <c r="N4358" s="11">
        <f t="shared" si="685"/>
        <v>13.920400000000001</v>
      </c>
      <c r="O4358" s="11">
        <f t="shared" si="686"/>
        <v>0.26</v>
      </c>
      <c r="P4358" s="12">
        <f t="shared" si="687"/>
        <v>-13.920400000000001</v>
      </c>
      <c r="Q4358" s="17" t="str">
        <f t="shared" si="689"/>
        <v>Ecart négatif</v>
      </c>
    </row>
    <row r="4359" spans="1:18" x14ac:dyDescent="0.3">
      <c r="A4359" s="34">
        <f>base!J4359</f>
        <v>0</v>
      </c>
      <c r="B4359" s="34" t="str">
        <f>base!V4359</f>
        <v>77184</v>
      </c>
      <c r="C4359" s="37">
        <v>77</v>
      </c>
      <c r="D4359" s="36">
        <f>base!H4359</f>
        <v>84.5</v>
      </c>
      <c r="E4359" s="44"/>
      <c r="F4359" s="16">
        <f>base!W4359</f>
        <v>0</v>
      </c>
      <c r="G4359" s="11">
        <f t="shared" si="680"/>
        <v>0</v>
      </c>
      <c r="H4359" s="11">
        <f t="shared" si="681"/>
        <v>0</v>
      </c>
      <c r="I4359" s="11">
        <f t="shared" si="682"/>
        <v>0</v>
      </c>
      <c r="J4359" s="12">
        <f t="shared" si="683"/>
        <v>0</v>
      </c>
      <c r="K4359" s="17" t="str">
        <f t="shared" si="688"/>
        <v>Pas d'écart</v>
      </c>
      <c r="L4359" s="16">
        <f>base!X4359</f>
        <v>0</v>
      </c>
      <c r="M4359" s="11">
        <f t="shared" si="684"/>
        <v>0</v>
      </c>
      <c r="N4359" s="11">
        <f t="shared" si="685"/>
        <v>0</v>
      </c>
      <c r="O4359" s="11">
        <f t="shared" si="686"/>
        <v>0</v>
      </c>
      <c r="P4359" s="12">
        <f t="shared" si="687"/>
        <v>0</v>
      </c>
      <c r="Q4359" s="17" t="str">
        <f t="shared" si="689"/>
        <v>Pas d'écart</v>
      </c>
    </row>
    <row r="4360" spans="1:18" x14ac:dyDescent="0.3">
      <c r="A4360" s="34">
        <f>base!J4360</f>
        <v>0</v>
      </c>
      <c r="B4360" s="34" t="str">
        <f>base!V4360</f>
        <v>77184</v>
      </c>
      <c r="C4360" s="37">
        <v>77</v>
      </c>
      <c r="D4360" s="36">
        <f>base!H4360</f>
        <v>97</v>
      </c>
      <c r="E4360" s="44"/>
      <c r="F4360" s="16">
        <f>base!W4360</f>
        <v>0</v>
      </c>
      <c r="G4360" s="11">
        <f t="shared" si="680"/>
        <v>0</v>
      </c>
      <c r="H4360" s="11">
        <f t="shared" si="681"/>
        <v>0</v>
      </c>
      <c r="I4360" s="11">
        <f t="shared" si="682"/>
        <v>0</v>
      </c>
      <c r="J4360" s="12">
        <f t="shared" si="683"/>
        <v>0</v>
      </c>
      <c r="K4360" s="17" t="str">
        <f t="shared" si="688"/>
        <v>Pas d'écart</v>
      </c>
      <c r="L4360" s="16">
        <f>base!X4360</f>
        <v>0</v>
      </c>
      <c r="M4360" s="11">
        <f t="shared" si="684"/>
        <v>0</v>
      </c>
      <c r="N4360" s="11">
        <f t="shared" si="685"/>
        <v>0</v>
      </c>
      <c r="O4360" s="11">
        <f t="shared" si="686"/>
        <v>0</v>
      </c>
      <c r="P4360" s="12">
        <f t="shared" si="687"/>
        <v>0</v>
      </c>
      <c r="Q4360" s="17" t="str">
        <f t="shared" si="689"/>
        <v>Pas d'écart</v>
      </c>
    </row>
    <row r="4361" spans="1:18" x14ac:dyDescent="0.3">
      <c r="A4361" s="34" t="str">
        <f>base!J4361</f>
        <v>LS</v>
      </c>
      <c r="B4361" s="34" t="str">
        <f>base!V4361</f>
        <v>33700</v>
      </c>
      <c r="C4361" s="37">
        <v>57</v>
      </c>
      <c r="D4361" s="36">
        <f>base!H4361</f>
        <v>129.82</v>
      </c>
      <c r="E4361" s="44"/>
      <c r="F4361" s="16">
        <f>base!W4361</f>
        <v>27.26</v>
      </c>
      <c r="G4361" s="11">
        <f t="shared" si="680"/>
        <v>0.20998305345863505</v>
      </c>
      <c r="H4361" s="11">
        <f t="shared" si="681"/>
        <v>31.156799999999997</v>
      </c>
      <c r="I4361" s="11">
        <f t="shared" si="682"/>
        <v>0.24</v>
      </c>
      <c r="J4361" s="12">
        <f t="shared" si="683"/>
        <v>-3.8967999999999954</v>
      </c>
      <c r="K4361" s="17" t="str">
        <f t="shared" si="688"/>
        <v>Ecart négatif</v>
      </c>
      <c r="L4361" s="16">
        <f>base!X4361</f>
        <v>0</v>
      </c>
      <c r="M4361" s="11">
        <f t="shared" si="684"/>
        <v>0</v>
      </c>
      <c r="N4361" s="11">
        <f t="shared" si="685"/>
        <v>32.454999999999998</v>
      </c>
      <c r="O4361" s="11">
        <f t="shared" si="686"/>
        <v>0.25</v>
      </c>
      <c r="P4361" s="12">
        <f t="shared" si="687"/>
        <v>-32.454999999999998</v>
      </c>
      <c r="Q4361" s="17" t="str">
        <f t="shared" si="689"/>
        <v>Ecart négatif</v>
      </c>
    </row>
    <row r="4362" spans="1:18" x14ac:dyDescent="0.3">
      <c r="A4362" s="34" t="str">
        <f>base!J4362</f>
        <v>LS</v>
      </c>
      <c r="B4362" s="34" t="str">
        <f>base!V4362</f>
        <v>57370</v>
      </c>
      <c r="C4362" s="37">
        <v>35</v>
      </c>
      <c r="D4362" s="36">
        <f>base!H4362</f>
        <v>120.85</v>
      </c>
      <c r="E4362" s="44"/>
      <c r="F4362" s="16">
        <f>base!W4362</f>
        <v>0</v>
      </c>
      <c r="G4362" s="11">
        <f t="shared" si="680"/>
        <v>0</v>
      </c>
      <c r="H4362" s="11">
        <f t="shared" si="681"/>
        <v>32.6295</v>
      </c>
      <c r="I4362" s="11">
        <f t="shared" si="682"/>
        <v>0.27</v>
      </c>
      <c r="J4362" s="12">
        <f t="shared" si="683"/>
        <v>-32.6295</v>
      </c>
      <c r="K4362" s="17" t="str">
        <f t="shared" si="688"/>
        <v>Ecart négatif</v>
      </c>
      <c r="L4362" s="16">
        <f>base!X4362</f>
        <v>0</v>
      </c>
      <c r="M4362" s="11">
        <f t="shared" si="684"/>
        <v>0</v>
      </c>
      <c r="N4362" s="11">
        <f t="shared" si="685"/>
        <v>0</v>
      </c>
      <c r="O4362" s="11">
        <f t="shared" si="686"/>
        <v>0</v>
      </c>
      <c r="P4362" s="12">
        <f t="shared" si="687"/>
        <v>0</v>
      </c>
      <c r="Q4362" s="17" t="str">
        <f t="shared" si="689"/>
        <v>Pas d'écart</v>
      </c>
    </row>
    <row r="4363" spans="1:18" x14ac:dyDescent="0.3">
      <c r="A4363" s="34" t="str">
        <f>base!J4363</f>
        <v>LS</v>
      </c>
      <c r="B4363" s="34" t="str">
        <f>base!V4363</f>
        <v>93400</v>
      </c>
      <c r="C4363" s="37">
        <v>93</v>
      </c>
      <c r="D4363" s="36">
        <f>base!H4363</f>
        <v>0</v>
      </c>
      <c r="E4363" s="44"/>
      <c r="F4363" s="16">
        <f>base!W4363</f>
        <v>0</v>
      </c>
      <c r="G4363" s="11" t="e">
        <f t="shared" si="680"/>
        <v>#DIV/0!</v>
      </c>
      <c r="H4363" s="11">
        <f t="shared" si="681"/>
        <v>0</v>
      </c>
      <c r="I4363" s="11" t="e">
        <f t="shared" si="682"/>
        <v>#DIV/0!</v>
      </c>
      <c r="J4363" s="12">
        <f t="shared" si="683"/>
        <v>0</v>
      </c>
      <c r="K4363" s="17" t="str">
        <f t="shared" si="688"/>
        <v>Pas d'écart</v>
      </c>
      <c r="L4363" s="16">
        <f>base!X4363</f>
        <v>0</v>
      </c>
      <c r="M4363" s="11" t="e">
        <f t="shared" si="684"/>
        <v>#DIV/0!</v>
      </c>
      <c r="N4363" s="11">
        <f t="shared" si="685"/>
        <v>0</v>
      </c>
      <c r="O4363" s="11" t="e">
        <f t="shared" si="686"/>
        <v>#DIV/0!</v>
      </c>
      <c r="P4363" s="12">
        <f t="shared" si="687"/>
        <v>0</v>
      </c>
      <c r="Q4363" s="17" t="str">
        <f t="shared" si="689"/>
        <v>Pas d'écart</v>
      </c>
    </row>
    <row r="4364" spans="1:18" x14ac:dyDescent="0.3">
      <c r="A4364" s="34" t="str">
        <f>base!J4364</f>
        <v>DRM</v>
      </c>
      <c r="B4364" s="34" t="str">
        <f>base!V4364</f>
        <v>79280</v>
      </c>
      <c r="C4364" s="37">
        <v>79</v>
      </c>
      <c r="D4364" s="36">
        <f>base!H4364</f>
        <v>180</v>
      </c>
      <c r="E4364" s="44"/>
      <c r="F4364" s="16">
        <f>base!W4364</f>
        <v>0</v>
      </c>
      <c r="G4364" s="11">
        <f t="shared" si="680"/>
        <v>0</v>
      </c>
      <c r="H4364" s="11">
        <f t="shared" si="681"/>
        <v>37.799999999999997</v>
      </c>
      <c r="I4364" s="11">
        <f t="shared" si="682"/>
        <v>0.21</v>
      </c>
      <c r="J4364" s="12">
        <f t="shared" si="683"/>
        <v>-37.799999999999997</v>
      </c>
      <c r="K4364" s="17" t="str">
        <f t="shared" si="688"/>
        <v>Ecart négatif</v>
      </c>
      <c r="L4364" s="16">
        <f>base!X4364</f>
        <v>0</v>
      </c>
      <c r="M4364" s="11">
        <f t="shared" si="684"/>
        <v>0</v>
      </c>
      <c r="N4364" s="11">
        <f t="shared" si="685"/>
        <v>21.599999999999998</v>
      </c>
      <c r="O4364" s="11">
        <f t="shared" si="686"/>
        <v>0.11999999999999998</v>
      </c>
      <c r="P4364" s="12">
        <f t="shared" si="687"/>
        <v>-21.599999999999998</v>
      </c>
      <c r="Q4364" s="17" t="str">
        <f t="shared" si="689"/>
        <v>Ecart négatif</v>
      </c>
    </row>
    <row r="4365" spans="1:18" x14ac:dyDescent="0.3">
      <c r="A4365" s="34" t="str">
        <f>base!J4365</f>
        <v>LM</v>
      </c>
      <c r="B4365" s="34" t="str">
        <f>base!V4365</f>
        <v>75014</v>
      </c>
      <c r="C4365" s="37">
        <v>75</v>
      </c>
      <c r="D4365" s="36">
        <f>base!H4365</f>
        <v>19.649999999999999</v>
      </c>
      <c r="E4365" s="44"/>
      <c r="F4365" s="16">
        <f>base!W4365</f>
        <v>0</v>
      </c>
      <c r="G4365" s="11">
        <f t="shared" si="680"/>
        <v>0</v>
      </c>
      <c r="H4365" s="11">
        <f t="shared" si="681"/>
        <v>0</v>
      </c>
      <c r="I4365" s="11">
        <f t="shared" si="682"/>
        <v>0</v>
      </c>
      <c r="J4365" s="12">
        <f t="shared" si="683"/>
        <v>0</v>
      </c>
      <c r="K4365" s="17" t="str">
        <f t="shared" si="688"/>
        <v>Pas d'écart</v>
      </c>
      <c r="L4365" s="16">
        <f>base!X4365</f>
        <v>0</v>
      </c>
      <c r="M4365" s="11">
        <f t="shared" si="684"/>
        <v>0</v>
      </c>
      <c r="N4365" s="11">
        <f t="shared" si="685"/>
        <v>0</v>
      </c>
      <c r="O4365" s="11">
        <f t="shared" si="686"/>
        <v>0</v>
      </c>
      <c r="P4365" s="12">
        <f t="shared" si="687"/>
        <v>0</v>
      </c>
      <c r="Q4365" s="17" t="str">
        <f t="shared" si="689"/>
        <v>Pas d'écart</v>
      </c>
    </row>
    <row r="4366" spans="1:18" x14ac:dyDescent="0.3">
      <c r="A4366" s="34" t="str">
        <f>base!J4366</f>
        <v>RM</v>
      </c>
      <c r="B4366" s="34" t="str">
        <f>base!V4366</f>
        <v>67230</v>
      </c>
      <c r="C4366" s="37">
        <v>67</v>
      </c>
      <c r="D4366" s="36">
        <f>base!H4366</f>
        <v>315.43</v>
      </c>
      <c r="E4366" s="44"/>
      <c r="F4366" s="16">
        <f>base!W4366</f>
        <v>0</v>
      </c>
      <c r="G4366" s="11">
        <f t="shared" si="680"/>
        <v>0</v>
      </c>
      <c r="H4366" s="11">
        <f t="shared" si="681"/>
        <v>91.474699999999999</v>
      </c>
      <c r="I4366" s="11">
        <f t="shared" si="682"/>
        <v>0.28999999999999998</v>
      </c>
      <c r="J4366" s="12">
        <f t="shared" si="683"/>
        <v>-91.474699999999999</v>
      </c>
      <c r="K4366" s="17" t="str">
        <f t="shared" si="688"/>
        <v>Ecart négatif</v>
      </c>
      <c r="L4366" s="16">
        <f>base!X4366</f>
        <v>0</v>
      </c>
      <c r="M4366" s="11">
        <f t="shared" si="684"/>
        <v>0</v>
      </c>
      <c r="N4366" s="11">
        <f t="shared" si="685"/>
        <v>25.234400000000001</v>
      </c>
      <c r="O4366" s="11">
        <f t="shared" si="686"/>
        <v>0.08</v>
      </c>
      <c r="P4366" s="12">
        <f t="shared" si="687"/>
        <v>-25.234400000000001</v>
      </c>
      <c r="Q4366" s="17" t="str">
        <f t="shared" si="689"/>
        <v>Ecart négatif</v>
      </c>
    </row>
    <row r="4367" spans="1:18" x14ac:dyDescent="0.3">
      <c r="A4367" s="34" t="str">
        <f>base!J4367</f>
        <v>LS</v>
      </c>
      <c r="B4367" s="34" t="str">
        <f>base!V4367</f>
        <v>13200</v>
      </c>
      <c r="C4367" s="37">
        <v>69</v>
      </c>
      <c r="D4367" s="36">
        <f>base!H4367</f>
        <v>591</v>
      </c>
      <c r="E4367" s="44"/>
      <c r="F4367" s="16">
        <f>base!W4367</f>
        <v>171.39</v>
      </c>
      <c r="G4367" s="11">
        <f t="shared" si="680"/>
        <v>0.28999999999999998</v>
      </c>
      <c r="H4367" s="11">
        <f t="shared" si="681"/>
        <v>159.57000000000002</v>
      </c>
      <c r="I4367" s="11">
        <f t="shared" si="682"/>
        <v>0.27</v>
      </c>
      <c r="J4367" s="12">
        <f t="shared" si="683"/>
        <v>11.819999999999965</v>
      </c>
      <c r="K4367" s="17" t="str">
        <f t="shared" si="688"/>
        <v>Ecart positif</v>
      </c>
      <c r="L4367" s="16">
        <f>base!X4367</f>
        <v>0</v>
      </c>
      <c r="M4367" s="11">
        <f t="shared" si="684"/>
        <v>0</v>
      </c>
      <c r="N4367" s="11">
        <f t="shared" si="685"/>
        <v>0</v>
      </c>
      <c r="O4367" s="11">
        <f t="shared" si="686"/>
        <v>0</v>
      </c>
      <c r="P4367" s="12">
        <f t="shared" si="687"/>
        <v>0</v>
      </c>
      <c r="Q4367" s="17" t="str">
        <f t="shared" si="689"/>
        <v>Pas d'écart</v>
      </c>
    </row>
    <row r="4368" spans="1:18" x14ac:dyDescent="0.3">
      <c r="A4368" s="34" t="str">
        <f>base!J4368</f>
        <v>LS</v>
      </c>
      <c r="B4368" s="34" t="str">
        <f>base!V4368</f>
        <v>59211</v>
      </c>
      <c r="C4368" s="37">
        <v>49</v>
      </c>
      <c r="D4368" s="36">
        <f>base!H4368</f>
        <v>153.51</v>
      </c>
      <c r="E4368" s="44"/>
      <c r="F4368" s="16">
        <f>base!W4368</f>
        <v>29.17</v>
      </c>
      <c r="G4368" s="11">
        <f t="shared" si="680"/>
        <v>0.19002019412416132</v>
      </c>
      <c r="H4368" s="11">
        <f t="shared" si="681"/>
        <v>41.447699999999998</v>
      </c>
      <c r="I4368" s="11">
        <f t="shared" si="682"/>
        <v>0.27</v>
      </c>
      <c r="J4368" s="12">
        <f t="shared" si="683"/>
        <v>-12.277699999999996</v>
      </c>
      <c r="K4368" s="17" t="str">
        <f t="shared" si="688"/>
        <v>Ecart négatif</v>
      </c>
      <c r="L4368" s="16">
        <f>base!X4368</f>
        <v>0</v>
      </c>
      <c r="M4368" s="11">
        <f t="shared" si="684"/>
        <v>0</v>
      </c>
      <c r="N4368" s="11">
        <f t="shared" si="685"/>
        <v>0</v>
      </c>
      <c r="O4368" s="11">
        <f t="shared" si="686"/>
        <v>0</v>
      </c>
      <c r="P4368" s="12">
        <f t="shared" si="687"/>
        <v>0</v>
      </c>
      <c r="Q4368" s="17" t="str">
        <f t="shared" si="689"/>
        <v>Pas d'écart</v>
      </c>
    </row>
    <row r="4369" spans="1:17" x14ac:dyDescent="0.3">
      <c r="A4369" s="34" t="str">
        <f>base!J4369</f>
        <v>DLS</v>
      </c>
      <c r="B4369" s="34" t="str">
        <f>base!V4369</f>
        <v>56000</v>
      </c>
      <c r="C4369" s="37">
        <v>56</v>
      </c>
      <c r="D4369" s="36">
        <f>base!H4369</f>
        <v>140</v>
      </c>
      <c r="E4369" s="44"/>
      <c r="F4369" s="16">
        <f>base!W4369</f>
        <v>37.799999999999997</v>
      </c>
      <c r="G4369" s="11">
        <f t="shared" si="680"/>
        <v>0.26999999999999996</v>
      </c>
      <c r="H4369" s="11">
        <f t="shared" si="681"/>
        <v>37.800000000000004</v>
      </c>
      <c r="I4369" s="11">
        <f t="shared" si="682"/>
        <v>0.27</v>
      </c>
      <c r="J4369" s="12">
        <f t="shared" si="683"/>
        <v>0</v>
      </c>
      <c r="K4369" s="17" t="str">
        <f t="shared" si="688"/>
        <v>Pas d'écart</v>
      </c>
      <c r="L4369" s="16">
        <f>base!X4369</f>
        <v>0</v>
      </c>
      <c r="M4369" s="11">
        <f t="shared" si="684"/>
        <v>0</v>
      </c>
      <c r="N4369" s="11">
        <f t="shared" si="685"/>
        <v>0</v>
      </c>
      <c r="O4369" s="11">
        <f t="shared" si="686"/>
        <v>0</v>
      </c>
      <c r="P4369" s="12">
        <f t="shared" si="687"/>
        <v>0</v>
      </c>
      <c r="Q4369" s="17" t="str">
        <f t="shared" si="689"/>
        <v>Pas d'écart</v>
      </c>
    </row>
    <row r="4370" spans="1:17" x14ac:dyDescent="0.3">
      <c r="A4370" s="34" t="str">
        <f>base!J4370</f>
        <v>LS</v>
      </c>
      <c r="B4370" s="34" t="str">
        <f>base!V4370</f>
        <v>38130</v>
      </c>
      <c r="C4370" s="37">
        <v>44</v>
      </c>
      <c r="D4370" s="36">
        <f>base!H4370</f>
        <v>18.350000000000001</v>
      </c>
      <c r="E4370" s="44"/>
      <c r="F4370" s="16">
        <f>base!W4370</f>
        <v>4.95</v>
      </c>
      <c r="G4370" s="11">
        <f t="shared" si="680"/>
        <v>0.26975476839237056</v>
      </c>
      <c r="H4370" s="11">
        <f t="shared" si="681"/>
        <v>4.9545000000000003</v>
      </c>
      <c r="I4370" s="11">
        <f t="shared" si="682"/>
        <v>0.27</v>
      </c>
      <c r="J4370" s="12">
        <f t="shared" si="683"/>
        <v>-4.5000000000001705E-3</v>
      </c>
      <c r="K4370" s="17" t="str">
        <f t="shared" si="688"/>
        <v>Ecart négatif</v>
      </c>
      <c r="L4370" s="16">
        <f>base!X4370</f>
        <v>0</v>
      </c>
      <c r="M4370" s="11">
        <f t="shared" si="684"/>
        <v>0</v>
      </c>
      <c r="N4370" s="11">
        <f t="shared" si="685"/>
        <v>0</v>
      </c>
      <c r="O4370" s="11">
        <f t="shared" si="686"/>
        <v>0</v>
      </c>
      <c r="P4370" s="12">
        <f t="shared" si="687"/>
        <v>0</v>
      </c>
      <c r="Q4370" s="17" t="str">
        <f t="shared" si="689"/>
        <v>Pas d'écart</v>
      </c>
    </row>
    <row r="4371" spans="1:17" x14ac:dyDescent="0.3">
      <c r="A4371" s="34" t="str">
        <f>base!J4371</f>
        <v>RM</v>
      </c>
      <c r="B4371" s="34" t="str">
        <f>base!V4371</f>
        <v>75010</v>
      </c>
      <c r="C4371" s="37">
        <v>75</v>
      </c>
      <c r="D4371" s="36">
        <f>base!H4371</f>
        <v>151</v>
      </c>
      <c r="E4371" s="44"/>
      <c r="F4371" s="16">
        <f>base!W4371</f>
        <v>0</v>
      </c>
      <c r="G4371" s="11">
        <f t="shared" si="680"/>
        <v>0</v>
      </c>
      <c r="H4371" s="11">
        <f t="shared" si="681"/>
        <v>0</v>
      </c>
      <c r="I4371" s="11">
        <f t="shared" si="682"/>
        <v>0</v>
      </c>
      <c r="J4371" s="12">
        <f t="shared" si="683"/>
        <v>0</v>
      </c>
      <c r="K4371" s="17" t="str">
        <f t="shared" si="688"/>
        <v>Pas d'écart</v>
      </c>
      <c r="L4371" s="16">
        <f>base!X4371</f>
        <v>0</v>
      </c>
      <c r="M4371" s="11">
        <f t="shared" si="684"/>
        <v>0</v>
      </c>
      <c r="N4371" s="11">
        <f t="shared" si="685"/>
        <v>0</v>
      </c>
      <c r="O4371" s="11">
        <f t="shared" si="686"/>
        <v>0</v>
      </c>
      <c r="P4371" s="12">
        <f t="shared" si="687"/>
        <v>0</v>
      </c>
      <c r="Q4371" s="17" t="str">
        <f t="shared" si="689"/>
        <v>Pas d'écart</v>
      </c>
    </row>
    <row r="4372" spans="1:17" x14ac:dyDescent="0.3">
      <c r="A4372" s="34" t="str">
        <f>base!J4372</f>
        <v>LS</v>
      </c>
      <c r="B4372" s="34" t="str">
        <f>base!V4372</f>
        <v>50300</v>
      </c>
      <c r="C4372" s="37">
        <v>38</v>
      </c>
      <c r="D4372" s="36">
        <f>base!H4372</f>
        <v>199.82</v>
      </c>
      <c r="E4372" s="44"/>
      <c r="F4372" s="16">
        <f>base!W4372</f>
        <v>33.97</v>
      </c>
      <c r="G4372" s="11">
        <f t="shared" si="680"/>
        <v>0.17000300270243218</v>
      </c>
      <c r="H4372" s="11">
        <f t="shared" si="681"/>
        <v>53.9514</v>
      </c>
      <c r="I4372" s="11">
        <f t="shared" si="682"/>
        <v>0.27</v>
      </c>
      <c r="J4372" s="12">
        <f t="shared" si="683"/>
        <v>-19.981400000000001</v>
      </c>
      <c r="K4372" s="17" t="str">
        <f t="shared" si="688"/>
        <v>Ecart négatif</v>
      </c>
      <c r="L4372" s="16">
        <f>base!X4372</f>
        <v>0</v>
      </c>
      <c r="M4372" s="11">
        <f t="shared" si="684"/>
        <v>0</v>
      </c>
      <c r="N4372" s="11">
        <f t="shared" si="685"/>
        <v>0</v>
      </c>
      <c r="O4372" s="11">
        <f t="shared" si="686"/>
        <v>0</v>
      </c>
      <c r="P4372" s="12">
        <f t="shared" si="687"/>
        <v>0</v>
      </c>
      <c r="Q4372" s="17" t="str">
        <f t="shared" si="689"/>
        <v>Pas d'écart</v>
      </c>
    </row>
    <row r="4373" spans="1:17" x14ac:dyDescent="0.3">
      <c r="A4373" s="34">
        <f>base!J4373</f>
        <v>0</v>
      </c>
      <c r="B4373" s="34" t="str">
        <f>base!V4373</f>
        <v>77184</v>
      </c>
      <c r="C4373" s="37">
        <v>77</v>
      </c>
      <c r="D4373" s="36">
        <f>base!H4373</f>
        <v>171</v>
      </c>
      <c r="E4373" s="44"/>
      <c r="F4373" s="16">
        <f>base!W4373</f>
        <v>0</v>
      </c>
      <c r="G4373" s="11">
        <f t="shared" si="680"/>
        <v>0</v>
      </c>
      <c r="H4373" s="11">
        <f t="shared" si="681"/>
        <v>0</v>
      </c>
      <c r="I4373" s="11">
        <f t="shared" si="682"/>
        <v>0</v>
      </c>
      <c r="J4373" s="12">
        <f t="shared" si="683"/>
        <v>0</v>
      </c>
      <c r="K4373" s="17" t="str">
        <f t="shared" si="688"/>
        <v>Pas d'écart</v>
      </c>
      <c r="L4373" s="16">
        <f>base!X4373</f>
        <v>0</v>
      </c>
      <c r="M4373" s="11">
        <f t="shared" si="684"/>
        <v>0</v>
      </c>
      <c r="N4373" s="11">
        <f t="shared" si="685"/>
        <v>0</v>
      </c>
      <c r="O4373" s="11">
        <f t="shared" si="686"/>
        <v>0</v>
      </c>
      <c r="P4373" s="12">
        <f t="shared" si="687"/>
        <v>0</v>
      </c>
      <c r="Q4373" s="17" t="str">
        <f t="shared" si="689"/>
        <v>Pas d'écart</v>
      </c>
    </row>
    <row r="4374" spans="1:17" x14ac:dyDescent="0.3">
      <c r="A4374" s="34" t="str">
        <f>base!J4374</f>
        <v>LM</v>
      </c>
      <c r="B4374" s="34" t="str">
        <f>base!V4374</f>
        <v>62380</v>
      </c>
      <c r="C4374" s="37">
        <v>85</v>
      </c>
      <c r="D4374" s="36">
        <f>base!H4374</f>
        <v>33.35</v>
      </c>
      <c r="E4374" s="44"/>
      <c r="F4374" s="16">
        <f>base!W4374</f>
        <v>6.34</v>
      </c>
      <c r="G4374" s="11">
        <f t="shared" si="680"/>
        <v>0.19010494752623686</v>
      </c>
      <c r="H4374" s="11">
        <f t="shared" si="681"/>
        <v>9.0045000000000002</v>
      </c>
      <c r="I4374" s="11">
        <f t="shared" si="682"/>
        <v>0.27</v>
      </c>
      <c r="J4374" s="12">
        <f t="shared" si="683"/>
        <v>-2.6645000000000003</v>
      </c>
      <c r="K4374" s="17" t="str">
        <f t="shared" si="688"/>
        <v>Ecart négatif</v>
      </c>
      <c r="L4374" s="16">
        <f>base!X4374</f>
        <v>0</v>
      </c>
      <c r="M4374" s="11">
        <f t="shared" si="684"/>
        <v>0</v>
      </c>
      <c r="N4374" s="11">
        <f t="shared" si="685"/>
        <v>0</v>
      </c>
      <c r="O4374" s="11">
        <f t="shared" si="686"/>
        <v>0</v>
      </c>
      <c r="P4374" s="12">
        <f t="shared" si="687"/>
        <v>0</v>
      </c>
      <c r="Q4374" s="17" t="str">
        <f t="shared" si="689"/>
        <v>Pas d'écart</v>
      </c>
    </row>
    <row r="4375" spans="1:17" x14ac:dyDescent="0.3">
      <c r="A4375" s="34" t="str">
        <f>base!J4375</f>
        <v>LM</v>
      </c>
      <c r="B4375" s="34" t="str">
        <f>base!V4375</f>
        <v>62380</v>
      </c>
      <c r="C4375" s="37">
        <v>49</v>
      </c>
      <c r="D4375" s="36">
        <f>base!H4375</f>
        <v>19.8</v>
      </c>
      <c r="E4375" s="44"/>
      <c r="F4375" s="16">
        <f>base!W4375</f>
        <v>3.76</v>
      </c>
      <c r="G4375" s="11">
        <f t="shared" si="680"/>
        <v>0.18989898989898987</v>
      </c>
      <c r="H4375" s="11">
        <f t="shared" si="681"/>
        <v>5.346000000000001</v>
      </c>
      <c r="I4375" s="11">
        <f t="shared" si="682"/>
        <v>0.27</v>
      </c>
      <c r="J4375" s="12">
        <f t="shared" si="683"/>
        <v>-1.5860000000000012</v>
      </c>
      <c r="K4375" s="17" t="str">
        <f t="shared" si="688"/>
        <v>Ecart négatif</v>
      </c>
      <c r="L4375" s="16">
        <f>base!X4375</f>
        <v>0</v>
      </c>
      <c r="M4375" s="11">
        <f t="shared" si="684"/>
        <v>0</v>
      </c>
      <c r="N4375" s="11">
        <f t="shared" si="685"/>
        <v>0</v>
      </c>
      <c r="O4375" s="11">
        <f t="shared" si="686"/>
        <v>0</v>
      </c>
      <c r="P4375" s="12">
        <f t="shared" si="687"/>
        <v>0</v>
      </c>
      <c r="Q4375" s="17" t="str">
        <f t="shared" si="689"/>
        <v>Pas d'écart</v>
      </c>
    </row>
    <row r="4376" spans="1:17" x14ac:dyDescent="0.3">
      <c r="A4376" s="34" t="str">
        <f>base!J4376</f>
        <v>RM</v>
      </c>
      <c r="B4376" s="34" t="str">
        <f>base!V4376</f>
        <v>75008</v>
      </c>
      <c r="C4376" s="37">
        <v>75</v>
      </c>
      <c r="D4376" s="36">
        <f>base!H4376</f>
        <v>165.4</v>
      </c>
      <c r="E4376" s="44"/>
      <c r="F4376" s="16">
        <f>base!W4376</f>
        <v>0</v>
      </c>
      <c r="G4376" s="11">
        <f t="shared" si="680"/>
        <v>0</v>
      </c>
      <c r="H4376" s="11">
        <f t="shared" si="681"/>
        <v>0</v>
      </c>
      <c r="I4376" s="11">
        <f t="shared" si="682"/>
        <v>0</v>
      </c>
      <c r="J4376" s="12">
        <f t="shared" si="683"/>
        <v>0</v>
      </c>
      <c r="K4376" s="17" t="str">
        <f t="shared" si="688"/>
        <v>Pas d'écart</v>
      </c>
      <c r="L4376" s="16">
        <f>base!X4376</f>
        <v>0</v>
      </c>
      <c r="M4376" s="11">
        <f t="shared" si="684"/>
        <v>0</v>
      </c>
      <c r="N4376" s="11">
        <f t="shared" si="685"/>
        <v>0</v>
      </c>
      <c r="O4376" s="11">
        <f t="shared" si="686"/>
        <v>0</v>
      </c>
      <c r="P4376" s="12">
        <f t="shared" si="687"/>
        <v>0</v>
      </c>
      <c r="Q4376" s="17" t="str">
        <f t="shared" si="689"/>
        <v>Pas d'écart</v>
      </c>
    </row>
    <row r="4377" spans="1:17" x14ac:dyDescent="0.3">
      <c r="A4377" s="34" t="str">
        <f>base!J4377</f>
        <v>DRM</v>
      </c>
      <c r="B4377" s="34" t="str">
        <f>base!V4377</f>
        <v>73000</v>
      </c>
      <c r="C4377" s="37">
        <v>73</v>
      </c>
      <c r="D4377" s="36">
        <f>base!H4377</f>
        <v>173.44</v>
      </c>
      <c r="E4377" s="44"/>
      <c r="F4377" s="16">
        <f>base!W4377</f>
        <v>0</v>
      </c>
      <c r="G4377" s="11">
        <f t="shared" si="680"/>
        <v>0</v>
      </c>
      <c r="H4377" s="11">
        <f t="shared" si="681"/>
        <v>46.828800000000001</v>
      </c>
      <c r="I4377" s="11">
        <f t="shared" si="682"/>
        <v>0.27</v>
      </c>
      <c r="J4377" s="12">
        <f t="shared" si="683"/>
        <v>-46.828800000000001</v>
      </c>
      <c r="K4377" s="17" t="str">
        <f t="shared" si="688"/>
        <v>Ecart négatif</v>
      </c>
      <c r="L4377" s="16">
        <f>base!X4377</f>
        <v>0</v>
      </c>
      <c r="M4377" s="11">
        <f t="shared" si="684"/>
        <v>0</v>
      </c>
      <c r="N4377" s="11">
        <f t="shared" si="685"/>
        <v>0</v>
      </c>
      <c r="O4377" s="11">
        <f t="shared" si="686"/>
        <v>0</v>
      </c>
      <c r="P4377" s="12">
        <f t="shared" si="687"/>
        <v>0</v>
      </c>
      <c r="Q4377" s="17" t="str">
        <f t="shared" si="689"/>
        <v>Pas d'écart</v>
      </c>
    </row>
    <row r="4378" spans="1:17" x14ac:dyDescent="0.3">
      <c r="A4378" s="34" t="str">
        <f>base!J4378</f>
        <v>RM</v>
      </c>
      <c r="B4378" s="34" t="str">
        <f>base!V4378</f>
        <v>50200</v>
      </c>
      <c r="C4378" s="37">
        <v>50</v>
      </c>
      <c r="D4378" s="36">
        <f>base!H4378</f>
        <v>151</v>
      </c>
      <c r="E4378" s="44"/>
      <c r="F4378" s="16">
        <f>base!W4378</f>
        <v>0</v>
      </c>
      <c r="G4378" s="11">
        <f t="shared" si="680"/>
        <v>0</v>
      </c>
      <c r="H4378" s="11">
        <f t="shared" si="681"/>
        <v>25.67</v>
      </c>
      <c r="I4378" s="11">
        <f t="shared" si="682"/>
        <v>0.17</v>
      </c>
      <c r="J4378" s="12">
        <f t="shared" si="683"/>
        <v>-25.67</v>
      </c>
      <c r="K4378" s="17" t="str">
        <f t="shared" si="688"/>
        <v>Ecart négatif</v>
      </c>
      <c r="L4378" s="16">
        <f>base!X4378</f>
        <v>0</v>
      </c>
      <c r="M4378" s="11">
        <f t="shared" si="684"/>
        <v>0</v>
      </c>
      <c r="N4378" s="11">
        <f t="shared" si="685"/>
        <v>25.67</v>
      </c>
      <c r="O4378" s="11">
        <f t="shared" si="686"/>
        <v>0.17</v>
      </c>
      <c r="P4378" s="12">
        <f t="shared" si="687"/>
        <v>-25.67</v>
      </c>
      <c r="Q4378" s="17" t="str">
        <f t="shared" si="689"/>
        <v>Ecart négatif</v>
      </c>
    </row>
    <row r="4379" spans="1:17" x14ac:dyDescent="0.3">
      <c r="A4379" s="34" t="str">
        <f>base!J4379</f>
        <v>LM</v>
      </c>
      <c r="B4379" s="34" t="str">
        <f>base!V4379</f>
        <v>13100</v>
      </c>
      <c r="C4379" s="37">
        <v>38</v>
      </c>
      <c r="D4379" s="36">
        <f>base!H4379</f>
        <v>33.35</v>
      </c>
      <c r="E4379" s="44"/>
      <c r="F4379" s="16">
        <f>base!W4379</f>
        <v>9.67</v>
      </c>
      <c r="G4379" s="11">
        <f t="shared" si="680"/>
        <v>0.2899550224887556</v>
      </c>
      <c r="H4379" s="11">
        <f t="shared" si="681"/>
        <v>9.0045000000000002</v>
      </c>
      <c r="I4379" s="11">
        <f t="shared" si="682"/>
        <v>0.27</v>
      </c>
      <c r="J4379" s="12">
        <f t="shared" si="683"/>
        <v>0.66549999999999976</v>
      </c>
      <c r="K4379" s="17" t="str">
        <f t="shared" si="688"/>
        <v>Ecart positif</v>
      </c>
      <c r="L4379" s="16">
        <f>base!X4379</f>
        <v>0</v>
      </c>
      <c r="M4379" s="11">
        <f t="shared" si="684"/>
        <v>0</v>
      </c>
      <c r="N4379" s="11">
        <f t="shared" si="685"/>
        <v>0</v>
      </c>
      <c r="O4379" s="11">
        <f t="shared" si="686"/>
        <v>0</v>
      </c>
      <c r="P4379" s="12">
        <f t="shared" si="687"/>
        <v>0</v>
      </c>
      <c r="Q4379" s="17" t="str">
        <f t="shared" si="689"/>
        <v>Pas d'écart</v>
      </c>
    </row>
    <row r="4380" spans="1:17" x14ac:dyDescent="0.3">
      <c r="A4380" s="34" t="str">
        <f>base!J4380</f>
        <v>LM</v>
      </c>
      <c r="B4380" s="34" t="str">
        <f>base!V4380</f>
        <v>14790</v>
      </c>
      <c r="C4380" s="37">
        <v>26</v>
      </c>
      <c r="D4380" s="36">
        <f>base!H4380</f>
        <v>36.17</v>
      </c>
      <c r="E4380" s="44"/>
      <c r="F4380" s="16">
        <f>base!W4380</f>
        <v>6.15</v>
      </c>
      <c r="G4380" s="11">
        <f t="shared" si="680"/>
        <v>0.17003041194359966</v>
      </c>
      <c r="H4380" s="11">
        <f t="shared" si="681"/>
        <v>9.7659000000000002</v>
      </c>
      <c r="I4380" s="11">
        <f t="shared" si="682"/>
        <v>0.27</v>
      </c>
      <c r="J4380" s="12">
        <f t="shared" si="683"/>
        <v>-3.6158999999999999</v>
      </c>
      <c r="K4380" s="17" t="str">
        <f t="shared" si="688"/>
        <v>Ecart négatif</v>
      </c>
      <c r="L4380" s="16">
        <f>base!X4380</f>
        <v>0</v>
      </c>
      <c r="M4380" s="11">
        <f t="shared" si="684"/>
        <v>0</v>
      </c>
      <c r="N4380" s="11">
        <f t="shared" si="685"/>
        <v>0</v>
      </c>
      <c r="O4380" s="11">
        <f t="shared" si="686"/>
        <v>0</v>
      </c>
      <c r="P4380" s="12">
        <f t="shared" si="687"/>
        <v>0</v>
      </c>
      <c r="Q4380" s="17" t="str">
        <f t="shared" si="689"/>
        <v>Pas d'écart</v>
      </c>
    </row>
    <row r="4381" spans="1:17" x14ac:dyDescent="0.3">
      <c r="A4381" s="34" t="str">
        <f>base!J4381</f>
        <v>RS</v>
      </c>
      <c r="B4381" s="34" t="str">
        <f>base!V4381</f>
        <v>17670</v>
      </c>
      <c r="C4381" s="37">
        <v>17</v>
      </c>
      <c r="D4381" s="36">
        <f>base!H4381</f>
        <v>140</v>
      </c>
      <c r="E4381" s="44"/>
      <c r="F4381" s="16">
        <f>base!W4381</f>
        <v>0</v>
      </c>
      <c r="G4381" s="11">
        <f t="shared" si="680"/>
        <v>0</v>
      </c>
      <c r="H4381" s="11">
        <f t="shared" si="681"/>
        <v>29.4</v>
      </c>
      <c r="I4381" s="11">
        <f t="shared" si="682"/>
        <v>0.21</v>
      </c>
      <c r="J4381" s="12">
        <f t="shared" si="683"/>
        <v>-29.4</v>
      </c>
      <c r="K4381" s="17" t="str">
        <f t="shared" si="688"/>
        <v>Ecart négatif</v>
      </c>
      <c r="L4381" s="16">
        <f>base!X4381</f>
        <v>0</v>
      </c>
      <c r="M4381" s="11">
        <f t="shared" si="684"/>
        <v>0</v>
      </c>
      <c r="N4381" s="11">
        <f t="shared" si="685"/>
        <v>23.8</v>
      </c>
      <c r="O4381" s="11">
        <f t="shared" si="686"/>
        <v>0.17</v>
      </c>
      <c r="P4381" s="12">
        <f t="shared" si="687"/>
        <v>-23.8</v>
      </c>
      <c r="Q4381" s="17" t="str">
        <f t="shared" si="689"/>
        <v>Ecart négatif</v>
      </c>
    </row>
    <row r="4382" spans="1:17" x14ac:dyDescent="0.3">
      <c r="A4382" s="34" t="str">
        <f>base!J4382</f>
        <v>RS</v>
      </c>
      <c r="B4382" s="34" t="str">
        <f>base!V4382</f>
        <v>05230</v>
      </c>
      <c r="C4382" s="37">
        <v>5</v>
      </c>
      <c r="D4382" s="36">
        <f>base!H4382</f>
        <v>140</v>
      </c>
      <c r="E4382" s="44"/>
      <c r="F4382" s="16">
        <f>base!W4382</f>
        <v>0</v>
      </c>
      <c r="G4382" s="11">
        <f t="shared" si="680"/>
        <v>0</v>
      </c>
      <c r="H4382" s="11">
        <f t="shared" si="681"/>
        <v>40.599999999999994</v>
      </c>
      <c r="I4382" s="11">
        <f t="shared" si="682"/>
        <v>0.28999999999999998</v>
      </c>
      <c r="J4382" s="12">
        <f t="shared" si="683"/>
        <v>-40.599999999999994</v>
      </c>
      <c r="K4382" s="17" t="str">
        <f t="shared" si="688"/>
        <v>Ecart négatif</v>
      </c>
      <c r="L4382" s="16">
        <f>base!X4382</f>
        <v>0</v>
      </c>
      <c r="M4382" s="11">
        <f t="shared" si="684"/>
        <v>0</v>
      </c>
      <c r="N4382" s="11">
        <f t="shared" si="685"/>
        <v>26.6</v>
      </c>
      <c r="O4382" s="11">
        <f t="shared" si="686"/>
        <v>0.19</v>
      </c>
      <c r="P4382" s="12">
        <f t="shared" si="687"/>
        <v>-26.6</v>
      </c>
      <c r="Q4382" s="17" t="str">
        <f t="shared" si="689"/>
        <v>Ecart négatif</v>
      </c>
    </row>
    <row r="4383" spans="1:17" x14ac:dyDescent="0.3">
      <c r="A4383" s="34" t="str">
        <f>base!J4383</f>
        <v>RM</v>
      </c>
      <c r="B4383" s="34" t="str">
        <f>base!V4383</f>
        <v>39000</v>
      </c>
      <c r="C4383" s="37">
        <v>39</v>
      </c>
      <c r="D4383" s="36">
        <f>base!H4383</f>
        <v>70</v>
      </c>
      <c r="E4383" s="44"/>
      <c r="F4383" s="16">
        <f>base!W4383</f>
        <v>0</v>
      </c>
      <c r="G4383" s="11">
        <f t="shared" si="680"/>
        <v>0</v>
      </c>
      <c r="H4383" s="11">
        <f t="shared" si="681"/>
        <v>18.900000000000002</v>
      </c>
      <c r="I4383" s="11">
        <f t="shared" si="682"/>
        <v>0.27</v>
      </c>
      <c r="J4383" s="12">
        <f t="shared" si="683"/>
        <v>-18.900000000000002</v>
      </c>
      <c r="K4383" s="17" t="str">
        <f t="shared" si="688"/>
        <v>Ecart négatif</v>
      </c>
      <c r="L4383" s="16">
        <f>base!X4383</f>
        <v>0</v>
      </c>
      <c r="M4383" s="11">
        <f t="shared" si="684"/>
        <v>0</v>
      </c>
      <c r="N4383" s="11">
        <f t="shared" si="685"/>
        <v>0</v>
      </c>
      <c r="O4383" s="11">
        <f t="shared" si="686"/>
        <v>0</v>
      </c>
      <c r="P4383" s="12">
        <f t="shared" si="687"/>
        <v>0</v>
      </c>
      <c r="Q4383" s="17" t="str">
        <f t="shared" si="689"/>
        <v>Pas d'écart</v>
      </c>
    </row>
    <row r="4384" spans="1:17" x14ac:dyDescent="0.3">
      <c r="A4384" s="34" t="str">
        <f>base!J4384</f>
        <v>RS</v>
      </c>
      <c r="B4384" s="34" t="str">
        <f>base!V4384</f>
        <v>17440</v>
      </c>
      <c r="C4384" s="37">
        <v>17</v>
      </c>
      <c r="D4384" s="36">
        <f>base!H4384</f>
        <v>165.02</v>
      </c>
      <c r="E4384" s="44"/>
      <c r="F4384" s="16">
        <f>base!W4384</f>
        <v>0</v>
      </c>
      <c r="G4384" s="11">
        <f t="shared" si="680"/>
        <v>0</v>
      </c>
      <c r="H4384" s="11">
        <f t="shared" si="681"/>
        <v>34.654200000000003</v>
      </c>
      <c r="I4384" s="11">
        <f t="shared" si="682"/>
        <v>0.21</v>
      </c>
      <c r="J4384" s="12">
        <f t="shared" si="683"/>
        <v>-34.654200000000003</v>
      </c>
      <c r="K4384" s="17" t="str">
        <f t="shared" si="688"/>
        <v>Ecart négatif</v>
      </c>
      <c r="L4384" s="16">
        <f>base!X4384</f>
        <v>0</v>
      </c>
      <c r="M4384" s="11">
        <f t="shared" si="684"/>
        <v>0</v>
      </c>
      <c r="N4384" s="11">
        <f t="shared" si="685"/>
        <v>28.053400000000003</v>
      </c>
      <c r="O4384" s="11">
        <f t="shared" si="686"/>
        <v>0.17</v>
      </c>
      <c r="P4384" s="12">
        <f t="shared" si="687"/>
        <v>-28.053400000000003</v>
      </c>
      <c r="Q4384" s="17" t="str">
        <f t="shared" si="689"/>
        <v>Ecart négatif</v>
      </c>
    </row>
    <row r="4385" spans="1:18" x14ac:dyDescent="0.3">
      <c r="A4385" s="34" t="str">
        <f>base!J4385</f>
        <v>RS</v>
      </c>
      <c r="B4385" s="34" t="str">
        <f>base!V4385</f>
        <v>69380</v>
      </c>
      <c r="C4385" s="37">
        <v>69</v>
      </c>
      <c r="D4385" s="36">
        <f>base!H4385</f>
        <v>67.599999999999994</v>
      </c>
      <c r="E4385" s="44"/>
      <c r="F4385" s="16">
        <f>base!W4385</f>
        <v>0</v>
      </c>
      <c r="G4385" s="11">
        <f t="shared" si="680"/>
        <v>0</v>
      </c>
      <c r="H4385" s="11">
        <f t="shared" si="681"/>
        <v>18.251999999999999</v>
      </c>
      <c r="I4385" s="11">
        <f t="shared" si="682"/>
        <v>0.27</v>
      </c>
      <c r="J4385" s="12">
        <f t="shared" si="683"/>
        <v>-18.251999999999999</v>
      </c>
      <c r="K4385" s="17" t="str">
        <f t="shared" si="688"/>
        <v>Ecart négatif</v>
      </c>
      <c r="L4385" s="16">
        <f>base!X4385</f>
        <v>0</v>
      </c>
      <c r="M4385" s="11">
        <f t="shared" si="684"/>
        <v>0</v>
      </c>
      <c r="N4385" s="11">
        <f t="shared" si="685"/>
        <v>0</v>
      </c>
      <c r="O4385" s="11">
        <f t="shared" si="686"/>
        <v>0</v>
      </c>
      <c r="P4385" s="12">
        <f t="shared" si="687"/>
        <v>0</v>
      </c>
      <c r="Q4385" s="17" t="str">
        <f t="shared" si="689"/>
        <v>Pas d'écart</v>
      </c>
    </row>
    <row r="4386" spans="1:18" x14ac:dyDescent="0.3">
      <c r="A4386" s="34" t="str">
        <f>base!J4386</f>
        <v>DLM</v>
      </c>
      <c r="B4386" s="34" t="str">
        <f>base!V4386</f>
        <v>33154</v>
      </c>
      <c r="C4386" s="37">
        <v>33</v>
      </c>
      <c r="D4386" s="36">
        <f>base!H4386</f>
        <v>52.5</v>
      </c>
      <c r="E4386" s="44"/>
      <c r="F4386" s="16">
        <f>base!W4386</f>
        <v>0</v>
      </c>
      <c r="G4386" s="11">
        <f t="shared" si="680"/>
        <v>0</v>
      </c>
      <c r="H4386" s="11">
        <f t="shared" si="681"/>
        <v>11.025</v>
      </c>
      <c r="I4386" s="11">
        <f t="shared" si="682"/>
        <v>0.21000000000000002</v>
      </c>
      <c r="J4386" s="12">
        <f t="shared" si="683"/>
        <v>-11.025</v>
      </c>
      <c r="K4386" s="17" t="str">
        <f t="shared" si="688"/>
        <v>Ecart négatif</v>
      </c>
      <c r="L4386" s="16">
        <f>base!X4386</f>
        <v>0</v>
      </c>
      <c r="M4386" s="11">
        <f t="shared" si="684"/>
        <v>0</v>
      </c>
      <c r="N4386" s="11">
        <f t="shared" si="685"/>
        <v>8.9250000000000007</v>
      </c>
      <c r="O4386" s="11">
        <f t="shared" si="686"/>
        <v>0.17</v>
      </c>
      <c r="P4386" s="12">
        <f t="shared" si="687"/>
        <v>-8.9250000000000007</v>
      </c>
      <c r="Q4386" s="17" t="str">
        <f t="shared" si="689"/>
        <v>Ecart négatif</v>
      </c>
    </row>
    <row r="4387" spans="1:18" x14ac:dyDescent="0.3">
      <c r="A4387" s="34" t="str">
        <f>base!J4387</f>
        <v>DLM</v>
      </c>
      <c r="B4387" s="34" t="str">
        <f>base!V4387</f>
        <v>73870</v>
      </c>
      <c r="C4387" s="37">
        <v>73</v>
      </c>
      <c r="D4387" s="36">
        <f>base!H4387</f>
        <v>189.52</v>
      </c>
      <c r="E4387" s="44"/>
      <c r="F4387" s="16">
        <f>base!W4387</f>
        <v>0</v>
      </c>
      <c r="G4387" s="11">
        <f t="shared" si="680"/>
        <v>0</v>
      </c>
      <c r="H4387" s="11">
        <f t="shared" si="681"/>
        <v>51.170400000000008</v>
      </c>
      <c r="I4387" s="11">
        <f t="shared" si="682"/>
        <v>0.27</v>
      </c>
      <c r="J4387" s="12">
        <f t="shared" si="683"/>
        <v>-51.170400000000008</v>
      </c>
      <c r="K4387" s="17" t="str">
        <f t="shared" si="688"/>
        <v>Ecart négatif</v>
      </c>
      <c r="L4387" s="16">
        <f>base!X4387</f>
        <v>0</v>
      </c>
      <c r="M4387" s="11">
        <f t="shared" si="684"/>
        <v>0</v>
      </c>
      <c r="N4387" s="11">
        <f t="shared" si="685"/>
        <v>0</v>
      </c>
      <c r="O4387" s="11">
        <f t="shared" si="686"/>
        <v>0</v>
      </c>
      <c r="P4387" s="12">
        <f t="shared" si="687"/>
        <v>0</v>
      </c>
      <c r="Q4387" s="17" t="str">
        <f t="shared" si="689"/>
        <v>Pas d'écart</v>
      </c>
    </row>
    <row r="4388" spans="1:18" x14ac:dyDescent="0.3">
      <c r="A4388" s="34" t="str">
        <f>base!J4388</f>
        <v>RM</v>
      </c>
      <c r="B4388" s="34" t="str">
        <f>base!V4388</f>
        <v>67000</v>
      </c>
      <c r="C4388" s="37">
        <v>67</v>
      </c>
      <c r="D4388" s="36">
        <f>base!H4388</f>
        <v>131.19999999999999</v>
      </c>
      <c r="E4388" s="44"/>
      <c r="F4388" s="16">
        <f>base!W4388</f>
        <v>0</v>
      </c>
      <c r="G4388" s="11">
        <f t="shared" si="680"/>
        <v>0</v>
      </c>
      <c r="H4388" s="11">
        <f t="shared" si="681"/>
        <v>38.047999999999995</v>
      </c>
      <c r="I4388" s="11">
        <f t="shared" si="682"/>
        <v>0.28999999999999998</v>
      </c>
      <c r="J4388" s="12">
        <f t="shared" si="683"/>
        <v>-38.047999999999995</v>
      </c>
      <c r="K4388" s="17" t="str">
        <f t="shared" si="688"/>
        <v>Ecart négatif</v>
      </c>
      <c r="L4388" s="16">
        <f>base!X4388</f>
        <v>10.5</v>
      </c>
      <c r="M4388" s="11">
        <f t="shared" si="684"/>
        <v>8.003048780487805E-2</v>
      </c>
      <c r="N4388" s="11">
        <f t="shared" si="685"/>
        <v>10.495999999999999</v>
      </c>
      <c r="O4388" s="11">
        <f t="shared" si="686"/>
        <v>0.08</v>
      </c>
      <c r="P4388" s="12">
        <f t="shared" si="687"/>
        <v>4.0000000000013358E-3</v>
      </c>
      <c r="Q4388" s="17" t="str">
        <f t="shared" si="689"/>
        <v>Ecart positif</v>
      </c>
      <c r="R4388" s="38"/>
    </row>
    <row r="4389" spans="1:18" x14ac:dyDescent="0.3">
      <c r="A4389" s="34" t="str">
        <f>base!J4389</f>
        <v>RS</v>
      </c>
      <c r="B4389" s="34" t="str">
        <f>base!V4389</f>
        <v>62320</v>
      </c>
      <c r="C4389" s="37">
        <v>62</v>
      </c>
      <c r="D4389" s="36">
        <f>base!H4389</f>
        <v>180</v>
      </c>
      <c r="E4389" s="44"/>
      <c r="F4389" s="16">
        <f>base!W4389</f>
        <v>0</v>
      </c>
      <c r="G4389" s="11">
        <f t="shared" si="680"/>
        <v>0</v>
      </c>
      <c r="H4389" s="11">
        <f t="shared" si="681"/>
        <v>34.200000000000003</v>
      </c>
      <c r="I4389" s="11">
        <f t="shared" si="682"/>
        <v>0.19</v>
      </c>
      <c r="J4389" s="12">
        <f t="shared" si="683"/>
        <v>-34.200000000000003</v>
      </c>
      <c r="K4389" s="17" t="str">
        <f t="shared" si="688"/>
        <v>Ecart négatif</v>
      </c>
      <c r="L4389" s="16">
        <f>base!X4389</f>
        <v>0</v>
      </c>
      <c r="M4389" s="11">
        <f t="shared" si="684"/>
        <v>0</v>
      </c>
      <c r="N4389" s="11">
        <f t="shared" si="685"/>
        <v>0</v>
      </c>
      <c r="O4389" s="11">
        <f t="shared" si="686"/>
        <v>0</v>
      </c>
      <c r="P4389" s="12">
        <f t="shared" si="687"/>
        <v>0</v>
      </c>
      <c r="Q4389" s="17" t="str">
        <f t="shared" si="689"/>
        <v>Pas d'écart</v>
      </c>
    </row>
    <row r="4390" spans="1:18" x14ac:dyDescent="0.3">
      <c r="A4390" s="34" t="str">
        <f>base!J4390</f>
        <v>RM</v>
      </c>
      <c r="B4390" s="34" t="str">
        <f>base!V4390</f>
        <v>21000</v>
      </c>
      <c r="C4390" s="37">
        <v>21</v>
      </c>
      <c r="D4390" s="36">
        <f>base!H4390</f>
        <v>25</v>
      </c>
      <c r="E4390" s="44"/>
      <c r="F4390" s="16">
        <f>base!W4390</f>
        <v>0</v>
      </c>
      <c r="G4390" s="11">
        <f t="shared" si="680"/>
        <v>0</v>
      </c>
      <c r="H4390" s="11">
        <f t="shared" si="681"/>
        <v>6</v>
      </c>
      <c r="I4390" s="11">
        <f t="shared" si="682"/>
        <v>0.24</v>
      </c>
      <c r="J4390" s="12">
        <f t="shared" si="683"/>
        <v>-6</v>
      </c>
      <c r="K4390" s="17" t="str">
        <f t="shared" si="688"/>
        <v>Ecart négatif</v>
      </c>
      <c r="L4390" s="16">
        <f>base!X4390</f>
        <v>0</v>
      </c>
      <c r="M4390" s="11">
        <f t="shared" si="684"/>
        <v>0</v>
      </c>
      <c r="N4390" s="11">
        <f t="shared" si="685"/>
        <v>3</v>
      </c>
      <c r="O4390" s="11">
        <f t="shared" si="686"/>
        <v>0.12</v>
      </c>
      <c r="P4390" s="12">
        <f t="shared" si="687"/>
        <v>-3</v>
      </c>
      <c r="Q4390" s="17" t="str">
        <f t="shared" si="689"/>
        <v>Ecart négatif</v>
      </c>
    </row>
    <row r="4391" spans="1:18" x14ac:dyDescent="0.3">
      <c r="A4391" s="34" t="str">
        <f>base!J4391</f>
        <v>RS</v>
      </c>
      <c r="B4391" s="34" t="str">
        <f>base!V4391</f>
        <v>56610</v>
      </c>
      <c r="C4391" s="37">
        <v>56</v>
      </c>
      <c r="D4391" s="36">
        <f>base!H4391</f>
        <v>160</v>
      </c>
      <c r="E4391" s="44"/>
      <c r="F4391" s="16">
        <f>base!W4391</f>
        <v>0</v>
      </c>
      <c r="G4391" s="11">
        <f t="shared" si="680"/>
        <v>0</v>
      </c>
      <c r="H4391" s="11">
        <f t="shared" si="681"/>
        <v>43.2</v>
      </c>
      <c r="I4391" s="11">
        <f t="shared" si="682"/>
        <v>0.27</v>
      </c>
      <c r="J4391" s="12">
        <f t="shared" si="683"/>
        <v>-43.2</v>
      </c>
      <c r="K4391" s="17" t="str">
        <f t="shared" si="688"/>
        <v>Ecart négatif</v>
      </c>
      <c r="L4391" s="16">
        <f>base!X4391</f>
        <v>43.2</v>
      </c>
      <c r="M4391" s="11">
        <f t="shared" si="684"/>
        <v>0.27</v>
      </c>
      <c r="N4391" s="11">
        <f t="shared" si="685"/>
        <v>0</v>
      </c>
      <c r="O4391" s="11">
        <f t="shared" si="686"/>
        <v>0</v>
      </c>
      <c r="P4391" s="12">
        <f t="shared" si="687"/>
        <v>43.2</v>
      </c>
      <c r="Q4391" s="17" t="str">
        <f t="shared" si="689"/>
        <v>Ecart positif</v>
      </c>
    </row>
    <row r="4392" spans="1:18" x14ac:dyDescent="0.3">
      <c r="A4392" s="34" t="str">
        <f>base!J4392</f>
        <v>LM</v>
      </c>
      <c r="B4392" s="34" t="str">
        <f>base!V4392</f>
        <v>56920</v>
      </c>
      <c r="C4392" s="37">
        <v>53</v>
      </c>
      <c r="D4392" s="36">
        <f>base!H4392</f>
        <v>49.08</v>
      </c>
      <c r="E4392" s="44"/>
      <c r="F4392" s="16">
        <f>base!W4392</f>
        <v>13.25</v>
      </c>
      <c r="G4392" s="11">
        <f t="shared" si="680"/>
        <v>0.26996740016299919</v>
      </c>
      <c r="H4392" s="11">
        <f t="shared" si="681"/>
        <v>13.2516</v>
      </c>
      <c r="I4392" s="11">
        <f t="shared" si="682"/>
        <v>0.27</v>
      </c>
      <c r="J4392" s="12">
        <f t="shared" si="683"/>
        <v>-1.5999999999998238E-3</v>
      </c>
      <c r="K4392" s="17" t="str">
        <f t="shared" si="688"/>
        <v>Ecart négatif</v>
      </c>
      <c r="L4392" s="16">
        <f>base!X4392</f>
        <v>0</v>
      </c>
      <c r="M4392" s="11">
        <f t="shared" si="684"/>
        <v>0</v>
      </c>
      <c r="N4392" s="11">
        <f t="shared" si="685"/>
        <v>0</v>
      </c>
      <c r="O4392" s="11">
        <f t="shared" si="686"/>
        <v>0</v>
      </c>
      <c r="P4392" s="12">
        <f t="shared" si="687"/>
        <v>0</v>
      </c>
      <c r="Q4392" s="17" t="str">
        <f t="shared" si="689"/>
        <v>Pas d'écart</v>
      </c>
    </row>
    <row r="4393" spans="1:18" x14ac:dyDescent="0.3">
      <c r="A4393" s="34" t="str">
        <f>base!J4393</f>
        <v>LM</v>
      </c>
      <c r="B4393" s="34" t="str">
        <f>base!V4393</f>
        <v>68520</v>
      </c>
      <c r="C4393" s="37">
        <v>53</v>
      </c>
      <c r="D4393" s="36">
        <f>base!H4393</f>
        <v>153.81</v>
      </c>
      <c r="E4393" s="44"/>
      <c r="F4393" s="16">
        <f>base!W4393</f>
        <v>44.6</v>
      </c>
      <c r="G4393" s="11">
        <f t="shared" si="680"/>
        <v>0.28996814251349068</v>
      </c>
      <c r="H4393" s="11">
        <f t="shared" si="681"/>
        <v>41.528700000000001</v>
      </c>
      <c r="I4393" s="11">
        <f t="shared" si="682"/>
        <v>0.27</v>
      </c>
      <c r="J4393" s="12">
        <f t="shared" si="683"/>
        <v>3.0713000000000008</v>
      </c>
      <c r="K4393" s="17" t="str">
        <f t="shared" si="688"/>
        <v>Ecart positif</v>
      </c>
      <c r="L4393" s="16">
        <f>base!X4393</f>
        <v>0</v>
      </c>
      <c r="M4393" s="11">
        <f t="shared" si="684"/>
        <v>0</v>
      </c>
      <c r="N4393" s="11">
        <f t="shared" si="685"/>
        <v>0</v>
      </c>
      <c r="O4393" s="11">
        <f t="shared" si="686"/>
        <v>0</v>
      </c>
      <c r="P4393" s="12">
        <f t="shared" si="687"/>
        <v>0</v>
      </c>
      <c r="Q4393" s="17" t="str">
        <f t="shared" si="689"/>
        <v>Pas d'écart</v>
      </c>
    </row>
    <row r="4394" spans="1:18" x14ac:dyDescent="0.3">
      <c r="A4394" s="34" t="str">
        <f>base!J4394</f>
        <v>LM</v>
      </c>
      <c r="B4394" s="34" t="str">
        <f>base!V4394</f>
        <v>92000</v>
      </c>
      <c r="C4394" s="37">
        <v>92</v>
      </c>
      <c r="D4394" s="36">
        <f>base!H4394</f>
        <v>208.21</v>
      </c>
      <c r="E4394" s="44"/>
      <c r="F4394" s="16">
        <f>base!W4394</f>
        <v>0</v>
      </c>
      <c r="G4394" s="11">
        <f t="shared" si="680"/>
        <v>0</v>
      </c>
      <c r="H4394" s="11">
        <f t="shared" si="681"/>
        <v>0</v>
      </c>
      <c r="I4394" s="11">
        <f t="shared" si="682"/>
        <v>0</v>
      </c>
      <c r="J4394" s="12">
        <f t="shared" si="683"/>
        <v>0</v>
      </c>
      <c r="K4394" s="17" t="str">
        <f t="shared" si="688"/>
        <v>Pas d'écart</v>
      </c>
      <c r="L4394" s="16">
        <f>base!X4394</f>
        <v>0</v>
      </c>
      <c r="M4394" s="11">
        <f t="shared" si="684"/>
        <v>0</v>
      </c>
      <c r="N4394" s="11">
        <f t="shared" si="685"/>
        <v>0</v>
      </c>
      <c r="O4394" s="11">
        <f t="shared" si="686"/>
        <v>0</v>
      </c>
      <c r="P4394" s="12">
        <f t="shared" si="687"/>
        <v>0</v>
      </c>
      <c r="Q4394" s="17" t="str">
        <f t="shared" si="689"/>
        <v>Pas d'écart</v>
      </c>
    </row>
    <row r="4395" spans="1:18" x14ac:dyDescent="0.3">
      <c r="A4395" s="34" t="str">
        <f>base!J4395</f>
        <v>RM</v>
      </c>
      <c r="B4395" s="34" t="str">
        <f>base!V4395</f>
        <v>62600</v>
      </c>
      <c r="C4395" s="37">
        <v>62</v>
      </c>
      <c r="D4395" s="36">
        <f>base!H4395</f>
        <v>29.89</v>
      </c>
      <c r="E4395" s="44"/>
      <c r="F4395" s="16">
        <f>base!W4395</f>
        <v>0</v>
      </c>
      <c r="G4395" s="11">
        <f t="shared" si="680"/>
        <v>0</v>
      </c>
      <c r="H4395" s="11">
        <f t="shared" si="681"/>
        <v>5.6791</v>
      </c>
      <c r="I4395" s="11">
        <f t="shared" si="682"/>
        <v>0.19</v>
      </c>
      <c r="J4395" s="12">
        <f t="shared" si="683"/>
        <v>-5.6791</v>
      </c>
      <c r="K4395" s="17" t="str">
        <f t="shared" si="688"/>
        <v>Ecart négatif</v>
      </c>
      <c r="L4395" s="16">
        <f>base!X4395</f>
        <v>0</v>
      </c>
      <c r="M4395" s="11">
        <f t="shared" si="684"/>
        <v>0</v>
      </c>
      <c r="N4395" s="11">
        <f t="shared" si="685"/>
        <v>0</v>
      </c>
      <c r="O4395" s="11">
        <f t="shared" si="686"/>
        <v>0</v>
      </c>
      <c r="P4395" s="12">
        <f t="shared" si="687"/>
        <v>0</v>
      </c>
      <c r="Q4395" s="17" t="str">
        <f t="shared" si="689"/>
        <v>Pas d'écart</v>
      </c>
    </row>
    <row r="4396" spans="1:18" x14ac:dyDescent="0.3">
      <c r="A4396" s="34" t="str">
        <f>base!J4396</f>
        <v>RM</v>
      </c>
      <c r="B4396" s="34" t="str">
        <f>base!V4396</f>
        <v>68360</v>
      </c>
      <c r="C4396" s="37">
        <v>68</v>
      </c>
      <c r="D4396" s="36">
        <f>base!H4396</f>
        <v>151</v>
      </c>
      <c r="E4396" s="44"/>
      <c r="F4396" s="16">
        <f>base!W4396</f>
        <v>0</v>
      </c>
      <c r="G4396" s="11">
        <f t="shared" si="680"/>
        <v>0</v>
      </c>
      <c r="H4396" s="11">
        <f t="shared" si="681"/>
        <v>43.79</v>
      </c>
      <c r="I4396" s="11">
        <f t="shared" si="682"/>
        <v>0.28999999999999998</v>
      </c>
      <c r="J4396" s="12">
        <f t="shared" si="683"/>
        <v>-43.79</v>
      </c>
      <c r="K4396" s="17" t="str">
        <f t="shared" si="688"/>
        <v>Ecart négatif</v>
      </c>
      <c r="L4396" s="16">
        <f>base!X4396</f>
        <v>0</v>
      </c>
      <c r="M4396" s="11">
        <f t="shared" si="684"/>
        <v>0</v>
      </c>
      <c r="N4396" s="11">
        <f t="shared" si="685"/>
        <v>12.08</v>
      </c>
      <c r="O4396" s="11">
        <f t="shared" si="686"/>
        <v>0.08</v>
      </c>
      <c r="P4396" s="12">
        <f t="shared" si="687"/>
        <v>-12.08</v>
      </c>
      <c r="Q4396" s="17" t="str">
        <f t="shared" si="689"/>
        <v>Ecart négatif</v>
      </c>
    </row>
    <row r="4397" spans="1:18" x14ac:dyDescent="0.3">
      <c r="A4397" s="34">
        <f>base!J4397</f>
        <v>0</v>
      </c>
      <c r="B4397" s="34" t="str">
        <f>base!V4397</f>
        <v>44240</v>
      </c>
      <c r="C4397" s="37">
        <v>44</v>
      </c>
      <c r="D4397" s="36">
        <f>base!H4397</f>
        <v>29.89</v>
      </c>
      <c r="E4397" s="44"/>
      <c r="F4397" s="16">
        <f>base!W4397</f>
        <v>0</v>
      </c>
      <c r="G4397" s="11">
        <f t="shared" si="680"/>
        <v>0</v>
      </c>
      <c r="H4397" s="11">
        <f t="shared" si="681"/>
        <v>8.0703000000000014</v>
      </c>
      <c r="I4397" s="11">
        <f t="shared" si="682"/>
        <v>0.27</v>
      </c>
      <c r="J4397" s="12">
        <f t="shared" si="683"/>
        <v>-8.0703000000000014</v>
      </c>
      <c r="K4397" s="17" t="str">
        <f t="shared" si="688"/>
        <v>Ecart négatif</v>
      </c>
      <c r="L4397" s="16">
        <f>base!X4397</f>
        <v>0</v>
      </c>
      <c r="M4397" s="11">
        <f t="shared" si="684"/>
        <v>0</v>
      </c>
      <c r="N4397" s="11">
        <f t="shared" si="685"/>
        <v>0</v>
      </c>
      <c r="O4397" s="11">
        <f t="shared" si="686"/>
        <v>0</v>
      </c>
      <c r="P4397" s="12">
        <f t="shared" si="687"/>
        <v>0</v>
      </c>
      <c r="Q4397" s="17" t="str">
        <f t="shared" si="689"/>
        <v>Pas d'écart</v>
      </c>
    </row>
    <row r="4398" spans="1:18" x14ac:dyDescent="0.3">
      <c r="A4398" s="34" t="str">
        <f>base!J4398</f>
        <v>LS</v>
      </c>
      <c r="B4398" s="34" t="str">
        <f>base!V4398</f>
        <v>75019</v>
      </c>
      <c r="C4398" s="37">
        <v>75</v>
      </c>
      <c r="D4398" s="36">
        <f>base!H4398</f>
        <v>0</v>
      </c>
      <c r="E4398" s="44"/>
      <c r="F4398" s="16">
        <f>base!W4398</f>
        <v>0</v>
      </c>
      <c r="G4398" s="11" t="e">
        <f t="shared" si="680"/>
        <v>#DIV/0!</v>
      </c>
      <c r="H4398" s="11">
        <f t="shared" si="681"/>
        <v>0</v>
      </c>
      <c r="I4398" s="11" t="e">
        <f t="shared" si="682"/>
        <v>#DIV/0!</v>
      </c>
      <c r="J4398" s="12">
        <f t="shared" si="683"/>
        <v>0</v>
      </c>
      <c r="K4398" s="17" t="str">
        <f t="shared" si="688"/>
        <v>Pas d'écart</v>
      </c>
      <c r="L4398" s="16">
        <f>base!X4398</f>
        <v>0</v>
      </c>
      <c r="M4398" s="11" t="e">
        <f t="shared" si="684"/>
        <v>#DIV/0!</v>
      </c>
      <c r="N4398" s="11">
        <f t="shared" si="685"/>
        <v>0</v>
      </c>
      <c r="O4398" s="11" t="e">
        <f t="shared" si="686"/>
        <v>#DIV/0!</v>
      </c>
      <c r="P4398" s="12">
        <f t="shared" si="687"/>
        <v>0</v>
      </c>
      <c r="Q4398" s="17" t="str">
        <f t="shared" si="689"/>
        <v>Pas d'écart</v>
      </c>
    </row>
    <row r="4399" spans="1:18" x14ac:dyDescent="0.3">
      <c r="A4399" s="34">
        <f>base!J4399</f>
        <v>0</v>
      </c>
      <c r="B4399" s="34" t="str">
        <f>base!V4399</f>
        <v>77184</v>
      </c>
      <c r="C4399" s="37">
        <v>77</v>
      </c>
      <c r="D4399" s="36">
        <f>base!H4399</f>
        <v>22</v>
      </c>
      <c r="E4399" s="44"/>
      <c r="F4399" s="16">
        <f>base!W4399</f>
        <v>0</v>
      </c>
      <c r="G4399" s="11">
        <f t="shared" si="680"/>
        <v>0</v>
      </c>
      <c r="H4399" s="11">
        <f t="shared" si="681"/>
        <v>0</v>
      </c>
      <c r="I4399" s="11">
        <f t="shared" si="682"/>
        <v>0</v>
      </c>
      <c r="J4399" s="12">
        <f t="shared" si="683"/>
        <v>0</v>
      </c>
      <c r="K4399" s="17" t="str">
        <f t="shared" si="688"/>
        <v>Pas d'écart</v>
      </c>
      <c r="L4399" s="16">
        <f>base!X4399</f>
        <v>0</v>
      </c>
      <c r="M4399" s="11">
        <f t="shared" si="684"/>
        <v>0</v>
      </c>
      <c r="N4399" s="11">
        <f t="shared" si="685"/>
        <v>0</v>
      </c>
      <c r="O4399" s="11">
        <f t="shared" si="686"/>
        <v>0</v>
      </c>
      <c r="P4399" s="12">
        <f t="shared" si="687"/>
        <v>0</v>
      </c>
      <c r="Q4399" s="17" t="str">
        <f t="shared" si="689"/>
        <v>Pas d'écart</v>
      </c>
    </row>
    <row r="4400" spans="1:18" x14ac:dyDescent="0.3">
      <c r="A4400" s="34" t="str">
        <f>base!J4400</f>
        <v>LS</v>
      </c>
      <c r="B4400" s="34" t="str">
        <f>base!V4400</f>
        <v>28300</v>
      </c>
      <c r="C4400" s="37">
        <v>38</v>
      </c>
      <c r="D4400" s="36">
        <f>base!H4400</f>
        <v>138.12</v>
      </c>
      <c r="E4400" s="44"/>
      <c r="F4400" s="16">
        <f>base!W4400</f>
        <v>29.01</v>
      </c>
      <c r="G4400" s="11">
        <f t="shared" si="680"/>
        <v>0.21003475238922675</v>
      </c>
      <c r="H4400" s="11">
        <f t="shared" si="681"/>
        <v>37.292400000000001</v>
      </c>
      <c r="I4400" s="11">
        <f t="shared" si="682"/>
        <v>0.27</v>
      </c>
      <c r="J4400" s="12">
        <f t="shared" si="683"/>
        <v>-8.2823999999999991</v>
      </c>
      <c r="K4400" s="17" t="str">
        <f t="shared" si="688"/>
        <v>Ecart négatif</v>
      </c>
      <c r="L4400" s="16">
        <f>base!X4400</f>
        <v>0</v>
      </c>
      <c r="M4400" s="11">
        <f t="shared" si="684"/>
        <v>0</v>
      </c>
      <c r="N4400" s="11">
        <f t="shared" si="685"/>
        <v>0</v>
      </c>
      <c r="O4400" s="11">
        <f t="shared" si="686"/>
        <v>0</v>
      </c>
      <c r="P4400" s="12">
        <f t="shared" si="687"/>
        <v>0</v>
      </c>
      <c r="Q4400" s="17" t="str">
        <f t="shared" si="689"/>
        <v>Pas d'écart</v>
      </c>
    </row>
    <row r="4401" spans="1:17" x14ac:dyDescent="0.3">
      <c r="A4401" s="34" t="str">
        <f>base!J4401</f>
        <v>DRS</v>
      </c>
      <c r="B4401" s="34" t="str">
        <f>base!V4401</f>
        <v>34970</v>
      </c>
      <c r="C4401" s="37">
        <v>34</v>
      </c>
      <c r="D4401" s="36">
        <f>base!H4401</f>
        <v>55</v>
      </c>
      <c r="E4401" s="44"/>
      <c r="F4401" s="16">
        <f>base!W4401</f>
        <v>0</v>
      </c>
      <c r="G4401" s="11">
        <f t="shared" si="680"/>
        <v>0</v>
      </c>
      <c r="H4401" s="11">
        <f t="shared" si="681"/>
        <v>21.45</v>
      </c>
      <c r="I4401" s="11">
        <f t="shared" si="682"/>
        <v>0.39</v>
      </c>
      <c r="J4401" s="12">
        <f t="shared" si="683"/>
        <v>-21.45</v>
      </c>
      <c r="K4401" s="17" t="str">
        <f t="shared" si="688"/>
        <v>Ecart négatif</v>
      </c>
      <c r="L4401" s="16">
        <f>base!X4401</f>
        <v>0</v>
      </c>
      <c r="M4401" s="11">
        <f t="shared" si="684"/>
        <v>0</v>
      </c>
      <c r="N4401" s="11">
        <f t="shared" si="685"/>
        <v>15.400000000000002</v>
      </c>
      <c r="O4401" s="11">
        <f t="shared" si="686"/>
        <v>0.28000000000000003</v>
      </c>
      <c r="P4401" s="12">
        <f t="shared" si="687"/>
        <v>-15.400000000000002</v>
      </c>
      <c r="Q4401" s="17" t="str">
        <f t="shared" si="689"/>
        <v>Ecart négatif</v>
      </c>
    </row>
    <row r="4402" spans="1:17" x14ac:dyDescent="0.3">
      <c r="A4402" s="34" t="str">
        <f>base!J4402</f>
        <v>LM</v>
      </c>
      <c r="B4402" s="34" t="str">
        <f>base!V4402</f>
        <v>69002</v>
      </c>
      <c r="C4402" s="37">
        <v>69</v>
      </c>
      <c r="D4402" s="36">
        <f>base!H4402</f>
        <v>200</v>
      </c>
      <c r="E4402" s="44"/>
      <c r="F4402" s="16">
        <f>base!W4402</f>
        <v>54</v>
      </c>
      <c r="G4402" s="11">
        <f t="shared" si="680"/>
        <v>0.27</v>
      </c>
      <c r="H4402" s="11">
        <f t="shared" si="681"/>
        <v>54</v>
      </c>
      <c r="I4402" s="11">
        <f t="shared" si="682"/>
        <v>0.27</v>
      </c>
      <c r="J4402" s="12">
        <f t="shared" si="683"/>
        <v>0</v>
      </c>
      <c r="K4402" s="17" t="str">
        <f t="shared" si="688"/>
        <v>Pas d'écart</v>
      </c>
      <c r="L4402" s="16">
        <f>base!X4402</f>
        <v>0</v>
      </c>
      <c r="M4402" s="11">
        <f t="shared" si="684"/>
        <v>0</v>
      </c>
      <c r="N4402" s="11">
        <f t="shared" si="685"/>
        <v>0</v>
      </c>
      <c r="O4402" s="11">
        <f t="shared" si="686"/>
        <v>0</v>
      </c>
      <c r="P4402" s="12">
        <f t="shared" si="687"/>
        <v>0</v>
      </c>
      <c r="Q4402" s="17" t="str">
        <f t="shared" si="689"/>
        <v>Pas d'écart</v>
      </c>
    </row>
    <row r="4403" spans="1:17" x14ac:dyDescent="0.3">
      <c r="A4403" s="34" t="str">
        <f>base!J4403</f>
        <v>LM</v>
      </c>
      <c r="B4403" s="34" t="str">
        <f>base!V4403</f>
        <v>75014</v>
      </c>
      <c r="C4403" s="37">
        <v>75</v>
      </c>
      <c r="D4403" s="36">
        <f>base!H4403</f>
        <v>19.649999999999999</v>
      </c>
      <c r="E4403" s="44"/>
      <c r="F4403" s="16">
        <f>base!W4403</f>
        <v>0</v>
      </c>
      <c r="G4403" s="11">
        <f t="shared" si="680"/>
        <v>0</v>
      </c>
      <c r="H4403" s="11">
        <f t="shared" si="681"/>
        <v>0</v>
      </c>
      <c r="I4403" s="11">
        <f t="shared" si="682"/>
        <v>0</v>
      </c>
      <c r="J4403" s="12">
        <f t="shared" si="683"/>
        <v>0</v>
      </c>
      <c r="K4403" s="17" t="str">
        <f t="shared" si="688"/>
        <v>Pas d'écart</v>
      </c>
      <c r="L4403" s="16">
        <f>base!X4403</f>
        <v>0</v>
      </c>
      <c r="M4403" s="11">
        <f t="shared" si="684"/>
        <v>0</v>
      </c>
      <c r="N4403" s="11">
        <f t="shared" si="685"/>
        <v>0</v>
      </c>
      <c r="O4403" s="11">
        <f t="shared" si="686"/>
        <v>0</v>
      </c>
      <c r="P4403" s="12">
        <f t="shared" si="687"/>
        <v>0</v>
      </c>
      <c r="Q4403" s="17" t="str">
        <f t="shared" si="689"/>
        <v>Pas d'écart</v>
      </c>
    </row>
    <row r="4404" spans="1:17" x14ac:dyDescent="0.3">
      <c r="A4404" s="34" t="str">
        <f>base!J4404</f>
        <v>LM</v>
      </c>
      <c r="B4404" s="34" t="str">
        <f>base!V4404</f>
        <v>49080</v>
      </c>
      <c r="C4404" s="37">
        <v>68</v>
      </c>
      <c r="D4404" s="36">
        <f>base!H4404</f>
        <v>124.95</v>
      </c>
      <c r="E4404" s="44"/>
      <c r="F4404" s="16">
        <f>base!W4404</f>
        <v>0</v>
      </c>
      <c r="G4404" s="11">
        <f t="shared" si="680"/>
        <v>0</v>
      </c>
      <c r="H4404" s="11">
        <f t="shared" si="681"/>
        <v>36.235500000000002</v>
      </c>
      <c r="I4404" s="11">
        <f t="shared" si="682"/>
        <v>0.29000000000000004</v>
      </c>
      <c r="J4404" s="12">
        <f t="shared" si="683"/>
        <v>-36.235500000000002</v>
      </c>
      <c r="K4404" s="17" t="str">
        <f t="shared" si="688"/>
        <v>Ecart négatif</v>
      </c>
      <c r="L4404" s="16">
        <f>base!X4404</f>
        <v>0</v>
      </c>
      <c r="M4404" s="11">
        <f t="shared" si="684"/>
        <v>0</v>
      </c>
      <c r="N4404" s="11">
        <f t="shared" si="685"/>
        <v>9.9960000000000004</v>
      </c>
      <c r="O4404" s="11">
        <f t="shared" si="686"/>
        <v>0.08</v>
      </c>
      <c r="P4404" s="12">
        <f t="shared" si="687"/>
        <v>-9.9960000000000004</v>
      </c>
      <c r="Q4404" s="17" t="str">
        <f t="shared" si="689"/>
        <v>Ecart négatif</v>
      </c>
    </row>
    <row r="4405" spans="1:17" x14ac:dyDescent="0.3">
      <c r="A4405" s="34" t="str">
        <f>base!J4405</f>
        <v>LM</v>
      </c>
      <c r="B4405" s="34" t="str">
        <f>base!V4405</f>
        <v>59800</v>
      </c>
      <c r="C4405" s="37">
        <v>59</v>
      </c>
      <c r="D4405" s="36">
        <f>base!H4405</f>
        <v>140</v>
      </c>
      <c r="E4405" s="44"/>
      <c r="F4405" s="16">
        <f>base!W4405</f>
        <v>26.6</v>
      </c>
      <c r="G4405" s="11">
        <f t="shared" si="680"/>
        <v>0.19</v>
      </c>
      <c r="H4405" s="11">
        <f t="shared" si="681"/>
        <v>26.6</v>
      </c>
      <c r="I4405" s="11">
        <f t="shared" si="682"/>
        <v>0.19</v>
      </c>
      <c r="J4405" s="12">
        <f t="shared" si="683"/>
        <v>0</v>
      </c>
      <c r="K4405" s="17" t="str">
        <f t="shared" si="688"/>
        <v>Pas d'écart</v>
      </c>
      <c r="L4405" s="16">
        <f>base!X4405</f>
        <v>0</v>
      </c>
      <c r="M4405" s="11">
        <f t="shared" si="684"/>
        <v>0</v>
      </c>
      <c r="N4405" s="11">
        <f t="shared" si="685"/>
        <v>0</v>
      </c>
      <c r="O4405" s="11">
        <f t="shared" si="686"/>
        <v>0</v>
      </c>
      <c r="P4405" s="12">
        <f t="shared" si="687"/>
        <v>0</v>
      </c>
      <c r="Q4405" s="17" t="str">
        <f t="shared" si="689"/>
        <v>Pas d'écart</v>
      </c>
    </row>
    <row r="4406" spans="1:17" x14ac:dyDescent="0.3">
      <c r="A4406" s="34" t="str">
        <f>base!J4406</f>
        <v>LS</v>
      </c>
      <c r="B4406" s="34" t="str">
        <f>base!V4406</f>
        <v>54500</v>
      </c>
      <c r="C4406" s="37">
        <v>68</v>
      </c>
      <c r="D4406" s="36">
        <f>base!H4406</f>
        <v>7.99</v>
      </c>
      <c r="E4406" s="44"/>
      <c r="F4406" s="16">
        <f>base!W4406</f>
        <v>2</v>
      </c>
      <c r="G4406" s="11">
        <f t="shared" si="680"/>
        <v>0.25031289111389238</v>
      </c>
      <c r="H4406" s="11">
        <f t="shared" si="681"/>
        <v>2.3170999999999999</v>
      </c>
      <c r="I4406" s="11">
        <f t="shared" si="682"/>
        <v>0.28999999999999998</v>
      </c>
      <c r="J4406" s="12">
        <f t="shared" si="683"/>
        <v>-0.31709999999999994</v>
      </c>
      <c r="K4406" s="17" t="str">
        <f t="shared" si="688"/>
        <v>Ecart négatif</v>
      </c>
      <c r="L4406" s="16">
        <f>base!X4406</f>
        <v>0</v>
      </c>
      <c r="M4406" s="11">
        <f t="shared" si="684"/>
        <v>0</v>
      </c>
      <c r="N4406" s="11">
        <f t="shared" si="685"/>
        <v>0.63919999999999999</v>
      </c>
      <c r="O4406" s="11">
        <f t="shared" si="686"/>
        <v>0.08</v>
      </c>
      <c r="P4406" s="12">
        <f t="shared" si="687"/>
        <v>-0.63919999999999999</v>
      </c>
      <c r="Q4406" s="17" t="str">
        <f t="shared" si="689"/>
        <v>Ecart négatif</v>
      </c>
    </row>
    <row r="4407" spans="1:17" x14ac:dyDescent="0.3">
      <c r="A4407" s="34" t="str">
        <f>base!J4407</f>
        <v>RM</v>
      </c>
      <c r="B4407" s="34" t="str">
        <f>base!V4407</f>
        <v>75010</v>
      </c>
      <c r="C4407" s="37">
        <v>75</v>
      </c>
      <c r="D4407" s="36">
        <f>base!H4407</f>
        <v>25</v>
      </c>
      <c r="E4407" s="44"/>
      <c r="F4407" s="16">
        <f>base!W4407</f>
        <v>0</v>
      </c>
      <c r="G4407" s="11">
        <f t="shared" si="680"/>
        <v>0</v>
      </c>
      <c r="H4407" s="11">
        <f t="shared" si="681"/>
        <v>0</v>
      </c>
      <c r="I4407" s="11">
        <f t="shared" si="682"/>
        <v>0</v>
      </c>
      <c r="J4407" s="12">
        <f t="shared" si="683"/>
        <v>0</v>
      </c>
      <c r="K4407" s="17" t="str">
        <f t="shared" si="688"/>
        <v>Pas d'écart</v>
      </c>
      <c r="L4407" s="16">
        <f>base!X4407</f>
        <v>0</v>
      </c>
      <c r="M4407" s="11">
        <f t="shared" si="684"/>
        <v>0</v>
      </c>
      <c r="N4407" s="11">
        <f t="shared" si="685"/>
        <v>0</v>
      </c>
      <c r="O4407" s="11">
        <f t="shared" si="686"/>
        <v>0</v>
      </c>
      <c r="P4407" s="12">
        <f t="shared" si="687"/>
        <v>0</v>
      </c>
      <c r="Q4407" s="17" t="str">
        <f t="shared" si="689"/>
        <v>Pas d'écart</v>
      </c>
    </row>
    <row r="4408" spans="1:17" x14ac:dyDescent="0.3">
      <c r="A4408" s="34" t="str">
        <f>base!J4408</f>
        <v>LM</v>
      </c>
      <c r="B4408" s="34" t="str">
        <f>base!V4408</f>
        <v>27100</v>
      </c>
      <c r="C4408" s="37">
        <v>44</v>
      </c>
      <c r="D4408" s="36">
        <f>base!H4408</f>
        <v>151</v>
      </c>
      <c r="E4408" s="44"/>
      <c r="F4408" s="16">
        <f>base!W4408</f>
        <v>25.67</v>
      </c>
      <c r="G4408" s="11">
        <f t="shared" si="680"/>
        <v>0.17</v>
      </c>
      <c r="H4408" s="11">
        <f t="shared" si="681"/>
        <v>40.770000000000003</v>
      </c>
      <c r="I4408" s="11">
        <f t="shared" si="682"/>
        <v>0.27</v>
      </c>
      <c r="J4408" s="12">
        <f t="shared" si="683"/>
        <v>-15.100000000000001</v>
      </c>
      <c r="K4408" s="17" t="str">
        <f t="shared" si="688"/>
        <v>Ecart négatif</v>
      </c>
      <c r="L4408" s="16">
        <f>base!X4408</f>
        <v>0</v>
      </c>
      <c r="M4408" s="11">
        <f t="shared" si="684"/>
        <v>0</v>
      </c>
      <c r="N4408" s="11">
        <f t="shared" si="685"/>
        <v>0</v>
      </c>
      <c r="O4408" s="11">
        <f t="shared" si="686"/>
        <v>0</v>
      </c>
      <c r="P4408" s="12">
        <f t="shared" si="687"/>
        <v>0</v>
      </c>
      <c r="Q4408" s="17" t="str">
        <f t="shared" si="689"/>
        <v>Pas d'écart</v>
      </c>
    </row>
    <row r="4409" spans="1:17" x14ac:dyDescent="0.3">
      <c r="A4409" s="34" t="str">
        <f>base!J4409</f>
        <v>RM</v>
      </c>
      <c r="B4409" s="34" t="str">
        <f>base!V4409</f>
        <v>13006</v>
      </c>
      <c r="C4409" s="37">
        <v>13</v>
      </c>
      <c r="D4409" s="36">
        <f>base!H4409</f>
        <v>29.59</v>
      </c>
      <c r="E4409" s="44"/>
      <c r="F4409" s="16">
        <f>base!W4409</f>
        <v>0</v>
      </c>
      <c r="G4409" s="11">
        <f t="shared" si="680"/>
        <v>0</v>
      </c>
      <c r="H4409" s="11">
        <f t="shared" si="681"/>
        <v>8.5810999999999993</v>
      </c>
      <c r="I4409" s="11">
        <f t="shared" si="682"/>
        <v>0.28999999999999998</v>
      </c>
      <c r="J4409" s="12">
        <f t="shared" si="683"/>
        <v>-8.5810999999999993</v>
      </c>
      <c r="K4409" s="17" t="str">
        <f t="shared" si="688"/>
        <v>Ecart négatif</v>
      </c>
      <c r="L4409" s="16">
        <f>base!X4409</f>
        <v>0</v>
      </c>
      <c r="M4409" s="11">
        <f t="shared" si="684"/>
        <v>0</v>
      </c>
      <c r="N4409" s="11">
        <f t="shared" si="685"/>
        <v>5.6220999999999997</v>
      </c>
      <c r="O4409" s="11">
        <f t="shared" si="686"/>
        <v>0.19</v>
      </c>
      <c r="P4409" s="12">
        <f t="shared" si="687"/>
        <v>-5.6220999999999997</v>
      </c>
      <c r="Q4409" s="17" t="str">
        <f t="shared" si="689"/>
        <v>Ecart négatif</v>
      </c>
    </row>
    <row r="4410" spans="1:17" x14ac:dyDescent="0.3">
      <c r="A4410" s="34" t="str">
        <f>base!J4410</f>
        <v>LS</v>
      </c>
      <c r="B4410" s="34" t="str">
        <f>base!V4410</f>
        <v>38920</v>
      </c>
      <c r="C4410" s="37">
        <v>42</v>
      </c>
      <c r="D4410" s="36">
        <f>base!H4410</f>
        <v>33.35</v>
      </c>
      <c r="E4410" s="44"/>
      <c r="F4410" s="16">
        <f>base!W4410</f>
        <v>9</v>
      </c>
      <c r="G4410" s="11">
        <f t="shared" si="680"/>
        <v>0.26986506746626687</v>
      </c>
      <c r="H4410" s="11">
        <f t="shared" si="681"/>
        <v>8.6710000000000012</v>
      </c>
      <c r="I4410" s="11">
        <f t="shared" si="682"/>
        <v>0.26</v>
      </c>
      <c r="J4410" s="12">
        <f t="shared" si="683"/>
        <v>0.32899999999999885</v>
      </c>
      <c r="K4410" s="17" t="str">
        <f t="shared" si="688"/>
        <v>Ecart positif</v>
      </c>
      <c r="L4410" s="16">
        <f>base!X4410</f>
        <v>0</v>
      </c>
      <c r="M4410" s="11">
        <f t="shared" si="684"/>
        <v>0</v>
      </c>
      <c r="N4410" s="11">
        <f t="shared" si="685"/>
        <v>0</v>
      </c>
      <c r="O4410" s="11">
        <f t="shared" si="686"/>
        <v>0</v>
      </c>
      <c r="P4410" s="12">
        <f t="shared" si="687"/>
        <v>0</v>
      </c>
      <c r="Q4410" s="17" t="str">
        <f t="shared" si="689"/>
        <v>Pas d'écart</v>
      </c>
    </row>
    <row r="4411" spans="1:17" x14ac:dyDescent="0.3">
      <c r="A4411" s="34" t="str">
        <f>base!J4411</f>
        <v>DRS</v>
      </c>
      <c r="B4411" s="34" t="str">
        <f>base!V4411</f>
        <v>73410</v>
      </c>
      <c r="C4411" s="37">
        <v>73</v>
      </c>
      <c r="D4411" s="36">
        <f>base!H4411</f>
        <v>156.28</v>
      </c>
      <c r="E4411" s="44"/>
      <c r="F4411" s="16">
        <f>base!W4411</f>
        <v>0</v>
      </c>
      <c r="G4411" s="11">
        <f t="shared" si="680"/>
        <v>0</v>
      </c>
      <c r="H4411" s="11">
        <f t="shared" si="681"/>
        <v>42.195600000000006</v>
      </c>
      <c r="I4411" s="11">
        <f t="shared" si="682"/>
        <v>0.27</v>
      </c>
      <c r="J4411" s="12">
        <f t="shared" si="683"/>
        <v>-42.195600000000006</v>
      </c>
      <c r="K4411" s="17" t="str">
        <f t="shared" si="688"/>
        <v>Ecart négatif</v>
      </c>
      <c r="L4411" s="16">
        <f>base!X4411</f>
        <v>0</v>
      </c>
      <c r="M4411" s="11">
        <f t="shared" si="684"/>
        <v>0</v>
      </c>
      <c r="N4411" s="11">
        <f t="shared" si="685"/>
        <v>0</v>
      </c>
      <c r="O4411" s="11">
        <f t="shared" si="686"/>
        <v>0</v>
      </c>
      <c r="P4411" s="12">
        <f t="shared" si="687"/>
        <v>0</v>
      </c>
      <c r="Q4411" s="17" t="str">
        <f t="shared" si="689"/>
        <v>Pas d'écart</v>
      </c>
    </row>
    <row r="4412" spans="1:17" x14ac:dyDescent="0.3">
      <c r="A4412" s="34" t="str">
        <f>base!J4412</f>
        <v>RM</v>
      </c>
      <c r="B4412" s="34" t="str">
        <f>base!V4412</f>
        <v>69006</v>
      </c>
      <c r="C4412" s="37">
        <v>69</v>
      </c>
      <c r="D4412" s="36">
        <f>base!H4412</f>
        <v>29.59</v>
      </c>
      <c r="E4412" s="44"/>
      <c r="F4412" s="16">
        <f>base!W4412</f>
        <v>0</v>
      </c>
      <c r="G4412" s="11">
        <f t="shared" si="680"/>
        <v>0</v>
      </c>
      <c r="H4412" s="11">
        <f t="shared" si="681"/>
        <v>7.9893000000000001</v>
      </c>
      <c r="I4412" s="11">
        <f t="shared" si="682"/>
        <v>0.27</v>
      </c>
      <c r="J4412" s="12">
        <f t="shared" si="683"/>
        <v>-7.9893000000000001</v>
      </c>
      <c r="K4412" s="17" t="str">
        <f t="shared" si="688"/>
        <v>Ecart négatif</v>
      </c>
      <c r="L4412" s="16">
        <f>base!X4412</f>
        <v>0</v>
      </c>
      <c r="M4412" s="11">
        <f t="shared" si="684"/>
        <v>0</v>
      </c>
      <c r="N4412" s="11">
        <f t="shared" si="685"/>
        <v>0</v>
      </c>
      <c r="O4412" s="11">
        <f t="shared" si="686"/>
        <v>0</v>
      </c>
      <c r="P4412" s="12">
        <f t="shared" si="687"/>
        <v>0</v>
      </c>
      <c r="Q4412" s="17" t="str">
        <f t="shared" si="689"/>
        <v>Pas d'écart</v>
      </c>
    </row>
    <row r="4413" spans="1:17" x14ac:dyDescent="0.3">
      <c r="A4413" s="34" t="str">
        <f>base!J4413</f>
        <v>DRS</v>
      </c>
      <c r="B4413" s="34" t="str">
        <f>base!V4413</f>
        <v>34400</v>
      </c>
      <c r="C4413" s="37">
        <v>34</v>
      </c>
      <c r="D4413" s="36">
        <f>base!H4413</f>
        <v>114.53</v>
      </c>
      <c r="E4413" s="44"/>
      <c r="F4413" s="16">
        <f>base!W4413</f>
        <v>0</v>
      </c>
      <c r="G4413" s="11">
        <f t="shared" si="680"/>
        <v>0</v>
      </c>
      <c r="H4413" s="11">
        <f t="shared" si="681"/>
        <v>44.666699999999999</v>
      </c>
      <c r="I4413" s="11">
        <f t="shared" si="682"/>
        <v>0.38999999999999996</v>
      </c>
      <c r="J4413" s="12">
        <f t="shared" si="683"/>
        <v>-44.666699999999999</v>
      </c>
      <c r="K4413" s="17" t="str">
        <f t="shared" si="688"/>
        <v>Ecart négatif</v>
      </c>
      <c r="L4413" s="16">
        <f>base!X4413</f>
        <v>0</v>
      </c>
      <c r="M4413" s="11">
        <f t="shared" si="684"/>
        <v>0</v>
      </c>
      <c r="N4413" s="11">
        <f t="shared" si="685"/>
        <v>32.068400000000004</v>
      </c>
      <c r="O4413" s="11">
        <f t="shared" si="686"/>
        <v>0.28000000000000003</v>
      </c>
      <c r="P4413" s="12">
        <f t="shared" si="687"/>
        <v>-32.068400000000004</v>
      </c>
      <c r="Q4413" s="17" t="str">
        <f t="shared" si="689"/>
        <v>Ecart négatif</v>
      </c>
    </row>
    <row r="4414" spans="1:17" x14ac:dyDescent="0.3">
      <c r="A4414" s="34" t="str">
        <f>base!J4414</f>
        <v>LS</v>
      </c>
      <c r="B4414" s="34" t="str">
        <f>base!V4414</f>
        <v>67300</v>
      </c>
      <c r="C4414" s="37">
        <v>44</v>
      </c>
      <c r="D4414" s="36">
        <f>base!H4414</f>
        <v>137.01</v>
      </c>
      <c r="E4414" s="44"/>
      <c r="F4414" s="16">
        <f>base!W4414</f>
        <v>39.729999999999997</v>
      </c>
      <c r="G4414" s="11">
        <f t="shared" si="680"/>
        <v>0.28997883366177651</v>
      </c>
      <c r="H4414" s="11">
        <f t="shared" si="681"/>
        <v>36.992699999999999</v>
      </c>
      <c r="I4414" s="11">
        <f t="shared" si="682"/>
        <v>0.27</v>
      </c>
      <c r="J4414" s="12">
        <f t="shared" si="683"/>
        <v>2.7372999999999976</v>
      </c>
      <c r="K4414" s="17" t="str">
        <f t="shared" si="688"/>
        <v>Ecart positif</v>
      </c>
      <c r="L4414" s="16">
        <f>base!X4414</f>
        <v>0</v>
      </c>
      <c r="M4414" s="11">
        <f t="shared" si="684"/>
        <v>0</v>
      </c>
      <c r="N4414" s="11">
        <f t="shared" si="685"/>
        <v>0</v>
      </c>
      <c r="O4414" s="11">
        <f t="shared" si="686"/>
        <v>0</v>
      </c>
      <c r="P4414" s="12">
        <f t="shared" si="687"/>
        <v>0</v>
      </c>
      <c r="Q4414" s="17" t="str">
        <f t="shared" si="689"/>
        <v>Pas d'écart</v>
      </c>
    </row>
    <row r="4415" spans="1:17" x14ac:dyDescent="0.3">
      <c r="A4415" s="34" t="str">
        <f>base!J4415</f>
        <v>LS</v>
      </c>
      <c r="B4415" s="34" t="str">
        <f>base!V4415</f>
        <v>67860</v>
      </c>
      <c r="C4415" s="37">
        <v>74</v>
      </c>
      <c r="D4415" s="36">
        <f>base!H4415</f>
        <v>183.45</v>
      </c>
      <c r="E4415" s="44"/>
      <c r="F4415" s="16">
        <f>base!W4415</f>
        <v>53.2</v>
      </c>
      <c r="G4415" s="11">
        <f t="shared" si="680"/>
        <v>0.2899972744617062</v>
      </c>
      <c r="H4415" s="11">
        <f t="shared" si="681"/>
        <v>47.696999999999996</v>
      </c>
      <c r="I4415" s="11">
        <f t="shared" si="682"/>
        <v>0.26</v>
      </c>
      <c r="J4415" s="12">
        <f t="shared" si="683"/>
        <v>5.5030000000000072</v>
      </c>
      <c r="K4415" s="17" t="str">
        <f t="shared" si="688"/>
        <v>Ecart positif</v>
      </c>
      <c r="L4415" s="16">
        <f>base!X4415</f>
        <v>0</v>
      </c>
      <c r="M4415" s="11">
        <f t="shared" si="684"/>
        <v>0</v>
      </c>
      <c r="N4415" s="11">
        <f t="shared" si="685"/>
        <v>0</v>
      </c>
      <c r="O4415" s="11">
        <f t="shared" si="686"/>
        <v>0</v>
      </c>
      <c r="P4415" s="12">
        <f t="shared" si="687"/>
        <v>0</v>
      </c>
      <c r="Q4415" s="17" t="str">
        <f t="shared" si="689"/>
        <v>Pas d'écart</v>
      </c>
    </row>
    <row r="4416" spans="1:17" x14ac:dyDescent="0.3">
      <c r="A4416" s="34" t="str">
        <f>base!J4416</f>
        <v>DRS</v>
      </c>
      <c r="B4416" s="34" t="str">
        <f>base!V4416</f>
        <v>75016</v>
      </c>
      <c r="C4416" s="37">
        <v>75</v>
      </c>
      <c r="D4416" s="36">
        <f>base!H4416</f>
        <v>55</v>
      </c>
      <c r="E4416" s="44"/>
      <c r="F4416" s="16">
        <f>base!W4416</f>
        <v>0</v>
      </c>
      <c r="G4416" s="11">
        <f t="shared" si="680"/>
        <v>0</v>
      </c>
      <c r="H4416" s="11">
        <f t="shared" si="681"/>
        <v>0</v>
      </c>
      <c r="I4416" s="11">
        <f t="shared" si="682"/>
        <v>0</v>
      </c>
      <c r="J4416" s="12">
        <f t="shared" si="683"/>
        <v>0</v>
      </c>
      <c r="K4416" s="17" t="str">
        <f t="shared" si="688"/>
        <v>Pas d'écart</v>
      </c>
      <c r="L4416" s="16">
        <f>base!X4416</f>
        <v>0</v>
      </c>
      <c r="M4416" s="11">
        <f t="shared" si="684"/>
        <v>0</v>
      </c>
      <c r="N4416" s="11">
        <f t="shared" si="685"/>
        <v>0</v>
      </c>
      <c r="O4416" s="11">
        <f t="shared" si="686"/>
        <v>0</v>
      </c>
      <c r="P4416" s="12">
        <f t="shared" si="687"/>
        <v>0</v>
      </c>
      <c r="Q4416" s="17" t="str">
        <f t="shared" si="689"/>
        <v>Pas d'écart</v>
      </c>
    </row>
    <row r="4417" spans="1:18" x14ac:dyDescent="0.3">
      <c r="A4417" s="34" t="str">
        <f>base!J4417</f>
        <v>DRS</v>
      </c>
      <c r="B4417" s="34" t="str">
        <f>base!V4417</f>
        <v>94800</v>
      </c>
      <c r="C4417" s="37">
        <v>94</v>
      </c>
      <c r="D4417" s="36">
        <f>base!H4417</f>
        <v>151</v>
      </c>
      <c r="E4417" s="44"/>
      <c r="F4417" s="16">
        <f>base!W4417</f>
        <v>0</v>
      </c>
      <c r="G4417" s="11">
        <f t="shared" si="680"/>
        <v>0</v>
      </c>
      <c r="H4417" s="11">
        <f t="shared" si="681"/>
        <v>0</v>
      </c>
      <c r="I4417" s="11">
        <f t="shared" si="682"/>
        <v>0</v>
      </c>
      <c r="J4417" s="12">
        <f t="shared" si="683"/>
        <v>0</v>
      </c>
      <c r="K4417" s="17" t="str">
        <f t="shared" si="688"/>
        <v>Pas d'écart</v>
      </c>
      <c r="L4417" s="16">
        <f>base!X4417</f>
        <v>0</v>
      </c>
      <c r="M4417" s="11">
        <f t="shared" si="684"/>
        <v>0</v>
      </c>
      <c r="N4417" s="11">
        <f t="shared" si="685"/>
        <v>0</v>
      </c>
      <c r="O4417" s="11">
        <f t="shared" si="686"/>
        <v>0</v>
      </c>
      <c r="P4417" s="12">
        <f t="shared" si="687"/>
        <v>0</v>
      </c>
      <c r="Q4417" s="17" t="str">
        <f t="shared" si="689"/>
        <v>Pas d'écart</v>
      </c>
    </row>
    <row r="4418" spans="1:18" x14ac:dyDescent="0.3">
      <c r="A4418" s="34" t="str">
        <f>base!J4418</f>
        <v>RS</v>
      </c>
      <c r="B4418" s="34" t="str">
        <f>base!V4418</f>
        <v>69240</v>
      </c>
      <c r="C4418" s="37">
        <v>69</v>
      </c>
      <c r="D4418" s="36">
        <f>base!H4418</f>
        <v>40</v>
      </c>
      <c r="E4418" s="44"/>
      <c r="F4418" s="16">
        <f>base!W4418</f>
        <v>0</v>
      </c>
      <c r="G4418" s="11">
        <f t="shared" ref="G4418:G4481" si="690">F4418/D4418</f>
        <v>0</v>
      </c>
      <c r="H4418" s="11">
        <f t="shared" ref="H4418:H4481" si="691">VLOOKUP(C4418,tout_cout_traction,2,FALSE)*D4418</f>
        <v>10.8</v>
      </c>
      <c r="I4418" s="11">
        <f t="shared" ref="I4418:I4481" si="692">H4418/D4418</f>
        <v>0.27</v>
      </c>
      <c r="J4418" s="12">
        <f t="shared" ref="J4418:J4481" si="693">F4418-H4418</f>
        <v>-10.8</v>
      </c>
      <c r="K4418" s="17" t="str">
        <f t="shared" si="688"/>
        <v>Ecart négatif</v>
      </c>
      <c r="L4418" s="16">
        <f>base!X4418</f>
        <v>0</v>
      </c>
      <c r="M4418" s="11">
        <f t="shared" ref="M4418:M4481" si="694">L4418/D4418</f>
        <v>0</v>
      </c>
      <c r="N4418" s="11">
        <f t="shared" ref="N4418:N4481" si="695">VLOOKUP(C4418,tout_cout_traction,3,FALSE)*D4418</f>
        <v>0</v>
      </c>
      <c r="O4418" s="11">
        <f t="shared" ref="O4418:O4481" si="696">N4418/D4418</f>
        <v>0</v>
      </c>
      <c r="P4418" s="12">
        <f t="shared" ref="P4418:P4481" si="697">L4418-N4418</f>
        <v>0</v>
      </c>
      <c r="Q4418" s="17" t="str">
        <f t="shared" si="689"/>
        <v>Pas d'écart</v>
      </c>
    </row>
    <row r="4419" spans="1:18" x14ac:dyDescent="0.3">
      <c r="A4419" s="34" t="str">
        <f>base!J4419</f>
        <v>RM</v>
      </c>
      <c r="B4419" s="34" t="str">
        <f>base!V4419</f>
        <v>69120</v>
      </c>
      <c r="C4419" s="37">
        <v>69</v>
      </c>
      <c r="D4419" s="36">
        <f>base!H4419</f>
        <v>151</v>
      </c>
      <c r="E4419" s="44"/>
      <c r="F4419" s="16">
        <f>base!W4419</f>
        <v>0</v>
      </c>
      <c r="G4419" s="11">
        <f t="shared" si="690"/>
        <v>0</v>
      </c>
      <c r="H4419" s="11">
        <f t="shared" si="691"/>
        <v>40.770000000000003</v>
      </c>
      <c r="I4419" s="11">
        <f t="shared" si="692"/>
        <v>0.27</v>
      </c>
      <c r="J4419" s="12">
        <f t="shared" si="693"/>
        <v>-40.770000000000003</v>
      </c>
      <c r="K4419" s="17" t="str">
        <f t="shared" ref="K4419:K4482" si="698">IF(H4419=F4419,"Pas d'écart",IF(H4419&lt;F4419,"Ecart positif",IF(H4419&gt;F4419,"Ecart négatif")))</f>
        <v>Ecart négatif</v>
      </c>
      <c r="L4419" s="16">
        <f>base!X4419</f>
        <v>0</v>
      </c>
      <c r="M4419" s="11">
        <f t="shared" si="694"/>
        <v>0</v>
      </c>
      <c r="N4419" s="11">
        <f t="shared" si="695"/>
        <v>0</v>
      </c>
      <c r="O4419" s="11">
        <f t="shared" si="696"/>
        <v>0</v>
      </c>
      <c r="P4419" s="12">
        <f t="shared" si="697"/>
        <v>0</v>
      </c>
      <c r="Q4419" s="17" t="str">
        <f t="shared" ref="Q4419:Q4482" si="699">IF(N4419=L4419,"Pas d'écart",IF(N4419&lt;L4419,"Ecart positif",IF(N4419&gt;L4419,"Ecart négatif")))</f>
        <v>Pas d'écart</v>
      </c>
    </row>
    <row r="4420" spans="1:18" x14ac:dyDescent="0.3">
      <c r="A4420" s="34" t="str">
        <f>base!J4420</f>
        <v>RM</v>
      </c>
      <c r="B4420" s="34" t="str">
        <f>base!V4420</f>
        <v>17000</v>
      </c>
      <c r="C4420" s="37">
        <v>17</v>
      </c>
      <c r="D4420" s="36">
        <f>base!H4420</f>
        <v>165.02</v>
      </c>
      <c r="E4420" s="44"/>
      <c r="F4420" s="16">
        <f>base!W4420</f>
        <v>0</v>
      </c>
      <c r="G4420" s="11">
        <f t="shared" si="690"/>
        <v>0</v>
      </c>
      <c r="H4420" s="11">
        <f t="shared" si="691"/>
        <v>34.654200000000003</v>
      </c>
      <c r="I4420" s="11">
        <f t="shared" si="692"/>
        <v>0.21</v>
      </c>
      <c r="J4420" s="12">
        <f t="shared" si="693"/>
        <v>-34.654200000000003</v>
      </c>
      <c r="K4420" s="17" t="str">
        <f t="shared" si="698"/>
        <v>Ecart négatif</v>
      </c>
      <c r="L4420" s="16">
        <f>base!X4420</f>
        <v>0</v>
      </c>
      <c r="M4420" s="11">
        <f t="shared" si="694"/>
        <v>0</v>
      </c>
      <c r="N4420" s="11">
        <f t="shared" si="695"/>
        <v>28.053400000000003</v>
      </c>
      <c r="O4420" s="11">
        <f t="shared" si="696"/>
        <v>0.17</v>
      </c>
      <c r="P4420" s="12">
        <f t="shared" si="697"/>
        <v>-28.053400000000003</v>
      </c>
      <c r="Q4420" s="17" t="str">
        <f t="shared" si="699"/>
        <v>Ecart négatif</v>
      </c>
    </row>
    <row r="4421" spans="1:18" x14ac:dyDescent="0.3">
      <c r="A4421" s="34" t="str">
        <f>base!J4421</f>
        <v>RS</v>
      </c>
      <c r="B4421" s="34" t="str">
        <f>base!V4421</f>
        <v>30132</v>
      </c>
      <c r="C4421" s="37">
        <v>30</v>
      </c>
      <c r="D4421" s="36">
        <f>base!H4421</f>
        <v>26.6</v>
      </c>
      <c r="E4421" s="44"/>
      <c r="F4421" s="16">
        <f>base!W4421</f>
        <v>0</v>
      </c>
      <c r="G4421" s="11">
        <f t="shared" si="690"/>
        <v>0</v>
      </c>
      <c r="H4421" s="11">
        <f t="shared" si="691"/>
        <v>10.374000000000001</v>
      </c>
      <c r="I4421" s="11">
        <f t="shared" si="692"/>
        <v>0.39</v>
      </c>
      <c r="J4421" s="12">
        <f t="shared" si="693"/>
        <v>-10.374000000000001</v>
      </c>
      <c r="K4421" s="17" t="str">
        <f t="shared" si="698"/>
        <v>Ecart négatif</v>
      </c>
      <c r="L4421" s="16">
        <f>base!X4421</f>
        <v>7.18</v>
      </c>
      <c r="M4421" s="11">
        <f t="shared" si="694"/>
        <v>0.26992481203007518</v>
      </c>
      <c r="N4421" s="11">
        <f t="shared" si="695"/>
        <v>7.4480000000000013</v>
      </c>
      <c r="O4421" s="11">
        <f t="shared" si="696"/>
        <v>0.28000000000000003</v>
      </c>
      <c r="P4421" s="12">
        <f t="shared" si="697"/>
        <v>-0.26800000000000157</v>
      </c>
      <c r="Q4421" s="17" t="str">
        <f t="shared" si="699"/>
        <v>Ecart négatif</v>
      </c>
      <c r="R4421" s="38"/>
    </row>
    <row r="4422" spans="1:18" x14ac:dyDescent="0.3">
      <c r="A4422" s="34" t="str">
        <f>base!J4422</f>
        <v>RS</v>
      </c>
      <c r="B4422" s="34" t="str">
        <f>base!V4422</f>
        <v>44000</v>
      </c>
      <c r="C4422" s="37">
        <v>44</v>
      </c>
      <c r="D4422" s="36">
        <f>base!H4422</f>
        <v>183.98</v>
      </c>
      <c r="E4422" s="44"/>
      <c r="F4422" s="16">
        <f>base!W4422</f>
        <v>0</v>
      </c>
      <c r="G4422" s="11">
        <f t="shared" si="690"/>
        <v>0</v>
      </c>
      <c r="H4422" s="11">
        <f t="shared" si="691"/>
        <v>49.674599999999998</v>
      </c>
      <c r="I4422" s="11">
        <f t="shared" si="692"/>
        <v>0.27</v>
      </c>
      <c r="J4422" s="12">
        <f t="shared" si="693"/>
        <v>-49.674599999999998</v>
      </c>
      <c r="K4422" s="17" t="str">
        <f t="shared" si="698"/>
        <v>Ecart négatif</v>
      </c>
      <c r="L4422" s="16">
        <f>base!X4422</f>
        <v>49.67</v>
      </c>
      <c r="M4422" s="11">
        <f t="shared" si="694"/>
        <v>0.26997499728231333</v>
      </c>
      <c r="N4422" s="11">
        <f t="shared" si="695"/>
        <v>0</v>
      </c>
      <c r="O4422" s="11">
        <f t="shared" si="696"/>
        <v>0</v>
      </c>
      <c r="P4422" s="12">
        <f t="shared" si="697"/>
        <v>49.67</v>
      </c>
      <c r="Q4422" s="17" t="str">
        <f t="shared" si="699"/>
        <v>Ecart positif</v>
      </c>
      <c r="R4422" s="38"/>
    </row>
    <row r="4423" spans="1:18" x14ac:dyDescent="0.3">
      <c r="A4423" s="34" t="str">
        <f>base!J4423</f>
        <v>RM</v>
      </c>
      <c r="B4423" s="34" t="str">
        <f>base!V4423</f>
        <v>70000</v>
      </c>
      <c r="C4423" s="37">
        <v>70</v>
      </c>
      <c r="D4423" s="36">
        <f>base!H4423</f>
        <v>25</v>
      </c>
      <c r="E4423" s="44"/>
      <c r="F4423" s="16">
        <f>base!W4423</f>
        <v>0</v>
      </c>
      <c r="G4423" s="11">
        <f t="shared" si="690"/>
        <v>0</v>
      </c>
      <c r="H4423" s="11">
        <f t="shared" si="691"/>
        <v>6</v>
      </c>
      <c r="I4423" s="11">
        <f t="shared" si="692"/>
        <v>0.24</v>
      </c>
      <c r="J4423" s="12">
        <f t="shared" si="693"/>
        <v>-6</v>
      </c>
      <c r="K4423" s="17" t="str">
        <f t="shared" si="698"/>
        <v>Ecart négatif</v>
      </c>
      <c r="L4423" s="16">
        <f>base!X4423</f>
        <v>0</v>
      </c>
      <c r="M4423" s="11">
        <f t="shared" si="694"/>
        <v>0</v>
      </c>
      <c r="N4423" s="11">
        <f t="shared" si="695"/>
        <v>3</v>
      </c>
      <c r="O4423" s="11">
        <f t="shared" si="696"/>
        <v>0.12</v>
      </c>
      <c r="P4423" s="12">
        <f t="shared" si="697"/>
        <v>-3</v>
      </c>
      <c r="Q4423" s="17" t="str">
        <f t="shared" si="699"/>
        <v>Ecart négatif</v>
      </c>
    </row>
    <row r="4424" spans="1:18" x14ac:dyDescent="0.3">
      <c r="A4424" s="34" t="str">
        <f>base!J4424</f>
        <v>DLM</v>
      </c>
      <c r="B4424" s="34" t="str">
        <f>base!V4424</f>
        <v>94100</v>
      </c>
      <c r="C4424" s="37">
        <v>94</v>
      </c>
      <c r="D4424" s="36">
        <f>base!H4424</f>
        <v>52.5</v>
      </c>
      <c r="E4424" s="44"/>
      <c r="F4424" s="16">
        <f>base!W4424</f>
        <v>0</v>
      </c>
      <c r="G4424" s="11">
        <f t="shared" si="690"/>
        <v>0</v>
      </c>
      <c r="H4424" s="11">
        <f t="shared" si="691"/>
        <v>0</v>
      </c>
      <c r="I4424" s="11">
        <f t="shared" si="692"/>
        <v>0</v>
      </c>
      <c r="J4424" s="12">
        <f t="shared" si="693"/>
        <v>0</v>
      </c>
      <c r="K4424" s="17" t="str">
        <f t="shared" si="698"/>
        <v>Pas d'écart</v>
      </c>
      <c r="L4424" s="16">
        <f>base!X4424</f>
        <v>0</v>
      </c>
      <c r="M4424" s="11">
        <f t="shared" si="694"/>
        <v>0</v>
      </c>
      <c r="N4424" s="11">
        <f t="shared" si="695"/>
        <v>0</v>
      </c>
      <c r="O4424" s="11">
        <f t="shared" si="696"/>
        <v>0</v>
      </c>
      <c r="P4424" s="12">
        <f t="shared" si="697"/>
        <v>0</v>
      </c>
      <c r="Q4424" s="17" t="str">
        <f t="shared" si="699"/>
        <v>Pas d'écart</v>
      </c>
    </row>
    <row r="4425" spans="1:18" x14ac:dyDescent="0.3">
      <c r="A4425" s="34" t="str">
        <f>base!J4425</f>
        <v>LS</v>
      </c>
      <c r="B4425" s="34" t="str">
        <f>base!V4425</f>
        <v>76000</v>
      </c>
      <c r="C4425" s="37">
        <v>76</v>
      </c>
      <c r="D4425" s="36">
        <f>base!H4425</f>
        <v>180</v>
      </c>
      <c r="E4425" s="44"/>
      <c r="F4425" s="16">
        <f>base!W4425</f>
        <v>30.6</v>
      </c>
      <c r="G4425" s="11">
        <f t="shared" si="690"/>
        <v>0.17</v>
      </c>
      <c r="H4425" s="11">
        <f t="shared" si="691"/>
        <v>30.6</v>
      </c>
      <c r="I4425" s="11">
        <f t="shared" si="692"/>
        <v>0.17</v>
      </c>
      <c r="J4425" s="12">
        <f t="shared" si="693"/>
        <v>0</v>
      </c>
      <c r="K4425" s="17" t="str">
        <f t="shared" si="698"/>
        <v>Pas d'écart</v>
      </c>
      <c r="L4425" s="16">
        <f>base!X4425</f>
        <v>0</v>
      </c>
      <c r="M4425" s="11">
        <f t="shared" si="694"/>
        <v>0</v>
      </c>
      <c r="N4425" s="11">
        <f t="shared" si="695"/>
        <v>30.6</v>
      </c>
      <c r="O4425" s="11">
        <f t="shared" si="696"/>
        <v>0.17</v>
      </c>
      <c r="P4425" s="12">
        <f t="shared" si="697"/>
        <v>-30.6</v>
      </c>
      <c r="Q4425" s="17" t="str">
        <f t="shared" si="699"/>
        <v>Ecart négatif</v>
      </c>
    </row>
    <row r="4426" spans="1:18" x14ac:dyDescent="0.3">
      <c r="A4426" s="34" t="str">
        <f>base!J4426</f>
        <v>DRM</v>
      </c>
      <c r="B4426" s="34" t="str">
        <f>base!V4426</f>
        <v>38230</v>
      </c>
      <c r="C4426" s="37">
        <v>38</v>
      </c>
      <c r="D4426" s="36">
        <f>base!H4426</f>
        <v>23.4</v>
      </c>
      <c r="E4426" s="44"/>
      <c r="F4426" s="16">
        <f>base!W4426</f>
        <v>0</v>
      </c>
      <c r="G4426" s="11">
        <f t="shared" si="690"/>
        <v>0</v>
      </c>
      <c r="H4426" s="11">
        <f t="shared" si="691"/>
        <v>6.3179999999999996</v>
      </c>
      <c r="I4426" s="11">
        <f t="shared" si="692"/>
        <v>0.27</v>
      </c>
      <c r="J4426" s="12">
        <f t="shared" si="693"/>
        <v>-6.3179999999999996</v>
      </c>
      <c r="K4426" s="17" t="str">
        <f t="shared" si="698"/>
        <v>Ecart négatif</v>
      </c>
      <c r="L4426" s="16">
        <f>base!X4426</f>
        <v>0</v>
      </c>
      <c r="M4426" s="11">
        <f t="shared" si="694"/>
        <v>0</v>
      </c>
      <c r="N4426" s="11">
        <f t="shared" si="695"/>
        <v>0</v>
      </c>
      <c r="O4426" s="11">
        <f t="shared" si="696"/>
        <v>0</v>
      </c>
      <c r="P4426" s="12">
        <f t="shared" si="697"/>
        <v>0</v>
      </c>
      <c r="Q4426" s="17" t="str">
        <f t="shared" si="699"/>
        <v>Pas d'écart</v>
      </c>
    </row>
    <row r="4427" spans="1:18" x14ac:dyDescent="0.3">
      <c r="A4427" s="34" t="str">
        <f>base!J4427</f>
        <v>DLM</v>
      </c>
      <c r="B4427" s="34" t="str">
        <f>base!V4427</f>
        <v>67500</v>
      </c>
      <c r="C4427" s="37">
        <v>67</v>
      </c>
      <c r="D4427" s="36">
        <f>base!H4427</f>
        <v>151</v>
      </c>
      <c r="E4427" s="44"/>
      <c r="F4427" s="16">
        <f>base!W4427</f>
        <v>43.79</v>
      </c>
      <c r="G4427" s="11">
        <f t="shared" si="690"/>
        <v>0.28999999999999998</v>
      </c>
      <c r="H4427" s="11">
        <f t="shared" si="691"/>
        <v>43.79</v>
      </c>
      <c r="I4427" s="11">
        <f t="shared" si="692"/>
        <v>0.28999999999999998</v>
      </c>
      <c r="J4427" s="12">
        <f t="shared" si="693"/>
        <v>0</v>
      </c>
      <c r="K4427" s="17" t="str">
        <f t="shared" si="698"/>
        <v>Pas d'écart</v>
      </c>
      <c r="L4427" s="16">
        <f>base!X4427</f>
        <v>0</v>
      </c>
      <c r="M4427" s="11">
        <f t="shared" si="694"/>
        <v>0</v>
      </c>
      <c r="N4427" s="11">
        <f t="shared" si="695"/>
        <v>12.08</v>
      </c>
      <c r="O4427" s="11">
        <f t="shared" si="696"/>
        <v>0.08</v>
      </c>
      <c r="P4427" s="12">
        <f t="shared" si="697"/>
        <v>-12.08</v>
      </c>
      <c r="Q4427" s="17" t="str">
        <f t="shared" si="699"/>
        <v>Ecart négatif</v>
      </c>
    </row>
    <row r="4428" spans="1:18" x14ac:dyDescent="0.3">
      <c r="A4428" s="34" t="str">
        <f>base!J4428</f>
        <v>RS</v>
      </c>
      <c r="B4428" s="34" t="str">
        <f>base!V4428</f>
        <v>42000</v>
      </c>
      <c r="C4428" s="37">
        <v>42</v>
      </c>
      <c r="D4428" s="36">
        <f>base!H4428</f>
        <v>140</v>
      </c>
      <c r="E4428" s="44"/>
      <c r="F4428" s="16">
        <f>base!W4428</f>
        <v>0</v>
      </c>
      <c r="G4428" s="11">
        <f t="shared" si="690"/>
        <v>0</v>
      </c>
      <c r="H4428" s="11">
        <f t="shared" si="691"/>
        <v>36.4</v>
      </c>
      <c r="I4428" s="11">
        <f t="shared" si="692"/>
        <v>0.26</v>
      </c>
      <c r="J4428" s="12">
        <f t="shared" si="693"/>
        <v>-36.4</v>
      </c>
      <c r="K4428" s="17" t="str">
        <f t="shared" si="698"/>
        <v>Ecart négatif</v>
      </c>
      <c r="L4428" s="16">
        <f>base!X4428</f>
        <v>0</v>
      </c>
      <c r="M4428" s="11">
        <f t="shared" si="694"/>
        <v>0</v>
      </c>
      <c r="N4428" s="11">
        <f t="shared" si="695"/>
        <v>0</v>
      </c>
      <c r="O4428" s="11">
        <f t="shared" si="696"/>
        <v>0</v>
      </c>
      <c r="P4428" s="12">
        <f t="shared" si="697"/>
        <v>0</v>
      </c>
      <c r="Q4428" s="17" t="str">
        <f t="shared" si="699"/>
        <v>Pas d'écart</v>
      </c>
    </row>
    <row r="4429" spans="1:18" x14ac:dyDescent="0.3">
      <c r="A4429" s="34" t="str">
        <f>base!J4429</f>
        <v>DRM</v>
      </c>
      <c r="B4429" s="34" t="str">
        <f>base!V4429</f>
        <v>78193</v>
      </c>
      <c r="C4429" s="37">
        <v>78</v>
      </c>
      <c r="D4429" s="36">
        <f>base!H4429</f>
        <v>173.49</v>
      </c>
      <c r="E4429" s="44"/>
      <c r="F4429" s="16">
        <f>base!W4429</f>
        <v>0</v>
      </c>
      <c r="G4429" s="11">
        <f t="shared" si="690"/>
        <v>0</v>
      </c>
      <c r="H4429" s="11">
        <f t="shared" si="691"/>
        <v>0</v>
      </c>
      <c r="I4429" s="11">
        <f t="shared" si="692"/>
        <v>0</v>
      </c>
      <c r="J4429" s="12">
        <f t="shared" si="693"/>
        <v>0</v>
      </c>
      <c r="K4429" s="17" t="str">
        <f t="shared" si="698"/>
        <v>Pas d'écart</v>
      </c>
      <c r="L4429" s="16">
        <f>base!X4429</f>
        <v>0</v>
      </c>
      <c r="M4429" s="11">
        <f t="shared" si="694"/>
        <v>0</v>
      </c>
      <c r="N4429" s="11">
        <f t="shared" si="695"/>
        <v>0</v>
      </c>
      <c r="O4429" s="11">
        <f t="shared" si="696"/>
        <v>0</v>
      </c>
      <c r="P4429" s="12">
        <f t="shared" si="697"/>
        <v>0</v>
      </c>
      <c r="Q4429" s="17" t="str">
        <f t="shared" si="699"/>
        <v>Pas d'écart</v>
      </c>
    </row>
    <row r="4430" spans="1:18" x14ac:dyDescent="0.3">
      <c r="A4430" s="34" t="str">
        <f>base!J4430</f>
        <v>RM</v>
      </c>
      <c r="B4430" s="34" t="str">
        <f>base!V4430</f>
        <v>95150</v>
      </c>
      <c r="C4430" s="37">
        <v>95</v>
      </c>
      <c r="D4430" s="36">
        <f>base!H4430</f>
        <v>680.14</v>
      </c>
      <c r="E4430" s="44"/>
      <c r="F4430" s="16">
        <f>base!W4430</f>
        <v>0</v>
      </c>
      <c r="G4430" s="11">
        <f t="shared" si="690"/>
        <v>0</v>
      </c>
      <c r="H4430" s="11">
        <f t="shared" si="691"/>
        <v>0</v>
      </c>
      <c r="I4430" s="11">
        <f t="shared" si="692"/>
        <v>0</v>
      </c>
      <c r="J4430" s="12">
        <f t="shared" si="693"/>
        <v>0</v>
      </c>
      <c r="K4430" s="17" t="str">
        <f t="shared" si="698"/>
        <v>Pas d'écart</v>
      </c>
      <c r="L4430" s="16">
        <f>base!X4430</f>
        <v>0</v>
      </c>
      <c r="M4430" s="11">
        <f t="shared" si="694"/>
        <v>0</v>
      </c>
      <c r="N4430" s="11">
        <f t="shared" si="695"/>
        <v>0</v>
      </c>
      <c r="O4430" s="11">
        <f t="shared" si="696"/>
        <v>0</v>
      </c>
      <c r="P4430" s="12">
        <f t="shared" si="697"/>
        <v>0</v>
      </c>
      <c r="Q4430" s="17" t="str">
        <f t="shared" si="699"/>
        <v>Pas d'écart</v>
      </c>
    </row>
    <row r="4431" spans="1:18" x14ac:dyDescent="0.3">
      <c r="A4431" s="34" t="str">
        <f>base!J4431</f>
        <v>DLM</v>
      </c>
      <c r="B4431" s="34" t="str">
        <f>base!V4431</f>
        <v>45000</v>
      </c>
      <c r="C4431" s="37">
        <v>45</v>
      </c>
      <c r="D4431" s="36">
        <f>base!H4431</f>
        <v>137.80000000000001</v>
      </c>
      <c r="E4431" s="44"/>
      <c r="F4431" s="16">
        <f>base!W4431</f>
        <v>0</v>
      </c>
      <c r="G4431" s="11">
        <f t="shared" si="690"/>
        <v>0</v>
      </c>
      <c r="H4431" s="11">
        <f t="shared" si="691"/>
        <v>28.938000000000002</v>
      </c>
      <c r="I4431" s="11">
        <f t="shared" si="692"/>
        <v>0.21</v>
      </c>
      <c r="J4431" s="12">
        <f t="shared" si="693"/>
        <v>-28.938000000000002</v>
      </c>
      <c r="K4431" s="17" t="str">
        <f t="shared" si="698"/>
        <v>Ecart négatif</v>
      </c>
      <c r="L4431" s="16">
        <f>base!X4431</f>
        <v>0</v>
      </c>
      <c r="M4431" s="11">
        <f t="shared" si="694"/>
        <v>0</v>
      </c>
      <c r="N4431" s="11">
        <f t="shared" si="695"/>
        <v>16.536000000000001</v>
      </c>
      <c r="O4431" s="11">
        <f t="shared" si="696"/>
        <v>0.12</v>
      </c>
      <c r="P4431" s="12">
        <f t="shared" si="697"/>
        <v>-16.536000000000001</v>
      </c>
      <c r="Q4431" s="17" t="str">
        <f t="shared" si="699"/>
        <v>Ecart négatif</v>
      </c>
    </row>
    <row r="4432" spans="1:18" x14ac:dyDescent="0.3">
      <c r="A4432" s="34" t="str">
        <f>base!J4432</f>
        <v>DRS</v>
      </c>
      <c r="B4432" s="34" t="str">
        <f>base!V4432</f>
        <v>38230</v>
      </c>
      <c r="C4432" s="37">
        <v>38</v>
      </c>
      <c r="D4432" s="36">
        <f>base!H4432</f>
        <v>23.4</v>
      </c>
      <c r="E4432" s="44"/>
      <c r="F4432" s="16">
        <f>base!W4432</f>
        <v>0</v>
      </c>
      <c r="G4432" s="11">
        <f t="shared" si="690"/>
        <v>0</v>
      </c>
      <c r="H4432" s="11">
        <f t="shared" si="691"/>
        <v>6.3179999999999996</v>
      </c>
      <c r="I4432" s="11">
        <f t="shared" si="692"/>
        <v>0.27</v>
      </c>
      <c r="J4432" s="12">
        <f t="shared" si="693"/>
        <v>-6.3179999999999996</v>
      </c>
      <c r="K4432" s="17" t="str">
        <f t="shared" si="698"/>
        <v>Ecart négatif</v>
      </c>
      <c r="L4432" s="16">
        <f>base!X4432</f>
        <v>0</v>
      </c>
      <c r="M4432" s="11">
        <f t="shared" si="694"/>
        <v>0</v>
      </c>
      <c r="N4432" s="11">
        <f t="shared" si="695"/>
        <v>0</v>
      </c>
      <c r="O4432" s="11">
        <f t="shared" si="696"/>
        <v>0</v>
      </c>
      <c r="P4432" s="12">
        <f t="shared" si="697"/>
        <v>0</v>
      </c>
      <c r="Q4432" s="17" t="str">
        <f t="shared" si="699"/>
        <v>Pas d'écart</v>
      </c>
    </row>
    <row r="4433" spans="1:18" x14ac:dyDescent="0.3">
      <c r="A4433" s="34" t="str">
        <f>base!J4433</f>
        <v>DLS</v>
      </c>
      <c r="B4433" s="34" t="str">
        <f>base!V4433</f>
        <v>75002</v>
      </c>
      <c r="C4433" s="37">
        <v>75</v>
      </c>
      <c r="D4433" s="36">
        <f>base!H4433</f>
        <v>140</v>
      </c>
      <c r="E4433" s="44"/>
      <c r="F4433" s="16">
        <f>base!W4433</f>
        <v>0</v>
      </c>
      <c r="G4433" s="11">
        <f t="shared" si="690"/>
        <v>0</v>
      </c>
      <c r="H4433" s="11">
        <f t="shared" si="691"/>
        <v>0</v>
      </c>
      <c r="I4433" s="11">
        <f t="shared" si="692"/>
        <v>0</v>
      </c>
      <c r="J4433" s="12">
        <f t="shared" si="693"/>
        <v>0</v>
      </c>
      <c r="K4433" s="17" t="str">
        <f t="shared" si="698"/>
        <v>Pas d'écart</v>
      </c>
      <c r="L4433" s="16">
        <f>base!X4433</f>
        <v>0</v>
      </c>
      <c r="M4433" s="11">
        <f t="shared" si="694"/>
        <v>0</v>
      </c>
      <c r="N4433" s="11">
        <f t="shared" si="695"/>
        <v>0</v>
      </c>
      <c r="O4433" s="11">
        <f t="shared" si="696"/>
        <v>0</v>
      </c>
      <c r="P4433" s="12">
        <f t="shared" si="697"/>
        <v>0</v>
      </c>
      <c r="Q4433" s="17" t="str">
        <f t="shared" si="699"/>
        <v>Pas d'écart</v>
      </c>
    </row>
    <row r="4434" spans="1:18" x14ac:dyDescent="0.3">
      <c r="A4434" s="34" t="str">
        <f>base!J4434</f>
        <v>DLM</v>
      </c>
      <c r="B4434" s="34" t="str">
        <f>base!V4434</f>
        <v>69800</v>
      </c>
      <c r="C4434" s="37">
        <v>69</v>
      </c>
      <c r="D4434" s="36">
        <f>base!H4434</f>
        <v>151</v>
      </c>
      <c r="E4434" s="44"/>
      <c r="F4434" s="16">
        <f>base!W4434</f>
        <v>0</v>
      </c>
      <c r="G4434" s="11">
        <f t="shared" si="690"/>
        <v>0</v>
      </c>
      <c r="H4434" s="11">
        <f t="shared" si="691"/>
        <v>40.770000000000003</v>
      </c>
      <c r="I4434" s="11">
        <f t="shared" si="692"/>
        <v>0.27</v>
      </c>
      <c r="J4434" s="12">
        <f t="shared" si="693"/>
        <v>-40.770000000000003</v>
      </c>
      <c r="K4434" s="17" t="str">
        <f t="shared" si="698"/>
        <v>Ecart négatif</v>
      </c>
      <c r="L4434" s="16">
        <f>base!X4434</f>
        <v>0</v>
      </c>
      <c r="M4434" s="11">
        <f t="shared" si="694"/>
        <v>0</v>
      </c>
      <c r="N4434" s="11">
        <f t="shared" si="695"/>
        <v>0</v>
      </c>
      <c r="O4434" s="11">
        <f t="shared" si="696"/>
        <v>0</v>
      </c>
      <c r="P4434" s="12">
        <f t="shared" si="697"/>
        <v>0</v>
      </c>
      <c r="Q4434" s="17" t="str">
        <f t="shared" si="699"/>
        <v>Pas d'écart</v>
      </c>
    </row>
    <row r="4435" spans="1:18" x14ac:dyDescent="0.3">
      <c r="A4435" s="34">
        <f>base!J4435</f>
        <v>0</v>
      </c>
      <c r="B4435" s="34" t="str">
        <f>base!V4435</f>
        <v>44240</v>
      </c>
      <c r="C4435" s="37">
        <v>44</v>
      </c>
      <c r="D4435" s="36">
        <f>base!H4435</f>
        <v>161.4</v>
      </c>
      <c r="E4435" s="44"/>
      <c r="F4435" s="16">
        <f>base!W4435</f>
        <v>0</v>
      </c>
      <c r="G4435" s="11">
        <f t="shared" si="690"/>
        <v>0</v>
      </c>
      <c r="H4435" s="11">
        <f t="shared" si="691"/>
        <v>43.578000000000003</v>
      </c>
      <c r="I4435" s="11">
        <f t="shared" si="692"/>
        <v>0.27</v>
      </c>
      <c r="J4435" s="12">
        <f t="shared" si="693"/>
        <v>-43.578000000000003</v>
      </c>
      <c r="K4435" s="17" t="str">
        <f t="shared" si="698"/>
        <v>Ecart négatif</v>
      </c>
      <c r="L4435" s="16">
        <f>base!X4435</f>
        <v>0</v>
      </c>
      <c r="M4435" s="11">
        <f t="shared" si="694"/>
        <v>0</v>
      </c>
      <c r="N4435" s="11">
        <f t="shared" si="695"/>
        <v>0</v>
      </c>
      <c r="O4435" s="11">
        <f t="shared" si="696"/>
        <v>0</v>
      </c>
      <c r="P4435" s="12">
        <f t="shared" si="697"/>
        <v>0</v>
      </c>
      <c r="Q4435" s="17" t="str">
        <f t="shared" si="699"/>
        <v>Pas d'écart</v>
      </c>
    </row>
    <row r="4436" spans="1:18" x14ac:dyDescent="0.3">
      <c r="A4436" s="34" t="str">
        <f>base!J4436</f>
        <v>DLS</v>
      </c>
      <c r="B4436" s="34" t="str">
        <f>base!V4436</f>
        <v>34500</v>
      </c>
      <c r="C4436" s="37">
        <v>34</v>
      </c>
      <c r="D4436" s="36">
        <f>base!H4436</f>
        <v>149.79</v>
      </c>
      <c r="E4436" s="44"/>
      <c r="F4436" s="16">
        <f>base!W4436</f>
        <v>0</v>
      </c>
      <c r="G4436" s="11">
        <f t="shared" si="690"/>
        <v>0</v>
      </c>
      <c r="H4436" s="11">
        <f t="shared" si="691"/>
        <v>58.418099999999995</v>
      </c>
      <c r="I4436" s="11">
        <f t="shared" si="692"/>
        <v>0.39</v>
      </c>
      <c r="J4436" s="12">
        <f t="shared" si="693"/>
        <v>-58.418099999999995</v>
      </c>
      <c r="K4436" s="17" t="str">
        <f t="shared" si="698"/>
        <v>Ecart négatif</v>
      </c>
      <c r="L4436" s="16">
        <f>base!X4436</f>
        <v>0</v>
      </c>
      <c r="M4436" s="11">
        <f t="shared" si="694"/>
        <v>0</v>
      </c>
      <c r="N4436" s="11">
        <f t="shared" si="695"/>
        <v>41.941200000000002</v>
      </c>
      <c r="O4436" s="11">
        <f t="shared" si="696"/>
        <v>0.28000000000000003</v>
      </c>
      <c r="P4436" s="12">
        <f t="shared" si="697"/>
        <v>-41.941200000000002</v>
      </c>
      <c r="Q4436" s="17" t="str">
        <f t="shared" si="699"/>
        <v>Ecart négatif</v>
      </c>
    </row>
    <row r="4437" spans="1:18" x14ac:dyDescent="0.3">
      <c r="A4437" s="34" t="str">
        <f>base!J4437</f>
        <v>RS</v>
      </c>
      <c r="B4437" s="34" t="str">
        <f>base!V4437</f>
        <v>29900</v>
      </c>
      <c r="C4437" s="37">
        <v>29</v>
      </c>
      <c r="D4437" s="36">
        <f>base!H4437</f>
        <v>70.36</v>
      </c>
      <c r="E4437" s="44"/>
      <c r="F4437" s="16">
        <f>base!W4437</f>
        <v>0</v>
      </c>
      <c r="G4437" s="11">
        <f t="shared" si="690"/>
        <v>0</v>
      </c>
      <c r="H4437" s="11">
        <f t="shared" si="691"/>
        <v>27.4404</v>
      </c>
      <c r="I4437" s="11">
        <f t="shared" si="692"/>
        <v>0.39</v>
      </c>
      <c r="J4437" s="12">
        <f t="shared" si="693"/>
        <v>-27.4404</v>
      </c>
      <c r="K4437" s="17" t="str">
        <f t="shared" si="698"/>
        <v>Ecart négatif</v>
      </c>
      <c r="L4437" s="16">
        <f>base!X4437</f>
        <v>0</v>
      </c>
      <c r="M4437" s="11">
        <f t="shared" si="694"/>
        <v>0</v>
      </c>
      <c r="N4437" s="11">
        <f t="shared" si="695"/>
        <v>8.4431999999999992</v>
      </c>
      <c r="O4437" s="11">
        <f t="shared" si="696"/>
        <v>0.12</v>
      </c>
      <c r="P4437" s="12">
        <f t="shared" si="697"/>
        <v>-8.4431999999999992</v>
      </c>
      <c r="Q4437" s="17" t="str">
        <f t="shared" si="699"/>
        <v>Ecart négatif</v>
      </c>
    </row>
    <row r="4438" spans="1:18" x14ac:dyDescent="0.3">
      <c r="A4438" s="34" t="str">
        <f>base!J4438</f>
        <v>RS</v>
      </c>
      <c r="B4438" s="34" t="str">
        <f>base!V4438</f>
        <v>25530</v>
      </c>
      <c r="C4438" s="37">
        <v>25</v>
      </c>
      <c r="D4438" s="36">
        <f>base!H4438</f>
        <v>151</v>
      </c>
      <c r="E4438" s="44"/>
      <c r="F4438" s="16">
        <f>base!W4438</f>
        <v>0</v>
      </c>
      <c r="G4438" s="11">
        <f t="shared" si="690"/>
        <v>0</v>
      </c>
      <c r="H4438" s="11">
        <f t="shared" si="691"/>
        <v>36.24</v>
      </c>
      <c r="I4438" s="11">
        <f t="shared" si="692"/>
        <v>0.24000000000000002</v>
      </c>
      <c r="J4438" s="12">
        <f t="shared" si="693"/>
        <v>-36.24</v>
      </c>
      <c r="K4438" s="17" t="str">
        <f t="shared" si="698"/>
        <v>Ecart négatif</v>
      </c>
      <c r="L4438" s="16">
        <f>base!X4438</f>
        <v>0</v>
      </c>
      <c r="M4438" s="11">
        <f t="shared" si="694"/>
        <v>0</v>
      </c>
      <c r="N4438" s="11">
        <f t="shared" si="695"/>
        <v>18.12</v>
      </c>
      <c r="O4438" s="11">
        <f t="shared" si="696"/>
        <v>0.12000000000000001</v>
      </c>
      <c r="P4438" s="12">
        <f t="shared" si="697"/>
        <v>-18.12</v>
      </c>
      <c r="Q4438" s="17" t="str">
        <f t="shared" si="699"/>
        <v>Ecart négatif</v>
      </c>
    </row>
    <row r="4439" spans="1:18" x14ac:dyDescent="0.3">
      <c r="A4439" s="34" t="str">
        <f>base!J4439</f>
        <v>DLS</v>
      </c>
      <c r="B4439" s="34" t="str">
        <f>base!V4439</f>
        <v>73024</v>
      </c>
      <c r="C4439" s="37">
        <v>73</v>
      </c>
      <c r="D4439" s="36">
        <f>base!H4439</f>
        <v>194.12</v>
      </c>
      <c r="E4439" s="44"/>
      <c r="F4439" s="16">
        <f>base!W4439</f>
        <v>0</v>
      </c>
      <c r="G4439" s="11">
        <f t="shared" si="690"/>
        <v>0</v>
      </c>
      <c r="H4439" s="11">
        <f t="shared" si="691"/>
        <v>52.412400000000005</v>
      </c>
      <c r="I4439" s="11">
        <f t="shared" si="692"/>
        <v>0.27</v>
      </c>
      <c r="J4439" s="12">
        <f t="shared" si="693"/>
        <v>-52.412400000000005</v>
      </c>
      <c r="K4439" s="17" t="str">
        <f t="shared" si="698"/>
        <v>Ecart négatif</v>
      </c>
      <c r="L4439" s="16">
        <f>base!X4439</f>
        <v>0</v>
      </c>
      <c r="M4439" s="11">
        <f t="shared" si="694"/>
        <v>0</v>
      </c>
      <c r="N4439" s="11">
        <f t="shared" si="695"/>
        <v>0</v>
      </c>
      <c r="O4439" s="11">
        <f t="shared" si="696"/>
        <v>0</v>
      </c>
      <c r="P4439" s="12">
        <f t="shared" si="697"/>
        <v>0</v>
      </c>
      <c r="Q4439" s="17" t="str">
        <f t="shared" si="699"/>
        <v>Pas d'écart</v>
      </c>
    </row>
    <row r="4440" spans="1:18" x14ac:dyDescent="0.3">
      <c r="A4440" s="34" t="str">
        <f>base!J4440</f>
        <v>DLM</v>
      </c>
      <c r="B4440" s="34" t="str">
        <f>base!V4440</f>
        <v>63100</v>
      </c>
      <c r="C4440" s="37">
        <v>63</v>
      </c>
      <c r="D4440" s="36">
        <f>base!H4440</f>
        <v>160.28</v>
      </c>
      <c r="E4440" s="44"/>
      <c r="F4440" s="16">
        <f>base!W4440</f>
        <v>0</v>
      </c>
      <c r="G4440" s="11">
        <f t="shared" si="690"/>
        <v>0</v>
      </c>
      <c r="H4440" s="11">
        <f t="shared" si="691"/>
        <v>46.481199999999994</v>
      </c>
      <c r="I4440" s="11">
        <f t="shared" si="692"/>
        <v>0.28999999999999998</v>
      </c>
      <c r="J4440" s="12">
        <f t="shared" si="693"/>
        <v>-46.481199999999994</v>
      </c>
      <c r="K4440" s="17" t="str">
        <f t="shared" si="698"/>
        <v>Ecart négatif</v>
      </c>
      <c r="L4440" s="16">
        <f>base!X4440</f>
        <v>0</v>
      </c>
      <c r="M4440" s="11">
        <f t="shared" si="694"/>
        <v>0</v>
      </c>
      <c r="N4440" s="11">
        <f t="shared" si="695"/>
        <v>19.233599999999999</v>
      </c>
      <c r="O4440" s="11">
        <f t="shared" si="696"/>
        <v>0.12</v>
      </c>
      <c r="P4440" s="12">
        <f t="shared" si="697"/>
        <v>-19.233599999999999</v>
      </c>
      <c r="Q4440" s="17" t="str">
        <f t="shared" si="699"/>
        <v>Ecart négatif</v>
      </c>
    </row>
    <row r="4441" spans="1:18" x14ac:dyDescent="0.3">
      <c r="A4441" s="34" t="str">
        <f>base!J4441</f>
        <v>DRS</v>
      </c>
      <c r="B4441" s="34" t="str">
        <f>base!V4441</f>
        <v>75020</v>
      </c>
      <c r="C4441" s="37">
        <v>75</v>
      </c>
      <c r="D4441" s="36">
        <f>base!H4441</f>
        <v>171.65</v>
      </c>
      <c r="E4441" s="44"/>
      <c r="F4441" s="16">
        <f>base!W4441</f>
        <v>0</v>
      </c>
      <c r="G4441" s="11">
        <f t="shared" si="690"/>
        <v>0</v>
      </c>
      <c r="H4441" s="11">
        <f t="shared" si="691"/>
        <v>0</v>
      </c>
      <c r="I4441" s="11">
        <f t="shared" si="692"/>
        <v>0</v>
      </c>
      <c r="J4441" s="12">
        <f t="shared" si="693"/>
        <v>0</v>
      </c>
      <c r="K4441" s="17" t="str">
        <f t="shared" si="698"/>
        <v>Pas d'écart</v>
      </c>
      <c r="L4441" s="16">
        <f>base!X4441</f>
        <v>0</v>
      </c>
      <c r="M4441" s="11">
        <f t="shared" si="694"/>
        <v>0</v>
      </c>
      <c r="N4441" s="11">
        <f t="shared" si="695"/>
        <v>0</v>
      </c>
      <c r="O4441" s="11">
        <f t="shared" si="696"/>
        <v>0</v>
      </c>
      <c r="P4441" s="12">
        <f t="shared" si="697"/>
        <v>0</v>
      </c>
      <c r="Q4441" s="17" t="str">
        <f t="shared" si="699"/>
        <v>Pas d'écart</v>
      </c>
    </row>
    <row r="4442" spans="1:18" x14ac:dyDescent="0.3">
      <c r="A4442" s="34" t="str">
        <f>base!J4442</f>
        <v>DRS</v>
      </c>
      <c r="B4442" s="34" t="str">
        <f>base!V4442</f>
        <v>51100</v>
      </c>
      <c r="C4442" s="37">
        <v>51</v>
      </c>
      <c r="D4442" s="36">
        <f>base!H4442</f>
        <v>108.32</v>
      </c>
      <c r="E4442" s="44"/>
      <c r="F4442" s="16">
        <f>base!W4442</f>
        <v>0</v>
      </c>
      <c r="G4442" s="11">
        <f t="shared" si="690"/>
        <v>0</v>
      </c>
      <c r="H4442" s="11">
        <f t="shared" si="691"/>
        <v>27.08</v>
      </c>
      <c r="I4442" s="11">
        <f t="shared" si="692"/>
        <v>0.25</v>
      </c>
      <c r="J4442" s="12">
        <f t="shared" si="693"/>
        <v>-27.08</v>
      </c>
      <c r="K4442" s="17" t="str">
        <f t="shared" si="698"/>
        <v>Ecart négatif</v>
      </c>
      <c r="L4442" s="16">
        <f>base!X4442</f>
        <v>0</v>
      </c>
      <c r="M4442" s="11">
        <f t="shared" si="694"/>
        <v>0</v>
      </c>
      <c r="N4442" s="11">
        <f t="shared" si="695"/>
        <v>27.08</v>
      </c>
      <c r="O4442" s="11">
        <f t="shared" si="696"/>
        <v>0.25</v>
      </c>
      <c r="P4442" s="12">
        <f t="shared" si="697"/>
        <v>-27.08</v>
      </c>
      <c r="Q4442" s="17" t="str">
        <f t="shared" si="699"/>
        <v>Ecart négatif</v>
      </c>
    </row>
    <row r="4443" spans="1:18" x14ac:dyDescent="0.3">
      <c r="A4443" s="34" t="str">
        <f>base!J4443</f>
        <v>RM</v>
      </c>
      <c r="B4443" s="34" t="str">
        <f>base!V4443</f>
        <v>37140</v>
      </c>
      <c r="C4443" s="37">
        <v>37</v>
      </c>
      <c r="D4443" s="36">
        <f>base!H4443</f>
        <v>151</v>
      </c>
      <c r="E4443" s="44"/>
      <c r="F4443" s="16">
        <f>base!W4443</f>
        <v>0</v>
      </c>
      <c r="G4443" s="11">
        <f t="shared" si="690"/>
        <v>0</v>
      </c>
      <c r="H4443" s="11">
        <f t="shared" si="691"/>
        <v>28.69</v>
      </c>
      <c r="I4443" s="11">
        <f t="shared" si="692"/>
        <v>0.19</v>
      </c>
      <c r="J4443" s="12">
        <f t="shared" si="693"/>
        <v>-28.69</v>
      </c>
      <c r="K4443" s="17" t="str">
        <f t="shared" si="698"/>
        <v>Ecart négatif</v>
      </c>
      <c r="L4443" s="16">
        <f>base!X4443</f>
        <v>0</v>
      </c>
      <c r="M4443" s="11">
        <f t="shared" si="694"/>
        <v>0</v>
      </c>
      <c r="N4443" s="11">
        <f t="shared" si="695"/>
        <v>18.12</v>
      </c>
      <c r="O4443" s="11">
        <f t="shared" si="696"/>
        <v>0.12000000000000001</v>
      </c>
      <c r="P4443" s="12">
        <f t="shared" si="697"/>
        <v>-18.12</v>
      </c>
      <c r="Q4443" s="17" t="str">
        <f t="shared" si="699"/>
        <v>Ecart négatif</v>
      </c>
    </row>
    <row r="4444" spans="1:18" x14ac:dyDescent="0.3">
      <c r="A4444" s="34" t="str">
        <f>base!J4444</f>
        <v>DLS</v>
      </c>
      <c r="B4444" s="34" t="str">
        <f>base!V4444</f>
        <v>38420</v>
      </c>
      <c r="C4444" s="37">
        <v>38</v>
      </c>
      <c r="D4444" s="36">
        <f>base!H4444</f>
        <v>0</v>
      </c>
      <c r="E4444" s="44"/>
      <c r="F4444" s="16">
        <f>base!W4444</f>
        <v>0</v>
      </c>
      <c r="G4444" s="11" t="e">
        <f t="shared" si="690"/>
        <v>#DIV/0!</v>
      </c>
      <c r="H4444" s="11">
        <f t="shared" si="691"/>
        <v>0</v>
      </c>
      <c r="I4444" s="11" t="e">
        <f t="shared" si="692"/>
        <v>#DIV/0!</v>
      </c>
      <c r="J4444" s="12">
        <f t="shared" si="693"/>
        <v>0</v>
      </c>
      <c r="K4444" s="17" t="str">
        <f t="shared" si="698"/>
        <v>Pas d'écart</v>
      </c>
      <c r="L4444" s="16">
        <f>base!X4444</f>
        <v>0</v>
      </c>
      <c r="M4444" s="11" t="e">
        <f t="shared" si="694"/>
        <v>#DIV/0!</v>
      </c>
      <c r="N4444" s="11">
        <f t="shared" si="695"/>
        <v>0</v>
      </c>
      <c r="O4444" s="11" t="e">
        <f t="shared" si="696"/>
        <v>#DIV/0!</v>
      </c>
      <c r="P4444" s="12">
        <f t="shared" si="697"/>
        <v>0</v>
      </c>
      <c r="Q4444" s="17" t="str">
        <f t="shared" si="699"/>
        <v>Pas d'écart</v>
      </c>
    </row>
    <row r="4445" spans="1:18" x14ac:dyDescent="0.3">
      <c r="A4445" s="34" t="str">
        <f>base!J4445</f>
        <v>RS</v>
      </c>
      <c r="B4445" s="34" t="str">
        <f>base!V4445</f>
        <v>68012</v>
      </c>
      <c r="C4445" s="37">
        <v>68</v>
      </c>
      <c r="D4445" s="36">
        <f>base!H4445</f>
        <v>70.8</v>
      </c>
      <c r="E4445" s="44"/>
      <c r="F4445" s="16">
        <f>base!W4445</f>
        <v>0</v>
      </c>
      <c r="G4445" s="11">
        <f t="shared" si="690"/>
        <v>0</v>
      </c>
      <c r="H4445" s="11">
        <f t="shared" si="691"/>
        <v>20.531999999999996</v>
      </c>
      <c r="I4445" s="11">
        <f t="shared" si="692"/>
        <v>0.28999999999999998</v>
      </c>
      <c r="J4445" s="12">
        <f t="shared" si="693"/>
        <v>-20.531999999999996</v>
      </c>
      <c r="K4445" s="17" t="str">
        <f t="shared" si="698"/>
        <v>Ecart négatif</v>
      </c>
      <c r="L4445" s="16">
        <f>base!X4445</f>
        <v>0</v>
      </c>
      <c r="M4445" s="11">
        <f t="shared" si="694"/>
        <v>0</v>
      </c>
      <c r="N4445" s="11">
        <f t="shared" si="695"/>
        <v>5.6639999999999997</v>
      </c>
      <c r="O4445" s="11">
        <f t="shared" si="696"/>
        <v>0.08</v>
      </c>
      <c r="P4445" s="12">
        <f t="shared" si="697"/>
        <v>-5.6639999999999997</v>
      </c>
      <c r="Q4445" s="17" t="str">
        <f t="shared" si="699"/>
        <v>Ecart négatif</v>
      </c>
    </row>
    <row r="4446" spans="1:18" x14ac:dyDescent="0.3">
      <c r="A4446" s="34" t="str">
        <f>base!J4446</f>
        <v>RM</v>
      </c>
      <c r="B4446" s="34" t="str">
        <f>base!V4446</f>
        <v>68270</v>
      </c>
      <c r="C4446" s="37">
        <v>68</v>
      </c>
      <c r="D4446" s="36">
        <f>base!H4446</f>
        <v>20</v>
      </c>
      <c r="E4446" s="44"/>
      <c r="F4446" s="16">
        <f>base!W4446</f>
        <v>0</v>
      </c>
      <c r="G4446" s="11">
        <f t="shared" si="690"/>
        <v>0</v>
      </c>
      <c r="H4446" s="11">
        <f t="shared" si="691"/>
        <v>5.8</v>
      </c>
      <c r="I4446" s="11">
        <f t="shared" si="692"/>
        <v>0.28999999999999998</v>
      </c>
      <c r="J4446" s="12">
        <f t="shared" si="693"/>
        <v>-5.8</v>
      </c>
      <c r="K4446" s="17" t="str">
        <f t="shared" si="698"/>
        <v>Ecart négatif</v>
      </c>
      <c r="L4446" s="16">
        <f>base!X4446</f>
        <v>1.6</v>
      </c>
      <c r="M4446" s="11">
        <f t="shared" si="694"/>
        <v>0.08</v>
      </c>
      <c r="N4446" s="11">
        <f t="shared" si="695"/>
        <v>1.6</v>
      </c>
      <c r="O4446" s="11">
        <f t="shared" si="696"/>
        <v>0.08</v>
      </c>
      <c r="P4446" s="12">
        <f t="shared" si="697"/>
        <v>0</v>
      </c>
      <c r="Q4446" s="17" t="str">
        <f t="shared" si="699"/>
        <v>Pas d'écart</v>
      </c>
      <c r="R4446" s="38"/>
    </row>
    <row r="4447" spans="1:18" x14ac:dyDescent="0.3">
      <c r="A4447" s="34" t="str">
        <f>base!J4447</f>
        <v>LS</v>
      </c>
      <c r="B4447" s="34" t="str">
        <f>base!V4447</f>
        <v>42160</v>
      </c>
      <c r="C4447" s="37">
        <v>49</v>
      </c>
      <c r="D4447" s="36">
        <f>base!H4447</f>
        <v>156.19999999999999</v>
      </c>
      <c r="E4447" s="44"/>
      <c r="F4447" s="16">
        <f>base!W4447</f>
        <v>42.17</v>
      </c>
      <c r="G4447" s="11">
        <f t="shared" si="690"/>
        <v>0.26997439180537774</v>
      </c>
      <c r="H4447" s="11">
        <f t="shared" si="691"/>
        <v>42.173999999999999</v>
      </c>
      <c r="I4447" s="11">
        <f t="shared" si="692"/>
        <v>0.27</v>
      </c>
      <c r="J4447" s="12">
        <f t="shared" si="693"/>
        <v>-3.9999999999977831E-3</v>
      </c>
      <c r="K4447" s="17" t="str">
        <f t="shared" si="698"/>
        <v>Ecart négatif</v>
      </c>
      <c r="L4447" s="16">
        <f>base!X4447</f>
        <v>0</v>
      </c>
      <c r="M4447" s="11">
        <f t="shared" si="694"/>
        <v>0</v>
      </c>
      <c r="N4447" s="11">
        <f t="shared" si="695"/>
        <v>0</v>
      </c>
      <c r="O4447" s="11">
        <f t="shared" si="696"/>
        <v>0</v>
      </c>
      <c r="P4447" s="12">
        <f t="shared" si="697"/>
        <v>0</v>
      </c>
      <c r="Q4447" s="17" t="str">
        <f t="shared" si="699"/>
        <v>Pas d'écart</v>
      </c>
    </row>
    <row r="4448" spans="1:18" x14ac:dyDescent="0.3">
      <c r="A4448" s="34">
        <f>base!J4448</f>
        <v>0</v>
      </c>
      <c r="B4448" s="34" t="str">
        <f>base!V4448</f>
        <v>77184</v>
      </c>
      <c r="C4448" s="37">
        <v>77</v>
      </c>
      <c r="D4448" s="36">
        <f>base!H4448</f>
        <v>114</v>
      </c>
      <c r="E4448" s="44"/>
      <c r="F4448" s="16">
        <f>base!W4448</f>
        <v>0</v>
      </c>
      <c r="G4448" s="11">
        <f t="shared" si="690"/>
        <v>0</v>
      </c>
      <c r="H4448" s="11">
        <f t="shared" si="691"/>
        <v>0</v>
      </c>
      <c r="I4448" s="11">
        <f t="shared" si="692"/>
        <v>0</v>
      </c>
      <c r="J4448" s="12">
        <f t="shared" si="693"/>
        <v>0</v>
      </c>
      <c r="K4448" s="17" t="str">
        <f t="shared" si="698"/>
        <v>Pas d'écart</v>
      </c>
      <c r="L4448" s="16">
        <f>base!X4448</f>
        <v>0</v>
      </c>
      <c r="M4448" s="11">
        <f t="shared" si="694"/>
        <v>0</v>
      </c>
      <c r="N4448" s="11">
        <f t="shared" si="695"/>
        <v>0</v>
      </c>
      <c r="O4448" s="11">
        <f t="shared" si="696"/>
        <v>0</v>
      </c>
      <c r="P4448" s="12">
        <f t="shared" si="697"/>
        <v>0</v>
      </c>
      <c r="Q4448" s="17" t="str">
        <f t="shared" si="699"/>
        <v>Pas d'écart</v>
      </c>
    </row>
    <row r="4449" spans="1:18" x14ac:dyDescent="0.3">
      <c r="A4449" s="34" t="str">
        <f>base!J4449</f>
        <v>RS</v>
      </c>
      <c r="B4449" s="34" t="str">
        <f>base!V4449</f>
        <v>74370</v>
      </c>
      <c r="C4449" s="37">
        <v>74</v>
      </c>
      <c r="D4449" s="36">
        <f>base!H4449</f>
        <v>90.1</v>
      </c>
      <c r="E4449" s="44"/>
      <c r="F4449" s="16">
        <f>base!W4449</f>
        <v>0</v>
      </c>
      <c r="G4449" s="11">
        <f t="shared" si="690"/>
        <v>0</v>
      </c>
      <c r="H4449" s="11">
        <f t="shared" si="691"/>
        <v>23.425999999999998</v>
      </c>
      <c r="I4449" s="11">
        <f t="shared" si="692"/>
        <v>0.26</v>
      </c>
      <c r="J4449" s="12">
        <f t="shared" si="693"/>
        <v>-23.425999999999998</v>
      </c>
      <c r="K4449" s="17" t="str">
        <f t="shared" si="698"/>
        <v>Ecart négatif</v>
      </c>
      <c r="L4449" s="16">
        <f>base!X4449</f>
        <v>0</v>
      </c>
      <c r="M4449" s="11">
        <f t="shared" si="694"/>
        <v>0</v>
      </c>
      <c r="N4449" s="11">
        <f t="shared" si="695"/>
        <v>0</v>
      </c>
      <c r="O4449" s="11">
        <f t="shared" si="696"/>
        <v>0</v>
      </c>
      <c r="P4449" s="12">
        <f t="shared" si="697"/>
        <v>0</v>
      </c>
      <c r="Q4449" s="17" t="str">
        <f t="shared" si="699"/>
        <v>Pas d'écart</v>
      </c>
    </row>
    <row r="4450" spans="1:18" x14ac:dyDescent="0.3">
      <c r="A4450" s="34" t="str">
        <f>base!J4450</f>
        <v>RM</v>
      </c>
      <c r="B4450" s="34" t="str">
        <f>base!V4450</f>
        <v>59000</v>
      </c>
      <c r="C4450" s="37">
        <v>59</v>
      </c>
      <c r="D4450" s="36">
        <f>base!H4450</f>
        <v>180</v>
      </c>
      <c r="E4450" s="44"/>
      <c r="F4450" s="16">
        <f>base!W4450</f>
        <v>0</v>
      </c>
      <c r="G4450" s="11">
        <f t="shared" si="690"/>
        <v>0</v>
      </c>
      <c r="H4450" s="11">
        <f t="shared" si="691"/>
        <v>34.200000000000003</v>
      </c>
      <c r="I4450" s="11">
        <f t="shared" si="692"/>
        <v>0.19</v>
      </c>
      <c r="J4450" s="12">
        <f t="shared" si="693"/>
        <v>-34.200000000000003</v>
      </c>
      <c r="K4450" s="17" t="str">
        <f t="shared" si="698"/>
        <v>Ecart négatif</v>
      </c>
      <c r="L4450" s="16">
        <f>base!X4450</f>
        <v>34.200000000000003</v>
      </c>
      <c r="M4450" s="11">
        <f t="shared" si="694"/>
        <v>0.19</v>
      </c>
      <c r="N4450" s="11">
        <f t="shared" si="695"/>
        <v>0</v>
      </c>
      <c r="O4450" s="11">
        <f t="shared" si="696"/>
        <v>0</v>
      </c>
      <c r="P4450" s="12">
        <f t="shared" si="697"/>
        <v>34.200000000000003</v>
      </c>
      <c r="Q4450" s="17" t="str">
        <f t="shared" si="699"/>
        <v>Ecart positif</v>
      </c>
    </row>
    <row r="4451" spans="1:18" x14ac:dyDescent="0.3">
      <c r="A4451" s="34" t="str">
        <f>base!J4451</f>
        <v>RS</v>
      </c>
      <c r="B4451" s="34" t="str">
        <f>base!V4451</f>
        <v>72300</v>
      </c>
      <c r="C4451" s="37">
        <v>72</v>
      </c>
      <c r="D4451" s="36">
        <f>base!H4451</f>
        <v>75.08</v>
      </c>
      <c r="E4451" s="44"/>
      <c r="F4451" s="16">
        <f>base!W4451</f>
        <v>0</v>
      </c>
      <c r="G4451" s="11">
        <f t="shared" si="690"/>
        <v>0</v>
      </c>
      <c r="H4451" s="11">
        <f t="shared" si="691"/>
        <v>15.7668</v>
      </c>
      <c r="I4451" s="11">
        <f t="shared" si="692"/>
        <v>0.21</v>
      </c>
      <c r="J4451" s="12">
        <f t="shared" si="693"/>
        <v>-15.7668</v>
      </c>
      <c r="K4451" s="17" t="str">
        <f t="shared" si="698"/>
        <v>Ecart négatif</v>
      </c>
      <c r="L4451" s="16">
        <f>base!X4451</f>
        <v>9.01</v>
      </c>
      <c r="M4451" s="11">
        <f t="shared" si="694"/>
        <v>0.12000532765050613</v>
      </c>
      <c r="N4451" s="11">
        <f t="shared" si="695"/>
        <v>9.0095999999999989</v>
      </c>
      <c r="O4451" s="11">
        <f t="shared" si="696"/>
        <v>0.12</v>
      </c>
      <c r="P4451" s="12">
        <f t="shared" si="697"/>
        <v>4.0000000000084412E-4</v>
      </c>
      <c r="Q4451" s="17" t="str">
        <f t="shared" si="699"/>
        <v>Ecart positif</v>
      </c>
      <c r="R4451" s="38"/>
    </row>
    <row r="4452" spans="1:18" x14ac:dyDescent="0.3">
      <c r="A4452" s="34" t="str">
        <f>base!J4452</f>
        <v>RS</v>
      </c>
      <c r="B4452" s="34" t="str">
        <f>base!V4452</f>
        <v>38800</v>
      </c>
      <c r="C4452" s="37">
        <v>38</v>
      </c>
      <c r="D4452" s="36">
        <f>base!H4452</f>
        <v>140</v>
      </c>
      <c r="E4452" s="44"/>
      <c r="F4452" s="16">
        <f>base!W4452</f>
        <v>0</v>
      </c>
      <c r="G4452" s="11">
        <f t="shared" si="690"/>
        <v>0</v>
      </c>
      <c r="H4452" s="11">
        <f t="shared" si="691"/>
        <v>37.800000000000004</v>
      </c>
      <c r="I4452" s="11">
        <f t="shared" si="692"/>
        <v>0.27</v>
      </c>
      <c r="J4452" s="12">
        <f t="shared" si="693"/>
        <v>-37.800000000000004</v>
      </c>
      <c r="K4452" s="17" t="str">
        <f t="shared" si="698"/>
        <v>Ecart négatif</v>
      </c>
      <c r="L4452" s="16">
        <f>base!X4452</f>
        <v>0</v>
      </c>
      <c r="M4452" s="11">
        <f t="shared" si="694"/>
        <v>0</v>
      </c>
      <c r="N4452" s="11">
        <f t="shared" si="695"/>
        <v>0</v>
      </c>
      <c r="O4452" s="11">
        <f t="shared" si="696"/>
        <v>0</v>
      </c>
      <c r="P4452" s="12">
        <f t="shared" si="697"/>
        <v>0</v>
      </c>
      <c r="Q4452" s="17" t="str">
        <f t="shared" si="699"/>
        <v>Pas d'écart</v>
      </c>
    </row>
    <row r="4453" spans="1:18" x14ac:dyDescent="0.3">
      <c r="A4453" s="34" t="str">
        <f>base!J4453</f>
        <v>RS</v>
      </c>
      <c r="B4453" s="34" t="str">
        <f>base!V4453</f>
        <v>69720</v>
      </c>
      <c r="C4453" s="37">
        <v>69</v>
      </c>
      <c r="D4453" s="36">
        <f>base!H4453</f>
        <v>84.5</v>
      </c>
      <c r="E4453" s="44"/>
      <c r="F4453" s="16">
        <f>base!W4453</f>
        <v>0</v>
      </c>
      <c r="G4453" s="11">
        <f t="shared" si="690"/>
        <v>0</v>
      </c>
      <c r="H4453" s="11">
        <f t="shared" si="691"/>
        <v>22.815000000000001</v>
      </c>
      <c r="I4453" s="11">
        <f t="shared" si="692"/>
        <v>0.27</v>
      </c>
      <c r="J4453" s="12">
        <f t="shared" si="693"/>
        <v>-22.815000000000001</v>
      </c>
      <c r="K4453" s="17" t="str">
        <f t="shared" si="698"/>
        <v>Ecart négatif</v>
      </c>
      <c r="L4453" s="16">
        <f>base!X4453</f>
        <v>0</v>
      </c>
      <c r="M4453" s="11">
        <f t="shared" si="694"/>
        <v>0</v>
      </c>
      <c r="N4453" s="11">
        <f t="shared" si="695"/>
        <v>0</v>
      </c>
      <c r="O4453" s="11">
        <f t="shared" si="696"/>
        <v>0</v>
      </c>
      <c r="P4453" s="12">
        <f t="shared" si="697"/>
        <v>0</v>
      </c>
      <c r="Q4453" s="17" t="str">
        <f t="shared" si="699"/>
        <v>Pas d'écart</v>
      </c>
    </row>
    <row r="4454" spans="1:18" x14ac:dyDescent="0.3">
      <c r="A4454" s="34" t="str">
        <f>base!J4454</f>
        <v>RS</v>
      </c>
      <c r="B4454" s="34" t="str">
        <f>base!V4454</f>
        <v>75006</v>
      </c>
      <c r="C4454" s="37">
        <v>75</v>
      </c>
      <c r="D4454" s="36">
        <f>base!H4454</f>
        <v>308</v>
      </c>
      <c r="E4454" s="44"/>
      <c r="F4454" s="16">
        <f>base!W4454</f>
        <v>0</v>
      </c>
      <c r="G4454" s="11">
        <f t="shared" si="690"/>
        <v>0</v>
      </c>
      <c r="H4454" s="11">
        <f t="shared" si="691"/>
        <v>0</v>
      </c>
      <c r="I4454" s="11">
        <f t="shared" si="692"/>
        <v>0</v>
      </c>
      <c r="J4454" s="12">
        <f t="shared" si="693"/>
        <v>0</v>
      </c>
      <c r="K4454" s="17" t="str">
        <f t="shared" si="698"/>
        <v>Pas d'écart</v>
      </c>
      <c r="L4454" s="16">
        <f>base!X4454</f>
        <v>0</v>
      </c>
      <c r="M4454" s="11">
        <f t="shared" si="694"/>
        <v>0</v>
      </c>
      <c r="N4454" s="11">
        <f t="shared" si="695"/>
        <v>0</v>
      </c>
      <c r="O4454" s="11">
        <f t="shared" si="696"/>
        <v>0</v>
      </c>
      <c r="P4454" s="12">
        <f t="shared" si="697"/>
        <v>0</v>
      </c>
      <c r="Q4454" s="17" t="str">
        <f t="shared" si="699"/>
        <v>Pas d'écart</v>
      </c>
    </row>
    <row r="4455" spans="1:18" x14ac:dyDescent="0.3">
      <c r="A4455" s="34" t="str">
        <f>base!J4455</f>
        <v>RS</v>
      </c>
      <c r="B4455" s="34" t="str">
        <f>base!V4455</f>
        <v>69007</v>
      </c>
      <c r="C4455" s="37">
        <v>69</v>
      </c>
      <c r="D4455" s="36">
        <f>base!H4455</f>
        <v>180</v>
      </c>
      <c r="E4455" s="44"/>
      <c r="F4455" s="16">
        <f>base!W4455</f>
        <v>0</v>
      </c>
      <c r="G4455" s="11">
        <f t="shared" si="690"/>
        <v>0</v>
      </c>
      <c r="H4455" s="11">
        <f t="shared" si="691"/>
        <v>48.6</v>
      </c>
      <c r="I4455" s="11">
        <f t="shared" si="692"/>
        <v>0.27</v>
      </c>
      <c r="J4455" s="12">
        <f t="shared" si="693"/>
        <v>-48.6</v>
      </c>
      <c r="K4455" s="17" t="str">
        <f t="shared" si="698"/>
        <v>Ecart négatif</v>
      </c>
      <c r="L4455" s="16">
        <f>base!X4455</f>
        <v>0</v>
      </c>
      <c r="M4455" s="11">
        <f t="shared" si="694"/>
        <v>0</v>
      </c>
      <c r="N4455" s="11">
        <f t="shared" si="695"/>
        <v>0</v>
      </c>
      <c r="O4455" s="11">
        <f t="shared" si="696"/>
        <v>0</v>
      </c>
      <c r="P4455" s="12">
        <f t="shared" si="697"/>
        <v>0</v>
      </c>
      <c r="Q4455" s="17" t="str">
        <f t="shared" si="699"/>
        <v>Pas d'écart</v>
      </c>
    </row>
    <row r="4456" spans="1:18" x14ac:dyDescent="0.3">
      <c r="A4456" s="34" t="str">
        <f>base!J4456</f>
        <v>RM</v>
      </c>
      <c r="B4456" s="34" t="str">
        <f>base!V4456</f>
        <v>14000</v>
      </c>
      <c r="C4456" s="37">
        <v>14</v>
      </c>
      <c r="D4456" s="36">
        <f>base!H4456</f>
        <v>153.97999999999999</v>
      </c>
      <c r="E4456" s="44"/>
      <c r="F4456" s="16">
        <f>base!W4456</f>
        <v>0</v>
      </c>
      <c r="G4456" s="11">
        <f t="shared" si="690"/>
        <v>0</v>
      </c>
      <c r="H4456" s="11">
        <f t="shared" si="691"/>
        <v>26.176600000000001</v>
      </c>
      <c r="I4456" s="11">
        <f t="shared" si="692"/>
        <v>0.17</v>
      </c>
      <c r="J4456" s="12">
        <f t="shared" si="693"/>
        <v>-26.176600000000001</v>
      </c>
      <c r="K4456" s="17" t="str">
        <f t="shared" si="698"/>
        <v>Ecart négatif</v>
      </c>
      <c r="L4456" s="16">
        <f>base!X4456</f>
        <v>26.18</v>
      </c>
      <c r="M4456" s="11">
        <f t="shared" si="694"/>
        <v>0.17002208078971295</v>
      </c>
      <c r="N4456" s="11">
        <f t="shared" si="695"/>
        <v>26.176600000000001</v>
      </c>
      <c r="O4456" s="11">
        <f t="shared" si="696"/>
        <v>0.17</v>
      </c>
      <c r="P4456" s="12">
        <f t="shared" si="697"/>
        <v>3.3999999999991815E-3</v>
      </c>
      <c r="Q4456" s="17" t="str">
        <f t="shared" si="699"/>
        <v>Ecart positif</v>
      </c>
      <c r="R4456" s="38"/>
    </row>
    <row r="4457" spans="1:18" x14ac:dyDescent="0.3">
      <c r="A4457" s="34" t="str">
        <f>base!J4457</f>
        <v>RS</v>
      </c>
      <c r="B4457" s="34" t="str">
        <f>base!V4457</f>
        <v>11000</v>
      </c>
      <c r="C4457" s="37">
        <v>11</v>
      </c>
      <c r="D4457" s="36">
        <f>base!H4457</f>
        <v>133.04</v>
      </c>
      <c r="E4457" s="44"/>
      <c r="F4457" s="16">
        <f>base!W4457</f>
        <v>0</v>
      </c>
      <c r="G4457" s="11">
        <f t="shared" si="690"/>
        <v>0</v>
      </c>
      <c r="H4457" s="11">
        <f t="shared" si="691"/>
        <v>47.894399999999997</v>
      </c>
      <c r="I4457" s="11">
        <f t="shared" si="692"/>
        <v>0.36</v>
      </c>
      <c r="J4457" s="12">
        <f t="shared" si="693"/>
        <v>-47.894399999999997</v>
      </c>
      <c r="K4457" s="17" t="str">
        <f t="shared" si="698"/>
        <v>Ecart négatif</v>
      </c>
      <c r="L4457" s="16">
        <f>base!X4457</f>
        <v>37.25</v>
      </c>
      <c r="M4457" s="11">
        <f t="shared" si="694"/>
        <v>0.27999098015634399</v>
      </c>
      <c r="N4457" s="11">
        <f t="shared" si="695"/>
        <v>37.251200000000004</v>
      </c>
      <c r="O4457" s="11">
        <f t="shared" si="696"/>
        <v>0.28000000000000003</v>
      </c>
      <c r="P4457" s="12">
        <f t="shared" si="697"/>
        <v>-1.2000000000043087E-3</v>
      </c>
      <c r="Q4457" s="17" t="str">
        <f t="shared" si="699"/>
        <v>Ecart négatif</v>
      </c>
      <c r="R4457" s="38"/>
    </row>
    <row r="4458" spans="1:18" x14ac:dyDescent="0.3">
      <c r="A4458" s="34" t="str">
        <f>base!J4458</f>
        <v>LM</v>
      </c>
      <c r="B4458" s="34" t="str">
        <f>base!V4458</f>
        <v>61250</v>
      </c>
      <c r="C4458" s="37">
        <v>69</v>
      </c>
      <c r="D4458" s="36">
        <f>base!H4458</f>
        <v>200.31</v>
      </c>
      <c r="E4458" s="44"/>
      <c r="F4458" s="16">
        <f>base!W4458</f>
        <v>34.049999999999997</v>
      </c>
      <c r="G4458" s="11">
        <f t="shared" si="690"/>
        <v>0.16998652089261643</v>
      </c>
      <c r="H4458" s="11">
        <f t="shared" si="691"/>
        <v>54.083700000000007</v>
      </c>
      <c r="I4458" s="11">
        <f t="shared" si="692"/>
        <v>0.27</v>
      </c>
      <c r="J4458" s="12">
        <f t="shared" si="693"/>
        <v>-20.03370000000001</v>
      </c>
      <c r="K4458" s="17" t="str">
        <f t="shared" si="698"/>
        <v>Ecart négatif</v>
      </c>
      <c r="L4458" s="16">
        <f>base!X4458</f>
        <v>0</v>
      </c>
      <c r="M4458" s="11">
        <f t="shared" si="694"/>
        <v>0</v>
      </c>
      <c r="N4458" s="11">
        <f t="shared" si="695"/>
        <v>0</v>
      </c>
      <c r="O4458" s="11">
        <f t="shared" si="696"/>
        <v>0</v>
      </c>
      <c r="P4458" s="12">
        <f t="shared" si="697"/>
        <v>0</v>
      </c>
      <c r="Q4458" s="17" t="str">
        <f t="shared" si="699"/>
        <v>Pas d'écart</v>
      </c>
    </row>
    <row r="4459" spans="1:18" x14ac:dyDescent="0.3">
      <c r="A4459" s="34" t="str">
        <f>base!J4459</f>
        <v>RM</v>
      </c>
      <c r="B4459" s="34" t="str">
        <f>base!V4459</f>
        <v>21140</v>
      </c>
      <c r="C4459" s="37">
        <v>21</v>
      </c>
      <c r="D4459" s="36">
        <f>base!H4459</f>
        <v>70</v>
      </c>
      <c r="E4459" s="44"/>
      <c r="F4459" s="16">
        <f>base!W4459</f>
        <v>0</v>
      </c>
      <c r="G4459" s="11">
        <f t="shared" si="690"/>
        <v>0</v>
      </c>
      <c r="H4459" s="11">
        <f t="shared" si="691"/>
        <v>16.8</v>
      </c>
      <c r="I4459" s="11">
        <f t="shared" si="692"/>
        <v>0.24000000000000002</v>
      </c>
      <c r="J4459" s="12">
        <f t="shared" si="693"/>
        <v>-16.8</v>
      </c>
      <c r="K4459" s="17" t="str">
        <f t="shared" si="698"/>
        <v>Ecart négatif</v>
      </c>
      <c r="L4459" s="16">
        <f>base!X4459</f>
        <v>8.4</v>
      </c>
      <c r="M4459" s="11">
        <f t="shared" si="694"/>
        <v>0.12000000000000001</v>
      </c>
      <c r="N4459" s="11">
        <f t="shared" si="695"/>
        <v>8.4</v>
      </c>
      <c r="O4459" s="11">
        <f t="shared" si="696"/>
        <v>0.12000000000000001</v>
      </c>
      <c r="P4459" s="12">
        <f t="shared" si="697"/>
        <v>0</v>
      </c>
      <c r="Q4459" s="17" t="str">
        <f t="shared" si="699"/>
        <v>Pas d'écart</v>
      </c>
      <c r="R4459" s="38"/>
    </row>
    <row r="4460" spans="1:18" x14ac:dyDescent="0.3">
      <c r="A4460" s="34" t="str">
        <f>base!J4460</f>
        <v>RM</v>
      </c>
      <c r="B4460" s="34" t="str">
        <f>base!V4460</f>
        <v>69340</v>
      </c>
      <c r="C4460" s="37">
        <v>69</v>
      </c>
      <c r="D4460" s="36">
        <f>base!H4460</f>
        <v>29</v>
      </c>
      <c r="E4460" s="44"/>
      <c r="F4460" s="16">
        <f>base!W4460</f>
        <v>0</v>
      </c>
      <c r="G4460" s="11">
        <f t="shared" si="690"/>
        <v>0</v>
      </c>
      <c r="H4460" s="11">
        <f t="shared" si="691"/>
        <v>7.83</v>
      </c>
      <c r="I4460" s="11">
        <f t="shared" si="692"/>
        <v>0.27</v>
      </c>
      <c r="J4460" s="12">
        <f t="shared" si="693"/>
        <v>-7.83</v>
      </c>
      <c r="K4460" s="17" t="str">
        <f t="shared" si="698"/>
        <v>Ecart négatif</v>
      </c>
      <c r="L4460" s="16">
        <f>base!X4460</f>
        <v>0</v>
      </c>
      <c r="M4460" s="11">
        <f t="shared" si="694"/>
        <v>0</v>
      </c>
      <c r="N4460" s="11">
        <f t="shared" si="695"/>
        <v>0</v>
      </c>
      <c r="O4460" s="11">
        <f t="shared" si="696"/>
        <v>0</v>
      </c>
      <c r="P4460" s="12">
        <f t="shared" si="697"/>
        <v>0</v>
      </c>
      <c r="Q4460" s="17" t="str">
        <f t="shared" si="699"/>
        <v>Pas d'écart</v>
      </c>
    </row>
    <row r="4461" spans="1:18" x14ac:dyDescent="0.3">
      <c r="A4461" s="34" t="str">
        <f>base!J4461</f>
        <v>RS</v>
      </c>
      <c r="B4461" s="34" t="str">
        <f>base!V4461</f>
        <v>83440</v>
      </c>
      <c r="C4461" s="37">
        <v>83</v>
      </c>
      <c r="D4461" s="36">
        <f>base!H4461</f>
        <v>140</v>
      </c>
      <c r="E4461" s="44"/>
      <c r="F4461" s="16">
        <f>base!W4461</f>
        <v>0</v>
      </c>
      <c r="G4461" s="11">
        <f t="shared" si="690"/>
        <v>0</v>
      </c>
      <c r="H4461" s="11">
        <f t="shared" si="691"/>
        <v>42</v>
      </c>
      <c r="I4461" s="11">
        <f t="shared" si="692"/>
        <v>0.3</v>
      </c>
      <c r="J4461" s="12">
        <f t="shared" si="693"/>
        <v>-42</v>
      </c>
      <c r="K4461" s="17" t="str">
        <f t="shared" si="698"/>
        <v>Ecart négatif</v>
      </c>
      <c r="L4461" s="16">
        <f>base!X4461</f>
        <v>29.4</v>
      </c>
      <c r="M4461" s="11">
        <f t="shared" si="694"/>
        <v>0.21</v>
      </c>
      <c r="N4461" s="11">
        <f t="shared" si="695"/>
        <v>29.4</v>
      </c>
      <c r="O4461" s="11">
        <f t="shared" si="696"/>
        <v>0.21</v>
      </c>
      <c r="P4461" s="12">
        <f t="shared" si="697"/>
        <v>0</v>
      </c>
      <c r="Q4461" s="17" t="str">
        <f t="shared" si="699"/>
        <v>Pas d'écart</v>
      </c>
      <c r="R4461" s="38"/>
    </row>
    <row r="4462" spans="1:18" x14ac:dyDescent="0.3">
      <c r="A4462" s="34" t="str">
        <f>base!J4462</f>
        <v>RS</v>
      </c>
      <c r="B4462" s="34" t="str">
        <f>base!V4462</f>
        <v>13127</v>
      </c>
      <c r="C4462" s="37">
        <v>13</v>
      </c>
      <c r="D4462" s="36">
        <f>base!H4462</f>
        <v>199.6</v>
      </c>
      <c r="E4462" s="44"/>
      <c r="F4462" s="16">
        <f>base!W4462</f>
        <v>0</v>
      </c>
      <c r="G4462" s="11">
        <f t="shared" si="690"/>
        <v>0</v>
      </c>
      <c r="H4462" s="11">
        <f t="shared" si="691"/>
        <v>57.883999999999993</v>
      </c>
      <c r="I4462" s="11">
        <f t="shared" si="692"/>
        <v>0.28999999999999998</v>
      </c>
      <c r="J4462" s="12">
        <f t="shared" si="693"/>
        <v>-57.883999999999993</v>
      </c>
      <c r="K4462" s="17" t="str">
        <f t="shared" si="698"/>
        <v>Ecart négatif</v>
      </c>
      <c r="L4462" s="16">
        <f>base!X4462</f>
        <v>0</v>
      </c>
      <c r="M4462" s="11">
        <f t="shared" si="694"/>
        <v>0</v>
      </c>
      <c r="N4462" s="11">
        <f t="shared" si="695"/>
        <v>37.923999999999999</v>
      </c>
      <c r="O4462" s="11">
        <f t="shared" si="696"/>
        <v>0.19</v>
      </c>
      <c r="P4462" s="12">
        <f t="shared" si="697"/>
        <v>-37.923999999999999</v>
      </c>
      <c r="Q4462" s="17" t="str">
        <f t="shared" si="699"/>
        <v>Ecart négatif</v>
      </c>
    </row>
    <row r="4463" spans="1:18" x14ac:dyDescent="0.3">
      <c r="A4463" s="34" t="str">
        <f>base!J4463</f>
        <v>RS</v>
      </c>
      <c r="B4463" s="34" t="str">
        <f>base!V4463</f>
        <v>05220</v>
      </c>
      <c r="C4463" s="37">
        <v>5</v>
      </c>
      <c r="D4463" s="36">
        <f>base!H4463</f>
        <v>180</v>
      </c>
      <c r="E4463" s="44"/>
      <c r="F4463" s="16">
        <f>base!W4463</f>
        <v>0</v>
      </c>
      <c r="G4463" s="11">
        <f t="shared" si="690"/>
        <v>0</v>
      </c>
      <c r="H4463" s="11">
        <f t="shared" si="691"/>
        <v>52.199999999999996</v>
      </c>
      <c r="I4463" s="11">
        <f t="shared" si="692"/>
        <v>0.28999999999999998</v>
      </c>
      <c r="J4463" s="12">
        <f t="shared" si="693"/>
        <v>-52.199999999999996</v>
      </c>
      <c r="K4463" s="17" t="str">
        <f t="shared" si="698"/>
        <v>Ecart négatif</v>
      </c>
      <c r="L4463" s="16">
        <f>base!X4463</f>
        <v>0</v>
      </c>
      <c r="M4463" s="11">
        <f t="shared" si="694"/>
        <v>0</v>
      </c>
      <c r="N4463" s="11">
        <f t="shared" si="695"/>
        <v>34.200000000000003</v>
      </c>
      <c r="O4463" s="11">
        <f t="shared" si="696"/>
        <v>0.19</v>
      </c>
      <c r="P4463" s="12">
        <f t="shared" si="697"/>
        <v>-34.200000000000003</v>
      </c>
      <c r="Q4463" s="17" t="str">
        <f t="shared" si="699"/>
        <v>Ecart négatif</v>
      </c>
    </row>
    <row r="4464" spans="1:18" x14ac:dyDescent="0.3">
      <c r="A4464" s="34" t="str">
        <f>base!J4464</f>
        <v>RM</v>
      </c>
      <c r="B4464" s="34" t="str">
        <f>base!V4464</f>
        <v>69120</v>
      </c>
      <c r="C4464" s="37">
        <v>69</v>
      </c>
      <c r="D4464" s="36">
        <f>base!H4464</f>
        <v>151</v>
      </c>
      <c r="E4464" s="44"/>
      <c r="F4464" s="16">
        <f>base!W4464</f>
        <v>0</v>
      </c>
      <c r="G4464" s="11">
        <f t="shared" si="690"/>
        <v>0</v>
      </c>
      <c r="H4464" s="11">
        <f t="shared" si="691"/>
        <v>40.770000000000003</v>
      </c>
      <c r="I4464" s="11">
        <f t="shared" si="692"/>
        <v>0.27</v>
      </c>
      <c r="J4464" s="12">
        <f t="shared" si="693"/>
        <v>-40.770000000000003</v>
      </c>
      <c r="K4464" s="17" t="str">
        <f t="shared" si="698"/>
        <v>Ecart négatif</v>
      </c>
      <c r="L4464" s="16">
        <f>base!X4464</f>
        <v>0</v>
      </c>
      <c r="M4464" s="11">
        <f t="shared" si="694"/>
        <v>0</v>
      </c>
      <c r="N4464" s="11">
        <f t="shared" si="695"/>
        <v>0</v>
      </c>
      <c r="O4464" s="11">
        <f t="shared" si="696"/>
        <v>0</v>
      </c>
      <c r="P4464" s="12">
        <f t="shared" si="697"/>
        <v>0</v>
      </c>
      <c r="Q4464" s="17" t="str">
        <f t="shared" si="699"/>
        <v>Pas d'écart</v>
      </c>
    </row>
    <row r="4465" spans="1:18" x14ac:dyDescent="0.3">
      <c r="A4465" s="34" t="str">
        <f>base!J4465</f>
        <v>RS</v>
      </c>
      <c r="B4465" s="34" t="str">
        <f>base!V4465</f>
        <v>27000</v>
      </c>
      <c r="C4465" s="37">
        <v>27</v>
      </c>
      <c r="D4465" s="36">
        <f>base!H4465</f>
        <v>168</v>
      </c>
      <c r="E4465" s="44"/>
      <c r="F4465" s="16">
        <f>base!W4465</f>
        <v>0</v>
      </c>
      <c r="G4465" s="11">
        <f t="shared" si="690"/>
        <v>0</v>
      </c>
      <c r="H4465" s="11">
        <f t="shared" si="691"/>
        <v>28.560000000000002</v>
      </c>
      <c r="I4465" s="11">
        <f t="shared" si="692"/>
        <v>0.17</v>
      </c>
      <c r="J4465" s="12">
        <f t="shared" si="693"/>
        <v>-28.560000000000002</v>
      </c>
      <c r="K4465" s="17" t="str">
        <f t="shared" si="698"/>
        <v>Ecart négatif</v>
      </c>
      <c r="L4465" s="16">
        <f>base!X4465</f>
        <v>28.56</v>
      </c>
      <c r="M4465" s="11">
        <f t="shared" si="694"/>
        <v>0.16999999999999998</v>
      </c>
      <c r="N4465" s="11">
        <f t="shared" si="695"/>
        <v>28.560000000000002</v>
      </c>
      <c r="O4465" s="11">
        <f t="shared" si="696"/>
        <v>0.17</v>
      </c>
      <c r="P4465" s="12">
        <f t="shared" si="697"/>
        <v>0</v>
      </c>
      <c r="Q4465" s="17" t="str">
        <f t="shared" si="699"/>
        <v>Pas d'écart</v>
      </c>
      <c r="R4465" s="38"/>
    </row>
    <row r="4466" spans="1:18" x14ac:dyDescent="0.3">
      <c r="A4466" s="34" t="str">
        <f>base!J4466</f>
        <v>RS</v>
      </c>
      <c r="B4466" s="34" t="str">
        <f>base!V4466</f>
        <v>63000</v>
      </c>
      <c r="C4466" s="37">
        <v>63</v>
      </c>
      <c r="D4466" s="36">
        <f>base!H4466</f>
        <v>28</v>
      </c>
      <c r="E4466" s="44"/>
      <c r="F4466" s="16">
        <f>base!W4466</f>
        <v>0</v>
      </c>
      <c r="G4466" s="11">
        <f t="shared" si="690"/>
        <v>0</v>
      </c>
      <c r="H4466" s="11">
        <f t="shared" si="691"/>
        <v>8.1199999999999992</v>
      </c>
      <c r="I4466" s="11">
        <f t="shared" si="692"/>
        <v>0.28999999999999998</v>
      </c>
      <c r="J4466" s="12">
        <f t="shared" si="693"/>
        <v>-8.1199999999999992</v>
      </c>
      <c r="K4466" s="17" t="str">
        <f t="shared" si="698"/>
        <v>Ecart négatif</v>
      </c>
      <c r="L4466" s="16">
        <f>base!X4466</f>
        <v>0</v>
      </c>
      <c r="M4466" s="11">
        <f t="shared" si="694"/>
        <v>0</v>
      </c>
      <c r="N4466" s="11">
        <f t="shared" si="695"/>
        <v>3.36</v>
      </c>
      <c r="O4466" s="11">
        <f t="shared" si="696"/>
        <v>0.12</v>
      </c>
      <c r="P4466" s="12">
        <f t="shared" si="697"/>
        <v>-3.36</v>
      </c>
      <c r="Q4466" s="17" t="str">
        <f t="shared" si="699"/>
        <v>Ecart négatif</v>
      </c>
    </row>
    <row r="4467" spans="1:18" x14ac:dyDescent="0.3">
      <c r="A4467" s="34" t="str">
        <f>base!J4467</f>
        <v>RM</v>
      </c>
      <c r="B4467" s="34" t="str">
        <f>base!V4467</f>
        <v>76140</v>
      </c>
      <c r="C4467" s="37">
        <v>76</v>
      </c>
      <c r="D4467" s="36">
        <f>base!H4467</f>
        <v>180</v>
      </c>
      <c r="E4467" s="44"/>
      <c r="F4467" s="16">
        <f>base!W4467</f>
        <v>0</v>
      </c>
      <c r="G4467" s="11">
        <f t="shared" si="690"/>
        <v>0</v>
      </c>
      <c r="H4467" s="11">
        <f t="shared" si="691"/>
        <v>30.6</v>
      </c>
      <c r="I4467" s="11">
        <f t="shared" si="692"/>
        <v>0.17</v>
      </c>
      <c r="J4467" s="12">
        <f t="shared" si="693"/>
        <v>-30.6</v>
      </c>
      <c r="K4467" s="17" t="str">
        <f t="shared" si="698"/>
        <v>Ecart négatif</v>
      </c>
      <c r="L4467" s="16">
        <f>base!X4467</f>
        <v>30.6</v>
      </c>
      <c r="M4467" s="11">
        <f t="shared" si="694"/>
        <v>0.17</v>
      </c>
      <c r="N4467" s="11">
        <f t="shared" si="695"/>
        <v>30.6</v>
      </c>
      <c r="O4467" s="11">
        <f t="shared" si="696"/>
        <v>0.17</v>
      </c>
      <c r="P4467" s="12">
        <f t="shared" si="697"/>
        <v>0</v>
      </c>
      <c r="Q4467" s="17" t="str">
        <f t="shared" si="699"/>
        <v>Pas d'écart</v>
      </c>
    </row>
    <row r="4468" spans="1:18" x14ac:dyDescent="0.3">
      <c r="A4468" s="34" t="str">
        <f>base!J4468</f>
        <v>RM</v>
      </c>
      <c r="B4468" s="34" t="str">
        <f>base!V4468</f>
        <v>37210</v>
      </c>
      <c r="C4468" s="37">
        <v>37</v>
      </c>
      <c r="D4468" s="36">
        <f>base!H4468</f>
        <v>140</v>
      </c>
      <c r="E4468" s="44"/>
      <c r="F4468" s="16">
        <f>base!W4468</f>
        <v>0</v>
      </c>
      <c r="G4468" s="11">
        <f t="shared" si="690"/>
        <v>0</v>
      </c>
      <c r="H4468" s="11">
        <f t="shared" si="691"/>
        <v>26.6</v>
      </c>
      <c r="I4468" s="11">
        <f t="shared" si="692"/>
        <v>0.19</v>
      </c>
      <c r="J4468" s="12">
        <f t="shared" si="693"/>
        <v>-26.6</v>
      </c>
      <c r="K4468" s="17" t="str">
        <f t="shared" si="698"/>
        <v>Ecart négatif</v>
      </c>
      <c r="L4468" s="16">
        <f>base!X4468</f>
        <v>0</v>
      </c>
      <c r="M4468" s="11">
        <f t="shared" si="694"/>
        <v>0</v>
      </c>
      <c r="N4468" s="11">
        <f t="shared" si="695"/>
        <v>16.8</v>
      </c>
      <c r="O4468" s="11">
        <f t="shared" si="696"/>
        <v>0.12000000000000001</v>
      </c>
      <c r="P4468" s="12">
        <f t="shared" si="697"/>
        <v>-16.8</v>
      </c>
      <c r="Q4468" s="17" t="str">
        <f t="shared" si="699"/>
        <v>Ecart négatif</v>
      </c>
    </row>
    <row r="4469" spans="1:18" x14ac:dyDescent="0.3">
      <c r="A4469" s="34" t="str">
        <f>base!J4469</f>
        <v>RS</v>
      </c>
      <c r="B4469" s="34" t="str">
        <f>base!V4469</f>
        <v>84000</v>
      </c>
      <c r="C4469" s="37">
        <v>84</v>
      </c>
      <c r="D4469" s="36">
        <f>base!H4469</f>
        <v>180</v>
      </c>
      <c r="E4469" s="44"/>
      <c r="F4469" s="16">
        <f>base!W4469</f>
        <v>0</v>
      </c>
      <c r="G4469" s="11">
        <f t="shared" si="690"/>
        <v>0</v>
      </c>
      <c r="H4469" s="11">
        <f t="shared" si="691"/>
        <v>52.199999999999996</v>
      </c>
      <c r="I4469" s="11">
        <f t="shared" si="692"/>
        <v>0.28999999999999998</v>
      </c>
      <c r="J4469" s="12">
        <f t="shared" si="693"/>
        <v>-52.199999999999996</v>
      </c>
      <c r="K4469" s="17" t="str">
        <f t="shared" si="698"/>
        <v>Ecart négatif</v>
      </c>
      <c r="L4469" s="16">
        <f>base!X4469</f>
        <v>0</v>
      </c>
      <c r="M4469" s="11">
        <f t="shared" si="694"/>
        <v>0</v>
      </c>
      <c r="N4469" s="11">
        <f t="shared" si="695"/>
        <v>34.200000000000003</v>
      </c>
      <c r="O4469" s="11">
        <f t="shared" si="696"/>
        <v>0.19</v>
      </c>
      <c r="P4469" s="12">
        <f t="shared" si="697"/>
        <v>-34.200000000000003</v>
      </c>
      <c r="Q4469" s="17" t="str">
        <f t="shared" si="699"/>
        <v>Ecart négatif</v>
      </c>
    </row>
    <row r="4470" spans="1:18" x14ac:dyDescent="0.3">
      <c r="A4470" s="34" t="str">
        <f>base!J4470</f>
        <v>RM</v>
      </c>
      <c r="B4470" s="34" t="str">
        <f>base!V4470</f>
        <v>80100</v>
      </c>
      <c r="C4470" s="37">
        <v>80</v>
      </c>
      <c r="D4470" s="36">
        <f>base!H4470</f>
        <v>180</v>
      </c>
      <c r="E4470" s="44"/>
      <c r="F4470" s="16">
        <f>base!W4470</f>
        <v>0</v>
      </c>
      <c r="G4470" s="11">
        <f t="shared" si="690"/>
        <v>0</v>
      </c>
      <c r="H4470" s="11">
        <f t="shared" si="691"/>
        <v>34.200000000000003</v>
      </c>
      <c r="I4470" s="11">
        <f t="shared" si="692"/>
        <v>0.19</v>
      </c>
      <c r="J4470" s="12">
        <f t="shared" si="693"/>
        <v>-34.200000000000003</v>
      </c>
      <c r="K4470" s="17" t="str">
        <f t="shared" si="698"/>
        <v>Ecart négatif</v>
      </c>
      <c r="L4470" s="16">
        <f>base!X4470</f>
        <v>0</v>
      </c>
      <c r="M4470" s="11">
        <f t="shared" si="694"/>
        <v>0</v>
      </c>
      <c r="N4470" s="11">
        <f t="shared" si="695"/>
        <v>0</v>
      </c>
      <c r="O4470" s="11">
        <f t="shared" si="696"/>
        <v>0</v>
      </c>
      <c r="P4470" s="12">
        <f t="shared" si="697"/>
        <v>0</v>
      </c>
      <c r="Q4470" s="17" t="str">
        <f t="shared" si="699"/>
        <v>Pas d'écart</v>
      </c>
    </row>
    <row r="4471" spans="1:18" x14ac:dyDescent="0.3">
      <c r="A4471" s="34" t="str">
        <f>base!J4471</f>
        <v>LS</v>
      </c>
      <c r="B4471" s="34" t="str">
        <f>base!V4471</f>
        <v>13009</v>
      </c>
      <c r="C4471" s="37">
        <v>38</v>
      </c>
      <c r="D4471" s="36">
        <f>base!H4471</f>
        <v>171.08</v>
      </c>
      <c r="E4471" s="44"/>
      <c r="F4471" s="16">
        <f>base!W4471</f>
        <v>49.61</v>
      </c>
      <c r="G4471" s="11">
        <f t="shared" si="690"/>
        <v>0.2899812953004442</v>
      </c>
      <c r="H4471" s="11">
        <f t="shared" si="691"/>
        <v>46.191600000000008</v>
      </c>
      <c r="I4471" s="11">
        <f t="shared" si="692"/>
        <v>0.27</v>
      </c>
      <c r="J4471" s="12">
        <f t="shared" si="693"/>
        <v>3.4183999999999912</v>
      </c>
      <c r="K4471" s="17" t="str">
        <f t="shared" si="698"/>
        <v>Ecart positif</v>
      </c>
      <c r="L4471" s="16">
        <f>base!X4471</f>
        <v>0</v>
      </c>
      <c r="M4471" s="11">
        <f t="shared" si="694"/>
        <v>0</v>
      </c>
      <c r="N4471" s="11">
        <f t="shared" si="695"/>
        <v>0</v>
      </c>
      <c r="O4471" s="11">
        <f t="shared" si="696"/>
        <v>0</v>
      </c>
      <c r="P4471" s="12">
        <f t="shared" si="697"/>
        <v>0</v>
      </c>
      <c r="Q4471" s="17" t="str">
        <f t="shared" si="699"/>
        <v>Pas d'écart</v>
      </c>
    </row>
    <row r="4472" spans="1:18" x14ac:dyDescent="0.3">
      <c r="A4472" s="34" t="str">
        <f>base!J4472</f>
        <v>RM</v>
      </c>
      <c r="B4472" s="34" t="str">
        <f>base!V4472</f>
        <v>70000</v>
      </c>
      <c r="C4472" s="37">
        <v>70</v>
      </c>
      <c r="D4472" s="36">
        <f>base!H4472</f>
        <v>85</v>
      </c>
      <c r="E4472" s="44"/>
      <c r="F4472" s="16">
        <f>base!W4472</f>
        <v>0</v>
      </c>
      <c r="G4472" s="11">
        <f t="shared" si="690"/>
        <v>0</v>
      </c>
      <c r="H4472" s="11">
        <f t="shared" si="691"/>
        <v>20.399999999999999</v>
      </c>
      <c r="I4472" s="11">
        <f t="shared" si="692"/>
        <v>0.24</v>
      </c>
      <c r="J4472" s="12">
        <f t="shared" si="693"/>
        <v>-20.399999999999999</v>
      </c>
      <c r="K4472" s="17" t="str">
        <f t="shared" si="698"/>
        <v>Ecart négatif</v>
      </c>
      <c r="L4472" s="16">
        <f>base!X4472</f>
        <v>10.199999999999999</v>
      </c>
      <c r="M4472" s="11">
        <f t="shared" si="694"/>
        <v>0.12</v>
      </c>
      <c r="N4472" s="11">
        <f t="shared" si="695"/>
        <v>10.199999999999999</v>
      </c>
      <c r="O4472" s="11">
        <f t="shared" si="696"/>
        <v>0.12</v>
      </c>
      <c r="P4472" s="12">
        <f t="shared" si="697"/>
        <v>0</v>
      </c>
      <c r="Q4472" s="17" t="str">
        <f t="shared" si="699"/>
        <v>Pas d'écart</v>
      </c>
      <c r="R4472" s="38"/>
    </row>
    <row r="4473" spans="1:18" x14ac:dyDescent="0.3">
      <c r="A4473" s="34" t="str">
        <f>base!J4473</f>
        <v>RM</v>
      </c>
      <c r="B4473" s="34" t="str">
        <f>base!V4473</f>
        <v>69150</v>
      </c>
      <c r="C4473" s="37">
        <v>69</v>
      </c>
      <c r="D4473" s="36">
        <f>base!H4473</f>
        <v>29.09</v>
      </c>
      <c r="E4473" s="44"/>
      <c r="F4473" s="16">
        <f>base!W4473</f>
        <v>0</v>
      </c>
      <c r="G4473" s="11">
        <f t="shared" si="690"/>
        <v>0</v>
      </c>
      <c r="H4473" s="11">
        <f t="shared" si="691"/>
        <v>7.8543000000000003</v>
      </c>
      <c r="I4473" s="11">
        <f t="shared" si="692"/>
        <v>0.27</v>
      </c>
      <c r="J4473" s="12">
        <f t="shared" si="693"/>
        <v>-7.8543000000000003</v>
      </c>
      <c r="K4473" s="17" t="str">
        <f t="shared" si="698"/>
        <v>Ecart négatif</v>
      </c>
      <c r="L4473" s="16">
        <f>base!X4473</f>
        <v>0</v>
      </c>
      <c r="M4473" s="11">
        <f t="shared" si="694"/>
        <v>0</v>
      </c>
      <c r="N4473" s="11">
        <f t="shared" si="695"/>
        <v>0</v>
      </c>
      <c r="O4473" s="11">
        <f t="shared" si="696"/>
        <v>0</v>
      </c>
      <c r="P4473" s="12">
        <f t="shared" si="697"/>
        <v>0</v>
      </c>
      <c r="Q4473" s="17" t="str">
        <f t="shared" si="699"/>
        <v>Pas d'écart</v>
      </c>
    </row>
    <row r="4474" spans="1:18" x14ac:dyDescent="0.3">
      <c r="A4474" s="34" t="str">
        <f>base!J4474</f>
        <v>LM</v>
      </c>
      <c r="B4474" s="34" t="str">
        <f>base!V4474</f>
        <v>92000</v>
      </c>
      <c r="C4474" s="37">
        <v>92</v>
      </c>
      <c r="D4474" s="36">
        <f>base!H4474</f>
        <v>50.84</v>
      </c>
      <c r="E4474" s="44"/>
      <c r="F4474" s="16">
        <f>base!W4474</f>
        <v>0</v>
      </c>
      <c r="G4474" s="11">
        <f t="shared" si="690"/>
        <v>0</v>
      </c>
      <c r="H4474" s="11">
        <f t="shared" si="691"/>
        <v>0</v>
      </c>
      <c r="I4474" s="11">
        <f t="shared" si="692"/>
        <v>0</v>
      </c>
      <c r="J4474" s="12">
        <f t="shared" si="693"/>
        <v>0</v>
      </c>
      <c r="K4474" s="17" t="str">
        <f t="shared" si="698"/>
        <v>Pas d'écart</v>
      </c>
      <c r="L4474" s="16">
        <f>base!X4474</f>
        <v>0</v>
      </c>
      <c r="M4474" s="11">
        <f t="shared" si="694"/>
        <v>0</v>
      </c>
      <c r="N4474" s="11">
        <f t="shared" si="695"/>
        <v>0</v>
      </c>
      <c r="O4474" s="11">
        <f t="shared" si="696"/>
        <v>0</v>
      </c>
      <c r="P4474" s="12">
        <f t="shared" si="697"/>
        <v>0</v>
      </c>
      <c r="Q4474" s="17" t="str">
        <f t="shared" si="699"/>
        <v>Pas d'écart</v>
      </c>
    </row>
    <row r="4475" spans="1:18" x14ac:dyDescent="0.3">
      <c r="A4475" s="34" t="str">
        <f>base!J4475</f>
        <v>LM</v>
      </c>
      <c r="B4475" s="34" t="str">
        <f>base!V4475</f>
        <v>92000</v>
      </c>
      <c r="C4475" s="37">
        <v>92</v>
      </c>
      <c r="D4475" s="36">
        <f>base!H4475</f>
        <v>50.84</v>
      </c>
      <c r="E4475" s="44"/>
      <c r="F4475" s="16">
        <f>base!W4475</f>
        <v>0</v>
      </c>
      <c r="G4475" s="11">
        <f t="shared" si="690"/>
        <v>0</v>
      </c>
      <c r="H4475" s="11">
        <f t="shared" si="691"/>
        <v>0</v>
      </c>
      <c r="I4475" s="11">
        <f t="shared" si="692"/>
        <v>0</v>
      </c>
      <c r="J4475" s="12">
        <f t="shared" si="693"/>
        <v>0</v>
      </c>
      <c r="K4475" s="17" t="str">
        <f t="shared" si="698"/>
        <v>Pas d'écart</v>
      </c>
      <c r="L4475" s="16">
        <f>base!X4475</f>
        <v>0</v>
      </c>
      <c r="M4475" s="11">
        <f t="shared" si="694"/>
        <v>0</v>
      </c>
      <c r="N4475" s="11">
        <f t="shared" si="695"/>
        <v>0</v>
      </c>
      <c r="O4475" s="11">
        <f t="shared" si="696"/>
        <v>0</v>
      </c>
      <c r="P4475" s="12">
        <f t="shared" si="697"/>
        <v>0</v>
      </c>
      <c r="Q4475" s="17" t="str">
        <f t="shared" si="699"/>
        <v>Pas d'écart</v>
      </c>
    </row>
    <row r="4476" spans="1:18" x14ac:dyDescent="0.3">
      <c r="A4476" s="34" t="str">
        <f>base!J4476</f>
        <v>LM</v>
      </c>
      <c r="B4476" s="34" t="str">
        <f>base!V4476</f>
        <v>92000</v>
      </c>
      <c r="C4476" s="37">
        <v>92</v>
      </c>
      <c r="D4476" s="36">
        <f>base!H4476</f>
        <v>50.84</v>
      </c>
      <c r="E4476" s="44"/>
      <c r="F4476" s="16">
        <f>base!W4476</f>
        <v>0</v>
      </c>
      <c r="G4476" s="11">
        <f t="shared" si="690"/>
        <v>0</v>
      </c>
      <c r="H4476" s="11">
        <f t="shared" si="691"/>
        <v>0</v>
      </c>
      <c r="I4476" s="11">
        <f t="shared" si="692"/>
        <v>0</v>
      </c>
      <c r="J4476" s="12">
        <f t="shared" si="693"/>
        <v>0</v>
      </c>
      <c r="K4476" s="17" t="str">
        <f t="shared" si="698"/>
        <v>Pas d'écart</v>
      </c>
      <c r="L4476" s="16">
        <f>base!X4476</f>
        <v>0</v>
      </c>
      <c r="M4476" s="11">
        <f t="shared" si="694"/>
        <v>0</v>
      </c>
      <c r="N4476" s="11">
        <f t="shared" si="695"/>
        <v>0</v>
      </c>
      <c r="O4476" s="11">
        <f t="shared" si="696"/>
        <v>0</v>
      </c>
      <c r="P4476" s="12">
        <f t="shared" si="697"/>
        <v>0</v>
      </c>
      <c r="Q4476" s="17" t="str">
        <f t="shared" si="699"/>
        <v>Pas d'écart</v>
      </c>
    </row>
    <row r="4477" spans="1:18" x14ac:dyDescent="0.3">
      <c r="A4477" s="34" t="str">
        <f>base!J4477</f>
        <v>RM</v>
      </c>
      <c r="B4477" s="34" t="str">
        <f>base!V4477</f>
        <v>06190</v>
      </c>
      <c r="C4477" s="37">
        <v>6</v>
      </c>
      <c r="D4477" s="36">
        <f>base!H4477</f>
        <v>92</v>
      </c>
      <c r="E4477" s="44"/>
      <c r="F4477" s="16">
        <f>base!W4477</f>
        <v>0</v>
      </c>
      <c r="G4477" s="11">
        <f t="shared" si="690"/>
        <v>0</v>
      </c>
      <c r="H4477" s="11">
        <f t="shared" si="691"/>
        <v>27.599999999999998</v>
      </c>
      <c r="I4477" s="11">
        <f t="shared" si="692"/>
        <v>0.3</v>
      </c>
      <c r="J4477" s="12">
        <f t="shared" si="693"/>
        <v>-27.599999999999998</v>
      </c>
      <c r="K4477" s="17" t="str">
        <f t="shared" si="698"/>
        <v>Ecart négatif</v>
      </c>
      <c r="L4477" s="16">
        <f>base!X4477</f>
        <v>27.6</v>
      </c>
      <c r="M4477" s="11">
        <f t="shared" si="694"/>
        <v>0.3</v>
      </c>
      <c r="N4477" s="11">
        <f t="shared" si="695"/>
        <v>19.32</v>
      </c>
      <c r="O4477" s="11">
        <f t="shared" si="696"/>
        <v>0.21</v>
      </c>
      <c r="P4477" s="12">
        <f t="shared" si="697"/>
        <v>8.2800000000000011</v>
      </c>
      <c r="Q4477" s="17" t="str">
        <f t="shared" si="699"/>
        <v>Ecart positif</v>
      </c>
      <c r="R4477" s="38"/>
    </row>
    <row r="4478" spans="1:18" x14ac:dyDescent="0.3">
      <c r="A4478" s="34" t="str">
        <f>base!J4478</f>
        <v>DLM</v>
      </c>
      <c r="B4478" s="34" t="str">
        <f>base!V4478</f>
        <v>47000</v>
      </c>
      <c r="C4478" s="37">
        <v>47</v>
      </c>
      <c r="D4478" s="36">
        <f>base!H4478</f>
        <v>52.5</v>
      </c>
      <c r="E4478" s="44"/>
      <c r="F4478" s="16">
        <f>base!W4478</f>
        <v>0</v>
      </c>
      <c r="G4478" s="11">
        <f t="shared" si="690"/>
        <v>0</v>
      </c>
      <c r="H4478" s="11">
        <f t="shared" si="691"/>
        <v>11.025</v>
      </c>
      <c r="I4478" s="11">
        <f t="shared" si="692"/>
        <v>0.21000000000000002</v>
      </c>
      <c r="J4478" s="12">
        <f t="shared" si="693"/>
        <v>-11.025</v>
      </c>
      <c r="K4478" s="17" t="str">
        <f t="shared" si="698"/>
        <v>Ecart négatif</v>
      </c>
      <c r="L4478" s="16">
        <f>base!X4478</f>
        <v>0</v>
      </c>
      <c r="M4478" s="11">
        <f t="shared" si="694"/>
        <v>0</v>
      </c>
      <c r="N4478" s="11">
        <f t="shared" si="695"/>
        <v>8.9250000000000007</v>
      </c>
      <c r="O4478" s="11">
        <f t="shared" si="696"/>
        <v>0.17</v>
      </c>
      <c r="P4478" s="12">
        <f t="shared" si="697"/>
        <v>-8.9250000000000007</v>
      </c>
      <c r="Q4478" s="17" t="str">
        <f t="shared" si="699"/>
        <v>Ecart négatif</v>
      </c>
    </row>
    <row r="4479" spans="1:18" x14ac:dyDescent="0.3">
      <c r="A4479" s="34" t="str">
        <f>base!J4479</f>
        <v>DLM</v>
      </c>
      <c r="B4479" s="34" t="str">
        <f>base!V4479</f>
        <v>91130</v>
      </c>
      <c r="C4479" s="37">
        <v>91</v>
      </c>
      <c r="D4479" s="36">
        <f>base!H4479</f>
        <v>52.5</v>
      </c>
      <c r="E4479" s="44"/>
      <c r="F4479" s="16">
        <f>base!W4479</f>
        <v>0</v>
      </c>
      <c r="G4479" s="11">
        <f t="shared" si="690"/>
        <v>0</v>
      </c>
      <c r="H4479" s="11">
        <f t="shared" si="691"/>
        <v>0</v>
      </c>
      <c r="I4479" s="11">
        <f t="shared" si="692"/>
        <v>0</v>
      </c>
      <c r="J4479" s="12">
        <f t="shared" si="693"/>
        <v>0</v>
      </c>
      <c r="K4479" s="17" t="str">
        <f t="shared" si="698"/>
        <v>Pas d'écart</v>
      </c>
      <c r="L4479" s="16">
        <f>base!X4479</f>
        <v>0</v>
      </c>
      <c r="M4479" s="11">
        <f t="shared" si="694"/>
        <v>0</v>
      </c>
      <c r="N4479" s="11">
        <f t="shared" si="695"/>
        <v>0</v>
      </c>
      <c r="O4479" s="11">
        <f t="shared" si="696"/>
        <v>0</v>
      </c>
      <c r="P4479" s="12">
        <f t="shared" si="697"/>
        <v>0</v>
      </c>
      <c r="Q4479" s="17" t="str">
        <f t="shared" si="699"/>
        <v>Pas d'écart</v>
      </c>
    </row>
    <row r="4480" spans="1:18" x14ac:dyDescent="0.3">
      <c r="A4480" s="34" t="str">
        <f>base!J4480</f>
        <v>DLM</v>
      </c>
      <c r="B4480" s="34" t="str">
        <f>base!V4480</f>
        <v>69003</v>
      </c>
      <c r="C4480" s="37">
        <v>69</v>
      </c>
      <c r="D4480" s="36">
        <f>base!H4480</f>
        <v>52.5</v>
      </c>
      <c r="E4480" s="44"/>
      <c r="F4480" s="16">
        <f>base!W4480</f>
        <v>0</v>
      </c>
      <c r="G4480" s="11">
        <f t="shared" si="690"/>
        <v>0</v>
      </c>
      <c r="H4480" s="11">
        <f t="shared" si="691"/>
        <v>14.175000000000001</v>
      </c>
      <c r="I4480" s="11">
        <f t="shared" si="692"/>
        <v>0.27</v>
      </c>
      <c r="J4480" s="12">
        <f t="shared" si="693"/>
        <v>-14.175000000000001</v>
      </c>
      <c r="K4480" s="17" t="str">
        <f t="shared" si="698"/>
        <v>Ecart négatif</v>
      </c>
      <c r="L4480" s="16">
        <f>base!X4480</f>
        <v>0</v>
      </c>
      <c r="M4480" s="11">
        <f t="shared" si="694"/>
        <v>0</v>
      </c>
      <c r="N4480" s="11">
        <f t="shared" si="695"/>
        <v>0</v>
      </c>
      <c r="O4480" s="11">
        <f t="shared" si="696"/>
        <v>0</v>
      </c>
      <c r="P4480" s="12">
        <f t="shared" si="697"/>
        <v>0</v>
      </c>
      <c r="Q4480" s="17" t="str">
        <f t="shared" si="699"/>
        <v>Pas d'écart</v>
      </c>
    </row>
    <row r="4481" spans="1:18" x14ac:dyDescent="0.3">
      <c r="A4481" s="34" t="str">
        <f>base!J4481</f>
        <v>DLM</v>
      </c>
      <c r="B4481" s="34" t="str">
        <f>base!V4481</f>
        <v>88000</v>
      </c>
      <c r="C4481" s="37">
        <v>88</v>
      </c>
      <c r="D4481" s="36">
        <f>base!H4481</f>
        <v>52.5</v>
      </c>
      <c r="E4481" s="44"/>
      <c r="F4481" s="16">
        <f>base!W4481</f>
        <v>0</v>
      </c>
      <c r="G4481" s="11">
        <f t="shared" si="690"/>
        <v>0</v>
      </c>
      <c r="H4481" s="11">
        <f t="shared" si="691"/>
        <v>14.700000000000001</v>
      </c>
      <c r="I4481" s="11">
        <f t="shared" si="692"/>
        <v>0.28000000000000003</v>
      </c>
      <c r="J4481" s="12">
        <f t="shared" si="693"/>
        <v>-14.700000000000001</v>
      </c>
      <c r="K4481" s="17" t="str">
        <f t="shared" si="698"/>
        <v>Ecart négatif</v>
      </c>
      <c r="L4481" s="16">
        <f>base!X4481</f>
        <v>0</v>
      </c>
      <c r="M4481" s="11">
        <f t="shared" si="694"/>
        <v>0</v>
      </c>
      <c r="N4481" s="11">
        <f t="shared" si="695"/>
        <v>4.2</v>
      </c>
      <c r="O4481" s="11">
        <f t="shared" si="696"/>
        <v>0.08</v>
      </c>
      <c r="P4481" s="12">
        <f t="shared" si="697"/>
        <v>-4.2</v>
      </c>
      <c r="Q4481" s="17" t="str">
        <f t="shared" si="699"/>
        <v>Ecart négatif</v>
      </c>
    </row>
    <row r="4482" spans="1:18" x14ac:dyDescent="0.3">
      <c r="A4482" s="34" t="str">
        <f>base!J4482</f>
        <v>RM</v>
      </c>
      <c r="B4482" s="34" t="str">
        <f>base!V4482</f>
        <v>77184</v>
      </c>
      <c r="C4482" s="37">
        <v>77</v>
      </c>
      <c r="D4482" s="36">
        <f>base!H4482</f>
        <v>25</v>
      </c>
      <c r="E4482" s="44"/>
      <c r="F4482" s="16">
        <f>base!W4482</f>
        <v>0</v>
      </c>
      <c r="G4482" s="11">
        <f t="shared" ref="G4482:G4545" si="700">F4482/D4482</f>
        <v>0</v>
      </c>
      <c r="H4482" s="11">
        <f t="shared" ref="H4482:H4545" si="701">VLOOKUP(C4482,tout_cout_traction,2,FALSE)*D4482</f>
        <v>0</v>
      </c>
      <c r="I4482" s="11">
        <f t="shared" ref="I4482:I4545" si="702">H4482/D4482</f>
        <v>0</v>
      </c>
      <c r="J4482" s="12">
        <f t="shared" ref="J4482:J4545" si="703">F4482-H4482</f>
        <v>0</v>
      </c>
      <c r="K4482" s="17" t="str">
        <f t="shared" si="698"/>
        <v>Pas d'écart</v>
      </c>
      <c r="L4482" s="16">
        <f>base!X4482</f>
        <v>0</v>
      </c>
      <c r="M4482" s="11">
        <f t="shared" ref="M4482:M4545" si="704">L4482/D4482</f>
        <v>0</v>
      </c>
      <c r="N4482" s="11">
        <f t="shared" ref="N4482:N4545" si="705">VLOOKUP(C4482,tout_cout_traction,3,FALSE)*D4482</f>
        <v>0</v>
      </c>
      <c r="O4482" s="11">
        <f t="shared" ref="O4482:O4545" si="706">N4482/D4482</f>
        <v>0</v>
      </c>
      <c r="P4482" s="12">
        <f t="shared" ref="P4482:P4545" si="707">L4482-N4482</f>
        <v>0</v>
      </c>
      <c r="Q4482" s="17" t="str">
        <f t="shared" si="699"/>
        <v>Pas d'écart</v>
      </c>
    </row>
    <row r="4483" spans="1:18" x14ac:dyDescent="0.3">
      <c r="A4483" s="34" t="str">
        <f>base!J4483</f>
        <v>RM</v>
      </c>
      <c r="B4483" s="34" t="str">
        <f>base!V4483</f>
        <v>77200</v>
      </c>
      <c r="C4483" s="37">
        <v>77</v>
      </c>
      <c r="D4483" s="36">
        <f>base!H4483</f>
        <v>40</v>
      </c>
      <c r="E4483" s="44"/>
      <c r="F4483" s="16">
        <f>base!W4483</f>
        <v>0</v>
      </c>
      <c r="G4483" s="11">
        <f t="shared" si="700"/>
        <v>0</v>
      </c>
      <c r="H4483" s="11">
        <f t="shared" si="701"/>
        <v>0</v>
      </c>
      <c r="I4483" s="11">
        <f t="shared" si="702"/>
        <v>0</v>
      </c>
      <c r="J4483" s="12">
        <f t="shared" si="703"/>
        <v>0</v>
      </c>
      <c r="K4483" s="17" t="str">
        <f t="shared" ref="K4483:K4546" si="708">IF(H4483=F4483,"Pas d'écart",IF(H4483&lt;F4483,"Ecart positif",IF(H4483&gt;F4483,"Ecart négatif")))</f>
        <v>Pas d'écart</v>
      </c>
      <c r="L4483" s="16">
        <f>base!X4483</f>
        <v>0</v>
      </c>
      <c r="M4483" s="11">
        <f t="shared" si="704"/>
        <v>0</v>
      </c>
      <c r="N4483" s="11">
        <f t="shared" si="705"/>
        <v>0</v>
      </c>
      <c r="O4483" s="11">
        <f t="shared" si="706"/>
        <v>0</v>
      </c>
      <c r="P4483" s="12">
        <f t="shared" si="707"/>
        <v>0</v>
      </c>
      <c r="Q4483" s="17" t="str">
        <f t="shared" ref="Q4483:Q4546" si="709">IF(N4483=L4483,"Pas d'écart",IF(N4483&lt;L4483,"Ecart positif",IF(N4483&gt;L4483,"Ecart négatif")))</f>
        <v>Pas d'écart</v>
      </c>
    </row>
    <row r="4484" spans="1:18" x14ac:dyDescent="0.3">
      <c r="A4484" s="34" t="str">
        <f>base!J4484</f>
        <v>RM</v>
      </c>
      <c r="B4484" s="34" t="str">
        <f>base!V4484</f>
        <v>13001</v>
      </c>
      <c r="C4484" s="37">
        <v>13</v>
      </c>
      <c r="D4484" s="36">
        <f>base!H4484</f>
        <v>29.59</v>
      </c>
      <c r="E4484" s="44"/>
      <c r="F4484" s="16">
        <f>base!W4484</f>
        <v>0</v>
      </c>
      <c r="G4484" s="11">
        <f t="shared" si="700"/>
        <v>0</v>
      </c>
      <c r="H4484" s="11">
        <f t="shared" si="701"/>
        <v>8.5810999999999993</v>
      </c>
      <c r="I4484" s="11">
        <f t="shared" si="702"/>
        <v>0.28999999999999998</v>
      </c>
      <c r="J4484" s="12">
        <f t="shared" si="703"/>
        <v>-8.5810999999999993</v>
      </c>
      <c r="K4484" s="17" t="str">
        <f t="shared" si="708"/>
        <v>Ecart négatif</v>
      </c>
      <c r="L4484" s="16">
        <f>base!X4484</f>
        <v>0</v>
      </c>
      <c r="M4484" s="11">
        <f t="shared" si="704"/>
        <v>0</v>
      </c>
      <c r="N4484" s="11">
        <f t="shared" si="705"/>
        <v>5.6220999999999997</v>
      </c>
      <c r="O4484" s="11">
        <f t="shared" si="706"/>
        <v>0.19</v>
      </c>
      <c r="P4484" s="12">
        <f t="shared" si="707"/>
        <v>-5.6220999999999997</v>
      </c>
      <c r="Q4484" s="17" t="str">
        <f t="shared" si="709"/>
        <v>Ecart négatif</v>
      </c>
    </row>
    <row r="4485" spans="1:18" x14ac:dyDescent="0.3">
      <c r="A4485" s="34" t="str">
        <f>base!J4485</f>
        <v>LM</v>
      </c>
      <c r="B4485" s="34" t="str">
        <f>base!V4485</f>
        <v>92000</v>
      </c>
      <c r="C4485" s="37">
        <v>92</v>
      </c>
      <c r="D4485" s="36">
        <f>base!H4485</f>
        <v>50.84</v>
      </c>
      <c r="E4485" s="44"/>
      <c r="F4485" s="16">
        <f>base!W4485</f>
        <v>0</v>
      </c>
      <c r="G4485" s="11">
        <f t="shared" si="700"/>
        <v>0</v>
      </c>
      <c r="H4485" s="11">
        <f t="shared" si="701"/>
        <v>0</v>
      </c>
      <c r="I4485" s="11">
        <f t="shared" si="702"/>
        <v>0</v>
      </c>
      <c r="J4485" s="12">
        <f t="shared" si="703"/>
        <v>0</v>
      </c>
      <c r="K4485" s="17" t="str">
        <f t="shared" si="708"/>
        <v>Pas d'écart</v>
      </c>
      <c r="L4485" s="16">
        <f>base!X4485</f>
        <v>0</v>
      </c>
      <c r="M4485" s="11">
        <f t="shared" si="704"/>
        <v>0</v>
      </c>
      <c r="N4485" s="11">
        <f t="shared" si="705"/>
        <v>0</v>
      </c>
      <c r="O4485" s="11">
        <f t="shared" si="706"/>
        <v>0</v>
      </c>
      <c r="P4485" s="12">
        <f t="shared" si="707"/>
        <v>0</v>
      </c>
      <c r="Q4485" s="17" t="str">
        <f t="shared" si="709"/>
        <v>Pas d'écart</v>
      </c>
    </row>
    <row r="4486" spans="1:18" x14ac:dyDescent="0.3">
      <c r="A4486" s="34" t="str">
        <f>base!J4486</f>
        <v>LM</v>
      </c>
      <c r="B4486" s="34" t="str">
        <f>base!V4486</f>
        <v>38230</v>
      </c>
      <c r="C4486" s="37">
        <v>49</v>
      </c>
      <c r="D4486" s="36">
        <f>base!H4486</f>
        <v>19.649999999999999</v>
      </c>
      <c r="E4486" s="44"/>
      <c r="F4486" s="16">
        <f>base!W4486</f>
        <v>5.31</v>
      </c>
      <c r="G4486" s="11">
        <f t="shared" si="700"/>
        <v>0.27022900763358776</v>
      </c>
      <c r="H4486" s="11">
        <f t="shared" si="701"/>
        <v>5.3055000000000003</v>
      </c>
      <c r="I4486" s="11">
        <f t="shared" si="702"/>
        <v>0.27</v>
      </c>
      <c r="J4486" s="12">
        <f t="shared" si="703"/>
        <v>4.4999999999992824E-3</v>
      </c>
      <c r="K4486" s="17" t="str">
        <f t="shared" si="708"/>
        <v>Ecart positif</v>
      </c>
      <c r="L4486" s="16">
        <f>base!X4486</f>
        <v>0</v>
      </c>
      <c r="M4486" s="11">
        <f t="shared" si="704"/>
        <v>0</v>
      </c>
      <c r="N4486" s="11">
        <f t="shared" si="705"/>
        <v>0</v>
      </c>
      <c r="O4486" s="11">
        <f t="shared" si="706"/>
        <v>0</v>
      </c>
      <c r="P4486" s="12">
        <f t="shared" si="707"/>
        <v>0</v>
      </c>
      <c r="Q4486" s="17" t="str">
        <f t="shared" si="709"/>
        <v>Pas d'écart</v>
      </c>
    </row>
    <row r="4487" spans="1:18" x14ac:dyDescent="0.3">
      <c r="A4487" s="34" t="str">
        <f>base!J4487</f>
        <v>LM</v>
      </c>
      <c r="B4487" s="34" t="str">
        <f>base!V4487</f>
        <v>38110</v>
      </c>
      <c r="C4487" s="37">
        <v>1</v>
      </c>
      <c r="D4487" s="36">
        <f>base!H4487</f>
        <v>19.649999999999999</v>
      </c>
      <c r="E4487" s="44"/>
      <c r="F4487" s="16">
        <f>base!W4487</f>
        <v>5.31</v>
      </c>
      <c r="G4487" s="11">
        <f t="shared" si="700"/>
        <v>0.27022900763358776</v>
      </c>
      <c r="H4487" s="11">
        <f t="shared" si="701"/>
        <v>5.109</v>
      </c>
      <c r="I4487" s="11">
        <f t="shared" si="702"/>
        <v>0.26</v>
      </c>
      <c r="J4487" s="12">
        <f t="shared" si="703"/>
        <v>0.20099999999999962</v>
      </c>
      <c r="K4487" s="17" t="str">
        <f t="shared" si="708"/>
        <v>Ecart positif</v>
      </c>
      <c r="L4487" s="16">
        <f>base!X4487</f>
        <v>0</v>
      </c>
      <c r="M4487" s="11">
        <f t="shared" si="704"/>
        <v>0</v>
      </c>
      <c r="N4487" s="11">
        <f t="shared" si="705"/>
        <v>0</v>
      </c>
      <c r="O4487" s="11">
        <f t="shared" si="706"/>
        <v>0</v>
      </c>
      <c r="P4487" s="12">
        <f t="shared" si="707"/>
        <v>0</v>
      </c>
      <c r="Q4487" s="17" t="str">
        <f t="shared" si="709"/>
        <v>Pas d'écart</v>
      </c>
    </row>
    <row r="4488" spans="1:18" x14ac:dyDescent="0.3">
      <c r="A4488" s="34" t="str">
        <f>base!J4488</f>
        <v>RM</v>
      </c>
      <c r="B4488" s="34" t="str">
        <f>base!V4488</f>
        <v>59790</v>
      </c>
      <c r="C4488" s="37">
        <v>59</v>
      </c>
      <c r="D4488" s="36">
        <f>base!H4488</f>
        <v>198.98</v>
      </c>
      <c r="E4488" s="44"/>
      <c r="F4488" s="16">
        <f>base!W4488</f>
        <v>0</v>
      </c>
      <c r="G4488" s="11">
        <f t="shared" si="700"/>
        <v>0</v>
      </c>
      <c r="H4488" s="11">
        <f t="shared" si="701"/>
        <v>37.806199999999997</v>
      </c>
      <c r="I4488" s="11">
        <f t="shared" si="702"/>
        <v>0.19</v>
      </c>
      <c r="J4488" s="12">
        <f t="shared" si="703"/>
        <v>-37.806199999999997</v>
      </c>
      <c r="K4488" s="17" t="str">
        <f t="shared" si="708"/>
        <v>Ecart négatif</v>
      </c>
      <c r="L4488" s="16">
        <f>base!X4488</f>
        <v>0</v>
      </c>
      <c r="M4488" s="11">
        <f t="shared" si="704"/>
        <v>0</v>
      </c>
      <c r="N4488" s="11">
        <f t="shared" si="705"/>
        <v>0</v>
      </c>
      <c r="O4488" s="11">
        <f t="shared" si="706"/>
        <v>0</v>
      </c>
      <c r="P4488" s="12">
        <f t="shared" si="707"/>
        <v>0</v>
      </c>
      <c r="Q4488" s="17" t="str">
        <f t="shared" si="709"/>
        <v>Pas d'écart</v>
      </c>
    </row>
    <row r="4489" spans="1:18" x14ac:dyDescent="0.3">
      <c r="A4489" s="34" t="str">
        <f>base!J4489</f>
        <v>LS</v>
      </c>
      <c r="B4489" s="34" t="str">
        <f>base!V4489</f>
        <v>53100</v>
      </c>
      <c r="C4489" s="37">
        <v>44</v>
      </c>
      <c r="D4489" s="36">
        <f>base!H4489</f>
        <v>130.25</v>
      </c>
      <c r="E4489" s="44"/>
      <c r="F4489" s="16">
        <f>base!W4489</f>
        <v>35.17</v>
      </c>
      <c r="G4489" s="11">
        <f t="shared" si="700"/>
        <v>0.27001919385796547</v>
      </c>
      <c r="H4489" s="11">
        <f t="shared" si="701"/>
        <v>35.167500000000004</v>
      </c>
      <c r="I4489" s="11">
        <f t="shared" si="702"/>
        <v>0.27</v>
      </c>
      <c r="J4489" s="12">
        <f t="shared" si="703"/>
        <v>2.4999999999977263E-3</v>
      </c>
      <c r="K4489" s="17" t="str">
        <f t="shared" si="708"/>
        <v>Ecart positif</v>
      </c>
      <c r="L4489" s="16">
        <f>base!X4489</f>
        <v>0</v>
      </c>
      <c r="M4489" s="11">
        <f t="shared" si="704"/>
        <v>0</v>
      </c>
      <c r="N4489" s="11">
        <f t="shared" si="705"/>
        <v>0</v>
      </c>
      <c r="O4489" s="11">
        <f t="shared" si="706"/>
        <v>0</v>
      </c>
      <c r="P4489" s="12">
        <f t="shared" si="707"/>
        <v>0</v>
      </c>
      <c r="Q4489" s="17" t="str">
        <f t="shared" si="709"/>
        <v>Pas d'écart</v>
      </c>
    </row>
    <row r="4490" spans="1:18" x14ac:dyDescent="0.3">
      <c r="A4490" s="34" t="str">
        <f>base!J4490</f>
        <v>RM</v>
      </c>
      <c r="B4490" s="34" t="str">
        <f>base!V4490</f>
        <v>63500</v>
      </c>
      <c r="C4490" s="37">
        <v>63</v>
      </c>
      <c r="D4490" s="36">
        <f>base!H4490</f>
        <v>40</v>
      </c>
      <c r="E4490" s="44"/>
      <c r="F4490" s="16">
        <f>base!W4490</f>
        <v>0</v>
      </c>
      <c r="G4490" s="11">
        <f t="shared" si="700"/>
        <v>0</v>
      </c>
      <c r="H4490" s="11">
        <f t="shared" si="701"/>
        <v>11.6</v>
      </c>
      <c r="I4490" s="11">
        <f t="shared" si="702"/>
        <v>0.28999999999999998</v>
      </c>
      <c r="J4490" s="12">
        <f t="shared" si="703"/>
        <v>-11.6</v>
      </c>
      <c r="K4490" s="17" t="str">
        <f t="shared" si="708"/>
        <v>Ecart négatif</v>
      </c>
      <c r="L4490" s="16">
        <f>base!X4490</f>
        <v>4.8</v>
      </c>
      <c r="M4490" s="11">
        <f t="shared" si="704"/>
        <v>0.12</v>
      </c>
      <c r="N4490" s="11">
        <f t="shared" si="705"/>
        <v>4.8</v>
      </c>
      <c r="O4490" s="11">
        <f t="shared" si="706"/>
        <v>0.12</v>
      </c>
      <c r="P4490" s="12">
        <f t="shared" si="707"/>
        <v>0</v>
      </c>
      <c r="Q4490" s="17" t="str">
        <f t="shared" si="709"/>
        <v>Pas d'écart</v>
      </c>
      <c r="R4490" s="38"/>
    </row>
    <row r="4491" spans="1:18" x14ac:dyDescent="0.3">
      <c r="A4491" s="34" t="str">
        <f>base!J4491</f>
        <v>DLS</v>
      </c>
      <c r="B4491" s="34" t="str">
        <f>base!V4491</f>
        <v>57500</v>
      </c>
      <c r="C4491" s="37">
        <v>57</v>
      </c>
      <c r="D4491" s="36">
        <f>base!H4491</f>
        <v>180</v>
      </c>
      <c r="E4491" s="44"/>
      <c r="F4491" s="16">
        <f>base!W4491</f>
        <v>0</v>
      </c>
      <c r="G4491" s="11">
        <f t="shared" si="700"/>
        <v>0</v>
      </c>
      <c r="H4491" s="11">
        <f t="shared" si="701"/>
        <v>43.199999999999996</v>
      </c>
      <c r="I4491" s="11">
        <f t="shared" si="702"/>
        <v>0.23999999999999996</v>
      </c>
      <c r="J4491" s="12">
        <f t="shared" si="703"/>
        <v>-43.199999999999996</v>
      </c>
      <c r="K4491" s="17" t="str">
        <f t="shared" si="708"/>
        <v>Ecart négatif</v>
      </c>
      <c r="L4491" s="16">
        <f>base!X4491</f>
        <v>0</v>
      </c>
      <c r="M4491" s="11">
        <f t="shared" si="704"/>
        <v>0</v>
      </c>
      <c r="N4491" s="11">
        <f t="shared" si="705"/>
        <v>45</v>
      </c>
      <c r="O4491" s="11">
        <f t="shared" si="706"/>
        <v>0.25</v>
      </c>
      <c r="P4491" s="12">
        <f t="shared" si="707"/>
        <v>-45</v>
      </c>
      <c r="Q4491" s="17" t="str">
        <f t="shared" si="709"/>
        <v>Ecart négatif</v>
      </c>
    </row>
    <row r="4492" spans="1:18" x14ac:dyDescent="0.3">
      <c r="A4492" s="34" t="str">
        <f>base!J4492</f>
        <v>RS</v>
      </c>
      <c r="B4492" s="34" t="str">
        <f>base!V4492</f>
        <v>01300</v>
      </c>
      <c r="C4492" s="37">
        <v>1</v>
      </c>
      <c r="D4492" s="36">
        <f>base!H4492</f>
        <v>40</v>
      </c>
      <c r="E4492" s="44"/>
      <c r="F4492" s="16">
        <f>base!W4492</f>
        <v>0</v>
      </c>
      <c r="G4492" s="11">
        <f t="shared" si="700"/>
        <v>0</v>
      </c>
      <c r="H4492" s="11">
        <f t="shared" si="701"/>
        <v>10.4</v>
      </c>
      <c r="I4492" s="11">
        <f t="shared" si="702"/>
        <v>0.26</v>
      </c>
      <c r="J4492" s="12">
        <f t="shared" si="703"/>
        <v>-10.4</v>
      </c>
      <c r="K4492" s="17" t="str">
        <f t="shared" si="708"/>
        <v>Ecart négatif</v>
      </c>
      <c r="L4492" s="16">
        <f>base!X4492</f>
        <v>0</v>
      </c>
      <c r="M4492" s="11">
        <f t="shared" si="704"/>
        <v>0</v>
      </c>
      <c r="N4492" s="11">
        <f t="shared" si="705"/>
        <v>0</v>
      </c>
      <c r="O4492" s="11">
        <f t="shared" si="706"/>
        <v>0</v>
      </c>
      <c r="P4492" s="12">
        <f t="shared" si="707"/>
        <v>0</v>
      </c>
      <c r="Q4492" s="17" t="str">
        <f t="shared" si="709"/>
        <v>Pas d'écart</v>
      </c>
    </row>
    <row r="4493" spans="1:18" x14ac:dyDescent="0.3">
      <c r="A4493" s="34">
        <f>base!J4493</f>
        <v>0</v>
      </c>
      <c r="B4493" s="34" t="str">
        <f>base!V4493</f>
        <v>77184</v>
      </c>
      <c r="C4493" s="37">
        <v>77</v>
      </c>
      <c r="D4493" s="36">
        <f>base!H4493</f>
        <v>20</v>
      </c>
      <c r="E4493" s="44"/>
      <c r="F4493" s="16">
        <f>base!W4493</f>
        <v>0</v>
      </c>
      <c r="G4493" s="11">
        <f t="shared" si="700"/>
        <v>0</v>
      </c>
      <c r="H4493" s="11">
        <f t="shared" si="701"/>
        <v>0</v>
      </c>
      <c r="I4493" s="11">
        <f t="shared" si="702"/>
        <v>0</v>
      </c>
      <c r="J4493" s="12">
        <f t="shared" si="703"/>
        <v>0</v>
      </c>
      <c r="K4493" s="17" t="str">
        <f t="shared" si="708"/>
        <v>Pas d'écart</v>
      </c>
      <c r="L4493" s="16">
        <f>base!X4493</f>
        <v>0</v>
      </c>
      <c r="M4493" s="11">
        <f t="shared" si="704"/>
        <v>0</v>
      </c>
      <c r="N4493" s="11">
        <f t="shared" si="705"/>
        <v>0</v>
      </c>
      <c r="O4493" s="11">
        <f t="shared" si="706"/>
        <v>0</v>
      </c>
      <c r="P4493" s="12">
        <f t="shared" si="707"/>
        <v>0</v>
      </c>
      <c r="Q4493" s="17" t="str">
        <f t="shared" si="709"/>
        <v>Pas d'écart</v>
      </c>
    </row>
    <row r="4494" spans="1:18" x14ac:dyDescent="0.3">
      <c r="A4494" s="34" t="str">
        <f>base!J4494</f>
        <v>LS</v>
      </c>
      <c r="B4494" s="34" t="str">
        <f>base!V4494</f>
        <v>44600</v>
      </c>
      <c r="C4494" s="37">
        <v>49</v>
      </c>
      <c r="D4494" s="36">
        <f>base!H4494</f>
        <v>210.8</v>
      </c>
      <c r="E4494" s="44"/>
      <c r="F4494" s="16">
        <f>base!W4494</f>
        <v>56.92</v>
      </c>
      <c r="G4494" s="11">
        <f t="shared" si="700"/>
        <v>0.27001897533206831</v>
      </c>
      <c r="H4494" s="11">
        <f t="shared" si="701"/>
        <v>56.916000000000004</v>
      </c>
      <c r="I4494" s="11">
        <f t="shared" si="702"/>
        <v>0.27</v>
      </c>
      <c r="J4494" s="12">
        <f t="shared" si="703"/>
        <v>3.9999999999977831E-3</v>
      </c>
      <c r="K4494" s="17" t="str">
        <f t="shared" si="708"/>
        <v>Ecart positif</v>
      </c>
      <c r="L4494" s="16">
        <f>base!X4494</f>
        <v>0</v>
      </c>
      <c r="M4494" s="11">
        <f t="shared" si="704"/>
        <v>0</v>
      </c>
      <c r="N4494" s="11">
        <f t="shared" si="705"/>
        <v>0</v>
      </c>
      <c r="O4494" s="11">
        <f t="shared" si="706"/>
        <v>0</v>
      </c>
      <c r="P4494" s="12">
        <f t="shared" si="707"/>
        <v>0</v>
      </c>
      <c r="Q4494" s="17" t="str">
        <f t="shared" si="709"/>
        <v>Pas d'écart</v>
      </c>
    </row>
    <row r="4495" spans="1:18" x14ac:dyDescent="0.3">
      <c r="A4495" s="34" t="str">
        <f>base!J4495</f>
        <v>RS</v>
      </c>
      <c r="B4495" s="34" t="str">
        <f>base!V4495</f>
        <v>75012</v>
      </c>
      <c r="C4495" s="37">
        <v>75</v>
      </c>
      <c r="D4495" s="36">
        <f>base!H4495</f>
        <v>250</v>
      </c>
      <c r="E4495" s="44"/>
      <c r="F4495" s="16">
        <f>base!W4495</f>
        <v>0</v>
      </c>
      <c r="G4495" s="11">
        <f t="shared" si="700"/>
        <v>0</v>
      </c>
      <c r="H4495" s="11">
        <f t="shared" si="701"/>
        <v>0</v>
      </c>
      <c r="I4495" s="11">
        <f t="shared" si="702"/>
        <v>0</v>
      </c>
      <c r="J4495" s="12">
        <f t="shared" si="703"/>
        <v>0</v>
      </c>
      <c r="K4495" s="17" t="str">
        <f t="shared" si="708"/>
        <v>Pas d'écart</v>
      </c>
      <c r="L4495" s="16">
        <f>base!X4495</f>
        <v>0</v>
      </c>
      <c r="M4495" s="11">
        <f t="shared" si="704"/>
        <v>0</v>
      </c>
      <c r="N4495" s="11">
        <f t="shared" si="705"/>
        <v>0</v>
      </c>
      <c r="O4495" s="11">
        <f t="shared" si="706"/>
        <v>0</v>
      </c>
      <c r="P4495" s="12">
        <f t="shared" si="707"/>
        <v>0</v>
      </c>
      <c r="Q4495" s="17" t="str">
        <f t="shared" si="709"/>
        <v>Pas d'écart</v>
      </c>
    </row>
    <row r="4496" spans="1:18" x14ac:dyDescent="0.3">
      <c r="A4496" s="34" t="str">
        <f>base!J4496</f>
        <v>LM</v>
      </c>
      <c r="B4496" s="34" t="str">
        <f>base!V4496</f>
        <v>16340</v>
      </c>
      <c r="C4496" s="37">
        <v>35</v>
      </c>
      <c r="D4496" s="36">
        <f>base!H4496</f>
        <v>108.46</v>
      </c>
      <c r="E4496" s="44"/>
      <c r="F4496" s="16">
        <f>base!W4496</f>
        <v>22.78</v>
      </c>
      <c r="G4496" s="11">
        <f t="shared" si="700"/>
        <v>0.21003134796238246</v>
      </c>
      <c r="H4496" s="11">
        <f t="shared" si="701"/>
        <v>29.284200000000002</v>
      </c>
      <c r="I4496" s="11">
        <f t="shared" si="702"/>
        <v>0.27</v>
      </c>
      <c r="J4496" s="12">
        <f t="shared" si="703"/>
        <v>-6.5042000000000009</v>
      </c>
      <c r="K4496" s="17" t="str">
        <f t="shared" si="708"/>
        <v>Ecart négatif</v>
      </c>
      <c r="L4496" s="16">
        <f>base!X4496</f>
        <v>0</v>
      </c>
      <c r="M4496" s="11">
        <f t="shared" si="704"/>
        <v>0</v>
      </c>
      <c r="N4496" s="11">
        <f t="shared" si="705"/>
        <v>0</v>
      </c>
      <c r="O4496" s="11">
        <f t="shared" si="706"/>
        <v>0</v>
      </c>
      <c r="P4496" s="12">
        <f t="shared" si="707"/>
        <v>0</v>
      </c>
      <c r="Q4496" s="17" t="str">
        <f t="shared" si="709"/>
        <v>Pas d'écart</v>
      </c>
    </row>
    <row r="4497" spans="1:18" x14ac:dyDescent="0.3">
      <c r="A4497" s="34" t="str">
        <f>base!J4497</f>
        <v>LM</v>
      </c>
      <c r="B4497" s="34" t="str">
        <f>base!V4497</f>
        <v>16340</v>
      </c>
      <c r="C4497" s="37">
        <v>73</v>
      </c>
      <c r="D4497" s="36">
        <f>base!H4497</f>
        <v>184.79</v>
      </c>
      <c r="E4497" s="44"/>
      <c r="F4497" s="16">
        <f>base!W4497</f>
        <v>38.81</v>
      </c>
      <c r="G4497" s="11">
        <f t="shared" si="700"/>
        <v>0.21002218734780023</v>
      </c>
      <c r="H4497" s="11">
        <f t="shared" si="701"/>
        <v>49.893300000000004</v>
      </c>
      <c r="I4497" s="11">
        <f t="shared" si="702"/>
        <v>0.27</v>
      </c>
      <c r="J4497" s="12">
        <f t="shared" si="703"/>
        <v>-11.083300000000001</v>
      </c>
      <c r="K4497" s="17" t="str">
        <f t="shared" si="708"/>
        <v>Ecart négatif</v>
      </c>
      <c r="L4497" s="16">
        <f>base!X4497</f>
        <v>0</v>
      </c>
      <c r="M4497" s="11">
        <f t="shared" si="704"/>
        <v>0</v>
      </c>
      <c r="N4497" s="11">
        <f t="shared" si="705"/>
        <v>0</v>
      </c>
      <c r="O4497" s="11">
        <f t="shared" si="706"/>
        <v>0</v>
      </c>
      <c r="P4497" s="12">
        <f t="shared" si="707"/>
        <v>0</v>
      </c>
      <c r="Q4497" s="17" t="str">
        <f t="shared" si="709"/>
        <v>Pas d'écart</v>
      </c>
    </row>
    <row r="4498" spans="1:18" x14ac:dyDescent="0.3">
      <c r="A4498" s="34" t="str">
        <f>base!J4498</f>
        <v>LM</v>
      </c>
      <c r="B4498" s="34" t="str">
        <f>base!V4498</f>
        <v>13790</v>
      </c>
      <c r="C4498" s="37">
        <v>71</v>
      </c>
      <c r="D4498" s="36">
        <f>base!H4498</f>
        <v>73</v>
      </c>
      <c r="E4498" s="44"/>
      <c r="F4498" s="16">
        <f>base!W4498</f>
        <v>37.229999999999997</v>
      </c>
      <c r="G4498" s="11">
        <f t="shared" si="700"/>
        <v>0.51</v>
      </c>
      <c r="H4498" s="11">
        <f t="shared" si="701"/>
        <v>19.71</v>
      </c>
      <c r="I4498" s="11">
        <f t="shared" si="702"/>
        <v>0.27</v>
      </c>
      <c r="J4498" s="12">
        <f t="shared" si="703"/>
        <v>17.519999999999996</v>
      </c>
      <c r="K4498" s="17" t="str">
        <f t="shared" si="708"/>
        <v>Ecart positif</v>
      </c>
      <c r="L4498" s="16">
        <f>base!X4498</f>
        <v>0</v>
      </c>
      <c r="M4498" s="11">
        <f t="shared" si="704"/>
        <v>0</v>
      </c>
      <c r="N4498" s="11">
        <f t="shared" si="705"/>
        <v>0</v>
      </c>
      <c r="O4498" s="11">
        <f t="shared" si="706"/>
        <v>0</v>
      </c>
      <c r="P4498" s="12">
        <f t="shared" si="707"/>
        <v>0</v>
      </c>
      <c r="Q4498" s="17" t="str">
        <f t="shared" si="709"/>
        <v>Pas d'écart</v>
      </c>
    </row>
    <row r="4499" spans="1:18" x14ac:dyDescent="0.3">
      <c r="A4499" s="34" t="str">
        <f>base!J4499</f>
        <v>RM</v>
      </c>
      <c r="B4499" s="34" t="str">
        <f>base!V4499</f>
        <v>06560</v>
      </c>
      <c r="C4499" s="37">
        <v>6</v>
      </c>
      <c r="D4499" s="36">
        <f>base!H4499</f>
        <v>151</v>
      </c>
      <c r="E4499" s="44"/>
      <c r="F4499" s="16">
        <f>base!W4499</f>
        <v>0</v>
      </c>
      <c r="G4499" s="11">
        <f t="shared" si="700"/>
        <v>0</v>
      </c>
      <c r="H4499" s="11">
        <f t="shared" si="701"/>
        <v>45.3</v>
      </c>
      <c r="I4499" s="11">
        <f t="shared" si="702"/>
        <v>0.3</v>
      </c>
      <c r="J4499" s="12">
        <f t="shared" si="703"/>
        <v>-45.3</v>
      </c>
      <c r="K4499" s="17" t="str">
        <f t="shared" si="708"/>
        <v>Ecart négatif</v>
      </c>
      <c r="L4499" s="16">
        <f>base!X4499</f>
        <v>0</v>
      </c>
      <c r="M4499" s="11">
        <f t="shared" si="704"/>
        <v>0</v>
      </c>
      <c r="N4499" s="11">
        <f t="shared" si="705"/>
        <v>31.709999999999997</v>
      </c>
      <c r="O4499" s="11">
        <f t="shared" si="706"/>
        <v>0.21</v>
      </c>
      <c r="P4499" s="12">
        <f t="shared" si="707"/>
        <v>-31.709999999999997</v>
      </c>
      <c r="Q4499" s="17" t="str">
        <f t="shared" si="709"/>
        <v>Ecart négatif</v>
      </c>
    </row>
    <row r="4500" spans="1:18" x14ac:dyDescent="0.3">
      <c r="A4500" s="34" t="str">
        <f>base!J4500</f>
        <v>RM</v>
      </c>
      <c r="B4500" s="34" t="str">
        <f>base!V4500</f>
        <v>06560</v>
      </c>
      <c r="C4500" s="37">
        <v>6</v>
      </c>
      <c r="D4500" s="36">
        <f>base!H4500</f>
        <v>151</v>
      </c>
      <c r="E4500" s="44"/>
      <c r="F4500" s="16">
        <f>base!W4500</f>
        <v>0</v>
      </c>
      <c r="G4500" s="11">
        <f t="shared" si="700"/>
        <v>0</v>
      </c>
      <c r="H4500" s="11">
        <f t="shared" si="701"/>
        <v>45.3</v>
      </c>
      <c r="I4500" s="11">
        <f t="shared" si="702"/>
        <v>0.3</v>
      </c>
      <c r="J4500" s="12">
        <f t="shared" si="703"/>
        <v>-45.3</v>
      </c>
      <c r="K4500" s="17" t="str">
        <f t="shared" si="708"/>
        <v>Ecart négatif</v>
      </c>
      <c r="L4500" s="16">
        <f>base!X4500</f>
        <v>0</v>
      </c>
      <c r="M4500" s="11">
        <f t="shared" si="704"/>
        <v>0</v>
      </c>
      <c r="N4500" s="11">
        <f t="shared" si="705"/>
        <v>31.709999999999997</v>
      </c>
      <c r="O4500" s="11">
        <f t="shared" si="706"/>
        <v>0.21</v>
      </c>
      <c r="P4500" s="12">
        <f t="shared" si="707"/>
        <v>-31.709999999999997</v>
      </c>
      <c r="Q4500" s="17" t="str">
        <f t="shared" si="709"/>
        <v>Ecart négatif</v>
      </c>
    </row>
    <row r="4501" spans="1:18" x14ac:dyDescent="0.3">
      <c r="A4501" s="34" t="str">
        <f>base!J4501</f>
        <v>RM</v>
      </c>
      <c r="B4501" s="34" t="str">
        <f>base!V4501</f>
        <v>06560</v>
      </c>
      <c r="C4501" s="37">
        <v>6</v>
      </c>
      <c r="D4501" s="36">
        <f>base!H4501</f>
        <v>151</v>
      </c>
      <c r="E4501" s="44"/>
      <c r="F4501" s="16">
        <f>base!W4501</f>
        <v>0</v>
      </c>
      <c r="G4501" s="11">
        <f t="shared" si="700"/>
        <v>0</v>
      </c>
      <c r="H4501" s="11">
        <f t="shared" si="701"/>
        <v>45.3</v>
      </c>
      <c r="I4501" s="11">
        <f t="shared" si="702"/>
        <v>0.3</v>
      </c>
      <c r="J4501" s="12">
        <f t="shared" si="703"/>
        <v>-45.3</v>
      </c>
      <c r="K4501" s="17" t="str">
        <f t="shared" si="708"/>
        <v>Ecart négatif</v>
      </c>
      <c r="L4501" s="16">
        <f>base!X4501</f>
        <v>0</v>
      </c>
      <c r="M4501" s="11">
        <f t="shared" si="704"/>
        <v>0</v>
      </c>
      <c r="N4501" s="11">
        <f t="shared" si="705"/>
        <v>31.709999999999997</v>
      </c>
      <c r="O4501" s="11">
        <f t="shared" si="706"/>
        <v>0.21</v>
      </c>
      <c r="P4501" s="12">
        <f t="shared" si="707"/>
        <v>-31.709999999999997</v>
      </c>
      <c r="Q4501" s="17" t="str">
        <f t="shared" si="709"/>
        <v>Ecart négatif</v>
      </c>
    </row>
    <row r="4502" spans="1:18" x14ac:dyDescent="0.3">
      <c r="A4502" s="34" t="str">
        <f>base!J4502</f>
        <v>RM</v>
      </c>
      <c r="B4502" s="34" t="str">
        <f>base!V4502</f>
        <v>06560</v>
      </c>
      <c r="C4502" s="37">
        <v>6</v>
      </c>
      <c r="D4502" s="36">
        <f>base!H4502</f>
        <v>151</v>
      </c>
      <c r="E4502" s="44"/>
      <c r="F4502" s="16">
        <f>base!W4502</f>
        <v>0</v>
      </c>
      <c r="G4502" s="11">
        <f t="shared" si="700"/>
        <v>0</v>
      </c>
      <c r="H4502" s="11">
        <f t="shared" si="701"/>
        <v>45.3</v>
      </c>
      <c r="I4502" s="11">
        <f t="shared" si="702"/>
        <v>0.3</v>
      </c>
      <c r="J4502" s="12">
        <f t="shared" si="703"/>
        <v>-45.3</v>
      </c>
      <c r="K4502" s="17" t="str">
        <f t="shared" si="708"/>
        <v>Ecart négatif</v>
      </c>
      <c r="L4502" s="16">
        <f>base!X4502</f>
        <v>0</v>
      </c>
      <c r="M4502" s="11">
        <f t="shared" si="704"/>
        <v>0</v>
      </c>
      <c r="N4502" s="11">
        <f t="shared" si="705"/>
        <v>31.709999999999997</v>
      </c>
      <c r="O4502" s="11">
        <f t="shared" si="706"/>
        <v>0.21</v>
      </c>
      <c r="P4502" s="12">
        <f t="shared" si="707"/>
        <v>-31.709999999999997</v>
      </c>
      <c r="Q4502" s="17" t="str">
        <f t="shared" si="709"/>
        <v>Ecart négatif</v>
      </c>
    </row>
    <row r="4503" spans="1:18" x14ac:dyDescent="0.3">
      <c r="A4503" s="34" t="str">
        <f>base!J4503</f>
        <v>RS</v>
      </c>
      <c r="B4503" s="34" t="str">
        <f>base!V4503</f>
        <v>06560</v>
      </c>
      <c r="C4503" s="37">
        <v>6</v>
      </c>
      <c r="D4503" s="36">
        <f>base!H4503</f>
        <v>151</v>
      </c>
      <c r="E4503" s="44"/>
      <c r="F4503" s="16">
        <f>base!W4503</f>
        <v>0</v>
      </c>
      <c r="G4503" s="11">
        <f t="shared" si="700"/>
        <v>0</v>
      </c>
      <c r="H4503" s="11">
        <f t="shared" si="701"/>
        <v>45.3</v>
      </c>
      <c r="I4503" s="11">
        <f t="shared" si="702"/>
        <v>0.3</v>
      </c>
      <c r="J4503" s="12">
        <f t="shared" si="703"/>
        <v>-45.3</v>
      </c>
      <c r="K4503" s="17" t="str">
        <f t="shared" si="708"/>
        <v>Ecart négatif</v>
      </c>
      <c r="L4503" s="16">
        <f>base!X4503</f>
        <v>0</v>
      </c>
      <c r="M4503" s="11">
        <f t="shared" si="704"/>
        <v>0</v>
      </c>
      <c r="N4503" s="11">
        <f t="shared" si="705"/>
        <v>31.709999999999997</v>
      </c>
      <c r="O4503" s="11">
        <f t="shared" si="706"/>
        <v>0.21</v>
      </c>
      <c r="P4503" s="12">
        <f t="shared" si="707"/>
        <v>-31.709999999999997</v>
      </c>
      <c r="Q4503" s="17" t="str">
        <f t="shared" si="709"/>
        <v>Ecart négatif</v>
      </c>
    </row>
    <row r="4504" spans="1:18" x14ac:dyDescent="0.3">
      <c r="A4504" s="34" t="str">
        <f>base!J4504</f>
        <v>DRS</v>
      </c>
      <c r="B4504" s="34" t="str">
        <f>base!V4504</f>
        <v>59100</v>
      </c>
      <c r="C4504" s="37">
        <v>59</v>
      </c>
      <c r="D4504" s="36">
        <f>base!H4504</f>
        <v>139.19999999999999</v>
      </c>
      <c r="E4504" s="44"/>
      <c r="F4504" s="16">
        <f>base!W4504</f>
        <v>0</v>
      </c>
      <c r="G4504" s="11">
        <f t="shared" si="700"/>
        <v>0</v>
      </c>
      <c r="H4504" s="11">
        <f t="shared" si="701"/>
        <v>26.447999999999997</v>
      </c>
      <c r="I4504" s="11">
        <f t="shared" si="702"/>
        <v>0.19</v>
      </c>
      <c r="J4504" s="12">
        <f t="shared" si="703"/>
        <v>-26.447999999999997</v>
      </c>
      <c r="K4504" s="17" t="str">
        <f t="shared" si="708"/>
        <v>Ecart négatif</v>
      </c>
      <c r="L4504" s="16">
        <f>base!X4504</f>
        <v>0</v>
      </c>
      <c r="M4504" s="11">
        <f t="shared" si="704"/>
        <v>0</v>
      </c>
      <c r="N4504" s="11">
        <f t="shared" si="705"/>
        <v>0</v>
      </c>
      <c r="O4504" s="11">
        <f t="shared" si="706"/>
        <v>0</v>
      </c>
      <c r="P4504" s="12">
        <f t="shared" si="707"/>
        <v>0</v>
      </c>
      <c r="Q4504" s="17" t="str">
        <f t="shared" si="709"/>
        <v>Pas d'écart</v>
      </c>
    </row>
    <row r="4505" spans="1:18" x14ac:dyDescent="0.3">
      <c r="A4505" s="34" t="str">
        <f>base!J4505</f>
        <v>RS</v>
      </c>
      <c r="B4505" s="34" t="str">
        <f>base!V4505</f>
        <v>24000</v>
      </c>
      <c r="C4505" s="37">
        <v>24</v>
      </c>
      <c r="D4505" s="36">
        <f>base!H4505</f>
        <v>180</v>
      </c>
      <c r="E4505" s="44"/>
      <c r="F4505" s="16">
        <f>base!W4505</f>
        <v>0</v>
      </c>
      <c r="G4505" s="11">
        <f t="shared" si="700"/>
        <v>0</v>
      </c>
      <c r="H4505" s="11">
        <f t="shared" si="701"/>
        <v>37.799999999999997</v>
      </c>
      <c r="I4505" s="11">
        <f t="shared" si="702"/>
        <v>0.21</v>
      </c>
      <c r="J4505" s="12">
        <f t="shared" si="703"/>
        <v>-37.799999999999997</v>
      </c>
      <c r="K4505" s="17" t="str">
        <f t="shared" si="708"/>
        <v>Ecart négatif</v>
      </c>
      <c r="L4505" s="16">
        <f>base!X4505</f>
        <v>30.6</v>
      </c>
      <c r="M4505" s="11">
        <f t="shared" si="704"/>
        <v>0.17</v>
      </c>
      <c r="N4505" s="11">
        <f t="shared" si="705"/>
        <v>30.6</v>
      </c>
      <c r="O4505" s="11">
        <f t="shared" si="706"/>
        <v>0.17</v>
      </c>
      <c r="P4505" s="12">
        <f t="shared" si="707"/>
        <v>0</v>
      </c>
      <c r="Q4505" s="17" t="str">
        <f t="shared" si="709"/>
        <v>Pas d'écart</v>
      </c>
      <c r="R4505" s="38"/>
    </row>
    <row r="4506" spans="1:18" x14ac:dyDescent="0.3">
      <c r="A4506" s="34" t="str">
        <f>base!J4506</f>
        <v>RM</v>
      </c>
      <c r="B4506" s="34" t="str">
        <f>base!V4506</f>
        <v>69280</v>
      </c>
      <c r="C4506" s="37">
        <v>69</v>
      </c>
      <c r="D4506" s="36">
        <f>base!H4506</f>
        <v>37.93</v>
      </c>
      <c r="E4506" s="44"/>
      <c r="F4506" s="16">
        <f>base!W4506</f>
        <v>0</v>
      </c>
      <c r="G4506" s="11">
        <f t="shared" si="700"/>
        <v>0</v>
      </c>
      <c r="H4506" s="11">
        <f t="shared" si="701"/>
        <v>10.241100000000001</v>
      </c>
      <c r="I4506" s="11">
        <f t="shared" si="702"/>
        <v>0.27</v>
      </c>
      <c r="J4506" s="12">
        <f t="shared" si="703"/>
        <v>-10.241100000000001</v>
      </c>
      <c r="K4506" s="17" t="str">
        <f t="shared" si="708"/>
        <v>Ecart négatif</v>
      </c>
      <c r="L4506" s="16">
        <f>base!X4506</f>
        <v>0</v>
      </c>
      <c r="M4506" s="11">
        <f t="shared" si="704"/>
        <v>0</v>
      </c>
      <c r="N4506" s="11">
        <f t="shared" si="705"/>
        <v>0</v>
      </c>
      <c r="O4506" s="11">
        <f t="shared" si="706"/>
        <v>0</v>
      </c>
      <c r="P4506" s="12">
        <f t="shared" si="707"/>
        <v>0</v>
      </c>
      <c r="Q4506" s="17" t="str">
        <f t="shared" si="709"/>
        <v>Pas d'écart</v>
      </c>
    </row>
    <row r="4507" spans="1:18" x14ac:dyDescent="0.3">
      <c r="A4507" s="34" t="str">
        <f>base!J4507</f>
        <v>RM</v>
      </c>
      <c r="B4507" s="34" t="str">
        <f>base!V4507</f>
        <v>75014</v>
      </c>
      <c r="C4507" s="37">
        <v>75</v>
      </c>
      <c r="D4507" s="36">
        <f>base!H4507</f>
        <v>58.2</v>
      </c>
      <c r="E4507" s="44"/>
      <c r="F4507" s="16">
        <f>base!W4507</f>
        <v>0</v>
      </c>
      <c r="G4507" s="11">
        <f t="shared" si="700"/>
        <v>0</v>
      </c>
      <c r="H4507" s="11">
        <f t="shared" si="701"/>
        <v>0</v>
      </c>
      <c r="I4507" s="11">
        <f t="shared" si="702"/>
        <v>0</v>
      </c>
      <c r="J4507" s="12">
        <f t="shared" si="703"/>
        <v>0</v>
      </c>
      <c r="K4507" s="17" t="str">
        <f t="shared" si="708"/>
        <v>Pas d'écart</v>
      </c>
      <c r="L4507" s="16">
        <f>base!X4507</f>
        <v>0</v>
      </c>
      <c r="M4507" s="11">
        <f t="shared" si="704"/>
        <v>0</v>
      </c>
      <c r="N4507" s="11">
        <f t="shared" si="705"/>
        <v>0</v>
      </c>
      <c r="O4507" s="11">
        <f t="shared" si="706"/>
        <v>0</v>
      </c>
      <c r="P4507" s="12">
        <f t="shared" si="707"/>
        <v>0</v>
      </c>
      <c r="Q4507" s="17" t="str">
        <f t="shared" si="709"/>
        <v>Pas d'écart</v>
      </c>
    </row>
    <row r="4508" spans="1:18" x14ac:dyDescent="0.3">
      <c r="A4508" s="34">
        <f>base!J4508</f>
        <v>0</v>
      </c>
      <c r="B4508" s="34" t="str">
        <f>base!V4508</f>
        <v>77184</v>
      </c>
      <c r="C4508" s="37">
        <v>77</v>
      </c>
      <c r="D4508" s="36">
        <f>base!H4508</f>
        <v>30</v>
      </c>
      <c r="E4508" s="44"/>
      <c r="F4508" s="16">
        <f>base!W4508</f>
        <v>0</v>
      </c>
      <c r="G4508" s="11">
        <f t="shared" si="700"/>
        <v>0</v>
      </c>
      <c r="H4508" s="11">
        <f t="shared" si="701"/>
        <v>0</v>
      </c>
      <c r="I4508" s="11">
        <f t="shared" si="702"/>
        <v>0</v>
      </c>
      <c r="J4508" s="12">
        <f t="shared" si="703"/>
        <v>0</v>
      </c>
      <c r="K4508" s="17" t="str">
        <f t="shared" si="708"/>
        <v>Pas d'écart</v>
      </c>
      <c r="L4508" s="16">
        <f>base!X4508</f>
        <v>0</v>
      </c>
      <c r="M4508" s="11">
        <f t="shared" si="704"/>
        <v>0</v>
      </c>
      <c r="N4508" s="11">
        <f t="shared" si="705"/>
        <v>0</v>
      </c>
      <c r="O4508" s="11">
        <f t="shared" si="706"/>
        <v>0</v>
      </c>
      <c r="P4508" s="12">
        <f t="shared" si="707"/>
        <v>0</v>
      </c>
      <c r="Q4508" s="17" t="str">
        <f t="shared" si="709"/>
        <v>Pas d'écart</v>
      </c>
    </row>
    <row r="4509" spans="1:18" x14ac:dyDescent="0.3">
      <c r="A4509" s="34">
        <f>base!J4509</f>
        <v>0</v>
      </c>
      <c r="B4509" s="34" t="str">
        <f>base!V4509</f>
        <v>77184</v>
      </c>
      <c r="C4509" s="37">
        <v>77</v>
      </c>
      <c r="D4509" s="36">
        <f>base!H4509</f>
        <v>10</v>
      </c>
      <c r="E4509" s="44"/>
      <c r="F4509" s="16">
        <f>base!W4509</f>
        <v>0</v>
      </c>
      <c r="G4509" s="11">
        <f t="shared" si="700"/>
        <v>0</v>
      </c>
      <c r="H4509" s="11">
        <f t="shared" si="701"/>
        <v>0</v>
      </c>
      <c r="I4509" s="11">
        <f t="shared" si="702"/>
        <v>0</v>
      </c>
      <c r="J4509" s="12">
        <f t="shared" si="703"/>
        <v>0</v>
      </c>
      <c r="K4509" s="17" t="str">
        <f t="shared" si="708"/>
        <v>Pas d'écart</v>
      </c>
      <c r="L4509" s="16">
        <f>base!X4509</f>
        <v>0</v>
      </c>
      <c r="M4509" s="11">
        <f t="shared" si="704"/>
        <v>0</v>
      </c>
      <c r="N4509" s="11">
        <f t="shared" si="705"/>
        <v>0</v>
      </c>
      <c r="O4509" s="11">
        <f t="shared" si="706"/>
        <v>0</v>
      </c>
      <c r="P4509" s="12">
        <f t="shared" si="707"/>
        <v>0</v>
      </c>
      <c r="Q4509" s="17" t="str">
        <f t="shared" si="709"/>
        <v>Pas d'écart</v>
      </c>
    </row>
    <row r="4510" spans="1:18" x14ac:dyDescent="0.3">
      <c r="A4510" s="34">
        <f>base!J4510</f>
        <v>0</v>
      </c>
      <c r="B4510" s="34" t="str">
        <f>base!V4510</f>
        <v>77184</v>
      </c>
      <c r="C4510" s="37">
        <v>77</v>
      </c>
      <c r="D4510" s="36">
        <f>base!H4510</f>
        <v>10</v>
      </c>
      <c r="E4510" s="44"/>
      <c r="F4510" s="16">
        <f>base!W4510</f>
        <v>0</v>
      </c>
      <c r="G4510" s="11">
        <f t="shared" si="700"/>
        <v>0</v>
      </c>
      <c r="H4510" s="11">
        <f t="shared" si="701"/>
        <v>0</v>
      </c>
      <c r="I4510" s="11">
        <f t="shared" si="702"/>
        <v>0</v>
      </c>
      <c r="J4510" s="12">
        <f t="shared" si="703"/>
        <v>0</v>
      </c>
      <c r="K4510" s="17" t="str">
        <f t="shared" si="708"/>
        <v>Pas d'écart</v>
      </c>
      <c r="L4510" s="16">
        <f>base!X4510</f>
        <v>0</v>
      </c>
      <c r="M4510" s="11">
        <f t="shared" si="704"/>
        <v>0</v>
      </c>
      <c r="N4510" s="11">
        <f t="shared" si="705"/>
        <v>0</v>
      </c>
      <c r="O4510" s="11">
        <f t="shared" si="706"/>
        <v>0</v>
      </c>
      <c r="P4510" s="12">
        <f t="shared" si="707"/>
        <v>0</v>
      </c>
      <c r="Q4510" s="17" t="str">
        <f t="shared" si="709"/>
        <v>Pas d'écart</v>
      </c>
    </row>
    <row r="4511" spans="1:18" x14ac:dyDescent="0.3">
      <c r="A4511" s="34">
        <f>base!J4511</f>
        <v>0</v>
      </c>
      <c r="B4511" s="34" t="str">
        <f>base!V4511</f>
        <v>77184</v>
      </c>
      <c r="C4511" s="37">
        <v>77</v>
      </c>
      <c r="D4511" s="36">
        <f>base!H4511</f>
        <v>10</v>
      </c>
      <c r="E4511" s="44"/>
      <c r="F4511" s="16">
        <f>base!W4511</f>
        <v>0</v>
      </c>
      <c r="G4511" s="11">
        <f t="shared" si="700"/>
        <v>0</v>
      </c>
      <c r="H4511" s="11">
        <f t="shared" si="701"/>
        <v>0</v>
      </c>
      <c r="I4511" s="11">
        <f t="shared" si="702"/>
        <v>0</v>
      </c>
      <c r="J4511" s="12">
        <f t="shared" si="703"/>
        <v>0</v>
      </c>
      <c r="K4511" s="17" t="str">
        <f t="shared" si="708"/>
        <v>Pas d'écart</v>
      </c>
      <c r="L4511" s="16">
        <f>base!X4511</f>
        <v>0</v>
      </c>
      <c r="M4511" s="11">
        <f t="shared" si="704"/>
        <v>0</v>
      </c>
      <c r="N4511" s="11">
        <f t="shared" si="705"/>
        <v>0</v>
      </c>
      <c r="O4511" s="11">
        <f t="shared" si="706"/>
        <v>0</v>
      </c>
      <c r="P4511" s="12">
        <f t="shared" si="707"/>
        <v>0</v>
      </c>
      <c r="Q4511" s="17" t="str">
        <f t="shared" si="709"/>
        <v>Pas d'écart</v>
      </c>
    </row>
    <row r="4512" spans="1:18" x14ac:dyDescent="0.3">
      <c r="A4512" s="34" t="str">
        <f>base!J4512</f>
        <v>LS</v>
      </c>
      <c r="B4512" s="34" t="str">
        <f>base!V4512</f>
        <v>59650</v>
      </c>
      <c r="C4512" s="37">
        <v>59</v>
      </c>
      <c r="D4512" s="36">
        <f>base!H4512</f>
        <v>40</v>
      </c>
      <c r="E4512" s="44"/>
      <c r="F4512" s="16">
        <f>base!W4512</f>
        <v>7.6</v>
      </c>
      <c r="G4512" s="11">
        <f t="shared" si="700"/>
        <v>0.19</v>
      </c>
      <c r="H4512" s="11">
        <f t="shared" si="701"/>
        <v>7.6</v>
      </c>
      <c r="I4512" s="11">
        <f t="shared" si="702"/>
        <v>0.19</v>
      </c>
      <c r="J4512" s="12">
        <f t="shared" si="703"/>
        <v>0</v>
      </c>
      <c r="K4512" s="17" t="str">
        <f t="shared" si="708"/>
        <v>Pas d'écart</v>
      </c>
      <c r="L4512" s="16">
        <f>base!X4512</f>
        <v>0</v>
      </c>
      <c r="M4512" s="11">
        <f t="shared" si="704"/>
        <v>0</v>
      </c>
      <c r="N4512" s="11">
        <f t="shared" si="705"/>
        <v>0</v>
      </c>
      <c r="O4512" s="11">
        <f t="shared" si="706"/>
        <v>0</v>
      </c>
      <c r="P4512" s="12">
        <f t="shared" si="707"/>
        <v>0</v>
      </c>
      <c r="Q4512" s="17" t="str">
        <f t="shared" si="709"/>
        <v>Pas d'écart</v>
      </c>
    </row>
    <row r="4513" spans="1:18" x14ac:dyDescent="0.3">
      <c r="A4513" s="34" t="str">
        <f>base!J4513</f>
        <v>LM</v>
      </c>
      <c r="B4513" s="34" t="str">
        <f>base!V4513</f>
        <v>56920</v>
      </c>
      <c r="C4513" s="37">
        <v>44</v>
      </c>
      <c r="D4513" s="36">
        <f>base!H4513</f>
        <v>49.08</v>
      </c>
      <c r="E4513" s="44"/>
      <c r="F4513" s="16">
        <f>base!W4513</f>
        <v>13.25</v>
      </c>
      <c r="G4513" s="11">
        <f t="shared" si="700"/>
        <v>0.26996740016299919</v>
      </c>
      <c r="H4513" s="11">
        <f t="shared" si="701"/>
        <v>13.2516</v>
      </c>
      <c r="I4513" s="11">
        <f t="shared" si="702"/>
        <v>0.27</v>
      </c>
      <c r="J4513" s="12">
        <f t="shared" si="703"/>
        <v>-1.5999999999998238E-3</v>
      </c>
      <c r="K4513" s="17" t="str">
        <f t="shared" si="708"/>
        <v>Ecart négatif</v>
      </c>
      <c r="L4513" s="16">
        <f>base!X4513</f>
        <v>0</v>
      </c>
      <c r="M4513" s="11">
        <f t="shared" si="704"/>
        <v>0</v>
      </c>
      <c r="N4513" s="11">
        <f t="shared" si="705"/>
        <v>0</v>
      </c>
      <c r="O4513" s="11">
        <f t="shared" si="706"/>
        <v>0</v>
      </c>
      <c r="P4513" s="12">
        <f t="shared" si="707"/>
        <v>0</v>
      </c>
      <c r="Q4513" s="17" t="str">
        <f t="shared" si="709"/>
        <v>Pas d'écart</v>
      </c>
    </row>
    <row r="4514" spans="1:18" x14ac:dyDescent="0.3">
      <c r="A4514" s="34" t="str">
        <f>base!J4514</f>
        <v>RM</v>
      </c>
      <c r="B4514" s="34" t="str">
        <f>base!V4514</f>
        <v>13115</v>
      </c>
      <c r="C4514" s="37">
        <v>13</v>
      </c>
      <c r="D4514" s="36">
        <f>base!H4514</f>
        <v>137.05000000000001</v>
      </c>
      <c r="E4514" s="44"/>
      <c r="F4514" s="16">
        <f>base!W4514</f>
        <v>0</v>
      </c>
      <c r="G4514" s="11">
        <f t="shared" si="700"/>
        <v>0</v>
      </c>
      <c r="H4514" s="11">
        <f t="shared" si="701"/>
        <v>39.744500000000002</v>
      </c>
      <c r="I4514" s="11">
        <f t="shared" si="702"/>
        <v>0.28999999999999998</v>
      </c>
      <c r="J4514" s="12">
        <f t="shared" si="703"/>
        <v>-39.744500000000002</v>
      </c>
      <c r="K4514" s="17" t="str">
        <f t="shared" si="708"/>
        <v>Ecart négatif</v>
      </c>
      <c r="L4514" s="16">
        <f>base!X4514</f>
        <v>63.04</v>
      </c>
      <c r="M4514" s="11">
        <f t="shared" si="704"/>
        <v>0.45997811017876683</v>
      </c>
      <c r="N4514" s="11">
        <f t="shared" si="705"/>
        <v>26.039500000000004</v>
      </c>
      <c r="O4514" s="11">
        <f t="shared" si="706"/>
        <v>0.19</v>
      </c>
      <c r="P4514" s="12">
        <f t="shared" si="707"/>
        <v>37.000499999999995</v>
      </c>
      <c r="Q4514" s="17" t="str">
        <f t="shared" si="709"/>
        <v>Ecart positif</v>
      </c>
      <c r="R4514" s="38"/>
    </row>
    <row r="4515" spans="1:18" x14ac:dyDescent="0.3">
      <c r="A4515" s="34" t="str">
        <f>base!J4515</f>
        <v>RS</v>
      </c>
      <c r="B4515" s="34" t="str">
        <f>base!V4515</f>
        <v>57600</v>
      </c>
      <c r="C4515" s="37">
        <v>57</v>
      </c>
      <c r="D4515" s="36">
        <f>base!H4515</f>
        <v>250</v>
      </c>
      <c r="E4515" s="44"/>
      <c r="F4515" s="16">
        <f>base!W4515</f>
        <v>0</v>
      </c>
      <c r="G4515" s="11">
        <f t="shared" si="700"/>
        <v>0</v>
      </c>
      <c r="H4515" s="11">
        <f t="shared" si="701"/>
        <v>60</v>
      </c>
      <c r="I4515" s="11">
        <f t="shared" si="702"/>
        <v>0.24</v>
      </c>
      <c r="J4515" s="12">
        <f t="shared" si="703"/>
        <v>-60</v>
      </c>
      <c r="K4515" s="17" t="str">
        <f t="shared" si="708"/>
        <v>Ecart négatif</v>
      </c>
      <c r="L4515" s="16">
        <f>base!X4515</f>
        <v>62.5</v>
      </c>
      <c r="M4515" s="11">
        <f t="shared" si="704"/>
        <v>0.25</v>
      </c>
      <c r="N4515" s="11">
        <f t="shared" si="705"/>
        <v>62.5</v>
      </c>
      <c r="O4515" s="11">
        <f t="shared" si="706"/>
        <v>0.25</v>
      </c>
      <c r="P4515" s="12">
        <f t="shared" si="707"/>
        <v>0</v>
      </c>
      <c r="Q4515" s="17" t="str">
        <f t="shared" si="709"/>
        <v>Pas d'écart</v>
      </c>
    </row>
    <row r="4516" spans="1:18" x14ac:dyDescent="0.3">
      <c r="A4516" s="34" t="str">
        <f>base!J4516</f>
        <v>RS</v>
      </c>
      <c r="B4516" s="34" t="str">
        <f>base!V4516</f>
        <v>72000</v>
      </c>
      <c r="C4516" s="37">
        <v>72</v>
      </c>
      <c r="D4516" s="36">
        <f>base!H4516</f>
        <v>19.399999999999999</v>
      </c>
      <c r="E4516" s="44"/>
      <c r="F4516" s="16">
        <f>base!W4516</f>
        <v>0</v>
      </c>
      <c r="G4516" s="11">
        <f t="shared" si="700"/>
        <v>0</v>
      </c>
      <c r="H4516" s="11">
        <f t="shared" si="701"/>
        <v>4.0739999999999998</v>
      </c>
      <c r="I4516" s="11">
        <f t="shared" si="702"/>
        <v>0.21000000000000002</v>
      </c>
      <c r="J4516" s="12">
        <f t="shared" si="703"/>
        <v>-4.0739999999999998</v>
      </c>
      <c r="K4516" s="17" t="str">
        <f t="shared" si="708"/>
        <v>Ecart négatif</v>
      </c>
      <c r="L4516" s="16">
        <f>base!X4516</f>
        <v>2.33</v>
      </c>
      <c r="M4516" s="11">
        <f t="shared" si="704"/>
        <v>0.12010309278350517</v>
      </c>
      <c r="N4516" s="11">
        <f t="shared" si="705"/>
        <v>2.3279999999999998</v>
      </c>
      <c r="O4516" s="11">
        <f t="shared" si="706"/>
        <v>0.12</v>
      </c>
      <c r="P4516" s="12">
        <f t="shared" si="707"/>
        <v>2.0000000000002238E-3</v>
      </c>
      <c r="Q4516" s="17" t="str">
        <f t="shared" si="709"/>
        <v>Ecart positif</v>
      </c>
      <c r="R4516" s="38"/>
    </row>
    <row r="4517" spans="1:18" x14ac:dyDescent="0.3">
      <c r="A4517" s="34" t="str">
        <f>base!J4517</f>
        <v>RM</v>
      </c>
      <c r="B4517" s="34" t="str">
        <f>base!V4517</f>
        <v>75013</v>
      </c>
      <c r="C4517" s="37">
        <v>75</v>
      </c>
      <c r="D4517" s="36">
        <f>base!H4517</f>
        <v>151</v>
      </c>
      <c r="E4517" s="44"/>
      <c r="F4517" s="16">
        <f>base!W4517</f>
        <v>0</v>
      </c>
      <c r="G4517" s="11">
        <f t="shared" si="700"/>
        <v>0</v>
      </c>
      <c r="H4517" s="11">
        <f t="shared" si="701"/>
        <v>0</v>
      </c>
      <c r="I4517" s="11">
        <f t="shared" si="702"/>
        <v>0</v>
      </c>
      <c r="J4517" s="12">
        <f t="shared" si="703"/>
        <v>0</v>
      </c>
      <c r="K4517" s="17" t="str">
        <f t="shared" si="708"/>
        <v>Pas d'écart</v>
      </c>
      <c r="L4517" s="16">
        <f>base!X4517</f>
        <v>0</v>
      </c>
      <c r="M4517" s="11">
        <f t="shared" si="704"/>
        <v>0</v>
      </c>
      <c r="N4517" s="11">
        <f t="shared" si="705"/>
        <v>0</v>
      </c>
      <c r="O4517" s="11">
        <f t="shared" si="706"/>
        <v>0</v>
      </c>
      <c r="P4517" s="12">
        <f t="shared" si="707"/>
        <v>0</v>
      </c>
      <c r="Q4517" s="17" t="str">
        <f t="shared" si="709"/>
        <v>Pas d'écart</v>
      </c>
    </row>
    <row r="4518" spans="1:18" x14ac:dyDescent="0.3">
      <c r="A4518" s="34" t="str">
        <f>base!J4518</f>
        <v>LM</v>
      </c>
      <c r="B4518" s="34" t="str">
        <f>base!V4518</f>
        <v>68520</v>
      </c>
      <c r="C4518" s="37">
        <v>68</v>
      </c>
      <c r="D4518" s="36">
        <f>base!H4518</f>
        <v>40</v>
      </c>
      <c r="E4518" s="44"/>
      <c r="F4518" s="16">
        <f>base!W4518</f>
        <v>11.6</v>
      </c>
      <c r="G4518" s="11">
        <f t="shared" si="700"/>
        <v>0.28999999999999998</v>
      </c>
      <c r="H4518" s="11">
        <f t="shared" si="701"/>
        <v>11.6</v>
      </c>
      <c r="I4518" s="11">
        <f t="shared" si="702"/>
        <v>0.28999999999999998</v>
      </c>
      <c r="J4518" s="12">
        <f t="shared" si="703"/>
        <v>0</v>
      </c>
      <c r="K4518" s="17" t="str">
        <f t="shared" si="708"/>
        <v>Pas d'écart</v>
      </c>
      <c r="L4518" s="16">
        <f>base!X4518</f>
        <v>0</v>
      </c>
      <c r="M4518" s="11">
        <f t="shared" si="704"/>
        <v>0</v>
      </c>
      <c r="N4518" s="11">
        <f t="shared" si="705"/>
        <v>3.2</v>
      </c>
      <c r="O4518" s="11">
        <f t="shared" si="706"/>
        <v>0.08</v>
      </c>
      <c r="P4518" s="12">
        <f t="shared" si="707"/>
        <v>-3.2</v>
      </c>
      <c r="Q4518" s="17" t="str">
        <f t="shared" si="709"/>
        <v>Ecart négatif</v>
      </c>
    </row>
    <row r="4519" spans="1:18" x14ac:dyDescent="0.3">
      <c r="A4519" s="34" t="str">
        <f>base!J4519</f>
        <v>RM</v>
      </c>
      <c r="B4519" s="34" t="str">
        <f>base!V4519</f>
        <v>21160</v>
      </c>
      <c r="C4519" s="37">
        <v>21</v>
      </c>
      <c r="D4519" s="36">
        <f>base!H4519</f>
        <v>151</v>
      </c>
      <c r="E4519" s="44"/>
      <c r="F4519" s="16">
        <f>base!W4519</f>
        <v>0</v>
      </c>
      <c r="G4519" s="11">
        <f t="shared" si="700"/>
        <v>0</v>
      </c>
      <c r="H4519" s="11">
        <f t="shared" si="701"/>
        <v>36.24</v>
      </c>
      <c r="I4519" s="11">
        <f t="shared" si="702"/>
        <v>0.24000000000000002</v>
      </c>
      <c r="J4519" s="12">
        <f t="shared" si="703"/>
        <v>-36.24</v>
      </c>
      <c r="K4519" s="17" t="str">
        <f t="shared" si="708"/>
        <v>Ecart négatif</v>
      </c>
      <c r="L4519" s="16">
        <f>base!X4519</f>
        <v>18.12</v>
      </c>
      <c r="M4519" s="11">
        <f t="shared" si="704"/>
        <v>0.12000000000000001</v>
      </c>
      <c r="N4519" s="11">
        <f t="shared" si="705"/>
        <v>18.12</v>
      </c>
      <c r="O4519" s="11">
        <f t="shared" si="706"/>
        <v>0.12000000000000001</v>
      </c>
      <c r="P4519" s="12">
        <f t="shared" si="707"/>
        <v>0</v>
      </c>
      <c r="Q4519" s="17" t="str">
        <f t="shared" si="709"/>
        <v>Pas d'écart</v>
      </c>
      <c r="R4519" s="38"/>
    </row>
    <row r="4520" spans="1:18" x14ac:dyDescent="0.3">
      <c r="A4520" s="34" t="str">
        <f>base!J4520</f>
        <v>RS</v>
      </c>
      <c r="B4520" s="34" t="str">
        <f>base!V4520</f>
        <v>94230</v>
      </c>
      <c r="C4520" s="37">
        <v>94</v>
      </c>
      <c r="D4520" s="36">
        <f>base!H4520</f>
        <v>145.65</v>
      </c>
      <c r="E4520" s="44"/>
      <c r="F4520" s="16">
        <f>base!W4520</f>
        <v>0</v>
      </c>
      <c r="G4520" s="11">
        <f t="shared" si="700"/>
        <v>0</v>
      </c>
      <c r="H4520" s="11">
        <f t="shared" si="701"/>
        <v>0</v>
      </c>
      <c r="I4520" s="11">
        <f t="shared" si="702"/>
        <v>0</v>
      </c>
      <c r="J4520" s="12">
        <f t="shared" si="703"/>
        <v>0</v>
      </c>
      <c r="K4520" s="17" t="str">
        <f t="shared" si="708"/>
        <v>Pas d'écart</v>
      </c>
      <c r="L4520" s="16">
        <f>base!X4520</f>
        <v>0</v>
      </c>
      <c r="M4520" s="11">
        <f t="shared" si="704"/>
        <v>0</v>
      </c>
      <c r="N4520" s="11">
        <f t="shared" si="705"/>
        <v>0</v>
      </c>
      <c r="O4520" s="11">
        <f t="shared" si="706"/>
        <v>0</v>
      </c>
      <c r="P4520" s="12">
        <f t="shared" si="707"/>
        <v>0</v>
      </c>
      <c r="Q4520" s="17" t="str">
        <f t="shared" si="709"/>
        <v>Pas d'écart</v>
      </c>
    </row>
    <row r="4521" spans="1:18" x14ac:dyDescent="0.3">
      <c r="A4521" s="34">
        <f>base!J4521</f>
        <v>0</v>
      </c>
      <c r="B4521" s="34" t="str">
        <f>base!V4521</f>
        <v>77184</v>
      </c>
      <c r="C4521" s="37">
        <v>77</v>
      </c>
      <c r="D4521" s="36">
        <f>base!H4521</f>
        <v>84.5</v>
      </c>
      <c r="E4521" s="44"/>
      <c r="F4521" s="16">
        <f>base!W4521</f>
        <v>0</v>
      </c>
      <c r="G4521" s="11">
        <f t="shared" si="700"/>
        <v>0</v>
      </c>
      <c r="H4521" s="11">
        <f t="shared" si="701"/>
        <v>0</v>
      </c>
      <c r="I4521" s="11">
        <f t="shared" si="702"/>
        <v>0</v>
      </c>
      <c r="J4521" s="12">
        <f t="shared" si="703"/>
        <v>0</v>
      </c>
      <c r="K4521" s="17" t="str">
        <f t="shared" si="708"/>
        <v>Pas d'écart</v>
      </c>
      <c r="L4521" s="16">
        <f>base!X4521</f>
        <v>0</v>
      </c>
      <c r="M4521" s="11">
        <f t="shared" si="704"/>
        <v>0</v>
      </c>
      <c r="N4521" s="11">
        <f t="shared" si="705"/>
        <v>0</v>
      </c>
      <c r="O4521" s="11">
        <f t="shared" si="706"/>
        <v>0</v>
      </c>
      <c r="P4521" s="12">
        <f t="shared" si="707"/>
        <v>0</v>
      </c>
      <c r="Q4521" s="17" t="str">
        <f t="shared" si="709"/>
        <v>Pas d'écart</v>
      </c>
    </row>
    <row r="4522" spans="1:18" x14ac:dyDescent="0.3">
      <c r="A4522" s="34">
        <f>base!J4522</f>
        <v>0</v>
      </c>
      <c r="B4522" s="34" t="str">
        <f>base!V4522</f>
        <v>77184</v>
      </c>
      <c r="C4522" s="37">
        <v>77</v>
      </c>
      <c r="D4522" s="36">
        <f>base!H4522</f>
        <v>84.5</v>
      </c>
      <c r="E4522" s="44"/>
      <c r="F4522" s="16">
        <f>base!W4522</f>
        <v>0</v>
      </c>
      <c r="G4522" s="11">
        <f t="shared" si="700"/>
        <v>0</v>
      </c>
      <c r="H4522" s="11">
        <f t="shared" si="701"/>
        <v>0</v>
      </c>
      <c r="I4522" s="11">
        <f t="shared" si="702"/>
        <v>0</v>
      </c>
      <c r="J4522" s="12">
        <f t="shared" si="703"/>
        <v>0</v>
      </c>
      <c r="K4522" s="17" t="str">
        <f t="shared" si="708"/>
        <v>Pas d'écart</v>
      </c>
      <c r="L4522" s="16">
        <f>base!X4522</f>
        <v>0</v>
      </c>
      <c r="M4522" s="11">
        <f t="shared" si="704"/>
        <v>0</v>
      </c>
      <c r="N4522" s="11">
        <f t="shared" si="705"/>
        <v>0</v>
      </c>
      <c r="O4522" s="11">
        <f t="shared" si="706"/>
        <v>0</v>
      </c>
      <c r="P4522" s="12">
        <f t="shared" si="707"/>
        <v>0</v>
      </c>
      <c r="Q4522" s="17" t="str">
        <f t="shared" si="709"/>
        <v>Pas d'écart</v>
      </c>
    </row>
    <row r="4523" spans="1:18" x14ac:dyDescent="0.3">
      <c r="A4523" s="34" t="str">
        <f>base!J4523</f>
        <v>RM</v>
      </c>
      <c r="B4523" s="34" t="str">
        <f>base!V4523</f>
        <v>62600</v>
      </c>
      <c r="C4523" s="37">
        <v>62</v>
      </c>
      <c r="D4523" s="36">
        <f>base!H4523</f>
        <v>196</v>
      </c>
      <c r="E4523" s="44"/>
      <c r="F4523" s="16">
        <f>base!W4523</f>
        <v>0</v>
      </c>
      <c r="G4523" s="11">
        <f t="shared" si="700"/>
        <v>0</v>
      </c>
      <c r="H4523" s="11">
        <f t="shared" si="701"/>
        <v>37.24</v>
      </c>
      <c r="I4523" s="11">
        <f t="shared" si="702"/>
        <v>0.19</v>
      </c>
      <c r="J4523" s="12">
        <f t="shared" si="703"/>
        <v>-37.24</v>
      </c>
      <c r="K4523" s="17" t="str">
        <f t="shared" si="708"/>
        <v>Ecart négatif</v>
      </c>
      <c r="L4523" s="16">
        <f>base!X4523</f>
        <v>0</v>
      </c>
      <c r="M4523" s="11">
        <f t="shared" si="704"/>
        <v>0</v>
      </c>
      <c r="N4523" s="11">
        <f t="shared" si="705"/>
        <v>0</v>
      </c>
      <c r="O4523" s="11">
        <f t="shared" si="706"/>
        <v>0</v>
      </c>
      <c r="P4523" s="12">
        <f t="shared" si="707"/>
        <v>0</v>
      </c>
      <c r="Q4523" s="17" t="str">
        <f t="shared" si="709"/>
        <v>Pas d'écart</v>
      </c>
    </row>
    <row r="4524" spans="1:18" x14ac:dyDescent="0.3">
      <c r="A4524" s="34" t="str">
        <f>base!J4524</f>
        <v>LM</v>
      </c>
      <c r="B4524" s="34" t="str">
        <f>base!V4524</f>
        <v>54400</v>
      </c>
      <c r="C4524" s="37">
        <v>26</v>
      </c>
      <c r="D4524" s="36">
        <f>base!H4524</f>
        <v>12</v>
      </c>
      <c r="E4524" s="44"/>
      <c r="F4524" s="16">
        <f>base!W4524</f>
        <v>3</v>
      </c>
      <c r="G4524" s="11">
        <f t="shared" si="700"/>
        <v>0.25</v>
      </c>
      <c r="H4524" s="11">
        <f t="shared" si="701"/>
        <v>3.24</v>
      </c>
      <c r="I4524" s="11">
        <f t="shared" si="702"/>
        <v>0.27</v>
      </c>
      <c r="J4524" s="12">
        <f t="shared" si="703"/>
        <v>-0.24000000000000021</v>
      </c>
      <c r="K4524" s="17" t="str">
        <f t="shared" si="708"/>
        <v>Ecart négatif</v>
      </c>
      <c r="L4524" s="16">
        <f>base!X4524</f>
        <v>0</v>
      </c>
      <c r="M4524" s="11">
        <f t="shared" si="704"/>
        <v>0</v>
      </c>
      <c r="N4524" s="11">
        <f t="shared" si="705"/>
        <v>0</v>
      </c>
      <c r="O4524" s="11">
        <f t="shared" si="706"/>
        <v>0</v>
      </c>
      <c r="P4524" s="12">
        <f t="shared" si="707"/>
        <v>0</v>
      </c>
      <c r="Q4524" s="17" t="str">
        <f t="shared" si="709"/>
        <v>Pas d'écart</v>
      </c>
    </row>
    <row r="4525" spans="1:18" x14ac:dyDescent="0.3">
      <c r="A4525" s="34" t="str">
        <f>base!J4525</f>
        <v>RS</v>
      </c>
      <c r="B4525" s="34" t="str">
        <f>base!V4525</f>
        <v>14280</v>
      </c>
      <c r="C4525" s="37">
        <v>14</v>
      </c>
      <c r="D4525" s="36">
        <f>base!H4525</f>
        <v>225.89</v>
      </c>
      <c r="E4525" s="44"/>
      <c r="F4525" s="16">
        <f>base!W4525</f>
        <v>0</v>
      </c>
      <c r="G4525" s="11">
        <f t="shared" si="700"/>
        <v>0</v>
      </c>
      <c r="H4525" s="11">
        <f t="shared" si="701"/>
        <v>38.401299999999999</v>
      </c>
      <c r="I4525" s="11">
        <f t="shared" si="702"/>
        <v>0.17</v>
      </c>
      <c r="J4525" s="12">
        <f t="shared" si="703"/>
        <v>-38.401299999999999</v>
      </c>
      <c r="K4525" s="17" t="str">
        <f t="shared" si="708"/>
        <v>Ecart négatif</v>
      </c>
      <c r="L4525" s="16">
        <f>base!X4525</f>
        <v>38.4</v>
      </c>
      <c r="M4525" s="11">
        <f t="shared" si="704"/>
        <v>0.16999424498649784</v>
      </c>
      <c r="N4525" s="11">
        <f t="shared" si="705"/>
        <v>38.401299999999999</v>
      </c>
      <c r="O4525" s="11">
        <f t="shared" si="706"/>
        <v>0.17</v>
      </c>
      <c r="P4525" s="12">
        <f t="shared" si="707"/>
        <v>-1.300000000000523E-3</v>
      </c>
      <c r="Q4525" s="17" t="str">
        <f t="shared" si="709"/>
        <v>Ecart négatif</v>
      </c>
      <c r="R4525" s="38"/>
    </row>
    <row r="4526" spans="1:18" x14ac:dyDescent="0.3">
      <c r="A4526" s="34" t="str">
        <f>base!J4526</f>
        <v>LS</v>
      </c>
      <c r="B4526" s="34" t="str">
        <f>base!V4526</f>
        <v>17690</v>
      </c>
      <c r="C4526" s="37">
        <v>17</v>
      </c>
      <c r="D4526" s="36">
        <f>base!H4526</f>
        <v>60</v>
      </c>
      <c r="E4526" s="44"/>
      <c r="F4526" s="16">
        <f>base!W4526</f>
        <v>12.6</v>
      </c>
      <c r="G4526" s="11">
        <f t="shared" si="700"/>
        <v>0.21</v>
      </c>
      <c r="H4526" s="11">
        <f t="shared" si="701"/>
        <v>12.6</v>
      </c>
      <c r="I4526" s="11">
        <f t="shared" si="702"/>
        <v>0.21</v>
      </c>
      <c r="J4526" s="12">
        <f t="shared" si="703"/>
        <v>0</v>
      </c>
      <c r="K4526" s="17" t="str">
        <f t="shared" si="708"/>
        <v>Pas d'écart</v>
      </c>
      <c r="L4526" s="16">
        <f>base!X4526</f>
        <v>0</v>
      </c>
      <c r="M4526" s="11">
        <f t="shared" si="704"/>
        <v>0</v>
      </c>
      <c r="N4526" s="11">
        <f t="shared" si="705"/>
        <v>10.200000000000001</v>
      </c>
      <c r="O4526" s="11">
        <f t="shared" si="706"/>
        <v>0.17</v>
      </c>
      <c r="P4526" s="12">
        <f t="shared" si="707"/>
        <v>-10.200000000000001</v>
      </c>
      <c r="Q4526" s="17" t="str">
        <f t="shared" si="709"/>
        <v>Ecart négatif</v>
      </c>
    </row>
    <row r="4527" spans="1:18" x14ac:dyDescent="0.3">
      <c r="A4527" s="34">
        <f>base!J4527</f>
        <v>0</v>
      </c>
      <c r="B4527" s="34" t="str">
        <f>base!V4527</f>
        <v>44240</v>
      </c>
      <c r="C4527" s="37">
        <v>44</v>
      </c>
      <c r="D4527" s="36">
        <f>base!H4527</f>
        <v>104.1</v>
      </c>
      <c r="E4527" s="44"/>
      <c r="F4527" s="16">
        <f>base!W4527</f>
        <v>0</v>
      </c>
      <c r="G4527" s="11">
        <f t="shared" si="700"/>
        <v>0</v>
      </c>
      <c r="H4527" s="11">
        <f t="shared" si="701"/>
        <v>28.106999999999999</v>
      </c>
      <c r="I4527" s="11">
        <f t="shared" si="702"/>
        <v>0.27</v>
      </c>
      <c r="J4527" s="12">
        <f t="shared" si="703"/>
        <v>-28.106999999999999</v>
      </c>
      <c r="K4527" s="17" t="str">
        <f t="shared" si="708"/>
        <v>Ecart négatif</v>
      </c>
      <c r="L4527" s="16">
        <f>base!X4527</f>
        <v>0</v>
      </c>
      <c r="M4527" s="11">
        <f t="shared" si="704"/>
        <v>0</v>
      </c>
      <c r="N4527" s="11">
        <f t="shared" si="705"/>
        <v>0</v>
      </c>
      <c r="O4527" s="11">
        <f t="shared" si="706"/>
        <v>0</v>
      </c>
      <c r="P4527" s="12">
        <f t="shared" si="707"/>
        <v>0</v>
      </c>
      <c r="Q4527" s="17" t="str">
        <f t="shared" si="709"/>
        <v>Pas d'écart</v>
      </c>
    </row>
    <row r="4528" spans="1:18" x14ac:dyDescent="0.3">
      <c r="A4528" s="34">
        <f>base!J4528</f>
        <v>0</v>
      </c>
      <c r="B4528" s="34" t="str">
        <f>base!V4528</f>
        <v>44240</v>
      </c>
      <c r="C4528" s="37">
        <v>44</v>
      </c>
      <c r="D4528" s="36">
        <f>base!H4528</f>
        <v>31</v>
      </c>
      <c r="E4528" s="44"/>
      <c r="F4528" s="16">
        <f>base!W4528</f>
        <v>0</v>
      </c>
      <c r="G4528" s="11">
        <f t="shared" si="700"/>
        <v>0</v>
      </c>
      <c r="H4528" s="11">
        <f t="shared" si="701"/>
        <v>8.370000000000001</v>
      </c>
      <c r="I4528" s="11">
        <f t="shared" si="702"/>
        <v>0.27</v>
      </c>
      <c r="J4528" s="12">
        <f t="shared" si="703"/>
        <v>-8.370000000000001</v>
      </c>
      <c r="K4528" s="17" t="str">
        <f t="shared" si="708"/>
        <v>Ecart négatif</v>
      </c>
      <c r="L4528" s="16">
        <f>base!X4528</f>
        <v>0</v>
      </c>
      <c r="M4528" s="11">
        <f t="shared" si="704"/>
        <v>0</v>
      </c>
      <c r="N4528" s="11">
        <f t="shared" si="705"/>
        <v>0</v>
      </c>
      <c r="O4528" s="11">
        <f t="shared" si="706"/>
        <v>0</v>
      </c>
      <c r="P4528" s="12">
        <f t="shared" si="707"/>
        <v>0</v>
      </c>
      <c r="Q4528" s="17" t="str">
        <f t="shared" si="709"/>
        <v>Pas d'écart</v>
      </c>
    </row>
    <row r="4529" spans="1:18" x14ac:dyDescent="0.3">
      <c r="A4529" s="34">
        <f>base!J4529</f>
        <v>0</v>
      </c>
      <c r="B4529" s="34" t="str">
        <f>base!V4529</f>
        <v>44240</v>
      </c>
      <c r="C4529" s="37">
        <v>44</v>
      </c>
      <c r="D4529" s="36">
        <f>base!H4529</f>
        <v>60</v>
      </c>
      <c r="E4529" s="44"/>
      <c r="F4529" s="16">
        <f>base!W4529</f>
        <v>0</v>
      </c>
      <c r="G4529" s="11">
        <f t="shared" si="700"/>
        <v>0</v>
      </c>
      <c r="H4529" s="11">
        <f t="shared" si="701"/>
        <v>16.200000000000003</v>
      </c>
      <c r="I4529" s="11">
        <f t="shared" si="702"/>
        <v>0.27000000000000007</v>
      </c>
      <c r="J4529" s="12">
        <f t="shared" si="703"/>
        <v>-16.200000000000003</v>
      </c>
      <c r="K4529" s="17" t="str">
        <f t="shared" si="708"/>
        <v>Ecart négatif</v>
      </c>
      <c r="L4529" s="16">
        <f>base!X4529</f>
        <v>0</v>
      </c>
      <c r="M4529" s="11">
        <f t="shared" si="704"/>
        <v>0</v>
      </c>
      <c r="N4529" s="11">
        <f t="shared" si="705"/>
        <v>0</v>
      </c>
      <c r="O4529" s="11">
        <f t="shared" si="706"/>
        <v>0</v>
      </c>
      <c r="P4529" s="12">
        <f t="shared" si="707"/>
        <v>0</v>
      </c>
      <c r="Q4529" s="17" t="str">
        <f t="shared" si="709"/>
        <v>Pas d'écart</v>
      </c>
    </row>
    <row r="4530" spans="1:18" x14ac:dyDescent="0.3">
      <c r="A4530" s="34">
        <f>base!J4530</f>
        <v>0</v>
      </c>
      <c r="B4530" s="34" t="str">
        <f>base!V4530</f>
        <v>44240</v>
      </c>
      <c r="C4530" s="37">
        <v>44</v>
      </c>
      <c r="D4530" s="36">
        <f>base!H4530</f>
        <v>126.2</v>
      </c>
      <c r="E4530" s="44"/>
      <c r="F4530" s="16">
        <f>base!W4530</f>
        <v>0</v>
      </c>
      <c r="G4530" s="11">
        <f t="shared" si="700"/>
        <v>0</v>
      </c>
      <c r="H4530" s="11">
        <f t="shared" si="701"/>
        <v>34.074000000000005</v>
      </c>
      <c r="I4530" s="11">
        <f t="shared" si="702"/>
        <v>0.27</v>
      </c>
      <c r="J4530" s="12">
        <f t="shared" si="703"/>
        <v>-34.074000000000005</v>
      </c>
      <c r="K4530" s="17" t="str">
        <f t="shared" si="708"/>
        <v>Ecart négatif</v>
      </c>
      <c r="L4530" s="16">
        <f>base!X4530</f>
        <v>0</v>
      </c>
      <c r="M4530" s="11">
        <f t="shared" si="704"/>
        <v>0</v>
      </c>
      <c r="N4530" s="11">
        <f t="shared" si="705"/>
        <v>0</v>
      </c>
      <c r="O4530" s="11">
        <f t="shared" si="706"/>
        <v>0</v>
      </c>
      <c r="P4530" s="12">
        <f t="shared" si="707"/>
        <v>0</v>
      </c>
      <c r="Q4530" s="17" t="str">
        <f t="shared" si="709"/>
        <v>Pas d'écart</v>
      </c>
    </row>
    <row r="4531" spans="1:18" x14ac:dyDescent="0.3">
      <c r="A4531" s="34" t="str">
        <f>base!J4531</f>
        <v>LS</v>
      </c>
      <c r="B4531" s="34" t="str">
        <f>base!V4531</f>
        <v>59231</v>
      </c>
      <c r="C4531" s="37">
        <v>49</v>
      </c>
      <c r="D4531" s="36">
        <f>base!H4531</f>
        <v>0.03</v>
      </c>
      <c r="E4531" s="44"/>
      <c r="F4531" s="16">
        <f>base!W4531</f>
        <v>0.01</v>
      </c>
      <c r="G4531" s="11">
        <f t="shared" si="700"/>
        <v>0.33333333333333337</v>
      </c>
      <c r="H4531" s="11">
        <f t="shared" si="701"/>
        <v>8.0999999999999996E-3</v>
      </c>
      <c r="I4531" s="11">
        <f t="shared" si="702"/>
        <v>0.27</v>
      </c>
      <c r="J4531" s="12">
        <f t="shared" si="703"/>
        <v>1.9000000000000006E-3</v>
      </c>
      <c r="K4531" s="17" t="str">
        <f t="shared" si="708"/>
        <v>Ecart positif</v>
      </c>
      <c r="L4531" s="16">
        <f>base!X4531</f>
        <v>0</v>
      </c>
      <c r="M4531" s="11">
        <f t="shared" si="704"/>
        <v>0</v>
      </c>
      <c r="N4531" s="11">
        <f t="shared" si="705"/>
        <v>0</v>
      </c>
      <c r="O4531" s="11">
        <f t="shared" si="706"/>
        <v>0</v>
      </c>
      <c r="P4531" s="12">
        <f t="shared" si="707"/>
        <v>0</v>
      </c>
      <c r="Q4531" s="17" t="str">
        <f t="shared" si="709"/>
        <v>Pas d'écart</v>
      </c>
    </row>
    <row r="4532" spans="1:18" x14ac:dyDescent="0.3">
      <c r="A4532" s="34" t="str">
        <f>base!J4532</f>
        <v>LS</v>
      </c>
      <c r="B4532" s="34" t="str">
        <f>base!V4532</f>
        <v>75019</v>
      </c>
      <c r="C4532" s="37">
        <v>75</v>
      </c>
      <c r="D4532" s="36">
        <f>base!H4532</f>
        <v>140</v>
      </c>
      <c r="E4532" s="44"/>
      <c r="F4532" s="16">
        <f>base!W4532</f>
        <v>0</v>
      </c>
      <c r="G4532" s="11">
        <f t="shared" si="700"/>
        <v>0</v>
      </c>
      <c r="H4532" s="11">
        <f t="shared" si="701"/>
        <v>0</v>
      </c>
      <c r="I4532" s="11">
        <f t="shared" si="702"/>
        <v>0</v>
      </c>
      <c r="J4532" s="12">
        <f t="shared" si="703"/>
        <v>0</v>
      </c>
      <c r="K4532" s="17" t="str">
        <f t="shared" si="708"/>
        <v>Pas d'écart</v>
      </c>
      <c r="L4532" s="16">
        <f>base!X4532</f>
        <v>0</v>
      </c>
      <c r="M4532" s="11">
        <f t="shared" si="704"/>
        <v>0</v>
      </c>
      <c r="N4532" s="11">
        <f t="shared" si="705"/>
        <v>0</v>
      </c>
      <c r="O4532" s="11">
        <f t="shared" si="706"/>
        <v>0</v>
      </c>
      <c r="P4532" s="12">
        <f t="shared" si="707"/>
        <v>0</v>
      </c>
      <c r="Q4532" s="17" t="str">
        <f t="shared" si="709"/>
        <v>Pas d'écart</v>
      </c>
    </row>
    <row r="4533" spans="1:18" x14ac:dyDescent="0.3">
      <c r="A4533" s="34">
        <f>base!J4533</f>
        <v>0</v>
      </c>
      <c r="B4533" s="34" t="str">
        <f>base!V4533</f>
        <v>77184</v>
      </c>
      <c r="C4533" s="37">
        <v>77</v>
      </c>
      <c r="D4533" s="36">
        <f>base!H4533</f>
        <v>37.19</v>
      </c>
      <c r="E4533" s="44"/>
      <c r="F4533" s="16">
        <f>base!W4533</f>
        <v>0</v>
      </c>
      <c r="G4533" s="11">
        <f t="shared" si="700"/>
        <v>0</v>
      </c>
      <c r="H4533" s="11">
        <f t="shared" si="701"/>
        <v>0</v>
      </c>
      <c r="I4533" s="11">
        <f t="shared" si="702"/>
        <v>0</v>
      </c>
      <c r="J4533" s="12">
        <f t="shared" si="703"/>
        <v>0</v>
      </c>
      <c r="K4533" s="17" t="str">
        <f t="shared" si="708"/>
        <v>Pas d'écart</v>
      </c>
      <c r="L4533" s="16">
        <f>base!X4533</f>
        <v>0</v>
      </c>
      <c r="M4533" s="11">
        <f t="shared" si="704"/>
        <v>0</v>
      </c>
      <c r="N4533" s="11">
        <f t="shared" si="705"/>
        <v>0</v>
      </c>
      <c r="O4533" s="11">
        <f t="shared" si="706"/>
        <v>0</v>
      </c>
      <c r="P4533" s="12">
        <f t="shared" si="707"/>
        <v>0</v>
      </c>
      <c r="Q4533" s="17" t="str">
        <f t="shared" si="709"/>
        <v>Pas d'écart</v>
      </c>
    </row>
    <row r="4534" spans="1:18" x14ac:dyDescent="0.3">
      <c r="A4534" s="34">
        <f>base!J4534</f>
        <v>0</v>
      </c>
      <c r="B4534" s="34" t="str">
        <f>base!V4534</f>
        <v>77184</v>
      </c>
      <c r="C4534" s="37">
        <v>77</v>
      </c>
      <c r="D4534" s="36">
        <f>base!H4534</f>
        <v>70</v>
      </c>
      <c r="E4534" s="44"/>
      <c r="F4534" s="16">
        <f>base!W4534</f>
        <v>0</v>
      </c>
      <c r="G4534" s="11">
        <f t="shared" si="700"/>
        <v>0</v>
      </c>
      <c r="H4534" s="11">
        <f t="shared" si="701"/>
        <v>0</v>
      </c>
      <c r="I4534" s="11">
        <f t="shared" si="702"/>
        <v>0</v>
      </c>
      <c r="J4534" s="12">
        <f t="shared" si="703"/>
        <v>0</v>
      </c>
      <c r="K4534" s="17" t="str">
        <f t="shared" si="708"/>
        <v>Pas d'écart</v>
      </c>
      <c r="L4534" s="16">
        <f>base!X4534</f>
        <v>0</v>
      </c>
      <c r="M4534" s="11">
        <f t="shared" si="704"/>
        <v>0</v>
      </c>
      <c r="N4534" s="11">
        <f t="shared" si="705"/>
        <v>0</v>
      </c>
      <c r="O4534" s="11">
        <f t="shared" si="706"/>
        <v>0</v>
      </c>
      <c r="P4534" s="12">
        <f t="shared" si="707"/>
        <v>0</v>
      </c>
      <c r="Q4534" s="17" t="str">
        <f t="shared" si="709"/>
        <v>Pas d'écart</v>
      </c>
    </row>
    <row r="4535" spans="1:18" x14ac:dyDescent="0.3">
      <c r="A4535" s="34">
        <f>base!J4535</f>
        <v>0</v>
      </c>
      <c r="B4535" s="34" t="str">
        <f>base!V4535</f>
        <v>77184</v>
      </c>
      <c r="C4535" s="37">
        <v>77</v>
      </c>
      <c r="D4535" s="36">
        <f>base!H4535</f>
        <v>52</v>
      </c>
      <c r="E4535" s="44"/>
      <c r="F4535" s="16">
        <f>base!W4535</f>
        <v>0</v>
      </c>
      <c r="G4535" s="11">
        <f t="shared" si="700"/>
        <v>0</v>
      </c>
      <c r="H4535" s="11">
        <f t="shared" si="701"/>
        <v>0</v>
      </c>
      <c r="I4535" s="11">
        <f t="shared" si="702"/>
        <v>0</v>
      </c>
      <c r="J4535" s="12">
        <f t="shared" si="703"/>
        <v>0</v>
      </c>
      <c r="K4535" s="17" t="str">
        <f t="shared" si="708"/>
        <v>Pas d'écart</v>
      </c>
      <c r="L4535" s="16">
        <f>base!X4535</f>
        <v>0</v>
      </c>
      <c r="M4535" s="11">
        <f t="shared" si="704"/>
        <v>0</v>
      </c>
      <c r="N4535" s="11">
        <f t="shared" si="705"/>
        <v>0</v>
      </c>
      <c r="O4535" s="11">
        <f t="shared" si="706"/>
        <v>0</v>
      </c>
      <c r="P4535" s="12">
        <f t="shared" si="707"/>
        <v>0</v>
      </c>
      <c r="Q4535" s="17" t="str">
        <f t="shared" si="709"/>
        <v>Pas d'écart</v>
      </c>
    </row>
    <row r="4536" spans="1:18" x14ac:dyDescent="0.3">
      <c r="A4536" s="34">
        <f>base!J4536</f>
        <v>0</v>
      </c>
      <c r="B4536" s="34" t="str">
        <f>base!V4536</f>
        <v>77184</v>
      </c>
      <c r="C4536" s="37">
        <v>77</v>
      </c>
      <c r="D4536" s="36">
        <f>base!H4536</f>
        <v>78</v>
      </c>
      <c r="E4536" s="44"/>
      <c r="F4536" s="16">
        <f>base!W4536</f>
        <v>0</v>
      </c>
      <c r="G4536" s="11">
        <f t="shared" si="700"/>
        <v>0</v>
      </c>
      <c r="H4536" s="11">
        <f t="shared" si="701"/>
        <v>0</v>
      </c>
      <c r="I4536" s="11">
        <f t="shared" si="702"/>
        <v>0</v>
      </c>
      <c r="J4536" s="12">
        <f t="shared" si="703"/>
        <v>0</v>
      </c>
      <c r="K4536" s="17" t="str">
        <f t="shared" si="708"/>
        <v>Pas d'écart</v>
      </c>
      <c r="L4536" s="16">
        <f>base!X4536</f>
        <v>0</v>
      </c>
      <c r="M4536" s="11">
        <f t="shared" si="704"/>
        <v>0</v>
      </c>
      <c r="N4536" s="11">
        <f t="shared" si="705"/>
        <v>0</v>
      </c>
      <c r="O4536" s="11">
        <f t="shared" si="706"/>
        <v>0</v>
      </c>
      <c r="P4536" s="12">
        <f t="shared" si="707"/>
        <v>0</v>
      </c>
      <c r="Q4536" s="17" t="str">
        <f t="shared" si="709"/>
        <v>Pas d'écart</v>
      </c>
    </row>
    <row r="4537" spans="1:18" x14ac:dyDescent="0.3">
      <c r="A4537" s="34" t="str">
        <f>base!J4537</f>
        <v>RS</v>
      </c>
      <c r="B4537" s="34" t="str">
        <f>base!V4537</f>
        <v>59320</v>
      </c>
      <c r="C4537" s="37">
        <v>59</v>
      </c>
      <c r="D4537" s="36">
        <f>base!H4537</f>
        <v>140</v>
      </c>
      <c r="E4537" s="44"/>
      <c r="F4537" s="16">
        <f>base!W4537</f>
        <v>0</v>
      </c>
      <c r="G4537" s="11">
        <f t="shared" si="700"/>
        <v>0</v>
      </c>
      <c r="H4537" s="11">
        <f t="shared" si="701"/>
        <v>26.6</v>
      </c>
      <c r="I4537" s="11">
        <f t="shared" si="702"/>
        <v>0.19</v>
      </c>
      <c r="J4537" s="12">
        <f t="shared" si="703"/>
        <v>-26.6</v>
      </c>
      <c r="K4537" s="17" t="str">
        <f t="shared" si="708"/>
        <v>Ecart négatif</v>
      </c>
      <c r="L4537" s="16">
        <f>base!X4537</f>
        <v>0</v>
      </c>
      <c r="M4537" s="11">
        <f t="shared" si="704"/>
        <v>0</v>
      </c>
      <c r="N4537" s="11">
        <f t="shared" si="705"/>
        <v>0</v>
      </c>
      <c r="O4537" s="11">
        <f t="shared" si="706"/>
        <v>0</v>
      </c>
      <c r="P4537" s="12">
        <f t="shared" si="707"/>
        <v>0</v>
      </c>
      <c r="Q4537" s="17" t="str">
        <f t="shared" si="709"/>
        <v>Pas d'écart</v>
      </c>
    </row>
    <row r="4538" spans="1:18" x14ac:dyDescent="0.3">
      <c r="A4538" s="34" t="str">
        <f>base!J4538</f>
        <v>RM</v>
      </c>
      <c r="B4538" s="34" t="str">
        <f>base!V4538</f>
        <v>67000</v>
      </c>
      <c r="C4538" s="37">
        <v>67</v>
      </c>
      <c r="D4538" s="36">
        <f>base!H4538</f>
        <v>29.4</v>
      </c>
      <c r="E4538" s="44"/>
      <c r="F4538" s="16">
        <f>base!W4538</f>
        <v>0</v>
      </c>
      <c r="G4538" s="11">
        <f t="shared" si="700"/>
        <v>0</v>
      </c>
      <c r="H4538" s="11">
        <f t="shared" si="701"/>
        <v>8.5259999999999998</v>
      </c>
      <c r="I4538" s="11">
        <f t="shared" si="702"/>
        <v>0.28999999999999998</v>
      </c>
      <c r="J4538" s="12">
        <f t="shared" si="703"/>
        <v>-8.5259999999999998</v>
      </c>
      <c r="K4538" s="17" t="str">
        <f t="shared" si="708"/>
        <v>Ecart négatif</v>
      </c>
      <c r="L4538" s="16">
        <f>base!X4538</f>
        <v>2.35</v>
      </c>
      <c r="M4538" s="11">
        <f t="shared" si="704"/>
        <v>7.9931972789115652E-2</v>
      </c>
      <c r="N4538" s="11">
        <f t="shared" si="705"/>
        <v>2.3519999999999999</v>
      </c>
      <c r="O4538" s="11">
        <f t="shared" si="706"/>
        <v>0.08</v>
      </c>
      <c r="P4538" s="12">
        <f t="shared" si="707"/>
        <v>-1.9999999999997797E-3</v>
      </c>
      <c r="Q4538" s="17" t="str">
        <f t="shared" si="709"/>
        <v>Ecart négatif</v>
      </c>
      <c r="R4538" s="38"/>
    </row>
    <row r="4539" spans="1:18" x14ac:dyDescent="0.3">
      <c r="A4539" s="34" t="str">
        <f>base!J4539</f>
        <v>LS</v>
      </c>
      <c r="B4539" s="34" t="str">
        <f>base!V4539</f>
        <v>61450</v>
      </c>
      <c r="C4539" s="37">
        <v>44</v>
      </c>
      <c r="D4539" s="36">
        <f>base!H4539</f>
        <v>198.02</v>
      </c>
      <c r="E4539" s="44"/>
      <c r="F4539" s="16">
        <f>base!W4539</f>
        <v>33.659999999999997</v>
      </c>
      <c r="G4539" s="11">
        <f t="shared" si="700"/>
        <v>0.16998283001716996</v>
      </c>
      <c r="H4539" s="11">
        <f t="shared" si="701"/>
        <v>53.46540000000001</v>
      </c>
      <c r="I4539" s="11">
        <f t="shared" si="702"/>
        <v>0.27</v>
      </c>
      <c r="J4539" s="12">
        <f t="shared" si="703"/>
        <v>-19.805400000000013</v>
      </c>
      <c r="K4539" s="17" t="str">
        <f t="shared" si="708"/>
        <v>Ecart négatif</v>
      </c>
      <c r="L4539" s="16">
        <f>base!X4539</f>
        <v>0</v>
      </c>
      <c r="M4539" s="11">
        <f t="shared" si="704"/>
        <v>0</v>
      </c>
      <c r="N4539" s="11">
        <f t="shared" si="705"/>
        <v>0</v>
      </c>
      <c r="O4539" s="11">
        <f t="shared" si="706"/>
        <v>0</v>
      </c>
      <c r="P4539" s="12">
        <f t="shared" si="707"/>
        <v>0</v>
      </c>
      <c r="Q4539" s="17" t="str">
        <f t="shared" si="709"/>
        <v>Pas d'écart</v>
      </c>
    </row>
    <row r="4540" spans="1:18" x14ac:dyDescent="0.3">
      <c r="A4540" s="34">
        <f>base!J4540</f>
        <v>0</v>
      </c>
      <c r="B4540" s="34" t="str">
        <f>base!V4540</f>
        <v>77184</v>
      </c>
      <c r="C4540" s="37">
        <v>77</v>
      </c>
      <c r="D4540" s="36">
        <f>base!H4540</f>
        <v>84.5</v>
      </c>
      <c r="E4540" s="44"/>
      <c r="F4540" s="16">
        <f>base!W4540</f>
        <v>0</v>
      </c>
      <c r="G4540" s="11">
        <f t="shared" si="700"/>
        <v>0</v>
      </c>
      <c r="H4540" s="11">
        <f t="shared" si="701"/>
        <v>0</v>
      </c>
      <c r="I4540" s="11">
        <f t="shared" si="702"/>
        <v>0</v>
      </c>
      <c r="J4540" s="12">
        <f t="shared" si="703"/>
        <v>0</v>
      </c>
      <c r="K4540" s="17" t="str">
        <f t="shared" si="708"/>
        <v>Pas d'écart</v>
      </c>
      <c r="L4540" s="16">
        <f>base!X4540</f>
        <v>0</v>
      </c>
      <c r="M4540" s="11">
        <f t="shared" si="704"/>
        <v>0</v>
      </c>
      <c r="N4540" s="11">
        <f t="shared" si="705"/>
        <v>0</v>
      </c>
      <c r="O4540" s="11">
        <f t="shared" si="706"/>
        <v>0</v>
      </c>
      <c r="P4540" s="12">
        <f t="shared" si="707"/>
        <v>0</v>
      </c>
      <c r="Q4540" s="17" t="str">
        <f t="shared" si="709"/>
        <v>Pas d'écart</v>
      </c>
    </row>
    <row r="4541" spans="1:18" x14ac:dyDescent="0.3">
      <c r="A4541" s="34">
        <f>base!J4541</f>
        <v>0</v>
      </c>
      <c r="B4541" s="34" t="str">
        <f>base!V4541</f>
        <v>77184</v>
      </c>
      <c r="C4541" s="37">
        <v>77</v>
      </c>
      <c r="D4541" s="36">
        <f>base!H4541</f>
        <v>84.5</v>
      </c>
      <c r="E4541" s="44"/>
      <c r="F4541" s="16">
        <f>base!W4541</f>
        <v>0</v>
      </c>
      <c r="G4541" s="11">
        <f t="shared" si="700"/>
        <v>0</v>
      </c>
      <c r="H4541" s="11">
        <f t="shared" si="701"/>
        <v>0</v>
      </c>
      <c r="I4541" s="11">
        <f t="shared" si="702"/>
        <v>0</v>
      </c>
      <c r="J4541" s="12">
        <f t="shared" si="703"/>
        <v>0</v>
      </c>
      <c r="K4541" s="17" t="str">
        <f t="shared" si="708"/>
        <v>Pas d'écart</v>
      </c>
      <c r="L4541" s="16">
        <f>base!X4541</f>
        <v>0</v>
      </c>
      <c r="M4541" s="11">
        <f t="shared" si="704"/>
        <v>0</v>
      </c>
      <c r="N4541" s="11">
        <f t="shared" si="705"/>
        <v>0</v>
      </c>
      <c r="O4541" s="11">
        <f t="shared" si="706"/>
        <v>0</v>
      </c>
      <c r="P4541" s="12">
        <f t="shared" si="707"/>
        <v>0</v>
      </c>
      <c r="Q4541" s="17" t="str">
        <f t="shared" si="709"/>
        <v>Pas d'écart</v>
      </c>
    </row>
    <row r="4542" spans="1:18" x14ac:dyDescent="0.3">
      <c r="A4542" s="34">
        <f>base!J4542</f>
        <v>0</v>
      </c>
      <c r="B4542" s="34" t="str">
        <f>base!V4542</f>
        <v>77184</v>
      </c>
      <c r="C4542" s="37">
        <v>77</v>
      </c>
      <c r="D4542" s="36">
        <f>base!H4542</f>
        <v>97</v>
      </c>
      <c r="E4542" s="44"/>
      <c r="F4542" s="16">
        <f>base!W4542</f>
        <v>0</v>
      </c>
      <c r="G4542" s="11">
        <f t="shared" si="700"/>
        <v>0</v>
      </c>
      <c r="H4542" s="11">
        <f t="shared" si="701"/>
        <v>0</v>
      </c>
      <c r="I4542" s="11">
        <f t="shared" si="702"/>
        <v>0</v>
      </c>
      <c r="J4542" s="12">
        <f t="shared" si="703"/>
        <v>0</v>
      </c>
      <c r="K4542" s="17" t="str">
        <f t="shared" si="708"/>
        <v>Pas d'écart</v>
      </c>
      <c r="L4542" s="16">
        <f>base!X4542</f>
        <v>0</v>
      </c>
      <c r="M4542" s="11">
        <f t="shared" si="704"/>
        <v>0</v>
      </c>
      <c r="N4542" s="11">
        <f t="shared" si="705"/>
        <v>0</v>
      </c>
      <c r="O4542" s="11">
        <f t="shared" si="706"/>
        <v>0</v>
      </c>
      <c r="P4542" s="12">
        <f t="shared" si="707"/>
        <v>0</v>
      </c>
      <c r="Q4542" s="17" t="str">
        <f t="shared" si="709"/>
        <v>Pas d'écart</v>
      </c>
    </row>
    <row r="4543" spans="1:18" x14ac:dyDescent="0.3">
      <c r="A4543" s="34">
        <f>base!J4543</f>
        <v>0</v>
      </c>
      <c r="B4543" s="34" t="str">
        <f>base!V4543</f>
        <v>77184</v>
      </c>
      <c r="C4543" s="37">
        <v>77</v>
      </c>
      <c r="D4543" s="36">
        <f>base!H4543</f>
        <v>156</v>
      </c>
      <c r="E4543" s="44"/>
      <c r="F4543" s="16">
        <f>base!W4543</f>
        <v>0</v>
      </c>
      <c r="G4543" s="11">
        <f t="shared" si="700"/>
        <v>0</v>
      </c>
      <c r="H4543" s="11">
        <f t="shared" si="701"/>
        <v>0</v>
      </c>
      <c r="I4543" s="11">
        <f t="shared" si="702"/>
        <v>0</v>
      </c>
      <c r="J4543" s="12">
        <f t="shared" si="703"/>
        <v>0</v>
      </c>
      <c r="K4543" s="17" t="str">
        <f t="shared" si="708"/>
        <v>Pas d'écart</v>
      </c>
      <c r="L4543" s="16">
        <f>base!X4543</f>
        <v>0</v>
      </c>
      <c r="M4543" s="11">
        <f t="shared" si="704"/>
        <v>0</v>
      </c>
      <c r="N4543" s="11">
        <f t="shared" si="705"/>
        <v>0</v>
      </c>
      <c r="O4543" s="11">
        <f t="shared" si="706"/>
        <v>0</v>
      </c>
      <c r="P4543" s="12">
        <f t="shared" si="707"/>
        <v>0</v>
      </c>
      <c r="Q4543" s="17" t="str">
        <f t="shared" si="709"/>
        <v>Pas d'écart</v>
      </c>
    </row>
    <row r="4544" spans="1:18" x14ac:dyDescent="0.3">
      <c r="A4544" s="34">
        <f>base!J4544</f>
        <v>0</v>
      </c>
      <c r="B4544" s="34" t="str">
        <f>base!V4544</f>
        <v>77184</v>
      </c>
      <c r="C4544" s="37">
        <v>77</v>
      </c>
      <c r="D4544" s="36">
        <f>base!H4544</f>
        <v>171</v>
      </c>
      <c r="E4544" s="44"/>
      <c r="F4544" s="16">
        <f>base!W4544</f>
        <v>0</v>
      </c>
      <c r="G4544" s="11">
        <f t="shared" si="700"/>
        <v>0</v>
      </c>
      <c r="H4544" s="11">
        <f t="shared" si="701"/>
        <v>0</v>
      </c>
      <c r="I4544" s="11">
        <f t="shared" si="702"/>
        <v>0</v>
      </c>
      <c r="J4544" s="12">
        <f t="shared" si="703"/>
        <v>0</v>
      </c>
      <c r="K4544" s="17" t="str">
        <f t="shared" si="708"/>
        <v>Pas d'écart</v>
      </c>
      <c r="L4544" s="16">
        <f>base!X4544</f>
        <v>0</v>
      </c>
      <c r="M4544" s="11">
        <f t="shared" si="704"/>
        <v>0</v>
      </c>
      <c r="N4544" s="11">
        <f t="shared" si="705"/>
        <v>0</v>
      </c>
      <c r="O4544" s="11">
        <f t="shared" si="706"/>
        <v>0</v>
      </c>
      <c r="P4544" s="12">
        <f t="shared" si="707"/>
        <v>0</v>
      </c>
      <c r="Q4544" s="17" t="str">
        <f t="shared" si="709"/>
        <v>Pas d'écart</v>
      </c>
    </row>
    <row r="4545" spans="1:18" x14ac:dyDescent="0.3">
      <c r="A4545" s="34">
        <f>base!J4545</f>
        <v>0</v>
      </c>
      <c r="B4545" s="34" t="str">
        <f>base!V4545</f>
        <v>77184</v>
      </c>
      <c r="C4545" s="37">
        <v>77</v>
      </c>
      <c r="D4545" s="36">
        <f>base!H4545</f>
        <v>171</v>
      </c>
      <c r="E4545" s="44"/>
      <c r="F4545" s="16">
        <f>base!W4545</f>
        <v>0</v>
      </c>
      <c r="G4545" s="11">
        <f t="shared" si="700"/>
        <v>0</v>
      </c>
      <c r="H4545" s="11">
        <f t="shared" si="701"/>
        <v>0</v>
      </c>
      <c r="I4545" s="11">
        <f t="shared" si="702"/>
        <v>0</v>
      </c>
      <c r="J4545" s="12">
        <f t="shared" si="703"/>
        <v>0</v>
      </c>
      <c r="K4545" s="17" t="str">
        <f t="shared" si="708"/>
        <v>Pas d'écart</v>
      </c>
      <c r="L4545" s="16">
        <f>base!X4545</f>
        <v>0</v>
      </c>
      <c r="M4545" s="11">
        <f t="shared" si="704"/>
        <v>0</v>
      </c>
      <c r="N4545" s="11">
        <f t="shared" si="705"/>
        <v>0</v>
      </c>
      <c r="O4545" s="11">
        <f t="shared" si="706"/>
        <v>0</v>
      </c>
      <c r="P4545" s="12">
        <f t="shared" si="707"/>
        <v>0</v>
      </c>
      <c r="Q4545" s="17" t="str">
        <f t="shared" si="709"/>
        <v>Pas d'écart</v>
      </c>
    </row>
    <row r="4546" spans="1:18" x14ac:dyDescent="0.3">
      <c r="A4546" s="34" t="str">
        <f>base!J4546</f>
        <v>LM</v>
      </c>
      <c r="B4546" s="34" t="str">
        <f>base!V4546</f>
        <v>14000</v>
      </c>
      <c r="C4546" s="37">
        <v>42</v>
      </c>
      <c r="D4546" s="36">
        <f>base!H4546</f>
        <v>18.350000000000001</v>
      </c>
      <c r="E4546" s="44"/>
      <c r="F4546" s="16">
        <f>base!W4546</f>
        <v>3.12</v>
      </c>
      <c r="G4546" s="11">
        <f t="shared" ref="G4546:G4609" si="710">F4546/D4546</f>
        <v>0.17002724795640325</v>
      </c>
      <c r="H4546" s="11">
        <f t="shared" ref="H4546:H4609" si="711">VLOOKUP(C4546,tout_cout_traction,2,FALSE)*D4546</f>
        <v>4.7710000000000008</v>
      </c>
      <c r="I4546" s="11">
        <f t="shared" ref="I4546:I4609" si="712">H4546/D4546</f>
        <v>0.26</v>
      </c>
      <c r="J4546" s="12">
        <f t="shared" ref="J4546:J4609" si="713">F4546-H4546</f>
        <v>-1.6510000000000007</v>
      </c>
      <c r="K4546" s="17" t="str">
        <f t="shared" si="708"/>
        <v>Ecart négatif</v>
      </c>
      <c r="L4546" s="16">
        <f>base!X4546</f>
        <v>0</v>
      </c>
      <c r="M4546" s="11">
        <f t="shared" ref="M4546:M4609" si="714">L4546/D4546</f>
        <v>0</v>
      </c>
      <c r="N4546" s="11">
        <f t="shared" ref="N4546:N4609" si="715">VLOOKUP(C4546,tout_cout_traction,3,FALSE)*D4546</f>
        <v>0</v>
      </c>
      <c r="O4546" s="11">
        <f t="shared" ref="O4546:O4609" si="716">N4546/D4546</f>
        <v>0</v>
      </c>
      <c r="P4546" s="12">
        <f t="shared" ref="P4546:P4609" si="717">L4546-N4546</f>
        <v>0</v>
      </c>
      <c r="Q4546" s="17" t="str">
        <f t="shared" si="709"/>
        <v>Pas d'écart</v>
      </c>
    </row>
    <row r="4547" spans="1:18" x14ac:dyDescent="0.3">
      <c r="A4547" s="34" t="str">
        <f>base!J4547</f>
        <v>DLS</v>
      </c>
      <c r="B4547" s="34" t="str">
        <f>base!V4547</f>
        <v>34000</v>
      </c>
      <c r="C4547" s="37">
        <v>34</v>
      </c>
      <c r="D4547" s="36">
        <f>base!H4547</f>
        <v>184.06</v>
      </c>
      <c r="E4547" s="44"/>
      <c r="F4547" s="16">
        <f>base!W4547</f>
        <v>0</v>
      </c>
      <c r="G4547" s="11">
        <f t="shared" si="710"/>
        <v>0</v>
      </c>
      <c r="H4547" s="11">
        <f t="shared" si="711"/>
        <v>71.7834</v>
      </c>
      <c r="I4547" s="11">
        <f t="shared" si="712"/>
        <v>0.39</v>
      </c>
      <c r="J4547" s="12">
        <f t="shared" si="713"/>
        <v>-71.7834</v>
      </c>
      <c r="K4547" s="17" t="str">
        <f t="shared" ref="K4547:K4610" si="718">IF(H4547=F4547,"Pas d'écart",IF(H4547&lt;F4547,"Ecart positif",IF(H4547&gt;F4547,"Ecart négatif")))</f>
        <v>Ecart négatif</v>
      </c>
      <c r="L4547" s="16">
        <f>base!X4547</f>
        <v>0</v>
      </c>
      <c r="M4547" s="11">
        <f t="shared" si="714"/>
        <v>0</v>
      </c>
      <c r="N4547" s="11">
        <f t="shared" si="715"/>
        <v>51.536800000000007</v>
      </c>
      <c r="O4547" s="11">
        <f t="shared" si="716"/>
        <v>0.28000000000000003</v>
      </c>
      <c r="P4547" s="12">
        <f t="shared" si="717"/>
        <v>-51.536800000000007</v>
      </c>
      <c r="Q4547" s="17" t="str">
        <f t="shared" ref="Q4547:Q4610" si="719">IF(N4547=L4547,"Pas d'écart",IF(N4547&lt;L4547,"Ecart positif",IF(N4547&gt;L4547,"Ecart négatif")))</f>
        <v>Ecart négatif</v>
      </c>
    </row>
    <row r="4548" spans="1:18" x14ac:dyDescent="0.3">
      <c r="A4548" s="34" t="str">
        <f>base!J4548</f>
        <v>LS</v>
      </c>
      <c r="B4548" s="34" t="str">
        <f>base!V4548</f>
        <v>14600</v>
      </c>
      <c r="C4548" s="37">
        <v>69</v>
      </c>
      <c r="D4548" s="36">
        <f>base!H4548</f>
        <v>39.43</v>
      </c>
      <c r="E4548" s="44"/>
      <c r="F4548" s="16">
        <f>base!W4548</f>
        <v>6.7</v>
      </c>
      <c r="G4548" s="11">
        <f t="shared" si="710"/>
        <v>0.16992137966015725</v>
      </c>
      <c r="H4548" s="11">
        <f t="shared" si="711"/>
        <v>10.646100000000001</v>
      </c>
      <c r="I4548" s="11">
        <f t="shared" si="712"/>
        <v>0.27</v>
      </c>
      <c r="J4548" s="12">
        <f t="shared" si="713"/>
        <v>-3.9461000000000004</v>
      </c>
      <c r="K4548" s="17" t="str">
        <f t="shared" si="718"/>
        <v>Ecart négatif</v>
      </c>
      <c r="L4548" s="16">
        <f>base!X4548</f>
        <v>0</v>
      </c>
      <c r="M4548" s="11">
        <f t="shared" si="714"/>
        <v>0</v>
      </c>
      <c r="N4548" s="11">
        <f t="shared" si="715"/>
        <v>0</v>
      </c>
      <c r="O4548" s="11">
        <f t="shared" si="716"/>
        <v>0</v>
      </c>
      <c r="P4548" s="12">
        <f t="shared" si="717"/>
        <v>0</v>
      </c>
      <c r="Q4548" s="17" t="str">
        <f t="shared" si="719"/>
        <v>Pas d'écart</v>
      </c>
    </row>
    <row r="4549" spans="1:18" x14ac:dyDescent="0.3">
      <c r="A4549" s="34">
        <f>base!J4549</f>
        <v>0</v>
      </c>
      <c r="B4549" s="34" t="str">
        <f>base!V4549</f>
        <v>77184</v>
      </c>
      <c r="C4549" s="37">
        <v>77</v>
      </c>
      <c r="D4549" s="36">
        <f>base!H4549</f>
        <v>158.59</v>
      </c>
      <c r="E4549" s="44"/>
      <c r="F4549" s="16">
        <f>base!W4549</f>
        <v>0</v>
      </c>
      <c r="G4549" s="11">
        <f t="shared" si="710"/>
        <v>0</v>
      </c>
      <c r="H4549" s="11">
        <f t="shared" si="711"/>
        <v>0</v>
      </c>
      <c r="I4549" s="11">
        <f t="shared" si="712"/>
        <v>0</v>
      </c>
      <c r="J4549" s="12">
        <f t="shared" si="713"/>
        <v>0</v>
      </c>
      <c r="K4549" s="17" t="str">
        <f t="shared" si="718"/>
        <v>Pas d'écart</v>
      </c>
      <c r="L4549" s="16">
        <f>base!X4549</f>
        <v>0</v>
      </c>
      <c r="M4549" s="11">
        <f t="shared" si="714"/>
        <v>0</v>
      </c>
      <c r="N4549" s="11">
        <f t="shared" si="715"/>
        <v>0</v>
      </c>
      <c r="O4549" s="11">
        <f t="shared" si="716"/>
        <v>0</v>
      </c>
      <c r="P4549" s="12">
        <f t="shared" si="717"/>
        <v>0</v>
      </c>
      <c r="Q4549" s="17" t="str">
        <f t="shared" si="719"/>
        <v>Pas d'écart</v>
      </c>
    </row>
    <row r="4550" spans="1:18" x14ac:dyDescent="0.3">
      <c r="A4550" s="34" t="str">
        <f>base!J4550</f>
        <v>RM</v>
      </c>
      <c r="B4550" s="34" t="str">
        <f>base!V4550</f>
        <v>76200</v>
      </c>
      <c r="C4550" s="37">
        <v>76</v>
      </c>
      <c r="D4550" s="36">
        <f>base!H4550</f>
        <v>140</v>
      </c>
      <c r="E4550" s="44"/>
      <c r="F4550" s="16">
        <f>base!W4550</f>
        <v>0</v>
      </c>
      <c r="G4550" s="11">
        <f t="shared" si="710"/>
        <v>0</v>
      </c>
      <c r="H4550" s="11">
        <f t="shared" si="711"/>
        <v>23.8</v>
      </c>
      <c r="I4550" s="11">
        <f t="shared" si="712"/>
        <v>0.17</v>
      </c>
      <c r="J4550" s="12">
        <f t="shared" si="713"/>
        <v>-23.8</v>
      </c>
      <c r="K4550" s="17" t="str">
        <f t="shared" si="718"/>
        <v>Ecart négatif</v>
      </c>
      <c r="L4550" s="16">
        <f>base!X4550</f>
        <v>23.8</v>
      </c>
      <c r="M4550" s="11">
        <f t="shared" si="714"/>
        <v>0.17</v>
      </c>
      <c r="N4550" s="11">
        <f t="shared" si="715"/>
        <v>23.8</v>
      </c>
      <c r="O4550" s="11">
        <f t="shared" si="716"/>
        <v>0.17</v>
      </c>
      <c r="P4550" s="12">
        <f t="shared" si="717"/>
        <v>0</v>
      </c>
      <c r="Q4550" s="17" t="str">
        <f t="shared" si="719"/>
        <v>Pas d'écart</v>
      </c>
    </row>
    <row r="4551" spans="1:18" x14ac:dyDescent="0.3">
      <c r="A4551" s="34">
        <f>base!J4551</f>
        <v>0</v>
      </c>
      <c r="B4551" s="34" t="str">
        <f>base!V4551</f>
        <v>77184</v>
      </c>
      <c r="C4551" s="37">
        <v>77</v>
      </c>
      <c r="D4551" s="36">
        <f>base!H4551</f>
        <v>84.5</v>
      </c>
      <c r="E4551" s="44"/>
      <c r="F4551" s="16">
        <f>base!W4551</f>
        <v>0</v>
      </c>
      <c r="G4551" s="11">
        <f t="shared" si="710"/>
        <v>0</v>
      </c>
      <c r="H4551" s="11">
        <f t="shared" si="711"/>
        <v>0</v>
      </c>
      <c r="I4551" s="11">
        <f t="shared" si="712"/>
        <v>0</v>
      </c>
      <c r="J4551" s="12">
        <f t="shared" si="713"/>
        <v>0</v>
      </c>
      <c r="K4551" s="17" t="str">
        <f t="shared" si="718"/>
        <v>Pas d'écart</v>
      </c>
      <c r="L4551" s="16">
        <f>base!X4551</f>
        <v>0</v>
      </c>
      <c r="M4551" s="11">
        <f t="shared" si="714"/>
        <v>0</v>
      </c>
      <c r="N4551" s="11">
        <f t="shared" si="715"/>
        <v>0</v>
      </c>
      <c r="O4551" s="11">
        <f t="shared" si="716"/>
        <v>0</v>
      </c>
      <c r="P4551" s="12">
        <f t="shared" si="717"/>
        <v>0</v>
      </c>
      <c r="Q4551" s="17" t="str">
        <f t="shared" si="719"/>
        <v>Pas d'écart</v>
      </c>
    </row>
    <row r="4552" spans="1:18" x14ac:dyDescent="0.3">
      <c r="A4552" s="34">
        <f>base!J4552</f>
        <v>0</v>
      </c>
      <c r="B4552" s="34" t="str">
        <f>base!V4552</f>
        <v>77184</v>
      </c>
      <c r="C4552" s="37">
        <v>77</v>
      </c>
      <c r="D4552" s="36">
        <f>base!H4552</f>
        <v>157</v>
      </c>
      <c r="E4552" s="44"/>
      <c r="F4552" s="16">
        <f>base!W4552</f>
        <v>0</v>
      </c>
      <c r="G4552" s="11">
        <f t="shared" si="710"/>
        <v>0</v>
      </c>
      <c r="H4552" s="11">
        <f t="shared" si="711"/>
        <v>0</v>
      </c>
      <c r="I4552" s="11">
        <f t="shared" si="712"/>
        <v>0</v>
      </c>
      <c r="J4552" s="12">
        <f t="shared" si="713"/>
        <v>0</v>
      </c>
      <c r="K4552" s="17" t="str">
        <f t="shared" si="718"/>
        <v>Pas d'écart</v>
      </c>
      <c r="L4552" s="16">
        <f>base!X4552</f>
        <v>0</v>
      </c>
      <c r="M4552" s="11">
        <f t="shared" si="714"/>
        <v>0</v>
      </c>
      <c r="N4552" s="11">
        <f t="shared" si="715"/>
        <v>0</v>
      </c>
      <c r="O4552" s="11">
        <f t="shared" si="716"/>
        <v>0</v>
      </c>
      <c r="P4552" s="12">
        <f t="shared" si="717"/>
        <v>0</v>
      </c>
      <c r="Q4552" s="17" t="str">
        <f t="shared" si="719"/>
        <v>Pas d'écart</v>
      </c>
    </row>
    <row r="4553" spans="1:18" x14ac:dyDescent="0.3">
      <c r="A4553" s="34">
        <f>base!J4553</f>
        <v>0</v>
      </c>
      <c r="B4553" s="34" t="str">
        <f>base!V4553</f>
        <v>77184</v>
      </c>
      <c r="C4553" s="37">
        <v>77</v>
      </c>
      <c r="D4553" s="36">
        <f>base!H4553</f>
        <v>60.6</v>
      </c>
      <c r="E4553" s="44"/>
      <c r="F4553" s="16">
        <f>base!W4553</f>
        <v>0</v>
      </c>
      <c r="G4553" s="11">
        <f t="shared" si="710"/>
        <v>0</v>
      </c>
      <c r="H4553" s="11">
        <f t="shared" si="711"/>
        <v>0</v>
      </c>
      <c r="I4553" s="11">
        <f t="shared" si="712"/>
        <v>0</v>
      </c>
      <c r="J4553" s="12">
        <f t="shared" si="713"/>
        <v>0</v>
      </c>
      <c r="K4553" s="17" t="str">
        <f t="shared" si="718"/>
        <v>Pas d'écart</v>
      </c>
      <c r="L4553" s="16">
        <f>base!X4553</f>
        <v>0</v>
      </c>
      <c r="M4553" s="11">
        <f t="shared" si="714"/>
        <v>0</v>
      </c>
      <c r="N4553" s="11">
        <f t="shared" si="715"/>
        <v>0</v>
      </c>
      <c r="O4553" s="11">
        <f t="shared" si="716"/>
        <v>0</v>
      </c>
      <c r="P4553" s="12">
        <f t="shared" si="717"/>
        <v>0</v>
      </c>
      <c r="Q4553" s="17" t="str">
        <f t="shared" si="719"/>
        <v>Pas d'écart</v>
      </c>
    </row>
    <row r="4554" spans="1:18" x14ac:dyDescent="0.3">
      <c r="A4554" s="34">
        <f>base!J4554</f>
        <v>0</v>
      </c>
      <c r="B4554" s="34" t="str">
        <f>base!V4554</f>
        <v>77184</v>
      </c>
      <c r="C4554" s="37">
        <v>77</v>
      </c>
      <c r="D4554" s="36">
        <f>base!H4554</f>
        <v>22</v>
      </c>
      <c r="E4554" s="44"/>
      <c r="F4554" s="16">
        <f>base!W4554</f>
        <v>0</v>
      </c>
      <c r="G4554" s="11">
        <f t="shared" si="710"/>
        <v>0</v>
      </c>
      <c r="H4554" s="11">
        <f t="shared" si="711"/>
        <v>0</v>
      </c>
      <c r="I4554" s="11">
        <f t="shared" si="712"/>
        <v>0</v>
      </c>
      <c r="J4554" s="12">
        <f t="shared" si="713"/>
        <v>0</v>
      </c>
      <c r="K4554" s="17" t="str">
        <f t="shared" si="718"/>
        <v>Pas d'écart</v>
      </c>
      <c r="L4554" s="16">
        <f>base!X4554</f>
        <v>0</v>
      </c>
      <c r="M4554" s="11">
        <f t="shared" si="714"/>
        <v>0</v>
      </c>
      <c r="N4554" s="11">
        <f t="shared" si="715"/>
        <v>0</v>
      </c>
      <c r="O4554" s="11">
        <f t="shared" si="716"/>
        <v>0</v>
      </c>
      <c r="P4554" s="12">
        <f t="shared" si="717"/>
        <v>0</v>
      </c>
      <c r="Q4554" s="17" t="str">
        <f t="shared" si="719"/>
        <v>Pas d'écart</v>
      </c>
    </row>
    <row r="4555" spans="1:18" x14ac:dyDescent="0.3">
      <c r="A4555" s="34">
        <f>base!J4555</f>
        <v>0</v>
      </c>
      <c r="B4555" s="34" t="str">
        <f>base!V4555</f>
        <v>77184</v>
      </c>
      <c r="C4555" s="37">
        <v>77</v>
      </c>
      <c r="D4555" s="36">
        <f>base!H4555</f>
        <v>22</v>
      </c>
      <c r="E4555" s="44"/>
      <c r="F4555" s="16">
        <f>base!W4555</f>
        <v>0</v>
      </c>
      <c r="G4555" s="11">
        <f t="shared" si="710"/>
        <v>0</v>
      </c>
      <c r="H4555" s="11">
        <f t="shared" si="711"/>
        <v>0</v>
      </c>
      <c r="I4555" s="11">
        <f t="shared" si="712"/>
        <v>0</v>
      </c>
      <c r="J4555" s="12">
        <f t="shared" si="713"/>
        <v>0</v>
      </c>
      <c r="K4555" s="17" t="str">
        <f t="shared" si="718"/>
        <v>Pas d'écart</v>
      </c>
      <c r="L4555" s="16">
        <f>base!X4555</f>
        <v>0</v>
      </c>
      <c r="M4555" s="11">
        <f t="shared" si="714"/>
        <v>0</v>
      </c>
      <c r="N4555" s="11">
        <f t="shared" si="715"/>
        <v>0</v>
      </c>
      <c r="O4555" s="11">
        <f t="shared" si="716"/>
        <v>0</v>
      </c>
      <c r="P4555" s="12">
        <f t="shared" si="717"/>
        <v>0</v>
      </c>
      <c r="Q4555" s="17" t="str">
        <f t="shared" si="719"/>
        <v>Pas d'écart</v>
      </c>
    </row>
    <row r="4556" spans="1:18" x14ac:dyDescent="0.3">
      <c r="A4556" s="34">
        <f>base!J4556</f>
        <v>0</v>
      </c>
      <c r="B4556" s="34" t="str">
        <f>base!V4556</f>
        <v>77184</v>
      </c>
      <c r="C4556" s="37">
        <v>77</v>
      </c>
      <c r="D4556" s="36">
        <f>base!H4556</f>
        <v>22</v>
      </c>
      <c r="E4556" s="44"/>
      <c r="F4556" s="16">
        <f>base!W4556</f>
        <v>0</v>
      </c>
      <c r="G4556" s="11">
        <f t="shared" si="710"/>
        <v>0</v>
      </c>
      <c r="H4556" s="11">
        <f t="shared" si="711"/>
        <v>0</v>
      </c>
      <c r="I4556" s="11">
        <f t="shared" si="712"/>
        <v>0</v>
      </c>
      <c r="J4556" s="12">
        <f t="shared" si="713"/>
        <v>0</v>
      </c>
      <c r="K4556" s="17" t="str">
        <f t="shared" si="718"/>
        <v>Pas d'écart</v>
      </c>
      <c r="L4556" s="16">
        <f>base!X4556</f>
        <v>0</v>
      </c>
      <c r="M4556" s="11">
        <f t="shared" si="714"/>
        <v>0</v>
      </c>
      <c r="N4556" s="11">
        <f t="shared" si="715"/>
        <v>0</v>
      </c>
      <c r="O4556" s="11">
        <f t="shared" si="716"/>
        <v>0</v>
      </c>
      <c r="P4556" s="12">
        <f t="shared" si="717"/>
        <v>0</v>
      </c>
      <c r="Q4556" s="17" t="str">
        <f t="shared" si="719"/>
        <v>Pas d'écart</v>
      </c>
    </row>
    <row r="4557" spans="1:18" x14ac:dyDescent="0.3">
      <c r="A4557" s="34">
        <f>base!J4557</f>
        <v>0</v>
      </c>
      <c r="B4557" s="34" t="str">
        <f>base!V4557</f>
        <v>77184</v>
      </c>
      <c r="C4557" s="37">
        <v>77</v>
      </c>
      <c r="D4557" s="36">
        <f>base!H4557</f>
        <v>31</v>
      </c>
      <c r="E4557" s="44"/>
      <c r="F4557" s="16">
        <f>base!W4557</f>
        <v>0</v>
      </c>
      <c r="G4557" s="11">
        <f t="shared" si="710"/>
        <v>0</v>
      </c>
      <c r="H4557" s="11">
        <f t="shared" si="711"/>
        <v>0</v>
      </c>
      <c r="I4557" s="11">
        <f t="shared" si="712"/>
        <v>0</v>
      </c>
      <c r="J4557" s="12">
        <f t="shared" si="713"/>
        <v>0</v>
      </c>
      <c r="K4557" s="17" t="str">
        <f t="shared" si="718"/>
        <v>Pas d'écart</v>
      </c>
      <c r="L4557" s="16">
        <f>base!X4557</f>
        <v>0</v>
      </c>
      <c r="M4557" s="11">
        <f t="shared" si="714"/>
        <v>0</v>
      </c>
      <c r="N4557" s="11">
        <f t="shared" si="715"/>
        <v>0</v>
      </c>
      <c r="O4557" s="11">
        <f t="shared" si="716"/>
        <v>0</v>
      </c>
      <c r="P4557" s="12">
        <f t="shared" si="717"/>
        <v>0</v>
      </c>
      <c r="Q4557" s="17" t="str">
        <f t="shared" si="719"/>
        <v>Pas d'écart</v>
      </c>
    </row>
    <row r="4558" spans="1:18" x14ac:dyDescent="0.3">
      <c r="A4558" s="34">
        <f>base!J4558</f>
        <v>0</v>
      </c>
      <c r="B4558" s="34" t="str">
        <f>base!V4558</f>
        <v>77184</v>
      </c>
      <c r="C4558" s="37">
        <v>77</v>
      </c>
      <c r="D4558" s="36">
        <f>base!H4558</f>
        <v>11</v>
      </c>
      <c r="E4558" s="44"/>
      <c r="F4558" s="16">
        <f>base!W4558</f>
        <v>0</v>
      </c>
      <c r="G4558" s="11">
        <f t="shared" si="710"/>
        <v>0</v>
      </c>
      <c r="H4558" s="11">
        <f t="shared" si="711"/>
        <v>0</v>
      </c>
      <c r="I4558" s="11">
        <f t="shared" si="712"/>
        <v>0</v>
      </c>
      <c r="J4558" s="12">
        <f t="shared" si="713"/>
        <v>0</v>
      </c>
      <c r="K4558" s="17" t="str">
        <f t="shared" si="718"/>
        <v>Pas d'écart</v>
      </c>
      <c r="L4558" s="16">
        <f>base!X4558</f>
        <v>0</v>
      </c>
      <c r="M4558" s="11">
        <f t="shared" si="714"/>
        <v>0</v>
      </c>
      <c r="N4558" s="11">
        <f t="shared" si="715"/>
        <v>0</v>
      </c>
      <c r="O4558" s="11">
        <f t="shared" si="716"/>
        <v>0</v>
      </c>
      <c r="P4558" s="12">
        <f t="shared" si="717"/>
        <v>0</v>
      </c>
      <c r="Q4558" s="17" t="str">
        <f t="shared" si="719"/>
        <v>Pas d'écart</v>
      </c>
    </row>
    <row r="4559" spans="1:18" x14ac:dyDescent="0.3">
      <c r="A4559" s="34" t="str">
        <f>base!J4559</f>
        <v>LM</v>
      </c>
      <c r="B4559" s="34" t="str">
        <f>base!V4559</f>
        <v>06190</v>
      </c>
      <c r="C4559" s="37">
        <v>44</v>
      </c>
      <c r="D4559" s="36">
        <f>base!H4559</f>
        <v>92</v>
      </c>
      <c r="E4559" s="44"/>
      <c r="F4559" s="16">
        <f>base!W4559</f>
        <v>27.6</v>
      </c>
      <c r="G4559" s="11">
        <f t="shared" si="710"/>
        <v>0.3</v>
      </c>
      <c r="H4559" s="11">
        <f t="shared" si="711"/>
        <v>24.840000000000003</v>
      </c>
      <c r="I4559" s="11">
        <f t="shared" si="712"/>
        <v>0.27</v>
      </c>
      <c r="J4559" s="12">
        <f t="shared" si="713"/>
        <v>2.759999999999998</v>
      </c>
      <c r="K4559" s="17" t="str">
        <f t="shared" si="718"/>
        <v>Ecart positif</v>
      </c>
      <c r="L4559" s="16">
        <f>base!X4559</f>
        <v>0</v>
      </c>
      <c r="M4559" s="11">
        <f t="shared" si="714"/>
        <v>0</v>
      </c>
      <c r="N4559" s="11">
        <f t="shared" si="715"/>
        <v>0</v>
      </c>
      <c r="O4559" s="11">
        <f t="shared" si="716"/>
        <v>0</v>
      </c>
      <c r="P4559" s="12">
        <f t="shared" si="717"/>
        <v>0</v>
      </c>
      <c r="Q4559" s="17" t="str">
        <f t="shared" si="719"/>
        <v>Pas d'écart</v>
      </c>
    </row>
    <row r="4560" spans="1:18" x14ac:dyDescent="0.3">
      <c r="A4560" s="34" t="str">
        <f>base!J4560</f>
        <v>RM</v>
      </c>
      <c r="B4560" s="34" t="str">
        <f>base!V4560</f>
        <v>06190</v>
      </c>
      <c r="C4560" s="37">
        <v>6</v>
      </c>
      <c r="D4560" s="36">
        <f>base!H4560</f>
        <v>92</v>
      </c>
      <c r="E4560" s="44"/>
      <c r="F4560" s="16">
        <f>base!W4560</f>
        <v>0</v>
      </c>
      <c r="G4560" s="11">
        <f t="shared" si="710"/>
        <v>0</v>
      </c>
      <c r="H4560" s="11">
        <f t="shared" si="711"/>
        <v>27.599999999999998</v>
      </c>
      <c r="I4560" s="11">
        <f t="shared" si="712"/>
        <v>0.3</v>
      </c>
      <c r="J4560" s="12">
        <f t="shared" si="713"/>
        <v>-27.599999999999998</v>
      </c>
      <c r="K4560" s="17" t="str">
        <f t="shared" si="718"/>
        <v>Ecart négatif</v>
      </c>
      <c r="L4560" s="16">
        <f>base!X4560</f>
        <v>27.6</v>
      </c>
      <c r="M4560" s="11">
        <f t="shared" si="714"/>
        <v>0.3</v>
      </c>
      <c r="N4560" s="11">
        <f t="shared" si="715"/>
        <v>19.32</v>
      </c>
      <c r="O4560" s="11">
        <f t="shared" si="716"/>
        <v>0.21</v>
      </c>
      <c r="P4560" s="12">
        <f t="shared" si="717"/>
        <v>8.2800000000000011</v>
      </c>
      <c r="Q4560" s="17" t="str">
        <f t="shared" si="719"/>
        <v>Ecart positif</v>
      </c>
      <c r="R4560" s="38"/>
    </row>
    <row r="4561" spans="1:18" x14ac:dyDescent="0.3">
      <c r="A4561" s="34" t="str">
        <f>base!J4561</f>
        <v>RM</v>
      </c>
      <c r="B4561" s="34" t="str">
        <f>base!V4561</f>
        <v>06190</v>
      </c>
      <c r="C4561" s="37">
        <v>6</v>
      </c>
      <c r="D4561" s="36">
        <f>base!H4561</f>
        <v>92</v>
      </c>
      <c r="E4561" s="44"/>
      <c r="F4561" s="16">
        <f>base!W4561</f>
        <v>0</v>
      </c>
      <c r="G4561" s="11">
        <f t="shared" si="710"/>
        <v>0</v>
      </c>
      <c r="H4561" s="11">
        <f t="shared" si="711"/>
        <v>27.599999999999998</v>
      </c>
      <c r="I4561" s="11">
        <f t="shared" si="712"/>
        <v>0.3</v>
      </c>
      <c r="J4561" s="12">
        <f t="shared" si="713"/>
        <v>-27.599999999999998</v>
      </c>
      <c r="K4561" s="17" t="str">
        <f t="shared" si="718"/>
        <v>Ecart négatif</v>
      </c>
      <c r="L4561" s="16">
        <f>base!X4561</f>
        <v>27.6</v>
      </c>
      <c r="M4561" s="11">
        <f t="shared" si="714"/>
        <v>0.3</v>
      </c>
      <c r="N4561" s="11">
        <f t="shared" si="715"/>
        <v>19.32</v>
      </c>
      <c r="O4561" s="11">
        <f t="shared" si="716"/>
        <v>0.21</v>
      </c>
      <c r="P4561" s="12">
        <f t="shared" si="717"/>
        <v>8.2800000000000011</v>
      </c>
      <c r="Q4561" s="17" t="str">
        <f t="shared" si="719"/>
        <v>Ecart positif</v>
      </c>
      <c r="R4561" s="38"/>
    </row>
    <row r="4562" spans="1:18" x14ac:dyDescent="0.3">
      <c r="A4562" s="34" t="str">
        <f>base!J4562</f>
        <v>RM</v>
      </c>
      <c r="B4562" s="34" t="str">
        <f>base!V4562</f>
        <v>06190</v>
      </c>
      <c r="C4562" s="37">
        <v>6</v>
      </c>
      <c r="D4562" s="36">
        <f>base!H4562</f>
        <v>220</v>
      </c>
      <c r="E4562" s="44"/>
      <c r="F4562" s="16">
        <f>base!W4562</f>
        <v>0</v>
      </c>
      <c r="G4562" s="11">
        <f t="shared" si="710"/>
        <v>0</v>
      </c>
      <c r="H4562" s="11">
        <f t="shared" si="711"/>
        <v>66</v>
      </c>
      <c r="I4562" s="11">
        <f t="shared" si="712"/>
        <v>0.3</v>
      </c>
      <c r="J4562" s="12">
        <f t="shared" si="713"/>
        <v>-66</v>
      </c>
      <c r="K4562" s="17" t="str">
        <f t="shared" si="718"/>
        <v>Ecart négatif</v>
      </c>
      <c r="L4562" s="16">
        <f>base!X4562</f>
        <v>66</v>
      </c>
      <c r="M4562" s="11">
        <f t="shared" si="714"/>
        <v>0.3</v>
      </c>
      <c r="N4562" s="11">
        <f t="shared" si="715"/>
        <v>46.199999999999996</v>
      </c>
      <c r="O4562" s="11">
        <f t="shared" si="716"/>
        <v>0.21</v>
      </c>
      <c r="P4562" s="12">
        <f t="shared" si="717"/>
        <v>19.800000000000004</v>
      </c>
      <c r="Q4562" s="17" t="str">
        <f t="shared" si="719"/>
        <v>Ecart positif</v>
      </c>
    </row>
    <row r="4563" spans="1:18" x14ac:dyDescent="0.3">
      <c r="A4563" s="34" t="str">
        <f>base!J4563</f>
        <v>RS</v>
      </c>
      <c r="B4563" s="34" t="str">
        <f>base!V4563</f>
        <v>98000</v>
      </c>
      <c r="C4563" s="37">
        <v>98</v>
      </c>
      <c r="D4563" s="36">
        <f>base!H4563</f>
        <v>180</v>
      </c>
      <c r="E4563" s="44"/>
      <c r="F4563" s="16">
        <f>base!W4563</f>
        <v>0</v>
      </c>
      <c r="G4563" s="11">
        <f t="shared" si="710"/>
        <v>0</v>
      </c>
      <c r="H4563" s="11">
        <f t="shared" si="711"/>
        <v>48.6</v>
      </c>
      <c r="I4563" s="11">
        <f t="shared" si="712"/>
        <v>0.27</v>
      </c>
      <c r="J4563" s="12">
        <f t="shared" si="713"/>
        <v>-48.6</v>
      </c>
      <c r="K4563" s="17" t="str">
        <f t="shared" si="718"/>
        <v>Ecart négatif</v>
      </c>
      <c r="L4563" s="16">
        <f>base!X4563</f>
        <v>37.799999999999997</v>
      </c>
      <c r="M4563" s="11">
        <f t="shared" si="714"/>
        <v>0.21</v>
      </c>
      <c r="N4563" s="11">
        <f t="shared" si="715"/>
        <v>37.799999999999997</v>
      </c>
      <c r="O4563" s="11">
        <f t="shared" si="716"/>
        <v>0.21</v>
      </c>
      <c r="P4563" s="12">
        <f t="shared" si="717"/>
        <v>0</v>
      </c>
      <c r="Q4563" s="17" t="str">
        <f t="shared" si="719"/>
        <v>Pas d'écart</v>
      </c>
      <c r="R4563" s="38"/>
    </row>
    <row r="4564" spans="1:18" x14ac:dyDescent="0.3">
      <c r="A4564" s="34" t="str">
        <f>base!J4564</f>
        <v>RS</v>
      </c>
      <c r="B4564" s="34" t="str">
        <f>base!V4564</f>
        <v>76100</v>
      </c>
      <c r="C4564" s="37">
        <v>76</v>
      </c>
      <c r="D4564" s="36">
        <f>base!H4564</f>
        <v>180</v>
      </c>
      <c r="E4564" s="44"/>
      <c r="F4564" s="16">
        <f>base!W4564</f>
        <v>0</v>
      </c>
      <c r="G4564" s="11">
        <f t="shared" si="710"/>
        <v>0</v>
      </c>
      <c r="H4564" s="11">
        <f t="shared" si="711"/>
        <v>30.6</v>
      </c>
      <c r="I4564" s="11">
        <f t="shared" si="712"/>
        <v>0.17</v>
      </c>
      <c r="J4564" s="12">
        <f t="shared" si="713"/>
        <v>-30.6</v>
      </c>
      <c r="K4564" s="17" t="str">
        <f t="shared" si="718"/>
        <v>Ecart négatif</v>
      </c>
      <c r="L4564" s="16">
        <f>base!X4564</f>
        <v>30.6</v>
      </c>
      <c r="M4564" s="11">
        <f t="shared" si="714"/>
        <v>0.17</v>
      </c>
      <c r="N4564" s="11">
        <f t="shared" si="715"/>
        <v>30.6</v>
      </c>
      <c r="O4564" s="11">
        <f t="shared" si="716"/>
        <v>0.17</v>
      </c>
      <c r="P4564" s="12">
        <f t="shared" si="717"/>
        <v>0</v>
      </c>
      <c r="Q4564" s="17" t="str">
        <f t="shared" si="719"/>
        <v>Pas d'écart</v>
      </c>
    </row>
    <row r="4565" spans="1:18" x14ac:dyDescent="0.3">
      <c r="A4565" s="34" t="str">
        <f>base!J4565</f>
        <v>LS</v>
      </c>
      <c r="B4565" s="34" t="str">
        <f>base!V4565</f>
        <v>34500</v>
      </c>
      <c r="C4565" s="37">
        <v>69</v>
      </c>
      <c r="D4565" s="36">
        <f>base!H4565</f>
        <v>149.79</v>
      </c>
      <c r="E4565" s="44"/>
      <c r="F4565" s="16">
        <f>base!W4565</f>
        <v>58.42</v>
      </c>
      <c r="G4565" s="11">
        <f t="shared" si="710"/>
        <v>0.39001268442486148</v>
      </c>
      <c r="H4565" s="11">
        <f t="shared" si="711"/>
        <v>40.443300000000001</v>
      </c>
      <c r="I4565" s="11">
        <f t="shared" si="712"/>
        <v>0.27</v>
      </c>
      <c r="J4565" s="12">
        <f t="shared" si="713"/>
        <v>17.976700000000001</v>
      </c>
      <c r="K4565" s="17" t="str">
        <f t="shared" si="718"/>
        <v>Ecart positif</v>
      </c>
      <c r="L4565" s="16">
        <f>base!X4565</f>
        <v>0</v>
      </c>
      <c r="M4565" s="11">
        <f t="shared" si="714"/>
        <v>0</v>
      </c>
      <c r="N4565" s="11">
        <f t="shared" si="715"/>
        <v>0</v>
      </c>
      <c r="O4565" s="11">
        <f t="shared" si="716"/>
        <v>0</v>
      </c>
      <c r="P4565" s="12">
        <f t="shared" si="717"/>
        <v>0</v>
      </c>
      <c r="Q4565" s="17" t="str">
        <f t="shared" si="719"/>
        <v>Pas d'écart</v>
      </c>
    </row>
    <row r="4566" spans="1:18" x14ac:dyDescent="0.3">
      <c r="A4566" s="34" t="str">
        <f>base!J4566</f>
        <v>LM</v>
      </c>
      <c r="B4566" s="34" t="str">
        <f>base!V4566</f>
        <v>47550</v>
      </c>
      <c r="C4566" s="37">
        <v>56</v>
      </c>
      <c r="D4566" s="36">
        <f>base!H4566</f>
        <v>138.12</v>
      </c>
      <c r="E4566" s="44"/>
      <c r="F4566" s="16">
        <f>base!W4566</f>
        <v>29.01</v>
      </c>
      <c r="G4566" s="11">
        <f t="shared" si="710"/>
        <v>0.21003475238922675</v>
      </c>
      <c r="H4566" s="11">
        <f t="shared" si="711"/>
        <v>37.292400000000001</v>
      </c>
      <c r="I4566" s="11">
        <f t="shared" si="712"/>
        <v>0.27</v>
      </c>
      <c r="J4566" s="12">
        <f t="shared" si="713"/>
        <v>-8.2823999999999991</v>
      </c>
      <c r="K4566" s="17" t="str">
        <f t="shared" si="718"/>
        <v>Ecart négatif</v>
      </c>
      <c r="L4566" s="16">
        <f>base!X4566</f>
        <v>0</v>
      </c>
      <c r="M4566" s="11">
        <f t="shared" si="714"/>
        <v>0</v>
      </c>
      <c r="N4566" s="11">
        <f t="shared" si="715"/>
        <v>0</v>
      </c>
      <c r="O4566" s="11">
        <f t="shared" si="716"/>
        <v>0</v>
      </c>
      <c r="P4566" s="12">
        <f t="shared" si="717"/>
        <v>0</v>
      </c>
      <c r="Q4566" s="17" t="str">
        <f t="shared" si="719"/>
        <v>Pas d'écart</v>
      </c>
    </row>
    <row r="4567" spans="1:18" x14ac:dyDescent="0.3">
      <c r="A4567" s="34" t="str">
        <f>base!J4567</f>
        <v>RM</v>
      </c>
      <c r="B4567" s="34" t="str">
        <f>base!V4567</f>
        <v>11000</v>
      </c>
      <c r="C4567" s="37">
        <v>11</v>
      </c>
      <c r="D4567" s="36">
        <f>base!H4567</f>
        <v>151</v>
      </c>
      <c r="E4567" s="44"/>
      <c r="F4567" s="16">
        <f>base!W4567</f>
        <v>0</v>
      </c>
      <c r="G4567" s="11">
        <f t="shared" si="710"/>
        <v>0</v>
      </c>
      <c r="H4567" s="11">
        <f t="shared" si="711"/>
        <v>54.36</v>
      </c>
      <c r="I4567" s="11">
        <f t="shared" si="712"/>
        <v>0.36</v>
      </c>
      <c r="J4567" s="12">
        <f t="shared" si="713"/>
        <v>-54.36</v>
      </c>
      <c r="K4567" s="17" t="str">
        <f t="shared" si="718"/>
        <v>Ecart négatif</v>
      </c>
      <c r="L4567" s="16">
        <f>base!X4567</f>
        <v>42.28</v>
      </c>
      <c r="M4567" s="11">
        <f t="shared" si="714"/>
        <v>0.28000000000000003</v>
      </c>
      <c r="N4567" s="11">
        <f t="shared" si="715"/>
        <v>42.28</v>
      </c>
      <c r="O4567" s="11">
        <f t="shared" si="716"/>
        <v>0.28000000000000003</v>
      </c>
      <c r="P4567" s="12">
        <f t="shared" si="717"/>
        <v>0</v>
      </c>
      <c r="Q4567" s="17" t="str">
        <f t="shared" si="719"/>
        <v>Pas d'écart</v>
      </c>
      <c r="R4567" s="38"/>
    </row>
    <row r="4568" spans="1:18" x14ac:dyDescent="0.3">
      <c r="A4568" s="34" t="str">
        <f>base!J4568</f>
        <v>LM</v>
      </c>
      <c r="B4568" s="34" t="str">
        <f>base!V4568</f>
        <v>66250</v>
      </c>
      <c r="C4568" s="37">
        <v>56</v>
      </c>
      <c r="D4568" s="36">
        <f>base!H4568</f>
        <v>52.52</v>
      </c>
      <c r="E4568" s="44"/>
      <c r="F4568" s="16">
        <f>base!W4568</f>
        <v>20.48</v>
      </c>
      <c r="G4568" s="11">
        <f t="shared" si="710"/>
        <v>0.38994668697638996</v>
      </c>
      <c r="H4568" s="11">
        <f t="shared" si="711"/>
        <v>14.180400000000002</v>
      </c>
      <c r="I4568" s="11">
        <f t="shared" si="712"/>
        <v>0.27</v>
      </c>
      <c r="J4568" s="12">
        <f t="shared" si="713"/>
        <v>6.2995999999999981</v>
      </c>
      <c r="K4568" s="17" t="str">
        <f t="shared" si="718"/>
        <v>Ecart positif</v>
      </c>
      <c r="L4568" s="16">
        <f>base!X4568</f>
        <v>0</v>
      </c>
      <c r="M4568" s="11">
        <f t="shared" si="714"/>
        <v>0</v>
      </c>
      <c r="N4568" s="11">
        <f t="shared" si="715"/>
        <v>0</v>
      </c>
      <c r="O4568" s="11">
        <f t="shared" si="716"/>
        <v>0</v>
      </c>
      <c r="P4568" s="12">
        <f t="shared" si="717"/>
        <v>0</v>
      </c>
      <c r="Q4568" s="17" t="str">
        <f t="shared" si="719"/>
        <v>Pas d'écart</v>
      </c>
    </row>
    <row r="4569" spans="1:18" x14ac:dyDescent="0.3">
      <c r="A4569" s="34" t="str">
        <f>base!J4569</f>
        <v>LS</v>
      </c>
      <c r="B4569" s="34" t="str">
        <f>base!V4569</f>
        <v>60950</v>
      </c>
      <c r="C4569" s="37">
        <v>44</v>
      </c>
      <c r="D4569" s="36">
        <f>base!H4569</f>
        <v>23.12</v>
      </c>
      <c r="E4569" s="44"/>
      <c r="F4569" s="16">
        <f>base!W4569</f>
        <v>4.3899999999999997</v>
      </c>
      <c r="G4569" s="11">
        <f t="shared" si="710"/>
        <v>0.18987889273356398</v>
      </c>
      <c r="H4569" s="11">
        <f t="shared" si="711"/>
        <v>6.2424000000000008</v>
      </c>
      <c r="I4569" s="11">
        <f t="shared" si="712"/>
        <v>0.27</v>
      </c>
      <c r="J4569" s="12">
        <f t="shared" si="713"/>
        <v>-1.8524000000000012</v>
      </c>
      <c r="K4569" s="17" t="str">
        <f t="shared" si="718"/>
        <v>Ecart négatif</v>
      </c>
      <c r="L4569" s="16">
        <f>base!X4569</f>
        <v>0</v>
      </c>
      <c r="M4569" s="11">
        <f t="shared" si="714"/>
        <v>0</v>
      </c>
      <c r="N4569" s="11">
        <f t="shared" si="715"/>
        <v>0</v>
      </c>
      <c r="O4569" s="11">
        <f t="shared" si="716"/>
        <v>0</v>
      </c>
      <c r="P4569" s="12">
        <f t="shared" si="717"/>
        <v>0</v>
      </c>
      <c r="Q4569" s="17" t="str">
        <f t="shared" si="719"/>
        <v>Pas d'écart</v>
      </c>
    </row>
    <row r="4570" spans="1:18" x14ac:dyDescent="0.3">
      <c r="A4570" s="34" t="str">
        <f>base!J4570</f>
        <v>LS</v>
      </c>
      <c r="B4570" s="34" t="str">
        <f>base!V4570</f>
        <v>68740</v>
      </c>
      <c r="C4570" s="37">
        <v>44</v>
      </c>
      <c r="D4570" s="36">
        <f>base!H4570</f>
        <v>186.38</v>
      </c>
      <c r="E4570" s="44"/>
      <c r="F4570" s="16">
        <f>base!W4570</f>
        <v>54.05</v>
      </c>
      <c r="G4570" s="11">
        <f t="shared" si="710"/>
        <v>0.28999892692348966</v>
      </c>
      <c r="H4570" s="11">
        <f t="shared" si="711"/>
        <v>50.322600000000001</v>
      </c>
      <c r="I4570" s="11">
        <f t="shared" si="712"/>
        <v>0.27</v>
      </c>
      <c r="J4570" s="12">
        <f t="shared" si="713"/>
        <v>3.7273999999999958</v>
      </c>
      <c r="K4570" s="17" t="str">
        <f t="shared" si="718"/>
        <v>Ecart positif</v>
      </c>
      <c r="L4570" s="16">
        <f>base!X4570</f>
        <v>0</v>
      </c>
      <c r="M4570" s="11">
        <f t="shared" si="714"/>
        <v>0</v>
      </c>
      <c r="N4570" s="11">
        <f t="shared" si="715"/>
        <v>0</v>
      </c>
      <c r="O4570" s="11">
        <f t="shared" si="716"/>
        <v>0</v>
      </c>
      <c r="P4570" s="12">
        <f t="shared" si="717"/>
        <v>0</v>
      </c>
      <c r="Q4570" s="17" t="str">
        <f t="shared" si="719"/>
        <v>Pas d'écart</v>
      </c>
    </row>
    <row r="4571" spans="1:18" x14ac:dyDescent="0.3">
      <c r="A4571" s="34" t="str">
        <f>base!J4571</f>
        <v>LS</v>
      </c>
      <c r="B4571" s="34" t="str">
        <f>base!V4571</f>
        <v>29170</v>
      </c>
      <c r="C4571" s="37">
        <v>69</v>
      </c>
      <c r="D4571" s="36">
        <f>base!H4571</f>
        <v>139.19999999999999</v>
      </c>
      <c r="E4571" s="44"/>
      <c r="F4571" s="16">
        <f>base!W4571</f>
        <v>54.29</v>
      </c>
      <c r="G4571" s="11">
        <f t="shared" si="710"/>
        <v>0.390014367816092</v>
      </c>
      <c r="H4571" s="11">
        <f t="shared" si="711"/>
        <v>37.583999999999996</v>
      </c>
      <c r="I4571" s="11">
        <f t="shared" si="712"/>
        <v>0.27</v>
      </c>
      <c r="J4571" s="12">
        <f t="shared" si="713"/>
        <v>16.706000000000003</v>
      </c>
      <c r="K4571" s="17" t="str">
        <f t="shared" si="718"/>
        <v>Ecart positif</v>
      </c>
      <c r="L4571" s="16">
        <f>base!X4571</f>
        <v>0</v>
      </c>
      <c r="M4571" s="11">
        <f t="shared" si="714"/>
        <v>0</v>
      </c>
      <c r="N4571" s="11">
        <f t="shared" si="715"/>
        <v>0</v>
      </c>
      <c r="O4571" s="11">
        <f t="shared" si="716"/>
        <v>0</v>
      </c>
      <c r="P4571" s="12">
        <f t="shared" si="717"/>
        <v>0</v>
      </c>
      <c r="Q4571" s="17" t="str">
        <f t="shared" si="719"/>
        <v>Pas d'écart</v>
      </c>
    </row>
    <row r="4572" spans="1:18" x14ac:dyDescent="0.3">
      <c r="A4572" s="34" t="str">
        <f>base!J4572</f>
        <v>LS</v>
      </c>
      <c r="B4572" s="34" t="str">
        <f>base!V4572</f>
        <v>45700</v>
      </c>
      <c r="C4572" s="37">
        <v>69</v>
      </c>
      <c r="D4572" s="36">
        <f>base!H4572</f>
        <v>138.12</v>
      </c>
      <c r="E4572" s="44"/>
      <c r="F4572" s="16">
        <f>base!W4572</f>
        <v>29.01</v>
      </c>
      <c r="G4572" s="11">
        <f t="shared" si="710"/>
        <v>0.21003475238922675</v>
      </c>
      <c r="H4572" s="11">
        <f t="shared" si="711"/>
        <v>37.292400000000001</v>
      </c>
      <c r="I4572" s="11">
        <f t="shared" si="712"/>
        <v>0.27</v>
      </c>
      <c r="J4572" s="12">
        <f t="shared" si="713"/>
        <v>-8.2823999999999991</v>
      </c>
      <c r="K4572" s="17" t="str">
        <f t="shared" si="718"/>
        <v>Ecart négatif</v>
      </c>
      <c r="L4572" s="16">
        <f>base!X4572</f>
        <v>0</v>
      </c>
      <c r="M4572" s="11">
        <f t="shared" si="714"/>
        <v>0</v>
      </c>
      <c r="N4572" s="11">
        <f t="shared" si="715"/>
        <v>0</v>
      </c>
      <c r="O4572" s="11">
        <f t="shared" si="716"/>
        <v>0</v>
      </c>
      <c r="P4572" s="12">
        <f t="shared" si="717"/>
        <v>0</v>
      </c>
      <c r="Q4572" s="17" t="str">
        <f t="shared" si="719"/>
        <v>Pas d'écart</v>
      </c>
    </row>
    <row r="4573" spans="1:18" x14ac:dyDescent="0.3">
      <c r="A4573" s="34" t="str">
        <f>base!J4573</f>
        <v>LM</v>
      </c>
      <c r="B4573" s="34" t="str">
        <f>base!V4573</f>
        <v>75014</v>
      </c>
      <c r="C4573" s="37">
        <v>75</v>
      </c>
      <c r="D4573" s="36">
        <f>base!H4573</f>
        <v>137.59</v>
      </c>
      <c r="E4573" s="44"/>
      <c r="F4573" s="16">
        <f>base!W4573</f>
        <v>0</v>
      </c>
      <c r="G4573" s="11">
        <f t="shared" si="710"/>
        <v>0</v>
      </c>
      <c r="H4573" s="11">
        <f t="shared" si="711"/>
        <v>0</v>
      </c>
      <c r="I4573" s="11">
        <f t="shared" si="712"/>
        <v>0</v>
      </c>
      <c r="J4573" s="12">
        <f t="shared" si="713"/>
        <v>0</v>
      </c>
      <c r="K4573" s="17" t="str">
        <f t="shared" si="718"/>
        <v>Pas d'écart</v>
      </c>
      <c r="L4573" s="16">
        <f>base!X4573</f>
        <v>0</v>
      </c>
      <c r="M4573" s="11">
        <f t="shared" si="714"/>
        <v>0</v>
      </c>
      <c r="N4573" s="11">
        <f t="shared" si="715"/>
        <v>0</v>
      </c>
      <c r="O4573" s="11">
        <f t="shared" si="716"/>
        <v>0</v>
      </c>
      <c r="P4573" s="12">
        <f t="shared" si="717"/>
        <v>0</v>
      </c>
      <c r="Q4573" s="17" t="str">
        <f t="shared" si="719"/>
        <v>Pas d'écart</v>
      </c>
    </row>
    <row r="4574" spans="1:18" x14ac:dyDescent="0.3">
      <c r="A4574" s="34" t="str">
        <f>base!J4574</f>
        <v>LM</v>
      </c>
      <c r="B4574" s="34" t="str">
        <f>base!V4574</f>
        <v>75014</v>
      </c>
      <c r="C4574" s="37">
        <v>75</v>
      </c>
      <c r="D4574" s="36">
        <f>base!H4574</f>
        <v>107.6</v>
      </c>
      <c r="E4574" s="44"/>
      <c r="F4574" s="16">
        <f>base!W4574</f>
        <v>0</v>
      </c>
      <c r="G4574" s="11">
        <f t="shared" si="710"/>
        <v>0</v>
      </c>
      <c r="H4574" s="11">
        <f t="shared" si="711"/>
        <v>0</v>
      </c>
      <c r="I4574" s="11">
        <f t="shared" si="712"/>
        <v>0</v>
      </c>
      <c r="J4574" s="12">
        <f t="shared" si="713"/>
        <v>0</v>
      </c>
      <c r="K4574" s="17" t="str">
        <f t="shared" si="718"/>
        <v>Pas d'écart</v>
      </c>
      <c r="L4574" s="16">
        <f>base!X4574</f>
        <v>0</v>
      </c>
      <c r="M4574" s="11">
        <f t="shared" si="714"/>
        <v>0</v>
      </c>
      <c r="N4574" s="11">
        <f t="shared" si="715"/>
        <v>0</v>
      </c>
      <c r="O4574" s="11">
        <f t="shared" si="716"/>
        <v>0</v>
      </c>
      <c r="P4574" s="12">
        <f t="shared" si="717"/>
        <v>0</v>
      </c>
      <c r="Q4574" s="17" t="str">
        <f t="shared" si="719"/>
        <v>Pas d'écart</v>
      </c>
    </row>
    <row r="4575" spans="1:18" x14ac:dyDescent="0.3">
      <c r="A4575" s="34" t="str">
        <f>base!J4575</f>
        <v>LM</v>
      </c>
      <c r="B4575" s="34" t="str">
        <f>base!V4575</f>
        <v>75014</v>
      </c>
      <c r="C4575" s="37">
        <v>75</v>
      </c>
      <c r="D4575" s="36">
        <f>base!H4575</f>
        <v>107.6</v>
      </c>
      <c r="E4575" s="44"/>
      <c r="F4575" s="16">
        <f>base!W4575</f>
        <v>0</v>
      </c>
      <c r="G4575" s="11">
        <f t="shared" si="710"/>
        <v>0</v>
      </c>
      <c r="H4575" s="11">
        <f t="shared" si="711"/>
        <v>0</v>
      </c>
      <c r="I4575" s="11">
        <f t="shared" si="712"/>
        <v>0</v>
      </c>
      <c r="J4575" s="12">
        <f t="shared" si="713"/>
        <v>0</v>
      </c>
      <c r="K4575" s="17" t="str">
        <f t="shared" si="718"/>
        <v>Pas d'écart</v>
      </c>
      <c r="L4575" s="16">
        <f>base!X4575</f>
        <v>0</v>
      </c>
      <c r="M4575" s="11">
        <f t="shared" si="714"/>
        <v>0</v>
      </c>
      <c r="N4575" s="11">
        <f t="shared" si="715"/>
        <v>0</v>
      </c>
      <c r="O4575" s="11">
        <f t="shared" si="716"/>
        <v>0</v>
      </c>
      <c r="P4575" s="12">
        <f t="shared" si="717"/>
        <v>0</v>
      </c>
      <c r="Q4575" s="17" t="str">
        <f t="shared" si="719"/>
        <v>Pas d'écart</v>
      </c>
    </row>
    <row r="4576" spans="1:18" x14ac:dyDescent="0.3">
      <c r="A4576" s="34" t="str">
        <f>base!J4576</f>
        <v>LM</v>
      </c>
      <c r="B4576" s="34" t="str">
        <f>base!V4576</f>
        <v>75014</v>
      </c>
      <c r="C4576" s="37">
        <v>75</v>
      </c>
      <c r="D4576" s="36">
        <f>base!H4576</f>
        <v>107.6</v>
      </c>
      <c r="E4576" s="44"/>
      <c r="F4576" s="16">
        <f>base!W4576</f>
        <v>0</v>
      </c>
      <c r="G4576" s="11">
        <f t="shared" si="710"/>
        <v>0</v>
      </c>
      <c r="H4576" s="11">
        <f t="shared" si="711"/>
        <v>0</v>
      </c>
      <c r="I4576" s="11">
        <f t="shared" si="712"/>
        <v>0</v>
      </c>
      <c r="J4576" s="12">
        <f t="shared" si="713"/>
        <v>0</v>
      </c>
      <c r="K4576" s="17" t="str">
        <f t="shared" si="718"/>
        <v>Pas d'écart</v>
      </c>
      <c r="L4576" s="16">
        <f>base!X4576</f>
        <v>0</v>
      </c>
      <c r="M4576" s="11">
        <f t="shared" si="714"/>
        <v>0</v>
      </c>
      <c r="N4576" s="11">
        <f t="shared" si="715"/>
        <v>0</v>
      </c>
      <c r="O4576" s="11">
        <f t="shared" si="716"/>
        <v>0</v>
      </c>
      <c r="P4576" s="12">
        <f t="shared" si="717"/>
        <v>0</v>
      </c>
      <c r="Q4576" s="17" t="str">
        <f t="shared" si="719"/>
        <v>Pas d'écart</v>
      </c>
    </row>
    <row r="4577" spans="1:18" x14ac:dyDescent="0.3">
      <c r="A4577" s="34" t="str">
        <f>base!J4577</f>
        <v>LM</v>
      </c>
      <c r="B4577" s="34" t="str">
        <f>base!V4577</f>
        <v>47550</v>
      </c>
      <c r="C4577" s="37">
        <v>38</v>
      </c>
      <c r="D4577" s="36">
        <f>base!H4577</f>
        <v>86.27</v>
      </c>
      <c r="E4577" s="44"/>
      <c r="F4577" s="16">
        <f>base!W4577</f>
        <v>18.12</v>
      </c>
      <c r="G4577" s="11">
        <f t="shared" si="710"/>
        <v>0.21003825199953635</v>
      </c>
      <c r="H4577" s="11">
        <f t="shared" si="711"/>
        <v>23.292899999999999</v>
      </c>
      <c r="I4577" s="11">
        <f t="shared" si="712"/>
        <v>0.27</v>
      </c>
      <c r="J4577" s="12">
        <f t="shared" si="713"/>
        <v>-5.1728999999999985</v>
      </c>
      <c r="K4577" s="17" t="str">
        <f t="shared" si="718"/>
        <v>Ecart négatif</v>
      </c>
      <c r="L4577" s="16">
        <f>base!X4577</f>
        <v>0</v>
      </c>
      <c r="M4577" s="11">
        <f t="shared" si="714"/>
        <v>0</v>
      </c>
      <c r="N4577" s="11">
        <f t="shared" si="715"/>
        <v>0</v>
      </c>
      <c r="O4577" s="11">
        <f t="shared" si="716"/>
        <v>0</v>
      </c>
      <c r="P4577" s="12">
        <f t="shared" si="717"/>
        <v>0</v>
      </c>
      <c r="Q4577" s="17" t="str">
        <f t="shared" si="719"/>
        <v>Pas d'écart</v>
      </c>
    </row>
    <row r="4578" spans="1:18" x14ac:dyDescent="0.3">
      <c r="A4578" s="34" t="str">
        <f>base!J4578</f>
        <v>LM</v>
      </c>
      <c r="B4578" s="34" t="str">
        <f>base!V4578</f>
        <v>57740</v>
      </c>
      <c r="C4578" s="37">
        <v>69</v>
      </c>
      <c r="D4578" s="36">
        <f>base!H4578</f>
        <v>213.21</v>
      </c>
      <c r="E4578" s="44"/>
      <c r="F4578" s="16">
        <f>base!W4578</f>
        <v>53.3</v>
      </c>
      <c r="G4578" s="11">
        <f t="shared" si="710"/>
        <v>0.24998827447117863</v>
      </c>
      <c r="H4578" s="11">
        <f t="shared" si="711"/>
        <v>57.566700000000004</v>
      </c>
      <c r="I4578" s="11">
        <f t="shared" si="712"/>
        <v>0.27</v>
      </c>
      <c r="J4578" s="12">
        <f t="shared" si="713"/>
        <v>-4.2667000000000073</v>
      </c>
      <c r="K4578" s="17" t="str">
        <f t="shared" si="718"/>
        <v>Ecart négatif</v>
      </c>
      <c r="L4578" s="16">
        <f>base!X4578</f>
        <v>0</v>
      </c>
      <c r="M4578" s="11">
        <f t="shared" si="714"/>
        <v>0</v>
      </c>
      <c r="N4578" s="11">
        <f t="shared" si="715"/>
        <v>0</v>
      </c>
      <c r="O4578" s="11">
        <f t="shared" si="716"/>
        <v>0</v>
      </c>
      <c r="P4578" s="12">
        <f t="shared" si="717"/>
        <v>0</v>
      </c>
      <c r="Q4578" s="17" t="str">
        <f t="shared" si="719"/>
        <v>Pas d'écart</v>
      </c>
    </row>
    <row r="4579" spans="1:18" x14ac:dyDescent="0.3">
      <c r="A4579" s="34" t="str">
        <f>base!J4579</f>
        <v>LM</v>
      </c>
      <c r="B4579" s="34" t="str">
        <f>base!V4579</f>
        <v>67000</v>
      </c>
      <c r="C4579" s="37">
        <v>42</v>
      </c>
      <c r="D4579" s="36">
        <f>base!H4579</f>
        <v>174.15</v>
      </c>
      <c r="E4579" s="44"/>
      <c r="F4579" s="16">
        <f>base!W4579</f>
        <v>50.5</v>
      </c>
      <c r="G4579" s="11">
        <f t="shared" si="710"/>
        <v>0.28997990238300314</v>
      </c>
      <c r="H4579" s="11">
        <f t="shared" si="711"/>
        <v>45.279000000000003</v>
      </c>
      <c r="I4579" s="11">
        <f t="shared" si="712"/>
        <v>0.26</v>
      </c>
      <c r="J4579" s="12">
        <f t="shared" si="713"/>
        <v>5.2209999999999965</v>
      </c>
      <c r="K4579" s="17" t="str">
        <f t="shared" si="718"/>
        <v>Ecart positif</v>
      </c>
      <c r="L4579" s="16">
        <f>base!X4579</f>
        <v>0</v>
      </c>
      <c r="M4579" s="11">
        <f t="shared" si="714"/>
        <v>0</v>
      </c>
      <c r="N4579" s="11">
        <f t="shared" si="715"/>
        <v>0</v>
      </c>
      <c r="O4579" s="11">
        <f t="shared" si="716"/>
        <v>0</v>
      </c>
      <c r="P4579" s="12">
        <f t="shared" si="717"/>
        <v>0</v>
      </c>
      <c r="Q4579" s="17" t="str">
        <f t="shared" si="719"/>
        <v>Pas d'écart</v>
      </c>
    </row>
    <row r="4580" spans="1:18" x14ac:dyDescent="0.3">
      <c r="A4580" s="34" t="str">
        <f>base!J4580</f>
        <v>LM</v>
      </c>
      <c r="B4580" s="34" t="str">
        <f>base!V4580</f>
        <v>69800</v>
      </c>
      <c r="C4580" s="37">
        <v>1</v>
      </c>
      <c r="D4580" s="36">
        <f>base!H4580</f>
        <v>136.97999999999999</v>
      </c>
      <c r="E4580" s="44"/>
      <c r="F4580" s="16">
        <f>base!W4580</f>
        <v>36.979999999999997</v>
      </c>
      <c r="G4580" s="11">
        <f t="shared" si="710"/>
        <v>0.26996641845524894</v>
      </c>
      <c r="H4580" s="11">
        <f t="shared" si="711"/>
        <v>35.614799999999995</v>
      </c>
      <c r="I4580" s="11">
        <f t="shared" si="712"/>
        <v>0.26</v>
      </c>
      <c r="J4580" s="12">
        <f t="shared" si="713"/>
        <v>1.3652000000000015</v>
      </c>
      <c r="K4580" s="17" t="str">
        <f t="shared" si="718"/>
        <v>Ecart positif</v>
      </c>
      <c r="L4580" s="16">
        <f>base!X4580</f>
        <v>0</v>
      </c>
      <c r="M4580" s="11">
        <f t="shared" si="714"/>
        <v>0</v>
      </c>
      <c r="N4580" s="11">
        <f t="shared" si="715"/>
        <v>0</v>
      </c>
      <c r="O4580" s="11">
        <f t="shared" si="716"/>
        <v>0</v>
      </c>
      <c r="P4580" s="12">
        <f t="shared" si="717"/>
        <v>0</v>
      </c>
      <c r="Q4580" s="17" t="str">
        <f t="shared" si="719"/>
        <v>Pas d'écart</v>
      </c>
    </row>
    <row r="4581" spans="1:18" x14ac:dyDescent="0.3">
      <c r="A4581" s="34" t="str">
        <f>base!J4581</f>
        <v>LM</v>
      </c>
      <c r="B4581" s="34" t="str">
        <f>base!V4581</f>
        <v>75014</v>
      </c>
      <c r="C4581" s="37">
        <v>75</v>
      </c>
      <c r="D4581" s="36">
        <f>base!H4581</f>
        <v>53.38</v>
      </c>
      <c r="E4581" s="44"/>
      <c r="F4581" s="16">
        <f>base!W4581</f>
        <v>0</v>
      </c>
      <c r="G4581" s="11">
        <f t="shared" si="710"/>
        <v>0</v>
      </c>
      <c r="H4581" s="11">
        <f t="shared" si="711"/>
        <v>0</v>
      </c>
      <c r="I4581" s="11">
        <f t="shared" si="712"/>
        <v>0</v>
      </c>
      <c r="J4581" s="12">
        <f t="shared" si="713"/>
        <v>0</v>
      </c>
      <c r="K4581" s="17" t="str">
        <f t="shared" si="718"/>
        <v>Pas d'écart</v>
      </c>
      <c r="L4581" s="16">
        <f>base!X4581</f>
        <v>0</v>
      </c>
      <c r="M4581" s="11">
        <f t="shared" si="714"/>
        <v>0</v>
      </c>
      <c r="N4581" s="11">
        <f t="shared" si="715"/>
        <v>0</v>
      </c>
      <c r="O4581" s="11">
        <f t="shared" si="716"/>
        <v>0</v>
      </c>
      <c r="P4581" s="12">
        <f t="shared" si="717"/>
        <v>0</v>
      </c>
      <c r="Q4581" s="17" t="str">
        <f t="shared" si="719"/>
        <v>Pas d'écart</v>
      </c>
    </row>
    <row r="4582" spans="1:18" x14ac:dyDescent="0.3">
      <c r="A4582" s="34" t="str">
        <f>base!J4582</f>
        <v>LM</v>
      </c>
      <c r="B4582" s="34" t="str">
        <f>base!V4582</f>
        <v>59380</v>
      </c>
      <c r="C4582" s="37">
        <v>69</v>
      </c>
      <c r="D4582" s="36">
        <f>base!H4582</f>
        <v>36.369999999999997</v>
      </c>
      <c r="E4582" s="44"/>
      <c r="F4582" s="16">
        <f>base!W4582</f>
        <v>6.91</v>
      </c>
      <c r="G4582" s="11">
        <f t="shared" si="710"/>
        <v>0.18999175144349739</v>
      </c>
      <c r="H4582" s="11">
        <f t="shared" si="711"/>
        <v>9.8199000000000005</v>
      </c>
      <c r="I4582" s="11">
        <f t="shared" si="712"/>
        <v>0.27</v>
      </c>
      <c r="J4582" s="12">
        <f t="shared" si="713"/>
        <v>-2.9099000000000004</v>
      </c>
      <c r="K4582" s="17" t="str">
        <f t="shared" si="718"/>
        <v>Ecart négatif</v>
      </c>
      <c r="L4582" s="16">
        <f>base!X4582</f>
        <v>0</v>
      </c>
      <c r="M4582" s="11">
        <f t="shared" si="714"/>
        <v>0</v>
      </c>
      <c r="N4582" s="11">
        <f t="shared" si="715"/>
        <v>0</v>
      </c>
      <c r="O4582" s="11">
        <f t="shared" si="716"/>
        <v>0</v>
      </c>
      <c r="P4582" s="12">
        <f t="shared" si="717"/>
        <v>0</v>
      </c>
      <c r="Q4582" s="17" t="str">
        <f t="shared" si="719"/>
        <v>Pas d'écart</v>
      </c>
    </row>
    <row r="4583" spans="1:18" x14ac:dyDescent="0.3">
      <c r="A4583" s="34" t="str">
        <f>base!J4583</f>
        <v>LS</v>
      </c>
      <c r="B4583" s="34" t="str">
        <f>base!V4583</f>
        <v>01710</v>
      </c>
      <c r="C4583" s="37">
        <v>69</v>
      </c>
      <c r="D4583" s="36">
        <f>base!H4583</f>
        <v>32.450000000000003</v>
      </c>
      <c r="E4583" s="44"/>
      <c r="F4583" s="16">
        <f>base!W4583</f>
        <v>8.76</v>
      </c>
      <c r="G4583" s="11">
        <f t="shared" si="710"/>
        <v>0.26995377503852075</v>
      </c>
      <c r="H4583" s="11">
        <f t="shared" si="711"/>
        <v>8.7615000000000016</v>
      </c>
      <c r="I4583" s="11">
        <f t="shared" si="712"/>
        <v>0.27</v>
      </c>
      <c r="J4583" s="12">
        <f t="shared" si="713"/>
        <v>-1.5000000000018332E-3</v>
      </c>
      <c r="K4583" s="17" t="str">
        <f t="shared" si="718"/>
        <v>Ecart négatif</v>
      </c>
      <c r="L4583" s="16">
        <f>base!X4583</f>
        <v>0</v>
      </c>
      <c r="M4583" s="11">
        <f t="shared" si="714"/>
        <v>0</v>
      </c>
      <c r="N4583" s="11">
        <f t="shared" si="715"/>
        <v>0</v>
      </c>
      <c r="O4583" s="11">
        <f t="shared" si="716"/>
        <v>0</v>
      </c>
      <c r="P4583" s="12">
        <f t="shared" si="717"/>
        <v>0</v>
      </c>
      <c r="Q4583" s="17" t="str">
        <f t="shared" si="719"/>
        <v>Pas d'écart</v>
      </c>
    </row>
    <row r="4584" spans="1:18" x14ac:dyDescent="0.3">
      <c r="A4584" s="34" t="str">
        <f>base!J4584</f>
        <v>RM</v>
      </c>
      <c r="B4584" s="34" t="str">
        <f>base!V4584</f>
        <v>37400</v>
      </c>
      <c r="C4584" s="37">
        <v>37</v>
      </c>
      <c r="D4584" s="36">
        <f>base!H4584</f>
        <v>126.4</v>
      </c>
      <c r="E4584" s="44"/>
      <c r="F4584" s="16">
        <f>base!W4584</f>
        <v>0</v>
      </c>
      <c r="G4584" s="11">
        <f t="shared" si="710"/>
        <v>0</v>
      </c>
      <c r="H4584" s="11">
        <f t="shared" si="711"/>
        <v>24.016000000000002</v>
      </c>
      <c r="I4584" s="11">
        <f t="shared" si="712"/>
        <v>0.19</v>
      </c>
      <c r="J4584" s="12">
        <f t="shared" si="713"/>
        <v>-24.016000000000002</v>
      </c>
      <c r="K4584" s="17" t="str">
        <f t="shared" si="718"/>
        <v>Ecart négatif</v>
      </c>
      <c r="L4584" s="16">
        <f>base!X4584</f>
        <v>15.17</v>
      </c>
      <c r="M4584" s="11">
        <f t="shared" si="714"/>
        <v>0.12001582278481011</v>
      </c>
      <c r="N4584" s="11">
        <f t="shared" si="715"/>
        <v>15.167999999999999</v>
      </c>
      <c r="O4584" s="11">
        <f t="shared" si="716"/>
        <v>0.12</v>
      </c>
      <c r="P4584" s="12">
        <f t="shared" si="717"/>
        <v>2.0000000000006679E-3</v>
      </c>
      <c r="Q4584" s="17" t="str">
        <f t="shared" si="719"/>
        <v>Ecart positif</v>
      </c>
      <c r="R4584" s="38"/>
    </row>
    <row r="4585" spans="1:18" x14ac:dyDescent="0.3">
      <c r="A4585" s="34" t="str">
        <f>base!J4585</f>
        <v>LM</v>
      </c>
      <c r="B4585" s="34" t="str">
        <f>base!V4585</f>
        <v>75014</v>
      </c>
      <c r="C4585" s="37">
        <v>75</v>
      </c>
      <c r="D4585" s="36">
        <f>base!H4585</f>
        <v>19.649999999999999</v>
      </c>
      <c r="E4585" s="44"/>
      <c r="F4585" s="16">
        <f>base!W4585</f>
        <v>0</v>
      </c>
      <c r="G4585" s="11">
        <f t="shared" si="710"/>
        <v>0</v>
      </c>
      <c r="H4585" s="11">
        <f t="shared" si="711"/>
        <v>0</v>
      </c>
      <c r="I4585" s="11">
        <f t="shared" si="712"/>
        <v>0</v>
      </c>
      <c r="J4585" s="12">
        <f t="shared" si="713"/>
        <v>0</v>
      </c>
      <c r="K4585" s="17" t="str">
        <f t="shared" si="718"/>
        <v>Pas d'écart</v>
      </c>
      <c r="L4585" s="16">
        <f>base!X4585</f>
        <v>0</v>
      </c>
      <c r="M4585" s="11">
        <f t="shared" si="714"/>
        <v>0</v>
      </c>
      <c r="N4585" s="11">
        <f t="shared" si="715"/>
        <v>0</v>
      </c>
      <c r="O4585" s="11">
        <f t="shared" si="716"/>
        <v>0</v>
      </c>
      <c r="P4585" s="12">
        <f t="shared" si="717"/>
        <v>0</v>
      </c>
      <c r="Q4585" s="17" t="str">
        <f t="shared" si="719"/>
        <v>Pas d'écart</v>
      </c>
    </row>
    <row r="4586" spans="1:18" x14ac:dyDescent="0.3">
      <c r="A4586" s="34">
        <f>base!J4586</f>
        <v>0</v>
      </c>
      <c r="B4586" s="34" t="str">
        <f>base!V4586</f>
        <v>77184</v>
      </c>
      <c r="C4586" s="37">
        <v>77</v>
      </c>
      <c r="D4586" s="36">
        <f>base!H4586</f>
        <v>127.52</v>
      </c>
      <c r="E4586" s="44"/>
      <c r="F4586" s="16">
        <f>base!W4586</f>
        <v>0</v>
      </c>
      <c r="G4586" s="11">
        <f t="shared" si="710"/>
        <v>0</v>
      </c>
      <c r="H4586" s="11">
        <f t="shared" si="711"/>
        <v>0</v>
      </c>
      <c r="I4586" s="11">
        <f t="shared" si="712"/>
        <v>0</v>
      </c>
      <c r="J4586" s="12">
        <f t="shared" si="713"/>
        <v>0</v>
      </c>
      <c r="K4586" s="17" t="str">
        <f t="shared" si="718"/>
        <v>Pas d'écart</v>
      </c>
      <c r="L4586" s="16">
        <f>base!X4586</f>
        <v>0</v>
      </c>
      <c r="M4586" s="11">
        <f t="shared" si="714"/>
        <v>0</v>
      </c>
      <c r="N4586" s="11">
        <f t="shared" si="715"/>
        <v>0</v>
      </c>
      <c r="O4586" s="11">
        <f t="shared" si="716"/>
        <v>0</v>
      </c>
      <c r="P4586" s="12">
        <f t="shared" si="717"/>
        <v>0</v>
      </c>
      <c r="Q4586" s="17" t="str">
        <f t="shared" si="719"/>
        <v>Pas d'écart</v>
      </c>
    </row>
    <row r="4587" spans="1:18" x14ac:dyDescent="0.3">
      <c r="A4587" s="34" t="str">
        <f>base!J4587</f>
        <v>LM</v>
      </c>
      <c r="B4587" s="34" t="str">
        <f>base!V4587</f>
        <v>14000</v>
      </c>
      <c r="C4587" s="37">
        <v>44</v>
      </c>
      <c r="D4587" s="36">
        <f>base!H4587</f>
        <v>156.57</v>
      </c>
      <c r="E4587" s="44"/>
      <c r="F4587" s="16">
        <f>base!W4587</f>
        <v>26.62</v>
      </c>
      <c r="G4587" s="11">
        <f t="shared" si="710"/>
        <v>0.17001979945072493</v>
      </c>
      <c r="H4587" s="11">
        <f t="shared" si="711"/>
        <v>42.273899999999998</v>
      </c>
      <c r="I4587" s="11">
        <f t="shared" si="712"/>
        <v>0.27</v>
      </c>
      <c r="J4587" s="12">
        <f t="shared" si="713"/>
        <v>-15.653899999999997</v>
      </c>
      <c r="K4587" s="17" t="str">
        <f t="shared" si="718"/>
        <v>Ecart négatif</v>
      </c>
      <c r="L4587" s="16">
        <f>base!X4587</f>
        <v>0</v>
      </c>
      <c r="M4587" s="11">
        <f t="shared" si="714"/>
        <v>0</v>
      </c>
      <c r="N4587" s="11">
        <f t="shared" si="715"/>
        <v>0</v>
      </c>
      <c r="O4587" s="11">
        <f t="shared" si="716"/>
        <v>0</v>
      </c>
      <c r="P4587" s="12">
        <f t="shared" si="717"/>
        <v>0</v>
      </c>
      <c r="Q4587" s="17" t="str">
        <f t="shared" si="719"/>
        <v>Pas d'écart</v>
      </c>
    </row>
    <row r="4588" spans="1:18" x14ac:dyDescent="0.3">
      <c r="A4588" s="34" t="str">
        <f>base!J4588</f>
        <v>LM</v>
      </c>
      <c r="B4588" s="34" t="str">
        <f>base!V4588</f>
        <v>75014</v>
      </c>
      <c r="C4588" s="37">
        <v>75</v>
      </c>
      <c r="D4588" s="36">
        <f>base!H4588</f>
        <v>19.649999999999999</v>
      </c>
      <c r="E4588" s="44"/>
      <c r="F4588" s="16">
        <f>base!W4588</f>
        <v>0</v>
      </c>
      <c r="G4588" s="11">
        <f t="shared" si="710"/>
        <v>0</v>
      </c>
      <c r="H4588" s="11">
        <f t="shared" si="711"/>
        <v>0</v>
      </c>
      <c r="I4588" s="11">
        <f t="shared" si="712"/>
        <v>0</v>
      </c>
      <c r="J4588" s="12">
        <f t="shared" si="713"/>
        <v>0</v>
      </c>
      <c r="K4588" s="17" t="str">
        <f t="shared" si="718"/>
        <v>Pas d'écart</v>
      </c>
      <c r="L4588" s="16">
        <f>base!X4588</f>
        <v>0</v>
      </c>
      <c r="M4588" s="11">
        <f t="shared" si="714"/>
        <v>0</v>
      </c>
      <c r="N4588" s="11">
        <f t="shared" si="715"/>
        <v>0</v>
      </c>
      <c r="O4588" s="11">
        <f t="shared" si="716"/>
        <v>0</v>
      </c>
      <c r="P4588" s="12">
        <f t="shared" si="717"/>
        <v>0</v>
      </c>
      <c r="Q4588" s="17" t="str">
        <f t="shared" si="719"/>
        <v>Pas d'écart</v>
      </c>
    </row>
    <row r="4589" spans="1:18" x14ac:dyDescent="0.3">
      <c r="A4589" s="34" t="str">
        <f>base!J4589</f>
        <v>LM</v>
      </c>
      <c r="B4589" s="34" t="str">
        <f>base!V4589</f>
        <v>75014</v>
      </c>
      <c r="C4589" s="37">
        <v>75</v>
      </c>
      <c r="D4589" s="36">
        <f>base!H4589</f>
        <v>19.649999999999999</v>
      </c>
      <c r="E4589" s="44"/>
      <c r="F4589" s="16">
        <f>base!W4589</f>
        <v>0</v>
      </c>
      <c r="G4589" s="11">
        <f t="shared" si="710"/>
        <v>0</v>
      </c>
      <c r="H4589" s="11">
        <f t="shared" si="711"/>
        <v>0</v>
      </c>
      <c r="I4589" s="11">
        <f t="shared" si="712"/>
        <v>0</v>
      </c>
      <c r="J4589" s="12">
        <f t="shared" si="713"/>
        <v>0</v>
      </c>
      <c r="K4589" s="17" t="str">
        <f t="shared" si="718"/>
        <v>Pas d'écart</v>
      </c>
      <c r="L4589" s="16">
        <f>base!X4589</f>
        <v>0</v>
      </c>
      <c r="M4589" s="11">
        <f t="shared" si="714"/>
        <v>0</v>
      </c>
      <c r="N4589" s="11">
        <f t="shared" si="715"/>
        <v>0</v>
      </c>
      <c r="O4589" s="11">
        <f t="shared" si="716"/>
        <v>0</v>
      </c>
      <c r="P4589" s="12">
        <f t="shared" si="717"/>
        <v>0</v>
      </c>
      <c r="Q4589" s="17" t="str">
        <f t="shared" si="719"/>
        <v>Pas d'écart</v>
      </c>
    </row>
    <row r="4590" spans="1:18" x14ac:dyDescent="0.3">
      <c r="A4590" s="34" t="str">
        <f>base!J4590</f>
        <v>LM</v>
      </c>
      <c r="B4590" s="34" t="str">
        <f>base!V4590</f>
        <v>75014</v>
      </c>
      <c r="C4590" s="37">
        <v>75</v>
      </c>
      <c r="D4590" s="36">
        <f>base!H4590</f>
        <v>19.649999999999999</v>
      </c>
      <c r="E4590" s="44"/>
      <c r="F4590" s="16">
        <f>base!W4590</f>
        <v>0</v>
      </c>
      <c r="G4590" s="11">
        <f t="shared" si="710"/>
        <v>0</v>
      </c>
      <c r="H4590" s="11">
        <f t="shared" si="711"/>
        <v>0</v>
      </c>
      <c r="I4590" s="11">
        <f t="shared" si="712"/>
        <v>0</v>
      </c>
      <c r="J4590" s="12">
        <f t="shared" si="713"/>
        <v>0</v>
      </c>
      <c r="K4590" s="17" t="str">
        <f t="shared" si="718"/>
        <v>Pas d'écart</v>
      </c>
      <c r="L4590" s="16">
        <f>base!X4590</f>
        <v>0</v>
      </c>
      <c r="M4590" s="11">
        <f t="shared" si="714"/>
        <v>0</v>
      </c>
      <c r="N4590" s="11">
        <f t="shared" si="715"/>
        <v>0</v>
      </c>
      <c r="O4590" s="11">
        <f t="shared" si="716"/>
        <v>0</v>
      </c>
      <c r="P4590" s="12">
        <f t="shared" si="717"/>
        <v>0</v>
      </c>
      <c r="Q4590" s="17" t="str">
        <f t="shared" si="719"/>
        <v>Pas d'écart</v>
      </c>
    </row>
    <row r="4591" spans="1:18" x14ac:dyDescent="0.3">
      <c r="A4591" s="34" t="str">
        <f>base!J4591</f>
        <v>LM</v>
      </c>
      <c r="B4591" s="34" t="str">
        <f>base!V4591</f>
        <v>75014</v>
      </c>
      <c r="C4591" s="37">
        <v>75</v>
      </c>
      <c r="D4591" s="36">
        <f>base!H4591</f>
        <v>19.649999999999999</v>
      </c>
      <c r="E4591" s="44"/>
      <c r="F4591" s="16">
        <f>base!W4591</f>
        <v>0</v>
      </c>
      <c r="G4591" s="11">
        <f t="shared" si="710"/>
        <v>0</v>
      </c>
      <c r="H4591" s="11">
        <f t="shared" si="711"/>
        <v>0</v>
      </c>
      <c r="I4591" s="11">
        <f t="shared" si="712"/>
        <v>0</v>
      </c>
      <c r="J4591" s="12">
        <f t="shared" si="713"/>
        <v>0</v>
      </c>
      <c r="K4591" s="17" t="str">
        <f t="shared" si="718"/>
        <v>Pas d'écart</v>
      </c>
      <c r="L4591" s="16">
        <f>base!X4591</f>
        <v>0</v>
      </c>
      <c r="M4591" s="11">
        <f t="shared" si="714"/>
        <v>0</v>
      </c>
      <c r="N4591" s="11">
        <f t="shared" si="715"/>
        <v>0</v>
      </c>
      <c r="O4591" s="11">
        <f t="shared" si="716"/>
        <v>0</v>
      </c>
      <c r="P4591" s="12">
        <f t="shared" si="717"/>
        <v>0</v>
      </c>
      <c r="Q4591" s="17" t="str">
        <f t="shared" si="719"/>
        <v>Pas d'écart</v>
      </c>
    </row>
    <row r="4592" spans="1:18" x14ac:dyDescent="0.3">
      <c r="A4592" s="34" t="str">
        <f>base!J4592</f>
        <v>LM</v>
      </c>
      <c r="B4592" s="34" t="str">
        <f>base!V4592</f>
        <v>75014</v>
      </c>
      <c r="C4592" s="37">
        <v>75</v>
      </c>
      <c r="D4592" s="36">
        <f>base!H4592</f>
        <v>19.649999999999999</v>
      </c>
      <c r="E4592" s="44"/>
      <c r="F4592" s="16">
        <f>base!W4592</f>
        <v>0</v>
      </c>
      <c r="G4592" s="11">
        <f t="shared" si="710"/>
        <v>0</v>
      </c>
      <c r="H4592" s="11">
        <f t="shared" si="711"/>
        <v>0</v>
      </c>
      <c r="I4592" s="11">
        <f t="shared" si="712"/>
        <v>0</v>
      </c>
      <c r="J4592" s="12">
        <f t="shared" si="713"/>
        <v>0</v>
      </c>
      <c r="K4592" s="17" t="str">
        <f t="shared" si="718"/>
        <v>Pas d'écart</v>
      </c>
      <c r="L4592" s="16">
        <f>base!X4592</f>
        <v>0</v>
      </c>
      <c r="M4592" s="11">
        <f t="shared" si="714"/>
        <v>0</v>
      </c>
      <c r="N4592" s="11">
        <f t="shared" si="715"/>
        <v>0</v>
      </c>
      <c r="O4592" s="11">
        <f t="shared" si="716"/>
        <v>0</v>
      </c>
      <c r="P4592" s="12">
        <f t="shared" si="717"/>
        <v>0</v>
      </c>
      <c r="Q4592" s="17" t="str">
        <f t="shared" si="719"/>
        <v>Pas d'écart</v>
      </c>
    </row>
    <row r="4593" spans="1:18" x14ac:dyDescent="0.3">
      <c r="A4593" s="34" t="str">
        <f>base!J4593</f>
        <v>LS</v>
      </c>
      <c r="B4593" s="34" t="str">
        <f>base!V4593</f>
        <v>69003</v>
      </c>
      <c r="C4593" s="37">
        <v>38</v>
      </c>
      <c r="D4593" s="36">
        <f>base!H4593</f>
        <v>140.31</v>
      </c>
      <c r="E4593" s="44"/>
      <c r="F4593" s="16">
        <f>base!W4593</f>
        <v>37.880000000000003</v>
      </c>
      <c r="G4593" s="11">
        <f t="shared" si="710"/>
        <v>0.26997362981968498</v>
      </c>
      <c r="H4593" s="11">
        <f t="shared" si="711"/>
        <v>37.883700000000005</v>
      </c>
      <c r="I4593" s="11">
        <f t="shared" si="712"/>
        <v>0.27</v>
      </c>
      <c r="J4593" s="12">
        <f t="shared" si="713"/>
        <v>-3.700000000002035E-3</v>
      </c>
      <c r="K4593" s="17" t="str">
        <f t="shared" si="718"/>
        <v>Ecart négatif</v>
      </c>
      <c r="L4593" s="16">
        <f>base!X4593</f>
        <v>0</v>
      </c>
      <c r="M4593" s="11">
        <f t="shared" si="714"/>
        <v>0</v>
      </c>
      <c r="N4593" s="11">
        <f t="shared" si="715"/>
        <v>0</v>
      </c>
      <c r="O4593" s="11">
        <f t="shared" si="716"/>
        <v>0</v>
      </c>
      <c r="P4593" s="12">
        <f t="shared" si="717"/>
        <v>0</v>
      </c>
      <c r="Q4593" s="17" t="str">
        <f t="shared" si="719"/>
        <v>Pas d'écart</v>
      </c>
    </row>
    <row r="4594" spans="1:18" x14ac:dyDescent="0.3">
      <c r="A4594" s="34" t="str">
        <f>base!J4594</f>
        <v>LM</v>
      </c>
      <c r="B4594" s="34" t="str">
        <f>base!V4594</f>
        <v>77160</v>
      </c>
      <c r="C4594" s="37">
        <v>77</v>
      </c>
      <c r="D4594" s="36">
        <f>base!H4594</f>
        <v>142.99</v>
      </c>
      <c r="E4594" s="44"/>
      <c r="F4594" s="16">
        <f>base!W4594</f>
        <v>0</v>
      </c>
      <c r="G4594" s="11">
        <f t="shared" si="710"/>
        <v>0</v>
      </c>
      <c r="H4594" s="11">
        <f t="shared" si="711"/>
        <v>0</v>
      </c>
      <c r="I4594" s="11">
        <f t="shared" si="712"/>
        <v>0</v>
      </c>
      <c r="J4594" s="12">
        <f t="shared" si="713"/>
        <v>0</v>
      </c>
      <c r="K4594" s="17" t="str">
        <f t="shared" si="718"/>
        <v>Pas d'écart</v>
      </c>
      <c r="L4594" s="16">
        <f>base!X4594</f>
        <v>0</v>
      </c>
      <c r="M4594" s="11">
        <f t="shared" si="714"/>
        <v>0</v>
      </c>
      <c r="N4594" s="11">
        <f t="shared" si="715"/>
        <v>0</v>
      </c>
      <c r="O4594" s="11">
        <f t="shared" si="716"/>
        <v>0</v>
      </c>
      <c r="P4594" s="12">
        <f t="shared" si="717"/>
        <v>0</v>
      </c>
      <c r="Q4594" s="17" t="str">
        <f t="shared" si="719"/>
        <v>Pas d'écart</v>
      </c>
    </row>
    <row r="4595" spans="1:18" x14ac:dyDescent="0.3">
      <c r="A4595" s="34" t="str">
        <f>base!J4595</f>
        <v>LS</v>
      </c>
      <c r="B4595" s="34" t="str">
        <f>base!V4595</f>
        <v>72230</v>
      </c>
      <c r="C4595" s="37">
        <v>72</v>
      </c>
      <c r="D4595" s="36">
        <f>base!H4595</f>
        <v>20</v>
      </c>
      <c r="E4595" s="44"/>
      <c r="F4595" s="16">
        <f>base!W4595</f>
        <v>4.2</v>
      </c>
      <c r="G4595" s="11">
        <f t="shared" si="710"/>
        <v>0.21000000000000002</v>
      </c>
      <c r="H4595" s="11">
        <f t="shared" si="711"/>
        <v>4.2</v>
      </c>
      <c r="I4595" s="11">
        <f t="shared" si="712"/>
        <v>0.21000000000000002</v>
      </c>
      <c r="J4595" s="12">
        <f t="shared" si="713"/>
        <v>0</v>
      </c>
      <c r="K4595" s="17" t="str">
        <f t="shared" si="718"/>
        <v>Pas d'écart</v>
      </c>
      <c r="L4595" s="16">
        <f>base!X4595</f>
        <v>0</v>
      </c>
      <c r="M4595" s="11">
        <f t="shared" si="714"/>
        <v>0</v>
      </c>
      <c r="N4595" s="11">
        <f t="shared" si="715"/>
        <v>2.4</v>
      </c>
      <c r="O4595" s="11">
        <f t="shared" si="716"/>
        <v>0.12</v>
      </c>
      <c r="P4595" s="12">
        <f t="shared" si="717"/>
        <v>-2.4</v>
      </c>
      <c r="Q4595" s="17" t="str">
        <f t="shared" si="719"/>
        <v>Ecart négatif</v>
      </c>
    </row>
    <row r="4596" spans="1:18" x14ac:dyDescent="0.3">
      <c r="A4596" s="34" t="str">
        <f>base!J4596</f>
        <v>RM</v>
      </c>
      <c r="B4596" s="34" t="str">
        <f>base!V4596</f>
        <v>62740</v>
      </c>
      <c r="C4596" s="37">
        <v>62</v>
      </c>
      <c r="D4596" s="36">
        <f>base!H4596</f>
        <v>58.2</v>
      </c>
      <c r="E4596" s="44"/>
      <c r="F4596" s="16">
        <f>base!W4596</f>
        <v>0</v>
      </c>
      <c r="G4596" s="11">
        <f t="shared" si="710"/>
        <v>0</v>
      </c>
      <c r="H4596" s="11">
        <f t="shared" si="711"/>
        <v>11.058</v>
      </c>
      <c r="I4596" s="11">
        <f t="shared" si="712"/>
        <v>0.18999999999999997</v>
      </c>
      <c r="J4596" s="12">
        <f t="shared" si="713"/>
        <v>-11.058</v>
      </c>
      <c r="K4596" s="17" t="str">
        <f t="shared" si="718"/>
        <v>Ecart négatif</v>
      </c>
      <c r="L4596" s="16">
        <f>base!X4596</f>
        <v>0</v>
      </c>
      <c r="M4596" s="11">
        <f t="shared" si="714"/>
        <v>0</v>
      </c>
      <c r="N4596" s="11">
        <f t="shared" si="715"/>
        <v>0</v>
      </c>
      <c r="O4596" s="11">
        <f t="shared" si="716"/>
        <v>0</v>
      </c>
      <c r="P4596" s="12">
        <f t="shared" si="717"/>
        <v>0</v>
      </c>
      <c r="Q4596" s="17" t="str">
        <f t="shared" si="719"/>
        <v>Pas d'écart</v>
      </c>
    </row>
    <row r="4597" spans="1:18" x14ac:dyDescent="0.3">
      <c r="A4597" s="34" t="str">
        <f>base!J4597</f>
        <v>RM</v>
      </c>
      <c r="B4597" s="34" t="str">
        <f>base!V4597</f>
        <v>62740</v>
      </c>
      <c r="C4597" s="37">
        <v>62</v>
      </c>
      <c r="D4597" s="36">
        <f>base!H4597</f>
        <v>40</v>
      </c>
      <c r="E4597" s="44"/>
      <c r="F4597" s="16">
        <f>base!W4597</f>
        <v>0</v>
      </c>
      <c r="G4597" s="11">
        <f t="shared" si="710"/>
        <v>0</v>
      </c>
      <c r="H4597" s="11">
        <f t="shared" si="711"/>
        <v>7.6</v>
      </c>
      <c r="I4597" s="11">
        <f t="shared" si="712"/>
        <v>0.19</v>
      </c>
      <c r="J4597" s="12">
        <f t="shared" si="713"/>
        <v>-7.6</v>
      </c>
      <c r="K4597" s="17" t="str">
        <f t="shared" si="718"/>
        <v>Ecart négatif</v>
      </c>
      <c r="L4597" s="16">
        <f>base!X4597</f>
        <v>0</v>
      </c>
      <c r="M4597" s="11">
        <f t="shared" si="714"/>
        <v>0</v>
      </c>
      <c r="N4597" s="11">
        <f t="shared" si="715"/>
        <v>0</v>
      </c>
      <c r="O4597" s="11">
        <f t="shared" si="716"/>
        <v>0</v>
      </c>
      <c r="P4597" s="12">
        <f t="shared" si="717"/>
        <v>0</v>
      </c>
      <c r="Q4597" s="17" t="str">
        <f t="shared" si="719"/>
        <v>Pas d'écart</v>
      </c>
    </row>
    <row r="4598" spans="1:18" x14ac:dyDescent="0.3">
      <c r="A4598" s="34" t="str">
        <f>base!J4598</f>
        <v>RM</v>
      </c>
      <c r="B4598" s="34" t="str">
        <f>base!V4598</f>
        <v>62740</v>
      </c>
      <c r="C4598" s="37">
        <v>62</v>
      </c>
      <c r="D4598" s="36">
        <f>base!H4598</f>
        <v>140.72</v>
      </c>
      <c r="E4598" s="44"/>
      <c r="F4598" s="16">
        <f>base!W4598</f>
        <v>0</v>
      </c>
      <c r="G4598" s="11">
        <f t="shared" si="710"/>
        <v>0</v>
      </c>
      <c r="H4598" s="11">
        <f t="shared" si="711"/>
        <v>26.736799999999999</v>
      </c>
      <c r="I4598" s="11">
        <f t="shared" si="712"/>
        <v>0.19</v>
      </c>
      <c r="J4598" s="12">
        <f t="shared" si="713"/>
        <v>-26.736799999999999</v>
      </c>
      <c r="K4598" s="17" t="str">
        <f t="shared" si="718"/>
        <v>Ecart négatif</v>
      </c>
      <c r="L4598" s="16">
        <f>base!X4598</f>
        <v>0</v>
      </c>
      <c r="M4598" s="11">
        <f t="shared" si="714"/>
        <v>0</v>
      </c>
      <c r="N4598" s="11">
        <f t="shared" si="715"/>
        <v>0</v>
      </c>
      <c r="O4598" s="11">
        <f t="shared" si="716"/>
        <v>0</v>
      </c>
      <c r="P4598" s="12">
        <f t="shared" si="717"/>
        <v>0</v>
      </c>
      <c r="Q4598" s="17" t="str">
        <f t="shared" si="719"/>
        <v>Pas d'écart</v>
      </c>
    </row>
    <row r="4599" spans="1:18" x14ac:dyDescent="0.3">
      <c r="A4599" s="34" t="str">
        <f>base!J4599</f>
        <v>RM</v>
      </c>
      <c r="B4599" s="34" t="str">
        <f>base!V4599</f>
        <v>62740</v>
      </c>
      <c r="C4599" s="37">
        <v>62</v>
      </c>
      <c r="D4599" s="36">
        <f>base!H4599</f>
        <v>300.33999999999997</v>
      </c>
      <c r="E4599" s="44"/>
      <c r="F4599" s="16">
        <f>base!W4599</f>
        <v>0</v>
      </c>
      <c r="G4599" s="11">
        <f t="shared" si="710"/>
        <v>0</v>
      </c>
      <c r="H4599" s="11">
        <f t="shared" si="711"/>
        <v>57.064599999999999</v>
      </c>
      <c r="I4599" s="11">
        <f t="shared" si="712"/>
        <v>0.19</v>
      </c>
      <c r="J4599" s="12">
        <f t="shared" si="713"/>
        <v>-57.064599999999999</v>
      </c>
      <c r="K4599" s="17" t="str">
        <f t="shared" si="718"/>
        <v>Ecart négatif</v>
      </c>
      <c r="L4599" s="16">
        <f>base!X4599</f>
        <v>0</v>
      </c>
      <c r="M4599" s="11">
        <f t="shared" si="714"/>
        <v>0</v>
      </c>
      <c r="N4599" s="11">
        <f t="shared" si="715"/>
        <v>0</v>
      </c>
      <c r="O4599" s="11">
        <f t="shared" si="716"/>
        <v>0</v>
      </c>
      <c r="P4599" s="12">
        <f t="shared" si="717"/>
        <v>0</v>
      </c>
      <c r="Q4599" s="17" t="str">
        <f t="shared" si="719"/>
        <v>Pas d'écart</v>
      </c>
    </row>
    <row r="4600" spans="1:18" x14ac:dyDescent="0.3">
      <c r="A4600" s="34" t="str">
        <f>base!J4600</f>
        <v>RM</v>
      </c>
      <c r="B4600" s="34" t="str">
        <f>base!V4600</f>
        <v>62740</v>
      </c>
      <c r="C4600" s="37">
        <v>62</v>
      </c>
      <c r="D4600" s="36">
        <f>base!H4600</f>
        <v>94.79</v>
      </c>
      <c r="E4600" s="44"/>
      <c r="F4600" s="16">
        <f>base!W4600</f>
        <v>0</v>
      </c>
      <c r="G4600" s="11">
        <f t="shared" si="710"/>
        <v>0</v>
      </c>
      <c r="H4600" s="11">
        <f t="shared" si="711"/>
        <v>18.010100000000001</v>
      </c>
      <c r="I4600" s="11">
        <f t="shared" si="712"/>
        <v>0.19</v>
      </c>
      <c r="J4600" s="12">
        <f t="shared" si="713"/>
        <v>-18.010100000000001</v>
      </c>
      <c r="K4600" s="17" t="str">
        <f t="shared" si="718"/>
        <v>Ecart négatif</v>
      </c>
      <c r="L4600" s="16">
        <f>base!X4600</f>
        <v>0</v>
      </c>
      <c r="M4600" s="11">
        <f t="shared" si="714"/>
        <v>0</v>
      </c>
      <c r="N4600" s="11">
        <f t="shared" si="715"/>
        <v>0</v>
      </c>
      <c r="O4600" s="11">
        <f t="shared" si="716"/>
        <v>0</v>
      </c>
      <c r="P4600" s="12">
        <f t="shared" si="717"/>
        <v>0</v>
      </c>
      <c r="Q4600" s="17" t="str">
        <f t="shared" si="719"/>
        <v>Pas d'écart</v>
      </c>
    </row>
    <row r="4601" spans="1:18" x14ac:dyDescent="0.3">
      <c r="A4601" s="34">
        <f>base!J4601</f>
        <v>0</v>
      </c>
      <c r="B4601" s="34" t="str">
        <f>base!V4601</f>
        <v>77184</v>
      </c>
      <c r="C4601" s="37">
        <v>77</v>
      </c>
      <c r="D4601" s="36">
        <f>base!H4601</f>
        <v>129.06</v>
      </c>
      <c r="E4601" s="44"/>
      <c r="F4601" s="16">
        <f>base!W4601</f>
        <v>0</v>
      </c>
      <c r="G4601" s="11">
        <f t="shared" si="710"/>
        <v>0</v>
      </c>
      <c r="H4601" s="11">
        <f t="shared" si="711"/>
        <v>0</v>
      </c>
      <c r="I4601" s="11">
        <f t="shared" si="712"/>
        <v>0</v>
      </c>
      <c r="J4601" s="12">
        <f t="shared" si="713"/>
        <v>0</v>
      </c>
      <c r="K4601" s="17" t="str">
        <f t="shared" si="718"/>
        <v>Pas d'écart</v>
      </c>
      <c r="L4601" s="16">
        <f>base!X4601</f>
        <v>0</v>
      </c>
      <c r="M4601" s="11">
        <f t="shared" si="714"/>
        <v>0</v>
      </c>
      <c r="N4601" s="11">
        <f t="shared" si="715"/>
        <v>0</v>
      </c>
      <c r="O4601" s="11">
        <f t="shared" si="716"/>
        <v>0</v>
      </c>
      <c r="P4601" s="12">
        <f t="shared" si="717"/>
        <v>0</v>
      </c>
      <c r="Q4601" s="17" t="str">
        <f t="shared" si="719"/>
        <v>Pas d'écart</v>
      </c>
    </row>
    <row r="4602" spans="1:18" x14ac:dyDescent="0.3">
      <c r="A4602" s="34">
        <f>base!J4602</f>
        <v>0</v>
      </c>
      <c r="B4602" s="34" t="str">
        <f>base!V4602</f>
        <v>77184</v>
      </c>
      <c r="C4602" s="37">
        <v>77</v>
      </c>
      <c r="D4602" s="36">
        <f>base!H4602</f>
        <v>189.52</v>
      </c>
      <c r="E4602" s="44"/>
      <c r="F4602" s="16">
        <f>base!W4602</f>
        <v>0</v>
      </c>
      <c r="G4602" s="11">
        <f t="shared" si="710"/>
        <v>0</v>
      </c>
      <c r="H4602" s="11">
        <f t="shared" si="711"/>
        <v>0</v>
      </c>
      <c r="I4602" s="11">
        <f t="shared" si="712"/>
        <v>0</v>
      </c>
      <c r="J4602" s="12">
        <f t="shared" si="713"/>
        <v>0</v>
      </c>
      <c r="K4602" s="17" t="str">
        <f t="shared" si="718"/>
        <v>Pas d'écart</v>
      </c>
      <c r="L4602" s="16">
        <f>base!X4602</f>
        <v>0</v>
      </c>
      <c r="M4602" s="11">
        <f t="shared" si="714"/>
        <v>0</v>
      </c>
      <c r="N4602" s="11">
        <f t="shared" si="715"/>
        <v>0</v>
      </c>
      <c r="O4602" s="11">
        <f t="shared" si="716"/>
        <v>0</v>
      </c>
      <c r="P4602" s="12">
        <f t="shared" si="717"/>
        <v>0</v>
      </c>
      <c r="Q4602" s="17" t="str">
        <f t="shared" si="719"/>
        <v>Pas d'écart</v>
      </c>
    </row>
    <row r="4603" spans="1:18" x14ac:dyDescent="0.3">
      <c r="A4603" s="34">
        <f>base!J4603</f>
        <v>0</v>
      </c>
      <c r="B4603" s="34" t="str">
        <f>base!V4603</f>
        <v>77184</v>
      </c>
      <c r="C4603" s="37">
        <v>77</v>
      </c>
      <c r="D4603" s="36">
        <f>base!H4603</f>
        <v>132.44999999999999</v>
      </c>
      <c r="E4603" s="44"/>
      <c r="F4603" s="16">
        <f>base!W4603</f>
        <v>0</v>
      </c>
      <c r="G4603" s="11">
        <f t="shared" si="710"/>
        <v>0</v>
      </c>
      <c r="H4603" s="11">
        <f t="shared" si="711"/>
        <v>0</v>
      </c>
      <c r="I4603" s="11">
        <f t="shared" si="712"/>
        <v>0</v>
      </c>
      <c r="J4603" s="12">
        <f t="shared" si="713"/>
        <v>0</v>
      </c>
      <c r="K4603" s="17" t="str">
        <f t="shared" si="718"/>
        <v>Pas d'écart</v>
      </c>
      <c r="L4603" s="16">
        <f>base!X4603</f>
        <v>0</v>
      </c>
      <c r="M4603" s="11">
        <f t="shared" si="714"/>
        <v>0</v>
      </c>
      <c r="N4603" s="11">
        <f t="shared" si="715"/>
        <v>0</v>
      </c>
      <c r="O4603" s="11">
        <f t="shared" si="716"/>
        <v>0</v>
      </c>
      <c r="P4603" s="12">
        <f t="shared" si="717"/>
        <v>0</v>
      </c>
      <c r="Q4603" s="17" t="str">
        <f t="shared" si="719"/>
        <v>Pas d'écart</v>
      </c>
    </row>
    <row r="4604" spans="1:18" x14ac:dyDescent="0.3">
      <c r="A4604" s="34" t="str">
        <f>base!J4604</f>
        <v>RM</v>
      </c>
      <c r="B4604" s="34" t="str">
        <f>base!V4604</f>
        <v>79330</v>
      </c>
      <c r="C4604" s="37">
        <v>79</v>
      </c>
      <c r="D4604" s="36">
        <f>base!H4604</f>
        <v>140</v>
      </c>
      <c r="E4604" s="44"/>
      <c r="F4604" s="16">
        <f>base!W4604</f>
        <v>0</v>
      </c>
      <c r="G4604" s="11">
        <f t="shared" si="710"/>
        <v>0</v>
      </c>
      <c r="H4604" s="11">
        <f t="shared" si="711"/>
        <v>29.4</v>
      </c>
      <c r="I4604" s="11">
        <f t="shared" si="712"/>
        <v>0.21</v>
      </c>
      <c r="J4604" s="12">
        <f t="shared" si="713"/>
        <v>-29.4</v>
      </c>
      <c r="K4604" s="17" t="str">
        <f t="shared" si="718"/>
        <v>Ecart négatif</v>
      </c>
      <c r="L4604" s="16">
        <f>base!X4604</f>
        <v>54.6</v>
      </c>
      <c r="M4604" s="11">
        <f t="shared" si="714"/>
        <v>0.39</v>
      </c>
      <c r="N4604" s="11">
        <f t="shared" si="715"/>
        <v>16.8</v>
      </c>
      <c r="O4604" s="11">
        <f t="shared" si="716"/>
        <v>0.12000000000000001</v>
      </c>
      <c r="P4604" s="12">
        <f t="shared" si="717"/>
        <v>37.799999999999997</v>
      </c>
      <c r="Q4604" s="17" t="str">
        <f t="shared" si="719"/>
        <v>Ecart positif</v>
      </c>
      <c r="R4604" s="38"/>
    </row>
    <row r="4605" spans="1:18" x14ac:dyDescent="0.3">
      <c r="A4605" s="34" t="str">
        <f>base!J4605</f>
        <v>RM</v>
      </c>
      <c r="B4605" s="34" t="str">
        <f>base!V4605</f>
        <v>34980</v>
      </c>
      <c r="C4605" s="37">
        <v>34</v>
      </c>
      <c r="D4605" s="36">
        <f>base!H4605</f>
        <v>250</v>
      </c>
      <c r="E4605" s="44"/>
      <c r="F4605" s="16">
        <f>base!W4605</f>
        <v>0</v>
      </c>
      <c r="G4605" s="11">
        <f t="shared" si="710"/>
        <v>0</v>
      </c>
      <c r="H4605" s="11">
        <f t="shared" si="711"/>
        <v>97.5</v>
      </c>
      <c r="I4605" s="11">
        <f t="shared" si="712"/>
        <v>0.39</v>
      </c>
      <c r="J4605" s="12">
        <f t="shared" si="713"/>
        <v>-97.5</v>
      </c>
      <c r="K4605" s="17" t="str">
        <f t="shared" si="718"/>
        <v>Ecart négatif</v>
      </c>
      <c r="L4605" s="16">
        <f>base!X4605</f>
        <v>70</v>
      </c>
      <c r="M4605" s="11">
        <f t="shared" si="714"/>
        <v>0.28000000000000003</v>
      </c>
      <c r="N4605" s="11">
        <f t="shared" si="715"/>
        <v>70</v>
      </c>
      <c r="O4605" s="11">
        <f t="shared" si="716"/>
        <v>0.28000000000000003</v>
      </c>
      <c r="P4605" s="12">
        <f t="shared" si="717"/>
        <v>0</v>
      </c>
      <c r="Q4605" s="17" t="str">
        <f t="shared" si="719"/>
        <v>Pas d'écart</v>
      </c>
      <c r="R4605" s="38"/>
    </row>
    <row r="4606" spans="1:18" x14ac:dyDescent="0.3">
      <c r="A4606" s="34" t="str">
        <f>base!J4606</f>
        <v>LM</v>
      </c>
      <c r="B4606" s="34" t="str">
        <f>base!V4606</f>
        <v>01000</v>
      </c>
      <c r="C4606" s="37">
        <v>1</v>
      </c>
      <c r="D4606" s="36">
        <f>base!H4606</f>
        <v>183.92</v>
      </c>
      <c r="E4606" s="44"/>
      <c r="F4606" s="16">
        <f>base!W4606</f>
        <v>49.66</v>
      </c>
      <c r="G4606" s="11">
        <f t="shared" si="710"/>
        <v>0.27000869943453676</v>
      </c>
      <c r="H4606" s="11">
        <f t="shared" si="711"/>
        <v>47.819199999999995</v>
      </c>
      <c r="I4606" s="11">
        <f t="shared" si="712"/>
        <v>0.26</v>
      </c>
      <c r="J4606" s="12">
        <f t="shared" si="713"/>
        <v>1.8408000000000015</v>
      </c>
      <c r="K4606" s="17" t="str">
        <f t="shared" si="718"/>
        <v>Ecart positif</v>
      </c>
      <c r="L4606" s="16">
        <f>base!X4606</f>
        <v>0</v>
      </c>
      <c r="M4606" s="11">
        <f t="shared" si="714"/>
        <v>0</v>
      </c>
      <c r="N4606" s="11">
        <f t="shared" si="715"/>
        <v>0</v>
      </c>
      <c r="O4606" s="11">
        <f t="shared" si="716"/>
        <v>0</v>
      </c>
      <c r="P4606" s="12">
        <f t="shared" si="717"/>
        <v>0</v>
      </c>
      <c r="Q4606" s="17" t="str">
        <f t="shared" si="719"/>
        <v>Pas d'écart</v>
      </c>
    </row>
    <row r="4607" spans="1:18" x14ac:dyDescent="0.3">
      <c r="A4607" s="34" t="str">
        <f>base!J4607</f>
        <v>RS</v>
      </c>
      <c r="B4607" s="34" t="str">
        <f>base!V4607</f>
        <v>92500</v>
      </c>
      <c r="C4607" s="37">
        <v>92</v>
      </c>
      <c r="D4607" s="36">
        <f>base!H4607</f>
        <v>90</v>
      </c>
      <c r="E4607" s="44"/>
      <c r="F4607" s="16">
        <f>base!W4607</f>
        <v>0</v>
      </c>
      <c r="G4607" s="11">
        <f t="shared" si="710"/>
        <v>0</v>
      </c>
      <c r="H4607" s="11">
        <f t="shared" si="711"/>
        <v>0</v>
      </c>
      <c r="I4607" s="11">
        <f t="shared" si="712"/>
        <v>0</v>
      </c>
      <c r="J4607" s="12">
        <f t="shared" si="713"/>
        <v>0</v>
      </c>
      <c r="K4607" s="17" t="str">
        <f t="shared" si="718"/>
        <v>Pas d'écart</v>
      </c>
      <c r="L4607" s="16">
        <f>base!X4607</f>
        <v>0</v>
      </c>
      <c r="M4607" s="11">
        <f t="shared" si="714"/>
        <v>0</v>
      </c>
      <c r="N4607" s="11">
        <f t="shared" si="715"/>
        <v>0</v>
      </c>
      <c r="O4607" s="11">
        <f t="shared" si="716"/>
        <v>0</v>
      </c>
      <c r="P4607" s="12">
        <f t="shared" si="717"/>
        <v>0</v>
      </c>
      <c r="Q4607" s="17" t="str">
        <f t="shared" si="719"/>
        <v>Pas d'écart</v>
      </c>
    </row>
    <row r="4608" spans="1:18" x14ac:dyDescent="0.3">
      <c r="A4608" s="34" t="str">
        <f>base!J4608</f>
        <v>LS</v>
      </c>
      <c r="B4608" s="34" t="str">
        <f>base!V4608</f>
        <v>10120</v>
      </c>
      <c r="C4608" s="37">
        <v>1</v>
      </c>
      <c r="D4608" s="36">
        <f>base!H4608</f>
        <v>35</v>
      </c>
      <c r="E4608" s="44"/>
      <c r="F4608" s="16">
        <f>base!W4608</f>
        <v>8.4</v>
      </c>
      <c r="G4608" s="11">
        <f t="shared" si="710"/>
        <v>0.24000000000000002</v>
      </c>
      <c r="H4608" s="11">
        <f t="shared" si="711"/>
        <v>9.1</v>
      </c>
      <c r="I4608" s="11">
        <f t="shared" si="712"/>
        <v>0.26</v>
      </c>
      <c r="J4608" s="12">
        <f t="shared" si="713"/>
        <v>-0.69999999999999929</v>
      </c>
      <c r="K4608" s="17" t="str">
        <f t="shared" si="718"/>
        <v>Ecart négatif</v>
      </c>
      <c r="L4608" s="16">
        <f>base!X4608</f>
        <v>0</v>
      </c>
      <c r="M4608" s="11">
        <f t="shared" si="714"/>
        <v>0</v>
      </c>
      <c r="N4608" s="11">
        <f t="shared" si="715"/>
        <v>0</v>
      </c>
      <c r="O4608" s="11">
        <f t="shared" si="716"/>
        <v>0</v>
      </c>
      <c r="P4608" s="12">
        <f t="shared" si="717"/>
        <v>0</v>
      </c>
      <c r="Q4608" s="17" t="str">
        <f t="shared" si="719"/>
        <v>Pas d'écart</v>
      </c>
    </row>
    <row r="4609" spans="1:17" x14ac:dyDescent="0.3">
      <c r="A4609" s="34" t="str">
        <f>base!J4609</f>
        <v>RS</v>
      </c>
      <c r="B4609" s="34" t="str">
        <f>base!V4609</f>
        <v>75006</v>
      </c>
      <c r="C4609" s="37">
        <v>75</v>
      </c>
      <c r="D4609" s="36">
        <f>base!H4609</f>
        <v>215.06</v>
      </c>
      <c r="E4609" s="44"/>
      <c r="F4609" s="16">
        <f>base!W4609</f>
        <v>0</v>
      </c>
      <c r="G4609" s="11">
        <f t="shared" si="710"/>
        <v>0</v>
      </c>
      <c r="H4609" s="11">
        <f t="shared" si="711"/>
        <v>0</v>
      </c>
      <c r="I4609" s="11">
        <f t="shared" si="712"/>
        <v>0</v>
      </c>
      <c r="J4609" s="12">
        <f t="shared" si="713"/>
        <v>0</v>
      </c>
      <c r="K4609" s="17" t="str">
        <f t="shared" si="718"/>
        <v>Pas d'écart</v>
      </c>
      <c r="L4609" s="16">
        <f>base!X4609</f>
        <v>0</v>
      </c>
      <c r="M4609" s="11">
        <f t="shared" si="714"/>
        <v>0</v>
      </c>
      <c r="N4609" s="11">
        <f t="shared" si="715"/>
        <v>0</v>
      </c>
      <c r="O4609" s="11">
        <f t="shared" si="716"/>
        <v>0</v>
      </c>
      <c r="P4609" s="12">
        <f t="shared" si="717"/>
        <v>0</v>
      </c>
      <c r="Q4609" s="17" t="str">
        <f t="shared" si="719"/>
        <v>Pas d'écart</v>
      </c>
    </row>
    <row r="4610" spans="1:17" x14ac:dyDescent="0.3">
      <c r="A4610" s="34" t="str">
        <f>base!J4610</f>
        <v>LM</v>
      </c>
      <c r="B4610" s="34" t="str">
        <f>base!V4610</f>
        <v>59880</v>
      </c>
      <c r="C4610" s="37">
        <v>35</v>
      </c>
      <c r="D4610" s="36">
        <f>base!H4610</f>
        <v>220.36</v>
      </c>
      <c r="E4610" s="44"/>
      <c r="F4610" s="16">
        <f>base!W4610</f>
        <v>41.87</v>
      </c>
      <c r="G4610" s="11">
        <f t="shared" ref="G4610:G4673" si="720">F4610/D4610</f>
        <v>0.19000726084588851</v>
      </c>
      <c r="H4610" s="11">
        <f t="shared" ref="H4610:H4673" si="721">VLOOKUP(C4610,tout_cout_traction,2,FALSE)*D4610</f>
        <v>59.497200000000007</v>
      </c>
      <c r="I4610" s="11">
        <f t="shared" ref="I4610:I4673" si="722">H4610/D4610</f>
        <v>0.27</v>
      </c>
      <c r="J4610" s="12">
        <f t="shared" ref="J4610:J4673" si="723">F4610-H4610</f>
        <v>-17.627200000000009</v>
      </c>
      <c r="K4610" s="17" t="str">
        <f t="shared" si="718"/>
        <v>Ecart négatif</v>
      </c>
      <c r="L4610" s="16">
        <f>base!X4610</f>
        <v>0</v>
      </c>
      <c r="M4610" s="11">
        <f t="shared" ref="M4610:M4673" si="724">L4610/D4610</f>
        <v>0</v>
      </c>
      <c r="N4610" s="11">
        <f t="shared" ref="N4610:N4673" si="725">VLOOKUP(C4610,tout_cout_traction,3,FALSE)*D4610</f>
        <v>0</v>
      </c>
      <c r="O4610" s="11">
        <f t="shared" ref="O4610:O4673" si="726">N4610/D4610</f>
        <v>0</v>
      </c>
      <c r="P4610" s="12">
        <f t="shared" ref="P4610:P4673" si="727">L4610-N4610</f>
        <v>0</v>
      </c>
      <c r="Q4610" s="17" t="str">
        <f t="shared" si="719"/>
        <v>Pas d'écart</v>
      </c>
    </row>
    <row r="4611" spans="1:17" x14ac:dyDescent="0.3">
      <c r="A4611" s="34" t="str">
        <f>base!J4611</f>
        <v>LS</v>
      </c>
      <c r="B4611" s="34" t="str">
        <f>base!V4611</f>
        <v>67640</v>
      </c>
      <c r="C4611" s="37">
        <v>42</v>
      </c>
      <c r="D4611" s="36">
        <f>base!H4611</f>
        <v>126.65</v>
      </c>
      <c r="E4611" s="44"/>
      <c r="F4611" s="16">
        <f>base!W4611</f>
        <v>36.729999999999997</v>
      </c>
      <c r="G4611" s="11">
        <f t="shared" si="720"/>
        <v>0.29001184366363991</v>
      </c>
      <c r="H4611" s="11">
        <f t="shared" si="721"/>
        <v>32.929000000000002</v>
      </c>
      <c r="I4611" s="11">
        <f t="shared" si="722"/>
        <v>0.26</v>
      </c>
      <c r="J4611" s="12">
        <f t="shared" si="723"/>
        <v>3.8009999999999948</v>
      </c>
      <c r="K4611" s="17" t="str">
        <f t="shared" ref="K4611:K4674" si="728">IF(H4611=F4611,"Pas d'écart",IF(H4611&lt;F4611,"Ecart positif",IF(H4611&gt;F4611,"Ecart négatif")))</f>
        <v>Ecart positif</v>
      </c>
      <c r="L4611" s="16">
        <f>base!X4611</f>
        <v>0</v>
      </c>
      <c r="M4611" s="11">
        <f t="shared" si="724"/>
        <v>0</v>
      </c>
      <c r="N4611" s="11">
        <f t="shared" si="725"/>
        <v>0</v>
      </c>
      <c r="O4611" s="11">
        <f t="shared" si="726"/>
        <v>0</v>
      </c>
      <c r="P4611" s="12">
        <f t="shared" si="727"/>
        <v>0</v>
      </c>
      <c r="Q4611" s="17" t="str">
        <f t="shared" ref="Q4611:Q4674" si="729">IF(N4611=L4611,"Pas d'écart",IF(N4611&lt;L4611,"Ecart positif",IF(N4611&gt;L4611,"Ecart négatif")))</f>
        <v>Pas d'écart</v>
      </c>
    </row>
    <row r="4612" spans="1:17" x14ac:dyDescent="0.3">
      <c r="A4612" s="34">
        <f>base!J4612</f>
        <v>0</v>
      </c>
      <c r="B4612" s="34" t="str">
        <f>base!V4612</f>
        <v>77184</v>
      </c>
      <c r="C4612" s="37">
        <v>77</v>
      </c>
      <c r="D4612" s="36">
        <f>base!H4612</f>
        <v>84.5</v>
      </c>
      <c r="E4612" s="44"/>
      <c r="F4612" s="16">
        <f>base!W4612</f>
        <v>0</v>
      </c>
      <c r="G4612" s="11">
        <f t="shared" si="720"/>
        <v>0</v>
      </c>
      <c r="H4612" s="11">
        <f t="shared" si="721"/>
        <v>0</v>
      </c>
      <c r="I4612" s="11">
        <f t="shared" si="722"/>
        <v>0</v>
      </c>
      <c r="J4612" s="12">
        <f t="shared" si="723"/>
        <v>0</v>
      </c>
      <c r="K4612" s="17" t="str">
        <f t="shared" si="728"/>
        <v>Pas d'écart</v>
      </c>
      <c r="L4612" s="16">
        <f>base!X4612</f>
        <v>0</v>
      </c>
      <c r="M4612" s="11">
        <f t="shared" si="724"/>
        <v>0</v>
      </c>
      <c r="N4612" s="11">
        <f t="shared" si="725"/>
        <v>0</v>
      </c>
      <c r="O4612" s="11">
        <f t="shared" si="726"/>
        <v>0</v>
      </c>
      <c r="P4612" s="12">
        <f t="shared" si="727"/>
        <v>0</v>
      </c>
      <c r="Q4612" s="17" t="str">
        <f t="shared" si="729"/>
        <v>Pas d'écart</v>
      </c>
    </row>
    <row r="4613" spans="1:17" x14ac:dyDescent="0.3">
      <c r="A4613" s="34">
        <f>base!J4613</f>
        <v>0</v>
      </c>
      <c r="B4613" s="34" t="str">
        <f>base!V4613</f>
        <v>77184</v>
      </c>
      <c r="C4613" s="37">
        <v>77</v>
      </c>
      <c r="D4613" s="36">
        <f>base!H4613</f>
        <v>129</v>
      </c>
      <c r="E4613" s="44"/>
      <c r="F4613" s="16">
        <f>base!W4613</f>
        <v>0</v>
      </c>
      <c r="G4613" s="11">
        <f t="shared" si="720"/>
        <v>0</v>
      </c>
      <c r="H4613" s="11">
        <f t="shared" si="721"/>
        <v>0</v>
      </c>
      <c r="I4613" s="11">
        <f t="shared" si="722"/>
        <v>0</v>
      </c>
      <c r="J4613" s="12">
        <f t="shared" si="723"/>
        <v>0</v>
      </c>
      <c r="K4613" s="17" t="str">
        <f t="shared" si="728"/>
        <v>Pas d'écart</v>
      </c>
      <c r="L4613" s="16">
        <f>base!X4613</f>
        <v>0</v>
      </c>
      <c r="M4613" s="11">
        <f t="shared" si="724"/>
        <v>0</v>
      </c>
      <c r="N4613" s="11">
        <f t="shared" si="725"/>
        <v>0</v>
      </c>
      <c r="O4613" s="11">
        <f t="shared" si="726"/>
        <v>0</v>
      </c>
      <c r="P4613" s="12">
        <f t="shared" si="727"/>
        <v>0</v>
      </c>
      <c r="Q4613" s="17" t="str">
        <f t="shared" si="729"/>
        <v>Pas d'écart</v>
      </c>
    </row>
    <row r="4614" spans="1:17" x14ac:dyDescent="0.3">
      <c r="A4614" s="34">
        <f>base!J4614</f>
        <v>0</v>
      </c>
      <c r="B4614" s="34" t="str">
        <f>base!V4614</f>
        <v>77184</v>
      </c>
      <c r="C4614" s="37">
        <v>77</v>
      </c>
      <c r="D4614" s="36">
        <f>base!H4614</f>
        <v>105</v>
      </c>
      <c r="E4614" s="44"/>
      <c r="F4614" s="16">
        <f>base!W4614</f>
        <v>0</v>
      </c>
      <c r="G4614" s="11">
        <f t="shared" si="720"/>
        <v>0</v>
      </c>
      <c r="H4614" s="11">
        <f t="shared" si="721"/>
        <v>0</v>
      </c>
      <c r="I4614" s="11">
        <f t="shared" si="722"/>
        <v>0</v>
      </c>
      <c r="J4614" s="12">
        <f t="shared" si="723"/>
        <v>0</v>
      </c>
      <c r="K4614" s="17" t="str">
        <f t="shared" si="728"/>
        <v>Pas d'écart</v>
      </c>
      <c r="L4614" s="16">
        <f>base!X4614</f>
        <v>0</v>
      </c>
      <c r="M4614" s="11">
        <f t="shared" si="724"/>
        <v>0</v>
      </c>
      <c r="N4614" s="11">
        <f t="shared" si="725"/>
        <v>0</v>
      </c>
      <c r="O4614" s="11">
        <f t="shared" si="726"/>
        <v>0</v>
      </c>
      <c r="P4614" s="12">
        <f t="shared" si="727"/>
        <v>0</v>
      </c>
      <c r="Q4614" s="17" t="str">
        <f t="shared" si="729"/>
        <v>Pas d'écart</v>
      </c>
    </row>
    <row r="4615" spans="1:17" x14ac:dyDescent="0.3">
      <c r="A4615" s="34" t="str">
        <f>base!J4615</f>
        <v>LM</v>
      </c>
      <c r="B4615" s="34" t="str">
        <f>base!V4615</f>
        <v>75010</v>
      </c>
      <c r="C4615" s="37">
        <v>75</v>
      </c>
      <c r="D4615" s="36">
        <f>base!H4615</f>
        <v>148.78</v>
      </c>
      <c r="E4615" s="44"/>
      <c r="F4615" s="16">
        <f>base!W4615</f>
        <v>0</v>
      </c>
      <c r="G4615" s="11">
        <f t="shared" si="720"/>
        <v>0</v>
      </c>
      <c r="H4615" s="11">
        <f t="shared" si="721"/>
        <v>0</v>
      </c>
      <c r="I4615" s="11">
        <f t="shared" si="722"/>
        <v>0</v>
      </c>
      <c r="J4615" s="12">
        <f t="shared" si="723"/>
        <v>0</v>
      </c>
      <c r="K4615" s="17" t="str">
        <f t="shared" si="728"/>
        <v>Pas d'écart</v>
      </c>
      <c r="L4615" s="16">
        <f>base!X4615</f>
        <v>0</v>
      </c>
      <c r="M4615" s="11">
        <f t="shared" si="724"/>
        <v>0</v>
      </c>
      <c r="N4615" s="11">
        <f t="shared" si="725"/>
        <v>0</v>
      </c>
      <c r="O4615" s="11">
        <f t="shared" si="726"/>
        <v>0</v>
      </c>
      <c r="P4615" s="12">
        <f t="shared" si="727"/>
        <v>0</v>
      </c>
      <c r="Q4615" s="17" t="str">
        <f t="shared" si="729"/>
        <v>Pas d'écart</v>
      </c>
    </row>
    <row r="4616" spans="1:17" x14ac:dyDescent="0.3">
      <c r="A4616" s="34" t="str">
        <f>base!J4616</f>
        <v>LM</v>
      </c>
      <c r="B4616" s="34" t="str">
        <f>base!V4616</f>
        <v>45000</v>
      </c>
      <c r="C4616" s="37">
        <v>69</v>
      </c>
      <c r="D4616" s="36">
        <f>base!H4616</f>
        <v>22.62</v>
      </c>
      <c r="E4616" s="44"/>
      <c r="F4616" s="16">
        <f>base!W4616</f>
        <v>4.75</v>
      </c>
      <c r="G4616" s="11">
        <f t="shared" si="720"/>
        <v>0.20999115826702033</v>
      </c>
      <c r="H4616" s="11">
        <f t="shared" si="721"/>
        <v>6.1074000000000011</v>
      </c>
      <c r="I4616" s="11">
        <f t="shared" si="722"/>
        <v>0.27</v>
      </c>
      <c r="J4616" s="12">
        <f t="shared" si="723"/>
        <v>-1.3574000000000011</v>
      </c>
      <c r="K4616" s="17" t="str">
        <f t="shared" si="728"/>
        <v>Ecart négatif</v>
      </c>
      <c r="L4616" s="16">
        <f>base!X4616</f>
        <v>0</v>
      </c>
      <c r="M4616" s="11">
        <f t="shared" si="724"/>
        <v>0</v>
      </c>
      <c r="N4616" s="11">
        <f t="shared" si="725"/>
        <v>0</v>
      </c>
      <c r="O4616" s="11">
        <f t="shared" si="726"/>
        <v>0</v>
      </c>
      <c r="P4616" s="12">
        <f t="shared" si="727"/>
        <v>0</v>
      </c>
      <c r="Q4616" s="17" t="str">
        <f t="shared" si="729"/>
        <v>Pas d'écart</v>
      </c>
    </row>
    <row r="4617" spans="1:17" x14ac:dyDescent="0.3">
      <c r="A4617" s="34">
        <f>base!J4617</f>
        <v>0</v>
      </c>
      <c r="B4617" s="34" t="str">
        <f>base!V4617</f>
        <v>77184</v>
      </c>
      <c r="C4617" s="37">
        <v>77</v>
      </c>
      <c r="D4617" s="36">
        <f>base!H4617</f>
        <v>290</v>
      </c>
      <c r="E4617" s="44"/>
      <c r="F4617" s="16">
        <f>base!W4617</f>
        <v>0</v>
      </c>
      <c r="G4617" s="11">
        <f t="shared" si="720"/>
        <v>0</v>
      </c>
      <c r="H4617" s="11">
        <f t="shared" si="721"/>
        <v>0</v>
      </c>
      <c r="I4617" s="11">
        <f t="shared" si="722"/>
        <v>0</v>
      </c>
      <c r="J4617" s="12">
        <f t="shared" si="723"/>
        <v>0</v>
      </c>
      <c r="K4617" s="17" t="str">
        <f t="shared" si="728"/>
        <v>Pas d'écart</v>
      </c>
      <c r="L4617" s="16">
        <f>base!X4617</f>
        <v>0</v>
      </c>
      <c r="M4617" s="11">
        <f t="shared" si="724"/>
        <v>0</v>
      </c>
      <c r="N4617" s="11">
        <f t="shared" si="725"/>
        <v>0</v>
      </c>
      <c r="O4617" s="11">
        <f t="shared" si="726"/>
        <v>0</v>
      </c>
      <c r="P4617" s="12">
        <f t="shared" si="727"/>
        <v>0</v>
      </c>
      <c r="Q4617" s="17" t="str">
        <f t="shared" si="729"/>
        <v>Pas d'écart</v>
      </c>
    </row>
    <row r="4618" spans="1:17" x14ac:dyDescent="0.3">
      <c r="A4618" s="34" t="str">
        <f>base!J4618</f>
        <v>RM</v>
      </c>
      <c r="B4618" s="34" t="str">
        <f>base!V4618</f>
        <v>62000</v>
      </c>
      <c r="C4618" s="37">
        <v>62</v>
      </c>
      <c r="D4618" s="36">
        <f>base!H4618</f>
        <v>33.6</v>
      </c>
      <c r="E4618" s="44"/>
      <c r="F4618" s="16">
        <f>base!W4618</f>
        <v>0</v>
      </c>
      <c r="G4618" s="11">
        <f t="shared" si="720"/>
        <v>0</v>
      </c>
      <c r="H4618" s="11">
        <f t="shared" si="721"/>
        <v>6.3840000000000003</v>
      </c>
      <c r="I4618" s="11">
        <f t="shared" si="722"/>
        <v>0.19</v>
      </c>
      <c r="J4618" s="12">
        <f t="shared" si="723"/>
        <v>-6.3840000000000003</v>
      </c>
      <c r="K4618" s="17" t="str">
        <f t="shared" si="728"/>
        <v>Ecart négatif</v>
      </c>
      <c r="L4618" s="16">
        <f>base!X4618</f>
        <v>0</v>
      </c>
      <c r="M4618" s="11">
        <f t="shared" si="724"/>
        <v>0</v>
      </c>
      <c r="N4618" s="11">
        <f t="shared" si="725"/>
        <v>0</v>
      </c>
      <c r="O4618" s="11">
        <f t="shared" si="726"/>
        <v>0</v>
      </c>
      <c r="P4618" s="12">
        <f t="shared" si="727"/>
        <v>0</v>
      </c>
      <c r="Q4618" s="17" t="str">
        <f t="shared" si="729"/>
        <v>Pas d'écart</v>
      </c>
    </row>
    <row r="4619" spans="1:17" x14ac:dyDescent="0.3">
      <c r="A4619" s="34" t="str">
        <f>base!J4619</f>
        <v>RM</v>
      </c>
      <c r="B4619" s="34" t="str">
        <f>base!V4619</f>
        <v>59600</v>
      </c>
      <c r="C4619" s="37">
        <v>59</v>
      </c>
      <c r="D4619" s="36">
        <f>base!H4619</f>
        <v>25</v>
      </c>
      <c r="E4619" s="44"/>
      <c r="F4619" s="16">
        <f>base!W4619</f>
        <v>0</v>
      </c>
      <c r="G4619" s="11">
        <f t="shared" si="720"/>
        <v>0</v>
      </c>
      <c r="H4619" s="11">
        <f t="shared" si="721"/>
        <v>4.75</v>
      </c>
      <c r="I4619" s="11">
        <f t="shared" si="722"/>
        <v>0.19</v>
      </c>
      <c r="J4619" s="12">
        <f t="shared" si="723"/>
        <v>-4.75</v>
      </c>
      <c r="K4619" s="17" t="str">
        <f t="shared" si="728"/>
        <v>Ecart négatif</v>
      </c>
      <c r="L4619" s="16">
        <f>base!X4619</f>
        <v>0</v>
      </c>
      <c r="M4619" s="11">
        <f t="shared" si="724"/>
        <v>0</v>
      </c>
      <c r="N4619" s="11">
        <f t="shared" si="725"/>
        <v>0</v>
      </c>
      <c r="O4619" s="11">
        <f t="shared" si="726"/>
        <v>0</v>
      </c>
      <c r="P4619" s="12">
        <f t="shared" si="727"/>
        <v>0</v>
      </c>
      <c r="Q4619" s="17" t="str">
        <f t="shared" si="729"/>
        <v>Pas d'écart</v>
      </c>
    </row>
    <row r="4620" spans="1:17" x14ac:dyDescent="0.3">
      <c r="A4620" s="34" t="str">
        <f>base!J4620</f>
        <v>LM</v>
      </c>
      <c r="B4620" s="34" t="str">
        <f>base!V4620</f>
        <v>94150</v>
      </c>
      <c r="C4620" s="37">
        <v>94</v>
      </c>
      <c r="D4620" s="36">
        <f>base!H4620</f>
        <v>1899.07</v>
      </c>
      <c r="E4620" s="44"/>
      <c r="F4620" s="16">
        <f>base!W4620</f>
        <v>0</v>
      </c>
      <c r="G4620" s="11">
        <f t="shared" si="720"/>
        <v>0</v>
      </c>
      <c r="H4620" s="11">
        <f t="shared" si="721"/>
        <v>0</v>
      </c>
      <c r="I4620" s="11">
        <f t="shared" si="722"/>
        <v>0</v>
      </c>
      <c r="J4620" s="12">
        <f t="shared" si="723"/>
        <v>0</v>
      </c>
      <c r="K4620" s="17" t="str">
        <f t="shared" si="728"/>
        <v>Pas d'écart</v>
      </c>
      <c r="L4620" s="16">
        <f>base!X4620</f>
        <v>0</v>
      </c>
      <c r="M4620" s="11">
        <f t="shared" si="724"/>
        <v>0</v>
      </c>
      <c r="N4620" s="11">
        <f t="shared" si="725"/>
        <v>0</v>
      </c>
      <c r="O4620" s="11">
        <f t="shared" si="726"/>
        <v>0</v>
      </c>
      <c r="P4620" s="12">
        <f t="shared" si="727"/>
        <v>0</v>
      </c>
      <c r="Q4620" s="17" t="str">
        <f t="shared" si="729"/>
        <v>Pas d'écart</v>
      </c>
    </row>
    <row r="4621" spans="1:17" x14ac:dyDescent="0.3">
      <c r="A4621" s="34" t="str">
        <f>base!J4621</f>
        <v>LM</v>
      </c>
      <c r="B4621" s="34" t="str">
        <f>base!V4621</f>
        <v>78190</v>
      </c>
      <c r="C4621" s="37">
        <v>78</v>
      </c>
      <c r="D4621" s="36">
        <f>base!H4621</f>
        <v>183.83</v>
      </c>
      <c r="E4621" s="44"/>
      <c r="F4621" s="16">
        <f>base!W4621</f>
        <v>0</v>
      </c>
      <c r="G4621" s="11">
        <f t="shared" si="720"/>
        <v>0</v>
      </c>
      <c r="H4621" s="11">
        <f t="shared" si="721"/>
        <v>0</v>
      </c>
      <c r="I4621" s="11">
        <f t="shared" si="722"/>
        <v>0</v>
      </c>
      <c r="J4621" s="12">
        <f t="shared" si="723"/>
        <v>0</v>
      </c>
      <c r="K4621" s="17" t="str">
        <f t="shared" si="728"/>
        <v>Pas d'écart</v>
      </c>
      <c r="L4621" s="16">
        <f>base!X4621</f>
        <v>0</v>
      </c>
      <c r="M4621" s="11">
        <f t="shared" si="724"/>
        <v>0</v>
      </c>
      <c r="N4621" s="11">
        <f t="shared" si="725"/>
        <v>0</v>
      </c>
      <c r="O4621" s="11">
        <f t="shared" si="726"/>
        <v>0</v>
      </c>
      <c r="P4621" s="12">
        <f t="shared" si="727"/>
        <v>0</v>
      </c>
      <c r="Q4621" s="17" t="str">
        <f t="shared" si="729"/>
        <v>Pas d'écart</v>
      </c>
    </row>
    <row r="4622" spans="1:17" x14ac:dyDescent="0.3">
      <c r="A4622" s="34" t="str">
        <f>base!J4622</f>
        <v>LS</v>
      </c>
      <c r="B4622" s="34" t="str">
        <f>base!V4622</f>
        <v>45000</v>
      </c>
      <c r="C4622" s="37">
        <v>69</v>
      </c>
      <c r="D4622" s="36">
        <f>base!H4622</f>
        <v>55.34</v>
      </c>
      <c r="E4622" s="44"/>
      <c r="F4622" s="16">
        <f>base!W4622</f>
        <v>11.62</v>
      </c>
      <c r="G4622" s="11">
        <f t="shared" si="720"/>
        <v>0.2099747018431514</v>
      </c>
      <c r="H4622" s="11">
        <f t="shared" si="721"/>
        <v>14.941800000000002</v>
      </c>
      <c r="I4622" s="11">
        <f t="shared" si="722"/>
        <v>0.27</v>
      </c>
      <c r="J4622" s="12">
        <f t="shared" si="723"/>
        <v>-3.3218000000000032</v>
      </c>
      <c r="K4622" s="17" t="str">
        <f t="shared" si="728"/>
        <v>Ecart négatif</v>
      </c>
      <c r="L4622" s="16">
        <f>base!X4622</f>
        <v>0</v>
      </c>
      <c r="M4622" s="11">
        <f t="shared" si="724"/>
        <v>0</v>
      </c>
      <c r="N4622" s="11">
        <f t="shared" si="725"/>
        <v>0</v>
      </c>
      <c r="O4622" s="11">
        <f t="shared" si="726"/>
        <v>0</v>
      </c>
      <c r="P4622" s="12">
        <f t="shared" si="727"/>
        <v>0</v>
      </c>
      <c r="Q4622" s="17" t="str">
        <f t="shared" si="729"/>
        <v>Pas d'écart</v>
      </c>
    </row>
    <row r="4623" spans="1:17" x14ac:dyDescent="0.3">
      <c r="A4623" s="34" t="str">
        <f>base!J4623</f>
        <v>LS</v>
      </c>
      <c r="B4623" s="34" t="str">
        <f>base!V4623</f>
        <v>51120</v>
      </c>
      <c r="C4623" s="37">
        <v>26</v>
      </c>
      <c r="D4623" s="36">
        <f>base!H4623</f>
        <v>33.35</v>
      </c>
      <c r="E4623" s="44"/>
      <c r="F4623" s="16">
        <f>base!W4623</f>
        <v>8.34</v>
      </c>
      <c r="G4623" s="11">
        <f t="shared" si="720"/>
        <v>0.25007496251874062</v>
      </c>
      <c r="H4623" s="11">
        <f t="shared" si="721"/>
        <v>9.0045000000000002</v>
      </c>
      <c r="I4623" s="11">
        <f t="shared" si="722"/>
        <v>0.27</v>
      </c>
      <c r="J4623" s="12">
        <f t="shared" si="723"/>
        <v>-0.66450000000000031</v>
      </c>
      <c r="K4623" s="17" t="str">
        <f t="shared" si="728"/>
        <v>Ecart négatif</v>
      </c>
      <c r="L4623" s="16">
        <f>base!X4623</f>
        <v>0</v>
      </c>
      <c r="M4623" s="11">
        <f t="shared" si="724"/>
        <v>0</v>
      </c>
      <c r="N4623" s="11">
        <f t="shared" si="725"/>
        <v>0</v>
      </c>
      <c r="O4623" s="11">
        <f t="shared" si="726"/>
        <v>0</v>
      </c>
      <c r="P4623" s="12">
        <f t="shared" si="727"/>
        <v>0</v>
      </c>
      <c r="Q4623" s="17" t="str">
        <f t="shared" si="729"/>
        <v>Pas d'écart</v>
      </c>
    </row>
    <row r="4624" spans="1:17" x14ac:dyDescent="0.3">
      <c r="A4624" s="34" t="str">
        <f>base!J4624</f>
        <v>LS</v>
      </c>
      <c r="B4624" s="34" t="str">
        <f>base!V4624</f>
        <v>69360</v>
      </c>
      <c r="C4624" s="37">
        <v>69</v>
      </c>
      <c r="D4624" s="36">
        <f>base!H4624</f>
        <v>40</v>
      </c>
      <c r="E4624" s="44"/>
      <c r="F4624" s="16">
        <f>base!W4624</f>
        <v>10.8</v>
      </c>
      <c r="G4624" s="11">
        <f t="shared" si="720"/>
        <v>0.27</v>
      </c>
      <c r="H4624" s="11">
        <f t="shared" si="721"/>
        <v>10.8</v>
      </c>
      <c r="I4624" s="11">
        <f t="shared" si="722"/>
        <v>0.27</v>
      </c>
      <c r="J4624" s="12">
        <f t="shared" si="723"/>
        <v>0</v>
      </c>
      <c r="K4624" s="17" t="str">
        <f t="shared" si="728"/>
        <v>Pas d'écart</v>
      </c>
      <c r="L4624" s="16">
        <f>base!X4624</f>
        <v>0</v>
      </c>
      <c r="M4624" s="11">
        <f t="shared" si="724"/>
        <v>0</v>
      </c>
      <c r="N4624" s="11">
        <f t="shared" si="725"/>
        <v>0</v>
      </c>
      <c r="O4624" s="11">
        <f t="shared" si="726"/>
        <v>0</v>
      </c>
      <c r="P4624" s="12">
        <f t="shared" si="727"/>
        <v>0</v>
      </c>
      <c r="Q4624" s="17" t="str">
        <f t="shared" si="729"/>
        <v>Pas d'écart</v>
      </c>
    </row>
    <row r="4625" spans="1:18" x14ac:dyDescent="0.3">
      <c r="A4625" s="34" t="str">
        <f>base!J4625</f>
        <v>RS</v>
      </c>
      <c r="B4625" s="34" t="str">
        <f>base!V4625</f>
        <v>62220</v>
      </c>
      <c r="C4625" s="37">
        <v>62</v>
      </c>
      <c r="D4625" s="36">
        <f>base!H4625</f>
        <v>40</v>
      </c>
      <c r="E4625" s="44"/>
      <c r="F4625" s="16">
        <f>base!W4625</f>
        <v>0</v>
      </c>
      <c r="G4625" s="11">
        <f t="shared" si="720"/>
        <v>0</v>
      </c>
      <c r="H4625" s="11">
        <f t="shared" si="721"/>
        <v>7.6</v>
      </c>
      <c r="I4625" s="11">
        <f t="shared" si="722"/>
        <v>0.19</v>
      </c>
      <c r="J4625" s="12">
        <f t="shared" si="723"/>
        <v>-7.6</v>
      </c>
      <c r="K4625" s="17" t="str">
        <f t="shared" si="728"/>
        <v>Ecart négatif</v>
      </c>
      <c r="L4625" s="16">
        <f>base!X4625</f>
        <v>0</v>
      </c>
      <c r="M4625" s="11">
        <f t="shared" si="724"/>
        <v>0</v>
      </c>
      <c r="N4625" s="11">
        <f t="shared" si="725"/>
        <v>0</v>
      </c>
      <c r="O4625" s="11">
        <f t="shared" si="726"/>
        <v>0</v>
      </c>
      <c r="P4625" s="12">
        <f t="shared" si="727"/>
        <v>0</v>
      </c>
      <c r="Q4625" s="17" t="str">
        <f t="shared" si="729"/>
        <v>Pas d'écart</v>
      </c>
    </row>
    <row r="4626" spans="1:18" x14ac:dyDescent="0.3">
      <c r="A4626" s="34" t="str">
        <f>base!J4626</f>
        <v>RM</v>
      </c>
      <c r="B4626" s="34" t="str">
        <f>base!V4626</f>
        <v>34500</v>
      </c>
      <c r="C4626" s="37">
        <v>34</v>
      </c>
      <c r="D4626" s="36">
        <f>base!H4626</f>
        <v>180</v>
      </c>
      <c r="E4626" s="44"/>
      <c r="F4626" s="16">
        <f>base!W4626</f>
        <v>0</v>
      </c>
      <c r="G4626" s="11">
        <f t="shared" si="720"/>
        <v>0</v>
      </c>
      <c r="H4626" s="11">
        <f t="shared" si="721"/>
        <v>70.2</v>
      </c>
      <c r="I4626" s="11">
        <f t="shared" si="722"/>
        <v>0.39</v>
      </c>
      <c r="J4626" s="12">
        <f t="shared" si="723"/>
        <v>-70.2</v>
      </c>
      <c r="K4626" s="17" t="str">
        <f t="shared" si="728"/>
        <v>Ecart négatif</v>
      </c>
      <c r="L4626" s="16">
        <f>base!X4626</f>
        <v>50.4</v>
      </c>
      <c r="M4626" s="11">
        <f t="shared" si="724"/>
        <v>0.27999999999999997</v>
      </c>
      <c r="N4626" s="11">
        <f t="shared" si="725"/>
        <v>50.400000000000006</v>
      </c>
      <c r="O4626" s="11">
        <f t="shared" si="726"/>
        <v>0.28000000000000003</v>
      </c>
      <c r="P4626" s="12">
        <f t="shared" si="727"/>
        <v>0</v>
      </c>
      <c r="Q4626" s="17" t="str">
        <f t="shared" si="729"/>
        <v>Pas d'écart</v>
      </c>
      <c r="R4626" s="38"/>
    </row>
    <row r="4627" spans="1:18" x14ac:dyDescent="0.3">
      <c r="A4627" s="34" t="str">
        <f>base!J4627</f>
        <v>RS</v>
      </c>
      <c r="B4627" s="34" t="str">
        <f>base!V4627</f>
        <v>34500</v>
      </c>
      <c r="C4627" s="37">
        <v>34</v>
      </c>
      <c r="D4627" s="36">
        <f>base!H4627</f>
        <v>180</v>
      </c>
      <c r="E4627" s="44"/>
      <c r="F4627" s="16">
        <f>base!W4627</f>
        <v>0</v>
      </c>
      <c r="G4627" s="11">
        <f t="shared" si="720"/>
        <v>0</v>
      </c>
      <c r="H4627" s="11">
        <f t="shared" si="721"/>
        <v>70.2</v>
      </c>
      <c r="I4627" s="11">
        <f t="shared" si="722"/>
        <v>0.39</v>
      </c>
      <c r="J4627" s="12">
        <f t="shared" si="723"/>
        <v>-70.2</v>
      </c>
      <c r="K4627" s="17" t="str">
        <f t="shared" si="728"/>
        <v>Ecart négatif</v>
      </c>
      <c r="L4627" s="16">
        <f>base!X4627</f>
        <v>50.4</v>
      </c>
      <c r="M4627" s="11">
        <f t="shared" si="724"/>
        <v>0.27999999999999997</v>
      </c>
      <c r="N4627" s="11">
        <f t="shared" si="725"/>
        <v>50.400000000000006</v>
      </c>
      <c r="O4627" s="11">
        <f t="shared" si="726"/>
        <v>0.28000000000000003</v>
      </c>
      <c r="P4627" s="12">
        <f t="shared" si="727"/>
        <v>0</v>
      </c>
      <c r="Q4627" s="17" t="str">
        <f t="shared" si="729"/>
        <v>Pas d'écart</v>
      </c>
      <c r="R4627" s="38"/>
    </row>
    <row r="4628" spans="1:18" x14ac:dyDescent="0.3">
      <c r="A4628" s="34" t="str">
        <f>base!J4628</f>
        <v>RM</v>
      </c>
      <c r="B4628" s="34" t="str">
        <f>base!V4628</f>
        <v>69007</v>
      </c>
      <c r="C4628" s="37">
        <v>69</v>
      </c>
      <c r="D4628" s="36">
        <f>base!H4628</f>
        <v>214.52</v>
      </c>
      <c r="E4628" s="44"/>
      <c r="F4628" s="16">
        <f>base!W4628</f>
        <v>0</v>
      </c>
      <c r="G4628" s="11">
        <f t="shared" si="720"/>
        <v>0</v>
      </c>
      <c r="H4628" s="11">
        <f t="shared" si="721"/>
        <v>57.920400000000008</v>
      </c>
      <c r="I4628" s="11">
        <f t="shared" si="722"/>
        <v>0.27</v>
      </c>
      <c r="J4628" s="12">
        <f t="shared" si="723"/>
        <v>-57.920400000000008</v>
      </c>
      <c r="K4628" s="17" t="str">
        <f t="shared" si="728"/>
        <v>Ecart négatif</v>
      </c>
      <c r="L4628" s="16">
        <f>base!X4628</f>
        <v>0</v>
      </c>
      <c r="M4628" s="11">
        <f t="shared" si="724"/>
        <v>0</v>
      </c>
      <c r="N4628" s="11">
        <f t="shared" si="725"/>
        <v>0</v>
      </c>
      <c r="O4628" s="11">
        <f t="shared" si="726"/>
        <v>0</v>
      </c>
      <c r="P4628" s="12">
        <f t="shared" si="727"/>
        <v>0</v>
      </c>
      <c r="Q4628" s="17" t="str">
        <f t="shared" si="729"/>
        <v>Pas d'écart</v>
      </c>
    </row>
    <row r="4629" spans="1:18" x14ac:dyDescent="0.3">
      <c r="A4629" s="34" t="str">
        <f>base!J4629</f>
        <v>RS</v>
      </c>
      <c r="B4629" s="34" t="str">
        <f>base!V4629</f>
        <v>69680</v>
      </c>
      <c r="C4629" s="37">
        <v>69</v>
      </c>
      <c r="D4629" s="36">
        <f>base!H4629</f>
        <v>31.63</v>
      </c>
      <c r="E4629" s="44"/>
      <c r="F4629" s="16">
        <f>base!W4629</f>
        <v>0</v>
      </c>
      <c r="G4629" s="11">
        <f t="shared" si="720"/>
        <v>0</v>
      </c>
      <c r="H4629" s="11">
        <f t="shared" si="721"/>
        <v>8.5401000000000007</v>
      </c>
      <c r="I4629" s="11">
        <f t="shared" si="722"/>
        <v>0.27</v>
      </c>
      <c r="J4629" s="12">
        <f t="shared" si="723"/>
        <v>-8.5401000000000007</v>
      </c>
      <c r="K4629" s="17" t="str">
        <f t="shared" si="728"/>
        <v>Ecart négatif</v>
      </c>
      <c r="L4629" s="16">
        <f>base!X4629</f>
        <v>0</v>
      </c>
      <c r="M4629" s="11">
        <f t="shared" si="724"/>
        <v>0</v>
      </c>
      <c r="N4629" s="11">
        <f t="shared" si="725"/>
        <v>0</v>
      </c>
      <c r="O4629" s="11">
        <f t="shared" si="726"/>
        <v>0</v>
      </c>
      <c r="P4629" s="12">
        <f t="shared" si="727"/>
        <v>0</v>
      </c>
      <c r="Q4629" s="17" t="str">
        <f t="shared" si="729"/>
        <v>Pas d'écart</v>
      </c>
    </row>
    <row r="4630" spans="1:18" x14ac:dyDescent="0.3">
      <c r="A4630" s="34" t="str">
        <f>base!J4630</f>
        <v>LS</v>
      </c>
      <c r="B4630" s="34" t="str">
        <f>base!V4630</f>
        <v>67670</v>
      </c>
      <c r="C4630" s="37">
        <v>35</v>
      </c>
      <c r="D4630" s="36">
        <f>base!H4630</f>
        <v>97.28</v>
      </c>
      <c r="E4630" s="44"/>
      <c r="F4630" s="16">
        <f>base!W4630</f>
        <v>28.21</v>
      </c>
      <c r="G4630" s="11">
        <f t="shared" si="720"/>
        <v>0.28998766447368424</v>
      </c>
      <c r="H4630" s="11">
        <f t="shared" si="721"/>
        <v>26.265600000000003</v>
      </c>
      <c r="I4630" s="11">
        <f t="shared" si="722"/>
        <v>0.27</v>
      </c>
      <c r="J4630" s="12">
        <f t="shared" si="723"/>
        <v>1.9443999999999981</v>
      </c>
      <c r="K4630" s="17" t="str">
        <f t="shared" si="728"/>
        <v>Ecart positif</v>
      </c>
      <c r="L4630" s="16">
        <f>base!X4630</f>
        <v>0</v>
      </c>
      <c r="M4630" s="11">
        <f t="shared" si="724"/>
        <v>0</v>
      </c>
      <c r="N4630" s="11">
        <f t="shared" si="725"/>
        <v>0</v>
      </c>
      <c r="O4630" s="11">
        <f t="shared" si="726"/>
        <v>0</v>
      </c>
      <c r="P4630" s="12">
        <f t="shared" si="727"/>
        <v>0</v>
      </c>
      <c r="Q4630" s="17" t="str">
        <f t="shared" si="729"/>
        <v>Pas d'écart</v>
      </c>
    </row>
    <row r="4631" spans="1:18" x14ac:dyDescent="0.3">
      <c r="A4631" s="34" t="str">
        <f>base!J4631</f>
        <v>LM</v>
      </c>
      <c r="B4631" s="34" t="str">
        <f>base!V4631</f>
        <v>35113</v>
      </c>
      <c r="C4631" s="37">
        <v>69</v>
      </c>
      <c r="D4631" s="36">
        <f>base!H4631</f>
        <v>19.8</v>
      </c>
      <c r="E4631" s="44"/>
      <c r="F4631" s="16">
        <f>base!W4631</f>
        <v>5.35</v>
      </c>
      <c r="G4631" s="11">
        <f t="shared" si="720"/>
        <v>0.27020202020202017</v>
      </c>
      <c r="H4631" s="11">
        <f t="shared" si="721"/>
        <v>5.346000000000001</v>
      </c>
      <c r="I4631" s="11">
        <f t="shared" si="722"/>
        <v>0.27</v>
      </c>
      <c r="J4631" s="12">
        <f t="shared" si="723"/>
        <v>3.9999999999986713E-3</v>
      </c>
      <c r="K4631" s="17" t="str">
        <f t="shared" si="728"/>
        <v>Ecart positif</v>
      </c>
      <c r="L4631" s="16">
        <f>base!X4631</f>
        <v>0</v>
      </c>
      <c r="M4631" s="11">
        <f t="shared" si="724"/>
        <v>0</v>
      </c>
      <c r="N4631" s="11">
        <f t="shared" si="725"/>
        <v>0</v>
      </c>
      <c r="O4631" s="11">
        <f t="shared" si="726"/>
        <v>0</v>
      </c>
      <c r="P4631" s="12">
        <f t="shared" si="727"/>
        <v>0</v>
      </c>
      <c r="Q4631" s="17" t="str">
        <f t="shared" si="729"/>
        <v>Pas d'écart</v>
      </c>
    </row>
    <row r="4632" spans="1:18" x14ac:dyDescent="0.3">
      <c r="A4632" s="34" t="str">
        <f>base!J4632</f>
        <v>LS</v>
      </c>
      <c r="B4632" s="34" t="str">
        <f>base!V4632</f>
        <v>81500</v>
      </c>
      <c r="C4632" s="37">
        <v>71</v>
      </c>
      <c r="D4632" s="36">
        <f>base!H4632</f>
        <v>8.36</v>
      </c>
      <c r="E4632" s="44"/>
      <c r="F4632" s="16">
        <f>base!W4632</f>
        <v>1.84</v>
      </c>
      <c r="G4632" s="11">
        <f t="shared" si="720"/>
        <v>0.22009569377990434</v>
      </c>
      <c r="H4632" s="11">
        <f t="shared" si="721"/>
        <v>2.2572000000000001</v>
      </c>
      <c r="I4632" s="11">
        <f t="shared" si="722"/>
        <v>0.27</v>
      </c>
      <c r="J4632" s="12">
        <f t="shared" si="723"/>
        <v>-0.41720000000000002</v>
      </c>
      <c r="K4632" s="17" t="str">
        <f t="shared" si="728"/>
        <v>Ecart négatif</v>
      </c>
      <c r="L4632" s="16">
        <f>base!X4632</f>
        <v>0</v>
      </c>
      <c r="M4632" s="11">
        <f t="shared" si="724"/>
        <v>0</v>
      </c>
      <c r="N4632" s="11">
        <f t="shared" si="725"/>
        <v>0</v>
      </c>
      <c r="O4632" s="11">
        <f t="shared" si="726"/>
        <v>0</v>
      </c>
      <c r="P4632" s="12">
        <f t="shared" si="727"/>
        <v>0</v>
      </c>
      <c r="Q4632" s="17" t="str">
        <f t="shared" si="729"/>
        <v>Pas d'écart</v>
      </c>
    </row>
    <row r="4633" spans="1:18" x14ac:dyDescent="0.3">
      <c r="A4633" s="34">
        <f>base!J4633</f>
        <v>0</v>
      </c>
      <c r="B4633" s="34" t="str">
        <f>base!V4633</f>
        <v>77184</v>
      </c>
      <c r="C4633" s="37">
        <v>77</v>
      </c>
      <c r="D4633" s="36">
        <f>base!H4633</f>
        <v>197</v>
      </c>
      <c r="E4633" s="44"/>
      <c r="F4633" s="16">
        <f>base!W4633</f>
        <v>0</v>
      </c>
      <c r="G4633" s="11">
        <f t="shared" si="720"/>
        <v>0</v>
      </c>
      <c r="H4633" s="11">
        <f t="shared" si="721"/>
        <v>0</v>
      </c>
      <c r="I4633" s="11">
        <f t="shared" si="722"/>
        <v>0</v>
      </c>
      <c r="J4633" s="12">
        <f t="shared" si="723"/>
        <v>0</v>
      </c>
      <c r="K4633" s="17" t="str">
        <f t="shared" si="728"/>
        <v>Pas d'écart</v>
      </c>
      <c r="L4633" s="16">
        <f>base!X4633</f>
        <v>0</v>
      </c>
      <c r="M4633" s="11">
        <f t="shared" si="724"/>
        <v>0</v>
      </c>
      <c r="N4633" s="11">
        <f t="shared" si="725"/>
        <v>0</v>
      </c>
      <c r="O4633" s="11">
        <f t="shared" si="726"/>
        <v>0</v>
      </c>
      <c r="P4633" s="12">
        <f t="shared" si="727"/>
        <v>0</v>
      </c>
      <c r="Q4633" s="17" t="str">
        <f t="shared" si="729"/>
        <v>Pas d'écart</v>
      </c>
    </row>
    <row r="4634" spans="1:18" x14ac:dyDescent="0.3">
      <c r="A4634" s="34">
        <f>base!J4634</f>
        <v>0</v>
      </c>
      <c r="B4634" s="34" t="str">
        <f>base!V4634</f>
        <v>77184</v>
      </c>
      <c r="C4634" s="37">
        <v>77</v>
      </c>
      <c r="D4634" s="36">
        <f>base!H4634</f>
        <v>31</v>
      </c>
      <c r="E4634" s="44"/>
      <c r="F4634" s="16">
        <f>base!W4634</f>
        <v>0</v>
      </c>
      <c r="G4634" s="11">
        <f t="shared" si="720"/>
        <v>0</v>
      </c>
      <c r="H4634" s="11">
        <f t="shared" si="721"/>
        <v>0</v>
      </c>
      <c r="I4634" s="11">
        <f t="shared" si="722"/>
        <v>0</v>
      </c>
      <c r="J4634" s="12">
        <f t="shared" si="723"/>
        <v>0</v>
      </c>
      <c r="K4634" s="17" t="str">
        <f t="shared" si="728"/>
        <v>Pas d'écart</v>
      </c>
      <c r="L4634" s="16">
        <f>base!X4634</f>
        <v>0</v>
      </c>
      <c r="M4634" s="11">
        <f t="shared" si="724"/>
        <v>0</v>
      </c>
      <c r="N4634" s="11">
        <f t="shared" si="725"/>
        <v>0</v>
      </c>
      <c r="O4634" s="11">
        <f t="shared" si="726"/>
        <v>0</v>
      </c>
      <c r="P4634" s="12">
        <f t="shared" si="727"/>
        <v>0</v>
      </c>
      <c r="Q4634" s="17" t="str">
        <f t="shared" si="729"/>
        <v>Pas d'écart</v>
      </c>
    </row>
    <row r="4635" spans="1:18" x14ac:dyDescent="0.3">
      <c r="A4635" s="34" t="str">
        <f>base!J4635</f>
        <v>LS</v>
      </c>
      <c r="B4635" s="34" t="str">
        <f>base!V4635</f>
        <v>73000</v>
      </c>
      <c r="C4635" s="37">
        <v>73</v>
      </c>
      <c r="D4635" s="36">
        <f>base!H4635</f>
        <v>40</v>
      </c>
      <c r="E4635" s="44"/>
      <c r="F4635" s="16">
        <f>base!W4635</f>
        <v>10.8</v>
      </c>
      <c r="G4635" s="11">
        <f t="shared" si="720"/>
        <v>0.27</v>
      </c>
      <c r="H4635" s="11">
        <f t="shared" si="721"/>
        <v>10.8</v>
      </c>
      <c r="I4635" s="11">
        <f t="shared" si="722"/>
        <v>0.27</v>
      </c>
      <c r="J4635" s="12">
        <f t="shared" si="723"/>
        <v>0</v>
      </c>
      <c r="K4635" s="17" t="str">
        <f t="shared" si="728"/>
        <v>Pas d'écart</v>
      </c>
      <c r="L4635" s="16">
        <f>base!X4635</f>
        <v>0</v>
      </c>
      <c r="M4635" s="11">
        <f t="shared" si="724"/>
        <v>0</v>
      </c>
      <c r="N4635" s="11">
        <f t="shared" si="725"/>
        <v>0</v>
      </c>
      <c r="O4635" s="11">
        <f t="shared" si="726"/>
        <v>0</v>
      </c>
      <c r="P4635" s="12">
        <f t="shared" si="727"/>
        <v>0</v>
      </c>
      <c r="Q4635" s="17" t="str">
        <f t="shared" si="729"/>
        <v>Pas d'écart</v>
      </c>
    </row>
    <row r="4636" spans="1:18" x14ac:dyDescent="0.3">
      <c r="A4636" s="34" t="str">
        <f>base!J4636</f>
        <v>LM</v>
      </c>
      <c r="B4636" s="34" t="str">
        <f>base!V4636</f>
        <v>59110</v>
      </c>
      <c r="C4636" s="37">
        <v>56</v>
      </c>
      <c r="D4636" s="36">
        <f>base!H4636</f>
        <v>328.14</v>
      </c>
      <c r="E4636" s="44"/>
      <c r="F4636" s="16">
        <f>base!W4636</f>
        <v>62.35</v>
      </c>
      <c r="G4636" s="11">
        <f t="shared" si="720"/>
        <v>0.19001036143109651</v>
      </c>
      <c r="H4636" s="11">
        <f t="shared" si="721"/>
        <v>88.597800000000007</v>
      </c>
      <c r="I4636" s="11">
        <f t="shared" si="722"/>
        <v>0.27</v>
      </c>
      <c r="J4636" s="12">
        <f t="shared" si="723"/>
        <v>-26.247800000000005</v>
      </c>
      <c r="K4636" s="17" t="str">
        <f t="shared" si="728"/>
        <v>Ecart négatif</v>
      </c>
      <c r="L4636" s="16">
        <f>base!X4636</f>
        <v>0</v>
      </c>
      <c r="M4636" s="11">
        <f t="shared" si="724"/>
        <v>0</v>
      </c>
      <c r="N4636" s="11">
        <f t="shared" si="725"/>
        <v>0</v>
      </c>
      <c r="O4636" s="11">
        <f t="shared" si="726"/>
        <v>0</v>
      </c>
      <c r="P4636" s="12">
        <f t="shared" si="727"/>
        <v>0</v>
      </c>
      <c r="Q4636" s="17" t="str">
        <f t="shared" si="729"/>
        <v>Pas d'écart</v>
      </c>
    </row>
    <row r="4637" spans="1:18" x14ac:dyDescent="0.3">
      <c r="A4637" s="34" t="str">
        <f>base!J4637</f>
        <v>RS</v>
      </c>
      <c r="B4637" s="34" t="str">
        <f>base!V4637</f>
        <v>08000</v>
      </c>
      <c r="C4637" s="37">
        <v>8</v>
      </c>
      <c r="D4637" s="36">
        <f>base!H4637</f>
        <v>163.98</v>
      </c>
      <c r="E4637" s="44"/>
      <c r="F4637" s="16">
        <f>base!W4637</f>
        <v>0</v>
      </c>
      <c r="G4637" s="11">
        <f t="shared" si="720"/>
        <v>0</v>
      </c>
      <c r="H4637" s="11">
        <f t="shared" si="721"/>
        <v>29.516399999999997</v>
      </c>
      <c r="I4637" s="11">
        <f t="shared" si="722"/>
        <v>0.18</v>
      </c>
      <c r="J4637" s="12">
        <f t="shared" si="723"/>
        <v>-29.516399999999997</v>
      </c>
      <c r="K4637" s="17" t="str">
        <f t="shared" si="728"/>
        <v>Ecart négatif</v>
      </c>
      <c r="L4637" s="16">
        <f>base!X4637</f>
        <v>0</v>
      </c>
      <c r="M4637" s="11">
        <f t="shared" si="724"/>
        <v>0</v>
      </c>
      <c r="N4637" s="11">
        <f t="shared" si="725"/>
        <v>0</v>
      </c>
      <c r="O4637" s="11">
        <f t="shared" si="726"/>
        <v>0</v>
      </c>
      <c r="P4637" s="12">
        <f t="shared" si="727"/>
        <v>0</v>
      </c>
      <c r="Q4637" s="17" t="str">
        <f t="shared" si="729"/>
        <v>Pas d'écart</v>
      </c>
    </row>
    <row r="4638" spans="1:18" x14ac:dyDescent="0.3">
      <c r="A4638" s="34" t="str">
        <f>base!J4638</f>
        <v>RS</v>
      </c>
      <c r="B4638" s="34" t="str">
        <f>base!V4638</f>
        <v>75007</v>
      </c>
      <c r="C4638" s="37">
        <v>75</v>
      </c>
      <c r="D4638" s="36">
        <f>base!H4638</f>
        <v>161.02000000000001</v>
      </c>
      <c r="E4638" s="44"/>
      <c r="F4638" s="16">
        <f>base!W4638</f>
        <v>0</v>
      </c>
      <c r="G4638" s="11">
        <f t="shared" si="720"/>
        <v>0</v>
      </c>
      <c r="H4638" s="11">
        <f t="shared" si="721"/>
        <v>0</v>
      </c>
      <c r="I4638" s="11">
        <f t="shared" si="722"/>
        <v>0</v>
      </c>
      <c r="J4638" s="12">
        <f t="shared" si="723"/>
        <v>0</v>
      </c>
      <c r="K4638" s="17" t="str">
        <f t="shared" si="728"/>
        <v>Pas d'écart</v>
      </c>
      <c r="L4638" s="16">
        <f>base!X4638</f>
        <v>0</v>
      </c>
      <c r="M4638" s="11">
        <f t="shared" si="724"/>
        <v>0</v>
      </c>
      <c r="N4638" s="11">
        <f t="shared" si="725"/>
        <v>0</v>
      </c>
      <c r="O4638" s="11">
        <f t="shared" si="726"/>
        <v>0</v>
      </c>
      <c r="P4638" s="12">
        <f t="shared" si="727"/>
        <v>0</v>
      </c>
      <c r="Q4638" s="17" t="str">
        <f t="shared" si="729"/>
        <v>Pas d'écart</v>
      </c>
    </row>
    <row r="4639" spans="1:18" x14ac:dyDescent="0.3">
      <c r="A4639" s="34" t="str">
        <f>base!J4639</f>
        <v>LM</v>
      </c>
      <c r="B4639" s="34" t="str">
        <f>base!V4639</f>
        <v>75010</v>
      </c>
      <c r="C4639" s="37">
        <v>75</v>
      </c>
      <c r="D4639" s="36">
        <f>base!H4639</f>
        <v>148.78</v>
      </c>
      <c r="E4639" s="44"/>
      <c r="F4639" s="16">
        <f>base!W4639</f>
        <v>0</v>
      </c>
      <c r="G4639" s="11">
        <f t="shared" si="720"/>
        <v>0</v>
      </c>
      <c r="H4639" s="11">
        <f t="shared" si="721"/>
        <v>0</v>
      </c>
      <c r="I4639" s="11">
        <f t="shared" si="722"/>
        <v>0</v>
      </c>
      <c r="J4639" s="12">
        <f t="shared" si="723"/>
        <v>0</v>
      </c>
      <c r="K4639" s="17" t="str">
        <f t="shared" si="728"/>
        <v>Pas d'écart</v>
      </c>
      <c r="L4639" s="16">
        <f>base!X4639</f>
        <v>0</v>
      </c>
      <c r="M4639" s="11">
        <f t="shared" si="724"/>
        <v>0</v>
      </c>
      <c r="N4639" s="11">
        <f t="shared" si="725"/>
        <v>0</v>
      </c>
      <c r="O4639" s="11">
        <f t="shared" si="726"/>
        <v>0</v>
      </c>
      <c r="P4639" s="12">
        <f t="shared" si="727"/>
        <v>0</v>
      </c>
      <c r="Q4639" s="17" t="str">
        <f t="shared" si="729"/>
        <v>Pas d'écart</v>
      </c>
    </row>
    <row r="4640" spans="1:18" x14ac:dyDescent="0.3">
      <c r="A4640" s="34" t="str">
        <f>base!J4640</f>
        <v>LS</v>
      </c>
      <c r="B4640" s="34" t="str">
        <f>base!V4640</f>
        <v>44840</v>
      </c>
      <c r="C4640" s="37">
        <v>74</v>
      </c>
      <c r="D4640" s="36">
        <f>base!H4640</f>
        <v>187.13</v>
      </c>
      <c r="E4640" s="44"/>
      <c r="F4640" s="16">
        <f>base!W4640</f>
        <v>50.53</v>
      </c>
      <c r="G4640" s="11">
        <f t="shared" si="720"/>
        <v>0.27002618500507669</v>
      </c>
      <c r="H4640" s="11">
        <f t="shared" si="721"/>
        <v>48.653800000000004</v>
      </c>
      <c r="I4640" s="11">
        <f t="shared" si="722"/>
        <v>0.26</v>
      </c>
      <c r="J4640" s="12">
        <f t="shared" si="723"/>
        <v>1.8761999999999972</v>
      </c>
      <c r="K4640" s="17" t="str">
        <f t="shared" si="728"/>
        <v>Ecart positif</v>
      </c>
      <c r="L4640" s="16">
        <f>base!X4640</f>
        <v>0</v>
      </c>
      <c r="M4640" s="11">
        <f t="shared" si="724"/>
        <v>0</v>
      </c>
      <c r="N4640" s="11">
        <f t="shared" si="725"/>
        <v>0</v>
      </c>
      <c r="O4640" s="11">
        <f t="shared" si="726"/>
        <v>0</v>
      </c>
      <c r="P4640" s="12">
        <f t="shared" si="727"/>
        <v>0</v>
      </c>
      <c r="Q4640" s="17" t="str">
        <f t="shared" si="729"/>
        <v>Pas d'écart</v>
      </c>
    </row>
    <row r="4641" spans="1:17" x14ac:dyDescent="0.3">
      <c r="A4641" s="34" t="str">
        <f>base!J4641</f>
        <v>LS</v>
      </c>
      <c r="B4641" s="34" t="str">
        <f>base!V4641</f>
        <v>49150</v>
      </c>
      <c r="C4641" s="37">
        <v>44</v>
      </c>
      <c r="D4641" s="36">
        <f>base!H4641</f>
        <v>130.19999999999999</v>
      </c>
      <c r="E4641" s="44"/>
      <c r="F4641" s="16">
        <f>base!W4641</f>
        <v>35.15</v>
      </c>
      <c r="G4641" s="11">
        <f t="shared" si="720"/>
        <v>0.26996927803379417</v>
      </c>
      <c r="H4641" s="11">
        <f t="shared" si="721"/>
        <v>35.153999999999996</v>
      </c>
      <c r="I4641" s="11">
        <f t="shared" si="722"/>
        <v>0.27</v>
      </c>
      <c r="J4641" s="12">
        <f t="shared" si="723"/>
        <v>-3.9999999999977831E-3</v>
      </c>
      <c r="K4641" s="17" t="str">
        <f t="shared" si="728"/>
        <v>Ecart négatif</v>
      </c>
      <c r="L4641" s="16">
        <f>base!X4641</f>
        <v>0</v>
      </c>
      <c r="M4641" s="11">
        <f t="shared" si="724"/>
        <v>0</v>
      </c>
      <c r="N4641" s="11">
        <f t="shared" si="725"/>
        <v>0</v>
      </c>
      <c r="O4641" s="11">
        <f t="shared" si="726"/>
        <v>0</v>
      </c>
      <c r="P4641" s="12">
        <f t="shared" si="727"/>
        <v>0</v>
      </c>
      <c r="Q4641" s="17" t="str">
        <f t="shared" si="729"/>
        <v>Pas d'écart</v>
      </c>
    </row>
    <row r="4642" spans="1:17" x14ac:dyDescent="0.3">
      <c r="A4642" s="34" t="str">
        <f>base!J4642</f>
        <v>LS</v>
      </c>
      <c r="B4642" s="34" t="str">
        <f>base!V4642</f>
        <v>69680</v>
      </c>
      <c r="C4642" s="37">
        <v>73</v>
      </c>
      <c r="D4642" s="36">
        <f>base!H4642</f>
        <v>38.700000000000003</v>
      </c>
      <c r="E4642" s="44"/>
      <c r="F4642" s="16">
        <f>base!W4642</f>
        <v>10.45</v>
      </c>
      <c r="G4642" s="11">
        <f t="shared" si="720"/>
        <v>0.2700258397932816</v>
      </c>
      <c r="H4642" s="11">
        <f t="shared" si="721"/>
        <v>10.449000000000002</v>
      </c>
      <c r="I4642" s="11">
        <f t="shared" si="722"/>
        <v>0.27</v>
      </c>
      <c r="J4642" s="12">
        <f t="shared" si="723"/>
        <v>9.9999999999766942E-4</v>
      </c>
      <c r="K4642" s="17" t="str">
        <f t="shared" si="728"/>
        <v>Ecart positif</v>
      </c>
      <c r="L4642" s="16">
        <f>base!X4642</f>
        <v>0</v>
      </c>
      <c r="M4642" s="11">
        <f t="shared" si="724"/>
        <v>0</v>
      </c>
      <c r="N4642" s="11">
        <f t="shared" si="725"/>
        <v>0</v>
      </c>
      <c r="O4642" s="11">
        <f t="shared" si="726"/>
        <v>0</v>
      </c>
      <c r="P4642" s="12">
        <f t="shared" si="727"/>
        <v>0</v>
      </c>
      <c r="Q4642" s="17" t="str">
        <f t="shared" si="729"/>
        <v>Pas d'écart</v>
      </c>
    </row>
    <row r="4643" spans="1:17" x14ac:dyDescent="0.3">
      <c r="A4643" s="34" t="str">
        <f>base!J4643</f>
        <v>LS</v>
      </c>
      <c r="B4643" s="34" t="str">
        <f>base!V4643</f>
        <v>59310</v>
      </c>
      <c r="C4643" s="37">
        <v>59</v>
      </c>
      <c r="D4643" s="36">
        <f>base!H4643</f>
        <v>40</v>
      </c>
      <c r="E4643" s="44"/>
      <c r="F4643" s="16">
        <f>base!W4643</f>
        <v>7.6</v>
      </c>
      <c r="G4643" s="11">
        <f t="shared" si="720"/>
        <v>0.19</v>
      </c>
      <c r="H4643" s="11">
        <f t="shared" si="721"/>
        <v>7.6</v>
      </c>
      <c r="I4643" s="11">
        <f t="shared" si="722"/>
        <v>0.19</v>
      </c>
      <c r="J4643" s="12">
        <f t="shared" si="723"/>
        <v>0</v>
      </c>
      <c r="K4643" s="17" t="str">
        <f t="shared" si="728"/>
        <v>Pas d'écart</v>
      </c>
      <c r="L4643" s="16">
        <f>base!X4643</f>
        <v>0</v>
      </c>
      <c r="M4643" s="11">
        <f t="shared" si="724"/>
        <v>0</v>
      </c>
      <c r="N4643" s="11">
        <f t="shared" si="725"/>
        <v>0</v>
      </c>
      <c r="O4643" s="11">
        <f t="shared" si="726"/>
        <v>0</v>
      </c>
      <c r="P4643" s="12">
        <f t="shared" si="727"/>
        <v>0</v>
      </c>
      <c r="Q4643" s="17" t="str">
        <f t="shared" si="729"/>
        <v>Pas d'écart</v>
      </c>
    </row>
    <row r="4644" spans="1:17" x14ac:dyDescent="0.3">
      <c r="A4644" s="34" t="str">
        <f>base!J4644</f>
        <v>LS</v>
      </c>
      <c r="B4644" s="34" t="str">
        <f>base!V4644</f>
        <v>83990</v>
      </c>
      <c r="C4644" s="37">
        <v>73</v>
      </c>
      <c r="D4644" s="36">
        <f>base!H4644</f>
        <v>25.8</v>
      </c>
      <c r="E4644" s="44"/>
      <c r="F4644" s="16">
        <f>base!W4644</f>
        <v>7.74</v>
      </c>
      <c r="G4644" s="11">
        <f t="shared" si="720"/>
        <v>0.3</v>
      </c>
      <c r="H4644" s="11">
        <f t="shared" si="721"/>
        <v>6.9660000000000011</v>
      </c>
      <c r="I4644" s="11">
        <f t="shared" si="722"/>
        <v>0.27</v>
      </c>
      <c r="J4644" s="12">
        <f t="shared" si="723"/>
        <v>0.77399999999999913</v>
      </c>
      <c r="K4644" s="17" t="str">
        <f t="shared" si="728"/>
        <v>Ecart positif</v>
      </c>
      <c r="L4644" s="16">
        <f>base!X4644</f>
        <v>0</v>
      </c>
      <c r="M4644" s="11">
        <f t="shared" si="724"/>
        <v>0</v>
      </c>
      <c r="N4644" s="11">
        <f t="shared" si="725"/>
        <v>0</v>
      </c>
      <c r="O4644" s="11">
        <f t="shared" si="726"/>
        <v>0</v>
      </c>
      <c r="P4644" s="12">
        <f t="shared" si="727"/>
        <v>0</v>
      </c>
      <c r="Q4644" s="17" t="str">
        <f t="shared" si="729"/>
        <v>Pas d'écart</v>
      </c>
    </row>
    <row r="4645" spans="1:17" x14ac:dyDescent="0.3">
      <c r="A4645" s="34" t="str">
        <f>base!J4645</f>
        <v>LM</v>
      </c>
      <c r="B4645" s="34" t="str">
        <f>base!V4645</f>
        <v>75008</v>
      </c>
      <c r="C4645" s="37">
        <v>75</v>
      </c>
      <c r="D4645" s="36">
        <f>base!H4645</f>
        <v>32.85</v>
      </c>
      <c r="E4645" s="44"/>
      <c r="F4645" s="16">
        <f>base!W4645</f>
        <v>0</v>
      </c>
      <c r="G4645" s="11">
        <f t="shared" si="720"/>
        <v>0</v>
      </c>
      <c r="H4645" s="11">
        <f t="shared" si="721"/>
        <v>0</v>
      </c>
      <c r="I4645" s="11">
        <f t="shared" si="722"/>
        <v>0</v>
      </c>
      <c r="J4645" s="12">
        <f t="shared" si="723"/>
        <v>0</v>
      </c>
      <c r="K4645" s="17" t="str">
        <f t="shared" si="728"/>
        <v>Pas d'écart</v>
      </c>
      <c r="L4645" s="16">
        <f>base!X4645</f>
        <v>0</v>
      </c>
      <c r="M4645" s="11">
        <f t="shared" si="724"/>
        <v>0</v>
      </c>
      <c r="N4645" s="11">
        <f t="shared" si="725"/>
        <v>0</v>
      </c>
      <c r="O4645" s="11">
        <f t="shared" si="726"/>
        <v>0</v>
      </c>
      <c r="P4645" s="12">
        <f t="shared" si="727"/>
        <v>0</v>
      </c>
      <c r="Q4645" s="17" t="str">
        <f t="shared" si="729"/>
        <v>Pas d'écart</v>
      </c>
    </row>
    <row r="4646" spans="1:17" x14ac:dyDescent="0.3">
      <c r="A4646" s="34" t="str">
        <f>base!J4646</f>
        <v>RM</v>
      </c>
      <c r="B4646" s="34" t="str">
        <f>base!V4646</f>
        <v>75010</v>
      </c>
      <c r="C4646" s="37">
        <v>75</v>
      </c>
      <c r="D4646" s="36">
        <f>base!H4646</f>
        <v>119.94</v>
      </c>
      <c r="E4646" s="44"/>
      <c r="F4646" s="16">
        <f>base!W4646</f>
        <v>0</v>
      </c>
      <c r="G4646" s="11">
        <f t="shared" si="720"/>
        <v>0</v>
      </c>
      <c r="H4646" s="11">
        <f t="shared" si="721"/>
        <v>0</v>
      </c>
      <c r="I4646" s="11">
        <f t="shared" si="722"/>
        <v>0</v>
      </c>
      <c r="J4646" s="12">
        <f t="shared" si="723"/>
        <v>0</v>
      </c>
      <c r="K4646" s="17" t="str">
        <f t="shared" si="728"/>
        <v>Pas d'écart</v>
      </c>
      <c r="L4646" s="16">
        <f>base!X4646</f>
        <v>0</v>
      </c>
      <c r="M4646" s="11">
        <f t="shared" si="724"/>
        <v>0</v>
      </c>
      <c r="N4646" s="11">
        <f t="shared" si="725"/>
        <v>0</v>
      </c>
      <c r="O4646" s="11">
        <f t="shared" si="726"/>
        <v>0</v>
      </c>
      <c r="P4646" s="12">
        <f t="shared" si="727"/>
        <v>0</v>
      </c>
      <c r="Q4646" s="17" t="str">
        <f t="shared" si="729"/>
        <v>Pas d'écart</v>
      </c>
    </row>
    <row r="4647" spans="1:17" x14ac:dyDescent="0.3">
      <c r="A4647" s="34">
        <f>base!J4647</f>
        <v>0</v>
      </c>
      <c r="B4647" s="34" t="str">
        <f>base!V4647</f>
        <v>44240</v>
      </c>
      <c r="C4647" s="37">
        <v>44</v>
      </c>
      <c r="D4647" s="36">
        <f>base!H4647</f>
        <v>31</v>
      </c>
      <c r="E4647" s="44"/>
      <c r="F4647" s="16">
        <f>base!W4647</f>
        <v>0</v>
      </c>
      <c r="G4647" s="11">
        <f t="shared" si="720"/>
        <v>0</v>
      </c>
      <c r="H4647" s="11">
        <f t="shared" si="721"/>
        <v>8.370000000000001</v>
      </c>
      <c r="I4647" s="11">
        <f t="shared" si="722"/>
        <v>0.27</v>
      </c>
      <c r="J4647" s="12">
        <f t="shared" si="723"/>
        <v>-8.370000000000001</v>
      </c>
      <c r="K4647" s="17" t="str">
        <f t="shared" si="728"/>
        <v>Ecart négatif</v>
      </c>
      <c r="L4647" s="16">
        <f>base!X4647</f>
        <v>0</v>
      </c>
      <c r="M4647" s="11">
        <f t="shared" si="724"/>
        <v>0</v>
      </c>
      <c r="N4647" s="11">
        <f t="shared" si="725"/>
        <v>0</v>
      </c>
      <c r="O4647" s="11">
        <f t="shared" si="726"/>
        <v>0</v>
      </c>
      <c r="P4647" s="12">
        <f t="shared" si="727"/>
        <v>0</v>
      </c>
      <c r="Q4647" s="17" t="str">
        <f t="shared" si="729"/>
        <v>Pas d'écart</v>
      </c>
    </row>
    <row r="4648" spans="1:17" x14ac:dyDescent="0.3">
      <c r="A4648" s="34">
        <f>base!J4648</f>
        <v>0</v>
      </c>
      <c r="B4648" s="34" t="str">
        <f>base!V4648</f>
        <v>44240</v>
      </c>
      <c r="C4648" s="37">
        <v>44</v>
      </c>
      <c r="D4648" s="36">
        <f>base!H4648</f>
        <v>31</v>
      </c>
      <c r="E4648" s="44"/>
      <c r="F4648" s="16">
        <f>base!W4648</f>
        <v>0</v>
      </c>
      <c r="G4648" s="11">
        <f t="shared" si="720"/>
        <v>0</v>
      </c>
      <c r="H4648" s="11">
        <f t="shared" si="721"/>
        <v>8.370000000000001</v>
      </c>
      <c r="I4648" s="11">
        <f t="shared" si="722"/>
        <v>0.27</v>
      </c>
      <c r="J4648" s="12">
        <f t="shared" si="723"/>
        <v>-8.370000000000001</v>
      </c>
      <c r="K4648" s="17" t="str">
        <f t="shared" si="728"/>
        <v>Ecart négatif</v>
      </c>
      <c r="L4648" s="16">
        <f>base!X4648</f>
        <v>0</v>
      </c>
      <c r="M4648" s="11">
        <f t="shared" si="724"/>
        <v>0</v>
      </c>
      <c r="N4648" s="11">
        <f t="shared" si="725"/>
        <v>0</v>
      </c>
      <c r="O4648" s="11">
        <f t="shared" si="726"/>
        <v>0</v>
      </c>
      <c r="P4648" s="12">
        <f t="shared" si="727"/>
        <v>0</v>
      </c>
      <c r="Q4648" s="17" t="str">
        <f t="shared" si="729"/>
        <v>Pas d'écart</v>
      </c>
    </row>
    <row r="4649" spans="1:17" x14ac:dyDescent="0.3">
      <c r="A4649" s="34" t="str">
        <f>base!J4649</f>
        <v>DRS</v>
      </c>
      <c r="B4649" s="34" t="str">
        <f>base!V4649</f>
        <v>56100</v>
      </c>
      <c r="C4649" s="37">
        <v>56</v>
      </c>
      <c r="D4649" s="36">
        <f>base!H4649</f>
        <v>33</v>
      </c>
      <c r="E4649" s="44"/>
      <c r="F4649" s="16">
        <f>base!W4649</f>
        <v>0</v>
      </c>
      <c r="G4649" s="11">
        <f t="shared" si="720"/>
        <v>0</v>
      </c>
      <c r="H4649" s="11">
        <f t="shared" si="721"/>
        <v>8.91</v>
      </c>
      <c r="I4649" s="11">
        <f t="shared" si="722"/>
        <v>0.27</v>
      </c>
      <c r="J4649" s="12">
        <f t="shared" si="723"/>
        <v>-8.91</v>
      </c>
      <c r="K4649" s="17" t="str">
        <f t="shared" si="728"/>
        <v>Ecart négatif</v>
      </c>
      <c r="L4649" s="16">
        <f>base!X4649</f>
        <v>0</v>
      </c>
      <c r="M4649" s="11">
        <f t="shared" si="724"/>
        <v>0</v>
      </c>
      <c r="N4649" s="11">
        <f t="shared" si="725"/>
        <v>0</v>
      </c>
      <c r="O4649" s="11">
        <f t="shared" si="726"/>
        <v>0</v>
      </c>
      <c r="P4649" s="12">
        <f t="shared" si="727"/>
        <v>0</v>
      </c>
      <c r="Q4649" s="17" t="str">
        <f t="shared" si="729"/>
        <v>Pas d'écart</v>
      </c>
    </row>
    <row r="4650" spans="1:17" x14ac:dyDescent="0.3">
      <c r="A4650" s="34" t="str">
        <f>base!J4650</f>
        <v>LS</v>
      </c>
      <c r="B4650" s="34" t="str">
        <f>base!V4650</f>
        <v>98000</v>
      </c>
      <c r="C4650" s="37">
        <v>69</v>
      </c>
      <c r="D4650" s="36">
        <f>base!H4650</f>
        <v>114.37</v>
      </c>
      <c r="E4650" s="44"/>
      <c r="F4650" s="16">
        <f>base!W4650</f>
        <v>34.31</v>
      </c>
      <c r="G4650" s="11">
        <f t="shared" si="720"/>
        <v>0.29999125644836933</v>
      </c>
      <c r="H4650" s="11">
        <f t="shared" si="721"/>
        <v>30.879900000000003</v>
      </c>
      <c r="I4650" s="11">
        <f t="shared" si="722"/>
        <v>0.27</v>
      </c>
      <c r="J4650" s="12">
        <f t="shared" si="723"/>
        <v>3.4300999999999995</v>
      </c>
      <c r="K4650" s="17" t="str">
        <f t="shared" si="728"/>
        <v>Ecart positif</v>
      </c>
      <c r="L4650" s="16">
        <f>base!X4650</f>
        <v>0</v>
      </c>
      <c r="M4650" s="11">
        <f t="shared" si="724"/>
        <v>0</v>
      </c>
      <c r="N4650" s="11">
        <f t="shared" si="725"/>
        <v>0</v>
      </c>
      <c r="O4650" s="11">
        <f t="shared" si="726"/>
        <v>0</v>
      </c>
      <c r="P4650" s="12">
        <f t="shared" si="727"/>
        <v>0</v>
      </c>
      <c r="Q4650" s="17" t="str">
        <f t="shared" si="729"/>
        <v>Pas d'écart</v>
      </c>
    </row>
    <row r="4651" spans="1:17" x14ac:dyDescent="0.3">
      <c r="A4651" s="34" t="str">
        <f>base!J4651</f>
        <v>LM</v>
      </c>
      <c r="B4651" s="34" t="str">
        <f>base!V4651</f>
        <v>34000</v>
      </c>
      <c r="C4651" s="37">
        <v>69</v>
      </c>
      <c r="D4651" s="36">
        <f>base!H4651</f>
        <v>195.01</v>
      </c>
      <c r="E4651" s="44"/>
      <c r="F4651" s="16">
        <f>base!W4651</f>
        <v>76.05</v>
      </c>
      <c r="G4651" s="11">
        <f t="shared" si="720"/>
        <v>0.38998000102558844</v>
      </c>
      <c r="H4651" s="11">
        <f t="shared" si="721"/>
        <v>52.652700000000003</v>
      </c>
      <c r="I4651" s="11">
        <f t="shared" si="722"/>
        <v>0.27</v>
      </c>
      <c r="J4651" s="12">
        <f t="shared" si="723"/>
        <v>23.397299999999994</v>
      </c>
      <c r="K4651" s="17" t="str">
        <f t="shared" si="728"/>
        <v>Ecart positif</v>
      </c>
      <c r="L4651" s="16">
        <f>base!X4651</f>
        <v>0</v>
      </c>
      <c r="M4651" s="11">
        <f t="shared" si="724"/>
        <v>0</v>
      </c>
      <c r="N4651" s="11">
        <f t="shared" si="725"/>
        <v>0</v>
      </c>
      <c r="O4651" s="11">
        <f t="shared" si="726"/>
        <v>0</v>
      </c>
      <c r="P4651" s="12">
        <f t="shared" si="727"/>
        <v>0</v>
      </c>
      <c r="Q4651" s="17" t="str">
        <f t="shared" si="729"/>
        <v>Pas d'écart</v>
      </c>
    </row>
    <row r="4652" spans="1:17" x14ac:dyDescent="0.3">
      <c r="A4652" s="34" t="str">
        <f>base!J4652</f>
        <v>LS</v>
      </c>
      <c r="B4652" s="34" t="str">
        <f>base!V4652</f>
        <v>59000</v>
      </c>
      <c r="C4652" s="37">
        <v>69</v>
      </c>
      <c r="D4652" s="36">
        <f>base!H4652</f>
        <v>33.049999999999997</v>
      </c>
      <c r="E4652" s="44"/>
      <c r="F4652" s="16">
        <f>base!W4652</f>
        <v>6.28</v>
      </c>
      <c r="G4652" s="11">
        <f t="shared" si="720"/>
        <v>0.19001512859304087</v>
      </c>
      <c r="H4652" s="11">
        <f t="shared" si="721"/>
        <v>8.9235000000000007</v>
      </c>
      <c r="I4652" s="11">
        <f t="shared" si="722"/>
        <v>0.27</v>
      </c>
      <c r="J4652" s="12">
        <f t="shared" si="723"/>
        <v>-2.6435000000000004</v>
      </c>
      <c r="K4652" s="17" t="str">
        <f t="shared" si="728"/>
        <v>Ecart négatif</v>
      </c>
      <c r="L4652" s="16">
        <f>base!X4652</f>
        <v>0</v>
      </c>
      <c r="M4652" s="11">
        <f t="shared" si="724"/>
        <v>0</v>
      </c>
      <c r="N4652" s="11">
        <f t="shared" si="725"/>
        <v>0</v>
      </c>
      <c r="O4652" s="11">
        <f t="shared" si="726"/>
        <v>0</v>
      </c>
      <c r="P4652" s="12">
        <f t="shared" si="727"/>
        <v>0</v>
      </c>
      <c r="Q4652" s="17" t="str">
        <f t="shared" si="729"/>
        <v>Pas d'écart</v>
      </c>
    </row>
    <row r="4653" spans="1:17" x14ac:dyDescent="0.3">
      <c r="A4653" s="34" t="str">
        <f>base!J4653</f>
        <v>LM</v>
      </c>
      <c r="B4653" s="34" t="str">
        <f>base!V4653</f>
        <v>30100</v>
      </c>
      <c r="C4653" s="37">
        <v>69</v>
      </c>
      <c r="D4653" s="36">
        <f>base!H4653</f>
        <v>201</v>
      </c>
      <c r="E4653" s="44"/>
      <c r="F4653" s="16">
        <f>base!W4653</f>
        <v>78.39</v>
      </c>
      <c r="G4653" s="11">
        <f t="shared" si="720"/>
        <v>0.39</v>
      </c>
      <c r="H4653" s="11">
        <f t="shared" si="721"/>
        <v>54.27</v>
      </c>
      <c r="I4653" s="11">
        <f t="shared" si="722"/>
        <v>0.27</v>
      </c>
      <c r="J4653" s="12">
        <f t="shared" si="723"/>
        <v>24.119999999999997</v>
      </c>
      <c r="K4653" s="17" t="str">
        <f t="shared" si="728"/>
        <v>Ecart positif</v>
      </c>
      <c r="L4653" s="16">
        <f>base!X4653</f>
        <v>0</v>
      </c>
      <c r="M4653" s="11">
        <f t="shared" si="724"/>
        <v>0</v>
      </c>
      <c r="N4653" s="11">
        <f t="shared" si="725"/>
        <v>0</v>
      </c>
      <c r="O4653" s="11">
        <f t="shared" si="726"/>
        <v>0</v>
      </c>
      <c r="P4653" s="12">
        <f t="shared" si="727"/>
        <v>0</v>
      </c>
      <c r="Q4653" s="17" t="str">
        <f t="shared" si="729"/>
        <v>Pas d'écart</v>
      </c>
    </row>
    <row r="4654" spans="1:17" x14ac:dyDescent="0.3">
      <c r="A4654" s="34" t="str">
        <f>base!J4654</f>
        <v>RS</v>
      </c>
      <c r="B4654" s="34" t="str">
        <f>base!V4654</f>
        <v>59260</v>
      </c>
      <c r="C4654" s="37">
        <v>59</v>
      </c>
      <c r="D4654" s="36">
        <f>base!H4654</f>
        <v>164.8</v>
      </c>
      <c r="E4654" s="44"/>
      <c r="F4654" s="16">
        <f>base!W4654</f>
        <v>0</v>
      </c>
      <c r="G4654" s="11">
        <f t="shared" si="720"/>
        <v>0</v>
      </c>
      <c r="H4654" s="11">
        <f t="shared" si="721"/>
        <v>31.312000000000001</v>
      </c>
      <c r="I4654" s="11">
        <f t="shared" si="722"/>
        <v>0.19</v>
      </c>
      <c r="J4654" s="12">
        <f t="shared" si="723"/>
        <v>-31.312000000000001</v>
      </c>
      <c r="K4654" s="17" t="str">
        <f t="shared" si="728"/>
        <v>Ecart négatif</v>
      </c>
      <c r="L4654" s="16">
        <f>base!X4654</f>
        <v>0</v>
      </c>
      <c r="M4654" s="11">
        <f t="shared" si="724"/>
        <v>0</v>
      </c>
      <c r="N4654" s="11">
        <f t="shared" si="725"/>
        <v>0</v>
      </c>
      <c r="O4654" s="11">
        <f t="shared" si="726"/>
        <v>0</v>
      </c>
      <c r="P4654" s="12">
        <f t="shared" si="727"/>
        <v>0</v>
      </c>
      <c r="Q4654" s="17" t="str">
        <f t="shared" si="729"/>
        <v>Pas d'écart</v>
      </c>
    </row>
    <row r="4655" spans="1:17" x14ac:dyDescent="0.3">
      <c r="A4655" s="34">
        <f>base!J4655</f>
        <v>0</v>
      </c>
      <c r="B4655" s="34" t="str">
        <f>base!V4655</f>
        <v>77184</v>
      </c>
      <c r="C4655" s="37">
        <v>77</v>
      </c>
      <c r="D4655" s="36">
        <f>base!H4655</f>
        <v>128</v>
      </c>
      <c r="E4655" s="44"/>
      <c r="F4655" s="16">
        <f>base!W4655</f>
        <v>0</v>
      </c>
      <c r="G4655" s="11">
        <f t="shared" si="720"/>
        <v>0</v>
      </c>
      <c r="H4655" s="11">
        <f t="shared" si="721"/>
        <v>0</v>
      </c>
      <c r="I4655" s="11">
        <f t="shared" si="722"/>
        <v>0</v>
      </c>
      <c r="J4655" s="12">
        <f t="shared" si="723"/>
        <v>0</v>
      </c>
      <c r="K4655" s="17" t="str">
        <f t="shared" si="728"/>
        <v>Pas d'écart</v>
      </c>
      <c r="L4655" s="16">
        <f>base!X4655</f>
        <v>0</v>
      </c>
      <c r="M4655" s="11">
        <f t="shared" si="724"/>
        <v>0</v>
      </c>
      <c r="N4655" s="11">
        <f t="shared" si="725"/>
        <v>0</v>
      </c>
      <c r="O4655" s="11">
        <f t="shared" si="726"/>
        <v>0</v>
      </c>
      <c r="P4655" s="12">
        <f t="shared" si="727"/>
        <v>0</v>
      </c>
      <c r="Q4655" s="17" t="str">
        <f t="shared" si="729"/>
        <v>Pas d'écart</v>
      </c>
    </row>
    <row r="4656" spans="1:17" x14ac:dyDescent="0.3">
      <c r="A4656" s="34" t="str">
        <f>base!J4656</f>
        <v>RS</v>
      </c>
      <c r="B4656" s="34" t="str">
        <f>base!V4656</f>
        <v>54140</v>
      </c>
      <c r="C4656" s="37">
        <v>54</v>
      </c>
      <c r="D4656" s="36">
        <f>base!H4656</f>
        <v>151</v>
      </c>
      <c r="E4656" s="44"/>
      <c r="F4656" s="16">
        <f>base!W4656</f>
        <v>0</v>
      </c>
      <c r="G4656" s="11">
        <f t="shared" si="720"/>
        <v>0</v>
      </c>
      <c r="H4656" s="11">
        <f t="shared" si="721"/>
        <v>37.75</v>
      </c>
      <c r="I4656" s="11">
        <f t="shared" si="722"/>
        <v>0.25</v>
      </c>
      <c r="J4656" s="12">
        <f t="shared" si="723"/>
        <v>-37.75</v>
      </c>
      <c r="K4656" s="17" t="str">
        <f t="shared" si="728"/>
        <v>Ecart négatif</v>
      </c>
      <c r="L4656" s="16">
        <f>base!X4656</f>
        <v>0</v>
      </c>
      <c r="M4656" s="11">
        <f t="shared" si="724"/>
        <v>0</v>
      </c>
      <c r="N4656" s="11">
        <f t="shared" si="725"/>
        <v>37.75</v>
      </c>
      <c r="O4656" s="11">
        <f t="shared" si="726"/>
        <v>0.25</v>
      </c>
      <c r="P4656" s="12">
        <f t="shared" si="727"/>
        <v>-37.75</v>
      </c>
      <c r="Q4656" s="17" t="str">
        <f t="shared" si="729"/>
        <v>Ecart négatif</v>
      </c>
    </row>
    <row r="4657" spans="1:17" x14ac:dyDescent="0.3">
      <c r="A4657" s="34" t="str">
        <f>base!J4657</f>
        <v>LM</v>
      </c>
      <c r="B4657" s="34" t="str">
        <f>base!V4657</f>
        <v>60300</v>
      </c>
      <c r="C4657" s="37">
        <v>7</v>
      </c>
      <c r="D4657" s="36">
        <f>base!H4657</f>
        <v>25.8</v>
      </c>
      <c r="E4657" s="44"/>
      <c r="F4657" s="16">
        <f>base!W4657</f>
        <v>4.9000000000000004</v>
      </c>
      <c r="G4657" s="11">
        <f t="shared" si="720"/>
        <v>0.18992248062015504</v>
      </c>
      <c r="H4657" s="11">
        <f t="shared" si="721"/>
        <v>6.9660000000000011</v>
      </c>
      <c r="I4657" s="11">
        <f t="shared" si="722"/>
        <v>0.27</v>
      </c>
      <c r="J4657" s="12">
        <f t="shared" si="723"/>
        <v>-2.0660000000000007</v>
      </c>
      <c r="K4657" s="17" t="str">
        <f t="shared" si="728"/>
        <v>Ecart négatif</v>
      </c>
      <c r="L4657" s="16">
        <f>base!X4657</f>
        <v>0</v>
      </c>
      <c r="M4657" s="11">
        <f t="shared" si="724"/>
        <v>0</v>
      </c>
      <c r="N4657" s="11">
        <f t="shared" si="725"/>
        <v>0</v>
      </c>
      <c r="O4657" s="11">
        <f t="shared" si="726"/>
        <v>0</v>
      </c>
      <c r="P4657" s="12">
        <f t="shared" si="727"/>
        <v>0</v>
      </c>
      <c r="Q4657" s="17" t="str">
        <f t="shared" si="729"/>
        <v>Pas d'écart</v>
      </c>
    </row>
    <row r="4658" spans="1:17" x14ac:dyDescent="0.3">
      <c r="A4658" s="34" t="str">
        <f>base!J4658</f>
        <v>LM</v>
      </c>
      <c r="B4658" s="34" t="str">
        <f>base!V4658</f>
        <v>62380</v>
      </c>
      <c r="C4658" s="37">
        <v>69</v>
      </c>
      <c r="D4658" s="36">
        <f>base!H4658</f>
        <v>19.8</v>
      </c>
      <c r="E4658" s="44"/>
      <c r="F4658" s="16">
        <f>base!W4658</f>
        <v>3.76</v>
      </c>
      <c r="G4658" s="11">
        <f t="shared" si="720"/>
        <v>0.18989898989898987</v>
      </c>
      <c r="H4658" s="11">
        <f t="shared" si="721"/>
        <v>5.346000000000001</v>
      </c>
      <c r="I4658" s="11">
        <f t="shared" si="722"/>
        <v>0.27</v>
      </c>
      <c r="J4658" s="12">
        <f t="shared" si="723"/>
        <v>-1.5860000000000012</v>
      </c>
      <c r="K4658" s="17" t="str">
        <f t="shared" si="728"/>
        <v>Ecart négatif</v>
      </c>
      <c r="L4658" s="16">
        <f>base!X4658</f>
        <v>0</v>
      </c>
      <c r="M4658" s="11">
        <f t="shared" si="724"/>
        <v>0</v>
      </c>
      <c r="N4658" s="11">
        <f t="shared" si="725"/>
        <v>0</v>
      </c>
      <c r="O4658" s="11">
        <f t="shared" si="726"/>
        <v>0</v>
      </c>
      <c r="P4658" s="12">
        <f t="shared" si="727"/>
        <v>0</v>
      </c>
      <c r="Q4658" s="17" t="str">
        <f t="shared" si="729"/>
        <v>Pas d'écart</v>
      </c>
    </row>
    <row r="4659" spans="1:17" x14ac:dyDescent="0.3">
      <c r="A4659" s="34" t="str">
        <f>base!J4659</f>
        <v>LM</v>
      </c>
      <c r="B4659" s="34" t="str">
        <f>base!V4659</f>
        <v>86360</v>
      </c>
      <c r="C4659" s="37">
        <v>86</v>
      </c>
      <c r="D4659" s="36">
        <f>base!H4659</f>
        <v>40</v>
      </c>
      <c r="E4659" s="44"/>
      <c r="F4659" s="16">
        <f>base!W4659</f>
        <v>8.4</v>
      </c>
      <c r="G4659" s="11">
        <f t="shared" si="720"/>
        <v>0.21000000000000002</v>
      </c>
      <c r="H4659" s="11">
        <f t="shared" si="721"/>
        <v>8.4</v>
      </c>
      <c r="I4659" s="11">
        <f t="shared" si="722"/>
        <v>0.21000000000000002</v>
      </c>
      <c r="J4659" s="12">
        <f t="shared" si="723"/>
        <v>0</v>
      </c>
      <c r="K4659" s="17" t="str">
        <f t="shared" si="728"/>
        <v>Pas d'écart</v>
      </c>
      <c r="L4659" s="16">
        <f>base!X4659</f>
        <v>0</v>
      </c>
      <c r="M4659" s="11">
        <f t="shared" si="724"/>
        <v>0</v>
      </c>
      <c r="N4659" s="11">
        <f t="shared" si="725"/>
        <v>4.8</v>
      </c>
      <c r="O4659" s="11">
        <f t="shared" si="726"/>
        <v>0.12</v>
      </c>
      <c r="P4659" s="12">
        <f t="shared" si="727"/>
        <v>-4.8</v>
      </c>
      <c r="Q4659" s="17" t="str">
        <f t="shared" si="729"/>
        <v>Ecart négatif</v>
      </c>
    </row>
    <row r="4660" spans="1:17" x14ac:dyDescent="0.3">
      <c r="A4660" s="34" t="str">
        <f>base!J4660</f>
        <v>LM</v>
      </c>
      <c r="B4660" s="34" t="str">
        <f>base!V4660</f>
        <v>62380</v>
      </c>
      <c r="C4660" s="37">
        <v>69</v>
      </c>
      <c r="D4660" s="36">
        <f>base!H4660</f>
        <v>34.83</v>
      </c>
      <c r="E4660" s="44"/>
      <c r="F4660" s="16">
        <f>base!W4660</f>
        <v>6.62</v>
      </c>
      <c r="G4660" s="11">
        <f t="shared" si="720"/>
        <v>0.19006603502727534</v>
      </c>
      <c r="H4660" s="11">
        <f t="shared" si="721"/>
        <v>9.4040999999999997</v>
      </c>
      <c r="I4660" s="11">
        <f t="shared" si="722"/>
        <v>0.27</v>
      </c>
      <c r="J4660" s="12">
        <f t="shared" si="723"/>
        <v>-2.7840999999999996</v>
      </c>
      <c r="K4660" s="17" t="str">
        <f t="shared" si="728"/>
        <v>Ecart négatif</v>
      </c>
      <c r="L4660" s="16">
        <f>base!X4660</f>
        <v>0</v>
      </c>
      <c r="M4660" s="11">
        <f t="shared" si="724"/>
        <v>0</v>
      </c>
      <c r="N4660" s="11">
        <f t="shared" si="725"/>
        <v>0</v>
      </c>
      <c r="O4660" s="11">
        <f t="shared" si="726"/>
        <v>0</v>
      </c>
      <c r="P4660" s="12">
        <f t="shared" si="727"/>
        <v>0</v>
      </c>
      <c r="Q4660" s="17" t="str">
        <f t="shared" si="729"/>
        <v>Pas d'écart</v>
      </c>
    </row>
    <row r="4661" spans="1:17" x14ac:dyDescent="0.3">
      <c r="A4661" s="34" t="str">
        <f>base!J4661</f>
        <v>LS</v>
      </c>
      <c r="B4661" s="34" t="str">
        <f>base!V4661</f>
        <v>37270</v>
      </c>
      <c r="C4661" s="37">
        <v>69</v>
      </c>
      <c r="D4661" s="36">
        <f>base!H4661</f>
        <v>140</v>
      </c>
      <c r="E4661" s="44"/>
      <c r="F4661" s="16">
        <f>base!W4661</f>
        <v>29.4</v>
      </c>
      <c r="G4661" s="11">
        <f t="shared" si="720"/>
        <v>0.21</v>
      </c>
      <c r="H4661" s="11">
        <f t="shared" si="721"/>
        <v>37.800000000000004</v>
      </c>
      <c r="I4661" s="11">
        <f t="shared" si="722"/>
        <v>0.27</v>
      </c>
      <c r="J4661" s="12">
        <f t="shared" si="723"/>
        <v>-8.4000000000000057</v>
      </c>
      <c r="K4661" s="17" t="str">
        <f t="shared" si="728"/>
        <v>Ecart négatif</v>
      </c>
      <c r="L4661" s="16">
        <f>base!X4661</f>
        <v>0</v>
      </c>
      <c r="M4661" s="11">
        <f t="shared" si="724"/>
        <v>0</v>
      </c>
      <c r="N4661" s="11">
        <f t="shared" si="725"/>
        <v>0</v>
      </c>
      <c r="O4661" s="11">
        <f t="shared" si="726"/>
        <v>0</v>
      </c>
      <c r="P4661" s="12">
        <f t="shared" si="727"/>
        <v>0</v>
      </c>
      <c r="Q4661" s="17" t="str">
        <f t="shared" si="729"/>
        <v>Pas d'écart</v>
      </c>
    </row>
    <row r="4662" spans="1:17" x14ac:dyDescent="0.3">
      <c r="A4662" s="34" t="str">
        <f>base!J4662</f>
        <v>LM</v>
      </c>
      <c r="B4662" s="34" t="str">
        <f>base!V4662</f>
        <v>75017</v>
      </c>
      <c r="C4662" s="37">
        <v>75</v>
      </c>
      <c r="D4662" s="36">
        <f>base!H4662</f>
        <v>98.9</v>
      </c>
      <c r="E4662" s="44"/>
      <c r="F4662" s="16">
        <f>base!W4662</f>
        <v>0</v>
      </c>
      <c r="G4662" s="11">
        <f t="shared" si="720"/>
        <v>0</v>
      </c>
      <c r="H4662" s="11">
        <f t="shared" si="721"/>
        <v>0</v>
      </c>
      <c r="I4662" s="11">
        <f t="shared" si="722"/>
        <v>0</v>
      </c>
      <c r="J4662" s="12">
        <f t="shared" si="723"/>
        <v>0</v>
      </c>
      <c r="K4662" s="17" t="str">
        <f t="shared" si="728"/>
        <v>Pas d'écart</v>
      </c>
      <c r="L4662" s="16">
        <f>base!X4662</f>
        <v>0</v>
      </c>
      <c r="M4662" s="11">
        <f t="shared" si="724"/>
        <v>0</v>
      </c>
      <c r="N4662" s="11">
        <f t="shared" si="725"/>
        <v>0</v>
      </c>
      <c r="O4662" s="11">
        <f t="shared" si="726"/>
        <v>0</v>
      </c>
      <c r="P4662" s="12">
        <f t="shared" si="727"/>
        <v>0</v>
      </c>
      <c r="Q4662" s="17" t="str">
        <f t="shared" si="729"/>
        <v>Pas d'écart</v>
      </c>
    </row>
    <row r="4663" spans="1:17" x14ac:dyDescent="0.3">
      <c r="A4663" s="34" t="str">
        <f>base!J4663</f>
        <v>LS</v>
      </c>
      <c r="B4663" s="34" t="str">
        <f>base!V4663</f>
        <v>76890</v>
      </c>
      <c r="C4663" s="37">
        <v>74</v>
      </c>
      <c r="D4663" s="36">
        <f>base!H4663</f>
        <v>36.85</v>
      </c>
      <c r="E4663" s="44"/>
      <c r="F4663" s="16">
        <f>base!W4663</f>
        <v>6.26</v>
      </c>
      <c r="G4663" s="11">
        <f t="shared" si="720"/>
        <v>0.16987788331071912</v>
      </c>
      <c r="H4663" s="11">
        <f t="shared" si="721"/>
        <v>9.5810000000000013</v>
      </c>
      <c r="I4663" s="11">
        <f t="shared" si="722"/>
        <v>0.26</v>
      </c>
      <c r="J4663" s="12">
        <f t="shared" si="723"/>
        <v>-3.3210000000000015</v>
      </c>
      <c r="K4663" s="17" t="str">
        <f t="shared" si="728"/>
        <v>Ecart négatif</v>
      </c>
      <c r="L4663" s="16">
        <f>base!X4663</f>
        <v>0</v>
      </c>
      <c r="M4663" s="11">
        <f t="shared" si="724"/>
        <v>0</v>
      </c>
      <c r="N4663" s="11">
        <f t="shared" si="725"/>
        <v>0</v>
      </c>
      <c r="O4663" s="11">
        <f t="shared" si="726"/>
        <v>0</v>
      </c>
      <c r="P4663" s="12">
        <f t="shared" si="727"/>
        <v>0</v>
      </c>
      <c r="Q4663" s="17" t="str">
        <f t="shared" si="729"/>
        <v>Pas d'écart</v>
      </c>
    </row>
    <row r="4664" spans="1:17" x14ac:dyDescent="0.3">
      <c r="A4664" s="34" t="str">
        <f>base!J4664</f>
        <v>LM</v>
      </c>
      <c r="B4664" s="34" t="str">
        <f>base!V4664</f>
        <v>44000</v>
      </c>
      <c r="C4664" s="37">
        <v>44</v>
      </c>
      <c r="D4664" s="36">
        <f>base!H4664</f>
        <v>40</v>
      </c>
      <c r="E4664" s="44"/>
      <c r="F4664" s="16">
        <f>base!W4664</f>
        <v>10.8</v>
      </c>
      <c r="G4664" s="11">
        <f t="shared" si="720"/>
        <v>0.27</v>
      </c>
      <c r="H4664" s="11">
        <f t="shared" si="721"/>
        <v>10.8</v>
      </c>
      <c r="I4664" s="11">
        <f t="shared" si="722"/>
        <v>0.27</v>
      </c>
      <c r="J4664" s="12">
        <f t="shared" si="723"/>
        <v>0</v>
      </c>
      <c r="K4664" s="17" t="str">
        <f t="shared" si="728"/>
        <v>Pas d'écart</v>
      </c>
      <c r="L4664" s="16">
        <f>base!X4664</f>
        <v>0</v>
      </c>
      <c r="M4664" s="11">
        <f t="shared" si="724"/>
        <v>0</v>
      </c>
      <c r="N4664" s="11">
        <f t="shared" si="725"/>
        <v>0</v>
      </c>
      <c r="O4664" s="11">
        <f t="shared" si="726"/>
        <v>0</v>
      </c>
      <c r="P4664" s="12">
        <f t="shared" si="727"/>
        <v>0</v>
      </c>
      <c r="Q4664" s="17" t="str">
        <f t="shared" si="729"/>
        <v>Pas d'écart</v>
      </c>
    </row>
    <row r="4665" spans="1:17" x14ac:dyDescent="0.3">
      <c r="A4665" s="34" t="str">
        <f>base!J4665</f>
        <v>LS</v>
      </c>
      <c r="B4665" s="34" t="str">
        <f>base!V4665</f>
        <v>45140</v>
      </c>
      <c r="C4665" s="37">
        <v>42</v>
      </c>
      <c r="D4665" s="36">
        <f>base!H4665</f>
        <v>139.97</v>
      </c>
      <c r="E4665" s="44"/>
      <c r="F4665" s="16">
        <f>base!W4665</f>
        <v>29.39</v>
      </c>
      <c r="G4665" s="11">
        <f t="shared" si="720"/>
        <v>0.20997356576409232</v>
      </c>
      <c r="H4665" s="11">
        <f t="shared" si="721"/>
        <v>36.392200000000003</v>
      </c>
      <c r="I4665" s="11">
        <f t="shared" si="722"/>
        <v>0.26</v>
      </c>
      <c r="J4665" s="12">
        <f t="shared" si="723"/>
        <v>-7.002200000000002</v>
      </c>
      <c r="K4665" s="17" t="str">
        <f t="shared" si="728"/>
        <v>Ecart négatif</v>
      </c>
      <c r="L4665" s="16">
        <f>base!X4665</f>
        <v>0</v>
      </c>
      <c r="M4665" s="11">
        <f t="shared" si="724"/>
        <v>0</v>
      </c>
      <c r="N4665" s="11">
        <f t="shared" si="725"/>
        <v>0</v>
      </c>
      <c r="O4665" s="11">
        <f t="shared" si="726"/>
        <v>0</v>
      </c>
      <c r="P4665" s="12">
        <f t="shared" si="727"/>
        <v>0</v>
      </c>
      <c r="Q4665" s="17" t="str">
        <f t="shared" si="729"/>
        <v>Pas d'écart</v>
      </c>
    </row>
    <row r="4666" spans="1:17" x14ac:dyDescent="0.3">
      <c r="A4666" s="34" t="str">
        <f>base!J4666</f>
        <v>LS</v>
      </c>
      <c r="B4666" s="34" t="str">
        <f>base!V4666</f>
        <v>76600</v>
      </c>
      <c r="C4666" s="37">
        <v>83</v>
      </c>
      <c r="D4666" s="36">
        <f>base!H4666</f>
        <v>48.23</v>
      </c>
      <c r="E4666" s="44"/>
      <c r="F4666" s="16">
        <f>base!W4666</f>
        <v>8.1999999999999993</v>
      </c>
      <c r="G4666" s="11">
        <f t="shared" si="720"/>
        <v>0.17001866058469831</v>
      </c>
      <c r="H4666" s="11">
        <f t="shared" si="721"/>
        <v>14.468999999999998</v>
      </c>
      <c r="I4666" s="11">
        <f t="shared" si="722"/>
        <v>0.3</v>
      </c>
      <c r="J4666" s="12">
        <f t="shared" si="723"/>
        <v>-6.2689999999999984</v>
      </c>
      <c r="K4666" s="17" t="str">
        <f t="shared" si="728"/>
        <v>Ecart négatif</v>
      </c>
      <c r="L4666" s="16">
        <f>base!X4666</f>
        <v>0</v>
      </c>
      <c r="M4666" s="11">
        <f t="shared" si="724"/>
        <v>0</v>
      </c>
      <c r="N4666" s="11">
        <f t="shared" si="725"/>
        <v>10.128299999999999</v>
      </c>
      <c r="O4666" s="11">
        <f t="shared" si="726"/>
        <v>0.21</v>
      </c>
      <c r="P4666" s="12">
        <f t="shared" si="727"/>
        <v>-10.128299999999999</v>
      </c>
      <c r="Q4666" s="17" t="str">
        <f t="shared" si="729"/>
        <v>Ecart négatif</v>
      </c>
    </row>
    <row r="4667" spans="1:17" x14ac:dyDescent="0.3">
      <c r="A4667" s="34" t="str">
        <f>base!J4667</f>
        <v>LM</v>
      </c>
      <c r="B4667" s="34" t="str">
        <f>base!V4667</f>
        <v>69005</v>
      </c>
      <c r="C4667" s="37">
        <v>42</v>
      </c>
      <c r="D4667" s="36">
        <f>base!H4667</f>
        <v>33.35</v>
      </c>
      <c r="E4667" s="44"/>
      <c r="F4667" s="16">
        <f>base!W4667</f>
        <v>9</v>
      </c>
      <c r="G4667" s="11">
        <f t="shared" si="720"/>
        <v>0.26986506746626687</v>
      </c>
      <c r="H4667" s="11">
        <f t="shared" si="721"/>
        <v>8.6710000000000012</v>
      </c>
      <c r="I4667" s="11">
        <f t="shared" si="722"/>
        <v>0.26</v>
      </c>
      <c r="J4667" s="12">
        <f t="shared" si="723"/>
        <v>0.32899999999999885</v>
      </c>
      <c r="K4667" s="17" t="str">
        <f t="shared" si="728"/>
        <v>Ecart positif</v>
      </c>
      <c r="L4667" s="16">
        <f>base!X4667</f>
        <v>0</v>
      </c>
      <c r="M4667" s="11">
        <f t="shared" si="724"/>
        <v>0</v>
      </c>
      <c r="N4667" s="11">
        <f t="shared" si="725"/>
        <v>0</v>
      </c>
      <c r="O4667" s="11">
        <f t="shared" si="726"/>
        <v>0</v>
      </c>
      <c r="P4667" s="12">
        <f t="shared" si="727"/>
        <v>0</v>
      </c>
      <c r="Q4667" s="17" t="str">
        <f t="shared" si="729"/>
        <v>Pas d'écart</v>
      </c>
    </row>
    <row r="4668" spans="1:17" x14ac:dyDescent="0.3">
      <c r="A4668" s="34" t="str">
        <f>base!J4668</f>
        <v>LS</v>
      </c>
      <c r="B4668" s="34" t="str">
        <f>base!V4668</f>
        <v>38090</v>
      </c>
      <c r="C4668" s="37">
        <v>38</v>
      </c>
      <c r="D4668" s="36">
        <f>base!H4668</f>
        <v>22.4</v>
      </c>
      <c r="E4668" s="44"/>
      <c r="F4668" s="16">
        <f>base!W4668</f>
        <v>6.05</v>
      </c>
      <c r="G4668" s="11">
        <f t="shared" si="720"/>
        <v>0.2700892857142857</v>
      </c>
      <c r="H4668" s="11">
        <f t="shared" si="721"/>
        <v>6.048</v>
      </c>
      <c r="I4668" s="11">
        <f t="shared" si="722"/>
        <v>0.27</v>
      </c>
      <c r="J4668" s="12">
        <f t="shared" si="723"/>
        <v>1.9999999999997797E-3</v>
      </c>
      <c r="K4668" s="17" t="str">
        <f t="shared" si="728"/>
        <v>Ecart positif</v>
      </c>
      <c r="L4668" s="16">
        <f>base!X4668</f>
        <v>0</v>
      </c>
      <c r="M4668" s="11">
        <f t="shared" si="724"/>
        <v>0</v>
      </c>
      <c r="N4668" s="11">
        <f t="shared" si="725"/>
        <v>0</v>
      </c>
      <c r="O4668" s="11">
        <f t="shared" si="726"/>
        <v>0</v>
      </c>
      <c r="P4668" s="12">
        <f t="shared" si="727"/>
        <v>0</v>
      </c>
      <c r="Q4668" s="17" t="str">
        <f t="shared" si="729"/>
        <v>Pas d'écart</v>
      </c>
    </row>
    <row r="4669" spans="1:17" x14ac:dyDescent="0.3">
      <c r="A4669" s="34" t="str">
        <f>base!J4669</f>
        <v>RS</v>
      </c>
      <c r="B4669" s="34" t="str">
        <f>base!V4669</f>
        <v>59000</v>
      </c>
      <c r="C4669" s="37">
        <v>59</v>
      </c>
      <c r="D4669" s="36">
        <f>base!H4669</f>
        <v>113.12</v>
      </c>
      <c r="E4669" s="44"/>
      <c r="F4669" s="16">
        <f>base!W4669</f>
        <v>0</v>
      </c>
      <c r="G4669" s="11">
        <f t="shared" si="720"/>
        <v>0</v>
      </c>
      <c r="H4669" s="11">
        <f t="shared" si="721"/>
        <v>21.492800000000003</v>
      </c>
      <c r="I4669" s="11">
        <f t="shared" si="722"/>
        <v>0.19</v>
      </c>
      <c r="J4669" s="12">
        <f t="shared" si="723"/>
        <v>-21.492800000000003</v>
      </c>
      <c r="K4669" s="17" t="str">
        <f t="shared" si="728"/>
        <v>Ecart négatif</v>
      </c>
      <c r="L4669" s="16">
        <f>base!X4669</f>
        <v>0</v>
      </c>
      <c r="M4669" s="11">
        <f t="shared" si="724"/>
        <v>0</v>
      </c>
      <c r="N4669" s="11">
        <f t="shared" si="725"/>
        <v>0</v>
      </c>
      <c r="O4669" s="11">
        <f t="shared" si="726"/>
        <v>0</v>
      </c>
      <c r="P4669" s="12">
        <f t="shared" si="727"/>
        <v>0</v>
      </c>
      <c r="Q4669" s="17" t="str">
        <f t="shared" si="729"/>
        <v>Pas d'écart</v>
      </c>
    </row>
    <row r="4670" spans="1:17" x14ac:dyDescent="0.3">
      <c r="A4670" s="34" t="str">
        <f>base!J4670</f>
        <v>RS</v>
      </c>
      <c r="B4670" s="34" t="str">
        <f>base!V4670</f>
        <v>59130</v>
      </c>
      <c r="C4670" s="37">
        <v>59</v>
      </c>
      <c r="D4670" s="36">
        <f>base!H4670</f>
        <v>140</v>
      </c>
      <c r="E4670" s="44"/>
      <c r="F4670" s="16">
        <f>base!W4670</f>
        <v>0</v>
      </c>
      <c r="G4670" s="11">
        <f t="shared" si="720"/>
        <v>0</v>
      </c>
      <c r="H4670" s="11">
        <f t="shared" si="721"/>
        <v>26.6</v>
      </c>
      <c r="I4670" s="11">
        <f t="shared" si="722"/>
        <v>0.19</v>
      </c>
      <c r="J4670" s="12">
        <f t="shared" si="723"/>
        <v>-26.6</v>
      </c>
      <c r="K4670" s="17" t="str">
        <f t="shared" si="728"/>
        <v>Ecart négatif</v>
      </c>
      <c r="L4670" s="16">
        <f>base!X4670</f>
        <v>0</v>
      </c>
      <c r="M4670" s="11">
        <f t="shared" si="724"/>
        <v>0</v>
      </c>
      <c r="N4670" s="11">
        <f t="shared" si="725"/>
        <v>0</v>
      </c>
      <c r="O4670" s="11">
        <f t="shared" si="726"/>
        <v>0</v>
      </c>
      <c r="P4670" s="12">
        <f t="shared" si="727"/>
        <v>0</v>
      </c>
      <c r="Q4670" s="17" t="str">
        <f t="shared" si="729"/>
        <v>Pas d'écart</v>
      </c>
    </row>
    <row r="4671" spans="1:17" x14ac:dyDescent="0.3">
      <c r="A4671" s="34" t="str">
        <f>base!J4671</f>
        <v>RM</v>
      </c>
      <c r="B4671" s="34" t="str">
        <f>base!V4671</f>
        <v>59800</v>
      </c>
      <c r="C4671" s="37">
        <v>59</v>
      </c>
      <c r="D4671" s="36">
        <f>base!H4671</f>
        <v>40</v>
      </c>
      <c r="E4671" s="44"/>
      <c r="F4671" s="16">
        <f>base!W4671</f>
        <v>0</v>
      </c>
      <c r="G4671" s="11">
        <f t="shared" si="720"/>
        <v>0</v>
      </c>
      <c r="H4671" s="11">
        <f t="shared" si="721"/>
        <v>7.6</v>
      </c>
      <c r="I4671" s="11">
        <f t="shared" si="722"/>
        <v>0.19</v>
      </c>
      <c r="J4671" s="12">
        <f t="shared" si="723"/>
        <v>-7.6</v>
      </c>
      <c r="K4671" s="17" t="str">
        <f t="shared" si="728"/>
        <v>Ecart négatif</v>
      </c>
      <c r="L4671" s="16">
        <f>base!X4671</f>
        <v>0</v>
      </c>
      <c r="M4671" s="11">
        <f t="shared" si="724"/>
        <v>0</v>
      </c>
      <c r="N4671" s="11">
        <f t="shared" si="725"/>
        <v>0</v>
      </c>
      <c r="O4671" s="11">
        <f t="shared" si="726"/>
        <v>0</v>
      </c>
      <c r="P4671" s="12">
        <f t="shared" si="727"/>
        <v>0</v>
      </c>
      <c r="Q4671" s="17" t="str">
        <f t="shared" si="729"/>
        <v>Pas d'écart</v>
      </c>
    </row>
    <row r="4672" spans="1:17" x14ac:dyDescent="0.3">
      <c r="A4672" s="34" t="str">
        <f>base!J4672</f>
        <v>DRM</v>
      </c>
      <c r="B4672" s="34" t="str">
        <f>base!V4672</f>
        <v>92400</v>
      </c>
      <c r="C4672" s="37">
        <v>92</v>
      </c>
      <c r="D4672" s="36">
        <f>base!H4672</f>
        <v>119</v>
      </c>
      <c r="E4672" s="44"/>
      <c r="F4672" s="16">
        <f>base!W4672</f>
        <v>0</v>
      </c>
      <c r="G4672" s="11">
        <f t="shared" si="720"/>
        <v>0</v>
      </c>
      <c r="H4672" s="11">
        <f t="shared" si="721"/>
        <v>0</v>
      </c>
      <c r="I4672" s="11">
        <f t="shared" si="722"/>
        <v>0</v>
      </c>
      <c r="J4672" s="12">
        <f t="shared" si="723"/>
        <v>0</v>
      </c>
      <c r="K4672" s="17" t="str">
        <f t="shared" si="728"/>
        <v>Pas d'écart</v>
      </c>
      <c r="L4672" s="16">
        <f>base!X4672</f>
        <v>0</v>
      </c>
      <c r="M4672" s="11">
        <f t="shared" si="724"/>
        <v>0</v>
      </c>
      <c r="N4672" s="11">
        <f t="shared" si="725"/>
        <v>0</v>
      </c>
      <c r="O4672" s="11">
        <f t="shared" si="726"/>
        <v>0</v>
      </c>
      <c r="P4672" s="12">
        <f t="shared" si="727"/>
        <v>0</v>
      </c>
      <c r="Q4672" s="17" t="str">
        <f t="shared" si="729"/>
        <v>Pas d'écart</v>
      </c>
    </row>
    <row r="4673" spans="1:18" x14ac:dyDescent="0.3">
      <c r="A4673" s="34" t="str">
        <f>base!J4673</f>
        <v>RS</v>
      </c>
      <c r="B4673" s="34" t="str">
        <f>base!V4673</f>
        <v>43700</v>
      </c>
      <c r="C4673" s="37">
        <v>43</v>
      </c>
      <c r="D4673" s="36">
        <f>base!H4673</f>
        <v>71.900000000000006</v>
      </c>
      <c r="E4673" s="44"/>
      <c r="F4673" s="16">
        <f>base!W4673</f>
        <v>0</v>
      </c>
      <c r="G4673" s="11">
        <f t="shared" si="720"/>
        <v>0</v>
      </c>
      <c r="H4673" s="11">
        <f t="shared" si="721"/>
        <v>20.850999999999999</v>
      </c>
      <c r="I4673" s="11">
        <f t="shared" si="722"/>
        <v>0.28999999999999998</v>
      </c>
      <c r="J4673" s="12">
        <f t="shared" si="723"/>
        <v>-20.850999999999999</v>
      </c>
      <c r="K4673" s="17" t="str">
        <f t="shared" si="728"/>
        <v>Ecart négatif</v>
      </c>
      <c r="L4673" s="16">
        <f>base!X4673</f>
        <v>8.6300000000000008</v>
      </c>
      <c r="M4673" s="11">
        <f t="shared" si="724"/>
        <v>0.12002781641168289</v>
      </c>
      <c r="N4673" s="11">
        <f t="shared" si="725"/>
        <v>8.6280000000000001</v>
      </c>
      <c r="O4673" s="11">
        <f t="shared" si="726"/>
        <v>0.12</v>
      </c>
      <c r="P4673" s="12">
        <f t="shared" si="727"/>
        <v>2.0000000000006679E-3</v>
      </c>
      <c r="Q4673" s="17" t="str">
        <f t="shared" si="729"/>
        <v>Ecart positif</v>
      </c>
      <c r="R4673" s="38"/>
    </row>
    <row r="4674" spans="1:18" x14ac:dyDescent="0.3">
      <c r="A4674" s="34" t="str">
        <f>base!J4674</f>
        <v>RS</v>
      </c>
      <c r="B4674" s="34" t="str">
        <f>base!V4674</f>
        <v>92800</v>
      </c>
      <c r="C4674" s="37">
        <v>92</v>
      </c>
      <c r="D4674" s="36">
        <f>base!H4674</f>
        <v>215</v>
      </c>
      <c r="E4674" s="44"/>
      <c r="F4674" s="16">
        <f>base!W4674</f>
        <v>0</v>
      </c>
      <c r="G4674" s="11">
        <f t="shared" ref="G4674:G4737" si="730">F4674/D4674</f>
        <v>0</v>
      </c>
      <c r="H4674" s="11">
        <f t="shared" ref="H4674:H4737" si="731">VLOOKUP(C4674,tout_cout_traction,2,FALSE)*D4674</f>
        <v>0</v>
      </c>
      <c r="I4674" s="11">
        <f t="shared" ref="I4674:I4737" si="732">H4674/D4674</f>
        <v>0</v>
      </c>
      <c r="J4674" s="12">
        <f t="shared" ref="J4674:J4737" si="733">F4674-H4674</f>
        <v>0</v>
      </c>
      <c r="K4674" s="17" t="str">
        <f t="shared" si="728"/>
        <v>Pas d'écart</v>
      </c>
      <c r="L4674" s="16">
        <f>base!X4674</f>
        <v>0</v>
      </c>
      <c r="M4674" s="11">
        <f t="shared" ref="M4674:M4737" si="734">L4674/D4674</f>
        <v>0</v>
      </c>
      <c r="N4674" s="11">
        <f t="shared" ref="N4674:N4737" si="735">VLOOKUP(C4674,tout_cout_traction,3,FALSE)*D4674</f>
        <v>0</v>
      </c>
      <c r="O4674" s="11">
        <f t="shared" ref="O4674:O4737" si="736">N4674/D4674</f>
        <v>0</v>
      </c>
      <c r="P4674" s="12">
        <f t="shared" ref="P4674:P4737" si="737">L4674-N4674</f>
        <v>0</v>
      </c>
      <c r="Q4674" s="17" t="str">
        <f t="shared" si="729"/>
        <v>Pas d'écart</v>
      </c>
    </row>
    <row r="4675" spans="1:18" x14ac:dyDescent="0.3">
      <c r="A4675" s="34">
        <f>base!J4675</f>
        <v>0</v>
      </c>
      <c r="B4675" s="34" t="str">
        <f>base!V4675</f>
        <v>77184</v>
      </c>
      <c r="C4675" s="37">
        <v>77</v>
      </c>
      <c r="D4675" s="36">
        <f>base!H4675</f>
        <v>187</v>
      </c>
      <c r="E4675" s="44"/>
      <c r="F4675" s="16">
        <f>base!W4675</f>
        <v>0</v>
      </c>
      <c r="G4675" s="11">
        <f t="shared" si="730"/>
        <v>0</v>
      </c>
      <c r="H4675" s="11">
        <f t="shared" si="731"/>
        <v>0</v>
      </c>
      <c r="I4675" s="11">
        <f t="shared" si="732"/>
        <v>0</v>
      </c>
      <c r="J4675" s="12">
        <f t="shared" si="733"/>
        <v>0</v>
      </c>
      <c r="K4675" s="17" t="str">
        <f t="shared" ref="K4675:K4738" si="738">IF(H4675=F4675,"Pas d'écart",IF(H4675&lt;F4675,"Ecart positif",IF(H4675&gt;F4675,"Ecart négatif")))</f>
        <v>Pas d'écart</v>
      </c>
      <c r="L4675" s="16">
        <f>base!X4675</f>
        <v>0</v>
      </c>
      <c r="M4675" s="11">
        <f t="shared" si="734"/>
        <v>0</v>
      </c>
      <c r="N4675" s="11">
        <f t="shared" si="735"/>
        <v>0</v>
      </c>
      <c r="O4675" s="11">
        <f t="shared" si="736"/>
        <v>0</v>
      </c>
      <c r="P4675" s="12">
        <f t="shared" si="737"/>
        <v>0</v>
      </c>
      <c r="Q4675" s="17" t="str">
        <f t="shared" ref="Q4675:Q4738" si="739">IF(N4675=L4675,"Pas d'écart",IF(N4675&lt;L4675,"Ecart positif",IF(N4675&gt;L4675,"Ecart négatif")))</f>
        <v>Pas d'écart</v>
      </c>
    </row>
    <row r="4676" spans="1:18" x14ac:dyDescent="0.3">
      <c r="A4676" s="34">
        <f>base!J4676</f>
        <v>0</v>
      </c>
      <c r="B4676" s="34" t="str">
        <f>base!V4676</f>
        <v>77184</v>
      </c>
      <c r="C4676" s="37">
        <v>77</v>
      </c>
      <c r="D4676" s="36">
        <f>base!H4676</f>
        <v>201</v>
      </c>
      <c r="E4676" s="44"/>
      <c r="F4676" s="16">
        <f>base!W4676</f>
        <v>0</v>
      </c>
      <c r="G4676" s="11">
        <f t="shared" si="730"/>
        <v>0</v>
      </c>
      <c r="H4676" s="11">
        <f t="shared" si="731"/>
        <v>0</v>
      </c>
      <c r="I4676" s="11">
        <f t="shared" si="732"/>
        <v>0</v>
      </c>
      <c r="J4676" s="12">
        <f t="shared" si="733"/>
        <v>0</v>
      </c>
      <c r="K4676" s="17" t="str">
        <f t="shared" si="738"/>
        <v>Pas d'écart</v>
      </c>
      <c r="L4676" s="16">
        <f>base!X4676</f>
        <v>0</v>
      </c>
      <c r="M4676" s="11">
        <f t="shared" si="734"/>
        <v>0</v>
      </c>
      <c r="N4676" s="11">
        <f t="shared" si="735"/>
        <v>0</v>
      </c>
      <c r="O4676" s="11">
        <f t="shared" si="736"/>
        <v>0</v>
      </c>
      <c r="P4676" s="12">
        <f t="shared" si="737"/>
        <v>0</v>
      </c>
      <c r="Q4676" s="17" t="str">
        <f t="shared" si="739"/>
        <v>Pas d'écart</v>
      </c>
    </row>
    <row r="4677" spans="1:18" x14ac:dyDescent="0.3">
      <c r="A4677" s="34" t="str">
        <f>base!J4677</f>
        <v>RM</v>
      </c>
      <c r="B4677" s="34" t="str">
        <f>base!V4677</f>
        <v>06000</v>
      </c>
      <c r="C4677" s="37">
        <v>6</v>
      </c>
      <c r="D4677" s="36">
        <f>base!H4677</f>
        <v>70</v>
      </c>
      <c r="E4677" s="44"/>
      <c r="F4677" s="16">
        <f>base!W4677</f>
        <v>0</v>
      </c>
      <c r="G4677" s="11">
        <f t="shared" si="730"/>
        <v>0</v>
      </c>
      <c r="H4677" s="11">
        <f t="shared" si="731"/>
        <v>21</v>
      </c>
      <c r="I4677" s="11">
        <f t="shared" si="732"/>
        <v>0.3</v>
      </c>
      <c r="J4677" s="12">
        <f t="shared" si="733"/>
        <v>-21</v>
      </c>
      <c r="K4677" s="17" t="str">
        <f t="shared" si="738"/>
        <v>Ecart négatif</v>
      </c>
      <c r="L4677" s="16">
        <f>base!X4677</f>
        <v>0</v>
      </c>
      <c r="M4677" s="11">
        <f t="shared" si="734"/>
        <v>0</v>
      </c>
      <c r="N4677" s="11">
        <f t="shared" si="735"/>
        <v>14.7</v>
      </c>
      <c r="O4677" s="11">
        <f t="shared" si="736"/>
        <v>0.21</v>
      </c>
      <c r="P4677" s="12">
        <f t="shared" si="737"/>
        <v>-14.7</v>
      </c>
      <c r="Q4677" s="17" t="str">
        <f t="shared" si="739"/>
        <v>Ecart négatif</v>
      </c>
    </row>
    <row r="4678" spans="1:18" x14ac:dyDescent="0.3">
      <c r="A4678" s="34" t="str">
        <f>base!J4678</f>
        <v>LS</v>
      </c>
      <c r="B4678" s="34" t="str">
        <f>base!V4678</f>
        <v>79000</v>
      </c>
      <c r="C4678" s="37">
        <v>44</v>
      </c>
      <c r="D4678" s="36">
        <f>base!H4678</f>
        <v>131.97999999999999</v>
      </c>
      <c r="E4678" s="44"/>
      <c r="F4678" s="16">
        <f>base!W4678</f>
        <v>27.72</v>
      </c>
      <c r="G4678" s="11">
        <f t="shared" si="730"/>
        <v>0.21003182300348539</v>
      </c>
      <c r="H4678" s="11">
        <f t="shared" si="731"/>
        <v>35.634599999999999</v>
      </c>
      <c r="I4678" s="11">
        <f t="shared" si="732"/>
        <v>0.27</v>
      </c>
      <c r="J4678" s="12">
        <f t="shared" si="733"/>
        <v>-7.9146000000000001</v>
      </c>
      <c r="K4678" s="17" t="str">
        <f t="shared" si="738"/>
        <v>Ecart négatif</v>
      </c>
      <c r="L4678" s="16">
        <f>base!X4678</f>
        <v>0</v>
      </c>
      <c r="M4678" s="11">
        <f t="shared" si="734"/>
        <v>0</v>
      </c>
      <c r="N4678" s="11">
        <f t="shared" si="735"/>
        <v>0</v>
      </c>
      <c r="O4678" s="11">
        <f t="shared" si="736"/>
        <v>0</v>
      </c>
      <c r="P4678" s="12">
        <f t="shared" si="737"/>
        <v>0</v>
      </c>
      <c r="Q4678" s="17" t="str">
        <f t="shared" si="739"/>
        <v>Pas d'écart</v>
      </c>
    </row>
    <row r="4679" spans="1:18" x14ac:dyDescent="0.3">
      <c r="A4679" s="34" t="str">
        <f>base!J4679</f>
        <v>LM</v>
      </c>
      <c r="B4679" s="34" t="str">
        <f>base!V4679</f>
        <v>56600</v>
      </c>
      <c r="C4679" s="37">
        <v>44</v>
      </c>
      <c r="D4679" s="36">
        <f>base!H4679</f>
        <v>6</v>
      </c>
      <c r="E4679" s="44"/>
      <c r="F4679" s="16">
        <f>base!W4679</f>
        <v>1.62</v>
      </c>
      <c r="G4679" s="11">
        <f t="shared" si="730"/>
        <v>0.27</v>
      </c>
      <c r="H4679" s="11">
        <f t="shared" si="731"/>
        <v>1.62</v>
      </c>
      <c r="I4679" s="11">
        <f t="shared" si="732"/>
        <v>0.27</v>
      </c>
      <c r="J4679" s="12">
        <f t="shared" si="733"/>
        <v>0</v>
      </c>
      <c r="K4679" s="17" t="str">
        <f t="shared" si="738"/>
        <v>Pas d'écart</v>
      </c>
      <c r="L4679" s="16">
        <f>base!X4679</f>
        <v>0</v>
      </c>
      <c r="M4679" s="11">
        <f t="shared" si="734"/>
        <v>0</v>
      </c>
      <c r="N4679" s="11">
        <f t="shared" si="735"/>
        <v>0</v>
      </c>
      <c r="O4679" s="11">
        <f t="shared" si="736"/>
        <v>0</v>
      </c>
      <c r="P4679" s="12">
        <f t="shared" si="737"/>
        <v>0</v>
      </c>
      <c r="Q4679" s="17" t="str">
        <f t="shared" si="739"/>
        <v>Pas d'écart</v>
      </c>
    </row>
    <row r="4680" spans="1:18" x14ac:dyDescent="0.3">
      <c r="A4680" s="34" t="str">
        <f>base!J4680</f>
        <v>LS</v>
      </c>
      <c r="B4680" s="34" t="str">
        <f>base!V4680</f>
        <v>59000</v>
      </c>
      <c r="C4680" s="37">
        <v>38</v>
      </c>
      <c r="D4680" s="36">
        <f>base!H4680</f>
        <v>33.6</v>
      </c>
      <c r="E4680" s="44"/>
      <c r="F4680" s="16">
        <f>base!W4680</f>
        <v>6.38</v>
      </c>
      <c r="G4680" s="11">
        <f t="shared" si="730"/>
        <v>0.18988095238095237</v>
      </c>
      <c r="H4680" s="11">
        <f t="shared" si="731"/>
        <v>9.072000000000001</v>
      </c>
      <c r="I4680" s="11">
        <f t="shared" si="732"/>
        <v>0.27</v>
      </c>
      <c r="J4680" s="12">
        <f t="shared" si="733"/>
        <v>-2.6920000000000011</v>
      </c>
      <c r="K4680" s="17" t="str">
        <f t="shared" si="738"/>
        <v>Ecart négatif</v>
      </c>
      <c r="L4680" s="16">
        <f>base!X4680</f>
        <v>0</v>
      </c>
      <c r="M4680" s="11">
        <f t="shared" si="734"/>
        <v>0</v>
      </c>
      <c r="N4680" s="11">
        <f t="shared" si="735"/>
        <v>0</v>
      </c>
      <c r="O4680" s="11">
        <f t="shared" si="736"/>
        <v>0</v>
      </c>
      <c r="P4680" s="12">
        <f t="shared" si="737"/>
        <v>0</v>
      </c>
      <c r="Q4680" s="17" t="str">
        <f t="shared" si="739"/>
        <v>Pas d'écart</v>
      </c>
    </row>
    <row r="4681" spans="1:18" x14ac:dyDescent="0.3">
      <c r="A4681" s="34" t="str">
        <f>base!J4681</f>
        <v>LM</v>
      </c>
      <c r="B4681" s="34" t="str">
        <f>base!V4681</f>
        <v>84140</v>
      </c>
      <c r="C4681" s="37">
        <v>44</v>
      </c>
      <c r="D4681" s="36">
        <f>base!H4681</f>
        <v>18.350000000000001</v>
      </c>
      <c r="E4681" s="44"/>
      <c r="F4681" s="16">
        <f>base!W4681</f>
        <v>5.32</v>
      </c>
      <c r="G4681" s="11">
        <f t="shared" si="730"/>
        <v>0.2899182561307902</v>
      </c>
      <c r="H4681" s="11">
        <f t="shared" si="731"/>
        <v>4.9545000000000003</v>
      </c>
      <c r="I4681" s="11">
        <f t="shared" si="732"/>
        <v>0.27</v>
      </c>
      <c r="J4681" s="12">
        <f t="shared" si="733"/>
        <v>0.36549999999999994</v>
      </c>
      <c r="K4681" s="17" t="str">
        <f t="shared" si="738"/>
        <v>Ecart positif</v>
      </c>
      <c r="L4681" s="16">
        <f>base!X4681</f>
        <v>0</v>
      </c>
      <c r="M4681" s="11">
        <f t="shared" si="734"/>
        <v>0</v>
      </c>
      <c r="N4681" s="11">
        <f t="shared" si="735"/>
        <v>0</v>
      </c>
      <c r="O4681" s="11">
        <f t="shared" si="736"/>
        <v>0</v>
      </c>
      <c r="P4681" s="12">
        <f t="shared" si="737"/>
        <v>0</v>
      </c>
      <c r="Q4681" s="17" t="str">
        <f t="shared" si="739"/>
        <v>Pas d'écart</v>
      </c>
    </row>
    <row r="4682" spans="1:18" x14ac:dyDescent="0.3">
      <c r="A4682" s="34" t="str">
        <f>base!J4682</f>
        <v>LM</v>
      </c>
      <c r="B4682" s="34" t="str">
        <f>base!V4682</f>
        <v>06000</v>
      </c>
      <c r="C4682" s="37">
        <v>7</v>
      </c>
      <c r="D4682" s="36">
        <f>base!H4682</f>
        <v>43.44</v>
      </c>
      <c r="E4682" s="44"/>
      <c r="F4682" s="16">
        <f>base!W4682</f>
        <v>13.03</v>
      </c>
      <c r="G4682" s="11">
        <f t="shared" si="730"/>
        <v>0.29995395948434622</v>
      </c>
      <c r="H4682" s="11">
        <f t="shared" si="731"/>
        <v>11.7288</v>
      </c>
      <c r="I4682" s="11">
        <f t="shared" si="732"/>
        <v>0.27</v>
      </c>
      <c r="J4682" s="12">
        <f t="shared" si="733"/>
        <v>1.3011999999999997</v>
      </c>
      <c r="K4682" s="17" t="str">
        <f t="shared" si="738"/>
        <v>Ecart positif</v>
      </c>
      <c r="L4682" s="16">
        <f>base!X4682</f>
        <v>0</v>
      </c>
      <c r="M4682" s="11">
        <f t="shared" si="734"/>
        <v>0</v>
      </c>
      <c r="N4682" s="11">
        <f t="shared" si="735"/>
        <v>0</v>
      </c>
      <c r="O4682" s="11">
        <f t="shared" si="736"/>
        <v>0</v>
      </c>
      <c r="P4682" s="12">
        <f t="shared" si="737"/>
        <v>0</v>
      </c>
      <c r="Q4682" s="17" t="str">
        <f t="shared" si="739"/>
        <v>Pas d'écart</v>
      </c>
    </row>
    <row r="4683" spans="1:18" x14ac:dyDescent="0.3">
      <c r="A4683" s="34" t="str">
        <f>base!J4683</f>
        <v>LS</v>
      </c>
      <c r="B4683" s="34" t="str">
        <f>base!V4683</f>
        <v>01000</v>
      </c>
      <c r="C4683" s="37">
        <v>1</v>
      </c>
      <c r="D4683" s="36">
        <f>base!H4683</f>
        <v>0.53</v>
      </c>
      <c r="E4683" s="44"/>
      <c r="F4683" s="16">
        <f>base!W4683</f>
        <v>0.14000000000000001</v>
      </c>
      <c r="G4683" s="11">
        <f t="shared" si="730"/>
        <v>0.26415094339622641</v>
      </c>
      <c r="H4683" s="11">
        <f t="shared" si="731"/>
        <v>0.13780000000000001</v>
      </c>
      <c r="I4683" s="11">
        <f t="shared" si="732"/>
        <v>0.26</v>
      </c>
      <c r="J4683" s="12">
        <f t="shared" si="733"/>
        <v>2.2000000000000075E-3</v>
      </c>
      <c r="K4683" s="17" t="str">
        <f t="shared" si="738"/>
        <v>Ecart positif</v>
      </c>
      <c r="L4683" s="16">
        <f>base!X4683</f>
        <v>0</v>
      </c>
      <c r="M4683" s="11">
        <f t="shared" si="734"/>
        <v>0</v>
      </c>
      <c r="N4683" s="11">
        <f t="shared" si="735"/>
        <v>0</v>
      </c>
      <c r="O4683" s="11">
        <f t="shared" si="736"/>
        <v>0</v>
      </c>
      <c r="P4683" s="12">
        <f t="shared" si="737"/>
        <v>0</v>
      </c>
      <c r="Q4683" s="17" t="str">
        <f t="shared" si="739"/>
        <v>Pas d'écart</v>
      </c>
    </row>
    <row r="4684" spans="1:18" x14ac:dyDescent="0.3">
      <c r="A4684" s="34" t="str">
        <f>base!J4684</f>
        <v>DLS</v>
      </c>
      <c r="B4684" s="34" t="str">
        <f>base!V4684</f>
        <v>30200</v>
      </c>
      <c r="C4684" s="37">
        <v>30</v>
      </c>
      <c r="D4684" s="36">
        <f>base!H4684</f>
        <v>29.59</v>
      </c>
      <c r="E4684" s="44"/>
      <c r="F4684" s="16">
        <f>base!W4684</f>
        <v>0</v>
      </c>
      <c r="G4684" s="11">
        <f t="shared" si="730"/>
        <v>0</v>
      </c>
      <c r="H4684" s="11">
        <f t="shared" si="731"/>
        <v>11.540100000000001</v>
      </c>
      <c r="I4684" s="11">
        <f t="shared" si="732"/>
        <v>0.39</v>
      </c>
      <c r="J4684" s="12">
        <f t="shared" si="733"/>
        <v>-11.540100000000001</v>
      </c>
      <c r="K4684" s="17" t="str">
        <f t="shared" si="738"/>
        <v>Ecart négatif</v>
      </c>
      <c r="L4684" s="16">
        <f>base!X4684</f>
        <v>0</v>
      </c>
      <c r="M4684" s="11">
        <f t="shared" si="734"/>
        <v>0</v>
      </c>
      <c r="N4684" s="11">
        <f t="shared" si="735"/>
        <v>8.2852000000000015</v>
      </c>
      <c r="O4684" s="11">
        <f t="shared" si="736"/>
        <v>0.28000000000000003</v>
      </c>
      <c r="P4684" s="12">
        <f t="shared" si="737"/>
        <v>-8.2852000000000015</v>
      </c>
      <c r="Q4684" s="17" t="str">
        <f t="shared" si="739"/>
        <v>Ecart négatif</v>
      </c>
    </row>
    <row r="4685" spans="1:18" x14ac:dyDescent="0.3">
      <c r="A4685" s="34" t="str">
        <f>base!J4685</f>
        <v>RM</v>
      </c>
      <c r="B4685" s="34" t="str">
        <f>base!V4685</f>
        <v>69006</v>
      </c>
      <c r="C4685" s="37">
        <v>69</v>
      </c>
      <c r="D4685" s="36">
        <f>base!H4685</f>
        <v>29.59</v>
      </c>
      <c r="E4685" s="44"/>
      <c r="F4685" s="16">
        <f>base!W4685</f>
        <v>0</v>
      </c>
      <c r="G4685" s="11">
        <f t="shared" si="730"/>
        <v>0</v>
      </c>
      <c r="H4685" s="11">
        <f t="shared" si="731"/>
        <v>7.9893000000000001</v>
      </c>
      <c r="I4685" s="11">
        <f t="shared" si="732"/>
        <v>0.27</v>
      </c>
      <c r="J4685" s="12">
        <f t="shared" si="733"/>
        <v>-7.9893000000000001</v>
      </c>
      <c r="K4685" s="17" t="str">
        <f t="shared" si="738"/>
        <v>Ecart négatif</v>
      </c>
      <c r="L4685" s="16">
        <f>base!X4685</f>
        <v>0</v>
      </c>
      <c r="M4685" s="11">
        <f t="shared" si="734"/>
        <v>0</v>
      </c>
      <c r="N4685" s="11">
        <f t="shared" si="735"/>
        <v>0</v>
      </c>
      <c r="O4685" s="11">
        <f t="shared" si="736"/>
        <v>0</v>
      </c>
      <c r="P4685" s="12">
        <f t="shared" si="737"/>
        <v>0</v>
      </c>
      <c r="Q4685" s="17" t="str">
        <f t="shared" si="739"/>
        <v>Pas d'écart</v>
      </c>
    </row>
    <row r="4686" spans="1:18" x14ac:dyDescent="0.3">
      <c r="A4686" s="34" t="str">
        <f>base!J4686</f>
        <v>RM</v>
      </c>
      <c r="B4686" s="34" t="str">
        <f>base!V4686</f>
        <v>69006</v>
      </c>
      <c r="C4686" s="37">
        <v>69</v>
      </c>
      <c r="D4686" s="36">
        <f>base!H4686</f>
        <v>29.59</v>
      </c>
      <c r="E4686" s="44"/>
      <c r="F4686" s="16">
        <f>base!W4686</f>
        <v>0</v>
      </c>
      <c r="G4686" s="11">
        <f t="shared" si="730"/>
        <v>0</v>
      </c>
      <c r="H4686" s="11">
        <f t="shared" si="731"/>
        <v>7.9893000000000001</v>
      </c>
      <c r="I4686" s="11">
        <f t="shared" si="732"/>
        <v>0.27</v>
      </c>
      <c r="J4686" s="12">
        <f t="shared" si="733"/>
        <v>-7.9893000000000001</v>
      </c>
      <c r="K4686" s="17" t="str">
        <f t="shared" si="738"/>
        <v>Ecart négatif</v>
      </c>
      <c r="L4686" s="16">
        <f>base!X4686</f>
        <v>0</v>
      </c>
      <c r="M4686" s="11">
        <f t="shared" si="734"/>
        <v>0</v>
      </c>
      <c r="N4686" s="11">
        <f t="shared" si="735"/>
        <v>0</v>
      </c>
      <c r="O4686" s="11">
        <f t="shared" si="736"/>
        <v>0</v>
      </c>
      <c r="P4686" s="12">
        <f t="shared" si="737"/>
        <v>0</v>
      </c>
      <c r="Q4686" s="17" t="str">
        <f t="shared" si="739"/>
        <v>Pas d'écart</v>
      </c>
    </row>
    <row r="4687" spans="1:18" x14ac:dyDescent="0.3">
      <c r="A4687" s="34" t="str">
        <f>base!J4687</f>
        <v>RM</v>
      </c>
      <c r="B4687" s="34" t="str">
        <f>base!V4687</f>
        <v>69006</v>
      </c>
      <c r="C4687" s="37">
        <v>69</v>
      </c>
      <c r="D4687" s="36">
        <f>base!H4687</f>
        <v>29.59</v>
      </c>
      <c r="E4687" s="44"/>
      <c r="F4687" s="16">
        <f>base!W4687</f>
        <v>0</v>
      </c>
      <c r="G4687" s="11">
        <f t="shared" si="730"/>
        <v>0</v>
      </c>
      <c r="H4687" s="11">
        <f t="shared" si="731"/>
        <v>7.9893000000000001</v>
      </c>
      <c r="I4687" s="11">
        <f t="shared" si="732"/>
        <v>0.27</v>
      </c>
      <c r="J4687" s="12">
        <f t="shared" si="733"/>
        <v>-7.9893000000000001</v>
      </c>
      <c r="K4687" s="17" t="str">
        <f t="shared" si="738"/>
        <v>Ecart négatif</v>
      </c>
      <c r="L4687" s="16">
        <f>base!X4687</f>
        <v>0</v>
      </c>
      <c r="M4687" s="11">
        <f t="shared" si="734"/>
        <v>0</v>
      </c>
      <c r="N4687" s="11">
        <f t="shared" si="735"/>
        <v>0</v>
      </c>
      <c r="O4687" s="11">
        <f t="shared" si="736"/>
        <v>0</v>
      </c>
      <c r="P4687" s="12">
        <f t="shared" si="737"/>
        <v>0</v>
      </c>
      <c r="Q4687" s="17" t="str">
        <f t="shared" si="739"/>
        <v>Pas d'écart</v>
      </c>
    </row>
    <row r="4688" spans="1:18" x14ac:dyDescent="0.3">
      <c r="A4688" s="34" t="str">
        <f>base!J4688</f>
        <v>LS</v>
      </c>
      <c r="B4688" s="34" t="str">
        <f>base!V4688</f>
        <v>27600</v>
      </c>
      <c r="C4688" s="37">
        <v>27</v>
      </c>
      <c r="D4688" s="36">
        <f>base!H4688</f>
        <v>40</v>
      </c>
      <c r="E4688" s="44"/>
      <c r="F4688" s="16">
        <f>base!W4688</f>
        <v>6.8</v>
      </c>
      <c r="G4688" s="11">
        <f t="shared" si="730"/>
        <v>0.16999999999999998</v>
      </c>
      <c r="H4688" s="11">
        <f t="shared" si="731"/>
        <v>6.8000000000000007</v>
      </c>
      <c r="I4688" s="11">
        <f t="shared" si="732"/>
        <v>0.17</v>
      </c>
      <c r="J4688" s="12">
        <f t="shared" si="733"/>
        <v>0</v>
      </c>
      <c r="K4688" s="17" t="str">
        <f t="shared" si="738"/>
        <v>Pas d'écart</v>
      </c>
      <c r="L4688" s="16">
        <f>base!X4688</f>
        <v>0</v>
      </c>
      <c r="M4688" s="11">
        <f t="shared" si="734"/>
        <v>0</v>
      </c>
      <c r="N4688" s="11">
        <f t="shared" si="735"/>
        <v>6.8000000000000007</v>
      </c>
      <c r="O4688" s="11">
        <f t="shared" si="736"/>
        <v>0.17</v>
      </c>
      <c r="P4688" s="12">
        <f t="shared" si="737"/>
        <v>-6.8000000000000007</v>
      </c>
      <c r="Q4688" s="17" t="str">
        <f t="shared" si="739"/>
        <v>Ecart négatif</v>
      </c>
    </row>
    <row r="4689" spans="1:18" x14ac:dyDescent="0.3">
      <c r="A4689" s="34">
        <f>base!J4689</f>
        <v>0</v>
      </c>
      <c r="B4689" s="34" t="str">
        <f>base!V4689</f>
        <v>77184</v>
      </c>
      <c r="C4689" s="37">
        <v>77</v>
      </c>
      <c r="D4689" s="36">
        <f>base!H4689</f>
        <v>152</v>
      </c>
      <c r="E4689" s="44"/>
      <c r="F4689" s="16">
        <f>base!W4689</f>
        <v>0</v>
      </c>
      <c r="G4689" s="11">
        <f t="shared" si="730"/>
        <v>0</v>
      </c>
      <c r="H4689" s="11">
        <f t="shared" si="731"/>
        <v>0</v>
      </c>
      <c r="I4689" s="11">
        <f t="shared" si="732"/>
        <v>0</v>
      </c>
      <c r="J4689" s="12">
        <f t="shared" si="733"/>
        <v>0</v>
      </c>
      <c r="K4689" s="17" t="str">
        <f t="shared" si="738"/>
        <v>Pas d'écart</v>
      </c>
      <c r="L4689" s="16">
        <f>base!X4689</f>
        <v>0</v>
      </c>
      <c r="M4689" s="11">
        <f t="shared" si="734"/>
        <v>0</v>
      </c>
      <c r="N4689" s="11">
        <f t="shared" si="735"/>
        <v>0</v>
      </c>
      <c r="O4689" s="11">
        <f t="shared" si="736"/>
        <v>0</v>
      </c>
      <c r="P4689" s="12">
        <f t="shared" si="737"/>
        <v>0</v>
      </c>
      <c r="Q4689" s="17" t="str">
        <f t="shared" si="739"/>
        <v>Pas d'écart</v>
      </c>
    </row>
    <row r="4690" spans="1:18" x14ac:dyDescent="0.3">
      <c r="A4690" s="34" t="str">
        <f>base!J4690</f>
        <v>RM</v>
      </c>
      <c r="B4690" s="34" t="str">
        <f>base!V4690</f>
        <v>48200</v>
      </c>
      <c r="C4690" s="37">
        <v>48</v>
      </c>
      <c r="D4690" s="36">
        <f>base!H4690</f>
        <v>42.03</v>
      </c>
      <c r="E4690" s="44"/>
      <c r="F4690" s="16">
        <f>base!W4690</f>
        <v>0</v>
      </c>
      <c r="G4690" s="11">
        <f t="shared" si="730"/>
        <v>0</v>
      </c>
      <c r="H4690" s="11">
        <f t="shared" si="731"/>
        <v>16.3917</v>
      </c>
      <c r="I4690" s="11">
        <f t="shared" si="732"/>
        <v>0.39</v>
      </c>
      <c r="J4690" s="12">
        <f t="shared" si="733"/>
        <v>-16.3917</v>
      </c>
      <c r="K4690" s="17" t="str">
        <f t="shared" si="738"/>
        <v>Ecart négatif</v>
      </c>
      <c r="L4690" s="16">
        <f>base!X4690</f>
        <v>16.39</v>
      </c>
      <c r="M4690" s="11">
        <f t="shared" si="734"/>
        <v>0.38995955270045207</v>
      </c>
      <c r="N4690" s="11">
        <f t="shared" si="735"/>
        <v>11.768400000000002</v>
      </c>
      <c r="O4690" s="11">
        <f t="shared" si="736"/>
        <v>0.28000000000000003</v>
      </c>
      <c r="P4690" s="12">
        <f t="shared" si="737"/>
        <v>4.621599999999999</v>
      </c>
      <c r="Q4690" s="17" t="str">
        <f t="shared" si="739"/>
        <v>Ecart positif</v>
      </c>
      <c r="R4690" s="38"/>
    </row>
    <row r="4691" spans="1:18" x14ac:dyDescent="0.3">
      <c r="A4691" s="34" t="str">
        <f>base!J4691</f>
        <v>RM</v>
      </c>
      <c r="B4691" s="34" t="str">
        <f>base!V4691</f>
        <v>69100</v>
      </c>
      <c r="C4691" s="37">
        <v>69</v>
      </c>
      <c r="D4691" s="36">
        <f>base!H4691</f>
        <v>90.99</v>
      </c>
      <c r="E4691" s="44"/>
      <c r="F4691" s="16">
        <f>base!W4691</f>
        <v>0</v>
      </c>
      <c r="G4691" s="11">
        <f t="shared" si="730"/>
        <v>0</v>
      </c>
      <c r="H4691" s="11">
        <f t="shared" si="731"/>
        <v>24.567299999999999</v>
      </c>
      <c r="I4691" s="11">
        <f t="shared" si="732"/>
        <v>0.27</v>
      </c>
      <c r="J4691" s="12">
        <f t="shared" si="733"/>
        <v>-24.567299999999999</v>
      </c>
      <c r="K4691" s="17" t="str">
        <f t="shared" si="738"/>
        <v>Ecart négatif</v>
      </c>
      <c r="L4691" s="16">
        <f>base!X4691</f>
        <v>0</v>
      </c>
      <c r="M4691" s="11">
        <f t="shared" si="734"/>
        <v>0</v>
      </c>
      <c r="N4691" s="11">
        <f t="shared" si="735"/>
        <v>0</v>
      </c>
      <c r="O4691" s="11">
        <f t="shared" si="736"/>
        <v>0</v>
      </c>
      <c r="P4691" s="12">
        <f t="shared" si="737"/>
        <v>0</v>
      </c>
      <c r="Q4691" s="17" t="str">
        <f t="shared" si="739"/>
        <v>Pas d'écart</v>
      </c>
    </row>
    <row r="4692" spans="1:18" x14ac:dyDescent="0.3">
      <c r="A4692" s="34" t="str">
        <f>base!J4692</f>
        <v>LM</v>
      </c>
      <c r="B4692" s="34" t="str">
        <f>base!V4692</f>
        <v>75001</v>
      </c>
      <c r="C4692" s="37">
        <v>75</v>
      </c>
      <c r="D4692" s="36">
        <f>base!H4692</f>
        <v>195.06</v>
      </c>
      <c r="E4692" s="44"/>
      <c r="F4692" s="16">
        <f>base!W4692</f>
        <v>0</v>
      </c>
      <c r="G4692" s="11">
        <f t="shared" si="730"/>
        <v>0</v>
      </c>
      <c r="H4692" s="11">
        <f t="shared" si="731"/>
        <v>0</v>
      </c>
      <c r="I4692" s="11">
        <f t="shared" si="732"/>
        <v>0</v>
      </c>
      <c r="J4692" s="12">
        <f t="shared" si="733"/>
        <v>0</v>
      </c>
      <c r="K4692" s="17" t="str">
        <f t="shared" si="738"/>
        <v>Pas d'écart</v>
      </c>
      <c r="L4692" s="16">
        <f>base!X4692</f>
        <v>0</v>
      </c>
      <c r="M4692" s="11">
        <f t="shared" si="734"/>
        <v>0</v>
      </c>
      <c r="N4692" s="11">
        <f t="shared" si="735"/>
        <v>0</v>
      </c>
      <c r="O4692" s="11">
        <f t="shared" si="736"/>
        <v>0</v>
      </c>
      <c r="P4692" s="12">
        <f t="shared" si="737"/>
        <v>0</v>
      </c>
      <c r="Q4692" s="17" t="str">
        <f t="shared" si="739"/>
        <v>Pas d'écart</v>
      </c>
    </row>
    <row r="4693" spans="1:18" x14ac:dyDescent="0.3">
      <c r="A4693" s="34" t="str">
        <f>base!J4693</f>
        <v>RS</v>
      </c>
      <c r="B4693" s="34" t="str">
        <f>base!V4693</f>
        <v>25200</v>
      </c>
      <c r="C4693" s="37">
        <v>25</v>
      </c>
      <c r="D4693" s="36">
        <f>base!H4693</f>
        <v>151</v>
      </c>
      <c r="E4693" s="44"/>
      <c r="F4693" s="16">
        <f>base!W4693</f>
        <v>0</v>
      </c>
      <c r="G4693" s="11">
        <f t="shared" si="730"/>
        <v>0</v>
      </c>
      <c r="H4693" s="11">
        <f t="shared" si="731"/>
        <v>36.24</v>
      </c>
      <c r="I4693" s="11">
        <f t="shared" si="732"/>
        <v>0.24000000000000002</v>
      </c>
      <c r="J4693" s="12">
        <f t="shared" si="733"/>
        <v>-36.24</v>
      </c>
      <c r="K4693" s="17" t="str">
        <f t="shared" si="738"/>
        <v>Ecart négatif</v>
      </c>
      <c r="L4693" s="16">
        <f>base!X4693</f>
        <v>18.12</v>
      </c>
      <c r="M4693" s="11">
        <f t="shared" si="734"/>
        <v>0.12000000000000001</v>
      </c>
      <c r="N4693" s="11">
        <f t="shared" si="735"/>
        <v>18.12</v>
      </c>
      <c r="O4693" s="11">
        <f t="shared" si="736"/>
        <v>0.12000000000000001</v>
      </c>
      <c r="P4693" s="12">
        <f t="shared" si="737"/>
        <v>0</v>
      </c>
      <c r="Q4693" s="17" t="str">
        <f t="shared" si="739"/>
        <v>Pas d'écart</v>
      </c>
      <c r="R4693" s="38"/>
    </row>
    <row r="4694" spans="1:18" x14ac:dyDescent="0.3">
      <c r="A4694" s="34" t="str">
        <f>base!J4694</f>
        <v>RS</v>
      </c>
      <c r="B4694" s="34" t="str">
        <f>base!V4694</f>
        <v>75014</v>
      </c>
      <c r="C4694" s="37">
        <v>75</v>
      </c>
      <c r="D4694" s="36">
        <f>base!H4694</f>
        <v>150.03</v>
      </c>
      <c r="E4694" s="44"/>
      <c r="F4694" s="16">
        <f>base!W4694</f>
        <v>0</v>
      </c>
      <c r="G4694" s="11">
        <f t="shared" si="730"/>
        <v>0</v>
      </c>
      <c r="H4694" s="11">
        <f t="shared" si="731"/>
        <v>0</v>
      </c>
      <c r="I4694" s="11">
        <f t="shared" si="732"/>
        <v>0</v>
      </c>
      <c r="J4694" s="12">
        <f t="shared" si="733"/>
        <v>0</v>
      </c>
      <c r="K4694" s="17" t="str">
        <f t="shared" si="738"/>
        <v>Pas d'écart</v>
      </c>
      <c r="L4694" s="16">
        <f>base!X4694</f>
        <v>0</v>
      </c>
      <c r="M4694" s="11">
        <f t="shared" si="734"/>
        <v>0</v>
      </c>
      <c r="N4694" s="11">
        <f t="shared" si="735"/>
        <v>0</v>
      </c>
      <c r="O4694" s="11">
        <f t="shared" si="736"/>
        <v>0</v>
      </c>
      <c r="P4694" s="12">
        <f t="shared" si="737"/>
        <v>0</v>
      </c>
      <c r="Q4694" s="17" t="str">
        <f t="shared" si="739"/>
        <v>Pas d'écart</v>
      </c>
    </row>
    <row r="4695" spans="1:18" x14ac:dyDescent="0.3">
      <c r="A4695" s="34" t="str">
        <f>base!J4695</f>
        <v>LS</v>
      </c>
      <c r="B4695" s="34" t="str">
        <f>base!V4695</f>
        <v>61250</v>
      </c>
      <c r="C4695" s="37">
        <v>69</v>
      </c>
      <c r="D4695" s="36">
        <f>base!H4695</f>
        <v>129.5</v>
      </c>
      <c r="E4695" s="44"/>
      <c r="F4695" s="16">
        <f>base!W4695</f>
        <v>22.02</v>
      </c>
      <c r="G4695" s="11">
        <f t="shared" si="730"/>
        <v>0.17003861003861004</v>
      </c>
      <c r="H4695" s="11">
        <f t="shared" si="731"/>
        <v>34.965000000000003</v>
      </c>
      <c r="I4695" s="11">
        <f t="shared" si="732"/>
        <v>0.27</v>
      </c>
      <c r="J4695" s="12">
        <f t="shared" si="733"/>
        <v>-12.945000000000004</v>
      </c>
      <c r="K4695" s="17" t="str">
        <f t="shared" si="738"/>
        <v>Ecart négatif</v>
      </c>
      <c r="L4695" s="16">
        <f>base!X4695</f>
        <v>0</v>
      </c>
      <c r="M4695" s="11">
        <f t="shared" si="734"/>
        <v>0</v>
      </c>
      <c r="N4695" s="11">
        <f t="shared" si="735"/>
        <v>0</v>
      </c>
      <c r="O4695" s="11">
        <f t="shared" si="736"/>
        <v>0</v>
      </c>
      <c r="P4695" s="12">
        <f t="shared" si="737"/>
        <v>0</v>
      </c>
      <c r="Q4695" s="17" t="str">
        <f t="shared" si="739"/>
        <v>Pas d'écart</v>
      </c>
    </row>
    <row r="4696" spans="1:18" x14ac:dyDescent="0.3">
      <c r="A4696" s="34" t="str">
        <f>base!J4696</f>
        <v>RM</v>
      </c>
      <c r="B4696" s="34" t="str">
        <f>base!V4696</f>
        <v>49430</v>
      </c>
      <c r="C4696" s="37">
        <v>49</v>
      </c>
      <c r="D4696" s="36">
        <f>base!H4696</f>
        <v>140</v>
      </c>
      <c r="E4696" s="44"/>
      <c r="F4696" s="16">
        <f>base!W4696</f>
        <v>0</v>
      </c>
      <c r="G4696" s="11">
        <f t="shared" si="730"/>
        <v>0</v>
      </c>
      <c r="H4696" s="11">
        <f t="shared" si="731"/>
        <v>37.800000000000004</v>
      </c>
      <c r="I4696" s="11">
        <f t="shared" si="732"/>
        <v>0.27</v>
      </c>
      <c r="J4696" s="12">
        <f t="shared" si="733"/>
        <v>-37.800000000000004</v>
      </c>
      <c r="K4696" s="17" t="str">
        <f t="shared" si="738"/>
        <v>Ecart négatif</v>
      </c>
      <c r="L4696" s="16">
        <f>base!X4696</f>
        <v>0</v>
      </c>
      <c r="M4696" s="11">
        <f t="shared" si="734"/>
        <v>0</v>
      </c>
      <c r="N4696" s="11">
        <f t="shared" si="735"/>
        <v>0</v>
      </c>
      <c r="O4696" s="11">
        <f t="shared" si="736"/>
        <v>0</v>
      </c>
      <c r="P4696" s="12">
        <f t="shared" si="737"/>
        <v>0</v>
      </c>
      <c r="Q4696" s="17" t="str">
        <f t="shared" si="739"/>
        <v>Pas d'écart</v>
      </c>
    </row>
    <row r="4697" spans="1:18" x14ac:dyDescent="0.3">
      <c r="A4697" s="34" t="str">
        <f>base!J4697</f>
        <v>RS</v>
      </c>
      <c r="B4697" s="34" t="str">
        <f>base!V4697</f>
        <v>83320</v>
      </c>
      <c r="C4697" s="37">
        <v>83</v>
      </c>
      <c r="D4697" s="36">
        <f>base!H4697</f>
        <v>140</v>
      </c>
      <c r="E4697" s="44"/>
      <c r="F4697" s="16">
        <f>base!W4697</f>
        <v>0</v>
      </c>
      <c r="G4697" s="11">
        <f t="shared" si="730"/>
        <v>0</v>
      </c>
      <c r="H4697" s="11">
        <f t="shared" si="731"/>
        <v>42</v>
      </c>
      <c r="I4697" s="11">
        <f t="shared" si="732"/>
        <v>0.3</v>
      </c>
      <c r="J4697" s="12">
        <f t="shared" si="733"/>
        <v>-42</v>
      </c>
      <c r="K4697" s="17" t="str">
        <f t="shared" si="738"/>
        <v>Ecart négatif</v>
      </c>
      <c r="L4697" s="16">
        <f>base!X4697</f>
        <v>29.4</v>
      </c>
      <c r="M4697" s="11">
        <f t="shared" si="734"/>
        <v>0.21</v>
      </c>
      <c r="N4697" s="11">
        <f t="shared" si="735"/>
        <v>29.4</v>
      </c>
      <c r="O4697" s="11">
        <f t="shared" si="736"/>
        <v>0.21</v>
      </c>
      <c r="P4697" s="12">
        <f t="shared" si="737"/>
        <v>0</v>
      </c>
      <c r="Q4697" s="17" t="str">
        <f t="shared" si="739"/>
        <v>Pas d'écart</v>
      </c>
      <c r="R4697" s="38"/>
    </row>
    <row r="4698" spans="1:18" x14ac:dyDescent="0.3">
      <c r="A4698" s="34" t="str">
        <f>base!J4698</f>
        <v>RS</v>
      </c>
      <c r="B4698" s="34" t="str">
        <f>base!V4698</f>
        <v>77380</v>
      </c>
      <c r="C4698" s="37">
        <v>77</v>
      </c>
      <c r="D4698" s="36">
        <f>base!H4698</f>
        <v>70</v>
      </c>
      <c r="E4698" s="44"/>
      <c r="F4698" s="16">
        <f>base!W4698</f>
        <v>0</v>
      </c>
      <c r="G4698" s="11">
        <f t="shared" si="730"/>
        <v>0</v>
      </c>
      <c r="H4698" s="11">
        <f t="shared" si="731"/>
        <v>0</v>
      </c>
      <c r="I4698" s="11">
        <f t="shared" si="732"/>
        <v>0</v>
      </c>
      <c r="J4698" s="12">
        <f t="shared" si="733"/>
        <v>0</v>
      </c>
      <c r="K4698" s="17" t="str">
        <f t="shared" si="738"/>
        <v>Pas d'écart</v>
      </c>
      <c r="L4698" s="16">
        <f>base!X4698</f>
        <v>0</v>
      </c>
      <c r="M4698" s="11">
        <f t="shared" si="734"/>
        <v>0</v>
      </c>
      <c r="N4698" s="11">
        <f t="shared" si="735"/>
        <v>0</v>
      </c>
      <c r="O4698" s="11">
        <f t="shared" si="736"/>
        <v>0</v>
      </c>
      <c r="P4698" s="12">
        <f t="shared" si="737"/>
        <v>0</v>
      </c>
      <c r="Q4698" s="17" t="str">
        <f t="shared" si="739"/>
        <v>Pas d'écart</v>
      </c>
    </row>
    <row r="4699" spans="1:18" x14ac:dyDescent="0.3">
      <c r="A4699" s="34" t="str">
        <f>base!J4699</f>
        <v>RS</v>
      </c>
      <c r="B4699" s="34" t="str">
        <f>base!V4699</f>
        <v>67000</v>
      </c>
      <c r="C4699" s="37">
        <v>67</v>
      </c>
      <c r="D4699" s="36">
        <f>base!H4699</f>
        <v>30</v>
      </c>
      <c r="E4699" s="44"/>
      <c r="F4699" s="16">
        <f>base!W4699</f>
        <v>0</v>
      </c>
      <c r="G4699" s="11">
        <f t="shared" si="730"/>
        <v>0</v>
      </c>
      <c r="H4699" s="11">
        <f t="shared" si="731"/>
        <v>8.6999999999999993</v>
      </c>
      <c r="I4699" s="11">
        <f t="shared" si="732"/>
        <v>0.28999999999999998</v>
      </c>
      <c r="J4699" s="12">
        <f t="shared" si="733"/>
        <v>-8.6999999999999993</v>
      </c>
      <c r="K4699" s="17" t="str">
        <f t="shared" si="738"/>
        <v>Ecart négatif</v>
      </c>
      <c r="L4699" s="16">
        <f>base!X4699</f>
        <v>2.4</v>
      </c>
      <c r="M4699" s="11">
        <f t="shared" si="734"/>
        <v>0.08</v>
      </c>
      <c r="N4699" s="11">
        <f t="shared" si="735"/>
        <v>2.4</v>
      </c>
      <c r="O4699" s="11">
        <f t="shared" si="736"/>
        <v>0.08</v>
      </c>
      <c r="P4699" s="12">
        <f t="shared" si="737"/>
        <v>0</v>
      </c>
      <c r="Q4699" s="17" t="str">
        <f t="shared" si="739"/>
        <v>Pas d'écart</v>
      </c>
      <c r="R4699" s="38"/>
    </row>
    <row r="4700" spans="1:18" x14ac:dyDescent="0.3">
      <c r="A4700" s="34" t="str">
        <f>base!J4700</f>
        <v>RS</v>
      </c>
      <c r="B4700" s="34" t="str">
        <f>base!V4700</f>
        <v>44600</v>
      </c>
      <c r="C4700" s="37">
        <v>44</v>
      </c>
      <c r="D4700" s="36">
        <f>base!H4700</f>
        <v>35</v>
      </c>
      <c r="E4700" s="44"/>
      <c r="F4700" s="16">
        <f>base!W4700</f>
        <v>0</v>
      </c>
      <c r="G4700" s="11">
        <f t="shared" si="730"/>
        <v>0</v>
      </c>
      <c r="H4700" s="11">
        <f t="shared" si="731"/>
        <v>9.4500000000000011</v>
      </c>
      <c r="I4700" s="11">
        <f t="shared" si="732"/>
        <v>0.27</v>
      </c>
      <c r="J4700" s="12">
        <f t="shared" si="733"/>
        <v>-9.4500000000000011</v>
      </c>
      <c r="K4700" s="17" t="str">
        <f t="shared" si="738"/>
        <v>Ecart négatif</v>
      </c>
      <c r="L4700" s="16">
        <f>base!X4700</f>
        <v>0</v>
      </c>
      <c r="M4700" s="11">
        <f t="shared" si="734"/>
        <v>0</v>
      </c>
      <c r="N4700" s="11">
        <f t="shared" si="735"/>
        <v>0</v>
      </c>
      <c r="O4700" s="11">
        <f t="shared" si="736"/>
        <v>0</v>
      </c>
      <c r="P4700" s="12">
        <f t="shared" si="737"/>
        <v>0</v>
      </c>
      <c r="Q4700" s="17" t="str">
        <f t="shared" si="739"/>
        <v>Pas d'écart</v>
      </c>
    </row>
    <row r="4701" spans="1:18" x14ac:dyDescent="0.3">
      <c r="A4701" s="34" t="str">
        <f>base!J4701</f>
        <v>RM</v>
      </c>
      <c r="B4701" s="34" t="str">
        <f>base!V4701</f>
        <v>69120</v>
      </c>
      <c r="C4701" s="37">
        <v>69</v>
      </c>
      <c r="D4701" s="36">
        <f>base!H4701</f>
        <v>151</v>
      </c>
      <c r="E4701" s="44"/>
      <c r="F4701" s="16">
        <f>base!W4701</f>
        <v>0</v>
      </c>
      <c r="G4701" s="11">
        <f t="shared" si="730"/>
        <v>0</v>
      </c>
      <c r="H4701" s="11">
        <f t="shared" si="731"/>
        <v>40.770000000000003</v>
      </c>
      <c r="I4701" s="11">
        <f t="shared" si="732"/>
        <v>0.27</v>
      </c>
      <c r="J4701" s="12">
        <f t="shared" si="733"/>
        <v>-40.770000000000003</v>
      </c>
      <c r="K4701" s="17" t="str">
        <f t="shared" si="738"/>
        <v>Ecart négatif</v>
      </c>
      <c r="L4701" s="16">
        <f>base!X4701</f>
        <v>0</v>
      </c>
      <c r="M4701" s="11">
        <f t="shared" si="734"/>
        <v>0</v>
      </c>
      <c r="N4701" s="11">
        <f t="shared" si="735"/>
        <v>0</v>
      </c>
      <c r="O4701" s="11">
        <f t="shared" si="736"/>
        <v>0</v>
      </c>
      <c r="P4701" s="12">
        <f t="shared" si="737"/>
        <v>0</v>
      </c>
      <c r="Q4701" s="17" t="str">
        <f t="shared" si="739"/>
        <v>Pas d'écart</v>
      </c>
    </row>
    <row r="4702" spans="1:18" x14ac:dyDescent="0.3">
      <c r="A4702" s="34" t="str">
        <f>base!J4702</f>
        <v>RM</v>
      </c>
      <c r="B4702" s="34" t="str">
        <f>base!V4702</f>
        <v>76140</v>
      </c>
      <c r="C4702" s="37">
        <v>76</v>
      </c>
      <c r="D4702" s="36">
        <f>base!H4702</f>
        <v>180</v>
      </c>
      <c r="E4702" s="44"/>
      <c r="F4702" s="16">
        <f>base!W4702</f>
        <v>0</v>
      </c>
      <c r="G4702" s="11">
        <f t="shared" si="730"/>
        <v>0</v>
      </c>
      <c r="H4702" s="11">
        <f t="shared" si="731"/>
        <v>30.6</v>
      </c>
      <c r="I4702" s="11">
        <f t="shared" si="732"/>
        <v>0.17</v>
      </c>
      <c r="J4702" s="12">
        <f t="shared" si="733"/>
        <v>-30.6</v>
      </c>
      <c r="K4702" s="17" t="str">
        <f t="shared" si="738"/>
        <v>Ecart négatif</v>
      </c>
      <c r="L4702" s="16">
        <f>base!X4702</f>
        <v>30.6</v>
      </c>
      <c r="M4702" s="11">
        <f t="shared" si="734"/>
        <v>0.17</v>
      </c>
      <c r="N4702" s="11">
        <f t="shared" si="735"/>
        <v>30.6</v>
      </c>
      <c r="O4702" s="11">
        <f t="shared" si="736"/>
        <v>0.17</v>
      </c>
      <c r="P4702" s="12">
        <f t="shared" si="737"/>
        <v>0</v>
      </c>
      <c r="Q4702" s="17" t="str">
        <f t="shared" si="739"/>
        <v>Pas d'écart</v>
      </c>
    </row>
    <row r="4703" spans="1:18" x14ac:dyDescent="0.3">
      <c r="A4703" s="34" t="str">
        <f>base!J4703</f>
        <v>RS</v>
      </c>
      <c r="B4703" s="34" t="str">
        <f>base!V4703</f>
        <v>88140</v>
      </c>
      <c r="C4703" s="37">
        <v>88</v>
      </c>
      <c r="D4703" s="36">
        <f>base!H4703</f>
        <v>140</v>
      </c>
      <c r="E4703" s="44"/>
      <c r="F4703" s="16">
        <f>base!W4703</f>
        <v>0</v>
      </c>
      <c r="G4703" s="11">
        <f t="shared" si="730"/>
        <v>0</v>
      </c>
      <c r="H4703" s="11">
        <f t="shared" si="731"/>
        <v>39.200000000000003</v>
      </c>
      <c r="I4703" s="11">
        <f t="shared" si="732"/>
        <v>0.28000000000000003</v>
      </c>
      <c r="J4703" s="12">
        <f t="shared" si="733"/>
        <v>-39.200000000000003</v>
      </c>
      <c r="K4703" s="17" t="str">
        <f t="shared" si="738"/>
        <v>Ecart négatif</v>
      </c>
      <c r="L4703" s="16">
        <f>base!X4703</f>
        <v>11.2</v>
      </c>
      <c r="M4703" s="11">
        <f t="shared" si="734"/>
        <v>0.08</v>
      </c>
      <c r="N4703" s="11">
        <f t="shared" si="735"/>
        <v>11.200000000000001</v>
      </c>
      <c r="O4703" s="11">
        <f t="shared" si="736"/>
        <v>0.08</v>
      </c>
      <c r="P4703" s="12">
        <f t="shared" si="737"/>
        <v>0</v>
      </c>
      <c r="Q4703" s="17" t="str">
        <f t="shared" si="739"/>
        <v>Pas d'écart</v>
      </c>
      <c r="R4703" s="38"/>
    </row>
    <row r="4704" spans="1:18" x14ac:dyDescent="0.3">
      <c r="A4704" s="34" t="str">
        <f>base!J4704</f>
        <v>DLS</v>
      </c>
      <c r="B4704" s="34" t="str">
        <f>base!V4704</f>
        <v>14200</v>
      </c>
      <c r="C4704" s="37">
        <v>14</v>
      </c>
      <c r="D4704" s="36">
        <f>base!H4704</f>
        <v>145.82</v>
      </c>
      <c r="E4704" s="44"/>
      <c r="F4704" s="16">
        <f>base!W4704</f>
        <v>0</v>
      </c>
      <c r="G4704" s="11">
        <f t="shared" si="730"/>
        <v>0</v>
      </c>
      <c r="H4704" s="11">
        <f t="shared" si="731"/>
        <v>24.789400000000001</v>
      </c>
      <c r="I4704" s="11">
        <f t="shared" si="732"/>
        <v>0.17</v>
      </c>
      <c r="J4704" s="12">
        <f t="shared" si="733"/>
        <v>-24.789400000000001</v>
      </c>
      <c r="K4704" s="17" t="str">
        <f t="shared" si="738"/>
        <v>Ecart négatif</v>
      </c>
      <c r="L4704" s="16">
        <f>base!X4704</f>
        <v>27.71</v>
      </c>
      <c r="M4704" s="11">
        <f t="shared" si="734"/>
        <v>0.19002880263338365</v>
      </c>
      <c r="N4704" s="11">
        <f t="shared" si="735"/>
        <v>24.789400000000001</v>
      </c>
      <c r="O4704" s="11">
        <f t="shared" si="736"/>
        <v>0.17</v>
      </c>
      <c r="P4704" s="12">
        <f t="shared" si="737"/>
        <v>2.9206000000000003</v>
      </c>
      <c r="Q4704" s="17" t="str">
        <f t="shared" si="739"/>
        <v>Ecart positif</v>
      </c>
    </row>
    <row r="4705" spans="1:18" x14ac:dyDescent="0.3">
      <c r="A4705" s="34" t="str">
        <f>base!J4705</f>
        <v>RM</v>
      </c>
      <c r="B4705" s="34" t="str">
        <f>base!V4705</f>
        <v>83140</v>
      </c>
      <c r="C4705" s="37">
        <v>83</v>
      </c>
      <c r="D4705" s="36">
        <f>base!H4705</f>
        <v>124</v>
      </c>
      <c r="E4705" s="44"/>
      <c r="F4705" s="16">
        <f>base!W4705</f>
        <v>0</v>
      </c>
      <c r="G4705" s="11">
        <f t="shared" si="730"/>
        <v>0</v>
      </c>
      <c r="H4705" s="11">
        <f t="shared" si="731"/>
        <v>37.199999999999996</v>
      </c>
      <c r="I4705" s="11">
        <f t="shared" si="732"/>
        <v>0.3</v>
      </c>
      <c r="J4705" s="12">
        <f t="shared" si="733"/>
        <v>-37.199999999999996</v>
      </c>
      <c r="K4705" s="17" t="str">
        <f t="shared" si="738"/>
        <v>Ecart négatif</v>
      </c>
      <c r="L4705" s="16">
        <f>base!X4705</f>
        <v>0</v>
      </c>
      <c r="M4705" s="11">
        <f t="shared" si="734"/>
        <v>0</v>
      </c>
      <c r="N4705" s="11">
        <f t="shared" si="735"/>
        <v>26.04</v>
      </c>
      <c r="O4705" s="11">
        <f t="shared" si="736"/>
        <v>0.21</v>
      </c>
      <c r="P4705" s="12">
        <f t="shared" si="737"/>
        <v>-26.04</v>
      </c>
      <c r="Q4705" s="17" t="str">
        <f t="shared" si="739"/>
        <v>Ecart négatif</v>
      </c>
    </row>
    <row r="4706" spans="1:18" x14ac:dyDescent="0.3">
      <c r="A4706" s="34" t="str">
        <f>base!J4706</f>
        <v>RS</v>
      </c>
      <c r="B4706" s="34" t="str">
        <f>base!V4706</f>
        <v>33700</v>
      </c>
      <c r="C4706" s="37">
        <v>33</v>
      </c>
      <c r="D4706" s="36">
        <f>base!H4706</f>
        <v>180</v>
      </c>
      <c r="E4706" s="44"/>
      <c r="F4706" s="16">
        <f>base!W4706</f>
        <v>0</v>
      </c>
      <c r="G4706" s="11">
        <f t="shared" si="730"/>
        <v>0</v>
      </c>
      <c r="H4706" s="11">
        <f t="shared" si="731"/>
        <v>37.799999999999997</v>
      </c>
      <c r="I4706" s="11">
        <f t="shared" si="732"/>
        <v>0.21</v>
      </c>
      <c r="J4706" s="12">
        <f t="shared" si="733"/>
        <v>-37.799999999999997</v>
      </c>
      <c r="K4706" s="17" t="str">
        <f t="shared" si="738"/>
        <v>Ecart négatif</v>
      </c>
      <c r="L4706" s="16">
        <f>base!X4706</f>
        <v>30.6</v>
      </c>
      <c r="M4706" s="11">
        <f t="shared" si="734"/>
        <v>0.17</v>
      </c>
      <c r="N4706" s="11">
        <f t="shared" si="735"/>
        <v>30.6</v>
      </c>
      <c r="O4706" s="11">
        <f t="shared" si="736"/>
        <v>0.17</v>
      </c>
      <c r="P4706" s="12">
        <f t="shared" si="737"/>
        <v>0</v>
      </c>
      <c r="Q4706" s="17" t="str">
        <f t="shared" si="739"/>
        <v>Pas d'écart</v>
      </c>
      <c r="R4706" s="38"/>
    </row>
    <row r="4707" spans="1:18" x14ac:dyDescent="0.3">
      <c r="A4707" s="34" t="str">
        <f>base!J4707</f>
        <v>RM</v>
      </c>
      <c r="B4707" s="34" t="str">
        <f>base!V4707</f>
        <v>36200</v>
      </c>
      <c r="C4707" s="37">
        <v>36</v>
      </c>
      <c r="D4707" s="36">
        <f>base!H4707</f>
        <v>151</v>
      </c>
      <c r="E4707" s="44"/>
      <c r="F4707" s="16">
        <f>base!W4707</f>
        <v>0</v>
      </c>
      <c r="G4707" s="11">
        <f t="shared" si="730"/>
        <v>0</v>
      </c>
      <c r="H4707" s="11">
        <f t="shared" si="731"/>
        <v>31.709999999999997</v>
      </c>
      <c r="I4707" s="11">
        <f t="shared" si="732"/>
        <v>0.21</v>
      </c>
      <c r="J4707" s="12">
        <f t="shared" si="733"/>
        <v>-31.709999999999997</v>
      </c>
      <c r="K4707" s="17" t="str">
        <f t="shared" si="738"/>
        <v>Ecart négatif</v>
      </c>
      <c r="L4707" s="16">
        <f>base!X4707</f>
        <v>18.12</v>
      </c>
      <c r="M4707" s="11">
        <f t="shared" si="734"/>
        <v>0.12000000000000001</v>
      </c>
      <c r="N4707" s="11">
        <f t="shared" si="735"/>
        <v>18.12</v>
      </c>
      <c r="O4707" s="11">
        <f t="shared" si="736"/>
        <v>0.12000000000000001</v>
      </c>
      <c r="P4707" s="12">
        <f t="shared" si="737"/>
        <v>0</v>
      </c>
      <c r="Q4707" s="17" t="str">
        <f t="shared" si="739"/>
        <v>Pas d'écart</v>
      </c>
      <c r="R4707" s="38"/>
    </row>
    <row r="4708" spans="1:18" x14ac:dyDescent="0.3">
      <c r="A4708" s="34" t="str">
        <f>base!J4708</f>
        <v>RS</v>
      </c>
      <c r="B4708" s="34" t="str">
        <f>base!V4708</f>
        <v>37210</v>
      </c>
      <c r="C4708" s="37">
        <v>37</v>
      </c>
      <c r="D4708" s="36">
        <f>base!H4708</f>
        <v>3.23</v>
      </c>
      <c r="E4708" s="44"/>
      <c r="F4708" s="16">
        <f>base!W4708</f>
        <v>0</v>
      </c>
      <c r="G4708" s="11">
        <f t="shared" si="730"/>
        <v>0</v>
      </c>
      <c r="H4708" s="11">
        <f t="shared" si="731"/>
        <v>0.61370000000000002</v>
      </c>
      <c r="I4708" s="11">
        <f t="shared" si="732"/>
        <v>0.19</v>
      </c>
      <c r="J4708" s="12">
        <f t="shared" si="733"/>
        <v>-0.61370000000000002</v>
      </c>
      <c r="K4708" s="17" t="str">
        <f t="shared" si="738"/>
        <v>Ecart négatif</v>
      </c>
      <c r="L4708" s="16">
        <f>base!X4708</f>
        <v>0.68</v>
      </c>
      <c r="M4708" s="11">
        <f t="shared" si="734"/>
        <v>0.2105263157894737</v>
      </c>
      <c r="N4708" s="11">
        <f t="shared" si="735"/>
        <v>0.3876</v>
      </c>
      <c r="O4708" s="11">
        <f t="shared" si="736"/>
        <v>0.12</v>
      </c>
      <c r="P4708" s="12">
        <f t="shared" si="737"/>
        <v>0.29240000000000005</v>
      </c>
      <c r="Q4708" s="17" t="str">
        <f t="shared" si="739"/>
        <v>Ecart positif</v>
      </c>
      <c r="R4708" s="38"/>
    </row>
    <row r="4709" spans="1:18" x14ac:dyDescent="0.3">
      <c r="A4709" s="34" t="str">
        <f>base!J4709</f>
        <v>RS</v>
      </c>
      <c r="B4709" s="34" t="str">
        <f>base!V4709</f>
        <v>54200</v>
      </c>
      <c r="C4709" s="37">
        <v>54</v>
      </c>
      <c r="D4709" s="36">
        <f>base!H4709</f>
        <v>66.3</v>
      </c>
      <c r="E4709" s="44"/>
      <c r="F4709" s="16">
        <f>base!W4709</f>
        <v>0</v>
      </c>
      <c r="G4709" s="11">
        <f t="shared" si="730"/>
        <v>0</v>
      </c>
      <c r="H4709" s="11">
        <f t="shared" si="731"/>
        <v>16.574999999999999</v>
      </c>
      <c r="I4709" s="11">
        <f t="shared" si="732"/>
        <v>0.25</v>
      </c>
      <c r="J4709" s="12">
        <f t="shared" si="733"/>
        <v>-16.574999999999999</v>
      </c>
      <c r="K4709" s="17" t="str">
        <f t="shared" si="738"/>
        <v>Ecart négatif</v>
      </c>
      <c r="L4709" s="16">
        <f>base!X4709</f>
        <v>16.57</v>
      </c>
      <c r="M4709" s="11">
        <f t="shared" si="734"/>
        <v>0.24992458521870289</v>
      </c>
      <c r="N4709" s="11">
        <f t="shared" si="735"/>
        <v>16.574999999999999</v>
      </c>
      <c r="O4709" s="11">
        <f t="shared" si="736"/>
        <v>0.25</v>
      </c>
      <c r="P4709" s="12">
        <f t="shared" si="737"/>
        <v>-4.9999999999990052E-3</v>
      </c>
      <c r="Q4709" s="17" t="str">
        <f t="shared" si="739"/>
        <v>Ecart négatif</v>
      </c>
      <c r="R4709" s="38"/>
    </row>
    <row r="4710" spans="1:18" x14ac:dyDescent="0.3">
      <c r="A4710" s="34" t="str">
        <f>base!J4710</f>
        <v>LM</v>
      </c>
      <c r="B4710" s="34" t="str">
        <f>base!V4710</f>
        <v>92000</v>
      </c>
      <c r="C4710" s="37">
        <v>92</v>
      </c>
      <c r="D4710" s="36">
        <f>base!H4710</f>
        <v>50.84</v>
      </c>
      <c r="E4710" s="44"/>
      <c r="F4710" s="16">
        <f>base!W4710</f>
        <v>0</v>
      </c>
      <c r="G4710" s="11">
        <f t="shared" si="730"/>
        <v>0</v>
      </c>
      <c r="H4710" s="11">
        <f t="shared" si="731"/>
        <v>0</v>
      </c>
      <c r="I4710" s="11">
        <f t="shared" si="732"/>
        <v>0</v>
      </c>
      <c r="J4710" s="12">
        <f t="shared" si="733"/>
        <v>0</v>
      </c>
      <c r="K4710" s="17" t="str">
        <f t="shared" si="738"/>
        <v>Pas d'écart</v>
      </c>
      <c r="L4710" s="16">
        <f>base!X4710</f>
        <v>0</v>
      </c>
      <c r="M4710" s="11">
        <f t="shared" si="734"/>
        <v>0</v>
      </c>
      <c r="N4710" s="11">
        <f t="shared" si="735"/>
        <v>0</v>
      </c>
      <c r="O4710" s="11">
        <f t="shared" si="736"/>
        <v>0</v>
      </c>
      <c r="P4710" s="12">
        <f t="shared" si="737"/>
        <v>0</v>
      </c>
      <c r="Q4710" s="17" t="str">
        <f t="shared" si="739"/>
        <v>Pas d'écart</v>
      </c>
    </row>
    <row r="4711" spans="1:18" x14ac:dyDescent="0.3">
      <c r="A4711" s="34" t="str">
        <f>base!J4711</f>
        <v>RM</v>
      </c>
      <c r="B4711" s="34" t="str">
        <f>base!V4711</f>
        <v>06190</v>
      </c>
      <c r="C4711" s="37">
        <v>6</v>
      </c>
      <c r="D4711" s="36">
        <f>base!H4711</f>
        <v>90</v>
      </c>
      <c r="E4711" s="44"/>
      <c r="F4711" s="16">
        <f>base!W4711</f>
        <v>0</v>
      </c>
      <c r="G4711" s="11">
        <f t="shared" si="730"/>
        <v>0</v>
      </c>
      <c r="H4711" s="11">
        <f t="shared" si="731"/>
        <v>27</v>
      </c>
      <c r="I4711" s="11">
        <f t="shared" si="732"/>
        <v>0.3</v>
      </c>
      <c r="J4711" s="12">
        <f t="shared" si="733"/>
        <v>-27</v>
      </c>
      <c r="K4711" s="17" t="str">
        <f t="shared" si="738"/>
        <v>Ecart négatif</v>
      </c>
      <c r="L4711" s="16">
        <f>base!X4711</f>
        <v>27</v>
      </c>
      <c r="M4711" s="11">
        <f t="shared" si="734"/>
        <v>0.3</v>
      </c>
      <c r="N4711" s="11">
        <f t="shared" si="735"/>
        <v>18.899999999999999</v>
      </c>
      <c r="O4711" s="11">
        <f t="shared" si="736"/>
        <v>0.21</v>
      </c>
      <c r="P4711" s="12">
        <f t="shared" si="737"/>
        <v>8.1000000000000014</v>
      </c>
      <c r="Q4711" s="17" t="str">
        <f t="shared" si="739"/>
        <v>Ecart positif</v>
      </c>
    </row>
    <row r="4712" spans="1:18" x14ac:dyDescent="0.3">
      <c r="A4712" s="34" t="str">
        <f>base!J4712</f>
        <v>RS</v>
      </c>
      <c r="B4712" s="34" t="str">
        <f>base!V4712</f>
        <v>30200</v>
      </c>
      <c r="C4712" s="37">
        <v>30</v>
      </c>
      <c r="D4712" s="36">
        <f>base!H4712</f>
        <v>91.38</v>
      </c>
      <c r="E4712" s="44"/>
      <c r="F4712" s="16">
        <f>base!W4712</f>
        <v>0</v>
      </c>
      <c r="G4712" s="11">
        <f t="shared" si="730"/>
        <v>0</v>
      </c>
      <c r="H4712" s="11">
        <f t="shared" si="731"/>
        <v>35.638199999999998</v>
      </c>
      <c r="I4712" s="11">
        <f t="shared" si="732"/>
        <v>0.39</v>
      </c>
      <c r="J4712" s="12">
        <f t="shared" si="733"/>
        <v>-35.638199999999998</v>
      </c>
      <c r="K4712" s="17" t="str">
        <f t="shared" si="738"/>
        <v>Ecart négatif</v>
      </c>
      <c r="L4712" s="16">
        <f>base!X4712</f>
        <v>0</v>
      </c>
      <c r="M4712" s="11">
        <f t="shared" si="734"/>
        <v>0</v>
      </c>
      <c r="N4712" s="11">
        <f t="shared" si="735"/>
        <v>25.586400000000001</v>
      </c>
      <c r="O4712" s="11">
        <f t="shared" si="736"/>
        <v>0.28000000000000003</v>
      </c>
      <c r="P4712" s="12">
        <f t="shared" si="737"/>
        <v>-25.586400000000001</v>
      </c>
      <c r="Q4712" s="17" t="str">
        <f t="shared" si="739"/>
        <v>Ecart négatif</v>
      </c>
    </row>
    <row r="4713" spans="1:18" x14ac:dyDescent="0.3">
      <c r="A4713" s="34" t="str">
        <f>base!J4713</f>
        <v>RS</v>
      </c>
      <c r="B4713" s="34" t="str">
        <f>base!V4713</f>
        <v>37600</v>
      </c>
      <c r="C4713" s="37">
        <v>37</v>
      </c>
      <c r="D4713" s="36">
        <f>base!H4713</f>
        <v>160.97999999999999</v>
      </c>
      <c r="E4713" s="44"/>
      <c r="F4713" s="16">
        <f>base!W4713</f>
        <v>0</v>
      </c>
      <c r="G4713" s="11">
        <f t="shared" si="730"/>
        <v>0</v>
      </c>
      <c r="H4713" s="11">
        <f t="shared" si="731"/>
        <v>30.586199999999998</v>
      </c>
      <c r="I4713" s="11">
        <f t="shared" si="732"/>
        <v>0.19</v>
      </c>
      <c r="J4713" s="12">
        <f t="shared" si="733"/>
        <v>-30.586199999999998</v>
      </c>
      <c r="K4713" s="17" t="str">
        <f t="shared" si="738"/>
        <v>Ecart négatif</v>
      </c>
      <c r="L4713" s="16">
        <f>base!X4713</f>
        <v>43.46</v>
      </c>
      <c r="M4713" s="11">
        <f t="shared" si="734"/>
        <v>0.26997142502174187</v>
      </c>
      <c r="N4713" s="11">
        <f t="shared" si="735"/>
        <v>19.317599999999999</v>
      </c>
      <c r="O4713" s="11">
        <f t="shared" si="736"/>
        <v>0.12</v>
      </c>
      <c r="P4713" s="12">
        <f t="shared" si="737"/>
        <v>24.142400000000002</v>
      </c>
      <c r="Q4713" s="17" t="str">
        <f t="shared" si="739"/>
        <v>Ecart positif</v>
      </c>
      <c r="R4713" s="38"/>
    </row>
    <row r="4714" spans="1:18" x14ac:dyDescent="0.3">
      <c r="A4714" s="34" t="str">
        <f>base!J4714</f>
        <v>LS</v>
      </c>
      <c r="B4714" s="34" t="str">
        <f>base!V4714</f>
        <v>77300</v>
      </c>
      <c r="C4714" s="37">
        <v>77</v>
      </c>
      <c r="D4714" s="36">
        <f>base!H4714</f>
        <v>292.43</v>
      </c>
      <c r="E4714" s="44"/>
      <c r="F4714" s="16">
        <f>base!W4714</f>
        <v>0</v>
      </c>
      <c r="G4714" s="11">
        <f t="shared" si="730"/>
        <v>0</v>
      </c>
      <c r="H4714" s="11">
        <f t="shared" si="731"/>
        <v>0</v>
      </c>
      <c r="I4714" s="11">
        <f t="shared" si="732"/>
        <v>0</v>
      </c>
      <c r="J4714" s="12">
        <f t="shared" si="733"/>
        <v>0</v>
      </c>
      <c r="K4714" s="17" t="str">
        <f t="shared" si="738"/>
        <v>Pas d'écart</v>
      </c>
      <c r="L4714" s="16">
        <f>base!X4714</f>
        <v>0</v>
      </c>
      <c r="M4714" s="11">
        <f t="shared" si="734"/>
        <v>0</v>
      </c>
      <c r="N4714" s="11">
        <f t="shared" si="735"/>
        <v>0</v>
      </c>
      <c r="O4714" s="11">
        <f t="shared" si="736"/>
        <v>0</v>
      </c>
      <c r="P4714" s="12">
        <f t="shared" si="737"/>
        <v>0</v>
      </c>
      <c r="Q4714" s="17" t="str">
        <f t="shared" si="739"/>
        <v>Pas d'écart</v>
      </c>
    </row>
    <row r="4715" spans="1:18" x14ac:dyDescent="0.3">
      <c r="A4715" s="34" t="str">
        <f>base!J4715</f>
        <v>LS</v>
      </c>
      <c r="B4715" s="34" t="str">
        <f>base!V4715</f>
        <v>68500</v>
      </c>
      <c r="C4715" s="37">
        <v>69</v>
      </c>
      <c r="D4715" s="36">
        <f>base!H4715</f>
        <v>76.63</v>
      </c>
      <c r="E4715" s="44"/>
      <c r="F4715" s="16">
        <f>base!W4715</f>
        <v>22.22</v>
      </c>
      <c r="G4715" s="11">
        <f t="shared" si="730"/>
        <v>0.28996476575753621</v>
      </c>
      <c r="H4715" s="11">
        <f t="shared" si="731"/>
        <v>20.690100000000001</v>
      </c>
      <c r="I4715" s="11">
        <f t="shared" si="732"/>
        <v>0.27</v>
      </c>
      <c r="J4715" s="12">
        <f t="shared" si="733"/>
        <v>1.5298999999999978</v>
      </c>
      <c r="K4715" s="17" t="str">
        <f t="shared" si="738"/>
        <v>Ecart positif</v>
      </c>
      <c r="L4715" s="16">
        <f>base!X4715</f>
        <v>0</v>
      </c>
      <c r="M4715" s="11">
        <f t="shared" si="734"/>
        <v>0</v>
      </c>
      <c r="N4715" s="11">
        <f t="shared" si="735"/>
        <v>0</v>
      </c>
      <c r="O4715" s="11">
        <f t="shared" si="736"/>
        <v>0</v>
      </c>
      <c r="P4715" s="12">
        <f t="shared" si="737"/>
        <v>0</v>
      </c>
      <c r="Q4715" s="17" t="str">
        <f t="shared" si="739"/>
        <v>Pas d'écart</v>
      </c>
    </row>
    <row r="4716" spans="1:18" x14ac:dyDescent="0.3">
      <c r="A4716" s="34" t="str">
        <f>base!J4716</f>
        <v>DLM</v>
      </c>
      <c r="B4716" s="34" t="str">
        <f>base!V4716</f>
        <v>49100</v>
      </c>
      <c r="C4716" s="37">
        <v>49</v>
      </c>
      <c r="D4716" s="36">
        <f>base!H4716</f>
        <v>52.5</v>
      </c>
      <c r="E4716" s="44"/>
      <c r="F4716" s="16">
        <f>base!W4716</f>
        <v>0</v>
      </c>
      <c r="G4716" s="11">
        <f t="shared" si="730"/>
        <v>0</v>
      </c>
      <c r="H4716" s="11">
        <f t="shared" si="731"/>
        <v>14.175000000000001</v>
      </c>
      <c r="I4716" s="11">
        <f t="shared" si="732"/>
        <v>0.27</v>
      </c>
      <c r="J4716" s="12">
        <f t="shared" si="733"/>
        <v>-14.175000000000001</v>
      </c>
      <c r="K4716" s="17" t="str">
        <f t="shared" si="738"/>
        <v>Ecart négatif</v>
      </c>
      <c r="L4716" s="16">
        <f>base!X4716</f>
        <v>0</v>
      </c>
      <c r="M4716" s="11">
        <f t="shared" si="734"/>
        <v>0</v>
      </c>
      <c r="N4716" s="11">
        <f t="shared" si="735"/>
        <v>0</v>
      </c>
      <c r="O4716" s="11">
        <f t="shared" si="736"/>
        <v>0</v>
      </c>
      <c r="P4716" s="12">
        <f t="shared" si="737"/>
        <v>0</v>
      </c>
      <c r="Q4716" s="17" t="str">
        <f t="shared" si="739"/>
        <v>Pas d'écart</v>
      </c>
    </row>
    <row r="4717" spans="1:18" x14ac:dyDescent="0.3">
      <c r="A4717" s="34" t="str">
        <f>base!J4717</f>
        <v>DLM</v>
      </c>
      <c r="B4717" s="34" t="str">
        <f>base!V4717</f>
        <v>72000</v>
      </c>
      <c r="C4717" s="37">
        <v>72</v>
      </c>
      <c r="D4717" s="36">
        <f>base!H4717</f>
        <v>52.5</v>
      </c>
      <c r="E4717" s="44"/>
      <c r="F4717" s="16">
        <f>base!W4717</f>
        <v>0</v>
      </c>
      <c r="G4717" s="11">
        <f t="shared" si="730"/>
        <v>0</v>
      </c>
      <c r="H4717" s="11">
        <f t="shared" si="731"/>
        <v>11.025</v>
      </c>
      <c r="I4717" s="11">
        <f t="shared" si="732"/>
        <v>0.21000000000000002</v>
      </c>
      <c r="J4717" s="12">
        <f t="shared" si="733"/>
        <v>-11.025</v>
      </c>
      <c r="K4717" s="17" t="str">
        <f t="shared" si="738"/>
        <v>Ecart négatif</v>
      </c>
      <c r="L4717" s="16">
        <f>base!X4717</f>
        <v>0</v>
      </c>
      <c r="M4717" s="11">
        <f t="shared" si="734"/>
        <v>0</v>
      </c>
      <c r="N4717" s="11">
        <f t="shared" si="735"/>
        <v>6.3</v>
      </c>
      <c r="O4717" s="11">
        <f t="shared" si="736"/>
        <v>0.12</v>
      </c>
      <c r="P4717" s="12">
        <f t="shared" si="737"/>
        <v>-6.3</v>
      </c>
      <c r="Q4717" s="17" t="str">
        <f t="shared" si="739"/>
        <v>Ecart négatif</v>
      </c>
    </row>
    <row r="4718" spans="1:18" x14ac:dyDescent="0.3">
      <c r="A4718" s="34" t="str">
        <f>base!J4718</f>
        <v>DLM</v>
      </c>
      <c r="B4718" s="34" t="str">
        <f>base!V4718</f>
        <v>69003</v>
      </c>
      <c r="C4718" s="37">
        <v>69</v>
      </c>
      <c r="D4718" s="36">
        <f>base!H4718</f>
        <v>52.5</v>
      </c>
      <c r="E4718" s="44"/>
      <c r="F4718" s="16">
        <f>base!W4718</f>
        <v>0</v>
      </c>
      <c r="G4718" s="11">
        <f t="shared" si="730"/>
        <v>0</v>
      </c>
      <c r="H4718" s="11">
        <f t="shared" si="731"/>
        <v>14.175000000000001</v>
      </c>
      <c r="I4718" s="11">
        <f t="shared" si="732"/>
        <v>0.27</v>
      </c>
      <c r="J4718" s="12">
        <f t="shared" si="733"/>
        <v>-14.175000000000001</v>
      </c>
      <c r="K4718" s="17" t="str">
        <f t="shared" si="738"/>
        <v>Ecart négatif</v>
      </c>
      <c r="L4718" s="16">
        <f>base!X4718</f>
        <v>0</v>
      </c>
      <c r="M4718" s="11">
        <f t="shared" si="734"/>
        <v>0</v>
      </c>
      <c r="N4718" s="11">
        <f t="shared" si="735"/>
        <v>0</v>
      </c>
      <c r="O4718" s="11">
        <f t="shared" si="736"/>
        <v>0</v>
      </c>
      <c r="P4718" s="12">
        <f t="shared" si="737"/>
        <v>0</v>
      </c>
      <c r="Q4718" s="17" t="str">
        <f t="shared" si="739"/>
        <v>Pas d'écart</v>
      </c>
    </row>
    <row r="4719" spans="1:18" x14ac:dyDescent="0.3">
      <c r="A4719" s="34" t="str">
        <f>base!J4719</f>
        <v>DLM</v>
      </c>
      <c r="B4719" s="34" t="str">
        <f>base!V4719</f>
        <v>68200</v>
      </c>
      <c r="C4719" s="37">
        <v>68</v>
      </c>
      <c r="D4719" s="36">
        <f>base!H4719</f>
        <v>52.5</v>
      </c>
      <c r="E4719" s="44"/>
      <c r="F4719" s="16">
        <f>base!W4719</f>
        <v>15.23</v>
      </c>
      <c r="G4719" s="11">
        <f t="shared" si="730"/>
        <v>0.29009523809523813</v>
      </c>
      <c r="H4719" s="11">
        <f t="shared" si="731"/>
        <v>15.225</v>
      </c>
      <c r="I4719" s="11">
        <f t="shared" si="732"/>
        <v>0.28999999999999998</v>
      </c>
      <c r="J4719" s="12">
        <f t="shared" si="733"/>
        <v>5.0000000000007816E-3</v>
      </c>
      <c r="K4719" s="17" t="str">
        <f t="shared" si="738"/>
        <v>Ecart positif</v>
      </c>
      <c r="L4719" s="16">
        <f>base!X4719</f>
        <v>0</v>
      </c>
      <c r="M4719" s="11">
        <f t="shared" si="734"/>
        <v>0</v>
      </c>
      <c r="N4719" s="11">
        <f t="shared" si="735"/>
        <v>4.2</v>
      </c>
      <c r="O4719" s="11">
        <f t="shared" si="736"/>
        <v>0.08</v>
      </c>
      <c r="P4719" s="12">
        <f t="shared" si="737"/>
        <v>-4.2</v>
      </c>
      <c r="Q4719" s="17" t="str">
        <f t="shared" si="739"/>
        <v>Ecart négatif</v>
      </c>
    </row>
    <row r="4720" spans="1:18" x14ac:dyDescent="0.3">
      <c r="A4720" s="34" t="str">
        <f>base!J4720</f>
        <v>DLM</v>
      </c>
      <c r="B4720" s="34" t="str">
        <f>base!V4720</f>
        <v>06000</v>
      </c>
      <c r="C4720" s="37">
        <v>6</v>
      </c>
      <c r="D4720" s="36">
        <f>base!H4720</f>
        <v>52.5</v>
      </c>
      <c r="E4720" s="44"/>
      <c r="F4720" s="16">
        <f>base!W4720</f>
        <v>0</v>
      </c>
      <c r="G4720" s="11">
        <f t="shared" si="730"/>
        <v>0</v>
      </c>
      <c r="H4720" s="11">
        <f t="shared" si="731"/>
        <v>15.75</v>
      </c>
      <c r="I4720" s="11">
        <f t="shared" si="732"/>
        <v>0.3</v>
      </c>
      <c r="J4720" s="12">
        <f t="shared" si="733"/>
        <v>-15.75</v>
      </c>
      <c r="K4720" s="17" t="str">
        <f t="shared" si="738"/>
        <v>Ecart négatif</v>
      </c>
      <c r="L4720" s="16">
        <f>base!X4720</f>
        <v>0</v>
      </c>
      <c r="M4720" s="11">
        <f t="shared" si="734"/>
        <v>0</v>
      </c>
      <c r="N4720" s="11">
        <f t="shared" si="735"/>
        <v>11.025</v>
      </c>
      <c r="O4720" s="11">
        <f t="shared" si="736"/>
        <v>0.21000000000000002</v>
      </c>
      <c r="P4720" s="12">
        <f t="shared" si="737"/>
        <v>-11.025</v>
      </c>
      <c r="Q4720" s="17" t="str">
        <f t="shared" si="739"/>
        <v>Ecart négatif</v>
      </c>
    </row>
    <row r="4721" spans="1:18" x14ac:dyDescent="0.3">
      <c r="A4721" s="34" t="str">
        <f>base!J4721</f>
        <v>DLM</v>
      </c>
      <c r="B4721" s="34" t="str">
        <f>base!V4721</f>
        <v>35000</v>
      </c>
      <c r="C4721" s="37">
        <v>35</v>
      </c>
      <c r="D4721" s="36">
        <f>base!H4721</f>
        <v>52.5</v>
      </c>
      <c r="E4721" s="44"/>
      <c r="F4721" s="16">
        <f>base!W4721</f>
        <v>0</v>
      </c>
      <c r="G4721" s="11">
        <f t="shared" si="730"/>
        <v>0</v>
      </c>
      <c r="H4721" s="11">
        <f t="shared" si="731"/>
        <v>14.175000000000001</v>
      </c>
      <c r="I4721" s="11">
        <f t="shared" si="732"/>
        <v>0.27</v>
      </c>
      <c r="J4721" s="12">
        <f t="shared" si="733"/>
        <v>-14.175000000000001</v>
      </c>
      <c r="K4721" s="17" t="str">
        <f t="shared" si="738"/>
        <v>Ecart négatif</v>
      </c>
      <c r="L4721" s="16">
        <f>base!X4721</f>
        <v>0</v>
      </c>
      <c r="M4721" s="11">
        <f t="shared" si="734"/>
        <v>0</v>
      </c>
      <c r="N4721" s="11">
        <f t="shared" si="735"/>
        <v>0</v>
      </c>
      <c r="O4721" s="11">
        <f t="shared" si="736"/>
        <v>0</v>
      </c>
      <c r="P4721" s="12">
        <f t="shared" si="737"/>
        <v>0</v>
      </c>
      <c r="Q4721" s="17" t="str">
        <f t="shared" si="739"/>
        <v>Pas d'écart</v>
      </c>
    </row>
    <row r="4722" spans="1:18" x14ac:dyDescent="0.3">
      <c r="A4722" s="34" t="str">
        <f>base!J4722</f>
        <v>DLM</v>
      </c>
      <c r="B4722" s="34" t="str">
        <f>base!V4722</f>
        <v>63000</v>
      </c>
      <c r="C4722" s="37">
        <v>63</v>
      </c>
      <c r="D4722" s="36">
        <f>base!H4722</f>
        <v>52.5</v>
      </c>
      <c r="E4722" s="44"/>
      <c r="F4722" s="16">
        <f>base!W4722</f>
        <v>0</v>
      </c>
      <c r="G4722" s="11">
        <f t="shared" si="730"/>
        <v>0</v>
      </c>
      <c r="H4722" s="11">
        <f t="shared" si="731"/>
        <v>15.225</v>
      </c>
      <c r="I4722" s="11">
        <f t="shared" si="732"/>
        <v>0.28999999999999998</v>
      </c>
      <c r="J4722" s="12">
        <f t="shared" si="733"/>
        <v>-15.225</v>
      </c>
      <c r="K4722" s="17" t="str">
        <f t="shared" si="738"/>
        <v>Ecart négatif</v>
      </c>
      <c r="L4722" s="16">
        <f>base!X4722</f>
        <v>0</v>
      </c>
      <c r="M4722" s="11">
        <f t="shared" si="734"/>
        <v>0</v>
      </c>
      <c r="N4722" s="11">
        <f t="shared" si="735"/>
        <v>6.3</v>
      </c>
      <c r="O4722" s="11">
        <f t="shared" si="736"/>
        <v>0.12</v>
      </c>
      <c r="P4722" s="12">
        <f t="shared" si="737"/>
        <v>-6.3</v>
      </c>
      <c r="Q4722" s="17" t="str">
        <f t="shared" si="739"/>
        <v>Ecart négatif</v>
      </c>
    </row>
    <row r="4723" spans="1:18" x14ac:dyDescent="0.3">
      <c r="A4723" s="34" t="str">
        <f>base!J4723</f>
        <v>RS</v>
      </c>
      <c r="B4723" s="34" t="str">
        <f>base!V4723</f>
        <v>31240</v>
      </c>
      <c r="C4723" s="37">
        <v>31</v>
      </c>
      <c r="D4723" s="36">
        <f>base!H4723</f>
        <v>140</v>
      </c>
      <c r="E4723" s="44"/>
      <c r="F4723" s="16">
        <f>base!W4723</f>
        <v>0</v>
      </c>
      <c r="G4723" s="11">
        <f t="shared" si="730"/>
        <v>0</v>
      </c>
      <c r="H4723" s="11">
        <f t="shared" si="731"/>
        <v>26.6</v>
      </c>
      <c r="I4723" s="11">
        <f t="shared" si="732"/>
        <v>0.19</v>
      </c>
      <c r="J4723" s="12">
        <f t="shared" si="733"/>
        <v>-26.6</v>
      </c>
      <c r="K4723" s="17" t="str">
        <f t="shared" si="738"/>
        <v>Ecart négatif</v>
      </c>
      <c r="L4723" s="16">
        <f>base!X4723</f>
        <v>0</v>
      </c>
      <c r="M4723" s="11">
        <f t="shared" si="734"/>
        <v>0</v>
      </c>
      <c r="N4723" s="11">
        <f t="shared" si="735"/>
        <v>36.4</v>
      </c>
      <c r="O4723" s="11">
        <f t="shared" si="736"/>
        <v>0.26</v>
      </c>
      <c r="P4723" s="12">
        <f t="shared" si="737"/>
        <v>-36.4</v>
      </c>
      <c r="Q4723" s="17" t="str">
        <f t="shared" si="739"/>
        <v>Ecart négatif</v>
      </c>
    </row>
    <row r="4724" spans="1:18" x14ac:dyDescent="0.3">
      <c r="A4724" s="34" t="str">
        <f>base!J4724</f>
        <v>RM</v>
      </c>
      <c r="B4724" s="34" t="str">
        <f>base!V4724</f>
        <v>93290</v>
      </c>
      <c r="C4724" s="37">
        <v>93</v>
      </c>
      <c r="D4724" s="36">
        <f>base!H4724</f>
        <v>32</v>
      </c>
      <c r="E4724" s="44"/>
      <c r="F4724" s="16">
        <f>base!W4724</f>
        <v>0</v>
      </c>
      <c r="G4724" s="11">
        <f t="shared" si="730"/>
        <v>0</v>
      </c>
      <c r="H4724" s="11">
        <f t="shared" si="731"/>
        <v>0</v>
      </c>
      <c r="I4724" s="11">
        <f t="shared" si="732"/>
        <v>0</v>
      </c>
      <c r="J4724" s="12">
        <f t="shared" si="733"/>
        <v>0</v>
      </c>
      <c r="K4724" s="17" t="str">
        <f t="shared" si="738"/>
        <v>Pas d'écart</v>
      </c>
      <c r="L4724" s="16">
        <f>base!X4724</f>
        <v>0</v>
      </c>
      <c r="M4724" s="11">
        <f t="shared" si="734"/>
        <v>0</v>
      </c>
      <c r="N4724" s="11">
        <f t="shared" si="735"/>
        <v>0</v>
      </c>
      <c r="O4724" s="11">
        <f t="shared" si="736"/>
        <v>0</v>
      </c>
      <c r="P4724" s="12">
        <f t="shared" si="737"/>
        <v>0</v>
      </c>
      <c r="Q4724" s="17" t="str">
        <f t="shared" si="739"/>
        <v>Pas d'écart</v>
      </c>
    </row>
    <row r="4725" spans="1:18" x14ac:dyDescent="0.3">
      <c r="A4725" s="34" t="str">
        <f>base!J4725</f>
        <v>RM</v>
      </c>
      <c r="B4725" s="34" t="str">
        <f>base!V4725</f>
        <v>93290</v>
      </c>
      <c r="C4725" s="37">
        <v>93</v>
      </c>
      <c r="D4725" s="36">
        <f>base!H4725</f>
        <v>32</v>
      </c>
      <c r="E4725" s="44"/>
      <c r="F4725" s="16">
        <f>base!W4725</f>
        <v>0</v>
      </c>
      <c r="G4725" s="11">
        <f t="shared" si="730"/>
        <v>0</v>
      </c>
      <c r="H4725" s="11">
        <f t="shared" si="731"/>
        <v>0</v>
      </c>
      <c r="I4725" s="11">
        <f t="shared" si="732"/>
        <v>0</v>
      </c>
      <c r="J4725" s="12">
        <f t="shared" si="733"/>
        <v>0</v>
      </c>
      <c r="K4725" s="17" t="str">
        <f t="shared" si="738"/>
        <v>Pas d'écart</v>
      </c>
      <c r="L4725" s="16">
        <f>base!X4725</f>
        <v>0</v>
      </c>
      <c r="M4725" s="11">
        <f t="shared" si="734"/>
        <v>0</v>
      </c>
      <c r="N4725" s="11">
        <f t="shared" si="735"/>
        <v>0</v>
      </c>
      <c r="O4725" s="11">
        <f t="shared" si="736"/>
        <v>0</v>
      </c>
      <c r="P4725" s="12">
        <f t="shared" si="737"/>
        <v>0</v>
      </c>
      <c r="Q4725" s="17" t="str">
        <f t="shared" si="739"/>
        <v>Pas d'écart</v>
      </c>
    </row>
    <row r="4726" spans="1:18" x14ac:dyDescent="0.3">
      <c r="A4726" s="34" t="str">
        <f>base!J4726</f>
        <v>LS</v>
      </c>
      <c r="B4726" s="34" t="str">
        <f>base!V4726</f>
        <v>56300</v>
      </c>
      <c r="C4726" s="37">
        <v>69</v>
      </c>
      <c r="D4726" s="36">
        <f>base!H4726</f>
        <v>86.54</v>
      </c>
      <c r="E4726" s="44"/>
      <c r="F4726" s="16">
        <f>base!W4726</f>
        <v>23.37</v>
      </c>
      <c r="G4726" s="11">
        <f t="shared" si="730"/>
        <v>0.27004853247053384</v>
      </c>
      <c r="H4726" s="11">
        <f t="shared" si="731"/>
        <v>23.365800000000004</v>
      </c>
      <c r="I4726" s="11">
        <f t="shared" si="732"/>
        <v>0.27</v>
      </c>
      <c r="J4726" s="12">
        <f t="shared" si="733"/>
        <v>4.199999999997317E-3</v>
      </c>
      <c r="K4726" s="17" t="str">
        <f t="shared" si="738"/>
        <v>Ecart positif</v>
      </c>
      <c r="L4726" s="16">
        <f>base!X4726</f>
        <v>0</v>
      </c>
      <c r="M4726" s="11">
        <f t="shared" si="734"/>
        <v>0</v>
      </c>
      <c r="N4726" s="11">
        <f t="shared" si="735"/>
        <v>0</v>
      </c>
      <c r="O4726" s="11">
        <f t="shared" si="736"/>
        <v>0</v>
      </c>
      <c r="P4726" s="12">
        <f t="shared" si="737"/>
        <v>0</v>
      </c>
      <c r="Q4726" s="17" t="str">
        <f t="shared" si="739"/>
        <v>Pas d'écart</v>
      </c>
    </row>
    <row r="4727" spans="1:18" x14ac:dyDescent="0.3">
      <c r="A4727" s="34" t="str">
        <f>base!J4727</f>
        <v>LM</v>
      </c>
      <c r="B4727" s="34" t="str">
        <f>base!V4727</f>
        <v>38110</v>
      </c>
      <c r="C4727" s="37">
        <v>73</v>
      </c>
      <c r="D4727" s="36">
        <f>base!H4727</f>
        <v>19.649999999999999</v>
      </c>
      <c r="E4727" s="44"/>
      <c r="F4727" s="16">
        <f>base!W4727</f>
        <v>5.31</v>
      </c>
      <c r="G4727" s="11">
        <f t="shared" si="730"/>
        <v>0.27022900763358776</v>
      </c>
      <c r="H4727" s="11">
        <f t="shared" si="731"/>
        <v>5.3055000000000003</v>
      </c>
      <c r="I4727" s="11">
        <f t="shared" si="732"/>
        <v>0.27</v>
      </c>
      <c r="J4727" s="12">
        <f t="shared" si="733"/>
        <v>4.4999999999992824E-3</v>
      </c>
      <c r="K4727" s="17" t="str">
        <f t="shared" si="738"/>
        <v>Ecart positif</v>
      </c>
      <c r="L4727" s="16">
        <f>base!X4727</f>
        <v>0</v>
      </c>
      <c r="M4727" s="11">
        <f t="shared" si="734"/>
        <v>0</v>
      </c>
      <c r="N4727" s="11">
        <f t="shared" si="735"/>
        <v>0</v>
      </c>
      <c r="O4727" s="11">
        <f t="shared" si="736"/>
        <v>0</v>
      </c>
      <c r="P4727" s="12">
        <f t="shared" si="737"/>
        <v>0</v>
      </c>
      <c r="Q4727" s="17" t="str">
        <f t="shared" si="739"/>
        <v>Pas d'écart</v>
      </c>
    </row>
    <row r="4728" spans="1:18" x14ac:dyDescent="0.3">
      <c r="A4728" s="34" t="str">
        <f>base!J4728</f>
        <v>DLM</v>
      </c>
      <c r="B4728" s="34" t="str">
        <f>base!V4728</f>
        <v>38300</v>
      </c>
      <c r="C4728" s="37">
        <v>38</v>
      </c>
      <c r="D4728" s="36">
        <f>base!H4728</f>
        <v>23.4</v>
      </c>
      <c r="E4728" s="44"/>
      <c r="F4728" s="16">
        <f>base!W4728</f>
        <v>0</v>
      </c>
      <c r="G4728" s="11">
        <f t="shared" si="730"/>
        <v>0</v>
      </c>
      <c r="H4728" s="11">
        <f t="shared" si="731"/>
        <v>6.3179999999999996</v>
      </c>
      <c r="I4728" s="11">
        <f t="shared" si="732"/>
        <v>0.27</v>
      </c>
      <c r="J4728" s="12">
        <f t="shared" si="733"/>
        <v>-6.3179999999999996</v>
      </c>
      <c r="K4728" s="17" t="str">
        <f t="shared" si="738"/>
        <v>Ecart négatif</v>
      </c>
      <c r="L4728" s="16">
        <f>base!X4728</f>
        <v>0</v>
      </c>
      <c r="M4728" s="11">
        <f t="shared" si="734"/>
        <v>0</v>
      </c>
      <c r="N4728" s="11">
        <f t="shared" si="735"/>
        <v>0</v>
      </c>
      <c r="O4728" s="11">
        <f t="shared" si="736"/>
        <v>0</v>
      </c>
      <c r="P4728" s="12">
        <f t="shared" si="737"/>
        <v>0</v>
      </c>
      <c r="Q4728" s="17" t="str">
        <f t="shared" si="739"/>
        <v>Pas d'écart</v>
      </c>
    </row>
    <row r="4729" spans="1:18" x14ac:dyDescent="0.3">
      <c r="A4729" s="34" t="str">
        <f>base!J4729</f>
        <v>DLM</v>
      </c>
      <c r="B4729" s="34" t="str">
        <f>base!V4729</f>
        <v>51520</v>
      </c>
      <c r="C4729" s="37">
        <v>51</v>
      </c>
      <c r="D4729" s="36">
        <f>base!H4729</f>
        <v>181</v>
      </c>
      <c r="E4729" s="44"/>
      <c r="F4729" s="16">
        <f>base!W4729</f>
        <v>0</v>
      </c>
      <c r="G4729" s="11">
        <f t="shared" si="730"/>
        <v>0</v>
      </c>
      <c r="H4729" s="11">
        <f t="shared" si="731"/>
        <v>45.25</v>
      </c>
      <c r="I4729" s="11">
        <f t="shared" si="732"/>
        <v>0.25</v>
      </c>
      <c r="J4729" s="12">
        <f t="shared" si="733"/>
        <v>-45.25</v>
      </c>
      <c r="K4729" s="17" t="str">
        <f t="shared" si="738"/>
        <v>Ecart négatif</v>
      </c>
      <c r="L4729" s="16">
        <f>base!X4729</f>
        <v>0</v>
      </c>
      <c r="M4729" s="11">
        <f t="shared" si="734"/>
        <v>0</v>
      </c>
      <c r="N4729" s="11">
        <f t="shared" si="735"/>
        <v>45.25</v>
      </c>
      <c r="O4729" s="11">
        <f t="shared" si="736"/>
        <v>0.25</v>
      </c>
      <c r="P4729" s="12">
        <f t="shared" si="737"/>
        <v>-45.25</v>
      </c>
      <c r="Q4729" s="17" t="str">
        <f t="shared" si="739"/>
        <v>Ecart négatif</v>
      </c>
    </row>
    <row r="4730" spans="1:18" x14ac:dyDescent="0.3">
      <c r="A4730" s="34">
        <f>base!J4730</f>
        <v>0</v>
      </c>
      <c r="B4730" s="34" t="str">
        <f>base!V4730</f>
        <v>77184</v>
      </c>
      <c r="C4730" s="37">
        <v>77</v>
      </c>
      <c r="D4730" s="36">
        <f>base!H4730</f>
        <v>20</v>
      </c>
      <c r="E4730" s="44"/>
      <c r="F4730" s="16">
        <f>base!W4730</f>
        <v>0</v>
      </c>
      <c r="G4730" s="11">
        <f t="shared" si="730"/>
        <v>0</v>
      </c>
      <c r="H4730" s="11">
        <f t="shared" si="731"/>
        <v>0</v>
      </c>
      <c r="I4730" s="11">
        <f t="shared" si="732"/>
        <v>0</v>
      </c>
      <c r="J4730" s="12">
        <f t="shared" si="733"/>
        <v>0</v>
      </c>
      <c r="K4730" s="17" t="str">
        <f t="shared" si="738"/>
        <v>Pas d'écart</v>
      </c>
      <c r="L4730" s="16">
        <f>base!X4730</f>
        <v>0</v>
      </c>
      <c r="M4730" s="11">
        <f t="shared" si="734"/>
        <v>0</v>
      </c>
      <c r="N4730" s="11">
        <f t="shared" si="735"/>
        <v>0</v>
      </c>
      <c r="O4730" s="11">
        <f t="shared" si="736"/>
        <v>0</v>
      </c>
      <c r="P4730" s="12">
        <f t="shared" si="737"/>
        <v>0</v>
      </c>
      <c r="Q4730" s="17" t="str">
        <f t="shared" si="739"/>
        <v>Pas d'écart</v>
      </c>
    </row>
    <row r="4731" spans="1:18" x14ac:dyDescent="0.3">
      <c r="A4731" s="34">
        <f>base!J4731</f>
        <v>0</v>
      </c>
      <c r="B4731" s="34" t="str">
        <f>base!V4731</f>
        <v>77184</v>
      </c>
      <c r="C4731" s="37">
        <v>77</v>
      </c>
      <c r="D4731" s="36">
        <f>base!H4731</f>
        <v>20</v>
      </c>
      <c r="E4731" s="44"/>
      <c r="F4731" s="16">
        <f>base!W4731</f>
        <v>0</v>
      </c>
      <c r="G4731" s="11">
        <f t="shared" si="730"/>
        <v>0</v>
      </c>
      <c r="H4731" s="11">
        <f t="shared" si="731"/>
        <v>0</v>
      </c>
      <c r="I4731" s="11">
        <f t="shared" si="732"/>
        <v>0</v>
      </c>
      <c r="J4731" s="12">
        <f t="shared" si="733"/>
        <v>0</v>
      </c>
      <c r="K4731" s="17" t="str">
        <f t="shared" si="738"/>
        <v>Pas d'écart</v>
      </c>
      <c r="L4731" s="16">
        <f>base!X4731</f>
        <v>0</v>
      </c>
      <c r="M4731" s="11">
        <f t="shared" si="734"/>
        <v>0</v>
      </c>
      <c r="N4731" s="11">
        <f t="shared" si="735"/>
        <v>0</v>
      </c>
      <c r="O4731" s="11">
        <f t="shared" si="736"/>
        <v>0</v>
      </c>
      <c r="P4731" s="12">
        <f t="shared" si="737"/>
        <v>0</v>
      </c>
      <c r="Q4731" s="17" t="str">
        <f t="shared" si="739"/>
        <v>Pas d'écart</v>
      </c>
    </row>
    <row r="4732" spans="1:18" x14ac:dyDescent="0.3">
      <c r="A4732" s="34">
        <f>base!J4732</f>
        <v>0</v>
      </c>
      <c r="B4732" s="34" t="str">
        <f>base!V4732</f>
        <v>77184</v>
      </c>
      <c r="C4732" s="37">
        <v>77</v>
      </c>
      <c r="D4732" s="36">
        <f>base!H4732</f>
        <v>20</v>
      </c>
      <c r="E4732" s="44"/>
      <c r="F4732" s="16">
        <f>base!W4732</f>
        <v>0</v>
      </c>
      <c r="G4732" s="11">
        <f t="shared" si="730"/>
        <v>0</v>
      </c>
      <c r="H4732" s="11">
        <f t="shared" si="731"/>
        <v>0</v>
      </c>
      <c r="I4732" s="11">
        <f t="shared" si="732"/>
        <v>0</v>
      </c>
      <c r="J4732" s="12">
        <f t="shared" si="733"/>
        <v>0</v>
      </c>
      <c r="K4732" s="17" t="str">
        <f t="shared" si="738"/>
        <v>Pas d'écart</v>
      </c>
      <c r="L4732" s="16">
        <f>base!X4732</f>
        <v>0</v>
      </c>
      <c r="M4732" s="11">
        <f t="shared" si="734"/>
        <v>0</v>
      </c>
      <c r="N4732" s="11">
        <f t="shared" si="735"/>
        <v>0</v>
      </c>
      <c r="O4732" s="11">
        <f t="shared" si="736"/>
        <v>0</v>
      </c>
      <c r="P4732" s="12">
        <f t="shared" si="737"/>
        <v>0</v>
      </c>
      <c r="Q4732" s="17" t="str">
        <f t="shared" si="739"/>
        <v>Pas d'écart</v>
      </c>
    </row>
    <row r="4733" spans="1:18" x14ac:dyDescent="0.3">
      <c r="A4733" s="34" t="str">
        <f>base!J4733</f>
        <v>RS</v>
      </c>
      <c r="B4733" s="34" t="str">
        <f>base!V4733</f>
        <v>45700</v>
      </c>
      <c r="C4733" s="37">
        <v>45</v>
      </c>
      <c r="D4733" s="36">
        <f>base!H4733</f>
        <v>180</v>
      </c>
      <c r="E4733" s="44"/>
      <c r="F4733" s="16">
        <f>base!W4733</f>
        <v>0</v>
      </c>
      <c r="G4733" s="11">
        <f t="shared" si="730"/>
        <v>0</v>
      </c>
      <c r="H4733" s="11">
        <f t="shared" si="731"/>
        <v>37.799999999999997</v>
      </c>
      <c r="I4733" s="11">
        <f t="shared" si="732"/>
        <v>0.21</v>
      </c>
      <c r="J4733" s="12">
        <f t="shared" si="733"/>
        <v>-37.799999999999997</v>
      </c>
      <c r="K4733" s="17" t="str">
        <f t="shared" si="738"/>
        <v>Ecart négatif</v>
      </c>
      <c r="L4733" s="16">
        <f>base!X4733</f>
        <v>70.2</v>
      </c>
      <c r="M4733" s="11">
        <f t="shared" si="734"/>
        <v>0.39</v>
      </c>
      <c r="N4733" s="11">
        <f t="shared" si="735"/>
        <v>21.599999999999998</v>
      </c>
      <c r="O4733" s="11">
        <f t="shared" si="736"/>
        <v>0.11999999999999998</v>
      </c>
      <c r="P4733" s="12">
        <f t="shared" si="737"/>
        <v>48.600000000000009</v>
      </c>
      <c r="Q4733" s="17" t="str">
        <f t="shared" si="739"/>
        <v>Ecart positif</v>
      </c>
      <c r="R4733" s="38"/>
    </row>
    <row r="4734" spans="1:18" x14ac:dyDescent="0.3">
      <c r="A4734" s="34" t="str">
        <f>base!J4734</f>
        <v>DRM</v>
      </c>
      <c r="B4734" s="34" t="str">
        <f>base!V4734</f>
        <v>44700</v>
      </c>
      <c r="C4734" s="37">
        <v>44</v>
      </c>
      <c r="D4734" s="36">
        <f>base!H4734</f>
        <v>140</v>
      </c>
      <c r="E4734" s="44"/>
      <c r="F4734" s="16">
        <f>base!W4734</f>
        <v>0</v>
      </c>
      <c r="G4734" s="11">
        <f t="shared" si="730"/>
        <v>0</v>
      </c>
      <c r="H4734" s="11">
        <f t="shared" si="731"/>
        <v>37.800000000000004</v>
      </c>
      <c r="I4734" s="11">
        <f t="shared" si="732"/>
        <v>0.27</v>
      </c>
      <c r="J4734" s="12">
        <f t="shared" si="733"/>
        <v>-37.800000000000004</v>
      </c>
      <c r="K4734" s="17" t="str">
        <f t="shared" si="738"/>
        <v>Ecart négatif</v>
      </c>
      <c r="L4734" s="16">
        <f>base!X4734</f>
        <v>0</v>
      </c>
      <c r="M4734" s="11">
        <f t="shared" si="734"/>
        <v>0</v>
      </c>
      <c r="N4734" s="11">
        <f t="shared" si="735"/>
        <v>0</v>
      </c>
      <c r="O4734" s="11">
        <f t="shared" si="736"/>
        <v>0</v>
      </c>
      <c r="P4734" s="12">
        <f t="shared" si="737"/>
        <v>0</v>
      </c>
      <c r="Q4734" s="17" t="str">
        <f t="shared" si="739"/>
        <v>Pas d'écart</v>
      </c>
    </row>
    <row r="4735" spans="1:18" x14ac:dyDescent="0.3">
      <c r="A4735" s="34" t="str">
        <f>base!J4735</f>
        <v>LM</v>
      </c>
      <c r="B4735" s="34" t="str">
        <f>base!V4735</f>
        <v>16340</v>
      </c>
      <c r="C4735" s="37">
        <v>73</v>
      </c>
      <c r="D4735" s="36">
        <f>base!H4735</f>
        <v>136.72</v>
      </c>
      <c r="E4735" s="44"/>
      <c r="F4735" s="16">
        <f>base!W4735</f>
        <v>28.71</v>
      </c>
      <c r="G4735" s="11">
        <f t="shared" si="730"/>
        <v>0.20999122293739028</v>
      </c>
      <c r="H4735" s="11">
        <f t="shared" si="731"/>
        <v>36.914400000000001</v>
      </c>
      <c r="I4735" s="11">
        <f t="shared" si="732"/>
        <v>0.27</v>
      </c>
      <c r="J4735" s="12">
        <f t="shared" si="733"/>
        <v>-8.2043999999999997</v>
      </c>
      <c r="K4735" s="17" t="str">
        <f t="shared" si="738"/>
        <v>Ecart négatif</v>
      </c>
      <c r="L4735" s="16">
        <f>base!X4735</f>
        <v>0</v>
      </c>
      <c r="M4735" s="11">
        <f t="shared" si="734"/>
        <v>0</v>
      </c>
      <c r="N4735" s="11">
        <f t="shared" si="735"/>
        <v>0</v>
      </c>
      <c r="O4735" s="11">
        <f t="shared" si="736"/>
        <v>0</v>
      </c>
      <c r="P4735" s="12">
        <f t="shared" si="737"/>
        <v>0</v>
      </c>
      <c r="Q4735" s="17" t="str">
        <f t="shared" si="739"/>
        <v>Pas d'écart</v>
      </c>
    </row>
    <row r="4736" spans="1:18" x14ac:dyDescent="0.3">
      <c r="A4736" s="34" t="str">
        <f>base!J4736</f>
        <v>DRM</v>
      </c>
      <c r="B4736" s="34" t="str">
        <f>base!V4736</f>
        <v>51100</v>
      </c>
      <c r="C4736" s="37">
        <v>51</v>
      </c>
      <c r="D4736" s="36">
        <f>base!H4736</f>
        <v>140</v>
      </c>
      <c r="E4736" s="44"/>
      <c r="F4736" s="16">
        <f>base!W4736</f>
        <v>0</v>
      </c>
      <c r="G4736" s="11">
        <f t="shared" si="730"/>
        <v>0</v>
      </c>
      <c r="H4736" s="11">
        <f t="shared" si="731"/>
        <v>35</v>
      </c>
      <c r="I4736" s="11">
        <f t="shared" si="732"/>
        <v>0.25</v>
      </c>
      <c r="J4736" s="12">
        <f t="shared" si="733"/>
        <v>-35</v>
      </c>
      <c r="K4736" s="17" t="str">
        <f t="shared" si="738"/>
        <v>Ecart négatif</v>
      </c>
      <c r="L4736" s="16">
        <f>base!X4736</f>
        <v>0</v>
      </c>
      <c r="M4736" s="11">
        <f t="shared" si="734"/>
        <v>0</v>
      </c>
      <c r="N4736" s="11">
        <f t="shared" si="735"/>
        <v>35</v>
      </c>
      <c r="O4736" s="11">
        <f t="shared" si="736"/>
        <v>0.25</v>
      </c>
      <c r="P4736" s="12">
        <f t="shared" si="737"/>
        <v>-35</v>
      </c>
      <c r="Q4736" s="17" t="str">
        <f t="shared" si="739"/>
        <v>Ecart négatif</v>
      </c>
    </row>
    <row r="4737" spans="1:18" x14ac:dyDescent="0.3">
      <c r="A4737" s="34" t="str">
        <f>base!J4737</f>
        <v>RM</v>
      </c>
      <c r="B4737" s="34" t="str">
        <f>base!V4737</f>
        <v>06560</v>
      </c>
      <c r="C4737" s="37">
        <v>6</v>
      </c>
      <c r="D4737" s="36">
        <f>base!H4737</f>
        <v>151</v>
      </c>
      <c r="E4737" s="44"/>
      <c r="F4737" s="16">
        <f>base!W4737</f>
        <v>0</v>
      </c>
      <c r="G4737" s="11">
        <f t="shared" si="730"/>
        <v>0</v>
      </c>
      <c r="H4737" s="11">
        <f t="shared" si="731"/>
        <v>45.3</v>
      </c>
      <c r="I4737" s="11">
        <f t="shared" si="732"/>
        <v>0.3</v>
      </c>
      <c r="J4737" s="12">
        <f t="shared" si="733"/>
        <v>-45.3</v>
      </c>
      <c r="K4737" s="17" t="str">
        <f t="shared" si="738"/>
        <v>Ecart négatif</v>
      </c>
      <c r="L4737" s="16">
        <f>base!X4737</f>
        <v>0</v>
      </c>
      <c r="M4737" s="11">
        <f t="shared" si="734"/>
        <v>0</v>
      </c>
      <c r="N4737" s="11">
        <f t="shared" si="735"/>
        <v>31.709999999999997</v>
      </c>
      <c r="O4737" s="11">
        <f t="shared" si="736"/>
        <v>0.21</v>
      </c>
      <c r="P4737" s="12">
        <f t="shared" si="737"/>
        <v>-31.709999999999997</v>
      </c>
      <c r="Q4737" s="17" t="str">
        <f t="shared" si="739"/>
        <v>Ecart négatif</v>
      </c>
    </row>
    <row r="4738" spans="1:18" x14ac:dyDescent="0.3">
      <c r="A4738" s="34" t="str">
        <f>base!J4738</f>
        <v>RM</v>
      </c>
      <c r="B4738" s="34" t="str">
        <f>base!V4738</f>
        <v>06560</v>
      </c>
      <c r="C4738" s="37">
        <v>6</v>
      </c>
      <c r="D4738" s="36">
        <f>base!H4738</f>
        <v>151</v>
      </c>
      <c r="E4738" s="44"/>
      <c r="F4738" s="16">
        <f>base!W4738</f>
        <v>0</v>
      </c>
      <c r="G4738" s="11">
        <f t="shared" ref="G4738:G4801" si="740">F4738/D4738</f>
        <v>0</v>
      </c>
      <c r="H4738" s="11">
        <f t="shared" ref="H4738:H4801" si="741">VLOOKUP(C4738,tout_cout_traction,2,FALSE)*D4738</f>
        <v>45.3</v>
      </c>
      <c r="I4738" s="11">
        <f t="shared" ref="I4738:I4801" si="742">H4738/D4738</f>
        <v>0.3</v>
      </c>
      <c r="J4738" s="12">
        <f t="shared" ref="J4738:J4801" si="743">F4738-H4738</f>
        <v>-45.3</v>
      </c>
      <c r="K4738" s="17" t="str">
        <f t="shared" si="738"/>
        <v>Ecart négatif</v>
      </c>
      <c r="L4738" s="16">
        <f>base!X4738</f>
        <v>0</v>
      </c>
      <c r="M4738" s="11">
        <f t="shared" ref="M4738:M4801" si="744">L4738/D4738</f>
        <v>0</v>
      </c>
      <c r="N4738" s="11">
        <f t="shared" ref="N4738:N4801" si="745">VLOOKUP(C4738,tout_cout_traction,3,FALSE)*D4738</f>
        <v>31.709999999999997</v>
      </c>
      <c r="O4738" s="11">
        <f t="shared" ref="O4738:O4801" si="746">N4738/D4738</f>
        <v>0.21</v>
      </c>
      <c r="P4738" s="12">
        <f t="shared" ref="P4738:P4801" si="747">L4738-N4738</f>
        <v>-31.709999999999997</v>
      </c>
      <c r="Q4738" s="17" t="str">
        <f t="shared" si="739"/>
        <v>Ecart négatif</v>
      </c>
    </row>
    <row r="4739" spans="1:18" x14ac:dyDescent="0.3">
      <c r="A4739" s="34" t="str">
        <f>base!J4739</f>
        <v>DLS</v>
      </c>
      <c r="B4739" s="34" t="str">
        <f>base!V4739</f>
        <v>33700</v>
      </c>
      <c r="C4739" s="37">
        <v>33</v>
      </c>
      <c r="D4739" s="36">
        <f>base!H4739</f>
        <v>52.5</v>
      </c>
      <c r="E4739" s="44"/>
      <c r="F4739" s="16">
        <f>base!W4739</f>
        <v>0</v>
      </c>
      <c r="G4739" s="11">
        <f t="shared" si="740"/>
        <v>0</v>
      </c>
      <c r="H4739" s="11">
        <f t="shared" si="741"/>
        <v>11.025</v>
      </c>
      <c r="I4739" s="11">
        <f t="shared" si="742"/>
        <v>0.21000000000000002</v>
      </c>
      <c r="J4739" s="12">
        <f t="shared" si="743"/>
        <v>-11.025</v>
      </c>
      <c r="K4739" s="17" t="str">
        <f t="shared" ref="K4739:K4802" si="748">IF(H4739=F4739,"Pas d'écart",IF(H4739&lt;F4739,"Ecart positif",IF(H4739&gt;F4739,"Ecart négatif")))</f>
        <v>Ecart négatif</v>
      </c>
      <c r="L4739" s="16">
        <f>base!X4739</f>
        <v>0</v>
      </c>
      <c r="M4739" s="11">
        <f t="shared" si="744"/>
        <v>0</v>
      </c>
      <c r="N4739" s="11">
        <f t="shared" si="745"/>
        <v>8.9250000000000007</v>
      </c>
      <c r="O4739" s="11">
        <f t="shared" si="746"/>
        <v>0.17</v>
      </c>
      <c r="P4739" s="12">
        <f t="shared" si="747"/>
        <v>-8.9250000000000007</v>
      </c>
      <c r="Q4739" s="17" t="str">
        <f t="shared" ref="Q4739:Q4802" si="749">IF(N4739=L4739,"Pas d'écart",IF(N4739&lt;L4739,"Ecart positif",IF(N4739&gt;L4739,"Ecart négatif")))</f>
        <v>Ecart négatif</v>
      </c>
    </row>
    <row r="4740" spans="1:18" x14ac:dyDescent="0.3">
      <c r="A4740" s="34" t="str">
        <f>base!J4740</f>
        <v>RS</v>
      </c>
      <c r="B4740" s="34" t="str">
        <f>base!V4740</f>
        <v>75001</v>
      </c>
      <c r="C4740" s="37">
        <v>75</v>
      </c>
      <c r="D4740" s="36">
        <f>base!H4740</f>
        <v>140</v>
      </c>
      <c r="E4740" s="44"/>
      <c r="F4740" s="16">
        <f>base!W4740</f>
        <v>0</v>
      </c>
      <c r="G4740" s="11">
        <f t="shared" si="740"/>
        <v>0</v>
      </c>
      <c r="H4740" s="11">
        <f t="shared" si="741"/>
        <v>0</v>
      </c>
      <c r="I4740" s="11">
        <f t="shared" si="742"/>
        <v>0</v>
      </c>
      <c r="J4740" s="12">
        <f t="shared" si="743"/>
        <v>0</v>
      </c>
      <c r="K4740" s="17" t="str">
        <f t="shared" si="748"/>
        <v>Pas d'écart</v>
      </c>
      <c r="L4740" s="16">
        <f>base!X4740</f>
        <v>0</v>
      </c>
      <c r="M4740" s="11">
        <f t="shared" si="744"/>
        <v>0</v>
      </c>
      <c r="N4740" s="11">
        <f t="shared" si="745"/>
        <v>0</v>
      </c>
      <c r="O4740" s="11">
        <f t="shared" si="746"/>
        <v>0</v>
      </c>
      <c r="P4740" s="12">
        <f t="shared" si="747"/>
        <v>0</v>
      </c>
      <c r="Q4740" s="17" t="str">
        <f t="shared" si="749"/>
        <v>Pas d'écart</v>
      </c>
    </row>
    <row r="4741" spans="1:18" x14ac:dyDescent="0.3">
      <c r="A4741" s="34" t="str">
        <f>base!J4741</f>
        <v>LM</v>
      </c>
      <c r="B4741" s="34" t="str">
        <f>base!V4741</f>
        <v>71380</v>
      </c>
      <c r="C4741" s="37">
        <v>73</v>
      </c>
      <c r="D4741" s="36">
        <f>base!H4741</f>
        <v>55.16</v>
      </c>
      <c r="E4741" s="44"/>
      <c r="F4741" s="16">
        <f>base!W4741</f>
        <v>14.89</v>
      </c>
      <c r="G4741" s="11">
        <f t="shared" si="740"/>
        <v>0.26994198694706312</v>
      </c>
      <c r="H4741" s="11">
        <f t="shared" si="741"/>
        <v>14.8932</v>
      </c>
      <c r="I4741" s="11">
        <f t="shared" si="742"/>
        <v>0.27</v>
      </c>
      <c r="J4741" s="12">
        <f t="shared" si="743"/>
        <v>-3.1999999999996476E-3</v>
      </c>
      <c r="K4741" s="17" t="str">
        <f t="shared" si="748"/>
        <v>Ecart négatif</v>
      </c>
      <c r="L4741" s="16">
        <f>base!X4741</f>
        <v>0</v>
      </c>
      <c r="M4741" s="11">
        <f t="shared" si="744"/>
        <v>0</v>
      </c>
      <c r="N4741" s="11">
        <f t="shared" si="745"/>
        <v>0</v>
      </c>
      <c r="O4741" s="11">
        <f t="shared" si="746"/>
        <v>0</v>
      </c>
      <c r="P4741" s="12">
        <f t="shared" si="747"/>
        <v>0</v>
      </c>
      <c r="Q4741" s="17" t="str">
        <f t="shared" si="749"/>
        <v>Pas d'écart</v>
      </c>
    </row>
    <row r="4742" spans="1:18" x14ac:dyDescent="0.3">
      <c r="A4742" s="34" t="str">
        <f>base!J4742</f>
        <v>LM</v>
      </c>
      <c r="B4742" s="34" t="str">
        <f>base!V4742</f>
        <v>72000</v>
      </c>
      <c r="C4742" s="37">
        <v>74</v>
      </c>
      <c r="D4742" s="36">
        <f>base!H4742</f>
        <v>134.57</v>
      </c>
      <c r="E4742" s="44"/>
      <c r="F4742" s="16">
        <f>base!W4742</f>
        <v>28.26</v>
      </c>
      <c r="G4742" s="11">
        <f t="shared" si="740"/>
        <v>0.21000222932302892</v>
      </c>
      <c r="H4742" s="11">
        <f t="shared" si="741"/>
        <v>34.988199999999999</v>
      </c>
      <c r="I4742" s="11">
        <f t="shared" si="742"/>
        <v>0.26</v>
      </c>
      <c r="J4742" s="12">
        <f t="shared" si="743"/>
        <v>-6.7281999999999975</v>
      </c>
      <c r="K4742" s="17" t="str">
        <f t="shared" si="748"/>
        <v>Ecart négatif</v>
      </c>
      <c r="L4742" s="16">
        <f>base!X4742</f>
        <v>0</v>
      </c>
      <c r="M4742" s="11">
        <f t="shared" si="744"/>
        <v>0</v>
      </c>
      <c r="N4742" s="11">
        <f t="shared" si="745"/>
        <v>0</v>
      </c>
      <c r="O4742" s="11">
        <f t="shared" si="746"/>
        <v>0</v>
      </c>
      <c r="P4742" s="12">
        <f t="shared" si="747"/>
        <v>0</v>
      </c>
      <c r="Q4742" s="17" t="str">
        <f t="shared" si="749"/>
        <v>Pas d'écart</v>
      </c>
    </row>
    <row r="4743" spans="1:18" x14ac:dyDescent="0.3">
      <c r="A4743" s="34" t="str">
        <f>base!J4743</f>
        <v>DRM</v>
      </c>
      <c r="B4743" s="34" t="str">
        <f>base!V4743</f>
        <v>06000</v>
      </c>
      <c r="C4743" s="37">
        <v>6</v>
      </c>
      <c r="D4743" s="36">
        <f>base!H4743</f>
        <v>193.63</v>
      </c>
      <c r="E4743" s="44"/>
      <c r="F4743" s="16">
        <f>base!W4743</f>
        <v>0</v>
      </c>
      <c r="G4743" s="11">
        <f t="shared" si="740"/>
        <v>0</v>
      </c>
      <c r="H4743" s="11">
        <f t="shared" si="741"/>
        <v>58.088999999999999</v>
      </c>
      <c r="I4743" s="11">
        <f t="shared" si="742"/>
        <v>0.3</v>
      </c>
      <c r="J4743" s="12">
        <f t="shared" si="743"/>
        <v>-58.088999999999999</v>
      </c>
      <c r="K4743" s="17" t="str">
        <f t="shared" si="748"/>
        <v>Ecart négatif</v>
      </c>
      <c r="L4743" s="16">
        <f>base!X4743</f>
        <v>0</v>
      </c>
      <c r="M4743" s="11">
        <f t="shared" si="744"/>
        <v>0</v>
      </c>
      <c r="N4743" s="11">
        <f t="shared" si="745"/>
        <v>40.662299999999995</v>
      </c>
      <c r="O4743" s="11">
        <f t="shared" si="746"/>
        <v>0.20999999999999996</v>
      </c>
      <c r="P4743" s="12">
        <f t="shared" si="747"/>
        <v>-40.662299999999995</v>
      </c>
      <c r="Q4743" s="17" t="str">
        <f t="shared" si="749"/>
        <v>Ecart négatif</v>
      </c>
    </row>
    <row r="4744" spans="1:18" x14ac:dyDescent="0.3">
      <c r="A4744" s="34">
        <f>base!J4744</f>
        <v>0</v>
      </c>
      <c r="B4744" s="34" t="str">
        <f>base!V4744</f>
        <v>77184</v>
      </c>
      <c r="C4744" s="37">
        <v>77</v>
      </c>
      <c r="D4744" s="36">
        <f>base!H4744</f>
        <v>37.69</v>
      </c>
      <c r="E4744" s="44"/>
      <c r="F4744" s="16">
        <f>base!W4744</f>
        <v>0</v>
      </c>
      <c r="G4744" s="11">
        <f t="shared" si="740"/>
        <v>0</v>
      </c>
      <c r="H4744" s="11">
        <f t="shared" si="741"/>
        <v>0</v>
      </c>
      <c r="I4744" s="11">
        <f t="shared" si="742"/>
        <v>0</v>
      </c>
      <c r="J4744" s="12">
        <f t="shared" si="743"/>
        <v>0</v>
      </c>
      <c r="K4744" s="17" t="str">
        <f t="shared" si="748"/>
        <v>Pas d'écart</v>
      </c>
      <c r="L4744" s="16">
        <f>base!X4744</f>
        <v>0</v>
      </c>
      <c r="M4744" s="11">
        <f t="shared" si="744"/>
        <v>0</v>
      </c>
      <c r="N4744" s="11">
        <f t="shared" si="745"/>
        <v>0</v>
      </c>
      <c r="O4744" s="11">
        <f t="shared" si="746"/>
        <v>0</v>
      </c>
      <c r="P4744" s="12">
        <f t="shared" si="747"/>
        <v>0</v>
      </c>
      <c r="Q4744" s="17" t="str">
        <f t="shared" si="749"/>
        <v>Pas d'écart</v>
      </c>
    </row>
    <row r="4745" spans="1:18" x14ac:dyDescent="0.3">
      <c r="A4745" s="34" t="str">
        <f>base!J4745</f>
        <v>RS</v>
      </c>
      <c r="B4745" s="34" t="str">
        <f>base!V4745</f>
        <v>57070</v>
      </c>
      <c r="C4745" s="37">
        <v>57</v>
      </c>
      <c r="D4745" s="36">
        <f>base!H4745</f>
        <v>201.98</v>
      </c>
      <c r="E4745" s="44"/>
      <c r="F4745" s="16">
        <f>base!W4745</f>
        <v>0</v>
      </c>
      <c r="G4745" s="11">
        <f t="shared" si="740"/>
        <v>0</v>
      </c>
      <c r="H4745" s="11">
        <f t="shared" si="741"/>
        <v>48.475199999999994</v>
      </c>
      <c r="I4745" s="11">
        <f t="shared" si="742"/>
        <v>0.24</v>
      </c>
      <c r="J4745" s="12">
        <f t="shared" si="743"/>
        <v>-48.475199999999994</v>
      </c>
      <c r="K4745" s="17" t="str">
        <f t="shared" si="748"/>
        <v>Ecart négatif</v>
      </c>
      <c r="L4745" s="16">
        <f>base!X4745</f>
        <v>50.5</v>
      </c>
      <c r="M4745" s="11">
        <f t="shared" si="744"/>
        <v>0.25002475492623033</v>
      </c>
      <c r="N4745" s="11">
        <f t="shared" si="745"/>
        <v>50.494999999999997</v>
      </c>
      <c r="O4745" s="11">
        <f t="shared" si="746"/>
        <v>0.25</v>
      </c>
      <c r="P4745" s="12">
        <f t="shared" si="747"/>
        <v>5.000000000002558E-3</v>
      </c>
      <c r="Q4745" s="17" t="str">
        <f t="shared" si="749"/>
        <v>Ecart positif</v>
      </c>
      <c r="R4745" s="38"/>
    </row>
    <row r="4746" spans="1:18" x14ac:dyDescent="0.3">
      <c r="A4746" s="34" t="str">
        <f>base!J4746</f>
        <v>DRM</v>
      </c>
      <c r="B4746" s="34" t="str">
        <f>base!V4746</f>
        <v>71450</v>
      </c>
      <c r="C4746" s="37">
        <v>71</v>
      </c>
      <c r="D4746" s="36">
        <f>base!H4746</f>
        <v>40</v>
      </c>
      <c r="E4746" s="44"/>
      <c r="F4746" s="16">
        <f>base!W4746</f>
        <v>0</v>
      </c>
      <c r="G4746" s="11">
        <f t="shared" si="740"/>
        <v>0</v>
      </c>
      <c r="H4746" s="11">
        <f t="shared" si="741"/>
        <v>10.8</v>
      </c>
      <c r="I4746" s="11">
        <f t="shared" si="742"/>
        <v>0.27</v>
      </c>
      <c r="J4746" s="12">
        <f t="shared" si="743"/>
        <v>-10.8</v>
      </c>
      <c r="K4746" s="17" t="str">
        <f t="shared" si="748"/>
        <v>Ecart négatif</v>
      </c>
      <c r="L4746" s="16">
        <f>base!X4746</f>
        <v>0</v>
      </c>
      <c r="M4746" s="11">
        <f t="shared" si="744"/>
        <v>0</v>
      </c>
      <c r="N4746" s="11">
        <f t="shared" si="745"/>
        <v>0</v>
      </c>
      <c r="O4746" s="11">
        <f t="shared" si="746"/>
        <v>0</v>
      </c>
      <c r="P4746" s="12">
        <f t="shared" si="747"/>
        <v>0</v>
      </c>
      <c r="Q4746" s="17" t="str">
        <f t="shared" si="749"/>
        <v>Pas d'écart</v>
      </c>
    </row>
    <row r="4747" spans="1:18" x14ac:dyDescent="0.3">
      <c r="A4747" s="34" t="str">
        <f>base!J4747</f>
        <v>LS</v>
      </c>
      <c r="B4747" s="34" t="str">
        <f>base!V4747</f>
        <v>45570</v>
      </c>
      <c r="C4747" s="37">
        <v>44</v>
      </c>
      <c r="D4747" s="36">
        <f>base!H4747</f>
        <v>120.29</v>
      </c>
      <c r="E4747" s="44"/>
      <c r="F4747" s="16">
        <f>base!W4747</f>
        <v>25.26</v>
      </c>
      <c r="G4747" s="11">
        <f t="shared" si="740"/>
        <v>0.20999251808130351</v>
      </c>
      <c r="H4747" s="11">
        <f t="shared" si="741"/>
        <v>32.478300000000004</v>
      </c>
      <c r="I4747" s="11">
        <f t="shared" si="742"/>
        <v>0.27</v>
      </c>
      <c r="J4747" s="12">
        <f t="shared" si="743"/>
        <v>-7.2183000000000028</v>
      </c>
      <c r="K4747" s="17" t="str">
        <f t="shared" si="748"/>
        <v>Ecart négatif</v>
      </c>
      <c r="L4747" s="16">
        <f>base!X4747</f>
        <v>0</v>
      </c>
      <c r="M4747" s="11">
        <f t="shared" si="744"/>
        <v>0</v>
      </c>
      <c r="N4747" s="11">
        <f t="shared" si="745"/>
        <v>0</v>
      </c>
      <c r="O4747" s="11">
        <f t="shared" si="746"/>
        <v>0</v>
      </c>
      <c r="P4747" s="12">
        <f t="shared" si="747"/>
        <v>0</v>
      </c>
      <c r="Q4747" s="17" t="str">
        <f t="shared" si="749"/>
        <v>Pas d'écart</v>
      </c>
    </row>
    <row r="4748" spans="1:18" x14ac:dyDescent="0.3">
      <c r="A4748" s="34" t="str">
        <f>base!J4748</f>
        <v>LM</v>
      </c>
      <c r="B4748" s="34" t="str">
        <f>base!V4748</f>
        <v>75008</v>
      </c>
      <c r="C4748" s="37">
        <v>75</v>
      </c>
      <c r="D4748" s="36">
        <f>base!H4748</f>
        <v>174.26</v>
      </c>
      <c r="E4748" s="44"/>
      <c r="F4748" s="16">
        <f>base!W4748</f>
        <v>0</v>
      </c>
      <c r="G4748" s="11">
        <f t="shared" si="740"/>
        <v>0</v>
      </c>
      <c r="H4748" s="11">
        <f t="shared" si="741"/>
        <v>0</v>
      </c>
      <c r="I4748" s="11">
        <f t="shared" si="742"/>
        <v>0</v>
      </c>
      <c r="J4748" s="12">
        <f t="shared" si="743"/>
        <v>0</v>
      </c>
      <c r="K4748" s="17" t="str">
        <f t="shared" si="748"/>
        <v>Pas d'écart</v>
      </c>
      <c r="L4748" s="16">
        <f>base!X4748</f>
        <v>0</v>
      </c>
      <c r="M4748" s="11">
        <f t="shared" si="744"/>
        <v>0</v>
      </c>
      <c r="N4748" s="11">
        <f t="shared" si="745"/>
        <v>0</v>
      </c>
      <c r="O4748" s="11">
        <f t="shared" si="746"/>
        <v>0</v>
      </c>
      <c r="P4748" s="12">
        <f t="shared" si="747"/>
        <v>0</v>
      </c>
      <c r="Q4748" s="17" t="str">
        <f t="shared" si="749"/>
        <v>Pas d'écart</v>
      </c>
    </row>
    <row r="4749" spans="1:18" x14ac:dyDescent="0.3">
      <c r="A4749" s="34">
        <f>base!J4749</f>
        <v>0</v>
      </c>
      <c r="B4749" s="34" t="str">
        <f>base!V4749</f>
        <v>77184</v>
      </c>
      <c r="C4749" s="37">
        <v>77</v>
      </c>
      <c r="D4749" s="36">
        <f>base!H4749</f>
        <v>10</v>
      </c>
      <c r="E4749" s="44"/>
      <c r="F4749" s="16">
        <f>base!W4749</f>
        <v>0</v>
      </c>
      <c r="G4749" s="11">
        <f t="shared" si="740"/>
        <v>0</v>
      </c>
      <c r="H4749" s="11">
        <f t="shared" si="741"/>
        <v>0</v>
      </c>
      <c r="I4749" s="11">
        <f t="shared" si="742"/>
        <v>0</v>
      </c>
      <c r="J4749" s="12">
        <f t="shared" si="743"/>
        <v>0</v>
      </c>
      <c r="K4749" s="17" t="str">
        <f t="shared" si="748"/>
        <v>Pas d'écart</v>
      </c>
      <c r="L4749" s="16">
        <f>base!X4749</f>
        <v>0</v>
      </c>
      <c r="M4749" s="11">
        <f t="shared" si="744"/>
        <v>0</v>
      </c>
      <c r="N4749" s="11">
        <f t="shared" si="745"/>
        <v>0</v>
      </c>
      <c r="O4749" s="11">
        <f t="shared" si="746"/>
        <v>0</v>
      </c>
      <c r="P4749" s="12">
        <f t="shared" si="747"/>
        <v>0</v>
      </c>
      <c r="Q4749" s="17" t="str">
        <f t="shared" si="749"/>
        <v>Pas d'écart</v>
      </c>
    </row>
    <row r="4750" spans="1:18" x14ac:dyDescent="0.3">
      <c r="A4750" s="34" t="str">
        <f>base!J4750</f>
        <v>LS</v>
      </c>
      <c r="B4750" s="34" t="str">
        <f>base!V4750</f>
        <v>75012</v>
      </c>
      <c r="C4750" s="37">
        <v>75</v>
      </c>
      <c r="D4750" s="36">
        <f>base!H4750</f>
        <v>148.93</v>
      </c>
      <c r="E4750" s="44"/>
      <c r="F4750" s="16">
        <f>base!W4750</f>
        <v>0</v>
      </c>
      <c r="G4750" s="11">
        <f t="shared" si="740"/>
        <v>0</v>
      </c>
      <c r="H4750" s="11">
        <f t="shared" si="741"/>
        <v>0</v>
      </c>
      <c r="I4750" s="11">
        <f t="shared" si="742"/>
        <v>0</v>
      </c>
      <c r="J4750" s="12">
        <f t="shared" si="743"/>
        <v>0</v>
      </c>
      <c r="K4750" s="17" t="str">
        <f t="shared" si="748"/>
        <v>Pas d'écart</v>
      </c>
      <c r="L4750" s="16">
        <f>base!X4750</f>
        <v>0</v>
      </c>
      <c r="M4750" s="11">
        <f t="shared" si="744"/>
        <v>0</v>
      </c>
      <c r="N4750" s="11">
        <f t="shared" si="745"/>
        <v>0</v>
      </c>
      <c r="O4750" s="11">
        <f t="shared" si="746"/>
        <v>0</v>
      </c>
      <c r="P4750" s="12">
        <f t="shared" si="747"/>
        <v>0</v>
      </c>
      <c r="Q4750" s="17" t="str">
        <f t="shared" si="749"/>
        <v>Pas d'écart</v>
      </c>
    </row>
    <row r="4751" spans="1:18" x14ac:dyDescent="0.3">
      <c r="A4751" s="34" t="str">
        <f>base!J4751</f>
        <v>LS</v>
      </c>
      <c r="B4751" s="34" t="str">
        <f>base!V4751</f>
        <v>75012</v>
      </c>
      <c r="C4751" s="37">
        <v>75</v>
      </c>
      <c r="D4751" s="36">
        <f>base!H4751</f>
        <v>148.93</v>
      </c>
      <c r="E4751" s="44"/>
      <c r="F4751" s="16">
        <f>base!W4751</f>
        <v>0</v>
      </c>
      <c r="G4751" s="11">
        <f t="shared" si="740"/>
        <v>0</v>
      </c>
      <c r="H4751" s="11">
        <f t="shared" si="741"/>
        <v>0</v>
      </c>
      <c r="I4751" s="11">
        <f t="shared" si="742"/>
        <v>0</v>
      </c>
      <c r="J4751" s="12">
        <f t="shared" si="743"/>
        <v>0</v>
      </c>
      <c r="K4751" s="17" t="str">
        <f t="shared" si="748"/>
        <v>Pas d'écart</v>
      </c>
      <c r="L4751" s="16">
        <f>base!X4751</f>
        <v>0</v>
      </c>
      <c r="M4751" s="11">
        <f t="shared" si="744"/>
        <v>0</v>
      </c>
      <c r="N4751" s="11">
        <f t="shared" si="745"/>
        <v>0</v>
      </c>
      <c r="O4751" s="11">
        <f t="shared" si="746"/>
        <v>0</v>
      </c>
      <c r="P4751" s="12">
        <f t="shared" si="747"/>
        <v>0</v>
      </c>
      <c r="Q4751" s="17" t="str">
        <f t="shared" si="749"/>
        <v>Pas d'écart</v>
      </c>
    </row>
    <row r="4752" spans="1:18" x14ac:dyDescent="0.3">
      <c r="A4752" s="34" t="str">
        <f>base!J4752</f>
        <v>LS</v>
      </c>
      <c r="B4752" s="34" t="str">
        <f>base!V4752</f>
        <v>83340</v>
      </c>
      <c r="C4752" s="37">
        <v>1</v>
      </c>
      <c r="D4752" s="36">
        <f>base!H4752</f>
        <v>120.29</v>
      </c>
      <c r="E4752" s="44"/>
      <c r="F4752" s="16">
        <f>base!W4752</f>
        <v>36.090000000000003</v>
      </c>
      <c r="G4752" s="11">
        <f t="shared" si="740"/>
        <v>0.3000249397289883</v>
      </c>
      <c r="H4752" s="11">
        <f t="shared" si="741"/>
        <v>31.275400000000001</v>
      </c>
      <c r="I4752" s="11">
        <f t="shared" si="742"/>
        <v>0.26</v>
      </c>
      <c r="J4752" s="12">
        <f t="shared" si="743"/>
        <v>4.8146000000000022</v>
      </c>
      <c r="K4752" s="17" t="str">
        <f t="shared" si="748"/>
        <v>Ecart positif</v>
      </c>
      <c r="L4752" s="16">
        <f>base!X4752</f>
        <v>0</v>
      </c>
      <c r="M4752" s="11">
        <f t="shared" si="744"/>
        <v>0</v>
      </c>
      <c r="N4752" s="11">
        <f t="shared" si="745"/>
        <v>0</v>
      </c>
      <c r="O4752" s="11">
        <f t="shared" si="746"/>
        <v>0</v>
      </c>
      <c r="P4752" s="12">
        <f t="shared" si="747"/>
        <v>0</v>
      </c>
      <c r="Q4752" s="17" t="str">
        <f t="shared" si="749"/>
        <v>Pas d'écart</v>
      </c>
    </row>
    <row r="4753" spans="1:18" x14ac:dyDescent="0.3">
      <c r="A4753" s="34">
        <f>base!J4753</f>
        <v>0</v>
      </c>
      <c r="B4753" s="34" t="str">
        <f>base!V4753</f>
        <v>77184</v>
      </c>
      <c r="C4753" s="37">
        <v>77</v>
      </c>
      <c r="D4753" s="36">
        <f>base!H4753</f>
        <v>140</v>
      </c>
      <c r="E4753" s="44"/>
      <c r="F4753" s="16">
        <f>base!W4753</f>
        <v>0</v>
      </c>
      <c r="G4753" s="11">
        <f t="shared" si="740"/>
        <v>0</v>
      </c>
      <c r="H4753" s="11">
        <f t="shared" si="741"/>
        <v>0</v>
      </c>
      <c r="I4753" s="11">
        <f t="shared" si="742"/>
        <v>0</v>
      </c>
      <c r="J4753" s="12">
        <f t="shared" si="743"/>
        <v>0</v>
      </c>
      <c r="K4753" s="17" t="str">
        <f t="shared" si="748"/>
        <v>Pas d'écart</v>
      </c>
      <c r="L4753" s="16">
        <f>base!X4753</f>
        <v>0</v>
      </c>
      <c r="M4753" s="11">
        <f t="shared" si="744"/>
        <v>0</v>
      </c>
      <c r="N4753" s="11">
        <f t="shared" si="745"/>
        <v>0</v>
      </c>
      <c r="O4753" s="11">
        <f t="shared" si="746"/>
        <v>0</v>
      </c>
      <c r="P4753" s="12">
        <f t="shared" si="747"/>
        <v>0</v>
      </c>
      <c r="Q4753" s="17" t="str">
        <f t="shared" si="749"/>
        <v>Pas d'écart</v>
      </c>
    </row>
    <row r="4754" spans="1:18" x14ac:dyDescent="0.3">
      <c r="A4754" s="34" t="str">
        <f>base!J4754</f>
        <v>Metre Aller</v>
      </c>
      <c r="B4754" s="34" t="str">
        <f>base!V4754</f>
        <v>68920</v>
      </c>
      <c r="C4754" s="37">
        <v>68</v>
      </c>
      <c r="D4754" s="36">
        <f>base!H4754</f>
        <v>30</v>
      </c>
      <c r="E4754" s="44"/>
      <c r="F4754" s="16">
        <f>base!W4754</f>
        <v>15</v>
      </c>
      <c r="G4754" s="11">
        <f t="shared" si="740"/>
        <v>0.5</v>
      </c>
      <c r="H4754" s="11">
        <f t="shared" si="741"/>
        <v>8.6999999999999993</v>
      </c>
      <c r="I4754" s="11">
        <f t="shared" si="742"/>
        <v>0.28999999999999998</v>
      </c>
      <c r="J4754" s="12">
        <f t="shared" si="743"/>
        <v>6.3000000000000007</v>
      </c>
      <c r="K4754" s="17" t="str">
        <f t="shared" si="748"/>
        <v>Ecart positif</v>
      </c>
      <c r="L4754" s="16">
        <f>base!X4754</f>
        <v>0</v>
      </c>
      <c r="M4754" s="11">
        <f t="shared" si="744"/>
        <v>0</v>
      </c>
      <c r="N4754" s="11">
        <f t="shared" si="745"/>
        <v>2.4</v>
      </c>
      <c r="O4754" s="11">
        <f t="shared" si="746"/>
        <v>0.08</v>
      </c>
      <c r="P4754" s="12">
        <f t="shared" si="747"/>
        <v>-2.4</v>
      </c>
      <c r="Q4754" s="17" t="str">
        <f t="shared" si="749"/>
        <v>Ecart négatif</v>
      </c>
    </row>
    <row r="4755" spans="1:18" x14ac:dyDescent="0.3">
      <c r="A4755" s="34" t="str">
        <f>base!J4755</f>
        <v>LM</v>
      </c>
      <c r="B4755" s="34" t="str">
        <f>base!V4755</f>
        <v>21160</v>
      </c>
      <c r="C4755" s="37">
        <v>1</v>
      </c>
      <c r="D4755" s="36">
        <f>base!H4755</f>
        <v>20.23</v>
      </c>
      <c r="E4755" s="44"/>
      <c r="F4755" s="16">
        <f>base!W4755</f>
        <v>4.8600000000000003</v>
      </c>
      <c r="G4755" s="11">
        <f t="shared" si="740"/>
        <v>0.24023727137913989</v>
      </c>
      <c r="H4755" s="11">
        <f t="shared" si="741"/>
        <v>5.2598000000000003</v>
      </c>
      <c r="I4755" s="11">
        <f t="shared" si="742"/>
        <v>0.26</v>
      </c>
      <c r="J4755" s="12">
        <f t="shared" si="743"/>
        <v>-0.39979999999999993</v>
      </c>
      <c r="K4755" s="17" t="str">
        <f t="shared" si="748"/>
        <v>Ecart négatif</v>
      </c>
      <c r="L4755" s="16">
        <f>base!X4755</f>
        <v>0</v>
      </c>
      <c r="M4755" s="11">
        <f t="shared" si="744"/>
        <v>0</v>
      </c>
      <c r="N4755" s="11">
        <f t="shared" si="745"/>
        <v>0</v>
      </c>
      <c r="O4755" s="11">
        <f t="shared" si="746"/>
        <v>0</v>
      </c>
      <c r="P4755" s="12">
        <f t="shared" si="747"/>
        <v>0</v>
      </c>
      <c r="Q4755" s="17" t="str">
        <f t="shared" si="749"/>
        <v>Pas d'écart</v>
      </c>
    </row>
    <row r="4756" spans="1:18" x14ac:dyDescent="0.3">
      <c r="A4756" s="34" t="str">
        <f>base!J4756</f>
        <v>LM</v>
      </c>
      <c r="B4756" s="34" t="str">
        <f>base!V4756</f>
        <v>56920</v>
      </c>
      <c r="C4756" s="37">
        <v>74</v>
      </c>
      <c r="D4756" s="36">
        <f>base!H4756</f>
        <v>49.08</v>
      </c>
      <c r="E4756" s="44"/>
      <c r="F4756" s="16">
        <f>base!W4756</f>
        <v>13.25</v>
      </c>
      <c r="G4756" s="11">
        <f t="shared" si="740"/>
        <v>0.26996740016299919</v>
      </c>
      <c r="H4756" s="11">
        <f t="shared" si="741"/>
        <v>12.7608</v>
      </c>
      <c r="I4756" s="11">
        <f t="shared" si="742"/>
        <v>0.26</v>
      </c>
      <c r="J4756" s="12">
        <f t="shared" si="743"/>
        <v>0.4892000000000003</v>
      </c>
      <c r="K4756" s="17" t="str">
        <f t="shared" si="748"/>
        <v>Ecart positif</v>
      </c>
      <c r="L4756" s="16">
        <f>base!X4756</f>
        <v>0</v>
      </c>
      <c r="M4756" s="11">
        <f t="shared" si="744"/>
        <v>0</v>
      </c>
      <c r="N4756" s="11">
        <f t="shared" si="745"/>
        <v>0</v>
      </c>
      <c r="O4756" s="11">
        <f t="shared" si="746"/>
        <v>0</v>
      </c>
      <c r="P4756" s="12">
        <f t="shared" si="747"/>
        <v>0</v>
      </c>
      <c r="Q4756" s="17" t="str">
        <f t="shared" si="749"/>
        <v>Pas d'écart</v>
      </c>
    </row>
    <row r="4757" spans="1:18" x14ac:dyDescent="0.3">
      <c r="A4757" s="34" t="str">
        <f>base!J4757</f>
        <v>RS</v>
      </c>
      <c r="B4757" s="34" t="str">
        <f>base!V4757</f>
        <v>59190</v>
      </c>
      <c r="C4757" s="37">
        <v>59</v>
      </c>
      <c r="D4757" s="36">
        <f>base!H4757</f>
        <v>180</v>
      </c>
      <c r="E4757" s="44"/>
      <c r="F4757" s="16">
        <f>base!W4757</f>
        <v>0</v>
      </c>
      <c r="G4757" s="11">
        <f t="shared" si="740"/>
        <v>0</v>
      </c>
      <c r="H4757" s="11">
        <f t="shared" si="741"/>
        <v>34.200000000000003</v>
      </c>
      <c r="I4757" s="11">
        <f t="shared" si="742"/>
        <v>0.19</v>
      </c>
      <c r="J4757" s="12">
        <f t="shared" si="743"/>
        <v>-34.200000000000003</v>
      </c>
      <c r="K4757" s="17" t="str">
        <f t="shared" si="748"/>
        <v>Ecart négatif</v>
      </c>
      <c r="L4757" s="16">
        <f>base!X4757</f>
        <v>0</v>
      </c>
      <c r="M4757" s="11">
        <f t="shared" si="744"/>
        <v>0</v>
      </c>
      <c r="N4757" s="11">
        <f t="shared" si="745"/>
        <v>0</v>
      </c>
      <c r="O4757" s="11">
        <f t="shared" si="746"/>
        <v>0</v>
      </c>
      <c r="P4757" s="12">
        <f t="shared" si="747"/>
        <v>0</v>
      </c>
      <c r="Q4757" s="17" t="str">
        <f t="shared" si="749"/>
        <v>Pas d'écart</v>
      </c>
    </row>
    <row r="4758" spans="1:18" x14ac:dyDescent="0.3">
      <c r="A4758" s="34" t="str">
        <f>base!J4758</f>
        <v>RM</v>
      </c>
      <c r="B4758" s="34" t="str">
        <f>base!V4758</f>
        <v>68390</v>
      </c>
      <c r="C4758" s="37">
        <v>68</v>
      </c>
      <c r="D4758" s="36">
        <f>base!H4758</f>
        <v>25.6</v>
      </c>
      <c r="E4758" s="44"/>
      <c r="F4758" s="16">
        <f>base!W4758</f>
        <v>0</v>
      </c>
      <c r="G4758" s="11">
        <f t="shared" si="740"/>
        <v>0</v>
      </c>
      <c r="H4758" s="11">
        <f t="shared" si="741"/>
        <v>7.4239999999999995</v>
      </c>
      <c r="I4758" s="11">
        <f t="shared" si="742"/>
        <v>0.28999999999999998</v>
      </c>
      <c r="J4758" s="12">
        <f t="shared" si="743"/>
        <v>-7.4239999999999995</v>
      </c>
      <c r="K4758" s="17" t="str">
        <f t="shared" si="748"/>
        <v>Ecart négatif</v>
      </c>
      <c r="L4758" s="16">
        <f>base!X4758</f>
        <v>0</v>
      </c>
      <c r="M4758" s="11">
        <f t="shared" si="744"/>
        <v>0</v>
      </c>
      <c r="N4758" s="11">
        <f t="shared" si="745"/>
        <v>2.048</v>
      </c>
      <c r="O4758" s="11">
        <f t="shared" si="746"/>
        <v>0.08</v>
      </c>
      <c r="P4758" s="12">
        <f t="shared" si="747"/>
        <v>-2.048</v>
      </c>
      <c r="Q4758" s="17" t="str">
        <f t="shared" si="749"/>
        <v>Ecart négatif</v>
      </c>
    </row>
    <row r="4759" spans="1:18" x14ac:dyDescent="0.3">
      <c r="A4759" s="34" t="str">
        <f>base!J4759</f>
        <v>RM</v>
      </c>
      <c r="B4759" s="34" t="str">
        <f>base!V4759</f>
        <v>75013</v>
      </c>
      <c r="C4759" s="37">
        <v>75</v>
      </c>
      <c r="D4759" s="36">
        <f>base!H4759</f>
        <v>151</v>
      </c>
      <c r="E4759" s="44"/>
      <c r="F4759" s="16">
        <f>base!W4759</f>
        <v>0</v>
      </c>
      <c r="G4759" s="11">
        <f t="shared" si="740"/>
        <v>0</v>
      </c>
      <c r="H4759" s="11">
        <f t="shared" si="741"/>
        <v>0</v>
      </c>
      <c r="I4759" s="11">
        <f t="shared" si="742"/>
        <v>0</v>
      </c>
      <c r="J4759" s="12">
        <f t="shared" si="743"/>
        <v>0</v>
      </c>
      <c r="K4759" s="17" t="str">
        <f t="shared" si="748"/>
        <v>Pas d'écart</v>
      </c>
      <c r="L4759" s="16">
        <f>base!X4759</f>
        <v>0</v>
      </c>
      <c r="M4759" s="11">
        <f t="shared" si="744"/>
        <v>0</v>
      </c>
      <c r="N4759" s="11">
        <f t="shared" si="745"/>
        <v>0</v>
      </c>
      <c r="O4759" s="11">
        <f t="shared" si="746"/>
        <v>0</v>
      </c>
      <c r="P4759" s="12">
        <f t="shared" si="747"/>
        <v>0</v>
      </c>
      <c r="Q4759" s="17" t="str">
        <f t="shared" si="749"/>
        <v>Pas d'écart</v>
      </c>
    </row>
    <row r="4760" spans="1:18" x14ac:dyDescent="0.3">
      <c r="A4760" s="34" t="str">
        <f>base!J4760</f>
        <v>RM</v>
      </c>
      <c r="B4760" s="34" t="str">
        <f>base!V4760</f>
        <v>77183</v>
      </c>
      <c r="C4760" s="37">
        <v>77</v>
      </c>
      <c r="D4760" s="36">
        <f>base!H4760</f>
        <v>188.52</v>
      </c>
      <c r="E4760" s="44"/>
      <c r="F4760" s="16">
        <f>base!W4760</f>
        <v>0</v>
      </c>
      <c r="G4760" s="11">
        <f t="shared" si="740"/>
        <v>0</v>
      </c>
      <c r="H4760" s="11">
        <f t="shared" si="741"/>
        <v>0</v>
      </c>
      <c r="I4760" s="11">
        <f t="shared" si="742"/>
        <v>0</v>
      </c>
      <c r="J4760" s="12">
        <f t="shared" si="743"/>
        <v>0</v>
      </c>
      <c r="K4760" s="17" t="str">
        <f t="shared" si="748"/>
        <v>Pas d'écart</v>
      </c>
      <c r="L4760" s="16">
        <f>base!X4760</f>
        <v>0</v>
      </c>
      <c r="M4760" s="11">
        <f t="shared" si="744"/>
        <v>0</v>
      </c>
      <c r="N4760" s="11">
        <f t="shared" si="745"/>
        <v>0</v>
      </c>
      <c r="O4760" s="11">
        <f t="shared" si="746"/>
        <v>0</v>
      </c>
      <c r="P4760" s="12">
        <f t="shared" si="747"/>
        <v>0</v>
      </c>
      <c r="Q4760" s="17" t="str">
        <f t="shared" si="749"/>
        <v>Pas d'écart</v>
      </c>
    </row>
    <row r="4761" spans="1:18" x14ac:dyDescent="0.3">
      <c r="A4761" s="34" t="str">
        <f>base!J4761</f>
        <v>RM</v>
      </c>
      <c r="B4761" s="34" t="str">
        <f>base!V4761</f>
        <v>25400</v>
      </c>
      <c r="C4761" s="37">
        <v>25</v>
      </c>
      <c r="D4761" s="36">
        <f>base!H4761</f>
        <v>136.44999999999999</v>
      </c>
      <c r="E4761" s="44"/>
      <c r="F4761" s="16">
        <f>base!W4761</f>
        <v>0</v>
      </c>
      <c r="G4761" s="11">
        <f t="shared" si="740"/>
        <v>0</v>
      </c>
      <c r="H4761" s="11">
        <f t="shared" si="741"/>
        <v>32.747999999999998</v>
      </c>
      <c r="I4761" s="11">
        <f t="shared" si="742"/>
        <v>0.24</v>
      </c>
      <c r="J4761" s="12">
        <f t="shared" si="743"/>
        <v>-32.747999999999998</v>
      </c>
      <c r="K4761" s="17" t="str">
        <f t="shared" si="748"/>
        <v>Ecart négatif</v>
      </c>
      <c r="L4761" s="16">
        <f>base!X4761</f>
        <v>16.37</v>
      </c>
      <c r="M4761" s="11">
        <f t="shared" si="744"/>
        <v>0.11997068523268599</v>
      </c>
      <c r="N4761" s="11">
        <f t="shared" si="745"/>
        <v>16.373999999999999</v>
      </c>
      <c r="O4761" s="11">
        <f t="shared" si="746"/>
        <v>0.12</v>
      </c>
      <c r="P4761" s="12">
        <f t="shared" si="747"/>
        <v>-3.9999999999977831E-3</v>
      </c>
      <c r="Q4761" s="17" t="str">
        <f t="shared" si="749"/>
        <v>Ecart négatif</v>
      </c>
      <c r="R4761" s="38"/>
    </row>
    <row r="4762" spans="1:18" x14ac:dyDescent="0.3">
      <c r="A4762" s="34">
        <f>base!J4762</f>
        <v>0</v>
      </c>
      <c r="B4762" s="34" t="str">
        <f>base!V4762</f>
        <v>77184</v>
      </c>
      <c r="C4762" s="37">
        <v>77</v>
      </c>
      <c r="D4762" s="36">
        <f>base!H4762</f>
        <v>84.5</v>
      </c>
      <c r="E4762" s="44"/>
      <c r="F4762" s="16">
        <f>base!W4762</f>
        <v>0</v>
      </c>
      <c r="G4762" s="11">
        <f t="shared" si="740"/>
        <v>0</v>
      </c>
      <c r="H4762" s="11">
        <f t="shared" si="741"/>
        <v>0</v>
      </c>
      <c r="I4762" s="11">
        <f t="shared" si="742"/>
        <v>0</v>
      </c>
      <c r="J4762" s="12">
        <f t="shared" si="743"/>
        <v>0</v>
      </c>
      <c r="K4762" s="17" t="str">
        <f t="shared" si="748"/>
        <v>Pas d'écart</v>
      </c>
      <c r="L4762" s="16">
        <f>base!X4762</f>
        <v>0</v>
      </c>
      <c r="M4762" s="11">
        <f t="shared" si="744"/>
        <v>0</v>
      </c>
      <c r="N4762" s="11">
        <f t="shared" si="745"/>
        <v>0</v>
      </c>
      <c r="O4762" s="11">
        <f t="shared" si="746"/>
        <v>0</v>
      </c>
      <c r="P4762" s="12">
        <f t="shared" si="747"/>
        <v>0</v>
      </c>
      <c r="Q4762" s="17" t="str">
        <f t="shared" si="749"/>
        <v>Pas d'écart</v>
      </c>
    </row>
    <row r="4763" spans="1:18" x14ac:dyDescent="0.3">
      <c r="A4763" s="34" t="str">
        <f>base!J4763</f>
        <v>RS</v>
      </c>
      <c r="B4763" s="34" t="str">
        <f>base!V4763</f>
        <v>36130</v>
      </c>
      <c r="C4763" s="37">
        <v>36</v>
      </c>
      <c r="D4763" s="36">
        <f>base!H4763</f>
        <v>140</v>
      </c>
      <c r="E4763" s="44"/>
      <c r="F4763" s="16">
        <f>base!W4763</f>
        <v>0</v>
      </c>
      <c r="G4763" s="11">
        <f t="shared" si="740"/>
        <v>0</v>
      </c>
      <c r="H4763" s="11">
        <f t="shared" si="741"/>
        <v>29.4</v>
      </c>
      <c r="I4763" s="11">
        <f t="shared" si="742"/>
        <v>0.21</v>
      </c>
      <c r="J4763" s="12">
        <f t="shared" si="743"/>
        <v>-29.4</v>
      </c>
      <c r="K4763" s="17" t="str">
        <f t="shared" si="748"/>
        <v>Ecart négatif</v>
      </c>
      <c r="L4763" s="16">
        <f>base!X4763</f>
        <v>16.8</v>
      </c>
      <c r="M4763" s="11">
        <f t="shared" si="744"/>
        <v>0.12000000000000001</v>
      </c>
      <c r="N4763" s="11">
        <f t="shared" si="745"/>
        <v>16.8</v>
      </c>
      <c r="O4763" s="11">
        <f t="shared" si="746"/>
        <v>0.12000000000000001</v>
      </c>
      <c r="P4763" s="12">
        <f t="shared" si="747"/>
        <v>0</v>
      </c>
      <c r="Q4763" s="17" t="str">
        <f t="shared" si="749"/>
        <v>Pas d'écart</v>
      </c>
      <c r="R4763" s="38"/>
    </row>
    <row r="4764" spans="1:18" x14ac:dyDescent="0.3">
      <c r="A4764" s="34" t="str">
        <f>base!J4764</f>
        <v>RM</v>
      </c>
      <c r="B4764" s="34" t="str">
        <f>base!V4764</f>
        <v>57000</v>
      </c>
      <c r="C4764" s="37">
        <v>57</v>
      </c>
      <c r="D4764" s="36">
        <f>base!H4764</f>
        <v>17</v>
      </c>
      <c r="E4764" s="44"/>
      <c r="F4764" s="16">
        <f>base!W4764</f>
        <v>0</v>
      </c>
      <c r="G4764" s="11">
        <f t="shared" si="740"/>
        <v>0</v>
      </c>
      <c r="H4764" s="11">
        <f t="shared" si="741"/>
        <v>4.08</v>
      </c>
      <c r="I4764" s="11">
        <f t="shared" si="742"/>
        <v>0.24</v>
      </c>
      <c r="J4764" s="12">
        <f t="shared" si="743"/>
        <v>-4.08</v>
      </c>
      <c r="K4764" s="17" t="str">
        <f t="shared" si="748"/>
        <v>Ecart négatif</v>
      </c>
      <c r="L4764" s="16">
        <f>base!X4764</f>
        <v>4.25</v>
      </c>
      <c r="M4764" s="11">
        <f t="shared" si="744"/>
        <v>0.25</v>
      </c>
      <c r="N4764" s="11">
        <f t="shared" si="745"/>
        <v>4.25</v>
      </c>
      <c r="O4764" s="11">
        <f t="shared" si="746"/>
        <v>0.25</v>
      </c>
      <c r="P4764" s="12">
        <f t="shared" si="747"/>
        <v>0</v>
      </c>
      <c r="Q4764" s="17" t="str">
        <f t="shared" si="749"/>
        <v>Pas d'écart</v>
      </c>
      <c r="R4764" s="38"/>
    </row>
    <row r="4765" spans="1:18" x14ac:dyDescent="0.3">
      <c r="A4765" s="34" t="str">
        <f>base!J4765</f>
        <v>DRS</v>
      </c>
      <c r="B4765" s="34" t="str">
        <f>base!V4765</f>
        <v>57970</v>
      </c>
      <c r="C4765" s="37">
        <v>57</v>
      </c>
      <c r="D4765" s="36">
        <f>base!H4765</f>
        <v>186.99</v>
      </c>
      <c r="E4765" s="44"/>
      <c r="F4765" s="16">
        <f>base!W4765</f>
        <v>0</v>
      </c>
      <c r="G4765" s="11">
        <f t="shared" si="740"/>
        <v>0</v>
      </c>
      <c r="H4765" s="11">
        <f t="shared" si="741"/>
        <v>44.877600000000001</v>
      </c>
      <c r="I4765" s="11">
        <f t="shared" si="742"/>
        <v>0.24</v>
      </c>
      <c r="J4765" s="12">
        <f t="shared" si="743"/>
        <v>-44.877600000000001</v>
      </c>
      <c r="K4765" s="17" t="str">
        <f t="shared" si="748"/>
        <v>Ecart négatif</v>
      </c>
      <c r="L4765" s="16">
        <f>base!X4765</f>
        <v>0</v>
      </c>
      <c r="M4765" s="11">
        <f t="shared" si="744"/>
        <v>0</v>
      </c>
      <c r="N4765" s="11">
        <f t="shared" si="745"/>
        <v>46.747500000000002</v>
      </c>
      <c r="O4765" s="11">
        <f t="shared" si="746"/>
        <v>0.25</v>
      </c>
      <c r="P4765" s="12">
        <f t="shared" si="747"/>
        <v>-46.747500000000002</v>
      </c>
      <c r="Q4765" s="17" t="str">
        <f t="shared" si="749"/>
        <v>Ecart négatif</v>
      </c>
    </row>
    <row r="4766" spans="1:18" x14ac:dyDescent="0.3">
      <c r="A4766" s="34" t="str">
        <f>base!J4766</f>
        <v>RS</v>
      </c>
      <c r="B4766" s="34" t="str">
        <f>base!V4766</f>
        <v>06600</v>
      </c>
      <c r="C4766" s="37">
        <v>6</v>
      </c>
      <c r="D4766" s="36">
        <f>base!H4766</f>
        <v>150</v>
      </c>
      <c r="E4766" s="44"/>
      <c r="F4766" s="16">
        <f>base!W4766</f>
        <v>0</v>
      </c>
      <c r="G4766" s="11">
        <f t="shared" si="740"/>
        <v>0</v>
      </c>
      <c r="H4766" s="11">
        <f t="shared" si="741"/>
        <v>45</v>
      </c>
      <c r="I4766" s="11">
        <f t="shared" si="742"/>
        <v>0.3</v>
      </c>
      <c r="J4766" s="12">
        <f t="shared" si="743"/>
        <v>-45</v>
      </c>
      <c r="K4766" s="17" t="str">
        <f t="shared" si="748"/>
        <v>Ecart négatif</v>
      </c>
      <c r="L4766" s="16">
        <f>base!X4766</f>
        <v>0</v>
      </c>
      <c r="M4766" s="11">
        <f t="shared" si="744"/>
        <v>0</v>
      </c>
      <c r="N4766" s="11">
        <f t="shared" si="745"/>
        <v>31.5</v>
      </c>
      <c r="O4766" s="11">
        <f t="shared" si="746"/>
        <v>0.21</v>
      </c>
      <c r="P4766" s="12">
        <f t="shared" si="747"/>
        <v>-31.5</v>
      </c>
      <c r="Q4766" s="17" t="str">
        <f t="shared" si="749"/>
        <v>Ecart négatif</v>
      </c>
    </row>
    <row r="4767" spans="1:18" x14ac:dyDescent="0.3">
      <c r="A4767" s="34" t="str">
        <f>base!J4767</f>
        <v>LM</v>
      </c>
      <c r="B4767" s="34" t="str">
        <f>base!V4767</f>
        <v>57200</v>
      </c>
      <c r="C4767" s="37">
        <v>49</v>
      </c>
      <c r="D4767" s="36">
        <f>base!H4767</f>
        <v>12</v>
      </c>
      <c r="E4767" s="44"/>
      <c r="F4767" s="16">
        <f>base!W4767</f>
        <v>3</v>
      </c>
      <c r="G4767" s="11">
        <f t="shared" si="740"/>
        <v>0.25</v>
      </c>
      <c r="H4767" s="11">
        <f t="shared" si="741"/>
        <v>3.24</v>
      </c>
      <c r="I4767" s="11">
        <f t="shared" si="742"/>
        <v>0.27</v>
      </c>
      <c r="J4767" s="12">
        <f t="shared" si="743"/>
        <v>-0.24000000000000021</v>
      </c>
      <c r="K4767" s="17" t="str">
        <f t="shared" si="748"/>
        <v>Ecart négatif</v>
      </c>
      <c r="L4767" s="16">
        <f>base!X4767</f>
        <v>0</v>
      </c>
      <c r="M4767" s="11">
        <f t="shared" si="744"/>
        <v>0</v>
      </c>
      <c r="N4767" s="11">
        <f t="shared" si="745"/>
        <v>0</v>
      </c>
      <c r="O4767" s="11">
        <f t="shared" si="746"/>
        <v>0</v>
      </c>
      <c r="P4767" s="12">
        <f t="shared" si="747"/>
        <v>0</v>
      </c>
      <c r="Q4767" s="17" t="str">
        <f t="shared" si="749"/>
        <v>Pas d'écart</v>
      </c>
    </row>
    <row r="4768" spans="1:18" x14ac:dyDescent="0.3">
      <c r="A4768" s="34" t="str">
        <f>base!J4768</f>
        <v>RS</v>
      </c>
      <c r="B4768" s="34" t="str">
        <f>base!V4768</f>
        <v>50890</v>
      </c>
      <c r="C4768" s="37">
        <v>50</v>
      </c>
      <c r="D4768" s="36">
        <f>base!H4768</f>
        <v>189.52</v>
      </c>
      <c r="E4768" s="44"/>
      <c r="F4768" s="16">
        <f>base!W4768</f>
        <v>0</v>
      </c>
      <c r="G4768" s="11">
        <f t="shared" si="740"/>
        <v>0</v>
      </c>
      <c r="H4768" s="11">
        <f t="shared" si="741"/>
        <v>32.218400000000003</v>
      </c>
      <c r="I4768" s="11">
        <f t="shared" si="742"/>
        <v>0.17</v>
      </c>
      <c r="J4768" s="12">
        <f t="shared" si="743"/>
        <v>-32.218400000000003</v>
      </c>
      <c r="K4768" s="17" t="str">
        <f t="shared" si="748"/>
        <v>Ecart négatif</v>
      </c>
      <c r="L4768" s="16">
        <f>base!X4768</f>
        <v>32.22</v>
      </c>
      <c r="M4768" s="11">
        <f t="shared" si="744"/>
        <v>0.17000844238075136</v>
      </c>
      <c r="N4768" s="11">
        <f t="shared" si="745"/>
        <v>32.218400000000003</v>
      </c>
      <c r="O4768" s="11">
        <f t="shared" si="746"/>
        <v>0.17</v>
      </c>
      <c r="P4768" s="12">
        <f t="shared" si="747"/>
        <v>1.5999999999962711E-3</v>
      </c>
      <c r="Q4768" s="17" t="str">
        <f t="shared" si="749"/>
        <v>Ecart positif</v>
      </c>
      <c r="R4768" s="38"/>
    </row>
    <row r="4769" spans="1:18" x14ac:dyDescent="0.3">
      <c r="A4769" s="34" t="str">
        <f>base!J4769</f>
        <v>LM</v>
      </c>
      <c r="B4769" s="34" t="str">
        <f>base!V4769</f>
        <v>69110</v>
      </c>
      <c r="C4769" s="37">
        <v>69</v>
      </c>
      <c r="D4769" s="36">
        <f>base!H4769</f>
        <v>28.62</v>
      </c>
      <c r="E4769" s="44"/>
      <c r="F4769" s="16">
        <f>base!W4769</f>
        <v>7.73</v>
      </c>
      <c r="G4769" s="11">
        <f t="shared" si="740"/>
        <v>0.2700908455625437</v>
      </c>
      <c r="H4769" s="11">
        <f t="shared" si="741"/>
        <v>7.7274000000000012</v>
      </c>
      <c r="I4769" s="11">
        <f t="shared" si="742"/>
        <v>0.27</v>
      </c>
      <c r="J4769" s="12">
        <f t="shared" si="743"/>
        <v>2.5999999999992696E-3</v>
      </c>
      <c r="K4769" s="17" t="str">
        <f t="shared" si="748"/>
        <v>Ecart positif</v>
      </c>
      <c r="L4769" s="16">
        <f>base!X4769</f>
        <v>0</v>
      </c>
      <c r="M4769" s="11">
        <f t="shared" si="744"/>
        <v>0</v>
      </c>
      <c r="N4769" s="11">
        <f t="shared" si="745"/>
        <v>0</v>
      </c>
      <c r="O4769" s="11">
        <f t="shared" si="746"/>
        <v>0</v>
      </c>
      <c r="P4769" s="12">
        <f t="shared" si="747"/>
        <v>0</v>
      </c>
      <c r="Q4769" s="17" t="str">
        <f t="shared" si="749"/>
        <v>Pas d'écart</v>
      </c>
    </row>
    <row r="4770" spans="1:18" x14ac:dyDescent="0.3">
      <c r="A4770" s="34">
        <f>base!J4770</f>
        <v>0</v>
      </c>
      <c r="B4770" s="34" t="str">
        <f>base!V4770</f>
        <v>44240</v>
      </c>
      <c r="C4770" s="37">
        <v>44</v>
      </c>
      <c r="D4770" s="36">
        <f>base!H4770</f>
        <v>22.8</v>
      </c>
      <c r="E4770" s="44"/>
      <c r="F4770" s="16">
        <f>base!W4770</f>
        <v>0</v>
      </c>
      <c r="G4770" s="11">
        <f t="shared" si="740"/>
        <v>0</v>
      </c>
      <c r="H4770" s="11">
        <f t="shared" si="741"/>
        <v>6.1560000000000006</v>
      </c>
      <c r="I4770" s="11">
        <f t="shared" si="742"/>
        <v>0.27</v>
      </c>
      <c r="J4770" s="12">
        <f t="shared" si="743"/>
        <v>-6.1560000000000006</v>
      </c>
      <c r="K4770" s="17" t="str">
        <f t="shared" si="748"/>
        <v>Ecart négatif</v>
      </c>
      <c r="L4770" s="16">
        <f>base!X4770</f>
        <v>0</v>
      </c>
      <c r="M4770" s="11">
        <f t="shared" si="744"/>
        <v>0</v>
      </c>
      <c r="N4770" s="11">
        <f t="shared" si="745"/>
        <v>0</v>
      </c>
      <c r="O4770" s="11">
        <f t="shared" si="746"/>
        <v>0</v>
      </c>
      <c r="P4770" s="12">
        <f t="shared" si="747"/>
        <v>0</v>
      </c>
      <c r="Q4770" s="17" t="str">
        <f t="shared" si="749"/>
        <v>Pas d'écart</v>
      </c>
    </row>
    <row r="4771" spans="1:18" x14ac:dyDescent="0.3">
      <c r="A4771" s="34">
        <f>base!J4771</f>
        <v>0</v>
      </c>
      <c r="B4771" s="34" t="str">
        <f>base!V4771</f>
        <v>77184</v>
      </c>
      <c r="C4771" s="37">
        <v>77</v>
      </c>
      <c r="D4771" s="36">
        <f>base!H4771</f>
        <v>50</v>
      </c>
      <c r="E4771" s="44"/>
      <c r="F4771" s="16">
        <f>base!W4771</f>
        <v>0</v>
      </c>
      <c r="G4771" s="11">
        <f t="shared" si="740"/>
        <v>0</v>
      </c>
      <c r="H4771" s="11">
        <f t="shared" si="741"/>
        <v>0</v>
      </c>
      <c r="I4771" s="11">
        <f t="shared" si="742"/>
        <v>0</v>
      </c>
      <c r="J4771" s="12">
        <f t="shared" si="743"/>
        <v>0</v>
      </c>
      <c r="K4771" s="17" t="str">
        <f t="shared" si="748"/>
        <v>Pas d'écart</v>
      </c>
      <c r="L4771" s="16">
        <f>base!X4771</f>
        <v>0</v>
      </c>
      <c r="M4771" s="11">
        <f t="shared" si="744"/>
        <v>0</v>
      </c>
      <c r="N4771" s="11">
        <f t="shared" si="745"/>
        <v>0</v>
      </c>
      <c r="O4771" s="11">
        <f t="shared" si="746"/>
        <v>0</v>
      </c>
      <c r="P4771" s="12">
        <f t="shared" si="747"/>
        <v>0</v>
      </c>
      <c r="Q4771" s="17" t="str">
        <f t="shared" si="749"/>
        <v>Pas d'écart</v>
      </c>
    </row>
    <row r="4772" spans="1:18" x14ac:dyDescent="0.3">
      <c r="A4772" s="34">
        <f>base!J4772</f>
        <v>0</v>
      </c>
      <c r="B4772" s="34" t="str">
        <f>base!V4772</f>
        <v>77184</v>
      </c>
      <c r="C4772" s="37">
        <v>77</v>
      </c>
      <c r="D4772" s="36">
        <f>base!H4772</f>
        <v>109</v>
      </c>
      <c r="E4772" s="44"/>
      <c r="F4772" s="16">
        <f>base!W4772</f>
        <v>0</v>
      </c>
      <c r="G4772" s="11">
        <f t="shared" si="740"/>
        <v>0</v>
      </c>
      <c r="H4772" s="11">
        <f t="shared" si="741"/>
        <v>0</v>
      </c>
      <c r="I4772" s="11">
        <f t="shared" si="742"/>
        <v>0</v>
      </c>
      <c r="J4772" s="12">
        <f t="shared" si="743"/>
        <v>0</v>
      </c>
      <c r="K4772" s="17" t="str">
        <f t="shared" si="748"/>
        <v>Pas d'écart</v>
      </c>
      <c r="L4772" s="16">
        <f>base!X4772</f>
        <v>0</v>
      </c>
      <c r="M4772" s="11">
        <f t="shared" si="744"/>
        <v>0</v>
      </c>
      <c r="N4772" s="11">
        <f t="shared" si="745"/>
        <v>0</v>
      </c>
      <c r="O4772" s="11">
        <f t="shared" si="746"/>
        <v>0</v>
      </c>
      <c r="P4772" s="12">
        <f t="shared" si="747"/>
        <v>0</v>
      </c>
      <c r="Q4772" s="17" t="str">
        <f t="shared" si="749"/>
        <v>Pas d'écart</v>
      </c>
    </row>
    <row r="4773" spans="1:18" x14ac:dyDescent="0.3">
      <c r="A4773" s="34">
        <f>base!J4773</f>
        <v>0</v>
      </c>
      <c r="B4773" s="34" t="str">
        <f>base!V4773</f>
        <v>77184</v>
      </c>
      <c r="C4773" s="37">
        <v>77</v>
      </c>
      <c r="D4773" s="36">
        <f>base!H4773</f>
        <v>104</v>
      </c>
      <c r="E4773" s="44"/>
      <c r="F4773" s="16">
        <f>base!W4773</f>
        <v>0</v>
      </c>
      <c r="G4773" s="11">
        <f t="shared" si="740"/>
        <v>0</v>
      </c>
      <c r="H4773" s="11">
        <f t="shared" si="741"/>
        <v>0</v>
      </c>
      <c r="I4773" s="11">
        <f t="shared" si="742"/>
        <v>0</v>
      </c>
      <c r="J4773" s="12">
        <f t="shared" si="743"/>
        <v>0</v>
      </c>
      <c r="K4773" s="17" t="str">
        <f t="shared" si="748"/>
        <v>Pas d'écart</v>
      </c>
      <c r="L4773" s="16">
        <f>base!X4773</f>
        <v>0</v>
      </c>
      <c r="M4773" s="11">
        <f t="shared" si="744"/>
        <v>0</v>
      </c>
      <c r="N4773" s="11">
        <f t="shared" si="745"/>
        <v>0</v>
      </c>
      <c r="O4773" s="11">
        <f t="shared" si="746"/>
        <v>0</v>
      </c>
      <c r="P4773" s="12">
        <f t="shared" si="747"/>
        <v>0</v>
      </c>
      <c r="Q4773" s="17" t="str">
        <f t="shared" si="749"/>
        <v>Pas d'écart</v>
      </c>
    </row>
    <row r="4774" spans="1:18" x14ac:dyDescent="0.3">
      <c r="A4774" s="34">
        <f>base!J4774</f>
        <v>0</v>
      </c>
      <c r="B4774" s="34" t="str">
        <f>base!V4774</f>
        <v>77184</v>
      </c>
      <c r="C4774" s="37">
        <v>77</v>
      </c>
      <c r="D4774" s="36">
        <f>base!H4774</f>
        <v>40</v>
      </c>
      <c r="E4774" s="44"/>
      <c r="F4774" s="16">
        <f>base!W4774</f>
        <v>0</v>
      </c>
      <c r="G4774" s="11">
        <f t="shared" si="740"/>
        <v>0</v>
      </c>
      <c r="H4774" s="11">
        <f t="shared" si="741"/>
        <v>0</v>
      </c>
      <c r="I4774" s="11">
        <f t="shared" si="742"/>
        <v>0</v>
      </c>
      <c r="J4774" s="12">
        <f t="shared" si="743"/>
        <v>0</v>
      </c>
      <c r="K4774" s="17" t="str">
        <f t="shared" si="748"/>
        <v>Pas d'écart</v>
      </c>
      <c r="L4774" s="16">
        <f>base!X4774</f>
        <v>0</v>
      </c>
      <c r="M4774" s="11">
        <f t="shared" si="744"/>
        <v>0</v>
      </c>
      <c r="N4774" s="11">
        <f t="shared" si="745"/>
        <v>0</v>
      </c>
      <c r="O4774" s="11">
        <f t="shared" si="746"/>
        <v>0</v>
      </c>
      <c r="P4774" s="12">
        <f t="shared" si="747"/>
        <v>0</v>
      </c>
      <c r="Q4774" s="17" t="str">
        <f t="shared" si="749"/>
        <v>Pas d'écart</v>
      </c>
    </row>
    <row r="4775" spans="1:18" x14ac:dyDescent="0.3">
      <c r="A4775" s="34">
        <f>base!J4775</f>
        <v>0</v>
      </c>
      <c r="B4775" s="34" t="str">
        <f>base!V4775</f>
        <v>77184</v>
      </c>
      <c r="C4775" s="37">
        <v>77</v>
      </c>
      <c r="D4775" s="36">
        <f>base!H4775</f>
        <v>440</v>
      </c>
      <c r="E4775" s="44"/>
      <c r="F4775" s="16">
        <f>base!W4775</f>
        <v>0</v>
      </c>
      <c r="G4775" s="11">
        <f t="shared" si="740"/>
        <v>0</v>
      </c>
      <c r="H4775" s="11">
        <f t="shared" si="741"/>
        <v>0</v>
      </c>
      <c r="I4775" s="11">
        <f t="shared" si="742"/>
        <v>0</v>
      </c>
      <c r="J4775" s="12">
        <f t="shared" si="743"/>
        <v>0</v>
      </c>
      <c r="K4775" s="17" t="str">
        <f t="shared" si="748"/>
        <v>Pas d'écart</v>
      </c>
      <c r="L4775" s="16">
        <f>base!X4775</f>
        <v>0</v>
      </c>
      <c r="M4775" s="11">
        <f t="shared" si="744"/>
        <v>0</v>
      </c>
      <c r="N4775" s="11">
        <f t="shared" si="745"/>
        <v>0</v>
      </c>
      <c r="O4775" s="11">
        <f t="shared" si="746"/>
        <v>0</v>
      </c>
      <c r="P4775" s="12">
        <f t="shared" si="747"/>
        <v>0</v>
      </c>
      <c r="Q4775" s="17" t="str">
        <f t="shared" si="749"/>
        <v>Pas d'écart</v>
      </c>
    </row>
    <row r="4776" spans="1:18" x14ac:dyDescent="0.3">
      <c r="A4776" s="34">
        <f>base!J4776</f>
        <v>0</v>
      </c>
      <c r="B4776" s="34" t="str">
        <f>base!V4776</f>
        <v>77184</v>
      </c>
      <c r="C4776" s="37">
        <v>77</v>
      </c>
      <c r="D4776" s="36">
        <f>base!H4776</f>
        <v>171</v>
      </c>
      <c r="E4776" s="44"/>
      <c r="F4776" s="16">
        <f>base!W4776</f>
        <v>0</v>
      </c>
      <c r="G4776" s="11">
        <f t="shared" si="740"/>
        <v>0</v>
      </c>
      <c r="H4776" s="11">
        <f t="shared" si="741"/>
        <v>0</v>
      </c>
      <c r="I4776" s="11">
        <f t="shared" si="742"/>
        <v>0</v>
      </c>
      <c r="J4776" s="12">
        <f t="shared" si="743"/>
        <v>0</v>
      </c>
      <c r="K4776" s="17" t="str">
        <f t="shared" si="748"/>
        <v>Pas d'écart</v>
      </c>
      <c r="L4776" s="16">
        <f>base!X4776</f>
        <v>0</v>
      </c>
      <c r="M4776" s="11">
        <f t="shared" si="744"/>
        <v>0</v>
      </c>
      <c r="N4776" s="11">
        <f t="shared" si="745"/>
        <v>0</v>
      </c>
      <c r="O4776" s="11">
        <f t="shared" si="746"/>
        <v>0</v>
      </c>
      <c r="P4776" s="12">
        <f t="shared" si="747"/>
        <v>0</v>
      </c>
      <c r="Q4776" s="17" t="str">
        <f t="shared" si="749"/>
        <v>Pas d'écart</v>
      </c>
    </row>
    <row r="4777" spans="1:18" x14ac:dyDescent="0.3">
      <c r="A4777" s="34">
        <f>base!J4777</f>
        <v>0</v>
      </c>
      <c r="B4777" s="34" t="str">
        <f>base!V4777</f>
        <v>77184</v>
      </c>
      <c r="C4777" s="37">
        <v>77</v>
      </c>
      <c r="D4777" s="36">
        <f>base!H4777</f>
        <v>156</v>
      </c>
      <c r="E4777" s="44"/>
      <c r="F4777" s="16">
        <f>base!W4777</f>
        <v>0</v>
      </c>
      <c r="G4777" s="11">
        <f t="shared" si="740"/>
        <v>0</v>
      </c>
      <c r="H4777" s="11">
        <f t="shared" si="741"/>
        <v>0</v>
      </c>
      <c r="I4777" s="11">
        <f t="shared" si="742"/>
        <v>0</v>
      </c>
      <c r="J4777" s="12">
        <f t="shared" si="743"/>
        <v>0</v>
      </c>
      <c r="K4777" s="17" t="str">
        <f t="shared" si="748"/>
        <v>Pas d'écart</v>
      </c>
      <c r="L4777" s="16">
        <f>base!X4777</f>
        <v>0</v>
      </c>
      <c r="M4777" s="11">
        <f t="shared" si="744"/>
        <v>0</v>
      </c>
      <c r="N4777" s="11">
        <f t="shared" si="745"/>
        <v>0</v>
      </c>
      <c r="O4777" s="11">
        <f t="shared" si="746"/>
        <v>0</v>
      </c>
      <c r="P4777" s="12">
        <f t="shared" si="747"/>
        <v>0</v>
      </c>
      <c r="Q4777" s="17" t="str">
        <f t="shared" si="749"/>
        <v>Pas d'écart</v>
      </c>
    </row>
    <row r="4778" spans="1:18" x14ac:dyDescent="0.3">
      <c r="A4778" s="34" t="str">
        <f>base!J4778</f>
        <v>RS</v>
      </c>
      <c r="B4778" s="34" t="str">
        <f>base!V4778</f>
        <v>79500</v>
      </c>
      <c r="C4778" s="37">
        <v>79</v>
      </c>
      <c r="D4778" s="36">
        <f>base!H4778</f>
        <v>50</v>
      </c>
      <c r="E4778" s="44"/>
      <c r="F4778" s="16">
        <f>base!W4778</f>
        <v>0</v>
      </c>
      <c r="G4778" s="11">
        <f t="shared" si="740"/>
        <v>0</v>
      </c>
      <c r="H4778" s="11">
        <f t="shared" si="741"/>
        <v>10.5</v>
      </c>
      <c r="I4778" s="11">
        <f t="shared" si="742"/>
        <v>0.21</v>
      </c>
      <c r="J4778" s="12">
        <f t="shared" si="743"/>
        <v>-10.5</v>
      </c>
      <c r="K4778" s="17" t="str">
        <f t="shared" si="748"/>
        <v>Ecart négatif</v>
      </c>
      <c r="L4778" s="16">
        <f>base!X4778</f>
        <v>6</v>
      </c>
      <c r="M4778" s="11">
        <f t="shared" si="744"/>
        <v>0.12</v>
      </c>
      <c r="N4778" s="11">
        <f t="shared" si="745"/>
        <v>6</v>
      </c>
      <c r="O4778" s="11">
        <f t="shared" si="746"/>
        <v>0.12</v>
      </c>
      <c r="P4778" s="12">
        <f t="shared" si="747"/>
        <v>0</v>
      </c>
      <c r="Q4778" s="17" t="str">
        <f t="shared" si="749"/>
        <v>Pas d'écart</v>
      </c>
      <c r="R4778" s="38"/>
    </row>
    <row r="4779" spans="1:18" x14ac:dyDescent="0.3">
      <c r="A4779" s="34" t="str">
        <f>base!J4779</f>
        <v>LS</v>
      </c>
      <c r="B4779" s="34" t="str">
        <f>base!V4779</f>
        <v>62138</v>
      </c>
      <c r="C4779" s="37">
        <v>69</v>
      </c>
      <c r="D4779" s="36">
        <f>base!H4779</f>
        <v>108.01</v>
      </c>
      <c r="E4779" s="44"/>
      <c r="F4779" s="16">
        <f>base!W4779</f>
        <v>20.52</v>
      </c>
      <c r="G4779" s="11">
        <f t="shared" si="740"/>
        <v>0.18998240903620034</v>
      </c>
      <c r="H4779" s="11">
        <f t="shared" si="741"/>
        <v>29.162700000000005</v>
      </c>
      <c r="I4779" s="11">
        <f t="shared" si="742"/>
        <v>0.27</v>
      </c>
      <c r="J4779" s="12">
        <f t="shared" si="743"/>
        <v>-8.6427000000000049</v>
      </c>
      <c r="K4779" s="17" t="str">
        <f t="shared" si="748"/>
        <v>Ecart négatif</v>
      </c>
      <c r="L4779" s="16">
        <f>base!X4779</f>
        <v>0</v>
      </c>
      <c r="M4779" s="11">
        <f t="shared" si="744"/>
        <v>0</v>
      </c>
      <c r="N4779" s="11">
        <f t="shared" si="745"/>
        <v>0</v>
      </c>
      <c r="O4779" s="11">
        <f t="shared" si="746"/>
        <v>0</v>
      </c>
      <c r="P4779" s="12">
        <f t="shared" si="747"/>
        <v>0</v>
      </c>
      <c r="Q4779" s="17" t="str">
        <f t="shared" si="749"/>
        <v>Pas d'écart</v>
      </c>
    </row>
    <row r="4780" spans="1:18" x14ac:dyDescent="0.3">
      <c r="A4780" s="34" t="str">
        <f>base!J4780</f>
        <v>RM</v>
      </c>
      <c r="B4780" s="34" t="str">
        <f>base!V4780</f>
        <v>76200</v>
      </c>
      <c r="C4780" s="37">
        <v>76</v>
      </c>
      <c r="D4780" s="36">
        <f>base!H4780</f>
        <v>25.4</v>
      </c>
      <c r="E4780" s="44"/>
      <c r="F4780" s="16">
        <f>base!W4780</f>
        <v>0</v>
      </c>
      <c r="G4780" s="11">
        <f t="shared" si="740"/>
        <v>0</v>
      </c>
      <c r="H4780" s="11">
        <f t="shared" si="741"/>
        <v>4.3180000000000005</v>
      </c>
      <c r="I4780" s="11">
        <f t="shared" si="742"/>
        <v>0.17000000000000004</v>
      </c>
      <c r="J4780" s="12">
        <f t="shared" si="743"/>
        <v>-4.3180000000000005</v>
      </c>
      <c r="K4780" s="17" t="str">
        <f t="shared" si="748"/>
        <v>Ecart négatif</v>
      </c>
      <c r="L4780" s="16">
        <f>base!X4780</f>
        <v>4.32</v>
      </c>
      <c r="M4780" s="11">
        <f t="shared" si="744"/>
        <v>0.17007874015748034</v>
      </c>
      <c r="N4780" s="11">
        <f t="shared" si="745"/>
        <v>4.3180000000000005</v>
      </c>
      <c r="O4780" s="11">
        <f t="shared" si="746"/>
        <v>0.17000000000000004</v>
      </c>
      <c r="P4780" s="12">
        <f t="shared" si="747"/>
        <v>1.9999999999997797E-3</v>
      </c>
      <c r="Q4780" s="17" t="str">
        <f t="shared" si="749"/>
        <v>Ecart positif</v>
      </c>
      <c r="R4780" s="38"/>
    </row>
    <row r="4781" spans="1:18" x14ac:dyDescent="0.3">
      <c r="A4781" s="34">
        <f>base!J4781</f>
        <v>0</v>
      </c>
      <c r="B4781" s="34" t="str">
        <f>base!V4781</f>
        <v>77184</v>
      </c>
      <c r="C4781" s="37">
        <v>77</v>
      </c>
      <c r="D4781" s="36">
        <f>base!H4781</f>
        <v>220</v>
      </c>
      <c r="E4781" s="44"/>
      <c r="F4781" s="16">
        <f>base!W4781</f>
        <v>0</v>
      </c>
      <c r="G4781" s="11">
        <f t="shared" si="740"/>
        <v>0</v>
      </c>
      <c r="H4781" s="11">
        <f t="shared" si="741"/>
        <v>0</v>
      </c>
      <c r="I4781" s="11">
        <f t="shared" si="742"/>
        <v>0</v>
      </c>
      <c r="J4781" s="12">
        <f t="shared" si="743"/>
        <v>0</v>
      </c>
      <c r="K4781" s="17" t="str">
        <f t="shared" si="748"/>
        <v>Pas d'écart</v>
      </c>
      <c r="L4781" s="16">
        <f>base!X4781</f>
        <v>0</v>
      </c>
      <c r="M4781" s="11">
        <f t="shared" si="744"/>
        <v>0</v>
      </c>
      <c r="N4781" s="11">
        <f t="shared" si="745"/>
        <v>0</v>
      </c>
      <c r="O4781" s="11">
        <f t="shared" si="746"/>
        <v>0</v>
      </c>
      <c r="P4781" s="12">
        <f t="shared" si="747"/>
        <v>0</v>
      </c>
      <c r="Q4781" s="17" t="str">
        <f t="shared" si="749"/>
        <v>Pas d'écart</v>
      </c>
    </row>
    <row r="4782" spans="1:18" x14ac:dyDescent="0.3">
      <c r="A4782" s="34">
        <f>base!J4782</f>
        <v>0</v>
      </c>
      <c r="B4782" s="34" t="str">
        <f>base!V4782</f>
        <v>77184</v>
      </c>
      <c r="C4782" s="37">
        <v>77</v>
      </c>
      <c r="D4782" s="36">
        <f>base!H4782</f>
        <v>181</v>
      </c>
      <c r="E4782" s="44"/>
      <c r="F4782" s="16">
        <f>base!W4782</f>
        <v>0</v>
      </c>
      <c r="G4782" s="11">
        <f t="shared" si="740"/>
        <v>0</v>
      </c>
      <c r="H4782" s="11">
        <f t="shared" si="741"/>
        <v>0</v>
      </c>
      <c r="I4782" s="11">
        <f t="shared" si="742"/>
        <v>0</v>
      </c>
      <c r="J4782" s="12">
        <f t="shared" si="743"/>
        <v>0</v>
      </c>
      <c r="K4782" s="17" t="str">
        <f t="shared" si="748"/>
        <v>Pas d'écart</v>
      </c>
      <c r="L4782" s="16">
        <f>base!X4782</f>
        <v>0</v>
      </c>
      <c r="M4782" s="11">
        <f t="shared" si="744"/>
        <v>0</v>
      </c>
      <c r="N4782" s="11">
        <f t="shared" si="745"/>
        <v>0</v>
      </c>
      <c r="O4782" s="11">
        <f t="shared" si="746"/>
        <v>0</v>
      </c>
      <c r="P4782" s="12">
        <f t="shared" si="747"/>
        <v>0</v>
      </c>
      <c r="Q4782" s="17" t="str">
        <f t="shared" si="749"/>
        <v>Pas d'écart</v>
      </c>
    </row>
    <row r="4783" spans="1:18" x14ac:dyDescent="0.3">
      <c r="A4783" s="34">
        <f>base!J4783</f>
        <v>0</v>
      </c>
      <c r="B4783" s="34" t="str">
        <f>base!V4783</f>
        <v>77184</v>
      </c>
      <c r="C4783" s="37">
        <v>77</v>
      </c>
      <c r="D4783" s="36">
        <f>base!H4783</f>
        <v>22</v>
      </c>
      <c r="E4783" s="44"/>
      <c r="F4783" s="16">
        <f>base!W4783</f>
        <v>0</v>
      </c>
      <c r="G4783" s="11">
        <f t="shared" si="740"/>
        <v>0</v>
      </c>
      <c r="H4783" s="11">
        <f t="shared" si="741"/>
        <v>0</v>
      </c>
      <c r="I4783" s="11">
        <f t="shared" si="742"/>
        <v>0</v>
      </c>
      <c r="J4783" s="12">
        <f t="shared" si="743"/>
        <v>0</v>
      </c>
      <c r="K4783" s="17" t="str">
        <f t="shared" si="748"/>
        <v>Pas d'écart</v>
      </c>
      <c r="L4783" s="16">
        <f>base!X4783</f>
        <v>0</v>
      </c>
      <c r="M4783" s="11">
        <f t="shared" si="744"/>
        <v>0</v>
      </c>
      <c r="N4783" s="11">
        <f t="shared" si="745"/>
        <v>0</v>
      </c>
      <c r="O4783" s="11">
        <f t="shared" si="746"/>
        <v>0</v>
      </c>
      <c r="P4783" s="12">
        <f t="shared" si="747"/>
        <v>0</v>
      </c>
      <c r="Q4783" s="17" t="str">
        <f t="shared" si="749"/>
        <v>Pas d'écart</v>
      </c>
    </row>
    <row r="4784" spans="1:18" x14ac:dyDescent="0.3">
      <c r="A4784" s="34">
        <f>base!J4784</f>
        <v>0</v>
      </c>
      <c r="B4784" s="34" t="str">
        <f>base!V4784</f>
        <v>77184</v>
      </c>
      <c r="C4784" s="37">
        <v>77</v>
      </c>
      <c r="D4784" s="36">
        <f>base!H4784</f>
        <v>22</v>
      </c>
      <c r="E4784" s="44"/>
      <c r="F4784" s="16">
        <f>base!W4784</f>
        <v>0</v>
      </c>
      <c r="G4784" s="11">
        <f t="shared" si="740"/>
        <v>0</v>
      </c>
      <c r="H4784" s="11">
        <f t="shared" si="741"/>
        <v>0</v>
      </c>
      <c r="I4784" s="11">
        <f t="shared" si="742"/>
        <v>0</v>
      </c>
      <c r="J4784" s="12">
        <f t="shared" si="743"/>
        <v>0</v>
      </c>
      <c r="K4784" s="17" t="str">
        <f t="shared" si="748"/>
        <v>Pas d'écart</v>
      </c>
      <c r="L4784" s="16">
        <f>base!X4784</f>
        <v>0</v>
      </c>
      <c r="M4784" s="11">
        <f t="shared" si="744"/>
        <v>0</v>
      </c>
      <c r="N4784" s="11">
        <f t="shared" si="745"/>
        <v>0</v>
      </c>
      <c r="O4784" s="11">
        <f t="shared" si="746"/>
        <v>0</v>
      </c>
      <c r="P4784" s="12">
        <f t="shared" si="747"/>
        <v>0</v>
      </c>
      <c r="Q4784" s="17" t="str">
        <f t="shared" si="749"/>
        <v>Pas d'écart</v>
      </c>
    </row>
    <row r="4785" spans="1:18" x14ac:dyDescent="0.3">
      <c r="A4785" s="34">
        <f>base!J4785</f>
        <v>0</v>
      </c>
      <c r="B4785" s="34" t="str">
        <f>base!V4785</f>
        <v>77184</v>
      </c>
      <c r="C4785" s="37">
        <v>77</v>
      </c>
      <c r="D4785" s="36">
        <f>base!H4785</f>
        <v>69.5</v>
      </c>
      <c r="E4785" s="44"/>
      <c r="F4785" s="16">
        <f>base!W4785</f>
        <v>0</v>
      </c>
      <c r="G4785" s="11">
        <f t="shared" si="740"/>
        <v>0</v>
      </c>
      <c r="H4785" s="11">
        <f t="shared" si="741"/>
        <v>0</v>
      </c>
      <c r="I4785" s="11">
        <f t="shared" si="742"/>
        <v>0</v>
      </c>
      <c r="J4785" s="12">
        <f t="shared" si="743"/>
        <v>0</v>
      </c>
      <c r="K4785" s="17" t="str">
        <f t="shared" si="748"/>
        <v>Pas d'écart</v>
      </c>
      <c r="L4785" s="16">
        <f>base!X4785</f>
        <v>0</v>
      </c>
      <c r="M4785" s="11">
        <f t="shared" si="744"/>
        <v>0</v>
      </c>
      <c r="N4785" s="11">
        <f t="shared" si="745"/>
        <v>0</v>
      </c>
      <c r="O4785" s="11">
        <f t="shared" si="746"/>
        <v>0</v>
      </c>
      <c r="P4785" s="12">
        <f t="shared" si="747"/>
        <v>0</v>
      </c>
      <c r="Q4785" s="17" t="str">
        <f t="shared" si="749"/>
        <v>Pas d'écart</v>
      </c>
    </row>
    <row r="4786" spans="1:18" x14ac:dyDescent="0.3">
      <c r="A4786" s="34" t="str">
        <f>base!J4786</f>
        <v>LM</v>
      </c>
      <c r="B4786" s="34" t="str">
        <f>base!V4786</f>
        <v>06190</v>
      </c>
      <c r="C4786" s="37">
        <v>69</v>
      </c>
      <c r="D4786" s="36">
        <f>base!H4786</f>
        <v>92</v>
      </c>
      <c r="E4786" s="44"/>
      <c r="F4786" s="16">
        <f>base!W4786</f>
        <v>27.6</v>
      </c>
      <c r="G4786" s="11">
        <f t="shared" si="740"/>
        <v>0.3</v>
      </c>
      <c r="H4786" s="11">
        <f t="shared" si="741"/>
        <v>24.840000000000003</v>
      </c>
      <c r="I4786" s="11">
        <f t="shared" si="742"/>
        <v>0.27</v>
      </c>
      <c r="J4786" s="12">
        <f t="shared" si="743"/>
        <v>2.759999999999998</v>
      </c>
      <c r="K4786" s="17" t="str">
        <f t="shared" si="748"/>
        <v>Ecart positif</v>
      </c>
      <c r="L4786" s="16">
        <f>base!X4786</f>
        <v>0</v>
      </c>
      <c r="M4786" s="11">
        <f t="shared" si="744"/>
        <v>0</v>
      </c>
      <c r="N4786" s="11">
        <f t="shared" si="745"/>
        <v>0</v>
      </c>
      <c r="O4786" s="11">
        <f t="shared" si="746"/>
        <v>0</v>
      </c>
      <c r="P4786" s="12">
        <f t="shared" si="747"/>
        <v>0</v>
      </c>
      <c r="Q4786" s="17" t="str">
        <f t="shared" si="749"/>
        <v>Pas d'écart</v>
      </c>
    </row>
    <row r="4787" spans="1:18" x14ac:dyDescent="0.3">
      <c r="A4787" s="34" t="str">
        <f>base!J4787</f>
        <v>RM</v>
      </c>
      <c r="B4787" s="34" t="str">
        <f>base!V4787</f>
        <v>06190</v>
      </c>
      <c r="C4787" s="37">
        <v>6</v>
      </c>
      <c r="D4787" s="36">
        <f>base!H4787</f>
        <v>181</v>
      </c>
      <c r="E4787" s="44"/>
      <c r="F4787" s="16">
        <f>base!W4787</f>
        <v>0</v>
      </c>
      <c r="G4787" s="11">
        <f t="shared" si="740"/>
        <v>0</v>
      </c>
      <c r="H4787" s="11">
        <f t="shared" si="741"/>
        <v>54.3</v>
      </c>
      <c r="I4787" s="11">
        <f t="shared" si="742"/>
        <v>0.3</v>
      </c>
      <c r="J4787" s="12">
        <f t="shared" si="743"/>
        <v>-54.3</v>
      </c>
      <c r="K4787" s="17" t="str">
        <f t="shared" si="748"/>
        <v>Ecart négatif</v>
      </c>
      <c r="L4787" s="16">
        <f>base!X4787</f>
        <v>54.3</v>
      </c>
      <c r="M4787" s="11">
        <f t="shared" si="744"/>
        <v>0.3</v>
      </c>
      <c r="N4787" s="11">
        <f t="shared" si="745"/>
        <v>38.01</v>
      </c>
      <c r="O4787" s="11">
        <f t="shared" si="746"/>
        <v>0.21</v>
      </c>
      <c r="P4787" s="12">
        <f t="shared" si="747"/>
        <v>16.29</v>
      </c>
      <c r="Q4787" s="17" t="str">
        <f t="shared" si="749"/>
        <v>Ecart positif</v>
      </c>
      <c r="R4787" s="38"/>
    </row>
    <row r="4788" spans="1:18" x14ac:dyDescent="0.3">
      <c r="A4788" s="34" t="str">
        <f>base!J4788</f>
        <v>RM</v>
      </c>
      <c r="B4788" s="34" t="str">
        <f>base!V4788</f>
        <v>49280</v>
      </c>
      <c r="C4788" s="37">
        <v>49</v>
      </c>
      <c r="D4788" s="36">
        <f>base!H4788</f>
        <v>187.6</v>
      </c>
      <c r="E4788" s="44"/>
      <c r="F4788" s="16">
        <f>base!W4788</f>
        <v>0</v>
      </c>
      <c r="G4788" s="11">
        <f t="shared" si="740"/>
        <v>0</v>
      </c>
      <c r="H4788" s="11">
        <f t="shared" si="741"/>
        <v>50.652000000000001</v>
      </c>
      <c r="I4788" s="11">
        <f t="shared" si="742"/>
        <v>0.27</v>
      </c>
      <c r="J4788" s="12">
        <f t="shared" si="743"/>
        <v>-50.652000000000001</v>
      </c>
      <c r="K4788" s="17" t="str">
        <f t="shared" si="748"/>
        <v>Ecart négatif</v>
      </c>
      <c r="L4788" s="16">
        <f>base!X4788</f>
        <v>0</v>
      </c>
      <c r="M4788" s="11">
        <f t="shared" si="744"/>
        <v>0</v>
      </c>
      <c r="N4788" s="11">
        <f t="shared" si="745"/>
        <v>0</v>
      </c>
      <c r="O4788" s="11">
        <f t="shared" si="746"/>
        <v>0</v>
      </c>
      <c r="P4788" s="12">
        <f t="shared" si="747"/>
        <v>0</v>
      </c>
      <c r="Q4788" s="17" t="str">
        <f t="shared" si="749"/>
        <v>Pas d'écart</v>
      </c>
    </row>
    <row r="4789" spans="1:18" x14ac:dyDescent="0.3">
      <c r="A4789" s="34" t="str">
        <f>base!J4789</f>
        <v>DLS</v>
      </c>
      <c r="B4789" s="34" t="str">
        <f>base!V4789</f>
        <v>69300</v>
      </c>
      <c r="C4789" s="37">
        <v>69</v>
      </c>
      <c r="D4789" s="36">
        <f>base!H4789</f>
        <v>40.799999999999997</v>
      </c>
      <c r="E4789" s="44"/>
      <c r="F4789" s="16">
        <f>base!W4789</f>
        <v>0</v>
      </c>
      <c r="G4789" s="11">
        <f t="shared" si="740"/>
        <v>0</v>
      </c>
      <c r="H4789" s="11">
        <f t="shared" si="741"/>
        <v>11.016</v>
      </c>
      <c r="I4789" s="11">
        <f t="shared" si="742"/>
        <v>0.27</v>
      </c>
      <c r="J4789" s="12">
        <f t="shared" si="743"/>
        <v>-11.016</v>
      </c>
      <c r="K4789" s="17" t="str">
        <f t="shared" si="748"/>
        <v>Ecart négatif</v>
      </c>
      <c r="L4789" s="16">
        <f>base!X4789</f>
        <v>0</v>
      </c>
      <c r="M4789" s="11">
        <f t="shared" si="744"/>
        <v>0</v>
      </c>
      <c r="N4789" s="11">
        <f t="shared" si="745"/>
        <v>0</v>
      </c>
      <c r="O4789" s="11">
        <f t="shared" si="746"/>
        <v>0</v>
      </c>
      <c r="P4789" s="12">
        <f t="shared" si="747"/>
        <v>0</v>
      </c>
      <c r="Q4789" s="17" t="str">
        <f t="shared" si="749"/>
        <v>Pas d'écart</v>
      </c>
    </row>
    <row r="4790" spans="1:18" x14ac:dyDescent="0.3">
      <c r="A4790" s="34" t="str">
        <f>base!J4790</f>
        <v>LS</v>
      </c>
      <c r="B4790" s="34" t="str">
        <f>base!V4790</f>
        <v>48200</v>
      </c>
      <c r="C4790" s="37">
        <v>73</v>
      </c>
      <c r="D4790" s="36">
        <f>base!H4790</f>
        <v>195.02</v>
      </c>
      <c r="E4790" s="44"/>
      <c r="F4790" s="16">
        <f>base!W4790</f>
        <v>76.06</v>
      </c>
      <c r="G4790" s="11">
        <f t="shared" si="740"/>
        <v>0.39001128089426723</v>
      </c>
      <c r="H4790" s="11">
        <f t="shared" si="741"/>
        <v>52.655400000000007</v>
      </c>
      <c r="I4790" s="11">
        <f t="shared" si="742"/>
        <v>0.27</v>
      </c>
      <c r="J4790" s="12">
        <f t="shared" si="743"/>
        <v>23.404599999999995</v>
      </c>
      <c r="K4790" s="17" t="str">
        <f t="shared" si="748"/>
        <v>Ecart positif</v>
      </c>
      <c r="L4790" s="16">
        <f>base!X4790</f>
        <v>0</v>
      </c>
      <c r="M4790" s="11">
        <f t="shared" si="744"/>
        <v>0</v>
      </c>
      <c r="N4790" s="11">
        <f t="shared" si="745"/>
        <v>0</v>
      </c>
      <c r="O4790" s="11">
        <f t="shared" si="746"/>
        <v>0</v>
      </c>
      <c r="P4790" s="12">
        <f t="shared" si="747"/>
        <v>0</v>
      </c>
      <c r="Q4790" s="17" t="str">
        <f t="shared" si="749"/>
        <v>Pas d'écart</v>
      </c>
    </row>
    <row r="4791" spans="1:18" x14ac:dyDescent="0.3">
      <c r="A4791" s="34" t="str">
        <f>base!J4791</f>
        <v>LS</v>
      </c>
      <c r="B4791" s="34" t="str">
        <f>base!V4791</f>
        <v>48000</v>
      </c>
      <c r="C4791" s="37">
        <v>48</v>
      </c>
      <c r="D4791" s="36">
        <f>base!H4791</f>
        <v>140</v>
      </c>
      <c r="E4791" s="44"/>
      <c r="F4791" s="16">
        <f>base!W4791</f>
        <v>54.6</v>
      </c>
      <c r="G4791" s="11">
        <f t="shared" si="740"/>
        <v>0.39</v>
      </c>
      <c r="H4791" s="11">
        <f t="shared" si="741"/>
        <v>54.6</v>
      </c>
      <c r="I4791" s="11">
        <f t="shared" si="742"/>
        <v>0.39</v>
      </c>
      <c r="J4791" s="12">
        <f t="shared" si="743"/>
        <v>0</v>
      </c>
      <c r="K4791" s="17" t="str">
        <f t="shared" si="748"/>
        <v>Pas d'écart</v>
      </c>
      <c r="L4791" s="16">
        <f>base!X4791</f>
        <v>0</v>
      </c>
      <c r="M4791" s="11">
        <f t="shared" si="744"/>
        <v>0</v>
      </c>
      <c r="N4791" s="11">
        <f t="shared" si="745"/>
        <v>39.200000000000003</v>
      </c>
      <c r="O4791" s="11">
        <f t="shared" si="746"/>
        <v>0.28000000000000003</v>
      </c>
      <c r="P4791" s="12">
        <f t="shared" si="747"/>
        <v>-39.200000000000003</v>
      </c>
      <c r="Q4791" s="17" t="str">
        <f t="shared" si="749"/>
        <v>Ecart négatif</v>
      </c>
    </row>
    <row r="4792" spans="1:18" x14ac:dyDescent="0.3">
      <c r="A4792" s="34" t="str">
        <f>base!J4792</f>
        <v>LS</v>
      </c>
      <c r="B4792" s="34" t="str">
        <f>base!V4792</f>
        <v>64121</v>
      </c>
      <c r="C4792" s="37">
        <v>38</v>
      </c>
      <c r="D4792" s="36">
        <f>base!H4792</f>
        <v>59.53</v>
      </c>
      <c r="E4792" s="44"/>
      <c r="F4792" s="16">
        <f>base!W4792</f>
        <v>12.5</v>
      </c>
      <c r="G4792" s="11">
        <f t="shared" si="740"/>
        <v>0.20997816227112379</v>
      </c>
      <c r="H4792" s="11">
        <f t="shared" si="741"/>
        <v>16.0731</v>
      </c>
      <c r="I4792" s="11">
        <f t="shared" si="742"/>
        <v>0.27</v>
      </c>
      <c r="J4792" s="12">
        <f t="shared" si="743"/>
        <v>-3.5731000000000002</v>
      </c>
      <c r="K4792" s="17" t="str">
        <f t="shared" si="748"/>
        <v>Ecart négatif</v>
      </c>
      <c r="L4792" s="16">
        <f>base!X4792</f>
        <v>0</v>
      </c>
      <c r="M4792" s="11">
        <f t="shared" si="744"/>
        <v>0</v>
      </c>
      <c r="N4792" s="11">
        <f t="shared" si="745"/>
        <v>0</v>
      </c>
      <c r="O4792" s="11">
        <f t="shared" si="746"/>
        <v>0</v>
      </c>
      <c r="P4792" s="12">
        <f t="shared" si="747"/>
        <v>0</v>
      </c>
      <c r="Q4792" s="17" t="str">
        <f t="shared" si="749"/>
        <v>Pas d'écart</v>
      </c>
    </row>
    <row r="4793" spans="1:18" x14ac:dyDescent="0.3">
      <c r="A4793" s="34" t="str">
        <f>base!J4793</f>
        <v>LS</v>
      </c>
      <c r="B4793" s="34" t="str">
        <f>base!V4793</f>
        <v>31100</v>
      </c>
      <c r="C4793" s="37">
        <v>44</v>
      </c>
      <c r="D4793" s="36">
        <f>base!H4793</f>
        <v>52.52</v>
      </c>
      <c r="E4793" s="44"/>
      <c r="F4793" s="16">
        <f>base!W4793</f>
        <v>11.55</v>
      </c>
      <c r="G4793" s="11">
        <f t="shared" si="740"/>
        <v>0.21991622239146991</v>
      </c>
      <c r="H4793" s="11">
        <f t="shared" si="741"/>
        <v>14.180400000000002</v>
      </c>
      <c r="I4793" s="11">
        <f t="shared" si="742"/>
        <v>0.27</v>
      </c>
      <c r="J4793" s="12">
        <f t="shared" si="743"/>
        <v>-2.6304000000000016</v>
      </c>
      <c r="K4793" s="17" t="str">
        <f t="shared" si="748"/>
        <v>Ecart négatif</v>
      </c>
      <c r="L4793" s="16">
        <f>base!X4793</f>
        <v>0</v>
      </c>
      <c r="M4793" s="11">
        <f t="shared" si="744"/>
        <v>0</v>
      </c>
      <c r="N4793" s="11">
        <f t="shared" si="745"/>
        <v>0</v>
      </c>
      <c r="O4793" s="11">
        <f t="shared" si="746"/>
        <v>0</v>
      </c>
      <c r="P4793" s="12">
        <f t="shared" si="747"/>
        <v>0</v>
      </c>
      <c r="Q4793" s="17" t="str">
        <f t="shared" si="749"/>
        <v>Pas d'écart</v>
      </c>
    </row>
    <row r="4794" spans="1:18" x14ac:dyDescent="0.3">
      <c r="A4794" s="34" t="str">
        <f>base!J4794</f>
        <v>LS</v>
      </c>
      <c r="B4794" s="34" t="str">
        <f>base!V4794</f>
        <v>75014</v>
      </c>
      <c r="C4794" s="37">
        <v>75</v>
      </c>
      <c r="D4794" s="36">
        <f>base!H4794</f>
        <v>137.59</v>
      </c>
      <c r="E4794" s="44"/>
      <c r="F4794" s="16">
        <f>base!W4794</f>
        <v>0</v>
      </c>
      <c r="G4794" s="11">
        <f t="shared" si="740"/>
        <v>0</v>
      </c>
      <c r="H4794" s="11">
        <f t="shared" si="741"/>
        <v>0</v>
      </c>
      <c r="I4794" s="11">
        <f t="shared" si="742"/>
        <v>0</v>
      </c>
      <c r="J4794" s="12">
        <f t="shared" si="743"/>
        <v>0</v>
      </c>
      <c r="K4794" s="17" t="str">
        <f t="shared" si="748"/>
        <v>Pas d'écart</v>
      </c>
      <c r="L4794" s="16">
        <f>base!X4794</f>
        <v>0</v>
      </c>
      <c r="M4794" s="11">
        <f t="shared" si="744"/>
        <v>0</v>
      </c>
      <c r="N4794" s="11">
        <f t="shared" si="745"/>
        <v>0</v>
      </c>
      <c r="O4794" s="11">
        <f t="shared" si="746"/>
        <v>0</v>
      </c>
      <c r="P4794" s="12">
        <f t="shared" si="747"/>
        <v>0</v>
      </c>
      <c r="Q4794" s="17" t="str">
        <f t="shared" si="749"/>
        <v>Pas d'écart</v>
      </c>
    </row>
    <row r="4795" spans="1:18" x14ac:dyDescent="0.3">
      <c r="A4795" s="34" t="str">
        <f>base!J4795</f>
        <v>LS</v>
      </c>
      <c r="B4795" s="34" t="str">
        <f>base!V4795</f>
        <v>14120</v>
      </c>
      <c r="C4795" s="37">
        <v>56</v>
      </c>
      <c r="D4795" s="36">
        <f>base!H4795</f>
        <v>138.12</v>
      </c>
      <c r="E4795" s="44"/>
      <c r="F4795" s="16">
        <f>base!W4795</f>
        <v>23.48</v>
      </c>
      <c r="G4795" s="11">
        <f t="shared" si="740"/>
        <v>0.16999710396756443</v>
      </c>
      <c r="H4795" s="11">
        <f t="shared" si="741"/>
        <v>37.292400000000001</v>
      </c>
      <c r="I4795" s="11">
        <f t="shared" si="742"/>
        <v>0.27</v>
      </c>
      <c r="J4795" s="12">
        <f t="shared" si="743"/>
        <v>-13.8124</v>
      </c>
      <c r="K4795" s="17" t="str">
        <f t="shared" si="748"/>
        <v>Ecart négatif</v>
      </c>
      <c r="L4795" s="16">
        <f>base!X4795</f>
        <v>0</v>
      </c>
      <c r="M4795" s="11">
        <f t="shared" si="744"/>
        <v>0</v>
      </c>
      <c r="N4795" s="11">
        <f t="shared" si="745"/>
        <v>0</v>
      </c>
      <c r="O4795" s="11">
        <f t="shared" si="746"/>
        <v>0</v>
      </c>
      <c r="P4795" s="12">
        <f t="shared" si="747"/>
        <v>0</v>
      </c>
      <c r="Q4795" s="17" t="str">
        <f t="shared" si="749"/>
        <v>Pas d'écart</v>
      </c>
    </row>
    <row r="4796" spans="1:18" x14ac:dyDescent="0.3">
      <c r="A4796" s="34" t="str">
        <f>base!J4796</f>
        <v>LS</v>
      </c>
      <c r="B4796" s="34" t="str">
        <f>base!V4796</f>
        <v>06300</v>
      </c>
      <c r="C4796" s="37">
        <v>6</v>
      </c>
      <c r="D4796" s="36">
        <f>base!H4796</f>
        <v>40</v>
      </c>
      <c r="E4796" s="44"/>
      <c r="F4796" s="16">
        <f>base!W4796</f>
        <v>12</v>
      </c>
      <c r="G4796" s="11">
        <f t="shared" si="740"/>
        <v>0.3</v>
      </c>
      <c r="H4796" s="11">
        <f t="shared" si="741"/>
        <v>12</v>
      </c>
      <c r="I4796" s="11">
        <f t="shared" si="742"/>
        <v>0.3</v>
      </c>
      <c r="J4796" s="12">
        <f t="shared" si="743"/>
        <v>0</v>
      </c>
      <c r="K4796" s="17" t="str">
        <f t="shared" si="748"/>
        <v>Pas d'écart</v>
      </c>
      <c r="L4796" s="16">
        <f>base!X4796</f>
        <v>0</v>
      </c>
      <c r="M4796" s="11">
        <f t="shared" si="744"/>
        <v>0</v>
      </c>
      <c r="N4796" s="11">
        <f t="shared" si="745"/>
        <v>8.4</v>
      </c>
      <c r="O4796" s="11">
        <f t="shared" si="746"/>
        <v>0.21000000000000002</v>
      </c>
      <c r="P4796" s="12">
        <f t="shared" si="747"/>
        <v>-8.4</v>
      </c>
      <c r="Q4796" s="17" t="str">
        <f t="shared" si="749"/>
        <v>Ecart négatif</v>
      </c>
    </row>
    <row r="4797" spans="1:18" x14ac:dyDescent="0.3">
      <c r="A4797" s="34" t="str">
        <f>base!J4797</f>
        <v>LM</v>
      </c>
      <c r="B4797" s="34" t="str">
        <f>base!V4797</f>
        <v>67000</v>
      </c>
      <c r="C4797" s="37">
        <v>56</v>
      </c>
      <c r="D4797" s="36">
        <f>base!H4797</f>
        <v>127.55</v>
      </c>
      <c r="E4797" s="44"/>
      <c r="F4797" s="16">
        <f>base!W4797</f>
        <v>36.99</v>
      </c>
      <c r="G4797" s="11">
        <f t="shared" si="740"/>
        <v>0.29000392003136027</v>
      </c>
      <c r="H4797" s="11">
        <f t="shared" si="741"/>
        <v>34.438500000000005</v>
      </c>
      <c r="I4797" s="11">
        <f t="shared" si="742"/>
        <v>0.27</v>
      </c>
      <c r="J4797" s="12">
        <f t="shared" si="743"/>
        <v>2.5514999999999972</v>
      </c>
      <c r="K4797" s="17" t="str">
        <f t="shared" si="748"/>
        <v>Ecart positif</v>
      </c>
      <c r="L4797" s="16">
        <f>base!X4797</f>
        <v>0</v>
      </c>
      <c r="M4797" s="11">
        <f t="shared" si="744"/>
        <v>0</v>
      </c>
      <c r="N4797" s="11">
        <f t="shared" si="745"/>
        <v>0</v>
      </c>
      <c r="O4797" s="11">
        <f t="shared" si="746"/>
        <v>0</v>
      </c>
      <c r="P4797" s="12">
        <f t="shared" si="747"/>
        <v>0</v>
      </c>
      <c r="Q4797" s="17" t="str">
        <f t="shared" si="749"/>
        <v>Pas d'écart</v>
      </c>
    </row>
    <row r="4798" spans="1:18" x14ac:dyDescent="0.3">
      <c r="A4798" s="34" t="str">
        <f>base!J4798</f>
        <v>LM</v>
      </c>
      <c r="B4798" s="34" t="str">
        <f>base!V4798</f>
        <v>69800</v>
      </c>
      <c r="C4798" s="37">
        <v>85</v>
      </c>
      <c r="D4798" s="36">
        <f>base!H4798</f>
        <v>136.97999999999999</v>
      </c>
      <c r="E4798" s="44"/>
      <c r="F4798" s="16">
        <f>base!W4798</f>
        <v>36.979999999999997</v>
      </c>
      <c r="G4798" s="11">
        <f t="shared" si="740"/>
        <v>0.26996641845524894</v>
      </c>
      <c r="H4798" s="11">
        <f t="shared" si="741"/>
        <v>36.9846</v>
      </c>
      <c r="I4798" s="11">
        <f t="shared" si="742"/>
        <v>0.27</v>
      </c>
      <c r="J4798" s="12">
        <f t="shared" si="743"/>
        <v>-4.6000000000034902E-3</v>
      </c>
      <c r="K4798" s="17" t="str">
        <f t="shared" si="748"/>
        <v>Ecart négatif</v>
      </c>
      <c r="L4798" s="16">
        <f>base!X4798</f>
        <v>0</v>
      </c>
      <c r="M4798" s="11">
        <f t="shared" si="744"/>
        <v>0</v>
      </c>
      <c r="N4798" s="11">
        <f t="shared" si="745"/>
        <v>0</v>
      </c>
      <c r="O4798" s="11">
        <f t="shared" si="746"/>
        <v>0</v>
      </c>
      <c r="P4798" s="12">
        <f t="shared" si="747"/>
        <v>0</v>
      </c>
      <c r="Q4798" s="17" t="str">
        <f t="shared" si="749"/>
        <v>Pas d'écart</v>
      </c>
    </row>
    <row r="4799" spans="1:18" x14ac:dyDescent="0.3">
      <c r="A4799" s="34" t="str">
        <f>base!J4799</f>
        <v>LS</v>
      </c>
      <c r="B4799" s="34" t="str">
        <f>base!V4799</f>
        <v>75014</v>
      </c>
      <c r="C4799" s="37">
        <v>75</v>
      </c>
      <c r="D4799" s="36">
        <f>base!H4799</f>
        <v>53.38</v>
      </c>
      <c r="E4799" s="44"/>
      <c r="F4799" s="16">
        <f>base!W4799</f>
        <v>0</v>
      </c>
      <c r="G4799" s="11">
        <f t="shared" si="740"/>
        <v>0</v>
      </c>
      <c r="H4799" s="11">
        <f t="shared" si="741"/>
        <v>0</v>
      </c>
      <c r="I4799" s="11">
        <f t="shared" si="742"/>
        <v>0</v>
      </c>
      <c r="J4799" s="12">
        <f t="shared" si="743"/>
        <v>0</v>
      </c>
      <c r="K4799" s="17" t="str">
        <f t="shared" si="748"/>
        <v>Pas d'écart</v>
      </c>
      <c r="L4799" s="16">
        <f>base!X4799</f>
        <v>0</v>
      </c>
      <c r="M4799" s="11">
        <f t="shared" si="744"/>
        <v>0</v>
      </c>
      <c r="N4799" s="11">
        <f t="shared" si="745"/>
        <v>0</v>
      </c>
      <c r="O4799" s="11">
        <f t="shared" si="746"/>
        <v>0</v>
      </c>
      <c r="P4799" s="12">
        <f t="shared" si="747"/>
        <v>0</v>
      </c>
      <c r="Q4799" s="17" t="str">
        <f t="shared" si="749"/>
        <v>Pas d'écart</v>
      </c>
    </row>
    <row r="4800" spans="1:18" x14ac:dyDescent="0.3">
      <c r="A4800" s="34" t="str">
        <f>base!J4800</f>
        <v>LS</v>
      </c>
      <c r="B4800" s="34" t="str">
        <f>base!V4800</f>
        <v>78990</v>
      </c>
      <c r="C4800" s="37">
        <v>78</v>
      </c>
      <c r="D4800" s="36">
        <f>base!H4800</f>
        <v>40</v>
      </c>
      <c r="E4800" s="44"/>
      <c r="F4800" s="16">
        <f>base!W4800</f>
        <v>0</v>
      </c>
      <c r="G4800" s="11">
        <f t="shared" si="740"/>
        <v>0</v>
      </c>
      <c r="H4800" s="11">
        <f t="shared" si="741"/>
        <v>0</v>
      </c>
      <c r="I4800" s="11">
        <f t="shared" si="742"/>
        <v>0</v>
      </c>
      <c r="J4800" s="12">
        <f t="shared" si="743"/>
        <v>0</v>
      </c>
      <c r="K4800" s="17" t="str">
        <f t="shared" si="748"/>
        <v>Pas d'écart</v>
      </c>
      <c r="L4800" s="16">
        <f>base!X4800</f>
        <v>0</v>
      </c>
      <c r="M4800" s="11">
        <f t="shared" si="744"/>
        <v>0</v>
      </c>
      <c r="N4800" s="11">
        <f t="shared" si="745"/>
        <v>0</v>
      </c>
      <c r="O4800" s="11">
        <f t="shared" si="746"/>
        <v>0</v>
      </c>
      <c r="P4800" s="12">
        <f t="shared" si="747"/>
        <v>0</v>
      </c>
      <c r="Q4800" s="17" t="str">
        <f t="shared" si="749"/>
        <v>Pas d'écart</v>
      </c>
    </row>
    <row r="4801" spans="1:17" x14ac:dyDescent="0.3">
      <c r="A4801" s="34">
        <f>base!J4801</f>
        <v>0</v>
      </c>
      <c r="B4801" s="34" t="str">
        <f>base!V4801</f>
        <v>77184</v>
      </c>
      <c r="C4801" s="37">
        <v>77</v>
      </c>
      <c r="D4801" s="36">
        <f>base!H4801</f>
        <v>1050</v>
      </c>
      <c r="E4801" s="44"/>
      <c r="F4801" s="16">
        <f>base!W4801</f>
        <v>0</v>
      </c>
      <c r="G4801" s="11">
        <f t="shared" si="740"/>
        <v>0</v>
      </c>
      <c r="H4801" s="11">
        <f t="shared" si="741"/>
        <v>0</v>
      </c>
      <c r="I4801" s="11">
        <f t="shared" si="742"/>
        <v>0</v>
      </c>
      <c r="J4801" s="12">
        <f t="shared" si="743"/>
        <v>0</v>
      </c>
      <c r="K4801" s="17" t="str">
        <f t="shared" si="748"/>
        <v>Pas d'écart</v>
      </c>
      <c r="L4801" s="16">
        <f>base!X4801</f>
        <v>0</v>
      </c>
      <c r="M4801" s="11">
        <f t="shared" si="744"/>
        <v>0</v>
      </c>
      <c r="N4801" s="11">
        <f t="shared" si="745"/>
        <v>0</v>
      </c>
      <c r="O4801" s="11">
        <f t="shared" si="746"/>
        <v>0</v>
      </c>
      <c r="P4801" s="12">
        <f t="shared" si="747"/>
        <v>0</v>
      </c>
      <c r="Q4801" s="17" t="str">
        <f t="shared" si="749"/>
        <v>Pas d'écart</v>
      </c>
    </row>
    <row r="4802" spans="1:17" x14ac:dyDescent="0.3">
      <c r="A4802" s="34" t="str">
        <f>base!J4802</f>
        <v>LS</v>
      </c>
      <c r="B4802" s="34" t="str">
        <f>base!V4802</f>
        <v>94150</v>
      </c>
      <c r="C4802" s="37">
        <v>94</v>
      </c>
      <c r="D4802" s="36">
        <f>base!H4802</f>
        <v>193</v>
      </c>
      <c r="E4802" s="44"/>
      <c r="F4802" s="16">
        <f>base!W4802</f>
        <v>0</v>
      </c>
      <c r="G4802" s="11">
        <f t="shared" ref="G4802:G4865" si="750">F4802/D4802</f>
        <v>0</v>
      </c>
      <c r="H4802" s="11">
        <f t="shared" ref="H4802:H4865" si="751">VLOOKUP(C4802,tout_cout_traction,2,FALSE)*D4802</f>
        <v>0</v>
      </c>
      <c r="I4802" s="11">
        <f t="shared" ref="I4802:I4865" si="752">H4802/D4802</f>
        <v>0</v>
      </c>
      <c r="J4802" s="12">
        <f t="shared" ref="J4802:J4865" si="753">F4802-H4802</f>
        <v>0</v>
      </c>
      <c r="K4802" s="17" t="str">
        <f t="shared" si="748"/>
        <v>Pas d'écart</v>
      </c>
      <c r="L4802" s="16">
        <f>base!X4802</f>
        <v>0</v>
      </c>
      <c r="M4802" s="11">
        <f t="shared" ref="M4802:M4865" si="754">L4802/D4802</f>
        <v>0</v>
      </c>
      <c r="N4802" s="11">
        <f t="shared" ref="N4802:N4865" si="755">VLOOKUP(C4802,tout_cout_traction,3,FALSE)*D4802</f>
        <v>0</v>
      </c>
      <c r="O4802" s="11">
        <f t="shared" ref="O4802:O4865" si="756">N4802/D4802</f>
        <v>0</v>
      </c>
      <c r="P4802" s="12">
        <f t="shared" ref="P4802:P4865" si="757">L4802-N4802</f>
        <v>0</v>
      </c>
      <c r="Q4802" s="17" t="str">
        <f t="shared" si="749"/>
        <v>Pas d'écart</v>
      </c>
    </row>
    <row r="4803" spans="1:17" x14ac:dyDescent="0.3">
      <c r="A4803" s="34" t="str">
        <f>base!J4803</f>
        <v>LS</v>
      </c>
      <c r="B4803" s="34" t="str">
        <f>base!V4803</f>
        <v>69800</v>
      </c>
      <c r="C4803" s="37">
        <v>69</v>
      </c>
      <c r="D4803" s="36">
        <f>base!H4803</f>
        <v>350</v>
      </c>
      <c r="E4803" s="44"/>
      <c r="F4803" s="16">
        <f>base!W4803</f>
        <v>94.5</v>
      </c>
      <c r="G4803" s="11">
        <f t="shared" si="750"/>
        <v>0.27</v>
      </c>
      <c r="H4803" s="11">
        <f t="shared" si="751"/>
        <v>94.5</v>
      </c>
      <c r="I4803" s="11">
        <f t="shared" si="752"/>
        <v>0.27</v>
      </c>
      <c r="J4803" s="12">
        <f t="shared" si="753"/>
        <v>0</v>
      </c>
      <c r="K4803" s="17" t="str">
        <f t="shared" ref="K4803:K4866" si="758">IF(H4803=F4803,"Pas d'écart",IF(H4803&lt;F4803,"Ecart positif",IF(H4803&gt;F4803,"Ecart négatif")))</f>
        <v>Pas d'écart</v>
      </c>
      <c r="L4803" s="16">
        <f>base!X4803</f>
        <v>0</v>
      </c>
      <c r="M4803" s="11">
        <f t="shared" si="754"/>
        <v>0</v>
      </c>
      <c r="N4803" s="11">
        <f t="shared" si="755"/>
        <v>0</v>
      </c>
      <c r="O4803" s="11">
        <f t="shared" si="756"/>
        <v>0</v>
      </c>
      <c r="P4803" s="12">
        <f t="shared" si="757"/>
        <v>0</v>
      </c>
      <c r="Q4803" s="17" t="str">
        <f t="shared" ref="Q4803:Q4866" si="759">IF(N4803=L4803,"Pas d'écart",IF(N4803&lt;L4803,"Ecart positif",IF(N4803&gt;L4803,"Ecart négatif")))</f>
        <v>Pas d'écart</v>
      </c>
    </row>
    <row r="4804" spans="1:17" x14ac:dyDescent="0.3">
      <c r="A4804" s="34">
        <f>base!J4804</f>
        <v>0</v>
      </c>
      <c r="B4804" s="34" t="str">
        <f>base!V4804</f>
        <v>77184</v>
      </c>
      <c r="C4804" s="37">
        <v>77</v>
      </c>
      <c r="D4804" s="36">
        <f>base!H4804</f>
        <v>84.5</v>
      </c>
      <c r="E4804" s="44"/>
      <c r="F4804" s="16">
        <f>base!W4804</f>
        <v>0</v>
      </c>
      <c r="G4804" s="11">
        <f t="shared" si="750"/>
        <v>0</v>
      </c>
      <c r="H4804" s="11">
        <f t="shared" si="751"/>
        <v>0</v>
      </c>
      <c r="I4804" s="11">
        <f t="shared" si="752"/>
        <v>0</v>
      </c>
      <c r="J4804" s="12">
        <f t="shared" si="753"/>
        <v>0</v>
      </c>
      <c r="K4804" s="17" t="str">
        <f t="shared" si="758"/>
        <v>Pas d'écart</v>
      </c>
      <c r="L4804" s="16">
        <f>base!X4804</f>
        <v>0</v>
      </c>
      <c r="M4804" s="11">
        <f t="shared" si="754"/>
        <v>0</v>
      </c>
      <c r="N4804" s="11">
        <f t="shared" si="755"/>
        <v>0</v>
      </c>
      <c r="O4804" s="11">
        <f t="shared" si="756"/>
        <v>0</v>
      </c>
      <c r="P4804" s="12">
        <f t="shared" si="757"/>
        <v>0</v>
      </c>
      <c r="Q4804" s="17" t="str">
        <f t="shared" si="759"/>
        <v>Pas d'écart</v>
      </c>
    </row>
    <row r="4805" spans="1:17" x14ac:dyDescent="0.3">
      <c r="A4805" s="34">
        <f>base!J4805</f>
        <v>0</v>
      </c>
      <c r="B4805" s="34" t="str">
        <f>base!V4805</f>
        <v>77184</v>
      </c>
      <c r="C4805" s="37">
        <v>77</v>
      </c>
      <c r="D4805" s="36">
        <f>base!H4805</f>
        <v>84.5</v>
      </c>
      <c r="E4805" s="44"/>
      <c r="F4805" s="16">
        <f>base!W4805</f>
        <v>0</v>
      </c>
      <c r="G4805" s="11">
        <f t="shared" si="750"/>
        <v>0</v>
      </c>
      <c r="H4805" s="11">
        <f t="shared" si="751"/>
        <v>0</v>
      </c>
      <c r="I4805" s="11">
        <f t="shared" si="752"/>
        <v>0</v>
      </c>
      <c r="J4805" s="12">
        <f t="shared" si="753"/>
        <v>0</v>
      </c>
      <c r="K4805" s="17" t="str">
        <f t="shared" si="758"/>
        <v>Pas d'écart</v>
      </c>
      <c r="L4805" s="16">
        <f>base!X4805</f>
        <v>0</v>
      </c>
      <c r="M4805" s="11">
        <f t="shared" si="754"/>
        <v>0</v>
      </c>
      <c r="N4805" s="11">
        <f t="shared" si="755"/>
        <v>0</v>
      </c>
      <c r="O4805" s="11">
        <f t="shared" si="756"/>
        <v>0</v>
      </c>
      <c r="P4805" s="12">
        <f t="shared" si="757"/>
        <v>0</v>
      </c>
      <c r="Q4805" s="17" t="str">
        <f t="shared" si="759"/>
        <v>Pas d'écart</v>
      </c>
    </row>
    <row r="4806" spans="1:17" x14ac:dyDescent="0.3">
      <c r="A4806" s="34">
        <f>base!J4806</f>
        <v>0</v>
      </c>
      <c r="B4806" s="34" t="str">
        <f>base!V4806</f>
        <v>77184</v>
      </c>
      <c r="C4806" s="37">
        <v>77</v>
      </c>
      <c r="D4806" s="36">
        <f>base!H4806</f>
        <v>84.5</v>
      </c>
      <c r="E4806" s="44"/>
      <c r="F4806" s="16">
        <f>base!W4806</f>
        <v>0</v>
      </c>
      <c r="G4806" s="11">
        <f t="shared" si="750"/>
        <v>0</v>
      </c>
      <c r="H4806" s="11">
        <f t="shared" si="751"/>
        <v>0</v>
      </c>
      <c r="I4806" s="11">
        <f t="shared" si="752"/>
        <v>0</v>
      </c>
      <c r="J4806" s="12">
        <f t="shared" si="753"/>
        <v>0</v>
      </c>
      <c r="K4806" s="17" t="str">
        <f t="shared" si="758"/>
        <v>Pas d'écart</v>
      </c>
      <c r="L4806" s="16">
        <f>base!X4806</f>
        <v>0</v>
      </c>
      <c r="M4806" s="11">
        <f t="shared" si="754"/>
        <v>0</v>
      </c>
      <c r="N4806" s="11">
        <f t="shared" si="755"/>
        <v>0</v>
      </c>
      <c r="O4806" s="11">
        <f t="shared" si="756"/>
        <v>0</v>
      </c>
      <c r="P4806" s="12">
        <f t="shared" si="757"/>
        <v>0</v>
      </c>
      <c r="Q4806" s="17" t="str">
        <f t="shared" si="759"/>
        <v>Pas d'écart</v>
      </c>
    </row>
    <row r="4807" spans="1:17" x14ac:dyDescent="0.3">
      <c r="A4807" s="34" t="str">
        <f>base!J4807</f>
        <v>LS</v>
      </c>
      <c r="B4807" s="34" t="str">
        <f>base!V4807</f>
        <v>63540</v>
      </c>
      <c r="C4807" s="37">
        <v>56</v>
      </c>
      <c r="D4807" s="36">
        <f>base!H4807</f>
        <v>120.75</v>
      </c>
      <c r="E4807" s="44"/>
      <c r="F4807" s="16">
        <f>base!W4807</f>
        <v>35.020000000000003</v>
      </c>
      <c r="G4807" s="11">
        <f t="shared" si="750"/>
        <v>0.29002070393374746</v>
      </c>
      <c r="H4807" s="11">
        <f t="shared" si="751"/>
        <v>32.602499999999999</v>
      </c>
      <c r="I4807" s="11">
        <f t="shared" si="752"/>
        <v>0.27</v>
      </c>
      <c r="J4807" s="12">
        <f t="shared" si="753"/>
        <v>2.417500000000004</v>
      </c>
      <c r="K4807" s="17" t="str">
        <f t="shared" si="758"/>
        <v>Ecart positif</v>
      </c>
      <c r="L4807" s="16">
        <f>base!X4807</f>
        <v>0</v>
      </c>
      <c r="M4807" s="11">
        <f t="shared" si="754"/>
        <v>0</v>
      </c>
      <c r="N4807" s="11">
        <f t="shared" si="755"/>
        <v>0</v>
      </c>
      <c r="O4807" s="11">
        <f t="shared" si="756"/>
        <v>0</v>
      </c>
      <c r="P4807" s="12">
        <f t="shared" si="757"/>
        <v>0</v>
      </c>
      <c r="Q4807" s="17" t="str">
        <f t="shared" si="759"/>
        <v>Pas d'écart</v>
      </c>
    </row>
    <row r="4808" spans="1:17" x14ac:dyDescent="0.3">
      <c r="A4808" s="34" t="str">
        <f>base!J4808</f>
        <v>LM</v>
      </c>
      <c r="B4808" s="34" t="str">
        <f>base!V4808</f>
        <v>75014</v>
      </c>
      <c r="C4808" s="37">
        <v>75</v>
      </c>
      <c r="D4808" s="36">
        <f>base!H4808</f>
        <v>19.649999999999999</v>
      </c>
      <c r="E4808" s="44"/>
      <c r="F4808" s="16">
        <f>base!W4808</f>
        <v>0</v>
      </c>
      <c r="G4808" s="11">
        <f t="shared" si="750"/>
        <v>0</v>
      </c>
      <c r="H4808" s="11">
        <f t="shared" si="751"/>
        <v>0</v>
      </c>
      <c r="I4808" s="11">
        <f t="shared" si="752"/>
        <v>0</v>
      </c>
      <c r="J4808" s="12">
        <f t="shared" si="753"/>
        <v>0</v>
      </c>
      <c r="K4808" s="17" t="str">
        <f t="shared" si="758"/>
        <v>Pas d'écart</v>
      </c>
      <c r="L4808" s="16">
        <f>base!X4808</f>
        <v>0</v>
      </c>
      <c r="M4808" s="11">
        <f t="shared" si="754"/>
        <v>0</v>
      </c>
      <c r="N4808" s="11">
        <f t="shared" si="755"/>
        <v>0</v>
      </c>
      <c r="O4808" s="11">
        <f t="shared" si="756"/>
        <v>0</v>
      </c>
      <c r="P4808" s="12">
        <f t="shared" si="757"/>
        <v>0</v>
      </c>
      <c r="Q4808" s="17" t="str">
        <f t="shared" si="759"/>
        <v>Pas d'écart</v>
      </c>
    </row>
    <row r="4809" spans="1:17" x14ac:dyDescent="0.3">
      <c r="A4809" s="34" t="str">
        <f>base!J4809</f>
        <v>LM</v>
      </c>
      <c r="B4809" s="34" t="str">
        <f>base!V4809</f>
        <v>75014</v>
      </c>
      <c r="C4809" s="37">
        <v>75</v>
      </c>
      <c r="D4809" s="36">
        <f>base!H4809</f>
        <v>19.649999999999999</v>
      </c>
      <c r="E4809" s="44"/>
      <c r="F4809" s="16">
        <f>base!W4809</f>
        <v>0</v>
      </c>
      <c r="G4809" s="11">
        <f t="shared" si="750"/>
        <v>0</v>
      </c>
      <c r="H4809" s="11">
        <f t="shared" si="751"/>
        <v>0</v>
      </c>
      <c r="I4809" s="11">
        <f t="shared" si="752"/>
        <v>0</v>
      </c>
      <c r="J4809" s="12">
        <f t="shared" si="753"/>
        <v>0</v>
      </c>
      <c r="K4809" s="17" t="str">
        <f t="shared" si="758"/>
        <v>Pas d'écart</v>
      </c>
      <c r="L4809" s="16">
        <f>base!X4809</f>
        <v>0</v>
      </c>
      <c r="M4809" s="11">
        <f t="shared" si="754"/>
        <v>0</v>
      </c>
      <c r="N4809" s="11">
        <f t="shared" si="755"/>
        <v>0</v>
      </c>
      <c r="O4809" s="11">
        <f t="shared" si="756"/>
        <v>0</v>
      </c>
      <c r="P4809" s="12">
        <f t="shared" si="757"/>
        <v>0</v>
      </c>
      <c r="Q4809" s="17" t="str">
        <f t="shared" si="759"/>
        <v>Pas d'écart</v>
      </c>
    </row>
    <row r="4810" spans="1:17" x14ac:dyDescent="0.3">
      <c r="A4810" s="34" t="str">
        <f>base!J4810</f>
        <v>LM</v>
      </c>
      <c r="B4810" s="34" t="str">
        <f>base!V4810</f>
        <v>75014</v>
      </c>
      <c r="C4810" s="37">
        <v>75</v>
      </c>
      <c r="D4810" s="36">
        <f>base!H4810</f>
        <v>19.649999999999999</v>
      </c>
      <c r="E4810" s="44"/>
      <c r="F4810" s="16">
        <f>base!W4810</f>
        <v>0</v>
      </c>
      <c r="G4810" s="11">
        <f t="shared" si="750"/>
        <v>0</v>
      </c>
      <c r="H4810" s="11">
        <f t="shared" si="751"/>
        <v>0</v>
      </c>
      <c r="I4810" s="11">
        <f t="shared" si="752"/>
        <v>0</v>
      </c>
      <c r="J4810" s="12">
        <f t="shared" si="753"/>
        <v>0</v>
      </c>
      <c r="K4810" s="17" t="str">
        <f t="shared" si="758"/>
        <v>Pas d'écart</v>
      </c>
      <c r="L4810" s="16">
        <f>base!X4810</f>
        <v>0</v>
      </c>
      <c r="M4810" s="11">
        <f t="shared" si="754"/>
        <v>0</v>
      </c>
      <c r="N4810" s="11">
        <f t="shared" si="755"/>
        <v>0</v>
      </c>
      <c r="O4810" s="11">
        <f t="shared" si="756"/>
        <v>0</v>
      </c>
      <c r="P4810" s="12">
        <f t="shared" si="757"/>
        <v>0</v>
      </c>
      <c r="Q4810" s="17" t="str">
        <f t="shared" si="759"/>
        <v>Pas d'écart</v>
      </c>
    </row>
    <row r="4811" spans="1:17" x14ac:dyDescent="0.3">
      <c r="A4811" s="34" t="str">
        <f>base!J4811</f>
        <v>LM</v>
      </c>
      <c r="B4811" s="34" t="str">
        <f>base!V4811</f>
        <v>75014</v>
      </c>
      <c r="C4811" s="37">
        <v>75</v>
      </c>
      <c r="D4811" s="36">
        <f>base!H4811</f>
        <v>19.649999999999999</v>
      </c>
      <c r="E4811" s="44"/>
      <c r="F4811" s="16">
        <f>base!W4811</f>
        <v>0</v>
      </c>
      <c r="G4811" s="11">
        <f t="shared" si="750"/>
        <v>0</v>
      </c>
      <c r="H4811" s="11">
        <f t="shared" si="751"/>
        <v>0</v>
      </c>
      <c r="I4811" s="11">
        <f t="shared" si="752"/>
        <v>0</v>
      </c>
      <c r="J4811" s="12">
        <f t="shared" si="753"/>
        <v>0</v>
      </c>
      <c r="K4811" s="17" t="str">
        <f t="shared" si="758"/>
        <v>Pas d'écart</v>
      </c>
      <c r="L4811" s="16">
        <f>base!X4811</f>
        <v>0</v>
      </c>
      <c r="M4811" s="11">
        <f t="shared" si="754"/>
        <v>0</v>
      </c>
      <c r="N4811" s="11">
        <f t="shared" si="755"/>
        <v>0</v>
      </c>
      <c r="O4811" s="11">
        <f t="shared" si="756"/>
        <v>0</v>
      </c>
      <c r="P4811" s="12">
        <f t="shared" si="757"/>
        <v>0</v>
      </c>
      <c r="Q4811" s="17" t="str">
        <f t="shared" si="759"/>
        <v>Pas d'écart</v>
      </c>
    </row>
    <row r="4812" spans="1:17" x14ac:dyDescent="0.3">
      <c r="A4812" s="34" t="str">
        <f>base!J4812</f>
        <v>LM</v>
      </c>
      <c r="B4812" s="34" t="str">
        <f>base!V4812</f>
        <v>60180</v>
      </c>
      <c r="C4812" s="37">
        <v>44</v>
      </c>
      <c r="D4812" s="36">
        <f>base!H4812</f>
        <v>86.12</v>
      </c>
      <c r="E4812" s="44"/>
      <c r="F4812" s="16">
        <f>base!W4812</f>
        <v>16.36</v>
      </c>
      <c r="G4812" s="11">
        <f t="shared" si="750"/>
        <v>0.18996748722712492</v>
      </c>
      <c r="H4812" s="11">
        <f t="shared" si="751"/>
        <v>23.252400000000002</v>
      </c>
      <c r="I4812" s="11">
        <f t="shared" si="752"/>
        <v>0.27</v>
      </c>
      <c r="J4812" s="12">
        <f t="shared" si="753"/>
        <v>-6.8924000000000021</v>
      </c>
      <c r="K4812" s="17" t="str">
        <f t="shared" si="758"/>
        <v>Ecart négatif</v>
      </c>
      <c r="L4812" s="16">
        <f>base!X4812</f>
        <v>0</v>
      </c>
      <c r="M4812" s="11">
        <f t="shared" si="754"/>
        <v>0</v>
      </c>
      <c r="N4812" s="11">
        <f t="shared" si="755"/>
        <v>0</v>
      </c>
      <c r="O4812" s="11">
        <f t="shared" si="756"/>
        <v>0</v>
      </c>
      <c r="P4812" s="12">
        <f t="shared" si="757"/>
        <v>0</v>
      </c>
      <c r="Q4812" s="17" t="str">
        <f t="shared" si="759"/>
        <v>Pas d'écart</v>
      </c>
    </row>
    <row r="4813" spans="1:17" x14ac:dyDescent="0.3">
      <c r="A4813" s="34" t="str">
        <f>base!J4813</f>
        <v>RM</v>
      </c>
      <c r="B4813" s="34" t="str">
        <f>base!V4813</f>
        <v>62740</v>
      </c>
      <c r="C4813" s="37">
        <v>62</v>
      </c>
      <c r="D4813" s="36">
        <f>base!H4813</f>
        <v>70</v>
      </c>
      <c r="E4813" s="44"/>
      <c r="F4813" s="16">
        <f>base!W4813</f>
        <v>0</v>
      </c>
      <c r="G4813" s="11">
        <f t="shared" si="750"/>
        <v>0</v>
      </c>
      <c r="H4813" s="11">
        <f t="shared" si="751"/>
        <v>13.3</v>
      </c>
      <c r="I4813" s="11">
        <f t="shared" si="752"/>
        <v>0.19</v>
      </c>
      <c r="J4813" s="12">
        <f t="shared" si="753"/>
        <v>-13.3</v>
      </c>
      <c r="K4813" s="17" t="str">
        <f t="shared" si="758"/>
        <v>Ecart négatif</v>
      </c>
      <c r="L4813" s="16">
        <f>base!X4813</f>
        <v>0</v>
      </c>
      <c r="M4813" s="11">
        <f t="shared" si="754"/>
        <v>0</v>
      </c>
      <c r="N4813" s="11">
        <f t="shared" si="755"/>
        <v>0</v>
      </c>
      <c r="O4813" s="11">
        <f t="shared" si="756"/>
        <v>0</v>
      </c>
      <c r="P4813" s="12">
        <f t="shared" si="757"/>
        <v>0</v>
      </c>
      <c r="Q4813" s="17" t="str">
        <f t="shared" si="759"/>
        <v>Pas d'écart</v>
      </c>
    </row>
    <row r="4814" spans="1:17" x14ac:dyDescent="0.3">
      <c r="A4814" s="34" t="str">
        <f>base!J4814</f>
        <v>LS</v>
      </c>
      <c r="B4814" s="34" t="str">
        <f>base!V4814</f>
        <v>57000</v>
      </c>
      <c r="C4814" s="37">
        <v>35</v>
      </c>
      <c r="D4814" s="36">
        <f>base!H4814</f>
        <v>20.23</v>
      </c>
      <c r="E4814" s="44"/>
      <c r="F4814" s="16">
        <f>base!W4814</f>
        <v>10.52</v>
      </c>
      <c r="G4814" s="11">
        <f t="shared" si="750"/>
        <v>0.52001977261492827</v>
      </c>
      <c r="H4814" s="11">
        <f t="shared" si="751"/>
        <v>5.4621000000000004</v>
      </c>
      <c r="I4814" s="11">
        <f t="shared" si="752"/>
        <v>0.27</v>
      </c>
      <c r="J4814" s="12">
        <f t="shared" si="753"/>
        <v>5.0578999999999992</v>
      </c>
      <c r="K4814" s="17" t="str">
        <f t="shared" si="758"/>
        <v>Ecart positif</v>
      </c>
      <c r="L4814" s="16">
        <f>base!X4814</f>
        <v>0</v>
      </c>
      <c r="M4814" s="11">
        <f t="shared" si="754"/>
        <v>0</v>
      </c>
      <c r="N4814" s="11">
        <f t="shared" si="755"/>
        <v>0</v>
      </c>
      <c r="O4814" s="11">
        <f t="shared" si="756"/>
        <v>0</v>
      </c>
      <c r="P4814" s="12">
        <f t="shared" si="757"/>
        <v>0</v>
      </c>
      <c r="Q4814" s="17" t="str">
        <f t="shared" si="759"/>
        <v>Pas d'écart</v>
      </c>
    </row>
    <row r="4815" spans="1:17" x14ac:dyDescent="0.3">
      <c r="A4815" s="34">
        <f>base!J4815</f>
        <v>0</v>
      </c>
      <c r="B4815" s="34" t="str">
        <f>base!V4815</f>
        <v>77184</v>
      </c>
      <c r="C4815" s="37">
        <v>77</v>
      </c>
      <c r="D4815" s="36">
        <f>base!H4815</f>
        <v>120</v>
      </c>
      <c r="E4815" s="44"/>
      <c r="F4815" s="16">
        <f>base!W4815</f>
        <v>0</v>
      </c>
      <c r="G4815" s="11">
        <f t="shared" si="750"/>
        <v>0</v>
      </c>
      <c r="H4815" s="11">
        <f t="shared" si="751"/>
        <v>0</v>
      </c>
      <c r="I4815" s="11">
        <f t="shared" si="752"/>
        <v>0</v>
      </c>
      <c r="J4815" s="12">
        <f t="shared" si="753"/>
        <v>0</v>
      </c>
      <c r="K4815" s="17" t="str">
        <f t="shared" si="758"/>
        <v>Pas d'écart</v>
      </c>
      <c r="L4815" s="16">
        <f>base!X4815</f>
        <v>0</v>
      </c>
      <c r="M4815" s="11">
        <f t="shared" si="754"/>
        <v>0</v>
      </c>
      <c r="N4815" s="11">
        <f t="shared" si="755"/>
        <v>0</v>
      </c>
      <c r="O4815" s="11">
        <f t="shared" si="756"/>
        <v>0</v>
      </c>
      <c r="P4815" s="12">
        <f t="shared" si="757"/>
        <v>0</v>
      </c>
      <c r="Q4815" s="17" t="str">
        <f t="shared" si="759"/>
        <v>Pas d'écart</v>
      </c>
    </row>
    <row r="4816" spans="1:17" x14ac:dyDescent="0.3">
      <c r="A4816" s="34" t="str">
        <f>base!J4816</f>
        <v>LS</v>
      </c>
      <c r="B4816" s="34" t="str">
        <f>base!V4816</f>
        <v>62600</v>
      </c>
      <c r="C4816" s="37">
        <v>35</v>
      </c>
      <c r="D4816" s="36">
        <f>base!H4816</f>
        <v>139.19999999999999</v>
      </c>
      <c r="E4816" s="44"/>
      <c r="F4816" s="16">
        <f>base!W4816</f>
        <v>26.45</v>
      </c>
      <c r="G4816" s="11">
        <f t="shared" si="750"/>
        <v>0.19001436781609196</v>
      </c>
      <c r="H4816" s="11">
        <f t="shared" si="751"/>
        <v>37.583999999999996</v>
      </c>
      <c r="I4816" s="11">
        <f t="shared" si="752"/>
        <v>0.27</v>
      </c>
      <c r="J4816" s="12">
        <f t="shared" si="753"/>
        <v>-11.133999999999997</v>
      </c>
      <c r="K4816" s="17" t="str">
        <f t="shared" si="758"/>
        <v>Ecart négatif</v>
      </c>
      <c r="L4816" s="16">
        <f>base!X4816</f>
        <v>0</v>
      </c>
      <c r="M4816" s="11">
        <f t="shared" si="754"/>
        <v>0</v>
      </c>
      <c r="N4816" s="11">
        <f t="shared" si="755"/>
        <v>0</v>
      </c>
      <c r="O4816" s="11">
        <f t="shared" si="756"/>
        <v>0</v>
      </c>
      <c r="P4816" s="12">
        <f t="shared" si="757"/>
        <v>0</v>
      </c>
      <c r="Q4816" s="17" t="str">
        <f t="shared" si="759"/>
        <v>Pas d'écart</v>
      </c>
    </row>
    <row r="4817" spans="1:18" x14ac:dyDescent="0.3">
      <c r="A4817" s="34" t="str">
        <f>base!J4817</f>
        <v>LS</v>
      </c>
      <c r="B4817" s="34" t="str">
        <f>base!V4817</f>
        <v>25190</v>
      </c>
      <c r="C4817" s="37">
        <v>44</v>
      </c>
      <c r="D4817" s="36">
        <f>base!H4817</f>
        <v>103.06</v>
      </c>
      <c r="E4817" s="44"/>
      <c r="F4817" s="16">
        <f>base!W4817</f>
        <v>24.73</v>
      </c>
      <c r="G4817" s="11">
        <f t="shared" si="750"/>
        <v>0.23995730642344265</v>
      </c>
      <c r="H4817" s="11">
        <f t="shared" si="751"/>
        <v>27.826200000000004</v>
      </c>
      <c r="I4817" s="11">
        <f t="shared" si="752"/>
        <v>0.27</v>
      </c>
      <c r="J4817" s="12">
        <f t="shared" si="753"/>
        <v>-3.0962000000000032</v>
      </c>
      <c r="K4817" s="17" t="str">
        <f t="shared" si="758"/>
        <v>Ecart négatif</v>
      </c>
      <c r="L4817" s="16">
        <f>base!X4817</f>
        <v>0</v>
      </c>
      <c r="M4817" s="11">
        <f t="shared" si="754"/>
        <v>0</v>
      </c>
      <c r="N4817" s="11">
        <f t="shared" si="755"/>
        <v>0</v>
      </c>
      <c r="O4817" s="11">
        <f t="shared" si="756"/>
        <v>0</v>
      </c>
      <c r="P4817" s="12">
        <f t="shared" si="757"/>
        <v>0</v>
      </c>
      <c r="Q4817" s="17" t="str">
        <f t="shared" si="759"/>
        <v>Pas d'écart</v>
      </c>
    </row>
    <row r="4818" spans="1:18" x14ac:dyDescent="0.3">
      <c r="A4818" s="34" t="str">
        <f>base!J4818</f>
        <v>LS</v>
      </c>
      <c r="B4818" s="34" t="str">
        <f>base!V4818</f>
        <v>13008</v>
      </c>
      <c r="C4818" s="37">
        <v>42</v>
      </c>
      <c r="D4818" s="36">
        <f>base!H4818</f>
        <v>120.29</v>
      </c>
      <c r="E4818" s="44"/>
      <c r="F4818" s="16">
        <f>base!W4818</f>
        <v>0</v>
      </c>
      <c r="G4818" s="11">
        <f t="shared" si="750"/>
        <v>0</v>
      </c>
      <c r="H4818" s="11">
        <f t="shared" si="751"/>
        <v>31.275400000000001</v>
      </c>
      <c r="I4818" s="11">
        <f t="shared" si="752"/>
        <v>0.26</v>
      </c>
      <c r="J4818" s="12">
        <f t="shared" si="753"/>
        <v>-31.275400000000001</v>
      </c>
      <c r="K4818" s="17" t="str">
        <f t="shared" si="758"/>
        <v>Ecart négatif</v>
      </c>
      <c r="L4818" s="16">
        <f>base!X4818</f>
        <v>0</v>
      </c>
      <c r="M4818" s="11">
        <f t="shared" si="754"/>
        <v>0</v>
      </c>
      <c r="N4818" s="11">
        <f t="shared" si="755"/>
        <v>0</v>
      </c>
      <c r="O4818" s="11">
        <f t="shared" si="756"/>
        <v>0</v>
      </c>
      <c r="P4818" s="12">
        <f t="shared" si="757"/>
        <v>0</v>
      </c>
      <c r="Q4818" s="17" t="str">
        <f t="shared" si="759"/>
        <v>Pas d'écart</v>
      </c>
    </row>
    <row r="4819" spans="1:18" x14ac:dyDescent="0.3">
      <c r="A4819" s="34" t="str">
        <f>base!J4819</f>
        <v>LM</v>
      </c>
      <c r="B4819" s="34" t="str">
        <f>base!V4819</f>
        <v>62600</v>
      </c>
      <c r="C4819" s="37">
        <v>42</v>
      </c>
      <c r="D4819" s="36">
        <f>base!H4819</f>
        <v>139.19999999999999</v>
      </c>
      <c r="E4819" s="44"/>
      <c r="F4819" s="16">
        <f>base!W4819</f>
        <v>26.45</v>
      </c>
      <c r="G4819" s="11">
        <f t="shared" si="750"/>
        <v>0.19001436781609196</v>
      </c>
      <c r="H4819" s="11">
        <f t="shared" si="751"/>
        <v>36.192</v>
      </c>
      <c r="I4819" s="11">
        <f t="shared" si="752"/>
        <v>0.26</v>
      </c>
      <c r="J4819" s="12">
        <f t="shared" si="753"/>
        <v>-9.7420000000000009</v>
      </c>
      <c r="K4819" s="17" t="str">
        <f t="shared" si="758"/>
        <v>Ecart négatif</v>
      </c>
      <c r="L4819" s="16">
        <f>base!X4819</f>
        <v>0</v>
      </c>
      <c r="M4819" s="11">
        <f t="shared" si="754"/>
        <v>0</v>
      </c>
      <c r="N4819" s="11">
        <f t="shared" si="755"/>
        <v>0</v>
      </c>
      <c r="O4819" s="11">
        <f t="shared" si="756"/>
        <v>0</v>
      </c>
      <c r="P4819" s="12">
        <f t="shared" si="757"/>
        <v>0</v>
      </c>
      <c r="Q4819" s="17" t="str">
        <f t="shared" si="759"/>
        <v>Pas d'écart</v>
      </c>
    </row>
    <row r="4820" spans="1:18" x14ac:dyDescent="0.3">
      <c r="A4820" s="34" t="str">
        <f>base!J4820</f>
        <v>LM</v>
      </c>
      <c r="B4820" s="34" t="str">
        <f>base!V4820</f>
        <v>21230</v>
      </c>
      <c r="C4820" s="37">
        <v>38</v>
      </c>
      <c r="D4820" s="36">
        <f>base!H4820</f>
        <v>153.76</v>
      </c>
      <c r="E4820" s="44"/>
      <c r="F4820" s="16">
        <f>base!W4820</f>
        <v>36.9</v>
      </c>
      <c r="G4820" s="11">
        <f t="shared" si="750"/>
        <v>0.23998439125910512</v>
      </c>
      <c r="H4820" s="11">
        <f t="shared" si="751"/>
        <v>41.5152</v>
      </c>
      <c r="I4820" s="11">
        <f t="shared" si="752"/>
        <v>0.27</v>
      </c>
      <c r="J4820" s="12">
        <f t="shared" si="753"/>
        <v>-4.6152000000000015</v>
      </c>
      <c r="K4820" s="17" t="str">
        <f t="shared" si="758"/>
        <v>Ecart négatif</v>
      </c>
      <c r="L4820" s="16">
        <f>base!X4820</f>
        <v>0</v>
      </c>
      <c r="M4820" s="11">
        <f t="shared" si="754"/>
        <v>0</v>
      </c>
      <c r="N4820" s="11">
        <f t="shared" si="755"/>
        <v>0</v>
      </c>
      <c r="O4820" s="11">
        <f t="shared" si="756"/>
        <v>0</v>
      </c>
      <c r="P4820" s="12">
        <f t="shared" si="757"/>
        <v>0</v>
      </c>
      <c r="Q4820" s="17" t="str">
        <f t="shared" si="759"/>
        <v>Pas d'écart</v>
      </c>
    </row>
    <row r="4821" spans="1:18" x14ac:dyDescent="0.3">
      <c r="A4821" s="34" t="str">
        <f>base!J4821</f>
        <v>LS</v>
      </c>
      <c r="B4821" s="34" t="str">
        <f>base!V4821</f>
        <v>75003</v>
      </c>
      <c r="C4821" s="37">
        <v>75</v>
      </c>
      <c r="D4821" s="36">
        <f>base!H4821</f>
        <v>25</v>
      </c>
      <c r="E4821" s="44"/>
      <c r="F4821" s="16">
        <f>base!W4821</f>
        <v>0</v>
      </c>
      <c r="G4821" s="11">
        <f t="shared" si="750"/>
        <v>0</v>
      </c>
      <c r="H4821" s="11">
        <f t="shared" si="751"/>
        <v>0</v>
      </c>
      <c r="I4821" s="11">
        <f t="shared" si="752"/>
        <v>0</v>
      </c>
      <c r="J4821" s="12">
        <f t="shared" si="753"/>
        <v>0</v>
      </c>
      <c r="K4821" s="17" t="str">
        <f t="shared" si="758"/>
        <v>Pas d'écart</v>
      </c>
      <c r="L4821" s="16">
        <f>base!X4821</f>
        <v>0</v>
      </c>
      <c r="M4821" s="11">
        <f t="shared" si="754"/>
        <v>0</v>
      </c>
      <c r="N4821" s="11">
        <f t="shared" si="755"/>
        <v>0</v>
      </c>
      <c r="O4821" s="11">
        <f t="shared" si="756"/>
        <v>0</v>
      </c>
      <c r="P4821" s="12">
        <f t="shared" si="757"/>
        <v>0</v>
      </c>
      <c r="Q4821" s="17" t="str">
        <f t="shared" si="759"/>
        <v>Pas d'écart</v>
      </c>
    </row>
    <row r="4822" spans="1:18" x14ac:dyDescent="0.3">
      <c r="A4822" s="34" t="str">
        <f>base!J4822</f>
        <v>LS</v>
      </c>
      <c r="B4822" s="34" t="str">
        <f>base!V4822</f>
        <v>13100</v>
      </c>
      <c r="C4822" s="37">
        <v>44</v>
      </c>
      <c r="D4822" s="36">
        <f>base!H4822</f>
        <v>132.12</v>
      </c>
      <c r="E4822" s="44"/>
      <c r="F4822" s="16">
        <f>base!W4822</f>
        <v>38.31</v>
      </c>
      <c r="G4822" s="11">
        <f t="shared" si="750"/>
        <v>0.28996366939146229</v>
      </c>
      <c r="H4822" s="11">
        <f t="shared" si="751"/>
        <v>35.672400000000003</v>
      </c>
      <c r="I4822" s="11">
        <f t="shared" si="752"/>
        <v>0.27</v>
      </c>
      <c r="J4822" s="12">
        <f t="shared" si="753"/>
        <v>2.6375999999999991</v>
      </c>
      <c r="K4822" s="17" t="str">
        <f t="shared" si="758"/>
        <v>Ecart positif</v>
      </c>
      <c r="L4822" s="16">
        <f>base!X4822</f>
        <v>0</v>
      </c>
      <c r="M4822" s="11">
        <f t="shared" si="754"/>
        <v>0</v>
      </c>
      <c r="N4822" s="11">
        <f t="shared" si="755"/>
        <v>0</v>
      </c>
      <c r="O4822" s="11">
        <f t="shared" si="756"/>
        <v>0</v>
      </c>
      <c r="P4822" s="12">
        <f t="shared" si="757"/>
        <v>0</v>
      </c>
      <c r="Q4822" s="17" t="str">
        <f t="shared" si="759"/>
        <v>Pas d'écart</v>
      </c>
    </row>
    <row r="4823" spans="1:18" x14ac:dyDescent="0.3">
      <c r="A4823" s="34" t="str">
        <f>base!J4823</f>
        <v>LS</v>
      </c>
      <c r="B4823" s="34" t="str">
        <f>base!V4823</f>
        <v>93460</v>
      </c>
      <c r="C4823" s="37">
        <v>93</v>
      </c>
      <c r="D4823" s="36">
        <f>base!H4823</f>
        <v>138.12</v>
      </c>
      <c r="E4823" s="44"/>
      <c r="F4823" s="16">
        <f>base!W4823</f>
        <v>0</v>
      </c>
      <c r="G4823" s="11">
        <f t="shared" si="750"/>
        <v>0</v>
      </c>
      <c r="H4823" s="11">
        <f t="shared" si="751"/>
        <v>0</v>
      </c>
      <c r="I4823" s="11">
        <f t="shared" si="752"/>
        <v>0</v>
      </c>
      <c r="J4823" s="12">
        <f t="shared" si="753"/>
        <v>0</v>
      </c>
      <c r="K4823" s="17" t="str">
        <f t="shared" si="758"/>
        <v>Pas d'écart</v>
      </c>
      <c r="L4823" s="16">
        <f>base!X4823</f>
        <v>0</v>
      </c>
      <c r="M4823" s="11">
        <f t="shared" si="754"/>
        <v>0</v>
      </c>
      <c r="N4823" s="11">
        <f t="shared" si="755"/>
        <v>0</v>
      </c>
      <c r="O4823" s="11">
        <f t="shared" si="756"/>
        <v>0</v>
      </c>
      <c r="P4823" s="12">
        <f t="shared" si="757"/>
        <v>0</v>
      </c>
      <c r="Q4823" s="17" t="str">
        <f t="shared" si="759"/>
        <v>Pas d'écart</v>
      </c>
    </row>
    <row r="4824" spans="1:18" x14ac:dyDescent="0.3">
      <c r="A4824" s="34" t="str">
        <f>base!J4824</f>
        <v>LM</v>
      </c>
      <c r="B4824" s="34" t="str">
        <f>base!V4824</f>
        <v>67600</v>
      </c>
      <c r="C4824" s="37">
        <v>74</v>
      </c>
      <c r="D4824" s="36">
        <f>base!H4824</f>
        <v>202.91</v>
      </c>
      <c r="E4824" s="44"/>
      <c r="F4824" s="16">
        <f>base!W4824</f>
        <v>58.84</v>
      </c>
      <c r="G4824" s="11">
        <f t="shared" si="750"/>
        <v>0.28998077965600516</v>
      </c>
      <c r="H4824" s="11">
        <f t="shared" si="751"/>
        <v>52.756599999999999</v>
      </c>
      <c r="I4824" s="11">
        <f t="shared" si="752"/>
        <v>0.26</v>
      </c>
      <c r="J4824" s="12">
        <f t="shared" si="753"/>
        <v>6.0834000000000046</v>
      </c>
      <c r="K4824" s="17" t="str">
        <f t="shared" si="758"/>
        <v>Ecart positif</v>
      </c>
      <c r="L4824" s="16">
        <f>base!X4824</f>
        <v>0</v>
      </c>
      <c r="M4824" s="11">
        <f t="shared" si="754"/>
        <v>0</v>
      </c>
      <c r="N4824" s="11">
        <f t="shared" si="755"/>
        <v>0</v>
      </c>
      <c r="O4824" s="11">
        <f t="shared" si="756"/>
        <v>0</v>
      </c>
      <c r="P4824" s="12">
        <f t="shared" si="757"/>
        <v>0</v>
      </c>
      <c r="Q4824" s="17" t="str">
        <f t="shared" si="759"/>
        <v>Pas d'écart</v>
      </c>
    </row>
    <row r="4825" spans="1:18" x14ac:dyDescent="0.3">
      <c r="A4825" s="34" t="str">
        <f>base!J4825</f>
        <v>RS</v>
      </c>
      <c r="B4825" s="34" t="str">
        <f>base!V4825</f>
        <v>24750</v>
      </c>
      <c r="C4825" s="37">
        <v>24</v>
      </c>
      <c r="D4825" s="36">
        <f>base!H4825</f>
        <v>204</v>
      </c>
      <c r="E4825" s="44"/>
      <c r="F4825" s="16">
        <f>base!W4825</f>
        <v>0</v>
      </c>
      <c r="G4825" s="11">
        <f t="shared" si="750"/>
        <v>0</v>
      </c>
      <c r="H4825" s="11">
        <f t="shared" si="751"/>
        <v>42.839999999999996</v>
      </c>
      <c r="I4825" s="11">
        <f t="shared" si="752"/>
        <v>0.21</v>
      </c>
      <c r="J4825" s="12">
        <f t="shared" si="753"/>
        <v>-42.839999999999996</v>
      </c>
      <c r="K4825" s="17" t="str">
        <f t="shared" si="758"/>
        <v>Ecart négatif</v>
      </c>
      <c r="L4825" s="16">
        <f>base!X4825</f>
        <v>42.84</v>
      </c>
      <c r="M4825" s="11">
        <f t="shared" si="754"/>
        <v>0.21000000000000002</v>
      </c>
      <c r="N4825" s="11">
        <f t="shared" si="755"/>
        <v>34.68</v>
      </c>
      <c r="O4825" s="11">
        <f t="shared" si="756"/>
        <v>0.17</v>
      </c>
      <c r="P4825" s="12">
        <f t="shared" si="757"/>
        <v>8.1600000000000037</v>
      </c>
      <c r="Q4825" s="17" t="str">
        <f t="shared" si="759"/>
        <v>Ecart positif</v>
      </c>
      <c r="R4825" s="38"/>
    </row>
    <row r="4826" spans="1:18" x14ac:dyDescent="0.3">
      <c r="A4826" s="34" t="str">
        <f>base!J4826</f>
        <v>LS</v>
      </c>
      <c r="B4826" s="34" t="str">
        <f>base!V4826</f>
        <v>27160</v>
      </c>
      <c r="C4826" s="37">
        <v>38</v>
      </c>
      <c r="D4826" s="36">
        <f>base!H4826</f>
        <v>137.65</v>
      </c>
      <c r="E4826" s="44"/>
      <c r="F4826" s="16">
        <f>base!W4826</f>
        <v>23.4</v>
      </c>
      <c r="G4826" s="11">
        <f t="shared" si="750"/>
        <v>0.1699963675989829</v>
      </c>
      <c r="H4826" s="11">
        <f t="shared" si="751"/>
        <v>37.165500000000002</v>
      </c>
      <c r="I4826" s="11">
        <f t="shared" si="752"/>
        <v>0.27</v>
      </c>
      <c r="J4826" s="12">
        <f t="shared" si="753"/>
        <v>-13.765500000000003</v>
      </c>
      <c r="K4826" s="17" t="str">
        <f t="shared" si="758"/>
        <v>Ecart négatif</v>
      </c>
      <c r="L4826" s="16">
        <f>base!X4826</f>
        <v>0</v>
      </c>
      <c r="M4826" s="11">
        <f t="shared" si="754"/>
        <v>0</v>
      </c>
      <c r="N4826" s="11">
        <f t="shared" si="755"/>
        <v>0</v>
      </c>
      <c r="O4826" s="11">
        <f t="shared" si="756"/>
        <v>0</v>
      </c>
      <c r="P4826" s="12">
        <f t="shared" si="757"/>
        <v>0</v>
      </c>
      <c r="Q4826" s="17" t="str">
        <f t="shared" si="759"/>
        <v>Pas d'écart</v>
      </c>
    </row>
    <row r="4827" spans="1:18" x14ac:dyDescent="0.3">
      <c r="A4827" s="34" t="str">
        <f>base!J4827</f>
        <v>LS</v>
      </c>
      <c r="B4827" s="34" t="str">
        <f>base!V4827</f>
        <v>57930</v>
      </c>
      <c r="C4827" s="37">
        <v>38</v>
      </c>
      <c r="D4827" s="36">
        <f>base!H4827</f>
        <v>126.65</v>
      </c>
      <c r="E4827" s="44"/>
      <c r="F4827" s="16">
        <f>base!W4827</f>
        <v>36.729999999999997</v>
      </c>
      <c r="G4827" s="11">
        <f t="shared" si="750"/>
        <v>0.29001184366363991</v>
      </c>
      <c r="H4827" s="11">
        <f t="shared" si="751"/>
        <v>34.195500000000003</v>
      </c>
      <c r="I4827" s="11">
        <f t="shared" si="752"/>
        <v>0.27</v>
      </c>
      <c r="J4827" s="12">
        <f t="shared" si="753"/>
        <v>2.5344999999999942</v>
      </c>
      <c r="K4827" s="17" t="str">
        <f t="shared" si="758"/>
        <v>Ecart positif</v>
      </c>
      <c r="L4827" s="16">
        <f>base!X4827</f>
        <v>0</v>
      </c>
      <c r="M4827" s="11">
        <f t="shared" si="754"/>
        <v>0</v>
      </c>
      <c r="N4827" s="11">
        <f t="shared" si="755"/>
        <v>0</v>
      </c>
      <c r="O4827" s="11">
        <f t="shared" si="756"/>
        <v>0</v>
      </c>
      <c r="P4827" s="12">
        <f t="shared" si="757"/>
        <v>0</v>
      </c>
      <c r="Q4827" s="17" t="str">
        <f t="shared" si="759"/>
        <v>Pas d'écart</v>
      </c>
    </row>
    <row r="4828" spans="1:18" x14ac:dyDescent="0.3">
      <c r="A4828" s="34" t="str">
        <f>base!J4828</f>
        <v>LS</v>
      </c>
      <c r="B4828" s="34" t="str">
        <f>base!V4828</f>
        <v>13100</v>
      </c>
      <c r="C4828" s="37">
        <v>44</v>
      </c>
      <c r="D4828" s="36">
        <f>base!H4828</f>
        <v>113.62</v>
      </c>
      <c r="E4828" s="44"/>
      <c r="F4828" s="16">
        <f>base!W4828</f>
        <v>32.950000000000003</v>
      </c>
      <c r="G4828" s="11">
        <f t="shared" si="750"/>
        <v>0.29000176025347651</v>
      </c>
      <c r="H4828" s="11">
        <f t="shared" si="751"/>
        <v>30.677400000000002</v>
      </c>
      <c r="I4828" s="11">
        <f t="shared" si="752"/>
        <v>0.27</v>
      </c>
      <c r="J4828" s="12">
        <f t="shared" si="753"/>
        <v>2.2726000000000006</v>
      </c>
      <c r="K4828" s="17" t="str">
        <f t="shared" si="758"/>
        <v>Ecart positif</v>
      </c>
      <c r="L4828" s="16">
        <f>base!X4828</f>
        <v>0</v>
      </c>
      <c r="M4828" s="11">
        <f t="shared" si="754"/>
        <v>0</v>
      </c>
      <c r="N4828" s="11">
        <f t="shared" si="755"/>
        <v>0</v>
      </c>
      <c r="O4828" s="11">
        <f t="shared" si="756"/>
        <v>0</v>
      </c>
      <c r="P4828" s="12">
        <f t="shared" si="757"/>
        <v>0</v>
      </c>
      <c r="Q4828" s="17" t="str">
        <f t="shared" si="759"/>
        <v>Pas d'écart</v>
      </c>
    </row>
    <row r="4829" spans="1:18" x14ac:dyDescent="0.3">
      <c r="A4829" s="34">
        <f>base!J4829</f>
        <v>0</v>
      </c>
      <c r="B4829" s="34" t="str">
        <f>base!V4829</f>
        <v>77184</v>
      </c>
      <c r="C4829" s="37">
        <v>77</v>
      </c>
      <c r="D4829" s="36">
        <f>base!H4829</f>
        <v>38.54</v>
      </c>
      <c r="E4829" s="44"/>
      <c r="F4829" s="16">
        <f>base!W4829</f>
        <v>0</v>
      </c>
      <c r="G4829" s="11">
        <f t="shared" si="750"/>
        <v>0</v>
      </c>
      <c r="H4829" s="11">
        <f t="shared" si="751"/>
        <v>0</v>
      </c>
      <c r="I4829" s="11">
        <f t="shared" si="752"/>
        <v>0</v>
      </c>
      <c r="J4829" s="12">
        <f t="shared" si="753"/>
        <v>0</v>
      </c>
      <c r="K4829" s="17" t="str">
        <f t="shared" si="758"/>
        <v>Pas d'écart</v>
      </c>
      <c r="L4829" s="16">
        <f>base!X4829</f>
        <v>0</v>
      </c>
      <c r="M4829" s="11">
        <f t="shared" si="754"/>
        <v>0</v>
      </c>
      <c r="N4829" s="11">
        <f t="shared" si="755"/>
        <v>0</v>
      </c>
      <c r="O4829" s="11">
        <f t="shared" si="756"/>
        <v>0</v>
      </c>
      <c r="P4829" s="12">
        <f t="shared" si="757"/>
        <v>0</v>
      </c>
      <c r="Q4829" s="17" t="str">
        <f t="shared" si="759"/>
        <v>Pas d'écart</v>
      </c>
    </row>
    <row r="4830" spans="1:18" x14ac:dyDescent="0.3">
      <c r="A4830" s="34">
        <f>base!J4830</f>
        <v>0</v>
      </c>
      <c r="B4830" s="34" t="str">
        <f>base!V4830</f>
        <v>77184</v>
      </c>
      <c r="C4830" s="37">
        <v>77</v>
      </c>
      <c r="D4830" s="36">
        <f>base!H4830</f>
        <v>25</v>
      </c>
      <c r="E4830" s="44"/>
      <c r="F4830" s="16">
        <f>base!W4830</f>
        <v>0</v>
      </c>
      <c r="G4830" s="11">
        <f t="shared" si="750"/>
        <v>0</v>
      </c>
      <c r="H4830" s="11">
        <f t="shared" si="751"/>
        <v>0</v>
      </c>
      <c r="I4830" s="11">
        <f t="shared" si="752"/>
        <v>0</v>
      </c>
      <c r="J4830" s="12">
        <f t="shared" si="753"/>
        <v>0</v>
      </c>
      <c r="K4830" s="17" t="str">
        <f t="shared" si="758"/>
        <v>Pas d'écart</v>
      </c>
      <c r="L4830" s="16">
        <f>base!X4830</f>
        <v>0</v>
      </c>
      <c r="M4830" s="11">
        <f t="shared" si="754"/>
        <v>0</v>
      </c>
      <c r="N4830" s="11">
        <f t="shared" si="755"/>
        <v>0</v>
      </c>
      <c r="O4830" s="11">
        <f t="shared" si="756"/>
        <v>0</v>
      </c>
      <c r="P4830" s="12">
        <f t="shared" si="757"/>
        <v>0</v>
      </c>
      <c r="Q4830" s="17" t="str">
        <f t="shared" si="759"/>
        <v>Pas d'écart</v>
      </c>
    </row>
    <row r="4831" spans="1:18" x14ac:dyDescent="0.3">
      <c r="A4831" s="34">
        <f>base!J4831</f>
        <v>0</v>
      </c>
      <c r="B4831" s="34" t="str">
        <f>base!V4831</f>
        <v>77184</v>
      </c>
      <c r="C4831" s="37">
        <v>77</v>
      </c>
      <c r="D4831" s="36">
        <f>base!H4831</f>
        <v>25</v>
      </c>
      <c r="E4831" s="44"/>
      <c r="F4831" s="16">
        <f>base!W4831</f>
        <v>0</v>
      </c>
      <c r="G4831" s="11">
        <f t="shared" si="750"/>
        <v>0</v>
      </c>
      <c r="H4831" s="11">
        <f t="shared" si="751"/>
        <v>0</v>
      </c>
      <c r="I4831" s="11">
        <f t="shared" si="752"/>
        <v>0</v>
      </c>
      <c r="J4831" s="12">
        <f t="shared" si="753"/>
        <v>0</v>
      </c>
      <c r="K4831" s="17" t="str">
        <f t="shared" si="758"/>
        <v>Pas d'écart</v>
      </c>
      <c r="L4831" s="16">
        <f>base!X4831</f>
        <v>0</v>
      </c>
      <c r="M4831" s="11">
        <f t="shared" si="754"/>
        <v>0</v>
      </c>
      <c r="N4831" s="11">
        <f t="shared" si="755"/>
        <v>0</v>
      </c>
      <c r="O4831" s="11">
        <f t="shared" si="756"/>
        <v>0</v>
      </c>
      <c r="P4831" s="12">
        <f t="shared" si="757"/>
        <v>0</v>
      </c>
      <c r="Q4831" s="17" t="str">
        <f t="shared" si="759"/>
        <v>Pas d'écart</v>
      </c>
    </row>
    <row r="4832" spans="1:18" x14ac:dyDescent="0.3">
      <c r="A4832" s="34" t="str">
        <f>base!J4832</f>
        <v>LM</v>
      </c>
      <c r="B4832" s="34" t="str">
        <f>base!V4832</f>
        <v>45000</v>
      </c>
      <c r="C4832" s="37">
        <v>44</v>
      </c>
      <c r="D4832" s="36">
        <f>base!H4832</f>
        <v>22.62</v>
      </c>
      <c r="E4832" s="44"/>
      <c r="F4832" s="16">
        <f>base!W4832</f>
        <v>4.75</v>
      </c>
      <c r="G4832" s="11">
        <f t="shared" si="750"/>
        <v>0.20999115826702033</v>
      </c>
      <c r="H4832" s="11">
        <f t="shared" si="751"/>
        <v>6.1074000000000011</v>
      </c>
      <c r="I4832" s="11">
        <f t="shared" si="752"/>
        <v>0.27</v>
      </c>
      <c r="J4832" s="12">
        <f t="shared" si="753"/>
        <v>-1.3574000000000011</v>
      </c>
      <c r="K4832" s="17" t="str">
        <f t="shared" si="758"/>
        <v>Ecart négatif</v>
      </c>
      <c r="L4832" s="16">
        <f>base!X4832</f>
        <v>0</v>
      </c>
      <c r="M4832" s="11">
        <f t="shared" si="754"/>
        <v>0</v>
      </c>
      <c r="N4832" s="11">
        <f t="shared" si="755"/>
        <v>0</v>
      </c>
      <c r="O4832" s="11">
        <f t="shared" si="756"/>
        <v>0</v>
      </c>
      <c r="P4832" s="12">
        <f t="shared" si="757"/>
        <v>0</v>
      </c>
      <c r="Q4832" s="17" t="str">
        <f t="shared" si="759"/>
        <v>Pas d'écart</v>
      </c>
    </row>
    <row r="4833" spans="1:18" x14ac:dyDescent="0.3">
      <c r="A4833" s="34">
        <f>base!J4833</f>
        <v>0</v>
      </c>
      <c r="B4833" s="34" t="str">
        <f>base!V4833</f>
        <v>77184</v>
      </c>
      <c r="C4833" s="37">
        <v>77</v>
      </c>
      <c r="D4833" s="36">
        <f>base!H4833</f>
        <v>140</v>
      </c>
      <c r="E4833" s="44"/>
      <c r="F4833" s="16">
        <f>base!W4833</f>
        <v>0</v>
      </c>
      <c r="G4833" s="11">
        <f t="shared" si="750"/>
        <v>0</v>
      </c>
      <c r="H4833" s="11">
        <f t="shared" si="751"/>
        <v>0</v>
      </c>
      <c r="I4833" s="11">
        <f t="shared" si="752"/>
        <v>0</v>
      </c>
      <c r="J4833" s="12">
        <f t="shared" si="753"/>
        <v>0</v>
      </c>
      <c r="K4833" s="17" t="str">
        <f t="shared" si="758"/>
        <v>Pas d'écart</v>
      </c>
      <c r="L4833" s="16">
        <f>base!X4833</f>
        <v>0</v>
      </c>
      <c r="M4833" s="11">
        <f t="shared" si="754"/>
        <v>0</v>
      </c>
      <c r="N4833" s="11">
        <f t="shared" si="755"/>
        <v>0</v>
      </c>
      <c r="O4833" s="11">
        <f t="shared" si="756"/>
        <v>0</v>
      </c>
      <c r="P4833" s="12">
        <f t="shared" si="757"/>
        <v>0</v>
      </c>
      <c r="Q4833" s="17" t="str">
        <f t="shared" si="759"/>
        <v>Pas d'écart</v>
      </c>
    </row>
    <row r="4834" spans="1:18" x14ac:dyDescent="0.3">
      <c r="A4834" s="34">
        <f>base!J4834</f>
        <v>0</v>
      </c>
      <c r="B4834" s="34" t="str">
        <f>base!V4834</f>
        <v>77184</v>
      </c>
      <c r="C4834" s="37">
        <v>77</v>
      </c>
      <c r="D4834" s="36">
        <f>base!H4834</f>
        <v>180</v>
      </c>
      <c r="E4834" s="44"/>
      <c r="F4834" s="16">
        <f>base!W4834</f>
        <v>0</v>
      </c>
      <c r="G4834" s="11">
        <f t="shared" si="750"/>
        <v>0</v>
      </c>
      <c r="H4834" s="11">
        <f t="shared" si="751"/>
        <v>0</v>
      </c>
      <c r="I4834" s="11">
        <f t="shared" si="752"/>
        <v>0</v>
      </c>
      <c r="J4834" s="12">
        <f t="shared" si="753"/>
        <v>0</v>
      </c>
      <c r="K4834" s="17" t="str">
        <f t="shared" si="758"/>
        <v>Pas d'écart</v>
      </c>
      <c r="L4834" s="16">
        <f>base!X4834</f>
        <v>0</v>
      </c>
      <c r="M4834" s="11">
        <f t="shared" si="754"/>
        <v>0</v>
      </c>
      <c r="N4834" s="11">
        <f t="shared" si="755"/>
        <v>0</v>
      </c>
      <c r="O4834" s="11">
        <f t="shared" si="756"/>
        <v>0</v>
      </c>
      <c r="P4834" s="12">
        <f t="shared" si="757"/>
        <v>0</v>
      </c>
      <c r="Q4834" s="17" t="str">
        <f t="shared" si="759"/>
        <v>Pas d'écart</v>
      </c>
    </row>
    <row r="4835" spans="1:18" x14ac:dyDescent="0.3">
      <c r="A4835" s="34" t="str">
        <f>base!J4835</f>
        <v>RM</v>
      </c>
      <c r="B4835" s="34" t="str">
        <f>base!V4835</f>
        <v>62000</v>
      </c>
      <c r="C4835" s="37">
        <v>62</v>
      </c>
      <c r="D4835" s="36">
        <f>base!H4835</f>
        <v>94.79</v>
      </c>
      <c r="E4835" s="44"/>
      <c r="F4835" s="16">
        <f>base!W4835</f>
        <v>0</v>
      </c>
      <c r="G4835" s="11">
        <f t="shared" si="750"/>
        <v>0</v>
      </c>
      <c r="H4835" s="11">
        <f t="shared" si="751"/>
        <v>18.010100000000001</v>
      </c>
      <c r="I4835" s="11">
        <f t="shared" si="752"/>
        <v>0.19</v>
      </c>
      <c r="J4835" s="12">
        <f t="shared" si="753"/>
        <v>-18.010100000000001</v>
      </c>
      <c r="K4835" s="17" t="str">
        <f t="shared" si="758"/>
        <v>Ecart négatif</v>
      </c>
      <c r="L4835" s="16">
        <f>base!X4835</f>
        <v>0</v>
      </c>
      <c r="M4835" s="11">
        <f t="shared" si="754"/>
        <v>0</v>
      </c>
      <c r="N4835" s="11">
        <f t="shared" si="755"/>
        <v>0</v>
      </c>
      <c r="O4835" s="11">
        <f t="shared" si="756"/>
        <v>0</v>
      </c>
      <c r="P4835" s="12">
        <f t="shared" si="757"/>
        <v>0</v>
      </c>
      <c r="Q4835" s="17" t="str">
        <f t="shared" si="759"/>
        <v>Pas d'écart</v>
      </c>
    </row>
    <row r="4836" spans="1:18" x14ac:dyDescent="0.3">
      <c r="A4836" s="34" t="str">
        <f>base!J4836</f>
        <v>LM</v>
      </c>
      <c r="B4836" s="34" t="str">
        <f>base!V4836</f>
        <v>35290</v>
      </c>
      <c r="C4836" s="37">
        <v>69</v>
      </c>
      <c r="D4836" s="36">
        <f>base!H4836</f>
        <v>55.36</v>
      </c>
      <c r="E4836" s="44"/>
      <c r="F4836" s="16">
        <f>base!W4836</f>
        <v>14.95</v>
      </c>
      <c r="G4836" s="11">
        <f t="shared" si="750"/>
        <v>0.27005057803468208</v>
      </c>
      <c r="H4836" s="11">
        <f t="shared" si="751"/>
        <v>14.9472</v>
      </c>
      <c r="I4836" s="11">
        <f t="shared" si="752"/>
        <v>0.27</v>
      </c>
      <c r="J4836" s="12">
        <f t="shared" si="753"/>
        <v>2.7999999999988034E-3</v>
      </c>
      <c r="K4836" s="17" t="str">
        <f t="shared" si="758"/>
        <v>Ecart positif</v>
      </c>
      <c r="L4836" s="16">
        <f>base!X4836</f>
        <v>0</v>
      </c>
      <c r="M4836" s="11">
        <f t="shared" si="754"/>
        <v>0</v>
      </c>
      <c r="N4836" s="11">
        <f t="shared" si="755"/>
        <v>0</v>
      </c>
      <c r="O4836" s="11">
        <f t="shared" si="756"/>
        <v>0</v>
      </c>
      <c r="P4836" s="12">
        <f t="shared" si="757"/>
        <v>0</v>
      </c>
      <c r="Q4836" s="17" t="str">
        <f t="shared" si="759"/>
        <v>Pas d'écart</v>
      </c>
    </row>
    <row r="4837" spans="1:18" x14ac:dyDescent="0.3">
      <c r="A4837" s="34" t="str">
        <f>base!J4837</f>
        <v>LM</v>
      </c>
      <c r="B4837" s="34" t="str">
        <f>base!V4837</f>
        <v>77290</v>
      </c>
      <c r="C4837" s="37">
        <v>77</v>
      </c>
      <c r="D4837" s="36">
        <f>base!H4837</f>
        <v>28.26</v>
      </c>
      <c r="E4837" s="44"/>
      <c r="F4837" s="16">
        <f>base!W4837</f>
        <v>0</v>
      </c>
      <c r="G4837" s="11">
        <f t="shared" si="750"/>
        <v>0</v>
      </c>
      <c r="H4837" s="11">
        <f t="shared" si="751"/>
        <v>0</v>
      </c>
      <c r="I4837" s="11">
        <f t="shared" si="752"/>
        <v>0</v>
      </c>
      <c r="J4837" s="12">
        <f t="shared" si="753"/>
        <v>0</v>
      </c>
      <c r="K4837" s="17" t="str">
        <f t="shared" si="758"/>
        <v>Pas d'écart</v>
      </c>
      <c r="L4837" s="16">
        <f>base!X4837</f>
        <v>0</v>
      </c>
      <c r="M4837" s="11">
        <f t="shared" si="754"/>
        <v>0</v>
      </c>
      <c r="N4837" s="11">
        <f t="shared" si="755"/>
        <v>0</v>
      </c>
      <c r="O4837" s="11">
        <f t="shared" si="756"/>
        <v>0</v>
      </c>
      <c r="P4837" s="12">
        <f t="shared" si="757"/>
        <v>0</v>
      </c>
      <c r="Q4837" s="17" t="str">
        <f t="shared" si="759"/>
        <v>Pas d'écart</v>
      </c>
    </row>
    <row r="4838" spans="1:18" x14ac:dyDescent="0.3">
      <c r="A4838" s="34" t="str">
        <f>base!J4838</f>
        <v>LM</v>
      </c>
      <c r="B4838" s="34" t="str">
        <f>base!V4838</f>
        <v>49000</v>
      </c>
      <c r="C4838" s="37">
        <v>44</v>
      </c>
      <c r="D4838" s="36">
        <f>base!H4838</f>
        <v>33.35</v>
      </c>
      <c r="E4838" s="44"/>
      <c r="F4838" s="16">
        <f>base!W4838</f>
        <v>9</v>
      </c>
      <c r="G4838" s="11">
        <f t="shared" si="750"/>
        <v>0.26986506746626687</v>
      </c>
      <c r="H4838" s="11">
        <f t="shared" si="751"/>
        <v>9.0045000000000002</v>
      </c>
      <c r="I4838" s="11">
        <f t="shared" si="752"/>
        <v>0.27</v>
      </c>
      <c r="J4838" s="12">
        <f t="shared" si="753"/>
        <v>-4.5000000000001705E-3</v>
      </c>
      <c r="K4838" s="17" t="str">
        <f t="shared" si="758"/>
        <v>Ecart négatif</v>
      </c>
      <c r="L4838" s="16">
        <f>base!X4838</f>
        <v>0</v>
      </c>
      <c r="M4838" s="11">
        <f t="shared" si="754"/>
        <v>0</v>
      </c>
      <c r="N4838" s="11">
        <f t="shared" si="755"/>
        <v>0</v>
      </c>
      <c r="O4838" s="11">
        <f t="shared" si="756"/>
        <v>0</v>
      </c>
      <c r="P4838" s="12">
        <f t="shared" si="757"/>
        <v>0</v>
      </c>
      <c r="Q4838" s="17" t="str">
        <f t="shared" si="759"/>
        <v>Pas d'écart</v>
      </c>
    </row>
    <row r="4839" spans="1:18" x14ac:dyDescent="0.3">
      <c r="A4839" s="34" t="str">
        <f>base!J4839</f>
        <v>DLS</v>
      </c>
      <c r="B4839" s="34" t="str">
        <f>base!V4839</f>
        <v>85000</v>
      </c>
      <c r="C4839" s="37">
        <v>85</v>
      </c>
      <c r="D4839" s="36">
        <f>base!H4839</f>
        <v>40</v>
      </c>
      <c r="E4839" s="44"/>
      <c r="F4839" s="16">
        <f>base!W4839</f>
        <v>0</v>
      </c>
      <c r="G4839" s="11">
        <f t="shared" si="750"/>
        <v>0</v>
      </c>
      <c r="H4839" s="11">
        <f t="shared" si="751"/>
        <v>10.8</v>
      </c>
      <c r="I4839" s="11">
        <f t="shared" si="752"/>
        <v>0.27</v>
      </c>
      <c r="J4839" s="12">
        <f t="shared" si="753"/>
        <v>-10.8</v>
      </c>
      <c r="K4839" s="17" t="str">
        <f t="shared" si="758"/>
        <v>Ecart négatif</v>
      </c>
      <c r="L4839" s="16">
        <f>base!X4839</f>
        <v>0</v>
      </c>
      <c r="M4839" s="11">
        <f t="shared" si="754"/>
        <v>0</v>
      </c>
      <c r="N4839" s="11">
        <f t="shared" si="755"/>
        <v>0</v>
      </c>
      <c r="O4839" s="11">
        <f t="shared" si="756"/>
        <v>0</v>
      </c>
      <c r="P4839" s="12">
        <f t="shared" si="757"/>
        <v>0</v>
      </c>
      <c r="Q4839" s="17" t="str">
        <f t="shared" si="759"/>
        <v>Pas d'écart</v>
      </c>
    </row>
    <row r="4840" spans="1:18" x14ac:dyDescent="0.3">
      <c r="A4840" s="34">
        <f>base!J4840</f>
        <v>0</v>
      </c>
      <c r="B4840" s="34" t="str">
        <f>base!V4840</f>
        <v>77184</v>
      </c>
      <c r="C4840" s="37">
        <v>77</v>
      </c>
      <c r="D4840" s="36">
        <f>base!H4840</f>
        <v>140</v>
      </c>
      <c r="E4840" s="44"/>
      <c r="F4840" s="16">
        <f>base!W4840</f>
        <v>0</v>
      </c>
      <c r="G4840" s="11">
        <f t="shared" si="750"/>
        <v>0</v>
      </c>
      <c r="H4840" s="11">
        <f t="shared" si="751"/>
        <v>0</v>
      </c>
      <c r="I4840" s="11">
        <f t="shared" si="752"/>
        <v>0</v>
      </c>
      <c r="J4840" s="12">
        <f t="shared" si="753"/>
        <v>0</v>
      </c>
      <c r="K4840" s="17" t="str">
        <f t="shared" si="758"/>
        <v>Pas d'écart</v>
      </c>
      <c r="L4840" s="16">
        <f>base!X4840</f>
        <v>0</v>
      </c>
      <c r="M4840" s="11">
        <f t="shared" si="754"/>
        <v>0</v>
      </c>
      <c r="N4840" s="11">
        <f t="shared" si="755"/>
        <v>0</v>
      </c>
      <c r="O4840" s="11">
        <f t="shared" si="756"/>
        <v>0</v>
      </c>
      <c r="P4840" s="12">
        <f t="shared" si="757"/>
        <v>0</v>
      </c>
      <c r="Q4840" s="17" t="str">
        <f t="shared" si="759"/>
        <v>Pas d'écart</v>
      </c>
    </row>
    <row r="4841" spans="1:18" x14ac:dyDescent="0.3">
      <c r="A4841" s="34" t="str">
        <f>base!J4841</f>
        <v>LS</v>
      </c>
      <c r="B4841" s="34" t="str">
        <f>base!V4841</f>
        <v>51100</v>
      </c>
      <c r="C4841" s="37">
        <v>73</v>
      </c>
      <c r="D4841" s="36">
        <f>base!H4841</f>
        <v>307.01</v>
      </c>
      <c r="E4841" s="44"/>
      <c r="F4841" s="16">
        <f>base!W4841</f>
        <v>76.75</v>
      </c>
      <c r="G4841" s="11">
        <f t="shared" si="750"/>
        <v>0.2499918569427706</v>
      </c>
      <c r="H4841" s="11">
        <f t="shared" si="751"/>
        <v>82.892700000000005</v>
      </c>
      <c r="I4841" s="11">
        <f t="shared" si="752"/>
        <v>0.27</v>
      </c>
      <c r="J4841" s="12">
        <f t="shared" si="753"/>
        <v>-6.1427000000000049</v>
      </c>
      <c r="K4841" s="17" t="str">
        <f t="shared" si="758"/>
        <v>Ecart négatif</v>
      </c>
      <c r="L4841" s="16">
        <f>base!X4841</f>
        <v>0</v>
      </c>
      <c r="M4841" s="11">
        <f t="shared" si="754"/>
        <v>0</v>
      </c>
      <c r="N4841" s="11">
        <f t="shared" si="755"/>
        <v>0</v>
      </c>
      <c r="O4841" s="11">
        <f t="shared" si="756"/>
        <v>0</v>
      </c>
      <c r="P4841" s="12">
        <f t="shared" si="757"/>
        <v>0</v>
      </c>
      <c r="Q4841" s="17" t="str">
        <f t="shared" si="759"/>
        <v>Pas d'écart</v>
      </c>
    </row>
    <row r="4842" spans="1:18" x14ac:dyDescent="0.3">
      <c r="A4842" s="34" t="str">
        <f>base!J4842</f>
        <v>RM</v>
      </c>
      <c r="B4842" s="34" t="str">
        <f>base!V4842</f>
        <v>54000</v>
      </c>
      <c r="C4842" s="37">
        <v>54</v>
      </c>
      <c r="D4842" s="36">
        <f>base!H4842</f>
        <v>37.24</v>
      </c>
      <c r="E4842" s="44"/>
      <c r="F4842" s="16">
        <f>base!W4842</f>
        <v>0</v>
      </c>
      <c r="G4842" s="11">
        <f t="shared" si="750"/>
        <v>0</v>
      </c>
      <c r="H4842" s="11">
        <f t="shared" si="751"/>
        <v>9.31</v>
      </c>
      <c r="I4842" s="11">
        <f t="shared" si="752"/>
        <v>0.25</v>
      </c>
      <c r="J4842" s="12">
        <f t="shared" si="753"/>
        <v>-9.31</v>
      </c>
      <c r="K4842" s="17" t="str">
        <f t="shared" si="758"/>
        <v>Ecart négatif</v>
      </c>
      <c r="L4842" s="16">
        <f>base!X4842</f>
        <v>9.31</v>
      </c>
      <c r="M4842" s="11">
        <f t="shared" si="754"/>
        <v>0.25</v>
      </c>
      <c r="N4842" s="11">
        <f t="shared" si="755"/>
        <v>9.31</v>
      </c>
      <c r="O4842" s="11">
        <f t="shared" si="756"/>
        <v>0.25</v>
      </c>
      <c r="P4842" s="12">
        <f t="shared" si="757"/>
        <v>0</v>
      </c>
      <c r="Q4842" s="17" t="str">
        <f t="shared" si="759"/>
        <v>Pas d'écart</v>
      </c>
      <c r="R4842" s="38"/>
    </row>
    <row r="4843" spans="1:18" x14ac:dyDescent="0.3">
      <c r="A4843" s="34" t="str">
        <f>base!J4843</f>
        <v>LM</v>
      </c>
      <c r="B4843" s="34" t="str">
        <f>base!V4843</f>
        <v>06560</v>
      </c>
      <c r="C4843" s="37">
        <v>1</v>
      </c>
      <c r="D4843" s="36">
        <f>base!H4843</f>
        <v>19.89</v>
      </c>
      <c r="E4843" s="44"/>
      <c r="F4843" s="16">
        <f>base!W4843</f>
        <v>5.97</v>
      </c>
      <c r="G4843" s="11">
        <f t="shared" si="750"/>
        <v>0.30015082956259426</v>
      </c>
      <c r="H4843" s="11">
        <f t="shared" si="751"/>
        <v>5.1714000000000002</v>
      </c>
      <c r="I4843" s="11">
        <f t="shared" si="752"/>
        <v>0.26</v>
      </c>
      <c r="J4843" s="12">
        <f t="shared" si="753"/>
        <v>0.79859999999999953</v>
      </c>
      <c r="K4843" s="17" t="str">
        <f t="shared" si="758"/>
        <v>Ecart positif</v>
      </c>
      <c r="L4843" s="16">
        <f>base!X4843</f>
        <v>0</v>
      </c>
      <c r="M4843" s="11">
        <f t="shared" si="754"/>
        <v>0</v>
      </c>
      <c r="N4843" s="11">
        <f t="shared" si="755"/>
        <v>0</v>
      </c>
      <c r="O4843" s="11">
        <f t="shared" si="756"/>
        <v>0</v>
      </c>
      <c r="P4843" s="12">
        <f t="shared" si="757"/>
        <v>0</v>
      </c>
      <c r="Q4843" s="17" t="str">
        <f t="shared" si="759"/>
        <v>Pas d'écart</v>
      </c>
    </row>
    <row r="4844" spans="1:18" x14ac:dyDescent="0.3">
      <c r="A4844" s="34" t="str">
        <f>base!J4844</f>
        <v>LM</v>
      </c>
      <c r="B4844" s="34" t="str">
        <f>base!V4844</f>
        <v>06560</v>
      </c>
      <c r="C4844" s="37">
        <v>1</v>
      </c>
      <c r="D4844" s="36">
        <f>base!H4844</f>
        <v>19.89</v>
      </c>
      <c r="E4844" s="44"/>
      <c r="F4844" s="16">
        <f>base!W4844</f>
        <v>5.97</v>
      </c>
      <c r="G4844" s="11">
        <f t="shared" si="750"/>
        <v>0.30015082956259426</v>
      </c>
      <c r="H4844" s="11">
        <f t="shared" si="751"/>
        <v>5.1714000000000002</v>
      </c>
      <c r="I4844" s="11">
        <f t="shared" si="752"/>
        <v>0.26</v>
      </c>
      <c r="J4844" s="12">
        <f t="shared" si="753"/>
        <v>0.79859999999999953</v>
      </c>
      <c r="K4844" s="17" t="str">
        <f t="shared" si="758"/>
        <v>Ecart positif</v>
      </c>
      <c r="L4844" s="16">
        <f>base!X4844</f>
        <v>0</v>
      </c>
      <c r="M4844" s="11">
        <f t="shared" si="754"/>
        <v>0</v>
      </c>
      <c r="N4844" s="11">
        <f t="shared" si="755"/>
        <v>0</v>
      </c>
      <c r="O4844" s="11">
        <f t="shared" si="756"/>
        <v>0</v>
      </c>
      <c r="P4844" s="12">
        <f t="shared" si="757"/>
        <v>0</v>
      </c>
      <c r="Q4844" s="17" t="str">
        <f t="shared" si="759"/>
        <v>Pas d'écart</v>
      </c>
    </row>
    <row r="4845" spans="1:18" x14ac:dyDescent="0.3">
      <c r="A4845" s="34" t="str">
        <f>base!J4845</f>
        <v>LS</v>
      </c>
      <c r="B4845" s="34" t="str">
        <f>base!V4845</f>
        <v>30900</v>
      </c>
      <c r="C4845" s="37">
        <v>6</v>
      </c>
      <c r="D4845" s="36">
        <f>base!H4845</f>
        <v>8.36</v>
      </c>
      <c r="E4845" s="44"/>
      <c r="F4845" s="16">
        <f>base!W4845</f>
        <v>3.26</v>
      </c>
      <c r="G4845" s="11">
        <f t="shared" si="750"/>
        <v>0.38995215311004783</v>
      </c>
      <c r="H4845" s="11">
        <f t="shared" si="751"/>
        <v>2.5079999999999996</v>
      </c>
      <c r="I4845" s="11">
        <f t="shared" si="752"/>
        <v>0.3</v>
      </c>
      <c r="J4845" s="12">
        <f t="shared" si="753"/>
        <v>0.75200000000000022</v>
      </c>
      <c r="K4845" s="17" t="str">
        <f t="shared" si="758"/>
        <v>Ecart positif</v>
      </c>
      <c r="L4845" s="16">
        <f>base!X4845</f>
        <v>0</v>
      </c>
      <c r="M4845" s="11">
        <f t="shared" si="754"/>
        <v>0</v>
      </c>
      <c r="N4845" s="11">
        <f t="shared" si="755"/>
        <v>1.7555999999999998</v>
      </c>
      <c r="O4845" s="11">
        <f t="shared" si="756"/>
        <v>0.21</v>
      </c>
      <c r="P4845" s="12">
        <f t="shared" si="757"/>
        <v>-1.7555999999999998</v>
      </c>
      <c r="Q4845" s="17" t="str">
        <f t="shared" si="759"/>
        <v>Ecart négatif</v>
      </c>
    </row>
    <row r="4846" spans="1:18" x14ac:dyDescent="0.3">
      <c r="A4846" s="34" t="str">
        <f>base!J4846</f>
        <v>LM</v>
      </c>
      <c r="B4846" s="34" t="str">
        <f>base!V4846</f>
        <v>80400</v>
      </c>
      <c r="C4846" s="37">
        <v>6</v>
      </c>
      <c r="D4846" s="36">
        <f>base!H4846</f>
        <v>185.14</v>
      </c>
      <c r="E4846" s="44"/>
      <c r="F4846" s="16">
        <f>base!W4846</f>
        <v>35.18</v>
      </c>
      <c r="G4846" s="11">
        <f t="shared" si="750"/>
        <v>0.19001836448093337</v>
      </c>
      <c r="H4846" s="11">
        <f t="shared" si="751"/>
        <v>55.541999999999994</v>
      </c>
      <c r="I4846" s="11">
        <f t="shared" si="752"/>
        <v>0.3</v>
      </c>
      <c r="J4846" s="12">
        <f t="shared" si="753"/>
        <v>-20.361999999999995</v>
      </c>
      <c r="K4846" s="17" t="str">
        <f t="shared" si="758"/>
        <v>Ecart négatif</v>
      </c>
      <c r="L4846" s="16">
        <f>base!X4846</f>
        <v>0</v>
      </c>
      <c r="M4846" s="11">
        <f t="shared" si="754"/>
        <v>0</v>
      </c>
      <c r="N4846" s="11">
        <f t="shared" si="755"/>
        <v>38.879399999999997</v>
      </c>
      <c r="O4846" s="11">
        <f t="shared" si="756"/>
        <v>0.21</v>
      </c>
      <c r="P4846" s="12">
        <f t="shared" si="757"/>
        <v>-38.879399999999997</v>
      </c>
      <c r="Q4846" s="17" t="str">
        <f t="shared" si="759"/>
        <v>Ecart négatif</v>
      </c>
    </row>
    <row r="4847" spans="1:18" x14ac:dyDescent="0.3">
      <c r="A4847" s="34" t="str">
        <f>base!J4847</f>
        <v>LS</v>
      </c>
      <c r="B4847" s="34" t="str">
        <f>base!V4847</f>
        <v>13009</v>
      </c>
      <c r="C4847" s="37">
        <v>6</v>
      </c>
      <c r="D4847" s="36">
        <f>base!H4847</f>
        <v>18.350000000000001</v>
      </c>
      <c r="E4847" s="44"/>
      <c r="F4847" s="16">
        <f>base!W4847</f>
        <v>5.32</v>
      </c>
      <c r="G4847" s="11">
        <f t="shared" si="750"/>
        <v>0.2899182561307902</v>
      </c>
      <c r="H4847" s="11">
        <f t="shared" si="751"/>
        <v>5.5049999999999999</v>
      </c>
      <c r="I4847" s="11">
        <f t="shared" si="752"/>
        <v>0.3</v>
      </c>
      <c r="J4847" s="12">
        <f t="shared" si="753"/>
        <v>-0.18499999999999961</v>
      </c>
      <c r="K4847" s="17" t="str">
        <f t="shared" si="758"/>
        <v>Ecart négatif</v>
      </c>
      <c r="L4847" s="16">
        <f>base!X4847</f>
        <v>0</v>
      </c>
      <c r="M4847" s="11">
        <f t="shared" si="754"/>
        <v>0</v>
      </c>
      <c r="N4847" s="11">
        <f t="shared" si="755"/>
        <v>3.8535000000000004</v>
      </c>
      <c r="O4847" s="11">
        <f t="shared" si="756"/>
        <v>0.21</v>
      </c>
      <c r="P4847" s="12">
        <f t="shared" si="757"/>
        <v>-3.8535000000000004</v>
      </c>
      <c r="Q4847" s="17" t="str">
        <f t="shared" si="759"/>
        <v>Ecart négatif</v>
      </c>
    </row>
    <row r="4848" spans="1:18" x14ac:dyDescent="0.3">
      <c r="A4848" s="34" t="str">
        <f>base!J4848</f>
        <v>RM</v>
      </c>
      <c r="B4848" s="34" t="str">
        <f>base!V4848</f>
        <v>68520</v>
      </c>
      <c r="C4848" s="37">
        <v>68</v>
      </c>
      <c r="D4848" s="36">
        <f>base!H4848</f>
        <v>40</v>
      </c>
      <c r="E4848" s="44"/>
      <c r="F4848" s="16">
        <f>base!W4848</f>
        <v>0</v>
      </c>
      <c r="G4848" s="11">
        <f t="shared" si="750"/>
        <v>0</v>
      </c>
      <c r="H4848" s="11">
        <f t="shared" si="751"/>
        <v>11.6</v>
      </c>
      <c r="I4848" s="11">
        <f t="shared" si="752"/>
        <v>0.28999999999999998</v>
      </c>
      <c r="J4848" s="12">
        <f t="shared" si="753"/>
        <v>-11.6</v>
      </c>
      <c r="K4848" s="17" t="str">
        <f t="shared" si="758"/>
        <v>Ecart négatif</v>
      </c>
      <c r="L4848" s="16">
        <f>base!X4848</f>
        <v>3.2</v>
      </c>
      <c r="M4848" s="11">
        <f t="shared" si="754"/>
        <v>0.08</v>
      </c>
      <c r="N4848" s="11">
        <f t="shared" si="755"/>
        <v>3.2</v>
      </c>
      <c r="O4848" s="11">
        <f t="shared" si="756"/>
        <v>0.08</v>
      </c>
      <c r="P4848" s="12">
        <f t="shared" si="757"/>
        <v>0</v>
      </c>
      <c r="Q4848" s="17" t="str">
        <f t="shared" si="759"/>
        <v>Pas d'écart</v>
      </c>
      <c r="R4848" s="38"/>
    </row>
    <row r="4849" spans="1:18" x14ac:dyDescent="0.3">
      <c r="A4849" s="34" t="str">
        <f>base!J4849</f>
        <v>DLM</v>
      </c>
      <c r="B4849" s="34" t="str">
        <f>base!V4849</f>
        <v>75116</v>
      </c>
      <c r="C4849" s="37">
        <v>75</v>
      </c>
      <c r="D4849" s="36">
        <f>base!H4849</f>
        <v>40</v>
      </c>
      <c r="E4849" s="44"/>
      <c r="F4849" s="16">
        <f>base!W4849</f>
        <v>0</v>
      </c>
      <c r="G4849" s="11">
        <f t="shared" si="750"/>
        <v>0</v>
      </c>
      <c r="H4849" s="11">
        <f t="shared" si="751"/>
        <v>0</v>
      </c>
      <c r="I4849" s="11">
        <f t="shared" si="752"/>
        <v>0</v>
      </c>
      <c r="J4849" s="12">
        <f t="shared" si="753"/>
        <v>0</v>
      </c>
      <c r="K4849" s="17" t="str">
        <f t="shared" si="758"/>
        <v>Pas d'écart</v>
      </c>
      <c r="L4849" s="16">
        <f>base!X4849</f>
        <v>0</v>
      </c>
      <c r="M4849" s="11">
        <f t="shared" si="754"/>
        <v>0</v>
      </c>
      <c r="N4849" s="11">
        <f t="shared" si="755"/>
        <v>0</v>
      </c>
      <c r="O4849" s="11">
        <f t="shared" si="756"/>
        <v>0</v>
      </c>
      <c r="P4849" s="12">
        <f t="shared" si="757"/>
        <v>0</v>
      </c>
      <c r="Q4849" s="17" t="str">
        <f t="shared" si="759"/>
        <v>Pas d'écart</v>
      </c>
    </row>
    <row r="4850" spans="1:18" x14ac:dyDescent="0.3">
      <c r="A4850" s="34" t="str">
        <f>base!J4850</f>
        <v>DLM</v>
      </c>
      <c r="B4850" s="34" t="str">
        <f>base!V4850</f>
        <v>75116</v>
      </c>
      <c r="C4850" s="37">
        <v>75</v>
      </c>
      <c r="D4850" s="36">
        <f>base!H4850</f>
        <v>180.86</v>
      </c>
      <c r="E4850" s="44"/>
      <c r="F4850" s="16">
        <f>base!W4850</f>
        <v>0</v>
      </c>
      <c r="G4850" s="11">
        <f t="shared" si="750"/>
        <v>0</v>
      </c>
      <c r="H4850" s="11">
        <f t="shared" si="751"/>
        <v>0</v>
      </c>
      <c r="I4850" s="11">
        <f t="shared" si="752"/>
        <v>0</v>
      </c>
      <c r="J4850" s="12">
        <f t="shared" si="753"/>
        <v>0</v>
      </c>
      <c r="K4850" s="17" t="str">
        <f t="shared" si="758"/>
        <v>Pas d'écart</v>
      </c>
      <c r="L4850" s="16">
        <f>base!X4850</f>
        <v>0</v>
      </c>
      <c r="M4850" s="11">
        <f t="shared" si="754"/>
        <v>0</v>
      </c>
      <c r="N4850" s="11">
        <f t="shared" si="755"/>
        <v>0</v>
      </c>
      <c r="O4850" s="11">
        <f t="shared" si="756"/>
        <v>0</v>
      </c>
      <c r="P4850" s="12">
        <f t="shared" si="757"/>
        <v>0</v>
      </c>
      <c r="Q4850" s="17" t="str">
        <f t="shared" si="759"/>
        <v>Pas d'écart</v>
      </c>
    </row>
    <row r="4851" spans="1:18" x14ac:dyDescent="0.3">
      <c r="A4851" s="34" t="str">
        <f>base!J4851</f>
        <v>LS</v>
      </c>
      <c r="B4851" s="34" t="str">
        <f>base!V4851</f>
        <v>57200</v>
      </c>
      <c r="C4851" s="37">
        <v>6</v>
      </c>
      <c r="D4851" s="36">
        <f>base!H4851</f>
        <v>131.18</v>
      </c>
      <c r="E4851" s="44"/>
      <c r="F4851" s="16">
        <f>base!W4851</f>
        <v>32.799999999999997</v>
      </c>
      <c r="G4851" s="11">
        <f t="shared" si="750"/>
        <v>0.25003811556639727</v>
      </c>
      <c r="H4851" s="11">
        <f t="shared" si="751"/>
        <v>39.353999999999999</v>
      </c>
      <c r="I4851" s="11">
        <f t="shared" si="752"/>
        <v>0.3</v>
      </c>
      <c r="J4851" s="12">
        <f t="shared" si="753"/>
        <v>-6.554000000000002</v>
      </c>
      <c r="K4851" s="17" t="str">
        <f t="shared" si="758"/>
        <v>Ecart négatif</v>
      </c>
      <c r="L4851" s="16">
        <f>base!X4851</f>
        <v>0</v>
      </c>
      <c r="M4851" s="11">
        <f t="shared" si="754"/>
        <v>0</v>
      </c>
      <c r="N4851" s="11">
        <f t="shared" si="755"/>
        <v>27.547799999999999</v>
      </c>
      <c r="O4851" s="11">
        <f t="shared" si="756"/>
        <v>0.21</v>
      </c>
      <c r="P4851" s="12">
        <f t="shared" si="757"/>
        <v>-27.547799999999999</v>
      </c>
      <c r="Q4851" s="17" t="str">
        <f t="shared" si="759"/>
        <v>Ecart négatif</v>
      </c>
    </row>
    <row r="4852" spans="1:18" x14ac:dyDescent="0.3">
      <c r="A4852" s="34" t="str">
        <f>base!J4852</f>
        <v>LS</v>
      </c>
      <c r="B4852" s="34" t="str">
        <f>base!V4852</f>
        <v>38690</v>
      </c>
      <c r="C4852" s="37">
        <v>6</v>
      </c>
      <c r="D4852" s="36">
        <f>base!H4852</f>
        <v>19.649999999999999</v>
      </c>
      <c r="E4852" s="44"/>
      <c r="F4852" s="16">
        <f>base!W4852</f>
        <v>5.31</v>
      </c>
      <c r="G4852" s="11">
        <f t="shared" si="750"/>
        <v>0.27022900763358776</v>
      </c>
      <c r="H4852" s="11">
        <f t="shared" si="751"/>
        <v>5.8949999999999996</v>
      </c>
      <c r="I4852" s="11">
        <f t="shared" si="752"/>
        <v>0.3</v>
      </c>
      <c r="J4852" s="12">
        <f t="shared" si="753"/>
        <v>-0.58499999999999996</v>
      </c>
      <c r="K4852" s="17" t="str">
        <f t="shared" si="758"/>
        <v>Ecart négatif</v>
      </c>
      <c r="L4852" s="16">
        <f>base!X4852</f>
        <v>0</v>
      </c>
      <c r="M4852" s="11">
        <f t="shared" si="754"/>
        <v>0</v>
      </c>
      <c r="N4852" s="11">
        <f t="shared" si="755"/>
        <v>4.1264999999999992</v>
      </c>
      <c r="O4852" s="11">
        <f t="shared" si="756"/>
        <v>0.20999999999999996</v>
      </c>
      <c r="P4852" s="12">
        <f t="shared" si="757"/>
        <v>-4.1264999999999992</v>
      </c>
      <c r="Q4852" s="17" t="str">
        <f t="shared" si="759"/>
        <v>Ecart négatif</v>
      </c>
    </row>
    <row r="4853" spans="1:18" x14ac:dyDescent="0.3">
      <c r="A4853" s="34" t="str">
        <f>base!J4853</f>
        <v>LS</v>
      </c>
      <c r="B4853" s="34" t="str">
        <f>base!V4853</f>
        <v>75007</v>
      </c>
      <c r="C4853" s="37">
        <v>75</v>
      </c>
      <c r="D4853" s="36">
        <f>base!H4853</f>
        <v>141.72</v>
      </c>
      <c r="E4853" s="44"/>
      <c r="F4853" s="16">
        <f>base!W4853</f>
        <v>0</v>
      </c>
      <c r="G4853" s="11">
        <f t="shared" si="750"/>
        <v>0</v>
      </c>
      <c r="H4853" s="11">
        <f t="shared" si="751"/>
        <v>0</v>
      </c>
      <c r="I4853" s="11">
        <f t="shared" si="752"/>
        <v>0</v>
      </c>
      <c r="J4853" s="12">
        <f t="shared" si="753"/>
        <v>0</v>
      </c>
      <c r="K4853" s="17" t="str">
        <f t="shared" si="758"/>
        <v>Pas d'écart</v>
      </c>
      <c r="L4853" s="16">
        <f>base!X4853</f>
        <v>0</v>
      </c>
      <c r="M4853" s="11">
        <f t="shared" si="754"/>
        <v>0</v>
      </c>
      <c r="N4853" s="11">
        <f t="shared" si="755"/>
        <v>0</v>
      </c>
      <c r="O4853" s="11">
        <f t="shared" si="756"/>
        <v>0</v>
      </c>
      <c r="P4853" s="12">
        <f t="shared" si="757"/>
        <v>0</v>
      </c>
      <c r="Q4853" s="17" t="str">
        <f t="shared" si="759"/>
        <v>Pas d'écart</v>
      </c>
    </row>
    <row r="4854" spans="1:18" x14ac:dyDescent="0.3">
      <c r="A4854" s="34" t="str">
        <f>base!J4854</f>
        <v>LS</v>
      </c>
      <c r="B4854" s="34" t="str">
        <f>base!V4854</f>
        <v>43770</v>
      </c>
      <c r="C4854" s="37">
        <v>69</v>
      </c>
      <c r="D4854" s="36">
        <f>base!H4854</f>
        <v>18.350000000000001</v>
      </c>
      <c r="E4854" s="44"/>
      <c r="F4854" s="16">
        <f>base!W4854</f>
        <v>5.32</v>
      </c>
      <c r="G4854" s="11">
        <f t="shared" si="750"/>
        <v>0.2899182561307902</v>
      </c>
      <c r="H4854" s="11">
        <f t="shared" si="751"/>
        <v>4.9545000000000003</v>
      </c>
      <c r="I4854" s="11">
        <f t="shared" si="752"/>
        <v>0.27</v>
      </c>
      <c r="J4854" s="12">
        <f t="shared" si="753"/>
        <v>0.36549999999999994</v>
      </c>
      <c r="K4854" s="17" t="str">
        <f t="shared" si="758"/>
        <v>Ecart positif</v>
      </c>
      <c r="L4854" s="16">
        <f>base!X4854</f>
        <v>0</v>
      </c>
      <c r="M4854" s="11">
        <f t="shared" si="754"/>
        <v>0</v>
      </c>
      <c r="N4854" s="11">
        <f t="shared" si="755"/>
        <v>0</v>
      </c>
      <c r="O4854" s="11">
        <f t="shared" si="756"/>
        <v>0</v>
      </c>
      <c r="P4854" s="12">
        <f t="shared" si="757"/>
        <v>0</v>
      </c>
      <c r="Q4854" s="17" t="str">
        <f t="shared" si="759"/>
        <v>Pas d'écart</v>
      </c>
    </row>
    <row r="4855" spans="1:18" x14ac:dyDescent="0.3">
      <c r="A4855" s="34" t="str">
        <f>base!J4855</f>
        <v>RM</v>
      </c>
      <c r="B4855" s="34" t="str">
        <f>base!V4855</f>
        <v>75010</v>
      </c>
      <c r="C4855" s="37">
        <v>75</v>
      </c>
      <c r="D4855" s="36">
        <f>base!H4855</f>
        <v>25</v>
      </c>
      <c r="E4855" s="44"/>
      <c r="F4855" s="16">
        <f>base!W4855</f>
        <v>0</v>
      </c>
      <c r="G4855" s="11">
        <f t="shared" si="750"/>
        <v>0</v>
      </c>
      <c r="H4855" s="11">
        <f t="shared" si="751"/>
        <v>0</v>
      </c>
      <c r="I4855" s="11">
        <f t="shared" si="752"/>
        <v>0</v>
      </c>
      <c r="J4855" s="12">
        <f t="shared" si="753"/>
        <v>0</v>
      </c>
      <c r="K4855" s="17" t="str">
        <f t="shared" si="758"/>
        <v>Pas d'écart</v>
      </c>
      <c r="L4855" s="16">
        <f>base!X4855</f>
        <v>0</v>
      </c>
      <c r="M4855" s="11">
        <f t="shared" si="754"/>
        <v>0</v>
      </c>
      <c r="N4855" s="11">
        <f t="shared" si="755"/>
        <v>0</v>
      </c>
      <c r="O4855" s="11">
        <f t="shared" si="756"/>
        <v>0</v>
      </c>
      <c r="P4855" s="12">
        <f t="shared" si="757"/>
        <v>0</v>
      </c>
      <c r="Q4855" s="17" t="str">
        <f t="shared" si="759"/>
        <v>Pas d'écart</v>
      </c>
    </row>
    <row r="4856" spans="1:18" x14ac:dyDescent="0.3">
      <c r="A4856" s="34" t="str">
        <f>base!J4856</f>
        <v>RM</v>
      </c>
      <c r="B4856" s="34" t="str">
        <f>base!V4856</f>
        <v>27400</v>
      </c>
      <c r="C4856" s="37">
        <v>27</v>
      </c>
      <c r="D4856" s="36">
        <f>base!H4856</f>
        <v>299</v>
      </c>
      <c r="E4856" s="44"/>
      <c r="F4856" s="16">
        <f>base!W4856</f>
        <v>0</v>
      </c>
      <c r="G4856" s="11">
        <f t="shared" si="750"/>
        <v>0</v>
      </c>
      <c r="H4856" s="11">
        <f t="shared" si="751"/>
        <v>50.830000000000005</v>
      </c>
      <c r="I4856" s="11">
        <f t="shared" si="752"/>
        <v>0.17</v>
      </c>
      <c r="J4856" s="12">
        <f t="shared" si="753"/>
        <v>-50.830000000000005</v>
      </c>
      <c r="K4856" s="17" t="str">
        <f t="shared" si="758"/>
        <v>Ecart négatif</v>
      </c>
      <c r="L4856" s="16">
        <f>base!X4856</f>
        <v>50.83</v>
      </c>
      <c r="M4856" s="11">
        <f t="shared" si="754"/>
        <v>0.16999999999999998</v>
      </c>
      <c r="N4856" s="11">
        <f t="shared" si="755"/>
        <v>50.830000000000005</v>
      </c>
      <c r="O4856" s="11">
        <f t="shared" si="756"/>
        <v>0.17</v>
      </c>
      <c r="P4856" s="12">
        <f t="shared" si="757"/>
        <v>0</v>
      </c>
      <c r="Q4856" s="17" t="str">
        <f t="shared" si="759"/>
        <v>Pas d'écart</v>
      </c>
      <c r="R4856" s="38"/>
    </row>
    <row r="4857" spans="1:18" x14ac:dyDescent="0.3">
      <c r="A4857" s="34" t="str">
        <f>base!J4857</f>
        <v>LS</v>
      </c>
      <c r="B4857" s="34" t="str">
        <f>base!V4857</f>
        <v>19100</v>
      </c>
      <c r="C4857" s="37">
        <v>44</v>
      </c>
      <c r="D4857" s="36">
        <f>base!H4857</f>
        <v>100.42</v>
      </c>
      <c r="E4857" s="44"/>
      <c r="F4857" s="16">
        <f>base!W4857</f>
        <v>29.12</v>
      </c>
      <c r="G4857" s="11">
        <f t="shared" si="750"/>
        <v>0.28998207528380804</v>
      </c>
      <c r="H4857" s="11">
        <f t="shared" si="751"/>
        <v>27.113400000000002</v>
      </c>
      <c r="I4857" s="11">
        <f t="shared" si="752"/>
        <v>0.27</v>
      </c>
      <c r="J4857" s="12">
        <f t="shared" si="753"/>
        <v>2.0065999999999988</v>
      </c>
      <c r="K4857" s="17" t="str">
        <f t="shared" si="758"/>
        <v>Ecart positif</v>
      </c>
      <c r="L4857" s="16">
        <f>base!X4857</f>
        <v>0</v>
      </c>
      <c r="M4857" s="11">
        <f t="shared" si="754"/>
        <v>0</v>
      </c>
      <c r="N4857" s="11">
        <f t="shared" si="755"/>
        <v>0</v>
      </c>
      <c r="O4857" s="11">
        <f t="shared" si="756"/>
        <v>0</v>
      </c>
      <c r="P4857" s="12">
        <f t="shared" si="757"/>
        <v>0</v>
      </c>
      <c r="Q4857" s="17" t="str">
        <f t="shared" si="759"/>
        <v>Pas d'écart</v>
      </c>
    </row>
    <row r="4858" spans="1:18" x14ac:dyDescent="0.3">
      <c r="A4858" s="34" t="str">
        <f>base!J4858</f>
        <v>LS</v>
      </c>
      <c r="B4858" s="34" t="str">
        <f>base!V4858</f>
        <v>19100</v>
      </c>
      <c r="C4858" s="37">
        <v>69</v>
      </c>
      <c r="D4858" s="36">
        <f>base!H4858</f>
        <v>100.42</v>
      </c>
      <c r="E4858" s="44"/>
      <c r="F4858" s="16">
        <f>base!W4858</f>
        <v>29.12</v>
      </c>
      <c r="G4858" s="11">
        <f t="shared" si="750"/>
        <v>0.28998207528380804</v>
      </c>
      <c r="H4858" s="11">
        <f t="shared" si="751"/>
        <v>27.113400000000002</v>
      </c>
      <c r="I4858" s="11">
        <f t="shared" si="752"/>
        <v>0.27</v>
      </c>
      <c r="J4858" s="12">
        <f t="shared" si="753"/>
        <v>2.0065999999999988</v>
      </c>
      <c r="K4858" s="17" t="str">
        <f t="shared" si="758"/>
        <v>Ecart positif</v>
      </c>
      <c r="L4858" s="16">
        <f>base!X4858</f>
        <v>0</v>
      </c>
      <c r="M4858" s="11">
        <f t="shared" si="754"/>
        <v>0</v>
      </c>
      <c r="N4858" s="11">
        <f t="shared" si="755"/>
        <v>0</v>
      </c>
      <c r="O4858" s="11">
        <f t="shared" si="756"/>
        <v>0</v>
      </c>
      <c r="P4858" s="12">
        <f t="shared" si="757"/>
        <v>0</v>
      </c>
      <c r="Q4858" s="17" t="str">
        <f t="shared" si="759"/>
        <v>Pas d'écart</v>
      </c>
    </row>
    <row r="4859" spans="1:18" x14ac:dyDescent="0.3">
      <c r="A4859" s="34" t="str">
        <f>base!J4859</f>
        <v>LS</v>
      </c>
      <c r="B4859" s="34" t="str">
        <f>base!V4859</f>
        <v>62580</v>
      </c>
      <c r="C4859" s="37">
        <v>62</v>
      </c>
      <c r="D4859" s="36">
        <f>base!H4859</f>
        <v>70</v>
      </c>
      <c r="E4859" s="44"/>
      <c r="F4859" s="16">
        <f>base!W4859</f>
        <v>13.3</v>
      </c>
      <c r="G4859" s="11">
        <f t="shared" si="750"/>
        <v>0.19</v>
      </c>
      <c r="H4859" s="11">
        <f t="shared" si="751"/>
        <v>13.3</v>
      </c>
      <c r="I4859" s="11">
        <f t="shared" si="752"/>
        <v>0.19</v>
      </c>
      <c r="J4859" s="12">
        <f t="shared" si="753"/>
        <v>0</v>
      </c>
      <c r="K4859" s="17" t="str">
        <f t="shared" si="758"/>
        <v>Pas d'écart</v>
      </c>
      <c r="L4859" s="16">
        <f>base!X4859</f>
        <v>0</v>
      </c>
      <c r="M4859" s="11">
        <f t="shared" si="754"/>
        <v>0</v>
      </c>
      <c r="N4859" s="11">
        <f t="shared" si="755"/>
        <v>0</v>
      </c>
      <c r="O4859" s="11">
        <f t="shared" si="756"/>
        <v>0</v>
      </c>
      <c r="P4859" s="12">
        <f t="shared" si="757"/>
        <v>0</v>
      </c>
      <c r="Q4859" s="17" t="str">
        <f t="shared" si="759"/>
        <v>Pas d'écart</v>
      </c>
    </row>
    <row r="4860" spans="1:18" x14ac:dyDescent="0.3">
      <c r="A4860" s="34" t="str">
        <f>base!J4860</f>
        <v>LS</v>
      </c>
      <c r="B4860" s="34" t="str">
        <f>base!V4860</f>
        <v>19100</v>
      </c>
      <c r="C4860" s="37">
        <v>38</v>
      </c>
      <c r="D4860" s="36">
        <f>base!H4860</f>
        <v>100.42</v>
      </c>
      <c r="E4860" s="44"/>
      <c r="F4860" s="16">
        <f>base!W4860</f>
        <v>29.12</v>
      </c>
      <c r="G4860" s="11">
        <f t="shared" si="750"/>
        <v>0.28998207528380804</v>
      </c>
      <c r="H4860" s="11">
        <f t="shared" si="751"/>
        <v>27.113400000000002</v>
      </c>
      <c r="I4860" s="11">
        <f t="shared" si="752"/>
        <v>0.27</v>
      </c>
      <c r="J4860" s="12">
        <f t="shared" si="753"/>
        <v>2.0065999999999988</v>
      </c>
      <c r="K4860" s="17" t="str">
        <f t="shared" si="758"/>
        <v>Ecart positif</v>
      </c>
      <c r="L4860" s="16">
        <f>base!X4860</f>
        <v>0</v>
      </c>
      <c r="M4860" s="11">
        <f t="shared" si="754"/>
        <v>0</v>
      </c>
      <c r="N4860" s="11">
        <f t="shared" si="755"/>
        <v>0</v>
      </c>
      <c r="O4860" s="11">
        <f t="shared" si="756"/>
        <v>0</v>
      </c>
      <c r="P4860" s="12">
        <f t="shared" si="757"/>
        <v>0</v>
      </c>
      <c r="Q4860" s="17" t="str">
        <f t="shared" si="759"/>
        <v>Pas d'écart</v>
      </c>
    </row>
    <row r="4861" spans="1:18" x14ac:dyDescent="0.3">
      <c r="A4861" s="34" t="str">
        <f>base!J4861</f>
        <v>LS</v>
      </c>
      <c r="B4861" s="34" t="str">
        <f>base!V4861</f>
        <v>35513</v>
      </c>
      <c r="C4861" s="37">
        <v>69</v>
      </c>
      <c r="D4861" s="36">
        <f>base!H4861</f>
        <v>137.01</v>
      </c>
      <c r="E4861" s="44"/>
      <c r="F4861" s="16">
        <f>base!W4861</f>
        <v>36.99</v>
      </c>
      <c r="G4861" s="11">
        <f t="shared" si="750"/>
        <v>0.26998029340924024</v>
      </c>
      <c r="H4861" s="11">
        <f t="shared" si="751"/>
        <v>36.992699999999999</v>
      </c>
      <c r="I4861" s="11">
        <f t="shared" si="752"/>
        <v>0.27</v>
      </c>
      <c r="J4861" s="12">
        <f t="shared" si="753"/>
        <v>-2.6999999999972601E-3</v>
      </c>
      <c r="K4861" s="17" t="str">
        <f t="shared" si="758"/>
        <v>Ecart négatif</v>
      </c>
      <c r="L4861" s="16">
        <f>base!X4861</f>
        <v>0</v>
      </c>
      <c r="M4861" s="11">
        <f t="shared" si="754"/>
        <v>0</v>
      </c>
      <c r="N4861" s="11">
        <f t="shared" si="755"/>
        <v>0</v>
      </c>
      <c r="O4861" s="11">
        <f t="shared" si="756"/>
        <v>0</v>
      </c>
      <c r="P4861" s="12">
        <f t="shared" si="757"/>
        <v>0</v>
      </c>
      <c r="Q4861" s="17" t="str">
        <f t="shared" si="759"/>
        <v>Pas d'écart</v>
      </c>
    </row>
    <row r="4862" spans="1:18" x14ac:dyDescent="0.3">
      <c r="A4862" s="34" t="str">
        <f>base!J4862</f>
        <v>RM</v>
      </c>
      <c r="B4862" s="34" t="str">
        <f>base!V4862</f>
        <v>59260</v>
      </c>
      <c r="C4862" s="37">
        <v>59</v>
      </c>
      <c r="D4862" s="36">
        <f>base!H4862</f>
        <v>185.4</v>
      </c>
      <c r="E4862" s="44"/>
      <c r="F4862" s="16">
        <f>base!W4862</f>
        <v>0</v>
      </c>
      <c r="G4862" s="11">
        <f t="shared" si="750"/>
        <v>0</v>
      </c>
      <c r="H4862" s="11">
        <f t="shared" si="751"/>
        <v>35.225999999999999</v>
      </c>
      <c r="I4862" s="11">
        <f t="shared" si="752"/>
        <v>0.19</v>
      </c>
      <c r="J4862" s="12">
        <f t="shared" si="753"/>
        <v>-35.225999999999999</v>
      </c>
      <c r="K4862" s="17" t="str">
        <f t="shared" si="758"/>
        <v>Ecart négatif</v>
      </c>
      <c r="L4862" s="16">
        <f>base!X4862</f>
        <v>0</v>
      </c>
      <c r="M4862" s="11">
        <f t="shared" si="754"/>
        <v>0</v>
      </c>
      <c r="N4862" s="11">
        <f t="shared" si="755"/>
        <v>0</v>
      </c>
      <c r="O4862" s="11">
        <f t="shared" si="756"/>
        <v>0</v>
      </c>
      <c r="P4862" s="12">
        <f t="shared" si="757"/>
        <v>0</v>
      </c>
      <c r="Q4862" s="17" t="str">
        <f t="shared" si="759"/>
        <v>Pas d'écart</v>
      </c>
    </row>
    <row r="4863" spans="1:18" x14ac:dyDescent="0.3">
      <c r="A4863" s="34" t="str">
        <f>base!J4863</f>
        <v>LS</v>
      </c>
      <c r="B4863" s="34" t="str">
        <f>base!V4863</f>
        <v>29120</v>
      </c>
      <c r="C4863" s="37">
        <v>69</v>
      </c>
      <c r="D4863" s="36">
        <f>base!H4863</f>
        <v>141.65</v>
      </c>
      <c r="E4863" s="44"/>
      <c r="F4863" s="16">
        <f>base!W4863</f>
        <v>55.24</v>
      </c>
      <c r="G4863" s="11">
        <f t="shared" si="750"/>
        <v>0.38997529121073066</v>
      </c>
      <c r="H4863" s="11">
        <f t="shared" si="751"/>
        <v>38.245500000000007</v>
      </c>
      <c r="I4863" s="11">
        <f t="shared" si="752"/>
        <v>0.27</v>
      </c>
      <c r="J4863" s="12">
        <f t="shared" si="753"/>
        <v>16.994499999999995</v>
      </c>
      <c r="K4863" s="17" t="str">
        <f t="shared" si="758"/>
        <v>Ecart positif</v>
      </c>
      <c r="L4863" s="16">
        <f>base!X4863</f>
        <v>0</v>
      </c>
      <c r="M4863" s="11">
        <f t="shared" si="754"/>
        <v>0</v>
      </c>
      <c r="N4863" s="11">
        <f t="shared" si="755"/>
        <v>0</v>
      </c>
      <c r="O4863" s="11">
        <f t="shared" si="756"/>
        <v>0</v>
      </c>
      <c r="P4863" s="12">
        <f t="shared" si="757"/>
        <v>0</v>
      </c>
      <c r="Q4863" s="17" t="str">
        <f t="shared" si="759"/>
        <v>Pas d'écart</v>
      </c>
    </row>
    <row r="4864" spans="1:18" x14ac:dyDescent="0.3">
      <c r="A4864" s="34" t="str">
        <f>base!J4864</f>
        <v>LM</v>
      </c>
      <c r="B4864" s="34" t="str">
        <f>base!V4864</f>
        <v>59230</v>
      </c>
      <c r="C4864" s="37">
        <v>59</v>
      </c>
      <c r="D4864" s="36">
        <f>base!H4864</f>
        <v>40</v>
      </c>
      <c r="E4864" s="44"/>
      <c r="F4864" s="16">
        <f>base!W4864</f>
        <v>7.6</v>
      </c>
      <c r="G4864" s="11">
        <f t="shared" si="750"/>
        <v>0.19</v>
      </c>
      <c r="H4864" s="11">
        <f t="shared" si="751"/>
        <v>7.6</v>
      </c>
      <c r="I4864" s="11">
        <f t="shared" si="752"/>
        <v>0.19</v>
      </c>
      <c r="J4864" s="12">
        <f t="shared" si="753"/>
        <v>0</v>
      </c>
      <c r="K4864" s="17" t="str">
        <f t="shared" si="758"/>
        <v>Pas d'écart</v>
      </c>
      <c r="L4864" s="16">
        <f>base!X4864</f>
        <v>0</v>
      </c>
      <c r="M4864" s="11">
        <f t="shared" si="754"/>
        <v>0</v>
      </c>
      <c r="N4864" s="11">
        <f t="shared" si="755"/>
        <v>0</v>
      </c>
      <c r="O4864" s="11">
        <f t="shared" si="756"/>
        <v>0</v>
      </c>
      <c r="P4864" s="12">
        <f t="shared" si="757"/>
        <v>0</v>
      </c>
      <c r="Q4864" s="17" t="str">
        <f t="shared" si="759"/>
        <v>Pas d'écart</v>
      </c>
    </row>
    <row r="4865" spans="1:18" x14ac:dyDescent="0.3">
      <c r="A4865" s="34" t="str">
        <f>base!J4865</f>
        <v>LM</v>
      </c>
      <c r="B4865" s="34" t="str">
        <f>base!V4865</f>
        <v>35000</v>
      </c>
      <c r="C4865" s="37">
        <v>38</v>
      </c>
      <c r="D4865" s="36">
        <f>base!H4865</f>
        <v>126.65</v>
      </c>
      <c r="E4865" s="44"/>
      <c r="F4865" s="16">
        <f>base!W4865</f>
        <v>34.200000000000003</v>
      </c>
      <c r="G4865" s="11">
        <f t="shared" si="750"/>
        <v>0.27003553099091987</v>
      </c>
      <c r="H4865" s="11">
        <f t="shared" si="751"/>
        <v>34.195500000000003</v>
      </c>
      <c r="I4865" s="11">
        <f t="shared" si="752"/>
        <v>0.27</v>
      </c>
      <c r="J4865" s="12">
        <f t="shared" si="753"/>
        <v>4.5000000000001705E-3</v>
      </c>
      <c r="K4865" s="17" t="str">
        <f t="shared" si="758"/>
        <v>Ecart positif</v>
      </c>
      <c r="L4865" s="16">
        <f>base!X4865</f>
        <v>0</v>
      </c>
      <c r="M4865" s="11">
        <f t="shared" si="754"/>
        <v>0</v>
      </c>
      <c r="N4865" s="11">
        <f t="shared" si="755"/>
        <v>0</v>
      </c>
      <c r="O4865" s="11">
        <f t="shared" si="756"/>
        <v>0</v>
      </c>
      <c r="P4865" s="12">
        <f t="shared" si="757"/>
        <v>0</v>
      </c>
      <c r="Q4865" s="17" t="str">
        <f t="shared" si="759"/>
        <v>Pas d'écart</v>
      </c>
    </row>
    <row r="4866" spans="1:18" x14ac:dyDescent="0.3">
      <c r="A4866" s="34" t="str">
        <f>base!J4866</f>
        <v>LS</v>
      </c>
      <c r="B4866" s="34" t="str">
        <f>base!V4866</f>
        <v>60300</v>
      </c>
      <c r="C4866" s="37">
        <v>38</v>
      </c>
      <c r="D4866" s="36">
        <f>base!H4866</f>
        <v>25.8</v>
      </c>
      <c r="E4866" s="44"/>
      <c r="F4866" s="16">
        <f>base!W4866</f>
        <v>4.9000000000000004</v>
      </c>
      <c r="G4866" s="11">
        <f t="shared" ref="G4866:G4929" si="760">F4866/D4866</f>
        <v>0.18992248062015504</v>
      </c>
      <c r="H4866" s="11">
        <f t="shared" ref="H4866:H4929" si="761">VLOOKUP(C4866,tout_cout_traction,2,FALSE)*D4866</f>
        <v>6.9660000000000011</v>
      </c>
      <c r="I4866" s="11">
        <f t="shared" ref="I4866:I4929" si="762">H4866/D4866</f>
        <v>0.27</v>
      </c>
      <c r="J4866" s="12">
        <f t="shared" ref="J4866:J4929" si="763">F4866-H4866</f>
        <v>-2.0660000000000007</v>
      </c>
      <c r="K4866" s="17" t="str">
        <f t="shared" si="758"/>
        <v>Ecart négatif</v>
      </c>
      <c r="L4866" s="16">
        <f>base!X4866</f>
        <v>0</v>
      </c>
      <c r="M4866" s="11">
        <f t="shared" ref="M4866:M4929" si="764">L4866/D4866</f>
        <v>0</v>
      </c>
      <c r="N4866" s="11">
        <f t="shared" ref="N4866:N4929" si="765">VLOOKUP(C4866,tout_cout_traction,3,FALSE)*D4866</f>
        <v>0</v>
      </c>
      <c r="O4866" s="11">
        <f t="shared" ref="O4866:O4929" si="766">N4866/D4866</f>
        <v>0</v>
      </c>
      <c r="P4866" s="12">
        <f t="shared" ref="P4866:P4929" si="767">L4866-N4866</f>
        <v>0</v>
      </c>
      <c r="Q4866" s="17" t="str">
        <f t="shared" si="759"/>
        <v>Pas d'écart</v>
      </c>
    </row>
    <row r="4867" spans="1:18" x14ac:dyDescent="0.3">
      <c r="A4867" s="34" t="str">
        <f>base!J4867</f>
        <v>LS</v>
      </c>
      <c r="B4867" s="34" t="str">
        <f>base!V4867</f>
        <v>69800</v>
      </c>
      <c r="C4867" s="37">
        <v>1</v>
      </c>
      <c r="D4867" s="36">
        <f>base!H4867</f>
        <v>19.8</v>
      </c>
      <c r="E4867" s="44"/>
      <c r="F4867" s="16">
        <f>base!W4867</f>
        <v>5.35</v>
      </c>
      <c r="G4867" s="11">
        <f t="shared" si="760"/>
        <v>0.27020202020202017</v>
      </c>
      <c r="H4867" s="11">
        <f t="shared" si="761"/>
        <v>5.1480000000000006</v>
      </c>
      <c r="I4867" s="11">
        <f t="shared" si="762"/>
        <v>0.26</v>
      </c>
      <c r="J4867" s="12">
        <f t="shared" si="763"/>
        <v>0.20199999999999907</v>
      </c>
      <c r="K4867" s="17" t="str">
        <f t="shared" ref="K4867:K4930" si="768">IF(H4867=F4867,"Pas d'écart",IF(H4867&lt;F4867,"Ecart positif",IF(H4867&gt;F4867,"Ecart négatif")))</f>
        <v>Ecart positif</v>
      </c>
      <c r="L4867" s="16">
        <f>base!X4867</f>
        <v>0</v>
      </c>
      <c r="M4867" s="11">
        <f t="shared" si="764"/>
        <v>0</v>
      </c>
      <c r="N4867" s="11">
        <f t="shared" si="765"/>
        <v>0</v>
      </c>
      <c r="O4867" s="11">
        <f t="shared" si="766"/>
        <v>0</v>
      </c>
      <c r="P4867" s="12">
        <f t="shared" si="767"/>
        <v>0</v>
      </c>
      <c r="Q4867" s="17" t="str">
        <f t="shared" ref="Q4867:Q4930" si="769">IF(N4867=L4867,"Pas d'écart",IF(N4867&lt;L4867,"Ecart positif",IF(N4867&gt;L4867,"Ecart négatif")))</f>
        <v>Pas d'écart</v>
      </c>
    </row>
    <row r="4868" spans="1:18" x14ac:dyDescent="0.3">
      <c r="A4868" s="34" t="str">
        <f>base!J4868</f>
        <v>LS</v>
      </c>
      <c r="B4868" s="34" t="str">
        <f>base!V4868</f>
        <v>67100</v>
      </c>
      <c r="C4868" s="37">
        <v>69</v>
      </c>
      <c r="D4868" s="36">
        <f>base!H4868</f>
        <v>20.03</v>
      </c>
      <c r="E4868" s="44"/>
      <c r="F4868" s="16">
        <f>base!W4868</f>
        <v>5.81</v>
      </c>
      <c r="G4868" s="11">
        <f t="shared" si="760"/>
        <v>0.29006490264603091</v>
      </c>
      <c r="H4868" s="11">
        <f t="shared" si="761"/>
        <v>5.408100000000001</v>
      </c>
      <c r="I4868" s="11">
        <f t="shared" si="762"/>
        <v>0.27</v>
      </c>
      <c r="J4868" s="12">
        <f t="shared" si="763"/>
        <v>0.40189999999999859</v>
      </c>
      <c r="K4868" s="17" t="str">
        <f t="shared" si="768"/>
        <v>Ecart positif</v>
      </c>
      <c r="L4868" s="16">
        <f>base!X4868</f>
        <v>0</v>
      </c>
      <c r="M4868" s="11">
        <f t="shared" si="764"/>
        <v>0</v>
      </c>
      <c r="N4868" s="11">
        <f t="shared" si="765"/>
        <v>0</v>
      </c>
      <c r="O4868" s="11">
        <f t="shared" si="766"/>
        <v>0</v>
      </c>
      <c r="P4868" s="12">
        <f t="shared" si="767"/>
        <v>0</v>
      </c>
      <c r="Q4868" s="17" t="str">
        <f t="shared" si="769"/>
        <v>Pas d'écart</v>
      </c>
    </row>
    <row r="4869" spans="1:18" x14ac:dyDescent="0.3">
      <c r="A4869" s="34" t="str">
        <f>base!J4869</f>
        <v>RS</v>
      </c>
      <c r="B4869" s="34" t="str">
        <f>base!V4869</f>
        <v>69005</v>
      </c>
      <c r="C4869" s="37">
        <v>69</v>
      </c>
      <c r="D4869" s="36">
        <f>base!H4869</f>
        <v>151</v>
      </c>
      <c r="E4869" s="44"/>
      <c r="F4869" s="16">
        <f>base!W4869</f>
        <v>0</v>
      </c>
      <c r="G4869" s="11">
        <f t="shared" si="760"/>
        <v>0</v>
      </c>
      <c r="H4869" s="11">
        <f t="shared" si="761"/>
        <v>40.770000000000003</v>
      </c>
      <c r="I4869" s="11">
        <f t="shared" si="762"/>
        <v>0.27</v>
      </c>
      <c r="J4869" s="12">
        <f t="shared" si="763"/>
        <v>-40.770000000000003</v>
      </c>
      <c r="K4869" s="17" t="str">
        <f t="shared" si="768"/>
        <v>Ecart négatif</v>
      </c>
      <c r="L4869" s="16">
        <f>base!X4869</f>
        <v>0</v>
      </c>
      <c r="M4869" s="11">
        <f t="shared" si="764"/>
        <v>0</v>
      </c>
      <c r="N4869" s="11">
        <f t="shared" si="765"/>
        <v>0</v>
      </c>
      <c r="O4869" s="11">
        <f t="shared" si="766"/>
        <v>0</v>
      </c>
      <c r="P4869" s="12">
        <f t="shared" si="767"/>
        <v>0</v>
      </c>
      <c r="Q4869" s="17" t="str">
        <f t="shared" si="769"/>
        <v>Pas d'écart</v>
      </c>
    </row>
    <row r="4870" spans="1:18" x14ac:dyDescent="0.3">
      <c r="A4870" s="34" t="str">
        <f>base!J4870</f>
        <v>LS</v>
      </c>
      <c r="B4870" s="34" t="str">
        <f>base!V4870</f>
        <v>85000</v>
      </c>
      <c r="C4870" s="37">
        <v>44</v>
      </c>
      <c r="D4870" s="36">
        <f>base!H4870</f>
        <v>158.6</v>
      </c>
      <c r="E4870" s="44"/>
      <c r="F4870" s="16">
        <f>base!W4870</f>
        <v>42.82</v>
      </c>
      <c r="G4870" s="11">
        <f t="shared" si="760"/>
        <v>0.26998738965952079</v>
      </c>
      <c r="H4870" s="11">
        <f t="shared" si="761"/>
        <v>42.822000000000003</v>
      </c>
      <c r="I4870" s="11">
        <f t="shared" si="762"/>
        <v>0.27</v>
      </c>
      <c r="J4870" s="12">
        <f t="shared" si="763"/>
        <v>-2.0000000000024443E-3</v>
      </c>
      <c r="K4870" s="17" t="str">
        <f t="shared" si="768"/>
        <v>Ecart négatif</v>
      </c>
      <c r="L4870" s="16">
        <f>base!X4870</f>
        <v>0</v>
      </c>
      <c r="M4870" s="11">
        <f t="shared" si="764"/>
        <v>0</v>
      </c>
      <c r="N4870" s="11">
        <f t="shared" si="765"/>
        <v>0</v>
      </c>
      <c r="O4870" s="11">
        <f t="shared" si="766"/>
        <v>0</v>
      </c>
      <c r="P4870" s="12">
        <f t="shared" si="767"/>
        <v>0</v>
      </c>
      <c r="Q4870" s="17" t="str">
        <f t="shared" si="769"/>
        <v>Pas d'écart</v>
      </c>
    </row>
    <row r="4871" spans="1:18" x14ac:dyDescent="0.3">
      <c r="A4871" s="34" t="str">
        <f>base!J4871</f>
        <v>LS</v>
      </c>
      <c r="B4871" s="34" t="str">
        <f>base!V4871</f>
        <v>29490</v>
      </c>
      <c r="C4871" s="37">
        <v>69</v>
      </c>
      <c r="D4871" s="36">
        <f>base!H4871</f>
        <v>136.65</v>
      </c>
      <c r="E4871" s="44"/>
      <c r="F4871" s="16">
        <f>base!W4871</f>
        <v>53.29</v>
      </c>
      <c r="G4871" s="11">
        <f t="shared" si="760"/>
        <v>0.38997438712038052</v>
      </c>
      <c r="H4871" s="11">
        <f t="shared" si="761"/>
        <v>36.895500000000006</v>
      </c>
      <c r="I4871" s="11">
        <f t="shared" si="762"/>
        <v>0.27</v>
      </c>
      <c r="J4871" s="12">
        <f t="shared" si="763"/>
        <v>16.394499999999994</v>
      </c>
      <c r="K4871" s="17" t="str">
        <f t="shared" si="768"/>
        <v>Ecart positif</v>
      </c>
      <c r="L4871" s="16">
        <f>base!X4871</f>
        <v>0</v>
      </c>
      <c r="M4871" s="11">
        <f t="shared" si="764"/>
        <v>0</v>
      </c>
      <c r="N4871" s="11">
        <f t="shared" si="765"/>
        <v>0</v>
      </c>
      <c r="O4871" s="11">
        <f t="shared" si="766"/>
        <v>0</v>
      </c>
      <c r="P4871" s="12">
        <f t="shared" si="767"/>
        <v>0</v>
      </c>
      <c r="Q4871" s="17" t="str">
        <f t="shared" si="769"/>
        <v>Pas d'écart</v>
      </c>
    </row>
    <row r="4872" spans="1:18" x14ac:dyDescent="0.3">
      <c r="A4872" s="34" t="str">
        <f>base!J4872</f>
        <v>LS</v>
      </c>
      <c r="B4872" s="34" t="str">
        <f>base!V4872</f>
        <v>28000</v>
      </c>
      <c r="C4872" s="37">
        <v>49</v>
      </c>
      <c r="D4872" s="36">
        <f>base!H4872</f>
        <v>40</v>
      </c>
      <c r="E4872" s="44"/>
      <c r="F4872" s="16">
        <f>base!W4872</f>
        <v>8.4</v>
      </c>
      <c r="G4872" s="11">
        <f t="shared" si="760"/>
        <v>0.21000000000000002</v>
      </c>
      <c r="H4872" s="11">
        <f t="shared" si="761"/>
        <v>10.8</v>
      </c>
      <c r="I4872" s="11">
        <f t="shared" si="762"/>
        <v>0.27</v>
      </c>
      <c r="J4872" s="12">
        <f t="shared" si="763"/>
        <v>-2.4000000000000004</v>
      </c>
      <c r="K4872" s="17" t="str">
        <f t="shared" si="768"/>
        <v>Ecart négatif</v>
      </c>
      <c r="L4872" s="16">
        <f>base!X4872</f>
        <v>0</v>
      </c>
      <c r="M4872" s="11">
        <f t="shared" si="764"/>
        <v>0</v>
      </c>
      <c r="N4872" s="11">
        <f t="shared" si="765"/>
        <v>0</v>
      </c>
      <c r="O4872" s="11">
        <f t="shared" si="766"/>
        <v>0</v>
      </c>
      <c r="P4872" s="12">
        <f t="shared" si="767"/>
        <v>0</v>
      </c>
      <c r="Q4872" s="17" t="str">
        <f t="shared" si="769"/>
        <v>Pas d'écart</v>
      </c>
    </row>
    <row r="4873" spans="1:18" x14ac:dyDescent="0.3">
      <c r="A4873" s="34" t="str">
        <f>base!J4873</f>
        <v>RM</v>
      </c>
      <c r="B4873" s="34" t="str">
        <f>base!V4873</f>
        <v>68270</v>
      </c>
      <c r="C4873" s="37">
        <v>68</v>
      </c>
      <c r="D4873" s="36">
        <f>base!H4873</f>
        <v>20</v>
      </c>
      <c r="E4873" s="44"/>
      <c r="F4873" s="16">
        <f>base!W4873</f>
        <v>0</v>
      </c>
      <c r="G4873" s="11">
        <f t="shared" si="760"/>
        <v>0</v>
      </c>
      <c r="H4873" s="11">
        <f t="shared" si="761"/>
        <v>5.8</v>
      </c>
      <c r="I4873" s="11">
        <f t="shared" si="762"/>
        <v>0.28999999999999998</v>
      </c>
      <c r="J4873" s="12">
        <f t="shared" si="763"/>
        <v>-5.8</v>
      </c>
      <c r="K4873" s="17" t="str">
        <f t="shared" si="768"/>
        <v>Ecart négatif</v>
      </c>
      <c r="L4873" s="16">
        <f>base!X4873</f>
        <v>1.6</v>
      </c>
      <c r="M4873" s="11">
        <f t="shared" si="764"/>
        <v>0.08</v>
      </c>
      <c r="N4873" s="11">
        <f t="shared" si="765"/>
        <v>1.6</v>
      </c>
      <c r="O4873" s="11">
        <f t="shared" si="766"/>
        <v>0.08</v>
      </c>
      <c r="P4873" s="12">
        <f t="shared" si="767"/>
        <v>0</v>
      </c>
      <c r="Q4873" s="17" t="str">
        <f t="shared" si="769"/>
        <v>Pas d'écart</v>
      </c>
      <c r="R4873" s="38"/>
    </row>
    <row r="4874" spans="1:18" x14ac:dyDescent="0.3">
      <c r="A4874" s="34" t="str">
        <f>base!J4874</f>
        <v>LM</v>
      </c>
      <c r="B4874" s="34" t="str">
        <f>base!V4874</f>
        <v>69005</v>
      </c>
      <c r="C4874" s="37">
        <v>69</v>
      </c>
      <c r="D4874" s="36">
        <f>base!H4874</f>
        <v>33.35</v>
      </c>
      <c r="E4874" s="44"/>
      <c r="F4874" s="16">
        <f>base!W4874</f>
        <v>9</v>
      </c>
      <c r="G4874" s="11">
        <f t="shared" si="760"/>
        <v>0.26986506746626687</v>
      </c>
      <c r="H4874" s="11">
        <f t="shared" si="761"/>
        <v>9.0045000000000002</v>
      </c>
      <c r="I4874" s="11">
        <f t="shared" si="762"/>
        <v>0.27</v>
      </c>
      <c r="J4874" s="12">
        <f t="shared" si="763"/>
        <v>-4.5000000000001705E-3</v>
      </c>
      <c r="K4874" s="17" t="str">
        <f t="shared" si="768"/>
        <v>Ecart négatif</v>
      </c>
      <c r="L4874" s="16">
        <f>base!X4874</f>
        <v>0</v>
      </c>
      <c r="M4874" s="11">
        <f t="shared" si="764"/>
        <v>0</v>
      </c>
      <c r="N4874" s="11">
        <f t="shared" si="765"/>
        <v>0</v>
      </c>
      <c r="O4874" s="11">
        <f t="shared" si="766"/>
        <v>0</v>
      </c>
      <c r="P4874" s="12">
        <f t="shared" si="767"/>
        <v>0</v>
      </c>
      <c r="Q4874" s="17" t="str">
        <f t="shared" si="769"/>
        <v>Pas d'écart</v>
      </c>
    </row>
    <row r="4875" spans="1:18" x14ac:dyDescent="0.3">
      <c r="A4875" s="34" t="str">
        <f>base!J4875</f>
        <v>LM</v>
      </c>
      <c r="B4875" s="34" t="str">
        <f>base!V4875</f>
        <v>69005</v>
      </c>
      <c r="C4875" s="37">
        <v>44</v>
      </c>
      <c r="D4875" s="36">
        <f>base!H4875</f>
        <v>33.35</v>
      </c>
      <c r="E4875" s="44"/>
      <c r="F4875" s="16">
        <f>base!W4875</f>
        <v>9</v>
      </c>
      <c r="G4875" s="11">
        <f t="shared" si="760"/>
        <v>0.26986506746626687</v>
      </c>
      <c r="H4875" s="11">
        <f t="shared" si="761"/>
        <v>9.0045000000000002</v>
      </c>
      <c r="I4875" s="11">
        <f t="shared" si="762"/>
        <v>0.27</v>
      </c>
      <c r="J4875" s="12">
        <f t="shared" si="763"/>
        <v>-4.5000000000001705E-3</v>
      </c>
      <c r="K4875" s="17" t="str">
        <f t="shared" si="768"/>
        <v>Ecart négatif</v>
      </c>
      <c r="L4875" s="16">
        <f>base!X4875</f>
        <v>0</v>
      </c>
      <c r="M4875" s="11">
        <f t="shared" si="764"/>
        <v>0</v>
      </c>
      <c r="N4875" s="11">
        <f t="shared" si="765"/>
        <v>0</v>
      </c>
      <c r="O4875" s="11">
        <f t="shared" si="766"/>
        <v>0</v>
      </c>
      <c r="P4875" s="12">
        <f t="shared" si="767"/>
        <v>0</v>
      </c>
      <c r="Q4875" s="17" t="str">
        <f t="shared" si="769"/>
        <v>Pas d'écart</v>
      </c>
    </row>
    <row r="4876" spans="1:18" x14ac:dyDescent="0.3">
      <c r="A4876" s="34" t="str">
        <f>base!J4876</f>
        <v>LM</v>
      </c>
      <c r="B4876" s="34" t="str">
        <f>base!V4876</f>
        <v>69005</v>
      </c>
      <c r="C4876" s="37">
        <v>44</v>
      </c>
      <c r="D4876" s="36">
        <f>base!H4876</f>
        <v>33.35</v>
      </c>
      <c r="E4876" s="44"/>
      <c r="F4876" s="16">
        <f>base!W4876</f>
        <v>9</v>
      </c>
      <c r="G4876" s="11">
        <f t="shared" si="760"/>
        <v>0.26986506746626687</v>
      </c>
      <c r="H4876" s="11">
        <f t="shared" si="761"/>
        <v>9.0045000000000002</v>
      </c>
      <c r="I4876" s="11">
        <f t="shared" si="762"/>
        <v>0.27</v>
      </c>
      <c r="J4876" s="12">
        <f t="shared" si="763"/>
        <v>-4.5000000000001705E-3</v>
      </c>
      <c r="K4876" s="17" t="str">
        <f t="shared" si="768"/>
        <v>Ecart négatif</v>
      </c>
      <c r="L4876" s="16">
        <f>base!X4876</f>
        <v>0</v>
      </c>
      <c r="M4876" s="11">
        <f t="shared" si="764"/>
        <v>0</v>
      </c>
      <c r="N4876" s="11">
        <f t="shared" si="765"/>
        <v>0</v>
      </c>
      <c r="O4876" s="11">
        <f t="shared" si="766"/>
        <v>0</v>
      </c>
      <c r="P4876" s="12">
        <f t="shared" si="767"/>
        <v>0</v>
      </c>
      <c r="Q4876" s="17" t="str">
        <f t="shared" si="769"/>
        <v>Pas d'écart</v>
      </c>
    </row>
    <row r="4877" spans="1:18" x14ac:dyDescent="0.3">
      <c r="A4877" s="34" t="str">
        <f>base!J4877</f>
        <v>RM</v>
      </c>
      <c r="B4877" s="34" t="str">
        <f>base!V4877</f>
        <v>59430</v>
      </c>
      <c r="C4877" s="37">
        <v>59</v>
      </c>
      <c r="D4877" s="36">
        <f>base!H4877</f>
        <v>250</v>
      </c>
      <c r="E4877" s="44"/>
      <c r="F4877" s="16">
        <f>base!W4877</f>
        <v>0</v>
      </c>
      <c r="G4877" s="11">
        <f t="shared" si="760"/>
        <v>0</v>
      </c>
      <c r="H4877" s="11">
        <f t="shared" si="761"/>
        <v>47.5</v>
      </c>
      <c r="I4877" s="11">
        <f t="shared" si="762"/>
        <v>0.19</v>
      </c>
      <c r="J4877" s="12">
        <f t="shared" si="763"/>
        <v>-47.5</v>
      </c>
      <c r="K4877" s="17" t="str">
        <f t="shared" si="768"/>
        <v>Ecart négatif</v>
      </c>
      <c r="L4877" s="16">
        <f>base!X4877</f>
        <v>0</v>
      </c>
      <c r="M4877" s="11">
        <f t="shared" si="764"/>
        <v>0</v>
      </c>
      <c r="N4877" s="11">
        <f t="shared" si="765"/>
        <v>0</v>
      </c>
      <c r="O4877" s="11">
        <f t="shared" si="766"/>
        <v>0</v>
      </c>
      <c r="P4877" s="12">
        <f t="shared" si="767"/>
        <v>0</v>
      </c>
      <c r="Q4877" s="17" t="str">
        <f t="shared" si="769"/>
        <v>Pas d'écart</v>
      </c>
    </row>
    <row r="4878" spans="1:18" x14ac:dyDescent="0.3">
      <c r="A4878" s="34">
        <f>base!J4878</f>
        <v>0</v>
      </c>
      <c r="B4878" s="34" t="str">
        <f>base!V4878</f>
        <v>77184</v>
      </c>
      <c r="C4878" s="37">
        <v>77</v>
      </c>
      <c r="D4878" s="36">
        <f>base!H4878</f>
        <v>105</v>
      </c>
      <c r="E4878" s="44"/>
      <c r="F4878" s="16">
        <f>base!W4878</f>
        <v>0</v>
      </c>
      <c r="G4878" s="11">
        <f t="shared" si="760"/>
        <v>0</v>
      </c>
      <c r="H4878" s="11">
        <f t="shared" si="761"/>
        <v>0</v>
      </c>
      <c r="I4878" s="11">
        <f t="shared" si="762"/>
        <v>0</v>
      </c>
      <c r="J4878" s="12">
        <f t="shared" si="763"/>
        <v>0</v>
      </c>
      <c r="K4878" s="17" t="str">
        <f t="shared" si="768"/>
        <v>Pas d'écart</v>
      </c>
      <c r="L4878" s="16">
        <f>base!X4878</f>
        <v>0</v>
      </c>
      <c r="M4878" s="11">
        <f t="shared" si="764"/>
        <v>0</v>
      </c>
      <c r="N4878" s="11">
        <f t="shared" si="765"/>
        <v>0</v>
      </c>
      <c r="O4878" s="11">
        <f t="shared" si="766"/>
        <v>0</v>
      </c>
      <c r="P4878" s="12">
        <f t="shared" si="767"/>
        <v>0</v>
      </c>
      <c r="Q4878" s="17" t="str">
        <f t="shared" si="769"/>
        <v>Pas d'écart</v>
      </c>
    </row>
    <row r="4879" spans="1:18" x14ac:dyDescent="0.3">
      <c r="A4879" s="34">
        <f>base!J4879</f>
        <v>0</v>
      </c>
      <c r="B4879" s="34" t="str">
        <f>base!V4879</f>
        <v>77184</v>
      </c>
      <c r="C4879" s="37">
        <v>77</v>
      </c>
      <c r="D4879" s="36">
        <f>base!H4879</f>
        <v>171</v>
      </c>
      <c r="E4879" s="44"/>
      <c r="F4879" s="16">
        <f>base!W4879</f>
        <v>0</v>
      </c>
      <c r="G4879" s="11">
        <f t="shared" si="760"/>
        <v>0</v>
      </c>
      <c r="H4879" s="11">
        <f t="shared" si="761"/>
        <v>0</v>
      </c>
      <c r="I4879" s="11">
        <f t="shared" si="762"/>
        <v>0</v>
      </c>
      <c r="J4879" s="12">
        <f t="shared" si="763"/>
        <v>0</v>
      </c>
      <c r="K4879" s="17" t="str">
        <f t="shared" si="768"/>
        <v>Pas d'écart</v>
      </c>
      <c r="L4879" s="16">
        <f>base!X4879</f>
        <v>0</v>
      </c>
      <c r="M4879" s="11">
        <f t="shared" si="764"/>
        <v>0</v>
      </c>
      <c r="N4879" s="11">
        <f t="shared" si="765"/>
        <v>0</v>
      </c>
      <c r="O4879" s="11">
        <f t="shared" si="766"/>
        <v>0</v>
      </c>
      <c r="P4879" s="12">
        <f t="shared" si="767"/>
        <v>0</v>
      </c>
      <c r="Q4879" s="17" t="str">
        <f t="shared" si="769"/>
        <v>Pas d'écart</v>
      </c>
    </row>
    <row r="4880" spans="1:18" x14ac:dyDescent="0.3">
      <c r="A4880" s="34">
        <f>base!J4880</f>
        <v>0</v>
      </c>
      <c r="B4880" s="34" t="str">
        <f>base!V4880</f>
        <v>77184</v>
      </c>
      <c r="C4880" s="37">
        <v>77</v>
      </c>
      <c r="D4880" s="36">
        <f>base!H4880</f>
        <v>123</v>
      </c>
      <c r="E4880" s="44"/>
      <c r="F4880" s="16">
        <f>base!W4880</f>
        <v>0</v>
      </c>
      <c r="G4880" s="11">
        <f t="shared" si="760"/>
        <v>0</v>
      </c>
      <c r="H4880" s="11">
        <f t="shared" si="761"/>
        <v>0</v>
      </c>
      <c r="I4880" s="11">
        <f t="shared" si="762"/>
        <v>0</v>
      </c>
      <c r="J4880" s="12">
        <f t="shared" si="763"/>
        <v>0</v>
      </c>
      <c r="K4880" s="17" t="str">
        <f t="shared" si="768"/>
        <v>Pas d'écart</v>
      </c>
      <c r="L4880" s="16">
        <f>base!X4880</f>
        <v>0</v>
      </c>
      <c r="M4880" s="11">
        <f t="shared" si="764"/>
        <v>0</v>
      </c>
      <c r="N4880" s="11">
        <f t="shared" si="765"/>
        <v>0</v>
      </c>
      <c r="O4880" s="11">
        <f t="shared" si="766"/>
        <v>0</v>
      </c>
      <c r="P4880" s="12">
        <f t="shared" si="767"/>
        <v>0</v>
      </c>
      <c r="Q4880" s="17" t="str">
        <f t="shared" si="769"/>
        <v>Pas d'écart</v>
      </c>
    </row>
    <row r="4881" spans="1:18" x14ac:dyDescent="0.3">
      <c r="A4881" s="34">
        <f>base!J4881</f>
        <v>0</v>
      </c>
      <c r="B4881" s="34" t="str">
        <f>base!V4881</f>
        <v>77184</v>
      </c>
      <c r="C4881" s="37">
        <v>77</v>
      </c>
      <c r="D4881" s="36">
        <f>base!H4881</f>
        <v>107</v>
      </c>
      <c r="E4881" s="44"/>
      <c r="F4881" s="16">
        <f>base!W4881</f>
        <v>0</v>
      </c>
      <c r="G4881" s="11">
        <f t="shared" si="760"/>
        <v>0</v>
      </c>
      <c r="H4881" s="11">
        <f t="shared" si="761"/>
        <v>0</v>
      </c>
      <c r="I4881" s="11">
        <f t="shared" si="762"/>
        <v>0</v>
      </c>
      <c r="J4881" s="12">
        <f t="shared" si="763"/>
        <v>0</v>
      </c>
      <c r="K4881" s="17" t="str">
        <f t="shared" si="768"/>
        <v>Pas d'écart</v>
      </c>
      <c r="L4881" s="16">
        <f>base!X4881</f>
        <v>0</v>
      </c>
      <c r="M4881" s="11">
        <f t="shared" si="764"/>
        <v>0</v>
      </c>
      <c r="N4881" s="11">
        <f t="shared" si="765"/>
        <v>0</v>
      </c>
      <c r="O4881" s="11">
        <f t="shared" si="766"/>
        <v>0</v>
      </c>
      <c r="P4881" s="12">
        <f t="shared" si="767"/>
        <v>0</v>
      </c>
      <c r="Q4881" s="17" t="str">
        <f t="shared" si="769"/>
        <v>Pas d'écart</v>
      </c>
    </row>
    <row r="4882" spans="1:18" x14ac:dyDescent="0.3">
      <c r="A4882" s="34" t="str">
        <f>base!J4882</f>
        <v>LM</v>
      </c>
      <c r="B4882" s="34" t="str">
        <f>base!V4882</f>
        <v>13103</v>
      </c>
      <c r="C4882" s="37">
        <v>44</v>
      </c>
      <c r="D4882" s="36">
        <f>base!H4882</f>
        <v>3.23</v>
      </c>
      <c r="E4882" s="44"/>
      <c r="F4882" s="16">
        <f>base!W4882</f>
        <v>0.94</v>
      </c>
      <c r="G4882" s="11">
        <f t="shared" si="760"/>
        <v>0.29102167182662536</v>
      </c>
      <c r="H4882" s="11">
        <f t="shared" si="761"/>
        <v>0.8721000000000001</v>
      </c>
      <c r="I4882" s="11">
        <f t="shared" si="762"/>
        <v>0.27</v>
      </c>
      <c r="J4882" s="12">
        <f t="shared" si="763"/>
        <v>6.7899999999999849E-2</v>
      </c>
      <c r="K4882" s="17" t="str">
        <f t="shared" si="768"/>
        <v>Ecart positif</v>
      </c>
      <c r="L4882" s="16">
        <f>base!X4882</f>
        <v>0</v>
      </c>
      <c r="M4882" s="11">
        <f t="shared" si="764"/>
        <v>0</v>
      </c>
      <c r="N4882" s="11">
        <f t="shared" si="765"/>
        <v>0</v>
      </c>
      <c r="O4882" s="11">
        <f t="shared" si="766"/>
        <v>0</v>
      </c>
      <c r="P4882" s="12">
        <f t="shared" si="767"/>
        <v>0</v>
      </c>
      <c r="Q4882" s="17" t="str">
        <f t="shared" si="769"/>
        <v>Pas d'écart</v>
      </c>
    </row>
    <row r="4883" spans="1:18" x14ac:dyDescent="0.3">
      <c r="A4883" s="34" t="str">
        <f>base!J4883</f>
        <v>LM</v>
      </c>
      <c r="B4883" s="34" t="str">
        <f>base!V4883</f>
        <v>94150</v>
      </c>
      <c r="C4883" s="37">
        <v>94</v>
      </c>
      <c r="D4883" s="36">
        <f>base!H4883</f>
        <v>33.35</v>
      </c>
      <c r="E4883" s="44"/>
      <c r="F4883" s="16">
        <f>base!W4883</f>
        <v>0</v>
      </c>
      <c r="G4883" s="11">
        <f t="shared" si="760"/>
        <v>0</v>
      </c>
      <c r="H4883" s="11">
        <f t="shared" si="761"/>
        <v>0</v>
      </c>
      <c r="I4883" s="11">
        <f t="shared" si="762"/>
        <v>0</v>
      </c>
      <c r="J4883" s="12">
        <f t="shared" si="763"/>
        <v>0</v>
      </c>
      <c r="K4883" s="17" t="str">
        <f t="shared" si="768"/>
        <v>Pas d'écart</v>
      </c>
      <c r="L4883" s="16">
        <f>base!X4883</f>
        <v>0</v>
      </c>
      <c r="M4883" s="11">
        <f t="shared" si="764"/>
        <v>0</v>
      </c>
      <c r="N4883" s="11">
        <f t="shared" si="765"/>
        <v>0</v>
      </c>
      <c r="O4883" s="11">
        <f t="shared" si="766"/>
        <v>0</v>
      </c>
      <c r="P4883" s="12">
        <f t="shared" si="767"/>
        <v>0</v>
      </c>
      <c r="Q4883" s="17" t="str">
        <f t="shared" si="769"/>
        <v>Pas d'écart</v>
      </c>
    </row>
    <row r="4884" spans="1:18" x14ac:dyDescent="0.3">
      <c r="A4884" s="34" t="str">
        <f>base!J4884</f>
        <v>LS</v>
      </c>
      <c r="B4884" s="34" t="str">
        <f>base!V4884</f>
        <v>75008</v>
      </c>
      <c r="C4884" s="37">
        <v>75</v>
      </c>
      <c r="D4884" s="36">
        <f>base!H4884</f>
        <v>0</v>
      </c>
      <c r="E4884" s="44"/>
      <c r="F4884" s="16">
        <f>base!W4884</f>
        <v>0</v>
      </c>
      <c r="G4884" s="11" t="e">
        <f t="shared" si="760"/>
        <v>#DIV/0!</v>
      </c>
      <c r="H4884" s="11">
        <f t="shared" si="761"/>
        <v>0</v>
      </c>
      <c r="I4884" s="11" t="e">
        <f t="shared" si="762"/>
        <v>#DIV/0!</v>
      </c>
      <c r="J4884" s="12">
        <f t="shared" si="763"/>
        <v>0</v>
      </c>
      <c r="K4884" s="17" t="str">
        <f t="shared" si="768"/>
        <v>Pas d'écart</v>
      </c>
      <c r="L4884" s="16">
        <f>base!X4884</f>
        <v>0</v>
      </c>
      <c r="M4884" s="11" t="e">
        <f t="shared" si="764"/>
        <v>#DIV/0!</v>
      </c>
      <c r="N4884" s="11">
        <f t="shared" si="765"/>
        <v>0</v>
      </c>
      <c r="O4884" s="11" t="e">
        <f t="shared" si="766"/>
        <v>#DIV/0!</v>
      </c>
      <c r="P4884" s="12">
        <f t="shared" si="767"/>
        <v>0</v>
      </c>
      <c r="Q4884" s="17" t="str">
        <f t="shared" si="769"/>
        <v>Pas d'écart</v>
      </c>
    </row>
    <row r="4885" spans="1:18" x14ac:dyDescent="0.3">
      <c r="A4885" s="34" t="str">
        <f>base!J4885</f>
        <v>RM</v>
      </c>
      <c r="B4885" s="34" t="str">
        <f>base!V4885</f>
        <v>13290</v>
      </c>
      <c r="C4885" s="37">
        <v>13</v>
      </c>
      <c r="D4885" s="36">
        <f>base!H4885</f>
        <v>151</v>
      </c>
      <c r="E4885" s="44"/>
      <c r="F4885" s="16">
        <f>base!W4885</f>
        <v>0</v>
      </c>
      <c r="G4885" s="11">
        <f t="shared" si="760"/>
        <v>0</v>
      </c>
      <c r="H4885" s="11">
        <f t="shared" si="761"/>
        <v>43.79</v>
      </c>
      <c r="I4885" s="11">
        <f t="shared" si="762"/>
        <v>0.28999999999999998</v>
      </c>
      <c r="J4885" s="12">
        <f t="shared" si="763"/>
        <v>-43.79</v>
      </c>
      <c r="K4885" s="17" t="str">
        <f t="shared" si="768"/>
        <v>Ecart négatif</v>
      </c>
      <c r="L4885" s="16">
        <f>base!X4885</f>
        <v>0</v>
      </c>
      <c r="M4885" s="11">
        <f t="shared" si="764"/>
        <v>0</v>
      </c>
      <c r="N4885" s="11">
        <f t="shared" si="765"/>
        <v>28.69</v>
      </c>
      <c r="O4885" s="11">
        <f t="shared" si="766"/>
        <v>0.19</v>
      </c>
      <c r="P4885" s="12">
        <f t="shared" si="767"/>
        <v>-28.69</v>
      </c>
      <c r="Q4885" s="17" t="str">
        <f t="shared" si="769"/>
        <v>Ecart négatif</v>
      </c>
    </row>
    <row r="4886" spans="1:18" x14ac:dyDescent="0.3">
      <c r="A4886" s="34" t="str">
        <f>base!J4886</f>
        <v>DLS</v>
      </c>
      <c r="B4886" s="34" t="str">
        <f>base!V4886</f>
        <v>76136</v>
      </c>
      <c r="C4886" s="37">
        <v>76</v>
      </c>
      <c r="D4886" s="36">
        <f>base!H4886</f>
        <v>151</v>
      </c>
      <c r="E4886" s="44"/>
      <c r="F4886" s="16">
        <f>base!W4886</f>
        <v>25.67</v>
      </c>
      <c r="G4886" s="11">
        <f t="shared" si="760"/>
        <v>0.17</v>
      </c>
      <c r="H4886" s="11">
        <f t="shared" si="761"/>
        <v>25.67</v>
      </c>
      <c r="I4886" s="11">
        <f t="shared" si="762"/>
        <v>0.17</v>
      </c>
      <c r="J4886" s="12">
        <f t="shared" si="763"/>
        <v>0</v>
      </c>
      <c r="K4886" s="17" t="str">
        <f t="shared" si="768"/>
        <v>Pas d'écart</v>
      </c>
      <c r="L4886" s="16">
        <f>base!X4886</f>
        <v>0</v>
      </c>
      <c r="M4886" s="11">
        <f t="shared" si="764"/>
        <v>0</v>
      </c>
      <c r="N4886" s="11">
        <f t="shared" si="765"/>
        <v>25.67</v>
      </c>
      <c r="O4886" s="11">
        <f t="shared" si="766"/>
        <v>0.17</v>
      </c>
      <c r="P4886" s="12">
        <f t="shared" si="767"/>
        <v>-25.67</v>
      </c>
      <c r="Q4886" s="17" t="str">
        <f t="shared" si="769"/>
        <v>Ecart négatif</v>
      </c>
    </row>
    <row r="4887" spans="1:18" x14ac:dyDescent="0.3">
      <c r="A4887" s="34" t="str">
        <f>base!J4887</f>
        <v>RM</v>
      </c>
      <c r="B4887" s="34" t="str">
        <f>base!V4887</f>
        <v>69006</v>
      </c>
      <c r="C4887" s="37">
        <v>69</v>
      </c>
      <c r="D4887" s="36">
        <f>base!H4887</f>
        <v>205</v>
      </c>
      <c r="E4887" s="44"/>
      <c r="F4887" s="16">
        <f>base!W4887</f>
        <v>0</v>
      </c>
      <c r="G4887" s="11">
        <f t="shared" si="760"/>
        <v>0</v>
      </c>
      <c r="H4887" s="11">
        <f t="shared" si="761"/>
        <v>55.35</v>
      </c>
      <c r="I4887" s="11">
        <f t="shared" si="762"/>
        <v>0.27</v>
      </c>
      <c r="J4887" s="12">
        <f t="shared" si="763"/>
        <v>-55.35</v>
      </c>
      <c r="K4887" s="17" t="str">
        <f t="shared" si="768"/>
        <v>Ecart négatif</v>
      </c>
      <c r="L4887" s="16">
        <f>base!X4887</f>
        <v>0</v>
      </c>
      <c r="M4887" s="11">
        <f t="shared" si="764"/>
        <v>0</v>
      </c>
      <c r="N4887" s="11">
        <f t="shared" si="765"/>
        <v>0</v>
      </c>
      <c r="O4887" s="11">
        <f t="shared" si="766"/>
        <v>0</v>
      </c>
      <c r="P4887" s="12">
        <f t="shared" si="767"/>
        <v>0</v>
      </c>
      <c r="Q4887" s="17" t="str">
        <f t="shared" si="769"/>
        <v>Pas d'écart</v>
      </c>
    </row>
    <row r="4888" spans="1:18" x14ac:dyDescent="0.3">
      <c r="A4888" s="34" t="str">
        <f>base!J4888</f>
        <v>LS</v>
      </c>
      <c r="B4888" s="34" t="str">
        <f>base!V4888</f>
        <v>93420</v>
      </c>
      <c r="C4888" s="37">
        <v>93</v>
      </c>
      <c r="D4888" s="36">
        <f>base!H4888</f>
        <v>30</v>
      </c>
      <c r="E4888" s="44"/>
      <c r="F4888" s="16">
        <f>base!W4888</f>
        <v>0</v>
      </c>
      <c r="G4888" s="11">
        <f t="shared" si="760"/>
        <v>0</v>
      </c>
      <c r="H4888" s="11">
        <f t="shared" si="761"/>
        <v>0</v>
      </c>
      <c r="I4888" s="11">
        <f t="shared" si="762"/>
        <v>0</v>
      </c>
      <c r="J4888" s="12">
        <f t="shared" si="763"/>
        <v>0</v>
      </c>
      <c r="K4888" s="17" t="str">
        <f t="shared" si="768"/>
        <v>Pas d'écart</v>
      </c>
      <c r="L4888" s="16">
        <f>base!X4888</f>
        <v>0</v>
      </c>
      <c r="M4888" s="11">
        <f t="shared" si="764"/>
        <v>0</v>
      </c>
      <c r="N4888" s="11">
        <f t="shared" si="765"/>
        <v>0</v>
      </c>
      <c r="O4888" s="11">
        <f t="shared" si="766"/>
        <v>0</v>
      </c>
      <c r="P4888" s="12">
        <f t="shared" si="767"/>
        <v>0</v>
      </c>
      <c r="Q4888" s="17" t="str">
        <f t="shared" si="769"/>
        <v>Pas d'écart</v>
      </c>
    </row>
    <row r="4889" spans="1:18" x14ac:dyDescent="0.3">
      <c r="A4889" s="34" t="str">
        <f>base!J4889</f>
        <v>LM</v>
      </c>
      <c r="B4889" s="34" t="str">
        <f>base!V4889</f>
        <v>80480</v>
      </c>
      <c r="C4889" s="37">
        <v>80</v>
      </c>
      <c r="D4889" s="36">
        <f>base!H4889</f>
        <v>140</v>
      </c>
      <c r="E4889" s="44"/>
      <c r="F4889" s="16">
        <f>base!W4889</f>
        <v>26.6</v>
      </c>
      <c r="G4889" s="11">
        <f t="shared" si="760"/>
        <v>0.19</v>
      </c>
      <c r="H4889" s="11">
        <f t="shared" si="761"/>
        <v>26.6</v>
      </c>
      <c r="I4889" s="11">
        <f t="shared" si="762"/>
        <v>0.19</v>
      </c>
      <c r="J4889" s="12">
        <f t="shared" si="763"/>
        <v>0</v>
      </c>
      <c r="K4889" s="17" t="str">
        <f t="shared" si="768"/>
        <v>Pas d'écart</v>
      </c>
      <c r="L4889" s="16">
        <f>base!X4889</f>
        <v>0</v>
      </c>
      <c r="M4889" s="11">
        <f t="shared" si="764"/>
        <v>0</v>
      </c>
      <c r="N4889" s="11">
        <f t="shared" si="765"/>
        <v>0</v>
      </c>
      <c r="O4889" s="11">
        <f t="shared" si="766"/>
        <v>0</v>
      </c>
      <c r="P4889" s="12">
        <f t="shared" si="767"/>
        <v>0</v>
      </c>
      <c r="Q4889" s="17" t="str">
        <f t="shared" si="769"/>
        <v>Pas d'écart</v>
      </c>
    </row>
    <row r="4890" spans="1:18" x14ac:dyDescent="0.3">
      <c r="A4890" s="34" t="str">
        <f>base!J4890</f>
        <v>LS</v>
      </c>
      <c r="B4890" s="34" t="str">
        <f>base!V4890</f>
        <v>75013</v>
      </c>
      <c r="C4890" s="37">
        <v>75</v>
      </c>
      <c r="D4890" s="36">
        <f>base!H4890</f>
        <v>23.12</v>
      </c>
      <c r="E4890" s="44"/>
      <c r="F4890" s="16">
        <f>base!W4890</f>
        <v>0</v>
      </c>
      <c r="G4890" s="11">
        <f t="shared" si="760"/>
        <v>0</v>
      </c>
      <c r="H4890" s="11">
        <f t="shared" si="761"/>
        <v>0</v>
      </c>
      <c r="I4890" s="11">
        <f t="shared" si="762"/>
        <v>0</v>
      </c>
      <c r="J4890" s="12">
        <f t="shared" si="763"/>
        <v>0</v>
      </c>
      <c r="K4890" s="17" t="str">
        <f t="shared" si="768"/>
        <v>Pas d'écart</v>
      </c>
      <c r="L4890" s="16">
        <f>base!X4890</f>
        <v>0</v>
      </c>
      <c r="M4890" s="11">
        <f t="shared" si="764"/>
        <v>0</v>
      </c>
      <c r="N4890" s="11">
        <f t="shared" si="765"/>
        <v>0</v>
      </c>
      <c r="O4890" s="11">
        <f t="shared" si="766"/>
        <v>0</v>
      </c>
      <c r="P4890" s="12">
        <f t="shared" si="767"/>
        <v>0</v>
      </c>
      <c r="Q4890" s="17" t="str">
        <f t="shared" si="769"/>
        <v>Pas d'écart</v>
      </c>
    </row>
    <row r="4891" spans="1:18" x14ac:dyDescent="0.3">
      <c r="A4891" s="34" t="str">
        <f>base!J4891</f>
        <v>RM</v>
      </c>
      <c r="B4891" s="34" t="str">
        <f>base!V4891</f>
        <v>92350</v>
      </c>
      <c r="C4891" s="37">
        <v>92</v>
      </c>
      <c r="D4891" s="36">
        <f>base!H4891</f>
        <v>22.8</v>
      </c>
      <c r="E4891" s="44"/>
      <c r="F4891" s="16">
        <f>base!W4891</f>
        <v>0</v>
      </c>
      <c r="G4891" s="11">
        <f t="shared" si="760"/>
        <v>0</v>
      </c>
      <c r="H4891" s="11">
        <f t="shared" si="761"/>
        <v>0</v>
      </c>
      <c r="I4891" s="11">
        <f t="shared" si="762"/>
        <v>0</v>
      </c>
      <c r="J4891" s="12">
        <f t="shared" si="763"/>
        <v>0</v>
      </c>
      <c r="K4891" s="17" t="str">
        <f t="shared" si="768"/>
        <v>Pas d'écart</v>
      </c>
      <c r="L4891" s="16">
        <f>base!X4891</f>
        <v>0</v>
      </c>
      <c r="M4891" s="11">
        <f t="shared" si="764"/>
        <v>0</v>
      </c>
      <c r="N4891" s="11">
        <f t="shared" si="765"/>
        <v>0</v>
      </c>
      <c r="O4891" s="11">
        <f t="shared" si="766"/>
        <v>0</v>
      </c>
      <c r="P4891" s="12">
        <f t="shared" si="767"/>
        <v>0</v>
      </c>
      <c r="Q4891" s="17" t="str">
        <f t="shared" si="769"/>
        <v>Pas d'écart</v>
      </c>
    </row>
    <row r="4892" spans="1:18" x14ac:dyDescent="0.3">
      <c r="A4892" s="34" t="str">
        <f>base!J4892</f>
        <v>RM</v>
      </c>
      <c r="B4892" s="34" t="str">
        <f>base!V4892</f>
        <v>77600</v>
      </c>
      <c r="C4892" s="37">
        <v>77</v>
      </c>
      <c r="D4892" s="36">
        <f>base!H4892</f>
        <v>151</v>
      </c>
      <c r="E4892" s="44"/>
      <c r="F4892" s="16">
        <f>base!W4892</f>
        <v>0</v>
      </c>
      <c r="G4892" s="11">
        <f t="shared" si="760"/>
        <v>0</v>
      </c>
      <c r="H4892" s="11">
        <f t="shared" si="761"/>
        <v>0</v>
      </c>
      <c r="I4892" s="11">
        <f t="shared" si="762"/>
        <v>0</v>
      </c>
      <c r="J4892" s="12">
        <f t="shared" si="763"/>
        <v>0</v>
      </c>
      <c r="K4892" s="17" t="str">
        <f t="shared" si="768"/>
        <v>Pas d'écart</v>
      </c>
      <c r="L4892" s="16">
        <f>base!X4892</f>
        <v>0</v>
      </c>
      <c r="M4892" s="11">
        <f t="shared" si="764"/>
        <v>0</v>
      </c>
      <c r="N4892" s="11">
        <f t="shared" si="765"/>
        <v>0</v>
      </c>
      <c r="O4892" s="11">
        <f t="shared" si="766"/>
        <v>0</v>
      </c>
      <c r="P4892" s="12">
        <f t="shared" si="767"/>
        <v>0</v>
      </c>
      <c r="Q4892" s="17" t="str">
        <f t="shared" si="769"/>
        <v>Pas d'écart</v>
      </c>
    </row>
    <row r="4893" spans="1:18" x14ac:dyDescent="0.3">
      <c r="A4893" s="34" t="str">
        <f>base!J4893</f>
        <v>RM</v>
      </c>
      <c r="B4893" s="34" t="str">
        <f>base!V4893</f>
        <v>71200</v>
      </c>
      <c r="C4893" s="37">
        <v>71</v>
      </c>
      <c r="D4893" s="36">
        <f>base!H4893</f>
        <v>140</v>
      </c>
      <c r="E4893" s="44"/>
      <c r="F4893" s="16">
        <f>base!W4893</f>
        <v>0</v>
      </c>
      <c r="G4893" s="11">
        <f t="shared" si="760"/>
        <v>0</v>
      </c>
      <c r="H4893" s="11">
        <f t="shared" si="761"/>
        <v>37.800000000000004</v>
      </c>
      <c r="I4893" s="11">
        <f t="shared" si="762"/>
        <v>0.27</v>
      </c>
      <c r="J4893" s="12">
        <f t="shared" si="763"/>
        <v>-37.800000000000004</v>
      </c>
      <c r="K4893" s="17" t="str">
        <f t="shared" si="768"/>
        <v>Ecart négatif</v>
      </c>
      <c r="L4893" s="16">
        <f>base!X4893</f>
        <v>0</v>
      </c>
      <c r="M4893" s="11">
        <f t="shared" si="764"/>
        <v>0</v>
      </c>
      <c r="N4893" s="11">
        <f t="shared" si="765"/>
        <v>0</v>
      </c>
      <c r="O4893" s="11">
        <f t="shared" si="766"/>
        <v>0</v>
      </c>
      <c r="P4893" s="12">
        <f t="shared" si="767"/>
        <v>0</v>
      </c>
      <c r="Q4893" s="17" t="str">
        <f t="shared" si="769"/>
        <v>Pas d'écart</v>
      </c>
    </row>
    <row r="4894" spans="1:18" x14ac:dyDescent="0.3">
      <c r="A4894" s="34" t="str">
        <f>base!J4894</f>
        <v>RM</v>
      </c>
      <c r="B4894" s="34" t="str">
        <f>base!V4894</f>
        <v>71200</v>
      </c>
      <c r="C4894" s="37">
        <v>71</v>
      </c>
      <c r="D4894" s="36">
        <f>base!H4894</f>
        <v>205</v>
      </c>
      <c r="E4894" s="44"/>
      <c r="F4894" s="16">
        <f>base!W4894</f>
        <v>0</v>
      </c>
      <c r="G4894" s="11">
        <f t="shared" si="760"/>
        <v>0</v>
      </c>
      <c r="H4894" s="11">
        <f t="shared" si="761"/>
        <v>55.35</v>
      </c>
      <c r="I4894" s="11">
        <f t="shared" si="762"/>
        <v>0.27</v>
      </c>
      <c r="J4894" s="12">
        <f t="shared" si="763"/>
        <v>-55.35</v>
      </c>
      <c r="K4894" s="17" t="str">
        <f t="shared" si="768"/>
        <v>Ecart négatif</v>
      </c>
      <c r="L4894" s="16">
        <f>base!X4894</f>
        <v>0</v>
      </c>
      <c r="M4894" s="11">
        <f t="shared" si="764"/>
        <v>0</v>
      </c>
      <c r="N4894" s="11">
        <f t="shared" si="765"/>
        <v>0</v>
      </c>
      <c r="O4894" s="11">
        <f t="shared" si="766"/>
        <v>0</v>
      </c>
      <c r="P4894" s="12">
        <f t="shared" si="767"/>
        <v>0</v>
      </c>
      <c r="Q4894" s="17" t="str">
        <f t="shared" si="769"/>
        <v>Pas d'écart</v>
      </c>
    </row>
    <row r="4895" spans="1:18" x14ac:dyDescent="0.3">
      <c r="A4895" s="34" t="str">
        <f>base!J4895</f>
        <v>RS</v>
      </c>
      <c r="B4895" s="34" t="str">
        <f>base!V4895</f>
        <v>14000</v>
      </c>
      <c r="C4895" s="37">
        <v>14</v>
      </c>
      <c r="D4895" s="36">
        <f>base!H4895</f>
        <v>153.97999999999999</v>
      </c>
      <c r="E4895" s="44"/>
      <c r="F4895" s="16">
        <f>base!W4895</f>
        <v>0</v>
      </c>
      <c r="G4895" s="11">
        <f t="shared" si="760"/>
        <v>0</v>
      </c>
      <c r="H4895" s="11">
        <f t="shared" si="761"/>
        <v>26.176600000000001</v>
      </c>
      <c r="I4895" s="11">
        <f t="shared" si="762"/>
        <v>0.17</v>
      </c>
      <c r="J4895" s="12">
        <f t="shared" si="763"/>
        <v>-26.176600000000001</v>
      </c>
      <c r="K4895" s="17" t="str">
        <f t="shared" si="768"/>
        <v>Ecart négatif</v>
      </c>
      <c r="L4895" s="16">
        <f>base!X4895</f>
        <v>26.18</v>
      </c>
      <c r="M4895" s="11">
        <f t="shared" si="764"/>
        <v>0.17002208078971295</v>
      </c>
      <c r="N4895" s="11">
        <f t="shared" si="765"/>
        <v>26.176600000000001</v>
      </c>
      <c r="O4895" s="11">
        <f t="shared" si="766"/>
        <v>0.17</v>
      </c>
      <c r="P4895" s="12">
        <f t="shared" si="767"/>
        <v>3.3999999999991815E-3</v>
      </c>
      <c r="Q4895" s="17" t="str">
        <f t="shared" si="769"/>
        <v>Ecart positif</v>
      </c>
      <c r="R4895" s="38"/>
    </row>
    <row r="4896" spans="1:18" x14ac:dyDescent="0.3">
      <c r="A4896" s="34" t="str">
        <f>base!J4896</f>
        <v>RM</v>
      </c>
      <c r="B4896" s="34" t="str">
        <f>base!V4896</f>
        <v>57175</v>
      </c>
      <c r="C4896" s="37">
        <v>57</v>
      </c>
      <c r="D4896" s="36">
        <f>base!H4896</f>
        <v>37.19</v>
      </c>
      <c r="E4896" s="44"/>
      <c r="F4896" s="16">
        <f>base!W4896</f>
        <v>0</v>
      </c>
      <c r="G4896" s="11">
        <f t="shared" si="760"/>
        <v>0</v>
      </c>
      <c r="H4896" s="11">
        <f t="shared" si="761"/>
        <v>8.9255999999999993</v>
      </c>
      <c r="I4896" s="11">
        <f t="shared" si="762"/>
        <v>0.24</v>
      </c>
      <c r="J4896" s="12">
        <f t="shared" si="763"/>
        <v>-8.9255999999999993</v>
      </c>
      <c r="K4896" s="17" t="str">
        <f t="shared" si="768"/>
        <v>Ecart négatif</v>
      </c>
      <c r="L4896" s="16">
        <f>base!X4896</f>
        <v>9.3000000000000007</v>
      </c>
      <c r="M4896" s="11">
        <f t="shared" si="764"/>
        <v>0.25006722237160528</v>
      </c>
      <c r="N4896" s="11">
        <f t="shared" si="765"/>
        <v>9.2974999999999994</v>
      </c>
      <c r="O4896" s="11">
        <f t="shared" si="766"/>
        <v>0.25</v>
      </c>
      <c r="P4896" s="12">
        <f t="shared" si="767"/>
        <v>2.500000000001279E-3</v>
      </c>
      <c r="Q4896" s="17" t="str">
        <f t="shared" si="769"/>
        <v>Ecart positif</v>
      </c>
      <c r="R4896" s="38"/>
    </row>
    <row r="4897" spans="1:18" x14ac:dyDescent="0.3">
      <c r="A4897" s="34" t="str">
        <f>base!J4897</f>
        <v>RM</v>
      </c>
      <c r="B4897" s="34" t="str">
        <f>base!V4897</f>
        <v>69100</v>
      </c>
      <c r="C4897" s="37">
        <v>69</v>
      </c>
      <c r="D4897" s="36">
        <f>base!H4897</f>
        <v>180</v>
      </c>
      <c r="E4897" s="44"/>
      <c r="F4897" s="16">
        <f>base!W4897</f>
        <v>0</v>
      </c>
      <c r="G4897" s="11">
        <f t="shared" si="760"/>
        <v>0</v>
      </c>
      <c r="H4897" s="11">
        <f t="shared" si="761"/>
        <v>48.6</v>
      </c>
      <c r="I4897" s="11">
        <f t="shared" si="762"/>
        <v>0.27</v>
      </c>
      <c r="J4897" s="12">
        <f t="shared" si="763"/>
        <v>-48.6</v>
      </c>
      <c r="K4897" s="17" t="str">
        <f t="shared" si="768"/>
        <v>Ecart négatif</v>
      </c>
      <c r="L4897" s="16">
        <f>base!X4897</f>
        <v>0</v>
      </c>
      <c r="M4897" s="11">
        <f t="shared" si="764"/>
        <v>0</v>
      </c>
      <c r="N4897" s="11">
        <f t="shared" si="765"/>
        <v>0</v>
      </c>
      <c r="O4897" s="11">
        <f t="shared" si="766"/>
        <v>0</v>
      </c>
      <c r="P4897" s="12">
        <f t="shared" si="767"/>
        <v>0</v>
      </c>
      <c r="Q4897" s="17" t="str">
        <f t="shared" si="769"/>
        <v>Pas d'écart</v>
      </c>
    </row>
    <row r="4898" spans="1:18" x14ac:dyDescent="0.3">
      <c r="A4898" s="34" t="str">
        <f>base!J4898</f>
        <v>RM</v>
      </c>
      <c r="B4898" s="34" t="str">
        <f>base!V4898</f>
        <v>13014</v>
      </c>
      <c r="C4898" s="37">
        <v>13</v>
      </c>
      <c r="D4898" s="36">
        <f>base!H4898</f>
        <v>22.6</v>
      </c>
      <c r="E4898" s="44"/>
      <c r="F4898" s="16">
        <f>base!W4898</f>
        <v>0</v>
      </c>
      <c r="G4898" s="11">
        <f t="shared" si="760"/>
        <v>0</v>
      </c>
      <c r="H4898" s="11">
        <f t="shared" si="761"/>
        <v>6.5540000000000003</v>
      </c>
      <c r="I4898" s="11">
        <f t="shared" si="762"/>
        <v>0.28999999999999998</v>
      </c>
      <c r="J4898" s="12">
        <f t="shared" si="763"/>
        <v>-6.5540000000000003</v>
      </c>
      <c r="K4898" s="17" t="str">
        <f t="shared" si="768"/>
        <v>Ecart négatif</v>
      </c>
      <c r="L4898" s="16">
        <f>base!X4898</f>
        <v>0</v>
      </c>
      <c r="M4898" s="11">
        <f t="shared" si="764"/>
        <v>0</v>
      </c>
      <c r="N4898" s="11">
        <f t="shared" si="765"/>
        <v>4.2940000000000005</v>
      </c>
      <c r="O4898" s="11">
        <f t="shared" si="766"/>
        <v>0.19</v>
      </c>
      <c r="P4898" s="12">
        <f t="shared" si="767"/>
        <v>-4.2940000000000005</v>
      </c>
      <c r="Q4898" s="17" t="str">
        <f t="shared" si="769"/>
        <v>Ecart négatif</v>
      </c>
    </row>
    <row r="4899" spans="1:18" x14ac:dyDescent="0.3">
      <c r="A4899" s="34" t="str">
        <f>base!J4899</f>
        <v>RS</v>
      </c>
      <c r="B4899" s="34" t="str">
        <f>base!V4899</f>
        <v>77220</v>
      </c>
      <c r="C4899" s="37">
        <v>77</v>
      </c>
      <c r="D4899" s="36">
        <f>base!H4899</f>
        <v>140</v>
      </c>
      <c r="E4899" s="44"/>
      <c r="F4899" s="16">
        <f>base!W4899</f>
        <v>0</v>
      </c>
      <c r="G4899" s="11">
        <f t="shared" si="760"/>
        <v>0</v>
      </c>
      <c r="H4899" s="11">
        <f t="shared" si="761"/>
        <v>0</v>
      </c>
      <c r="I4899" s="11">
        <f t="shared" si="762"/>
        <v>0</v>
      </c>
      <c r="J4899" s="12">
        <f t="shared" si="763"/>
        <v>0</v>
      </c>
      <c r="K4899" s="17" t="str">
        <f t="shared" si="768"/>
        <v>Pas d'écart</v>
      </c>
      <c r="L4899" s="16">
        <f>base!X4899</f>
        <v>0</v>
      </c>
      <c r="M4899" s="11">
        <f t="shared" si="764"/>
        <v>0</v>
      </c>
      <c r="N4899" s="11">
        <f t="shared" si="765"/>
        <v>0</v>
      </c>
      <c r="O4899" s="11">
        <f t="shared" si="766"/>
        <v>0</v>
      </c>
      <c r="P4899" s="12">
        <f t="shared" si="767"/>
        <v>0</v>
      </c>
      <c r="Q4899" s="17" t="str">
        <f t="shared" si="769"/>
        <v>Pas d'écart</v>
      </c>
    </row>
    <row r="4900" spans="1:18" x14ac:dyDescent="0.3">
      <c r="A4900" s="34" t="str">
        <f>base!J4900</f>
        <v>RM</v>
      </c>
      <c r="B4900" s="34" t="str">
        <f>base!V4900</f>
        <v>13006</v>
      </c>
      <c r="C4900" s="37">
        <v>13</v>
      </c>
      <c r="D4900" s="36">
        <f>base!H4900</f>
        <v>183.81</v>
      </c>
      <c r="E4900" s="44"/>
      <c r="F4900" s="16">
        <f>base!W4900</f>
        <v>0</v>
      </c>
      <c r="G4900" s="11">
        <f t="shared" si="760"/>
        <v>0</v>
      </c>
      <c r="H4900" s="11">
        <f t="shared" si="761"/>
        <v>53.304899999999996</v>
      </c>
      <c r="I4900" s="11">
        <f t="shared" si="762"/>
        <v>0.28999999999999998</v>
      </c>
      <c r="J4900" s="12">
        <f t="shared" si="763"/>
        <v>-53.304899999999996</v>
      </c>
      <c r="K4900" s="17" t="str">
        <f t="shared" si="768"/>
        <v>Ecart négatif</v>
      </c>
      <c r="L4900" s="16">
        <f>base!X4900</f>
        <v>0</v>
      </c>
      <c r="M4900" s="11">
        <f t="shared" si="764"/>
        <v>0</v>
      </c>
      <c r="N4900" s="11">
        <f t="shared" si="765"/>
        <v>34.923900000000003</v>
      </c>
      <c r="O4900" s="11">
        <f t="shared" si="766"/>
        <v>0.19</v>
      </c>
      <c r="P4900" s="12">
        <f t="shared" si="767"/>
        <v>-34.923900000000003</v>
      </c>
      <c r="Q4900" s="17" t="str">
        <f t="shared" si="769"/>
        <v>Ecart négatif</v>
      </c>
    </row>
    <row r="4901" spans="1:18" x14ac:dyDescent="0.3">
      <c r="A4901" s="34" t="str">
        <f>base!J4901</f>
        <v>RM</v>
      </c>
      <c r="B4901" s="34" t="str">
        <f>base!V4901</f>
        <v>31000</v>
      </c>
      <c r="C4901" s="37">
        <v>31</v>
      </c>
      <c r="D4901" s="36">
        <f>base!H4901</f>
        <v>171.25</v>
      </c>
      <c r="E4901" s="44"/>
      <c r="F4901" s="16">
        <f>base!W4901</f>
        <v>0</v>
      </c>
      <c r="G4901" s="11">
        <f t="shared" si="760"/>
        <v>0</v>
      </c>
      <c r="H4901" s="11">
        <f t="shared" si="761"/>
        <v>32.537500000000001</v>
      </c>
      <c r="I4901" s="11">
        <f t="shared" si="762"/>
        <v>0.19</v>
      </c>
      <c r="J4901" s="12">
        <f t="shared" si="763"/>
        <v>-32.537500000000001</v>
      </c>
      <c r="K4901" s="17" t="str">
        <f t="shared" si="768"/>
        <v>Ecart négatif</v>
      </c>
      <c r="L4901" s="16">
        <f>base!X4901</f>
        <v>0</v>
      </c>
      <c r="M4901" s="11">
        <f t="shared" si="764"/>
        <v>0</v>
      </c>
      <c r="N4901" s="11">
        <f t="shared" si="765"/>
        <v>44.524999999999999</v>
      </c>
      <c r="O4901" s="11">
        <f t="shared" si="766"/>
        <v>0.26</v>
      </c>
      <c r="P4901" s="12">
        <f t="shared" si="767"/>
        <v>-44.524999999999999</v>
      </c>
      <c r="Q4901" s="17" t="str">
        <f t="shared" si="769"/>
        <v>Ecart négatif</v>
      </c>
    </row>
    <row r="4902" spans="1:18" x14ac:dyDescent="0.3">
      <c r="A4902" s="34" t="str">
        <f>base!J4902</f>
        <v>LM</v>
      </c>
      <c r="B4902" s="34" t="str">
        <f>base!V4902</f>
        <v>61250</v>
      </c>
      <c r="C4902" s="37">
        <v>56</v>
      </c>
      <c r="D4902" s="36">
        <f>base!H4902</f>
        <v>156.5</v>
      </c>
      <c r="E4902" s="44"/>
      <c r="F4902" s="16">
        <f>base!W4902</f>
        <v>26.61</v>
      </c>
      <c r="G4902" s="11">
        <f t="shared" si="760"/>
        <v>0.17003194888178913</v>
      </c>
      <c r="H4902" s="11">
        <f t="shared" si="761"/>
        <v>42.255000000000003</v>
      </c>
      <c r="I4902" s="11">
        <f t="shared" si="762"/>
        <v>0.27</v>
      </c>
      <c r="J4902" s="12">
        <f t="shared" si="763"/>
        <v>-15.645000000000003</v>
      </c>
      <c r="K4902" s="17" t="str">
        <f t="shared" si="768"/>
        <v>Ecart négatif</v>
      </c>
      <c r="L4902" s="16">
        <f>base!X4902</f>
        <v>0</v>
      </c>
      <c r="M4902" s="11">
        <f t="shared" si="764"/>
        <v>0</v>
      </c>
      <c r="N4902" s="11">
        <f t="shared" si="765"/>
        <v>0</v>
      </c>
      <c r="O4902" s="11">
        <f t="shared" si="766"/>
        <v>0</v>
      </c>
      <c r="P4902" s="12">
        <f t="shared" si="767"/>
        <v>0</v>
      </c>
      <c r="Q4902" s="17" t="str">
        <f t="shared" si="769"/>
        <v>Pas d'écart</v>
      </c>
    </row>
    <row r="4903" spans="1:18" x14ac:dyDescent="0.3">
      <c r="A4903" s="34" t="str">
        <f>base!J4903</f>
        <v>RS</v>
      </c>
      <c r="B4903" s="34" t="str">
        <f>base!V4903</f>
        <v>93420</v>
      </c>
      <c r="C4903" s="37">
        <v>93</v>
      </c>
      <c r="D4903" s="36">
        <f>base!H4903</f>
        <v>183.38</v>
      </c>
      <c r="E4903" s="44"/>
      <c r="F4903" s="16">
        <f>base!W4903</f>
        <v>0</v>
      </c>
      <c r="G4903" s="11">
        <f t="shared" si="760"/>
        <v>0</v>
      </c>
      <c r="H4903" s="11">
        <f t="shared" si="761"/>
        <v>0</v>
      </c>
      <c r="I4903" s="11">
        <f t="shared" si="762"/>
        <v>0</v>
      </c>
      <c r="J4903" s="12">
        <f t="shared" si="763"/>
        <v>0</v>
      </c>
      <c r="K4903" s="17" t="str">
        <f t="shared" si="768"/>
        <v>Pas d'écart</v>
      </c>
      <c r="L4903" s="16">
        <f>base!X4903</f>
        <v>0</v>
      </c>
      <c r="M4903" s="11">
        <f t="shared" si="764"/>
        <v>0</v>
      </c>
      <c r="N4903" s="11">
        <f t="shared" si="765"/>
        <v>0</v>
      </c>
      <c r="O4903" s="11">
        <f t="shared" si="766"/>
        <v>0</v>
      </c>
      <c r="P4903" s="12">
        <f t="shared" si="767"/>
        <v>0</v>
      </c>
      <c r="Q4903" s="17" t="str">
        <f t="shared" si="769"/>
        <v>Pas d'écart</v>
      </c>
    </row>
    <row r="4904" spans="1:18" x14ac:dyDescent="0.3">
      <c r="A4904" s="34" t="str">
        <f>base!J4904</f>
        <v>RM</v>
      </c>
      <c r="B4904" s="34" t="str">
        <f>base!V4904</f>
        <v>25200</v>
      </c>
      <c r="C4904" s="37">
        <v>25</v>
      </c>
      <c r="D4904" s="36">
        <f>base!H4904</f>
        <v>70</v>
      </c>
      <c r="E4904" s="44"/>
      <c r="F4904" s="16">
        <f>base!W4904</f>
        <v>0</v>
      </c>
      <c r="G4904" s="11">
        <f t="shared" si="760"/>
        <v>0</v>
      </c>
      <c r="H4904" s="11">
        <f t="shared" si="761"/>
        <v>16.8</v>
      </c>
      <c r="I4904" s="11">
        <f t="shared" si="762"/>
        <v>0.24000000000000002</v>
      </c>
      <c r="J4904" s="12">
        <f t="shared" si="763"/>
        <v>-16.8</v>
      </c>
      <c r="K4904" s="17" t="str">
        <f t="shared" si="768"/>
        <v>Ecart négatif</v>
      </c>
      <c r="L4904" s="16">
        <f>base!X4904</f>
        <v>8.4</v>
      </c>
      <c r="M4904" s="11">
        <f t="shared" si="764"/>
        <v>0.12000000000000001</v>
      </c>
      <c r="N4904" s="11">
        <f t="shared" si="765"/>
        <v>8.4</v>
      </c>
      <c r="O4904" s="11">
        <f t="shared" si="766"/>
        <v>0.12000000000000001</v>
      </c>
      <c r="P4904" s="12">
        <f t="shared" si="767"/>
        <v>0</v>
      </c>
      <c r="Q4904" s="17" t="str">
        <f t="shared" si="769"/>
        <v>Pas d'écart</v>
      </c>
      <c r="R4904" s="38"/>
    </row>
    <row r="4905" spans="1:18" x14ac:dyDescent="0.3">
      <c r="A4905" s="34" t="str">
        <f>base!J4905</f>
        <v>RS</v>
      </c>
      <c r="B4905" s="34" t="str">
        <f>base!V4905</f>
        <v>77380</v>
      </c>
      <c r="C4905" s="37">
        <v>77</v>
      </c>
      <c r="D4905" s="36">
        <f>base!H4905</f>
        <v>62.1</v>
      </c>
      <c r="E4905" s="44"/>
      <c r="F4905" s="16">
        <f>base!W4905</f>
        <v>0</v>
      </c>
      <c r="G4905" s="11">
        <f t="shared" si="760"/>
        <v>0</v>
      </c>
      <c r="H4905" s="11">
        <f t="shared" si="761"/>
        <v>0</v>
      </c>
      <c r="I4905" s="11">
        <f t="shared" si="762"/>
        <v>0</v>
      </c>
      <c r="J4905" s="12">
        <f t="shared" si="763"/>
        <v>0</v>
      </c>
      <c r="K4905" s="17" t="str">
        <f t="shared" si="768"/>
        <v>Pas d'écart</v>
      </c>
      <c r="L4905" s="16">
        <f>base!X4905</f>
        <v>0</v>
      </c>
      <c r="M4905" s="11">
        <f t="shared" si="764"/>
        <v>0</v>
      </c>
      <c r="N4905" s="11">
        <f t="shared" si="765"/>
        <v>0</v>
      </c>
      <c r="O4905" s="11">
        <f t="shared" si="766"/>
        <v>0</v>
      </c>
      <c r="P4905" s="12">
        <f t="shared" si="767"/>
        <v>0</v>
      </c>
      <c r="Q4905" s="17" t="str">
        <f t="shared" si="769"/>
        <v>Pas d'écart</v>
      </c>
    </row>
    <row r="4906" spans="1:18" x14ac:dyDescent="0.3">
      <c r="A4906" s="34" t="str">
        <f>base!J4906</f>
        <v>RS</v>
      </c>
      <c r="B4906" s="34" t="str">
        <f>base!V4906</f>
        <v>13730</v>
      </c>
      <c r="C4906" s="37">
        <v>13</v>
      </c>
      <c r="D4906" s="36">
        <f>base!H4906</f>
        <v>180</v>
      </c>
      <c r="E4906" s="44"/>
      <c r="F4906" s="16">
        <f>base!W4906</f>
        <v>0</v>
      </c>
      <c r="G4906" s="11">
        <f t="shared" si="760"/>
        <v>0</v>
      </c>
      <c r="H4906" s="11">
        <f t="shared" si="761"/>
        <v>52.199999999999996</v>
      </c>
      <c r="I4906" s="11">
        <f t="shared" si="762"/>
        <v>0.28999999999999998</v>
      </c>
      <c r="J4906" s="12">
        <f t="shared" si="763"/>
        <v>-52.199999999999996</v>
      </c>
      <c r="K4906" s="17" t="str">
        <f t="shared" si="768"/>
        <v>Ecart négatif</v>
      </c>
      <c r="L4906" s="16">
        <f>base!X4906</f>
        <v>0</v>
      </c>
      <c r="M4906" s="11">
        <f t="shared" si="764"/>
        <v>0</v>
      </c>
      <c r="N4906" s="11">
        <f t="shared" si="765"/>
        <v>34.200000000000003</v>
      </c>
      <c r="O4906" s="11">
        <f t="shared" si="766"/>
        <v>0.19</v>
      </c>
      <c r="P4906" s="12">
        <f t="shared" si="767"/>
        <v>-34.200000000000003</v>
      </c>
      <c r="Q4906" s="17" t="str">
        <f t="shared" si="769"/>
        <v>Ecart négatif</v>
      </c>
    </row>
    <row r="4907" spans="1:18" x14ac:dyDescent="0.3">
      <c r="A4907" s="34" t="str">
        <f>base!J4907</f>
        <v>RM</v>
      </c>
      <c r="B4907" s="34" t="str">
        <f>base!V4907</f>
        <v>67000</v>
      </c>
      <c r="C4907" s="37">
        <v>67</v>
      </c>
      <c r="D4907" s="36">
        <f>base!H4907</f>
        <v>40</v>
      </c>
      <c r="E4907" s="44"/>
      <c r="F4907" s="16">
        <f>base!W4907</f>
        <v>0</v>
      </c>
      <c r="G4907" s="11">
        <f t="shared" si="760"/>
        <v>0</v>
      </c>
      <c r="H4907" s="11">
        <f t="shared" si="761"/>
        <v>11.6</v>
      </c>
      <c r="I4907" s="11">
        <f t="shared" si="762"/>
        <v>0.28999999999999998</v>
      </c>
      <c r="J4907" s="12">
        <f t="shared" si="763"/>
        <v>-11.6</v>
      </c>
      <c r="K4907" s="17" t="str">
        <f t="shared" si="768"/>
        <v>Ecart négatif</v>
      </c>
      <c r="L4907" s="16">
        <f>base!X4907</f>
        <v>3.2</v>
      </c>
      <c r="M4907" s="11">
        <f t="shared" si="764"/>
        <v>0.08</v>
      </c>
      <c r="N4907" s="11">
        <f t="shared" si="765"/>
        <v>3.2</v>
      </c>
      <c r="O4907" s="11">
        <f t="shared" si="766"/>
        <v>0.08</v>
      </c>
      <c r="P4907" s="12">
        <f t="shared" si="767"/>
        <v>0</v>
      </c>
      <c r="Q4907" s="17" t="str">
        <f t="shared" si="769"/>
        <v>Pas d'écart</v>
      </c>
      <c r="R4907" s="38"/>
    </row>
    <row r="4908" spans="1:18" x14ac:dyDescent="0.3">
      <c r="A4908" s="34" t="str">
        <f>base!J4908</f>
        <v>RM</v>
      </c>
      <c r="B4908" s="34" t="str">
        <f>base!V4908</f>
        <v>94200</v>
      </c>
      <c r="C4908" s="37">
        <v>94</v>
      </c>
      <c r="D4908" s="36">
        <f>base!H4908</f>
        <v>186.99</v>
      </c>
      <c r="E4908" s="44"/>
      <c r="F4908" s="16">
        <f>base!W4908</f>
        <v>0</v>
      </c>
      <c r="G4908" s="11">
        <f t="shared" si="760"/>
        <v>0</v>
      </c>
      <c r="H4908" s="11">
        <f t="shared" si="761"/>
        <v>0</v>
      </c>
      <c r="I4908" s="11">
        <f t="shared" si="762"/>
        <v>0</v>
      </c>
      <c r="J4908" s="12">
        <f t="shared" si="763"/>
        <v>0</v>
      </c>
      <c r="K4908" s="17" t="str">
        <f t="shared" si="768"/>
        <v>Pas d'écart</v>
      </c>
      <c r="L4908" s="16">
        <f>base!X4908</f>
        <v>0</v>
      </c>
      <c r="M4908" s="11">
        <f t="shared" si="764"/>
        <v>0</v>
      </c>
      <c r="N4908" s="11">
        <f t="shared" si="765"/>
        <v>0</v>
      </c>
      <c r="O4908" s="11">
        <f t="shared" si="766"/>
        <v>0</v>
      </c>
      <c r="P4908" s="12">
        <f t="shared" si="767"/>
        <v>0</v>
      </c>
      <c r="Q4908" s="17" t="str">
        <f t="shared" si="769"/>
        <v>Pas d'écart</v>
      </c>
    </row>
    <row r="4909" spans="1:18" x14ac:dyDescent="0.3">
      <c r="A4909" s="34" t="str">
        <f>base!J4909</f>
        <v>RM</v>
      </c>
      <c r="B4909" s="34" t="str">
        <f>base!V4909</f>
        <v>94200</v>
      </c>
      <c r="C4909" s="37">
        <v>94</v>
      </c>
      <c r="D4909" s="36">
        <f>base!H4909</f>
        <v>109.07</v>
      </c>
      <c r="E4909" s="44"/>
      <c r="F4909" s="16">
        <f>base!W4909</f>
        <v>0</v>
      </c>
      <c r="G4909" s="11">
        <f t="shared" si="760"/>
        <v>0</v>
      </c>
      <c r="H4909" s="11">
        <f t="shared" si="761"/>
        <v>0</v>
      </c>
      <c r="I4909" s="11">
        <f t="shared" si="762"/>
        <v>0</v>
      </c>
      <c r="J4909" s="12">
        <f t="shared" si="763"/>
        <v>0</v>
      </c>
      <c r="K4909" s="17" t="str">
        <f t="shared" si="768"/>
        <v>Pas d'écart</v>
      </c>
      <c r="L4909" s="16">
        <f>base!X4909</f>
        <v>0</v>
      </c>
      <c r="M4909" s="11">
        <f t="shared" si="764"/>
        <v>0</v>
      </c>
      <c r="N4909" s="11">
        <f t="shared" si="765"/>
        <v>0</v>
      </c>
      <c r="O4909" s="11">
        <f t="shared" si="766"/>
        <v>0</v>
      </c>
      <c r="P4909" s="12">
        <f t="shared" si="767"/>
        <v>0</v>
      </c>
      <c r="Q4909" s="17" t="str">
        <f t="shared" si="769"/>
        <v>Pas d'écart</v>
      </c>
    </row>
    <row r="4910" spans="1:18" x14ac:dyDescent="0.3">
      <c r="A4910" s="34" t="str">
        <f>base!J4910</f>
        <v>RS</v>
      </c>
      <c r="B4910" s="34" t="str">
        <f>base!V4910</f>
        <v>76140</v>
      </c>
      <c r="C4910" s="37">
        <v>76</v>
      </c>
      <c r="D4910" s="36">
        <f>base!H4910</f>
        <v>195.02</v>
      </c>
      <c r="E4910" s="44"/>
      <c r="F4910" s="16">
        <f>base!W4910</f>
        <v>0</v>
      </c>
      <c r="G4910" s="11">
        <f t="shared" si="760"/>
        <v>0</v>
      </c>
      <c r="H4910" s="11">
        <f t="shared" si="761"/>
        <v>33.153400000000005</v>
      </c>
      <c r="I4910" s="11">
        <f t="shared" si="762"/>
        <v>0.17</v>
      </c>
      <c r="J4910" s="12">
        <f t="shared" si="763"/>
        <v>-33.153400000000005</v>
      </c>
      <c r="K4910" s="17" t="str">
        <f t="shared" si="768"/>
        <v>Ecart négatif</v>
      </c>
      <c r="L4910" s="16">
        <f>base!X4910</f>
        <v>33.15</v>
      </c>
      <c r="M4910" s="11">
        <f t="shared" si="764"/>
        <v>0.16998256589067787</v>
      </c>
      <c r="N4910" s="11">
        <f t="shared" si="765"/>
        <v>33.153400000000005</v>
      </c>
      <c r="O4910" s="11">
        <f t="shared" si="766"/>
        <v>0.17</v>
      </c>
      <c r="P4910" s="12">
        <f t="shared" si="767"/>
        <v>-3.4000000000062869E-3</v>
      </c>
      <c r="Q4910" s="17" t="str">
        <f t="shared" si="769"/>
        <v>Ecart négatif</v>
      </c>
      <c r="R4910" s="38"/>
    </row>
    <row r="4911" spans="1:18" x14ac:dyDescent="0.3">
      <c r="A4911" s="34" t="str">
        <f>base!J4911</f>
        <v>RS</v>
      </c>
      <c r="B4911" s="34" t="str">
        <f>base!V4911</f>
        <v>76100</v>
      </c>
      <c r="C4911" s="37">
        <v>76</v>
      </c>
      <c r="D4911" s="36">
        <f>base!H4911</f>
        <v>250</v>
      </c>
      <c r="E4911" s="44"/>
      <c r="F4911" s="16">
        <f>base!W4911</f>
        <v>0</v>
      </c>
      <c r="G4911" s="11">
        <f t="shared" si="760"/>
        <v>0</v>
      </c>
      <c r="H4911" s="11">
        <f t="shared" si="761"/>
        <v>42.5</v>
      </c>
      <c r="I4911" s="11">
        <f t="shared" si="762"/>
        <v>0.17</v>
      </c>
      <c r="J4911" s="12">
        <f t="shared" si="763"/>
        <v>-42.5</v>
      </c>
      <c r="K4911" s="17" t="str">
        <f t="shared" si="768"/>
        <v>Ecart négatif</v>
      </c>
      <c r="L4911" s="16">
        <f>base!X4911</f>
        <v>42.5</v>
      </c>
      <c r="M4911" s="11">
        <f t="shared" si="764"/>
        <v>0.17</v>
      </c>
      <c r="N4911" s="11">
        <f t="shared" si="765"/>
        <v>42.5</v>
      </c>
      <c r="O4911" s="11">
        <f t="shared" si="766"/>
        <v>0.17</v>
      </c>
      <c r="P4911" s="12">
        <f t="shared" si="767"/>
        <v>0</v>
      </c>
      <c r="Q4911" s="17" t="str">
        <f t="shared" si="769"/>
        <v>Pas d'écart</v>
      </c>
    </row>
    <row r="4912" spans="1:18" x14ac:dyDescent="0.3">
      <c r="A4912" s="34" t="str">
        <f>base!J4912</f>
        <v>RM</v>
      </c>
      <c r="B4912" s="34" t="str">
        <f>base!V4912</f>
        <v>55190</v>
      </c>
      <c r="C4912" s="37">
        <v>55</v>
      </c>
      <c r="D4912" s="36">
        <f>base!H4912</f>
        <v>140</v>
      </c>
      <c r="E4912" s="44"/>
      <c r="F4912" s="16">
        <f>base!W4912</f>
        <v>0</v>
      </c>
      <c r="G4912" s="11">
        <f t="shared" si="760"/>
        <v>0</v>
      </c>
      <c r="H4912" s="11">
        <f t="shared" si="761"/>
        <v>35</v>
      </c>
      <c r="I4912" s="11">
        <f t="shared" si="762"/>
        <v>0.25</v>
      </c>
      <c r="J4912" s="12">
        <f t="shared" si="763"/>
        <v>-35</v>
      </c>
      <c r="K4912" s="17" t="str">
        <f t="shared" si="768"/>
        <v>Ecart négatif</v>
      </c>
      <c r="L4912" s="16">
        <f>base!X4912</f>
        <v>35</v>
      </c>
      <c r="M4912" s="11">
        <f t="shared" si="764"/>
        <v>0.25</v>
      </c>
      <c r="N4912" s="11">
        <f t="shared" si="765"/>
        <v>35</v>
      </c>
      <c r="O4912" s="11">
        <f t="shared" si="766"/>
        <v>0.25</v>
      </c>
      <c r="P4912" s="12">
        <f t="shared" si="767"/>
        <v>0</v>
      </c>
      <c r="Q4912" s="17" t="str">
        <f t="shared" si="769"/>
        <v>Pas d'écart</v>
      </c>
    </row>
    <row r="4913" spans="1:18" x14ac:dyDescent="0.3">
      <c r="A4913" s="34" t="str">
        <f>base!J4913</f>
        <v>RS</v>
      </c>
      <c r="B4913" s="34" t="str">
        <f>base!V4913</f>
        <v>55190</v>
      </c>
      <c r="C4913" s="37">
        <v>55</v>
      </c>
      <c r="D4913" s="36">
        <f>base!H4913</f>
        <v>40</v>
      </c>
      <c r="E4913" s="44"/>
      <c r="F4913" s="16">
        <f>base!W4913</f>
        <v>0</v>
      </c>
      <c r="G4913" s="11">
        <f t="shared" si="760"/>
        <v>0</v>
      </c>
      <c r="H4913" s="11">
        <f t="shared" si="761"/>
        <v>10</v>
      </c>
      <c r="I4913" s="11">
        <f t="shared" si="762"/>
        <v>0.25</v>
      </c>
      <c r="J4913" s="12">
        <f t="shared" si="763"/>
        <v>-10</v>
      </c>
      <c r="K4913" s="17" t="str">
        <f t="shared" si="768"/>
        <v>Ecart négatif</v>
      </c>
      <c r="L4913" s="16">
        <f>base!X4913</f>
        <v>10</v>
      </c>
      <c r="M4913" s="11">
        <f t="shared" si="764"/>
        <v>0.25</v>
      </c>
      <c r="N4913" s="11">
        <f t="shared" si="765"/>
        <v>10</v>
      </c>
      <c r="O4913" s="11">
        <f t="shared" si="766"/>
        <v>0.25</v>
      </c>
      <c r="P4913" s="12">
        <f t="shared" si="767"/>
        <v>0</v>
      </c>
      <c r="Q4913" s="17" t="str">
        <f t="shared" si="769"/>
        <v>Pas d'écart</v>
      </c>
    </row>
    <row r="4914" spans="1:18" x14ac:dyDescent="0.3">
      <c r="A4914" s="34" t="str">
        <f>base!J4914</f>
        <v>RS</v>
      </c>
      <c r="B4914" s="34" t="str">
        <f>base!V4914</f>
        <v>85700</v>
      </c>
      <c r="C4914" s="37">
        <v>85</v>
      </c>
      <c r="D4914" s="36">
        <f>base!H4914</f>
        <v>18.8</v>
      </c>
      <c r="E4914" s="44"/>
      <c r="F4914" s="16">
        <f>base!W4914</f>
        <v>0</v>
      </c>
      <c r="G4914" s="11">
        <f t="shared" si="760"/>
        <v>0</v>
      </c>
      <c r="H4914" s="11">
        <f t="shared" si="761"/>
        <v>5.0760000000000005</v>
      </c>
      <c r="I4914" s="11">
        <f t="shared" si="762"/>
        <v>0.27</v>
      </c>
      <c r="J4914" s="12">
        <f t="shared" si="763"/>
        <v>-5.0760000000000005</v>
      </c>
      <c r="K4914" s="17" t="str">
        <f t="shared" si="768"/>
        <v>Ecart négatif</v>
      </c>
      <c r="L4914" s="16">
        <f>base!X4914</f>
        <v>5.08</v>
      </c>
      <c r="M4914" s="11">
        <f t="shared" si="764"/>
        <v>0.27021276595744681</v>
      </c>
      <c r="N4914" s="11">
        <f t="shared" si="765"/>
        <v>0</v>
      </c>
      <c r="O4914" s="11">
        <f t="shared" si="766"/>
        <v>0</v>
      </c>
      <c r="P4914" s="12">
        <f t="shared" si="767"/>
        <v>5.08</v>
      </c>
      <c r="Q4914" s="17" t="str">
        <f t="shared" si="769"/>
        <v>Ecart positif</v>
      </c>
      <c r="R4914" s="38"/>
    </row>
    <row r="4915" spans="1:18" x14ac:dyDescent="0.3">
      <c r="A4915" s="34" t="str">
        <f>base!J4915</f>
        <v>LM</v>
      </c>
      <c r="B4915" s="34" t="str">
        <f>base!V4915</f>
        <v>92000</v>
      </c>
      <c r="C4915" s="37">
        <v>92</v>
      </c>
      <c r="D4915" s="36">
        <f>base!H4915</f>
        <v>50.84</v>
      </c>
      <c r="E4915" s="44"/>
      <c r="F4915" s="16">
        <f>base!W4915</f>
        <v>0</v>
      </c>
      <c r="G4915" s="11">
        <f t="shared" si="760"/>
        <v>0</v>
      </c>
      <c r="H4915" s="11">
        <f t="shared" si="761"/>
        <v>0</v>
      </c>
      <c r="I4915" s="11">
        <f t="shared" si="762"/>
        <v>0</v>
      </c>
      <c r="J4915" s="12">
        <f t="shared" si="763"/>
        <v>0</v>
      </c>
      <c r="K4915" s="17" t="str">
        <f t="shared" si="768"/>
        <v>Pas d'écart</v>
      </c>
      <c r="L4915" s="16">
        <f>base!X4915</f>
        <v>0</v>
      </c>
      <c r="M4915" s="11">
        <f t="shared" si="764"/>
        <v>0</v>
      </c>
      <c r="N4915" s="11">
        <f t="shared" si="765"/>
        <v>0</v>
      </c>
      <c r="O4915" s="11">
        <f t="shared" si="766"/>
        <v>0</v>
      </c>
      <c r="P4915" s="12">
        <f t="shared" si="767"/>
        <v>0</v>
      </c>
      <c r="Q4915" s="17" t="str">
        <f t="shared" si="769"/>
        <v>Pas d'écart</v>
      </c>
    </row>
    <row r="4916" spans="1:18" x14ac:dyDescent="0.3">
      <c r="A4916" s="34" t="str">
        <f>base!J4916</f>
        <v>LM</v>
      </c>
      <c r="B4916" s="34" t="str">
        <f>base!V4916</f>
        <v>92000</v>
      </c>
      <c r="C4916" s="37">
        <v>92</v>
      </c>
      <c r="D4916" s="36">
        <f>base!H4916</f>
        <v>50.84</v>
      </c>
      <c r="E4916" s="44"/>
      <c r="F4916" s="16">
        <f>base!W4916</f>
        <v>0</v>
      </c>
      <c r="G4916" s="11">
        <f t="shared" si="760"/>
        <v>0</v>
      </c>
      <c r="H4916" s="11">
        <f t="shared" si="761"/>
        <v>0</v>
      </c>
      <c r="I4916" s="11">
        <f t="shared" si="762"/>
        <v>0</v>
      </c>
      <c r="J4916" s="12">
        <f t="shared" si="763"/>
        <v>0</v>
      </c>
      <c r="K4916" s="17" t="str">
        <f t="shared" si="768"/>
        <v>Pas d'écart</v>
      </c>
      <c r="L4916" s="16">
        <f>base!X4916</f>
        <v>0</v>
      </c>
      <c r="M4916" s="11">
        <f t="shared" si="764"/>
        <v>0</v>
      </c>
      <c r="N4916" s="11">
        <f t="shared" si="765"/>
        <v>0</v>
      </c>
      <c r="O4916" s="11">
        <f t="shared" si="766"/>
        <v>0</v>
      </c>
      <c r="P4916" s="12">
        <f t="shared" si="767"/>
        <v>0</v>
      </c>
      <c r="Q4916" s="17" t="str">
        <f t="shared" si="769"/>
        <v>Pas d'écart</v>
      </c>
    </row>
    <row r="4917" spans="1:18" x14ac:dyDescent="0.3">
      <c r="A4917" s="34" t="str">
        <f>base!J4917</f>
        <v>RS</v>
      </c>
      <c r="B4917" s="34" t="str">
        <f>base!V4917</f>
        <v>77230</v>
      </c>
      <c r="C4917" s="37">
        <v>77</v>
      </c>
      <c r="D4917" s="36">
        <f>base!H4917</f>
        <v>140</v>
      </c>
      <c r="E4917" s="44"/>
      <c r="F4917" s="16">
        <f>base!W4917</f>
        <v>0</v>
      </c>
      <c r="G4917" s="11">
        <f t="shared" si="760"/>
        <v>0</v>
      </c>
      <c r="H4917" s="11">
        <f t="shared" si="761"/>
        <v>0</v>
      </c>
      <c r="I4917" s="11">
        <f t="shared" si="762"/>
        <v>0</v>
      </c>
      <c r="J4917" s="12">
        <f t="shared" si="763"/>
        <v>0</v>
      </c>
      <c r="K4917" s="17" t="str">
        <f t="shared" si="768"/>
        <v>Pas d'écart</v>
      </c>
      <c r="L4917" s="16">
        <f>base!X4917</f>
        <v>0</v>
      </c>
      <c r="M4917" s="11">
        <f t="shared" si="764"/>
        <v>0</v>
      </c>
      <c r="N4917" s="11">
        <f t="shared" si="765"/>
        <v>0</v>
      </c>
      <c r="O4917" s="11">
        <f t="shared" si="766"/>
        <v>0</v>
      </c>
      <c r="P4917" s="12">
        <f t="shared" si="767"/>
        <v>0</v>
      </c>
      <c r="Q4917" s="17" t="str">
        <f t="shared" si="769"/>
        <v>Pas d'écart</v>
      </c>
    </row>
    <row r="4918" spans="1:18" x14ac:dyDescent="0.3">
      <c r="A4918" s="34" t="str">
        <f>base!J4918</f>
        <v>RS</v>
      </c>
      <c r="B4918" s="34" t="str">
        <f>base!V4918</f>
        <v>37540</v>
      </c>
      <c r="C4918" s="37">
        <v>37</v>
      </c>
      <c r="D4918" s="36">
        <f>base!H4918</f>
        <v>40</v>
      </c>
      <c r="E4918" s="44"/>
      <c r="F4918" s="16">
        <f>base!W4918</f>
        <v>0</v>
      </c>
      <c r="G4918" s="11">
        <f t="shared" si="760"/>
        <v>0</v>
      </c>
      <c r="H4918" s="11">
        <f t="shared" si="761"/>
        <v>7.6</v>
      </c>
      <c r="I4918" s="11">
        <f t="shared" si="762"/>
        <v>0.19</v>
      </c>
      <c r="J4918" s="12">
        <f t="shared" si="763"/>
        <v>-7.6</v>
      </c>
      <c r="K4918" s="17" t="str">
        <f t="shared" si="768"/>
        <v>Ecart négatif</v>
      </c>
      <c r="L4918" s="16">
        <f>base!X4918</f>
        <v>0</v>
      </c>
      <c r="M4918" s="11">
        <f t="shared" si="764"/>
        <v>0</v>
      </c>
      <c r="N4918" s="11">
        <f t="shared" si="765"/>
        <v>4.8</v>
      </c>
      <c r="O4918" s="11">
        <f t="shared" si="766"/>
        <v>0.12</v>
      </c>
      <c r="P4918" s="12">
        <f t="shared" si="767"/>
        <v>-4.8</v>
      </c>
      <c r="Q4918" s="17" t="str">
        <f t="shared" si="769"/>
        <v>Ecart négatif</v>
      </c>
    </row>
    <row r="4919" spans="1:18" x14ac:dyDescent="0.3">
      <c r="A4919" s="34" t="str">
        <f>base!J4919</f>
        <v>DLM</v>
      </c>
      <c r="B4919" s="34" t="str">
        <f>base!V4919</f>
        <v>69003</v>
      </c>
      <c r="C4919" s="37">
        <v>69</v>
      </c>
      <c r="D4919" s="36">
        <f>base!H4919</f>
        <v>52.5</v>
      </c>
      <c r="E4919" s="44"/>
      <c r="F4919" s="16">
        <f>base!W4919</f>
        <v>0</v>
      </c>
      <c r="G4919" s="11">
        <f t="shared" si="760"/>
        <v>0</v>
      </c>
      <c r="H4919" s="11">
        <f t="shared" si="761"/>
        <v>14.175000000000001</v>
      </c>
      <c r="I4919" s="11">
        <f t="shared" si="762"/>
        <v>0.27</v>
      </c>
      <c r="J4919" s="12">
        <f t="shared" si="763"/>
        <v>-14.175000000000001</v>
      </c>
      <c r="K4919" s="17" t="str">
        <f t="shared" si="768"/>
        <v>Ecart négatif</v>
      </c>
      <c r="L4919" s="16">
        <f>base!X4919</f>
        <v>0</v>
      </c>
      <c r="M4919" s="11">
        <f t="shared" si="764"/>
        <v>0</v>
      </c>
      <c r="N4919" s="11">
        <f t="shared" si="765"/>
        <v>0</v>
      </c>
      <c r="O4919" s="11">
        <f t="shared" si="766"/>
        <v>0</v>
      </c>
      <c r="P4919" s="12">
        <f t="shared" si="767"/>
        <v>0</v>
      </c>
      <c r="Q4919" s="17" t="str">
        <f t="shared" si="769"/>
        <v>Pas d'écart</v>
      </c>
    </row>
    <row r="4920" spans="1:18" x14ac:dyDescent="0.3">
      <c r="A4920" s="34" t="str">
        <f>base!J4920</f>
        <v>DLM</v>
      </c>
      <c r="B4920" s="34" t="str">
        <f>base!V4920</f>
        <v>64000</v>
      </c>
      <c r="C4920" s="37">
        <v>64</v>
      </c>
      <c r="D4920" s="36">
        <f>base!H4920</f>
        <v>52.5</v>
      </c>
      <c r="E4920" s="44"/>
      <c r="F4920" s="16">
        <f>base!W4920</f>
        <v>0</v>
      </c>
      <c r="G4920" s="11">
        <f t="shared" si="760"/>
        <v>0</v>
      </c>
      <c r="H4920" s="11">
        <f t="shared" si="761"/>
        <v>11.025</v>
      </c>
      <c r="I4920" s="11">
        <f t="shared" si="762"/>
        <v>0.21000000000000002</v>
      </c>
      <c r="J4920" s="12">
        <f t="shared" si="763"/>
        <v>-11.025</v>
      </c>
      <c r="K4920" s="17" t="str">
        <f t="shared" si="768"/>
        <v>Ecart négatif</v>
      </c>
      <c r="L4920" s="16">
        <f>base!X4920</f>
        <v>0</v>
      </c>
      <c r="M4920" s="11">
        <f t="shared" si="764"/>
        <v>0</v>
      </c>
      <c r="N4920" s="11">
        <f t="shared" si="765"/>
        <v>8.9250000000000007</v>
      </c>
      <c r="O4920" s="11">
        <f t="shared" si="766"/>
        <v>0.17</v>
      </c>
      <c r="P4920" s="12">
        <f t="shared" si="767"/>
        <v>-8.9250000000000007</v>
      </c>
      <c r="Q4920" s="17" t="str">
        <f t="shared" si="769"/>
        <v>Ecart négatif</v>
      </c>
    </row>
    <row r="4921" spans="1:18" x14ac:dyDescent="0.3">
      <c r="A4921" s="34" t="str">
        <f>base!J4921</f>
        <v>DLM</v>
      </c>
      <c r="B4921" s="34" t="str">
        <f>base!V4921</f>
        <v>76100</v>
      </c>
      <c r="C4921" s="37">
        <v>76</v>
      </c>
      <c r="D4921" s="36">
        <f>base!H4921</f>
        <v>52.5</v>
      </c>
      <c r="E4921" s="44"/>
      <c r="F4921" s="16">
        <f>base!W4921</f>
        <v>0</v>
      </c>
      <c r="G4921" s="11">
        <f t="shared" si="760"/>
        <v>0</v>
      </c>
      <c r="H4921" s="11">
        <f t="shared" si="761"/>
        <v>8.9250000000000007</v>
      </c>
      <c r="I4921" s="11">
        <f t="shared" si="762"/>
        <v>0.17</v>
      </c>
      <c r="J4921" s="12">
        <f t="shared" si="763"/>
        <v>-8.9250000000000007</v>
      </c>
      <c r="K4921" s="17" t="str">
        <f t="shared" si="768"/>
        <v>Ecart négatif</v>
      </c>
      <c r="L4921" s="16">
        <f>base!X4921</f>
        <v>0</v>
      </c>
      <c r="M4921" s="11">
        <f t="shared" si="764"/>
        <v>0</v>
      </c>
      <c r="N4921" s="11">
        <f t="shared" si="765"/>
        <v>8.9250000000000007</v>
      </c>
      <c r="O4921" s="11">
        <f t="shared" si="766"/>
        <v>0.17</v>
      </c>
      <c r="P4921" s="12">
        <f t="shared" si="767"/>
        <v>-8.9250000000000007</v>
      </c>
      <c r="Q4921" s="17" t="str">
        <f t="shared" si="769"/>
        <v>Ecart négatif</v>
      </c>
    </row>
    <row r="4922" spans="1:18" x14ac:dyDescent="0.3">
      <c r="A4922" s="34" t="str">
        <f>base!J4922</f>
        <v>DLM</v>
      </c>
      <c r="B4922" s="34" t="str">
        <f>base!V4922</f>
        <v>59140</v>
      </c>
      <c r="C4922" s="37">
        <v>59</v>
      </c>
      <c r="D4922" s="36">
        <f>base!H4922</f>
        <v>52.5</v>
      </c>
      <c r="E4922" s="44"/>
      <c r="F4922" s="16">
        <f>base!W4922</f>
        <v>0</v>
      </c>
      <c r="G4922" s="11">
        <f t="shared" si="760"/>
        <v>0</v>
      </c>
      <c r="H4922" s="11">
        <f t="shared" si="761"/>
        <v>9.9749999999999996</v>
      </c>
      <c r="I4922" s="11">
        <f t="shared" si="762"/>
        <v>0.19</v>
      </c>
      <c r="J4922" s="12">
        <f t="shared" si="763"/>
        <v>-9.9749999999999996</v>
      </c>
      <c r="K4922" s="17" t="str">
        <f t="shared" si="768"/>
        <v>Ecart négatif</v>
      </c>
      <c r="L4922" s="16">
        <f>base!X4922</f>
        <v>0</v>
      </c>
      <c r="M4922" s="11">
        <f t="shared" si="764"/>
        <v>0</v>
      </c>
      <c r="N4922" s="11">
        <f t="shared" si="765"/>
        <v>0</v>
      </c>
      <c r="O4922" s="11">
        <f t="shared" si="766"/>
        <v>0</v>
      </c>
      <c r="P4922" s="12">
        <f t="shared" si="767"/>
        <v>0</v>
      </c>
      <c r="Q4922" s="17" t="str">
        <f t="shared" si="769"/>
        <v>Pas d'écart</v>
      </c>
    </row>
    <row r="4923" spans="1:18" x14ac:dyDescent="0.3">
      <c r="A4923" s="34" t="str">
        <f>base!J4923</f>
        <v>RM</v>
      </c>
      <c r="B4923" s="34" t="str">
        <f>base!V4923</f>
        <v>45140</v>
      </c>
      <c r="C4923" s="37">
        <v>45</v>
      </c>
      <c r="D4923" s="36">
        <f>base!H4923</f>
        <v>70</v>
      </c>
      <c r="E4923" s="44"/>
      <c r="F4923" s="16">
        <f>base!W4923</f>
        <v>0</v>
      </c>
      <c r="G4923" s="11">
        <f t="shared" si="760"/>
        <v>0</v>
      </c>
      <c r="H4923" s="11">
        <f t="shared" si="761"/>
        <v>14.7</v>
      </c>
      <c r="I4923" s="11">
        <f t="shared" si="762"/>
        <v>0.21</v>
      </c>
      <c r="J4923" s="12">
        <f t="shared" si="763"/>
        <v>-14.7</v>
      </c>
      <c r="K4923" s="17" t="str">
        <f t="shared" si="768"/>
        <v>Ecart négatif</v>
      </c>
      <c r="L4923" s="16">
        <f>base!X4923</f>
        <v>18.899999999999999</v>
      </c>
      <c r="M4923" s="11">
        <f t="shared" si="764"/>
        <v>0.26999999999999996</v>
      </c>
      <c r="N4923" s="11">
        <f t="shared" si="765"/>
        <v>8.4</v>
      </c>
      <c r="O4923" s="11">
        <f t="shared" si="766"/>
        <v>0.12000000000000001</v>
      </c>
      <c r="P4923" s="12">
        <f t="shared" si="767"/>
        <v>10.499999999999998</v>
      </c>
      <c r="Q4923" s="17" t="str">
        <f t="shared" si="769"/>
        <v>Ecart positif</v>
      </c>
      <c r="R4923" s="38"/>
    </row>
    <row r="4924" spans="1:18" x14ac:dyDescent="0.3">
      <c r="A4924" s="34" t="str">
        <f>base!J4924</f>
        <v>RM</v>
      </c>
      <c r="B4924" s="34" t="str">
        <f>base!V4924</f>
        <v>54270</v>
      </c>
      <c r="C4924" s="37">
        <v>54</v>
      </c>
      <c r="D4924" s="36">
        <f>base!H4924</f>
        <v>139.16999999999999</v>
      </c>
      <c r="E4924" s="44"/>
      <c r="F4924" s="16">
        <f>base!W4924</f>
        <v>0</v>
      </c>
      <c r="G4924" s="11">
        <f t="shared" si="760"/>
        <v>0</v>
      </c>
      <c r="H4924" s="11">
        <f t="shared" si="761"/>
        <v>34.792499999999997</v>
      </c>
      <c r="I4924" s="11">
        <f t="shared" si="762"/>
        <v>0.25</v>
      </c>
      <c r="J4924" s="12">
        <f t="shared" si="763"/>
        <v>-34.792499999999997</v>
      </c>
      <c r="K4924" s="17" t="str">
        <f t="shared" si="768"/>
        <v>Ecart négatif</v>
      </c>
      <c r="L4924" s="16">
        <f>base!X4924</f>
        <v>34.79</v>
      </c>
      <c r="M4924" s="11">
        <f t="shared" si="764"/>
        <v>0.2499820363584106</v>
      </c>
      <c r="N4924" s="11">
        <f t="shared" si="765"/>
        <v>34.792499999999997</v>
      </c>
      <c r="O4924" s="11">
        <f t="shared" si="766"/>
        <v>0.25</v>
      </c>
      <c r="P4924" s="12">
        <f t="shared" si="767"/>
        <v>-2.4999999999977263E-3</v>
      </c>
      <c r="Q4924" s="17" t="str">
        <f t="shared" si="769"/>
        <v>Ecart négatif</v>
      </c>
      <c r="R4924" s="38"/>
    </row>
    <row r="4925" spans="1:18" x14ac:dyDescent="0.3">
      <c r="A4925" s="34" t="str">
        <f>base!J4925</f>
        <v>RM</v>
      </c>
      <c r="B4925" s="34" t="str">
        <f>base!V4925</f>
        <v>61100</v>
      </c>
      <c r="C4925" s="37">
        <v>61</v>
      </c>
      <c r="D4925" s="36">
        <f>base!H4925</f>
        <v>337</v>
      </c>
      <c r="E4925" s="44"/>
      <c r="F4925" s="16">
        <f>base!W4925</f>
        <v>0</v>
      </c>
      <c r="G4925" s="11">
        <f t="shared" si="760"/>
        <v>0</v>
      </c>
      <c r="H4925" s="11">
        <f t="shared" si="761"/>
        <v>57.290000000000006</v>
      </c>
      <c r="I4925" s="11">
        <f t="shared" si="762"/>
        <v>0.17</v>
      </c>
      <c r="J4925" s="12">
        <f t="shared" si="763"/>
        <v>-57.290000000000006</v>
      </c>
      <c r="K4925" s="17" t="str">
        <f t="shared" si="768"/>
        <v>Ecart négatif</v>
      </c>
      <c r="L4925" s="16">
        <f>base!X4925</f>
        <v>0</v>
      </c>
      <c r="M4925" s="11">
        <f t="shared" si="764"/>
        <v>0</v>
      </c>
      <c r="N4925" s="11">
        <f t="shared" si="765"/>
        <v>57.290000000000006</v>
      </c>
      <c r="O4925" s="11">
        <f t="shared" si="766"/>
        <v>0.17</v>
      </c>
      <c r="P4925" s="12">
        <f t="shared" si="767"/>
        <v>-57.290000000000006</v>
      </c>
      <c r="Q4925" s="17" t="str">
        <f t="shared" si="769"/>
        <v>Ecart négatif</v>
      </c>
    </row>
    <row r="4926" spans="1:18" x14ac:dyDescent="0.3">
      <c r="A4926" s="34" t="str">
        <f>base!J4926</f>
        <v>RM</v>
      </c>
      <c r="B4926" s="34" t="str">
        <f>base!V4926</f>
        <v>77000</v>
      </c>
      <c r="C4926" s="37">
        <v>77</v>
      </c>
      <c r="D4926" s="36">
        <f>base!H4926</f>
        <v>140</v>
      </c>
      <c r="E4926" s="44"/>
      <c r="F4926" s="16">
        <f>base!W4926</f>
        <v>0</v>
      </c>
      <c r="G4926" s="11">
        <f t="shared" si="760"/>
        <v>0</v>
      </c>
      <c r="H4926" s="11">
        <f t="shared" si="761"/>
        <v>0</v>
      </c>
      <c r="I4926" s="11">
        <f t="shared" si="762"/>
        <v>0</v>
      </c>
      <c r="J4926" s="12">
        <f t="shared" si="763"/>
        <v>0</v>
      </c>
      <c r="K4926" s="17" t="str">
        <f t="shared" si="768"/>
        <v>Pas d'écart</v>
      </c>
      <c r="L4926" s="16">
        <f>base!X4926</f>
        <v>0</v>
      </c>
      <c r="M4926" s="11">
        <f t="shared" si="764"/>
        <v>0</v>
      </c>
      <c r="N4926" s="11">
        <f t="shared" si="765"/>
        <v>0</v>
      </c>
      <c r="O4926" s="11">
        <f t="shared" si="766"/>
        <v>0</v>
      </c>
      <c r="P4926" s="12">
        <f t="shared" si="767"/>
        <v>0</v>
      </c>
      <c r="Q4926" s="17" t="str">
        <f t="shared" si="769"/>
        <v>Pas d'écart</v>
      </c>
    </row>
    <row r="4927" spans="1:18" x14ac:dyDescent="0.3">
      <c r="A4927" s="34" t="str">
        <f>base!J4927</f>
        <v>DRM</v>
      </c>
      <c r="B4927" s="34" t="str">
        <f>base!V4927</f>
        <v>38230</v>
      </c>
      <c r="C4927" s="37">
        <v>38</v>
      </c>
      <c r="D4927" s="36">
        <f>base!H4927</f>
        <v>23.4</v>
      </c>
      <c r="E4927" s="44"/>
      <c r="F4927" s="16">
        <f>base!W4927</f>
        <v>0</v>
      </c>
      <c r="G4927" s="11">
        <f t="shared" si="760"/>
        <v>0</v>
      </c>
      <c r="H4927" s="11">
        <f t="shared" si="761"/>
        <v>6.3179999999999996</v>
      </c>
      <c r="I4927" s="11">
        <f t="shared" si="762"/>
        <v>0.27</v>
      </c>
      <c r="J4927" s="12">
        <f t="shared" si="763"/>
        <v>-6.3179999999999996</v>
      </c>
      <c r="K4927" s="17" t="str">
        <f t="shared" si="768"/>
        <v>Ecart négatif</v>
      </c>
      <c r="L4927" s="16">
        <f>base!X4927</f>
        <v>0</v>
      </c>
      <c r="M4927" s="11">
        <f t="shared" si="764"/>
        <v>0</v>
      </c>
      <c r="N4927" s="11">
        <f t="shared" si="765"/>
        <v>0</v>
      </c>
      <c r="O4927" s="11">
        <f t="shared" si="766"/>
        <v>0</v>
      </c>
      <c r="P4927" s="12">
        <f t="shared" si="767"/>
        <v>0</v>
      </c>
      <c r="Q4927" s="17" t="str">
        <f t="shared" si="769"/>
        <v>Pas d'écart</v>
      </c>
    </row>
    <row r="4928" spans="1:18" x14ac:dyDescent="0.3">
      <c r="A4928" s="34" t="str">
        <f>base!J4928</f>
        <v>DLS</v>
      </c>
      <c r="B4928" s="34" t="str">
        <f>base!V4928</f>
        <v>45400</v>
      </c>
      <c r="C4928" s="37">
        <v>45</v>
      </c>
      <c r="D4928" s="36">
        <f>base!H4928</f>
        <v>180</v>
      </c>
      <c r="E4928" s="44"/>
      <c r="F4928" s="16">
        <f>base!W4928</f>
        <v>0</v>
      </c>
      <c r="G4928" s="11">
        <f t="shared" si="760"/>
        <v>0</v>
      </c>
      <c r="H4928" s="11">
        <f t="shared" si="761"/>
        <v>37.799999999999997</v>
      </c>
      <c r="I4928" s="11">
        <f t="shared" si="762"/>
        <v>0.21</v>
      </c>
      <c r="J4928" s="12">
        <f t="shared" si="763"/>
        <v>-37.799999999999997</v>
      </c>
      <c r="K4928" s="17" t="str">
        <f t="shared" si="768"/>
        <v>Ecart négatif</v>
      </c>
      <c r="L4928" s="16">
        <f>base!X4928</f>
        <v>0</v>
      </c>
      <c r="M4928" s="11">
        <f t="shared" si="764"/>
        <v>0</v>
      </c>
      <c r="N4928" s="11">
        <f t="shared" si="765"/>
        <v>21.599999999999998</v>
      </c>
      <c r="O4928" s="11">
        <f t="shared" si="766"/>
        <v>0.11999999999999998</v>
      </c>
      <c r="P4928" s="12">
        <f t="shared" si="767"/>
        <v>-21.599999999999998</v>
      </c>
      <c r="Q4928" s="17" t="str">
        <f t="shared" si="769"/>
        <v>Ecart négatif</v>
      </c>
    </row>
    <row r="4929" spans="1:18" x14ac:dyDescent="0.3">
      <c r="A4929" s="34" t="str">
        <f>base!J4929</f>
        <v>LM</v>
      </c>
      <c r="B4929" s="34" t="str">
        <f>base!V4929</f>
        <v>45330</v>
      </c>
      <c r="C4929" s="37">
        <v>1</v>
      </c>
      <c r="D4929" s="36">
        <f>base!H4929</f>
        <v>136.65</v>
      </c>
      <c r="E4929" s="44"/>
      <c r="F4929" s="16">
        <f>base!W4929</f>
        <v>28.7</v>
      </c>
      <c r="G4929" s="11">
        <f t="shared" si="760"/>
        <v>0.21002561287961946</v>
      </c>
      <c r="H4929" s="11">
        <f t="shared" si="761"/>
        <v>35.529000000000003</v>
      </c>
      <c r="I4929" s="11">
        <f t="shared" si="762"/>
        <v>0.26</v>
      </c>
      <c r="J4929" s="12">
        <f t="shared" si="763"/>
        <v>-6.8290000000000042</v>
      </c>
      <c r="K4929" s="17" t="str">
        <f t="shared" si="768"/>
        <v>Ecart négatif</v>
      </c>
      <c r="L4929" s="16">
        <f>base!X4929</f>
        <v>0</v>
      </c>
      <c r="M4929" s="11">
        <f t="shared" si="764"/>
        <v>0</v>
      </c>
      <c r="N4929" s="11">
        <f t="shared" si="765"/>
        <v>0</v>
      </c>
      <c r="O4929" s="11">
        <f t="shared" si="766"/>
        <v>0</v>
      </c>
      <c r="P4929" s="12">
        <f t="shared" si="767"/>
        <v>0</v>
      </c>
      <c r="Q4929" s="17" t="str">
        <f t="shared" si="769"/>
        <v>Pas d'écart</v>
      </c>
    </row>
    <row r="4930" spans="1:18" x14ac:dyDescent="0.3">
      <c r="A4930" s="34" t="str">
        <f>base!J4930</f>
        <v>RS</v>
      </c>
      <c r="B4930" s="34" t="str">
        <f>base!V4930</f>
        <v>37700</v>
      </c>
      <c r="C4930" s="37">
        <v>37</v>
      </c>
      <c r="D4930" s="36">
        <f>base!H4930</f>
        <v>40</v>
      </c>
      <c r="E4930" s="44"/>
      <c r="F4930" s="16">
        <f>base!W4930</f>
        <v>0</v>
      </c>
      <c r="G4930" s="11">
        <f t="shared" ref="G4930:G4993" si="770">F4930/D4930</f>
        <v>0</v>
      </c>
      <c r="H4930" s="11">
        <f t="shared" ref="H4930:H4993" si="771">VLOOKUP(C4930,tout_cout_traction,2,FALSE)*D4930</f>
        <v>7.6</v>
      </c>
      <c r="I4930" s="11">
        <f t="shared" ref="I4930:I4993" si="772">H4930/D4930</f>
        <v>0.19</v>
      </c>
      <c r="J4930" s="12">
        <f t="shared" ref="J4930:J4993" si="773">F4930-H4930</f>
        <v>-7.6</v>
      </c>
      <c r="K4930" s="17" t="str">
        <f t="shared" si="768"/>
        <v>Ecart négatif</v>
      </c>
      <c r="L4930" s="16">
        <f>base!X4930</f>
        <v>0</v>
      </c>
      <c r="M4930" s="11">
        <f t="shared" ref="M4930:M4993" si="774">L4930/D4930</f>
        <v>0</v>
      </c>
      <c r="N4930" s="11">
        <f t="shared" ref="N4930:N4993" si="775">VLOOKUP(C4930,tout_cout_traction,3,FALSE)*D4930</f>
        <v>4.8</v>
      </c>
      <c r="O4930" s="11">
        <f t="shared" ref="O4930:O4993" si="776">N4930/D4930</f>
        <v>0.12</v>
      </c>
      <c r="P4930" s="12">
        <f t="shared" ref="P4930:P4993" si="777">L4930-N4930</f>
        <v>-4.8</v>
      </c>
      <c r="Q4930" s="17" t="str">
        <f t="shared" si="769"/>
        <v>Ecart négatif</v>
      </c>
    </row>
    <row r="4931" spans="1:18" x14ac:dyDescent="0.3">
      <c r="A4931" s="34" t="str">
        <f>base!J4931</f>
        <v>LM</v>
      </c>
      <c r="B4931" s="34" t="str">
        <f>base!V4931</f>
        <v>13790</v>
      </c>
      <c r="C4931" s="37">
        <v>13</v>
      </c>
      <c r="D4931" s="36">
        <f>base!H4931</f>
        <v>73</v>
      </c>
      <c r="E4931" s="44"/>
      <c r="F4931" s="16">
        <f>base!W4931</f>
        <v>37.229999999999997</v>
      </c>
      <c r="G4931" s="11">
        <f t="shared" si="770"/>
        <v>0.51</v>
      </c>
      <c r="H4931" s="11">
        <f t="shared" si="771"/>
        <v>21.169999999999998</v>
      </c>
      <c r="I4931" s="11">
        <f t="shared" si="772"/>
        <v>0.28999999999999998</v>
      </c>
      <c r="J4931" s="12">
        <f t="shared" si="773"/>
        <v>16.059999999999999</v>
      </c>
      <c r="K4931" s="17" t="str">
        <f t="shared" ref="K4931:K4994" si="778">IF(H4931=F4931,"Pas d'écart",IF(H4931&lt;F4931,"Ecart positif",IF(H4931&gt;F4931,"Ecart négatif")))</f>
        <v>Ecart positif</v>
      </c>
      <c r="L4931" s="16">
        <f>base!X4931</f>
        <v>0</v>
      </c>
      <c r="M4931" s="11">
        <f t="shared" si="774"/>
        <v>0</v>
      </c>
      <c r="N4931" s="11">
        <f t="shared" si="775"/>
        <v>13.870000000000001</v>
      </c>
      <c r="O4931" s="11">
        <f t="shared" si="776"/>
        <v>0.19</v>
      </c>
      <c r="P4931" s="12">
        <f t="shared" si="777"/>
        <v>-13.870000000000001</v>
      </c>
      <c r="Q4931" s="17" t="str">
        <f t="shared" ref="Q4931:Q4994" si="779">IF(N4931=L4931,"Pas d'écart",IF(N4931&lt;L4931,"Ecart positif",IF(N4931&gt;L4931,"Ecart négatif")))</f>
        <v>Ecart négatif</v>
      </c>
    </row>
    <row r="4932" spans="1:18" x14ac:dyDescent="0.3">
      <c r="A4932" s="34" t="str">
        <f>base!J4932</f>
        <v>DLM</v>
      </c>
      <c r="B4932" s="34" t="str">
        <f>base!V4932</f>
        <v>51100</v>
      </c>
      <c r="C4932" s="37">
        <v>51</v>
      </c>
      <c r="D4932" s="36">
        <f>base!H4932</f>
        <v>140</v>
      </c>
      <c r="E4932" s="44"/>
      <c r="F4932" s="16">
        <f>base!W4932</f>
        <v>0</v>
      </c>
      <c r="G4932" s="11">
        <f t="shared" si="770"/>
        <v>0</v>
      </c>
      <c r="H4932" s="11">
        <f t="shared" si="771"/>
        <v>35</v>
      </c>
      <c r="I4932" s="11">
        <f t="shared" si="772"/>
        <v>0.25</v>
      </c>
      <c r="J4932" s="12">
        <f t="shared" si="773"/>
        <v>-35</v>
      </c>
      <c r="K4932" s="17" t="str">
        <f t="shared" si="778"/>
        <v>Ecart négatif</v>
      </c>
      <c r="L4932" s="16">
        <f>base!X4932</f>
        <v>0</v>
      </c>
      <c r="M4932" s="11">
        <f t="shared" si="774"/>
        <v>0</v>
      </c>
      <c r="N4932" s="11">
        <f t="shared" si="775"/>
        <v>35</v>
      </c>
      <c r="O4932" s="11">
        <f t="shared" si="776"/>
        <v>0.25</v>
      </c>
      <c r="P4932" s="12">
        <f t="shared" si="777"/>
        <v>-35</v>
      </c>
      <c r="Q4932" s="17" t="str">
        <f t="shared" si="779"/>
        <v>Ecart négatif</v>
      </c>
    </row>
    <row r="4933" spans="1:18" x14ac:dyDescent="0.3">
      <c r="A4933" s="34" t="str">
        <f>base!J4933</f>
        <v>RS</v>
      </c>
      <c r="B4933" s="34" t="str">
        <f>base!V4933</f>
        <v>06560</v>
      </c>
      <c r="C4933" s="37">
        <v>6</v>
      </c>
      <c r="D4933" s="36">
        <f>base!H4933</f>
        <v>151</v>
      </c>
      <c r="E4933" s="44"/>
      <c r="F4933" s="16">
        <f>base!W4933</f>
        <v>0</v>
      </c>
      <c r="G4933" s="11">
        <f t="shared" si="770"/>
        <v>0</v>
      </c>
      <c r="H4933" s="11">
        <f t="shared" si="771"/>
        <v>45.3</v>
      </c>
      <c r="I4933" s="11">
        <f t="shared" si="772"/>
        <v>0.3</v>
      </c>
      <c r="J4933" s="12">
        <f t="shared" si="773"/>
        <v>-45.3</v>
      </c>
      <c r="K4933" s="17" t="str">
        <f t="shared" si="778"/>
        <v>Ecart négatif</v>
      </c>
      <c r="L4933" s="16">
        <f>base!X4933</f>
        <v>0</v>
      </c>
      <c r="M4933" s="11">
        <f t="shared" si="774"/>
        <v>0</v>
      </c>
      <c r="N4933" s="11">
        <f t="shared" si="775"/>
        <v>31.709999999999997</v>
      </c>
      <c r="O4933" s="11">
        <f t="shared" si="776"/>
        <v>0.21</v>
      </c>
      <c r="P4933" s="12">
        <f t="shared" si="777"/>
        <v>-31.709999999999997</v>
      </c>
      <c r="Q4933" s="17" t="str">
        <f t="shared" si="779"/>
        <v>Ecart négatif</v>
      </c>
    </row>
    <row r="4934" spans="1:18" x14ac:dyDescent="0.3">
      <c r="A4934" s="34" t="str">
        <f>base!J4934</f>
        <v>RM</v>
      </c>
      <c r="B4934" s="34" t="str">
        <f>base!V4934</f>
        <v>06560</v>
      </c>
      <c r="C4934" s="37">
        <v>6</v>
      </c>
      <c r="D4934" s="36">
        <f>base!H4934</f>
        <v>151</v>
      </c>
      <c r="E4934" s="44"/>
      <c r="F4934" s="16">
        <f>base!W4934</f>
        <v>0</v>
      </c>
      <c r="G4934" s="11">
        <f t="shared" si="770"/>
        <v>0</v>
      </c>
      <c r="H4934" s="11">
        <f t="shared" si="771"/>
        <v>45.3</v>
      </c>
      <c r="I4934" s="11">
        <f t="shared" si="772"/>
        <v>0.3</v>
      </c>
      <c r="J4934" s="12">
        <f t="shared" si="773"/>
        <v>-45.3</v>
      </c>
      <c r="K4934" s="17" t="str">
        <f t="shared" si="778"/>
        <v>Ecart négatif</v>
      </c>
      <c r="L4934" s="16">
        <f>base!X4934</f>
        <v>0</v>
      </c>
      <c r="M4934" s="11">
        <f t="shared" si="774"/>
        <v>0</v>
      </c>
      <c r="N4934" s="11">
        <f t="shared" si="775"/>
        <v>31.709999999999997</v>
      </c>
      <c r="O4934" s="11">
        <f t="shared" si="776"/>
        <v>0.21</v>
      </c>
      <c r="P4934" s="12">
        <f t="shared" si="777"/>
        <v>-31.709999999999997</v>
      </c>
      <c r="Q4934" s="17" t="str">
        <f t="shared" si="779"/>
        <v>Ecart négatif</v>
      </c>
    </row>
    <row r="4935" spans="1:18" x14ac:dyDescent="0.3">
      <c r="A4935" s="34" t="str">
        <f>base!J4935</f>
        <v>RM</v>
      </c>
      <c r="B4935" s="34" t="str">
        <f>base!V4935</f>
        <v>06560</v>
      </c>
      <c r="C4935" s="37">
        <v>6</v>
      </c>
      <c r="D4935" s="36">
        <f>base!H4935</f>
        <v>151</v>
      </c>
      <c r="E4935" s="44"/>
      <c r="F4935" s="16">
        <f>base!W4935</f>
        <v>0</v>
      </c>
      <c r="G4935" s="11">
        <f t="shared" si="770"/>
        <v>0</v>
      </c>
      <c r="H4935" s="11">
        <f t="shared" si="771"/>
        <v>45.3</v>
      </c>
      <c r="I4935" s="11">
        <f t="shared" si="772"/>
        <v>0.3</v>
      </c>
      <c r="J4935" s="12">
        <f t="shared" si="773"/>
        <v>-45.3</v>
      </c>
      <c r="K4935" s="17" t="str">
        <f t="shared" si="778"/>
        <v>Ecart négatif</v>
      </c>
      <c r="L4935" s="16">
        <f>base!X4935</f>
        <v>0</v>
      </c>
      <c r="M4935" s="11">
        <f t="shared" si="774"/>
        <v>0</v>
      </c>
      <c r="N4935" s="11">
        <f t="shared" si="775"/>
        <v>31.709999999999997</v>
      </c>
      <c r="O4935" s="11">
        <f t="shared" si="776"/>
        <v>0.21</v>
      </c>
      <c r="P4935" s="12">
        <f t="shared" si="777"/>
        <v>-31.709999999999997</v>
      </c>
      <c r="Q4935" s="17" t="str">
        <f t="shared" si="779"/>
        <v>Ecart négatif</v>
      </c>
    </row>
    <row r="4936" spans="1:18" x14ac:dyDescent="0.3">
      <c r="A4936" s="34" t="str">
        <f>base!J4936</f>
        <v>RS</v>
      </c>
      <c r="B4936" s="34" t="str">
        <f>base!V4936</f>
        <v>06560</v>
      </c>
      <c r="C4936" s="37">
        <v>6</v>
      </c>
      <c r="D4936" s="36">
        <f>base!H4936</f>
        <v>151</v>
      </c>
      <c r="E4936" s="44"/>
      <c r="F4936" s="16">
        <f>base!W4936</f>
        <v>0</v>
      </c>
      <c r="G4936" s="11">
        <f t="shared" si="770"/>
        <v>0</v>
      </c>
      <c r="H4936" s="11">
        <f t="shared" si="771"/>
        <v>45.3</v>
      </c>
      <c r="I4936" s="11">
        <f t="shared" si="772"/>
        <v>0.3</v>
      </c>
      <c r="J4936" s="12">
        <f t="shared" si="773"/>
        <v>-45.3</v>
      </c>
      <c r="K4936" s="17" t="str">
        <f t="shared" si="778"/>
        <v>Ecart négatif</v>
      </c>
      <c r="L4936" s="16">
        <f>base!X4936</f>
        <v>0</v>
      </c>
      <c r="M4936" s="11">
        <f t="shared" si="774"/>
        <v>0</v>
      </c>
      <c r="N4936" s="11">
        <f t="shared" si="775"/>
        <v>31.709999999999997</v>
      </c>
      <c r="O4936" s="11">
        <f t="shared" si="776"/>
        <v>0.21</v>
      </c>
      <c r="P4936" s="12">
        <f t="shared" si="777"/>
        <v>-31.709999999999997</v>
      </c>
      <c r="Q4936" s="17" t="str">
        <f t="shared" si="779"/>
        <v>Ecart négatif</v>
      </c>
    </row>
    <row r="4937" spans="1:18" x14ac:dyDescent="0.3">
      <c r="A4937" s="34" t="str">
        <f>base!J4937</f>
        <v>RM</v>
      </c>
      <c r="B4937" s="34" t="str">
        <f>base!V4937</f>
        <v>68390</v>
      </c>
      <c r="C4937" s="37">
        <v>68</v>
      </c>
      <c r="D4937" s="36">
        <f>base!H4937</f>
        <v>40</v>
      </c>
      <c r="E4937" s="44"/>
      <c r="F4937" s="16">
        <f>base!W4937</f>
        <v>0</v>
      </c>
      <c r="G4937" s="11">
        <f t="shared" si="770"/>
        <v>0</v>
      </c>
      <c r="H4937" s="11">
        <f t="shared" si="771"/>
        <v>11.6</v>
      </c>
      <c r="I4937" s="11">
        <f t="shared" si="772"/>
        <v>0.28999999999999998</v>
      </c>
      <c r="J4937" s="12">
        <f t="shared" si="773"/>
        <v>-11.6</v>
      </c>
      <c r="K4937" s="17" t="str">
        <f t="shared" si="778"/>
        <v>Ecart négatif</v>
      </c>
      <c r="L4937" s="16">
        <f>base!X4937</f>
        <v>3.2</v>
      </c>
      <c r="M4937" s="11">
        <f t="shared" si="774"/>
        <v>0.08</v>
      </c>
      <c r="N4937" s="11">
        <f t="shared" si="775"/>
        <v>3.2</v>
      </c>
      <c r="O4937" s="11">
        <f t="shared" si="776"/>
        <v>0.08</v>
      </c>
      <c r="P4937" s="12">
        <f t="shared" si="777"/>
        <v>0</v>
      </c>
      <c r="Q4937" s="17" t="str">
        <f t="shared" si="779"/>
        <v>Pas d'écart</v>
      </c>
      <c r="R4937" s="38"/>
    </row>
    <row r="4938" spans="1:18" x14ac:dyDescent="0.3">
      <c r="A4938" s="34">
        <f>base!J4938</f>
        <v>0</v>
      </c>
      <c r="B4938" s="34" t="str">
        <f>base!V4938</f>
        <v>77184</v>
      </c>
      <c r="C4938" s="37">
        <v>77</v>
      </c>
      <c r="D4938" s="36">
        <f>base!H4938</f>
        <v>25</v>
      </c>
      <c r="E4938" s="44"/>
      <c r="F4938" s="16">
        <f>base!W4938</f>
        <v>0</v>
      </c>
      <c r="G4938" s="11">
        <f t="shared" si="770"/>
        <v>0</v>
      </c>
      <c r="H4938" s="11">
        <f t="shared" si="771"/>
        <v>0</v>
      </c>
      <c r="I4938" s="11">
        <f t="shared" si="772"/>
        <v>0</v>
      </c>
      <c r="J4938" s="12">
        <f t="shared" si="773"/>
        <v>0</v>
      </c>
      <c r="K4938" s="17" t="str">
        <f t="shared" si="778"/>
        <v>Pas d'écart</v>
      </c>
      <c r="L4938" s="16">
        <f>base!X4938</f>
        <v>0</v>
      </c>
      <c r="M4938" s="11">
        <f t="shared" si="774"/>
        <v>0</v>
      </c>
      <c r="N4938" s="11">
        <f t="shared" si="775"/>
        <v>0</v>
      </c>
      <c r="O4938" s="11">
        <f t="shared" si="776"/>
        <v>0</v>
      </c>
      <c r="P4938" s="12">
        <f t="shared" si="777"/>
        <v>0</v>
      </c>
      <c r="Q4938" s="17" t="str">
        <f t="shared" si="779"/>
        <v>Pas d'écart</v>
      </c>
    </row>
    <row r="4939" spans="1:18" x14ac:dyDescent="0.3">
      <c r="A4939" s="34" t="str">
        <f>base!J4939</f>
        <v>RM</v>
      </c>
      <c r="B4939" s="34" t="str">
        <f>base!V4939</f>
        <v>27550</v>
      </c>
      <c r="C4939" s="37">
        <v>27</v>
      </c>
      <c r="D4939" s="36">
        <f>base!H4939</f>
        <v>151</v>
      </c>
      <c r="E4939" s="44"/>
      <c r="F4939" s="16">
        <f>base!W4939</f>
        <v>0</v>
      </c>
      <c r="G4939" s="11">
        <f t="shared" si="770"/>
        <v>0</v>
      </c>
      <c r="H4939" s="11">
        <f t="shared" si="771"/>
        <v>25.67</v>
      </c>
      <c r="I4939" s="11">
        <f t="shared" si="772"/>
        <v>0.17</v>
      </c>
      <c r="J4939" s="12">
        <f t="shared" si="773"/>
        <v>-25.67</v>
      </c>
      <c r="K4939" s="17" t="str">
        <f t="shared" si="778"/>
        <v>Ecart négatif</v>
      </c>
      <c r="L4939" s="16">
        <f>base!X4939</f>
        <v>25.67</v>
      </c>
      <c r="M4939" s="11">
        <f t="shared" si="774"/>
        <v>0.17</v>
      </c>
      <c r="N4939" s="11">
        <f t="shared" si="775"/>
        <v>25.67</v>
      </c>
      <c r="O4939" s="11">
        <f t="shared" si="776"/>
        <v>0.17</v>
      </c>
      <c r="P4939" s="12">
        <f t="shared" si="777"/>
        <v>0</v>
      </c>
      <c r="Q4939" s="17" t="str">
        <f t="shared" si="779"/>
        <v>Pas d'écart</v>
      </c>
      <c r="R4939" s="38"/>
    </row>
    <row r="4940" spans="1:18" x14ac:dyDescent="0.3">
      <c r="A4940" s="34" t="str">
        <f>base!J4940</f>
        <v>LM</v>
      </c>
      <c r="B4940" s="34" t="str">
        <f>base!V4940</f>
        <v>06281</v>
      </c>
      <c r="C4940" s="37">
        <v>42</v>
      </c>
      <c r="D4940" s="36">
        <f>base!H4940</f>
        <v>53.52</v>
      </c>
      <c r="E4940" s="44"/>
      <c r="F4940" s="16">
        <f>base!W4940</f>
        <v>16.059999999999999</v>
      </c>
      <c r="G4940" s="11">
        <f t="shared" si="770"/>
        <v>0.30007473841554555</v>
      </c>
      <c r="H4940" s="11">
        <f t="shared" si="771"/>
        <v>13.9152</v>
      </c>
      <c r="I4940" s="11">
        <f t="shared" si="772"/>
        <v>0.26</v>
      </c>
      <c r="J4940" s="12">
        <f t="shared" si="773"/>
        <v>2.1447999999999983</v>
      </c>
      <c r="K4940" s="17" t="str">
        <f t="shared" si="778"/>
        <v>Ecart positif</v>
      </c>
      <c r="L4940" s="16">
        <f>base!X4940</f>
        <v>0</v>
      </c>
      <c r="M4940" s="11">
        <f t="shared" si="774"/>
        <v>0</v>
      </c>
      <c r="N4940" s="11">
        <f t="shared" si="775"/>
        <v>0</v>
      </c>
      <c r="O4940" s="11">
        <f t="shared" si="776"/>
        <v>0</v>
      </c>
      <c r="P4940" s="12">
        <f t="shared" si="777"/>
        <v>0</v>
      </c>
      <c r="Q4940" s="17" t="str">
        <f t="shared" si="779"/>
        <v>Pas d'écart</v>
      </c>
    </row>
    <row r="4941" spans="1:18" x14ac:dyDescent="0.3">
      <c r="A4941" s="34" t="str">
        <f>base!J4941</f>
        <v>LM</v>
      </c>
      <c r="B4941" s="34" t="str">
        <f>base!V4941</f>
        <v>06281</v>
      </c>
      <c r="C4941" s="37">
        <v>56</v>
      </c>
      <c r="D4941" s="36">
        <f>base!H4941</f>
        <v>53.52</v>
      </c>
      <c r="E4941" s="44"/>
      <c r="F4941" s="16">
        <f>base!W4941</f>
        <v>16.059999999999999</v>
      </c>
      <c r="G4941" s="11">
        <f t="shared" si="770"/>
        <v>0.30007473841554555</v>
      </c>
      <c r="H4941" s="11">
        <f t="shared" si="771"/>
        <v>14.450400000000002</v>
      </c>
      <c r="I4941" s="11">
        <f t="shared" si="772"/>
        <v>0.27</v>
      </c>
      <c r="J4941" s="12">
        <f t="shared" si="773"/>
        <v>1.6095999999999968</v>
      </c>
      <c r="K4941" s="17" t="str">
        <f t="shared" si="778"/>
        <v>Ecart positif</v>
      </c>
      <c r="L4941" s="16">
        <f>base!X4941</f>
        <v>0</v>
      </c>
      <c r="M4941" s="11">
        <f t="shared" si="774"/>
        <v>0</v>
      </c>
      <c r="N4941" s="11">
        <f t="shared" si="775"/>
        <v>0</v>
      </c>
      <c r="O4941" s="11">
        <f t="shared" si="776"/>
        <v>0</v>
      </c>
      <c r="P4941" s="12">
        <f t="shared" si="777"/>
        <v>0</v>
      </c>
      <c r="Q4941" s="17" t="str">
        <f t="shared" si="779"/>
        <v>Pas d'écart</v>
      </c>
    </row>
    <row r="4942" spans="1:18" x14ac:dyDescent="0.3">
      <c r="A4942" s="34">
        <f>base!J4942</f>
        <v>0</v>
      </c>
      <c r="B4942" s="34" t="str">
        <f>base!V4942</f>
        <v>77184</v>
      </c>
      <c r="C4942" s="37">
        <v>77</v>
      </c>
      <c r="D4942" s="36">
        <f>base!H4942</f>
        <v>84.5</v>
      </c>
      <c r="E4942" s="44"/>
      <c r="F4942" s="16">
        <f>base!W4942</f>
        <v>0</v>
      </c>
      <c r="G4942" s="11">
        <f t="shared" si="770"/>
        <v>0</v>
      </c>
      <c r="H4942" s="11">
        <f t="shared" si="771"/>
        <v>0</v>
      </c>
      <c r="I4942" s="11">
        <f t="shared" si="772"/>
        <v>0</v>
      </c>
      <c r="J4942" s="12">
        <f t="shared" si="773"/>
        <v>0</v>
      </c>
      <c r="K4942" s="17" t="str">
        <f t="shared" si="778"/>
        <v>Pas d'écart</v>
      </c>
      <c r="L4942" s="16">
        <f>base!X4942</f>
        <v>0</v>
      </c>
      <c r="M4942" s="11">
        <f t="shared" si="774"/>
        <v>0</v>
      </c>
      <c r="N4942" s="11">
        <f t="shared" si="775"/>
        <v>0</v>
      </c>
      <c r="O4942" s="11">
        <f t="shared" si="776"/>
        <v>0</v>
      </c>
      <c r="P4942" s="12">
        <f t="shared" si="777"/>
        <v>0</v>
      </c>
      <c r="Q4942" s="17" t="str">
        <f t="shared" si="779"/>
        <v>Pas d'écart</v>
      </c>
    </row>
    <row r="4943" spans="1:18" x14ac:dyDescent="0.3">
      <c r="A4943" s="34" t="str">
        <f>base!J4943</f>
        <v>RM</v>
      </c>
      <c r="B4943" s="34" t="str">
        <f>base!V4943</f>
        <v>69002</v>
      </c>
      <c r="C4943" s="37">
        <v>69</v>
      </c>
      <c r="D4943" s="36">
        <f>base!H4943</f>
        <v>36.89</v>
      </c>
      <c r="E4943" s="44"/>
      <c r="F4943" s="16">
        <f>base!W4943</f>
        <v>0</v>
      </c>
      <c r="G4943" s="11">
        <f t="shared" si="770"/>
        <v>0</v>
      </c>
      <c r="H4943" s="11">
        <f t="shared" si="771"/>
        <v>9.9603000000000002</v>
      </c>
      <c r="I4943" s="11">
        <f t="shared" si="772"/>
        <v>0.27</v>
      </c>
      <c r="J4943" s="12">
        <f t="shared" si="773"/>
        <v>-9.9603000000000002</v>
      </c>
      <c r="K4943" s="17" t="str">
        <f t="shared" si="778"/>
        <v>Ecart négatif</v>
      </c>
      <c r="L4943" s="16">
        <f>base!X4943</f>
        <v>0</v>
      </c>
      <c r="M4943" s="11">
        <f t="shared" si="774"/>
        <v>0</v>
      </c>
      <c r="N4943" s="11">
        <f t="shared" si="775"/>
        <v>0</v>
      </c>
      <c r="O4943" s="11">
        <f t="shared" si="776"/>
        <v>0</v>
      </c>
      <c r="P4943" s="12">
        <f t="shared" si="777"/>
        <v>0</v>
      </c>
      <c r="Q4943" s="17" t="str">
        <f t="shared" si="779"/>
        <v>Pas d'écart</v>
      </c>
    </row>
    <row r="4944" spans="1:18" x14ac:dyDescent="0.3">
      <c r="A4944" s="34" t="str">
        <f>base!J4944</f>
        <v>LM</v>
      </c>
      <c r="B4944" s="34" t="str">
        <f>base!V4944</f>
        <v>71380</v>
      </c>
      <c r="C4944" s="37">
        <v>56</v>
      </c>
      <c r="D4944" s="36">
        <f>base!H4944</f>
        <v>20.23</v>
      </c>
      <c r="E4944" s="44"/>
      <c r="F4944" s="16">
        <f>base!W4944</f>
        <v>5.46</v>
      </c>
      <c r="G4944" s="11">
        <f t="shared" si="770"/>
        <v>0.26989619377162627</v>
      </c>
      <c r="H4944" s="11">
        <f t="shared" si="771"/>
        <v>5.4621000000000004</v>
      </c>
      <c r="I4944" s="11">
        <f t="shared" si="772"/>
        <v>0.27</v>
      </c>
      <c r="J4944" s="12">
        <f t="shared" si="773"/>
        <v>-2.1000000000004349E-3</v>
      </c>
      <c r="K4944" s="17" t="str">
        <f t="shared" si="778"/>
        <v>Ecart négatif</v>
      </c>
      <c r="L4944" s="16">
        <f>base!X4944</f>
        <v>0</v>
      </c>
      <c r="M4944" s="11">
        <f t="shared" si="774"/>
        <v>0</v>
      </c>
      <c r="N4944" s="11">
        <f t="shared" si="775"/>
        <v>0</v>
      </c>
      <c r="O4944" s="11">
        <f t="shared" si="776"/>
        <v>0</v>
      </c>
      <c r="P4944" s="12">
        <f t="shared" si="777"/>
        <v>0</v>
      </c>
      <c r="Q4944" s="17" t="str">
        <f t="shared" si="779"/>
        <v>Pas d'écart</v>
      </c>
    </row>
    <row r="4945" spans="1:18" x14ac:dyDescent="0.3">
      <c r="A4945" s="34" t="str">
        <f>base!J4945</f>
        <v>LM</v>
      </c>
      <c r="B4945" s="34" t="str">
        <f>base!V4945</f>
        <v>75018</v>
      </c>
      <c r="C4945" s="37">
        <v>75</v>
      </c>
      <c r="D4945" s="36">
        <f>base!H4945</f>
        <v>20.23</v>
      </c>
      <c r="E4945" s="44"/>
      <c r="F4945" s="16">
        <f>base!W4945</f>
        <v>0</v>
      </c>
      <c r="G4945" s="11">
        <f t="shared" si="770"/>
        <v>0</v>
      </c>
      <c r="H4945" s="11">
        <f t="shared" si="771"/>
        <v>0</v>
      </c>
      <c r="I4945" s="11">
        <f t="shared" si="772"/>
        <v>0</v>
      </c>
      <c r="J4945" s="12">
        <f t="shared" si="773"/>
        <v>0</v>
      </c>
      <c r="K4945" s="17" t="str">
        <f t="shared" si="778"/>
        <v>Pas d'écart</v>
      </c>
      <c r="L4945" s="16">
        <f>base!X4945</f>
        <v>0</v>
      </c>
      <c r="M4945" s="11">
        <f t="shared" si="774"/>
        <v>0</v>
      </c>
      <c r="N4945" s="11">
        <f t="shared" si="775"/>
        <v>0</v>
      </c>
      <c r="O4945" s="11">
        <f t="shared" si="776"/>
        <v>0</v>
      </c>
      <c r="P4945" s="12">
        <f t="shared" si="777"/>
        <v>0</v>
      </c>
      <c r="Q4945" s="17" t="str">
        <f t="shared" si="779"/>
        <v>Pas d'écart</v>
      </c>
    </row>
    <row r="4946" spans="1:18" x14ac:dyDescent="0.3">
      <c r="A4946" s="34" t="str">
        <f>base!J4946</f>
        <v>LM</v>
      </c>
      <c r="B4946" s="34" t="str">
        <f>base!V4946</f>
        <v>21160</v>
      </c>
      <c r="C4946" s="37">
        <v>35</v>
      </c>
      <c r="D4946" s="36">
        <f>base!H4946</f>
        <v>20.23</v>
      </c>
      <c r="E4946" s="44"/>
      <c r="F4946" s="16">
        <f>base!W4946</f>
        <v>4.8600000000000003</v>
      </c>
      <c r="G4946" s="11">
        <f t="shared" si="770"/>
        <v>0.24023727137913989</v>
      </c>
      <c r="H4946" s="11">
        <f t="shared" si="771"/>
        <v>5.4621000000000004</v>
      </c>
      <c r="I4946" s="11">
        <f t="shared" si="772"/>
        <v>0.27</v>
      </c>
      <c r="J4946" s="12">
        <f t="shared" si="773"/>
        <v>-0.60210000000000008</v>
      </c>
      <c r="K4946" s="17" t="str">
        <f t="shared" si="778"/>
        <v>Ecart négatif</v>
      </c>
      <c r="L4946" s="16">
        <f>base!X4946</f>
        <v>0</v>
      </c>
      <c r="M4946" s="11">
        <f t="shared" si="774"/>
        <v>0</v>
      </c>
      <c r="N4946" s="11">
        <f t="shared" si="775"/>
        <v>0</v>
      </c>
      <c r="O4946" s="11">
        <f t="shared" si="776"/>
        <v>0</v>
      </c>
      <c r="P4946" s="12">
        <f t="shared" si="777"/>
        <v>0</v>
      </c>
      <c r="Q4946" s="17" t="str">
        <f t="shared" si="779"/>
        <v>Pas d'écart</v>
      </c>
    </row>
    <row r="4947" spans="1:18" x14ac:dyDescent="0.3">
      <c r="A4947" s="34" t="str">
        <f>base!J4947</f>
        <v>LM</v>
      </c>
      <c r="B4947" s="34" t="str">
        <f>base!V4947</f>
        <v>56920</v>
      </c>
      <c r="C4947" s="37">
        <v>56</v>
      </c>
      <c r="D4947" s="36">
        <f>base!H4947</f>
        <v>49.08</v>
      </c>
      <c r="E4947" s="44"/>
      <c r="F4947" s="16">
        <f>base!W4947</f>
        <v>13.25</v>
      </c>
      <c r="G4947" s="11">
        <f t="shared" si="770"/>
        <v>0.26996740016299919</v>
      </c>
      <c r="H4947" s="11">
        <f t="shared" si="771"/>
        <v>13.2516</v>
      </c>
      <c r="I4947" s="11">
        <f t="shared" si="772"/>
        <v>0.27</v>
      </c>
      <c r="J4947" s="12">
        <f t="shared" si="773"/>
        <v>-1.5999999999998238E-3</v>
      </c>
      <c r="K4947" s="17" t="str">
        <f t="shared" si="778"/>
        <v>Ecart négatif</v>
      </c>
      <c r="L4947" s="16">
        <f>base!X4947</f>
        <v>0</v>
      </c>
      <c r="M4947" s="11">
        <f t="shared" si="774"/>
        <v>0</v>
      </c>
      <c r="N4947" s="11">
        <f t="shared" si="775"/>
        <v>0</v>
      </c>
      <c r="O4947" s="11">
        <f t="shared" si="776"/>
        <v>0</v>
      </c>
      <c r="P4947" s="12">
        <f t="shared" si="777"/>
        <v>0</v>
      </c>
      <c r="Q4947" s="17" t="str">
        <f t="shared" si="779"/>
        <v>Pas d'écart</v>
      </c>
    </row>
    <row r="4948" spans="1:18" x14ac:dyDescent="0.3">
      <c r="A4948" s="34" t="str">
        <f>base!J4948</f>
        <v>LM</v>
      </c>
      <c r="B4948" s="34" t="str">
        <f>base!V4948</f>
        <v>22600</v>
      </c>
      <c r="C4948" s="37">
        <v>38</v>
      </c>
      <c r="D4948" s="36">
        <f>base!H4948</f>
        <v>49.08</v>
      </c>
      <c r="E4948" s="44"/>
      <c r="F4948" s="16">
        <f>base!W4948</f>
        <v>19.14</v>
      </c>
      <c r="G4948" s="11">
        <f t="shared" si="770"/>
        <v>0.38997555012224944</v>
      </c>
      <c r="H4948" s="11">
        <f t="shared" si="771"/>
        <v>13.2516</v>
      </c>
      <c r="I4948" s="11">
        <f t="shared" si="772"/>
        <v>0.27</v>
      </c>
      <c r="J4948" s="12">
        <f t="shared" si="773"/>
        <v>5.8884000000000007</v>
      </c>
      <c r="K4948" s="17" t="str">
        <f t="shared" si="778"/>
        <v>Ecart positif</v>
      </c>
      <c r="L4948" s="16">
        <f>base!X4948</f>
        <v>0</v>
      </c>
      <c r="M4948" s="11">
        <f t="shared" si="774"/>
        <v>0</v>
      </c>
      <c r="N4948" s="11">
        <f t="shared" si="775"/>
        <v>0</v>
      </c>
      <c r="O4948" s="11">
        <f t="shared" si="776"/>
        <v>0</v>
      </c>
      <c r="P4948" s="12">
        <f t="shared" si="777"/>
        <v>0</v>
      </c>
      <c r="Q4948" s="17" t="str">
        <f t="shared" si="779"/>
        <v>Pas d'écart</v>
      </c>
    </row>
    <row r="4949" spans="1:18" x14ac:dyDescent="0.3">
      <c r="A4949" s="34" t="str">
        <f>base!J4949</f>
        <v>RS</v>
      </c>
      <c r="B4949" s="34" t="str">
        <f>base!V4949</f>
        <v>13009</v>
      </c>
      <c r="C4949" s="37">
        <v>13</v>
      </c>
      <c r="D4949" s="36">
        <f>base!H4949</f>
        <v>180</v>
      </c>
      <c r="E4949" s="44"/>
      <c r="F4949" s="16">
        <f>base!W4949</f>
        <v>0</v>
      </c>
      <c r="G4949" s="11">
        <f t="shared" si="770"/>
        <v>0</v>
      </c>
      <c r="H4949" s="11">
        <f t="shared" si="771"/>
        <v>52.199999999999996</v>
      </c>
      <c r="I4949" s="11">
        <f t="shared" si="772"/>
        <v>0.28999999999999998</v>
      </c>
      <c r="J4949" s="12">
        <f t="shared" si="773"/>
        <v>-52.199999999999996</v>
      </c>
      <c r="K4949" s="17" t="str">
        <f t="shared" si="778"/>
        <v>Ecart négatif</v>
      </c>
      <c r="L4949" s="16">
        <f>base!X4949</f>
        <v>34.200000000000003</v>
      </c>
      <c r="M4949" s="11">
        <f t="shared" si="774"/>
        <v>0.19</v>
      </c>
      <c r="N4949" s="11">
        <f t="shared" si="775"/>
        <v>34.200000000000003</v>
      </c>
      <c r="O4949" s="11">
        <f t="shared" si="776"/>
        <v>0.19</v>
      </c>
      <c r="P4949" s="12">
        <f t="shared" si="777"/>
        <v>0</v>
      </c>
      <c r="Q4949" s="17" t="str">
        <f t="shared" si="779"/>
        <v>Pas d'écart</v>
      </c>
      <c r="R4949" s="38"/>
    </row>
    <row r="4950" spans="1:18" x14ac:dyDescent="0.3">
      <c r="A4950" s="34" t="str">
        <f>base!J4950</f>
        <v>LS</v>
      </c>
      <c r="B4950" s="34" t="str">
        <f>base!V4950</f>
        <v>85180</v>
      </c>
      <c r="C4950" s="37">
        <v>56</v>
      </c>
      <c r="D4950" s="36">
        <f>base!H4950</f>
        <v>55.34</v>
      </c>
      <c r="E4950" s="44"/>
      <c r="F4950" s="16">
        <f>base!W4950</f>
        <v>14.94</v>
      </c>
      <c r="G4950" s="11">
        <f t="shared" si="770"/>
        <v>0.26996747379833752</v>
      </c>
      <c r="H4950" s="11">
        <f t="shared" si="771"/>
        <v>14.941800000000002</v>
      </c>
      <c r="I4950" s="11">
        <f t="shared" si="772"/>
        <v>0.27</v>
      </c>
      <c r="J4950" s="12">
        <f t="shared" si="773"/>
        <v>-1.8000000000029104E-3</v>
      </c>
      <c r="K4950" s="17" t="str">
        <f t="shared" si="778"/>
        <v>Ecart négatif</v>
      </c>
      <c r="L4950" s="16">
        <f>base!X4950</f>
        <v>0</v>
      </c>
      <c r="M4950" s="11">
        <f t="shared" si="774"/>
        <v>0</v>
      </c>
      <c r="N4950" s="11">
        <f t="shared" si="775"/>
        <v>0</v>
      </c>
      <c r="O4950" s="11">
        <f t="shared" si="776"/>
        <v>0</v>
      </c>
      <c r="P4950" s="12">
        <f t="shared" si="777"/>
        <v>0</v>
      </c>
      <c r="Q4950" s="17" t="str">
        <f t="shared" si="779"/>
        <v>Pas d'écart</v>
      </c>
    </row>
    <row r="4951" spans="1:18" x14ac:dyDescent="0.3">
      <c r="A4951" s="34" t="str">
        <f>base!J4951</f>
        <v>LS</v>
      </c>
      <c r="B4951" s="34" t="str">
        <f>base!V4951</f>
        <v>68390</v>
      </c>
      <c r="C4951" s="37">
        <v>1</v>
      </c>
      <c r="D4951" s="36">
        <f>base!H4951</f>
        <v>43.44</v>
      </c>
      <c r="E4951" s="44"/>
      <c r="F4951" s="16">
        <f>base!W4951</f>
        <v>12.6</v>
      </c>
      <c r="G4951" s="11">
        <f t="shared" si="770"/>
        <v>0.29005524861878451</v>
      </c>
      <c r="H4951" s="11">
        <f t="shared" si="771"/>
        <v>11.2944</v>
      </c>
      <c r="I4951" s="11">
        <f t="shared" si="772"/>
        <v>0.26</v>
      </c>
      <c r="J4951" s="12">
        <f t="shared" si="773"/>
        <v>1.3056000000000001</v>
      </c>
      <c r="K4951" s="17" t="str">
        <f t="shared" si="778"/>
        <v>Ecart positif</v>
      </c>
      <c r="L4951" s="16">
        <f>base!X4951</f>
        <v>0</v>
      </c>
      <c r="M4951" s="11">
        <f t="shared" si="774"/>
        <v>0</v>
      </c>
      <c r="N4951" s="11">
        <f t="shared" si="775"/>
        <v>0</v>
      </c>
      <c r="O4951" s="11">
        <f t="shared" si="776"/>
        <v>0</v>
      </c>
      <c r="P4951" s="12">
        <f t="shared" si="777"/>
        <v>0</v>
      </c>
      <c r="Q4951" s="17" t="str">
        <f t="shared" si="779"/>
        <v>Pas d'écart</v>
      </c>
    </row>
    <row r="4952" spans="1:18" x14ac:dyDescent="0.3">
      <c r="A4952" s="34" t="str">
        <f>base!J4952</f>
        <v>LS</v>
      </c>
      <c r="B4952" s="34" t="str">
        <f>base!V4952</f>
        <v>38590</v>
      </c>
      <c r="C4952" s="37">
        <v>85</v>
      </c>
      <c r="D4952" s="36">
        <f>base!H4952</f>
        <v>24.72</v>
      </c>
      <c r="E4952" s="44"/>
      <c r="F4952" s="16">
        <f>base!W4952</f>
        <v>6.67</v>
      </c>
      <c r="G4952" s="11">
        <f t="shared" si="770"/>
        <v>0.26982200647249194</v>
      </c>
      <c r="H4952" s="11">
        <f t="shared" si="771"/>
        <v>6.6744000000000003</v>
      </c>
      <c r="I4952" s="11">
        <f t="shared" si="772"/>
        <v>0.27</v>
      </c>
      <c r="J4952" s="12">
        <f t="shared" si="773"/>
        <v>-4.4000000000004036E-3</v>
      </c>
      <c r="K4952" s="17" t="str">
        <f t="shared" si="778"/>
        <v>Ecart négatif</v>
      </c>
      <c r="L4952" s="16">
        <f>base!X4952</f>
        <v>0</v>
      </c>
      <c r="M4952" s="11">
        <f t="shared" si="774"/>
        <v>0</v>
      </c>
      <c r="N4952" s="11">
        <f t="shared" si="775"/>
        <v>0</v>
      </c>
      <c r="O4952" s="11">
        <f t="shared" si="776"/>
        <v>0</v>
      </c>
      <c r="P4952" s="12">
        <f t="shared" si="777"/>
        <v>0</v>
      </c>
      <c r="Q4952" s="17" t="str">
        <f t="shared" si="779"/>
        <v>Pas d'écart</v>
      </c>
    </row>
    <row r="4953" spans="1:18" x14ac:dyDescent="0.3">
      <c r="A4953" s="34">
        <f>base!J4953</f>
        <v>0</v>
      </c>
      <c r="B4953" s="34" t="str">
        <f>base!V4953</f>
        <v>77184</v>
      </c>
      <c r="C4953" s="37">
        <v>77</v>
      </c>
      <c r="D4953" s="36">
        <f>base!H4953</f>
        <v>105</v>
      </c>
      <c r="E4953" s="44"/>
      <c r="F4953" s="16">
        <f>base!W4953</f>
        <v>0</v>
      </c>
      <c r="G4953" s="11">
        <f t="shared" si="770"/>
        <v>0</v>
      </c>
      <c r="H4953" s="11">
        <f t="shared" si="771"/>
        <v>0</v>
      </c>
      <c r="I4953" s="11">
        <f t="shared" si="772"/>
        <v>0</v>
      </c>
      <c r="J4953" s="12">
        <f t="shared" si="773"/>
        <v>0</v>
      </c>
      <c r="K4953" s="17" t="str">
        <f t="shared" si="778"/>
        <v>Pas d'écart</v>
      </c>
      <c r="L4953" s="16">
        <f>base!X4953</f>
        <v>0</v>
      </c>
      <c r="M4953" s="11">
        <f t="shared" si="774"/>
        <v>0</v>
      </c>
      <c r="N4953" s="11">
        <f t="shared" si="775"/>
        <v>0</v>
      </c>
      <c r="O4953" s="11">
        <f t="shared" si="776"/>
        <v>0</v>
      </c>
      <c r="P4953" s="12">
        <f t="shared" si="777"/>
        <v>0</v>
      </c>
      <c r="Q4953" s="17" t="str">
        <f t="shared" si="779"/>
        <v>Pas d'écart</v>
      </c>
    </row>
    <row r="4954" spans="1:18" x14ac:dyDescent="0.3">
      <c r="A4954" s="34" t="str">
        <f>base!J4954</f>
        <v>RS</v>
      </c>
      <c r="B4954" s="34" t="str">
        <f>base!V4954</f>
        <v>62600</v>
      </c>
      <c r="C4954" s="37">
        <v>62</v>
      </c>
      <c r="D4954" s="36">
        <f>base!H4954</f>
        <v>180</v>
      </c>
      <c r="E4954" s="44"/>
      <c r="F4954" s="16">
        <f>base!W4954</f>
        <v>0</v>
      </c>
      <c r="G4954" s="11">
        <f t="shared" si="770"/>
        <v>0</v>
      </c>
      <c r="H4954" s="11">
        <f t="shared" si="771"/>
        <v>34.200000000000003</v>
      </c>
      <c r="I4954" s="11">
        <f t="shared" si="772"/>
        <v>0.19</v>
      </c>
      <c r="J4954" s="12">
        <f t="shared" si="773"/>
        <v>-34.200000000000003</v>
      </c>
      <c r="K4954" s="17" t="str">
        <f t="shared" si="778"/>
        <v>Ecart négatif</v>
      </c>
      <c r="L4954" s="16">
        <f>base!X4954</f>
        <v>0</v>
      </c>
      <c r="M4954" s="11">
        <f t="shared" si="774"/>
        <v>0</v>
      </c>
      <c r="N4954" s="11">
        <f t="shared" si="775"/>
        <v>0</v>
      </c>
      <c r="O4954" s="11">
        <f t="shared" si="776"/>
        <v>0</v>
      </c>
      <c r="P4954" s="12">
        <f t="shared" si="777"/>
        <v>0</v>
      </c>
      <c r="Q4954" s="17" t="str">
        <f t="shared" si="779"/>
        <v>Pas d'écart</v>
      </c>
    </row>
    <row r="4955" spans="1:18" x14ac:dyDescent="0.3">
      <c r="A4955" s="34" t="str">
        <f>base!J4955</f>
        <v>RM</v>
      </c>
      <c r="B4955" s="34" t="str">
        <f>base!V4955</f>
        <v>94150</v>
      </c>
      <c r="C4955" s="37">
        <v>94</v>
      </c>
      <c r="D4955" s="36">
        <f>base!H4955</f>
        <v>195.25</v>
      </c>
      <c r="E4955" s="44"/>
      <c r="F4955" s="16">
        <f>base!W4955</f>
        <v>0</v>
      </c>
      <c r="G4955" s="11">
        <f t="shared" si="770"/>
        <v>0</v>
      </c>
      <c r="H4955" s="11">
        <f t="shared" si="771"/>
        <v>0</v>
      </c>
      <c r="I4955" s="11">
        <f t="shared" si="772"/>
        <v>0</v>
      </c>
      <c r="J4955" s="12">
        <f t="shared" si="773"/>
        <v>0</v>
      </c>
      <c r="K4955" s="17" t="str">
        <f t="shared" si="778"/>
        <v>Pas d'écart</v>
      </c>
      <c r="L4955" s="16">
        <f>base!X4955</f>
        <v>0</v>
      </c>
      <c r="M4955" s="11">
        <f t="shared" si="774"/>
        <v>0</v>
      </c>
      <c r="N4955" s="11">
        <f t="shared" si="775"/>
        <v>0</v>
      </c>
      <c r="O4955" s="11">
        <f t="shared" si="776"/>
        <v>0</v>
      </c>
      <c r="P4955" s="12">
        <f t="shared" si="777"/>
        <v>0</v>
      </c>
      <c r="Q4955" s="17" t="str">
        <f t="shared" si="779"/>
        <v>Pas d'écart</v>
      </c>
    </row>
    <row r="4956" spans="1:18" x14ac:dyDescent="0.3">
      <c r="A4956" s="34" t="str">
        <f>base!J4956</f>
        <v>RM</v>
      </c>
      <c r="B4956" s="34" t="str">
        <f>base!V4956</f>
        <v>57400</v>
      </c>
      <c r="C4956" s="37">
        <v>57</v>
      </c>
      <c r="D4956" s="36">
        <f>base!H4956</f>
        <v>17</v>
      </c>
      <c r="E4956" s="44"/>
      <c r="F4956" s="16">
        <f>base!W4956</f>
        <v>0</v>
      </c>
      <c r="G4956" s="11">
        <f t="shared" si="770"/>
        <v>0</v>
      </c>
      <c r="H4956" s="11">
        <f t="shared" si="771"/>
        <v>4.08</v>
      </c>
      <c r="I4956" s="11">
        <f t="shared" si="772"/>
        <v>0.24</v>
      </c>
      <c r="J4956" s="12">
        <f t="shared" si="773"/>
        <v>-4.08</v>
      </c>
      <c r="K4956" s="17" t="str">
        <f t="shared" si="778"/>
        <v>Ecart négatif</v>
      </c>
      <c r="L4956" s="16">
        <f>base!X4956</f>
        <v>4.25</v>
      </c>
      <c r="M4956" s="11">
        <f t="shared" si="774"/>
        <v>0.25</v>
      </c>
      <c r="N4956" s="11">
        <f t="shared" si="775"/>
        <v>4.25</v>
      </c>
      <c r="O4956" s="11">
        <f t="shared" si="776"/>
        <v>0.25</v>
      </c>
      <c r="P4956" s="12">
        <f t="shared" si="777"/>
        <v>0</v>
      </c>
      <c r="Q4956" s="17" t="str">
        <f t="shared" si="779"/>
        <v>Pas d'écart</v>
      </c>
      <c r="R4956" s="38"/>
    </row>
    <row r="4957" spans="1:18" x14ac:dyDescent="0.3">
      <c r="A4957" s="34" t="str">
        <f>base!J4957</f>
        <v>RM</v>
      </c>
      <c r="B4957" s="34" t="str">
        <f>base!V4957</f>
        <v>57000</v>
      </c>
      <c r="C4957" s="37">
        <v>57</v>
      </c>
      <c r="D4957" s="36">
        <f>base!H4957</f>
        <v>17</v>
      </c>
      <c r="E4957" s="44"/>
      <c r="F4957" s="16">
        <f>base!W4957</f>
        <v>0</v>
      </c>
      <c r="G4957" s="11">
        <f t="shared" si="770"/>
        <v>0</v>
      </c>
      <c r="H4957" s="11">
        <f t="shared" si="771"/>
        <v>4.08</v>
      </c>
      <c r="I4957" s="11">
        <f t="shared" si="772"/>
        <v>0.24</v>
      </c>
      <c r="J4957" s="12">
        <f t="shared" si="773"/>
        <v>-4.08</v>
      </c>
      <c r="K4957" s="17" t="str">
        <f t="shared" si="778"/>
        <v>Ecart négatif</v>
      </c>
      <c r="L4957" s="16">
        <f>base!X4957</f>
        <v>4.25</v>
      </c>
      <c r="M4957" s="11">
        <f t="shared" si="774"/>
        <v>0.25</v>
      </c>
      <c r="N4957" s="11">
        <f t="shared" si="775"/>
        <v>4.25</v>
      </c>
      <c r="O4957" s="11">
        <f t="shared" si="776"/>
        <v>0.25</v>
      </c>
      <c r="P4957" s="12">
        <f t="shared" si="777"/>
        <v>0</v>
      </c>
      <c r="Q4957" s="17" t="str">
        <f t="shared" si="779"/>
        <v>Pas d'écart</v>
      </c>
      <c r="R4957" s="38"/>
    </row>
    <row r="4958" spans="1:18" x14ac:dyDescent="0.3">
      <c r="A4958" s="34" t="str">
        <f>base!J4958</f>
        <v>DRM</v>
      </c>
      <c r="B4958" s="34" t="str">
        <f>base!V4958</f>
        <v>67800</v>
      </c>
      <c r="C4958" s="37">
        <v>67</v>
      </c>
      <c r="D4958" s="36">
        <f>base!H4958</f>
        <v>151</v>
      </c>
      <c r="E4958" s="44"/>
      <c r="F4958" s="16">
        <f>base!W4958</f>
        <v>0</v>
      </c>
      <c r="G4958" s="11">
        <f t="shared" si="770"/>
        <v>0</v>
      </c>
      <c r="H4958" s="11">
        <f t="shared" si="771"/>
        <v>43.79</v>
      </c>
      <c r="I4958" s="11">
        <f t="shared" si="772"/>
        <v>0.28999999999999998</v>
      </c>
      <c r="J4958" s="12">
        <f t="shared" si="773"/>
        <v>-43.79</v>
      </c>
      <c r="K4958" s="17" t="str">
        <f t="shared" si="778"/>
        <v>Ecart négatif</v>
      </c>
      <c r="L4958" s="16">
        <f>base!X4958</f>
        <v>0</v>
      </c>
      <c r="M4958" s="11">
        <f t="shared" si="774"/>
        <v>0</v>
      </c>
      <c r="N4958" s="11">
        <f t="shared" si="775"/>
        <v>12.08</v>
      </c>
      <c r="O4958" s="11">
        <f t="shared" si="776"/>
        <v>0.08</v>
      </c>
      <c r="P4958" s="12">
        <f t="shared" si="777"/>
        <v>-12.08</v>
      </c>
      <c r="Q4958" s="17" t="str">
        <f t="shared" si="779"/>
        <v>Ecart négatif</v>
      </c>
    </row>
    <row r="4959" spans="1:18" x14ac:dyDescent="0.3">
      <c r="A4959" s="34" t="str">
        <f>base!J4959</f>
        <v>Metre Aller</v>
      </c>
      <c r="B4959" s="34" t="str">
        <f>base!V4959</f>
        <v>77184</v>
      </c>
      <c r="C4959" s="37">
        <v>77</v>
      </c>
      <c r="D4959" s="36">
        <f>base!H4959</f>
        <v>245.02</v>
      </c>
      <c r="E4959" s="44"/>
      <c r="F4959" s="16">
        <f>base!W4959</f>
        <v>0</v>
      </c>
      <c r="G4959" s="11">
        <f t="shared" si="770"/>
        <v>0</v>
      </c>
      <c r="H4959" s="11">
        <f t="shared" si="771"/>
        <v>0</v>
      </c>
      <c r="I4959" s="11">
        <f t="shared" si="772"/>
        <v>0</v>
      </c>
      <c r="J4959" s="12">
        <f t="shared" si="773"/>
        <v>0</v>
      </c>
      <c r="K4959" s="17" t="str">
        <f t="shared" si="778"/>
        <v>Pas d'écart</v>
      </c>
      <c r="L4959" s="16">
        <f>base!X4959</f>
        <v>0</v>
      </c>
      <c r="M4959" s="11">
        <f t="shared" si="774"/>
        <v>0</v>
      </c>
      <c r="N4959" s="11">
        <f t="shared" si="775"/>
        <v>0</v>
      </c>
      <c r="O4959" s="11">
        <f t="shared" si="776"/>
        <v>0</v>
      </c>
      <c r="P4959" s="12">
        <f t="shared" si="777"/>
        <v>0</v>
      </c>
      <c r="Q4959" s="17" t="str">
        <f t="shared" si="779"/>
        <v>Pas d'écart</v>
      </c>
    </row>
    <row r="4960" spans="1:18" x14ac:dyDescent="0.3">
      <c r="A4960" s="34" t="str">
        <f>base!J4960</f>
        <v>RM</v>
      </c>
      <c r="B4960" s="34" t="str">
        <f>base!V4960</f>
        <v>44700</v>
      </c>
      <c r="C4960" s="37">
        <v>44</v>
      </c>
      <c r="D4960" s="36">
        <f>base!H4960</f>
        <v>151</v>
      </c>
      <c r="E4960" s="44"/>
      <c r="F4960" s="16">
        <f>base!W4960</f>
        <v>0</v>
      </c>
      <c r="G4960" s="11">
        <f t="shared" si="770"/>
        <v>0</v>
      </c>
      <c r="H4960" s="11">
        <f t="shared" si="771"/>
        <v>40.770000000000003</v>
      </c>
      <c r="I4960" s="11">
        <f t="shared" si="772"/>
        <v>0.27</v>
      </c>
      <c r="J4960" s="12">
        <f t="shared" si="773"/>
        <v>-40.770000000000003</v>
      </c>
      <c r="K4960" s="17" t="str">
        <f t="shared" si="778"/>
        <v>Ecart négatif</v>
      </c>
      <c r="L4960" s="16">
        <f>base!X4960</f>
        <v>0</v>
      </c>
      <c r="M4960" s="11">
        <f t="shared" si="774"/>
        <v>0</v>
      </c>
      <c r="N4960" s="11">
        <f t="shared" si="775"/>
        <v>0</v>
      </c>
      <c r="O4960" s="11">
        <f t="shared" si="776"/>
        <v>0</v>
      </c>
      <c r="P4960" s="12">
        <f t="shared" si="777"/>
        <v>0</v>
      </c>
      <c r="Q4960" s="17" t="str">
        <f t="shared" si="779"/>
        <v>Pas d'écart</v>
      </c>
    </row>
    <row r="4961" spans="1:18" x14ac:dyDescent="0.3">
      <c r="A4961" s="34" t="str">
        <f>base!J4961</f>
        <v>RM</v>
      </c>
      <c r="B4961" s="34" t="str">
        <f>base!V4961</f>
        <v>44000</v>
      </c>
      <c r="C4961" s="37">
        <v>44</v>
      </c>
      <c r="D4961" s="36">
        <f>base!H4961</f>
        <v>189.52</v>
      </c>
      <c r="E4961" s="44"/>
      <c r="F4961" s="16">
        <f>base!W4961</f>
        <v>0</v>
      </c>
      <c r="G4961" s="11">
        <f t="shared" si="770"/>
        <v>0</v>
      </c>
      <c r="H4961" s="11">
        <f t="shared" si="771"/>
        <v>51.170400000000008</v>
      </c>
      <c r="I4961" s="11">
        <f t="shared" si="772"/>
        <v>0.27</v>
      </c>
      <c r="J4961" s="12">
        <f t="shared" si="773"/>
        <v>-51.170400000000008</v>
      </c>
      <c r="K4961" s="17" t="str">
        <f t="shared" si="778"/>
        <v>Ecart négatif</v>
      </c>
      <c r="L4961" s="16">
        <f>base!X4961</f>
        <v>0</v>
      </c>
      <c r="M4961" s="11">
        <f t="shared" si="774"/>
        <v>0</v>
      </c>
      <c r="N4961" s="11">
        <f t="shared" si="775"/>
        <v>0</v>
      </c>
      <c r="O4961" s="11">
        <f t="shared" si="776"/>
        <v>0</v>
      </c>
      <c r="P4961" s="12">
        <f t="shared" si="777"/>
        <v>0</v>
      </c>
      <c r="Q4961" s="17" t="str">
        <f t="shared" si="779"/>
        <v>Pas d'écart</v>
      </c>
    </row>
    <row r="4962" spans="1:18" x14ac:dyDescent="0.3">
      <c r="A4962" s="34">
        <f>base!J4962</f>
        <v>0</v>
      </c>
      <c r="B4962" s="34" t="str">
        <f>base!V4962</f>
        <v>44240</v>
      </c>
      <c r="C4962" s="37">
        <v>44</v>
      </c>
      <c r="D4962" s="36">
        <f>base!H4962</f>
        <v>181.77</v>
      </c>
      <c r="E4962" s="44"/>
      <c r="F4962" s="16">
        <f>base!W4962</f>
        <v>0</v>
      </c>
      <c r="G4962" s="11">
        <f t="shared" si="770"/>
        <v>0</v>
      </c>
      <c r="H4962" s="11">
        <f t="shared" si="771"/>
        <v>49.077900000000007</v>
      </c>
      <c r="I4962" s="11">
        <f t="shared" si="772"/>
        <v>0.27</v>
      </c>
      <c r="J4962" s="12">
        <f t="shared" si="773"/>
        <v>-49.077900000000007</v>
      </c>
      <c r="K4962" s="17" t="str">
        <f t="shared" si="778"/>
        <v>Ecart négatif</v>
      </c>
      <c r="L4962" s="16">
        <f>base!X4962</f>
        <v>0</v>
      </c>
      <c r="M4962" s="11">
        <f t="shared" si="774"/>
        <v>0</v>
      </c>
      <c r="N4962" s="11">
        <f t="shared" si="775"/>
        <v>0</v>
      </c>
      <c r="O4962" s="11">
        <f t="shared" si="776"/>
        <v>0</v>
      </c>
      <c r="P4962" s="12">
        <f t="shared" si="777"/>
        <v>0</v>
      </c>
      <c r="Q4962" s="17" t="str">
        <f t="shared" si="779"/>
        <v>Pas d'écart</v>
      </c>
    </row>
    <row r="4963" spans="1:18" x14ac:dyDescent="0.3">
      <c r="A4963" s="34">
        <f>base!J4963</f>
        <v>0</v>
      </c>
      <c r="B4963" s="34" t="str">
        <f>base!V4963</f>
        <v>77184</v>
      </c>
      <c r="C4963" s="37">
        <v>77</v>
      </c>
      <c r="D4963" s="36">
        <f>base!H4963</f>
        <v>135</v>
      </c>
      <c r="E4963" s="44"/>
      <c r="F4963" s="16">
        <f>base!W4963</f>
        <v>0</v>
      </c>
      <c r="G4963" s="11">
        <f t="shared" si="770"/>
        <v>0</v>
      </c>
      <c r="H4963" s="11">
        <f t="shared" si="771"/>
        <v>0</v>
      </c>
      <c r="I4963" s="11">
        <f t="shared" si="772"/>
        <v>0</v>
      </c>
      <c r="J4963" s="12">
        <f t="shared" si="773"/>
        <v>0</v>
      </c>
      <c r="K4963" s="17" t="str">
        <f t="shared" si="778"/>
        <v>Pas d'écart</v>
      </c>
      <c r="L4963" s="16">
        <f>base!X4963</f>
        <v>0</v>
      </c>
      <c r="M4963" s="11">
        <f t="shared" si="774"/>
        <v>0</v>
      </c>
      <c r="N4963" s="11">
        <f t="shared" si="775"/>
        <v>0</v>
      </c>
      <c r="O4963" s="11">
        <f t="shared" si="776"/>
        <v>0</v>
      </c>
      <c r="P4963" s="12">
        <f t="shared" si="777"/>
        <v>0</v>
      </c>
      <c r="Q4963" s="17" t="str">
        <f t="shared" si="779"/>
        <v>Pas d'écart</v>
      </c>
    </row>
    <row r="4964" spans="1:18" x14ac:dyDescent="0.3">
      <c r="A4964" s="34">
        <f>base!J4964</f>
        <v>0</v>
      </c>
      <c r="B4964" s="34" t="str">
        <f>base!V4964</f>
        <v>77184</v>
      </c>
      <c r="C4964" s="37">
        <v>77</v>
      </c>
      <c r="D4964" s="36">
        <f>base!H4964</f>
        <v>171</v>
      </c>
      <c r="E4964" s="44"/>
      <c r="F4964" s="16">
        <f>base!W4964</f>
        <v>0</v>
      </c>
      <c r="G4964" s="11">
        <f t="shared" si="770"/>
        <v>0</v>
      </c>
      <c r="H4964" s="11">
        <f t="shared" si="771"/>
        <v>0</v>
      </c>
      <c r="I4964" s="11">
        <f t="shared" si="772"/>
        <v>0</v>
      </c>
      <c r="J4964" s="12">
        <f t="shared" si="773"/>
        <v>0</v>
      </c>
      <c r="K4964" s="17" t="str">
        <f t="shared" si="778"/>
        <v>Pas d'écart</v>
      </c>
      <c r="L4964" s="16">
        <f>base!X4964</f>
        <v>0</v>
      </c>
      <c r="M4964" s="11">
        <f t="shared" si="774"/>
        <v>0</v>
      </c>
      <c r="N4964" s="11">
        <f t="shared" si="775"/>
        <v>0</v>
      </c>
      <c r="O4964" s="11">
        <f t="shared" si="776"/>
        <v>0</v>
      </c>
      <c r="P4964" s="12">
        <f t="shared" si="777"/>
        <v>0</v>
      </c>
      <c r="Q4964" s="17" t="str">
        <f t="shared" si="779"/>
        <v>Pas d'écart</v>
      </c>
    </row>
    <row r="4965" spans="1:18" x14ac:dyDescent="0.3">
      <c r="A4965" s="34">
        <f>base!J4965</f>
        <v>0</v>
      </c>
      <c r="B4965" s="34" t="str">
        <f>base!V4965</f>
        <v>77184</v>
      </c>
      <c r="C4965" s="37">
        <v>77</v>
      </c>
      <c r="D4965" s="36">
        <f>base!H4965</f>
        <v>156</v>
      </c>
      <c r="E4965" s="44"/>
      <c r="F4965" s="16">
        <f>base!W4965</f>
        <v>0</v>
      </c>
      <c r="G4965" s="11">
        <f t="shared" si="770"/>
        <v>0</v>
      </c>
      <c r="H4965" s="11">
        <f t="shared" si="771"/>
        <v>0</v>
      </c>
      <c r="I4965" s="11">
        <f t="shared" si="772"/>
        <v>0</v>
      </c>
      <c r="J4965" s="12">
        <f t="shared" si="773"/>
        <v>0</v>
      </c>
      <c r="K4965" s="17" t="str">
        <f t="shared" si="778"/>
        <v>Pas d'écart</v>
      </c>
      <c r="L4965" s="16">
        <f>base!X4965</f>
        <v>0</v>
      </c>
      <c r="M4965" s="11">
        <f t="shared" si="774"/>
        <v>0</v>
      </c>
      <c r="N4965" s="11">
        <f t="shared" si="775"/>
        <v>0</v>
      </c>
      <c r="O4965" s="11">
        <f t="shared" si="776"/>
        <v>0</v>
      </c>
      <c r="P4965" s="12">
        <f t="shared" si="777"/>
        <v>0</v>
      </c>
      <c r="Q4965" s="17" t="str">
        <f t="shared" si="779"/>
        <v>Pas d'écart</v>
      </c>
    </row>
    <row r="4966" spans="1:18" x14ac:dyDescent="0.3">
      <c r="A4966" s="34">
        <f>base!J4966</f>
        <v>0</v>
      </c>
      <c r="B4966" s="34" t="str">
        <f>base!V4966</f>
        <v>77184</v>
      </c>
      <c r="C4966" s="37">
        <v>77</v>
      </c>
      <c r="D4966" s="36">
        <f>base!H4966</f>
        <v>156</v>
      </c>
      <c r="E4966" s="44"/>
      <c r="F4966" s="16">
        <f>base!W4966</f>
        <v>0</v>
      </c>
      <c r="G4966" s="11">
        <f t="shared" si="770"/>
        <v>0</v>
      </c>
      <c r="H4966" s="11">
        <f t="shared" si="771"/>
        <v>0</v>
      </c>
      <c r="I4966" s="11">
        <f t="shared" si="772"/>
        <v>0</v>
      </c>
      <c r="J4966" s="12">
        <f t="shared" si="773"/>
        <v>0</v>
      </c>
      <c r="K4966" s="17" t="str">
        <f t="shared" si="778"/>
        <v>Pas d'écart</v>
      </c>
      <c r="L4966" s="16">
        <f>base!X4966</f>
        <v>0</v>
      </c>
      <c r="M4966" s="11">
        <f t="shared" si="774"/>
        <v>0</v>
      </c>
      <c r="N4966" s="11">
        <f t="shared" si="775"/>
        <v>0</v>
      </c>
      <c r="O4966" s="11">
        <f t="shared" si="776"/>
        <v>0</v>
      </c>
      <c r="P4966" s="12">
        <f t="shared" si="777"/>
        <v>0</v>
      </c>
      <c r="Q4966" s="17" t="str">
        <f t="shared" si="779"/>
        <v>Pas d'écart</v>
      </c>
    </row>
    <row r="4967" spans="1:18" x14ac:dyDescent="0.3">
      <c r="A4967" s="34">
        <f>base!J4967</f>
        <v>0</v>
      </c>
      <c r="B4967" s="34" t="str">
        <f>base!V4967</f>
        <v>77184</v>
      </c>
      <c r="C4967" s="37">
        <v>77</v>
      </c>
      <c r="D4967" s="36">
        <f>base!H4967</f>
        <v>140</v>
      </c>
      <c r="E4967" s="44"/>
      <c r="F4967" s="16">
        <f>base!W4967</f>
        <v>0</v>
      </c>
      <c r="G4967" s="11">
        <f t="shared" si="770"/>
        <v>0</v>
      </c>
      <c r="H4967" s="11">
        <f t="shared" si="771"/>
        <v>0</v>
      </c>
      <c r="I4967" s="11">
        <f t="shared" si="772"/>
        <v>0</v>
      </c>
      <c r="J4967" s="12">
        <f t="shared" si="773"/>
        <v>0</v>
      </c>
      <c r="K4967" s="17" t="str">
        <f t="shared" si="778"/>
        <v>Pas d'écart</v>
      </c>
      <c r="L4967" s="16">
        <f>base!X4967</f>
        <v>0</v>
      </c>
      <c r="M4967" s="11">
        <f t="shared" si="774"/>
        <v>0</v>
      </c>
      <c r="N4967" s="11">
        <f t="shared" si="775"/>
        <v>0</v>
      </c>
      <c r="O4967" s="11">
        <f t="shared" si="776"/>
        <v>0</v>
      </c>
      <c r="P4967" s="12">
        <f t="shared" si="777"/>
        <v>0</v>
      </c>
      <c r="Q4967" s="17" t="str">
        <f t="shared" si="779"/>
        <v>Pas d'écart</v>
      </c>
    </row>
    <row r="4968" spans="1:18" x14ac:dyDescent="0.3">
      <c r="A4968" s="34" t="str">
        <f>base!J4968</f>
        <v>DLS</v>
      </c>
      <c r="B4968" s="34" t="str">
        <f>base!V4968</f>
        <v>54830</v>
      </c>
      <c r="C4968" s="37">
        <v>54</v>
      </c>
      <c r="D4968" s="36">
        <f>base!H4968</f>
        <v>151</v>
      </c>
      <c r="E4968" s="44"/>
      <c r="F4968" s="16">
        <f>base!W4968</f>
        <v>0</v>
      </c>
      <c r="G4968" s="11">
        <f t="shared" si="770"/>
        <v>0</v>
      </c>
      <c r="H4968" s="11">
        <f t="shared" si="771"/>
        <v>37.75</v>
      </c>
      <c r="I4968" s="11">
        <f t="shared" si="772"/>
        <v>0.25</v>
      </c>
      <c r="J4968" s="12">
        <f t="shared" si="773"/>
        <v>-37.75</v>
      </c>
      <c r="K4968" s="17" t="str">
        <f t="shared" si="778"/>
        <v>Ecart négatif</v>
      </c>
      <c r="L4968" s="16">
        <f>base!X4968</f>
        <v>40.770000000000003</v>
      </c>
      <c r="M4968" s="11">
        <f t="shared" si="774"/>
        <v>0.27</v>
      </c>
      <c r="N4968" s="11">
        <f t="shared" si="775"/>
        <v>37.75</v>
      </c>
      <c r="O4968" s="11">
        <f t="shared" si="776"/>
        <v>0.25</v>
      </c>
      <c r="P4968" s="12">
        <f t="shared" si="777"/>
        <v>3.0200000000000031</v>
      </c>
      <c r="Q4968" s="17" t="str">
        <f t="shared" si="779"/>
        <v>Ecart positif</v>
      </c>
    </row>
    <row r="4969" spans="1:18" x14ac:dyDescent="0.3">
      <c r="A4969" s="34">
        <f>base!J4969</f>
        <v>0</v>
      </c>
      <c r="B4969" s="34" t="str">
        <f>base!V4969</f>
        <v>77184</v>
      </c>
      <c r="C4969" s="37">
        <v>77</v>
      </c>
      <c r="D4969" s="36">
        <f>base!H4969</f>
        <v>160</v>
      </c>
      <c r="E4969" s="44"/>
      <c r="F4969" s="16">
        <f>base!W4969</f>
        <v>0</v>
      </c>
      <c r="G4969" s="11">
        <f t="shared" si="770"/>
        <v>0</v>
      </c>
      <c r="H4969" s="11">
        <f t="shared" si="771"/>
        <v>0</v>
      </c>
      <c r="I4969" s="11">
        <f t="shared" si="772"/>
        <v>0</v>
      </c>
      <c r="J4969" s="12">
        <f t="shared" si="773"/>
        <v>0</v>
      </c>
      <c r="K4969" s="17" t="str">
        <f t="shared" si="778"/>
        <v>Pas d'écart</v>
      </c>
      <c r="L4969" s="16">
        <f>base!X4969</f>
        <v>0</v>
      </c>
      <c r="M4969" s="11">
        <f t="shared" si="774"/>
        <v>0</v>
      </c>
      <c r="N4969" s="11">
        <f t="shared" si="775"/>
        <v>0</v>
      </c>
      <c r="O4969" s="11">
        <f t="shared" si="776"/>
        <v>0</v>
      </c>
      <c r="P4969" s="12">
        <f t="shared" si="777"/>
        <v>0</v>
      </c>
      <c r="Q4969" s="17" t="str">
        <f t="shared" si="779"/>
        <v>Pas d'écart</v>
      </c>
    </row>
    <row r="4970" spans="1:18" x14ac:dyDescent="0.3">
      <c r="A4970" s="34" t="str">
        <f>base!J4970</f>
        <v>RM</v>
      </c>
      <c r="B4970" s="34" t="str">
        <f>base!V4970</f>
        <v>06190</v>
      </c>
      <c r="C4970" s="37">
        <v>6</v>
      </c>
      <c r="D4970" s="36">
        <f>base!H4970</f>
        <v>90</v>
      </c>
      <c r="E4970" s="44"/>
      <c r="F4970" s="16">
        <f>base!W4970</f>
        <v>0</v>
      </c>
      <c r="G4970" s="11">
        <f t="shared" si="770"/>
        <v>0</v>
      </c>
      <c r="H4970" s="11">
        <f t="shared" si="771"/>
        <v>27</v>
      </c>
      <c r="I4970" s="11">
        <f t="shared" si="772"/>
        <v>0.3</v>
      </c>
      <c r="J4970" s="12">
        <f t="shared" si="773"/>
        <v>-27</v>
      </c>
      <c r="K4970" s="17" t="str">
        <f t="shared" si="778"/>
        <v>Ecart négatif</v>
      </c>
      <c r="L4970" s="16">
        <f>base!X4970</f>
        <v>27</v>
      </c>
      <c r="M4970" s="11">
        <f t="shared" si="774"/>
        <v>0.3</v>
      </c>
      <c r="N4970" s="11">
        <f t="shared" si="775"/>
        <v>18.899999999999999</v>
      </c>
      <c r="O4970" s="11">
        <f t="shared" si="776"/>
        <v>0.21</v>
      </c>
      <c r="P4970" s="12">
        <f t="shared" si="777"/>
        <v>8.1000000000000014</v>
      </c>
      <c r="Q4970" s="17" t="str">
        <f t="shared" si="779"/>
        <v>Ecart positif</v>
      </c>
    </row>
    <row r="4971" spans="1:18" x14ac:dyDescent="0.3">
      <c r="A4971" s="34" t="str">
        <f>base!J4971</f>
        <v>RS</v>
      </c>
      <c r="B4971" s="34" t="str">
        <f>base!V4971</f>
        <v>68100</v>
      </c>
      <c r="C4971" s="37">
        <v>68</v>
      </c>
      <c r="D4971" s="36">
        <f>base!H4971</f>
        <v>70</v>
      </c>
      <c r="E4971" s="44"/>
      <c r="F4971" s="16">
        <f>base!W4971</f>
        <v>0</v>
      </c>
      <c r="G4971" s="11">
        <f t="shared" si="770"/>
        <v>0</v>
      </c>
      <c r="H4971" s="11">
        <f t="shared" si="771"/>
        <v>20.299999999999997</v>
      </c>
      <c r="I4971" s="11">
        <f t="shared" si="772"/>
        <v>0.28999999999999998</v>
      </c>
      <c r="J4971" s="12">
        <f t="shared" si="773"/>
        <v>-20.299999999999997</v>
      </c>
      <c r="K4971" s="17" t="str">
        <f t="shared" si="778"/>
        <v>Ecart négatif</v>
      </c>
      <c r="L4971" s="16">
        <f>base!X4971</f>
        <v>0</v>
      </c>
      <c r="M4971" s="11">
        <f t="shared" si="774"/>
        <v>0</v>
      </c>
      <c r="N4971" s="11">
        <f t="shared" si="775"/>
        <v>5.6000000000000005</v>
      </c>
      <c r="O4971" s="11">
        <f t="shared" si="776"/>
        <v>0.08</v>
      </c>
      <c r="P4971" s="12">
        <f t="shared" si="777"/>
        <v>-5.6000000000000005</v>
      </c>
      <c r="Q4971" s="17" t="str">
        <f t="shared" si="779"/>
        <v>Ecart négatif</v>
      </c>
    </row>
    <row r="4972" spans="1:18" x14ac:dyDescent="0.3">
      <c r="A4972" s="34" t="str">
        <f>base!J4972</f>
        <v>RM</v>
      </c>
      <c r="B4972" s="34" t="str">
        <f>base!V4972</f>
        <v>13006</v>
      </c>
      <c r="C4972" s="37">
        <v>13</v>
      </c>
      <c r="D4972" s="36">
        <f>base!H4972</f>
        <v>40</v>
      </c>
      <c r="E4972" s="44"/>
      <c r="F4972" s="16">
        <f>base!W4972</f>
        <v>0</v>
      </c>
      <c r="G4972" s="11">
        <f t="shared" si="770"/>
        <v>0</v>
      </c>
      <c r="H4972" s="11">
        <f t="shared" si="771"/>
        <v>11.6</v>
      </c>
      <c r="I4972" s="11">
        <f t="shared" si="772"/>
        <v>0.28999999999999998</v>
      </c>
      <c r="J4972" s="12">
        <f t="shared" si="773"/>
        <v>-11.6</v>
      </c>
      <c r="K4972" s="17" t="str">
        <f t="shared" si="778"/>
        <v>Ecart négatif</v>
      </c>
      <c r="L4972" s="16">
        <f>base!X4972</f>
        <v>7.6</v>
      </c>
      <c r="M4972" s="11">
        <f t="shared" si="774"/>
        <v>0.19</v>
      </c>
      <c r="N4972" s="11">
        <f t="shared" si="775"/>
        <v>7.6</v>
      </c>
      <c r="O4972" s="11">
        <f t="shared" si="776"/>
        <v>0.19</v>
      </c>
      <c r="P4972" s="12">
        <f t="shared" si="777"/>
        <v>0</v>
      </c>
      <c r="Q4972" s="17" t="str">
        <f t="shared" si="779"/>
        <v>Pas d'écart</v>
      </c>
      <c r="R4972" s="38"/>
    </row>
    <row r="4973" spans="1:18" x14ac:dyDescent="0.3">
      <c r="A4973" s="34" t="str">
        <f>base!J4973</f>
        <v>RS</v>
      </c>
      <c r="B4973" s="34" t="str">
        <f>base!V4973</f>
        <v>22440</v>
      </c>
      <c r="C4973" s="37">
        <v>22</v>
      </c>
      <c r="D4973" s="36">
        <f>base!H4973</f>
        <v>140</v>
      </c>
      <c r="E4973" s="44"/>
      <c r="F4973" s="16">
        <f>base!W4973</f>
        <v>0</v>
      </c>
      <c r="G4973" s="11">
        <f t="shared" si="770"/>
        <v>0</v>
      </c>
      <c r="H4973" s="11">
        <f t="shared" si="771"/>
        <v>53.2</v>
      </c>
      <c r="I4973" s="11">
        <f t="shared" si="772"/>
        <v>0.38</v>
      </c>
      <c r="J4973" s="12">
        <f t="shared" si="773"/>
        <v>-53.2</v>
      </c>
      <c r="K4973" s="17" t="str">
        <f t="shared" si="778"/>
        <v>Ecart négatif</v>
      </c>
      <c r="L4973" s="16">
        <f>base!X4973</f>
        <v>0</v>
      </c>
      <c r="M4973" s="11">
        <f t="shared" si="774"/>
        <v>0</v>
      </c>
      <c r="N4973" s="11">
        <f t="shared" si="775"/>
        <v>16.8</v>
      </c>
      <c r="O4973" s="11">
        <f t="shared" si="776"/>
        <v>0.12000000000000001</v>
      </c>
      <c r="P4973" s="12">
        <f t="shared" si="777"/>
        <v>-16.8</v>
      </c>
      <c r="Q4973" s="17" t="str">
        <f t="shared" si="779"/>
        <v>Ecart négatif</v>
      </c>
    </row>
    <row r="4974" spans="1:18" x14ac:dyDescent="0.3">
      <c r="A4974" s="34" t="str">
        <f>base!J4974</f>
        <v>LM</v>
      </c>
      <c r="B4974" s="34" t="str">
        <f>base!V4974</f>
        <v>75014</v>
      </c>
      <c r="C4974" s="37">
        <v>75</v>
      </c>
      <c r="D4974" s="36">
        <f>base!H4974</f>
        <v>107.6</v>
      </c>
      <c r="E4974" s="44"/>
      <c r="F4974" s="16">
        <f>base!W4974</f>
        <v>0</v>
      </c>
      <c r="G4974" s="11">
        <f t="shared" si="770"/>
        <v>0</v>
      </c>
      <c r="H4974" s="11">
        <f t="shared" si="771"/>
        <v>0</v>
      </c>
      <c r="I4974" s="11">
        <f t="shared" si="772"/>
        <v>0</v>
      </c>
      <c r="J4974" s="12">
        <f t="shared" si="773"/>
        <v>0</v>
      </c>
      <c r="K4974" s="17" t="str">
        <f t="shared" si="778"/>
        <v>Pas d'écart</v>
      </c>
      <c r="L4974" s="16">
        <f>base!X4974</f>
        <v>0</v>
      </c>
      <c r="M4974" s="11">
        <f t="shared" si="774"/>
        <v>0</v>
      </c>
      <c r="N4974" s="11">
        <f t="shared" si="775"/>
        <v>0</v>
      </c>
      <c r="O4974" s="11">
        <f t="shared" si="776"/>
        <v>0</v>
      </c>
      <c r="P4974" s="12">
        <f t="shared" si="777"/>
        <v>0</v>
      </c>
      <c r="Q4974" s="17" t="str">
        <f t="shared" si="779"/>
        <v>Pas d'écart</v>
      </c>
    </row>
    <row r="4975" spans="1:18" x14ac:dyDescent="0.3">
      <c r="A4975" s="34" t="str">
        <f>base!J4975</f>
        <v>LS</v>
      </c>
      <c r="B4975" s="34" t="str">
        <f>base!V4975</f>
        <v>69007</v>
      </c>
      <c r="C4975" s="37">
        <v>44</v>
      </c>
      <c r="D4975" s="36">
        <f>base!H4975</f>
        <v>55.34</v>
      </c>
      <c r="E4975" s="44"/>
      <c r="F4975" s="16">
        <f>base!W4975</f>
        <v>14.94</v>
      </c>
      <c r="G4975" s="11">
        <f t="shared" si="770"/>
        <v>0.26996747379833752</v>
      </c>
      <c r="H4975" s="11">
        <f t="shared" si="771"/>
        <v>14.941800000000002</v>
      </c>
      <c r="I4975" s="11">
        <f t="shared" si="772"/>
        <v>0.27</v>
      </c>
      <c r="J4975" s="12">
        <f t="shared" si="773"/>
        <v>-1.8000000000029104E-3</v>
      </c>
      <c r="K4975" s="17" t="str">
        <f t="shared" si="778"/>
        <v>Ecart négatif</v>
      </c>
      <c r="L4975" s="16">
        <f>base!X4975</f>
        <v>0</v>
      </c>
      <c r="M4975" s="11">
        <f t="shared" si="774"/>
        <v>0</v>
      </c>
      <c r="N4975" s="11">
        <f t="shared" si="775"/>
        <v>0</v>
      </c>
      <c r="O4975" s="11">
        <f t="shared" si="776"/>
        <v>0</v>
      </c>
      <c r="P4975" s="12">
        <f t="shared" si="777"/>
        <v>0</v>
      </c>
      <c r="Q4975" s="17" t="str">
        <f t="shared" si="779"/>
        <v>Pas d'écart</v>
      </c>
    </row>
    <row r="4976" spans="1:18" x14ac:dyDescent="0.3">
      <c r="A4976" s="34">
        <f>base!J4976</f>
        <v>0</v>
      </c>
      <c r="B4976" s="34" t="str">
        <f>base!V4976</f>
        <v>44240</v>
      </c>
      <c r="C4976" s="37">
        <v>44</v>
      </c>
      <c r="D4976" s="36">
        <f>base!H4976</f>
        <v>105.8</v>
      </c>
      <c r="E4976" s="44"/>
      <c r="F4976" s="16">
        <f>base!W4976</f>
        <v>0</v>
      </c>
      <c r="G4976" s="11">
        <f t="shared" si="770"/>
        <v>0</v>
      </c>
      <c r="H4976" s="11">
        <f t="shared" si="771"/>
        <v>28.566000000000003</v>
      </c>
      <c r="I4976" s="11">
        <f t="shared" si="772"/>
        <v>0.27</v>
      </c>
      <c r="J4976" s="12">
        <f t="shared" si="773"/>
        <v>-28.566000000000003</v>
      </c>
      <c r="K4976" s="17" t="str">
        <f t="shared" si="778"/>
        <v>Ecart négatif</v>
      </c>
      <c r="L4976" s="16">
        <f>base!X4976</f>
        <v>0</v>
      </c>
      <c r="M4976" s="11">
        <f t="shared" si="774"/>
        <v>0</v>
      </c>
      <c r="N4976" s="11">
        <f t="shared" si="775"/>
        <v>0</v>
      </c>
      <c r="O4976" s="11">
        <f t="shared" si="776"/>
        <v>0</v>
      </c>
      <c r="P4976" s="12">
        <f t="shared" si="777"/>
        <v>0</v>
      </c>
      <c r="Q4976" s="17" t="str">
        <f t="shared" si="779"/>
        <v>Pas d'écart</v>
      </c>
    </row>
    <row r="4977" spans="1:18" x14ac:dyDescent="0.3">
      <c r="A4977" s="34" t="str">
        <f>base!J4977</f>
        <v>LM</v>
      </c>
      <c r="B4977" s="34" t="str">
        <f>base!V4977</f>
        <v>69002</v>
      </c>
      <c r="C4977" s="37">
        <v>44</v>
      </c>
      <c r="D4977" s="36">
        <f>base!H4977</f>
        <v>12</v>
      </c>
      <c r="E4977" s="44"/>
      <c r="F4977" s="16">
        <f>base!W4977</f>
        <v>0</v>
      </c>
      <c r="G4977" s="11">
        <f t="shared" si="770"/>
        <v>0</v>
      </c>
      <c r="H4977" s="11">
        <f t="shared" si="771"/>
        <v>3.24</v>
      </c>
      <c r="I4977" s="11">
        <f t="shared" si="772"/>
        <v>0.27</v>
      </c>
      <c r="J4977" s="12">
        <f t="shared" si="773"/>
        <v>-3.24</v>
      </c>
      <c r="K4977" s="17" t="str">
        <f t="shared" si="778"/>
        <v>Ecart négatif</v>
      </c>
      <c r="L4977" s="16">
        <f>base!X4977</f>
        <v>0</v>
      </c>
      <c r="M4977" s="11">
        <f t="shared" si="774"/>
        <v>0</v>
      </c>
      <c r="N4977" s="11">
        <f t="shared" si="775"/>
        <v>0</v>
      </c>
      <c r="O4977" s="11">
        <f t="shared" si="776"/>
        <v>0</v>
      </c>
      <c r="P4977" s="12">
        <f t="shared" si="777"/>
        <v>0</v>
      </c>
      <c r="Q4977" s="17" t="str">
        <f t="shared" si="779"/>
        <v>Pas d'écart</v>
      </c>
    </row>
    <row r="4978" spans="1:18" x14ac:dyDescent="0.3">
      <c r="A4978" s="34">
        <f>base!J4978</f>
        <v>0</v>
      </c>
      <c r="B4978" s="34" t="str">
        <f>base!V4978</f>
        <v>77184</v>
      </c>
      <c r="C4978" s="37">
        <v>77</v>
      </c>
      <c r="D4978" s="36">
        <f>base!H4978</f>
        <v>95.02</v>
      </c>
      <c r="E4978" s="44"/>
      <c r="F4978" s="16">
        <f>base!W4978</f>
        <v>0</v>
      </c>
      <c r="G4978" s="11">
        <f t="shared" si="770"/>
        <v>0</v>
      </c>
      <c r="H4978" s="11">
        <f t="shared" si="771"/>
        <v>0</v>
      </c>
      <c r="I4978" s="11">
        <f t="shared" si="772"/>
        <v>0</v>
      </c>
      <c r="J4978" s="12">
        <f t="shared" si="773"/>
        <v>0</v>
      </c>
      <c r="K4978" s="17" t="str">
        <f t="shared" si="778"/>
        <v>Pas d'écart</v>
      </c>
      <c r="L4978" s="16">
        <f>base!X4978</f>
        <v>0</v>
      </c>
      <c r="M4978" s="11">
        <f t="shared" si="774"/>
        <v>0</v>
      </c>
      <c r="N4978" s="11">
        <f t="shared" si="775"/>
        <v>0</v>
      </c>
      <c r="O4978" s="11">
        <f t="shared" si="776"/>
        <v>0</v>
      </c>
      <c r="P4978" s="12">
        <f t="shared" si="777"/>
        <v>0</v>
      </c>
      <c r="Q4978" s="17" t="str">
        <f t="shared" si="779"/>
        <v>Pas d'écart</v>
      </c>
    </row>
    <row r="4979" spans="1:18" x14ac:dyDescent="0.3">
      <c r="A4979" s="34" t="str">
        <f>base!J4979</f>
        <v>RS</v>
      </c>
      <c r="B4979" s="34" t="str">
        <f>base!V4979</f>
        <v>08200</v>
      </c>
      <c r="C4979" s="37">
        <v>8</v>
      </c>
      <c r="D4979" s="36">
        <f>base!H4979</f>
        <v>32.6</v>
      </c>
      <c r="E4979" s="44"/>
      <c r="F4979" s="16">
        <f>base!W4979</f>
        <v>0</v>
      </c>
      <c r="G4979" s="11">
        <f t="shared" si="770"/>
        <v>0</v>
      </c>
      <c r="H4979" s="11">
        <f t="shared" si="771"/>
        <v>5.8680000000000003</v>
      </c>
      <c r="I4979" s="11">
        <f t="shared" si="772"/>
        <v>0.18</v>
      </c>
      <c r="J4979" s="12">
        <f t="shared" si="773"/>
        <v>-5.8680000000000003</v>
      </c>
      <c r="K4979" s="17" t="str">
        <f t="shared" si="778"/>
        <v>Ecart négatif</v>
      </c>
      <c r="L4979" s="16">
        <f>base!X4979</f>
        <v>0</v>
      </c>
      <c r="M4979" s="11">
        <f t="shared" si="774"/>
        <v>0</v>
      </c>
      <c r="N4979" s="11">
        <f t="shared" si="775"/>
        <v>0</v>
      </c>
      <c r="O4979" s="11">
        <f t="shared" si="776"/>
        <v>0</v>
      </c>
      <c r="P4979" s="12">
        <f t="shared" si="777"/>
        <v>0</v>
      </c>
      <c r="Q4979" s="17" t="str">
        <f t="shared" si="779"/>
        <v>Pas d'écart</v>
      </c>
    </row>
    <row r="4980" spans="1:18" x14ac:dyDescent="0.3">
      <c r="A4980" s="34" t="str">
        <f>base!J4980</f>
        <v>LS</v>
      </c>
      <c r="B4980" s="34" t="str">
        <f>base!V4980</f>
        <v>14000</v>
      </c>
      <c r="C4980" s="37">
        <v>42</v>
      </c>
      <c r="D4980" s="36">
        <f>base!H4980</f>
        <v>156.57</v>
      </c>
      <c r="E4980" s="44"/>
      <c r="F4980" s="16">
        <f>base!W4980</f>
        <v>26.62</v>
      </c>
      <c r="G4980" s="11">
        <f t="shared" si="770"/>
        <v>0.17001979945072493</v>
      </c>
      <c r="H4980" s="11">
        <f t="shared" si="771"/>
        <v>40.708199999999998</v>
      </c>
      <c r="I4980" s="11">
        <f t="shared" si="772"/>
        <v>0.26</v>
      </c>
      <c r="J4980" s="12">
        <f t="shared" si="773"/>
        <v>-14.088199999999997</v>
      </c>
      <c r="K4980" s="17" t="str">
        <f t="shared" si="778"/>
        <v>Ecart négatif</v>
      </c>
      <c r="L4980" s="16">
        <f>base!X4980</f>
        <v>0</v>
      </c>
      <c r="M4980" s="11">
        <f t="shared" si="774"/>
        <v>0</v>
      </c>
      <c r="N4980" s="11">
        <f t="shared" si="775"/>
        <v>0</v>
      </c>
      <c r="O4980" s="11">
        <f t="shared" si="776"/>
        <v>0</v>
      </c>
      <c r="P4980" s="12">
        <f t="shared" si="777"/>
        <v>0</v>
      </c>
      <c r="Q4980" s="17" t="str">
        <f t="shared" si="779"/>
        <v>Pas d'écart</v>
      </c>
    </row>
    <row r="4981" spans="1:18" x14ac:dyDescent="0.3">
      <c r="A4981" s="34" t="str">
        <f>base!J4981</f>
        <v>LM</v>
      </c>
      <c r="B4981" s="34" t="str">
        <f>base!V4981</f>
        <v>75014</v>
      </c>
      <c r="C4981" s="37">
        <v>75</v>
      </c>
      <c r="D4981" s="36">
        <f>base!H4981</f>
        <v>19.649999999999999</v>
      </c>
      <c r="E4981" s="44"/>
      <c r="F4981" s="16">
        <f>base!W4981</f>
        <v>0</v>
      </c>
      <c r="G4981" s="11">
        <f t="shared" si="770"/>
        <v>0</v>
      </c>
      <c r="H4981" s="11">
        <f t="shared" si="771"/>
        <v>0</v>
      </c>
      <c r="I4981" s="11">
        <f t="shared" si="772"/>
        <v>0</v>
      </c>
      <c r="J4981" s="12">
        <f t="shared" si="773"/>
        <v>0</v>
      </c>
      <c r="K4981" s="17" t="str">
        <f t="shared" si="778"/>
        <v>Pas d'écart</v>
      </c>
      <c r="L4981" s="16">
        <f>base!X4981</f>
        <v>0</v>
      </c>
      <c r="M4981" s="11">
        <f t="shared" si="774"/>
        <v>0</v>
      </c>
      <c r="N4981" s="11">
        <f t="shared" si="775"/>
        <v>0</v>
      </c>
      <c r="O4981" s="11">
        <f t="shared" si="776"/>
        <v>0</v>
      </c>
      <c r="P4981" s="12">
        <f t="shared" si="777"/>
        <v>0</v>
      </c>
      <c r="Q4981" s="17" t="str">
        <f t="shared" si="779"/>
        <v>Pas d'écart</v>
      </c>
    </row>
    <row r="4982" spans="1:18" x14ac:dyDescent="0.3">
      <c r="A4982" s="34" t="str">
        <f>base!J4982</f>
        <v>LM</v>
      </c>
      <c r="B4982" s="34" t="str">
        <f>base!V4982</f>
        <v>75014</v>
      </c>
      <c r="C4982" s="37">
        <v>75</v>
      </c>
      <c r="D4982" s="36">
        <f>base!H4982</f>
        <v>19.649999999999999</v>
      </c>
      <c r="E4982" s="44"/>
      <c r="F4982" s="16">
        <f>base!W4982</f>
        <v>0</v>
      </c>
      <c r="G4982" s="11">
        <f t="shared" si="770"/>
        <v>0</v>
      </c>
      <c r="H4982" s="11">
        <f t="shared" si="771"/>
        <v>0</v>
      </c>
      <c r="I4982" s="11">
        <f t="shared" si="772"/>
        <v>0</v>
      </c>
      <c r="J4982" s="12">
        <f t="shared" si="773"/>
        <v>0</v>
      </c>
      <c r="K4982" s="17" t="str">
        <f t="shared" si="778"/>
        <v>Pas d'écart</v>
      </c>
      <c r="L4982" s="16">
        <f>base!X4982</f>
        <v>0</v>
      </c>
      <c r="M4982" s="11">
        <f t="shared" si="774"/>
        <v>0</v>
      </c>
      <c r="N4982" s="11">
        <f t="shared" si="775"/>
        <v>0</v>
      </c>
      <c r="O4982" s="11">
        <f t="shared" si="776"/>
        <v>0</v>
      </c>
      <c r="P4982" s="12">
        <f t="shared" si="777"/>
        <v>0</v>
      </c>
      <c r="Q4982" s="17" t="str">
        <f t="shared" si="779"/>
        <v>Pas d'écart</v>
      </c>
    </row>
    <row r="4983" spans="1:18" x14ac:dyDescent="0.3">
      <c r="A4983" s="34" t="str">
        <f>base!J4983</f>
        <v>LM</v>
      </c>
      <c r="B4983" s="34" t="str">
        <f>base!V4983</f>
        <v>75014</v>
      </c>
      <c r="C4983" s="37">
        <v>75</v>
      </c>
      <c r="D4983" s="36">
        <f>base!H4983</f>
        <v>19.649999999999999</v>
      </c>
      <c r="E4983" s="44"/>
      <c r="F4983" s="16">
        <f>base!W4983</f>
        <v>0</v>
      </c>
      <c r="G4983" s="11">
        <f t="shared" si="770"/>
        <v>0</v>
      </c>
      <c r="H4983" s="11">
        <f t="shared" si="771"/>
        <v>0</v>
      </c>
      <c r="I4983" s="11">
        <f t="shared" si="772"/>
        <v>0</v>
      </c>
      <c r="J4983" s="12">
        <f t="shared" si="773"/>
        <v>0</v>
      </c>
      <c r="K4983" s="17" t="str">
        <f t="shared" si="778"/>
        <v>Pas d'écart</v>
      </c>
      <c r="L4983" s="16">
        <f>base!X4983</f>
        <v>0</v>
      </c>
      <c r="M4983" s="11">
        <f t="shared" si="774"/>
        <v>0</v>
      </c>
      <c r="N4983" s="11">
        <f t="shared" si="775"/>
        <v>0</v>
      </c>
      <c r="O4983" s="11">
        <f t="shared" si="776"/>
        <v>0</v>
      </c>
      <c r="P4983" s="12">
        <f t="shared" si="777"/>
        <v>0</v>
      </c>
      <c r="Q4983" s="17" t="str">
        <f t="shared" si="779"/>
        <v>Pas d'écart</v>
      </c>
    </row>
    <row r="4984" spans="1:18" x14ac:dyDescent="0.3">
      <c r="A4984" s="34" t="str">
        <f>base!J4984</f>
        <v>LM</v>
      </c>
      <c r="B4984" s="34" t="str">
        <f>base!V4984</f>
        <v>75014</v>
      </c>
      <c r="C4984" s="37">
        <v>75</v>
      </c>
      <c r="D4984" s="36">
        <f>base!H4984</f>
        <v>19.649999999999999</v>
      </c>
      <c r="E4984" s="44"/>
      <c r="F4984" s="16">
        <f>base!W4984</f>
        <v>0</v>
      </c>
      <c r="G4984" s="11">
        <f t="shared" si="770"/>
        <v>0</v>
      </c>
      <c r="H4984" s="11">
        <f t="shared" si="771"/>
        <v>0</v>
      </c>
      <c r="I4984" s="11">
        <f t="shared" si="772"/>
        <v>0</v>
      </c>
      <c r="J4984" s="12">
        <f t="shared" si="773"/>
        <v>0</v>
      </c>
      <c r="K4984" s="17" t="str">
        <f t="shared" si="778"/>
        <v>Pas d'écart</v>
      </c>
      <c r="L4984" s="16">
        <f>base!X4984</f>
        <v>0</v>
      </c>
      <c r="M4984" s="11">
        <f t="shared" si="774"/>
        <v>0</v>
      </c>
      <c r="N4984" s="11">
        <f t="shared" si="775"/>
        <v>0</v>
      </c>
      <c r="O4984" s="11">
        <f t="shared" si="776"/>
        <v>0</v>
      </c>
      <c r="P4984" s="12">
        <f t="shared" si="777"/>
        <v>0</v>
      </c>
      <c r="Q4984" s="17" t="str">
        <f t="shared" si="779"/>
        <v>Pas d'écart</v>
      </c>
    </row>
    <row r="4985" spans="1:18" x14ac:dyDescent="0.3">
      <c r="A4985" s="34" t="str">
        <f>base!J4985</f>
        <v>LS</v>
      </c>
      <c r="B4985" s="34" t="str">
        <f>base!V4985</f>
        <v>94220</v>
      </c>
      <c r="C4985" s="37">
        <v>94</v>
      </c>
      <c r="D4985" s="36">
        <f>base!H4985</f>
        <v>40</v>
      </c>
      <c r="E4985" s="44"/>
      <c r="F4985" s="16">
        <f>base!W4985</f>
        <v>0</v>
      </c>
      <c r="G4985" s="11">
        <f t="shared" si="770"/>
        <v>0</v>
      </c>
      <c r="H4985" s="11">
        <f t="shared" si="771"/>
        <v>0</v>
      </c>
      <c r="I4985" s="11">
        <f t="shared" si="772"/>
        <v>0</v>
      </c>
      <c r="J4985" s="12">
        <f t="shared" si="773"/>
        <v>0</v>
      </c>
      <c r="K4985" s="17" t="str">
        <f t="shared" si="778"/>
        <v>Pas d'écart</v>
      </c>
      <c r="L4985" s="16">
        <f>base!X4985</f>
        <v>0</v>
      </c>
      <c r="M4985" s="11">
        <f t="shared" si="774"/>
        <v>0</v>
      </c>
      <c r="N4985" s="11">
        <f t="shared" si="775"/>
        <v>0</v>
      </c>
      <c r="O4985" s="11">
        <f t="shared" si="776"/>
        <v>0</v>
      </c>
      <c r="P4985" s="12">
        <f t="shared" si="777"/>
        <v>0</v>
      </c>
      <c r="Q4985" s="17" t="str">
        <f t="shared" si="779"/>
        <v>Pas d'écart</v>
      </c>
    </row>
    <row r="4986" spans="1:18" x14ac:dyDescent="0.3">
      <c r="A4986" s="34" t="str">
        <f>base!J4986</f>
        <v>LS</v>
      </c>
      <c r="B4986" s="34" t="str">
        <f>base!V4986</f>
        <v>25700</v>
      </c>
      <c r="C4986" s="37">
        <v>74</v>
      </c>
      <c r="D4986" s="36">
        <f>base!H4986</f>
        <v>103.06</v>
      </c>
      <c r="E4986" s="44"/>
      <c r="F4986" s="16">
        <f>base!W4986</f>
        <v>24.73</v>
      </c>
      <c r="G4986" s="11">
        <f t="shared" si="770"/>
        <v>0.23995730642344265</v>
      </c>
      <c r="H4986" s="11">
        <f t="shared" si="771"/>
        <v>26.7956</v>
      </c>
      <c r="I4986" s="11">
        <f t="shared" si="772"/>
        <v>0.26</v>
      </c>
      <c r="J4986" s="12">
        <f t="shared" si="773"/>
        <v>-2.0655999999999999</v>
      </c>
      <c r="K4986" s="17" t="str">
        <f t="shared" si="778"/>
        <v>Ecart négatif</v>
      </c>
      <c r="L4986" s="16">
        <f>base!X4986</f>
        <v>0</v>
      </c>
      <c r="M4986" s="11">
        <f t="shared" si="774"/>
        <v>0</v>
      </c>
      <c r="N4986" s="11">
        <f t="shared" si="775"/>
        <v>0</v>
      </c>
      <c r="O4986" s="11">
        <f t="shared" si="776"/>
        <v>0</v>
      </c>
      <c r="P4986" s="12">
        <f t="shared" si="777"/>
        <v>0</v>
      </c>
      <c r="Q4986" s="17" t="str">
        <f t="shared" si="779"/>
        <v>Pas d'écart</v>
      </c>
    </row>
    <row r="4987" spans="1:18" x14ac:dyDescent="0.3">
      <c r="A4987" s="34" t="str">
        <f>base!J4987</f>
        <v>LS</v>
      </c>
      <c r="B4987" s="34" t="str">
        <f>base!V4987</f>
        <v>06510</v>
      </c>
      <c r="C4987" s="37">
        <v>35</v>
      </c>
      <c r="D4987" s="36">
        <f>base!H4987</f>
        <v>151</v>
      </c>
      <c r="E4987" s="44"/>
      <c r="F4987" s="16">
        <f>base!W4987</f>
        <v>45.3</v>
      </c>
      <c r="G4987" s="11">
        <f t="shared" si="770"/>
        <v>0.3</v>
      </c>
      <c r="H4987" s="11">
        <f t="shared" si="771"/>
        <v>40.770000000000003</v>
      </c>
      <c r="I4987" s="11">
        <f t="shared" si="772"/>
        <v>0.27</v>
      </c>
      <c r="J4987" s="12">
        <f t="shared" si="773"/>
        <v>4.529999999999994</v>
      </c>
      <c r="K4987" s="17" t="str">
        <f t="shared" si="778"/>
        <v>Ecart positif</v>
      </c>
      <c r="L4987" s="16">
        <f>base!X4987</f>
        <v>0</v>
      </c>
      <c r="M4987" s="11">
        <f t="shared" si="774"/>
        <v>0</v>
      </c>
      <c r="N4987" s="11">
        <f t="shared" si="775"/>
        <v>0</v>
      </c>
      <c r="O4987" s="11">
        <f t="shared" si="776"/>
        <v>0</v>
      </c>
      <c r="P4987" s="12">
        <f t="shared" si="777"/>
        <v>0</v>
      </c>
      <c r="Q4987" s="17" t="str">
        <f t="shared" si="779"/>
        <v>Pas d'écart</v>
      </c>
    </row>
    <row r="4988" spans="1:18" x14ac:dyDescent="0.3">
      <c r="A4988" s="34" t="str">
        <f>base!J4988</f>
        <v>LS</v>
      </c>
      <c r="B4988" s="34" t="str">
        <f>base!V4988</f>
        <v>67100</v>
      </c>
      <c r="C4988" s="37">
        <v>44</v>
      </c>
      <c r="D4988" s="36">
        <f>base!H4988</f>
        <v>138.12</v>
      </c>
      <c r="E4988" s="44"/>
      <c r="F4988" s="16">
        <f>base!W4988</f>
        <v>40.049999999999997</v>
      </c>
      <c r="G4988" s="11">
        <f t="shared" si="770"/>
        <v>0.28996524761077319</v>
      </c>
      <c r="H4988" s="11">
        <f t="shared" si="771"/>
        <v>37.292400000000001</v>
      </c>
      <c r="I4988" s="11">
        <f t="shared" si="772"/>
        <v>0.27</v>
      </c>
      <c r="J4988" s="12">
        <f t="shared" si="773"/>
        <v>2.7575999999999965</v>
      </c>
      <c r="K4988" s="17" t="str">
        <f t="shared" si="778"/>
        <v>Ecart positif</v>
      </c>
      <c r="L4988" s="16">
        <f>base!X4988</f>
        <v>0</v>
      </c>
      <c r="M4988" s="11">
        <f t="shared" si="774"/>
        <v>0</v>
      </c>
      <c r="N4988" s="11">
        <f t="shared" si="775"/>
        <v>0</v>
      </c>
      <c r="O4988" s="11">
        <f t="shared" si="776"/>
        <v>0</v>
      </c>
      <c r="P4988" s="12">
        <f t="shared" si="777"/>
        <v>0</v>
      </c>
      <c r="Q4988" s="17" t="str">
        <f t="shared" si="779"/>
        <v>Pas d'écart</v>
      </c>
    </row>
    <row r="4989" spans="1:18" x14ac:dyDescent="0.3">
      <c r="A4989" s="34" t="str">
        <f>base!J4989</f>
        <v>DLS</v>
      </c>
      <c r="B4989" s="34" t="str">
        <f>base!V4989</f>
        <v>34500</v>
      </c>
      <c r="C4989" s="37">
        <v>34</v>
      </c>
      <c r="D4989" s="36">
        <f>base!H4989</f>
        <v>143.44999999999999</v>
      </c>
      <c r="E4989" s="44"/>
      <c r="F4989" s="16">
        <f>base!W4989</f>
        <v>0</v>
      </c>
      <c r="G4989" s="11">
        <f t="shared" si="770"/>
        <v>0</v>
      </c>
      <c r="H4989" s="11">
        <f t="shared" si="771"/>
        <v>55.945499999999996</v>
      </c>
      <c r="I4989" s="11">
        <f t="shared" si="772"/>
        <v>0.39</v>
      </c>
      <c r="J4989" s="12">
        <f t="shared" si="773"/>
        <v>-55.945499999999996</v>
      </c>
      <c r="K4989" s="17" t="str">
        <f t="shared" si="778"/>
        <v>Ecart négatif</v>
      </c>
      <c r="L4989" s="16">
        <f>base!X4989</f>
        <v>0</v>
      </c>
      <c r="M4989" s="11">
        <f t="shared" si="774"/>
        <v>0</v>
      </c>
      <c r="N4989" s="11">
        <f t="shared" si="775"/>
        <v>40.166000000000004</v>
      </c>
      <c r="O4989" s="11">
        <f t="shared" si="776"/>
        <v>0.28000000000000003</v>
      </c>
      <c r="P4989" s="12">
        <f t="shared" si="777"/>
        <v>-40.166000000000004</v>
      </c>
      <c r="Q4989" s="17" t="str">
        <f t="shared" si="779"/>
        <v>Ecart négatif</v>
      </c>
    </row>
    <row r="4990" spans="1:18" x14ac:dyDescent="0.3">
      <c r="A4990" s="34" t="str">
        <f>base!J4990</f>
        <v>RS</v>
      </c>
      <c r="B4990" s="34" t="str">
        <f>base!V4990</f>
        <v>92500</v>
      </c>
      <c r="C4990" s="37">
        <v>92</v>
      </c>
      <c r="D4990" s="36">
        <f>base!H4990</f>
        <v>151</v>
      </c>
      <c r="E4990" s="44"/>
      <c r="F4990" s="16">
        <f>base!W4990</f>
        <v>0</v>
      </c>
      <c r="G4990" s="11">
        <f t="shared" si="770"/>
        <v>0</v>
      </c>
      <c r="H4990" s="11">
        <f t="shared" si="771"/>
        <v>0</v>
      </c>
      <c r="I4990" s="11">
        <f t="shared" si="772"/>
        <v>0</v>
      </c>
      <c r="J4990" s="12">
        <f t="shared" si="773"/>
        <v>0</v>
      </c>
      <c r="K4990" s="17" t="str">
        <f t="shared" si="778"/>
        <v>Pas d'écart</v>
      </c>
      <c r="L4990" s="16">
        <f>base!X4990</f>
        <v>0</v>
      </c>
      <c r="M4990" s="11">
        <f t="shared" si="774"/>
        <v>0</v>
      </c>
      <c r="N4990" s="11">
        <f t="shared" si="775"/>
        <v>0</v>
      </c>
      <c r="O4990" s="11">
        <f t="shared" si="776"/>
        <v>0</v>
      </c>
      <c r="P4990" s="12">
        <f t="shared" si="777"/>
        <v>0</v>
      </c>
      <c r="Q4990" s="17" t="str">
        <f t="shared" si="779"/>
        <v>Pas d'écart</v>
      </c>
    </row>
    <row r="4991" spans="1:18" x14ac:dyDescent="0.3">
      <c r="A4991" s="34" t="str">
        <f>base!J4991</f>
        <v>RS</v>
      </c>
      <c r="B4991" s="34" t="str">
        <f>base!V4991</f>
        <v>57930</v>
      </c>
      <c r="C4991" s="37">
        <v>57</v>
      </c>
      <c r="D4991" s="36">
        <f>base!H4991</f>
        <v>151</v>
      </c>
      <c r="E4991" s="44"/>
      <c r="F4991" s="16">
        <f>base!W4991</f>
        <v>0</v>
      </c>
      <c r="G4991" s="11">
        <f t="shared" si="770"/>
        <v>0</v>
      </c>
      <c r="H4991" s="11">
        <f t="shared" si="771"/>
        <v>36.24</v>
      </c>
      <c r="I4991" s="11">
        <f t="shared" si="772"/>
        <v>0.24000000000000002</v>
      </c>
      <c r="J4991" s="12">
        <f t="shared" si="773"/>
        <v>-36.24</v>
      </c>
      <c r="K4991" s="17" t="str">
        <f t="shared" si="778"/>
        <v>Ecart négatif</v>
      </c>
      <c r="L4991" s="16">
        <f>base!X4991</f>
        <v>12.08</v>
      </c>
      <c r="M4991" s="11">
        <f t="shared" si="774"/>
        <v>0.08</v>
      </c>
      <c r="N4991" s="11">
        <f t="shared" si="775"/>
        <v>37.75</v>
      </c>
      <c r="O4991" s="11">
        <f t="shared" si="776"/>
        <v>0.25</v>
      </c>
      <c r="P4991" s="12">
        <f t="shared" si="777"/>
        <v>-25.67</v>
      </c>
      <c r="Q4991" s="17" t="str">
        <f t="shared" si="779"/>
        <v>Ecart négatif</v>
      </c>
      <c r="R4991" s="38"/>
    </row>
    <row r="4992" spans="1:18" x14ac:dyDescent="0.3">
      <c r="A4992" s="34">
        <f>base!J4992</f>
        <v>0</v>
      </c>
      <c r="B4992" s="34" t="str">
        <f>base!V4992</f>
        <v>77184</v>
      </c>
      <c r="C4992" s="37">
        <v>77</v>
      </c>
      <c r="D4992" s="36">
        <f>base!H4992</f>
        <v>28</v>
      </c>
      <c r="E4992" s="44"/>
      <c r="F4992" s="16">
        <f>base!W4992</f>
        <v>0</v>
      </c>
      <c r="G4992" s="11">
        <f t="shared" si="770"/>
        <v>0</v>
      </c>
      <c r="H4992" s="11">
        <f t="shared" si="771"/>
        <v>0</v>
      </c>
      <c r="I4992" s="11">
        <f t="shared" si="772"/>
        <v>0</v>
      </c>
      <c r="J4992" s="12">
        <f t="shared" si="773"/>
        <v>0</v>
      </c>
      <c r="K4992" s="17" t="str">
        <f t="shared" si="778"/>
        <v>Pas d'écart</v>
      </c>
      <c r="L4992" s="16">
        <f>base!X4992</f>
        <v>0</v>
      </c>
      <c r="M4992" s="11">
        <f t="shared" si="774"/>
        <v>0</v>
      </c>
      <c r="N4992" s="11">
        <f t="shared" si="775"/>
        <v>0</v>
      </c>
      <c r="O4992" s="11">
        <f t="shared" si="776"/>
        <v>0</v>
      </c>
      <c r="P4992" s="12">
        <f t="shared" si="777"/>
        <v>0</v>
      </c>
      <c r="Q4992" s="17" t="str">
        <f t="shared" si="779"/>
        <v>Pas d'écart</v>
      </c>
    </row>
    <row r="4993" spans="1:18" x14ac:dyDescent="0.3">
      <c r="A4993" s="34">
        <f>base!J4993</f>
        <v>0</v>
      </c>
      <c r="B4993" s="34" t="str">
        <f>base!V4993</f>
        <v>77184</v>
      </c>
      <c r="C4993" s="37">
        <v>77</v>
      </c>
      <c r="D4993" s="36">
        <f>base!H4993</f>
        <v>105</v>
      </c>
      <c r="E4993" s="44"/>
      <c r="F4993" s="16">
        <f>base!W4993</f>
        <v>0</v>
      </c>
      <c r="G4993" s="11">
        <f t="shared" si="770"/>
        <v>0</v>
      </c>
      <c r="H4993" s="11">
        <f t="shared" si="771"/>
        <v>0</v>
      </c>
      <c r="I4993" s="11">
        <f t="shared" si="772"/>
        <v>0</v>
      </c>
      <c r="J4993" s="12">
        <f t="shared" si="773"/>
        <v>0</v>
      </c>
      <c r="K4993" s="17" t="str">
        <f t="shared" si="778"/>
        <v>Pas d'écart</v>
      </c>
      <c r="L4993" s="16">
        <f>base!X4993</f>
        <v>0</v>
      </c>
      <c r="M4993" s="11">
        <f t="shared" si="774"/>
        <v>0</v>
      </c>
      <c r="N4993" s="11">
        <f t="shared" si="775"/>
        <v>0</v>
      </c>
      <c r="O4993" s="11">
        <f t="shared" si="776"/>
        <v>0</v>
      </c>
      <c r="P4993" s="12">
        <f t="shared" si="777"/>
        <v>0</v>
      </c>
      <c r="Q4993" s="17" t="str">
        <f t="shared" si="779"/>
        <v>Pas d'écart</v>
      </c>
    </row>
    <row r="4994" spans="1:18" x14ac:dyDescent="0.3">
      <c r="A4994" s="34" t="str">
        <f>base!J4994</f>
        <v>RM</v>
      </c>
      <c r="B4994" s="34" t="str">
        <f>base!V4994</f>
        <v>59224</v>
      </c>
      <c r="C4994" s="37">
        <v>59</v>
      </c>
      <c r="D4994" s="36">
        <f>base!H4994</f>
        <v>140</v>
      </c>
      <c r="E4994" s="44"/>
      <c r="F4994" s="16">
        <f>base!W4994</f>
        <v>0</v>
      </c>
      <c r="G4994" s="11">
        <f t="shared" ref="G4994:G5057" si="780">F4994/D4994</f>
        <v>0</v>
      </c>
      <c r="H4994" s="11">
        <f t="shared" ref="H4994:H5057" si="781">VLOOKUP(C4994,tout_cout_traction,2,FALSE)*D4994</f>
        <v>26.6</v>
      </c>
      <c r="I4994" s="11">
        <f t="shared" ref="I4994:I5057" si="782">H4994/D4994</f>
        <v>0.19</v>
      </c>
      <c r="J4994" s="12">
        <f t="shared" ref="J4994:J5057" si="783">F4994-H4994</f>
        <v>-26.6</v>
      </c>
      <c r="K4994" s="17" t="str">
        <f t="shared" si="778"/>
        <v>Ecart négatif</v>
      </c>
      <c r="L4994" s="16">
        <f>base!X4994</f>
        <v>0</v>
      </c>
      <c r="M4994" s="11">
        <f t="shared" ref="M4994:M5057" si="784">L4994/D4994</f>
        <v>0</v>
      </c>
      <c r="N4994" s="11">
        <f t="shared" ref="N4994:N5057" si="785">VLOOKUP(C4994,tout_cout_traction,3,FALSE)*D4994</f>
        <v>0</v>
      </c>
      <c r="O4994" s="11">
        <f t="shared" ref="O4994:O5057" si="786">N4994/D4994</f>
        <v>0</v>
      </c>
      <c r="P4994" s="12">
        <f t="shared" ref="P4994:P5057" si="787">L4994-N4994</f>
        <v>0</v>
      </c>
      <c r="Q4994" s="17" t="str">
        <f t="shared" si="779"/>
        <v>Pas d'écart</v>
      </c>
    </row>
    <row r="4995" spans="1:18" x14ac:dyDescent="0.3">
      <c r="A4995" s="34" t="str">
        <f>base!J4995</f>
        <v>LS</v>
      </c>
      <c r="B4995" s="34" t="str">
        <f>base!V4995</f>
        <v>75002</v>
      </c>
      <c r="C4995" s="37">
        <v>75</v>
      </c>
      <c r="D4995" s="36">
        <f>base!H4995</f>
        <v>75.14</v>
      </c>
      <c r="E4995" s="44"/>
      <c r="F4995" s="16">
        <f>base!W4995</f>
        <v>0</v>
      </c>
      <c r="G4995" s="11">
        <f t="shared" si="780"/>
        <v>0</v>
      </c>
      <c r="H4995" s="11">
        <f t="shared" si="781"/>
        <v>0</v>
      </c>
      <c r="I4995" s="11">
        <f t="shared" si="782"/>
        <v>0</v>
      </c>
      <c r="J4995" s="12">
        <f t="shared" si="783"/>
        <v>0</v>
      </c>
      <c r="K4995" s="17" t="str">
        <f t="shared" ref="K4995:K5058" si="788">IF(H4995=F4995,"Pas d'écart",IF(H4995&lt;F4995,"Ecart positif",IF(H4995&gt;F4995,"Ecart négatif")))</f>
        <v>Pas d'écart</v>
      </c>
      <c r="L4995" s="16">
        <f>base!X4995</f>
        <v>0</v>
      </c>
      <c r="M4995" s="11">
        <f t="shared" si="784"/>
        <v>0</v>
      </c>
      <c r="N4995" s="11">
        <f t="shared" si="785"/>
        <v>0</v>
      </c>
      <c r="O4995" s="11">
        <f t="shared" si="786"/>
        <v>0</v>
      </c>
      <c r="P4995" s="12">
        <f t="shared" si="787"/>
        <v>0</v>
      </c>
      <c r="Q4995" s="17" t="str">
        <f t="shared" ref="Q4995:Q5058" si="789">IF(N4995=L4995,"Pas d'écart",IF(N4995&lt;L4995,"Ecart positif",IF(N4995&gt;L4995,"Ecart négatif")))</f>
        <v>Pas d'écart</v>
      </c>
    </row>
    <row r="4996" spans="1:18" x14ac:dyDescent="0.3">
      <c r="A4996" s="34" t="str">
        <f>base!J4996</f>
        <v>LS</v>
      </c>
      <c r="B4996" s="34" t="str">
        <f>base!V4996</f>
        <v>75012</v>
      </c>
      <c r="C4996" s="37">
        <v>75</v>
      </c>
      <c r="D4996" s="36">
        <f>base!H4996</f>
        <v>52.56</v>
      </c>
      <c r="E4996" s="44"/>
      <c r="F4996" s="16">
        <f>base!W4996</f>
        <v>0</v>
      </c>
      <c r="G4996" s="11">
        <f t="shared" si="780"/>
        <v>0</v>
      </c>
      <c r="H4996" s="11">
        <f t="shared" si="781"/>
        <v>0</v>
      </c>
      <c r="I4996" s="11">
        <f t="shared" si="782"/>
        <v>0</v>
      </c>
      <c r="J4996" s="12">
        <f t="shared" si="783"/>
        <v>0</v>
      </c>
      <c r="K4996" s="17" t="str">
        <f t="shared" si="788"/>
        <v>Pas d'écart</v>
      </c>
      <c r="L4996" s="16">
        <f>base!X4996</f>
        <v>0</v>
      </c>
      <c r="M4996" s="11">
        <f t="shared" si="784"/>
        <v>0</v>
      </c>
      <c r="N4996" s="11">
        <f t="shared" si="785"/>
        <v>0</v>
      </c>
      <c r="O4996" s="11">
        <f t="shared" si="786"/>
        <v>0</v>
      </c>
      <c r="P4996" s="12">
        <f t="shared" si="787"/>
        <v>0</v>
      </c>
      <c r="Q4996" s="17" t="str">
        <f t="shared" si="789"/>
        <v>Pas d'écart</v>
      </c>
    </row>
    <row r="4997" spans="1:18" x14ac:dyDescent="0.3">
      <c r="A4997" s="34" t="str">
        <f>base!J4997</f>
        <v>LM</v>
      </c>
      <c r="B4997" s="34" t="str">
        <f>base!V4997</f>
        <v>67230</v>
      </c>
      <c r="C4997" s="37">
        <v>35</v>
      </c>
      <c r="D4997" s="36">
        <f>base!H4997</f>
        <v>19.8</v>
      </c>
      <c r="E4997" s="44"/>
      <c r="F4997" s="16">
        <f>base!W4997</f>
        <v>5.74</v>
      </c>
      <c r="G4997" s="11">
        <f t="shared" si="780"/>
        <v>0.28989898989898988</v>
      </c>
      <c r="H4997" s="11">
        <f t="shared" si="781"/>
        <v>5.346000000000001</v>
      </c>
      <c r="I4997" s="11">
        <f t="shared" si="782"/>
        <v>0.27</v>
      </c>
      <c r="J4997" s="12">
        <f t="shared" si="783"/>
        <v>0.39399999999999924</v>
      </c>
      <c r="K4997" s="17" t="str">
        <f t="shared" si="788"/>
        <v>Ecart positif</v>
      </c>
      <c r="L4997" s="16">
        <f>base!X4997</f>
        <v>0</v>
      </c>
      <c r="M4997" s="11">
        <f t="shared" si="784"/>
        <v>0</v>
      </c>
      <c r="N4997" s="11">
        <f t="shared" si="785"/>
        <v>0</v>
      </c>
      <c r="O4997" s="11">
        <f t="shared" si="786"/>
        <v>0</v>
      </c>
      <c r="P4997" s="12">
        <f t="shared" si="787"/>
        <v>0</v>
      </c>
      <c r="Q4997" s="17" t="str">
        <f t="shared" si="789"/>
        <v>Pas d'écart</v>
      </c>
    </row>
    <row r="4998" spans="1:18" x14ac:dyDescent="0.3">
      <c r="A4998" s="34" t="str">
        <f>base!J4998</f>
        <v>RM</v>
      </c>
      <c r="B4998" s="34" t="str">
        <f>base!V4998</f>
        <v>44350</v>
      </c>
      <c r="C4998" s="37">
        <v>44</v>
      </c>
      <c r="D4998" s="36">
        <f>base!H4998</f>
        <v>193.58</v>
      </c>
      <c r="E4998" s="44"/>
      <c r="F4998" s="16">
        <f>base!W4998</f>
        <v>0</v>
      </c>
      <c r="G4998" s="11">
        <f t="shared" si="780"/>
        <v>0</v>
      </c>
      <c r="H4998" s="11">
        <f t="shared" si="781"/>
        <v>52.266600000000004</v>
      </c>
      <c r="I4998" s="11">
        <f t="shared" si="782"/>
        <v>0.27</v>
      </c>
      <c r="J4998" s="12">
        <f t="shared" si="783"/>
        <v>-52.266600000000004</v>
      </c>
      <c r="K4998" s="17" t="str">
        <f t="shared" si="788"/>
        <v>Ecart négatif</v>
      </c>
      <c r="L4998" s="16">
        <f>base!X4998</f>
        <v>0</v>
      </c>
      <c r="M4998" s="11">
        <f t="shared" si="784"/>
        <v>0</v>
      </c>
      <c r="N4998" s="11">
        <f t="shared" si="785"/>
        <v>0</v>
      </c>
      <c r="O4998" s="11">
        <f t="shared" si="786"/>
        <v>0</v>
      </c>
      <c r="P4998" s="12">
        <f t="shared" si="787"/>
        <v>0</v>
      </c>
      <c r="Q4998" s="17" t="str">
        <f t="shared" si="789"/>
        <v>Pas d'écart</v>
      </c>
    </row>
    <row r="4999" spans="1:18" x14ac:dyDescent="0.3">
      <c r="A4999" s="34" t="str">
        <f>base!J4999</f>
        <v>DLM</v>
      </c>
      <c r="B4999" s="34" t="str">
        <f>base!V4999</f>
        <v>02000</v>
      </c>
      <c r="C4999" s="37">
        <v>2</v>
      </c>
      <c r="D4999" s="36">
        <f>base!H4999</f>
        <v>193.66</v>
      </c>
      <c r="E4999" s="44"/>
      <c r="F4999" s="16">
        <f>base!W4999</f>
        <v>0</v>
      </c>
      <c r="G4999" s="11">
        <f t="shared" si="780"/>
        <v>0</v>
      </c>
      <c r="H4999" s="11">
        <f t="shared" si="781"/>
        <v>34.858799999999995</v>
      </c>
      <c r="I4999" s="11">
        <f t="shared" si="782"/>
        <v>0.17999999999999997</v>
      </c>
      <c r="J4999" s="12">
        <f t="shared" si="783"/>
        <v>-34.858799999999995</v>
      </c>
      <c r="K4999" s="17" t="str">
        <f t="shared" si="788"/>
        <v>Ecart négatif</v>
      </c>
      <c r="L4999" s="16">
        <f>base!X4999</f>
        <v>0</v>
      </c>
      <c r="M4999" s="11">
        <f t="shared" si="784"/>
        <v>0</v>
      </c>
      <c r="N4999" s="11">
        <f t="shared" si="785"/>
        <v>0</v>
      </c>
      <c r="O4999" s="11">
        <f t="shared" si="786"/>
        <v>0</v>
      </c>
      <c r="P4999" s="12">
        <f t="shared" si="787"/>
        <v>0</v>
      </c>
      <c r="Q4999" s="17" t="str">
        <f t="shared" si="789"/>
        <v>Pas d'écart</v>
      </c>
    </row>
    <row r="5000" spans="1:18" x14ac:dyDescent="0.3">
      <c r="A5000" s="34" t="str">
        <f>base!J5000</f>
        <v>LS</v>
      </c>
      <c r="B5000" s="34" t="str">
        <f>base!V5000</f>
        <v>13821</v>
      </c>
      <c r="C5000" s="37">
        <v>56</v>
      </c>
      <c r="D5000" s="36">
        <f>base!H5000</f>
        <v>170.93</v>
      </c>
      <c r="E5000" s="44"/>
      <c r="F5000" s="16">
        <f>base!W5000</f>
        <v>49.57</v>
      </c>
      <c r="G5000" s="11">
        <f t="shared" si="780"/>
        <v>0.29000175510442872</v>
      </c>
      <c r="H5000" s="11">
        <f t="shared" si="781"/>
        <v>46.151100000000007</v>
      </c>
      <c r="I5000" s="11">
        <f t="shared" si="782"/>
        <v>0.27</v>
      </c>
      <c r="J5000" s="12">
        <f t="shared" si="783"/>
        <v>3.4188999999999936</v>
      </c>
      <c r="K5000" s="17" t="str">
        <f t="shared" si="788"/>
        <v>Ecart positif</v>
      </c>
      <c r="L5000" s="16">
        <f>base!X5000</f>
        <v>0</v>
      </c>
      <c r="M5000" s="11">
        <f t="shared" si="784"/>
        <v>0</v>
      </c>
      <c r="N5000" s="11">
        <f t="shared" si="785"/>
        <v>0</v>
      </c>
      <c r="O5000" s="11">
        <f t="shared" si="786"/>
        <v>0</v>
      </c>
      <c r="P5000" s="12">
        <f t="shared" si="787"/>
        <v>0</v>
      </c>
      <c r="Q5000" s="17" t="str">
        <f t="shared" si="789"/>
        <v>Pas d'écart</v>
      </c>
    </row>
    <row r="5001" spans="1:18" x14ac:dyDescent="0.3">
      <c r="A5001" s="34" t="str">
        <f>base!J5001</f>
        <v>LM</v>
      </c>
      <c r="B5001" s="34" t="str">
        <f>base!V5001</f>
        <v>06140</v>
      </c>
      <c r="C5001" s="37">
        <v>69</v>
      </c>
      <c r="D5001" s="36">
        <f>base!H5001</f>
        <v>75.34</v>
      </c>
      <c r="E5001" s="44"/>
      <c r="F5001" s="16">
        <f>base!W5001</f>
        <v>22.6</v>
      </c>
      <c r="G5001" s="11">
        <f t="shared" si="780"/>
        <v>0.29997345367666578</v>
      </c>
      <c r="H5001" s="11">
        <f t="shared" si="781"/>
        <v>20.341800000000003</v>
      </c>
      <c r="I5001" s="11">
        <f t="shared" si="782"/>
        <v>0.27</v>
      </c>
      <c r="J5001" s="12">
        <f t="shared" si="783"/>
        <v>2.2581999999999987</v>
      </c>
      <c r="K5001" s="17" t="str">
        <f t="shared" si="788"/>
        <v>Ecart positif</v>
      </c>
      <c r="L5001" s="16">
        <f>base!X5001</f>
        <v>0</v>
      </c>
      <c r="M5001" s="11">
        <f t="shared" si="784"/>
        <v>0</v>
      </c>
      <c r="N5001" s="11">
        <f t="shared" si="785"/>
        <v>0</v>
      </c>
      <c r="O5001" s="11">
        <f t="shared" si="786"/>
        <v>0</v>
      </c>
      <c r="P5001" s="12">
        <f t="shared" si="787"/>
        <v>0</v>
      </c>
      <c r="Q5001" s="17" t="str">
        <f t="shared" si="789"/>
        <v>Pas d'écart</v>
      </c>
    </row>
    <row r="5002" spans="1:18" x14ac:dyDescent="0.3">
      <c r="A5002" s="34" t="str">
        <f>base!J5002</f>
        <v>LS</v>
      </c>
      <c r="B5002" s="34" t="str">
        <f>base!V5002</f>
        <v>06284</v>
      </c>
      <c r="C5002" s="37">
        <v>6</v>
      </c>
      <c r="D5002" s="36">
        <f>base!H5002</f>
        <v>0</v>
      </c>
      <c r="E5002" s="44"/>
      <c r="F5002" s="16">
        <f>base!W5002</f>
        <v>0</v>
      </c>
      <c r="G5002" s="11" t="e">
        <f t="shared" si="780"/>
        <v>#DIV/0!</v>
      </c>
      <c r="H5002" s="11">
        <f t="shared" si="781"/>
        <v>0</v>
      </c>
      <c r="I5002" s="11" t="e">
        <f t="shared" si="782"/>
        <v>#DIV/0!</v>
      </c>
      <c r="J5002" s="12">
        <f t="shared" si="783"/>
        <v>0</v>
      </c>
      <c r="K5002" s="17" t="str">
        <f t="shared" si="788"/>
        <v>Pas d'écart</v>
      </c>
      <c r="L5002" s="16">
        <f>base!X5002</f>
        <v>0</v>
      </c>
      <c r="M5002" s="11" t="e">
        <f t="shared" si="784"/>
        <v>#DIV/0!</v>
      </c>
      <c r="N5002" s="11">
        <f t="shared" si="785"/>
        <v>0</v>
      </c>
      <c r="O5002" s="11" t="e">
        <f t="shared" si="786"/>
        <v>#DIV/0!</v>
      </c>
      <c r="P5002" s="12">
        <f t="shared" si="787"/>
        <v>0</v>
      </c>
      <c r="Q5002" s="17" t="str">
        <f t="shared" si="789"/>
        <v>Pas d'écart</v>
      </c>
    </row>
    <row r="5003" spans="1:18" x14ac:dyDescent="0.3">
      <c r="A5003" s="34" t="str">
        <f>base!J5003</f>
        <v>LS</v>
      </c>
      <c r="B5003" s="34" t="str">
        <f>base!V5003</f>
        <v>06284</v>
      </c>
      <c r="C5003" s="37">
        <v>6</v>
      </c>
      <c r="D5003" s="36">
        <f>base!H5003</f>
        <v>0</v>
      </c>
      <c r="E5003" s="44"/>
      <c r="F5003" s="16">
        <f>base!W5003</f>
        <v>0</v>
      </c>
      <c r="G5003" s="11" t="e">
        <f t="shared" si="780"/>
        <v>#DIV/0!</v>
      </c>
      <c r="H5003" s="11">
        <f t="shared" si="781"/>
        <v>0</v>
      </c>
      <c r="I5003" s="11" t="e">
        <f t="shared" si="782"/>
        <v>#DIV/0!</v>
      </c>
      <c r="J5003" s="12">
        <f t="shared" si="783"/>
        <v>0</v>
      </c>
      <c r="K5003" s="17" t="str">
        <f t="shared" si="788"/>
        <v>Pas d'écart</v>
      </c>
      <c r="L5003" s="16">
        <f>base!X5003</f>
        <v>0</v>
      </c>
      <c r="M5003" s="11" t="e">
        <f t="shared" si="784"/>
        <v>#DIV/0!</v>
      </c>
      <c r="N5003" s="11">
        <f t="shared" si="785"/>
        <v>0</v>
      </c>
      <c r="O5003" s="11" t="e">
        <f t="shared" si="786"/>
        <v>#DIV/0!</v>
      </c>
      <c r="P5003" s="12">
        <f t="shared" si="787"/>
        <v>0</v>
      </c>
      <c r="Q5003" s="17" t="str">
        <f t="shared" si="789"/>
        <v>Pas d'écart</v>
      </c>
    </row>
    <row r="5004" spans="1:18" x14ac:dyDescent="0.3">
      <c r="A5004" s="34" t="str">
        <f>base!J5004</f>
        <v>LS</v>
      </c>
      <c r="B5004" s="34" t="str">
        <f>base!V5004</f>
        <v>84300</v>
      </c>
      <c r="C5004" s="37">
        <v>56</v>
      </c>
      <c r="D5004" s="36">
        <f>base!H5004</f>
        <v>55.14</v>
      </c>
      <c r="E5004" s="44"/>
      <c r="F5004" s="16">
        <f>base!W5004</f>
        <v>15.99</v>
      </c>
      <c r="G5004" s="11">
        <f t="shared" si="780"/>
        <v>0.28998911860718174</v>
      </c>
      <c r="H5004" s="11">
        <f t="shared" si="781"/>
        <v>14.8878</v>
      </c>
      <c r="I5004" s="11">
        <f t="shared" si="782"/>
        <v>0.27</v>
      </c>
      <c r="J5004" s="12">
        <f t="shared" si="783"/>
        <v>1.1021999999999998</v>
      </c>
      <c r="K5004" s="17" t="str">
        <f t="shared" si="788"/>
        <v>Ecart positif</v>
      </c>
      <c r="L5004" s="16">
        <f>base!X5004</f>
        <v>0</v>
      </c>
      <c r="M5004" s="11">
        <f t="shared" si="784"/>
        <v>0</v>
      </c>
      <c r="N5004" s="11">
        <f t="shared" si="785"/>
        <v>0</v>
      </c>
      <c r="O5004" s="11">
        <f t="shared" si="786"/>
        <v>0</v>
      </c>
      <c r="P5004" s="12">
        <f t="shared" si="787"/>
        <v>0</v>
      </c>
      <c r="Q5004" s="17" t="str">
        <f t="shared" si="789"/>
        <v>Pas d'écart</v>
      </c>
    </row>
    <row r="5005" spans="1:18" x14ac:dyDescent="0.3">
      <c r="A5005" s="34" t="str">
        <f>base!J5005</f>
        <v>LM</v>
      </c>
      <c r="B5005" s="34" t="str">
        <f>base!V5005</f>
        <v>94250</v>
      </c>
      <c r="C5005" s="37">
        <v>94</v>
      </c>
      <c r="D5005" s="36">
        <f>base!H5005</f>
        <v>21.09</v>
      </c>
      <c r="E5005" s="44"/>
      <c r="F5005" s="16">
        <f>base!W5005</f>
        <v>0</v>
      </c>
      <c r="G5005" s="11">
        <f t="shared" si="780"/>
        <v>0</v>
      </c>
      <c r="H5005" s="11">
        <f t="shared" si="781"/>
        <v>0</v>
      </c>
      <c r="I5005" s="11">
        <f t="shared" si="782"/>
        <v>0</v>
      </c>
      <c r="J5005" s="12">
        <f t="shared" si="783"/>
        <v>0</v>
      </c>
      <c r="K5005" s="17" t="str">
        <f t="shared" si="788"/>
        <v>Pas d'écart</v>
      </c>
      <c r="L5005" s="16">
        <f>base!X5005</f>
        <v>0</v>
      </c>
      <c r="M5005" s="11">
        <f t="shared" si="784"/>
        <v>0</v>
      </c>
      <c r="N5005" s="11">
        <f t="shared" si="785"/>
        <v>0</v>
      </c>
      <c r="O5005" s="11">
        <f t="shared" si="786"/>
        <v>0</v>
      </c>
      <c r="P5005" s="12">
        <f t="shared" si="787"/>
        <v>0</v>
      </c>
      <c r="Q5005" s="17" t="str">
        <f t="shared" si="789"/>
        <v>Pas d'écart</v>
      </c>
    </row>
    <row r="5006" spans="1:18" x14ac:dyDescent="0.3">
      <c r="A5006" s="34" t="str">
        <f>base!J5006</f>
        <v>RS</v>
      </c>
      <c r="B5006" s="34" t="str">
        <f>base!V5006</f>
        <v>34500</v>
      </c>
      <c r="C5006" s="37">
        <v>34</v>
      </c>
      <c r="D5006" s="36">
        <f>base!H5006</f>
        <v>180</v>
      </c>
      <c r="E5006" s="44"/>
      <c r="F5006" s="16">
        <f>base!W5006</f>
        <v>0</v>
      </c>
      <c r="G5006" s="11">
        <f t="shared" si="780"/>
        <v>0</v>
      </c>
      <c r="H5006" s="11">
        <f t="shared" si="781"/>
        <v>70.2</v>
      </c>
      <c r="I5006" s="11">
        <f t="shared" si="782"/>
        <v>0.39</v>
      </c>
      <c r="J5006" s="12">
        <f t="shared" si="783"/>
        <v>-70.2</v>
      </c>
      <c r="K5006" s="17" t="str">
        <f t="shared" si="788"/>
        <v>Ecart négatif</v>
      </c>
      <c r="L5006" s="16">
        <f>base!X5006</f>
        <v>50.4</v>
      </c>
      <c r="M5006" s="11">
        <f t="shared" si="784"/>
        <v>0.27999999999999997</v>
      </c>
      <c r="N5006" s="11">
        <f t="shared" si="785"/>
        <v>50.400000000000006</v>
      </c>
      <c r="O5006" s="11">
        <f t="shared" si="786"/>
        <v>0.28000000000000003</v>
      </c>
      <c r="P5006" s="12">
        <f t="shared" si="787"/>
        <v>0</v>
      </c>
      <c r="Q5006" s="17" t="str">
        <f t="shared" si="789"/>
        <v>Pas d'écart</v>
      </c>
      <c r="R5006" s="38"/>
    </row>
    <row r="5007" spans="1:18" x14ac:dyDescent="0.3">
      <c r="A5007" s="34" t="str">
        <f>base!J5007</f>
        <v>RS</v>
      </c>
      <c r="B5007" s="34" t="str">
        <f>base!V5007</f>
        <v>55000</v>
      </c>
      <c r="C5007" s="37">
        <v>55</v>
      </c>
      <c r="D5007" s="36">
        <f>base!H5007</f>
        <v>140</v>
      </c>
      <c r="E5007" s="44"/>
      <c r="F5007" s="16">
        <f>base!W5007</f>
        <v>0</v>
      </c>
      <c r="G5007" s="11">
        <f t="shared" si="780"/>
        <v>0</v>
      </c>
      <c r="H5007" s="11">
        <f t="shared" si="781"/>
        <v>35</v>
      </c>
      <c r="I5007" s="11">
        <f t="shared" si="782"/>
        <v>0.25</v>
      </c>
      <c r="J5007" s="12">
        <f t="shared" si="783"/>
        <v>-35</v>
      </c>
      <c r="K5007" s="17" t="str">
        <f t="shared" si="788"/>
        <v>Ecart négatif</v>
      </c>
      <c r="L5007" s="16">
        <f>base!X5007</f>
        <v>0</v>
      </c>
      <c r="M5007" s="11">
        <f t="shared" si="784"/>
        <v>0</v>
      </c>
      <c r="N5007" s="11">
        <f t="shared" si="785"/>
        <v>35</v>
      </c>
      <c r="O5007" s="11">
        <f t="shared" si="786"/>
        <v>0.25</v>
      </c>
      <c r="P5007" s="12">
        <f t="shared" si="787"/>
        <v>-35</v>
      </c>
      <c r="Q5007" s="17" t="str">
        <f t="shared" si="789"/>
        <v>Ecart négatif</v>
      </c>
    </row>
    <row r="5008" spans="1:18" x14ac:dyDescent="0.3">
      <c r="A5008" s="34" t="str">
        <f>base!J5008</f>
        <v>LM</v>
      </c>
      <c r="B5008" s="34" t="str">
        <f>base!V5008</f>
        <v>06560</v>
      </c>
      <c r="C5008" s="37">
        <v>44</v>
      </c>
      <c r="D5008" s="36">
        <f>base!H5008</f>
        <v>19.89</v>
      </c>
      <c r="E5008" s="44"/>
      <c r="F5008" s="16">
        <f>base!W5008</f>
        <v>5.97</v>
      </c>
      <c r="G5008" s="11">
        <f t="shared" si="780"/>
        <v>0.30015082956259426</v>
      </c>
      <c r="H5008" s="11">
        <f t="shared" si="781"/>
        <v>5.3703000000000003</v>
      </c>
      <c r="I5008" s="11">
        <f t="shared" si="782"/>
        <v>0.27</v>
      </c>
      <c r="J5008" s="12">
        <f t="shared" si="783"/>
        <v>0.59969999999999946</v>
      </c>
      <c r="K5008" s="17" t="str">
        <f t="shared" si="788"/>
        <v>Ecart positif</v>
      </c>
      <c r="L5008" s="16">
        <f>base!X5008</f>
        <v>0</v>
      </c>
      <c r="M5008" s="11">
        <f t="shared" si="784"/>
        <v>0</v>
      </c>
      <c r="N5008" s="11">
        <f t="shared" si="785"/>
        <v>0</v>
      </c>
      <c r="O5008" s="11">
        <f t="shared" si="786"/>
        <v>0</v>
      </c>
      <c r="P5008" s="12">
        <f t="shared" si="787"/>
        <v>0</v>
      </c>
      <c r="Q5008" s="17" t="str">
        <f t="shared" si="789"/>
        <v>Pas d'écart</v>
      </c>
    </row>
    <row r="5009" spans="1:17" x14ac:dyDescent="0.3">
      <c r="A5009" s="34" t="str">
        <f>base!J5009</f>
        <v>LM</v>
      </c>
      <c r="B5009" s="34" t="str">
        <f>base!V5009</f>
        <v>76290</v>
      </c>
      <c r="C5009" s="37">
        <v>69</v>
      </c>
      <c r="D5009" s="36">
        <f>base!H5009</f>
        <v>153.52000000000001</v>
      </c>
      <c r="E5009" s="44"/>
      <c r="F5009" s="16">
        <f>base!W5009</f>
        <v>26.1</v>
      </c>
      <c r="G5009" s="11">
        <f t="shared" si="780"/>
        <v>0.17001042209484107</v>
      </c>
      <c r="H5009" s="11">
        <f t="shared" si="781"/>
        <v>41.450400000000009</v>
      </c>
      <c r="I5009" s="11">
        <f t="shared" si="782"/>
        <v>0.27</v>
      </c>
      <c r="J5009" s="12">
        <f t="shared" si="783"/>
        <v>-15.350400000000008</v>
      </c>
      <c r="K5009" s="17" t="str">
        <f t="shared" si="788"/>
        <v>Ecart négatif</v>
      </c>
      <c r="L5009" s="16">
        <f>base!X5009</f>
        <v>0</v>
      </c>
      <c r="M5009" s="11">
        <f t="shared" si="784"/>
        <v>0</v>
      </c>
      <c r="N5009" s="11">
        <f t="shared" si="785"/>
        <v>0</v>
      </c>
      <c r="O5009" s="11">
        <f t="shared" si="786"/>
        <v>0</v>
      </c>
      <c r="P5009" s="12">
        <f t="shared" si="787"/>
        <v>0</v>
      </c>
      <c r="Q5009" s="17" t="str">
        <f t="shared" si="789"/>
        <v>Pas d'écart</v>
      </c>
    </row>
    <row r="5010" spans="1:17" x14ac:dyDescent="0.3">
      <c r="A5010" s="34" t="str">
        <f>base!J5010</f>
        <v>LS</v>
      </c>
      <c r="B5010" s="34" t="str">
        <f>base!V5010</f>
        <v>63000</v>
      </c>
      <c r="C5010" s="37">
        <v>69</v>
      </c>
      <c r="D5010" s="36">
        <f>base!H5010</f>
        <v>186.91</v>
      </c>
      <c r="E5010" s="44"/>
      <c r="F5010" s="16">
        <f>base!W5010</f>
        <v>54.2</v>
      </c>
      <c r="G5010" s="11">
        <f t="shared" si="780"/>
        <v>0.28997913434273181</v>
      </c>
      <c r="H5010" s="11">
        <f t="shared" si="781"/>
        <v>50.465700000000005</v>
      </c>
      <c r="I5010" s="11">
        <f t="shared" si="782"/>
        <v>0.27</v>
      </c>
      <c r="J5010" s="12">
        <f t="shared" si="783"/>
        <v>3.7342999999999975</v>
      </c>
      <c r="K5010" s="17" t="str">
        <f t="shared" si="788"/>
        <v>Ecart positif</v>
      </c>
      <c r="L5010" s="16">
        <f>base!X5010</f>
        <v>0</v>
      </c>
      <c r="M5010" s="11">
        <f t="shared" si="784"/>
        <v>0</v>
      </c>
      <c r="N5010" s="11">
        <f t="shared" si="785"/>
        <v>0</v>
      </c>
      <c r="O5010" s="11">
        <f t="shared" si="786"/>
        <v>0</v>
      </c>
      <c r="P5010" s="12">
        <f t="shared" si="787"/>
        <v>0</v>
      </c>
      <c r="Q5010" s="17" t="str">
        <f t="shared" si="789"/>
        <v>Pas d'écart</v>
      </c>
    </row>
    <row r="5011" spans="1:17" x14ac:dyDescent="0.3">
      <c r="A5011" s="34" t="str">
        <f>base!J5011</f>
        <v>LS</v>
      </c>
      <c r="B5011" s="34" t="str">
        <f>base!V5011</f>
        <v>38120</v>
      </c>
      <c r="C5011" s="37">
        <v>49</v>
      </c>
      <c r="D5011" s="36">
        <f>base!H5011</f>
        <v>130.19999999999999</v>
      </c>
      <c r="E5011" s="44"/>
      <c r="F5011" s="16">
        <f>base!W5011</f>
        <v>35.15</v>
      </c>
      <c r="G5011" s="11">
        <f t="shared" si="780"/>
        <v>0.26996927803379417</v>
      </c>
      <c r="H5011" s="11">
        <f t="shared" si="781"/>
        <v>35.153999999999996</v>
      </c>
      <c r="I5011" s="11">
        <f t="shared" si="782"/>
        <v>0.27</v>
      </c>
      <c r="J5011" s="12">
        <f t="shared" si="783"/>
        <v>-3.9999999999977831E-3</v>
      </c>
      <c r="K5011" s="17" t="str">
        <f t="shared" si="788"/>
        <v>Ecart négatif</v>
      </c>
      <c r="L5011" s="16">
        <f>base!X5011</f>
        <v>0</v>
      </c>
      <c r="M5011" s="11">
        <f t="shared" si="784"/>
        <v>0</v>
      </c>
      <c r="N5011" s="11">
        <f t="shared" si="785"/>
        <v>0</v>
      </c>
      <c r="O5011" s="11">
        <f t="shared" si="786"/>
        <v>0</v>
      </c>
      <c r="P5011" s="12">
        <f t="shared" si="787"/>
        <v>0</v>
      </c>
      <c r="Q5011" s="17" t="str">
        <f t="shared" si="789"/>
        <v>Pas d'écart</v>
      </c>
    </row>
    <row r="5012" spans="1:17" x14ac:dyDescent="0.3">
      <c r="A5012" s="34" t="str">
        <f>base!J5012</f>
        <v>RM</v>
      </c>
      <c r="B5012" s="34" t="str">
        <f>base!V5012</f>
        <v>62180</v>
      </c>
      <c r="C5012" s="37">
        <v>62</v>
      </c>
      <c r="D5012" s="36">
        <f>base!H5012</f>
        <v>70</v>
      </c>
      <c r="E5012" s="44"/>
      <c r="F5012" s="16">
        <f>base!W5012</f>
        <v>0</v>
      </c>
      <c r="G5012" s="11">
        <f t="shared" si="780"/>
        <v>0</v>
      </c>
      <c r="H5012" s="11">
        <f t="shared" si="781"/>
        <v>13.3</v>
      </c>
      <c r="I5012" s="11">
        <f t="shared" si="782"/>
        <v>0.19</v>
      </c>
      <c r="J5012" s="12">
        <f t="shared" si="783"/>
        <v>-13.3</v>
      </c>
      <c r="K5012" s="17" t="str">
        <f t="shared" si="788"/>
        <v>Ecart négatif</v>
      </c>
      <c r="L5012" s="16">
        <f>base!X5012</f>
        <v>0</v>
      </c>
      <c r="M5012" s="11">
        <f t="shared" si="784"/>
        <v>0</v>
      </c>
      <c r="N5012" s="11">
        <f t="shared" si="785"/>
        <v>0</v>
      </c>
      <c r="O5012" s="11">
        <f t="shared" si="786"/>
        <v>0</v>
      </c>
      <c r="P5012" s="12">
        <f t="shared" si="787"/>
        <v>0</v>
      </c>
      <c r="Q5012" s="17" t="str">
        <f t="shared" si="789"/>
        <v>Pas d'écart</v>
      </c>
    </row>
    <row r="5013" spans="1:17" x14ac:dyDescent="0.3">
      <c r="A5013" s="34">
        <f>base!J5013</f>
        <v>0</v>
      </c>
      <c r="B5013" s="34" t="str">
        <f>base!V5013</f>
        <v>77184</v>
      </c>
      <c r="C5013" s="37">
        <v>77</v>
      </c>
      <c r="D5013" s="36">
        <f>base!H5013</f>
        <v>220</v>
      </c>
      <c r="E5013" s="44"/>
      <c r="F5013" s="16">
        <f>base!W5013</f>
        <v>0</v>
      </c>
      <c r="G5013" s="11">
        <f t="shared" si="780"/>
        <v>0</v>
      </c>
      <c r="H5013" s="11">
        <f t="shared" si="781"/>
        <v>0</v>
      </c>
      <c r="I5013" s="11">
        <f t="shared" si="782"/>
        <v>0</v>
      </c>
      <c r="J5013" s="12">
        <f t="shared" si="783"/>
        <v>0</v>
      </c>
      <c r="K5013" s="17" t="str">
        <f t="shared" si="788"/>
        <v>Pas d'écart</v>
      </c>
      <c r="L5013" s="16">
        <f>base!X5013</f>
        <v>0</v>
      </c>
      <c r="M5013" s="11">
        <f t="shared" si="784"/>
        <v>0</v>
      </c>
      <c r="N5013" s="11">
        <f t="shared" si="785"/>
        <v>0</v>
      </c>
      <c r="O5013" s="11">
        <f t="shared" si="786"/>
        <v>0</v>
      </c>
      <c r="P5013" s="12">
        <f t="shared" si="787"/>
        <v>0</v>
      </c>
      <c r="Q5013" s="17" t="str">
        <f t="shared" si="789"/>
        <v>Pas d'écart</v>
      </c>
    </row>
    <row r="5014" spans="1:17" x14ac:dyDescent="0.3">
      <c r="A5014" s="34" t="str">
        <f>base!J5014</f>
        <v>LS</v>
      </c>
      <c r="B5014" s="34" t="str">
        <f>base!V5014</f>
        <v>19100</v>
      </c>
      <c r="C5014" s="37">
        <v>44</v>
      </c>
      <c r="D5014" s="36">
        <f>base!H5014</f>
        <v>122.18</v>
      </c>
      <c r="E5014" s="44"/>
      <c r="F5014" s="16">
        <f>base!W5014</f>
        <v>35.43</v>
      </c>
      <c r="G5014" s="11">
        <f t="shared" si="780"/>
        <v>0.28998199377966932</v>
      </c>
      <c r="H5014" s="11">
        <f t="shared" si="781"/>
        <v>32.988600000000005</v>
      </c>
      <c r="I5014" s="11">
        <f t="shared" si="782"/>
        <v>0.27</v>
      </c>
      <c r="J5014" s="12">
        <f t="shared" si="783"/>
        <v>2.4413999999999945</v>
      </c>
      <c r="K5014" s="17" t="str">
        <f t="shared" si="788"/>
        <v>Ecart positif</v>
      </c>
      <c r="L5014" s="16">
        <f>base!X5014</f>
        <v>0</v>
      </c>
      <c r="M5014" s="11">
        <f t="shared" si="784"/>
        <v>0</v>
      </c>
      <c r="N5014" s="11">
        <f t="shared" si="785"/>
        <v>0</v>
      </c>
      <c r="O5014" s="11">
        <f t="shared" si="786"/>
        <v>0</v>
      </c>
      <c r="P5014" s="12">
        <f t="shared" si="787"/>
        <v>0</v>
      </c>
      <c r="Q5014" s="17" t="str">
        <f t="shared" si="789"/>
        <v>Pas d'écart</v>
      </c>
    </row>
    <row r="5015" spans="1:17" x14ac:dyDescent="0.3">
      <c r="A5015" s="34" t="str">
        <f>base!J5015</f>
        <v>LS</v>
      </c>
      <c r="B5015" s="34" t="str">
        <f>base!V5015</f>
        <v>27300</v>
      </c>
      <c r="C5015" s="37">
        <v>42</v>
      </c>
      <c r="D5015" s="36">
        <f>base!H5015</f>
        <v>120.85</v>
      </c>
      <c r="E5015" s="44"/>
      <c r="F5015" s="16">
        <f>base!W5015</f>
        <v>20.54</v>
      </c>
      <c r="G5015" s="11">
        <f t="shared" si="780"/>
        <v>0.1699627637567232</v>
      </c>
      <c r="H5015" s="11">
        <f t="shared" si="781"/>
        <v>31.420999999999999</v>
      </c>
      <c r="I5015" s="11">
        <f t="shared" si="782"/>
        <v>0.26</v>
      </c>
      <c r="J5015" s="12">
        <f t="shared" si="783"/>
        <v>-10.881</v>
      </c>
      <c r="K5015" s="17" t="str">
        <f t="shared" si="788"/>
        <v>Ecart négatif</v>
      </c>
      <c r="L5015" s="16">
        <f>base!X5015</f>
        <v>0</v>
      </c>
      <c r="M5015" s="11">
        <f t="shared" si="784"/>
        <v>0</v>
      </c>
      <c r="N5015" s="11">
        <f t="shared" si="785"/>
        <v>0</v>
      </c>
      <c r="O5015" s="11">
        <f t="shared" si="786"/>
        <v>0</v>
      </c>
      <c r="P5015" s="12">
        <f t="shared" si="787"/>
        <v>0</v>
      </c>
      <c r="Q5015" s="17" t="str">
        <f t="shared" si="789"/>
        <v>Pas d'écart</v>
      </c>
    </row>
    <row r="5016" spans="1:17" x14ac:dyDescent="0.3">
      <c r="A5016" s="34" t="str">
        <f>base!J5016</f>
        <v>LS</v>
      </c>
      <c r="B5016" s="34" t="str">
        <f>base!V5016</f>
        <v>34110</v>
      </c>
      <c r="C5016" s="37">
        <v>69</v>
      </c>
      <c r="D5016" s="36">
        <f>base!H5016</f>
        <v>83.4</v>
      </c>
      <c r="E5016" s="44"/>
      <c r="F5016" s="16">
        <f>base!W5016</f>
        <v>32.53</v>
      </c>
      <c r="G5016" s="11">
        <f t="shared" si="780"/>
        <v>0.39004796163069544</v>
      </c>
      <c r="H5016" s="11">
        <f t="shared" si="781"/>
        <v>22.518000000000004</v>
      </c>
      <c r="I5016" s="11">
        <f t="shared" si="782"/>
        <v>0.27</v>
      </c>
      <c r="J5016" s="12">
        <f t="shared" si="783"/>
        <v>10.011999999999997</v>
      </c>
      <c r="K5016" s="17" t="str">
        <f t="shared" si="788"/>
        <v>Ecart positif</v>
      </c>
      <c r="L5016" s="16">
        <f>base!X5016</f>
        <v>0</v>
      </c>
      <c r="M5016" s="11">
        <f t="shared" si="784"/>
        <v>0</v>
      </c>
      <c r="N5016" s="11">
        <f t="shared" si="785"/>
        <v>0</v>
      </c>
      <c r="O5016" s="11">
        <f t="shared" si="786"/>
        <v>0</v>
      </c>
      <c r="P5016" s="12">
        <f t="shared" si="787"/>
        <v>0</v>
      </c>
      <c r="Q5016" s="17" t="str">
        <f t="shared" si="789"/>
        <v>Pas d'écart</v>
      </c>
    </row>
    <row r="5017" spans="1:17" x14ac:dyDescent="0.3">
      <c r="A5017" s="34" t="str">
        <f>base!J5017</f>
        <v>LS</v>
      </c>
      <c r="B5017" s="34" t="str">
        <f>base!V5017</f>
        <v>45320</v>
      </c>
      <c r="C5017" s="37">
        <v>26</v>
      </c>
      <c r="D5017" s="36">
        <f>base!H5017</f>
        <v>143.81</v>
      </c>
      <c r="E5017" s="44"/>
      <c r="F5017" s="16">
        <f>base!W5017</f>
        <v>30.2</v>
      </c>
      <c r="G5017" s="11">
        <f t="shared" si="780"/>
        <v>0.2099993046380641</v>
      </c>
      <c r="H5017" s="11">
        <f t="shared" si="781"/>
        <v>38.828700000000005</v>
      </c>
      <c r="I5017" s="11">
        <f t="shared" si="782"/>
        <v>0.27</v>
      </c>
      <c r="J5017" s="12">
        <f t="shared" si="783"/>
        <v>-8.6287000000000056</v>
      </c>
      <c r="K5017" s="17" t="str">
        <f t="shared" si="788"/>
        <v>Ecart négatif</v>
      </c>
      <c r="L5017" s="16">
        <f>base!X5017</f>
        <v>0</v>
      </c>
      <c r="M5017" s="11">
        <f t="shared" si="784"/>
        <v>0</v>
      </c>
      <c r="N5017" s="11">
        <f t="shared" si="785"/>
        <v>0</v>
      </c>
      <c r="O5017" s="11">
        <f t="shared" si="786"/>
        <v>0</v>
      </c>
      <c r="P5017" s="12">
        <f t="shared" si="787"/>
        <v>0</v>
      </c>
      <c r="Q5017" s="17" t="str">
        <f t="shared" si="789"/>
        <v>Pas d'écart</v>
      </c>
    </row>
    <row r="5018" spans="1:17" x14ac:dyDescent="0.3">
      <c r="A5018" s="34" t="str">
        <f>base!J5018</f>
        <v>RM</v>
      </c>
      <c r="B5018" s="34" t="str">
        <f>base!V5018</f>
        <v>76290</v>
      </c>
      <c r="C5018" s="37">
        <v>76</v>
      </c>
      <c r="D5018" s="36">
        <f>base!H5018</f>
        <v>40</v>
      </c>
      <c r="E5018" s="44"/>
      <c r="F5018" s="16">
        <f>base!W5018</f>
        <v>0</v>
      </c>
      <c r="G5018" s="11">
        <f t="shared" si="780"/>
        <v>0</v>
      </c>
      <c r="H5018" s="11">
        <f t="shared" si="781"/>
        <v>6.8000000000000007</v>
      </c>
      <c r="I5018" s="11">
        <f t="shared" si="782"/>
        <v>0.17</v>
      </c>
      <c r="J5018" s="12">
        <f t="shared" si="783"/>
        <v>-6.8000000000000007</v>
      </c>
      <c r="K5018" s="17" t="str">
        <f t="shared" si="788"/>
        <v>Ecart négatif</v>
      </c>
      <c r="L5018" s="16">
        <f>base!X5018</f>
        <v>6.8</v>
      </c>
      <c r="M5018" s="11">
        <f t="shared" si="784"/>
        <v>0.16999999999999998</v>
      </c>
      <c r="N5018" s="11">
        <f t="shared" si="785"/>
        <v>6.8000000000000007</v>
      </c>
      <c r="O5018" s="11">
        <f t="shared" si="786"/>
        <v>0.17</v>
      </c>
      <c r="P5018" s="12">
        <f t="shared" si="787"/>
        <v>0</v>
      </c>
      <c r="Q5018" s="17" t="str">
        <f t="shared" si="789"/>
        <v>Pas d'écart</v>
      </c>
    </row>
    <row r="5019" spans="1:17" x14ac:dyDescent="0.3">
      <c r="A5019" s="34" t="str">
        <f>base!J5019</f>
        <v>RM</v>
      </c>
      <c r="B5019" s="34" t="str">
        <f>base!V5019</f>
        <v>59260</v>
      </c>
      <c r="C5019" s="37">
        <v>59</v>
      </c>
      <c r="D5019" s="36">
        <f>base!H5019</f>
        <v>164.8</v>
      </c>
      <c r="E5019" s="44"/>
      <c r="F5019" s="16">
        <f>base!W5019</f>
        <v>0</v>
      </c>
      <c r="G5019" s="11">
        <f t="shared" si="780"/>
        <v>0</v>
      </c>
      <c r="H5019" s="11">
        <f t="shared" si="781"/>
        <v>31.312000000000001</v>
      </c>
      <c r="I5019" s="11">
        <f t="shared" si="782"/>
        <v>0.19</v>
      </c>
      <c r="J5019" s="12">
        <f t="shared" si="783"/>
        <v>-31.312000000000001</v>
      </c>
      <c r="K5019" s="17" t="str">
        <f t="shared" si="788"/>
        <v>Ecart négatif</v>
      </c>
      <c r="L5019" s="16">
        <f>base!X5019</f>
        <v>0</v>
      </c>
      <c r="M5019" s="11">
        <f t="shared" si="784"/>
        <v>0</v>
      </c>
      <c r="N5019" s="11">
        <f t="shared" si="785"/>
        <v>0</v>
      </c>
      <c r="O5019" s="11">
        <f t="shared" si="786"/>
        <v>0</v>
      </c>
      <c r="P5019" s="12">
        <f t="shared" si="787"/>
        <v>0</v>
      </c>
      <c r="Q5019" s="17" t="str">
        <f t="shared" si="789"/>
        <v>Pas d'écart</v>
      </c>
    </row>
    <row r="5020" spans="1:17" x14ac:dyDescent="0.3">
      <c r="A5020" s="34">
        <f>base!J5020</f>
        <v>0</v>
      </c>
      <c r="B5020" s="34" t="str">
        <f>base!V5020</f>
        <v>77184</v>
      </c>
      <c r="C5020" s="37">
        <v>77</v>
      </c>
      <c r="D5020" s="36">
        <f>base!H5020</f>
        <v>171</v>
      </c>
      <c r="E5020" s="44"/>
      <c r="F5020" s="16">
        <f>base!W5020</f>
        <v>0</v>
      </c>
      <c r="G5020" s="11">
        <f t="shared" si="780"/>
        <v>0</v>
      </c>
      <c r="H5020" s="11">
        <f t="shared" si="781"/>
        <v>0</v>
      </c>
      <c r="I5020" s="11">
        <f t="shared" si="782"/>
        <v>0</v>
      </c>
      <c r="J5020" s="12">
        <f t="shared" si="783"/>
        <v>0</v>
      </c>
      <c r="K5020" s="17" t="str">
        <f t="shared" si="788"/>
        <v>Pas d'écart</v>
      </c>
      <c r="L5020" s="16">
        <f>base!X5020</f>
        <v>0</v>
      </c>
      <c r="M5020" s="11">
        <f t="shared" si="784"/>
        <v>0</v>
      </c>
      <c r="N5020" s="11">
        <f t="shared" si="785"/>
        <v>0</v>
      </c>
      <c r="O5020" s="11">
        <f t="shared" si="786"/>
        <v>0</v>
      </c>
      <c r="P5020" s="12">
        <f t="shared" si="787"/>
        <v>0</v>
      </c>
      <c r="Q5020" s="17" t="str">
        <f t="shared" si="789"/>
        <v>Pas d'écart</v>
      </c>
    </row>
    <row r="5021" spans="1:17" x14ac:dyDescent="0.3">
      <c r="A5021" s="34">
        <f>base!J5021</f>
        <v>0</v>
      </c>
      <c r="B5021" s="34" t="str">
        <f>base!V5021</f>
        <v>77184</v>
      </c>
      <c r="C5021" s="37">
        <v>77</v>
      </c>
      <c r="D5021" s="36">
        <f>base!H5021</f>
        <v>171</v>
      </c>
      <c r="E5021" s="44"/>
      <c r="F5021" s="16">
        <f>base!W5021</f>
        <v>0</v>
      </c>
      <c r="G5021" s="11">
        <f t="shared" si="780"/>
        <v>0</v>
      </c>
      <c r="H5021" s="11">
        <f t="shared" si="781"/>
        <v>0</v>
      </c>
      <c r="I5021" s="11">
        <f t="shared" si="782"/>
        <v>0</v>
      </c>
      <c r="J5021" s="12">
        <f t="shared" si="783"/>
        <v>0</v>
      </c>
      <c r="K5021" s="17" t="str">
        <f t="shared" si="788"/>
        <v>Pas d'écart</v>
      </c>
      <c r="L5021" s="16">
        <f>base!X5021</f>
        <v>0</v>
      </c>
      <c r="M5021" s="11">
        <f t="shared" si="784"/>
        <v>0</v>
      </c>
      <c r="N5021" s="11">
        <f t="shared" si="785"/>
        <v>0</v>
      </c>
      <c r="O5021" s="11">
        <f t="shared" si="786"/>
        <v>0</v>
      </c>
      <c r="P5021" s="12">
        <f t="shared" si="787"/>
        <v>0</v>
      </c>
      <c r="Q5021" s="17" t="str">
        <f t="shared" si="789"/>
        <v>Pas d'écart</v>
      </c>
    </row>
    <row r="5022" spans="1:17" x14ac:dyDescent="0.3">
      <c r="A5022" s="34" t="str">
        <f>base!J5022</f>
        <v>LM</v>
      </c>
      <c r="B5022" s="34" t="str">
        <f>base!V5022</f>
        <v>38590</v>
      </c>
      <c r="C5022" s="37">
        <v>74</v>
      </c>
      <c r="D5022" s="36">
        <f>base!H5022</f>
        <v>25.8</v>
      </c>
      <c r="E5022" s="44"/>
      <c r="F5022" s="16">
        <f>base!W5022</f>
        <v>6.97</v>
      </c>
      <c r="G5022" s="11">
        <f t="shared" si="780"/>
        <v>0.27015503875968988</v>
      </c>
      <c r="H5022" s="11">
        <f t="shared" si="781"/>
        <v>6.7080000000000002</v>
      </c>
      <c r="I5022" s="11">
        <f t="shared" si="782"/>
        <v>0.26</v>
      </c>
      <c r="J5022" s="12">
        <f t="shared" si="783"/>
        <v>0.26199999999999957</v>
      </c>
      <c r="K5022" s="17" t="str">
        <f t="shared" si="788"/>
        <v>Ecart positif</v>
      </c>
      <c r="L5022" s="16">
        <f>base!X5022</f>
        <v>0</v>
      </c>
      <c r="M5022" s="11">
        <f t="shared" si="784"/>
        <v>0</v>
      </c>
      <c r="N5022" s="11">
        <f t="shared" si="785"/>
        <v>0</v>
      </c>
      <c r="O5022" s="11">
        <f t="shared" si="786"/>
        <v>0</v>
      </c>
      <c r="P5022" s="12">
        <f t="shared" si="787"/>
        <v>0</v>
      </c>
      <c r="Q5022" s="17" t="str">
        <f t="shared" si="789"/>
        <v>Pas d'écart</v>
      </c>
    </row>
    <row r="5023" spans="1:17" x14ac:dyDescent="0.3">
      <c r="A5023" s="34" t="str">
        <f>base!J5023</f>
        <v>LM</v>
      </c>
      <c r="B5023" s="34" t="str">
        <f>base!V5023</f>
        <v>94190</v>
      </c>
      <c r="C5023" s="37">
        <v>94</v>
      </c>
      <c r="D5023" s="36">
        <f>base!H5023</f>
        <v>55.74</v>
      </c>
      <c r="E5023" s="44"/>
      <c r="F5023" s="16">
        <f>base!W5023</f>
        <v>0</v>
      </c>
      <c r="G5023" s="11">
        <f t="shared" si="780"/>
        <v>0</v>
      </c>
      <c r="H5023" s="11">
        <f t="shared" si="781"/>
        <v>0</v>
      </c>
      <c r="I5023" s="11">
        <f t="shared" si="782"/>
        <v>0</v>
      </c>
      <c r="J5023" s="12">
        <f t="shared" si="783"/>
        <v>0</v>
      </c>
      <c r="K5023" s="17" t="str">
        <f t="shared" si="788"/>
        <v>Pas d'écart</v>
      </c>
      <c r="L5023" s="16">
        <f>base!X5023</f>
        <v>0</v>
      </c>
      <c r="M5023" s="11">
        <f t="shared" si="784"/>
        <v>0</v>
      </c>
      <c r="N5023" s="11">
        <f t="shared" si="785"/>
        <v>0</v>
      </c>
      <c r="O5023" s="11">
        <f t="shared" si="786"/>
        <v>0</v>
      </c>
      <c r="P5023" s="12">
        <f t="shared" si="787"/>
        <v>0</v>
      </c>
      <c r="Q5023" s="17" t="str">
        <f t="shared" si="789"/>
        <v>Pas d'écart</v>
      </c>
    </row>
    <row r="5024" spans="1:17" x14ac:dyDescent="0.3">
      <c r="A5024" s="34" t="str">
        <f>base!J5024</f>
        <v>LM</v>
      </c>
      <c r="B5024" s="34" t="str">
        <f>base!V5024</f>
        <v>83340</v>
      </c>
      <c r="C5024" s="37">
        <v>44</v>
      </c>
      <c r="D5024" s="36">
        <f>base!H5024</f>
        <v>120.29</v>
      </c>
      <c r="E5024" s="44"/>
      <c r="F5024" s="16">
        <f>base!W5024</f>
        <v>36.090000000000003</v>
      </c>
      <c r="G5024" s="11">
        <f t="shared" si="780"/>
        <v>0.3000249397289883</v>
      </c>
      <c r="H5024" s="11">
        <f t="shared" si="781"/>
        <v>32.478300000000004</v>
      </c>
      <c r="I5024" s="11">
        <f t="shared" si="782"/>
        <v>0.27</v>
      </c>
      <c r="J5024" s="12">
        <f t="shared" si="783"/>
        <v>3.611699999999999</v>
      </c>
      <c r="K5024" s="17" t="str">
        <f t="shared" si="788"/>
        <v>Ecart positif</v>
      </c>
      <c r="L5024" s="16">
        <f>base!X5024</f>
        <v>0</v>
      </c>
      <c r="M5024" s="11">
        <f t="shared" si="784"/>
        <v>0</v>
      </c>
      <c r="N5024" s="11">
        <f t="shared" si="785"/>
        <v>0</v>
      </c>
      <c r="O5024" s="11">
        <f t="shared" si="786"/>
        <v>0</v>
      </c>
      <c r="P5024" s="12">
        <f t="shared" si="787"/>
        <v>0</v>
      </c>
      <c r="Q5024" s="17" t="str">
        <f t="shared" si="789"/>
        <v>Pas d'écart</v>
      </c>
    </row>
    <row r="5025" spans="1:18" x14ac:dyDescent="0.3">
      <c r="A5025" s="34" t="str">
        <f>base!J5025</f>
        <v>RS</v>
      </c>
      <c r="B5025" s="34" t="str">
        <f>base!V5025</f>
        <v>13008</v>
      </c>
      <c r="C5025" s="37">
        <v>13</v>
      </c>
      <c r="D5025" s="36">
        <f>base!H5025</f>
        <v>400</v>
      </c>
      <c r="E5025" s="44"/>
      <c r="F5025" s="16">
        <f>base!W5025</f>
        <v>0</v>
      </c>
      <c r="G5025" s="11">
        <f t="shared" si="780"/>
        <v>0</v>
      </c>
      <c r="H5025" s="11">
        <f t="shared" si="781"/>
        <v>115.99999999999999</v>
      </c>
      <c r="I5025" s="11">
        <f t="shared" si="782"/>
        <v>0.28999999999999998</v>
      </c>
      <c r="J5025" s="12">
        <f t="shared" si="783"/>
        <v>-115.99999999999999</v>
      </c>
      <c r="K5025" s="17" t="str">
        <f t="shared" si="788"/>
        <v>Ecart négatif</v>
      </c>
      <c r="L5025" s="16">
        <f>base!X5025</f>
        <v>0</v>
      </c>
      <c r="M5025" s="11">
        <f t="shared" si="784"/>
        <v>0</v>
      </c>
      <c r="N5025" s="11">
        <f t="shared" si="785"/>
        <v>76</v>
      </c>
      <c r="O5025" s="11">
        <f t="shared" si="786"/>
        <v>0.19</v>
      </c>
      <c r="P5025" s="12">
        <f t="shared" si="787"/>
        <v>-76</v>
      </c>
      <c r="Q5025" s="17" t="str">
        <f t="shared" si="789"/>
        <v>Ecart négatif</v>
      </c>
    </row>
    <row r="5026" spans="1:18" x14ac:dyDescent="0.3">
      <c r="A5026" s="34" t="str">
        <f>base!J5026</f>
        <v>LS</v>
      </c>
      <c r="B5026" s="34" t="str">
        <f>base!V5026</f>
        <v>69363</v>
      </c>
      <c r="C5026" s="37">
        <v>49</v>
      </c>
      <c r="D5026" s="36">
        <f>base!H5026</f>
        <v>187.03</v>
      </c>
      <c r="E5026" s="44"/>
      <c r="F5026" s="16">
        <f>base!W5026</f>
        <v>50.5</v>
      </c>
      <c r="G5026" s="11">
        <f t="shared" si="780"/>
        <v>0.27001015879805379</v>
      </c>
      <c r="H5026" s="11">
        <f t="shared" si="781"/>
        <v>50.498100000000001</v>
      </c>
      <c r="I5026" s="11">
        <f t="shared" si="782"/>
        <v>0.27</v>
      </c>
      <c r="J5026" s="12">
        <f t="shared" si="783"/>
        <v>1.8999999999991246E-3</v>
      </c>
      <c r="K5026" s="17" t="str">
        <f t="shared" si="788"/>
        <v>Ecart positif</v>
      </c>
      <c r="L5026" s="16">
        <f>base!X5026</f>
        <v>0</v>
      </c>
      <c r="M5026" s="11">
        <f t="shared" si="784"/>
        <v>0</v>
      </c>
      <c r="N5026" s="11">
        <f t="shared" si="785"/>
        <v>0</v>
      </c>
      <c r="O5026" s="11">
        <f t="shared" si="786"/>
        <v>0</v>
      </c>
      <c r="P5026" s="12">
        <f t="shared" si="787"/>
        <v>0</v>
      </c>
      <c r="Q5026" s="17" t="str">
        <f t="shared" si="789"/>
        <v>Pas d'écart</v>
      </c>
    </row>
    <row r="5027" spans="1:18" x14ac:dyDescent="0.3">
      <c r="A5027" s="34" t="str">
        <f>base!J5027</f>
        <v>LS</v>
      </c>
      <c r="B5027" s="34" t="str">
        <f>base!V5027</f>
        <v>75012</v>
      </c>
      <c r="C5027" s="37">
        <v>75</v>
      </c>
      <c r="D5027" s="36">
        <f>base!H5027</f>
        <v>148.93</v>
      </c>
      <c r="E5027" s="44"/>
      <c r="F5027" s="16">
        <f>base!W5027</f>
        <v>0</v>
      </c>
      <c r="G5027" s="11">
        <f t="shared" si="780"/>
        <v>0</v>
      </c>
      <c r="H5027" s="11">
        <f t="shared" si="781"/>
        <v>0</v>
      </c>
      <c r="I5027" s="11">
        <f t="shared" si="782"/>
        <v>0</v>
      </c>
      <c r="J5027" s="12">
        <f t="shared" si="783"/>
        <v>0</v>
      </c>
      <c r="K5027" s="17" t="str">
        <f t="shared" si="788"/>
        <v>Pas d'écart</v>
      </c>
      <c r="L5027" s="16">
        <f>base!X5027</f>
        <v>0</v>
      </c>
      <c r="M5027" s="11">
        <f t="shared" si="784"/>
        <v>0</v>
      </c>
      <c r="N5027" s="11">
        <f t="shared" si="785"/>
        <v>0</v>
      </c>
      <c r="O5027" s="11">
        <f t="shared" si="786"/>
        <v>0</v>
      </c>
      <c r="P5027" s="12">
        <f t="shared" si="787"/>
        <v>0</v>
      </c>
      <c r="Q5027" s="17" t="str">
        <f t="shared" si="789"/>
        <v>Pas d'écart</v>
      </c>
    </row>
    <row r="5028" spans="1:18" x14ac:dyDescent="0.3">
      <c r="A5028" s="34" t="str">
        <f>base!J5028</f>
        <v>LM</v>
      </c>
      <c r="B5028" s="34" t="str">
        <f>base!V5028</f>
        <v>13100</v>
      </c>
      <c r="C5028" s="37">
        <v>73</v>
      </c>
      <c r="D5028" s="36">
        <f>base!H5028</f>
        <v>33.35</v>
      </c>
      <c r="E5028" s="44"/>
      <c r="F5028" s="16">
        <f>base!W5028</f>
        <v>9.67</v>
      </c>
      <c r="G5028" s="11">
        <f t="shared" si="780"/>
        <v>0.2899550224887556</v>
      </c>
      <c r="H5028" s="11">
        <f t="shared" si="781"/>
        <v>9.0045000000000002</v>
      </c>
      <c r="I5028" s="11">
        <f t="shared" si="782"/>
        <v>0.27</v>
      </c>
      <c r="J5028" s="12">
        <f t="shared" si="783"/>
        <v>0.66549999999999976</v>
      </c>
      <c r="K5028" s="17" t="str">
        <f t="shared" si="788"/>
        <v>Ecart positif</v>
      </c>
      <c r="L5028" s="16">
        <f>base!X5028</f>
        <v>0</v>
      </c>
      <c r="M5028" s="11">
        <f t="shared" si="784"/>
        <v>0</v>
      </c>
      <c r="N5028" s="11">
        <f t="shared" si="785"/>
        <v>0</v>
      </c>
      <c r="O5028" s="11">
        <f t="shared" si="786"/>
        <v>0</v>
      </c>
      <c r="P5028" s="12">
        <f t="shared" si="787"/>
        <v>0</v>
      </c>
      <c r="Q5028" s="17" t="str">
        <f t="shared" si="789"/>
        <v>Pas d'écart</v>
      </c>
    </row>
    <row r="5029" spans="1:18" x14ac:dyDescent="0.3">
      <c r="A5029" s="34" t="str">
        <f>base!J5029</f>
        <v>LM</v>
      </c>
      <c r="B5029" s="34" t="str">
        <f>base!V5029</f>
        <v>69005</v>
      </c>
      <c r="C5029" s="37">
        <v>74</v>
      </c>
      <c r="D5029" s="36">
        <f>base!H5029</f>
        <v>33.35</v>
      </c>
      <c r="E5029" s="44"/>
      <c r="F5029" s="16">
        <f>base!W5029</f>
        <v>9</v>
      </c>
      <c r="G5029" s="11">
        <f t="shared" si="780"/>
        <v>0.26986506746626687</v>
      </c>
      <c r="H5029" s="11">
        <f t="shared" si="781"/>
        <v>8.6710000000000012</v>
      </c>
      <c r="I5029" s="11">
        <f t="shared" si="782"/>
        <v>0.26</v>
      </c>
      <c r="J5029" s="12">
        <f t="shared" si="783"/>
        <v>0.32899999999999885</v>
      </c>
      <c r="K5029" s="17" t="str">
        <f t="shared" si="788"/>
        <v>Ecart positif</v>
      </c>
      <c r="L5029" s="16">
        <f>base!X5029</f>
        <v>0</v>
      </c>
      <c r="M5029" s="11">
        <f t="shared" si="784"/>
        <v>0</v>
      </c>
      <c r="N5029" s="11">
        <f t="shared" si="785"/>
        <v>0</v>
      </c>
      <c r="O5029" s="11">
        <f t="shared" si="786"/>
        <v>0</v>
      </c>
      <c r="P5029" s="12">
        <f t="shared" si="787"/>
        <v>0</v>
      </c>
      <c r="Q5029" s="17" t="str">
        <f t="shared" si="789"/>
        <v>Pas d'écart</v>
      </c>
    </row>
    <row r="5030" spans="1:18" x14ac:dyDescent="0.3">
      <c r="A5030" s="34" t="str">
        <f>base!J5030</f>
        <v>LM</v>
      </c>
      <c r="B5030" s="34" t="str">
        <f>base!V5030</f>
        <v>69005</v>
      </c>
      <c r="C5030" s="37">
        <v>1</v>
      </c>
      <c r="D5030" s="36">
        <f>base!H5030</f>
        <v>33.35</v>
      </c>
      <c r="E5030" s="44"/>
      <c r="F5030" s="16">
        <f>base!W5030</f>
        <v>9</v>
      </c>
      <c r="G5030" s="11">
        <f t="shared" si="780"/>
        <v>0.26986506746626687</v>
      </c>
      <c r="H5030" s="11">
        <f t="shared" si="781"/>
        <v>8.6710000000000012</v>
      </c>
      <c r="I5030" s="11">
        <f t="shared" si="782"/>
        <v>0.26</v>
      </c>
      <c r="J5030" s="12">
        <f t="shared" si="783"/>
        <v>0.32899999999999885</v>
      </c>
      <c r="K5030" s="17" t="str">
        <f t="shared" si="788"/>
        <v>Ecart positif</v>
      </c>
      <c r="L5030" s="16">
        <f>base!X5030</f>
        <v>0</v>
      </c>
      <c r="M5030" s="11">
        <f t="shared" si="784"/>
        <v>0</v>
      </c>
      <c r="N5030" s="11">
        <f t="shared" si="785"/>
        <v>0</v>
      </c>
      <c r="O5030" s="11">
        <f t="shared" si="786"/>
        <v>0</v>
      </c>
      <c r="P5030" s="12">
        <f t="shared" si="787"/>
        <v>0</v>
      </c>
      <c r="Q5030" s="17" t="str">
        <f t="shared" si="789"/>
        <v>Pas d'écart</v>
      </c>
    </row>
    <row r="5031" spans="1:18" x14ac:dyDescent="0.3">
      <c r="A5031" s="34" t="str">
        <f>base!J5031</f>
        <v>RS</v>
      </c>
      <c r="B5031" s="34" t="str">
        <f>base!V5031</f>
        <v>76300</v>
      </c>
      <c r="C5031" s="37">
        <v>76</v>
      </c>
      <c r="D5031" s="36">
        <f>base!H5031</f>
        <v>151</v>
      </c>
      <c r="E5031" s="44"/>
      <c r="F5031" s="16">
        <f>base!W5031</f>
        <v>0</v>
      </c>
      <c r="G5031" s="11">
        <f t="shared" si="780"/>
        <v>0</v>
      </c>
      <c r="H5031" s="11">
        <f t="shared" si="781"/>
        <v>25.67</v>
      </c>
      <c r="I5031" s="11">
        <f t="shared" si="782"/>
        <v>0.17</v>
      </c>
      <c r="J5031" s="12">
        <f t="shared" si="783"/>
        <v>-25.67</v>
      </c>
      <c r="K5031" s="17" t="str">
        <f t="shared" si="788"/>
        <v>Ecart négatif</v>
      </c>
      <c r="L5031" s="16">
        <f>base!X5031</f>
        <v>25.67</v>
      </c>
      <c r="M5031" s="11">
        <f t="shared" si="784"/>
        <v>0.17</v>
      </c>
      <c r="N5031" s="11">
        <f t="shared" si="785"/>
        <v>25.67</v>
      </c>
      <c r="O5031" s="11">
        <f t="shared" si="786"/>
        <v>0.17</v>
      </c>
      <c r="P5031" s="12">
        <f t="shared" si="787"/>
        <v>0</v>
      </c>
      <c r="Q5031" s="17" t="str">
        <f t="shared" si="789"/>
        <v>Pas d'écart</v>
      </c>
      <c r="R5031" s="38"/>
    </row>
    <row r="5032" spans="1:18" x14ac:dyDescent="0.3">
      <c r="A5032" s="34" t="str">
        <f>base!J5032</f>
        <v>LM</v>
      </c>
      <c r="B5032" s="34" t="str">
        <f>base!V5032</f>
        <v>84140</v>
      </c>
      <c r="C5032" s="37">
        <v>69</v>
      </c>
      <c r="D5032" s="36">
        <f>base!H5032</f>
        <v>139.19999999999999</v>
      </c>
      <c r="E5032" s="44"/>
      <c r="F5032" s="16">
        <f>base!W5032</f>
        <v>40.369999999999997</v>
      </c>
      <c r="G5032" s="11">
        <f t="shared" si="780"/>
        <v>0.29001436781609197</v>
      </c>
      <c r="H5032" s="11">
        <f t="shared" si="781"/>
        <v>37.583999999999996</v>
      </c>
      <c r="I5032" s="11">
        <f t="shared" si="782"/>
        <v>0.27</v>
      </c>
      <c r="J5032" s="12">
        <f t="shared" si="783"/>
        <v>2.7860000000000014</v>
      </c>
      <c r="K5032" s="17" t="str">
        <f t="shared" si="788"/>
        <v>Ecart positif</v>
      </c>
      <c r="L5032" s="16">
        <f>base!X5032</f>
        <v>0</v>
      </c>
      <c r="M5032" s="11">
        <f t="shared" si="784"/>
        <v>0</v>
      </c>
      <c r="N5032" s="11">
        <f t="shared" si="785"/>
        <v>0</v>
      </c>
      <c r="O5032" s="11">
        <f t="shared" si="786"/>
        <v>0</v>
      </c>
      <c r="P5032" s="12">
        <f t="shared" si="787"/>
        <v>0</v>
      </c>
      <c r="Q5032" s="17" t="str">
        <f t="shared" si="789"/>
        <v>Pas d'écart</v>
      </c>
    </row>
    <row r="5033" spans="1:18" x14ac:dyDescent="0.3">
      <c r="A5033" s="34" t="str">
        <f>base!J5033</f>
        <v>LM</v>
      </c>
      <c r="B5033" s="34" t="str">
        <f>base!V5033</f>
        <v>84140</v>
      </c>
      <c r="C5033" s="37">
        <v>69</v>
      </c>
      <c r="D5033" s="36">
        <f>base!H5033</f>
        <v>18.350000000000001</v>
      </c>
      <c r="E5033" s="44"/>
      <c r="F5033" s="16">
        <f>base!W5033</f>
        <v>5.32</v>
      </c>
      <c r="G5033" s="11">
        <f t="shared" si="780"/>
        <v>0.2899182561307902</v>
      </c>
      <c r="H5033" s="11">
        <f t="shared" si="781"/>
        <v>4.9545000000000003</v>
      </c>
      <c r="I5033" s="11">
        <f t="shared" si="782"/>
        <v>0.27</v>
      </c>
      <c r="J5033" s="12">
        <f t="shared" si="783"/>
        <v>0.36549999999999994</v>
      </c>
      <c r="K5033" s="17" t="str">
        <f t="shared" si="788"/>
        <v>Ecart positif</v>
      </c>
      <c r="L5033" s="16">
        <f>base!X5033</f>
        <v>0</v>
      </c>
      <c r="M5033" s="11">
        <f t="shared" si="784"/>
        <v>0</v>
      </c>
      <c r="N5033" s="11">
        <f t="shared" si="785"/>
        <v>0</v>
      </c>
      <c r="O5033" s="11">
        <f t="shared" si="786"/>
        <v>0</v>
      </c>
      <c r="P5033" s="12">
        <f t="shared" si="787"/>
        <v>0</v>
      </c>
      <c r="Q5033" s="17" t="str">
        <f t="shared" si="789"/>
        <v>Pas d'écart</v>
      </c>
    </row>
    <row r="5034" spans="1:18" x14ac:dyDescent="0.3">
      <c r="A5034" s="34" t="str">
        <f>base!J5034</f>
        <v>LM</v>
      </c>
      <c r="B5034" s="34" t="str">
        <f>base!V5034</f>
        <v>94150</v>
      </c>
      <c r="C5034" s="37">
        <v>94</v>
      </c>
      <c r="D5034" s="36">
        <f>base!H5034</f>
        <v>33.35</v>
      </c>
      <c r="E5034" s="44"/>
      <c r="F5034" s="16">
        <f>base!W5034</f>
        <v>0</v>
      </c>
      <c r="G5034" s="11">
        <f t="shared" si="780"/>
        <v>0</v>
      </c>
      <c r="H5034" s="11">
        <f t="shared" si="781"/>
        <v>0</v>
      </c>
      <c r="I5034" s="11">
        <f t="shared" si="782"/>
        <v>0</v>
      </c>
      <c r="J5034" s="12">
        <f t="shared" si="783"/>
        <v>0</v>
      </c>
      <c r="K5034" s="17" t="str">
        <f t="shared" si="788"/>
        <v>Pas d'écart</v>
      </c>
      <c r="L5034" s="16">
        <f>base!X5034</f>
        <v>0</v>
      </c>
      <c r="M5034" s="11">
        <f t="shared" si="784"/>
        <v>0</v>
      </c>
      <c r="N5034" s="11">
        <f t="shared" si="785"/>
        <v>0</v>
      </c>
      <c r="O5034" s="11">
        <f t="shared" si="786"/>
        <v>0</v>
      </c>
      <c r="P5034" s="12">
        <f t="shared" si="787"/>
        <v>0</v>
      </c>
      <c r="Q5034" s="17" t="str">
        <f t="shared" si="789"/>
        <v>Pas d'écart</v>
      </c>
    </row>
    <row r="5035" spans="1:18" x14ac:dyDescent="0.3">
      <c r="A5035" s="34" t="str">
        <f>base!J5035</f>
        <v>RM</v>
      </c>
      <c r="B5035" s="34" t="str">
        <f>base!V5035</f>
        <v>75008</v>
      </c>
      <c r="C5035" s="37">
        <v>75</v>
      </c>
      <c r="D5035" s="36">
        <f>base!H5035</f>
        <v>83</v>
      </c>
      <c r="E5035" s="44"/>
      <c r="F5035" s="16">
        <f>base!W5035</f>
        <v>0</v>
      </c>
      <c r="G5035" s="11">
        <f t="shared" si="780"/>
        <v>0</v>
      </c>
      <c r="H5035" s="11">
        <f t="shared" si="781"/>
        <v>0</v>
      </c>
      <c r="I5035" s="11">
        <f t="shared" si="782"/>
        <v>0</v>
      </c>
      <c r="J5035" s="12">
        <f t="shared" si="783"/>
        <v>0</v>
      </c>
      <c r="K5035" s="17" t="str">
        <f t="shared" si="788"/>
        <v>Pas d'écart</v>
      </c>
      <c r="L5035" s="16">
        <f>base!X5035</f>
        <v>0</v>
      </c>
      <c r="M5035" s="11">
        <f t="shared" si="784"/>
        <v>0</v>
      </c>
      <c r="N5035" s="11">
        <f t="shared" si="785"/>
        <v>0</v>
      </c>
      <c r="O5035" s="11">
        <f t="shared" si="786"/>
        <v>0</v>
      </c>
      <c r="P5035" s="12">
        <f t="shared" si="787"/>
        <v>0</v>
      </c>
      <c r="Q5035" s="17" t="str">
        <f t="shared" si="789"/>
        <v>Pas d'écart</v>
      </c>
    </row>
    <row r="5036" spans="1:18" x14ac:dyDescent="0.3">
      <c r="A5036" s="34">
        <f>base!J5036</f>
        <v>0</v>
      </c>
      <c r="B5036" s="34" t="str">
        <f>base!V5036</f>
        <v>69380</v>
      </c>
      <c r="C5036" s="37">
        <v>69</v>
      </c>
      <c r="D5036" s="36">
        <f>base!H5036</f>
        <v>140</v>
      </c>
      <c r="E5036" s="44"/>
      <c r="F5036" s="16">
        <f>base!W5036</f>
        <v>0</v>
      </c>
      <c r="G5036" s="11">
        <f t="shared" si="780"/>
        <v>0</v>
      </c>
      <c r="H5036" s="11">
        <f t="shared" si="781"/>
        <v>37.800000000000004</v>
      </c>
      <c r="I5036" s="11">
        <f t="shared" si="782"/>
        <v>0.27</v>
      </c>
      <c r="J5036" s="12">
        <f t="shared" si="783"/>
        <v>-37.800000000000004</v>
      </c>
      <c r="K5036" s="17" t="str">
        <f t="shared" si="788"/>
        <v>Ecart négatif</v>
      </c>
      <c r="L5036" s="16">
        <f>base!X5036</f>
        <v>0</v>
      </c>
      <c r="M5036" s="11">
        <f t="shared" si="784"/>
        <v>0</v>
      </c>
      <c r="N5036" s="11">
        <f t="shared" si="785"/>
        <v>0</v>
      </c>
      <c r="O5036" s="11">
        <f t="shared" si="786"/>
        <v>0</v>
      </c>
      <c r="P5036" s="12">
        <f t="shared" si="787"/>
        <v>0</v>
      </c>
      <c r="Q5036" s="17" t="str">
        <f t="shared" si="789"/>
        <v>Pas d'écart</v>
      </c>
    </row>
    <row r="5037" spans="1:18" x14ac:dyDescent="0.3">
      <c r="A5037" s="34" t="str">
        <f>base!J5037</f>
        <v>DLM</v>
      </c>
      <c r="B5037" s="34" t="str">
        <f>base!V5037</f>
        <v>92200</v>
      </c>
      <c r="C5037" s="37">
        <v>92</v>
      </c>
      <c r="D5037" s="36">
        <f>base!H5037</f>
        <v>124.04</v>
      </c>
      <c r="E5037" s="44"/>
      <c r="F5037" s="16">
        <f>base!W5037</f>
        <v>0</v>
      </c>
      <c r="G5037" s="11">
        <f t="shared" si="780"/>
        <v>0</v>
      </c>
      <c r="H5037" s="11">
        <f t="shared" si="781"/>
        <v>0</v>
      </c>
      <c r="I5037" s="11">
        <f t="shared" si="782"/>
        <v>0</v>
      </c>
      <c r="J5037" s="12">
        <f t="shared" si="783"/>
        <v>0</v>
      </c>
      <c r="K5037" s="17" t="str">
        <f t="shared" si="788"/>
        <v>Pas d'écart</v>
      </c>
      <c r="L5037" s="16">
        <f>base!X5037</f>
        <v>0</v>
      </c>
      <c r="M5037" s="11">
        <f t="shared" si="784"/>
        <v>0</v>
      </c>
      <c r="N5037" s="11">
        <f t="shared" si="785"/>
        <v>0</v>
      </c>
      <c r="O5037" s="11">
        <f t="shared" si="786"/>
        <v>0</v>
      </c>
      <c r="P5037" s="12">
        <f t="shared" si="787"/>
        <v>0</v>
      </c>
      <c r="Q5037" s="17" t="str">
        <f t="shared" si="789"/>
        <v>Pas d'écart</v>
      </c>
    </row>
    <row r="5038" spans="1:18" x14ac:dyDescent="0.3">
      <c r="A5038" s="34" t="str">
        <f>base!J5038</f>
        <v>LS</v>
      </c>
      <c r="B5038" s="34" t="str">
        <f>base!V5038</f>
        <v>44700</v>
      </c>
      <c r="C5038" s="37">
        <v>69</v>
      </c>
      <c r="D5038" s="36">
        <f>base!H5038</f>
        <v>55.14</v>
      </c>
      <c r="E5038" s="44"/>
      <c r="F5038" s="16">
        <f>base!W5038</f>
        <v>14.89</v>
      </c>
      <c r="G5038" s="11">
        <f t="shared" si="780"/>
        <v>0.27003989844033371</v>
      </c>
      <c r="H5038" s="11">
        <f t="shared" si="781"/>
        <v>14.8878</v>
      </c>
      <c r="I5038" s="11">
        <f t="shared" si="782"/>
        <v>0.27</v>
      </c>
      <c r="J5038" s="12">
        <f t="shared" si="783"/>
        <v>2.2000000000002018E-3</v>
      </c>
      <c r="K5038" s="17" t="str">
        <f t="shared" si="788"/>
        <v>Ecart positif</v>
      </c>
      <c r="L5038" s="16">
        <f>base!X5038</f>
        <v>0</v>
      </c>
      <c r="M5038" s="11">
        <f t="shared" si="784"/>
        <v>0</v>
      </c>
      <c r="N5038" s="11">
        <f t="shared" si="785"/>
        <v>0</v>
      </c>
      <c r="O5038" s="11">
        <f t="shared" si="786"/>
        <v>0</v>
      </c>
      <c r="P5038" s="12">
        <f t="shared" si="787"/>
        <v>0</v>
      </c>
      <c r="Q5038" s="17" t="str">
        <f t="shared" si="789"/>
        <v>Pas d'écart</v>
      </c>
    </row>
    <row r="5039" spans="1:18" x14ac:dyDescent="0.3">
      <c r="A5039" s="34" t="str">
        <f>base!J5039</f>
        <v>RS</v>
      </c>
      <c r="B5039" s="34" t="str">
        <f>base!V5039</f>
        <v>84120</v>
      </c>
      <c r="C5039" s="37">
        <v>84</v>
      </c>
      <c r="D5039" s="36">
        <f>base!H5039</f>
        <v>140</v>
      </c>
      <c r="E5039" s="44"/>
      <c r="F5039" s="16">
        <f>base!W5039</f>
        <v>0</v>
      </c>
      <c r="G5039" s="11">
        <f t="shared" si="780"/>
        <v>0</v>
      </c>
      <c r="H5039" s="11">
        <f t="shared" si="781"/>
        <v>40.599999999999994</v>
      </c>
      <c r="I5039" s="11">
        <f t="shared" si="782"/>
        <v>0.28999999999999998</v>
      </c>
      <c r="J5039" s="12">
        <f t="shared" si="783"/>
        <v>-40.599999999999994</v>
      </c>
      <c r="K5039" s="17" t="str">
        <f t="shared" si="788"/>
        <v>Ecart négatif</v>
      </c>
      <c r="L5039" s="16">
        <f>base!X5039</f>
        <v>0</v>
      </c>
      <c r="M5039" s="11">
        <f t="shared" si="784"/>
        <v>0</v>
      </c>
      <c r="N5039" s="11">
        <f t="shared" si="785"/>
        <v>26.6</v>
      </c>
      <c r="O5039" s="11">
        <f t="shared" si="786"/>
        <v>0.19</v>
      </c>
      <c r="P5039" s="12">
        <f t="shared" si="787"/>
        <v>-26.6</v>
      </c>
      <c r="Q5039" s="17" t="str">
        <f t="shared" si="789"/>
        <v>Ecart négatif</v>
      </c>
    </row>
    <row r="5040" spans="1:18" x14ac:dyDescent="0.3">
      <c r="A5040" s="34" t="str">
        <f>base!J5040</f>
        <v>LS</v>
      </c>
      <c r="B5040" s="34" t="str">
        <f>base!V5040</f>
        <v>60210</v>
      </c>
      <c r="C5040" s="37">
        <v>69</v>
      </c>
      <c r="D5040" s="36">
        <f>base!H5040</f>
        <v>36.369999999999997</v>
      </c>
      <c r="E5040" s="44"/>
      <c r="F5040" s="16">
        <f>base!W5040</f>
        <v>6.91</v>
      </c>
      <c r="G5040" s="11">
        <f t="shared" si="780"/>
        <v>0.18999175144349739</v>
      </c>
      <c r="H5040" s="11">
        <f t="shared" si="781"/>
        <v>9.8199000000000005</v>
      </c>
      <c r="I5040" s="11">
        <f t="shared" si="782"/>
        <v>0.27</v>
      </c>
      <c r="J5040" s="12">
        <f t="shared" si="783"/>
        <v>-2.9099000000000004</v>
      </c>
      <c r="K5040" s="17" t="str">
        <f t="shared" si="788"/>
        <v>Ecart négatif</v>
      </c>
      <c r="L5040" s="16">
        <f>base!X5040</f>
        <v>0</v>
      </c>
      <c r="M5040" s="11">
        <f t="shared" si="784"/>
        <v>0</v>
      </c>
      <c r="N5040" s="11">
        <f t="shared" si="785"/>
        <v>0</v>
      </c>
      <c r="O5040" s="11">
        <f t="shared" si="786"/>
        <v>0</v>
      </c>
      <c r="P5040" s="12">
        <f t="shared" si="787"/>
        <v>0</v>
      </c>
      <c r="Q5040" s="17" t="str">
        <f t="shared" si="789"/>
        <v>Pas d'écart</v>
      </c>
    </row>
    <row r="5041" spans="1:17" x14ac:dyDescent="0.3">
      <c r="A5041" s="34" t="str">
        <f>base!J5041</f>
        <v>RS</v>
      </c>
      <c r="B5041" s="34" t="str">
        <f>base!V5041</f>
        <v>79000</v>
      </c>
      <c r="C5041" s="37">
        <v>79</v>
      </c>
      <c r="D5041" s="36">
        <f>base!H5041</f>
        <v>140</v>
      </c>
      <c r="E5041" s="44"/>
      <c r="F5041" s="16">
        <f>base!W5041</f>
        <v>0</v>
      </c>
      <c r="G5041" s="11">
        <f t="shared" si="780"/>
        <v>0</v>
      </c>
      <c r="H5041" s="11">
        <f t="shared" si="781"/>
        <v>29.4</v>
      </c>
      <c r="I5041" s="11">
        <f t="shared" si="782"/>
        <v>0.21</v>
      </c>
      <c r="J5041" s="12">
        <f t="shared" si="783"/>
        <v>-29.4</v>
      </c>
      <c r="K5041" s="17" t="str">
        <f t="shared" si="788"/>
        <v>Ecart négatif</v>
      </c>
      <c r="L5041" s="16">
        <f>base!X5041</f>
        <v>0</v>
      </c>
      <c r="M5041" s="11">
        <f t="shared" si="784"/>
        <v>0</v>
      </c>
      <c r="N5041" s="11">
        <f t="shared" si="785"/>
        <v>16.8</v>
      </c>
      <c r="O5041" s="11">
        <f t="shared" si="786"/>
        <v>0.12000000000000001</v>
      </c>
      <c r="P5041" s="12">
        <f t="shared" si="787"/>
        <v>-16.8</v>
      </c>
      <c r="Q5041" s="17" t="str">
        <f t="shared" si="789"/>
        <v>Ecart négatif</v>
      </c>
    </row>
    <row r="5042" spans="1:17" x14ac:dyDescent="0.3">
      <c r="A5042" s="34" t="str">
        <f>base!J5042</f>
        <v>RM</v>
      </c>
      <c r="B5042" s="34" t="str">
        <f>base!V5042</f>
        <v>69200</v>
      </c>
      <c r="C5042" s="37">
        <v>69</v>
      </c>
      <c r="D5042" s="36">
        <f>base!H5042</f>
        <v>70</v>
      </c>
      <c r="E5042" s="44"/>
      <c r="F5042" s="16">
        <f>base!W5042</f>
        <v>0</v>
      </c>
      <c r="G5042" s="11">
        <f t="shared" si="780"/>
        <v>0</v>
      </c>
      <c r="H5042" s="11">
        <f t="shared" si="781"/>
        <v>18.900000000000002</v>
      </c>
      <c r="I5042" s="11">
        <f t="shared" si="782"/>
        <v>0.27</v>
      </c>
      <c r="J5042" s="12">
        <f t="shared" si="783"/>
        <v>-18.900000000000002</v>
      </c>
      <c r="K5042" s="17" t="str">
        <f t="shared" si="788"/>
        <v>Ecart négatif</v>
      </c>
      <c r="L5042" s="16">
        <f>base!X5042</f>
        <v>0</v>
      </c>
      <c r="M5042" s="11">
        <f t="shared" si="784"/>
        <v>0</v>
      </c>
      <c r="N5042" s="11">
        <f t="shared" si="785"/>
        <v>0</v>
      </c>
      <c r="O5042" s="11">
        <f t="shared" si="786"/>
        <v>0</v>
      </c>
      <c r="P5042" s="12">
        <f t="shared" si="787"/>
        <v>0</v>
      </c>
      <c r="Q5042" s="17" t="str">
        <f t="shared" si="789"/>
        <v>Pas d'écart</v>
      </c>
    </row>
    <row r="5043" spans="1:17" x14ac:dyDescent="0.3">
      <c r="A5043" s="34" t="str">
        <f>base!J5043</f>
        <v>LS</v>
      </c>
      <c r="B5043" s="34" t="str">
        <f>base!V5043</f>
        <v>59190</v>
      </c>
      <c r="C5043" s="37">
        <v>59</v>
      </c>
      <c r="D5043" s="36">
        <f>base!H5043</f>
        <v>140</v>
      </c>
      <c r="E5043" s="44"/>
      <c r="F5043" s="16">
        <f>base!W5043</f>
        <v>26.6</v>
      </c>
      <c r="G5043" s="11">
        <f t="shared" si="780"/>
        <v>0.19</v>
      </c>
      <c r="H5043" s="11">
        <f t="shared" si="781"/>
        <v>26.6</v>
      </c>
      <c r="I5043" s="11">
        <f t="shared" si="782"/>
        <v>0.19</v>
      </c>
      <c r="J5043" s="12">
        <f t="shared" si="783"/>
        <v>0</v>
      </c>
      <c r="K5043" s="17" t="str">
        <f t="shared" si="788"/>
        <v>Pas d'écart</v>
      </c>
      <c r="L5043" s="16">
        <f>base!X5043</f>
        <v>0</v>
      </c>
      <c r="M5043" s="11">
        <f t="shared" si="784"/>
        <v>0</v>
      </c>
      <c r="N5043" s="11">
        <f t="shared" si="785"/>
        <v>0</v>
      </c>
      <c r="O5043" s="11">
        <f t="shared" si="786"/>
        <v>0</v>
      </c>
      <c r="P5043" s="12">
        <f t="shared" si="787"/>
        <v>0</v>
      </c>
      <c r="Q5043" s="17" t="str">
        <f t="shared" si="789"/>
        <v>Pas d'écart</v>
      </c>
    </row>
    <row r="5044" spans="1:17" x14ac:dyDescent="0.3">
      <c r="A5044" s="34" t="str">
        <f>base!J5044</f>
        <v>LM</v>
      </c>
      <c r="B5044" s="34" t="str">
        <f>base!V5044</f>
        <v>75019</v>
      </c>
      <c r="C5044" s="37">
        <v>75</v>
      </c>
      <c r="D5044" s="36">
        <f>base!H5044</f>
        <v>136.82</v>
      </c>
      <c r="E5044" s="44"/>
      <c r="F5044" s="16">
        <f>base!W5044</f>
        <v>0</v>
      </c>
      <c r="G5044" s="11">
        <f t="shared" si="780"/>
        <v>0</v>
      </c>
      <c r="H5044" s="11">
        <f t="shared" si="781"/>
        <v>0</v>
      </c>
      <c r="I5044" s="11">
        <f t="shared" si="782"/>
        <v>0</v>
      </c>
      <c r="J5044" s="12">
        <f t="shared" si="783"/>
        <v>0</v>
      </c>
      <c r="K5044" s="17" t="str">
        <f t="shared" si="788"/>
        <v>Pas d'écart</v>
      </c>
      <c r="L5044" s="16">
        <f>base!X5044</f>
        <v>0</v>
      </c>
      <c r="M5044" s="11">
        <f t="shared" si="784"/>
        <v>0</v>
      </c>
      <c r="N5044" s="11">
        <f t="shared" si="785"/>
        <v>0</v>
      </c>
      <c r="O5044" s="11">
        <f t="shared" si="786"/>
        <v>0</v>
      </c>
      <c r="P5044" s="12">
        <f t="shared" si="787"/>
        <v>0</v>
      </c>
      <c r="Q5044" s="17" t="str">
        <f t="shared" si="789"/>
        <v>Pas d'écart</v>
      </c>
    </row>
    <row r="5045" spans="1:17" x14ac:dyDescent="0.3">
      <c r="A5045" s="34" t="str">
        <f>base!J5045</f>
        <v>LS</v>
      </c>
      <c r="B5045" s="34" t="str">
        <f>base!V5045</f>
        <v>75013</v>
      </c>
      <c r="C5045" s="37">
        <v>75</v>
      </c>
      <c r="D5045" s="36">
        <f>base!H5045</f>
        <v>23.12</v>
      </c>
      <c r="E5045" s="44"/>
      <c r="F5045" s="16">
        <f>base!W5045</f>
        <v>0</v>
      </c>
      <c r="G5045" s="11">
        <f t="shared" si="780"/>
        <v>0</v>
      </c>
      <c r="H5045" s="11">
        <f t="shared" si="781"/>
        <v>0</v>
      </c>
      <c r="I5045" s="11">
        <f t="shared" si="782"/>
        <v>0</v>
      </c>
      <c r="J5045" s="12">
        <f t="shared" si="783"/>
        <v>0</v>
      </c>
      <c r="K5045" s="17" t="str">
        <f t="shared" si="788"/>
        <v>Pas d'écart</v>
      </c>
      <c r="L5045" s="16">
        <f>base!X5045</f>
        <v>0</v>
      </c>
      <c r="M5045" s="11">
        <f t="shared" si="784"/>
        <v>0</v>
      </c>
      <c r="N5045" s="11">
        <f t="shared" si="785"/>
        <v>0</v>
      </c>
      <c r="O5045" s="11">
        <f t="shared" si="786"/>
        <v>0</v>
      </c>
      <c r="P5045" s="12">
        <f t="shared" si="787"/>
        <v>0</v>
      </c>
      <c r="Q5045" s="17" t="str">
        <f t="shared" si="789"/>
        <v>Pas d'écart</v>
      </c>
    </row>
    <row r="5046" spans="1:17" x14ac:dyDescent="0.3">
      <c r="A5046" s="34">
        <f>base!J5046</f>
        <v>0</v>
      </c>
      <c r="B5046" s="34" t="str">
        <f>base!V5046</f>
        <v>77184</v>
      </c>
      <c r="C5046" s="37">
        <v>77</v>
      </c>
      <c r="D5046" s="36">
        <f>base!H5046</f>
        <v>100</v>
      </c>
      <c r="E5046" s="44"/>
      <c r="F5046" s="16">
        <f>base!W5046</f>
        <v>0</v>
      </c>
      <c r="G5046" s="11">
        <f t="shared" si="780"/>
        <v>0</v>
      </c>
      <c r="H5046" s="11">
        <f t="shared" si="781"/>
        <v>0</v>
      </c>
      <c r="I5046" s="11">
        <f t="shared" si="782"/>
        <v>0</v>
      </c>
      <c r="J5046" s="12">
        <f t="shared" si="783"/>
        <v>0</v>
      </c>
      <c r="K5046" s="17" t="str">
        <f t="shared" si="788"/>
        <v>Pas d'écart</v>
      </c>
      <c r="L5046" s="16">
        <f>base!X5046</f>
        <v>0</v>
      </c>
      <c r="M5046" s="11">
        <f t="shared" si="784"/>
        <v>0</v>
      </c>
      <c r="N5046" s="11">
        <f t="shared" si="785"/>
        <v>0</v>
      </c>
      <c r="O5046" s="11">
        <f t="shared" si="786"/>
        <v>0</v>
      </c>
      <c r="P5046" s="12">
        <f t="shared" si="787"/>
        <v>0</v>
      </c>
      <c r="Q5046" s="17" t="str">
        <f t="shared" si="789"/>
        <v>Pas d'écart</v>
      </c>
    </row>
    <row r="5047" spans="1:17" x14ac:dyDescent="0.3">
      <c r="A5047" s="34">
        <f>base!J5047</f>
        <v>0</v>
      </c>
      <c r="B5047" s="34" t="str">
        <f>base!V5047</f>
        <v>77184</v>
      </c>
      <c r="C5047" s="37">
        <v>77</v>
      </c>
      <c r="D5047" s="36">
        <f>base!H5047</f>
        <v>74.33</v>
      </c>
      <c r="E5047" s="44"/>
      <c r="F5047" s="16">
        <f>base!W5047</f>
        <v>0</v>
      </c>
      <c r="G5047" s="11">
        <f t="shared" si="780"/>
        <v>0</v>
      </c>
      <c r="H5047" s="11">
        <f t="shared" si="781"/>
        <v>0</v>
      </c>
      <c r="I5047" s="11">
        <f t="shared" si="782"/>
        <v>0</v>
      </c>
      <c r="J5047" s="12">
        <f t="shared" si="783"/>
        <v>0</v>
      </c>
      <c r="K5047" s="17" t="str">
        <f t="shared" si="788"/>
        <v>Pas d'écart</v>
      </c>
      <c r="L5047" s="16">
        <f>base!X5047</f>
        <v>0</v>
      </c>
      <c r="M5047" s="11">
        <f t="shared" si="784"/>
        <v>0</v>
      </c>
      <c r="N5047" s="11">
        <f t="shared" si="785"/>
        <v>0</v>
      </c>
      <c r="O5047" s="11">
        <f t="shared" si="786"/>
        <v>0</v>
      </c>
      <c r="P5047" s="12">
        <f t="shared" si="787"/>
        <v>0</v>
      </c>
      <c r="Q5047" s="17" t="str">
        <f t="shared" si="789"/>
        <v>Pas d'écart</v>
      </c>
    </row>
    <row r="5048" spans="1:17" x14ac:dyDescent="0.3">
      <c r="A5048" s="34" t="str">
        <f>base!J5048</f>
        <v>RS</v>
      </c>
      <c r="B5048" s="34" t="str">
        <f>base!V5048</f>
        <v>04100</v>
      </c>
      <c r="C5048" s="37">
        <v>4</v>
      </c>
      <c r="D5048" s="36">
        <f>base!H5048</f>
        <v>181</v>
      </c>
      <c r="E5048" s="44"/>
      <c r="F5048" s="16">
        <f>base!W5048</f>
        <v>0</v>
      </c>
      <c r="G5048" s="11">
        <f t="shared" si="780"/>
        <v>0</v>
      </c>
      <c r="H5048" s="11">
        <f t="shared" si="781"/>
        <v>52.489999999999995</v>
      </c>
      <c r="I5048" s="11">
        <f t="shared" si="782"/>
        <v>0.28999999999999998</v>
      </c>
      <c r="J5048" s="12">
        <f t="shared" si="783"/>
        <v>-52.489999999999995</v>
      </c>
      <c r="K5048" s="17" t="str">
        <f t="shared" si="788"/>
        <v>Ecart négatif</v>
      </c>
      <c r="L5048" s="16">
        <f>base!X5048</f>
        <v>0</v>
      </c>
      <c r="M5048" s="11">
        <f t="shared" si="784"/>
        <v>0</v>
      </c>
      <c r="N5048" s="11">
        <f t="shared" si="785"/>
        <v>34.39</v>
      </c>
      <c r="O5048" s="11">
        <f t="shared" si="786"/>
        <v>0.19</v>
      </c>
      <c r="P5048" s="12">
        <f t="shared" si="787"/>
        <v>-34.39</v>
      </c>
      <c r="Q5048" s="17" t="str">
        <f t="shared" si="789"/>
        <v>Ecart négatif</v>
      </c>
    </row>
    <row r="5049" spans="1:17" x14ac:dyDescent="0.3">
      <c r="A5049" s="34" t="str">
        <f>base!J5049</f>
        <v>LS</v>
      </c>
      <c r="B5049" s="34" t="str">
        <f>base!V5049</f>
        <v>06902</v>
      </c>
      <c r="C5049" s="37">
        <v>69</v>
      </c>
      <c r="D5049" s="36">
        <f>base!H5049</f>
        <v>137.57</v>
      </c>
      <c r="E5049" s="44"/>
      <c r="F5049" s="16">
        <f>base!W5049</f>
        <v>41.27</v>
      </c>
      <c r="G5049" s="11">
        <f t="shared" si="780"/>
        <v>0.29999273097332269</v>
      </c>
      <c r="H5049" s="11">
        <f t="shared" si="781"/>
        <v>37.143900000000002</v>
      </c>
      <c r="I5049" s="11">
        <f t="shared" si="782"/>
        <v>0.27</v>
      </c>
      <c r="J5049" s="12">
        <f t="shared" si="783"/>
        <v>4.126100000000001</v>
      </c>
      <c r="K5049" s="17" t="str">
        <f t="shared" si="788"/>
        <v>Ecart positif</v>
      </c>
      <c r="L5049" s="16">
        <f>base!X5049</f>
        <v>0</v>
      </c>
      <c r="M5049" s="11">
        <f t="shared" si="784"/>
        <v>0</v>
      </c>
      <c r="N5049" s="11">
        <f t="shared" si="785"/>
        <v>0</v>
      </c>
      <c r="O5049" s="11">
        <f t="shared" si="786"/>
        <v>0</v>
      </c>
      <c r="P5049" s="12">
        <f t="shared" si="787"/>
        <v>0</v>
      </c>
      <c r="Q5049" s="17" t="str">
        <f t="shared" si="789"/>
        <v>Pas d'écart</v>
      </c>
    </row>
    <row r="5050" spans="1:17" x14ac:dyDescent="0.3">
      <c r="A5050" s="34" t="str">
        <f>base!J5050</f>
        <v>RM</v>
      </c>
      <c r="B5050" s="34" t="str">
        <f>base!V5050</f>
        <v>71200</v>
      </c>
      <c r="C5050" s="37">
        <v>71</v>
      </c>
      <c r="D5050" s="36">
        <f>base!H5050</f>
        <v>193.2</v>
      </c>
      <c r="E5050" s="44"/>
      <c r="F5050" s="16">
        <f>base!W5050</f>
        <v>0</v>
      </c>
      <c r="G5050" s="11">
        <f t="shared" si="780"/>
        <v>0</v>
      </c>
      <c r="H5050" s="11">
        <f t="shared" si="781"/>
        <v>52.164000000000001</v>
      </c>
      <c r="I5050" s="11">
        <f t="shared" si="782"/>
        <v>0.27</v>
      </c>
      <c r="J5050" s="12">
        <f t="shared" si="783"/>
        <v>-52.164000000000001</v>
      </c>
      <c r="K5050" s="17" t="str">
        <f t="shared" si="788"/>
        <v>Ecart négatif</v>
      </c>
      <c r="L5050" s="16">
        <f>base!X5050</f>
        <v>0</v>
      </c>
      <c r="M5050" s="11">
        <f t="shared" si="784"/>
        <v>0</v>
      </c>
      <c r="N5050" s="11">
        <f t="shared" si="785"/>
        <v>0</v>
      </c>
      <c r="O5050" s="11">
        <f t="shared" si="786"/>
        <v>0</v>
      </c>
      <c r="P5050" s="12">
        <f t="shared" si="787"/>
        <v>0</v>
      </c>
      <c r="Q5050" s="17" t="str">
        <f t="shared" si="789"/>
        <v>Pas d'écart</v>
      </c>
    </row>
    <row r="5051" spans="1:17" x14ac:dyDescent="0.3">
      <c r="A5051" s="34" t="str">
        <f>base!J5051</f>
        <v>RM</v>
      </c>
      <c r="B5051" s="34" t="str">
        <f>base!V5051</f>
        <v>14000</v>
      </c>
      <c r="C5051" s="37">
        <v>14</v>
      </c>
      <c r="D5051" s="36">
        <f>base!H5051</f>
        <v>154.30000000000001</v>
      </c>
      <c r="E5051" s="44"/>
      <c r="F5051" s="16">
        <f>base!W5051</f>
        <v>0</v>
      </c>
      <c r="G5051" s="11">
        <f t="shared" si="780"/>
        <v>0</v>
      </c>
      <c r="H5051" s="11">
        <f t="shared" si="781"/>
        <v>26.231000000000005</v>
      </c>
      <c r="I5051" s="11">
        <f t="shared" si="782"/>
        <v>0.17</v>
      </c>
      <c r="J5051" s="12">
        <f t="shared" si="783"/>
        <v>-26.231000000000005</v>
      </c>
      <c r="K5051" s="17" t="str">
        <f t="shared" si="788"/>
        <v>Ecart négatif</v>
      </c>
      <c r="L5051" s="16">
        <f>base!X5051</f>
        <v>0</v>
      </c>
      <c r="M5051" s="11">
        <f t="shared" si="784"/>
        <v>0</v>
      </c>
      <c r="N5051" s="11">
        <f t="shared" si="785"/>
        <v>26.231000000000005</v>
      </c>
      <c r="O5051" s="11">
        <f t="shared" si="786"/>
        <v>0.17</v>
      </c>
      <c r="P5051" s="12">
        <f t="shared" si="787"/>
        <v>-26.231000000000005</v>
      </c>
      <c r="Q5051" s="17" t="str">
        <f t="shared" si="789"/>
        <v>Ecart négatif</v>
      </c>
    </row>
    <row r="5052" spans="1:17" x14ac:dyDescent="0.3">
      <c r="A5052" s="34" t="str">
        <f>base!J5052</f>
        <v>RM</v>
      </c>
      <c r="B5052" s="34" t="str">
        <f>base!V5052</f>
        <v>38340</v>
      </c>
      <c r="C5052" s="37">
        <v>38</v>
      </c>
      <c r="D5052" s="36">
        <f>base!H5052</f>
        <v>199.92</v>
      </c>
      <c r="E5052" s="44"/>
      <c r="F5052" s="16">
        <f>base!W5052</f>
        <v>0</v>
      </c>
      <c r="G5052" s="11">
        <f t="shared" si="780"/>
        <v>0</v>
      </c>
      <c r="H5052" s="11">
        <f t="shared" si="781"/>
        <v>53.978400000000001</v>
      </c>
      <c r="I5052" s="11">
        <f t="shared" si="782"/>
        <v>0.27</v>
      </c>
      <c r="J5052" s="12">
        <f t="shared" si="783"/>
        <v>-53.978400000000001</v>
      </c>
      <c r="K5052" s="17" t="str">
        <f t="shared" si="788"/>
        <v>Ecart négatif</v>
      </c>
      <c r="L5052" s="16">
        <f>base!X5052</f>
        <v>0</v>
      </c>
      <c r="M5052" s="11">
        <f t="shared" si="784"/>
        <v>0</v>
      </c>
      <c r="N5052" s="11">
        <f t="shared" si="785"/>
        <v>0</v>
      </c>
      <c r="O5052" s="11">
        <f t="shared" si="786"/>
        <v>0</v>
      </c>
      <c r="P5052" s="12">
        <f t="shared" si="787"/>
        <v>0</v>
      </c>
      <c r="Q5052" s="17" t="str">
        <f t="shared" si="789"/>
        <v>Pas d'écart</v>
      </c>
    </row>
    <row r="5053" spans="1:17" x14ac:dyDescent="0.3">
      <c r="A5053" s="34" t="str">
        <f>base!J5053</f>
        <v>RS</v>
      </c>
      <c r="B5053" s="34" t="str">
        <f>base!V5053</f>
        <v>13100</v>
      </c>
      <c r="C5053" s="37">
        <v>13</v>
      </c>
      <c r="D5053" s="36">
        <f>base!H5053</f>
        <v>187.02</v>
      </c>
      <c r="E5053" s="44"/>
      <c r="F5053" s="16">
        <f>base!W5053</f>
        <v>0</v>
      </c>
      <c r="G5053" s="11">
        <f t="shared" si="780"/>
        <v>0</v>
      </c>
      <c r="H5053" s="11">
        <f t="shared" si="781"/>
        <v>54.235799999999998</v>
      </c>
      <c r="I5053" s="11">
        <f t="shared" si="782"/>
        <v>0.28999999999999998</v>
      </c>
      <c r="J5053" s="12">
        <f t="shared" si="783"/>
        <v>-54.235799999999998</v>
      </c>
      <c r="K5053" s="17" t="str">
        <f t="shared" si="788"/>
        <v>Ecart négatif</v>
      </c>
      <c r="L5053" s="16">
        <f>base!X5053</f>
        <v>0</v>
      </c>
      <c r="M5053" s="11">
        <f t="shared" si="784"/>
        <v>0</v>
      </c>
      <c r="N5053" s="11">
        <f t="shared" si="785"/>
        <v>35.533799999999999</v>
      </c>
      <c r="O5053" s="11">
        <f t="shared" si="786"/>
        <v>0.18999999999999997</v>
      </c>
      <c r="P5053" s="12">
        <f t="shared" si="787"/>
        <v>-35.533799999999999</v>
      </c>
      <c r="Q5053" s="17" t="str">
        <f t="shared" si="789"/>
        <v>Ecart négatif</v>
      </c>
    </row>
    <row r="5054" spans="1:17" x14ac:dyDescent="0.3">
      <c r="A5054" s="34" t="str">
        <f>base!J5054</f>
        <v>LM</v>
      </c>
      <c r="B5054" s="34" t="str">
        <f>base!V5054</f>
        <v>13001</v>
      </c>
      <c r="C5054" s="37">
        <v>69</v>
      </c>
      <c r="D5054" s="36">
        <f>base!H5054</f>
        <v>159.24</v>
      </c>
      <c r="E5054" s="44"/>
      <c r="F5054" s="16">
        <f>base!W5054</f>
        <v>46.18</v>
      </c>
      <c r="G5054" s="11">
        <f t="shared" si="780"/>
        <v>0.29000251193167542</v>
      </c>
      <c r="H5054" s="11">
        <f t="shared" si="781"/>
        <v>42.994800000000005</v>
      </c>
      <c r="I5054" s="11">
        <f t="shared" si="782"/>
        <v>0.27</v>
      </c>
      <c r="J5054" s="12">
        <f t="shared" si="783"/>
        <v>3.1851999999999947</v>
      </c>
      <c r="K5054" s="17" t="str">
        <f t="shared" si="788"/>
        <v>Ecart positif</v>
      </c>
      <c r="L5054" s="16">
        <f>base!X5054</f>
        <v>0</v>
      </c>
      <c r="M5054" s="11">
        <f t="shared" si="784"/>
        <v>0</v>
      </c>
      <c r="N5054" s="11">
        <f t="shared" si="785"/>
        <v>0</v>
      </c>
      <c r="O5054" s="11">
        <f t="shared" si="786"/>
        <v>0</v>
      </c>
      <c r="P5054" s="12">
        <f t="shared" si="787"/>
        <v>0</v>
      </c>
      <c r="Q5054" s="17" t="str">
        <f t="shared" si="789"/>
        <v>Pas d'écart</v>
      </c>
    </row>
    <row r="5055" spans="1:17" x14ac:dyDescent="0.3">
      <c r="A5055" s="34" t="str">
        <f>base!J5055</f>
        <v>RS</v>
      </c>
      <c r="B5055" s="34" t="str">
        <f>base!V5055</f>
        <v>37550</v>
      </c>
      <c r="C5055" s="37">
        <v>37</v>
      </c>
      <c r="D5055" s="36">
        <f>base!H5055</f>
        <v>32.6</v>
      </c>
      <c r="E5055" s="44"/>
      <c r="F5055" s="16">
        <f>base!W5055</f>
        <v>0</v>
      </c>
      <c r="G5055" s="11">
        <f t="shared" si="780"/>
        <v>0</v>
      </c>
      <c r="H5055" s="11">
        <f t="shared" si="781"/>
        <v>6.194</v>
      </c>
      <c r="I5055" s="11">
        <f t="shared" si="782"/>
        <v>0.19</v>
      </c>
      <c r="J5055" s="12">
        <f t="shared" si="783"/>
        <v>-6.194</v>
      </c>
      <c r="K5055" s="17" t="str">
        <f t="shared" si="788"/>
        <v>Ecart négatif</v>
      </c>
      <c r="L5055" s="16">
        <f>base!X5055</f>
        <v>0</v>
      </c>
      <c r="M5055" s="11">
        <f t="shared" si="784"/>
        <v>0</v>
      </c>
      <c r="N5055" s="11">
        <f t="shared" si="785"/>
        <v>3.9119999999999999</v>
      </c>
      <c r="O5055" s="11">
        <f t="shared" si="786"/>
        <v>0.12</v>
      </c>
      <c r="P5055" s="12">
        <f t="shared" si="787"/>
        <v>-3.9119999999999999</v>
      </c>
      <c r="Q5055" s="17" t="str">
        <f t="shared" si="789"/>
        <v>Ecart négatif</v>
      </c>
    </row>
    <row r="5056" spans="1:17" x14ac:dyDescent="0.3">
      <c r="A5056" s="34" t="str">
        <f>base!J5056</f>
        <v>RM</v>
      </c>
      <c r="B5056" s="34" t="str">
        <f>base!V5056</f>
        <v>26000</v>
      </c>
      <c r="C5056" s="37">
        <v>26</v>
      </c>
      <c r="D5056" s="36">
        <f>base!H5056</f>
        <v>133.6</v>
      </c>
      <c r="E5056" s="44"/>
      <c r="F5056" s="16">
        <f>base!W5056</f>
        <v>0</v>
      </c>
      <c r="G5056" s="11">
        <f t="shared" si="780"/>
        <v>0</v>
      </c>
      <c r="H5056" s="11">
        <f t="shared" si="781"/>
        <v>36.072000000000003</v>
      </c>
      <c r="I5056" s="11">
        <f t="shared" si="782"/>
        <v>0.27</v>
      </c>
      <c r="J5056" s="12">
        <f t="shared" si="783"/>
        <v>-36.072000000000003</v>
      </c>
      <c r="K5056" s="17" t="str">
        <f t="shared" si="788"/>
        <v>Ecart négatif</v>
      </c>
      <c r="L5056" s="16">
        <f>base!X5056</f>
        <v>0</v>
      </c>
      <c r="M5056" s="11">
        <f t="shared" si="784"/>
        <v>0</v>
      </c>
      <c r="N5056" s="11">
        <f t="shared" si="785"/>
        <v>0</v>
      </c>
      <c r="O5056" s="11">
        <f t="shared" si="786"/>
        <v>0</v>
      </c>
      <c r="P5056" s="12">
        <f t="shared" si="787"/>
        <v>0</v>
      </c>
      <c r="Q5056" s="17" t="str">
        <f t="shared" si="789"/>
        <v>Pas d'écart</v>
      </c>
    </row>
    <row r="5057" spans="1:18" x14ac:dyDescent="0.3">
      <c r="A5057" s="34" t="str">
        <f>base!J5057</f>
        <v>DRS</v>
      </c>
      <c r="B5057" s="34" t="str">
        <f>base!V5057</f>
        <v>67500</v>
      </c>
      <c r="C5057" s="37">
        <v>67</v>
      </c>
      <c r="D5057" s="36">
        <f>base!H5057</f>
        <v>99.01</v>
      </c>
      <c r="E5057" s="44"/>
      <c r="F5057" s="16">
        <f>base!W5057</f>
        <v>0</v>
      </c>
      <c r="G5057" s="11">
        <f t="shared" si="780"/>
        <v>0</v>
      </c>
      <c r="H5057" s="11">
        <f t="shared" si="781"/>
        <v>28.712900000000001</v>
      </c>
      <c r="I5057" s="11">
        <f t="shared" si="782"/>
        <v>0.28999999999999998</v>
      </c>
      <c r="J5057" s="12">
        <f t="shared" si="783"/>
        <v>-28.712900000000001</v>
      </c>
      <c r="K5057" s="17" t="str">
        <f t="shared" si="788"/>
        <v>Ecart négatif</v>
      </c>
      <c r="L5057" s="16">
        <f>base!X5057</f>
        <v>0</v>
      </c>
      <c r="M5057" s="11">
        <f t="shared" si="784"/>
        <v>0</v>
      </c>
      <c r="N5057" s="11">
        <f t="shared" si="785"/>
        <v>7.9208000000000007</v>
      </c>
      <c r="O5057" s="11">
        <f t="shared" si="786"/>
        <v>0.08</v>
      </c>
      <c r="P5057" s="12">
        <f t="shared" si="787"/>
        <v>-7.9208000000000007</v>
      </c>
      <c r="Q5057" s="17" t="str">
        <f t="shared" si="789"/>
        <v>Ecart négatif</v>
      </c>
    </row>
    <row r="5058" spans="1:18" x14ac:dyDescent="0.3">
      <c r="A5058" s="34" t="str">
        <f>base!J5058</f>
        <v>RS</v>
      </c>
      <c r="B5058" s="34" t="str">
        <f>base!V5058</f>
        <v>75019</v>
      </c>
      <c r="C5058" s="37">
        <v>75</v>
      </c>
      <c r="D5058" s="36">
        <f>base!H5058</f>
        <v>151.24</v>
      </c>
      <c r="E5058" s="44"/>
      <c r="F5058" s="16">
        <f>base!W5058</f>
        <v>0</v>
      </c>
      <c r="G5058" s="11">
        <f t="shared" ref="G5058:G5121" si="790">F5058/D5058</f>
        <v>0</v>
      </c>
      <c r="H5058" s="11">
        <f t="shared" ref="H5058:H5121" si="791">VLOOKUP(C5058,tout_cout_traction,2,FALSE)*D5058</f>
        <v>0</v>
      </c>
      <c r="I5058" s="11">
        <f t="shared" ref="I5058:I5121" si="792">H5058/D5058</f>
        <v>0</v>
      </c>
      <c r="J5058" s="12">
        <f t="shared" ref="J5058:J5121" si="793">F5058-H5058</f>
        <v>0</v>
      </c>
      <c r="K5058" s="17" t="str">
        <f t="shared" si="788"/>
        <v>Pas d'écart</v>
      </c>
      <c r="L5058" s="16">
        <f>base!X5058</f>
        <v>0</v>
      </c>
      <c r="M5058" s="11">
        <f t="shared" ref="M5058:M5121" si="794">L5058/D5058</f>
        <v>0</v>
      </c>
      <c r="N5058" s="11">
        <f t="shared" ref="N5058:N5121" si="795">VLOOKUP(C5058,tout_cout_traction,3,FALSE)*D5058</f>
        <v>0</v>
      </c>
      <c r="O5058" s="11">
        <f t="shared" ref="O5058:O5121" si="796">N5058/D5058</f>
        <v>0</v>
      </c>
      <c r="P5058" s="12">
        <f t="shared" ref="P5058:P5121" si="797">L5058-N5058</f>
        <v>0</v>
      </c>
      <c r="Q5058" s="17" t="str">
        <f t="shared" si="789"/>
        <v>Pas d'écart</v>
      </c>
    </row>
    <row r="5059" spans="1:18" x14ac:dyDescent="0.3">
      <c r="A5059" s="34" t="str">
        <f>base!J5059</f>
        <v>RM</v>
      </c>
      <c r="B5059" s="34" t="str">
        <f>base!V5059</f>
        <v>94200</v>
      </c>
      <c r="C5059" s="37">
        <v>94</v>
      </c>
      <c r="D5059" s="36">
        <f>base!H5059</f>
        <v>199.6</v>
      </c>
      <c r="E5059" s="44"/>
      <c r="F5059" s="16">
        <f>base!W5059</f>
        <v>0</v>
      </c>
      <c r="G5059" s="11">
        <f t="shared" si="790"/>
        <v>0</v>
      </c>
      <c r="H5059" s="11">
        <f t="shared" si="791"/>
        <v>0</v>
      </c>
      <c r="I5059" s="11">
        <f t="shared" si="792"/>
        <v>0</v>
      </c>
      <c r="J5059" s="12">
        <f t="shared" si="793"/>
        <v>0</v>
      </c>
      <c r="K5059" s="17" t="str">
        <f t="shared" ref="K5059:K5122" si="798">IF(H5059=F5059,"Pas d'écart",IF(H5059&lt;F5059,"Ecart positif",IF(H5059&gt;F5059,"Ecart négatif")))</f>
        <v>Pas d'écart</v>
      </c>
      <c r="L5059" s="16">
        <f>base!X5059</f>
        <v>0</v>
      </c>
      <c r="M5059" s="11">
        <f t="shared" si="794"/>
        <v>0</v>
      </c>
      <c r="N5059" s="11">
        <f t="shared" si="795"/>
        <v>0</v>
      </c>
      <c r="O5059" s="11">
        <f t="shared" si="796"/>
        <v>0</v>
      </c>
      <c r="P5059" s="12">
        <f t="shared" si="797"/>
        <v>0</v>
      </c>
      <c r="Q5059" s="17" t="str">
        <f t="shared" ref="Q5059:Q5122" si="799">IF(N5059=L5059,"Pas d'écart",IF(N5059&lt;L5059,"Ecart positif",IF(N5059&gt;L5059,"Ecart négatif")))</f>
        <v>Pas d'écart</v>
      </c>
    </row>
    <row r="5060" spans="1:18" x14ac:dyDescent="0.3">
      <c r="A5060" s="34" t="str">
        <f>base!J5060</f>
        <v>RM</v>
      </c>
      <c r="B5060" s="34" t="str">
        <f>base!V5060</f>
        <v>74940</v>
      </c>
      <c r="C5060" s="37">
        <v>74</v>
      </c>
      <c r="D5060" s="36">
        <f>base!H5060</f>
        <v>22.5</v>
      </c>
      <c r="E5060" s="44"/>
      <c r="F5060" s="16">
        <f>base!W5060</f>
        <v>0</v>
      </c>
      <c r="G5060" s="11">
        <f t="shared" si="790"/>
        <v>0</v>
      </c>
      <c r="H5060" s="11">
        <f t="shared" si="791"/>
        <v>5.8500000000000005</v>
      </c>
      <c r="I5060" s="11">
        <f t="shared" si="792"/>
        <v>0.26</v>
      </c>
      <c r="J5060" s="12">
        <f t="shared" si="793"/>
        <v>-5.8500000000000005</v>
      </c>
      <c r="K5060" s="17" t="str">
        <f t="shared" si="798"/>
        <v>Ecart négatif</v>
      </c>
      <c r="L5060" s="16">
        <f>base!X5060</f>
        <v>0</v>
      </c>
      <c r="M5060" s="11">
        <f t="shared" si="794"/>
        <v>0</v>
      </c>
      <c r="N5060" s="11">
        <f t="shared" si="795"/>
        <v>0</v>
      </c>
      <c r="O5060" s="11">
        <f t="shared" si="796"/>
        <v>0</v>
      </c>
      <c r="P5060" s="12">
        <f t="shared" si="797"/>
        <v>0</v>
      </c>
      <c r="Q5060" s="17" t="str">
        <f t="shared" si="799"/>
        <v>Pas d'écart</v>
      </c>
    </row>
    <row r="5061" spans="1:18" x14ac:dyDescent="0.3">
      <c r="A5061" s="34" t="str">
        <f>base!J5061</f>
        <v>RS</v>
      </c>
      <c r="B5061" s="34" t="str">
        <f>base!V5061</f>
        <v>53200</v>
      </c>
      <c r="C5061" s="37">
        <v>53</v>
      </c>
      <c r="D5061" s="36">
        <f>base!H5061</f>
        <v>151</v>
      </c>
      <c r="E5061" s="44"/>
      <c r="F5061" s="16">
        <f>base!W5061</f>
        <v>0</v>
      </c>
      <c r="G5061" s="11">
        <f t="shared" si="790"/>
        <v>0</v>
      </c>
      <c r="H5061" s="11">
        <f t="shared" si="791"/>
        <v>40.770000000000003</v>
      </c>
      <c r="I5061" s="11">
        <f t="shared" si="792"/>
        <v>0.27</v>
      </c>
      <c r="J5061" s="12">
        <f t="shared" si="793"/>
        <v>-40.770000000000003</v>
      </c>
      <c r="K5061" s="17" t="str">
        <f t="shared" si="798"/>
        <v>Ecart négatif</v>
      </c>
      <c r="L5061" s="16">
        <f>base!X5061</f>
        <v>0</v>
      </c>
      <c r="M5061" s="11">
        <f t="shared" si="794"/>
        <v>0</v>
      </c>
      <c r="N5061" s="11">
        <f t="shared" si="795"/>
        <v>0</v>
      </c>
      <c r="O5061" s="11">
        <f t="shared" si="796"/>
        <v>0</v>
      </c>
      <c r="P5061" s="12">
        <f t="shared" si="797"/>
        <v>0</v>
      </c>
      <c r="Q5061" s="17" t="str">
        <f t="shared" si="799"/>
        <v>Pas d'écart</v>
      </c>
    </row>
    <row r="5062" spans="1:18" x14ac:dyDescent="0.3">
      <c r="A5062" s="34" t="str">
        <f>base!J5062</f>
        <v>RM</v>
      </c>
      <c r="B5062" s="34" t="str">
        <f>base!V5062</f>
        <v>27300</v>
      </c>
      <c r="C5062" s="37">
        <v>27</v>
      </c>
      <c r="D5062" s="36">
        <f>base!H5062</f>
        <v>19.399999999999999</v>
      </c>
      <c r="E5062" s="44"/>
      <c r="F5062" s="16">
        <f>base!W5062</f>
        <v>0</v>
      </c>
      <c r="G5062" s="11">
        <f t="shared" si="790"/>
        <v>0</v>
      </c>
      <c r="H5062" s="11">
        <f t="shared" si="791"/>
        <v>3.298</v>
      </c>
      <c r="I5062" s="11">
        <f t="shared" si="792"/>
        <v>0.17</v>
      </c>
      <c r="J5062" s="12">
        <f t="shared" si="793"/>
        <v>-3.298</v>
      </c>
      <c r="K5062" s="17" t="str">
        <f t="shared" si="798"/>
        <v>Ecart négatif</v>
      </c>
      <c r="L5062" s="16">
        <f>base!X5062</f>
        <v>0</v>
      </c>
      <c r="M5062" s="11">
        <f t="shared" si="794"/>
        <v>0</v>
      </c>
      <c r="N5062" s="11">
        <f t="shared" si="795"/>
        <v>3.298</v>
      </c>
      <c r="O5062" s="11">
        <f t="shared" si="796"/>
        <v>0.17</v>
      </c>
      <c r="P5062" s="12">
        <f t="shared" si="797"/>
        <v>-3.298</v>
      </c>
      <c r="Q5062" s="17" t="str">
        <f t="shared" si="799"/>
        <v>Ecart négatif</v>
      </c>
    </row>
    <row r="5063" spans="1:18" x14ac:dyDescent="0.3">
      <c r="A5063" s="34" t="str">
        <f>base!J5063</f>
        <v>RM</v>
      </c>
      <c r="B5063" s="34" t="str">
        <f>base!V5063</f>
        <v>57000</v>
      </c>
      <c r="C5063" s="37">
        <v>57</v>
      </c>
      <c r="D5063" s="36">
        <f>base!H5063</f>
        <v>109.06</v>
      </c>
      <c r="E5063" s="44"/>
      <c r="F5063" s="16">
        <f>base!W5063</f>
        <v>0</v>
      </c>
      <c r="G5063" s="11">
        <f t="shared" si="790"/>
        <v>0</v>
      </c>
      <c r="H5063" s="11">
        <f t="shared" si="791"/>
        <v>26.174399999999999</v>
      </c>
      <c r="I5063" s="11">
        <f t="shared" si="792"/>
        <v>0.24</v>
      </c>
      <c r="J5063" s="12">
        <f t="shared" si="793"/>
        <v>-26.174399999999999</v>
      </c>
      <c r="K5063" s="17" t="str">
        <f t="shared" si="798"/>
        <v>Ecart négatif</v>
      </c>
      <c r="L5063" s="16">
        <f>base!X5063</f>
        <v>27.26</v>
      </c>
      <c r="M5063" s="11">
        <f t="shared" si="794"/>
        <v>0.24995415367687512</v>
      </c>
      <c r="N5063" s="11">
        <f t="shared" si="795"/>
        <v>27.265000000000001</v>
      </c>
      <c r="O5063" s="11">
        <f t="shared" si="796"/>
        <v>0.25</v>
      </c>
      <c r="P5063" s="12">
        <f t="shared" si="797"/>
        <v>-4.9999999999990052E-3</v>
      </c>
      <c r="Q5063" s="17" t="str">
        <f t="shared" si="799"/>
        <v>Ecart négatif</v>
      </c>
      <c r="R5063" s="38"/>
    </row>
    <row r="5064" spans="1:18" x14ac:dyDescent="0.3">
      <c r="A5064" s="34" t="str">
        <f>base!J5064</f>
        <v>RS</v>
      </c>
      <c r="B5064" s="34" t="str">
        <f>base!V5064</f>
        <v>54400</v>
      </c>
      <c r="C5064" s="37">
        <v>54</v>
      </c>
      <c r="D5064" s="36">
        <f>base!H5064</f>
        <v>109.06</v>
      </c>
      <c r="E5064" s="44"/>
      <c r="F5064" s="16">
        <f>base!W5064</f>
        <v>0</v>
      </c>
      <c r="G5064" s="11">
        <f t="shared" si="790"/>
        <v>0</v>
      </c>
      <c r="H5064" s="11">
        <f t="shared" si="791"/>
        <v>27.265000000000001</v>
      </c>
      <c r="I5064" s="11">
        <f t="shared" si="792"/>
        <v>0.25</v>
      </c>
      <c r="J5064" s="12">
        <f t="shared" si="793"/>
        <v>-27.265000000000001</v>
      </c>
      <c r="K5064" s="17" t="str">
        <f t="shared" si="798"/>
        <v>Ecart négatif</v>
      </c>
      <c r="L5064" s="16">
        <f>base!X5064</f>
        <v>27.26</v>
      </c>
      <c r="M5064" s="11">
        <f t="shared" si="794"/>
        <v>0.24995415367687512</v>
      </c>
      <c r="N5064" s="11">
        <f t="shared" si="795"/>
        <v>27.265000000000001</v>
      </c>
      <c r="O5064" s="11">
        <f t="shared" si="796"/>
        <v>0.25</v>
      </c>
      <c r="P5064" s="12">
        <f t="shared" si="797"/>
        <v>-4.9999999999990052E-3</v>
      </c>
      <c r="Q5064" s="17" t="str">
        <f t="shared" si="799"/>
        <v>Ecart négatif</v>
      </c>
      <c r="R5064" s="38"/>
    </row>
    <row r="5065" spans="1:18" x14ac:dyDescent="0.3">
      <c r="A5065" s="34" t="str">
        <f>base!J5065</f>
        <v>RM</v>
      </c>
      <c r="B5065" s="34" t="str">
        <f>base!V5065</f>
        <v>70000</v>
      </c>
      <c r="C5065" s="37">
        <v>70</v>
      </c>
      <c r="D5065" s="36">
        <f>base!H5065</f>
        <v>25</v>
      </c>
      <c r="E5065" s="44"/>
      <c r="F5065" s="16">
        <f>base!W5065</f>
        <v>0</v>
      </c>
      <c r="G5065" s="11">
        <f t="shared" si="790"/>
        <v>0</v>
      </c>
      <c r="H5065" s="11">
        <f t="shared" si="791"/>
        <v>6</v>
      </c>
      <c r="I5065" s="11">
        <f t="shared" si="792"/>
        <v>0.24</v>
      </c>
      <c r="J5065" s="12">
        <f t="shared" si="793"/>
        <v>-6</v>
      </c>
      <c r="K5065" s="17" t="str">
        <f t="shared" si="798"/>
        <v>Ecart négatif</v>
      </c>
      <c r="L5065" s="16">
        <f>base!X5065</f>
        <v>0</v>
      </c>
      <c r="M5065" s="11">
        <f t="shared" si="794"/>
        <v>0</v>
      </c>
      <c r="N5065" s="11">
        <f t="shared" si="795"/>
        <v>3</v>
      </c>
      <c r="O5065" s="11">
        <f t="shared" si="796"/>
        <v>0.12</v>
      </c>
      <c r="P5065" s="12">
        <f t="shared" si="797"/>
        <v>-3</v>
      </c>
      <c r="Q5065" s="17" t="str">
        <f t="shared" si="799"/>
        <v>Ecart négatif</v>
      </c>
    </row>
    <row r="5066" spans="1:18" x14ac:dyDescent="0.3">
      <c r="A5066" s="34" t="str">
        <f>base!J5066</f>
        <v>DLM</v>
      </c>
      <c r="B5066" s="34" t="str">
        <f>base!V5066</f>
        <v>69003</v>
      </c>
      <c r="C5066" s="37">
        <v>69</v>
      </c>
      <c r="D5066" s="36">
        <f>base!H5066</f>
        <v>52.5</v>
      </c>
      <c r="E5066" s="44"/>
      <c r="F5066" s="16">
        <f>base!W5066</f>
        <v>0</v>
      </c>
      <c r="G5066" s="11">
        <f t="shared" si="790"/>
        <v>0</v>
      </c>
      <c r="H5066" s="11">
        <f t="shared" si="791"/>
        <v>14.175000000000001</v>
      </c>
      <c r="I5066" s="11">
        <f t="shared" si="792"/>
        <v>0.27</v>
      </c>
      <c r="J5066" s="12">
        <f t="shared" si="793"/>
        <v>-14.175000000000001</v>
      </c>
      <c r="K5066" s="17" t="str">
        <f t="shared" si="798"/>
        <v>Ecart négatif</v>
      </c>
      <c r="L5066" s="16">
        <f>base!X5066</f>
        <v>0</v>
      </c>
      <c r="M5066" s="11">
        <f t="shared" si="794"/>
        <v>0</v>
      </c>
      <c r="N5066" s="11">
        <f t="shared" si="795"/>
        <v>0</v>
      </c>
      <c r="O5066" s="11">
        <f t="shared" si="796"/>
        <v>0</v>
      </c>
      <c r="P5066" s="12">
        <f t="shared" si="797"/>
        <v>0</v>
      </c>
      <c r="Q5066" s="17" t="str">
        <f t="shared" si="799"/>
        <v>Pas d'écart</v>
      </c>
    </row>
    <row r="5067" spans="1:18" x14ac:dyDescent="0.3">
      <c r="A5067" s="34" t="str">
        <f>base!J5067</f>
        <v>DLM</v>
      </c>
      <c r="B5067" s="34" t="str">
        <f>base!V5067</f>
        <v>69003</v>
      </c>
      <c r="C5067" s="37">
        <v>69</v>
      </c>
      <c r="D5067" s="36">
        <f>base!H5067</f>
        <v>52.5</v>
      </c>
      <c r="E5067" s="44"/>
      <c r="F5067" s="16">
        <f>base!W5067</f>
        <v>0</v>
      </c>
      <c r="G5067" s="11">
        <f t="shared" si="790"/>
        <v>0</v>
      </c>
      <c r="H5067" s="11">
        <f t="shared" si="791"/>
        <v>14.175000000000001</v>
      </c>
      <c r="I5067" s="11">
        <f t="shared" si="792"/>
        <v>0.27</v>
      </c>
      <c r="J5067" s="12">
        <f t="shared" si="793"/>
        <v>-14.175000000000001</v>
      </c>
      <c r="K5067" s="17" t="str">
        <f t="shared" si="798"/>
        <v>Ecart négatif</v>
      </c>
      <c r="L5067" s="16">
        <f>base!X5067</f>
        <v>0</v>
      </c>
      <c r="M5067" s="11">
        <f t="shared" si="794"/>
        <v>0</v>
      </c>
      <c r="N5067" s="11">
        <f t="shared" si="795"/>
        <v>0</v>
      </c>
      <c r="O5067" s="11">
        <f t="shared" si="796"/>
        <v>0</v>
      </c>
      <c r="P5067" s="12">
        <f t="shared" si="797"/>
        <v>0</v>
      </c>
      <c r="Q5067" s="17" t="str">
        <f t="shared" si="799"/>
        <v>Pas d'écart</v>
      </c>
    </row>
    <row r="5068" spans="1:18" x14ac:dyDescent="0.3">
      <c r="A5068" s="34" t="str">
        <f>base!J5068</f>
        <v>DLM</v>
      </c>
      <c r="B5068" s="34" t="str">
        <f>base!V5068</f>
        <v>13006</v>
      </c>
      <c r="C5068" s="37">
        <v>13</v>
      </c>
      <c r="D5068" s="36">
        <f>base!H5068</f>
        <v>52.5</v>
      </c>
      <c r="E5068" s="44"/>
      <c r="F5068" s="16">
        <f>base!W5068</f>
        <v>0</v>
      </c>
      <c r="G5068" s="11">
        <f t="shared" si="790"/>
        <v>0</v>
      </c>
      <c r="H5068" s="11">
        <f t="shared" si="791"/>
        <v>15.225</v>
      </c>
      <c r="I5068" s="11">
        <f t="shared" si="792"/>
        <v>0.28999999999999998</v>
      </c>
      <c r="J5068" s="12">
        <f t="shared" si="793"/>
        <v>-15.225</v>
      </c>
      <c r="K5068" s="17" t="str">
        <f t="shared" si="798"/>
        <v>Ecart négatif</v>
      </c>
      <c r="L5068" s="16">
        <f>base!X5068</f>
        <v>0</v>
      </c>
      <c r="M5068" s="11">
        <f t="shared" si="794"/>
        <v>0</v>
      </c>
      <c r="N5068" s="11">
        <f t="shared" si="795"/>
        <v>9.9749999999999996</v>
      </c>
      <c r="O5068" s="11">
        <f t="shared" si="796"/>
        <v>0.19</v>
      </c>
      <c r="P5068" s="12">
        <f t="shared" si="797"/>
        <v>-9.9749999999999996</v>
      </c>
      <c r="Q5068" s="17" t="str">
        <f t="shared" si="799"/>
        <v>Ecart négatif</v>
      </c>
    </row>
    <row r="5069" spans="1:18" x14ac:dyDescent="0.3">
      <c r="A5069" s="34" t="str">
        <f>base!J5069</f>
        <v>DLM</v>
      </c>
      <c r="B5069" s="34" t="str">
        <f>base!V5069</f>
        <v>65000</v>
      </c>
      <c r="C5069" s="37">
        <v>65</v>
      </c>
      <c r="D5069" s="36">
        <f>base!H5069</f>
        <v>52.5</v>
      </c>
      <c r="E5069" s="44"/>
      <c r="F5069" s="16">
        <f>base!W5069</f>
        <v>0</v>
      </c>
      <c r="G5069" s="11">
        <f t="shared" si="790"/>
        <v>0</v>
      </c>
      <c r="H5069" s="11">
        <f t="shared" si="791"/>
        <v>11.55</v>
      </c>
      <c r="I5069" s="11">
        <f t="shared" si="792"/>
        <v>0.22</v>
      </c>
      <c r="J5069" s="12">
        <f t="shared" si="793"/>
        <v>-11.55</v>
      </c>
      <c r="K5069" s="17" t="str">
        <f t="shared" si="798"/>
        <v>Ecart négatif</v>
      </c>
      <c r="L5069" s="16">
        <f>base!X5069</f>
        <v>0</v>
      </c>
      <c r="M5069" s="11">
        <f t="shared" si="794"/>
        <v>0</v>
      </c>
      <c r="N5069" s="11">
        <f t="shared" si="795"/>
        <v>13.65</v>
      </c>
      <c r="O5069" s="11">
        <f t="shared" si="796"/>
        <v>0.26</v>
      </c>
      <c r="P5069" s="12">
        <f t="shared" si="797"/>
        <v>-13.65</v>
      </c>
      <c r="Q5069" s="17" t="str">
        <f t="shared" si="799"/>
        <v>Ecart négatif</v>
      </c>
    </row>
    <row r="5070" spans="1:18" x14ac:dyDescent="0.3">
      <c r="A5070" s="34" t="str">
        <f>base!J5070</f>
        <v>RS</v>
      </c>
      <c r="B5070" s="34" t="str">
        <f>base!V5070</f>
        <v>77290</v>
      </c>
      <c r="C5070" s="37">
        <v>77</v>
      </c>
      <c r="D5070" s="36">
        <f>base!H5070</f>
        <v>14</v>
      </c>
      <c r="E5070" s="44"/>
      <c r="F5070" s="16">
        <f>base!W5070</f>
        <v>0</v>
      </c>
      <c r="G5070" s="11">
        <f t="shared" si="790"/>
        <v>0</v>
      </c>
      <c r="H5070" s="11">
        <f t="shared" si="791"/>
        <v>0</v>
      </c>
      <c r="I5070" s="11">
        <f t="shared" si="792"/>
        <v>0</v>
      </c>
      <c r="J5070" s="12">
        <f t="shared" si="793"/>
        <v>0</v>
      </c>
      <c r="K5070" s="17" t="str">
        <f t="shared" si="798"/>
        <v>Pas d'écart</v>
      </c>
      <c r="L5070" s="16">
        <f>base!X5070</f>
        <v>0</v>
      </c>
      <c r="M5070" s="11">
        <f t="shared" si="794"/>
        <v>0</v>
      </c>
      <c r="N5070" s="11">
        <f t="shared" si="795"/>
        <v>0</v>
      </c>
      <c r="O5070" s="11">
        <f t="shared" si="796"/>
        <v>0</v>
      </c>
      <c r="P5070" s="12">
        <f t="shared" si="797"/>
        <v>0</v>
      </c>
      <c r="Q5070" s="17" t="str">
        <f t="shared" si="799"/>
        <v>Pas d'écart</v>
      </c>
    </row>
    <row r="5071" spans="1:18" x14ac:dyDescent="0.3">
      <c r="A5071" s="34" t="str">
        <f>base!J5071</f>
        <v>RM</v>
      </c>
      <c r="B5071" s="34" t="str">
        <f>base!V5071</f>
        <v>13001</v>
      </c>
      <c r="C5071" s="37">
        <v>13</v>
      </c>
      <c r="D5071" s="36">
        <f>base!H5071</f>
        <v>70</v>
      </c>
      <c r="E5071" s="44"/>
      <c r="F5071" s="16">
        <f>base!W5071</f>
        <v>0</v>
      </c>
      <c r="G5071" s="11">
        <f t="shared" si="790"/>
        <v>0</v>
      </c>
      <c r="H5071" s="11">
        <f t="shared" si="791"/>
        <v>20.299999999999997</v>
      </c>
      <c r="I5071" s="11">
        <f t="shared" si="792"/>
        <v>0.28999999999999998</v>
      </c>
      <c r="J5071" s="12">
        <f t="shared" si="793"/>
        <v>-20.299999999999997</v>
      </c>
      <c r="K5071" s="17" t="str">
        <f t="shared" si="798"/>
        <v>Ecart négatif</v>
      </c>
      <c r="L5071" s="16">
        <f>base!X5071</f>
        <v>0</v>
      </c>
      <c r="M5071" s="11">
        <f t="shared" si="794"/>
        <v>0</v>
      </c>
      <c r="N5071" s="11">
        <f t="shared" si="795"/>
        <v>13.3</v>
      </c>
      <c r="O5071" s="11">
        <f t="shared" si="796"/>
        <v>0.19</v>
      </c>
      <c r="P5071" s="12">
        <f t="shared" si="797"/>
        <v>-13.3</v>
      </c>
      <c r="Q5071" s="17" t="str">
        <f t="shared" si="799"/>
        <v>Ecart négatif</v>
      </c>
    </row>
    <row r="5072" spans="1:18" x14ac:dyDescent="0.3">
      <c r="A5072" s="34" t="str">
        <f>base!J5072</f>
        <v>LS</v>
      </c>
      <c r="B5072" s="34" t="str">
        <f>base!V5072</f>
        <v>56300</v>
      </c>
      <c r="C5072" s="37">
        <v>69</v>
      </c>
      <c r="D5072" s="36">
        <f>base!H5072</f>
        <v>25.69</v>
      </c>
      <c r="E5072" s="44"/>
      <c r="F5072" s="16">
        <f>base!W5072</f>
        <v>6.94</v>
      </c>
      <c r="G5072" s="11">
        <f t="shared" si="790"/>
        <v>0.27014402491241729</v>
      </c>
      <c r="H5072" s="11">
        <f t="shared" si="791"/>
        <v>6.936300000000001</v>
      </c>
      <c r="I5072" s="11">
        <f t="shared" si="792"/>
        <v>0.27</v>
      </c>
      <c r="J5072" s="12">
        <f t="shared" si="793"/>
        <v>3.6999999999993705E-3</v>
      </c>
      <c r="K5072" s="17" t="str">
        <f t="shared" si="798"/>
        <v>Ecart positif</v>
      </c>
      <c r="L5072" s="16">
        <f>base!X5072</f>
        <v>0</v>
      </c>
      <c r="M5072" s="11">
        <f t="shared" si="794"/>
        <v>0</v>
      </c>
      <c r="N5072" s="11">
        <f t="shared" si="795"/>
        <v>0</v>
      </c>
      <c r="O5072" s="11">
        <f t="shared" si="796"/>
        <v>0</v>
      </c>
      <c r="P5072" s="12">
        <f t="shared" si="797"/>
        <v>0</v>
      </c>
      <c r="Q5072" s="17" t="str">
        <f t="shared" si="799"/>
        <v>Pas d'écart</v>
      </c>
    </row>
    <row r="5073" spans="1:17" x14ac:dyDescent="0.3">
      <c r="A5073" s="34" t="str">
        <f>base!J5073</f>
        <v>RM</v>
      </c>
      <c r="B5073" s="34" t="str">
        <f>base!V5073</f>
        <v>93290</v>
      </c>
      <c r="C5073" s="37">
        <v>93</v>
      </c>
      <c r="D5073" s="36">
        <f>base!H5073</f>
        <v>32</v>
      </c>
      <c r="E5073" s="44"/>
      <c r="F5073" s="16">
        <f>base!W5073</f>
        <v>0</v>
      </c>
      <c r="G5073" s="11">
        <f t="shared" si="790"/>
        <v>0</v>
      </c>
      <c r="H5073" s="11">
        <f t="shared" si="791"/>
        <v>0</v>
      </c>
      <c r="I5073" s="11">
        <f t="shared" si="792"/>
        <v>0</v>
      </c>
      <c r="J5073" s="12">
        <f t="shared" si="793"/>
        <v>0</v>
      </c>
      <c r="K5073" s="17" t="str">
        <f t="shared" si="798"/>
        <v>Pas d'écart</v>
      </c>
      <c r="L5073" s="16">
        <f>base!X5073</f>
        <v>0</v>
      </c>
      <c r="M5073" s="11">
        <f t="shared" si="794"/>
        <v>0</v>
      </c>
      <c r="N5073" s="11">
        <f t="shared" si="795"/>
        <v>0</v>
      </c>
      <c r="O5073" s="11">
        <f t="shared" si="796"/>
        <v>0</v>
      </c>
      <c r="P5073" s="12">
        <f t="shared" si="797"/>
        <v>0</v>
      </c>
      <c r="Q5073" s="17" t="str">
        <f t="shared" si="799"/>
        <v>Pas d'écart</v>
      </c>
    </row>
    <row r="5074" spans="1:17" x14ac:dyDescent="0.3">
      <c r="A5074" s="34" t="str">
        <f>base!J5074</f>
        <v>LM</v>
      </c>
      <c r="B5074" s="34" t="str">
        <f>base!V5074</f>
        <v>93013</v>
      </c>
      <c r="C5074" s="37">
        <v>93</v>
      </c>
      <c r="D5074" s="36">
        <f>base!H5074</f>
        <v>137.79</v>
      </c>
      <c r="E5074" s="44"/>
      <c r="F5074" s="16">
        <f>base!W5074</f>
        <v>0</v>
      </c>
      <c r="G5074" s="11">
        <f t="shared" si="790"/>
        <v>0</v>
      </c>
      <c r="H5074" s="11">
        <f t="shared" si="791"/>
        <v>0</v>
      </c>
      <c r="I5074" s="11">
        <f t="shared" si="792"/>
        <v>0</v>
      </c>
      <c r="J5074" s="12">
        <f t="shared" si="793"/>
        <v>0</v>
      </c>
      <c r="K5074" s="17" t="str">
        <f t="shared" si="798"/>
        <v>Pas d'écart</v>
      </c>
      <c r="L5074" s="16">
        <f>base!X5074</f>
        <v>0</v>
      </c>
      <c r="M5074" s="11">
        <f t="shared" si="794"/>
        <v>0</v>
      </c>
      <c r="N5074" s="11">
        <f t="shared" si="795"/>
        <v>0</v>
      </c>
      <c r="O5074" s="11">
        <f t="shared" si="796"/>
        <v>0</v>
      </c>
      <c r="P5074" s="12">
        <f t="shared" si="797"/>
        <v>0</v>
      </c>
      <c r="Q5074" s="17" t="str">
        <f t="shared" si="799"/>
        <v>Pas d'écart</v>
      </c>
    </row>
    <row r="5075" spans="1:17" x14ac:dyDescent="0.3">
      <c r="A5075" s="34" t="str">
        <f>base!J5075</f>
        <v>RM</v>
      </c>
      <c r="B5075" s="34" t="str">
        <f>base!V5075</f>
        <v>27400</v>
      </c>
      <c r="C5075" s="37">
        <v>27</v>
      </c>
      <c r="D5075" s="36">
        <f>base!H5075</f>
        <v>41.75</v>
      </c>
      <c r="E5075" s="44"/>
      <c r="F5075" s="16">
        <f>base!W5075</f>
        <v>0</v>
      </c>
      <c r="G5075" s="11">
        <f t="shared" si="790"/>
        <v>0</v>
      </c>
      <c r="H5075" s="11">
        <f t="shared" si="791"/>
        <v>7.0975000000000001</v>
      </c>
      <c r="I5075" s="11">
        <f t="shared" si="792"/>
        <v>0.17</v>
      </c>
      <c r="J5075" s="12">
        <f t="shared" si="793"/>
        <v>-7.0975000000000001</v>
      </c>
      <c r="K5075" s="17" t="str">
        <f t="shared" si="798"/>
        <v>Ecart négatif</v>
      </c>
      <c r="L5075" s="16">
        <f>base!X5075</f>
        <v>0</v>
      </c>
      <c r="M5075" s="11">
        <f t="shared" si="794"/>
        <v>0</v>
      </c>
      <c r="N5075" s="11">
        <f t="shared" si="795"/>
        <v>7.0975000000000001</v>
      </c>
      <c r="O5075" s="11">
        <f t="shared" si="796"/>
        <v>0.17</v>
      </c>
      <c r="P5075" s="12">
        <f t="shared" si="797"/>
        <v>-7.0975000000000001</v>
      </c>
      <c r="Q5075" s="17" t="str">
        <f t="shared" si="799"/>
        <v>Ecart négatif</v>
      </c>
    </row>
    <row r="5076" spans="1:17" x14ac:dyDescent="0.3">
      <c r="A5076" s="34" t="str">
        <f>base!J5076</f>
        <v>DLS</v>
      </c>
      <c r="B5076" s="34" t="str">
        <f>base!V5076</f>
        <v>77230</v>
      </c>
      <c r="C5076" s="37">
        <v>77</v>
      </c>
      <c r="D5076" s="36">
        <f>base!H5076</f>
        <v>194</v>
      </c>
      <c r="E5076" s="44"/>
      <c r="F5076" s="16">
        <f>base!W5076</f>
        <v>48.5</v>
      </c>
      <c r="G5076" s="11">
        <f t="shared" si="790"/>
        <v>0.25</v>
      </c>
      <c r="H5076" s="11">
        <f t="shared" si="791"/>
        <v>0</v>
      </c>
      <c r="I5076" s="11">
        <f t="shared" si="792"/>
        <v>0</v>
      </c>
      <c r="J5076" s="12">
        <f t="shared" si="793"/>
        <v>48.5</v>
      </c>
      <c r="K5076" s="17" t="str">
        <f t="shared" si="798"/>
        <v>Ecart positif</v>
      </c>
      <c r="L5076" s="16">
        <f>base!X5076</f>
        <v>0</v>
      </c>
      <c r="M5076" s="11">
        <f t="shared" si="794"/>
        <v>0</v>
      </c>
      <c r="N5076" s="11">
        <f t="shared" si="795"/>
        <v>0</v>
      </c>
      <c r="O5076" s="11">
        <f t="shared" si="796"/>
        <v>0</v>
      </c>
      <c r="P5076" s="12">
        <f t="shared" si="797"/>
        <v>0</v>
      </c>
      <c r="Q5076" s="17" t="str">
        <f t="shared" si="799"/>
        <v>Pas d'écart</v>
      </c>
    </row>
    <row r="5077" spans="1:17" x14ac:dyDescent="0.3">
      <c r="A5077" s="34" t="str">
        <f>base!J5077</f>
        <v>LM</v>
      </c>
      <c r="B5077" s="34" t="str">
        <f>base!V5077</f>
        <v>16380</v>
      </c>
      <c r="C5077" s="37">
        <v>69</v>
      </c>
      <c r="D5077" s="36">
        <f>base!H5077</f>
        <v>107.66</v>
      </c>
      <c r="E5077" s="44"/>
      <c r="F5077" s="16">
        <f>base!W5077</f>
        <v>22.61</v>
      </c>
      <c r="G5077" s="11">
        <f t="shared" si="790"/>
        <v>0.21001300390117036</v>
      </c>
      <c r="H5077" s="11">
        <f t="shared" si="791"/>
        <v>29.068200000000001</v>
      </c>
      <c r="I5077" s="11">
        <f t="shared" si="792"/>
        <v>0.27</v>
      </c>
      <c r="J5077" s="12">
        <f t="shared" si="793"/>
        <v>-6.4582000000000015</v>
      </c>
      <c r="K5077" s="17" t="str">
        <f t="shared" si="798"/>
        <v>Ecart négatif</v>
      </c>
      <c r="L5077" s="16">
        <f>base!X5077</f>
        <v>0</v>
      </c>
      <c r="M5077" s="11">
        <f t="shared" si="794"/>
        <v>0</v>
      </c>
      <c r="N5077" s="11">
        <f t="shared" si="795"/>
        <v>0</v>
      </c>
      <c r="O5077" s="11">
        <f t="shared" si="796"/>
        <v>0</v>
      </c>
      <c r="P5077" s="12">
        <f t="shared" si="797"/>
        <v>0</v>
      </c>
      <c r="Q5077" s="17" t="str">
        <f t="shared" si="799"/>
        <v>Pas d'écart</v>
      </c>
    </row>
    <row r="5078" spans="1:17" x14ac:dyDescent="0.3">
      <c r="A5078" s="34" t="str">
        <f>base!J5078</f>
        <v>RS</v>
      </c>
      <c r="B5078" s="34" t="str">
        <f>base!V5078</f>
        <v>69150</v>
      </c>
      <c r="C5078" s="37">
        <v>69</v>
      </c>
      <c r="D5078" s="36">
        <f>base!H5078</f>
        <v>140</v>
      </c>
      <c r="E5078" s="44"/>
      <c r="F5078" s="16">
        <f>base!W5078</f>
        <v>0</v>
      </c>
      <c r="G5078" s="11">
        <f t="shared" si="790"/>
        <v>0</v>
      </c>
      <c r="H5078" s="11">
        <f t="shared" si="791"/>
        <v>37.800000000000004</v>
      </c>
      <c r="I5078" s="11">
        <f t="shared" si="792"/>
        <v>0.27</v>
      </c>
      <c r="J5078" s="12">
        <f t="shared" si="793"/>
        <v>-37.800000000000004</v>
      </c>
      <c r="K5078" s="17" t="str">
        <f t="shared" si="798"/>
        <v>Ecart négatif</v>
      </c>
      <c r="L5078" s="16">
        <f>base!X5078</f>
        <v>0</v>
      </c>
      <c r="M5078" s="11">
        <f t="shared" si="794"/>
        <v>0</v>
      </c>
      <c r="N5078" s="11">
        <f t="shared" si="795"/>
        <v>0</v>
      </c>
      <c r="O5078" s="11">
        <f t="shared" si="796"/>
        <v>0</v>
      </c>
      <c r="P5078" s="12">
        <f t="shared" si="797"/>
        <v>0</v>
      </c>
      <c r="Q5078" s="17" t="str">
        <f t="shared" si="799"/>
        <v>Pas d'écart</v>
      </c>
    </row>
    <row r="5079" spans="1:17" x14ac:dyDescent="0.3">
      <c r="A5079" s="34" t="str">
        <f>base!J5079</f>
        <v>DLM</v>
      </c>
      <c r="B5079" s="34" t="str">
        <f>base!V5079</f>
        <v>51100</v>
      </c>
      <c r="C5079" s="37">
        <v>51</v>
      </c>
      <c r="D5079" s="36">
        <f>base!H5079</f>
        <v>32</v>
      </c>
      <c r="E5079" s="44"/>
      <c r="F5079" s="16">
        <f>base!W5079</f>
        <v>0</v>
      </c>
      <c r="G5079" s="11">
        <f t="shared" si="790"/>
        <v>0</v>
      </c>
      <c r="H5079" s="11">
        <f t="shared" si="791"/>
        <v>8</v>
      </c>
      <c r="I5079" s="11">
        <f t="shared" si="792"/>
        <v>0.25</v>
      </c>
      <c r="J5079" s="12">
        <f t="shared" si="793"/>
        <v>-8</v>
      </c>
      <c r="K5079" s="17" t="str">
        <f t="shared" si="798"/>
        <v>Ecart négatif</v>
      </c>
      <c r="L5079" s="16">
        <f>base!X5079</f>
        <v>0</v>
      </c>
      <c r="M5079" s="11">
        <f t="shared" si="794"/>
        <v>0</v>
      </c>
      <c r="N5079" s="11">
        <f t="shared" si="795"/>
        <v>8</v>
      </c>
      <c r="O5079" s="11">
        <f t="shared" si="796"/>
        <v>0.25</v>
      </c>
      <c r="P5079" s="12">
        <f t="shared" si="797"/>
        <v>-8</v>
      </c>
      <c r="Q5079" s="17" t="str">
        <f t="shared" si="799"/>
        <v>Ecart négatif</v>
      </c>
    </row>
    <row r="5080" spans="1:17" x14ac:dyDescent="0.3">
      <c r="A5080" s="34" t="str">
        <f>base!J5080</f>
        <v>DRS</v>
      </c>
      <c r="B5080" s="34" t="str">
        <f>base!V5080</f>
        <v>57365</v>
      </c>
      <c r="C5080" s="37">
        <v>57</v>
      </c>
      <c r="D5080" s="36">
        <f>base!H5080</f>
        <v>116.58</v>
      </c>
      <c r="E5080" s="44"/>
      <c r="F5080" s="16">
        <f>base!W5080</f>
        <v>0</v>
      </c>
      <c r="G5080" s="11">
        <f t="shared" si="790"/>
        <v>0</v>
      </c>
      <c r="H5080" s="11">
        <f t="shared" si="791"/>
        <v>27.979199999999999</v>
      </c>
      <c r="I5080" s="11">
        <f t="shared" si="792"/>
        <v>0.24</v>
      </c>
      <c r="J5080" s="12">
        <f t="shared" si="793"/>
        <v>-27.979199999999999</v>
      </c>
      <c r="K5080" s="17" t="str">
        <f t="shared" si="798"/>
        <v>Ecart négatif</v>
      </c>
      <c r="L5080" s="16">
        <f>base!X5080</f>
        <v>0</v>
      </c>
      <c r="M5080" s="11">
        <f t="shared" si="794"/>
        <v>0</v>
      </c>
      <c r="N5080" s="11">
        <f t="shared" si="795"/>
        <v>29.145</v>
      </c>
      <c r="O5080" s="11">
        <f t="shared" si="796"/>
        <v>0.25</v>
      </c>
      <c r="P5080" s="12">
        <f t="shared" si="797"/>
        <v>-29.145</v>
      </c>
      <c r="Q5080" s="17" t="str">
        <f t="shared" si="799"/>
        <v>Ecart négatif</v>
      </c>
    </row>
    <row r="5081" spans="1:17" x14ac:dyDescent="0.3">
      <c r="A5081" s="34" t="str">
        <f>base!J5081</f>
        <v>RM</v>
      </c>
      <c r="B5081" s="34" t="str">
        <f>base!V5081</f>
        <v>06560</v>
      </c>
      <c r="C5081" s="37">
        <v>6</v>
      </c>
      <c r="D5081" s="36">
        <f>base!H5081</f>
        <v>151</v>
      </c>
      <c r="E5081" s="44"/>
      <c r="F5081" s="16">
        <f>base!W5081</f>
        <v>0</v>
      </c>
      <c r="G5081" s="11">
        <f t="shared" si="790"/>
        <v>0</v>
      </c>
      <c r="H5081" s="11">
        <f t="shared" si="791"/>
        <v>45.3</v>
      </c>
      <c r="I5081" s="11">
        <f t="shared" si="792"/>
        <v>0.3</v>
      </c>
      <c r="J5081" s="12">
        <f t="shared" si="793"/>
        <v>-45.3</v>
      </c>
      <c r="K5081" s="17" t="str">
        <f t="shared" si="798"/>
        <v>Ecart négatif</v>
      </c>
      <c r="L5081" s="16">
        <f>base!X5081</f>
        <v>0</v>
      </c>
      <c r="M5081" s="11">
        <f t="shared" si="794"/>
        <v>0</v>
      </c>
      <c r="N5081" s="11">
        <f t="shared" si="795"/>
        <v>31.709999999999997</v>
      </c>
      <c r="O5081" s="11">
        <f t="shared" si="796"/>
        <v>0.21</v>
      </c>
      <c r="P5081" s="12">
        <f t="shared" si="797"/>
        <v>-31.709999999999997</v>
      </c>
      <c r="Q5081" s="17" t="str">
        <f t="shared" si="799"/>
        <v>Ecart négatif</v>
      </c>
    </row>
    <row r="5082" spans="1:17" x14ac:dyDescent="0.3">
      <c r="A5082" s="34" t="str">
        <f>base!J5082</f>
        <v>RM</v>
      </c>
      <c r="B5082" s="34" t="str">
        <f>base!V5082</f>
        <v>06560</v>
      </c>
      <c r="C5082" s="37">
        <v>6</v>
      </c>
      <c r="D5082" s="36">
        <f>base!H5082</f>
        <v>151</v>
      </c>
      <c r="E5082" s="44"/>
      <c r="F5082" s="16">
        <f>base!W5082</f>
        <v>0</v>
      </c>
      <c r="G5082" s="11">
        <f t="shared" si="790"/>
        <v>0</v>
      </c>
      <c r="H5082" s="11">
        <f t="shared" si="791"/>
        <v>45.3</v>
      </c>
      <c r="I5082" s="11">
        <f t="shared" si="792"/>
        <v>0.3</v>
      </c>
      <c r="J5082" s="12">
        <f t="shared" si="793"/>
        <v>-45.3</v>
      </c>
      <c r="K5082" s="17" t="str">
        <f t="shared" si="798"/>
        <v>Ecart négatif</v>
      </c>
      <c r="L5082" s="16">
        <f>base!X5082</f>
        <v>0</v>
      </c>
      <c r="M5082" s="11">
        <f t="shared" si="794"/>
        <v>0</v>
      </c>
      <c r="N5082" s="11">
        <f t="shared" si="795"/>
        <v>31.709999999999997</v>
      </c>
      <c r="O5082" s="11">
        <f t="shared" si="796"/>
        <v>0.21</v>
      </c>
      <c r="P5082" s="12">
        <f t="shared" si="797"/>
        <v>-31.709999999999997</v>
      </c>
      <c r="Q5082" s="17" t="str">
        <f t="shared" si="799"/>
        <v>Ecart négatif</v>
      </c>
    </row>
    <row r="5083" spans="1:17" x14ac:dyDescent="0.3">
      <c r="A5083" s="34" t="str">
        <f>base!J5083</f>
        <v>RM</v>
      </c>
      <c r="B5083" s="34" t="str">
        <f>base!V5083</f>
        <v>21000</v>
      </c>
      <c r="C5083" s="37">
        <v>21</v>
      </c>
      <c r="D5083" s="36">
        <f>base!H5083</f>
        <v>25</v>
      </c>
      <c r="E5083" s="44"/>
      <c r="F5083" s="16">
        <f>base!W5083</f>
        <v>0</v>
      </c>
      <c r="G5083" s="11">
        <f t="shared" si="790"/>
        <v>0</v>
      </c>
      <c r="H5083" s="11">
        <f t="shared" si="791"/>
        <v>6</v>
      </c>
      <c r="I5083" s="11">
        <f t="shared" si="792"/>
        <v>0.24</v>
      </c>
      <c r="J5083" s="12">
        <f t="shared" si="793"/>
        <v>-6</v>
      </c>
      <c r="K5083" s="17" t="str">
        <f t="shared" si="798"/>
        <v>Ecart négatif</v>
      </c>
      <c r="L5083" s="16">
        <f>base!X5083</f>
        <v>0</v>
      </c>
      <c r="M5083" s="11">
        <f t="shared" si="794"/>
        <v>0</v>
      </c>
      <c r="N5083" s="11">
        <f t="shared" si="795"/>
        <v>3</v>
      </c>
      <c r="O5083" s="11">
        <f t="shared" si="796"/>
        <v>0.12</v>
      </c>
      <c r="P5083" s="12">
        <f t="shared" si="797"/>
        <v>-3</v>
      </c>
      <c r="Q5083" s="17" t="str">
        <f t="shared" si="799"/>
        <v>Ecart négatif</v>
      </c>
    </row>
    <row r="5084" spans="1:17" x14ac:dyDescent="0.3">
      <c r="A5084" s="34" t="str">
        <f>base!J5084</f>
        <v>LS</v>
      </c>
      <c r="B5084" s="34" t="str">
        <f>base!V5084</f>
        <v>56300</v>
      </c>
      <c r="C5084" s="37">
        <v>69</v>
      </c>
      <c r="D5084" s="36">
        <f>base!H5084</f>
        <v>49.08</v>
      </c>
      <c r="E5084" s="44"/>
      <c r="F5084" s="16">
        <f>base!W5084</f>
        <v>13.25</v>
      </c>
      <c r="G5084" s="11">
        <f t="shared" si="790"/>
        <v>0.26996740016299919</v>
      </c>
      <c r="H5084" s="11">
        <f t="shared" si="791"/>
        <v>13.2516</v>
      </c>
      <c r="I5084" s="11">
        <f t="shared" si="792"/>
        <v>0.27</v>
      </c>
      <c r="J5084" s="12">
        <f t="shared" si="793"/>
        <v>-1.5999999999998238E-3</v>
      </c>
      <c r="K5084" s="17" t="str">
        <f t="shared" si="798"/>
        <v>Ecart négatif</v>
      </c>
      <c r="L5084" s="16">
        <f>base!X5084</f>
        <v>0</v>
      </c>
      <c r="M5084" s="11">
        <f t="shared" si="794"/>
        <v>0</v>
      </c>
      <c r="N5084" s="11">
        <f t="shared" si="795"/>
        <v>0</v>
      </c>
      <c r="O5084" s="11">
        <f t="shared" si="796"/>
        <v>0</v>
      </c>
      <c r="P5084" s="12">
        <f t="shared" si="797"/>
        <v>0</v>
      </c>
      <c r="Q5084" s="17" t="str">
        <f t="shared" si="799"/>
        <v>Pas d'écart</v>
      </c>
    </row>
    <row r="5085" spans="1:17" x14ac:dyDescent="0.3">
      <c r="A5085" s="34" t="str">
        <f>base!J5085</f>
        <v>RM</v>
      </c>
      <c r="B5085" s="34" t="str">
        <f>base!V5085</f>
        <v>75014</v>
      </c>
      <c r="C5085" s="37">
        <v>75</v>
      </c>
      <c r="D5085" s="36">
        <f>base!H5085</f>
        <v>58.2</v>
      </c>
      <c r="E5085" s="44"/>
      <c r="F5085" s="16">
        <f>base!W5085</f>
        <v>0</v>
      </c>
      <c r="G5085" s="11">
        <f t="shared" si="790"/>
        <v>0</v>
      </c>
      <c r="H5085" s="11">
        <f t="shared" si="791"/>
        <v>0</v>
      </c>
      <c r="I5085" s="11">
        <f t="shared" si="792"/>
        <v>0</v>
      </c>
      <c r="J5085" s="12">
        <f t="shared" si="793"/>
        <v>0</v>
      </c>
      <c r="K5085" s="17" t="str">
        <f t="shared" si="798"/>
        <v>Pas d'écart</v>
      </c>
      <c r="L5085" s="16">
        <f>base!X5085</f>
        <v>0</v>
      </c>
      <c r="M5085" s="11">
        <f t="shared" si="794"/>
        <v>0</v>
      </c>
      <c r="N5085" s="11">
        <f t="shared" si="795"/>
        <v>0</v>
      </c>
      <c r="O5085" s="11">
        <f t="shared" si="796"/>
        <v>0</v>
      </c>
      <c r="P5085" s="12">
        <f t="shared" si="797"/>
        <v>0</v>
      </c>
      <c r="Q5085" s="17" t="str">
        <f t="shared" si="799"/>
        <v>Pas d'écart</v>
      </c>
    </row>
    <row r="5086" spans="1:17" x14ac:dyDescent="0.3">
      <c r="A5086" s="34" t="str">
        <f>base!J5086</f>
        <v>DRM</v>
      </c>
      <c r="B5086" s="34" t="str">
        <f>base!V5086</f>
        <v>06000</v>
      </c>
      <c r="C5086" s="37">
        <v>6</v>
      </c>
      <c r="D5086" s="36">
        <f>base!H5086</f>
        <v>198.02</v>
      </c>
      <c r="E5086" s="44"/>
      <c r="F5086" s="16">
        <f>base!W5086</f>
        <v>0</v>
      </c>
      <c r="G5086" s="11">
        <f t="shared" si="790"/>
        <v>0</v>
      </c>
      <c r="H5086" s="11">
        <f t="shared" si="791"/>
        <v>59.405999999999999</v>
      </c>
      <c r="I5086" s="11">
        <f t="shared" si="792"/>
        <v>0.3</v>
      </c>
      <c r="J5086" s="12">
        <f t="shared" si="793"/>
        <v>-59.405999999999999</v>
      </c>
      <c r="K5086" s="17" t="str">
        <f t="shared" si="798"/>
        <v>Ecart négatif</v>
      </c>
      <c r="L5086" s="16">
        <f>base!X5086</f>
        <v>0</v>
      </c>
      <c r="M5086" s="11">
        <f t="shared" si="794"/>
        <v>0</v>
      </c>
      <c r="N5086" s="11">
        <f t="shared" si="795"/>
        <v>41.584200000000003</v>
      </c>
      <c r="O5086" s="11">
        <f t="shared" si="796"/>
        <v>0.21</v>
      </c>
      <c r="P5086" s="12">
        <f t="shared" si="797"/>
        <v>-41.584200000000003</v>
      </c>
      <c r="Q5086" s="17" t="str">
        <f t="shared" si="799"/>
        <v>Ecart négatif</v>
      </c>
    </row>
    <row r="5087" spans="1:17" x14ac:dyDescent="0.3">
      <c r="A5087" s="34">
        <f>base!J5087</f>
        <v>0</v>
      </c>
      <c r="B5087" s="34" t="str">
        <f>base!V5087</f>
        <v>77184</v>
      </c>
      <c r="C5087" s="37">
        <v>77</v>
      </c>
      <c r="D5087" s="36">
        <f>base!H5087</f>
        <v>84.5</v>
      </c>
      <c r="E5087" s="44"/>
      <c r="F5087" s="16">
        <f>base!W5087</f>
        <v>0</v>
      </c>
      <c r="G5087" s="11">
        <f t="shared" si="790"/>
        <v>0</v>
      </c>
      <c r="H5087" s="11">
        <f t="shared" si="791"/>
        <v>0</v>
      </c>
      <c r="I5087" s="11">
        <f t="shared" si="792"/>
        <v>0</v>
      </c>
      <c r="J5087" s="12">
        <f t="shared" si="793"/>
        <v>0</v>
      </c>
      <c r="K5087" s="17" t="str">
        <f t="shared" si="798"/>
        <v>Pas d'écart</v>
      </c>
      <c r="L5087" s="16">
        <f>base!X5087</f>
        <v>0</v>
      </c>
      <c r="M5087" s="11">
        <f t="shared" si="794"/>
        <v>0</v>
      </c>
      <c r="N5087" s="11">
        <f t="shared" si="795"/>
        <v>0</v>
      </c>
      <c r="O5087" s="11">
        <f t="shared" si="796"/>
        <v>0</v>
      </c>
      <c r="P5087" s="12">
        <f t="shared" si="797"/>
        <v>0</v>
      </c>
      <c r="Q5087" s="17" t="str">
        <f t="shared" si="799"/>
        <v>Pas d'écart</v>
      </c>
    </row>
    <row r="5088" spans="1:17" x14ac:dyDescent="0.3">
      <c r="A5088" s="34">
        <f>base!J5088</f>
        <v>0</v>
      </c>
      <c r="B5088" s="34" t="str">
        <f>base!V5088</f>
        <v>77184</v>
      </c>
      <c r="C5088" s="37">
        <v>77</v>
      </c>
      <c r="D5088" s="36">
        <f>base!H5088</f>
        <v>97.95</v>
      </c>
      <c r="E5088" s="44"/>
      <c r="F5088" s="16">
        <f>base!W5088</f>
        <v>0</v>
      </c>
      <c r="G5088" s="11">
        <f t="shared" si="790"/>
        <v>0</v>
      </c>
      <c r="H5088" s="11">
        <f t="shared" si="791"/>
        <v>0</v>
      </c>
      <c r="I5088" s="11">
        <f t="shared" si="792"/>
        <v>0</v>
      </c>
      <c r="J5088" s="12">
        <f t="shared" si="793"/>
        <v>0</v>
      </c>
      <c r="K5088" s="17" t="str">
        <f t="shared" si="798"/>
        <v>Pas d'écart</v>
      </c>
      <c r="L5088" s="16">
        <f>base!X5088</f>
        <v>0</v>
      </c>
      <c r="M5088" s="11">
        <f t="shared" si="794"/>
        <v>0</v>
      </c>
      <c r="N5088" s="11">
        <f t="shared" si="795"/>
        <v>0</v>
      </c>
      <c r="O5088" s="11">
        <f t="shared" si="796"/>
        <v>0</v>
      </c>
      <c r="P5088" s="12">
        <f t="shared" si="797"/>
        <v>0</v>
      </c>
      <c r="Q5088" s="17" t="str">
        <f t="shared" si="799"/>
        <v>Pas d'écart</v>
      </c>
    </row>
    <row r="5089" spans="1:18" x14ac:dyDescent="0.3">
      <c r="A5089" s="34">
        <f>base!J5089</f>
        <v>0</v>
      </c>
      <c r="B5089" s="34" t="str">
        <f>base!V5089</f>
        <v>77184</v>
      </c>
      <c r="C5089" s="37">
        <v>77</v>
      </c>
      <c r="D5089" s="36">
        <f>base!H5089</f>
        <v>31</v>
      </c>
      <c r="E5089" s="44"/>
      <c r="F5089" s="16">
        <f>base!W5089</f>
        <v>0</v>
      </c>
      <c r="G5089" s="11">
        <f t="shared" si="790"/>
        <v>0</v>
      </c>
      <c r="H5089" s="11">
        <f t="shared" si="791"/>
        <v>0</v>
      </c>
      <c r="I5089" s="11">
        <f t="shared" si="792"/>
        <v>0</v>
      </c>
      <c r="J5089" s="12">
        <f t="shared" si="793"/>
        <v>0</v>
      </c>
      <c r="K5089" s="17" t="str">
        <f t="shared" si="798"/>
        <v>Pas d'écart</v>
      </c>
      <c r="L5089" s="16">
        <f>base!X5089</f>
        <v>0</v>
      </c>
      <c r="M5089" s="11">
        <f t="shared" si="794"/>
        <v>0</v>
      </c>
      <c r="N5089" s="11">
        <f t="shared" si="795"/>
        <v>0</v>
      </c>
      <c r="O5089" s="11">
        <f t="shared" si="796"/>
        <v>0</v>
      </c>
      <c r="P5089" s="12">
        <f t="shared" si="797"/>
        <v>0</v>
      </c>
      <c r="Q5089" s="17" t="str">
        <f t="shared" si="799"/>
        <v>Pas d'écart</v>
      </c>
    </row>
    <row r="5090" spans="1:18" x14ac:dyDescent="0.3">
      <c r="A5090" s="34" t="str">
        <f>base!J5090</f>
        <v>DRM</v>
      </c>
      <c r="B5090" s="34" t="str">
        <f>base!V5090</f>
        <v>63100</v>
      </c>
      <c r="C5090" s="37">
        <v>63</v>
      </c>
      <c r="D5090" s="36">
        <f>base!H5090</f>
        <v>163.08000000000001</v>
      </c>
      <c r="E5090" s="44"/>
      <c r="F5090" s="16">
        <f>base!W5090</f>
        <v>0</v>
      </c>
      <c r="G5090" s="11">
        <f t="shared" si="790"/>
        <v>0</v>
      </c>
      <c r="H5090" s="11">
        <f t="shared" si="791"/>
        <v>47.293199999999999</v>
      </c>
      <c r="I5090" s="11">
        <f t="shared" si="792"/>
        <v>0.28999999999999998</v>
      </c>
      <c r="J5090" s="12">
        <f t="shared" si="793"/>
        <v>-47.293199999999999</v>
      </c>
      <c r="K5090" s="17" t="str">
        <f t="shared" si="798"/>
        <v>Ecart négatif</v>
      </c>
      <c r="L5090" s="16">
        <f>base!X5090</f>
        <v>0</v>
      </c>
      <c r="M5090" s="11">
        <f t="shared" si="794"/>
        <v>0</v>
      </c>
      <c r="N5090" s="11">
        <f t="shared" si="795"/>
        <v>19.569600000000001</v>
      </c>
      <c r="O5090" s="11">
        <f t="shared" si="796"/>
        <v>0.12</v>
      </c>
      <c r="P5090" s="12">
        <f t="shared" si="797"/>
        <v>-19.569600000000001</v>
      </c>
      <c r="Q5090" s="17" t="str">
        <f t="shared" si="799"/>
        <v>Ecart négatif</v>
      </c>
    </row>
    <row r="5091" spans="1:18" x14ac:dyDescent="0.3">
      <c r="A5091" s="34" t="str">
        <f>base!J5091</f>
        <v>RM</v>
      </c>
      <c r="B5091" s="34" t="str">
        <f>base!V5091</f>
        <v>13115</v>
      </c>
      <c r="C5091" s="37">
        <v>13</v>
      </c>
      <c r="D5091" s="36">
        <f>base!H5091</f>
        <v>137.05000000000001</v>
      </c>
      <c r="E5091" s="44"/>
      <c r="F5091" s="16">
        <f>base!W5091</f>
        <v>0</v>
      </c>
      <c r="G5091" s="11">
        <f t="shared" si="790"/>
        <v>0</v>
      </c>
      <c r="H5091" s="11">
        <f t="shared" si="791"/>
        <v>39.744500000000002</v>
      </c>
      <c r="I5091" s="11">
        <f t="shared" si="792"/>
        <v>0.28999999999999998</v>
      </c>
      <c r="J5091" s="12">
        <f t="shared" si="793"/>
        <v>-39.744500000000002</v>
      </c>
      <c r="K5091" s="17" t="str">
        <f t="shared" si="798"/>
        <v>Ecart négatif</v>
      </c>
      <c r="L5091" s="16">
        <f>base!X5091</f>
        <v>26.04</v>
      </c>
      <c r="M5091" s="11">
        <f t="shared" si="794"/>
        <v>0.19000364830353883</v>
      </c>
      <c r="N5091" s="11">
        <f t="shared" si="795"/>
        <v>26.039500000000004</v>
      </c>
      <c r="O5091" s="11">
        <f t="shared" si="796"/>
        <v>0.19</v>
      </c>
      <c r="P5091" s="12">
        <f t="shared" si="797"/>
        <v>4.99999999995282E-4</v>
      </c>
      <c r="Q5091" s="17" t="str">
        <f t="shared" si="799"/>
        <v>Ecart positif</v>
      </c>
      <c r="R5091" s="38"/>
    </row>
    <row r="5092" spans="1:18" x14ac:dyDescent="0.3">
      <c r="A5092" s="34" t="str">
        <f>base!J5092</f>
        <v>RM</v>
      </c>
      <c r="B5092" s="34" t="str">
        <f>base!V5092</f>
        <v>38490</v>
      </c>
      <c r="C5092" s="37">
        <v>38</v>
      </c>
      <c r="D5092" s="36">
        <f>base!H5092</f>
        <v>42.03</v>
      </c>
      <c r="E5092" s="44"/>
      <c r="F5092" s="16">
        <f>base!W5092</f>
        <v>0</v>
      </c>
      <c r="G5092" s="11">
        <f t="shared" si="790"/>
        <v>0</v>
      </c>
      <c r="H5092" s="11">
        <f t="shared" si="791"/>
        <v>11.348100000000001</v>
      </c>
      <c r="I5092" s="11">
        <f t="shared" si="792"/>
        <v>0.27</v>
      </c>
      <c r="J5092" s="12">
        <f t="shared" si="793"/>
        <v>-11.348100000000001</v>
      </c>
      <c r="K5092" s="17" t="str">
        <f t="shared" si="798"/>
        <v>Ecart négatif</v>
      </c>
      <c r="L5092" s="16">
        <f>base!X5092</f>
        <v>0</v>
      </c>
      <c r="M5092" s="11">
        <f t="shared" si="794"/>
        <v>0</v>
      </c>
      <c r="N5092" s="11">
        <f t="shared" si="795"/>
        <v>0</v>
      </c>
      <c r="O5092" s="11">
        <f t="shared" si="796"/>
        <v>0</v>
      </c>
      <c r="P5092" s="12">
        <f t="shared" si="797"/>
        <v>0</v>
      </c>
      <c r="Q5092" s="17" t="str">
        <f t="shared" si="799"/>
        <v>Pas d'écart</v>
      </c>
    </row>
    <row r="5093" spans="1:18" x14ac:dyDescent="0.3">
      <c r="A5093" s="34" t="str">
        <f>base!J5093</f>
        <v>LM</v>
      </c>
      <c r="B5093" s="34" t="str">
        <f>base!V5093</f>
        <v>01000</v>
      </c>
      <c r="C5093" s="37">
        <v>69</v>
      </c>
      <c r="D5093" s="36">
        <f>base!H5093</f>
        <v>121.89</v>
      </c>
      <c r="E5093" s="44"/>
      <c r="F5093" s="16">
        <f>base!W5093</f>
        <v>32.909999999999997</v>
      </c>
      <c r="G5093" s="11">
        <f t="shared" si="790"/>
        <v>0.26999753876445975</v>
      </c>
      <c r="H5093" s="11">
        <f t="shared" si="791"/>
        <v>32.910299999999999</v>
      </c>
      <c r="I5093" s="11">
        <f t="shared" si="792"/>
        <v>0.27</v>
      </c>
      <c r="J5093" s="12">
        <f t="shared" si="793"/>
        <v>-3.0000000000285354E-4</v>
      </c>
      <c r="K5093" s="17" t="str">
        <f t="shared" si="798"/>
        <v>Ecart négatif</v>
      </c>
      <c r="L5093" s="16">
        <f>base!X5093</f>
        <v>0</v>
      </c>
      <c r="M5093" s="11">
        <f t="shared" si="794"/>
        <v>0</v>
      </c>
      <c r="N5093" s="11">
        <f t="shared" si="795"/>
        <v>0</v>
      </c>
      <c r="O5093" s="11">
        <f t="shared" si="796"/>
        <v>0</v>
      </c>
      <c r="P5093" s="12">
        <f t="shared" si="797"/>
        <v>0</v>
      </c>
      <c r="Q5093" s="17" t="str">
        <f t="shared" si="799"/>
        <v>Pas d'écart</v>
      </c>
    </row>
    <row r="5094" spans="1:18" x14ac:dyDescent="0.3">
      <c r="A5094" s="34" t="str">
        <f>base!J5094</f>
        <v>DRS</v>
      </c>
      <c r="B5094" s="34" t="str">
        <f>base!V5094</f>
        <v>83400</v>
      </c>
      <c r="C5094" s="37">
        <v>83</v>
      </c>
      <c r="D5094" s="36">
        <f>base!H5094</f>
        <v>250</v>
      </c>
      <c r="E5094" s="44"/>
      <c r="F5094" s="16">
        <f>base!W5094</f>
        <v>0</v>
      </c>
      <c r="G5094" s="11">
        <f t="shared" si="790"/>
        <v>0</v>
      </c>
      <c r="H5094" s="11">
        <f t="shared" si="791"/>
        <v>75</v>
      </c>
      <c r="I5094" s="11">
        <f t="shared" si="792"/>
        <v>0.3</v>
      </c>
      <c r="J5094" s="12">
        <f t="shared" si="793"/>
        <v>-75</v>
      </c>
      <c r="K5094" s="17" t="str">
        <f t="shared" si="798"/>
        <v>Ecart négatif</v>
      </c>
      <c r="L5094" s="16">
        <f>base!X5094</f>
        <v>0</v>
      </c>
      <c r="M5094" s="11">
        <f t="shared" si="794"/>
        <v>0</v>
      </c>
      <c r="N5094" s="11">
        <f t="shared" si="795"/>
        <v>52.5</v>
      </c>
      <c r="O5094" s="11">
        <f t="shared" si="796"/>
        <v>0.21</v>
      </c>
      <c r="P5094" s="12">
        <f t="shared" si="797"/>
        <v>-52.5</v>
      </c>
      <c r="Q5094" s="17" t="str">
        <f t="shared" si="799"/>
        <v>Ecart négatif</v>
      </c>
    </row>
    <row r="5095" spans="1:18" x14ac:dyDescent="0.3">
      <c r="A5095" s="34" t="str">
        <f>base!J5095</f>
        <v>RM</v>
      </c>
      <c r="B5095" s="34" t="str">
        <f>base!V5095</f>
        <v>68390</v>
      </c>
      <c r="C5095" s="37">
        <v>68</v>
      </c>
      <c r="D5095" s="36">
        <f>base!H5095</f>
        <v>57.2</v>
      </c>
      <c r="E5095" s="44"/>
      <c r="F5095" s="16">
        <f>base!W5095</f>
        <v>0</v>
      </c>
      <c r="G5095" s="11">
        <f t="shared" si="790"/>
        <v>0</v>
      </c>
      <c r="H5095" s="11">
        <f t="shared" si="791"/>
        <v>16.588000000000001</v>
      </c>
      <c r="I5095" s="11">
        <f t="shared" si="792"/>
        <v>0.28999999999999998</v>
      </c>
      <c r="J5095" s="12">
        <f t="shared" si="793"/>
        <v>-16.588000000000001</v>
      </c>
      <c r="K5095" s="17" t="str">
        <f t="shared" si="798"/>
        <v>Ecart négatif</v>
      </c>
      <c r="L5095" s="16">
        <f>base!X5095</f>
        <v>0</v>
      </c>
      <c r="M5095" s="11">
        <f t="shared" si="794"/>
        <v>0</v>
      </c>
      <c r="N5095" s="11">
        <f t="shared" si="795"/>
        <v>4.5760000000000005</v>
      </c>
      <c r="O5095" s="11">
        <f t="shared" si="796"/>
        <v>0.08</v>
      </c>
      <c r="P5095" s="12">
        <f t="shared" si="797"/>
        <v>-4.5760000000000005</v>
      </c>
      <c r="Q5095" s="17" t="str">
        <f t="shared" si="799"/>
        <v>Ecart négatif</v>
      </c>
    </row>
    <row r="5096" spans="1:18" x14ac:dyDescent="0.3">
      <c r="A5096" s="34" t="str">
        <f>base!J5096</f>
        <v>RM</v>
      </c>
      <c r="B5096" s="34" t="str">
        <f>base!V5096</f>
        <v>75013</v>
      </c>
      <c r="C5096" s="37">
        <v>75</v>
      </c>
      <c r="D5096" s="36">
        <f>base!H5096</f>
        <v>32</v>
      </c>
      <c r="E5096" s="44"/>
      <c r="F5096" s="16">
        <f>base!W5096</f>
        <v>0</v>
      </c>
      <c r="G5096" s="11">
        <f t="shared" si="790"/>
        <v>0</v>
      </c>
      <c r="H5096" s="11">
        <f t="shared" si="791"/>
        <v>0</v>
      </c>
      <c r="I5096" s="11">
        <f t="shared" si="792"/>
        <v>0</v>
      </c>
      <c r="J5096" s="12">
        <f t="shared" si="793"/>
        <v>0</v>
      </c>
      <c r="K5096" s="17" t="str">
        <f t="shared" si="798"/>
        <v>Pas d'écart</v>
      </c>
      <c r="L5096" s="16">
        <f>base!X5096</f>
        <v>0</v>
      </c>
      <c r="M5096" s="11">
        <f t="shared" si="794"/>
        <v>0</v>
      </c>
      <c r="N5096" s="11">
        <f t="shared" si="795"/>
        <v>0</v>
      </c>
      <c r="O5096" s="11">
        <f t="shared" si="796"/>
        <v>0</v>
      </c>
      <c r="P5096" s="12">
        <f t="shared" si="797"/>
        <v>0</v>
      </c>
      <c r="Q5096" s="17" t="str">
        <f t="shared" si="799"/>
        <v>Pas d'écart</v>
      </c>
    </row>
    <row r="5097" spans="1:18" x14ac:dyDescent="0.3">
      <c r="A5097" s="34" t="str">
        <f>base!J5097</f>
        <v>LS</v>
      </c>
      <c r="B5097" s="34" t="str">
        <f>base!V5097</f>
        <v>37230</v>
      </c>
      <c r="C5097" s="37">
        <v>69</v>
      </c>
      <c r="D5097" s="36">
        <f>base!H5097</f>
        <v>55.34</v>
      </c>
      <c r="E5097" s="44"/>
      <c r="F5097" s="16">
        <f>base!W5097</f>
        <v>11.62</v>
      </c>
      <c r="G5097" s="11">
        <f t="shared" si="790"/>
        <v>0.2099747018431514</v>
      </c>
      <c r="H5097" s="11">
        <f t="shared" si="791"/>
        <v>14.941800000000002</v>
      </c>
      <c r="I5097" s="11">
        <f t="shared" si="792"/>
        <v>0.27</v>
      </c>
      <c r="J5097" s="12">
        <f t="shared" si="793"/>
        <v>-3.3218000000000032</v>
      </c>
      <c r="K5097" s="17" t="str">
        <f t="shared" si="798"/>
        <v>Ecart négatif</v>
      </c>
      <c r="L5097" s="16">
        <f>base!X5097</f>
        <v>0</v>
      </c>
      <c r="M5097" s="11">
        <f t="shared" si="794"/>
        <v>0</v>
      </c>
      <c r="N5097" s="11">
        <f t="shared" si="795"/>
        <v>0</v>
      </c>
      <c r="O5097" s="11">
        <f t="shared" si="796"/>
        <v>0</v>
      </c>
      <c r="P5097" s="12">
        <f t="shared" si="797"/>
        <v>0</v>
      </c>
      <c r="Q5097" s="17" t="str">
        <f t="shared" si="799"/>
        <v>Pas d'écart</v>
      </c>
    </row>
    <row r="5098" spans="1:18" x14ac:dyDescent="0.3">
      <c r="A5098" s="34">
        <f>base!J5098</f>
        <v>0</v>
      </c>
      <c r="B5098" s="34" t="str">
        <f>base!V5098</f>
        <v>77184</v>
      </c>
      <c r="C5098" s="37">
        <v>77</v>
      </c>
      <c r="D5098" s="36">
        <f>base!H5098</f>
        <v>84.5</v>
      </c>
      <c r="E5098" s="44"/>
      <c r="F5098" s="16">
        <f>base!W5098</f>
        <v>0</v>
      </c>
      <c r="G5098" s="11">
        <f t="shared" si="790"/>
        <v>0</v>
      </c>
      <c r="H5098" s="11">
        <f t="shared" si="791"/>
        <v>0</v>
      </c>
      <c r="I5098" s="11">
        <f t="shared" si="792"/>
        <v>0</v>
      </c>
      <c r="J5098" s="12">
        <f t="shared" si="793"/>
        <v>0</v>
      </c>
      <c r="K5098" s="17" t="str">
        <f t="shared" si="798"/>
        <v>Pas d'écart</v>
      </c>
      <c r="L5098" s="16">
        <f>base!X5098</f>
        <v>0</v>
      </c>
      <c r="M5098" s="11">
        <f t="shared" si="794"/>
        <v>0</v>
      </c>
      <c r="N5098" s="11">
        <f t="shared" si="795"/>
        <v>0</v>
      </c>
      <c r="O5098" s="11">
        <f t="shared" si="796"/>
        <v>0</v>
      </c>
      <c r="P5098" s="12">
        <f t="shared" si="797"/>
        <v>0</v>
      </c>
      <c r="Q5098" s="17" t="str">
        <f t="shared" si="799"/>
        <v>Pas d'écart</v>
      </c>
    </row>
    <row r="5099" spans="1:18" x14ac:dyDescent="0.3">
      <c r="A5099" s="34">
        <f>base!J5099</f>
        <v>0</v>
      </c>
      <c r="B5099" s="34" t="str">
        <f>base!V5099</f>
        <v>77184</v>
      </c>
      <c r="C5099" s="37">
        <v>77</v>
      </c>
      <c r="D5099" s="36">
        <f>base!H5099</f>
        <v>99.1</v>
      </c>
      <c r="E5099" s="44"/>
      <c r="F5099" s="16">
        <f>base!W5099</f>
        <v>0</v>
      </c>
      <c r="G5099" s="11">
        <f t="shared" si="790"/>
        <v>0</v>
      </c>
      <c r="H5099" s="11">
        <f t="shared" si="791"/>
        <v>0</v>
      </c>
      <c r="I5099" s="11">
        <f t="shared" si="792"/>
        <v>0</v>
      </c>
      <c r="J5099" s="12">
        <f t="shared" si="793"/>
        <v>0</v>
      </c>
      <c r="K5099" s="17" t="str">
        <f t="shared" si="798"/>
        <v>Pas d'écart</v>
      </c>
      <c r="L5099" s="16">
        <f>base!X5099</f>
        <v>0</v>
      </c>
      <c r="M5099" s="11">
        <f t="shared" si="794"/>
        <v>0</v>
      </c>
      <c r="N5099" s="11">
        <f t="shared" si="795"/>
        <v>0</v>
      </c>
      <c r="O5099" s="11">
        <f t="shared" si="796"/>
        <v>0</v>
      </c>
      <c r="P5099" s="12">
        <f t="shared" si="797"/>
        <v>0</v>
      </c>
      <c r="Q5099" s="17" t="str">
        <f t="shared" si="799"/>
        <v>Pas d'écart</v>
      </c>
    </row>
    <row r="5100" spans="1:18" x14ac:dyDescent="0.3">
      <c r="A5100" s="34" t="str">
        <f>base!J5100</f>
        <v>DLM</v>
      </c>
      <c r="B5100" s="34" t="str">
        <f>base!V5100</f>
        <v>69800</v>
      </c>
      <c r="C5100" s="37">
        <v>69</v>
      </c>
      <c r="D5100" s="36">
        <f>base!H5100</f>
        <v>151</v>
      </c>
      <c r="E5100" s="44"/>
      <c r="F5100" s="16">
        <f>base!W5100</f>
        <v>0</v>
      </c>
      <c r="G5100" s="11">
        <f t="shared" si="790"/>
        <v>0</v>
      </c>
      <c r="H5100" s="11">
        <f t="shared" si="791"/>
        <v>40.770000000000003</v>
      </c>
      <c r="I5100" s="11">
        <f t="shared" si="792"/>
        <v>0.27</v>
      </c>
      <c r="J5100" s="12">
        <f t="shared" si="793"/>
        <v>-40.770000000000003</v>
      </c>
      <c r="K5100" s="17" t="str">
        <f t="shared" si="798"/>
        <v>Ecart négatif</v>
      </c>
      <c r="L5100" s="16">
        <f>base!X5100</f>
        <v>0</v>
      </c>
      <c r="M5100" s="11">
        <f t="shared" si="794"/>
        <v>0</v>
      </c>
      <c r="N5100" s="11">
        <f t="shared" si="795"/>
        <v>0</v>
      </c>
      <c r="O5100" s="11">
        <f t="shared" si="796"/>
        <v>0</v>
      </c>
      <c r="P5100" s="12">
        <f t="shared" si="797"/>
        <v>0</v>
      </c>
      <c r="Q5100" s="17" t="str">
        <f t="shared" si="799"/>
        <v>Pas d'écart</v>
      </c>
    </row>
    <row r="5101" spans="1:18" x14ac:dyDescent="0.3">
      <c r="A5101" s="34" t="str">
        <f>base!J5101</f>
        <v>LS</v>
      </c>
      <c r="B5101" s="34" t="str">
        <f>base!V5101</f>
        <v>68800</v>
      </c>
      <c r="C5101" s="37">
        <v>44</v>
      </c>
      <c r="D5101" s="36">
        <f>base!H5101</f>
        <v>75.16</v>
      </c>
      <c r="E5101" s="44"/>
      <c r="F5101" s="16">
        <f>base!W5101</f>
        <v>21.8</v>
      </c>
      <c r="G5101" s="11">
        <f t="shared" si="790"/>
        <v>0.29004789781798829</v>
      </c>
      <c r="H5101" s="11">
        <f t="shared" si="791"/>
        <v>20.293199999999999</v>
      </c>
      <c r="I5101" s="11">
        <f t="shared" si="792"/>
        <v>0.27</v>
      </c>
      <c r="J5101" s="12">
        <f t="shared" si="793"/>
        <v>1.5068000000000019</v>
      </c>
      <c r="K5101" s="17" t="str">
        <f t="shared" si="798"/>
        <v>Ecart positif</v>
      </c>
      <c r="L5101" s="16">
        <f>base!X5101</f>
        <v>0</v>
      </c>
      <c r="M5101" s="11">
        <f t="shared" si="794"/>
        <v>0</v>
      </c>
      <c r="N5101" s="11">
        <f t="shared" si="795"/>
        <v>0</v>
      </c>
      <c r="O5101" s="11">
        <f t="shared" si="796"/>
        <v>0</v>
      </c>
      <c r="P5101" s="12">
        <f t="shared" si="797"/>
        <v>0</v>
      </c>
      <c r="Q5101" s="17" t="str">
        <f t="shared" si="799"/>
        <v>Pas d'écart</v>
      </c>
    </row>
    <row r="5102" spans="1:18" x14ac:dyDescent="0.3">
      <c r="A5102" s="34" t="str">
        <f>base!J5102</f>
        <v>LM</v>
      </c>
      <c r="B5102" s="34" t="str">
        <f>base!V5102</f>
        <v>57000</v>
      </c>
      <c r="C5102" s="37">
        <v>7</v>
      </c>
      <c r="D5102" s="36">
        <f>base!H5102</f>
        <v>12</v>
      </c>
      <c r="E5102" s="44"/>
      <c r="F5102" s="16">
        <f>base!W5102</f>
        <v>3</v>
      </c>
      <c r="G5102" s="11">
        <f t="shared" si="790"/>
        <v>0.25</v>
      </c>
      <c r="H5102" s="11">
        <f t="shared" si="791"/>
        <v>3.24</v>
      </c>
      <c r="I5102" s="11">
        <f t="shared" si="792"/>
        <v>0.27</v>
      </c>
      <c r="J5102" s="12">
        <f t="shared" si="793"/>
        <v>-0.24000000000000021</v>
      </c>
      <c r="K5102" s="17" t="str">
        <f t="shared" si="798"/>
        <v>Ecart négatif</v>
      </c>
      <c r="L5102" s="16">
        <f>base!X5102</f>
        <v>0</v>
      </c>
      <c r="M5102" s="11">
        <f t="shared" si="794"/>
        <v>0</v>
      </c>
      <c r="N5102" s="11">
        <f t="shared" si="795"/>
        <v>0</v>
      </c>
      <c r="O5102" s="11">
        <f t="shared" si="796"/>
        <v>0</v>
      </c>
      <c r="P5102" s="12">
        <f t="shared" si="797"/>
        <v>0</v>
      </c>
      <c r="Q5102" s="17" t="str">
        <f t="shared" si="799"/>
        <v>Pas d'écart</v>
      </c>
    </row>
    <row r="5103" spans="1:18" x14ac:dyDescent="0.3">
      <c r="A5103" s="34" t="str">
        <f>base!J5103</f>
        <v>LS</v>
      </c>
      <c r="B5103" s="34" t="str">
        <f>base!V5103</f>
        <v>80000</v>
      </c>
      <c r="C5103" s="37">
        <v>80</v>
      </c>
      <c r="D5103" s="36">
        <f>base!H5103</f>
        <v>60</v>
      </c>
      <c r="E5103" s="44"/>
      <c r="F5103" s="16">
        <f>base!W5103</f>
        <v>11.4</v>
      </c>
      <c r="G5103" s="11">
        <f t="shared" si="790"/>
        <v>0.19</v>
      </c>
      <c r="H5103" s="11">
        <f t="shared" si="791"/>
        <v>11.4</v>
      </c>
      <c r="I5103" s="11">
        <f t="shared" si="792"/>
        <v>0.19</v>
      </c>
      <c r="J5103" s="12">
        <f t="shared" si="793"/>
        <v>0</v>
      </c>
      <c r="K5103" s="17" t="str">
        <f t="shared" si="798"/>
        <v>Pas d'écart</v>
      </c>
      <c r="L5103" s="16">
        <f>base!X5103</f>
        <v>0</v>
      </c>
      <c r="M5103" s="11">
        <f t="shared" si="794"/>
        <v>0</v>
      </c>
      <c r="N5103" s="11">
        <f t="shared" si="795"/>
        <v>0</v>
      </c>
      <c r="O5103" s="11">
        <f t="shared" si="796"/>
        <v>0</v>
      </c>
      <c r="P5103" s="12">
        <f t="shared" si="797"/>
        <v>0</v>
      </c>
      <c r="Q5103" s="17" t="str">
        <f t="shared" si="799"/>
        <v>Pas d'écart</v>
      </c>
    </row>
    <row r="5104" spans="1:18" x14ac:dyDescent="0.3">
      <c r="A5104" s="34">
        <f>base!J5104</f>
        <v>0</v>
      </c>
      <c r="B5104" s="34" t="str">
        <f>base!V5104</f>
        <v>44240</v>
      </c>
      <c r="C5104" s="37">
        <v>44</v>
      </c>
      <c r="D5104" s="36">
        <f>base!H5104</f>
        <v>22.8</v>
      </c>
      <c r="E5104" s="44"/>
      <c r="F5104" s="16">
        <f>base!W5104</f>
        <v>0</v>
      </c>
      <c r="G5104" s="11">
        <f t="shared" si="790"/>
        <v>0</v>
      </c>
      <c r="H5104" s="11">
        <f t="shared" si="791"/>
        <v>6.1560000000000006</v>
      </c>
      <c r="I5104" s="11">
        <f t="shared" si="792"/>
        <v>0.27</v>
      </c>
      <c r="J5104" s="12">
        <f t="shared" si="793"/>
        <v>-6.1560000000000006</v>
      </c>
      <c r="K5104" s="17" t="str">
        <f t="shared" si="798"/>
        <v>Ecart négatif</v>
      </c>
      <c r="L5104" s="16">
        <f>base!X5104</f>
        <v>0</v>
      </c>
      <c r="M5104" s="11">
        <f t="shared" si="794"/>
        <v>0</v>
      </c>
      <c r="N5104" s="11">
        <f t="shared" si="795"/>
        <v>0</v>
      </c>
      <c r="O5104" s="11">
        <f t="shared" si="796"/>
        <v>0</v>
      </c>
      <c r="P5104" s="12">
        <f t="shared" si="797"/>
        <v>0</v>
      </c>
      <c r="Q5104" s="17" t="str">
        <f t="shared" si="799"/>
        <v>Pas d'écart</v>
      </c>
    </row>
    <row r="5105" spans="1:18" x14ac:dyDescent="0.3">
      <c r="A5105" s="34">
        <f>base!J5105</f>
        <v>0</v>
      </c>
      <c r="B5105" s="34" t="str">
        <f>base!V5105</f>
        <v>44240</v>
      </c>
      <c r="C5105" s="37">
        <v>44</v>
      </c>
      <c r="D5105" s="36">
        <f>base!H5105</f>
        <v>31.6</v>
      </c>
      <c r="E5105" s="44"/>
      <c r="F5105" s="16">
        <f>base!W5105</f>
        <v>0</v>
      </c>
      <c r="G5105" s="11">
        <f t="shared" si="790"/>
        <v>0</v>
      </c>
      <c r="H5105" s="11">
        <f t="shared" si="791"/>
        <v>8.5320000000000018</v>
      </c>
      <c r="I5105" s="11">
        <f t="shared" si="792"/>
        <v>0.27</v>
      </c>
      <c r="J5105" s="12">
        <f t="shared" si="793"/>
        <v>-8.5320000000000018</v>
      </c>
      <c r="K5105" s="17" t="str">
        <f t="shared" si="798"/>
        <v>Ecart négatif</v>
      </c>
      <c r="L5105" s="16">
        <f>base!X5105</f>
        <v>0</v>
      </c>
      <c r="M5105" s="11">
        <f t="shared" si="794"/>
        <v>0</v>
      </c>
      <c r="N5105" s="11">
        <f t="shared" si="795"/>
        <v>0</v>
      </c>
      <c r="O5105" s="11">
        <f t="shared" si="796"/>
        <v>0</v>
      </c>
      <c r="P5105" s="12">
        <f t="shared" si="797"/>
        <v>0</v>
      </c>
      <c r="Q5105" s="17" t="str">
        <f t="shared" si="799"/>
        <v>Pas d'écart</v>
      </c>
    </row>
    <row r="5106" spans="1:18" x14ac:dyDescent="0.3">
      <c r="A5106" s="34">
        <f>base!J5106</f>
        <v>0</v>
      </c>
      <c r="B5106" s="34" t="str">
        <f>base!V5106</f>
        <v>77184</v>
      </c>
      <c r="C5106" s="37">
        <v>77</v>
      </c>
      <c r="D5106" s="36">
        <f>base!H5106</f>
        <v>33</v>
      </c>
      <c r="E5106" s="44"/>
      <c r="F5106" s="16">
        <f>base!W5106</f>
        <v>0</v>
      </c>
      <c r="G5106" s="11">
        <f t="shared" si="790"/>
        <v>0</v>
      </c>
      <c r="H5106" s="11">
        <f t="shared" si="791"/>
        <v>0</v>
      </c>
      <c r="I5106" s="11">
        <f t="shared" si="792"/>
        <v>0</v>
      </c>
      <c r="J5106" s="12">
        <f t="shared" si="793"/>
        <v>0</v>
      </c>
      <c r="K5106" s="17" t="str">
        <f t="shared" si="798"/>
        <v>Pas d'écart</v>
      </c>
      <c r="L5106" s="16">
        <f>base!X5106</f>
        <v>0</v>
      </c>
      <c r="M5106" s="11">
        <f t="shared" si="794"/>
        <v>0</v>
      </c>
      <c r="N5106" s="11">
        <f t="shared" si="795"/>
        <v>0</v>
      </c>
      <c r="O5106" s="11">
        <f t="shared" si="796"/>
        <v>0</v>
      </c>
      <c r="P5106" s="12">
        <f t="shared" si="797"/>
        <v>0</v>
      </c>
      <c r="Q5106" s="17" t="str">
        <f t="shared" si="799"/>
        <v>Pas d'écart</v>
      </c>
    </row>
    <row r="5107" spans="1:18" x14ac:dyDescent="0.3">
      <c r="A5107" s="34" t="str">
        <f>base!J5107</f>
        <v>RM</v>
      </c>
      <c r="B5107" s="34" t="str">
        <f>base!V5107</f>
        <v>67000</v>
      </c>
      <c r="C5107" s="37">
        <v>67</v>
      </c>
      <c r="D5107" s="36">
        <f>base!H5107</f>
        <v>22.5</v>
      </c>
      <c r="E5107" s="44"/>
      <c r="F5107" s="16">
        <f>base!W5107</f>
        <v>0</v>
      </c>
      <c r="G5107" s="11">
        <f t="shared" si="790"/>
        <v>0</v>
      </c>
      <c r="H5107" s="11">
        <f t="shared" si="791"/>
        <v>6.5249999999999995</v>
      </c>
      <c r="I5107" s="11">
        <f t="shared" si="792"/>
        <v>0.28999999999999998</v>
      </c>
      <c r="J5107" s="12">
        <f t="shared" si="793"/>
        <v>-6.5249999999999995</v>
      </c>
      <c r="K5107" s="17" t="str">
        <f t="shared" si="798"/>
        <v>Ecart négatif</v>
      </c>
      <c r="L5107" s="16">
        <f>base!X5107</f>
        <v>1.8</v>
      </c>
      <c r="M5107" s="11">
        <f t="shared" si="794"/>
        <v>0.08</v>
      </c>
      <c r="N5107" s="11">
        <f t="shared" si="795"/>
        <v>1.8</v>
      </c>
      <c r="O5107" s="11">
        <f t="shared" si="796"/>
        <v>0.08</v>
      </c>
      <c r="P5107" s="12">
        <f t="shared" si="797"/>
        <v>0</v>
      </c>
      <c r="Q5107" s="17" t="str">
        <f t="shared" si="799"/>
        <v>Pas d'écart</v>
      </c>
      <c r="R5107" s="38"/>
    </row>
    <row r="5108" spans="1:18" x14ac:dyDescent="0.3">
      <c r="A5108" s="34" t="str">
        <f>base!J5108</f>
        <v>DLS</v>
      </c>
      <c r="B5108" s="34" t="str">
        <f>base!V5108</f>
        <v>74000</v>
      </c>
      <c r="C5108" s="37">
        <v>74</v>
      </c>
      <c r="D5108" s="36">
        <f>base!H5108</f>
        <v>73</v>
      </c>
      <c r="E5108" s="44"/>
      <c r="F5108" s="16">
        <f>base!W5108</f>
        <v>0</v>
      </c>
      <c r="G5108" s="11">
        <f t="shared" si="790"/>
        <v>0</v>
      </c>
      <c r="H5108" s="11">
        <f t="shared" si="791"/>
        <v>18.98</v>
      </c>
      <c r="I5108" s="11">
        <f t="shared" si="792"/>
        <v>0.26</v>
      </c>
      <c r="J5108" s="12">
        <f t="shared" si="793"/>
        <v>-18.98</v>
      </c>
      <c r="K5108" s="17" t="str">
        <f t="shared" si="798"/>
        <v>Ecart négatif</v>
      </c>
      <c r="L5108" s="16">
        <f>base!X5108</f>
        <v>0</v>
      </c>
      <c r="M5108" s="11">
        <f t="shared" si="794"/>
        <v>0</v>
      </c>
      <c r="N5108" s="11">
        <f t="shared" si="795"/>
        <v>0</v>
      </c>
      <c r="O5108" s="11">
        <f t="shared" si="796"/>
        <v>0</v>
      </c>
      <c r="P5108" s="12">
        <f t="shared" si="797"/>
        <v>0</v>
      </c>
      <c r="Q5108" s="17" t="str">
        <f t="shared" si="799"/>
        <v>Pas d'écart</v>
      </c>
    </row>
    <row r="5109" spans="1:18" x14ac:dyDescent="0.3">
      <c r="A5109" s="34">
        <f>base!J5109</f>
        <v>0</v>
      </c>
      <c r="B5109" s="34" t="str">
        <f>base!V5109</f>
        <v>77184</v>
      </c>
      <c r="C5109" s="37">
        <v>77</v>
      </c>
      <c r="D5109" s="36">
        <f>base!H5109</f>
        <v>149.58000000000001</v>
      </c>
      <c r="E5109" s="44"/>
      <c r="F5109" s="16">
        <f>base!W5109</f>
        <v>0</v>
      </c>
      <c r="G5109" s="11">
        <f t="shared" si="790"/>
        <v>0</v>
      </c>
      <c r="H5109" s="11">
        <f t="shared" si="791"/>
        <v>0</v>
      </c>
      <c r="I5109" s="11">
        <f t="shared" si="792"/>
        <v>0</v>
      </c>
      <c r="J5109" s="12">
        <f t="shared" si="793"/>
        <v>0</v>
      </c>
      <c r="K5109" s="17" t="str">
        <f t="shared" si="798"/>
        <v>Pas d'écart</v>
      </c>
      <c r="L5109" s="16">
        <f>base!X5109</f>
        <v>0</v>
      </c>
      <c r="M5109" s="11">
        <f t="shared" si="794"/>
        <v>0</v>
      </c>
      <c r="N5109" s="11">
        <f t="shared" si="795"/>
        <v>0</v>
      </c>
      <c r="O5109" s="11">
        <f t="shared" si="796"/>
        <v>0</v>
      </c>
      <c r="P5109" s="12">
        <f t="shared" si="797"/>
        <v>0</v>
      </c>
      <c r="Q5109" s="17" t="str">
        <f t="shared" si="799"/>
        <v>Pas d'écart</v>
      </c>
    </row>
    <row r="5110" spans="1:18" x14ac:dyDescent="0.3">
      <c r="A5110" s="34">
        <f>base!J5110</f>
        <v>0</v>
      </c>
      <c r="B5110" s="34" t="str">
        <f>base!V5110</f>
        <v>77184</v>
      </c>
      <c r="C5110" s="37">
        <v>77</v>
      </c>
      <c r="D5110" s="36">
        <f>base!H5110</f>
        <v>22</v>
      </c>
      <c r="E5110" s="44"/>
      <c r="F5110" s="16">
        <f>base!W5110</f>
        <v>0</v>
      </c>
      <c r="G5110" s="11">
        <f t="shared" si="790"/>
        <v>0</v>
      </c>
      <c r="H5110" s="11">
        <f t="shared" si="791"/>
        <v>0</v>
      </c>
      <c r="I5110" s="11">
        <f t="shared" si="792"/>
        <v>0</v>
      </c>
      <c r="J5110" s="12">
        <f t="shared" si="793"/>
        <v>0</v>
      </c>
      <c r="K5110" s="17" t="str">
        <f t="shared" si="798"/>
        <v>Pas d'écart</v>
      </c>
      <c r="L5110" s="16">
        <f>base!X5110</f>
        <v>0</v>
      </c>
      <c r="M5110" s="11">
        <f t="shared" si="794"/>
        <v>0</v>
      </c>
      <c r="N5110" s="11">
        <f t="shared" si="795"/>
        <v>0</v>
      </c>
      <c r="O5110" s="11">
        <f t="shared" si="796"/>
        <v>0</v>
      </c>
      <c r="P5110" s="12">
        <f t="shared" si="797"/>
        <v>0</v>
      </c>
      <c r="Q5110" s="17" t="str">
        <f t="shared" si="799"/>
        <v>Pas d'écart</v>
      </c>
    </row>
    <row r="5111" spans="1:18" x14ac:dyDescent="0.3">
      <c r="A5111" s="34" t="str">
        <f>base!J5111</f>
        <v>RM</v>
      </c>
      <c r="B5111" s="34" t="str">
        <f>base!V5111</f>
        <v>06190</v>
      </c>
      <c r="C5111" s="37">
        <v>6</v>
      </c>
      <c r="D5111" s="36">
        <f>base!H5111</f>
        <v>92</v>
      </c>
      <c r="E5111" s="44"/>
      <c r="F5111" s="16">
        <f>base!W5111</f>
        <v>0</v>
      </c>
      <c r="G5111" s="11">
        <f t="shared" si="790"/>
        <v>0</v>
      </c>
      <c r="H5111" s="11">
        <f t="shared" si="791"/>
        <v>27.599999999999998</v>
      </c>
      <c r="I5111" s="11">
        <f t="shared" si="792"/>
        <v>0.3</v>
      </c>
      <c r="J5111" s="12">
        <f t="shared" si="793"/>
        <v>-27.599999999999998</v>
      </c>
      <c r="K5111" s="17" t="str">
        <f t="shared" si="798"/>
        <v>Ecart négatif</v>
      </c>
      <c r="L5111" s="16">
        <f>base!X5111</f>
        <v>27.6</v>
      </c>
      <c r="M5111" s="11">
        <f t="shared" si="794"/>
        <v>0.3</v>
      </c>
      <c r="N5111" s="11">
        <f t="shared" si="795"/>
        <v>19.32</v>
      </c>
      <c r="O5111" s="11">
        <f t="shared" si="796"/>
        <v>0.21</v>
      </c>
      <c r="P5111" s="12">
        <f t="shared" si="797"/>
        <v>8.2800000000000011</v>
      </c>
      <c r="Q5111" s="17" t="str">
        <f t="shared" si="799"/>
        <v>Ecart positif</v>
      </c>
      <c r="R5111" s="38"/>
    </row>
    <row r="5112" spans="1:18" x14ac:dyDescent="0.3">
      <c r="A5112" s="34" t="str">
        <f>base!J5112</f>
        <v>RS</v>
      </c>
      <c r="B5112" s="34" t="str">
        <f>base!V5112</f>
        <v>04260</v>
      </c>
      <c r="C5112" s="37">
        <v>4</v>
      </c>
      <c r="D5112" s="36">
        <f>base!H5112</f>
        <v>151</v>
      </c>
      <c r="E5112" s="44"/>
      <c r="F5112" s="16">
        <f>base!W5112</f>
        <v>0</v>
      </c>
      <c r="G5112" s="11">
        <f t="shared" si="790"/>
        <v>0</v>
      </c>
      <c r="H5112" s="11">
        <f t="shared" si="791"/>
        <v>43.79</v>
      </c>
      <c r="I5112" s="11">
        <f t="shared" si="792"/>
        <v>0.28999999999999998</v>
      </c>
      <c r="J5112" s="12">
        <f t="shared" si="793"/>
        <v>-43.79</v>
      </c>
      <c r="K5112" s="17" t="str">
        <f t="shared" si="798"/>
        <v>Ecart négatif</v>
      </c>
      <c r="L5112" s="16">
        <f>base!X5112</f>
        <v>0</v>
      </c>
      <c r="M5112" s="11">
        <f t="shared" si="794"/>
        <v>0</v>
      </c>
      <c r="N5112" s="11">
        <f t="shared" si="795"/>
        <v>28.69</v>
      </c>
      <c r="O5112" s="11">
        <f t="shared" si="796"/>
        <v>0.19</v>
      </c>
      <c r="P5112" s="12">
        <f t="shared" si="797"/>
        <v>-28.69</v>
      </c>
      <c r="Q5112" s="17" t="str">
        <f t="shared" si="799"/>
        <v>Ecart négatif</v>
      </c>
    </row>
    <row r="5113" spans="1:18" x14ac:dyDescent="0.3">
      <c r="A5113" s="34" t="str">
        <f>base!J5113</f>
        <v>RS</v>
      </c>
      <c r="B5113" s="34" t="str">
        <f>base!V5113</f>
        <v>68550</v>
      </c>
      <c r="C5113" s="37">
        <v>68</v>
      </c>
      <c r="D5113" s="36">
        <f>base!H5113</f>
        <v>74.540000000000006</v>
      </c>
      <c r="E5113" s="44"/>
      <c r="F5113" s="16">
        <f>base!W5113</f>
        <v>0</v>
      </c>
      <c r="G5113" s="11">
        <f t="shared" si="790"/>
        <v>0</v>
      </c>
      <c r="H5113" s="11">
        <f t="shared" si="791"/>
        <v>21.616600000000002</v>
      </c>
      <c r="I5113" s="11">
        <f t="shared" si="792"/>
        <v>0.28999999999999998</v>
      </c>
      <c r="J5113" s="12">
        <f t="shared" si="793"/>
        <v>-21.616600000000002</v>
      </c>
      <c r="K5113" s="17" t="str">
        <f t="shared" si="798"/>
        <v>Ecart négatif</v>
      </c>
      <c r="L5113" s="16">
        <f>base!X5113</f>
        <v>0</v>
      </c>
      <c r="M5113" s="11">
        <f t="shared" si="794"/>
        <v>0</v>
      </c>
      <c r="N5113" s="11">
        <f t="shared" si="795"/>
        <v>5.9632000000000005</v>
      </c>
      <c r="O5113" s="11">
        <f t="shared" si="796"/>
        <v>0.08</v>
      </c>
      <c r="P5113" s="12">
        <f t="shared" si="797"/>
        <v>-5.9632000000000005</v>
      </c>
      <c r="Q5113" s="17" t="str">
        <f t="shared" si="799"/>
        <v>Ecart négatif</v>
      </c>
    </row>
    <row r="5114" spans="1:18" x14ac:dyDescent="0.3">
      <c r="A5114" s="34" t="str">
        <f>base!J5114</f>
        <v>LS</v>
      </c>
      <c r="B5114" s="34" t="str">
        <f>base!V5114</f>
        <v>14220</v>
      </c>
      <c r="C5114" s="37">
        <v>35</v>
      </c>
      <c r="D5114" s="36">
        <f>base!H5114</f>
        <v>120.29</v>
      </c>
      <c r="E5114" s="44"/>
      <c r="F5114" s="16">
        <f>base!W5114</f>
        <v>20.45</v>
      </c>
      <c r="G5114" s="11">
        <f t="shared" si="790"/>
        <v>0.17000581927009725</v>
      </c>
      <c r="H5114" s="11">
        <f t="shared" si="791"/>
        <v>32.478300000000004</v>
      </c>
      <c r="I5114" s="11">
        <f t="shared" si="792"/>
        <v>0.27</v>
      </c>
      <c r="J5114" s="12">
        <f t="shared" si="793"/>
        <v>-12.028300000000005</v>
      </c>
      <c r="K5114" s="17" t="str">
        <f t="shared" si="798"/>
        <v>Ecart négatif</v>
      </c>
      <c r="L5114" s="16">
        <f>base!X5114</f>
        <v>0</v>
      </c>
      <c r="M5114" s="11">
        <f t="shared" si="794"/>
        <v>0</v>
      </c>
      <c r="N5114" s="11">
        <f t="shared" si="795"/>
        <v>0</v>
      </c>
      <c r="O5114" s="11">
        <f t="shared" si="796"/>
        <v>0</v>
      </c>
      <c r="P5114" s="12">
        <f t="shared" si="797"/>
        <v>0</v>
      </c>
      <c r="Q5114" s="17" t="str">
        <f t="shared" si="799"/>
        <v>Pas d'écart</v>
      </c>
    </row>
    <row r="5115" spans="1:18" x14ac:dyDescent="0.3">
      <c r="A5115" s="34" t="str">
        <f>base!J5115</f>
        <v>LS</v>
      </c>
      <c r="B5115" s="34" t="str">
        <f>base!V5115</f>
        <v>84000</v>
      </c>
      <c r="C5115" s="37">
        <v>49</v>
      </c>
      <c r="D5115" s="36">
        <f>base!H5115</f>
        <v>58.35</v>
      </c>
      <c r="E5115" s="44"/>
      <c r="F5115" s="16">
        <f>base!W5115</f>
        <v>16.920000000000002</v>
      </c>
      <c r="G5115" s="11">
        <f t="shared" si="790"/>
        <v>0.28997429305912598</v>
      </c>
      <c r="H5115" s="11">
        <f t="shared" si="791"/>
        <v>15.754500000000002</v>
      </c>
      <c r="I5115" s="11">
        <f t="shared" si="792"/>
        <v>0.27</v>
      </c>
      <c r="J5115" s="12">
        <f t="shared" si="793"/>
        <v>1.1654999999999998</v>
      </c>
      <c r="K5115" s="17" t="str">
        <f t="shared" si="798"/>
        <v>Ecart positif</v>
      </c>
      <c r="L5115" s="16">
        <f>base!X5115</f>
        <v>0</v>
      </c>
      <c r="M5115" s="11">
        <f t="shared" si="794"/>
        <v>0</v>
      </c>
      <c r="N5115" s="11">
        <f t="shared" si="795"/>
        <v>0</v>
      </c>
      <c r="O5115" s="11">
        <f t="shared" si="796"/>
        <v>0</v>
      </c>
      <c r="P5115" s="12">
        <f t="shared" si="797"/>
        <v>0</v>
      </c>
      <c r="Q5115" s="17" t="str">
        <f t="shared" si="799"/>
        <v>Pas d'écart</v>
      </c>
    </row>
    <row r="5116" spans="1:18" x14ac:dyDescent="0.3">
      <c r="A5116" s="34" t="str">
        <f>base!J5116</f>
        <v>LS</v>
      </c>
      <c r="B5116" s="34" t="str">
        <f>base!V5116</f>
        <v>75014</v>
      </c>
      <c r="C5116" s="37">
        <v>75</v>
      </c>
      <c r="D5116" s="36">
        <f>base!H5116</f>
        <v>107.6</v>
      </c>
      <c r="E5116" s="44"/>
      <c r="F5116" s="16">
        <f>base!W5116</f>
        <v>0</v>
      </c>
      <c r="G5116" s="11">
        <f t="shared" si="790"/>
        <v>0</v>
      </c>
      <c r="H5116" s="11">
        <f t="shared" si="791"/>
        <v>0</v>
      </c>
      <c r="I5116" s="11">
        <f t="shared" si="792"/>
        <v>0</v>
      </c>
      <c r="J5116" s="12">
        <f t="shared" si="793"/>
        <v>0</v>
      </c>
      <c r="K5116" s="17" t="str">
        <f t="shared" si="798"/>
        <v>Pas d'écart</v>
      </c>
      <c r="L5116" s="16">
        <f>base!X5116</f>
        <v>0</v>
      </c>
      <c r="M5116" s="11">
        <f t="shared" si="794"/>
        <v>0</v>
      </c>
      <c r="N5116" s="11">
        <f t="shared" si="795"/>
        <v>0</v>
      </c>
      <c r="O5116" s="11">
        <f t="shared" si="796"/>
        <v>0</v>
      </c>
      <c r="P5116" s="12">
        <f t="shared" si="797"/>
        <v>0</v>
      </c>
      <c r="Q5116" s="17" t="str">
        <f t="shared" si="799"/>
        <v>Pas d'écart</v>
      </c>
    </row>
    <row r="5117" spans="1:18" x14ac:dyDescent="0.3">
      <c r="A5117" s="34" t="str">
        <f>base!J5117</f>
        <v>LM</v>
      </c>
      <c r="B5117" s="34" t="str">
        <f>base!V5117</f>
        <v>67000</v>
      </c>
      <c r="C5117" s="37">
        <v>44</v>
      </c>
      <c r="D5117" s="36">
        <f>base!H5117</f>
        <v>174.15</v>
      </c>
      <c r="E5117" s="44"/>
      <c r="F5117" s="16">
        <f>base!W5117</f>
        <v>50.5</v>
      </c>
      <c r="G5117" s="11">
        <f t="shared" si="790"/>
        <v>0.28997990238300314</v>
      </c>
      <c r="H5117" s="11">
        <f t="shared" si="791"/>
        <v>47.020500000000006</v>
      </c>
      <c r="I5117" s="11">
        <f t="shared" si="792"/>
        <v>0.27</v>
      </c>
      <c r="J5117" s="12">
        <f t="shared" si="793"/>
        <v>3.4794999999999945</v>
      </c>
      <c r="K5117" s="17" t="str">
        <f t="shared" si="798"/>
        <v>Ecart positif</v>
      </c>
      <c r="L5117" s="16">
        <f>base!X5117</f>
        <v>0</v>
      </c>
      <c r="M5117" s="11">
        <f t="shared" si="794"/>
        <v>0</v>
      </c>
      <c r="N5117" s="11">
        <f t="shared" si="795"/>
        <v>0</v>
      </c>
      <c r="O5117" s="11">
        <f t="shared" si="796"/>
        <v>0</v>
      </c>
      <c r="P5117" s="12">
        <f t="shared" si="797"/>
        <v>0</v>
      </c>
      <c r="Q5117" s="17" t="str">
        <f t="shared" si="799"/>
        <v>Pas d'écart</v>
      </c>
    </row>
    <row r="5118" spans="1:18" x14ac:dyDescent="0.3">
      <c r="A5118" s="34" t="str">
        <f>base!J5118</f>
        <v>LM</v>
      </c>
      <c r="B5118" s="34" t="str">
        <f>base!V5118</f>
        <v>69800</v>
      </c>
      <c r="C5118" s="37">
        <v>74</v>
      </c>
      <c r="D5118" s="36">
        <f>base!H5118</f>
        <v>136.97999999999999</v>
      </c>
      <c r="E5118" s="44"/>
      <c r="F5118" s="16">
        <f>base!W5118</f>
        <v>36.979999999999997</v>
      </c>
      <c r="G5118" s="11">
        <f t="shared" si="790"/>
        <v>0.26996641845524894</v>
      </c>
      <c r="H5118" s="11">
        <f t="shared" si="791"/>
        <v>35.614799999999995</v>
      </c>
      <c r="I5118" s="11">
        <f t="shared" si="792"/>
        <v>0.26</v>
      </c>
      <c r="J5118" s="12">
        <f t="shared" si="793"/>
        <v>1.3652000000000015</v>
      </c>
      <c r="K5118" s="17" t="str">
        <f t="shared" si="798"/>
        <v>Ecart positif</v>
      </c>
      <c r="L5118" s="16">
        <f>base!X5118</f>
        <v>0</v>
      </c>
      <c r="M5118" s="11">
        <f t="shared" si="794"/>
        <v>0</v>
      </c>
      <c r="N5118" s="11">
        <f t="shared" si="795"/>
        <v>0</v>
      </c>
      <c r="O5118" s="11">
        <f t="shared" si="796"/>
        <v>0</v>
      </c>
      <c r="P5118" s="12">
        <f t="shared" si="797"/>
        <v>0</v>
      </c>
      <c r="Q5118" s="17" t="str">
        <f t="shared" si="799"/>
        <v>Pas d'écart</v>
      </c>
    </row>
    <row r="5119" spans="1:18" x14ac:dyDescent="0.3">
      <c r="A5119" s="34">
        <f>base!J5119</f>
        <v>0</v>
      </c>
      <c r="B5119" s="34" t="str">
        <f>base!V5119</f>
        <v>44240</v>
      </c>
      <c r="C5119" s="37">
        <v>44</v>
      </c>
      <c r="D5119" s="36">
        <f>base!H5119</f>
        <v>134.4</v>
      </c>
      <c r="E5119" s="44"/>
      <c r="F5119" s="16">
        <f>base!W5119</f>
        <v>0</v>
      </c>
      <c r="G5119" s="11">
        <f t="shared" si="790"/>
        <v>0</v>
      </c>
      <c r="H5119" s="11">
        <f t="shared" si="791"/>
        <v>36.288000000000004</v>
      </c>
      <c r="I5119" s="11">
        <f t="shared" si="792"/>
        <v>0.27</v>
      </c>
      <c r="J5119" s="12">
        <f t="shared" si="793"/>
        <v>-36.288000000000004</v>
      </c>
      <c r="K5119" s="17" t="str">
        <f t="shared" si="798"/>
        <v>Ecart négatif</v>
      </c>
      <c r="L5119" s="16">
        <f>base!X5119</f>
        <v>0</v>
      </c>
      <c r="M5119" s="11">
        <f t="shared" si="794"/>
        <v>0</v>
      </c>
      <c r="N5119" s="11">
        <f t="shared" si="795"/>
        <v>0</v>
      </c>
      <c r="O5119" s="11">
        <f t="shared" si="796"/>
        <v>0</v>
      </c>
      <c r="P5119" s="12">
        <f t="shared" si="797"/>
        <v>0</v>
      </c>
      <c r="Q5119" s="17" t="str">
        <f t="shared" si="799"/>
        <v>Pas d'écart</v>
      </c>
    </row>
    <row r="5120" spans="1:18" x14ac:dyDescent="0.3">
      <c r="A5120" s="34" t="str">
        <f>base!J5120</f>
        <v>RM</v>
      </c>
      <c r="B5120" s="34" t="str">
        <f>base!V5120</f>
        <v>59410</v>
      </c>
      <c r="C5120" s="37">
        <v>59</v>
      </c>
      <c r="D5120" s="36">
        <f>base!H5120</f>
        <v>40</v>
      </c>
      <c r="E5120" s="44"/>
      <c r="F5120" s="16">
        <f>base!W5120</f>
        <v>0</v>
      </c>
      <c r="G5120" s="11">
        <f t="shared" si="790"/>
        <v>0</v>
      </c>
      <c r="H5120" s="11">
        <f t="shared" si="791"/>
        <v>7.6</v>
      </c>
      <c r="I5120" s="11">
        <f t="shared" si="792"/>
        <v>0.19</v>
      </c>
      <c r="J5120" s="12">
        <f t="shared" si="793"/>
        <v>-7.6</v>
      </c>
      <c r="K5120" s="17" t="str">
        <f t="shared" si="798"/>
        <v>Ecart négatif</v>
      </c>
      <c r="L5120" s="16">
        <f>base!X5120</f>
        <v>0</v>
      </c>
      <c r="M5120" s="11">
        <f t="shared" si="794"/>
        <v>0</v>
      </c>
      <c r="N5120" s="11">
        <f t="shared" si="795"/>
        <v>0</v>
      </c>
      <c r="O5120" s="11">
        <f t="shared" si="796"/>
        <v>0</v>
      </c>
      <c r="P5120" s="12">
        <f t="shared" si="797"/>
        <v>0</v>
      </c>
      <c r="Q5120" s="17" t="str">
        <f t="shared" si="799"/>
        <v>Pas d'écart</v>
      </c>
    </row>
    <row r="5121" spans="1:18" x14ac:dyDescent="0.3">
      <c r="A5121" s="34" t="str">
        <f>base!J5121</f>
        <v>DLS</v>
      </c>
      <c r="B5121" s="34" t="str">
        <f>base!V5121</f>
        <v>51100</v>
      </c>
      <c r="C5121" s="37">
        <v>51</v>
      </c>
      <c r="D5121" s="36">
        <f>base!H5121</f>
        <v>0</v>
      </c>
      <c r="E5121" s="44"/>
      <c r="F5121" s="16">
        <f>base!W5121</f>
        <v>0</v>
      </c>
      <c r="G5121" s="11" t="e">
        <f t="shared" si="790"/>
        <v>#DIV/0!</v>
      </c>
      <c r="H5121" s="11">
        <f t="shared" si="791"/>
        <v>0</v>
      </c>
      <c r="I5121" s="11" t="e">
        <f t="shared" si="792"/>
        <v>#DIV/0!</v>
      </c>
      <c r="J5121" s="12">
        <f t="shared" si="793"/>
        <v>0</v>
      </c>
      <c r="K5121" s="17" t="str">
        <f t="shared" si="798"/>
        <v>Pas d'écart</v>
      </c>
      <c r="L5121" s="16">
        <f>base!X5121</f>
        <v>0</v>
      </c>
      <c r="M5121" s="11" t="e">
        <f t="shared" si="794"/>
        <v>#DIV/0!</v>
      </c>
      <c r="N5121" s="11">
        <f t="shared" si="795"/>
        <v>0</v>
      </c>
      <c r="O5121" s="11" t="e">
        <f t="shared" si="796"/>
        <v>#DIV/0!</v>
      </c>
      <c r="P5121" s="12">
        <f t="shared" si="797"/>
        <v>0</v>
      </c>
      <c r="Q5121" s="17" t="str">
        <f t="shared" si="799"/>
        <v>Pas d'écart</v>
      </c>
    </row>
    <row r="5122" spans="1:18" x14ac:dyDescent="0.3">
      <c r="A5122" s="34" t="str">
        <f>base!J5122</f>
        <v>DRS</v>
      </c>
      <c r="B5122" s="34" t="str">
        <f>base!V5122</f>
        <v>35680</v>
      </c>
      <c r="C5122" s="37">
        <v>35</v>
      </c>
      <c r="D5122" s="36">
        <f>base!H5122</f>
        <v>188.26</v>
      </c>
      <c r="E5122" s="44"/>
      <c r="F5122" s="16">
        <f>base!W5122</f>
        <v>0</v>
      </c>
      <c r="G5122" s="11">
        <f t="shared" ref="G5122:G5185" si="800">F5122/D5122</f>
        <v>0</v>
      </c>
      <c r="H5122" s="11">
        <f t="shared" ref="H5122:H5185" si="801">VLOOKUP(C5122,tout_cout_traction,2,FALSE)*D5122</f>
        <v>50.830199999999998</v>
      </c>
      <c r="I5122" s="11">
        <f t="shared" ref="I5122:I5185" si="802">H5122/D5122</f>
        <v>0.27</v>
      </c>
      <c r="J5122" s="12">
        <f t="shared" ref="J5122:J5185" si="803">F5122-H5122</f>
        <v>-50.830199999999998</v>
      </c>
      <c r="K5122" s="17" t="str">
        <f t="shared" si="798"/>
        <v>Ecart négatif</v>
      </c>
      <c r="L5122" s="16">
        <f>base!X5122</f>
        <v>0</v>
      </c>
      <c r="M5122" s="11">
        <f t="shared" ref="M5122:M5185" si="804">L5122/D5122</f>
        <v>0</v>
      </c>
      <c r="N5122" s="11">
        <f t="shared" ref="N5122:N5185" si="805">VLOOKUP(C5122,tout_cout_traction,3,FALSE)*D5122</f>
        <v>0</v>
      </c>
      <c r="O5122" s="11">
        <f t="shared" ref="O5122:O5185" si="806">N5122/D5122</f>
        <v>0</v>
      </c>
      <c r="P5122" s="12">
        <f t="shared" ref="P5122:P5185" si="807">L5122-N5122</f>
        <v>0</v>
      </c>
      <c r="Q5122" s="17" t="str">
        <f t="shared" si="799"/>
        <v>Pas d'écart</v>
      </c>
    </row>
    <row r="5123" spans="1:18" x14ac:dyDescent="0.3">
      <c r="A5123" s="34" t="str">
        <f>base!J5123</f>
        <v>LS</v>
      </c>
      <c r="B5123" s="34" t="str">
        <f>base!V5123</f>
        <v>63110</v>
      </c>
      <c r="C5123" s="37">
        <v>63</v>
      </c>
      <c r="D5123" s="36">
        <f>base!H5123</f>
        <v>40</v>
      </c>
      <c r="E5123" s="44"/>
      <c r="F5123" s="16">
        <f>base!W5123</f>
        <v>11.6</v>
      </c>
      <c r="G5123" s="11">
        <f t="shared" si="800"/>
        <v>0.28999999999999998</v>
      </c>
      <c r="H5123" s="11">
        <f t="shared" si="801"/>
        <v>11.6</v>
      </c>
      <c r="I5123" s="11">
        <f t="shared" si="802"/>
        <v>0.28999999999999998</v>
      </c>
      <c r="J5123" s="12">
        <f t="shared" si="803"/>
        <v>0</v>
      </c>
      <c r="K5123" s="17" t="str">
        <f t="shared" ref="K5123:K5186" si="808">IF(H5123=F5123,"Pas d'écart",IF(H5123&lt;F5123,"Ecart positif",IF(H5123&gt;F5123,"Ecart négatif")))</f>
        <v>Pas d'écart</v>
      </c>
      <c r="L5123" s="16">
        <f>base!X5123</f>
        <v>0</v>
      </c>
      <c r="M5123" s="11">
        <f t="shared" si="804"/>
        <v>0</v>
      </c>
      <c r="N5123" s="11">
        <f t="shared" si="805"/>
        <v>4.8</v>
      </c>
      <c r="O5123" s="11">
        <f t="shared" si="806"/>
        <v>0.12</v>
      </c>
      <c r="P5123" s="12">
        <f t="shared" si="807"/>
        <v>-4.8</v>
      </c>
      <c r="Q5123" s="17" t="str">
        <f t="shared" ref="Q5123:Q5186" si="809">IF(N5123=L5123,"Pas d'écart",IF(N5123&lt;L5123,"Ecart positif",IF(N5123&gt;L5123,"Ecart négatif")))</f>
        <v>Ecart négatif</v>
      </c>
    </row>
    <row r="5124" spans="1:18" x14ac:dyDescent="0.3">
      <c r="A5124" s="34" t="str">
        <f>base!J5124</f>
        <v>LS</v>
      </c>
      <c r="B5124" s="34" t="str">
        <f>base!V5124</f>
        <v>13128</v>
      </c>
      <c r="C5124" s="37">
        <v>44</v>
      </c>
      <c r="D5124" s="36">
        <f>base!H5124</f>
        <v>194.98</v>
      </c>
      <c r="E5124" s="44"/>
      <c r="F5124" s="16">
        <f>base!W5124</f>
        <v>56.54</v>
      </c>
      <c r="G5124" s="11">
        <f t="shared" si="800"/>
        <v>0.289978459329162</v>
      </c>
      <c r="H5124" s="11">
        <f t="shared" si="801"/>
        <v>52.644600000000004</v>
      </c>
      <c r="I5124" s="11">
        <f t="shared" si="802"/>
        <v>0.27</v>
      </c>
      <c r="J5124" s="12">
        <f t="shared" si="803"/>
        <v>3.8953999999999951</v>
      </c>
      <c r="K5124" s="17" t="str">
        <f t="shared" si="808"/>
        <v>Ecart positif</v>
      </c>
      <c r="L5124" s="16">
        <f>base!X5124</f>
        <v>0</v>
      </c>
      <c r="M5124" s="11">
        <f t="shared" si="804"/>
        <v>0</v>
      </c>
      <c r="N5124" s="11">
        <f t="shared" si="805"/>
        <v>0</v>
      </c>
      <c r="O5124" s="11">
        <f t="shared" si="806"/>
        <v>0</v>
      </c>
      <c r="P5124" s="12">
        <f t="shared" si="807"/>
        <v>0</v>
      </c>
      <c r="Q5124" s="17" t="str">
        <f t="shared" si="809"/>
        <v>Pas d'écart</v>
      </c>
    </row>
    <row r="5125" spans="1:18" x14ac:dyDescent="0.3">
      <c r="A5125" s="34" t="str">
        <f>base!J5125</f>
        <v>DLM</v>
      </c>
      <c r="B5125" s="34" t="str">
        <f>base!V5125</f>
        <v>44800</v>
      </c>
      <c r="C5125" s="37">
        <v>44</v>
      </c>
      <c r="D5125" s="36">
        <f>base!H5125</f>
        <v>172.66</v>
      </c>
      <c r="E5125" s="44"/>
      <c r="F5125" s="16">
        <f>base!W5125</f>
        <v>0</v>
      </c>
      <c r="G5125" s="11">
        <f t="shared" si="800"/>
        <v>0</v>
      </c>
      <c r="H5125" s="11">
        <f t="shared" si="801"/>
        <v>46.618200000000002</v>
      </c>
      <c r="I5125" s="11">
        <f t="shared" si="802"/>
        <v>0.27</v>
      </c>
      <c r="J5125" s="12">
        <f t="shared" si="803"/>
        <v>-46.618200000000002</v>
      </c>
      <c r="K5125" s="17" t="str">
        <f t="shared" si="808"/>
        <v>Ecart négatif</v>
      </c>
      <c r="L5125" s="16">
        <f>base!X5125</f>
        <v>0</v>
      </c>
      <c r="M5125" s="11">
        <f t="shared" si="804"/>
        <v>0</v>
      </c>
      <c r="N5125" s="11">
        <f t="shared" si="805"/>
        <v>0</v>
      </c>
      <c r="O5125" s="11">
        <f t="shared" si="806"/>
        <v>0</v>
      </c>
      <c r="P5125" s="12">
        <f t="shared" si="807"/>
        <v>0</v>
      </c>
      <c r="Q5125" s="17" t="str">
        <f t="shared" si="809"/>
        <v>Pas d'écart</v>
      </c>
    </row>
    <row r="5126" spans="1:18" x14ac:dyDescent="0.3">
      <c r="A5126" s="34">
        <f>base!J5126</f>
        <v>0</v>
      </c>
      <c r="B5126" s="34" t="str">
        <f>base!V5126</f>
        <v>77184</v>
      </c>
      <c r="C5126" s="37">
        <v>77</v>
      </c>
      <c r="D5126" s="36">
        <f>base!H5126</f>
        <v>99.5</v>
      </c>
      <c r="E5126" s="44"/>
      <c r="F5126" s="16">
        <f>base!W5126</f>
        <v>0</v>
      </c>
      <c r="G5126" s="11">
        <f t="shared" si="800"/>
        <v>0</v>
      </c>
      <c r="H5126" s="11">
        <f t="shared" si="801"/>
        <v>0</v>
      </c>
      <c r="I5126" s="11">
        <f t="shared" si="802"/>
        <v>0</v>
      </c>
      <c r="J5126" s="12">
        <f t="shared" si="803"/>
        <v>0</v>
      </c>
      <c r="K5126" s="17" t="str">
        <f t="shared" si="808"/>
        <v>Pas d'écart</v>
      </c>
      <c r="L5126" s="16">
        <f>base!X5126</f>
        <v>0</v>
      </c>
      <c r="M5126" s="11">
        <f t="shared" si="804"/>
        <v>0</v>
      </c>
      <c r="N5126" s="11">
        <f t="shared" si="805"/>
        <v>0</v>
      </c>
      <c r="O5126" s="11">
        <f t="shared" si="806"/>
        <v>0</v>
      </c>
      <c r="P5126" s="12">
        <f t="shared" si="807"/>
        <v>0</v>
      </c>
      <c r="Q5126" s="17" t="str">
        <f t="shared" si="809"/>
        <v>Pas d'écart</v>
      </c>
    </row>
    <row r="5127" spans="1:18" x14ac:dyDescent="0.3">
      <c r="A5127" s="34" t="str">
        <f>base!J5127</f>
        <v>LM</v>
      </c>
      <c r="B5127" s="34" t="str">
        <f>base!V5127</f>
        <v>75009</v>
      </c>
      <c r="C5127" s="37">
        <v>75</v>
      </c>
      <c r="D5127" s="36">
        <f>base!H5127</f>
        <v>141.65</v>
      </c>
      <c r="E5127" s="44"/>
      <c r="F5127" s="16">
        <f>base!W5127</f>
        <v>0</v>
      </c>
      <c r="G5127" s="11">
        <f t="shared" si="800"/>
        <v>0</v>
      </c>
      <c r="H5127" s="11">
        <f t="shared" si="801"/>
        <v>0</v>
      </c>
      <c r="I5127" s="11">
        <f t="shared" si="802"/>
        <v>0</v>
      </c>
      <c r="J5127" s="12">
        <f t="shared" si="803"/>
        <v>0</v>
      </c>
      <c r="K5127" s="17" t="str">
        <f t="shared" si="808"/>
        <v>Pas d'écart</v>
      </c>
      <c r="L5127" s="16">
        <f>base!X5127</f>
        <v>0</v>
      </c>
      <c r="M5127" s="11">
        <f t="shared" si="804"/>
        <v>0</v>
      </c>
      <c r="N5127" s="11">
        <f t="shared" si="805"/>
        <v>0</v>
      </c>
      <c r="O5127" s="11">
        <f t="shared" si="806"/>
        <v>0</v>
      </c>
      <c r="P5127" s="12">
        <f t="shared" si="807"/>
        <v>0</v>
      </c>
      <c r="Q5127" s="17" t="str">
        <f t="shared" si="809"/>
        <v>Pas d'écart</v>
      </c>
    </row>
    <row r="5128" spans="1:18" x14ac:dyDescent="0.3">
      <c r="A5128" s="34" t="str">
        <f>base!J5128</f>
        <v>LM</v>
      </c>
      <c r="B5128" s="34" t="str">
        <f>base!V5128</f>
        <v>75014</v>
      </c>
      <c r="C5128" s="37">
        <v>75</v>
      </c>
      <c r="D5128" s="36">
        <f>base!H5128</f>
        <v>19.649999999999999</v>
      </c>
      <c r="E5128" s="44"/>
      <c r="F5128" s="16">
        <f>base!W5128</f>
        <v>0</v>
      </c>
      <c r="G5128" s="11">
        <f t="shared" si="800"/>
        <v>0</v>
      </c>
      <c r="H5128" s="11">
        <f t="shared" si="801"/>
        <v>0</v>
      </c>
      <c r="I5128" s="11">
        <f t="shared" si="802"/>
        <v>0</v>
      </c>
      <c r="J5128" s="12">
        <f t="shared" si="803"/>
        <v>0</v>
      </c>
      <c r="K5128" s="17" t="str">
        <f t="shared" si="808"/>
        <v>Pas d'écart</v>
      </c>
      <c r="L5128" s="16">
        <f>base!X5128</f>
        <v>0</v>
      </c>
      <c r="M5128" s="11">
        <f t="shared" si="804"/>
        <v>0</v>
      </c>
      <c r="N5128" s="11">
        <f t="shared" si="805"/>
        <v>0</v>
      </c>
      <c r="O5128" s="11">
        <f t="shared" si="806"/>
        <v>0</v>
      </c>
      <c r="P5128" s="12">
        <f t="shared" si="807"/>
        <v>0</v>
      </c>
      <c r="Q5128" s="17" t="str">
        <f t="shared" si="809"/>
        <v>Pas d'écart</v>
      </c>
    </row>
    <row r="5129" spans="1:18" x14ac:dyDescent="0.3">
      <c r="A5129" s="34" t="str">
        <f>base!J5129</f>
        <v>LM</v>
      </c>
      <c r="B5129" s="34" t="str">
        <f>base!V5129</f>
        <v>75014</v>
      </c>
      <c r="C5129" s="37">
        <v>75</v>
      </c>
      <c r="D5129" s="36">
        <f>base!H5129</f>
        <v>19.649999999999999</v>
      </c>
      <c r="E5129" s="44"/>
      <c r="F5129" s="16">
        <f>base!W5129</f>
        <v>0</v>
      </c>
      <c r="G5129" s="11">
        <f t="shared" si="800"/>
        <v>0</v>
      </c>
      <c r="H5129" s="11">
        <f t="shared" si="801"/>
        <v>0</v>
      </c>
      <c r="I5129" s="11">
        <f t="shared" si="802"/>
        <v>0</v>
      </c>
      <c r="J5129" s="12">
        <f t="shared" si="803"/>
        <v>0</v>
      </c>
      <c r="K5129" s="17" t="str">
        <f t="shared" si="808"/>
        <v>Pas d'écart</v>
      </c>
      <c r="L5129" s="16">
        <f>base!X5129</f>
        <v>0</v>
      </c>
      <c r="M5129" s="11">
        <f t="shared" si="804"/>
        <v>0</v>
      </c>
      <c r="N5129" s="11">
        <f t="shared" si="805"/>
        <v>0</v>
      </c>
      <c r="O5129" s="11">
        <f t="shared" si="806"/>
        <v>0</v>
      </c>
      <c r="P5129" s="12">
        <f t="shared" si="807"/>
        <v>0</v>
      </c>
      <c r="Q5129" s="17" t="str">
        <f t="shared" si="809"/>
        <v>Pas d'écart</v>
      </c>
    </row>
    <row r="5130" spans="1:18" x14ac:dyDescent="0.3">
      <c r="A5130" s="34" t="str">
        <f>base!J5130</f>
        <v>LM</v>
      </c>
      <c r="B5130" s="34" t="str">
        <f>base!V5130</f>
        <v>75014</v>
      </c>
      <c r="C5130" s="37">
        <v>75</v>
      </c>
      <c r="D5130" s="36">
        <f>base!H5130</f>
        <v>137.59</v>
      </c>
      <c r="E5130" s="44"/>
      <c r="F5130" s="16">
        <f>base!W5130</f>
        <v>0</v>
      </c>
      <c r="G5130" s="11">
        <f t="shared" si="800"/>
        <v>0</v>
      </c>
      <c r="H5130" s="11">
        <f t="shared" si="801"/>
        <v>0</v>
      </c>
      <c r="I5130" s="11">
        <f t="shared" si="802"/>
        <v>0</v>
      </c>
      <c r="J5130" s="12">
        <f t="shared" si="803"/>
        <v>0</v>
      </c>
      <c r="K5130" s="17" t="str">
        <f t="shared" si="808"/>
        <v>Pas d'écart</v>
      </c>
      <c r="L5130" s="16">
        <f>base!X5130</f>
        <v>0</v>
      </c>
      <c r="M5130" s="11">
        <f t="shared" si="804"/>
        <v>0</v>
      </c>
      <c r="N5130" s="11">
        <f t="shared" si="805"/>
        <v>0</v>
      </c>
      <c r="O5130" s="11">
        <f t="shared" si="806"/>
        <v>0</v>
      </c>
      <c r="P5130" s="12">
        <f t="shared" si="807"/>
        <v>0</v>
      </c>
      <c r="Q5130" s="17" t="str">
        <f t="shared" si="809"/>
        <v>Pas d'écart</v>
      </c>
    </row>
    <row r="5131" spans="1:18" x14ac:dyDescent="0.3">
      <c r="A5131" s="34" t="str">
        <f>base!J5131</f>
        <v>LS</v>
      </c>
      <c r="B5131" s="34" t="str">
        <f>base!V5131</f>
        <v>64600</v>
      </c>
      <c r="C5131" s="37">
        <v>38</v>
      </c>
      <c r="D5131" s="36">
        <f>base!H5131</f>
        <v>138.12</v>
      </c>
      <c r="E5131" s="44"/>
      <c r="F5131" s="16">
        <f>base!W5131</f>
        <v>29.01</v>
      </c>
      <c r="G5131" s="11">
        <f t="shared" si="800"/>
        <v>0.21003475238922675</v>
      </c>
      <c r="H5131" s="11">
        <f t="shared" si="801"/>
        <v>37.292400000000001</v>
      </c>
      <c r="I5131" s="11">
        <f t="shared" si="802"/>
        <v>0.27</v>
      </c>
      <c r="J5131" s="12">
        <f t="shared" si="803"/>
        <v>-8.2823999999999991</v>
      </c>
      <c r="K5131" s="17" t="str">
        <f t="shared" si="808"/>
        <v>Ecart négatif</v>
      </c>
      <c r="L5131" s="16">
        <f>base!X5131</f>
        <v>0</v>
      </c>
      <c r="M5131" s="11">
        <f t="shared" si="804"/>
        <v>0</v>
      </c>
      <c r="N5131" s="11">
        <f t="shared" si="805"/>
        <v>0</v>
      </c>
      <c r="O5131" s="11">
        <f t="shared" si="806"/>
        <v>0</v>
      </c>
      <c r="P5131" s="12">
        <f t="shared" si="807"/>
        <v>0</v>
      </c>
      <c r="Q5131" s="17" t="str">
        <f t="shared" si="809"/>
        <v>Pas d'écart</v>
      </c>
    </row>
    <row r="5132" spans="1:18" x14ac:dyDescent="0.3">
      <c r="A5132" s="34" t="str">
        <f>base!J5132</f>
        <v>RM</v>
      </c>
      <c r="B5132" s="34" t="str">
        <f>base!V5132</f>
        <v>62740</v>
      </c>
      <c r="C5132" s="37">
        <v>62</v>
      </c>
      <c r="D5132" s="36">
        <f>base!H5132</f>
        <v>140</v>
      </c>
      <c r="E5132" s="44"/>
      <c r="F5132" s="16">
        <f>base!W5132</f>
        <v>0</v>
      </c>
      <c r="G5132" s="11">
        <f t="shared" si="800"/>
        <v>0</v>
      </c>
      <c r="H5132" s="11">
        <f t="shared" si="801"/>
        <v>26.6</v>
      </c>
      <c r="I5132" s="11">
        <f t="shared" si="802"/>
        <v>0.19</v>
      </c>
      <c r="J5132" s="12">
        <f t="shared" si="803"/>
        <v>-26.6</v>
      </c>
      <c r="K5132" s="17" t="str">
        <f t="shared" si="808"/>
        <v>Ecart négatif</v>
      </c>
      <c r="L5132" s="16">
        <f>base!X5132</f>
        <v>0</v>
      </c>
      <c r="M5132" s="11">
        <f t="shared" si="804"/>
        <v>0</v>
      </c>
      <c r="N5132" s="11">
        <f t="shared" si="805"/>
        <v>0</v>
      </c>
      <c r="O5132" s="11">
        <f t="shared" si="806"/>
        <v>0</v>
      </c>
      <c r="P5132" s="12">
        <f t="shared" si="807"/>
        <v>0</v>
      </c>
      <c r="Q5132" s="17" t="str">
        <f t="shared" si="809"/>
        <v>Pas d'écart</v>
      </c>
    </row>
    <row r="5133" spans="1:18" x14ac:dyDescent="0.3">
      <c r="A5133" s="34" t="str">
        <f>base!J5133</f>
        <v>LM</v>
      </c>
      <c r="B5133" s="34" t="str">
        <f>base!V5133</f>
        <v>17350</v>
      </c>
      <c r="C5133" s="37">
        <v>69</v>
      </c>
      <c r="D5133" s="36">
        <f>base!H5133</f>
        <v>30</v>
      </c>
      <c r="E5133" s="44"/>
      <c r="F5133" s="16">
        <f>base!W5133</f>
        <v>0</v>
      </c>
      <c r="G5133" s="11">
        <f t="shared" si="800"/>
        <v>0</v>
      </c>
      <c r="H5133" s="11">
        <f t="shared" si="801"/>
        <v>8.1000000000000014</v>
      </c>
      <c r="I5133" s="11">
        <f t="shared" si="802"/>
        <v>0.27000000000000007</v>
      </c>
      <c r="J5133" s="12">
        <f t="shared" si="803"/>
        <v>-8.1000000000000014</v>
      </c>
      <c r="K5133" s="17" t="str">
        <f t="shared" si="808"/>
        <v>Ecart négatif</v>
      </c>
      <c r="L5133" s="16">
        <f>base!X5133</f>
        <v>0</v>
      </c>
      <c r="M5133" s="11">
        <f t="shared" si="804"/>
        <v>0</v>
      </c>
      <c r="N5133" s="11">
        <f t="shared" si="805"/>
        <v>0</v>
      </c>
      <c r="O5133" s="11">
        <f t="shared" si="806"/>
        <v>0</v>
      </c>
      <c r="P5133" s="12">
        <f t="shared" si="807"/>
        <v>0</v>
      </c>
      <c r="Q5133" s="17" t="str">
        <f t="shared" si="809"/>
        <v>Pas d'écart</v>
      </c>
    </row>
    <row r="5134" spans="1:18" x14ac:dyDescent="0.3">
      <c r="A5134" s="34" t="str">
        <f>base!J5134</f>
        <v>RS</v>
      </c>
      <c r="B5134" s="34" t="str">
        <f>base!V5134</f>
        <v>76230</v>
      </c>
      <c r="C5134" s="37">
        <v>76</v>
      </c>
      <c r="D5134" s="36">
        <f>base!H5134</f>
        <v>126</v>
      </c>
      <c r="E5134" s="44"/>
      <c r="F5134" s="16">
        <f>base!W5134</f>
        <v>0</v>
      </c>
      <c r="G5134" s="11">
        <f t="shared" si="800"/>
        <v>0</v>
      </c>
      <c r="H5134" s="11">
        <f t="shared" si="801"/>
        <v>21.42</v>
      </c>
      <c r="I5134" s="11">
        <f t="shared" si="802"/>
        <v>0.17</v>
      </c>
      <c r="J5134" s="12">
        <f t="shared" si="803"/>
        <v>-21.42</v>
      </c>
      <c r="K5134" s="17" t="str">
        <f t="shared" si="808"/>
        <v>Ecart négatif</v>
      </c>
      <c r="L5134" s="16">
        <f>base!X5134</f>
        <v>21.42</v>
      </c>
      <c r="M5134" s="11">
        <f t="shared" si="804"/>
        <v>0.17</v>
      </c>
      <c r="N5134" s="11">
        <f t="shared" si="805"/>
        <v>21.42</v>
      </c>
      <c r="O5134" s="11">
        <f t="shared" si="806"/>
        <v>0.17</v>
      </c>
      <c r="P5134" s="12">
        <f t="shared" si="807"/>
        <v>0</v>
      </c>
      <c r="Q5134" s="17" t="str">
        <f t="shared" si="809"/>
        <v>Pas d'écart</v>
      </c>
      <c r="R5134" s="38"/>
    </row>
    <row r="5135" spans="1:18" x14ac:dyDescent="0.3">
      <c r="A5135" s="34" t="str">
        <f>base!J5135</f>
        <v>LS</v>
      </c>
      <c r="B5135" s="34" t="str">
        <f>base!V5135</f>
        <v>75015</v>
      </c>
      <c r="C5135" s="37">
        <v>75</v>
      </c>
      <c r="D5135" s="36">
        <f>base!H5135</f>
        <v>33.35</v>
      </c>
      <c r="E5135" s="44"/>
      <c r="F5135" s="16">
        <f>base!W5135</f>
        <v>0</v>
      </c>
      <c r="G5135" s="11">
        <f t="shared" si="800"/>
        <v>0</v>
      </c>
      <c r="H5135" s="11">
        <f t="shared" si="801"/>
        <v>0</v>
      </c>
      <c r="I5135" s="11">
        <f t="shared" si="802"/>
        <v>0</v>
      </c>
      <c r="J5135" s="12">
        <f t="shared" si="803"/>
        <v>0</v>
      </c>
      <c r="K5135" s="17" t="str">
        <f t="shared" si="808"/>
        <v>Pas d'écart</v>
      </c>
      <c r="L5135" s="16">
        <f>base!X5135</f>
        <v>0</v>
      </c>
      <c r="M5135" s="11">
        <f t="shared" si="804"/>
        <v>0</v>
      </c>
      <c r="N5135" s="11">
        <f t="shared" si="805"/>
        <v>0</v>
      </c>
      <c r="O5135" s="11">
        <f t="shared" si="806"/>
        <v>0</v>
      </c>
      <c r="P5135" s="12">
        <f t="shared" si="807"/>
        <v>0</v>
      </c>
      <c r="Q5135" s="17" t="str">
        <f t="shared" si="809"/>
        <v>Pas d'écart</v>
      </c>
    </row>
    <row r="5136" spans="1:18" x14ac:dyDescent="0.3">
      <c r="A5136" s="34" t="str">
        <f>base!J5136</f>
        <v>LM</v>
      </c>
      <c r="B5136" s="34" t="str">
        <f>base!V5136</f>
        <v>45470</v>
      </c>
      <c r="C5136" s="37">
        <v>45</v>
      </c>
      <c r="D5136" s="36">
        <f>base!H5136</f>
        <v>140</v>
      </c>
      <c r="E5136" s="44"/>
      <c r="F5136" s="16">
        <f>base!W5136</f>
        <v>29.4</v>
      </c>
      <c r="G5136" s="11">
        <f t="shared" si="800"/>
        <v>0.21</v>
      </c>
      <c r="H5136" s="11">
        <f t="shared" si="801"/>
        <v>29.4</v>
      </c>
      <c r="I5136" s="11">
        <f t="shared" si="802"/>
        <v>0.21</v>
      </c>
      <c r="J5136" s="12">
        <f t="shared" si="803"/>
        <v>0</v>
      </c>
      <c r="K5136" s="17" t="str">
        <f t="shared" si="808"/>
        <v>Pas d'écart</v>
      </c>
      <c r="L5136" s="16">
        <f>base!X5136</f>
        <v>0</v>
      </c>
      <c r="M5136" s="11">
        <f t="shared" si="804"/>
        <v>0</v>
      </c>
      <c r="N5136" s="11">
        <f t="shared" si="805"/>
        <v>16.8</v>
      </c>
      <c r="O5136" s="11">
        <f t="shared" si="806"/>
        <v>0.12000000000000001</v>
      </c>
      <c r="P5136" s="12">
        <f t="shared" si="807"/>
        <v>-16.8</v>
      </c>
      <c r="Q5136" s="17" t="str">
        <f t="shared" si="809"/>
        <v>Ecart négatif</v>
      </c>
    </row>
    <row r="5137" spans="1:18" x14ac:dyDescent="0.3">
      <c r="A5137" s="34" t="str">
        <f>base!J5137</f>
        <v>LS</v>
      </c>
      <c r="B5137" s="34" t="str">
        <f>base!V5137</f>
        <v>13009</v>
      </c>
      <c r="C5137" s="37">
        <v>44</v>
      </c>
      <c r="D5137" s="36">
        <f>base!H5137</f>
        <v>163.98</v>
      </c>
      <c r="E5137" s="44"/>
      <c r="F5137" s="16">
        <f>base!W5137</f>
        <v>47.55</v>
      </c>
      <c r="G5137" s="11">
        <f t="shared" si="800"/>
        <v>0.28997438712038054</v>
      </c>
      <c r="H5137" s="11">
        <f t="shared" si="801"/>
        <v>44.2746</v>
      </c>
      <c r="I5137" s="11">
        <f t="shared" si="802"/>
        <v>0.27</v>
      </c>
      <c r="J5137" s="12">
        <f t="shared" si="803"/>
        <v>3.2753999999999976</v>
      </c>
      <c r="K5137" s="17" t="str">
        <f t="shared" si="808"/>
        <v>Ecart positif</v>
      </c>
      <c r="L5137" s="16">
        <f>base!X5137</f>
        <v>0</v>
      </c>
      <c r="M5137" s="11">
        <f t="shared" si="804"/>
        <v>0</v>
      </c>
      <c r="N5137" s="11">
        <f t="shared" si="805"/>
        <v>0</v>
      </c>
      <c r="O5137" s="11">
        <f t="shared" si="806"/>
        <v>0</v>
      </c>
      <c r="P5137" s="12">
        <f t="shared" si="807"/>
        <v>0</v>
      </c>
      <c r="Q5137" s="17" t="str">
        <f t="shared" si="809"/>
        <v>Pas d'écart</v>
      </c>
    </row>
    <row r="5138" spans="1:18" x14ac:dyDescent="0.3">
      <c r="A5138" s="34" t="str">
        <f>base!J5138</f>
        <v>LS</v>
      </c>
      <c r="B5138" s="34" t="str">
        <f>base!V5138</f>
        <v>88160</v>
      </c>
      <c r="C5138" s="37">
        <v>19</v>
      </c>
      <c r="D5138" s="36">
        <f>base!H5138</f>
        <v>27.53</v>
      </c>
      <c r="E5138" s="44"/>
      <c r="F5138" s="16">
        <f>base!W5138</f>
        <v>7.98</v>
      </c>
      <c r="G5138" s="11">
        <f t="shared" si="800"/>
        <v>0.28986560116236831</v>
      </c>
      <c r="H5138" s="11">
        <f t="shared" si="801"/>
        <v>7.9836999999999998</v>
      </c>
      <c r="I5138" s="11">
        <f t="shared" si="802"/>
        <v>0.28999999999999998</v>
      </c>
      <c r="J5138" s="12">
        <f t="shared" si="803"/>
        <v>-3.6999999999993705E-3</v>
      </c>
      <c r="K5138" s="17" t="str">
        <f t="shared" si="808"/>
        <v>Ecart négatif</v>
      </c>
      <c r="L5138" s="16">
        <f>base!X5138</f>
        <v>0</v>
      </c>
      <c r="M5138" s="11">
        <f t="shared" si="804"/>
        <v>0</v>
      </c>
      <c r="N5138" s="11">
        <f t="shared" si="805"/>
        <v>3.3035999999999999</v>
      </c>
      <c r="O5138" s="11">
        <f t="shared" si="806"/>
        <v>0.12</v>
      </c>
      <c r="P5138" s="12">
        <f t="shared" si="807"/>
        <v>-3.3035999999999999</v>
      </c>
      <c r="Q5138" s="17" t="str">
        <f t="shared" si="809"/>
        <v>Ecart négatif</v>
      </c>
    </row>
    <row r="5139" spans="1:18" x14ac:dyDescent="0.3">
      <c r="A5139" s="34" t="str">
        <f>base!J5139</f>
        <v>RS</v>
      </c>
      <c r="B5139" s="34" t="str">
        <f>base!V5139</f>
        <v>34410</v>
      </c>
      <c r="C5139" s="37">
        <v>34</v>
      </c>
      <c r="D5139" s="36">
        <f>base!H5139</f>
        <v>180</v>
      </c>
      <c r="E5139" s="44"/>
      <c r="F5139" s="16">
        <f>base!W5139</f>
        <v>0</v>
      </c>
      <c r="G5139" s="11">
        <f t="shared" si="800"/>
        <v>0</v>
      </c>
      <c r="H5139" s="11">
        <f t="shared" si="801"/>
        <v>70.2</v>
      </c>
      <c r="I5139" s="11">
        <f t="shared" si="802"/>
        <v>0.39</v>
      </c>
      <c r="J5139" s="12">
        <f t="shared" si="803"/>
        <v>-70.2</v>
      </c>
      <c r="K5139" s="17" t="str">
        <f t="shared" si="808"/>
        <v>Ecart négatif</v>
      </c>
      <c r="L5139" s="16">
        <f>base!X5139</f>
        <v>0</v>
      </c>
      <c r="M5139" s="11">
        <f t="shared" si="804"/>
        <v>0</v>
      </c>
      <c r="N5139" s="11">
        <f t="shared" si="805"/>
        <v>50.400000000000006</v>
      </c>
      <c r="O5139" s="11">
        <f t="shared" si="806"/>
        <v>0.28000000000000003</v>
      </c>
      <c r="P5139" s="12">
        <f t="shared" si="807"/>
        <v>-50.400000000000006</v>
      </c>
      <c r="Q5139" s="17" t="str">
        <f t="shared" si="809"/>
        <v>Ecart négatif</v>
      </c>
    </row>
    <row r="5140" spans="1:18" x14ac:dyDescent="0.3">
      <c r="A5140" s="34" t="str">
        <f>base!J5140</f>
        <v>LS</v>
      </c>
      <c r="B5140" s="34" t="str">
        <f>base!V5140</f>
        <v>69400</v>
      </c>
      <c r="C5140" s="37">
        <v>19</v>
      </c>
      <c r="D5140" s="36">
        <f>base!H5140</f>
        <v>23.25</v>
      </c>
      <c r="E5140" s="44"/>
      <c r="F5140" s="16">
        <f>base!W5140</f>
        <v>6.28</v>
      </c>
      <c r="G5140" s="11">
        <f t="shared" si="800"/>
        <v>0.27010752688172046</v>
      </c>
      <c r="H5140" s="11">
        <f t="shared" si="801"/>
        <v>6.7424999999999997</v>
      </c>
      <c r="I5140" s="11">
        <f t="shared" si="802"/>
        <v>0.28999999999999998</v>
      </c>
      <c r="J5140" s="12">
        <f t="shared" si="803"/>
        <v>-0.46249999999999947</v>
      </c>
      <c r="K5140" s="17" t="str">
        <f t="shared" si="808"/>
        <v>Ecart négatif</v>
      </c>
      <c r="L5140" s="16">
        <f>base!X5140</f>
        <v>0</v>
      </c>
      <c r="M5140" s="11">
        <f t="shared" si="804"/>
        <v>0</v>
      </c>
      <c r="N5140" s="11">
        <f t="shared" si="805"/>
        <v>2.79</v>
      </c>
      <c r="O5140" s="11">
        <f t="shared" si="806"/>
        <v>0.12</v>
      </c>
      <c r="P5140" s="12">
        <f t="shared" si="807"/>
        <v>-2.79</v>
      </c>
      <c r="Q5140" s="17" t="str">
        <f t="shared" si="809"/>
        <v>Ecart négatif</v>
      </c>
    </row>
    <row r="5141" spans="1:18" x14ac:dyDescent="0.3">
      <c r="A5141" s="34" t="str">
        <f>base!J5141</f>
        <v>LS</v>
      </c>
      <c r="B5141" s="34" t="str">
        <f>base!V5141</f>
        <v>59163</v>
      </c>
      <c r="C5141" s="37">
        <v>19</v>
      </c>
      <c r="D5141" s="36">
        <f>base!H5141</f>
        <v>120.85</v>
      </c>
      <c r="E5141" s="44"/>
      <c r="F5141" s="16">
        <f>base!W5141</f>
        <v>22.96</v>
      </c>
      <c r="G5141" s="11">
        <f t="shared" si="800"/>
        <v>0.18998758791890774</v>
      </c>
      <c r="H5141" s="11">
        <f t="shared" si="801"/>
        <v>35.046499999999995</v>
      </c>
      <c r="I5141" s="11">
        <f t="shared" si="802"/>
        <v>0.28999999999999998</v>
      </c>
      <c r="J5141" s="12">
        <f t="shared" si="803"/>
        <v>-12.086499999999994</v>
      </c>
      <c r="K5141" s="17" t="str">
        <f t="shared" si="808"/>
        <v>Ecart négatif</v>
      </c>
      <c r="L5141" s="16">
        <f>base!X5141</f>
        <v>0</v>
      </c>
      <c r="M5141" s="11">
        <f t="shared" si="804"/>
        <v>0</v>
      </c>
      <c r="N5141" s="11">
        <f t="shared" si="805"/>
        <v>14.501999999999999</v>
      </c>
      <c r="O5141" s="11">
        <f t="shared" si="806"/>
        <v>0.12</v>
      </c>
      <c r="P5141" s="12">
        <f t="shared" si="807"/>
        <v>-14.501999999999999</v>
      </c>
      <c r="Q5141" s="17" t="str">
        <f t="shared" si="809"/>
        <v>Ecart négatif</v>
      </c>
    </row>
    <row r="5142" spans="1:18" x14ac:dyDescent="0.3">
      <c r="A5142" s="34" t="str">
        <f>base!J5142</f>
        <v>RM</v>
      </c>
      <c r="B5142" s="34" t="str">
        <f>base!V5142</f>
        <v>54000</v>
      </c>
      <c r="C5142" s="37">
        <v>54</v>
      </c>
      <c r="D5142" s="36">
        <f>base!H5142</f>
        <v>37.24</v>
      </c>
      <c r="E5142" s="44"/>
      <c r="F5142" s="16">
        <f>base!W5142</f>
        <v>0</v>
      </c>
      <c r="G5142" s="11">
        <f t="shared" si="800"/>
        <v>0</v>
      </c>
      <c r="H5142" s="11">
        <f t="shared" si="801"/>
        <v>9.31</v>
      </c>
      <c r="I5142" s="11">
        <f t="shared" si="802"/>
        <v>0.25</v>
      </c>
      <c r="J5142" s="12">
        <f t="shared" si="803"/>
        <v>-9.31</v>
      </c>
      <c r="K5142" s="17" t="str">
        <f t="shared" si="808"/>
        <v>Ecart négatif</v>
      </c>
      <c r="L5142" s="16">
        <f>base!X5142</f>
        <v>9.31</v>
      </c>
      <c r="M5142" s="11">
        <f t="shared" si="804"/>
        <v>0.25</v>
      </c>
      <c r="N5142" s="11">
        <f t="shared" si="805"/>
        <v>9.31</v>
      </c>
      <c r="O5142" s="11">
        <f t="shared" si="806"/>
        <v>0.25</v>
      </c>
      <c r="P5142" s="12">
        <f t="shared" si="807"/>
        <v>0</v>
      </c>
      <c r="Q5142" s="17" t="str">
        <f t="shared" si="809"/>
        <v>Pas d'écart</v>
      </c>
      <c r="R5142" s="38"/>
    </row>
    <row r="5143" spans="1:18" x14ac:dyDescent="0.3">
      <c r="A5143" s="34" t="str">
        <f>base!J5143</f>
        <v>LM</v>
      </c>
      <c r="B5143" s="34" t="str">
        <f>base!V5143</f>
        <v>06560</v>
      </c>
      <c r="C5143" s="37">
        <v>19</v>
      </c>
      <c r="D5143" s="36">
        <f>base!H5143</f>
        <v>19.89</v>
      </c>
      <c r="E5143" s="44"/>
      <c r="F5143" s="16">
        <f>base!W5143</f>
        <v>5.97</v>
      </c>
      <c r="G5143" s="11">
        <f t="shared" si="800"/>
        <v>0.30015082956259426</v>
      </c>
      <c r="H5143" s="11">
        <f t="shared" si="801"/>
        <v>5.7680999999999996</v>
      </c>
      <c r="I5143" s="11">
        <f t="shared" si="802"/>
        <v>0.28999999999999998</v>
      </c>
      <c r="J5143" s="12">
        <f t="shared" si="803"/>
        <v>0.20190000000000019</v>
      </c>
      <c r="K5143" s="17" t="str">
        <f t="shared" si="808"/>
        <v>Ecart positif</v>
      </c>
      <c r="L5143" s="16">
        <f>base!X5143</f>
        <v>0</v>
      </c>
      <c r="M5143" s="11">
        <f t="shared" si="804"/>
        <v>0</v>
      </c>
      <c r="N5143" s="11">
        <f t="shared" si="805"/>
        <v>2.3868</v>
      </c>
      <c r="O5143" s="11">
        <f t="shared" si="806"/>
        <v>0.12</v>
      </c>
      <c r="P5143" s="12">
        <f t="shared" si="807"/>
        <v>-2.3868</v>
      </c>
      <c r="Q5143" s="17" t="str">
        <f t="shared" si="809"/>
        <v>Ecart négatif</v>
      </c>
    </row>
    <row r="5144" spans="1:18" x14ac:dyDescent="0.3">
      <c r="A5144" s="34" t="str">
        <f>base!J5144</f>
        <v>LM</v>
      </c>
      <c r="B5144" s="34" t="str">
        <f>base!V5144</f>
        <v>44360</v>
      </c>
      <c r="C5144" s="37">
        <v>19</v>
      </c>
      <c r="D5144" s="36">
        <f>base!H5144</f>
        <v>83.34</v>
      </c>
      <c r="E5144" s="44"/>
      <c r="F5144" s="16">
        <f>base!W5144</f>
        <v>22.5</v>
      </c>
      <c r="G5144" s="11">
        <f t="shared" si="800"/>
        <v>0.26997840172786175</v>
      </c>
      <c r="H5144" s="11">
        <f t="shared" si="801"/>
        <v>24.168599999999998</v>
      </c>
      <c r="I5144" s="11">
        <f t="shared" si="802"/>
        <v>0.28999999999999998</v>
      </c>
      <c r="J5144" s="12">
        <f t="shared" si="803"/>
        <v>-1.6685999999999979</v>
      </c>
      <c r="K5144" s="17" t="str">
        <f t="shared" si="808"/>
        <v>Ecart négatif</v>
      </c>
      <c r="L5144" s="16">
        <f>base!X5144</f>
        <v>0</v>
      </c>
      <c r="M5144" s="11">
        <f t="shared" si="804"/>
        <v>0</v>
      </c>
      <c r="N5144" s="11">
        <f t="shared" si="805"/>
        <v>10.0008</v>
      </c>
      <c r="O5144" s="11">
        <f t="shared" si="806"/>
        <v>0.12</v>
      </c>
      <c r="P5144" s="12">
        <f t="shared" si="807"/>
        <v>-10.0008</v>
      </c>
      <c r="Q5144" s="17" t="str">
        <f t="shared" si="809"/>
        <v>Ecart négatif</v>
      </c>
    </row>
    <row r="5145" spans="1:18" x14ac:dyDescent="0.3">
      <c r="A5145" s="34" t="str">
        <f>base!J5145</f>
        <v>RM</v>
      </c>
      <c r="B5145" s="34" t="str">
        <f>base!V5145</f>
        <v>59270</v>
      </c>
      <c r="C5145" s="37">
        <v>59</v>
      </c>
      <c r="D5145" s="36">
        <f>base!H5145</f>
        <v>40</v>
      </c>
      <c r="E5145" s="44"/>
      <c r="F5145" s="16">
        <f>base!W5145</f>
        <v>0</v>
      </c>
      <c r="G5145" s="11">
        <f t="shared" si="800"/>
        <v>0</v>
      </c>
      <c r="H5145" s="11">
        <f t="shared" si="801"/>
        <v>7.6</v>
      </c>
      <c r="I5145" s="11">
        <f t="shared" si="802"/>
        <v>0.19</v>
      </c>
      <c r="J5145" s="12">
        <f t="shared" si="803"/>
        <v>-7.6</v>
      </c>
      <c r="K5145" s="17" t="str">
        <f t="shared" si="808"/>
        <v>Ecart négatif</v>
      </c>
      <c r="L5145" s="16">
        <f>base!X5145</f>
        <v>0</v>
      </c>
      <c r="M5145" s="11">
        <f t="shared" si="804"/>
        <v>0</v>
      </c>
      <c r="N5145" s="11">
        <f t="shared" si="805"/>
        <v>0</v>
      </c>
      <c r="O5145" s="11">
        <f t="shared" si="806"/>
        <v>0</v>
      </c>
      <c r="P5145" s="12">
        <f t="shared" si="807"/>
        <v>0</v>
      </c>
      <c r="Q5145" s="17" t="str">
        <f t="shared" si="809"/>
        <v>Pas d'écart</v>
      </c>
    </row>
    <row r="5146" spans="1:18" x14ac:dyDescent="0.3">
      <c r="A5146" s="34" t="str">
        <f>base!J5146</f>
        <v>LS</v>
      </c>
      <c r="B5146" s="34" t="str">
        <f>base!V5146</f>
        <v>19100</v>
      </c>
      <c r="C5146" s="37">
        <v>19</v>
      </c>
      <c r="D5146" s="36">
        <f>base!H5146</f>
        <v>100.42</v>
      </c>
      <c r="E5146" s="44"/>
      <c r="F5146" s="16">
        <f>base!W5146</f>
        <v>29.12</v>
      </c>
      <c r="G5146" s="11">
        <f t="shared" si="800"/>
        <v>0.28998207528380804</v>
      </c>
      <c r="H5146" s="11">
        <f t="shared" si="801"/>
        <v>29.121799999999997</v>
      </c>
      <c r="I5146" s="11">
        <f t="shared" si="802"/>
        <v>0.28999999999999998</v>
      </c>
      <c r="J5146" s="12">
        <f t="shared" si="803"/>
        <v>-1.799999999995805E-3</v>
      </c>
      <c r="K5146" s="17" t="str">
        <f t="shared" si="808"/>
        <v>Ecart négatif</v>
      </c>
      <c r="L5146" s="16">
        <f>base!X5146</f>
        <v>0</v>
      </c>
      <c r="M5146" s="11">
        <f t="shared" si="804"/>
        <v>0</v>
      </c>
      <c r="N5146" s="11">
        <f t="shared" si="805"/>
        <v>12.0504</v>
      </c>
      <c r="O5146" s="11">
        <f t="shared" si="806"/>
        <v>0.12</v>
      </c>
      <c r="P5146" s="12">
        <f t="shared" si="807"/>
        <v>-12.0504</v>
      </c>
      <c r="Q5146" s="17" t="str">
        <f t="shared" si="809"/>
        <v>Ecart négatif</v>
      </c>
    </row>
    <row r="5147" spans="1:18" x14ac:dyDescent="0.3">
      <c r="A5147" s="34" t="str">
        <f>base!J5147</f>
        <v>LS</v>
      </c>
      <c r="B5147" s="34" t="str">
        <f>base!V5147</f>
        <v>77500</v>
      </c>
      <c r="C5147" s="37">
        <v>77</v>
      </c>
      <c r="D5147" s="36">
        <f>base!H5147</f>
        <v>3.23</v>
      </c>
      <c r="E5147" s="44"/>
      <c r="F5147" s="16">
        <f>base!W5147</f>
        <v>0</v>
      </c>
      <c r="G5147" s="11">
        <f t="shared" si="800"/>
        <v>0</v>
      </c>
      <c r="H5147" s="11">
        <f t="shared" si="801"/>
        <v>0</v>
      </c>
      <c r="I5147" s="11">
        <f t="shared" si="802"/>
        <v>0</v>
      </c>
      <c r="J5147" s="12">
        <f t="shared" si="803"/>
        <v>0</v>
      </c>
      <c r="K5147" s="17" t="str">
        <f t="shared" si="808"/>
        <v>Pas d'écart</v>
      </c>
      <c r="L5147" s="16">
        <f>base!X5147</f>
        <v>0</v>
      </c>
      <c r="M5147" s="11">
        <f t="shared" si="804"/>
        <v>0</v>
      </c>
      <c r="N5147" s="11">
        <f t="shared" si="805"/>
        <v>0</v>
      </c>
      <c r="O5147" s="11">
        <f t="shared" si="806"/>
        <v>0</v>
      </c>
      <c r="P5147" s="12">
        <f t="shared" si="807"/>
        <v>0</v>
      </c>
      <c r="Q5147" s="17" t="str">
        <f t="shared" si="809"/>
        <v>Pas d'écart</v>
      </c>
    </row>
    <row r="5148" spans="1:18" x14ac:dyDescent="0.3">
      <c r="A5148" s="34" t="str">
        <f>base!J5148</f>
        <v>LS</v>
      </c>
      <c r="B5148" s="34" t="str">
        <f>base!V5148</f>
        <v>19100</v>
      </c>
      <c r="C5148" s="37">
        <v>19</v>
      </c>
      <c r="D5148" s="36">
        <f>base!H5148</f>
        <v>129.59</v>
      </c>
      <c r="E5148" s="44"/>
      <c r="F5148" s="16">
        <f>base!W5148</f>
        <v>37.58</v>
      </c>
      <c r="G5148" s="11">
        <f t="shared" si="800"/>
        <v>0.28999151169071685</v>
      </c>
      <c r="H5148" s="11">
        <f t="shared" si="801"/>
        <v>37.581099999999999</v>
      </c>
      <c r="I5148" s="11">
        <f t="shared" si="802"/>
        <v>0.28999999999999998</v>
      </c>
      <c r="J5148" s="12">
        <f t="shared" si="803"/>
        <v>-1.1000000000009891E-3</v>
      </c>
      <c r="K5148" s="17" t="str">
        <f t="shared" si="808"/>
        <v>Ecart négatif</v>
      </c>
      <c r="L5148" s="16">
        <f>base!X5148</f>
        <v>0</v>
      </c>
      <c r="M5148" s="11">
        <f t="shared" si="804"/>
        <v>0</v>
      </c>
      <c r="N5148" s="11">
        <f t="shared" si="805"/>
        <v>15.550800000000001</v>
      </c>
      <c r="O5148" s="11">
        <f t="shared" si="806"/>
        <v>0.12</v>
      </c>
      <c r="P5148" s="12">
        <f t="shared" si="807"/>
        <v>-15.550800000000001</v>
      </c>
      <c r="Q5148" s="17" t="str">
        <f t="shared" si="809"/>
        <v>Ecart négatif</v>
      </c>
    </row>
    <row r="5149" spans="1:18" x14ac:dyDescent="0.3">
      <c r="A5149" s="34">
        <f>base!J5149</f>
        <v>0</v>
      </c>
      <c r="B5149" s="34" t="str">
        <f>base!V5149</f>
        <v>77184</v>
      </c>
      <c r="C5149" s="37">
        <v>77</v>
      </c>
      <c r="D5149" s="36">
        <f>base!H5149</f>
        <v>58.86</v>
      </c>
      <c r="E5149" s="44"/>
      <c r="F5149" s="16">
        <f>base!W5149</f>
        <v>0</v>
      </c>
      <c r="G5149" s="11">
        <f t="shared" si="800"/>
        <v>0</v>
      </c>
      <c r="H5149" s="11">
        <f t="shared" si="801"/>
        <v>0</v>
      </c>
      <c r="I5149" s="11">
        <f t="shared" si="802"/>
        <v>0</v>
      </c>
      <c r="J5149" s="12">
        <f t="shared" si="803"/>
        <v>0</v>
      </c>
      <c r="K5149" s="17" t="str">
        <f t="shared" si="808"/>
        <v>Pas d'écart</v>
      </c>
      <c r="L5149" s="16">
        <f>base!X5149</f>
        <v>0</v>
      </c>
      <c r="M5149" s="11">
        <f t="shared" si="804"/>
        <v>0</v>
      </c>
      <c r="N5149" s="11">
        <f t="shared" si="805"/>
        <v>0</v>
      </c>
      <c r="O5149" s="11">
        <f t="shared" si="806"/>
        <v>0</v>
      </c>
      <c r="P5149" s="12">
        <f t="shared" si="807"/>
        <v>0</v>
      </c>
      <c r="Q5149" s="17" t="str">
        <f t="shared" si="809"/>
        <v>Pas d'écart</v>
      </c>
    </row>
    <row r="5150" spans="1:18" x14ac:dyDescent="0.3">
      <c r="A5150" s="34">
        <f>base!J5150</f>
        <v>0</v>
      </c>
      <c r="B5150" s="34" t="str">
        <f>base!V5150</f>
        <v>77184</v>
      </c>
      <c r="C5150" s="37">
        <v>77</v>
      </c>
      <c r="D5150" s="36">
        <f>base!H5150</f>
        <v>242</v>
      </c>
      <c r="E5150" s="44"/>
      <c r="F5150" s="16">
        <f>base!W5150</f>
        <v>0</v>
      </c>
      <c r="G5150" s="11">
        <f t="shared" si="800"/>
        <v>0</v>
      </c>
      <c r="H5150" s="11">
        <f t="shared" si="801"/>
        <v>0</v>
      </c>
      <c r="I5150" s="11">
        <f t="shared" si="802"/>
        <v>0</v>
      </c>
      <c r="J5150" s="12">
        <f t="shared" si="803"/>
        <v>0</v>
      </c>
      <c r="K5150" s="17" t="str">
        <f t="shared" si="808"/>
        <v>Pas d'écart</v>
      </c>
      <c r="L5150" s="16">
        <f>base!X5150</f>
        <v>0</v>
      </c>
      <c r="M5150" s="11">
        <f t="shared" si="804"/>
        <v>0</v>
      </c>
      <c r="N5150" s="11">
        <f t="shared" si="805"/>
        <v>0</v>
      </c>
      <c r="O5150" s="11">
        <f t="shared" si="806"/>
        <v>0</v>
      </c>
      <c r="P5150" s="12">
        <f t="shared" si="807"/>
        <v>0</v>
      </c>
      <c r="Q5150" s="17" t="str">
        <f t="shared" si="809"/>
        <v>Pas d'écart</v>
      </c>
    </row>
    <row r="5151" spans="1:18" x14ac:dyDescent="0.3">
      <c r="A5151" s="34" t="str">
        <f>base!J5151</f>
        <v>LM</v>
      </c>
      <c r="B5151" s="34" t="str">
        <f>base!V5151</f>
        <v>38590</v>
      </c>
      <c r="C5151" s="37">
        <v>19</v>
      </c>
      <c r="D5151" s="36">
        <f>base!H5151</f>
        <v>25.8</v>
      </c>
      <c r="E5151" s="44"/>
      <c r="F5151" s="16">
        <f>base!W5151</f>
        <v>6.97</v>
      </c>
      <c r="G5151" s="11">
        <f t="shared" si="800"/>
        <v>0.27015503875968988</v>
      </c>
      <c r="H5151" s="11">
        <f t="shared" si="801"/>
        <v>7.4819999999999993</v>
      </c>
      <c r="I5151" s="11">
        <f t="shared" si="802"/>
        <v>0.28999999999999998</v>
      </c>
      <c r="J5151" s="12">
        <f t="shared" si="803"/>
        <v>-0.51199999999999957</v>
      </c>
      <c r="K5151" s="17" t="str">
        <f t="shared" si="808"/>
        <v>Ecart négatif</v>
      </c>
      <c r="L5151" s="16">
        <f>base!X5151</f>
        <v>0</v>
      </c>
      <c r="M5151" s="11">
        <f t="shared" si="804"/>
        <v>0</v>
      </c>
      <c r="N5151" s="11">
        <f t="shared" si="805"/>
        <v>3.0960000000000001</v>
      </c>
      <c r="O5151" s="11">
        <f t="shared" si="806"/>
        <v>0.12</v>
      </c>
      <c r="P5151" s="12">
        <f t="shared" si="807"/>
        <v>-3.0960000000000001</v>
      </c>
      <c r="Q5151" s="17" t="str">
        <f t="shared" si="809"/>
        <v>Ecart négatif</v>
      </c>
    </row>
    <row r="5152" spans="1:18" x14ac:dyDescent="0.3">
      <c r="A5152" s="34" t="str">
        <f>base!J5152</f>
        <v>LS</v>
      </c>
      <c r="B5152" s="34" t="str">
        <f>base!V5152</f>
        <v>59200</v>
      </c>
      <c r="C5152" s="37">
        <v>19</v>
      </c>
      <c r="D5152" s="36">
        <f>base!H5152</f>
        <v>20</v>
      </c>
      <c r="E5152" s="44"/>
      <c r="F5152" s="16">
        <f>base!W5152</f>
        <v>0</v>
      </c>
      <c r="G5152" s="11">
        <f t="shared" si="800"/>
        <v>0</v>
      </c>
      <c r="H5152" s="11">
        <f t="shared" si="801"/>
        <v>5.8</v>
      </c>
      <c r="I5152" s="11">
        <f t="shared" si="802"/>
        <v>0.28999999999999998</v>
      </c>
      <c r="J5152" s="12">
        <f t="shared" si="803"/>
        <v>-5.8</v>
      </c>
      <c r="K5152" s="17" t="str">
        <f t="shared" si="808"/>
        <v>Ecart négatif</v>
      </c>
      <c r="L5152" s="16">
        <f>base!X5152</f>
        <v>0</v>
      </c>
      <c r="M5152" s="11">
        <f t="shared" si="804"/>
        <v>0</v>
      </c>
      <c r="N5152" s="11">
        <f t="shared" si="805"/>
        <v>2.4</v>
      </c>
      <c r="O5152" s="11">
        <f t="shared" si="806"/>
        <v>0.12</v>
      </c>
      <c r="P5152" s="12">
        <f t="shared" si="807"/>
        <v>-2.4</v>
      </c>
      <c r="Q5152" s="17" t="str">
        <f t="shared" si="809"/>
        <v>Ecart négatif</v>
      </c>
    </row>
    <row r="5153" spans="1:17" x14ac:dyDescent="0.3">
      <c r="A5153" s="34" t="str">
        <f>base!J5153</f>
        <v>RS</v>
      </c>
      <c r="B5153" s="34" t="str">
        <f>base!V5153</f>
        <v>94140</v>
      </c>
      <c r="C5153" s="37">
        <v>94</v>
      </c>
      <c r="D5153" s="36">
        <f>base!H5153</f>
        <v>250</v>
      </c>
      <c r="E5153" s="44"/>
      <c r="F5153" s="16">
        <f>base!W5153</f>
        <v>0</v>
      </c>
      <c r="G5153" s="11">
        <f t="shared" si="800"/>
        <v>0</v>
      </c>
      <c r="H5153" s="11">
        <f t="shared" si="801"/>
        <v>0</v>
      </c>
      <c r="I5153" s="11">
        <f t="shared" si="802"/>
        <v>0</v>
      </c>
      <c r="J5153" s="12">
        <f t="shared" si="803"/>
        <v>0</v>
      </c>
      <c r="K5153" s="17" t="str">
        <f t="shared" si="808"/>
        <v>Pas d'écart</v>
      </c>
      <c r="L5153" s="16">
        <f>base!X5153</f>
        <v>0</v>
      </c>
      <c r="M5153" s="11">
        <f t="shared" si="804"/>
        <v>0</v>
      </c>
      <c r="N5153" s="11">
        <f t="shared" si="805"/>
        <v>0</v>
      </c>
      <c r="O5153" s="11">
        <f t="shared" si="806"/>
        <v>0</v>
      </c>
      <c r="P5153" s="12">
        <f t="shared" si="807"/>
        <v>0</v>
      </c>
      <c r="Q5153" s="17" t="str">
        <f t="shared" si="809"/>
        <v>Pas d'écart</v>
      </c>
    </row>
    <row r="5154" spans="1:17" x14ac:dyDescent="0.3">
      <c r="A5154" s="34" t="str">
        <f>base!J5154</f>
        <v>RM</v>
      </c>
      <c r="B5154" s="34" t="str">
        <f>base!V5154</f>
        <v>69005</v>
      </c>
      <c r="C5154" s="37">
        <v>69</v>
      </c>
      <c r="D5154" s="36">
        <f>base!H5154</f>
        <v>151</v>
      </c>
      <c r="E5154" s="44"/>
      <c r="F5154" s="16">
        <f>base!W5154</f>
        <v>0</v>
      </c>
      <c r="G5154" s="11">
        <f t="shared" si="800"/>
        <v>0</v>
      </c>
      <c r="H5154" s="11">
        <f t="shared" si="801"/>
        <v>40.770000000000003</v>
      </c>
      <c r="I5154" s="11">
        <f t="shared" si="802"/>
        <v>0.27</v>
      </c>
      <c r="J5154" s="12">
        <f t="shared" si="803"/>
        <v>-40.770000000000003</v>
      </c>
      <c r="K5154" s="17" t="str">
        <f t="shared" si="808"/>
        <v>Ecart négatif</v>
      </c>
      <c r="L5154" s="16">
        <f>base!X5154</f>
        <v>0</v>
      </c>
      <c r="M5154" s="11">
        <f t="shared" si="804"/>
        <v>0</v>
      </c>
      <c r="N5154" s="11">
        <f t="shared" si="805"/>
        <v>0</v>
      </c>
      <c r="O5154" s="11">
        <f t="shared" si="806"/>
        <v>0</v>
      </c>
      <c r="P5154" s="12">
        <f t="shared" si="807"/>
        <v>0</v>
      </c>
      <c r="Q5154" s="17" t="str">
        <f t="shared" si="809"/>
        <v>Pas d'écart</v>
      </c>
    </row>
    <row r="5155" spans="1:17" x14ac:dyDescent="0.3">
      <c r="A5155" s="34" t="str">
        <f>base!J5155</f>
        <v>LS</v>
      </c>
      <c r="B5155" s="34" t="str">
        <f>base!V5155</f>
        <v>69006</v>
      </c>
      <c r="C5155" s="37">
        <v>19</v>
      </c>
      <c r="D5155" s="36">
        <f>base!H5155</f>
        <v>0.72</v>
      </c>
      <c r="E5155" s="44"/>
      <c r="F5155" s="16">
        <f>base!W5155</f>
        <v>0.19</v>
      </c>
      <c r="G5155" s="11">
        <f t="shared" si="800"/>
        <v>0.2638888888888889</v>
      </c>
      <c r="H5155" s="11">
        <f t="shared" si="801"/>
        <v>0.20879999999999999</v>
      </c>
      <c r="I5155" s="11">
        <f t="shared" si="802"/>
        <v>0.28999999999999998</v>
      </c>
      <c r="J5155" s="12">
        <f t="shared" si="803"/>
        <v>-1.8799999999999983E-2</v>
      </c>
      <c r="K5155" s="17" t="str">
        <f t="shared" si="808"/>
        <v>Ecart négatif</v>
      </c>
      <c r="L5155" s="16">
        <f>base!X5155</f>
        <v>0</v>
      </c>
      <c r="M5155" s="11">
        <f t="shared" si="804"/>
        <v>0</v>
      </c>
      <c r="N5155" s="11">
        <f t="shared" si="805"/>
        <v>8.6399999999999991E-2</v>
      </c>
      <c r="O5155" s="11">
        <f t="shared" si="806"/>
        <v>0.12</v>
      </c>
      <c r="P5155" s="12">
        <f t="shared" si="807"/>
        <v>-8.6399999999999991E-2</v>
      </c>
      <c r="Q5155" s="17" t="str">
        <f t="shared" si="809"/>
        <v>Ecart négatif</v>
      </c>
    </row>
    <row r="5156" spans="1:17" x14ac:dyDescent="0.3">
      <c r="A5156" s="34" t="str">
        <f>base!J5156</f>
        <v>LS</v>
      </c>
      <c r="B5156" s="34" t="str">
        <f>base!V5156</f>
        <v>83170</v>
      </c>
      <c r="C5156" s="37">
        <v>19</v>
      </c>
      <c r="D5156" s="36">
        <f>base!H5156</f>
        <v>141.65</v>
      </c>
      <c r="E5156" s="44"/>
      <c r="F5156" s="16">
        <f>base!W5156</f>
        <v>42.5</v>
      </c>
      <c r="G5156" s="11">
        <f t="shared" si="800"/>
        <v>0.30003529827038472</v>
      </c>
      <c r="H5156" s="11">
        <f t="shared" si="801"/>
        <v>41.078499999999998</v>
      </c>
      <c r="I5156" s="11">
        <f t="shared" si="802"/>
        <v>0.28999999999999998</v>
      </c>
      <c r="J5156" s="12">
        <f t="shared" si="803"/>
        <v>1.4215000000000018</v>
      </c>
      <c r="K5156" s="17" t="str">
        <f t="shared" si="808"/>
        <v>Ecart positif</v>
      </c>
      <c r="L5156" s="16">
        <f>base!X5156</f>
        <v>0</v>
      </c>
      <c r="M5156" s="11">
        <f t="shared" si="804"/>
        <v>0</v>
      </c>
      <c r="N5156" s="11">
        <f t="shared" si="805"/>
        <v>16.998000000000001</v>
      </c>
      <c r="O5156" s="11">
        <f t="shared" si="806"/>
        <v>0.12000000000000001</v>
      </c>
      <c r="P5156" s="12">
        <f t="shared" si="807"/>
        <v>-16.998000000000001</v>
      </c>
      <c r="Q5156" s="17" t="str">
        <f t="shared" si="809"/>
        <v>Ecart négatif</v>
      </c>
    </row>
    <row r="5157" spans="1:17" x14ac:dyDescent="0.3">
      <c r="A5157" s="34" t="str">
        <f>base!J5157</f>
        <v>LS</v>
      </c>
      <c r="B5157" s="34" t="str">
        <f>base!V5157</f>
        <v>51110</v>
      </c>
      <c r="C5157" s="37">
        <v>51</v>
      </c>
      <c r="D5157" s="36">
        <f>base!H5157</f>
        <v>70</v>
      </c>
      <c r="E5157" s="44"/>
      <c r="F5157" s="16">
        <f>base!W5157</f>
        <v>17.5</v>
      </c>
      <c r="G5157" s="11">
        <f t="shared" si="800"/>
        <v>0.25</v>
      </c>
      <c r="H5157" s="11">
        <f t="shared" si="801"/>
        <v>17.5</v>
      </c>
      <c r="I5157" s="11">
        <f t="shared" si="802"/>
        <v>0.25</v>
      </c>
      <c r="J5157" s="12">
        <f t="shared" si="803"/>
        <v>0</v>
      </c>
      <c r="K5157" s="17" t="str">
        <f t="shared" si="808"/>
        <v>Pas d'écart</v>
      </c>
      <c r="L5157" s="16">
        <f>base!X5157</f>
        <v>0</v>
      </c>
      <c r="M5157" s="11">
        <f t="shared" si="804"/>
        <v>0</v>
      </c>
      <c r="N5157" s="11">
        <f t="shared" si="805"/>
        <v>17.5</v>
      </c>
      <c r="O5157" s="11">
        <f t="shared" si="806"/>
        <v>0.25</v>
      </c>
      <c r="P5157" s="12">
        <f t="shared" si="807"/>
        <v>-17.5</v>
      </c>
      <c r="Q5157" s="17" t="str">
        <f t="shared" si="809"/>
        <v>Ecart négatif</v>
      </c>
    </row>
    <row r="5158" spans="1:17" x14ac:dyDescent="0.3">
      <c r="A5158" s="34" t="str">
        <f>base!J5158</f>
        <v>LS</v>
      </c>
      <c r="B5158" s="34" t="str">
        <f>base!V5158</f>
        <v>92230</v>
      </c>
      <c r="C5158" s="37">
        <v>92</v>
      </c>
      <c r="D5158" s="36">
        <f>base!H5158</f>
        <v>37.92</v>
      </c>
      <c r="E5158" s="44"/>
      <c r="F5158" s="16">
        <f>base!W5158</f>
        <v>0</v>
      </c>
      <c r="G5158" s="11">
        <f t="shared" si="800"/>
        <v>0</v>
      </c>
      <c r="H5158" s="11">
        <f t="shared" si="801"/>
        <v>0</v>
      </c>
      <c r="I5158" s="11">
        <f t="shared" si="802"/>
        <v>0</v>
      </c>
      <c r="J5158" s="12">
        <f t="shared" si="803"/>
        <v>0</v>
      </c>
      <c r="K5158" s="17" t="str">
        <f t="shared" si="808"/>
        <v>Pas d'écart</v>
      </c>
      <c r="L5158" s="16">
        <f>base!X5158</f>
        <v>0</v>
      </c>
      <c r="M5158" s="11">
        <f t="shared" si="804"/>
        <v>0</v>
      </c>
      <c r="N5158" s="11">
        <f t="shared" si="805"/>
        <v>0</v>
      </c>
      <c r="O5158" s="11">
        <f t="shared" si="806"/>
        <v>0</v>
      </c>
      <c r="P5158" s="12">
        <f t="shared" si="807"/>
        <v>0</v>
      </c>
      <c r="Q5158" s="17" t="str">
        <f t="shared" si="809"/>
        <v>Pas d'écart</v>
      </c>
    </row>
    <row r="5159" spans="1:17" x14ac:dyDescent="0.3">
      <c r="A5159" s="34" t="str">
        <f>base!J5159</f>
        <v>RS</v>
      </c>
      <c r="B5159" s="34" t="str">
        <f>base!V5159</f>
        <v>60160</v>
      </c>
      <c r="C5159" s="37">
        <v>60</v>
      </c>
      <c r="D5159" s="36">
        <f>base!H5159</f>
        <v>35</v>
      </c>
      <c r="E5159" s="44"/>
      <c r="F5159" s="16">
        <f>base!W5159</f>
        <v>0</v>
      </c>
      <c r="G5159" s="11">
        <f t="shared" si="800"/>
        <v>0</v>
      </c>
      <c r="H5159" s="11">
        <f t="shared" si="801"/>
        <v>6.65</v>
      </c>
      <c r="I5159" s="11">
        <f t="shared" si="802"/>
        <v>0.19</v>
      </c>
      <c r="J5159" s="12">
        <f t="shared" si="803"/>
        <v>-6.65</v>
      </c>
      <c r="K5159" s="17" t="str">
        <f t="shared" si="808"/>
        <v>Ecart négatif</v>
      </c>
      <c r="L5159" s="16">
        <f>base!X5159</f>
        <v>0</v>
      </c>
      <c r="M5159" s="11">
        <f t="shared" si="804"/>
        <v>0</v>
      </c>
      <c r="N5159" s="11">
        <f t="shared" si="805"/>
        <v>0</v>
      </c>
      <c r="O5159" s="11">
        <f t="shared" si="806"/>
        <v>0</v>
      </c>
      <c r="P5159" s="12">
        <f t="shared" si="807"/>
        <v>0</v>
      </c>
      <c r="Q5159" s="17" t="str">
        <f t="shared" si="809"/>
        <v>Pas d'écart</v>
      </c>
    </row>
    <row r="5160" spans="1:17" x14ac:dyDescent="0.3">
      <c r="A5160" s="34" t="str">
        <f>base!J5160</f>
        <v>RM</v>
      </c>
      <c r="B5160" s="34" t="str">
        <f>base!V5160</f>
        <v>06000</v>
      </c>
      <c r="C5160" s="37">
        <v>6</v>
      </c>
      <c r="D5160" s="36">
        <f>base!H5160</f>
        <v>70</v>
      </c>
      <c r="E5160" s="44"/>
      <c r="F5160" s="16">
        <f>base!W5160</f>
        <v>0</v>
      </c>
      <c r="G5160" s="11">
        <f t="shared" si="800"/>
        <v>0</v>
      </c>
      <c r="H5160" s="11">
        <f t="shared" si="801"/>
        <v>21</v>
      </c>
      <c r="I5160" s="11">
        <f t="shared" si="802"/>
        <v>0.3</v>
      </c>
      <c r="J5160" s="12">
        <f t="shared" si="803"/>
        <v>-21</v>
      </c>
      <c r="K5160" s="17" t="str">
        <f t="shared" si="808"/>
        <v>Ecart négatif</v>
      </c>
      <c r="L5160" s="16">
        <f>base!X5160</f>
        <v>0</v>
      </c>
      <c r="M5160" s="11">
        <f t="shared" si="804"/>
        <v>0</v>
      </c>
      <c r="N5160" s="11">
        <f t="shared" si="805"/>
        <v>14.7</v>
      </c>
      <c r="O5160" s="11">
        <f t="shared" si="806"/>
        <v>0.21</v>
      </c>
      <c r="P5160" s="12">
        <f t="shared" si="807"/>
        <v>-14.7</v>
      </c>
      <c r="Q5160" s="17" t="str">
        <f t="shared" si="809"/>
        <v>Ecart négatif</v>
      </c>
    </row>
    <row r="5161" spans="1:17" x14ac:dyDescent="0.3">
      <c r="A5161" s="34" t="str">
        <f>base!J5161</f>
        <v>LM</v>
      </c>
      <c r="B5161" s="34" t="str">
        <f>base!V5161</f>
        <v>13100</v>
      </c>
      <c r="C5161" s="37">
        <v>44</v>
      </c>
      <c r="D5161" s="36">
        <f>base!H5161</f>
        <v>33.35</v>
      </c>
      <c r="E5161" s="44"/>
      <c r="F5161" s="16">
        <f>base!W5161</f>
        <v>9.67</v>
      </c>
      <c r="G5161" s="11">
        <f t="shared" si="800"/>
        <v>0.2899550224887556</v>
      </c>
      <c r="H5161" s="11">
        <f t="shared" si="801"/>
        <v>9.0045000000000002</v>
      </c>
      <c r="I5161" s="11">
        <f t="shared" si="802"/>
        <v>0.27</v>
      </c>
      <c r="J5161" s="12">
        <f t="shared" si="803"/>
        <v>0.66549999999999976</v>
      </c>
      <c r="K5161" s="17" t="str">
        <f t="shared" si="808"/>
        <v>Ecart positif</v>
      </c>
      <c r="L5161" s="16">
        <f>base!X5161</f>
        <v>0</v>
      </c>
      <c r="M5161" s="11">
        <f t="shared" si="804"/>
        <v>0</v>
      </c>
      <c r="N5161" s="11">
        <f t="shared" si="805"/>
        <v>0</v>
      </c>
      <c r="O5161" s="11">
        <f t="shared" si="806"/>
        <v>0</v>
      </c>
      <c r="P5161" s="12">
        <f t="shared" si="807"/>
        <v>0</v>
      </c>
      <c r="Q5161" s="17" t="str">
        <f t="shared" si="809"/>
        <v>Pas d'écart</v>
      </c>
    </row>
    <row r="5162" spans="1:17" x14ac:dyDescent="0.3">
      <c r="A5162" s="34" t="str">
        <f>base!J5162</f>
        <v>RM</v>
      </c>
      <c r="B5162" s="34" t="str">
        <f>base!V5162</f>
        <v>69006</v>
      </c>
      <c r="C5162" s="37">
        <v>69</v>
      </c>
      <c r="D5162" s="36">
        <f>base!H5162</f>
        <v>29.59</v>
      </c>
      <c r="E5162" s="44"/>
      <c r="F5162" s="16">
        <f>base!W5162</f>
        <v>0</v>
      </c>
      <c r="G5162" s="11">
        <f t="shared" si="800"/>
        <v>0</v>
      </c>
      <c r="H5162" s="11">
        <f t="shared" si="801"/>
        <v>7.9893000000000001</v>
      </c>
      <c r="I5162" s="11">
        <f t="shared" si="802"/>
        <v>0.27</v>
      </c>
      <c r="J5162" s="12">
        <f t="shared" si="803"/>
        <v>-7.9893000000000001</v>
      </c>
      <c r="K5162" s="17" t="str">
        <f t="shared" si="808"/>
        <v>Ecart négatif</v>
      </c>
      <c r="L5162" s="16">
        <f>base!X5162</f>
        <v>0</v>
      </c>
      <c r="M5162" s="11">
        <f t="shared" si="804"/>
        <v>0</v>
      </c>
      <c r="N5162" s="11">
        <f t="shared" si="805"/>
        <v>0</v>
      </c>
      <c r="O5162" s="11">
        <f t="shared" si="806"/>
        <v>0</v>
      </c>
      <c r="P5162" s="12">
        <f t="shared" si="807"/>
        <v>0</v>
      </c>
      <c r="Q5162" s="17" t="str">
        <f t="shared" si="809"/>
        <v>Pas d'écart</v>
      </c>
    </row>
    <row r="5163" spans="1:17" x14ac:dyDescent="0.3">
      <c r="A5163" s="34" t="str">
        <f>base!J5163</f>
        <v>LS</v>
      </c>
      <c r="B5163" s="34" t="str">
        <f>base!V5163</f>
        <v>31150</v>
      </c>
      <c r="C5163" s="37">
        <v>31</v>
      </c>
      <c r="D5163" s="36">
        <f>base!H5163</f>
        <v>0</v>
      </c>
      <c r="E5163" s="44"/>
      <c r="F5163" s="16">
        <f>base!W5163</f>
        <v>0</v>
      </c>
      <c r="G5163" s="11" t="e">
        <f t="shared" si="800"/>
        <v>#DIV/0!</v>
      </c>
      <c r="H5163" s="11">
        <f t="shared" si="801"/>
        <v>0</v>
      </c>
      <c r="I5163" s="11" t="e">
        <f t="shared" si="802"/>
        <v>#DIV/0!</v>
      </c>
      <c r="J5163" s="12">
        <f t="shared" si="803"/>
        <v>0</v>
      </c>
      <c r="K5163" s="17" t="str">
        <f t="shared" si="808"/>
        <v>Pas d'écart</v>
      </c>
      <c r="L5163" s="16">
        <f>base!X5163</f>
        <v>0</v>
      </c>
      <c r="M5163" s="11" t="e">
        <f t="shared" si="804"/>
        <v>#DIV/0!</v>
      </c>
      <c r="N5163" s="11">
        <f t="shared" si="805"/>
        <v>0</v>
      </c>
      <c r="O5163" s="11" t="e">
        <f t="shared" si="806"/>
        <v>#DIV/0!</v>
      </c>
      <c r="P5163" s="12">
        <f t="shared" si="807"/>
        <v>0</v>
      </c>
      <c r="Q5163" s="17" t="str">
        <f t="shared" si="809"/>
        <v>Pas d'écart</v>
      </c>
    </row>
    <row r="5164" spans="1:17" x14ac:dyDescent="0.3">
      <c r="A5164" s="34" t="str">
        <f>base!J5164</f>
        <v>RM</v>
      </c>
      <c r="B5164" s="34" t="str">
        <f>base!V5164</f>
        <v>76100</v>
      </c>
      <c r="C5164" s="37">
        <v>76</v>
      </c>
      <c r="D5164" s="36">
        <f>base!H5164</f>
        <v>35</v>
      </c>
      <c r="E5164" s="44"/>
      <c r="F5164" s="16">
        <f>base!W5164</f>
        <v>0</v>
      </c>
      <c r="G5164" s="11">
        <f t="shared" si="800"/>
        <v>0</v>
      </c>
      <c r="H5164" s="11">
        <f t="shared" si="801"/>
        <v>5.95</v>
      </c>
      <c r="I5164" s="11">
        <f t="shared" si="802"/>
        <v>0.17</v>
      </c>
      <c r="J5164" s="12">
        <f t="shared" si="803"/>
        <v>-5.95</v>
      </c>
      <c r="K5164" s="17" t="str">
        <f t="shared" si="808"/>
        <v>Ecart négatif</v>
      </c>
      <c r="L5164" s="16">
        <f>base!X5164</f>
        <v>0</v>
      </c>
      <c r="M5164" s="11">
        <f t="shared" si="804"/>
        <v>0</v>
      </c>
      <c r="N5164" s="11">
        <f t="shared" si="805"/>
        <v>5.95</v>
      </c>
      <c r="O5164" s="11">
        <f t="shared" si="806"/>
        <v>0.17</v>
      </c>
      <c r="P5164" s="12">
        <f t="shared" si="807"/>
        <v>-5.95</v>
      </c>
      <c r="Q5164" s="17" t="str">
        <f t="shared" si="809"/>
        <v>Ecart négatif</v>
      </c>
    </row>
    <row r="5165" spans="1:17" x14ac:dyDescent="0.3">
      <c r="A5165" s="34" t="str">
        <f>base!J5165</f>
        <v>LM</v>
      </c>
      <c r="B5165" s="34" t="str">
        <f>base!V5165</f>
        <v>49250</v>
      </c>
      <c r="C5165" s="37">
        <v>56</v>
      </c>
      <c r="D5165" s="36">
        <f>base!H5165</f>
        <v>137.01</v>
      </c>
      <c r="E5165" s="44"/>
      <c r="F5165" s="16">
        <f>base!W5165</f>
        <v>36.99</v>
      </c>
      <c r="G5165" s="11">
        <f t="shared" si="800"/>
        <v>0.26998029340924024</v>
      </c>
      <c r="H5165" s="11">
        <f t="shared" si="801"/>
        <v>36.992699999999999</v>
      </c>
      <c r="I5165" s="11">
        <f t="shared" si="802"/>
        <v>0.27</v>
      </c>
      <c r="J5165" s="12">
        <f t="shared" si="803"/>
        <v>-2.6999999999972601E-3</v>
      </c>
      <c r="K5165" s="17" t="str">
        <f t="shared" si="808"/>
        <v>Ecart négatif</v>
      </c>
      <c r="L5165" s="16">
        <f>base!X5165</f>
        <v>0</v>
      </c>
      <c r="M5165" s="11">
        <f t="shared" si="804"/>
        <v>0</v>
      </c>
      <c r="N5165" s="11">
        <f t="shared" si="805"/>
        <v>0</v>
      </c>
      <c r="O5165" s="11">
        <f t="shared" si="806"/>
        <v>0</v>
      </c>
      <c r="P5165" s="12">
        <f t="shared" si="807"/>
        <v>0</v>
      </c>
      <c r="Q5165" s="17" t="str">
        <f t="shared" si="809"/>
        <v>Pas d'écart</v>
      </c>
    </row>
    <row r="5166" spans="1:17" x14ac:dyDescent="0.3">
      <c r="A5166" s="34" t="str">
        <f>base!J5166</f>
        <v>LM</v>
      </c>
      <c r="B5166" s="34" t="str">
        <f>base!V5166</f>
        <v>69800</v>
      </c>
      <c r="C5166" s="37">
        <v>56</v>
      </c>
      <c r="D5166" s="36">
        <f>base!H5166</f>
        <v>8.07</v>
      </c>
      <c r="E5166" s="44"/>
      <c r="F5166" s="16">
        <f>base!W5166</f>
        <v>2.1800000000000002</v>
      </c>
      <c r="G5166" s="11">
        <f t="shared" si="800"/>
        <v>0.2701363073110285</v>
      </c>
      <c r="H5166" s="11">
        <f t="shared" si="801"/>
        <v>2.1789000000000001</v>
      </c>
      <c r="I5166" s="11">
        <f t="shared" si="802"/>
        <v>0.27</v>
      </c>
      <c r="J5166" s="12">
        <f t="shared" si="803"/>
        <v>1.1000000000001009E-3</v>
      </c>
      <c r="K5166" s="17" t="str">
        <f t="shared" si="808"/>
        <v>Ecart positif</v>
      </c>
      <c r="L5166" s="16">
        <f>base!X5166</f>
        <v>0</v>
      </c>
      <c r="M5166" s="11">
        <f t="shared" si="804"/>
        <v>0</v>
      </c>
      <c r="N5166" s="11">
        <f t="shared" si="805"/>
        <v>0</v>
      </c>
      <c r="O5166" s="11">
        <f t="shared" si="806"/>
        <v>0</v>
      </c>
      <c r="P5166" s="12">
        <f t="shared" si="807"/>
        <v>0</v>
      </c>
      <c r="Q5166" s="17" t="str">
        <f t="shared" si="809"/>
        <v>Pas d'écart</v>
      </c>
    </row>
    <row r="5167" spans="1:17" x14ac:dyDescent="0.3">
      <c r="A5167" s="34" t="str">
        <f>base!J5167</f>
        <v>RS</v>
      </c>
      <c r="B5167" s="34" t="str">
        <f>base!V5167</f>
        <v>17100</v>
      </c>
      <c r="C5167" s="37">
        <v>17</v>
      </c>
      <c r="D5167" s="36">
        <f>base!H5167</f>
        <v>140</v>
      </c>
      <c r="E5167" s="44"/>
      <c r="F5167" s="16">
        <f>base!W5167</f>
        <v>0</v>
      </c>
      <c r="G5167" s="11">
        <f t="shared" si="800"/>
        <v>0</v>
      </c>
      <c r="H5167" s="11">
        <f t="shared" si="801"/>
        <v>29.4</v>
      </c>
      <c r="I5167" s="11">
        <f t="shared" si="802"/>
        <v>0.21</v>
      </c>
      <c r="J5167" s="12">
        <f t="shared" si="803"/>
        <v>-29.4</v>
      </c>
      <c r="K5167" s="17" t="str">
        <f t="shared" si="808"/>
        <v>Ecart négatif</v>
      </c>
      <c r="L5167" s="16">
        <f>base!X5167</f>
        <v>0</v>
      </c>
      <c r="M5167" s="11">
        <f t="shared" si="804"/>
        <v>0</v>
      </c>
      <c r="N5167" s="11">
        <f t="shared" si="805"/>
        <v>23.8</v>
      </c>
      <c r="O5167" s="11">
        <f t="shared" si="806"/>
        <v>0.17</v>
      </c>
      <c r="P5167" s="12">
        <f t="shared" si="807"/>
        <v>-23.8</v>
      </c>
      <c r="Q5167" s="17" t="str">
        <f t="shared" si="809"/>
        <v>Ecart négatif</v>
      </c>
    </row>
    <row r="5168" spans="1:17" x14ac:dyDescent="0.3">
      <c r="A5168" s="34" t="str">
        <f>base!J5168</f>
        <v>Stockage</v>
      </c>
      <c r="B5168" s="34" t="str">
        <f>base!V5168</f>
        <v/>
      </c>
      <c r="C5168" s="40" t="s">
        <v>11</v>
      </c>
      <c r="D5168" s="36">
        <f>base!H5168</f>
        <v>0</v>
      </c>
      <c r="E5168" s="44"/>
      <c r="F5168" s="16">
        <f>base!W5168</f>
        <v>0</v>
      </c>
      <c r="G5168" s="11" t="e">
        <f t="shared" si="800"/>
        <v>#DIV/0!</v>
      </c>
      <c r="H5168" s="11" t="e">
        <f t="shared" si="801"/>
        <v>#N/A</v>
      </c>
      <c r="I5168" s="11" t="e">
        <f t="shared" si="802"/>
        <v>#N/A</v>
      </c>
      <c r="J5168" s="12" t="e">
        <f t="shared" si="803"/>
        <v>#N/A</v>
      </c>
      <c r="K5168" s="17" t="e">
        <f t="shared" si="808"/>
        <v>#N/A</v>
      </c>
      <c r="L5168" s="16">
        <f>base!X5168</f>
        <v>0</v>
      </c>
      <c r="M5168" s="11" t="e">
        <f t="shared" si="804"/>
        <v>#DIV/0!</v>
      </c>
      <c r="N5168" s="11" t="e">
        <f t="shared" si="805"/>
        <v>#N/A</v>
      </c>
      <c r="O5168" s="11" t="e">
        <f t="shared" si="806"/>
        <v>#N/A</v>
      </c>
      <c r="P5168" s="12" t="e">
        <f t="shared" si="807"/>
        <v>#N/A</v>
      </c>
      <c r="Q5168" s="17" t="e">
        <f t="shared" si="809"/>
        <v>#N/A</v>
      </c>
    </row>
    <row r="5169" spans="1:18" x14ac:dyDescent="0.3">
      <c r="A5169" s="34" t="str">
        <f>base!J5169</f>
        <v>Stockage</v>
      </c>
      <c r="B5169" s="34" t="str">
        <f>base!V5169</f>
        <v/>
      </c>
      <c r="C5169" s="40" t="s">
        <v>11</v>
      </c>
      <c r="D5169" s="36">
        <f>base!H5169</f>
        <v>0</v>
      </c>
      <c r="E5169" s="44"/>
      <c r="F5169" s="16">
        <f>base!W5169</f>
        <v>0</v>
      </c>
      <c r="G5169" s="11" t="e">
        <f t="shared" si="800"/>
        <v>#DIV/0!</v>
      </c>
      <c r="H5169" s="11" t="e">
        <f t="shared" si="801"/>
        <v>#N/A</v>
      </c>
      <c r="I5169" s="11" t="e">
        <f t="shared" si="802"/>
        <v>#N/A</v>
      </c>
      <c r="J5169" s="12" t="e">
        <f t="shared" si="803"/>
        <v>#N/A</v>
      </c>
      <c r="K5169" s="17" t="e">
        <f t="shared" si="808"/>
        <v>#N/A</v>
      </c>
      <c r="L5169" s="16">
        <f>base!X5169</f>
        <v>0</v>
      </c>
      <c r="M5169" s="11" t="e">
        <f t="shared" si="804"/>
        <v>#DIV/0!</v>
      </c>
      <c r="N5169" s="11" t="e">
        <f t="shared" si="805"/>
        <v>#N/A</v>
      </c>
      <c r="O5169" s="11" t="e">
        <f t="shared" si="806"/>
        <v>#N/A</v>
      </c>
      <c r="P5169" s="12" t="e">
        <f t="shared" si="807"/>
        <v>#N/A</v>
      </c>
      <c r="Q5169" s="17" t="e">
        <f t="shared" si="809"/>
        <v>#N/A</v>
      </c>
    </row>
    <row r="5170" spans="1:18" x14ac:dyDescent="0.3">
      <c r="A5170" s="34" t="str">
        <f>base!J5170</f>
        <v>RM</v>
      </c>
      <c r="B5170" s="34" t="str">
        <f>base!V5170</f>
        <v>71200</v>
      </c>
      <c r="C5170" s="37">
        <v>71</v>
      </c>
      <c r="D5170" s="36">
        <f>base!H5170</f>
        <v>205</v>
      </c>
      <c r="E5170" s="44"/>
      <c r="F5170" s="16">
        <f>base!W5170</f>
        <v>0</v>
      </c>
      <c r="G5170" s="11">
        <f t="shared" si="800"/>
        <v>0</v>
      </c>
      <c r="H5170" s="11">
        <f t="shared" si="801"/>
        <v>55.35</v>
      </c>
      <c r="I5170" s="11">
        <f t="shared" si="802"/>
        <v>0.27</v>
      </c>
      <c r="J5170" s="12">
        <f t="shared" si="803"/>
        <v>-55.35</v>
      </c>
      <c r="K5170" s="17" t="str">
        <f t="shared" si="808"/>
        <v>Ecart négatif</v>
      </c>
      <c r="L5170" s="16">
        <f>base!X5170</f>
        <v>0</v>
      </c>
      <c r="M5170" s="11">
        <f t="shared" si="804"/>
        <v>0</v>
      </c>
      <c r="N5170" s="11">
        <f t="shared" si="805"/>
        <v>0</v>
      </c>
      <c r="O5170" s="11">
        <f t="shared" si="806"/>
        <v>0</v>
      </c>
      <c r="P5170" s="12">
        <f t="shared" si="807"/>
        <v>0</v>
      </c>
      <c r="Q5170" s="17" t="str">
        <f t="shared" si="809"/>
        <v>Pas d'écart</v>
      </c>
    </row>
    <row r="5171" spans="1:18" x14ac:dyDescent="0.3">
      <c r="A5171" s="34" t="str">
        <f>base!J5171</f>
        <v>RS</v>
      </c>
      <c r="B5171" s="34" t="str">
        <f>base!V5171</f>
        <v>18100</v>
      </c>
      <c r="C5171" s="37">
        <v>18</v>
      </c>
      <c r="D5171" s="36">
        <f>base!H5171</f>
        <v>149.63</v>
      </c>
      <c r="E5171" s="44"/>
      <c r="F5171" s="16">
        <f>base!W5171</f>
        <v>0</v>
      </c>
      <c r="G5171" s="11">
        <f t="shared" si="800"/>
        <v>0</v>
      </c>
      <c r="H5171" s="11">
        <f t="shared" si="801"/>
        <v>31.422299999999996</v>
      </c>
      <c r="I5171" s="11">
        <f t="shared" si="802"/>
        <v>0.21</v>
      </c>
      <c r="J5171" s="12">
        <f t="shared" si="803"/>
        <v>-31.422299999999996</v>
      </c>
      <c r="K5171" s="17" t="str">
        <f t="shared" si="808"/>
        <v>Ecart négatif</v>
      </c>
      <c r="L5171" s="16">
        <f>base!X5171</f>
        <v>0</v>
      </c>
      <c r="M5171" s="11">
        <f t="shared" si="804"/>
        <v>0</v>
      </c>
      <c r="N5171" s="11">
        <f t="shared" si="805"/>
        <v>17.9556</v>
      </c>
      <c r="O5171" s="11">
        <f t="shared" si="806"/>
        <v>0.12000000000000001</v>
      </c>
      <c r="P5171" s="12">
        <f t="shared" si="807"/>
        <v>-17.9556</v>
      </c>
      <c r="Q5171" s="17" t="str">
        <f t="shared" si="809"/>
        <v>Ecart négatif</v>
      </c>
    </row>
    <row r="5172" spans="1:18" x14ac:dyDescent="0.3">
      <c r="A5172" s="34" t="str">
        <f>base!J5172</f>
        <v>RM</v>
      </c>
      <c r="B5172" s="34" t="str">
        <f>base!V5172</f>
        <v>42230</v>
      </c>
      <c r="C5172" s="37">
        <v>42</v>
      </c>
      <c r="D5172" s="36">
        <f>base!H5172</f>
        <v>180</v>
      </c>
      <c r="E5172" s="44"/>
      <c r="F5172" s="16">
        <f>base!W5172</f>
        <v>0</v>
      </c>
      <c r="G5172" s="11">
        <f t="shared" si="800"/>
        <v>0</v>
      </c>
      <c r="H5172" s="11">
        <f t="shared" si="801"/>
        <v>46.800000000000004</v>
      </c>
      <c r="I5172" s="11">
        <f t="shared" si="802"/>
        <v>0.26</v>
      </c>
      <c r="J5172" s="12">
        <f t="shared" si="803"/>
        <v>-46.800000000000004</v>
      </c>
      <c r="K5172" s="17" t="str">
        <f t="shared" si="808"/>
        <v>Ecart négatif</v>
      </c>
      <c r="L5172" s="16">
        <f>base!X5172</f>
        <v>0</v>
      </c>
      <c r="M5172" s="11">
        <f t="shared" si="804"/>
        <v>0</v>
      </c>
      <c r="N5172" s="11">
        <f t="shared" si="805"/>
        <v>0</v>
      </c>
      <c r="O5172" s="11">
        <f t="shared" si="806"/>
        <v>0</v>
      </c>
      <c r="P5172" s="12">
        <f t="shared" si="807"/>
        <v>0</v>
      </c>
      <c r="Q5172" s="17" t="str">
        <f t="shared" si="809"/>
        <v>Pas d'écart</v>
      </c>
    </row>
    <row r="5173" spans="1:18" x14ac:dyDescent="0.3">
      <c r="A5173" s="34" t="str">
        <f>base!J5173</f>
        <v>RS</v>
      </c>
      <c r="B5173" s="34" t="str">
        <f>base!V5173</f>
        <v>25200</v>
      </c>
      <c r="C5173" s="37">
        <v>25</v>
      </c>
      <c r="D5173" s="36">
        <f>base!H5173</f>
        <v>300.33999999999997</v>
      </c>
      <c r="E5173" s="44"/>
      <c r="F5173" s="16">
        <f>base!W5173</f>
        <v>0</v>
      </c>
      <c r="G5173" s="11">
        <f t="shared" si="800"/>
        <v>0</v>
      </c>
      <c r="H5173" s="11">
        <f t="shared" si="801"/>
        <v>72.081599999999995</v>
      </c>
      <c r="I5173" s="11">
        <f t="shared" si="802"/>
        <v>0.24</v>
      </c>
      <c r="J5173" s="12">
        <f t="shared" si="803"/>
        <v>-72.081599999999995</v>
      </c>
      <c r="K5173" s="17" t="str">
        <f t="shared" si="808"/>
        <v>Ecart négatif</v>
      </c>
      <c r="L5173" s="16">
        <f>base!X5173</f>
        <v>0</v>
      </c>
      <c r="M5173" s="11">
        <f t="shared" si="804"/>
        <v>0</v>
      </c>
      <c r="N5173" s="11">
        <f t="shared" si="805"/>
        <v>36.040799999999997</v>
      </c>
      <c r="O5173" s="11">
        <f t="shared" si="806"/>
        <v>0.12</v>
      </c>
      <c r="P5173" s="12">
        <f t="shared" si="807"/>
        <v>-36.040799999999997</v>
      </c>
      <c r="Q5173" s="17" t="str">
        <f t="shared" si="809"/>
        <v>Ecart négatif</v>
      </c>
    </row>
    <row r="5174" spans="1:18" x14ac:dyDescent="0.3">
      <c r="A5174" s="34" t="str">
        <f>base!J5174</f>
        <v>LM</v>
      </c>
      <c r="B5174" s="34" t="str">
        <f>base!V5174</f>
        <v>61250</v>
      </c>
      <c r="C5174" s="37">
        <v>56</v>
      </c>
      <c r="D5174" s="36">
        <f>base!H5174</f>
        <v>156.5</v>
      </c>
      <c r="E5174" s="44"/>
      <c r="F5174" s="16">
        <f>base!W5174</f>
        <v>26.61</v>
      </c>
      <c r="G5174" s="11">
        <f t="shared" si="800"/>
        <v>0.17003194888178913</v>
      </c>
      <c r="H5174" s="11">
        <f t="shared" si="801"/>
        <v>42.255000000000003</v>
      </c>
      <c r="I5174" s="11">
        <f t="shared" si="802"/>
        <v>0.27</v>
      </c>
      <c r="J5174" s="12">
        <f t="shared" si="803"/>
        <v>-15.645000000000003</v>
      </c>
      <c r="K5174" s="17" t="str">
        <f t="shared" si="808"/>
        <v>Ecart négatif</v>
      </c>
      <c r="L5174" s="16">
        <f>base!X5174</f>
        <v>0</v>
      </c>
      <c r="M5174" s="11">
        <f t="shared" si="804"/>
        <v>0</v>
      </c>
      <c r="N5174" s="11">
        <f t="shared" si="805"/>
        <v>0</v>
      </c>
      <c r="O5174" s="11">
        <f t="shared" si="806"/>
        <v>0</v>
      </c>
      <c r="P5174" s="12">
        <f t="shared" si="807"/>
        <v>0</v>
      </c>
      <c r="Q5174" s="17" t="str">
        <f t="shared" si="809"/>
        <v>Pas d'écart</v>
      </c>
    </row>
    <row r="5175" spans="1:18" x14ac:dyDescent="0.3">
      <c r="A5175" s="34" t="str">
        <f>base!J5175</f>
        <v>LM</v>
      </c>
      <c r="B5175" s="34" t="str">
        <f>base!V5175</f>
        <v>61250</v>
      </c>
      <c r="C5175" s="37">
        <v>56</v>
      </c>
      <c r="D5175" s="36">
        <f>base!H5175</f>
        <v>69.56</v>
      </c>
      <c r="E5175" s="44"/>
      <c r="F5175" s="16">
        <f>base!W5175</f>
        <v>11.83</v>
      </c>
      <c r="G5175" s="11">
        <f t="shared" si="800"/>
        <v>0.17006900517538814</v>
      </c>
      <c r="H5175" s="11">
        <f t="shared" si="801"/>
        <v>18.781200000000002</v>
      </c>
      <c r="I5175" s="11">
        <f t="shared" si="802"/>
        <v>0.27</v>
      </c>
      <c r="J5175" s="12">
        <f t="shared" si="803"/>
        <v>-6.9512000000000018</v>
      </c>
      <c r="K5175" s="17" t="str">
        <f t="shared" si="808"/>
        <v>Ecart négatif</v>
      </c>
      <c r="L5175" s="16">
        <f>base!X5175</f>
        <v>0</v>
      </c>
      <c r="M5175" s="11">
        <f t="shared" si="804"/>
        <v>0</v>
      </c>
      <c r="N5175" s="11">
        <f t="shared" si="805"/>
        <v>0</v>
      </c>
      <c r="O5175" s="11">
        <f t="shared" si="806"/>
        <v>0</v>
      </c>
      <c r="P5175" s="12">
        <f t="shared" si="807"/>
        <v>0</v>
      </c>
      <c r="Q5175" s="17" t="str">
        <f t="shared" si="809"/>
        <v>Pas d'écart</v>
      </c>
    </row>
    <row r="5176" spans="1:18" x14ac:dyDescent="0.3">
      <c r="A5176" s="34" t="str">
        <f>base!J5176</f>
        <v>RS</v>
      </c>
      <c r="B5176" s="34" t="str">
        <f>base!V5176</f>
        <v>77380</v>
      </c>
      <c r="C5176" s="37">
        <v>77</v>
      </c>
      <c r="D5176" s="36">
        <f>base!H5176</f>
        <v>70</v>
      </c>
      <c r="E5176" s="44"/>
      <c r="F5176" s="16">
        <f>base!W5176</f>
        <v>0</v>
      </c>
      <c r="G5176" s="11">
        <f t="shared" si="800"/>
        <v>0</v>
      </c>
      <c r="H5176" s="11">
        <f t="shared" si="801"/>
        <v>0</v>
      </c>
      <c r="I5176" s="11">
        <f t="shared" si="802"/>
        <v>0</v>
      </c>
      <c r="J5176" s="12">
        <f t="shared" si="803"/>
        <v>0</v>
      </c>
      <c r="K5176" s="17" t="str">
        <f t="shared" si="808"/>
        <v>Pas d'écart</v>
      </c>
      <c r="L5176" s="16">
        <f>base!X5176</f>
        <v>0</v>
      </c>
      <c r="M5176" s="11">
        <f t="shared" si="804"/>
        <v>0</v>
      </c>
      <c r="N5176" s="11">
        <f t="shared" si="805"/>
        <v>0</v>
      </c>
      <c r="O5176" s="11">
        <f t="shared" si="806"/>
        <v>0</v>
      </c>
      <c r="P5176" s="12">
        <f t="shared" si="807"/>
        <v>0</v>
      </c>
      <c r="Q5176" s="17" t="str">
        <f t="shared" si="809"/>
        <v>Pas d'écart</v>
      </c>
    </row>
    <row r="5177" spans="1:18" x14ac:dyDescent="0.3">
      <c r="A5177" s="34" t="str">
        <f>base!J5177</f>
        <v>RM</v>
      </c>
      <c r="B5177" s="34" t="str">
        <f>base!V5177</f>
        <v>67000</v>
      </c>
      <c r="C5177" s="37">
        <v>67</v>
      </c>
      <c r="D5177" s="36">
        <f>base!H5177</f>
        <v>40</v>
      </c>
      <c r="E5177" s="44"/>
      <c r="F5177" s="16">
        <f>base!W5177</f>
        <v>0</v>
      </c>
      <c r="G5177" s="11">
        <f t="shared" si="800"/>
        <v>0</v>
      </c>
      <c r="H5177" s="11">
        <f t="shared" si="801"/>
        <v>11.6</v>
      </c>
      <c r="I5177" s="11">
        <f t="shared" si="802"/>
        <v>0.28999999999999998</v>
      </c>
      <c r="J5177" s="12">
        <f t="shared" si="803"/>
        <v>-11.6</v>
      </c>
      <c r="K5177" s="17" t="str">
        <f t="shared" si="808"/>
        <v>Ecart négatif</v>
      </c>
      <c r="L5177" s="16">
        <f>base!X5177</f>
        <v>3.2</v>
      </c>
      <c r="M5177" s="11">
        <f t="shared" si="804"/>
        <v>0.08</v>
      </c>
      <c r="N5177" s="11">
        <f t="shared" si="805"/>
        <v>3.2</v>
      </c>
      <c r="O5177" s="11">
        <f t="shared" si="806"/>
        <v>0.08</v>
      </c>
      <c r="P5177" s="12">
        <f t="shared" si="807"/>
        <v>0</v>
      </c>
      <c r="Q5177" s="17" t="str">
        <f t="shared" si="809"/>
        <v>Pas d'écart</v>
      </c>
      <c r="R5177" s="38"/>
    </row>
    <row r="5178" spans="1:18" x14ac:dyDescent="0.3">
      <c r="A5178" s="34" t="str">
        <f>base!J5178</f>
        <v>RM</v>
      </c>
      <c r="B5178" s="34" t="str">
        <f>base!V5178</f>
        <v>13002</v>
      </c>
      <c r="C5178" s="37">
        <v>13</v>
      </c>
      <c r="D5178" s="36">
        <f>base!H5178</f>
        <v>205.84</v>
      </c>
      <c r="E5178" s="44"/>
      <c r="F5178" s="16">
        <f>base!W5178</f>
        <v>0</v>
      </c>
      <c r="G5178" s="11">
        <f t="shared" si="800"/>
        <v>0</v>
      </c>
      <c r="H5178" s="11">
        <f t="shared" si="801"/>
        <v>59.693599999999996</v>
      </c>
      <c r="I5178" s="11">
        <f t="shared" si="802"/>
        <v>0.28999999999999998</v>
      </c>
      <c r="J5178" s="12">
        <f t="shared" si="803"/>
        <v>-59.693599999999996</v>
      </c>
      <c r="K5178" s="17" t="str">
        <f t="shared" si="808"/>
        <v>Ecart négatif</v>
      </c>
      <c r="L5178" s="16">
        <f>base!X5178</f>
        <v>0</v>
      </c>
      <c r="M5178" s="11">
        <f t="shared" si="804"/>
        <v>0</v>
      </c>
      <c r="N5178" s="11">
        <f t="shared" si="805"/>
        <v>39.1096</v>
      </c>
      <c r="O5178" s="11">
        <f t="shared" si="806"/>
        <v>0.19</v>
      </c>
      <c r="P5178" s="12">
        <f t="shared" si="807"/>
        <v>-39.1096</v>
      </c>
      <c r="Q5178" s="17" t="str">
        <f t="shared" si="809"/>
        <v>Ecart négatif</v>
      </c>
    </row>
    <row r="5179" spans="1:18" x14ac:dyDescent="0.3">
      <c r="A5179" s="34" t="str">
        <f>base!J5179</f>
        <v>RM</v>
      </c>
      <c r="B5179" s="34" t="str">
        <f>base!V5179</f>
        <v>69120</v>
      </c>
      <c r="C5179" s="37">
        <v>69</v>
      </c>
      <c r="D5179" s="36">
        <f>base!H5179</f>
        <v>151</v>
      </c>
      <c r="E5179" s="44"/>
      <c r="F5179" s="16">
        <f>base!W5179</f>
        <v>0</v>
      </c>
      <c r="G5179" s="11">
        <f t="shared" si="800"/>
        <v>0</v>
      </c>
      <c r="H5179" s="11">
        <f t="shared" si="801"/>
        <v>40.770000000000003</v>
      </c>
      <c r="I5179" s="11">
        <f t="shared" si="802"/>
        <v>0.27</v>
      </c>
      <c r="J5179" s="12">
        <f t="shared" si="803"/>
        <v>-40.770000000000003</v>
      </c>
      <c r="K5179" s="17" t="str">
        <f t="shared" si="808"/>
        <v>Ecart négatif</v>
      </c>
      <c r="L5179" s="16">
        <f>base!X5179</f>
        <v>0</v>
      </c>
      <c r="M5179" s="11">
        <f t="shared" si="804"/>
        <v>0</v>
      </c>
      <c r="N5179" s="11">
        <f t="shared" si="805"/>
        <v>0</v>
      </c>
      <c r="O5179" s="11">
        <f t="shared" si="806"/>
        <v>0</v>
      </c>
      <c r="P5179" s="12">
        <f t="shared" si="807"/>
        <v>0</v>
      </c>
      <c r="Q5179" s="17" t="str">
        <f t="shared" si="809"/>
        <v>Pas d'écart</v>
      </c>
    </row>
    <row r="5180" spans="1:18" x14ac:dyDescent="0.3">
      <c r="A5180" s="34" t="str">
        <f>base!J5180</f>
        <v>LM</v>
      </c>
      <c r="B5180" s="34" t="str">
        <f>base!V5180</f>
        <v>38400</v>
      </c>
      <c r="C5180" s="37">
        <v>56</v>
      </c>
      <c r="D5180" s="36">
        <f>base!H5180</f>
        <v>178.02</v>
      </c>
      <c r="E5180" s="44"/>
      <c r="F5180" s="16">
        <f>base!W5180</f>
        <v>48.07</v>
      </c>
      <c r="G5180" s="11">
        <f t="shared" si="800"/>
        <v>0.27002583979328165</v>
      </c>
      <c r="H5180" s="11">
        <f t="shared" si="801"/>
        <v>48.065400000000004</v>
      </c>
      <c r="I5180" s="11">
        <f t="shared" si="802"/>
        <v>0.27</v>
      </c>
      <c r="J5180" s="12">
        <f t="shared" si="803"/>
        <v>4.5999999999963848E-3</v>
      </c>
      <c r="K5180" s="17" t="str">
        <f t="shared" si="808"/>
        <v>Ecart positif</v>
      </c>
      <c r="L5180" s="16">
        <f>base!X5180</f>
        <v>0</v>
      </c>
      <c r="M5180" s="11">
        <f t="shared" si="804"/>
        <v>0</v>
      </c>
      <c r="N5180" s="11">
        <f t="shared" si="805"/>
        <v>0</v>
      </c>
      <c r="O5180" s="11">
        <f t="shared" si="806"/>
        <v>0</v>
      </c>
      <c r="P5180" s="12">
        <f t="shared" si="807"/>
        <v>0</v>
      </c>
      <c r="Q5180" s="17" t="str">
        <f t="shared" si="809"/>
        <v>Pas d'écart</v>
      </c>
    </row>
    <row r="5181" spans="1:18" x14ac:dyDescent="0.3">
      <c r="A5181" s="34" t="str">
        <f>base!J5181</f>
        <v>RS</v>
      </c>
      <c r="B5181" s="34" t="str">
        <f>base!V5181</f>
        <v>69800</v>
      </c>
      <c r="C5181" s="37">
        <v>69</v>
      </c>
      <c r="D5181" s="36">
        <f>base!H5181</f>
        <v>40</v>
      </c>
      <c r="E5181" s="44"/>
      <c r="F5181" s="16">
        <f>base!W5181</f>
        <v>0</v>
      </c>
      <c r="G5181" s="11">
        <f t="shared" si="800"/>
        <v>0</v>
      </c>
      <c r="H5181" s="11">
        <f t="shared" si="801"/>
        <v>10.8</v>
      </c>
      <c r="I5181" s="11">
        <f t="shared" si="802"/>
        <v>0.27</v>
      </c>
      <c r="J5181" s="12">
        <f t="shared" si="803"/>
        <v>-10.8</v>
      </c>
      <c r="K5181" s="17" t="str">
        <f t="shared" si="808"/>
        <v>Ecart négatif</v>
      </c>
      <c r="L5181" s="16">
        <f>base!X5181</f>
        <v>0</v>
      </c>
      <c r="M5181" s="11">
        <f t="shared" si="804"/>
        <v>0</v>
      </c>
      <c r="N5181" s="11">
        <f t="shared" si="805"/>
        <v>0</v>
      </c>
      <c r="O5181" s="11">
        <f t="shared" si="806"/>
        <v>0</v>
      </c>
      <c r="P5181" s="12">
        <f t="shared" si="807"/>
        <v>0</v>
      </c>
      <c r="Q5181" s="17" t="str">
        <f t="shared" si="809"/>
        <v>Pas d'écart</v>
      </c>
    </row>
    <row r="5182" spans="1:18" x14ac:dyDescent="0.3">
      <c r="A5182" s="34" t="str">
        <f>base!J5182</f>
        <v>RM</v>
      </c>
      <c r="B5182" s="34" t="str">
        <f>base!V5182</f>
        <v>26000</v>
      </c>
      <c r="C5182" s="37">
        <v>26</v>
      </c>
      <c r="D5182" s="36">
        <f>base!H5182</f>
        <v>40</v>
      </c>
      <c r="E5182" s="44"/>
      <c r="F5182" s="16">
        <f>base!W5182</f>
        <v>0</v>
      </c>
      <c r="G5182" s="11">
        <f t="shared" si="800"/>
        <v>0</v>
      </c>
      <c r="H5182" s="11">
        <f t="shared" si="801"/>
        <v>10.8</v>
      </c>
      <c r="I5182" s="11">
        <f t="shared" si="802"/>
        <v>0.27</v>
      </c>
      <c r="J5182" s="12">
        <f t="shared" si="803"/>
        <v>-10.8</v>
      </c>
      <c r="K5182" s="17" t="str">
        <f t="shared" si="808"/>
        <v>Ecart négatif</v>
      </c>
      <c r="L5182" s="16">
        <f>base!X5182</f>
        <v>0</v>
      </c>
      <c r="M5182" s="11">
        <f t="shared" si="804"/>
        <v>0</v>
      </c>
      <c r="N5182" s="11">
        <f t="shared" si="805"/>
        <v>0</v>
      </c>
      <c r="O5182" s="11">
        <f t="shared" si="806"/>
        <v>0</v>
      </c>
      <c r="P5182" s="12">
        <f t="shared" si="807"/>
        <v>0</v>
      </c>
      <c r="Q5182" s="17" t="str">
        <f t="shared" si="809"/>
        <v>Pas d'écart</v>
      </c>
    </row>
    <row r="5183" spans="1:18" x14ac:dyDescent="0.3">
      <c r="A5183" s="34" t="str">
        <f>base!J5183</f>
        <v>RS</v>
      </c>
      <c r="B5183" s="34" t="str">
        <f>base!V5183</f>
        <v>24100</v>
      </c>
      <c r="C5183" s="37">
        <v>24</v>
      </c>
      <c r="D5183" s="36">
        <f>base!H5183</f>
        <v>73.599999999999994</v>
      </c>
      <c r="E5183" s="44"/>
      <c r="F5183" s="16">
        <f>base!W5183</f>
        <v>0</v>
      </c>
      <c r="G5183" s="11">
        <f t="shared" si="800"/>
        <v>0</v>
      </c>
      <c r="H5183" s="11">
        <f t="shared" si="801"/>
        <v>15.455999999999998</v>
      </c>
      <c r="I5183" s="11">
        <f t="shared" si="802"/>
        <v>0.21</v>
      </c>
      <c r="J5183" s="12">
        <f t="shared" si="803"/>
        <v>-15.455999999999998</v>
      </c>
      <c r="K5183" s="17" t="str">
        <f t="shared" si="808"/>
        <v>Ecart négatif</v>
      </c>
      <c r="L5183" s="16">
        <f>base!X5183</f>
        <v>12.51</v>
      </c>
      <c r="M5183" s="11">
        <f t="shared" si="804"/>
        <v>0.16997282608695652</v>
      </c>
      <c r="N5183" s="11">
        <f t="shared" si="805"/>
        <v>12.512</v>
      </c>
      <c r="O5183" s="11">
        <f t="shared" si="806"/>
        <v>0.17</v>
      </c>
      <c r="P5183" s="12">
        <f t="shared" si="807"/>
        <v>-2.0000000000006679E-3</v>
      </c>
      <c r="Q5183" s="17" t="str">
        <f t="shared" si="809"/>
        <v>Ecart négatif</v>
      </c>
      <c r="R5183" s="38"/>
    </row>
    <row r="5184" spans="1:18" x14ac:dyDescent="0.3">
      <c r="A5184" s="34" t="str">
        <f>base!J5184</f>
        <v>RS</v>
      </c>
      <c r="B5184" s="34" t="str">
        <f>base!V5184</f>
        <v>16320</v>
      </c>
      <c r="C5184" s="37">
        <v>16</v>
      </c>
      <c r="D5184" s="36">
        <f>base!H5184</f>
        <v>62.6</v>
      </c>
      <c r="E5184" s="44"/>
      <c r="F5184" s="16">
        <f>base!W5184</f>
        <v>0</v>
      </c>
      <c r="G5184" s="11">
        <f t="shared" si="800"/>
        <v>0</v>
      </c>
      <c r="H5184" s="11">
        <f t="shared" si="801"/>
        <v>13.145999999999999</v>
      </c>
      <c r="I5184" s="11">
        <f t="shared" si="802"/>
        <v>0.21</v>
      </c>
      <c r="J5184" s="12">
        <f t="shared" si="803"/>
        <v>-13.145999999999999</v>
      </c>
      <c r="K5184" s="17" t="str">
        <f t="shared" si="808"/>
        <v>Ecart négatif</v>
      </c>
      <c r="L5184" s="16">
        <f>base!X5184</f>
        <v>10.64</v>
      </c>
      <c r="M5184" s="11">
        <f t="shared" si="804"/>
        <v>0.16996805111821087</v>
      </c>
      <c r="N5184" s="11">
        <f t="shared" si="805"/>
        <v>10.642000000000001</v>
      </c>
      <c r="O5184" s="11">
        <f t="shared" si="806"/>
        <v>0.17</v>
      </c>
      <c r="P5184" s="12">
        <f t="shared" si="807"/>
        <v>-2.0000000000006679E-3</v>
      </c>
      <c r="Q5184" s="17" t="str">
        <f t="shared" si="809"/>
        <v>Ecart négatif</v>
      </c>
      <c r="R5184" s="38"/>
    </row>
    <row r="5185" spans="1:18" x14ac:dyDescent="0.3">
      <c r="A5185" s="34" t="str">
        <f>base!J5185</f>
        <v>RM</v>
      </c>
      <c r="B5185" s="34" t="str">
        <f>base!V5185</f>
        <v>84000</v>
      </c>
      <c r="C5185" s="37">
        <v>84</v>
      </c>
      <c r="D5185" s="36">
        <f>base!H5185</f>
        <v>180</v>
      </c>
      <c r="E5185" s="44"/>
      <c r="F5185" s="16">
        <f>base!W5185</f>
        <v>0</v>
      </c>
      <c r="G5185" s="11">
        <f t="shared" si="800"/>
        <v>0</v>
      </c>
      <c r="H5185" s="11">
        <f t="shared" si="801"/>
        <v>52.199999999999996</v>
      </c>
      <c r="I5185" s="11">
        <f t="shared" si="802"/>
        <v>0.28999999999999998</v>
      </c>
      <c r="J5185" s="12">
        <f t="shared" si="803"/>
        <v>-52.199999999999996</v>
      </c>
      <c r="K5185" s="17" t="str">
        <f t="shared" si="808"/>
        <v>Ecart négatif</v>
      </c>
      <c r="L5185" s="16">
        <f>base!X5185</f>
        <v>0</v>
      </c>
      <c r="M5185" s="11">
        <f t="shared" si="804"/>
        <v>0</v>
      </c>
      <c r="N5185" s="11">
        <f t="shared" si="805"/>
        <v>34.200000000000003</v>
      </c>
      <c r="O5185" s="11">
        <f t="shared" si="806"/>
        <v>0.19</v>
      </c>
      <c r="P5185" s="12">
        <f t="shared" si="807"/>
        <v>-34.200000000000003</v>
      </c>
      <c r="Q5185" s="17" t="str">
        <f t="shared" si="809"/>
        <v>Ecart négatif</v>
      </c>
    </row>
    <row r="5186" spans="1:18" x14ac:dyDescent="0.3">
      <c r="A5186" s="34">
        <f>base!J5186</f>
        <v>0</v>
      </c>
      <c r="B5186" s="34" t="str">
        <f>base!V5186</f>
        <v>77184</v>
      </c>
      <c r="C5186" s="37">
        <v>77</v>
      </c>
      <c r="D5186" s="36">
        <f>base!H5186</f>
        <v>173.44</v>
      </c>
      <c r="E5186" s="44"/>
      <c r="F5186" s="16">
        <f>base!W5186</f>
        <v>0</v>
      </c>
      <c r="G5186" s="11">
        <f t="shared" ref="G5186:G5249" si="810">F5186/D5186</f>
        <v>0</v>
      </c>
      <c r="H5186" s="11">
        <f t="shared" ref="H5186:H5249" si="811">VLOOKUP(C5186,tout_cout_traction,2,FALSE)*D5186</f>
        <v>0</v>
      </c>
      <c r="I5186" s="11">
        <f t="shared" ref="I5186:I5249" si="812">H5186/D5186</f>
        <v>0</v>
      </c>
      <c r="J5186" s="12">
        <f t="shared" ref="J5186:J5249" si="813">F5186-H5186</f>
        <v>0</v>
      </c>
      <c r="K5186" s="17" t="str">
        <f t="shared" si="808"/>
        <v>Pas d'écart</v>
      </c>
      <c r="L5186" s="16">
        <f>base!X5186</f>
        <v>0</v>
      </c>
      <c r="M5186" s="11">
        <f t="shared" ref="M5186:M5249" si="814">L5186/D5186</f>
        <v>0</v>
      </c>
      <c r="N5186" s="11">
        <f t="shared" ref="N5186:N5249" si="815">VLOOKUP(C5186,tout_cout_traction,3,FALSE)*D5186</f>
        <v>0</v>
      </c>
      <c r="O5186" s="11">
        <f t="shared" ref="O5186:O5249" si="816">N5186/D5186</f>
        <v>0</v>
      </c>
      <c r="P5186" s="12">
        <f t="shared" ref="P5186:P5249" si="817">L5186-N5186</f>
        <v>0</v>
      </c>
      <c r="Q5186" s="17" t="str">
        <f t="shared" si="809"/>
        <v>Pas d'écart</v>
      </c>
    </row>
    <row r="5187" spans="1:18" x14ac:dyDescent="0.3">
      <c r="A5187" s="34" t="str">
        <f>base!J5187</f>
        <v>RM</v>
      </c>
      <c r="B5187" s="34" t="str">
        <f>base!V5187</f>
        <v>98000</v>
      </c>
      <c r="C5187" s="37">
        <v>98</v>
      </c>
      <c r="D5187" s="36">
        <f>base!H5187</f>
        <v>38.54</v>
      </c>
      <c r="E5187" s="44"/>
      <c r="F5187" s="16">
        <f>base!W5187</f>
        <v>0</v>
      </c>
      <c r="G5187" s="11">
        <f t="shared" si="810"/>
        <v>0</v>
      </c>
      <c r="H5187" s="11">
        <f t="shared" si="811"/>
        <v>10.405800000000001</v>
      </c>
      <c r="I5187" s="11">
        <f t="shared" si="812"/>
        <v>0.27</v>
      </c>
      <c r="J5187" s="12">
        <f t="shared" si="813"/>
        <v>-10.405800000000001</v>
      </c>
      <c r="K5187" s="17" t="str">
        <f t="shared" ref="K5187:K5250" si="818">IF(H5187=F5187,"Pas d'écart",IF(H5187&lt;F5187,"Ecart positif",IF(H5187&gt;F5187,"Ecart négatif")))</f>
        <v>Ecart négatif</v>
      </c>
      <c r="L5187" s="16">
        <f>base!X5187</f>
        <v>0</v>
      </c>
      <c r="M5187" s="11">
        <f t="shared" si="814"/>
        <v>0</v>
      </c>
      <c r="N5187" s="11">
        <f t="shared" si="815"/>
        <v>8.093399999999999</v>
      </c>
      <c r="O5187" s="11">
        <f t="shared" si="816"/>
        <v>0.21</v>
      </c>
      <c r="P5187" s="12">
        <f t="shared" si="817"/>
        <v>-8.093399999999999</v>
      </c>
      <c r="Q5187" s="17" t="str">
        <f t="shared" ref="Q5187:Q5250" si="819">IF(N5187=L5187,"Pas d'écart",IF(N5187&lt;L5187,"Ecart positif",IF(N5187&gt;L5187,"Ecart négatif")))</f>
        <v>Ecart négatif</v>
      </c>
    </row>
    <row r="5188" spans="1:18" x14ac:dyDescent="0.3">
      <c r="A5188" s="34" t="str">
        <f>base!J5188</f>
        <v>RM</v>
      </c>
      <c r="B5188" s="34" t="str">
        <f>base!V5188</f>
        <v>85700</v>
      </c>
      <c r="C5188" s="37">
        <v>85</v>
      </c>
      <c r="D5188" s="36">
        <f>base!H5188</f>
        <v>25</v>
      </c>
      <c r="E5188" s="44"/>
      <c r="F5188" s="16">
        <f>base!W5188</f>
        <v>0</v>
      </c>
      <c r="G5188" s="11">
        <f t="shared" si="810"/>
        <v>0</v>
      </c>
      <c r="H5188" s="11">
        <f t="shared" si="811"/>
        <v>6.75</v>
      </c>
      <c r="I5188" s="11">
        <f t="shared" si="812"/>
        <v>0.27</v>
      </c>
      <c r="J5188" s="12">
        <f t="shared" si="813"/>
        <v>-6.75</v>
      </c>
      <c r="K5188" s="17" t="str">
        <f t="shared" si="818"/>
        <v>Ecart négatif</v>
      </c>
      <c r="L5188" s="16">
        <f>base!X5188</f>
        <v>0</v>
      </c>
      <c r="M5188" s="11">
        <f t="shared" si="814"/>
        <v>0</v>
      </c>
      <c r="N5188" s="11">
        <f t="shared" si="815"/>
        <v>0</v>
      </c>
      <c r="O5188" s="11">
        <f t="shared" si="816"/>
        <v>0</v>
      </c>
      <c r="P5188" s="12">
        <f t="shared" si="817"/>
        <v>0</v>
      </c>
      <c r="Q5188" s="17" t="str">
        <f t="shared" si="819"/>
        <v>Pas d'écart</v>
      </c>
    </row>
    <row r="5189" spans="1:18" x14ac:dyDescent="0.3">
      <c r="A5189" s="34" t="str">
        <f>base!J5189</f>
        <v>RS</v>
      </c>
      <c r="B5189" s="34" t="str">
        <f>base!V5189</f>
        <v>34410</v>
      </c>
      <c r="C5189" s="37">
        <v>34</v>
      </c>
      <c r="D5189" s="36">
        <f>base!H5189</f>
        <v>140</v>
      </c>
      <c r="E5189" s="44"/>
      <c r="F5189" s="16">
        <f>base!W5189</f>
        <v>0</v>
      </c>
      <c r="G5189" s="11">
        <f t="shared" si="810"/>
        <v>0</v>
      </c>
      <c r="H5189" s="11">
        <f t="shared" si="811"/>
        <v>54.6</v>
      </c>
      <c r="I5189" s="11">
        <f t="shared" si="812"/>
        <v>0.39</v>
      </c>
      <c r="J5189" s="12">
        <f t="shared" si="813"/>
        <v>-54.6</v>
      </c>
      <c r="K5189" s="17" t="str">
        <f t="shared" si="818"/>
        <v>Ecart négatif</v>
      </c>
      <c r="L5189" s="16">
        <f>base!X5189</f>
        <v>0</v>
      </c>
      <c r="M5189" s="11">
        <f t="shared" si="814"/>
        <v>0</v>
      </c>
      <c r="N5189" s="11">
        <f t="shared" si="815"/>
        <v>39.200000000000003</v>
      </c>
      <c r="O5189" s="11">
        <f t="shared" si="816"/>
        <v>0.28000000000000003</v>
      </c>
      <c r="P5189" s="12">
        <f t="shared" si="817"/>
        <v>-39.200000000000003</v>
      </c>
      <c r="Q5189" s="17" t="str">
        <f t="shared" si="819"/>
        <v>Ecart négatif</v>
      </c>
    </row>
    <row r="5190" spans="1:18" x14ac:dyDescent="0.3">
      <c r="A5190" s="34" t="str">
        <f>base!J5190</f>
        <v>RM</v>
      </c>
      <c r="B5190" s="34" t="str">
        <f>base!V5190</f>
        <v>38000</v>
      </c>
      <c r="C5190" s="37">
        <v>38</v>
      </c>
      <c r="D5190" s="36">
        <f>base!H5190</f>
        <v>201</v>
      </c>
      <c r="E5190" s="44"/>
      <c r="F5190" s="16">
        <f>base!W5190</f>
        <v>0</v>
      </c>
      <c r="G5190" s="11">
        <f t="shared" si="810"/>
        <v>0</v>
      </c>
      <c r="H5190" s="11">
        <f t="shared" si="811"/>
        <v>54.27</v>
      </c>
      <c r="I5190" s="11">
        <f t="shared" si="812"/>
        <v>0.27</v>
      </c>
      <c r="J5190" s="12">
        <f t="shared" si="813"/>
        <v>-54.27</v>
      </c>
      <c r="K5190" s="17" t="str">
        <f t="shared" si="818"/>
        <v>Ecart négatif</v>
      </c>
      <c r="L5190" s="16">
        <f>base!X5190</f>
        <v>54.27</v>
      </c>
      <c r="M5190" s="11">
        <f t="shared" si="814"/>
        <v>0.27</v>
      </c>
      <c r="N5190" s="11">
        <f t="shared" si="815"/>
        <v>0</v>
      </c>
      <c r="O5190" s="11">
        <f t="shared" si="816"/>
        <v>0</v>
      </c>
      <c r="P5190" s="12">
        <f t="shared" si="817"/>
        <v>54.27</v>
      </c>
      <c r="Q5190" s="17" t="str">
        <f t="shared" si="819"/>
        <v>Ecart positif</v>
      </c>
      <c r="R5190" s="38"/>
    </row>
    <row r="5191" spans="1:18" x14ac:dyDescent="0.3">
      <c r="A5191" s="34" t="str">
        <f>base!J5191</f>
        <v>DLM</v>
      </c>
      <c r="B5191" s="34" t="str">
        <f>base!V5191</f>
        <v>69003</v>
      </c>
      <c r="C5191" s="37">
        <v>69</v>
      </c>
      <c r="D5191" s="36">
        <f>base!H5191</f>
        <v>52.5</v>
      </c>
      <c r="E5191" s="44"/>
      <c r="F5191" s="16">
        <f>base!W5191</f>
        <v>0</v>
      </c>
      <c r="G5191" s="11">
        <f t="shared" si="810"/>
        <v>0</v>
      </c>
      <c r="H5191" s="11">
        <f t="shared" si="811"/>
        <v>14.175000000000001</v>
      </c>
      <c r="I5191" s="11">
        <f t="shared" si="812"/>
        <v>0.27</v>
      </c>
      <c r="J5191" s="12">
        <f t="shared" si="813"/>
        <v>-14.175000000000001</v>
      </c>
      <c r="K5191" s="17" t="str">
        <f t="shared" si="818"/>
        <v>Ecart négatif</v>
      </c>
      <c r="L5191" s="16">
        <f>base!X5191</f>
        <v>0</v>
      </c>
      <c r="M5191" s="11">
        <f t="shared" si="814"/>
        <v>0</v>
      </c>
      <c r="N5191" s="11">
        <f t="shared" si="815"/>
        <v>0</v>
      </c>
      <c r="O5191" s="11">
        <f t="shared" si="816"/>
        <v>0</v>
      </c>
      <c r="P5191" s="12">
        <f t="shared" si="817"/>
        <v>0</v>
      </c>
      <c r="Q5191" s="17" t="str">
        <f t="shared" si="819"/>
        <v>Pas d'écart</v>
      </c>
    </row>
    <row r="5192" spans="1:18" x14ac:dyDescent="0.3">
      <c r="A5192" s="34" t="str">
        <f>base!J5192</f>
        <v>DLM</v>
      </c>
      <c r="B5192" s="34" t="str">
        <f>base!V5192</f>
        <v>30900</v>
      </c>
      <c r="C5192" s="37">
        <v>30</v>
      </c>
      <c r="D5192" s="36">
        <f>base!H5192</f>
        <v>52.5</v>
      </c>
      <c r="E5192" s="44"/>
      <c r="F5192" s="16">
        <f>base!W5192</f>
        <v>0</v>
      </c>
      <c r="G5192" s="11">
        <f t="shared" si="810"/>
        <v>0</v>
      </c>
      <c r="H5192" s="11">
        <f t="shared" si="811"/>
        <v>20.475000000000001</v>
      </c>
      <c r="I5192" s="11">
        <f t="shared" si="812"/>
        <v>0.39</v>
      </c>
      <c r="J5192" s="12">
        <f t="shared" si="813"/>
        <v>-20.475000000000001</v>
      </c>
      <c r="K5192" s="17" t="str">
        <f t="shared" si="818"/>
        <v>Ecart négatif</v>
      </c>
      <c r="L5192" s="16">
        <f>base!X5192</f>
        <v>0</v>
      </c>
      <c r="M5192" s="11">
        <f t="shared" si="814"/>
        <v>0</v>
      </c>
      <c r="N5192" s="11">
        <f t="shared" si="815"/>
        <v>14.700000000000001</v>
      </c>
      <c r="O5192" s="11">
        <f t="shared" si="816"/>
        <v>0.28000000000000003</v>
      </c>
      <c r="P5192" s="12">
        <f t="shared" si="817"/>
        <v>-14.700000000000001</v>
      </c>
      <c r="Q5192" s="17" t="str">
        <f t="shared" si="819"/>
        <v>Ecart négatif</v>
      </c>
    </row>
    <row r="5193" spans="1:18" x14ac:dyDescent="0.3">
      <c r="A5193" s="34" t="str">
        <f>base!J5193</f>
        <v>DLM</v>
      </c>
      <c r="B5193" s="34" t="str">
        <f>base!V5193</f>
        <v>84000</v>
      </c>
      <c r="C5193" s="37">
        <v>84</v>
      </c>
      <c r="D5193" s="36">
        <f>base!H5193</f>
        <v>52.5</v>
      </c>
      <c r="E5193" s="44"/>
      <c r="F5193" s="16">
        <f>base!W5193</f>
        <v>0</v>
      </c>
      <c r="G5193" s="11">
        <f t="shared" si="810"/>
        <v>0</v>
      </c>
      <c r="H5193" s="11">
        <f t="shared" si="811"/>
        <v>15.225</v>
      </c>
      <c r="I5193" s="11">
        <f t="shared" si="812"/>
        <v>0.28999999999999998</v>
      </c>
      <c r="J5193" s="12">
        <f t="shared" si="813"/>
        <v>-15.225</v>
      </c>
      <c r="K5193" s="17" t="str">
        <f t="shared" si="818"/>
        <v>Ecart négatif</v>
      </c>
      <c r="L5193" s="16">
        <f>base!X5193</f>
        <v>0</v>
      </c>
      <c r="M5193" s="11">
        <f t="shared" si="814"/>
        <v>0</v>
      </c>
      <c r="N5193" s="11">
        <f t="shared" si="815"/>
        <v>9.9749999999999996</v>
      </c>
      <c r="O5193" s="11">
        <f t="shared" si="816"/>
        <v>0.19</v>
      </c>
      <c r="P5193" s="12">
        <f t="shared" si="817"/>
        <v>-9.9749999999999996</v>
      </c>
      <c r="Q5193" s="17" t="str">
        <f t="shared" si="819"/>
        <v>Ecart négatif</v>
      </c>
    </row>
    <row r="5194" spans="1:18" x14ac:dyDescent="0.3">
      <c r="A5194" s="34" t="str">
        <f>base!J5194</f>
        <v>DLS</v>
      </c>
      <c r="B5194" s="34" t="str">
        <f>base!V5194</f>
        <v>02100</v>
      </c>
      <c r="C5194" s="37">
        <v>2</v>
      </c>
      <c r="D5194" s="36">
        <f>base!H5194</f>
        <v>52.5</v>
      </c>
      <c r="E5194" s="44"/>
      <c r="F5194" s="16">
        <f>base!W5194</f>
        <v>0</v>
      </c>
      <c r="G5194" s="11">
        <f t="shared" si="810"/>
        <v>0</v>
      </c>
      <c r="H5194" s="11">
        <f t="shared" si="811"/>
        <v>9.4499999999999993</v>
      </c>
      <c r="I5194" s="11">
        <f t="shared" si="812"/>
        <v>0.18</v>
      </c>
      <c r="J5194" s="12">
        <f t="shared" si="813"/>
        <v>-9.4499999999999993</v>
      </c>
      <c r="K5194" s="17" t="str">
        <f t="shared" si="818"/>
        <v>Ecart négatif</v>
      </c>
      <c r="L5194" s="16">
        <f>base!X5194</f>
        <v>0</v>
      </c>
      <c r="M5194" s="11">
        <f t="shared" si="814"/>
        <v>0</v>
      </c>
      <c r="N5194" s="11">
        <f t="shared" si="815"/>
        <v>0</v>
      </c>
      <c r="O5194" s="11">
        <f t="shared" si="816"/>
        <v>0</v>
      </c>
      <c r="P5194" s="12">
        <f t="shared" si="817"/>
        <v>0</v>
      </c>
      <c r="Q5194" s="17" t="str">
        <f t="shared" si="819"/>
        <v>Pas d'écart</v>
      </c>
    </row>
    <row r="5195" spans="1:18" x14ac:dyDescent="0.3">
      <c r="A5195" s="34" t="str">
        <f>base!J5195</f>
        <v>RS</v>
      </c>
      <c r="B5195" s="34" t="str">
        <f>base!V5195</f>
        <v>68440</v>
      </c>
      <c r="C5195" s="37">
        <v>68</v>
      </c>
      <c r="D5195" s="36">
        <f>base!H5195</f>
        <v>140</v>
      </c>
      <c r="E5195" s="44"/>
      <c r="F5195" s="16">
        <f>base!W5195</f>
        <v>0</v>
      </c>
      <c r="G5195" s="11">
        <f t="shared" si="810"/>
        <v>0</v>
      </c>
      <c r="H5195" s="11">
        <f t="shared" si="811"/>
        <v>40.599999999999994</v>
      </c>
      <c r="I5195" s="11">
        <f t="shared" si="812"/>
        <v>0.28999999999999998</v>
      </c>
      <c r="J5195" s="12">
        <f t="shared" si="813"/>
        <v>-40.599999999999994</v>
      </c>
      <c r="K5195" s="17" t="str">
        <f t="shared" si="818"/>
        <v>Ecart négatif</v>
      </c>
      <c r="L5195" s="16">
        <f>base!X5195</f>
        <v>11.2</v>
      </c>
      <c r="M5195" s="11">
        <f t="shared" si="814"/>
        <v>0.08</v>
      </c>
      <c r="N5195" s="11">
        <f t="shared" si="815"/>
        <v>11.200000000000001</v>
      </c>
      <c r="O5195" s="11">
        <f t="shared" si="816"/>
        <v>0.08</v>
      </c>
      <c r="P5195" s="12">
        <f t="shared" si="817"/>
        <v>0</v>
      </c>
      <c r="Q5195" s="17" t="str">
        <f t="shared" si="819"/>
        <v>Pas d'écart</v>
      </c>
      <c r="R5195" s="38"/>
    </row>
    <row r="5196" spans="1:18" x14ac:dyDescent="0.3">
      <c r="A5196" s="34" t="str">
        <f>base!J5196</f>
        <v>RM</v>
      </c>
      <c r="B5196" s="34" t="str">
        <f>base!V5196</f>
        <v>61100</v>
      </c>
      <c r="C5196" s="37">
        <v>61</v>
      </c>
      <c r="D5196" s="36">
        <f>base!H5196</f>
        <v>86.25</v>
      </c>
      <c r="E5196" s="44"/>
      <c r="F5196" s="16">
        <f>base!W5196</f>
        <v>0</v>
      </c>
      <c r="G5196" s="11">
        <f t="shared" si="810"/>
        <v>0</v>
      </c>
      <c r="H5196" s="11">
        <f t="shared" si="811"/>
        <v>14.662500000000001</v>
      </c>
      <c r="I5196" s="11">
        <f t="shared" si="812"/>
        <v>0.17</v>
      </c>
      <c r="J5196" s="12">
        <f t="shared" si="813"/>
        <v>-14.662500000000001</v>
      </c>
      <c r="K5196" s="17" t="str">
        <f t="shared" si="818"/>
        <v>Ecart négatif</v>
      </c>
      <c r="L5196" s="16">
        <f>base!X5196</f>
        <v>0</v>
      </c>
      <c r="M5196" s="11">
        <f t="shared" si="814"/>
        <v>0</v>
      </c>
      <c r="N5196" s="11">
        <f t="shared" si="815"/>
        <v>14.662500000000001</v>
      </c>
      <c r="O5196" s="11">
        <f t="shared" si="816"/>
        <v>0.17</v>
      </c>
      <c r="P5196" s="12">
        <f t="shared" si="817"/>
        <v>-14.662500000000001</v>
      </c>
      <c r="Q5196" s="17" t="str">
        <f t="shared" si="819"/>
        <v>Ecart négatif</v>
      </c>
    </row>
    <row r="5197" spans="1:18" x14ac:dyDescent="0.3">
      <c r="A5197" s="34" t="str">
        <f>base!J5197</f>
        <v>RM</v>
      </c>
      <c r="B5197" s="34" t="str">
        <f>base!V5197</f>
        <v>61100</v>
      </c>
      <c r="C5197" s="37">
        <v>61</v>
      </c>
      <c r="D5197" s="36">
        <f>base!H5197</f>
        <v>44.99</v>
      </c>
      <c r="E5197" s="44"/>
      <c r="F5197" s="16">
        <f>base!W5197</f>
        <v>0</v>
      </c>
      <c r="G5197" s="11">
        <f t="shared" si="810"/>
        <v>0</v>
      </c>
      <c r="H5197" s="11">
        <f t="shared" si="811"/>
        <v>7.6483000000000008</v>
      </c>
      <c r="I5197" s="11">
        <f t="shared" si="812"/>
        <v>0.17</v>
      </c>
      <c r="J5197" s="12">
        <f t="shared" si="813"/>
        <v>-7.6483000000000008</v>
      </c>
      <c r="K5197" s="17" t="str">
        <f t="shared" si="818"/>
        <v>Ecart négatif</v>
      </c>
      <c r="L5197" s="16">
        <f>base!X5197</f>
        <v>0</v>
      </c>
      <c r="M5197" s="11">
        <f t="shared" si="814"/>
        <v>0</v>
      </c>
      <c r="N5197" s="11">
        <f t="shared" si="815"/>
        <v>7.6483000000000008</v>
      </c>
      <c r="O5197" s="11">
        <f t="shared" si="816"/>
        <v>0.17</v>
      </c>
      <c r="P5197" s="12">
        <f t="shared" si="817"/>
        <v>-7.6483000000000008</v>
      </c>
      <c r="Q5197" s="17" t="str">
        <f t="shared" si="819"/>
        <v>Ecart négatif</v>
      </c>
    </row>
    <row r="5198" spans="1:18" x14ac:dyDescent="0.3">
      <c r="A5198" s="34" t="str">
        <f>base!J5198</f>
        <v>LM</v>
      </c>
      <c r="B5198" s="34" t="str">
        <f>base!V5198</f>
        <v>93013</v>
      </c>
      <c r="C5198" s="37">
        <v>93</v>
      </c>
      <c r="D5198" s="36">
        <f>base!H5198</f>
        <v>55.16</v>
      </c>
      <c r="E5198" s="44"/>
      <c r="F5198" s="16">
        <f>base!W5198</f>
        <v>0</v>
      </c>
      <c r="G5198" s="11">
        <f t="shared" si="810"/>
        <v>0</v>
      </c>
      <c r="H5198" s="11">
        <f t="shared" si="811"/>
        <v>0</v>
      </c>
      <c r="I5198" s="11">
        <f t="shared" si="812"/>
        <v>0</v>
      </c>
      <c r="J5198" s="12">
        <f t="shared" si="813"/>
        <v>0</v>
      </c>
      <c r="K5198" s="17" t="str">
        <f t="shared" si="818"/>
        <v>Pas d'écart</v>
      </c>
      <c r="L5198" s="16">
        <f>base!X5198</f>
        <v>0</v>
      </c>
      <c r="M5198" s="11">
        <f t="shared" si="814"/>
        <v>0</v>
      </c>
      <c r="N5198" s="11">
        <f t="shared" si="815"/>
        <v>0</v>
      </c>
      <c r="O5198" s="11">
        <f t="shared" si="816"/>
        <v>0</v>
      </c>
      <c r="P5198" s="12">
        <f t="shared" si="817"/>
        <v>0</v>
      </c>
      <c r="Q5198" s="17" t="str">
        <f t="shared" si="819"/>
        <v>Pas d'écart</v>
      </c>
    </row>
    <row r="5199" spans="1:18" x14ac:dyDescent="0.3">
      <c r="A5199" s="34" t="str">
        <f>base!J5199</f>
        <v>RS</v>
      </c>
      <c r="B5199" s="34" t="str">
        <f>base!V5199</f>
        <v>59000</v>
      </c>
      <c r="C5199" s="37">
        <v>59</v>
      </c>
      <c r="D5199" s="36">
        <f>base!H5199</f>
        <v>140</v>
      </c>
      <c r="E5199" s="44"/>
      <c r="F5199" s="16">
        <f>base!W5199</f>
        <v>0</v>
      </c>
      <c r="G5199" s="11">
        <f t="shared" si="810"/>
        <v>0</v>
      </c>
      <c r="H5199" s="11">
        <f t="shared" si="811"/>
        <v>26.6</v>
      </c>
      <c r="I5199" s="11">
        <f t="shared" si="812"/>
        <v>0.19</v>
      </c>
      <c r="J5199" s="12">
        <f t="shared" si="813"/>
        <v>-26.6</v>
      </c>
      <c r="K5199" s="17" t="str">
        <f t="shared" si="818"/>
        <v>Ecart négatif</v>
      </c>
      <c r="L5199" s="16">
        <f>base!X5199</f>
        <v>0</v>
      </c>
      <c r="M5199" s="11">
        <f t="shared" si="814"/>
        <v>0</v>
      </c>
      <c r="N5199" s="11">
        <f t="shared" si="815"/>
        <v>0</v>
      </c>
      <c r="O5199" s="11">
        <f t="shared" si="816"/>
        <v>0</v>
      </c>
      <c r="P5199" s="12">
        <f t="shared" si="817"/>
        <v>0</v>
      </c>
      <c r="Q5199" s="17" t="str">
        <f t="shared" si="819"/>
        <v>Pas d'écart</v>
      </c>
    </row>
    <row r="5200" spans="1:18" x14ac:dyDescent="0.3">
      <c r="A5200" s="34" t="str">
        <f>base!J5200</f>
        <v>RM</v>
      </c>
      <c r="B5200" s="34" t="str">
        <f>base!V5200</f>
        <v>33700</v>
      </c>
      <c r="C5200" s="37">
        <v>33</v>
      </c>
      <c r="D5200" s="36">
        <f>base!H5200</f>
        <v>130.37</v>
      </c>
      <c r="E5200" s="44"/>
      <c r="F5200" s="16">
        <f>base!W5200</f>
        <v>0</v>
      </c>
      <c r="G5200" s="11">
        <f t="shared" si="810"/>
        <v>0</v>
      </c>
      <c r="H5200" s="11">
        <f t="shared" si="811"/>
        <v>27.377700000000001</v>
      </c>
      <c r="I5200" s="11">
        <f t="shared" si="812"/>
        <v>0.21</v>
      </c>
      <c r="J5200" s="12">
        <f t="shared" si="813"/>
        <v>-27.377700000000001</v>
      </c>
      <c r="K5200" s="17" t="str">
        <f t="shared" si="818"/>
        <v>Ecart négatif</v>
      </c>
      <c r="L5200" s="16">
        <f>base!X5200</f>
        <v>22.16</v>
      </c>
      <c r="M5200" s="11">
        <f t="shared" si="814"/>
        <v>0.16997775561862391</v>
      </c>
      <c r="N5200" s="11">
        <f t="shared" si="815"/>
        <v>22.162900000000004</v>
      </c>
      <c r="O5200" s="11">
        <f t="shared" si="816"/>
        <v>0.17</v>
      </c>
      <c r="P5200" s="12">
        <f t="shared" si="817"/>
        <v>-2.9000000000038995E-3</v>
      </c>
      <c r="Q5200" s="17" t="str">
        <f t="shared" si="819"/>
        <v>Ecart négatif</v>
      </c>
      <c r="R5200" s="38"/>
    </row>
    <row r="5201" spans="1:18" x14ac:dyDescent="0.3">
      <c r="A5201" s="34" t="str">
        <f>base!J5201</f>
        <v>RM</v>
      </c>
      <c r="B5201" s="34" t="str">
        <f>base!V5201</f>
        <v>75009</v>
      </c>
      <c r="C5201" s="37">
        <v>75</v>
      </c>
      <c r="D5201" s="36">
        <f>base!H5201</f>
        <v>70</v>
      </c>
      <c r="E5201" s="44"/>
      <c r="F5201" s="16">
        <f>base!W5201</f>
        <v>0</v>
      </c>
      <c r="G5201" s="11">
        <f t="shared" si="810"/>
        <v>0</v>
      </c>
      <c r="H5201" s="11">
        <f t="shared" si="811"/>
        <v>0</v>
      </c>
      <c r="I5201" s="11">
        <f t="shared" si="812"/>
        <v>0</v>
      </c>
      <c r="J5201" s="12">
        <f t="shared" si="813"/>
        <v>0</v>
      </c>
      <c r="K5201" s="17" t="str">
        <f t="shared" si="818"/>
        <v>Pas d'écart</v>
      </c>
      <c r="L5201" s="16">
        <f>base!X5201</f>
        <v>0</v>
      </c>
      <c r="M5201" s="11">
        <f t="shared" si="814"/>
        <v>0</v>
      </c>
      <c r="N5201" s="11">
        <f t="shared" si="815"/>
        <v>0</v>
      </c>
      <c r="O5201" s="11">
        <f t="shared" si="816"/>
        <v>0</v>
      </c>
      <c r="P5201" s="12">
        <f t="shared" si="817"/>
        <v>0</v>
      </c>
      <c r="Q5201" s="17" t="str">
        <f t="shared" si="819"/>
        <v>Pas d'écart</v>
      </c>
    </row>
    <row r="5202" spans="1:18" x14ac:dyDescent="0.3">
      <c r="A5202" s="34" t="str">
        <f>base!J5202</f>
        <v>RS</v>
      </c>
      <c r="B5202" s="34" t="str">
        <f>base!V5202</f>
        <v>63410</v>
      </c>
      <c r="C5202" s="37">
        <v>63</v>
      </c>
      <c r="D5202" s="36">
        <f>base!H5202</f>
        <v>140</v>
      </c>
      <c r="E5202" s="44"/>
      <c r="F5202" s="16">
        <f>base!W5202</f>
        <v>0</v>
      </c>
      <c r="G5202" s="11">
        <f t="shared" si="810"/>
        <v>0</v>
      </c>
      <c r="H5202" s="11">
        <f t="shared" si="811"/>
        <v>40.599999999999994</v>
      </c>
      <c r="I5202" s="11">
        <f t="shared" si="812"/>
        <v>0.28999999999999998</v>
      </c>
      <c r="J5202" s="12">
        <f t="shared" si="813"/>
        <v>-40.599999999999994</v>
      </c>
      <c r="K5202" s="17" t="str">
        <f t="shared" si="818"/>
        <v>Ecart négatif</v>
      </c>
      <c r="L5202" s="16">
        <f>base!X5202</f>
        <v>16.8</v>
      </c>
      <c r="M5202" s="11">
        <f t="shared" si="814"/>
        <v>0.12000000000000001</v>
      </c>
      <c r="N5202" s="11">
        <f t="shared" si="815"/>
        <v>16.8</v>
      </c>
      <c r="O5202" s="11">
        <f t="shared" si="816"/>
        <v>0.12000000000000001</v>
      </c>
      <c r="P5202" s="12">
        <f t="shared" si="817"/>
        <v>0</v>
      </c>
      <c r="Q5202" s="17" t="str">
        <f t="shared" si="819"/>
        <v>Pas d'écart</v>
      </c>
      <c r="R5202" s="38"/>
    </row>
    <row r="5203" spans="1:18" x14ac:dyDescent="0.3">
      <c r="A5203" s="34" t="str">
        <f>base!J5203</f>
        <v>DRS</v>
      </c>
      <c r="B5203" s="34" t="str">
        <f>base!V5203</f>
        <v>51320</v>
      </c>
      <c r="C5203" s="37">
        <v>51</v>
      </c>
      <c r="D5203" s="36">
        <f>base!H5203</f>
        <v>194</v>
      </c>
      <c r="E5203" s="44"/>
      <c r="F5203" s="16">
        <f>base!W5203</f>
        <v>0</v>
      </c>
      <c r="G5203" s="11">
        <f t="shared" si="810"/>
        <v>0</v>
      </c>
      <c r="H5203" s="11">
        <f t="shared" si="811"/>
        <v>48.5</v>
      </c>
      <c r="I5203" s="11">
        <f t="shared" si="812"/>
        <v>0.25</v>
      </c>
      <c r="J5203" s="12">
        <f t="shared" si="813"/>
        <v>-48.5</v>
      </c>
      <c r="K5203" s="17" t="str">
        <f t="shared" si="818"/>
        <v>Ecart négatif</v>
      </c>
      <c r="L5203" s="16">
        <f>base!X5203</f>
        <v>0</v>
      </c>
      <c r="M5203" s="11">
        <f t="shared" si="814"/>
        <v>0</v>
      </c>
      <c r="N5203" s="11">
        <f t="shared" si="815"/>
        <v>48.5</v>
      </c>
      <c r="O5203" s="11">
        <f t="shared" si="816"/>
        <v>0.25</v>
      </c>
      <c r="P5203" s="12">
        <f t="shared" si="817"/>
        <v>-48.5</v>
      </c>
      <c r="Q5203" s="17" t="str">
        <f t="shared" si="819"/>
        <v>Ecart négatif</v>
      </c>
    </row>
    <row r="5204" spans="1:18" x14ac:dyDescent="0.3">
      <c r="A5204" s="34" t="str">
        <f>base!J5204</f>
        <v>RS</v>
      </c>
      <c r="B5204" s="34" t="str">
        <f>base!V5204</f>
        <v>88700</v>
      </c>
      <c r="C5204" s="37">
        <v>88</v>
      </c>
      <c r="D5204" s="36">
        <f>base!H5204</f>
        <v>153.66</v>
      </c>
      <c r="E5204" s="44"/>
      <c r="F5204" s="16">
        <f>base!W5204</f>
        <v>0</v>
      </c>
      <c r="G5204" s="11">
        <f t="shared" si="810"/>
        <v>0</v>
      </c>
      <c r="H5204" s="11">
        <f t="shared" si="811"/>
        <v>43.024800000000006</v>
      </c>
      <c r="I5204" s="11">
        <f t="shared" si="812"/>
        <v>0.28000000000000003</v>
      </c>
      <c r="J5204" s="12">
        <f t="shared" si="813"/>
        <v>-43.024800000000006</v>
      </c>
      <c r="K5204" s="17" t="str">
        <f t="shared" si="818"/>
        <v>Ecart négatif</v>
      </c>
      <c r="L5204" s="16">
        <f>base!X5204</f>
        <v>12.29</v>
      </c>
      <c r="M5204" s="11">
        <f t="shared" si="814"/>
        <v>7.9981777951321095E-2</v>
      </c>
      <c r="N5204" s="11">
        <f t="shared" si="815"/>
        <v>12.2928</v>
      </c>
      <c r="O5204" s="11">
        <f t="shared" si="816"/>
        <v>0.08</v>
      </c>
      <c r="P5204" s="12">
        <f t="shared" si="817"/>
        <v>-2.8000000000005798E-3</v>
      </c>
      <c r="Q5204" s="17" t="str">
        <f t="shared" si="819"/>
        <v>Ecart négatif</v>
      </c>
      <c r="R5204" s="38"/>
    </row>
    <row r="5205" spans="1:18" x14ac:dyDescent="0.3">
      <c r="A5205" s="34" t="str">
        <f>base!J5205</f>
        <v>LM</v>
      </c>
      <c r="B5205" s="34" t="str">
        <f>base!V5205</f>
        <v>49500</v>
      </c>
      <c r="C5205" s="37">
        <v>56</v>
      </c>
      <c r="D5205" s="36">
        <f>base!H5205</f>
        <v>55.34</v>
      </c>
      <c r="E5205" s="44"/>
      <c r="F5205" s="16">
        <f>base!W5205</f>
        <v>14.94</v>
      </c>
      <c r="G5205" s="11">
        <f t="shared" si="810"/>
        <v>0.26996747379833752</v>
      </c>
      <c r="H5205" s="11">
        <f t="shared" si="811"/>
        <v>14.941800000000002</v>
      </c>
      <c r="I5205" s="11">
        <f t="shared" si="812"/>
        <v>0.27</v>
      </c>
      <c r="J5205" s="12">
        <f t="shared" si="813"/>
        <v>-1.8000000000029104E-3</v>
      </c>
      <c r="K5205" s="17" t="str">
        <f t="shared" si="818"/>
        <v>Ecart négatif</v>
      </c>
      <c r="L5205" s="16">
        <f>base!X5205</f>
        <v>0</v>
      </c>
      <c r="M5205" s="11">
        <f t="shared" si="814"/>
        <v>0</v>
      </c>
      <c r="N5205" s="11">
        <f t="shared" si="815"/>
        <v>0</v>
      </c>
      <c r="O5205" s="11">
        <f t="shared" si="816"/>
        <v>0</v>
      </c>
      <c r="P5205" s="12">
        <f t="shared" si="817"/>
        <v>0</v>
      </c>
      <c r="Q5205" s="17" t="str">
        <f t="shared" si="819"/>
        <v>Pas d'écart</v>
      </c>
    </row>
    <row r="5206" spans="1:18" x14ac:dyDescent="0.3">
      <c r="A5206" s="34" t="str">
        <f>base!J5206</f>
        <v>RS</v>
      </c>
      <c r="B5206" s="34" t="str">
        <f>base!V5206</f>
        <v>44000</v>
      </c>
      <c r="C5206" s="37">
        <v>44</v>
      </c>
      <c r="D5206" s="36">
        <f>base!H5206</f>
        <v>153.04</v>
      </c>
      <c r="E5206" s="44"/>
      <c r="F5206" s="16">
        <f>base!W5206</f>
        <v>0</v>
      </c>
      <c r="G5206" s="11">
        <f t="shared" si="810"/>
        <v>0</v>
      </c>
      <c r="H5206" s="11">
        <f t="shared" si="811"/>
        <v>41.320799999999998</v>
      </c>
      <c r="I5206" s="11">
        <f t="shared" si="812"/>
        <v>0.27</v>
      </c>
      <c r="J5206" s="12">
        <f t="shared" si="813"/>
        <v>-41.320799999999998</v>
      </c>
      <c r="K5206" s="17" t="str">
        <f t="shared" si="818"/>
        <v>Ecart négatif</v>
      </c>
      <c r="L5206" s="16">
        <f>base!X5206</f>
        <v>0</v>
      </c>
      <c r="M5206" s="11">
        <f t="shared" si="814"/>
        <v>0</v>
      </c>
      <c r="N5206" s="11">
        <f t="shared" si="815"/>
        <v>0</v>
      </c>
      <c r="O5206" s="11">
        <f t="shared" si="816"/>
        <v>0</v>
      </c>
      <c r="P5206" s="12">
        <f t="shared" si="817"/>
        <v>0</v>
      </c>
      <c r="Q5206" s="17" t="str">
        <f t="shared" si="819"/>
        <v>Pas d'écart</v>
      </c>
    </row>
    <row r="5207" spans="1:18" x14ac:dyDescent="0.3">
      <c r="A5207" s="34" t="str">
        <f>base!J5207</f>
        <v>LM</v>
      </c>
      <c r="B5207" s="34" t="str">
        <f>base!V5207</f>
        <v>21160</v>
      </c>
      <c r="C5207" s="37">
        <v>56</v>
      </c>
      <c r="D5207" s="36">
        <f>base!H5207</f>
        <v>137.43</v>
      </c>
      <c r="E5207" s="44"/>
      <c r="F5207" s="16">
        <f>base!W5207</f>
        <v>32.979999999999997</v>
      </c>
      <c r="G5207" s="11">
        <f t="shared" si="810"/>
        <v>0.23997671541875862</v>
      </c>
      <c r="H5207" s="11">
        <f t="shared" si="811"/>
        <v>37.106100000000005</v>
      </c>
      <c r="I5207" s="11">
        <f t="shared" si="812"/>
        <v>0.27</v>
      </c>
      <c r="J5207" s="12">
        <f t="shared" si="813"/>
        <v>-4.1261000000000081</v>
      </c>
      <c r="K5207" s="17" t="str">
        <f t="shared" si="818"/>
        <v>Ecart négatif</v>
      </c>
      <c r="L5207" s="16">
        <f>base!X5207</f>
        <v>0</v>
      </c>
      <c r="M5207" s="11">
        <f t="shared" si="814"/>
        <v>0</v>
      </c>
      <c r="N5207" s="11">
        <f t="shared" si="815"/>
        <v>0</v>
      </c>
      <c r="O5207" s="11">
        <f t="shared" si="816"/>
        <v>0</v>
      </c>
      <c r="P5207" s="12">
        <f t="shared" si="817"/>
        <v>0</v>
      </c>
      <c r="Q5207" s="17" t="str">
        <f t="shared" si="819"/>
        <v>Pas d'écart</v>
      </c>
    </row>
    <row r="5208" spans="1:18" x14ac:dyDescent="0.3">
      <c r="A5208" s="34" t="str">
        <f>base!J5208</f>
        <v>RS</v>
      </c>
      <c r="B5208" s="34" t="str">
        <f>base!V5208</f>
        <v>62320</v>
      </c>
      <c r="C5208" s="37">
        <v>62</v>
      </c>
      <c r="D5208" s="36">
        <f>base!H5208</f>
        <v>197.02</v>
      </c>
      <c r="E5208" s="44"/>
      <c r="F5208" s="16">
        <f>base!W5208</f>
        <v>0</v>
      </c>
      <c r="G5208" s="11">
        <f t="shared" si="810"/>
        <v>0</v>
      </c>
      <c r="H5208" s="11">
        <f t="shared" si="811"/>
        <v>37.433800000000005</v>
      </c>
      <c r="I5208" s="11">
        <f t="shared" si="812"/>
        <v>0.19</v>
      </c>
      <c r="J5208" s="12">
        <f t="shared" si="813"/>
        <v>-37.433800000000005</v>
      </c>
      <c r="K5208" s="17" t="str">
        <f t="shared" si="818"/>
        <v>Ecart négatif</v>
      </c>
      <c r="L5208" s="16">
        <f>base!X5208</f>
        <v>0</v>
      </c>
      <c r="M5208" s="11">
        <f t="shared" si="814"/>
        <v>0</v>
      </c>
      <c r="N5208" s="11">
        <f t="shared" si="815"/>
        <v>0</v>
      </c>
      <c r="O5208" s="11">
        <f t="shared" si="816"/>
        <v>0</v>
      </c>
      <c r="P5208" s="12">
        <f t="shared" si="817"/>
        <v>0</v>
      </c>
      <c r="Q5208" s="17" t="str">
        <f t="shared" si="819"/>
        <v>Pas d'écart</v>
      </c>
    </row>
    <row r="5209" spans="1:18" x14ac:dyDescent="0.3">
      <c r="A5209" s="34" t="str">
        <f>base!J5209</f>
        <v>RS</v>
      </c>
      <c r="B5209" s="34" t="str">
        <f>base!V5209</f>
        <v>06560</v>
      </c>
      <c r="C5209" s="37">
        <v>6</v>
      </c>
      <c r="D5209" s="36">
        <f>base!H5209</f>
        <v>151</v>
      </c>
      <c r="E5209" s="44"/>
      <c r="F5209" s="16">
        <f>base!W5209</f>
        <v>0</v>
      </c>
      <c r="G5209" s="11">
        <f t="shared" si="810"/>
        <v>0</v>
      </c>
      <c r="H5209" s="11">
        <f t="shared" si="811"/>
        <v>45.3</v>
      </c>
      <c r="I5209" s="11">
        <f t="shared" si="812"/>
        <v>0.3</v>
      </c>
      <c r="J5209" s="12">
        <f t="shared" si="813"/>
        <v>-45.3</v>
      </c>
      <c r="K5209" s="17" t="str">
        <f t="shared" si="818"/>
        <v>Ecart négatif</v>
      </c>
      <c r="L5209" s="16">
        <f>base!X5209</f>
        <v>0</v>
      </c>
      <c r="M5209" s="11">
        <f t="shared" si="814"/>
        <v>0</v>
      </c>
      <c r="N5209" s="11">
        <f t="shared" si="815"/>
        <v>31.709999999999997</v>
      </c>
      <c r="O5209" s="11">
        <f t="shared" si="816"/>
        <v>0.21</v>
      </c>
      <c r="P5209" s="12">
        <f t="shared" si="817"/>
        <v>-31.709999999999997</v>
      </c>
      <c r="Q5209" s="17" t="str">
        <f t="shared" si="819"/>
        <v>Ecart négatif</v>
      </c>
    </row>
    <row r="5210" spans="1:18" x14ac:dyDescent="0.3">
      <c r="A5210" s="34" t="str">
        <f>base!J5210</f>
        <v>RM</v>
      </c>
      <c r="B5210" s="34" t="str">
        <f>base!V5210</f>
        <v>06560</v>
      </c>
      <c r="C5210" s="37">
        <v>6</v>
      </c>
      <c r="D5210" s="36">
        <f>base!H5210</f>
        <v>151</v>
      </c>
      <c r="E5210" s="44"/>
      <c r="F5210" s="16">
        <f>base!W5210</f>
        <v>0</v>
      </c>
      <c r="G5210" s="11">
        <f t="shared" si="810"/>
        <v>0</v>
      </c>
      <c r="H5210" s="11">
        <f t="shared" si="811"/>
        <v>45.3</v>
      </c>
      <c r="I5210" s="11">
        <f t="shared" si="812"/>
        <v>0.3</v>
      </c>
      <c r="J5210" s="12">
        <f t="shared" si="813"/>
        <v>-45.3</v>
      </c>
      <c r="K5210" s="17" t="str">
        <f t="shared" si="818"/>
        <v>Ecart négatif</v>
      </c>
      <c r="L5210" s="16">
        <f>base!X5210</f>
        <v>0</v>
      </c>
      <c r="M5210" s="11">
        <f t="shared" si="814"/>
        <v>0</v>
      </c>
      <c r="N5210" s="11">
        <f t="shared" si="815"/>
        <v>31.709999999999997</v>
      </c>
      <c r="O5210" s="11">
        <f t="shared" si="816"/>
        <v>0.21</v>
      </c>
      <c r="P5210" s="12">
        <f t="shared" si="817"/>
        <v>-31.709999999999997</v>
      </c>
      <c r="Q5210" s="17" t="str">
        <f t="shared" si="819"/>
        <v>Ecart négatif</v>
      </c>
    </row>
    <row r="5211" spans="1:18" x14ac:dyDescent="0.3">
      <c r="A5211" s="34" t="str">
        <f>base!J5211</f>
        <v>RM</v>
      </c>
      <c r="B5211" s="34" t="str">
        <f>base!V5211</f>
        <v>06560</v>
      </c>
      <c r="C5211" s="37">
        <v>6</v>
      </c>
      <c r="D5211" s="36">
        <f>base!H5211</f>
        <v>151</v>
      </c>
      <c r="E5211" s="44"/>
      <c r="F5211" s="16">
        <f>base!W5211</f>
        <v>0</v>
      </c>
      <c r="G5211" s="11">
        <f t="shared" si="810"/>
        <v>0</v>
      </c>
      <c r="H5211" s="11">
        <f t="shared" si="811"/>
        <v>45.3</v>
      </c>
      <c r="I5211" s="11">
        <f t="shared" si="812"/>
        <v>0.3</v>
      </c>
      <c r="J5211" s="12">
        <f t="shared" si="813"/>
        <v>-45.3</v>
      </c>
      <c r="K5211" s="17" t="str">
        <f t="shared" si="818"/>
        <v>Ecart négatif</v>
      </c>
      <c r="L5211" s="16">
        <f>base!X5211</f>
        <v>0</v>
      </c>
      <c r="M5211" s="11">
        <f t="shared" si="814"/>
        <v>0</v>
      </c>
      <c r="N5211" s="11">
        <f t="shared" si="815"/>
        <v>31.709999999999997</v>
      </c>
      <c r="O5211" s="11">
        <f t="shared" si="816"/>
        <v>0.21</v>
      </c>
      <c r="P5211" s="12">
        <f t="shared" si="817"/>
        <v>-31.709999999999997</v>
      </c>
      <c r="Q5211" s="17" t="str">
        <f t="shared" si="819"/>
        <v>Ecart négatif</v>
      </c>
    </row>
    <row r="5212" spans="1:18" x14ac:dyDescent="0.3">
      <c r="A5212" s="34">
        <f>base!J5212</f>
        <v>0</v>
      </c>
      <c r="B5212" s="34" t="str">
        <f>base!V5212</f>
        <v>77184</v>
      </c>
      <c r="C5212" s="37">
        <v>77</v>
      </c>
      <c r="D5212" s="36">
        <f>base!H5212</f>
        <v>84.5</v>
      </c>
      <c r="E5212" s="44"/>
      <c r="F5212" s="16">
        <f>base!W5212</f>
        <v>0</v>
      </c>
      <c r="G5212" s="11">
        <f t="shared" si="810"/>
        <v>0</v>
      </c>
      <c r="H5212" s="11">
        <f t="shared" si="811"/>
        <v>0</v>
      </c>
      <c r="I5212" s="11">
        <f t="shared" si="812"/>
        <v>0</v>
      </c>
      <c r="J5212" s="12">
        <f t="shared" si="813"/>
        <v>0</v>
      </c>
      <c r="K5212" s="17" t="str">
        <f t="shared" si="818"/>
        <v>Pas d'écart</v>
      </c>
      <c r="L5212" s="16">
        <f>base!X5212</f>
        <v>0</v>
      </c>
      <c r="M5212" s="11">
        <f t="shared" si="814"/>
        <v>0</v>
      </c>
      <c r="N5212" s="11">
        <f t="shared" si="815"/>
        <v>0</v>
      </c>
      <c r="O5212" s="11">
        <f t="shared" si="816"/>
        <v>0</v>
      </c>
      <c r="P5212" s="12">
        <f t="shared" si="817"/>
        <v>0</v>
      </c>
      <c r="Q5212" s="17" t="str">
        <f t="shared" si="819"/>
        <v>Pas d'écart</v>
      </c>
    </row>
    <row r="5213" spans="1:18" x14ac:dyDescent="0.3">
      <c r="A5213" s="34" t="str">
        <f>base!J5213</f>
        <v>DLM</v>
      </c>
      <c r="B5213" s="34" t="str">
        <f>base!V5213</f>
        <v>63100</v>
      </c>
      <c r="C5213" s="37">
        <v>63</v>
      </c>
      <c r="D5213" s="36">
        <f>base!H5213</f>
        <v>40</v>
      </c>
      <c r="E5213" s="44"/>
      <c r="F5213" s="16">
        <f>base!W5213</f>
        <v>22.4</v>
      </c>
      <c r="G5213" s="11">
        <f t="shared" si="810"/>
        <v>0.55999999999999994</v>
      </c>
      <c r="H5213" s="11">
        <f t="shared" si="811"/>
        <v>11.6</v>
      </c>
      <c r="I5213" s="11">
        <f t="shared" si="812"/>
        <v>0.28999999999999998</v>
      </c>
      <c r="J5213" s="12">
        <f t="shared" si="813"/>
        <v>10.799999999999999</v>
      </c>
      <c r="K5213" s="17" t="str">
        <f t="shared" si="818"/>
        <v>Ecart positif</v>
      </c>
      <c r="L5213" s="16">
        <f>base!X5213</f>
        <v>0</v>
      </c>
      <c r="M5213" s="11">
        <f t="shared" si="814"/>
        <v>0</v>
      </c>
      <c r="N5213" s="11">
        <f t="shared" si="815"/>
        <v>4.8</v>
      </c>
      <c r="O5213" s="11">
        <f t="shared" si="816"/>
        <v>0.12</v>
      </c>
      <c r="P5213" s="12">
        <f t="shared" si="817"/>
        <v>-4.8</v>
      </c>
      <c r="Q5213" s="17" t="str">
        <f t="shared" si="819"/>
        <v>Ecart négatif</v>
      </c>
    </row>
    <row r="5214" spans="1:18" x14ac:dyDescent="0.3">
      <c r="A5214" s="34" t="str">
        <f>base!J5214</f>
        <v>RM</v>
      </c>
      <c r="B5214" s="34" t="str">
        <f>base!V5214</f>
        <v>76200</v>
      </c>
      <c r="C5214" s="37">
        <v>76</v>
      </c>
      <c r="D5214" s="36">
        <f>base!H5214</f>
        <v>151</v>
      </c>
      <c r="E5214" s="44"/>
      <c r="F5214" s="16">
        <f>base!W5214</f>
        <v>0</v>
      </c>
      <c r="G5214" s="11">
        <f t="shared" si="810"/>
        <v>0</v>
      </c>
      <c r="H5214" s="11">
        <f t="shared" si="811"/>
        <v>25.67</v>
      </c>
      <c r="I5214" s="11">
        <f t="shared" si="812"/>
        <v>0.17</v>
      </c>
      <c r="J5214" s="12">
        <f t="shared" si="813"/>
        <v>-25.67</v>
      </c>
      <c r="K5214" s="17" t="str">
        <f t="shared" si="818"/>
        <v>Ecart négatif</v>
      </c>
      <c r="L5214" s="16">
        <f>base!X5214</f>
        <v>25.67</v>
      </c>
      <c r="M5214" s="11">
        <f t="shared" si="814"/>
        <v>0.17</v>
      </c>
      <c r="N5214" s="11">
        <f t="shared" si="815"/>
        <v>25.67</v>
      </c>
      <c r="O5214" s="11">
        <f t="shared" si="816"/>
        <v>0.17</v>
      </c>
      <c r="P5214" s="12">
        <f t="shared" si="817"/>
        <v>0</v>
      </c>
      <c r="Q5214" s="17" t="str">
        <f t="shared" si="819"/>
        <v>Pas d'écart</v>
      </c>
      <c r="R5214" s="38"/>
    </row>
    <row r="5215" spans="1:18" x14ac:dyDescent="0.3">
      <c r="A5215" s="34">
        <f>base!J5215</f>
        <v>0</v>
      </c>
      <c r="B5215" s="34" t="str">
        <f>base!V5215</f>
        <v>68920</v>
      </c>
      <c r="C5215" s="37">
        <v>68</v>
      </c>
      <c r="D5215" s="36">
        <f>base!H5215</f>
        <v>30</v>
      </c>
      <c r="E5215" s="44"/>
      <c r="F5215" s="16">
        <f>base!W5215</f>
        <v>0</v>
      </c>
      <c r="G5215" s="11">
        <f t="shared" si="810"/>
        <v>0</v>
      </c>
      <c r="H5215" s="11">
        <f t="shared" si="811"/>
        <v>8.6999999999999993</v>
      </c>
      <c r="I5215" s="11">
        <f t="shared" si="812"/>
        <v>0.28999999999999998</v>
      </c>
      <c r="J5215" s="12">
        <f t="shared" si="813"/>
        <v>-8.6999999999999993</v>
      </c>
      <c r="K5215" s="17" t="str">
        <f t="shared" si="818"/>
        <v>Ecart négatif</v>
      </c>
      <c r="L5215" s="16">
        <f>base!X5215</f>
        <v>0</v>
      </c>
      <c r="M5215" s="11">
        <f t="shared" si="814"/>
        <v>0</v>
      </c>
      <c r="N5215" s="11">
        <f t="shared" si="815"/>
        <v>2.4</v>
      </c>
      <c r="O5215" s="11">
        <f t="shared" si="816"/>
        <v>0.08</v>
      </c>
      <c r="P5215" s="12">
        <f t="shared" si="817"/>
        <v>-2.4</v>
      </c>
      <c r="Q5215" s="17" t="str">
        <f t="shared" si="819"/>
        <v>Ecart négatif</v>
      </c>
    </row>
    <row r="5216" spans="1:18" x14ac:dyDescent="0.3">
      <c r="A5216" s="34" t="str">
        <f>base!J5216</f>
        <v>RS</v>
      </c>
      <c r="B5216" s="34" t="str">
        <f>base!V5216</f>
        <v>59770</v>
      </c>
      <c r="C5216" s="37">
        <v>59</v>
      </c>
      <c r="D5216" s="36">
        <f>base!H5216</f>
        <v>180</v>
      </c>
      <c r="E5216" s="44"/>
      <c r="F5216" s="16">
        <f>base!W5216</f>
        <v>0</v>
      </c>
      <c r="G5216" s="11">
        <f t="shared" si="810"/>
        <v>0</v>
      </c>
      <c r="H5216" s="11">
        <f t="shared" si="811"/>
        <v>34.200000000000003</v>
      </c>
      <c r="I5216" s="11">
        <f t="shared" si="812"/>
        <v>0.19</v>
      </c>
      <c r="J5216" s="12">
        <f t="shared" si="813"/>
        <v>-34.200000000000003</v>
      </c>
      <c r="K5216" s="17" t="str">
        <f t="shared" si="818"/>
        <v>Ecart négatif</v>
      </c>
      <c r="L5216" s="16">
        <f>base!X5216</f>
        <v>0</v>
      </c>
      <c r="M5216" s="11">
        <f t="shared" si="814"/>
        <v>0</v>
      </c>
      <c r="N5216" s="11">
        <f t="shared" si="815"/>
        <v>0</v>
      </c>
      <c r="O5216" s="11">
        <f t="shared" si="816"/>
        <v>0</v>
      </c>
      <c r="P5216" s="12">
        <f t="shared" si="817"/>
        <v>0</v>
      </c>
      <c r="Q5216" s="17" t="str">
        <f t="shared" si="819"/>
        <v>Pas d'écart</v>
      </c>
    </row>
    <row r="5217" spans="1:18" x14ac:dyDescent="0.3">
      <c r="A5217" s="34" t="str">
        <f>base!J5217</f>
        <v>RM</v>
      </c>
      <c r="B5217" s="34" t="str">
        <f>base!V5217</f>
        <v>88250</v>
      </c>
      <c r="C5217" s="37">
        <v>88</v>
      </c>
      <c r="D5217" s="36">
        <f>base!H5217</f>
        <v>15.8</v>
      </c>
      <c r="E5217" s="44"/>
      <c r="F5217" s="16">
        <f>base!W5217</f>
        <v>0</v>
      </c>
      <c r="G5217" s="11">
        <f t="shared" si="810"/>
        <v>0</v>
      </c>
      <c r="H5217" s="11">
        <f t="shared" si="811"/>
        <v>4.4240000000000004</v>
      </c>
      <c r="I5217" s="11">
        <f t="shared" si="812"/>
        <v>0.28000000000000003</v>
      </c>
      <c r="J5217" s="12">
        <f t="shared" si="813"/>
        <v>-4.4240000000000004</v>
      </c>
      <c r="K5217" s="17" t="str">
        <f t="shared" si="818"/>
        <v>Ecart négatif</v>
      </c>
      <c r="L5217" s="16">
        <f>base!X5217</f>
        <v>0</v>
      </c>
      <c r="M5217" s="11">
        <f t="shared" si="814"/>
        <v>0</v>
      </c>
      <c r="N5217" s="11">
        <f t="shared" si="815"/>
        <v>1.264</v>
      </c>
      <c r="O5217" s="11">
        <f t="shared" si="816"/>
        <v>0.08</v>
      </c>
      <c r="P5217" s="12">
        <f t="shared" si="817"/>
        <v>-1.264</v>
      </c>
      <c r="Q5217" s="17" t="str">
        <f t="shared" si="819"/>
        <v>Ecart négatif</v>
      </c>
    </row>
    <row r="5218" spans="1:18" x14ac:dyDescent="0.3">
      <c r="A5218" s="34" t="str">
        <f>base!J5218</f>
        <v>LM</v>
      </c>
      <c r="B5218" s="34" t="str">
        <f>base!V5218</f>
        <v>62740</v>
      </c>
      <c r="C5218" s="37">
        <v>56</v>
      </c>
      <c r="D5218" s="36">
        <f>base!H5218</f>
        <v>55.31</v>
      </c>
      <c r="E5218" s="44"/>
      <c r="F5218" s="16">
        <f>base!W5218</f>
        <v>10.51</v>
      </c>
      <c r="G5218" s="11">
        <f t="shared" si="810"/>
        <v>0.19001988790453805</v>
      </c>
      <c r="H5218" s="11">
        <f t="shared" si="811"/>
        <v>14.933700000000002</v>
      </c>
      <c r="I5218" s="11">
        <f t="shared" si="812"/>
        <v>0.27</v>
      </c>
      <c r="J5218" s="12">
        <f t="shared" si="813"/>
        <v>-4.423700000000002</v>
      </c>
      <c r="K5218" s="17" t="str">
        <f t="shared" si="818"/>
        <v>Ecart négatif</v>
      </c>
      <c r="L5218" s="16">
        <f>base!X5218</f>
        <v>0</v>
      </c>
      <c r="M5218" s="11">
        <f t="shared" si="814"/>
        <v>0</v>
      </c>
      <c r="N5218" s="11">
        <f t="shared" si="815"/>
        <v>0</v>
      </c>
      <c r="O5218" s="11">
        <f t="shared" si="816"/>
        <v>0</v>
      </c>
      <c r="P5218" s="12">
        <f t="shared" si="817"/>
        <v>0</v>
      </c>
      <c r="Q5218" s="17" t="str">
        <f t="shared" si="819"/>
        <v>Pas d'écart</v>
      </c>
    </row>
    <row r="5219" spans="1:18" x14ac:dyDescent="0.3">
      <c r="A5219" s="34">
        <f>base!J5219</f>
        <v>0</v>
      </c>
      <c r="B5219" s="34" t="str">
        <f>base!V5219</f>
        <v>77184</v>
      </c>
      <c r="C5219" s="37">
        <v>77</v>
      </c>
      <c r="D5219" s="36">
        <f>base!H5219</f>
        <v>31</v>
      </c>
      <c r="E5219" s="44"/>
      <c r="F5219" s="16">
        <f>base!W5219</f>
        <v>0</v>
      </c>
      <c r="G5219" s="11">
        <f t="shared" si="810"/>
        <v>0</v>
      </c>
      <c r="H5219" s="11">
        <f t="shared" si="811"/>
        <v>0</v>
      </c>
      <c r="I5219" s="11">
        <f t="shared" si="812"/>
        <v>0</v>
      </c>
      <c r="J5219" s="12">
        <f t="shared" si="813"/>
        <v>0</v>
      </c>
      <c r="K5219" s="17" t="str">
        <f t="shared" si="818"/>
        <v>Pas d'écart</v>
      </c>
      <c r="L5219" s="16">
        <f>base!X5219</f>
        <v>0</v>
      </c>
      <c r="M5219" s="11">
        <f t="shared" si="814"/>
        <v>0</v>
      </c>
      <c r="N5219" s="11">
        <f t="shared" si="815"/>
        <v>0</v>
      </c>
      <c r="O5219" s="11">
        <f t="shared" si="816"/>
        <v>0</v>
      </c>
      <c r="P5219" s="12">
        <f t="shared" si="817"/>
        <v>0</v>
      </c>
      <c r="Q5219" s="17" t="str">
        <f t="shared" si="819"/>
        <v>Pas d'écart</v>
      </c>
    </row>
    <row r="5220" spans="1:18" x14ac:dyDescent="0.3">
      <c r="A5220" s="34" t="str">
        <f>base!J5220</f>
        <v>LS</v>
      </c>
      <c r="B5220" s="34" t="str">
        <f>base!V5220</f>
        <v>44240</v>
      </c>
      <c r="C5220" s="37">
        <v>56</v>
      </c>
      <c r="D5220" s="36">
        <f>base!H5220</f>
        <v>47</v>
      </c>
      <c r="E5220" s="44"/>
      <c r="F5220" s="16">
        <f>base!W5220</f>
        <v>12.69</v>
      </c>
      <c r="G5220" s="11">
        <f t="shared" si="810"/>
        <v>0.26999999999999996</v>
      </c>
      <c r="H5220" s="11">
        <f t="shared" si="811"/>
        <v>12.690000000000001</v>
      </c>
      <c r="I5220" s="11">
        <f t="shared" si="812"/>
        <v>0.27</v>
      </c>
      <c r="J5220" s="12">
        <f t="shared" si="813"/>
        <v>0</v>
      </c>
      <c r="K5220" s="17" t="str">
        <f t="shared" si="818"/>
        <v>Pas d'écart</v>
      </c>
      <c r="L5220" s="16">
        <f>base!X5220</f>
        <v>0</v>
      </c>
      <c r="M5220" s="11">
        <f t="shared" si="814"/>
        <v>0</v>
      </c>
      <c r="N5220" s="11">
        <f t="shared" si="815"/>
        <v>0</v>
      </c>
      <c r="O5220" s="11">
        <f t="shared" si="816"/>
        <v>0</v>
      </c>
      <c r="P5220" s="12">
        <f t="shared" si="817"/>
        <v>0</v>
      </c>
      <c r="Q5220" s="17" t="str">
        <f t="shared" si="819"/>
        <v>Pas d'écart</v>
      </c>
    </row>
    <row r="5221" spans="1:18" x14ac:dyDescent="0.3">
      <c r="A5221" s="34">
        <f>base!J5221</f>
        <v>0</v>
      </c>
      <c r="B5221" s="34" t="str">
        <f>base!V5221</f>
        <v>77184</v>
      </c>
      <c r="C5221" s="37">
        <v>77</v>
      </c>
      <c r="D5221" s="36">
        <f>base!H5221</f>
        <v>68.3</v>
      </c>
      <c r="E5221" s="44"/>
      <c r="F5221" s="16">
        <f>base!W5221</f>
        <v>0</v>
      </c>
      <c r="G5221" s="11">
        <f t="shared" si="810"/>
        <v>0</v>
      </c>
      <c r="H5221" s="11">
        <f t="shared" si="811"/>
        <v>0</v>
      </c>
      <c r="I5221" s="11">
        <f t="shared" si="812"/>
        <v>0</v>
      </c>
      <c r="J5221" s="12">
        <f t="shared" si="813"/>
        <v>0</v>
      </c>
      <c r="K5221" s="17" t="str">
        <f t="shared" si="818"/>
        <v>Pas d'écart</v>
      </c>
      <c r="L5221" s="16">
        <f>base!X5221</f>
        <v>0</v>
      </c>
      <c r="M5221" s="11">
        <f t="shared" si="814"/>
        <v>0</v>
      </c>
      <c r="N5221" s="11">
        <f t="shared" si="815"/>
        <v>0</v>
      </c>
      <c r="O5221" s="11">
        <f t="shared" si="816"/>
        <v>0</v>
      </c>
      <c r="P5221" s="12">
        <f t="shared" si="817"/>
        <v>0</v>
      </c>
      <c r="Q5221" s="17" t="str">
        <f t="shared" si="819"/>
        <v>Pas d'écart</v>
      </c>
    </row>
    <row r="5222" spans="1:18" x14ac:dyDescent="0.3">
      <c r="A5222" s="34" t="str">
        <f>base!J5222</f>
        <v>DLS</v>
      </c>
      <c r="B5222" s="34" t="str">
        <f>base!V5222</f>
        <v>54830</v>
      </c>
      <c r="C5222" s="37">
        <v>54</v>
      </c>
      <c r="D5222" s="36">
        <f>base!H5222</f>
        <v>151</v>
      </c>
      <c r="E5222" s="44"/>
      <c r="F5222" s="16">
        <f>base!W5222</f>
        <v>37.75</v>
      </c>
      <c r="G5222" s="11">
        <f t="shared" si="810"/>
        <v>0.25</v>
      </c>
      <c r="H5222" s="11">
        <f t="shared" si="811"/>
        <v>37.75</v>
      </c>
      <c r="I5222" s="11">
        <f t="shared" si="812"/>
        <v>0.25</v>
      </c>
      <c r="J5222" s="12">
        <f t="shared" si="813"/>
        <v>0</v>
      </c>
      <c r="K5222" s="17" t="str">
        <f t="shared" si="818"/>
        <v>Pas d'écart</v>
      </c>
      <c r="L5222" s="16">
        <f>base!X5222</f>
        <v>0</v>
      </c>
      <c r="M5222" s="11">
        <f t="shared" si="814"/>
        <v>0</v>
      </c>
      <c r="N5222" s="11">
        <f t="shared" si="815"/>
        <v>37.75</v>
      </c>
      <c r="O5222" s="11">
        <f t="shared" si="816"/>
        <v>0.25</v>
      </c>
      <c r="P5222" s="12">
        <f t="shared" si="817"/>
        <v>-37.75</v>
      </c>
      <c r="Q5222" s="17" t="str">
        <f t="shared" si="819"/>
        <v>Ecart négatif</v>
      </c>
    </row>
    <row r="5223" spans="1:18" x14ac:dyDescent="0.3">
      <c r="A5223" s="34" t="str">
        <f>base!J5223</f>
        <v>RS</v>
      </c>
      <c r="B5223" s="34" t="str">
        <f>base!V5223</f>
        <v>38100</v>
      </c>
      <c r="C5223" s="37">
        <v>38</v>
      </c>
      <c r="D5223" s="36">
        <f>base!H5223</f>
        <v>70</v>
      </c>
      <c r="E5223" s="44"/>
      <c r="F5223" s="16">
        <f>base!W5223</f>
        <v>0</v>
      </c>
      <c r="G5223" s="11">
        <f t="shared" si="810"/>
        <v>0</v>
      </c>
      <c r="H5223" s="11">
        <f t="shared" si="811"/>
        <v>18.900000000000002</v>
      </c>
      <c r="I5223" s="11">
        <f t="shared" si="812"/>
        <v>0.27</v>
      </c>
      <c r="J5223" s="12">
        <f t="shared" si="813"/>
        <v>-18.900000000000002</v>
      </c>
      <c r="K5223" s="17" t="str">
        <f t="shared" si="818"/>
        <v>Ecart négatif</v>
      </c>
      <c r="L5223" s="16">
        <f>base!X5223</f>
        <v>0</v>
      </c>
      <c r="M5223" s="11">
        <f t="shared" si="814"/>
        <v>0</v>
      </c>
      <c r="N5223" s="11">
        <f t="shared" si="815"/>
        <v>0</v>
      </c>
      <c r="O5223" s="11">
        <f t="shared" si="816"/>
        <v>0</v>
      </c>
      <c r="P5223" s="12">
        <f t="shared" si="817"/>
        <v>0</v>
      </c>
      <c r="Q5223" s="17" t="str">
        <f t="shared" si="819"/>
        <v>Pas d'écart</v>
      </c>
    </row>
    <row r="5224" spans="1:18" x14ac:dyDescent="0.3">
      <c r="A5224" s="34" t="str">
        <f>base!J5224</f>
        <v>RS</v>
      </c>
      <c r="B5224" s="34" t="str">
        <f>base!V5224</f>
        <v>68460</v>
      </c>
      <c r="C5224" s="37">
        <v>68</v>
      </c>
      <c r="D5224" s="36">
        <f>base!H5224</f>
        <v>69</v>
      </c>
      <c r="E5224" s="44"/>
      <c r="F5224" s="16">
        <f>base!W5224</f>
        <v>0</v>
      </c>
      <c r="G5224" s="11">
        <f t="shared" si="810"/>
        <v>0</v>
      </c>
      <c r="H5224" s="11">
        <f t="shared" si="811"/>
        <v>20.009999999999998</v>
      </c>
      <c r="I5224" s="11">
        <f t="shared" si="812"/>
        <v>0.28999999999999998</v>
      </c>
      <c r="J5224" s="12">
        <f t="shared" si="813"/>
        <v>-20.009999999999998</v>
      </c>
      <c r="K5224" s="17" t="str">
        <f t="shared" si="818"/>
        <v>Ecart négatif</v>
      </c>
      <c r="L5224" s="16">
        <f>base!X5224</f>
        <v>5.52</v>
      </c>
      <c r="M5224" s="11">
        <f t="shared" si="814"/>
        <v>7.9999999999999988E-2</v>
      </c>
      <c r="N5224" s="11">
        <f t="shared" si="815"/>
        <v>5.5200000000000005</v>
      </c>
      <c r="O5224" s="11">
        <f t="shared" si="816"/>
        <v>0.08</v>
      </c>
      <c r="P5224" s="12">
        <f t="shared" si="817"/>
        <v>0</v>
      </c>
      <c r="Q5224" s="17" t="str">
        <f t="shared" si="819"/>
        <v>Pas d'écart</v>
      </c>
      <c r="R5224" s="38"/>
    </row>
    <row r="5225" spans="1:18" x14ac:dyDescent="0.3">
      <c r="A5225" s="34" t="str">
        <f>base!J5225</f>
        <v>RS</v>
      </c>
      <c r="B5225" s="34" t="str">
        <f>base!V5225</f>
        <v>04260</v>
      </c>
      <c r="C5225" s="37">
        <v>4</v>
      </c>
      <c r="D5225" s="36">
        <f>base!H5225</f>
        <v>250</v>
      </c>
      <c r="E5225" s="44"/>
      <c r="F5225" s="16">
        <f>base!W5225</f>
        <v>0</v>
      </c>
      <c r="G5225" s="11">
        <f t="shared" si="810"/>
        <v>0</v>
      </c>
      <c r="H5225" s="11">
        <f t="shared" si="811"/>
        <v>72.5</v>
      </c>
      <c r="I5225" s="11">
        <f t="shared" si="812"/>
        <v>0.28999999999999998</v>
      </c>
      <c r="J5225" s="12">
        <f t="shared" si="813"/>
        <v>-72.5</v>
      </c>
      <c r="K5225" s="17" t="str">
        <f t="shared" si="818"/>
        <v>Ecart négatif</v>
      </c>
      <c r="L5225" s="16">
        <f>base!X5225</f>
        <v>0</v>
      </c>
      <c r="M5225" s="11">
        <f t="shared" si="814"/>
        <v>0</v>
      </c>
      <c r="N5225" s="11">
        <f t="shared" si="815"/>
        <v>47.5</v>
      </c>
      <c r="O5225" s="11">
        <f t="shared" si="816"/>
        <v>0.19</v>
      </c>
      <c r="P5225" s="12">
        <f t="shared" si="817"/>
        <v>-47.5</v>
      </c>
      <c r="Q5225" s="17" t="str">
        <f t="shared" si="819"/>
        <v>Ecart négatif</v>
      </c>
    </row>
    <row r="5226" spans="1:18" x14ac:dyDescent="0.3">
      <c r="A5226" s="34" t="str">
        <f>base!J5226</f>
        <v>LS</v>
      </c>
      <c r="B5226" s="34" t="str">
        <f>base!V5226</f>
        <v>75014</v>
      </c>
      <c r="C5226" s="37">
        <v>75</v>
      </c>
      <c r="D5226" s="36">
        <f>base!H5226</f>
        <v>53.38</v>
      </c>
      <c r="E5226" s="44"/>
      <c r="F5226" s="16">
        <f>base!W5226</f>
        <v>0</v>
      </c>
      <c r="G5226" s="11">
        <f t="shared" si="810"/>
        <v>0</v>
      </c>
      <c r="H5226" s="11">
        <f t="shared" si="811"/>
        <v>0</v>
      </c>
      <c r="I5226" s="11">
        <f t="shared" si="812"/>
        <v>0</v>
      </c>
      <c r="J5226" s="12">
        <f t="shared" si="813"/>
        <v>0</v>
      </c>
      <c r="K5226" s="17" t="str">
        <f t="shared" si="818"/>
        <v>Pas d'écart</v>
      </c>
      <c r="L5226" s="16">
        <f>base!X5226</f>
        <v>0</v>
      </c>
      <c r="M5226" s="11">
        <f t="shared" si="814"/>
        <v>0</v>
      </c>
      <c r="N5226" s="11">
        <f t="shared" si="815"/>
        <v>0</v>
      </c>
      <c r="O5226" s="11">
        <f t="shared" si="816"/>
        <v>0</v>
      </c>
      <c r="P5226" s="12">
        <f t="shared" si="817"/>
        <v>0</v>
      </c>
      <c r="Q5226" s="17" t="str">
        <f t="shared" si="819"/>
        <v>Pas d'écart</v>
      </c>
    </row>
    <row r="5227" spans="1:18" x14ac:dyDescent="0.3">
      <c r="A5227" s="34" t="str">
        <f>base!J5227</f>
        <v>RS</v>
      </c>
      <c r="B5227" s="34" t="str">
        <f>base!V5227</f>
        <v>14000</v>
      </c>
      <c r="C5227" s="37">
        <v>14</v>
      </c>
      <c r="D5227" s="36">
        <f>base!H5227</f>
        <v>140</v>
      </c>
      <c r="E5227" s="44"/>
      <c r="F5227" s="16">
        <f>base!W5227</f>
        <v>0</v>
      </c>
      <c r="G5227" s="11">
        <f t="shared" si="810"/>
        <v>0</v>
      </c>
      <c r="H5227" s="11">
        <f t="shared" si="811"/>
        <v>23.8</v>
      </c>
      <c r="I5227" s="11">
        <f t="shared" si="812"/>
        <v>0.17</v>
      </c>
      <c r="J5227" s="12">
        <f t="shared" si="813"/>
        <v>-23.8</v>
      </c>
      <c r="K5227" s="17" t="str">
        <f t="shared" si="818"/>
        <v>Ecart négatif</v>
      </c>
      <c r="L5227" s="16">
        <f>base!X5227</f>
        <v>23.8</v>
      </c>
      <c r="M5227" s="11">
        <f t="shared" si="814"/>
        <v>0.17</v>
      </c>
      <c r="N5227" s="11">
        <f t="shared" si="815"/>
        <v>23.8</v>
      </c>
      <c r="O5227" s="11">
        <f t="shared" si="816"/>
        <v>0.17</v>
      </c>
      <c r="P5227" s="12">
        <f t="shared" si="817"/>
        <v>0</v>
      </c>
      <c r="Q5227" s="17" t="str">
        <f t="shared" si="819"/>
        <v>Pas d'écart</v>
      </c>
    </row>
    <row r="5228" spans="1:18" x14ac:dyDescent="0.3">
      <c r="A5228" s="34" t="str">
        <f>base!J5228</f>
        <v>RS</v>
      </c>
      <c r="B5228" s="34" t="str">
        <f>base!V5228</f>
        <v>14000</v>
      </c>
      <c r="C5228" s="37">
        <v>14</v>
      </c>
      <c r="D5228" s="36">
        <f>base!H5228</f>
        <v>140</v>
      </c>
      <c r="E5228" s="44"/>
      <c r="F5228" s="16">
        <f>base!W5228</f>
        <v>0</v>
      </c>
      <c r="G5228" s="11">
        <f t="shared" si="810"/>
        <v>0</v>
      </c>
      <c r="H5228" s="11">
        <f t="shared" si="811"/>
        <v>23.8</v>
      </c>
      <c r="I5228" s="11">
        <f t="shared" si="812"/>
        <v>0.17</v>
      </c>
      <c r="J5228" s="12">
        <f t="shared" si="813"/>
        <v>-23.8</v>
      </c>
      <c r="K5228" s="17" t="str">
        <f t="shared" si="818"/>
        <v>Ecart négatif</v>
      </c>
      <c r="L5228" s="16">
        <f>base!X5228</f>
        <v>23.8</v>
      </c>
      <c r="M5228" s="11">
        <f t="shared" si="814"/>
        <v>0.17</v>
      </c>
      <c r="N5228" s="11">
        <f t="shared" si="815"/>
        <v>23.8</v>
      </c>
      <c r="O5228" s="11">
        <f t="shared" si="816"/>
        <v>0.17</v>
      </c>
      <c r="P5228" s="12">
        <f t="shared" si="817"/>
        <v>0</v>
      </c>
      <c r="Q5228" s="17" t="str">
        <f t="shared" si="819"/>
        <v>Pas d'écart</v>
      </c>
    </row>
    <row r="5229" spans="1:18" x14ac:dyDescent="0.3">
      <c r="A5229" s="34">
        <f>base!J5229</f>
        <v>0</v>
      </c>
      <c r="B5229" s="34" t="str">
        <f>base!V5229</f>
        <v>77184</v>
      </c>
      <c r="C5229" s="37">
        <v>77</v>
      </c>
      <c r="D5229" s="36">
        <f>base!H5229</f>
        <v>350</v>
      </c>
      <c r="E5229" s="44"/>
      <c r="F5229" s="16">
        <f>base!W5229</f>
        <v>0</v>
      </c>
      <c r="G5229" s="11">
        <f t="shared" si="810"/>
        <v>0</v>
      </c>
      <c r="H5229" s="11">
        <f t="shared" si="811"/>
        <v>0</v>
      </c>
      <c r="I5229" s="11">
        <f t="shared" si="812"/>
        <v>0</v>
      </c>
      <c r="J5229" s="12">
        <f t="shared" si="813"/>
        <v>0</v>
      </c>
      <c r="K5229" s="17" t="str">
        <f t="shared" si="818"/>
        <v>Pas d'écart</v>
      </c>
      <c r="L5229" s="16">
        <f>base!X5229</f>
        <v>0</v>
      </c>
      <c r="M5229" s="11">
        <f t="shared" si="814"/>
        <v>0</v>
      </c>
      <c r="N5229" s="11">
        <f t="shared" si="815"/>
        <v>0</v>
      </c>
      <c r="O5229" s="11">
        <f t="shared" si="816"/>
        <v>0</v>
      </c>
      <c r="P5229" s="12">
        <f t="shared" si="817"/>
        <v>0</v>
      </c>
      <c r="Q5229" s="17" t="str">
        <f t="shared" si="819"/>
        <v>Pas d'écart</v>
      </c>
    </row>
    <row r="5230" spans="1:18" x14ac:dyDescent="0.3">
      <c r="A5230" s="34" t="str">
        <f>base!J5230</f>
        <v>LM</v>
      </c>
      <c r="B5230" s="34" t="str">
        <f>base!V5230</f>
        <v>75014</v>
      </c>
      <c r="C5230" s="37">
        <v>75</v>
      </c>
      <c r="D5230" s="36">
        <f>base!H5230</f>
        <v>19.649999999999999</v>
      </c>
      <c r="E5230" s="44"/>
      <c r="F5230" s="16">
        <f>base!W5230</f>
        <v>0</v>
      </c>
      <c r="G5230" s="11">
        <f t="shared" si="810"/>
        <v>0</v>
      </c>
      <c r="H5230" s="11">
        <f t="shared" si="811"/>
        <v>0</v>
      </c>
      <c r="I5230" s="11">
        <f t="shared" si="812"/>
        <v>0</v>
      </c>
      <c r="J5230" s="12">
        <f t="shared" si="813"/>
        <v>0</v>
      </c>
      <c r="K5230" s="17" t="str">
        <f t="shared" si="818"/>
        <v>Pas d'écart</v>
      </c>
      <c r="L5230" s="16">
        <f>base!X5230</f>
        <v>0</v>
      </c>
      <c r="M5230" s="11">
        <f t="shared" si="814"/>
        <v>0</v>
      </c>
      <c r="N5230" s="11">
        <f t="shared" si="815"/>
        <v>0</v>
      </c>
      <c r="O5230" s="11">
        <f t="shared" si="816"/>
        <v>0</v>
      </c>
      <c r="P5230" s="12">
        <f t="shared" si="817"/>
        <v>0</v>
      </c>
      <c r="Q5230" s="17" t="str">
        <f t="shared" si="819"/>
        <v>Pas d'écart</v>
      </c>
    </row>
    <row r="5231" spans="1:18" x14ac:dyDescent="0.3">
      <c r="A5231" s="34" t="str">
        <f>base!J5231</f>
        <v>LM</v>
      </c>
      <c r="B5231" s="34" t="str">
        <f>base!V5231</f>
        <v>75014</v>
      </c>
      <c r="C5231" s="37">
        <v>75</v>
      </c>
      <c r="D5231" s="36">
        <f>base!H5231</f>
        <v>19.649999999999999</v>
      </c>
      <c r="E5231" s="44"/>
      <c r="F5231" s="16">
        <f>base!W5231</f>
        <v>0</v>
      </c>
      <c r="G5231" s="11">
        <f t="shared" si="810"/>
        <v>0</v>
      </c>
      <c r="H5231" s="11">
        <f t="shared" si="811"/>
        <v>0</v>
      </c>
      <c r="I5231" s="11">
        <f t="shared" si="812"/>
        <v>0</v>
      </c>
      <c r="J5231" s="12">
        <f t="shared" si="813"/>
        <v>0</v>
      </c>
      <c r="K5231" s="17" t="str">
        <f t="shared" si="818"/>
        <v>Pas d'écart</v>
      </c>
      <c r="L5231" s="16">
        <f>base!X5231</f>
        <v>0</v>
      </c>
      <c r="M5231" s="11">
        <f t="shared" si="814"/>
        <v>0</v>
      </c>
      <c r="N5231" s="11">
        <f t="shared" si="815"/>
        <v>0</v>
      </c>
      <c r="O5231" s="11">
        <f t="shared" si="816"/>
        <v>0</v>
      </c>
      <c r="P5231" s="12">
        <f t="shared" si="817"/>
        <v>0</v>
      </c>
      <c r="Q5231" s="17" t="str">
        <f t="shared" si="819"/>
        <v>Pas d'écart</v>
      </c>
    </row>
    <row r="5232" spans="1:18" x14ac:dyDescent="0.3">
      <c r="A5232" s="34" t="str">
        <f>base!J5232</f>
        <v>LM</v>
      </c>
      <c r="B5232" s="34" t="str">
        <f>base!V5232</f>
        <v>49300</v>
      </c>
      <c r="C5232" s="37">
        <v>49</v>
      </c>
      <c r="D5232" s="36">
        <f>base!H5232</f>
        <v>40</v>
      </c>
      <c r="E5232" s="44"/>
      <c r="F5232" s="16">
        <f>base!W5232</f>
        <v>10.8</v>
      </c>
      <c r="G5232" s="11">
        <f t="shared" si="810"/>
        <v>0.27</v>
      </c>
      <c r="H5232" s="11">
        <f t="shared" si="811"/>
        <v>10.8</v>
      </c>
      <c r="I5232" s="11">
        <f t="shared" si="812"/>
        <v>0.27</v>
      </c>
      <c r="J5232" s="12">
        <f t="shared" si="813"/>
        <v>0</v>
      </c>
      <c r="K5232" s="17" t="str">
        <f t="shared" si="818"/>
        <v>Pas d'écart</v>
      </c>
      <c r="L5232" s="16">
        <f>base!X5232</f>
        <v>0</v>
      </c>
      <c r="M5232" s="11">
        <f t="shared" si="814"/>
        <v>0</v>
      </c>
      <c r="N5232" s="11">
        <f t="shared" si="815"/>
        <v>0</v>
      </c>
      <c r="O5232" s="11">
        <f t="shared" si="816"/>
        <v>0</v>
      </c>
      <c r="P5232" s="12">
        <f t="shared" si="817"/>
        <v>0</v>
      </c>
      <c r="Q5232" s="17" t="str">
        <f t="shared" si="819"/>
        <v>Pas d'écart</v>
      </c>
    </row>
    <row r="5233" spans="1:17" x14ac:dyDescent="0.3">
      <c r="A5233" s="34" t="str">
        <f>base!J5233</f>
        <v>LS</v>
      </c>
      <c r="B5233" s="34" t="str">
        <f>base!V5233</f>
        <v>08200</v>
      </c>
      <c r="C5233" s="37">
        <v>56</v>
      </c>
      <c r="D5233" s="36">
        <f>base!H5233</f>
        <v>32.450000000000003</v>
      </c>
      <c r="E5233" s="44"/>
      <c r="F5233" s="16">
        <f>base!W5233</f>
        <v>6.17</v>
      </c>
      <c r="G5233" s="11">
        <f t="shared" si="810"/>
        <v>0.19013867488443759</v>
      </c>
      <c r="H5233" s="11">
        <f t="shared" si="811"/>
        <v>8.7615000000000016</v>
      </c>
      <c r="I5233" s="11">
        <f t="shared" si="812"/>
        <v>0.27</v>
      </c>
      <c r="J5233" s="12">
        <f t="shared" si="813"/>
        <v>-2.5915000000000017</v>
      </c>
      <c r="K5233" s="17" t="str">
        <f t="shared" si="818"/>
        <v>Ecart négatif</v>
      </c>
      <c r="L5233" s="16">
        <f>base!X5233</f>
        <v>0</v>
      </c>
      <c r="M5233" s="11">
        <f t="shared" si="814"/>
        <v>0</v>
      </c>
      <c r="N5233" s="11">
        <f t="shared" si="815"/>
        <v>0</v>
      </c>
      <c r="O5233" s="11">
        <f t="shared" si="816"/>
        <v>0</v>
      </c>
      <c r="P5233" s="12">
        <f t="shared" si="817"/>
        <v>0</v>
      </c>
      <c r="Q5233" s="17" t="str">
        <f t="shared" si="819"/>
        <v>Pas d'écart</v>
      </c>
    </row>
    <row r="5234" spans="1:17" x14ac:dyDescent="0.3">
      <c r="A5234" s="34" t="str">
        <f>base!J5234</f>
        <v>DLS</v>
      </c>
      <c r="B5234" s="34" t="str">
        <f>base!V5234</f>
        <v>94782</v>
      </c>
      <c r="C5234" s="37">
        <v>94</v>
      </c>
      <c r="D5234" s="36">
        <f>base!H5234</f>
        <v>170.5</v>
      </c>
      <c r="E5234" s="44"/>
      <c r="F5234" s="16">
        <f>base!W5234</f>
        <v>0</v>
      </c>
      <c r="G5234" s="11">
        <f t="shared" si="810"/>
        <v>0</v>
      </c>
      <c r="H5234" s="11">
        <f t="shared" si="811"/>
        <v>0</v>
      </c>
      <c r="I5234" s="11">
        <f t="shared" si="812"/>
        <v>0</v>
      </c>
      <c r="J5234" s="12">
        <f t="shared" si="813"/>
        <v>0</v>
      </c>
      <c r="K5234" s="17" t="str">
        <f t="shared" si="818"/>
        <v>Pas d'écart</v>
      </c>
      <c r="L5234" s="16">
        <f>base!X5234</f>
        <v>0</v>
      </c>
      <c r="M5234" s="11">
        <f t="shared" si="814"/>
        <v>0</v>
      </c>
      <c r="N5234" s="11">
        <f t="shared" si="815"/>
        <v>0</v>
      </c>
      <c r="O5234" s="11">
        <f t="shared" si="816"/>
        <v>0</v>
      </c>
      <c r="P5234" s="12">
        <f t="shared" si="817"/>
        <v>0</v>
      </c>
      <c r="Q5234" s="17" t="str">
        <f t="shared" si="819"/>
        <v>Pas d'écart</v>
      </c>
    </row>
    <row r="5235" spans="1:17" x14ac:dyDescent="0.3">
      <c r="A5235" s="34" t="str">
        <f>base!J5235</f>
        <v>DRS</v>
      </c>
      <c r="B5235" s="34" t="str">
        <f>base!V5235</f>
        <v>35220</v>
      </c>
      <c r="C5235" s="37">
        <v>35</v>
      </c>
      <c r="D5235" s="36">
        <f>base!H5235</f>
        <v>134.93</v>
      </c>
      <c r="E5235" s="44"/>
      <c r="F5235" s="16">
        <f>base!W5235</f>
        <v>0</v>
      </c>
      <c r="G5235" s="11">
        <f t="shared" si="810"/>
        <v>0</v>
      </c>
      <c r="H5235" s="11">
        <f t="shared" si="811"/>
        <v>36.431100000000001</v>
      </c>
      <c r="I5235" s="11">
        <f t="shared" si="812"/>
        <v>0.27</v>
      </c>
      <c r="J5235" s="12">
        <f t="shared" si="813"/>
        <v>-36.431100000000001</v>
      </c>
      <c r="K5235" s="17" t="str">
        <f t="shared" si="818"/>
        <v>Ecart négatif</v>
      </c>
      <c r="L5235" s="16">
        <f>base!X5235</f>
        <v>0</v>
      </c>
      <c r="M5235" s="11">
        <f t="shared" si="814"/>
        <v>0</v>
      </c>
      <c r="N5235" s="11">
        <f t="shared" si="815"/>
        <v>0</v>
      </c>
      <c r="O5235" s="11">
        <f t="shared" si="816"/>
        <v>0</v>
      </c>
      <c r="P5235" s="12">
        <f t="shared" si="817"/>
        <v>0</v>
      </c>
      <c r="Q5235" s="17" t="str">
        <f t="shared" si="819"/>
        <v>Pas d'écart</v>
      </c>
    </row>
    <row r="5236" spans="1:17" x14ac:dyDescent="0.3">
      <c r="A5236" s="34" t="str">
        <f>base!J5236</f>
        <v>LS</v>
      </c>
      <c r="B5236" s="34" t="str">
        <f>base!V5236</f>
        <v>42000</v>
      </c>
      <c r="C5236" s="37">
        <v>56</v>
      </c>
      <c r="D5236" s="36">
        <f>base!H5236</f>
        <v>47</v>
      </c>
      <c r="E5236" s="44"/>
      <c r="F5236" s="16">
        <f>base!W5236</f>
        <v>12.69</v>
      </c>
      <c r="G5236" s="11">
        <f t="shared" si="810"/>
        <v>0.26999999999999996</v>
      </c>
      <c r="H5236" s="11">
        <f t="shared" si="811"/>
        <v>12.690000000000001</v>
      </c>
      <c r="I5236" s="11">
        <f t="shared" si="812"/>
        <v>0.27</v>
      </c>
      <c r="J5236" s="12">
        <f t="shared" si="813"/>
        <v>0</v>
      </c>
      <c r="K5236" s="17" t="str">
        <f t="shared" si="818"/>
        <v>Pas d'écart</v>
      </c>
      <c r="L5236" s="16">
        <f>base!X5236</f>
        <v>0</v>
      </c>
      <c r="M5236" s="11">
        <f t="shared" si="814"/>
        <v>0</v>
      </c>
      <c r="N5236" s="11">
        <f t="shared" si="815"/>
        <v>0</v>
      </c>
      <c r="O5236" s="11">
        <f t="shared" si="816"/>
        <v>0</v>
      </c>
      <c r="P5236" s="12">
        <f t="shared" si="817"/>
        <v>0</v>
      </c>
      <c r="Q5236" s="17" t="str">
        <f t="shared" si="819"/>
        <v>Pas d'écart</v>
      </c>
    </row>
    <row r="5237" spans="1:17" x14ac:dyDescent="0.3">
      <c r="A5237" s="34">
        <f>base!J5237</f>
        <v>0</v>
      </c>
      <c r="B5237" s="34" t="str">
        <f>base!V5237</f>
        <v>77184</v>
      </c>
      <c r="C5237" s="37">
        <v>77</v>
      </c>
      <c r="D5237" s="36">
        <f>base!H5237</f>
        <v>32.65</v>
      </c>
      <c r="E5237" s="44"/>
      <c r="F5237" s="16">
        <f>base!W5237</f>
        <v>0</v>
      </c>
      <c r="G5237" s="11">
        <f t="shared" si="810"/>
        <v>0</v>
      </c>
      <c r="H5237" s="11">
        <f t="shared" si="811"/>
        <v>0</v>
      </c>
      <c r="I5237" s="11">
        <f t="shared" si="812"/>
        <v>0</v>
      </c>
      <c r="J5237" s="12">
        <f t="shared" si="813"/>
        <v>0</v>
      </c>
      <c r="K5237" s="17" t="str">
        <f t="shared" si="818"/>
        <v>Pas d'écart</v>
      </c>
      <c r="L5237" s="16">
        <f>base!X5237</f>
        <v>0</v>
      </c>
      <c r="M5237" s="11">
        <f t="shared" si="814"/>
        <v>0</v>
      </c>
      <c r="N5237" s="11">
        <f t="shared" si="815"/>
        <v>0</v>
      </c>
      <c r="O5237" s="11">
        <f t="shared" si="816"/>
        <v>0</v>
      </c>
      <c r="P5237" s="12">
        <f t="shared" si="817"/>
        <v>0</v>
      </c>
      <c r="Q5237" s="17" t="str">
        <f t="shared" si="819"/>
        <v>Pas d'écart</v>
      </c>
    </row>
    <row r="5238" spans="1:17" x14ac:dyDescent="0.3">
      <c r="A5238" s="34" t="str">
        <f>base!J5238</f>
        <v>LM</v>
      </c>
      <c r="B5238" s="34" t="str">
        <f>base!V5238</f>
        <v>62600</v>
      </c>
      <c r="C5238" s="37">
        <v>56</v>
      </c>
      <c r="D5238" s="36">
        <f>base!H5238</f>
        <v>18.350000000000001</v>
      </c>
      <c r="E5238" s="44"/>
      <c r="F5238" s="16">
        <f>base!W5238</f>
        <v>3.49</v>
      </c>
      <c r="G5238" s="11">
        <f t="shared" si="810"/>
        <v>0.19019073569482289</v>
      </c>
      <c r="H5238" s="11">
        <f t="shared" si="811"/>
        <v>4.9545000000000003</v>
      </c>
      <c r="I5238" s="11">
        <f t="shared" si="812"/>
        <v>0.27</v>
      </c>
      <c r="J5238" s="12">
        <f t="shared" si="813"/>
        <v>-1.4645000000000001</v>
      </c>
      <c r="K5238" s="17" t="str">
        <f t="shared" si="818"/>
        <v>Ecart négatif</v>
      </c>
      <c r="L5238" s="16">
        <f>base!X5238</f>
        <v>0</v>
      </c>
      <c r="M5238" s="11">
        <f t="shared" si="814"/>
        <v>0</v>
      </c>
      <c r="N5238" s="11">
        <f t="shared" si="815"/>
        <v>0</v>
      </c>
      <c r="O5238" s="11">
        <f t="shared" si="816"/>
        <v>0</v>
      </c>
      <c r="P5238" s="12">
        <f t="shared" si="817"/>
        <v>0</v>
      </c>
      <c r="Q5238" s="17" t="str">
        <f t="shared" si="819"/>
        <v>Pas d'écart</v>
      </c>
    </row>
    <row r="5239" spans="1:17" x14ac:dyDescent="0.3">
      <c r="A5239" s="34" t="str">
        <f>base!J5239</f>
        <v>DLS</v>
      </c>
      <c r="B5239" s="34" t="str">
        <f>base!V5239</f>
        <v>75020</v>
      </c>
      <c r="C5239" s="37">
        <v>75</v>
      </c>
      <c r="D5239" s="36">
        <f>base!H5239</f>
        <v>171.65</v>
      </c>
      <c r="E5239" s="44"/>
      <c r="F5239" s="16">
        <f>base!W5239</f>
        <v>0</v>
      </c>
      <c r="G5239" s="11">
        <f t="shared" si="810"/>
        <v>0</v>
      </c>
      <c r="H5239" s="11">
        <f t="shared" si="811"/>
        <v>0</v>
      </c>
      <c r="I5239" s="11">
        <f t="shared" si="812"/>
        <v>0</v>
      </c>
      <c r="J5239" s="12">
        <f t="shared" si="813"/>
        <v>0</v>
      </c>
      <c r="K5239" s="17" t="str">
        <f t="shared" si="818"/>
        <v>Pas d'écart</v>
      </c>
      <c r="L5239" s="16">
        <f>base!X5239</f>
        <v>0</v>
      </c>
      <c r="M5239" s="11">
        <f t="shared" si="814"/>
        <v>0</v>
      </c>
      <c r="N5239" s="11">
        <f t="shared" si="815"/>
        <v>0</v>
      </c>
      <c r="O5239" s="11">
        <f t="shared" si="816"/>
        <v>0</v>
      </c>
      <c r="P5239" s="12">
        <f t="shared" si="817"/>
        <v>0</v>
      </c>
      <c r="Q5239" s="17" t="str">
        <f t="shared" si="819"/>
        <v>Pas d'écart</v>
      </c>
    </row>
    <row r="5240" spans="1:17" x14ac:dyDescent="0.3">
      <c r="A5240" s="34" t="str">
        <f>base!J5240</f>
        <v>LM</v>
      </c>
      <c r="B5240" s="34" t="str">
        <f>base!V5240</f>
        <v>94250</v>
      </c>
      <c r="C5240" s="37">
        <v>94</v>
      </c>
      <c r="D5240" s="36">
        <f>base!H5240</f>
        <v>21.09</v>
      </c>
      <c r="E5240" s="44"/>
      <c r="F5240" s="16">
        <f>base!W5240</f>
        <v>0</v>
      </c>
      <c r="G5240" s="11">
        <f t="shared" si="810"/>
        <v>0</v>
      </c>
      <c r="H5240" s="11">
        <f t="shared" si="811"/>
        <v>0</v>
      </c>
      <c r="I5240" s="11">
        <f t="shared" si="812"/>
        <v>0</v>
      </c>
      <c r="J5240" s="12">
        <f t="shared" si="813"/>
        <v>0</v>
      </c>
      <c r="K5240" s="17" t="str">
        <f t="shared" si="818"/>
        <v>Pas d'écart</v>
      </c>
      <c r="L5240" s="16">
        <f>base!X5240</f>
        <v>0</v>
      </c>
      <c r="M5240" s="11">
        <f t="shared" si="814"/>
        <v>0</v>
      </c>
      <c r="N5240" s="11">
        <f t="shared" si="815"/>
        <v>0</v>
      </c>
      <c r="O5240" s="11">
        <f t="shared" si="816"/>
        <v>0</v>
      </c>
      <c r="P5240" s="12">
        <f t="shared" si="817"/>
        <v>0</v>
      </c>
      <c r="Q5240" s="17" t="str">
        <f t="shared" si="819"/>
        <v>Pas d'écart</v>
      </c>
    </row>
    <row r="5241" spans="1:17" x14ac:dyDescent="0.3">
      <c r="A5241" s="34" t="str">
        <f>base!J5241</f>
        <v>RS</v>
      </c>
      <c r="B5241" s="34" t="str">
        <f>base!V5241</f>
        <v>69120</v>
      </c>
      <c r="C5241" s="37">
        <v>69</v>
      </c>
      <c r="D5241" s="36">
        <f>base!H5241</f>
        <v>50</v>
      </c>
      <c r="E5241" s="44"/>
      <c r="F5241" s="16">
        <f>base!W5241</f>
        <v>0</v>
      </c>
      <c r="G5241" s="11">
        <f t="shared" si="810"/>
        <v>0</v>
      </c>
      <c r="H5241" s="11">
        <f t="shared" si="811"/>
        <v>13.5</v>
      </c>
      <c r="I5241" s="11">
        <f t="shared" si="812"/>
        <v>0.27</v>
      </c>
      <c r="J5241" s="12">
        <f t="shared" si="813"/>
        <v>-13.5</v>
      </c>
      <c r="K5241" s="17" t="str">
        <f t="shared" si="818"/>
        <v>Ecart négatif</v>
      </c>
      <c r="L5241" s="16">
        <f>base!X5241</f>
        <v>0</v>
      </c>
      <c r="M5241" s="11">
        <f t="shared" si="814"/>
        <v>0</v>
      </c>
      <c r="N5241" s="11">
        <f t="shared" si="815"/>
        <v>0</v>
      </c>
      <c r="O5241" s="11">
        <f t="shared" si="816"/>
        <v>0</v>
      </c>
      <c r="P5241" s="12">
        <f t="shared" si="817"/>
        <v>0</v>
      </c>
      <c r="Q5241" s="17" t="str">
        <f t="shared" si="819"/>
        <v>Pas d'écart</v>
      </c>
    </row>
    <row r="5242" spans="1:17" x14ac:dyDescent="0.3">
      <c r="A5242" s="34" t="str">
        <f>base!J5242</f>
        <v>LM</v>
      </c>
      <c r="B5242" s="34" t="str">
        <f>base!V5242</f>
        <v>06560</v>
      </c>
      <c r="C5242" s="37">
        <v>56</v>
      </c>
      <c r="D5242" s="36">
        <f>base!H5242</f>
        <v>19.89</v>
      </c>
      <c r="E5242" s="44"/>
      <c r="F5242" s="16">
        <f>base!W5242</f>
        <v>5.97</v>
      </c>
      <c r="G5242" s="11">
        <f t="shared" si="810"/>
        <v>0.30015082956259426</v>
      </c>
      <c r="H5242" s="11">
        <f t="shared" si="811"/>
        <v>5.3703000000000003</v>
      </c>
      <c r="I5242" s="11">
        <f t="shared" si="812"/>
        <v>0.27</v>
      </c>
      <c r="J5242" s="12">
        <f t="shared" si="813"/>
        <v>0.59969999999999946</v>
      </c>
      <c r="K5242" s="17" t="str">
        <f t="shared" si="818"/>
        <v>Ecart positif</v>
      </c>
      <c r="L5242" s="16">
        <f>base!X5242</f>
        <v>0</v>
      </c>
      <c r="M5242" s="11">
        <f t="shared" si="814"/>
        <v>0</v>
      </c>
      <c r="N5242" s="11">
        <f t="shared" si="815"/>
        <v>0</v>
      </c>
      <c r="O5242" s="11">
        <f t="shared" si="816"/>
        <v>0</v>
      </c>
      <c r="P5242" s="12">
        <f t="shared" si="817"/>
        <v>0</v>
      </c>
      <c r="Q5242" s="17" t="str">
        <f t="shared" si="819"/>
        <v>Pas d'écart</v>
      </c>
    </row>
    <row r="5243" spans="1:17" x14ac:dyDescent="0.3">
      <c r="A5243" s="34" t="str">
        <f>base!J5243</f>
        <v>LS</v>
      </c>
      <c r="B5243" s="34" t="str">
        <f>base!V5243</f>
        <v>76410</v>
      </c>
      <c r="C5243" s="37">
        <v>56</v>
      </c>
      <c r="D5243" s="36">
        <f>base!H5243</f>
        <v>93.16</v>
      </c>
      <c r="E5243" s="44"/>
      <c r="F5243" s="16">
        <f>base!W5243</f>
        <v>15.84</v>
      </c>
      <c r="G5243" s="11">
        <f t="shared" si="810"/>
        <v>0.17003005581794761</v>
      </c>
      <c r="H5243" s="11">
        <f t="shared" si="811"/>
        <v>25.153200000000002</v>
      </c>
      <c r="I5243" s="11">
        <f t="shared" si="812"/>
        <v>0.27</v>
      </c>
      <c r="J5243" s="12">
        <f t="shared" si="813"/>
        <v>-9.3132000000000019</v>
      </c>
      <c r="K5243" s="17" t="str">
        <f t="shared" si="818"/>
        <v>Ecart négatif</v>
      </c>
      <c r="L5243" s="16">
        <f>base!X5243</f>
        <v>0</v>
      </c>
      <c r="M5243" s="11">
        <f t="shared" si="814"/>
        <v>0</v>
      </c>
      <c r="N5243" s="11">
        <f t="shared" si="815"/>
        <v>0</v>
      </c>
      <c r="O5243" s="11">
        <f t="shared" si="816"/>
        <v>0</v>
      </c>
      <c r="P5243" s="12">
        <f t="shared" si="817"/>
        <v>0</v>
      </c>
      <c r="Q5243" s="17" t="str">
        <f t="shared" si="819"/>
        <v>Pas d'écart</v>
      </c>
    </row>
    <row r="5244" spans="1:17" x14ac:dyDescent="0.3">
      <c r="A5244" s="34" t="str">
        <f>base!J5244</f>
        <v>LS</v>
      </c>
      <c r="B5244" s="34" t="str">
        <f>base!V5244</f>
        <v>34280</v>
      </c>
      <c r="C5244" s="37">
        <v>56</v>
      </c>
      <c r="D5244" s="36">
        <f>base!H5244</f>
        <v>33.35</v>
      </c>
      <c r="E5244" s="44"/>
      <c r="F5244" s="16">
        <f>base!W5244</f>
        <v>13.01</v>
      </c>
      <c r="G5244" s="11">
        <f t="shared" si="810"/>
        <v>0.39010494752623687</v>
      </c>
      <c r="H5244" s="11">
        <f t="shared" si="811"/>
        <v>9.0045000000000002</v>
      </c>
      <c r="I5244" s="11">
        <f t="shared" si="812"/>
        <v>0.27</v>
      </c>
      <c r="J5244" s="12">
        <f t="shared" si="813"/>
        <v>4.0054999999999996</v>
      </c>
      <c r="K5244" s="17" t="str">
        <f t="shared" si="818"/>
        <v>Ecart positif</v>
      </c>
      <c r="L5244" s="16">
        <f>base!X5244</f>
        <v>0</v>
      </c>
      <c r="M5244" s="11">
        <f t="shared" si="814"/>
        <v>0</v>
      </c>
      <c r="N5244" s="11">
        <f t="shared" si="815"/>
        <v>0</v>
      </c>
      <c r="O5244" s="11">
        <f t="shared" si="816"/>
        <v>0</v>
      </c>
      <c r="P5244" s="12">
        <f t="shared" si="817"/>
        <v>0</v>
      </c>
      <c r="Q5244" s="17" t="str">
        <f t="shared" si="819"/>
        <v>Pas d'écart</v>
      </c>
    </row>
    <row r="5245" spans="1:17" x14ac:dyDescent="0.3">
      <c r="A5245" s="34" t="str">
        <f>base!J5245</f>
        <v>LS</v>
      </c>
      <c r="B5245" s="34" t="str">
        <f>base!V5245</f>
        <v>28100</v>
      </c>
      <c r="C5245" s="37">
        <v>56</v>
      </c>
      <c r="D5245" s="36">
        <f>base!H5245</f>
        <v>151.93</v>
      </c>
      <c r="E5245" s="44"/>
      <c r="F5245" s="16">
        <f>base!W5245</f>
        <v>31.91</v>
      </c>
      <c r="G5245" s="11">
        <f t="shared" si="810"/>
        <v>0.21003093529915093</v>
      </c>
      <c r="H5245" s="11">
        <f t="shared" si="811"/>
        <v>41.021100000000004</v>
      </c>
      <c r="I5245" s="11">
        <f t="shared" si="812"/>
        <v>0.27</v>
      </c>
      <c r="J5245" s="12">
        <f t="shared" si="813"/>
        <v>-9.111100000000004</v>
      </c>
      <c r="K5245" s="17" t="str">
        <f t="shared" si="818"/>
        <v>Ecart négatif</v>
      </c>
      <c r="L5245" s="16">
        <f>base!X5245</f>
        <v>0</v>
      </c>
      <c r="M5245" s="11">
        <f t="shared" si="814"/>
        <v>0</v>
      </c>
      <c r="N5245" s="11">
        <f t="shared" si="815"/>
        <v>0</v>
      </c>
      <c r="O5245" s="11">
        <f t="shared" si="816"/>
        <v>0</v>
      </c>
      <c r="P5245" s="12">
        <f t="shared" si="817"/>
        <v>0</v>
      </c>
      <c r="Q5245" s="17" t="str">
        <f t="shared" si="819"/>
        <v>Pas d'écart</v>
      </c>
    </row>
    <row r="5246" spans="1:17" x14ac:dyDescent="0.3">
      <c r="A5246" s="34">
        <f>base!J5246</f>
        <v>0</v>
      </c>
      <c r="B5246" s="34" t="str">
        <f>base!V5246</f>
        <v>77184</v>
      </c>
      <c r="C5246" s="37">
        <v>77</v>
      </c>
      <c r="D5246" s="36">
        <f>base!H5246</f>
        <v>167.98</v>
      </c>
      <c r="E5246" s="44"/>
      <c r="F5246" s="16">
        <f>base!W5246</f>
        <v>0</v>
      </c>
      <c r="G5246" s="11">
        <f t="shared" si="810"/>
        <v>0</v>
      </c>
      <c r="H5246" s="11">
        <f t="shared" si="811"/>
        <v>0</v>
      </c>
      <c r="I5246" s="11">
        <f t="shared" si="812"/>
        <v>0</v>
      </c>
      <c r="J5246" s="12">
        <f t="shared" si="813"/>
        <v>0</v>
      </c>
      <c r="K5246" s="17" t="str">
        <f t="shared" si="818"/>
        <v>Pas d'écart</v>
      </c>
      <c r="L5246" s="16">
        <f>base!X5246</f>
        <v>0</v>
      </c>
      <c r="M5246" s="11">
        <f t="shared" si="814"/>
        <v>0</v>
      </c>
      <c r="N5246" s="11">
        <f t="shared" si="815"/>
        <v>0</v>
      </c>
      <c r="O5246" s="11">
        <f t="shared" si="816"/>
        <v>0</v>
      </c>
      <c r="P5246" s="12">
        <f t="shared" si="817"/>
        <v>0</v>
      </c>
      <c r="Q5246" s="17" t="str">
        <f t="shared" si="819"/>
        <v>Pas d'écart</v>
      </c>
    </row>
    <row r="5247" spans="1:17" x14ac:dyDescent="0.3">
      <c r="A5247" s="34" t="str">
        <f>base!J5247</f>
        <v>LM</v>
      </c>
      <c r="B5247" s="34" t="str">
        <f>base!V5247</f>
        <v>14150</v>
      </c>
      <c r="C5247" s="37">
        <v>56</v>
      </c>
      <c r="D5247" s="36">
        <f>base!H5247</f>
        <v>201.16</v>
      </c>
      <c r="E5247" s="44"/>
      <c r="F5247" s="16">
        <f>base!W5247</f>
        <v>34.200000000000003</v>
      </c>
      <c r="G5247" s="11">
        <f t="shared" si="810"/>
        <v>0.17001391926824419</v>
      </c>
      <c r="H5247" s="11">
        <f t="shared" si="811"/>
        <v>54.313200000000002</v>
      </c>
      <c r="I5247" s="11">
        <f t="shared" si="812"/>
        <v>0.27</v>
      </c>
      <c r="J5247" s="12">
        <f t="shared" si="813"/>
        <v>-20.113199999999999</v>
      </c>
      <c r="K5247" s="17" t="str">
        <f t="shared" si="818"/>
        <v>Ecart négatif</v>
      </c>
      <c r="L5247" s="16">
        <f>base!X5247</f>
        <v>0</v>
      </c>
      <c r="M5247" s="11">
        <f t="shared" si="814"/>
        <v>0</v>
      </c>
      <c r="N5247" s="11">
        <f t="shared" si="815"/>
        <v>0</v>
      </c>
      <c r="O5247" s="11">
        <f t="shared" si="816"/>
        <v>0</v>
      </c>
      <c r="P5247" s="12">
        <f t="shared" si="817"/>
        <v>0</v>
      </c>
      <c r="Q5247" s="17" t="str">
        <f t="shared" si="819"/>
        <v>Pas d'écart</v>
      </c>
    </row>
    <row r="5248" spans="1:17" x14ac:dyDescent="0.3">
      <c r="A5248" s="34" t="str">
        <f>base!J5248</f>
        <v>LS</v>
      </c>
      <c r="B5248" s="34" t="str">
        <f>base!V5248</f>
        <v>59115</v>
      </c>
      <c r="C5248" s="37">
        <v>56</v>
      </c>
      <c r="D5248" s="36">
        <f>base!H5248</f>
        <v>130.19999999999999</v>
      </c>
      <c r="E5248" s="44"/>
      <c r="F5248" s="16">
        <f>base!W5248</f>
        <v>24.74</v>
      </c>
      <c r="G5248" s="11">
        <f t="shared" si="810"/>
        <v>0.19001536098310293</v>
      </c>
      <c r="H5248" s="11">
        <f t="shared" si="811"/>
        <v>35.153999999999996</v>
      </c>
      <c r="I5248" s="11">
        <f t="shared" si="812"/>
        <v>0.27</v>
      </c>
      <c r="J5248" s="12">
        <f t="shared" si="813"/>
        <v>-10.413999999999998</v>
      </c>
      <c r="K5248" s="17" t="str">
        <f t="shared" si="818"/>
        <v>Ecart négatif</v>
      </c>
      <c r="L5248" s="16">
        <f>base!X5248</f>
        <v>0</v>
      </c>
      <c r="M5248" s="11">
        <f t="shared" si="814"/>
        <v>0</v>
      </c>
      <c r="N5248" s="11">
        <f t="shared" si="815"/>
        <v>0</v>
      </c>
      <c r="O5248" s="11">
        <f t="shared" si="816"/>
        <v>0</v>
      </c>
      <c r="P5248" s="12">
        <f t="shared" si="817"/>
        <v>0</v>
      </c>
      <c r="Q5248" s="17" t="str">
        <f t="shared" si="819"/>
        <v>Pas d'écart</v>
      </c>
    </row>
    <row r="5249" spans="1:17" x14ac:dyDescent="0.3">
      <c r="A5249" s="34">
        <f>base!J5249</f>
        <v>0</v>
      </c>
      <c r="B5249" s="34" t="str">
        <f>base!V5249</f>
        <v>44240</v>
      </c>
      <c r="C5249" s="37">
        <v>44</v>
      </c>
      <c r="D5249" s="36">
        <f>base!H5249</f>
        <v>39</v>
      </c>
      <c r="E5249" s="44"/>
      <c r="F5249" s="16">
        <f>base!W5249</f>
        <v>0</v>
      </c>
      <c r="G5249" s="11">
        <f t="shared" si="810"/>
        <v>0</v>
      </c>
      <c r="H5249" s="11">
        <f t="shared" si="811"/>
        <v>10.530000000000001</v>
      </c>
      <c r="I5249" s="11">
        <f t="shared" si="812"/>
        <v>0.27</v>
      </c>
      <c r="J5249" s="12">
        <f t="shared" si="813"/>
        <v>-10.530000000000001</v>
      </c>
      <c r="K5249" s="17" t="str">
        <f t="shared" si="818"/>
        <v>Ecart négatif</v>
      </c>
      <c r="L5249" s="16">
        <f>base!X5249</f>
        <v>0</v>
      </c>
      <c r="M5249" s="11">
        <f t="shared" si="814"/>
        <v>0</v>
      </c>
      <c r="N5249" s="11">
        <f t="shared" si="815"/>
        <v>0</v>
      </c>
      <c r="O5249" s="11">
        <f t="shared" si="816"/>
        <v>0</v>
      </c>
      <c r="P5249" s="12">
        <f t="shared" si="817"/>
        <v>0</v>
      </c>
      <c r="Q5249" s="17" t="str">
        <f t="shared" si="819"/>
        <v>Pas d'écart</v>
      </c>
    </row>
    <row r="5250" spans="1:17" x14ac:dyDescent="0.3">
      <c r="A5250" s="34" t="str">
        <f>base!J5250</f>
        <v>LM</v>
      </c>
      <c r="B5250" s="34" t="str">
        <f>base!V5250</f>
        <v>34500</v>
      </c>
      <c r="C5250" s="37">
        <v>56</v>
      </c>
      <c r="D5250" s="36">
        <f>base!H5250</f>
        <v>136.65</v>
      </c>
      <c r="E5250" s="44"/>
      <c r="F5250" s="16">
        <f>base!W5250</f>
        <v>53.29</v>
      </c>
      <c r="G5250" s="11">
        <f t="shared" ref="G5250:G5313" si="820">F5250/D5250</f>
        <v>0.38997438712038052</v>
      </c>
      <c r="H5250" s="11">
        <f t="shared" ref="H5250:H5313" si="821">VLOOKUP(C5250,tout_cout_traction,2,FALSE)*D5250</f>
        <v>36.895500000000006</v>
      </c>
      <c r="I5250" s="11">
        <f t="shared" ref="I5250:I5313" si="822">H5250/D5250</f>
        <v>0.27</v>
      </c>
      <c r="J5250" s="12">
        <f t="shared" ref="J5250:J5313" si="823">F5250-H5250</f>
        <v>16.394499999999994</v>
      </c>
      <c r="K5250" s="17" t="str">
        <f t="shared" si="818"/>
        <v>Ecart positif</v>
      </c>
      <c r="L5250" s="16">
        <f>base!X5250</f>
        <v>0</v>
      </c>
      <c r="M5250" s="11">
        <f t="shared" ref="M5250:M5313" si="824">L5250/D5250</f>
        <v>0</v>
      </c>
      <c r="N5250" s="11">
        <f t="shared" ref="N5250:N5313" si="825">VLOOKUP(C5250,tout_cout_traction,3,FALSE)*D5250</f>
        <v>0</v>
      </c>
      <c r="O5250" s="11">
        <f t="shared" ref="O5250:O5313" si="826">N5250/D5250</f>
        <v>0</v>
      </c>
      <c r="P5250" s="12">
        <f t="shared" ref="P5250:P5313" si="827">L5250-N5250</f>
        <v>0</v>
      </c>
      <c r="Q5250" s="17" t="str">
        <f t="shared" si="819"/>
        <v>Pas d'écart</v>
      </c>
    </row>
    <row r="5251" spans="1:17" x14ac:dyDescent="0.3">
      <c r="A5251" s="34">
        <f>base!J5251</f>
        <v>0</v>
      </c>
      <c r="B5251" s="34" t="str">
        <f>base!V5251</f>
        <v>77184</v>
      </c>
      <c r="C5251" s="37">
        <v>77</v>
      </c>
      <c r="D5251" s="36">
        <f>base!H5251</f>
        <v>37.19</v>
      </c>
      <c r="E5251" s="44"/>
      <c r="F5251" s="16">
        <f>base!W5251</f>
        <v>0</v>
      </c>
      <c r="G5251" s="11">
        <f t="shared" si="820"/>
        <v>0</v>
      </c>
      <c r="H5251" s="11">
        <f t="shared" si="821"/>
        <v>0</v>
      </c>
      <c r="I5251" s="11">
        <f t="shared" si="822"/>
        <v>0</v>
      </c>
      <c r="J5251" s="12">
        <f t="shared" si="823"/>
        <v>0</v>
      </c>
      <c r="K5251" s="17" t="str">
        <f t="shared" ref="K5251:K5314" si="828">IF(H5251=F5251,"Pas d'écart",IF(H5251&lt;F5251,"Ecart positif",IF(H5251&gt;F5251,"Ecart négatif")))</f>
        <v>Pas d'écart</v>
      </c>
      <c r="L5251" s="16">
        <f>base!X5251</f>
        <v>0</v>
      </c>
      <c r="M5251" s="11">
        <f t="shared" si="824"/>
        <v>0</v>
      </c>
      <c r="N5251" s="11">
        <f t="shared" si="825"/>
        <v>0</v>
      </c>
      <c r="O5251" s="11">
        <f t="shared" si="826"/>
        <v>0</v>
      </c>
      <c r="P5251" s="12">
        <f t="shared" si="827"/>
        <v>0</v>
      </c>
      <c r="Q5251" s="17" t="str">
        <f t="shared" ref="Q5251:Q5314" si="829">IF(N5251=L5251,"Pas d'écart",IF(N5251&lt;L5251,"Ecart positif",IF(N5251&gt;L5251,"Ecart négatif")))</f>
        <v>Pas d'écart</v>
      </c>
    </row>
    <row r="5252" spans="1:17" x14ac:dyDescent="0.3">
      <c r="A5252" s="34">
        <f>base!J5252</f>
        <v>0</v>
      </c>
      <c r="B5252" s="34" t="str">
        <f>base!V5252</f>
        <v>77184</v>
      </c>
      <c r="C5252" s="37">
        <v>77</v>
      </c>
      <c r="D5252" s="36">
        <f>base!H5252</f>
        <v>171</v>
      </c>
      <c r="E5252" s="44"/>
      <c r="F5252" s="16">
        <f>base!W5252</f>
        <v>0</v>
      </c>
      <c r="G5252" s="11">
        <f t="shared" si="820"/>
        <v>0</v>
      </c>
      <c r="H5252" s="11">
        <f t="shared" si="821"/>
        <v>0</v>
      </c>
      <c r="I5252" s="11">
        <f t="shared" si="822"/>
        <v>0</v>
      </c>
      <c r="J5252" s="12">
        <f t="shared" si="823"/>
        <v>0</v>
      </c>
      <c r="K5252" s="17" t="str">
        <f t="shared" si="828"/>
        <v>Pas d'écart</v>
      </c>
      <c r="L5252" s="16">
        <f>base!X5252</f>
        <v>0</v>
      </c>
      <c r="M5252" s="11">
        <f t="shared" si="824"/>
        <v>0</v>
      </c>
      <c r="N5252" s="11">
        <f t="shared" si="825"/>
        <v>0</v>
      </c>
      <c r="O5252" s="11">
        <f t="shared" si="826"/>
        <v>0</v>
      </c>
      <c r="P5252" s="12">
        <f t="shared" si="827"/>
        <v>0</v>
      </c>
      <c r="Q5252" s="17" t="str">
        <f t="shared" si="829"/>
        <v>Pas d'écart</v>
      </c>
    </row>
    <row r="5253" spans="1:17" x14ac:dyDescent="0.3">
      <c r="A5253" s="34" t="str">
        <f>base!J5253</f>
        <v>DRS</v>
      </c>
      <c r="B5253" s="34" t="str">
        <f>base!V5253</f>
        <v>71530</v>
      </c>
      <c r="C5253" s="37">
        <v>71</v>
      </c>
      <c r="D5253" s="36">
        <f>base!H5253</f>
        <v>175.05</v>
      </c>
      <c r="E5253" s="44"/>
      <c r="F5253" s="16">
        <f>base!W5253</f>
        <v>0</v>
      </c>
      <c r="G5253" s="11">
        <f t="shared" si="820"/>
        <v>0</v>
      </c>
      <c r="H5253" s="11">
        <f t="shared" si="821"/>
        <v>47.263500000000008</v>
      </c>
      <c r="I5253" s="11">
        <f t="shared" si="822"/>
        <v>0.27</v>
      </c>
      <c r="J5253" s="12">
        <f t="shared" si="823"/>
        <v>-47.263500000000008</v>
      </c>
      <c r="K5253" s="17" t="str">
        <f t="shared" si="828"/>
        <v>Ecart négatif</v>
      </c>
      <c r="L5253" s="16">
        <f>base!X5253</f>
        <v>0</v>
      </c>
      <c r="M5253" s="11">
        <f t="shared" si="824"/>
        <v>0</v>
      </c>
      <c r="N5253" s="11">
        <f t="shared" si="825"/>
        <v>0</v>
      </c>
      <c r="O5253" s="11">
        <f t="shared" si="826"/>
        <v>0</v>
      </c>
      <c r="P5253" s="12">
        <f t="shared" si="827"/>
        <v>0</v>
      </c>
      <c r="Q5253" s="17" t="str">
        <f t="shared" si="829"/>
        <v>Pas d'écart</v>
      </c>
    </row>
    <row r="5254" spans="1:17" x14ac:dyDescent="0.3">
      <c r="A5254" s="34" t="str">
        <f>base!J5254</f>
        <v>LM</v>
      </c>
      <c r="B5254" s="34" t="str">
        <f>base!V5254</f>
        <v>73000</v>
      </c>
      <c r="C5254" s="37">
        <v>56</v>
      </c>
      <c r="D5254" s="36">
        <f>base!H5254</f>
        <v>186.91</v>
      </c>
      <c r="E5254" s="44"/>
      <c r="F5254" s="16">
        <f>base!W5254</f>
        <v>50.47</v>
      </c>
      <c r="G5254" s="11">
        <f t="shared" si="820"/>
        <v>0.27002300572468035</v>
      </c>
      <c r="H5254" s="11">
        <f t="shared" si="821"/>
        <v>50.465700000000005</v>
      </c>
      <c r="I5254" s="11">
        <f t="shared" si="822"/>
        <v>0.27</v>
      </c>
      <c r="J5254" s="12">
        <f t="shared" si="823"/>
        <v>4.2999999999935312E-3</v>
      </c>
      <c r="K5254" s="17" t="str">
        <f t="shared" si="828"/>
        <v>Ecart positif</v>
      </c>
      <c r="L5254" s="16">
        <f>base!X5254</f>
        <v>0</v>
      </c>
      <c r="M5254" s="11">
        <f t="shared" si="824"/>
        <v>0</v>
      </c>
      <c r="N5254" s="11">
        <f t="shared" si="825"/>
        <v>0</v>
      </c>
      <c r="O5254" s="11">
        <f t="shared" si="826"/>
        <v>0</v>
      </c>
      <c r="P5254" s="12">
        <f t="shared" si="827"/>
        <v>0</v>
      </c>
      <c r="Q5254" s="17" t="str">
        <f t="shared" si="829"/>
        <v>Pas d'écart</v>
      </c>
    </row>
    <row r="5255" spans="1:17" x14ac:dyDescent="0.3">
      <c r="A5255" s="34" t="str">
        <f>base!J5255</f>
        <v>RM</v>
      </c>
      <c r="B5255" s="34" t="str">
        <f>base!V5255</f>
        <v>59000</v>
      </c>
      <c r="C5255" s="37">
        <v>59</v>
      </c>
      <c r="D5255" s="36">
        <f>base!H5255</f>
        <v>184</v>
      </c>
      <c r="E5255" s="44"/>
      <c r="F5255" s="16">
        <f>base!W5255</f>
        <v>0</v>
      </c>
      <c r="G5255" s="11">
        <f t="shared" si="820"/>
        <v>0</v>
      </c>
      <c r="H5255" s="11">
        <f t="shared" si="821"/>
        <v>34.96</v>
      </c>
      <c r="I5255" s="11">
        <f t="shared" si="822"/>
        <v>0.19</v>
      </c>
      <c r="J5255" s="12">
        <f t="shared" si="823"/>
        <v>-34.96</v>
      </c>
      <c r="K5255" s="17" t="str">
        <f t="shared" si="828"/>
        <v>Ecart négatif</v>
      </c>
      <c r="L5255" s="16">
        <f>base!X5255</f>
        <v>0</v>
      </c>
      <c r="M5255" s="11">
        <f t="shared" si="824"/>
        <v>0</v>
      </c>
      <c r="N5255" s="11">
        <f t="shared" si="825"/>
        <v>0</v>
      </c>
      <c r="O5255" s="11">
        <f t="shared" si="826"/>
        <v>0</v>
      </c>
      <c r="P5255" s="12">
        <f t="shared" si="827"/>
        <v>0</v>
      </c>
      <c r="Q5255" s="17" t="str">
        <f t="shared" si="829"/>
        <v>Pas d'écart</v>
      </c>
    </row>
    <row r="5256" spans="1:17" x14ac:dyDescent="0.3">
      <c r="A5256" s="34" t="str">
        <f>base!J5256</f>
        <v>LM</v>
      </c>
      <c r="B5256" s="34" t="str">
        <f>base!V5256</f>
        <v>78190</v>
      </c>
      <c r="C5256" s="37">
        <v>78</v>
      </c>
      <c r="D5256" s="36">
        <f>base!H5256</f>
        <v>53.82</v>
      </c>
      <c r="E5256" s="44"/>
      <c r="F5256" s="16">
        <f>base!W5256</f>
        <v>0</v>
      </c>
      <c r="G5256" s="11">
        <f t="shared" si="820"/>
        <v>0</v>
      </c>
      <c r="H5256" s="11">
        <f t="shared" si="821"/>
        <v>0</v>
      </c>
      <c r="I5256" s="11">
        <f t="shared" si="822"/>
        <v>0</v>
      </c>
      <c r="J5256" s="12">
        <f t="shared" si="823"/>
        <v>0</v>
      </c>
      <c r="K5256" s="17" t="str">
        <f t="shared" si="828"/>
        <v>Pas d'écart</v>
      </c>
      <c r="L5256" s="16">
        <f>base!X5256</f>
        <v>0</v>
      </c>
      <c r="M5256" s="11">
        <f t="shared" si="824"/>
        <v>0</v>
      </c>
      <c r="N5256" s="11">
        <f t="shared" si="825"/>
        <v>0</v>
      </c>
      <c r="O5256" s="11">
        <f t="shared" si="826"/>
        <v>0</v>
      </c>
      <c r="P5256" s="12">
        <f t="shared" si="827"/>
        <v>0</v>
      </c>
      <c r="Q5256" s="17" t="str">
        <f t="shared" si="829"/>
        <v>Pas d'écart</v>
      </c>
    </row>
    <row r="5257" spans="1:17" x14ac:dyDescent="0.3">
      <c r="A5257" s="34" t="str">
        <f>base!J5257</f>
        <v>LM</v>
      </c>
      <c r="B5257" s="34" t="str">
        <f>base!V5257</f>
        <v>62150</v>
      </c>
      <c r="C5257" s="37">
        <v>56</v>
      </c>
      <c r="D5257" s="36">
        <f>base!H5257</f>
        <v>25.2</v>
      </c>
      <c r="E5257" s="44"/>
      <c r="F5257" s="16">
        <f>base!W5257</f>
        <v>4.79</v>
      </c>
      <c r="G5257" s="11">
        <f t="shared" si="820"/>
        <v>0.1900793650793651</v>
      </c>
      <c r="H5257" s="11">
        <f t="shared" si="821"/>
        <v>6.8040000000000003</v>
      </c>
      <c r="I5257" s="11">
        <f t="shared" si="822"/>
        <v>0.27</v>
      </c>
      <c r="J5257" s="12">
        <f t="shared" si="823"/>
        <v>-2.0140000000000002</v>
      </c>
      <c r="K5257" s="17" t="str">
        <f t="shared" si="828"/>
        <v>Ecart négatif</v>
      </c>
      <c r="L5257" s="16">
        <f>base!X5257</f>
        <v>0</v>
      </c>
      <c r="M5257" s="11">
        <f t="shared" si="824"/>
        <v>0</v>
      </c>
      <c r="N5257" s="11">
        <f t="shared" si="825"/>
        <v>0</v>
      </c>
      <c r="O5257" s="11">
        <f t="shared" si="826"/>
        <v>0</v>
      </c>
      <c r="P5257" s="12">
        <f t="shared" si="827"/>
        <v>0</v>
      </c>
      <c r="Q5257" s="17" t="str">
        <f t="shared" si="829"/>
        <v>Pas d'écart</v>
      </c>
    </row>
    <row r="5258" spans="1:17" x14ac:dyDescent="0.3">
      <c r="A5258" s="34" t="str">
        <f>base!J5258</f>
        <v>LM</v>
      </c>
      <c r="B5258" s="34" t="str">
        <f>base!V5258</f>
        <v>69005</v>
      </c>
      <c r="C5258" s="37">
        <v>56</v>
      </c>
      <c r="D5258" s="36">
        <f>base!H5258</f>
        <v>209.56</v>
      </c>
      <c r="E5258" s="44"/>
      <c r="F5258" s="16">
        <f>base!W5258</f>
        <v>56.58</v>
      </c>
      <c r="G5258" s="11">
        <f t="shared" si="820"/>
        <v>0.26999427371635809</v>
      </c>
      <c r="H5258" s="11">
        <f t="shared" si="821"/>
        <v>56.581200000000003</v>
      </c>
      <c r="I5258" s="11">
        <f t="shared" si="822"/>
        <v>0.27</v>
      </c>
      <c r="J5258" s="12">
        <f t="shared" si="823"/>
        <v>-1.2000000000043087E-3</v>
      </c>
      <c r="K5258" s="17" t="str">
        <f t="shared" si="828"/>
        <v>Ecart négatif</v>
      </c>
      <c r="L5258" s="16">
        <f>base!X5258</f>
        <v>0</v>
      </c>
      <c r="M5258" s="11">
        <f t="shared" si="824"/>
        <v>0</v>
      </c>
      <c r="N5258" s="11">
        <f t="shared" si="825"/>
        <v>0</v>
      </c>
      <c r="O5258" s="11">
        <f t="shared" si="826"/>
        <v>0</v>
      </c>
      <c r="P5258" s="12">
        <f t="shared" si="827"/>
        <v>0</v>
      </c>
      <c r="Q5258" s="17" t="str">
        <f t="shared" si="829"/>
        <v>Pas d'écart</v>
      </c>
    </row>
    <row r="5259" spans="1:17" x14ac:dyDescent="0.3">
      <c r="A5259" s="34" t="str">
        <f>base!J5259</f>
        <v>LM</v>
      </c>
      <c r="B5259" s="34" t="str">
        <f>base!V5259</f>
        <v>69005</v>
      </c>
      <c r="C5259" s="37">
        <v>38</v>
      </c>
      <c r="D5259" s="36">
        <f>base!H5259</f>
        <v>33.35</v>
      </c>
      <c r="E5259" s="44"/>
      <c r="F5259" s="16">
        <f>base!W5259</f>
        <v>9</v>
      </c>
      <c r="G5259" s="11">
        <f t="shared" si="820"/>
        <v>0.26986506746626687</v>
      </c>
      <c r="H5259" s="11">
        <f t="shared" si="821"/>
        <v>9.0045000000000002</v>
      </c>
      <c r="I5259" s="11">
        <f t="shared" si="822"/>
        <v>0.27</v>
      </c>
      <c r="J5259" s="12">
        <f t="shared" si="823"/>
        <v>-4.5000000000001705E-3</v>
      </c>
      <c r="K5259" s="17" t="str">
        <f t="shared" si="828"/>
        <v>Ecart négatif</v>
      </c>
      <c r="L5259" s="16">
        <f>base!X5259</f>
        <v>0</v>
      </c>
      <c r="M5259" s="11">
        <f t="shared" si="824"/>
        <v>0</v>
      </c>
      <c r="N5259" s="11">
        <f t="shared" si="825"/>
        <v>0</v>
      </c>
      <c r="O5259" s="11">
        <f t="shared" si="826"/>
        <v>0</v>
      </c>
      <c r="P5259" s="12">
        <f t="shared" si="827"/>
        <v>0</v>
      </c>
      <c r="Q5259" s="17" t="str">
        <f t="shared" si="829"/>
        <v>Pas d'écart</v>
      </c>
    </row>
    <row r="5260" spans="1:17" x14ac:dyDescent="0.3">
      <c r="A5260" s="34" t="str">
        <f>base!J5260</f>
        <v>RS</v>
      </c>
      <c r="B5260" s="34" t="str">
        <f>base!V5260</f>
        <v>77183</v>
      </c>
      <c r="C5260" s="37">
        <v>77</v>
      </c>
      <c r="D5260" s="36">
        <f>base!H5260</f>
        <v>140</v>
      </c>
      <c r="E5260" s="44"/>
      <c r="F5260" s="16">
        <f>base!W5260</f>
        <v>0</v>
      </c>
      <c r="G5260" s="11">
        <f t="shared" si="820"/>
        <v>0</v>
      </c>
      <c r="H5260" s="11">
        <f t="shared" si="821"/>
        <v>0</v>
      </c>
      <c r="I5260" s="11">
        <f t="shared" si="822"/>
        <v>0</v>
      </c>
      <c r="J5260" s="12">
        <f t="shared" si="823"/>
        <v>0</v>
      </c>
      <c r="K5260" s="17" t="str">
        <f t="shared" si="828"/>
        <v>Pas d'écart</v>
      </c>
      <c r="L5260" s="16">
        <f>base!X5260</f>
        <v>0</v>
      </c>
      <c r="M5260" s="11">
        <f t="shared" si="824"/>
        <v>0</v>
      </c>
      <c r="N5260" s="11">
        <f t="shared" si="825"/>
        <v>0</v>
      </c>
      <c r="O5260" s="11">
        <f t="shared" si="826"/>
        <v>0</v>
      </c>
      <c r="P5260" s="12">
        <f t="shared" si="827"/>
        <v>0</v>
      </c>
      <c r="Q5260" s="17" t="str">
        <f t="shared" si="829"/>
        <v>Pas d'écart</v>
      </c>
    </row>
    <row r="5261" spans="1:17" x14ac:dyDescent="0.3">
      <c r="A5261" s="34" t="str">
        <f>base!J5261</f>
        <v>LS</v>
      </c>
      <c r="B5261" s="34" t="str">
        <f>base!V5261</f>
        <v>17100</v>
      </c>
      <c r="C5261" s="37">
        <v>56</v>
      </c>
      <c r="D5261" s="36">
        <f>base!H5261</f>
        <v>131.97999999999999</v>
      </c>
      <c r="E5261" s="44"/>
      <c r="F5261" s="16">
        <f>base!W5261</f>
        <v>27.72</v>
      </c>
      <c r="G5261" s="11">
        <f t="shared" si="820"/>
        <v>0.21003182300348539</v>
      </c>
      <c r="H5261" s="11">
        <f t="shared" si="821"/>
        <v>35.634599999999999</v>
      </c>
      <c r="I5261" s="11">
        <f t="shared" si="822"/>
        <v>0.27</v>
      </c>
      <c r="J5261" s="12">
        <f t="shared" si="823"/>
        <v>-7.9146000000000001</v>
      </c>
      <c r="K5261" s="17" t="str">
        <f t="shared" si="828"/>
        <v>Ecart négatif</v>
      </c>
      <c r="L5261" s="16">
        <f>base!X5261</f>
        <v>0</v>
      </c>
      <c r="M5261" s="11">
        <f t="shared" si="824"/>
        <v>0</v>
      </c>
      <c r="N5261" s="11">
        <f t="shared" si="825"/>
        <v>0</v>
      </c>
      <c r="O5261" s="11">
        <f t="shared" si="826"/>
        <v>0</v>
      </c>
      <c r="P5261" s="12">
        <f t="shared" si="827"/>
        <v>0</v>
      </c>
      <c r="Q5261" s="17" t="str">
        <f t="shared" si="829"/>
        <v>Pas d'écart</v>
      </c>
    </row>
    <row r="5262" spans="1:17" x14ac:dyDescent="0.3">
      <c r="A5262" s="34" t="str">
        <f>base!J5262</f>
        <v>RS</v>
      </c>
      <c r="B5262" s="34" t="str">
        <f>base!V5262</f>
        <v>44470</v>
      </c>
      <c r="C5262" s="37">
        <v>44</v>
      </c>
      <c r="D5262" s="36">
        <f>base!H5262</f>
        <v>165.08</v>
      </c>
      <c r="E5262" s="44"/>
      <c r="F5262" s="16">
        <f>base!W5262</f>
        <v>0</v>
      </c>
      <c r="G5262" s="11">
        <f t="shared" si="820"/>
        <v>0</v>
      </c>
      <c r="H5262" s="11">
        <f t="shared" si="821"/>
        <v>44.571600000000004</v>
      </c>
      <c r="I5262" s="11">
        <f t="shared" si="822"/>
        <v>0.27</v>
      </c>
      <c r="J5262" s="12">
        <f t="shared" si="823"/>
        <v>-44.571600000000004</v>
      </c>
      <c r="K5262" s="17" t="str">
        <f t="shared" si="828"/>
        <v>Ecart négatif</v>
      </c>
      <c r="L5262" s="16">
        <f>base!X5262</f>
        <v>0</v>
      </c>
      <c r="M5262" s="11">
        <f t="shared" si="824"/>
        <v>0</v>
      </c>
      <c r="N5262" s="11">
        <f t="shared" si="825"/>
        <v>0</v>
      </c>
      <c r="O5262" s="11">
        <f t="shared" si="826"/>
        <v>0</v>
      </c>
      <c r="P5262" s="12">
        <f t="shared" si="827"/>
        <v>0</v>
      </c>
      <c r="Q5262" s="17" t="str">
        <f t="shared" si="829"/>
        <v>Pas d'écart</v>
      </c>
    </row>
    <row r="5263" spans="1:17" x14ac:dyDescent="0.3">
      <c r="A5263" s="34" t="str">
        <f>base!J5263</f>
        <v>RS</v>
      </c>
      <c r="B5263" s="34" t="str">
        <f>base!V5263</f>
        <v>17000</v>
      </c>
      <c r="C5263" s="37">
        <v>17</v>
      </c>
      <c r="D5263" s="36">
        <f>base!H5263</f>
        <v>140</v>
      </c>
      <c r="E5263" s="44"/>
      <c r="F5263" s="16">
        <f>base!W5263</f>
        <v>0</v>
      </c>
      <c r="G5263" s="11">
        <f t="shared" si="820"/>
        <v>0</v>
      </c>
      <c r="H5263" s="11">
        <f t="shared" si="821"/>
        <v>29.4</v>
      </c>
      <c r="I5263" s="11">
        <f t="shared" si="822"/>
        <v>0.21</v>
      </c>
      <c r="J5263" s="12">
        <f t="shared" si="823"/>
        <v>-29.4</v>
      </c>
      <c r="K5263" s="17" t="str">
        <f t="shared" si="828"/>
        <v>Ecart négatif</v>
      </c>
      <c r="L5263" s="16">
        <f>base!X5263</f>
        <v>0</v>
      </c>
      <c r="M5263" s="11">
        <f t="shared" si="824"/>
        <v>0</v>
      </c>
      <c r="N5263" s="11">
        <f t="shared" si="825"/>
        <v>23.8</v>
      </c>
      <c r="O5263" s="11">
        <f t="shared" si="826"/>
        <v>0.17</v>
      </c>
      <c r="P5263" s="12">
        <f t="shared" si="827"/>
        <v>-23.8</v>
      </c>
      <c r="Q5263" s="17" t="str">
        <f t="shared" si="829"/>
        <v>Ecart négatif</v>
      </c>
    </row>
    <row r="5264" spans="1:17" x14ac:dyDescent="0.3">
      <c r="A5264" s="34">
        <f>base!J5264</f>
        <v>0</v>
      </c>
      <c r="B5264" s="34" t="str">
        <f>base!V5264</f>
        <v>77184</v>
      </c>
      <c r="C5264" s="37">
        <v>77</v>
      </c>
      <c r="D5264" s="36">
        <f>base!H5264</f>
        <v>122</v>
      </c>
      <c r="E5264" s="44"/>
      <c r="F5264" s="16">
        <f>base!W5264</f>
        <v>0</v>
      </c>
      <c r="G5264" s="11">
        <f t="shared" si="820"/>
        <v>0</v>
      </c>
      <c r="H5264" s="11">
        <f t="shared" si="821"/>
        <v>0</v>
      </c>
      <c r="I5264" s="11">
        <f t="shared" si="822"/>
        <v>0</v>
      </c>
      <c r="J5264" s="12">
        <f t="shared" si="823"/>
        <v>0</v>
      </c>
      <c r="K5264" s="17" t="str">
        <f t="shared" si="828"/>
        <v>Pas d'écart</v>
      </c>
      <c r="L5264" s="16">
        <f>base!X5264</f>
        <v>0</v>
      </c>
      <c r="M5264" s="11">
        <f t="shared" si="824"/>
        <v>0</v>
      </c>
      <c r="N5264" s="11">
        <f t="shared" si="825"/>
        <v>0</v>
      </c>
      <c r="O5264" s="11">
        <f t="shared" si="826"/>
        <v>0</v>
      </c>
      <c r="P5264" s="12">
        <f t="shared" si="827"/>
        <v>0</v>
      </c>
      <c r="Q5264" s="17" t="str">
        <f t="shared" si="829"/>
        <v>Pas d'écart</v>
      </c>
    </row>
    <row r="5265" spans="1:18" x14ac:dyDescent="0.3">
      <c r="A5265" s="34" t="str">
        <f>base!J5265</f>
        <v>RS</v>
      </c>
      <c r="B5265" s="34" t="str">
        <f>base!V5265</f>
        <v>42123</v>
      </c>
      <c r="C5265" s="37">
        <v>42</v>
      </c>
      <c r="D5265" s="36">
        <f>base!H5265</f>
        <v>82.52</v>
      </c>
      <c r="E5265" s="44"/>
      <c r="F5265" s="16">
        <f>base!W5265</f>
        <v>0</v>
      </c>
      <c r="G5265" s="11">
        <f t="shared" si="820"/>
        <v>0</v>
      </c>
      <c r="H5265" s="11">
        <f t="shared" si="821"/>
        <v>21.455200000000001</v>
      </c>
      <c r="I5265" s="11">
        <f t="shared" si="822"/>
        <v>0.26</v>
      </c>
      <c r="J5265" s="12">
        <f t="shared" si="823"/>
        <v>-21.455200000000001</v>
      </c>
      <c r="K5265" s="17" t="str">
        <f t="shared" si="828"/>
        <v>Ecart négatif</v>
      </c>
      <c r="L5265" s="16">
        <f>base!X5265</f>
        <v>0</v>
      </c>
      <c r="M5265" s="11">
        <f t="shared" si="824"/>
        <v>0</v>
      </c>
      <c r="N5265" s="11">
        <f t="shared" si="825"/>
        <v>0</v>
      </c>
      <c r="O5265" s="11">
        <f t="shared" si="826"/>
        <v>0</v>
      </c>
      <c r="P5265" s="12">
        <f t="shared" si="827"/>
        <v>0</v>
      </c>
      <c r="Q5265" s="17" t="str">
        <f t="shared" si="829"/>
        <v>Pas d'écart</v>
      </c>
    </row>
    <row r="5266" spans="1:18" x14ac:dyDescent="0.3">
      <c r="A5266" s="34" t="str">
        <f>base!J5266</f>
        <v>RS</v>
      </c>
      <c r="B5266" s="34" t="str">
        <f>base!V5266</f>
        <v>78180</v>
      </c>
      <c r="C5266" s="37">
        <v>78</v>
      </c>
      <c r="D5266" s="36">
        <f>base!H5266</f>
        <v>11</v>
      </c>
      <c r="E5266" s="44"/>
      <c r="F5266" s="16">
        <f>base!W5266</f>
        <v>0</v>
      </c>
      <c r="G5266" s="11">
        <f t="shared" si="820"/>
        <v>0</v>
      </c>
      <c r="H5266" s="11">
        <f t="shared" si="821"/>
        <v>0</v>
      </c>
      <c r="I5266" s="11">
        <f t="shared" si="822"/>
        <v>0</v>
      </c>
      <c r="J5266" s="12">
        <f t="shared" si="823"/>
        <v>0</v>
      </c>
      <c r="K5266" s="17" t="str">
        <f t="shared" si="828"/>
        <v>Pas d'écart</v>
      </c>
      <c r="L5266" s="16">
        <f>base!X5266</f>
        <v>0</v>
      </c>
      <c r="M5266" s="11">
        <f t="shared" si="824"/>
        <v>0</v>
      </c>
      <c r="N5266" s="11">
        <f t="shared" si="825"/>
        <v>0</v>
      </c>
      <c r="O5266" s="11">
        <f t="shared" si="826"/>
        <v>0</v>
      </c>
      <c r="P5266" s="12">
        <f t="shared" si="827"/>
        <v>0</v>
      </c>
      <c r="Q5266" s="17" t="str">
        <f t="shared" si="829"/>
        <v>Pas d'écart</v>
      </c>
    </row>
    <row r="5267" spans="1:18" x14ac:dyDescent="0.3">
      <c r="A5267" s="34" t="str">
        <f>base!J5267</f>
        <v>RS</v>
      </c>
      <c r="B5267" s="34" t="str">
        <f>base!V5267</f>
        <v>93420</v>
      </c>
      <c r="C5267" s="37">
        <v>93</v>
      </c>
      <c r="D5267" s="36">
        <f>base!H5267</f>
        <v>243.02</v>
      </c>
      <c r="E5267" s="44"/>
      <c r="F5267" s="16">
        <f>base!W5267</f>
        <v>0</v>
      </c>
      <c r="G5267" s="11">
        <f t="shared" si="820"/>
        <v>0</v>
      </c>
      <c r="H5267" s="11">
        <f t="shared" si="821"/>
        <v>0</v>
      </c>
      <c r="I5267" s="11">
        <f t="shared" si="822"/>
        <v>0</v>
      </c>
      <c r="J5267" s="12">
        <f t="shared" si="823"/>
        <v>0</v>
      </c>
      <c r="K5267" s="17" t="str">
        <f t="shared" si="828"/>
        <v>Pas d'écart</v>
      </c>
      <c r="L5267" s="16">
        <f>base!X5267</f>
        <v>0</v>
      </c>
      <c r="M5267" s="11">
        <f t="shared" si="824"/>
        <v>0</v>
      </c>
      <c r="N5267" s="11">
        <f t="shared" si="825"/>
        <v>0</v>
      </c>
      <c r="O5267" s="11">
        <f t="shared" si="826"/>
        <v>0</v>
      </c>
      <c r="P5267" s="12">
        <f t="shared" si="827"/>
        <v>0</v>
      </c>
      <c r="Q5267" s="17" t="str">
        <f t="shared" si="829"/>
        <v>Pas d'écart</v>
      </c>
    </row>
    <row r="5268" spans="1:18" x14ac:dyDescent="0.3">
      <c r="A5268" s="34" t="str">
        <f>base!J5268</f>
        <v>LM</v>
      </c>
      <c r="B5268" s="34" t="str">
        <f>base!V5268</f>
        <v>13002</v>
      </c>
      <c r="C5268" s="37">
        <v>35</v>
      </c>
      <c r="D5268" s="36">
        <f>base!H5268</f>
        <v>143.34</v>
      </c>
      <c r="E5268" s="44"/>
      <c r="F5268" s="16">
        <f>base!W5268</f>
        <v>41.57</v>
      </c>
      <c r="G5268" s="11">
        <f t="shared" si="820"/>
        <v>0.29000976698758196</v>
      </c>
      <c r="H5268" s="11">
        <f t="shared" si="821"/>
        <v>38.701800000000006</v>
      </c>
      <c r="I5268" s="11">
        <f t="shared" si="822"/>
        <v>0.27</v>
      </c>
      <c r="J5268" s="12">
        <f t="shared" si="823"/>
        <v>2.8681999999999945</v>
      </c>
      <c r="K5268" s="17" t="str">
        <f t="shared" si="828"/>
        <v>Ecart positif</v>
      </c>
      <c r="L5268" s="16">
        <f>base!X5268</f>
        <v>0</v>
      </c>
      <c r="M5268" s="11">
        <f t="shared" si="824"/>
        <v>0</v>
      </c>
      <c r="N5268" s="11">
        <f t="shared" si="825"/>
        <v>0</v>
      </c>
      <c r="O5268" s="11">
        <f t="shared" si="826"/>
        <v>0</v>
      </c>
      <c r="P5268" s="12">
        <f t="shared" si="827"/>
        <v>0</v>
      </c>
      <c r="Q5268" s="17" t="str">
        <f t="shared" si="829"/>
        <v>Pas d'écart</v>
      </c>
    </row>
    <row r="5269" spans="1:18" x14ac:dyDescent="0.3">
      <c r="A5269" s="34" t="str">
        <f>base!J5269</f>
        <v>RM</v>
      </c>
      <c r="B5269" s="34" t="str">
        <f>base!V5269</f>
        <v>71000</v>
      </c>
      <c r="C5269" s="37">
        <v>71</v>
      </c>
      <c r="D5269" s="36">
        <f>base!H5269</f>
        <v>70</v>
      </c>
      <c r="E5269" s="44"/>
      <c r="F5269" s="16">
        <f>base!W5269</f>
        <v>0</v>
      </c>
      <c r="G5269" s="11">
        <f t="shared" si="820"/>
        <v>0</v>
      </c>
      <c r="H5269" s="11">
        <f t="shared" si="821"/>
        <v>18.900000000000002</v>
      </c>
      <c r="I5269" s="11">
        <f t="shared" si="822"/>
        <v>0.27</v>
      </c>
      <c r="J5269" s="12">
        <f t="shared" si="823"/>
        <v>-18.900000000000002</v>
      </c>
      <c r="K5269" s="17" t="str">
        <f t="shared" si="828"/>
        <v>Ecart négatif</v>
      </c>
      <c r="L5269" s="16">
        <f>base!X5269</f>
        <v>0</v>
      </c>
      <c r="M5269" s="11">
        <f t="shared" si="824"/>
        <v>0</v>
      </c>
      <c r="N5269" s="11">
        <f t="shared" si="825"/>
        <v>0</v>
      </c>
      <c r="O5269" s="11">
        <f t="shared" si="826"/>
        <v>0</v>
      </c>
      <c r="P5269" s="12">
        <f t="shared" si="827"/>
        <v>0</v>
      </c>
      <c r="Q5269" s="17" t="str">
        <f t="shared" si="829"/>
        <v>Pas d'écart</v>
      </c>
    </row>
    <row r="5270" spans="1:18" x14ac:dyDescent="0.3">
      <c r="A5270" s="34" t="str">
        <f>base!J5270</f>
        <v>RM</v>
      </c>
      <c r="B5270" s="34" t="str">
        <f>base!V5270</f>
        <v>71200</v>
      </c>
      <c r="C5270" s="37">
        <v>71</v>
      </c>
      <c r="D5270" s="36">
        <f>base!H5270</f>
        <v>70</v>
      </c>
      <c r="E5270" s="44"/>
      <c r="F5270" s="16">
        <f>base!W5270</f>
        <v>0</v>
      </c>
      <c r="G5270" s="11">
        <f t="shared" si="820"/>
        <v>0</v>
      </c>
      <c r="H5270" s="11">
        <f t="shared" si="821"/>
        <v>18.900000000000002</v>
      </c>
      <c r="I5270" s="11">
        <f t="shared" si="822"/>
        <v>0.27</v>
      </c>
      <c r="J5270" s="12">
        <f t="shared" si="823"/>
        <v>-18.900000000000002</v>
      </c>
      <c r="K5270" s="17" t="str">
        <f t="shared" si="828"/>
        <v>Ecart négatif</v>
      </c>
      <c r="L5270" s="16">
        <f>base!X5270</f>
        <v>0</v>
      </c>
      <c r="M5270" s="11">
        <f t="shared" si="824"/>
        <v>0</v>
      </c>
      <c r="N5270" s="11">
        <f t="shared" si="825"/>
        <v>0</v>
      </c>
      <c r="O5270" s="11">
        <f t="shared" si="826"/>
        <v>0</v>
      </c>
      <c r="P5270" s="12">
        <f t="shared" si="827"/>
        <v>0</v>
      </c>
      <c r="Q5270" s="17" t="str">
        <f t="shared" si="829"/>
        <v>Pas d'écart</v>
      </c>
    </row>
    <row r="5271" spans="1:18" x14ac:dyDescent="0.3">
      <c r="A5271" s="34" t="str">
        <f>base!J5271</f>
        <v>RS</v>
      </c>
      <c r="B5271" s="34" t="str">
        <f>base!V5271</f>
        <v>21000</v>
      </c>
      <c r="C5271" s="37">
        <v>21</v>
      </c>
      <c r="D5271" s="36">
        <f>base!H5271</f>
        <v>40</v>
      </c>
      <c r="E5271" s="44"/>
      <c r="F5271" s="16">
        <f>base!W5271</f>
        <v>0</v>
      </c>
      <c r="G5271" s="11">
        <f t="shared" si="820"/>
        <v>0</v>
      </c>
      <c r="H5271" s="11">
        <f t="shared" si="821"/>
        <v>9.6</v>
      </c>
      <c r="I5271" s="11">
        <f t="shared" si="822"/>
        <v>0.24</v>
      </c>
      <c r="J5271" s="12">
        <f t="shared" si="823"/>
        <v>-9.6</v>
      </c>
      <c r="K5271" s="17" t="str">
        <f t="shared" si="828"/>
        <v>Ecart négatif</v>
      </c>
      <c r="L5271" s="16">
        <f>base!X5271</f>
        <v>0</v>
      </c>
      <c r="M5271" s="11">
        <f t="shared" si="824"/>
        <v>0</v>
      </c>
      <c r="N5271" s="11">
        <f t="shared" si="825"/>
        <v>4.8</v>
      </c>
      <c r="O5271" s="11">
        <f t="shared" si="826"/>
        <v>0.12</v>
      </c>
      <c r="P5271" s="12">
        <f t="shared" si="827"/>
        <v>-4.8</v>
      </c>
      <c r="Q5271" s="17" t="str">
        <f t="shared" si="829"/>
        <v>Ecart négatif</v>
      </c>
    </row>
    <row r="5272" spans="1:18" x14ac:dyDescent="0.3">
      <c r="A5272" s="34" t="str">
        <f>base!J5272</f>
        <v>RM</v>
      </c>
      <c r="B5272" s="34" t="str">
        <f>base!V5272</f>
        <v>63100</v>
      </c>
      <c r="C5272" s="37">
        <v>63</v>
      </c>
      <c r="D5272" s="36">
        <f>base!H5272</f>
        <v>80.599999999999994</v>
      </c>
      <c r="E5272" s="44"/>
      <c r="F5272" s="16">
        <f>base!W5272</f>
        <v>0</v>
      </c>
      <c r="G5272" s="11">
        <f t="shared" si="820"/>
        <v>0</v>
      </c>
      <c r="H5272" s="11">
        <f t="shared" si="821"/>
        <v>23.373999999999995</v>
      </c>
      <c r="I5272" s="11">
        <f t="shared" si="822"/>
        <v>0.28999999999999998</v>
      </c>
      <c r="J5272" s="12">
        <f t="shared" si="823"/>
        <v>-23.373999999999995</v>
      </c>
      <c r="K5272" s="17" t="str">
        <f t="shared" si="828"/>
        <v>Ecart négatif</v>
      </c>
      <c r="L5272" s="16">
        <f>base!X5272</f>
        <v>0</v>
      </c>
      <c r="M5272" s="11">
        <f t="shared" si="824"/>
        <v>0</v>
      </c>
      <c r="N5272" s="11">
        <f t="shared" si="825"/>
        <v>9.6719999999999988</v>
      </c>
      <c r="O5272" s="11">
        <f t="shared" si="826"/>
        <v>0.12</v>
      </c>
      <c r="P5272" s="12">
        <f t="shared" si="827"/>
        <v>-9.6719999999999988</v>
      </c>
      <c r="Q5272" s="17" t="str">
        <f t="shared" si="829"/>
        <v>Ecart négatif</v>
      </c>
    </row>
    <row r="5273" spans="1:18" x14ac:dyDescent="0.3">
      <c r="A5273" s="34" t="str">
        <f>base!J5273</f>
        <v>RS</v>
      </c>
      <c r="B5273" s="34" t="str">
        <f>base!V5273</f>
        <v>91420</v>
      </c>
      <c r="C5273" s="37">
        <v>91</v>
      </c>
      <c r="D5273" s="36">
        <f>base!H5273</f>
        <v>129.37</v>
      </c>
      <c r="E5273" s="44"/>
      <c r="F5273" s="16">
        <f>base!W5273</f>
        <v>0</v>
      </c>
      <c r="G5273" s="11">
        <f t="shared" si="820"/>
        <v>0</v>
      </c>
      <c r="H5273" s="11">
        <f t="shared" si="821"/>
        <v>0</v>
      </c>
      <c r="I5273" s="11">
        <f t="shared" si="822"/>
        <v>0</v>
      </c>
      <c r="J5273" s="12">
        <f t="shared" si="823"/>
        <v>0</v>
      </c>
      <c r="K5273" s="17" t="str">
        <f t="shared" si="828"/>
        <v>Pas d'écart</v>
      </c>
      <c r="L5273" s="16">
        <f>base!X5273</f>
        <v>0</v>
      </c>
      <c r="M5273" s="11">
        <f t="shared" si="824"/>
        <v>0</v>
      </c>
      <c r="N5273" s="11">
        <f t="shared" si="825"/>
        <v>0</v>
      </c>
      <c r="O5273" s="11">
        <f t="shared" si="826"/>
        <v>0</v>
      </c>
      <c r="P5273" s="12">
        <f t="shared" si="827"/>
        <v>0</v>
      </c>
      <c r="Q5273" s="17" t="str">
        <f t="shared" si="829"/>
        <v>Pas d'écart</v>
      </c>
    </row>
    <row r="5274" spans="1:18" x14ac:dyDescent="0.3">
      <c r="A5274" s="34" t="str">
        <f>base!J5274</f>
        <v>RS</v>
      </c>
      <c r="B5274" s="34" t="str">
        <f>base!V5274</f>
        <v>84270</v>
      </c>
      <c r="C5274" s="37">
        <v>84</v>
      </c>
      <c r="D5274" s="36">
        <f>base!H5274</f>
        <v>171.95</v>
      </c>
      <c r="E5274" s="44"/>
      <c r="F5274" s="16">
        <f>base!W5274</f>
        <v>0</v>
      </c>
      <c r="G5274" s="11">
        <f t="shared" si="820"/>
        <v>0</v>
      </c>
      <c r="H5274" s="11">
        <f t="shared" si="821"/>
        <v>49.86549999999999</v>
      </c>
      <c r="I5274" s="11">
        <f t="shared" si="822"/>
        <v>0.28999999999999998</v>
      </c>
      <c r="J5274" s="12">
        <f t="shared" si="823"/>
        <v>-49.86549999999999</v>
      </c>
      <c r="K5274" s="17" t="str">
        <f t="shared" si="828"/>
        <v>Ecart négatif</v>
      </c>
      <c r="L5274" s="16">
        <f>base!X5274</f>
        <v>0</v>
      </c>
      <c r="M5274" s="11">
        <f t="shared" si="824"/>
        <v>0</v>
      </c>
      <c r="N5274" s="11">
        <f t="shared" si="825"/>
        <v>32.670499999999997</v>
      </c>
      <c r="O5274" s="11">
        <f t="shared" si="826"/>
        <v>0.19</v>
      </c>
      <c r="P5274" s="12">
        <f t="shared" si="827"/>
        <v>-32.670499999999997</v>
      </c>
      <c r="Q5274" s="17" t="str">
        <f t="shared" si="829"/>
        <v>Ecart négatif</v>
      </c>
    </row>
    <row r="5275" spans="1:18" x14ac:dyDescent="0.3">
      <c r="A5275" s="34" t="str">
        <f>base!J5275</f>
        <v>LS</v>
      </c>
      <c r="B5275" s="34" t="str">
        <f>base!V5275</f>
        <v>38113</v>
      </c>
      <c r="C5275" s="37">
        <v>56</v>
      </c>
      <c r="D5275" s="36">
        <f>base!H5275</f>
        <v>58</v>
      </c>
      <c r="E5275" s="44"/>
      <c r="F5275" s="16">
        <f>base!W5275</f>
        <v>15.66</v>
      </c>
      <c r="G5275" s="11">
        <f t="shared" si="820"/>
        <v>0.27</v>
      </c>
      <c r="H5275" s="11">
        <f t="shared" si="821"/>
        <v>15.66</v>
      </c>
      <c r="I5275" s="11">
        <f t="shared" si="822"/>
        <v>0.27</v>
      </c>
      <c r="J5275" s="12">
        <f t="shared" si="823"/>
        <v>0</v>
      </c>
      <c r="K5275" s="17" t="str">
        <f t="shared" si="828"/>
        <v>Pas d'écart</v>
      </c>
      <c r="L5275" s="16">
        <f>base!X5275</f>
        <v>0</v>
      </c>
      <c r="M5275" s="11">
        <f t="shared" si="824"/>
        <v>0</v>
      </c>
      <c r="N5275" s="11">
        <f t="shared" si="825"/>
        <v>0</v>
      </c>
      <c r="O5275" s="11">
        <f t="shared" si="826"/>
        <v>0</v>
      </c>
      <c r="P5275" s="12">
        <f t="shared" si="827"/>
        <v>0</v>
      </c>
      <c r="Q5275" s="17" t="str">
        <f t="shared" si="829"/>
        <v>Pas d'écart</v>
      </c>
    </row>
    <row r="5276" spans="1:18" x14ac:dyDescent="0.3">
      <c r="A5276" s="34" t="str">
        <f>base!J5276</f>
        <v>RM</v>
      </c>
      <c r="B5276" s="34" t="str">
        <f>base!V5276</f>
        <v>54000</v>
      </c>
      <c r="C5276" s="37">
        <v>54</v>
      </c>
      <c r="D5276" s="36">
        <f>base!H5276</f>
        <v>108.12</v>
      </c>
      <c r="E5276" s="44"/>
      <c r="F5276" s="16">
        <f>base!W5276</f>
        <v>0</v>
      </c>
      <c r="G5276" s="11">
        <f t="shared" si="820"/>
        <v>0</v>
      </c>
      <c r="H5276" s="11">
        <f t="shared" si="821"/>
        <v>27.03</v>
      </c>
      <c r="I5276" s="11">
        <f t="shared" si="822"/>
        <v>0.25</v>
      </c>
      <c r="J5276" s="12">
        <f t="shared" si="823"/>
        <v>-27.03</v>
      </c>
      <c r="K5276" s="17" t="str">
        <f t="shared" si="828"/>
        <v>Ecart négatif</v>
      </c>
      <c r="L5276" s="16">
        <f>base!X5276</f>
        <v>27.03</v>
      </c>
      <c r="M5276" s="11">
        <f t="shared" si="824"/>
        <v>0.25</v>
      </c>
      <c r="N5276" s="11">
        <f t="shared" si="825"/>
        <v>27.03</v>
      </c>
      <c r="O5276" s="11">
        <f t="shared" si="826"/>
        <v>0.25</v>
      </c>
      <c r="P5276" s="12">
        <f t="shared" si="827"/>
        <v>0</v>
      </c>
      <c r="Q5276" s="17" t="str">
        <f t="shared" si="829"/>
        <v>Pas d'écart</v>
      </c>
      <c r="R5276" s="38"/>
    </row>
    <row r="5277" spans="1:18" x14ac:dyDescent="0.3">
      <c r="A5277" s="34" t="str">
        <f>base!J5277</f>
        <v>RM</v>
      </c>
      <c r="B5277" s="34" t="str">
        <f>base!V5277</f>
        <v>70000</v>
      </c>
      <c r="C5277" s="37">
        <v>70</v>
      </c>
      <c r="D5277" s="36">
        <f>base!H5277</f>
        <v>35.03</v>
      </c>
      <c r="E5277" s="44"/>
      <c r="F5277" s="16">
        <f>base!W5277</f>
        <v>0</v>
      </c>
      <c r="G5277" s="11">
        <f t="shared" si="820"/>
        <v>0</v>
      </c>
      <c r="H5277" s="11">
        <f t="shared" si="821"/>
        <v>8.4071999999999996</v>
      </c>
      <c r="I5277" s="11">
        <f t="shared" si="822"/>
        <v>0.24</v>
      </c>
      <c r="J5277" s="12">
        <f t="shared" si="823"/>
        <v>-8.4071999999999996</v>
      </c>
      <c r="K5277" s="17" t="str">
        <f t="shared" si="828"/>
        <v>Ecart négatif</v>
      </c>
      <c r="L5277" s="16">
        <f>base!X5277</f>
        <v>0</v>
      </c>
      <c r="M5277" s="11">
        <f t="shared" si="824"/>
        <v>0</v>
      </c>
      <c r="N5277" s="11">
        <f t="shared" si="825"/>
        <v>4.2035999999999998</v>
      </c>
      <c r="O5277" s="11">
        <f t="shared" si="826"/>
        <v>0.12</v>
      </c>
      <c r="P5277" s="12">
        <f t="shared" si="827"/>
        <v>-4.2035999999999998</v>
      </c>
      <c r="Q5277" s="17" t="str">
        <f t="shared" si="829"/>
        <v>Ecart négatif</v>
      </c>
    </row>
    <row r="5278" spans="1:18" x14ac:dyDescent="0.3">
      <c r="A5278" s="34" t="str">
        <f>base!J5278</f>
        <v>RM</v>
      </c>
      <c r="B5278" s="34" t="str">
        <f>base!V5278</f>
        <v>54200</v>
      </c>
      <c r="C5278" s="37">
        <v>54</v>
      </c>
      <c r="D5278" s="36">
        <f>base!H5278</f>
        <v>151</v>
      </c>
      <c r="E5278" s="44"/>
      <c r="F5278" s="16">
        <f>base!W5278</f>
        <v>0</v>
      </c>
      <c r="G5278" s="11">
        <f t="shared" si="820"/>
        <v>0</v>
      </c>
      <c r="H5278" s="11">
        <f t="shared" si="821"/>
        <v>37.75</v>
      </c>
      <c r="I5278" s="11">
        <f t="shared" si="822"/>
        <v>0.25</v>
      </c>
      <c r="J5278" s="12">
        <f t="shared" si="823"/>
        <v>-37.75</v>
      </c>
      <c r="K5278" s="17" t="str">
        <f t="shared" si="828"/>
        <v>Ecart négatif</v>
      </c>
      <c r="L5278" s="16">
        <f>base!X5278</f>
        <v>0</v>
      </c>
      <c r="M5278" s="11">
        <f t="shared" si="824"/>
        <v>0</v>
      </c>
      <c r="N5278" s="11">
        <f t="shared" si="825"/>
        <v>37.75</v>
      </c>
      <c r="O5278" s="11">
        <f t="shared" si="826"/>
        <v>0.25</v>
      </c>
      <c r="P5278" s="12">
        <f t="shared" si="827"/>
        <v>-37.75</v>
      </c>
      <c r="Q5278" s="17" t="str">
        <f t="shared" si="829"/>
        <v>Ecart négatif</v>
      </c>
    </row>
    <row r="5279" spans="1:18" x14ac:dyDescent="0.3">
      <c r="A5279" s="34" t="str">
        <f>base!J5279</f>
        <v>LM</v>
      </c>
      <c r="B5279" s="34" t="str">
        <f>base!V5279</f>
        <v>92000</v>
      </c>
      <c r="C5279" s="37">
        <v>92</v>
      </c>
      <c r="D5279" s="36">
        <f>base!H5279</f>
        <v>50.84</v>
      </c>
      <c r="E5279" s="44"/>
      <c r="F5279" s="16">
        <f>base!W5279</f>
        <v>0</v>
      </c>
      <c r="G5279" s="11">
        <f t="shared" si="820"/>
        <v>0</v>
      </c>
      <c r="H5279" s="11">
        <f t="shared" si="821"/>
        <v>0</v>
      </c>
      <c r="I5279" s="11">
        <f t="shared" si="822"/>
        <v>0</v>
      </c>
      <c r="J5279" s="12">
        <f t="shared" si="823"/>
        <v>0</v>
      </c>
      <c r="K5279" s="17" t="str">
        <f t="shared" si="828"/>
        <v>Pas d'écart</v>
      </c>
      <c r="L5279" s="16">
        <f>base!X5279</f>
        <v>0</v>
      </c>
      <c r="M5279" s="11">
        <f t="shared" si="824"/>
        <v>0</v>
      </c>
      <c r="N5279" s="11">
        <f t="shared" si="825"/>
        <v>0</v>
      </c>
      <c r="O5279" s="11">
        <f t="shared" si="826"/>
        <v>0</v>
      </c>
      <c r="P5279" s="12">
        <f t="shared" si="827"/>
        <v>0</v>
      </c>
      <c r="Q5279" s="17" t="str">
        <f t="shared" si="829"/>
        <v>Pas d'écart</v>
      </c>
    </row>
    <row r="5280" spans="1:18" x14ac:dyDescent="0.3">
      <c r="A5280" s="34" t="str">
        <f>base!J5280</f>
        <v>DLM</v>
      </c>
      <c r="B5280" s="34" t="str">
        <f>base!V5280</f>
        <v>93100</v>
      </c>
      <c r="C5280" s="37">
        <v>93</v>
      </c>
      <c r="D5280" s="36">
        <f>base!H5280</f>
        <v>52.5</v>
      </c>
      <c r="E5280" s="44"/>
      <c r="F5280" s="16">
        <f>base!W5280</f>
        <v>0</v>
      </c>
      <c r="G5280" s="11">
        <f t="shared" si="820"/>
        <v>0</v>
      </c>
      <c r="H5280" s="11">
        <f t="shared" si="821"/>
        <v>0</v>
      </c>
      <c r="I5280" s="11">
        <f t="shared" si="822"/>
        <v>0</v>
      </c>
      <c r="J5280" s="12">
        <f t="shared" si="823"/>
        <v>0</v>
      </c>
      <c r="K5280" s="17" t="str">
        <f t="shared" si="828"/>
        <v>Pas d'écart</v>
      </c>
      <c r="L5280" s="16">
        <f>base!X5280</f>
        <v>0</v>
      </c>
      <c r="M5280" s="11">
        <f t="shared" si="824"/>
        <v>0</v>
      </c>
      <c r="N5280" s="11">
        <f t="shared" si="825"/>
        <v>0</v>
      </c>
      <c r="O5280" s="11">
        <f t="shared" si="826"/>
        <v>0</v>
      </c>
      <c r="P5280" s="12">
        <f t="shared" si="827"/>
        <v>0</v>
      </c>
      <c r="Q5280" s="17" t="str">
        <f t="shared" si="829"/>
        <v>Pas d'écart</v>
      </c>
    </row>
    <row r="5281" spans="1:17" x14ac:dyDescent="0.3">
      <c r="A5281" s="34" t="str">
        <f>base!J5281</f>
        <v>DLM</v>
      </c>
      <c r="B5281" s="34" t="str">
        <f>base!V5281</f>
        <v>94800</v>
      </c>
      <c r="C5281" s="37">
        <v>94</v>
      </c>
      <c r="D5281" s="36">
        <f>base!H5281</f>
        <v>52.5</v>
      </c>
      <c r="E5281" s="44"/>
      <c r="F5281" s="16">
        <f>base!W5281</f>
        <v>0</v>
      </c>
      <c r="G5281" s="11">
        <f t="shared" si="820"/>
        <v>0</v>
      </c>
      <c r="H5281" s="11">
        <f t="shared" si="821"/>
        <v>0</v>
      </c>
      <c r="I5281" s="11">
        <f t="shared" si="822"/>
        <v>0</v>
      </c>
      <c r="J5281" s="12">
        <f t="shared" si="823"/>
        <v>0</v>
      </c>
      <c r="K5281" s="17" t="str">
        <f t="shared" si="828"/>
        <v>Pas d'écart</v>
      </c>
      <c r="L5281" s="16">
        <f>base!X5281</f>
        <v>0</v>
      </c>
      <c r="M5281" s="11">
        <f t="shared" si="824"/>
        <v>0</v>
      </c>
      <c r="N5281" s="11">
        <f t="shared" si="825"/>
        <v>0</v>
      </c>
      <c r="O5281" s="11">
        <f t="shared" si="826"/>
        <v>0</v>
      </c>
      <c r="P5281" s="12">
        <f t="shared" si="827"/>
        <v>0</v>
      </c>
      <c r="Q5281" s="17" t="str">
        <f t="shared" si="829"/>
        <v>Pas d'écart</v>
      </c>
    </row>
    <row r="5282" spans="1:17" x14ac:dyDescent="0.3">
      <c r="A5282" s="34" t="str">
        <f>base!J5282</f>
        <v>DLM</v>
      </c>
      <c r="B5282" s="34" t="str">
        <f>base!V5282</f>
        <v>25000</v>
      </c>
      <c r="C5282" s="37">
        <v>25</v>
      </c>
      <c r="D5282" s="36">
        <f>base!H5282</f>
        <v>52.5</v>
      </c>
      <c r="E5282" s="44"/>
      <c r="F5282" s="16">
        <f>base!W5282</f>
        <v>0</v>
      </c>
      <c r="G5282" s="11">
        <f t="shared" si="820"/>
        <v>0</v>
      </c>
      <c r="H5282" s="11">
        <f t="shared" si="821"/>
        <v>12.6</v>
      </c>
      <c r="I5282" s="11">
        <f t="shared" si="822"/>
        <v>0.24</v>
      </c>
      <c r="J5282" s="12">
        <f t="shared" si="823"/>
        <v>-12.6</v>
      </c>
      <c r="K5282" s="17" t="str">
        <f t="shared" si="828"/>
        <v>Ecart négatif</v>
      </c>
      <c r="L5282" s="16">
        <f>base!X5282</f>
        <v>0</v>
      </c>
      <c r="M5282" s="11">
        <f t="shared" si="824"/>
        <v>0</v>
      </c>
      <c r="N5282" s="11">
        <f t="shared" si="825"/>
        <v>6.3</v>
      </c>
      <c r="O5282" s="11">
        <f t="shared" si="826"/>
        <v>0.12</v>
      </c>
      <c r="P5282" s="12">
        <f t="shared" si="827"/>
        <v>-6.3</v>
      </c>
      <c r="Q5282" s="17" t="str">
        <f t="shared" si="829"/>
        <v>Ecart négatif</v>
      </c>
    </row>
    <row r="5283" spans="1:17" x14ac:dyDescent="0.3">
      <c r="A5283" s="34" t="str">
        <f>base!J5283</f>
        <v>RM</v>
      </c>
      <c r="B5283" s="34" t="str">
        <f>base!V5283</f>
        <v>77140</v>
      </c>
      <c r="C5283" s="37">
        <v>77</v>
      </c>
      <c r="D5283" s="36">
        <f>base!H5283</f>
        <v>197</v>
      </c>
      <c r="E5283" s="44"/>
      <c r="F5283" s="16">
        <f>base!W5283</f>
        <v>0</v>
      </c>
      <c r="G5283" s="11">
        <f t="shared" si="820"/>
        <v>0</v>
      </c>
      <c r="H5283" s="11">
        <f t="shared" si="821"/>
        <v>0</v>
      </c>
      <c r="I5283" s="11">
        <f t="shared" si="822"/>
        <v>0</v>
      </c>
      <c r="J5283" s="12">
        <f t="shared" si="823"/>
        <v>0</v>
      </c>
      <c r="K5283" s="17" t="str">
        <f t="shared" si="828"/>
        <v>Pas d'écart</v>
      </c>
      <c r="L5283" s="16">
        <f>base!X5283</f>
        <v>0</v>
      </c>
      <c r="M5283" s="11">
        <f t="shared" si="824"/>
        <v>0</v>
      </c>
      <c r="N5283" s="11">
        <f t="shared" si="825"/>
        <v>0</v>
      </c>
      <c r="O5283" s="11">
        <f t="shared" si="826"/>
        <v>0</v>
      </c>
      <c r="P5283" s="12">
        <f t="shared" si="827"/>
        <v>0</v>
      </c>
      <c r="Q5283" s="17" t="str">
        <f t="shared" si="829"/>
        <v>Pas d'écart</v>
      </c>
    </row>
    <row r="5284" spans="1:17" x14ac:dyDescent="0.3">
      <c r="A5284" s="34" t="str">
        <f>base!J5284</f>
        <v>DRM</v>
      </c>
      <c r="B5284" s="34" t="str">
        <f>base!V5284</f>
        <v>38230</v>
      </c>
      <c r="C5284" s="37">
        <v>38</v>
      </c>
      <c r="D5284" s="36">
        <f>base!H5284</f>
        <v>23.4</v>
      </c>
      <c r="E5284" s="44"/>
      <c r="F5284" s="16">
        <f>base!W5284</f>
        <v>0</v>
      </c>
      <c r="G5284" s="11">
        <f t="shared" si="820"/>
        <v>0</v>
      </c>
      <c r="H5284" s="11">
        <f t="shared" si="821"/>
        <v>6.3179999999999996</v>
      </c>
      <c r="I5284" s="11">
        <f t="shared" si="822"/>
        <v>0.27</v>
      </c>
      <c r="J5284" s="12">
        <f t="shared" si="823"/>
        <v>-6.3179999999999996</v>
      </c>
      <c r="K5284" s="17" t="str">
        <f t="shared" si="828"/>
        <v>Ecart négatif</v>
      </c>
      <c r="L5284" s="16">
        <f>base!X5284</f>
        <v>0</v>
      </c>
      <c r="M5284" s="11">
        <f t="shared" si="824"/>
        <v>0</v>
      </c>
      <c r="N5284" s="11">
        <f t="shared" si="825"/>
        <v>0</v>
      </c>
      <c r="O5284" s="11">
        <f t="shared" si="826"/>
        <v>0</v>
      </c>
      <c r="P5284" s="12">
        <f t="shared" si="827"/>
        <v>0</v>
      </c>
      <c r="Q5284" s="17" t="str">
        <f t="shared" si="829"/>
        <v>Pas d'écart</v>
      </c>
    </row>
    <row r="5285" spans="1:17" x14ac:dyDescent="0.3">
      <c r="A5285" s="34" t="str">
        <f>base!J5285</f>
        <v>DRM</v>
      </c>
      <c r="B5285" s="34" t="str">
        <f>base!V5285</f>
        <v>38230</v>
      </c>
      <c r="C5285" s="37">
        <v>38</v>
      </c>
      <c r="D5285" s="36">
        <f>base!H5285</f>
        <v>23.4</v>
      </c>
      <c r="E5285" s="44"/>
      <c r="F5285" s="16">
        <f>base!W5285</f>
        <v>0</v>
      </c>
      <c r="G5285" s="11">
        <f t="shared" si="820"/>
        <v>0</v>
      </c>
      <c r="H5285" s="11">
        <f t="shared" si="821"/>
        <v>6.3179999999999996</v>
      </c>
      <c r="I5285" s="11">
        <f t="shared" si="822"/>
        <v>0.27</v>
      </c>
      <c r="J5285" s="12">
        <f t="shared" si="823"/>
        <v>-6.3179999999999996</v>
      </c>
      <c r="K5285" s="17" t="str">
        <f t="shared" si="828"/>
        <v>Ecart négatif</v>
      </c>
      <c r="L5285" s="16">
        <f>base!X5285</f>
        <v>0</v>
      </c>
      <c r="M5285" s="11">
        <f t="shared" si="824"/>
        <v>0</v>
      </c>
      <c r="N5285" s="11">
        <f t="shared" si="825"/>
        <v>0</v>
      </c>
      <c r="O5285" s="11">
        <f t="shared" si="826"/>
        <v>0</v>
      </c>
      <c r="P5285" s="12">
        <f t="shared" si="827"/>
        <v>0</v>
      </c>
      <c r="Q5285" s="17" t="str">
        <f t="shared" si="829"/>
        <v>Pas d'écart</v>
      </c>
    </row>
    <row r="5286" spans="1:17" x14ac:dyDescent="0.3">
      <c r="A5286" s="34" t="str">
        <f>base!J5286</f>
        <v>RS</v>
      </c>
      <c r="B5286" s="34" t="str">
        <f>base!V5286</f>
        <v>67000</v>
      </c>
      <c r="C5286" s="37">
        <v>67</v>
      </c>
      <c r="D5286" s="36">
        <f>base!H5286</f>
        <v>75.5</v>
      </c>
      <c r="E5286" s="44"/>
      <c r="F5286" s="16">
        <f>base!W5286</f>
        <v>0</v>
      </c>
      <c r="G5286" s="11">
        <f t="shared" si="820"/>
        <v>0</v>
      </c>
      <c r="H5286" s="11">
        <f t="shared" si="821"/>
        <v>21.895</v>
      </c>
      <c r="I5286" s="11">
        <f t="shared" si="822"/>
        <v>0.28999999999999998</v>
      </c>
      <c r="J5286" s="12">
        <f t="shared" si="823"/>
        <v>-21.895</v>
      </c>
      <c r="K5286" s="17" t="str">
        <f t="shared" si="828"/>
        <v>Ecart négatif</v>
      </c>
      <c r="L5286" s="16">
        <f>base!X5286</f>
        <v>0</v>
      </c>
      <c r="M5286" s="11">
        <f t="shared" si="824"/>
        <v>0</v>
      </c>
      <c r="N5286" s="11">
        <f t="shared" si="825"/>
        <v>6.04</v>
      </c>
      <c r="O5286" s="11">
        <f t="shared" si="826"/>
        <v>0.08</v>
      </c>
      <c r="P5286" s="12">
        <f t="shared" si="827"/>
        <v>-6.04</v>
      </c>
      <c r="Q5286" s="17" t="str">
        <f t="shared" si="829"/>
        <v>Ecart négatif</v>
      </c>
    </row>
    <row r="5287" spans="1:17" x14ac:dyDescent="0.3">
      <c r="A5287" s="34" t="str">
        <f>base!J5287</f>
        <v>DRM</v>
      </c>
      <c r="B5287" s="34" t="str">
        <f>base!V5287</f>
        <v>21000</v>
      </c>
      <c r="C5287" s="37">
        <v>21</v>
      </c>
      <c r="D5287" s="36">
        <f>base!H5287</f>
        <v>151</v>
      </c>
      <c r="E5287" s="44"/>
      <c r="F5287" s="16">
        <f>base!W5287</f>
        <v>0</v>
      </c>
      <c r="G5287" s="11">
        <f t="shared" si="820"/>
        <v>0</v>
      </c>
      <c r="H5287" s="11">
        <f t="shared" si="821"/>
        <v>36.24</v>
      </c>
      <c r="I5287" s="11">
        <f t="shared" si="822"/>
        <v>0.24000000000000002</v>
      </c>
      <c r="J5287" s="12">
        <f t="shared" si="823"/>
        <v>-36.24</v>
      </c>
      <c r="K5287" s="17" t="str">
        <f t="shared" si="828"/>
        <v>Ecart négatif</v>
      </c>
      <c r="L5287" s="16">
        <f>base!X5287</f>
        <v>0</v>
      </c>
      <c r="M5287" s="11">
        <f t="shared" si="824"/>
        <v>0</v>
      </c>
      <c r="N5287" s="11">
        <f t="shared" si="825"/>
        <v>18.12</v>
      </c>
      <c r="O5287" s="11">
        <f t="shared" si="826"/>
        <v>0.12000000000000001</v>
      </c>
      <c r="P5287" s="12">
        <f t="shared" si="827"/>
        <v>-18.12</v>
      </c>
      <c r="Q5287" s="17" t="str">
        <f t="shared" si="829"/>
        <v>Ecart négatif</v>
      </c>
    </row>
    <row r="5288" spans="1:17" x14ac:dyDescent="0.3">
      <c r="A5288" s="34" t="str">
        <f>base!J5288</f>
        <v>RM</v>
      </c>
      <c r="B5288" s="34" t="str">
        <f>base!V5288</f>
        <v>06560</v>
      </c>
      <c r="C5288" s="37">
        <v>6</v>
      </c>
      <c r="D5288" s="36">
        <f>base!H5288</f>
        <v>151</v>
      </c>
      <c r="E5288" s="44"/>
      <c r="F5288" s="16">
        <f>base!W5288</f>
        <v>0</v>
      </c>
      <c r="G5288" s="11">
        <f t="shared" si="820"/>
        <v>0</v>
      </c>
      <c r="H5288" s="11">
        <f t="shared" si="821"/>
        <v>45.3</v>
      </c>
      <c r="I5288" s="11">
        <f t="shared" si="822"/>
        <v>0.3</v>
      </c>
      <c r="J5288" s="12">
        <f t="shared" si="823"/>
        <v>-45.3</v>
      </c>
      <c r="K5288" s="17" t="str">
        <f t="shared" si="828"/>
        <v>Ecart négatif</v>
      </c>
      <c r="L5288" s="16">
        <f>base!X5288</f>
        <v>0</v>
      </c>
      <c r="M5288" s="11">
        <f t="shared" si="824"/>
        <v>0</v>
      </c>
      <c r="N5288" s="11">
        <f t="shared" si="825"/>
        <v>31.709999999999997</v>
      </c>
      <c r="O5288" s="11">
        <f t="shared" si="826"/>
        <v>0.21</v>
      </c>
      <c r="P5288" s="12">
        <f t="shared" si="827"/>
        <v>-31.709999999999997</v>
      </c>
      <c r="Q5288" s="17" t="str">
        <f t="shared" si="829"/>
        <v>Ecart négatif</v>
      </c>
    </row>
    <row r="5289" spans="1:17" x14ac:dyDescent="0.3">
      <c r="A5289" s="34" t="str">
        <f>base!J5289</f>
        <v>RM</v>
      </c>
      <c r="B5289" s="34" t="str">
        <f>base!V5289</f>
        <v>06560</v>
      </c>
      <c r="C5289" s="37">
        <v>6</v>
      </c>
      <c r="D5289" s="36">
        <f>base!H5289</f>
        <v>151</v>
      </c>
      <c r="E5289" s="44"/>
      <c r="F5289" s="16">
        <f>base!W5289</f>
        <v>0</v>
      </c>
      <c r="G5289" s="11">
        <f t="shared" si="820"/>
        <v>0</v>
      </c>
      <c r="H5289" s="11">
        <f t="shared" si="821"/>
        <v>45.3</v>
      </c>
      <c r="I5289" s="11">
        <f t="shared" si="822"/>
        <v>0.3</v>
      </c>
      <c r="J5289" s="12">
        <f t="shared" si="823"/>
        <v>-45.3</v>
      </c>
      <c r="K5289" s="17" t="str">
        <f t="shared" si="828"/>
        <v>Ecart négatif</v>
      </c>
      <c r="L5289" s="16">
        <f>base!X5289</f>
        <v>0</v>
      </c>
      <c r="M5289" s="11">
        <f t="shared" si="824"/>
        <v>0</v>
      </c>
      <c r="N5289" s="11">
        <f t="shared" si="825"/>
        <v>31.709999999999997</v>
      </c>
      <c r="O5289" s="11">
        <f t="shared" si="826"/>
        <v>0.21</v>
      </c>
      <c r="P5289" s="12">
        <f t="shared" si="827"/>
        <v>-31.709999999999997</v>
      </c>
      <c r="Q5289" s="17" t="str">
        <f t="shared" si="829"/>
        <v>Ecart négatif</v>
      </c>
    </row>
    <row r="5290" spans="1:17" x14ac:dyDescent="0.3">
      <c r="A5290" s="34" t="str">
        <f>base!J5290</f>
        <v>DLS</v>
      </c>
      <c r="B5290" s="34" t="str">
        <f>base!V5290</f>
        <v>59100</v>
      </c>
      <c r="C5290" s="37">
        <v>59</v>
      </c>
      <c r="D5290" s="36">
        <f>base!H5290</f>
        <v>139.19999999999999</v>
      </c>
      <c r="E5290" s="44"/>
      <c r="F5290" s="16">
        <f>base!W5290</f>
        <v>0</v>
      </c>
      <c r="G5290" s="11">
        <f t="shared" si="820"/>
        <v>0</v>
      </c>
      <c r="H5290" s="11">
        <f t="shared" si="821"/>
        <v>26.447999999999997</v>
      </c>
      <c r="I5290" s="11">
        <f t="shared" si="822"/>
        <v>0.19</v>
      </c>
      <c r="J5290" s="12">
        <f t="shared" si="823"/>
        <v>-26.447999999999997</v>
      </c>
      <c r="K5290" s="17" t="str">
        <f t="shared" si="828"/>
        <v>Ecart négatif</v>
      </c>
      <c r="L5290" s="16">
        <f>base!X5290</f>
        <v>0</v>
      </c>
      <c r="M5290" s="11">
        <f t="shared" si="824"/>
        <v>0</v>
      </c>
      <c r="N5290" s="11">
        <f t="shared" si="825"/>
        <v>0</v>
      </c>
      <c r="O5290" s="11">
        <f t="shared" si="826"/>
        <v>0</v>
      </c>
      <c r="P5290" s="12">
        <f t="shared" si="827"/>
        <v>0</v>
      </c>
      <c r="Q5290" s="17" t="str">
        <f t="shared" si="829"/>
        <v>Pas d'écart</v>
      </c>
    </row>
    <row r="5291" spans="1:17" x14ac:dyDescent="0.3">
      <c r="A5291" s="34" t="str">
        <f>base!J5291</f>
        <v>RM</v>
      </c>
      <c r="B5291" s="34" t="str">
        <f>base!V5291</f>
        <v>06560</v>
      </c>
      <c r="C5291" s="37">
        <v>6</v>
      </c>
      <c r="D5291" s="36">
        <f>base!H5291</f>
        <v>151</v>
      </c>
      <c r="E5291" s="44"/>
      <c r="F5291" s="16">
        <f>base!W5291</f>
        <v>0</v>
      </c>
      <c r="G5291" s="11">
        <f t="shared" si="820"/>
        <v>0</v>
      </c>
      <c r="H5291" s="11">
        <f t="shared" si="821"/>
        <v>45.3</v>
      </c>
      <c r="I5291" s="11">
        <f t="shared" si="822"/>
        <v>0.3</v>
      </c>
      <c r="J5291" s="12">
        <f t="shared" si="823"/>
        <v>-45.3</v>
      </c>
      <c r="K5291" s="17" t="str">
        <f t="shared" si="828"/>
        <v>Ecart négatif</v>
      </c>
      <c r="L5291" s="16">
        <f>base!X5291</f>
        <v>0</v>
      </c>
      <c r="M5291" s="11">
        <f t="shared" si="824"/>
        <v>0</v>
      </c>
      <c r="N5291" s="11">
        <f t="shared" si="825"/>
        <v>31.709999999999997</v>
      </c>
      <c r="O5291" s="11">
        <f t="shared" si="826"/>
        <v>0.21</v>
      </c>
      <c r="P5291" s="12">
        <f t="shared" si="827"/>
        <v>-31.709999999999997</v>
      </c>
      <c r="Q5291" s="17" t="str">
        <f t="shared" si="829"/>
        <v>Ecart négatif</v>
      </c>
    </row>
    <row r="5292" spans="1:17" x14ac:dyDescent="0.3">
      <c r="A5292" s="34" t="str">
        <f>base!J5292</f>
        <v>RM</v>
      </c>
      <c r="B5292" s="34" t="str">
        <f>base!V5292</f>
        <v>25400</v>
      </c>
      <c r="C5292" s="37">
        <v>25</v>
      </c>
      <c r="D5292" s="36">
        <f>base!H5292</f>
        <v>140</v>
      </c>
      <c r="E5292" s="44"/>
      <c r="F5292" s="16">
        <f>base!W5292</f>
        <v>0</v>
      </c>
      <c r="G5292" s="11">
        <f t="shared" si="820"/>
        <v>0</v>
      </c>
      <c r="H5292" s="11">
        <f t="shared" si="821"/>
        <v>33.6</v>
      </c>
      <c r="I5292" s="11">
        <f t="shared" si="822"/>
        <v>0.24000000000000002</v>
      </c>
      <c r="J5292" s="12">
        <f t="shared" si="823"/>
        <v>-33.6</v>
      </c>
      <c r="K5292" s="17" t="str">
        <f t="shared" si="828"/>
        <v>Ecart négatif</v>
      </c>
      <c r="L5292" s="16">
        <f>base!X5292</f>
        <v>0</v>
      </c>
      <c r="M5292" s="11">
        <f t="shared" si="824"/>
        <v>0</v>
      </c>
      <c r="N5292" s="11">
        <f t="shared" si="825"/>
        <v>16.8</v>
      </c>
      <c r="O5292" s="11">
        <f t="shared" si="826"/>
        <v>0.12000000000000001</v>
      </c>
      <c r="P5292" s="12">
        <f t="shared" si="827"/>
        <v>-16.8</v>
      </c>
      <c r="Q5292" s="17" t="str">
        <f t="shared" si="829"/>
        <v>Ecart négatif</v>
      </c>
    </row>
    <row r="5293" spans="1:17" x14ac:dyDescent="0.3">
      <c r="A5293" s="34">
        <f>base!J5293</f>
        <v>0</v>
      </c>
      <c r="B5293" s="34" t="str">
        <f>base!V5293</f>
        <v>77184</v>
      </c>
      <c r="C5293" s="37">
        <v>77</v>
      </c>
      <c r="D5293" s="36">
        <f>base!H5293</f>
        <v>84.5</v>
      </c>
      <c r="E5293" s="44"/>
      <c r="F5293" s="16">
        <f>base!W5293</f>
        <v>0</v>
      </c>
      <c r="G5293" s="11">
        <f t="shared" si="820"/>
        <v>0</v>
      </c>
      <c r="H5293" s="11">
        <f t="shared" si="821"/>
        <v>0</v>
      </c>
      <c r="I5293" s="11">
        <f t="shared" si="822"/>
        <v>0</v>
      </c>
      <c r="J5293" s="12">
        <f t="shared" si="823"/>
        <v>0</v>
      </c>
      <c r="K5293" s="17" t="str">
        <f t="shared" si="828"/>
        <v>Pas d'écart</v>
      </c>
      <c r="L5293" s="16">
        <f>base!X5293</f>
        <v>0</v>
      </c>
      <c r="M5293" s="11">
        <f t="shared" si="824"/>
        <v>0</v>
      </c>
      <c r="N5293" s="11">
        <f t="shared" si="825"/>
        <v>0</v>
      </c>
      <c r="O5293" s="11">
        <f t="shared" si="826"/>
        <v>0</v>
      </c>
      <c r="P5293" s="12">
        <f t="shared" si="827"/>
        <v>0</v>
      </c>
      <c r="Q5293" s="17" t="str">
        <f t="shared" si="829"/>
        <v>Pas d'écart</v>
      </c>
    </row>
    <row r="5294" spans="1:17" x14ac:dyDescent="0.3">
      <c r="A5294" s="34" t="str">
        <f>base!J5294</f>
        <v>DLM</v>
      </c>
      <c r="B5294" s="34" t="str">
        <f>base!V5294</f>
        <v>63000</v>
      </c>
      <c r="C5294" s="37">
        <v>63</v>
      </c>
      <c r="D5294" s="36">
        <f>base!H5294</f>
        <v>30</v>
      </c>
      <c r="E5294" s="44"/>
      <c r="F5294" s="16">
        <f>base!W5294</f>
        <v>16.8</v>
      </c>
      <c r="G5294" s="11">
        <f t="shared" si="820"/>
        <v>0.56000000000000005</v>
      </c>
      <c r="H5294" s="11">
        <f t="shared" si="821"/>
        <v>8.6999999999999993</v>
      </c>
      <c r="I5294" s="11">
        <f t="shared" si="822"/>
        <v>0.28999999999999998</v>
      </c>
      <c r="J5294" s="12">
        <f t="shared" si="823"/>
        <v>8.1000000000000014</v>
      </c>
      <c r="K5294" s="17" t="str">
        <f t="shared" si="828"/>
        <v>Ecart positif</v>
      </c>
      <c r="L5294" s="16">
        <f>base!X5294</f>
        <v>0</v>
      </c>
      <c r="M5294" s="11">
        <f t="shared" si="824"/>
        <v>0</v>
      </c>
      <c r="N5294" s="11">
        <f t="shared" si="825"/>
        <v>3.5999999999999996</v>
      </c>
      <c r="O5294" s="11">
        <f t="shared" si="826"/>
        <v>0.11999999999999998</v>
      </c>
      <c r="P5294" s="12">
        <f t="shared" si="827"/>
        <v>-3.5999999999999996</v>
      </c>
      <c r="Q5294" s="17" t="str">
        <f t="shared" si="829"/>
        <v>Ecart négatif</v>
      </c>
    </row>
    <row r="5295" spans="1:17" x14ac:dyDescent="0.3">
      <c r="A5295" s="34" t="str">
        <f>base!J5295</f>
        <v>DLS</v>
      </c>
      <c r="B5295" s="34" t="str">
        <f>base!V5295</f>
        <v>37540</v>
      </c>
      <c r="C5295" s="37">
        <v>37</v>
      </c>
      <c r="D5295" s="36">
        <f>base!H5295</f>
        <v>53.2</v>
      </c>
      <c r="E5295" s="44"/>
      <c r="F5295" s="16">
        <f>base!W5295</f>
        <v>0</v>
      </c>
      <c r="G5295" s="11">
        <f t="shared" si="820"/>
        <v>0</v>
      </c>
      <c r="H5295" s="11">
        <f t="shared" si="821"/>
        <v>10.108000000000001</v>
      </c>
      <c r="I5295" s="11">
        <f t="shared" si="822"/>
        <v>0.19</v>
      </c>
      <c r="J5295" s="12">
        <f t="shared" si="823"/>
        <v>-10.108000000000001</v>
      </c>
      <c r="K5295" s="17" t="str">
        <f t="shared" si="828"/>
        <v>Ecart négatif</v>
      </c>
      <c r="L5295" s="16">
        <f>base!X5295</f>
        <v>0</v>
      </c>
      <c r="M5295" s="11">
        <f t="shared" si="824"/>
        <v>0</v>
      </c>
      <c r="N5295" s="11">
        <f t="shared" si="825"/>
        <v>6.3840000000000003</v>
      </c>
      <c r="O5295" s="11">
        <f t="shared" si="826"/>
        <v>0.12</v>
      </c>
      <c r="P5295" s="12">
        <f t="shared" si="827"/>
        <v>-6.3840000000000003</v>
      </c>
      <c r="Q5295" s="17" t="str">
        <f t="shared" si="829"/>
        <v>Ecart négatif</v>
      </c>
    </row>
    <row r="5296" spans="1:17" x14ac:dyDescent="0.3">
      <c r="A5296" s="34" t="str">
        <f>base!J5296</f>
        <v>RM</v>
      </c>
      <c r="B5296" s="34" t="str">
        <f>base!V5296</f>
        <v>75013</v>
      </c>
      <c r="C5296" s="37">
        <v>75</v>
      </c>
      <c r="D5296" s="36">
        <f>base!H5296</f>
        <v>151</v>
      </c>
      <c r="E5296" s="44"/>
      <c r="F5296" s="16">
        <f>base!W5296</f>
        <v>0</v>
      </c>
      <c r="G5296" s="11">
        <f t="shared" si="820"/>
        <v>0</v>
      </c>
      <c r="H5296" s="11">
        <f t="shared" si="821"/>
        <v>0</v>
      </c>
      <c r="I5296" s="11">
        <f t="shared" si="822"/>
        <v>0</v>
      </c>
      <c r="J5296" s="12">
        <f t="shared" si="823"/>
        <v>0</v>
      </c>
      <c r="K5296" s="17" t="str">
        <f t="shared" si="828"/>
        <v>Pas d'écart</v>
      </c>
      <c r="L5296" s="16">
        <f>base!X5296</f>
        <v>0</v>
      </c>
      <c r="M5296" s="11">
        <f t="shared" si="824"/>
        <v>0</v>
      </c>
      <c r="N5296" s="11">
        <f t="shared" si="825"/>
        <v>0</v>
      </c>
      <c r="O5296" s="11">
        <f t="shared" si="826"/>
        <v>0</v>
      </c>
      <c r="P5296" s="12">
        <f t="shared" si="827"/>
        <v>0</v>
      </c>
      <c r="Q5296" s="17" t="str">
        <f t="shared" si="829"/>
        <v>Pas d'écart</v>
      </c>
    </row>
    <row r="5297" spans="1:18" x14ac:dyDescent="0.3">
      <c r="A5297" s="34" t="str">
        <f>base!J5297</f>
        <v>DRM</v>
      </c>
      <c r="B5297" s="34" t="str">
        <f>base!V5297</f>
        <v>67800</v>
      </c>
      <c r="C5297" s="37">
        <v>67</v>
      </c>
      <c r="D5297" s="36">
        <f>base!H5297</f>
        <v>151</v>
      </c>
      <c r="E5297" s="44"/>
      <c r="F5297" s="16">
        <f>base!W5297</f>
        <v>0</v>
      </c>
      <c r="G5297" s="11">
        <f t="shared" si="820"/>
        <v>0</v>
      </c>
      <c r="H5297" s="11">
        <f t="shared" si="821"/>
        <v>43.79</v>
      </c>
      <c r="I5297" s="11">
        <f t="shared" si="822"/>
        <v>0.28999999999999998</v>
      </c>
      <c r="J5297" s="12">
        <f t="shared" si="823"/>
        <v>-43.79</v>
      </c>
      <c r="K5297" s="17" t="str">
        <f t="shared" si="828"/>
        <v>Ecart négatif</v>
      </c>
      <c r="L5297" s="16">
        <f>base!X5297</f>
        <v>0</v>
      </c>
      <c r="M5297" s="11">
        <f t="shared" si="824"/>
        <v>0</v>
      </c>
      <c r="N5297" s="11">
        <f t="shared" si="825"/>
        <v>12.08</v>
      </c>
      <c r="O5297" s="11">
        <f t="shared" si="826"/>
        <v>0.08</v>
      </c>
      <c r="P5297" s="12">
        <f t="shared" si="827"/>
        <v>-12.08</v>
      </c>
      <c r="Q5297" s="17" t="str">
        <f t="shared" si="829"/>
        <v>Ecart négatif</v>
      </c>
    </row>
    <row r="5298" spans="1:18" x14ac:dyDescent="0.3">
      <c r="A5298" s="34" t="str">
        <f>base!J5298</f>
        <v>Metre Aller</v>
      </c>
      <c r="B5298" s="34" t="str">
        <f>base!V5298</f>
        <v>77184</v>
      </c>
      <c r="C5298" s="37">
        <v>77</v>
      </c>
      <c r="D5298" s="36">
        <f>base!H5298</f>
        <v>171.88</v>
      </c>
      <c r="E5298" s="44"/>
      <c r="F5298" s="16">
        <f>base!W5298</f>
        <v>0</v>
      </c>
      <c r="G5298" s="11">
        <f t="shared" si="820"/>
        <v>0</v>
      </c>
      <c r="H5298" s="11">
        <f t="shared" si="821"/>
        <v>0</v>
      </c>
      <c r="I5298" s="11">
        <f t="shared" si="822"/>
        <v>0</v>
      </c>
      <c r="J5298" s="12">
        <f t="shared" si="823"/>
        <v>0</v>
      </c>
      <c r="K5298" s="17" t="str">
        <f t="shared" si="828"/>
        <v>Pas d'écart</v>
      </c>
      <c r="L5298" s="16">
        <f>base!X5298</f>
        <v>0</v>
      </c>
      <c r="M5298" s="11">
        <f t="shared" si="824"/>
        <v>0</v>
      </c>
      <c r="N5298" s="11">
        <f t="shared" si="825"/>
        <v>0</v>
      </c>
      <c r="O5298" s="11">
        <f t="shared" si="826"/>
        <v>0</v>
      </c>
      <c r="P5298" s="12">
        <f t="shared" si="827"/>
        <v>0</v>
      </c>
      <c r="Q5298" s="17" t="str">
        <f t="shared" si="829"/>
        <v>Pas d'écart</v>
      </c>
    </row>
    <row r="5299" spans="1:18" x14ac:dyDescent="0.3">
      <c r="A5299" s="34" t="str">
        <f>base!J5299</f>
        <v>LM</v>
      </c>
      <c r="B5299" s="34" t="str">
        <f>base!V5299</f>
        <v>88000</v>
      </c>
      <c r="C5299" s="37">
        <v>35</v>
      </c>
      <c r="D5299" s="36">
        <f>base!H5299</f>
        <v>12</v>
      </c>
      <c r="E5299" s="44"/>
      <c r="F5299" s="16">
        <f>base!W5299</f>
        <v>0</v>
      </c>
      <c r="G5299" s="11">
        <f t="shared" si="820"/>
        <v>0</v>
      </c>
      <c r="H5299" s="11">
        <f t="shared" si="821"/>
        <v>3.24</v>
      </c>
      <c r="I5299" s="11">
        <f t="shared" si="822"/>
        <v>0.27</v>
      </c>
      <c r="J5299" s="12">
        <f t="shared" si="823"/>
        <v>-3.24</v>
      </c>
      <c r="K5299" s="17" t="str">
        <f t="shared" si="828"/>
        <v>Ecart négatif</v>
      </c>
      <c r="L5299" s="16">
        <f>base!X5299</f>
        <v>0</v>
      </c>
      <c r="M5299" s="11">
        <f t="shared" si="824"/>
        <v>0</v>
      </c>
      <c r="N5299" s="11">
        <f t="shared" si="825"/>
        <v>0</v>
      </c>
      <c r="O5299" s="11">
        <f t="shared" si="826"/>
        <v>0</v>
      </c>
      <c r="P5299" s="12">
        <f t="shared" si="827"/>
        <v>0</v>
      </c>
      <c r="Q5299" s="17" t="str">
        <f t="shared" si="829"/>
        <v>Pas d'écart</v>
      </c>
    </row>
    <row r="5300" spans="1:18" x14ac:dyDescent="0.3">
      <c r="A5300" s="34">
        <f>base!J5300</f>
        <v>0</v>
      </c>
      <c r="B5300" s="34" t="str">
        <f>base!V5300</f>
        <v>77184</v>
      </c>
      <c r="C5300" s="37">
        <v>77</v>
      </c>
      <c r="D5300" s="36">
        <f>base!H5300</f>
        <v>84.5</v>
      </c>
      <c r="E5300" s="44"/>
      <c r="F5300" s="16">
        <f>base!W5300</f>
        <v>0</v>
      </c>
      <c r="G5300" s="11">
        <f t="shared" si="820"/>
        <v>0</v>
      </c>
      <c r="H5300" s="11">
        <f t="shared" si="821"/>
        <v>0</v>
      </c>
      <c r="I5300" s="11">
        <f t="shared" si="822"/>
        <v>0</v>
      </c>
      <c r="J5300" s="12">
        <f t="shared" si="823"/>
        <v>0</v>
      </c>
      <c r="K5300" s="17" t="str">
        <f t="shared" si="828"/>
        <v>Pas d'écart</v>
      </c>
      <c r="L5300" s="16">
        <f>base!X5300</f>
        <v>0</v>
      </c>
      <c r="M5300" s="11">
        <f t="shared" si="824"/>
        <v>0</v>
      </c>
      <c r="N5300" s="11">
        <f t="shared" si="825"/>
        <v>0</v>
      </c>
      <c r="O5300" s="11">
        <f t="shared" si="826"/>
        <v>0</v>
      </c>
      <c r="P5300" s="12">
        <f t="shared" si="827"/>
        <v>0</v>
      </c>
      <c r="Q5300" s="17" t="str">
        <f t="shared" si="829"/>
        <v>Pas d'écart</v>
      </c>
    </row>
    <row r="5301" spans="1:18" x14ac:dyDescent="0.3">
      <c r="A5301" s="34" t="str">
        <f>base!J5301</f>
        <v>DLM</v>
      </c>
      <c r="B5301" s="34" t="str">
        <f>base!V5301</f>
        <v>50640</v>
      </c>
      <c r="C5301" s="37">
        <v>50</v>
      </c>
      <c r="D5301" s="36">
        <f>base!H5301</f>
        <v>86.54</v>
      </c>
      <c r="E5301" s="44"/>
      <c r="F5301" s="16">
        <f>base!W5301</f>
        <v>0</v>
      </c>
      <c r="G5301" s="11">
        <f t="shared" si="820"/>
        <v>0</v>
      </c>
      <c r="H5301" s="11">
        <f t="shared" si="821"/>
        <v>14.711800000000002</v>
      </c>
      <c r="I5301" s="11">
        <f t="shared" si="822"/>
        <v>0.17</v>
      </c>
      <c r="J5301" s="12">
        <f t="shared" si="823"/>
        <v>-14.711800000000002</v>
      </c>
      <c r="K5301" s="17" t="str">
        <f t="shared" si="828"/>
        <v>Ecart négatif</v>
      </c>
      <c r="L5301" s="16">
        <f>base!X5301</f>
        <v>0</v>
      </c>
      <c r="M5301" s="11">
        <f t="shared" si="824"/>
        <v>0</v>
      </c>
      <c r="N5301" s="11">
        <f t="shared" si="825"/>
        <v>14.711800000000002</v>
      </c>
      <c r="O5301" s="11">
        <f t="shared" si="826"/>
        <v>0.17</v>
      </c>
      <c r="P5301" s="12">
        <f t="shared" si="827"/>
        <v>-14.711800000000002</v>
      </c>
      <c r="Q5301" s="17" t="str">
        <f t="shared" si="829"/>
        <v>Ecart négatif</v>
      </c>
    </row>
    <row r="5302" spans="1:18" x14ac:dyDescent="0.3">
      <c r="A5302" s="34" t="str">
        <f>base!J5302</f>
        <v>RM</v>
      </c>
      <c r="B5302" s="34" t="str">
        <f>base!V5302</f>
        <v>06190</v>
      </c>
      <c r="C5302" s="37">
        <v>6</v>
      </c>
      <c r="D5302" s="36">
        <f>base!H5302</f>
        <v>79</v>
      </c>
      <c r="E5302" s="44"/>
      <c r="F5302" s="16">
        <f>base!W5302</f>
        <v>0</v>
      </c>
      <c r="G5302" s="11">
        <f t="shared" si="820"/>
        <v>0</v>
      </c>
      <c r="H5302" s="11">
        <f t="shared" si="821"/>
        <v>23.7</v>
      </c>
      <c r="I5302" s="11">
        <f t="shared" si="822"/>
        <v>0.3</v>
      </c>
      <c r="J5302" s="12">
        <f t="shared" si="823"/>
        <v>-23.7</v>
      </c>
      <c r="K5302" s="17" t="str">
        <f t="shared" si="828"/>
        <v>Ecart négatif</v>
      </c>
      <c r="L5302" s="16">
        <f>base!X5302</f>
        <v>23.7</v>
      </c>
      <c r="M5302" s="11">
        <f t="shared" si="824"/>
        <v>0.3</v>
      </c>
      <c r="N5302" s="11">
        <f t="shared" si="825"/>
        <v>16.59</v>
      </c>
      <c r="O5302" s="11">
        <f t="shared" si="826"/>
        <v>0.21</v>
      </c>
      <c r="P5302" s="12">
        <f t="shared" si="827"/>
        <v>7.1099999999999994</v>
      </c>
      <c r="Q5302" s="17" t="str">
        <f t="shared" si="829"/>
        <v>Ecart positif</v>
      </c>
      <c r="R5302" s="38"/>
    </row>
    <row r="5303" spans="1:18" x14ac:dyDescent="0.3">
      <c r="A5303" s="34" t="str">
        <f>base!J5303</f>
        <v>LM</v>
      </c>
      <c r="B5303" s="34" t="str">
        <f>base!V5303</f>
        <v>60740</v>
      </c>
      <c r="C5303" s="37">
        <v>71</v>
      </c>
      <c r="D5303" s="36">
        <f>base!H5303</f>
        <v>43.34</v>
      </c>
      <c r="E5303" s="44"/>
      <c r="F5303" s="16">
        <f>base!W5303</f>
        <v>8.23</v>
      </c>
      <c r="G5303" s="11">
        <f t="shared" si="820"/>
        <v>0.18989386248269496</v>
      </c>
      <c r="H5303" s="11">
        <f t="shared" si="821"/>
        <v>11.701800000000002</v>
      </c>
      <c r="I5303" s="11">
        <f t="shared" si="822"/>
        <v>0.27</v>
      </c>
      <c r="J5303" s="12">
        <f t="shared" si="823"/>
        <v>-3.4718000000000018</v>
      </c>
      <c r="K5303" s="17" t="str">
        <f t="shared" si="828"/>
        <v>Ecart négatif</v>
      </c>
      <c r="L5303" s="16">
        <f>base!X5303</f>
        <v>0</v>
      </c>
      <c r="M5303" s="11">
        <f t="shared" si="824"/>
        <v>0</v>
      </c>
      <c r="N5303" s="11">
        <f t="shared" si="825"/>
        <v>0</v>
      </c>
      <c r="O5303" s="11">
        <f t="shared" si="826"/>
        <v>0</v>
      </c>
      <c r="P5303" s="12">
        <f t="shared" si="827"/>
        <v>0</v>
      </c>
      <c r="Q5303" s="17" t="str">
        <f t="shared" si="829"/>
        <v>Pas d'écart</v>
      </c>
    </row>
    <row r="5304" spans="1:18" x14ac:dyDescent="0.3">
      <c r="A5304" s="34" t="str">
        <f>base!J5304</f>
        <v>LM</v>
      </c>
      <c r="B5304" s="34" t="str">
        <f>base!V5304</f>
        <v>75014</v>
      </c>
      <c r="C5304" s="37">
        <v>75</v>
      </c>
      <c r="D5304" s="36">
        <f>base!H5304</f>
        <v>107.6</v>
      </c>
      <c r="E5304" s="44"/>
      <c r="F5304" s="16">
        <f>base!W5304</f>
        <v>0</v>
      </c>
      <c r="G5304" s="11">
        <f t="shared" si="820"/>
        <v>0</v>
      </c>
      <c r="H5304" s="11">
        <f t="shared" si="821"/>
        <v>0</v>
      </c>
      <c r="I5304" s="11">
        <f t="shared" si="822"/>
        <v>0</v>
      </c>
      <c r="J5304" s="12">
        <f t="shared" si="823"/>
        <v>0</v>
      </c>
      <c r="K5304" s="17" t="str">
        <f t="shared" si="828"/>
        <v>Pas d'écart</v>
      </c>
      <c r="L5304" s="16">
        <f>base!X5304</f>
        <v>0</v>
      </c>
      <c r="M5304" s="11">
        <f t="shared" si="824"/>
        <v>0</v>
      </c>
      <c r="N5304" s="11">
        <f t="shared" si="825"/>
        <v>0</v>
      </c>
      <c r="O5304" s="11">
        <f t="shared" si="826"/>
        <v>0</v>
      </c>
      <c r="P5304" s="12">
        <f t="shared" si="827"/>
        <v>0</v>
      </c>
      <c r="Q5304" s="17" t="str">
        <f t="shared" si="829"/>
        <v>Pas d'écart</v>
      </c>
    </row>
    <row r="5305" spans="1:18" x14ac:dyDescent="0.3">
      <c r="A5305" s="34" t="str">
        <f>base!J5305</f>
        <v>LM</v>
      </c>
      <c r="B5305" s="34" t="str">
        <f>base!V5305</f>
        <v>75014</v>
      </c>
      <c r="C5305" s="37">
        <v>75</v>
      </c>
      <c r="D5305" s="36">
        <f>base!H5305</f>
        <v>19.649999999999999</v>
      </c>
      <c r="E5305" s="44"/>
      <c r="F5305" s="16">
        <f>base!W5305</f>
        <v>0</v>
      </c>
      <c r="G5305" s="11">
        <f t="shared" si="820"/>
        <v>0</v>
      </c>
      <c r="H5305" s="11">
        <f t="shared" si="821"/>
        <v>0</v>
      </c>
      <c r="I5305" s="11">
        <f t="shared" si="822"/>
        <v>0</v>
      </c>
      <c r="J5305" s="12">
        <f t="shared" si="823"/>
        <v>0</v>
      </c>
      <c r="K5305" s="17" t="str">
        <f t="shared" si="828"/>
        <v>Pas d'écart</v>
      </c>
      <c r="L5305" s="16">
        <f>base!X5305</f>
        <v>0</v>
      </c>
      <c r="M5305" s="11">
        <f t="shared" si="824"/>
        <v>0</v>
      </c>
      <c r="N5305" s="11">
        <f t="shared" si="825"/>
        <v>0</v>
      </c>
      <c r="O5305" s="11">
        <f t="shared" si="826"/>
        <v>0</v>
      </c>
      <c r="P5305" s="12">
        <f t="shared" si="827"/>
        <v>0</v>
      </c>
      <c r="Q5305" s="17" t="str">
        <f t="shared" si="829"/>
        <v>Pas d'écart</v>
      </c>
    </row>
    <row r="5306" spans="1:18" x14ac:dyDescent="0.3">
      <c r="A5306" s="34">
        <f>base!J5306</f>
        <v>0</v>
      </c>
      <c r="B5306" s="34" t="str">
        <f>base!V5306</f>
        <v>77184</v>
      </c>
      <c r="C5306" s="37">
        <v>77</v>
      </c>
      <c r="D5306" s="36">
        <f>base!H5306</f>
        <v>109</v>
      </c>
      <c r="E5306" s="44"/>
      <c r="F5306" s="16">
        <f>base!W5306</f>
        <v>0</v>
      </c>
      <c r="G5306" s="11">
        <f t="shared" si="820"/>
        <v>0</v>
      </c>
      <c r="H5306" s="11">
        <f t="shared" si="821"/>
        <v>0</v>
      </c>
      <c r="I5306" s="11">
        <f t="shared" si="822"/>
        <v>0</v>
      </c>
      <c r="J5306" s="12">
        <f t="shared" si="823"/>
        <v>0</v>
      </c>
      <c r="K5306" s="17" t="str">
        <f t="shared" si="828"/>
        <v>Pas d'écart</v>
      </c>
      <c r="L5306" s="16">
        <f>base!X5306</f>
        <v>0</v>
      </c>
      <c r="M5306" s="11">
        <f t="shared" si="824"/>
        <v>0</v>
      </c>
      <c r="N5306" s="11">
        <f t="shared" si="825"/>
        <v>0</v>
      </c>
      <c r="O5306" s="11">
        <f t="shared" si="826"/>
        <v>0</v>
      </c>
      <c r="P5306" s="12">
        <f t="shared" si="827"/>
        <v>0</v>
      </c>
      <c r="Q5306" s="17" t="str">
        <f t="shared" si="829"/>
        <v>Pas d'écart</v>
      </c>
    </row>
    <row r="5307" spans="1:18" x14ac:dyDescent="0.3">
      <c r="A5307" s="34" t="str">
        <f>base!J5307</f>
        <v>RS</v>
      </c>
      <c r="B5307" s="34" t="str">
        <f>base!V5307</f>
        <v>67230</v>
      </c>
      <c r="C5307" s="37">
        <v>67</v>
      </c>
      <c r="D5307" s="36">
        <f>base!H5307</f>
        <v>250</v>
      </c>
      <c r="E5307" s="44"/>
      <c r="F5307" s="16">
        <f>base!W5307</f>
        <v>0</v>
      </c>
      <c r="G5307" s="11">
        <f t="shared" si="820"/>
        <v>0</v>
      </c>
      <c r="H5307" s="11">
        <f t="shared" si="821"/>
        <v>72.5</v>
      </c>
      <c r="I5307" s="11">
        <f t="shared" si="822"/>
        <v>0.28999999999999998</v>
      </c>
      <c r="J5307" s="12">
        <f t="shared" si="823"/>
        <v>-72.5</v>
      </c>
      <c r="K5307" s="17" t="str">
        <f t="shared" si="828"/>
        <v>Ecart négatif</v>
      </c>
      <c r="L5307" s="16">
        <f>base!X5307</f>
        <v>0</v>
      </c>
      <c r="M5307" s="11">
        <f t="shared" si="824"/>
        <v>0</v>
      </c>
      <c r="N5307" s="11">
        <f t="shared" si="825"/>
        <v>20</v>
      </c>
      <c r="O5307" s="11">
        <f t="shared" si="826"/>
        <v>0.08</v>
      </c>
      <c r="P5307" s="12">
        <f t="shared" si="827"/>
        <v>-20</v>
      </c>
      <c r="Q5307" s="17" t="str">
        <f t="shared" si="829"/>
        <v>Ecart négatif</v>
      </c>
    </row>
    <row r="5308" spans="1:18" x14ac:dyDescent="0.3">
      <c r="A5308" s="34" t="str">
        <f>base!J5308</f>
        <v>LM</v>
      </c>
      <c r="B5308" s="34" t="str">
        <f>base!V5308</f>
        <v>50240</v>
      </c>
      <c r="C5308" s="37">
        <v>73</v>
      </c>
      <c r="D5308" s="36">
        <f>base!H5308</f>
        <v>142.78</v>
      </c>
      <c r="E5308" s="44"/>
      <c r="F5308" s="16">
        <f>base!W5308</f>
        <v>24.27</v>
      </c>
      <c r="G5308" s="11">
        <f t="shared" si="820"/>
        <v>0.16998179016669002</v>
      </c>
      <c r="H5308" s="11">
        <f t="shared" si="821"/>
        <v>38.550600000000003</v>
      </c>
      <c r="I5308" s="11">
        <f t="shared" si="822"/>
        <v>0.27</v>
      </c>
      <c r="J5308" s="12">
        <f t="shared" si="823"/>
        <v>-14.280600000000003</v>
      </c>
      <c r="K5308" s="17" t="str">
        <f t="shared" si="828"/>
        <v>Ecart négatif</v>
      </c>
      <c r="L5308" s="16">
        <f>base!X5308</f>
        <v>0</v>
      </c>
      <c r="M5308" s="11">
        <f t="shared" si="824"/>
        <v>0</v>
      </c>
      <c r="N5308" s="11">
        <f t="shared" si="825"/>
        <v>0</v>
      </c>
      <c r="O5308" s="11">
        <f t="shared" si="826"/>
        <v>0</v>
      </c>
      <c r="P5308" s="12">
        <f t="shared" si="827"/>
        <v>0</v>
      </c>
      <c r="Q5308" s="17" t="str">
        <f t="shared" si="829"/>
        <v>Pas d'écart</v>
      </c>
    </row>
    <row r="5309" spans="1:18" x14ac:dyDescent="0.3">
      <c r="A5309" s="34" t="str">
        <f>base!J5309</f>
        <v>DRS</v>
      </c>
      <c r="B5309" s="34" t="str">
        <f>base!V5309</f>
        <v>75019</v>
      </c>
      <c r="C5309" s="37">
        <v>75</v>
      </c>
      <c r="D5309" s="36">
        <f>base!H5309</f>
        <v>194.98</v>
      </c>
      <c r="E5309" s="44"/>
      <c r="F5309" s="16">
        <f>base!W5309</f>
        <v>0</v>
      </c>
      <c r="G5309" s="11">
        <f t="shared" si="820"/>
        <v>0</v>
      </c>
      <c r="H5309" s="11">
        <f t="shared" si="821"/>
        <v>0</v>
      </c>
      <c r="I5309" s="11">
        <f t="shared" si="822"/>
        <v>0</v>
      </c>
      <c r="J5309" s="12">
        <f t="shared" si="823"/>
        <v>0</v>
      </c>
      <c r="K5309" s="17" t="str">
        <f t="shared" si="828"/>
        <v>Pas d'écart</v>
      </c>
      <c r="L5309" s="16">
        <f>base!X5309</f>
        <v>0</v>
      </c>
      <c r="M5309" s="11">
        <f t="shared" si="824"/>
        <v>0</v>
      </c>
      <c r="N5309" s="11">
        <f t="shared" si="825"/>
        <v>0</v>
      </c>
      <c r="O5309" s="11">
        <f t="shared" si="826"/>
        <v>0</v>
      </c>
      <c r="P5309" s="12">
        <f t="shared" si="827"/>
        <v>0</v>
      </c>
      <c r="Q5309" s="17" t="str">
        <f t="shared" si="829"/>
        <v>Pas d'écart</v>
      </c>
    </row>
    <row r="5310" spans="1:18" x14ac:dyDescent="0.3">
      <c r="A5310" s="34" t="str">
        <f>base!J5310</f>
        <v>RS</v>
      </c>
      <c r="B5310" s="34" t="str">
        <f>base!V5310</f>
        <v>13290</v>
      </c>
      <c r="C5310" s="37">
        <v>13</v>
      </c>
      <c r="D5310" s="36">
        <f>base!H5310</f>
        <v>108.65</v>
      </c>
      <c r="E5310" s="44"/>
      <c r="F5310" s="16">
        <f>base!W5310</f>
        <v>0</v>
      </c>
      <c r="G5310" s="11">
        <f t="shared" si="820"/>
        <v>0</v>
      </c>
      <c r="H5310" s="11">
        <f t="shared" si="821"/>
        <v>31.508499999999998</v>
      </c>
      <c r="I5310" s="11">
        <f t="shared" si="822"/>
        <v>0.28999999999999998</v>
      </c>
      <c r="J5310" s="12">
        <f t="shared" si="823"/>
        <v>-31.508499999999998</v>
      </c>
      <c r="K5310" s="17" t="str">
        <f t="shared" si="828"/>
        <v>Ecart négatif</v>
      </c>
      <c r="L5310" s="16">
        <f>base!X5310</f>
        <v>0</v>
      </c>
      <c r="M5310" s="11">
        <f t="shared" si="824"/>
        <v>0</v>
      </c>
      <c r="N5310" s="11">
        <f t="shared" si="825"/>
        <v>20.643500000000003</v>
      </c>
      <c r="O5310" s="11">
        <f t="shared" si="826"/>
        <v>0.19000000000000003</v>
      </c>
      <c r="P5310" s="12">
        <f t="shared" si="827"/>
        <v>-20.643500000000003</v>
      </c>
      <c r="Q5310" s="17" t="str">
        <f t="shared" si="829"/>
        <v>Ecart négatif</v>
      </c>
    </row>
    <row r="5311" spans="1:18" x14ac:dyDescent="0.3">
      <c r="A5311" s="34" t="str">
        <f>base!J5311</f>
        <v>RM</v>
      </c>
      <c r="B5311" s="34" t="str">
        <f>base!V5311</f>
        <v>37540</v>
      </c>
      <c r="C5311" s="37">
        <v>37</v>
      </c>
      <c r="D5311" s="36">
        <f>base!H5311</f>
        <v>124</v>
      </c>
      <c r="E5311" s="44"/>
      <c r="F5311" s="16">
        <f>base!W5311</f>
        <v>0</v>
      </c>
      <c r="G5311" s="11">
        <f t="shared" si="820"/>
        <v>0</v>
      </c>
      <c r="H5311" s="11">
        <f t="shared" si="821"/>
        <v>23.56</v>
      </c>
      <c r="I5311" s="11">
        <f t="shared" si="822"/>
        <v>0.19</v>
      </c>
      <c r="J5311" s="12">
        <f t="shared" si="823"/>
        <v>-23.56</v>
      </c>
      <c r="K5311" s="17" t="str">
        <f t="shared" si="828"/>
        <v>Ecart négatif</v>
      </c>
      <c r="L5311" s="16">
        <f>base!X5311</f>
        <v>0</v>
      </c>
      <c r="M5311" s="11">
        <f t="shared" si="824"/>
        <v>0</v>
      </c>
      <c r="N5311" s="11">
        <f t="shared" si="825"/>
        <v>14.879999999999999</v>
      </c>
      <c r="O5311" s="11">
        <f t="shared" si="826"/>
        <v>0.12</v>
      </c>
      <c r="P5311" s="12">
        <f t="shared" si="827"/>
        <v>-14.879999999999999</v>
      </c>
      <c r="Q5311" s="17" t="str">
        <f t="shared" si="829"/>
        <v>Ecart négatif</v>
      </c>
    </row>
    <row r="5312" spans="1:18" x14ac:dyDescent="0.3">
      <c r="A5312" s="34" t="str">
        <f>base!J5312</f>
        <v>LS</v>
      </c>
      <c r="B5312" s="34" t="str">
        <f>base!V5312</f>
        <v>41210</v>
      </c>
      <c r="C5312" s="37">
        <v>26</v>
      </c>
      <c r="D5312" s="36">
        <f>base!H5312</f>
        <v>74.67</v>
      </c>
      <c r="E5312" s="44"/>
      <c r="F5312" s="16">
        <f>base!W5312</f>
        <v>15.68</v>
      </c>
      <c r="G5312" s="11">
        <f t="shared" si="820"/>
        <v>0.2099906254185081</v>
      </c>
      <c r="H5312" s="11">
        <f t="shared" si="821"/>
        <v>20.160900000000002</v>
      </c>
      <c r="I5312" s="11">
        <f t="shared" si="822"/>
        <v>0.27</v>
      </c>
      <c r="J5312" s="12">
        <f t="shared" si="823"/>
        <v>-4.4809000000000019</v>
      </c>
      <c r="K5312" s="17" t="str">
        <f t="shared" si="828"/>
        <v>Ecart négatif</v>
      </c>
      <c r="L5312" s="16">
        <f>base!X5312</f>
        <v>0</v>
      </c>
      <c r="M5312" s="11">
        <f t="shared" si="824"/>
        <v>0</v>
      </c>
      <c r="N5312" s="11">
        <f t="shared" si="825"/>
        <v>0</v>
      </c>
      <c r="O5312" s="11">
        <f t="shared" si="826"/>
        <v>0</v>
      </c>
      <c r="P5312" s="12">
        <f t="shared" si="827"/>
        <v>0</v>
      </c>
      <c r="Q5312" s="17" t="str">
        <f t="shared" si="829"/>
        <v>Pas d'écart</v>
      </c>
    </row>
    <row r="5313" spans="1:18" x14ac:dyDescent="0.3">
      <c r="A5313" s="34" t="str">
        <f>base!J5313</f>
        <v>LS</v>
      </c>
      <c r="B5313" s="34" t="str">
        <f>base!V5313</f>
        <v>25870</v>
      </c>
      <c r="C5313" s="37">
        <v>13</v>
      </c>
      <c r="D5313" s="36">
        <f>base!H5313</f>
        <v>103.06</v>
      </c>
      <c r="E5313" s="44"/>
      <c r="F5313" s="16">
        <f>base!W5313</f>
        <v>24.73</v>
      </c>
      <c r="G5313" s="11">
        <f t="shared" si="820"/>
        <v>0.23995730642344265</v>
      </c>
      <c r="H5313" s="11">
        <f t="shared" si="821"/>
        <v>29.8874</v>
      </c>
      <c r="I5313" s="11">
        <f t="shared" si="822"/>
        <v>0.28999999999999998</v>
      </c>
      <c r="J5313" s="12">
        <f t="shared" si="823"/>
        <v>-5.1573999999999991</v>
      </c>
      <c r="K5313" s="17" t="str">
        <f t="shared" si="828"/>
        <v>Ecart négatif</v>
      </c>
      <c r="L5313" s="16">
        <f>base!X5313</f>
        <v>0</v>
      </c>
      <c r="M5313" s="11">
        <f t="shared" si="824"/>
        <v>0</v>
      </c>
      <c r="N5313" s="11">
        <f t="shared" si="825"/>
        <v>19.581400000000002</v>
      </c>
      <c r="O5313" s="11">
        <f t="shared" si="826"/>
        <v>0.19000000000000003</v>
      </c>
      <c r="P5313" s="12">
        <f t="shared" si="827"/>
        <v>-19.581400000000002</v>
      </c>
      <c r="Q5313" s="17" t="str">
        <f t="shared" si="829"/>
        <v>Ecart négatif</v>
      </c>
    </row>
    <row r="5314" spans="1:18" x14ac:dyDescent="0.3">
      <c r="A5314" s="34" t="str">
        <f>base!J5314</f>
        <v>RS</v>
      </c>
      <c r="B5314" s="34" t="str">
        <f>base!V5314</f>
        <v>68800</v>
      </c>
      <c r="C5314" s="37">
        <v>68</v>
      </c>
      <c r="D5314" s="36">
        <f>base!H5314</f>
        <v>180</v>
      </c>
      <c r="E5314" s="44"/>
      <c r="F5314" s="16">
        <f>base!W5314</f>
        <v>0</v>
      </c>
      <c r="G5314" s="11">
        <f t="shared" ref="G5314:G5377" si="830">F5314/D5314</f>
        <v>0</v>
      </c>
      <c r="H5314" s="11">
        <f t="shared" ref="H5314:H5377" si="831">VLOOKUP(C5314,tout_cout_traction,2,FALSE)*D5314</f>
        <v>52.199999999999996</v>
      </c>
      <c r="I5314" s="11">
        <f t="shared" ref="I5314:I5377" si="832">H5314/D5314</f>
        <v>0.28999999999999998</v>
      </c>
      <c r="J5314" s="12">
        <f t="shared" ref="J5314:J5377" si="833">F5314-H5314</f>
        <v>-52.199999999999996</v>
      </c>
      <c r="K5314" s="17" t="str">
        <f t="shared" si="828"/>
        <v>Ecart négatif</v>
      </c>
      <c r="L5314" s="16">
        <f>base!X5314</f>
        <v>14.4</v>
      </c>
      <c r="M5314" s="11">
        <f t="shared" ref="M5314:M5377" si="834">L5314/D5314</f>
        <v>0.08</v>
      </c>
      <c r="N5314" s="11">
        <f t="shared" ref="N5314:N5377" si="835">VLOOKUP(C5314,tout_cout_traction,3,FALSE)*D5314</f>
        <v>14.4</v>
      </c>
      <c r="O5314" s="11">
        <f t="shared" ref="O5314:O5377" si="836">N5314/D5314</f>
        <v>0.08</v>
      </c>
      <c r="P5314" s="12">
        <f t="shared" ref="P5314:P5377" si="837">L5314-N5314</f>
        <v>0</v>
      </c>
      <c r="Q5314" s="17" t="str">
        <f t="shared" si="829"/>
        <v>Pas d'écart</v>
      </c>
      <c r="R5314" s="38"/>
    </row>
    <row r="5315" spans="1:18" x14ac:dyDescent="0.3">
      <c r="A5315" s="34" t="str">
        <f>base!J5315</f>
        <v>RM</v>
      </c>
      <c r="B5315" s="34" t="str">
        <f>base!V5315</f>
        <v>67500</v>
      </c>
      <c r="C5315" s="37">
        <v>67</v>
      </c>
      <c r="D5315" s="36">
        <f>base!H5315</f>
        <v>40.25</v>
      </c>
      <c r="E5315" s="44"/>
      <c r="F5315" s="16">
        <f>base!W5315</f>
        <v>0</v>
      </c>
      <c r="G5315" s="11">
        <f t="shared" si="830"/>
        <v>0</v>
      </c>
      <c r="H5315" s="11">
        <f t="shared" si="831"/>
        <v>11.672499999999999</v>
      </c>
      <c r="I5315" s="11">
        <f t="shared" si="832"/>
        <v>0.28999999999999998</v>
      </c>
      <c r="J5315" s="12">
        <f t="shared" si="833"/>
        <v>-11.672499999999999</v>
      </c>
      <c r="K5315" s="17" t="str">
        <f t="shared" ref="K5315:K5378" si="838">IF(H5315=F5315,"Pas d'écart",IF(H5315&lt;F5315,"Ecart positif",IF(H5315&gt;F5315,"Ecart négatif")))</f>
        <v>Ecart négatif</v>
      </c>
      <c r="L5315" s="16">
        <f>base!X5315</f>
        <v>0</v>
      </c>
      <c r="M5315" s="11">
        <f t="shared" si="834"/>
        <v>0</v>
      </c>
      <c r="N5315" s="11">
        <f t="shared" si="835"/>
        <v>3.22</v>
      </c>
      <c r="O5315" s="11">
        <f t="shared" si="836"/>
        <v>0.08</v>
      </c>
      <c r="P5315" s="12">
        <f t="shared" si="837"/>
        <v>-3.22</v>
      </c>
      <c r="Q5315" s="17" t="str">
        <f t="shared" ref="Q5315:Q5378" si="839">IF(N5315=L5315,"Pas d'écart",IF(N5315&lt;L5315,"Ecart positif",IF(N5315&gt;L5315,"Ecart négatif")))</f>
        <v>Ecart négatif</v>
      </c>
    </row>
    <row r="5316" spans="1:18" x14ac:dyDescent="0.3">
      <c r="A5316" s="34" t="str">
        <f>base!J5316</f>
        <v>RS</v>
      </c>
      <c r="B5316" s="34" t="str">
        <f>base!V5316</f>
        <v>75010</v>
      </c>
      <c r="C5316" s="37">
        <v>75</v>
      </c>
      <c r="D5316" s="36">
        <f>base!H5316</f>
        <v>140</v>
      </c>
      <c r="E5316" s="44"/>
      <c r="F5316" s="16">
        <f>base!W5316</f>
        <v>0</v>
      </c>
      <c r="G5316" s="11">
        <f t="shared" si="830"/>
        <v>0</v>
      </c>
      <c r="H5316" s="11">
        <f t="shared" si="831"/>
        <v>0</v>
      </c>
      <c r="I5316" s="11">
        <f t="shared" si="832"/>
        <v>0</v>
      </c>
      <c r="J5316" s="12">
        <f t="shared" si="833"/>
        <v>0</v>
      </c>
      <c r="K5316" s="17" t="str">
        <f t="shared" si="838"/>
        <v>Pas d'écart</v>
      </c>
      <c r="L5316" s="16">
        <f>base!X5316</f>
        <v>0</v>
      </c>
      <c r="M5316" s="11">
        <f t="shared" si="834"/>
        <v>0</v>
      </c>
      <c r="N5316" s="11">
        <f t="shared" si="835"/>
        <v>0</v>
      </c>
      <c r="O5316" s="11">
        <f t="shared" si="836"/>
        <v>0</v>
      </c>
      <c r="P5316" s="12">
        <f t="shared" si="837"/>
        <v>0</v>
      </c>
      <c r="Q5316" s="17" t="str">
        <f t="shared" si="839"/>
        <v>Pas d'écart</v>
      </c>
    </row>
    <row r="5317" spans="1:18" x14ac:dyDescent="0.3">
      <c r="A5317" s="34" t="str">
        <f>base!J5317</f>
        <v>RM</v>
      </c>
      <c r="B5317" s="34" t="str">
        <f>base!V5317</f>
        <v>35680</v>
      </c>
      <c r="C5317" s="37">
        <v>35</v>
      </c>
      <c r="D5317" s="36">
        <f>base!H5317</f>
        <v>24.8</v>
      </c>
      <c r="E5317" s="44"/>
      <c r="F5317" s="16">
        <f>base!W5317</f>
        <v>0</v>
      </c>
      <c r="G5317" s="11">
        <f t="shared" si="830"/>
        <v>0</v>
      </c>
      <c r="H5317" s="11">
        <f t="shared" si="831"/>
        <v>6.6960000000000006</v>
      </c>
      <c r="I5317" s="11">
        <f t="shared" si="832"/>
        <v>0.27</v>
      </c>
      <c r="J5317" s="12">
        <f t="shared" si="833"/>
        <v>-6.6960000000000006</v>
      </c>
      <c r="K5317" s="17" t="str">
        <f t="shared" si="838"/>
        <v>Ecart négatif</v>
      </c>
      <c r="L5317" s="16">
        <f>base!X5317</f>
        <v>0</v>
      </c>
      <c r="M5317" s="11">
        <f t="shared" si="834"/>
        <v>0</v>
      </c>
      <c r="N5317" s="11">
        <f t="shared" si="835"/>
        <v>0</v>
      </c>
      <c r="O5317" s="11">
        <f t="shared" si="836"/>
        <v>0</v>
      </c>
      <c r="P5317" s="12">
        <f t="shared" si="837"/>
        <v>0</v>
      </c>
      <c r="Q5317" s="17" t="str">
        <f t="shared" si="839"/>
        <v>Pas d'écart</v>
      </c>
    </row>
    <row r="5318" spans="1:18" x14ac:dyDescent="0.3">
      <c r="A5318" s="34" t="str">
        <f>base!J5318</f>
        <v>LS</v>
      </c>
      <c r="B5318" s="34" t="str">
        <f>base!V5318</f>
        <v>57280</v>
      </c>
      <c r="C5318" s="37">
        <v>69</v>
      </c>
      <c r="D5318" s="36">
        <f>base!H5318</f>
        <v>201</v>
      </c>
      <c r="E5318" s="44"/>
      <c r="F5318" s="16">
        <f>base!W5318</f>
        <v>50.25</v>
      </c>
      <c r="G5318" s="11">
        <f t="shared" si="830"/>
        <v>0.25</v>
      </c>
      <c r="H5318" s="11">
        <f t="shared" si="831"/>
        <v>54.27</v>
      </c>
      <c r="I5318" s="11">
        <f t="shared" si="832"/>
        <v>0.27</v>
      </c>
      <c r="J5318" s="12">
        <f t="shared" si="833"/>
        <v>-4.0200000000000031</v>
      </c>
      <c r="K5318" s="17" t="str">
        <f t="shared" si="838"/>
        <v>Ecart négatif</v>
      </c>
      <c r="L5318" s="16">
        <f>base!X5318</f>
        <v>0</v>
      </c>
      <c r="M5318" s="11">
        <f t="shared" si="834"/>
        <v>0</v>
      </c>
      <c r="N5318" s="11">
        <f t="shared" si="835"/>
        <v>0</v>
      </c>
      <c r="O5318" s="11">
        <f t="shared" si="836"/>
        <v>0</v>
      </c>
      <c r="P5318" s="12">
        <f t="shared" si="837"/>
        <v>0</v>
      </c>
      <c r="Q5318" s="17" t="str">
        <f t="shared" si="839"/>
        <v>Pas d'écart</v>
      </c>
    </row>
    <row r="5319" spans="1:18" x14ac:dyDescent="0.3">
      <c r="A5319" s="34" t="str">
        <f>base!J5319</f>
        <v>LS</v>
      </c>
      <c r="B5319" s="34" t="str">
        <f>base!V5319</f>
        <v>62640</v>
      </c>
      <c r="C5319" s="37">
        <v>69</v>
      </c>
      <c r="D5319" s="36">
        <f>base!H5319</f>
        <v>14.6</v>
      </c>
      <c r="E5319" s="44"/>
      <c r="F5319" s="16">
        <f>base!W5319</f>
        <v>2.77</v>
      </c>
      <c r="G5319" s="11">
        <f t="shared" si="830"/>
        <v>0.18972602739726027</v>
      </c>
      <c r="H5319" s="11">
        <f t="shared" si="831"/>
        <v>3.9420000000000002</v>
      </c>
      <c r="I5319" s="11">
        <f t="shared" si="832"/>
        <v>0.27</v>
      </c>
      <c r="J5319" s="12">
        <f t="shared" si="833"/>
        <v>-1.1720000000000002</v>
      </c>
      <c r="K5319" s="17" t="str">
        <f t="shared" si="838"/>
        <v>Ecart négatif</v>
      </c>
      <c r="L5319" s="16">
        <f>base!X5319</f>
        <v>0</v>
      </c>
      <c r="M5319" s="11">
        <f t="shared" si="834"/>
        <v>0</v>
      </c>
      <c r="N5319" s="11">
        <f t="shared" si="835"/>
        <v>0</v>
      </c>
      <c r="O5319" s="11">
        <f t="shared" si="836"/>
        <v>0</v>
      </c>
      <c r="P5319" s="12">
        <f t="shared" si="837"/>
        <v>0</v>
      </c>
      <c r="Q5319" s="17" t="str">
        <f t="shared" si="839"/>
        <v>Pas d'écart</v>
      </c>
    </row>
    <row r="5320" spans="1:18" x14ac:dyDescent="0.3">
      <c r="A5320" s="34" t="str">
        <f>base!J5320</f>
        <v>RS</v>
      </c>
      <c r="B5320" s="34" t="str">
        <f>base!V5320</f>
        <v>17100</v>
      </c>
      <c r="C5320" s="37">
        <v>17</v>
      </c>
      <c r="D5320" s="36">
        <f>base!H5320</f>
        <v>140</v>
      </c>
      <c r="E5320" s="44"/>
      <c r="F5320" s="16">
        <f>base!W5320</f>
        <v>0</v>
      </c>
      <c r="G5320" s="11">
        <f t="shared" si="830"/>
        <v>0</v>
      </c>
      <c r="H5320" s="11">
        <f t="shared" si="831"/>
        <v>29.4</v>
      </c>
      <c r="I5320" s="11">
        <f t="shared" si="832"/>
        <v>0.21</v>
      </c>
      <c r="J5320" s="12">
        <f t="shared" si="833"/>
        <v>-29.4</v>
      </c>
      <c r="K5320" s="17" t="str">
        <f t="shared" si="838"/>
        <v>Ecart négatif</v>
      </c>
      <c r="L5320" s="16">
        <f>base!X5320</f>
        <v>0</v>
      </c>
      <c r="M5320" s="11">
        <f t="shared" si="834"/>
        <v>0</v>
      </c>
      <c r="N5320" s="11">
        <f t="shared" si="835"/>
        <v>23.8</v>
      </c>
      <c r="O5320" s="11">
        <f t="shared" si="836"/>
        <v>0.17</v>
      </c>
      <c r="P5320" s="12">
        <f t="shared" si="837"/>
        <v>-23.8</v>
      </c>
      <c r="Q5320" s="17" t="str">
        <f t="shared" si="839"/>
        <v>Ecart négatif</v>
      </c>
    </row>
    <row r="5321" spans="1:18" x14ac:dyDescent="0.3">
      <c r="A5321" s="34">
        <f>base!J5321</f>
        <v>0</v>
      </c>
      <c r="B5321" s="34" t="str">
        <f>base!V5321</f>
        <v/>
      </c>
      <c r="C5321" s="40" t="s">
        <v>11</v>
      </c>
      <c r="D5321" s="36">
        <f>base!H5321</f>
        <v>0</v>
      </c>
      <c r="E5321" s="44"/>
      <c r="F5321" s="16">
        <f>base!W5321</f>
        <v>0</v>
      </c>
      <c r="G5321" s="11" t="e">
        <f t="shared" si="830"/>
        <v>#DIV/0!</v>
      </c>
      <c r="H5321" s="11" t="e">
        <f t="shared" si="831"/>
        <v>#N/A</v>
      </c>
      <c r="I5321" s="11" t="e">
        <f t="shared" si="832"/>
        <v>#N/A</v>
      </c>
      <c r="J5321" s="12" t="e">
        <f t="shared" si="833"/>
        <v>#N/A</v>
      </c>
      <c r="K5321" s="17" t="e">
        <f t="shared" si="838"/>
        <v>#N/A</v>
      </c>
      <c r="L5321" s="16">
        <f>base!X5321</f>
        <v>0</v>
      </c>
      <c r="M5321" s="11" t="e">
        <f t="shared" si="834"/>
        <v>#DIV/0!</v>
      </c>
      <c r="N5321" s="11" t="e">
        <f t="shared" si="835"/>
        <v>#N/A</v>
      </c>
      <c r="O5321" s="11" t="e">
        <f t="shared" si="836"/>
        <v>#N/A</v>
      </c>
      <c r="P5321" s="12" t="e">
        <f t="shared" si="837"/>
        <v>#N/A</v>
      </c>
      <c r="Q5321" s="17" t="e">
        <f t="shared" si="839"/>
        <v>#N/A</v>
      </c>
    </row>
    <row r="5322" spans="1:18" x14ac:dyDescent="0.3">
      <c r="A5322" s="34" t="str">
        <f>base!J5322</f>
        <v>RM</v>
      </c>
      <c r="B5322" s="34" t="str">
        <f>base!V5322</f>
        <v>69100</v>
      </c>
      <c r="C5322" s="37">
        <v>69</v>
      </c>
      <c r="D5322" s="36">
        <f>base!H5322</f>
        <v>90.99</v>
      </c>
      <c r="E5322" s="44"/>
      <c r="F5322" s="16">
        <f>base!W5322</f>
        <v>0</v>
      </c>
      <c r="G5322" s="11">
        <f t="shared" si="830"/>
        <v>0</v>
      </c>
      <c r="H5322" s="11">
        <f t="shared" si="831"/>
        <v>24.567299999999999</v>
      </c>
      <c r="I5322" s="11">
        <f t="shared" si="832"/>
        <v>0.27</v>
      </c>
      <c r="J5322" s="12">
        <f t="shared" si="833"/>
        <v>-24.567299999999999</v>
      </c>
      <c r="K5322" s="17" t="str">
        <f t="shared" si="838"/>
        <v>Ecart négatif</v>
      </c>
      <c r="L5322" s="16">
        <f>base!X5322</f>
        <v>0</v>
      </c>
      <c r="M5322" s="11">
        <f t="shared" si="834"/>
        <v>0</v>
      </c>
      <c r="N5322" s="11">
        <f t="shared" si="835"/>
        <v>0</v>
      </c>
      <c r="O5322" s="11">
        <f t="shared" si="836"/>
        <v>0</v>
      </c>
      <c r="P5322" s="12">
        <f t="shared" si="837"/>
        <v>0</v>
      </c>
      <c r="Q5322" s="17" t="str">
        <f t="shared" si="839"/>
        <v>Pas d'écart</v>
      </c>
    </row>
    <row r="5323" spans="1:18" x14ac:dyDescent="0.3">
      <c r="A5323" s="34" t="str">
        <f>base!J5323</f>
        <v>RM</v>
      </c>
      <c r="B5323" s="34" t="str">
        <f>base!V5323</f>
        <v>69100</v>
      </c>
      <c r="C5323" s="37">
        <v>69</v>
      </c>
      <c r="D5323" s="36">
        <f>base!H5323</f>
        <v>90.99</v>
      </c>
      <c r="E5323" s="44"/>
      <c r="F5323" s="16">
        <f>base!W5323</f>
        <v>0</v>
      </c>
      <c r="G5323" s="11">
        <f t="shared" si="830"/>
        <v>0</v>
      </c>
      <c r="H5323" s="11">
        <f t="shared" si="831"/>
        <v>24.567299999999999</v>
      </c>
      <c r="I5323" s="11">
        <f t="shared" si="832"/>
        <v>0.27</v>
      </c>
      <c r="J5323" s="12">
        <f t="shared" si="833"/>
        <v>-24.567299999999999</v>
      </c>
      <c r="K5323" s="17" t="str">
        <f t="shared" si="838"/>
        <v>Ecart négatif</v>
      </c>
      <c r="L5323" s="16">
        <f>base!X5323</f>
        <v>0</v>
      </c>
      <c r="M5323" s="11">
        <f t="shared" si="834"/>
        <v>0</v>
      </c>
      <c r="N5323" s="11">
        <f t="shared" si="835"/>
        <v>0</v>
      </c>
      <c r="O5323" s="11">
        <f t="shared" si="836"/>
        <v>0</v>
      </c>
      <c r="P5323" s="12">
        <f t="shared" si="837"/>
        <v>0</v>
      </c>
      <c r="Q5323" s="17" t="str">
        <f t="shared" si="839"/>
        <v>Pas d'écart</v>
      </c>
    </row>
    <row r="5324" spans="1:18" x14ac:dyDescent="0.3">
      <c r="A5324" s="34" t="str">
        <f>base!J5324</f>
        <v>RS</v>
      </c>
      <c r="B5324" s="34" t="str">
        <f>base!V5324</f>
        <v>25170</v>
      </c>
      <c r="C5324" s="37">
        <v>25</v>
      </c>
      <c r="D5324" s="36">
        <f>base!H5324</f>
        <v>75.5</v>
      </c>
      <c r="E5324" s="44"/>
      <c r="F5324" s="16">
        <f>base!W5324</f>
        <v>0</v>
      </c>
      <c r="G5324" s="11">
        <f t="shared" si="830"/>
        <v>0</v>
      </c>
      <c r="H5324" s="11">
        <f t="shared" si="831"/>
        <v>18.12</v>
      </c>
      <c r="I5324" s="11">
        <f t="shared" si="832"/>
        <v>0.24000000000000002</v>
      </c>
      <c r="J5324" s="12">
        <f t="shared" si="833"/>
        <v>-18.12</v>
      </c>
      <c r="K5324" s="17" t="str">
        <f t="shared" si="838"/>
        <v>Ecart négatif</v>
      </c>
      <c r="L5324" s="16">
        <f>base!X5324</f>
        <v>9.06</v>
      </c>
      <c r="M5324" s="11">
        <f t="shared" si="834"/>
        <v>0.12000000000000001</v>
      </c>
      <c r="N5324" s="11">
        <f t="shared" si="835"/>
        <v>9.06</v>
      </c>
      <c r="O5324" s="11">
        <f t="shared" si="836"/>
        <v>0.12000000000000001</v>
      </c>
      <c r="P5324" s="12">
        <f t="shared" si="837"/>
        <v>0</v>
      </c>
      <c r="Q5324" s="17" t="str">
        <f t="shared" si="839"/>
        <v>Pas d'écart</v>
      </c>
      <c r="R5324" s="38"/>
    </row>
    <row r="5325" spans="1:18" x14ac:dyDescent="0.3">
      <c r="A5325" s="34" t="str">
        <f>base!J5325</f>
        <v>RS</v>
      </c>
      <c r="B5325" s="34" t="str">
        <f>base!V5325</f>
        <v>77380</v>
      </c>
      <c r="C5325" s="37">
        <v>77</v>
      </c>
      <c r="D5325" s="36">
        <f>base!H5325</f>
        <v>70</v>
      </c>
      <c r="E5325" s="44"/>
      <c r="F5325" s="16">
        <f>base!W5325</f>
        <v>0</v>
      </c>
      <c r="G5325" s="11">
        <f t="shared" si="830"/>
        <v>0</v>
      </c>
      <c r="H5325" s="11">
        <f t="shared" si="831"/>
        <v>0</v>
      </c>
      <c r="I5325" s="11">
        <f t="shared" si="832"/>
        <v>0</v>
      </c>
      <c r="J5325" s="12">
        <f t="shared" si="833"/>
        <v>0</v>
      </c>
      <c r="K5325" s="17" t="str">
        <f t="shared" si="838"/>
        <v>Pas d'écart</v>
      </c>
      <c r="L5325" s="16">
        <f>base!X5325</f>
        <v>0</v>
      </c>
      <c r="M5325" s="11">
        <f t="shared" si="834"/>
        <v>0</v>
      </c>
      <c r="N5325" s="11">
        <f t="shared" si="835"/>
        <v>0</v>
      </c>
      <c r="O5325" s="11">
        <f t="shared" si="836"/>
        <v>0</v>
      </c>
      <c r="P5325" s="12">
        <f t="shared" si="837"/>
        <v>0</v>
      </c>
      <c r="Q5325" s="17" t="str">
        <f t="shared" si="839"/>
        <v>Pas d'écart</v>
      </c>
    </row>
    <row r="5326" spans="1:18" x14ac:dyDescent="0.3">
      <c r="A5326" s="34" t="str">
        <f>base!J5326</f>
        <v>RS</v>
      </c>
      <c r="B5326" s="34" t="str">
        <f>base!V5326</f>
        <v>13090</v>
      </c>
      <c r="C5326" s="37">
        <v>13</v>
      </c>
      <c r="D5326" s="36">
        <f>base!H5326</f>
        <v>40</v>
      </c>
      <c r="E5326" s="44"/>
      <c r="F5326" s="16">
        <f>base!W5326</f>
        <v>0</v>
      </c>
      <c r="G5326" s="11">
        <f t="shared" si="830"/>
        <v>0</v>
      </c>
      <c r="H5326" s="11">
        <f t="shared" si="831"/>
        <v>11.6</v>
      </c>
      <c r="I5326" s="11">
        <f t="shared" si="832"/>
        <v>0.28999999999999998</v>
      </c>
      <c r="J5326" s="12">
        <f t="shared" si="833"/>
        <v>-11.6</v>
      </c>
      <c r="K5326" s="17" t="str">
        <f t="shared" si="838"/>
        <v>Ecart négatif</v>
      </c>
      <c r="L5326" s="16">
        <f>base!X5326</f>
        <v>0</v>
      </c>
      <c r="M5326" s="11">
        <f t="shared" si="834"/>
        <v>0</v>
      </c>
      <c r="N5326" s="11">
        <f t="shared" si="835"/>
        <v>7.6</v>
      </c>
      <c r="O5326" s="11">
        <f t="shared" si="836"/>
        <v>0.19</v>
      </c>
      <c r="P5326" s="12">
        <f t="shared" si="837"/>
        <v>-7.6</v>
      </c>
      <c r="Q5326" s="17" t="str">
        <f t="shared" si="839"/>
        <v>Ecart négatif</v>
      </c>
    </row>
    <row r="5327" spans="1:18" x14ac:dyDescent="0.3">
      <c r="A5327" s="34" t="str">
        <f>base!J5327</f>
        <v>RS</v>
      </c>
      <c r="B5327" s="34" t="str">
        <f>base!V5327</f>
        <v>39400</v>
      </c>
      <c r="C5327" s="37">
        <v>39</v>
      </c>
      <c r="D5327" s="36">
        <f>base!H5327</f>
        <v>158</v>
      </c>
      <c r="E5327" s="44"/>
      <c r="F5327" s="16">
        <f>base!W5327</f>
        <v>0</v>
      </c>
      <c r="G5327" s="11">
        <f t="shared" si="830"/>
        <v>0</v>
      </c>
      <c r="H5327" s="11">
        <f t="shared" si="831"/>
        <v>42.660000000000004</v>
      </c>
      <c r="I5327" s="11">
        <f t="shared" si="832"/>
        <v>0.27</v>
      </c>
      <c r="J5327" s="12">
        <f t="shared" si="833"/>
        <v>-42.660000000000004</v>
      </c>
      <c r="K5327" s="17" t="str">
        <f t="shared" si="838"/>
        <v>Ecart négatif</v>
      </c>
      <c r="L5327" s="16">
        <f>base!X5327</f>
        <v>0</v>
      </c>
      <c r="M5327" s="11">
        <f t="shared" si="834"/>
        <v>0</v>
      </c>
      <c r="N5327" s="11">
        <f t="shared" si="835"/>
        <v>0</v>
      </c>
      <c r="O5327" s="11">
        <f t="shared" si="836"/>
        <v>0</v>
      </c>
      <c r="P5327" s="12">
        <f t="shared" si="837"/>
        <v>0</v>
      </c>
      <c r="Q5327" s="17" t="str">
        <f t="shared" si="839"/>
        <v>Pas d'écart</v>
      </c>
    </row>
    <row r="5328" spans="1:18" x14ac:dyDescent="0.3">
      <c r="A5328" s="34" t="str">
        <f>base!J5328</f>
        <v>RS</v>
      </c>
      <c r="B5328" s="34" t="str">
        <f>base!V5328</f>
        <v>26200</v>
      </c>
      <c r="C5328" s="37">
        <v>26</v>
      </c>
      <c r="D5328" s="36">
        <f>base!H5328</f>
        <v>275</v>
      </c>
      <c r="E5328" s="44"/>
      <c r="F5328" s="16">
        <f>base!W5328</f>
        <v>0</v>
      </c>
      <c r="G5328" s="11">
        <f t="shared" si="830"/>
        <v>0</v>
      </c>
      <c r="H5328" s="11">
        <f t="shared" si="831"/>
        <v>74.25</v>
      </c>
      <c r="I5328" s="11">
        <f t="shared" si="832"/>
        <v>0.27</v>
      </c>
      <c r="J5328" s="12">
        <f t="shared" si="833"/>
        <v>-74.25</v>
      </c>
      <c r="K5328" s="17" t="str">
        <f t="shared" si="838"/>
        <v>Ecart négatif</v>
      </c>
      <c r="L5328" s="16">
        <f>base!X5328</f>
        <v>0</v>
      </c>
      <c r="M5328" s="11">
        <f t="shared" si="834"/>
        <v>0</v>
      </c>
      <c r="N5328" s="11">
        <f t="shared" si="835"/>
        <v>0</v>
      </c>
      <c r="O5328" s="11">
        <f t="shared" si="836"/>
        <v>0</v>
      </c>
      <c r="P5328" s="12">
        <f t="shared" si="837"/>
        <v>0</v>
      </c>
      <c r="Q5328" s="17" t="str">
        <f t="shared" si="839"/>
        <v>Pas d'écart</v>
      </c>
    </row>
    <row r="5329" spans="1:18" x14ac:dyDescent="0.3">
      <c r="A5329" s="34" t="str">
        <f>base!J5329</f>
        <v>RS</v>
      </c>
      <c r="B5329" s="34" t="str">
        <f>base!V5329</f>
        <v>80400</v>
      </c>
      <c r="C5329" s="37">
        <v>80</v>
      </c>
      <c r="D5329" s="36">
        <f>base!H5329</f>
        <v>40</v>
      </c>
      <c r="E5329" s="44"/>
      <c r="F5329" s="16">
        <f>base!W5329</f>
        <v>0</v>
      </c>
      <c r="G5329" s="11">
        <f t="shared" si="830"/>
        <v>0</v>
      </c>
      <c r="H5329" s="11">
        <f t="shared" si="831"/>
        <v>7.6</v>
      </c>
      <c r="I5329" s="11">
        <f t="shared" si="832"/>
        <v>0.19</v>
      </c>
      <c r="J5329" s="12">
        <f t="shared" si="833"/>
        <v>-7.6</v>
      </c>
      <c r="K5329" s="17" t="str">
        <f t="shared" si="838"/>
        <v>Ecart négatif</v>
      </c>
      <c r="L5329" s="16">
        <f>base!X5329</f>
        <v>0</v>
      </c>
      <c r="M5329" s="11">
        <f t="shared" si="834"/>
        <v>0</v>
      </c>
      <c r="N5329" s="11">
        <f t="shared" si="835"/>
        <v>0</v>
      </c>
      <c r="O5329" s="11">
        <f t="shared" si="836"/>
        <v>0</v>
      </c>
      <c r="P5329" s="12">
        <f t="shared" si="837"/>
        <v>0</v>
      </c>
      <c r="Q5329" s="17" t="str">
        <f t="shared" si="839"/>
        <v>Pas d'écart</v>
      </c>
    </row>
    <row r="5330" spans="1:18" x14ac:dyDescent="0.3">
      <c r="A5330" s="34" t="str">
        <f>base!J5330</f>
        <v>RM</v>
      </c>
      <c r="B5330" s="34" t="str">
        <f>base!V5330</f>
        <v>61400</v>
      </c>
      <c r="C5330" s="37">
        <v>61</v>
      </c>
      <c r="D5330" s="36">
        <f>base!H5330</f>
        <v>140</v>
      </c>
      <c r="E5330" s="44"/>
      <c r="F5330" s="16">
        <f>base!W5330</f>
        <v>0</v>
      </c>
      <c r="G5330" s="11">
        <f t="shared" si="830"/>
        <v>0</v>
      </c>
      <c r="H5330" s="11">
        <f t="shared" si="831"/>
        <v>23.8</v>
      </c>
      <c r="I5330" s="11">
        <f t="shared" si="832"/>
        <v>0.17</v>
      </c>
      <c r="J5330" s="12">
        <f t="shared" si="833"/>
        <v>-23.8</v>
      </c>
      <c r="K5330" s="17" t="str">
        <f t="shared" si="838"/>
        <v>Ecart négatif</v>
      </c>
      <c r="L5330" s="16">
        <f>base!X5330</f>
        <v>23.8</v>
      </c>
      <c r="M5330" s="11">
        <f t="shared" si="834"/>
        <v>0.17</v>
      </c>
      <c r="N5330" s="11">
        <f t="shared" si="835"/>
        <v>23.8</v>
      </c>
      <c r="O5330" s="11">
        <f t="shared" si="836"/>
        <v>0.17</v>
      </c>
      <c r="P5330" s="12">
        <f t="shared" si="837"/>
        <v>0</v>
      </c>
      <c r="Q5330" s="17" t="str">
        <f t="shared" si="839"/>
        <v>Pas d'écart</v>
      </c>
    </row>
    <row r="5331" spans="1:18" x14ac:dyDescent="0.3">
      <c r="A5331" s="34" t="str">
        <f>base!J5331</f>
        <v>RM</v>
      </c>
      <c r="B5331" s="34" t="str">
        <f>base!V5331</f>
        <v>70000</v>
      </c>
      <c r="C5331" s="37">
        <v>70</v>
      </c>
      <c r="D5331" s="36">
        <f>base!H5331</f>
        <v>22.5</v>
      </c>
      <c r="E5331" s="44"/>
      <c r="F5331" s="16">
        <f>base!W5331</f>
        <v>0</v>
      </c>
      <c r="G5331" s="11">
        <f t="shared" si="830"/>
        <v>0</v>
      </c>
      <c r="H5331" s="11">
        <f t="shared" si="831"/>
        <v>5.3999999999999995</v>
      </c>
      <c r="I5331" s="11">
        <f t="shared" si="832"/>
        <v>0.23999999999999996</v>
      </c>
      <c r="J5331" s="12">
        <f t="shared" si="833"/>
        <v>-5.3999999999999995</v>
      </c>
      <c r="K5331" s="17" t="str">
        <f t="shared" si="838"/>
        <v>Ecart négatif</v>
      </c>
      <c r="L5331" s="16">
        <f>base!X5331</f>
        <v>0</v>
      </c>
      <c r="M5331" s="11">
        <f t="shared" si="834"/>
        <v>0</v>
      </c>
      <c r="N5331" s="11">
        <f t="shared" si="835"/>
        <v>2.6999999999999997</v>
      </c>
      <c r="O5331" s="11">
        <f t="shared" si="836"/>
        <v>0.11999999999999998</v>
      </c>
      <c r="P5331" s="12">
        <f t="shared" si="837"/>
        <v>-2.6999999999999997</v>
      </c>
      <c r="Q5331" s="17" t="str">
        <f t="shared" si="839"/>
        <v>Ecart négatif</v>
      </c>
    </row>
    <row r="5332" spans="1:18" x14ac:dyDescent="0.3">
      <c r="A5332" s="34" t="str">
        <f>base!J5332</f>
        <v>LM</v>
      </c>
      <c r="B5332" s="34" t="str">
        <f>base!V5332</f>
        <v>92000</v>
      </c>
      <c r="C5332" s="37">
        <v>92</v>
      </c>
      <c r="D5332" s="36">
        <f>base!H5332</f>
        <v>50.84</v>
      </c>
      <c r="E5332" s="44"/>
      <c r="F5332" s="16">
        <f>base!W5332</f>
        <v>0</v>
      </c>
      <c r="G5332" s="11">
        <f t="shared" si="830"/>
        <v>0</v>
      </c>
      <c r="H5332" s="11">
        <f t="shared" si="831"/>
        <v>0</v>
      </c>
      <c r="I5332" s="11">
        <f t="shared" si="832"/>
        <v>0</v>
      </c>
      <c r="J5332" s="12">
        <f t="shared" si="833"/>
        <v>0</v>
      </c>
      <c r="K5332" s="17" t="str">
        <f t="shared" si="838"/>
        <v>Pas d'écart</v>
      </c>
      <c r="L5332" s="16">
        <f>base!X5332</f>
        <v>0</v>
      </c>
      <c r="M5332" s="11">
        <f t="shared" si="834"/>
        <v>0</v>
      </c>
      <c r="N5332" s="11">
        <f t="shared" si="835"/>
        <v>0</v>
      </c>
      <c r="O5332" s="11">
        <f t="shared" si="836"/>
        <v>0</v>
      </c>
      <c r="P5332" s="12">
        <f t="shared" si="837"/>
        <v>0</v>
      </c>
      <c r="Q5332" s="17" t="str">
        <f t="shared" si="839"/>
        <v>Pas d'écart</v>
      </c>
    </row>
    <row r="5333" spans="1:18" x14ac:dyDescent="0.3">
      <c r="A5333" s="34" t="str">
        <f>base!J5333</f>
        <v>RS</v>
      </c>
      <c r="B5333" s="34" t="str">
        <f>base!V5333</f>
        <v>27550</v>
      </c>
      <c r="C5333" s="37">
        <v>27</v>
      </c>
      <c r="D5333" s="36">
        <f>base!H5333</f>
        <v>131.22999999999999</v>
      </c>
      <c r="E5333" s="44"/>
      <c r="F5333" s="16">
        <f>base!W5333</f>
        <v>0</v>
      </c>
      <c r="G5333" s="11">
        <f t="shared" si="830"/>
        <v>0</v>
      </c>
      <c r="H5333" s="11">
        <f t="shared" si="831"/>
        <v>22.309100000000001</v>
      </c>
      <c r="I5333" s="11">
        <f t="shared" si="832"/>
        <v>0.17</v>
      </c>
      <c r="J5333" s="12">
        <f t="shared" si="833"/>
        <v>-22.309100000000001</v>
      </c>
      <c r="K5333" s="17" t="str">
        <f t="shared" si="838"/>
        <v>Ecart négatif</v>
      </c>
      <c r="L5333" s="16">
        <f>base!X5333</f>
        <v>0</v>
      </c>
      <c r="M5333" s="11">
        <f t="shared" si="834"/>
        <v>0</v>
      </c>
      <c r="N5333" s="11">
        <f t="shared" si="835"/>
        <v>22.309100000000001</v>
      </c>
      <c r="O5333" s="11">
        <f t="shared" si="836"/>
        <v>0.17</v>
      </c>
      <c r="P5333" s="12">
        <f t="shared" si="837"/>
        <v>-22.309100000000001</v>
      </c>
      <c r="Q5333" s="17" t="str">
        <f t="shared" si="839"/>
        <v>Ecart négatif</v>
      </c>
    </row>
    <row r="5334" spans="1:18" x14ac:dyDescent="0.3">
      <c r="A5334" s="34" t="str">
        <f>base!J5334</f>
        <v>RS</v>
      </c>
      <c r="B5334" s="34" t="str">
        <f>base!V5334</f>
        <v>32000</v>
      </c>
      <c r="C5334" s="37">
        <v>32</v>
      </c>
      <c r="D5334" s="36">
        <f>base!H5334</f>
        <v>180</v>
      </c>
      <c r="E5334" s="44"/>
      <c r="F5334" s="16">
        <f>base!W5334</f>
        <v>0</v>
      </c>
      <c r="G5334" s="11">
        <f t="shared" si="830"/>
        <v>0</v>
      </c>
      <c r="H5334" s="11">
        <f t="shared" si="831"/>
        <v>39.6</v>
      </c>
      <c r="I5334" s="11">
        <f t="shared" si="832"/>
        <v>0.22</v>
      </c>
      <c r="J5334" s="12">
        <f t="shared" si="833"/>
        <v>-39.6</v>
      </c>
      <c r="K5334" s="17" t="str">
        <f t="shared" si="838"/>
        <v>Ecart négatif</v>
      </c>
      <c r="L5334" s="16">
        <f>base!X5334</f>
        <v>48.6</v>
      </c>
      <c r="M5334" s="11">
        <f t="shared" si="834"/>
        <v>0.27</v>
      </c>
      <c r="N5334" s="11">
        <f t="shared" si="835"/>
        <v>46.800000000000004</v>
      </c>
      <c r="O5334" s="11">
        <f t="shared" si="836"/>
        <v>0.26</v>
      </c>
      <c r="P5334" s="12">
        <f t="shared" si="837"/>
        <v>1.7999999999999972</v>
      </c>
      <c r="Q5334" s="17" t="str">
        <f t="shared" si="839"/>
        <v>Ecart positif</v>
      </c>
      <c r="R5334" s="38"/>
    </row>
    <row r="5335" spans="1:18" x14ac:dyDescent="0.3">
      <c r="A5335" s="34" t="str">
        <f>base!J5335</f>
        <v>DLS</v>
      </c>
      <c r="B5335" s="34" t="str">
        <f>base!V5335</f>
        <v>94290</v>
      </c>
      <c r="C5335" s="37">
        <v>94</v>
      </c>
      <c r="D5335" s="36">
        <f>base!H5335</f>
        <v>140</v>
      </c>
      <c r="E5335" s="44"/>
      <c r="F5335" s="16">
        <f>base!W5335</f>
        <v>0</v>
      </c>
      <c r="G5335" s="11">
        <f t="shared" si="830"/>
        <v>0</v>
      </c>
      <c r="H5335" s="11">
        <f t="shared" si="831"/>
        <v>0</v>
      </c>
      <c r="I5335" s="11">
        <f t="shared" si="832"/>
        <v>0</v>
      </c>
      <c r="J5335" s="12">
        <f t="shared" si="833"/>
        <v>0</v>
      </c>
      <c r="K5335" s="17" t="str">
        <f t="shared" si="838"/>
        <v>Pas d'écart</v>
      </c>
      <c r="L5335" s="16">
        <f>base!X5335</f>
        <v>0</v>
      </c>
      <c r="M5335" s="11">
        <f t="shared" si="834"/>
        <v>0</v>
      </c>
      <c r="N5335" s="11">
        <f t="shared" si="835"/>
        <v>0</v>
      </c>
      <c r="O5335" s="11">
        <f t="shared" si="836"/>
        <v>0</v>
      </c>
      <c r="P5335" s="12">
        <f t="shared" si="837"/>
        <v>0</v>
      </c>
      <c r="Q5335" s="17" t="str">
        <f t="shared" si="839"/>
        <v>Pas d'écart</v>
      </c>
    </row>
    <row r="5336" spans="1:18" x14ac:dyDescent="0.3">
      <c r="A5336" s="34" t="str">
        <f>base!J5336</f>
        <v>RM</v>
      </c>
      <c r="B5336" s="34" t="str">
        <f>base!V5336</f>
        <v>76230</v>
      </c>
      <c r="C5336" s="37">
        <v>76</v>
      </c>
      <c r="D5336" s="36">
        <f>base!H5336</f>
        <v>398.68</v>
      </c>
      <c r="E5336" s="44"/>
      <c r="F5336" s="16">
        <f>base!W5336</f>
        <v>0</v>
      </c>
      <c r="G5336" s="11">
        <f t="shared" si="830"/>
        <v>0</v>
      </c>
      <c r="H5336" s="11">
        <f t="shared" si="831"/>
        <v>67.775600000000011</v>
      </c>
      <c r="I5336" s="11">
        <f t="shared" si="832"/>
        <v>0.17</v>
      </c>
      <c r="J5336" s="12">
        <f t="shared" si="833"/>
        <v>-67.775600000000011</v>
      </c>
      <c r="K5336" s="17" t="str">
        <f t="shared" si="838"/>
        <v>Ecart négatif</v>
      </c>
      <c r="L5336" s="16">
        <f>base!X5336</f>
        <v>0</v>
      </c>
      <c r="M5336" s="11">
        <f t="shared" si="834"/>
        <v>0</v>
      </c>
      <c r="N5336" s="11">
        <f t="shared" si="835"/>
        <v>67.775600000000011</v>
      </c>
      <c r="O5336" s="11">
        <f t="shared" si="836"/>
        <v>0.17</v>
      </c>
      <c r="P5336" s="12">
        <f t="shared" si="837"/>
        <v>-67.775600000000011</v>
      </c>
      <c r="Q5336" s="17" t="str">
        <f t="shared" si="839"/>
        <v>Ecart négatif</v>
      </c>
    </row>
    <row r="5337" spans="1:18" x14ac:dyDescent="0.3">
      <c r="A5337" s="34" t="str">
        <f>base!J5337</f>
        <v>LM</v>
      </c>
      <c r="B5337" s="34" t="str">
        <f>base!V5337</f>
        <v>16340</v>
      </c>
      <c r="C5337" s="37">
        <v>38</v>
      </c>
      <c r="D5337" s="36">
        <f>base!H5337</f>
        <v>184.19</v>
      </c>
      <c r="E5337" s="44"/>
      <c r="F5337" s="16">
        <f>base!W5337</f>
        <v>0</v>
      </c>
      <c r="G5337" s="11">
        <f t="shared" si="830"/>
        <v>0</v>
      </c>
      <c r="H5337" s="11">
        <f t="shared" si="831"/>
        <v>49.731300000000005</v>
      </c>
      <c r="I5337" s="11">
        <f t="shared" si="832"/>
        <v>0.27</v>
      </c>
      <c r="J5337" s="12">
        <f t="shared" si="833"/>
        <v>-49.731300000000005</v>
      </c>
      <c r="K5337" s="17" t="str">
        <f t="shared" si="838"/>
        <v>Ecart négatif</v>
      </c>
      <c r="L5337" s="16">
        <f>base!X5337</f>
        <v>0</v>
      </c>
      <c r="M5337" s="11">
        <f t="shared" si="834"/>
        <v>0</v>
      </c>
      <c r="N5337" s="11">
        <f t="shared" si="835"/>
        <v>0</v>
      </c>
      <c r="O5337" s="11">
        <f t="shared" si="836"/>
        <v>0</v>
      </c>
      <c r="P5337" s="12">
        <f t="shared" si="837"/>
        <v>0</v>
      </c>
      <c r="Q5337" s="17" t="str">
        <f t="shared" si="839"/>
        <v>Pas d'écart</v>
      </c>
    </row>
    <row r="5338" spans="1:18" x14ac:dyDescent="0.3">
      <c r="A5338" s="34" t="str">
        <f>base!J5338</f>
        <v>DRM</v>
      </c>
      <c r="B5338" s="34" t="str">
        <f>base!V5338</f>
        <v>08200</v>
      </c>
      <c r="C5338" s="37">
        <v>8</v>
      </c>
      <c r="D5338" s="36">
        <f>base!H5338</f>
        <v>140</v>
      </c>
      <c r="E5338" s="44"/>
      <c r="F5338" s="16">
        <f>base!W5338</f>
        <v>0</v>
      </c>
      <c r="G5338" s="11">
        <f t="shared" si="830"/>
        <v>0</v>
      </c>
      <c r="H5338" s="11">
        <f t="shared" si="831"/>
        <v>25.2</v>
      </c>
      <c r="I5338" s="11">
        <f t="shared" si="832"/>
        <v>0.18</v>
      </c>
      <c r="J5338" s="12">
        <f t="shared" si="833"/>
        <v>-25.2</v>
      </c>
      <c r="K5338" s="17" t="str">
        <f t="shared" si="838"/>
        <v>Ecart négatif</v>
      </c>
      <c r="L5338" s="16">
        <f>base!X5338</f>
        <v>0</v>
      </c>
      <c r="M5338" s="11">
        <f t="shared" si="834"/>
        <v>0</v>
      </c>
      <c r="N5338" s="11">
        <f t="shared" si="835"/>
        <v>0</v>
      </c>
      <c r="O5338" s="11">
        <f t="shared" si="836"/>
        <v>0</v>
      </c>
      <c r="P5338" s="12">
        <f t="shared" si="837"/>
        <v>0</v>
      </c>
      <c r="Q5338" s="17" t="str">
        <f t="shared" si="839"/>
        <v>Pas d'écart</v>
      </c>
    </row>
    <row r="5339" spans="1:18" x14ac:dyDescent="0.3">
      <c r="A5339" s="34" t="str">
        <f>base!J5339</f>
        <v>DLM</v>
      </c>
      <c r="B5339" s="34" t="str">
        <f>base!V5339</f>
        <v>98000</v>
      </c>
      <c r="C5339" s="37">
        <v>98</v>
      </c>
      <c r="D5339" s="36">
        <f>base!H5339</f>
        <v>173.49</v>
      </c>
      <c r="E5339" s="44"/>
      <c r="F5339" s="16">
        <f>base!W5339</f>
        <v>52.05</v>
      </c>
      <c r="G5339" s="11">
        <f t="shared" si="830"/>
        <v>0.30001729206294309</v>
      </c>
      <c r="H5339" s="11">
        <f t="shared" si="831"/>
        <v>46.842300000000009</v>
      </c>
      <c r="I5339" s="11">
        <f t="shared" si="832"/>
        <v>0.27</v>
      </c>
      <c r="J5339" s="12">
        <f t="shared" si="833"/>
        <v>5.2076999999999884</v>
      </c>
      <c r="K5339" s="17" t="str">
        <f t="shared" si="838"/>
        <v>Ecart positif</v>
      </c>
      <c r="L5339" s="16">
        <f>base!X5339</f>
        <v>0</v>
      </c>
      <c r="M5339" s="11">
        <f t="shared" si="834"/>
        <v>0</v>
      </c>
      <c r="N5339" s="11">
        <f t="shared" si="835"/>
        <v>36.432900000000004</v>
      </c>
      <c r="O5339" s="11">
        <f t="shared" si="836"/>
        <v>0.21000000000000002</v>
      </c>
      <c r="P5339" s="12">
        <f t="shared" si="837"/>
        <v>-36.432900000000004</v>
      </c>
      <c r="Q5339" s="17" t="str">
        <f t="shared" si="839"/>
        <v>Ecart négatif</v>
      </c>
    </row>
    <row r="5340" spans="1:18" x14ac:dyDescent="0.3">
      <c r="A5340" s="34" t="str">
        <f>base!J5340</f>
        <v>LM</v>
      </c>
      <c r="B5340" s="34" t="str">
        <f>base!V5340</f>
        <v>21160</v>
      </c>
      <c r="C5340" s="37">
        <v>38</v>
      </c>
      <c r="D5340" s="36">
        <f>base!H5340</f>
        <v>55.16</v>
      </c>
      <c r="E5340" s="44"/>
      <c r="F5340" s="16">
        <f>base!W5340</f>
        <v>13.24</v>
      </c>
      <c r="G5340" s="11">
        <f t="shared" si="830"/>
        <v>0.24002900652646847</v>
      </c>
      <c r="H5340" s="11">
        <f t="shared" si="831"/>
        <v>14.8932</v>
      </c>
      <c r="I5340" s="11">
        <f t="shared" si="832"/>
        <v>0.27</v>
      </c>
      <c r="J5340" s="12">
        <f t="shared" si="833"/>
        <v>-1.6532</v>
      </c>
      <c r="K5340" s="17" t="str">
        <f t="shared" si="838"/>
        <v>Ecart négatif</v>
      </c>
      <c r="L5340" s="16">
        <f>base!X5340</f>
        <v>0</v>
      </c>
      <c r="M5340" s="11">
        <f t="shared" si="834"/>
        <v>0</v>
      </c>
      <c r="N5340" s="11">
        <f t="shared" si="835"/>
        <v>0</v>
      </c>
      <c r="O5340" s="11">
        <f t="shared" si="836"/>
        <v>0</v>
      </c>
      <c r="P5340" s="12">
        <f t="shared" si="837"/>
        <v>0</v>
      </c>
      <c r="Q5340" s="17" t="str">
        <f t="shared" si="839"/>
        <v>Pas d'écart</v>
      </c>
    </row>
    <row r="5341" spans="1:18" x14ac:dyDescent="0.3">
      <c r="A5341" s="34" t="str">
        <f>base!J5341</f>
        <v>RS</v>
      </c>
      <c r="B5341" s="34" t="str">
        <f>base!V5341</f>
        <v>67170</v>
      </c>
      <c r="C5341" s="37">
        <v>67</v>
      </c>
      <c r="D5341" s="36">
        <f>base!H5341</f>
        <v>19.670000000000002</v>
      </c>
      <c r="E5341" s="44"/>
      <c r="F5341" s="16">
        <f>base!W5341</f>
        <v>0</v>
      </c>
      <c r="G5341" s="11">
        <f t="shared" si="830"/>
        <v>0</v>
      </c>
      <c r="H5341" s="11">
        <f t="shared" si="831"/>
        <v>5.7042999999999999</v>
      </c>
      <c r="I5341" s="11">
        <f t="shared" si="832"/>
        <v>0.28999999999999998</v>
      </c>
      <c r="J5341" s="12">
        <f t="shared" si="833"/>
        <v>-5.7042999999999999</v>
      </c>
      <c r="K5341" s="17" t="str">
        <f t="shared" si="838"/>
        <v>Ecart négatif</v>
      </c>
      <c r="L5341" s="16">
        <f>base!X5341</f>
        <v>1.57</v>
      </c>
      <c r="M5341" s="11">
        <f t="shared" si="834"/>
        <v>7.9816980172852062E-2</v>
      </c>
      <c r="N5341" s="11">
        <f t="shared" si="835"/>
        <v>1.5736000000000001</v>
      </c>
      <c r="O5341" s="11">
        <f t="shared" si="836"/>
        <v>0.08</v>
      </c>
      <c r="P5341" s="12">
        <f t="shared" si="837"/>
        <v>-3.6000000000000476E-3</v>
      </c>
      <c r="Q5341" s="17" t="str">
        <f t="shared" si="839"/>
        <v>Ecart négatif</v>
      </c>
      <c r="R5341" s="38"/>
    </row>
    <row r="5342" spans="1:18" x14ac:dyDescent="0.3">
      <c r="A5342" s="34" t="str">
        <f>base!J5342</f>
        <v>RM</v>
      </c>
      <c r="B5342" s="34" t="str">
        <f>base!V5342</f>
        <v>06560</v>
      </c>
      <c r="C5342" s="37">
        <v>6</v>
      </c>
      <c r="D5342" s="36">
        <f>base!H5342</f>
        <v>151</v>
      </c>
      <c r="E5342" s="44"/>
      <c r="F5342" s="16">
        <f>base!W5342</f>
        <v>0</v>
      </c>
      <c r="G5342" s="11">
        <f t="shared" si="830"/>
        <v>0</v>
      </c>
      <c r="H5342" s="11">
        <f t="shared" si="831"/>
        <v>45.3</v>
      </c>
      <c r="I5342" s="11">
        <f t="shared" si="832"/>
        <v>0.3</v>
      </c>
      <c r="J5342" s="12">
        <f t="shared" si="833"/>
        <v>-45.3</v>
      </c>
      <c r="K5342" s="17" t="str">
        <f t="shared" si="838"/>
        <v>Ecart négatif</v>
      </c>
      <c r="L5342" s="16">
        <f>base!X5342</f>
        <v>0</v>
      </c>
      <c r="M5342" s="11">
        <f t="shared" si="834"/>
        <v>0</v>
      </c>
      <c r="N5342" s="11">
        <f t="shared" si="835"/>
        <v>31.709999999999997</v>
      </c>
      <c r="O5342" s="11">
        <f t="shared" si="836"/>
        <v>0.21</v>
      </c>
      <c r="P5342" s="12">
        <f t="shared" si="837"/>
        <v>-31.709999999999997</v>
      </c>
      <c r="Q5342" s="17" t="str">
        <f t="shared" si="839"/>
        <v>Ecart négatif</v>
      </c>
    </row>
    <row r="5343" spans="1:18" x14ac:dyDescent="0.3">
      <c r="A5343" s="34" t="str">
        <f>base!J5343</f>
        <v>DRM</v>
      </c>
      <c r="B5343" s="34" t="str">
        <f>base!V5343</f>
        <v>45000</v>
      </c>
      <c r="C5343" s="37">
        <v>45</v>
      </c>
      <c r="D5343" s="36">
        <f>base!H5343</f>
        <v>140</v>
      </c>
      <c r="E5343" s="44"/>
      <c r="F5343" s="16">
        <f>base!W5343</f>
        <v>0</v>
      </c>
      <c r="G5343" s="11">
        <f t="shared" si="830"/>
        <v>0</v>
      </c>
      <c r="H5343" s="11">
        <f t="shared" si="831"/>
        <v>29.4</v>
      </c>
      <c r="I5343" s="11">
        <f t="shared" si="832"/>
        <v>0.21</v>
      </c>
      <c r="J5343" s="12">
        <f t="shared" si="833"/>
        <v>-29.4</v>
      </c>
      <c r="K5343" s="17" t="str">
        <f t="shared" si="838"/>
        <v>Ecart négatif</v>
      </c>
      <c r="L5343" s="16">
        <f>base!X5343</f>
        <v>0</v>
      </c>
      <c r="M5343" s="11">
        <f t="shared" si="834"/>
        <v>0</v>
      </c>
      <c r="N5343" s="11">
        <f t="shared" si="835"/>
        <v>16.8</v>
      </c>
      <c r="O5343" s="11">
        <f t="shared" si="836"/>
        <v>0.12000000000000001</v>
      </c>
      <c r="P5343" s="12">
        <f t="shared" si="837"/>
        <v>-16.8</v>
      </c>
      <c r="Q5343" s="17" t="str">
        <f t="shared" si="839"/>
        <v>Ecart négatif</v>
      </c>
    </row>
    <row r="5344" spans="1:18" x14ac:dyDescent="0.3">
      <c r="A5344" s="34" t="str">
        <f>base!J5344</f>
        <v>DRM</v>
      </c>
      <c r="B5344" s="34" t="str">
        <f>base!V5344</f>
        <v>45000</v>
      </c>
      <c r="C5344" s="37">
        <v>45</v>
      </c>
      <c r="D5344" s="36">
        <f>base!H5344</f>
        <v>140</v>
      </c>
      <c r="E5344" s="44"/>
      <c r="F5344" s="16">
        <f>base!W5344</f>
        <v>0</v>
      </c>
      <c r="G5344" s="11">
        <f t="shared" si="830"/>
        <v>0</v>
      </c>
      <c r="H5344" s="11">
        <f t="shared" si="831"/>
        <v>29.4</v>
      </c>
      <c r="I5344" s="11">
        <f t="shared" si="832"/>
        <v>0.21</v>
      </c>
      <c r="J5344" s="12">
        <f t="shared" si="833"/>
        <v>-29.4</v>
      </c>
      <c r="K5344" s="17" t="str">
        <f t="shared" si="838"/>
        <v>Ecart négatif</v>
      </c>
      <c r="L5344" s="16">
        <f>base!X5344</f>
        <v>0</v>
      </c>
      <c r="M5344" s="11">
        <f t="shared" si="834"/>
        <v>0</v>
      </c>
      <c r="N5344" s="11">
        <f t="shared" si="835"/>
        <v>16.8</v>
      </c>
      <c r="O5344" s="11">
        <f t="shared" si="836"/>
        <v>0.12000000000000001</v>
      </c>
      <c r="P5344" s="12">
        <f t="shared" si="837"/>
        <v>-16.8</v>
      </c>
      <c r="Q5344" s="17" t="str">
        <f t="shared" si="839"/>
        <v>Ecart négatif</v>
      </c>
    </row>
    <row r="5345" spans="1:18" x14ac:dyDescent="0.3">
      <c r="A5345" s="34" t="str">
        <f>base!J5345</f>
        <v>RS</v>
      </c>
      <c r="B5345" s="34" t="str">
        <f>base!V5345</f>
        <v>69280</v>
      </c>
      <c r="C5345" s="37">
        <v>69</v>
      </c>
      <c r="D5345" s="36">
        <f>base!H5345</f>
        <v>22.8</v>
      </c>
      <c r="E5345" s="44"/>
      <c r="F5345" s="16">
        <f>base!W5345</f>
        <v>0</v>
      </c>
      <c r="G5345" s="11">
        <f t="shared" si="830"/>
        <v>0</v>
      </c>
      <c r="H5345" s="11">
        <f t="shared" si="831"/>
        <v>6.1560000000000006</v>
      </c>
      <c r="I5345" s="11">
        <f t="shared" si="832"/>
        <v>0.27</v>
      </c>
      <c r="J5345" s="12">
        <f t="shared" si="833"/>
        <v>-6.1560000000000006</v>
      </c>
      <c r="K5345" s="17" t="str">
        <f t="shared" si="838"/>
        <v>Ecart négatif</v>
      </c>
      <c r="L5345" s="16">
        <f>base!X5345</f>
        <v>0</v>
      </c>
      <c r="M5345" s="11">
        <f t="shared" si="834"/>
        <v>0</v>
      </c>
      <c r="N5345" s="11">
        <f t="shared" si="835"/>
        <v>0</v>
      </c>
      <c r="O5345" s="11">
        <f t="shared" si="836"/>
        <v>0</v>
      </c>
      <c r="P5345" s="12">
        <f t="shared" si="837"/>
        <v>0</v>
      </c>
      <c r="Q5345" s="17" t="str">
        <f t="shared" si="839"/>
        <v>Pas d'écart</v>
      </c>
    </row>
    <row r="5346" spans="1:18" x14ac:dyDescent="0.3">
      <c r="A5346" s="34" t="str">
        <f>base!J5346</f>
        <v>DLM</v>
      </c>
      <c r="B5346" s="34" t="str">
        <f>base!V5346</f>
        <v>59200</v>
      </c>
      <c r="C5346" s="37">
        <v>59</v>
      </c>
      <c r="D5346" s="36">
        <f>base!H5346</f>
        <v>120</v>
      </c>
      <c r="E5346" s="44"/>
      <c r="F5346" s="16">
        <f>base!W5346</f>
        <v>0</v>
      </c>
      <c r="G5346" s="11">
        <f t="shared" si="830"/>
        <v>0</v>
      </c>
      <c r="H5346" s="11">
        <f t="shared" si="831"/>
        <v>22.8</v>
      </c>
      <c r="I5346" s="11">
        <f t="shared" si="832"/>
        <v>0.19</v>
      </c>
      <c r="J5346" s="12">
        <f t="shared" si="833"/>
        <v>-22.8</v>
      </c>
      <c r="K5346" s="17" t="str">
        <f t="shared" si="838"/>
        <v>Ecart négatif</v>
      </c>
      <c r="L5346" s="16">
        <f>base!X5346</f>
        <v>34.799999999999997</v>
      </c>
      <c r="M5346" s="11">
        <f t="shared" si="834"/>
        <v>0.28999999999999998</v>
      </c>
      <c r="N5346" s="11">
        <f t="shared" si="835"/>
        <v>0</v>
      </c>
      <c r="O5346" s="11">
        <f t="shared" si="836"/>
        <v>0</v>
      </c>
      <c r="P5346" s="12">
        <f t="shared" si="837"/>
        <v>34.799999999999997</v>
      </c>
      <c r="Q5346" s="17" t="str">
        <f t="shared" si="839"/>
        <v>Ecart positif</v>
      </c>
    </row>
    <row r="5347" spans="1:18" x14ac:dyDescent="0.3">
      <c r="A5347" s="34" t="str">
        <f>base!J5347</f>
        <v>LM</v>
      </c>
      <c r="B5347" s="34" t="str">
        <f>base!V5347</f>
        <v>35044</v>
      </c>
      <c r="C5347" s="37">
        <v>38</v>
      </c>
      <c r="D5347" s="36">
        <f>base!H5347</f>
        <v>55.16</v>
      </c>
      <c r="E5347" s="44"/>
      <c r="F5347" s="16">
        <f>base!W5347</f>
        <v>14.89</v>
      </c>
      <c r="G5347" s="11">
        <f t="shared" si="830"/>
        <v>0.26994198694706312</v>
      </c>
      <c r="H5347" s="11">
        <f t="shared" si="831"/>
        <v>14.8932</v>
      </c>
      <c r="I5347" s="11">
        <f t="shared" si="832"/>
        <v>0.27</v>
      </c>
      <c r="J5347" s="12">
        <f t="shared" si="833"/>
        <v>-3.1999999999996476E-3</v>
      </c>
      <c r="K5347" s="17" t="str">
        <f t="shared" si="838"/>
        <v>Ecart négatif</v>
      </c>
      <c r="L5347" s="16">
        <f>base!X5347</f>
        <v>0</v>
      </c>
      <c r="M5347" s="11">
        <f t="shared" si="834"/>
        <v>0</v>
      </c>
      <c r="N5347" s="11">
        <f t="shared" si="835"/>
        <v>0</v>
      </c>
      <c r="O5347" s="11">
        <f t="shared" si="836"/>
        <v>0</v>
      </c>
      <c r="P5347" s="12">
        <f t="shared" si="837"/>
        <v>0</v>
      </c>
      <c r="Q5347" s="17" t="str">
        <f t="shared" si="839"/>
        <v>Pas d'écart</v>
      </c>
    </row>
    <row r="5348" spans="1:18" x14ac:dyDescent="0.3">
      <c r="A5348" s="34" t="str">
        <f>base!J5348</f>
        <v>Metre Aller</v>
      </c>
      <c r="B5348" s="34" t="str">
        <f>base!V5348</f>
        <v>77184</v>
      </c>
      <c r="C5348" s="37">
        <v>77</v>
      </c>
      <c r="D5348" s="36">
        <f>base!H5348</f>
        <v>177.72</v>
      </c>
      <c r="E5348" s="44"/>
      <c r="F5348" s="16">
        <f>base!W5348</f>
        <v>0</v>
      </c>
      <c r="G5348" s="11">
        <f t="shared" si="830"/>
        <v>0</v>
      </c>
      <c r="H5348" s="11">
        <f t="shared" si="831"/>
        <v>0</v>
      </c>
      <c r="I5348" s="11">
        <f t="shared" si="832"/>
        <v>0</v>
      </c>
      <c r="J5348" s="12">
        <f t="shared" si="833"/>
        <v>0</v>
      </c>
      <c r="K5348" s="17" t="str">
        <f t="shared" si="838"/>
        <v>Pas d'écart</v>
      </c>
      <c r="L5348" s="16">
        <f>base!X5348</f>
        <v>0</v>
      </c>
      <c r="M5348" s="11">
        <f t="shared" si="834"/>
        <v>0</v>
      </c>
      <c r="N5348" s="11">
        <f t="shared" si="835"/>
        <v>0</v>
      </c>
      <c r="O5348" s="11">
        <f t="shared" si="836"/>
        <v>0</v>
      </c>
      <c r="P5348" s="12">
        <f t="shared" si="837"/>
        <v>0</v>
      </c>
      <c r="Q5348" s="17" t="str">
        <f t="shared" si="839"/>
        <v>Pas d'écart</v>
      </c>
    </row>
    <row r="5349" spans="1:18" x14ac:dyDescent="0.3">
      <c r="A5349" s="34">
        <f>base!J5349</f>
        <v>0</v>
      </c>
      <c r="B5349" s="34" t="str">
        <f>base!V5349</f>
        <v>77184</v>
      </c>
      <c r="C5349" s="37">
        <v>77</v>
      </c>
      <c r="D5349" s="36">
        <f>base!H5349</f>
        <v>149.97999999999999</v>
      </c>
      <c r="E5349" s="44"/>
      <c r="F5349" s="16">
        <f>base!W5349</f>
        <v>0</v>
      </c>
      <c r="G5349" s="11">
        <f t="shared" si="830"/>
        <v>0</v>
      </c>
      <c r="H5349" s="11">
        <f t="shared" si="831"/>
        <v>0</v>
      </c>
      <c r="I5349" s="11">
        <f t="shared" si="832"/>
        <v>0</v>
      </c>
      <c r="J5349" s="12">
        <f t="shared" si="833"/>
        <v>0</v>
      </c>
      <c r="K5349" s="17" t="str">
        <f t="shared" si="838"/>
        <v>Pas d'écart</v>
      </c>
      <c r="L5349" s="16">
        <f>base!X5349</f>
        <v>0</v>
      </c>
      <c r="M5349" s="11">
        <f t="shared" si="834"/>
        <v>0</v>
      </c>
      <c r="N5349" s="11">
        <f t="shared" si="835"/>
        <v>0</v>
      </c>
      <c r="O5349" s="11">
        <f t="shared" si="836"/>
        <v>0</v>
      </c>
      <c r="P5349" s="12">
        <f t="shared" si="837"/>
        <v>0</v>
      </c>
      <c r="Q5349" s="17" t="str">
        <f t="shared" si="839"/>
        <v>Pas d'écart</v>
      </c>
    </row>
    <row r="5350" spans="1:18" x14ac:dyDescent="0.3">
      <c r="A5350" s="34" t="str">
        <f>base!J5350</f>
        <v>RM</v>
      </c>
      <c r="B5350" s="34" t="str">
        <f>base!V5350</f>
        <v>67118</v>
      </c>
      <c r="C5350" s="37">
        <v>67</v>
      </c>
      <c r="D5350" s="36">
        <f>base!H5350</f>
        <v>163.6</v>
      </c>
      <c r="E5350" s="44"/>
      <c r="F5350" s="16">
        <f>base!W5350</f>
        <v>0</v>
      </c>
      <c r="G5350" s="11">
        <f t="shared" si="830"/>
        <v>0</v>
      </c>
      <c r="H5350" s="11">
        <f t="shared" si="831"/>
        <v>47.443999999999996</v>
      </c>
      <c r="I5350" s="11">
        <f t="shared" si="832"/>
        <v>0.28999999999999998</v>
      </c>
      <c r="J5350" s="12">
        <f t="shared" si="833"/>
        <v>-47.443999999999996</v>
      </c>
      <c r="K5350" s="17" t="str">
        <f t="shared" si="838"/>
        <v>Ecart négatif</v>
      </c>
      <c r="L5350" s="16">
        <f>base!X5350</f>
        <v>13.09</v>
      </c>
      <c r="M5350" s="11">
        <f t="shared" si="834"/>
        <v>8.0012224938875304E-2</v>
      </c>
      <c r="N5350" s="11">
        <f t="shared" si="835"/>
        <v>13.087999999999999</v>
      </c>
      <c r="O5350" s="11">
        <f t="shared" si="836"/>
        <v>0.08</v>
      </c>
      <c r="P5350" s="12">
        <f t="shared" si="837"/>
        <v>2.0000000000006679E-3</v>
      </c>
      <c r="Q5350" s="17" t="str">
        <f t="shared" si="839"/>
        <v>Ecart positif</v>
      </c>
      <c r="R5350" s="38"/>
    </row>
    <row r="5351" spans="1:18" x14ac:dyDescent="0.3">
      <c r="A5351" s="34">
        <f>base!J5351</f>
        <v>0</v>
      </c>
      <c r="B5351" s="34" t="str">
        <f>base!V5351</f>
        <v>77184</v>
      </c>
      <c r="C5351" s="37">
        <v>77</v>
      </c>
      <c r="D5351" s="36">
        <f>base!H5351</f>
        <v>31</v>
      </c>
      <c r="E5351" s="44"/>
      <c r="F5351" s="16">
        <f>base!W5351</f>
        <v>0</v>
      </c>
      <c r="G5351" s="11">
        <f t="shared" si="830"/>
        <v>0</v>
      </c>
      <c r="H5351" s="11">
        <f t="shared" si="831"/>
        <v>0</v>
      </c>
      <c r="I5351" s="11">
        <f t="shared" si="832"/>
        <v>0</v>
      </c>
      <c r="J5351" s="12">
        <f t="shared" si="833"/>
        <v>0</v>
      </c>
      <c r="K5351" s="17" t="str">
        <f t="shared" si="838"/>
        <v>Pas d'écart</v>
      </c>
      <c r="L5351" s="16">
        <f>base!X5351</f>
        <v>0</v>
      </c>
      <c r="M5351" s="11">
        <f t="shared" si="834"/>
        <v>0</v>
      </c>
      <c r="N5351" s="11">
        <f t="shared" si="835"/>
        <v>0</v>
      </c>
      <c r="O5351" s="11">
        <f t="shared" si="836"/>
        <v>0</v>
      </c>
      <c r="P5351" s="12">
        <f t="shared" si="837"/>
        <v>0</v>
      </c>
      <c r="Q5351" s="17" t="str">
        <f t="shared" si="839"/>
        <v>Pas d'écart</v>
      </c>
    </row>
    <row r="5352" spans="1:18" x14ac:dyDescent="0.3">
      <c r="A5352" s="34" t="str">
        <f>base!J5352</f>
        <v>DRM</v>
      </c>
      <c r="B5352" s="34" t="str">
        <f>base!V5352</f>
        <v>44700</v>
      </c>
      <c r="C5352" s="37">
        <v>44</v>
      </c>
      <c r="D5352" s="36">
        <f>base!H5352</f>
        <v>114.06</v>
      </c>
      <c r="E5352" s="44"/>
      <c r="F5352" s="16">
        <f>base!W5352</f>
        <v>0</v>
      </c>
      <c r="G5352" s="11">
        <f t="shared" si="830"/>
        <v>0</v>
      </c>
      <c r="H5352" s="11">
        <f t="shared" si="831"/>
        <v>30.796200000000002</v>
      </c>
      <c r="I5352" s="11">
        <f t="shared" si="832"/>
        <v>0.27</v>
      </c>
      <c r="J5352" s="12">
        <f t="shared" si="833"/>
        <v>-30.796200000000002</v>
      </c>
      <c r="K5352" s="17" t="str">
        <f t="shared" si="838"/>
        <v>Ecart négatif</v>
      </c>
      <c r="L5352" s="16">
        <f>base!X5352</f>
        <v>0</v>
      </c>
      <c r="M5352" s="11">
        <f t="shared" si="834"/>
        <v>0</v>
      </c>
      <c r="N5352" s="11">
        <f t="shared" si="835"/>
        <v>0</v>
      </c>
      <c r="O5352" s="11">
        <f t="shared" si="836"/>
        <v>0</v>
      </c>
      <c r="P5352" s="12">
        <f t="shared" si="837"/>
        <v>0</v>
      </c>
      <c r="Q5352" s="17" t="str">
        <f t="shared" si="839"/>
        <v>Pas d'écart</v>
      </c>
    </row>
    <row r="5353" spans="1:18" x14ac:dyDescent="0.3">
      <c r="A5353" s="34">
        <f>base!J5353</f>
        <v>0</v>
      </c>
      <c r="B5353" s="34" t="str">
        <f>base!V5353</f>
        <v>77184</v>
      </c>
      <c r="C5353" s="37">
        <v>77</v>
      </c>
      <c r="D5353" s="36">
        <f>base!H5353</f>
        <v>98</v>
      </c>
      <c r="E5353" s="44"/>
      <c r="F5353" s="16">
        <f>base!W5353</f>
        <v>0</v>
      </c>
      <c r="G5353" s="11">
        <f t="shared" si="830"/>
        <v>0</v>
      </c>
      <c r="H5353" s="11">
        <f t="shared" si="831"/>
        <v>0</v>
      </c>
      <c r="I5353" s="11">
        <f t="shared" si="832"/>
        <v>0</v>
      </c>
      <c r="J5353" s="12">
        <f t="shared" si="833"/>
        <v>0</v>
      </c>
      <c r="K5353" s="17" t="str">
        <f t="shared" si="838"/>
        <v>Pas d'écart</v>
      </c>
      <c r="L5353" s="16">
        <f>base!X5353</f>
        <v>0</v>
      </c>
      <c r="M5353" s="11">
        <f t="shared" si="834"/>
        <v>0</v>
      </c>
      <c r="N5353" s="11">
        <f t="shared" si="835"/>
        <v>0</v>
      </c>
      <c r="O5353" s="11">
        <f t="shared" si="836"/>
        <v>0</v>
      </c>
      <c r="P5353" s="12">
        <f t="shared" si="837"/>
        <v>0</v>
      </c>
      <c r="Q5353" s="17" t="str">
        <f t="shared" si="839"/>
        <v>Pas d'écart</v>
      </c>
    </row>
    <row r="5354" spans="1:18" x14ac:dyDescent="0.3">
      <c r="A5354" s="34" t="str">
        <f>base!J5354</f>
        <v>DLS</v>
      </c>
      <c r="B5354" s="34" t="str">
        <f>base!V5354</f>
        <v>59000</v>
      </c>
      <c r="C5354" s="37">
        <v>59</v>
      </c>
      <c r="D5354" s="36">
        <f>base!H5354</f>
        <v>122.09</v>
      </c>
      <c r="E5354" s="44"/>
      <c r="F5354" s="16">
        <f>base!W5354</f>
        <v>0</v>
      </c>
      <c r="G5354" s="11">
        <f t="shared" si="830"/>
        <v>0</v>
      </c>
      <c r="H5354" s="11">
        <f t="shared" si="831"/>
        <v>23.197100000000002</v>
      </c>
      <c r="I5354" s="11">
        <f t="shared" si="832"/>
        <v>0.19</v>
      </c>
      <c r="J5354" s="12">
        <f t="shared" si="833"/>
        <v>-23.197100000000002</v>
      </c>
      <c r="K5354" s="17" t="str">
        <f t="shared" si="838"/>
        <v>Ecart négatif</v>
      </c>
      <c r="L5354" s="16">
        <f>base!X5354</f>
        <v>0</v>
      </c>
      <c r="M5354" s="11">
        <f t="shared" si="834"/>
        <v>0</v>
      </c>
      <c r="N5354" s="11">
        <f t="shared" si="835"/>
        <v>0</v>
      </c>
      <c r="O5354" s="11">
        <f t="shared" si="836"/>
        <v>0</v>
      </c>
      <c r="P5354" s="12">
        <f t="shared" si="837"/>
        <v>0</v>
      </c>
      <c r="Q5354" s="17" t="str">
        <f t="shared" si="839"/>
        <v>Pas d'écart</v>
      </c>
    </row>
    <row r="5355" spans="1:18" x14ac:dyDescent="0.3">
      <c r="A5355" s="34" t="str">
        <f>base!J5355</f>
        <v>DLS</v>
      </c>
      <c r="B5355" s="34" t="str">
        <f>base!V5355</f>
        <v>75116</v>
      </c>
      <c r="C5355" s="37">
        <v>75</v>
      </c>
      <c r="D5355" s="36">
        <f>base!H5355</f>
        <v>140</v>
      </c>
      <c r="E5355" s="44"/>
      <c r="F5355" s="16">
        <f>base!W5355</f>
        <v>0</v>
      </c>
      <c r="G5355" s="11">
        <f t="shared" si="830"/>
        <v>0</v>
      </c>
      <c r="H5355" s="11">
        <f t="shared" si="831"/>
        <v>0</v>
      </c>
      <c r="I5355" s="11">
        <f t="shared" si="832"/>
        <v>0</v>
      </c>
      <c r="J5355" s="12">
        <f t="shared" si="833"/>
        <v>0</v>
      </c>
      <c r="K5355" s="17" t="str">
        <f t="shared" si="838"/>
        <v>Pas d'écart</v>
      </c>
      <c r="L5355" s="16">
        <f>base!X5355</f>
        <v>0</v>
      </c>
      <c r="M5355" s="11">
        <f t="shared" si="834"/>
        <v>0</v>
      </c>
      <c r="N5355" s="11">
        <f t="shared" si="835"/>
        <v>0</v>
      </c>
      <c r="O5355" s="11">
        <f t="shared" si="836"/>
        <v>0</v>
      </c>
      <c r="P5355" s="12">
        <f t="shared" si="837"/>
        <v>0</v>
      </c>
      <c r="Q5355" s="17" t="str">
        <f t="shared" si="839"/>
        <v>Pas d'écart</v>
      </c>
    </row>
    <row r="5356" spans="1:18" x14ac:dyDescent="0.3">
      <c r="A5356" s="34" t="str">
        <f>base!J5356</f>
        <v>RM</v>
      </c>
      <c r="B5356" s="34" t="str">
        <f>base!V5356</f>
        <v>13006</v>
      </c>
      <c r="C5356" s="37">
        <v>13</v>
      </c>
      <c r="D5356" s="36">
        <f>base!H5356</f>
        <v>29.59</v>
      </c>
      <c r="E5356" s="44"/>
      <c r="F5356" s="16">
        <f>base!W5356</f>
        <v>0</v>
      </c>
      <c r="G5356" s="11">
        <f t="shared" si="830"/>
        <v>0</v>
      </c>
      <c r="H5356" s="11">
        <f t="shared" si="831"/>
        <v>8.5810999999999993</v>
      </c>
      <c r="I5356" s="11">
        <f t="shared" si="832"/>
        <v>0.28999999999999998</v>
      </c>
      <c r="J5356" s="12">
        <f t="shared" si="833"/>
        <v>-8.5810999999999993</v>
      </c>
      <c r="K5356" s="17" t="str">
        <f t="shared" si="838"/>
        <v>Ecart négatif</v>
      </c>
      <c r="L5356" s="16">
        <f>base!X5356</f>
        <v>0</v>
      </c>
      <c r="M5356" s="11">
        <f t="shared" si="834"/>
        <v>0</v>
      </c>
      <c r="N5356" s="11">
        <f t="shared" si="835"/>
        <v>5.6220999999999997</v>
      </c>
      <c r="O5356" s="11">
        <f t="shared" si="836"/>
        <v>0.19</v>
      </c>
      <c r="P5356" s="12">
        <f t="shared" si="837"/>
        <v>-5.6220999999999997</v>
      </c>
      <c r="Q5356" s="17" t="str">
        <f t="shared" si="839"/>
        <v>Ecart négatif</v>
      </c>
    </row>
    <row r="5357" spans="1:18" x14ac:dyDescent="0.3">
      <c r="A5357" s="34" t="str">
        <f>base!J5357</f>
        <v>DLS</v>
      </c>
      <c r="B5357" s="34" t="str">
        <f>base!V5357</f>
        <v>75019</v>
      </c>
      <c r="C5357" s="37">
        <v>75</v>
      </c>
      <c r="D5357" s="36">
        <f>base!H5357</f>
        <v>140</v>
      </c>
      <c r="E5357" s="44"/>
      <c r="F5357" s="16">
        <f>base!W5357</f>
        <v>0</v>
      </c>
      <c r="G5357" s="11">
        <f t="shared" si="830"/>
        <v>0</v>
      </c>
      <c r="H5357" s="11">
        <f t="shared" si="831"/>
        <v>0</v>
      </c>
      <c r="I5357" s="11">
        <f t="shared" si="832"/>
        <v>0</v>
      </c>
      <c r="J5357" s="12">
        <f t="shared" si="833"/>
        <v>0</v>
      </c>
      <c r="K5357" s="17" t="str">
        <f t="shared" si="838"/>
        <v>Pas d'écart</v>
      </c>
      <c r="L5357" s="16">
        <f>base!X5357</f>
        <v>0</v>
      </c>
      <c r="M5357" s="11">
        <f t="shared" si="834"/>
        <v>0</v>
      </c>
      <c r="N5357" s="11">
        <f t="shared" si="835"/>
        <v>0</v>
      </c>
      <c r="O5357" s="11">
        <f t="shared" si="836"/>
        <v>0</v>
      </c>
      <c r="P5357" s="12">
        <f t="shared" si="837"/>
        <v>0</v>
      </c>
      <c r="Q5357" s="17" t="str">
        <f t="shared" si="839"/>
        <v>Pas d'écart</v>
      </c>
    </row>
    <row r="5358" spans="1:18" x14ac:dyDescent="0.3">
      <c r="A5358" s="34" t="str">
        <f>base!J5358</f>
        <v>RM</v>
      </c>
      <c r="B5358" s="34" t="str">
        <f>base!V5358</f>
        <v>59287</v>
      </c>
      <c r="C5358" s="37">
        <v>59</v>
      </c>
      <c r="D5358" s="36">
        <f>base!H5358</f>
        <v>70</v>
      </c>
      <c r="E5358" s="44"/>
      <c r="F5358" s="16">
        <f>base!W5358</f>
        <v>0</v>
      </c>
      <c r="G5358" s="11">
        <f t="shared" si="830"/>
        <v>0</v>
      </c>
      <c r="H5358" s="11">
        <f t="shared" si="831"/>
        <v>13.3</v>
      </c>
      <c r="I5358" s="11">
        <f t="shared" si="832"/>
        <v>0.19</v>
      </c>
      <c r="J5358" s="12">
        <f t="shared" si="833"/>
        <v>-13.3</v>
      </c>
      <c r="K5358" s="17" t="str">
        <f t="shared" si="838"/>
        <v>Ecart négatif</v>
      </c>
      <c r="L5358" s="16">
        <f>base!X5358</f>
        <v>0</v>
      </c>
      <c r="M5358" s="11">
        <f t="shared" si="834"/>
        <v>0</v>
      </c>
      <c r="N5358" s="11">
        <f t="shared" si="835"/>
        <v>0</v>
      </c>
      <c r="O5358" s="11">
        <f t="shared" si="836"/>
        <v>0</v>
      </c>
      <c r="P5358" s="12">
        <f t="shared" si="837"/>
        <v>0</v>
      </c>
      <c r="Q5358" s="17" t="str">
        <f t="shared" si="839"/>
        <v>Pas d'écart</v>
      </c>
    </row>
    <row r="5359" spans="1:18" x14ac:dyDescent="0.3">
      <c r="A5359" s="34" t="str">
        <f>base!J5359</f>
        <v>RS</v>
      </c>
      <c r="B5359" s="34" t="str">
        <f>base!V5359</f>
        <v>98000</v>
      </c>
      <c r="C5359" s="37">
        <v>98</v>
      </c>
      <c r="D5359" s="36">
        <f>base!H5359</f>
        <v>140</v>
      </c>
      <c r="E5359" s="44"/>
      <c r="F5359" s="16">
        <f>base!W5359</f>
        <v>0</v>
      </c>
      <c r="G5359" s="11">
        <f t="shared" si="830"/>
        <v>0</v>
      </c>
      <c r="H5359" s="11">
        <f t="shared" si="831"/>
        <v>37.800000000000004</v>
      </c>
      <c r="I5359" s="11">
        <f t="shared" si="832"/>
        <v>0.27</v>
      </c>
      <c r="J5359" s="12">
        <f t="shared" si="833"/>
        <v>-37.800000000000004</v>
      </c>
      <c r="K5359" s="17" t="str">
        <f t="shared" si="838"/>
        <v>Ecart négatif</v>
      </c>
      <c r="L5359" s="16">
        <f>base!X5359</f>
        <v>0</v>
      </c>
      <c r="M5359" s="11">
        <f t="shared" si="834"/>
        <v>0</v>
      </c>
      <c r="N5359" s="11">
        <f t="shared" si="835"/>
        <v>29.4</v>
      </c>
      <c r="O5359" s="11">
        <f t="shared" si="836"/>
        <v>0.21</v>
      </c>
      <c r="P5359" s="12">
        <f t="shared" si="837"/>
        <v>-29.4</v>
      </c>
      <c r="Q5359" s="17" t="str">
        <f t="shared" si="839"/>
        <v>Ecart négatif</v>
      </c>
    </row>
    <row r="5360" spans="1:18" x14ac:dyDescent="0.3">
      <c r="A5360" s="34" t="str">
        <f>base!J5360</f>
        <v>LS</v>
      </c>
      <c r="B5360" s="34" t="str">
        <f>base!V5360</f>
        <v>59770</v>
      </c>
      <c r="C5360" s="37">
        <v>38</v>
      </c>
      <c r="D5360" s="36">
        <f>base!H5360</f>
        <v>215.12</v>
      </c>
      <c r="E5360" s="44"/>
      <c r="F5360" s="16">
        <f>base!W5360</f>
        <v>40.869999999999997</v>
      </c>
      <c r="G5360" s="11">
        <f t="shared" si="830"/>
        <v>0.18998698400892525</v>
      </c>
      <c r="H5360" s="11">
        <f t="shared" si="831"/>
        <v>58.082400000000007</v>
      </c>
      <c r="I5360" s="11">
        <f t="shared" si="832"/>
        <v>0.27</v>
      </c>
      <c r="J5360" s="12">
        <f t="shared" si="833"/>
        <v>-17.212400000000009</v>
      </c>
      <c r="K5360" s="17" t="str">
        <f t="shared" si="838"/>
        <v>Ecart négatif</v>
      </c>
      <c r="L5360" s="16">
        <f>base!X5360</f>
        <v>0</v>
      </c>
      <c r="M5360" s="11">
        <f t="shared" si="834"/>
        <v>0</v>
      </c>
      <c r="N5360" s="11">
        <f t="shared" si="835"/>
        <v>0</v>
      </c>
      <c r="O5360" s="11">
        <f t="shared" si="836"/>
        <v>0</v>
      </c>
      <c r="P5360" s="12">
        <f t="shared" si="837"/>
        <v>0</v>
      </c>
      <c r="Q5360" s="17" t="str">
        <f t="shared" si="839"/>
        <v>Pas d'écart</v>
      </c>
    </row>
    <row r="5361" spans="1:18" x14ac:dyDescent="0.3">
      <c r="A5361" s="34" t="str">
        <f>base!J5361</f>
        <v>DRS</v>
      </c>
      <c r="B5361" s="34" t="str">
        <f>base!V5361</f>
        <v>76700</v>
      </c>
      <c r="C5361" s="37">
        <v>76</v>
      </c>
      <c r="D5361" s="36">
        <f>base!H5361</f>
        <v>170.88</v>
      </c>
      <c r="E5361" s="44"/>
      <c r="F5361" s="16">
        <f>base!W5361</f>
        <v>0</v>
      </c>
      <c r="G5361" s="11">
        <f t="shared" si="830"/>
        <v>0</v>
      </c>
      <c r="H5361" s="11">
        <f t="shared" si="831"/>
        <v>29.049600000000002</v>
      </c>
      <c r="I5361" s="11">
        <f t="shared" si="832"/>
        <v>0.17</v>
      </c>
      <c r="J5361" s="12">
        <f t="shared" si="833"/>
        <v>-29.049600000000002</v>
      </c>
      <c r="K5361" s="17" t="str">
        <f t="shared" si="838"/>
        <v>Ecart négatif</v>
      </c>
      <c r="L5361" s="16">
        <f>base!X5361</f>
        <v>0</v>
      </c>
      <c r="M5361" s="11">
        <f t="shared" si="834"/>
        <v>0</v>
      </c>
      <c r="N5361" s="11">
        <f t="shared" si="835"/>
        <v>29.049600000000002</v>
      </c>
      <c r="O5361" s="11">
        <f t="shared" si="836"/>
        <v>0.17</v>
      </c>
      <c r="P5361" s="12">
        <f t="shared" si="837"/>
        <v>-29.049600000000002</v>
      </c>
      <c r="Q5361" s="17" t="str">
        <f t="shared" si="839"/>
        <v>Ecart négatif</v>
      </c>
    </row>
    <row r="5362" spans="1:18" x14ac:dyDescent="0.3">
      <c r="A5362" s="34" t="str">
        <f>base!J5362</f>
        <v>RS</v>
      </c>
      <c r="B5362" s="34" t="str">
        <f>base!V5362</f>
        <v>60100</v>
      </c>
      <c r="C5362" s="37">
        <v>60</v>
      </c>
      <c r="D5362" s="36">
        <f>base!H5362</f>
        <v>0</v>
      </c>
      <c r="E5362" s="44"/>
      <c r="F5362" s="16">
        <f>base!W5362</f>
        <v>0</v>
      </c>
      <c r="G5362" s="11" t="e">
        <f t="shared" si="830"/>
        <v>#DIV/0!</v>
      </c>
      <c r="H5362" s="11">
        <f t="shared" si="831"/>
        <v>0</v>
      </c>
      <c r="I5362" s="11" t="e">
        <f t="shared" si="832"/>
        <v>#DIV/0!</v>
      </c>
      <c r="J5362" s="12">
        <f t="shared" si="833"/>
        <v>0</v>
      </c>
      <c r="K5362" s="17" t="str">
        <f t="shared" si="838"/>
        <v>Pas d'écart</v>
      </c>
      <c r="L5362" s="16">
        <f>base!X5362</f>
        <v>0</v>
      </c>
      <c r="M5362" s="11" t="e">
        <f t="shared" si="834"/>
        <v>#DIV/0!</v>
      </c>
      <c r="N5362" s="11">
        <f t="shared" si="835"/>
        <v>0</v>
      </c>
      <c r="O5362" s="11" t="e">
        <f t="shared" si="836"/>
        <v>#DIV/0!</v>
      </c>
      <c r="P5362" s="12">
        <f t="shared" si="837"/>
        <v>0</v>
      </c>
      <c r="Q5362" s="17" t="str">
        <f t="shared" si="839"/>
        <v>Pas d'écart</v>
      </c>
    </row>
    <row r="5363" spans="1:18" x14ac:dyDescent="0.3">
      <c r="A5363" s="34" t="str">
        <f>base!J5363</f>
        <v>RM</v>
      </c>
      <c r="B5363" s="34" t="str">
        <f>base!V5363</f>
        <v>75016</v>
      </c>
      <c r="C5363" s="37">
        <v>75</v>
      </c>
      <c r="D5363" s="36">
        <f>base!H5363</f>
        <v>136.19999999999999</v>
      </c>
      <c r="E5363" s="44"/>
      <c r="F5363" s="16">
        <f>base!W5363</f>
        <v>0</v>
      </c>
      <c r="G5363" s="11">
        <f t="shared" si="830"/>
        <v>0</v>
      </c>
      <c r="H5363" s="11">
        <f t="shared" si="831"/>
        <v>0</v>
      </c>
      <c r="I5363" s="11">
        <f t="shared" si="832"/>
        <v>0</v>
      </c>
      <c r="J5363" s="12">
        <f t="shared" si="833"/>
        <v>0</v>
      </c>
      <c r="K5363" s="17" t="str">
        <f t="shared" si="838"/>
        <v>Pas d'écart</v>
      </c>
      <c r="L5363" s="16">
        <f>base!X5363</f>
        <v>0</v>
      </c>
      <c r="M5363" s="11">
        <f t="shared" si="834"/>
        <v>0</v>
      </c>
      <c r="N5363" s="11">
        <f t="shared" si="835"/>
        <v>0</v>
      </c>
      <c r="O5363" s="11">
        <f t="shared" si="836"/>
        <v>0</v>
      </c>
      <c r="P5363" s="12">
        <f t="shared" si="837"/>
        <v>0</v>
      </c>
      <c r="Q5363" s="17" t="str">
        <f t="shared" si="839"/>
        <v>Pas d'écart</v>
      </c>
    </row>
    <row r="5364" spans="1:18" x14ac:dyDescent="0.3">
      <c r="A5364" s="34" t="str">
        <f>base!J5364</f>
        <v>RS</v>
      </c>
      <c r="B5364" s="34" t="str">
        <f>base!V5364</f>
        <v>38420</v>
      </c>
      <c r="C5364" s="37">
        <v>38</v>
      </c>
      <c r="D5364" s="36">
        <f>base!H5364</f>
        <v>170.4</v>
      </c>
      <c r="E5364" s="44"/>
      <c r="F5364" s="16">
        <f>base!W5364</f>
        <v>0</v>
      </c>
      <c r="G5364" s="11">
        <f t="shared" si="830"/>
        <v>0</v>
      </c>
      <c r="H5364" s="11">
        <f t="shared" si="831"/>
        <v>46.008000000000003</v>
      </c>
      <c r="I5364" s="11">
        <f t="shared" si="832"/>
        <v>0.27</v>
      </c>
      <c r="J5364" s="12">
        <f t="shared" si="833"/>
        <v>-46.008000000000003</v>
      </c>
      <c r="K5364" s="17" t="str">
        <f t="shared" si="838"/>
        <v>Ecart négatif</v>
      </c>
      <c r="L5364" s="16">
        <f>base!X5364</f>
        <v>0</v>
      </c>
      <c r="M5364" s="11">
        <f t="shared" si="834"/>
        <v>0</v>
      </c>
      <c r="N5364" s="11">
        <f t="shared" si="835"/>
        <v>0</v>
      </c>
      <c r="O5364" s="11">
        <f t="shared" si="836"/>
        <v>0</v>
      </c>
      <c r="P5364" s="12">
        <f t="shared" si="837"/>
        <v>0</v>
      </c>
      <c r="Q5364" s="17" t="str">
        <f t="shared" si="839"/>
        <v>Pas d'écart</v>
      </c>
    </row>
    <row r="5365" spans="1:18" x14ac:dyDescent="0.3">
      <c r="A5365" s="34" t="str">
        <f>base!J5365</f>
        <v>RS</v>
      </c>
      <c r="B5365" s="34" t="str">
        <f>base!V5365</f>
        <v>45190</v>
      </c>
      <c r="C5365" s="37">
        <v>45</v>
      </c>
      <c r="D5365" s="36">
        <f>base!H5365</f>
        <v>183.98</v>
      </c>
      <c r="E5365" s="44"/>
      <c r="F5365" s="16">
        <f>base!W5365</f>
        <v>0</v>
      </c>
      <c r="G5365" s="11">
        <f t="shared" si="830"/>
        <v>0</v>
      </c>
      <c r="H5365" s="11">
        <f t="shared" si="831"/>
        <v>38.635799999999996</v>
      </c>
      <c r="I5365" s="11">
        <f t="shared" si="832"/>
        <v>0.21</v>
      </c>
      <c r="J5365" s="12">
        <f t="shared" si="833"/>
        <v>-38.635799999999996</v>
      </c>
      <c r="K5365" s="17" t="str">
        <f t="shared" si="838"/>
        <v>Ecart négatif</v>
      </c>
      <c r="L5365" s="16">
        <f>base!X5365</f>
        <v>0</v>
      </c>
      <c r="M5365" s="11">
        <f t="shared" si="834"/>
        <v>0</v>
      </c>
      <c r="N5365" s="11">
        <f t="shared" si="835"/>
        <v>22.077599999999997</v>
      </c>
      <c r="O5365" s="11">
        <f t="shared" si="836"/>
        <v>0.12</v>
      </c>
      <c r="P5365" s="12">
        <f t="shared" si="837"/>
        <v>-22.077599999999997</v>
      </c>
      <c r="Q5365" s="17" t="str">
        <f t="shared" si="839"/>
        <v>Ecart négatif</v>
      </c>
    </row>
    <row r="5366" spans="1:18" x14ac:dyDescent="0.3">
      <c r="A5366" s="34" t="str">
        <f>base!J5366</f>
        <v>RS</v>
      </c>
      <c r="B5366" s="34" t="str">
        <f>base!V5366</f>
        <v>57930</v>
      </c>
      <c r="C5366" s="37">
        <v>57</v>
      </c>
      <c r="D5366" s="36">
        <f>base!H5366</f>
        <v>151</v>
      </c>
      <c r="E5366" s="44"/>
      <c r="F5366" s="16">
        <f>base!W5366</f>
        <v>0</v>
      </c>
      <c r="G5366" s="11">
        <f t="shared" si="830"/>
        <v>0</v>
      </c>
      <c r="H5366" s="11">
        <f t="shared" si="831"/>
        <v>36.24</v>
      </c>
      <c r="I5366" s="11">
        <f t="shared" si="832"/>
        <v>0.24000000000000002</v>
      </c>
      <c r="J5366" s="12">
        <f t="shared" si="833"/>
        <v>-36.24</v>
      </c>
      <c r="K5366" s="17" t="str">
        <f t="shared" si="838"/>
        <v>Ecart négatif</v>
      </c>
      <c r="L5366" s="16">
        <f>base!X5366</f>
        <v>0</v>
      </c>
      <c r="M5366" s="11">
        <f t="shared" si="834"/>
        <v>0</v>
      </c>
      <c r="N5366" s="11">
        <f t="shared" si="835"/>
        <v>37.75</v>
      </c>
      <c r="O5366" s="11">
        <f t="shared" si="836"/>
        <v>0.25</v>
      </c>
      <c r="P5366" s="12">
        <f t="shared" si="837"/>
        <v>-37.75</v>
      </c>
      <c r="Q5366" s="17" t="str">
        <f t="shared" si="839"/>
        <v>Ecart négatif</v>
      </c>
    </row>
    <row r="5367" spans="1:18" x14ac:dyDescent="0.3">
      <c r="A5367" s="34" t="str">
        <f>base!J5367</f>
        <v>RM</v>
      </c>
      <c r="B5367" s="34" t="str">
        <f>base!V5367</f>
        <v>75015</v>
      </c>
      <c r="C5367" s="37">
        <v>75</v>
      </c>
      <c r="D5367" s="36">
        <f>base!H5367</f>
        <v>202.33</v>
      </c>
      <c r="E5367" s="44"/>
      <c r="F5367" s="16">
        <f>base!W5367</f>
        <v>0</v>
      </c>
      <c r="G5367" s="11">
        <f t="shared" si="830"/>
        <v>0</v>
      </c>
      <c r="H5367" s="11">
        <f t="shared" si="831"/>
        <v>0</v>
      </c>
      <c r="I5367" s="11">
        <f t="shared" si="832"/>
        <v>0</v>
      </c>
      <c r="J5367" s="12">
        <f t="shared" si="833"/>
        <v>0</v>
      </c>
      <c r="K5367" s="17" t="str">
        <f t="shared" si="838"/>
        <v>Pas d'écart</v>
      </c>
      <c r="L5367" s="16">
        <f>base!X5367</f>
        <v>0</v>
      </c>
      <c r="M5367" s="11">
        <f t="shared" si="834"/>
        <v>0</v>
      </c>
      <c r="N5367" s="11">
        <f t="shared" si="835"/>
        <v>0</v>
      </c>
      <c r="O5367" s="11">
        <f t="shared" si="836"/>
        <v>0</v>
      </c>
      <c r="P5367" s="12">
        <f t="shared" si="837"/>
        <v>0</v>
      </c>
      <c r="Q5367" s="17" t="str">
        <f t="shared" si="839"/>
        <v>Pas d'écart</v>
      </c>
    </row>
    <row r="5368" spans="1:18" x14ac:dyDescent="0.3">
      <c r="A5368" s="34" t="str">
        <f>base!J5368</f>
        <v>RM</v>
      </c>
      <c r="B5368" s="34" t="str">
        <f>base!V5368</f>
        <v>70000</v>
      </c>
      <c r="C5368" s="37">
        <v>70</v>
      </c>
      <c r="D5368" s="36">
        <f>base!H5368</f>
        <v>22.5</v>
      </c>
      <c r="E5368" s="44"/>
      <c r="F5368" s="16">
        <f>base!W5368</f>
        <v>0</v>
      </c>
      <c r="G5368" s="11">
        <f t="shared" si="830"/>
        <v>0</v>
      </c>
      <c r="H5368" s="11">
        <f t="shared" si="831"/>
        <v>5.3999999999999995</v>
      </c>
      <c r="I5368" s="11">
        <f t="shared" si="832"/>
        <v>0.23999999999999996</v>
      </c>
      <c r="J5368" s="12">
        <f t="shared" si="833"/>
        <v>-5.3999999999999995</v>
      </c>
      <c r="K5368" s="17" t="str">
        <f t="shared" si="838"/>
        <v>Ecart négatif</v>
      </c>
      <c r="L5368" s="16">
        <f>base!X5368</f>
        <v>0</v>
      </c>
      <c r="M5368" s="11">
        <f t="shared" si="834"/>
        <v>0</v>
      </c>
      <c r="N5368" s="11">
        <f t="shared" si="835"/>
        <v>2.6999999999999997</v>
      </c>
      <c r="O5368" s="11">
        <f t="shared" si="836"/>
        <v>0.11999999999999998</v>
      </c>
      <c r="P5368" s="12">
        <f t="shared" si="837"/>
        <v>-2.6999999999999997</v>
      </c>
      <c r="Q5368" s="17" t="str">
        <f t="shared" si="839"/>
        <v>Ecart négatif</v>
      </c>
    </row>
    <row r="5369" spans="1:18" x14ac:dyDescent="0.3">
      <c r="A5369" s="34" t="str">
        <f>base!J5369</f>
        <v>DLM</v>
      </c>
      <c r="B5369" s="34" t="str">
        <f>base!V5369</f>
        <v>92600</v>
      </c>
      <c r="C5369" s="37">
        <v>92</v>
      </c>
      <c r="D5369" s="36">
        <f>base!H5369</f>
        <v>52.5</v>
      </c>
      <c r="E5369" s="44"/>
      <c r="F5369" s="16">
        <f>base!W5369</f>
        <v>0</v>
      </c>
      <c r="G5369" s="11">
        <f t="shared" si="830"/>
        <v>0</v>
      </c>
      <c r="H5369" s="11">
        <f t="shared" si="831"/>
        <v>0</v>
      </c>
      <c r="I5369" s="11">
        <f t="shared" si="832"/>
        <v>0</v>
      </c>
      <c r="J5369" s="12">
        <f t="shared" si="833"/>
        <v>0</v>
      </c>
      <c r="K5369" s="17" t="str">
        <f t="shared" si="838"/>
        <v>Pas d'écart</v>
      </c>
      <c r="L5369" s="16">
        <f>base!X5369</f>
        <v>0</v>
      </c>
      <c r="M5369" s="11">
        <f t="shared" si="834"/>
        <v>0</v>
      </c>
      <c r="N5369" s="11">
        <f t="shared" si="835"/>
        <v>0</v>
      </c>
      <c r="O5369" s="11">
        <f t="shared" si="836"/>
        <v>0</v>
      </c>
      <c r="P5369" s="12">
        <f t="shared" si="837"/>
        <v>0</v>
      </c>
      <c r="Q5369" s="17" t="str">
        <f t="shared" si="839"/>
        <v>Pas d'écart</v>
      </c>
    </row>
    <row r="5370" spans="1:18" x14ac:dyDescent="0.3">
      <c r="A5370" s="34" t="str">
        <f>base!J5370</f>
        <v>DLM</v>
      </c>
      <c r="B5370" s="34" t="str">
        <f>base!V5370</f>
        <v>31200</v>
      </c>
      <c r="C5370" s="37">
        <v>31</v>
      </c>
      <c r="D5370" s="36">
        <f>base!H5370</f>
        <v>52.5</v>
      </c>
      <c r="E5370" s="44"/>
      <c r="F5370" s="16">
        <f>base!W5370</f>
        <v>0</v>
      </c>
      <c r="G5370" s="11">
        <f t="shared" si="830"/>
        <v>0</v>
      </c>
      <c r="H5370" s="11">
        <f t="shared" si="831"/>
        <v>9.9749999999999996</v>
      </c>
      <c r="I5370" s="11">
        <f t="shared" si="832"/>
        <v>0.19</v>
      </c>
      <c r="J5370" s="12">
        <f t="shared" si="833"/>
        <v>-9.9749999999999996</v>
      </c>
      <c r="K5370" s="17" t="str">
        <f t="shared" si="838"/>
        <v>Ecart négatif</v>
      </c>
      <c r="L5370" s="16">
        <f>base!X5370</f>
        <v>0</v>
      </c>
      <c r="M5370" s="11">
        <f t="shared" si="834"/>
        <v>0</v>
      </c>
      <c r="N5370" s="11">
        <f t="shared" si="835"/>
        <v>13.65</v>
      </c>
      <c r="O5370" s="11">
        <f t="shared" si="836"/>
        <v>0.26</v>
      </c>
      <c r="P5370" s="12">
        <f t="shared" si="837"/>
        <v>-13.65</v>
      </c>
      <c r="Q5370" s="17" t="str">
        <f t="shared" si="839"/>
        <v>Ecart négatif</v>
      </c>
    </row>
    <row r="5371" spans="1:18" x14ac:dyDescent="0.3">
      <c r="A5371" s="34" t="str">
        <f>base!J5371</f>
        <v>RM</v>
      </c>
      <c r="B5371" s="34" t="str">
        <f>base!V5371</f>
        <v>67000</v>
      </c>
      <c r="C5371" s="37">
        <v>67</v>
      </c>
      <c r="D5371" s="36">
        <f>base!H5371</f>
        <v>17</v>
      </c>
      <c r="E5371" s="44"/>
      <c r="F5371" s="16">
        <f>base!W5371</f>
        <v>0</v>
      </c>
      <c r="G5371" s="11">
        <f t="shared" si="830"/>
        <v>0</v>
      </c>
      <c r="H5371" s="11">
        <f t="shared" si="831"/>
        <v>4.93</v>
      </c>
      <c r="I5371" s="11">
        <f t="shared" si="832"/>
        <v>0.28999999999999998</v>
      </c>
      <c r="J5371" s="12">
        <f t="shared" si="833"/>
        <v>-4.93</v>
      </c>
      <c r="K5371" s="17" t="str">
        <f t="shared" si="838"/>
        <v>Ecart négatif</v>
      </c>
      <c r="L5371" s="16">
        <f>base!X5371</f>
        <v>1.36</v>
      </c>
      <c r="M5371" s="11">
        <f t="shared" si="834"/>
        <v>0.08</v>
      </c>
      <c r="N5371" s="11">
        <f t="shared" si="835"/>
        <v>1.36</v>
      </c>
      <c r="O5371" s="11">
        <f t="shared" si="836"/>
        <v>0.08</v>
      </c>
      <c r="P5371" s="12">
        <f t="shared" si="837"/>
        <v>0</v>
      </c>
      <c r="Q5371" s="17" t="str">
        <f t="shared" si="839"/>
        <v>Pas d'écart</v>
      </c>
      <c r="R5371" s="38"/>
    </row>
    <row r="5372" spans="1:18" x14ac:dyDescent="0.3">
      <c r="A5372" s="34" t="str">
        <f>base!J5372</f>
        <v>RM</v>
      </c>
      <c r="B5372" s="34" t="str">
        <f>base!V5372</f>
        <v>06560</v>
      </c>
      <c r="C5372" s="37">
        <v>6</v>
      </c>
      <c r="D5372" s="36">
        <f>base!H5372</f>
        <v>151</v>
      </c>
      <c r="E5372" s="44"/>
      <c r="F5372" s="16">
        <f>base!W5372</f>
        <v>0</v>
      </c>
      <c r="G5372" s="11">
        <f t="shared" si="830"/>
        <v>0</v>
      </c>
      <c r="H5372" s="11">
        <f t="shared" si="831"/>
        <v>45.3</v>
      </c>
      <c r="I5372" s="11">
        <f t="shared" si="832"/>
        <v>0.3</v>
      </c>
      <c r="J5372" s="12">
        <f t="shared" si="833"/>
        <v>-45.3</v>
      </c>
      <c r="K5372" s="17" t="str">
        <f t="shared" si="838"/>
        <v>Ecart négatif</v>
      </c>
      <c r="L5372" s="16">
        <f>base!X5372</f>
        <v>0</v>
      </c>
      <c r="M5372" s="11">
        <f t="shared" si="834"/>
        <v>0</v>
      </c>
      <c r="N5372" s="11">
        <f t="shared" si="835"/>
        <v>31.709999999999997</v>
      </c>
      <c r="O5372" s="11">
        <f t="shared" si="836"/>
        <v>0.21</v>
      </c>
      <c r="P5372" s="12">
        <f t="shared" si="837"/>
        <v>-31.709999999999997</v>
      </c>
      <c r="Q5372" s="17" t="str">
        <f t="shared" si="839"/>
        <v>Ecart négatif</v>
      </c>
    </row>
    <row r="5373" spans="1:18" x14ac:dyDescent="0.3">
      <c r="A5373" s="34" t="str">
        <f>base!J5373</f>
        <v>DRM</v>
      </c>
      <c r="B5373" s="34" t="str">
        <f>base!V5373</f>
        <v>38510</v>
      </c>
      <c r="C5373" s="37">
        <v>38</v>
      </c>
      <c r="D5373" s="36">
        <f>base!H5373</f>
        <v>140</v>
      </c>
      <c r="E5373" s="44"/>
      <c r="F5373" s="16">
        <f>base!W5373</f>
        <v>0</v>
      </c>
      <c r="G5373" s="11">
        <f t="shared" si="830"/>
        <v>0</v>
      </c>
      <c r="H5373" s="11">
        <f t="shared" si="831"/>
        <v>37.800000000000004</v>
      </c>
      <c r="I5373" s="11">
        <f t="shared" si="832"/>
        <v>0.27</v>
      </c>
      <c r="J5373" s="12">
        <f t="shared" si="833"/>
        <v>-37.800000000000004</v>
      </c>
      <c r="K5373" s="17" t="str">
        <f t="shared" si="838"/>
        <v>Ecart négatif</v>
      </c>
      <c r="L5373" s="16">
        <f>base!X5373</f>
        <v>0</v>
      </c>
      <c r="M5373" s="11">
        <f t="shared" si="834"/>
        <v>0</v>
      </c>
      <c r="N5373" s="11">
        <f t="shared" si="835"/>
        <v>0</v>
      </c>
      <c r="O5373" s="11">
        <f t="shared" si="836"/>
        <v>0</v>
      </c>
      <c r="P5373" s="12">
        <f t="shared" si="837"/>
        <v>0</v>
      </c>
      <c r="Q5373" s="17" t="str">
        <f t="shared" si="839"/>
        <v>Pas d'écart</v>
      </c>
    </row>
    <row r="5374" spans="1:18" x14ac:dyDescent="0.3">
      <c r="A5374" s="34" t="str">
        <f>base!J5374</f>
        <v>DRM</v>
      </c>
      <c r="B5374" s="34" t="str">
        <f>base!V5374</f>
        <v>67800</v>
      </c>
      <c r="C5374" s="37">
        <v>67</v>
      </c>
      <c r="D5374" s="36">
        <f>base!H5374</f>
        <v>151</v>
      </c>
      <c r="E5374" s="44"/>
      <c r="F5374" s="16">
        <f>base!W5374</f>
        <v>0</v>
      </c>
      <c r="G5374" s="11">
        <f t="shared" si="830"/>
        <v>0</v>
      </c>
      <c r="H5374" s="11">
        <f t="shared" si="831"/>
        <v>43.79</v>
      </c>
      <c r="I5374" s="11">
        <f t="shared" si="832"/>
        <v>0.28999999999999998</v>
      </c>
      <c r="J5374" s="12">
        <f t="shared" si="833"/>
        <v>-43.79</v>
      </c>
      <c r="K5374" s="17" t="str">
        <f t="shared" si="838"/>
        <v>Ecart négatif</v>
      </c>
      <c r="L5374" s="16">
        <f>base!X5374</f>
        <v>0</v>
      </c>
      <c r="M5374" s="11">
        <f t="shared" si="834"/>
        <v>0</v>
      </c>
      <c r="N5374" s="11">
        <f t="shared" si="835"/>
        <v>12.08</v>
      </c>
      <c r="O5374" s="11">
        <f t="shared" si="836"/>
        <v>0.08</v>
      </c>
      <c r="P5374" s="12">
        <f t="shared" si="837"/>
        <v>-12.08</v>
      </c>
      <c r="Q5374" s="17" t="str">
        <f t="shared" si="839"/>
        <v>Ecart négatif</v>
      </c>
    </row>
    <row r="5375" spans="1:18" x14ac:dyDescent="0.3">
      <c r="A5375" s="34" t="str">
        <f>base!J5375</f>
        <v>DRM</v>
      </c>
      <c r="B5375" s="34" t="str">
        <f>base!V5375</f>
        <v>75007</v>
      </c>
      <c r="C5375" s="37">
        <v>75</v>
      </c>
      <c r="D5375" s="36">
        <f>base!H5375</f>
        <v>180</v>
      </c>
      <c r="E5375" s="44"/>
      <c r="F5375" s="16">
        <f>base!W5375</f>
        <v>0</v>
      </c>
      <c r="G5375" s="11">
        <f t="shared" si="830"/>
        <v>0</v>
      </c>
      <c r="H5375" s="11">
        <f t="shared" si="831"/>
        <v>0</v>
      </c>
      <c r="I5375" s="11">
        <f t="shared" si="832"/>
        <v>0</v>
      </c>
      <c r="J5375" s="12">
        <f t="shared" si="833"/>
        <v>0</v>
      </c>
      <c r="K5375" s="17" t="str">
        <f t="shared" si="838"/>
        <v>Pas d'écart</v>
      </c>
      <c r="L5375" s="16">
        <f>base!X5375</f>
        <v>0</v>
      </c>
      <c r="M5375" s="11">
        <f t="shared" si="834"/>
        <v>0</v>
      </c>
      <c r="N5375" s="11">
        <f t="shared" si="835"/>
        <v>0</v>
      </c>
      <c r="O5375" s="11">
        <f t="shared" si="836"/>
        <v>0</v>
      </c>
      <c r="P5375" s="12">
        <f t="shared" si="837"/>
        <v>0</v>
      </c>
      <c r="Q5375" s="17" t="str">
        <f t="shared" si="839"/>
        <v>Pas d'écart</v>
      </c>
    </row>
    <row r="5376" spans="1:18" x14ac:dyDescent="0.3">
      <c r="A5376" s="34" t="str">
        <f>base!J5376</f>
        <v>DLS</v>
      </c>
      <c r="B5376" s="34" t="str">
        <f>base!V5376</f>
        <v>92150</v>
      </c>
      <c r="C5376" s="37">
        <v>92</v>
      </c>
      <c r="D5376" s="36">
        <f>base!H5376</f>
        <v>180</v>
      </c>
      <c r="E5376" s="44"/>
      <c r="F5376" s="16">
        <f>base!W5376</f>
        <v>0</v>
      </c>
      <c r="G5376" s="11">
        <f t="shared" si="830"/>
        <v>0</v>
      </c>
      <c r="H5376" s="11">
        <f t="shared" si="831"/>
        <v>0</v>
      </c>
      <c r="I5376" s="11">
        <f t="shared" si="832"/>
        <v>0</v>
      </c>
      <c r="J5376" s="12">
        <f t="shared" si="833"/>
        <v>0</v>
      </c>
      <c r="K5376" s="17" t="str">
        <f t="shared" si="838"/>
        <v>Pas d'écart</v>
      </c>
      <c r="L5376" s="16">
        <f>base!X5376</f>
        <v>0</v>
      </c>
      <c r="M5376" s="11">
        <f t="shared" si="834"/>
        <v>0</v>
      </c>
      <c r="N5376" s="11">
        <f t="shared" si="835"/>
        <v>0</v>
      </c>
      <c r="O5376" s="11">
        <f t="shared" si="836"/>
        <v>0</v>
      </c>
      <c r="P5376" s="12">
        <f t="shared" si="837"/>
        <v>0</v>
      </c>
      <c r="Q5376" s="17" t="str">
        <f t="shared" si="839"/>
        <v>Pas d'écart</v>
      </c>
    </row>
    <row r="5377" spans="1:18" x14ac:dyDescent="0.3">
      <c r="A5377" s="34" t="str">
        <f>base!J5377</f>
        <v>RM</v>
      </c>
      <c r="B5377" s="34" t="str">
        <f>base!V5377</f>
        <v>44840</v>
      </c>
      <c r="C5377" s="37">
        <v>44</v>
      </c>
      <c r="D5377" s="36">
        <f>base!H5377</f>
        <v>50</v>
      </c>
      <c r="E5377" s="44"/>
      <c r="F5377" s="16">
        <f>base!W5377</f>
        <v>0</v>
      </c>
      <c r="G5377" s="11">
        <f t="shared" si="830"/>
        <v>0</v>
      </c>
      <c r="H5377" s="11">
        <f t="shared" si="831"/>
        <v>13.5</v>
      </c>
      <c r="I5377" s="11">
        <f t="shared" si="832"/>
        <v>0.27</v>
      </c>
      <c r="J5377" s="12">
        <f t="shared" si="833"/>
        <v>-13.5</v>
      </c>
      <c r="K5377" s="17" t="str">
        <f t="shared" si="838"/>
        <v>Ecart négatif</v>
      </c>
      <c r="L5377" s="16">
        <f>base!X5377</f>
        <v>0</v>
      </c>
      <c r="M5377" s="11">
        <f t="shared" si="834"/>
        <v>0</v>
      </c>
      <c r="N5377" s="11">
        <f t="shared" si="835"/>
        <v>0</v>
      </c>
      <c r="O5377" s="11">
        <f t="shared" si="836"/>
        <v>0</v>
      </c>
      <c r="P5377" s="12">
        <f t="shared" si="837"/>
        <v>0</v>
      </c>
      <c r="Q5377" s="17" t="str">
        <f t="shared" si="839"/>
        <v>Pas d'écart</v>
      </c>
    </row>
    <row r="5378" spans="1:18" x14ac:dyDescent="0.3">
      <c r="A5378" s="34" t="str">
        <f>base!J5378</f>
        <v>DRM</v>
      </c>
      <c r="B5378" s="34" t="str">
        <f>base!V5378</f>
        <v>13751</v>
      </c>
      <c r="C5378" s="37">
        <v>13</v>
      </c>
      <c r="D5378" s="36">
        <f>base!H5378</f>
        <v>70</v>
      </c>
      <c r="E5378" s="44"/>
      <c r="F5378" s="16">
        <f>base!W5378</f>
        <v>0</v>
      </c>
      <c r="G5378" s="11">
        <f t="shared" ref="G5378:G5441" si="840">F5378/D5378</f>
        <v>0</v>
      </c>
      <c r="H5378" s="11">
        <f t="shared" ref="H5378:H5441" si="841">VLOOKUP(C5378,tout_cout_traction,2,FALSE)*D5378</f>
        <v>20.299999999999997</v>
      </c>
      <c r="I5378" s="11">
        <f t="shared" ref="I5378:I5441" si="842">H5378/D5378</f>
        <v>0.28999999999999998</v>
      </c>
      <c r="J5378" s="12">
        <f t="shared" ref="J5378:J5441" si="843">F5378-H5378</f>
        <v>-20.299999999999997</v>
      </c>
      <c r="K5378" s="17" t="str">
        <f t="shared" si="838"/>
        <v>Ecart négatif</v>
      </c>
      <c r="L5378" s="16">
        <f>base!X5378</f>
        <v>0</v>
      </c>
      <c r="M5378" s="11">
        <f t="shared" ref="M5378:M5441" si="844">L5378/D5378</f>
        <v>0</v>
      </c>
      <c r="N5378" s="11">
        <f t="shared" ref="N5378:N5441" si="845">VLOOKUP(C5378,tout_cout_traction,3,FALSE)*D5378</f>
        <v>13.3</v>
      </c>
      <c r="O5378" s="11">
        <f t="shared" ref="O5378:O5441" si="846">N5378/D5378</f>
        <v>0.19</v>
      </c>
      <c r="P5378" s="12">
        <f t="shared" ref="P5378:P5441" si="847">L5378-N5378</f>
        <v>-13.3</v>
      </c>
      <c r="Q5378" s="17" t="str">
        <f t="shared" si="839"/>
        <v>Ecart négatif</v>
      </c>
    </row>
    <row r="5379" spans="1:18" x14ac:dyDescent="0.3">
      <c r="A5379" s="34" t="str">
        <f>base!J5379</f>
        <v>DRS</v>
      </c>
      <c r="B5379" s="34" t="str">
        <f>base!V5379</f>
        <v>62970</v>
      </c>
      <c r="C5379" s="37">
        <v>62</v>
      </c>
      <c r="D5379" s="36">
        <f>base!H5379</f>
        <v>151</v>
      </c>
      <c r="E5379" s="44"/>
      <c r="F5379" s="16">
        <f>base!W5379</f>
        <v>0</v>
      </c>
      <c r="G5379" s="11">
        <f t="shared" si="840"/>
        <v>0</v>
      </c>
      <c r="H5379" s="11">
        <f t="shared" si="841"/>
        <v>28.69</v>
      </c>
      <c r="I5379" s="11">
        <f t="shared" si="842"/>
        <v>0.19</v>
      </c>
      <c r="J5379" s="12">
        <f t="shared" si="843"/>
        <v>-28.69</v>
      </c>
      <c r="K5379" s="17" t="str">
        <f t="shared" ref="K5379:K5442" si="848">IF(H5379=F5379,"Pas d'écart",IF(H5379&lt;F5379,"Ecart positif",IF(H5379&gt;F5379,"Ecart négatif")))</f>
        <v>Ecart négatif</v>
      </c>
      <c r="L5379" s="16">
        <f>base!X5379</f>
        <v>0</v>
      </c>
      <c r="M5379" s="11">
        <f t="shared" si="844"/>
        <v>0</v>
      </c>
      <c r="N5379" s="11">
        <f t="shared" si="845"/>
        <v>0</v>
      </c>
      <c r="O5379" s="11">
        <f t="shared" si="846"/>
        <v>0</v>
      </c>
      <c r="P5379" s="12">
        <f t="shared" si="847"/>
        <v>0</v>
      </c>
      <c r="Q5379" s="17" t="str">
        <f t="shared" ref="Q5379:Q5442" si="849">IF(N5379=L5379,"Pas d'écart",IF(N5379&lt;L5379,"Ecart positif",IF(N5379&gt;L5379,"Ecart négatif")))</f>
        <v>Pas d'écart</v>
      </c>
    </row>
    <row r="5380" spans="1:18" x14ac:dyDescent="0.3">
      <c r="A5380" s="34" t="str">
        <f>base!J5380</f>
        <v>RS</v>
      </c>
      <c r="B5380" s="34" t="str">
        <f>base!V5380</f>
        <v>79110</v>
      </c>
      <c r="C5380" s="37">
        <v>79</v>
      </c>
      <c r="D5380" s="36">
        <f>base!H5380</f>
        <v>140</v>
      </c>
      <c r="E5380" s="44"/>
      <c r="F5380" s="16">
        <f>base!W5380</f>
        <v>0</v>
      </c>
      <c r="G5380" s="11">
        <f t="shared" si="840"/>
        <v>0</v>
      </c>
      <c r="H5380" s="11">
        <f t="shared" si="841"/>
        <v>29.4</v>
      </c>
      <c r="I5380" s="11">
        <f t="shared" si="842"/>
        <v>0.21</v>
      </c>
      <c r="J5380" s="12">
        <f t="shared" si="843"/>
        <v>-29.4</v>
      </c>
      <c r="K5380" s="17" t="str">
        <f t="shared" si="848"/>
        <v>Ecart négatif</v>
      </c>
      <c r="L5380" s="16">
        <f>base!X5380</f>
        <v>0</v>
      </c>
      <c r="M5380" s="11">
        <f t="shared" si="844"/>
        <v>0</v>
      </c>
      <c r="N5380" s="11">
        <f t="shared" si="845"/>
        <v>16.8</v>
      </c>
      <c r="O5380" s="11">
        <f t="shared" si="846"/>
        <v>0.12000000000000001</v>
      </c>
      <c r="P5380" s="12">
        <f t="shared" si="847"/>
        <v>-16.8</v>
      </c>
      <c r="Q5380" s="17" t="str">
        <f t="shared" si="849"/>
        <v>Ecart négatif</v>
      </c>
    </row>
    <row r="5381" spans="1:18" x14ac:dyDescent="0.3">
      <c r="A5381" s="34" t="str">
        <f>base!J5381</f>
        <v>RS</v>
      </c>
      <c r="B5381" s="34" t="str">
        <f>base!V5381</f>
        <v>17000</v>
      </c>
      <c r="C5381" s="37">
        <v>17</v>
      </c>
      <c r="D5381" s="36">
        <f>base!H5381</f>
        <v>140</v>
      </c>
      <c r="E5381" s="44"/>
      <c r="F5381" s="16">
        <f>base!W5381</f>
        <v>0</v>
      </c>
      <c r="G5381" s="11">
        <f t="shared" si="840"/>
        <v>0</v>
      </c>
      <c r="H5381" s="11">
        <f t="shared" si="841"/>
        <v>29.4</v>
      </c>
      <c r="I5381" s="11">
        <f t="shared" si="842"/>
        <v>0.21</v>
      </c>
      <c r="J5381" s="12">
        <f t="shared" si="843"/>
        <v>-29.4</v>
      </c>
      <c r="K5381" s="17" t="str">
        <f t="shared" si="848"/>
        <v>Ecart négatif</v>
      </c>
      <c r="L5381" s="16">
        <f>base!X5381</f>
        <v>0</v>
      </c>
      <c r="M5381" s="11">
        <f t="shared" si="844"/>
        <v>0</v>
      </c>
      <c r="N5381" s="11">
        <f t="shared" si="845"/>
        <v>23.8</v>
      </c>
      <c r="O5381" s="11">
        <f t="shared" si="846"/>
        <v>0.17</v>
      </c>
      <c r="P5381" s="12">
        <f t="shared" si="847"/>
        <v>-23.8</v>
      </c>
      <c r="Q5381" s="17" t="str">
        <f t="shared" si="849"/>
        <v>Ecart négatif</v>
      </c>
    </row>
    <row r="5382" spans="1:18" x14ac:dyDescent="0.3">
      <c r="A5382" s="34" t="str">
        <f>base!J5382</f>
        <v>RM</v>
      </c>
      <c r="B5382" s="34" t="str">
        <f>base!V5382</f>
        <v>62231</v>
      </c>
      <c r="C5382" s="37">
        <v>62</v>
      </c>
      <c r="D5382" s="36">
        <f>base!H5382</f>
        <v>140</v>
      </c>
      <c r="E5382" s="44"/>
      <c r="F5382" s="16">
        <f>base!W5382</f>
        <v>0</v>
      </c>
      <c r="G5382" s="11">
        <f t="shared" si="840"/>
        <v>0</v>
      </c>
      <c r="H5382" s="11">
        <f t="shared" si="841"/>
        <v>26.6</v>
      </c>
      <c r="I5382" s="11">
        <f t="shared" si="842"/>
        <v>0.19</v>
      </c>
      <c r="J5382" s="12">
        <f t="shared" si="843"/>
        <v>-26.6</v>
      </c>
      <c r="K5382" s="17" t="str">
        <f t="shared" si="848"/>
        <v>Ecart négatif</v>
      </c>
      <c r="L5382" s="16">
        <f>base!X5382</f>
        <v>26.6</v>
      </c>
      <c r="M5382" s="11">
        <f t="shared" si="844"/>
        <v>0.19</v>
      </c>
      <c r="N5382" s="11">
        <f t="shared" si="845"/>
        <v>0</v>
      </c>
      <c r="O5382" s="11">
        <f t="shared" si="846"/>
        <v>0</v>
      </c>
      <c r="P5382" s="12">
        <f t="shared" si="847"/>
        <v>26.6</v>
      </c>
      <c r="Q5382" s="17" t="str">
        <f t="shared" si="849"/>
        <v>Ecart positif</v>
      </c>
    </row>
    <row r="5383" spans="1:18" x14ac:dyDescent="0.3">
      <c r="A5383" s="34" t="str">
        <f>base!J5383</f>
        <v>RM</v>
      </c>
      <c r="B5383" s="34" t="str">
        <f>base!V5383</f>
        <v>92350</v>
      </c>
      <c r="C5383" s="37">
        <v>92</v>
      </c>
      <c r="D5383" s="36">
        <f>base!H5383</f>
        <v>140</v>
      </c>
      <c r="E5383" s="44"/>
      <c r="F5383" s="16">
        <f>base!W5383</f>
        <v>0</v>
      </c>
      <c r="G5383" s="11">
        <f t="shared" si="840"/>
        <v>0</v>
      </c>
      <c r="H5383" s="11">
        <f t="shared" si="841"/>
        <v>0</v>
      </c>
      <c r="I5383" s="11">
        <f t="shared" si="842"/>
        <v>0</v>
      </c>
      <c r="J5383" s="12">
        <f t="shared" si="843"/>
        <v>0</v>
      </c>
      <c r="K5383" s="17" t="str">
        <f t="shared" si="848"/>
        <v>Pas d'écart</v>
      </c>
      <c r="L5383" s="16">
        <f>base!X5383</f>
        <v>0</v>
      </c>
      <c r="M5383" s="11">
        <f t="shared" si="844"/>
        <v>0</v>
      </c>
      <c r="N5383" s="11">
        <f t="shared" si="845"/>
        <v>0</v>
      </c>
      <c r="O5383" s="11">
        <f t="shared" si="846"/>
        <v>0</v>
      </c>
      <c r="P5383" s="12">
        <f t="shared" si="847"/>
        <v>0</v>
      </c>
      <c r="Q5383" s="17" t="str">
        <f t="shared" si="849"/>
        <v>Pas d'écart</v>
      </c>
    </row>
    <row r="5384" spans="1:18" x14ac:dyDescent="0.3">
      <c r="A5384" s="34" t="str">
        <f>base!J5384</f>
        <v>RM</v>
      </c>
      <c r="B5384" s="34" t="str">
        <f>base!V5384</f>
        <v>92350</v>
      </c>
      <c r="C5384" s="37">
        <v>92</v>
      </c>
      <c r="D5384" s="36">
        <f>base!H5384</f>
        <v>22.8</v>
      </c>
      <c r="E5384" s="44"/>
      <c r="F5384" s="16">
        <f>base!W5384</f>
        <v>0</v>
      </c>
      <c r="G5384" s="11">
        <f t="shared" si="840"/>
        <v>0</v>
      </c>
      <c r="H5384" s="11">
        <f t="shared" si="841"/>
        <v>0</v>
      </c>
      <c r="I5384" s="11">
        <f t="shared" si="842"/>
        <v>0</v>
      </c>
      <c r="J5384" s="12">
        <f t="shared" si="843"/>
        <v>0</v>
      </c>
      <c r="K5384" s="17" t="str">
        <f t="shared" si="848"/>
        <v>Pas d'écart</v>
      </c>
      <c r="L5384" s="16">
        <f>base!X5384</f>
        <v>0</v>
      </c>
      <c r="M5384" s="11">
        <f t="shared" si="844"/>
        <v>0</v>
      </c>
      <c r="N5384" s="11">
        <f t="shared" si="845"/>
        <v>0</v>
      </c>
      <c r="O5384" s="11">
        <f t="shared" si="846"/>
        <v>0</v>
      </c>
      <c r="P5384" s="12">
        <f t="shared" si="847"/>
        <v>0</v>
      </c>
      <c r="Q5384" s="17" t="str">
        <f t="shared" si="849"/>
        <v>Pas d'écart</v>
      </c>
    </row>
    <row r="5385" spans="1:18" x14ac:dyDescent="0.3">
      <c r="A5385" s="34" t="str">
        <f>base!J5385</f>
        <v>RM</v>
      </c>
      <c r="B5385" s="34" t="str">
        <f>base!V5385</f>
        <v>69100</v>
      </c>
      <c r="C5385" s="37">
        <v>69</v>
      </c>
      <c r="D5385" s="36">
        <f>base!H5385</f>
        <v>90.99</v>
      </c>
      <c r="E5385" s="44"/>
      <c r="F5385" s="16">
        <f>base!W5385</f>
        <v>0</v>
      </c>
      <c r="G5385" s="11">
        <f t="shared" si="840"/>
        <v>0</v>
      </c>
      <c r="H5385" s="11">
        <f t="shared" si="841"/>
        <v>24.567299999999999</v>
      </c>
      <c r="I5385" s="11">
        <f t="shared" si="842"/>
        <v>0.27</v>
      </c>
      <c r="J5385" s="12">
        <f t="shared" si="843"/>
        <v>-24.567299999999999</v>
      </c>
      <c r="K5385" s="17" t="str">
        <f t="shared" si="848"/>
        <v>Ecart négatif</v>
      </c>
      <c r="L5385" s="16">
        <f>base!X5385</f>
        <v>0</v>
      </c>
      <c r="M5385" s="11">
        <f t="shared" si="844"/>
        <v>0</v>
      </c>
      <c r="N5385" s="11">
        <f t="shared" si="845"/>
        <v>0</v>
      </c>
      <c r="O5385" s="11">
        <f t="shared" si="846"/>
        <v>0</v>
      </c>
      <c r="P5385" s="12">
        <f t="shared" si="847"/>
        <v>0</v>
      </c>
      <c r="Q5385" s="17" t="str">
        <f t="shared" si="849"/>
        <v>Pas d'écart</v>
      </c>
    </row>
    <row r="5386" spans="1:18" x14ac:dyDescent="0.3">
      <c r="A5386" s="34" t="str">
        <f>base!J5386</f>
        <v>RM</v>
      </c>
      <c r="B5386" s="34" t="str">
        <f>base!V5386</f>
        <v>75007</v>
      </c>
      <c r="C5386" s="37">
        <v>75</v>
      </c>
      <c r="D5386" s="36">
        <f>base!H5386</f>
        <v>22.5</v>
      </c>
      <c r="E5386" s="44"/>
      <c r="F5386" s="16">
        <f>base!W5386</f>
        <v>0</v>
      </c>
      <c r="G5386" s="11">
        <f t="shared" si="840"/>
        <v>0</v>
      </c>
      <c r="H5386" s="11">
        <f t="shared" si="841"/>
        <v>0</v>
      </c>
      <c r="I5386" s="11">
        <f t="shared" si="842"/>
        <v>0</v>
      </c>
      <c r="J5386" s="12">
        <f t="shared" si="843"/>
        <v>0</v>
      </c>
      <c r="K5386" s="17" t="str">
        <f t="shared" si="848"/>
        <v>Pas d'écart</v>
      </c>
      <c r="L5386" s="16">
        <f>base!X5386</f>
        <v>0</v>
      </c>
      <c r="M5386" s="11">
        <f t="shared" si="844"/>
        <v>0</v>
      </c>
      <c r="N5386" s="11">
        <f t="shared" si="845"/>
        <v>0</v>
      </c>
      <c r="O5386" s="11">
        <f t="shared" si="846"/>
        <v>0</v>
      </c>
      <c r="P5386" s="12">
        <f t="shared" si="847"/>
        <v>0</v>
      </c>
      <c r="Q5386" s="17" t="str">
        <f t="shared" si="849"/>
        <v>Pas d'écart</v>
      </c>
    </row>
    <row r="5387" spans="1:18" x14ac:dyDescent="0.3">
      <c r="A5387" s="34" t="str">
        <f>base!J5387</f>
        <v>RM</v>
      </c>
      <c r="B5387" s="34" t="str">
        <f>base!V5387</f>
        <v>92000</v>
      </c>
      <c r="C5387" s="37">
        <v>92</v>
      </c>
      <c r="D5387" s="36">
        <f>base!H5387</f>
        <v>250</v>
      </c>
      <c r="E5387" s="44"/>
      <c r="F5387" s="16">
        <f>base!W5387</f>
        <v>0</v>
      </c>
      <c r="G5387" s="11">
        <f t="shared" si="840"/>
        <v>0</v>
      </c>
      <c r="H5387" s="11">
        <f t="shared" si="841"/>
        <v>0</v>
      </c>
      <c r="I5387" s="11">
        <f t="shared" si="842"/>
        <v>0</v>
      </c>
      <c r="J5387" s="12">
        <f t="shared" si="843"/>
        <v>0</v>
      </c>
      <c r="K5387" s="17" t="str">
        <f t="shared" si="848"/>
        <v>Pas d'écart</v>
      </c>
      <c r="L5387" s="16">
        <f>base!X5387</f>
        <v>0</v>
      </c>
      <c r="M5387" s="11">
        <f t="shared" si="844"/>
        <v>0</v>
      </c>
      <c r="N5387" s="11">
        <f t="shared" si="845"/>
        <v>0</v>
      </c>
      <c r="O5387" s="11">
        <f t="shared" si="846"/>
        <v>0</v>
      </c>
      <c r="P5387" s="12">
        <f t="shared" si="847"/>
        <v>0</v>
      </c>
      <c r="Q5387" s="17" t="str">
        <f t="shared" si="849"/>
        <v>Pas d'écart</v>
      </c>
    </row>
    <row r="5388" spans="1:18" x14ac:dyDescent="0.3">
      <c r="A5388" s="34" t="str">
        <f>base!J5388</f>
        <v>RS</v>
      </c>
      <c r="B5388" s="34" t="str">
        <f>base!V5388</f>
        <v>67000</v>
      </c>
      <c r="C5388" s="37">
        <v>67</v>
      </c>
      <c r="D5388" s="36">
        <f>base!H5388</f>
        <v>40</v>
      </c>
      <c r="E5388" s="44"/>
      <c r="F5388" s="16">
        <f>base!W5388</f>
        <v>0</v>
      </c>
      <c r="G5388" s="11">
        <f t="shared" si="840"/>
        <v>0</v>
      </c>
      <c r="H5388" s="11">
        <f t="shared" si="841"/>
        <v>11.6</v>
      </c>
      <c r="I5388" s="11">
        <f t="shared" si="842"/>
        <v>0.28999999999999998</v>
      </c>
      <c r="J5388" s="12">
        <f t="shared" si="843"/>
        <v>-11.6</v>
      </c>
      <c r="K5388" s="17" t="str">
        <f t="shared" si="848"/>
        <v>Ecart négatif</v>
      </c>
      <c r="L5388" s="16">
        <f>base!X5388</f>
        <v>3.2</v>
      </c>
      <c r="M5388" s="11">
        <f t="shared" si="844"/>
        <v>0.08</v>
      </c>
      <c r="N5388" s="11">
        <f t="shared" si="845"/>
        <v>3.2</v>
      </c>
      <c r="O5388" s="11">
        <f t="shared" si="846"/>
        <v>0.08</v>
      </c>
      <c r="P5388" s="12">
        <f t="shared" si="847"/>
        <v>0</v>
      </c>
      <c r="Q5388" s="17" t="str">
        <f t="shared" si="849"/>
        <v>Pas d'écart</v>
      </c>
      <c r="R5388" s="38"/>
    </row>
    <row r="5389" spans="1:18" x14ac:dyDescent="0.3">
      <c r="A5389" s="34" t="str">
        <f>base!J5389</f>
        <v>RS</v>
      </c>
      <c r="B5389" s="34" t="str">
        <f>base!V5389</f>
        <v>78100</v>
      </c>
      <c r="C5389" s="37">
        <v>78</v>
      </c>
      <c r="D5389" s="36">
        <f>base!H5389</f>
        <v>139.53</v>
      </c>
      <c r="E5389" s="44"/>
      <c r="F5389" s="16">
        <f>base!W5389</f>
        <v>0</v>
      </c>
      <c r="G5389" s="11">
        <f t="shared" si="840"/>
        <v>0</v>
      </c>
      <c r="H5389" s="11">
        <f t="shared" si="841"/>
        <v>0</v>
      </c>
      <c r="I5389" s="11">
        <f t="shared" si="842"/>
        <v>0</v>
      </c>
      <c r="J5389" s="12">
        <f t="shared" si="843"/>
        <v>0</v>
      </c>
      <c r="K5389" s="17" t="str">
        <f t="shared" si="848"/>
        <v>Pas d'écart</v>
      </c>
      <c r="L5389" s="16">
        <f>base!X5389</f>
        <v>0</v>
      </c>
      <c r="M5389" s="11">
        <f t="shared" si="844"/>
        <v>0</v>
      </c>
      <c r="N5389" s="11">
        <f t="shared" si="845"/>
        <v>0</v>
      </c>
      <c r="O5389" s="11">
        <f t="shared" si="846"/>
        <v>0</v>
      </c>
      <c r="P5389" s="12">
        <f t="shared" si="847"/>
        <v>0</v>
      </c>
      <c r="Q5389" s="17" t="str">
        <f t="shared" si="849"/>
        <v>Pas d'écart</v>
      </c>
    </row>
    <row r="5390" spans="1:18" x14ac:dyDescent="0.3">
      <c r="A5390" s="34" t="str">
        <f>base!J5390</f>
        <v>RM</v>
      </c>
      <c r="B5390" s="34" t="str">
        <f>base!V5390</f>
        <v>14000</v>
      </c>
      <c r="C5390" s="37">
        <v>14</v>
      </c>
      <c r="D5390" s="36">
        <f>base!H5390</f>
        <v>183.98</v>
      </c>
      <c r="E5390" s="44"/>
      <c r="F5390" s="16">
        <f>base!W5390</f>
        <v>0</v>
      </c>
      <c r="G5390" s="11">
        <f t="shared" si="840"/>
        <v>0</v>
      </c>
      <c r="H5390" s="11">
        <f t="shared" si="841"/>
        <v>31.276600000000002</v>
      </c>
      <c r="I5390" s="11">
        <f t="shared" si="842"/>
        <v>0.17</v>
      </c>
      <c r="J5390" s="12">
        <f t="shared" si="843"/>
        <v>-31.276600000000002</v>
      </c>
      <c r="K5390" s="17" t="str">
        <f t="shared" si="848"/>
        <v>Ecart négatif</v>
      </c>
      <c r="L5390" s="16">
        <f>base!X5390</f>
        <v>31.28</v>
      </c>
      <c r="M5390" s="11">
        <f t="shared" si="844"/>
        <v>0.17001848026959454</v>
      </c>
      <c r="N5390" s="11">
        <f t="shared" si="845"/>
        <v>31.276600000000002</v>
      </c>
      <c r="O5390" s="11">
        <f t="shared" si="846"/>
        <v>0.17</v>
      </c>
      <c r="P5390" s="12">
        <f t="shared" si="847"/>
        <v>3.3999999999991815E-3</v>
      </c>
      <c r="Q5390" s="17" t="str">
        <f t="shared" si="849"/>
        <v>Ecart positif</v>
      </c>
      <c r="R5390" s="38"/>
    </row>
    <row r="5391" spans="1:18" x14ac:dyDescent="0.3">
      <c r="A5391" s="34" t="str">
        <f>base!J5391</f>
        <v>RS</v>
      </c>
      <c r="B5391" s="34" t="str">
        <f>base!V5391</f>
        <v>14000</v>
      </c>
      <c r="C5391" s="37">
        <v>14</v>
      </c>
      <c r="D5391" s="36">
        <f>base!H5391</f>
        <v>180</v>
      </c>
      <c r="E5391" s="44"/>
      <c r="F5391" s="16">
        <f>base!W5391</f>
        <v>0</v>
      </c>
      <c r="G5391" s="11">
        <f t="shared" si="840"/>
        <v>0</v>
      </c>
      <c r="H5391" s="11">
        <f t="shared" si="841"/>
        <v>30.6</v>
      </c>
      <c r="I5391" s="11">
        <f t="shared" si="842"/>
        <v>0.17</v>
      </c>
      <c r="J5391" s="12">
        <f t="shared" si="843"/>
        <v>-30.6</v>
      </c>
      <c r="K5391" s="17" t="str">
        <f t="shared" si="848"/>
        <v>Ecart négatif</v>
      </c>
      <c r="L5391" s="16">
        <f>base!X5391</f>
        <v>30.6</v>
      </c>
      <c r="M5391" s="11">
        <f t="shared" si="844"/>
        <v>0.17</v>
      </c>
      <c r="N5391" s="11">
        <f t="shared" si="845"/>
        <v>30.6</v>
      </c>
      <c r="O5391" s="11">
        <f t="shared" si="846"/>
        <v>0.17</v>
      </c>
      <c r="P5391" s="12">
        <f t="shared" si="847"/>
        <v>0</v>
      </c>
      <c r="Q5391" s="17" t="str">
        <f t="shared" si="849"/>
        <v>Pas d'écart</v>
      </c>
    </row>
    <row r="5392" spans="1:18" x14ac:dyDescent="0.3">
      <c r="A5392" s="34" t="str">
        <f>base!J5392</f>
        <v>RS</v>
      </c>
      <c r="B5392" s="34" t="str">
        <f>base!V5392</f>
        <v>14000</v>
      </c>
      <c r="C5392" s="37">
        <v>14</v>
      </c>
      <c r="D5392" s="36">
        <f>base!H5392</f>
        <v>81.02</v>
      </c>
      <c r="E5392" s="44"/>
      <c r="F5392" s="16">
        <f>base!W5392</f>
        <v>0</v>
      </c>
      <c r="G5392" s="11">
        <f t="shared" si="840"/>
        <v>0</v>
      </c>
      <c r="H5392" s="11">
        <f t="shared" si="841"/>
        <v>13.773400000000001</v>
      </c>
      <c r="I5392" s="11">
        <f t="shared" si="842"/>
        <v>0.17</v>
      </c>
      <c r="J5392" s="12">
        <f t="shared" si="843"/>
        <v>-13.773400000000001</v>
      </c>
      <c r="K5392" s="17" t="str">
        <f t="shared" si="848"/>
        <v>Ecart négatif</v>
      </c>
      <c r="L5392" s="16">
        <f>base!X5392</f>
        <v>0</v>
      </c>
      <c r="M5392" s="11">
        <f t="shared" si="844"/>
        <v>0</v>
      </c>
      <c r="N5392" s="11">
        <f t="shared" si="845"/>
        <v>13.773400000000001</v>
      </c>
      <c r="O5392" s="11">
        <f t="shared" si="846"/>
        <v>0.17</v>
      </c>
      <c r="P5392" s="12">
        <f t="shared" si="847"/>
        <v>-13.773400000000001</v>
      </c>
      <c r="Q5392" s="17" t="str">
        <f t="shared" si="849"/>
        <v>Ecart négatif</v>
      </c>
    </row>
    <row r="5393" spans="1:18" x14ac:dyDescent="0.3">
      <c r="A5393" s="34" t="str">
        <f>base!J5393</f>
        <v>RS</v>
      </c>
      <c r="B5393" s="34" t="str">
        <f>base!V5393</f>
        <v>73000</v>
      </c>
      <c r="C5393" s="37">
        <v>73</v>
      </c>
      <c r="D5393" s="36">
        <f>base!H5393</f>
        <v>47.69</v>
      </c>
      <c r="E5393" s="44"/>
      <c r="F5393" s="16">
        <f>base!W5393</f>
        <v>0</v>
      </c>
      <c r="G5393" s="11">
        <f t="shared" si="840"/>
        <v>0</v>
      </c>
      <c r="H5393" s="11">
        <f t="shared" si="841"/>
        <v>12.876300000000001</v>
      </c>
      <c r="I5393" s="11">
        <f t="shared" si="842"/>
        <v>0.27</v>
      </c>
      <c r="J5393" s="12">
        <f t="shared" si="843"/>
        <v>-12.876300000000001</v>
      </c>
      <c r="K5393" s="17" t="str">
        <f t="shared" si="848"/>
        <v>Ecart négatif</v>
      </c>
      <c r="L5393" s="16">
        <f>base!X5393</f>
        <v>0</v>
      </c>
      <c r="M5393" s="11">
        <f t="shared" si="844"/>
        <v>0</v>
      </c>
      <c r="N5393" s="11">
        <f t="shared" si="845"/>
        <v>0</v>
      </c>
      <c r="O5393" s="11">
        <f t="shared" si="846"/>
        <v>0</v>
      </c>
      <c r="P5393" s="12">
        <f t="shared" si="847"/>
        <v>0</v>
      </c>
      <c r="Q5393" s="17" t="str">
        <f t="shared" si="849"/>
        <v>Pas d'écart</v>
      </c>
    </row>
    <row r="5394" spans="1:18" x14ac:dyDescent="0.3">
      <c r="A5394" s="34" t="str">
        <f>base!J5394</f>
        <v>RS</v>
      </c>
      <c r="B5394" s="34" t="str">
        <f>base!V5394</f>
        <v>98000</v>
      </c>
      <c r="C5394" s="37">
        <v>98</v>
      </c>
      <c r="D5394" s="36">
        <f>base!H5394</f>
        <v>16</v>
      </c>
      <c r="E5394" s="44"/>
      <c r="F5394" s="16">
        <f>base!W5394</f>
        <v>0</v>
      </c>
      <c r="G5394" s="11">
        <f t="shared" si="840"/>
        <v>0</v>
      </c>
      <c r="H5394" s="11">
        <f t="shared" si="841"/>
        <v>4.32</v>
      </c>
      <c r="I5394" s="11">
        <f t="shared" si="842"/>
        <v>0.27</v>
      </c>
      <c r="J5394" s="12">
        <f t="shared" si="843"/>
        <v>-4.32</v>
      </c>
      <c r="K5394" s="17" t="str">
        <f t="shared" si="848"/>
        <v>Ecart négatif</v>
      </c>
      <c r="L5394" s="16">
        <f>base!X5394</f>
        <v>0</v>
      </c>
      <c r="M5394" s="11">
        <f t="shared" si="844"/>
        <v>0</v>
      </c>
      <c r="N5394" s="11">
        <f t="shared" si="845"/>
        <v>3.36</v>
      </c>
      <c r="O5394" s="11">
        <f t="shared" si="846"/>
        <v>0.21</v>
      </c>
      <c r="P5394" s="12">
        <f t="shared" si="847"/>
        <v>-3.36</v>
      </c>
      <c r="Q5394" s="17" t="str">
        <f t="shared" si="849"/>
        <v>Ecart négatif</v>
      </c>
    </row>
    <row r="5395" spans="1:18" x14ac:dyDescent="0.3">
      <c r="A5395" s="34" t="str">
        <f>base!J5395</f>
        <v>RS</v>
      </c>
      <c r="B5395" s="34" t="str">
        <f>base!V5395</f>
        <v>13127</v>
      </c>
      <c r="C5395" s="37">
        <v>13</v>
      </c>
      <c r="D5395" s="36">
        <f>base!H5395</f>
        <v>40</v>
      </c>
      <c r="E5395" s="44"/>
      <c r="F5395" s="16">
        <f>base!W5395</f>
        <v>0</v>
      </c>
      <c r="G5395" s="11">
        <f t="shared" si="840"/>
        <v>0</v>
      </c>
      <c r="H5395" s="11">
        <f t="shared" si="841"/>
        <v>11.6</v>
      </c>
      <c r="I5395" s="11">
        <f t="shared" si="842"/>
        <v>0.28999999999999998</v>
      </c>
      <c r="J5395" s="12">
        <f t="shared" si="843"/>
        <v>-11.6</v>
      </c>
      <c r="K5395" s="17" t="str">
        <f t="shared" si="848"/>
        <v>Ecart négatif</v>
      </c>
      <c r="L5395" s="16">
        <f>base!X5395</f>
        <v>0</v>
      </c>
      <c r="M5395" s="11">
        <f t="shared" si="844"/>
        <v>0</v>
      </c>
      <c r="N5395" s="11">
        <f t="shared" si="845"/>
        <v>7.6</v>
      </c>
      <c r="O5395" s="11">
        <f t="shared" si="846"/>
        <v>0.19</v>
      </c>
      <c r="P5395" s="12">
        <f t="shared" si="847"/>
        <v>-7.6</v>
      </c>
      <c r="Q5395" s="17" t="str">
        <f t="shared" si="849"/>
        <v>Ecart négatif</v>
      </c>
    </row>
    <row r="5396" spans="1:18" x14ac:dyDescent="0.3">
      <c r="A5396" s="34" t="str">
        <f>base!J5396</f>
        <v>RM</v>
      </c>
      <c r="B5396" s="34" t="str">
        <f>base!V5396</f>
        <v>89100</v>
      </c>
      <c r="C5396" s="37">
        <v>89</v>
      </c>
      <c r="D5396" s="36">
        <f>base!H5396</f>
        <v>70</v>
      </c>
      <c r="E5396" s="44"/>
      <c r="F5396" s="16">
        <f>base!W5396</f>
        <v>0</v>
      </c>
      <c r="G5396" s="11">
        <f t="shared" si="840"/>
        <v>0</v>
      </c>
      <c r="H5396" s="11">
        <f t="shared" si="841"/>
        <v>16.100000000000001</v>
      </c>
      <c r="I5396" s="11">
        <f t="shared" si="842"/>
        <v>0.23</v>
      </c>
      <c r="J5396" s="12">
        <f t="shared" si="843"/>
        <v>-16.100000000000001</v>
      </c>
      <c r="K5396" s="17" t="str">
        <f t="shared" si="848"/>
        <v>Ecart négatif</v>
      </c>
      <c r="L5396" s="16">
        <f>base!X5396</f>
        <v>8.4</v>
      </c>
      <c r="M5396" s="11">
        <f t="shared" si="844"/>
        <v>0.12000000000000001</v>
      </c>
      <c r="N5396" s="11">
        <f t="shared" si="845"/>
        <v>8.4</v>
      </c>
      <c r="O5396" s="11">
        <f t="shared" si="846"/>
        <v>0.12000000000000001</v>
      </c>
      <c r="P5396" s="12">
        <f t="shared" si="847"/>
        <v>0</v>
      </c>
      <c r="Q5396" s="17" t="str">
        <f t="shared" si="849"/>
        <v>Pas d'écart</v>
      </c>
      <c r="R5396" s="38"/>
    </row>
    <row r="5397" spans="1:18" x14ac:dyDescent="0.3">
      <c r="A5397" s="34" t="str">
        <f>base!J5397</f>
        <v>RM</v>
      </c>
      <c r="B5397" s="34" t="str">
        <f>base!V5397</f>
        <v>89100</v>
      </c>
      <c r="C5397" s="37">
        <v>89</v>
      </c>
      <c r="D5397" s="36">
        <f>base!H5397</f>
        <v>70</v>
      </c>
      <c r="E5397" s="44"/>
      <c r="F5397" s="16">
        <f>base!W5397</f>
        <v>0</v>
      </c>
      <c r="G5397" s="11">
        <f t="shared" si="840"/>
        <v>0</v>
      </c>
      <c r="H5397" s="11">
        <f t="shared" si="841"/>
        <v>16.100000000000001</v>
      </c>
      <c r="I5397" s="11">
        <f t="shared" si="842"/>
        <v>0.23</v>
      </c>
      <c r="J5397" s="12">
        <f t="shared" si="843"/>
        <v>-16.100000000000001</v>
      </c>
      <c r="K5397" s="17" t="str">
        <f t="shared" si="848"/>
        <v>Ecart négatif</v>
      </c>
      <c r="L5397" s="16">
        <f>base!X5397</f>
        <v>8.4</v>
      </c>
      <c r="M5397" s="11">
        <f t="shared" si="844"/>
        <v>0.12000000000000001</v>
      </c>
      <c r="N5397" s="11">
        <f t="shared" si="845"/>
        <v>8.4</v>
      </c>
      <c r="O5397" s="11">
        <f t="shared" si="846"/>
        <v>0.12000000000000001</v>
      </c>
      <c r="P5397" s="12">
        <f t="shared" si="847"/>
        <v>0</v>
      </c>
      <c r="Q5397" s="17" t="str">
        <f t="shared" si="849"/>
        <v>Pas d'écart</v>
      </c>
      <c r="R5397" s="38"/>
    </row>
    <row r="5398" spans="1:18" x14ac:dyDescent="0.3">
      <c r="A5398" s="34" t="str">
        <f>base!J5398</f>
        <v>RM</v>
      </c>
      <c r="B5398" s="34" t="str">
        <f>base!V5398</f>
        <v>83190</v>
      </c>
      <c r="C5398" s="37">
        <v>83</v>
      </c>
      <c r="D5398" s="36">
        <f>base!H5398</f>
        <v>400</v>
      </c>
      <c r="E5398" s="44"/>
      <c r="F5398" s="16">
        <f>base!W5398</f>
        <v>0</v>
      </c>
      <c r="G5398" s="11">
        <f t="shared" si="840"/>
        <v>0</v>
      </c>
      <c r="H5398" s="11">
        <f t="shared" si="841"/>
        <v>120</v>
      </c>
      <c r="I5398" s="11">
        <f t="shared" si="842"/>
        <v>0.3</v>
      </c>
      <c r="J5398" s="12">
        <f t="shared" si="843"/>
        <v>-120</v>
      </c>
      <c r="K5398" s="17" t="str">
        <f t="shared" si="848"/>
        <v>Ecart négatif</v>
      </c>
      <c r="L5398" s="16">
        <f>base!X5398</f>
        <v>0</v>
      </c>
      <c r="M5398" s="11">
        <f t="shared" si="844"/>
        <v>0</v>
      </c>
      <c r="N5398" s="11">
        <f t="shared" si="845"/>
        <v>84</v>
      </c>
      <c r="O5398" s="11">
        <f t="shared" si="846"/>
        <v>0.21</v>
      </c>
      <c r="P5398" s="12">
        <f t="shared" si="847"/>
        <v>-84</v>
      </c>
      <c r="Q5398" s="17" t="str">
        <f t="shared" si="849"/>
        <v>Ecart négatif</v>
      </c>
    </row>
    <row r="5399" spans="1:18" x14ac:dyDescent="0.3">
      <c r="A5399" s="34" t="str">
        <f>base!J5399</f>
        <v>LS</v>
      </c>
      <c r="B5399" s="34" t="str">
        <f>base!V5399</f>
        <v>57155</v>
      </c>
      <c r="C5399" s="37">
        <v>38</v>
      </c>
      <c r="D5399" s="36">
        <f>base!H5399</f>
        <v>156.65</v>
      </c>
      <c r="E5399" s="44"/>
      <c r="F5399" s="16">
        <f>base!W5399</f>
        <v>39.159999999999997</v>
      </c>
      <c r="G5399" s="11">
        <f t="shared" si="840"/>
        <v>0.24998404085541012</v>
      </c>
      <c r="H5399" s="11">
        <f t="shared" si="841"/>
        <v>42.295500000000004</v>
      </c>
      <c r="I5399" s="11">
        <f t="shared" si="842"/>
        <v>0.27</v>
      </c>
      <c r="J5399" s="12">
        <f t="shared" si="843"/>
        <v>-3.1355000000000075</v>
      </c>
      <c r="K5399" s="17" t="str">
        <f t="shared" si="848"/>
        <v>Ecart négatif</v>
      </c>
      <c r="L5399" s="16">
        <f>base!X5399</f>
        <v>0</v>
      </c>
      <c r="M5399" s="11">
        <f t="shared" si="844"/>
        <v>0</v>
      </c>
      <c r="N5399" s="11">
        <f t="shared" si="845"/>
        <v>0</v>
      </c>
      <c r="O5399" s="11">
        <f t="shared" si="846"/>
        <v>0</v>
      </c>
      <c r="P5399" s="12">
        <f t="shared" si="847"/>
        <v>0</v>
      </c>
      <c r="Q5399" s="17" t="str">
        <f t="shared" si="849"/>
        <v>Pas d'écart</v>
      </c>
    </row>
    <row r="5400" spans="1:18" x14ac:dyDescent="0.3">
      <c r="A5400" s="34" t="str">
        <f>base!J5400</f>
        <v>RS</v>
      </c>
      <c r="B5400" s="34" t="str">
        <f>base!V5400</f>
        <v>51470</v>
      </c>
      <c r="C5400" s="37">
        <v>51</v>
      </c>
      <c r="D5400" s="36">
        <f>base!H5400</f>
        <v>180</v>
      </c>
      <c r="E5400" s="44"/>
      <c r="F5400" s="16">
        <f>base!W5400</f>
        <v>0</v>
      </c>
      <c r="G5400" s="11">
        <f t="shared" si="840"/>
        <v>0</v>
      </c>
      <c r="H5400" s="11">
        <f t="shared" si="841"/>
        <v>45</v>
      </c>
      <c r="I5400" s="11">
        <f t="shared" si="842"/>
        <v>0.25</v>
      </c>
      <c r="J5400" s="12">
        <f t="shared" si="843"/>
        <v>-45</v>
      </c>
      <c r="K5400" s="17" t="str">
        <f t="shared" si="848"/>
        <v>Ecart négatif</v>
      </c>
      <c r="L5400" s="16">
        <f>base!X5400</f>
        <v>45</v>
      </c>
      <c r="M5400" s="11">
        <f t="shared" si="844"/>
        <v>0.25</v>
      </c>
      <c r="N5400" s="11">
        <f t="shared" si="845"/>
        <v>45</v>
      </c>
      <c r="O5400" s="11">
        <f t="shared" si="846"/>
        <v>0.25</v>
      </c>
      <c r="P5400" s="12">
        <f t="shared" si="847"/>
        <v>0</v>
      </c>
      <c r="Q5400" s="17" t="str">
        <f t="shared" si="849"/>
        <v>Pas d'écart</v>
      </c>
    </row>
    <row r="5401" spans="1:18" x14ac:dyDescent="0.3">
      <c r="A5401" s="34" t="str">
        <f>base!J5401</f>
        <v>RS</v>
      </c>
      <c r="B5401" s="34" t="str">
        <f>base!V5401</f>
        <v>83190</v>
      </c>
      <c r="C5401" s="37">
        <v>83</v>
      </c>
      <c r="D5401" s="36">
        <f>base!H5401</f>
        <v>70</v>
      </c>
      <c r="E5401" s="44"/>
      <c r="F5401" s="16">
        <f>base!W5401</f>
        <v>0</v>
      </c>
      <c r="G5401" s="11">
        <f t="shared" si="840"/>
        <v>0</v>
      </c>
      <c r="H5401" s="11">
        <f t="shared" si="841"/>
        <v>21</v>
      </c>
      <c r="I5401" s="11">
        <f t="shared" si="842"/>
        <v>0.3</v>
      </c>
      <c r="J5401" s="12">
        <f t="shared" si="843"/>
        <v>-21</v>
      </c>
      <c r="K5401" s="17" t="str">
        <f t="shared" si="848"/>
        <v>Ecart négatif</v>
      </c>
      <c r="L5401" s="16">
        <f>base!X5401</f>
        <v>0</v>
      </c>
      <c r="M5401" s="11">
        <f t="shared" si="844"/>
        <v>0</v>
      </c>
      <c r="N5401" s="11">
        <f t="shared" si="845"/>
        <v>14.7</v>
      </c>
      <c r="O5401" s="11">
        <f t="shared" si="846"/>
        <v>0.21</v>
      </c>
      <c r="P5401" s="12">
        <f t="shared" si="847"/>
        <v>-14.7</v>
      </c>
      <c r="Q5401" s="17" t="str">
        <f t="shared" si="849"/>
        <v>Ecart négatif</v>
      </c>
    </row>
    <row r="5402" spans="1:18" x14ac:dyDescent="0.3">
      <c r="A5402" s="34" t="str">
        <f>base!J5402</f>
        <v>DRM</v>
      </c>
      <c r="B5402" s="34" t="str">
        <f>base!V5402</f>
        <v>69441</v>
      </c>
      <c r="C5402" s="37">
        <v>69</v>
      </c>
      <c r="D5402" s="36">
        <f>base!H5402</f>
        <v>151</v>
      </c>
      <c r="E5402" s="44"/>
      <c r="F5402" s="16">
        <f>base!W5402</f>
        <v>0</v>
      </c>
      <c r="G5402" s="11">
        <f t="shared" si="840"/>
        <v>0</v>
      </c>
      <c r="H5402" s="11">
        <f t="shared" si="841"/>
        <v>40.770000000000003</v>
      </c>
      <c r="I5402" s="11">
        <f t="shared" si="842"/>
        <v>0.27</v>
      </c>
      <c r="J5402" s="12">
        <f t="shared" si="843"/>
        <v>-40.770000000000003</v>
      </c>
      <c r="K5402" s="17" t="str">
        <f t="shared" si="848"/>
        <v>Ecart négatif</v>
      </c>
      <c r="L5402" s="16">
        <f>base!X5402</f>
        <v>0</v>
      </c>
      <c r="M5402" s="11">
        <f t="shared" si="844"/>
        <v>0</v>
      </c>
      <c r="N5402" s="11">
        <f t="shared" si="845"/>
        <v>0</v>
      </c>
      <c r="O5402" s="11">
        <f t="shared" si="846"/>
        <v>0</v>
      </c>
      <c r="P5402" s="12">
        <f t="shared" si="847"/>
        <v>0</v>
      </c>
      <c r="Q5402" s="17" t="str">
        <f t="shared" si="849"/>
        <v>Pas d'écart</v>
      </c>
    </row>
    <row r="5403" spans="1:18" x14ac:dyDescent="0.3">
      <c r="A5403" s="34" t="str">
        <f>base!J5403</f>
        <v>RS</v>
      </c>
      <c r="B5403" s="34" t="str">
        <f>base!V5403</f>
        <v>37210</v>
      </c>
      <c r="C5403" s="37">
        <v>37</v>
      </c>
      <c r="D5403" s="36">
        <f>base!H5403</f>
        <v>7.68</v>
      </c>
      <c r="E5403" s="44"/>
      <c r="F5403" s="16">
        <f>base!W5403</f>
        <v>0</v>
      </c>
      <c r="G5403" s="11">
        <f t="shared" si="840"/>
        <v>0</v>
      </c>
      <c r="H5403" s="11">
        <f t="shared" si="841"/>
        <v>1.4592000000000001</v>
      </c>
      <c r="I5403" s="11">
        <f t="shared" si="842"/>
        <v>0.19</v>
      </c>
      <c r="J5403" s="12">
        <f t="shared" si="843"/>
        <v>-1.4592000000000001</v>
      </c>
      <c r="K5403" s="17" t="str">
        <f t="shared" si="848"/>
        <v>Ecart négatif</v>
      </c>
      <c r="L5403" s="16">
        <f>base!X5403</f>
        <v>1.61</v>
      </c>
      <c r="M5403" s="11">
        <f t="shared" si="844"/>
        <v>0.20963541666666669</v>
      </c>
      <c r="N5403" s="11">
        <f t="shared" si="845"/>
        <v>0.92159999999999997</v>
      </c>
      <c r="O5403" s="11">
        <f t="shared" si="846"/>
        <v>0.12</v>
      </c>
      <c r="P5403" s="12">
        <f t="shared" si="847"/>
        <v>0.68840000000000012</v>
      </c>
      <c r="Q5403" s="17" t="str">
        <f t="shared" si="849"/>
        <v>Ecart positif</v>
      </c>
      <c r="R5403" s="38"/>
    </row>
    <row r="5404" spans="1:18" x14ac:dyDescent="0.3">
      <c r="A5404" s="34" t="str">
        <f>base!J5404</f>
        <v>LS</v>
      </c>
      <c r="B5404" s="34" t="str">
        <f>base!V5404</f>
        <v>91160</v>
      </c>
      <c r="C5404" s="37">
        <v>91</v>
      </c>
      <c r="D5404" s="36">
        <f>base!H5404</f>
        <v>186</v>
      </c>
      <c r="E5404" s="44"/>
      <c r="F5404" s="16">
        <f>base!W5404</f>
        <v>0</v>
      </c>
      <c r="G5404" s="11">
        <f t="shared" si="840"/>
        <v>0</v>
      </c>
      <c r="H5404" s="11">
        <f t="shared" si="841"/>
        <v>0</v>
      </c>
      <c r="I5404" s="11">
        <f t="shared" si="842"/>
        <v>0</v>
      </c>
      <c r="J5404" s="12">
        <f t="shared" si="843"/>
        <v>0</v>
      </c>
      <c r="K5404" s="17" t="str">
        <f t="shared" si="848"/>
        <v>Pas d'écart</v>
      </c>
      <c r="L5404" s="16">
        <f>base!X5404</f>
        <v>0</v>
      </c>
      <c r="M5404" s="11">
        <f t="shared" si="844"/>
        <v>0</v>
      </c>
      <c r="N5404" s="11">
        <f t="shared" si="845"/>
        <v>0</v>
      </c>
      <c r="O5404" s="11">
        <f t="shared" si="846"/>
        <v>0</v>
      </c>
      <c r="P5404" s="12">
        <f t="shared" si="847"/>
        <v>0</v>
      </c>
      <c r="Q5404" s="17" t="str">
        <f t="shared" si="849"/>
        <v>Pas d'écart</v>
      </c>
    </row>
    <row r="5405" spans="1:18" x14ac:dyDescent="0.3">
      <c r="A5405" s="34" t="str">
        <f>base!J5405</f>
        <v>RS</v>
      </c>
      <c r="B5405" s="34" t="str">
        <f>base!V5405</f>
        <v>50200</v>
      </c>
      <c r="C5405" s="37">
        <v>50</v>
      </c>
      <c r="D5405" s="36">
        <f>base!H5405</f>
        <v>18.8</v>
      </c>
      <c r="E5405" s="44"/>
      <c r="F5405" s="16">
        <f>base!W5405</f>
        <v>0</v>
      </c>
      <c r="G5405" s="11">
        <f t="shared" si="840"/>
        <v>0</v>
      </c>
      <c r="H5405" s="11">
        <f t="shared" si="841"/>
        <v>3.1960000000000002</v>
      </c>
      <c r="I5405" s="11">
        <f t="shared" si="842"/>
        <v>0.17</v>
      </c>
      <c r="J5405" s="12">
        <f t="shared" si="843"/>
        <v>-3.1960000000000002</v>
      </c>
      <c r="K5405" s="17" t="str">
        <f t="shared" si="848"/>
        <v>Ecart négatif</v>
      </c>
      <c r="L5405" s="16">
        <f>base!X5405</f>
        <v>3.2</v>
      </c>
      <c r="M5405" s="11">
        <f t="shared" si="844"/>
        <v>0.1702127659574468</v>
      </c>
      <c r="N5405" s="11">
        <f t="shared" si="845"/>
        <v>3.1960000000000002</v>
      </c>
      <c r="O5405" s="11">
        <f t="shared" si="846"/>
        <v>0.17</v>
      </c>
      <c r="P5405" s="12">
        <f t="shared" si="847"/>
        <v>4.0000000000000036E-3</v>
      </c>
      <c r="Q5405" s="17" t="str">
        <f t="shared" si="849"/>
        <v>Ecart positif</v>
      </c>
      <c r="R5405" s="38"/>
    </row>
    <row r="5406" spans="1:18" x14ac:dyDescent="0.3">
      <c r="A5406" s="34" t="str">
        <f>base!J5406</f>
        <v>RS</v>
      </c>
      <c r="B5406" s="34" t="str">
        <f>base!V5406</f>
        <v>69800</v>
      </c>
      <c r="C5406" s="37">
        <v>69</v>
      </c>
      <c r="D5406" s="36">
        <f>base!H5406</f>
        <v>140</v>
      </c>
      <c r="E5406" s="44"/>
      <c r="F5406" s="16">
        <f>base!W5406</f>
        <v>0</v>
      </c>
      <c r="G5406" s="11">
        <f t="shared" si="840"/>
        <v>0</v>
      </c>
      <c r="H5406" s="11">
        <f t="shared" si="841"/>
        <v>37.800000000000004</v>
      </c>
      <c r="I5406" s="11">
        <f t="shared" si="842"/>
        <v>0.27</v>
      </c>
      <c r="J5406" s="12">
        <f t="shared" si="843"/>
        <v>-37.800000000000004</v>
      </c>
      <c r="K5406" s="17" t="str">
        <f t="shared" si="848"/>
        <v>Ecart négatif</v>
      </c>
      <c r="L5406" s="16">
        <f>base!X5406</f>
        <v>0</v>
      </c>
      <c r="M5406" s="11">
        <f t="shared" si="844"/>
        <v>0</v>
      </c>
      <c r="N5406" s="11">
        <f t="shared" si="845"/>
        <v>0</v>
      </c>
      <c r="O5406" s="11">
        <f t="shared" si="846"/>
        <v>0</v>
      </c>
      <c r="P5406" s="12">
        <f t="shared" si="847"/>
        <v>0</v>
      </c>
      <c r="Q5406" s="17" t="str">
        <f t="shared" si="849"/>
        <v>Pas d'écart</v>
      </c>
    </row>
    <row r="5407" spans="1:18" x14ac:dyDescent="0.3">
      <c r="A5407" s="34" t="str">
        <f>base!J5407</f>
        <v>LM</v>
      </c>
      <c r="B5407" s="34" t="str">
        <f>base!V5407</f>
        <v>94547</v>
      </c>
      <c r="C5407" s="37">
        <v>94</v>
      </c>
      <c r="D5407" s="36">
        <f>base!H5407</f>
        <v>28.5</v>
      </c>
      <c r="E5407" s="44"/>
      <c r="F5407" s="16">
        <f>base!W5407</f>
        <v>0</v>
      </c>
      <c r="G5407" s="11">
        <f t="shared" si="840"/>
        <v>0</v>
      </c>
      <c r="H5407" s="11">
        <f t="shared" si="841"/>
        <v>0</v>
      </c>
      <c r="I5407" s="11">
        <f t="shared" si="842"/>
        <v>0</v>
      </c>
      <c r="J5407" s="12">
        <f t="shared" si="843"/>
        <v>0</v>
      </c>
      <c r="K5407" s="17" t="str">
        <f t="shared" si="848"/>
        <v>Pas d'écart</v>
      </c>
      <c r="L5407" s="16">
        <f>base!X5407</f>
        <v>0</v>
      </c>
      <c r="M5407" s="11">
        <f t="shared" si="844"/>
        <v>0</v>
      </c>
      <c r="N5407" s="11">
        <f t="shared" si="845"/>
        <v>0</v>
      </c>
      <c r="O5407" s="11">
        <f t="shared" si="846"/>
        <v>0</v>
      </c>
      <c r="P5407" s="12">
        <f t="shared" si="847"/>
        <v>0</v>
      </c>
      <c r="Q5407" s="17" t="str">
        <f t="shared" si="849"/>
        <v>Pas d'écart</v>
      </c>
    </row>
    <row r="5408" spans="1:18" x14ac:dyDescent="0.3">
      <c r="A5408" s="34" t="str">
        <f>base!J5408</f>
        <v>RM</v>
      </c>
      <c r="B5408" s="34" t="str">
        <f>base!V5408</f>
        <v>70000</v>
      </c>
      <c r="C5408" s="37">
        <v>70</v>
      </c>
      <c r="D5408" s="36">
        <f>base!H5408</f>
        <v>33</v>
      </c>
      <c r="E5408" s="44"/>
      <c r="F5408" s="16">
        <f>base!W5408</f>
        <v>0</v>
      </c>
      <c r="G5408" s="11">
        <f t="shared" si="840"/>
        <v>0</v>
      </c>
      <c r="H5408" s="11">
        <f t="shared" si="841"/>
        <v>7.92</v>
      </c>
      <c r="I5408" s="11">
        <f t="shared" si="842"/>
        <v>0.24</v>
      </c>
      <c r="J5408" s="12">
        <f t="shared" si="843"/>
        <v>-7.92</v>
      </c>
      <c r="K5408" s="17" t="str">
        <f t="shared" si="848"/>
        <v>Ecart négatif</v>
      </c>
      <c r="L5408" s="16">
        <f>base!X5408</f>
        <v>0</v>
      </c>
      <c r="M5408" s="11">
        <f t="shared" si="844"/>
        <v>0</v>
      </c>
      <c r="N5408" s="11">
        <f t="shared" si="845"/>
        <v>3.96</v>
      </c>
      <c r="O5408" s="11">
        <f t="shared" si="846"/>
        <v>0.12</v>
      </c>
      <c r="P5408" s="12">
        <f t="shared" si="847"/>
        <v>-3.96</v>
      </c>
      <c r="Q5408" s="17" t="str">
        <f t="shared" si="849"/>
        <v>Ecart négatif</v>
      </c>
    </row>
    <row r="5409" spans="1:18" x14ac:dyDescent="0.3">
      <c r="A5409" s="34" t="str">
        <f>base!J5409</f>
        <v>RM</v>
      </c>
      <c r="B5409" s="34" t="str">
        <f>base!V5409</f>
        <v>69200</v>
      </c>
      <c r="C5409" s="37">
        <v>69</v>
      </c>
      <c r="D5409" s="36">
        <f>base!H5409</f>
        <v>25</v>
      </c>
      <c r="E5409" s="44"/>
      <c r="F5409" s="16">
        <f>base!W5409</f>
        <v>0</v>
      </c>
      <c r="G5409" s="11">
        <f t="shared" si="840"/>
        <v>0</v>
      </c>
      <c r="H5409" s="11">
        <f t="shared" si="841"/>
        <v>6.75</v>
      </c>
      <c r="I5409" s="11">
        <f t="shared" si="842"/>
        <v>0.27</v>
      </c>
      <c r="J5409" s="12">
        <f t="shared" si="843"/>
        <v>-6.75</v>
      </c>
      <c r="K5409" s="17" t="str">
        <f t="shared" si="848"/>
        <v>Ecart négatif</v>
      </c>
      <c r="L5409" s="16">
        <f>base!X5409</f>
        <v>0</v>
      </c>
      <c r="M5409" s="11">
        <f t="shared" si="844"/>
        <v>0</v>
      </c>
      <c r="N5409" s="11">
        <f t="shared" si="845"/>
        <v>0</v>
      </c>
      <c r="O5409" s="11">
        <f t="shared" si="846"/>
        <v>0</v>
      </c>
      <c r="P5409" s="12">
        <f t="shared" si="847"/>
        <v>0</v>
      </c>
      <c r="Q5409" s="17" t="str">
        <f t="shared" si="849"/>
        <v>Pas d'écart</v>
      </c>
    </row>
    <row r="5410" spans="1:18" x14ac:dyDescent="0.3">
      <c r="A5410" s="34" t="str">
        <f>base!J5410</f>
        <v>RM</v>
      </c>
      <c r="B5410" s="34" t="str">
        <f>base!V5410</f>
        <v>69200</v>
      </c>
      <c r="C5410" s="37">
        <v>69</v>
      </c>
      <c r="D5410" s="36">
        <f>base!H5410</f>
        <v>25</v>
      </c>
      <c r="E5410" s="44"/>
      <c r="F5410" s="16">
        <f>base!W5410</f>
        <v>0</v>
      </c>
      <c r="G5410" s="11">
        <f t="shared" si="840"/>
        <v>0</v>
      </c>
      <c r="H5410" s="11">
        <f t="shared" si="841"/>
        <v>6.75</v>
      </c>
      <c r="I5410" s="11">
        <f t="shared" si="842"/>
        <v>0.27</v>
      </c>
      <c r="J5410" s="12">
        <f t="shared" si="843"/>
        <v>-6.75</v>
      </c>
      <c r="K5410" s="17" t="str">
        <f t="shared" si="848"/>
        <v>Ecart négatif</v>
      </c>
      <c r="L5410" s="16">
        <f>base!X5410</f>
        <v>0</v>
      </c>
      <c r="M5410" s="11">
        <f t="shared" si="844"/>
        <v>0</v>
      </c>
      <c r="N5410" s="11">
        <f t="shared" si="845"/>
        <v>0</v>
      </c>
      <c r="O5410" s="11">
        <f t="shared" si="846"/>
        <v>0</v>
      </c>
      <c r="P5410" s="12">
        <f t="shared" si="847"/>
        <v>0</v>
      </c>
      <c r="Q5410" s="17" t="str">
        <f t="shared" si="849"/>
        <v>Pas d'écart</v>
      </c>
    </row>
    <row r="5411" spans="1:18" x14ac:dyDescent="0.3">
      <c r="A5411" s="34" t="str">
        <f>base!J5411</f>
        <v>LM</v>
      </c>
      <c r="B5411" s="34" t="str">
        <f>base!V5411</f>
        <v>92000</v>
      </c>
      <c r="C5411" s="37">
        <v>92</v>
      </c>
      <c r="D5411" s="36">
        <f>base!H5411</f>
        <v>50.84</v>
      </c>
      <c r="E5411" s="44"/>
      <c r="F5411" s="16">
        <f>base!W5411</f>
        <v>0</v>
      </c>
      <c r="G5411" s="11">
        <f t="shared" si="840"/>
        <v>0</v>
      </c>
      <c r="H5411" s="11">
        <f t="shared" si="841"/>
        <v>0</v>
      </c>
      <c r="I5411" s="11">
        <f t="shared" si="842"/>
        <v>0</v>
      </c>
      <c r="J5411" s="12">
        <f t="shared" si="843"/>
        <v>0</v>
      </c>
      <c r="K5411" s="17" t="str">
        <f t="shared" si="848"/>
        <v>Pas d'écart</v>
      </c>
      <c r="L5411" s="16">
        <f>base!X5411</f>
        <v>0</v>
      </c>
      <c r="M5411" s="11">
        <f t="shared" si="844"/>
        <v>0</v>
      </c>
      <c r="N5411" s="11">
        <f t="shared" si="845"/>
        <v>0</v>
      </c>
      <c r="O5411" s="11">
        <f t="shared" si="846"/>
        <v>0</v>
      </c>
      <c r="P5411" s="12">
        <f t="shared" si="847"/>
        <v>0</v>
      </c>
      <c r="Q5411" s="17" t="str">
        <f t="shared" si="849"/>
        <v>Pas d'écart</v>
      </c>
    </row>
    <row r="5412" spans="1:18" x14ac:dyDescent="0.3">
      <c r="A5412" s="34" t="str">
        <f>base!J5412</f>
        <v>LM</v>
      </c>
      <c r="B5412" s="34" t="str">
        <f>base!V5412</f>
        <v>92000</v>
      </c>
      <c r="C5412" s="37">
        <v>92</v>
      </c>
      <c r="D5412" s="36">
        <f>base!H5412</f>
        <v>50.84</v>
      </c>
      <c r="E5412" s="44"/>
      <c r="F5412" s="16">
        <f>base!W5412</f>
        <v>0</v>
      </c>
      <c r="G5412" s="11">
        <f t="shared" si="840"/>
        <v>0</v>
      </c>
      <c r="H5412" s="11">
        <f t="shared" si="841"/>
        <v>0</v>
      </c>
      <c r="I5412" s="11">
        <f t="shared" si="842"/>
        <v>0</v>
      </c>
      <c r="J5412" s="12">
        <f t="shared" si="843"/>
        <v>0</v>
      </c>
      <c r="K5412" s="17" t="str">
        <f t="shared" si="848"/>
        <v>Pas d'écart</v>
      </c>
      <c r="L5412" s="16">
        <f>base!X5412</f>
        <v>0</v>
      </c>
      <c r="M5412" s="11">
        <f t="shared" si="844"/>
        <v>0</v>
      </c>
      <c r="N5412" s="11">
        <f t="shared" si="845"/>
        <v>0</v>
      </c>
      <c r="O5412" s="11">
        <f t="shared" si="846"/>
        <v>0</v>
      </c>
      <c r="P5412" s="12">
        <f t="shared" si="847"/>
        <v>0</v>
      </c>
      <c r="Q5412" s="17" t="str">
        <f t="shared" si="849"/>
        <v>Pas d'écart</v>
      </c>
    </row>
    <row r="5413" spans="1:18" x14ac:dyDescent="0.3">
      <c r="A5413" s="34" t="str">
        <f>base!J5413</f>
        <v>RS</v>
      </c>
      <c r="B5413" s="34" t="str">
        <f>base!V5413</f>
        <v>88100</v>
      </c>
      <c r="C5413" s="37">
        <v>88</v>
      </c>
      <c r="D5413" s="36">
        <f>base!H5413</f>
        <v>109.06</v>
      </c>
      <c r="E5413" s="44"/>
      <c r="F5413" s="16">
        <f>base!W5413</f>
        <v>0</v>
      </c>
      <c r="G5413" s="11">
        <f t="shared" si="840"/>
        <v>0</v>
      </c>
      <c r="H5413" s="11">
        <f t="shared" si="841"/>
        <v>30.536800000000003</v>
      </c>
      <c r="I5413" s="11">
        <f t="shared" si="842"/>
        <v>0.28000000000000003</v>
      </c>
      <c r="J5413" s="12">
        <f t="shared" si="843"/>
        <v>-30.536800000000003</v>
      </c>
      <c r="K5413" s="17" t="str">
        <f t="shared" si="848"/>
        <v>Ecart négatif</v>
      </c>
      <c r="L5413" s="16">
        <f>base!X5413</f>
        <v>8.7200000000000006</v>
      </c>
      <c r="M5413" s="11">
        <f t="shared" si="844"/>
        <v>7.9955987529800113E-2</v>
      </c>
      <c r="N5413" s="11">
        <f t="shared" si="845"/>
        <v>8.7248000000000001</v>
      </c>
      <c r="O5413" s="11">
        <f t="shared" si="846"/>
        <v>0.08</v>
      </c>
      <c r="P5413" s="12">
        <f t="shared" si="847"/>
        <v>-4.7999999999994714E-3</v>
      </c>
      <c r="Q5413" s="17" t="str">
        <f t="shared" si="849"/>
        <v>Ecart négatif</v>
      </c>
      <c r="R5413" s="38"/>
    </row>
    <row r="5414" spans="1:18" x14ac:dyDescent="0.3">
      <c r="A5414" s="34" t="str">
        <f>base!J5414</f>
        <v>RM</v>
      </c>
      <c r="B5414" s="34" t="str">
        <f>base!V5414</f>
        <v>45120</v>
      </c>
      <c r="C5414" s="37">
        <v>45</v>
      </c>
      <c r="D5414" s="36">
        <f>base!H5414</f>
        <v>173.44</v>
      </c>
      <c r="E5414" s="44"/>
      <c r="F5414" s="16">
        <f>base!W5414</f>
        <v>0</v>
      </c>
      <c r="G5414" s="11">
        <f t="shared" si="840"/>
        <v>0</v>
      </c>
      <c r="H5414" s="11">
        <f t="shared" si="841"/>
        <v>36.422399999999996</v>
      </c>
      <c r="I5414" s="11">
        <f t="shared" si="842"/>
        <v>0.21</v>
      </c>
      <c r="J5414" s="12">
        <f t="shared" si="843"/>
        <v>-36.422399999999996</v>
      </c>
      <c r="K5414" s="17" t="str">
        <f t="shared" si="848"/>
        <v>Ecart négatif</v>
      </c>
      <c r="L5414" s="16">
        <f>base!X5414</f>
        <v>67.64</v>
      </c>
      <c r="M5414" s="11">
        <f t="shared" si="844"/>
        <v>0.38999077490774908</v>
      </c>
      <c r="N5414" s="11">
        <f t="shared" si="845"/>
        <v>20.812799999999999</v>
      </c>
      <c r="O5414" s="11">
        <f t="shared" si="846"/>
        <v>0.12</v>
      </c>
      <c r="P5414" s="12">
        <f t="shared" si="847"/>
        <v>46.827200000000005</v>
      </c>
      <c r="Q5414" s="17" t="str">
        <f t="shared" si="849"/>
        <v>Ecart positif</v>
      </c>
      <c r="R5414" s="38"/>
    </row>
    <row r="5415" spans="1:18" x14ac:dyDescent="0.3">
      <c r="A5415" s="34" t="str">
        <f>base!J5415</f>
        <v>LM</v>
      </c>
      <c r="B5415" s="34" t="str">
        <f>base!V5415</f>
        <v>92000</v>
      </c>
      <c r="C5415" s="37">
        <v>92</v>
      </c>
      <c r="D5415" s="36">
        <f>base!H5415</f>
        <v>50.84</v>
      </c>
      <c r="E5415" s="44"/>
      <c r="F5415" s="16">
        <f>base!W5415</f>
        <v>0</v>
      </c>
      <c r="G5415" s="11">
        <f t="shared" si="840"/>
        <v>0</v>
      </c>
      <c r="H5415" s="11">
        <f t="shared" si="841"/>
        <v>0</v>
      </c>
      <c r="I5415" s="11">
        <f t="shared" si="842"/>
        <v>0</v>
      </c>
      <c r="J5415" s="12">
        <f t="shared" si="843"/>
        <v>0</v>
      </c>
      <c r="K5415" s="17" t="str">
        <f t="shared" si="848"/>
        <v>Pas d'écart</v>
      </c>
      <c r="L5415" s="16">
        <f>base!X5415</f>
        <v>0</v>
      </c>
      <c r="M5415" s="11">
        <f t="shared" si="844"/>
        <v>0</v>
      </c>
      <c r="N5415" s="11">
        <f t="shared" si="845"/>
        <v>0</v>
      </c>
      <c r="O5415" s="11">
        <f t="shared" si="846"/>
        <v>0</v>
      </c>
      <c r="P5415" s="12">
        <f t="shared" si="847"/>
        <v>0</v>
      </c>
      <c r="Q5415" s="17" t="str">
        <f t="shared" si="849"/>
        <v>Pas d'écart</v>
      </c>
    </row>
    <row r="5416" spans="1:18" x14ac:dyDescent="0.3">
      <c r="A5416" s="34" t="str">
        <f>base!J5416</f>
        <v>LM</v>
      </c>
      <c r="B5416" s="34" t="str">
        <f>base!V5416</f>
        <v>92000</v>
      </c>
      <c r="C5416" s="37">
        <v>92</v>
      </c>
      <c r="D5416" s="36">
        <f>base!H5416</f>
        <v>50.84</v>
      </c>
      <c r="E5416" s="44"/>
      <c r="F5416" s="16">
        <f>base!W5416</f>
        <v>0</v>
      </c>
      <c r="G5416" s="11">
        <f t="shared" si="840"/>
        <v>0</v>
      </c>
      <c r="H5416" s="11">
        <f t="shared" si="841"/>
        <v>0</v>
      </c>
      <c r="I5416" s="11">
        <f t="shared" si="842"/>
        <v>0</v>
      </c>
      <c r="J5416" s="12">
        <f t="shared" si="843"/>
        <v>0</v>
      </c>
      <c r="K5416" s="17" t="str">
        <f t="shared" si="848"/>
        <v>Pas d'écart</v>
      </c>
      <c r="L5416" s="16">
        <f>base!X5416</f>
        <v>0</v>
      </c>
      <c r="M5416" s="11">
        <f t="shared" si="844"/>
        <v>0</v>
      </c>
      <c r="N5416" s="11">
        <f t="shared" si="845"/>
        <v>0</v>
      </c>
      <c r="O5416" s="11">
        <f t="shared" si="846"/>
        <v>0</v>
      </c>
      <c r="P5416" s="12">
        <f t="shared" si="847"/>
        <v>0</v>
      </c>
      <c r="Q5416" s="17" t="str">
        <f t="shared" si="849"/>
        <v>Pas d'écart</v>
      </c>
    </row>
    <row r="5417" spans="1:18" x14ac:dyDescent="0.3">
      <c r="A5417" s="34" t="str">
        <f>base!J5417</f>
        <v>DLM</v>
      </c>
      <c r="B5417" s="34" t="str">
        <f>base!V5417</f>
        <v>83600</v>
      </c>
      <c r="C5417" s="37">
        <v>83</v>
      </c>
      <c r="D5417" s="36">
        <f>base!H5417</f>
        <v>52.5</v>
      </c>
      <c r="E5417" s="44"/>
      <c r="F5417" s="16">
        <f>base!W5417</f>
        <v>0</v>
      </c>
      <c r="G5417" s="11">
        <f t="shared" si="840"/>
        <v>0</v>
      </c>
      <c r="H5417" s="11">
        <f t="shared" si="841"/>
        <v>15.75</v>
      </c>
      <c r="I5417" s="11">
        <f t="shared" si="842"/>
        <v>0.3</v>
      </c>
      <c r="J5417" s="12">
        <f t="shared" si="843"/>
        <v>-15.75</v>
      </c>
      <c r="K5417" s="17" t="str">
        <f t="shared" si="848"/>
        <v>Ecart négatif</v>
      </c>
      <c r="L5417" s="16">
        <f>base!X5417</f>
        <v>0</v>
      </c>
      <c r="M5417" s="11">
        <f t="shared" si="844"/>
        <v>0</v>
      </c>
      <c r="N5417" s="11">
        <f t="shared" si="845"/>
        <v>11.025</v>
      </c>
      <c r="O5417" s="11">
        <f t="shared" si="846"/>
        <v>0.21000000000000002</v>
      </c>
      <c r="P5417" s="12">
        <f t="shared" si="847"/>
        <v>-11.025</v>
      </c>
      <c r="Q5417" s="17" t="str">
        <f t="shared" si="849"/>
        <v>Ecart négatif</v>
      </c>
    </row>
    <row r="5418" spans="1:18" x14ac:dyDescent="0.3">
      <c r="A5418" s="34" t="str">
        <f>base!J5418</f>
        <v>DLM</v>
      </c>
      <c r="B5418" s="34" t="str">
        <f>base!V5418</f>
        <v>38100</v>
      </c>
      <c r="C5418" s="37">
        <v>38</v>
      </c>
      <c r="D5418" s="36">
        <f>base!H5418</f>
        <v>52.5</v>
      </c>
      <c r="E5418" s="44"/>
      <c r="F5418" s="16">
        <f>base!W5418</f>
        <v>0</v>
      </c>
      <c r="G5418" s="11">
        <f t="shared" si="840"/>
        <v>0</v>
      </c>
      <c r="H5418" s="11">
        <f t="shared" si="841"/>
        <v>14.175000000000001</v>
      </c>
      <c r="I5418" s="11">
        <f t="shared" si="842"/>
        <v>0.27</v>
      </c>
      <c r="J5418" s="12">
        <f t="shared" si="843"/>
        <v>-14.175000000000001</v>
      </c>
      <c r="K5418" s="17" t="str">
        <f t="shared" si="848"/>
        <v>Ecart négatif</v>
      </c>
      <c r="L5418" s="16">
        <f>base!X5418</f>
        <v>0</v>
      </c>
      <c r="M5418" s="11">
        <f t="shared" si="844"/>
        <v>0</v>
      </c>
      <c r="N5418" s="11">
        <f t="shared" si="845"/>
        <v>0</v>
      </c>
      <c r="O5418" s="11">
        <f t="shared" si="846"/>
        <v>0</v>
      </c>
      <c r="P5418" s="12">
        <f t="shared" si="847"/>
        <v>0</v>
      </c>
      <c r="Q5418" s="17" t="str">
        <f t="shared" si="849"/>
        <v>Pas d'écart</v>
      </c>
    </row>
    <row r="5419" spans="1:18" x14ac:dyDescent="0.3">
      <c r="A5419" s="34" t="str">
        <f>base!J5419</f>
        <v>DLS</v>
      </c>
      <c r="B5419" s="34" t="str">
        <f>base!V5419</f>
        <v>67400</v>
      </c>
      <c r="C5419" s="37">
        <v>67</v>
      </c>
      <c r="D5419" s="36">
        <f>base!H5419</f>
        <v>52.5</v>
      </c>
      <c r="E5419" s="44"/>
      <c r="F5419" s="16">
        <f>base!W5419</f>
        <v>15.23</v>
      </c>
      <c r="G5419" s="11">
        <f t="shared" si="840"/>
        <v>0.29009523809523813</v>
      </c>
      <c r="H5419" s="11">
        <f t="shared" si="841"/>
        <v>15.225</v>
      </c>
      <c r="I5419" s="11">
        <f t="shared" si="842"/>
        <v>0.28999999999999998</v>
      </c>
      <c r="J5419" s="12">
        <f t="shared" si="843"/>
        <v>5.0000000000007816E-3</v>
      </c>
      <c r="K5419" s="17" t="str">
        <f t="shared" si="848"/>
        <v>Ecart positif</v>
      </c>
      <c r="L5419" s="16">
        <f>base!X5419</f>
        <v>0</v>
      </c>
      <c r="M5419" s="11">
        <f t="shared" si="844"/>
        <v>0</v>
      </c>
      <c r="N5419" s="11">
        <f t="shared" si="845"/>
        <v>4.2</v>
      </c>
      <c r="O5419" s="11">
        <f t="shared" si="846"/>
        <v>0.08</v>
      </c>
      <c r="P5419" s="12">
        <f t="shared" si="847"/>
        <v>-4.2</v>
      </c>
      <c r="Q5419" s="17" t="str">
        <f t="shared" si="849"/>
        <v>Ecart négatif</v>
      </c>
    </row>
    <row r="5420" spans="1:18" x14ac:dyDescent="0.3">
      <c r="A5420" s="34" t="str">
        <f>base!J5420</f>
        <v>DLM</v>
      </c>
      <c r="B5420" s="34" t="str">
        <f>base!V5420</f>
        <v>13013</v>
      </c>
      <c r="C5420" s="37">
        <v>13</v>
      </c>
      <c r="D5420" s="36">
        <f>base!H5420</f>
        <v>52.5</v>
      </c>
      <c r="E5420" s="44"/>
      <c r="F5420" s="16">
        <f>base!W5420</f>
        <v>0</v>
      </c>
      <c r="G5420" s="11">
        <f t="shared" si="840"/>
        <v>0</v>
      </c>
      <c r="H5420" s="11">
        <f t="shared" si="841"/>
        <v>15.225</v>
      </c>
      <c r="I5420" s="11">
        <f t="shared" si="842"/>
        <v>0.28999999999999998</v>
      </c>
      <c r="J5420" s="12">
        <f t="shared" si="843"/>
        <v>-15.225</v>
      </c>
      <c r="K5420" s="17" t="str">
        <f t="shared" si="848"/>
        <v>Ecart négatif</v>
      </c>
      <c r="L5420" s="16">
        <f>base!X5420</f>
        <v>0</v>
      </c>
      <c r="M5420" s="11">
        <f t="shared" si="844"/>
        <v>0</v>
      </c>
      <c r="N5420" s="11">
        <f t="shared" si="845"/>
        <v>9.9749999999999996</v>
      </c>
      <c r="O5420" s="11">
        <f t="shared" si="846"/>
        <v>0.19</v>
      </c>
      <c r="P5420" s="12">
        <f t="shared" si="847"/>
        <v>-9.9749999999999996</v>
      </c>
      <c r="Q5420" s="17" t="str">
        <f t="shared" si="849"/>
        <v>Ecart négatif</v>
      </c>
    </row>
    <row r="5421" spans="1:18" x14ac:dyDescent="0.3">
      <c r="A5421" s="34" t="str">
        <f>base!J5421</f>
        <v>DLM</v>
      </c>
      <c r="B5421" s="34" t="str">
        <f>base!V5421</f>
        <v>59280</v>
      </c>
      <c r="C5421" s="37">
        <v>59</v>
      </c>
      <c r="D5421" s="36">
        <f>base!H5421</f>
        <v>52.5</v>
      </c>
      <c r="E5421" s="44"/>
      <c r="F5421" s="16">
        <f>base!W5421</f>
        <v>0</v>
      </c>
      <c r="G5421" s="11">
        <f t="shared" si="840"/>
        <v>0</v>
      </c>
      <c r="H5421" s="11">
        <f t="shared" si="841"/>
        <v>9.9749999999999996</v>
      </c>
      <c r="I5421" s="11">
        <f t="shared" si="842"/>
        <v>0.19</v>
      </c>
      <c r="J5421" s="12">
        <f t="shared" si="843"/>
        <v>-9.9749999999999996</v>
      </c>
      <c r="K5421" s="17" t="str">
        <f t="shared" si="848"/>
        <v>Ecart négatif</v>
      </c>
      <c r="L5421" s="16">
        <f>base!X5421</f>
        <v>0</v>
      </c>
      <c r="M5421" s="11">
        <f t="shared" si="844"/>
        <v>0</v>
      </c>
      <c r="N5421" s="11">
        <f t="shared" si="845"/>
        <v>0</v>
      </c>
      <c r="O5421" s="11">
        <f t="shared" si="846"/>
        <v>0</v>
      </c>
      <c r="P5421" s="12">
        <f t="shared" si="847"/>
        <v>0</v>
      </c>
      <c r="Q5421" s="17" t="str">
        <f t="shared" si="849"/>
        <v>Pas d'écart</v>
      </c>
    </row>
    <row r="5422" spans="1:18" x14ac:dyDescent="0.3">
      <c r="A5422" s="34" t="str">
        <f>base!J5422</f>
        <v>DLM</v>
      </c>
      <c r="B5422" s="34" t="str">
        <f>base!V5422</f>
        <v>62400</v>
      </c>
      <c r="C5422" s="37">
        <v>62</v>
      </c>
      <c r="D5422" s="36">
        <f>base!H5422</f>
        <v>52.5</v>
      </c>
      <c r="E5422" s="44"/>
      <c r="F5422" s="16">
        <f>base!W5422</f>
        <v>0</v>
      </c>
      <c r="G5422" s="11">
        <f t="shared" si="840"/>
        <v>0</v>
      </c>
      <c r="H5422" s="11">
        <f t="shared" si="841"/>
        <v>9.9749999999999996</v>
      </c>
      <c r="I5422" s="11">
        <f t="shared" si="842"/>
        <v>0.19</v>
      </c>
      <c r="J5422" s="12">
        <f t="shared" si="843"/>
        <v>-9.9749999999999996</v>
      </c>
      <c r="K5422" s="17" t="str">
        <f t="shared" si="848"/>
        <v>Ecart négatif</v>
      </c>
      <c r="L5422" s="16">
        <f>base!X5422</f>
        <v>0</v>
      </c>
      <c r="M5422" s="11">
        <f t="shared" si="844"/>
        <v>0</v>
      </c>
      <c r="N5422" s="11">
        <f t="shared" si="845"/>
        <v>0</v>
      </c>
      <c r="O5422" s="11">
        <f t="shared" si="846"/>
        <v>0</v>
      </c>
      <c r="P5422" s="12">
        <f t="shared" si="847"/>
        <v>0</v>
      </c>
      <c r="Q5422" s="17" t="str">
        <f t="shared" si="849"/>
        <v>Pas d'écart</v>
      </c>
    </row>
    <row r="5423" spans="1:18" x14ac:dyDescent="0.3">
      <c r="A5423" s="34" t="str">
        <f>base!J5423</f>
        <v>DLM</v>
      </c>
      <c r="B5423" s="34" t="str">
        <f>base!V5423</f>
        <v>33150</v>
      </c>
      <c r="C5423" s="37">
        <v>33</v>
      </c>
      <c r="D5423" s="36">
        <f>base!H5423</f>
        <v>52.5</v>
      </c>
      <c r="E5423" s="44"/>
      <c r="F5423" s="16">
        <f>base!W5423</f>
        <v>0</v>
      </c>
      <c r="G5423" s="11">
        <f t="shared" si="840"/>
        <v>0</v>
      </c>
      <c r="H5423" s="11">
        <f t="shared" si="841"/>
        <v>11.025</v>
      </c>
      <c r="I5423" s="11">
        <f t="shared" si="842"/>
        <v>0.21000000000000002</v>
      </c>
      <c r="J5423" s="12">
        <f t="shared" si="843"/>
        <v>-11.025</v>
      </c>
      <c r="K5423" s="17" t="str">
        <f t="shared" si="848"/>
        <v>Ecart négatif</v>
      </c>
      <c r="L5423" s="16">
        <f>base!X5423</f>
        <v>0</v>
      </c>
      <c r="M5423" s="11">
        <f t="shared" si="844"/>
        <v>0</v>
      </c>
      <c r="N5423" s="11">
        <f t="shared" si="845"/>
        <v>8.9250000000000007</v>
      </c>
      <c r="O5423" s="11">
        <f t="shared" si="846"/>
        <v>0.17</v>
      </c>
      <c r="P5423" s="12">
        <f t="shared" si="847"/>
        <v>-8.9250000000000007</v>
      </c>
      <c r="Q5423" s="17" t="str">
        <f t="shared" si="849"/>
        <v>Ecart négatif</v>
      </c>
    </row>
    <row r="5424" spans="1:18" x14ac:dyDescent="0.3">
      <c r="A5424" s="34" t="str">
        <f>base!J5424</f>
        <v>RS</v>
      </c>
      <c r="B5424" s="34" t="str">
        <f>base!V5424</f>
        <v>69120</v>
      </c>
      <c r="C5424" s="37">
        <v>69</v>
      </c>
      <c r="D5424" s="36">
        <f>base!H5424</f>
        <v>30</v>
      </c>
      <c r="E5424" s="44"/>
      <c r="F5424" s="16">
        <f>base!W5424</f>
        <v>0</v>
      </c>
      <c r="G5424" s="11">
        <f t="shared" si="840"/>
        <v>0</v>
      </c>
      <c r="H5424" s="11">
        <f t="shared" si="841"/>
        <v>8.1000000000000014</v>
      </c>
      <c r="I5424" s="11">
        <f t="shared" si="842"/>
        <v>0.27000000000000007</v>
      </c>
      <c r="J5424" s="12">
        <f t="shared" si="843"/>
        <v>-8.1000000000000014</v>
      </c>
      <c r="K5424" s="17" t="str">
        <f t="shared" si="848"/>
        <v>Ecart négatif</v>
      </c>
      <c r="L5424" s="16">
        <f>base!X5424</f>
        <v>0</v>
      </c>
      <c r="M5424" s="11">
        <f t="shared" si="844"/>
        <v>0</v>
      </c>
      <c r="N5424" s="11">
        <f t="shared" si="845"/>
        <v>0</v>
      </c>
      <c r="O5424" s="11">
        <f t="shared" si="846"/>
        <v>0</v>
      </c>
      <c r="P5424" s="12">
        <f t="shared" si="847"/>
        <v>0</v>
      </c>
      <c r="Q5424" s="17" t="str">
        <f t="shared" si="849"/>
        <v>Pas d'écart</v>
      </c>
    </row>
    <row r="5425" spans="1:18" x14ac:dyDescent="0.3">
      <c r="A5425" s="34" t="str">
        <f>base!J5425</f>
        <v>RM</v>
      </c>
      <c r="B5425" s="34" t="str">
        <f>base!V5425</f>
        <v>59000</v>
      </c>
      <c r="C5425" s="37">
        <v>59</v>
      </c>
      <c r="D5425" s="36">
        <f>base!H5425</f>
        <v>140</v>
      </c>
      <c r="E5425" s="44"/>
      <c r="F5425" s="16">
        <f>base!W5425</f>
        <v>0</v>
      </c>
      <c r="G5425" s="11">
        <f t="shared" si="840"/>
        <v>0</v>
      </c>
      <c r="H5425" s="11">
        <f t="shared" si="841"/>
        <v>26.6</v>
      </c>
      <c r="I5425" s="11">
        <f t="shared" si="842"/>
        <v>0.19</v>
      </c>
      <c r="J5425" s="12">
        <f t="shared" si="843"/>
        <v>-26.6</v>
      </c>
      <c r="K5425" s="17" t="str">
        <f t="shared" si="848"/>
        <v>Ecart négatif</v>
      </c>
      <c r="L5425" s="16">
        <f>base!X5425</f>
        <v>0</v>
      </c>
      <c r="M5425" s="11">
        <f t="shared" si="844"/>
        <v>0</v>
      </c>
      <c r="N5425" s="11">
        <f t="shared" si="845"/>
        <v>0</v>
      </c>
      <c r="O5425" s="11">
        <f t="shared" si="846"/>
        <v>0</v>
      </c>
      <c r="P5425" s="12">
        <f t="shared" si="847"/>
        <v>0</v>
      </c>
      <c r="Q5425" s="17" t="str">
        <f t="shared" si="849"/>
        <v>Pas d'écart</v>
      </c>
    </row>
    <row r="5426" spans="1:18" x14ac:dyDescent="0.3">
      <c r="A5426" s="34" t="str">
        <f>base!J5426</f>
        <v>RM</v>
      </c>
      <c r="B5426" s="34" t="str">
        <f>base!V5426</f>
        <v>61400</v>
      </c>
      <c r="C5426" s="37">
        <v>61</v>
      </c>
      <c r="D5426" s="36">
        <f>base!H5426</f>
        <v>68.3</v>
      </c>
      <c r="E5426" s="44"/>
      <c r="F5426" s="16">
        <f>base!W5426</f>
        <v>0</v>
      </c>
      <c r="G5426" s="11">
        <f t="shared" si="840"/>
        <v>0</v>
      </c>
      <c r="H5426" s="11">
        <f t="shared" si="841"/>
        <v>11.611000000000001</v>
      </c>
      <c r="I5426" s="11">
        <f t="shared" si="842"/>
        <v>0.17</v>
      </c>
      <c r="J5426" s="12">
        <f t="shared" si="843"/>
        <v>-11.611000000000001</v>
      </c>
      <c r="K5426" s="17" t="str">
        <f t="shared" si="848"/>
        <v>Ecart négatif</v>
      </c>
      <c r="L5426" s="16">
        <f>base!X5426</f>
        <v>11.61</v>
      </c>
      <c r="M5426" s="11">
        <f t="shared" si="844"/>
        <v>0.16998535871156661</v>
      </c>
      <c r="N5426" s="11">
        <f t="shared" si="845"/>
        <v>11.611000000000001</v>
      </c>
      <c r="O5426" s="11">
        <f t="shared" si="846"/>
        <v>0.17</v>
      </c>
      <c r="P5426" s="12">
        <f t="shared" si="847"/>
        <v>-1.0000000000012221E-3</v>
      </c>
      <c r="Q5426" s="17" t="str">
        <f t="shared" si="849"/>
        <v>Ecart négatif</v>
      </c>
      <c r="R5426" s="38"/>
    </row>
    <row r="5427" spans="1:18" x14ac:dyDescent="0.3">
      <c r="A5427" s="34" t="str">
        <f>base!J5427</f>
        <v>RS</v>
      </c>
      <c r="B5427" s="34" t="str">
        <f>base!V5427</f>
        <v>10800</v>
      </c>
      <c r="C5427" s="37">
        <v>10</v>
      </c>
      <c r="D5427" s="36">
        <f>base!H5427</f>
        <v>140</v>
      </c>
      <c r="E5427" s="44"/>
      <c r="F5427" s="16">
        <f>base!W5427</f>
        <v>0</v>
      </c>
      <c r="G5427" s="11">
        <f t="shared" si="840"/>
        <v>0</v>
      </c>
      <c r="H5427" s="11">
        <f t="shared" si="841"/>
        <v>32.200000000000003</v>
      </c>
      <c r="I5427" s="11">
        <f t="shared" si="842"/>
        <v>0.23</v>
      </c>
      <c r="J5427" s="12">
        <f t="shared" si="843"/>
        <v>-32.200000000000003</v>
      </c>
      <c r="K5427" s="17" t="str">
        <f t="shared" si="848"/>
        <v>Ecart négatif</v>
      </c>
      <c r="L5427" s="16">
        <f>base!X5427</f>
        <v>16.8</v>
      </c>
      <c r="M5427" s="11">
        <f t="shared" si="844"/>
        <v>0.12000000000000001</v>
      </c>
      <c r="N5427" s="11">
        <f t="shared" si="845"/>
        <v>16.8</v>
      </c>
      <c r="O5427" s="11">
        <f t="shared" si="846"/>
        <v>0.12000000000000001</v>
      </c>
      <c r="P5427" s="12">
        <f t="shared" si="847"/>
        <v>0</v>
      </c>
      <c r="Q5427" s="17" t="str">
        <f t="shared" si="849"/>
        <v>Pas d'écart</v>
      </c>
      <c r="R5427" s="38"/>
    </row>
    <row r="5428" spans="1:18" x14ac:dyDescent="0.3">
      <c r="A5428" s="34" t="str">
        <f>base!J5428</f>
        <v>LM</v>
      </c>
      <c r="B5428" s="34" t="str">
        <f>base!V5428</f>
        <v>62200</v>
      </c>
      <c r="C5428" s="37">
        <v>38</v>
      </c>
      <c r="D5428" s="36">
        <f>base!H5428</f>
        <v>129.26</v>
      </c>
      <c r="E5428" s="44"/>
      <c r="F5428" s="16">
        <f>base!W5428</f>
        <v>24.56</v>
      </c>
      <c r="G5428" s="11">
        <f t="shared" si="840"/>
        <v>0.19000464180721027</v>
      </c>
      <c r="H5428" s="11">
        <f t="shared" si="841"/>
        <v>34.900199999999998</v>
      </c>
      <c r="I5428" s="11">
        <f t="shared" si="842"/>
        <v>0.27</v>
      </c>
      <c r="J5428" s="12">
        <f t="shared" si="843"/>
        <v>-10.340199999999999</v>
      </c>
      <c r="K5428" s="17" t="str">
        <f t="shared" si="848"/>
        <v>Ecart négatif</v>
      </c>
      <c r="L5428" s="16">
        <f>base!X5428</f>
        <v>0</v>
      </c>
      <c r="M5428" s="11">
        <f t="shared" si="844"/>
        <v>0</v>
      </c>
      <c r="N5428" s="11">
        <f t="shared" si="845"/>
        <v>0</v>
      </c>
      <c r="O5428" s="11">
        <f t="shared" si="846"/>
        <v>0</v>
      </c>
      <c r="P5428" s="12">
        <f t="shared" si="847"/>
        <v>0</v>
      </c>
      <c r="Q5428" s="17" t="str">
        <f t="shared" si="849"/>
        <v>Pas d'écart</v>
      </c>
    </row>
    <row r="5429" spans="1:18" x14ac:dyDescent="0.3">
      <c r="A5429" s="34" t="str">
        <f>base!J5429</f>
        <v>LM</v>
      </c>
      <c r="B5429" s="34" t="str">
        <f>base!V5429</f>
        <v>93013</v>
      </c>
      <c r="C5429" s="37">
        <v>93</v>
      </c>
      <c r="D5429" s="36">
        <f>base!H5429</f>
        <v>55.16</v>
      </c>
      <c r="E5429" s="44"/>
      <c r="F5429" s="16">
        <f>base!W5429</f>
        <v>0</v>
      </c>
      <c r="G5429" s="11">
        <f t="shared" si="840"/>
        <v>0</v>
      </c>
      <c r="H5429" s="11">
        <f t="shared" si="841"/>
        <v>0</v>
      </c>
      <c r="I5429" s="11">
        <f t="shared" si="842"/>
        <v>0</v>
      </c>
      <c r="J5429" s="12">
        <f t="shared" si="843"/>
        <v>0</v>
      </c>
      <c r="K5429" s="17" t="str">
        <f t="shared" si="848"/>
        <v>Pas d'écart</v>
      </c>
      <c r="L5429" s="16">
        <f>base!X5429</f>
        <v>0</v>
      </c>
      <c r="M5429" s="11">
        <f t="shared" si="844"/>
        <v>0</v>
      </c>
      <c r="N5429" s="11">
        <f t="shared" si="845"/>
        <v>0</v>
      </c>
      <c r="O5429" s="11">
        <f t="shared" si="846"/>
        <v>0</v>
      </c>
      <c r="P5429" s="12">
        <f t="shared" si="847"/>
        <v>0</v>
      </c>
      <c r="Q5429" s="17" t="str">
        <f t="shared" si="849"/>
        <v>Pas d'écart</v>
      </c>
    </row>
    <row r="5430" spans="1:18" x14ac:dyDescent="0.3">
      <c r="A5430" s="34" t="str">
        <f>base!J5430</f>
        <v>LM</v>
      </c>
      <c r="B5430" s="34" t="str">
        <f>base!V5430</f>
        <v>38300</v>
      </c>
      <c r="C5430" s="37">
        <v>38</v>
      </c>
      <c r="D5430" s="36">
        <f>base!H5430</f>
        <v>19.649999999999999</v>
      </c>
      <c r="E5430" s="44"/>
      <c r="F5430" s="16">
        <f>base!W5430</f>
        <v>5.31</v>
      </c>
      <c r="G5430" s="11">
        <f t="shared" si="840"/>
        <v>0.27022900763358776</v>
      </c>
      <c r="H5430" s="11">
        <f t="shared" si="841"/>
        <v>5.3055000000000003</v>
      </c>
      <c r="I5430" s="11">
        <f t="shared" si="842"/>
        <v>0.27</v>
      </c>
      <c r="J5430" s="12">
        <f t="shared" si="843"/>
        <v>4.4999999999992824E-3</v>
      </c>
      <c r="K5430" s="17" t="str">
        <f t="shared" si="848"/>
        <v>Ecart positif</v>
      </c>
      <c r="L5430" s="16">
        <f>base!X5430</f>
        <v>0</v>
      </c>
      <c r="M5430" s="11">
        <f t="shared" si="844"/>
        <v>0</v>
      </c>
      <c r="N5430" s="11">
        <f t="shared" si="845"/>
        <v>0</v>
      </c>
      <c r="O5430" s="11">
        <f t="shared" si="846"/>
        <v>0</v>
      </c>
      <c r="P5430" s="12">
        <f t="shared" si="847"/>
        <v>0</v>
      </c>
      <c r="Q5430" s="17" t="str">
        <f t="shared" si="849"/>
        <v>Pas d'écart</v>
      </c>
    </row>
    <row r="5431" spans="1:18" x14ac:dyDescent="0.3">
      <c r="A5431" s="34" t="str">
        <f>base!J5431</f>
        <v>DRM</v>
      </c>
      <c r="B5431" s="34" t="str">
        <f>base!V5431</f>
        <v>38230</v>
      </c>
      <c r="C5431" s="37">
        <v>38</v>
      </c>
      <c r="D5431" s="36">
        <f>base!H5431</f>
        <v>23.4</v>
      </c>
      <c r="E5431" s="44"/>
      <c r="F5431" s="16">
        <f>base!W5431</f>
        <v>0</v>
      </c>
      <c r="G5431" s="11">
        <f t="shared" si="840"/>
        <v>0</v>
      </c>
      <c r="H5431" s="11">
        <f t="shared" si="841"/>
        <v>6.3179999999999996</v>
      </c>
      <c r="I5431" s="11">
        <f t="shared" si="842"/>
        <v>0.27</v>
      </c>
      <c r="J5431" s="12">
        <f t="shared" si="843"/>
        <v>-6.3179999999999996</v>
      </c>
      <c r="K5431" s="17" t="str">
        <f t="shared" si="848"/>
        <v>Ecart négatif</v>
      </c>
      <c r="L5431" s="16">
        <f>base!X5431</f>
        <v>0</v>
      </c>
      <c r="M5431" s="11">
        <f t="shared" si="844"/>
        <v>0</v>
      </c>
      <c r="N5431" s="11">
        <f t="shared" si="845"/>
        <v>0</v>
      </c>
      <c r="O5431" s="11">
        <f t="shared" si="846"/>
        <v>0</v>
      </c>
      <c r="P5431" s="12">
        <f t="shared" si="847"/>
        <v>0</v>
      </c>
      <c r="Q5431" s="17" t="str">
        <f t="shared" si="849"/>
        <v>Pas d'écart</v>
      </c>
    </row>
    <row r="5432" spans="1:18" x14ac:dyDescent="0.3">
      <c r="A5432" s="34">
        <f>base!J5432</f>
        <v>0</v>
      </c>
      <c r="B5432" s="34" t="str">
        <f>base!V5432</f>
        <v>77184</v>
      </c>
      <c r="C5432" s="37">
        <v>77</v>
      </c>
      <c r="D5432" s="36">
        <f>base!H5432</f>
        <v>20</v>
      </c>
      <c r="E5432" s="44"/>
      <c r="F5432" s="16">
        <f>base!W5432</f>
        <v>0</v>
      </c>
      <c r="G5432" s="11">
        <f t="shared" si="840"/>
        <v>0</v>
      </c>
      <c r="H5432" s="11">
        <f t="shared" si="841"/>
        <v>0</v>
      </c>
      <c r="I5432" s="11">
        <f t="shared" si="842"/>
        <v>0</v>
      </c>
      <c r="J5432" s="12">
        <f t="shared" si="843"/>
        <v>0</v>
      </c>
      <c r="K5432" s="17" t="str">
        <f t="shared" si="848"/>
        <v>Pas d'écart</v>
      </c>
      <c r="L5432" s="16">
        <f>base!X5432</f>
        <v>0</v>
      </c>
      <c r="M5432" s="11">
        <f t="shared" si="844"/>
        <v>0</v>
      </c>
      <c r="N5432" s="11">
        <f t="shared" si="845"/>
        <v>0</v>
      </c>
      <c r="O5432" s="11">
        <f t="shared" si="846"/>
        <v>0</v>
      </c>
      <c r="P5432" s="12">
        <f t="shared" si="847"/>
        <v>0</v>
      </c>
      <c r="Q5432" s="17" t="str">
        <f t="shared" si="849"/>
        <v>Pas d'écart</v>
      </c>
    </row>
    <row r="5433" spans="1:18" x14ac:dyDescent="0.3">
      <c r="A5433" s="34">
        <f>base!J5433</f>
        <v>0</v>
      </c>
      <c r="B5433" s="34" t="str">
        <f>base!V5433</f>
        <v>77184</v>
      </c>
      <c r="C5433" s="37">
        <v>77</v>
      </c>
      <c r="D5433" s="36">
        <f>base!H5433</f>
        <v>20</v>
      </c>
      <c r="E5433" s="44"/>
      <c r="F5433" s="16">
        <f>base!W5433</f>
        <v>0</v>
      </c>
      <c r="G5433" s="11">
        <f t="shared" si="840"/>
        <v>0</v>
      </c>
      <c r="H5433" s="11">
        <f t="shared" si="841"/>
        <v>0</v>
      </c>
      <c r="I5433" s="11">
        <f t="shared" si="842"/>
        <v>0</v>
      </c>
      <c r="J5433" s="12">
        <f t="shared" si="843"/>
        <v>0</v>
      </c>
      <c r="K5433" s="17" t="str">
        <f t="shared" si="848"/>
        <v>Pas d'écart</v>
      </c>
      <c r="L5433" s="16">
        <f>base!X5433</f>
        <v>0</v>
      </c>
      <c r="M5433" s="11">
        <f t="shared" si="844"/>
        <v>0</v>
      </c>
      <c r="N5433" s="11">
        <f t="shared" si="845"/>
        <v>0</v>
      </c>
      <c r="O5433" s="11">
        <f t="shared" si="846"/>
        <v>0</v>
      </c>
      <c r="P5433" s="12">
        <f t="shared" si="847"/>
        <v>0</v>
      </c>
      <c r="Q5433" s="17" t="str">
        <f t="shared" si="849"/>
        <v>Pas d'écart</v>
      </c>
    </row>
    <row r="5434" spans="1:18" x14ac:dyDescent="0.3">
      <c r="A5434" s="34">
        <f>base!J5434</f>
        <v>0</v>
      </c>
      <c r="B5434" s="34" t="str">
        <f>base!V5434</f>
        <v>77184</v>
      </c>
      <c r="C5434" s="37">
        <v>77</v>
      </c>
      <c r="D5434" s="36">
        <f>base!H5434</f>
        <v>20</v>
      </c>
      <c r="E5434" s="44"/>
      <c r="F5434" s="16">
        <f>base!W5434</f>
        <v>0</v>
      </c>
      <c r="G5434" s="11">
        <f t="shared" si="840"/>
        <v>0</v>
      </c>
      <c r="H5434" s="11">
        <f t="shared" si="841"/>
        <v>0</v>
      </c>
      <c r="I5434" s="11">
        <f t="shared" si="842"/>
        <v>0</v>
      </c>
      <c r="J5434" s="12">
        <f t="shared" si="843"/>
        <v>0</v>
      </c>
      <c r="K5434" s="17" t="str">
        <f t="shared" si="848"/>
        <v>Pas d'écart</v>
      </c>
      <c r="L5434" s="16">
        <f>base!X5434</f>
        <v>0</v>
      </c>
      <c r="M5434" s="11">
        <f t="shared" si="844"/>
        <v>0</v>
      </c>
      <c r="N5434" s="11">
        <f t="shared" si="845"/>
        <v>0</v>
      </c>
      <c r="O5434" s="11">
        <f t="shared" si="846"/>
        <v>0</v>
      </c>
      <c r="P5434" s="12">
        <f t="shared" si="847"/>
        <v>0</v>
      </c>
      <c r="Q5434" s="17" t="str">
        <f t="shared" si="849"/>
        <v>Pas d'écart</v>
      </c>
    </row>
    <row r="5435" spans="1:18" x14ac:dyDescent="0.3">
      <c r="A5435" s="34">
        <f>base!J5435</f>
        <v>0</v>
      </c>
      <c r="B5435" s="34" t="str">
        <f>base!V5435</f>
        <v>77184</v>
      </c>
      <c r="C5435" s="37">
        <v>77</v>
      </c>
      <c r="D5435" s="36">
        <f>base!H5435</f>
        <v>20</v>
      </c>
      <c r="E5435" s="44"/>
      <c r="F5435" s="16">
        <f>base!W5435</f>
        <v>0</v>
      </c>
      <c r="G5435" s="11">
        <f t="shared" si="840"/>
        <v>0</v>
      </c>
      <c r="H5435" s="11">
        <f t="shared" si="841"/>
        <v>0</v>
      </c>
      <c r="I5435" s="11">
        <f t="shared" si="842"/>
        <v>0</v>
      </c>
      <c r="J5435" s="12">
        <f t="shared" si="843"/>
        <v>0</v>
      </c>
      <c r="K5435" s="17" t="str">
        <f t="shared" si="848"/>
        <v>Pas d'écart</v>
      </c>
      <c r="L5435" s="16">
        <f>base!X5435</f>
        <v>0</v>
      </c>
      <c r="M5435" s="11">
        <f t="shared" si="844"/>
        <v>0</v>
      </c>
      <c r="N5435" s="11">
        <f t="shared" si="845"/>
        <v>0</v>
      </c>
      <c r="O5435" s="11">
        <f t="shared" si="846"/>
        <v>0</v>
      </c>
      <c r="P5435" s="12">
        <f t="shared" si="847"/>
        <v>0</v>
      </c>
      <c r="Q5435" s="17" t="str">
        <f t="shared" si="849"/>
        <v>Pas d'écart</v>
      </c>
    </row>
    <row r="5436" spans="1:18" x14ac:dyDescent="0.3">
      <c r="A5436" s="34" t="str">
        <f>base!J5436</f>
        <v>DLS</v>
      </c>
      <c r="B5436" s="34" t="str">
        <f>base!V5436</f>
        <v>69100</v>
      </c>
      <c r="C5436" s="37">
        <v>69</v>
      </c>
      <c r="D5436" s="36">
        <f>base!H5436</f>
        <v>151</v>
      </c>
      <c r="E5436" s="44"/>
      <c r="F5436" s="16">
        <f>base!W5436</f>
        <v>77.010000000000005</v>
      </c>
      <c r="G5436" s="11">
        <f t="shared" si="840"/>
        <v>0.51</v>
      </c>
      <c r="H5436" s="11">
        <f t="shared" si="841"/>
        <v>40.770000000000003</v>
      </c>
      <c r="I5436" s="11">
        <f t="shared" si="842"/>
        <v>0.27</v>
      </c>
      <c r="J5436" s="12">
        <f t="shared" si="843"/>
        <v>36.24</v>
      </c>
      <c r="K5436" s="17" t="str">
        <f t="shared" si="848"/>
        <v>Ecart positif</v>
      </c>
      <c r="L5436" s="16">
        <f>base!X5436</f>
        <v>0</v>
      </c>
      <c r="M5436" s="11">
        <f t="shared" si="844"/>
        <v>0</v>
      </c>
      <c r="N5436" s="11">
        <f t="shared" si="845"/>
        <v>0</v>
      </c>
      <c r="O5436" s="11">
        <f t="shared" si="846"/>
        <v>0</v>
      </c>
      <c r="P5436" s="12">
        <f t="shared" si="847"/>
        <v>0</v>
      </c>
      <c r="Q5436" s="17" t="str">
        <f t="shared" si="849"/>
        <v>Pas d'écart</v>
      </c>
    </row>
    <row r="5437" spans="1:18" x14ac:dyDescent="0.3">
      <c r="A5437" s="34" t="str">
        <f>base!J5437</f>
        <v>LM</v>
      </c>
      <c r="B5437" s="34" t="str">
        <f>base!V5437</f>
        <v>72300</v>
      </c>
      <c r="C5437" s="37">
        <v>38</v>
      </c>
      <c r="D5437" s="36">
        <f>base!H5437</f>
        <v>137.01</v>
      </c>
      <c r="E5437" s="44"/>
      <c r="F5437" s="16">
        <f>base!W5437</f>
        <v>28.77</v>
      </c>
      <c r="G5437" s="11">
        <f t="shared" si="840"/>
        <v>0.20998467265163129</v>
      </c>
      <c r="H5437" s="11">
        <f t="shared" si="841"/>
        <v>36.992699999999999</v>
      </c>
      <c r="I5437" s="11">
        <f t="shared" si="842"/>
        <v>0.27</v>
      </c>
      <c r="J5437" s="12">
        <f t="shared" si="843"/>
        <v>-8.2226999999999997</v>
      </c>
      <c r="K5437" s="17" t="str">
        <f t="shared" si="848"/>
        <v>Ecart négatif</v>
      </c>
      <c r="L5437" s="16">
        <f>base!X5437</f>
        <v>0</v>
      </c>
      <c r="M5437" s="11">
        <f t="shared" si="844"/>
        <v>0</v>
      </c>
      <c r="N5437" s="11">
        <f t="shared" si="845"/>
        <v>0</v>
      </c>
      <c r="O5437" s="11">
        <f t="shared" si="846"/>
        <v>0</v>
      </c>
      <c r="P5437" s="12">
        <f t="shared" si="847"/>
        <v>0</v>
      </c>
      <c r="Q5437" s="17" t="str">
        <f t="shared" si="849"/>
        <v>Pas d'écart</v>
      </c>
    </row>
    <row r="5438" spans="1:18" x14ac:dyDescent="0.3">
      <c r="A5438" s="34" t="str">
        <f>base!J5438</f>
        <v>RM</v>
      </c>
      <c r="B5438" s="34" t="str">
        <f>base!V5438</f>
        <v>25000</v>
      </c>
      <c r="C5438" s="37">
        <v>25</v>
      </c>
      <c r="D5438" s="36">
        <f>base!H5438</f>
        <v>146.31</v>
      </c>
      <c r="E5438" s="44"/>
      <c r="F5438" s="16">
        <f>base!W5438</f>
        <v>0</v>
      </c>
      <c r="G5438" s="11">
        <f t="shared" si="840"/>
        <v>0</v>
      </c>
      <c r="H5438" s="11">
        <f t="shared" si="841"/>
        <v>35.114399999999996</v>
      </c>
      <c r="I5438" s="11">
        <f t="shared" si="842"/>
        <v>0.23999999999999996</v>
      </c>
      <c r="J5438" s="12">
        <f t="shared" si="843"/>
        <v>-35.114399999999996</v>
      </c>
      <c r="K5438" s="17" t="str">
        <f t="shared" si="848"/>
        <v>Ecart négatif</v>
      </c>
      <c r="L5438" s="16">
        <f>base!X5438</f>
        <v>17.559999999999999</v>
      </c>
      <c r="M5438" s="11">
        <f t="shared" si="844"/>
        <v>0.12001913744788462</v>
      </c>
      <c r="N5438" s="11">
        <f t="shared" si="845"/>
        <v>17.557199999999998</v>
      </c>
      <c r="O5438" s="11">
        <f t="shared" si="846"/>
        <v>0.11999999999999998</v>
      </c>
      <c r="P5438" s="12">
        <f t="shared" si="847"/>
        <v>2.8000000000005798E-3</v>
      </c>
      <c r="Q5438" s="17" t="str">
        <f t="shared" si="849"/>
        <v>Ecart positif</v>
      </c>
      <c r="R5438" s="38"/>
    </row>
    <row r="5439" spans="1:18" x14ac:dyDescent="0.3">
      <c r="A5439" s="34" t="str">
        <f>base!J5439</f>
        <v>LM</v>
      </c>
      <c r="B5439" s="34" t="str">
        <f>base!V5439</f>
        <v>14200</v>
      </c>
      <c r="C5439" s="37">
        <v>38</v>
      </c>
      <c r="D5439" s="36">
        <f>base!H5439</f>
        <v>137.43</v>
      </c>
      <c r="E5439" s="44"/>
      <c r="F5439" s="16">
        <f>base!W5439</f>
        <v>70.08</v>
      </c>
      <c r="G5439" s="11">
        <f t="shared" si="840"/>
        <v>0.50993232918576725</v>
      </c>
      <c r="H5439" s="11">
        <f t="shared" si="841"/>
        <v>37.106100000000005</v>
      </c>
      <c r="I5439" s="11">
        <f t="shared" si="842"/>
        <v>0.27</v>
      </c>
      <c r="J5439" s="12">
        <f t="shared" si="843"/>
        <v>32.973899999999993</v>
      </c>
      <c r="K5439" s="17" t="str">
        <f t="shared" si="848"/>
        <v>Ecart positif</v>
      </c>
      <c r="L5439" s="16">
        <f>base!X5439</f>
        <v>0</v>
      </c>
      <c r="M5439" s="11">
        <f t="shared" si="844"/>
        <v>0</v>
      </c>
      <c r="N5439" s="11">
        <f t="shared" si="845"/>
        <v>0</v>
      </c>
      <c r="O5439" s="11">
        <f t="shared" si="846"/>
        <v>0</v>
      </c>
      <c r="P5439" s="12">
        <f t="shared" si="847"/>
        <v>0</v>
      </c>
      <c r="Q5439" s="17" t="str">
        <f t="shared" si="849"/>
        <v>Pas d'écart</v>
      </c>
    </row>
    <row r="5440" spans="1:18" x14ac:dyDescent="0.3">
      <c r="A5440" s="34" t="str">
        <f>base!J5440</f>
        <v>RM</v>
      </c>
      <c r="B5440" s="34" t="str">
        <f>base!V5440</f>
        <v>92400</v>
      </c>
      <c r="C5440" s="37">
        <v>92</v>
      </c>
      <c r="D5440" s="36">
        <f>base!H5440</f>
        <v>29.59</v>
      </c>
      <c r="E5440" s="44"/>
      <c r="F5440" s="16">
        <f>base!W5440</f>
        <v>0</v>
      </c>
      <c r="G5440" s="11">
        <f t="shared" si="840"/>
        <v>0</v>
      </c>
      <c r="H5440" s="11">
        <f t="shared" si="841"/>
        <v>0</v>
      </c>
      <c r="I5440" s="11">
        <f t="shared" si="842"/>
        <v>0</v>
      </c>
      <c r="J5440" s="12">
        <f t="shared" si="843"/>
        <v>0</v>
      </c>
      <c r="K5440" s="17" t="str">
        <f t="shared" si="848"/>
        <v>Pas d'écart</v>
      </c>
      <c r="L5440" s="16">
        <f>base!X5440</f>
        <v>0</v>
      </c>
      <c r="M5440" s="11">
        <f t="shared" si="844"/>
        <v>0</v>
      </c>
      <c r="N5440" s="11">
        <f t="shared" si="845"/>
        <v>0</v>
      </c>
      <c r="O5440" s="11">
        <f t="shared" si="846"/>
        <v>0</v>
      </c>
      <c r="P5440" s="12">
        <f t="shared" si="847"/>
        <v>0</v>
      </c>
      <c r="Q5440" s="17" t="str">
        <f t="shared" si="849"/>
        <v>Pas d'écart</v>
      </c>
    </row>
    <row r="5441" spans="1:18" x14ac:dyDescent="0.3">
      <c r="A5441" s="34" t="str">
        <f>base!J5441</f>
        <v>LS</v>
      </c>
      <c r="B5441" s="34" t="str">
        <f>base!V5441</f>
        <v>40280</v>
      </c>
      <c r="C5441" s="37">
        <v>38</v>
      </c>
      <c r="D5441" s="36">
        <f>base!H5441</f>
        <v>2065.0100000000002</v>
      </c>
      <c r="E5441" s="44"/>
      <c r="F5441" s="16">
        <f>base!W5441</f>
        <v>433.65</v>
      </c>
      <c r="G5441" s="11">
        <f t="shared" si="840"/>
        <v>0.20999898305577208</v>
      </c>
      <c r="H5441" s="11">
        <f t="shared" si="841"/>
        <v>557.55270000000007</v>
      </c>
      <c r="I5441" s="11">
        <f t="shared" si="842"/>
        <v>0.27</v>
      </c>
      <c r="J5441" s="12">
        <f t="shared" si="843"/>
        <v>-123.9027000000001</v>
      </c>
      <c r="K5441" s="17" t="str">
        <f t="shared" si="848"/>
        <v>Ecart négatif</v>
      </c>
      <c r="L5441" s="16">
        <f>base!X5441</f>
        <v>0</v>
      </c>
      <c r="M5441" s="11">
        <f t="shared" si="844"/>
        <v>0</v>
      </c>
      <c r="N5441" s="11">
        <f t="shared" si="845"/>
        <v>0</v>
      </c>
      <c r="O5441" s="11">
        <f t="shared" si="846"/>
        <v>0</v>
      </c>
      <c r="P5441" s="12">
        <f t="shared" si="847"/>
        <v>0</v>
      </c>
      <c r="Q5441" s="17" t="str">
        <f t="shared" si="849"/>
        <v>Pas d'écart</v>
      </c>
    </row>
    <row r="5442" spans="1:18" x14ac:dyDescent="0.3">
      <c r="A5442" s="34" t="str">
        <f>base!J5442</f>
        <v>RS</v>
      </c>
      <c r="B5442" s="34" t="str">
        <f>base!V5442</f>
        <v>62320</v>
      </c>
      <c r="C5442" s="37">
        <v>62</v>
      </c>
      <c r="D5442" s="36">
        <f>base!H5442</f>
        <v>180</v>
      </c>
      <c r="E5442" s="44"/>
      <c r="F5442" s="16">
        <f>base!W5442</f>
        <v>0</v>
      </c>
      <c r="G5442" s="11">
        <f t="shared" ref="G5442:G5505" si="850">F5442/D5442</f>
        <v>0</v>
      </c>
      <c r="H5442" s="11">
        <f t="shared" ref="H5442:H5505" si="851">VLOOKUP(C5442,tout_cout_traction,2,FALSE)*D5442</f>
        <v>34.200000000000003</v>
      </c>
      <c r="I5442" s="11">
        <f t="shared" ref="I5442:I5505" si="852">H5442/D5442</f>
        <v>0.19</v>
      </c>
      <c r="J5442" s="12">
        <f t="shared" ref="J5442:J5505" si="853">F5442-H5442</f>
        <v>-34.200000000000003</v>
      </c>
      <c r="K5442" s="17" t="str">
        <f t="shared" si="848"/>
        <v>Ecart négatif</v>
      </c>
      <c r="L5442" s="16">
        <f>base!X5442</f>
        <v>0</v>
      </c>
      <c r="M5442" s="11">
        <f t="shared" ref="M5442:M5505" si="854">L5442/D5442</f>
        <v>0</v>
      </c>
      <c r="N5442" s="11">
        <f t="shared" ref="N5442:N5505" si="855">VLOOKUP(C5442,tout_cout_traction,3,FALSE)*D5442</f>
        <v>0</v>
      </c>
      <c r="O5442" s="11">
        <f t="shared" ref="O5442:O5505" si="856">N5442/D5442</f>
        <v>0</v>
      </c>
      <c r="P5442" s="12">
        <f t="shared" ref="P5442:P5505" si="857">L5442-N5442</f>
        <v>0</v>
      </c>
      <c r="Q5442" s="17" t="str">
        <f t="shared" si="849"/>
        <v>Pas d'écart</v>
      </c>
    </row>
    <row r="5443" spans="1:18" x14ac:dyDescent="0.3">
      <c r="A5443" s="34" t="str">
        <f>base!J5443</f>
        <v>RM</v>
      </c>
      <c r="B5443" s="34" t="str">
        <f>base!V5443</f>
        <v>06560</v>
      </c>
      <c r="C5443" s="37">
        <v>6</v>
      </c>
      <c r="D5443" s="36">
        <f>base!H5443</f>
        <v>151</v>
      </c>
      <c r="E5443" s="44"/>
      <c r="F5443" s="16">
        <f>base!W5443</f>
        <v>0</v>
      </c>
      <c r="G5443" s="11">
        <f t="shared" si="850"/>
        <v>0</v>
      </c>
      <c r="H5443" s="11">
        <f t="shared" si="851"/>
        <v>45.3</v>
      </c>
      <c r="I5443" s="11">
        <f t="shared" si="852"/>
        <v>0.3</v>
      </c>
      <c r="J5443" s="12">
        <f t="shared" si="853"/>
        <v>-45.3</v>
      </c>
      <c r="K5443" s="17" t="str">
        <f t="shared" ref="K5443:K5506" si="858">IF(H5443=F5443,"Pas d'écart",IF(H5443&lt;F5443,"Ecart positif",IF(H5443&gt;F5443,"Ecart négatif")))</f>
        <v>Ecart négatif</v>
      </c>
      <c r="L5443" s="16">
        <f>base!X5443</f>
        <v>0</v>
      </c>
      <c r="M5443" s="11">
        <f t="shared" si="854"/>
        <v>0</v>
      </c>
      <c r="N5443" s="11">
        <f t="shared" si="855"/>
        <v>31.709999999999997</v>
      </c>
      <c r="O5443" s="11">
        <f t="shared" si="856"/>
        <v>0.21</v>
      </c>
      <c r="P5443" s="12">
        <f t="shared" si="857"/>
        <v>-31.709999999999997</v>
      </c>
      <c r="Q5443" s="17" t="str">
        <f t="shared" ref="Q5443:Q5506" si="859">IF(N5443=L5443,"Pas d'écart",IF(N5443&lt;L5443,"Ecart positif",IF(N5443&gt;L5443,"Ecart négatif")))</f>
        <v>Ecart négatif</v>
      </c>
    </row>
    <row r="5444" spans="1:18" x14ac:dyDescent="0.3">
      <c r="A5444" s="34" t="str">
        <f>base!J5444</f>
        <v>RS</v>
      </c>
      <c r="B5444" s="34" t="str">
        <f>base!V5444</f>
        <v>06560</v>
      </c>
      <c r="C5444" s="37">
        <v>6</v>
      </c>
      <c r="D5444" s="36">
        <f>base!H5444</f>
        <v>151</v>
      </c>
      <c r="E5444" s="44"/>
      <c r="F5444" s="16">
        <f>base!W5444</f>
        <v>0</v>
      </c>
      <c r="G5444" s="11">
        <f t="shared" si="850"/>
        <v>0</v>
      </c>
      <c r="H5444" s="11">
        <f t="shared" si="851"/>
        <v>45.3</v>
      </c>
      <c r="I5444" s="11">
        <f t="shared" si="852"/>
        <v>0.3</v>
      </c>
      <c r="J5444" s="12">
        <f t="shared" si="853"/>
        <v>-45.3</v>
      </c>
      <c r="K5444" s="17" t="str">
        <f t="shared" si="858"/>
        <v>Ecart négatif</v>
      </c>
      <c r="L5444" s="16">
        <f>base!X5444</f>
        <v>0</v>
      </c>
      <c r="M5444" s="11">
        <f t="shared" si="854"/>
        <v>0</v>
      </c>
      <c r="N5444" s="11">
        <f t="shared" si="855"/>
        <v>31.709999999999997</v>
      </c>
      <c r="O5444" s="11">
        <f t="shared" si="856"/>
        <v>0.21</v>
      </c>
      <c r="P5444" s="12">
        <f t="shared" si="857"/>
        <v>-31.709999999999997</v>
      </c>
      <c r="Q5444" s="17" t="str">
        <f t="shared" si="859"/>
        <v>Ecart négatif</v>
      </c>
    </row>
    <row r="5445" spans="1:18" x14ac:dyDescent="0.3">
      <c r="A5445" s="34" t="str">
        <f>base!J5445</f>
        <v>RS</v>
      </c>
      <c r="B5445" s="34" t="str">
        <f>base!V5445</f>
        <v>21000</v>
      </c>
      <c r="C5445" s="37">
        <v>21</v>
      </c>
      <c r="D5445" s="36">
        <f>base!H5445</f>
        <v>189.52</v>
      </c>
      <c r="E5445" s="44"/>
      <c r="F5445" s="16">
        <f>base!W5445</f>
        <v>0</v>
      </c>
      <c r="G5445" s="11">
        <f t="shared" si="850"/>
        <v>0</v>
      </c>
      <c r="H5445" s="11">
        <f t="shared" si="851"/>
        <v>45.4848</v>
      </c>
      <c r="I5445" s="11">
        <f t="shared" si="852"/>
        <v>0.24</v>
      </c>
      <c r="J5445" s="12">
        <f t="shared" si="853"/>
        <v>-45.4848</v>
      </c>
      <c r="K5445" s="17" t="str">
        <f t="shared" si="858"/>
        <v>Ecart négatif</v>
      </c>
      <c r="L5445" s="16">
        <f>base!X5445</f>
        <v>22.74</v>
      </c>
      <c r="M5445" s="11">
        <f t="shared" si="854"/>
        <v>0.11998733642887292</v>
      </c>
      <c r="N5445" s="11">
        <f t="shared" si="855"/>
        <v>22.7424</v>
      </c>
      <c r="O5445" s="11">
        <f t="shared" si="856"/>
        <v>0.12</v>
      </c>
      <c r="P5445" s="12">
        <f t="shared" si="857"/>
        <v>-2.400000000001512E-3</v>
      </c>
      <c r="Q5445" s="17" t="str">
        <f t="shared" si="859"/>
        <v>Ecart négatif</v>
      </c>
      <c r="R5445" s="38"/>
    </row>
    <row r="5446" spans="1:18" x14ac:dyDescent="0.3">
      <c r="A5446" s="34" t="str">
        <f>base!J5446</f>
        <v>LM</v>
      </c>
      <c r="B5446" s="34" t="str">
        <f>base!V5446</f>
        <v>22600</v>
      </c>
      <c r="C5446" s="37">
        <v>38</v>
      </c>
      <c r="D5446" s="36">
        <f>base!H5446</f>
        <v>49.08</v>
      </c>
      <c r="E5446" s="44"/>
      <c r="F5446" s="16">
        <f>base!W5446</f>
        <v>19.14</v>
      </c>
      <c r="G5446" s="11">
        <f t="shared" si="850"/>
        <v>0.38997555012224944</v>
      </c>
      <c r="H5446" s="11">
        <f t="shared" si="851"/>
        <v>13.2516</v>
      </c>
      <c r="I5446" s="11">
        <f t="shared" si="852"/>
        <v>0.27</v>
      </c>
      <c r="J5446" s="12">
        <f t="shared" si="853"/>
        <v>5.8884000000000007</v>
      </c>
      <c r="K5446" s="17" t="str">
        <f t="shared" si="858"/>
        <v>Ecart positif</v>
      </c>
      <c r="L5446" s="16">
        <f>base!X5446</f>
        <v>0</v>
      </c>
      <c r="M5446" s="11">
        <f t="shared" si="854"/>
        <v>0</v>
      </c>
      <c r="N5446" s="11">
        <f t="shared" si="855"/>
        <v>0</v>
      </c>
      <c r="O5446" s="11">
        <f t="shared" si="856"/>
        <v>0</v>
      </c>
      <c r="P5446" s="12">
        <f t="shared" si="857"/>
        <v>0</v>
      </c>
      <c r="Q5446" s="17" t="str">
        <f t="shared" si="859"/>
        <v>Pas d'écart</v>
      </c>
    </row>
    <row r="5447" spans="1:18" x14ac:dyDescent="0.3">
      <c r="A5447" s="34" t="str">
        <f>base!J5447</f>
        <v>RS</v>
      </c>
      <c r="B5447" s="34" t="str">
        <f>base!V5447</f>
        <v>93410</v>
      </c>
      <c r="C5447" s="37">
        <v>93</v>
      </c>
      <c r="D5447" s="36">
        <f>base!H5447</f>
        <v>151</v>
      </c>
      <c r="E5447" s="44"/>
      <c r="F5447" s="16">
        <f>base!W5447</f>
        <v>0</v>
      </c>
      <c r="G5447" s="11">
        <f t="shared" si="850"/>
        <v>0</v>
      </c>
      <c r="H5447" s="11">
        <f t="shared" si="851"/>
        <v>0</v>
      </c>
      <c r="I5447" s="11">
        <f t="shared" si="852"/>
        <v>0</v>
      </c>
      <c r="J5447" s="12">
        <f t="shared" si="853"/>
        <v>0</v>
      </c>
      <c r="K5447" s="17" t="str">
        <f t="shared" si="858"/>
        <v>Pas d'écart</v>
      </c>
      <c r="L5447" s="16">
        <f>base!X5447</f>
        <v>0</v>
      </c>
      <c r="M5447" s="11">
        <f t="shared" si="854"/>
        <v>0</v>
      </c>
      <c r="N5447" s="11">
        <f t="shared" si="855"/>
        <v>0</v>
      </c>
      <c r="O5447" s="11">
        <f t="shared" si="856"/>
        <v>0</v>
      </c>
      <c r="P5447" s="12">
        <f t="shared" si="857"/>
        <v>0</v>
      </c>
      <c r="Q5447" s="17" t="str">
        <f t="shared" si="859"/>
        <v>Pas d'écart</v>
      </c>
    </row>
    <row r="5448" spans="1:18" x14ac:dyDescent="0.3">
      <c r="A5448" s="34" t="str">
        <f>base!J5448</f>
        <v>RS</v>
      </c>
      <c r="B5448" s="34" t="str">
        <f>base!V5448</f>
        <v>34220</v>
      </c>
      <c r="C5448" s="37">
        <v>34</v>
      </c>
      <c r="D5448" s="36">
        <f>base!H5448</f>
        <v>140</v>
      </c>
      <c r="E5448" s="44"/>
      <c r="F5448" s="16">
        <f>base!W5448</f>
        <v>0</v>
      </c>
      <c r="G5448" s="11">
        <f t="shared" si="850"/>
        <v>0</v>
      </c>
      <c r="H5448" s="11">
        <f t="shared" si="851"/>
        <v>54.6</v>
      </c>
      <c r="I5448" s="11">
        <f t="shared" si="852"/>
        <v>0.39</v>
      </c>
      <c r="J5448" s="12">
        <f t="shared" si="853"/>
        <v>-54.6</v>
      </c>
      <c r="K5448" s="17" t="str">
        <f t="shared" si="858"/>
        <v>Ecart négatif</v>
      </c>
      <c r="L5448" s="16">
        <f>base!X5448</f>
        <v>39.200000000000003</v>
      </c>
      <c r="M5448" s="11">
        <f t="shared" si="854"/>
        <v>0.28000000000000003</v>
      </c>
      <c r="N5448" s="11">
        <f t="shared" si="855"/>
        <v>39.200000000000003</v>
      </c>
      <c r="O5448" s="11">
        <f t="shared" si="856"/>
        <v>0.28000000000000003</v>
      </c>
      <c r="P5448" s="12">
        <f t="shared" si="857"/>
        <v>0</v>
      </c>
      <c r="Q5448" s="17" t="str">
        <f t="shared" si="859"/>
        <v>Pas d'écart</v>
      </c>
      <c r="R5448" s="38"/>
    </row>
    <row r="5449" spans="1:18" x14ac:dyDescent="0.3">
      <c r="A5449" s="34" t="str">
        <f>base!J5449</f>
        <v>RM</v>
      </c>
      <c r="B5449" s="34" t="str">
        <f>base!V5449</f>
        <v>75014</v>
      </c>
      <c r="C5449" s="37">
        <v>75</v>
      </c>
      <c r="D5449" s="36">
        <f>base!H5449</f>
        <v>60.2</v>
      </c>
      <c r="E5449" s="44"/>
      <c r="F5449" s="16">
        <f>base!W5449</f>
        <v>0</v>
      </c>
      <c r="G5449" s="11">
        <f t="shared" si="850"/>
        <v>0</v>
      </c>
      <c r="H5449" s="11">
        <f t="shared" si="851"/>
        <v>0</v>
      </c>
      <c r="I5449" s="11">
        <f t="shared" si="852"/>
        <v>0</v>
      </c>
      <c r="J5449" s="12">
        <f t="shared" si="853"/>
        <v>0</v>
      </c>
      <c r="K5449" s="17" t="str">
        <f t="shared" si="858"/>
        <v>Pas d'écart</v>
      </c>
      <c r="L5449" s="16">
        <f>base!X5449</f>
        <v>0</v>
      </c>
      <c r="M5449" s="11">
        <f t="shared" si="854"/>
        <v>0</v>
      </c>
      <c r="N5449" s="11">
        <f t="shared" si="855"/>
        <v>0</v>
      </c>
      <c r="O5449" s="11">
        <f t="shared" si="856"/>
        <v>0</v>
      </c>
      <c r="P5449" s="12">
        <f t="shared" si="857"/>
        <v>0</v>
      </c>
      <c r="Q5449" s="17" t="str">
        <f t="shared" si="859"/>
        <v>Pas d'écart</v>
      </c>
    </row>
    <row r="5450" spans="1:18" x14ac:dyDescent="0.3">
      <c r="A5450" s="34" t="str">
        <f>base!J5450</f>
        <v>DRS</v>
      </c>
      <c r="B5450" s="34" t="str">
        <f>base!V5450</f>
        <v>11100</v>
      </c>
      <c r="C5450" s="37">
        <v>11</v>
      </c>
      <c r="D5450" s="36">
        <f>base!H5450</f>
        <v>122.09</v>
      </c>
      <c r="E5450" s="44"/>
      <c r="F5450" s="16">
        <f>base!W5450</f>
        <v>0</v>
      </c>
      <c r="G5450" s="11">
        <f t="shared" si="850"/>
        <v>0</v>
      </c>
      <c r="H5450" s="11">
        <f t="shared" si="851"/>
        <v>43.952399999999997</v>
      </c>
      <c r="I5450" s="11">
        <f t="shared" si="852"/>
        <v>0.36</v>
      </c>
      <c r="J5450" s="12">
        <f t="shared" si="853"/>
        <v>-43.952399999999997</v>
      </c>
      <c r="K5450" s="17" t="str">
        <f t="shared" si="858"/>
        <v>Ecart négatif</v>
      </c>
      <c r="L5450" s="16">
        <f>base!X5450</f>
        <v>0</v>
      </c>
      <c r="M5450" s="11">
        <f t="shared" si="854"/>
        <v>0</v>
      </c>
      <c r="N5450" s="11">
        <f t="shared" si="855"/>
        <v>34.185200000000002</v>
      </c>
      <c r="O5450" s="11">
        <f t="shared" si="856"/>
        <v>0.28000000000000003</v>
      </c>
      <c r="P5450" s="12">
        <f t="shared" si="857"/>
        <v>-34.185200000000002</v>
      </c>
      <c r="Q5450" s="17" t="str">
        <f t="shared" si="859"/>
        <v>Ecart négatif</v>
      </c>
    </row>
    <row r="5451" spans="1:18" x14ac:dyDescent="0.3">
      <c r="A5451" s="34">
        <f>base!J5451</f>
        <v>0</v>
      </c>
      <c r="B5451" s="34" t="str">
        <f>base!V5451</f>
        <v>77184</v>
      </c>
      <c r="C5451" s="37">
        <v>77</v>
      </c>
      <c r="D5451" s="36">
        <f>base!H5451</f>
        <v>31.6</v>
      </c>
      <c r="E5451" s="44"/>
      <c r="F5451" s="16">
        <f>base!W5451</f>
        <v>0</v>
      </c>
      <c r="G5451" s="11">
        <f t="shared" si="850"/>
        <v>0</v>
      </c>
      <c r="H5451" s="11">
        <f t="shared" si="851"/>
        <v>0</v>
      </c>
      <c r="I5451" s="11">
        <f t="shared" si="852"/>
        <v>0</v>
      </c>
      <c r="J5451" s="12">
        <f t="shared" si="853"/>
        <v>0</v>
      </c>
      <c r="K5451" s="17" t="str">
        <f t="shared" si="858"/>
        <v>Pas d'écart</v>
      </c>
      <c r="L5451" s="16">
        <f>base!X5451</f>
        <v>0</v>
      </c>
      <c r="M5451" s="11">
        <f t="shared" si="854"/>
        <v>0</v>
      </c>
      <c r="N5451" s="11">
        <f t="shared" si="855"/>
        <v>0</v>
      </c>
      <c r="O5451" s="11">
        <f t="shared" si="856"/>
        <v>0</v>
      </c>
      <c r="P5451" s="12">
        <f t="shared" si="857"/>
        <v>0</v>
      </c>
      <c r="Q5451" s="17" t="str">
        <f t="shared" si="859"/>
        <v>Pas d'écart</v>
      </c>
    </row>
    <row r="5452" spans="1:18" x14ac:dyDescent="0.3">
      <c r="A5452" s="34" t="str">
        <f>base!J5452</f>
        <v>LS</v>
      </c>
      <c r="B5452" s="34" t="str">
        <f>base!V5452</f>
        <v>76130</v>
      </c>
      <c r="C5452" s="37">
        <v>38</v>
      </c>
      <c r="D5452" s="36">
        <f>base!H5452</f>
        <v>151</v>
      </c>
      <c r="E5452" s="44"/>
      <c r="F5452" s="16">
        <f>base!W5452</f>
        <v>25.67</v>
      </c>
      <c r="G5452" s="11">
        <f t="shared" si="850"/>
        <v>0.17</v>
      </c>
      <c r="H5452" s="11">
        <f t="shared" si="851"/>
        <v>40.770000000000003</v>
      </c>
      <c r="I5452" s="11">
        <f t="shared" si="852"/>
        <v>0.27</v>
      </c>
      <c r="J5452" s="12">
        <f t="shared" si="853"/>
        <v>-15.100000000000001</v>
      </c>
      <c r="K5452" s="17" t="str">
        <f t="shared" si="858"/>
        <v>Ecart négatif</v>
      </c>
      <c r="L5452" s="16">
        <f>base!X5452</f>
        <v>0</v>
      </c>
      <c r="M5452" s="11">
        <f t="shared" si="854"/>
        <v>0</v>
      </c>
      <c r="N5452" s="11">
        <f t="shared" si="855"/>
        <v>0</v>
      </c>
      <c r="O5452" s="11">
        <f t="shared" si="856"/>
        <v>0</v>
      </c>
      <c r="P5452" s="12">
        <f t="shared" si="857"/>
        <v>0</v>
      </c>
      <c r="Q5452" s="17" t="str">
        <f t="shared" si="859"/>
        <v>Pas d'écart</v>
      </c>
    </row>
    <row r="5453" spans="1:18" x14ac:dyDescent="0.3">
      <c r="A5453" s="34">
        <f>base!J5453</f>
        <v>0</v>
      </c>
      <c r="B5453" s="34" t="str">
        <f>base!V5453</f>
        <v>77184</v>
      </c>
      <c r="C5453" s="37">
        <v>77</v>
      </c>
      <c r="D5453" s="36">
        <f>base!H5453</f>
        <v>84.5</v>
      </c>
      <c r="E5453" s="44"/>
      <c r="F5453" s="16">
        <f>base!W5453</f>
        <v>0</v>
      </c>
      <c r="G5453" s="11">
        <f t="shared" si="850"/>
        <v>0</v>
      </c>
      <c r="H5453" s="11">
        <f t="shared" si="851"/>
        <v>0</v>
      </c>
      <c r="I5453" s="11">
        <f t="shared" si="852"/>
        <v>0</v>
      </c>
      <c r="J5453" s="12">
        <f t="shared" si="853"/>
        <v>0</v>
      </c>
      <c r="K5453" s="17" t="str">
        <f t="shared" si="858"/>
        <v>Pas d'écart</v>
      </c>
      <c r="L5453" s="16">
        <f>base!X5453</f>
        <v>0</v>
      </c>
      <c r="M5453" s="11">
        <f t="shared" si="854"/>
        <v>0</v>
      </c>
      <c r="N5453" s="11">
        <f t="shared" si="855"/>
        <v>0</v>
      </c>
      <c r="O5453" s="11">
        <f t="shared" si="856"/>
        <v>0</v>
      </c>
      <c r="P5453" s="12">
        <f t="shared" si="857"/>
        <v>0</v>
      </c>
      <c r="Q5453" s="17" t="str">
        <f t="shared" si="859"/>
        <v>Pas d'écart</v>
      </c>
    </row>
    <row r="5454" spans="1:18" x14ac:dyDescent="0.3">
      <c r="A5454" s="34" t="str">
        <f>base!J5454</f>
        <v>LM</v>
      </c>
      <c r="B5454" s="34" t="str">
        <f>base!V5454</f>
        <v>69007</v>
      </c>
      <c r="C5454" s="37">
        <v>38</v>
      </c>
      <c r="D5454" s="36">
        <f>base!H5454</f>
        <v>160.61000000000001</v>
      </c>
      <c r="E5454" s="44"/>
      <c r="F5454" s="16">
        <f>base!W5454</f>
        <v>43.36</v>
      </c>
      <c r="G5454" s="11">
        <f t="shared" si="850"/>
        <v>0.2699707365668389</v>
      </c>
      <c r="H5454" s="11">
        <f t="shared" si="851"/>
        <v>43.364700000000006</v>
      </c>
      <c r="I5454" s="11">
        <f t="shared" si="852"/>
        <v>0.27</v>
      </c>
      <c r="J5454" s="12">
        <f t="shared" si="853"/>
        <v>-4.7000000000068098E-3</v>
      </c>
      <c r="K5454" s="17" t="str">
        <f t="shared" si="858"/>
        <v>Ecart négatif</v>
      </c>
      <c r="L5454" s="16">
        <f>base!X5454</f>
        <v>0</v>
      </c>
      <c r="M5454" s="11">
        <f t="shared" si="854"/>
        <v>0</v>
      </c>
      <c r="N5454" s="11">
        <f t="shared" si="855"/>
        <v>0</v>
      </c>
      <c r="O5454" s="11">
        <f t="shared" si="856"/>
        <v>0</v>
      </c>
      <c r="P5454" s="12">
        <f t="shared" si="857"/>
        <v>0</v>
      </c>
      <c r="Q5454" s="17" t="str">
        <f t="shared" si="859"/>
        <v>Pas d'écart</v>
      </c>
    </row>
    <row r="5455" spans="1:18" x14ac:dyDescent="0.3">
      <c r="A5455" s="34" t="str">
        <f>base!J5455</f>
        <v>LS</v>
      </c>
      <c r="B5455" s="34" t="str">
        <f>base!V5455</f>
        <v>84700</v>
      </c>
      <c r="C5455" s="37">
        <v>38</v>
      </c>
      <c r="D5455" s="36">
        <f>base!H5455</f>
        <v>24.2</v>
      </c>
      <c r="E5455" s="44"/>
      <c r="F5455" s="16">
        <f>base!W5455</f>
        <v>7.02</v>
      </c>
      <c r="G5455" s="11">
        <f t="shared" si="850"/>
        <v>0.29008264462809918</v>
      </c>
      <c r="H5455" s="11">
        <f t="shared" si="851"/>
        <v>6.5339999999999998</v>
      </c>
      <c r="I5455" s="11">
        <f t="shared" si="852"/>
        <v>0.27</v>
      </c>
      <c r="J5455" s="12">
        <f t="shared" si="853"/>
        <v>0.48599999999999977</v>
      </c>
      <c r="K5455" s="17" t="str">
        <f t="shared" si="858"/>
        <v>Ecart positif</v>
      </c>
      <c r="L5455" s="16">
        <f>base!X5455</f>
        <v>0</v>
      </c>
      <c r="M5455" s="11">
        <f t="shared" si="854"/>
        <v>0</v>
      </c>
      <c r="N5455" s="11">
        <f t="shared" si="855"/>
        <v>0</v>
      </c>
      <c r="O5455" s="11">
        <f t="shared" si="856"/>
        <v>0</v>
      </c>
      <c r="P5455" s="12">
        <f t="shared" si="857"/>
        <v>0</v>
      </c>
      <c r="Q5455" s="17" t="str">
        <f t="shared" si="859"/>
        <v>Pas d'écart</v>
      </c>
    </row>
    <row r="5456" spans="1:18" x14ac:dyDescent="0.3">
      <c r="A5456" s="34">
        <f>base!J5456</f>
        <v>0</v>
      </c>
      <c r="B5456" s="34" t="str">
        <f>base!V5456</f>
        <v>77184</v>
      </c>
      <c r="C5456" s="37">
        <v>77</v>
      </c>
      <c r="D5456" s="36">
        <f>base!H5456</f>
        <v>10</v>
      </c>
      <c r="E5456" s="44"/>
      <c r="F5456" s="16">
        <f>base!W5456</f>
        <v>0</v>
      </c>
      <c r="G5456" s="11">
        <f t="shared" si="850"/>
        <v>0</v>
      </c>
      <c r="H5456" s="11">
        <f t="shared" si="851"/>
        <v>0</v>
      </c>
      <c r="I5456" s="11">
        <f t="shared" si="852"/>
        <v>0</v>
      </c>
      <c r="J5456" s="12">
        <f t="shared" si="853"/>
        <v>0</v>
      </c>
      <c r="K5456" s="17" t="str">
        <f t="shared" si="858"/>
        <v>Pas d'écart</v>
      </c>
      <c r="L5456" s="16">
        <f>base!X5456</f>
        <v>0</v>
      </c>
      <c r="M5456" s="11">
        <f t="shared" si="854"/>
        <v>0</v>
      </c>
      <c r="N5456" s="11">
        <f t="shared" si="855"/>
        <v>0</v>
      </c>
      <c r="O5456" s="11">
        <f t="shared" si="856"/>
        <v>0</v>
      </c>
      <c r="P5456" s="12">
        <f t="shared" si="857"/>
        <v>0</v>
      </c>
      <c r="Q5456" s="17" t="str">
        <f t="shared" si="859"/>
        <v>Pas d'écart</v>
      </c>
    </row>
    <row r="5457" spans="1:18" x14ac:dyDescent="0.3">
      <c r="A5457" s="34">
        <f>base!J5457</f>
        <v>0</v>
      </c>
      <c r="B5457" s="34" t="str">
        <f>base!V5457</f>
        <v>77184</v>
      </c>
      <c r="C5457" s="37">
        <v>77</v>
      </c>
      <c r="D5457" s="36">
        <f>base!H5457</f>
        <v>10</v>
      </c>
      <c r="E5457" s="44"/>
      <c r="F5457" s="16">
        <f>base!W5457</f>
        <v>0</v>
      </c>
      <c r="G5457" s="11">
        <f t="shared" si="850"/>
        <v>0</v>
      </c>
      <c r="H5457" s="11">
        <f t="shared" si="851"/>
        <v>0</v>
      </c>
      <c r="I5457" s="11">
        <f t="shared" si="852"/>
        <v>0</v>
      </c>
      <c r="J5457" s="12">
        <f t="shared" si="853"/>
        <v>0</v>
      </c>
      <c r="K5457" s="17" t="str">
        <f t="shared" si="858"/>
        <v>Pas d'écart</v>
      </c>
      <c r="L5457" s="16">
        <f>base!X5457</f>
        <v>0</v>
      </c>
      <c r="M5457" s="11">
        <f t="shared" si="854"/>
        <v>0</v>
      </c>
      <c r="N5457" s="11">
        <f t="shared" si="855"/>
        <v>0</v>
      </c>
      <c r="O5457" s="11">
        <f t="shared" si="856"/>
        <v>0</v>
      </c>
      <c r="P5457" s="12">
        <f t="shared" si="857"/>
        <v>0</v>
      </c>
      <c r="Q5457" s="17" t="str">
        <f t="shared" si="859"/>
        <v>Pas d'écart</v>
      </c>
    </row>
    <row r="5458" spans="1:18" x14ac:dyDescent="0.3">
      <c r="A5458" s="34" t="str">
        <f>base!J5458</f>
        <v>RS</v>
      </c>
      <c r="B5458" s="34" t="str">
        <f>base!V5458</f>
        <v>35235</v>
      </c>
      <c r="C5458" s="37">
        <v>35</v>
      </c>
      <c r="D5458" s="36">
        <f>base!H5458</f>
        <v>140</v>
      </c>
      <c r="E5458" s="44"/>
      <c r="F5458" s="16">
        <f>base!W5458</f>
        <v>0</v>
      </c>
      <c r="G5458" s="11">
        <f t="shared" si="850"/>
        <v>0</v>
      </c>
      <c r="H5458" s="11">
        <f t="shared" si="851"/>
        <v>37.800000000000004</v>
      </c>
      <c r="I5458" s="11">
        <f t="shared" si="852"/>
        <v>0.27</v>
      </c>
      <c r="J5458" s="12">
        <f t="shared" si="853"/>
        <v>-37.800000000000004</v>
      </c>
      <c r="K5458" s="17" t="str">
        <f t="shared" si="858"/>
        <v>Ecart négatif</v>
      </c>
      <c r="L5458" s="16">
        <f>base!X5458</f>
        <v>37.799999999999997</v>
      </c>
      <c r="M5458" s="11">
        <f t="shared" si="854"/>
        <v>0.26999999999999996</v>
      </c>
      <c r="N5458" s="11">
        <f t="shared" si="855"/>
        <v>0</v>
      </c>
      <c r="O5458" s="11">
        <f t="shared" si="856"/>
        <v>0</v>
      </c>
      <c r="P5458" s="12">
        <f t="shared" si="857"/>
        <v>37.799999999999997</v>
      </c>
      <c r="Q5458" s="17" t="str">
        <f t="shared" si="859"/>
        <v>Ecart positif</v>
      </c>
    </row>
    <row r="5459" spans="1:18" x14ac:dyDescent="0.3">
      <c r="A5459" s="34" t="str">
        <f>base!J5459</f>
        <v>RM</v>
      </c>
      <c r="B5459" s="34" t="str">
        <f>base!V5459</f>
        <v>13115</v>
      </c>
      <c r="C5459" s="37">
        <v>13</v>
      </c>
      <c r="D5459" s="36">
        <f>base!H5459</f>
        <v>137.05000000000001</v>
      </c>
      <c r="E5459" s="44"/>
      <c r="F5459" s="16">
        <f>base!W5459</f>
        <v>0</v>
      </c>
      <c r="G5459" s="11">
        <f t="shared" si="850"/>
        <v>0</v>
      </c>
      <c r="H5459" s="11">
        <f t="shared" si="851"/>
        <v>39.744500000000002</v>
      </c>
      <c r="I5459" s="11">
        <f t="shared" si="852"/>
        <v>0.28999999999999998</v>
      </c>
      <c r="J5459" s="12">
        <f t="shared" si="853"/>
        <v>-39.744500000000002</v>
      </c>
      <c r="K5459" s="17" t="str">
        <f t="shared" si="858"/>
        <v>Ecart négatif</v>
      </c>
      <c r="L5459" s="16">
        <f>base!X5459</f>
        <v>26.04</v>
      </c>
      <c r="M5459" s="11">
        <f t="shared" si="854"/>
        <v>0.19000364830353883</v>
      </c>
      <c r="N5459" s="11">
        <f t="shared" si="855"/>
        <v>26.039500000000004</v>
      </c>
      <c r="O5459" s="11">
        <f t="shared" si="856"/>
        <v>0.19</v>
      </c>
      <c r="P5459" s="12">
        <f t="shared" si="857"/>
        <v>4.99999999995282E-4</v>
      </c>
      <c r="Q5459" s="17" t="str">
        <f t="shared" si="859"/>
        <v>Ecart positif</v>
      </c>
      <c r="R5459" s="38"/>
    </row>
    <row r="5460" spans="1:18" x14ac:dyDescent="0.3">
      <c r="A5460" s="34" t="str">
        <f>base!J5460</f>
        <v>RM</v>
      </c>
      <c r="B5460" s="34" t="str">
        <f>base!V5460</f>
        <v>13115</v>
      </c>
      <c r="C5460" s="37">
        <v>13</v>
      </c>
      <c r="D5460" s="36">
        <f>base!H5460</f>
        <v>137.05000000000001</v>
      </c>
      <c r="E5460" s="44"/>
      <c r="F5460" s="16">
        <f>base!W5460</f>
        <v>0</v>
      </c>
      <c r="G5460" s="11">
        <f t="shared" si="850"/>
        <v>0</v>
      </c>
      <c r="H5460" s="11">
        <f t="shared" si="851"/>
        <v>39.744500000000002</v>
      </c>
      <c r="I5460" s="11">
        <f t="shared" si="852"/>
        <v>0.28999999999999998</v>
      </c>
      <c r="J5460" s="12">
        <f t="shared" si="853"/>
        <v>-39.744500000000002</v>
      </c>
      <c r="K5460" s="17" t="str">
        <f t="shared" si="858"/>
        <v>Ecart négatif</v>
      </c>
      <c r="L5460" s="16">
        <f>base!X5460</f>
        <v>26.04</v>
      </c>
      <c r="M5460" s="11">
        <f t="shared" si="854"/>
        <v>0.19000364830353883</v>
      </c>
      <c r="N5460" s="11">
        <f t="shared" si="855"/>
        <v>26.039500000000004</v>
      </c>
      <c r="O5460" s="11">
        <f t="shared" si="856"/>
        <v>0.19</v>
      </c>
      <c r="P5460" s="12">
        <f t="shared" si="857"/>
        <v>4.99999999995282E-4</v>
      </c>
      <c r="Q5460" s="17" t="str">
        <f t="shared" si="859"/>
        <v>Ecart positif</v>
      </c>
      <c r="R5460" s="38"/>
    </row>
    <row r="5461" spans="1:18" x14ac:dyDescent="0.3">
      <c r="A5461" s="34" t="str">
        <f>base!J5461</f>
        <v>RM</v>
      </c>
      <c r="B5461" s="34" t="str">
        <f>base!V5461</f>
        <v>13115</v>
      </c>
      <c r="C5461" s="37">
        <v>13</v>
      </c>
      <c r="D5461" s="36">
        <f>base!H5461</f>
        <v>137.05000000000001</v>
      </c>
      <c r="E5461" s="44"/>
      <c r="F5461" s="16">
        <f>base!W5461</f>
        <v>0</v>
      </c>
      <c r="G5461" s="11">
        <f t="shared" si="850"/>
        <v>0</v>
      </c>
      <c r="H5461" s="11">
        <f t="shared" si="851"/>
        <v>39.744500000000002</v>
      </c>
      <c r="I5461" s="11">
        <f t="shared" si="852"/>
        <v>0.28999999999999998</v>
      </c>
      <c r="J5461" s="12">
        <f t="shared" si="853"/>
        <v>-39.744500000000002</v>
      </c>
      <c r="K5461" s="17" t="str">
        <f t="shared" si="858"/>
        <v>Ecart négatif</v>
      </c>
      <c r="L5461" s="16">
        <f>base!X5461</f>
        <v>26.04</v>
      </c>
      <c r="M5461" s="11">
        <f t="shared" si="854"/>
        <v>0.19000364830353883</v>
      </c>
      <c r="N5461" s="11">
        <f t="shared" si="855"/>
        <v>26.039500000000004</v>
      </c>
      <c r="O5461" s="11">
        <f t="shared" si="856"/>
        <v>0.19</v>
      </c>
      <c r="P5461" s="12">
        <f t="shared" si="857"/>
        <v>4.99999999995282E-4</v>
      </c>
      <c r="Q5461" s="17" t="str">
        <f t="shared" si="859"/>
        <v>Ecart positif</v>
      </c>
      <c r="R5461" s="38"/>
    </row>
    <row r="5462" spans="1:18" x14ac:dyDescent="0.3">
      <c r="A5462" s="34" t="str">
        <f>base!J5462</f>
        <v>LS</v>
      </c>
      <c r="B5462" s="34" t="str">
        <f>base!V5462</f>
        <v>94410</v>
      </c>
      <c r="C5462" s="37">
        <v>94</v>
      </c>
      <c r="D5462" s="36">
        <f>base!H5462</f>
        <v>55.34</v>
      </c>
      <c r="E5462" s="44"/>
      <c r="F5462" s="16">
        <f>base!W5462</f>
        <v>0</v>
      </c>
      <c r="G5462" s="11">
        <f t="shared" si="850"/>
        <v>0</v>
      </c>
      <c r="H5462" s="11">
        <f t="shared" si="851"/>
        <v>0</v>
      </c>
      <c r="I5462" s="11">
        <f t="shared" si="852"/>
        <v>0</v>
      </c>
      <c r="J5462" s="12">
        <f t="shared" si="853"/>
        <v>0</v>
      </c>
      <c r="K5462" s="17" t="str">
        <f t="shared" si="858"/>
        <v>Pas d'écart</v>
      </c>
      <c r="L5462" s="16">
        <f>base!X5462</f>
        <v>0</v>
      </c>
      <c r="M5462" s="11">
        <f t="shared" si="854"/>
        <v>0</v>
      </c>
      <c r="N5462" s="11">
        <f t="shared" si="855"/>
        <v>0</v>
      </c>
      <c r="O5462" s="11">
        <f t="shared" si="856"/>
        <v>0</v>
      </c>
      <c r="P5462" s="12">
        <f t="shared" si="857"/>
        <v>0</v>
      </c>
      <c r="Q5462" s="17" t="str">
        <f t="shared" si="859"/>
        <v>Pas d'écart</v>
      </c>
    </row>
    <row r="5463" spans="1:18" x14ac:dyDescent="0.3">
      <c r="A5463" s="34" t="str">
        <f>base!J5463</f>
        <v>LS</v>
      </c>
      <c r="B5463" s="34" t="str">
        <f>base!V5463</f>
        <v>59500</v>
      </c>
      <c r="C5463" s="37">
        <v>38</v>
      </c>
      <c r="D5463" s="36">
        <f>base!H5463</f>
        <v>151</v>
      </c>
      <c r="E5463" s="44"/>
      <c r="F5463" s="16">
        <f>base!W5463</f>
        <v>0</v>
      </c>
      <c r="G5463" s="11">
        <f t="shared" si="850"/>
        <v>0</v>
      </c>
      <c r="H5463" s="11">
        <f t="shared" si="851"/>
        <v>40.770000000000003</v>
      </c>
      <c r="I5463" s="11">
        <f t="shared" si="852"/>
        <v>0.27</v>
      </c>
      <c r="J5463" s="12">
        <f t="shared" si="853"/>
        <v>-40.770000000000003</v>
      </c>
      <c r="K5463" s="17" t="str">
        <f t="shared" si="858"/>
        <v>Ecart négatif</v>
      </c>
      <c r="L5463" s="16">
        <f>base!X5463</f>
        <v>0</v>
      </c>
      <c r="M5463" s="11">
        <f t="shared" si="854"/>
        <v>0</v>
      </c>
      <c r="N5463" s="11">
        <f t="shared" si="855"/>
        <v>0</v>
      </c>
      <c r="O5463" s="11">
        <f t="shared" si="856"/>
        <v>0</v>
      </c>
      <c r="P5463" s="12">
        <f t="shared" si="857"/>
        <v>0</v>
      </c>
      <c r="Q5463" s="17" t="str">
        <f t="shared" si="859"/>
        <v>Pas d'écart</v>
      </c>
    </row>
    <row r="5464" spans="1:18" x14ac:dyDescent="0.3">
      <c r="A5464" s="34" t="str">
        <f>base!J5464</f>
        <v>LM</v>
      </c>
      <c r="B5464" s="34" t="str">
        <f>base!V5464</f>
        <v>54300</v>
      </c>
      <c r="C5464" s="37">
        <v>38</v>
      </c>
      <c r="D5464" s="36">
        <f>base!H5464</f>
        <v>151.93</v>
      </c>
      <c r="E5464" s="44"/>
      <c r="F5464" s="16">
        <f>base!W5464</f>
        <v>37.979999999999997</v>
      </c>
      <c r="G5464" s="11">
        <f t="shared" si="850"/>
        <v>0.24998354505364309</v>
      </c>
      <c r="H5464" s="11">
        <f t="shared" si="851"/>
        <v>41.021100000000004</v>
      </c>
      <c r="I5464" s="11">
        <f t="shared" si="852"/>
        <v>0.27</v>
      </c>
      <c r="J5464" s="12">
        <f t="shared" si="853"/>
        <v>-3.0411000000000072</v>
      </c>
      <c r="K5464" s="17" t="str">
        <f t="shared" si="858"/>
        <v>Ecart négatif</v>
      </c>
      <c r="L5464" s="16">
        <f>base!X5464</f>
        <v>0</v>
      </c>
      <c r="M5464" s="11">
        <f t="shared" si="854"/>
        <v>0</v>
      </c>
      <c r="N5464" s="11">
        <f t="shared" si="855"/>
        <v>0</v>
      </c>
      <c r="O5464" s="11">
        <f t="shared" si="856"/>
        <v>0</v>
      </c>
      <c r="P5464" s="12">
        <f t="shared" si="857"/>
        <v>0</v>
      </c>
      <c r="Q5464" s="17" t="str">
        <f t="shared" si="859"/>
        <v>Pas d'écart</v>
      </c>
    </row>
    <row r="5465" spans="1:18" x14ac:dyDescent="0.3">
      <c r="A5465" s="34" t="str">
        <f>base!J5465</f>
        <v>RS</v>
      </c>
      <c r="B5465" s="34" t="str">
        <f>base!V5465</f>
        <v>80100</v>
      </c>
      <c r="C5465" s="37">
        <v>80</v>
      </c>
      <c r="D5465" s="36">
        <f>base!H5465</f>
        <v>140</v>
      </c>
      <c r="E5465" s="44"/>
      <c r="F5465" s="16">
        <f>base!W5465</f>
        <v>0</v>
      </c>
      <c r="G5465" s="11">
        <f t="shared" si="850"/>
        <v>0</v>
      </c>
      <c r="H5465" s="11">
        <f t="shared" si="851"/>
        <v>26.6</v>
      </c>
      <c r="I5465" s="11">
        <f t="shared" si="852"/>
        <v>0.19</v>
      </c>
      <c r="J5465" s="12">
        <f t="shared" si="853"/>
        <v>-26.6</v>
      </c>
      <c r="K5465" s="17" t="str">
        <f t="shared" si="858"/>
        <v>Ecart négatif</v>
      </c>
      <c r="L5465" s="16">
        <f>base!X5465</f>
        <v>0</v>
      </c>
      <c r="M5465" s="11">
        <f t="shared" si="854"/>
        <v>0</v>
      </c>
      <c r="N5465" s="11">
        <f t="shared" si="855"/>
        <v>0</v>
      </c>
      <c r="O5465" s="11">
        <f t="shared" si="856"/>
        <v>0</v>
      </c>
      <c r="P5465" s="12">
        <f t="shared" si="857"/>
        <v>0</v>
      </c>
      <c r="Q5465" s="17" t="str">
        <f t="shared" si="859"/>
        <v>Pas d'écart</v>
      </c>
    </row>
    <row r="5466" spans="1:18" x14ac:dyDescent="0.3">
      <c r="A5466" s="34" t="str">
        <f>base!J5466</f>
        <v>LM</v>
      </c>
      <c r="B5466" s="34" t="str">
        <f>base!V5466</f>
        <v>26000</v>
      </c>
      <c r="C5466" s="37">
        <v>38</v>
      </c>
      <c r="D5466" s="36">
        <f>base!H5466</f>
        <v>55.16</v>
      </c>
      <c r="E5466" s="44"/>
      <c r="F5466" s="16">
        <f>base!W5466</f>
        <v>14.89</v>
      </c>
      <c r="G5466" s="11">
        <f t="shared" si="850"/>
        <v>0.26994198694706312</v>
      </c>
      <c r="H5466" s="11">
        <f t="shared" si="851"/>
        <v>14.8932</v>
      </c>
      <c r="I5466" s="11">
        <f t="shared" si="852"/>
        <v>0.27</v>
      </c>
      <c r="J5466" s="12">
        <f t="shared" si="853"/>
        <v>-3.1999999999996476E-3</v>
      </c>
      <c r="K5466" s="17" t="str">
        <f t="shared" si="858"/>
        <v>Ecart négatif</v>
      </c>
      <c r="L5466" s="16">
        <f>base!X5466</f>
        <v>0</v>
      </c>
      <c r="M5466" s="11">
        <f t="shared" si="854"/>
        <v>0</v>
      </c>
      <c r="N5466" s="11">
        <f t="shared" si="855"/>
        <v>0</v>
      </c>
      <c r="O5466" s="11">
        <f t="shared" si="856"/>
        <v>0</v>
      </c>
      <c r="P5466" s="12">
        <f t="shared" si="857"/>
        <v>0</v>
      </c>
      <c r="Q5466" s="17" t="str">
        <f t="shared" si="859"/>
        <v>Pas d'écart</v>
      </c>
    </row>
    <row r="5467" spans="1:18" x14ac:dyDescent="0.3">
      <c r="A5467" s="34" t="str">
        <f>base!J5467</f>
        <v>LM</v>
      </c>
      <c r="B5467" s="34" t="str">
        <f>base!V5467</f>
        <v>73200</v>
      </c>
      <c r="C5467" s="37">
        <v>38</v>
      </c>
      <c r="D5467" s="36">
        <f>base!H5467</f>
        <v>137.43</v>
      </c>
      <c r="E5467" s="44"/>
      <c r="F5467" s="16">
        <f>base!W5467</f>
        <v>37.11</v>
      </c>
      <c r="G5467" s="11">
        <f t="shared" si="850"/>
        <v>0.27002837808338787</v>
      </c>
      <c r="H5467" s="11">
        <f t="shared" si="851"/>
        <v>37.106100000000005</v>
      </c>
      <c r="I5467" s="11">
        <f t="shared" si="852"/>
        <v>0.27</v>
      </c>
      <c r="J5467" s="12">
        <f t="shared" si="853"/>
        <v>3.8999999999944635E-3</v>
      </c>
      <c r="K5467" s="17" t="str">
        <f t="shared" si="858"/>
        <v>Ecart positif</v>
      </c>
      <c r="L5467" s="16">
        <f>base!X5467</f>
        <v>0</v>
      </c>
      <c r="M5467" s="11">
        <f t="shared" si="854"/>
        <v>0</v>
      </c>
      <c r="N5467" s="11">
        <f t="shared" si="855"/>
        <v>0</v>
      </c>
      <c r="O5467" s="11">
        <f t="shared" si="856"/>
        <v>0</v>
      </c>
      <c r="P5467" s="12">
        <f t="shared" si="857"/>
        <v>0</v>
      </c>
      <c r="Q5467" s="17" t="str">
        <f t="shared" si="859"/>
        <v>Pas d'écart</v>
      </c>
    </row>
    <row r="5468" spans="1:18" x14ac:dyDescent="0.3">
      <c r="A5468" s="34" t="str">
        <f>base!J5468</f>
        <v>LM</v>
      </c>
      <c r="B5468" s="34" t="str">
        <f>base!V5468</f>
        <v>73200</v>
      </c>
      <c r="C5468" s="37">
        <v>38</v>
      </c>
      <c r="D5468" s="36">
        <f>base!H5468</f>
        <v>20.23</v>
      </c>
      <c r="E5468" s="44"/>
      <c r="F5468" s="16">
        <f>base!W5468</f>
        <v>5.46</v>
      </c>
      <c r="G5468" s="11">
        <f t="shared" si="850"/>
        <v>0.26989619377162627</v>
      </c>
      <c r="H5468" s="11">
        <f t="shared" si="851"/>
        <v>5.4621000000000004</v>
      </c>
      <c r="I5468" s="11">
        <f t="shared" si="852"/>
        <v>0.27</v>
      </c>
      <c r="J5468" s="12">
        <f t="shared" si="853"/>
        <v>-2.1000000000004349E-3</v>
      </c>
      <c r="K5468" s="17" t="str">
        <f t="shared" si="858"/>
        <v>Ecart négatif</v>
      </c>
      <c r="L5468" s="16">
        <f>base!X5468</f>
        <v>0</v>
      </c>
      <c r="M5468" s="11">
        <f t="shared" si="854"/>
        <v>0</v>
      </c>
      <c r="N5468" s="11">
        <f t="shared" si="855"/>
        <v>0</v>
      </c>
      <c r="O5468" s="11">
        <f t="shared" si="856"/>
        <v>0</v>
      </c>
      <c r="P5468" s="12">
        <f t="shared" si="857"/>
        <v>0</v>
      </c>
      <c r="Q5468" s="17" t="str">
        <f t="shared" si="859"/>
        <v>Pas d'écart</v>
      </c>
    </row>
    <row r="5469" spans="1:18" x14ac:dyDescent="0.3">
      <c r="A5469" s="34" t="str">
        <f>base!J5469</f>
        <v>LM</v>
      </c>
      <c r="B5469" s="34" t="str">
        <f>base!V5469</f>
        <v>56920</v>
      </c>
      <c r="C5469" s="37">
        <v>7</v>
      </c>
      <c r="D5469" s="36">
        <f>base!H5469</f>
        <v>49.08</v>
      </c>
      <c r="E5469" s="44"/>
      <c r="F5469" s="16">
        <f>base!W5469</f>
        <v>13.25</v>
      </c>
      <c r="G5469" s="11">
        <f t="shared" si="850"/>
        <v>0.26996740016299919</v>
      </c>
      <c r="H5469" s="11">
        <f t="shared" si="851"/>
        <v>13.2516</v>
      </c>
      <c r="I5469" s="11">
        <f t="shared" si="852"/>
        <v>0.27</v>
      </c>
      <c r="J5469" s="12">
        <f t="shared" si="853"/>
        <v>-1.5999999999998238E-3</v>
      </c>
      <c r="K5469" s="17" t="str">
        <f t="shared" si="858"/>
        <v>Ecart négatif</v>
      </c>
      <c r="L5469" s="16">
        <f>base!X5469</f>
        <v>0</v>
      </c>
      <c r="M5469" s="11">
        <f t="shared" si="854"/>
        <v>0</v>
      </c>
      <c r="N5469" s="11">
        <f t="shared" si="855"/>
        <v>0</v>
      </c>
      <c r="O5469" s="11">
        <f t="shared" si="856"/>
        <v>0</v>
      </c>
      <c r="P5469" s="12">
        <f t="shared" si="857"/>
        <v>0</v>
      </c>
      <c r="Q5469" s="17" t="str">
        <f t="shared" si="859"/>
        <v>Pas d'écart</v>
      </c>
    </row>
    <row r="5470" spans="1:18" x14ac:dyDescent="0.3">
      <c r="A5470" s="34" t="str">
        <f>base!J5470</f>
        <v>LS</v>
      </c>
      <c r="B5470" s="34" t="str">
        <f>base!V5470</f>
        <v>56920</v>
      </c>
      <c r="C5470" s="37">
        <v>38</v>
      </c>
      <c r="D5470" s="36">
        <f>base!H5470</f>
        <v>49.08</v>
      </c>
      <c r="E5470" s="44"/>
      <c r="F5470" s="16">
        <f>base!W5470</f>
        <v>13.25</v>
      </c>
      <c r="G5470" s="11">
        <f t="shared" si="850"/>
        <v>0.26996740016299919</v>
      </c>
      <c r="H5470" s="11">
        <f t="shared" si="851"/>
        <v>13.2516</v>
      </c>
      <c r="I5470" s="11">
        <f t="shared" si="852"/>
        <v>0.27</v>
      </c>
      <c r="J5470" s="12">
        <f t="shared" si="853"/>
        <v>-1.5999999999998238E-3</v>
      </c>
      <c r="K5470" s="17" t="str">
        <f t="shared" si="858"/>
        <v>Ecart négatif</v>
      </c>
      <c r="L5470" s="16">
        <f>base!X5470</f>
        <v>0</v>
      </c>
      <c r="M5470" s="11">
        <f t="shared" si="854"/>
        <v>0</v>
      </c>
      <c r="N5470" s="11">
        <f t="shared" si="855"/>
        <v>0</v>
      </c>
      <c r="O5470" s="11">
        <f t="shared" si="856"/>
        <v>0</v>
      </c>
      <c r="P5470" s="12">
        <f t="shared" si="857"/>
        <v>0</v>
      </c>
      <c r="Q5470" s="17" t="str">
        <f t="shared" si="859"/>
        <v>Pas d'écart</v>
      </c>
    </row>
    <row r="5471" spans="1:18" x14ac:dyDescent="0.3">
      <c r="A5471" s="34" t="str">
        <f>base!J5471</f>
        <v>LM</v>
      </c>
      <c r="B5471" s="34" t="str">
        <f>base!V5471</f>
        <v>22600</v>
      </c>
      <c r="C5471" s="37">
        <v>26</v>
      </c>
      <c r="D5471" s="36">
        <f>base!H5471</f>
        <v>49.08</v>
      </c>
      <c r="E5471" s="44"/>
      <c r="F5471" s="16">
        <f>base!W5471</f>
        <v>19.14</v>
      </c>
      <c r="G5471" s="11">
        <f t="shared" si="850"/>
        <v>0.38997555012224944</v>
      </c>
      <c r="H5471" s="11">
        <f t="shared" si="851"/>
        <v>13.2516</v>
      </c>
      <c r="I5471" s="11">
        <f t="shared" si="852"/>
        <v>0.27</v>
      </c>
      <c r="J5471" s="12">
        <f t="shared" si="853"/>
        <v>5.8884000000000007</v>
      </c>
      <c r="K5471" s="17" t="str">
        <f t="shared" si="858"/>
        <v>Ecart positif</v>
      </c>
      <c r="L5471" s="16">
        <f>base!X5471</f>
        <v>0</v>
      </c>
      <c r="M5471" s="11">
        <f t="shared" si="854"/>
        <v>0</v>
      </c>
      <c r="N5471" s="11">
        <f t="shared" si="855"/>
        <v>0</v>
      </c>
      <c r="O5471" s="11">
        <f t="shared" si="856"/>
        <v>0</v>
      </c>
      <c r="P5471" s="12">
        <f t="shared" si="857"/>
        <v>0</v>
      </c>
      <c r="Q5471" s="17" t="str">
        <f t="shared" si="859"/>
        <v>Pas d'écart</v>
      </c>
    </row>
    <row r="5472" spans="1:18" x14ac:dyDescent="0.3">
      <c r="A5472" s="34" t="str">
        <f>base!J5472</f>
        <v>LS</v>
      </c>
      <c r="B5472" s="34" t="str">
        <f>base!V5472</f>
        <v>95716</v>
      </c>
      <c r="C5472" s="37">
        <v>38</v>
      </c>
      <c r="D5472" s="36">
        <f>base!H5472</f>
        <v>20.23</v>
      </c>
      <c r="E5472" s="44"/>
      <c r="F5472" s="16">
        <f>base!W5472</f>
        <v>5.87</v>
      </c>
      <c r="G5472" s="11">
        <f t="shared" si="850"/>
        <v>0.2901631240731587</v>
      </c>
      <c r="H5472" s="11">
        <f t="shared" si="851"/>
        <v>5.4621000000000004</v>
      </c>
      <c r="I5472" s="11">
        <f t="shared" si="852"/>
        <v>0.27</v>
      </c>
      <c r="J5472" s="12">
        <f t="shared" si="853"/>
        <v>0.40789999999999971</v>
      </c>
      <c r="K5472" s="17" t="str">
        <f t="shared" si="858"/>
        <v>Ecart positif</v>
      </c>
      <c r="L5472" s="16">
        <f>base!X5472</f>
        <v>0</v>
      </c>
      <c r="M5472" s="11">
        <f t="shared" si="854"/>
        <v>0</v>
      </c>
      <c r="N5472" s="11">
        <f t="shared" si="855"/>
        <v>0</v>
      </c>
      <c r="O5472" s="11">
        <f t="shared" si="856"/>
        <v>0</v>
      </c>
      <c r="P5472" s="12">
        <f t="shared" si="857"/>
        <v>0</v>
      </c>
      <c r="Q5472" s="17" t="str">
        <f t="shared" si="859"/>
        <v>Pas d'écart</v>
      </c>
    </row>
    <row r="5473" spans="1:18" x14ac:dyDescent="0.3">
      <c r="A5473" s="34" t="str">
        <f>base!J5473</f>
        <v>LM</v>
      </c>
      <c r="B5473" s="34" t="str">
        <f>base!V5473</f>
        <v>68520</v>
      </c>
      <c r="C5473" s="37">
        <v>38</v>
      </c>
      <c r="D5473" s="36">
        <f>base!H5473</f>
        <v>153.81</v>
      </c>
      <c r="E5473" s="44"/>
      <c r="F5473" s="16">
        <f>base!W5473</f>
        <v>44.6</v>
      </c>
      <c r="G5473" s="11">
        <f t="shared" si="850"/>
        <v>0.28996814251349068</v>
      </c>
      <c r="H5473" s="11">
        <f t="shared" si="851"/>
        <v>41.528700000000001</v>
      </c>
      <c r="I5473" s="11">
        <f t="shared" si="852"/>
        <v>0.27</v>
      </c>
      <c r="J5473" s="12">
        <f t="shared" si="853"/>
        <v>3.0713000000000008</v>
      </c>
      <c r="K5473" s="17" t="str">
        <f t="shared" si="858"/>
        <v>Ecart positif</v>
      </c>
      <c r="L5473" s="16">
        <f>base!X5473</f>
        <v>0</v>
      </c>
      <c r="M5473" s="11">
        <f t="shared" si="854"/>
        <v>0</v>
      </c>
      <c r="N5473" s="11">
        <f t="shared" si="855"/>
        <v>0</v>
      </c>
      <c r="O5473" s="11">
        <f t="shared" si="856"/>
        <v>0</v>
      </c>
      <c r="P5473" s="12">
        <f t="shared" si="857"/>
        <v>0</v>
      </c>
      <c r="Q5473" s="17" t="str">
        <f t="shared" si="859"/>
        <v>Pas d'écart</v>
      </c>
    </row>
    <row r="5474" spans="1:18" x14ac:dyDescent="0.3">
      <c r="A5474" s="34" t="str">
        <f>base!J5474</f>
        <v>LS</v>
      </c>
      <c r="B5474" s="34" t="str">
        <f>base!V5474</f>
        <v>45400</v>
      </c>
      <c r="C5474" s="37">
        <v>7</v>
      </c>
      <c r="D5474" s="36">
        <f>base!H5474</f>
        <v>22.62</v>
      </c>
      <c r="E5474" s="44"/>
      <c r="F5474" s="16">
        <f>base!W5474</f>
        <v>4.75</v>
      </c>
      <c r="G5474" s="11">
        <f t="shared" si="850"/>
        <v>0.20999115826702033</v>
      </c>
      <c r="H5474" s="11">
        <f t="shared" si="851"/>
        <v>6.1074000000000011</v>
      </c>
      <c r="I5474" s="11">
        <f t="shared" si="852"/>
        <v>0.27</v>
      </c>
      <c r="J5474" s="12">
        <f t="shared" si="853"/>
        <v>-1.3574000000000011</v>
      </c>
      <c r="K5474" s="17" t="str">
        <f t="shared" si="858"/>
        <v>Ecart négatif</v>
      </c>
      <c r="L5474" s="16">
        <f>base!X5474</f>
        <v>0</v>
      </c>
      <c r="M5474" s="11">
        <f t="shared" si="854"/>
        <v>0</v>
      </c>
      <c r="N5474" s="11">
        <f t="shared" si="855"/>
        <v>0</v>
      </c>
      <c r="O5474" s="11">
        <f t="shared" si="856"/>
        <v>0</v>
      </c>
      <c r="P5474" s="12">
        <f t="shared" si="857"/>
        <v>0</v>
      </c>
      <c r="Q5474" s="17" t="str">
        <f t="shared" si="859"/>
        <v>Pas d'écart</v>
      </c>
    </row>
    <row r="5475" spans="1:18" x14ac:dyDescent="0.3">
      <c r="A5475" s="34" t="str">
        <f>base!J5475</f>
        <v>RS</v>
      </c>
      <c r="B5475" s="34" t="str">
        <f>base!V5475</f>
        <v>67960</v>
      </c>
      <c r="C5475" s="37">
        <v>67</v>
      </c>
      <c r="D5475" s="36">
        <f>base!H5475</f>
        <v>183.38</v>
      </c>
      <c r="E5475" s="44"/>
      <c r="F5475" s="16">
        <f>base!W5475</f>
        <v>0</v>
      </c>
      <c r="G5475" s="11">
        <f t="shared" si="850"/>
        <v>0</v>
      </c>
      <c r="H5475" s="11">
        <f t="shared" si="851"/>
        <v>53.180199999999992</v>
      </c>
      <c r="I5475" s="11">
        <f t="shared" si="852"/>
        <v>0.28999999999999998</v>
      </c>
      <c r="J5475" s="12">
        <f t="shared" si="853"/>
        <v>-53.180199999999992</v>
      </c>
      <c r="K5475" s="17" t="str">
        <f t="shared" si="858"/>
        <v>Ecart négatif</v>
      </c>
      <c r="L5475" s="16">
        <f>base!X5475</f>
        <v>14.67</v>
      </c>
      <c r="M5475" s="11">
        <f t="shared" si="854"/>
        <v>7.9997818737048754E-2</v>
      </c>
      <c r="N5475" s="11">
        <f t="shared" si="855"/>
        <v>14.670400000000001</v>
      </c>
      <c r="O5475" s="11">
        <f t="shared" si="856"/>
        <v>0.08</v>
      </c>
      <c r="P5475" s="12">
        <f t="shared" si="857"/>
        <v>-4.0000000000084412E-4</v>
      </c>
      <c r="Q5475" s="17" t="str">
        <f t="shared" si="859"/>
        <v>Ecart négatif</v>
      </c>
      <c r="R5475" s="38"/>
    </row>
    <row r="5476" spans="1:18" x14ac:dyDescent="0.3">
      <c r="A5476" s="34">
        <f>base!J5476</f>
        <v>0</v>
      </c>
      <c r="B5476" s="34" t="str">
        <f>base!V5476</f>
        <v>77184</v>
      </c>
      <c r="C5476" s="37">
        <v>77</v>
      </c>
      <c r="D5476" s="36">
        <f>base!H5476</f>
        <v>99.5</v>
      </c>
      <c r="E5476" s="44"/>
      <c r="F5476" s="16">
        <f>base!W5476</f>
        <v>0</v>
      </c>
      <c r="G5476" s="11">
        <f t="shared" si="850"/>
        <v>0</v>
      </c>
      <c r="H5476" s="11">
        <f t="shared" si="851"/>
        <v>0</v>
      </c>
      <c r="I5476" s="11">
        <f t="shared" si="852"/>
        <v>0</v>
      </c>
      <c r="J5476" s="12">
        <f t="shared" si="853"/>
        <v>0</v>
      </c>
      <c r="K5476" s="17" t="str">
        <f t="shared" si="858"/>
        <v>Pas d'écart</v>
      </c>
      <c r="L5476" s="16">
        <f>base!X5476</f>
        <v>0</v>
      </c>
      <c r="M5476" s="11">
        <f t="shared" si="854"/>
        <v>0</v>
      </c>
      <c r="N5476" s="11">
        <f t="shared" si="855"/>
        <v>0</v>
      </c>
      <c r="O5476" s="11">
        <f t="shared" si="856"/>
        <v>0</v>
      </c>
      <c r="P5476" s="12">
        <f t="shared" si="857"/>
        <v>0</v>
      </c>
      <c r="Q5476" s="17" t="str">
        <f t="shared" si="859"/>
        <v>Pas d'écart</v>
      </c>
    </row>
    <row r="5477" spans="1:18" x14ac:dyDescent="0.3">
      <c r="A5477" s="34">
        <f>base!J5477</f>
        <v>0</v>
      </c>
      <c r="B5477" s="34" t="str">
        <f>base!V5477</f>
        <v>77184</v>
      </c>
      <c r="C5477" s="37">
        <v>77</v>
      </c>
      <c r="D5477" s="36">
        <f>base!H5477</f>
        <v>84.5</v>
      </c>
      <c r="E5477" s="44"/>
      <c r="F5477" s="16">
        <f>base!W5477</f>
        <v>0</v>
      </c>
      <c r="G5477" s="11">
        <f t="shared" si="850"/>
        <v>0</v>
      </c>
      <c r="H5477" s="11">
        <f t="shared" si="851"/>
        <v>0</v>
      </c>
      <c r="I5477" s="11">
        <f t="shared" si="852"/>
        <v>0</v>
      </c>
      <c r="J5477" s="12">
        <f t="shared" si="853"/>
        <v>0</v>
      </c>
      <c r="K5477" s="17" t="str">
        <f t="shared" si="858"/>
        <v>Pas d'écart</v>
      </c>
      <c r="L5477" s="16">
        <f>base!X5477</f>
        <v>0</v>
      </c>
      <c r="M5477" s="11">
        <f t="shared" si="854"/>
        <v>0</v>
      </c>
      <c r="N5477" s="11">
        <f t="shared" si="855"/>
        <v>0</v>
      </c>
      <c r="O5477" s="11">
        <f t="shared" si="856"/>
        <v>0</v>
      </c>
      <c r="P5477" s="12">
        <f t="shared" si="857"/>
        <v>0</v>
      </c>
      <c r="Q5477" s="17" t="str">
        <f t="shared" si="859"/>
        <v>Pas d'écart</v>
      </c>
    </row>
    <row r="5478" spans="1:18" x14ac:dyDescent="0.3">
      <c r="A5478" s="34" t="str">
        <f>base!J5478</f>
        <v>DLS</v>
      </c>
      <c r="B5478" s="34" t="str">
        <f>base!V5478</f>
        <v>83600</v>
      </c>
      <c r="C5478" s="37">
        <v>83</v>
      </c>
      <c r="D5478" s="36">
        <f>base!H5478</f>
        <v>73.34</v>
      </c>
      <c r="E5478" s="44"/>
      <c r="F5478" s="16">
        <f>base!W5478</f>
        <v>0</v>
      </c>
      <c r="G5478" s="11">
        <f t="shared" si="850"/>
        <v>0</v>
      </c>
      <c r="H5478" s="11">
        <f t="shared" si="851"/>
        <v>22.001999999999999</v>
      </c>
      <c r="I5478" s="11">
        <f t="shared" si="852"/>
        <v>0.3</v>
      </c>
      <c r="J5478" s="12">
        <f t="shared" si="853"/>
        <v>-22.001999999999999</v>
      </c>
      <c r="K5478" s="17" t="str">
        <f t="shared" si="858"/>
        <v>Ecart négatif</v>
      </c>
      <c r="L5478" s="16">
        <f>base!X5478</f>
        <v>0</v>
      </c>
      <c r="M5478" s="11">
        <f t="shared" si="854"/>
        <v>0</v>
      </c>
      <c r="N5478" s="11">
        <f t="shared" si="855"/>
        <v>15.401400000000001</v>
      </c>
      <c r="O5478" s="11">
        <f t="shared" si="856"/>
        <v>0.21</v>
      </c>
      <c r="P5478" s="12">
        <f t="shared" si="857"/>
        <v>-15.401400000000001</v>
      </c>
      <c r="Q5478" s="17" t="str">
        <f t="shared" si="859"/>
        <v>Ecart négatif</v>
      </c>
    </row>
    <row r="5479" spans="1:18" x14ac:dyDescent="0.3">
      <c r="A5479" s="34" t="str">
        <f>base!J5479</f>
        <v>LS</v>
      </c>
      <c r="B5479" s="34" t="str">
        <f>base!V5479</f>
        <v>69003</v>
      </c>
      <c r="C5479" s="37">
        <v>7</v>
      </c>
      <c r="D5479" s="36">
        <f>base!H5479</f>
        <v>153.52000000000001</v>
      </c>
      <c r="E5479" s="44"/>
      <c r="F5479" s="16">
        <f>base!W5479</f>
        <v>41.45</v>
      </c>
      <c r="G5479" s="11">
        <f t="shared" si="850"/>
        <v>0.26999739447628973</v>
      </c>
      <c r="H5479" s="11">
        <f t="shared" si="851"/>
        <v>41.450400000000009</v>
      </c>
      <c r="I5479" s="11">
        <f t="shared" si="852"/>
        <v>0.27</v>
      </c>
      <c r="J5479" s="12">
        <f t="shared" si="853"/>
        <v>-4.000000000061732E-4</v>
      </c>
      <c r="K5479" s="17" t="str">
        <f t="shared" si="858"/>
        <v>Ecart négatif</v>
      </c>
      <c r="L5479" s="16">
        <f>base!X5479</f>
        <v>0</v>
      </c>
      <c r="M5479" s="11">
        <f t="shared" si="854"/>
        <v>0</v>
      </c>
      <c r="N5479" s="11">
        <f t="shared" si="855"/>
        <v>0</v>
      </c>
      <c r="O5479" s="11">
        <f t="shared" si="856"/>
        <v>0</v>
      </c>
      <c r="P5479" s="12">
        <f t="shared" si="857"/>
        <v>0</v>
      </c>
      <c r="Q5479" s="17" t="str">
        <f t="shared" si="859"/>
        <v>Pas d'écart</v>
      </c>
    </row>
    <row r="5480" spans="1:18" x14ac:dyDescent="0.3">
      <c r="A5480" s="34" t="str">
        <f>base!J5480</f>
        <v>LM</v>
      </c>
      <c r="B5480" s="34" t="str">
        <f>base!V5480</f>
        <v>44700</v>
      </c>
      <c r="C5480" s="37">
        <v>73</v>
      </c>
      <c r="D5480" s="36">
        <f>base!H5480</f>
        <v>75.16</v>
      </c>
      <c r="E5480" s="44"/>
      <c r="F5480" s="16">
        <f>base!W5480</f>
        <v>20.29</v>
      </c>
      <c r="G5480" s="11">
        <f t="shared" si="850"/>
        <v>0.2699574241617882</v>
      </c>
      <c r="H5480" s="11">
        <f t="shared" si="851"/>
        <v>20.293199999999999</v>
      </c>
      <c r="I5480" s="11">
        <f t="shared" si="852"/>
        <v>0.27</v>
      </c>
      <c r="J5480" s="12">
        <f t="shared" si="853"/>
        <v>-3.1999999999996476E-3</v>
      </c>
      <c r="K5480" s="17" t="str">
        <f t="shared" si="858"/>
        <v>Ecart négatif</v>
      </c>
      <c r="L5480" s="16">
        <f>base!X5480</f>
        <v>0</v>
      </c>
      <c r="M5480" s="11">
        <f t="shared" si="854"/>
        <v>0</v>
      </c>
      <c r="N5480" s="11">
        <f t="shared" si="855"/>
        <v>0</v>
      </c>
      <c r="O5480" s="11">
        <f t="shared" si="856"/>
        <v>0</v>
      </c>
      <c r="P5480" s="12">
        <f t="shared" si="857"/>
        <v>0</v>
      </c>
      <c r="Q5480" s="17" t="str">
        <f t="shared" si="859"/>
        <v>Pas d'écart</v>
      </c>
    </row>
    <row r="5481" spans="1:18" x14ac:dyDescent="0.3">
      <c r="A5481" s="34" t="str">
        <f>base!J5481</f>
        <v>LM</v>
      </c>
      <c r="B5481" s="34" t="str">
        <f>base!V5481</f>
        <v>67089</v>
      </c>
      <c r="C5481" s="37">
        <v>73</v>
      </c>
      <c r="D5481" s="36">
        <f>base!H5481</f>
        <v>183.68</v>
      </c>
      <c r="E5481" s="44"/>
      <c r="F5481" s="16">
        <f>base!W5481</f>
        <v>53.27</v>
      </c>
      <c r="G5481" s="11">
        <f t="shared" si="850"/>
        <v>0.29001524390243905</v>
      </c>
      <c r="H5481" s="11">
        <f t="shared" si="851"/>
        <v>49.593600000000002</v>
      </c>
      <c r="I5481" s="11">
        <f t="shared" si="852"/>
        <v>0.27</v>
      </c>
      <c r="J5481" s="12">
        <f t="shared" si="853"/>
        <v>3.676400000000001</v>
      </c>
      <c r="K5481" s="17" t="str">
        <f t="shared" si="858"/>
        <v>Ecart positif</v>
      </c>
      <c r="L5481" s="16">
        <f>base!X5481</f>
        <v>0</v>
      </c>
      <c r="M5481" s="11">
        <f t="shared" si="854"/>
        <v>0</v>
      </c>
      <c r="N5481" s="11">
        <f t="shared" si="855"/>
        <v>0</v>
      </c>
      <c r="O5481" s="11">
        <f t="shared" si="856"/>
        <v>0</v>
      </c>
      <c r="P5481" s="12">
        <f t="shared" si="857"/>
        <v>0</v>
      </c>
      <c r="Q5481" s="17" t="str">
        <f t="shared" si="859"/>
        <v>Pas d'écart</v>
      </c>
    </row>
    <row r="5482" spans="1:18" x14ac:dyDescent="0.3">
      <c r="A5482" s="34" t="str">
        <f>base!J5482</f>
        <v>LS</v>
      </c>
      <c r="B5482" s="34" t="str">
        <f>base!V5482</f>
        <v>67300</v>
      </c>
      <c r="C5482" s="37">
        <v>44</v>
      </c>
      <c r="D5482" s="36">
        <f>base!H5482</f>
        <v>69.7</v>
      </c>
      <c r="E5482" s="44"/>
      <c r="F5482" s="16">
        <f>base!W5482</f>
        <v>20.21</v>
      </c>
      <c r="G5482" s="11">
        <f t="shared" si="850"/>
        <v>0.28995695839311336</v>
      </c>
      <c r="H5482" s="11">
        <f t="shared" si="851"/>
        <v>18.819000000000003</v>
      </c>
      <c r="I5482" s="11">
        <f t="shared" si="852"/>
        <v>0.27</v>
      </c>
      <c r="J5482" s="12">
        <f t="shared" si="853"/>
        <v>1.3909999999999982</v>
      </c>
      <c r="K5482" s="17" t="str">
        <f t="shared" si="858"/>
        <v>Ecart positif</v>
      </c>
      <c r="L5482" s="16">
        <f>base!X5482</f>
        <v>0</v>
      </c>
      <c r="M5482" s="11">
        <f t="shared" si="854"/>
        <v>0</v>
      </c>
      <c r="N5482" s="11">
        <f t="shared" si="855"/>
        <v>0</v>
      </c>
      <c r="O5482" s="11">
        <f t="shared" si="856"/>
        <v>0</v>
      </c>
      <c r="P5482" s="12">
        <f t="shared" si="857"/>
        <v>0</v>
      </c>
      <c r="Q5482" s="17" t="str">
        <f t="shared" si="859"/>
        <v>Pas d'écart</v>
      </c>
    </row>
    <row r="5483" spans="1:18" x14ac:dyDescent="0.3">
      <c r="A5483" s="34" t="str">
        <f>base!J5483</f>
        <v>LS</v>
      </c>
      <c r="B5483" s="34" t="str">
        <f>base!V5483</f>
        <v>51150</v>
      </c>
      <c r="C5483" s="37">
        <v>19</v>
      </c>
      <c r="D5483" s="36">
        <f>base!H5483</f>
        <v>33.35</v>
      </c>
      <c r="E5483" s="44"/>
      <c r="F5483" s="16">
        <f>base!W5483</f>
        <v>8.34</v>
      </c>
      <c r="G5483" s="11">
        <f t="shared" si="850"/>
        <v>0.25007496251874062</v>
      </c>
      <c r="H5483" s="11">
        <f t="shared" si="851"/>
        <v>9.6715</v>
      </c>
      <c r="I5483" s="11">
        <f t="shared" si="852"/>
        <v>0.28999999999999998</v>
      </c>
      <c r="J5483" s="12">
        <f t="shared" si="853"/>
        <v>-1.3315000000000001</v>
      </c>
      <c r="K5483" s="17" t="str">
        <f t="shared" si="858"/>
        <v>Ecart négatif</v>
      </c>
      <c r="L5483" s="16">
        <f>base!X5483</f>
        <v>0</v>
      </c>
      <c r="M5483" s="11">
        <f t="shared" si="854"/>
        <v>0</v>
      </c>
      <c r="N5483" s="11">
        <f t="shared" si="855"/>
        <v>4.0019999999999998</v>
      </c>
      <c r="O5483" s="11">
        <f t="shared" si="856"/>
        <v>0.11999999999999998</v>
      </c>
      <c r="P5483" s="12">
        <f t="shared" si="857"/>
        <v>-4.0019999999999998</v>
      </c>
      <c r="Q5483" s="17" t="str">
        <f t="shared" si="859"/>
        <v>Ecart négatif</v>
      </c>
    </row>
    <row r="5484" spans="1:18" x14ac:dyDescent="0.3">
      <c r="A5484" s="34">
        <f>base!J5484</f>
        <v>0</v>
      </c>
      <c r="B5484" s="34" t="str">
        <f>base!V5484</f>
        <v>77184</v>
      </c>
      <c r="C5484" s="37">
        <v>77</v>
      </c>
      <c r="D5484" s="36">
        <f>base!H5484</f>
        <v>180</v>
      </c>
      <c r="E5484" s="44"/>
      <c r="F5484" s="16">
        <f>base!W5484</f>
        <v>0</v>
      </c>
      <c r="G5484" s="11">
        <f t="shared" si="850"/>
        <v>0</v>
      </c>
      <c r="H5484" s="11">
        <f t="shared" si="851"/>
        <v>0</v>
      </c>
      <c r="I5484" s="11">
        <f t="shared" si="852"/>
        <v>0</v>
      </c>
      <c r="J5484" s="12">
        <f t="shared" si="853"/>
        <v>0</v>
      </c>
      <c r="K5484" s="17" t="str">
        <f t="shared" si="858"/>
        <v>Pas d'écart</v>
      </c>
      <c r="L5484" s="16">
        <f>base!X5484</f>
        <v>0</v>
      </c>
      <c r="M5484" s="11">
        <f t="shared" si="854"/>
        <v>0</v>
      </c>
      <c r="N5484" s="11">
        <f t="shared" si="855"/>
        <v>0</v>
      </c>
      <c r="O5484" s="11">
        <f t="shared" si="856"/>
        <v>0</v>
      </c>
      <c r="P5484" s="12">
        <f t="shared" si="857"/>
        <v>0</v>
      </c>
      <c r="Q5484" s="17" t="str">
        <f t="shared" si="859"/>
        <v>Pas d'écart</v>
      </c>
    </row>
    <row r="5485" spans="1:18" x14ac:dyDescent="0.3">
      <c r="A5485" s="34" t="str">
        <f>base!J5485</f>
        <v>LM</v>
      </c>
      <c r="B5485" s="34" t="str">
        <f>base!V5485</f>
        <v>75008</v>
      </c>
      <c r="C5485" s="37">
        <v>75</v>
      </c>
      <c r="D5485" s="36">
        <f>base!H5485</f>
        <v>162</v>
      </c>
      <c r="E5485" s="44"/>
      <c r="F5485" s="16">
        <f>base!W5485</f>
        <v>0</v>
      </c>
      <c r="G5485" s="11">
        <f t="shared" si="850"/>
        <v>0</v>
      </c>
      <c r="H5485" s="11">
        <f t="shared" si="851"/>
        <v>0</v>
      </c>
      <c r="I5485" s="11">
        <f t="shared" si="852"/>
        <v>0</v>
      </c>
      <c r="J5485" s="12">
        <f t="shared" si="853"/>
        <v>0</v>
      </c>
      <c r="K5485" s="17" t="str">
        <f t="shared" si="858"/>
        <v>Pas d'écart</v>
      </c>
      <c r="L5485" s="16">
        <f>base!X5485</f>
        <v>0</v>
      </c>
      <c r="M5485" s="11">
        <f t="shared" si="854"/>
        <v>0</v>
      </c>
      <c r="N5485" s="11">
        <f t="shared" si="855"/>
        <v>0</v>
      </c>
      <c r="O5485" s="11">
        <f t="shared" si="856"/>
        <v>0</v>
      </c>
      <c r="P5485" s="12">
        <f t="shared" si="857"/>
        <v>0</v>
      </c>
      <c r="Q5485" s="17" t="str">
        <f t="shared" si="859"/>
        <v>Pas d'écart</v>
      </c>
    </row>
    <row r="5486" spans="1:18" x14ac:dyDescent="0.3">
      <c r="A5486" s="34" t="str">
        <f>base!J5486</f>
        <v>LS</v>
      </c>
      <c r="B5486" s="34" t="str">
        <f>base!V5486</f>
        <v>14000</v>
      </c>
      <c r="C5486" s="37">
        <v>19</v>
      </c>
      <c r="D5486" s="36">
        <f>base!H5486</f>
        <v>143.57</v>
      </c>
      <c r="E5486" s="44"/>
      <c r="F5486" s="16">
        <f>base!W5486</f>
        <v>24.41</v>
      </c>
      <c r="G5486" s="11">
        <f t="shared" si="850"/>
        <v>0.1700215922546493</v>
      </c>
      <c r="H5486" s="11">
        <f t="shared" si="851"/>
        <v>41.635299999999994</v>
      </c>
      <c r="I5486" s="11">
        <f t="shared" si="852"/>
        <v>0.28999999999999998</v>
      </c>
      <c r="J5486" s="12">
        <f t="shared" si="853"/>
        <v>-17.225299999999994</v>
      </c>
      <c r="K5486" s="17" t="str">
        <f t="shared" si="858"/>
        <v>Ecart négatif</v>
      </c>
      <c r="L5486" s="16">
        <f>base!X5486</f>
        <v>0</v>
      </c>
      <c r="M5486" s="11">
        <f t="shared" si="854"/>
        <v>0</v>
      </c>
      <c r="N5486" s="11">
        <f t="shared" si="855"/>
        <v>17.228399999999997</v>
      </c>
      <c r="O5486" s="11">
        <f t="shared" si="856"/>
        <v>0.11999999999999998</v>
      </c>
      <c r="P5486" s="12">
        <f t="shared" si="857"/>
        <v>-17.228399999999997</v>
      </c>
      <c r="Q5486" s="17" t="str">
        <f t="shared" si="859"/>
        <v>Ecart négatif</v>
      </c>
    </row>
    <row r="5487" spans="1:18" x14ac:dyDescent="0.3">
      <c r="A5487" s="34">
        <f>base!J5487</f>
        <v>0</v>
      </c>
      <c r="B5487" s="34" t="str">
        <f>base!V5487</f>
        <v>44240</v>
      </c>
      <c r="C5487" s="37">
        <v>44</v>
      </c>
      <c r="D5487" s="36">
        <f>base!H5487</f>
        <v>50</v>
      </c>
      <c r="E5487" s="44"/>
      <c r="F5487" s="16">
        <f>base!W5487</f>
        <v>0</v>
      </c>
      <c r="G5487" s="11">
        <f t="shared" si="850"/>
        <v>0</v>
      </c>
      <c r="H5487" s="11">
        <f t="shared" si="851"/>
        <v>13.5</v>
      </c>
      <c r="I5487" s="11">
        <f t="shared" si="852"/>
        <v>0.27</v>
      </c>
      <c r="J5487" s="12">
        <f t="shared" si="853"/>
        <v>-13.5</v>
      </c>
      <c r="K5487" s="17" t="str">
        <f t="shared" si="858"/>
        <v>Ecart négatif</v>
      </c>
      <c r="L5487" s="16">
        <f>base!X5487</f>
        <v>0</v>
      </c>
      <c r="M5487" s="11">
        <f t="shared" si="854"/>
        <v>0</v>
      </c>
      <c r="N5487" s="11">
        <f t="shared" si="855"/>
        <v>0</v>
      </c>
      <c r="O5487" s="11">
        <f t="shared" si="856"/>
        <v>0</v>
      </c>
      <c r="P5487" s="12">
        <f t="shared" si="857"/>
        <v>0</v>
      </c>
      <c r="Q5487" s="17" t="str">
        <f t="shared" si="859"/>
        <v>Pas d'écart</v>
      </c>
    </row>
    <row r="5488" spans="1:18" x14ac:dyDescent="0.3">
      <c r="A5488" s="34">
        <f>base!J5488</f>
        <v>0</v>
      </c>
      <c r="B5488" s="34" t="str">
        <f>base!V5488</f>
        <v>44240</v>
      </c>
      <c r="C5488" s="37">
        <v>44</v>
      </c>
      <c r="D5488" s="36">
        <f>base!H5488</f>
        <v>29.89</v>
      </c>
      <c r="E5488" s="44"/>
      <c r="F5488" s="16">
        <f>base!W5488</f>
        <v>0</v>
      </c>
      <c r="G5488" s="11">
        <f t="shared" si="850"/>
        <v>0</v>
      </c>
      <c r="H5488" s="11">
        <f t="shared" si="851"/>
        <v>8.0703000000000014</v>
      </c>
      <c r="I5488" s="11">
        <f t="shared" si="852"/>
        <v>0.27</v>
      </c>
      <c r="J5488" s="12">
        <f t="shared" si="853"/>
        <v>-8.0703000000000014</v>
      </c>
      <c r="K5488" s="17" t="str">
        <f t="shared" si="858"/>
        <v>Ecart négatif</v>
      </c>
      <c r="L5488" s="16">
        <f>base!X5488</f>
        <v>0</v>
      </c>
      <c r="M5488" s="11">
        <f t="shared" si="854"/>
        <v>0</v>
      </c>
      <c r="N5488" s="11">
        <f t="shared" si="855"/>
        <v>0</v>
      </c>
      <c r="O5488" s="11">
        <f t="shared" si="856"/>
        <v>0</v>
      </c>
      <c r="P5488" s="12">
        <f t="shared" si="857"/>
        <v>0</v>
      </c>
      <c r="Q5488" s="17" t="str">
        <f t="shared" si="859"/>
        <v>Pas d'écart</v>
      </c>
    </row>
    <row r="5489" spans="1:17" x14ac:dyDescent="0.3">
      <c r="A5489" s="34">
        <f>base!J5489</f>
        <v>0</v>
      </c>
      <c r="B5489" s="34" t="str">
        <f>base!V5489</f>
        <v>44240</v>
      </c>
      <c r="C5489" s="37">
        <v>44</v>
      </c>
      <c r="D5489" s="36">
        <f>base!H5489</f>
        <v>22.5</v>
      </c>
      <c r="E5489" s="44"/>
      <c r="F5489" s="16">
        <f>base!W5489</f>
        <v>0</v>
      </c>
      <c r="G5489" s="11">
        <f t="shared" si="850"/>
        <v>0</v>
      </c>
      <c r="H5489" s="11">
        <f t="shared" si="851"/>
        <v>6.0750000000000002</v>
      </c>
      <c r="I5489" s="11">
        <f t="shared" si="852"/>
        <v>0.27</v>
      </c>
      <c r="J5489" s="12">
        <f t="shared" si="853"/>
        <v>-6.0750000000000002</v>
      </c>
      <c r="K5489" s="17" t="str">
        <f t="shared" si="858"/>
        <v>Ecart négatif</v>
      </c>
      <c r="L5489" s="16">
        <f>base!X5489</f>
        <v>0</v>
      </c>
      <c r="M5489" s="11">
        <f t="shared" si="854"/>
        <v>0</v>
      </c>
      <c r="N5489" s="11">
        <f t="shared" si="855"/>
        <v>0</v>
      </c>
      <c r="O5489" s="11">
        <f t="shared" si="856"/>
        <v>0</v>
      </c>
      <c r="P5489" s="12">
        <f t="shared" si="857"/>
        <v>0</v>
      </c>
      <c r="Q5489" s="17" t="str">
        <f t="shared" si="859"/>
        <v>Pas d'écart</v>
      </c>
    </row>
    <row r="5490" spans="1:17" x14ac:dyDescent="0.3">
      <c r="A5490" s="34">
        <f>base!J5490</f>
        <v>0</v>
      </c>
      <c r="B5490" s="34" t="str">
        <f>base!V5490</f>
        <v>44240</v>
      </c>
      <c r="C5490" s="37">
        <v>44</v>
      </c>
      <c r="D5490" s="36">
        <f>base!H5490</f>
        <v>31.6</v>
      </c>
      <c r="E5490" s="44"/>
      <c r="F5490" s="16">
        <f>base!W5490</f>
        <v>0</v>
      </c>
      <c r="G5490" s="11">
        <f t="shared" si="850"/>
        <v>0</v>
      </c>
      <c r="H5490" s="11">
        <f t="shared" si="851"/>
        <v>8.5320000000000018</v>
      </c>
      <c r="I5490" s="11">
        <f t="shared" si="852"/>
        <v>0.27</v>
      </c>
      <c r="J5490" s="12">
        <f t="shared" si="853"/>
        <v>-8.5320000000000018</v>
      </c>
      <c r="K5490" s="17" t="str">
        <f t="shared" si="858"/>
        <v>Ecart négatif</v>
      </c>
      <c r="L5490" s="16">
        <f>base!X5490</f>
        <v>0</v>
      </c>
      <c r="M5490" s="11">
        <f t="shared" si="854"/>
        <v>0</v>
      </c>
      <c r="N5490" s="11">
        <f t="shared" si="855"/>
        <v>0</v>
      </c>
      <c r="O5490" s="11">
        <f t="shared" si="856"/>
        <v>0</v>
      </c>
      <c r="P5490" s="12">
        <f t="shared" si="857"/>
        <v>0</v>
      </c>
      <c r="Q5490" s="17" t="str">
        <f t="shared" si="859"/>
        <v>Pas d'écart</v>
      </c>
    </row>
    <row r="5491" spans="1:17" x14ac:dyDescent="0.3">
      <c r="A5491" s="34">
        <f>base!J5491</f>
        <v>0</v>
      </c>
      <c r="B5491" s="34" t="str">
        <f>base!V5491</f>
        <v>44240</v>
      </c>
      <c r="C5491" s="37">
        <v>44</v>
      </c>
      <c r="D5491" s="36">
        <f>base!H5491</f>
        <v>55</v>
      </c>
      <c r="E5491" s="44"/>
      <c r="F5491" s="16">
        <f>base!W5491</f>
        <v>0</v>
      </c>
      <c r="G5491" s="11">
        <f t="shared" si="850"/>
        <v>0</v>
      </c>
      <c r="H5491" s="11">
        <f t="shared" si="851"/>
        <v>14.850000000000001</v>
      </c>
      <c r="I5491" s="11">
        <f t="shared" si="852"/>
        <v>0.27</v>
      </c>
      <c r="J5491" s="12">
        <f t="shared" si="853"/>
        <v>-14.850000000000001</v>
      </c>
      <c r="K5491" s="17" t="str">
        <f t="shared" si="858"/>
        <v>Ecart négatif</v>
      </c>
      <c r="L5491" s="16">
        <f>base!X5491</f>
        <v>0</v>
      </c>
      <c r="M5491" s="11">
        <f t="shared" si="854"/>
        <v>0</v>
      </c>
      <c r="N5491" s="11">
        <f t="shared" si="855"/>
        <v>0</v>
      </c>
      <c r="O5491" s="11">
        <f t="shared" si="856"/>
        <v>0</v>
      </c>
      <c r="P5491" s="12">
        <f t="shared" si="857"/>
        <v>0</v>
      </c>
      <c r="Q5491" s="17" t="str">
        <f t="shared" si="859"/>
        <v>Pas d'écart</v>
      </c>
    </row>
    <row r="5492" spans="1:17" x14ac:dyDescent="0.3">
      <c r="A5492" s="34">
        <f>base!J5492</f>
        <v>0</v>
      </c>
      <c r="B5492" s="34" t="str">
        <f>base!V5492</f>
        <v>44240</v>
      </c>
      <c r="C5492" s="37">
        <v>44</v>
      </c>
      <c r="D5492" s="36">
        <f>base!H5492</f>
        <v>187.92</v>
      </c>
      <c r="E5492" s="44"/>
      <c r="F5492" s="16">
        <f>base!W5492</f>
        <v>0</v>
      </c>
      <c r="G5492" s="11">
        <f t="shared" si="850"/>
        <v>0</v>
      </c>
      <c r="H5492" s="11">
        <f t="shared" si="851"/>
        <v>50.738399999999999</v>
      </c>
      <c r="I5492" s="11">
        <f t="shared" si="852"/>
        <v>0.27</v>
      </c>
      <c r="J5492" s="12">
        <f t="shared" si="853"/>
        <v>-50.738399999999999</v>
      </c>
      <c r="K5492" s="17" t="str">
        <f t="shared" si="858"/>
        <v>Ecart négatif</v>
      </c>
      <c r="L5492" s="16">
        <f>base!X5492</f>
        <v>0</v>
      </c>
      <c r="M5492" s="11">
        <f t="shared" si="854"/>
        <v>0</v>
      </c>
      <c r="N5492" s="11">
        <f t="shared" si="855"/>
        <v>0</v>
      </c>
      <c r="O5492" s="11">
        <f t="shared" si="856"/>
        <v>0</v>
      </c>
      <c r="P5492" s="12">
        <f t="shared" si="857"/>
        <v>0</v>
      </c>
      <c r="Q5492" s="17" t="str">
        <f t="shared" si="859"/>
        <v>Pas d'écart</v>
      </c>
    </row>
    <row r="5493" spans="1:17" x14ac:dyDescent="0.3">
      <c r="A5493" s="34" t="str">
        <f>base!J5493</f>
        <v>Metre Aller</v>
      </c>
      <c r="B5493" s="34" t="str">
        <f>base!V5493</f>
        <v>77184</v>
      </c>
      <c r="C5493" s="37">
        <v>77</v>
      </c>
      <c r="D5493" s="36">
        <f>base!H5493</f>
        <v>175.82</v>
      </c>
      <c r="E5493" s="44"/>
      <c r="F5493" s="16">
        <f>base!W5493</f>
        <v>0</v>
      </c>
      <c r="G5493" s="11">
        <f t="shared" si="850"/>
        <v>0</v>
      </c>
      <c r="H5493" s="11">
        <f t="shared" si="851"/>
        <v>0</v>
      </c>
      <c r="I5493" s="11">
        <f t="shared" si="852"/>
        <v>0</v>
      </c>
      <c r="J5493" s="12">
        <f t="shared" si="853"/>
        <v>0</v>
      </c>
      <c r="K5493" s="17" t="str">
        <f t="shared" si="858"/>
        <v>Pas d'écart</v>
      </c>
      <c r="L5493" s="16">
        <f>base!X5493</f>
        <v>0</v>
      </c>
      <c r="M5493" s="11">
        <f t="shared" si="854"/>
        <v>0</v>
      </c>
      <c r="N5493" s="11">
        <f t="shared" si="855"/>
        <v>0</v>
      </c>
      <c r="O5493" s="11">
        <f t="shared" si="856"/>
        <v>0</v>
      </c>
      <c r="P5493" s="12">
        <f t="shared" si="857"/>
        <v>0</v>
      </c>
      <c r="Q5493" s="17" t="str">
        <f t="shared" si="859"/>
        <v>Pas d'écart</v>
      </c>
    </row>
    <row r="5494" spans="1:17" x14ac:dyDescent="0.3">
      <c r="A5494" s="34" t="str">
        <f>base!J5494</f>
        <v>LM</v>
      </c>
      <c r="B5494" s="34" t="str">
        <f>base!V5494</f>
        <v>95150</v>
      </c>
      <c r="C5494" s="37">
        <v>95</v>
      </c>
      <c r="D5494" s="36">
        <f>base!H5494</f>
        <v>859.89</v>
      </c>
      <c r="E5494" s="44"/>
      <c r="F5494" s="16">
        <f>base!W5494</f>
        <v>0</v>
      </c>
      <c r="G5494" s="11">
        <f t="shared" si="850"/>
        <v>0</v>
      </c>
      <c r="H5494" s="11">
        <f t="shared" si="851"/>
        <v>0</v>
      </c>
      <c r="I5494" s="11">
        <f t="shared" si="852"/>
        <v>0</v>
      </c>
      <c r="J5494" s="12">
        <f t="shared" si="853"/>
        <v>0</v>
      </c>
      <c r="K5494" s="17" t="str">
        <f t="shared" si="858"/>
        <v>Pas d'écart</v>
      </c>
      <c r="L5494" s="16">
        <f>base!X5494</f>
        <v>0</v>
      </c>
      <c r="M5494" s="11">
        <f t="shared" si="854"/>
        <v>0</v>
      </c>
      <c r="N5494" s="11">
        <f t="shared" si="855"/>
        <v>0</v>
      </c>
      <c r="O5494" s="11">
        <f t="shared" si="856"/>
        <v>0</v>
      </c>
      <c r="P5494" s="12">
        <f t="shared" si="857"/>
        <v>0</v>
      </c>
      <c r="Q5494" s="17" t="str">
        <f t="shared" si="859"/>
        <v>Pas d'écart</v>
      </c>
    </row>
    <row r="5495" spans="1:17" x14ac:dyDescent="0.3">
      <c r="A5495" s="34" t="str">
        <f>base!J5495</f>
        <v>LS</v>
      </c>
      <c r="B5495" s="34" t="str">
        <f>base!V5495</f>
        <v>75013</v>
      </c>
      <c r="C5495" s="37">
        <v>75</v>
      </c>
      <c r="D5495" s="36">
        <f>base!H5495</f>
        <v>0</v>
      </c>
      <c r="E5495" s="44"/>
      <c r="F5495" s="16">
        <f>base!W5495</f>
        <v>0</v>
      </c>
      <c r="G5495" s="11" t="e">
        <f t="shared" si="850"/>
        <v>#DIV/0!</v>
      </c>
      <c r="H5495" s="11">
        <f t="shared" si="851"/>
        <v>0</v>
      </c>
      <c r="I5495" s="11" t="e">
        <f t="shared" si="852"/>
        <v>#DIV/0!</v>
      </c>
      <c r="J5495" s="12">
        <f t="shared" si="853"/>
        <v>0</v>
      </c>
      <c r="K5495" s="17" t="str">
        <f t="shared" si="858"/>
        <v>Pas d'écart</v>
      </c>
      <c r="L5495" s="16">
        <f>base!X5495</f>
        <v>0</v>
      </c>
      <c r="M5495" s="11" t="e">
        <f t="shared" si="854"/>
        <v>#DIV/0!</v>
      </c>
      <c r="N5495" s="11">
        <f t="shared" si="855"/>
        <v>0</v>
      </c>
      <c r="O5495" s="11" t="e">
        <f t="shared" si="856"/>
        <v>#DIV/0!</v>
      </c>
      <c r="P5495" s="12">
        <f t="shared" si="857"/>
        <v>0</v>
      </c>
      <c r="Q5495" s="17" t="str">
        <f t="shared" si="859"/>
        <v>Pas d'écart</v>
      </c>
    </row>
    <row r="5496" spans="1:17" x14ac:dyDescent="0.3">
      <c r="A5496" s="34" t="str">
        <f>base!J5496</f>
        <v>DRS</v>
      </c>
      <c r="B5496" s="34" t="str">
        <f>base!V5496</f>
        <v>35500</v>
      </c>
      <c r="C5496" s="37">
        <v>35</v>
      </c>
      <c r="D5496" s="36">
        <f>base!H5496</f>
        <v>180</v>
      </c>
      <c r="E5496" s="44"/>
      <c r="F5496" s="16">
        <f>base!W5496</f>
        <v>0</v>
      </c>
      <c r="G5496" s="11">
        <f t="shared" si="850"/>
        <v>0</v>
      </c>
      <c r="H5496" s="11">
        <f t="shared" si="851"/>
        <v>48.6</v>
      </c>
      <c r="I5496" s="11">
        <f t="shared" si="852"/>
        <v>0.27</v>
      </c>
      <c r="J5496" s="12">
        <f t="shared" si="853"/>
        <v>-48.6</v>
      </c>
      <c r="K5496" s="17" t="str">
        <f t="shared" si="858"/>
        <v>Ecart négatif</v>
      </c>
      <c r="L5496" s="16">
        <f>base!X5496</f>
        <v>0</v>
      </c>
      <c r="M5496" s="11">
        <f t="shared" si="854"/>
        <v>0</v>
      </c>
      <c r="N5496" s="11">
        <f t="shared" si="855"/>
        <v>0</v>
      </c>
      <c r="O5496" s="11">
        <f t="shared" si="856"/>
        <v>0</v>
      </c>
      <c r="P5496" s="12">
        <f t="shared" si="857"/>
        <v>0</v>
      </c>
      <c r="Q5496" s="17" t="str">
        <f t="shared" si="859"/>
        <v>Pas d'écart</v>
      </c>
    </row>
    <row r="5497" spans="1:17" x14ac:dyDescent="0.3">
      <c r="A5497" s="34" t="str">
        <f>base!J5497</f>
        <v>LM</v>
      </c>
      <c r="B5497" s="34" t="str">
        <f>base!V5497</f>
        <v>67850</v>
      </c>
      <c r="C5497" s="37">
        <v>19</v>
      </c>
      <c r="D5497" s="36">
        <f>base!H5497</f>
        <v>149.63</v>
      </c>
      <c r="E5497" s="44"/>
      <c r="F5497" s="16">
        <f>base!W5497</f>
        <v>43.39</v>
      </c>
      <c r="G5497" s="11">
        <f t="shared" si="850"/>
        <v>0.28998195549020922</v>
      </c>
      <c r="H5497" s="11">
        <f t="shared" si="851"/>
        <v>43.392699999999998</v>
      </c>
      <c r="I5497" s="11">
        <f t="shared" si="852"/>
        <v>0.28999999999999998</v>
      </c>
      <c r="J5497" s="12">
        <f t="shared" si="853"/>
        <v>-2.6999999999972601E-3</v>
      </c>
      <c r="K5497" s="17" t="str">
        <f t="shared" si="858"/>
        <v>Ecart négatif</v>
      </c>
      <c r="L5497" s="16">
        <f>base!X5497</f>
        <v>0</v>
      </c>
      <c r="M5497" s="11">
        <f t="shared" si="854"/>
        <v>0</v>
      </c>
      <c r="N5497" s="11">
        <f t="shared" si="855"/>
        <v>17.9556</v>
      </c>
      <c r="O5497" s="11">
        <f t="shared" si="856"/>
        <v>0.12000000000000001</v>
      </c>
      <c r="P5497" s="12">
        <f t="shared" si="857"/>
        <v>-17.9556</v>
      </c>
      <c r="Q5497" s="17" t="str">
        <f t="shared" si="859"/>
        <v>Ecart négatif</v>
      </c>
    </row>
    <row r="5498" spans="1:17" x14ac:dyDescent="0.3">
      <c r="A5498" s="34">
        <f>base!J5498</f>
        <v>0</v>
      </c>
      <c r="B5498" s="34" t="str">
        <f>base!V5498</f>
        <v>77184</v>
      </c>
      <c r="C5498" s="37">
        <v>77</v>
      </c>
      <c r="D5498" s="36">
        <f>base!H5498</f>
        <v>84.5</v>
      </c>
      <c r="E5498" s="44"/>
      <c r="F5498" s="16">
        <f>base!W5498</f>
        <v>0</v>
      </c>
      <c r="G5498" s="11">
        <f t="shared" si="850"/>
        <v>0</v>
      </c>
      <c r="H5498" s="11">
        <f t="shared" si="851"/>
        <v>0</v>
      </c>
      <c r="I5498" s="11">
        <f t="shared" si="852"/>
        <v>0</v>
      </c>
      <c r="J5498" s="12">
        <f t="shared" si="853"/>
        <v>0</v>
      </c>
      <c r="K5498" s="17" t="str">
        <f t="shared" si="858"/>
        <v>Pas d'écart</v>
      </c>
      <c r="L5498" s="16">
        <f>base!X5498</f>
        <v>0</v>
      </c>
      <c r="M5498" s="11">
        <f t="shared" si="854"/>
        <v>0</v>
      </c>
      <c r="N5498" s="11">
        <f t="shared" si="855"/>
        <v>0</v>
      </c>
      <c r="O5498" s="11">
        <f t="shared" si="856"/>
        <v>0</v>
      </c>
      <c r="P5498" s="12">
        <f t="shared" si="857"/>
        <v>0</v>
      </c>
      <c r="Q5498" s="17" t="str">
        <f t="shared" si="859"/>
        <v>Pas d'écart</v>
      </c>
    </row>
    <row r="5499" spans="1:17" x14ac:dyDescent="0.3">
      <c r="A5499" s="34">
        <f>base!J5499</f>
        <v>0</v>
      </c>
      <c r="B5499" s="34" t="str">
        <f>base!V5499</f>
        <v>77184</v>
      </c>
      <c r="C5499" s="37">
        <v>77</v>
      </c>
      <c r="D5499" s="36">
        <f>base!H5499</f>
        <v>170</v>
      </c>
      <c r="E5499" s="44"/>
      <c r="F5499" s="16">
        <f>base!W5499</f>
        <v>0</v>
      </c>
      <c r="G5499" s="11">
        <f t="shared" si="850"/>
        <v>0</v>
      </c>
      <c r="H5499" s="11">
        <f t="shared" si="851"/>
        <v>0</v>
      </c>
      <c r="I5499" s="11">
        <f t="shared" si="852"/>
        <v>0</v>
      </c>
      <c r="J5499" s="12">
        <f t="shared" si="853"/>
        <v>0</v>
      </c>
      <c r="K5499" s="17" t="str">
        <f t="shared" si="858"/>
        <v>Pas d'écart</v>
      </c>
      <c r="L5499" s="16">
        <f>base!X5499</f>
        <v>0</v>
      </c>
      <c r="M5499" s="11">
        <f t="shared" si="854"/>
        <v>0</v>
      </c>
      <c r="N5499" s="11">
        <f t="shared" si="855"/>
        <v>0</v>
      </c>
      <c r="O5499" s="11">
        <f t="shared" si="856"/>
        <v>0</v>
      </c>
      <c r="P5499" s="12">
        <f t="shared" si="857"/>
        <v>0</v>
      </c>
      <c r="Q5499" s="17" t="str">
        <f t="shared" si="859"/>
        <v>Pas d'écart</v>
      </c>
    </row>
    <row r="5500" spans="1:17" x14ac:dyDescent="0.3">
      <c r="A5500" s="34">
        <f>base!J5500</f>
        <v>0</v>
      </c>
      <c r="B5500" s="34" t="str">
        <f>base!V5500</f>
        <v>77184</v>
      </c>
      <c r="C5500" s="37">
        <v>77</v>
      </c>
      <c r="D5500" s="36">
        <f>base!H5500</f>
        <v>171</v>
      </c>
      <c r="E5500" s="44"/>
      <c r="F5500" s="16">
        <f>base!W5500</f>
        <v>0</v>
      </c>
      <c r="G5500" s="11">
        <f t="shared" si="850"/>
        <v>0</v>
      </c>
      <c r="H5500" s="11">
        <f t="shared" si="851"/>
        <v>0</v>
      </c>
      <c r="I5500" s="11">
        <f t="shared" si="852"/>
        <v>0</v>
      </c>
      <c r="J5500" s="12">
        <f t="shared" si="853"/>
        <v>0</v>
      </c>
      <c r="K5500" s="17" t="str">
        <f t="shared" si="858"/>
        <v>Pas d'écart</v>
      </c>
      <c r="L5500" s="16">
        <f>base!X5500</f>
        <v>0</v>
      </c>
      <c r="M5500" s="11">
        <f t="shared" si="854"/>
        <v>0</v>
      </c>
      <c r="N5500" s="11">
        <f t="shared" si="855"/>
        <v>0</v>
      </c>
      <c r="O5500" s="11">
        <f t="shared" si="856"/>
        <v>0</v>
      </c>
      <c r="P5500" s="12">
        <f t="shared" si="857"/>
        <v>0</v>
      </c>
      <c r="Q5500" s="17" t="str">
        <f t="shared" si="859"/>
        <v>Pas d'écart</v>
      </c>
    </row>
    <row r="5501" spans="1:17" x14ac:dyDescent="0.3">
      <c r="A5501" s="34">
        <f>base!J5501</f>
        <v>0</v>
      </c>
      <c r="B5501" s="34" t="str">
        <f>base!V5501</f>
        <v>77184</v>
      </c>
      <c r="C5501" s="37">
        <v>77</v>
      </c>
      <c r="D5501" s="36">
        <f>base!H5501</f>
        <v>171</v>
      </c>
      <c r="E5501" s="44"/>
      <c r="F5501" s="16">
        <f>base!W5501</f>
        <v>0</v>
      </c>
      <c r="G5501" s="11">
        <f t="shared" si="850"/>
        <v>0</v>
      </c>
      <c r="H5501" s="11">
        <f t="shared" si="851"/>
        <v>0</v>
      </c>
      <c r="I5501" s="11">
        <f t="shared" si="852"/>
        <v>0</v>
      </c>
      <c r="J5501" s="12">
        <f t="shared" si="853"/>
        <v>0</v>
      </c>
      <c r="K5501" s="17" t="str">
        <f t="shared" si="858"/>
        <v>Pas d'écart</v>
      </c>
      <c r="L5501" s="16">
        <f>base!X5501</f>
        <v>0</v>
      </c>
      <c r="M5501" s="11">
        <f t="shared" si="854"/>
        <v>0</v>
      </c>
      <c r="N5501" s="11">
        <f t="shared" si="855"/>
        <v>0</v>
      </c>
      <c r="O5501" s="11">
        <f t="shared" si="856"/>
        <v>0</v>
      </c>
      <c r="P5501" s="12">
        <f t="shared" si="857"/>
        <v>0</v>
      </c>
      <c r="Q5501" s="17" t="str">
        <f t="shared" si="859"/>
        <v>Pas d'écart</v>
      </c>
    </row>
    <row r="5502" spans="1:17" x14ac:dyDescent="0.3">
      <c r="A5502" s="34">
        <f>base!J5502</f>
        <v>0</v>
      </c>
      <c r="B5502" s="34" t="str">
        <f>base!V5502</f>
        <v>77184</v>
      </c>
      <c r="C5502" s="37">
        <v>77</v>
      </c>
      <c r="D5502" s="36">
        <f>base!H5502</f>
        <v>171</v>
      </c>
      <c r="E5502" s="44"/>
      <c r="F5502" s="16">
        <f>base!W5502</f>
        <v>0</v>
      </c>
      <c r="G5502" s="11">
        <f t="shared" si="850"/>
        <v>0</v>
      </c>
      <c r="H5502" s="11">
        <f t="shared" si="851"/>
        <v>0</v>
      </c>
      <c r="I5502" s="11">
        <f t="shared" si="852"/>
        <v>0</v>
      </c>
      <c r="J5502" s="12">
        <f t="shared" si="853"/>
        <v>0</v>
      </c>
      <c r="K5502" s="17" t="str">
        <f t="shared" si="858"/>
        <v>Pas d'écart</v>
      </c>
      <c r="L5502" s="16">
        <f>base!X5502</f>
        <v>0</v>
      </c>
      <c r="M5502" s="11">
        <f t="shared" si="854"/>
        <v>0</v>
      </c>
      <c r="N5502" s="11">
        <f t="shared" si="855"/>
        <v>0</v>
      </c>
      <c r="O5502" s="11">
        <f t="shared" si="856"/>
        <v>0</v>
      </c>
      <c r="P5502" s="12">
        <f t="shared" si="857"/>
        <v>0</v>
      </c>
      <c r="Q5502" s="17" t="str">
        <f t="shared" si="859"/>
        <v>Pas d'écart</v>
      </c>
    </row>
    <row r="5503" spans="1:17" x14ac:dyDescent="0.3">
      <c r="A5503" s="34" t="str">
        <f>base!J5503</f>
        <v>LS</v>
      </c>
      <c r="B5503" s="34" t="str">
        <f>base!V5503</f>
        <v>20000</v>
      </c>
      <c r="C5503" s="37">
        <v>69</v>
      </c>
      <c r="D5503" s="36">
        <f>base!H5503</f>
        <v>172.87</v>
      </c>
      <c r="E5503" s="44"/>
      <c r="F5503" s="16">
        <f>base!W5503</f>
        <v>50.13</v>
      </c>
      <c r="G5503" s="11">
        <f t="shared" si="850"/>
        <v>0.28998669520448894</v>
      </c>
      <c r="H5503" s="11">
        <f t="shared" si="851"/>
        <v>46.674900000000001</v>
      </c>
      <c r="I5503" s="11">
        <f t="shared" si="852"/>
        <v>0.27</v>
      </c>
      <c r="J5503" s="12">
        <f t="shared" si="853"/>
        <v>3.4551000000000016</v>
      </c>
      <c r="K5503" s="17" t="str">
        <f t="shared" si="858"/>
        <v>Ecart positif</v>
      </c>
      <c r="L5503" s="16">
        <f>base!X5503</f>
        <v>0</v>
      </c>
      <c r="M5503" s="11">
        <f t="shared" si="854"/>
        <v>0</v>
      </c>
      <c r="N5503" s="11">
        <f t="shared" si="855"/>
        <v>0</v>
      </c>
      <c r="O5503" s="11">
        <f t="shared" si="856"/>
        <v>0</v>
      </c>
      <c r="P5503" s="12">
        <f t="shared" si="857"/>
        <v>0</v>
      </c>
      <c r="Q5503" s="17" t="str">
        <f t="shared" si="859"/>
        <v>Pas d'écart</v>
      </c>
    </row>
    <row r="5504" spans="1:17" x14ac:dyDescent="0.3">
      <c r="A5504" s="34">
        <f>base!J5504</f>
        <v>0</v>
      </c>
      <c r="B5504" s="34" t="str">
        <f>base!V5504</f>
        <v>77184</v>
      </c>
      <c r="C5504" s="37">
        <v>77</v>
      </c>
      <c r="D5504" s="36">
        <f>base!H5504</f>
        <v>84.5</v>
      </c>
      <c r="E5504" s="44"/>
      <c r="F5504" s="16">
        <f>base!W5504</f>
        <v>0</v>
      </c>
      <c r="G5504" s="11">
        <f t="shared" si="850"/>
        <v>0</v>
      </c>
      <c r="H5504" s="11">
        <f t="shared" si="851"/>
        <v>0</v>
      </c>
      <c r="I5504" s="11">
        <f t="shared" si="852"/>
        <v>0</v>
      </c>
      <c r="J5504" s="12">
        <f t="shared" si="853"/>
        <v>0</v>
      </c>
      <c r="K5504" s="17" t="str">
        <f t="shared" si="858"/>
        <v>Pas d'écart</v>
      </c>
      <c r="L5504" s="16">
        <f>base!X5504</f>
        <v>0</v>
      </c>
      <c r="M5504" s="11">
        <f t="shared" si="854"/>
        <v>0</v>
      </c>
      <c r="N5504" s="11">
        <f t="shared" si="855"/>
        <v>0</v>
      </c>
      <c r="O5504" s="11">
        <f t="shared" si="856"/>
        <v>0</v>
      </c>
      <c r="P5504" s="12">
        <f t="shared" si="857"/>
        <v>0</v>
      </c>
      <c r="Q5504" s="17" t="str">
        <f t="shared" si="859"/>
        <v>Pas d'écart</v>
      </c>
    </row>
    <row r="5505" spans="1:18" x14ac:dyDescent="0.3">
      <c r="A5505" s="34">
        <f>base!J5505</f>
        <v>0</v>
      </c>
      <c r="B5505" s="34" t="str">
        <f>base!V5505</f>
        <v>77184</v>
      </c>
      <c r="C5505" s="37">
        <v>77</v>
      </c>
      <c r="D5505" s="36">
        <f>base!H5505</f>
        <v>84.5</v>
      </c>
      <c r="E5505" s="44"/>
      <c r="F5505" s="16">
        <f>base!W5505</f>
        <v>0</v>
      </c>
      <c r="G5505" s="11">
        <f t="shared" si="850"/>
        <v>0</v>
      </c>
      <c r="H5505" s="11">
        <f t="shared" si="851"/>
        <v>0</v>
      </c>
      <c r="I5505" s="11">
        <f t="shared" si="852"/>
        <v>0</v>
      </c>
      <c r="J5505" s="12">
        <f t="shared" si="853"/>
        <v>0</v>
      </c>
      <c r="K5505" s="17" t="str">
        <f t="shared" si="858"/>
        <v>Pas d'écart</v>
      </c>
      <c r="L5505" s="16">
        <f>base!X5505</f>
        <v>0</v>
      </c>
      <c r="M5505" s="11">
        <f t="shared" si="854"/>
        <v>0</v>
      </c>
      <c r="N5505" s="11">
        <f t="shared" si="855"/>
        <v>0</v>
      </c>
      <c r="O5505" s="11">
        <f t="shared" si="856"/>
        <v>0</v>
      </c>
      <c r="P5505" s="12">
        <f t="shared" si="857"/>
        <v>0</v>
      </c>
      <c r="Q5505" s="17" t="str">
        <f t="shared" si="859"/>
        <v>Pas d'écart</v>
      </c>
    </row>
    <row r="5506" spans="1:18" x14ac:dyDescent="0.3">
      <c r="A5506" s="34">
        <f>base!J5506</f>
        <v>0</v>
      </c>
      <c r="B5506" s="34" t="str">
        <f>base!V5506</f>
        <v>77184</v>
      </c>
      <c r="C5506" s="37">
        <v>77</v>
      </c>
      <c r="D5506" s="36">
        <f>base!H5506</f>
        <v>84.5</v>
      </c>
      <c r="E5506" s="44"/>
      <c r="F5506" s="16">
        <f>base!W5506</f>
        <v>0</v>
      </c>
      <c r="G5506" s="11">
        <f t="shared" ref="G5506:G5569" si="860">F5506/D5506</f>
        <v>0</v>
      </c>
      <c r="H5506" s="11">
        <f t="shared" ref="H5506:H5569" si="861">VLOOKUP(C5506,tout_cout_traction,2,FALSE)*D5506</f>
        <v>0</v>
      </c>
      <c r="I5506" s="11">
        <f t="shared" ref="I5506:I5569" si="862">H5506/D5506</f>
        <v>0</v>
      </c>
      <c r="J5506" s="12">
        <f t="shared" ref="J5506:J5569" si="863">F5506-H5506</f>
        <v>0</v>
      </c>
      <c r="K5506" s="17" t="str">
        <f t="shared" si="858"/>
        <v>Pas d'écart</v>
      </c>
      <c r="L5506" s="16">
        <f>base!X5506</f>
        <v>0</v>
      </c>
      <c r="M5506" s="11">
        <f t="shared" ref="M5506:M5569" si="864">L5506/D5506</f>
        <v>0</v>
      </c>
      <c r="N5506" s="11">
        <f t="shared" ref="N5506:N5569" si="865">VLOOKUP(C5506,tout_cout_traction,3,FALSE)*D5506</f>
        <v>0</v>
      </c>
      <c r="O5506" s="11">
        <f t="shared" ref="O5506:O5569" si="866">N5506/D5506</f>
        <v>0</v>
      </c>
      <c r="P5506" s="12">
        <f t="shared" ref="P5506:P5569" si="867">L5506-N5506</f>
        <v>0</v>
      </c>
      <c r="Q5506" s="17" t="str">
        <f t="shared" si="859"/>
        <v>Pas d'écart</v>
      </c>
    </row>
    <row r="5507" spans="1:18" x14ac:dyDescent="0.3">
      <c r="A5507" s="34" t="str">
        <f>base!J5507</f>
        <v>RS</v>
      </c>
      <c r="B5507" s="34" t="str">
        <f>base!V5507</f>
        <v>76700</v>
      </c>
      <c r="C5507" s="37">
        <v>76</v>
      </c>
      <c r="D5507" s="36">
        <f>base!H5507</f>
        <v>40</v>
      </c>
      <c r="E5507" s="44"/>
      <c r="F5507" s="16">
        <f>base!W5507</f>
        <v>0</v>
      </c>
      <c r="G5507" s="11">
        <f t="shared" si="860"/>
        <v>0</v>
      </c>
      <c r="H5507" s="11">
        <f t="shared" si="861"/>
        <v>6.8000000000000007</v>
      </c>
      <c r="I5507" s="11">
        <f t="shared" si="862"/>
        <v>0.17</v>
      </c>
      <c r="J5507" s="12">
        <f t="shared" si="863"/>
        <v>-6.8000000000000007</v>
      </c>
      <c r="K5507" s="17" t="str">
        <f t="shared" ref="K5507:K5570" si="868">IF(H5507=F5507,"Pas d'écart",IF(H5507&lt;F5507,"Ecart positif",IF(H5507&gt;F5507,"Ecart négatif")))</f>
        <v>Ecart négatif</v>
      </c>
      <c r="L5507" s="16">
        <f>base!X5507</f>
        <v>6.8</v>
      </c>
      <c r="M5507" s="11">
        <f t="shared" si="864"/>
        <v>0.16999999999999998</v>
      </c>
      <c r="N5507" s="11">
        <f t="shared" si="865"/>
        <v>6.8000000000000007</v>
      </c>
      <c r="O5507" s="11">
        <f t="shared" si="866"/>
        <v>0.17</v>
      </c>
      <c r="P5507" s="12">
        <f t="shared" si="867"/>
        <v>0</v>
      </c>
      <c r="Q5507" s="17" t="str">
        <f t="shared" ref="Q5507:Q5570" si="869">IF(N5507=L5507,"Pas d'écart",IF(N5507&lt;L5507,"Ecart positif",IF(N5507&gt;L5507,"Ecart négatif")))</f>
        <v>Pas d'écart</v>
      </c>
    </row>
    <row r="5508" spans="1:18" x14ac:dyDescent="0.3">
      <c r="A5508" s="34" t="str">
        <f>base!J5508</f>
        <v>RS</v>
      </c>
      <c r="B5508" s="34" t="str">
        <f>base!V5508</f>
        <v>95003</v>
      </c>
      <c r="C5508" s="37">
        <v>95</v>
      </c>
      <c r="D5508" s="36">
        <f>base!H5508</f>
        <v>40</v>
      </c>
      <c r="E5508" s="44"/>
      <c r="F5508" s="16">
        <f>base!W5508</f>
        <v>0</v>
      </c>
      <c r="G5508" s="11">
        <f t="shared" si="860"/>
        <v>0</v>
      </c>
      <c r="H5508" s="11">
        <f t="shared" si="861"/>
        <v>0</v>
      </c>
      <c r="I5508" s="11">
        <f t="shared" si="862"/>
        <v>0</v>
      </c>
      <c r="J5508" s="12">
        <f t="shared" si="863"/>
        <v>0</v>
      </c>
      <c r="K5508" s="17" t="str">
        <f t="shared" si="868"/>
        <v>Pas d'écart</v>
      </c>
      <c r="L5508" s="16">
        <f>base!X5508</f>
        <v>0</v>
      </c>
      <c r="M5508" s="11">
        <f t="shared" si="864"/>
        <v>0</v>
      </c>
      <c r="N5508" s="11">
        <f t="shared" si="865"/>
        <v>0</v>
      </c>
      <c r="O5508" s="11">
        <f t="shared" si="866"/>
        <v>0</v>
      </c>
      <c r="P5508" s="12">
        <f t="shared" si="867"/>
        <v>0</v>
      </c>
      <c r="Q5508" s="17" t="str">
        <f t="shared" si="869"/>
        <v>Pas d'écart</v>
      </c>
    </row>
    <row r="5509" spans="1:18" x14ac:dyDescent="0.3">
      <c r="A5509" s="34">
        <f>base!J5509</f>
        <v>0</v>
      </c>
      <c r="B5509" s="34" t="str">
        <f>base!V5509</f>
        <v>77184</v>
      </c>
      <c r="C5509" s="37">
        <v>77</v>
      </c>
      <c r="D5509" s="36">
        <f>base!H5509</f>
        <v>139</v>
      </c>
      <c r="E5509" s="44"/>
      <c r="F5509" s="16">
        <f>base!W5509</f>
        <v>0</v>
      </c>
      <c r="G5509" s="11">
        <f t="shared" si="860"/>
        <v>0</v>
      </c>
      <c r="H5509" s="11">
        <f t="shared" si="861"/>
        <v>0</v>
      </c>
      <c r="I5509" s="11">
        <f t="shared" si="862"/>
        <v>0</v>
      </c>
      <c r="J5509" s="12">
        <f t="shared" si="863"/>
        <v>0</v>
      </c>
      <c r="K5509" s="17" t="str">
        <f t="shared" si="868"/>
        <v>Pas d'écart</v>
      </c>
      <c r="L5509" s="16">
        <f>base!X5509</f>
        <v>0</v>
      </c>
      <c r="M5509" s="11">
        <f t="shared" si="864"/>
        <v>0</v>
      </c>
      <c r="N5509" s="11">
        <f t="shared" si="865"/>
        <v>0</v>
      </c>
      <c r="O5509" s="11">
        <f t="shared" si="866"/>
        <v>0</v>
      </c>
      <c r="P5509" s="12">
        <f t="shared" si="867"/>
        <v>0</v>
      </c>
      <c r="Q5509" s="17" t="str">
        <f t="shared" si="869"/>
        <v>Pas d'écart</v>
      </c>
    </row>
    <row r="5510" spans="1:18" x14ac:dyDescent="0.3">
      <c r="A5510" s="34">
        <f>base!J5510</f>
        <v>0</v>
      </c>
      <c r="B5510" s="34" t="str">
        <f>base!V5510</f>
        <v>77184</v>
      </c>
      <c r="C5510" s="37">
        <v>77</v>
      </c>
      <c r="D5510" s="36">
        <f>base!H5510</f>
        <v>157</v>
      </c>
      <c r="E5510" s="44"/>
      <c r="F5510" s="16">
        <f>base!W5510</f>
        <v>0</v>
      </c>
      <c r="G5510" s="11">
        <f t="shared" si="860"/>
        <v>0</v>
      </c>
      <c r="H5510" s="11">
        <f t="shared" si="861"/>
        <v>0</v>
      </c>
      <c r="I5510" s="11">
        <f t="shared" si="862"/>
        <v>0</v>
      </c>
      <c r="J5510" s="12">
        <f t="shared" si="863"/>
        <v>0</v>
      </c>
      <c r="K5510" s="17" t="str">
        <f t="shared" si="868"/>
        <v>Pas d'écart</v>
      </c>
      <c r="L5510" s="16">
        <f>base!X5510</f>
        <v>0</v>
      </c>
      <c r="M5510" s="11">
        <f t="shared" si="864"/>
        <v>0</v>
      </c>
      <c r="N5510" s="11">
        <f t="shared" si="865"/>
        <v>0</v>
      </c>
      <c r="O5510" s="11">
        <f t="shared" si="866"/>
        <v>0</v>
      </c>
      <c r="P5510" s="12">
        <f t="shared" si="867"/>
        <v>0</v>
      </c>
      <c r="Q5510" s="17" t="str">
        <f t="shared" si="869"/>
        <v>Pas d'écart</v>
      </c>
    </row>
    <row r="5511" spans="1:18" x14ac:dyDescent="0.3">
      <c r="A5511" s="34" t="str">
        <f>base!J5511</f>
        <v>LM</v>
      </c>
      <c r="B5511" s="34" t="str">
        <f>base!V5511</f>
        <v>06190</v>
      </c>
      <c r="C5511" s="37">
        <v>6</v>
      </c>
      <c r="D5511" s="36">
        <f>base!H5511</f>
        <v>170</v>
      </c>
      <c r="E5511" s="44"/>
      <c r="F5511" s="16">
        <f>base!W5511</f>
        <v>51</v>
      </c>
      <c r="G5511" s="11">
        <f t="shared" si="860"/>
        <v>0.3</v>
      </c>
      <c r="H5511" s="11">
        <f t="shared" si="861"/>
        <v>51</v>
      </c>
      <c r="I5511" s="11">
        <f t="shared" si="862"/>
        <v>0.3</v>
      </c>
      <c r="J5511" s="12">
        <f t="shared" si="863"/>
        <v>0</v>
      </c>
      <c r="K5511" s="17" t="str">
        <f t="shared" si="868"/>
        <v>Pas d'écart</v>
      </c>
      <c r="L5511" s="16">
        <f>base!X5511</f>
        <v>0</v>
      </c>
      <c r="M5511" s="11">
        <f t="shared" si="864"/>
        <v>0</v>
      </c>
      <c r="N5511" s="11">
        <f t="shared" si="865"/>
        <v>35.699999999999996</v>
      </c>
      <c r="O5511" s="11">
        <f t="shared" si="866"/>
        <v>0.20999999999999996</v>
      </c>
      <c r="P5511" s="12">
        <f t="shared" si="867"/>
        <v>-35.699999999999996</v>
      </c>
      <c r="Q5511" s="17" t="str">
        <f t="shared" si="869"/>
        <v>Ecart négatif</v>
      </c>
    </row>
    <row r="5512" spans="1:18" x14ac:dyDescent="0.3">
      <c r="A5512" s="34" t="str">
        <f>base!J5512</f>
        <v>LS</v>
      </c>
      <c r="B5512" s="34" t="str">
        <f>base!V5512</f>
        <v>34500</v>
      </c>
      <c r="C5512" s="37">
        <v>44</v>
      </c>
      <c r="D5512" s="36">
        <f>base!H5512</f>
        <v>149.79</v>
      </c>
      <c r="E5512" s="44"/>
      <c r="F5512" s="16">
        <f>base!W5512</f>
        <v>58.42</v>
      </c>
      <c r="G5512" s="11">
        <f t="shared" si="860"/>
        <v>0.39001268442486148</v>
      </c>
      <c r="H5512" s="11">
        <f t="shared" si="861"/>
        <v>40.443300000000001</v>
      </c>
      <c r="I5512" s="11">
        <f t="shared" si="862"/>
        <v>0.27</v>
      </c>
      <c r="J5512" s="12">
        <f t="shared" si="863"/>
        <v>17.976700000000001</v>
      </c>
      <c r="K5512" s="17" t="str">
        <f t="shared" si="868"/>
        <v>Ecart positif</v>
      </c>
      <c r="L5512" s="16">
        <f>base!X5512</f>
        <v>0</v>
      </c>
      <c r="M5512" s="11">
        <f t="shared" si="864"/>
        <v>0</v>
      </c>
      <c r="N5512" s="11">
        <f t="shared" si="865"/>
        <v>0</v>
      </c>
      <c r="O5512" s="11">
        <f t="shared" si="866"/>
        <v>0</v>
      </c>
      <c r="P5512" s="12">
        <f t="shared" si="867"/>
        <v>0</v>
      </c>
      <c r="Q5512" s="17" t="str">
        <f t="shared" si="869"/>
        <v>Pas d'écart</v>
      </c>
    </row>
    <row r="5513" spans="1:18" x14ac:dyDescent="0.3">
      <c r="A5513" s="34" t="str">
        <f>base!J5513</f>
        <v>LS</v>
      </c>
      <c r="B5513" s="34" t="str">
        <f>base!V5513</f>
        <v>44600</v>
      </c>
      <c r="C5513" s="37">
        <v>84</v>
      </c>
      <c r="D5513" s="36">
        <f>base!H5513</f>
        <v>138.12</v>
      </c>
      <c r="E5513" s="44"/>
      <c r="F5513" s="16">
        <f>base!W5513</f>
        <v>37.29</v>
      </c>
      <c r="G5513" s="11">
        <f t="shared" si="860"/>
        <v>0.26998262380538662</v>
      </c>
      <c r="H5513" s="11">
        <f t="shared" si="861"/>
        <v>40.0548</v>
      </c>
      <c r="I5513" s="11">
        <f t="shared" si="862"/>
        <v>0.28999999999999998</v>
      </c>
      <c r="J5513" s="12">
        <f t="shared" si="863"/>
        <v>-2.764800000000001</v>
      </c>
      <c r="K5513" s="17" t="str">
        <f t="shared" si="868"/>
        <v>Ecart négatif</v>
      </c>
      <c r="L5513" s="16">
        <f>base!X5513</f>
        <v>0</v>
      </c>
      <c r="M5513" s="11">
        <f t="shared" si="864"/>
        <v>0</v>
      </c>
      <c r="N5513" s="11">
        <f t="shared" si="865"/>
        <v>26.242800000000003</v>
      </c>
      <c r="O5513" s="11">
        <f t="shared" si="866"/>
        <v>0.19</v>
      </c>
      <c r="P5513" s="12">
        <f t="shared" si="867"/>
        <v>-26.242800000000003</v>
      </c>
      <c r="Q5513" s="17" t="str">
        <f t="shared" si="869"/>
        <v>Ecart négatif</v>
      </c>
    </row>
    <row r="5514" spans="1:18" x14ac:dyDescent="0.3">
      <c r="A5514" s="34" t="str">
        <f>base!J5514</f>
        <v>LS</v>
      </c>
      <c r="B5514" s="34" t="str">
        <f>base!V5514</f>
        <v>68550</v>
      </c>
      <c r="C5514" s="37">
        <v>84</v>
      </c>
      <c r="D5514" s="36">
        <f>base!H5514</f>
        <v>97.28</v>
      </c>
      <c r="E5514" s="44"/>
      <c r="F5514" s="16">
        <f>base!W5514</f>
        <v>28.21</v>
      </c>
      <c r="G5514" s="11">
        <f t="shared" si="860"/>
        <v>0.28998766447368424</v>
      </c>
      <c r="H5514" s="11">
        <f t="shared" si="861"/>
        <v>28.211199999999998</v>
      </c>
      <c r="I5514" s="11">
        <f t="shared" si="862"/>
        <v>0.28999999999999998</v>
      </c>
      <c r="J5514" s="12">
        <f t="shared" si="863"/>
        <v>-1.1999999999972033E-3</v>
      </c>
      <c r="K5514" s="17" t="str">
        <f t="shared" si="868"/>
        <v>Ecart négatif</v>
      </c>
      <c r="L5514" s="16">
        <f>base!X5514</f>
        <v>0</v>
      </c>
      <c r="M5514" s="11">
        <f t="shared" si="864"/>
        <v>0</v>
      </c>
      <c r="N5514" s="11">
        <f t="shared" si="865"/>
        <v>18.4832</v>
      </c>
      <c r="O5514" s="11">
        <f t="shared" si="866"/>
        <v>0.19</v>
      </c>
      <c r="P5514" s="12">
        <f t="shared" si="867"/>
        <v>-18.4832</v>
      </c>
      <c r="Q5514" s="17" t="str">
        <f t="shared" si="869"/>
        <v>Ecart négatif</v>
      </c>
    </row>
    <row r="5515" spans="1:18" x14ac:dyDescent="0.3">
      <c r="A5515" s="34" t="str">
        <f>base!J5515</f>
        <v>RS</v>
      </c>
      <c r="B5515" s="34" t="str">
        <f>base!V5515</f>
        <v>68740</v>
      </c>
      <c r="C5515" s="37">
        <v>68</v>
      </c>
      <c r="D5515" s="36">
        <f>base!H5515</f>
        <v>197.98</v>
      </c>
      <c r="E5515" s="44"/>
      <c r="F5515" s="16">
        <f>base!W5515</f>
        <v>0</v>
      </c>
      <c r="G5515" s="11">
        <f t="shared" si="860"/>
        <v>0</v>
      </c>
      <c r="H5515" s="11">
        <f t="shared" si="861"/>
        <v>57.414199999999994</v>
      </c>
      <c r="I5515" s="11">
        <f t="shared" si="862"/>
        <v>0.28999999999999998</v>
      </c>
      <c r="J5515" s="12">
        <f t="shared" si="863"/>
        <v>-57.414199999999994</v>
      </c>
      <c r="K5515" s="17" t="str">
        <f t="shared" si="868"/>
        <v>Ecart négatif</v>
      </c>
      <c r="L5515" s="16">
        <f>base!X5515</f>
        <v>15.84</v>
      </c>
      <c r="M5515" s="11">
        <f t="shared" si="864"/>
        <v>8.0008081624406507E-2</v>
      </c>
      <c r="N5515" s="11">
        <f t="shared" si="865"/>
        <v>15.8384</v>
      </c>
      <c r="O5515" s="11">
        <f t="shared" si="866"/>
        <v>0.08</v>
      </c>
      <c r="P5515" s="12">
        <f t="shared" si="867"/>
        <v>1.5999999999998238E-3</v>
      </c>
      <c r="Q5515" s="17" t="str">
        <f t="shared" si="869"/>
        <v>Ecart positif</v>
      </c>
      <c r="R5515" s="38"/>
    </row>
    <row r="5516" spans="1:18" x14ac:dyDescent="0.3">
      <c r="A5516" s="34" t="str">
        <f>base!J5516</f>
        <v>LS</v>
      </c>
      <c r="B5516" s="34" t="str">
        <f>base!V5516</f>
        <v>74500</v>
      </c>
      <c r="C5516" s="37">
        <v>84</v>
      </c>
      <c r="D5516" s="36">
        <f>base!H5516</f>
        <v>86.34</v>
      </c>
      <c r="E5516" s="44"/>
      <c r="F5516" s="16">
        <f>base!W5516</f>
        <v>23.31</v>
      </c>
      <c r="G5516" s="11">
        <f t="shared" si="860"/>
        <v>0.26997915218902013</v>
      </c>
      <c r="H5516" s="11">
        <f t="shared" si="861"/>
        <v>25.038599999999999</v>
      </c>
      <c r="I5516" s="11">
        <f t="shared" si="862"/>
        <v>0.28999999999999998</v>
      </c>
      <c r="J5516" s="12">
        <f t="shared" si="863"/>
        <v>-1.7286000000000001</v>
      </c>
      <c r="K5516" s="17" t="str">
        <f t="shared" si="868"/>
        <v>Ecart négatif</v>
      </c>
      <c r="L5516" s="16">
        <f>base!X5516</f>
        <v>0</v>
      </c>
      <c r="M5516" s="11">
        <f t="shared" si="864"/>
        <v>0</v>
      </c>
      <c r="N5516" s="11">
        <f t="shared" si="865"/>
        <v>16.404600000000002</v>
      </c>
      <c r="O5516" s="11">
        <f t="shared" si="866"/>
        <v>0.19000000000000003</v>
      </c>
      <c r="P5516" s="12">
        <f t="shared" si="867"/>
        <v>-16.404600000000002</v>
      </c>
      <c r="Q5516" s="17" t="str">
        <f t="shared" si="869"/>
        <v>Ecart négatif</v>
      </c>
    </row>
    <row r="5517" spans="1:18" x14ac:dyDescent="0.3">
      <c r="A5517" s="34" t="str">
        <f>base!J5517</f>
        <v>LM</v>
      </c>
      <c r="B5517" s="34" t="str">
        <f>base!V5517</f>
        <v>13006</v>
      </c>
      <c r="C5517" s="37">
        <v>84</v>
      </c>
      <c r="D5517" s="36">
        <f>base!H5517</f>
        <v>32.85</v>
      </c>
      <c r="E5517" s="44"/>
      <c r="F5517" s="16">
        <f>base!W5517</f>
        <v>9.5299999999999994</v>
      </c>
      <c r="G5517" s="11">
        <f t="shared" si="860"/>
        <v>0.29010654490106541</v>
      </c>
      <c r="H5517" s="11">
        <f t="shared" si="861"/>
        <v>9.5265000000000004</v>
      </c>
      <c r="I5517" s="11">
        <f t="shared" si="862"/>
        <v>0.28999999999999998</v>
      </c>
      <c r="J5517" s="12">
        <f t="shared" si="863"/>
        <v>3.4999999999989484E-3</v>
      </c>
      <c r="K5517" s="17" t="str">
        <f t="shared" si="868"/>
        <v>Ecart positif</v>
      </c>
      <c r="L5517" s="16">
        <f>base!X5517</f>
        <v>0</v>
      </c>
      <c r="M5517" s="11">
        <f t="shared" si="864"/>
        <v>0</v>
      </c>
      <c r="N5517" s="11">
        <f t="shared" si="865"/>
        <v>6.2415000000000003</v>
      </c>
      <c r="O5517" s="11">
        <f t="shared" si="866"/>
        <v>0.19</v>
      </c>
      <c r="P5517" s="12">
        <f t="shared" si="867"/>
        <v>-6.2415000000000003</v>
      </c>
      <c r="Q5517" s="17" t="str">
        <f t="shared" si="869"/>
        <v>Ecart négatif</v>
      </c>
    </row>
    <row r="5518" spans="1:18" x14ac:dyDescent="0.3">
      <c r="A5518" s="34" t="str">
        <f>base!J5518</f>
        <v>LS</v>
      </c>
      <c r="B5518" s="34" t="str">
        <f>base!V5518</f>
        <v>31100</v>
      </c>
      <c r="C5518" s="37">
        <v>84</v>
      </c>
      <c r="D5518" s="36">
        <f>base!H5518</f>
        <v>52.52</v>
      </c>
      <c r="E5518" s="44"/>
      <c r="F5518" s="16">
        <f>base!W5518</f>
        <v>11.55</v>
      </c>
      <c r="G5518" s="11">
        <f t="shared" si="860"/>
        <v>0.21991622239146991</v>
      </c>
      <c r="H5518" s="11">
        <f t="shared" si="861"/>
        <v>15.2308</v>
      </c>
      <c r="I5518" s="11">
        <f t="shared" si="862"/>
        <v>0.28999999999999998</v>
      </c>
      <c r="J5518" s="12">
        <f t="shared" si="863"/>
        <v>-3.6807999999999996</v>
      </c>
      <c r="K5518" s="17" t="str">
        <f t="shared" si="868"/>
        <v>Ecart négatif</v>
      </c>
      <c r="L5518" s="16">
        <f>base!X5518</f>
        <v>0</v>
      </c>
      <c r="M5518" s="11">
        <f t="shared" si="864"/>
        <v>0</v>
      </c>
      <c r="N5518" s="11">
        <f t="shared" si="865"/>
        <v>9.9788000000000014</v>
      </c>
      <c r="O5518" s="11">
        <f t="shared" si="866"/>
        <v>0.19000000000000003</v>
      </c>
      <c r="P5518" s="12">
        <f t="shared" si="867"/>
        <v>-9.9788000000000014</v>
      </c>
      <c r="Q5518" s="17" t="str">
        <f t="shared" si="869"/>
        <v>Ecart négatif</v>
      </c>
    </row>
    <row r="5519" spans="1:18" x14ac:dyDescent="0.3">
      <c r="A5519" s="34" t="str">
        <f>base!J5519</f>
        <v>LS</v>
      </c>
      <c r="B5519" s="34" t="str">
        <f>base!V5519</f>
        <v>83400</v>
      </c>
      <c r="C5519" s="37">
        <v>84</v>
      </c>
      <c r="D5519" s="36">
        <f>base!H5519</f>
        <v>28.62</v>
      </c>
      <c r="E5519" s="44"/>
      <c r="F5519" s="16">
        <f>base!W5519</f>
        <v>8.59</v>
      </c>
      <c r="G5519" s="11">
        <f t="shared" si="860"/>
        <v>0.30013976240391332</v>
      </c>
      <c r="H5519" s="11">
        <f t="shared" si="861"/>
        <v>8.2997999999999994</v>
      </c>
      <c r="I5519" s="11">
        <f t="shared" si="862"/>
        <v>0.28999999999999998</v>
      </c>
      <c r="J5519" s="12">
        <f t="shared" si="863"/>
        <v>0.29020000000000046</v>
      </c>
      <c r="K5519" s="17" t="str">
        <f t="shared" si="868"/>
        <v>Ecart positif</v>
      </c>
      <c r="L5519" s="16">
        <f>base!X5519</f>
        <v>0</v>
      </c>
      <c r="M5519" s="11">
        <f t="shared" si="864"/>
        <v>0</v>
      </c>
      <c r="N5519" s="11">
        <f t="shared" si="865"/>
        <v>5.4378000000000002</v>
      </c>
      <c r="O5519" s="11">
        <f t="shared" si="866"/>
        <v>0.19</v>
      </c>
      <c r="P5519" s="12">
        <f t="shared" si="867"/>
        <v>-5.4378000000000002</v>
      </c>
      <c r="Q5519" s="17" t="str">
        <f t="shared" si="869"/>
        <v>Ecart négatif</v>
      </c>
    </row>
    <row r="5520" spans="1:18" x14ac:dyDescent="0.3">
      <c r="A5520" s="34" t="str">
        <f>base!J5520</f>
        <v>LS</v>
      </c>
      <c r="B5520" s="34" t="str">
        <f>base!V5520</f>
        <v>33220</v>
      </c>
      <c r="C5520" s="37">
        <v>13</v>
      </c>
      <c r="D5520" s="36">
        <f>base!H5520</f>
        <v>138.12</v>
      </c>
      <c r="E5520" s="44"/>
      <c r="F5520" s="16">
        <f>base!W5520</f>
        <v>29.01</v>
      </c>
      <c r="G5520" s="11">
        <f t="shared" si="860"/>
        <v>0.21003475238922675</v>
      </c>
      <c r="H5520" s="11">
        <f t="shared" si="861"/>
        <v>40.0548</v>
      </c>
      <c r="I5520" s="11">
        <f t="shared" si="862"/>
        <v>0.28999999999999998</v>
      </c>
      <c r="J5520" s="12">
        <f t="shared" si="863"/>
        <v>-11.044799999999999</v>
      </c>
      <c r="K5520" s="17" t="str">
        <f t="shared" si="868"/>
        <v>Ecart négatif</v>
      </c>
      <c r="L5520" s="16">
        <f>base!X5520</f>
        <v>0</v>
      </c>
      <c r="M5520" s="11">
        <f t="shared" si="864"/>
        <v>0</v>
      </c>
      <c r="N5520" s="11">
        <f t="shared" si="865"/>
        <v>26.242800000000003</v>
      </c>
      <c r="O5520" s="11">
        <f t="shared" si="866"/>
        <v>0.19</v>
      </c>
      <c r="P5520" s="12">
        <f t="shared" si="867"/>
        <v>-26.242800000000003</v>
      </c>
      <c r="Q5520" s="17" t="str">
        <f t="shared" si="869"/>
        <v>Ecart négatif</v>
      </c>
    </row>
    <row r="5521" spans="1:18" x14ac:dyDescent="0.3">
      <c r="A5521" s="34" t="str">
        <f>base!J5521</f>
        <v>LM</v>
      </c>
      <c r="B5521" s="34" t="str">
        <f>base!V5521</f>
        <v>06560</v>
      </c>
      <c r="C5521" s="37">
        <v>43</v>
      </c>
      <c r="D5521" s="36">
        <f>base!H5521</f>
        <v>69.400000000000006</v>
      </c>
      <c r="E5521" s="44"/>
      <c r="F5521" s="16">
        <f>base!W5521</f>
        <v>20.82</v>
      </c>
      <c r="G5521" s="11">
        <f t="shared" si="860"/>
        <v>0.3</v>
      </c>
      <c r="H5521" s="11">
        <f t="shared" si="861"/>
        <v>20.126000000000001</v>
      </c>
      <c r="I5521" s="11">
        <f t="shared" si="862"/>
        <v>0.28999999999999998</v>
      </c>
      <c r="J5521" s="12">
        <f t="shared" si="863"/>
        <v>0.69399999999999906</v>
      </c>
      <c r="K5521" s="17" t="str">
        <f t="shared" si="868"/>
        <v>Ecart positif</v>
      </c>
      <c r="L5521" s="16">
        <f>base!X5521</f>
        <v>0</v>
      </c>
      <c r="M5521" s="11">
        <f t="shared" si="864"/>
        <v>0</v>
      </c>
      <c r="N5521" s="11">
        <f t="shared" si="865"/>
        <v>8.3280000000000012</v>
      </c>
      <c r="O5521" s="11">
        <f t="shared" si="866"/>
        <v>0.12000000000000001</v>
      </c>
      <c r="P5521" s="12">
        <f t="shared" si="867"/>
        <v>-8.3280000000000012</v>
      </c>
      <c r="Q5521" s="17" t="str">
        <f t="shared" si="869"/>
        <v>Ecart négatif</v>
      </c>
    </row>
    <row r="5522" spans="1:18" x14ac:dyDescent="0.3">
      <c r="A5522" s="34" t="str">
        <f>base!J5522</f>
        <v>LS</v>
      </c>
      <c r="B5522" s="34" t="str">
        <f>base!V5522</f>
        <v>74100</v>
      </c>
      <c r="C5522" s="37">
        <v>84</v>
      </c>
      <c r="D5522" s="36">
        <f>base!H5522</f>
        <v>28.02</v>
      </c>
      <c r="E5522" s="44"/>
      <c r="F5522" s="16">
        <f>base!W5522</f>
        <v>7.57</v>
      </c>
      <c r="G5522" s="11">
        <f t="shared" si="860"/>
        <v>0.27016416845110636</v>
      </c>
      <c r="H5522" s="11">
        <f t="shared" si="861"/>
        <v>8.1257999999999999</v>
      </c>
      <c r="I5522" s="11">
        <f t="shared" si="862"/>
        <v>0.28999999999999998</v>
      </c>
      <c r="J5522" s="12">
        <f t="shared" si="863"/>
        <v>-0.55579999999999963</v>
      </c>
      <c r="K5522" s="17" t="str">
        <f t="shared" si="868"/>
        <v>Ecart négatif</v>
      </c>
      <c r="L5522" s="16">
        <f>base!X5522</f>
        <v>0</v>
      </c>
      <c r="M5522" s="11">
        <f t="shared" si="864"/>
        <v>0</v>
      </c>
      <c r="N5522" s="11">
        <f t="shared" si="865"/>
        <v>5.3238000000000003</v>
      </c>
      <c r="O5522" s="11">
        <f t="shared" si="866"/>
        <v>0.19</v>
      </c>
      <c r="P5522" s="12">
        <f t="shared" si="867"/>
        <v>-5.3238000000000003</v>
      </c>
      <c r="Q5522" s="17" t="str">
        <f t="shared" si="869"/>
        <v>Ecart négatif</v>
      </c>
    </row>
    <row r="5523" spans="1:18" x14ac:dyDescent="0.3">
      <c r="A5523" s="34" t="str">
        <f>base!J5523</f>
        <v>LS</v>
      </c>
      <c r="B5523" s="34" t="str">
        <f>base!V5523</f>
        <v>45140</v>
      </c>
      <c r="C5523" s="37">
        <v>88</v>
      </c>
      <c r="D5523" s="36">
        <f>base!H5523</f>
        <v>138.12</v>
      </c>
      <c r="E5523" s="44"/>
      <c r="F5523" s="16">
        <f>base!W5523</f>
        <v>29.01</v>
      </c>
      <c r="G5523" s="11">
        <f t="shared" si="860"/>
        <v>0.21003475238922675</v>
      </c>
      <c r="H5523" s="11">
        <f t="shared" si="861"/>
        <v>38.673600000000008</v>
      </c>
      <c r="I5523" s="11">
        <f t="shared" si="862"/>
        <v>0.28000000000000003</v>
      </c>
      <c r="J5523" s="12">
        <f t="shared" si="863"/>
        <v>-9.663600000000006</v>
      </c>
      <c r="K5523" s="17" t="str">
        <f t="shared" si="868"/>
        <v>Ecart négatif</v>
      </c>
      <c r="L5523" s="16">
        <f>base!X5523</f>
        <v>0</v>
      </c>
      <c r="M5523" s="11">
        <f t="shared" si="864"/>
        <v>0</v>
      </c>
      <c r="N5523" s="11">
        <f t="shared" si="865"/>
        <v>11.0496</v>
      </c>
      <c r="O5523" s="11">
        <f t="shared" si="866"/>
        <v>0.08</v>
      </c>
      <c r="P5523" s="12">
        <f t="shared" si="867"/>
        <v>-11.0496</v>
      </c>
      <c r="Q5523" s="17" t="str">
        <f t="shared" si="869"/>
        <v>Ecart négatif</v>
      </c>
    </row>
    <row r="5524" spans="1:18" x14ac:dyDescent="0.3">
      <c r="A5524" s="34" t="str">
        <f>base!J5524</f>
        <v>LS</v>
      </c>
      <c r="B5524" s="34" t="str">
        <f>base!V5524</f>
        <v>75014</v>
      </c>
      <c r="C5524" s="37">
        <v>75</v>
      </c>
      <c r="D5524" s="36">
        <f>base!H5524</f>
        <v>137.59</v>
      </c>
      <c r="E5524" s="44"/>
      <c r="F5524" s="16">
        <f>base!W5524</f>
        <v>0</v>
      </c>
      <c r="G5524" s="11">
        <f t="shared" si="860"/>
        <v>0</v>
      </c>
      <c r="H5524" s="11">
        <f t="shared" si="861"/>
        <v>0</v>
      </c>
      <c r="I5524" s="11">
        <f t="shared" si="862"/>
        <v>0</v>
      </c>
      <c r="J5524" s="12">
        <f t="shared" si="863"/>
        <v>0</v>
      </c>
      <c r="K5524" s="17" t="str">
        <f t="shared" si="868"/>
        <v>Pas d'écart</v>
      </c>
      <c r="L5524" s="16">
        <f>base!X5524</f>
        <v>0</v>
      </c>
      <c r="M5524" s="11">
        <f t="shared" si="864"/>
        <v>0</v>
      </c>
      <c r="N5524" s="11">
        <f t="shared" si="865"/>
        <v>0</v>
      </c>
      <c r="O5524" s="11">
        <f t="shared" si="866"/>
        <v>0</v>
      </c>
      <c r="P5524" s="12">
        <f t="shared" si="867"/>
        <v>0</v>
      </c>
      <c r="Q5524" s="17" t="str">
        <f t="shared" si="869"/>
        <v>Pas d'écart</v>
      </c>
    </row>
    <row r="5525" spans="1:18" x14ac:dyDescent="0.3">
      <c r="A5525" s="34" t="str">
        <f>base!J5525</f>
        <v>LM</v>
      </c>
      <c r="B5525" s="34" t="str">
        <f>base!V5525</f>
        <v>75014</v>
      </c>
      <c r="C5525" s="37">
        <v>75</v>
      </c>
      <c r="D5525" s="36">
        <f>base!H5525</f>
        <v>107.6</v>
      </c>
      <c r="E5525" s="44"/>
      <c r="F5525" s="16">
        <f>base!W5525</f>
        <v>0</v>
      </c>
      <c r="G5525" s="11">
        <f t="shared" si="860"/>
        <v>0</v>
      </c>
      <c r="H5525" s="11">
        <f t="shared" si="861"/>
        <v>0</v>
      </c>
      <c r="I5525" s="11">
        <f t="shared" si="862"/>
        <v>0</v>
      </c>
      <c r="J5525" s="12">
        <f t="shared" si="863"/>
        <v>0</v>
      </c>
      <c r="K5525" s="17" t="str">
        <f t="shared" si="868"/>
        <v>Pas d'écart</v>
      </c>
      <c r="L5525" s="16">
        <f>base!X5525</f>
        <v>0</v>
      </c>
      <c r="M5525" s="11">
        <f t="shared" si="864"/>
        <v>0</v>
      </c>
      <c r="N5525" s="11">
        <f t="shared" si="865"/>
        <v>0</v>
      </c>
      <c r="O5525" s="11">
        <f t="shared" si="866"/>
        <v>0</v>
      </c>
      <c r="P5525" s="12">
        <f t="shared" si="867"/>
        <v>0</v>
      </c>
      <c r="Q5525" s="17" t="str">
        <f t="shared" si="869"/>
        <v>Pas d'écart</v>
      </c>
    </row>
    <row r="5526" spans="1:18" x14ac:dyDescent="0.3">
      <c r="A5526" s="34" t="str">
        <f>base!J5526</f>
        <v>LS</v>
      </c>
      <c r="B5526" s="34" t="str">
        <f>base!V5526</f>
        <v>60410</v>
      </c>
      <c r="C5526" s="37">
        <v>68</v>
      </c>
      <c r="D5526" s="36">
        <f>base!H5526</f>
        <v>55.34</v>
      </c>
      <c r="E5526" s="44"/>
      <c r="F5526" s="16">
        <f>base!W5526</f>
        <v>10.51</v>
      </c>
      <c r="G5526" s="11">
        <f t="shared" si="860"/>
        <v>0.1899168774846404</v>
      </c>
      <c r="H5526" s="11">
        <f t="shared" si="861"/>
        <v>16.0486</v>
      </c>
      <c r="I5526" s="11">
        <f t="shared" si="862"/>
        <v>0.28999999999999998</v>
      </c>
      <c r="J5526" s="12">
        <f t="shared" si="863"/>
        <v>-5.5386000000000006</v>
      </c>
      <c r="K5526" s="17" t="str">
        <f t="shared" si="868"/>
        <v>Ecart négatif</v>
      </c>
      <c r="L5526" s="16">
        <f>base!X5526</f>
        <v>0</v>
      </c>
      <c r="M5526" s="11">
        <f t="shared" si="864"/>
        <v>0</v>
      </c>
      <c r="N5526" s="11">
        <f t="shared" si="865"/>
        <v>4.4272</v>
      </c>
      <c r="O5526" s="11">
        <f t="shared" si="866"/>
        <v>0.08</v>
      </c>
      <c r="P5526" s="12">
        <f t="shared" si="867"/>
        <v>-4.4272</v>
      </c>
      <c r="Q5526" s="17" t="str">
        <f t="shared" si="869"/>
        <v>Ecart négatif</v>
      </c>
    </row>
    <row r="5527" spans="1:18" x14ac:dyDescent="0.3">
      <c r="A5527" s="34">
        <f>base!J5527</f>
        <v>0</v>
      </c>
      <c r="B5527" s="34" t="str">
        <f>base!V5527</f>
        <v>44240</v>
      </c>
      <c r="C5527" s="37">
        <v>44</v>
      </c>
      <c r="D5527" s="36">
        <f>base!H5527</f>
        <v>155</v>
      </c>
      <c r="E5527" s="44"/>
      <c r="F5527" s="16">
        <f>base!W5527</f>
        <v>0</v>
      </c>
      <c r="G5527" s="11">
        <f t="shared" si="860"/>
        <v>0</v>
      </c>
      <c r="H5527" s="11">
        <f t="shared" si="861"/>
        <v>41.85</v>
      </c>
      <c r="I5527" s="11">
        <f t="shared" si="862"/>
        <v>0.27</v>
      </c>
      <c r="J5527" s="12">
        <f t="shared" si="863"/>
        <v>-41.85</v>
      </c>
      <c r="K5527" s="17" t="str">
        <f t="shared" si="868"/>
        <v>Ecart négatif</v>
      </c>
      <c r="L5527" s="16">
        <f>base!X5527</f>
        <v>0</v>
      </c>
      <c r="M5527" s="11">
        <f t="shared" si="864"/>
        <v>0</v>
      </c>
      <c r="N5527" s="11">
        <f t="shared" si="865"/>
        <v>0</v>
      </c>
      <c r="O5527" s="11">
        <f t="shared" si="866"/>
        <v>0</v>
      </c>
      <c r="P5527" s="12">
        <f t="shared" si="867"/>
        <v>0</v>
      </c>
      <c r="Q5527" s="17" t="str">
        <f t="shared" si="869"/>
        <v>Pas d'écart</v>
      </c>
    </row>
    <row r="5528" spans="1:18" x14ac:dyDescent="0.3">
      <c r="A5528" s="34">
        <f>base!J5528</f>
        <v>0</v>
      </c>
      <c r="B5528" s="34" t="str">
        <f>base!V5528</f>
        <v>77184</v>
      </c>
      <c r="C5528" s="37">
        <v>77</v>
      </c>
      <c r="D5528" s="36">
        <f>base!H5528</f>
        <v>156.19999999999999</v>
      </c>
      <c r="E5528" s="44"/>
      <c r="F5528" s="16">
        <f>base!W5528</f>
        <v>0</v>
      </c>
      <c r="G5528" s="11">
        <f t="shared" si="860"/>
        <v>0</v>
      </c>
      <c r="H5528" s="11">
        <f t="shared" si="861"/>
        <v>0</v>
      </c>
      <c r="I5528" s="11">
        <f t="shared" si="862"/>
        <v>0</v>
      </c>
      <c r="J5528" s="12">
        <f t="shared" si="863"/>
        <v>0</v>
      </c>
      <c r="K5528" s="17" t="str">
        <f t="shared" si="868"/>
        <v>Pas d'écart</v>
      </c>
      <c r="L5528" s="16">
        <f>base!X5528</f>
        <v>0</v>
      </c>
      <c r="M5528" s="11">
        <f t="shared" si="864"/>
        <v>0</v>
      </c>
      <c r="N5528" s="11">
        <f t="shared" si="865"/>
        <v>0</v>
      </c>
      <c r="O5528" s="11">
        <f t="shared" si="866"/>
        <v>0</v>
      </c>
      <c r="P5528" s="12">
        <f t="shared" si="867"/>
        <v>0</v>
      </c>
      <c r="Q5528" s="17" t="str">
        <f t="shared" si="869"/>
        <v>Pas d'écart</v>
      </c>
    </row>
    <row r="5529" spans="1:18" x14ac:dyDescent="0.3">
      <c r="A5529" s="34">
        <f>base!J5529</f>
        <v>0</v>
      </c>
      <c r="B5529" s="34" t="str">
        <f>base!V5529</f>
        <v>77184</v>
      </c>
      <c r="C5529" s="37">
        <v>77</v>
      </c>
      <c r="D5529" s="36">
        <f>base!H5529</f>
        <v>25.6</v>
      </c>
      <c r="E5529" s="44"/>
      <c r="F5529" s="16">
        <f>base!W5529</f>
        <v>0</v>
      </c>
      <c r="G5529" s="11">
        <f t="shared" si="860"/>
        <v>0</v>
      </c>
      <c r="H5529" s="11">
        <f t="shared" si="861"/>
        <v>0</v>
      </c>
      <c r="I5529" s="11">
        <f t="shared" si="862"/>
        <v>0</v>
      </c>
      <c r="J5529" s="12">
        <f t="shared" si="863"/>
        <v>0</v>
      </c>
      <c r="K5529" s="17" t="str">
        <f t="shared" si="868"/>
        <v>Pas d'écart</v>
      </c>
      <c r="L5529" s="16">
        <f>base!X5529</f>
        <v>0</v>
      </c>
      <c r="M5529" s="11">
        <f t="shared" si="864"/>
        <v>0</v>
      </c>
      <c r="N5529" s="11">
        <f t="shared" si="865"/>
        <v>0</v>
      </c>
      <c r="O5529" s="11">
        <f t="shared" si="866"/>
        <v>0</v>
      </c>
      <c r="P5529" s="12">
        <f t="shared" si="867"/>
        <v>0</v>
      </c>
      <c r="Q5529" s="17" t="str">
        <f t="shared" si="869"/>
        <v>Pas d'écart</v>
      </c>
    </row>
    <row r="5530" spans="1:18" x14ac:dyDescent="0.3">
      <c r="A5530" s="34" t="str">
        <f>base!J5530</f>
        <v>RS</v>
      </c>
      <c r="B5530" s="34" t="str">
        <f>base!V5530</f>
        <v>27200</v>
      </c>
      <c r="C5530" s="37">
        <v>27</v>
      </c>
      <c r="D5530" s="36">
        <f>base!H5530</f>
        <v>35</v>
      </c>
      <c r="E5530" s="44"/>
      <c r="F5530" s="16">
        <f>base!W5530</f>
        <v>0</v>
      </c>
      <c r="G5530" s="11">
        <f t="shared" si="860"/>
        <v>0</v>
      </c>
      <c r="H5530" s="11">
        <f t="shared" si="861"/>
        <v>5.95</v>
      </c>
      <c r="I5530" s="11">
        <f t="shared" si="862"/>
        <v>0.17</v>
      </c>
      <c r="J5530" s="12">
        <f t="shared" si="863"/>
        <v>-5.95</v>
      </c>
      <c r="K5530" s="17" t="str">
        <f t="shared" si="868"/>
        <v>Ecart négatif</v>
      </c>
      <c r="L5530" s="16">
        <f>base!X5530</f>
        <v>5.95</v>
      </c>
      <c r="M5530" s="11">
        <f t="shared" si="864"/>
        <v>0.17</v>
      </c>
      <c r="N5530" s="11">
        <f t="shared" si="865"/>
        <v>5.95</v>
      </c>
      <c r="O5530" s="11">
        <f t="shared" si="866"/>
        <v>0.17</v>
      </c>
      <c r="P5530" s="12">
        <f t="shared" si="867"/>
        <v>0</v>
      </c>
      <c r="Q5530" s="17" t="str">
        <f t="shared" si="869"/>
        <v>Pas d'écart</v>
      </c>
      <c r="R5530" s="38"/>
    </row>
    <row r="5531" spans="1:18" x14ac:dyDescent="0.3">
      <c r="A5531" s="34" t="str">
        <f>base!J5531</f>
        <v>LM</v>
      </c>
      <c r="B5531" s="34" t="str">
        <f>base!V5531</f>
        <v>75014</v>
      </c>
      <c r="C5531" s="37">
        <v>75</v>
      </c>
      <c r="D5531" s="36">
        <f>base!H5531</f>
        <v>19.649999999999999</v>
      </c>
      <c r="E5531" s="44"/>
      <c r="F5531" s="16">
        <f>base!W5531</f>
        <v>0</v>
      </c>
      <c r="G5531" s="11">
        <f t="shared" si="860"/>
        <v>0</v>
      </c>
      <c r="H5531" s="11">
        <f t="shared" si="861"/>
        <v>0</v>
      </c>
      <c r="I5531" s="11">
        <f t="shared" si="862"/>
        <v>0</v>
      </c>
      <c r="J5531" s="12">
        <f t="shared" si="863"/>
        <v>0</v>
      </c>
      <c r="K5531" s="17" t="str">
        <f t="shared" si="868"/>
        <v>Pas d'écart</v>
      </c>
      <c r="L5531" s="16">
        <f>base!X5531</f>
        <v>0</v>
      </c>
      <c r="M5531" s="11">
        <f t="shared" si="864"/>
        <v>0</v>
      </c>
      <c r="N5531" s="11">
        <f t="shared" si="865"/>
        <v>0</v>
      </c>
      <c r="O5531" s="11">
        <f t="shared" si="866"/>
        <v>0</v>
      </c>
      <c r="P5531" s="12">
        <f t="shared" si="867"/>
        <v>0</v>
      </c>
      <c r="Q5531" s="17" t="str">
        <f t="shared" si="869"/>
        <v>Pas d'écart</v>
      </c>
    </row>
    <row r="5532" spans="1:18" x14ac:dyDescent="0.3">
      <c r="A5532" s="34" t="str">
        <f>base!J5532</f>
        <v>LM</v>
      </c>
      <c r="B5532" s="34" t="str">
        <f>base!V5532</f>
        <v>75014</v>
      </c>
      <c r="C5532" s="37">
        <v>75</v>
      </c>
      <c r="D5532" s="36">
        <f>base!H5532</f>
        <v>19.649999999999999</v>
      </c>
      <c r="E5532" s="44"/>
      <c r="F5532" s="16">
        <f>base!W5532</f>
        <v>0</v>
      </c>
      <c r="G5532" s="11">
        <f t="shared" si="860"/>
        <v>0</v>
      </c>
      <c r="H5532" s="11">
        <f t="shared" si="861"/>
        <v>0</v>
      </c>
      <c r="I5532" s="11">
        <f t="shared" si="862"/>
        <v>0</v>
      </c>
      <c r="J5532" s="12">
        <f t="shared" si="863"/>
        <v>0</v>
      </c>
      <c r="K5532" s="17" t="str">
        <f t="shared" si="868"/>
        <v>Pas d'écart</v>
      </c>
      <c r="L5532" s="16">
        <f>base!X5532</f>
        <v>0</v>
      </c>
      <c r="M5532" s="11">
        <f t="shared" si="864"/>
        <v>0</v>
      </c>
      <c r="N5532" s="11">
        <f t="shared" si="865"/>
        <v>0</v>
      </c>
      <c r="O5532" s="11">
        <f t="shared" si="866"/>
        <v>0</v>
      </c>
      <c r="P5532" s="12">
        <f t="shared" si="867"/>
        <v>0</v>
      </c>
      <c r="Q5532" s="17" t="str">
        <f t="shared" si="869"/>
        <v>Pas d'écart</v>
      </c>
    </row>
    <row r="5533" spans="1:18" x14ac:dyDescent="0.3">
      <c r="A5533" s="34" t="str">
        <f>base!J5533</f>
        <v>LS</v>
      </c>
      <c r="B5533" s="34" t="str">
        <f>base!V5533</f>
        <v>68000</v>
      </c>
      <c r="C5533" s="37">
        <v>84</v>
      </c>
      <c r="D5533" s="36">
        <f>base!H5533</f>
        <v>97.28</v>
      </c>
      <c r="E5533" s="44"/>
      <c r="F5533" s="16">
        <f>base!W5533</f>
        <v>28.21</v>
      </c>
      <c r="G5533" s="11">
        <f t="shared" si="860"/>
        <v>0.28998766447368424</v>
      </c>
      <c r="H5533" s="11">
        <f t="shared" si="861"/>
        <v>28.211199999999998</v>
      </c>
      <c r="I5533" s="11">
        <f t="shared" si="862"/>
        <v>0.28999999999999998</v>
      </c>
      <c r="J5533" s="12">
        <f t="shared" si="863"/>
        <v>-1.1999999999972033E-3</v>
      </c>
      <c r="K5533" s="17" t="str">
        <f t="shared" si="868"/>
        <v>Ecart négatif</v>
      </c>
      <c r="L5533" s="16">
        <f>base!X5533</f>
        <v>0</v>
      </c>
      <c r="M5533" s="11">
        <f t="shared" si="864"/>
        <v>0</v>
      </c>
      <c r="N5533" s="11">
        <f t="shared" si="865"/>
        <v>18.4832</v>
      </c>
      <c r="O5533" s="11">
        <f t="shared" si="866"/>
        <v>0.19</v>
      </c>
      <c r="P5533" s="12">
        <f t="shared" si="867"/>
        <v>-18.4832</v>
      </c>
      <c r="Q5533" s="17" t="str">
        <f t="shared" si="869"/>
        <v>Ecart négatif</v>
      </c>
    </row>
    <row r="5534" spans="1:18" x14ac:dyDescent="0.3">
      <c r="A5534" s="34" t="str">
        <f>base!J5534</f>
        <v>LS</v>
      </c>
      <c r="B5534" s="34" t="str">
        <f>base!V5534</f>
        <v>94400</v>
      </c>
      <c r="C5534" s="37">
        <v>94</v>
      </c>
      <c r="D5534" s="36">
        <f>base!H5534</f>
        <v>75.38</v>
      </c>
      <c r="E5534" s="44"/>
      <c r="F5534" s="16">
        <f>base!W5534</f>
        <v>0</v>
      </c>
      <c r="G5534" s="11">
        <f t="shared" si="860"/>
        <v>0</v>
      </c>
      <c r="H5534" s="11">
        <f t="shared" si="861"/>
        <v>0</v>
      </c>
      <c r="I5534" s="11">
        <f t="shared" si="862"/>
        <v>0</v>
      </c>
      <c r="J5534" s="12">
        <f t="shared" si="863"/>
        <v>0</v>
      </c>
      <c r="K5534" s="17" t="str">
        <f t="shared" si="868"/>
        <v>Pas d'écart</v>
      </c>
      <c r="L5534" s="16">
        <f>base!X5534</f>
        <v>0</v>
      </c>
      <c r="M5534" s="11">
        <f t="shared" si="864"/>
        <v>0</v>
      </c>
      <c r="N5534" s="11">
        <f t="shared" si="865"/>
        <v>0</v>
      </c>
      <c r="O5534" s="11">
        <f t="shared" si="866"/>
        <v>0</v>
      </c>
      <c r="P5534" s="12">
        <f t="shared" si="867"/>
        <v>0</v>
      </c>
      <c r="Q5534" s="17" t="str">
        <f t="shared" si="869"/>
        <v>Pas d'écart</v>
      </c>
    </row>
    <row r="5535" spans="1:18" x14ac:dyDescent="0.3">
      <c r="A5535" s="34" t="str">
        <f>base!J5535</f>
        <v>LS</v>
      </c>
      <c r="B5535" s="34" t="str">
        <f>base!V5535</f>
        <v>67280</v>
      </c>
      <c r="C5535" s="37">
        <v>84</v>
      </c>
      <c r="D5535" s="36">
        <f>base!H5535</f>
        <v>126.65</v>
      </c>
      <c r="E5535" s="44"/>
      <c r="F5535" s="16">
        <f>base!W5535</f>
        <v>36.729999999999997</v>
      </c>
      <c r="G5535" s="11">
        <f t="shared" si="860"/>
        <v>0.29001184366363991</v>
      </c>
      <c r="H5535" s="11">
        <f t="shared" si="861"/>
        <v>36.728499999999997</v>
      </c>
      <c r="I5535" s="11">
        <f t="shared" si="862"/>
        <v>0.28999999999999998</v>
      </c>
      <c r="J5535" s="12">
        <f t="shared" si="863"/>
        <v>1.5000000000000568E-3</v>
      </c>
      <c r="K5535" s="17" t="str">
        <f t="shared" si="868"/>
        <v>Ecart positif</v>
      </c>
      <c r="L5535" s="16">
        <f>base!X5535</f>
        <v>0</v>
      </c>
      <c r="M5535" s="11">
        <f t="shared" si="864"/>
        <v>0</v>
      </c>
      <c r="N5535" s="11">
        <f t="shared" si="865"/>
        <v>24.063500000000001</v>
      </c>
      <c r="O5535" s="11">
        <f t="shared" si="866"/>
        <v>0.19</v>
      </c>
      <c r="P5535" s="12">
        <f t="shared" si="867"/>
        <v>-24.063500000000001</v>
      </c>
      <c r="Q5535" s="17" t="str">
        <f t="shared" si="869"/>
        <v>Ecart négatif</v>
      </c>
    </row>
    <row r="5536" spans="1:18" x14ac:dyDescent="0.3">
      <c r="A5536" s="34" t="str">
        <f>base!J5536</f>
        <v>RS</v>
      </c>
      <c r="B5536" s="34" t="str">
        <f>base!V5536</f>
        <v>75010</v>
      </c>
      <c r="C5536" s="37">
        <v>75</v>
      </c>
      <c r="D5536" s="36">
        <f>base!H5536</f>
        <v>151</v>
      </c>
      <c r="E5536" s="44"/>
      <c r="F5536" s="16">
        <f>base!W5536</f>
        <v>0</v>
      </c>
      <c r="G5536" s="11">
        <f t="shared" si="860"/>
        <v>0</v>
      </c>
      <c r="H5536" s="11">
        <f t="shared" si="861"/>
        <v>0</v>
      </c>
      <c r="I5536" s="11">
        <f t="shared" si="862"/>
        <v>0</v>
      </c>
      <c r="J5536" s="12">
        <f t="shared" si="863"/>
        <v>0</v>
      </c>
      <c r="K5536" s="17" t="str">
        <f t="shared" si="868"/>
        <v>Pas d'écart</v>
      </c>
      <c r="L5536" s="16">
        <f>base!X5536</f>
        <v>0</v>
      </c>
      <c r="M5536" s="11">
        <f t="shared" si="864"/>
        <v>0</v>
      </c>
      <c r="N5536" s="11">
        <f t="shared" si="865"/>
        <v>0</v>
      </c>
      <c r="O5536" s="11">
        <f t="shared" si="866"/>
        <v>0</v>
      </c>
      <c r="P5536" s="12">
        <f t="shared" si="867"/>
        <v>0</v>
      </c>
      <c r="Q5536" s="17" t="str">
        <f t="shared" si="869"/>
        <v>Pas d'écart</v>
      </c>
    </row>
    <row r="5537" spans="1:18" x14ac:dyDescent="0.3">
      <c r="A5537" s="34">
        <f>base!J5537</f>
        <v>0</v>
      </c>
      <c r="B5537" s="34" t="str">
        <f>base!V5537</f>
        <v>77184</v>
      </c>
      <c r="C5537" s="37">
        <v>77</v>
      </c>
      <c r="D5537" s="36">
        <f>base!H5537</f>
        <v>126.48</v>
      </c>
      <c r="E5537" s="44"/>
      <c r="F5537" s="16">
        <f>base!W5537</f>
        <v>0</v>
      </c>
      <c r="G5537" s="11">
        <f t="shared" si="860"/>
        <v>0</v>
      </c>
      <c r="H5537" s="11">
        <f t="shared" si="861"/>
        <v>0</v>
      </c>
      <c r="I5537" s="11">
        <f t="shared" si="862"/>
        <v>0</v>
      </c>
      <c r="J5537" s="12">
        <f t="shared" si="863"/>
        <v>0</v>
      </c>
      <c r="K5537" s="17" t="str">
        <f t="shared" si="868"/>
        <v>Pas d'écart</v>
      </c>
      <c r="L5537" s="16">
        <f>base!X5537</f>
        <v>0</v>
      </c>
      <c r="M5537" s="11">
        <f t="shared" si="864"/>
        <v>0</v>
      </c>
      <c r="N5537" s="11">
        <f t="shared" si="865"/>
        <v>0</v>
      </c>
      <c r="O5537" s="11">
        <f t="shared" si="866"/>
        <v>0</v>
      </c>
      <c r="P5537" s="12">
        <f t="shared" si="867"/>
        <v>0</v>
      </c>
      <c r="Q5537" s="17" t="str">
        <f t="shared" si="869"/>
        <v>Pas d'écart</v>
      </c>
    </row>
    <row r="5538" spans="1:18" x14ac:dyDescent="0.3">
      <c r="A5538" s="34" t="str">
        <f>base!J5538</f>
        <v>RM</v>
      </c>
      <c r="B5538" s="34" t="str">
        <f>base!V5538</f>
        <v>94550</v>
      </c>
      <c r="C5538" s="37">
        <v>94</v>
      </c>
      <c r="D5538" s="36">
        <f>base!H5538</f>
        <v>140</v>
      </c>
      <c r="E5538" s="44"/>
      <c r="F5538" s="16">
        <f>base!W5538</f>
        <v>0</v>
      </c>
      <c r="G5538" s="11">
        <f t="shared" si="860"/>
        <v>0</v>
      </c>
      <c r="H5538" s="11">
        <f t="shared" si="861"/>
        <v>0</v>
      </c>
      <c r="I5538" s="11">
        <f t="shared" si="862"/>
        <v>0</v>
      </c>
      <c r="J5538" s="12">
        <f t="shared" si="863"/>
        <v>0</v>
      </c>
      <c r="K5538" s="17" t="str">
        <f t="shared" si="868"/>
        <v>Pas d'écart</v>
      </c>
      <c r="L5538" s="16">
        <f>base!X5538</f>
        <v>0</v>
      </c>
      <c r="M5538" s="11">
        <f t="shared" si="864"/>
        <v>0</v>
      </c>
      <c r="N5538" s="11">
        <f t="shared" si="865"/>
        <v>0</v>
      </c>
      <c r="O5538" s="11">
        <f t="shared" si="866"/>
        <v>0</v>
      </c>
      <c r="P5538" s="12">
        <f t="shared" si="867"/>
        <v>0</v>
      </c>
      <c r="Q5538" s="17" t="str">
        <f t="shared" si="869"/>
        <v>Pas d'écart</v>
      </c>
    </row>
    <row r="5539" spans="1:18" x14ac:dyDescent="0.3">
      <c r="A5539" s="34" t="str">
        <f>base!J5539</f>
        <v>RM</v>
      </c>
      <c r="B5539" s="34" t="str">
        <f>base!V5539</f>
        <v>67600</v>
      </c>
      <c r="C5539" s="37">
        <v>67</v>
      </c>
      <c r="D5539" s="36">
        <f>base!H5539</f>
        <v>180</v>
      </c>
      <c r="E5539" s="44"/>
      <c r="F5539" s="16">
        <f>base!W5539</f>
        <v>0</v>
      </c>
      <c r="G5539" s="11">
        <f t="shared" si="860"/>
        <v>0</v>
      </c>
      <c r="H5539" s="11">
        <f t="shared" si="861"/>
        <v>52.199999999999996</v>
      </c>
      <c r="I5539" s="11">
        <f t="shared" si="862"/>
        <v>0.28999999999999998</v>
      </c>
      <c r="J5539" s="12">
        <f t="shared" si="863"/>
        <v>-52.199999999999996</v>
      </c>
      <c r="K5539" s="17" t="str">
        <f t="shared" si="868"/>
        <v>Ecart négatif</v>
      </c>
      <c r="L5539" s="16">
        <f>base!X5539</f>
        <v>14.4</v>
      </c>
      <c r="M5539" s="11">
        <f t="shared" si="864"/>
        <v>0.08</v>
      </c>
      <c r="N5539" s="11">
        <f t="shared" si="865"/>
        <v>14.4</v>
      </c>
      <c r="O5539" s="11">
        <f t="shared" si="866"/>
        <v>0.08</v>
      </c>
      <c r="P5539" s="12">
        <f t="shared" si="867"/>
        <v>0</v>
      </c>
      <c r="Q5539" s="17" t="str">
        <f t="shared" si="869"/>
        <v>Pas d'écart</v>
      </c>
      <c r="R5539" s="38"/>
    </row>
    <row r="5540" spans="1:18" x14ac:dyDescent="0.3">
      <c r="A5540" s="34" t="str">
        <f>base!J5540</f>
        <v>LM</v>
      </c>
      <c r="B5540" s="34" t="str">
        <f>base!V5540</f>
        <v>75008</v>
      </c>
      <c r="C5540" s="37">
        <v>75</v>
      </c>
      <c r="D5540" s="36">
        <f>base!H5540</f>
        <v>33.35</v>
      </c>
      <c r="E5540" s="44"/>
      <c r="F5540" s="16">
        <f>base!W5540</f>
        <v>0</v>
      </c>
      <c r="G5540" s="11">
        <f t="shared" si="860"/>
        <v>0</v>
      </c>
      <c r="H5540" s="11">
        <f t="shared" si="861"/>
        <v>0</v>
      </c>
      <c r="I5540" s="11">
        <f t="shared" si="862"/>
        <v>0</v>
      </c>
      <c r="J5540" s="12">
        <f t="shared" si="863"/>
        <v>0</v>
      </c>
      <c r="K5540" s="17" t="str">
        <f t="shared" si="868"/>
        <v>Pas d'écart</v>
      </c>
      <c r="L5540" s="16">
        <f>base!X5540</f>
        <v>0</v>
      </c>
      <c r="M5540" s="11">
        <f t="shared" si="864"/>
        <v>0</v>
      </c>
      <c r="N5540" s="11">
        <f t="shared" si="865"/>
        <v>0</v>
      </c>
      <c r="O5540" s="11">
        <f t="shared" si="866"/>
        <v>0</v>
      </c>
      <c r="P5540" s="12">
        <f t="shared" si="867"/>
        <v>0</v>
      </c>
      <c r="Q5540" s="17" t="str">
        <f t="shared" si="869"/>
        <v>Pas d'écart</v>
      </c>
    </row>
    <row r="5541" spans="1:18" x14ac:dyDescent="0.3">
      <c r="A5541" s="34" t="str">
        <f>base!J5541</f>
        <v>LS</v>
      </c>
      <c r="B5541" s="34" t="str">
        <f>base!V5541</f>
        <v>75010</v>
      </c>
      <c r="C5541" s="37">
        <v>75</v>
      </c>
      <c r="D5541" s="36">
        <f>base!H5541</f>
        <v>130.24</v>
      </c>
      <c r="E5541" s="44"/>
      <c r="F5541" s="16">
        <f>base!W5541</f>
        <v>0</v>
      </c>
      <c r="G5541" s="11">
        <f t="shared" si="860"/>
        <v>0</v>
      </c>
      <c r="H5541" s="11">
        <f t="shared" si="861"/>
        <v>0</v>
      </c>
      <c r="I5541" s="11">
        <f t="shared" si="862"/>
        <v>0</v>
      </c>
      <c r="J5541" s="12">
        <f t="shared" si="863"/>
        <v>0</v>
      </c>
      <c r="K5541" s="17" t="str">
        <f t="shared" si="868"/>
        <v>Pas d'écart</v>
      </c>
      <c r="L5541" s="16">
        <f>base!X5541</f>
        <v>0</v>
      </c>
      <c r="M5541" s="11">
        <f t="shared" si="864"/>
        <v>0</v>
      </c>
      <c r="N5541" s="11">
        <f t="shared" si="865"/>
        <v>0</v>
      </c>
      <c r="O5541" s="11">
        <f t="shared" si="866"/>
        <v>0</v>
      </c>
      <c r="P5541" s="12">
        <f t="shared" si="867"/>
        <v>0</v>
      </c>
      <c r="Q5541" s="17" t="str">
        <f t="shared" si="869"/>
        <v>Pas d'écart</v>
      </c>
    </row>
    <row r="5542" spans="1:18" x14ac:dyDescent="0.3">
      <c r="A5542" s="34" t="str">
        <f>base!J5542</f>
        <v>LM</v>
      </c>
      <c r="B5542" s="34" t="str">
        <f>base!V5542</f>
        <v>37400</v>
      </c>
      <c r="C5542" s="37">
        <v>85</v>
      </c>
      <c r="D5542" s="36">
        <f>base!H5542</f>
        <v>23.12</v>
      </c>
      <c r="E5542" s="44"/>
      <c r="F5542" s="16">
        <f>base!W5542</f>
        <v>4.8600000000000003</v>
      </c>
      <c r="G5542" s="11">
        <f t="shared" si="860"/>
        <v>0.21020761245674741</v>
      </c>
      <c r="H5542" s="11">
        <f t="shared" si="861"/>
        <v>6.2424000000000008</v>
      </c>
      <c r="I5542" s="11">
        <f t="shared" si="862"/>
        <v>0.27</v>
      </c>
      <c r="J5542" s="12">
        <f t="shared" si="863"/>
        <v>-1.3824000000000005</v>
      </c>
      <c r="K5542" s="17" t="str">
        <f t="shared" si="868"/>
        <v>Ecart négatif</v>
      </c>
      <c r="L5542" s="16">
        <f>base!X5542</f>
        <v>0</v>
      </c>
      <c r="M5542" s="11">
        <f t="shared" si="864"/>
        <v>0</v>
      </c>
      <c r="N5542" s="11">
        <f t="shared" si="865"/>
        <v>0</v>
      </c>
      <c r="O5542" s="11">
        <f t="shared" si="866"/>
        <v>0</v>
      </c>
      <c r="P5542" s="12">
        <f t="shared" si="867"/>
        <v>0</v>
      </c>
      <c r="Q5542" s="17" t="str">
        <f t="shared" si="869"/>
        <v>Pas d'écart</v>
      </c>
    </row>
    <row r="5543" spans="1:18" x14ac:dyDescent="0.3">
      <c r="A5543" s="34" t="str">
        <f>base!J5543</f>
        <v>LM</v>
      </c>
      <c r="B5543" s="34" t="str">
        <f>base!V5543</f>
        <v>52800</v>
      </c>
      <c r="C5543" s="37">
        <v>73</v>
      </c>
      <c r="D5543" s="36">
        <f>base!H5543</f>
        <v>22.62</v>
      </c>
      <c r="E5543" s="44"/>
      <c r="F5543" s="16">
        <f>base!W5543</f>
        <v>5.43</v>
      </c>
      <c r="G5543" s="11">
        <f t="shared" si="860"/>
        <v>0.24005305039787797</v>
      </c>
      <c r="H5543" s="11">
        <f t="shared" si="861"/>
        <v>6.1074000000000011</v>
      </c>
      <c r="I5543" s="11">
        <f t="shared" si="862"/>
        <v>0.27</v>
      </c>
      <c r="J5543" s="12">
        <f t="shared" si="863"/>
        <v>-0.67740000000000133</v>
      </c>
      <c r="K5543" s="17" t="str">
        <f t="shared" si="868"/>
        <v>Ecart négatif</v>
      </c>
      <c r="L5543" s="16">
        <f>base!X5543</f>
        <v>0</v>
      </c>
      <c r="M5543" s="11">
        <f t="shared" si="864"/>
        <v>0</v>
      </c>
      <c r="N5543" s="11">
        <f t="shared" si="865"/>
        <v>0</v>
      </c>
      <c r="O5543" s="11">
        <f t="shared" si="866"/>
        <v>0</v>
      </c>
      <c r="P5543" s="12">
        <f t="shared" si="867"/>
        <v>0</v>
      </c>
      <c r="Q5543" s="17" t="str">
        <f t="shared" si="869"/>
        <v>Pas d'écart</v>
      </c>
    </row>
    <row r="5544" spans="1:18" x14ac:dyDescent="0.3">
      <c r="A5544" s="34" t="str">
        <f>base!J5544</f>
        <v>LM</v>
      </c>
      <c r="B5544" s="34" t="str">
        <f>base!V5544</f>
        <v>25510</v>
      </c>
      <c r="C5544" s="37">
        <v>35</v>
      </c>
      <c r="D5544" s="36">
        <f>base!H5544</f>
        <v>103.06</v>
      </c>
      <c r="E5544" s="44"/>
      <c r="F5544" s="16">
        <f>base!W5544</f>
        <v>24.73</v>
      </c>
      <c r="G5544" s="11">
        <f t="shared" si="860"/>
        <v>0.23995730642344265</v>
      </c>
      <c r="H5544" s="11">
        <f t="shared" si="861"/>
        <v>27.826200000000004</v>
      </c>
      <c r="I5544" s="11">
        <f t="shared" si="862"/>
        <v>0.27</v>
      </c>
      <c r="J5544" s="12">
        <f t="shared" si="863"/>
        <v>-3.0962000000000032</v>
      </c>
      <c r="K5544" s="17" t="str">
        <f t="shared" si="868"/>
        <v>Ecart négatif</v>
      </c>
      <c r="L5544" s="16">
        <f>base!X5544</f>
        <v>0</v>
      </c>
      <c r="M5544" s="11">
        <f t="shared" si="864"/>
        <v>0</v>
      </c>
      <c r="N5544" s="11">
        <f t="shared" si="865"/>
        <v>0</v>
      </c>
      <c r="O5544" s="11">
        <f t="shared" si="866"/>
        <v>0</v>
      </c>
      <c r="P5544" s="12">
        <f t="shared" si="867"/>
        <v>0</v>
      </c>
      <c r="Q5544" s="17" t="str">
        <f t="shared" si="869"/>
        <v>Pas d'écart</v>
      </c>
    </row>
    <row r="5545" spans="1:18" x14ac:dyDescent="0.3">
      <c r="A5545" s="34" t="str">
        <f>base!J5545</f>
        <v>LM</v>
      </c>
      <c r="B5545" s="34" t="str">
        <f>base!V5545</f>
        <v>88000</v>
      </c>
      <c r="C5545" s="37">
        <v>49</v>
      </c>
      <c r="D5545" s="36">
        <f>base!H5545</f>
        <v>137.22999999999999</v>
      </c>
      <c r="E5545" s="44"/>
      <c r="F5545" s="16">
        <f>base!W5545</f>
        <v>39.799999999999997</v>
      </c>
      <c r="G5545" s="11">
        <f t="shared" si="860"/>
        <v>0.29002404721999564</v>
      </c>
      <c r="H5545" s="11">
        <f t="shared" si="861"/>
        <v>37.052100000000003</v>
      </c>
      <c r="I5545" s="11">
        <f t="shared" si="862"/>
        <v>0.27</v>
      </c>
      <c r="J5545" s="12">
        <f t="shared" si="863"/>
        <v>2.7478999999999942</v>
      </c>
      <c r="K5545" s="17" t="str">
        <f t="shared" si="868"/>
        <v>Ecart positif</v>
      </c>
      <c r="L5545" s="16">
        <f>base!X5545</f>
        <v>0</v>
      </c>
      <c r="M5545" s="11">
        <f t="shared" si="864"/>
        <v>0</v>
      </c>
      <c r="N5545" s="11">
        <f t="shared" si="865"/>
        <v>0</v>
      </c>
      <c r="O5545" s="11">
        <f t="shared" si="866"/>
        <v>0</v>
      </c>
      <c r="P5545" s="12">
        <f t="shared" si="867"/>
        <v>0</v>
      </c>
      <c r="Q5545" s="17" t="str">
        <f t="shared" si="869"/>
        <v>Pas d'écart</v>
      </c>
    </row>
    <row r="5546" spans="1:18" x14ac:dyDescent="0.3">
      <c r="A5546" s="34" t="str">
        <f>base!J5546</f>
        <v>LS</v>
      </c>
      <c r="B5546" s="34" t="str">
        <f>base!V5546</f>
        <v>34560</v>
      </c>
      <c r="C5546" s="37">
        <v>49</v>
      </c>
      <c r="D5546" s="36">
        <f>base!H5546</f>
        <v>75.14</v>
      </c>
      <c r="E5546" s="44"/>
      <c r="F5546" s="16">
        <f>base!W5546</f>
        <v>29.3</v>
      </c>
      <c r="G5546" s="11">
        <f t="shared" si="860"/>
        <v>0.38993878094224116</v>
      </c>
      <c r="H5546" s="11">
        <f t="shared" si="861"/>
        <v>20.287800000000001</v>
      </c>
      <c r="I5546" s="11">
        <f t="shared" si="862"/>
        <v>0.27</v>
      </c>
      <c r="J5546" s="12">
        <f t="shared" si="863"/>
        <v>9.0122</v>
      </c>
      <c r="K5546" s="17" t="str">
        <f t="shared" si="868"/>
        <v>Ecart positif</v>
      </c>
      <c r="L5546" s="16">
        <f>base!X5546</f>
        <v>0</v>
      </c>
      <c r="M5546" s="11">
        <f t="shared" si="864"/>
        <v>0</v>
      </c>
      <c r="N5546" s="11">
        <f t="shared" si="865"/>
        <v>0</v>
      </c>
      <c r="O5546" s="11">
        <f t="shared" si="866"/>
        <v>0</v>
      </c>
      <c r="P5546" s="12">
        <f t="shared" si="867"/>
        <v>0</v>
      </c>
      <c r="Q5546" s="17" t="str">
        <f t="shared" si="869"/>
        <v>Pas d'écart</v>
      </c>
    </row>
    <row r="5547" spans="1:18" x14ac:dyDescent="0.3">
      <c r="A5547" s="34" t="str">
        <f>base!J5547</f>
        <v>LM</v>
      </c>
      <c r="B5547" s="34" t="str">
        <f>base!V5547</f>
        <v>54000</v>
      </c>
      <c r="C5547" s="37">
        <v>44</v>
      </c>
      <c r="D5547" s="36">
        <f>base!H5547</f>
        <v>19.8</v>
      </c>
      <c r="E5547" s="44"/>
      <c r="F5547" s="16">
        <f>base!W5547</f>
        <v>4.95</v>
      </c>
      <c r="G5547" s="11">
        <f t="shared" si="860"/>
        <v>0.25</v>
      </c>
      <c r="H5547" s="11">
        <f t="shared" si="861"/>
        <v>5.346000000000001</v>
      </c>
      <c r="I5547" s="11">
        <f t="shared" si="862"/>
        <v>0.27</v>
      </c>
      <c r="J5547" s="12">
        <f t="shared" si="863"/>
        <v>-0.3960000000000008</v>
      </c>
      <c r="K5547" s="17" t="str">
        <f t="shared" si="868"/>
        <v>Ecart négatif</v>
      </c>
      <c r="L5547" s="16">
        <f>base!X5547</f>
        <v>0</v>
      </c>
      <c r="M5547" s="11">
        <f t="shared" si="864"/>
        <v>0</v>
      </c>
      <c r="N5547" s="11">
        <f t="shared" si="865"/>
        <v>0</v>
      </c>
      <c r="O5547" s="11">
        <f t="shared" si="866"/>
        <v>0</v>
      </c>
      <c r="P5547" s="12">
        <f t="shared" si="867"/>
        <v>0</v>
      </c>
      <c r="Q5547" s="17" t="str">
        <f t="shared" si="869"/>
        <v>Pas d'écart</v>
      </c>
    </row>
    <row r="5548" spans="1:18" x14ac:dyDescent="0.3">
      <c r="A5548" s="34" t="str">
        <f>base!J5548</f>
        <v>RM</v>
      </c>
      <c r="B5548" s="34" t="str">
        <f>base!V5548</f>
        <v>67230</v>
      </c>
      <c r="C5548" s="37">
        <v>67</v>
      </c>
      <c r="D5548" s="36">
        <f>base!H5548</f>
        <v>140</v>
      </c>
      <c r="E5548" s="44"/>
      <c r="F5548" s="16">
        <f>base!W5548</f>
        <v>0</v>
      </c>
      <c r="G5548" s="11">
        <f t="shared" si="860"/>
        <v>0</v>
      </c>
      <c r="H5548" s="11">
        <f t="shared" si="861"/>
        <v>40.599999999999994</v>
      </c>
      <c r="I5548" s="11">
        <f t="shared" si="862"/>
        <v>0.28999999999999998</v>
      </c>
      <c r="J5548" s="12">
        <f t="shared" si="863"/>
        <v>-40.599999999999994</v>
      </c>
      <c r="K5548" s="17" t="str">
        <f t="shared" si="868"/>
        <v>Ecart négatif</v>
      </c>
      <c r="L5548" s="16">
        <f>base!X5548</f>
        <v>11.2</v>
      </c>
      <c r="M5548" s="11">
        <f t="shared" si="864"/>
        <v>0.08</v>
      </c>
      <c r="N5548" s="11">
        <f t="shared" si="865"/>
        <v>11.200000000000001</v>
      </c>
      <c r="O5548" s="11">
        <f t="shared" si="866"/>
        <v>0.08</v>
      </c>
      <c r="P5548" s="12">
        <f t="shared" si="867"/>
        <v>0</v>
      </c>
      <c r="Q5548" s="17" t="str">
        <f t="shared" si="869"/>
        <v>Pas d'écart</v>
      </c>
      <c r="R5548" s="38"/>
    </row>
    <row r="5549" spans="1:18" x14ac:dyDescent="0.3">
      <c r="A5549" s="34" t="str">
        <f>base!J5549</f>
        <v>LS</v>
      </c>
      <c r="B5549" s="34" t="str">
        <f>base!V5549</f>
        <v>85130</v>
      </c>
      <c r="C5549" s="37">
        <v>35</v>
      </c>
      <c r="D5549" s="36">
        <f>base!H5549</f>
        <v>116.85</v>
      </c>
      <c r="E5549" s="44"/>
      <c r="F5549" s="16">
        <f>base!W5549</f>
        <v>31.55</v>
      </c>
      <c r="G5549" s="11">
        <f t="shared" si="860"/>
        <v>0.27000427899015833</v>
      </c>
      <c r="H5549" s="11">
        <f t="shared" si="861"/>
        <v>31.549500000000002</v>
      </c>
      <c r="I5549" s="11">
        <f t="shared" si="862"/>
        <v>0.27</v>
      </c>
      <c r="J5549" s="12">
        <f t="shared" si="863"/>
        <v>4.9999999999883471E-4</v>
      </c>
      <c r="K5549" s="17" t="str">
        <f t="shared" si="868"/>
        <v>Ecart positif</v>
      </c>
      <c r="L5549" s="16">
        <f>base!X5549</f>
        <v>0</v>
      </c>
      <c r="M5549" s="11">
        <f t="shared" si="864"/>
        <v>0</v>
      </c>
      <c r="N5549" s="11">
        <f t="shared" si="865"/>
        <v>0</v>
      </c>
      <c r="O5549" s="11">
        <f t="shared" si="866"/>
        <v>0</v>
      </c>
      <c r="P5549" s="12">
        <f t="shared" si="867"/>
        <v>0</v>
      </c>
      <c r="Q5549" s="17" t="str">
        <f t="shared" si="869"/>
        <v>Pas d'écart</v>
      </c>
    </row>
    <row r="5550" spans="1:18" x14ac:dyDescent="0.3">
      <c r="A5550" s="34" t="str">
        <f>base!J5550</f>
        <v>LS</v>
      </c>
      <c r="B5550" s="34" t="str">
        <f>base!V5550</f>
        <v>57410</v>
      </c>
      <c r="C5550" s="37">
        <v>69</v>
      </c>
      <c r="D5550" s="36">
        <f>base!H5550</f>
        <v>137.01</v>
      </c>
      <c r="E5550" s="44"/>
      <c r="F5550" s="16">
        <f>base!W5550</f>
        <v>39.729999999999997</v>
      </c>
      <c r="G5550" s="11">
        <f t="shared" si="860"/>
        <v>0.28997883366177651</v>
      </c>
      <c r="H5550" s="11">
        <f t="shared" si="861"/>
        <v>36.992699999999999</v>
      </c>
      <c r="I5550" s="11">
        <f t="shared" si="862"/>
        <v>0.27</v>
      </c>
      <c r="J5550" s="12">
        <f t="shared" si="863"/>
        <v>2.7372999999999976</v>
      </c>
      <c r="K5550" s="17" t="str">
        <f t="shared" si="868"/>
        <v>Ecart positif</v>
      </c>
      <c r="L5550" s="16">
        <f>base!X5550</f>
        <v>0</v>
      </c>
      <c r="M5550" s="11">
        <f t="shared" si="864"/>
        <v>0</v>
      </c>
      <c r="N5550" s="11">
        <f t="shared" si="865"/>
        <v>0</v>
      </c>
      <c r="O5550" s="11">
        <f t="shared" si="866"/>
        <v>0</v>
      </c>
      <c r="P5550" s="12">
        <f t="shared" si="867"/>
        <v>0</v>
      </c>
      <c r="Q5550" s="17" t="str">
        <f t="shared" si="869"/>
        <v>Pas d'écart</v>
      </c>
    </row>
    <row r="5551" spans="1:18" x14ac:dyDescent="0.3">
      <c r="A5551" s="34">
        <f>base!J5551</f>
        <v>0</v>
      </c>
      <c r="B5551" s="34" t="str">
        <f>base!V5551</f>
        <v>77184</v>
      </c>
      <c r="C5551" s="37">
        <v>77</v>
      </c>
      <c r="D5551" s="36">
        <f>base!H5551</f>
        <v>404</v>
      </c>
      <c r="E5551" s="44"/>
      <c r="F5551" s="16">
        <f>base!W5551</f>
        <v>0</v>
      </c>
      <c r="G5551" s="11">
        <f t="shared" si="860"/>
        <v>0</v>
      </c>
      <c r="H5551" s="11">
        <f t="shared" si="861"/>
        <v>0</v>
      </c>
      <c r="I5551" s="11">
        <f t="shared" si="862"/>
        <v>0</v>
      </c>
      <c r="J5551" s="12">
        <f t="shared" si="863"/>
        <v>0</v>
      </c>
      <c r="K5551" s="17" t="str">
        <f t="shared" si="868"/>
        <v>Pas d'écart</v>
      </c>
      <c r="L5551" s="16">
        <f>base!X5551</f>
        <v>0</v>
      </c>
      <c r="M5551" s="11">
        <f t="shared" si="864"/>
        <v>0</v>
      </c>
      <c r="N5551" s="11">
        <f t="shared" si="865"/>
        <v>0</v>
      </c>
      <c r="O5551" s="11">
        <f t="shared" si="866"/>
        <v>0</v>
      </c>
      <c r="P5551" s="12">
        <f t="shared" si="867"/>
        <v>0</v>
      </c>
      <c r="Q5551" s="17" t="str">
        <f t="shared" si="869"/>
        <v>Pas d'écart</v>
      </c>
    </row>
    <row r="5552" spans="1:18" x14ac:dyDescent="0.3">
      <c r="A5552" s="34">
        <f>base!J5552</f>
        <v>0</v>
      </c>
      <c r="B5552" s="34" t="str">
        <f>base!V5552</f>
        <v>77184</v>
      </c>
      <c r="C5552" s="37">
        <v>77</v>
      </c>
      <c r="D5552" s="36">
        <f>base!H5552</f>
        <v>150</v>
      </c>
      <c r="E5552" s="44"/>
      <c r="F5552" s="16">
        <f>base!W5552</f>
        <v>0</v>
      </c>
      <c r="G5552" s="11">
        <f t="shared" si="860"/>
        <v>0</v>
      </c>
      <c r="H5552" s="11">
        <f t="shared" si="861"/>
        <v>0</v>
      </c>
      <c r="I5552" s="11">
        <f t="shared" si="862"/>
        <v>0</v>
      </c>
      <c r="J5552" s="12">
        <f t="shared" si="863"/>
        <v>0</v>
      </c>
      <c r="K5552" s="17" t="str">
        <f t="shared" si="868"/>
        <v>Pas d'écart</v>
      </c>
      <c r="L5552" s="16">
        <f>base!X5552</f>
        <v>0</v>
      </c>
      <c r="M5552" s="11">
        <f t="shared" si="864"/>
        <v>0</v>
      </c>
      <c r="N5552" s="11">
        <f t="shared" si="865"/>
        <v>0</v>
      </c>
      <c r="O5552" s="11">
        <f t="shared" si="866"/>
        <v>0</v>
      </c>
      <c r="P5552" s="12">
        <f t="shared" si="867"/>
        <v>0</v>
      </c>
      <c r="Q5552" s="17" t="str">
        <f t="shared" si="869"/>
        <v>Pas d'écart</v>
      </c>
    </row>
    <row r="5553" spans="1:18" x14ac:dyDescent="0.3">
      <c r="A5553" s="34">
        <f>base!J5553</f>
        <v>0</v>
      </c>
      <c r="B5553" s="34" t="str">
        <f>base!V5553</f>
        <v>77184</v>
      </c>
      <c r="C5553" s="37">
        <v>77</v>
      </c>
      <c r="D5553" s="36">
        <f>base!H5553</f>
        <v>137</v>
      </c>
      <c r="E5553" s="44"/>
      <c r="F5553" s="16">
        <f>base!W5553</f>
        <v>0</v>
      </c>
      <c r="G5553" s="11">
        <f t="shared" si="860"/>
        <v>0</v>
      </c>
      <c r="H5553" s="11">
        <f t="shared" si="861"/>
        <v>0</v>
      </c>
      <c r="I5553" s="11">
        <f t="shared" si="862"/>
        <v>0</v>
      </c>
      <c r="J5553" s="12">
        <f t="shared" si="863"/>
        <v>0</v>
      </c>
      <c r="K5553" s="17" t="str">
        <f t="shared" si="868"/>
        <v>Pas d'écart</v>
      </c>
      <c r="L5553" s="16">
        <f>base!X5553</f>
        <v>0</v>
      </c>
      <c r="M5553" s="11">
        <f t="shared" si="864"/>
        <v>0</v>
      </c>
      <c r="N5553" s="11">
        <f t="shared" si="865"/>
        <v>0</v>
      </c>
      <c r="O5553" s="11">
        <f t="shared" si="866"/>
        <v>0</v>
      </c>
      <c r="P5553" s="12">
        <f t="shared" si="867"/>
        <v>0</v>
      </c>
      <c r="Q5553" s="17" t="str">
        <f t="shared" si="869"/>
        <v>Pas d'écart</v>
      </c>
    </row>
    <row r="5554" spans="1:18" x14ac:dyDescent="0.3">
      <c r="A5554" s="34" t="str">
        <f>base!J5554</f>
        <v>LS</v>
      </c>
      <c r="B5554" s="34" t="str">
        <f>base!V5554</f>
        <v>777170</v>
      </c>
      <c r="C5554" s="37">
        <v>77</v>
      </c>
      <c r="D5554" s="36">
        <f>base!H5554</f>
        <v>120.29</v>
      </c>
      <c r="E5554" s="44"/>
      <c r="F5554" s="16">
        <f>base!W5554</f>
        <v>0</v>
      </c>
      <c r="G5554" s="11">
        <f t="shared" si="860"/>
        <v>0</v>
      </c>
      <c r="H5554" s="11">
        <f t="shared" si="861"/>
        <v>0</v>
      </c>
      <c r="I5554" s="11">
        <f t="shared" si="862"/>
        <v>0</v>
      </c>
      <c r="J5554" s="12">
        <f t="shared" si="863"/>
        <v>0</v>
      </c>
      <c r="K5554" s="17" t="str">
        <f t="shared" si="868"/>
        <v>Pas d'écart</v>
      </c>
      <c r="L5554" s="16">
        <f>base!X5554</f>
        <v>0</v>
      </c>
      <c r="M5554" s="11">
        <f t="shared" si="864"/>
        <v>0</v>
      </c>
      <c r="N5554" s="11">
        <f t="shared" si="865"/>
        <v>0</v>
      </c>
      <c r="O5554" s="11">
        <f t="shared" si="866"/>
        <v>0</v>
      </c>
      <c r="P5554" s="12">
        <f t="shared" si="867"/>
        <v>0</v>
      </c>
      <c r="Q5554" s="17" t="str">
        <f t="shared" si="869"/>
        <v>Pas d'écart</v>
      </c>
    </row>
    <row r="5555" spans="1:18" x14ac:dyDescent="0.3">
      <c r="A5555" s="34" t="str">
        <f>base!J5555</f>
        <v>LM</v>
      </c>
      <c r="B5555" s="34" t="str">
        <f>base!V5555</f>
        <v>67230</v>
      </c>
      <c r="C5555" s="37">
        <v>69</v>
      </c>
      <c r="D5555" s="36">
        <f>base!H5555</f>
        <v>126.65</v>
      </c>
      <c r="E5555" s="44"/>
      <c r="F5555" s="16">
        <f>base!W5555</f>
        <v>36.729999999999997</v>
      </c>
      <c r="G5555" s="11">
        <f t="shared" si="860"/>
        <v>0.29001184366363991</v>
      </c>
      <c r="H5555" s="11">
        <f t="shared" si="861"/>
        <v>34.195500000000003</v>
      </c>
      <c r="I5555" s="11">
        <f t="shared" si="862"/>
        <v>0.27</v>
      </c>
      <c r="J5555" s="12">
        <f t="shared" si="863"/>
        <v>2.5344999999999942</v>
      </c>
      <c r="K5555" s="17" t="str">
        <f t="shared" si="868"/>
        <v>Ecart positif</v>
      </c>
      <c r="L5555" s="16">
        <f>base!X5555</f>
        <v>0</v>
      </c>
      <c r="M5555" s="11">
        <f t="shared" si="864"/>
        <v>0</v>
      </c>
      <c r="N5555" s="11">
        <f t="shared" si="865"/>
        <v>0</v>
      </c>
      <c r="O5555" s="11">
        <f t="shared" si="866"/>
        <v>0</v>
      </c>
      <c r="P5555" s="12">
        <f t="shared" si="867"/>
        <v>0</v>
      </c>
      <c r="Q5555" s="17" t="str">
        <f t="shared" si="869"/>
        <v>Pas d'écart</v>
      </c>
    </row>
    <row r="5556" spans="1:18" x14ac:dyDescent="0.3">
      <c r="A5556" s="34" t="str">
        <f>base!J5556</f>
        <v>LS</v>
      </c>
      <c r="B5556" s="34" t="str">
        <f>base!V5556</f>
        <v>73800</v>
      </c>
      <c r="C5556" s="37">
        <v>73</v>
      </c>
      <c r="D5556" s="36">
        <f>base!H5556</f>
        <v>130</v>
      </c>
      <c r="E5556" s="44"/>
      <c r="F5556" s="16">
        <f>base!W5556</f>
        <v>35.1</v>
      </c>
      <c r="G5556" s="11">
        <f t="shared" si="860"/>
        <v>0.27</v>
      </c>
      <c r="H5556" s="11">
        <f t="shared" si="861"/>
        <v>35.1</v>
      </c>
      <c r="I5556" s="11">
        <f t="shared" si="862"/>
        <v>0.27</v>
      </c>
      <c r="J5556" s="12">
        <f t="shared" si="863"/>
        <v>0</v>
      </c>
      <c r="K5556" s="17" t="str">
        <f t="shared" si="868"/>
        <v>Pas d'écart</v>
      </c>
      <c r="L5556" s="16">
        <f>base!X5556</f>
        <v>0</v>
      </c>
      <c r="M5556" s="11">
        <f t="shared" si="864"/>
        <v>0</v>
      </c>
      <c r="N5556" s="11">
        <f t="shared" si="865"/>
        <v>0</v>
      </c>
      <c r="O5556" s="11">
        <f t="shared" si="866"/>
        <v>0</v>
      </c>
      <c r="P5556" s="12">
        <f t="shared" si="867"/>
        <v>0</v>
      </c>
      <c r="Q5556" s="17" t="str">
        <f t="shared" si="869"/>
        <v>Pas d'écart</v>
      </c>
    </row>
    <row r="5557" spans="1:18" x14ac:dyDescent="0.3">
      <c r="A5557" s="34">
        <f>base!J5557</f>
        <v>0</v>
      </c>
      <c r="B5557" s="34" t="str">
        <f>base!V5557</f>
        <v>77184</v>
      </c>
      <c r="C5557" s="37">
        <v>77</v>
      </c>
      <c r="D5557" s="36">
        <f>base!H5557</f>
        <v>128.94</v>
      </c>
      <c r="E5557" s="44"/>
      <c r="F5557" s="16">
        <f>base!W5557</f>
        <v>0</v>
      </c>
      <c r="G5557" s="11">
        <f t="shared" si="860"/>
        <v>0</v>
      </c>
      <c r="H5557" s="11">
        <f t="shared" si="861"/>
        <v>0</v>
      </c>
      <c r="I5557" s="11">
        <f t="shared" si="862"/>
        <v>0</v>
      </c>
      <c r="J5557" s="12">
        <f t="shared" si="863"/>
        <v>0</v>
      </c>
      <c r="K5557" s="17" t="str">
        <f t="shared" si="868"/>
        <v>Pas d'écart</v>
      </c>
      <c r="L5557" s="16">
        <f>base!X5557</f>
        <v>0</v>
      </c>
      <c r="M5557" s="11">
        <f t="shared" si="864"/>
        <v>0</v>
      </c>
      <c r="N5557" s="11">
        <f t="shared" si="865"/>
        <v>0</v>
      </c>
      <c r="O5557" s="11">
        <f t="shared" si="866"/>
        <v>0</v>
      </c>
      <c r="P5557" s="12">
        <f t="shared" si="867"/>
        <v>0</v>
      </c>
      <c r="Q5557" s="17" t="str">
        <f t="shared" si="869"/>
        <v>Pas d'écart</v>
      </c>
    </row>
    <row r="5558" spans="1:18" x14ac:dyDescent="0.3">
      <c r="A5558" s="34">
        <f>base!J5558</f>
        <v>0</v>
      </c>
      <c r="B5558" s="34" t="str">
        <f>base!V5558</f>
        <v>77184</v>
      </c>
      <c r="C5558" s="37">
        <v>77</v>
      </c>
      <c r="D5558" s="36">
        <f>base!H5558</f>
        <v>26.6</v>
      </c>
      <c r="E5558" s="44"/>
      <c r="F5558" s="16">
        <f>base!W5558</f>
        <v>0</v>
      </c>
      <c r="G5558" s="11">
        <f t="shared" si="860"/>
        <v>0</v>
      </c>
      <c r="H5558" s="11">
        <f t="shared" si="861"/>
        <v>0</v>
      </c>
      <c r="I5558" s="11">
        <f t="shared" si="862"/>
        <v>0</v>
      </c>
      <c r="J5558" s="12">
        <f t="shared" si="863"/>
        <v>0</v>
      </c>
      <c r="K5558" s="17" t="str">
        <f t="shared" si="868"/>
        <v>Pas d'écart</v>
      </c>
      <c r="L5558" s="16">
        <f>base!X5558</f>
        <v>0</v>
      </c>
      <c r="M5558" s="11">
        <f t="shared" si="864"/>
        <v>0</v>
      </c>
      <c r="N5558" s="11">
        <f t="shared" si="865"/>
        <v>0</v>
      </c>
      <c r="O5558" s="11">
        <f t="shared" si="866"/>
        <v>0</v>
      </c>
      <c r="P5558" s="12">
        <f t="shared" si="867"/>
        <v>0</v>
      </c>
      <c r="Q5558" s="17" t="str">
        <f t="shared" si="869"/>
        <v>Pas d'écart</v>
      </c>
    </row>
    <row r="5559" spans="1:18" x14ac:dyDescent="0.3">
      <c r="A5559" s="34">
        <f>base!J5559</f>
        <v>0</v>
      </c>
      <c r="B5559" s="34" t="str">
        <f>base!V5559</f>
        <v>77184</v>
      </c>
      <c r="C5559" s="37">
        <v>77</v>
      </c>
      <c r="D5559" s="36">
        <f>base!H5559</f>
        <v>35.03</v>
      </c>
      <c r="E5559" s="44"/>
      <c r="F5559" s="16">
        <f>base!W5559</f>
        <v>0</v>
      </c>
      <c r="G5559" s="11">
        <f t="shared" si="860"/>
        <v>0</v>
      </c>
      <c r="H5559" s="11">
        <f t="shared" si="861"/>
        <v>0</v>
      </c>
      <c r="I5559" s="11">
        <f t="shared" si="862"/>
        <v>0</v>
      </c>
      <c r="J5559" s="12">
        <f t="shared" si="863"/>
        <v>0</v>
      </c>
      <c r="K5559" s="17" t="str">
        <f t="shared" si="868"/>
        <v>Pas d'écart</v>
      </c>
      <c r="L5559" s="16">
        <f>base!X5559</f>
        <v>0</v>
      </c>
      <c r="M5559" s="11">
        <f t="shared" si="864"/>
        <v>0</v>
      </c>
      <c r="N5559" s="11">
        <f t="shared" si="865"/>
        <v>0</v>
      </c>
      <c r="O5559" s="11">
        <f t="shared" si="866"/>
        <v>0</v>
      </c>
      <c r="P5559" s="12">
        <f t="shared" si="867"/>
        <v>0</v>
      </c>
      <c r="Q5559" s="17" t="str">
        <f t="shared" si="869"/>
        <v>Pas d'écart</v>
      </c>
    </row>
    <row r="5560" spans="1:18" x14ac:dyDescent="0.3">
      <c r="A5560" s="34">
        <f>base!J5560</f>
        <v>0</v>
      </c>
      <c r="B5560" s="34" t="str">
        <f>base!V5560</f>
        <v>77184</v>
      </c>
      <c r="C5560" s="37">
        <v>77</v>
      </c>
      <c r="D5560" s="36">
        <f>base!H5560</f>
        <v>31.6</v>
      </c>
      <c r="E5560" s="44"/>
      <c r="F5560" s="16">
        <f>base!W5560</f>
        <v>0</v>
      </c>
      <c r="G5560" s="11">
        <f t="shared" si="860"/>
        <v>0</v>
      </c>
      <c r="H5560" s="11">
        <f t="shared" si="861"/>
        <v>0</v>
      </c>
      <c r="I5560" s="11">
        <f t="shared" si="862"/>
        <v>0</v>
      </c>
      <c r="J5560" s="12">
        <f t="shared" si="863"/>
        <v>0</v>
      </c>
      <c r="K5560" s="17" t="str">
        <f t="shared" si="868"/>
        <v>Pas d'écart</v>
      </c>
      <c r="L5560" s="16">
        <f>base!X5560</f>
        <v>0</v>
      </c>
      <c r="M5560" s="11">
        <f t="shared" si="864"/>
        <v>0</v>
      </c>
      <c r="N5560" s="11">
        <f t="shared" si="865"/>
        <v>0</v>
      </c>
      <c r="O5560" s="11">
        <f t="shared" si="866"/>
        <v>0</v>
      </c>
      <c r="P5560" s="12">
        <f t="shared" si="867"/>
        <v>0</v>
      </c>
      <c r="Q5560" s="17" t="str">
        <f t="shared" si="869"/>
        <v>Pas d'écart</v>
      </c>
    </row>
    <row r="5561" spans="1:18" x14ac:dyDescent="0.3">
      <c r="A5561" s="34" t="str">
        <f>base!J5561</f>
        <v>RS</v>
      </c>
      <c r="B5561" s="34" t="str">
        <f>base!V5561</f>
        <v>94200</v>
      </c>
      <c r="C5561" s="37">
        <v>94</v>
      </c>
      <c r="D5561" s="36">
        <f>base!H5561</f>
        <v>250</v>
      </c>
      <c r="E5561" s="44"/>
      <c r="F5561" s="16">
        <f>base!W5561</f>
        <v>0</v>
      </c>
      <c r="G5561" s="11">
        <f t="shared" si="860"/>
        <v>0</v>
      </c>
      <c r="H5561" s="11">
        <f t="shared" si="861"/>
        <v>0</v>
      </c>
      <c r="I5561" s="11">
        <f t="shared" si="862"/>
        <v>0</v>
      </c>
      <c r="J5561" s="12">
        <f t="shared" si="863"/>
        <v>0</v>
      </c>
      <c r="K5561" s="17" t="str">
        <f t="shared" si="868"/>
        <v>Pas d'écart</v>
      </c>
      <c r="L5561" s="16">
        <f>base!X5561</f>
        <v>0</v>
      </c>
      <c r="M5561" s="11">
        <f t="shared" si="864"/>
        <v>0</v>
      </c>
      <c r="N5561" s="11">
        <f t="shared" si="865"/>
        <v>0</v>
      </c>
      <c r="O5561" s="11">
        <f t="shared" si="866"/>
        <v>0</v>
      </c>
      <c r="P5561" s="12">
        <f t="shared" si="867"/>
        <v>0</v>
      </c>
      <c r="Q5561" s="17" t="str">
        <f t="shared" si="869"/>
        <v>Pas d'écart</v>
      </c>
    </row>
    <row r="5562" spans="1:18" x14ac:dyDescent="0.3">
      <c r="A5562" s="34" t="str">
        <f>base!J5562</f>
        <v>LS</v>
      </c>
      <c r="B5562" s="34" t="str">
        <f>base!V5562</f>
        <v>74140</v>
      </c>
      <c r="C5562" s="37">
        <v>69</v>
      </c>
      <c r="D5562" s="36">
        <f>base!H5562</f>
        <v>171.88</v>
      </c>
      <c r="E5562" s="44"/>
      <c r="F5562" s="16">
        <f>base!W5562</f>
        <v>46.41</v>
      </c>
      <c r="G5562" s="11">
        <f t="shared" si="860"/>
        <v>0.27001396323016058</v>
      </c>
      <c r="H5562" s="11">
        <f t="shared" si="861"/>
        <v>46.407600000000002</v>
      </c>
      <c r="I5562" s="11">
        <f t="shared" si="862"/>
        <v>0.27</v>
      </c>
      <c r="J5562" s="12">
        <f t="shared" si="863"/>
        <v>2.3999999999944066E-3</v>
      </c>
      <c r="K5562" s="17" t="str">
        <f t="shared" si="868"/>
        <v>Ecart positif</v>
      </c>
      <c r="L5562" s="16">
        <f>base!X5562</f>
        <v>0</v>
      </c>
      <c r="M5562" s="11">
        <f t="shared" si="864"/>
        <v>0</v>
      </c>
      <c r="N5562" s="11">
        <f t="shared" si="865"/>
        <v>0</v>
      </c>
      <c r="O5562" s="11">
        <f t="shared" si="866"/>
        <v>0</v>
      </c>
      <c r="P5562" s="12">
        <f t="shared" si="867"/>
        <v>0</v>
      </c>
      <c r="Q5562" s="17" t="str">
        <f t="shared" si="869"/>
        <v>Pas d'écart</v>
      </c>
    </row>
    <row r="5563" spans="1:18" x14ac:dyDescent="0.3">
      <c r="A5563" s="34" t="str">
        <f>base!J5563</f>
        <v>LS</v>
      </c>
      <c r="B5563" s="34" t="str">
        <f>base!V5563</f>
        <v>03210</v>
      </c>
      <c r="C5563" s="37">
        <v>69</v>
      </c>
      <c r="D5563" s="36">
        <f>base!H5563</f>
        <v>125.78</v>
      </c>
      <c r="E5563" s="44"/>
      <c r="F5563" s="16">
        <f>base!W5563</f>
        <v>36.479999999999997</v>
      </c>
      <c r="G5563" s="11">
        <f t="shared" si="860"/>
        <v>0.29003021148036251</v>
      </c>
      <c r="H5563" s="11">
        <f t="shared" si="861"/>
        <v>33.960599999999999</v>
      </c>
      <c r="I5563" s="11">
        <f t="shared" si="862"/>
        <v>0.27</v>
      </c>
      <c r="J5563" s="12">
        <f t="shared" si="863"/>
        <v>2.5193999999999974</v>
      </c>
      <c r="K5563" s="17" t="str">
        <f t="shared" si="868"/>
        <v>Ecart positif</v>
      </c>
      <c r="L5563" s="16">
        <f>base!X5563</f>
        <v>0</v>
      </c>
      <c r="M5563" s="11">
        <f t="shared" si="864"/>
        <v>0</v>
      </c>
      <c r="N5563" s="11">
        <f t="shared" si="865"/>
        <v>0</v>
      </c>
      <c r="O5563" s="11">
        <f t="shared" si="866"/>
        <v>0</v>
      </c>
      <c r="P5563" s="12">
        <f t="shared" si="867"/>
        <v>0</v>
      </c>
      <c r="Q5563" s="17" t="str">
        <f t="shared" si="869"/>
        <v>Pas d'écart</v>
      </c>
    </row>
    <row r="5564" spans="1:18" x14ac:dyDescent="0.3">
      <c r="A5564" s="34" t="str">
        <f>base!J5564</f>
        <v>LS</v>
      </c>
      <c r="B5564" s="34" t="str">
        <f>base!V5564</f>
        <v>30320</v>
      </c>
      <c r="C5564" s="37">
        <v>30</v>
      </c>
      <c r="D5564" s="36">
        <f>base!H5564</f>
        <v>0</v>
      </c>
      <c r="E5564" s="44"/>
      <c r="F5564" s="16">
        <f>base!W5564</f>
        <v>0</v>
      </c>
      <c r="G5564" s="11" t="e">
        <f t="shared" si="860"/>
        <v>#DIV/0!</v>
      </c>
      <c r="H5564" s="11">
        <f t="shared" si="861"/>
        <v>0</v>
      </c>
      <c r="I5564" s="11" t="e">
        <f t="shared" si="862"/>
        <v>#DIV/0!</v>
      </c>
      <c r="J5564" s="12">
        <f t="shared" si="863"/>
        <v>0</v>
      </c>
      <c r="K5564" s="17" t="str">
        <f t="shared" si="868"/>
        <v>Pas d'écart</v>
      </c>
      <c r="L5564" s="16">
        <f>base!X5564</f>
        <v>0</v>
      </c>
      <c r="M5564" s="11" t="e">
        <f t="shared" si="864"/>
        <v>#DIV/0!</v>
      </c>
      <c r="N5564" s="11">
        <f t="shared" si="865"/>
        <v>0</v>
      </c>
      <c r="O5564" s="11" t="e">
        <f t="shared" si="866"/>
        <v>#DIV/0!</v>
      </c>
      <c r="P5564" s="12">
        <f t="shared" si="867"/>
        <v>0</v>
      </c>
      <c r="Q5564" s="17" t="str">
        <f t="shared" si="869"/>
        <v>Pas d'écart</v>
      </c>
    </row>
    <row r="5565" spans="1:18" x14ac:dyDescent="0.3">
      <c r="A5565" s="34" t="str">
        <f>base!J5565</f>
        <v>RS</v>
      </c>
      <c r="B5565" s="34" t="str">
        <f>base!V5565</f>
        <v>34500</v>
      </c>
      <c r="C5565" s="37">
        <v>34</v>
      </c>
      <c r="D5565" s="36">
        <f>base!H5565</f>
        <v>172.93</v>
      </c>
      <c r="E5565" s="44"/>
      <c r="F5565" s="16">
        <f>base!W5565</f>
        <v>0</v>
      </c>
      <c r="G5565" s="11">
        <f t="shared" si="860"/>
        <v>0</v>
      </c>
      <c r="H5565" s="11">
        <f t="shared" si="861"/>
        <v>67.442700000000002</v>
      </c>
      <c r="I5565" s="11">
        <f t="shared" si="862"/>
        <v>0.39</v>
      </c>
      <c r="J5565" s="12">
        <f t="shared" si="863"/>
        <v>-67.442700000000002</v>
      </c>
      <c r="K5565" s="17" t="str">
        <f t="shared" si="868"/>
        <v>Ecart négatif</v>
      </c>
      <c r="L5565" s="16">
        <f>base!X5565</f>
        <v>48.42</v>
      </c>
      <c r="M5565" s="11">
        <f t="shared" si="864"/>
        <v>0.27999768692534549</v>
      </c>
      <c r="N5565" s="11">
        <f t="shared" si="865"/>
        <v>48.420400000000008</v>
      </c>
      <c r="O5565" s="11">
        <f t="shared" si="866"/>
        <v>0.28000000000000003</v>
      </c>
      <c r="P5565" s="12">
        <f t="shared" si="867"/>
        <v>-4.000000000061732E-4</v>
      </c>
      <c r="Q5565" s="17" t="str">
        <f t="shared" si="869"/>
        <v>Ecart négatif</v>
      </c>
      <c r="R5565" s="38"/>
    </row>
    <row r="5566" spans="1:18" x14ac:dyDescent="0.3">
      <c r="A5566" s="34" t="str">
        <f>base!J5566</f>
        <v>RS</v>
      </c>
      <c r="B5566" s="34" t="str">
        <f>base!V5566</f>
        <v>34500</v>
      </c>
      <c r="C5566" s="37">
        <v>34</v>
      </c>
      <c r="D5566" s="36">
        <f>base!H5566</f>
        <v>180</v>
      </c>
      <c r="E5566" s="44"/>
      <c r="F5566" s="16">
        <f>base!W5566</f>
        <v>0</v>
      </c>
      <c r="G5566" s="11">
        <f t="shared" si="860"/>
        <v>0</v>
      </c>
      <c r="H5566" s="11">
        <f t="shared" si="861"/>
        <v>70.2</v>
      </c>
      <c r="I5566" s="11">
        <f t="shared" si="862"/>
        <v>0.39</v>
      </c>
      <c r="J5566" s="12">
        <f t="shared" si="863"/>
        <v>-70.2</v>
      </c>
      <c r="K5566" s="17" t="str">
        <f t="shared" si="868"/>
        <v>Ecart négatif</v>
      </c>
      <c r="L5566" s="16">
        <f>base!X5566</f>
        <v>50.4</v>
      </c>
      <c r="M5566" s="11">
        <f t="shared" si="864"/>
        <v>0.27999999999999997</v>
      </c>
      <c r="N5566" s="11">
        <f t="shared" si="865"/>
        <v>50.400000000000006</v>
      </c>
      <c r="O5566" s="11">
        <f t="shared" si="866"/>
        <v>0.28000000000000003</v>
      </c>
      <c r="P5566" s="12">
        <f t="shared" si="867"/>
        <v>0</v>
      </c>
      <c r="Q5566" s="17" t="str">
        <f t="shared" si="869"/>
        <v>Pas d'écart</v>
      </c>
      <c r="R5566" s="38"/>
    </row>
    <row r="5567" spans="1:18" x14ac:dyDescent="0.3">
      <c r="A5567" s="34" t="str">
        <f>base!J5567</f>
        <v>RS</v>
      </c>
      <c r="B5567" s="34" t="str">
        <f>base!V5567</f>
        <v>34500</v>
      </c>
      <c r="C5567" s="37">
        <v>34</v>
      </c>
      <c r="D5567" s="36">
        <f>base!H5567</f>
        <v>289</v>
      </c>
      <c r="E5567" s="44"/>
      <c r="F5567" s="16">
        <f>base!W5567</f>
        <v>0</v>
      </c>
      <c r="G5567" s="11">
        <f t="shared" si="860"/>
        <v>0</v>
      </c>
      <c r="H5567" s="11">
        <f t="shared" si="861"/>
        <v>112.71000000000001</v>
      </c>
      <c r="I5567" s="11">
        <f t="shared" si="862"/>
        <v>0.39</v>
      </c>
      <c r="J5567" s="12">
        <f t="shared" si="863"/>
        <v>-112.71000000000001</v>
      </c>
      <c r="K5567" s="17" t="str">
        <f t="shared" si="868"/>
        <v>Ecart négatif</v>
      </c>
      <c r="L5567" s="16">
        <f>base!X5567</f>
        <v>80.92</v>
      </c>
      <c r="M5567" s="11">
        <f t="shared" si="864"/>
        <v>0.28000000000000003</v>
      </c>
      <c r="N5567" s="11">
        <f t="shared" si="865"/>
        <v>80.92</v>
      </c>
      <c r="O5567" s="11">
        <f t="shared" si="866"/>
        <v>0.28000000000000003</v>
      </c>
      <c r="P5567" s="12">
        <f t="shared" si="867"/>
        <v>0</v>
      </c>
      <c r="Q5567" s="17" t="str">
        <f t="shared" si="869"/>
        <v>Pas d'écart</v>
      </c>
      <c r="R5567" s="38"/>
    </row>
    <row r="5568" spans="1:18" x14ac:dyDescent="0.3">
      <c r="A5568" s="34" t="str">
        <f>base!J5568</f>
        <v>DLS</v>
      </c>
      <c r="B5568" s="34" t="str">
        <f>base!V5568</f>
        <v>94743</v>
      </c>
      <c r="C5568" s="37">
        <v>94</v>
      </c>
      <c r="D5568" s="36">
        <f>base!H5568</f>
        <v>194.98</v>
      </c>
      <c r="E5568" s="44"/>
      <c r="F5568" s="16">
        <f>base!W5568</f>
        <v>0</v>
      </c>
      <c r="G5568" s="11">
        <f t="shared" si="860"/>
        <v>0</v>
      </c>
      <c r="H5568" s="11">
        <f t="shared" si="861"/>
        <v>0</v>
      </c>
      <c r="I5568" s="11">
        <f t="shared" si="862"/>
        <v>0</v>
      </c>
      <c r="J5568" s="12">
        <f t="shared" si="863"/>
        <v>0</v>
      </c>
      <c r="K5568" s="17" t="str">
        <f t="shared" si="868"/>
        <v>Pas d'écart</v>
      </c>
      <c r="L5568" s="16">
        <f>base!X5568</f>
        <v>0</v>
      </c>
      <c r="M5568" s="11">
        <f t="shared" si="864"/>
        <v>0</v>
      </c>
      <c r="N5568" s="11">
        <f t="shared" si="865"/>
        <v>0</v>
      </c>
      <c r="O5568" s="11">
        <f t="shared" si="866"/>
        <v>0</v>
      </c>
      <c r="P5568" s="12">
        <f t="shared" si="867"/>
        <v>0</v>
      </c>
      <c r="Q5568" s="17" t="str">
        <f t="shared" si="869"/>
        <v>Pas d'écart</v>
      </c>
    </row>
    <row r="5569" spans="1:18" x14ac:dyDescent="0.3">
      <c r="A5569" s="34" t="str">
        <f>base!J5569</f>
        <v>LS</v>
      </c>
      <c r="B5569" s="34" t="str">
        <f>base!V5569</f>
        <v>30000</v>
      </c>
      <c r="C5569" s="37">
        <v>69</v>
      </c>
      <c r="D5569" s="36">
        <f>base!H5569</f>
        <v>123.63</v>
      </c>
      <c r="E5569" s="44"/>
      <c r="F5569" s="16">
        <f>base!W5569</f>
        <v>48.22</v>
      </c>
      <c r="G5569" s="11">
        <f t="shared" si="860"/>
        <v>0.39003478120197366</v>
      </c>
      <c r="H5569" s="11">
        <f t="shared" si="861"/>
        <v>33.380099999999999</v>
      </c>
      <c r="I5569" s="11">
        <f t="shared" si="862"/>
        <v>0.27</v>
      </c>
      <c r="J5569" s="12">
        <f t="shared" si="863"/>
        <v>14.8399</v>
      </c>
      <c r="K5569" s="17" t="str">
        <f t="shared" si="868"/>
        <v>Ecart positif</v>
      </c>
      <c r="L5569" s="16">
        <f>base!X5569</f>
        <v>0</v>
      </c>
      <c r="M5569" s="11">
        <f t="shared" si="864"/>
        <v>0</v>
      </c>
      <c r="N5569" s="11">
        <f t="shared" si="865"/>
        <v>0</v>
      </c>
      <c r="O5569" s="11">
        <f t="shared" si="866"/>
        <v>0</v>
      </c>
      <c r="P5569" s="12">
        <f t="shared" si="867"/>
        <v>0</v>
      </c>
      <c r="Q5569" s="17" t="str">
        <f t="shared" si="869"/>
        <v>Pas d'écart</v>
      </c>
    </row>
    <row r="5570" spans="1:18" x14ac:dyDescent="0.3">
      <c r="A5570" s="34" t="str">
        <f>base!J5570</f>
        <v>LS</v>
      </c>
      <c r="B5570" s="34" t="str">
        <f>base!V5570</f>
        <v>34000</v>
      </c>
      <c r="C5570" s="37">
        <v>69</v>
      </c>
      <c r="D5570" s="36">
        <f>base!H5570</f>
        <v>131.72</v>
      </c>
      <c r="E5570" s="44"/>
      <c r="F5570" s="16">
        <f>base!W5570</f>
        <v>51.37</v>
      </c>
      <c r="G5570" s="11">
        <f t="shared" ref="G5570:G5633" si="870">F5570/D5570</f>
        <v>0.38999392651078041</v>
      </c>
      <c r="H5570" s="11">
        <f t="shared" ref="H5570:H5633" si="871">VLOOKUP(C5570,tout_cout_traction,2,FALSE)*D5570</f>
        <v>35.564399999999999</v>
      </c>
      <c r="I5570" s="11">
        <f t="shared" ref="I5570:I5633" si="872">H5570/D5570</f>
        <v>0.27</v>
      </c>
      <c r="J5570" s="12">
        <f t="shared" ref="J5570:J5633" si="873">F5570-H5570</f>
        <v>15.805599999999998</v>
      </c>
      <c r="K5570" s="17" t="str">
        <f t="shared" si="868"/>
        <v>Ecart positif</v>
      </c>
      <c r="L5570" s="16">
        <f>base!X5570</f>
        <v>0</v>
      </c>
      <c r="M5570" s="11">
        <f t="shared" ref="M5570:M5633" si="874">L5570/D5570</f>
        <v>0</v>
      </c>
      <c r="N5570" s="11">
        <f t="shared" ref="N5570:N5633" si="875">VLOOKUP(C5570,tout_cout_traction,3,FALSE)*D5570</f>
        <v>0</v>
      </c>
      <c r="O5570" s="11">
        <f t="shared" ref="O5570:O5633" si="876">N5570/D5570</f>
        <v>0</v>
      </c>
      <c r="P5570" s="12">
        <f t="shared" ref="P5570:P5633" si="877">L5570-N5570</f>
        <v>0</v>
      </c>
      <c r="Q5570" s="17" t="str">
        <f t="shared" si="869"/>
        <v>Pas d'écart</v>
      </c>
    </row>
    <row r="5571" spans="1:18" x14ac:dyDescent="0.3">
      <c r="A5571" s="34" t="str">
        <f>base!J5571</f>
        <v>RS</v>
      </c>
      <c r="B5571" s="34" t="str">
        <f>base!V5571</f>
        <v>76410</v>
      </c>
      <c r="C5571" s="37">
        <v>76</v>
      </c>
      <c r="D5571" s="36">
        <f>base!H5571</f>
        <v>188.92</v>
      </c>
      <c r="E5571" s="44"/>
      <c r="F5571" s="16">
        <f>base!W5571</f>
        <v>0</v>
      </c>
      <c r="G5571" s="11">
        <f t="shared" si="870"/>
        <v>0</v>
      </c>
      <c r="H5571" s="11">
        <f t="shared" si="871"/>
        <v>32.116399999999999</v>
      </c>
      <c r="I5571" s="11">
        <f t="shared" si="872"/>
        <v>0.17</v>
      </c>
      <c r="J5571" s="12">
        <f t="shared" si="873"/>
        <v>-32.116399999999999</v>
      </c>
      <c r="K5571" s="17" t="str">
        <f t="shared" ref="K5571:K5634" si="878">IF(H5571=F5571,"Pas d'écart",IF(H5571&lt;F5571,"Ecart positif",IF(H5571&gt;F5571,"Ecart négatif")))</f>
        <v>Ecart négatif</v>
      </c>
      <c r="L5571" s="16">
        <f>base!X5571</f>
        <v>32.119999999999997</v>
      </c>
      <c r="M5571" s="11">
        <f t="shared" si="874"/>
        <v>0.17001905568494602</v>
      </c>
      <c r="N5571" s="11">
        <f t="shared" si="875"/>
        <v>32.116399999999999</v>
      </c>
      <c r="O5571" s="11">
        <f t="shared" si="876"/>
        <v>0.17</v>
      </c>
      <c r="P5571" s="12">
        <f t="shared" si="877"/>
        <v>3.5999999999987153E-3</v>
      </c>
      <c r="Q5571" s="17" t="str">
        <f t="shared" ref="Q5571:Q5634" si="879">IF(N5571=L5571,"Pas d'écart",IF(N5571&lt;L5571,"Ecart positif",IF(N5571&gt;L5571,"Ecart négatif")))</f>
        <v>Ecart positif</v>
      </c>
      <c r="R5571" s="38"/>
    </row>
    <row r="5572" spans="1:18" x14ac:dyDescent="0.3">
      <c r="A5572" s="34" t="str">
        <f>base!J5572</f>
        <v>LM</v>
      </c>
      <c r="B5572" s="34" t="str">
        <f>base!V5572</f>
        <v>14500</v>
      </c>
      <c r="C5572" s="37">
        <v>69</v>
      </c>
      <c r="D5572" s="36">
        <f>base!H5572</f>
        <v>55.14</v>
      </c>
      <c r="E5572" s="44"/>
      <c r="F5572" s="16">
        <f>base!W5572</f>
        <v>9.3699999999999992</v>
      </c>
      <c r="G5572" s="11">
        <f t="shared" si="870"/>
        <v>0.16993108451215086</v>
      </c>
      <c r="H5572" s="11">
        <f t="shared" si="871"/>
        <v>14.8878</v>
      </c>
      <c r="I5572" s="11">
        <f t="shared" si="872"/>
        <v>0.27</v>
      </c>
      <c r="J5572" s="12">
        <f t="shared" si="873"/>
        <v>-5.5178000000000011</v>
      </c>
      <c r="K5572" s="17" t="str">
        <f t="shared" si="878"/>
        <v>Ecart négatif</v>
      </c>
      <c r="L5572" s="16">
        <f>base!X5572</f>
        <v>0</v>
      </c>
      <c r="M5572" s="11">
        <f t="shared" si="874"/>
        <v>0</v>
      </c>
      <c r="N5572" s="11">
        <f t="shared" si="875"/>
        <v>0</v>
      </c>
      <c r="O5572" s="11">
        <f t="shared" si="876"/>
        <v>0</v>
      </c>
      <c r="P5572" s="12">
        <f t="shared" si="877"/>
        <v>0</v>
      </c>
      <c r="Q5572" s="17" t="str">
        <f t="shared" si="879"/>
        <v>Pas d'écart</v>
      </c>
    </row>
    <row r="5573" spans="1:18" x14ac:dyDescent="0.3">
      <c r="A5573" s="34" t="str">
        <f>base!J5573</f>
        <v>LS</v>
      </c>
      <c r="B5573" s="34" t="str">
        <f>base!V5573</f>
        <v>76000</v>
      </c>
      <c r="C5573" s="37">
        <v>67</v>
      </c>
      <c r="D5573" s="36">
        <f>base!H5573</f>
        <v>0.36</v>
      </c>
      <c r="E5573" s="44"/>
      <c r="F5573" s="16">
        <f>base!W5573</f>
        <v>0.06</v>
      </c>
      <c r="G5573" s="11">
        <f t="shared" si="870"/>
        <v>0.16666666666666666</v>
      </c>
      <c r="H5573" s="11">
        <f t="shared" si="871"/>
        <v>0.10439999999999999</v>
      </c>
      <c r="I5573" s="11">
        <f t="shared" si="872"/>
        <v>0.28999999999999998</v>
      </c>
      <c r="J5573" s="12">
        <f t="shared" si="873"/>
        <v>-4.4399999999999995E-2</v>
      </c>
      <c r="K5573" s="17" t="str">
        <f t="shared" si="878"/>
        <v>Ecart négatif</v>
      </c>
      <c r="L5573" s="16">
        <f>base!X5573</f>
        <v>0</v>
      </c>
      <c r="M5573" s="11">
        <f t="shared" si="874"/>
        <v>0</v>
      </c>
      <c r="N5573" s="11">
        <f t="shared" si="875"/>
        <v>2.8799999999999999E-2</v>
      </c>
      <c r="O5573" s="11">
        <f t="shared" si="876"/>
        <v>0.08</v>
      </c>
      <c r="P5573" s="12">
        <f t="shared" si="877"/>
        <v>-2.8799999999999999E-2</v>
      </c>
      <c r="Q5573" s="17" t="str">
        <f t="shared" si="879"/>
        <v>Ecart négatif</v>
      </c>
    </row>
    <row r="5574" spans="1:18" x14ac:dyDescent="0.3">
      <c r="A5574" s="34" t="str">
        <f>base!J5574</f>
        <v>LS</v>
      </c>
      <c r="B5574" s="34" t="str">
        <f>base!V5574</f>
        <v>94310</v>
      </c>
      <c r="C5574" s="37">
        <v>94</v>
      </c>
      <c r="D5574" s="36">
        <f>base!H5574</f>
        <v>174.41</v>
      </c>
      <c r="E5574" s="44"/>
      <c r="F5574" s="16">
        <f>base!W5574</f>
        <v>0</v>
      </c>
      <c r="G5574" s="11">
        <f t="shared" si="870"/>
        <v>0</v>
      </c>
      <c r="H5574" s="11">
        <f t="shared" si="871"/>
        <v>0</v>
      </c>
      <c r="I5574" s="11">
        <f t="shared" si="872"/>
        <v>0</v>
      </c>
      <c r="J5574" s="12">
        <f t="shared" si="873"/>
        <v>0</v>
      </c>
      <c r="K5574" s="17" t="str">
        <f t="shared" si="878"/>
        <v>Pas d'écart</v>
      </c>
      <c r="L5574" s="16">
        <f>base!X5574</f>
        <v>0</v>
      </c>
      <c r="M5574" s="11">
        <f t="shared" si="874"/>
        <v>0</v>
      </c>
      <c r="N5574" s="11">
        <f t="shared" si="875"/>
        <v>0</v>
      </c>
      <c r="O5574" s="11">
        <f t="shared" si="876"/>
        <v>0</v>
      </c>
      <c r="P5574" s="12">
        <f t="shared" si="877"/>
        <v>0</v>
      </c>
      <c r="Q5574" s="17" t="str">
        <f t="shared" si="879"/>
        <v>Pas d'écart</v>
      </c>
    </row>
    <row r="5575" spans="1:18" x14ac:dyDescent="0.3">
      <c r="A5575" s="34" t="str">
        <f>base!J5575</f>
        <v>RS</v>
      </c>
      <c r="B5575" s="34" t="str">
        <f>base!V5575</f>
        <v>75020</v>
      </c>
      <c r="C5575" s="37">
        <v>75</v>
      </c>
      <c r="D5575" s="36">
        <f>base!H5575</f>
        <v>38.770000000000003</v>
      </c>
      <c r="E5575" s="44"/>
      <c r="F5575" s="16">
        <f>base!W5575</f>
        <v>0</v>
      </c>
      <c r="G5575" s="11">
        <f t="shared" si="870"/>
        <v>0</v>
      </c>
      <c r="H5575" s="11">
        <f t="shared" si="871"/>
        <v>0</v>
      </c>
      <c r="I5575" s="11">
        <f t="shared" si="872"/>
        <v>0</v>
      </c>
      <c r="J5575" s="12">
        <f t="shared" si="873"/>
        <v>0</v>
      </c>
      <c r="K5575" s="17" t="str">
        <f t="shared" si="878"/>
        <v>Pas d'écart</v>
      </c>
      <c r="L5575" s="16">
        <f>base!X5575</f>
        <v>0</v>
      </c>
      <c r="M5575" s="11">
        <f t="shared" si="874"/>
        <v>0</v>
      </c>
      <c r="N5575" s="11">
        <f t="shared" si="875"/>
        <v>0</v>
      </c>
      <c r="O5575" s="11">
        <f t="shared" si="876"/>
        <v>0</v>
      </c>
      <c r="P5575" s="12">
        <f t="shared" si="877"/>
        <v>0</v>
      </c>
      <c r="Q5575" s="17" t="str">
        <f t="shared" si="879"/>
        <v>Pas d'écart</v>
      </c>
    </row>
    <row r="5576" spans="1:18" x14ac:dyDescent="0.3">
      <c r="A5576" s="34" t="str">
        <f>base!J5576</f>
        <v>RS</v>
      </c>
      <c r="B5576" s="34" t="str">
        <f>base!V5576</f>
        <v>01600</v>
      </c>
      <c r="C5576" s="37">
        <v>1</v>
      </c>
      <c r="D5576" s="36">
        <f>base!H5576</f>
        <v>140</v>
      </c>
      <c r="E5576" s="44"/>
      <c r="F5576" s="16">
        <f>base!W5576</f>
        <v>0</v>
      </c>
      <c r="G5576" s="11">
        <f t="shared" si="870"/>
        <v>0</v>
      </c>
      <c r="H5576" s="11">
        <f t="shared" si="871"/>
        <v>36.4</v>
      </c>
      <c r="I5576" s="11">
        <f t="shared" si="872"/>
        <v>0.26</v>
      </c>
      <c r="J5576" s="12">
        <f t="shared" si="873"/>
        <v>-36.4</v>
      </c>
      <c r="K5576" s="17" t="str">
        <f t="shared" si="878"/>
        <v>Ecart négatif</v>
      </c>
      <c r="L5576" s="16">
        <f>base!X5576</f>
        <v>0</v>
      </c>
      <c r="M5576" s="11">
        <f t="shared" si="874"/>
        <v>0</v>
      </c>
      <c r="N5576" s="11">
        <f t="shared" si="875"/>
        <v>0</v>
      </c>
      <c r="O5576" s="11">
        <f t="shared" si="876"/>
        <v>0</v>
      </c>
      <c r="P5576" s="12">
        <f t="shared" si="877"/>
        <v>0</v>
      </c>
      <c r="Q5576" s="17" t="str">
        <f t="shared" si="879"/>
        <v>Pas d'écart</v>
      </c>
    </row>
    <row r="5577" spans="1:18" x14ac:dyDescent="0.3">
      <c r="A5577" s="34" t="str">
        <f>base!J5577</f>
        <v>DLM</v>
      </c>
      <c r="B5577" s="34" t="str">
        <f>base!V5577</f>
        <v>75116</v>
      </c>
      <c r="C5577" s="37">
        <v>75</v>
      </c>
      <c r="D5577" s="36">
        <f>base!H5577</f>
        <v>148.66</v>
      </c>
      <c r="E5577" s="44"/>
      <c r="F5577" s="16">
        <f>base!W5577</f>
        <v>0</v>
      </c>
      <c r="G5577" s="11">
        <f t="shared" si="870"/>
        <v>0</v>
      </c>
      <c r="H5577" s="11">
        <f t="shared" si="871"/>
        <v>0</v>
      </c>
      <c r="I5577" s="11">
        <f t="shared" si="872"/>
        <v>0</v>
      </c>
      <c r="J5577" s="12">
        <f t="shared" si="873"/>
        <v>0</v>
      </c>
      <c r="K5577" s="17" t="str">
        <f t="shared" si="878"/>
        <v>Pas d'écart</v>
      </c>
      <c r="L5577" s="16">
        <f>base!X5577</f>
        <v>0</v>
      </c>
      <c r="M5577" s="11">
        <f t="shared" si="874"/>
        <v>0</v>
      </c>
      <c r="N5577" s="11">
        <f t="shared" si="875"/>
        <v>0</v>
      </c>
      <c r="O5577" s="11">
        <f t="shared" si="876"/>
        <v>0</v>
      </c>
      <c r="P5577" s="12">
        <f t="shared" si="877"/>
        <v>0</v>
      </c>
      <c r="Q5577" s="17" t="str">
        <f t="shared" si="879"/>
        <v>Pas d'écart</v>
      </c>
    </row>
    <row r="5578" spans="1:18" x14ac:dyDescent="0.3">
      <c r="A5578" s="34" t="str">
        <f>base!J5578</f>
        <v>LM</v>
      </c>
      <c r="B5578" s="34" t="str">
        <f>base!V5578</f>
        <v>69002</v>
      </c>
      <c r="C5578" s="37">
        <v>69</v>
      </c>
      <c r="D5578" s="36">
        <f>base!H5578</f>
        <v>200</v>
      </c>
      <c r="E5578" s="44"/>
      <c r="F5578" s="16">
        <f>base!W5578</f>
        <v>54</v>
      </c>
      <c r="G5578" s="11">
        <f t="shared" si="870"/>
        <v>0.27</v>
      </c>
      <c r="H5578" s="11">
        <f t="shared" si="871"/>
        <v>54</v>
      </c>
      <c r="I5578" s="11">
        <f t="shared" si="872"/>
        <v>0.27</v>
      </c>
      <c r="J5578" s="12">
        <f t="shared" si="873"/>
        <v>0</v>
      </c>
      <c r="K5578" s="17" t="str">
        <f t="shared" si="878"/>
        <v>Pas d'écart</v>
      </c>
      <c r="L5578" s="16">
        <f>base!X5578</f>
        <v>0</v>
      </c>
      <c r="M5578" s="11">
        <f t="shared" si="874"/>
        <v>0</v>
      </c>
      <c r="N5578" s="11">
        <f t="shared" si="875"/>
        <v>0</v>
      </c>
      <c r="O5578" s="11">
        <f t="shared" si="876"/>
        <v>0</v>
      </c>
      <c r="P5578" s="12">
        <f t="shared" si="877"/>
        <v>0</v>
      </c>
      <c r="Q5578" s="17" t="str">
        <f t="shared" si="879"/>
        <v>Pas d'écart</v>
      </c>
    </row>
    <row r="5579" spans="1:18" x14ac:dyDescent="0.3">
      <c r="A5579" s="34" t="str">
        <f>base!J5579</f>
        <v>LS</v>
      </c>
      <c r="B5579" s="34" t="str">
        <f>base!V5579</f>
        <v>31830</v>
      </c>
      <c r="C5579" s="37">
        <v>13</v>
      </c>
      <c r="D5579" s="36">
        <f>base!H5579</f>
        <v>100</v>
      </c>
      <c r="E5579" s="44"/>
      <c r="F5579" s="16">
        <f>base!W5579</f>
        <v>22</v>
      </c>
      <c r="G5579" s="11">
        <f t="shared" si="870"/>
        <v>0.22</v>
      </c>
      <c r="H5579" s="11">
        <f t="shared" si="871"/>
        <v>28.999999999999996</v>
      </c>
      <c r="I5579" s="11">
        <f t="shared" si="872"/>
        <v>0.28999999999999998</v>
      </c>
      <c r="J5579" s="12">
        <f t="shared" si="873"/>
        <v>-6.9999999999999964</v>
      </c>
      <c r="K5579" s="17" t="str">
        <f t="shared" si="878"/>
        <v>Ecart négatif</v>
      </c>
      <c r="L5579" s="16">
        <f>base!X5579</f>
        <v>0</v>
      </c>
      <c r="M5579" s="11">
        <f t="shared" si="874"/>
        <v>0</v>
      </c>
      <c r="N5579" s="11">
        <f t="shared" si="875"/>
        <v>19</v>
      </c>
      <c r="O5579" s="11">
        <f t="shared" si="876"/>
        <v>0.19</v>
      </c>
      <c r="P5579" s="12">
        <f t="shared" si="877"/>
        <v>-19</v>
      </c>
      <c r="Q5579" s="17" t="str">
        <f t="shared" si="879"/>
        <v>Ecart négatif</v>
      </c>
    </row>
    <row r="5580" spans="1:18" x14ac:dyDescent="0.3">
      <c r="A5580" s="34">
        <f>base!J5580</f>
        <v>0</v>
      </c>
      <c r="B5580" s="34" t="str">
        <f>base!V5580</f>
        <v>77184</v>
      </c>
      <c r="C5580" s="37">
        <v>77</v>
      </c>
      <c r="D5580" s="36">
        <f>base!H5580</f>
        <v>160</v>
      </c>
      <c r="E5580" s="44"/>
      <c r="F5580" s="16">
        <f>base!W5580</f>
        <v>0</v>
      </c>
      <c r="G5580" s="11">
        <f t="shared" si="870"/>
        <v>0</v>
      </c>
      <c r="H5580" s="11">
        <f t="shared" si="871"/>
        <v>0</v>
      </c>
      <c r="I5580" s="11">
        <f t="shared" si="872"/>
        <v>0</v>
      </c>
      <c r="J5580" s="12">
        <f t="shared" si="873"/>
        <v>0</v>
      </c>
      <c r="K5580" s="17" t="str">
        <f t="shared" si="878"/>
        <v>Pas d'écart</v>
      </c>
      <c r="L5580" s="16">
        <f>base!X5580</f>
        <v>0</v>
      </c>
      <c r="M5580" s="11">
        <f t="shared" si="874"/>
        <v>0</v>
      </c>
      <c r="N5580" s="11">
        <f t="shared" si="875"/>
        <v>0</v>
      </c>
      <c r="O5580" s="11">
        <f t="shared" si="876"/>
        <v>0</v>
      </c>
      <c r="P5580" s="12">
        <f t="shared" si="877"/>
        <v>0</v>
      </c>
      <c r="Q5580" s="17" t="str">
        <f t="shared" si="879"/>
        <v>Pas d'écart</v>
      </c>
    </row>
    <row r="5581" spans="1:18" x14ac:dyDescent="0.3">
      <c r="A5581" s="34" t="str">
        <f>base!J5581</f>
        <v>RM</v>
      </c>
      <c r="B5581" s="34" t="str">
        <f>base!V5581</f>
        <v>14150</v>
      </c>
      <c r="C5581" s="37">
        <v>14</v>
      </c>
      <c r="D5581" s="36">
        <f>base!H5581</f>
        <v>251</v>
      </c>
      <c r="E5581" s="44"/>
      <c r="F5581" s="16">
        <f>base!W5581</f>
        <v>0</v>
      </c>
      <c r="G5581" s="11">
        <f t="shared" si="870"/>
        <v>0</v>
      </c>
      <c r="H5581" s="11">
        <f t="shared" si="871"/>
        <v>42.67</v>
      </c>
      <c r="I5581" s="11">
        <f t="shared" si="872"/>
        <v>0.17</v>
      </c>
      <c r="J5581" s="12">
        <f t="shared" si="873"/>
        <v>-42.67</v>
      </c>
      <c r="K5581" s="17" t="str">
        <f t="shared" si="878"/>
        <v>Ecart négatif</v>
      </c>
      <c r="L5581" s="16">
        <f>base!X5581</f>
        <v>0</v>
      </c>
      <c r="M5581" s="11">
        <f t="shared" si="874"/>
        <v>0</v>
      </c>
      <c r="N5581" s="11">
        <f t="shared" si="875"/>
        <v>42.67</v>
      </c>
      <c r="O5581" s="11">
        <f t="shared" si="876"/>
        <v>0.17</v>
      </c>
      <c r="P5581" s="12">
        <f t="shared" si="877"/>
        <v>-42.67</v>
      </c>
      <c r="Q5581" s="17" t="str">
        <f t="shared" si="879"/>
        <v>Ecart négatif</v>
      </c>
    </row>
    <row r="5582" spans="1:18" x14ac:dyDescent="0.3">
      <c r="A5582" s="34" t="str">
        <f>base!J5582</f>
        <v>LM</v>
      </c>
      <c r="B5582" s="34" t="str">
        <f>base!V5582</f>
        <v>75010</v>
      </c>
      <c r="C5582" s="37">
        <v>75</v>
      </c>
      <c r="D5582" s="36">
        <f>base!H5582</f>
        <v>55.14</v>
      </c>
      <c r="E5582" s="44"/>
      <c r="F5582" s="16">
        <f>base!W5582</f>
        <v>0</v>
      </c>
      <c r="G5582" s="11">
        <f t="shared" si="870"/>
        <v>0</v>
      </c>
      <c r="H5582" s="11">
        <f t="shared" si="871"/>
        <v>0</v>
      </c>
      <c r="I5582" s="11">
        <f t="shared" si="872"/>
        <v>0</v>
      </c>
      <c r="J5582" s="12">
        <f t="shared" si="873"/>
        <v>0</v>
      </c>
      <c r="K5582" s="17" t="str">
        <f t="shared" si="878"/>
        <v>Pas d'écart</v>
      </c>
      <c r="L5582" s="16">
        <f>base!X5582</f>
        <v>0</v>
      </c>
      <c r="M5582" s="11">
        <f t="shared" si="874"/>
        <v>0</v>
      </c>
      <c r="N5582" s="11">
        <f t="shared" si="875"/>
        <v>0</v>
      </c>
      <c r="O5582" s="11">
        <f t="shared" si="876"/>
        <v>0</v>
      </c>
      <c r="P5582" s="12">
        <f t="shared" si="877"/>
        <v>0</v>
      </c>
      <c r="Q5582" s="17" t="str">
        <f t="shared" si="879"/>
        <v>Pas d'écart</v>
      </c>
    </row>
    <row r="5583" spans="1:18" x14ac:dyDescent="0.3">
      <c r="A5583" s="34" t="str">
        <f>base!J5583</f>
        <v>LS</v>
      </c>
      <c r="B5583" s="34" t="str">
        <f>base!V5583</f>
        <v>72300</v>
      </c>
      <c r="C5583" s="37">
        <v>67</v>
      </c>
      <c r="D5583" s="36">
        <f>base!H5583</f>
        <v>130.19999999999999</v>
      </c>
      <c r="E5583" s="44"/>
      <c r="F5583" s="16">
        <f>base!W5583</f>
        <v>27.34</v>
      </c>
      <c r="G5583" s="11">
        <f t="shared" si="870"/>
        <v>0.2099846390168971</v>
      </c>
      <c r="H5583" s="11">
        <f t="shared" si="871"/>
        <v>37.757999999999996</v>
      </c>
      <c r="I5583" s="11">
        <f t="shared" si="872"/>
        <v>0.28999999999999998</v>
      </c>
      <c r="J5583" s="12">
        <f t="shared" si="873"/>
        <v>-10.417999999999996</v>
      </c>
      <c r="K5583" s="17" t="str">
        <f t="shared" si="878"/>
        <v>Ecart négatif</v>
      </c>
      <c r="L5583" s="16">
        <f>base!X5583</f>
        <v>0</v>
      </c>
      <c r="M5583" s="11">
        <f t="shared" si="874"/>
        <v>0</v>
      </c>
      <c r="N5583" s="11">
        <f t="shared" si="875"/>
        <v>10.415999999999999</v>
      </c>
      <c r="O5583" s="11">
        <f t="shared" si="876"/>
        <v>0.08</v>
      </c>
      <c r="P5583" s="12">
        <f t="shared" si="877"/>
        <v>-10.415999999999999</v>
      </c>
      <c r="Q5583" s="17" t="str">
        <f t="shared" si="879"/>
        <v>Ecart négatif</v>
      </c>
    </row>
    <row r="5584" spans="1:18" x14ac:dyDescent="0.3">
      <c r="A5584" s="34" t="str">
        <f>base!J5584</f>
        <v>LS</v>
      </c>
      <c r="B5584" s="34" t="str">
        <f>base!V5584</f>
        <v>49130</v>
      </c>
      <c r="C5584" s="37">
        <v>67</v>
      </c>
      <c r="D5584" s="36">
        <f>base!H5584</f>
        <v>0.68</v>
      </c>
      <c r="E5584" s="44"/>
      <c r="F5584" s="16">
        <f>base!W5584</f>
        <v>0.18</v>
      </c>
      <c r="G5584" s="11">
        <f t="shared" si="870"/>
        <v>0.26470588235294112</v>
      </c>
      <c r="H5584" s="11">
        <f t="shared" si="871"/>
        <v>0.19720000000000001</v>
      </c>
      <c r="I5584" s="11">
        <f t="shared" si="872"/>
        <v>0.28999999999999998</v>
      </c>
      <c r="J5584" s="12">
        <f t="shared" si="873"/>
        <v>-1.7200000000000021E-2</v>
      </c>
      <c r="K5584" s="17" t="str">
        <f t="shared" si="878"/>
        <v>Ecart négatif</v>
      </c>
      <c r="L5584" s="16">
        <f>base!X5584</f>
        <v>0</v>
      </c>
      <c r="M5584" s="11">
        <f t="shared" si="874"/>
        <v>0</v>
      </c>
      <c r="N5584" s="11">
        <f t="shared" si="875"/>
        <v>5.4400000000000004E-2</v>
      </c>
      <c r="O5584" s="11">
        <f t="shared" si="876"/>
        <v>0.08</v>
      </c>
      <c r="P5584" s="12">
        <f t="shared" si="877"/>
        <v>-5.4400000000000004E-2</v>
      </c>
      <c r="Q5584" s="17" t="str">
        <f t="shared" si="879"/>
        <v>Ecart négatif</v>
      </c>
    </row>
    <row r="5585" spans="1:18" x14ac:dyDescent="0.3">
      <c r="A5585" s="34" t="str">
        <f>base!J5585</f>
        <v>LS</v>
      </c>
      <c r="B5585" s="34" t="str">
        <f>base!V5585</f>
        <v>57505</v>
      </c>
      <c r="C5585" s="37">
        <v>67</v>
      </c>
      <c r="D5585" s="36">
        <f>base!H5585</f>
        <v>27.65</v>
      </c>
      <c r="E5585" s="44"/>
      <c r="F5585" s="16">
        <f>base!W5585</f>
        <v>6.91</v>
      </c>
      <c r="G5585" s="11">
        <f t="shared" si="870"/>
        <v>0.24990958408679931</v>
      </c>
      <c r="H5585" s="11">
        <f t="shared" si="871"/>
        <v>8.0184999999999995</v>
      </c>
      <c r="I5585" s="11">
        <f t="shared" si="872"/>
        <v>0.28999999999999998</v>
      </c>
      <c r="J5585" s="12">
        <f t="shared" si="873"/>
        <v>-1.1084999999999994</v>
      </c>
      <c r="K5585" s="17" t="str">
        <f t="shared" si="878"/>
        <v>Ecart négatif</v>
      </c>
      <c r="L5585" s="16">
        <f>base!X5585</f>
        <v>0</v>
      </c>
      <c r="M5585" s="11">
        <f t="shared" si="874"/>
        <v>0</v>
      </c>
      <c r="N5585" s="11">
        <f t="shared" si="875"/>
        <v>2.2119999999999997</v>
      </c>
      <c r="O5585" s="11">
        <f t="shared" si="876"/>
        <v>0.08</v>
      </c>
      <c r="P5585" s="12">
        <f t="shared" si="877"/>
        <v>-2.2119999999999997</v>
      </c>
      <c r="Q5585" s="17" t="str">
        <f t="shared" si="879"/>
        <v>Ecart négatif</v>
      </c>
    </row>
    <row r="5586" spans="1:18" x14ac:dyDescent="0.3">
      <c r="A5586" s="34" t="str">
        <f>base!J5586</f>
        <v>RM</v>
      </c>
      <c r="B5586" s="34" t="str">
        <f>base!V5586</f>
        <v>62180</v>
      </c>
      <c r="C5586" s="37">
        <v>62</v>
      </c>
      <c r="D5586" s="36">
        <f>base!H5586</f>
        <v>70</v>
      </c>
      <c r="E5586" s="44"/>
      <c r="F5586" s="16">
        <f>base!W5586</f>
        <v>0</v>
      </c>
      <c r="G5586" s="11">
        <f t="shared" si="870"/>
        <v>0</v>
      </c>
      <c r="H5586" s="11">
        <f t="shared" si="871"/>
        <v>13.3</v>
      </c>
      <c r="I5586" s="11">
        <f t="shared" si="872"/>
        <v>0.19</v>
      </c>
      <c r="J5586" s="12">
        <f t="shared" si="873"/>
        <v>-13.3</v>
      </c>
      <c r="K5586" s="17" t="str">
        <f t="shared" si="878"/>
        <v>Ecart négatif</v>
      </c>
      <c r="L5586" s="16">
        <f>base!X5586</f>
        <v>0</v>
      </c>
      <c r="M5586" s="11">
        <f t="shared" si="874"/>
        <v>0</v>
      </c>
      <c r="N5586" s="11">
        <f t="shared" si="875"/>
        <v>0</v>
      </c>
      <c r="O5586" s="11">
        <f t="shared" si="876"/>
        <v>0</v>
      </c>
      <c r="P5586" s="12">
        <f t="shared" si="877"/>
        <v>0</v>
      </c>
      <c r="Q5586" s="17" t="str">
        <f t="shared" si="879"/>
        <v>Pas d'écart</v>
      </c>
    </row>
    <row r="5587" spans="1:18" x14ac:dyDescent="0.3">
      <c r="A5587" s="34" t="str">
        <f>base!J5587</f>
        <v>RM</v>
      </c>
      <c r="B5587" s="34" t="str">
        <f>base!V5587</f>
        <v>67960</v>
      </c>
      <c r="C5587" s="37">
        <v>67</v>
      </c>
      <c r="D5587" s="36">
        <f>base!H5587</f>
        <v>140</v>
      </c>
      <c r="E5587" s="44"/>
      <c r="F5587" s="16">
        <f>base!W5587</f>
        <v>0</v>
      </c>
      <c r="G5587" s="11">
        <f t="shared" si="870"/>
        <v>0</v>
      </c>
      <c r="H5587" s="11">
        <f t="shared" si="871"/>
        <v>40.599999999999994</v>
      </c>
      <c r="I5587" s="11">
        <f t="shared" si="872"/>
        <v>0.28999999999999998</v>
      </c>
      <c r="J5587" s="12">
        <f t="shared" si="873"/>
        <v>-40.599999999999994</v>
      </c>
      <c r="K5587" s="17" t="str">
        <f t="shared" si="878"/>
        <v>Ecart négatif</v>
      </c>
      <c r="L5587" s="16">
        <f>base!X5587</f>
        <v>11.2</v>
      </c>
      <c r="M5587" s="11">
        <f t="shared" si="874"/>
        <v>0.08</v>
      </c>
      <c r="N5587" s="11">
        <f t="shared" si="875"/>
        <v>11.200000000000001</v>
      </c>
      <c r="O5587" s="11">
        <f t="shared" si="876"/>
        <v>0.08</v>
      </c>
      <c r="P5587" s="12">
        <f t="shared" si="877"/>
        <v>0</v>
      </c>
      <c r="Q5587" s="17" t="str">
        <f t="shared" si="879"/>
        <v>Pas d'écart</v>
      </c>
      <c r="R5587" s="38"/>
    </row>
    <row r="5588" spans="1:18" x14ac:dyDescent="0.3">
      <c r="A5588" s="34">
        <f>base!J5588</f>
        <v>0</v>
      </c>
      <c r="B5588" s="34" t="str">
        <f>base!V5588</f>
        <v>44240</v>
      </c>
      <c r="C5588" s="37">
        <v>44</v>
      </c>
      <c r="D5588" s="36">
        <f>base!H5588</f>
        <v>22.8</v>
      </c>
      <c r="E5588" s="44"/>
      <c r="F5588" s="16">
        <f>base!W5588</f>
        <v>0</v>
      </c>
      <c r="G5588" s="11">
        <f t="shared" si="870"/>
        <v>0</v>
      </c>
      <c r="H5588" s="11">
        <f t="shared" si="871"/>
        <v>6.1560000000000006</v>
      </c>
      <c r="I5588" s="11">
        <f t="shared" si="872"/>
        <v>0.27</v>
      </c>
      <c r="J5588" s="12">
        <f t="shared" si="873"/>
        <v>-6.1560000000000006</v>
      </c>
      <c r="K5588" s="17" t="str">
        <f t="shared" si="878"/>
        <v>Ecart négatif</v>
      </c>
      <c r="L5588" s="16">
        <f>base!X5588</f>
        <v>0</v>
      </c>
      <c r="M5588" s="11">
        <f t="shared" si="874"/>
        <v>0</v>
      </c>
      <c r="N5588" s="11">
        <f t="shared" si="875"/>
        <v>0</v>
      </c>
      <c r="O5588" s="11">
        <f t="shared" si="876"/>
        <v>0</v>
      </c>
      <c r="P5588" s="12">
        <f t="shared" si="877"/>
        <v>0</v>
      </c>
      <c r="Q5588" s="17" t="str">
        <f t="shared" si="879"/>
        <v>Pas d'écart</v>
      </c>
    </row>
    <row r="5589" spans="1:18" x14ac:dyDescent="0.3">
      <c r="A5589" s="34">
        <f>base!J5589</f>
        <v>0</v>
      </c>
      <c r="B5589" s="34" t="str">
        <f>base!V5589</f>
        <v>44240</v>
      </c>
      <c r="C5589" s="37">
        <v>44</v>
      </c>
      <c r="D5589" s="36">
        <f>base!H5589</f>
        <v>22.8</v>
      </c>
      <c r="E5589" s="44"/>
      <c r="F5589" s="16">
        <f>base!W5589</f>
        <v>0</v>
      </c>
      <c r="G5589" s="11">
        <f t="shared" si="870"/>
        <v>0</v>
      </c>
      <c r="H5589" s="11">
        <f t="shared" si="871"/>
        <v>6.1560000000000006</v>
      </c>
      <c r="I5589" s="11">
        <f t="shared" si="872"/>
        <v>0.27</v>
      </c>
      <c r="J5589" s="12">
        <f t="shared" si="873"/>
        <v>-6.1560000000000006</v>
      </c>
      <c r="K5589" s="17" t="str">
        <f t="shared" si="878"/>
        <v>Ecart négatif</v>
      </c>
      <c r="L5589" s="16">
        <f>base!X5589</f>
        <v>0</v>
      </c>
      <c r="M5589" s="11">
        <f t="shared" si="874"/>
        <v>0</v>
      </c>
      <c r="N5589" s="11">
        <f t="shared" si="875"/>
        <v>0</v>
      </c>
      <c r="O5589" s="11">
        <f t="shared" si="876"/>
        <v>0</v>
      </c>
      <c r="P5589" s="12">
        <f t="shared" si="877"/>
        <v>0</v>
      </c>
      <c r="Q5589" s="17" t="str">
        <f t="shared" si="879"/>
        <v>Pas d'écart</v>
      </c>
    </row>
    <row r="5590" spans="1:18" x14ac:dyDescent="0.3">
      <c r="A5590" s="34" t="str">
        <f>base!J5590</f>
        <v>DRS</v>
      </c>
      <c r="B5590" s="34" t="str">
        <f>base!V5590</f>
        <v>69800</v>
      </c>
      <c r="C5590" s="37">
        <v>69</v>
      </c>
      <c r="D5590" s="36">
        <f>base!H5590</f>
        <v>55</v>
      </c>
      <c r="E5590" s="44"/>
      <c r="F5590" s="16">
        <f>base!W5590</f>
        <v>0</v>
      </c>
      <c r="G5590" s="11">
        <f t="shared" si="870"/>
        <v>0</v>
      </c>
      <c r="H5590" s="11">
        <f t="shared" si="871"/>
        <v>14.850000000000001</v>
      </c>
      <c r="I5590" s="11">
        <f t="shared" si="872"/>
        <v>0.27</v>
      </c>
      <c r="J5590" s="12">
        <f t="shared" si="873"/>
        <v>-14.850000000000001</v>
      </c>
      <c r="K5590" s="17" t="str">
        <f t="shared" si="878"/>
        <v>Ecart négatif</v>
      </c>
      <c r="L5590" s="16">
        <f>base!X5590</f>
        <v>0</v>
      </c>
      <c r="M5590" s="11">
        <f t="shared" si="874"/>
        <v>0</v>
      </c>
      <c r="N5590" s="11">
        <f t="shared" si="875"/>
        <v>0</v>
      </c>
      <c r="O5590" s="11">
        <f t="shared" si="876"/>
        <v>0</v>
      </c>
      <c r="P5590" s="12">
        <f t="shared" si="877"/>
        <v>0</v>
      </c>
      <c r="Q5590" s="17" t="str">
        <f t="shared" si="879"/>
        <v>Pas d'écart</v>
      </c>
    </row>
    <row r="5591" spans="1:18" x14ac:dyDescent="0.3">
      <c r="A5591" s="34" t="str">
        <f>base!J5591</f>
        <v>RM</v>
      </c>
      <c r="B5591" s="34" t="str">
        <f>base!V5591</f>
        <v>62600</v>
      </c>
      <c r="C5591" s="37">
        <v>62</v>
      </c>
      <c r="D5591" s="36">
        <f>base!H5591</f>
        <v>29.89</v>
      </c>
      <c r="E5591" s="44"/>
      <c r="F5591" s="16">
        <f>base!W5591</f>
        <v>0</v>
      </c>
      <c r="G5591" s="11">
        <f t="shared" si="870"/>
        <v>0</v>
      </c>
      <c r="H5591" s="11">
        <f t="shared" si="871"/>
        <v>5.6791</v>
      </c>
      <c r="I5591" s="11">
        <f t="shared" si="872"/>
        <v>0.19</v>
      </c>
      <c r="J5591" s="12">
        <f t="shared" si="873"/>
        <v>-5.6791</v>
      </c>
      <c r="K5591" s="17" t="str">
        <f t="shared" si="878"/>
        <v>Ecart négatif</v>
      </c>
      <c r="L5591" s="16">
        <f>base!X5591</f>
        <v>0</v>
      </c>
      <c r="M5591" s="11">
        <f t="shared" si="874"/>
        <v>0</v>
      </c>
      <c r="N5591" s="11">
        <f t="shared" si="875"/>
        <v>0</v>
      </c>
      <c r="O5591" s="11">
        <f t="shared" si="876"/>
        <v>0</v>
      </c>
      <c r="P5591" s="12">
        <f t="shared" si="877"/>
        <v>0</v>
      </c>
      <c r="Q5591" s="17" t="str">
        <f t="shared" si="879"/>
        <v>Pas d'écart</v>
      </c>
    </row>
    <row r="5592" spans="1:18" x14ac:dyDescent="0.3">
      <c r="A5592" s="34" t="str">
        <f>base!J5592</f>
        <v>RM</v>
      </c>
      <c r="B5592" s="34" t="str">
        <f>base!V5592</f>
        <v>44000</v>
      </c>
      <c r="C5592" s="37">
        <v>44</v>
      </c>
      <c r="D5592" s="36">
        <f>base!H5592</f>
        <v>35</v>
      </c>
      <c r="E5592" s="44"/>
      <c r="F5592" s="16">
        <f>base!W5592</f>
        <v>0</v>
      </c>
      <c r="G5592" s="11">
        <f t="shared" si="870"/>
        <v>0</v>
      </c>
      <c r="H5592" s="11">
        <f t="shared" si="871"/>
        <v>9.4500000000000011</v>
      </c>
      <c r="I5592" s="11">
        <f t="shared" si="872"/>
        <v>0.27</v>
      </c>
      <c r="J5592" s="12">
        <f t="shared" si="873"/>
        <v>-9.4500000000000011</v>
      </c>
      <c r="K5592" s="17" t="str">
        <f t="shared" si="878"/>
        <v>Ecart négatif</v>
      </c>
      <c r="L5592" s="16">
        <f>base!X5592</f>
        <v>0</v>
      </c>
      <c r="M5592" s="11">
        <f t="shared" si="874"/>
        <v>0</v>
      </c>
      <c r="N5592" s="11">
        <f t="shared" si="875"/>
        <v>0</v>
      </c>
      <c r="O5592" s="11">
        <f t="shared" si="876"/>
        <v>0</v>
      </c>
      <c r="P5592" s="12">
        <f t="shared" si="877"/>
        <v>0</v>
      </c>
      <c r="Q5592" s="17" t="str">
        <f t="shared" si="879"/>
        <v>Pas d'écart</v>
      </c>
    </row>
    <row r="5593" spans="1:18" x14ac:dyDescent="0.3">
      <c r="A5593" s="34" t="str">
        <f>base!J5593</f>
        <v>LM</v>
      </c>
      <c r="B5593" s="34" t="str">
        <f>base!V5593</f>
        <v>63100</v>
      </c>
      <c r="C5593" s="37">
        <v>67</v>
      </c>
      <c r="D5593" s="36">
        <f>base!H5593</f>
        <v>154.38999999999999</v>
      </c>
      <c r="E5593" s="44"/>
      <c r="F5593" s="16">
        <f>base!W5593</f>
        <v>44.77</v>
      </c>
      <c r="G5593" s="11">
        <f t="shared" si="870"/>
        <v>0.28997992097933811</v>
      </c>
      <c r="H5593" s="11">
        <f t="shared" si="871"/>
        <v>44.773099999999992</v>
      </c>
      <c r="I5593" s="11">
        <f t="shared" si="872"/>
        <v>0.28999999999999998</v>
      </c>
      <c r="J5593" s="12">
        <f t="shared" si="873"/>
        <v>-3.0999999999892225E-3</v>
      </c>
      <c r="K5593" s="17" t="str">
        <f t="shared" si="878"/>
        <v>Ecart négatif</v>
      </c>
      <c r="L5593" s="16">
        <f>base!X5593</f>
        <v>0</v>
      </c>
      <c r="M5593" s="11">
        <f t="shared" si="874"/>
        <v>0</v>
      </c>
      <c r="N5593" s="11">
        <f t="shared" si="875"/>
        <v>12.351199999999999</v>
      </c>
      <c r="O5593" s="11">
        <f t="shared" si="876"/>
        <v>0.08</v>
      </c>
      <c r="P5593" s="12">
        <f t="shared" si="877"/>
        <v>-12.351199999999999</v>
      </c>
      <c r="Q5593" s="17" t="str">
        <f t="shared" si="879"/>
        <v>Ecart négatif</v>
      </c>
    </row>
    <row r="5594" spans="1:18" x14ac:dyDescent="0.3">
      <c r="A5594" s="34" t="str">
        <f>base!J5594</f>
        <v>LS</v>
      </c>
      <c r="B5594" s="34" t="str">
        <f>base!V5594</f>
        <v>49100</v>
      </c>
      <c r="C5594" s="37">
        <v>84</v>
      </c>
      <c r="D5594" s="36">
        <f>base!H5594</f>
        <v>55.34</v>
      </c>
      <c r="E5594" s="44"/>
      <c r="F5594" s="16">
        <f>base!W5594</f>
        <v>14.94</v>
      </c>
      <c r="G5594" s="11">
        <f t="shared" si="870"/>
        <v>0.26996747379833752</v>
      </c>
      <c r="H5594" s="11">
        <f t="shared" si="871"/>
        <v>16.0486</v>
      </c>
      <c r="I5594" s="11">
        <f t="shared" si="872"/>
        <v>0.28999999999999998</v>
      </c>
      <c r="J5594" s="12">
        <f t="shared" si="873"/>
        <v>-1.1086000000000009</v>
      </c>
      <c r="K5594" s="17" t="str">
        <f t="shared" si="878"/>
        <v>Ecart négatif</v>
      </c>
      <c r="L5594" s="16">
        <f>base!X5594</f>
        <v>0</v>
      </c>
      <c r="M5594" s="11">
        <f t="shared" si="874"/>
        <v>0</v>
      </c>
      <c r="N5594" s="11">
        <f t="shared" si="875"/>
        <v>10.514600000000002</v>
      </c>
      <c r="O5594" s="11">
        <f t="shared" si="876"/>
        <v>0.19</v>
      </c>
      <c r="P5594" s="12">
        <f t="shared" si="877"/>
        <v>-10.514600000000002</v>
      </c>
      <c r="Q5594" s="17" t="str">
        <f t="shared" si="879"/>
        <v>Ecart négatif</v>
      </c>
    </row>
    <row r="5595" spans="1:18" x14ac:dyDescent="0.3">
      <c r="A5595" s="34" t="str">
        <f>base!J5595</f>
        <v>RM</v>
      </c>
      <c r="B5595" s="34" t="str">
        <f>base!V5595</f>
        <v>30000</v>
      </c>
      <c r="C5595" s="37">
        <v>30</v>
      </c>
      <c r="D5595" s="36">
        <f>base!H5595</f>
        <v>170.32</v>
      </c>
      <c r="E5595" s="44"/>
      <c r="F5595" s="16">
        <f>base!W5595</f>
        <v>0</v>
      </c>
      <c r="G5595" s="11">
        <f t="shared" si="870"/>
        <v>0</v>
      </c>
      <c r="H5595" s="11">
        <f t="shared" si="871"/>
        <v>66.424800000000005</v>
      </c>
      <c r="I5595" s="11">
        <f t="shared" si="872"/>
        <v>0.39000000000000007</v>
      </c>
      <c r="J5595" s="12">
        <f t="shared" si="873"/>
        <v>-66.424800000000005</v>
      </c>
      <c r="K5595" s="17" t="str">
        <f t="shared" si="878"/>
        <v>Ecart négatif</v>
      </c>
      <c r="L5595" s="16">
        <f>base!X5595</f>
        <v>47.69</v>
      </c>
      <c r="M5595" s="11">
        <f t="shared" si="874"/>
        <v>0.2800023485204321</v>
      </c>
      <c r="N5595" s="11">
        <f t="shared" si="875"/>
        <v>47.689600000000006</v>
      </c>
      <c r="O5595" s="11">
        <f t="shared" si="876"/>
        <v>0.28000000000000003</v>
      </c>
      <c r="P5595" s="12">
        <f t="shared" si="877"/>
        <v>3.9999999999196234E-4</v>
      </c>
      <c r="Q5595" s="17" t="str">
        <f t="shared" si="879"/>
        <v>Ecart positif</v>
      </c>
      <c r="R5595" s="38"/>
    </row>
    <row r="5596" spans="1:18" x14ac:dyDescent="0.3">
      <c r="A5596" s="34" t="str">
        <f>base!J5596</f>
        <v>RM</v>
      </c>
      <c r="B5596" s="34" t="str">
        <f>base!V5596</f>
        <v>76290</v>
      </c>
      <c r="C5596" s="37">
        <v>76</v>
      </c>
      <c r="D5596" s="36">
        <f>base!H5596</f>
        <v>40</v>
      </c>
      <c r="E5596" s="44"/>
      <c r="F5596" s="16">
        <f>base!W5596</f>
        <v>0</v>
      </c>
      <c r="G5596" s="11">
        <f t="shared" si="870"/>
        <v>0</v>
      </c>
      <c r="H5596" s="11">
        <f t="shared" si="871"/>
        <v>6.8000000000000007</v>
      </c>
      <c r="I5596" s="11">
        <f t="shared" si="872"/>
        <v>0.17</v>
      </c>
      <c r="J5596" s="12">
        <f t="shared" si="873"/>
        <v>-6.8000000000000007</v>
      </c>
      <c r="K5596" s="17" t="str">
        <f t="shared" si="878"/>
        <v>Ecart négatif</v>
      </c>
      <c r="L5596" s="16">
        <f>base!X5596</f>
        <v>6.8</v>
      </c>
      <c r="M5596" s="11">
        <f t="shared" si="874"/>
        <v>0.16999999999999998</v>
      </c>
      <c r="N5596" s="11">
        <f t="shared" si="875"/>
        <v>6.8000000000000007</v>
      </c>
      <c r="O5596" s="11">
        <f t="shared" si="876"/>
        <v>0.17</v>
      </c>
      <c r="P5596" s="12">
        <f t="shared" si="877"/>
        <v>0</v>
      </c>
      <c r="Q5596" s="17" t="str">
        <f t="shared" si="879"/>
        <v>Pas d'écart</v>
      </c>
    </row>
    <row r="5597" spans="1:18" x14ac:dyDescent="0.3">
      <c r="A5597" s="34">
        <f>base!J5597</f>
        <v>0</v>
      </c>
      <c r="B5597" s="34" t="str">
        <f>base!V5597</f>
        <v>77184</v>
      </c>
      <c r="C5597" s="37">
        <v>77</v>
      </c>
      <c r="D5597" s="36">
        <f>base!H5597</f>
        <v>198</v>
      </c>
      <c r="E5597" s="44"/>
      <c r="F5597" s="16">
        <f>base!W5597</f>
        <v>0</v>
      </c>
      <c r="G5597" s="11">
        <f t="shared" si="870"/>
        <v>0</v>
      </c>
      <c r="H5597" s="11">
        <f t="shared" si="871"/>
        <v>0</v>
      </c>
      <c r="I5597" s="11">
        <f t="shared" si="872"/>
        <v>0</v>
      </c>
      <c r="J5597" s="12">
        <f t="shared" si="873"/>
        <v>0</v>
      </c>
      <c r="K5597" s="17" t="str">
        <f t="shared" si="878"/>
        <v>Pas d'écart</v>
      </c>
      <c r="L5597" s="16">
        <f>base!X5597</f>
        <v>0</v>
      </c>
      <c r="M5597" s="11">
        <f t="shared" si="874"/>
        <v>0</v>
      </c>
      <c r="N5597" s="11">
        <f t="shared" si="875"/>
        <v>0</v>
      </c>
      <c r="O5597" s="11">
        <f t="shared" si="876"/>
        <v>0</v>
      </c>
      <c r="P5597" s="12">
        <f t="shared" si="877"/>
        <v>0</v>
      </c>
      <c r="Q5597" s="17" t="str">
        <f t="shared" si="879"/>
        <v>Pas d'écart</v>
      </c>
    </row>
    <row r="5598" spans="1:18" x14ac:dyDescent="0.3">
      <c r="A5598" s="34" t="str">
        <f>base!J5598</f>
        <v>LS</v>
      </c>
      <c r="B5598" s="34" t="str">
        <f>base!V5598</f>
        <v>94290</v>
      </c>
      <c r="C5598" s="37">
        <v>94</v>
      </c>
      <c r="D5598" s="36">
        <f>base!H5598</f>
        <v>157.84</v>
      </c>
      <c r="E5598" s="44"/>
      <c r="F5598" s="16">
        <f>base!W5598</f>
        <v>0</v>
      </c>
      <c r="G5598" s="11">
        <f t="shared" si="870"/>
        <v>0</v>
      </c>
      <c r="H5598" s="11">
        <f t="shared" si="871"/>
        <v>0</v>
      </c>
      <c r="I5598" s="11">
        <f t="shared" si="872"/>
        <v>0</v>
      </c>
      <c r="J5598" s="12">
        <f t="shared" si="873"/>
        <v>0</v>
      </c>
      <c r="K5598" s="17" t="str">
        <f t="shared" si="878"/>
        <v>Pas d'écart</v>
      </c>
      <c r="L5598" s="16">
        <f>base!X5598</f>
        <v>0</v>
      </c>
      <c r="M5598" s="11">
        <f t="shared" si="874"/>
        <v>0</v>
      </c>
      <c r="N5598" s="11">
        <f t="shared" si="875"/>
        <v>0</v>
      </c>
      <c r="O5598" s="11">
        <f t="shared" si="876"/>
        <v>0</v>
      </c>
      <c r="P5598" s="12">
        <f t="shared" si="877"/>
        <v>0</v>
      </c>
      <c r="Q5598" s="17" t="str">
        <f t="shared" si="879"/>
        <v>Pas d'écart</v>
      </c>
    </row>
    <row r="5599" spans="1:18" x14ac:dyDescent="0.3">
      <c r="A5599" s="34" t="str">
        <f>base!J5599</f>
        <v>RS</v>
      </c>
      <c r="B5599" s="34" t="str">
        <f>base!V5599</f>
        <v>94420</v>
      </c>
      <c r="C5599" s="37">
        <v>94</v>
      </c>
      <c r="D5599" s="36">
        <f>base!H5599</f>
        <v>80.400000000000006</v>
      </c>
      <c r="E5599" s="44"/>
      <c r="F5599" s="16">
        <f>base!W5599</f>
        <v>0</v>
      </c>
      <c r="G5599" s="11">
        <f t="shared" si="870"/>
        <v>0</v>
      </c>
      <c r="H5599" s="11">
        <f t="shared" si="871"/>
        <v>0</v>
      </c>
      <c r="I5599" s="11">
        <f t="shared" si="872"/>
        <v>0</v>
      </c>
      <c r="J5599" s="12">
        <f t="shared" si="873"/>
        <v>0</v>
      </c>
      <c r="K5599" s="17" t="str">
        <f t="shared" si="878"/>
        <v>Pas d'écart</v>
      </c>
      <c r="L5599" s="16">
        <f>base!X5599</f>
        <v>0</v>
      </c>
      <c r="M5599" s="11">
        <f t="shared" si="874"/>
        <v>0</v>
      </c>
      <c r="N5599" s="11">
        <f t="shared" si="875"/>
        <v>0</v>
      </c>
      <c r="O5599" s="11">
        <f t="shared" si="876"/>
        <v>0</v>
      </c>
      <c r="P5599" s="12">
        <f t="shared" si="877"/>
        <v>0</v>
      </c>
      <c r="Q5599" s="17" t="str">
        <f t="shared" si="879"/>
        <v>Pas d'écart</v>
      </c>
    </row>
    <row r="5600" spans="1:18" x14ac:dyDescent="0.3">
      <c r="A5600" s="34" t="str">
        <f>base!J5600</f>
        <v>LM</v>
      </c>
      <c r="B5600" s="34" t="str">
        <f>base!V5600</f>
        <v>59132</v>
      </c>
      <c r="C5600" s="37">
        <v>59</v>
      </c>
      <c r="D5600" s="36">
        <f>base!H5600</f>
        <v>50</v>
      </c>
      <c r="E5600" s="44"/>
      <c r="F5600" s="16">
        <f>base!W5600</f>
        <v>9.5</v>
      </c>
      <c r="G5600" s="11">
        <f t="shared" si="870"/>
        <v>0.19</v>
      </c>
      <c r="H5600" s="11">
        <f t="shared" si="871"/>
        <v>9.5</v>
      </c>
      <c r="I5600" s="11">
        <f t="shared" si="872"/>
        <v>0.19</v>
      </c>
      <c r="J5600" s="12">
        <f t="shared" si="873"/>
        <v>0</v>
      </c>
      <c r="K5600" s="17" t="str">
        <f t="shared" si="878"/>
        <v>Pas d'écart</v>
      </c>
      <c r="L5600" s="16">
        <f>base!X5600</f>
        <v>0</v>
      </c>
      <c r="M5600" s="11">
        <f t="shared" si="874"/>
        <v>0</v>
      </c>
      <c r="N5600" s="11">
        <f t="shared" si="875"/>
        <v>0</v>
      </c>
      <c r="O5600" s="11">
        <f t="shared" si="876"/>
        <v>0</v>
      </c>
      <c r="P5600" s="12">
        <f t="shared" si="877"/>
        <v>0</v>
      </c>
      <c r="Q5600" s="17" t="str">
        <f t="shared" si="879"/>
        <v>Pas d'écart</v>
      </c>
    </row>
    <row r="5601" spans="1:17" x14ac:dyDescent="0.3">
      <c r="A5601" s="34" t="str">
        <f>base!J5601</f>
        <v>RM</v>
      </c>
      <c r="B5601" s="34" t="str">
        <f>base!V5601</f>
        <v>75008</v>
      </c>
      <c r="C5601" s="37">
        <v>75</v>
      </c>
      <c r="D5601" s="36">
        <f>base!H5601</f>
        <v>266.73</v>
      </c>
      <c r="E5601" s="44"/>
      <c r="F5601" s="16">
        <f>base!W5601</f>
        <v>0</v>
      </c>
      <c r="G5601" s="11">
        <f t="shared" si="870"/>
        <v>0</v>
      </c>
      <c r="H5601" s="11">
        <f t="shared" si="871"/>
        <v>0</v>
      </c>
      <c r="I5601" s="11">
        <f t="shared" si="872"/>
        <v>0</v>
      </c>
      <c r="J5601" s="12">
        <f t="shared" si="873"/>
        <v>0</v>
      </c>
      <c r="K5601" s="17" t="str">
        <f t="shared" si="878"/>
        <v>Pas d'écart</v>
      </c>
      <c r="L5601" s="16">
        <f>base!X5601</f>
        <v>0</v>
      </c>
      <c r="M5601" s="11">
        <f t="shared" si="874"/>
        <v>0</v>
      </c>
      <c r="N5601" s="11">
        <f t="shared" si="875"/>
        <v>0</v>
      </c>
      <c r="O5601" s="11">
        <f t="shared" si="876"/>
        <v>0</v>
      </c>
      <c r="P5601" s="12">
        <f t="shared" si="877"/>
        <v>0</v>
      </c>
      <c r="Q5601" s="17" t="str">
        <f t="shared" si="879"/>
        <v>Pas d'écart</v>
      </c>
    </row>
    <row r="5602" spans="1:17" x14ac:dyDescent="0.3">
      <c r="A5602" s="34" t="str">
        <f>base!J5602</f>
        <v>RM</v>
      </c>
      <c r="B5602" s="34" t="str">
        <f>base!V5602</f>
        <v>10280</v>
      </c>
      <c r="C5602" s="37">
        <v>10</v>
      </c>
      <c r="D5602" s="36">
        <f>base!H5602</f>
        <v>140</v>
      </c>
      <c r="E5602" s="44"/>
      <c r="F5602" s="16">
        <f>base!W5602</f>
        <v>0</v>
      </c>
      <c r="G5602" s="11">
        <f t="shared" si="870"/>
        <v>0</v>
      </c>
      <c r="H5602" s="11">
        <f t="shared" si="871"/>
        <v>32.200000000000003</v>
      </c>
      <c r="I5602" s="11">
        <f t="shared" si="872"/>
        <v>0.23</v>
      </c>
      <c r="J5602" s="12">
        <f t="shared" si="873"/>
        <v>-32.200000000000003</v>
      </c>
      <c r="K5602" s="17" t="str">
        <f t="shared" si="878"/>
        <v>Ecart négatif</v>
      </c>
      <c r="L5602" s="16">
        <f>base!X5602</f>
        <v>0</v>
      </c>
      <c r="M5602" s="11">
        <f t="shared" si="874"/>
        <v>0</v>
      </c>
      <c r="N5602" s="11">
        <f t="shared" si="875"/>
        <v>16.8</v>
      </c>
      <c r="O5602" s="11">
        <f t="shared" si="876"/>
        <v>0.12000000000000001</v>
      </c>
      <c r="P5602" s="12">
        <f t="shared" si="877"/>
        <v>-16.8</v>
      </c>
      <c r="Q5602" s="17" t="str">
        <f t="shared" si="879"/>
        <v>Ecart négatif</v>
      </c>
    </row>
    <row r="5603" spans="1:17" x14ac:dyDescent="0.3">
      <c r="A5603" s="34" t="str">
        <f>base!J5603</f>
        <v>LM</v>
      </c>
      <c r="B5603" s="34" t="str">
        <f>base!V5603</f>
        <v>73000</v>
      </c>
      <c r="C5603" s="37">
        <v>13</v>
      </c>
      <c r="D5603" s="36">
        <f>base!H5603</f>
        <v>153.44999999999999</v>
      </c>
      <c r="E5603" s="44"/>
      <c r="F5603" s="16">
        <f>base!W5603</f>
        <v>41.43</v>
      </c>
      <c r="G5603" s="11">
        <f t="shared" si="870"/>
        <v>0.26999022482893453</v>
      </c>
      <c r="H5603" s="11">
        <f t="shared" si="871"/>
        <v>44.500499999999995</v>
      </c>
      <c r="I5603" s="11">
        <f t="shared" si="872"/>
        <v>0.28999999999999998</v>
      </c>
      <c r="J5603" s="12">
        <f t="shared" si="873"/>
        <v>-3.0704999999999956</v>
      </c>
      <c r="K5603" s="17" t="str">
        <f t="shared" si="878"/>
        <v>Ecart négatif</v>
      </c>
      <c r="L5603" s="16">
        <f>base!X5603</f>
        <v>0</v>
      </c>
      <c r="M5603" s="11">
        <f t="shared" si="874"/>
        <v>0</v>
      </c>
      <c r="N5603" s="11">
        <f t="shared" si="875"/>
        <v>29.155499999999996</v>
      </c>
      <c r="O5603" s="11">
        <f t="shared" si="876"/>
        <v>0.19</v>
      </c>
      <c r="P5603" s="12">
        <f t="shared" si="877"/>
        <v>-29.155499999999996</v>
      </c>
      <c r="Q5603" s="17" t="str">
        <f t="shared" si="879"/>
        <v>Ecart négatif</v>
      </c>
    </row>
    <row r="5604" spans="1:17" x14ac:dyDescent="0.3">
      <c r="A5604" s="34" t="str">
        <f>base!J5604</f>
        <v>LM</v>
      </c>
      <c r="B5604" s="34" t="str">
        <f>base!V5604</f>
        <v>62300</v>
      </c>
      <c r="C5604" s="37">
        <v>49</v>
      </c>
      <c r="D5604" s="36">
        <f>base!H5604</f>
        <v>19.8</v>
      </c>
      <c r="E5604" s="44"/>
      <c r="F5604" s="16">
        <f>base!W5604</f>
        <v>3.76</v>
      </c>
      <c r="G5604" s="11">
        <f t="shared" si="870"/>
        <v>0.18989898989898987</v>
      </c>
      <c r="H5604" s="11">
        <f t="shared" si="871"/>
        <v>5.346000000000001</v>
      </c>
      <c r="I5604" s="11">
        <f t="shared" si="872"/>
        <v>0.27</v>
      </c>
      <c r="J5604" s="12">
        <f t="shared" si="873"/>
        <v>-1.5860000000000012</v>
      </c>
      <c r="K5604" s="17" t="str">
        <f t="shared" si="878"/>
        <v>Ecart négatif</v>
      </c>
      <c r="L5604" s="16">
        <f>base!X5604</f>
        <v>0</v>
      </c>
      <c r="M5604" s="11">
        <f t="shared" si="874"/>
        <v>0</v>
      </c>
      <c r="N5604" s="11">
        <f t="shared" si="875"/>
        <v>0</v>
      </c>
      <c r="O5604" s="11">
        <f t="shared" si="876"/>
        <v>0</v>
      </c>
      <c r="P5604" s="12">
        <f t="shared" si="877"/>
        <v>0</v>
      </c>
      <c r="Q5604" s="17" t="str">
        <f t="shared" si="879"/>
        <v>Pas d'écart</v>
      </c>
    </row>
    <row r="5605" spans="1:17" x14ac:dyDescent="0.3">
      <c r="A5605" s="34" t="str">
        <f>base!J5605</f>
        <v>LS</v>
      </c>
      <c r="B5605" s="34" t="str">
        <f>base!V5605</f>
        <v>83470</v>
      </c>
      <c r="C5605" s="37">
        <v>87</v>
      </c>
      <c r="D5605" s="36">
        <f>base!H5605</f>
        <v>188.25</v>
      </c>
      <c r="E5605" s="44"/>
      <c r="F5605" s="16">
        <f>base!W5605</f>
        <v>56.48</v>
      </c>
      <c r="G5605" s="11">
        <f t="shared" si="870"/>
        <v>0.30002656042496678</v>
      </c>
      <c r="H5605" s="11">
        <f t="shared" si="871"/>
        <v>52.710000000000008</v>
      </c>
      <c r="I5605" s="11">
        <f t="shared" si="872"/>
        <v>0.28000000000000003</v>
      </c>
      <c r="J5605" s="12">
        <f t="shared" si="873"/>
        <v>3.7699999999999889</v>
      </c>
      <c r="K5605" s="17" t="str">
        <f t="shared" si="878"/>
        <v>Ecart positif</v>
      </c>
      <c r="L5605" s="16">
        <f>base!X5605</f>
        <v>0</v>
      </c>
      <c r="M5605" s="11">
        <f t="shared" si="874"/>
        <v>0</v>
      </c>
      <c r="N5605" s="11">
        <f t="shared" si="875"/>
        <v>22.59</v>
      </c>
      <c r="O5605" s="11">
        <f t="shared" si="876"/>
        <v>0.12</v>
      </c>
      <c r="P5605" s="12">
        <f t="shared" si="877"/>
        <v>-22.59</v>
      </c>
      <c r="Q5605" s="17" t="str">
        <f t="shared" si="879"/>
        <v>Ecart négatif</v>
      </c>
    </row>
    <row r="5606" spans="1:17" x14ac:dyDescent="0.3">
      <c r="A5606" s="34" t="str">
        <f>base!J5606</f>
        <v>DRS</v>
      </c>
      <c r="B5606" s="34" t="str">
        <f>base!V5606</f>
        <v>20600</v>
      </c>
      <c r="C5606" s="37">
        <v>20</v>
      </c>
      <c r="D5606" s="36">
        <f>base!H5606</f>
        <v>181</v>
      </c>
      <c r="E5606" s="44"/>
      <c r="F5606" s="16">
        <f>base!W5606</f>
        <v>0</v>
      </c>
      <c r="G5606" s="11">
        <f t="shared" si="870"/>
        <v>0</v>
      </c>
      <c r="H5606" s="11">
        <f t="shared" si="871"/>
        <v>52.489999999999995</v>
      </c>
      <c r="I5606" s="11">
        <f t="shared" si="872"/>
        <v>0.28999999999999998</v>
      </c>
      <c r="J5606" s="12">
        <f t="shared" si="873"/>
        <v>-52.489999999999995</v>
      </c>
      <c r="K5606" s="17" t="str">
        <f t="shared" si="878"/>
        <v>Ecart négatif</v>
      </c>
      <c r="L5606" s="16">
        <f>base!X5606</f>
        <v>0</v>
      </c>
      <c r="M5606" s="11">
        <f t="shared" si="874"/>
        <v>0</v>
      </c>
      <c r="N5606" s="11">
        <f t="shared" si="875"/>
        <v>38.01</v>
      </c>
      <c r="O5606" s="11">
        <f t="shared" si="876"/>
        <v>0.21</v>
      </c>
      <c r="P5606" s="12">
        <f t="shared" si="877"/>
        <v>-38.01</v>
      </c>
      <c r="Q5606" s="17" t="str">
        <f t="shared" si="879"/>
        <v>Ecart négatif</v>
      </c>
    </row>
    <row r="5607" spans="1:17" x14ac:dyDescent="0.3">
      <c r="A5607" s="34" t="str">
        <f>base!J5607</f>
        <v>RM</v>
      </c>
      <c r="B5607" s="34" t="str">
        <f>base!V5607</f>
        <v>59000</v>
      </c>
      <c r="C5607" s="37">
        <v>59</v>
      </c>
      <c r="D5607" s="36">
        <f>base!H5607</f>
        <v>184.91</v>
      </c>
      <c r="E5607" s="44"/>
      <c r="F5607" s="16">
        <f>base!W5607</f>
        <v>0</v>
      </c>
      <c r="G5607" s="11">
        <f t="shared" si="870"/>
        <v>0</v>
      </c>
      <c r="H5607" s="11">
        <f t="shared" si="871"/>
        <v>35.132899999999999</v>
      </c>
      <c r="I5607" s="11">
        <f t="shared" si="872"/>
        <v>0.19</v>
      </c>
      <c r="J5607" s="12">
        <f t="shared" si="873"/>
        <v>-35.132899999999999</v>
      </c>
      <c r="K5607" s="17" t="str">
        <f t="shared" si="878"/>
        <v>Ecart négatif</v>
      </c>
      <c r="L5607" s="16">
        <f>base!X5607</f>
        <v>0</v>
      </c>
      <c r="M5607" s="11">
        <f t="shared" si="874"/>
        <v>0</v>
      </c>
      <c r="N5607" s="11">
        <f t="shared" si="875"/>
        <v>0</v>
      </c>
      <c r="O5607" s="11">
        <f t="shared" si="876"/>
        <v>0</v>
      </c>
      <c r="P5607" s="12">
        <f t="shared" si="877"/>
        <v>0</v>
      </c>
      <c r="Q5607" s="17" t="str">
        <f t="shared" si="879"/>
        <v>Pas d'écart</v>
      </c>
    </row>
    <row r="5608" spans="1:17" x14ac:dyDescent="0.3">
      <c r="A5608" s="34" t="str">
        <f>base!J5608</f>
        <v>RM</v>
      </c>
      <c r="B5608" s="34" t="str">
        <f>base!V5608</f>
        <v>13015</v>
      </c>
      <c r="C5608" s="37">
        <v>13</v>
      </c>
      <c r="D5608" s="36">
        <f>base!H5608</f>
        <v>72.86</v>
      </c>
      <c r="E5608" s="44"/>
      <c r="F5608" s="16">
        <f>base!W5608</f>
        <v>0</v>
      </c>
      <c r="G5608" s="11">
        <f t="shared" si="870"/>
        <v>0</v>
      </c>
      <c r="H5608" s="11">
        <f t="shared" si="871"/>
        <v>21.129399999999997</v>
      </c>
      <c r="I5608" s="11">
        <f t="shared" si="872"/>
        <v>0.28999999999999998</v>
      </c>
      <c r="J5608" s="12">
        <f t="shared" si="873"/>
        <v>-21.129399999999997</v>
      </c>
      <c r="K5608" s="17" t="str">
        <f t="shared" si="878"/>
        <v>Ecart négatif</v>
      </c>
      <c r="L5608" s="16">
        <f>base!X5608</f>
        <v>0</v>
      </c>
      <c r="M5608" s="11">
        <f t="shared" si="874"/>
        <v>0</v>
      </c>
      <c r="N5608" s="11">
        <f t="shared" si="875"/>
        <v>13.843400000000001</v>
      </c>
      <c r="O5608" s="11">
        <f t="shared" si="876"/>
        <v>0.19</v>
      </c>
      <c r="P5608" s="12">
        <f t="shared" si="877"/>
        <v>-13.843400000000001</v>
      </c>
      <c r="Q5608" s="17" t="str">
        <f t="shared" si="879"/>
        <v>Ecart négatif</v>
      </c>
    </row>
    <row r="5609" spans="1:17" x14ac:dyDescent="0.3">
      <c r="A5609" s="34" t="str">
        <f>base!J5609</f>
        <v>LS</v>
      </c>
      <c r="B5609" s="34" t="str">
        <f>base!V5609</f>
        <v>75016</v>
      </c>
      <c r="C5609" s="37">
        <v>75</v>
      </c>
      <c r="D5609" s="36">
        <f>base!H5609</f>
        <v>40</v>
      </c>
      <c r="E5609" s="44"/>
      <c r="F5609" s="16">
        <f>base!W5609</f>
        <v>0</v>
      </c>
      <c r="G5609" s="11">
        <f t="shared" si="870"/>
        <v>0</v>
      </c>
      <c r="H5609" s="11">
        <f t="shared" si="871"/>
        <v>0</v>
      </c>
      <c r="I5609" s="11">
        <f t="shared" si="872"/>
        <v>0</v>
      </c>
      <c r="J5609" s="12">
        <f t="shared" si="873"/>
        <v>0</v>
      </c>
      <c r="K5609" s="17" t="str">
        <f t="shared" si="878"/>
        <v>Pas d'écart</v>
      </c>
      <c r="L5609" s="16">
        <f>base!X5609</f>
        <v>0</v>
      </c>
      <c r="M5609" s="11">
        <f t="shared" si="874"/>
        <v>0</v>
      </c>
      <c r="N5609" s="11">
        <f t="shared" si="875"/>
        <v>0</v>
      </c>
      <c r="O5609" s="11">
        <f t="shared" si="876"/>
        <v>0</v>
      </c>
      <c r="P5609" s="12">
        <f t="shared" si="877"/>
        <v>0</v>
      </c>
      <c r="Q5609" s="17" t="str">
        <f t="shared" si="879"/>
        <v>Pas d'écart</v>
      </c>
    </row>
    <row r="5610" spans="1:17" x14ac:dyDescent="0.3">
      <c r="A5610" s="34" t="str">
        <f>base!J5610</f>
        <v>LM</v>
      </c>
      <c r="B5610" s="34" t="str">
        <f>base!V5610</f>
        <v>25200</v>
      </c>
      <c r="C5610" s="37">
        <v>87</v>
      </c>
      <c r="D5610" s="36">
        <f>base!H5610</f>
        <v>200.72</v>
      </c>
      <c r="E5610" s="44"/>
      <c r="F5610" s="16">
        <f>base!W5610</f>
        <v>48.17</v>
      </c>
      <c r="G5610" s="11">
        <f t="shared" si="870"/>
        <v>0.23998605021921085</v>
      </c>
      <c r="H5610" s="11">
        <f t="shared" si="871"/>
        <v>56.201600000000006</v>
      </c>
      <c r="I5610" s="11">
        <f t="shared" si="872"/>
        <v>0.28000000000000003</v>
      </c>
      <c r="J5610" s="12">
        <f t="shared" si="873"/>
        <v>-8.0316000000000045</v>
      </c>
      <c r="K5610" s="17" t="str">
        <f t="shared" si="878"/>
        <v>Ecart négatif</v>
      </c>
      <c r="L5610" s="16">
        <f>base!X5610</f>
        <v>0</v>
      </c>
      <c r="M5610" s="11">
        <f t="shared" si="874"/>
        <v>0</v>
      </c>
      <c r="N5610" s="11">
        <f t="shared" si="875"/>
        <v>24.086399999999998</v>
      </c>
      <c r="O5610" s="11">
        <f t="shared" si="876"/>
        <v>0.12</v>
      </c>
      <c r="P5610" s="12">
        <f t="shared" si="877"/>
        <v>-24.086399999999998</v>
      </c>
      <c r="Q5610" s="17" t="str">
        <f t="shared" si="879"/>
        <v>Ecart négatif</v>
      </c>
    </row>
    <row r="5611" spans="1:17" x14ac:dyDescent="0.3">
      <c r="A5611" s="34" t="str">
        <f>base!J5611</f>
        <v>LS</v>
      </c>
      <c r="B5611" s="34" t="str">
        <f>base!V5611</f>
        <v>64140</v>
      </c>
      <c r="C5611" s="37">
        <v>87</v>
      </c>
      <c r="D5611" s="36">
        <f>base!H5611</f>
        <v>37.92</v>
      </c>
      <c r="E5611" s="44"/>
      <c r="F5611" s="16">
        <f>base!W5611</f>
        <v>7.96</v>
      </c>
      <c r="G5611" s="11">
        <f t="shared" si="870"/>
        <v>0.20991561181434598</v>
      </c>
      <c r="H5611" s="11">
        <f t="shared" si="871"/>
        <v>10.617600000000001</v>
      </c>
      <c r="I5611" s="11">
        <f t="shared" si="872"/>
        <v>0.28000000000000003</v>
      </c>
      <c r="J5611" s="12">
        <f t="shared" si="873"/>
        <v>-2.6576000000000013</v>
      </c>
      <c r="K5611" s="17" t="str">
        <f t="shared" si="878"/>
        <v>Ecart négatif</v>
      </c>
      <c r="L5611" s="16">
        <f>base!X5611</f>
        <v>0</v>
      </c>
      <c r="M5611" s="11">
        <f t="shared" si="874"/>
        <v>0</v>
      </c>
      <c r="N5611" s="11">
        <f t="shared" si="875"/>
        <v>4.5503999999999998</v>
      </c>
      <c r="O5611" s="11">
        <f t="shared" si="876"/>
        <v>0.12</v>
      </c>
      <c r="P5611" s="12">
        <f t="shared" si="877"/>
        <v>-4.5503999999999998</v>
      </c>
      <c r="Q5611" s="17" t="str">
        <f t="shared" si="879"/>
        <v>Ecart négatif</v>
      </c>
    </row>
    <row r="5612" spans="1:17" x14ac:dyDescent="0.3">
      <c r="A5612" s="34" t="str">
        <f>base!J5612</f>
        <v>LS</v>
      </c>
      <c r="B5612" s="34" t="str">
        <f>base!V5612</f>
        <v>80100</v>
      </c>
      <c r="C5612" s="37">
        <v>87</v>
      </c>
      <c r="D5612" s="36">
        <f>base!H5612</f>
        <v>18.36</v>
      </c>
      <c r="E5612" s="44"/>
      <c r="F5612" s="16">
        <f>base!W5612</f>
        <v>3.49</v>
      </c>
      <c r="G5612" s="11">
        <f t="shared" si="870"/>
        <v>0.19008714596949894</v>
      </c>
      <c r="H5612" s="11">
        <f t="shared" si="871"/>
        <v>5.1408000000000005</v>
      </c>
      <c r="I5612" s="11">
        <f t="shared" si="872"/>
        <v>0.28000000000000003</v>
      </c>
      <c r="J5612" s="12">
        <f t="shared" si="873"/>
        <v>-1.6508000000000003</v>
      </c>
      <c r="K5612" s="17" t="str">
        <f t="shared" si="878"/>
        <v>Ecart négatif</v>
      </c>
      <c r="L5612" s="16">
        <f>base!X5612</f>
        <v>0</v>
      </c>
      <c r="M5612" s="11">
        <f t="shared" si="874"/>
        <v>0</v>
      </c>
      <c r="N5612" s="11">
        <f t="shared" si="875"/>
        <v>2.2031999999999998</v>
      </c>
      <c r="O5612" s="11">
        <f t="shared" si="876"/>
        <v>0.12</v>
      </c>
      <c r="P5612" s="12">
        <f t="shared" si="877"/>
        <v>-2.2031999999999998</v>
      </c>
      <c r="Q5612" s="17" t="str">
        <f t="shared" si="879"/>
        <v>Ecart négatif</v>
      </c>
    </row>
    <row r="5613" spans="1:17" x14ac:dyDescent="0.3">
      <c r="A5613" s="34" t="str">
        <f>base!J5613</f>
        <v>LS</v>
      </c>
      <c r="B5613" s="34" t="str">
        <f>base!V5613</f>
        <v>75004</v>
      </c>
      <c r="C5613" s="37">
        <v>75</v>
      </c>
      <c r="D5613" s="36">
        <f>base!H5613</f>
        <v>154.59</v>
      </c>
      <c r="E5613" s="44"/>
      <c r="F5613" s="16">
        <f>base!W5613</f>
        <v>0</v>
      </c>
      <c r="G5613" s="11">
        <f t="shared" si="870"/>
        <v>0</v>
      </c>
      <c r="H5613" s="11">
        <f t="shared" si="871"/>
        <v>0</v>
      </c>
      <c r="I5613" s="11">
        <f t="shared" si="872"/>
        <v>0</v>
      </c>
      <c r="J5613" s="12">
        <f t="shared" si="873"/>
        <v>0</v>
      </c>
      <c r="K5613" s="17" t="str">
        <f t="shared" si="878"/>
        <v>Pas d'écart</v>
      </c>
      <c r="L5613" s="16">
        <f>base!X5613</f>
        <v>0</v>
      </c>
      <c r="M5613" s="11">
        <f t="shared" si="874"/>
        <v>0</v>
      </c>
      <c r="N5613" s="11">
        <f t="shared" si="875"/>
        <v>0</v>
      </c>
      <c r="O5613" s="11">
        <f t="shared" si="876"/>
        <v>0</v>
      </c>
      <c r="P5613" s="12">
        <f t="shared" si="877"/>
        <v>0</v>
      </c>
      <c r="Q5613" s="17" t="str">
        <f t="shared" si="879"/>
        <v>Pas d'écart</v>
      </c>
    </row>
    <row r="5614" spans="1:17" x14ac:dyDescent="0.3">
      <c r="A5614" s="34" t="str">
        <f>base!J5614</f>
        <v>LM</v>
      </c>
      <c r="B5614" s="34" t="str">
        <f>base!V5614</f>
        <v>69005</v>
      </c>
      <c r="C5614" s="37">
        <v>69</v>
      </c>
      <c r="D5614" s="36">
        <f>base!H5614</f>
        <v>209.56</v>
      </c>
      <c r="E5614" s="44"/>
      <c r="F5614" s="16">
        <f>base!W5614</f>
        <v>56.58</v>
      </c>
      <c r="G5614" s="11">
        <f t="shared" si="870"/>
        <v>0.26999427371635809</v>
      </c>
      <c r="H5614" s="11">
        <f t="shared" si="871"/>
        <v>56.581200000000003</v>
      </c>
      <c r="I5614" s="11">
        <f t="shared" si="872"/>
        <v>0.27</v>
      </c>
      <c r="J5614" s="12">
        <f t="shared" si="873"/>
        <v>-1.2000000000043087E-3</v>
      </c>
      <c r="K5614" s="17" t="str">
        <f t="shared" si="878"/>
        <v>Ecart négatif</v>
      </c>
      <c r="L5614" s="16">
        <f>base!X5614</f>
        <v>0</v>
      </c>
      <c r="M5614" s="11">
        <f t="shared" si="874"/>
        <v>0</v>
      </c>
      <c r="N5614" s="11">
        <f t="shared" si="875"/>
        <v>0</v>
      </c>
      <c r="O5614" s="11">
        <f t="shared" si="876"/>
        <v>0</v>
      </c>
      <c r="P5614" s="12">
        <f t="shared" si="877"/>
        <v>0</v>
      </c>
      <c r="Q5614" s="17" t="str">
        <f t="shared" si="879"/>
        <v>Pas d'écart</v>
      </c>
    </row>
    <row r="5615" spans="1:17" x14ac:dyDescent="0.3">
      <c r="A5615" s="34" t="str">
        <f>base!J5615</f>
        <v>LS</v>
      </c>
      <c r="B5615" s="34" t="str">
        <f>base!V5615</f>
        <v>69005</v>
      </c>
      <c r="C5615" s="37">
        <v>44</v>
      </c>
      <c r="D5615" s="36">
        <f>base!H5615</f>
        <v>33.35</v>
      </c>
      <c r="E5615" s="44"/>
      <c r="F5615" s="16">
        <f>base!W5615</f>
        <v>9</v>
      </c>
      <c r="G5615" s="11">
        <f t="shared" si="870"/>
        <v>0.26986506746626687</v>
      </c>
      <c r="H5615" s="11">
        <f t="shared" si="871"/>
        <v>9.0045000000000002</v>
      </c>
      <c r="I5615" s="11">
        <f t="shared" si="872"/>
        <v>0.27</v>
      </c>
      <c r="J5615" s="12">
        <f t="shared" si="873"/>
        <v>-4.5000000000001705E-3</v>
      </c>
      <c r="K5615" s="17" t="str">
        <f t="shared" si="878"/>
        <v>Ecart négatif</v>
      </c>
      <c r="L5615" s="16">
        <f>base!X5615</f>
        <v>0</v>
      </c>
      <c r="M5615" s="11">
        <f t="shared" si="874"/>
        <v>0</v>
      </c>
      <c r="N5615" s="11">
        <f t="shared" si="875"/>
        <v>0</v>
      </c>
      <c r="O5615" s="11">
        <f t="shared" si="876"/>
        <v>0</v>
      </c>
      <c r="P5615" s="12">
        <f t="shared" si="877"/>
        <v>0</v>
      </c>
      <c r="Q5615" s="17" t="str">
        <f t="shared" si="879"/>
        <v>Pas d'écart</v>
      </c>
    </row>
    <row r="5616" spans="1:17" x14ac:dyDescent="0.3">
      <c r="A5616" s="34">
        <f>base!J5616</f>
        <v>0</v>
      </c>
      <c r="B5616" s="34" t="str">
        <f>base!V5616</f>
        <v>77184</v>
      </c>
      <c r="C5616" s="37">
        <v>77</v>
      </c>
      <c r="D5616" s="36">
        <f>base!H5616</f>
        <v>135</v>
      </c>
      <c r="E5616" s="44"/>
      <c r="F5616" s="16">
        <f>base!W5616</f>
        <v>0</v>
      </c>
      <c r="G5616" s="11">
        <f t="shared" si="870"/>
        <v>0</v>
      </c>
      <c r="H5616" s="11">
        <f t="shared" si="871"/>
        <v>0</v>
      </c>
      <c r="I5616" s="11">
        <f t="shared" si="872"/>
        <v>0</v>
      </c>
      <c r="J5616" s="12">
        <f t="shared" si="873"/>
        <v>0</v>
      </c>
      <c r="K5616" s="17" t="str">
        <f t="shared" si="878"/>
        <v>Pas d'écart</v>
      </c>
      <c r="L5616" s="16">
        <f>base!X5616</f>
        <v>0</v>
      </c>
      <c r="M5616" s="11">
        <f t="shared" si="874"/>
        <v>0</v>
      </c>
      <c r="N5616" s="11">
        <f t="shared" si="875"/>
        <v>0</v>
      </c>
      <c r="O5616" s="11">
        <f t="shared" si="876"/>
        <v>0</v>
      </c>
      <c r="P5616" s="12">
        <f t="shared" si="877"/>
        <v>0</v>
      </c>
      <c r="Q5616" s="17" t="str">
        <f t="shared" si="879"/>
        <v>Pas d'écart</v>
      </c>
    </row>
    <row r="5617" spans="1:17" x14ac:dyDescent="0.3">
      <c r="A5617" s="34" t="str">
        <f>base!J5617</f>
        <v>RS</v>
      </c>
      <c r="B5617" s="34" t="str">
        <f>base!V5617</f>
        <v>06000</v>
      </c>
      <c r="C5617" s="37">
        <v>6</v>
      </c>
      <c r="D5617" s="36">
        <f>base!H5617</f>
        <v>40</v>
      </c>
      <c r="E5617" s="44"/>
      <c r="F5617" s="16">
        <f>base!W5617</f>
        <v>0</v>
      </c>
      <c r="G5617" s="11">
        <f t="shared" si="870"/>
        <v>0</v>
      </c>
      <c r="H5617" s="11">
        <f t="shared" si="871"/>
        <v>12</v>
      </c>
      <c r="I5617" s="11">
        <f t="shared" si="872"/>
        <v>0.3</v>
      </c>
      <c r="J5617" s="12">
        <f t="shared" si="873"/>
        <v>-12</v>
      </c>
      <c r="K5617" s="17" t="str">
        <f t="shared" si="878"/>
        <v>Ecart négatif</v>
      </c>
      <c r="L5617" s="16">
        <f>base!X5617</f>
        <v>0</v>
      </c>
      <c r="M5617" s="11">
        <f t="shared" si="874"/>
        <v>0</v>
      </c>
      <c r="N5617" s="11">
        <f t="shared" si="875"/>
        <v>8.4</v>
      </c>
      <c r="O5617" s="11">
        <f t="shared" si="876"/>
        <v>0.21000000000000002</v>
      </c>
      <c r="P5617" s="12">
        <f t="shared" si="877"/>
        <v>-8.4</v>
      </c>
      <c r="Q5617" s="17" t="str">
        <f t="shared" si="879"/>
        <v>Ecart négatif</v>
      </c>
    </row>
    <row r="5618" spans="1:17" x14ac:dyDescent="0.3">
      <c r="A5618" s="34" t="str">
        <f>base!J5618</f>
        <v>LM</v>
      </c>
      <c r="B5618" s="34" t="str">
        <f>base!V5618</f>
        <v>14790</v>
      </c>
      <c r="C5618" s="37">
        <v>35</v>
      </c>
      <c r="D5618" s="36">
        <f>base!H5618</f>
        <v>55.14</v>
      </c>
      <c r="E5618" s="44"/>
      <c r="F5618" s="16">
        <f>base!W5618</f>
        <v>9.3699999999999992</v>
      </c>
      <c r="G5618" s="11">
        <f t="shared" si="870"/>
        <v>0.16993108451215086</v>
      </c>
      <c r="H5618" s="11">
        <f t="shared" si="871"/>
        <v>14.8878</v>
      </c>
      <c r="I5618" s="11">
        <f t="shared" si="872"/>
        <v>0.27</v>
      </c>
      <c r="J5618" s="12">
        <f t="shared" si="873"/>
        <v>-5.5178000000000011</v>
      </c>
      <c r="K5618" s="17" t="str">
        <f t="shared" si="878"/>
        <v>Ecart négatif</v>
      </c>
      <c r="L5618" s="16">
        <f>base!X5618</f>
        <v>0</v>
      </c>
      <c r="M5618" s="11">
        <f t="shared" si="874"/>
        <v>0</v>
      </c>
      <c r="N5618" s="11">
        <f t="shared" si="875"/>
        <v>0</v>
      </c>
      <c r="O5618" s="11">
        <f t="shared" si="876"/>
        <v>0</v>
      </c>
      <c r="P5618" s="12">
        <f t="shared" si="877"/>
        <v>0</v>
      </c>
      <c r="Q5618" s="17" t="str">
        <f t="shared" si="879"/>
        <v>Pas d'écart</v>
      </c>
    </row>
    <row r="5619" spans="1:17" x14ac:dyDescent="0.3">
      <c r="A5619" s="34" t="str">
        <f>base!J5619</f>
        <v>LS</v>
      </c>
      <c r="B5619" s="34" t="str">
        <f>base!V5619</f>
        <v>75008</v>
      </c>
      <c r="C5619" s="37">
        <v>75</v>
      </c>
      <c r="D5619" s="36">
        <f>base!H5619</f>
        <v>137.01</v>
      </c>
      <c r="E5619" s="44"/>
      <c r="F5619" s="16">
        <f>base!W5619</f>
        <v>0</v>
      </c>
      <c r="G5619" s="11">
        <f t="shared" si="870"/>
        <v>0</v>
      </c>
      <c r="H5619" s="11">
        <f t="shared" si="871"/>
        <v>0</v>
      </c>
      <c r="I5619" s="11">
        <f t="shared" si="872"/>
        <v>0</v>
      </c>
      <c r="J5619" s="12">
        <f t="shared" si="873"/>
        <v>0</v>
      </c>
      <c r="K5619" s="17" t="str">
        <f t="shared" si="878"/>
        <v>Pas d'écart</v>
      </c>
      <c r="L5619" s="16">
        <f>base!X5619</f>
        <v>0</v>
      </c>
      <c r="M5619" s="11">
        <f t="shared" si="874"/>
        <v>0</v>
      </c>
      <c r="N5619" s="11">
        <f t="shared" si="875"/>
        <v>0</v>
      </c>
      <c r="O5619" s="11">
        <f t="shared" si="876"/>
        <v>0</v>
      </c>
      <c r="P5619" s="12">
        <f t="shared" si="877"/>
        <v>0</v>
      </c>
      <c r="Q5619" s="17" t="str">
        <f t="shared" si="879"/>
        <v>Pas d'écart</v>
      </c>
    </row>
    <row r="5620" spans="1:17" x14ac:dyDescent="0.3">
      <c r="A5620" s="34" t="str">
        <f>base!J5620</f>
        <v>LS</v>
      </c>
      <c r="B5620" s="34" t="str">
        <f>base!V5620</f>
        <v>79500</v>
      </c>
      <c r="C5620" s="37">
        <v>67</v>
      </c>
      <c r="D5620" s="36">
        <f>base!H5620</f>
        <v>131.97999999999999</v>
      </c>
      <c r="E5620" s="44"/>
      <c r="F5620" s="16">
        <f>base!W5620</f>
        <v>27.72</v>
      </c>
      <c r="G5620" s="11">
        <f t="shared" si="870"/>
        <v>0.21003182300348539</v>
      </c>
      <c r="H5620" s="11">
        <f t="shared" si="871"/>
        <v>38.274199999999993</v>
      </c>
      <c r="I5620" s="11">
        <f t="shared" si="872"/>
        <v>0.28999999999999998</v>
      </c>
      <c r="J5620" s="12">
        <f t="shared" si="873"/>
        <v>-10.554199999999994</v>
      </c>
      <c r="K5620" s="17" t="str">
        <f t="shared" si="878"/>
        <v>Ecart négatif</v>
      </c>
      <c r="L5620" s="16">
        <f>base!X5620</f>
        <v>0</v>
      </c>
      <c r="M5620" s="11">
        <f t="shared" si="874"/>
        <v>0</v>
      </c>
      <c r="N5620" s="11">
        <f t="shared" si="875"/>
        <v>10.558399999999999</v>
      </c>
      <c r="O5620" s="11">
        <f t="shared" si="876"/>
        <v>0.08</v>
      </c>
      <c r="P5620" s="12">
        <f t="shared" si="877"/>
        <v>-10.558399999999999</v>
      </c>
      <c r="Q5620" s="17" t="str">
        <f t="shared" si="879"/>
        <v>Ecart négatif</v>
      </c>
    </row>
    <row r="5621" spans="1:17" x14ac:dyDescent="0.3">
      <c r="A5621" s="34" t="str">
        <f>base!J5621</f>
        <v>LS</v>
      </c>
      <c r="B5621" s="34" t="str">
        <f>base!V5621</f>
        <v>53000</v>
      </c>
      <c r="C5621" s="37">
        <v>67</v>
      </c>
      <c r="D5621" s="36">
        <f>base!H5621</f>
        <v>69.34</v>
      </c>
      <c r="E5621" s="44"/>
      <c r="F5621" s="16">
        <f>base!W5621</f>
        <v>18.72</v>
      </c>
      <c r="G5621" s="11">
        <f t="shared" si="870"/>
        <v>0.26997404095760019</v>
      </c>
      <c r="H5621" s="11">
        <f t="shared" si="871"/>
        <v>20.108599999999999</v>
      </c>
      <c r="I5621" s="11">
        <f t="shared" si="872"/>
        <v>0.28999999999999998</v>
      </c>
      <c r="J5621" s="12">
        <f t="shared" si="873"/>
        <v>-1.3886000000000003</v>
      </c>
      <c r="K5621" s="17" t="str">
        <f t="shared" si="878"/>
        <v>Ecart négatif</v>
      </c>
      <c r="L5621" s="16">
        <f>base!X5621</f>
        <v>0</v>
      </c>
      <c r="M5621" s="11">
        <f t="shared" si="874"/>
        <v>0</v>
      </c>
      <c r="N5621" s="11">
        <f t="shared" si="875"/>
        <v>5.5472000000000001</v>
      </c>
      <c r="O5621" s="11">
        <f t="shared" si="876"/>
        <v>0.08</v>
      </c>
      <c r="P5621" s="12">
        <f t="shared" si="877"/>
        <v>-5.5472000000000001</v>
      </c>
      <c r="Q5621" s="17" t="str">
        <f t="shared" si="879"/>
        <v>Ecart négatif</v>
      </c>
    </row>
    <row r="5622" spans="1:17" x14ac:dyDescent="0.3">
      <c r="A5622" s="34" t="str">
        <f>base!J5622</f>
        <v>LM</v>
      </c>
      <c r="B5622" s="34" t="str">
        <f>base!V5622</f>
        <v>84140</v>
      </c>
      <c r="C5622" s="37">
        <v>84</v>
      </c>
      <c r="D5622" s="36">
        <f>base!H5622</f>
        <v>40</v>
      </c>
      <c r="E5622" s="44"/>
      <c r="F5622" s="16">
        <f>base!W5622</f>
        <v>11.6</v>
      </c>
      <c r="G5622" s="11">
        <f t="shared" si="870"/>
        <v>0.28999999999999998</v>
      </c>
      <c r="H5622" s="11">
        <f t="shared" si="871"/>
        <v>11.6</v>
      </c>
      <c r="I5622" s="11">
        <f t="shared" si="872"/>
        <v>0.28999999999999998</v>
      </c>
      <c r="J5622" s="12">
        <f t="shared" si="873"/>
        <v>0</v>
      </c>
      <c r="K5622" s="17" t="str">
        <f t="shared" si="878"/>
        <v>Pas d'écart</v>
      </c>
      <c r="L5622" s="16">
        <f>base!X5622</f>
        <v>0</v>
      </c>
      <c r="M5622" s="11">
        <f t="shared" si="874"/>
        <v>0</v>
      </c>
      <c r="N5622" s="11">
        <f t="shared" si="875"/>
        <v>7.6</v>
      </c>
      <c r="O5622" s="11">
        <f t="shared" si="876"/>
        <v>0.19</v>
      </c>
      <c r="P5622" s="12">
        <f t="shared" si="877"/>
        <v>-7.6</v>
      </c>
      <c r="Q5622" s="17" t="str">
        <f t="shared" si="879"/>
        <v>Ecart négatif</v>
      </c>
    </row>
    <row r="5623" spans="1:17" x14ac:dyDescent="0.3">
      <c r="A5623" s="34" t="str">
        <f>base!J5623</f>
        <v>LM</v>
      </c>
      <c r="B5623" s="34" t="str">
        <f>base!V5623</f>
        <v>54300</v>
      </c>
      <c r="C5623" s="37">
        <v>38</v>
      </c>
      <c r="D5623" s="36">
        <f>base!H5623</f>
        <v>43.44</v>
      </c>
      <c r="E5623" s="44"/>
      <c r="F5623" s="16">
        <f>base!W5623</f>
        <v>10.86</v>
      </c>
      <c r="G5623" s="11">
        <f t="shared" si="870"/>
        <v>0.25</v>
      </c>
      <c r="H5623" s="11">
        <f t="shared" si="871"/>
        <v>11.7288</v>
      </c>
      <c r="I5623" s="11">
        <f t="shared" si="872"/>
        <v>0.27</v>
      </c>
      <c r="J5623" s="12">
        <f t="shared" si="873"/>
        <v>-0.86880000000000024</v>
      </c>
      <c r="K5623" s="17" t="str">
        <f t="shared" si="878"/>
        <v>Ecart négatif</v>
      </c>
      <c r="L5623" s="16">
        <f>base!X5623</f>
        <v>0</v>
      </c>
      <c r="M5623" s="11">
        <f t="shared" si="874"/>
        <v>0</v>
      </c>
      <c r="N5623" s="11">
        <f t="shared" si="875"/>
        <v>0</v>
      </c>
      <c r="O5623" s="11">
        <f t="shared" si="876"/>
        <v>0</v>
      </c>
      <c r="P5623" s="12">
        <f t="shared" si="877"/>
        <v>0</v>
      </c>
      <c r="Q5623" s="17" t="str">
        <f t="shared" si="879"/>
        <v>Pas d'écart</v>
      </c>
    </row>
    <row r="5624" spans="1:17" x14ac:dyDescent="0.3">
      <c r="A5624" s="34" t="str">
        <f>base!J5624</f>
        <v>LM</v>
      </c>
      <c r="B5624" s="34" t="str">
        <f>base!V5624</f>
        <v>75008</v>
      </c>
      <c r="C5624" s="37">
        <v>75</v>
      </c>
      <c r="D5624" s="36">
        <f>base!H5624</f>
        <v>55.34</v>
      </c>
      <c r="E5624" s="44"/>
      <c r="F5624" s="16">
        <f>base!W5624</f>
        <v>0</v>
      </c>
      <c r="G5624" s="11">
        <f t="shared" si="870"/>
        <v>0</v>
      </c>
      <c r="H5624" s="11">
        <f t="shared" si="871"/>
        <v>0</v>
      </c>
      <c r="I5624" s="11">
        <f t="shared" si="872"/>
        <v>0</v>
      </c>
      <c r="J5624" s="12">
        <f t="shared" si="873"/>
        <v>0</v>
      </c>
      <c r="K5624" s="17" t="str">
        <f t="shared" si="878"/>
        <v>Pas d'écart</v>
      </c>
      <c r="L5624" s="16">
        <f>base!X5624</f>
        <v>0</v>
      </c>
      <c r="M5624" s="11">
        <f t="shared" si="874"/>
        <v>0</v>
      </c>
      <c r="N5624" s="11">
        <f t="shared" si="875"/>
        <v>0</v>
      </c>
      <c r="O5624" s="11">
        <f t="shared" si="876"/>
        <v>0</v>
      </c>
      <c r="P5624" s="12">
        <f t="shared" si="877"/>
        <v>0</v>
      </c>
      <c r="Q5624" s="17" t="str">
        <f t="shared" si="879"/>
        <v>Pas d'écart</v>
      </c>
    </row>
    <row r="5625" spans="1:17" x14ac:dyDescent="0.3">
      <c r="A5625" s="34" t="str">
        <f>base!J5625</f>
        <v>LS</v>
      </c>
      <c r="B5625" s="34" t="str">
        <f>base!V5625</f>
        <v>13015</v>
      </c>
      <c r="C5625" s="37">
        <v>56</v>
      </c>
      <c r="D5625" s="36">
        <f>base!H5625</f>
        <v>97.61</v>
      </c>
      <c r="E5625" s="44"/>
      <c r="F5625" s="16">
        <f>base!W5625</f>
        <v>28.31</v>
      </c>
      <c r="G5625" s="11">
        <f t="shared" si="870"/>
        <v>0.29003175904108186</v>
      </c>
      <c r="H5625" s="11">
        <f t="shared" si="871"/>
        <v>26.354700000000001</v>
      </c>
      <c r="I5625" s="11">
        <f t="shared" si="872"/>
        <v>0.27</v>
      </c>
      <c r="J5625" s="12">
        <f t="shared" si="873"/>
        <v>1.9552999999999976</v>
      </c>
      <c r="K5625" s="17" t="str">
        <f t="shared" si="878"/>
        <v>Ecart positif</v>
      </c>
      <c r="L5625" s="16">
        <f>base!X5625</f>
        <v>0</v>
      </c>
      <c r="M5625" s="11">
        <f t="shared" si="874"/>
        <v>0</v>
      </c>
      <c r="N5625" s="11">
        <f t="shared" si="875"/>
        <v>0</v>
      </c>
      <c r="O5625" s="11">
        <f t="shared" si="876"/>
        <v>0</v>
      </c>
      <c r="P5625" s="12">
        <f t="shared" si="877"/>
        <v>0</v>
      </c>
      <c r="Q5625" s="17" t="str">
        <f t="shared" si="879"/>
        <v>Pas d'écart</v>
      </c>
    </row>
    <row r="5626" spans="1:17" x14ac:dyDescent="0.3">
      <c r="A5626" s="34" t="str">
        <f>base!J5626</f>
        <v>LS</v>
      </c>
      <c r="B5626" s="34" t="str">
        <f>base!V5626</f>
        <v>68000</v>
      </c>
      <c r="C5626" s="37">
        <v>84</v>
      </c>
      <c r="D5626" s="36">
        <f>base!H5626</f>
        <v>137.01</v>
      </c>
      <c r="E5626" s="44"/>
      <c r="F5626" s="16">
        <f>base!W5626</f>
        <v>39.729999999999997</v>
      </c>
      <c r="G5626" s="11">
        <f t="shared" si="870"/>
        <v>0.28997883366177651</v>
      </c>
      <c r="H5626" s="11">
        <f t="shared" si="871"/>
        <v>39.732899999999994</v>
      </c>
      <c r="I5626" s="11">
        <f t="shared" si="872"/>
        <v>0.28999999999999998</v>
      </c>
      <c r="J5626" s="12">
        <f t="shared" si="873"/>
        <v>-2.899999999996794E-3</v>
      </c>
      <c r="K5626" s="17" t="str">
        <f t="shared" si="878"/>
        <v>Ecart négatif</v>
      </c>
      <c r="L5626" s="16">
        <f>base!X5626</f>
        <v>0</v>
      </c>
      <c r="M5626" s="11">
        <f t="shared" si="874"/>
        <v>0</v>
      </c>
      <c r="N5626" s="11">
        <f t="shared" si="875"/>
        <v>26.0319</v>
      </c>
      <c r="O5626" s="11">
        <f t="shared" si="876"/>
        <v>0.19</v>
      </c>
      <c r="P5626" s="12">
        <f t="shared" si="877"/>
        <v>-26.0319</v>
      </c>
      <c r="Q5626" s="17" t="str">
        <f t="shared" si="879"/>
        <v>Ecart négatif</v>
      </c>
    </row>
    <row r="5627" spans="1:17" x14ac:dyDescent="0.3">
      <c r="A5627" s="34" t="str">
        <f>base!J5627</f>
        <v>LS</v>
      </c>
      <c r="B5627" s="34" t="str">
        <f>base!V5627</f>
        <v>08200</v>
      </c>
      <c r="C5627" s="37">
        <v>53</v>
      </c>
      <c r="D5627" s="36">
        <f>base!H5627</f>
        <v>131.49</v>
      </c>
      <c r="E5627" s="44"/>
      <c r="F5627" s="16">
        <f>base!W5627</f>
        <v>24.98</v>
      </c>
      <c r="G5627" s="11">
        <f t="shared" si="870"/>
        <v>0.18997642406266635</v>
      </c>
      <c r="H5627" s="11">
        <f t="shared" si="871"/>
        <v>35.502300000000005</v>
      </c>
      <c r="I5627" s="11">
        <f t="shared" si="872"/>
        <v>0.27</v>
      </c>
      <c r="J5627" s="12">
        <f t="shared" si="873"/>
        <v>-10.522300000000005</v>
      </c>
      <c r="K5627" s="17" t="str">
        <f t="shared" si="878"/>
        <v>Ecart négatif</v>
      </c>
      <c r="L5627" s="16">
        <f>base!X5627</f>
        <v>0</v>
      </c>
      <c r="M5627" s="11">
        <f t="shared" si="874"/>
        <v>0</v>
      </c>
      <c r="N5627" s="11">
        <f t="shared" si="875"/>
        <v>0</v>
      </c>
      <c r="O5627" s="11">
        <f t="shared" si="876"/>
        <v>0</v>
      </c>
      <c r="P5627" s="12">
        <f t="shared" si="877"/>
        <v>0</v>
      </c>
      <c r="Q5627" s="17" t="str">
        <f t="shared" si="879"/>
        <v>Pas d'écart</v>
      </c>
    </row>
    <row r="5628" spans="1:17" x14ac:dyDescent="0.3">
      <c r="A5628" s="34" t="str">
        <f>base!J5628</f>
        <v>LS</v>
      </c>
      <c r="B5628" s="34" t="str">
        <f>base!V5628</f>
        <v>45100</v>
      </c>
      <c r="C5628" s="37">
        <v>84</v>
      </c>
      <c r="D5628" s="36">
        <f>base!H5628</f>
        <v>71.08</v>
      </c>
      <c r="E5628" s="44"/>
      <c r="F5628" s="16">
        <f>base!W5628</f>
        <v>14.93</v>
      </c>
      <c r="G5628" s="11">
        <f t="shared" si="870"/>
        <v>0.21004501969611705</v>
      </c>
      <c r="H5628" s="11">
        <f t="shared" si="871"/>
        <v>20.613199999999999</v>
      </c>
      <c r="I5628" s="11">
        <f t="shared" si="872"/>
        <v>0.28999999999999998</v>
      </c>
      <c r="J5628" s="12">
        <f t="shared" si="873"/>
        <v>-5.6831999999999994</v>
      </c>
      <c r="K5628" s="17" t="str">
        <f t="shared" si="878"/>
        <v>Ecart négatif</v>
      </c>
      <c r="L5628" s="16">
        <f>base!X5628</f>
        <v>0</v>
      </c>
      <c r="M5628" s="11">
        <f t="shared" si="874"/>
        <v>0</v>
      </c>
      <c r="N5628" s="11">
        <f t="shared" si="875"/>
        <v>13.5052</v>
      </c>
      <c r="O5628" s="11">
        <f t="shared" si="876"/>
        <v>0.19</v>
      </c>
      <c r="P5628" s="12">
        <f t="shared" si="877"/>
        <v>-13.5052</v>
      </c>
      <c r="Q5628" s="17" t="str">
        <f t="shared" si="879"/>
        <v>Ecart négatif</v>
      </c>
    </row>
    <row r="5629" spans="1:17" x14ac:dyDescent="0.3">
      <c r="A5629" s="34" t="str">
        <f>base!J5629</f>
        <v>DRS</v>
      </c>
      <c r="B5629" s="34" t="str">
        <f>base!V5629</f>
        <v>30200</v>
      </c>
      <c r="C5629" s="37">
        <v>30</v>
      </c>
      <c r="D5629" s="36">
        <f>base!H5629</f>
        <v>29.59</v>
      </c>
      <c r="E5629" s="44"/>
      <c r="F5629" s="16">
        <f>base!W5629</f>
        <v>0</v>
      </c>
      <c r="G5629" s="11">
        <f t="shared" si="870"/>
        <v>0</v>
      </c>
      <c r="H5629" s="11">
        <f t="shared" si="871"/>
        <v>11.540100000000001</v>
      </c>
      <c r="I5629" s="11">
        <f t="shared" si="872"/>
        <v>0.39</v>
      </c>
      <c r="J5629" s="12">
        <f t="shared" si="873"/>
        <v>-11.540100000000001</v>
      </c>
      <c r="K5629" s="17" t="str">
        <f t="shared" si="878"/>
        <v>Ecart négatif</v>
      </c>
      <c r="L5629" s="16">
        <f>base!X5629</f>
        <v>0</v>
      </c>
      <c r="M5629" s="11">
        <f t="shared" si="874"/>
        <v>0</v>
      </c>
      <c r="N5629" s="11">
        <f t="shared" si="875"/>
        <v>8.2852000000000015</v>
      </c>
      <c r="O5629" s="11">
        <f t="shared" si="876"/>
        <v>0.28000000000000003</v>
      </c>
      <c r="P5629" s="12">
        <f t="shared" si="877"/>
        <v>-8.2852000000000015</v>
      </c>
      <c r="Q5629" s="17" t="str">
        <f t="shared" si="879"/>
        <v>Ecart négatif</v>
      </c>
    </row>
    <row r="5630" spans="1:17" x14ac:dyDescent="0.3">
      <c r="A5630" s="34" t="str">
        <f>base!J5630</f>
        <v>RM</v>
      </c>
      <c r="B5630" s="34" t="str">
        <f>base!V5630</f>
        <v>69006</v>
      </c>
      <c r="C5630" s="37">
        <v>69</v>
      </c>
      <c r="D5630" s="36">
        <f>base!H5630</f>
        <v>29.59</v>
      </c>
      <c r="E5630" s="44"/>
      <c r="F5630" s="16">
        <f>base!W5630</f>
        <v>0</v>
      </c>
      <c r="G5630" s="11">
        <f t="shared" si="870"/>
        <v>0</v>
      </c>
      <c r="H5630" s="11">
        <f t="shared" si="871"/>
        <v>7.9893000000000001</v>
      </c>
      <c r="I5630" s="11">
        <f t="shared" si="872"/>
        <v>0.27</v>
      </c>
      <c r="J5630" s="12">
        <f t="shared" si="873"/>
        <v>-7.9893000000000001</v>
      </c>
      <c r="K5630" s="17" t="str">
        <f t="shared" si="878"/>
        <v>Ecart négatif</v>
      </c>
      <c r="L5630" s="16">
        <f>base!X5630</f>
        <v>0</v>
      </c>
      <c r="M5630" s="11">
        <f t="shared" si="874"/>
        <v>0</v>
      </c>
      <c r="N5630" s="11">
        <f t="shared" si="875"/>
        <v>0</v>
      </c>
      <c r="O5630" s="11">
        <f t="shared" si="876"/>
        <v>0</v>
      </c>
      <c r="P5630" s="12">
        <f t="shared" si="877"/>
        <v>0</v>
      </c>
      <c r="Q5630" s="17" t="str">
        <f t="shared" si="879"/>
        <v>Pas d'écart</v>
      </c>
    </row>
    <row r="5631" spans="1:17" x14ac:dyDescent="0.3">
      <c r="A5631" s="34" t="str">
        <f>base!J5631</f>
        <v>RM</v>
      </c>
      <c r="B5631" s="34" t="str">
        <f>base!V5631</f>
        <v>69006</v>
      </c>
      <c r="C5631" s="37">
        <v>69</v>
      </c>
      <c r="D5631" s="36">
        <f>base!H5631</f>
        <v>29.59</v>
      </c>
      <c r="E5631" s="44"/>
      <c r="F5631" s="16">
        <f>base!W5631</f>
        <v>0</v>
      </c>
      <c r="G5631" s="11">
        <f t="shared" si="870"/>
        <v>0</v>
      </c>
      <c r="H5631" s="11">
        <f t="shared" si="871"/>
        <v>7.9893000000000001</v>
      </c>
      <c r="I5631" s="11">
        <f t="shared" si="872"/>
        <v>0.27</v>
      </c>
      <c r="J5631" s="12">
        <f t="shared" si="873"/>
        <v>-7.9893000000000001</v>
      </c>
      <c r="K5631" s="17" t="str">
        <f t="shared" si="878"/>
        <v>Ecart négatif</v>
      </c>
      <c r="L5631" s="16">
        <f>base!X5631</f>
        <v>0</v>
      </c>
      <c r="M5631" s="11">
        <f t="shared" si="874"/>
        <v>0</v>
      </c>
      <c r="N5631" s="11">
        <f t="shared" si="875"/>
        <v>0</v>
      </c>
      <c r="O5631" s="11">
        <f t="shared" si="876"/>
        <v>0</v>
      </c>
      <c r="P5631" s="12">
        <f t="shared" si="877"/>
        <v>0</v>
      </c>
      <c r="Q5631" s="17" t="str">
        <f t="shared" si="879"/>
        <v>Pas d'écart</v>
      </c>
    </row>
    <row r="5632" spans="1:17" x14ac:dyDescent="0.3">
      <c r="A5632" s="34" t="str">
        <f>base!J5632</f>
        <v>RS</v>
      </c>
      <c r="B5632" s="34" t="str">
        <f>base!V5632</f>
        <v>06000</v>
      </c>
      <c r="C5632" s="37">
        <v>6</v>
      </c>
      <c r="D5632" s="36">
        <f>base!H5632</f>
        <v>114.38</v>
      </c>
      <c r="E5632" s="44"/>
      <c r="F5632" s="16">
        <f>base!W5632</f>
        <v>0</v>
      </c>
      <c r="G5632" s="11">
        <f t="shared" si="870"/>
        <v>0</v>
      </c>
      <c r="H5632" s="11">
        <f t="shared" si="871"/>
        <v>34.314</v>
      </c>
      <c r="I5632" s="11">
        <f t="shared" si="872"/>
        <v>0.3</v>
      </c>
      <c r="J5632" s="12">
        <f t="shared" si="873"/>
        <v>-34.314</v>
      </c>
      <c r="K5632" s="17" t="str">
        <f t="shared" si="878"/>
        <v>Ecart négatif</v>
      </c>
      <c r="L5632" s="16">
        <f>base!X5632</f>
        <v>0</v>
      </c>
      <c r="M5632" s="11">
        <f t="shared" si="874"/>
        <v>0</v>
      </c>
      <c r="N5632" s="11">
        <f t="shared" si="875"/>
        <v>24.019799999999996</v>
      </c>
      <c r="O5632" s="11">
        <f t="shared" si="876"/>
        <v>0.20999999999999996</v>
      </c>
      <c r="P5632" s="12">
        <f t="shared" si="877"/>
        <v>-24.019799999999996</v>
      </c>
      <c r="Q5632" s="17" t="str">
        <f t="shared" si="879"/>
        <v>Ecart négatif</v>
      </c>
    </row>
    <row r="5633" spans="1:18" x14ac:dyDescent="0.3">
      <c r="A5633" s="34" t="str">
        <f>base!J5633</f>
        <v>DRS</v>
      </c>
      <c r="B5633" s="34" t="str">
        <f>base!V5633</f>
        <v>44000</v>
      </c>
      <c r="C5633" s="37">
        <v>44</v>
      </c>
      <c r="D5633" s="36">
        <f>base!H5633</f>
        <v>53.2</v>
      </c>
      <c r="E5633" s="44"/>
      <c r="F5633" s="16">
        <f>base!W5633</f>
        <v>0</v>
      </c>
      <c r="G5633" s="11">
        <f t="shared" si="870"/>
        <v>0</v>
      </c>
      <c r="H5633" s="11">
        <f t="shared" si="871"/>
        <v>14.364000000000003</v>
      </c>
      <c r="I5633" s="11">
        <f t="shared" si="872"/>
        <v>0.27</v>
      </c>
      <c r="J5633" s="12">
        <f t="shared" si="873"/>
        <v>-14.364000000000003</v>
      </c>
      <c r="K5633" s="17" t="str">
        <f t="shared" si="878"/>
        <v>Ecart négatif</v>
      </c>
      <c r="L5633" s="16">
        <f>base!X5633</f>
        <v>0</v>
      </c>
      <c r="M5633" s="11">
        <f t="shared" si="874"/>
        <v>0</v>
      </c>
      <c r="N5633" s="11">
        <f t="shared" si="875"/>
        <v>0</v>
      </c>
      <c r="O5633" s="11">
        <f t="shared" si="876"/>
        <v>0</v>
      </c>
      <c r="P5633" s="12">
        <f t="shared" si="877"/>
        <v>0</v>
      </c>
      <c r="Q5633" s="17" t="str">
        <f t="shared" si="879"/>
        <v>Pas d'écart</v>
      </c>
    </row>
    <row r="5634" spans="1:18" x14ac:dyDescent="0.3">
      <c r="A5634" s="34" t="str">
        <f>base!J5634</f>
        <v>LS</v>
      </c>
      <c r="B5634" s="34" t="str">
        <f>base!V5634</f>
        <v>56440</v>
      </c>
      <c r="C5634" s="37">
        <v>13</v>
      </c>
      <c r="D5634" s="36">
        <f>base!H5634</f>
        <v>69.540000000000006</v>
      </c>
      <c r="E5634" s="44"/>
      <c r="F5634" s="16">
        <f>base!W5634</f>
        <v>18.78</v>
      </c>
      <c r="G5634" s="11">
        <f t="shared" ref="G5634:G5697" si="880">F5634/D5634</f>
        <v>0.27006039689387401</v>
      </c>
      <c r="H5634" s="11">
        <f t="shared" ref="H5634:H5697" si="881">VLOOKUP(C5634,tout_cout_traction,2,FALSE)*D5634</f>
        <v>20.166599999999999</v>
      </c>
      <c r="I5634" s="11">
        <f t="shared" ref="I5634:I5697" si="882">H5634/D5634</f>
        <v>0.28999999999999998</v>
      </c>
      <c r="J5634" s="12">
        <f t="shared" ref="J5634:J5697" si="883">F5634-H5634</f>
        <v>-1.3865999999999978</v>
      </c>
      <c r="K5634" s="17" t="str">
        <f t="shared" si="878"/>
        <v>Ecart négatif</v>
      </c>
      <c r="L5634" s="16">
        <f>base!X5634</f>
        <v>0</v>
      </c>
      <c r="M5634" s="11">
        <f t="shared" ref="M5634:M5697" si="884">L5634/D5634</f>
        <v>0</v>
      </c>
      <c r="N5634" s="11">
        <f t="shared" ref="N5634:N5697" si="885">VLOOKUP(C5634,tout_cout_traction,3,FALSE)*D5634</f>
        <v>13.212600000000002</v>
      </c>
      <c r="O5634" s="11">
        <f t="shared" ref="O5634:O5697" si="886">N5634/D5634</f>
        <v>0.19</v>
      </c>
      <c r="P5634" s="12">
        <f t="shared" ref="P5634:P5697" si="887">L5634-N5634</f>
        <v>-13.212600000000002</v>
      </c>
      <c r="Q5634" s="17" t="str">
        <f t="shared" si="879"/>
        <v>Ecart négatif</v>
      </c>
    </row>
    <row r="5635" spans="1:18" x14ac:dyDescent="0.3">
      <c r="A5635" s="34" t="str">
        <f>base!J5635</f>
        <v>LS</v>
      </c>
      <c r="B5635" s="34" t="str">
        <f>base!V5635</f>
        <v>49000</v>
      </c>
      <c r="C5635" s="37">
        <v>13</v>
      </c>
      <c r="D5635" s="36">
        <f>base!H5635</f>
        <v>140.91999999999999</v>
      </c>
      <c r="E5635" s="44"/>
      <c r="F5635" s="16">
        <f>base!W5635</f>
        <v>38.049999999999997</v>
      </c>
      <c r="G5635" s="11">
        <f t="shared" si="880"/>
        <v>0.27001135395969345</v>
      </c>
      <c r="H5635" s="11">
        <f t="shared" si="881"/>
        <v>40.866799999999991</v>
      </c>
      <c r="I5635" s="11">
        <f t="shared" si="882"/>
        <v>0.28999999999999998</v>
      </c>
      <c r="J5635" s="12">
        <f t="shared" si="883"/>
        <v>-2.8167999999999935</v>
      </c>
      <c r="K5635" s="17" t="str">
        <f t="shared" ref="K5635:K5698" si="888">IF(H5635=F5635,"Pas d'écart",IF(H5635&lt;F5635,"Ecart positif",IF(H5635&gt;F5635,"Ecart négatif")))</f>
        <v>Ecart négatif</v>
      </c>
      <c r="L5635" s="16">
        <f>base!X5635</f>
        <v>0</v>
      </c>
      <c r="M5635" s="11">
        <f t="shared" si="884"/>
        <v>0</v>
      </c>
      <c r="N5635" s="11">
        <f t="shared" si="885"/>
        <v>26.774799999999999</v>
      </c>
      <c r="O5635" s="11">
        <f t="shared" si="886"/>
        <v>0.19</v>
      </c>
      <c r="P5635" s="12">
        <f t="shared" si="887"/>
        <v>-26.774799999999999</v>
      </c>
      <c r="Q5635" s="17" t="str">
        <f t="shared" ref="Q5635:Q5698" si="889">IF(N5635=L5635,"Pas d'écart",IF(N5635&lt;L5635,"Ecart positif",IF(N5635&gt;L5635,"Ecart négatif")))</f>
        <v>Ecart négatif</v>
      </c>
    </row>
    <row r="5636" spans="1:18" x14ac:dyDescent="0.3">
      <c r="A5636" s="34" t="str">
        <f>base!J5636</f>
        <v>LM</v>
      </c>
      <c r="B5636" s="34" t="str">
        <f>base!V5636</f>
        <v>59550</v>
      </c>
      <c r="C5636" s="37">
        <v>56</v>
      </c>
      <c r="D5636" s="36">
        <f>base!H5636</f>
        <v>69.39</v>
      </c>
      <c r="E5636" s="44"/>
      <c r="F5636" s="16">
        <f>base!W5636</f>
        <v>13.18</v>
      </c>
      <c r="G5636" s="11">
        <f t="shared" si="880"/>
        <v>0.18994091367632224</v>
      </c>
      <c r="H5636" s="11">
        <f t="shared" si="881"/>
        <v>18.735300000000002</v>
      </c>
      <c r="I5636" s="11">
        <f t="shared" si="882"/>
        <v>0.27</v>
      </c>
      <c r="J5636" s="12">
        <f t="shared" si="883"/>
        <v>-5.5553000000000026</v>
      </c>
      <c r="K5636" s="17" t="str">
        <f t="shared" si="888"/>
        <v>Ecart négatif</v>
      </c>
      <c r="L5636" s="16">
        <f>base!X5636</f>
        <v>0</v>
      </c>
      <c r="M5636" s="11">
        <f t="shared" si="884"/>
        <v>0</v>
      </c>
      <c r="N5636" s="11">
        <f t="shared" si="885"/>
        <v>0</v>
      </c>
      <c r="O5636" s="11">
        <f t="shared" si="886"/>
        <v>0</v>
      </c>
      <c r="P5636" s="12">
        <f t="shared" si="887"/>
        <v>0</v>
      </c>
      <c r="Q5636" s="17" t="str">
        <f t="shared" si="889"/>
        <v>Pas d'écart</v>
      </c>
    </row>
    <row r="5637" spans="1:18" x14ac:dyDescent="0.3">
      <c r="A5637" s="34" t="str">
        <f>base!J5637</f>
        <v>LS</v>
      </c>
      <c r="B5637" s="34" t="str">
        <f>base!V5637</f>
        <v>02110</v>
      </c>
      <c r="C5637" s="37">
        <v>73</v>
      </c>
      <c r="D5637" s="36">
        <f>base!H5637</f>
        <v>120.29</v>
      </c>
      <c r="E5637" s="44"/>
      <c r="F5637" s="16">
        <f>base!W5637</f>
        <v>22.86</v>
      </c>
      <c r="G5637" s="11">
        <f t="shared" si="880"/>
        <v>0.19004073489068085</v>
      </c>
      <c r="H5637" s="11">
        <f t="shared" si="881"/>
        <v>32.478300000000004</v>
      </c>
      <c r="I5637" s="11">
        <f t="shared" si="882"/>
        <v>0.27</v>
      </c>
      <c r="J5637" s="12">
        <f t="shared" si="883"/>
        <v>-9.618300000000005</v>
      </c>
      <c r="K5637" s="17" t="str">
        <f t="shared" si="888"/>
        <v>Ecart négatif</v>
      </c>
      <c r="L5637" s="16">
        <f>base!X5637</f>
        <v>0</v>
      </c>
      <c r="M5637" s="11">
        <f t="shared" si="884"/>
        <v>0</v>
      </c>
      <c r="N5637" s="11">
        <f t="shared" si="885"/>
        <v>0</v>
      </c>
      <c r="O5637" s="11">
        <f t="shared" si="886"/>
        <v>0</v>
      </c>
      <c r="P5637" s="12">
        <f t="shared" si="887"/>
        <v>0</v>
      </c>
      <c r="Q5637" s="17" t="str">
        <f t="shared" si="889"/>
        <v>Pas d'écart</v>
      </c>
    </row>
    <row r="5638" spans="1:18" x14ac:dyDescent="0.3">
      <c r="A5638" s="34" t="str">
        <f>base!J5638</f>
        <v>LS</v>
      </c>
      <c r="B5638" s="34" t="str">
        <f>base!V5638</f>
        <v>38290</v>
      </c>
      <c r="C5638" s="37">
        <v>44</v>
      </c>
      <c r="D5638" s="36">
        <f>base!H5638</f>
        <v>151</v>
      </c>
      <c r="E5638" s="44"/>
      <c r="F5638" s="16">
        <f>base!W5638</f>
        <v>40.770000000000003</v>
      </c>
      <c r="G5638" s="11">
        <f t="shared" si="880"/>
        <v>0.27</v>
      </c>
      <c r="H5638" s="11">
        <f t="shared" si="881"/>
        <v>40.770000000000003</v>
      </c>
      <c r="I5638" s="11">
        <f t="shared" si="882"/>
        <v>0.27</v>
      </c>
      <c r="J5638" s="12">
        <f t="shared" si="883"/>
        <v>0</v>
      </c>
      <c r="K5638" s="17" t="str">
        <f t="shared" si="888"/>
        <v>Pas d'écart</v>
      </c>
      <c r="L5638" s="16">
        <f>base!X5638</f>
        <v>0</v>
      </c>
      <c r="M5638" s="11">
        <f t="shared" si="884"/>
        <v>0</v>
      </c>
      <c r="N5638" s="11">
        <f t="shared" si="885"/>
        <v>0</v>
      </c>
      <c r="O5638" s="11">
        <f t="shared" si="886"/>
        <v>0</v>
      </c>
      <c r="P5638" s="12">
        <f t="shared" si="887"/>
        <v>0</v>
      </c>
      <c r="Q5638" s="17" t="str">
        <f t="shared" si="889"/>
        <v>Pas d'écart</v>
      </c>
    </row>
    <row r="5639" spans="1:18" x14ac:dyDescent="0.3">
      <c r="A5639" s="34" t="str">
        <f>base!J5639</f>
        <v>RM</v>
      </c>
      <c r="B5639" s="34" t="str">
        <f>base!V5639</f>
        <v>59287</v>
      </c>
      <c r="C5639" s="37">
        <v>59</v>
      </c>
      <c r="D5639" s="36">
        <f>base!H5639</f>
        <v>290.64999999999998</v>
      </c>
      <c r="E5639" s="44"/>
      <c r="F5639" s="16">
        <f>base!W5639</f>
        <v>0</v>
      </c>
      <c r="G5639" s="11">
        <f t="shared" si="880"/>
        <v>0</v>
      </c>
      <c r="H5639" s="11">
        <f t="shared" si="881"/>
        <v>55.223499999999994</v>
      </c>
      <c r="I5639" s="11">
        <f t="shared" si="882"/>
        <v>0.19</v>
      </c>
      <c r="J5639" s="12">
        <f t="shared" si="883"/>
        <v>-55.223499999999994</v>
      </c>
      <c r="K5639" s="17" t="str">
        <f t="shared" si="888"/>
        <v>Ecart négatif</v>
      </c>
      <c r="L5639" s="16">
        <f>base!X5639</f>
        <v>0</v>
      </c>
      <c r="M5639" s="11">
        <f t="shared" si="884"/>
        <v>0</v>
      </c>
      <c r="N5639" s="11">
        <f t="shared" si="885"/>
        <v>0</v>
      </c>
      <c r="O5639" s="11">
        <f t="shared" si="886"/>
        <v>0</v>
      </c>
      <c r="P5639" s="12">
        <f t="shared" si="887"/>
        <v>0</v>
      </c>
      <c r="Q5639" s="17" t="str">
        <f t="shared" si="889"/>
        <v>Pas d'écart</v>
      </c>
    </row>
    <row r="5640" spans="1:18" x14ac:dyDescent="0.3">
      <c r="A5640" s="34" t="str">
        <f>base!J5640</f>
        <v>LM</v>
      </c>
      <c r="B5640" s="34" t="str">
        <f>base!V5640</f>
        <v>75014</v>
      </c>
      <c r="C5640" s="37">
        <v>75</v>
      </c>
      <c r="D5640" s="36">
        <f>base!H5640</f>
        <v>137.59</v>
      </c>
      <c r="E5640" s="44"/>
      <c r="F5640" s="16">
        <f>base!W5640</f>
        <v>0</v>
      </c>
      <c r="G5640" s="11">
        <f t="shared" si="880"/>
        <v>0</v>
      </c>
      <c r="H5640" s="11">
        <f t="shared" si="881"/>
        <v>0</v>
      </c>
      <c r="I5640" s="11">
        <f t="shared" si="882"/>
        <v>0</v>
      </c>
      <c r="J5640" s="12">
        <f t="shared" si="883"/>
        <v>0</v>
      </c>
      <c r="K5640" s="17" t="str">
        <f t="shared" si="888"/>
        <v>Pas d'écart</v>
      </c>
      <c r="L5640" s="16">
        <f>base!X5640</f>
        <v>0</v>
      </c>
      <c r="M5640" s="11">
        <f t="shared" si="884"/>
        <v>0</v>
      </c>
      <c r="N5640" s="11">
        <f t="shared" si="885"/>
        <v>0</v>
      </c>
      <c r="O5640" s="11">
        <f t="shared" si="886"/>
        <v>0</v>
      </c>
      <c r="P5640" s="12">
        <f t="shared" si="887"/>
        <v>0</v>
      </c>
      <c r="Q5640" s="17" t="str">
        <f t="shared" si="889"/>
        <v>Pas d'écart</v>
      </c>
    </row>
    <row r="5641" spans="1:18" x14ac:dyDescent="0.3">
      <c r="A5641" s="34" t="str">
        <f>base!J5641</f>
        <v>LS</v>
      </c>
      <c r="B5641" s="34" t="str">
        <f>base!V5641</f>
        <v>78000</v>
      </c>
      <c r="C5641" s="37">
        <v>78</v>
      </c>
      <c r="D5641" s="36">
        <f>base!H5641</f>
        <v>30</v>
      </c>
      <c r="E5641" s="44"/>
      <c r="F5641" s="16">
        <f>base!W5641</f>
        <v>0</v>
      </c>
      <c r="G5641" s="11">
        <f t="shared" si="880"/>
        <v>0</v>
      </c>
      <c r="H5641" s="11">
        <f t="shared" si="881"/>
        <v>0</v>
      </c>
      <c r="I5641" s="11">
        <f t="shared" si="882"/>
        <v>0</v>
      </c>
      <c r="J5641" s="12">
        <f t="shared" si="883"/>
        <v>0</v>
      </c>
      <c r="K5641" s="17" t="str">
        <f t="shared" si="888"/>
        <v>Pas d'écart</v>
      </c>
      <c r="L5641" s="16">
        <f>base!X5641</f>
        <v>0</v>
      </c>
      <c r="M5641" s="11">
        <f t="shared" si="884"/>
        <v>0</v>
      </c>
      <c r="N5641" s="11">
        <f t="shared" si="885"/>
        <v>0</v>
      </c>
      <c r="O5641" s="11">
        <f t="shared" si="886"/>
        <v>0</v>
      </c>
      <c r="P5641" s="12">
        <f t="shared" si="887"/>
        <v>0</v>
      </c>
      <c r="Q5641" s="17" t="str">
        <f t="shared" si="889"/>
        <v>Pas d'écart</v>
      </c>
    </row>
    <row r="5642" spans="1:18" x14ac:dyDescent="0.3">
      <c r="A5642" s="34" t="str">
        <f>base!J5642</f>
        <v>RS</v>
      </c>
      <c r="B5642" s="34" t="str">
        <f>base!V5642</f>
        <v>69780</v>
      </c>
      <c r="C5642" s="37">
        <v>69</v>
      </c>
      <c r="D5642" s="36">
        <f>base!H5642</f>
        <v>218.08</v>
      </c>
      <c r="E5642" s="44"/>
      <c r="F5642" s="16">
        <f>base!W5642</f>
        <v>0</v>
      </c>
      <c r="G5642" s="11">
        <f t="shared" si="880"/>
        <v>0</v>
      </c>
      <c r="H5642" s="11">
        <f t="shared" si="881"/>
        <v>58.881600000000006</v>
      </c>
      <c r="I5642" s="11">
        <f t="shared" si="882"/>
        <v>0.27</v>
      </c>
      <c r="J5642" s="12">
        <f t="shared" si="883"/>
        <v>-58.881600000000006</v>
      </c>
      <c r="K5642" s="17" t="str">
        <f t="shared" si="888"/>
        <v>Ecart négatif</v>
      </c>
      <c r="L5642" s="16">
        <f>base!X5642</f>
        <v>0</v>
      </c>
      <c r="M5642" s="11">
        <f t="shared" si="884"/>
        <v>0</v>
      </c>
      <c r="N5642" s="11">
        <f t="shared" si="885"/>
        <v>0</v>
      </c>
      <c r="O5642" s="11">
        <f t="shared" si="886"/>
        <v>0</v>
      </c>
      <c r="P5642" s="12">
        <f t="shared" si="887"/>
        <v>0</v>
      </c>
      <c r="Q5642" s="17" t="str">
        <f t="shared" si="889"/>
        <v>Pas d'écart</v>
      </c>
    </row>
    <row r="5643" spans="1:18" x14ac:dyDescent="0.3">
      <c r="A5643" s="34" t="str">
        <f>base!J5643</f>
        <v>LM</v>
      </c>
      <c r="B5643" s="34" t="str">
        <f>base!V5643</f>
        <v>75019</v>
      </c>
      <c r="C5643" s="37">
        <v>75</v>
      </c>
      <c r="D5643" s="36">
        <f>base!H5643</f>
        <v>198.09</v>
      </c>
      <c r="E5643" s="44"/>
      <c r="F5643" s="16">
        <f>base!W5643</f>
        <v>0</v>
      </c>
      <c r="G5643" s="11">
        <f t="shared" si="880"/>
        <v>0</v>
      </c>
      <c r="H5643" s="11">
        <f t="shared" si="881"/>
        <v>0</v>
      </c>
      <c r="I5643" s="11">
        <f t="shared" si="882"/>
        <v>0</v>
      </c>
      <c r="J5643" s="12">
        <f t="shared" si="883"/>
        <v>0</v>
      </c>
      <c r="K5643" s="17" t="str">
        <f t="shared" si="888"/>
        <v>Pas d'écart</v>
      </c>
      <c r="L5643" s="16">
        <f>base!X5643</f>
        <v>0</v>
      </c>
      <c r="M5643" s="11">
        <f t="shared" si="884"/>
        <v>0</v>
      </c>
      <c r="N5643" s="11">
        <f t="shared" si="885"/>
        <v>0</v>
      </c>
      <c r="O5643" s="11">
        <f t="shared" si="886"/>
        <v>0</v>
      </c>
      <c r="P5643" s="12">
        <f t="shared" si="887"/>
        <v>0</v>
      </c>
      <c r="Q5643" s="17" t="str">
        <f t="shared" si="889"/>
        <v>Pas d'écart</v>
      </c>
    </row>
    <row r="5644" spans="1:18" x14ac:dyDescent="0.3">
      <c r="A5644" s="34" t="str">
        <f>base!J5644</f>
        <v>LS</v>
      </c>
      <c r="B5644" s="34" t="str">
        <f>base!V5644</f>
        <v>13127</v>
      </c>
      <c r="C5644" s="37">
        <v>56</v>
      </c>
      <c r="D5644" s="36">
        <f>base!H5644</f>
        <v>139.91</v>
      </c>
      <c r="E5644" s="44"/>
      <c r="F5644" s="16">
        <f>base!W5644</f>
        <v>40.57</v>
      </c>
      <c r="G5644" s="11">
        <f t="shared" si="880"/>
        <v>0.28997212493745983</v>
      </c>
      <c r="H5644" s="11">
        <f t="shared" si="881"/>
        <v>37.775700000000001</v>
      </c>
      <c r="I5644" s="11">
        <f t="shared" si="882"/>
        <v>0.27</v>
      </c>
      <c r="J5644" s="12">
        <f t="shared" si="883"/>
        <v>2.7942999999999998</v>
      </c>
      <c r="K5644" s="17" t="str">
        <f t="shared" si="888"/>
        <v>Ecart positif</v>
      </c>
      <c r="L5644" s="16">
        <f>base!X5644</f>
        <v>0</v>
      </c>
      <c r="M5644" s="11">
        <f t="shared" si="884"/>
        <v>0</v>
      </c>
      <c r="N5644" s="11">
        <f t="shared" si="885"/>
        <v>0</v>
      </c>
      <c r="O5644" s="11">
        <f t="shared" si="886"/>
        <v>0</v>
      </c>
      <c r="P5644" s="12">
        <f t="shared" si="887"/>
        <v>0</v>
      </c>
      <c r="Q5644" s="17" t="str">
        <f t="shared" si="889"/>
        <v>Pas d'écart</v>
      </c>
    </row>
    <row r="5645" spans="1:18" x14ac:dyDescent="0.3">
      <c r="A5645" s="34" t="str">
        <f>base!J5645</f>
        <v>RS</v>
      </c>
      <c r="B5645" s="34" t="str">
        <f>base!V5645</f>
        <v>75009</v>
      </c>
      <c r="C5645" s="37">
        <v>75</v>
      </c>
      <c r="D5645" s="36">
        <f>base!H5645</f>
        <v>142.12</v>
      </c>
      <c r="E5645" s="44"/>
      <c r="F5645" s="16">
        <f>base!W5645</f>
        <v>0</v>
      </c>
      <c r="G5645" s="11">
        <f t="shared" si="880"/>
        <v>0</v>
      </c>
      <c r="H5645" s="11">
        <f t="shared" si="881"/>
        <v>0</v>
      </c>
      <c r="I5645" s="11">
        <f t="shared" si="882"/>
        <v>0</v>
      </c>
      <c r="J5645" s="12">
        <f t="shared" si="883"/>
        <v>0</v>
      </c>
      <c r="K5645" s="17" t="str">
        <f t="shared" si="888"/>
        <v>Pas d'écart</v>
      </c>
      <c r="L5645" s="16">
        <f>base!X5645</f>
        <v>0</v>
      </c>
      <c r="M5645" s="11">
        <f t="shared" si="884"/>
        <v>0</v>
      </c>
      <c r="N5645" s="11">
        <f t="shared" si="885"/>
        <v>0</v>
      </c>
      <c r="O5645" s="11">
        <f t="shared" si="886"/>
        <v>0</v>
      </c>
      <c r="P5645" s="12">
        <f t="shared" si="887"/>
        <v>0</v>
      </c>
      <c r="Q5645" s="17" t="str">
        <f t="shared" si="889"/>
        <v>Pas d'écart</v>
      </c>
    </row>
    <row r="5646" spans="1:18" x14ac:dyDescent="0.3">
      <c r="A5646" s="34" t="str">
        <f>base!J5646</f>
        <v>RS</v>
      </c>
      <c r="B5646" s="34" t="str">
        <f>base!V5646</f>
        <v>67110</v>
      </c>
      <c r="C5646" s="37">
        <v>67</v>
      </c>
      <c r="D5646" s="36">
        <f>base!H5646</f>
        <v>250</v>
      </c>
      <c r="E5646" s="44"/>
      <c r="F5646" s="16">
        <f>base!W5646</f>
        <v>0</v>
      </c>
      <c r="G5646" s="11">
        <f t="shared" si="880"/>
        <v>0</v>
      </c>
      <c r="H5646" s="11">
        <f t="shared" si="881"/>
        <v>72.5</v>
      </c>
      <c r="I5646" s="11">
        <f t="shared" si="882"/>
        <v>0.28999999999999998</v>
      </c>
      <c r="J5646" s="12">
        <f t="shared" si="883"/>
        <v>-72.5</v>
      </c>
      <c r="K5646" s="17" t="str">
        <f t="shared" si="888"/>
        <v>Ecart négatif</v>
      </c>
      <c r="L5646" s="16">
        <f>base!X5646</f>
        <v>20</v>
      </c>
      <c r="M5646" s="11">
        <f t="shared" si="884"/>
        <v>0.08</v>
      </c>
      <c r="N5646" s="11">
        <f t="shared" si="885"/>
        <v>20</v>
      </c>
      <c r="O5646" s="11">
        <f t="shared" si="886"/>
        <v>0.08</v>
      </c>
      <c r="P5646" s="12">
        <f t="shared" si="887"/>
        <v>0</v>
      </c>
      <c r="Q5646" s="17" t="str">
        <f t="shared" si="889"/>
        <v>Pas d'écart</v>
      </c>
      <c r="R5646" s="38"/>
    </row>
    <row r="5647" spans="1:18" x14ac:dyDescent="0.3">
      <c r="A5647" s="34" t="str">
        <f>base!J5647</f>
        <v>RS</v>
      </c>
      <c r="B5647" s="34" t="str">
        <f>base!V5647</f>
        <v>83320</v>
      </c>
      <c r="C5647" s="37">
        <v>83</v>
      </c>
      <c r="D5647" s="36">
        <f>base!H5647</f>
        <v>161.25</v>
      </c>
      <c r="E5647" s="44"/>
      <c r="F5647" s="16">
        <f>base!W5647</f>
        <v>0</v>
      </c>
      <c r="G5647" s="11">
        <f t="shared" si="880"/>
        <v>0</v>
      </c>
      <c r="H5647" s="11">
        <f t="shared" si="881"/>
        <v>48.375</v>
      </c>
      <c r="I5647" s="11">
        <f t="shared" si="882"/>
        <v>0.3</v>
      </c>
      <c r="J5647" s="12">
        <f t="shared" si="883"/>
        <v>-48.375</v>
      </c>
      <c r="K5647" s="17" t="str">
        <f t="shared" si="888"/>
        <v>Ecart négatif</v>
      </c>
      <c r="L5647" s="16">
        <f>base!X5647</f>
        <v>33.86</v>
      </c>
      <c r="M5647" s="11">
        <f t="shared" si="884"/>
        <v>0.209984496124031</v>
      </c>
      <c r="N5647" s="11">
        <f t="shared" si="885"/>
        <v>33.862499999999997</v>
      </c>
      <c r="O5647" s="11">
        <f t="shared" si="886"/>
        <v>0.21</v>
      </c>
      <c r="P5647" s="12">
        <f t="shared" si="887"/>
        <v>-2.4999999999977263E-3</v>
      </c>
      <c r="Q5647" s="17" t="str">
        <f t="shared" si="889"/>
        <v>Ecart négatif</v>
      </c>
      <c r="R5647" s="38"/>
    </row>
    <row r="5648" spans="1:18" x14ac:dyDescent="0.3">
      <c r="A5648" s="34" t="str">
        <f>base!J5648</f>
        <v>RS</v>
      </c>
      <c r="B5648" s="34" t="str">
        <f>base!V5648</f>
        <v>78004</v>
      </c>
      <c r="C5648" s="37">
        <v>78</v>
      </c>
      <c r="D5648" s="36">
        <f>base!H5648</f>
        <v>140</v>
      </c>
      <c r="E5648" s="44"/>
      <c r="F5648" s="16">
        <f>base!W5648</f>
        <v>0</v>
      </c>
      <c r="G5648" s="11">
        <f t="shared" si="880"/>
        <v>0</v>
      </c>
      <c r="H5648" s="11">
        <f t="shared" si="881"/>
        <v>0</v>
      </c>
      <c r="I5648" s="11">
        <f t="shared" si="882"/>
        <v>0</v>
      </c>
      <c r="J5648" s="12">
        <f t="shared" si="883"/>
        <v>0</v>
      </c>
      <c r="K5648" s="17" t="str">
        <f t="shared" si="888"/>
        <v>Pas d'écart</v>
      </c>
      <c r="L5648" s="16">
        <f>base!X5648</f>
        <v>0</v>
      </c>
      <c r="M5648" s="11">
        <f t="shared" si="884"/>
        <v>0</v>
      </c>
      <c r="N5648" s="11">
        <f t="shared" si="885"/>
        <v>0</v>
      </c>
      <c r="O5648" s="11">
        <f t="shared" si="886"/>
        <v>0</v>
      </c>
      <c r="P5648" s="12">
        <f t="shared" si="887"/>
        <v>0</v>
      </c>
      <c r="Q5648" s="17" t="str">
        <f t="shared" si="889"/>
        <v>Pas d'écart</v>
      </c>
    </row>
    <row r="5649" spans="1:18" x14ac:dyDescent="0.3">
      <c r="A5649" s="34" t="str">
        <f>base!J5649</f>
        <v>LS</v>
      </c>
      <c r="B5649" s="34" t="str">
        <f>base!V5649</f>
        <v>86320</v>
      </c>
      <c r="C5649" s="37">
        <v>39</v>
      </c>
      <c r="D5649" s="36">
        <f>base!H5649</f>
        <v>153.44999999999999</v>
      </c>
      <c r="E5649" s="44"/>
      <c r="F5649" s="16">
        <f>base!W5649</f>
        <v>32.22</v>
      </c>
      <c r="G5649" s="11">
        <f t="shared" si="880"/>
        <v>0.20997067448680354</v>
      </c>
      <c r="H5649" s="11">
        <f t="shared" si="881"/>
        <v>41.4315</v>
      </c>
      <c r="I5649" s="11">
        <f t="shared" si="882"/>
        <v>0.27</v>
      </c>
      <c r="J5649" s="12">
        <f t="shared" si="883"/>
        <v>-9.2115000000000009</v>
      </c>
      <c r="K5649" s="17" t="str">
        <f t="shared" si="888"/>
        <v>Ecart négatif</v>
      </c>
      <c r="L5649" s="16">
        <f>base!X5649</f>
        <v>0</v>
      </c>
      <c r="M5649" s="11">
        <f t="shared" si="884"/>
        <v>0</v>
      </c>
      <c r="N5649" s="11">
        <f t="shared" si="885"/>
        <v>0</v>
      </c>
      <c r="O5649" s="11">
        <f t="shared" si="886"/>
        <v>0</v>
      </c>
      <c r="P5649" s="12">
        <f t="shared" si="887"/>
        <v>0</v>
      </c>
      <c r="Q5649" s="17" t="str">
        <f t="shared" si="889"/>
        <v>Pas d'écart</v>
      </c>
    </row>
    <row r="5650" spans="1:18" x14ac:dyDescent="0.3">
      <c r="A5650" s="34" t="str">
        <f>base!J5650</f>
        <v>LM</v>
      </c>
      <c r="B5650" s="34" t="str">
        <f>base!V5650</f>
        <v>61250</v>
      </c>
      <c r="C5650" s="37">
        <v>69</v>
      </c>
      <c r="D5650" s="36">
        <f>base!H5650</f>
        <v>143.51</v>
      </c>
      <c r="E5650" s="44"/>
      <c r="F5650" s="16">
        <f>base!W5650</f>
        <v>24.4</v>
      </c>
      <c r="G5650" s="11">
        <f t="shared" si="880"/>
        <v>0.17002299491324646</v>
      </c>
      <c r="H5650" s="11">
        <f t="shared" si="881"/>
        <v>38.747700000000002</v>
      </c>
      <c r="I5650" s="11">
        <f t="shared" si="882"/>
        <v>0.27</v>
      </c>
      <c r="J5650" s="12">
        <f t="shared" si="883"/>
        <v>-14.347700000000003</v>
      </c>
      <c r="K5650" s="17" t="str">
        <f t="shared" si="888"/>
        <v>Ecart négatif</v>
      </c>
      <c r="L5650" s="16">
        <f>base!X5650</f>
        <v>0</v>
      </c>
      <c r="M5650" s="11">
        <f t="shared" si="884"/>
        <v>0</v>
      </c>
      <c r="N5650" s="11">
        <f t="shared" si="885"/>
        <v>0</v>
      </c>
      <c r="O5650" s="11">
        <f t="shared" si="886"/>
        <v>0</v>
      </c>
      <c r="P5650" s="12">
        <f t="shared" si="887"/>
        <v>0</v>
      </c>
      <c r="Q5650" s="17" t="str">
        <f t="shared" si="889"/>
        <v>Pas d'écart</v>
      </c>
    </row>
    <row r="5651" spans="1:18" x14ac:dyDescent="0.3">
      <c r="A5651" s="34" t="str">
        <f>base!J5651</f>
        <v>RM</v>
      </c>
      <c r="B5651" s="34" t="str">
        <f>base!V5651</f>
        <v>13001</v>
      </c>
      <c r="C5651" s="37">
        <v>13</v>
      </c>
      <c r="D5651" s="36">
        <f>base!H5651</f>
        <v>180</v>
      </c>
      <c r="E5651" s="44"/>
      <c r="F5651" s="16">
        <f>base!W5651</f>
        <v>0</v>
      </c>
      <c r="G5651" s="11">
        <f t="shared" si="880"/>
        <v>0</v>
      </c>
      <c r="H5651" s="11">
        <f t="shared" si="881"/>
        <v>52.199999999999996</v>
      </c>
      <c r="I5651" s="11">
        <f t="shared" si="882"/>
        <v>0.28999999999999998</v>
      </c>
      <c r="J5651" s="12">
        <f t="shared" si="883"/>
        <v>-52.199999999999996</v>
      </c>
      <c r="K5651" s="17" t="str">
        <f t="shared" si="888"/>
        <v>Ecart négatif</v>
      </c>
      <c r="L5651" s="16">
        <f>base!X5651</f>
        <v>0</v>
      </c>
      <c r="M5651" s="11">
        <f t="shared" si="884"/>
        <v>0</v>
      </c>
      <c r="N5651" s="11">
        <f t="shared" si="885"/>
        <v>34.200000000000003</v>
      </c>
      <c r="O5651" s="11">
        <f t="shared" si="886"/>
        <v>0.19</v>
      </c>
      <c r="P5651" s="12">
        <f t="shared" si="887"/>
        <v>-34.200000000000003</v>
      </c>
      <c r="Q5651" s="17" t="str">
        <f t="shared" si="889"/>
        <v>Ecart négatif</v>
      </c>
    </row>
    <row r="5652" spans="1:18" x14ac:dyDescent="0.3">
      <c r="A5652" s="34" t="str">
        <f>base!J5652</f>
        <v>RM</v>
      </c>
      <c r="B5652" s="34" t="str">
        <f>base!V5652</f>
        <v>89230</v>
      </c>
      <c r="C5652" s="37">
        <v>89</v>
      </c>
      <c r="D5652" s="36">
        <f>base!H5652</f>
        <v>140</v>
      </c>
      <c r="E5652" s="44"/>
      <c r="F5652" s="16">
        <f>base!W5652</f>
        <v>0</v>
      </c>
      <c r="G5652" s="11">
        <f t="shared" si="880"/>
        <v>0</v>
      </c>
      <c r="H5652" s="11">
        <f t="shared" si="881"/>
        <v>32.200000000000003</v>
      </c>
      <c r="I5652" s="11">
        <f t="shared" si="882"/>
        <v>0.23</v>
      </c>
      <c r="J5652" s="12">
        <f t="shared" si="883"/>
        <v>-32.200000000000003</v>
      </c>
      <c r="K5652" s="17" t="str">
        <f t="shared" si="888"/>
        <v>Ecart négatif</v>
      </c>
      <c r="L5652" s="16">
        <f>base!X5652</f>
        <v>16.8</v>
      </c>
      <c r="M5652" s="11">
        <f t="shared" si="884"/>
        <v>0.12000000000000001</v>
      </c>
      <c r="N5652" s="11">
        <f t="shared" si="885"/>
        <v>16.8</v>
      </c>
      <c r="O5652" s="11">
        <f t="shared" si="886"/>
        <v>0.12000000000000001</v>
      </c>
      <c r="P5652" s="12">
        <f t="shared" si="887"/>
        <v>0</v>
      </c>
      <c r="Q5652" s="17" t="str">
        <f t="shared" si="889"/>
        <v>Pas d'écart</v>
      </c>
      <c r="R5652" s="38"/>
    </row>
    <row r="5653" spans="1:18" x14ac:dyDescent="0.3">
      <c r="A5653" s="34" t="str">
        <f>base!J5653</f>
        <v>RS</v>
      </c>
      <c r="B5653" s="34" t="str">
        <f>base!V5653</f>
        <v>77380</v>
      </c>
      <c r="C5653" s="37">
        <v>77</v>
      </c>
      <c r="D5653" s="36">
        <f>base!H5653</f>
        <v>70</v>
      </c>
      <c r="E5653" s="44"/>
      <c r="F5653" s="16">
        <f>base!W5653</f>
        <v>0</v>
      </c>
      <c r="G5653" s="11">
        <f t="shared" si="880"/>
        <v>0</v>
      </c>
      <c r="H5653" s="11">
        <f t="shared" si="881"/>
        <v>0</v>
      </c>
      <c r="I5653" s="11">
        <f t="shared" si="882"/>
        <v>0</v>
      </c>
      <c r="J5653" s="12">
        <f t="shared" si="883"/>
        <v>0</v>
      </c>
      <c r="K5653" s="17" t="str">
        <f t="shared" si="888"/>
        <v>Pas d'écart</v>
      </c>
      <c r="L5653" s="16">
        <f>base!X5653</f>
        <v>0</v>
      </c>
      <c r="M5653" s="11">
        <f t="shared" si="884"/>
        <v>0</v>
      </c>
      <c r="N5653" s="11">
        <f t="shared" si="885"/>
        <v>0</v>
      </c>
      <c r="O5653" s="11">
        <f t="shared" si="886"/>
        <v>0</v>
      </c>
      <c r="P5653" s="12">
        <f t="shared" si="887"/>
        <v>0</v>
      </c>
      <c r="Q5653" s="17" t="str">
        <f t="shared" si="889"/>
        <v>Pas d'écart</v>
      </c>
    </row>
    <row r="5654" spans="1:18" x14ac:dyDescent="0.3">
      <c r="A5654" s="34" t="str">
        <f>base!J5654</f>
        <v>RS</v>
      </c>
      <c r="B5654" s="34" t="str">
        <f>base!V5654</f>
        <v>21600</v>
      </c>
      <c r="C5654" s="37">
        <v>21</v>
      </c>
      <c r="D5654" s="36">
        <f>base!H5654</f>
        <v>151</v>
      </c>
      <c r="E5654" s="44"/>
      <c r="F5654" s="16">
        <f>base!W5654</f>
        <v>0</v>
      </c>
      <c r="G5654" s="11">
        <f t="shared" si="880"/>
        <v>0</v>
      </c>
      <c r="H5654" s="11">
        <f t="shared" si="881"/>
        <v>36.24</v>
      </c>
      <c r="I5654" s="11">
        <f t="shared" si="882"/>
        <v>0.24000000000000002</v>
      </c>
      <c r="J5654" s="12">
        <f t="shared" si="883"/>
        <v>-36.24</v>
      </c>
      <c r="K5654" s="17" t="str">
        <f t="shared" si="888"/>
        <v>Ecart négatif</v>
      </c>
      <c r="L5654" s="16">
        <f>base!X5654</f>
        <v>0</v>
      </c>
      <c r="M5654" s="11">
        <f t="shared" si="884"/>
        <v>0</v>
      </c>
      <c r="N5654" s="11">
        <f t="shared" si="885"/>
        <v>18.12</v>
      </c>
      <c r="O5654" s="11">
        <f t="shared" si="886"/>
        <v>0.12000000000000001</v>
      </c>
      <c r="P5654" s="12">
        <f t="shared" si="887"/>
        <v>-18.12</v>
      </c>
      <c r="Q5654" s="17" t="str">
        <f t="shared" si="889"/>
        <v>Ecart négatif</v>
      </c>
    </row>
    <row r="5655" spans="1:18" x14ac:dyDescent="0.3">
      <c r="A5655" s="34" t="str">
        <f>base!J5655</f>
        <v>RS</v>
      </c>
      <c r="B5655" s="34" t="str">
        <f>base!V5655</f>
        <v>59300</v>
      </c>
      <c r="C5655" s="37">
        <v>59</v>
      </c>
      <c r="D5655" s="36">
        <f>base!H5655</f>
        <v>216.12</v>
      </c>
      <c r="E5655" s="44"/>
      <c r="F5655" s="16">
        <f>base!W5655</f>
        <v>0</v>
      </c>
      <c r="G5655" s="11">
        <f t="shared" si="880"/>
        <v>0</v>
      </c>
      <c r="H5655" s="11">
        <f t="shared" si="881"/>
        <v>41.062800000000003</v>
      </c>
      <c r="I5655" s="11">
        <f t="shared" si="882"/>
        <v>0.19</v>
      </c>
      <c r="J5655" s="12">
        <f t="shared" si="883"/>
        <v>-41.062800000000003</v>
      </c>
      <c r="K5655" s="17" t="str">
        <f t="shared" si="888"/>
        <v>Ecart négatif</v>
      </c>
      <c r="L5655" s="16">
        <f>base!X5655</f>
        <v>0</v>
      </c>
      <c r="M5655" s="11">
        <f t="shared" si="884"/>
        <v>0</v>
      </c>
      <c r="N5655" s="11">
        <f t="shared" si="885"/>
        <v>0</v>
      </c>
      <c r="O5655" s="11">
        <f t="shared" si="886"/>
        <v>0</v>
      </c>
      <c r="P5655" s="12">
        <f t="shared" si="887"/>
        <v>0</v>
      </c>
      <c r="Q5655" s="17" t="str">
        <f t="shared" si="889"/>
        <v>Pas d'écart</v>
      </c>
    </row>
    <row r="5656" spans="1:18" x14ac:dyDescent="0.3">
      <c r="A5656" s="34" t="str">
        <f>base!J5656</f>
        <v>RS</v>
      </c>
      <c r="B5656" s="34" t="str">
        <f>base!V5656</f>
        <v>69120</v>
      </c>
      <c r="C5656" s="37">
        <v>69</v>
      </c>
      <c r="D5656" s="36">
        <f>base!H5656</f>
        <v>151</v>
      </c>
      <c r="E5656" s="44"/>
      <c r="F5656" s="16">
        <f>base!W5656</f>
        <v>0</v>
      </c>
      <c r="G5656" s="11">
        <f t="shared" si="880"/>
        <v>0</v>
      </c>
      <c r="H5656" s="11">
        <f t="shared" si="881"/>
        <v>40.770000000000003</v>
      </c>
      <c r="I5656" s="11">
        <f t="shared" si="882"/>
        <v>0.27</v>
      </c>
      <c r="J5656" s="12">
        <f t="shared" si="883"/>
        <v>-40.770000000000003</v>
      </c>
      <c r="K5656" s="17" t="str">
        <f t="shared" si="888"/>
        <v>Ecart négatif</v>
      </c>
      <c r="L5656" s="16">
        <f>base!X5656</f>
        <v>0</v>
      </c>
      <c r="M5656" s="11">
        <f t="shared" si="884"/>
        <v>0</v>
      </c>
      <c r="N5656" s="11">
        <f t="shared" si="885"/>
        <v>0</v>
      </c>
      <c r="O5656" s="11">
        <f t="shared" si="886"/>
        <v>0</v>
      </c>
      <c r="P5656" s="12">
        <f t="shared" si="887"/>
        <v>0</v>
      </c>
      <c r="Q5656" s="17" t="str">
        <f t="shared" si="889"/>
        <v>Pas d'écart</v>
      </c>
    </row>
    <row r="5657" spans="1:18" x14ac:dyDescent="0.3">
      <c r="A5657" s="34" t="str">
        <f>base!J5657</f>
        <v>RS</v>
      </c>
      <c r="B5657" s="34" t="str">
        <f>base!V5657</f>
        <v>24100</v>
      </c>
      <c r="C5657" s="37">
        <v>24</v>
      </c>
      <c r="D5657" s="36">
        <f>base!H5657</f>
        <v>62.6</v>
      </c>
      <c r="E5657" s="44"/>
      <c r="F5657" s="16">
        <f>base!W5657</f>
        <v>0</v>
      </c>
      <c r="G5657" s="11">
        <f t="shared" si="880"/>
        <v>0</v>
      </c>
      <c r="H5657" s="11">
        <f t="shared" si="881"/>
        <v>13.145999999999999</v>
      </c>
      <c r="I5657" s="11">
        <f t="shared" si="882"/>
        <v>0.21</v>
      </c>
      <c r="J5657" s="12">
        <f t="shared" si="883"/>
        <v>-13.145999999999999</v>
      </c>
      <c r="K5657" s="17" t="str">
        <f t="shared" si="888"/>
        <v>Ecart négatif</v>
      </c>
      <c r="L5657" s="16">
        <f>base!X5657</f>
        <v>10.64</v>
      </c>
      <c r="M5657" s="11">
        <f t="shared" si="884"/>
        <v>0.16996805111821087</v>
      </c>
      <c r="N5657" s="11">
        <f t="shared" si="885"/>
        <v>10.642000000000001</v>
      </c>
      <c r="O5657" s="11">
        <f t="shared" si="886"/>
        <v>0.17</v>
      </c>
      <c r="P5657" s="12">
        <f t="shared" si="887"/>
        <v>-2.0000000000006679E-3</v>
      </c>
      <c r="Q5657" s="17" t="str">
        <f t="shared" si="889"/>
        <v>Ecart négatif</v>
      </c>
      <c r="R5657" s="38"/>
    </row>
    <row r="5658" spans="1:18" x14ac:dyDescent="0.3">
      <c r="A5658" s="34" t="str">
        <f>base!J5658</f>
        <v>RS</v>
      </c>
      <c r="B5658" s="34" t="str">
        <f>base!V5658</f>
        <v>50000</v>
      </c>
      <c r="C5658" s="37">
        <v>50</v>
      </c>
      <c r="D5658" s="36">
        <f>base!H5658</f>
        <v>180</v>
      </c>
      <c r="E5658" s="44"/>
      <c r="F5658" s="16">
        <f>base!W5658</f>
        <v>0</v>
      </c>
      <c r="G5658" s="11">
        <f t="shared" si="880"/>
        <v>0</v>
      </c>
      <c r="H5658" s="11">
        <f t="shared" si="881"/>
        <v>30.6</v>
      </c>
      <c r="I5658" s="11">
        <f t="shared" si="882"/>
        <v>0.17</v>
      </c>
      <c r="J5658" s="12">
        <f t="shared" si="883"/>
        <v>-30.6</v>
      </c>
      <c r="K5658" s="17" t="str">
        <f t="shared" si="888"/>
        <v>Ecart négatif</v>
      </c>
      <c r="L5658" s="16">
        <f>base!X5658</f>
        <v>30.6</v>
      </c>
      <c r="M5658" s="11">
        <f t="shared" si="884"/>
        <v>0.17</v>
      </c>
      <c r="N5658" s="11">
        <f t="shared" si="885"/>
        <v>30.6</v>
      </c>
      <c r="O5658" s="11">
        <f t="shared" si="886"/>
        <v>0.17</v>
      </c>
      <c r="P5658" s="12">
        <f t="shared" si="887"/>
        <v>0</v>
      </c>
      <c r="Q5658" s="17" t="str">
        <f t="shared" si="889"/>
        <v>Pas d'écart</v>
      </c>
    </row>
    <row r="5659" spans="1:18" x14ac:dyDescent="0.3">
      <c r="A5659" s="34" t="str">
        <f>base!J5659</f>
        <v>RM</v>
      </c>
      <c r="B5659" s="34" t="str">
        <f>base!V5659</f>
        <v>60410</v>
      </c>
      <c r="C5659" s="37">
        <v>60</v>
      </c>
      <c r="D5659" s="36">
        <f>base!H5659</f>
        <v>66.3</v>
      </c>
      <c r="E5659" s="44"/>
      <c r="F5659" s="16">
        <f>base!W5659</f>
        <v>0</v>
      </c>
      <c r="G5659" s="11">
        <f t="shared" si="880"/>
        <v>0</v>
      </c>
      <c r="H5659" s="11">
        <f t="shared" si="881"/>
        <v>12.597</v>
      </c>
      <c r="I5659" s="11">
        <f t="shared" si="882"/>
        <v>0.19</v>
      </c>
      <c r="J5659" s="12">
        <f t="shared" si="883"/>
        <v>-12.597</v>
      </c>
      <c r="K5659" s="17" t="str">
        <f t="shared" si="888"/>
        <v>Ecart négatif</v>
      </c>
      <c r="L5659" s="16">
        <f>base!X5659</f>
        <v>12.6</v>
      </c>
      <c r="M5659" s="11">
        <f t="shared" si="884"/>
        <v>0.19004524886877827</v>
      </c>
      <c r="N5659" s="11">
        <f t="shared" si="885"/>
        <v>0</v>
      </c>
      <c r="O5659" s="11">
        <f t="shared" si="886"/>
        <v>0</v>
      </c>
      <c r="P5659" s="12">
        <f t="shared" si="887"/>
        <v>12.6</v>
      </c>
      <c r="Q5659" s="17" t="str">
        <f t="shared" si="889"/>
        <v>Ecart positif</v>
      </c>
      <c r="R5659" s="38"/>
    </row>
    <row r="5660" spans="1:18" x14ac:dyDescent="0.3">
      <c r="A5660" s="34" t="str">
        <f>base!J5660</f>
        <v>RM</v>
      </c>
      <c r="B5660" s="34" t="str">
        <f>base!V5660</f>
        <v>55000</v>
      </c>
      <c r="C5660" s="37">
        <v>55</v>
      </c>
      <c r="D5660" s="36">
        <f>base!H5660</f>
        <v>140</v>
      </c>
      <c r="E5660" s="44"/>
      <c r="F5660" s="16">
        <f>base!W5660</f>
        <v>0</v>
      </c>
      <c r="G5660" s="11">
        <f t="shared" si="880"/>
        <v>0</v>
      </c>
      <c r="H5660" s="11">
        <f t="shared" si="881"/>
        <v>35</v>
      </c>
      <c r="I5660" s="11">
        <f t="shared" si="882"/>
        <v>0.25</v>
      </c>
      <c r="J5660" s="12">
        <f t="shared" si="883"/>
        <v>-35</v>
      </c>
      <c r="K5660" s="17" t="str">
        <f t="shared" si="888"/>
        <v>Ecart négatif</v>
      </c>
      <c r="L5660" s="16">
        <f>base!X5660</f>
        <v>35</v>
      </c>
      <c r="M5660" s="11">
        <f t="shared" si="884"/>
        <v>0.25</v>
      </c>
      <c r="N5660" s="11">
        <f t="shared" si="885"/>
        <v>35</v>
      </c>
      <c r="O5660" s="11">
        <f t="shared" si="886"/>
        <v>0.25</v>
      </c>
      <c r="P5660" s="12">
        <f t="shared" si="887"/>
        <v>0</v>
      </c>
      <c r="Q5660" s="17" t="str">
        <f t="shared" si="889"/>
        <v>Pas d'écart</v>
      </c>
    </row>
    <row r="5661" spans="1:18" x14ac:dyDescent="0.3">
      <c r="A5661" s="34" t="str">
        <f>base!J5661</f>
        <v>RS</v>
      </c>
      <c r="B5661" s="34" t="str">
        <f>base!V5661</f>
        <v>02000</v>
      </c>
      <c r="C5661" s="37">
        <v>2</v>
      </c>
      <c r="D5661" s="36">
        <f>base!H5661</f>
        <v>70</v>
      </c>
      <c r="E5661" s="44"/>
      <c r="F5661" s="16">
        <f>base!W5661</f>
        <v>0</v>
      </c>
      <c r="G5661" s="11">
        <f t="shared" si="880"/>
        <v>0</v>
      </c>
      <c r="H5661" s="11">
        <f t="shared" si="881"/>
        <v>12.6</v>
      </c>
      <c r="I5661" s="11">
        <f t="shared" si="882"/>
        <v>0.18</v>
      </c>
      <c r="J5661" s="12">
        <f t="shared" si="883"/>
        <v>-12.6</v>
      </c>
      <c r="K5661" s="17" t="str">
        <f t="shared" si="888"/>
        <v>Ecart négatif</v>
      </c>
      <c r="L5661" s="16">
        <f>base!X5661</f>
        <v>0</v>
      </c>
      <c r="M5661" s="11">
        <f t="shared" si="884"/>
        <v>0</v>
      </c>
      <c r="N5661" s="11">
        <f t="shared" si="885"/>
        <v>0</v>
      </c>
      <c r="O5661" s="11">
        <f t="shared" si="886"/>
        <v>0</v>
      </c>
      <c r="P5661" s="12">
        <f t="shared" si="887"/>
        <v>0</v>
      </c>
      <c r="Q5661" s="17" t="str">
        <f t="shared" si="889"/>
        <v>Pas d'écart</v>
      </c>
    </row>
    <row r="5662" spans="1:18" x14ac:dyDescent="0.3">
      <c r="A5662" s="34" t="str">
        <f>base!J5662</f>
        <v>LS</v>
      </c>
      <c r="B5662" s="34" t="str">
        <f>base!V5662</f>
        <v>67200</v>
      </c>
      <c r="C5662" s="37">
        <v>69</v>
      </c>
      <c r="D5662" s="36">
        <f>base!H5662</f>
        <v>86.34</v>
      </c>
      <c r="E5662" s="44"/>
      <c r="F5662" s="16">
        <f>base!W5662</f>
        <v>25.04</v>
      </c>
      <c r="G5662" s="11">
        <f t="shared" si="880"/>
        <v>0.29001621496409541</v>
      </c>
      <c r="H5662" s="11">
        <f t="shared" si="881"/>
        <v>23.311800000000002</v>
      </c>
      <c r="I5662" s="11">
        <f t="shared" si="882"/>
        <v>0.27</v>
      </c>
      <c r="J5662" s="12">
        <f t="shared" si="883"/>
        <v>1.7281999999999975</v>
      </c>
      <c r="K5662" s="17" t="str">
        <f t="shared" si="888"/>
        <v>Ecart positif</v>
      </c>
      <c r="L5662" s="16">
        <f>base!X5662</f>
        <v>0</v>
      </c>
      <c r="M5662" s="11">
        <f t="shared" si="884"/>
        <v>0</v>
      </c>
      <c r="N5662" s="11">
        <f t="shared" si="885"/>
        <v>0</v>
      </c>
      <c r="O5662" s="11">
        <f t="shared" si="886"/>
        <v>0</v>
      </c>
      <c r="P5662" s="12">
        <f t="shared" si="887"/>
        <v>0</v>
      </c>
      <c r="Q5662" s="17" t="str">
        <f t="shared" si="889"/>
        <v>Pas d'écart</v>
      </c>
    </row>
    <row r="5663" spans="1:18" x14ac:dyDescent="0.3">
      <c r="A5663" s="34" t="str">
        <f>base!J5663</f>
        <v>RM</v>
      </c>
      <c r="B5663" s="34" t="str">
        <f>base!V5663</f>
        <v>70000</v>
      </c>
      <c r="C5663" s="37">
        <v>70</v>
      </c>
      <c r="D5663" s="36">
        <f>base!H5663</f>
        <v>25</v>
      </c>
      <c r="E5663" s="44"/>
      <c r="F5663" s="16">
        <f>base!W5663</f>
        <v>0</v>
      </c>
      <c r="G5663" s="11">
        <f t="shared" si="880"/>
        <v>0</v>
      </c>
      <c r="H5663" s="11">
        <f t="shared" si="881"/>
        <v>6</v>
      </c>
      <c r="I5663" s="11">
        <f t="shared" si="882"/>
        <v>0.24</v>
      </c>
      <c r="J5663" s="12">
        <f t="shared" si="883"/>
        <v>-6</v>
      </c>
      <c r="K5663" s="17" t="str">
        <f t="shared" si="888"/>
        <v>Ecart négatif</v>
      </c>
      <c r="L5663" s="16">
        <f>base!X5663</f>
        <v>0</v>
      </c>
      <c r="M5663" s="11">
        <f t="shared" si="884"/>
        <v>0</v>
      </c>
      <c r="N5663" s="11">
        <f t="shared" si="885"/>
        <v>3</v>
      </c>
      <c r="O5663" s="11">
        <f t="shared" si="886"/>
        <v>0.12</v>
      </c>
      <c r="P5663" s="12">
        <f t="shared" si="887"/>
        <v>-3</v>
      </c>
      <c r="Q5663" s="17" t="str">
        <f t="shared" si="889"/>
        <v>Ecart négatif</v>
      </c>
    </row>
    <row r="5664" spans="1:18" x14ac:dyDescent="0.3">
      <c r="A5664" s="34" t="str">
        <f>base!J5664</f>
        <v>RS</v>
      </c>
      <c r="B5664" s="34" t="str">
        <f>base!V5664</f>
        <v>64600</v>
      </c>
      <c r="C5664" s="37">
        <v>64</v>
      </c>
      <c r="D5664" s="36">
        <f>base!H5664</f>
        <v>40</v>
      </c>
      <c r="E5664" s="44"/>
      <c r="F5664" s="16">
        <f>base!W5664</f>
        <v>0</v>
      </c>
      <c r="G5664" s="11">
        <f t="shared" si="880"/>
        <v>0</v>
      </c>
      <c r="H5664" s="11">
        <f t="shared" si="881"/>
        <v>8.4</v>
      </c>
      <c r="I5664" s="11">
        <f t="shared" si="882"/>
        <v>0.21000000000000002</v>
      </c>
      <c r="J5664" s="12">
        <f t="shared" si="883"/>
        <v>-8.4</v>
      </c>
      <c r="K5664" s="17" t="str">
        <f t="shared" si="888"/>
        <v>Ecart négatif</v>
      </c>
      <c r="L5664" s="16">
        <f>base!X5664</f>
        <v>6.8</v>
      </c>
      <c r="M5664" s="11">
        <f t="shared" si="884"/>
        <v>0.16999999999999998</v>
      </c>
      <c r="N5664" s="11">
        <f t="shared" si="885"/>
        <v>6.8000000000000007</v>
      </c>
      <c r="O5664" s="11">
        <f t="shared" si="886"/>
        <v>0.17</v>
      </c>
      <c r="P5664" s="12">
        <f t="shared" si="887"/>
        <v>0</v>
      </c>
      <c r="Q5664" s="17" t="str">
        <f t="shared" si="889"/>
        <v>Pas d'écart</v>
      </c>
      <c r="R5664" s="38"/>
    </row>
    <row r="5665" spans="1:17" x14ac:dyDescent="0.3">
      <c r="A5665" s="34" t="str">
        <f>base!J5665</f>
        <v>RM</v>
      </c>
      <c r="B5665" s="34" t="str">
        <f>base!V5665</f>
        <v>69200</v>
      </c>
      <c r="C5665" s="37">
        <v>69</v>
      </c>
      <c r="D5665" s="36">
        <f>base!H5665</f>
        <v>35</v>
      </c>
      <c r="E5665" s="44"/>
      <c r="F5665" s="16">
        <f>base!W5665</f>
        <v>0</v>
      </c>
      <c r="G5665" s="11">
        <f t="shared" si="880"/>
        <v>0</v>
      </c>
      <c r="H5665" s="11">
        <f t="shared" si="881"/>
        <v>9.4500000000000011</v>
      </c>
      <c r="I5665" s="11">
        <f t="shared" si="882"/>
        <v>0.27</v>
      </c>
      <c r="J5665" s="12">
        <f t="shared" si="883"/>
        <v>-9.4500000000000011</v>
      </c>
      <c r="K5665" s="17" t="str">
        <f t="shared" si="888"/>
        <v>Ecart négatif</v>
      </c>
      <c r="L5665" s="16">
        <f>base!X5665</f>
        <v>0</v>
      </c>
      <c r="M5665" s="11">
        <f t="shared" si="884"/>
        <v>0</v>
      </c>
      <c r="N5665" s="11">
        <f t="shared" si="885"/>
        <v>0</v>
      </c>
      <c r="O5665" s="11">
        <f t="shared" si="886"/>
        <v>0</v>
      </c>
      <c r="P5665" s="12">
        <f t="shared" si="887"/>
        <v>0</v>
      </c>
      <c r="Q5665" s="17" t="str">
        <f t="shared" si="889"/>
        <v>Pas d'écart</v>
      </c>
    </row>
    <row r="5666" spans="1:17" x14ac:dyDescent="0.3">
      <c r="A5666" s="34" t="str">
        <f>base!J5666</f>
        <v>RM</v>
      </c>
      <c r="B5666" s="34" t="str">
        <f>base!V5666</f>
        <v>69200</v>
      </c>
      <c r="C5666" s="37">
        <v>69</v>
      </c>
      <c r="D5666" s="36">
        <f>base!H5666</f>
        <v>275</v>
      </c>
      <c r="E5666" s="44"/>
      <c r="F5666" s="16">
        <f>base!W5666</f>
        <v>0</v>
      </c>
      <c r="G5666" s="11">
        <f t="shared" si="880"/>
        <v>0</v>
      </c>
      <c r="H5666" s="11">
        <f t="shared" si="881"/>
        <v>74.25</v>
      </c>
      <c r="I5666" s="11">
        <f t="shared" si="882"/>
        <v>0.27</v>
      </c>
      <c r="J5666" s="12">
        <f t="shared" si="883"/>
        <v>-74.25</v>
      </c>
      <c r="K5666" s="17" t="str">
        <f t="shared" si="888"/>
        <v>Ecart négatif</v>
      </c>
      <c r="L5666" s="16">
        <f>base!X5666</f>
        <v>0</v>
      </c>
      <c r="M5666" s="11">
        <f t="shared" si="884"/>
        <v>0</v>
      </c>
      <c r="N5666" s="11">
        <f t="shared" si="885"/>
        <v>0</v>
      </c>
      <c r="O5666" s="11">
        <f t="shared" si="886"/>
        <v>0</v>
      </c>
      <c r="P5666" s="12">
        <f t="shared" si="887"/>
        <v>0</v>
      </c>
      <c r="Q5666" s="17" t="str">
        <f t="shared" si="889"/>
        <v>Pas d'écart</v>
      </c>
    </row>
    <row r="5667" spans="1:17" x14ac:dyDescent="0.3">
      <c r="A5667" s="34" t="str">
        <f>base!J5667</f>
        <v>RM</v>
      </c>
      <c r="B5667" s="34" t="str">
        <f>base!V5667</f>
        <v>62500</v>
      </c>
      <c r="C5667" s="37">
        <v>62</v>
      </c>
      <c r="D5667" s="36">
        <f>base!H5667</f>
        <v>180</v>
      </c>
      <c r="E5667" s="44"/>
      <c r="F5667" s="16">
        <f>base!W5667</f>
        <v>0</v>
      </c>
      <c r="G5667" s="11">
        <f t="shared" si="880"/>
        <v>0</v>
      </c>
      <c r="H5667" s="11">
        <f t="shared" si="881"/>
        <v>34.200000000000003</v>
      </c>
      <c r="I5667" s="11">
        <f t="shared" si="882"/>
        <v>0.19</v>
      </c>
      <c r="J5667" s="12">
        <f t="shared" si="883"/>
        <v>-34.200000000000003</v>
      </c>
      <c r="K5667" s="17" t="str">
        <f t="shared" si="888"/>
        <v>Ecart négatif</v>
      </c>
      <c r="L5667" s="16">
        <f>base!X5667</f>
        <v>0</v>
      </c>
      <c r="M5667" s="11">
        <f t="shared" si="884"/>
        <v>0</v>
      </c>
      <c r="N5667" s="11">
        <f t="shared" si="885"/>
        <v>0</v>
      </c>
      <c r="O5667" s="11">
        <f t="shared" si="886"/>
        <v>0</v>
      </c>
      <c r="P5667" s="12">
        <f t="shared" si="887"/>
        <v>0</v>
      </c>
      <c r="Q5667" s="17" t="str">
        <f t="shared" si="889"/>
        <v>Pas d'écart</v>
      </c>
    </row>
    <row r="5668" spans="1:17" x14ac:dyDescent="0.3">
      <c r="A5668" s="34" t="str">
        <f>base!J5668</f>
        <v>DLM</v>
      </c>
      <c r="B5668" s="34" t="str">
        <f>base!V5668</f>
        <v>69003</v>
      </c>
      <c r="C5668" s="37">
        <v>69</v>
      </c>
      <c r="D5668" s="36">
        <f>base!H5668</f>
        <v>52.5</v>
      </c>
      <c r="E5668" s="44"/>
      <c r="F5668" s="16">
        <f>base!W5668</f>
        <v>0</v>
      </c>
      <c r="G5668" s="11">
        <f t="shared" si="880"/>
        <v>0</v>
      </c>
      <c r="H5668" s="11">
        <f t="shared" si="881"/>
        <v>14.175000000000001</v>
      </c>
      <c r="I5668" s="11">
        <f t="shared" si="882"/>
        <v>0.27</v>
      </c>
      <c r="J5668" s="12">
        <f t="shared" si="883"/>
        <v>-14.175000000000001</v>
      </c>
      <c r="K5668" s="17" t="str">
        <f t="shared" si="888"/>
        <v>Ecart négatif</v>
      </c>
      <c r="L5668" s="16">
        <f>base!X5668</f>
        <v>0</v>
      </c>
      <c r="M5668" s="11">
        <f t="shared" si="884"/>
        <v>0</v>
      </c>
      <c r="N5668" s="11">
        <f t="shared" si="885"/>
        <v>0</v>
      </c>
      <c r="O5668" s="11">
        <f t="shared" si="886"/>
        <v>0</v>
      </c>
      <c r="P5668" s="12">
        <f t="shared" si="887"/>
        <v>0</v>
      </c>
      <c r="Q5668" s="17" t="str">
        <f t="shared" si="889"/>
        <v>Pas d'écart</v>
      </c>
    </row>
    <row r="5669" spans="1:17" x14ac:dyDescent="0.3">
      <c r="A5669" s="34" t="str">
        <f>base!J5669</f>
        <v>DLM</v>
      </c>
      <c r="B5669" s="34" t="str">
        <f>base!V5669</f>
        <v>33150</v>
      </c>
      <c r="C5669" s="37">
        <v>33</v>
      </c>
      <c r="D5669" s="36">
        <f>base!H5669</f>
        <v>52.5</v>
      </c>
      <c r="E5669" s="44"/>
      <c r="F5669" s="16">
        <f>base!W5669</f>
        <v>0</v>
      </c>
      <c r="G5669" s="11">
        <f t="shared" si="880"/>
        <v>0</v>
      </c>
      <c r="H5669" s="11">
        <f t="shared" si="881"/>
        <v>11.025</v>
      </c>
      <c r="I5669" s="11">
        <f t="shared" si="882"/>
        <v>0.21000000000000002</v>
      </c>
      <c r="J5669" s="12">
        <f t="shared" si="883"/>
        <v>-11.025</v>
      </c>
      <c r="K5669" s="17" t="str">
        <f t="shared" si="888"/>
        <v>Ecart négatif</v>
      </c>
      <c r="L5669" s="16">
        <f>base!X5669</f>
        <v>0</v>
      </c>
      <c r="M5669" s="11">
        <f t="shared" si="884"/>
        <v>0</v>
      </c>
      <c r="N5669" s="11">
        <f t="shared" si="885"/>
        <v>8.9250000000000007</v>
      </c>
      <c r="O5669" s="11">
        <f t="shared" si="886"/>
        <v>0.17</v>
      </c>
      <c r="P5669" s="12">
        <f t="shared" si="887"/>
        <v>-8.9250000000000007</v>
      </c>
      <c r="Q5669" s="17" t="str">
        <f t="shared" si="889"/>
        <v>Ecart négatif</v>
      </c>
    </row>
    <row r="5670" spans="1:17" x14ac:dyDescent="0.3">
      <c r="A5670" s="34" t="str">
        <f>base!J5670</f>
        <v>RM</v>
      </c>
      <c r="B5670" s="34" t="str">
        <f>base!V5670</f>
        <v>02700</v>
      </c>
      <c r="C5670" s="37">
        <v>2</v>
      </c>
      <c r="D5670" s="36">
        <f>base!H5670</f>
        <v>140</v>
      </c>
      <c r="E5670" s="44"/>
      <c r="F5670" s="16">
        <f>base!W5670</f>
        <v>0</v>
      </c>
      <c r="G5670" s="11">
        <f t="shared" si="880"/>
        <v>0</v>
      </c>
      <c r="H5670" s="11">
        <f t="shared" si="881"/>
        <v>25.2</v>
      </c>
      <c r="I5670" s="11">
        <f t="shared" si="882"/>
        <v>0.18</v>
      </c>
      <c r="J5670" s="12">
        <f t="shared" si="883"/>
        <v>-25.2</v>
      </c>
      <c r="K5670" s="17" t="str">
        <f t="shared" si="888"/>
        <v>Ecart négatif</v>
      </c>
      <c r="L5670" s="16">
        <f>base!X5670</f>
        <v>0</v>
      </c>
      <c r="M5670" s="11">
        <f t="shared" si="884"/>
        <v>0</v>
      </c>
      <c r="N5670" s="11">
        <f t="shared" si="885"/>
        <v>0</v>
      </c>
      <c r="O5670" s="11">
        <f t="shared" si="886"/>
        <v>0</v>
      </c>
      <c r="P5670" s="12">
        <f t="shared" si="887"/>
        <v>0</v>
      </c>
      <c r="Q5670" s="17" t="str">
        <f t="shared" si="889"/>
        <v>Pas d'écart</v>
      </c>
    </row>
    <row r="5671" spans="1:17" x14ac:dyDescent="0.3">
      <c r="A5671" s="34" t="str">
        <f>base!J5671</f>
        <v>LS</v>
      </c>
      <c r="B5671" s="34" t="str">
        <f>base!V5671</f>
        <v>44350</v>
      </c>
      <c r="C5671" s="37">
        <v>35</v>
      </c>
      <c r="D5671" s="36">
        <f>base!H5671</f>
        <v>563.23</v>
      </c>
      <c r="E5671" s="44"/>
      <c r="F5671" s="16">
        <f>base!W5671</f>
        <v>152.07</v>
      </c>
      <c r="G5671" s="11">
        <f t="shared" si="880"/>
        <v>0.26999627150542405</v>
      </c>
      <c r="H5671" s="11">
        <f t="shared" si="881"/>
        <v>152.07210000000001</v>
      </c>
      <c r="I5671" s="11">
        <f t="shared" si="882"/>
        <v>0.27</v>
      </c>
      <c r="J5671" s="12">
        <f t="shared" si="883"/>
        <v>-2.1000000000128694E-3</v>
      </c>
      <c r="K5671" s="17" t="str">
        <f t="shared" si="888"/>
        <v>Ecart négatif</v>
      </c>
      <c r="L5671" s="16">
        <f>base!X5671</f>
        <v>0</v>
      </c>
      <c r="M5671" s="11">
        <f t="shared" si="884"/>
        <v>0</v>
      </c>
      <c r="N5671" s="11">
        <f t="shared" si="885"/>
        <v>0</v>
      </c>
      <c r="O5671" s="11">
        <f t="shared" si="886"/>
        <v>0</v>
      </c>
      <c r="P5671" s="12">
        <f t="shared" si="887"/>
        <v>0</v>
      </c>
      <c r="Q5671" s="17" t="str">
        <f t="shared" si="889"/>
        <v>Pas d'écart</v>
      </c>
    </row>
    <row r="5672" spans="1:17" x14ac:dyDescent="0.3">
      <c r="A5672" s="34" t="str">
        <f>base!J5672</f>
        <v>LM</v>
      </c>
      <c r="B5672" s="34" t="str">
        <f>base!V5672</f>
        <v>62200</v>
      </c>
      <c r="C5672" s="37">
        <v>44</v>
      </c>
      <c r="D5672" s="36">
        <f>base!H5672</f>
        <v>32.85</v>
      </c>
      <c r="E5672" s="44"/>
      <c r="F5672" s="16">
        <f>base!W5672</f>
        <v>6.24</v>
      </c>
      <c r="G5672" s="11">
        <f t="shared" si="880"/>
        <v>0.18995433789954339</v>
      </c>
      <c r="H5672" s="11">
        <f t="shared" si="881"/>
        <v>8.8695000000000004</v>
      </c>
      <c r="I5672" s="11">
        <f t="shared" si="882"/>
        <v>0.27</v>
      </c>
      <c r="J5672" s="12">
        <f t="shared" si="883"/>
        <v>-2.6295000000000002</v>
      </c>
      <c r="K5672" s="17" t="str">
        <f t="shared" si="888"/>
        <v>Ecart négatif</v>
      </c>
      <c r="L5672" s="16">
        <f>base!X5672</f>
        <v>0</v>
      </c>
      <c r="M5672" s="11">
        <f t="shared" si="884"/>
        <v>0</v>
      </c>
      <c r="N5672" s="11">
        <f t="shared" si="885"/>
        <v>0</v>
      </c>
      <c r="O5672" s="11">
        <f t="shared" si="886"/>
        <v>0</v>
      </c>
      <c r="P5672" s="12">
        <f t="shared" si="887"/>
        <v>0</v>
      </c>
      <c r="Q5672" s="17" t="str">
        <f t="shared" si="889"/>
        <v>Pas d'écart</v>
      </c>
    </row>
    <row r="5673" spans="1:17" x14ac:dyDescent="0.3">
      <c r="A5673" s="34" t="str">
        <f>base!J5673</f>
        <v>RM</v>
      </c>
      <c r="B5673" s="34" t="str">
        <f>base!V5673</f>
        <v>61400</v>
      </c>
      <c r="C5673" s="37">
        <v>61</v>
      </c>
      <c r="D5673" s="36">
        <f>base!H5673</f>
        <v>180</v>
      </c>
      <c r="E5673" s="44"/>
      <c r="F5673" s="16">
        <f>base!W5673</f>
        <v>0</v>
      </c>
      <c r="G5673" s="11">
        <f t="shared" si="880"/>
        <v>0</v>
      </c>
      <c r="H5673" s="11">
        <f t="shared" si="881"/>
        <v>30.6</v>
      </c>
      <c r="I5673" s="11">
        <f t="shared" si="882"/>
        <v>0.17</v>
      </c>
      <c r="J5673" s="12">
        <f t="shared" si="883"/>
        <v>-30.6</v>
      </c>
      <c r="K5673" s="17" t="str">
        <f t="shared" si="888"/>
        <v>Ecart négatif</v>
      </c>
      <c r="L5673" s="16">
        <f>base!X5673</f>
        <v>30.6</v>
      </c>
      <c r="M5673" s="11">
        <f t="shared" si="884"/>
        <v>0.17</v>
      </c>
      <c r="N5673" s="11">
        <f t="shared" si="885"/>
        <v>30.6</v>
      </c>
      <c r="O5673" s="11">
        <f t="shared" si="886"/>
        <v>0.17</v>
      </c>
      <c r="P5673" s="12">
        <f t="shared" si="887"/>
        <v>0</v>
      </c>
      <c r="Q5673" s="17" t="str">
        <f t="shared" si="889"/>
        <v>Pas d'écart</v>
      </c>
    </row>
    <row r="5674" spans="1:17" x14ac:dyDescent="0.3">
      <c r="A5674" s="34" t="str">
        <f>base!J5674</f>
        <v>RM</v>
      </c>
      <c r="B5674" s="34" t="str">
        <f>base!V5674</f>
        <v>77170</v>
      </c>
      <c r="C5674" s="37">
        <v>77</v>
      </c>
      <c r="D5674" s="36">
        <f>base!H5674</f>
        <v>151</v>
      </c>
      <c r="E5674" s="44"/>
      <c r="F5674" s="16">
        <f>base!W5674</f>
        <v>0</v>
      </c>
      <c r="G5674" s="11">
        <f t="shared" si="880"/>
        <v>0</v>
      </c>
      <c r="H5674" s="11">
        <f t="shared" si="881"/>
        <v>0</v>
      </c>
      <c r="I5674" s="11">
        <f t="shared" si="882"/>
        <v>0</v>
      </c>
      <c r="J5674" s="12">
        <f t="shared" si="883"/>
        <v>0</v>
      </c>
      <c r="K5674" s="17" t="str">
        <f t="shared" si="888"/>
        <v>Pas d'écart</v>
      </c>
      <c r="L5674" s="16">
        <f>base!X5674</f>
        <v>0</v>
      </c>
      <c r="M5674" s="11">
        <f t="shared" si="884"/>
        <v>0</v>
      </c>
      <c r="N5674" s="11">
        <f t="shared" si="885"/>
        <v>0</v>
      </c>
      <c r="O5674" s="11">
        <f t="shared" si="886"/>
        <v>0</v>
      </c>
      <c r="P5674" s="12">
        <f t="shared" si="887"/>
        <v>0</v>
      </c>
      <c r="Q5674" s="17" t="str">
        <f t="shared" si="889"/>
        <v>Pas d'écart</v>
      </c>
    </row>
    <row r="5675" spans="1:17" x14ac:dyDescent="0.3">
      <c r="A5675" s="34" t="str">
        <f>base!J5675</f>
        <v>LS</v>
      </c>
      <c r="B5675" s="34" t="str">
        <f>base!V5675</f>
        <v>29690</v>
      </c>
      <c r="C5675" s="37">
        <v>69</v>
      </c>
      <c r="D5675" s="36">
        <f>base!H5675</f>
        <v>33.450000000000003</v>
      </c>
      <c r="E5675" s="44"/>
      <c r="F5675" s="16">
        <f>base!W5675</f>
        <v>13.05</v>
      </c>
      <c r="G5675" s="11">
        <f t="shared" si="880"/>
        <v>0.39013452914798202</v>
      </c>
      <c r="H5675" s="11">
        <f t="shared" si="881"/>
        <v>9.0315000000000012</v>
      </c>
      <c r="I5675" s="11">
        <f t="shared" si="882"/>
        <v>0.27</v>
      </c>
      <c r="J5675" s="12">
        <f t="shared" si="883"/>
        <v>4.0184999999999995</v>
      </c>
      <c r="K5675" s="17" t="str">
        <f t="shared" si="888"/>
        <v>Ecart positif</v>
      </c>
      <c r="L5675" s="16">
        <f>base!X5675</f>
        <v>0</v>
      </c>
      <c r="M5675" s="11">
        <f t="shared" si="884"/>
        <v>0</v>
      </c>
      <c r="N5675" s="11">
        <f t="shared" si="885"/>
        <v>0</v>
      </c>
      <c r="O5675" s="11">
        <f t="shared" si="886"/>
        <v>0</v>
      </c>
      <c r="P5675" s="12">
        <f t="shared" si="887"/>
        <v>0</v>
      </c>
      <c r="Q5675" s="17" t="str">
        <f t="shared" si="889"/>
        <v>Pas d'écart</v>
      </c>
    </row>
    <row r="5676" spans="1:17" x14ac:dyDescent="0.3">
      <c r="A5676" s="34" t="str">
        <f>base!J5676</f>
        <v>LM</v>
      </c>
      <c r="B5676" s="34" t="str">
        <f>base!V5676</f>
        <v>38300</v>
      </c>
      <c r="C5676" s="37">
        <v>35</v>
      </c>
      <c r="D5676" s="36">
        <f>base!H5676</f>
        <v>19.649999999999999</v>
      </c>
      <c r="E5676" s="44"/>
      <c r="F5676" s="16">
        <f>base!W5676</f>
        <v>5.31</v>
      </c>
      <c r="G5676" s="11">
        <f t="shared" si="880"/>
        <v>0.27022900763358776</v>
      </c>
      <c r="H5676" s="11">
        <f t="shared" si="881"/>
        <v>5.3055000000000003</v>
      </c>
      <c r="I5676" s="11">
        <f t="shared" si="882"/>
        <v>0.27</v>
      </c>
      <c r="J5676" s="12">
        <f t="shared" si="883"/>
        <v>4.4999999999992824E-3</v>
      </c>
      <c r="K5676" s="17" t="str">
        <f t="shared" si="888"/>
        <v>Ecart positif</v>
      </c>
      <c r="L5676" s="16">
        <f>base!X5676</f>
        <v>0</v>
      </c>
      <c r="M5676" s="11">
        <f t="shared" si="884"/>
        <v>0</v>
      </c>
      <c r="N5676" s="11">
        <f t="shared" si="885"/>
        <v>0</v>
      </c>
      <c r="O5676" s="11">
        <f t="shared" si="886"/>
        <v>0</v>
      </c>
      <c r="P5676" s="12">
        <f t="shared" si="887"/>
        <v>0</v>
      </c>
      <c r="Q5676" s="17" t="str">
        <f t="shared" si="889"/>
        <v>Pas d'écart</v>
      </c>
    </row>
    <row r="5677" spans="1:17" x14ac:dyDescent="0.3">
      <c r="A5677" s="34" t="str">
        <f>base!J5677</f>
        <v>RS</v>
      </c>
      <c r="B5677" s="34" t="str">
        <f>base!V5677</f>
        <v>84850</v>
      </c>
      <c r="C5677" s="37">
        <v>84</v>
      </c>
      <c r="D5677" s="36">
        <f>base!H5677</f>
        <v>193.58</v>
      </c>
      <c r="E5677" s="44"/>
      <c r="F5677" s="16">
        <f>base!W5677</f>
        <v>0</v>
      </c>
      <c r="G5677" s="11">
        <f t="shared" si="880"/>
        <v>0</v>
      </c>
      <c r="H5677" s="11">
        <f t="shared" si="881"/>
        <v>56.138199999999998</v>
      </c>
      <c r="I5677" s="11">
        <f t="shared" si="882"/>
        <v>0.28999999999999998</v>
      </c>
      <c r="J5677" s="12">
        <f t="shared" si="883"/>
        <v>-56.138199999999998</v>
      </c>
      <c r="K5677" s="17" t="str">
        <f t="shared" si="888"/>
        <v>Ecart négatif</v>
      </c>
      <c r="L5677" s="16">
        <f>base!X5677</f>
        <v>0</v>
      </c>
      <c r="M5677" s="11">
        <f t="shared" si="884"/>
        <v>0</v>
      </c>
      <c r="N5677" s="11">
        <f t="shared" si="885"/>
        <v>36.780200000000001</v>
      </c>
      <c r="O5677" s="11">
        <f t="shared" si="886"/>
        <v>0.19</v>
      </c>
      <c r="P5677" s="12">
        <f t="shared" si="887"/>
        <v>-36.780200000000001</v>
      </c>
      <c r="Q5677" s="17" t="str">
        <f t="shared" si="889"/>
        <v>Ecart négatif</v>
      </c>
    </row>
    <row r="5678" spans="1:17" x14ac:dyDescent="0.3">
      <c r="A5678" s="34" t="str">
        <f>base!J5678</f>
        <v>DLM</v>
      </c>
      <c r="B5678" s="34" t="str">
        <f>base!V5678</f>
        <v>38300</v>
      </c>
      <c r="C5678" s="37">
        <v>38</v>
      </c>
      <c r="D5678" s="36">
        <f>base!H5678</f>
        <v>23.4</v>
      </c>
      <c r="E5678" s="44"/>
      <c r="F5678" s="16">
        <f>base!W5678</f>
        <v>0</v>
      </c>
      <c r="G5678" s="11">
        <f t="shared" si="880"/>
        <v>0</v>
      </c>
      <c r="H5678" s="11">
        <f t="shared" si="881"/>
        <v>6.3179999999999996</v>
      </c>
      <c r="I5678" s="11">
        <f t="shared" si="882"/>
        <v>0.27</v>
      </c>
      <c r="J5678" s="12">
        <f t="shared" si="883"/>
        <v>-6.3179999999999996</v>
      </c>
      <c r="K5678" s="17" t="str">
        <f t="shared" si="888"/>
        <v>Ecart négatif</v>
      </c>
      <c r="L5678" s="16">
        <f>base!X5678</f>
        <v>0</v>
      </c>
      <c r="M5678" s="11">
        <f t="shared" si="884"/>
        <v>0</v>
      </c>
      <c r="N5678" s="11">
        <f t="shared" si="885"/>
        <v>0</v>
      </c>
      <c r="O5678" s="11">
        <f t="shared" si="886"/>
        <v>0</v>
      </c>
      <c r="P5678" s="12">
        <f t="shared" si="887"/>
        <v>0</v>
      </c>
      <c r="Q5678" s="17" t="str">
        <f t="shared" si="889"/>
        <v>Pas d'écart</v>
      </c>
    </row>
    <row r="5679" spans="1:17" x14ac:dyDescent="0.3">
      <c r="A5679" s="34" t="str">
        <f>base!J5679</f>
        <v>DRM</v>
      </c>
      <c r="B5679" s="34" t="str">
        <f>base!V5679</f>
        <v>51100</v>
      </c>
      <c r="C5679" s="37">
        <v>51</v>
      </c>
      <c r="D5679" s="36">
        <f>base!H5679</f>
        <v>80</v>
      </c>
      <c r="E5679" s="44"/>
      <c r="F5679" s="16">
        <f>base!W5679</f>
        <v>0</v>
      </c>
      <c r="G5679" s="11">
        <f t="shared" si="880"/>
        <v>0</v>
      </c>
      <c r="H5679" s="11">
        <f t="shared" si="881"/>
        <v>20</v>
      </c>
      <c r="I5679" s="11">
        <f t="shared" si="882"/>
        <v>0.25</v>
      </c>
      <c r="J5679" s="12">
        <f t="shared" si="883"/>
        <v>-20</v>
      </c>
      <c r="K5679" s="17" t="str">
        <f t="shared" si="888"/>
        <v>Ecart négatif</v>
      </c>
      <c r="L5679" s="16">
        <f>base!X5679</f>
        <v>0</v>
      </c>
      <c r="M5679" s="11">
        <f t="shared" si="884"/>
        <v>0</v>
      </c>
      <c r="N5679" s="11">
        <f t="shared" si="885"/>
        <v>20</v>
      </c>
      <c r="O5679" s="11">
        <f t="shared" si="886"/>
        <v>0.25</v>
      </c>
      <c r="P5679" s="12">
        <f t="shared" si="887"/>
        <v>-20</v>
      </c>
      <c r="Q5679" s="17" t="str">
        <f t="shared" si="889"/>
        <v>Ecart négatif</v>
      </c>
    </row>
    <row r="5680" spans="1:17" x14ac:dyDescent="0.3">
      <c r="A5680" s="34" t="str">
        <f>base!J5680</f>
        <v>DLM</v>
      </c>
      <c r="B5680" s="34" t="str">
        <f>base!V5680</f>
        <v>67500</v>
      </c>
      <c r="C5680" s="37">
        <v>67</v>
      </c>
      <c r="D5680" s="36">
        <f>base!H5680</f>
        <v>151</v>
      </c>
      <c r="E5680" s="44"/>
      <c r="F5680" s="16">
        <f>base!W5680</f>
        <v>0</v>
      </c>
      <c r="G5680" s="11">
        <f t="shared" si="880"/>
        <v>0</v>
      </c>
      <c r="H5680" s="11">
        <f t="shared" si="881"/>
        <v>43.79</v>
      </c>
      <c r="I5680" s="11">
        <f t="shared" si="882"/>
        <v>0.28999999999999998</v>
      </c>
      <c r="J5680" s="12">
        <f t="shared" si="883"/>
        <v>-43.79</v>
      </c>
      <c r="K5680" s="17" t="str">
        <f t="shared" si="888"/>
        <v>Ecart négatif</v>
      </c>
      <c r="L5680" s="16">
        <f>base!X5680</f>
        <v>0</v>
      </c>
      <c r="M5680" s="11">
        <f t="shared" si="884"/>
        <v>0</v>
      </c>
      <c r="N5680" s="11">
        <f t="shared" si="885"/>
        <v>12.08</v>
      </c>
      <c r="O5680" s="11">
        <f t="shared" si="886"/>
        <v>0.08</v>
      </c>
      <c r="P5680" s="12">
        <f t="shared" si="887"/>
        <v>-12.08</v>
      </c>
      <c r="Q5680" s="17" t="str">
        <f t="shared" si="889"/>
        <v>Ecart négatif</v>
      </c>
    </row>
    <row r="5681" spans="1:18" x14ac:dyDescent="0.3">
      <c r="A5681" s="34" t="str">
        <f>base!J5681</f>
        <v>DLM</v>
      </c>
      <c r="B5681" s="34" t="str">
        <f>base!V5681</f>
        <v>54230</v>
      </c>
      <c r="C5681" s="37">
        <v>54</v>
      </c>
      <c r="D5681" s="36">
        <f>base!H5681</f>
        <v>151</v>
      </c>
      <c r="E5681" s="44"/>
      <c r="F5681" s="16">
        <f>base!W5681</f>
        <v>37.75</v>
      </c>
      <c r="G5681" s="11">
        <f t="shared" si="880"/>
        <v>0.25</v>
      </c>
      <c r="H5681" s="11">
        <f t="shared" si="881"/>
        <v>37.75</v>
      </c>
      <c r="I5681" s="11">
        <f t="shared" si="882"/>
        <v>0.25</v>
      </c>
      <c r="J5681" s="12">
        <f t="shared" si="883"/>
        <v>0</v>
      </c>
      <c r="K5681" s="17" t="str">
        <f t="shared" si="888"/>
        <v>Pas d'écart</v>
      </c>
      <c r="L5681" s="16">
        <f>base!X5681</f>
        <v>0</v>
      </c>
      <c r="M5681" s="11">
        <f t="shared" si="884"/>
        <v>0</v>
      </c>
      <c r="N5681" s="11">
        <f t="shared" si="885"/>
        <v>37.75</v>
      </c>
      <c r="O5681" s="11">
        <f t="shared" si="886"/>
        <v>0.25</v>
      </c>
      <c r="P5681" s="12">
        <f t="shared" si="887"/>
        <v>-37.75</v>
      </c>
      <c r="Q5681" s="17" t="str">
        <f t="shared" si="889"/>
        <v>Ecart négatif</v>
      </c>
    </row>
    <row r="5682" spans="1:18" x14ac:dyDescent="0.3">
      <c r="A5682" s="34" t="str">
        <f>base!J5682</f>
        <v>LM</v>
      </c>
      <c r="B5682" s="34" t="str">
        <f>base!V5682</f>
        <v>16380</v>
      </c>
      <c r="C5682" s="37">
        <v>69</v>
      </c>
      <c r="D5682" s="36">
        <f>base!H5682</f>
        <v>184.19</v>
      </c>
      <c r="E5682" s="44"/>
      <c r="F5682" s="16">
        <f>base!W5682</f>
        <v>38.68</v>
      </c>
      <c r="G5682" s="11">
        <f t="shared" si="880"/>
        <v>0.21000054291763939</v>
      </c>
      <c r="H5682" s="11">
        <f t="shared" si="881"/>
        <v>49.731300000000005</v>
      </c>
      <c r="I5682" s="11">
        <f t="shared" si="882"/>
        <v>0.27</v>
      </c>
      <c r="J5682" s="12">
        <f t="shared" si="883"/>
        <v>-11.051300000000005</v>
      </c>
      <c r="K5682" s="17" t="str">
        <f t="shared" si="888"/>
        <v>Ecart négatif</v>
      </c>
      <c r="L5682" s="16">
        <f>base!X5682</f>
        <v>0</v>
      </c>
      <c r="M5682" s="11">
        <f t="shared" si="884"/>
        <v>0</v>
      </c>
      <c r="N5682" s="11">
        <f t="shared" si="885"/>
        <v>0</v>
      </c>
      <c r="O5682" s="11">
        <f t="shared" si="886"/>
        <v>0</v>
      </c>
      <c r="P5682" s="12">
        <f t="shared" si="887"/>
        <v>0</v>
      </c>
      <c r="Q5682" s="17" t="str">
        <f t="shared" si="889"/>
        <v>Pas d'écart</v>
      </c>
    </row>
    <row r="5683" spans="1:18" x14ac:dyDescent="0.3">
      <c r="A5683" s="34" t="str">
        <f>base!J5683</f>
        <v>RS</v>
      </c>
      <c r="B5683" s="34" t="str">
        <f>base!V5683</f>
        <v>75006</v>
      </c>
      <c r="C5683" s="37">
        <v>75</v>
      </c>
      <c r="D5683" s="36">
        <f>base!H5683</f>
        <v>140</v>
      </c>
      <c r="E5683" s="44"/>
      <c r="F5683" s="16">
        <f>base!W5683</f>
        <v>0</v>
      </c>
      <c r="G5683" s="11">
        <f t="shared" si="880"/>
        <v>0</v>
      </c>
      <c r="H5683" s="11">
        <f t="shared" si="881"/>
        <v>0</v>
      </c>
      <c r="I5683" s="11">
        <f t="shared" si="882"/>
        <v>0</v>
      </c>
      <c r="J5683" s="12">
        <f t="shared" si="883"/>
        <v>0</v>
      </c>
      <c r="K5683" s="17" t="str">
        <f t="shared" si="888"/>
        <v>Pas d'écart</v>
      </c>
      <c r="L5683" s="16">
        <f>base!X5683</f>
        <v>0</v>
      </c>
      <c r="M5683" s="11">
        <f t="shared" si="884"/>
        <v>0</v>
      </c>
      <c r="N5683" s="11">
        <f t="shared" si="885"/>
        <v>0</v>
      </c>
      <c r="O5683" s="11">
        <f t="shared" si="886"/>
        <v>0</v>
      </c>
      <c r="P5683" s="12">
        <f t="shared" si="887"/>
        <v>0</v>
      </c>
      <c r="Q5683" s="17" t="str">
        <f t="shared" si="889"/>
        <v>Pas d'écart</v>
      </c>
    </row>
    <row r="5684" spans="1:18" x14ac:dyDescent="0.3">
      <c r="A5684" s="34" t="str">
        <f>base!J5684</f>
        <v>RM</v>
      </c>
      <c r="B5684" s="34" t="str">
        <f>base!V5684</f>
        <v>92400</v>
      </c>
      <c r="C5684" s="37">
        <v>92</v>
      </c>
      <c r="D5684" s="36">
        <f>base!H5684</f>
        <v>29.59</v>
      </c>
      <c r="E5684" s="44"/>
      <c r="F5684" s="16">
        <f>base!W5684</f>
        <v>0</v>
      </c>
      <c r="G5684" s="11">
        <f t="shared" si="880"/>
        <v>0</v>
      </c>
      <c r="H5684" s="11">
        <f t="shared" si="881"/>
        <v>0</v>
      </c>
      <c r="I5684" s="11">
        <f t="shared" si="882"/>
        <v>0</v>
      </c>
      <c r="J5684" s="12">
        <f t="shared" si="883"/>
        <v>0</v>
      </c>
      <c r="K5684" s="17" t="str">
        <f t="shared" si="888"/>
        <v>Pas d'écart</v>
      </c>
      <c r="L5684" s="16">
        <f>base!X5684</f>
        <v>0</v>
      </c>
      <c r="M5684" s="11">
        <f t="shared" si="884"/>
        <v>0</v>
      </c>
      <c r="N5684" s="11">
        <f t="shared" si="885"/>
        <v>0</v>
      </c>
      <c r="O5684" s="11">
        <f t="shared" si="886"/>
        <v>0</v>
      </c>
      <c r="P5684" s="12">
        <f t="shared" si="887"/>
        <v>0</v>
      </c>
      <c r="Q5684" s="17" t="str">
        <f t="shared" si="889"/>
        <v>Pas d'écart</v>
      </c>
    </row>
    <row r="5685" spans="1:18" x14ac:dyDescent="0.3">
      <c r="A5685" s="34" t="str">
        <f>base!J5685</f>
        <v>DRM</v>
      </c>
      <c r="B5685" s="34" t="str">
        <f>base!V5685</f>
        <v>57000</v>
      </c>
      <c r="C5685" s="37">
        <v>57</v>
      </c>
      <c r="D5685" s="36">
        <f>base!H5685</f>
        <v>32</v>
      </c>
      <c r="E5685" s="44"/>
      <c r="F5685" s="16">
        <f>base!W5685</f>
        <v>0</v>
      </c>
      <c r="G5685" s="11">
        <f t="shared" si="880"/>
        <v>0</v>
      </c>
      <c r="H5685" s="11">
        <f t="shared" si="881"/>
        <v>7.68</v>
      </c>
      <c r="I5685" s="11">
        <f t="shared" si="882"/>
        <v>0.24</v>
      </c>
      <c r="J5685" s="12">
        <f t="shared" si="883"/>
        <v>-7.68</v>
      </c>
      <c r="K5685" s="17" t="str">
        <f t="shared" si="888"/>
        <v>Ecart négatif</v>
      </c>
      <c r="L5685" s="16">
        <f>base!X5685</f>
        <v>0</v>
      </c>
      <c r="M5685" s="11">
        <f t="shared" si="884"/>
        <v>0</v>
      </c>
      <c r="N5685" s="11">
        <f t="shared" si="885"/>
        <v>8</v>
      </c>
      <c r="O5685" s="11">
        <f t="shared" si="886"/>
        <v>0.25</v>
      </c>
      <c r="P5685" s="12">
        <f t="shared" si="887"/>
        <v>-8</v>
      </c>
      <c r="Q5685" s="17" t="str">
        <f t="shared" si="889"/>
        <v>Ecart négatif</v>
      </c>
    </row>
    <row r="5686" spans="1:18" x14ac:dyDescent="0.3">
      <c r="A5686" s="34" t="str">
        <f>base!J5686</f>
        <v>RS</v>
      </c>
      <c r="B5686" s="34" t="str">
        <f>base!V5686</f>
        <v>94800</v>
      </c>
      <c r="C5686" s="37">
        <v>94</v>
      </c>
      <c r="D5686" s="36">
        <f>base!H5686</f>
        <v>40</v>
      </c>
      <c r="E5686" s="44"/>
      <c r="F5686" s="16">
        <f>base!W5686</f>
        <v>0</v>
      </c>
      <c r="G5686" s="11">
        <f t="shared" si="880"/>
        <v>0</v>
      </c>
      <c r="H5686" s="11">
        <f t="shared" si="881"/>
        <v>0</v>
      </c>
      <c r="I5686" s="11">
        <f t="shared" si="882"/>
        <v>0</v>
      </c>
      <c r="J5686" s="12">
        <f t="shared" si="883"/>
        <v>0</v>
      </c>
      <c r="K5686" s="17" t="str">
        <f t="shared" si="888"/>
        <v>Pas d'écart</v>
      </c>
      <c r="L5686" s="16">
        <f>base!X5686</f>
        <v>0</v>
      </c>
      <c r="M5686" s="11">
        <f t="shared" si="884"/>
        <v>0</v>
      </c>
      <c r="N5686" s="11">
        <f t="shared" si="885"/>
        <v>0</v>
      </c>
      <c r="O5686" s="11">
        <f t="shared" si="886"/>
        <v>0</v>
      </c>
      <c r="P5686" s="12">
        <f t="shared" si="887"/>
        <v>0</v>
      </c>
      <c r="Q5686" s="17" t="str">
        <f t="shared" si="889"/>
        <v>Pas d'écart</v>
      </c>
    </row>
    <row r="5687" spans="1:18" x14ac:dyDescent="0.3">
      <c r="A5687" s="34" t="str">
        <f>base!J5687</f>
        <v>RM</v>
      </c>
      <c r="B5687" s="34" t="str">
        <f>base!V5687</f>
        <v>06560</v>
      </c>
      <c r="C5687" s="37">
        <v>6</v>
      </c>
      <c r="D5687" s="36">
        <f>base!H5687</f>
        <v>151</v>
      </c>
      <c r="E5687" s="44"/>
      <c r="F5687" s="16">
        <f>base!W5687</f>
        <v>0</v>
      </c>
      <c r="G5687" s="11">
        <f t="shared" si="880"/>
        <v>0</v>
      </c>
      <c r="H5687" s="11">
        <f t="shared" si="881"/>
        <v>45.3</v>
      </c>
      <c r="I5687" s="11">
        <f t="shared" si="882"/>
        <v>0.3</v>
      </c>
      <c r="J5687" s="12">
        <f t="shared" si="883"/>
        <v>-45.3</v>
      </c>
      <c r="K5687" s="17" t="str">
        <f t="shared" si="888"/>
        <v>Ecart négatif</v>
      </c>
      <c r="L5687" s="16">
        <f>base!X5687</f>
        <v>0</v>
      </c>
      <c r="M5687" s="11">
        <f t="shared" si="884"/>
        <v>0</v>
      </c>
      <c r="N5687" s="11">
        <f t="shared" si="885"/>
        <v>31.709999999999997</v>
      </c>
      <c r="O5687" s="11">
        <f t="shared" si="886"/>
        <v>0.21</v>
      </c>
      <c r="P5687" s="12">
        <f t="shared" si="887"/>
        <v>-31.709999999999997</v>
      </c>
      <c r="Q5687" s="17" t="str">
        <f t="shared" si="889"/>
        <v>Ecart négatif</v>
      </c>
    </row>
    <row r="5688" spans="1:18" x14ac:dyDescent="0.3">
      <c r="A5688" s="34" t="str">
        <f>base!J5688</f>
        <v>RS</v>
      </c>
      <c r="B5688" s="34" t="str">
        <f>base!V5688</f>
        <v>63760</v>
      </c>
      <c r="C5688" s="37">
        <v>63</v>
      </c>
      <c r="D5688" s="36">
        <f>base!H5688</f>
        <v>140</v>
      </c>
      <c r="E5688" s="44"/>
      <c r="F5688" s="16">
        <f>base!W5688</f>
        <v>0</v>
      </c>
      <c r="G5688" s="11">
        <f t="shared" si="880"/>
        <v>0</v>
      </c>
      <c r="H5688" s="11">
        <f t="shared" si="881"/>
        <v>40.599999999999994</v>
      </c>
      <c r="I5688" s="11">
        <f t="shared" si="882"/>
        <v>0.28999999999999998</v>
      </c>
      <c r="J5688" s="12">
        <f t="shared" si="883"/>
        <v>-40.599999999999994</v>
      </c>
      <c r="K5688" s="17" t="str">
        <f t="shared" si="888"/>
        <v>Ecart négatif</v>
      </c>
      <c r="L5688" s="16">
        <f>base!X5688</f>
        <v>16.8</v>
      </c>
      <c r="M5688" s="11">
        <f t="shared" si="884"/>
        <v>0.12000000000000001</v>
      </c>
      <c r="N5688" s="11">
        <f t="shared" si="885"/>
        <v>16.8</v>
      </c>
      <c r="O5688" s="11">
        <f t="shared" si="886"/>
        <v>0.12000000000000001</v>
      </c>
      <c r="P5688" s="12">
        <f t="shared" si="887"/>
        <v>0</v>
      </c>
      <c r="Q5688" s="17" t="str">
        <f t="shared" si="889"/>
        <v>Pas d'écart</v>
      </c>
      <c r="R5688" s="38"/>
    </row>
    <row r="5689" spans="1:18" x14ac:dyDescent="0.3">
      <c r="A5689" s="34" t="str">
        <f>base!J5689</f>
        <v>RM</v>
      </c>
      <c r="B5689" s="34" t="str">
        <f>base!V5689</f>
        <v>75014</v>
      </c>
      <c r="C5689" s="37">
        <v>75</v>
      </c>
      <c r="D5689" s="36">
        <f>base!H5689</f>
        <v>195.25</v>
      </c>
      <c r="E5689" s="44"/>
      <c r="F5689" s="16">
        <f>base!W5689</f>
        <v>0</v>
      </c>
      <c r="G5689" s="11">
        <f t="shared" si="880"/>
        <v>0</v>
      </c>
      <c r="H5689" s="11">
        <f t="shared" si="881"/>
        <v>0</v>
      </c>
      <c r="I5689" s="11">
        <f t="shared" si="882"/>
        <v>0</v>
      </c>
      <c r="J5689" s="12">
        <f t="shared" si="883"/>
        <v>0</v>
      </c>
      <c r="K5689" s="17" t="str">
        <f t="shared" si="888"/>
        <v>Pas d'écart</v>
      </c>
      <c r="L5689" s="16">
        <f>base!X5689</f>
        <v>0</v>
      </c>
      <c r="M5689" s="11">
        <f t="shared" si="884"/>
        <v>0</v>
      </c>
      <c r="N5689" s="11">
        <f t="shared" si="885"/>
        <v>0</v>
      </c>
      <c r="O5689" s="11">
        <f t="shared" si="886"/>
        <v>0</v>
      </c>
      <c r="P5689" s="12">
        <f t="shared" si="887"/>
        <v>0</v>
      </c>
      <c r="Q5689" s="17" t="str">
        <f t="shared" si="889"/>
        <v>Pas d'écart</v>
      </c>
    </row>
    <row r="5690" spans="1:18" x14ac:dyDescent="0.3">
      <c r="A5690" s="34" t="str">
        <f>base!J5690</f>
        <v>RM</v>
      </c>
      <c r="B5690" s="34" t="str">
        <f>base!V5690</f>
        <v>75014</v>
      </c>
      <c r="C5690" s="37">
        <v>75</v>
      </c>
      <c r="D5690" s="36">
        <f>base!H5690</f>
        <v>58.2</v>
      </c>
      <c r="E5690" s="44"/>
      <c r="F5690" s="16">
        <f>base!W5690</f>
        <v>0</v>
      </c>
      <c r="G5690" s="11">
        <f t="shared" si="880"/>
        <v>0</v>
      </c>
      <c r="H5690" s="11">
        <f t="shared" si="881"/>
        <v>0</v>
      </c>
      <c r="I5690" s="11">
        <f t="shared" si="882"/>
        <v>0</v>
      </c>
      <c r="J5690" s="12">
        <f t="shared" si="883"/>
        <v>0</v>
      </c>
      <c r="K5690" s="17" t="str">
        <f t="shared" si="888"/>
        <v>Pas d'écart</v>
      </c>
      <c r="L5690" s="16">
        <f>base!X5690</f>
        <v>0</v>
      </c>
      <c r="M5690" s="11">
        <f t="shared" si="884"/>
        <v>0</v>
      </c>
      <c r="N5690" s="11">
        <f t="shared" si="885"/>
        <v>0</v>
      </c>
      <c r="O5690" s="11">
        <f t="shared" si="886"/>
        <v>0</v>
      </c>
      <c r="P5690" s="12">
        <f t="shared" si="887"/>
        <v>0</v>
      </c>
      <c r="Q5690" s="17" t="str">
        <f t="shared" si="889"/>
        <v>Pas d'écart</v>
      </c>
    </row>
    <row r="5691" spans="1:18" x14ac:dyDescent="0.3">
      <c r="A5691" s="34" t="str">
        <f>base!J5691</f>
        <v>RM</v>
      </c>
      <c r="B5691" s="34" t="str">
        <f>base!V5691</f>
        <v>75016</v>
      </c>
      <c r="C5691" s="37">
        <v>75</v>
      </c>
      <c r="D5691" s="36">
        <f>base!H5691</f>
        <v>119</v>
      </c>
      <c r="E5691" s="44"/>
      <c r="F5691" s="16">
        <f>base!W5691</f>
        <v>0</v>
      </c>
      <c r="G5691" s="11">
        <f t="shared" si="880"/>
        <v>0</v>
      </c>
      <c r="H5691" s="11">
        <f t="shared" si="881"/>
        <v>0</v>
      </c>
      <c r="I5691" s="11">
        <f t="shared" si="882"/>
        <v>0</v>
      </c>
      <c r="J5691" s="12">
        <f t="shared" si="883"/>
        <v>0</v>
      </c>
      <c r="K5691" s="17" t="str">
        <f t="shared" si="888"/>
        <v>Pas d'écart</v>
      </c>
      <c r="L5691" s="16">
        <f>base!X5691</f>
        <v>0</v>
      </c>
      <c r="M5691" s="11">
        <f t="shared" si="884"/>
        <v>0</v>
      </c>
      <c r="N5691" s="11">
        <f t="shared" si="885"/>
        <v>0</v>
      </c>
      <c r="O5691" s="11">
        <f t="shared" si="886"/>
        <v>0</v>
      </c>
      <c r="P5691" s="12">
        <f t="shared" si="887"/>
        <v>0</v>
      </c>
      <c r="Q5691" s="17" t="str">
        <f t="shared" si="889"/>
        <v>Pas d'écart</v>
      </c>
    </row>
    <row r="5692" spans="1:18" x14ac:dyDescent="0.3">
      <c r="A5692" s="34" t="str">
        <f>base!J5692</f>
        <v>LM</v>
      </c>
      <c r="B5692" s="34" t="str">
        <f>base!V5692</f>
        <v>72000</v>
      </c>
      <c r="C5692" s="37">
        <v>56</v>
      </c>
      <c r="D5692" s="36">
        <f>base!H5692</f>
        <v>134.57</v>
      </c>
      <c r="E5692" s="44"/>
      <c r="F5692" s="16">
        <f>base!W5692</f>
        <v>28.26</v>
      </c>
      <c r="G5692" s="11">
        <f t="shared" si="880"/>
        <v>0.21000222932302892</v>
      </c>
      <c r="H5692" s="11">
        <f t="shared" si="881"/>
        <v>36.3339</v>
      </c>
      <c r="I5692" s="11">
        <f t="shared" si="882"/>
        <v>0.27</v>
      </c>
      <c r="J5692" s="12">
        <f t="shared" si="883"/>
        <v>-8.0738999999999983</v>
      </c>
      <c r="K5692" s="17" t="str">
        <f t="shared" si="888"/>
        <v>Ecart négatif</v>
      </c>
      <c r="L5692" s="16">
        <f>base!X5692</f>
        <v>0</v>
      </c>
      <c r="M5692" s="11">
        <f t="shared" si="884"/>
        <v>0</v>
      </c>
      <c r="N5692" s="11">
        <f t="shared" si="885"/>
        <v>0</v>
      </c>
      <c r="O5692" s="11">
        <f t="shared" si="886"/>
        <v>0</v>
      </c>
      <c r="P5692" s="12">
        <f t="shared" si="887"/>
        <v>0</v>
      </c>
      <c r="Q5692" s="17" t="str">
        <f t="shared" si="889"/>
        <v>Pas d'écart</v>
      </c>
    </row>
    <row r="5693" spans="1:18" x14ac:dyDescent="0.3">
      <c r="A5693" s="34" t="str">
        <f>base!J5693</f>
        <v>RM</v>
      </c>
      <c r="B5693" s="34" t="str">
        <f>base!V5693</f>
        <v>06730</v>
      </c>
      <c r="C5693" s="37">
        <v>6</v>
      </c>
      <c r="D5693" s="36">
        <f>base!H5693</f>
        <v>29.59</v>
      </c>
      <c r="E5693" s="44"/>
      <c r="F5693" s="16">
        <f>base!W5693</f>
        <v>0</v>
      </c>
      <c r="G5693" s="11">
        <f t="shared" si="880"/>
        <v>0</v>
      </c>
      <c r="H5693" s="11">
        <f t="shared" si="881"/>
        <v>8.8769999999999989</v>
      </c>
      <c r="I5693" s="11">
        <f t="shared" si="882"/>
        <v>0.3</v>
      </c>
      <c r="J5693" s="12">
        <f t="shared" si="883"/>
        <v>-8.8769999999999989</v>
      </c>
      <c r="K5693" s="17" t="str">
        <f t="shared" si="888"/>
        <v>Ecart négatif</v>
      </c>
      <c r="L5693" s="16">
        <f>base!X5693</f>
        <v>0</v>
      </c>
      <c r="M5693" s="11">
        <f t="shared" si="884"/>
        <v>0</v>
      </c>
      <c r="N5693" s="11">
        <f t="shared" si="885"/>
        <v>6.2138999999999998</v>
      </c>
      <c r="O5693" s="11">
        <f t="shared" si="886"/>
        <v>0.21</v>
      </c>
      <c r="P5693" s="12">
        <f t="shared" si="887"/>
        <v>-6.2138999999999998</v>
      </c>
      <c r="Q5693" s="17" t="str">
        <f t="shared" si="889"/>
        <v>Ecart négatif</v>
      </c>
    </row>
    <row r="5694" spans="1:18" x14ac:dyDescent="0.3">
      <c r="A5694" s="34" t="str">
        <f>base!J5694</f>
        <v>DRS</v>
      </c>
      <c r="B5694" s="34" t="str">
        <f>base!V5694</f>
        <v>92500</v>
      </c>
      <c r="C5694" s="37">
        <v>92</v>
      </c>
      <c r="D5694" s="36">
        <f>base!H5694</f>
        <v>140</v>
      </c>
      <c r="E5694" s="44"/>
      <c r="F5694" s="16">
        <f>base!W5694</f>
        <v>0</v>
      </c>
      <c r="G5694" s="11">
        <f t="shared" si="880"/>
        <v>0</v>
      </c>
      <c r="H5694" s="11">
        <f t="shared" si="881"/>
        <v>0</v>
      </c>
      <c r="I5694" s="11">
        <f t="shared" si="882"/>
        <v>0</v>
      </c>
      <c r="J5694" s="12">
        <f t="shared" si="883"/>
        <v>0</v>
      </c>
      <c r="K5694" s="17" t="str">
        <f t="shared" si="888"/>
        <v>Pas d'écart</v>
      </c>
      <c r="L5694" s="16">
        <f>base!X5694</f>
        <v>0</v>
      </c>
      <c r="M5694" s="11">
        <f t="shared" si="884"/>
        <v>0</v>
      </c>
      <c r="N5694" s="11">
        <f t="shared" si="885"/>
        <v>0</v>
      </c>
      <c r="O5694" s="11">
        <f t="shared" si="886"/>
        <v>0</v>
      </c>
      <c r="P5694" s="12">
        <f t="shared" si="887"/>
        <v>0</v>
      </c>
      <c r="Q5694" s="17" t="str">
        <f t="shared" si="889"/>
        <v>Pas d'écart</v>
      </c>
    </row>
    <row r="5695" spans="1:18" x14ac:dyDescent="0.3">
      <c r="A5695" s="34" t="str">
        <f>base!J5695</f>
        <v>LS</v>
      </c>
      <c r="B5695" s="34" t="str">
        <f>base!V5695</f>
        <v>79260</v>
      </c>
      <c r="C5695" s="37">
        <v>35</v>
      </c>
      <c r="D5695" s="36">
        <f>base!H5695</f>
        <v>399.54</v>
      </c>
      <c r="E5695" s="44"/>
      <c r="F5695" s="16">
        <f>base!W5695</f>
        <v>83.9</v>
      </c>
      <c r="G5695" s="11">
        <f t="shared" si="880"/>
        <v>0.2099914902137458</v>
      </c>
      <c r="H5695" s="11">
        <f t="shared" si="881"/>
        <v>107.87580000000001</v>
      </c>
      <c r="I5695" s="11">
        <f t="shared" si="882"/>
        <v>0.27</v>
      </c>
      <c r="J5695" s="12">
        <f t="shared" si="883"/>
        <v>-23.975800000000007</v>
      </c>
      <c r="K5695" s="17" t="str">
        <f t="shared" si="888"/>
        <v>Ecart négatif</v>
      </c>
      <c r="L5695" s="16">
        <f>base!X5695</f>
        <v>0</v>
      </c>
      <c r="M5695" s="11">
        <f t="shared" si="884"/>
        <v>0</v>
      </c>
      <c r="N5695" s="11">
        <f t="shared" si="885"/>
        <v>0</v>
      </c>
      <c r="O5695" s="11">
        <f t="shared" si="886"/>
        <v>0</v>
      </c>
      <c r="P5695" s="12">
        <f t="shared" si="887"/>
        <v>0</v>
      </c>
      <c r="Q5695" s="17" t="str">
        <f t="shared" si="889"/>
        <v>Pas d'écart</v>
      </c>
    </row>
    <row r="5696" spans="1:18" x14ac:dyDescent="0.3">
      <c r="A5696" s="34">
        <f>base!J5696</f>
        <v>0</v>
      </c>
      <c r="B5696" s="34" t="str">
        <f>base!V5696</f>
        <v>77184</v>
      </c>
      <c r="C5696" s="37">
        <v>77</v>
      </c>
      <c r="D5696" s="36">
        <f>base!H5696</f>
        <v>84.5</v>
      </c>
      <c r="E5696" s="44"/>
      <c r="F5696" s="16">
        <f>base!W5696</f>
        <v>0</v>
      </c>
      <c r="G5696" s="11">
        <f t="shared" si="880"/>
        <v>0</v>
      </c>
      <c r="H5696" s="11">
        <f t="shared" si="881"/>
        <v>0</v>
      </c>
      <c r="I5696" s="11">
        <f t="shared" si="882"/>
        <v>0</v>
      </c>
      <c r="J5696" s="12">
        <f t="shared" si="883"/>
        <v>0</v>
      </c>
      <c r="K5696" s="17" t="str">
        <f t="shared" si="888"/>
        <v>Pas d'écart</v>
      </c>
      <c r="L5696" s="16">
        <f>base!X5696</f>
        <v>0</v>
      </c>
      <c r="M5696" s="11">
        <f t="shared" si="884"/>
        <v>0</v>
      </c>
      <c r="N5696" s="11">
        <f t="shared" si="885"/>
        <v>0</v>
      </c>
      <c r="O5696" s="11">
        <f t="shared" si="886"/>
        <v>0</v>
      </c>
      <c r="P5696" s="12">
        <f t="shared" si="887"/>
        <v>0</v>
      </c>
      <c r="Q5696" s="17" t="str">
        <f t="shared" si="889"/>
        <v>Pas d'écart</v>
      </c>
    </row>
    <row r="5697" spans="1:18" x14ac:dyDescent="0.3">
      <c r="A5697" s="34" t="str">
        <f>base!J5697</f>
        <v>LM</v>
      </c>
      <c r="B5697" s="34" t="str">
        <f>base!V5697</f>
        <v>75009</v>
      </c>
      <c r="C5697" s="37">
        <v>75</v>
      </c>
      <c r="D5697" s="36">
        <f>base!H5697</f>
        <v>174.26</v>
      </c>
      <c r="E5697" s="44"/>
      <c r="F5697" s="16">
        <f>base!W5697</f>
        <v>0</v>
      </c>
      <c r="G5697" s="11">
        <f t="shared" si="880"/>
        <v>0</v>
      </c>
      <c r="H5697" s="11">
        <f t="shared" si="881"/>
        <v>0</v>
      </c>
      <c r="I5697" s="11">
        <f t="shared" si="882"/>
        <v>0</v>
      </c>
      <c r="J5697" s="12">
        <f t="shared" si="883"/>
        <v>0</v>
      </c>
      <c r="K5697" s="17" t="str">
        <f t="shared" si="888"/>
        <v>Pas d'écart</v>
      </c>
      <c r="L5697" s="16">
        <f>base!X5697</f>
        <v>0</v>
      </c>
      <c r="M5697" s="11">
        <f t="shared" si="884"/>
        <v>0</v>
      </c>
      <c r="N5697" s="11">
        <f t="shared" si="885"/>
        <v>0</v>
      </c>
      <c r="O5697" s="11">
        <f t="shared" si="886"/>
        <v>0</v>
      </c>
      <c r="P5697" s="12">
        <f t="shared" si="887"/>
        <v>0</v>
      </c>
      <c r="Q5697" s="17" t="str">
        <f t="shared" si="889"/>
        <v>Pas d'écart</v>
      </c>
    </row>
    <row r="5698" spans="1:18" x14ac:dyDescent="0.3">
      <c r="A5698" s="34" t="str">
        <f>base!J5698</f>
        <v>LM</v>
      </c>
      <c r="B5698" s="34" t="str">
        <f>base!V5698</f>
        <v>75008</v>
      </c>
      <c r="C5698" s="37">
        <v>75</v>
      </c>
      <c r="D5698" s="36">
        <f>base!H5698</f>
        <v>174.26</v>
      </c>
      <c r="E5698" s="44"/>
      <c r="F5698" s="16">
        <f>base!W5698</f>
        <v>0</v>
      </c>
      <c r="G5698" s="11">
        <f t="shared" ref="G5698:G5761" si="890">F5698/D5698</f>
        <v>0</v>
      </c>
      <c r="H5698" s="11">
        <f t="shared" ref="H5698:H5761" si="891">VLOOKUP(C5698,tout_cout_traction,2,FALSE)*D5698</f>
        <v>0</v>
      </c>
      <c r="I5698" s="11">
        <f t="shared" ref="I5698:I5761" si="892">H5698/D5698</f>
        <v>0</v>
      </c>
      <c r="J5698" s="12">
        <f t="shared" ref="J5698:J5761" si="893">F5698-H5698</f>
        <v>0</v>
      </c>
      <c r="K5698" s="17" t="str">
        <f t="shared" si="888"/>
        <v>Pas d'écart</v>
      </c>
      <c r="L5698" s="16">
        <f>base!X5698</f>
        <v>0</v>
      </c>
      <c r="M5698" s="11">
        <f t="shared" ref="M5698:M5761" si="894">L5698/D5698</f>
        <v>0</v>
      </c>
      <c r="N5698" s="11">
        <f t="shared" ref="N5698:N5761" si="895">VLOOKUP(C5698,tout_cout_traction,3,FALSE)*D5698</f>
        <v>0</v>
      </c>
      <c r="O5698" s="11">
        <f t="shared" ref="O5698:O5761" si="896">N5698/D5698</f>
        <v>0</v>
      </c>
      <c r="P5698" s="12">
        <f t="shared" ref="P5698:P5761" si="897">L5698-N5698</f>
        <v>0</v>
      </c>
      <c r="Q5698" s="17" t="str">
        <f t="shared" si="889"/>
        <v>Pas d'écart</v>
      </c>
    </row>
    <row r="5699" spans="1:18" x14ac:dyDescent="0.3">
      <c r="A5699" s="34" t="str">
        <f>base!J5699</f>
        <v>LM</v>
      </c>
      <c r="B5699" s="34" t="str">
        <f>base!V5699</f>
        <v>13790</v>
      </c>
      <c r="C5699" s="37">
        <v>35</v>
      </c>
      <c r="D5699" s="36">
        <f>base!H5699</f>
        <v>870</v>
      </c>
      <c r="E5699" s="44"/>
      <c r="F5699" s="16">
        <f>base!W5699</f>
        <v>635.1</v>
      </c>
      <c r="G5699" s="11">
        <f t="shared" si="890"/>
        <v>0.73</v>
      </c>
      <c r="H5699" s="11">
        <f t="shared" si="891"/>
        <v>234.9</v>
      </c>
      <c r="I5699" s="11">
        <f t="shared" si="892"/>
        <v>0.27</v>
      </c>
      <c r="J5699" s="12">
        <f t="shared" si="893"/>
        <v>400.20000000000005</v>
      </c>
      <c r="K5699" s="17" t="str">
        <f t="shared" ref="K5699:K5762" si="898">IF(H5699=F5699,"Pas d'écart",IF(H5699&lt;F5699,"Ecart positif",IF(H5699&gt;F5699,"Ecart négatif")))</f>
        <v>Ecart positif</v>
      </c>
      <c r="L5699" s="16">
        <f>base!X5699</f>
        <v>0</v>
      </c>
      <c r="M5699" s="11">
        <f t="shared" si="894"/>
        <v>0</v>
      </c>
      <c r="N5699" s="11">
        <f t="shared" si="895"/>
        <v>0</v>
      </c>
      <c r="O5699" s="11">
        <f t="shared" si="896"/>
        <v>0</v>
      </c>
      <c r="P5699" s="12">
        <f t="shared" si="897"/>
        <v>0</v>
      </c>
      <c r="Q5699" s="17" t="str">
        <f t="shared" ref="Q5699:Q5762" si="899">IF(N5699=L5699,"Pas d'écart",IF(N5699&lt;L5699,"Ecart positif",IF(N5699&gt;L5699,"Ecart négatif")))</f>
        <v>Pas d'écart</v>
      </c>
    </row>
    <row r="5700" spans="1:18" x14ac:dyDescent="0.3">
      <c r="A5700" s="34" t="str">
        <f>base!J5700</f>
        <v>LS</v>
      </c>
      <c r="B5700" s="34" t="str">
        <f>base!V5700</f>
        <v>54950</v>
      </c>
      <c r="C5700" s="37">
        <v>69</v>
      </c>
      <c r="D5700" s="36">
        <f>base!H5700</f>
        <v>220.98</v>
      </c>
      <c r="E5700" s="44"/>
      <c r="F5700" s="16">
        <f>base!W5700</f>
        <v>55.25</v>
      </c>
      <c r="G5700" s="11">
        <f t="shared" si="890"/>
        <v>0.2500226264820346</v>
      </c>
      <c r="H5700" s="11">
        <f t="shared" si="891"/>
        <v>59.6646</v>
      </c>
      <c r="I5700" s="11">
        <f t="shared" si="892"/>
        <v>0.27</v>
      </c>
      <c r="J5700" s="12">
        <f t="shared" si="893"/>
        <v>-4.4146000000000001</v>
      </c>
      <c r="K5700" s="17" t="str">
        <f t="shared" si="898"/>
        <v>Ecart négatif</v>
      </c>
      <c r="L5700" s="16">
        <f>base!X5700</f>
        <v>0</v>
      </c>
      <c r="M5700" s="11">
        <f t="shared" si="894"/>
        <v>0</v>
      </c>
      <c r="N5700" s="11">
        <f t="shared" si="895"/>
        <v>0</v>
      </c>
      <c r="O5700" s="11">
        <f t="shared" si="896"/>
        <v>0</v>
      </c>
      <c r="P5700" s="12">
        <f t="shared" si="897"/>
        <v>0</v>
      </c>
      <c r="Q5700" s="17" t="str">
        <f t="shared" si="899"/>
        <v>Pas d'écart</v>
      </c>
    </row>
    <row r="5701" spans="1:18" x14ac:dyDescent="0.3">
      <c r="A5701" s="34" t="str">
        <f>base!J5701</f>
        <v>LM</v>
      </c>
      <c r="B5701" s="34" t="str">
        <f>base!V5701</f>
        <v>42160</v>
      </c>
      <c r="C5701" s="37">
        <v>44</v>
      </c>
      <c r="D5701" s="36">
        <f>base!H5701</f>
        <v>154.03</v>
      </c>
      <c r="E5701" s="44"/>
      <c r="F5701" s="16">
        <f>base!W5701</f>
        <v>41.59</v>
      </c>
      <c r="G5701" s="11">
        <f t="shared" si="890"/>
        <v>0.27001233525936508</v>
      </c>
      <c r="H5701" s="11">
        <f t="shared" si="891"/>
        <v>41.588100000000004</v>
      </c>
      <c r="I5701" s="11">
        <f t="shared" si="892"/>
        <v>0.27</v>
      </c>
      <c r="J5701" s="12">
        <f t="shared" si="893"/>
        <v>1.8999999999991246E-3</v>
      </c>
      <c r="K5701" s="17" t="str">
        <f t="shared" si="898"/>
        <v>Ecart positif</v>
      </c>
      <c r="L5701" s="16">
        <f>base!X5701</f>
        <v>0</v>
      </c>
      <c r="M5701" s="11">
        <f t="shared" si="894"/>
        <v>0</v>
      </c>
      <c r="N5701" s="11">
        <f t="shared" si="895"/>
        <v>0</v>
      </c>
      <c r="O5701" s="11">
        <f t="shared" si="896"/>
        <v>0</v>
      </c>
      <c r="P5701" s="12">
        <f t="shared" si="897"/>
        <v>0</v>
      </c>
      <c r="Q5701" s="17" t="str">
        <f t="shared" si="899"/>
        <v>Pas d'écart</v>
      </c>
    </row>
    <row r="5702" spans="1:18" x14ac:dyDescent="0.3">
      <c r="A5702" s="34" t="str">
        <f>base!J5702</f>
        <v>RS</v>
      </c>
      <c r="B5702" s="34" t="str">
        <f>base!V5702</f>
        <v>21850</v>
      </c>
      <c r="C5702" s="37">
        <v>21</v>
      </c>
      <c r="D5702" s="36">
        <f>base!H5702</f>
        <v>435.96</v>
      </c>
      <c r="E5702" s="44"/>
      <c r="F5702" s="16">
        <f>base!W5702</f>
        <v>0</v>
      </c>
      <c r="G5702" s="11">
        <f t="shared" si="890"/>
        <v>0</v>
      </c>
      <c r="H5702" s="11">
        <f t="shared" si="891"/>
        <v>104.63039999999999</v>
      </c>
      <c r="I5702" s="11">
        <f t="shared" si="892"/>
        <v>0.24</v>
      </c>
      <c r="J5702" s="12">
        <f t="shared" si="893"/>
        <v>-104.63039999999999</v>
      </c>
      <c r="K5702" s="17" t="str">
        <f t="shared" si="898"/>
        <v>Ecart négatif</v>
      </c>
      <c r="L5702" s="16">
        <f>base!X5702</f>
        <v>52.32</v>
      </c>
      <c r="M5702" s="11">
        <f t="shared" si="894"/>
        <v>0.12001101018442059</v>
      </c>
      <c r="N5702" s="11">
        <f t="shared" si="895"/>
        <v>52.315199999999997</v>
      </c>
      <c r="O5702" s="11">
        <f t="shared" si="896"/>
        <v>0.12</v>
      </c>
      <c r="P5702" s="12">
        <f t="shared" si="897"/>
        <v>4.8000000000030241E-3</v>
      </c>
      <c r="Q5702" s="17" t="str">
        <f t="shared" si="899"/>
        <v>Ecart positif</v>
      </c>
      <c r="R5702" s="38"/>
    </row>
    <row r="5703" spans="1:18" x14ac:dyDescent="0.3">
      <c r="A5703" s="34" t="str">
        <f>base!J5703</f>
        <v>LM</v>
      </c>
      <c r="B5703" s="34" t="str">
        <f>base!V5703</f>
        <v>60950</v>
      </c>
      <c r="C5703" s="37">
        <v>67</v>
      </c>
      <c r="D5703" s="36">
        <f>base!H5703</f>
        <v>171.28</v>
      </c>
      <c r="E5703" s="44"/>
      <c r="F5703" s="16">
        <f>base!W5703</f>
        <v>32.54</v>
      </c>
      <c r="G5703" s="11">
        <f t="shared" si="890"/>
        <v>0.18998131714152264</v>
      </c>
      <c r="H5703" s="11">
        <f t="shared" si="891"/>
        <v>49.671199999999999</v>
      </c>
      <c r="I5703" s="11">
        <f t="shared" si="892"/>
        <v>0.28999999999999998</v>
      </c>
      <c r="J5703" s="12">
        <f t="shared" si="893"/>
        <v>-17.1312</v>
      </c>
      <c r="K5703" s="17" t="str">
        <f t="shared" si="898"/>
        <v>Ecart négatif</v>
      </c>
      <c r="L5703" s="16">
        <f>base!X5703</f>
        <v>0</v>
      </c>
      <c r="M5703" s="11">
        <f t="shared" si="894"/>
        <v>0</v>
      </c>
      <c r="N5703" s="11">
        <f t="shared" si="895"/>
        <v>13.702400000000001</v>
      </c>
      <c r="O5703" s="11">
        <f t="shared" si="896"/>
        <v>0.08</v>
      </c>
      <c r="P5703" s="12">
        <f t="shared" si="897"/>
        <v>-13.702400000000001</v>
      </c>
      <c r="Q5703" s="17" t="str">
        <f t="shared" si="899"/>
        <v>Ecart négatif</v>
      </c>
    </row>
    <row r="5704" spans="1:18" x14ac:dyDescent="0.3">
      <c r="A5704" s="34" t="str">
        <f>base!J5704</f>
        <v>LM</v>
      </c>
      <c r="B5704" s="34" t="str">
        <f>base!V5704</f>
        <v>26000</v>
      </c>
      <c r="C5704" s="37">
        <v>3</v>
      </c>
      <c r="D5704" s="36">
        <f>base!H5704</f>
        <v>55.16</v>
      </c>
      <c r="E5704" s="44"/>
      <c r="F5704" s="16">
        <f>base!W5704</f>
        <v>14.89</v>
      </c>
      <c r="G5704" s="11">
        <f t="shared" si="890"/>
        <v>0.26994198694706312</v>
      </c>
      <c r="H5704" s="11">
        <f t="shared" si="891"/>
        <v>15.996399999999998</v>
      </c>
      <c r="I5704" s="11">
        <f t="shared" si="892"/>
        <v>0.28999999999999998</v>
      </c>
      <c r="J5704" s="12">
        <f t="shared" si="893"/>
        <v>-1.1063999999999972</v>
      </c>
      <c r="K5704" s="17" t="str">
        <f t="shared" si="898"/>
        <v>Ecart négatif</v>
      </c>
      <c r="L5704" s="16">
        <f>base!X5704</f>
        <v>0</v>
      </c>
      <c r="M5704" s="11">
        <f t="shared" si="894"/>
        <v>0</v>
      </c>
      <c r="N5704" s="11">
        <f t="shared" si="895"/>
        <v>6.6191999999999993</v>
      </c>
      <c r="O5704" s="11">
        <f t="shared" si="896"/>
        <v>0.12</v>
      </c>
      <c r="P5704" s="12">
        <f t="shared" si="897"/>
        <v>-6.6191999999999993</v>
      </c>
      <c r="Q5704" s="17" t="str">
        <f t="shared" si="899"/>
        <v>Ecart négatif</v>
      </c>
    </row>
    <row r="5705" spans="1:18" x14ac:dyDescent="0.3">
      <c r="A5705" s="34" t="str">
        <f>base!J5705</f>
        <v>LM</v>
      </c>
      <c r="B5705" s="34" t="str">
        <f>base!V5705</f>
        <v>73200</v>
      </c>
      <c r="C5705" s="37">
        <v>67</v>
      </c>
      <c r="D5705" s="36">
        <f>base!H5705</f>
        <v>55.16</v>
      </c>
      <c r="E5705" s="44"/>
      <c r="F5705" s="16">
        <f>base!W5705</f>
        <v>14.89</v>
      </c>
      <c r="G5705" s="11">
        <f t="shared" si="890"/>
        <v>0.26994198694706312</v>
      </c>
      <c r="H5705" s="11">
        <f t="shared" si="891"/>
        <v>15.996399999999998</v>
      </c>
      <c r="I5705" s="11">
        <f t="shared" si="892"/>
        <v>0.28999999999999998</v>
      </c>
      <c r="J5705" s="12">
        <f t="shared" si="893"/>
        <v>-1.1063999999999972</v>
      </c>
      <c r="K5705" s="17" t="str">
        <f t="shared" si="898"/>
        <v>Ecart négatif</v>
      </c>
      <c r="L5705" s="16">
        <f>base!X5705</f>
        <v>0</v>
      </c>
      <c r="M5705" s="11">
        <f t="shared" si="894"/>
        <v>0</v>
      </c>
      <c r="N5705" s="11">
        <f t="shared" si="895"/>
        <v>4.4127999999999998</v>
      </c>
      <c r="O5705" s="11">
        <f t="shared" si="896"/>
        <v>0.08</v>
      </c>
      <c r="P5705" s="12">
        <f t="shared" si="897"/>
        <v>-4.4127999999999998</v>
      </c>
      <c r="Q5705" s="17" t="str">
        <f t="shared" si="899"/>
        <v>Ecart négatif</v>
      </c>
    </row>
    <row r="5706" spans="1:18" x14ac:dyDescent="0.3">
      <c r="A5706" s="34" t="str">
        <f>base!J5706</f>
        <v>LM</v>
      </c>
      <c r="B5706" s="34" t="str">
        <f>base!V5706</f>
        <v>14200</v>
      </c>
      <c r="C5706" s="37">
        <v>69</v>
      </c>
      <c r="D5706" s="36">
        <f>base!H5706</f>
        <v>20.23</v>
      </c>
      <c r="E5706" s="44"/>
      <c r="F5706" s="16">
        <f>base!W5706</f>
        <v>3.44</v>
      </c>
      <c r="G5706" s="11">
        <f t="shared" si="890"/>
        <v>0.17004448838358871</v>
      </c>
      <c r="H5706" s="11">
        <f t="shared" si="891"/>
        <v>5.4621000000000004</v>
      </c>
      <c r="I5706" s="11">
        <f t="shared" si="892"/>
        <v>0.27</v>
      </c>
      <c r="J5706" s="12">
        <f t="shared" si="893"/>
        <v>-2.0221000000000005</v>
      </c>
      <c r="K5706" s="17" t="str">
        <f t="shared" si="898"/>
        <v>Ecart négatif</v>
      </c>
      <c r="L5706" s="16">
        <f>base!X5706</f>
        <v>0</v>
      </c>
      <c r="M5706" s="11">
        <f t="shared" si="894"/>
        <v>0</v>
      </c>
      <c r="N5706" s="11">
        <f t="shared" si="895"/>
        <v>0</v>
      </c>
      <c r="O5706" s="11">
        <f t="shared" si="896"/>
        <v>0</v>
      </c>
      <c r="P5706" s="12">
        <f t="shared" si="897"/>
        <v>0</v>
      </c>
      <c r="Q5706" s="17" t="str">
        <f t="shared" si="899"/>
        <v>Pas d'écart</v>
      </c>
    </row>
    <row r="5707" spans="1:18" x14ac:dyDescent="0.3">
      <c r="A5707" s="34" t="str">
        <f>base!J5707</f>
        <v>LM</v>
      </c>
      <c r="B5707" s="34" t="str">
        <f>base!V5707</f>
        <v>56920</v>
      </c>
      <c r="C5707" s="37">
        <v>69</v>
      </c>
      <c r="D5707" s="36">
        <f>base!H5707</f>
        <v>49.08</v>
      </c>
      <c r="E5707" s="44"/>
      <c r="F5707" s="16">
        <f>base!W5707</f>
        <v>13.25</v>
      </c>
      <c r="G5707" s="11">
        <f t="shared" si="890"/>
        <v>0.26996740016299919</v>
      </c>
      <c r="H5707" s="11">
        <f t="shared" si="891"/>
        <v>13.2516</v>
      </c>
      <c r="I5707" s="11">
        <f t="shared" si="892"/>
        <v>0.27</v>
      </c>
      <c r="J5707" s="12">
        <f t="shared" si="893"/>
        <v>-1.5999999999998238E-3</v>
      </c>
      <c r="K5707" s="17" t="str">
        <f t="shared" si="898"/>
        <v>Ecart négatif</v>
      </c>
      <c r="L5707" s="16">
        <f>base!X5707</f>
        <v>0</v>
      </c>
      <c r="M5707" s="11">
        <f t="shared" si="894"/>
        <v>0</v>
      </c>
      <c r="N5707" s="11">
        <f t="shared" si="895"/>
        <v>0</v>
      </c>
      <c r="O5707" s="11">
        <f t="shared" si="896"/>
        <v>0</v>
      </c>
      <c r="P5707" s="12">
        <f t="shared" si="897"/>
        <v>0</v>
      </c>
      <c r="Q5707" s="17" t="str">
        <f t="shared" si="899"/>
        <v>Pas d'écart</v>
      </c>
    </row>
    <row r="5708" spans="1:18" x14ac:dyDescent="0.3">
      <c r="A5708" s="34" t="str">
        <f>base!J5708</f>
        <v>LM</v>
      </c>
      <c r="B5708" s="34" t="str">
        <f>base!V5708</f>
        <v>56920</v>
      </c>
      <c r="C5708" s="37">
        <v>85</v>
      </c>
      <c r="D5708" s="36">
        <f>base!H5708</f>
        <v>49.08</v>
      </c>
      <c r="E5708" s="44"/>
      <c r="F5708" s="16">
        <f>base!W5708</f>
        <v>13.25</v>
      </c>
      <c r="G5708" s="11">
        <f t="shared" si="890"/>
        <v>0.26996740016299919</v>
      </c>
      <c r="H5708" s="11">
        <f t="shared" si="891"/>
        <v>13.2516</v>
      </c>
      <c r="I5708" s="11">
        <f t="shared" si="892"/>
        <v>0.27</v>
      </c>
      <c r="J5708" s="12">
        <f t="shared" si="893"/>
        <v>-1.5999999999998238E-3</v>
      </c>
      <c r="K5708" s="17" t="str">
        <f t="shared" si="898"/>
        <v>Ecart négatif</v>
      </c>
      <c r="L5708" s="16">
        <f>base!X5708</f>
        <v>0</v>
      </c>
      <c r="M5708" s="11">
        <f t="shared" si="894"/>
        <v>0</v>
      </c>
      <c r="N5708" s="11">
        <f t="shared" si="895"/>
        <v>0</v>
      </c>
      <c r="O5708" s="11">
        <f t="shared" si="896"/>
        <v>0</v>
      </c>
      <c r="P5708" s="12">
        <f t="shared" si="897"/>
        <v>0</v>
      </c>
      <c r="Q5708" s="17" t="str">
        <f t="shared" si="899"/>
        <v>Pas d'écart</v>
      </c>
    </row>
    <row r="5709" spans="1:18" x14ac:dyDescent="0.3">
      <c r="A5709" s="34" t="str">
        <f>base!J5709</f>
        <v>LM</v>
      </c>
      <c r="B5709" s="34" t="str">
        <f>base!V5709</f>
        <v>56920</v>
      </c>
      <c r="C5709" s="37">
        <v>69</v>
      </c>
      <c r="D5709" s="36">
        <f>base!H5709</f>
        <v>49.08</v>
      </c>
      <c r="E5709" s="44"/>
      <c r="F5709" s="16">
        <f>base!W5709</f>
        <v>13.25</v>
      </c>
      <c r="G5709" s="11">
        <f t="shared" si="890"/>
        <v>0.26996740016299919</v>
      </c>
      <c r="H5709" s="11">
        <f t="shared" si="891"/>
        <v>13.2516</v>
      </c>
      <c r="I5709" s="11">
        <f t="shared" si="892"/>
        <v>0.27</v>
      </c>
      <c r="J5709" s="12">
        <f t="shared" si="893"/>
        <v>-1.5999999999998238E-3</v>
      </c>
      <c r="K5709" s="17" t="str">
        <f t="shared" si="898"/>
        <v>Ecart négatif</v>
      </c>
      <c r="L5709" s="16">
        <f>base!X5709</f>
        <v>0</v>
      </c>
      <c r="M5709" s="11">
        <f t="shared" si="894"/>
        <v>0</v>
      </c>
      <c r="N5709" s="11">
        <f t="shared" si="895"/>
        <v>0</v>
      </c>
      <c r="O5709" s="11">
        <f t="shared" si="896"/>
        <v>0</v>
      </c>
      <c r="P5709" s="12">
        <f t="shared" si="897"/>
        <v>0</v>
      </c>
      <c r="Q5709" s="17" t="str">
        <f t="shared" si="899"/>
        <v>Pas d'écart</v>
      </c>
    </row>
    <row r="5710" spans="1:18" x14ac:dyDescent="0.3">
      <c r="A5710" s="34" t="str">
        <f>base!J5710</f>
        <v>RM</v>
      </c>
      <c r="B5710" s="34" t="str">
        <f>base!V5710</f>
        <v>84000</v>
      </c>
      <c r="C5710" s="37">
        <v>84</v>
      </c>
      <c r="D5710" s="36">
        <f>base!H5710</f>
        <v>193.58</v>
      </c>
      <c r="E5710" s="44"/>
      <c r="F5710" s="16">
        <f>base!W5710</f>
        <v>0</v>
      </c>
      <c r="G5710" s="11">
        <f t="shared" si="890"/>
        <v>0</v>
      </c>
      <c r="H5710" s="11">
        <f t="shared" si="891"/>
        <v>56.138199999999998</v>
      </c>
      <c r="I5710" s="11">
        <f t="shared" si="892"/>
        <v>0.28999999999999998</v>
      </c>
      <c r="J5710" s="12">
        <f t="shared" si="893"/>
        <v>-56.138199999999998</v>
      </c>
      <c r="K5710" s="17" t="str">
        <f t="shared" si="898"/>
        <v>Ecart négatif</v>
      </c>
      <c r="L5710" s="16">
        <f>base!X5710</f>
        <v>36.78</v>
      </c>
      <c r="M5710" s="11">
        <f t="shared" si="894"/>
        <v>0.18999896683541687</v>
      </c>
      <c r="N5710" s="11">
        <f t="shared" si="895"/>
        <v>36.780200000000001</v>
      </c>
      <c r="O5710" s="11">
        <f t="shared" si="896"/>
        <v>0.19</v>
      </c>
      <c r="P5710" s="12">
        <f t="shared" si="897"/>
        <v>-1.9999999999953388E-4</v>
      </c>
      <c r="Q5710" s="17" t="str">
        <f t="shared" si="899"/>
        <v>Ecart négatif</v>
      </c>
      <c r="R5710" s="38"/>
    </row>
    <row r="5711" spans="1:18" x14ac:dyDescent="0.3">
      <c r="A5711" s="34" t="str">
        <f>base!J5711</f>
        <v>RM</v>
      </c>
      <c r="B5711" s="34" t="str">
        <f>base!V5711</f>
        <v>75013</v>
      </c>
      <c r="C5711" s="37">
        <v>75</v>
      </c>
      <c r="D5711" s="36">
        <f>base!H5711</f>
        <v>34.24</v>
      </c>
      <c r="E5711" s="44"/>
      <c r="F5711" s="16">
        <f>base!W5711</f>
        <v>0</v>
      </c>
      <c r="G5711" s="11">
        <f t="shared" si="890"/>
        <v>0</v>
      </c>
      <c r="H5711" s="11">
        <f t="shared" si="891"/>
        <v>0</v>
      </c>
      <c r="I5711" s="11">
        <f t="shared" si="892"/>
        <v>0</v>
      </c>
      <c r="J5711" s="12">
        <f t="shared" si="893"/>
        <v>0</v>
      </c>
      <c r="K5711" s="17" t="str">
        <f t="shared" si="898"/>
        <v>Pas d'écart</v>
      </c>
      <c r="L5711" s="16">
        <f>base!X5711</f>
        <v>0</v>
      </c>
      <c r="M5711" s="11">
        <f t="shared" si="894"/>
        <v>0</v>
      </c>
      <c r="N5711" s="11">
        <f t="shared" si="895"/>
        <v>0</v>
      </c>
      <c r="O5711" s="11">
        <f t="shared" si="896"/>
        <v>0</v>
      </c>
      <c r="P5711" s="12">
        <f t="shared" si="897"/>
        <v>0</v>
      </c>
      <c r="Q5711" s="17" t="str">
        <f t="shared" si="899"/>
        <v>Pas d'écart</v>
      </c>
    </row>
    <row r="5712" spans="1:18" x14ac:dyDescent="0.3">
      <c r="A5712" s="34" t="str">
        <f>base!J5712</f>
        <v>LS</v>
      </c>
      <c r="B5712" s="34" t="str">
        <f>base!V5712</f>
        <v>67120</v>
      </c>
      <c r="C5712" s="37">
        <v>69</v>
      </c>
      <c r="D5712" s="36">
        <f>base!H5712</f>
        <v>65.8</v>
      </c>
      <c r="E5712" s="44"/>
      <c r="F5712" s="16">
        <f>base!W5712</f>
        <v>19.079999999999998</v>
      </c>
      <c r="G5712" s="11">
        <f t="shared" si="890"/>
        <v>0.28996960486322187</v>
      </c>
      <c r="H5712" s="11">
        <f t="shared" si="891"/>
        <v>17.766000000000002</v>
      </c>
      <c r="I5712" s="11">
        <f t="shared" si="892"/>
        <v>0.27</v>
      </c>
      <c r="J5712" s="12">
        <f t="shared" si="893"/>
        <v>1.3139999999999965</v>
      </c>
      <c r="K5712" s="17" t="str">
        <f t="shared" si="898"/>
        <v>Ecart positif</v>
      </c>
      <c r="L5712" s="16">
        <f>base!X5712</f>
        <v>0</v>
      </c>
      <c r="M5712" s="11">
        <f t="shared" si="894"/>
        <v>0</v>
      </c>
      <c r="N5712" s="11">
        <f t="shared" si="895"/>
        <v>0</v>
      </c>
      <c r="O5712" s="11">
        <f t="shared" si="896"/>
        <v>0</v>
      </c>
      <c r="P5712" s="12">
        <f t="shared" si="897"/>
        <v>0</v>
      </c>
      <c r="Q5712" s="17" t="str">
        <f t="shared" si="899"/>
        <v>Pas d'écart</v>
      </c>
    </row>
    <row r="5713" spans="1:18" x14ac:dyDescent="0.3">
      <c r="A5713" s="34" t="str">
        <f>base!J5713</f>
        <v>RS</v>
      </c>
      <c r="B5713" s="34" t="str">
        <f>base!V5713</f>
        <v>13006</v>
      </c>
      <c r="C5713" s="37">
        <v>13</v>
      </c>
      <c r="D5713" s="36">
        <f>base!H5713</f>
        <v>151</v>
      </c>
      <c r="E5713" s="44"/>
      <c r="F5713" s="16">
        <f>base!W5713</f>
        <v>0</v>
      </c>
      <c r="G5713" s="11">
        <f t="shared" si="890"/>
        <v>0</v>
      </c>
      <c r="H5713" s="11">
        <f t="shared" si="891"/>
        <v>43.79</v>
      </c>
      <c r="I5713" s="11">
        <f t="shared" si="892"/>
        <v>0.28999999999999998</v>
      </c>
      <c r="J5713" s="12">
        <f t="shared" si="893"/>
        <v>-43.79</v>
      </c>
      <c r="K5713" s="17" t="str">
        <f t="shared" si="898"/>
        <v>Ecart négatif</v>
      </c>
      <c r="L5713" s="16">
        <f>base!X5713</f>
        <v>69.459999999999994</v>
      </c>
      <c r="M5713" s="11">
        <f t="shared" si="894"/>
        <v>0.45999999999999996</v>
      </c>
      <c r="N5713" s="11">
        <f t="shared" si="895"/>
        <v>28.69</v>
      </c>
      <c r="O5713" s="11">
        <f t="shared" si="896"/>
        <v>0.19</v>
      </c>
      <c r="P5713" s="12">
        <f t="shared" si="897"/>
        <v>40.769999999999996</v>
      </c>
      <c r="Q5713" s="17" t="str">
        <f t="shared" si="899"/>
        <v>Ecart positif</v>
      </c>
      <c r="R5713" s="38"/>
    </row>
    <row r="5714" spans="1:18" x14ac:dyDescent="0.3">
      <c r="A5714" s="34" t="str">
        <f>base!J5714</f>
        <v>RM</v>
      </c>
      <c r="B5714" s="34" t="str">
        <f>base!V5714</f>
        <v>25400</v>
      </c>
      <c r="C5714" s="37">
        <v>25</v>
      </c>
      <c r="D5714" s="36">
        <f>base!H5714</f>
        <v>174.85</v>
      </c>
      <c r="E5714" s="44"/>
      <c r="F5714" s="16">
        <f>base!W5714</f>
        <v>0</v>
      </c>
      <c r="G5714" s="11">
        <f t="shared" si="890"/>
        <v>0</v>
      </c>
      <c r="H5714" s="11">
        <f t="shared" si="891"/>
        <v>41.963999999999999</v>
      </c>
      <c r="I5714" s="11">
        <f t="shared" si="892"/>
        <v>0.24</v>
      </c>
      <c r="J5714" s="12">
        <f t="shared" si="893"/>
        <v>-41.963999999999999</v>
      </c>
      <c r="K5714" s="17" t="str">
        <f t="shared" si="898"/>
        <v>Ecart négatif</v>
      </c>
      <c r="L5714" s="16">
        <f>base!X5714</f>
        <v>20.98</v>
      </c>
      <c r="M5714" s="11">
        <f t="shared" si="894"/>
        <v>0.11998856162424937</v>
      </c>
      <c r="N5714" s="11">
        <f t="shared" si="895"/>
        <v>20.981999999999999</v>
      </c>
      <c r="O5714" s="11">
        <f t="shared" si="896"/>
        <v>0.12</v>
      </c>
      <c r="P5714" s="12">
        <f t="shared" si="897"/>
        <v>-1.9999999999988916E-3</v>
      </c>
      <c r="Q5714" s="17" t="str">
        <f t="shared" si="899"/>
        <v>Ecart négatif</v>
      </c>
      <c r="R5714" s="38"/>
    </row>
    <row r="5715" spans="1:18" x14ac:dyDescent="0.3">
      <c r="A5715" s="34" t="str">
        <f>base!J5715</f>
        <v>RM</v>
      </c>
      <c r="B5715" s="34" t="str">
        <f>base!V5715</f>
        <v>27290</v>
      </c>
      <c r="C5715" s="37">
        <v>27</v>
      </c>
      <c r="D5715" s="36">
        <f>base!H5715</f>
        <v>140</v>
      </c>
      <c r="E5715" s="44"/>
      <c r="F5715" s="16">
        <f>base!W5715</f>
        <v>0</v>
      </c>
      <c r="G5715" s="11">
        <f t="shared" si="890"/>
        <v>0</v>
      </c>
      <c r="H5715" s="11">
        <f t="shared" si="891"/>
        <v>23.8</v>
      </c>
      <c r="I5715" s="11">
        <f t="shared" si="892"/>
        <v>0.17</v>
      </c>
      <c r="J5715" s="12">
        <f t="shared" si="893"/>
        <v>-23.8</v>
      </c>
      <c r="K5715" s="17" t="str">
        <f t="shared" si="898"/>
        <v>Ecart négatif</v>
      </c>
      <c r="L5715" s="16">
        <f>base!X5715</f>
        <v>23.8</v>
      </c>
      <c r="M5715" s="11">
        <f t="shared" si="894"/>
        <v>0.17</v>
      </c>
      <c r="N5715" s="11">
        <f t="shared" si="895"/>
        <v>23.8</v>
      </c>
      <c r="O5715" s="11">
        <f t="shared" si="896"/>
        <v>0.17</v>
      </c>
      <c r="P5715" s="12">
        <f t="shared" si="897"/>
        <v>0</v>
      </c>
      <c r="Q5715" s="17" t="str">
        <f t="shared" si="899"/>
        <v>Pas d'écart</v>
      </c>
    </row>
    <row r="5716" spans="1:18" x14ac:dyDescent="0.3">
      <c r="A5716" s="34" t="str">
        <f>base!J5716</f>
        <v>DLS</v>
      </c>
      <c r="B5716" s="34" t="str">
        <f>base!V5716</f>
        <v>59800</v>
      </c>
      <c r="C5716" s="37">
        <v>59</v>
      </c>
      <c r="D5716" s="36">
        <f>base!H5716</f>
        <v>0</v>
      </c>
      <c r="E5716" s="44"/>
      <c r="F5716" s="16">
        <f>base!W5716</f>
        <v>0</v>
      </c>
      <c r="G5716" s="11" t="e">
        <f t="shared" si="890"/>
        <v>#DIV/0!</v>
      </c>
      <c r="H5716" s="11">
        <f t="shared" si="891"/>
        <v>0</v>
      </c>
      <c r="I5716" s="11" t="e">
        <f t="shared" si="892"/>
        <v>#DIV/0!</v>
      </c>
      <c r="J5716" s="12">
        <f t="shared" si="893"/>
        <v>0</v>
      </c>
      <c r="K5716" s="17" t="str">
        <f t="shared" si="898"/>
        <v>Pas d'écart</v>
      </c>
      <c r="L5716" s="16">
        <f>base!X5716</f>
        <v>0</v>
      </c>
      <c r="M5716" s="11" t="e">
        <f t="shared" si="894"/>
        <v>#DIV/0!</v>
      </c>
      <c r="N5716" s="11">
        <f t="shared" si="895"/>
        <v>0</v>
      </c>
      <c r="O5716" s="11" t="e">
        <f t="shared" si="896"/>
        <v>#DIV/0!</v>
      </c>
      <c r="P5716" s="12">
        <f t="shared" si="897"/>
        <v>0</v>
      </c>
      <c r="Q5716" s="17" t="str">
        <f t="shared" si="899"/>
        <v>Pas d'écart</v>
      </c>
    </row>
    <row r="5717" spans="1:18" x14ac:dyDescent="0.3">
      <c r="A5717" s="34">
        <f>base!J5717</f>
        <v>0</v>
      </c>
      <c r="B5717" s="34" t="str">
        <f>base!V5717</f>
        <v>77184</v>
      </c>
      <c r="C5717" s="37">
        <v>77</v>
      </c>
      <c r="D5717" s="36">
        <f>base!H5717</f>
        <v>84.5</v>
      </c>
      <c r="E5717" s="44"/>
      <c r="F5717" s="16">
        <f>base!W5717</f>
        <v>0</v>
      </c>
      <c r="G5717" s="11">
        <f t="shared" si="890"/>
        <v>0</v>
      </c>
      <c r="H5717" s="11">
        <f t="shared" si="891"/>
        <v>0</v>
      </c>
      <c r="I5717" s="11">
        <f t="shared" si="892"/>
        <v>0</v>
      </c>
      <c r="J5717" s="12">
        <f t="shared" si="893"/>
        <v>0</v>
      </c>
      <c r="K5717" s="17" t="str">
        <f t="shared" si="898"/>
        <v>Pas d'écart</v>
      </c>
      <c r="L5717" s="16">
        <f>base!X5717</f>
        <v>0</v>
      </c>
      <c r="M5717" s="11">
        <f t="shared" si="894"/>
        <v>0</v>
      </c>
      <c r="N5717" s="11">
        <f t="shared" si="895"/>
        <v>0</v>
      </c>
      <c r="O5717" s="11">
        <f t="shared" si="896"/>
        <v>0</v>
      </c>
      <c r="P5717" s="12">
        <f t="shared" si="897"/>
        <v>0</v>
      </c>
      <c r="Q5717" s="17" t="str">
        <f t="shared" si="899"/>
        <v>Pas d'écart</v>
      </c>
    </row>
    <row r="5718" spans="1:18" x14ac:dyDescent="0.3">
      <c r="A5718" s="34" t="str">
        <f>base!J5718</f>
        <v>RM</v>
      </c>
      <c r="B5718" s="34" t="str">
        <f>base!V5718</f>
        <v>62600</v>
      </c>
      <c r="C5718" s="37">
        <v>62</v>
      </c>
      <c r="D5718" s="36">
        <f>base!H5718</f>
        <v>180</v>
      </c>
      <c r="E5718" s="44"/>
      <c r="F5718" s="16">
        <f>base!W5718</f>
        <v>0</v>
      </c>
      <c r="G5718" s="11">
        <f t="shared" si="890"/>
        <v>0</v>
      </c>
      <c r="H5718" s="11">
        <f t="shared" si="891"/>
        <v>34.200000000000003</v>
      </c>
      <c r="I5718" s="11">
        <f t="shared" si="892"/>
        <v>0.19</v>
      </c>
      <c r="J5718" s="12">
        <f t="shared" si="893"/>
        <v>-34.200000000000003</v>
      </c>
      <c r="K5718" s="17" t="str">
        <f t="shared" si="898"/>
        <v>Ecart négatif</v>
      </c>
      <c r="L5718" s="16">
        <f>base!X5718</f>
        <v>0</v>
      </c>
      <c r="M5718" s="11">
        <f t="shared" si="894"/>
        <v>0</v>
      </c>
      <c r="N5718" s="11">
        <f t="shared" si="895"/>
        <v>0</v>
      </c>
      <c r="O5718" s="11">
        <f t="shared" si="896"/>
        <v>0</v>
      </c>
      <c r="P5718" s="12">
        <f t="shared" si="897"/>
        <v>0</v>
      </c>
      <c r="Q5718" s="17" t="str">
        <f t="shared" si="899"/>
        <v>Pas d'écart</v>
      </c>
    </row>
    <row r="5719" spans="1:18" x14ac:dyDescent="0.3">
      <c r="A5719" s="34" t="str">
        <f>base!J5719</f>
        <v>RM</v>
      </c>
      <c r="B5719" s="34" t="str">
        <f>base!V5719</f>
        <v>34120</v>
      </c>
      <c r="C5719" s="37">
        <v>34</v>
      </c>
      <c r="D5719" s="36">
        <f>base!H5719</f>
        <v>26.6</v>
      </c>
      <c r="E5719" s="44"/>
      <c r="F5719" s="16">
        <f>base!W5719</f>
        <v>0</v>
      </c>
      <c r="G5719" s="11">
        <f t="shared" si="890"/>
        <v>0</v>
      </c>
      <c r="H5719" s="11">
        <f t="shared" si="891"/>
        <v>10.374000000000001</v>
      </c>
      <c r="I5719" s="11">
        <f t="shared" si="892"/>
        <v>0.39</v>
      </c>
      <c r="J5719" s="12">
        <f t="shared" si="893"/>
        <v>-10.374000000000001</v>
      </c>
      <c r="K5719" s="17" t="str">
        <f t="shared" si="898"/>
        <v>Ecart négatif</v>
      </c>
      <c r="L5719" s="16">
        <f>base!X5719</f>
        <v>14.63</v>
      </c>
      <c r="M5719" s="11">
        <f t="shared" si="894"/>
        <v>0.55000000000000004</v>
      </c>
      <c r="N5719" s="11">
        <f t="shared" si="895"/>
        <v>7.4480000000000013</v>
      </c>
      <c r="O5719" s="11">
        <f t="shared" si="896"/>
        <v>0.28000000000000003</v>
      </c>
      <c r="P5719" s="12">
        <f t="shared" si="897"/>
        <v>7.1819999999999995</v>
      </c>
      <c r="Q5719" s="17" t="str">
        <f t="shared" si="899"/>
        <v>Ecart positif</v>
      </c>
      <c r="R5719" s="38"/>
    </row>
    <row r="5720" spans="1:18" x14ac:dyDescent="0.3">
      <c r="A5720" s="34" t="str">
        <f>base!J5720</f>
        <v>LM</v>
      </c>
      <c r="B5720" s="34" t="str">
        <f>base!V5720</f>
        <v>88100</v>
      </c>
      <c r="C5720" s="37">
        <v>69</v>
      </c>
      <c r="D5720" s="36">
        <f>base!H5720</f>
        <v>12</v>
      </c>
      <c r="E5720" s="44"/>
      <c r="F5720" s="16">
        <f>base!W5720</f>
        <v>0</v>
      </c>
      <c r="G5720" s="11">
        <f t="shared" si="890"/>
        <v>0</v>
      </c>
      <c r="H5720" s="11">
        <f t="shared" si="891"/>
        <v>3.24</v>
      </c>
      <c r="I5720" s="11">
        <f t="shared" si="892"/>
        <v>0.27</v>
      </c>
      <c r="J5720" s="12">
        <f t="shared" si="893"/>
        <v>-3.24</v>
      </c>
      <c r="K5720" s="17" t="str">
        <f t="shared" si="898"/>
        <v>Ecart négatif</v>
      </c>
      <c r="L5720" s="16">
        <f>base!X5720</f>
        <v>0</v>
      </c>
      <c r="M5720" s="11">
        <f t="shared" si="894"/>
        <v>0</v>
      </c>
      <c r="N5720" s="11">
        <f t="shared" si="895"/>
        <v>0</v>
      </c>
      <c r="O5720" s="11">
        <f t="shared" si="896"/>
        <v>0</v>
      </c>
      <c r="P5720" s="12">
        <f t="shared" si="897"/>
        <v>0</v>
      </c>
      <c r="Q5720" s="17" t="str">
        <f t="shared" si="899"/>
        <v>Pas d'écart</v>
      </c>
    </row>
    <row r="5721" spans="1:18" x14ac:dyDescent="0.3">
      <c r="A5721" s="34" t="str">
        <f>base!J5721</f>
        <v>LS</v>
      </c>
      <c r="B5721" s="34" t="str">
        <f>base!V5721</f>
        <v>31670</v>
      </c>
      <c r="C5721" s="37">
        <v>69</v>
      </c>
      <c r="D5721" s="36">
        <f>base!H5721</f>
        <v>60</v>
      </c>
      <c r="E5721" s="44"/>
      <c r="F5721" s="16">
        <f>base!W5721</f>
        <v>13.2</v>
      </c>
      <c r="G5721" s="11">
        <f t="shared" si="890"/>
        <v>0.22</v>
      </c>
      <c r="H5721" s="11">
        <f t="shared" si="891"/>
        <v>16.200000000000003</v>
      </c>
      <c r="I5721" s="11">
        <f t="shared" si="892"/>
        <v>0.27000000000000007</v>
      </c>
      <c r="J5721" s="12">
        <f t="shared" si="893"/>
        <v>-3.0000000000000036</v>
      </c>
      <c r="K5721" s="17" t="str">
        <f t="shared" si="898"/>
        <v>Ecart négatif</v>
      </c>
      <c r="L5721" s="16">
        <f>base!X5721</f>
        <v>0</v>
      </c>
      <c r="M5721" s="11">
        <f t="shared" si="894"/>
        <v>0</v>
      </c>
      <c r="N5721" s="11">
        <f t="shared" si="895"/>
        <v>0</v>
      </c>
      <c r="O5721" s="11">
        <f t="shared" si="896"/>
        <v>0</v>
      </c>
      <c r="P5721" s="12">
        <f t="shared" si="897"/>
        <v>0</v>
      </c>
      <c r="Q5721" s="17" t="str">
        <f t="shared" si="899"/>
        <v>Pas d'écart</v>
      </c>
    </row>
    <row r="5722" spans="1:18" x14ac:dyDescent="0.3">
      <c r="A5722" s="34" t="str">
        <f>base!J5722</f>
        <v>LS</v>
      </c>
      <c r="B5722" s="34" t="str">
        <f>base!V5722</f>
        <v>94150</v>
      </c>
      <c r="C5722" s="37">
        <v>94</v>
      </c>
      <c r="D5722" s="36">
        <f>base!H5722</f>
        <v>151</v>
      </c>
      <c r="E5722" s="44"/>
      <c r="F5722" s="16">
        <f>base!W5722</f>
        <v>0</v>
      </c>
      <c r="G5722" s="11">
        <f t="shared" si="890"/>
        <v>0</v>
      </c>
      <c r="H5722" s="11">
        <f t="shared" si="891"/>
        <v>0</v>
      </c>
      <c r="I5722" s="11">
        <f t="shared" si="892"/>
        <v>0</v>
      </c>
      <c r="J5722" s="12">
        <f t="shared" si="893"/>
        <v>0</v>
      </c>
      <c r="K5722" s="17" t="str">
        <f t="shared" si="898"/>
        <v>Pas d'écart</v>
      </c>
      <c r="L5722" s="16">
        <f>base!X5722</f>
        <v>0</v>
      </c>
      <c r="M5722" s="11">
        <f t="shared" si="894"/>
        <v>0</v>
      </c>
      <c r="N5722" s="11">
        <f t="shared" si="895"/>
        <v>0</v>
      </c>
      <c r="O5722" s="11">
        <f t="shared" si="896"/>
        <v>0</v>
      </c>
      <c r="P5722" s="12">
        <f t="shared" si="897"/>
        <v>0</v>
      </c>
      <c r="Q5722" s="17" t="str">
        <f t="shared" si="899"/>
        <v>Pas d'écart</v>
      </c>
    </row>
    <row r="5723" spans="1:18" x14ac:dyDescent="0.3">
      <c r="A5723" s="34">
        <f>base!J5723</f>
        <v>0</v>
      </c>
      <c r="B5723" s="34" t="str">
        <f>base!V5723</f>
        <v>77184</v>
      </c>
      <c r="C5723" s="37">
        <v>77</v>
      </c>
      <c r="D5723" s="36">
        <f>base!H5723</f>
        <v>180</v>
      </c>
      <c r="E5723" s="44"/>
      <c r="F5723" s="16">
        <f>base!W5723</f>
        <v>0</v>
      </c>
      <c r="G5723" s="11">
        <f t="shared" si="890"/>
        <v>0</v>
      </c>
      <c r="H5723" s="11">
        <f t="shared" si="891"/>
        <v>0</v>
      </c>
      <c r="I5723" s="11">
        <f t="shared" si="892"/>
        <v>0</v>
      </c>
      <c r="J5723" s="12">
        <f t="shared" si="893"/>
        <v>0</v>
      </c>
      <c r="K5723" s="17" t="str">
        <f t="shared" si="898"/>
        <v>Pas d'écart</v>
      </c>
      <c r="L5723" s="16">
        <f>base!X5723</f>
        <v>0</v>
      </c>
      <c r="M5723" s="11">
        <f t="shared" si="894"/>
        <v>0</v>
      </c>
      <c r="N5723" s="11">
        <f t="shared" si="895"/>
        <v>0</v>
      </c>
      <c r="O5723" s="11">
        <f t="shared" si="896"/>
        <v>0</v>
      </c>
      <c r="P5723" s="12">
        <f t="shared" si="897"/>
        <v>0</v>
      </c>
      <c r="Q5723" s="17" t="str">
        <f t="shared" si="899"/>
        <v>Pas d'écart</v>
      </c>
    </row>
    <row r="5724" spans="1:18" x14ac:dyDescent="0.3">
      <c r="A5724" s="34">
        <f>base!J5724</f>
        <v>0</v>
      </c>
      <c r="B5724" s="34" t="str">
        <f>base!V5724</f>
        <v>77184</v>
      </c>
      <c r="C5724" s="37">
        <v>77</v>
      </c>
      <c r="D5724" s="36">
        <f>base!H5724</f>
        <v>140</v>
      </c>
      <c r="E5724" s="44"/>
      <c r="F5724" s="16">
        <f>base!W5724</f>
        <v>0</v>
      </c>
      <c r="G5724" s="11">
        <f t="shared" si="890"/>
        <v>0</v>
      </c>
      <c r="H5724" s="11">
        <f t="shared" si="891"/>
        <v>0</v>
      </c>
      <c r="I5724" s="11">
        <f t="shared" si="892"/>
        <v>0</v>
      </c>
      <c r="J5724" s="12">
        <f t="shared" si="893"/>
        <v>0</v>
      </c>
      <c r="K5724" s="17" t="str">
        <f t="shared" si="898"/>
        <v>Pas d'écart</v>
      </c>
      <c r="L5724" s="16">
        <f>base!X5724</f>
        <v>0</v>
      </c>
      <c r="M5724" s="11">
        <f t="shared" si="894"/>
        <v>0</v>
      </c>
      <c r="N5724" s="11">
        <f t="shared" si="895"/>
        <v>0</v>
      </c>
      <c r="O5724" s="11">
        <f t="shared" si="896"/>
        <v>0</v>
      </c>
      <c r="P5724" s="12">
        <f t="shared" si="897"/>
        <v>0</v>
      </c>
      <c r="Q5724" s="17" t="str">
        <f t="shared" si="899"/>
        <v>Pas d'écart</v>
      </c>
    </row>
    <row r="5725" spans="1:18" x14ac:dyDescent="0.3">
      <c r="A5725" s="34" t="str">
        <f>base!J5725</f>
        <v>LS</v>
      </c>
      <c r="B5725" s="34" t="str">
        <f>base!V5725</f>
        <v>14000</v>
      </c>
      <c r="C5725" s="37">
        <v>6</v>
      </c>
      <c r="D5725" s="36">
        <f>base!H5725</f>
        <v>143.57</v>
      </c>
      <c r="E5725" s="44"/>
      <c r="F5725" s="16">
        <f>base!W5725</f>
        <v>24.41</v>
      </c>
      <c r="G5725" s="11">
        <f t="shared" si="890"/>
        <v>0.1700215922546493</v>
      </c>
      <c r="H5725" s="11">
        <f t="shared" si="891"/>
        <v>43.070999999999998</v>
      </c>
      <c r="I5725" s="11">
        <f t="shared" si="892"/>
        <v>0.3</v>
      </c>
      <c r="J5725" s="12">
        <f t="shared" si="893"/>
        <v>-18.660999999999998</v>
      </c>
      <c r="K5725" s="17" t="str">
        <f t="shared" si="898"/>
        <v>Ecart négatif</v>
      </c>
      <c r="L5725" s="16">
        <f>base!X5725</f>
        <v>0</v>
      </c>
      <c r="M5725" s="11">
        <f t="shared" si="894"/>
        <v>0</v>
      </c>
      <c r="N5725" s="11">
        <f t="shared" si="895"/>
        <v>30.149699999999996</v>
      </c>
      <c r="O5725" s="11">
        <f t="shared" si="896"/>
        <v>0.21</v>
      </c>
      <c r="P5725" s="12">
        <f t="shared" si="897"/>
        <v>-30.149699999999996</v>
      </c>
      <c r="Q5725" s="17" t="str">
        <f t="shared" si="899"/>
        <v>Ecart négatif</v>
      </c>
    </row>
    <row r="5726" spans="1:18" x14ac:dyDescent="0.3">
      <c r="A5726" s="34">
        <f>base!J5726</f>
        <v>0</v>
      </c>
      <c r="B5726" s="34" t="str">
        <f>base!V5726</f>
        <v>44240</v>
      </c>
      <c r="C5726" s="37">
        <v>44</v>
      </c>
      <c r="D5726" s="36">
        <f>base!H5726</f>
        <v>34</v>
      </c>
      <c r="E5726" s="44"/>
      <c r="F5726" s="16">
        <f>base!W5726</f>
        <v>0</v>
      </c>
      <c r="G5726" s="11">
        <f t="shared" si="890"/>
        <v>0</v>
      </c>
      <c r="H5726" s="11">
        <f t="shared" si="891"/>
        <v>9.18</v>
      </c>
      <c r="I5726" s="11">
        <f t="shared" si="892"/>
        <v>0.27</v>
      </c>
      <c r="J5726" s="12">
        <f t="shared" si="893"/>
        <v>-9.18</v>
      </c>
      <c r="K5726" s="17" t="str">
        <f t="shared" si="898"/>
        <v>Ecart négatif</v>
      </c>
      <c r="L5726" s="16">
        <f>base!X5726</f>
        <v>0</v>
      </c>
      <c r="M5726" s="11">
        <f t="shared" si="894"/>
        <v>0</v>
      </c>
      <c r="N5726" s="11">
        <f t="shared" si="895"/>
        <v>0</v>
      </c>
      <c r="O5726" s="11">
        <f t="shared" si="896"/>
        <v>0</v>
      </c>
      <c r="P5726" s="12">
        <f t="shared" si="897"/>
        <v>0</v>
      </c>
      <c r="Q5726" s="17" t="str">
        <f t="shared" si="899"/>
        <v>Pas d'écart</v>
      </c>
    </row>
    <row r="5727" spans="1:18" x14ac:dyDescent="0.3">
      <c r="A5727" s="34">
        <f>base!J5727</f>
        <v>0</v>
      </c>
      <c r="B5727" s="34" t="str">
        <f>base!V5727</f>
        <v>44240</v>
      </c>
      <c r="C5727" s="37">
        <v>44</v>
      </c>
      <c r="D5727" s="36">
        <f>base!H5727</f>
        <v>22.5</v>
      </c>
      <c r="E5727" s="44"/>
      <c r="F5727" s="16">
        <f>base!W5727</f>
        <v>0</v>
      </c>
      <c r="G5727" s="11">
        <f t="shared" si="890"/>
        <v>0</v>
      </c>
      <c r="H5727" s="11">
        <f t="shared" si="891"/>
        <v>6.0750000000000002</v>
      </c>
      <c r="I5727" s="11">
        <f t="shared" si="892"/>
        <v>0.27</v>
      </c>
      <c r="J5727" s="12">
        <f t="shared" si="893"/>
        <v>-6.0750000000000002</v>
      </c>
      <c r="K5727" s="17" t="str">
        <f t="shared" si="898"/>
        <v>Ecart négatif</v>
      </c>
      <c r="L5727" s="16">
        <f>base!X5727</f>
        <v>0</v>
      </c>
      <c r="M5727" s="11">
        <f t="shared" si="894"/>
        <v>0</v>
      </c>
      <c r="N5727" s="11">
        <f t="shared" si="895"/>
        <v>0</v>
      </c>
      <c r="O5727" s="11">
        <f t="shared" si="896"/>
        <v>0</v>
      </c>
      <c r="P5727" s="12">
        <f t="shared" si="897"/>
        <v>0</v>
      </c>
      <c r="Q5727" s="17" t="str">
        <f t="shared" si="899"/>
        <v>Pas d'écart</v>
      </c>
    </row>
    <row r="5728" spans="1:18" x14ac:dyDescent="0.3">
      <c r="A5728" s="34">
        <f>base!J5728</f>
        <v>0</v>
      </c>
      <c r="B5728" s="34" t="str">
        <f>base!V5728</f>
        <v>44240</v>
      </c>
      <c r="C5728" s="37">
        <v>44</v>
      </c>
      <c r="D5728" s="36">
        <f>base!H5728</f>
        <v>223.17</v>
      </c>
      <c r="E5728" s="44"/>
      <c r="F5728" s="16">
        <f>base!W5728</f>
        <v>0</v>
      </c>
      <c r="G5728" s="11">
        <f t="shared" si="890"/>
        <v>0</v>
      </c>
      <c r="H5728" s="11">
        <f t="shared" si="891"/>
        <v>60.255900000000004</v>
      </c>
      <c r="I5728" s="11">
        <f t="shared" si="892"/>
        <v>0.27</v>
      </c>
      <c r="J5728" s="12">
        <f t="shared" si="893"/>
        <v>-60.255900000000004</v>
      </c>
      <c r="K5728" s="17" t="str">
        <f t="shared" si="898"/>
        <v>Ecart négatif</v>
      </c>
      <c r="L5728" s="16">
        <f>base!X5728</f>
        <v>0</v>
      </c>
      <c r="M5728" s="11">
        <f t="shared" si="894"/>
        <v>0</v>
      </c>
      <c r="N5728" s="11">
        <f t="shared" si="895"/>
        <v>0</v>
      </c>
      <c r="O5728" s="11">
        <f t="shared" si="896"/>
        <v>0</v>
      </c>
      <c r="P5728" s="12">
        <f t="shared" si="897"/>
        <v>0</v>
      </c>
      <c r="Q5728" s="17" t="str">
        <f t="shared" si="899"/>
        <v>Pas d'écart</v>
      </c>
    </row>
    <row r="5729" spans="1:18" x14ac:dyDescent="0.3">
      <c r="A5729" s="34" t="str">
        <f>base!J5729</f>
        <v>LM</v>
      </c>
      <c r="B5729" s="34" t="str">
        <f>base!V5729</f>
        <v>62740</v>
      </c>
      <c r="C5729" s="37">
        <v>6</v>
      </c>
      <c r="D5729" s="36">
        <f>base!H5729</f>
        <v>187.33</v>
      </c>
      <c r="E5729" s="44"/>
      <c r="F5729" s="16">
        <f>base!W5729</f>
        <v>35.590000000000003</v>
      </c>
      <c r="G5729" s="11">
        <f t="shared" si="890"/>
        <v>0.18998558693215181</v>
      </c>
      <c r="H5729" s="11">
        <f t="shared" si="891"/>
        <v>56.199000000000005</v>
      </c>
      <c r="I5729" s="11">
        <f t="shared" si="892"/>
        <v>0.3</v>
      </c>
      <c r="J5729" s="12">
        <f t="shared" si="893"/>
        <v>-20.609000000000002</v>
      </c>
      <c r="K5729" s="17" t="str">
        <f t="shared" si="898"/>
        <v>Ecart négatif</v>
      </c>
      <c r="L5729" s="16">
        <f>base!X5729</f>
        <v>0</v>
      </c>
      <c r="M5729" s="11">
        <f t="shared" si="894"/>
        <v>0</v>
      </c>
      <c r="N5729" s="11">
        <f t="shared" si="895"/>
        <v>39.339300000000001</v>
      </c>
      <c r="O5729" s="11">
        <f t="shared" si="896"/>
        <v>0.21</v>
      </c>
      <c r="P5729" s="12">
        <f t="shared" si="897"/>
        <v>-39.339300000000001</v>
      </c>
      <c r="Q5729" s="17" t="str">
        <f t="shared" si="899"/>
        <v>Ecart négatif</v>
      </c>
    </row>
    <row r="5730" spans="1:18" x14ac:dyDescent="0.3">
      <c r="A5730" s="34" t="str">
        <f>base!J5730</f>
        <v>LM</v>
      </c>
      <c r="B5730" s="34" t="str">
        <f>base!V5730</f>
        <v>88250</v>
      </c>
      <c r="C5730" s="37">
        <v>44</v>
      </c>
      <c r="D5730" s="36">
        <f>base!H5730</f>
        <v>15.8</v>
      </c>
      <c r="E5730" s="44"/>
      <c r="F5730" s="16">
        <f>base!W5730</f>
        <v>4.58</v>
      </c>
      <c r="G5730" s="11">
        <f t="shared" si="890"/>
        <v>0.28987341772151898</v>
      </c>
      <c r="H5730" s="11">
        <f t="shared" si="891"/>
        <v>4.2660000000000009</v>
      </c>
      <c r="I5730" s="11">
        <f t="shared" si="892"/>
        <v>0.27</v>
      </c>
      <c r="J5730" s="12">
        <f t="shared" si="893"/>
        <v>0.31399999999999917</v>
      </c>
      <c r="K5730" s="17" t="str">
        <f t="shared" si="898"/>
        <v>Ecart positif</v>
      </c>
      <c r="L5730" s="16">
        <f>base!X5730</f>
        <v>0</v>
      </c>
      <c r="M5730" s="11">
        <f t="shared" si="894"/>
        <v>0</v>
      </c>
      <c r="N5730" s="11">
        <f t="shared" si="895"/>
        <v>0</v>
      </c>
      <c r="O5730" s="11">
        <f t="shared" si="896"/>
        <v>0</v>
      </c>
      <c r="P5730" s="12">
        <f t="shared" si="897"/>
        <v>0</v>
      </c>
      <c r="Q5730" s="17" t="str">
        <f t="shared" si="899"/>
        <v>Pas d'écart</v>
      </c>
    </row>
    <row r="5731" spans="1:18" x14ac:dyDescent="0.3">
      <c r="A5731" s="34">
        <f>base!J5731</f>
        <v>0</v>
      </c>
      <c r="B5731" s="34" t="str">
        <f>base!V5731</f>
        <v>77184</v>
      </c>
      <c r="C5731" s="37">
        <v>77</v>
      </c>
      <c r="D5731" s="36">
        <f>base!H5731</f>
        <v>25</v>
      </c>
      <c r="E5731" s="44"/>
      <c r="F5731" s="16">
        <f>base!W5731</f>
        <v>0</v>
      </c>
      <c r="G5731" s="11">
        <f t="shared" si="890"/>
        <v>0</v>
      </c>
      <c r="H5731" s="11">
        <f t="shared" si="891"/>
        <v>0</v>
      </c>
      <c r="I5731" s="11">
        <f t="shared" si="892"/>
        <v>0</v>
      </c>
      <c r="J5731" s="12">
        <f t="shared" si="893"/>
        <v>0</v>
      </c>
      <c r="K5731" s="17" t="str">
        <f t="shared" si="898"/>
        <v>Pas d'écart</v>
      </c>
      <c r="L5731" s="16">
        <f>base!X5731</f>
        <v>0</v>
      </c>
      <c r="M5731" s="11">
        <f t="shared" si="894"/>
        <v>0</v>
      </c>
      <c r="N5731" s="11">
        <f t="shared" si="895"/>
        <v>0</v>
      </c>
      <c r="O5731" s="11">
        <f t="shared" si="896"/>
        <v>0</v>
      </c>
      <c r="P5731" s="12">
        <f t="shared" si="897"/>
        <v>0</v>
      </c>
      <c r="Q5731" s="17" t="str">
        <f t="shared" si="899"/>
        <v>Pas d'écart</v>
      </c>
    </row>
    <row r="5732" spans="1:18" x14ac:dyDescent="0.3">
      <c r="A5732" s="34">
        <f>base!J5732</f>
        <v>0</v>
      </c>
      <c r="B5732" s="34" t="str">
        <f>base!V5732</f>
        <v>77184</v>
      </c>
      <c r="C5732" s="37">
        <v>77</v>
      </c>
      <c r="D5732" s="36">
        <f>base!H5732</f>
        <v>139</v>
      </c>
      <c r="E5732" s="44"/>
      <c r="F5732" s="16">
        <f>base!W5732</f>
        <v>0</v>
      </c>
      <c r="G5732" s="11">
        <f t="shared" si="890"/>
        <v>0</v>
      </c>
      <c r="H5732" s="11">
        <f t="shared" si="891"/>
        <v>0</v>
      </c>
      <c r="I5732" s="11">
        <f t="shared" si="892"/>
        <v>0</v>
      </c>
      <c r="J5732" s="12">
        <f t="shared" si="893"/>
        <v>0</v>
      </c>
      <c r="K5732" s="17" t="str">
        <f t="shared" si="898"/>
        <v>Pas d'écart</v>
      </c>
      <c r="L5732" s="16">
        <f>base!X5732</f>
        <v>0</v>
      </c>
      <c r="M5732" s="11">
        <f t="shared" si="894"/>
        <v>0</v>
      </c>
      <c r="N5732" s="11">
        <f t="shared" si="895"/>
        <v>0</v>
      </c>
      <c r="O5732" s="11">
        <f t="shared" si="896"/>
        <v>0</v>
      </c>
      <c r="P5732" s="12">
        <f t="shared" si="897"/>
        <v>0</v>
      </c>
      <c r="Q5732" s="17" t="str">
        <f t="shared" si="899"/>
        <v>Pas d'écart</v>
      </c>
    </row>
    <row r="5733" spans="1:18" x14ac:dyDescent="0.3">
      <c r="A5733" s="34">
        <f>base!J5733</f>
        <v>0</v>
      </c>
      <c r="B5733" s="34" t="str">
        <f>base!V5733</f>
        <v>77184</v>
      </c>
      <c r="C5733" s="37">
        <v>77</v>
      </c>
      <c r="D5733" s="36">
        <f>base!H5733</f>
        <v>68</v>
      </c>
      <c r="E5733" s="44"/>
      <c r="F5733" s="16">
        <f>base!W5733</f>
        <v>0</v>
      </c>
      <c r="G5733" s="11">
        <f t="shared" si="890"/>
        <v>0</v>
      </c>
      <c r="H5733" s="11">
        <f t="shared" si="891"/>
        <v>0</v>
      </c>
      <c r="I5733" s="11">
        <f t="shared" si="892"/>
        <v>0</v>
      </c>
      <c r="J5733" s="12">
        <f t="shared" si="893"/>
        <v>0</v>
      </c>
      <c r="K5733" s="17" t="str">
        <f t="shared" si="898"/>
        <v>Pas d'écart</v>
      </c>
      <c r="L5733" s="16">
        <f>base!X5733</f>
        <v>0</v>
      </c>
      <c r="M5733" s="11">
        <f t="shared" si="894"/>
        <v>0</v>
      </c>
      <c r="N5733" s="11">
        <f t="shared" si="895"/>
        <v>0</v>
      </c>
      <c r="O5733" s="11">
        <f t="shared" si="896"/>
        <v>0</v>
      </c>
      <c r="P5733" s="12">
        <f t="shared" si="897"/>
        <v>0</v>
      </c>
      <c r="Q5733" s="17" t="str">
        <f t="shared" si="899"/>
        <v>Pas d'écart</v>
      </c>
    </row>
    <row r="5734" spans="1:18" x14ac:dyDescent="0.3">
      <c r="A5734" s="34" t="str">
        <f>base!J5734</f>
        <v>RS</v>
      </c>
      <c r="B5734" s="34" t="str">
        <f>base!V5734</f>
        <v>67000</v>
      </c>
      <c r="C5734" s="37">
        <v>67</v>
      </c>
      <c r="D5734" s="36">
        <f>base!H5734</f>
        <v>60</v>
      </c>
      <c r="E5734" s="44"/>
      <c r="F5734" s="16">
        <f>base!W5734</f>
        <v>0</v>
      </c>
      <c r="G5734" s="11">
        <f t="shared" si="890"/>
        <v>0</v>
      </c>
      <c r="H5734" s="11">
        <f t="shared" si="891"/>
        <v>17.399999999999999</v>
      </c>
      <c r="I5734" s="11">
        <f t="shared" si="892"/>
        <v>0.28999999999999998</v>
      </c>
      <c r="J5734" s="12">
        <f t="shared" si="893"/>
        <v>-17.399999999999999</v>
      </c>
      <c r="K5734" s="17" t="str">
        <f t="shared" si="898"/>
        <v>Ecart négatif</v>
      </c>
      <c r="L5734" s="16">
        <f>base!X5734</f>
        <v>4.8</v>
      </c>
      <c r="M5734" s="11">
        <f t="shared" si="894"/>
        <v>0.08</v>
      </c>
      <c r="N5734" s="11">
        <f t="shared" si="895"/>
        <v>4.8</v>
      </c>
      <c r="O5734" s="11">
        <f t="shared" si="896"/>
        <v>0.08</v>
      </c>
      <c r="P5734" s="12">
        <f t="shared" si="897"/>
        <v>0</v>
      </c>
      <c r="Q5734" s="17" t="str">
        <f t="shared" si="899"/>
        <v>Pas d'écart</v>
      </c>
      <c r="R5734" s="38"/>
    </row>
    <row r="5735" spans="1:18" x14ac:dyDescent="0.3">
      <c r="A5735" s="34">
        <f>base!J5735</f>
        <v>0</v>
      </c>
      <c r="B5735" s="34" t="str">
        <f>base!V5735</f>
        <v>77184</v>
      </c>
      <c r="C5735" s="37">
        <v>77</v>
      </c>
      <c r="D5735" s="36">
        <f>base!H5735</f>
        <v>330</v>
      </c>
      <c r="E5735" s="44"/>
      <c r="F5735" s="16">
        <f>base!W5735</f>
        <v>0</v>
      </c>
      <c r="G5735" s="11">
        <f t="shared" si="890"/>
        <v>0</v>
      </c>
      <c r="H5735" s="11">
        <f t="shared" si="891"/>
        <v>0</v>
      </c>
      <c r="I5735" s="11">
        <f t="shared" si="892"/>
        <v>0</v>
      </c>
      <c r="J5735" s="12">
        <f t="shared" si="893"/>
        <v>0</v>
      </c>
      <c r="K5735" s="17" t="str">
        <f t="shared" si="898"/>
        <v>Pas d'écart</v>
      </c>
      <c r="L5735" s="16">
        <f>base!X5735</f>
        <v>0</v>
      </c>
      <c r="M5735" s="11">
        <f t="shared" si="894"/>
        <v>0</v>
      </c>
      <c r="N5735" s="11">
        <f t="shared" si="895"/>
        <v>0</v>
      </c>
      <c r="O5735" s="11">
        <f t="shared" si="896"/>
        <v>0</v>
      </c>
      <c r="P5735" s="12">
        <f t="shared" si="897"/>
        <v>0</v>
      </c>
      <c r="Q5735" s="17" t="str">
        <f t="shared" si="899"/>
        <v>Pas d'écart</v>
      </c>
    </row>
    <row r="5736" spans="1:18" x14ac:dyDescent="0.3">
      <c r="A5736" s="34" t="str">
        <f>base!J5736</f>
        <v>DLS</v>
      </c>
      <c r="B5736" s="34" t="str">
        <f>base!V5736</f>
        <v>56920</v>
      </c>
      <c r="C5736" s="37">
        <v>56</v>
      </c>
      <c r="D5736" s="36">
        <f>base!H5736</f>
        <v>18.8</v>
      </c>
      <c r="E5736" s="44"/>
      <c r="F5736" s="16">
        <f>base!W5736</f>
        <v>5.08</v>
      </c>
      <c r="G5736" s="11">
        <f t="shared" si="890"/>
        <v>0.27021276595744681</v>
      </c>
      <c r="H5736" s="11">
        <f t="shared" si="891"/>
        <v>5.0760000000000005</v>
      </c>
      <c r="I5736" s="11">
        <f t="shared" si="892"/>
        <v>0.27</v>
      </c>
      <c r="J5736" s="12">
        <f t="shared" si="893"/>
        <v>3.9999999999995595E-3</v>
      </c>
      <c r="K5736" s="17" t="str">
        <f t="shared" si="898"/>
        <v>Ecart positif</v>
      </c>
      <c r="L5736" s="16">
        <f>base!X5736</f>
        <v>0</v>
      </c>
      <c r="M5736" s="11">
        <f t="shared" si="894"/>
        <v>0</v>
      </c>
      <c r="N5736" s="11">
        <f t="shared" si="895"/>
        <v>0</v>
      </c>
      <c r="O5736" s="11">
        <f t="shared" si="896"/>
        <v>0</v>
      </c>
      <c r="P5736" s="12">
        <f t="shared" si="897"/>
        <v>0</v>
      </c>
      <c r="Q5736" s="17" t="str">
        <f t="shared" si="899"/>
        <v>Pas d'écart</v>
      </c>
    </row>
    <row r="5737" spans="1:18" x14ac:dyDescent="0.3">
      <c r="A5737" s="34" t="str">
        <f>base!J5737</f>
        <v>LS</v>
      </c>
      <c r="B5737" s="34" t="str">
        <f>base!V5737</f>
        <v>69150</v>
      </c>
      <c r="C5737" s="37">
        <v>69</v>
      </c>
      <c r="D5737" s="36">
        <f>base!H5737</f>
        <v>180</v>
      </c>
      <c r="E5737" s="44"/>
      <c r="F5737" s="16">
        <f>base!W5737</f>
        <v>48.6</v>
      </c>
      <c r="G5737" s="11">
        <f t="shared" si="890"/>
        <v>0.27</v>
      </c>
      <c r="H5737" s="11">
        <f t="shared" si="891"/>
        <v>48.6</v>
      </c>
      <c r="I5737" s="11">
        <f t="shared" si="892"/>
        <v>0.27</v>
      </c>
      <c r="J5737" s="12">
        <f t="shared" si="893"/>
        <v>0</v>
      </c>
      <c r="K5737" s="17" t="str">
        <f t="shared" si="898"/>
        <v>Pas d'écart</v>
      </c>
      <c r="L5737" s="16">
        <f>base!X5737</f>
        <v>0</v>
      </c>
      <c r="M5737" s="11">
        <f t="shared" si="894"/>
        <v>0</v>
      </c>
      <c r="N5737" s="11">
        <f t="shared" si="895"/>
        <v>0</v>
      </c>
      <c r="O5737" s="11">
        <f t="shared" si="896"/>
        <v>0</v>
      </c>
      <c r="P5737" s="12">
        <f t="shared" si="897"/>
        <v>0</v>
      </c>
      <c r="Q5737" s="17" t="str">
        <f t="shared" si="899"/>
        <v>Pas d'écart</v>
      </c>
    </row>
    <row r="5738" spans="1:18" x14ac:dyDescent="0.3">
      <c r="A5738" s="34">
        <f>base!J5738</f>
        <v>0</v>
      </c>
      <c r="B5738" s="34" t="str">
        <f>base!V5738</f>
        <v>77184</v>
      </c>
      <c r="C5738" s="37">
        <v>77</v>
      </c>
      <c r="D5738" s="36">
        <f>base!H5738</f>
        <v>150</v>
      </c>
      <c r="E5738" s="44"/>
      <c r="F5738" s="16">
        <f>base!W5738</f>
        <v>0</v>
      </c>
      <c r="G5738" s="11">
        <f t="shared" si="890"/>
        <v>0</v>
      </c>
      <c r="H5738" s="11">
        <f t="shared" si="891"/>
        <v>0</v>
      </c>
      <c r="I5738" s="11">
        <f t="shared" si="892"/>
        <v>0</v>
      </c>
      <c r="J5738" s="12">
        <f t="shared" si="893"/>
        <v>0</v>
      </c>
      <c r="K5738" s="17" t="str">
        <f t="shared" si="898"/>
        <v>Pas d'écart</v>
      </c>
      <c r="L5738" s="16">
        <f>base!X5738</f>
        <v>0</v>
      </c>
      <c r="M5738" s="11">
        <f t="shared" si="894"/>
        <v>0</v>
      </c>
      <c r="N5738" s="11">
        <f t="shared" si="895"/>
        <v>0</v>
      </c>
      <c r="O5738" s="11">
        <f t="shared" si="896"/>
        <v>0</v>
      </c>
      <c r="P5738" s="12">
        <f t="shared" si="897"/>
        <v>0</v>
      </c>
      <c r="Q5738" s="17" t="str">
        <f t="shared" si="899"/>
        <v>Pas d'écart</v>
      </c>
    </row>
    <row r="5739" spans="1:18" x14ac:dyDescent="0.3">
      <c r="A5739" s="34">
        <f>base!J5739</f>
        <v>0</v>
      </c>
      <c r="B5739" s="34" t="str">
        <f>base!V5739</f>
        <v>77184</v>
      </c>
      <c r="C5739" s="37">
        <v>77</v>
      </c>
      <c r="D5739" s="36">
        <f>base!H5739</f>
        <v>170</v>
      </c>
      <c r="E5739" s="44"/>
      <c r="F5739" s="16">
        <f>base!W5739</f>
        <v>0</v>
      </c>
      <c r="G5739" s="11">
        <f t="shared" si="890"/>
        <v>0</v>
      </c>
      <c r="H5739" s="11">
        <f t="shared" si="891"/>
        <v>0</v>
      </c>
      <c r="I5739" s="11">
        <f t="shared" si="892"/>
        <v>0</v>
      </c>
      <c r="J5739" s="12">
        <f t="shared" si="893"/>
        <v>0</v>
      </c>
      <c r="K5739" s="17" t="str">
        <f t="shared" si="898"/>
        <v>Pas d'écart</v>
      </c>
      <c r="L5739" s="16">
        <f>base!X5739</f>
        <v>0</v>
      </c>
      <c r="M5739" s="11">
        <f t="shared" si="894"/>
        <v>0</v>
      </c>
      <c r="N5739" s="11">
        <f t="shared" si="895"/>
        <v>0</v>
      </c>
      <c r="O5739" s="11">
        <f t="shared" si="896"/>
        <v>0</v>
      </c>
      <c r="P5739" s="12">
        <f t="shared" si="897"/>
        <v>0</v>
      </c>
      <c r="Q5739" s="17" t="str">
        <f t="shared" si="899"/>
        <v>Pas d'écart</v>
      </c>
    </row>
    <row r="5740" spans="1:18" x14ac:dyDescent="0.3">
      <c r="A5740" s="34">
        <f>base!J5740</f>
        <v>0</v>
      </c>
      <c r="B5740" s="34" t="str">
        <f>base!V5740</f>
        <v>77184</v>
      </c>
      <c r="C5740" s="37">
        <v>77</v>
      </c>
      <c r="D5740" s="36">
        <f>base!H5740</f>
        <v>171</v>
      </c>
      <c r="E5740" s="44"/>
      <c r="F5740" s="16">
        <f>base!W5740</f>
        <v>0</v>
      </c>
      <c r="G5740" s="11">
        <f t="shared" si="890"/>
        <v>0</v>
      </c>
      <c r="H5740" s="11">
        <f t="shared" si="891"/>
        <v>0</v>
      </c>
      <c r="I5740" s="11">
        <f t="shared" si="892"/>
        <v>0</v>
      </c>
      <c r="J5740" s="12">
        <f t="shared" si="893"/>
        <v>0</v>
      </c>
      <c r="K5740" s="17" t="str">
        <f t="shared" si="898"/>
        <v>Pas d'écart</v>
      </c>
      <c r="L5740" s="16">
        <f>base!X5740</f>
        <v>0</v>
      </c>
      <c r="M5740" s="11">
        <f t="shared" si="894"/>
        <v>0</v>
      </c>
      <c r="N5740" s="11">
        <f t="shared" si="895"/>
        <v>0</v>
      </c>
      <c r="O5740" s="11">
        <f t="shared" si="896"/>
        <v>0</v>
      </c>
      <c r="P5740" s="12">
        <f t="shared" si="897"/>
        <v>0</v>
      </c>
      <c r="Q5740" s="17" t="str">
        <f t="shared" si="899"/>
        <v>Pas d'écart</v>
      </c>
    </row>
    <row r="5741" spans="1:18" x14ac:dyDescent="0.3">
      <c r="A5741" s="34" t="str">
        <f>base!J5741</f>
        <v>LS</v>
      </c>
      <c r="B5741" s="34" t="str">
        <f>base!V5741</f>
        <v>77000</v>
      </c>
      <c r="C5741" s="37">
        <v>77</v>
      </c>
      <c r="D5741" s="36">
        <f>base!H5741</f>
        <v>0</v>
      </c>
      <c r="E5741" s="44"/>
      <c r="F5741" s="16">
        <f>base!W5741</f>
        <v>0</v>
      </c>
      <c r="G5741" s="11" t="e">
        <f t="shared" si="890"/>
        <v>#DIV/0!</v>
      </c>
      <c r="H5741" s="11">
        <f t="shared" si="891"/>
        <v>0</v>
      </c>
      <c r="I5741" s="11" t="e">
        <f t="shared" si="892"/>
        <v>#DIV/0!</v>
      </c>
      <c r="J5741" s="12">
        <f t="shared" si="893"/>
        <v>0</v>
      </c>
      <c r="K5741" s="17" t="str">
        <f t="shared" si="898"/>
        <v>Pas d'écart</v>
      </c>
      <c r="L5741" s="16">
        <f>base!X5741</f>
        <v>0</v>
      </c>
      <c r="M5741" s="11" t="e">
        <f t="shared" si="894"/>
        <v>#DIV/0!</v>
      </c>
      <c r="N5741" s="11">
        <f t="shared" si="895"/>
        <v>0</v>
      </c>
      <c r="O5741" s="11" t="e">
        <f t="shared" si="896"/>
        <v>#DIV/0!</v>
      </c>
      <c r="P5741" s="12">
        <f t="shared" si="897"/>
        <v>0</v>
      </c>
      <c r="Q5741" s="17" t="str">
        <f t="shared" si="899"/>
        <v>Pas d'écart</v>
      </c>
    </row>
    <row r="5742" spans="1:18" x14ac:dyDescent="0.3">
      <c r="A5742" s="34" t="str">
        <f>base!J5742</f>
        <v>DLM</v>
      </c>
      <c r="B5742" s="34" t="str">
        <f>base!V5742</f>
        <v>50640</v>
      </c>
      <c r="C5742" s="37">
        <v>50</v>
      </c>
      <c r="D5742" s="36">
        <f>base!H5742</f>
        <v>86.54</v>
      </c>
      <c r="E5742" s="44"/>
      <c r="F5742" s="16">
        <f>base!W5742</f>
        <v>0</v>
      </c>
      <c r="G5742" s="11">
        <f t="shared" si="890"/>
        <v>0</v>
      </c>
      <c r="H5742" s="11">
        <f t="shared" si="891"/>
        <v>14.711800000000002</v>
      </c>
      <c r="I5742" s="11">
        <f t="shared" si="892"/>
        <v>0.17</v>
      </c>
      <c r="J5742" s="12">
        <f t="shared" si="893"/>
        <v>-14.711800000000002</v>
      </c>
      <c r="K5742" s="17" t="str">
        <f t="shared" si="898"/>
        <v>Ecart négatif</v>
      </c>
      <c r="L5742" s="16">
        <f>base!X5742</f>
        <v>0</v>
      </c>
      <c r="M5742" s="11">
        <f t="shared" si="894"/>
        <v>0</v>
      </c>
      <c r="N5742" s="11">
        <f t="shared" si="895"/>
        <v>14.711800000000002</v>
      </c>
      <c r="O5742" s="11">
        <f t="shared" si="896"/>
        <v>0.17</v>
      </c>
      <c r="P5742" s="12">
        <f t="shared" si="897"/>
        <v>-14.711800000000002</v>
      </c>
      <c r="Q5742" s="17" t="str">
        <f t="shared" si="899"/>
        <v>Ecart négatif</v>
      </c>
    </row>
    <row r="5743" spans="1:18" x14ac:dyDescent="0.3">
      <c r="A5743" s="34" t="str">
        <f>base!J5743</f>
        <v>DRS</v>
      </c>
      <c r="B5743" s="34" t="str">
        <f>base!V5743</f>
        <v>34000</v>
      </c>
      <c r="C5743" s="37">
        <v>34</v>
      </c>
      <c r="D5743" s="36">
        <f>base!H5743</f>
        <v>184.06</v>
      </c>
      <c r="E5743" s="44"/>
      <c r="F5743" s="16">
        <f>base!W5743</f>
        <v>0</v>
      </c>
      <c r="G5743" s="11">
        <f t="shared" si="890"/>
        <v>0</v>
      </c>
      <c r="H5743" s="11">
        <f t="shared" si="891"/>
        <v>71.7834</v>
      </c>
      <c r="I5743" s="11">
        <f t="shared" si="892"/>
        <v>0.39</v>
      </c>
      <c r="J5743" s="12">
        <f t="shared" si="893"/>
        <v>-71.7834</v>
      </c>
      <c r="K5743" s="17" t="str">
        <f t="shared" si="898"/>
        <v>Ecart négatif</v>
      </c>
      <c r="L5743" s="16">
        <f>base!X5743</f>
        <v>0</v>
      </c>
      <c r="M5743" s="11">
        <f t="shared" si="894"/>
        <v>0</v>
      </c>
      <c r="N5743" s="11">
        <f t="shared" si="895"/>
        <v>51.536800000000007</v>
      </c>
      <c r="O5743" s="11">
        <f t="shared" si="896"/>
        <v>0.28000000000000003</v>
      </c>
      <c r="P5743" s="12">
        <f t="shared" si="897"/>
        <v>-51.536800000000007</v>
      </c>
      <c r="Q5743" s="17" t="str">
        <f t="shared" si="899"/>
        <v>Ecart négatif</v>
      </c>
    </row>
    <row r="5744" spans="1:18" x14ac:dyDescent="0.3">
      <c r="A5744" s="34" t="str">
        <f>base!J5744</f>
        <v>RS</v>
      </c>
      <c r="B5744" s="34" t="str">
        <f>base!V5744</f>
        <v>76600</v>
      </c>
      <c r="C5744" s="37">
        <v>76</v>
      </c>
      <c r="D5744" s="36">
        <f>base!H5744</f>
        <v>151</v>
      </c>
      <c r="E5744" s="44"/>
      <c r="F5744" s="16">
        <f>base!W5744</f>
        <v>0</v>
      </c>
      <c r="G5744" s="11">
        <f t="shared" si="890"/>
        <v>0</v>
      </c>
      <c r="H5744" s="11">
        <f t="shared" si="891"/>
        <v>25.67</v>
      </c>
      <c r="I5744" s="11">
        <f t="shared" si="892"/>
        <v>0.17</v>
      </c>
      <c r="J5744" s="12">
        <f t="shared" si="893"/>
        <v>-25.67</v>
      </c>
      <c r="K5744" s="17" t="str">
        <f t="shared" si="898"/>
        <v>Ecart négatif</v>
      </c>
      <c r="L5744" s="16">
        <f>base!X5744</f>
        <v>25.67</v>
      </c>
      <c r="M5744" s="11">
        <f t="shared" si="894"/>
        <v>0.17</v>
      </c>
      <c r="N5744" s="11">
        <f t="shared" si="895"/>
        <v>25.67</v>
      </c>
      <c r="O5744" s="11">
        <f t="shared" si="896"/>
        <v>0.17</v>
      </c>
      <c r="P5744" s="12">
        <f t="shared" si="897"/>
        <v>0</v>
      </c>
      <c r="Q5744" s="17" t="str">
        <f t="shared" si="899"/>
        <v>Pas d'écart</v>
      </c>
      <c r="R5744" s="38"/>
    </row>
    <row r="5745" spans="1:17" x14ac:dyDescent="0.3">
      <c r="A5745" s="34">
        <f>base!J5745</f>
        <v>0</v>
      </c>
      <c r="B5745" s="34" t="str">
        <f>base!V5745</f>
        <v>77184</v>
      </c>
      <c r="C5745" s="37">
        <v>77</v>
      </c>
      <c r="D5745" s="36">
        <f>base!H5745</f>
        <v>189</v>
      </c>
      <c r="E5745" s="44"/>
      <c r="F5745" s="16">
        <f>base!W5745</f>
        <v>0</v>
      </c>
      <c r="G5745" s="11">
        <f t="shared" si="890"/>
        <v>0</v>
      </c>
      <c r="H5745" s="11">
        <f t="shared" si="891"/>
        <v>0</v>
      </c>
      <c r="I5745" s="11">
        <f t="shared" si="892"/>
        <v>0</v>
      </c>
      <c r="J5745" s="12">
        <f t="shared" si="893"/>
        <v>0</v>
      </c>
      <c r="K5745" s="17" t="str">
        <f t="shared" si="898"/>
        <v>Pas d'écart</v>
      </c>
      <c r="L5745" s="16">
        <f>base!X5745</f>
        <v>0</v>
      </c>
      <c r="M5745" s="11">
        <f t="shared" si="894"/>
        <v>0</v>
      </c>
      <c r="N5745" s="11">
        <f t="shared" si="895"/>
        <v>0</v>
      </c>
      <c r="O5745" s="11">
        <f t="shared" si="896"/>
        <v>0</v>
      </c>
      <c r="P5745" s="12">
        <f t="shared" si="897"/>
        <v>0</v>
      </c>
      <c r="Q5745" s="17" t="str">
        <f t="shared" si="899"/>
        <v>Pas d'écart</v>
      </c>
    </row>
    <row r="5746" spans="1:17" x14ac:dyDescent="0.3">
      <c r="A5746" s="34">
        <f>base!J5746</f>
        <v>0</v>
      </c>
      <c r="B5746" s="34" t="str">
        <f>base!V5746</f>
        <v>77184</v>
      </c>
      <c r="C5746" s="37">
        <v>77</v>
      </c>
      <c r="D5746" s="36">
        <f>base!H5746</f>
        <v>197</v>
      </c>
      <c r="E5746" s="44"/>
      <c r="F5746" s="16">
        <f>base!W5746</f>
        <v>0</v>
      </c>
      <c r="G5746" s="11">
        <f t="shared" si="890"/>
        <v>0</v>
      </c>
      <c r="H5746" s="11">
        <f t="shared" si="891"/>
        <v>0</v>
      </c>
      <c r="I5746" s="11">
        <f t="shared" si="892"/>
        <v>0</v>
      </c>
      <c r="J5746" s="12">
        <f t="shared" si="893"/>
        <v>0</v>
      </c>
      <c r="K5746" s="17" t="str">
        <f t="shared" si="898"/>
        <v>Pas d'écart</v>
      </c>
      <c r="L5746" s="16">
        <f>base!X5746</f>
        <v>0</v>
      </c>
      <c r="M5746" s="11">
        <f t="shared" si="894"/>
        <v>0</v>
      </c>
      <c r="N5746" s="11">
        <f t="shared" si="895"/>
        <v>0</v>
      </c>
      <c r="O5746" s="11">
        <f t="shared" si="896"/>
        <v>0</v>
      </c>
      <c r="P5746" s="12">
        <f t="shared" si="897"/>
        <v>0</v>
      </c>
      <c r="Q5746" s="17" t="str">
        <f t="shared" si="899"/>
        <v>Pas d'écart</v>
      </c>
    </row>
    <row r="5747" spans="1:17" x14ac:dyDescent="0.3">
      <c r="A5747" s="34">
        <f>base!J5747</f>
        <v>0</v>
      </c>
      <c r="B5747" s="34" t="str">
        <f>base!V5747</f>
        <v>77184</v>
      </c>
      <c r="C5747" s="37">
        <v>77</v>
      </c>
      <c r="D5747" s="36">
        <f>base!H5747</f>
        <v>84.5</v>
      </c>
      <c r="E5747" s="44"/>
      <c r="F5747" s="16">
        <f>base!W5747</f>
        <v>0</v>
      </c>
      <c r="G5747" s="11">
        <f t="shared" si="890"/>
        <v>0</v>
      </c>
      <c r="H5747" s="11">
        <f t="shared" si="891"/>
        <v>0</v>
      </c>
      <c r="I5747" s="11">
        <f t="shared" si="892"/>
        <v>0</v>
      </c>
      <c r="J5747" s="12">
        <f t="shared" si="893"/>
        <v>0</v>
      </c>
      <c r="K5747" s="17" t="str">
        <f t="shared" si="898"/>
        <v>Pas d'écart</v>
      </c>
      <c r="L5747" s="16">
        <f>base!X5747</f>
        <v>0</v>
      </c>
      <c r="M5747" s="11">
        <f t="shared" si="894"/>
        <v>0</v>
      </c>
      <c r="N5747" s="11">
        <f t="shared" si="895"/>
        <v>0</v>
      </c>
      <c r="O5747" s="11">
        <f t="shared" si="896"/>
        <v>0</v>
      </c>
      <c r="P5747" s="12">
        <f t="shared" si="897"/>
        <v>0</v>
      </c>
      <c r="Q5747" s="17" t="str">
        <f t="shared" si="899"/>
        <v>Pas d'écart</v>
      </c>
    </row>
    <row r="5748" spans="1:17" x14ac:dyDescent="0.3">
      <c r="A5748" s="34" t="str">
        <f>base!J5748</f>
        <v>LM</v>
      </c>
      <c r="B5748" s="34" t="str">
        <f>base!V5748</f>
        <v>06190</v>
      </c>
      <c r="C5748" s="37">
        <v>44</v>
      </c>
      <c r="D5748" s="36">
        <f>base!H5748</f>
        <v>79</v>
      </c>
      <c r="E5748" s="44"/>
      <c r="F5748" s="16">
        <f>base!W5748</f>
        <v>23.7</v>
      </c>
      <c r="G5748" s="11">
        <f t="shared" si="890"/>
        <v>0.3</v>
      </c>
      <c r="H5748" s="11">
        <f t="shared" si="891"/>
        <v>21.330000000000002</v>
      </c>
      <c r="I5748" s="11">
        <f t="shared" si="892"/>
        <v>0.27</v>
      </c>
      <c r="J5748" s="12">
        <f t="shared" si="893"/>
        <v>2.3699999999999974</v>
      </c>
      <c r="K5748" s="17" t="str">
        <f t="shared" si="898"/>
        <v>Ecart positif</v>
      </c>
      <c r="L5748" s="16">
        <f>base!X5748</f>
        <v>0</v>
      </c>
      <c r="M5748" s="11">
        <f t="shared" si="894"/>
        <v>0</v>
      </c>
      <c r="N5748" s="11">
        <f t="shared" si="895"/>
        <v>0</v>
      </c>
      <c r="O5748" s="11">
        <f t="shared" si="896"/>
        <v>0</v>
      </c>
      <c r="P5748" s="12">
        <f t="shared" si="897"/>
        <v>0</v>
      </c>
      <c r="Q5748" s="17" t="str">
        <f t="shared" si="899"/>
        <v>Pas d'écart</v>
      </c>
    </row>
    <row r="5749" spans="1:17" x14ac:dyDescent="0.3">
      <c r="A5749" s="34" t="str">
        <f>base!J5749</f>
        <v>LS</v>
      </c>
      <c r="B5749" s="34" t="str">
        <f>base!V5749</f>
        <v>06190</v>
      </c>
      <c r="C5749" s="37">
        <v>6</v>
      </c>
      <c r="D5749" s="36">
        <f>base!H5749</f>
        <v>0</v>
      </c>
      <c r="E5749" s="44"/>
      <c r="F5749" s="16">
        <f>base!W5749</f>
        <v>0</v>
      </c>
      <c r="G5749" s="11" t="e">
        <f t="shared" si="890"/>
        <v>#DIV/0!</v>
      </c>
      <c r="H5749" s="11">
        <f t="shared" si="891"/>
        <v>0</v>
      </c>
      <c r="I5749" s="11" t="e">
        <f t="shared" si="892"/>
        <v>#DIV/0!</v>
      </c>
      <c r="J5749" s="12">
        <f t="shared" si="893"/>
        <v>0</v>
      </c>
      <c r="K5749" s="17" t="str">
        <f t="shared" si="898"/>
        <v>Pas d'écart</v>
      </c>
      <c r="L5749" s="16">
        <f>base!X5749</f>
        <v>0</v>
      </c>
      <c r="M5749" s="11" t="e">
        <f t="shared" si="894"/>
        <v>#DIV/0!</v>
      </c>
      <c r="N5749" s="11">
        <f t="shared" si="895"/>
        <v>0</v>
      </c>
      <c r="O5749" s="11" t="e">
        <f t="shared" si="896"/>
        <v>#DIV/0!</v>
      </c>
      <c r="P5749" s="12">
        <f t="shared" si="897"/>
        <v>0</v>
      </c>
      <c r="Q5749" s="17" t="str">
        <f t="shared" si="899"/>
        <v>Pas d'écart</v>
      </c>
    </row>
    <row r="5750" spans="1:17" x14ac:dyDescent="0.3">
      <c r="A5750" s="34" t="str">
        <f>base!J5750</f>
        <v>LM</v>
      </c>
      <c r="B5750" s="34" t="str">
        <f>base!V5750</f>
        <v>68200</v>
      </c>
      <c r="C5750" s="37">
        <v>38</v>
      </c>
      <c r="D5750" s="36">
        <f>base!H5750</f>
        <v>67.25</v>
      </c>
      <c r="E5750" s="44"/>
      <c r="F5750" s="16">
        <f>base!W5750</f>
        <v>19.5</v>
      </c>
      <c r="G5750" s="11">
        <f t="shared" si="890"/>
        <v>0.2899628252788104</v>
      </c>
      <c r="H5750" s="11">
        <f t="shared" si="891"/>
        <v>18.157500000000002</v>
      </c>
      <c r="I5750" s="11">
        <f t="shared" si="892"/>
        <v>0.27</v>
      </c>
      <c r="J5750" s="12">
        <f t="shared" si="893"/>
        <v>1.3424999999999976</v>
      </c>
      <c r="K5750" s="17" t="str">
        <f t="shared" si="898"/>
        <v>Ecart positif</v>
      </c>
      <c r="L5750" s="16">
        <f>base!X5750</f>
        <v>0</v>
      </c>
      <c r="M5750" s="11">
        <f t="shared" si="894"/>
        <v>0</v>
      </c>
      <c r="N5750" s="11">
        <f t="shared" si="895"/>
        <v>0</v>
      </c>
      <c r="O5750" s="11">
        <f t="shared" si="896"/>
        <v>0</v>
      </c>
      <c r="P5750" s="12">
        <f t="shared" si="897"/>
        <v>0</v>
      </c>
      <c r="Q5750" s="17" t="str">
        <f t="shared" si="899"/>
        <v>Pas d'écart</v>
      </c>
    </row>
    <row r="5751" spans="1:17" x14ac:dyDescent="0.3">
      <c r="A5751" s="34" t="str">
        <f>base!J5751</f>
        <v>LS</v>
      </c>
      <c r="B5751" s="34" t="str">
        <f>base!V5751</f>
        <v>62170</v>
      </c>
      <c r="C5751" s="37">
        <v>38</v>
      </c>
      <c r="D5751" s="36">
        <f>base!H5751</f>
        <v>198.23</v>
      </c>
      <c r="E5751" s="44"/>
      <c r="F5751" s="16">
        <f>base!W5751</f>
        <v>37.659999999999997</v>
      </c>
      <c r="G5751" s="11">
        <f t="shared" si="890"/>
        <v>0.1899813348130959</v>
      </c>
      <c r="H5751" s="11">
        <f t="shared" si="891"/>
        <v>53.522100000000002</v>
      </c>
      <c r="I5751" s="11">
        <f t="shared" si="892"/>
        <v>0.27</v>
      </c>
      <c r="J5751" s="12">
        <f t="shared" si="893"/>
        <v>-15.862100000000005</v>
      </c>
      <c r="K5751" s="17" t="str">
        <f t="shared" si="898"/>
        <v>Ecart négatif</v>
      </c>
      <c r="L5751" s="16">
        <f>base!X5751</f>
        <v>0</v>
      </c>
      <c r="M5751" s="11">
        <f t="shared" si="894"/>
        <v>0</v>
      </c>
      <c r="N5751" s="11">
        <f t="shared" si="895"/>
        <v>0</v>
      </c>
      <c r="O5751" s="11">
        <f t="shared" si="896"/>
        <v>0</v>
      </c>
      <c r="P5751" s="12">
        <f t="shared" si="897"/>
        <v>0</v>
      </c>
      <c r="Q5751" s="17" t="str">
        <f t="shared" si="899"/>
        <v>Pas d'écart</v>
      </c>
    </row>
    <row r="5752" spans="1:17" x14ac:dyDescent="0.3">
      <c r="A5752" s="34" t="str">
        <f>base!J5752</f>
        <v>LM</v>
      </c>
      <c r="B5752" s="34" t="str">
        <f>base!V5752</f>
        <v>18000</v>
      </c>
      <c r="C5752" s="37">
        <v>38</v>
      </c>
      <c r="D5752" s="36">
        <f>base!H5752</f>
        <v>36.369999999999997</v>
      </c>
      <c r="E5752" s="44"/>
      <c r="F5752" s="16">
        <f>base!W5752</f>
        <v>7.64</v>
      </c>
      <c r="G5752" s="11">
        <f t="shared" si="890"/>
        <v>0.21006323893318671</v>
      </c>
      <c r="H5752" s="11">
        <f t="shared" si="891"/>
        <v>9.8199000000000005</v>
      </c>
      <c r="I5752" s="11">
        <f t="shared" si="892"/>
        <v>0.27</v>
      </c>
      <c r="J5752" s="12">
        <f t="shared" si="893"/>
        <v>-2.1799000000000008</v>
      </c>
      <c r="K5752" s="17" t="str">
        <f t="shared" si="898"/>
        <v>Ecart négatif</v>
      </c>
      <c r="L5752" s="16">
        <f>base!X5752</f>
        <v>0</v>
      </c>
      <c r="M5752" s="11">
        <f t="shared" si="894"/>
        <v>0</v>
      </c>
      <c r="N5752" s="11">
        <f t="shared" si="895"/>
        <v>0</v>
      </c>
      <c r="O5752" s="11">
        <f t="shared" si="896"/>
        <v>0</v>
      </c>
      <c r="P5752" s="12">
        <f t="shared" si="897"/>
        <v>0</v>
      </c>
      <c r="Q5752" s="17" t="str">
        <f t="shared" si="899"/>
        <v>Pas d'écart</v>
      </c>
    </row>
    <row r="5753" spans="1:17" x14ac:dyDescent="0.3">
      <c r="A5753" s="34" t="str">
        <f>base!J5753</f>
        <v>LM</v>
      </c>
      <c r="B5753" s="34" t="str">
        <f>base!V5753</f>
        <v>75014</v>
      </c>
      <c r="C5753" s="37">
        <v>75</v>
      </c>
      <c r="D5753" s="36">
        <f>base!H5753</f>
        <v>137.59</v>
      </c>
      <c r="E5753" s="44"/>
      <c r="F5753" s="16">
        <f>base!W5753</f>
        <v>0</v>
      </c>
      <c r="G5753" s="11">
        <f t="shared" si="890"/>
        <v>0</v>
      </c>
      <c r="H5753" s="11">
        <f t="shared" si="891"/>
        <v>0</v>
      </c>
      <c r="I5753" s="11">
        <f t="shared" si="892"/>
        <v>0</v>
      </c>
      <c r="J5753" s="12">
        <f t="shared" si="893"/>
        <v>0</v>
      </c>
      <c r="K5753" s="17" t="str">
        <f t="shared" si="898"/>
        <v>Pas d'écart</v>
      </c>
      <c r="L5753" s="16">
        <f>base!X5753</f>
        <v>0</v>
      </c>
      <c r="M5753" s="11">
        <f t="shared" si="894"/>
        <v>0</v>
      </c>
      <c r="N5753" s="11">
        <f t="shared" si="895"/>
        <v>0</v>
      </c>
      <c r="O5753" s="11">
        <f t="shared" si="896"/>
        <v>0</v>
      </c>
      <c r="P5753" s="12">
        <f t="shared" si="897"/>
        <v>0</v>
      </c>
      <c r="Q5753" s="17" t="str">
        <f t="shared" si="899"/>
        <v>Pas d'écart</v>
      </c>
    </row>
    <row r="5754" spans="1:17" x14ac:dyDescent="0.3">
      <c r="A5754" s="34" t="str">
        <f>base!J5754</f>
        <v>LM</v>
      </c>
      <c r="B5754" s="34" t="str">
        <f>base!V5754</f>
        <v>75014</v>
      </c>
      <c r="C5754" s="37">
        <v>75</v>
      </c>
      <c r="D5754" s="36">
        <f>base!H5754</f>
        <v>107.6</v>
      </c>
      <c r="E5754" s="44"/>
      <c r="F5754" s="16">
        <f>base!W5754</f>
        <v>0</v>
      </c>
      <c r="G5754" s="11">
        <f t="shared" si="890"/>
        <v>0</v>
      </c>
      <c r="H5754" s="11">
        <f t="shared" si="891"/>
        <v>0</v>
      </c>
      <c r="I5754" s="11">
        <f t="shared" si="892"/>
        <v>0</v>
      </c>
      <c r="J5754" s="12">
        <f t="shared" si="893"/>
        <v>0</v>
      </c>
      <c r="K5754" s="17" t="str">
        <f t="shared" si="898"/>
        <v>Pas d'écart</v>
      </c>
      <c r="L5754" s="16">
        <f>base!X5754</f>
        <v>0</v>
      </c>
      <c r="M5754" s="11">
        <f t="shared" si="894"/>
        <v>0</v>
      </c>
      <c r="N5754" s="11">
        <f t="shared" si="895"/>
        <v>0</v>
      </c>
      <c r="O5754" s="11">
        <f t="shared" si="896"/>
        <v>0</v>
      </c>
      <c r="P5754" s="12">
        <f t="shared" si="897"/>
        <v>0</v>
      </c>
      <c r="Q5754" s="17" t="str">
        <f t="shared" si="899"/>
        <v>Pas d'écart</v>
      </c>
    </row>
    <row r="5755" spans="1:17" x14ac:dyDescent="0.3">
      <c r="A5755" s="34" t="str">
        <f>base!J5755</f>
        <v>LS</v>
      </c>
      <c r="B5755" s="34" t="str">
        <f>base!V5755</f>
        <v>75014</v>
      </c>
      <c r="C5755" s="37">
        <v>75</v>
      </c>
      <c r="D5755" s="36">
        <f>base!H5755</f>
        <v>53.38</v>
      </c>
      <c r="E5755" s="44"/>
      <c r="F5755" s="16">
        <f>base!W5755</f>
        <v>0</v>
      </c>
      <c r="G5755" s="11">
        <f t="shared" si="890"/>
        <v>0</v>
      </c>
      <c r="H5755" s="11">
        <f t="shared" si="891"/>
        <v>0</v>
      </c>
      <c r="I5755" s="11">
        <f t="shared" si="892"/>
        <v>0</v>
      </c>
      <c r="J5755" s="12">
        <f t="shared" si="893"/>
        <v>0</v>
      </c>
      <c r="K5755" s="17" t="str">
        <f t="shared" si="898"/>
        <v>Pas d'écart</v>
      </c>
      <c r="L5755" s="16">
        <f>base!X5755</f>
        <v>0</v>
      </c>
      <c r="M5755" s="11">
        <f t="shared" si="894"/>
        <v>0</v>
      </c>
      <c r="N5755" s="11">
        <f t="shared" si="895"/>
        <v>0</v>
      </c>
      <c r="O5755" s="11">
        <f t="shared" si="896"/>
        <v>0</v>
      </c>
      <c r="P5755" s="12">
        <f t="shared" si="897"/>
        <v>0</v>
      </c>
      <c r="Q5755" s="17" t="str">
        <f t="shared" si="899"/>
        <v>Pas d'écart</v>
      </c>
    </row>
    <row r="5756" spans="1:17" x14ac:dyDescent="0.3">
      <c r="A5756" s="34" t="str">
        <f>base!J5756</f>
        <v>LS</v>
      </c>
      <c r="B5756" s="34" t="str">
        <f>base!V5756</f>
        <v>62780</v>
      </c>
      <c r="C5756" s="37">
        <v>38</v>
      </c>
      <c r="D5756" s="36">
        <f>base!H5756</f>
        <v>120.29</v>
      </c>
      <c r="E5756" s="44"/>
      <c r="F5756" s="16">
        <f>base!W5756</f>
        <v>22.86</v>
      </c>
      <c r="G5756" s="11">
        <f t="shared" si="890"/>
        <v>0.19004073489068085</v>
      </c>
      <c r="H5756" s="11">
        <f t="shared" si="891"/>
        <v>32.478300000000004</v>
      </c>
      <c r="I5756" s="11">
        <f t="shared" si="892"/>
        <v>0.27</v>
      </c>
      <c r="J5756" s="12">
        <f t="shared" si="893"/>
        <v>-9.618300000000005</v>
      </c>
      <c r="K5756" s="17" t="str">
        <f t="shared" si="898"/>
        <v>Ecart négatif</v>
      </c>
      <c r="L5756" s="16">
        <f>base!X5756</f>
        <v>0</v>
      </c>
      <c r="M5756" s="11">
        <f t="shared" si="894"/>
        <v>0</v>
      </c>
      <c r="N5756" s="11">
        <f t="shared" si="895"/>
        <v>0</v>
      </c>
      <c r="O5756" s="11">
        <f t="shared" si="896"/>
        <v>0</v>
      </c>
      <c r="P5756" s="12">
        <f t="shared" si="897"/>
        <v>0</v>
      </c>
      <c r="Q5756" s="17" t="str">
        <f t="shared" si="899"/>
        <v>Pas d'écart</v>
      </c>
    </row>
    <row r="5757" spans="1:17" x14ac:dyDescent="0.3">
      <c r="A5757" s="34" t="str">
        <f>base!J5757</f>
        <v>LM</v>
      </c>
      <c r="B5757" s="34" t="str">
        <f>base!V5757</f>
        <v>62170</v>
      </c>
      <c r="C5757" s="37">
        <v>69</v>
      </c>
      <c r="D5757" s="36">
        <f>base!H5757</f>
        <v>120.29</v>
      </c>
      <c r="E5757" s="44"/>
      <c r="F5757" s="16">
        <f>base!W5757</f>
        <v>22.86</v>
      </c>
      <c r="G5757" s="11">
        <f t="shared" si="890"/>
        <v>0.19004073489068085</v>
      </c>
      <c r="H5757" s="11">
        <f t="shared" si="891"/>
        <v>32.478300000000004</v>
      </c>
      <c r="I5757" s="11">
        <f t="shared" si="892"/>
        <v>0.27</v>
      </c>
      <c r="J5757" s="12">
        <f t="shared" si="893"/>
        <v>-9.618300000000005</v>
      </c>
      <c r="K5757" s="17" t="str">
        <f t="shared" si="898"/>
        <v>Ecart négatif</v>
      </c>
      <c r="L5757" s="16">
        <f>base!X5757</f>
        <v>0</v>
      </c>
      <c r="M5757" s="11">
        <f t="shared" si="894"/>
        <v>0</v>
      </c>
      <c r="N5757" s="11">
        <f t="shared" si="895"/>
        <v>0</v>
      </c>
      <c r="O5757" s="11">
        <f t="shared" si="896"/>
        <v>0</v>
      </c>
      <c r="P5757" s="12">
        <f t="shared" si="897"/>
        <v>0</v>
      </c>
      <c r="Q5757" s="17" t="str">
        <f t="shared" si="899"/>
        <v>Pas d'écart</v>
      </c>
    </row>
    <row r="5758" spans="1:17" x14ac:dyDescent="0.3">
      <c r="A5758" s="34" t="str">
        <f>base!J5758</f>
        <v>LM</v>
      </c>
      <c r="B5758" s="34" t="str">
        <f>base!V5758</f>
        <v>59380</v>
      </c>
      <c r="C5758" s="37">
        <v>35</v>
      </c>
      <c r="D5758" s="36">
        <f>base!H5758</f>
        <v>18.350000000000001</v>
      </c>
      <c r="E5758" s="44"/>
      <c r="F5758" s="16">
        <f>base!W5758</f>
        <v>3.49</v>
      </c>
      <c r="G5758" s="11">
        <f t="shared" si="890"/>
        <v>0.19019073569482289</v>
      </c>
      <c r="H5758" s="11">
        <f t="shared" si="891"/>
        <v>4.9545000000000003</v>
      </c>
      <c r="I5758" s="11">
        <f t="shared" si="892"/>
        <v>0.27</v>
      </c>
      <c r="J5758" s="12">
        <f t="shared" si="893"/>
        <v>-1.4645000000000001</v>
      </c>
      <c r="K5758" s="17" t="str">
        <f t="shared" si="898"/>
        <v>Ecart négatif</v>
      </c>
      <c r="L5758" s="16">
        <f>base!X5758</f>
        <v>0</v>
      </c>
      <c r="M5758" s="11">
        <f t="shared" si="894"/>
        <v>0</v>
      </c>
      <c r="N5758" s="11">
        <f t="shared" si="895"/>
        <v>0</v>
      </c>
      <c r="O5758" s="11">
        <f t="shared" si="896"/>
        <v>0</v>
      </c>
      <c r="P5758" s="12">
        <f t="shared" si="897"/>
        <v>0</v>
      </c>
      <c r="Q5758" s="17" t="str">
        <f t="shared" si="899"/>
        <v>Pas d'écart</v>
      </c>
    </row>
    <row r="5759" spans="1:17" x14ac:dyDescent="0.3">
      <c r="A5759" s="34">
        <f>base!J5759</f>
        <v>0</v>
      </c>
      <c r="B5759" s="34" t="str">
        <f>base!V5759</f>
        <v>44240</v>
      </c>
      <c r="C5759" s="37">
        <v>44</v>
      </c>
      <c r="D5759" s="36">
        <f>base!H5759</f>
        <v>158.11000000000001</v>
      </c>
      <c r="E5759" s="44"/>
      <c r="F5759" s="16">
        <f>base!W5759</f>
        <v>0</v>
      </c>
      <c r="G5759" s="11">
        <f t="shared" si="890"/>
        <v>0</v>
      </c>
      <c r="H5759" s="11">
        <f t="shared" si="891"/>
        <v>42.689700000000009</v>
      </c>
      <c r="I5759" s="11">
        <f t="shared" si="892"/>
        <v>0.27</v>
      </c>
      <c r="J5759" s="12">
        <f t="shared" si="893"/>
        <v>-42.689700000000009</v>
      </c>
      <c r="K5759" s="17" t="str">
        <f t="shared" si="898"/>
        <v>Ecart négatif</v>
      </c>
      <c r="L5759" s="16">
        <f>base!X5759</f>
        <v>0</v>
      </c>
      <c r="M5759" s="11">
        <f t="shared" si="894"/>
        <v>0</v>
      </c>
      <c r="N5759" s="11">
        <f t="shared" si="895"/>
        <v>0</v>
      </c>
      <c r="O5759" s="11">
        <f t="shared" si="896"/>
        <v>0</v>
      </c>
      <c r="P5759" s="12">
        <f t="shared" si="897"/>
        <v>0</v>
      </c>
      <c r="Q5759" s="17" t="str">
        <f t="shared" si="899"/>
        <v>Pas d'écart</v>
      </c>
    </row>
    <row r="5760" spans="1:17" x14ac:dyDescent="0.3">
      <c r="A5760" s="34">
        <f>base!J5760</f>
        <v>0</v>
      </c>
      <c r="B5760" s="34" t="str">
        <f>base!V5760</f>
        <v>77184</v>
      </c>
      <c r="C5760" s="37">
        <v>77</v>
      </c>
      <c r="D5760" s="36">
        <f>base!H5760</f>
        <v>136.97999999999999</v>
      </c>
      <c r="E5760" s="44"/>
      <c r="F5760" s="16">
        <f>base!W5760</f>
        <v>0</v>
      </c>
      <c r="G5760" s="11">
        <f t="shared" si="890"/>
        <v>0</v>
      </c>
      <c r="H5760" s="11">
        <f t="shared" si="891"/>
        <v>0</v>
      </c>
      <c r="I5760" s="11">
        <f t="shared" si="892"/>
        <v>0</v>
      </c>
      <c r="J5760" s="12">
        <f t="shared" si="893"/>
        <v>0</v>
      </c>
      <c r="K5760" s="17" t="str">
        <f t="shared" si="898"/>
        <v>Pas d'écart</v>
      </c>
      <c r="L5760" s="16">
        <f>base!X5760</f>
        <v>0</v>
      </c>
      <c r="M5760" s="11">
        <f t="shared" si="894"/>
        <v>0</v>
      </c>
      <c r="N5760" s="11">
        <f t="shared" si="895"/>
        <v>0</v>
      </c>
      <c r="O5760" s="11">
        <f t="shared" si="896"/>
        <v>0</v>
      </c>
      <c r="P5760" s="12">
        <f t="shared" si="897"/>
        <v>0</v>
      </c>
      <c r="Q5760" s="17" t="str">
        <f t="shared" si="899"/>
        <v>Pas d'écart</v>
      </c>
    </row>
    <row r="5761" spans="1:18" x14ac:dyDescent="0.3">
      <c r="A5761" s="34" t="str">
        <f>base!J5761</f>
        <v>RM</v>
      </c>
      <c r="B5761" s="34" t="str">
        <f>base!V5761</f>
        <v>44350</v>
      </c>
      <c r="C5761" s="37">
        <v>44</v>
      </c>
      <c r="D5761" s="36">
        <f>base!H5761</f>
        <v>27</v>
      </c>
      <c r="E5761" s="44"/>
      <c r="F5761" s="16">
        <f>base!W5761</f>
        <v>0</v>
      </c>
      <c r="G5761" s="11">
        <f t="shared" si="890"/>
        <v>0</v>
      </c>
      <c r="H5761" s="11">
        <f t="shared" si="891"/>
        <v>7.2900000000000009</v>
      </c>
      <c r="I5761" s="11">
        <f t="shared" si="892"/>
        <v>0.27</v>
      </c>
      <c r="J5761" s="12">
        <f t="shared" si="893"/>
        <v>-7.2900000000000009</v>
      </c>
      <c r="K5761" s="17" t="str">
        <f t="shared" si="898"/>
        <v>Ecart négatif</v>
      </c>
      <c r="L5761" s="16">
        <f>base!X5761</f>
        <v>0</v>
      </c>
      <c r="M5761" s="11">
        <f t="shared" si="894"/>
        <v>0</v>
      </c>
      <c r="N5761" s="11">
        <f t="shared" si="895"/>
        <v>0</v>
      </c>
      <c r="O5761" s="11">
        <f t="shared" si="896"/>
        <v>0</v>
      </c>
      <c r="P5761" s="12">
        <f t="shared" si="897"/>
        <v>0</v>
      </c>
      <c r="Q5761" s="17" t="str">
        <f t="shared" si="899"/>
        <v>Pas d'écart</v>
      </c>
    </row>
    <row r="5762" spans="1:18" x14ac:dyDescent="0.3">
      <c r="A5762" s="34" t="str">
        <f>base!J5762</f>
        <v>RM</v>
      </c>
      <c r="B5762" s="34" t="str">
        <f>base!V5762</f>
        <v>44350</v>
      </c>
      <c r="C5762" s="37">
        <v>44</v>
      </c>
      <c r="D5762" s="36">
        <f>base!H5762</f>
        <v>233.58</v>
      </c>
      <c r="E5762" s="44"/>
      <c r="F5762" s="16">
        <f>base!W5762</f>
        <v>0</v>
      </c>
      <c r="G5762" s="11">
        <f t="shared" ref="G5762:G5825" si="900">F5762/D5762</f>
        <v>0</v>
      </c>
      <c r="H5762" s="11">
        <f t="shared" ref="H5762:H5825" si="901">VLOOKUP(C5762,tout_cout_traction,2,FALSE)*D5762</f>
        <v>63.066600000000008</v>
      </c>
      <c r="I5762" s="11">
        <f t="shared" ref="I5762:I5825" si="902">H5762/D5762</f>
        <v>0.27</v>
      </c>
      <c r="J5762" s="12">
        <f t="shared" ref="J5762:J5825" si="903">F5762-H5762</f>
        <v>-63.066600000000008</v>
      </c>
      <c r="K5762" s="17" t="str">
        <f t="shared" si="898"/>
        <v>Ecart négatif</v>
      </c>
      <c r="L5762" s="16">
        <f>base!X5762</f>
        <v>0</v>
      </c>
      <c r="M5762" s="11">
        <f t="shared" ref="M5762:M5825" si="904">L5762/D5762</f>
        <v>0</v>
      </c>
      <c r="N5762" s="11">
        <f t="shared" ref="N5762:N5825" si="905">VLOOKUP(C5762,tout_cout_traction,3,FALSE)*D5762</f>
        <v>0</v>
      </c>
      <c r="O5762" s="11">
        <f t="shared" ref="O5762:O5825" si="906">N5762/D5762</f>
        <v>0</v>
      </c>
      <c r="P5762" s="12">
        <f t="shared" ref="P5762:P5825" si="907">L5762-N5762</f>
        <v>0</v>
      </c>
      <c r="Q5762" s="17" t="str">
        <f t="shared" si="899"/>
        <v>Pas d'écart</v>
      </c>
    </row>
    <row r="5763" spans="1:18" x14ac:dyDescent="0.3">
      <c r="A5763" s="34" t="str">
        <f>base!J5763</f>
        <v>RS</v>
      </c>
      <c r="B5763" s="34" t="str">
        <f>base!V5763</f>
        <v>14000</v>
      </c>
      <c r="C5763" s="37">
        <v>14</v>
      </c>
      <c r="D5763" s="36">
        <f>base!H5763</f>
        <v>151</v>
      </c>
      <c r="E5763" s="44"/>
      <c r="F5763" s="16">
        <f>base!W5763</f>
        <v>0</v>
      </c>
      <c r="G5763" s="11">
        <f t="shared" si="900"/>
        <v>0</v>
      </c>
      <c r="H5763" s="11">
        <f t="shared" si="901"/>
        <v>25.67</v>
      </c>
      <c r="I5763" s="11">
        <f t="shared" si="902"/>
        <v>0.17</v>
      </c>
      <c r="J5763" s="12">
        <f t="shared" si="903"/>
        <v>-25.67</v>
      </c>
      <c r="K5763" s="17" t="str">
        <f t="shared" ref="K5763:K5826" si="908">IF(H5763=F5763,"Pas d'écart",IF(H5763&lt;F5763,"Ecart positif",IF(H5763&gt;F5763,"Ecart négatif")))</f>
        <v>Ecart négatif</v>
      </c>
      <c r="L5763" s="16">
        <f>base!X5763</f>
        <v>25.67</v>
      </c>
      <c r="M5763" s="11">
        <f t="shared" si="904"/>
        <v>0.17</v>
      </c>
      <c r="N5763" s="11">
        <f t="shared" si="905"/>
        <v>25.67</v>
      </c>
      <c r="O5763" s="11">
        <f t="shared" si="906"/>
        <v>0.17</v>
      </c>
      <c r="P5763" s="12">
        <f t="shared" si="907"/>
        <v>0</v>
      </c>
      <c r="Q5763" s="17" t="str">
        <f t="shared" ref="Q5763:Q5826" si="909">IF(N5763=L5763,"Pas d'écart",IF(N5763&lt;L5763,"Ecart positif",IF(N5763&gt;L5763,"Ecart négatif")))</f>
        <v>Pas d'écart</v>
      </c>
      <c r="R5763" s="38"/>
    </row>
    <row r="5764" spans="1:18" x14ac:dyDescent="0.3">
      <c r="A5764" s="34">
        <f>base!J5764</f>
        <v>0</v>
      </c>
      <c r="B5764" s="34" t="str">
        <f>base!V5764</f>
        <v>77184</v>
      </c>
      <c r="C5764" s="37">
        <v>77</v>
      </c>
      <c r="D5764" s="36">
        <f>base!H5764</f>
        <v>129.06</v>
      </c>
      <c r="E5764" s="44"/>
      <c r="F5764" s="16">
        <f>base!W5764</f>
        <v>0</v>
      </c>
      <c r="G5764" s="11">
        <f t="shared" si="900"/>
        <v>0</v>
      </c>
      <c r="H5764" s="11">
        <f t="shared" si="901"/>
        <v>0</v>
      </c>
      <c r="I5764" s="11">
        <f t="shared" si="902"/>
        <v>0</v>
      </c>
      <c r="J5764" s="12">
        <f t="shared" si="903"/>
        <v>0</v>
      </c>
      <c r="K5764" s="17" t="str">
        <f t="shared" si="908"/>
        <v>Pas d'écart</v>
      </c>
      <c r="L5764" s="16">
        <f>base!X5764</f>
        <v>0</v>
      </c>
      <c r="M5764" s="11">
        <f t="shared" si="904"/>
        <v>0</v>
      </c>
      <c r="N5764" s="11">
        <f t="shared" si="905"/>
        <v>0</v>
      </c>
      <c r="O5764" s="11">
        <f t="shared" si="906"/>
        <v>0</v>
      </c>
      <c r="P5764" s="12">
        <f t="shared" si="907"/>
        <v>0</v>
      </c>
      <c r="Q5764" s="17" t="str">
        <f t="shared" si="909"/>
        <v>Pas d'écart</v>
      </c>
    </row>
    <row r="5765" spans="1:18" x14ac:dyDescent="0.3">
      <c r="A5765" s="34">
        <f>base!J5765</f>
        <v>0</v>
      </c>
      <c r="B5765" s="34" t="str">
        <f>base!V5765</f>
        <v>77184</v>
      </c>
      <c r="C5765" s="37">
        <v>77</v>
      </c>
      <c r="D5765" s="36">
        <f>base!H5765</f>
        <v>70</v>
      </c>
      <c r="E5765" s="44"/>
      <c r="F5765" s="16">
        <f>base!W5765</f>
        <v>0</v>
      </c>
      <c r="G5765" s="11">
        <f t="shared" si="900"/>
        <v>0</v>
      </c>
      <c r="H5765" s="11">
        <f t="shared" si="901"/>
        <v>0</v>
      </c>
      <c r="I5765" s="11">
        <f t="shared" si="902"/>
        <v>0</v>
      </c>
      <c r="J5765" s="12">
        <f t="shared" si="903"/>
        <v>0</v>
      </c>
      <c r="K5765" s="17" t="str">
        <f t="shared" si="908"/>
        <v>Pas d'écart</v>
      </c>
      <c r="L5765" s="16">
        <f>base!X5765</f>
        <v>0</v>
      </c>
      <c r="M5765" s="11">
        <f t="shared" si="904"/>
        <v>0</v>
      </c>
      <c r="N5765" s="11">
        <f t="shared" si="905"/>
        <v>0</v>
      </c>
      <c r="O5765" s="11">
        <f t="shared" si="906"/>
        <v>0</v>
      </c>
      <c r="P5765" s="12">
        <f t="shared" si="907"/>
        <v>0</v>
      </c>
      <c r="Q5765" s="17" t="str">
        <f t="shared" si="909"/>
        <v>Pas d'écart</v>
      </c>
    </row>
    <row r="5766" spans="1:18" x14ac:dyDescent="0.3">
      <c r="A5766" s="34">
        <f>base!J5766</f>
        <v>0</v>
      </c>
      <c r="B5766" s="34" t="str">
        <f>base!V5766</f>
        <v>77184</v>
      </c>
      <c r="C5766" s="37">
        <v>77</v>
      </c>
      <c r="D5766" s="36">
        <f>base!H5766</f>
        <v>95.02</v>
      </c>
      <c r="E5766" s="44"/>
      <c r="F5766" s="16">
        <f>base!W5766</f>
        <v>0</v>
      </c>
      <c r="G5766" s="11">
        <f t="shared" si="900"/>
        <v>0</v>
      </c>
      <c r="H5766" s="11">
        <f t="shared" si="901"/>
        <v>0</v>
      </c>
      <c r="I5766" s="11">
        <f t="shared" si="902"/>
        <v>0</v>
      </c>
      <c r="J5766" s="12">
        <f t="shared" si="903"/>
        <v>0</v>
      </c>
      <c r="K5766" s="17" t="str">
        <f t="shared" si="908"/>
        <v>Pas d'écart</v>
      </c>
      <c r="L5766" s="16">
        <f>base!X5766</f>
        <v>0</v>
      </c>
      <c r="M5766" s="11">
        <f t="shared" si="904"/>
        <v>0</v>
      </c>
      <c r="N5766" s="11">
        <f t="shared" si="905"/>
        <v>0</v>
      </c>
      <c r="O5766" s="11">
        <f t="shared" si="906"/>
        <v>0</v>
      </c>
      <c r="P5766" s="12">
        <f t="shared" si="907"/>
        <v>0</v>
      </c>
      <c r="Q5766" s="17" t="str">
        <f t="shared" si="909"/>
        <v>Pas d'écart</v>
      </c>
    </row>
    <row r="5767" spans="1:18" x14ac:dyDescent="0.3">
      <c r="A5767" s="34" t="str">
        <f>base!J5767</f>
        <v>LM</v>
      </c>
      <c r="B5767" s="34" t="str">
        <f>base!V5767</f>
        <v>77173</v>
      </c>
      <c r="C5767" s="37">
        <v>77</v>
      </c>
      <c r="D5767" s="36">
        <f>base!H5767</f>
        <v>55.34</v>
      </c>
      <c r="E5767" s="44"/>
      <c r="F5767" s="16">
        <f>base!W5767</f>
        <v>0</v>
      </c>
      <c r="G5767" s="11">
        <f t="shared" si="900"/>
        <v>0</v>
      </c>
      <c r="H5767" s="11">
        <f t="shared" si="901"/>
        <v>0</v>
      </c>
      <c r="I5767" s="11">
        <f t="shared" si="902"/>
        <v>0</v>
      </c>
      <c r="J5767" s="12">
        <f t="shared" si="903"/>
        <v>0</v>
      </c>
      <c r="K5767" s="17" t="str">
        <f t="shared" si="908"/>
        <v>Pas d'écart</v>
      </c>
      <c r="L5767" s="16">
        <f>base!X5767</f>
        <v>0</v>
      </c>
      <c r="M5767" s="11">
        <f t="shared" si="904"/>
        <v>0</v>
      </c>
      <c r="N5767" s="11">
        <f t="shared" si="905"/>
        <v>0</v>
      </c>
      <c r="O5767" s="11">
        <f t="shared" si="906"/>
        <v>0</v>
      </c>
      <c r="P5767" s="12">
        <f t="shared" si="907"/>
        <v>0</v>
      </c>
      <c r="Q5767" s="17" t="str">
        <f t="shared" si="909"/>
        <v>Pas d'écart</v>
      </c>
    </row>
    <row r="5768" spans="1:18" x14ac:dyDescent="0.3">
      <c r="A5768" s="34" t="str">
        <f>base!J5768</f>
        <v>LM</v>
      </c>
      <c r="B5768" s="34" t="str">
        <f>base!V5768</f>
        <v>75014</v>
      </c>
      <c r="C5768" s="37">
        <v>75</v>
      </c>
      <c r="D5768" s="36">
        <f>base!H5768</f>
        <v>19.649999999999999</v>
      </c>
      <c r="E5768" s="44"/>
      <c r="F5768" s="16">
        <f>base!W5768</f>
        <v>0</v>
      </c>
      <c r="G5768" s="11">
        <f t="shared" si="900"/>
        <v>0</v>
      </c>
      <c r="H5768" s="11">
        <f t="shared" si="901"/>
        <v>0</v>
      </c>
      <c r="I5768" s="11">
        <f t="shared" si="902"/>
        <v>0</v>
      </c>
      <c r="J5768" s="12">
        <f t="shared" si="903"/>
        <v>0</v>
      </c>
      <c r="K5768" s="17" t="str">
        <f t="shared" si="908"/>
        <v>Pas d'écart</v>
      </c>
      <c r="L5768" s="16">
        <f>base!X5768</f>
        <v>0</v>
      </c>
      <c r="M5768" s="11">
        <f t="shared" si="904"/>
        <v>0</v>
      </c>
      <c r="N5768" s="11">
        <f t="shared" si="905"/>
        <v>0</v>
      </c>
      <c r="O5768" s="11">
        <f t="shared" si="906"/>
        <v>0</v>
      </c>
      <c r="P5768" s="12">
        <f t="shared" si="907"/>
        <v>0</v>
      </c>
      <c r="Q5768" s="17" t="str">
        <f t="shared" si="909"/>
        <v>Pas d'écart</v>
      </c>
    </row>
    <row r="5769" spans="1:18" x14ac:dyDescent="0.3">
      <c r="A5769" s="34" t="str">
        <f>base!J5769</f>
        <v>LM</v>
      </c>
      <c r="B5769" s="34" t="str">
        <f>base!V5769</f>
        <v>75014</v>
      </c>
      <c r="C5769" s="37">
        <v>75</v>
      </c>
      <c r="D5769" s="36">
        <f>base!H5769</f>
        <v>19.649999999999999</v>
      </c>
      <c r="E5769" s="44"/>
      <c r="F5769" s="16">
        <f>base!W5769</f>
        <v>0</v>
      </c>
      <c r="G5769" s="11">
        <f t="shared" si="900"/>
        <v>0</v>
      </c>
      <c r="H5769" s="11">
        <f t="shared" si="901"/>
        <v>0</v>
      </c>
      <c r="I5769" s="11">
        <f t="shared" si="902"/>
        <v>0</v>
      </c>
      <c r="J5769" s="12">
        <f t="shared" si="903"/>
        <v>0</v>
      </c>
      <c r="K5769" s="17" t="str">
        <f t="shared" si="908"/>
        <v>Pas d'écart</v>
      </c>
      <c r="L5769" s="16">
        <f>base!X5769</f>
        <v>0</v>
      </c>
      <c r="M5769" s="11">
        <f t="shared" si="904"/>
        <v>0</v>
      </c>
      <c r="N5769" s="11">
        <f t="shared" si="905"/>
        <v>0</v>
      </c>
      <c r="O5769" s="11">
        <f t="shared" si="906"/>
        <v>0</v>
      </c>
      <c r="P5769" s="12">
        <f t="shared" si="907"/>
        <v>0</v>
      </c>
      <c r="Q5769" s="17" t="str">
        <f t="shared" si="909"/>
        <v>Pas d'écart</v>
      </c>
    </row>
    <row r="5770" spans="1:18" x14ac:dyDescent="0.3">
      <c r="A5770" s="34" t="str">
        <f>base!J5770</f>
        <v>LM</v>
      </c>
      <c r="B5770" s="34" t="str">
        <f>base!V5770</f>
        <v>75014</v>
      </c>
      <c r="C5770" s="37">
        <v>75</v>
      </c>
      <c r="D5770" s="36">
        <f>base!H5770</f>
        <v>19.649999999999999</v>
      </c>
      <c r="E5770" s="44"/>
      <c r="F5770" s="16">
        <f>base!W5770</f>
        <v>0</v>
      </c>
      <c r="G5770" s="11">
        <f t="shared" si="900"/>
        <v>0</v>
      </c>
      <c r="H5770" s="11">
        <f t="shared" si="901"/>
        <v>0</v>
      </c>
      <c r="I5770" s="11">
        <f t="shared" si="902"/>
        <v>0</v>
      </c>
      <c r="J5770" s="12">
        <f t="shared" si="903"/>
        <v>0</v>
      </c>
      <c r="K5770" s="17" t="str">
        <f t="shared" si="908"/>
        <v>Pas d'écart</v>
      </c>
      <c r="L5770" s="16">
        <f>base!X5770</f>
        <v>0</v>
      </c>
      <c r="M5770" s="11">
        <f t="shared" si="904"/>
        <v>0</v>
      </c>
      <c r="N5770" s="11">
        <f t="shared" si="905"/>
        <v>0</v>
      </c>
      <c r="O5770" s="11">
        <f t="shared" si="906"/>
        <v>0</v>
      </c>
      <c r="P5770" s="12">
        <f t="shared" si="907"/>
        <v>0</v>
      </c>
      <c r="Q5770" s="17" t="str">
        <f t="shared" si="909"/>
        <v>Pas d'écart</v>
      </c>
    </row>
    <row r="5771" spans="1:18" x14ac:dyDescent="0.3">
      <c r="A5771" s="34" t="str">
        <f>base!J5771</f>
        <v>LM</v>
      </c>
      <c r="B5771" s="34" t="str">
        <f>base!V5771</f>
        <v>75014</v>
      </c>
      <c r="C5771" s="37">
        <v>75</v>
      </c>
      <c r="D5771" s="36">
        <f>base!H5771</f>
        <v>19.649999999999999</v>
      </c>
      <c r="E5771" s="44"/>
      <c r="F5771" s="16">
        <f>base!W5771</f>
        <v>0</v>
      </c>
      <c r="G5771" s="11">
        <f t="shared" si="900"/>
        <v>0</v>
      </c>
      <c r="H5771" s="11">
        <f t="shared" si="901"/>
        <v>0</v>
      </c>
      <c r="I5771" s="11">
        <f t="shared" si="902"/>
        <v>0</v>
      </c>
      <c r="J5771" s="12">
        <f t="shared" si="903"/>
        <v>0</v>
      </c>
      <c r="K5771" s="17" t="str">
        <f t="shared" si="908"/>
        <v>Pas d'écart</v>
      </c>
      <c r="L5771" s="16">
        <f>base!X5771</f>
        <v>0</v>
      </c>
      <c r="M5771" s="11">
        <f t="shared" si="904"/>
        <v>0</v>
      </c>
      <c r="N5771" s="11">
        <f t="shared" si="905"/>
        <v>0</v>
      </c>
      <c r="O5771" s="11">
        <f t="shared" si="906"/>
        <v>0</v>
      </c>
      <c r="P5771" s="12">
        <f t="shared" si="907"/>
        <v>0</v>
      </c>
      <c r="Q5771" s="17" t="str">
        <f t="shared" si="909"/>
        <v>Pas d'écart</v>
      </c>
    </row>
    <row r="5772" spans="1:18" x14ac:dyDescent="0.3">
      <c r="A5772" s="34" t="str">
        <f>base!J5772</f>
        <v>LM</v>
      </c>
      <c r="B5772" s="34" t="str">
        <f>base!V5772</f>
        <v>75014</v>
      </c>
      <c r="C5772" s="37">
        <v>75</v>
      </c>
      <c r="D5772" s="36">
        <f>base!H5772</f>
        <v>19.649999999999999</v>
      </c>
      <c r="E5772" s="44"/>
      <c r="F5772" s="16">
        <f>base!W5772</f>
        <v>0</v>
      </c>
      <c r="G5772" s="11">
        <f t="shared" si="900"/>
        <v>0</v>
      </c>
      <c r="H5772" s="11">
        <f t="shared" si="901"/>
        <v>0</v>
      </c>
      <c r="I5772" s="11">
        <f t="shared" si="902"/>
        <v>0</v>
      </c>
      <c r="J5772" s="12">
        <f t="shared" si="903"/>
        <v>0</v>
      </c>
      <c r="K5772" s="17" t="str">
        <f t="shared" si="908"/>
        <v>Pas d'écart</v>
      </c>
      <c r="L5772" s="16">
        <f>base!X5772</f>
        <v>0</v>
      </c>
      <c r="M5772" s="11">
        <f t="shared" si="904"/>
        <v>0</v>
      </c>
      <c r="N5772" s="11">
        <f t="shared" si="905"/>
        <v>0</v>
      </c>
      <c r="O5772" s="11">
        <f t="shared" si="906"/>
        <v>0</v>
      </c>
      <c r="P5772" s="12">
        <f t="shared" si="907"/>
        <v>0</v>
      </c>
      <c r="Q5772" s="17" t="str">
        <f t="shared" si="909"/>
        <v>Pas d'écart</v>
      </c>
    </row>
    <row r="5773" spans="1:18" x14ac:dyDescent="0.3">
      <c r="A5773" s="34" t="str">
        <f>base!J5773</f>
        <v>LM</v>
      </c>
      <c r="B5773" s="34" t="str">
        <f>base!V5773</f>
        <v>75014</v>
      </c>
      <c r="C5773" s="37">
        <v>75</v>
      </c>
      <c r="D5773" s="36">
        <f>base!H5773</f>
        <v>19.649999999999999</v>
      </c>
      <c r="E5773" s="44"/>
      <c r="F5773" s="16">
        <f>base!W5773</f>
        <v>0</v>
      </c>
      <c r="G5773" s="11">
        <f t="shared" si="900"/>
        <v>0</v>
      </c>
      <c r="H5773" s="11">
        <f t="shared" si="901"/>
        <v>0</v>
      </c>
      <c r="I5773" s="11">
        <f t="shared" si="902"/>
        <v>0</v>
      </c>
      <c r="J5773" s="12">
        <f t="shared" si="903"/>
        <v>0</v>
      </c>
      <c r="K5773" s="17" t="str">
        <f t="shared" si="908"/>
        <v>Pas d'écart</v>
      </c>
      <c r="L5773" s="16">
        <f>base!X5773</f>
        <v>0</v>
      </c>
      <c r="M5773" s="11">
        <f t="shared" si="904"/>
        <v>0</v>
      </c>
      <c r="N5773" s="11">
        <f t="shared" si="905"/>
        <v>0</v>
      </c>
      <c r="O5773" s="11">
        <f t="shared" si="906"/>
        <v>0</v>
      </c>
      <c r="P5773" s="12">
        <f t="shared" si="907"/>
        <v>0</v>
      </c>
      <c r="Q5773" s="17" t="str">
        <f t="shared" si="909"/>
        <v>Pas d'écart</v>
      </c>
    </row>
    <row r="5774" spans="1:18" x14ac:dyDescent="0.3">
      <c r="A5774" s="34" t="str">
        <f>base!J5774</f>
        <v>LM</v>
      </c>
      <c r="B5774" s="34" t="str">
        <f>base!V5774</f>
        <v>75014</v>
      </c>
      <c r="C5774" s="37">
        <v>75</v>
      </c>
      <c r="D5774" s="36">
        <f>base!H5774</f>
        <v>19.649999999999999</v>
      </c>
      <c r="E5774" s="44"/>
      <c r="F5774" s="16">
        <f>base!W5774</f>
        <v>0</v>
      </c>
      <c r="G5774" s="11">
        <f t="shared" si="900"/>
        <v>0</v>
      </c>
      <c r="H5774" s="11">
        <f t="shared" si="901"/>
        <v>0</v>
      </c>
      <c r="I5774" s="11">
        <f t="shared" si="902"/>
        <v>0</v>
      </c>
      <c r="J5774" s="12">
        <f t="shared" si="903"/>
        <v>0</v>
      </c>
      <c r="K5774" s="17" t="str">
        <f t="shared" si="908"/>
        <v>Pas d'écart</v>
      </c>
      <c r="L5774" s="16">
        <f>base!X5774</f>
        <v>0</v>
      </c>
      <c r="M5774" s="11">
        <f t="shared" si="904"/>
        <v>0</v>
      </c>
      <c r="N5774" s="11">
        <f t="shared" si="905"/>
        <v>0</v>
      </c>
      <c r="O5774" s="11">
        <f t="shared" si="906"/>
        <v>0</v>
      </c>
      <c r="P5774" s="12">
        <f t="shared" si="907"/>
        <v>0</v>
      </c>
      <c r="Q5774" s="17" t="str">
        <f t="shared" si="909"/>
        <v>Pas d'écart</v>
      </c>
    </row>
    <row r="5775" spans="1:18" x14ac:dyDescent="0.3">
      <c r="A5775" s="34" t="str">
        <f>base!J5775</f>
        <v>LS</v>
      </c>
      <c r="B5775" s="34" t="str">
        <f>base!V5775</f>
        <v>27200</v>
      </c>
      <c r="C5775" s="37">
        <v>49</v>
      </c>
      <c r="D5775" s="36">
        <f>base!H5775</f>
        <v>55.36</v>
      </c>
      <c r="E5775" s="44"/>
      <c r="F5775" s="16">
        <f>base!W5775</f>
        <v>9.41</v>
      </c>
      <c r="G5775" s="11">
        <f t="shared" si="900"/>
        <v>0.16997832369942198</v>
      </c>
      <c r="H5775" s="11">
        <f t="shared" si="901"/>
        <v>14.9472</v>
      </c>
      <c r="I5775" s="11">
        <f t="shared" si="902"/>
        <v>0.27</v>
      </c>
      <c r="J5775" s="12">
        <f t="shared" si="903"/>
        <v>-5.5372000000000003</v>
      </c>
      <c r="K5775" s="17" t="str">
        <f t="shared" si="908"/>
        <v>Ecart négatif</v>
      </c>
      <c r="L5775" s="16">
        <f>base!X5775</f>
        <v>0</v>
      </c>
      <c r="M5775" s="11">
        <f t="shared" si="904"/>
        <v>0</v>
      </c>
      <c r="N5775" s="11">
        <f t="shared" si="905"/>
        <v>0</v>
      </c>
      <c r="O5775" s="11">
        <f t="shared" si="906"/>
        <v>0</v>
      </c>
      <c r="P5775" s="12">
        <f t="shared" si="907"/>
        <v>0</v>
      </c>
      <c r="Q5775" s="17" t="str">
        <f t="shared" si="909"/>
        <v>Pas d'écart</v>
      </c>
    </row>
    <row r="5776" spans="1:18" x14ac:dyDescent="0.3">
      <c r="A5776" s="34" t="str">
        <f>base!J5776</f>
        <v>LM</v>
      </c>
      <c r="B5776" s="34" t="str">
        <f>base!V5776</f>
        <v>08000</v>
      </c>
      <c r="C5776" s="37">
        <v>56</v>
      </c>
      <c r="D5776" s="36">
        <f>base!H5776</f>
        <v>173.22</v>
      </c>
      <c r="E5776" s="44"/>
      <c r="F5776" s="16">
        <f>base!W5776</f>
        <v>32.909999999999997</v>
      </c>
      <c r="G5776" s="11">
        <f t="shared" si="900"/>
        <v>0.18998960859023206</v>
      </c>
      <c r="H5776" s="11">
        <f t="shared" si="901"/>
        <v>46.769400000000005</v>
      </c>
      <c r="I5776" s="11">
        <f t="shared" si="902"/>
        <v>0.27</v>
      </c>
      <c r="J5776" s="12">
        <f t="shared" si="903"/>
        <v>-13.859400000000008</v>
      </c>
      <c r="K5776" s="17" t="str">
        <f t="shared" si="908"/>
        <v>Ecart négatif</v>
      </c>
      <c r="L5776" s="16">
        <f>base!X5776</f>
        <v>0</v>
      </c>
      <c r="M5776" s="11">
        <f t="shared" si="904"/>
        <v>0</v>
      </c>
      <c r="N5776" s="11">
        <f t="shared" si="905"/>
        <v>0</v>
      </c>
      <c r="O5776" s="11">
        <f t="shared" si="906"/>
        <v>0</v>
      </c>
      <c r="P5776" s="12">
        <f t="shared" si="907"/>
        <v>0</v>
      </c>
      <c r="Q5776" s="17" t="str">
        <f t="shared" si="909"/>
        <v>Pas d'écart</v>
      </c>
    </row>
    <row r="5777" spans="1:18" x14ac:dyDescent="0.3">
      <c r="A5777" s="34" t="str">
        <f>base!J5777</f>
        <v>RM</v>
      </c>
      <c r="B5777" s="34" t="str">
        <f>base!V5777</f>
        <v>62740</v>
      </c>
      <c r="C5777" s="37">
        <v>62</v>
      </c>
      <c r="D5777" s="36">
        <f>base!H5777</f>
        <v>94.79</v>
      </c>
      <c r="E5777" s="44"/>
      <c r="F5777" s="16">
        <f>base!W5777</f>
        <v>0</v>
      </c>
      <c r="G5777" s="11">
        <f t="shared" si="900"/>
        <v>0</v>
      </c>
      <c r="H5777" s="11">
        <f t="shared" si="901"/>
        <v>18.010100000000001</v>
      </c>
      <c r="I5777" s="11">
        <f t="shared" si="902"/>
        <v>0.19</v>
      </c>
      <c r="J5777" s="12">
        <f t="shared" si="903"/>
        <v>-18.010100000000001</v>
      </c>
      <c r="K5777" s="17" t="str">
        <f t="shared" si="908"/>
        <v>Ecart négatif</v>
      </c>
      <c r="L5777" s="16">
        <f>base!X5777</f>
        <v>0</v>
      </c>
      <c r="M5777" s="11">
        <f t="shared" si="904"/>
        <v>0</v>
      </c>
      <c r="N5777" s="11">
        <f t="shared" si="905"/>
        <v>0</v>
      </c>
      <c r="O5777" s="11">
        <f t="shared" si="906"/>
        <v>0</v>
      </c>
      <c r="P5777" s="12">
        <f t="shared" si="907"/>
        <v>0</v>
      </c>
      <c r="Q5777" s="17" t="str">
        <f t="shared" si="909"/>
        <v>Pas d'écart</v>
      </c>
    </row>
    <row r="5778" spans="1:18" x14ac:dyDescent="0.3">
      <c r="A5778" s="34">
        <f>base!J5778</f>
        <v>0</v>
      </c>
      <c r="B5778" s="34" t="str">
        <f>base!V5778</f>
        <v>77184</v>
      </c>
      <c r="C5778" s="37">
        <v>77</v>
      </c>
      <c r="D5778" s="36">
        <f>base!H5778</f>
        <v>240</v>
      </c>
      <c r="E5778" s="44"/>
      <c r="F5778" s="16">
        <f>base!W5778</f>
        <v>0</v>
      </c>
      <c r="G5778" s="11">
        <f t="shared" si="900"/>
        <v>0</v>
      </c>
      <c r="H5778" s="11">
        <f t="shared" si="901"/>
        <v>0</v>
      </c>
      <c r="I5778" s="11">
        <f t="shared" si="902"/>
        <v>0</v>
      </c>
      <c r="J5778" s="12">
        <f t="shared" si="903"/>
        <v>0</v>
      </c>
      <c r="K5778" s="17" t="str">
        <f t="shared" si="908"/>
        <v>Pas d'écart</v>
      </c>
      <c r="L5778" s="16">
        <f>base!X5778</f>
        <v>0</v>
      </c>
      <c r="M5778" s="11">
        <f t="shared" si="904"/>
        <v>0</v>
      </c>
      <c r="N5778" s="11">
        <f t="shared" si="905"/>
        <v>0</v>
      </c>
      <c r="O5778" s="11">
        <f t="shared" si="906"/>
        <v>0</v>
      </c>
      <c r="P5778" s="12">
        <f t="shared" si="907"/>
        <v>0</v>
      </c>
      <c r="Q5778" s="17" t="str">
        <f t="shared" si="909"/>
        <v>Pas d'écart</v>
      </c>
    </row>
    <row r="5779" spans="1:18" x14ac:dyDescent="0.3">
      <c r="A5779" s="34">
        <f>base!J5779</f>
        <v>0</v>
      </c>
      <c r="B5779" s="34" t="str">
        <f>base!V5779</f>
        <v>77184</v>
      </c>
      <c r="C5779" s="37">
        <v>77</v>
      </c>
      <c r="D5779" s="36">
        <f>base!H5779</f>
        <v>157.32</v>
      </c>
      <c r="E5779" s="44"/>
      <c r="F5779" s="16">
        <f>base!W5779</f>
        <v>0</v>
      </c>
      <c r="G5779" s="11">
        <f t="shared" si="900"/>
        <v>0</v>
      </c>
      <c r="H5779" s="11">
        <f t="shared" si="901"/>
        <v>0</v>
      </c>
      <c r="I5779" s="11">
        <f t="shared" si="902"/>
        <v>0</v>
      </c>
      <c r="J5779" s="12">
        <f t="shared" si="903"/>
        <v>0</v>
      </c>
      <c r="K5779" s="17" t="str">
        <f t="shared" si="908"/>
        <v>Pas d'écart</v>
      </c>
      <c r="L5779" s="16">
        <f>base!X5779</f>
        <v>0</v>
      </c>
      <c r="M5779" s="11">
        <f t="shared" si="904"/>
        <v>0</v>
      </c>
      <c r="N5779" s="11">
        <f t="shared" si="905"/>
        <v>0</v>
      </c>
      <c r="O5779" s="11">
        <f t="shared" si="906"/>
        <v>0</v>
      </c>
      <c r="P5779" s="12">
        <f t="shared" si="907"/>
        <v>0</v>
      </c>
      <c r="Q5779" s="17" t="str">
        <f t="shared" si="909"/>
        <v>Pas d'écart</v>
      </c>
    </row>
    <row r="5780" spans="1:18" x14ac:dyDescent="0.3">
      <c r="A5780" s="34">
        <f>base!J5780</f>
        <v>0</v>
      </c>
      <c r="B5780" s="34" t="str">
        <f>base!V5780</f>
        <v>77184</v>
      </c>
      <c r="C5780" s="37">
        <v>77</v>
      </c>
      <c r="D5780" s="36">
        <f>base!H5780</f>
        <v>190.59</v>
      </c>
      <c r="E5780" s="44"/>
      <c r="F5780" s="16">
        <f>base!W5780</f>
        <v>0</v>
      </c>
      <c r="G5780" s="11">
        <f t="shared" si="900"/>
        <v>0</v>
      </c>
      <c r="H5780" s="11">
        <f t="shared" si="901"/>
        <v>0</v>
      </c>
      <c r="I5780" s="11">
        <f t="shared" si="902"/>
        <v>0</v>
      </c>
      <c r="J5780" s="12">
        <f t="shared" si="903"/>
        <v>0</v>
      </c>
      <c r="K5780" s="17" t="str">
        <f t="shared" si="908"/>
        <v>Pas d'écart</v>
      </c>
      <c r="L5780" s="16">
        <f>base!X5780</f>
        <v>0</v>
      </c>
      <c r="M5780" s="11">
        <f t="shared" si="904"/>
        <v>0</v>
      </c>
      <c r="N5780" s="11">
        <f t="shared" si="905"/>
        <v>0</v>
      </c>
      <c r="O5780" s="11">
        <f t="shared" si="906"/>
        <v>0</v>
      </c>
      <c r="P5780" s="12">
        <f t="shared" si="907"/>
        <v>0</v>
      </c>
      <c r="Q5780" s="17" t="str">
        <f t="shared" si="909"/>
        <v>Pas d'écart</v>
      </c>
    </row>
    <row r="5781" spans="1:18" x14ac:dyDescent="0.3">
      <c r="A5781" s="34" t="str">
        <f>base!J5781</f>
        <v>RM</v>
      </c>
      <c r="B5781" s="34" t="str">
        <f>base!V5781</f>
        <v>94550</v>
      </c>
      <c r="C5781" s="37">
        <v>94</v>
      </c>
      <c r="D5781" s="36">
        <f>base!H5781</f>
        <v>180</v>
      </c>
      <c r="E5781" s="44"/>
      <c r="F5781" s="16">
        <f>base!W5781</f>
        <v>0</v>
      </c>
      <c r="G5781" s="11">
        <f t="shared" si="900"/>
        <v>0</v>
      </c>
      <c r="H5781" s="11">
        <f t="shared" si="901"/>
        <v>0</v>
      </c>
      <c r="I5781" s="11">
        <f t="shared" si="902"/>
        <v>0</v>
      </c>
      <c r="J5781" s="12">
        <f t="shared" si="903"/>
        <v>0</v>
      </c>
      <c r="K5781" s="17" t="str">
        <f t="shared" si="908"/>
        <v>Pas d'écart</v>
      </c>
      <c r="L5781" s="16">
        <f>base!X5781</f>
        <v>0</v>
      </c>
      <c r="M5781" s="11">
        <f t="shared" si="904"/>
        <v>0</v>
      </c>
      <c r="N5781" s="11">
        <f t="shared" si="905"/>
        <v>0</v>
      </c>
      <c r="O5781" s="11">
        <f t="shared" si="906"/>
        <v>0</v>
      </c>
      <c r="P5781" s="12">
        <f t="shared" si="907"/>
        <v>0</v>
      </c>
      <c r="Q5781" s="17" t="str">
        <f t="shared" si="909"/>
        <v>Pas d'écart</v>
      </c>
    </row>
    <row r="5782" spans="1:18" x14ac:dyDescent="0.3">
      <c r="A5782" s="34" t="str">
        <f>base!J5782</f>
        <v>RM</v>
      </c>
      <c r="B5782" s="34" t="str">
        <f>base!V5782</f>
        <v>21230</v>
      </c>
      <c r="C5782" s="37">
        <v>21</v>
      </c>
      <c r="D5782" s="36">
        <f>base!H5782</f>
        <v>186.48</v>
      </c>
      <c r="E5782" s="44"/>
      <c r="F5782" s="16">
        <f>base!W5782</f>
        <v>0</v>
      </c>
      <c r="G5782" s="11">
        <f t="shared" si="900"/>
        <v>0</v>
      </c>
      <c r="H5782" s="11">
        <f t="shared" si="901"/>
        <v>44.755199999999995</v>
      </c>
      <c r="I5782" s="11">
        <f t="shared" si="902"/>
        <v>0.24</v>
      </c>
      <c r="J5782" s="12">
        <f t="shared" si="903"/>
        <v>-44.755199999999995</v>
      </c>
      <c r="K5782" s="17" t="str">
        <f t="shared" si="908"/>
        <v>Ecart négatif</v>
      </c>
      <c r="L5782" s="16">
        <f>base!X5782</f>
        <v>22.38</v>
      </c>
      <c r="M5782" s="11">
        <f t="shared" si="904"/>
        <v>0.12001287001287002</v>
      </c>
      <c r="N5782" s="11">
        <f t="shared" si="905"/>
        <v>22.377599999999997</v>
      </c>
      <c r="O5782" s="11">
        <f t="shared" si="906"/>
        <v>0.12</v>
      </c>
      <c r="P5782" s="12">
        <f t="shared" si="907"/>
        <v>2.400000000001512E-3</v>
      </c>
      <c r="Q5782" s="17" t="str">
        <f t="shared" si="909"/>
        <v>Ecart positif</v>
      </c>
      <c r="R5782" s="38"/>
    </row>
    <row r="5783" spans="1:18" x14ac:dyDescent="0.3">
      <c r="A5783" s="34" t="str">
        <f>base!J5783</f>
        <v>LM</v>
      </c>
      <c r="B5783" s="34" t="str">
        <f>base!V5783</f>
        <v>37400</v>
      </c>
      <c r="C5783" s="37">
        <v>56</v>
      </c>
      <c r="D5783" s="36">
        <f>base!H5783</f>
        <v>120.29</v>
      </c>
      <c r="E5783" s="44"/>
      <c r="F5783" s="16">
        <f>base!W5783</f>
        <v>25.26</v>
      </c>
      <c r="G5783" s="11">
        <f t="shared" si="900"/>
        <v>0.20999251808130351</v>
      </c>
      <c r="H5783" s="11">
        <f t="shared" si="901"/>
        <v>32.478300000000004</v>
      </c>
      <c r="I5783" s="11">
        <f t="shared" si="902"/>
        <v>0.27</v>
      </c>
      <c r="J5783" s="12">
        <f t="shared" si="903"/>
        <v>-7.2183000000000028</v>
      </c>
      <c r="K5783" s="17" t="str">
        <f t="shared" si="908"/>
        <v>Ecart négatif</v>
      </c>
      <c r="L5783" s="16">
        <f>base!X5783</f>
        <v>0</v>
      </c>
      <c r="M5783" s="11">
        <f t="shared" si="904"/>
        <v>0</v>
      </c>
      <c r="N5783" s="11">
        <f t="shared" si="905"/>
        <v>0</v>
      </c>
      <c r="O5783" s="11">
        <f t="shared" si="906"/>
        <v>0</v>
      </c>
      <c r="P5783" s="12">
        <f t="shared" si="907"/>
        <v>0</v>
      </c>
      <c r="Q5783" s="17" t="str">
        <f t="shared" si="909"/>
        <v>Pas d'écart</v>
      </c>
    </row>
    <row r="5784" spans="1:18" x14ac:dyDescent="0.3">
      <c r="A5784" s="34" t="str">
        <f>base!J5784</f>
        <v>LM</v>
      </c>
      <c r="B5784" s="34" t="str">
        <f>base!V5784</f>
        <v>86510</v>
      </c>
      <c r="C5784" s="37">
        <v>88</v>
      </c>
      <c r="D5784" s="36">
        <f>base!H5784</f>
        <v>185.87</v>
      </c>
      <c r="E5784" s="44"/>
      <c r="F5784" s="16">
        <f>base!W5784</f>
        <v>39.03</v>
      </c>
      <c r="G5784" s="11">
        <f t="shared" si="900"/>
        <v>0.20998547371819012</v>
      </c>
      <c r="H5784" s="11">
        <f t="shared" si="901"/>
        <v>52.043600000000005</v>
      </c>
      <c r="I5784" s="11">
        <f t="shared" si="902"/>
        <v>0.28000000000000003</v>
      </c>
      <c r="J5784" s="12">
        <f t="shared" si="903"/>
        <v>-13.013600000000004</v>
      </c>
      <c r="K5784" s="17" t="str">
        <f t="shared" si="908"/>
        <v>Ecart négatif</v>
      </c>
      <c r="L5784" s="16">
        <f>base!X5784</f>
        <v>0</v>
      </c>
      <c r="M5784" s="11">
        <f t="shared" si="904"/>
        <v>0</v>
      </c>
      <c r="N5784" s="11">
        <f t="shared" si="905"/>
        <v>14.8696</v>
      </c>
      <c r="O5784" s="11">
        <f t="shared" si="906"/>
        <v>0.08</v>
      </c>
      <c r="P5784" s="12">
        <f t="shared" si="907"/>
        <v>-14.8696</v>
      </c>
      <c r="Q5784" s="17" t="str">
        <f t="shared" si="909"/>
        <v>Ecart négatif</v>
      </c>
    </row>
    <row r="5785" spans="1:18" x14ac:dyDescent="0.3">
      <c r="A5785" s="34" t="str">
        <f>base!J5785</f>
        <v>LS</v>
      </c>
      <c r="B5785" s="34" t="str">
        <f>base!V5785</f>
        <v>01000</v>
      </c>
      <c r="C5785" s="37">
        <v>63</v>
      </c>
      <c r="D5785" s="36">
        <f>base!H5785</f>
        <v>194.52</v>
      </c>
      <c r="E5785" s="44"/>
      <c r="F5785" s="16">
        <f>base!W5785</f>
        <v>52.52</v>
      </c>
      <c r="G5785" s="11">
        <f t="shared" si="900"/>
        <v>0.2699979436561793</v>
      </c>
      <c r="H5785" s="11">
        <f t="shared" si="901"/>
        <v>56.410800000000002</v>
      </c>
      <c r="I5785" s="11">
        <f t="shared" si="902"/>
        <v>0.28999999999999998</v>
      </c>
      <c r="J5785" s="12">
        <f t="shared" si="903"/>
        <v>-3.8907999999999987</v>
      </c>
      <c r="K5785" s="17" t="str">
        <f t="shared" si="908"/>
        <v>Ecart négatif</v>
      </c>
      <c r="L5785" s="16">
        <f>base!X5785</f>
        <v>0</v>
      </c>
      <c r="M5785" s="11">
        <f t="shared" si="904"/>
        <v>0</v>
      </c>
      <c r="N5785" s="11">
        <f t="shared" si="905"/>
        <v>23.342400000000001</v>
      </c>
      <c r="O5785" s="11">
        <f t="shared" si="906"/>
        <v>0.12</v>
      </c>
      <c r="P5785" s="12">
        <f t="shared" si="907"/>
        <v>-23.342400000000001</v>
      </c>
      <c r="Q5785" s="17" t="str">
        <f t="shared" si="909"/>
        <v>Ecart négatif</v>
      </c>
    </row>
    <row r="5786" spans="1:18" x14ac:dyDescent="0.3">
      <c r="A5786" s="34" t="str">
        <f>base!J5786</f>
        <v>LM</v>
      </c>
      <c r="B5786" s="34" t="str">
        <f>base!V5786</f>
        <v>38300</v>
      </c>
      <c r="C5786" s="37">
        <v>63</v>
      </c>
      <c r="D5786" s="36">
        <f>base!H5786</f>
        <v>186.47</v>
      </c>
      <c r="E5786" s="44"/>
      <c r="F5786" s="16">
        <f>base!W5786</f>
        <v>50.35</v>
      </c>
      <c r="G5786" s="11">
        <f t="shared" si="900"/>
        <v>0.27001662465812198</v>
      </c>
      <c r="H5786" s="11">
        <f t="shared" si="901"/>
        <v>54.076299999999996</v>
      </c>
      <c r="I5786" s="11">
        <f t="shared" si="902"/>
        <v>0.28999999999999998</v>
      </c>
      <c r="J5786" s="12">
        <f t="shared" si="903"/>
        <v>-3.7262999999999948</v>
      </c>
      <c r="K5786" s="17" t="str">
        <f t="shared" si="908"/>
        <v>Ecart négatif</v>
      </c>
      <c r="L5786" s="16">
        <f>base!X5786</f>
        <v>0</v>
      </c>
      <c r="M5786" s="11">
        <f t="shared" si="904"/>
        <v>0</v>
      </c>
      <c r="N5786" s="11">
        <f t="shared" si="905"/>
        <v>22.3764</v>
      </c>
      <c r="O5786" s="11">
        <f t="shared" si="906"/>
        <v>0.12</v>
      </c>
      <c r="P5786" s="12">
        <f t="shared" si="907"/>
        <v>-22.3764</v>
      </c>
      <c r="Q5786" s="17" t="str">
        <f t="shared" si="909"/>
        <v>Ecart négatif</v>
      </c>
    </row>
    <row r="5787" spans="1:18" x14ac:dyDescent="0.3">
      <c r="A5787" s="34" t="str">
        <f>base!J5787</f>
        <v>LM</v>
      </c>
      <c r="B5787" s="34" t="str">
        <f>base!V5787</f>
        <v>75017</v>
      </c>
      <c r="C5787" s="37">
        <v>75</v>
      </c>
      <c r="D5787" s="36">
        <f>base!H5787</f>
        <v>221.36</v>
      </c>
      <c r="E5787" s="44"/>
      <c r="F5787" s="16">
        <f>base!W5787</f>
        <v>0</v>
      </c>
      <c r="G5787" s="11">
        <f t="shared" si="900"/>
        <v>0</v>
      </c>
      <c r="H5787" s="11">
        <f t="shared" si="901"/>
        <v>0</v>
      </c>
      <c r="I5787" s="11">
        <f t="shared" si="902"/>
        <v>0</v>
      </c>
      <c r="J5787" s="12">
        <f t="shared" si="903"/>
        <v>0</v>
      </c>
      <c r="K5787" s="17" t="str">
        <f t="shared" si="908"/>
        <v>Pas d'écart</v>
      </c>
      <c r="L5787" s="16">
        <f>base!X5787</f>
        <v>0</v>
      </c>
      <c r="M5787" s="11">
        <f t="shared" si="904"/>
        <v>0</v>
      </c>
      <c r="N5787" s="11">
        <f t="shared" si="905"/>
        <v>0</v>
      </c>
      <c r="O5787" s="11">
        <f t="shared" si="906"/>
        <v>0</v>
      </c>
      <c r="P5787" s="12">
        <f t="shared" si="907"/>
        <v>0</v>
      </c>
      <c r="Q5787" s="17" t="str">
        <f t="shared" si="909"/>
        <v>Pas d'écart</v>
      </c>
    </row>
    <row r="5788" spans="1:18" x14ac:dyDescent="0.3">
      <c r="A5788" s="34" t="str">
        <f>base!J5788</f>
        <v>LS</v>
      </c>
      <c r="B5788" s="34" t="str">
        <f>base!V5788</f>
        <v>73000</v>
      </c>
      <c r="C5788" s="37">
        <v>67</v>
      </c>
      <c r="D5788" s="36">
        <f>base!H5788</f>
        <v>142.99</v>
      </c>
      <c r="E5788" s="44"/>
      <c r="F5788" s="16">
        <f>base!W5788</f>
        <v>38.61</v>
      </c>
      <c r="G5788" s="11">
        <f t="shared" si="900"/>
        <v>0.27001888243933142</v>
      </c>
      <c r="H5788" s="11">
        <f t="shared" si="901"/>
        <v>41.467100000000002</v>
      </c>
      <c r="I5788" s="11">
        <f t="shared" si="902"/>
        <v>0.28999999999999998</v>
      </c>
      <c r="J5788" s="12">
        <f t="shared" si="903"/>
        <v>-2.8571000000000026</v>
      </c>
      <c r="K5788" s="17" t="str">
        <f t="shared" si="908"/>
        <v>Ecart négatif</v>
      </c>
      <c r="L5788" s="16">
        <f>base!X5788</f>
        <v>0</v>
      </c>
      <c r="M5788" s="11">
        <f t="shared" si="904"/>
        <v>0</v>
      </c>
      <c r="N5788" s="11">
        <f t="shared" si="905"/>
        <v>11.439200000000001</v>
      </c>
      <c r="O5788" s="11">
        <f t="shared" si="906"/>
        <v>0.08</v>
      </c>
      <c r="P5788" s="12">
        <f t="shared" si="907"/>
        <v>-11.439200000000001</v>
      </c>
      <c r="Q5788" s="17" t="str">
        <f t="shared" si="909"/>
        <v>Ecart négatif</v>
      </c>
    </row>
    <row r="5789" spans="1:18" x14ac:dyDescent="0.3">
      <c r="A5789" s="34" t="str">
        <f>base!J5789</f>
        <v>LM</v>
      </c>
      <c r="B5789" s="34" t="str">
        <f>base!V5789</f>
        <v>56330</v>
      </c>
      <c r="C5789" s="37">
        <v>63</v>
      </c>
      <c r="D5789" s="36">
        <f>base!H5789</f>
        <v>19.8</v>
      </c>
      <c r="E5789" s="44"/>
      <c r="F5789" s="16">
        <f>base!W5789</f>
        <v>5.35</v>
      </c>
      <c r="G5789" s="11">
        <f t="shared" si="900"/>
        <v>0.27020202020202017</v>
      </c>
      <c r="H5789" s="11">
        <f t="shared" si="901"/>
        <v>5.742</v>
      </c>
      <c r="I5789" s="11">
        <f t="shared" si="902"/>
        <v>0.28999999999999998</v>
      </c>
      <c r="J5789" s="12">
        <f t="shared" si="903"/>
        <v>-0.39200000000000035</v>
      </c>
      <c r="K5789" s="17" t="str">
        <f t="shared" si="908"/>
        <v>Ecart négatif</v>
      </c>
      <c r="L5789" s="16">
        <f>base!X5789</f>
        <v>0</v>
      </c>
      <c r="M5789" s="11">
        <f t="shared" si="904"/>
        <v>0</v>
      </c>
      <c r="N5789" s="11">
        <f t="shared" si="905"/>
        <v>2.3759999999999999</v>
      </c>
      <c r="O5789" s="11">
        <f t="shared" si="906"/>
        <v>0.12</v>
      </c>
      <c r="P5789" s="12">
        <f t="shared" si="907"/>
        <v>-2.3759999999999999</v>
      </c>
      <c r="Q5789" s="17" t="str">
        <f t="shared" si="909"/>
        <v>Ecart négatif</v>
      </c>
    </row>
    <row r="5790" spans="1:18" x14ac:dyDescent="0.3">
      <c r="A5790" s="34">
        <f>base!J5790</f>
        <v>0</v>
      </c>
      <c r="B5790" s="34" t="str">
        <f>base!V5790</f>
        <v>77184</v>
      </c>
      <c r="C5790" s="37">
        <v>77</v>
      </c>
      <c r="D5790" s="36">
        <f>base!H5790</f>
        <v>172</v>
      </c>
      <c r="E5790" s="44"/>
      <c r="F5790" s="16">
        <f>base!W5790</f>
        <v>0</v>
      </c>
      <c r="G5790" s="11">
        <f t="shared" si="900"/>
        <v>0</v>
      </c>
      <c r="H5790" s="11">
        <f t="shared" si="901"/>
        <v>0</v>
      </c>
      <c r="I5790" s="11">
        <f t="shared" si="902"/>
        <v>0</v>
      </c>
      <c r="J5790" s="12">
        <f t="shared" si="903"/>
        <v>0</v>
      </c>
      <c r="K5790" s="17" t="str">
        <f t="shared" si="908"/>
        <v>Pas d'écart</v>
      </c>
      <c r="L5790" s="16">
        <f>base!X5790</f>
        <v>0</v>
      </c>
      <c r="M5790" s="11">
        <f t="shared" si="904"/>
        <v>0</v>
      </c>
      <c r="N5790" s="11">
        <f t="shared" si="905"/>
        <v>0</v>
      </c>
      <c r="O5790" s="11">
        <f t="shared" si="906"/>
        <v>0</v>
      </c>
      <c r="P5790" s="12">
        <f t="shared" si="907"/>
        <v>0</v>
      </c>
      <c r="Q5790" s="17" t="str">
        <f t="shared" si="909"/>
        <v>Pas d'écart</v>
      </c>
    </row>
    <row r="5791" spans="1:18" x14ac:dyDescent="0.3">
      <c r="A5791" s="34" t="str">
        <f>base!J5791</f>
        <v>LS</v>
      </c>
      <c r="B5791" s="34" t="str">
        <f>base!V5791</f>
        <v>26000</v>
      </c>
      <c r="C5791" s="37">
        <v>63</v>
      </c>
      <c r="D5791" s="36">
        <f>base!H5791</f>
        <v>5.6</v>
      </c>
      <c r="E5791" s="44"/>
      <c r="F5791" s="16">
        <f>base!W5791</f>
        <v>1.51</v>
      </c>
      <c r="G5791" s="11">
        <f t="shared" si="900"/>
        <v>0.26964285714285718</v>
      </c>
      <c r="H5791" s="11">
        <f t="shared" si="901"/>
        <v>1.6239999999999999</v>
      </c>
      <c r="I5791" s="11">
        <f t="shared" si="902"/>
        <v>0.28999999999999998</v>
      </c>
      <c r="J5791" s="12">
        <f t="shared" si="903"/>
        <v>-0.11399999999999988</v>
      </c>
      <c r="K5791" s="17" t="str">
        <f t="shared" si="908"/>
        <v>Ecart négatif</v>
      </c>
      <c r="L5791" s="16">
        <f>base!X5791</f>
        <v>0</v>
      </c>
      <c r="M5791" s="11">
        <f t="shared" si="904"/>
        <v>0</v>
      </c>
      <c r="N5791" s="11">
        <f t="shared" si="905"/>
        <v>0.67199999999999993</v>
      </c>
      <c r="O5791" s="11">
        <f t="shared" si="906"/>
        <v>0.12</v>
      </c>
      <c r="P5791" s="12">
        <f t="shared" si="907"/>
        <v>-0.67199999999999993</v>
      </c>
      <c r="Q5791" s="17" t="str">
        <f t="shared" si="909"/>
        <v>Ecart négatif</v>
      </c>
    </row>
    <row r="5792" spans="1:18" x14ac:dyDescent="0.3">
      <c r="A5792" s="34" t="str">
        <f>base!J5792</f>
        <v>LM</v>
      </c>
      <c r="B5792" s="34" t="str">
        <f>base!V5792</f>
        <v>94405</v>
      </c>
      <c r="C5792" s="37">
        <v>94</v>
      </c>
      <c r="D5792" s="36">
        <f>base!H5792</f>
        <v>1.51</v>
      </c>
      <c r="E5792" s="44"/>
      <c r="F5792" s="16">
        <f>base!W5792</f>
        <v>0</v>
      </c>
      <c r="G5792" s="11">
        <f t="shared" si="900"/>
        <v>0</v>
      </c>
      <c r="H5792" s="11">
        <f t="shared" si="901"/>
        <v>0</v>
      </c>
      <c r="I5792" s="11">
        <f t="shared" si="902"/>
        <v>0</v>
      </c>
      <c r="J5792" s="12">
        <f t="shared" si="903"/>
        <v>0</v>
      </c>
      <c r="K5792" s="17" t="str">
        <f t="shared" si="908"/>
        <v>Pas d'écart</v>
      </c>
      <c r="L5792" s="16">
        <f>base!X5792</f>
        <v>0</v>
      </c>
      <c r="M5792" s="11">
        <f t="shared" si="904"/>
        <v>0</v>
      </c>
      <c r="N5792" s="11">
        <f t="shared" si="905"/>
        <v>0</v>
      </c>
      <c r="O5792" s="11">
        <f t="shared" si="906"/>
        <v>0</v>
      </c>
      <c r="P5792" s="12">
        <f t="shared" si="907"/>
        <v>0</v>
      </c>
      <c r="Q5792" s="17" t="str">
        <f t="shared" si="909"/>
        <v>Pas d'écart</v>
      </c>
    </row>
    <row r="5793" spans="1:18" x14ac:dyDescent="0.3">
      <c r="A5793" s="34" t="str">
        <f>base!J5793</f>
        <v>LS</v>
      </c>
      <c r="B5793" s="34" t="str">
        <f>base!V5793</f>
        <v>14000</v>
      </c>
      <c r="C5793" s="37">
        <v>56</v>
      </c>
      <c r="D5793" s="36">
        <f>base!H5793</f>
        <v>22.33</v>
      </c>
      <c r="E5793" s="44"/>
      <c r="F5793" s="16">
        <f>base!W5793</f>
        <v>3.8</v>
      </c>
      <c r="G5793" s="11">
        <f t="shared" si="900"/>
        <v>0.17017465293327363</v>
      </c>
      <c r="H5793" s="11">
        <f t="shared" si="901"/>
        <v>6.0290999999999997</v>
      </c>
      <c r="I5793" s="11">
        <f t="shared" si="902"/>
        <v>0.27</v>
      </c>
      <c r="J5793" s="12">
        <f t="shared" si="903"/>
        <v>-2.2290999999999999</v>
      </c>
      <c r="K5793" s="17" t="str">
        <f t="shared" si="908"/>
        <v>Ecart négatif</v>
      </c>
      <c r="L5793" s="16">
        <f>base!X5793</f>
        <v>0</v>
      </c>
      <c r="M5793" s="11">
        <f t="shared" si="904"/>
        <v>0</v>
      </c>
      <c r="N5793" s="11">
        <f t="shared" si="905"/>
        <v>0</v>
      </c>
      <c r="O5793" s="11">
        <f t="shared" si="906"/>
        <v>0</v>
      </c>
      <c r="P5793" s="12">
        <f t="shared" si="907"/>
        <v>0</v>
      </c>
      <c r="Q5793" s="17" t="str">
        <f t="shared" si="909"/>
        <v>Pas d'écart</v>
      </c>
    </row>
    <row r="5794" spans="1:18" x14ac:dyDescent="0.3">
      <c r="A5794" s="34" t="str">
        <f>base!J5794</f>
        <v>LM</v>
      </c>
      <c r="B5794" s="34" t="str">
        <f>base!V5794</f>
        <v>59150</v>
      </c>
      <c r="C5794" s="37">
        <v>88</v>
      </c>
      <c r="D5794" s="36">
        <f>base!H5794</f>
        <v>5.12</v>
      </c>
      <c r="E5794" s="44"/>
      <c r="F5794" s="16">
        <f>base!W5794</f>
        <v>0.97</v>
      </c>
      <c r="G5794" s="11">
        <f t="shared" si="900"/>
        <v>0.189453125</v>
      </c>
      <c r="H5794" s="11">
        <f t="shared" si="901"/>
        <v>1.4336000000000002</v>
      </c>
      <c r="I5794" s="11">
        <f t="shared" si="902"/>
        <v>0.28000000000000003</v>
      </c>
      <c r="J5794" s="12">
        <f t="shared" si="903"/>
        <v>-0.46360000000000023</v>
      </c>
      <c r="K5794" s="17" t="str">
        <f t="shared" si="908"/>
        <v>Ecart négatif</v>
      </c>
      <c r="L5794" s="16">
        <f>base!X5794</f>
        <v>0</v>
      </c>
      <c r="M5794" s="11">
        <f t="shared" si="904"/>
        <v>0</v>
      </c>
      <c r="N5794" s="11">
        <f t="shared" si="905"/>
        <v>0.40960000000000002</v>
      </c>
      <c r="O5794" s="11">
        <f t="shared" si="906"/>
        <v>0.08</v>
      </c>
      <c r="P5794" s="12">
        <f t="shared" si="907"/>
        <v>-0.40960000000000002</v>
      </c>
      <c r="Q5794" s="17" t="str">
        <f t="shared" si="909"/>
        <v>Ecart négatif</v>
      </c>
    </row>
    <row r="5795" spans="1:18" x14ac:dyDescent="0.3">
      <c r="A5795" s="34" t="str">
        <f>base!J5795</f>
        <v>LS</v>
      </c>
      <c r="B5795" s="34" t="str">
        <f>base!V5795</f>
        <v>60000</v>
      </c>
      <c r="C5795" s="37">
        <v>85</v>
      </c>
      <c r="D5795" s="36">
        <f>base!H5795</f>
        <v>0.01</v>
      </c>
      <c r="E5795" s="44"/>
      <c r="F5795" s="16">
        <f>base!W5795</f>
        <v>0</v>
      </c>
      <c r="G5795" s="11">
        <f t="shared" si="900"/>
        <v>0</v>
      </c>
      <c r="H5795" s="11">
        <f t="shared" si="901"/>
        <v>2.7000000000000001E-3</v>
      </c>
      <c r="I5795" s="11">
        <f t="shared" si="902"/>
        <v>0.27</v>
      </c>
      <c r="J5795" s="12">
        <f t="shared" si="903"/>
        <v>-2.7000000000000001E-3</v>
      </c>
      <c r="K5795" s="17" t="str">
        <f t="shared" si="908"/>
        <v>Ecart négatif</v>
      </c>
      <c r="L5795" s="16">
        <f>base!X5795</f>
        <v>0</v>
      </c>
      <c r="M5795" s="11">
        <f t="shared" si="904"/>
        <v>0</v>
      </c>
      <c r="N5795" s="11">
        <f t="shared" si="905"/>
        <v>0</v>
      </c>
      <c r="O5795" s="11">
        <f t="shared" si="906"/>
        <v>0</v>
      </c>
      <c r="P5795" s="12">
        <f t="shared" si="907"/>
        <v>0</v>
      </c>
      <c r="Q5795" s="17" t="str">
        <f t="shared" si="909"/>
        <v>Pas d'écart</v>
      </c>
    </row>
    <row r="5796" spans="1:18" x14ac:dyDescent="0.3">
      <c r="A5796" s="34" t="str">
        <f>base!J5796</f>
        <v>RM</v>
      </c>
      <c r="B5796" s="34" t="str">
        <f>base!V5796</f>
        <v>78190</v>
      </c>
      <c r="C5796" s="37">
        <v>78</v>
      </c>
      <c r="D5796" s="36">
        <f>base!H5796</f>
        <v>183.87</v>
      </c>
      <c r="E5796" s="44"/>
      <c r="F5796" s="16">
        <f>base!W5796</f>
        <v>0</v>
      </c>
      <c r="G5796" s="11">
        <f t="shared" si="900"/>
        <v>0</v>
      </c>
      <c r="H5796" s="11">
        <f t="shared" si="901"/>
        <v>0</v>
      </c>
      <c r="I5796" s="11">
        <f t="shared" si="902"/>
        <v>0</v>
      </c>
      <c r="J5796" s="12">
        <f t="shared" si="903"/>
        <v>0</v>
      </c>
      <c r="K5796" s="17" t="str">
        <f t="shared" si="908"/>
        <v>Pas d'écart</v>
      </c>
      <c r="L5796" s="16">
        <f>base!X5796</f>
        <v>0</v>
      </c>
      <c r="M5796" s="11">
        <f t="shared" si="904"/>
        <v>0</v>
      </c>
      <c r="N5796" s="11">
        <f t="shared" si="905"/>
        <v>0</v>
      </c>
      <c r="O5796" s="11">
        <f t="shared" si="906"/>
        <v>0</v>
      </c>
      <c r="P5796" s="12">
        <f t="shared" si="907"/>
        <v>0</v>
      </c>
      <c r="Q5796" s="17" t="str">
        <f t="shared" si="909"/>
        <v>Pas d'écart</v>
      </c>
    </row>
    <row r="5797" spans="1:18" x14ac:dyDescent="0.3">
      <c r="A5797" s="34" t="str">
        <f>base!J5797</f>
        <v>RS</v>
      </c>
      <c r="B5797" s="34" t="str">
        <f>base!V5797</f>
        <v>26000</v>
      </c>
      <c r="C5797" s="37">
        <v>26</v>
      </c>
      <c r="D5797" s="36">
        <f>base!H5797</f>
        <v>544.80999999999995</v>
      </c>
      <c r="E5797" s="44"/>
      <c r="F5797" s="16">
        <f>base!W5797</f>
        <v>0</v>
      </c>
      <c r="G5797" s="11">
        <f t="shared" si="900"/>
        <v>0</v>
      </c>
      <c r="H5797" s="11">
        <f t="shared" si="901"/>
        <v>147.09870000000001</v>
      </c>
      <c r="I5797" s="11">
        <f t="shared" si="902"/>
        <v>0.27</v>
      </c>
      <c r="J5797" s="12">
        <f t="shared" si="903"/>
        <v>-147.09870000000001</v>
      </c>
      <c r="K5797" s="17" t="str">
        <f t="shared" si="908"/>
        <v>Ecart négatif</v>
      </c>
      <c r="L5797" s="16">
        <f>base!X5797</f>
        <v>0</v>
      </c>
      <c r="M5797" s="11">
        <f t="shared" si="904"/>
        <v>0</v>
      </c>
      <c r="N5797" s="11">
        <f t="shared" si="905"/>
        <v>0</v>
      </c>
      <c r="O5797" s="11">
        <f t="shared" si="906"/>
        <v>0</v>
      </c>
      <c r="P5797" s="12">
        <f t="shared" si="907"/>
        <v>0</v>
      </c>
      <c r="Q5797" s="17" t="str">
        <f t="shared" si="909"/>
        <v>Pas d'écart</v>
      </c>
    </row>
    <row r="5798" spans="1:18" x14ac:dyDescent="0.3">
      <c r="A5798" s="34" t="str">
        <f>base!J5798</f>
        <v>RM</v>
      </c>
      <c r="B5798" s="34" t="str">
        <f>base!V5798</f>
        <v>34500</v>
      </c>
      <c r="C5798" s="37">
        <v>34</v>
      </c>
      <c r="D5798" s="36">
        <f>base!H5798</f>
        <v>180</v>
      </c>
      <c r="E5798" s="44"/>
      <c r="F5798" s="16">
        <f>base!W5798</f>
        <v>0</v>
      </c>
      <c r="G5798" s="11">
        <f t="shared" si="900"/>
        <v>0</v>
      </c>
      <c r="H5798" s="11">
        <f t="shared" si="901"/>
        <v>70.2</v>
      </c>
      <c r="I5798" s="11">
        <f t="shared" si="902"/>
        <v>0.39</v>
      </c>
      <c r="J5798" s="12">
        <f t="shared" si="903"/>
        <v>-70.2</v>
      </c>
      <c r="K5798" s="17" t="str">
        <f t="shared" si="908"/>
        <v>Ecart négatif</v>
      </c>
      <c r="L5798" s="16">
        <f>base!X5798</f>
        <v>50.4</v>
      </c>
      <c r="M5798" s="11">
        <f t="shared" si="904"/>
        <v>0.27999999999999997</v>
      </c>
      <c r="N5798" s="11">
        <f t="shared" si="905"/>
        <v>50.400000000000006</v>
      </c>
      <c r="O5798" s="11">
        <f t="shared" si="906"/>
        <v>0.28000000000000003</v>
      </c>
      <c r="P5798" s="12">
        <f t="shared" si="907"/>
        <v>0</v>
      </c>
      <c r="Q5798" s="17" t="str">
        <f t="shared" si="909"/>
        <v>Pas d'écart</v>
      </c>
      <c r="R5798" s="38"/>
    </row>
    <row r="5799" spans="1:18" x14ac:dyDescent="0.3">
      <c r="A5799" s="34" t="str">
        <f>base!J5799</f>
        <v>LS</v>
      </c>
      <c r="B5799" s="34" t="str">
        <f>base!V5799</f>
        <v>84120</v>
      </c>
      <c r="C5799" s="37">
        <v>69</v>
      </c>
      <c r="D5799" s="36">
        <f>base!H5799</f>
        <v>28.46</v>
      </c>
      <c r="E5799" s="44"/>
      <c r="F5799" s="16">
        <f>base!W5799</f>
        <v>8.25</v>
      </c>
      <c r="G5799" s="11">
        <f t="shared" si="900"/>
        <v>0.28988053408292341</v>
      </c>
      <c r="H5799" s="11">
        <f t="shared" si="901"/>
        <v>7.6842000000000006</v>
      </c>
      <c r="I5799" s="11">
        <f t="shared" si="902"/>
        <v>0.27</v>
      </c>
      <c r="J5799" s="12">
        <f t="shared" si="903"/>
        <v>0.56579999999999941</v>
      </c>
      <c r="K5799" s="17" t="str">
        <f t="shared" si="908"/>
        <v>Ecart positif</v>
      </c>
      <c r="L5799" s="16">
        <f>base!X5799</f>
        <v>0</v>
      </c>
      <c r="M5799" s="11">
        <f t="shared" si="904"/>
        <v>0</v>
      </c>
      <c r="N5799" s="11">
        <f t="shared" si="905"/>
        <v>0</v>
      </c>
      <c r="O5799" s="11">
        <f t="shared" si="906"/>
        <v>0</v>
      </c>
      <c r="P5799" s="12">
        <f t="shared" si="907"/>
        <v>0</v>
      </c>
      <c r="Q5799" s="17" t="str">
        <f t="shared" si="909"/>
        <v>Pas d'écart</v>
      </c>
    </row>
    <row r="5800" spans="1:18" x14ac:dyDescent="0.3">
      <c r="A5800" s="34" t="str">
        <f>base!J5800</f>
        <v>LS</v>
      </c>
      <c r="B5800" s="34" t="str">
        <f>base!V5800</f>
        <v>18000</v>
      </c>
      <c r="C5800" s="37">
        <v>56</v>
      </c>
      <c r="D5800" s="36">
        <f>base!H5800</f>
        <v>123.04</v>
      </c>
      <c r="E5800" s="44"/>
      <c r="F5800" s="16">
        <f>base!W5800</f>
        <v>25.84</v>
      </c>
      <c r="G5800" s="11">
        <f t="shared" si="900"/>
        <v>0.21001300390117034</v>
      </c>
      <c r="H5800" s="11">
        <f t="shared" si="901"/>
        <v>33.220800000000004</v>
      </c>
      <c r="I5800" s="11">
        <f t="shared" si="902"/>
        <v>0.27</v>
      </c>
      <c r="J5800" s="12">
        <f t="shared" si="903"/>
        <v>-7.3808000000000042</v>
      </c>
      <c r="K5800" s="17" t="str">
        <f t="shared" si="908"/>
        <v>Ecart négatif</v>
      </c>
      <c r="L5800" s="16">
        <f>base!X5800</f>
        <v>0</v>
      </c>
      <c r="M5800" s="11">
        <f t="shared" si="904"/>
        <v>0</v>
      </c>
      <c r="N5800" s="11">
        <f t="shared" si="905"/>
        <v>0</v>
      </c>
      <c r="O5800" s="11">
        <f t="shared" si="906"/>
        <v>0</v>
      </c>
      <c r="P5800" s="12">
        <f t="shared" si="907"/>
        <v>0</v>
      </c>
      <c r="Q5800" s="17" t="str">
        <f t="shared" si="909"/>
        <v>Pas d'écart</v>
      </c>
    </row>
    <row r="5801" spans="1:18" x14ac:dyDescent="0.3">
      <c r="A5801" s="34" t="str">
        <f>base!J5801</f>
        <v>RM</v>
      </c>
      <c r="B5801" s="34" t="str">
        <f>base!V5801</f>
        <v>54000</v>
      </c>
      <c r="C5801" s="37">
        <v>54</v>
      </c>
      <c r="D5801" s="36">
        <f>base!H5801</f>
        <v>36.89</v>
      </c>
      <c r="E5801" s="44"/>
      <c r="F5801" s="16">
        <f>base!W5801</f>
        <v>0</v>
      </c>
      <c r="G5801" s="11">
        <f t="shared" si="900"/>
        <v>0</v>
      </c>
      <c r="H5801" s="11">
        <f t="shared" si="901"/>
        <v>9.2225000000000001</v>
      </c>
      <c r="I5801" s="11">
        <f t="shared" si="902"/>
        <v>0.25</v>
      </c>
      <c r="J5801" s="12">
        <f t="shared" si="903"/>
        <v>-9.2225000000000001</v>
      </c>
      <c r="K5801" s="17" t="str">
        <f t="shared" si="908"/>
        <v>Ecart négatif</v>
      </c>
      <c r="L5801" s="16">
        <f>base!X5801</f>
        <v>9.2200000000000006</v>
      </c>
      <c r="M5801" s="11">
        <f t="shared" si="904"/>
        <v>0.2499322309568989</v>
      </c>
      <c r="N5801" s="11">
        <f t="shared" si="905"/>
        <v>9.2225000000000001</v>
      </c>
      <c r="O5801" s="11">
        <f t="shared" si="906"/>
        <v>0.25</v>
      </c>
      <c r="P5801" s="12">
        <f t="shared" si="907"/>
        <v>-2.4999999999995026E-3</v>
      </c>
      <c r="Q5801" s="17" t="str">
        <f t="shared" si="909"/>
        <v>Ecart négatif</v>
      </c>
      <c r="R5801" s="38"/>
    </row>
    <row r="5802" spans="1:18" x14ac:dyDescent="0.3">
      <c r="A5802" s="34" t="str">
        <f>base!J5802</f>
        <v>LS</v>
      </c>
      <c r="B5802" s="34" t="str">
        <f>base!V5802</f>
        <v>16250</v>
      </c>
      <c r="C5802" s="37">
        <v>35</v>
      </c>
      <c r="D5802" s="36">
        <f>base!H5802</f>
        <v>8.36</v>
      </c>
      <c r="E5802" s="44"/>
      <c r="F5802" s="16">
        <f>base!W5802</f>
        <v>1.76</v>
      </c>
      <c r="G5802" s="11">
        <f t="shared" si="900"/>
        <v>0.2105263157894737</v>
      </c>
      <c r="H5802" s="11">
        <f t="shared" si="901"/>
        <v>2.2572000000000001</v>
      </c>
      <c r="I5802" s="11">
        <f t="shared" si="902"/>
        <v>0.27</v>
      </c>
      <c r="J5802" s="12">
        <f t="shared" si="903"/>
        <v>-0.49720000000000009</v>
      </c>
      <c r="K5802" s="17" t="str">
        <f t="shared" si="908"/>
        <v>Ecart négatif</v>
      </c>
      <c r="L5802" s="16">
        <f>base!X5802</f>
        <v>0</v>
      </c>
      <c r="M5802" s="11">
        <f t="shared" si="904"/>
        <v>0</v>
      </c>
      <c r="N5802" s="11">
        <f t="shared" si="905"/>
        <v>0</v>
      </c>
      <c r="O5802" s="11">
        <f t="shared" si="906"/>
        <v>0</v>
      </c>
      <c r="P5802" s="12">
        <f t="shared" si="907"/>
        <v>0</v>
      </c>
      <c r="Q5802" s="17" t="str">
        <f t="shared" si="909"/>
        <v>Pas d'écart</v>
      </c>
    </row>
    <row r="5803" spans="1:18" x14ac:dyDescent="0.3">
      <c r="A5803" s="34" t="str">
        <f>base!J5803</f>
        <v>LM</v>
      </c>
      <c r="B5803" s="34" t="str">
        <f>base!V5803</f>
        <v>75009</v>
      </c>
      <c r="C5803" s="37">
        <v>75</v>
      </c>
      <c r="D5803" s="36">
        <f>base!H5803</f>
        <v>28.26</v>
      </c>
      <c r="E5803" s="44"/>
      <c r="F5803" s="16">
        <f>base!W5803</f>
        <v>0</v>
      </c>
      <c r="G5803" s="11">
        <f t="shared" si="900"/>
        <v>0</v>
      </c>
      <c r="H5803" s="11">
        <f t="shared" si="901"/>
        <v>0</v>
      </c>
      <c r="I5803" s="11">
        <f t="shared" si="902"/>
        <v>0</v>
      </c>
      <c r="J5803" s="12">
        <f t="shared" si="903"/>
        <v>0</v>
      </c>
      <c r="K5803" s="17" t="str">
        <f t="shared" si="908"/>
        <v>Pas d'écart</v>
      </c>
      <c r="L5803" s="16">
        <f>base!X5803</f>
        <v>0</v>
      </c>
      <c r="M5803" s="11">
        <f t="shared" si="904"/>
        <v>0</v>
      </c>
      <c r="N5803" s="11">
        <f t="shared" si="905"/>
        <v>0</v>
      </c>
      <c r="O5803" s="11">
        <f t="shared" si="906"/>
        <v>0</v>
      </c>
      <c r="P5803" s="12">
        <f t="shared" si="907"/>
        <v>0</v>
      </c>
      <c r="Q5803" s="17" t="str">
        <f t="shared" si="909"/>
        <v>Pas d'écart</v>
      </c>
    </row>
    <row r="5804" spans="1:18" x14ac:dyDescent="0.3">
      <c r="A5804" s="34">
        <f>base!J5804</f>
        <v>0</v>
      </c>
      <c r="B5804" s="34" t="str">
        <f>base!V5804</f>
        <v>77184</v>
      </c>
      <c r="C5804" s="37">
        <v>77</v>
      </c>
      <c r="D5804" s="36">
        <f>base!H5804</f>
        <v>33.630000000000003</v>
      </c>
      <c r="E5804" s="44"/>
      <c r="F5804" s="16">
        <f>base!W5804</f>
        <v>0</v>
      </c>
      <c r="G5804" s="11">
        <f t="shared" si="900"/>
        <v>0</v>
      </c>
      <c r="H5804" s="11">
        <f t="shared" si="901"/>
        <v>0</v>
      </c>
      <c r="I5804" s="11">
        <f t="shared" si="902"/>
        <v>0</v>
      </c>
      <c r="J5804" s="12">
        <f t="shared" si="903"/>
        <v>0</v>
      </c>
      <c r="K5804" s="17" t="str">
        <f t="shared" si="908"/>
        <v>Pas d'écart</v>
      </c>
      <c r="L5804" s="16">
        <f>base!X5804</f>
        <v>0</v>
      </c>
      <c r="M5804" s="11">
        <f t="shared" si="904"/>
        <v>0</v>
      </c>
      <c r="N5804" s="11">
        <f t="shared" si="905"/>
        <v>0</v>
      </c>
      <c r="O5804" s="11">
        <f t="shared" si="906"/>
        <v>0</v>
      </c>
      <c r="P5804" s="12">
        <f t="shared" si="907"/>
        <v>0</v>
      </c>
      <c r="Q5804" s="17" t="str">
        <f t="shared" si="909"/>
        <v>Pas d'écart</v>
      </c>
    </row>
    <row r="5805" spans="1:18" x14ac:dyDescent="0.3">
      <c r="A5805" s="34" t="str">
        <f>base!J5805</f>
        <v>LM</v>
      </c>
      <c r="B5805" s="34" t="str">
        <f>base!V5805</f>
        <v>13790</v>
      </c>
      <c r="C5805" s="37">
        <v>44</v>
      </c>
      <c r="D5805" s="36">
        <f>base!H5805</f>
        <v>107.72</v>
      </c>
      <c r="E5805" s="44"/>
      <c r="F5805" s="16">
        <f>base!W5805</f>
        <v>31.24</v>
      </c>
      <c r="G5805" s="11">
        <f t="shared" si="900"/>
        <v>0.29001113999257333</v>
      </c>
      <c r="H5805" s="11">
        <f t="shared" si="901"/>
        <v>29.084400000000002</v>
      </c>
      <c r="I5805" s="11">
        <f t="shared" si="902"/>
        <v>0.27</v>
      </c>
      <c r="J5805" s="12">
        <f t="shared" si="903"/>
        <v>2.1555999999999962</v>
      </c>
      <c r="K5805" s="17" t="str">
        <f t="shared" si="908"/>
        <v>Ecart positif</v>
      </c>
      <c r="L5805" s="16">
        <f>base!X5805</f>
        <v>0</v>
      </c>
      <c r="M5805" s="11">
        <f t="shared" si="904"/>
        <v>0</v>
      </c>
      <c r="N5805" s="11">
        <f t="shared" si="905"/>
        <v>0</v>
      </c>
      <c r="O5805" s="11">
        <f t="shared" si="906"/>
        <v>0</v>
      </c>
      <c r="P5805" s="12">
        <f t="shared" si="907"/>
        <v>0</v>
      </c>
      <c r="Q5805" s="17" t="str">
        <f t="shared" si="909"/>
        <v>Pas d'écart</v>
      </c>
    </row>
    <row r="5806" spans="1:18" x14ac:dyDescent="0.3">
      <c r="A5806" s="34" t="str">
        <f>base!J5806</f>
        <v>LM</v>
      </c>
      <c r="B5806" s="34" t="str">
        <f>base!V5806</f>
        <v>13790</v>
      </c>
      <c r="C5806" s="37">
        <v>13</v>
      </c>
      <c r="D5806" s="36">
        <f>base!H5806</f>
        <v>107.72</v>
      </c>
      <c r="E5806" s="44"/>
      <c r="F5806" s="16">
        <f>base!W5806</f>
        <v>31.24</v>
      </c>
      <c r="G5806" s="11">
        <f t="shared" si="900"/>
        <v>0.29001113999257333</v>
      </c>
      <c r="H5806" s="11">
        <f t="shared" si="901"/>
        <v>31.238799999999998</v>
      </c>
      <c r="I5806" s="11">
        <f t="shared" si="902"/>
        <v>0.28999999999999998</v>
      </c>
      <c r="J5806" s="12">
        <f t="shared" si="903"/>
        <v>1.200000000000756E-3</v>
      </c>
      <c r="K5806" s="17" t="str">
        <f t="shared" si="908"/>
        <v>Ecart positif</v>
      </c>
      <c r="L5806" s="16">
        <f>base!X5806</f>
        <v>0</v>
      </c>
      <c r="M5806" s="11">
        <f t="shared" si="904"/>
        <v>0</v>
      </c>
      <c r="N5806" s="11">
        <f t="shared" si="905"/>
        <v>20.466799999999999</v>
      </c>
      <c r="O5806" s="11">
        <f t="shared" si="906"/>
        <v>0.19</v>
      </c>
      <c r="P5806" s="12">
        <f t="shared" si="907"/>
        <v>-20.466799999999999</v>
      </c>
      <c r="Q5806" s="17" t="str">
        <f t="shared" si="909"/>
        <v>Ecart négatif</v>
      </c>
    </row>
    <row r="5807" spans="1:18" x14ac:dyDescent="0.3">
      <c r="A5807" s="34" t="str">
        <f>base!J5807</f>
        <v>LS</v>
      </c>
      <c r="B5807" s="34" t="str">
        <f>base!V5807</f>
        <v>66000</v>
      </c>
      <c r="C5807" s="37">
        <v>13</v>
      </c>
      <c r="D5807" s="36">
        <f>base!H5807</f>
        <v>139.19999999999999</v>
      </c>
      <c r="E5807" s="44"/>
      <c r="F5807" s="16">
        <f>base!W5807</f>
        <v>54.29</v>
      </c>
      <c r="G5807" s="11">
        <f t="shared" si="900"/>
        <v>0.390014367816092</v>
      </c>
      <c r="H5807" s="11">
        <f t="shared" si="901"/>
        <v>40.367999999999995</v>
      </c>
      <c r="I5807" s="11">
        <f t="shared" si="902"/>
        <v>0.28999999999999998</v>
      </c>
      <c r="J5807" s="12">
        <f t="shared" si="903"/>
        <v>13.922000000000004</v>
      </c>
      <c r="K5807" s="17" t="str">
        <f t="shared" si="908"/>
        <v>Ecart positif</v>
      </c>
      <c r="L5807" s="16">
        <f>base!X5807</f>
        <v>0</v>
      </c>
      <c r="M5807" s="11">
        <f t="shared" si="904"/>
        <v>0</v>
      </c>
      <c r="N5807" s="11">
        <f t="shared" si="905"/>
        <v>26.447999999999997</v>
      </c>
      <c r="O5807" s="11">
        <f t="shared" si="906"/>
        <v>0.19</v>
      </c>
      <c r="P5807" s="12">
        <f t="shared" si="907"/>
        <v>-26.447999999999997</v>
      </c>
      <c r="Q5807" s="17" t="str">
        <f t="shared" si="909"/>
        <v>Ecart négatif</v>
      </c>
    </row>
    <row r="5808" spans="1:18" x14ac:dyDescent="0.3">
      <c r="A5808" s="34" t="str">
        <f>base!J5808</f>
        <v>LS</v>
      </c>
      <c r="B5808" s="34" t="str">
        <f>base!V5808</f>
        <v>54500</v>
      </c>
      <c r="C5808" s="37">
        <v>63</v>
      </c>
      <c r="D5808" s="36">
        <f>base!H5808</f>
        <v>139.91</v>
      </c>
      <c r="E5808" s="44"/>
      <c r="F5808" s="16">
        <f>base!W5808</f>
        <v>34.979999999999997</v>
      </c>
      <c r="G5808" s="11">
        <f t="shared" si="900"/>
        <v>0.25001786862983344</v>
      </c>
      <c r="H5808" s="11">
        <f t="shared" si="901"/>
        <v>40.573899999999995</v>
      </c>
      <c r="I5808" s="11">
        <f t="shared" si="902"/>
        <v>0.28999999999999998</v>
      </c>
      <c r="J5808" s="12">
        <f t="shared" si="903"/>
        <v>-5.5938999999999979</v>
      </c>
      <c r="K5808" s="17" t="str">
        <f t="shared" si="908"/>
        <v>Ecart négatif</v>
      </c>
      <c r="L5808" s="16">
        <f>base!X5808</f>
        <v>0</v>
      </c>
      <c r="M5808" s="11">
        <f t="shared" si="904"/>
        <v>0</v>
      </c>
      <c r="N5808" s="11">
        <f t="shared" si="905"/>
        <v>16.789199999999997</v>
      </c>
      <c r="O5808" s="11">
        <f t="shared" si="906"/>
        <v>0.11999999999999998</v>
      </c>
      <c r="P5808" s="12">
        <f t="shared" si="907"/>
        <v>-16.789199999999997</v>
      </c>
      <c r="Q5808" s="17" t="str">
        <f t="shared" si="909"/>
        <v>Ecart négatif</v>
      </c>
    </row>
    <row r="5809" spans="1:18" x14ac:dyDescent="0.3">
      <c r="A5809" s="34" t="str">
        <f>base!J5809</f>
        <v>DLS</v>
      </c>
      <c r="B5809" s="34" t="str">
        <f>base!V5809</f>
        <v>60330</v>
      </c>
      <c r="C5809" s="37">
        <v>60</v>
      </c>
      <c r="D5809" s="36">
        <f>base!H5809</f>
        <v>151</v>
      </c>
      <c r="E5809" s="44"/>
      <c r="F5809" s="16">
        <f>base!W5809</f>
        <v>0</v>
      </c>
      <c r="G5809" s="11">
        <f t="shared" si="900"/>
        <v>0</v>
      </c>
      <c r="H5809" s="11">
        <f t="shared" si="901"/>
        <v>28.69</v>
      </c>
      <c r="I5809" s="11">
        <f t="shared" si="902"/>
        <v>0.19</v>
      </c>
      <c r="J5809" s="12">
        <f t="shared" si="903"/>
        <v>-28.69</v>
      </c>
      <c r="K5809" s="17" t="str">
        <f t="shared" si="908"/>
        <v>Ecart négatif</v>
      </c>
      <c r="L5809" s="16">
        <f>base!X5809</f>
        <v>0</v>
      </c>
      <c r="M5809" s="11">
        <f t="shared" si="904"/>
        <v>0</v>
      </c>
      <c r="N5809" s="11">
        <f t="shared" si="905"/>
        <v>0</v>
      </c>
      <c r="O5809" s="11">
        <f t="shared" si="906"/>
        <v>0</v>
      </c>
      <c r="P5809" s="12">
        <f t="shared" si="907"/>
        <v>0</v>
      </c>
      <c r="Q5809" s="17" t="str">
        <f t="shared" si="909"/>
        <v>Pas d'écart</v>
      </c>
    </row>
    <row r="5810" spans="1:18" x14ac:dyDescent="0.3">
      <c r="A5810" s="34" t="str">
        <f>base!J5810</f>
        <v>RM</v>
      </c>
      <c r="B5810" s="34" t="str">
        <f>base!V5810</f>
        <v>75010</v>
      </c>
      <c r="C5810" s="37">
        <v>75</v>
      </c>
      <c r="D5810" s="36">
        <f>base!H5810</f>
        <v>119.94</v>
      </c>
      <c r="E5810" s="44"/>
      <c r="F5810" s="16">
        <f>base!W5810</f>
        <v>0</v>
      </c>
      <c r="G5810" s="11">
        <f t="shared" si="900"/>
        <v>0</v>
      </c>
      <c r="H5810" s="11">
        <f t="shared" si="901"/>
        <v>0</v>
      </c>
      <c r="I5810" s="11">
        <f t="shared" si="902"/>
        <v>0</v>
      </c>
      <c r="J5810" s="12">
        <f t="shared" si="903"/>
        <v>0</v>
      </c>
      <c r="K5810" s="17" t="str">
        <f t="shared" si="908"/>
        <v>Pas d'écart</v>
      </c>
      <c r="L5810" s="16">
        <f>base!X5810</f>
        <v>0</v>
      </c>
      <c r="M5810" s="11">
        <f t="shared" si="904"/>
        <v>0</v>
      </c>
      <c r="N5810" s="11">
        <f t="shared" si="905"/>
        <v>0</v>
      </c>
      <c r="O5810" s="11">
        <f t="shared" si="906"/>
        <v>0</v>
      </c>
      <c r="P5810" s="12">
        <f t="shared" si="907"/>
        <v>0</v>
      </c>
      <c r="Q5810" s="17" t="str">
        <f t="shared" si="909"/>
        <v>Pas d'écart</v>
      </c>
    </row>
    <row r="5811" spans="1:18" x14ac:dyDescent="0.3">
      <c r="A5811" s="34" t="str">
        <f>base!J5811</f>
        <v>RM</v>
      </c>
      <c r="B5811" s="34" t="str">
        <f>base!V5811</f>
        <v>75010</v>
      </c>
      <c r="C5811" s="37">
        <v>75</v>
      </c>
      <c r="D5811" s="36">
        <f>base!H5811</f>
        <v>190.58</v>
      </c>
      <c r="E5811" s="44"/>
      <c r="F5811" s="16">
        <f>base!W5811</f>
        <v>0</v>
      </c>
      <c r="G5811" s="11">
        <f t="shared" si="900"/>
        <v>0</v>
      </c>
      <c r="H5811" s="11">
        <f t="shared" si="901"/>
        <v>0</v>
      </c>
      <c r="I5811" s="11">
        <f t="shared" si="902"/>
        <v>0</v>
      </c>
      <c r="J5811" s="12">
        <f t="shared" si="903"/>
        <v>0</v>
      </c>
      <c r="K5811" s="17" t="str">
        <f t="shared" si="908"/>
        <v>Pas d'écart</v>
      </c>
      <c r="L5811" s="16">
        <f>base!X5811</f>
        <v>0</v>
      </c>
      <c r="M5811" s="11">
        <f t="shared" si="904"/>
        <v>0</v>
      </c>
      <c r="N5811" s="11">
        <f t="shared" si="905"/>
        <v>0</v>
      </c>
      <c r="O5811" s="11">
        <f t="shared" si="906"/>
        <v>0</v>
      </c>
      <c r="P5811" s="12">
        <f t="shared" si="907"/>
        <v>0</v>
      </c>
      <c r="Q5811" s="17" t="str">
        <f t="shared" si="909"/>
        <v>Pas d'écart</v>
      </c>
    </row>
    <row r="5812" spans="1:18" x14ac:dyDescent="0.3">
      <c r="A5812" s="34">
        <f>base!J5812</f>
        <v>0</v>
      </c>
      <c r="B5812" s="34" t="str">
        <f>base!V5812</f>
        <v>44240</v>
      </c>
      <c r="C5812" s="37">
        <v>44</v>
      </c>
      <c r="D5812" s="36">
        <f>base!H5812</f>
        <v>60</v>
      </c>
      <c r="E5812" s="44"/>
      <c r="F5812" s="16">
        <f>base!W5812</f>
        <v>0</v>
      </c>
      <c r="G5812" s="11">
        <f t="shared" si="900"/>
        <v>0</v>
      </c>
      <c r="H5812" s="11">
        <f t="shared" si="901"/>
        <v>16.200000000000003</v>
      </c>
      <c r="I5812" s="11">
        <f t="shared" si="902"/>
        <v>0.27000000000000007</v>
      </c>
      <c r="J5812" s="12">
        <f t="shared" si="903"/>
        <v>-16.200000000000003</v>
      </c>
      <c r="K5812" s="17" t="str">
        <f t="shared" si="908"/>
        <v>Ecart négatif</v>
      </c>
      <c r="L5812" s="16">
        <f>base!X5812</f>
        <v>0</v>
      </c>
      <c r="M5812" s="11">
        <f t="shared" si="904"/>
        <v>0</v>
      </c>
      <c r="N5812" s="11">
        <f t="shared" si="905"/>
        <v>0</v>
      </c>
      <c r="O5812" s="11">
        <f t="shared" si="906"/>
        <v>0</v>
      </c>
      <c r="P5812" s="12">
        <f t="shared" si="907"/>
        <v>0</v>
      </c>
      <c r="Q5812" s="17" t="str">
        <f t="shared" si="909"/>
        <v>Pas d'écart</v>
      </c>
    </row>
    <row r="5813" spans="1:18" x14ac:dyDescent="0.3">
      <c r="A5813" s="34" t="str">
        <f>base!J5813</f>
        <v>LS</v>
      </c>
      <c r="B5813" s="34" t="str">
        <f>base!V5813</f>
        <v>56520</v>
      </c>
      <c r="C5813" s="37">
        <v>63</v>
      </c>
      <c r="D5813" s="36">
        <f>base!H5813</f>
        <v>198.98</v>
      </c>
      <c r="E5813" s="44"/>
      <c r="F5813" s="16">
        <f>base!W5813</f>
        <v>53.72</v>
      </c>
      <c r="G5813" s="11">
        <f t="shared" si="900"/>
        <v>0.26997688209870341</v>
      </c>
      <c r="H5813" s="11">
        <f t="shared" si="901"/>
        <v>57.704199999999993</v>
      </c>
      <c r="I5813" s="11">
        <f t="shared" si="902"/>
        <v>0.28999999999999998</v>
      </c>
      <c r="J5813" s="12">
        <f t="shared" si="903"/>
        <v>-3.9841999999999942</v>
      </c>
      <c r="K5813" s="17" t="str">
        <f t="shared" si="908"/>
        <v>Ecart négatif</v>
      </c>
      <c r="L5813" s="16">
        <f>base!X5813</f>
        <v>0</v>
      </c>
      <c r="M5813" s="11">
        <f t="shared" si="904"/>
        <v>0</v>
      </c>
      <c r="N5813" s="11">
        <f t="shared" si="905"/>
        <v>23.877599999999997</v>
      </c>
      <c r="O5813" s="11">
        <f t="shared" si="906"/>
        <v>0.12</v>
      </c>
      <c r="P5813" s="12">
        <f t="shared" si="907"/>
        <v>-23.877599999999997</v>
      </c>
      <c r="Q5813" s="17" t="str">
        <f t="shared" si="909"/>
        <v>Ecart négatif</v>
      </c>
    </row>
    <row r="5814" spans="1:18" x14ac:dyDescent="0.3">
      <c r="A5814" s="34" t="str">
        <f>base!J5814</f>
        <v>RS</v>
      </c>
      <c r="B5814" s="34" t="str">
        <f>base!V5814</f>
        <v>68120</v>
      </c>
      <c r="C5814" s="37">
        <v>68</v>
      </c>
      <c r="D5814" s="36">
        <f>base!H5814</f>
        <v>173.44</v>
      </c>
      <c r="E5814" s="44"/>
      <c r="F5814" s="16">
        <f>base!W5814</f>
        <v>0</v>
      </c>
      <c r="G5814" s="11">
        <f t="shared" si="900"/>
        <v>0</v>
      </c>
      <c r="H5814" s="11">
        <f t="shared" si="901"/>
        <v>50.297599999999996</v>
      </c>
      <c r="I5814" s="11">
        <f t="shared" si="902"/>
        <v>0.28999999999999998</v>
      </c>
      <c r="J5814" s="12">
        <f t="shared" si="903"/>
        <v>-50.297599999999996</v>
      </c>
      <c r="K5814" s="17" t="str">
        <f t="shared" si="908"/>
        <v>Ecart négatif</v>
      </c>
      <c r="L5814" s="16">
        <f>base!X5814</f>
        <v>13.88</v>
      </c>
      <c r="M5814" s="11">
        <f t="shared" si="904"/>
        <v>8.002767527675278E-2</v>
      </c>
      <c r="N5814" s="11">
        <f t="shared" si="905"/>
        <v>13.8752</v>
      </c>
      <c r="O5814" s="11">
        <f t="shared" si="906"/>
        <v>0.08</v>
      </c>
      <c r="P5814" s="12">
        <f t="shared" si="907"/>
        <v>4.8000000000012477E-3</v>
      </c>
      <c r="Q5814" s="17" t="str">
        <f t="shared" si="909"/>
        <v>Ecart positif</v>
      </c>
      <c r="R5814" s="38"/>
    </row>
    <row r="5815" spans="1:18" x14ac:dyDescent="0.3">
      <c r="A5815" s="34" t="str">
        <f>base!J5815</f>
        <v>LS</v>
      </c>
      <c r="B5815" s="34" t="str">
        <f>base!V5815</f>
        <v>19100</v>
      </c>
      <c r="C5815" s="37">
        <v>44</v>
      </c>
      <c r="D5815" s="36">
        <f>base!H5815</f>
        <v>100.42</v>
      </c>
      <c r="E5815" s="44"/>
      <c r="F5815" s="16">
        <f>base!W5815</f>
        <v>29.12</v>
      </c>
      <c r="G5815" s="11">
        <f t="shared" si="900"/>
        <v>0.28998207528380804</v>
      </c>
      <c r="H5815" s="11">
        <f t="shared" si="901"/>
        <v>27.113400000000002</v>
      </c>
      <c r="I5815" s="11">
        <f t="shared" si="902"/>
        <v>0.27</v>
      </c>
      <c r="J5815" s="12">
        <f t="shared" si="903"/>
        <v>2.0065999999999988</v>
      </c>
      <c r="K5815" s="17" t="str">
        <f t="shared" si="908"/>
        <v>Ecart positif</v>
      </c>
      <c r="L5815" s="16">
        <f>base!X5815</f>
        <v>0</v>
      </c>
      <c r="M5815" s="11">
        <f t="shared" si="904"/>
        <v>0</v>
      </c>
      <c r="N5815" s="11">
        <f t="shared" si="905"/>
        <v>0</v>
      </c>
      <c r="O5815" s="11">
        <f t="shared" si="906"/>
        <v>0</v>
      </c>
      <c r="P5815" s="12">
        <f t="shared" si="907"/>
        <v>0</v>
      </c>
      <c r="Q5815" s="17" t="str">
        <f t="shared" si="909"/>
        <v>Pas d'écart</v>
      </c>
    </row>
    <row r="5816" spans="1:18" x14ac:dyDescent="0.3">
      <c r="A5816" s="34" t="str">
        <f>base!J5816</f>
        <v>LS</v>
      </c>
      <c r="B5816" s="34" t="str">
        <f>base!V5816</f>
        <v>69124</v>
      </c>
      <c r="C5816" s="37">
        <v>69</v>
      </c>
      <c r="D5816" s="36">
        <f>base!H5816</f>
        <v>199.39</v>
      </c>
      <c r="E5816" s="44"/>
      <c r="F5816" s="16">
        <f>base!W5816</f>
        <v>53.84</v>
      </c>
      <c r="G5816" s="11">
        <f t="shared" si="900"/>
        <v>0.27002357189427756</v>
      </c>
      <c r="H5816" s="11">
        <f t="shared" si="901"/>
        <v>53.835299999999997</v>
      </c>
      <c r="I5816" s="11">
        <f t="shared" si="902"/>
        <v>0.27</v>
      </c>
      <c r="J5816" s="12">
        <f t="shared" si="903"/>
        <v>4.7000000000068098E-3</v>
      </c>
      <c r="K5816" s="17" t="str">
        <f t="shared" si="908"/>
        <v>Ecart positif</v>
      </c>
      <c r="L5816" s="16">
        <f>base!X5816</f>
        <v>0</v>
      </c>
      <c r="M5816" s="11">
        <f t="shared" si="904"/>
        <v>0</v>
      </c>
      <c r="N5816" s="11">
        <f t="shared" si="905"/>
        <v>0</v>
      </c>
      <c r="O5816" s="11">
        <f t="shared" si="906"/>
        <v>0</v>
      </c>
      <c r="P5816" s="12">
        <f t="shared" si="907"/>
        <v>0</v>
      </c>
      <c r="Q5816" s="17" t="str">
        <f t="shared" si="909"/>
        <v>Pas d'écart</v>
      </c>
    </row>
    <row r="5817" spans="1:18" x14ac:dyDescent="0.3">
      <c r="A5817" s="34" t="str">
        <f>base!J5817</f>
        <v>LS</v>
      </c>
      <c r="B5817" s="34" t="str">
        <f>base!V5817</f>
        <v>62182</v>
      </c>
      <c r="C5817" s="37">
        <v>62</v>
      </c>
      <c r="D5817" s="36">
        <f>base!H5817</f>
        <v>40</v>
      </c>
      <c r="E5817" s="44"/>
      <c r="F5817" s="16">
        <f>base!W5817</f>
        <v>7.6</v>
      </c>
      <c r="G5817" s="11">
        <f t="shared" si="900"/>
        <v>0.19</v>
      </c>
      <c r="H5817" s="11">
        <f t="shared" si="901"/>
        <v>7.6</v>
      </c>
      <c r="I5817" s="11">
        <f t="shared" si="902"/>
        <v>0.19</v>
      </c>
      <c r="J5817" s="12">
        <f t="shared" si="903"/>
        <v>0</v>
      </c>
      <c r="K5817" s="17" t="str">
        <f t="shared" si="908"/>
        <v>Pas d'écart</v>
      </c>
      <c r="L5817" s="16">
        <f>base!X5817</f>
        <v>0</v>
      </c>
      <c r="M5817" s="11">
        <f t="shared" si="904"/>
        <v>0</v>
      </c>
      <c r="N5817" s="11">
        <f t="shared" si="905"/>
        <v>0</v>
      </c>
      <c r="O5817" s="11">
        <f t="shared" si="906"/>
        <v>0</v>
      </c>
      <c r="P5817" s="12">
        <f t="shared" si="907"/>
        <v>0</v>
      </c>
      <c r="Q5817" s="17" t="str">
        <f t="shared" si="909"/>
        <v>Pas d'écart</v>
      </c>
    </row>
    <row r="5818" spans="1:18" x14ac:dyDescent="0.3">
      <c r="A5818" s="34" t="str">
        <f>base!J5818</f>
        <v>LM</v>
      </c>
      <c r="B5818" s="34" t="str">
        <f>base!V5818</f>
        <v>63100</v>
      </c>
      <c r="C5818" s="37">
        <v>69</v>
      </c>
      <c r="D5818" s="36">
        <f>base!H5818</f>
        <v>120.65</v>
      </c>
      <c r="E5818" s="44"/>
      <c r="F5818" s="16">
        <f>base!W5818</f>
        <v>34.99</v>
      </c>
      <c r="G5818" s="11">
        <f t="shared" si="900"/>
        <v>0.29001243265644427</v>
      </c>
      <c r="H5818" s="11">
        <f t="shared" si="901"/>
        <v>32.575500000000005</v>
      </c>
      <c r="I5818" s="11">
        <f t="shared" si="902"/>
        <v>0.27</v>
      </c>
      <c r="J5818" s="12">
        <f t="shared" si="903"/>
        <v>2.4144999999999968</v>
      </c>
      <c r="K5818" s="17" t="str">
        <f t="shared" si="908"/>
        <v>Ecart positif</v>
      </c>
      <c r="L5818" s="16">
        <f>base!X5818</f>
        <v>0</v>
      </c>
      <c r="M5818" s="11">
        <f t="shared" si="904"/>
        <v>0</v>
      </c>
      <c r="N5818" s="11">
        <f t="shared" si="905"/>
        <v>0</v>
      </c>
      <c r="O5818" s="11">
        <f t="shared" si="906"/>
        <v>0</v>
      </c>
      <c r="P5818" s="12">
        <f t="shared" si="907"/>
        <v>0</v>
      </c>
      <c r="Q5818" s="17" t="str">
        <f t="shared" si="909"/>
        <v>Pas d'écart</v>
      </c>
    </row>
    <row r="5819" spans="1:18" x14ac:dyDescent="0.3">
      <c r="A5819" s="34" t="str">
        <f>base!J5819</f>
        <v>LS</v>
      </c>
      <c r="B5819" s="34" t="str">
        <f>base!V5819</f>
        <v>13010</v>
      </c>
      <c r="C5819" s="37">
        <v>13</v>
      </c>
      <c r="D5819" s="36">
        <f>base!H5819</f>
        <v>40</v>
      </c>
      <c r="E5819" s="44"/>
      <c r="F5819" s="16">
        <f>base!W5819</f>
        <v>11.6</v>
      </c>
      <c r="G5819" s="11">
        <f t="shared" si="900"/>
        <v>0.28999999999999998</v>
      </c>
      <c r="H5819" s="11">
        <f t="shared" si="901"/>
        <v>11.6</v>
      </c>
      <c r="I5819" s="11">
        <f t="shared" si="902"/>
        <v>0.28999999999999998</v>
      </c>
      <c r="J5819" s="12">
        <f t="shared" si="903"/>
        <v>0</v>
      </c>
      <c r="K5819" s="17" t="str">
        <f t="shared" si="908"/>
        <v>Pas d'écart</v>
      </c>
      <c r="L5819" s="16">
        <f>base!X5819</f>
        <v>0</v>
      </c>
      <c r="M5819" s="11">
        <f t="shared" si="904"/>
        <v>0</v>
      </c>
      <c r="N5819" s="11">
        <f t="shared" si="905"/>
        <v>7.6</v>
      </c>
      <c r="O5819" s="11">
        <f t="shared" si="906"/>
        <v>0.19</v>
      </c>
      <c r="P5819" s="12">
        <f t="shared" si="907"/>
        <v>-7.6</v>
      </c>
      <c r="Q5819" s="17" t="str">
        <f t="shared" si="909"/>
        <v>Ecart négatif</v>
      </c>
    </row>
    <row r="5820" spans="1:18" x14ac:dyDescent="0.3">
      <c r="A5820" s="34" t="str">
        <f>base!J5820</f>
        <v>LS</v>
      </c>
      <c r="B5820" s="34" t="str">
        <f>base!V5820</f>
        <v>13009</v>
      </c>
      <c r="C5820" s="37">
        <v>13</v>
      </c>
      <c r="D5820" s="36">
        <f>base!H5820</f>
        <v>40</v>
      </c>
      <c r="E5820" s="44"/>
      <c r="F5820" s="16">
        <f>base!W5820</f>
        <v>11.6</v>
      </c>
      <c r="G5820" s="11">
        <f t="shared" si="900"/>
        <v>0.28999999999999998</v>
      </c>
      <c r="H5820" s="11">
        <f t="shared" si="901"/>
        <v>11.6</v>
      </c>
      <c r="I5820" s="11">
        <f t="shared" si="902"/>
        <v>0.28999999999999998</v>
      </c>
      <c r="J5820" s="12">
        <f t="shared" si="903"/>
        <v>0</v>
      </c>
      <c r="K5820" s="17" t="str">
        <f t="shared" si="908"/>
        <v>Pas d'écart</v>
      </c>
      <c r="L5820" s="16">
        <f>base!X5820</f>
        <v>0</v>
      </c>
      <c r="M5820" s="11">
        <f t="shared" si="904"/>
        <v>0</v>
      </c>
      <c r="N5820" s="11">
        <f t="shared" si="905"/>
        <v>7.6</v>
      </c>
      <c r="O5820" s="11">
        <f t="shared" si="906"/>
        <v>0.19</v>
      </c>
      <c r="P5820" s="12">
        <f t="shared" si="907"/>
        <v>-7.6</v>
      </c>
      <c r="Q5820" s="17" t="str">
        <f t="shared" si="909"/>
        <v>Ecart négatif</v>
      </c>
    </row>
    <row r="5821" spans="1:18" x14ac:dyDescent="0.3">
      <c r="A5821" s="34" t="str">
        <f>base!J5821</f>
        <v>LS</v>
      </c>
      <c r="B5821" s="34" t="str">
        <f>base!V5821</f>
        <v>19100</v>
      </c>
      <c r="C5821" s="37">
        <v>69</v>
      </c>
      <c r="D5821" s="36">
        <f>base!H5821</f>
        <v>129.59</v>
      </c>
      <c r="E5821" s="44"/>
      <c r="F5821" s="16">
        <f>base!W5821</f>
        <v>37.58</v>
      </c>
      <c r="G5821" s="11">
        <f t="shared" si="900"/>
        <v>0.28999151169071685</v>
      </c>
      <c r="H5821" s="11">
        <f t="shared" si="901"/>
        <v>34.9893</v>
      </c>
      <c r="I5821" s="11">
        <f t="shared" si="902"/>
        <v>0.27</v>
      </c>
      <c r="J5821" s="12">
        <f t="shared" si="903"/>
        <v>2.5906999999999982</v>
      </c>
      <c r="K5821" s="17" t="str">
        <f t="shared" si="908"/>
        <v>Ecart positif</v>
      </c>
      <c r="L5821" s="16">
        <f>base!X5821</f>
        <v>0</v>
      </c>
      <c r="M5821" s="11">
        <f t="shared" si="904"/>
        <v>0</v>
      </c>
      <c r="N5821" s="11">
        <f t="shared" si="905"/>
        <v>0</v>
      </c>
      <c r="O5821" s="11">
        <f t="shared" si="906"/>
        <v>0</v>
      </c>
      <c r="P5821" s="12">
        <f t="shared" si="907"/>
        <v>0</v>
      </c>
      <c r="Q5821" s="17" t="str">
        <f t="shared" si="909"/>
        <v>Pas d'écart</v>
      </c>
    </row>
    <row r="5822" spans="1:18" x14ac:dyDescent="0.3">
      <c r="A5822" s="34" t="str">
        <f>base!J5822</f>
        <v>LS</v>
      </c>
      <c r="B5822" s="34" t="str">
        <f>base!V5822</f>
        <v>19100</v>
      </c>
      <c r="C5822" s="37">
        <v>63</v>
      </c>
      <c r="D5822" s="36">
        <f>base!H5822</f>
        <v>129.59</v>
      </c>
      <c r="E5822" s="44"/>
      <c r="F5822" s="16">
        <f>base!W5822</f>
        <v>37.58</v>
      </c>
      <c r="G5822" s="11">
        <f t="shared" si="900"/>
        <v>0.28999151169071685</v>
      </c>
      <c r="H5822" s="11">
        <f t="shared" si="901"/>
        <v>37.581099999999999</v>
      </c>
      <c r="I5822" s="11">
        <f t="shared" si="902"/>
        <v>0.28999999999999998</v>
      </c>
      <c r="J5822" s="12">
        <f t="shared" si="903"/>
        <v>-1.1000000000009891E-3</v>
      </c>
      <c r="K5822" s="17" t="str">
        <f t="shared" si="908"/>
        <v>Ecart négatif</v>
      </c>
      <c r="L5822" s="16">
        <f>base!X5822</f>
        <v>0</v>
      </c>
      <c r="M5822" s="11">
        <f t="shared" si="904"/>
        <v>0</v>
      </c>
      <c r="N5822" s="11">
        <f t="shared" si="905"/>
        <v>15.550800000000001</v>
      </c>
      <c r="O5822" s="11">
        <f t="shared" si="906"/>
        <v>0.12</v>
      </c>
      <c r="P5822" s="12">
        <f t="shared" si="907"/>
        <v>-15.550800000000001</v>
      </c>
      <c r="Q5822" s="17" t="str">
        <f t="shared" si="909"/>
        <v>Ecart négatif</v>
      </c>
    </row>
    <row r="5823" spans="1:18" x14ac:dyDescent="0.3">
      <c r="A5823" s="34" t="str">
        <f>base!J5823</f>
        <v>LS</v>
      </c>
      <c r="B5823" s="34" t="str">
        <f>base!V5823</f>
        <v>19100</v>
      </c>
      <c r="C5823" s="37">
        <v>69</v>
      </c>
      <c r="D5823" s="36">
        <f>base!H5823</f>
        <v>134.91999999999999</v>
      </c>
      <c r="E5823" s="44"/>
      <c r="F5823" s="16">
        <f>base!W5823</f>
        <v>39.130000000000003</v>
      </c>
      <c r="G5823" s="11">
        <f t="shared" si="900"/>
        <v>0.29002371775867186</v>
      </c>
      <c r="H5823" s="11">
        <f t="shared" si="901"/>
        <v>36.428399999999996</v>
      </c>
      <c r="I5823" s="11">
        <f t="shared" si="902"/>
        <v>0.27</v>
      </c>
      <c r="J5823" s="12">
        <f t="shared" si="903"/>
        <v>2.7016000000000062</v>
      </c>
      <c r="K5823" s="17" t="str">
        <f t="shared" si="908"/>
        <v>Ecart positif</v>
      </c>
      <c r="L5823" s="16">
        <f>base!X5823</f>
        <v>0</v>
      </c>
      <c r="M5823" s="11">
        <f t="shared" si="904"/>
        <v>0</v>
      </c>
      <c r="N5823" s="11">
        <f t="shared" si="905"/>
        <v>0</v>
      </c>
      <c r="O5823" s="11">
        <f t="shared" si="906"/>
        <v>0</v>
      </c>
      <c r="P5823" s="12">
        <f t="shared" si="907"/>
        <v>0</v>
      </c>
      <c r="Q5823" s="17" t="str">
        <f t="shared" si="909"/>
        <v>Pas d'écart</v>
      </c>
    </row>
    <row r="5824" spans="1:18" x14ac:dyDescent="0.3">
      <c r="A5824" s="34" t="str">
        <f>base!J5824</f>
        <v>LS</v>
      </c>
      <c r="B5824" s="34" t="str">
        <f>base!V5824</f>
        <v>62100</v>
      </c>
      <c r="C5824" s="37">
        <v>63</v>
      </c>
      <c r="D5824" s="36">
        <f>base!H5824</f>
        <v>55.07</v>
      </c>
      <c r="E5824" s="44"/>
      <c r="F5824" s="16">
        <f>base!W5824</f>
        <v>10.46</v>
      </c>
      <c r="G5824" s="11">
        <f t="shared" si="900"/>
        <v>0.18994007626656984</v>
      </c>
      <c r="H5824" s="11">
        <f t="shared" si="901"/>
        <v>15.970299999999998</v>
      </c>
      <c r="I5824" s="11">
        <f t="shared" si="902"/>
        <v>0.28999999999999998</v>
      </c>
      <c r="J5824" s="12">
        <f t="shared" si="903"/>
        <v>-5.5102999999999973</v>
      </c>
      <c r="K5824" s="17" t="str">
        <f t="shared" si="908"/>
        <v>Ecart négatif</v>
      </c>
      <c r="L5824" s="16">
        <f>base!X5824</f>
        <v>0</v>
      </c>
      <c r="M5824" s="11">
        <f t="shared" si="904"/>
        <v>0</v>
      </c>
      <c r="N5824" s="11">
        <f t="shared" si="905"/>
        <v>6.6083999999999996</v>
      </c>
      <c r="O5824" s="11">
        <f t="shared" si="906"/>
        <v>0.12</v>
      </c>
      <c r="P5824" s="12">
        <f t="shared" si="907"/>
        <v>-6.6083999999999996</v>
      </c>
      <c r="Q5824" s="17" t="str">
        <f t="shared" si="909"/>
        <v>Ecart négatif</v>
      </c>
    </row>
    <row r="5825" spans="1:18" x14ac:dyDescent="0.3">
      <c r="A5825" s="34" t="str">
        <f>base!J5825</f>
        <v>RS</v>
      </c>
      <c r="B5825" s="34" t="str">
        <f>base!V5825</f>
        <v>76600</v>
      </c>
      <c r="C5825" s="37">
        <v>76</v>
      </c>
      <c r="D5825" s="36">
        <f>base!H5825</f>
        <v>151</v>
      </c>
      <c r="E5825" s="44"/>
      <c r="F5825" s="16">
        <f>base!W5825</f>
        <v>0</v>
      </c>
      <c r="G5825" s="11">
        <f t="shared" si="900"/>
        <v>0</v>
      </c>
      <c r="H5825" s="11">
        <f t="shared" si="901"/>
        <v>25.67</v>
      </c>
      <c r="I5825" s="11">
        <f t="shared" si="902"/>
        <v>0.17</v>
      </c>
      <c r="J5825" s="12">
        <f t="shared" si="903"/>
        <v>-25.67</v>
      </c>
      <c r="K5825" s="17" t="str">
        <f t="shared" si="908"/>
        <v>Ecart négatif</v>
      </c>
      <c r="L5825" s="16">
        <f>base!X5825</f>
        <v>25.67</v>
      </c>
      <c r="M5825" s="11">
        <f t="shared" si="904"/>
        <v>0.17</v>
      </c>
      <c r="N5825" s="11">
        <f t="shared" si="905"/>
        <v>25.67</v>
      </c>
      <c r="O5825" s="11">
        <f t="shared" si="906"/>
        <v>0.17</v>
      </c>
      <c r="P5825" s="12">
        <f t="shared" si="907"/>
        <v>0</v>
      </c>
      <c r="Q5825" s="17" t="str">
        <f t="shared" si="909"/>
        <v>Pas d'écart</v>
      </c>
      <c r="R5825" s="38"/>
    </row>
    <row r="5826" spans="1:18" x14ac:dyDescent="0.3">
      <c r="A5826" s="34" t="str">
        <f>base!J5826</f>
        <v>RM</v>
      </c>
      <c r="B5826" s="34" t="str">
        <f>base!V5826</f>
        <v>76290</v>
      </c>
      <c r="C5826" s="37">
        <v>76</v>
      </c>
      <c r="D5826" s="36">
        <f>base!H5826</f>
        <v>40</v>
      </c>
      <c r="E5826" s="44"/>
      <c r="F5826" s="16">
        <f>base!W5826</f>
        <v>0</v>
      </c>
      <c r="G5826" s="11">
        <f t="shared" ref="G5826:G5889" si="910">F5826/D5826</f>
        <v>0</v>
      </c>
      <c r="H5826" s="11">
        <f t="shared" ref="H5826:H5889" si="911">VLOOKUP(C5826,tout_cout_traction,2,FALSE)*D5826</f>
        <v>6.8000000000000007</v>
      </c>
      <c r="I5826" s="11">
        <f t="shared" ref="I5826:I5889" si="912">H5826/D5826</f>
        <v>0.17</v>
      </c>
      <c r="J5826" s="12">
        <f t="shared" ref="J5826:J5889" si="913">F5826-H5826</f>
        <v>-6.8000000000000007</v>
      </c>
      <c r="K5826" s="17" t="str">
        <f t="shared" si="908"/>
        <v>Ecart négatif</v>
      </c>
      <c r="L5826" s="16">
        <f>base!X5826</f>
        <v>6.8</v>
      </c>
      <c r="M5826" s="11">
        <f t="shared" ref="M5826:M5889" si="914">L5826/D5826</f>
        <v>0.16999999999999998</v>
      </c>
      <c r="N5826" s="11">
        <f t="shared" ref="N5826:N5889" si="915">VLOOKUP(C5826,tout_cout_traction,3,FALSE)*D5826</f>
        <v>6.8000000000000007</v>
      </c>
      <c r="O5826" s="11">
        <f t="shared" ref="O5826:O5889" si="916">N5826/D5826</f>
        <v>0.17</v>
      </c>
      <c r="P5826" s="12">
        <f t="shared" ref="P5826:P5889" si="917">L5826-N5826</f>
        <v>0</v>
      </c>
      <c r="Q5826" s="17" t="str">
        <f t="shared" si="909"/>
        <v>Pas d'écart</v>
      </c>
    </row>
    <row r="5827" spans="1:18" x14ac:dyDescent="0.3">
      <c r="A5827" s="34">
        <f>base!J5827</f>
        <v>0</v>
      </c>
      <c r="B5827" s="34" t="str">
        <f>base!V5827</f>
        <v>77184</v>
      </c>
      <c r="C5827" s="37">
        <v>77</v>
      </c>
      <c r="D5827" s="36">
        <f>base!H5827</f>
        <v>171</v>
      </c>
      <c r="E5827" s="44"/>
      <c r="F5827" s="16">
        <f>base!W5827</f>
        <v>0</v>
      </c>
      <c r="G5827" s="11">
        <f t="shared" si="910"/>
        <v>0</v>
      </c>
      <c r="H5827" s="11">
        <f t="shared" si="911"/>
        <v>0</v>
      </c>
      <c r="I5827" s="11">
        <f t="shared" si="912"/>
        <v>0</v>
      </c>
      <c r="J5827" s="12">
        <f t="shared" si="913"/>
        <v>0</v>
      </c>
      <c r="K5827" s="17" t="str">
        <f t="shared" ref="K5827:K5890" si="918">IF(H5827=F5827,"Pas d'écart",IF(H5827&lt;F5827,"Ecart positif",IF(H5827&gt;F5827,"Ecart négatif")))</f>
        <v>Pas d'écart</v>
      </c>
      <c r="L5827" s="16">
        <f>base!X5827</f>
        <v>0</v>
      </c>
      <c r="M5827" s="11">
        <f t="shared" si="914"/>
        <v>0</v>
      </c>
      <c r="N5827" s="11">
        <f t="shared" si="915"/>
        <v>0</v>
      </c>
      <c r="O5827" s="11">
        <f t="shared" si="916"/>
        <v>0</v>
      </c>
      <c r="P5827" s="12">
        <f t="shared" si="917"/>
        <v>0</v>
      </c>
      <c r="Q5827" s="17" t="str">
        <f t="shared" ref="Q5827:Q5890" si="919">IF(N5827=L5827,"Pas d'écart",IF(N5827&lt;L5827,"Ecart positif",IF(N5827&gt;L5827,"Ecart négatif")))</f>
        <v>Pas d'écart</v>
      </c>
    </row>
    <row r="5828" spans="1:18" x14ac:dyDescent="0.3">
      <c r="A5828" s="34" t="str">
        <f>base!J5828</f>
        <v>DLS</v>
      </c>
      <c r="B5828" s="34" t="str">
        <f>base!V5828</f>
        <v>77184</v>
      </c>
      <c r="C5828" s="37">
        <v>77</v>
      </c>
      <c r="D5828" s="36">
        <f>base!H5828</f>
        <v>40</v>
      </c>
      <c r="E5828" s="44"/>
      <c r="F5828" s="16">
        <f>base!W5828</f>
        <v>6.8</v>
      </c>
      <c r="G5828" s="11">
        <f t="shared" si="910"/>
        <v>0.16999999999999998</v>
      </c>
      <c r="H5828" s="11">
        <f t="shared" si="911"/>
        <v>0</v>
      </c>
      <c r="I5828" s="11">
        <f t="shared" si="912"/>
        <v>0</v>
      </c>
      <c r="J5828" s="12">
        <f t="shared" si="913"/>
        <v>6.8</v>
      </c>
      <c r="K5828" s="17" t="str">
        <f t="shared" si="918"/>
        <v>Ecart positif</v>
      </c>
      <c r="L5828" s="16">
        <f>base!X5828</f>
        <v>0</v>
      </c>
      <c r="M5828" s="11">
        <f t="shared" si="914"/>
        <v>0</v>
      </c>
      <c r="N5828" s="11">
        <f t="shared" si="915"/>
        <v>0</v>
      </c>
      <c r="O5828" s="11">
        <f t="shared" si="916"/>
        <v>0</v>
      </c>
      <c r="P5828" s="12">
        <f t="shared" si="917"/>
        <v>0</v>
      </c>
      <c r="Q5828" s="17" t="str">
        <f t="shared" si="919"/>
        <v>Pas d'écart</v>
      </c>
    </row>
    <row r="5829" spans="1:18" x14ac:dyDescent="0.3">
      <c r="A5829" s="34" t="str">
        <f>base!J5829</f>
        <v>LM</v>
      </c>
      <c r="B5829" s="34" t="str">
        <f>base!V5829</f>
        <v>60300</v>
      </c>
      <c r="C5829" s="37">
        <v>69</v>
      </c>
      <c r="D5829" s="36">
        <f>base!H5829</f>
        <v>19.8</v>
      </c>
      <c r="E5829" s="44"/>
      <c r="F5829" s="16">
        <f>base!W5829</f>
        <v>3.76</v>
      </c>
      <c r="G5829" s="11">
        <f t="shared" si="910"/>
        <v>0.18989898989898987</v>
      </c>
      <c r="H5829" s="11">
        <f t="shared" si="911"/>
        <v>5.346000000000001</v>
      </c>
      <c r="I5829" s="11">
        <f t="shared" si="912"/>
        <v>0.27</v>
      </c>
      <c r="J5829" s="12">
        <f t="shared" si="913"/>
        <v>-1.5860000000000012</v>
      </c>
      <c r="K5829" s="17" t="str">
        <f t="shared" si="918"/>
        <v>Ecart négatif</v>
      </c>
      <c r="L5829" s="16">
        <f>base!X5829</f>
        <v>0</v>
      </c>
      <c r="M5829" s="11">
        <f t="shared" si="914"/>
        <v>0</v>
      </c>
      <c r="N5829" s="11">
        <f t="shared" si="915"/>
        <v>0</v>
      </c>
      <c r="O5829" s="11">
        <f t="shared" si="916"/>
        <v>0</v>
      </c>
      <c r="P5829" s="12">
        <f t="shared" si="917"/>
        <v>0</v>
      </c>
      <c r="Q5829" s="17" t="str">
        <f t="shared" si="919"/>
        <v>Pas d'écart</v>
      </c>
    </row>
    <row r="5830" spans="1:18" x14ac:dyDescent="0.3">
      <c r="A5830" s="34" t="str">
        <f>base!J5830</f>
        <v>LM</v>
      </c>
      <c r="B5830" s="34" t="str">
        <f>base!V5830</f>
        <v>62380</v>
      </c>
      <c r="C5830" s="37">
        <v>69</v>
      </c>
      <c r="D5830" s="36">
        <f>base!H5830</f>
        <v>19.8</v>
      </c>
      <c r="E5830" s="44"/>
      <c r="F5830" s="16">
        <f>base!W5830</f>
        <v>3.76</v>
      </c>
      <c r="G5830" s="11">
        <f t="shared" si="910"/>
        <v>0.18989898989898987</v>
      </c>
      <c r="H5830" s="11">
        <f t="shared" si="911"/>
        <v>5.346000000000001</v>
      </c>
      <c r="I5830" s="11">
        <f t="shared" si="912"/>
        <v>0.27</v>
      </c>
      <c r="J5830" s="12">
        <f t="shared" si="913"/>
        <v>-1.5860000000000012</v>
      </c>
      <c r="K5830" s="17" t="str">
        <f t="shared" si="918"/>
        <v>Ecart négatif</v>
      </c>
      <c r="L5830" s="16">
        <f>base!X5830</f>
        <v>0</v>
      </c>
      <c r="M5830" s="11">
        <f t="shared" si="914"/>
        <v>0</v>
      </c>
      <c r="N5830" s="11">
        <f t="shared" si="915"/>
        <v>0</v>
      </c>
      <c r="O5830" s="11">
        <f t="shared" si="916"/>
        <v>0</v>
      </c>
      <c r="P5830" s="12">
        <f t="shared" si="917"/>
        <v>0</v>
      </c>
      <c r="Q5830" s="17" t="str">
        <f t="shared" si="919"/>
        <v>Pas d'écart</v>
      </c>
    </row>
    <row r="5831" spans="1:18" x14ac:dyDescent="0.3">
      <c r="A5831" s="34" t="str">
        <f>base!J5831</f>
        <v>LS</v>
      </c>
      <c r="B5831" s="34" t="str">
        <f>base!V5831</f>
        <v>59960</v>
      </c>
      <c r="C5831" s="37">
        <v>44</v>
      </c>
      <c r="D5831" s="36">
        <f>base!H5831</f>
        <v>25.8</v>
      </c>
      <c r="E5831" s="44"/>
      <c r="F5831" s="16">
        <f>base!W5831</f>
        <v>4.9000000000000004</v>
      </c>
      <c r="G5831" s="11">
        <f t="shared" si="910"/>
        <v>0.18992248062015504</v>
      </c>
      <c r="H5831" s="11">
        <f t="shared" si="911"/>
        <v>6.9660000000000011</v>
      </c>
      <c r="I5831" s="11">
        <f t="shared" si="912"/>
        <v>0.27</v>
      </c>
      <c r="J5831" s="12">
        <f t="shared" si="913"/>
        <v>-2.0660000000000007</v>
      </c>
      <c r="K5831" s="17" t="str">
        <f t="shared" si="918"/>
        <v>Ecart négatif</v>
      </c>
      <c r="L5831" s="16">
        <f>base!X5831</f>
        <v>0</v>
      </c>
      <c r="M5831" s="11">
        <f t="shared" si="914"/>
        <v>0</v>
      </c>
      <c r="N5831" s="11">
        <f t="shared" si="915"/>
        <v>0</v>
      </c>
      <c r="O5831" s="11">
        <f t="shared" si="916"/>
        <v>0</v>
      </c>
      <c r="P5831" s="12">
        <f t="shared" si="917"/>
        <v>0</v>
      </c>
      <c r="Q5831" s="17" t="str">
        <f t="shared" si="919"/>
        <v>Pas d'écart</v>
      </c>
    </row>
    <row r="5832" spans="1:18" x14ac:dyDescent="0.3">
      <c r="A5832" s="34" t="str">
        <f>base!J5832</f>
        <v>LM</v>
      </c>
      <c r="B5832" s="34" t="str">
        <f>base!V5832</f>
        <v>67000</v>
      </c>
      <c r="C5832" s="37">
        <v>13</v>
      </c>
      <c r="D5832" s="36">
        <f>base!H5832</f>
        <v>20.03</v>
      </c>
      <c r="E5832" s="44"/>
      <c r="F5832" s="16">
        <f>base!W5832</f>
        <v>5.81</v>
      </c>
      <c r="G5832" s="11">
        <f t="shared" si="910"/>
        <v>0.29006490264603091</v>
      </c>
      <c r="H5832" s="11">
        <f t="shared" si="911"/>
        <v>5.8087</v>
      </c>
      <c r="I5832" s="11">
        <f t="shared" si="912"/>
        <v>0.28999999999999998</v>
      </c>
      <c r="J5832" s="12">
        <f t="shared" si="913"/>
        <v>1.2999999999996348E-3</v>
      </c>
      <c r="K5832" s="17" t="str">
        <f t="shared" si="918"/>
        <v>Ecart positif</v>
      </c>
      <c r="L5832" s="16">
        <f>base!X5832</f>
        <v>0</v>
      </c>
      <c r="M5832" s="11">
        <f t="shared" si="914"/>
        <v>0</v>
      </c>
      <c r="N5832" s="11">
        <f t="shared" si="915"/>
        <v>3.8057000000000003</v>
      </c>
      <c r="O5832" s="11">
        <f t="shared" si="916"/>
        <v>0.19</v>
      </c>
      <c r="P5832" s="12">
        <f t="shared" si="917"/>
        <v>-3.8057000000000003</v>
      </c>
      <c r="Q5832" s="17" t="str">
        <f t="shared" si="919"/>
        <v>Ecart négatif</v>
      </c>
    </row>
    <row r="5833" spans="1:18" x14ac:dyDescent="0.3">
      <c r="A5833" s="34" t="str">
        <f>base!J5833</f>
        <v>RM</v>
      </c>
      <c r="B5833" s="34" t="str">
        <f>base!V5833</f>
        <v>69005</v>
      </c>
      <c r="C5833" s="37">
        <v>69</v>
      </c>
      <c r="D5833" s="36">
        <f>base!H5833</f>
        <v>151</v>
      </c>
      <c r="E5833" s="44"/>
      <c r="F5833" s="16">
        <f>base!W5833</f>
        <v>0</v>
      </c>
      <c r="G5833" s="11">
        <f t="shared" si="910"/>
        <v>0</v>
      </c>
      <c r="H5833" s="11">
        <f t="shared" si="911"/>
        <v>40.770000000000003</v>
      </c>
      <c r="I5833" s="11">
        <f t="shared" si="912"/>
        <v>0.27</v>
      </c>
      <c r="J5833" s="12">
        <f t="shared" si="913"/>
        <v>-40.770000000000003</v>
      </c>
      <c r="K5833" s="17" t="str">
        <f t="shared" si="918"/>
        <v>Ecart négatif</v>
      </c>
      <c r="L5833" s="16">
        <f>base!X5833</f>
        <v>0</v>
      </c>
      <c r="M5833" s="11">
        <f t="shared" si="914"/>
        <v>0</v>
      </c>
      <c r="N5833" s="11">
        <f t="shared" si="915"/>
        <v>0</v>
      </c>
      <c r="O5833" s="11">
        <f t="shared" si="916"/>
        <v>0</v>
      </c>
      <c r="P5833" s="12">
        <f t="shared" si="917"/>
        <v>0</v>
      </c>
      <c r="Q5833" s="17" t="str">
        <f t="shared" si="919"/>
        <v>Pas d'écart</v>
      </c>
    </row>
    <row r="5834" spans="1:18" x14ac:dyDescent="0.3">
      <c r="A5834" s="34" t="str">
        <f>base!J5834</f>
        <v>LS</v>
      </c>
      <c r="B5834" s="34" t="str">
        <f>base!V5834</f>
        <v>34170</v>
      </c>
      <c r="C5834" s="37">
        <v>34</v>
      </c>
      <c r="D5834" s="36">
        <f>base!H5834</f>
        <v>70</v>
      </c>
      <c r="E5834" s="44"/>
      <c r="F5834" s="16">
        <f>base!W5834</f>
        <v>27.3</v>
      </c>
      <c r="G5834" s="11">
        <f t="shared" si="910"/>
        <v>0.39</v>
      </c>
      <c r="H5834" s="11">
        <f t="shared" si="911"/>
        <v>27.3</v>
      </c>
      <c r="I5834" s="11">
        <f t="shared" si="912"/>
        <v>0.39</v>
      </c>
      <c r="J5834" s="12">
        <f t="shared" si="913"/>
        <v>0</v>
      </c>
      <c r="K5834" s="17" t="str">
        <f t="shared" si="918"/>
        <v>Pas d'écart</v>
      </c>
      <c r="L5834" s="16">
        <f>base!X5834</f>
        <v>0</v>
      </c>
      <c r="M5834" s="11">
        <f t="shared" si="914"/>
        <v>0</v>
      </c>
      <c r="N5834" s="11">
        <f t="shared" si="915"/>
        <v>19.600000000000001</v>
      </c>
      <c r="O5834" s="11">
        <f t="shared" si="916"/>
        <v>0.28000000000000003</v>
      </c>
      <c r="P5834" s="12">
        <f t="shared" si="917"/>
        <v>-19.600000000000001</v>
      </c>
      <c r="Q5834" s="17" t="str">
        <f t="shared" si="919"/>
        <v>Ecart négatif</v>
      </c>
    </row>
    <row r="5835" spans="1:18" x14ac:dyDescent="0.3">
      <c r="A5835" s="34" t="str">
        <f>base!J5835</f>
        <v>LM</v>
      </c>
      <c r="B5835" s="34" t="str">
        <f>base!V5835</f>
        <v>01500</v>
      </c>
      <c r="C5835" s="37">
        <v>13</v>
      </c>
      <c r="D5835" s="36">
        <f>base!H5835</f>
        <v>37.85</v>
      </c>
      <c r="E5835" s="44"/>
      <c r="F5835" s="16">
        <f>base!W5835</f>
        <v>10.220000000000001</v>
      </c>
      <c r="G5835" s="11">
        <f t="shared" si="910"/>
        <v>0.27001321003963014</v>
      </c>
      <c r="H5835" s="11">
        <f t="shared" si="911"/>
        <v>10.9765</v>
      </c>
      <c r="I5835" s="11">
        <f t="shared" si="912"/>
        <v>0.28999999999999998</v>
      </c>
      <c r="J5835" s="12">
        <f t="shared" si="913"/>
        <v>-0.75649999999999906</v>
      </c>
      <c r="K5835" s="17" t="str">
        <f t="shared" si="918"/>
        <v>Ecart négatif</v>
      </c>
      <c r="L5835" s="16">
        <f>base!X5835</f>
        <v>0</v>
      </c>
      <c r="M5835" s="11">
        <f t="shared" si="914"/>
        <v>0</v>
      </c>
      <c r="N5835" s="11">
        <f t="shared" si="915"/>
        <v>7.1915000000000004</v>
      </c>
      <c r="O5835" s="11">
        <f t="shared" si="916"/>
        <v>0.19</v>
      </c>
      <c r="P5835" s="12">
        <f t="shared" si="917"/>
        <v>-7.1915000000000004</v>
      </c>
      <c r="Q5835" s="17" t="str">
        <f t="shared" si="919"/>
        <v>Ecart négatif</v>
      </c>
    </row>
    <row r="5836" spans="1:18" x14ac:dyDescent="0.3">
      <c r="A5836" s="34" t="str">
        <f>base!J5836</f>
        <v>LS</v>
      </c>
      <c r="B5836" s="34" t="str">
        <f>base!V5836</f>
        <v>45100</v>
      </c>
      <c r="C5836" s="37">
        <v>13</v>
      </c>
      <c r="D5836" s="36">
        <f>base!H5836</f>
        <v>51.61</v>
      </c>
      <c r="E5836" s="44"/>
      <c r="F5836" s="16">
        <f>base!W5836</f>
        <v>10.84</v>
      </c>
      <c r="G5836" s="11">
        <f t="shared" si="910"/>
        <v>0.2100368145708196</v>
      </c>
      <c r="H5836" s="11">
        <f t="shared" si="911"/>
        <v>14.966899999999999</v>
      </c>
      <c r="I5836" s="11">
        <f t="shared" si="912"/>
        <v>0.28999999999999998</v>
      </c>
      <c r="J5836" s="12">
        <f t="shared" si="913"/>
        <v>-4.1268999999999991</v>
      </c>
      <c r="K5836" s="17" t="str">
        <f t="shared" si="918"/>
        <v>Ecart négatif</v>
      </c>
      <c r="L5836" s="16">
        <f>base!X5836</f>
        <v>0</v>
      </c>
      <c r="M5836" s="11">
        <f t="shared" si="914"/>
        <v>0</v>
      </c>
      <c r="N5836" s="11">
        <f t="shared" si="915"/>
        <v>9.8058999999999994</v>
      </c>
      <c r="O5836" s="11">
        <f t="shared" si="916"/>
        <v>0.19</v>
      </c>
      <c r="P5836" s="12">
        <f t="shared" si="917"/>
        <v>-9.8058999999999994</v>
      </c>
      <c r="Q5836" s="17" t="str">
        <f t="shared" si="919"/>
        <v>Ecart négatif</v>
      </c>
    </row>
    <row r="5837" spans="1:18" x14ac:dyDescent="0.3">
      <c r="A5837" s="34" t="str">
        <f>base!J5837</f>
        <v>LS</v>
      </c>
      <c r="B5837" s="34" t="str">
        <f>base!V5837</f>
        <v>68127</v>
      </c>
      <c r="C5837" s="37">
        <v>35</v>
      </c>
      <c r="D5837" s="36">
        <f>base!H5837</f>
        <v>75.34</v>
      </c>
      <c r="E5837" s="44"/>
      <c r="F5837" s="16">
        <f>base!W5837</f>
        <v>21.85</v>
      </c>
      <c r="G5837" s="11">
        <f t="shared" si="910"/>
        <v>0.29001858242633394</v>
      </c>
      <c r="H5837" s="11">
        <f t="shared" si="911"/>
        <v>20.341800000000003</v>
      </c>
      <c r="I5837" s="11">
        <f t="shared" si="912"/>
        <v>0.27</v>
      </c>
      <c r="J5837" s="12">
        <f t="shared" si="913"/>
        <v>1.5081999999999987</v>
      </c>
      <c r="K5837" s="17" t="str">
        <f t="shared" si="918"/>
        <v>Ecart positif</v>
      </c>
      <c r="L5837" s="16">
        <f>base!X5837</f>
        <v>0</v>
      </c>
      <c r="M5837" s="11">
        <f t="shared" si="914"/>
        <v>0</v>
      </c>
      <c r="N5837" s="11">
        <f t="shared" si="915"/>
        <v>0</v>
      </c>
      <c r="O5837" s="11">
        <f t="shared" si="916"/>
        <v>0</v>
      </c>
      <c r="P5837" s="12">
        <f t="shared" si="917"/>
        <v>0</v>
      </c>
      <c r="Q5837" s="17" t="str">
        <f t="shared" si="919"/>
        <v>Pas d'écart</v>
      </c>
    </row>
    <row r="5838" spans="1:18" x14ac:dyDescent="0.3">
      <c r="A5838" s="34" t="str">
        <f>base!J5838</f>
        <v>LM</v>
      </c>
      <c r="B5838" s="34" t="str">
        <f>base!V5838</f>
        <v>69003</v>
      </c>
      <c r="C5838" s="37">
        <v>69</v>
      </c>
      <c r="D5838" s="36">
        <f>base!H5838</f>
        <v>80</v>
      </c>
      <c r="E5838" s="44"/>
      <c r="F5838" s="16">
        <f>base!W5838</f>
        <v>21.6</v>
      </c>
      <c r="G5838" s="11">
        <f t="shared" si="910"/>
        <v>0.27</v>
      </c>
      <c r="H5838" s="11">
        <f t="shared" si="911"/>
        <v>21.6</v>
      </c>
      <c r="I5838" s="11">
        <f t="shared" si="912"/>
        <v>0.27</v>
      </c>
      <c r="J5838" s="12">
        <f t="shared" si="913"/>
        <v>0</v>
      </c>
      <c r="K5838" s="17" t="str">
        <f t="shared" si="918"/>
        <v>Pas d'écart</v>
      </c>
      <c r="L5838" s="16">
        <f>base!X5838</f>
        <v>0</v>
      </c>
      <c r="M5838" s="11">
        <f t="shared" si="914"/>
        <v>0</v>
      </c>
      <c r="N5838" s="11">
        <f t="shared" si="915"/>
        <v>0</v>
      </c>
      <c r="O5838" s="11">
        <f t="shared" si="916"/>
        <v>0</v>
      </c>
      <c r="P5838" s="12">
        <f t="shared" si="917"/>
        <v>0</v>
      </c>
      <c r="Q5838" s="17" t="str">
        <f t="shared" si="919"/>
        <v>Pas d'écart</v>
      </c>
    </row>
    <row r="5839" spans="1:18" x14ac:dyDescent="0.3">
      <c r="A5839" s="34" t="str">
        <f>base!J5839</f>
        <v>RM</v>
      </c>
      <c r="B5839" s="34" t="str">
        <f>base!V5839</f>
        <v>13015</v>
      </c>
      <c r="C5839" s="37">
        <v>13</v>
      </c>
      <c r="D5839" s="36">
        <f>base!H5839</f>
        <v>220</v>
      </c>
      <c r="E5839" s="44"/>
      <c r="F5839" s="16">
        <f>base!W5839</f>
        <v>0</v>
      </c>
      <c r="G5839" s="11">
        <f t="shared" si="910"/>
        <v>0</v>
      </c>
      <c r="H5839" s="11">
        <f t="shared" si="911"/>
        <v>63.8</v>
      </c>
      <c r="I5839" s="11">
        <f t="shared" si="912"/>
        <v>0.28999999999999998</v>
      </c>
      <c r="J5839" s="12">
        <f t="shared" si="913"/>
        <v>-63.8</v>
      </c>
      <c r="K5839" s="17" t="str">
        <f t="shared" si="918"/>
        <v>Ecart négatif</v>
      </c>
      <c r="L5839" s="16">
        <f>base!X5839</f>
        <v>0</v>
      </c>
      <c r="M5839" s="11">
        <f t="shared" si="914"/>
        <v>0</v>
      </c>
      <c r="N5839" s="11">
        <f t="shared" si="915"/>
        <v>41.8</v>
      </c>
      <c r="O5839" s="11">
        <f t="shared" si="916"/>
        <v>0.18999999999999997</v>
      </c>
      <c r="P5839" s="12">
        <f t="shared" si="917"/>
        <v>-41.8</v>
      </c>
      <c r="Q5839" s="17" t="str">
        <f t="shared" si="919"/>
        <v>Ecart négatif</v>
      </c>
    </row>
    <row r="5840" spans="1:18" x14ac:dyDescent="0.3">
      <c r="A5840" s="34" t="str">
        <f>base!J5840</f>
        <v>LS</v>
      </c>
      <c r="B5840" s="34" t="str">
        <f>base!V5840</f>
        <v>59810</v>
      </c>
      <c r="C5840" s="37">
        <v>42</v>
      </c>
      <c r="D5840" s="36">
        <f>base!H5840</f>
        <v>55.14</v>
      </c>
      <c r="E5840" s="44"/>
      <c r="F5840" s="16">
        <f>base!W5840</f>
        <v>10.48</v>
      </c>
      <c r="G5840" s="11">
        <f t="shared" si="910"/>
        <v>0.19006166122597026</v>
      </c>
      <c r="H5840" s="11">
        <f t="shared" si="911"/>
        <v>14.336400000000001</v>
      </c>
      <c r="I5840" s="11">
        <f t="shared" si="912"/>
        <v>0.26</v>
      </c>
      <c r="J5840" s="12">
        <f t="shared" si="913"/>
        <v>-3.8564000000000007</v>
      </c>
      <c r="K5840" s="17" t="str">
        <f t="shared" si="918"/>
        <v>Ecart négatif</v>
      </c>
      <c r="L5840" s="16">
        <f>base!X5840</f>
        <v>0</v>
      </c>
      <c r="M5840" s="11">
        <f t="shared" si="914"/>
        <v>0</v>
      </c>
      <c r="N5840" s="11">
        <f t="shared" si="915"/>
        <v>0</v>
      </c>
      <c r="O5840" s="11">
        <f t="shared" si="916"/>
        <v>0</v>
      </c>
      <c r="P5840" s="12">
        <f t="shared" si="917"/>
        <v>0</v>
      </c>
      <c r="Q5840" s="17" t="str">
        <f t="shared" si="919"/>
        <v>Pas d'écart</v>
      </c>
    </row>
    <row r="5841" spans="1:17" x14ac:dyDescent="0.3">
      <c r="A5841" s="34" t="str">
        <f>base!J5841</f>
        <v>LM</v>
      </c>
      <c r="B5841" s="34" t="str">
        <f>base!V5841</f>
        <v>59605</v>
      </c>
      <c r="C5841" s="37">
        <v>1</v>
      </c>
      <c r="D5841" s="36">
        <f>base!H5841</f>
        <v>185.14</v>
      </c>
      <c r="E5841" s="44"/>
      <c r="F5841" s="16">
        <f>base!W5841</f>
        <v>35.18</v>
      </c>
      <c r="G5841" s="11">
        <f t="shared" si="910"/>
        <v>0.19001836448093337</v>
      </c>
      <c r="H5841" s="11">
        <f t="shared" si="911"/>
        <v>48.136399999999995</v>
      </c>
      <c r="I5841" s="11">
        <f t="shared" si="912"/>
        <v>0.26</v>
      </c>
      <c r="J5841" s="12">
        <f t="shared" si="913"/>
        <v>-12.956399999999995</v>
      </c>
      <c r="K5841" s="17" t="str">
        <f t="shared" si="918"/>
        <v>Ecart négatif</v>
      </c>
      <c r="L5841" s="16">
        <f>base!X5841</f>
        <v>0</v>
      </c>
      <c r="M5841" s="11">
        <f t="shared" si="914"/>
        <v>0</v>
      </c>
      <c r="N5841" s="11">
        <f t="shared" si="915"/>
        <v>0</v>
      </c>
      <c r="O5841" s="11">
        <f t="shared" si="916"/>
        <v>0</v>
      </c>
      <c r="P5841" s="12">
        <f t="shared" si="917"/>
        <v>0</v>
      </c>
      <c r="Q5841" s="17" t="str">
        <f t="shared" si="919"/>
        <v>Pas d'écart</v>
      </c>
    </row>
    <row r="5842" spans="1:17" x14ac:dyDescent="0.3">
      <c r="A5842" s="34" t="str">
        <f>base!J5842</f>
        <v>LM</v>
      </c>
      <c r="B5842" s="34" t="str">
        <f>base!V5842</f>
        <v>13100</v>
      </c>
      <c r="C5842" s="37">
        <v>74</v>
      </c>
      <c r="D5842" s="36">
        <f>base!H5842</f>
        <v>33.35</v>
      </c>
      <c r="E5842" s="44"/>
      <c r="F5842" s="16">
        <f>base!W5842</f>
        <v>9.67</v>
      </c>
      <c r="G5842" s="11">
        <f t="shared" si="910"/>
        <v>0.2899550224887556</v>
      </c>
      <c r="H5842" s="11">
        <f t="shared" si="911"/>
        <v>8.6710000000000012</v>
      </c>
      <c r="I5842" s="11">
        <f t="shared" si="912"/>
        <v>0.26</v>
      </c>
      <c r="J5842" s="12">
        <f t="shared" si="913"/>
        <v>0.99899999999999878</v>
      </c>
      <c r="K5842" s="17" t="str">
        <f t="shared" si="918"/>
        <v>Ecart positif</v>
      </c>
      <c r="L5842" s="16">
        <f>base!X5842</f>
        <v>0</v>
      </c>
      <c r="M5842" s="11">
        <f t="shared" si="914"/>
        <v>0</v>
      </c>
      <c r="N5842" s="11">
        <f t="shared" si="915"/>
        <v>0</v>
      </c>
      <c r="O5842" s="11">
        <f t="shared" si="916"/>
        <v>0</v>
      </c>
      <c r="P5842" s="12">
        <f t="shared" si="917"/>
        <v>0</v>
      </c>
      <c r="Q5842" s="17" t="str">
        <f t="shared" si="919"/>
        <v>Pas d'écart</v>
      </c>
    </row>
    <row r="5843" spans="1:17" x14ac:dyDescent="0.3">
      <c r="A5843" s="34" t="str">
        <f>base!J5843</f>
        <v>LM</v>
      </c>
      <c r="B5843" s="34" t="str">
        <f>base!V5843</f>
        <v>69005</v>
      </c>
      <c r="C5843" s="37">
        <v>98</v>
      </c>
      <c r="D5843" s="36">
        <f>base!H5843</f>
        <v>33.35</v>
      </c>
      <c r="E5843" s="44"/>
      <c r="F5843" s="16">
        <f>base!W5843</f>
        <v>9</v>
      </c>
      <c r="G5843" s="11">
        <f t="shared" si="910"/>
        <v>0.26986506746626687</v>
      </c>
      <c r="H5843" s="11">
        <f t="shared" si="911"/>
        <v>9.0045000000000002</v>
      </c>
      <c r="I5843" s="11">
        <f t="shared" si="912"/>
        <v>0.27</v>
      </c>
      <c r="J5843" s="12">
        <f t="shared" si="913"/>
        <v>-4.5000000000001705E-3</v>
      </c>
      <c r="K5843" s="17" t="str">
        <f t="shared" si="918"/>
        <v>Ecart négatif</v>
      </c>
      <c r="L5843" s="16">
        <f>base!X5843</f>
        <v>0</v>
      </c>
      <c r="M5843" s="11">
        <f t="shared" si="914"/>
        <v>0</v>
      </c>
      <c r="N5843" s="11">
        <f t="shared" si="915"/>
        <v>7.0034999999999998</v>
      </c>
      <c r="O5843" s="11">
        <f t="shared" si="916"/>
        <v>0.21</v>
      </c>
      <c r="P5843" s="12">
        <f t="shared" si="917"/>
        <v>-7.0034999999999998</v>
      </c>
      <c r="Q5843" s="17" t="str">
        <f t="shared" si="919"/>
        <v>Ecart négatif</v>
      </c>
    </row>
    <row r="5844" spans="1:17" x14ac:dyDescent="0.3">
      <c r="A5844" s="34">
        <f>base!J5844</f>
        <v>0</v>
      </c>
      <c r="B5844" s="34" t="str">
        <f>base!V5844</f>
        <v>77184</v>
      </c>
      <c r="C5844" s="37">
        <v>77</v>
      </c>
      <c r="D5844" s="36">
        <f>base!H5844</f>
        <v>134</v>
      </c>
      <c r="E5844" s="44"/>
      <c r="F5844" s="16">
        <f>base!W5844</f>
        <v>0</v>
      </c>
      <c r="G5844" s="11">
        <f t="shared" si="910"/>
        <v>0</v>
      </c>
      <c r="H5844" s="11">
        <f t="shared" si="911"/>
        <v>0</v>
      </c>
      <c r="I5844" s="11">
        <f t="shared" si="912"/>
        <v>0</v>
      </c>
      <c r="J5844" s="12">
        <f t="shared" si="913"/>
        <v>0</v>
      </c>
      <c r="K5844" s="17" t="str">
        <f t="shared" si="918"/>
        <v>Pas d'écart</v>
      </c>
      <c r="L5844" s="16">
        <f>base!X5844</f>
        <v>0</v>
      </c>
      <c r="M5844" s="11">
        <f t="shared" si="914"/>
        <v>0</v>
      </c>
      <c r="N5844" s="11">
        <f t="shared" si="915"/>
        <v>0</v>
      </c>
      <c r="O5844" s="11">
        <f t="shared" si="916"/>
        <v>0</v>
      </c>
      <c r="P5844" s="12">
        <f t="shared" si="917"/>
        <v>0</v>
      </c>
      <c r="Q5844" s="17" t="str">
        <f t="shared" si="919"/>
        <v>Pas d'écart</v>
      </c>
    </row>
    <row r="5845" spans="1:17" x14ac:dyDescent="0.3">
      <c r="A5845" s="34" t="str">
        <f>base!J5845</f>
        <v>LS</v>
      </c>
      <c r="B5845" s="34" t="str">
        <f>base!V5845</f>
        <v>17000</v>
      </c>
      <c r="C5845" s="37">
        <v>98</v>
      </c>
      <c r="D5845" s="36">
        <f>base!H5845</f>
        <v>131.97999999999999</v>
      </c>
      <c r="E5845" s="44"/>
      <c r="F5845" s="16">
        <f>base!W5845</f>
        <v>27.72</v>
      </c>
      <c r="G5845" s="11">
        <f t="shared" si="910"/>
        <v>0.21003182300348539</v>
      </c>
      <c r="H5845" s="11">
        <f t="shared" si="911"/>
        <v>35.634599999999999</v>
      </c>
      <c r="I5845" s="11">
        <f t="shared" si="912"/>
        <v>0.27</v>
      </c>
      <c r="J5845" s="12">
        <f t="shared" si="913"/>
        <v>-7.9146000000000001</v>
      </c>
      <c r="K5845" s="17" t="str">
        <f t="shared" si="918"/>
        <v>Ecart négatif</v>
      </c>
      <c r="L5845" s="16">
        <f>base!X5845</f>
        <v>0</v>
      </c>
      <c r="M5845" s="11">
        <f t="shared" si="914"/>
        <v>0</v>
      </c>
      <c r="N5845" s="11">
        <f t="shared" si="915"/>
        <v>27.715799999999998</v>
      </c>
      <c r="O5845" s="11">
        <f t="shared" si="916"/>
        <v>0.21</v>
      </c>
      <c r="P5845" s="12">
        <f t="shared" si="917"/>
        <v>-27.715799999999998</v>
      </c>
      <c r="Q5845" s="17" t="str">
        <f t="shared" si="919"/>
        <v>Ecart négatif</v>
      </c>
    </row>
    <row r="5846" spans="1:17" x14ac:dyDescent="0.3">
      <c r="A5846" s="34" t="str">
        <f>base!J5846</f>
        <v>LS</v>
      </c>
      <c r="B5846" s="34" t="str">
        <f>base!V5846</f>
        <v>35590</v>
      </c>
      <c r="C5846" s="37">
        <v>13</v>
      </c>
      <c r="D5846" s="36">
        <f>base!H5846</f>
        <v>19.8</v>
      </c>
      <c r="E5846" s="44"/>
      <c r="F5846" s="16">
        <f>base!W5846</f>
        <v>5.35</v>
      </c>
      <c r="G5846" s="11">
        <f t="shared" si="910"/>
        <v>0.27020202020202017</v>
      </c>
      <c r="H5846" s="11">
        <f t="shared" si="911"/>
        <v>5.742</v>
      </c>
      <c r="I5846" s="11">
        <f t="shared" si="912"/>
        <v>0.28999999999999998</v>
      </c>
      <c r="J5846" s="12">
        <f t="shared" si="913"/>
        <v>-0.39200000000000035</v>
      </c>
      <c r="K5846" s="17" t="str">
        <f t="shared" si="918"/>
        <v>Ecart négatif</v>
      </c>
      <c r="L5846" s="16">
        <f>base!X5846</f>
        <v>0</v>
      </c>
      <c r="M5846" s="11">
        <f t="shared" si="914"/>
        <v>0</v>
      </c>
      <c r="N5846" s="11">
        <f t="shared" si="915"/>
        <v>3.762</v>
      </c>
      <c r="O5846" s="11">
        <f t="shared" si="916"/>
        <v>0.19</v>
      </c>
      <c r="P5846" s="12">
        <f t="shared" si="917"/>
        <v>-3.762</v>
      </c>
      <c r="Q5846" s="17" t="str">
        <f t="shared" si="919"/>
        <v>Ecart négatif</v>
      </c>
    </row>
    <row r="5847" spans="1:17" x14ac:dyDescent="0.3">
      <c r="A5847" s="34" t="str">
        <f>base!J5847</f>
        <v>LS</v>
      </c>
      <c r="B5847" s="34" t="str">
        <f>base!V5847</f>
        <v>75002</v>
      </c>
      <c r="C5847" s="37">
        <v>75</v>
      </c>
      <c r="D5847" s="36">
        <f>base!H5847</f>
        <v>86.34</v>
      </c>
      <c r="E5847" s="44"/>
      <c r="F5847" s="16">
        <f>base!W5847</f>
        <v>0</v>
      </c>
      <c r="G5847" s="11">
        <f t="shared" si="910"/>
        <v>0</v>
      </c>
      <c r="H5847" s="11">
        <f t="shared" si="911"/>
        <v>0</v>
      </c>
      <c r="I5847" s="11">
        <f t="shared" si="912"/>
        <v>0</v>
      </c>
      <c r="J5847" s="12">
        <f t="shared" si="913"/>
        <v>0</v>
      </c>
      <c r="K5847" s="17" t="str">
        <f t="shared" si="918"/>
        <v>Pas d'écart</v>
      </c>
      <c r="L5847" s="16">
        <f>base!X5847</f>
        <v>0</v>
      </c>
      <c r="M5847" s="11">
        <f t="shared" si="914"/>
        <v>0</v>
      </c>
      <c r="N5847" s="11">
        <f t="shared" si="915"/>
        <v>0</v>
      </c>
      <c r="O5847" s="11">
        <f t="shared" si="916"/>
        <v>0</v>
      </c>
      <c r="P5847" s="12">
        <f t="shared" si="917"/>
        <v>0</v>
      </c>
      <c r="Q5847" s="17" t="str">
        <f t="shared" si="919"/>
        <v>Pas d'écart</v>
      </c>
    </row>
    <row r="5848" spans="1:17" x14ac:dyDescent="0.3">
      <c r="A5848" s="34" t="str">
        <f>base!J5848</f>
        <v>LM</v>
      </c>
      <c r="B5848" s="34" t="str">
        <f>base!V5848</f>
        <v>06000</v>
      </c>
      <c r="C5848" s="37">
        <v>67</v>
      </c>
      <c r="D5848" s="36">
        <f>base!H5848</f>
        <v>55.14</v>
      </c>
      <c r="E5848" s="44"/>
      <c r="F5848" s="16">
        <f>base!W5848</f>
        <v>16.54</v>
      </c>
      <c r="G5848" s="11">
        <f t="shared" si="910"/>
        <v>0.29996372869060572</v>
      </c>
      <c r="H5848" s="11">
        <f t="shared" si="911"/>
        <v>15.990599999999999</v>
      </c>
      <c r="I5848" s="11">
        <f t="shared" si="912"/>
        <v>0.28999999999999998</v>
      </c>
      <c r="J5848" s="12">
        <f t="shared" si="913"/>
        <v>0.54940000000000033</v>
      </c>
      <c r="K5848" s="17" t="str">
        <f t="shared" si="918"/>
        <v>Ecart positif</v>
      </c>
      <c r="L5848" s="16">
        <f>base!X5848</f>
        <v>0</v>
      </c>
      <c r="M5848" s="11">
        <f t="shared" si="914"/>
        <v>0</v>
      </c>
      <c r="N5848" s="11">
        <f t="shared" si="915"/>
        <v>4.4112</v>
      </c>
      <c r="O5848" s="11">
        <f t="shared" si="916"/>
        <v>0.08</v>
      </c>
      <c r="P5848" s="12">
        <f t="shared" si="917"/>
        <v>-4.4112</v>
      </c>
      <c r="Q5848" s="17" t="str">
        <f t="shared" si="919"/>
        <v>Ecart négatif</v>
      </c>
    </row>
    <row r="5849" spans="1:17" x14ac:dyDescent="0.3">
      <c r="A5849" s="34" t="str">
        <f>base!J5849</f>
        <v>RS</v>
      </c>
      <c r="B5849" s="34" t="str">
        <f>base!V5849</f>
        <v>45120</v>
      </c>
      <c r="C5849" s="37">
        <v>45</v>
      </c>
      <c r="D5849" s="36">
        <f>base!H5849</f>
        <v>172.08</v>
      </c>
      <c r="E5849" s="44"/>
      <c r="F5849" s="16">
        <f>base!W5849</f>
        <v>0</v>
      </c>
      <c r="G5849" s="11">
        <f t="shared" si="910"/>
        <v>0</v>
      </c>
      <c r="H5849" s="11">
        <f t="shared" si="911"/>
        <v>36.136800000000001</v>
      </c>
      <c r="I5849" s="11">
        <f t="shared" si="912"/>
        <v>0.21</v>
      </c>
      <c r="J5849" s="12">
        <f t="shared" si="913"/>
        <v>-36.136800000000001</v>
      </c>
      <c r="K5849" s="17" t="str">
        <f t="shared" si="918"/>
        <v>Ecart négatif</v>
      </c>
      <c r="L5849" s="16">
        <f>base!X5849</f>
        <v>0</v>
      </c>
      <c r="M5849" s="11">
        <f t="shared" si="914"/>
        <v>0</v>
      </c>
      <c r="N5849" s="11">
        <f t="shared" si="915"/>
        <v>20.6496</v>
      </c>
      <c r="O5849" s="11">
        <f t="shared" si="916"/>
        <v>0.11999999999999998</v>
      </c>
      <c r="P5849" s="12">
        <f t="shared" si="917"/>
        <v>-20.6496</v>
      </c>
      <c r="Q5849" s="17" t="str">
        <f t="shared" si="919"/>
        <v>Ecart négatif</v>
      </c>
    </row>
    <row r="5850" spans="1:17" x14ac:dyDescent="0.3">
      <c r="A5850" s="34" t="str">
        <f>base!J5850</f>
        <v>LS</v>
      </c>
      <c r="B5850" s="34" t="str">
        <f>base!V5850</f>
        <v>89470</v>
      </c>
      <c r="C5850" s="37">
        <v>19</v>
      </c>
      <c r="D5850" s="36">
        <f>base!H5850</f>
        <v>20.2</v>
      </c>
      <c r="E5850" s="44"/>
      <c r="F5850" s="16">
        <f>base!W5850</f>
        <v>4.8499999999999996</v>
      </c>
      <c r="G5850" s="11">
        <f t="shared" si="910"/>
        <v>0.24009900990099009</v>
      </c>
      <c r="H5850" s="11">
        <f t="shared" si="911"/>
        <v>5.8579999999999997</v>
      </c>
      <c r="I5850" s="11">
        <f t="shared" si="912"/>
        <v>0.28999999999999998</v>
      </c>
      <c r="J5850" s="12">
        <f t="shared" si="913"/>
        <v>-1.008</v>
      </c>
      <c r="K5850" s="17" t="str">
        <f t="shared" si="918"/>
        <v>Ecart négatif</v>
      </c>
      <c r="L5850" s="16">
        <f>base!X5850</f>
        <v>0</v>
      </c>
      <c r="M5850" s="11">
        <f t="shared" si="914"/>
        <v>0</v>
      </c>
      <c r="N5850" s="11">
        <f t="shared" si="915"/>
        <v>2.4239999999999999</v>
      </c>
      <c r="O5850" s="11">
        <f t="shared" si="916"/>
        <v>0.12</v>
      </c>
      <c r="P5850" s="12">
        <f t="shared" si="917"/>
        <v>-2.4239999999999999</v>
      </c>
      <c r="Q5850" s="17" t="str">
        <f t="shared" si="919"/>
        <v>Ecart négatif</v>
      </c>
    </row>
    <row r="5851" spans="1:17" x14ac:dyDescent="0.3">
      <c r="A5851" s="34" t="str">
        <f>base!J5851</f>
        <v>LS</v>
      </c>
      <c r="B5851" s="34" t="str">
        <f>base!V5851</f>
        <v>64000</v>
      </c>
      <c r="C5851" s="37">
        <v>13</v>
      </c>
      <c r="D5851" s="36">
        <f>base!H5851</f>
        <v>183.25</v>
      </c>
      <c r="E5851" s="44"/>
      <c r="F5851" s="16">
        <f>base!W5851</f>
        <v>38.479999999999997</v>
      </c>
      <c r="G5851" s="11">
        <f t="shared" si="910"/>
        <v>0.20998635743519781</v>
      </c>
      <c r="H5851" s="11">
        <f t="shared" si="911"/>
        <v>53.142499999999998</v>
      </c>
      <c r="I5851" s="11">
        <f t="shared" si="912"/>
        <v>0.28999999999999998</v>
      </c>
      <c r="J5851" s="12">
        <f t="shared" si="913"/>
        <v>-14.662500000000001</v>
      </c>
      <c r="K5851" s="17" t="str">
        <f t="shared" si="918"/>
        <v>Ecart négatif</v>
      </c>
      <c r="L5851" s="16">
        <f>base!X5851</f>
        <v>0</v>
      </c>
      <c r="M5851" s="11">
        <f t="shared" si="914"/>
        <v>0</v>
      </c>
      <c r="N5851" s="11">
        <f t="shared" si="915"/>
        <v>34.817500000000003</v>
      </c>
      <c r="O5851" s="11">
        <f t="shared" si="916"/>
        <v>0.19</v>
      </c>
      <c r="P5851" s="12">
        <f t="shared" si="917"/>
        <v>-34.817500000000003</v>
      </c>
      <c r="Q5851" s="17" t="str">
        <f t="shared" si="919"/>
        <v>Ecart négatif</v>
      </c>
    </row>
    <row r="5852" spans="1:17" x14ac:dyDescent="0.3">
      <c r="A5852" s="34" t="str">
        <f>base!J5852</f>
        <v>RM</v>
      </c>
      <c r="B5852" s="34" t="str">
        <f>base!V5852</f>
        <v>59287</v>
      </c>
      <c r="C5852" s="37">
        <v>59</v>
      </c>
      <c r="D5852" s="36">
        <f>base!H5852</f>
        <v>70</v>
      </c>
      <c r="E5852" s="44"/>
      <c r="F5852" s="16">
        <f>base!W5852</f>
        <v>0</v>
      </c>
      <c r="G5852" s="11">
        <f t="shared" si="910"/>
        <v>0</v>
      </c>
      <c r="H5852" s="11">
        <f t="shared" si="911"/>
        <v>13.3</v>
      </c>
      <c r="I5852" s="11">
        <f t="shared" si="912"/>
        <v>0.19</v>
      </c>
      <c r="J5852" s="12">
        <f t="shared" si="913"/>
        <v>-13.3</v>
      </c>
      <c r="K5852" s="17" t="str">
        <f t="shared" si="918"/>
        <v>Ecart négatif</v>
      </c>
      <c r="L5852" s="16">
        <f>base!X5852</f>
        <v>0</v>
      </c>
      <c r="M5852" s="11">
        <f t="shared" si="914"/>
        <v>0</v>
      </c>
      <c r="N5852" s="11">
        <f t="shared" si="915"/>
        <v>0</v>
      </c>
      <c r="O5852" s="11">
        <f t="shared" si="916"/>
        <v>0</v>
      </c>
      <c r="P5852" s="12">
        <f t="shared" si="917"/>
        <v>0</v>
      </c>
      <c r="Q5852" s="17" t="str">
        <f t="shared" si="919"/>
        <v>Pas d'écart</v>
      </c>
    </row>
    <row r="5853" spans="1:17" x14ac:dyDescent="0.3">
      <c r="A5853" s="34" t="str">
        <f>base!J5853</f>
        <v>LS</v>
      </c>
      <c r="B5853" s="34" t="str">
        <f>base!V5853</f>
        <v>69003</v>
      </c>
      <c r="C5853" s="37">
        <v>88</v>
      </c>
      <c r="D5853" s="36">
        <f>base!H5853</f>
        <v>151</v>
      </c>
      <c r="E5853" s="44"/>
      <c r="F5853" s="16">
        <f>base!W5853</f>
        <v>40.770000000000003</v>
      </c>
      <c r="G5853" s="11">
        <f t="shared" si="910"/>
        <v>0.27</v>
      </c>
      <c r="H5853" s="11">
        <f t="shared" si="911"/>
        <v>42.28</v>
      </c>
      <c r="I5853" s="11">
        <f t="shared" si="912"/>
        <v>0.28000000000000003</v>
      </c>
      <c r="J5853" s="12">
        <f t="shared" si="913"/>
        <v>-1.509999999999998</v>
      </c>
      <c r="K5853" s="17" t="str">
        <f t="shared" si="918"/>
        <v>Ecart négatif</v>
      </c>
      <c r="L5853" s="16">
        <f>base!X5853</f>
        <v>0</v>
      </c>
      <c r="M5853" s="11">
        <f t="shared" si="914"/>
        <v>0</v>
      </c>
      <c r="N5853" s="11">
        <f t="shared" si="915"/>
        <v>12.08</v>
      </c>
      <c r="O5853" s="11">
        <f t="shared" si="916"/>
        <v>0.08</v>
      </c>
      <c r="P5853" s="12">
        <f t="shared" si="917"/>
        <v>-12.08</v>
      </c>
      <c r="Q5853" s="17" t="str">
        <f t="shared" si="919"/>
        <v>Ecart négatif</v>
      </c>
    </row>
    <row r="5854" spans="1:17" x14ac:dyDescent="0.3">
      <c r="A5854" s="34" t="str">
        <f>base!J5854</f>
        <v>RM</v>
      </c>
      <c r="B5854" s="34" t="str">
        <f>base!V5854</f>
        <v>69230</v>
      </c>
      <c r="C5854" s="37">
        <v>69</v>
      </c>
      <c r="D5854" s="36">
        <f>base!H5854</f>
        <v>164.02</v>
      </c>
      <c r="E5854" s="44"/>
      <c r="F5854" s="16">
        <f>base!W5854</f>
        <v>0</v>
      </c>
      <c r="G5854" s="11">
        <f t="shared" si="910"/>
        <v>0</v>
      </c>
      <c r="H5854" s="11">
        <f t="shared" si="911"/>
        <v>44.285400000000003</v>
      </c>
      <c r="I5854" s="11">
        <f t="shared" si="912"/>
        <v>0.27</v>
      </c>
      <c r="J5854" s="12">
        <f t="shared" si="913"/>
        <v>-44.285400000000003</v>
      </c>
      <c r="K5854" s="17" t="str">
        <f t="shared" si="918"/>
        <v>Ecart négatif</v>
      </c>
      <c r="L5854" s="16">
        <f>base!X5854</f>
        <v>0</v>
      </c>
      <c r="M5854" s="11">
        <f t="shared" si="914"/>
        <v>0</v>
      </c>
      <c r="N5854" s="11">
        <f t="shared" si="915"/>
        <v>0</v>
      </c>
      <c r="O5854" s="11">
        <f t="shared" si="916"/>
        <v>0</v>
      </c>
      <c r="P5854" s="12">
        <f t="shared" si="917"/>
        <v>0</v>
      </c>
      <c r="Q5854" s="17" t="str">
        <f t="shared" si="919"/>
        <v>Pas d'écart</v>
      </c>
    </row>
    <row r="5855" spans="1:17" x14ac:dyDescent="0.3">
      <c r="A5855" s="34" t="str">
        <f>base!J5855</f>
        <v>RM</v>
      </c>
      <c r="B5855" s="34" t="str">
        <f>base!V5855</f>
        <v>80000</v>
      </c>
      <c r="C5855" s="37">
        <v>80</v>
      </c>
      <c r="D5855" s="36">
        <f>base!H5855</f>
        <v>140</v>
      </c>
      <c r="E5855" s="44"/>
      <c r="F5855" s="16">
        <f>base!W5855</f>
        <v>0</v>
      </c>
      <c r="G5855" s="11">
        <f t="shared" si="910"/>
        <v>0</v>
      </c>
      <c r="H5855" s="11">
        <f t="shared" si="911"/>
        <v>26.6</v>
      </c>
      <c r="I5855" s="11">
        <f t="shared" si="912"/>
        <v>0.19</v>
      </c>
      <c r="J5855" s="12">
        <f t="shared" si="913"/>
        <v>-26.6</v>
      </c>
      <c r="K5855" s="17" t="str">
        <f t="shared" si="918"/>
        <v>Ecart négatif</v>
      </c>
      <c r="L5855" s="16">
        <f>base!X5855</f>
        <v>26.6</v>
      </c>
      <c r="M5855" s="11">
        <f t="shared" si="914"/>
        <v>0.19</v>
      </c>
      <c r="N5855" s="11">
        <f t="shared" si="915"/>
        <v>0</v>
      </c>
      <c r="O5855" s="11">
        <f t="shared" si="916"/>
        <v>0</v>
      </c>
      <c r="P5855" s="12">
        <f t="shared" si="917"/>
        <v>26.6</v>
      </c>
      <c r="Q5855" s="17" t="str">
        <f t="shared" si="919"/>
        <v>Ecart positif</v>
      </c>
    </row>
    <row r="5856" spans="1:17" x14ac:dyDescent="0.3">
      <c r="A5856" s="34">
        <f>base!J5856</f>
        <v>0</v>
      </c>
      <c r="B5856" s="34" t="str">
        <f>base!V5856</f>
        <v>77184</v>
      </c>
      <c r="C5856" s="37">
        <v>77</v>
      </c>
      <c r="D5856" s="36">
        <f>base!H5856</f>
        <v>35</v>
      </c>
      <c r="E5856" s="44"/>
      <c r="F5856" s="16">
        <f>base!W5856</f>
        <v>0</v>
      </c>
      <c r="G5856" s="11">
        <f t="shared" si="910"/>
        <v>0</v>
      </c>
      <c r="H5856" s="11">
        <f t="shared" si="911"/>
        <v>0</v>
      </c>
      <c r="I5856" s="11">
        <f t="shared" si="912"/>
        <v>0</v>
      </c>
      <c r="J5856" s="12">
        <f t="shared" si="913"/>
        <v>0</v>
      </c>
      <c r="K5856" s="17" t="str">
        <f t="shared" si="918"/>
        <v>Pas d'écart</v>
      </c>
      <c r="L5856" s="16">
        <f>base!X5856</f>
        <v>0</v>
      </c>
      <c r="M5856" s="11">
        <f t="shared" si="914"/>
        <v>0</v>
      </c>
      <c r="N5856" s="11">
        <f t="shared" si="915"/>
        <v>0</v>
      </c>
      <c r="O5856" s="11">
        <f t="shared" si="916"/>
        <v>0</v>
      </c>
      <c r="P5856" s="12">
        <f t="shared" si="917"/>
        <v>0</v>
      </c>
      <c r="Q5856" s="17" t="str">
        <f t="shared" si="919"/>
        <v>Pas d'écart</v>
      </c>
    </row>
    <row r="5857" spans="1:18" x14ac:dyDescent="0.3">
      <c r="A5857" s="34" t="str">
        <f>base!J5857</f>
        <v>RS</v>
      </c>
      <c r="B5857" s="34" t="str">
        <f>base!V5857</f>
        <v>39140</v>
      </c>
      <c r="C5857" s="37">
        <v>39</v>
      </c>
      <c r="D5857" s="36">
        <f>base!H5857</f>
        <v>186.98</v>
      </c>
      <c r="E5857" s="44"/>
      <c r="F5857" s="16">
        <f>base!W5857</f>
        <v>0</v>
      </c>
      <c r="G5857" s="11">
        <f t="shared" si="910"/>
        <v>0</v>
      </c>
      <c r="H5857" s="11">
        <f t="shared" si="911"/>
        <v>50.4846</v>
      </c>
      <c r="I5857" s="11">
        <f t="shared" si="912"/>
        <v>0.27</v>
      </c>
      <c r="J5857" s="12">
        <f t="shared" si="913"/>
        <v>-50.4846</v>
      </c>
      <c r="K5857" s="17" t="str">
        <f t="shared" si="918"/>
        <v>Ecart négatif</v>
      </c>
      <c r="L5857" s="16">
        <f>base!X5857</f>
        <v>0</v>
      </c>
      <c r="M5857" s="11">
        <f t="shared" si="914"/>
        <v>0</v>
      </c>
      <c r="N5857" s="11">
        <f t="shared" si="915"/>
        <v>0</v>
      </c>
      <c r="O5857" s="11">
        <f t="shared" si="916"/>
        <v>0</v>
      </c>
      <c r="P5857" s="12">
        <f t="shared" si="917"/>
        <v>0</v>
      </c>
      <c r="Q5857" s="17" t="str">
        <f t="shared" si="919"/>
        <v>Pas d'écart</v>
      </c>
    </row>
    <row r="5858" spans="1:18" x14ac:dyDescent="0.3">
      <c r="A5858" s="34" t="str">
        <f>base!J5858</f>
        <v>RS</v>
      </c>
      <c r="B5858" s="34" t="str">
        <f>base!V5858</f>
        <v>06740</v>
      </c>
      <c r="C5858" s="37">
        <v>6</v>
      </c>
      <c r="D5858" s="36">
        <f>base!H5858</f>
        <v>140</v>
      </c>
      <c r="E5858" s="44"/>
      <c r="F5858" s="16">
        <f>base!W5858</f>
        <v>0</v>
      </c>
      <c r="G5858" s="11">
        <f t="shared" si="910"/>
        <v>0</v>
      </c>
      <c r="H5858" s="11">
        <f t="shared" si="911"/>
        <v>42</v>
      </c>
      <c r="I5858" s="11">
        <f t="shared" si="912"/>
        <v>0.3</v>
      </c>
      <c r="J5858" s="12">
        <f t="shared" si="913"/>
        <v>-42</v>
      </c>
      <c r="K5858" s="17" t="str">
        <f t="shared" si="918"/>
        <v>Ecart négatif</v>
      </c>
      <c r="L5858" s="16">
        <f>base!X5858</f>
        <v>29.4</v>
      </c>
      <c r="M5858" s="11">
        <f t="shared" si="914"/>
        <v>0.21</v>
      </c>
      <c r="N5858" s="11">
        <f t="shared" si="915"/>
        <v>29.4</v>
      </c>
      <c r="O5858" s="11">
        <f t="shared" si="916"/>
        <v>0.21</v>
      </c>
      <c r="P5858" s="12">
        <f t="shared" si="917"/>
        <v>0</v>
      </c>
      <c r="Q5858" s="17" t="str">
        <f t="shared" si="919"/>
        <v>Pas d'écart</v>
      </c>
      <c r="R5858" s="38"/>
    </row>
    <row r="5859" spans="1:18" x14ac:dyDescent="0.3">
      <c r="A5859" s="34" t="str">
        <f>base!J5859</f>
        <v>RS</v>
      </c>
      <c r="B5859" s="34" t="str">
        <f>base!V5859</f>
        <v>13400</v>
      </c>
      <c r="C5859" s="37">
        <v>13</v>
      </c>
      <c r="D5859" s="36">
        <f>base!H5859</f>
        <v>140</v>
      </c>
      <c r="E5859" s="44"/>
      <c r="F5859" s="16">
        <f>base!W5859</f>
        <v>0</v>
      </c>
      <c r="G5859" s="11">
        <f t="shared" si="910"/>
        <v>0</v>
      </c>
      <c r="H5859" s="11">
        <f t="shared" si="911"/>
        <v>40.599999999999994</v>
      </c>
      <c r="I5859" s="11">
        <f t="shared" si="912"/>
        <v>0.28999999999999998</v>
      </c>
      <c r="J5859" s="12">
        <f t="shared" si="913"/>
        <v>-40.599999999999994</v>
      </c>
      <c r="K5859" s="17" t="str">
        <f t="shared" si="918"/>
        <v>Ecart négatif</v>
      </c>
      <c r="L5859" s="16">
        <f>base!X5859</f>
        <v>0</v>
      </c>
      <c r="M5859" s="11">
        <f t="shared" si="914"/>
        <v>0</v>
      </c>
      <c r="N5859" s="11">
        <f t="shared" si="915"/>
        <v>26.6</v>
      </c>
      <c r="O5859" s="11">
        <f t="shared" si="916"/>
        <v>0.19</v>
      </c>
      <c r="P5859" s="12">
        <f t="shared" si="917"/>
        <v>-26.6</v>
      </c>
      <c r="Q5859" s="17" t="str">
        <f t="shared" si="919"/>
        <v>Ecart négatif</v>
      </c>
    </row>
    <row r="5860" spans="1:18" x14ac:dyDescent="0.3">
      <c r="A5860" s="34" t="str">
        <f>base!J5860</f>
        <v>RS</v>
      </c>
      <c r="B5860" s="34" t="str">
        <f>base!V5860</f>
        <v>14000</v>
      </c>
      <c r="C5860" s="37">
        <v>14</v>
      </c>
      <c r="D5860" s="36">
        <f>base!H5860</f>
        <v>183.98</v>
      </c>
      <c r="E5860" s="44"/>
      <c r="F5860" s="16">
        <f>base!W5860</f>
        <v>0</v>
      </c>
      <c r="G5860" s="11">
        <f t="shared" si="910"/>
        <v>0</v>
      </c>
      <c r="H5860" s="11">
        <f t="shared" si="911"/>
        <v>31.276600000000002</v>
      </c>
      <c r="I5860" s="11">
        <f t="shared" si="912"/>
        <v>0.17</v>
      </c>
      <c r="J5860" s="12">
        <f t="shared" si="913"/>
        <v>-31.276600000000002</v>
      </c>
      <c r="K5860" s="17" t="str">
        <f t="shared" si="918"/>
        <v>Ecart négatif</v>
      </c>
      <c r="L5860" s="16">
        <f>base!X5860</f>
        <v>31.28</v>
      </c>
      <c r="M5860" s="11">
        <f t="shared" si="914"/>
        <v>0.17001848026959454</v>
      </c>
      <c r="N5860" s="11">
        <f t="shared" si="915"/>
        <v>31.276600000000002</v>
      </c>
      <c r="O5860" s="11">
        <f t="shared" si="916"/>
        <v>0.17</v>
      </c>
      <c r="P5860" s="12">
        <f t="shared" si="917"/>
        <v>3.3999999999991815E-3</v>
      </c>
      <c r="Q5860" s="17" t="str">
        <f t="shared" si="919"/>
        <v>Ecart positif</v>
      </c>
      <c r="R5860" s="38"/>
    </row>
    <row r="5861" spans="1:18" x14ac:dyDescent="0.3">
      <c r="A5861" s="34" t="str">
        <f>base!J5861</f>
        <v>LM</v>
      </c>
      <c r="B5861" s="34" t="str">
        <f>base!V5861</f>
        <v>61250</v>
      </c>
      <c r="C5861" s="37">
        <v>68</v>
      </c>
      <c r="D5861" s="36">
        <f>base!H5861</f>
        <v>69.56</v>
      </c>
      <c r="E5861" s="44"/>
      <c r="F5861" s="16">
        <f>base!W5861</f>
        <v>11.83</v>
      </c>
      <c r="G5861" s="11">
        <f t="shared" si="910"/>
        <v>0.17006900517538814</v>
      </c>
      <c r="H5861" s="11">
        <f t="shared" si="911"/>
        <v>20.1724</v>
      </c>
      <c r="I5861" s="11">
        <f t="shared" si="912"/>
        <v>0.28999999999999998</v>
      </c>
      <c r="J5861" s="12">
        <f t="shared" si="913"/>
        <v>-8.3423999999999996</v>
      </c>
      <c r="K5861" s="17" t="str">
        <f t="shared" si="918"/>
        <v>Ecart négatif</v>
      </c>
      <c r="L5861" s="16">
        <f>base!X5861</f>
        <v>0</v>
      </c>
      <c r="M5861" s="11">
        <f t="shared" si="914"/>
        <v>0</v>
      </c>
      <c r="N5861" s="11">
        <f t="shared" si="915"/>
        <v>5.5648</v>
      </c>
      <c r="O5861" s="11">
        <f t="shared" si="916"/>
        <v>0.08</v>
      </c>
      <c r="P5861" s="12">
        <f t="shared" si="917"/>
        <v>-5.5648</v>
      </c>
      <c r="Q5861" s="17" t="str">
        <f t="shared" si="919"/>
        <v>Ecart négatif</v>
      </c>
    </row>
    <row r="5862" spans="1:18" x14ac:dyDescent="0.3">
      <c r="A5862" s="34" t="str">
        <f>base!J5862</f>
        <v>RM</v>
      </c>
      <c r="B5862" s="34" t="str">
        <f>base!V5862</f>
        <v>13127</v>
      </c>
      <c r="C5862" s="37">
        <v>13</v>
      </c>
      <c r="D5862" s="36">
        <f>base!H5862</f>
        <v>110.91</v>
      </c>
      <c r="E5862" s="44"/>
      <c r="F5862" s="16">
        <f>base!W5862</f>
        <v>0</v>
      </c>
      <c r="G5862" s="11">
        <f t="shared" si="910"/>
        <v>0</v>
      </c>
      <c r="H5862" s="11">
        <f t="shared" si="911"/>
        <v>32.163899999999998</v>
      </c>
      <c r="I5862" s="11">
        <f t="shared" si="912"/>
        <v>0.28999999999999998</v>
      </c>
      <c r="J5862" s="12">
        <f t="shared" si="913"/>
        <v>-32.163899999999998</v>
      </c>
      <c r="K5862" s="17" t="str">
        <f t="shared" si="918"/>
        <v>Ecart négatif</v>
      </c>
      <c r="L5862" s="16">
        <f>base!X5862</f>
        <v>0</v>
      </c>
      <c r="M5862" s="11">
        <f t="shared" si="914"/>
        <v>0</v>
      </c>
      <c r="N5862" s="11">
        <f t="shared" si="915"/>
        <v>21.072900000000001</v>
      </c>
      <c r="O5862" s="11">
        <f t="shared" si="916"/>
        <v>0.19</v>
      </c>
      <c r="P5862" s="12">
        <f t="shared" si="917"/>
        <v>-21.072900000000001</v>
      </c>
      <c r="Q5862" s="17" t="str">
        <f t="shared" si="919"/>
        <v>Ecart négatif</v>
      </c>
    </row>
    <row r="5863" spans="1:18" x14ac:dyDescent="0.3">
      <c r="A5863" s="34" t="str">
        <f>base!J5863</f>
        <v>RS</v>
      </c>
      <c r="B5863" s="34" t="str">
        <f>base!V5863</f>
        <v>05220</v>
      </c>
      <c r="C5863" s="37">
        <v>5</v>
      </c>
      <c r="D5863" s="36">
        <f>base!H5863</f>
        <v>69</v>
      </c>
      <c r="E5863" s="44"/>
      <c r="F5863" s="16">
        <f>base!W5863</f>
        <v>0</v>
      </c>
      <c r="G5863" s="11">
        <f t="shared" si="910"/>
        <v>0</v>
      </c>
      <c r="H5863" s="11">
        <f t="shared" si="911"/>
        <v>20.009999999999998</v>
      </c>
      <c r="I5863" s="11">
        <f t="shared" si="912"/>
        <v>0.28999999999999998</v>
      </c>
      <c r="J5863" s="12">
        <f t="shared" si="913"/>
        <v>-20.009999999999998</v>
      </c>
      <c r="K5863" s="17" t="str">
        <f t="shared" si="918"/>
        <v>Ecart négatif</v>
      </c>
      <c r="L5863" s="16">
        <f>base!X5863</f>
        <v>0</v>
      </c>
      <c r="M5863" s="11">
        <f t="shared" si="914"/>
        <v>0</v>
      </c>
      <c r="N5863" s="11">
        <f t="shared" si="915"/>
        <v>13.11</v>
      </c>
      <c r="O5863" s="11">
        <f t="shared" si="916"/>
        <v>0.19</v>
      </c>
      <c r="P5863" s="12">
        <f t="shared" si="917"/>
        <v>-13.11</v>
      </c>
      <c r="Q5863" s="17" t="str">
        <f t="shared" si="919"/>
        <v>Ecart négatif</v>
      </c>
    </row>
    <row r="5864" spans="1:18" x14ac:dyDescent="0.3">
      <c r="A5864" s="34" t="str">
        <f>base!J5864</f>
        <v>RS</v>
      </c>
      <c r="B5864" s="34" t="str">
        <f>base!V5864</f>
        <v>41220</v>
      </c>
      <c r="C5864" s="37">
        <v>41</v>
      </c>
      <c r="D5864" s="36">
        <f>base!H5864</f>
        <v>180</v>
      </c>
      <c r="E5864" s="44"/>
      <c r="F5864" s="16">
        <f>base!W5864</f>
        <v>0</v>
      </c>
      <c r="G5864" s="11">
        <f t="shared" si="910"/>
        <v>0</v>
      </c>
      <c r="H5864" s="11">
        <f t="shared" si="911"/>
        <v>37.799999999999997</v>
      </c>
      <c r="I5864" s="11">
        <f t="shared" si="912"/>
        <v>0.21</v>
      </c>
      <c r="J5864" s="12">
        <f t="shared" si="913"/>
        <v>-37.799999999999997</v>
      </c>
      <c r="K5864" s="17" t="str">
        <f t="shared" si="918"/>
        <v>Ecart négatif</v>
      </c>
      <c r="L5864" s="16">
        <f>base!X5864</f>
        <v>37.799999999999997</v>
      </c>
      <c r="M5864" s="11">
        <f t="shared" si="914"/>
        <v>0.21</v>
      </c>
      <c r="N5864" s="11">
        <f t="shared" si="915"/>
        <v>21.599999999999998</v>
      </c>
      <c r="O5864" s="11">
        <f t="shared" si="916"/>
        <v>0.11999999999999998</v>
      </c>
      <c r="P5864" s="12">
        <f t="shared" si="917"/>
        <v>16.2</v>
      </c>
      <c r="Q5864" s="17" t="str">
        <f t="shared" si="919"/>
        <v>Ecart positif</v>
      </c>
    </row>
    <row r="5865" spans="1:18" x14ac:dyDescent="0.3">
      <c r="A5865" s="34" t="str">
        <f>base!J5865</f>
        <v>RS</v>
      </c>
      <c r="B5865" s="34" t="str">
        <f>base!V5865</f>
        <v>13127</v>
      </c>
      <c r="C5865" s="37">
        <v>13</v>
      </c>
      <c r="D5865" s="36">
        <f>base!H5865</f>
        <v>72.790000000000006</v>
      </c>
      <c r="E5865" s="44"/>
      <c r="F5865" s="16">
        <f>base!W5865</f>
        <v>0</v>
      </c>
      <c r="G5865" s="11">
        <f t="shared" si="910"/>
        <v>0</v>
      </c>
      <c r="H5865" s="11">
        <f t="shared" si="911"/>
        <v>21.109100000000002</v>
      </c>
      <c r="I5865" s="11">
        <f t="shared" si="912"/>
        <v>0.28999999999999998</v>
      </c>
      <c r="J5865" s="12">
        <f t="shared" si="913"/>
        <v>-21.109100000000002</v>
      </c>
      <c r="K5865" s="17" t="str">
        <f t="shared" si="918"/>
        <v>Ecart négatif</v>
      </c>
      <c r="L5865" s="16">
        <f>base!X5865</f>
        <v>0</v>
      </c>
      <c r="M5865" s="11">
        <f t="shared" si="914"/>
        <v>0</v>
      </c>
      <c r="N5865" s="11">
        <f t="shared" si="915"/>
        <v>13.830100000000002</v>
      </c>
      <c r="O5865" s="11">
        <f t="shared" si="916"/>
        <v>0.19</v>
      </c>
      <c r="P5865" s="12">
        <f t="shared" si="917"/>
        <v>-13.830100000000002</v>
      </c>
      <c r="Q5865" s="17" t="str">
        <f t="shared" si="919"/>
        <v>Ecart négatif</v>
      </c>
    </row>
    <row r="5866" spans="1:18" x14ac:dyDescent="0.3">
      <c r="A5866" s="34" t="str">
        <f>base!J5866</f>
        <v>RS</v>
      </c>
      <c r="B5866" s="34" t="str">
        <f>base!V5866</f>
        <v>63000</v>
      </c>
      <c r="C5866" s="37">
        <v>63</v>
      </c>
      <c r="D5866" s="36">
        <f>base!H5866</f>
        <v>25</v>
      </c>
      <c r="E5866" s="44"/>
      <c r="F5866" s="16">
        <f>base!W5866</f>
        <v>0</v>
      </c>
      <c r="G5866" s="11">
        <f t="shared" si="910"/>
        <v>0</v>
      </c>
      <c r="H5866" s="11">
        <f t="shared" si="911"/>
        <v>7.2499999999999991</v>
      </c>
      <c r="I5866" s="11">
        <f t="shared" si="912"/>
        <v>0.28999999999999998</v>
      </c>
      <c r="J5866" s="12">
        <f t="shared" si="913"/>
        <v>-7.2499999999999991</v>
      </c>
      <c r="K5866" s="17" t="str">
        <f t="shared" si="918"/>
        <v>Ecart négatif</v>
      </c>
      <c r="L5866" s="16">
        <f>base!X5866</f>
        <v>3</v>
      </c>
      <c r="M5866" s="11">
        <f t="shared" si="914"/>
        <v>0.12</v>
      </c>
      <c r="N5866" s="11">
        <f t="shared" si="915"/>
        <v>3</v>
      </c>
      <c r="O5866" s="11">
        <f t="shared" si="916"/>
        <v>0.12</v>
      </c>
      <c r="P5866" s="12">
        <f t="shared" si="917"/>
        <v>0</v>
      </c>
      <c r="Q5866" s="17" t="str">
        <f t="shared" si="919"/>
        <v>Pas d'écart</v>
      </c>
      <c r="R5866" s="38"/>
    </row>
    <row r="5867" spans="1:18" x14ac:dyDescent="0.3">
      <c r="A5867" s="34" t="str">
        <f>base!J5867</f>
        <v>RS</v>
      </c>
      <c r="B5867" s="34" t="str">
        <f>base!V5867</f>
        <v>35065</v>
      </c>
      <c r="C5867" s="37">
        <v>35</v>
      </c>
      <c r="D5867" s="36">
        <f>base!H5867</f>
        <v>290</v>
      </c>
      <c r="E5867" s="44"/>
      <c r="F5867" s="16">
        <f>base!W5867</f>
        <v>0</v>
      </c>
      <c r="G5867" s="11">
        <f t="shared" si="910"/>
        <v>0</v>
      </c>
      <c r="H5867" s="11">
        <f t="shared" si="911"/>
        <v>78.300000000000011</v>
      </c>
      <c r="I5867" s="11">
        <f t="shared" si="912"/>
        <v>0.27</v>
      </c>
      <c r="J5867" s="12">
        <f t="shared" si="913"/>
        <v>-78.300000000000011</v>
      </c>
      <c r="K5867" s="17" t="str">
        <f t="shared" si="918"/>
        <v>Ecart négatif</v>
      </c>
      <c r="L5867" s="16">
        <f>base!X5867</f>
        <v>0</v>
      </c>
      <c r="M5867" s="11">
        <f t="shared" si="914"/>
        <v>0</v>
      </c>
      <c r="N5867" s="11">
        <f t="shared" si="915"/>
        <v>0</v>
      </c>
      <c r="O5867" s="11">
        <f t="shared" si="916"/>
        <v>0</v>
      </c>
      <c r="P5867" s="12">
        <f t="shared" si="917"/>
        <v>0</v>
      </c>
      <c r="Q5867" s="17" t="str">
        <f t="shared" si="919"/>
        <v>Pas d'écart</v>
      </c>
    </row>
    <row r="5868" spans="1:18" x14ac:dyDescent="0.3">
      <c r="A5868" s="34" t="str">
        <f>base!J5868</f>
        <v>RM</v>
      </c>
      <c r="B5868" s="34" t="str">
        <f>base!V5868</f>
        <v>54600</v>
      </c>
      <c r="C5868" s="37">
        <v>54</v>
      </c>
      <c r="D5868" s="36">
        <f>base!H5868</f>
        <v>16.8</v>
      </c>
      <c r="E5868" s="44"/>
      <c r="F5868" s="16">
        <f>base!W5868</f>
        <v>0</v>
      </c>
      <c r="G5868" s="11">
        <f t="shared" si="910"/>
        <v>0</v>
      </c>
      <c r="H5868" s="11">
        <f t="shared" si="911"/>
        <v>4.2</v>
      </c>
      <c r="I5868" s="11">
        <f t="shared" si="912"/>
        <v>0.25</v>
      </c>
      <c r="J5868" s="12">
        <f t="shared" si="913"/>
        <v>-4.2</v>
      </c>
      <c r="K5868" s="17" t="str">
        <f t="shared" si="918"/>
        <v>Ecart négatif</v>
      </c>
      <c r="L5868" s="16">
        <f>base!X5868</f>
        <v>4.2</v>
      </c>
      <c r="M5868" s="11">
        <f t="shared" si="914"/>
        <v>0.25</v>
      </c>
      <c r="N5868" s="11">
        <f t="shared" si="915"/>
        <v>4.2</v>
      </c>
      <c r="O5868" s="11">
        <f t="shared" si="916"/>
        <v>0.25</v>
      </c>
      <c r="P5868" s="12">
        <f t="shared" si="917"/>
        <v>0</v>
      </c>
      <c r="Q5868" s="17" t="str">
        <f t="shared" si="919"/>
        <v>Pas d'écart</v>
      </c>
      <c r="R5868" s="38"/>
    </row>
    <row r="5869" spans="1:18" x14ac:dyDescent="0.3">
      <c r="A5869" s="34" t="str">
        <f>base!J5869</f>
        <v>RM</v>
      </c>
      <c r="B5869" s="34" t="str">
        <f>base!V5869</f>
        <v>63800</v>
      </c>
      <c r="C5869" s="37">
        <v>63</v>
      </c>
      <c r="D5869" s="36">
        <f>base!H5869</f>
        <v>40</v>
      </c>
      <c r="E5869" s="44"/>
      <c r="F5869" s="16">
        <f>base!W5869</f>
        <v>0</v>
      </c>
      <c r="G5869" s="11">
        <f t="shared" si="910"/>
        <v>0</v>
      </c>
      <c r="H5869" s="11">
        <f t="shared" si="911"/>
        <v>11.6</v>
      </c>
      <c r="I5869" s="11">
        <f t="shared" si="912"/>
        <v>0.28999999999999998</v>
      </c>
      <c r="J5869" s="12">
        <f t="shared" si="913"/>
        <v>-11.6</v>
      </c>
      <c r="K5869" s="17" t="str">
        <f t="shared" si="918"/>
        <v>Ecart négatif</v>
      </c>
      <c r="L5869" s="16">
        <f>base!X5869</f>
        <v>4.8</v>
      </c>
      <c r="M5869" s="11">
        <f t="shared" si="914"/>
        <v>0.12</v>
      </c>
      <c r="N5869" s="11">
        <f t="shared" si="915"/>
        <v>4.8</v>
      </c>
      <c r="O5869" s="11">
        <f t="shared" si="916"/>
        <v>0.12</v>
      </c>
      <c r="P5869" s="12">
        <f t="shared" si="917"/>
        <v>0</v>
      </c>
      <c r="Q5869" s="17" t="str">
        <f t="shared" si="919"/>
        <v>Pas d'écart</v>
      </c>
      <c r="R5869" s="38"/>
    </row>
    <row r="5870" spans="1:18" x14ac:dyDescent="0.3">
      <c r="A5870" s="34" t="str">
        <f>base!J5870</f>
        <v>RM</v>
      </c>
      <c r="B5870" s="34" t="str">
        <f>base!V5870</f>
        <v>69200</v>
      </c>
      <c r="C5870" s="37">
        <v>69</v>
      </c>
      <c r="D5870" s="36">
        <f>base!H5870</f>
        <v>17.399999999999999</v>
      </c>
      <c r="E5870" s="44"/>
      <c r="F5870" s="16">
        <f>base!W5870</f>
        <v>0</v>
      </c>
      <c r="G5870" s="11">
        <f t="shared" si="910"/>
        <v>0</v>
      </c>
      <c r="H5870" s="11">
        <f t="shared" si="911"/>
        <v>4.6979999999999995</v>
      </c>
      <c r="I5870" s="11">
        <f t="shared" si="912"/>
        <v>0.27</v>
      </c>
      <c r="J5870" s="12">
        <f t="shared" si="913"/>
        <v>-4.6979999999999995</v>
      </c>
      <c r="K5870" s="17" t="str">
        <f t="shared" si="918"/>
        <v>Ecart négatif</v>
      </c>
      <c r="L5870" s="16">
        <f>base!X5870</f>
        <v>0</v>
      </c>
      <c r="M5870" s="11">
        <f t="shared" si="914"/>
        <v>0</v>
      </c>
      <c r="N5870" s="11">
        <f t="shared" si="915"/>
        <v>0</v>
      </c>
      <c r="O5870" s="11">
        <f t="shared" si="916"/>
        <v>0</v>
      </c>
      <c r="P5870" s="12">
        <f t="shared" si="917"/>
        <v>0</v>
      </c>
      <c r="Q5870" s="17" t="str">
        <f t="shared" si="919"/>
        <v>Pas d'écart</v>
      </c>
    </row>
    <row r="5871" spans="1:18" x14ac:dyDescent="0.3">
      <c r="A5871" s="34" t="str">
        <f>base!J5871</f>
        <v>RM</v>
      </c>
      <c r="B5871" s="34" t="str">
        <f>base!V5871</f>
        <v>37540</v>
      </c>
      <c r="C5871" s="37">
        <v>37</v>
      </c>
      <c r="D5871" s="36">
        <f>base!H5871</f>
        <v>171.25</v>
      </c>
      <c r="E5871" s="44"/>
      <c r="F5871" s="16">
        <f>base!W5871</f>
        <v>0</v>
      </c>
      <c r="G5871" s="11">
        <f t="shared" si="910"/>
        <v>0</v>
      </c>
      <c r="H5871" s="11">
        <f t="shared" si="911"/>
        <v>32.537500000000001</v>
      </c>
      <c r="I5871" s="11">
        <f t="shared" si="912"/>
        <v>0.19</v>
      </c>
      <c r="J5871" s="12">
        <f t="shared" si="913"/>
        <v>-32.537500000000001</v>
      </c>
      <c r="K5871" s="17" t="str">
        <f t="shared" si="918"/>
        <v>Ecart négatif</v>
      </c>
      <c r="L5871" s="16">
        <f>base!X5871</f>
        <v>46.24</v>
      </c>
      <c r="M5871" s="11">
        <f t="shared" si="914"/>
        <v>0.27001459854014598</v>
      </c>
      <c r="N5871" s="11">
        <f t="shared" si="915"/>
        <v>20.55</v>
      </c>
      <c r="O5871" s="11">
        <f t="shared" si="916"/>
        <v>0.12000000000000001</v>
      </c>
      <c r="P5871" s="12">
        <f t="shared" si="917"/>
        <v>25.69</v>
      </c>
      <c r="Q5871" s="17" t="str">
        <f t="shared" si="919"/>
        <v>Ecart positif</v>
      </c>
      <c r="R5871" s="38"/>
    </row>
    <row r="5872" spans="1:18" x14ac:dyDescent="0.3">
      <c r="A5872" s="34" t="str">
        <f>base!J5872</f>
        <v>DLM</v>
      </c>
      <c r="B5872" s="34" t="str">
        <f>base!V5872</f>
        <v>84000</v>
      </c>
      <c r="C5872" s="37">
        <v>84</v>
      </c>
      <c r="D5872" s="36">
        <f>base!H5872</f>
        <v>52.5</v>
      </c>
      <c r="E5872" s="44"/>
      <c r="F5872" s="16">
        <f>base!W5872</f>
        <v>0</v>
      </c>
      <c r="G5872" s="11">
        <f t="shared" si="910"/>
        <v>0</v>
      </c>
      <c r="H5872" s="11">
        <f t="shared" si="911"/>
        <v>15.225</v>
      </c>
      <c r="I5872" s="11">
        <f t="shared" si="912"/>
        <v>0.28999999999999998</v>
      </c>
      <c r="J5872" s="12">
        <f t="shared" si="913"/>
        <v>-15.225</v>
      </c>
      <c r="K5872" s="17" t="str">
        <f t="shared" si="918"/>
        <v>Ecart négatif</v>
      </c>
      <c r="L5872" s="16">
        <f>base!X5872</f>
        <v>0</v>
      </c>
      <c r="M5872" s="11">
        <f t="shared" si="914"/>
        <v>0</v>
      </c>
      <c r="N5872" s="11">
        <f t="shared" si="915"/>
        <v>9.9749999999999996</v>
      </c>
      <c r="O5872" s="11">
        <f t="shared" si="916"/>
        <v>0.19</v>
      </c>
      <c r="P5872" s="12">
        <f t="shared" si="917"/>
        <v>-9.9749999999999996</v>
      </c>
      <c r="Q5872" s="17" t="str">
        <f t="shared" si="919"/>
        <v>Ecart négatif</v>
      </c>
    </row>
    <row r="5873" spans="1:18" x14ac:dyDescent="0.3">
      <c r="A5873" s="34" t="str">
        <f>base!J5873</f>
        <v>DLM</v>
      </c>
      <c r="B5873" s="34" t="str">
        <f>base!V5873</f>
        <v>69100</v>
      </c>
      <c r="C5873" s="37">
        <v>69</v>
      </c>
      <c r="D5873" s="36">
        <f>base!H5873</f>
        <v>52.5</v>
      </c>
      <c r="E5873" s="44"/>
      <c r="F5873" s="16">
        <f>base!W5873</f>
        <v>0</v>
      </c>
      <c r="G5873" s="11">
        <f t="shared" si="910"/>
        <v>0</v>
      </c>
      <c r="H5873" s="11">
        <f t="shared" si="911"/>
        <v>14.175000000000001</v>
      </c>
      <c r="I5873" s="11">
        <f t="shared" si="912"/>
        <v>0.27</v>
      </c>
      <c r="J5873" s="12">
        <f t="shared" si="913"/>
        <v>-14.175000000000001</v>
      </c>
      <c r="K5873" s="17" t="str">
        <f t="shared" si="918"/>
        <v>Ecart négatif</v>
      </c>
      <c r="L5873" s="16">
        <f>base!X5873</f>
        <v>0</v>
      </c>
      <c r="M5873" s="11">
        <f t="shared" si="914"/>
        <v>0</v>
      </c>
      <c r="N5873" s="11">
        <f t="shared" si="915"/>
        <v>0</v>
      </c>
      <c r="O5873" s="11">
        <f t="shared" si="916"/>
        <v>0</v>
      </c>
      <c r="P5873" s="12">
        <f t="shared" si="917"/>
        <v>0</v>
      </c>
      <c r="Q5873" s="17" t="str">
        <f t="shared" si="919"/>
        <v>Pas d'écart</v>
      </c>
    </row>
    <row r="5874" spans="1:18" x14ac:dyDescent="0.3">
      <c r="A5874" s="34" t="str">
        <f>base!J5874</f>
        <v>RM</v>
      </c>
      <c r="B5874" s="34" t="str">
        <f>base!V5874</f>
        <v>61100</v>
      </c>
      <c r="C5874" s="37">
        <v>61</v>
      </c>
      <c r="D5874" s="36">
        <f>base!H5874</f>
        <v>40.93</v>
      </c>
      <c r="E5874" s="44"/>
      <c r="F5874" s="16">
        <f>base!W5874</f>
        <v>0</v>
      </c>
      <c r="G5874" s="11">
        <f t="shared" si="910"/>
        <v>0</v>
      </c>
      <c r="H5874" s="11">
        <f t="shared" si="911"/>
        <v>6.9581000000000008</v>
      </c>
      <c r="I5874" s="11">
        <f t="shared" si="912"/>
        <v>0.17</v>
      </c>
      <c r="J5874" s="12">
        <f t="shared" si="913"/>
        <v>-6.9581000000000008</v>
      </c>
      <c r="K5874" s="17" t="str">
        <f t="shared" si="918"/>
        <v>Ecart négatif</v>
      </c>
      <c r="L5874" s="16">
        <f>base!X5874</f>
        <v>0</v>
      </c>
      <c r="M5874" s="11">
        <f t="shared" si="914"/>
        <v>0</v>
      </c>
      <c r="N5874" s="11">
        <f t="shared" si="915"/>
        <v>6.9581000000000008</v>
      </c>
      <c r="O5874" s="11">
        <f t="shared" si="916"/>
        <v>0.17</v>
      </c>
      <c r="P5874" s="12">
        <f t="shared" si="917"/>
        <v>-6.9581000000000008</v>
      </c>
      <c r="Q5874" s="17" t="str">
        <f t="shared" si="919"/>
        <v>Ecart négatif</v>
      </c>
    </row>
    <row r="5875" spans="1:18" x14ac:dyDescent="0.3">
      <c r="A5875" s="34" t="str">
        <f>base!J5875</f>
        <v>RM</v>
      </c>
      <c r="B5875" s="34" t="str">
        <f>base!V5875</f>
        <v>83600</v>
      </c>
      <c r="C5875" s="37">
        <v>83</v>
      </c>
      <c r="D5875" s="36">
        <f>base!H5875</f>
        <v>150</v>
      </c>
      <c r="E5875" s="44"/>
      <c r="F5875" s="16">
        <f>base!W5875</f>
        <v>0</v>
      </c>
      <c r="G5875" s="11">
        <f t="shared" si="910"/>
        <v>0</v>
      </c>
      <c r="H5875" s="11">
        <f t="shared" si="911"/>
        <v>45</v>
      </c>
      <c r="I5875" s="11">
        <f t="shared" si="912"/>
        <v>0.3</v>
      </c>
      <c r="J5875" s="12">
        <f t="shared" si="913"/>
        <v>-45</v>
      </c>
      <c r="K5875" s="17" t="str">
        <f t="shared" si="918"/>
        <v>Ecart négatif</v>
      </c>
      <c r="L5875" s="16">
        <f>base!X5875</f>
        <v>0</v>
      </c>
      <c r="M5875" s="11">
        <f t="shared" si="914"/>
        <v>0</v>
      </c>
      <c r="N5875" s="11">
        <f t="shared" si="915"/>
        <v>31.5</v>
      </c>
      <c r="O5875" s="11">
        <f t="shared" si="916"/>
        <v>0.21</v>
      </c>
      <c r="P5875" s="12">
        <f t="shared" si="917"/>
        <v>-31.5</v>
      </c>
      <c r="Q5875" s="17" t="str">
        <f t="shared" si="919"/>
        <v>Ecart négatif</v>
      </c>
    </row>
    <row r="5876" spans="1:18" x14ac:dyDescent="0.3">
      <c r="A5876" s="34" t="str">
        <f>base!J5876</f>
        <v>RM</v>
      </c>
      <c r="B5876" s="34" t="str">
        <f>base!V5876</f>
        <v>13001</v>
      </c>
      <c r="C5876" s="37">
        <v>13</v>
      </c>
      <c r="D5876" s="36">
        <f>base!H5876</f>
        <v>70</v>
      </c>
      <c r="E5876" s="44"/>
      <c r="F5876" s="16">
        <f>base!W5876</f>
        <v>0</v>
      </c>
      <c r="G5876" s="11">
        <f t="shared" si="910"/>
        <v>0</v>
      </c>
      <c r="H5876" s="11">
        <f t="shared" si="911"/>
        <v>20.299999999999997</v>
      </c>
      <c r="I5876" s="11">
        <f t="shared" si="912"/>
        <v>0.28999999999999998</v>
      </c>
      <c r="J5876" s="12">
        <f t="shared" si="913"/>
        <v>-20.299999999999997</v>
      </c>
      <c r="K5876" s="17" t="str">
        <f t="shared" si="918"/>
        <v>Ecart négatif</v>
      </c>
      <c r="L5876" s="16">
        <f>base!X5876</f>
        <v>0</v>
      </c>
      <c r="M5876" s="11">
        <f t="shared" si="914"/>
        <v>0</v>
      </c>
      <c r="N5876" s="11">
        <f t="shared" si="915"/>
        <v>13.3</v>
      </c>
      <c r="O5876" s="11">
        <f t="shared" si="916"/>
        <v>0.19</v>
      </c>
      <c r="P5876" s="12">
        <f t="shared" si="917"/>
        <v>-13.3</v>
      </c>
      <c r="Q5876" s="17" t="str">
        <f t="shared" si="919"/>
        <v>Ecart négatif</v>
      </c>
    </row>
    <row r="5877" spans="1:18" x14ac:dyDescent="0.3">
      <c r="A5877" s="34" t="str">
        <f>base!J5877</f>
        <v>LM</v>
      </c>
      <c r="B5877" s="34" t="str">
        <f>base!V5877</f>
        <v>93013</v>
      </c>
      <c r="C5877" s="37">
        <v>93</v>
      </c>
      <c r="D5877" s="36">
        <f>base!H5877</f>
        <v>55.16</v>
      </c>
      <c r="E5877" s="44"/>
      <c r="F5877" s="16">
        <f>base!W5877</f>
        <v>0</v>
      </c>
      <c r="G5877" s="11">
        <f t="shared" si="910"/>
        <v>0</v>
      </c>
      <c r="H5877" s="11">
        <f t="shared" si="911"/>
        <v>0</v>
      </c>
      <c r="I5877" s="11">
        <f t="shared" si="912"/>
        <v>0</v>
      </c>
      <c r="J5877" s="12">
        <f t="shared" si="913"/>
        <v>0</v>
      </c>
      <c r="K5877" s="17" t="str">
        <f t="shared" si="918"/>
        <v>Pas d'écart</v>
      </c>
      <c r="L5877" s="16">
        <f>base!X5877</f>
        <v>0</v>
      </c>
      <c r="M5877" s="11">
        <f t="shared" si="914"/>
        <v>0</v>
      </c>
      <c r="N5877" s="11">
        <f t="shared" si="915"/>
        <v>0</v>
      </c>
      <c r="O5877" s="11">
        <f t="shared" si="916"/>
        <v>0</v>
      </c>
      <c r="P5877" s="12">
        <f t="shared" si="917"/>
        <v>0</v>
      </c>
      <c r="Q5877" s="17" t="str">
        <f t="shared" si="919"/>
        <v>Pas d'écart</v>
      </c>
    </row>
    <row r="5878" spans="1:18" x14ac:dyDescent="0.3">
      <c r="A5878" s="34" t="str">
        <f>base!J5878</f>
        <v>LM</v>
      </c>
      <c r="B5878" s="34" t="str">
        <f>base!V5878</f>
        <v>22600</v>
      </c>
      <c r="C5878" s="37">
        <v>13</v>
      </c>
      <c r="D5878" s="36">
        <f>base!H5878</f>
        <v>155.37</v>
      </c>
      <c r="E5878" s="44"/>
      <c r="F5878" s="16">
        <f>base!W5878</f>
        <v>60.59</v>
      </c>
      <c r="G5878" s="11">
        <f t="shared" si="910"/>
        <v>0.38997232412949734</v>
      </c>
      <c r="H5878" s="11">
        <f t="shared" si="911"/>
        <v>45.057299999999998</v>
      </c>
      <c r="I5878" s="11">
        <f t="shared" si="912"/>
        <v>0.28999999999999998</v>
      </c>
      <c r="J5878" s="12">
        <f t="shared" si="913"/>
        <v>15.532700000000006</v>
      </c>
      <c r="K5878" s="17" t="str">
        <f t="shared" si="918"/>
        <v>Ecart positif</v>
      </c>
      <c r="L5878" s="16">
        <f>base!X5878</f>
        <v>0</v>
      </c>
      <c r="M5878" s="11">
        <f t="shared" si="914"/>
        <v>0</v>
      </c>
      <c r="N5878" s="11">
        <f t="shared" si="915"/>
        <v>29.520300000000002</v>
      </c>
      <c r="O5878" s="11">
        <f t="shared" si="916"/>
        <v>0.19</v>
      </c>
      <c r="P5878" s="12">
        <f t="shared" si="917"/>
        <v>-29.520300000000002</v>
      </c>
      <c r="Q5878" s="17" t="str">
        <f t="shared" si="919"/>
        <v>Ecart négatif</v>
      </c>
    </row>
    <row r="5879" spans="1:18" x14ac:dyDescent="0.3">
      <c r="A5879" s="34" t="str">
        <f>base!J5879</f>
        <v>LM</v>
      </c>
      <c r="B5879" s="34" t="str">
        <f>base!V5879</f>
        <v>38110</v>
      </c>
      <c r="C5879" s="37">
        <v>68</v>
      </c>
      <c r="D5879" s="36">
        <f>base!H5879</f>
        <v>19.649999999999999</v>
      </c>
      <c r="E5879" s="44"/>
      <c r="F5879" s="16">
        <f>base!W5879</f>
        <v>5.31</v>
      </c>
      <c r="G5879" s="11">
        <f t="shared" si="910"/>
        <v>0.27022900763358776</v>
      </c>
      <c r="H5879" s="11">
        <f t="shared" si="911"/>
        <v>5.6984999999999992</v>
      </c>
      <c r="I5879" s="11">
        <f t="shared" si="912"/>
        <v>0.28999999999999998</v>
      </c>
      <c r="J5879" s="12">
        <f t="shared" si="913"/>
        <v>-0.38849999999999962</v>
      </c>
      <c r="K5879" s="17" t="str">
        <f t="shared" si="918"/>
        <v>Ecart négatif</v>
      </c>
      <c r="L5879" s="16">
        <f>base!X5879</f>
        <v>0</v>
      </c>
      <c r="M5879" s="11">
        <f t="shared" si="914"/>
        <v>0</v>
      </c>
      <c r="N5879" s="11">
        <f t="shared" si="915"/>
        <v>1.5719999999999998</v>
      </c>
      <c r="O5879" s="11">
        <f t="shared" si="916"/>
        <v>0.08</v>
      </c>
      <c r="P5879" s="12">
        <f t="shared" si="917"/>
        <v>-1.5719999999999998</v>
      </c>
      <c r="Q5879" s="17" t="str">
        <f t="shared" si="919"/>
        <v>Ecart négatif</v>
      </c>
    </row>
    <row r="5880" spans="1:18" x14ac:dyDescent="0.3">
      <c r="A5880" s="34" t="str">
        <f>base!J5880</f>
        <v>LM</v>
      </c>
      <c r="B5880" s="34" t="str">
        <f>base!V5880</f>
        <v>07800</v>
      </c>
      <c r="C5880" s="37">
        <v>68</v>
      </c>
      <c r="D5880" s="36">
        <f>base!H5880</f>
        <v>19.649999999999999</v>
      </c>
      <c r="E5880" s="44"/>
      <c r="F5880" s="16">
        <f>base!W5880</f>
        <v>5.31</v>
      </c>
      <c r="G5880" s="11">
        <f t="shared" si="910"/>
        <v>0.27022900763358776</v>
      </c>
      <c r="H5880" s="11">
        <f t="shared" si="911"/>
        <v>5.6984999999999992</v>
      </c>
      <c r="I5880" s="11">
        <f t="shared" si="912"/>
        <v>0.28999999999999998</v>
      </c>
      <c r="J5880" s="12">
        <f t="shared" si="913"/>
        <v>-0.38849999999999962</v>
      </c>
      <c r="K5880" s="17" t="str">
        <f t="shared" si="918"/>
        <v>Ecart négatif</v>
      </c>
      <c r="L5880" s="16">
        <f>base!X5880</f>
        <v>0</v>
      </c>
      <c r="M5880" s="11">
        <f t="shared" si="914"/>
        <v>0</v>
      </c>
      <c r="N5880" s="11">
        <f t="shared" si="915"/>
        <v>1.5719999999999998</v>
      </c>
      <c r="O5880" s="11">
        <f t="shared" si="916"/>
        <v>0.08</v>
      </c>
      <c r="P5880" s="12">
        <f t="shared" si="917"/>
        <v>-1.5719999999999998</v>
      </c>
      <c r="Q5880" s="17" t="str">
        <f t="shared" si="919"/>
        <v>Ecart négatif</v>
      </c>
    </row>
    <row r="5881" spans="1:18" x14ac:dyDescent="0.3">
      <c r="A5881" s="34" t="str">
        <f>base!J5881</f>
        <v>LM</v>
      </c>
      <c r="B5881" s="34" t="str">
        <f>base!V5881</f>
        <v>38300</v>
      </c>
      <c r="C5881" s="37">
        <v>68</v>
      </c>
      <c r="D5881" s="36">
        <f>base!H5881</f>
        <v>19.649999999999999</v>
      </c>
      <c r="E5881" s="44"/>
      <c r="F5881" s="16">
        <f>base!W5881</f>
        <v>5.31</v>
      </c>
      <c r="G5881" s="11">
        <f t="shared" si="910"/>
        <v>0.27022900763358776</v>
      </c>
      <c r="H5881" s="11">
        <f t="shared" si="911"/>
        <v>5.6984999999999992</v>
      </c>
      <c r="I5881" s="11">
        <f t="shared" si="912"/>
        <v>0.28999999999999998</v>
      </c>
      <c r="J5881" s="12">
        <f t="shared" si="913"/>
        <v>-0.38849999999999962</v>
      </c>
      <c r="K5881" s="17" t="str">
        <f t="shared" si="918"/>
        <v>Ecart négatif</v>
      </c>
      <c r="L5881" s="16">
        <f>base!X5881</f>
        <v>0</v>
      </c>
      <c r="M5881" s="11">
        <f t="shared" si="914"/>
        <v>0</v>
      </c>
      <c r="N5881" s="11">
        <f t="shared" si="915"/>
        <v>1.5719999999999998</v>
      </c>
      <c r="O5881" s="11">
        <f t="shared" si="916"/>
        <v>0.08</v>
      </c>
      <c r="P5881" s="12">
        <f t="shared" si="917"/>
        <v>-1.5719999999999998</v>
      </c>
      <c r="Q5881" s="17" t="str">
        <f t="shared" si="919"/>
        <v>Ecart négatif</v>
      </c>
    </row>
    <row r="5882" spans="1:18" x14ac:dyDescent="0.3">
      <c r="A5882" s="34" t="str">
        <f>base!J5882</f>
        <v>RS</v>
      </c>
      <c r="B5882" s="34" t="str">
        <f>base!V5882</f>
        <v>05000</v>
      </c>
      <c r="C5882" s="37">
        <v>5</v>
      </c>
      <c r="D5882" s="36">
        <f>base!H5882</f>
        <v>137.80000000000001</v>
      </c>
      <c r="E5882" s="44"/>
      <c r="F5882" s="16">
        <f>base!W5882</f>
        <v>0</v>
      </c>
      <c r="G5882" s="11">
        <f t="shared" si="910"/>
        <v>0</v>
      </c>
      <c r="H5882" s="11">
        <f t="shared" si="911"/>
        <v>39.962000000000003</v>
      </c>
      <c r="I5882" s="11">
        <f t="shared" si="912"/>
        <v>0.28999999999999998</v>
      </c>
      <c r="J5882" s="12">
        <f t="shared" si="913"/>
        <v>-39.962000000000003</v>
      </c>
      <c r="K5882" s="17" t="str">
        <f t="shared" si="918"/>
        <v>Ecart négatif</v>
      </c>
      <c r="L5882" s="16">
        <f>base!X5882</f>
        <v>0</v>
      </c>
      <c r="M5882" s="11">
        <f t="shared" si="914"/>
        <v>0</v>
      </c>
      <c r="N5882" s="11">
        <f t="shared" si="915"/>
        <v>26.182000000000002</v>
      </c>
      <c r="O5882" s="11">
        <f t="shared" si="916"/>
        <v>0.19</v>
      </c>
      <c r="P5882" s="12">
        <f t="shared" si="917"/>
        <v>-26.182000000000002</v>
      </c>
      <c r="Q5882" s="17" t="str">
        <f t="shared" si="919"/>
        <v>Ecart négatif</v>
      </c>
    </row>
    <row r="5883" spans="1:18" x14ac:dyDescent="0.3">
      <c r="A5883" s="34" t="str">
        <f>base!J5883</f>
        <v>RS</v>
      </c>
      <c r="B5883" s="34" t="str">
        <f>base!V5883</f>
        <v>06340</v>
      </c>
      <c r="C5883" s="37">
        <v>6</v>
      </c>
      <c r="D5883" s="36">
        <f>base!H5883</f>
        <v>29.59</v>
      </c>
      <c r="E5883" s="44"/>
      <c r="F5883" s="16">
        <f>base!W5883</f>
        <v>0</v>
      </c>
      <c r="G5883" s="11">
        <f t="shared" si="910"/>
        <v>0</v>
      </c>
      <c r="H5883" s="11">
        <f t="shared" si="911"/>
        <v>8.8769999999999989</v>
      </c>
      <c r="I5883" s="11">
        <f t="shared" si="912"/>
        <v>0.3</v>
      </c>
      <c r="J5883" s="12">
        <f t="shared" si="913"/>
        <v>-8.8769999999999989</v>
      </c>
      <c r="K5883" s="17" t="str">
        <f t="shared" si="918"/>
        <v>Ecart négatif</v>
      </c>
      <c r="L5883" s="16">
        <f>base!X5883</f>
        <v>6.21</v>
      </c>
      <c r="M5883" s="11">
        <f t="shared" si="914"/>
        <v>0.20986819871578236</v>
      </c>
      <c r="N5883" s="11">
        <f t="shared" si="915"/>
        <v>6.2138999999999998</v>
      </c>
      <c r="O5883" s="11">
        <f t="shared" si="916"/>
        <v>0.21</v>
      </c>
      <c r="P5883" s="12">
        <f t="shared" si="917"/>
        <v>-3.8999999999997925E-3</v>
      </c>
      <c r="Q5883" s="17" t="str">
        <f t="shared" si="919"/>
        <v>Ecart négatif</v>
      </c>
      <c r="R5883" s="38"/>
    </row>
    <row r="5884" spans="1:18" x14ac:dyDescent="0.3">
      <c r="A5884" s="34" t="str">
        <f>base!J5884</f>
        <v>DLM</v>
      </c>
      <c r="B5884" s="34" t="str">
        <f>base!V5884</f>
        <v>21300</v>
      </c>
      <c r="C5884" s="37">
        <v>21</v>
      </c>
      <c r="D5884" s="36">
        <f>base!H5884</f>
        <v>151</v>
      </c>
      <c r="E5884" s="44"/>
      <c r="F5884" s="16">
        <f>base!W5884</f>
        <v>0</v>
      </c>
      <c r="G5884" s="11">
        <f t="shared" si="910"/>
        <v>0</v>
      </c>
      <c r="H5884" s="11">
        <f t="shared" si="911"/>
        <v>36.24</v>
      </c>
      <c r="I5884" s="11">
        <f t="shared" si="912"/>
        <v>0.24000000000000002</v>
      </c>
      <c r="J5884" s="12">
        <f t="shared" si="913"/>
        <v>-36.24</v>
      </c>
      <c r="K5884" s="17" t="str">
        <f t="shared" si="918"/>
        <v>Ecart négatif</v>
      </c>
      <c r="L5884" s="16">
        <f>base!X5884</f>
        <v>0</v>
      </c>
      <c r="M5884" s="11">
        <f t="shared" si="914"/>
        <v>0</v>
      </c>
      <c r="N5884" s="11">
        <f t="shared" si="915"/>
        <v>18.12</v>
      </c>
      <c r="O5884" s="11">
        <f t="shared" si="916"/>
        <v>0.12000000000000001</v>
      </c>
      <c r="P5884" s="12">
        <f t="shared" si="917"/>
        <v>-18.12</v>
      </c>
      <c r="Q5884" s="17" t="str">
        <f t="shared" si="919"/>
        <v>Ecart négatif</v>
      </c>
    </row>
    <row r="5885" spans="1:18" x14ac:dyDescent="0.3">
      <c r="A5885" s="34" t="str">
        <f>base!J5885</f>
        <v>RM</v>
      </c>
      <c r="B5885" s="34" t="str">
        <f>base!V5885</f>
        <v>26000</v>
      </c>
      <c r="C5885" s="37">
        <v>26</v>
      </c>
      <c r="D5885" s="36">
        <f>base!H5885</f>
        <v>242.46</v>
      </c>
      <c r="E5885" s="44"/>
      <c r="F5885" s="16">
        <f>base!W5885</f>
        <v>0</v>
      </c>
      <c r="G5885" s="11">
        <f t="shared" si="910"/>
        <v>0</v>
      </c>
      <c r="H5885" s="11">
        <f t="shared" si="911"/>
        <v>65.464200000000005</v>
      </c>
      <c r="I5885" s="11">
        <f t="shared" si="912"/>
        <v>0.27</v>
      </c>
      <c r="J5885" s="12">
        <f t="shared" si="913"/>
        <v>-65.464200000000005</v>
      </c>
      <c r="K5885" s="17" t="str">
        <f t="shared" si="918"/>
        <v>Ecart négatif</v>
      </c>
      <c r="L5885" s="16">
        <f>base!X5885</f>
        <v>0</v>
      </c>
      <c r="M5885" s="11">
        <f t="shared" si="914"/>
        <v>0</v>
      </c>
      <c r="N5885" s="11">
        <f t="shared" si="915"/>
        <v>0</v>
      </c>
      <c r="O5885" s="11">
        <f t="shared" si="916"/>
        <v>0</v>
      </c>
      <c r="P5885" s="12">
        <f t="shared" si="917"/>
        <v>0</v>
      </c>
      <c r="Q5885" s="17" t="str">
        <f t="shared" si="919"/>
        <v>Pas d'écart</v>
      </c>
    </row>
    <row r="5886" spans="1:18" x14ac:dyDescent="0.3">
      <c r="A5886" s="34" t="str">
        <f>base!J5886</f>
        <v>LM</v>
      </c>
      <c r="B5886" s="34" t="str">
        <f>base!V5886</f>
        <v>16340</v>
      </c>
      <c r="C5886" s="37">
        <v>87</v>
      </c>
      <c r="D5886" s="36">
        <f>base!H5886</f>
        <v>19.8</v>
      </c>
      <c r="E5886" s="44"/>
      <c r="F5886" s="16">
        <f>base!W5886</f>
        <v>4.16</v>
      </c>
      <c r="G5886" s="11">
        <f t="shared" si="910"/>
        <v>0.21010101010101009</v>
      </c>
      <c r="H5886" s="11">
        <f t="shared" si="911"/>
        <v>5.5440000000000005</v>
      </c>
      <c r="I5886" s="11">
        <f t="shared" si="912"/>
        <v>0.28000000000000003</v>
      </c>
      <c r="J5886" s="12">
        <f t="shared" si="913"/>
        <v>-1.3840000000000003</v>
      </c>
      <c r="K5886" s="17" t="str">
        <f t="shared" si="918"/>
        <v>Ecart négatif</v>
      </c>
      <c r="L5886" s="16">
        <f>base!X5886</f>
        <v>0</v>
      </c>
      <c r="M5886" s="11">
        <f t="shared" si="914"/>
        <v>0</v>
      </c>
      <c r="N5886" s="11">
        <f t="shared" si="915"/>
        <v>2.3759999999999999</v>
      </c>
      <c r="O5886" s="11">
        <f t="shared" si="916"/>
        <v>0.12</v>
      </c>
      <c r="P5886" s="12">
        <f t="shared" si="917"/>
        <v>-2.3759999999999999</v>
      </c>
      <c r="Q5886" s="17" t="str">
        <f t="shared" si="919"/>
        <v>Ecart négatif</v>
      </c>
    </row>
    <row r="5887" spans="1:18" x14ac:dyDescent="0.3">
      <c r="A5887" s="34" t="str">
        <f>base!J5887</f>
        <v>RS</v>
      </c>
      <c r="B5887" s="34" t="str">
        <f>base!V5887</f>
        <v>50260</v>
      </c>
      <c r="C5887" s="37">
        <v>50</v>
      </c>
      <c r="D5887" s="36">
        <f>base!H5887</f>
        <v>109.73</v>
      </c>
      <c r="E5887" s="44"/>
      <c r="F5887" s="16">
        <f>base!W5887</f>
        <v>0</v>
      </c>
      <c r="G5887" s="11">
        <f t="shared" si="910"/>
        <v>0</v>
      </c>
      <c r="H5887" s="11">
        <f t="shared" si="911"/>
        <v>18.654100000000003</v>
      </c>
      <c r="I5887" s="11">
        <f t="shared" si="912"/>
        <v>0.17</v>
      </c>
      <c r="J5887" s="12">
        <f t="shared" si="913"/>
        <v>-18.654100000000003</v>
      </c>
      <c r="K5887" s="17" t="str">
        <f t="shared" si="918"/>
        <v>Ecart négatif</v>
      </c>
      <c r="L5887" s="16">
        <f>base!X5887</f>
        <v>18.649999999999999</v>
      </c>
      <c r="M5887" s="11">
        <f t="shared" si="914"/>
        <v>0.16996263556001093</v>
      </c>
      <c r="N5887" s="11">
        <f t="shared" si="915"/>
        <v>18.654100000000003</v>
      </c>
      <c r="O5887" s="11">
        <f t="shared" si="916"/>
        <v>0.17</v>
      </c>
      <c r="P5887" s="12">
        <f t="shared" si="917"/>
        <v>-4.1000000000046555E-3</v>
      </c>
      <c r="Q5887" s="17" t="str">
        <f t="shared" si="919"/>
        <v>Ecart négatif</v>
      </c>
      <c r="R5887" s="38"/>
    </row>
    <row r="5888" spans="1:18" x14ac:dyDescent="0.3">
      <c r="A5888" s="34" t="str">
        <f>base!J5888</f>
        <v>RS</v>
      </c>
      <c r="B5888" s="34" t="str">
        <f>base!V5888</f>
        <v>92000</v>
      </c>
      <c r="C5888" s="37">
        <v>92</v>
      </c>
      <c r="D5888" s="36">
        <f>base!H5888</f>
        <v>40</v>
      </c>
      <c r="E5888" s="44"/>
      <c r="F5888" s="16">
        <f>base!W5888</f>
        <v>0</v>
      </c>
      <c r="G5888" s="11">
        <f t="shared" si="910"/>
        <v>0</v>
      </c>
      <c r="H5888" s="11">
        <f t="shared" si="911"/>
        <v>0</v>
      </c>
      <c r="I5888" s="11">
        <f t="shared" si="912"/>
        <v>0</v>
      </c>
      <c r="J5888" s="12">
        <f t="shared" si="913"/>
        <v>0</v>
      </c>
      <c r="K5888" s="17" t="str">
        <f t="shared" si="918"/>
        <v>Pas d'écart</v>
      </c>
      <c r="L5888" s="16">
        <f>base!X5888</f>
        <v>0</v>
      </c>
      <c r="M5888" s="11">
        <f t="shared" si="914"/>
        <v>0</v>
      </c>
      <c r="N5888" s="11">
        <f t="shared" si="915"/>
        <v>0</v>
      </c>
      <c r="O5888" s="11">
        <f t="shared" si="916"/>
        <v>0</v>
      </c>
      <c r="P5888" s="12">
        <f t="shared" si="917"/>
        <v>0</v>
      </c>
      <c r="Q5888" s="17" t="str">
        <f t="shared" si="919"/>
        <v>Pas d'écart</v>
      </c>
    </row>
    <row r="5889" spans="1:18" x14ac:dyDescent="0.3">
      <c r="A5889" s="34" t="str">
        <f>base!J5889</f>
        <v>DLM</v>
      </c>
      <c r="B5889" s="34" t="str">
        <f>base!V5889</f>
        <v>06320</v>
      </c>
      <c r="C5889" s="37">
        <v>6</v>
      </c>
      <c r="D5889" s="36">
        <f>base!H5889</f>
        <v>153.66</v>
      </c>
      <c r="E5889" s="44"/>
      <c r="F5889" s="16">
        <f>base!W5889</f>
        <v>0</v>
      </c>
      <c r="G5889" s="11">
        <f t="shared" si="910"/>
        <v>0</v>
      </c>
      <c r="H5889" s="11">
        <f t="shared" si="911"/>
        <v>46.097999999999999</v>
      </c>
      <c r="I5889" s="11">
        <f t="shared" si="912"/>
        <v>0.3</v>
      </c>
      <c r="J5889" s="12">
        <f t="shared" si="913"/>
        <v>-46.097999999999999</v>
      </c>
      <c r="K5889" s="17" t="str">
        <f t="shared" si="918"/>
        <v>Ecart négatif</v>
      </c>
      <c r="L5889" s="16">
        <f>base!X5889</f>
        <v>0</v>
      </c>
      <c r="M5889" s="11">
        <f t="shared" si="914"/>
        <v>0</v>
      </c>
      <c r="N5889" s="11">
        <f t="shared" si="915"/>
        <v>32.268599999999999</v>
      </c>
      <c r="O5889" s="11">
        <f t="shared" si="916"/>
        <v>0.21</v>
      </c>
      <c r="P5889" s="12">
        <f t="shared" si="917"/>
        <v>-32.268599999999999</v>
      </c>
      <c r="Q5889" s="17" t="str">
        <f t="shared" si="919"/>
        <v>Ecart négatif</v>
      </c>
    </row>
    <row r="5890" spans="1:18" x14ac:dyDescent="0.3">
      <c r="A5890" s="34" t="str">
        <f>base!J5890</f>
        <v>RM</v>
      </c>
      <c r="B5890" s="34" t="str">
        <f>base!V5890</f>
        <v>06560</v>
      </c>
      <c r="C5890" s="37">
        <v>6</v>
      </c>
      <c r="D5890" s="36">
        <f>base!H5890</f>
        <v>151</v>
      </c>
      <c r="E5890" s="44"/>
      <c r="F5890" s="16">
        <f>base!W5890</f>
        <v>0</v>
      </c>
      <c r="G5890" s="11">
        <f t="shared" ref="G5890:G5953" si="920">F5890/D5890</f>
        <v>0</v>
      </c>
      <c r="H5890" s="11">
        <f t="shared" ref="H5890:H5953" si="921">VLOOKUP(C5890,tout_cout_traction,2,FALSE)*D5890</f>
        <v>45.3</v>
      </c>
      <c r="I5890" s="11">
        <f t="shared" ref="I5890:I5953" si="922">H5890/D5890</f>
        <v>0.3</v>
      </c>
      <c r="J5890" s="12">
        <f t="shared" ref="J5890:J5953" si="923">F5890-H5890</f>
        <v>-45.3</v>
      </c>
      <c r="K5890" s="17" t="str">
        <f t="shared" si="918"/>
        <v>Ecart négatif</v>
      </c>
      <c r="L5890" s="16">
        <f>base!X5890</f>
        <v>0</v>
      </c>
      <c r="M5890" s="11">
        <f t="shared" ref="M5890:M5953" si="924">L5890/D5890</f>
        <v>0</v>
      </c>
      <c r="N5890" s="11">
        <f t="shared" ref="N5890:N5953" si="925">VLOOKUP(C5890,tout_cout_traction,3,FALSE)*D5890</f>
        <v>31.709999999999997</v>
      </c>
      <c r="O5890" s="11">
        <f t="shared" ref="O5890:O5953" si="926">N5890/D5890</f>
        <v>0.21</v>
      </c>
      <c r="P5890" s="12">
        <f t="shared" ref="P5890:P5953" si="927">L5890-N5890</f>
        <v>-31.709999999999997</v>
      </c>
      <c r="Q5890" s="17" t="str">
        <f t="shared" si="919"/>
        <v>Ecart négatif</v>
      </c>
    </row>
    <row r="5891" spans="1:18" x14ac:dyDescent="0.3">
      <c r="A5891" s="34">
        <f>base!J5891</f>
        <v>0</v>
      </c>
      <c r="B5891" s="34" t="str">
        <f>base!V5891</f>
        <v>77184</v>
      </c>
      <c r="C5891" s="37">
        <v>77</v>
      </c>
      <c r="D5891" s="36">
        <f>base!H5891</f>
        <v>25</v>
      </c>
      <c r="E5891" s="44"/>
      <c r="F5891" s="16">
        <f>base!W5891</f>
        <v>0</v>
      </c>
      <c r="G5891" s="11">
        <f t="shared" si="920"/>
        <v>0</v>
      </c>
      <c r="H5891" s="11">
        <f t="shared" si="921"/>
        <v>0</v>
      </c>
      <c r="I5891" s="11">
        <f t="shared" si="922"/>
        <v>0</v>
      </c>
      <c r="J5891" s="12">
        <f t="shared" si="923"/>
        <v>0</v>
      </c>
      <c r="K5891" s="17" t="str">
        <f t="shared" ref="K5891:K5954" si="928">IF(H5891=F5891,"Pas d'écart",IF(H5891&lt;F5891,"Ecart positif",IF(H5891&gt;F5891,"Ecart négatif")))</f>
        <v>Pas d'écart</v>
      </c>
      <c r="L5891" s="16">
        <f>base!X5891</f>
        <v>0</v>
      </c>
      <c r="M5891" s="11">
        <f t="shared" si="924"/>
        <v>0</v>
      </c>
      <c r="N5891" s="11">
        <f t="shared" si="925"/>
        <v>0</v>
      </c>
      <c r="O5891" s="11">
        <f t="shared" si="926"/>
        <v>0</v>
      </c>
      <c r="P5891" s="12">
        <f t="shared" si="927"/>
        <v>0</v>
      </c>
      <c r="Q5891" s="17" t="str">
        <f t="shared" ref="Q5891:Q5954" si="929">IF(N5891=L5891,"Pas d'écart",IF(N5891&lt;L5891,"Ecart positif",IF(N5891&gt;L5891,"Ecart négatif")))</f>
        <v>Pas d'écart</v>
      </c>
    </row>
    <row r="5892" spans="1:18" x14ac:dyDescent="0.3">
      <c r="A5892" s="34">
        <f>base!J5892</f>
        <v>0</v>
      </c>
      <c r="B5892" s="34" t="str">
        <f>base!V5892</f>
        <v>77184</v>
      </c>
      <c r="C5892" s="37">
        <v>77</v>
      </c>
      <c r="D5892" s="36">
        <f>base!H5892</f>
        <v>25</v>
      </c>
      <c r="E5892" s="44"/>
      <c r="F5892" s="16">
        <f>base!W5892</f>
        <v>0</v>
      </c>
      <c r="G5892" s="11">
        <f t="shared" si="920"/>
        <v>0</v>
      </c>
      <c r="H5892" s="11">
        <f t="shared" si="921"/>
        <v>0</v>
      </c>
      <c r="I5892" s="11">
        <f t="shared" si="922"/>
        <v>0</v>
      </c>
      <c r="J5892" s="12">
        <f t="shared" si="923"/>
        <v>0</v>
      </c>
      <c r="K5892" s="17" t="str">
        <f t="shared" si="928"/>
        <v>Pas d'écart</v>
      </c>
      <c r="L5892" s="16">
        <f>base!X5892</f>
        <v>0</v>
      </c>
      <c r="M5892" s="11">
        <f t="shared" si="924"/>
        <v>0</v>
      </c>
      <c r="N5892" s="11">
        <f t="shared" si="925"/>
        <v>0</v>
      </c>
      <c r="O5892" s="11">
        <f t="shared" si="926"/>
        <v>0</v>
      </c>
      <c r="P5892" s="12">
        <f t="shared" si="927"/>
        <v>0</v>
      </c>
      <c r="Q5892" s="17" t="str">
        <f t="shared" si="929"/>
        <v>Pas d'écart</v>
      </c>
    </row>
    <row r="5893" spans="1:18" x14ac:dyDescent="0.3">
      <c r="A5893" s="34">
        <f>base!J5893</f>
        <v>0</v>
      </c>
      <c r="B5893" s="34" t="str">
        <f>base!V5893</f>
        <v>77184</v>
      </c>
      <c r="C5893" s="37">
        <v>77</v>
      </c>
      <c r="D5893" s="36">
        <f>base!H5893</f>
        <v>10</v>
      </c>
      <c r="E5893" s="44"/>
      <c r="F5893" s="16">
        <f>base!W5893</f>
        <v>0</v>
      </c>
      <c r="G5893" s="11">
        <f t="shared" si="920"/>
        <v>0</v>
      </c>
      <c r="H5893" s="11">
        <f t="shared" si="921"/>
        <v>0</v>
      </c>
      <c r="I5893" s="11">
        <f t="shared" si="922"/>
        <v>0</v>
      </c>
      <c r="J5893" s="12">
        <f t="shared" si="923"/>
        <v>0</v>
      </c>
      <c r="K5893" s="17" t="str">
        <f t="shared" si="928"/>
        <v>Pas d'écart</v>
      </c>
      <c r="L5893" s="16">
        <f>base!X5893</f>
        <v>0</v>
      </c>
      <c r="M5893" s="11">
        <f t="shared" si="924"/>
        <v>0</v>
      </c>
      <c r="N5893" s="11">
        <f t="shared" si="925"/>
        <v>0</v>
      </c>
      <c r="O5893" s="11">
        <f t="shared" si="926"/>
        <v>0</v>
      </c>
      <c r="P5893" s="12">
        <f t="shared" si="927"/>
        <v>0</v>
      </c>
      <c r="Q5893" s="17" t="str">
        <f t="shared" si="929"/>
        <v>Pas d'écart</v>
      </c>
    </row>
    <row r="5894" spans="1:18" x14ac:dyDescent="0.3">
      <c r="A5894" s="34" t="str">
        <f>base!J5894</f>
        <v>RM</v>
      </c>
      <c r="B5894" s="34" t="str">
        <f>base!V5894</f>
        <v>75008</v>
      </c>
      <c r="C5894" s="37">
        <v>75</v>
      </c>
      <c r="D5894" s="36">
        <f>base!H5894</f>
        <v>151</v>
      </c>
      <c r="E5894" s="44"/>
      <c r="F5894" s="16">
        <f>base!W5894</f>
        <v>0</v>
      </c>
      <c r="G5894" s="11">
        <f t="shared" si="920"/>
        <v>0</v>
      </c>
      <c r="H5894" s="11">
        <f t="shared" si="921"/>
        <v>0</v>
      </c>
      <c r="I5894" s="11">
        <f t="shared" si="922"/>
        <v>0</v>
      </c>
      <c r="J5894" s="12">
        <f t="shared" si="923"/>
        <v>0</v>
      </c>
      <c r="K5894" s="17" t="str">
        <f t="shared" si="928"/>
        <v>Pas d'écart</v>
      </c>
      <c r="L5894" s="16">
        <f>base!X5894</f>
        <v>0</v>
      </c>
      <c r="M5894" s="11">
        <f t="shared" si="924"/>
        <v>0</v>
      </c>
      <c r="N5894" s="11">
        <f t="shared" si="925"/>
        <v>0</v>
      </c>
      <c r="O5894" s="11">
        <f t="shared" si="926"/>
        <v>0</v>
      </c>
      <c r="P5894" s="12">
        <f t="shared" si="927"/>
        <v>0</v>
      </c>
      <c r="Q5894" s="17" t="str">
        <f t="shared" si="929"/>
        <v>Pas d'écart</v>
      </c>
    </row>
    <row r="5895" spans="1:18" x14ac:dyDescent="0.3">
      <c r="A5895" s="34" t="str">
        <f>base!J5895</f>
        <v>RM</v>
      </c>
      <c r="B5895" s="34" t="str">
        <f>base!V5895</f>
        <v>75014</v>
      </c>
      <c r="C5895" s="37">
        <v>75</v>
      </c>
      <c r="D5895" s="36">
        <f>base!H5895</f>
        <v>58.2</v>
      </c>
      <c r="E5895" s="44"/>
      <c r="F5895" s="16">
        <f>base!W5895</f>
        <v>0</v>
      </c>
      <c r="G5895" s="11">
        <f t="shared" si="920"/>
        <v>0</v>
      </c>
      <c r="H5895" s="11">
        <f t="shared" si="921"/>
        <v>0</v>
      </c>
      <c r="I5895" s="11">
        <f t="shared" si="922"/>
        <v>0</v>
      </c>
      <c r="J5895" s="12">
        <f t="shared" si="923"/>
        <v>0</v>
      </c>
      <c r="K5895" s="17" t="str">
        <f t="shared" si="928"/>
        <v>Pas d'écart</v>
      </c>
      <c r="L5895" s="16">
        <f>base!X5895</f>
        <v>0</v>
      </c>
      <c r="M5895" s="11">
        <f t="shared" si="924"/>
        <v>0</v>
      </c>
      <c r="N5895" s="11">
        <f t="shared" si="925"/>
        <v>0</v>
      </c>
      <c r="O5895" s="11">
        <f t="shared" si="926"/>
        <v>0</v>
      </c>
      <c r="P5895" s="12">
        <f t="shared" si="927"/>
        <v>0</v>
      </c>
      <c r="Q5895" s="17" t="str">
        <f t="shared" si="929"/>
        <v>Pas d'écart</v>
      </c>
    </row>
    <row r="5896" spans="1:18" x14ac:dyDescent="0.3">
      <c r="A5896" s="34" t="str">
        <f>base!J5896</f>
        <v>RS</v>
      </c>
      <c r="B5896" s="34" t="str">
        <f>base!V5896</f>
        <v>75019</v>
      </c>
      <c r="C5896" s="37">
        <v>75</v>
      </c>
      <c r="D5896" s="36">
        <f>base!H5896</f>
        <v>151</v>
      </c>
      <c r="E5896" s="44"/>
      <c r="F5896" s="16">
        <f>base!W5896</f>
        <v>0</v>
      </c>
      <c r="G5896" s="11">
        <f t="shared" si="920"/>
        <v>0</v>
      </c>
      <c r="H5896" s="11">
        <f t="shared" si="921"/>
        <v>0</v>
      </c>
      <c r="I5896" s="11">
        <f t="shared" si="922"/>
        <v>0</v>
      </c>
      <c r="J5896" s="12">
        <f t="shared" si="923"/>
        <v>0</v>
      </c>
      <c r="K5896" s="17" t="str">
        <f t="shared" si="928"/>
        <v>Pas d'écart</v>
      </c>
      <c r="L5896" s="16">
        <f>base!X5896</f>
        <v>0</v>
      </c>
      <c r="M5896" s="11">
        <f t="shared" si="924"/>
        <v>0</v>
      </c>
      <c r="N5896" s="11">
        <f t="shared" si="925"/>
        <v>0</v>
      </c>
      <c r="O5896" s="11">
        <f t="shared" si="926"/>
        <v>0</v>
      </c>
      <c r="P5896" s="12">
        <f t="shared" si="927"/>
        <v>0</v>
      </c>
      <c r="Q5896" s="17" t="str">
        <f t="shared" si="929"/>
        <v>Pas d'écart</v>
      </c>
    </row>
    <row r="5897" spans="1:18" x14ac:dyDescent="0.3">
      <c r="A5897" s="34" t="str">
        <f>base!J5897</f>
        <v>RS</v>
      </c>
      <c r="B5897" s="34" t="str">
        <f>base!V5897</f>
        <v>57130</v>
      </c>
      <c r="C5897" s="37">
        <v>57</v>
      </c>
      <c r="D5897" s="36">
        <f>base!H5897</f>
        <v>180</v>
      </c>
      <c r="E5897" s="44"/>
      <c r="F5897" s="16">
        <f>base!W5897</f>
        <v>0</v>
      </c>
      <c r="G5897" s="11">
        <f t="shared" si="920"/>
        <v>0</v>
      </c>
      <c r="H5897" s="11">
        <f t="shared" si="921"/>
        <v>43.199999999999996</v>
      </c>
      <c r="I5897" s="11">
        <f t="shared" si="922"/>
        <v>0.23999999999999996</v>
      </c>
      <c r="J5897" s="12">
        <f t="shared" si="923"/>
        <v>-43.199999999999996</v>
      </c>
      <c r="K5897" s="17" t="str">
        <f t="shared" si="928"/>
        <v>Ecart négatif</v>
      </c>
      <c r="L5897" s="16">
        <f>base!X5897</f>
        <v>82.8</v>
      </c>
      <c r="M5897" s="11">
        <f t="shared" si="924"/>
        <v>0.45999999999999996</v>
      </c>
      <c r="N5897" s="11">
        <f t="shared" si="925"/>
        <v>45</v>
      </c>
      <c r="O5897" s="11">
        <f t="shared" si="926"/>
        <v>0.25</v>
      </c>
      <c r="P5897" s="12">
        <f t="shared" si="927"/>
        <v>37.799999999999997</v>
      </c>
      <c r="Q5897" s="17" t="str">
        <f t="shared" si="929"/>
        <v>Ecart positif</v>
      </c>
      <c r="R5897" s="38"/>
    </row>
    <row r="5898" spans="1:18" x14ac:dyDescent="0.3">
      <c r="A5898" s="34">
        <f>base!J5898</f>
        <v>0</v>
      </c>
      <c r="B5898" s="34" t="str">
        <f>base!V5898</f>
        <v>77184</v>
      </c>
      <c r="C5898" s="37">
        <v>77</v>
      </c>
      <c r="D5898" s="36">
        <f>base!H5898</f>
        <v>84.5</v>
      </c>
      <c r="E5898" s="44"/>
      <c r="F5898" s="16">
        <f>base!W5898</f>
        <v>0</v>
      </c>
      <c r="G5898" s="11">
        <f t="shared" si="920"/>
        <v>0</v>
      </c>
      <c r="H5898" s="11">
        <f t="shared" si="921"/>
        <v>0</v>
      </c>
      <c r="I5898" s="11">
        <f t="shared" si="922"/>
        <v>0</v>
      </c>
      <c r="J5898" s="12">
        <f t="shared" si="923"/>
        <v>0</v>
      </c>
      <c r="K5898" s="17" t="str">
        <f t="shared" si="928"/>
        <v>Pas d'écart</v>
      </c>
      <c r="L5898" s="16">
        <f>base!X5898</f>
        <v>0</v>
      </c>
      <c r="M5898" s="11">
        <f t="shared" si="924"/>
        <v>0</v>
      </c>
      <c r="N5898" s="11">
        <f t="shared" si="925"/>
        <v>0</v>
      </c>
      <c r="O5898" s="11">
        <f t="shared" si="926"/>
        <v>0</v>
      </c>
      <c r="P5898" s="12">
        <f t="shared" si="927"/>
        <v>0</v>
      </c>
      <c r="Q5898" s="17" t="str">
        <f t="shared" si="929"/>
        <v>Pas d'écart</v>
      </c>
    </row>
    <row r="5899" spans="1:18" x14ac:dyDescent="0.3">
      <c r="A5899" s="34" t="str">
        <f>base!J5899</f>
        <v>LM</v>
      </c>
      <c r="B5899" s="34" t="str">
        <f>base!V5899</f>
        <v>69002</v>
      </c>
      <c r="C5899" s="37">
        <v>19</v>
      </c>
      <c r="D5899" s="36">
        <f>base!H5899</f>
        <v>154.38999999999999</v>
      </c>
      <c r="E5899" s="44"/>
      <c r="F5899" s="16">
        <f>base!W5899</f>
        <v>41.69</v>
      </c>
      <c r="G5899" s="11">
        <f t="shared" si="920"/>
        <v>0.27003044238616492</v>
      </c>
      <c r="H5899" s="11">
        <f t="shared" si="921"/>
        <v>44.773099999999992</v>
      </c>
      <c r="I5899" s="11">
        <f t="shared" si="922"/>
        <v>0.28999999999999998</v>
      </c>
      <c r="J5899" s="12">
        <f t="shared" si="923"/>
        <v>-3.0830999999999946</v>
      </c>
      <c r="K5899" s="17" t="str">
        <f t="shared" si="928"/>
        <v>Ecart négatif</v>
      </c>
      <c r="L5899" s="16">
        <f>base!X5899</f>
        <v>0</v>
      </c>
      <c r="M5899" s="11">
        <f t="shared" si="924"/>
        <v>0</v>
      </c>
      <c r="N5899" s="11">
        <f t="shared" si="925"/>
        <v>18.526799999999998</v>
      </c>
      <c r="O5899" s="11">
        <f t="shared" si="926"/>
        <v>0.12</v>
      </c>
      <c r="P5899" s="12">
        <f t="shared" si="927"/>
        <v>-18.526799999999998</v>
      </c>
      <c r="Q5899" s="17" t="str">
        <f t="shared" si="929"/>
        <v>Ecart négatif</v>
      </c>
    </row>
    <row r="5900" spans="1:18" x14ac:dyDescent="0.3">
      <c r="A5900" s="34" t="str">
        <f>base!J5900</f>
        <v>LM</v>
      </c>
      <c r="B5900" s="34" t="str">
        <f>base!V5900</f>
        <v>26000</v>
      </c>
      <c r="C5900" s="37">
        <v>67</v>
      </c>
      <c r="D5900" s="36">
        <f>base!H5900</f>
        <v>20.23</v>
      </c>
      <c r="E5900" s="44"/>
      <c r="F5900" s="16">
        <f>base!W5900</f>
        <v>5.46</v>
      </c>
      <c r="G5900" s="11">
        <f t="shared" si="920"/>
        <v>0.26989619377162627</v>
      </c>
      <c r="H5900" s="11">
        <f t="shared" si="921"/>
        <v>5.8666999999999998</v>
      </c>
      <c r="I5900" s="11">
        <f t="shared" si="922"/>
        <v>0.28999999999999998</v>
      </c>
      <c r="J5900" s="12">
        <f t="shared" si="923"/>
        <v>-0.40669999999999984</v>
      </c>
      <c r="K5900" s="17" t="str">
        <f t="shared" si="928"/>
        <v>Ecart négatif</v>
      </c>
      <c r="L5900" s="16">
        <f>base!X5900</f>
        <v>0</v>
      </c>
      <c r="M5900" s="11">
        <f t="shared" si="924"/>
        <v>0</v>
      </c>
      <c r="N5900" s="11">
        <f t="shared" si="925"/>
        <v>1.6184000000000001</v>
      </c>
      <c r="O5900" s="11">
        <f t="shared" si="926"/>
        <v>0.08</v>
      </c>
      <c r="P5900" s="12">
        <f t="shared" si="927"/>
        <v>-1.6184000000000001</v>
      </c>
      <c r="Q5900" s="17" t="str">
        <f t="shared" si="929"/>
        <v>Ecart négatif</v>
      </c>
    </row>
    <row r="5901" spans="1:18" x14ac:dyDescent="0.3">
      <c r="A5901" s="34" t="str">
        <f>base!J5901</f>
        <v>LS</v>
      </c>
      <c r="B5901" s="34" t="str">
        <f>base!V5901</f>
        <v>35044</v>
      </c>
      <c r="C5901" s="37">
        <v>67</v>
      </c>
      <c r="D5901" s="36">
        <f>base!H5901</f>
        <v>20.23</v>
      </c>
      <c r="E5901" s="44"/>
      <c r="F5901" s="16">
        <f>base!W5901</f>
        <v>5.46</v>
      </c>
      <c r="G5901" s="11">
        <f t="shared" si="920"/>
        <v>0.26989619377162627</v>
      </c>
      <c r="H5901" s="11">
        <f t="shared" si="921"/>
        <v>5.8666999999999998</v>
      </c>
      <c r="I5901" s="11">
        <f t="shared" si="922"/>
        <v>0.28999999999999998</v>
      </c>
      <c r="J5901" s="12">
        <f t="shared" si="923"/>
        <v>-0.40669999999999984</v>
      </c>
      <c r="K5901" s="17" t="str">
        <f t="shared" si="928"/>
        <v>Ecart négatif</v>
      </c>
      <c r="L5901" s="16">
        <f>base!X5901</f>
        <v>0</v>
      </c>
      <c r="M5901" s="11">
        <f t="shared" si="924"/>
        <v>0</v>
      </c>
      <c r="N5901" s="11">
        <f t="shared" si="925"/>
        <v>1.6184000000000001</v>
      </c>
      <c r="O5901" s="11">
        <f t="shared" si="926"/>
        <v>0.08</v>
      </c>
      <c r="P5901" s="12">
        <f t="shared" si="927"/>
        <v>-1.6184000000000001</v>
      </c>
      <c r="Q5901" s="17" t="str">
        <f t="shared" si="929"/>
        <v>Ecart négatif</v>
      </c>
    </row>
    <row r="5902" spans="1:18" x14ac:dyDescent="0.3">
      <c r="A5902" s="34" t="str">
        <f>base!J5902</f>
        <v>LM</v>
      </c>
      <c r="B5902" s="34" t="str">
        <f>base!V5902</f>
        <v>68520</v>
      </c>
      <c r="C5902" s="37">
        <v>68</v>
      </c>
      <c r="D5902" s="36">
        <f>base!H5902</f>
        <v>40</v>
      </c>
      <c r="E5902" s="44"/>
      <c r="F5902" s="16">
        <f>base!W5902</f>
        <v>11.6</v>
      </c>
      <c r="G5902" s="11">
        <f t="shared" si="920"/>
        <v>0.28999999999999998</v>
      </c>
      <c r="H5902" s="11">
        <f t="shared" si="921"/>
        <v>11.6</v>
      </c>
      <c r="I5902" s="11">
        <f t="shared" si="922"/>
        <v>0.28999999999999998</v>
      </c>
      <c r="J5902" s="12">
        <f t="shared" si="923"/>
        <v>0</v>
      </c>
      <c r="K5902" s="17" t="str">
        <f t="shared" si="928"/>
        <v>Pas d'écart</v>
      </c>
      <c r="L5902" s="16">
        <f>base!X5902</f>
        <v>0</v>
      </c>
      <c r="M5902" s="11">
        <f t="shared" si="924"/>
        <v>0</v>
      </c>
      <c r="N5902" s="11">
        <f t="shared" si="925"/>
        <v>3.2</v>
      </c>
      <c r="O5902" s="11">
        <f t="shared" si="926"/>
        <v>0.08</v>
      </c>
      <c r="P5902" s="12">
        <f t="shared" si="927"/>
        <v>-3.2</v>
      </c>
      <c r="Q5902" s="17" t="str">
        <f t="shared" si="929"/>
        <v>Ecart négatif</v>
      </c>
    </row>
    <row r="5903" spans="1:18" x14ac:dyDescent="0.3">
      <c r="A5903" s="34" t="str">
        <f>base!J5903</f>
        <v>RS</v>
      </c>
      <c r="B5903" s="34" t="str">
        <f>base!V5903</f>
        <v>33600</v>
      </c>
      <c r="C5903" s="37">
        <v>33</v>
      </c>
      <c r="D5903" s="36">
        <f>base!H5903</f>
        <v>180</v>
      </c>
      <c r="E5903" s="44"/>
      <c r="F5903" s="16">
        <f>base!W5903</f>
        <v>0</v>
      </c>
      <c r="G5903" s="11">
        <f t="shared" si="920"/>
        <v>0</v>
      </c>
      <c r="H5903" s="11">
        <f t="shared" si="921"/>
        <v>37.799999999999997</v>
      </c>
      <c r="I5903" s="11">
        <f t="shared" si="922"/>
        <v>0.21</v>
      </c>
      <c r="J5903" s="12">
        <f t="shared" si="923"/>
        <v>-37.799999999999997</v>
      </c>
      <c r="K5903" s="17" t="str">
        <f t="shared" si="928"/>
        <v>Ecart négatif</v>
      </c>
      <c r="L5903" s="16">
        <f>base!X5903</f>
        <v>30.6</v>
      </c>
      <c r="M5903" s="11">
        <f t="shared" si="924"/>
        <v>0.17</v>
      </c>
      <c r="N5903" s="11">
        <f t="shared" si="925"/>
        <v>30.6</v>
      </c>
      <c r="O5903" s="11">
        <f t="shared" si="926"/>
        <v>0.17</v>
      </c>
      <c r="P5903" s="12">
        <f t="shared" si="927"/>
        <v>0</v>
      </c>
      <c r="Q5903" s="17" t="str">
        <f t="shared" si="929"/>
        <v>Pas d'écart</v>
      </c>
      <c r="R5903" s="38"/>
    </row>
    <row r="5904" spans="1:18" x14ac:dyDescent="0.3">
      <c r="A5904" s="34">
        <f>base!J5904</f>
        <v>0</v>
      </c>
      <c r="B5904" s="34" t="str">
        <f>base!V5904</f>
        <v>77184</v>
      </c>
      <c r="C5904" s="37">
        <v>77</v>
      </c>
      <c r="D5904" s="36">
        <f>base!H5904</f>
        <v>98.41</v>
      </c>
      <c r="E5904" s="44"/>
      <c r="F5904" s="16">
        <f>base!W5904</f>
        <v>0</v>
      </c>
      <c r="G5904" s="11">
        <f t="shared" si="920"/>
        <v>0</v>
      </c>
      <c r="H5904" s="11">
        <f t="shared" si="921"/>
        <v>0</v>
      </c>
      <c r="I5904" s="11">
        <f t="shared" si="922"/>
        <v>0</v>
      </c>
      <c r="J5904" s="12">
        <f t="shared" si="923"/>
        <v>0</v>
      </c>
      <c r="K5904" s="17" t="str">
        <f t="shared" si="928"/>
        <v>Pas d'écart</v>
      </c>
      <c r="L5904" s="16">
        <f>base!X5904</f>
        <v>0</v>
      </c>
      <c r="M5904" s="11">
        <f t="shared" si="924"/>
        <v>0</v>
      </c>
      <c r="N5904" s="11">
        <f t="shared" si="925"/>
        <v>0</v>
      </c>
      <c r="O5904" s="11">
        <f t="shared" si="926"/>
        <v>0</v>
      </c>
      <c r="P5904" s="12">
        <f t="shared" si="927"/>
        <v>0</v>
      </c>
      <c r="Q5904" s="17" t="str">
        <f t="shared" si="929"/>
        <v>Pas d'écart</v>
      </c>
    </row>
    <row r="5905" spans="1:18" x14ac:dyDescent="0.3">
      <c r="A5905" s="34" t="str">
        <f>base!J5905</f>
        <v>LM</v>
      </c>
      <c r="B5905" s="34" t="str">
        <f>base!V5905</f>
        <v>77230</v>
      </c>
      <c r="C5905" s="37">
        <v>77</v>
      </c>
      <c r="D5905" s="36">
        <f>base!H5905</f>
        <v>40</v>
      </c>
      <c r="E5905" s="44"/>
      <c r="F5905" s="16">
        <f>base!W5905</f>
        <v>0</v>
      </c>
      <c r="G5905" s="11">
        <f t="shared" si="920"/>
        <v>0</v>
      </c>
      <c r="H5905" s="11">
        <f t="shared" si="921"/>
        <v>0</v>
      </c>
      <c r="I5905" s="11">
        <f t="shared" si="922"/>
        <v>0</v>
      </c>
      <c r="J5905" s="12">
        <f t="shared" si="923"/>
        <v>0</v>
      </c>
      <c r="K5905" s="17" t="str">
        <f t="shared" si="928"/>
        <v>Pas d'écart</v>
      </c>
      <c r="L5905" s="16">
        <f>base!X5905</f>
        <v>0</v>
      </c>
      <c r="M5905" s="11">
        <f t="shared" si="924"/>
        <v>0</v>
      </c>
      <c r="N5905" s="11">
        <f t="shared" si="925"/>
        <v>0</v>
      </c>
      <c r="O5905" s="11">
        <f t="shared" si="926"/>
        <v>0</v>
      </c>
      <c r="P5905" s="12">
        <f t="shared" si="927"/>
        <v>0</v>
      </c>
      <c r="Q5905" s="17" t="str">
        <f t="shared" si="929"/>
        <v>Pas d'écart</v>
      </c>
    </row>
    <row r="5906" spans="1:18" x14ac:dyDescent="0.3">
      <c r="A5906" s="34" t="str">
        <f>base!J5906</f>
        <v>LS</v>
      </c>
      <c r="B5906" s="34" t="str">
        <f>base!V5906</f>
        <v>44430</v>
      </c>
      <c r="C5906" s="37">
        <v>13</v>
      </c>
      <c r="D5906" s="36">
        <f>base!H5906</f>
        <v>121.89</v>
      </c>
      <c r="E5906" s="44"/>
      <c r="F5906" s="16">
        <f>base!W5906</f>
        <v>32.909999999999997</v>
      </c>
      <c r="G5906" s="11">
        <f t="shared" si="920"/>
        <v>0.26999753876445975</v>
      </c>
      <c r="H5906" s="11">
        <f t="shared" si="921"/>
        <v>35.348099999999995</v>
      </c>
      <c r="I5906" s="11">
        <f t="shared" si="922"/>
        <v>0.28999999999999998</v>
      </c>
      <c r="J5906" s="12">
        <f t="shared" si="923"/>
        <v>-2.4380999999999986</v>
      </c>
      <c r="K5906" s="17" t="str">
        <f t="shared" si="928"/>
        <v>Ecart négatif</v>
      </c>
      <c r="L5906" s="16">
        <f>base!X5906</f>
        <v>0</v>
      </c>
      <c r="M5906" s="11">
        <f t="shared" si="924"/>
        <v>0</v>
      </c>
      <c r="N5906" s="11">
        <f t="shared" si="925"/>
        <v>23.159099999999999</v>
      </c>
      <c r="O5906" s="11">
        <f t="shared" si="926"/>
        <v>0.18999999999999997</v>
      </c>
      <c r="P5906" s="12">
        <f t="shared" si="927"/>
        <v>-23.159099999999999</v>
      </c>
      <c r="Q5906" s="17" t="str">
        <f t="shared" si="929"/>
        <v>Ecart négatif</v>
      </c>
    </row>
    <row r="5907" spans="1:18" x14ac:dyDescent="0.3">
      <c r="A5907" s="34" t="str">
        <f>base!J5907</f>
        <v>LM</v>
      </c>
      <c r="B5907" s="34" t="str">
        <f>base!V5907</f>
        <v>88100</v>
      </c>
      <c r="C5907" s="37">
        <v>13</v>
      </c>
      <c r="D5907" s="36">
        <f>base!H5907</f>
        <v>12</v>
      </c>
      <c r="E5907" s="44"/>
      <c r="F5907" s="16">
        <f>base!W5907</f>
        <v>0</v>
      </c>
      <c r="G5907" s="11">
        <f t="shared" si="920"/>
        <v>0</v>
      </c>
      <c r="H5907" s="11">
        <f t="shared" si="921"/>
        <v>3.4799999999999995</v>
      </c>
      <c r="I5907" s="11">
        <f t="shared" si="922"/>
        <v>0.28999999999999998</v>
      </c>
      <c r="J5907" s="12">
        <f t="shared" si="923"/>
        <v>-3.4799999999999995</v>
      </c>
      <c r="K5907" s="17" t="str">
        <f t="shared" si="928"/>
        <v>Ecart négatif</v>
      </c>
      <c r="L5907" s="16">
        <f>base!X5907</f>
        <v>0</v>
      </c>
      <c r="M5907" s="11">
        <f t="shared" si="924"/>
        <v>0</v>
      </c>
      <c r="N5907" s="11">
        <f t="shared" si="925"/>
        <v>2.2800000000000002</v>
      </c>
      <c r="O5907" s="11">
        <f t="shared" si="926"/>
        <v>0.19000000000000003</v>
      </c>
      <c r="P5907" s="12">
        <f t="shared" si="927"/>
        <v>-2.2800000000000002</v>
      </c>
      <c r="Q5907" s="17" t="str">
        <f t="shared" si="929"/>
        <v>Ecart négatif</v>
      </c>
    </row>
    <row r="5908" spans="1:18" x14ac:dyDescent="0.3">
      <c r="A5908" s="34" t="str">
        <f>base!J5908</f>
        <v>RM</v>
      </c>
      <c r="B5908" s="34" t="str">
        <f>base!V5908</f>
        <v>76700</v>
      </c>
      <c r="C5908" s="37">
        <v>76</v>
      </c>
      <c r="D5908" s="36">
        <f>base!H5908</f>
        <v>140</v>
      </c>
      <c r="E5908" s="44"/>
      <c r="F5908" s="16">
        <f>base!W5908</f>
        <v>0</v>
      </c>
      <c r="G5908" s="11">
        <f t="shared" si="920"/>
        <v>0</v>
      </c>
      <c r="H5908" s="11">
        <f t="shared" si="921"/>
        <v>23.8</v>
      </c>
      <c r="I5908" s="11">
        <f t="shared" si="922"/>
        <v>0.17</v>
      </c>
      <c r="J5908" s="12">
        <f t="shared" si="923"/>
        <v>-23.8</v>
      </c>
      <c r="K5908" s="17" t="str">
        <f t="shared" si="928"/>
        <v>Ecart négatif</v>
      </c>
      <c r="L5908" s="16">
        <f>base!X5908</f>
        <v>23.8</v>
      </c>
      <c r="M5908" s="11">
        <f t="shared" si="924"/>
        <v>0.17</v>
      </c>
      <c r="N5908" s="11">
        <f t="shared" si="925"/>
        <v>23.8</v>
      </c>
      <c r="O5908" s="11">
        <f t="shared" si="926"/>
        <v>0.17</v>
      </c>
      <c r="P5908" s="12">
        <f t="shared" si="927"/>
        <v>0</v>
      </c>
      <c r="Q5908" s="17" t="str">
        <f t="shared" si="929"/>
        <v>Pas d'écart</v>
      </c>
    </row>
    <row r="5909" spans="1:18" x14ac:dyDescent="0.3">
      <c r="A5909" s="34" t="str">
        <f>base!J5909</f>
        <v>LS</v>
      </c>
      <c r="B5909" s="34" t="str">
        <f>base!V5909</f>
        <v>79400</v>
      </c>
      <c r="C5909" s="37">
        <v>79</v>
      </c>
      <c r="D5909" s="36">
        <f>base!H5909</f>
        <v>140</v>
      </c>
      <c r="E5909" s="44"/>
      <c r="F5909" s="16">
        <f>base!W5909</f>
        <v>29.4</v>
      </c>
      <c r="G5909" s="11">
        <f t="shared" si="920"/>
        <v>0.21</v>
      </c>
      <c r="H5909" s="11">
        <f t="shared" si="921"/>
        <v>29.4</v>
      </c>
      <c r="I5909" s="11">
        <f t="shared" si="922"/>
        <v>0.21</v>
      </c>
      <c r="J5909" s="12">
        <f t="shared" si="923"/>
        <v>0</v>
      </c>
      <c r="K5909" s="17" t="str">
        <f t="shared" si="928"/>
        <v>Pas d'écart</v>
      </c>
      <c r="L5909" s="16">
        <f>base!X5909</f>
        <v>0</v>
      </c>
      <c r="M5909" s="11">
        <f t="shared" si="924"/>
        <v>0</v>
      </c>
      <c r="N5909" s="11">
        <f t="shared" si="925"/>
        <v>16.8</v>
      </c>
      <c r="O5909" s="11">
        <f t="shared" si="926"/>
        <v>0.12000000000000001</v>
      </c>
      <c r="P5909" s="12">
        <f t="shared" si="927"/>
        <v>-16.8</v>
      </c>
      <c r="Q5909" s="17" t="str">
        <f t="shared" si="929"/>
        <v>Ecart négatif</v>
      </c>
    </row>
    <row r="5910" spans="1:18" x14ac:dyDescent="0.3">
      <c r="A5910" s="34" t="str">
        <f>base!J5910</f>
        <v>LS</v>
      </c>
      <c r="B5910" s="34" t="str">
        <f>base!V5910</f>
        <v>76000</v>
      </c>
      <c r="C5910" s="37">
        <v>76</v>
      </c>
      <c r="D5910" s="36">
        <f>base!H5910</f>
        <v>40</v>
      </c>
      <c r="E5910" s="44"/>
      <c r="F5910" s="16">
        <f>base!W5910</f>
        <v>6.8</v>
      </c>
      <c r="G5910" s="11">
        <f t="shared" si="920"/>
        <v>0.16999999999999998</v>
      </c>
      <c r="H5910" s="11">
        <f t="shared" si="921"/>
        <v>6.8000000000000007</v>
      </c>
      <c r="I5910" s="11">
        <f t="shared" si="922"/>
        <v>0.17</v>
      </c>
      <c r="J5910" s="12">
        <f t="shared" si="923"/>
        <v>0</v>
      </c>
      <c r="K5910" s="17" t="str">
        <f t="shared" si="928"/>
        <v>Pas d'écart</v>
      </c>
      <c r="L5910" s="16">
        <f>base!X5910</f>
        <v>0</v>
      </c>
      <c r="M5910" s="11">
        <f t="shared" si="924"/>
        <v>0</v>
      </c>
      <c r="N5910" s="11">
        <f t="shared" si="925"/>
        <v>6.8000000000000007</v>
      </c>
      <c r="O5910" s="11">
        <f t="shared" si="926"/>
        <v>0.17</v>
      </c>
      <c r="P5910" s="12">
        <f t="shared" si="927"/>
        <v>-6.8000000000000007</v>
      </c>
      <c r="Q5910" s="17" t="str">
        <f t="shared" si="929"/>
        <v>Ecart négatif</v>
      </c>
    </row>
    <row r="5911" spans="1:18" x14ac:dyDescent="0.3">
      <c r="A5911" s="34" t="str">
        <f>base!J5911</f>
        <v>LM</v>
      </c>
      <c r="B5911" s="34" t="str">
        <f>base!V5911</f>
        <v>69110</v>
      </c>
      <c r="C5911" s="37">
        <v>83</v>
      </c>
      <c r="D5911" s="36">
        <f>base!H5911</f>
        <v>28.62</v>
      </c>
      <c r="E5911" s="44"/>
      <c r="F5911" s="16">
        <f>base!W5911</f>
        <v>7.73</v>
      </c>
      <c r="G5911" s="11">
        <f t="shared" si="920"/>
        <v>0.2700908455625437</v>
      </c>
      <c r="H5911" s="11">
        <f t="shared" si="921"/>
        <v>8.5860000000000003</v>
      </c>
      <c r="I5911" s="11">
        <f t="shared" si="922"/>
        <v>0.3</v>
      </c>
      <c r="J5911" s="12">
        <f t="shared" si="923"/>
        <v>-0.85599999999999987</v>
      </c>
      <c r="K5911" s="17" t="str">
        <f t="shared" si="928"/>
        <v>Ecart négatif</v>
      </c>
      <c r="L5911" s="16">
        <f>base!X5911</f>
        <v>0</v>
      </c>
      <c r="M5911" s="11">
        <f t="shared" si="924"/>
        <v>0</v>
      </c>
      <c r="N5911" s="11">
        <f t="shared" si="925"/>
        <v>6.0102000000000002</v>
      </c>
      <c r="O5911" s="11">
        <f t="shared" si="926"/>
        <v>0.21</v>
      </c>
      <c r="P5911" s="12">
        <f t="shared" si="927"/>
        <v>-6.0102000000000002</v>
      </c>
      <c r="Q5911" s="17" t="str">
        <f t="shared" si="929"/>
        <v>Ecart négatif</v>
      </c>
    </row>
    <row r="5912" spans="1:18" x14ac:dyDescent="0.3">
      <c r="A5912" s="34">
        <f>base!J5912</f>
        <v>0</v>
      </c>
      <c r="B5912" s="34" t="str">
        <f>base!V5912</f>
        <v>44240</v>
      </c>
      <c r="C5912" s="37">
        <v>44</v>
      </c>
      <c r="D5912" s="36">
        <f>base!H5912</f>
        <v>50</v>
      </c>
      <c r="E5912" s="44"/>
      <c r="F5912" s="16">
        <f>base!W5912</f>
        <v>0</v>
      </c>
      <c r="G5912" s="11">
        <f t="shared" si="920"/>
        <v>0</v>
      </c>
      <c r="H5912" s="11">
        <f t="shared" si="921"/>
        <v>13.5</v>
      </c>
      <c r="I5912" s="11">
        <f t="shared" si="922"/>
        <v>0.27</v>
      </c>
      <c r="J5912" s="12">
        <f t="shared" si="923"/>
        <v>-13.5</v>
      </c>
      <c r="K5912" s="17" t="str">
        <f t="shared" si="928"/>
        <v>Ecart négatif</v>
      </c>
      <c r="L5912" s="16">
        <f>base!X5912</f>
        <v>0</v>
      </c>
      <c r="M5912" s="11">
        <f t="shared" si="924"/>
        <v>0</v>
      </c>
      <c r="N5912" s="11">
        <f t="shared" si="925"/>
        <v>0</v>
      </c>
      <c r="O5912" s="11">
        <f t="shared" si="926"/>
        <v>0</v>
      </c>
      <c r="P5912" s="12">
        <f t="shared" si="927"/>
        <v>0</v>
      </c>
      <c r="Q5912" s="17" t="str">
        <f t="shared" si="929"/>
        <v>Pas d'écart</v>
      </c>
    </row>
    <row r="5913" spans="1:18" x14ac:dyDescent="0.3">
      <c r="A5913" s="34">
        <f>base!J5913</f>
        <v>0</v>
      </c>
      <c r="B5913" s="34" t="str">
        <f>base!V5913</f>
        <v>44240</v>
      </c>
      <c r="C5913" s="37">
        <v>44</v>
      </c>
      <c r="D5913" s="36">
        <f>base!H5913</f>
        <v>31.6</v>
      </c>
      <c r="E5913" s="44"/>
      <c r="F5913" s="16">
        <f>base!W5913</f>
        <v>0</v>
      </c>
      <c r="G5913" s="11">
        <f t="shared" si="920"/>
        <v>0</v>
      </c>
      <c r="H5913" s="11">
        <f t="shared" si="921"/>
        <v>8.5320000000000018</v>
      </c>
      <c r="I5913" s="11">
        <f t="shared" si="922"/>
        <v>0.27</v>
      </c>
      <c r="J5913" s="12">
        <f t="shared" si="923"/>
        <v>-8.5320000000000018</v>
      </c>
      <c r="K5913" s="17" t="str">
        <f t="shared" si="928"/>
        <v>Ecart négatif</v>
      </c>
      <c r="L5913" s="16">
        <f>base!X5913</f>
        <v>0</v>
      </c>
      <c r="M5913" s="11">
        <f t="shared" si="924"/>
        <v>0</v>
      </c>
      <c r="N5913" s="11">
        <f t="shared" si="925"/>
        <v>0</v>
      </c>
      <c r="O5913" s="11">
        <f t="shared" si="926"/>
        <v>0</v>
      </c>
      <c r="P5913" s="12">
        <f t="shared" si="927"/>
        <v>0</v>
      </c>
      <c r="Q5913" s="17" t="str">
        <f t="shared" si="929"/>
        <v>Pas d'écart</v>
      </c>
    </row>
    <row r="5914" spans="1:18" x14ac:dyDescent="0.3">
      <c r="A5914" s="34">
        <f>base!J5914</f>
        <v>0</v>
      </c>
      <c r="B5914" s="34" t="str">
        <f>base!V5914</f>
        <v>44240</v>
      </c>
      <c r="C5914" s="37">
        <v>44</v>
      </c>
      <c r="D5914" s="36">
        <f>base!H5914</f>
        <v>28</v>
      </c>
      <c r="E5914" s="44"/>
      <c r="F5914" s="16">
        <f>base!W5914</f>
        <v>0</v>
      </c>
      <c r="G5914" s="11">
        <f t="shared" si="920"/>
        <v>0</v>
      </c>
      <c r="H5914" s="11">
        <f t="shared" si="921"/>
        <v>7.5600000000000005</v>
      </c>
      <c r="I5914" s="11">
        <f t="shared" si="922"/>
        <v>0.27</v>
      </c>
      <c r="J5914" s="12">
        <f t="shared" si="923"/>
        <v>-7.5600000000000005</v>
      </c>
      <c r="K5914" s="17" t="str">
        <f t="shared" si="928"/>
        <v>Ecart négatif</v>
      </c>
      <c r="L5914" s="16">
        <f>base!X5914</f>
        <v>0</v>
      </c>
      <c r="M5914" s="11">
        <f t="shared" si="924"/>
        <v>0</v>
      </c>
      <c r="N5914" s="11">
        <f t="shared" si="925"/>
        <v>0</v>
      </c>
      <c r="O5914" s="11">
        <f t="shared" si="926"/>
        <v>0</v>
      </c>
      <c r="P5914" s="12">
        <f t="shared" si="927"/>
        <v>0</v>
      </c>
      <c r="Q5914" s="17" t="str">
        <f t="shared" si="929"/>
        <v>Pas d'écart</v>
      </c>
    </row>
    <row r="5915" spans="1:18" x14ac:dyDescent="0.3">
      <c r="A5915" s="34">
        <f>base!J5915</f>
        <v>0</v>
      </c>
      <c r="B5915" s="34" t="str">
        <f>base!V5915</f>
        <v>77184</v>
      </c>
      <c r="C5915" s="37">
        <v>77</v>
      </c>
      <c r="D5915" s="36">
        <f>base!H5915</f>
        <v>57</v>
      </c>
      <c r="E5915" s="44"/>
      <c r="F5915" s="16">
        <f>base!W5915</f>
        <v>0</v>
      </c>
      <c r="G5915" s="11">
        <f t="shared" si="920"/>
        <v>0</v>
      </c>
      <c r="H5915" s="11">
        <f t="shared" si="921"/>
        <v>0</v>
      </c>
      <c r="I5915" s="11">
        <f t="shared" si="922"/>
        <v>0</v>
      </c>
      <c r="J5915" s="12">
        <f t="shared" si="923"/>
        <v>0</v>
      </c>
      <c r="K5915" s="17" t="str">
        <f t="shared" si="928"/>
        <v>Pas d'écart</v>
      </c>
      <c r="L5915" s="16">
        <f>base!X5915</f>
        <v>0</v>
      </c>
      <c r="M5915" s="11">
        <f t="shared" si="924"/>
        <v>0</v>
      </c>
      <c r="N5915" s="11">
        <f t="shared" si="925"/>
        <v>0</v>
      </c>
      <c r="O5915" s="11">
        <f t="shared" si="926"/>
        <v>0</v>
      </c>
      <c r="P5915" s="12">
        <f t="shared" si="927"/>
        <v>0</v>
      </c>
      <c r="Q5915" s="17" t="str">
        <f t="shared" si="929"/>
        <v>Pas d'écart</v>
      </c>
    </row>
    <row r="5916" spans="1:18" x14ac:dyDescent="0.3">
      <c r="A5916" s="34" t="str">
        <f>base!J5916</f>
        <v>RM</v>
      </c>
      <c r="B5916" s="34" t="str">
        <f>base!V5916</f>
        <v>37540</v>
      </c>
      <c r="C5916" s="37">
        <v>37</v>
      </c>
      <c r="D5916" s="36">
        <f>base!H5916</f>
        <v>151</v>
      </c>
      <c r="E5916" s="44"/>
      <c r="F5916" s="16">
        <f>base!W5916</f>
        <v>0</v>
      </c>
      <c r="G5916" s="11">
        <f t="shared" si="920"/>
        <v>0</v>
      </c>
      <c r="H5916" s="11">
        <f t="shared" si="921"/>
        <v>28.69</v>
      </c>
      <c r="I5916" s="11">
        <f t="shared" si="922"/>
        <v>0.19</v>
      </c>
      <c r="J5916" s="12">
        <f t="shared" si="923"/>
        <v>-28.69</v>
      </c>
      <c r="K5916" s="17" t="str">
        <f t="shared" si="928"/>
        <v>Ecart négatif</v>
      </c>
      <c r="L5916" s="16">
        <f>base!X5916</f>
        <v>18.12</v>
      </c>
      <c r="M5916" s="11">
        <f t="shared" si="924"/>
        <v>0.12000000000000001</v>
      </c>
      <c r="N5916" s="11">
        <f t="shared" si="925"/>
        <v>18.12</v>
      </c>
      <c r="O5916" s="11">
        <f t="shared" si="926"/>
        <v>0.12000000000000001</v>
      </c>
      <c r="P5916" s="12">
        <f t="shared" si="927"/>
        <v>0</v>
      </c>
      <c r="Q5916" s="17" t="str">
        <f t="shared" si="929"/>
        <v>Pas d'écart</v>
      </c>
      <c r="R5916" s="38"/>
    </row>
    <row r="5917" spans="1:18" x14ac:dyDescent="0.3">
      <c r="A5917" s="34">
        <f>base!J5917</f>
        <v>0</v>
      </c>
      <c r="B5917" s="34" t="str">
        <f>base!V5917</f>
        <v>77184</v>
      </c>
      <c r="C5917" s="37">
        <v>77</v>
      </c>
      <c r="D5917" s="36">
        <f>base!H5917</f>
        <v>1000</v>
      </c>
      <c r="E5917" s="44"/>
      <c r="F5917" s="16">
        <f>base!W5917</f>
        <v>0</v>
      </c>
      <c r="G5917" s="11">
        <f t="shared" si="920"/>
        <v>0</v>
      </c>
      <c r="H5917" s="11">
        <f t="shared" si="921"/>
        <v>0</v>
      </c>
      <c r="I5917" s="11">
        <f t="shared" si="922"/>
        <v>0</v>
      </c>
      <c r="J5917" s="12">
        <f t="shared" si="923"/>
        <v>0</v>
      </c>
      <c r="K5917" s="17" t="str">
        <f t="shared" si="928"/>
        <v>Pas d'écart</v>
      </c>
      <c r="L5917" s="16">
        <f>base!X5917</f>
        <v>0</v>
      </c>
      <c r="M5917" s="11">
        <f t="shared" si="924"/>
        <v>0</v>
      </c>
      <c r="N5917" s="11">
        <f t="shared" si="925"/>
        <v>0</v>
      </c>
      <c r="O5917" s="11">
        <f t="shared" si="926"/>
        <v>0</v>
      </c>
      <c r="P5917" s="12">
        <f t="shared" si="927"/>
        <v>0</v>
      </c>
      <c r="Q5917" s="17" t="str">
        <f t="shared" si="929"/>
        <v>Pas d'écart</v>
      </c>
    </row>
    <row r="5918" spans="1:18" x14ac:dyDescent="0.3">
      <c r="A5918" s="34">
        <f>base!J5918</f>
        <v>0</v>
      </c>
      <c r="B5918" s="34" t="str">
        <f>base!V5918</f>
        <v>77184</v>
      </c>
      <c r="C5918" s="37">
        <v>77</v>
      </c>
      <c r="D5918" s="36">
        <f>base!H5918</f>
        <v>156</v>
      </c>
      <c r="E5918" s="44"/>
      <c r="F5918" s="16">
        <f>base!W5918</f>
        <v>0</v>
      </c>
      <c r="G5918" s="11">
        <f t="shared" si="920"/>
        <v>0</v>
      </c>
      <c r="H5918" s="11">
        <f t="shared" si="921"/>
        <v>0</v>
      </c>
      <c r="I5918" s="11">
        <f t="shared" si="922"/>
        <v>0</v>
      </c>
      <c r="J5918" s="12">
        <f t="shared" si="923"/>
        <v>0</v>
      </c>
      <c r="K5918" s="17" t="str">
        <f t="shared" si="928"/>
        <v>Pas d'écart</v>
      </c>
      <c r="L5918" s="16">
        <f>base!X5918</f>
        <v>0</v>
      </c>
      <c r="M5918" s="11">
        <f t="shared" si="924"/>
        <v>0</v>
      </c>
      <c r="N5918" s="11">
        <f t="shared" si="925"/>
        <v>0</v>
      </c>
      <c r="O5918" s="11">
        <f t="shared" si="926"/>
        <v>0</v>
      </c>
      <c r="P5918" s="12">
        <f t="shared" si="927"/>
        <v>0</v>
      </c>
      <c r="Q5918" s="17" t="str">
        <f t="shared" si="929"/>
        <v>Pas d'écart</v>
      </c>
    </row>
    <row r="5919" spans="1:18" x14ac:dyDescent="0.3">
      <c r="A5919" s="34">
        <f>base!J5919</f>
        <v>0</v>
      </c>
      <c r="B5919" s="34" t="str">
        <f>base!V5919</f>
        <v>77184</v>
      </c>
      <c r="C5919" s="37">
        <v>77</v>
      </c>
      <c r="D5919" s="36">
        <f>base!H5919</f>
        <v>84.5</v>
      </c>
      <c r="E5919" s="44"/>
      <c r="F5919" s="16">
        <f>base!W5919</f>
        <v>0</v>
      </c>
      <c r="G5919" s="11">
        <f t="shared" si="920"/>
        <v>0</v>
      </c>
      <c r="H5919" s="11">
        <f t="shared" si="921"/>
        <v>0</v>
      </c>
      <c r="I5919" s="11">
        <f t="shared" si="922"/>
        <v>0</v>
      </c>
      <c r="J5919" s="12">
        <f t="shared" si="923"/>
        <v>0</v>
      </c>
      <c r="K5919" s="17" t="str">
        <f t="shared" si="928"/>
        <v>Pas d'écart</v>
      </c>
      <c r="L5919" s="16">
        <f>base!X5919</f>
        <v>0</v>
      </c>
      <c r="M5919" s="11">
        <f t="shared" si="924"/>
        <v>0</v>
      </c>
      <c r="N5919" s="11">
        <f t="shared" si="925"/>
        <v>0</v>
      </c>
      <c r="O5919" s="11">
        <f t="shared" si="926"/>
        <v>0</v>
      </c>
      <c r="P5919" s="12">
        <f t="shared" si="927"/>
        <v>0</v>
      </c>
      <c r="Q5919" s="17" t="str">
        <f t="shared" si="929"/>
        <v>Pas d'écart</v>
      </c>
    </row>
    <row r="5920" spans="1:18" x14ac:dyDescent="0.3">
      <c r="A5920" s="34">
        <f>base!J5920</f>
        <v>0</v>
      </c>
      <c r="B5920" s="34" t="str">
        <f>base!V5920</f>
        <v>77184</v>
      </c>
      <c r="C5920" s="37">
        <v>77</v>
      </c>
      <c r="D5920" s="36">
        <f>base!H5920</f>
        <v>150</v>
      </c>
      <c r="E5920" s="44"/>
      <c r="F5920" s="16">
        <f>base!W5920</f>
        <v>0</v>
      </c>
      <c r="G5920" s="11">
        <f t="shared" si="920"/>
        <v>0</v>
      </c>
      <c r="H5920" s="11">
        <f t="shared" si="921"/>
        <v>0</v>
      </c>
      <c r="I5920" s="11">
        <f t="shared" si="922"/>
        <v>0</v>
      </c>
      <c r="J5920" s="12">
        <f t="shared" si="923"/>
        <v>0</v>
      </c>
      <c r="K5920" s="17" t="str">
        <f t="shared" si="928"/>
        <v>Pas d'écart</v>
      </c>
      <c r="L5920" s="16">
        <f>base!X5920</f>
        <v>0</v>
      </c>
      <c r="M5920" s="11">
        <f t="shared" si="924"/>
        <v>0</v>
      </c>
      <c r="N5920" s="11">
        <f t="shared" si="925"/>
        <v>0</v>
      </c>
      <c r="O5920" s="11">
        <f t="shared" si="926"/>
        <v>0</v>
      </c>
      <c r="P5920" s="12">
        <f t="shared" si="927"/>
        <v>0</v>
      </c>
      <c r="Q5920" s="17" t="str">
        <f t="shared" si="929"/>
        <v>Pas d'écart</v>
      </c>
    </row>
    <row r="5921" spans="1:18" x14ac:dyDescent="0.3">
      <c r="A5921" s="34">
        <f>base!J5921</f>
        <v>0</v>
      </c>
      <c r="B5921" s="34" t="str">
        <f>base!V5921</f>
        <v>77184</v>
      </c>
      <c r="C5921" s="37">
        <v>77</v>
      </c>
      <c r="D5921" s="36">
        <f>base!H5921</f>
        <v>140</v>
      </c>
      <c r="E5921" s="44"/>
      <c r="F5921" s="16">
        <f>base!W5921</f>
        <v>0</v>
      </c>
      <c r="G5921" s="11">
        <f t="shared" si="920"/>
        <v>0</v>
      </c>
      <c r="H5921" s="11">
        <f t="shared" si="921"/>
        <v>0</v>
      </c>
      <c r="I5921" s="11">
        <f t="shared" si="922"/>
        <v>0</v>
      </c>
      <c r="J5921" s="12">
        <f t="shared" si="923"/>
        <v>0</v>
      </c>
      <c r="K5921" s="17" t="str">
        <f t="shared" si="928"/>
        <v>Pas d'écart</v>
      </c>
      <c r="L5921" s="16">
        <f>base!X5921</f>
        <v>0</v>
      </c>
      <c r="M5921" s="11">
        <f t="shared" si="924"/>
        <v>0</v>
      </c>
      <c r="N5921" s="11">
        <f t="shared" si="925"/>
        <v>0</v>
      </c>
      <c r="O5921" s="11">
        <f t="shared" si="926"/>
        <v>0</v>
      </c>
      <c r="P5921" s="12">
        <f t="shared" si="927"/>
        <v>0</v>
      </c>
      <c r="Q5921" s="17" t="str">
        <f t="shared" si="929"/>
        <v>Pas d'écart</v>
      </c>
    </row>
    <row r="5922" spans="1:18" x14ac:dyDescent="0.3">
      <c r="A5922" s="34">
        <f>base!J5922</f>
        <v>0</v>
      </c>
      <c r="B5922" s="34" t="str">
        <f>base!V5922</f>
        <v>77184</v>
      </c>
      <c r="C5922" s="37">
        <v>77</v>
      </c>
      <c r="D5922" s="36">
        <f>base!H5922</f>
        <v>84.96</v>
      </c>
      <c r="E5922" s="44"/>
      <c r="F5922" s="16">
        <f>base!W5922</f>
        <v>0</v>
      </c>
      <c r="G5922" s="11">
        <f t="shared" si="920"/>
        <v>0</v>
      </c>
      <c r="H5922" s="11">
        <f t="shared" si="921"/>
        <v>0</v>
      </c>
      <c r="I5922" s="11">
        <f t="shared" si="922"/>
        <v>0</v>
      </c>
      <c r="J5922" s="12">
        <f t="shared" si="923"/>
        <v>0</v>
      </c>
      <c r="K5922" s="17" t="str">
        <f t="shared" si="928"/>
        <v>Pas d'écart</v>
      </c>
      <c r="L5922" s="16">
        <f>base!X5922</f>
        <v>0</v>
      </c>
      <c r="M5922" s="11">
        <f t="shared" si="924"/>
        <v>0</v>
      </c>
      <c r="N5922" s="11">
        <f t="shared" si="925"/>
        <v>0</v>
      </c>
      <c r="O5922" s="11">
        <f t="shared" si="926"/>
        <v>0</v>
      </c>
      <c r="P5922" s="12">
        <f t="shared" si="927"/>
        <v>0</v>
      </c>
      <c r="Q5922" s="17" t="str">
        <f t="shared" si="929"/>
        <v>Pas d'écart</v>
      </c>
    </row>
    <row r="5923" spans="1:18" x14ac:dyDescent="0.3">
      <c r="A5923" s="34" t="str">
        <f>base!J5923</f>
        <v>DRM</v>
      </c>
      <c r="B5923" s="34" t="str">
        <f>base!V5923</f>
        <v>68920</v>
      </c>
      <c r="C5923" s="37">
        <v>68</v>
      </c>
      <c r="D5923" s="36">
        <f>base!H5923</f>
        <v>120</v>
      </c>
      <c r="E5923" s="44"/>
      <c r="F5923" s="16">
        <f>base!W5923</f>
        <v>0</v>
      </c>
      <c r="G5923" s="11">
        <f t="shared" si="920"/>
        <v>0</v>
      </c>
      <c r="H5923" s="11">
        <f t="shared" si="921"/>
        <v>34.799999999999997</v>
      </c>
      <c r="I5923" s="11">
        <f t="shared" si="922"/>
        <v>0.28999999999999998</v>
      </c>
      <c r="J5923" s="12">
        <f t="shared" si="923"/>
        <v>-34.799999999999997</v>
      </c>
      <c r="K5923" s="17" t="str">
        <f t="shared" si="928"/>
        <v>Ecart négatif</v>
      </c>
      <c r="L5923" s="16">
        <f>base!X5923</f>
        <v>0</v>
      </c>
      <c r="M5923" s="11">
        <f t="shared" si="924"/>
        <v>0</v>
      </c>
      <c r="N5923" s="11">
        <f t="shared" si="925"/>
        <v>9.6</v>
      </c>
      <c r="O5923" s="11">
        <f t="shared" si="926"/>
        <v>0.08</v>
      </c>
      <c r="P5923" s="12">
        <f t="shared" si="927"/>
        <v>-9.6</v>
      </c>
      <c r="Q5923" s="17" t="str">
        <f t="shared" si="929"/>
        <v>Ecart négatif</v>
      </c>
    </row>
    <row r="5924" spans="1:18" x14ac:dyDescent="0.3">
      <c r="A5924" s="34" t="str">
        <f>base!J5924</f>
        <v>LM</v>
      </c>
      <c r="B5924" s="34" t="str">
        <f>base!V5924</f>
        <v>06190</v>
      </c>
      <c r="C5924" s="37">
        <v>84</v>
      </c>
      <c r="D5924" s="36">
        <f>base!H5924</f>
        <v>181</v>
      </c>
      <c r="E5924" s="44"/>
      <c r="F5924" s="16">
        <f>base!W5924</f>
        <v>54.3</v>
      </c>
      <c r="G5924" s="11">
        <f t="shared" si="920"/>
        <v>0.3</v>
      </c>
      <c r="H5924" s="11">
        <f t="shared" si="921"/>
        <v>52.489999999999995</v>
      </c>
      <c r="I5924" s="11">
        <f t="shared" si="922"/>
        <v>0.28999999999999998</v>
      </c>
      <c r="J5924" s="12">
        <f t="shared" si="923"/>
        <v>1.8100000000000023</v>
      </c>
      <c r="K5924" s="17" t="str">
        <f t="shared" si="928"/>
        <v>Ecart positif</v>
      </c>
      <c r="L5924" s="16">
        <f>base!X5924</f>
        <v>0</v>
      </c>
      <c r="M5924" s="11">
        <f t="shared" si="924"/>
        <v>0</v>
      </c>
      <c r="N5924" s="11">
        <f t="shared" si="925"/>
        <v>34.39</v>
      </c>
      <c r="O5924" s="11">
        <f t="shared" si="926"/>
        <v>0.19</v>
      </c>
      <c r="P5924" s="12">
        <f t="shared" si="927"/>
        <v>-34.39</v>
      </c>
      <c r="Q5924" s="17" t="str">
        <f t="shared" si="929"/>
        <v>Ecart négatif</v>
      </c>
    </row>
    <row r="5925" spans="1:18" x14ac:dyDescent="0.3">
      <c r="A5925" s="34" t="str">
        <f>base!J5925</f>
        <v>RM</v>
      </c>
      <c r="B5925" s="34" t="str">
        <f>base!V5925</f>
        <v>06190</v>
      </c>
      <c r="C5925" s="37">
        <v>6</v>
      </c>
      <c r="D5925" s="36">
        <f>base!H5925</f>
        <v>92</v>
      </c>
      <c r="E5925" s="44"/>
      <c r="F5925" s="16">
        <f>base!W5925</f>
        <v>0</v>
      </c>
      <c r="G5925" s="11">
        <f t="shared" si="920"/>
        <v>0</v>
      </c>
      <c r="H5925" s="11">
        <f t="shared" si="921"/>
        <v>27.599999999999998</v>
      </c>
      <c r="I5925" s="11">
        <f t="shared" si="922"/>
        <v>0.3</v>
      </c>
      <c r="J5925" s="12">
        <f t="shared" si="923"/>
        <v>-27.599999999999998</v>
      </c>
      <c r="K5925" s="17" t="str">
        <f t="shared" si="928"/>
        <v>Ecart négatif</v>
      </c>
      <c r="L5925" s="16">
        <f>base!X5925</f>
        <v>27.6</v>
      </c>
      <c r="M5925" s="11">
        <f t="shared" si="924"/>
        <v>0.3</v>
      </c>
      <c r="N5925" s="11">
        <f t="shared" si="925"/>
        <v>19.32</v>
      </c>
      <c r="O5925" s="11">
        <f t="shared" si="926"/>
        <v>0.21</v>
      </c>
      <c r="P5925" s="12">
        <f t="shared" si="927"/>
        <v>8.2800000000000011</v>
      </c>
      <c r="Q5925" s="17" t="str">
        <f t="shared" si="929"/>
        <v>Ecart positif</v>
      </c>
      <c r="R5925" s="38"/>
    </row>
    <row r="5926" spans="1:18" x14ac:dyDescent="0.3">
      <c r="A5926" s="34" t="str">
        <f>base!J5926</f>
        <v>LS</v>
      </c>
      <c r="B5926" s="34" t="str">
        <f>base!V5926</f>
        <v>68740</v>
      </c>
      <c r="C5926" s="37">
        <v>68</v>
      </c>
      <c r="D5926" s="36">
        <f>base!H5926</f>
        <v>97.28</v>
      </c>
      <c r="E5926" s="44"/>
      <c r="F5926" s="16">
        <f>base!W5926</f>
        <v>28.21</v>
      </c>
      <c r="G5926" s="11">
        <f t="shared" si="920"/>
        <v>0.28998766447368424</v>
      </c>
      <c r="H5926" s="11">
        <f t="shared" si="921"/>
        <v>28.211199999999998</v>
      </c>
      <c r="I5926" s="11">
        <f t="shared" si="922"/>
        <v>0.28999999999999998</v>
      </c>
      <c r="J5926" s="12">
        <f t="shared" si="923"/>
        <v>-1.1999999999972033E-3</v>
      </c>
      <c r="K5926" s="17" t="str">
        <f t="shared" si="928"/>
        <v>Ecart négatif</v>
      </c>
      <c r="L5926" s="16">
        <f>base!X5926</f>
        <v>0</v>
      </c>
      <c r="M5926" s="11">
        <f t="shared" si="924"/>
        <v>0</v>
      </c>
      <c r="N5926" s="11">
        <f t="shared" si="925"/>
        <v>7.7824</v>
      </c>
      <c r="O5926" s="11">
        <f t="shared" si="926"/>
        <v>0.08</v>
      </c>
      <c r="P5926" s="12">
        <f t="shared" si="927"/>
        <v>-7.7824</v>
      </c>
      <c r="Q5926" s="17" t="str">
        <f t="shared" si="929"/>
        <v>Ecart négatif</v>
      </c>
    </row>
    <row r="5927" spans="1:18" x14ac:dyDescent="0.3">
      <c r="A5927" s="34" t="str">
        <f>base!J5927</f>
        <v>LM</v>
      </c>
      <c r="B5927" s="34" t="str">
        <f>base!V5927</f>
        <v>67000</v>
      </c>
      <c r="C5927" s="37">
        <v>13</v>
      </c>
      <c r="D5927" s="36">
        <f>base!H5927</f>
        <v>127.55</v>
      </c>
      <c r="E5927" s="44"/>
      <c r="F5927" s="16">
        <f>base!W5927</f>
        <v>36.99</v>
      </c>
      <c r="G5927" s="11">
        <f t="shared" si="920"/>
        <v>0.29000392003136027</v>
      </c>
      <c r="H5927" s="11">
        <f t="shared" si="921"/>
        <v>36.9895</v>
      </c>
      <c r="I5927" s="11">
        <f t="shared" si="922"/>
        <v>0.28999999999999998</v>
      </c>
      <c r="J5927" s="12">
        <f t="shared" si="923"/>
        <v>5.0000000000238742E-4</v>
      </c>
      <c r="K5927" s="17" t="str">
        <f t="shared" si="928"/>
        <v>Ecart positif</v>
      </c>
      <c r="L5927" s="16">
        <f>base!X5927</f>
        <v>0</v>
      </c>
      <c r="M5927" s="11">
        <f t="shared" si="924"/>
        <v>0</v>
      </c>
      <c r="N5927" s="11">
        <f t="shared" si="925"/>
        <v>24.234500000000001</v>
      </c>
      <c r="O5927" s="11">
        <f t="shared" si="926"/>
        <v>0.19</v>
      </c>
      <c r="P5927" s="12">
        <f t="shared" si="927"/>
        <v>-24.234500000000001</v>
      </c>
      <c r="Q5927" s="17" t="str">
        <f t="shared" si="929"/>
        <v>Ecart négatif</v>
      </c>
    </row>
    <row r="5928" spans="1:18" x14ac:dyDescent="0.3">
      <c r="A5928" s="34" t="str">
        <f>base!J5928</f>
        <v>LM</v>
      </c>
      <c r="B5928" s="34" t="str">
        <f>base!V5928</f>
        <v>49000</v>
      </c>
      <c r="C5928" s="37">
        <v>13</v>
      </c>
      <c r="D5928" s="36">
        <f>base!H5928</f>
        <v>87.12</v>
      </c>
      <c r="E5928" s="44"/>
      <c r="F5928" s="16">
        <f>base!W5928</f>
        <v>0</v>
      </c>
      <c r="G5928" s="11">
        <f t="shared" si="920"/>
        <v>0</v>
      </c>
      <c r="H5928" s="11">
        <f t="shared" si="921"/>
        <v>25.264800000000001</v>
      </c>
      <c r="I5928" s="11">
        <f t="shared" si="922"/>
        <v>0.28999999999999998</v>
      </c>
      <c r="J5928" s="12">
        <f t="shared" si="923"/>
        <v>-25.264800000000001</v>
      </c>
      <c r="K5928" s="17" t="str">
        <f t="shared" si="928"/>
        <v>Ecart négatif</v>
      </c>
      <c r="L5928" s="16">
        <f>base!X5928</f>
        <v>0</v>
      </c>
      <c r="M5928" s="11">
        <f t="shared" si="924"/>
        <v>0</v>
      </c>
      <c r="N5928" s="11">
        <f t="shared" si="925"/>
        <v>16.552800000000001</v>
      </c>
      <c r="O5928" s="11">
        <f t="shared" si="926"/>
        <v>0.19</v>
      </c>
      <c r="P5928" s="12">
        <f t="shared" si="927"/>
        <v>-16.552800000000001</v>
      </c>
      <c r="Q5928" s="17" t="str">
        <f t="shared" si="929"/>
        <v>Ecart négatif</v>
      </c>
    </row>
    <row r="5929" spans="1:18" x14ac:dyDescent="0.3">
      <c r="A5929" s="34" t="str">
        <f>base!J5929</f>
        <v>LM</v>
      </c>
      <c r="B5929" s="34" t="str">
        <f>base!V5929</f>
        <v>76430</v>
      </c>
      <c r="C5929" s="37">
        <v>63</v>
      </c>
      <c r="D5929" s="36">
        <f>base!H5929</f>
        <v>55.14</v>
      </c>
      <c r="E5929" s="44"/>
      <c r="F5929" s="16">
        <f>base!W5929</f>
        <v>9.3699999999999992</v>
      </c>
      <c r="G5929" s="11">
        <f t="shared" si="920"/>
        <v>0.16993108451215086</v>
      </c>
      <c r="H5929" s="11">
        <f t="shared" si="921"/>
        <v>15.990599999999999</v>
      </c>
      <c r="I5929" s="11">
        <f t="shared" si="922"/>
        <v>0.28999999999999998</v>
      </c>
      <c r="J5929" s="12">
        <f t="shared" si="923"/>
        <v>-6.6205999999999996</v>
      </c>
      <c r="K5929" s="17" t="str">
        <f t="shared" si="928"/>
        <v>Ecart négatif</v>
      </c>
      <c r="L5929" s="16">
        <f>base!X5929</f>
        <v>0</v>
      </c>
      <c r="M5929" s="11">
        <f t="shared" si="924"/>
        <v>0</v>
      </c>
      <c r="N5929" s="11">
        <f t="shared" si="925"/>
        <v>6.6167999999999996</v>
      </c>
      <c r="O5929" s="11">
        <f t="shared" si="926"/>
        <v>0.12</v>
      </c>
      <c r="P5929" s="12">
        <f t="shared" si="927"/>
        <v>-6.6167999999999996</v>
      </c>
      <c r="Q5929" s="17" t="str">
        <f t="shared" si="929"/>
        <v>Ecart négatif</v>
      </c>
    </row>
    <row r="5930" spans="1:18" x14ac:dyDescent="0.3">
      <c r="A5930" s="34" t="str">
        <f>base!J5930</f>
        <v>LM</v>
      </c>
      <c r="B5930" s="34" t="str">
        <f>base!V5930</f>
        <v>79000</v>
      </c>
      <c r="C5930" s="37">
        <v>67</v>
      </c>
      <c r="D5930" s="36">
        <f>base!H5930</f>
        <v>86.75</v>
      </c>
      <c r="E5930" s="44"/>
      <c r="F5930" s="16">
        <f>base!W5930</f>
        <v>18.22</v>
      </c>
      <c r="G5930" s="11">
        <f t="shared" si="920"/>
        <v>0.21002881844380403</v>
      </c>
      <c r="H5930" s="11">
        <f t="shared" si="921"/>
        <v>25.157499999999999</v>
      </c>
      <c r="I5930" s="11">
        <f t="shared" si="922"/>
        <v>0.28999999999999998</v>
      </c>
      <c r="J5930" s="12">
        <f t="shared" si="923"/>
        <v>-6.9375</v>
      </c>
      <c r="K5930" s="17" t="str">
        <f t="shared" si="928"/>
        <v>Ecart négatif</v>
      </c>
      <c r="L5930" s="16">
        <f>base!X5930</f>
        <v>0</v>
      </c>
      <c r="M5930" s="11">
        <f t="shared" si="924"/>
        <v>0</v>
      </c>
      <c r="N5930" s="11">
        <f t="shared" si="925"/>
        <v>6.94</v>
      </c>
      <c r="O5930" s="11">
        <f t="shared" si="926"/>
        <v>0.08</v>
      </c>
      <c r="P5930" s="12">
        <f t="shared" si="927"/>
        <v>-6.94</v>
      </c>
      <c r="Q5930" s="17" t="str">
        <f t="shared" si="929"/>
        <v>Ecart négatif</v>
      </c>
    </row>
    <row r="5931" spans="1:18" x14ac:dyDescent="0.3">
      <c r="A5931" s="34" t="str">
        <f>base!J5931</f>
        <v>LM</v>
      </c>
      <c r="B5931" s="34" t="str">
        <f>base!V5931</f>
        <v>79000</v>
      </c>
      <c r="C5931" s="37">
        <v>84</v>
      </c>
      <c r="D5931" s="36">
        <f>base!H5931</f>
        <v>59.72</v>
      </c>
      <c r="E5931" s="44"/>
      <c r="F5931" s="16">
        <f>base!W5931</f>
        <v>12.54</v>
      </c>
      <c r="G5931" s="11">
        <f t="shared" si="920"/>
        <v>0.20997990622906898</v>
      </c>
      <c r="H5931" s="11">
        <f t="shared" si="921"/>
        <v>17.3188</v>
      </c>
      <c r="I5931" s="11">
        <f t="shared" si="922"/>
        <v>0.28999999999999998</v>
      </c>
      <c r="J5931" s="12">
        <f t="shared" si="923"/>
        <v>-4.7788000000000004</v>
      </c>
      <c r="K5931" s="17" t="str">
        <f t="shared" si="928"/>
        <v>Ecart négatif</v>
      </c>
      <c r="L5931" s="16">
        <f>base!X5931</f>
        <v>0</v>
      </c>
      <c r="M5931" s="11">
        <f t="shared" si="924"/>
        <v>0</v>
      </c>
      <c r="N5931" s="11">
        <f t="shared" si="925"/>
        <v>11.3468</v>
      </c>
      <c r="O5931" s="11">
        <f t="shared" si="926"/>
        <v>0.19</v>
      </c>
      <c r="P5931" s="12">
        <f t="shared" si="927"/>
        <v>-11.3468</v>
      </c>
      <c r="Q5931" s="17" t="str">
        <f t="shared" si="929"/>
        <v>Ecart négatif</v>
      </c>
    </row>
    <row r="5932" spans="1:18" x14ac:dyDescent="0.3">
      <c r="A5932" s="34" t="str">
        <f>base!J5932</f>
        <v>LS</v>
      </c>
      <c r="B5932" s="34" t="str">
        <f>base!V5932</f>
        <v>07700</v>
      </c>
      <c r="C5932" s="37">
        <v>6</v>
      </c>
      <c r="D5932" s="36">
        <f>base!H5932</f>
        <v>28.62</v>
      </c>
      <c r="E5932" s="44"/>
      <c r="F5932" s="16">
        <f>base!W5932</f>
        <v>7.73</v>
      </c>
      <c r="G5932" s="11">
        <f t="shared" si="920"/>
        <v>0.2700908455625437</v>
      </c>
      <c r="H5932" s="11">
        <f t="shared" si="921"/>
        <v>8.5860000000000003</v>
      </c>
      <c r="I5932" s="11">
        <f t="shared" si="922"/>
        <v>0.3</v>
      </c>
      <c r="J5932" s="12">
        <f t="shared" si="923"/>
        <v>-0.85599999999999987</v>
      </c>
      <c r="K5932" s="17" t="str">
        <f t="shared" si="928"/>
        <v>Ecart négatif</v>
      </c>
      <c r="L5932" s="16">
        <f>base!X5932</f>
        <v>0</v>
      </c>
      <c r="M5932" s="11">
        <f t="shared" si="924"/>
        <v>0</v>
      </c>
      <c r="N5932" s="11">
        <f t="shared" si="925"/>
        <v>6.0102000000000002</v>
      </c>
      <c r="O5932" s="11">
        <f t="shared" si="926"/>
        <v>0.21</v>
      </c>
      <c r="P5932" s="12">
        <f t="shared" si="927"/>
        <v>-6.0102000000000002</v>
      </c>
      <c r="Q5932" s="17" t="str">
        <f t="shared" si="929"/>
        <v>Ecart négatif</v>
      </c>
    </row>
    <row r="5933" spans="1:18" x14ac:dyDescent="0.3">
      <c r="A5933" s="34" t="str">
        <f>base!J5933</f>
        <v>LS</v>
      </c>
      <c r="B5933" s="34" t="str">
        <f>base!V5933</f>
        <v>44300</v>
      </c>
      <c r="C5933" s="37">
        <v>6</v>
      </c>
      <c r="D5933" s="36">
        <f>base!H5933</f>
        <v>126.65</v>
      </c>
      <c r="E5933" s="44"/>
      <c r="F5933" s="16">
        <f>base!W5933</f>
        <v>34.200000000000003</v>
      </c>
      <c r="G5933" s="11">
        <f t="shared" si="920"/>
        <v>0.27003553099091987</v>
      </c>
      <c r="H5933" s="11">
        <f t="shared" si="921"/>
        <v>37.994999999999997</v>
      </c>
      <c r="I5933" s="11">
        <f t="shared" si="922"/>
        <v>0.3</v>
      </c>
      <c r="J5933" s="12">
        <f t="shared" si="923"/>
        <v>-3.7949999999999946</v>
      </c>
      <c r="K5933" s="17" t="str">
        <f t="shared" si="928"/>
        <v>Ecart négatif</v>
      </c>
      <c r="L5933" s="16">
        <f>base!X5933</f>
        <v>0</v>
      </c>
      <c r="M5933" s="11">
        <f t="shared" si="924"/>
        <v>0</v>
      </c>
      <c r="N5933" s="11">
        <f t="shared" si="925"/>
        <v>26.596499999999999</v>
      </c>
      <c r="O5933" s="11">
        <f t="shared" si="926"/>
        <v>0.21</v>
      </c>
      <c r="P5933" s="12">
        <f t="shared" si="927"/>
        <v>-26.596499999999999</v>
      </c>
      <c r="Q5933" s="17" t="str">
        <f t="shared" si="929"/>
        <v>Ecart négatif</v>
      </c>
    </row>
    <row r="5934" spans="1:18" x14ac:dyDescent="0.3">
      <c r="A5934" s="34" t="str">
        <f>base!J5934</f>
        <v>LM</v>
      </c>
      <c r="B5934" s="34" t="str">
        <f>base!V5934</f>
        <v>67000</v>
      </c>
      <c r="C5934" s="37">
        <v>6</v>
      </c>
      <c r="D5934" s="36">
        <f>base!H5934</f>
        <v>132.88</v>
      </c>
      <c r="E5934" s="44"/>
      <c r="F5934" s="16">
        <f>base!W5934</f>
        <v>38.54</v>
      </c>
      <c r="G5934" s="11">
        <f t="shared" si="920"/>
        <v>0.29003612281757979</v>
      </c>
      <c r="H5934" s="11">
        <f t="shared" si="921"/>
        <v>39.863999999999997</v>
      </c>
      <c r="I5934" s="11">
        <f t="shared" si="922"/>
        <v>0.3</v>
      </c>
      <c r="J5934" s="12">
        <f t="shared" si="923"/>
        <v>-1.3239999999999981</v>
      </c>
      <c r="K5934" s="17" t="str">
        <f t="shared" si="928"/>
        <v>Ecart négatif</v>
      </c>
      <c r="L5934" s="16">
        <f>base!X5934</f>
        <v>0</v>
      </c>
      <c r="M5934" s="11">
        <f t="shared" si="924"/>
        <v>0</v>
      </c>
      <c r="N5934" s="11">
        <f t="shared" si="925"/>
        <v>27.904799999999998</v>
      </c>
      <c r="O5934" s="11">
        <f t="shared" si="926"/>
        <v>0.21</v>
      </c>
      <c r="P5934" s="12">
        <f t="shared" si="927"/>
        <v>-27.904799999999998</v>
      </c>
      <c r="Q5934" s="17" t="str">
        <f t="shared" si="929"/>
        <v>Ecart négatif</v>
      </c>
    </row>
    <row r="5935" spans="1:18" x14ac:dyDescent="0.3">
      <c r="A5935" s="34" t="str">
        <f>base!J5935</f>
        <v>LM</v>
      </c>
      <c r="B5935" s="34" t="str">
        <f>base!V5935</f>
        <v>25000</v>
      </c>
      <c r="C5935" s="37">
        <v>13</v>
      </c>
      <c r="D5935" s="36">
        <f>base!H5935</f>
        <v>212.34</v>
      </c>
      <c r="E5935" s="44"/>
      <c r="F5935" s="16">
        <f>base!W5935</f>
        <v>50.96</v>
      </c>
      <c r="G5935" s="11">
        <f t="shared" si="920"/>
        <v>0.23999246491475934</v>
      </c>
      <c r="H5935" s="11">
        <f t="shared" si="921"/>
        <v>61.578599999999994</v>
      </c>
      <c r="I5935" s="11">
        <f t="shared" si="922"/>
        <v>0.28999999999999998</v>
      </c>
      <c r="J5935" s="12">
        <f t="shared" si="923"/>
        <v>-10.618599999999994</v>
      </c>
      <c r="K5935" s="17" t="str">
        <f t="shared" si="928"/>
        <v>Ecart négatif</v>
      </c>
      <c r="L5935" s="16">
        <f>base!X5935</f>
        <v>0</v>
      </c>
      <c r="M5935" s="11">
        <f t="shared" si="924"/>
        <v>0</v>
      </c>
      <c r="N5935" s="11">
        <f t="shared" si="925"/>
        <v>40.3446</v>
      </c>
      <c r="O5935" s="11">
        <f t="shared" si="926"/>
        <v>0.19</v>
      </c>
      <c r="P5935" s="12">
        <f t="shared" si="927"/>
        <v>-40.3446</v>
      </c>
      <c r="Q5935" s="17" t="str">
        <f t="shared" si="929"/>
        <v>Ecart négatif</v>
      </c>
    </row>
    <row r="5936" spans="1:18" x14ac:dyDescent="0.3">
      <c r="A5936" s="34" t="str">
        <f>base!J5936</f>
        <v>LS</v>
      </c>
      <c r="B5936" s="34" t="str">
        <f>base!V5936</f>
        <v>35480</v>
      </c>
      <c r="C5936" s="37">
        <v>35</v>
      </c>
      <c r="D5936" s="36">
        <f>base!H5936</f>
        <v>70</v>
      </c>
      <c r="E5936" s="44"/>
      <c r="F5936" s="16">
        <f>base!W5936</f>
        <v>18.899999999999999</v>
      </c>
      <c r="G5936" s="11">
        <f t="shared" si="920"/>
        <v>0.26999999999999996</v>
      </c>
      <c r="H5936" s="11">
        <f t="shared" si="921"/>
        <v>18.900000000000002</v>
      </c>
      <c r="I5936" s="11">
        <f t="shared" si="922"/>
        <v>0.27</v>
      </c>
      <c r="J5936" s="12">
        <f t="shared" si="923"/>
        <v>0</v>
      </c>
      <c r="K5936" s="17" t="str">
        <f t="shared" si="928"/>
        <v>Pas d'écart</v>
      </c>
      <c r="L5936" s="16">
        <f>base!X5936</f>
        <v>0</v>
      </c>
      <c r="M5936" s="11">
        <f t="shared" si="924"/>
        <v>0</v>
      </c>
      <c r="N5936" s="11">
        <f t="shared" si="925"/>
        <v>0</v>
      </c>
      <c r="O5936" s="11">
        <f t="shared" si="926"/>
        <v>0</v>
      </c>
      <c r="P5936" s="12">
        <f t="shared" si="927"/>
        <v>0</v>
      </c>
      <c r="Q5936" s="17" t="str">
        <f t="shared" si="929"/>
        <v>Pas d'écart</v>
      </c>
    </row>
    <row r="5937" spans="1:18" x14ac:dyDescent="0.3">
      <c r="A5937" s="34" t="str">
        <f>base!J5937</f>
        <v>LM</v>
      </c>
      <c r="B5937" s="34" t="str">
        <f>base!V5937</f>
        <v>56330</v>
      </c>
      <c r="C5937" s="37">
        <v>13</v>
      </c>
      <c r="D5937" s="36">
        <f>base!H5937</f>
        <v>4.54</v>
      </c>
      <c r="E5937" s="44"/>
      <c r="F5937" s="16">
        <f>base!W5937</f>
        <v>1.23</v>
      </c>
      <c r="G5937" s="11">
        <f t="shared" si="920"/>
        <v>0.27092511013215859</v>
      </c>
      <c r="H5937" s="11">
        <f t="shared" si="921"/>
        <v>1.3166</v>
      </c>
      <c r="I5937" s="11">
        <f t="shared" si="922"/>
        <v>0.28999999999999998</v>
      </c>
      <c r="J5937" s="12">
        <f t="shared" si="923"/>
        <v>-8.660000000000001E-2</v>
      </c>
      <c r="K5937" s="17" t="str">
        <f t="shared" si="928"/>
        <v>Ecart négatif</v>
      </c>
      <c r="L5937" s="16">
        <f>base!X5937</f>
        <v>0</v>
      </c>
      <c r="M5937" s="11">
        <f t="shared" si="924"/>
        <v>0</v>
      </c>
      <c r="N5937" s="11">
        <f t="shared" si="925"/>
        <v>0.86260000000000003</v>
      </c>
      <c r="O5937" s="11">
        <f t="shared" si="926"/>
        <v>0.19</v>
      </c>
      <c r="P5937" s="12">
        <f t="shared" si="927"/>
        <v>-0.86260000000000003</v>
      </c>
      <c r="Q5937" s="17" t="str">
        <f t="shared" si="929"/>
        <v>Ecart négatif</v>
      </c>
    </row>
    <row r="5938" spans="1:18" x14ac:dyDescent="0.3">
      <c r="A5938" s="34" t="str">
        <f>base!J5938</f>
        <v>LS</v>
      </c>
      <c r="B5938" s="34" t="str">
        <f>base!V5938</f>
        <v>59800</v>
      </c>
      <c r="C5938" s="37">
        <v>68</v>
      </c>
      <c r="D5938" s="36">
        <f>base!H5938</f>
        <v>75.27</v>
      </c>
      <c r="E5938" s="44"/>
      <c r="F5938" s="16">
        <f>base!W5938</f>
        <v>14.3</v>
      </c>
      <c r="G5938" s="11">
        <f t="shared" si="920"/>
        <v>0.18998272884283249</v>
      </c>
      <c r="H5938" s="11">
        <f t="shared" si="921"/>
        <v>21.828299999999999</v>
      </c>
      <c r="I5938" s="11">
        <f t="shared" si="922"/>
        <v>0.28999999999999998</v>
      </c>
      <c r="J5938" s="12">
        <f t="shared" si="923"/>
        <v>-7.528299999999998</v>
      </c>
      <c r="K5938" s="17" t="str">
        <f t="shared" si="928"/>
        <v>Ecart négatif</v>
      </c>
      <c r="L5938" s="16">
        <f>base!X5938</f>
        <v>0</v>
      </c>
      <c r="M5938" s="11">
        <f t="shared" si="924"/>
        <v>0</v>
      </c>
      <c r="N5938" s="11">
        <f t="shared" si="925"/>
        <v>6.0215999999999994</v>
      </c>
      <c r="O5938" s="11">
        <f t="shared" si="926"/>
        <v>0.08</v>
      </c>
      <c r="P5938" s="12">
        <f t="shared" si="927"/>
        <v>-6.0215999999999994</v>
      </c>
      <c r="Q5938" s="17" t="str">
        <f t="shared" si="929"/>
        <v>Ecart négatif</v>
      </c>
    </row>
    <row r="5939" spans="1:18" x14ac:dyDescent="0.3">
      <c r="A5939" s="34" t="str">
        <f>base!J5939</f>
        <v>RS</v>
      </c>
      <c r="B5939" s="34" t="str">
        <f>base!V5939</f>
        <v>59540</v>
      </c>
      <c r="C5939" s="37">
        <v>59</v>
      </c>
      <c r="D5939" s="36">
        <f>base!H5939</f>
        <v>250</v>
      </c>
      <c r="E5939" s="44"/>
      <c r="F5939" s="16">
        <f>base!W5939</f>
        <v>0</v>
      </c>
      <c r="G5939" s="11">
        <f t="shared" si="920"/>
        <v>0</v>
      </c>
      <c r="H5939" s="11">
        <f t="shared" si="921"/>
        <v>47.5</v>
      </c>
      <c r="I5939" s="11">
        <f t="shared" si="922"/>
        <v>0.19</v>
      </c>
      <c r="J5939" s="12">
        <f t="shared" si="923"/>
        <v>-47.5</v>
      </c>
      <c r="K5939" s="17" t="str">
        <f t="shared" si="928"/>
        <v>Ecart négatif</v>
      </c>
      <c r="L5939" s="16">
        <f>base!X5939</f>
        <v>0</v>
      </c>
      <c r="M5939" s="11">
        <f t="shared" si="924"/>
        <v>0</v>
      </c>
      <c r="N5939" s="11">
        <f t="shared" si="925"/>
        <v>0</v>
      </c>
      <c r="O5939" s="11">
        <f t="shared" si="926"/>
        <v>0</v>
      </c>
      <c r="P5939" s="12">
        <f t="shared" si="927"/>
        <v>0</v>
      </c>
      <c r="Q5939" s="17" t="str">
        <f t="shared" si="929"/>
        <v>Pas d'écart</v>
      </c>
    </row>
    <row r="5940" spans="1:18" x14ac:dyDescent="0.3">
      <c r="A5940" s="34" t="str">
        <f>base!J5940</f>
        <v>RS</v>
      </c>
      <c r="B5940" s="34" t="str">
        <f>base!V5940</f>
        <v>13120</v>
      </c>
      <c r="C5940" s="37">
        <v>13</v>
      </c>
      <c r="D5940" s="36">
        <f>base!H5940</f>
        <v>299.08</v>
      </c>
      <c r="E5940" s="44"/>
      <c r="F5940" s="16">
        <f>base!W5940</f>
        <v>0</v>
      </c>
      <c r="G5940" s="11">
        <f t="shared" si="920"/>
        <v>0</v>
      </c>
      <c r="H5940" s="11">
        <f t="shared" si="921"/>
        <v>86.733199999999982</v>
      </c>
      <c r="I5940" s="11">
        <f t="shared" si="922"/>
        <v>0.28999999999999998</v>
      </c>
      <c r="J5940" s="12">
        <f t="shared" si="923"/>
        <v>-86.733199999999982</v>
      </c>
      <c r="K5940" s="17" t="str">
        <f t="shared" si="928"/>
        <v>Ecart négatif</v>
      </c>
      <c r="L5940" s="16">
        <f>base!X5940</f>
        <v>56.83</v>
      </c>
      <c r="M5940" s="11">
        <f t="shared" si="924"/>
        <v>0.19001604921760065</v>
      </c>
      <c r="N5940" s="11">
        <f t="shared" si="925"/>
        <v>56.825199999999995</v>
      </c>
      <c r="O5940" s="11">
        <f t="shared" si="926"/>
        <v>0.19</v>
      </c>
      <c r="P5940" s="12">
        <f t="shared" si="927"/>
        <v>4.8000000000030241E-3</v>
      </c>
      <c r="Q5940" s="17" t="str">
        <f t="shared" si="929"/>
        <v>Ecart positif</v>
      </c>
      <c r="R5940" s="38"/>
    </row>
    <row r="5941" spans="1:18" x14ac:dyDescent="0.3">
      <c r="A5941" s="34" t="str">
        <f>base!J5941</f>
        <v>LS</v>
      </c>
      <c r="B5941" s="34" t="str">
        <f>base!V5941</f>
        <v>61300</v>
      </c>
      <c r="C5941" s="37">
        <v>61</v>
      </c>
      <c r="D5941" s="36">
        <f>base!H5941</f>
        <v>170</v>
      </c>
      <c r="E5941" s="44"/>
      <c r="F5941" s="16">
        <f>base!W5941</f>
        <v>28.9</v>
      </c>
      <c r="G5941" s="11">
        <f t="shared" si="920"/>
        <v>0.16999999999999998</v>
      </c>
      <c r="H5941" s="11">
        <f t="shared" si="921"/>
        <v>28.900000000000002</v>
      </c>
      <c r="I5941" s="11">
        <f t="shared" si="922"/>
        <v>0.17</v>
      </c>
      <c r="J5941" s="12">
        <f t="shared" si="923"/>
        <v>0</v>
      </c>
      <c r="K5941" s="17" t="str">
        <f t="shared" si="928"/>
        <v>Pas d'écart</v>
      </c>
      <c r="L5941" s="16">
        <f>base!X5941</f>
        <v>0</v>
      </c>
      <c r="M5941" s="11">
        <f t="shared" si="924"/>
        <v>0</v>
      </c>
      <c r="N5941" s="11">
        <f t="shared" si="925"/>
        <v>28.900000000000002</v>
      </c>
      <c r="O5941" s="11">
        <f t="shared" si="926"/>
        <v>0.17</v>
      </c>
      <c r="P5941" s="12">
        <f t="shared" si="927"/>
        <v>-28.900000000000002</v>
      </c>
      <c r="Q5941" s="17" t="str">
        <f t="shared" si="929"/>
        <v>Ecart négatif</v>
      </c>
    </row>
    <row r="5942" spans="1:18" x14ac:dyDescent="0.3">
      <c r="A5942" s="34" t="str">
        <f>base!J5942</f>
        <v>LS</v>
      </c>
      <c r="B5942" s="34" t="str">
        <f>base!V5942</f>
        <v>02100</v>
      </c>
      <c r="C5942" s="37">
        <v>84</v>
      </c>
      <c r="D5942" s="36">
        <f>base!H5942</f>
        <v>50</v>
      </c>
      <c r="E5942" s="44"/>
      <c r="F5942" s="16">
        <f>base!W5942</f>
        <v>9.5</v>
      </c>
      <c r="G5942" s="11">
        <f t="shared" si="920"/>
        <v>0.19</v>
      </c>
      <c r="H5942" s="11">
        <f t="shared" si="921"/>
        <v>14.499999999999998</v>
      </c>
      <c r="I5942" s="11">
        <f t="shared" si="922"/>
        <v>0.28999999999999998</v>
      </c>
      <c r="J5942" s="12">
        <f t="shared" si="923"/>
        <v>-4.9999999999999982</v>
      </c>
      <c r="K5942" s="17" t="str">
        <f t="shared" si="928"/>
        <v>Ecart négatif</v>
      </c>
      <c r="L5942" s="16">
        <f>base!X5942</f>
        <v>0</v>
      </c>
      <c r="M5942" s="11">
        <f t="shared" si="924"/>
        <v>0</v>
      </c>
      <c r="N5942" s="11">
        <f t="shared" si="925"/>
        <v>9.5</v>
      </c>
      <c r="O5942" s="11">
        <f t="shared" si="926"/>
        <v>0.19</v>
      </c>
      <c r="P5942" s="12">
        <f t="shared" si="927"/>
        <v>-9.5</v>
      </c>
      <c r="Q5942" s="17" t="str">
        <f t="shared" si="929"/>
        <v>Ecart négatif</v>
      </c>
    </row>
    <row r="5943" spans="1:18" x14ac:dyDescent="0.3">
      <c r="A5943" s="34">
        <f>base!J5943</f>
        <v>0</v>
      </c>
      <c r="B5943" s="34" t="str">
        <f>base!V5943</f>
        <v>77184</v>
      </c>
      <c r="C5943" s="37">
        <v>77</v>
      </c>
      <c r="D5943" s="36">
        <f>base!H5943</f>
        <v>68.3</v>
      </c>
      <c r="E5943" s="44"/>
      <c r="F5943" s="16">
        <f>base!W5943</f>
        <v>0</v>
      </c>
      <c r="G5943" s="11">
        <f t="shared" si="920"/>
        <v>0</v>
      </c>
      <c r="H5943" s="11">
        <f t="shared" si="921"/>
        <v>0</v>
      </c>
      <c r="I5943" s="11">
        <f t="shared" si="922"/>
        <v>0</v>
      </c>
      <c r="J5943" s="12">
        <f t="shared" si="923"/>
        <v>0</v>
      </c>
      <c r="K5943" s="17" t="str">
        <f t="shared" si="928"/>
        <v>Pas d'écart</v>
      </c>
      <c r="L5943" s="16">
        <f>base!X5943</f>
        <v>0</v>
      </c>
      <c r="M5943" s="11">
        <f t="shared" si="924"/>
        <v>0</v>
      </c>
      <c r="N5943" s="11">
        <f t="shared" si="925"/>
        <v>0</v>
      </c>
      <c r="O5943" s="11">
        <f t="shared" si="926"/>
        <v>0</v>
      </c>
      <c r="P5943" s="12">
        <f t="shared" si="927"/>
        <v>0</v>
      </c>
      <c r="Q5943" s="17" t="str">
        <f t="shared" si="929"/>
        <v>Pas d'écart</v>
      </c>
    </row>
    <row r="5944" spans="1:18" x14ac:dyDescent="0.3">
      <c r="A5944" s="34" t="str">
        <f>base!J5944</f>
        <v>LM</v>
      </c>
      <c r="B5944" s="34" t="str">
        <f>base!V5944</f>
        <v>51100</v>
      </c>
      <c r="C5944" s="37">
        <v>67</v>
      </c>
      <c r="D5944" s="36">
        <f>base!H5944</f>
        <v>138.12</v>
      </c>
      <c r="E5944" s="44"/>
      <c r="F5944" s="16">
        <f>base!W5944</f>
        <v>34.53</v>
      </c>
      <c r="G5944" s="11">
        <f t="shared" si="920"/>
        <v>0.25</v>
      </c>
      <c r="H5944" s="11">
        <f t="shared" si="921"/>
        <v>40.0548</v>
      </c>
      <c r="I5944" s="11">
        <f t="shared" si="922"/>
        <v>0.28999999999999998</v>
      </c>
      <c r="J5944" s="12">
        <f t="shared" si="923"/>
        <v>-5.524799999999999</v>
      </c>
      <c r="K5944" s="17" t="str">
        <f t="shared" si="928"/>
        <v>Ecart négatif</v>
      </c>
      <c r="L5944" s="16">
        <f>base!X5944</f>
        <v>0</v>
      </c>
      <c r="M5944" s="11">
        <f t="shared" si="924"/>
        <v>0</v>
      </c>
      <c r="N5944" s="11">
        <f t="shared" si="925"/>
        <v>11.0496</v>
      </c>
      <c r="O5944" s="11">
        <f t="shared" si="926"/>
        <v>0.08</v>
      </c>
      <c r="P5944" s="12">
        <f t="shared" si="927"/>
        <v>-11.0496</v>
      </c>
      <c r="Q5944" s="17" t="str">
        <f t="shared" si="929"/>
        <v>Ecart négatif</v>
      </c>
    </row>
    <row r="5945" spans="1:18" x14ac:dyDescent="0.3">
      <c r="A5945" s="34" t="str">
        <f>base!J5945</f>
        <v>LM</v>
      </c>
      <c r="B5945" s="34" t="str">
        <f>base!V5945</f>
        <v>75008</v>
      </c>
      <c r="C5945" s="37">
        <v>75</v>
      </c>
      <c r="D5945" s="36">
        <f>base!H5945</f>
        <v>153.81</v>
      </c>
      <c r="E5945" s="44"/>
      <c r="F5945" s="16">
        <f>base!W5945</f>
        <v>0</v>
      </c>
      <c r="G5945" s="11">
        <f t="shared" si="920"/>
        <v>0</v>
      </c>
      <c r="H5945" s="11">
        <f t="shared" si="921"/>
        <v>0</v>
      </c>
      <c r="I5945" s="11">
        <f t="shared" si="922"/>
        <v>0</v>
      </c>
      <c r="J5945" s="12">
        <f t="shared" si="923"/>
        <v>0</v>
      </c>
      <c r="K5945" s="17" t="str">
        <f t="shared" si="928"/>
        <v>Pas d'écart</v>
      </c>
      <c r="L5945" s="16">
        <f>base!X5945</f>
        <v>0</v>
      </c>
      <c r="M5945" s="11">
        <f t="shared" si="924"/>
        <v>0</v>
      </c>
      <c r="N5945" s="11">
        <f t="shared" si="925"/>
        <v>0</v>
      </c>
      <c r="O5945" s="11">
        <f t="shared" si="926"/>
        <v>0</v>
      </c>
      <c r="P5945" s="12">
        <f t="shared" si="927"/>
        <v>0</v>
      </c>
      <c r="Q5945" s="17" t="str">
        <f t="shared" si="929"/>
        <v>Pas d'écart</v>
      </c>
    </row>
    <row r="5946" spans="1:18" x14ac:dyDescent="0.3">
      <c r="A5946" s="34" t="str">
        <f>base!J5946</f>
        <v>LM</v>
      </c>
      <c r="B5946" s="34" t="str">
        <f>base!V5946</f>
        <v>75014</v>
      </c>
      <c r="C5946" s="37">
        <v>75</v>
      </c>
      <c r="D5946" s="36">
        <f>base!H5946</f>
        <v>19.649999999999999</v>
      </c>
      <c r="E5946" s="44"/>
      <c r="F5946" s="16">
        <f>base!W5946</f>
        <v>0</v>
      </c>
      <c r="G5946" s="11">
        <f t="shared" si="920"/>
        <v>0</v>
      </c>
      <c r="H5946" s="11">
        <f t="shared" si="921"/>
        <v>0</v>
      </c>
      <c r="I5946" s="11">
        <f t="shared" si="922"/>
        <v>0</v>
      </c>
      <c r="J5946" s="12">
        <f t="shared" si="923"/>
        <v>0</v>
      </c>
      <c r="K5946" s="17" t="str">
        <f t="shared" si="928"/>
        <v>Pas d'écart</v>
      </c>
      <c r="L5946" s="16">
        <f>base!X5946</f>
        <v>0</v>
      </c>
      <c r="M5946" s="11">
        <f t="shared" si="924"/>
        <v>0</v>
      </c>
      <c r="N5946" s="11">
        <f t="shared" si="925"/>
        <v>0</v>
      </c>
      <c r="O5946" s="11">
        <f t="shared" si="926"/>
        <v>0</v>
      </c>
      <c r="P5946" s="12">
        <f t="shared" si="927"/>
        <v>0</v>
      </c>
      <c r="Q5946" s="17" t="str">
        <f t="shared" si="929"/>
        <v>Pas d'écart</v>
      </c>
    </row>
    <row r="5947" spans="1:18" x14ac:dyDescent="0.3">
      <c r="A5947" s="34" t="str">
        <f>base!J5947</f>
        <v>LS</v>
      </c>
      <c r="B5947" s="34" t="str">
        <f>base!V5947</f>
        <v>75014</v>
      </c>
      <c r="C5947" s="37">
        <v>75</v>
      </c>
      <c r="D5947" s="36">
        <f>base!H5947</f>
        <v>19.649999999999999</v>
      </c>
      <c r="E5947" s="44"/>
      <c r="F5947" s="16">
        <f>base!W5947</f>
        <v>0</v>
      </c>
      <c r="G5947" s="11">
        <f t="shared" si="920"/>
        <v>0</v>
      </c>
      <c r="H5947" s="11">
        <f t="shared" si="921"/>
        <v>0</v>
      </c>
      <c r="I5947" s="11">
        <f t="shared" si="922"/>
        <v>0</v>
      </c>
      <c r="J5947" s="12">
        <f t="shared" si="923"/>
        <v>0</v>
      </c>
      <c r="K5947" s="17" t="str">
        <f t="shared" si="928"/>
        <v>Pas d'écart</v>
      </c>
      <c r="L5947" s="16">
        <f>base!X5947</f>
        <v>0</v>
      </c>
      <c r="M5947" s="11">
        <f t="shared" si="924"/>
        <v>0</v>
      </c>
      <c r="N5947" s="11">
        <f t="shared" si="925"/>
        <v>0</v>
      </c>
      <c r="O5947" s="11">
        <f t="shared" si="926"/>
        <v>0</v>
      </c>
      <c r="P5947" s="12">
        <f t="shared" si="927"/>
        <v>0</v>
      </c>
      <c r="Q5947" s="17" t="str">
        <f t="shared" si="929"/>
        <v>Pas d'écart</v>
      </c>
    </row>
    <row r="5948" spans="1:18" x14ac:dyDescent="0.3">
      <c r="A5948" s="34" t="str">
        <f>base!J5948</f>
        <v>LS</v>
      </c>
      <c r="B5948" s="34" t="str">
        <f>base!V5948</f>
        <v>75014</v>
      </c>
      <c r="C5948" s="37">
        <v>75</v>
      </c>
      <c r="D5948" s="36">
        <f>base!H5948</f>
        <v>19.649999999999999</v>
      </c>
      <c r="E5948" s="44"/>
      <c r="F5948" s="16">
        <f>base!W5948</f>
        <v>0</v>
      </c>
      <c r="G5948" s="11">
        <f t="shared" si="920"/>
        <v>0</v>
      </c>
      <c r="H5948" s="11">
        <f t="shared" si="921"/>
        <v>0</v>
      </c>
      <c r="I5948" s="11">
        <f t="shared" si="922"/>
        <v>0</v>
      </c>
      <c r="J5948" s="12">
        <f t="shared" si="923"/>
        <v>0</v>
      </c>
      <c r="K5948" s="17" t="str">
        <f t="shared" si="928"/>
        <v>Pas d'écart</v>
      </c>
      <c r="L5948" s="16">
        <f>base!X5948</f>
        <v>0</v>
      </c>
      <c r="M5948" s="11">
        <f t="shared" si="924"/>
        <v>0</v>
      </c>
      <c r="N5948" s="11">
        <f t="shared" si="925"/>
        <v>0</v>
      </c>
      <c r="O5948" s="11">
        <f t="shared" si="926"/>
        <v>0</v>
      </c>
      <c r="P5948" s="12">
        <f t="shared" si="927"/>
        <v>0</v>
      </c>
      <c r="Q5948" s="17" t="str">
        <f t="shared" si="929"/>
        <v>Pas d'écart</v>
      </c>
    </row>
    <row r="5949" spans="1:18" x14ac:dyDescent="0.3">
      <c r="A5949" s="34" t="str">
        <f>base!J5949</f>
        <v>LM</v>
      </c>
      <c r="B5949" s="34" t="str">
        <f>base!V5949</f>
        <v>75014</v>
      </c>
      <c r="C5949" s="37">
        <v>75</v>
      </c>
      <c r="D5949" s="36">
        <f>base!H5949</f>
        <v>19.649999999999999</v>
      </c>
      <c r="E5949" s="44"/>
      <c r="F5949" s="16">
        <f>base!W5949</f>
        <v>0</v>
      </c>
      <c r="G5949" s="11">
        <f t="shared" si="920"/>
        <v>0</v>
      </c>
      <c r="H5949" s="11">
        <f t="shared" si="921"/>
        <v>0</v>
      </c>
      <c r="I5949" s="11">
        <f t="shared" si="922"/>
        <v>0</v>
      </c>
      <c r="J5949" s="12">
        <f t="shared" si="923"/>
        <v>0</v>
      </c>
      <c r="K5949" s="17" t="str">
        <f t="shared" si="928"/>
        <v>Pas d'écart</v>
      </c>
      <c r="L5949" s="16">
        <f>base!X5949</f>
        <v>0</v>
      </c>
      <c r="M5949" s="11">
        <f t="shared" si="924"/>
        <v>0</v>
      </c>
      <c r="N5949" s="11">
        <f t="shared" si="925"/>
        <v>0</v>
      </c>
      <c r="O5949" s="11">
        <f t="shared" si="926"/>
        <v>0</v>
      </c>
      <c r="P5949" s="12">
        <f t="shared" si="927"/>
        <v>0</v>
      </c>
      <c r="Q5949" s="17" t="str">
        <f t="shared" si="929"/>
        <v>Pas d'écart</v>
      </c>
    </row>
    <row r="5950" spans="1:18" x14ac:dyDescent="0.3">
      <c r="A5950" s="34" t="str">
        <f>base!J5950</f>
        <v>LM</v>
      </c>
      <c r="B5950" s="34" t="str">
        <f>base!V5950</f>
        <v>75002</v>
      </c>
      <c r="C5950" s="37">
        <v>75</v>
      </c>
      <c r="D5950" s="36">
        <f>base!H5950</f>
        <v>154.21</v>
      </c>
      <c r="E5950" s="44"/>
      <c r="F5950" s="16">
        <f>base!W5950</f>
        <v>0</v>
      </c>
      <c r="G5950" s="11">
        <f t="shared" si="920"/>
        <v>0</v>
      </c>
      <c r="H5950" s="11">
        <f t="shared" si="921"/>
        <v>0</v>
      </c>
      <c r="I5950" s="11">
        <f t="shared" si="922"/>
        <v>0</v>
      </c>
      <c r="J5950" s="12">
        <f t="shared" si="923"/>
        <v>0</v>
      </c>
      <c r="K5950" s="17" t="str">
        <f t="shared" si="928"/>
        <v>Pas d'écart</v>
      </c>
      <c r="L5950" s="16">
        <f>base!X5950</f>
        <v>0</v>
      </c>
      <c r="M5950" s="11">
        <f t="shared" si="924"/>
        <v>0</v>
      </c>
      <c r="N5950" s="11">
        <f t="shared" si="925"/>
        <v>0</v>
      </c>
      <c r="O5950" s="11">
        <f t="shared" si="926"/>
        <v>0</v>
      </c>
      <c r="P5950" s="12">
        <f t="shared" si="927"/>
        <v>0</v>
      </c>
      <c r="Q5950" s="17" t="str">
        <f t="shared" si="929"/>
        <v>Pas d'écart</v>
      </c>
    </row>
    <row r="5951" spans="1:18" x14ac:dyDescent="0.3">
      <c r="A5951" s="34" t="str">
        <f>base!J5951</f>
        <v>LS</v>
      </c>
      <c r="B5951" s="34" t="str">
        <f>base!V5951</f>
        <v>25350</v>
      </c>
      <c r="C5951" s="37">
        <v>67</v>
      </c>
      <c r="D5951" s="36">
        <f>base!H5951</f>
        <v>103.06</v>
      </c>
      <c r="E5951" s="44"/>
      <c r="F5951" s="16">
        <f>base!W5951</f>
        <v>24.73</v>
      </c>
      <c r="G5951" s="11">
        <f t="shared" si="920"/>
        <v>0.23995730642344265</v>
      </c>
      <c r="H5951" s="11">
        <f t="shared" si="921"/>
        <v>29.8874</v>
      </c>
      <c r="I5951" s="11">
        <f t="shared" si="922"/>
        <v>0.28999999999999998</v>
      </c>
      <c r="J5951" s="12">
        <f t="shared" si="923"/>
        <v>-5.1573999999999991</v>
      </c>
      <c r="K5951" s="17" t="str">
        <f t="shared" si="928"/>
        <v>Ecart négatif</v>
      </c>
      <c r="L5951" s="16">
        <f>base!X5951</f>
        <v>0</v>
      </c>
      <c r="M5951" s="11">
        <f t="shared" si="924"/>
        <v>0</v>
      </c>
      <c r="N5951" s="11">
        <f t="shared" si="925"/>
        <v>8.2447999999999997</v>
      </c>
      <c r="O5951" s="11">
        <f t="shared" si="926"/>
        <v>0.08</v>
      </c>
      <c r="P5951" s="12">
        <f t="shared" si="927"/>
        <v>-8.2447999999999997</v>
      </c>
      <c r="Q5951" s="17" t="str">
        <f t="shared" si="929"/>
        <v>Ecart négatif</v>
      </c>
    </row>
    <row r="5952" spans="1:18" x14ac:dyDescent="0.3">
      <c r="A5952" s="34" t="str">
        <f>base!J5952</f>
        <v>RM</v>
      </c>
      <c r="B5952" s="34" t="str">
        <f>base!V5952</f>
        <v>62740</v>
      </c>
      <c r="C5952" s="37">
        <v>62</v>
      </c>
      <c r="D5952" s="36">
        <f>base!H5952</f>
        <v>40</v>
      </c>
      <c r="E5952" s="44"/>
      <c r="F5952" s="16">
        <f>base!W5952</f>
        <v>0</v>
      </c>
      <c r="G5952" s="11">
        <f t="shared" si="920"/>
        <v>0</v>
      </c>
      <c r="H5952" s="11">
        <f t="shared" si="921"/>
        <v>7.6</v>
      </c>
      <c r="I5952" s="11">
        <f t="shared" si="922"/>
        <v>0.19</v>
      </c>
      <c r="J5952" s="12">
        <f t="shared" si="923"/>
        <v>-7.6</v>
      </c>
      <c r="K5952" s="17" t="str">
        <f t="shared" si="928"/>
        <v>Ecart négatif</v>
      </c>
      <c r="L5952" s="16">
        <f>base!X5952</f>
        <v>0</v>
      </c>
      <c r="M5952" s="11">
        <f t="shared" si="924"/>
        <v>0</v>
      </c>
      <c r="N5952" s="11">
        <f t="shared" si="925"/>
        <v>0</v>
      </c>
      <c r="O5952" s="11">
        <f t="shared" si="926"/>
        <v>0</v>
      </c>
      <c r="P5952" s="12">
        <f t="shared" si="927"/>
        <v>0</v>
      </c>
      <c r="Q5952" s="17" t="str">
        <f t="shared" si="929"/>
        <v>Pas d'écart</v>
      </c>
    </row>
    <row r="5953" spans="1:18" x14ac:dyDescent="0.3">
      <c r="A5953" s="34" t="str">
        <f>base!J5953</f>
        <v>RS</v>
      </c>
      <c r="B5953" s="34" t="str">
        <f>base!V5953</f>
        <v>62740</v>
      </c>
      <c r="C5953" s="37">
        <v>62</v>
      </c>
      <c r="D5953" s="36">
        <f>base!H5953</f>
        <v>29.89</v>
      </c>
      <c r="E5953" s="44"/>
      <c r="F5953" s="16">
        <f>base!W5953</f>
        <v>0</v>
      </c>
      <c r="G5953" s="11">
        <f t="shared" si="920"/>
        <v>0</v>
      </c>
      <c r="H5953" s="11">
        <f t="shared" si="921"/>
        <v>5.6791</v>
      </c>
      <c r="I5953" s="11">
        <f t="shared" si="922"/>
        <v>0.19</v>
      </c>
      <c r="J5953" s="12">
        <f t="shared" si="923"/>
        <v>-5.6791</v>
      </c>
      <c r="K5953" s="17" t="str">
        <f t="shared" si="928"/>
        <v>Ecart négatif</v>
      </c>
      <c r="L5953" s="16">
        <f>base!X5953</f>
        <v>0</v>
      </c>
      <c r="M5953" s="11">
        <f t="shared" si="924"/>
        <v>0</v>
      </c>
      <c r="N5953" s="11">
        <f t="shared" si="925"/>
        <v>0</v>
      </c>
      <c r="O5953" s="11">
        <f t="shared" si="926"/>
        <v>0</v>
      </c>
      <c r="P5953" s="12">
        <f t="shared" si="927"/>
        <v>0</v>
      </c>
      <c r="Q5953" s="17" t="str">
        <f t="shared" si="929"/>
        <v>Pas d'écart</v>
      </c>
    </row>
    <row r="5954" spans="1:18" x14ac:dyDescent="0.3">
      <c r="A5954" s="34" t="str">
        <f>base!J5954</f>
        <v>RS</v>
      </c>
      <c r="B5954" s="34" t="str">
        <f>base!V5954</f>
        <v>75010</v>
      </c>
      <c r="C5954" s="37">
        <v>75</v>
      </c>
      <c r="D5954" s="36">
        <f>base!H5954</f>
        <v>80.400000000000006</v>
      </c>
      <c r="E5954" s="44"/>
      <c r="F5954" s="16">
        <f>base!W5954</f>
        <v>0</v>
      </c>
      <c r="G5954" s="11">
        <f t="shared" ref="G5954:G6017" si="930">F5954/D5954</f>
        <v>0</v>
      </c>
      <c r="H5954" s="11">
        <f t="shared" ref="H5954:H6017" si="931">VLOOKUP(C5954,tout_cout_traction,2,FALSE)*D5954</f>
        <v>0</v>
      </c>
      <c r="I5954" s="11">
        <f t="shared" ref="I5954:I6017" si="932">H5954/D5954</f>
        <v>0</v>
      </c>
      <c r="J5954" s="12">
        <f t="shared" ref="J5954:J6017" si="933">F5954-H5954</f>
        <v>0</v>
      </c>
      <c r="K5954" s="17" t="str">
        <f t="shared" si="928"/>
        <v>Pas d'écart</v>
      </c>
      <c r="L5954" s="16">
        <f>base!X5954</f>
        <v>0</v>
      </c>
      <c r="M5954" s="11">
        <f t="shared" ref="M5954:M6017" si="934">L5954/D5954</f>
        <v>0</v>
      </c>
      <c r="N5954" s="11">
        <f t="shared" ref="N5954:N6017" si="935">VLOOKUP(C5954,tout_cout_traction,3,FALSE)*D5954</f>
        <v>0</v>
      </c>
      <c r="O5954" s="11">
        <f t="shared" ref="O5954:O6017" si="936">N5954/D5954</f>
        <v>0</v>
      </c>
      <c r="P5954" s="12">
        <f t="shared" ref="P5954:P6017" si="937">L5954-N5954</f>
        <v>0</v>
      </c>
      <c r="Q5954" s="17" t="str">
        <f t="shared" si="929"/>
        <v>Pas d'écart</v>
      </c>
    </row>
    <row r="5955" spans="1:18" x14ac:dyDescent="0.3">
      <c r="A5955" s="34">
        <f>base!J5955</f>
        <v>0</v>
      </c>
      <c r="B5955" s="34" t="str">
        <f>base!V5955</f>
        <v>77184</v>
      </c>
      <c r="C5955" s="37">
        <v>77</v>
      </c>
      <c r="D5955" s="36">
        <f>base!H5955</f>
        <v>84.5</v>
      </c>
      <c r="E5955" s="44"/>
      <c r="F5955" s="16">
        <f>base!W5955</f>
        <v>0</v>
      </c>
      <c r="G5955" s="11">
        <f t="shared" si="930"/>
        <v>0</v>
      </c>
      <c r="H5955" s="11">
        <f t="shared" si="931"/>
        <v>0</v>
      </c>
      <c r="I5955" s="11">
        <f t="shared" si="932"/>
        <v>0</v>
      </c>
      <c r="J5955" s="12">
        <f t="shared" si="933"/>
        <v>0</v>
      </c>
      <c r="K5955" s="17" t="str">
        <f t="shared" ref="K5955:K6018" si="938">IF(H5955=F5955,"Pas d'écart",IF(H5955&lt;F5955,"Ecart positif",IF(H5955&gt;F5955,"Ecart négatif")))</f>
        <v>Pas d'écart</v>
      </c>
      <c r="L5955" s="16">
        <f>base!X5955</f>
        <v>0</v>
      </c>
      <c r="M5955" s="11">
        <f t="shared" si="934"/>
        <v>0</v>
      </c>
      <c r="N5955" s="11">
        <f t="shared" si="935"/>
        <v>0</v>
      </c>
      <c r="O5955" s="11">
        <f t="shared" si="936"/>
        <v>0</v>
      </c>
      <c r="P5955" s="12">
        <f t="shared" si="937"/>
        <v>0</v>
      </c>
      <c r="Q5955" s="17" t="str">
        <f t="shared" ref="Q5955:Q6018" si="939">IF(N5955=L5955,"Pas d'écart",IF(N5955&lt;L5955,"Ecart positif",IF(N5955&gt;L5955,"Ecart négatif")))</f>
        <v>Pas d'écart</v>
      </c>
    </row>
    <row r="5956" spans="1:18" x14ac:dyDescent="0.3">
      <c r="A5956" s="34" t="str">
        <f>base!J5956</f>
        <v>RS</v>
      </c>
      <c r="B5956" s="34" t="str">
        <f>base!V5956</f>
        <v>57050</v>
      </c>
      <c r="C5956" s="37">
        <v>57</v>
      </c>
      <c r="D5956" s="36">
        <f>base!H5956</f>
        <v>116.56</v>
      </c>
      <c r="E5956" s="44"/>
      <c r="F5956" s="16">
        <f>base!W5956</f>
        <v>0</v>
      </c>
      <c r="G5956" s="11">
        <f t="shared" si="930"/>
        <v>0</v>
      </c>
      <c r="H5956" s="11">
        <f t="shared" si="931"/>
        <v>27.974399999999999</v>
      </c>
      <c r="I5956" s="11">
        <f t="shared" si="932"/>
        <v>0.24</v>
      </c>
      <c r="J5956" s="12">
        <f t="shared" si="933"/>
        <v>-27.974399999999999</v>
      </c>
      <c r="K5956" s="17" t="str">
        <f t="shared" si="938"/>
        <v>Ecart négatif</v>
      </c>
      <c r="L5956" s="16">
        <f>base!X5956</f>
        <v>29.14</v>
      </c>
      <c r="M5956" s="11">
        <f t="shared" si="934"/>
        <v>0.25</v>
      </c>
      <c r="N5956" s="11">
        <f t="shared" si="935"/>
        <v>29.14</v>
      </c>
      <c r="O5956" s="11">
        <f t="shared" si="936"/>
        <v>0.25</v>
      </c>
      <c r="P5956" s="12">
        <f t="shared" si="937"/>
        <v>0</v>
      </c>
      <c r="Q5956" s="17" t="str">
        <f t="shared" si="939"/>
        <v>Pas d'écart</v>
      </c>
      <c r="R5956" s="38"/>
    </row>
    <row r="5957" spans="1:18" x14ac:dyDescent="0.3">
      <c r="A5957" s="34" t="str">
        <f>base!J5957</f>
        <v>LM</v>
      </c>
      <c r="B5957" s="34" t="str">
        <f>base!V5957</f>
        <v>62000</v>
      </c>
      <c r="C5957" s="37">
        <v>63</v>
      </c>
      <c r="D5957" s="36">
        <f>base!H5957</f>
        <v>211.93</v>
      </c>
      <c r="E5957" s="44"/>
      <c r="F5957" s="16">
        <f>base!W5957</f>
        <v>40.270000000000003</v>
      </c>
      <c r="G5957" s="11">
        <f t="shared" si="930"/>
        <v>0.19001557117916293</v>
      </c>
      <c r="H5957" s="11">
        <f t="shared" si="931"/>
        <v>61.459699999999998</v>
      </c>
      <c r="I5957" s="11">
        <f t="shared" si="932"/>
        <v>0.28999999999999998</v>
      </c>
      <c r="J5957" s="12">
        <f t="shared" si="933"/>
        <v>-21.189699999999995</v>
      </c>
      <c r="K5957" s="17" t="str">
        <f t="shared" si="938"/>
        <v>Ecart négatif</v>
      </c>
      <c r="L5957" s="16">
        <f>base!X5957</f>
        <v>0</v>
      </c>
      <c r="M5957" s="11">
        <f t="shared" si="934"/>
        <v>0</v>
      </c>
      <c r="N5957" s="11">
        <f t="shared" si="935"/>
        <v>25.4316</v>
      </c>
      <c r="O5957" s="11">
        <f t="shared" si="936"/>
        <v>0.12</v>
      </c>
      <c r="P5957" s="12">
        <f t="shared" si="937"/>
        <v>-25.4316</v>
      </c>
      <c r="Q5957" s="17" t="str">
        <f t="shared" si="939"/>
        <v>Ecart négatif</v>
      </c>
    </row>
    <row r="5958" spans="1:18" x14ac:dyDescent="0.3">
      <c r="A5958" s="34" t="str">
        <f>base!J5958</f>
        <v>LM</v>
      </c>
      <c r="B5958" s="34" t="str">
        <f>base!V5958</f>
        <v>59270</v>
      </c>
      <c r="C5958" s="37">
        <v>59</v>
      </c>
      <c r="D5958" s="36">
        <f>base!H5958</f>
        <v>40</v>
      </c>
      <c r="E5958" s="44"/>
      <c r="F5958" s="16">
        <f>base!W5958</f>
        <v>7.6</v>
      </c>
      <c r="G5958" s="11">
        <f t="shared" si="930"/>
        <v>0.19</v>
      </c>
      <c r="H5958" s="11">
        <f t="shared" si="931"/>
        <v>7.6</v>
      </c>
      <c r="I5958" s="11">
        <f t="shared" si="932"/>
        <v>0.19</v>
      </c>
      <c r="J5958" s="12">
        <f t="shared" si="933"/>
        <v>0</v>
      </c>
      <c r="K5958" s="17" t="str">
        <f t="shared" si="938"/>
        <v>Pas d'écart</v>
      </c>
      <c r="L5958" s="16">
        <f>base!X5958</f>
        <v>0</v>
      </c>
      <c r="M5958" s="11">
        <f t="shared" si="934"/>
        <v>0</v>
      </c>
      <c r="N5958" s="11">
        <f t="shared" si="935"/>
        <v>0</v>
      </c>
      <c r="O5958" s="11">
        <f t="shared" si="936"/>
        <v>0</v>
      </c>
      <c r="P5958" s="12">
        <f t="shared" si="937"/>
        <v>0</v>
      </c>
      <c r="Q5958" s="17" t="str">
        <f t="shared" si="939"/>
        <v>Pas d'écart</v>
      </c>
    </row>
    <row r="5959" spans="1:18" x14ac:dyDescent="0.3">
      <c r="A5959" s="34" t="str">
        <f>base!J5959</f>
        <v>LM</v>
      </c>
      <c r="B5959" s="34" t="str">
        <f>base!V5959</f>
        <v>60100</v>
      </c>
      <c r="C5959" s="37">
        <v>13</v>
      </c>
      <c r="D5959" s="36">
        <f>base!H5959</f>
        <v>33.35</v>
      </c>
      <c r="E5959" s="44"/>
      <c r="F5959" s="16">
        <f>base!W5959</f>
        <v>6.34</v>
      </c>
      <c r="G5959" s="11">
        <f t="shared" si="930"/>
        <v>0.19010494752623686</v>
      </c>
      <c r="H5959" s="11">
        <f t="shared" si="931"/>
        <v>9.6715</v>
      </c>
      <c r="I5959" s="11">
        <f t="shared" si="932"/>
        <v>0.28999999999999998</v>
      </c>
      <c r="J5959" s="12">
        <f t="shared" si="933"/>
        <v>-3.3315000000000001</v>
      </c>
      <c r="K5959" s="17" t="str">
        <f t="shared" si="938"/>
        <v>Ecart négatif</v>
      </c>
      <c r="L5959" s="16">
        <f>base!X5959</f>
        <v>0</v>
      </c>
      <c r="M5959" s="11">
        <f t="shared" si="934"/>
        <v>0</v>
      </c>
      <c r="N5959" s="11">
        <f t="shared" si="935"/>
        <v>6.3365</v>
      </c>
      <c r="O5959" s="11">
        <f t="shared" si="936"/>
        <v>0.19</v>
      </c>
      <c r="P5959" s="12">
        <f t="shared" si="937"/>
        <v>-6.3365</v>
      </c>
      <c r="Q5959" s="17" t="str">
        <f t="shared" si="939"/>
        <v>Ecart négatif</v>
      </c>
    </row>
    <row r="5960" spans="1:18" x14ac:dyDescent="0.3">
      <c r="A5960" s="34" t="str">
        <f>base!J5960</f>
        <v>LM</v>
      </c>
      <c r="B5960" s="34" t="str">
        <f>base!V5960</f>
        <v>54000</v>
      </c>
      <c r="C5960" s="37">
        <v>67</v>
      </c>
      <c r="D5960" s="36">
        <f>base!H5960</f>
        <v>19.8</v>
      </c>
      <c r="E5960" s="44"/>
      <c r="F5960" s="16">
        <f>base!W5960</f>
        <v>4.95</v>
      </c>
      <c r="G5960" s="11">
        <f t="shared" si="930"/>
        <v>0.25</v>
      </c>
      <c r="H5960" s="11">
        <f t="shared" si="931"/>
        <v>5.742</v>
      </c>
      <c r="I5960" s="11">
        <f t="shared" si="932"/>
        <v>0.28999999999999998</v>
      </c>
      <c r="J5960" s="12">
        <f t="shared" si="933"/>
        <v>-0.79199999999999982</v>
      </c>
      <c r="K5960" s="17" t="str">
        <f t="shared" si="938"/>
        <v>Ecart négatif</v>
      </c>
      <c r="L5960" s="16">
        <f>base!X5960</f>
        <v>0</v>
      </c>
      <c r="M5960" s="11">
        <f t="shared" si="934"/>
        <v>0</v>
      </c>
      <c r="N5960" s="11">
        <f t="shared" si="935"/>
        <v>1.5840000000000001</v>
      </c>
      <c r="O5960" s="11">
        <f t="shared" si="936"/>
        <v>0.08</v>
      </c>
      <c r="P5960" s="12">
        <f t="shared" si="937"/>
        <v>-1.5840000000000001</v>
      </c>
      <c r="Q5960" s="17" t="str">
        <f t="shared" si="939"/>
        <v>Ecart négatif</v>
      </c>
    </row>
    <row r="5961" spans="1:18" x14ac:dyDescent="0.3">
      <c r="A5961" s="34">
        <f>base!J5961</f>
        <v>0</v>
      </c>
      <c r="B5961" s="34" t="str">
        <f>base!V5961</f>
        <v>77184</v>
      </c>
      <c r="C5961" s="37">
        <v>77</v>
      </c>
      <c r="D5961" s="36">
        <f>base!H5961</f>
        <v>26</v>
      </c>
      <c r="E5961" s="44"/>
      <c r="F5961" s="16">
        <f>base!W5961</f>
        <v>0</v>
      </c>
      <c r="G5961" s="11">
        <f t="shared" si="930"/>
        <v>0</v>
      </c>
      <c r="H5961" s="11">
        <f t="shared" si="931"/>
        <v>0</v>
      </c>
      <c r="I5961" s="11">
        <f t="shared" si="932"/>
        <v>0</v>
      </c>
      <c r="J5961" s="12">
        <f t="shared" si="933"/>
        <v>0</v>
      </c>
      <c r="K5961" s="17" t="str">
        <f t="shared" si="938"/>
        <v>Pas d'écart</v>
      </c>
      <c r="L5961" s="16">
        <f>base!X5961</f>
        <v>0</v>
      </c>
      <c r="M5961" s="11">
        <f t="shared" si="934"/>
        <v>0</v>
      </c>
      <c r="N5961" s="11">
        <f t="shared" si="935"/>
        <v>0</v>
      </c>
      <c r="O5961" s="11">
        <f t="shared" si="936"/>
        <v>0</v>
      </c>
      <c r="P5961" s="12">
        <f t="shared" si="937"/>
        <v>0</v>
      </c>
      <c r="Q5961" s="17" t="str">
        <f t="shared" si="939"/>
        <v>Pas d'écart</v>
      </c>
    </row>
    <row r="5962" spans="1:18" x14ac:dyDescent="0.3">
      <c r="A5962" s="34">
        <f>base!J5962</f>
        <v>0</v>
      </c>
      <c r="B5962" s="34" t="str">
        <f>base!V5962</f>
        <v>77184</v>
      </c>
      <c r="C5962" s="37">
        <v>77</v>
      </c>
      <c r="D5962" s="36">
        <f>base!H5962</f>
        <v>32</v>
      </c>
      <c r="E5962" s="44"/>
      <c r="F5962" s="16">
        <f>base!W5962</f>
        <v>0</v>
      </c>
      <c r="G5962" s="11">
        <f t="shared" si="930"/>
        <v>0</v>
      </c>
      <c r="H5962" s="11">
        <f t="shared" si="931"/>
        <v>0</v>
      </c>
      <c r="I5962" s="11">
        <f t="shared" si="932"/>
        <v>0</v>
      </c>
      <c r="J5962" s="12">
        <f t="shared" si="933"/>
        <v>0</v>
      </c>
      <c r="K5962" s="17" t="str">
        <f t="shared" si="938"/>
        <v>Pas d'écart</v>
      </c>
      <c r="L5962" s="16">
        <f>base!X5962</f>
        <v>0</v>
      </c>
      <c r="M5962" s="11">
        <f t="shared" si="934"/>
        <v>0</v>
      </c>
      <c r="N5962" s="11">
        <f t="shared" si="935"/>
        <v>0</v>
      </c>
      <c r="O5962" s="11">
        <f t="shared" si="936"/>
        <v>0</v>
      </c>
      <c r="P5962" s="12">
        <f t="shared" si="937"/>
        <v>0</v>
      </c>
      <c r="Q5962" s="17" t="str">
        <f t="shared" si="939"/>
        <v>Pas d'écart</v>
      </c>
    </row>
    <row r="5963" spans="1:18" x14ac:dyDescent="0.3">
      <c r="A5963" s="34">
        <f>base!J5963</f>
        <v>0</v>
      </c>
      <c r="B5963" s="34" t="str">
        <f>base!V5963</f>
        <v>77184</v>
      </c>
      <c r="C5963" s="37">
        <v>77</v>
      </c>
      <c r="D5963" s="36">
        <f>base!H5963</f>
        <v>26.6</v>
      </c>
      <c r="E5963" s="44"/>
      <c r="F5963" s="16">
        <f>base!W5963</f>
        <v>0</v>
      </c>
      <c r="G5963" s="11">
        <f t="shared" si="930"/>
        <v>0</v>
      </c>
      <c r="H5963" s="11">
        <f t="shared" si="931"/>
        <v>0</v>
      </c>
      <c r="I5963" s="11">
        <f t="shared" si="932"/>
        <v>0</v>
      </c>
      <c r="J5963" s="12">
        <f t="shared" si="933"/>
        <v>0</v>
      </c>
      <c r="K5963" s="17" t="str">
        <f t="shared" si="938"/>
        <v>Pas d'écart</v>
      </c>
      <c r="L5963" s="16">
        <f>base!X5963</f>
        <v>0</v>
      </c>
      <c r="M5963" s="11">
        <f t="shared" si="934"/>
        <v>0</v>
      </c>
      <c r="N5963" s="11">
        <f t="shared" si="935"/>
        <v>0</v>
      </c>
      <c r="O5963" s="11">
        <f t="shared" si="936"/>
        <v>0</v>
      </c>
      <c r="P5963" s="12">
        <f t="shared" si="937"/>
        <v>0</v>
      </c>
      <c r="Q5963" s="17" t="str">
        <f t="shared" si="939"/>
        <v>Pas d'écart</v>
      </c>
    </row>
    <row r="5964" spans="1:18" x14ac:dyDescent="0.3">
      <c r="A5964" s="34" t="str">
        <f>base!J5964</f>
        <v>LS</v>
      </c>
      <c r="B5964" s="34" t="str">
        <f>base!V5964</f>
        <v>02000</v>
      </c>
      <c r="C5964" s="37">
        <v>13</v>
      </c>
      <c r="D5964" s="36">
        <f>base!H5964</f>
        <v>1259.45</v>
      </c>
      <c r="E5964" s="44"/>
      <c r="F5964" s="16">
        <f>base!W5964</f>
        <v>239.3</v>
      </c>
      <c r="G5964" s="11">
        <f t="shared" si="930"/>
        <v>0.19000357298820914</v>
      </c>
      <c r="H5964" s="11">
        <f t="shared" si="931"/>
        <v>365.2405</v>
      </c>
      <c r="I5964" s="11">
        <f t="shared" si="932"/>
        <v>0.28999999999999998</v>
      </c>
      <c r="J5964" s="12">
        <f t="shared" si="933"/>
        <v>-125.94049999999999</v>
      </c>
      <c r="K5964" s="17" t="str">
        <f t="shared" si="938"/>
        <v>Ecart négatif</v>
      </c>
      <c r="L5964" s="16">
        <f>base!X5964</f>
        <v>0</v>
      </c>
      <c r="M5964" s="11">
        <f t="shared" si="934"/>
        <v>0</v>
      </c>
      <c r="N5964" s="11">
        <f t="shared" si="935"/>
        <v>239.2955</v>
      </c>
      <c r="O5964" s="11">
        <f t="shared" si="936"/>
        <v>0.19</v>
      </c>
      <c r="P5964" s="12">
        <f t="shared" si="937"/>
        <v>-239.2955</v>
      </c>
      <c r="Q5964" s="17" t="str">
        <f t="shared" si="939"/>
        <v>Ecart négatif</v>
      </c>
    </row>
    <row r="5965" spans="1:18" x14ac:dyDescent="0.3">
      <c r="A5965" s="34" t="str">
        <f>base!J5965</f>
        <v>LM</v>
      </c>
      <c r="B5965" s="34" t="str">
        <f>base!V5965</f>
        <v>06140</v>
      </c>
      <c r="C5965" s="37">
        <v>6</v>
      </c>
      <c r="D5965" s="36">
        <f>base!H5965</f>
        <v>75.34</v>
      </c>
      <c r="E5965" s="44"/>
      <c r="F5965" s="16">
        <f>base!W5965</f>
        <v>22.6</v>
      </c>
      <c r="G5965" s="11">
        <f t="shared" si="930"/>
        <v>0.29997345367666578</v>
      </c>
      <c r="H5965" s="11">
        <f t="shared" si="931"/>
        <v>22.602</v>
      </c>
      <c r="I5965" s="11">
        <f t="shared" si="932"/>
        <v>0.3</v>
      </c>
      <c r="J5965" s="12">
        <f t="shared" si="933"/>
        <v>-1.9999999999988916E-3</v>
      </c>
      <c r="K5965" s="17" t="str">
        <f t="shared" si="938"/>
        <v>Ecart négatif</v>
      </c>
      <c r="L5965" s="16">
        <f>base!X5965</f>
        <v>0</v>
      </c>
      <c r="M5965" s="11">
        <f t="shared" si="934"/>
        <v>0</v>
      </c>
      <c r="N5965" s="11">
        <f t="shared" si="935"/>
        <v>15.821400000000001</v>
      </c>
      <c r="O5965" s="11">
        <f t="shared" si="936"/>
        <v>0.21</v>
      </c>
      <c r="P5965" s="12">
        <f t="shared" si="937"/>
        <v>-15.821400000000001</v>
      </c>
      <c r="Q5965" s="17" t="str">
        <f t="shared" si="939"/>
        <v>Ecart négatif</v>
      </c>
    </row>
    <row r="5966" spans="1:18" x14ac:dyDescent="0.3">
      <c r="A5966" s="34" t="str">
        <f>base!J5966</f>
        <v>LS</v>
      </c>
      <c r="B5966" s="34" t="str">
        <f>base!V5966</f>
        <v>14200</v>
      </c>
      <c r="C5966" s="37">
        <v>6</v>
      </c>
      <c r="D5966" s="36">
        <f>base!H5966</f>
        <v>22.33</v>
      </c>
      <c r="E5966" s="44"/>
      <c r="F5966" s="16">
        <f>base!W5966</f>
        <v>3.8</v>
      </c>
      <c r="G5966" s="11">
        <f t="shared" si="930"/>
        <v>0.17017465293327363</v>
      </c>
      <c r="H5966" s="11">
        <f t="shared" si="931"/>
        <v>6.698999999999999</v>
      </c>
      <c r="I5966" s="11">
        <f t="shared" si="932"/>
        <v>0.3</v>
      </c>
      <c r="J5966" s="12">
        <f t="shared" si="933"/>
        <v>-2.8989999999999991</v>
      </c>
      <c r="K5966" s="17" t="str">
        <f t="shared" si="938"/>
        <v>Ecart négatif</v>
      </c>
      <c r="L5966" s="16">
        <f>base!X5966</f>
        <v>0</v>
      </c>
      <c r="M5966" s="11">
        <f t="shared" si="934"/>
        <v>0</v>
      </c>
      <c r="N5966" s="11">
        <f t="shared" si="935"/>
        <v>4.6892999999999994</v>
      </c>
      <c r="O5966" s="11">
        <f t="shared" si="936"/>
        <v>0.21</v>
      </c>
      <c r="P5966" s="12">
        <f t="shared" si="937"/>
        <v>-4.6892999999999994</v>
      </c>
      <c r="Q5966" s="17" t="str">
        <f t="shared" si="939"/>
        <v>Ecart négatif</v>
      </c>
    </row>
    <row r="5967" spans="1:18" x14ac:dyDescent="0.3">
      <c r="A5967" s="34" t="str">
        <f>base!J5967</f>
        <v>RS</v>
      </c>
      <c r="B5967" s="34" t="str">
        <f>base!V5967</f>
        <v>76600</v>
      </c>
      <c r="C5967" s="37">
        <v>76</v>
      </c>
      <c r="D5967" s="36">
        <f>base!H5967</f>
        <v>160</v>
      </c>
      <c r="E5967" s="44"/>
      <c r="F5967" s="16">
        <f>base!W5967</f>
        <v>0</v>
      </c>
      <c r="G5967" s="11">
        <f t="shared" si="930"/>
        <v>0</v>
      </c>
      <c r="H5967" s="11">
        <f t="shared" si="931"/>
        <v>27.200000000000003</v>
      </c>
      <c r="I5967" s="11">
        <f t="shared" si="932"/>
        <v>0.17</v>
      </c>
      <c r="J5967" s="12">
        <f t="shared" si="933"/>
        <v>-27.200000000000003</v>
      </c>
      <c r="K5967" s="17" t="str">
        <f t="shared" si="938"/>
        <v>Ecart négatif</v>
      </c>
      <c r="L5967" s="16">
        <f>base!X5967</f>
        <v>0</v>
      </c>
      <c r="M5967" s="11">
        <f t="shared" si="934"/>
        <v>0</v>
      </c>
      <c r="N5967" s="11">
        <f t="shared" si="935"/>
        <v>27.200000000000003</v>
      </c>
      <c r="O5967" s="11">
        <f t="shared" si="936"/>
        <v>0.17</v>
      </c>
      <c r="P5967" s="12">
        <f t="shared" si="937"/>
        <v>-27.200000000000003</v>
      </c>
      <c r="Q5967" s="17" t="str">
        <f t="shared" si="939"/>
        <v>Ecart négatif</v>
      </c>
    </row>
    <row r="5968" spans="1:18" x14ac:dyDescent="0.3">
      <c r="A5968" s="34" t="str">
        <f>base!J5968</f>
        <v>LS</v>
      </c>
      <c r="B5968" s="34" t="str">
        <f>base!V5968</f>
        <v>13009</v>
      </c>
      <c r="C5968" s="37">
        <v>6</v>
      </c>
      <c r="D5968" s="36">
        <f>base!H5968</f>
        <v>55.14</v>
      </c>
      <c r="E5968" s="44"/>
      <c r="F5968" s="16">
        <f>base!W5968</f>
        <v>15.99</v>
      </c>
      <c r="G5968" s="11">
        <f t="shared" si="930"/>
        <v>0.28998911860718174</v>
      </c>
      <c r="H5968" s="11">
        <f t="shared" si="931"/>
        <v>16.541999999999998</v>
      </c>
      <c r="I5968" s="11">
        <f t="shared" si="932"/>
        <v>0.3</v>
      </c>
      <c r="J5968" s="12">
        <f t="shared" si="933"/>
        <v>-0.55199999999999783</v>
      </c>
      <c r="K5968" s="17" t="str">
        <f t="shared" si="938"/>
        <v>Ecart négatif</v>
      </c>
      <c r="L5968" s="16">
        <f>base!X5968</f>
        <v>0</v>
      </c>
      <c r="M5968" s="11">
        <f t="shared" si="934"/>
        <v>0</v>
      </c>
      <c r="N5968" s="11">
        <f t="shared" si="935"/>
        <v>11.5794</v>
      </c>
      <c r="O5968" s="11">
        <f t="shared" si="936"/>
        <v>0.21</v>
      </c>
      <c r="P5968" s="12">
        <f t="shared" si="937"/>
        <v>-11.5794</v>
      </c>
      <c r="Q5968" s="17" t="str">
        <f t="shared" si="939"/>
        <v>Ecart négatif</v>
      </c>
    </row>
    <row r="5969" spans="1:17" x14ac:dyDescent="0.3">
      <c r="A5969" s="34" t="str">
        <f>base!J5969</f>
        <v>LS</v>
      </c>
      <c r="B5969" s="34" t="str">
        <f>base!V5969</f>
        <v>67720</v>
      </c>
      <c r="C5969" s="37">
        <v>6</v>
      </c>
      <c r="D5969" s="36">
        <f>base!H5969</f>
        <v>141.65</v>
      </c>
      <c r="E5969" s="44"/>
      <c r="F5969" s="16">
        <f>base!W5969</f>
        <v>41.08</v>
      </c>
      <c r="G5969" s="11">
        <f t="shared" si="930"/>
        <v>0.29001058948111541</v>
      </c>
      <c r="H5969" s="11">
        <f t="shared" si="931"/>
        <v>42.494999999999997</v>
      </c>
      <c r="I5969" s="11">
        <f t="shared" si="932"/>
        <v>0.3</v>
      </c>
      <c r="J5969" s="12">
        <f t="shared" si="933"/>
        <v>-1.4149999999999991</v>
      </c>
      <c r="K5969" s="17" t="str">
        <f t="shared" si="938"/>
        <v>Ecart négatif</v>
      </c>
      <c r="L5969" s="16">
        <f>base!X5969</f>
        <v>0</v>
      </c>
      <c r="M5969" s="11">
        <f t="shared" si="934"/>
        <v>0</v>
      </c>
      <c r="N5969" s="11">
        <f t="shared" si="935"/>
        <v>29.746500000000001</v>
      </c>
      <c r="O5969" s="11">
        <f t="shared" si="936"/>
        <v>0.21</v>
      </c>
      <c r="P5969" s="12">
        <f t="shared" si="937"/>
        <v>-29.746500000000001</v>
      </c>
      <c r="Q5969" s="17" t="str">
        <f t="shared" si="939"/>
        <v>Ecart négatif</v>
      </c>
    </row>
    <row r="5970" spans="1:17" x14ac:dyDescent="0.3">
      <c r="A5970" s="34" t="str">
        <f>base!J5970</f>
        <v>LS</v>
      </c>
      <c r="B5970" s="34" t="str">
        <f>base!V5970</f>
        <v>75010</v>
      </c>
      <c r="C5970" s="37">
        <v>75</v>
      </c>
      <c r="D5970" s="36">
        <f>base!H5970</f>
        <v>55.14</v>
      </c>
      <c r="E5970" s="44"/>
      <c r="F5970" s="16">
        <f>base!W5970</f>
        <v>0</v>
      </c>
      <c r="G5970" s="11">
        <f t="shared" si="930"/>
        <v>0</v>
      </c>
      <c r="H5970" s="11">
        <f t="shared" si="931"/>
        <v>0</v>
      </c>
      <c r="I5970" s="11">
        <f t="shared" si="932"/>
        <v>0</v>
      </c>
      <c r="J5970" s="12">
        <f t="shared" si="933"/>
        <v>0</v>
      </c>
      <c r="K5970" s="17" t="str">
        <f t="shared" si="938"/>
        <v>Pas d'écart</v>
      </c>
      <c r="L5970" s="16">
        <f>base!X5970</f>
        <v>0</v>
      </c>
      <c r="M5970" s="11">
        <f t="shared" si="934"/>
        <v>0</v>
      </c>
      <c r="N5970" s="11">
        <f t="shared" si="935"/>
        <v>0</v>
      </c>
      <c r="O5970" s="11">
        <f t="shared" si="936"/>
        <v>0</v>
      </c>
      <c r="P5970" s="12">
        <f t="shared" si="937"/>
        <v>0</v>
      </c>
      <c r="Q5970" s="17" t="str">
        <f t="shared" si="939"/>
        <v>Pas d'écart</v>
      </c>
    </row>
    <row r="5971" spans="1:17" x14ac:dyDescent="0.3">
      <c r="A5971" s="34" t="str">
        <f>base!J5971</f>
        <v>RM</v>
      </c>
      <c r="B5971" s="34" t="str">
        <f>base!V5971</f>
        <v>75010</v>
      </c>
      <c r="C5971" s="37">
        <v>75</v>
      </c>
      <c r="D5971" s="36">
        <f>base!H5971</f>
        <v>25</v>
      </c>
      <c r="E5971" s="44"/>
      <c r="F5971" s="16">
        <f>base!W5971</f>
        <v>0</v>
      </c>
      <c r="G5971" s="11">
        <f t="shared" si="930"/>
        <v>0</v>
      </c>
      <c r="H5971" s="11">
        <f t="shared" si="931"/>
        <v>0</v>
      </c>
      <c r="I5971" s="11">
        <f t="shared" si="932"/>
        <v>0</v>
      </c>
      <c r="J5971" s="12">
        <f t="shared" si="933"/>
        <v>0</v>
      </c>
      <c r="K5971" s="17" t="str">
        <f t="shared" si="938"/>
        <v>Pas d'écart</v>
      </c>
      <c r="L5971" s="16">
        <f>base!X5971</f>
        <v>0</v>
      </c>
      <c r="M5971" s="11">
        <f t="shared" si="934"/>
        <v>0</v>
      </c>
      <c r="N5971" s="11">
        <f t="shared" si="935"/>
        <v>0</v>
      </c>
      <c r="O5971" s="11">
        <f t="shared" si="936"/>
        <v>0</v>
      </c>
      <c r="P5971" s="12">
        <f t="shared" si="937"/>
        <v>0</v>
      </c>
      <c r="Q5971" s="17" t="str">
        <f t="shared" si="939"/>
        <v>Pas d'écart</v>
      </c>
    </row>
    <row r="5972" spans="1:17" x14ac:dyDescent="0.3">
      <c r="A5972" s="34">
        <f>base!J5972</f>
        <v>0</v>
      </c>
      <c r="B5972" s="34" t="str">
        <f>base!V5972</f>
        <v>44240</v>
      </c>
      <c r="C5972" s="37">
        <v>44</v>
      </c>
      <c r="D5972" s="36">
        <f>base!H5972</f>
        <v>133.06</v>
      </c>
      <c r="E5972" s="44"/>
      <c r="F5972" s="16">
        <f>base!W5972</f>
        <v>0</v>
      </c>
      <c r="G5972" s="11">
        <f t="shared" si="930"/>
        <v>0</v>
      </c>
      <c r="H5972" s="11">
        <f t="shared" si="931"/>
        <v>35.926200000000001</v>
      </c>
      <c r="I5972" s="11">
        <f t="shared" si="932"/>
        <v>0.27</v>
      </c>
      <c r="J5972" s="12">
        <f t="shared" si="933"/>
        <v>-35.926200000000001</v>
      </c>
      <c r="K5972" s="17" t="str">
        <f t="shared" si="938"/>
        <v>Ecart négatif</v>
      </c>
      <c r="L5972" s="16">
        <f>base!X5972</f>
        <v>0</v>
      </c>
      <c r="M5972" s="11">
        <f t="shared" si="934"/>
        <v>0</v>
      </c>
      <c r="N5972" s="11">
        <f t="shared" si="935"/>
        <v>0</v>
      </c>
      <c r="O5972" s="11">
        <f t="shared" si="936"/>
        <v>0</v>
      </c>
      <c r="P5972" s="12">
        <f t="shared" si="937"/>
        <v>0</v>
      </c>
      <c r="Q5972" s="17" t="str">
        <f t="shared" si="939"/>
        <v>Pas d'écart</v>
      </c>
    </row>
    <row r="5973" spans="1:17" x14ac:dyDescent="0.3">
      <c r="A5973" s="34" t="str">
        <f>base!J5973</f>
        <v>LS</v>
      </c>
      <c r="B5973" s="34" t="str">
        <f>base!V5973</f>
        <v>59740</v>
      </c>
      <c r="C5973" s="37">
        <v>6</v>
      </c>
      <c r="D5973" s="36">
        <f>base!H5973</f>
        <v>132.01</v>
      </c>
      <c r="E5973" s="44"/>
      <c r="F5973" s="16">
        <f>base!W5973</f>
        <v>25.08</v>
      </c>
      <c r="G5973" s="11">
        <f t="shared" si="930"/>
        <v>0.1899856071509734</v>
      </c>
      <c r="H5973" s="11">
        <f t="shared" si="931"/>
        <v>39.602999999999994</v>
      </c>
      <c r="I5973" s="11">
        <f t="shared" si="932"/>
        <v>0.3</v>
      </c>
      <c r="J5973" s="12">
        <f t="shared" si="933"/>
        <v>-14.522999999999996</v>
      </c>
      <c r="K5973" s="17" t="str">
        <f t="shared" si="938"/>
        <v>Ecart négatif</v>
      </c>
      <c r="L5973" s="16">
        <f>base!X5973</f>
        <v>0</v>
      </c>
      <c r="M5973" s="11">
        <f t="shared" si="934"/>
        <v>0</v>
      </c>
      <c r="N5973" s="11">
        <f t="shared" si="935"/>
        <v>27.722099999999998</v>
      </c>
      <c r="O5973" s="11">
        <f t="shared" si="936"/>
        <v>0.21</v>
      </c>
      <c r="P5973" s="12">
        <f t="shared" si="937"/>
        <v>-27.722099999999998</v>
      </c>
      <c r="Q5973" s="17" t="str">
        <f t="shared" si="939"/>
        <v>Ecart négatif</v>
      </c>
    </row>
    <row r="5974" spans="1:17" x14ac:dyDescent="0.3">
      <c r="A5974" s="34" t="str">
        <f>base!J5974</f>
        <v>LM</v>
      </c>
      <c r="B5974" s="34" t="str">
        <f>base!V5974</f>
        <v>19100</v>
      </c>
      <c r="C5974" s="37">
        <v>6</v>
      </c>
      <c r="D5974" s="36">
        <f>base!H5974</f>
        <v>100.42</v>
      </c>
      <c r="E5974" s="44"/>
      <c r="F5974" s="16">
        <f>base!W5974</f>
        <v>29.12</v>
      </c>
      <c r="G5974" s="11">
        <f t="shared" si="930"/>
        <v>0.28998207528380804</v>
      </c>
      <c r="H5974" s="11">
        <f t="shared" si="931"/>
        <v>30.125999999999998</v>
      </c>
      <c r="I5974" s="11">
        <f t="shared" si="932"/>
        <v>0.3</v>
      </c>
      <c r="J5974" s="12">
        <f t="shared" si="933"/>
        <v>-1.0059999999999967</v>
      </c>
      <c r="K5974" s="17" t="str">
        <f t="shared" si="938"/>
        <v>Ecart négatif</v>
      </c>
      <c r="L5974" s="16">
        <f>base!X5974</f>
        <v>0</v>
      </c>
      <c r="M5974" s="11">
        <f t="shared" si="934"/>
        <v>0</v>
      </c>
      <c r="N5974" s="11">
        <f t="shared" si="935"/>
        <v>21.088200000000001</v>
      </c>
      <c r="O5974" s="11">
        <f t="shared" si="936"/>
        <v>0.21</v>
      </c>
      <c r="P5974" s="12">
        <f t="shared" si="937"/>
        <v>-21.088200000000001</v>
      </c>
      <c r="Q5974" s="17" t="str">
        <f t="shared" si="939"/>
        <v>Ecart négatif</v>
      </c>
    </row>
    <row r="5975" spans="1:17" x14ac:dyDescent="0.3">
      <c r="A5975" s="34" t="str">
        <f>base!J5975</f>
        <v>RS</v>
      </c>
      <c r="B5975" s="34" t="str">
        <f>base!V5975</f>
        <v>59175</v>
      </c>
      <c r="C5975" s="37">
        <v>59</v>
      </c>
      <c r="D5975" s="36">
        <f>base!H5975</f>
        <v>190.58</v>
      </c>
      <c r="E5975" s="44"/>
      <c r="F5975" s="16">
        <f>base!W5975</f>
        <v>0</v>
      </c>
      <c r="G5975" s="11">
        <f t="shared" si="930"/>
        <v>0</v>
      </c>
      <c r="H5975" s="11">
        <f t="shared" si="931"/>
        <v>36.2102</v>
      </c>
      <c r="I5975" s="11">
        <f t="shared" si="932"/>
        <v>0.19</v>
      </c>
      <c r="J5975" s="12">
        <f t="shared" si="933"/>
        <v>-36.2102</v>
      </c>
      <c r="K5975" s="17" t="str">
        <f t="shared" si="938"/>
        <v>Ecart négatif</v>
      </c>
      <c r="L5975" s="16">
        <f>base!X5975</f>
        <v>0</v>
      </c>
      <c r="M5975" s="11">
        <f t="shared" si="934"/>
        <v>0</v>
      </c>
      <c r="N5975" s="11">
        <f t="shared" si="935"/>
        <v>0</v>
      </c>
      <c r="O5975" s="11">
        <f t="shared" si="936"/>
        <v>0</v>
      </c>
      <c r="P5975" s="12">
        <f t="shared" si="937"/>
        <v>0</v>
      </c>
      <c r="Q5975" s="17" t="str">
        <f t="shared" si="939"/>
        <v>Pas d'écart</v>
      </c>
    </row>
    <row r="5976" spans="1:17" x14ac:dyDescent="0.3">
      <c r="A5976" s="34">
        <f>base!J5976</f>
        <v>0</v>
      </c>
      <c r="B5976" s="34" t="str">
        <f>base!V5976</f>
        <v>77184</v>
      </c>
      <c r="C5976" s="37">
        <v>77</v>
      </c>
      <c r="D5976" s="36">
        <f>base!H5976</f>
        <v>37.19</v>
      </c>
      <c r="E5976" s="44"/>
      <c r="F5976" s="16">
        <f>base!W5976</f>
        <v>0</v>
      </c>
      <c r="G5976" s="11">
        <f t="shared" si="930"/>
        <v>0</v>
      </c>
      <c r="H5976" s="11">
        <f t="shared" si="931"/>
        <v>0</v>
      </c>
      <c r="I5976" s="11">
        <f t="shared" si="932"/>
        <v>0</v>
      </c>
      <c r="J5976" s="12">
        <f t="shared" si="933"/>
        <v>0</v>
      </c>
      <c r="K5976" s="17" t="str">
        <f t="shared" si="938"/>
        <v>Pas d'écart</v>
      </c>
      <c r="L5976" s="16">
        <f>base!X5976</f>
        <v>0</v>
      </c>
      <c r="M5976" s="11">
        <f t="shared" si="934"/>
        <v>0</v>
      </c>
      <c r="N5976" s="11">
        <f t="shared" si="935"/>
        <v>0</v>
      </c>
      <c r="O5976" s="11">
        <f t="shared" si="936"/>
        <v>0</v>
      </c>
      <c r="P5976" s="12">
        <f t="shared" si="937"/>
        <v>0</v>
      </c>
      <c r="Q5976" s="17" t="str">
        <f t="shared" si="939"/>
        <v>Pas d'écart</v>
      </c>
    </row>
    <row r="5977" spans="1:17" x14ac:dyDescent="0.3">
      <c r="A5977" s="34" t="str">
        <f>base!J5977</f>
        <v>LM</v>
      </c>
      <c r="B5977" s="34" t="str">
        <f>base!V5977</f>
        <v>60200</v>
      </c>
      <c r="C5977" s="37">
        <v>6</v>
      </c>
      <c r="D5977" s="36">
        <f>base!H5977</f>
        <v>145.71</v>
      </c>
      <c r="E5977" s="44"/>
      <c r="F5977" s="16">
        <f>base!W5977</f>
        <v>27.68</v>
      </c>
      <c r="G5977" s="11">
        <f t="shared" si="930"/>
        <v>0.18996637155994783</v>
      </c>
      <c r="H5977" s="11">
        <f t="shared" si="931"/>
        <v>43.713000000000001</v>
      </c>
      <c r="I5977" s="11">
        <f t="shared" si="932"/>
        <v>0.3</v>
      </c>
      <c r="J5977" s="12">
        <f t="shared" si="933"/>
        <v>-16.033000000000001</v>
      </c>
      <c r="K5977" s="17" t="str">
        <f t="shared" si="938"/>
        <v>Ecart négatif</v>
      </c>
      <c r="L5977" s="16">
        <f>base!X5977</f>
        <v>0</v>
      </c>
      <c r="M5977" s="11">
        <f t="shared" si="934"/>
        <v>0</v>
      </c>
      <c r="N5977" s="11">
        <f t="shared" si="935"/>
        <v>30.5991</v>
      </c>
      <c r="O5977" s="11">
        <f t="shared" si="936"/>
        <v>0.21</v>
      </c>
      <c r="P5977" s="12">
        <f t="shared" si="937"/>
        <v>-30.5991</v>
      </c>
      <c r="Q5977" s="17" t="str">
        <f t="shared" si="939"/>
        <v>Ecart négatif</v>
      </c>
    </row>
    <row r="5978" spans="1:17" x14ac:dyDescent="0.3">
      <c r="A5978" s="34" t="str">
        <f>base!J5978</f>
        <v>LS</v>
      </c>
      <c r="B5978" s="34" t="str">
        <f>base!V5978</f>
        <v>59260</v>
      </c>
      <c r="C5978" s="37">
        <v>6</v>
      </c>
      <c r="D5978" s="36">
        <f>base!H5978</f>
        <v>19.8</v>
      </c>
      <c r="E5978" s="44"/>
      <c r="F5978" s="16">
        <f>base!W5978</f>
        <v>3.76</v>
      </c>
      <c r="G5978" s="11">
        <f t="shared" si="930"/>
        <v>0.18989898989898987</v>
      </c>
      <c r="H5978" s="11">
        <f t="shared" si="931"/>
        <v>5.94</v>
      </c>
      <c r="I5978" s="11">
        <f t="shared" si="932"/>
        <v>0.3</v>
      </c>
      <c r="J5978" s="12">
        <f t="shared" si="933"/>
        <v>-2.1800000000000006</v>
      </c>
      <c r="K5978" s="17" t="str">
        <f t="shared" si="938"/>
        <v>Ecart négatif</v>
      </c>
      <c r="L5978" s="16">
        <f>base!X5978</f>
        <v>0</v>
      </c>
      <c r="M5978" s="11">
        <f t="shared" si="934"/>
        <v>0</v>
      </c>
      <c r="N5978" s="11">
        <f t="shared" si="935"/>
        <v>4.1580000000000004</v>
      </c>
      <c r="O5978" s="11">
        <f t="shared" si="936"/>
        <v>0.21000000000000002</v>
      </c>
      <c r="P5978" s="12">
        <f t="shared" si="937"/>
        <v>-4.1580000000000004</v>
      </c>
      <c r="Q5978" s="17" t="str">
        <f t="shared" si="939"/>
        <v>Ecart négatif</v>
      </c>
    </row>
    <row r="5979" spans="1:17" x14ac:dyDescent="0.3">
      <c r="A5979" s="34" t="str">
        <f>base!J5979</f>
        <v>LS</v>
      </c>
      <c r="B5979" s="34" t="str">
        <f>base!V5979</f>
        <v>68110</v>
      </c>
      <c r="C5979" s="37">
        <v>68</v>
      </c>
      <c r="D5979" s="36">
        <f>base!H5979</f>
        <v>70</v>
      </c>
      <c r="E5979" s="44"/>
      <c r="F5979" s="16">
        <f>base!W5979</f>
        <v>20.3</v>
      </c>
      <c r="G5979" s="11">
        <f t="shared" si="930"/>
        <v>0.29000000000000004</v>
      </c>
      <c r="H5979" s="11">
        <f t="shared" si="931"/>
        <v>20.299999999999997</v>
      </c>
      <c r="I5979" s="11">
        <f t="shared" si="932"/>
        <v>0.28999999999999998</v>
      </c>
      <c r="J5979" s="12">
        <f t="shared" si="933"/>
        <v>0</v>
      </c>
      <c r="K5979" s="17" t="str">
        <f t="shared" si="938"/>
        <v>Pas d'écart</v>
      </c>
      <c r="L5979" s="16">
        <f>base!X5979</f>
        <v>0</v>
      </c>
      <c r="M5979" s="11">
        <f t="shared" si="934"/>
        <v>0</v>
      </c>
      <c r="N5979" s="11">
        <f t="shared" si="935"/>
        <v>5.6000000000000005</v>
      </c>
      <c r="O5979" s="11">
        <f t="shared" si="936"/>
        <v>0.08</v>
      </c>
      <c r="P5979" s="12">
        <f t="shared" si="937"/>
        <v>-5.6000000000000005</v>
      </c>
      <c r="Q5979" s="17" t="str">
        <f t="shared" si="939"/>
        <v>Ecart négatif</v>
      </c>
    </row>
    <row r="5980" spans="1:17" x14ac:dyDescent="0.3">
      <c r="A5980" s="34" t="str">
        <f>base!J5980</f>
        <v>LM</v>
      </c>
      <c r="B5980" s="34" t="str">
        <f>base!V5980</f>
        <v>94190</v>
      </c>
      <c r="C5980" s="37">
        <v>94</v>
      </c>
      <c r="D5980" s="36">
        <f>base!H5980</f>
        <v>19.8</v>
      </c>
      <c r="E5980" s="44"/>
      <c r="F5980" s="16">
        <f>base!W5980</f>
        <v>0</v>
      </c>
      <c r="G5980" s="11">
        <f t="shared" si="930"/>
        <v>0</v>
      </c>
      <c r="H5980" s="11">
        <f t="shared" si="931"/>
        <v>0</v>
      </c>
      <c r="I5980" s="11">
        <f t="shared" si="932"/>
        <v>0</v>
      </c>
      <c r="J5980" s="12">
        <f t="shared" si="933"/>
        <v>0</v>
      </c>
      <c r="K5980" s="17" t="str">
        <f t="shared" si="938"/>
        <v>Pas d'écart</v>
      </c>
      <c r="L5980" s="16">
        <f>base!X5980</f>
        <v>0</v>
      </c>
      <c r="M5980" s="11">
        <f t="shared" si="934"/>
        <v>0</v>
      </c>
      <c r="N5980" s="11">
        <f t="shared" si="935"/>
        <v>0</v>
      </c>
      <c r="O5980" s="11">
        <f t="shared" si="936"/>
        <v>0</v>
      </c>
      <c r="P5980" s="12">
        <f t="shared" si="937"/>
        <v>0</v>
      </c>
      <c r="Q5980" s="17" t="str">
        <f t="shared" si="939"/>
        <v>Pas d'écart</v>
      </c>
    </row>
    <row r="5981" spans="1:17" x14ac:dyDescent="0.3">
      <c r="A5981" s="34" t="str">
        <f>base!J5981</f>
        <v>LS</v>
      </c>
      <c r="B5981" s="34" t="str">
        <f>base!V5981</f>
        <v>14150</v>
      </c>
      <c r="C5981" s="37">
        <v>6</v>
      </c>
      <c r="D5981" s="36">
        <f>base!H5981</f>
        <v>69.709999999999994</v>
      </c>
      <c r="E5981" s="44"/>
      <c r="F5981" s="16">
        <f>base!W5981</f>
        <v>11.85</v>
      </c>
      <c r="G5981" s="11">
        <f t="shared" si="930"/>
        <v>0.16998995839908193</v>
      </c>
      <c r="H5981" s="11">
        <f t="shared" si="931"/>
        <v>20.912999999999997</v>
      </c>
      <c r="I5981" s="11">
        <f t="shared" si="932"/>
        <v>0.3</v>
      </c>
      <c r="J5981" s="12">
        <f t="shared" si="933"/>
        <v>-9.0629999999999971</v>
      </c>
      <c r="K5981" s="17" t="str">
        <f t="shared" si="938"/>
        <v>Ecart négatif</v>
      </c>
      <c r="L5981" s="16">
        <f>base!X5981</f>
        <v>0</v>
      </c>
      <c r="M5981" s="11">
        <f t="shared" si="934"/>
        <v>0</v>
      </c>
      <c r="N5981" s="11">
        <f t="shared" si="935"/>
        <v>14.639099999999997</v>
      </c>
      <c r="O5981" s="11">
        <f t="shared" si="936"/>
        <v>0.21</v>
      </c>
      <c r="P5981" s="12">
        <f t="shared" si="937"/>
        <v>-14.639099999999997</v>
      </c>
      <c r="Q5981" s="17" t="str">
        <f t="shared" si="939"/>
        <v>Ecart négatif</v>
      </c>
    </row>
    <row r="5982" spans="1:17" x14ac:dyDescent="0.3">
      <c r="A5982" s="34" t="str">
        <f>base!J5982</f>
        <v>LS</v>
      </c>
      <c r="B5982" s="34" t="str">
        <f>base!V5982</f>
        <v>60880</v>
      </c>
      <c r="C5982" s="37">
        <v>6</v>
      </c>
      <c r="D5982" s="36">
        <f>base!H5982</f>
        <v>55.14</v>
      </c>
      <c r="E5982" s="44"/>
      <c r="F5982" s="16">
        <f>base!W5982</f>
        <v>10.48</v>
      </c>
      <c r="G5982" s="11">
        <f t="shared" si="930"/>
        <v>0.19006166122597026</v>
      </c>
      <c r="H5982" s="11">
        <f t="shared" si="931"/>
        <v>16.541999999999998</v>
      </c>
      <c r="I5982" s="11">
        <f t="shared" si="932"/>
        <v>0.3</v>
      </c>
      <c r="J5982" s="12">
        <f t="shared" si="933"/>
        <v>-6.0619999999999976</v>
      </c>
      <c r="K5982" s="17" t="str">
        <f t="shared" si="938"/>
        <v>Ecart négatif</v>
      </c>
      <c r="L5982" s="16">
        <f>base!X5982</f>
        <v>0</v>
      </c>
      <c r="M5982" s="11">
        <f t="shared" si="934"/>
        <v>0</v>
      </c>
      <c r="N5982" s="11">
        <f t="shared" si="935"/>
        <v>11.5794</v>
      </c>
      <c r="O5982" s="11">
        <f t="shared" si="936"/>
        <v>0.21</v>
      </c>
      <c r="P5982" s="12">
        <f t="shared" si="937"/>
        <v>-11.5794</v>
      </c>
      <c r="Q5982" s="17" t="str">
        <f t="shared" si="939"/>
        <v>Ecart négatif</v>
      </c>
    </row>
    <row r="5983" spans="1:17" x14ac:dyDescent="0.3">
      <c r="A5983" s="34" t="str">
        <f>base!J5983</f>
        <v>RM</v>
      </c>
      <c r="B5983" s="34" t="str">
        <f>base!V5983</f>
        <v>13008</v>
      </c>
      <c r="C5983" s="37">
        <v>13</v>
      </c>
      <c r="D5983" s="36">
        <f>base!H5983</f>
        <v>40</v>
      </c>
      <c r="E5983" s="44"/>
      <c r="F5983" s="16">
        <f>base!W5983</f>
        <v>0</v>
      </c>
      <c r="G5983" s="11">
        <f t="shared" si="930"/>
        <v>0</v>
      </c>
      <c r="H5983" s="11">
        <f t="shared" si="931"/>
        <v>11.6</v>
      </c>
      <c r="I5983" s="11">
        <f t="shared" si="932"/>
        <v>0.28999999999999998</v>
      </c>
      <c r="J5983" s="12">
        <f t="shared" si="933"/>
        <v>-11.6</v>
      </c>
      <c r="K5983" s="17" t="str">
        <f t="shared" si="938"/>
        <v>Ecart négatif</v>
      </c>
      <c r="L5983" s="16">
        <f>base!X5983</f>
        <v>0</v>
      </c>
      <c r="M5983" s="11">
        <f t="shared" si="934"/>
        <v>0</v>
      </c>
      <c r="N5983" s="11">
        <f t="shared" si="935"/>
        <v>7.6</v>
      </c>
      <c r="O5983" s="11">
        <f t="shared" si="936"/>
        <v>0.19</v>
      </c>
      <c r="P5983" s="12">
        <f t="shared" si="937"/>
        <v>-7.6</v>
      </c>
      <c r="Q5983" s="17" t="str">
        <f t="shared" si="939"/>
        <v>Ecart négatif</v>
      </c>
    </row>
    <row r="5984" spans="1:17" x14ac:dyDescent="0.3">
      <c r="A5984" s="34" t="str">
        <f>base!J5984</f>
        <v>LS</v>
      </c>
      <c r="B5984" s="34" t="str">
        <f>base!V5984</f>
        <v>76400</v>
      </c>
      <c r="C5984" s="37">
        <v>6</v>
      </c>
      <c r="D5984" s="36">
        <f>base!H5984</f>
        <v>149.58000000000001</v>
      </c>
      <c r="E5984" s="44"/>
      <c r="F5984" s="16">
        <f>base!W5984</f>
        <v>25.43</v>
      </c>
      <c r="G5984" s="11">
        <f t="shared" si="930"/>
        <v>0.17000935954004545</v>
      </c>
      <c r="H5984" s="11">
        <f t="shared" si="931"/>
        <v>44.874000000000002</v>
      </c>
      <c r="I5984" s="11">
        <f t="shared" si="932"/>
        <v>0.3</v>
      </c>
      <c r="J5984" s="12">
        <f t="shared" si="933"/>
        <v>-19.444000000000003</v>
      </c>
      <c r="K5984" s="17" t="str">
        <f t="shared" si="938"/>
        <v>Ecart négatif</v>
      </c>
      <c r="L5984" s="16">
        <f>base!X5984</f>
        <v>0</v>
      </c>
      <c r="M5984" s="11">
        <f t="shared" si="934"/>
        <v>0</v>
      </c>
      <c r="N5984" s="11">
        <f t="shared" si="935"/>
        <v>31.411800000000003</v>
      </c>
      <c r="O5984" s="11">
        <f t="shared" si="936"/>
        <v>0.21</v>
      </c>
      <c r="P5984" s="12">
        <f t="shared" si="937"/>
        <v>-31.411800000000003</v>
      </c>
      <c r="Q5984" s="17" t="str">
        <f t="shared" si="939"/>
        <v>Ecart négatif</v>
      </c>
    </row>
    <row r="5985" spans="1:18" x14ac:dyDescent="0.3">
      <c r="A5985" s="34" t="str">
        <f>base!J5985</f>
        <v>LS</v>
      </c>
      <c r="B5985" s="34" t="str">
        <f>base!V5985</f>
        <v>35540</v>
      </c>
      <c r="C5985" s="37">
        <v>6</v>
      </c>
      <c r="D5985" s="36">
        <f>base!H5985</f>
        <v>154.01</v>
      </c>
      <c r="E5985" s="44"/>
      <c r="F5985" s="16">
        <f>base!W5985</f>
        <v>41.58</v>
      </c>
      <c r="G5985" s="11">
        <f t="shared" si="930"/>
        <v>0.26998246867086556</v>
      </c>
      <c r="H5985" s="11">
        <f t="shared" si="931"/>
        <v>46.202999999999996</v>
      </c>
      <c r="I5985" s="11">
        <f t="shared" si="932"/>
        <v>0.3</v>
      </c>
      <c r="J5985" s="12">
        <f t="shared" si="933"/>
        <v>-4.6229999999999976</v>
      </c>
      <c r="K5985" s="17" t="str">
        <f t="shared" si="938"/>
        <v>Ecart négatif</v>
      </c>
      <c r="L5985" s="16">
        <f>base!X5985</f>
        <v>0</v>
      </c>
      <c r="M5985" s="11">
        <f t="shared" si="934"/>
        <v>0</v>
      </c>
      <c r="N5985" s="11">
        <f t="shared" si="935"/>
        <v>32.342099999999995</v>
      </c>
      <c r="O5985" s="11">
        <f t="shared" si="936"/>
        <v>0.21</v>
      </c>
      <c r="P5985" s="12">
        <f t="shared" si="937"/>
        <v>-32.342099999999995</v>
      </c>
      <c r="Q5985" s="17" t="str">
        <f t="shared" si="939"/>
        <v>Ecart négatif</v>
      </c>
    </row>
    <row r="5986" spans="1:18" x14ac:dyDescent="0.3">
      <c r="A5986" s="34" t="str">
        <f>base!J5986</f>
        <v>LM</v>
      </c>
      <c r="B5986" s="34" t="str">
        <f>base!V5986</f>
        <v>69005</v>
      </c>
      <c r="C5986" s="37">
        <v>6</v>
      </c>
      <c r="D5986" s="36">
        <f>base!H5986</f>
        <v>220.51</v>
      </c>
      <c r="E5986" s="44"/>
      <c r="F5986" s="16">
        <f>base!W5986</f>
        <v>59.54</v>
      </c>
      <c r="G5986" s="11">
        <f t="shared" si="930"/>
        <v>0.27001043036596978</v>
      </c>
      <c r="H5986" s="11">
        <f t="shared" si="931"/>
        <v>66.152999999999992</v>
      </c>
      <c r="I5986" s="11">
        <f t="shared" si="932"/>
        <v>0.3</v>
      </c>
      <c r="J5986" s="12">
        <f t="shared" si="933"/>
        <v>-6.6129999999999924</v>
      </c>
      <c r="K5986" s="17" t="str">
        <f t="shared" si="938"/>
        <v>Ecart négatif</v>
      </c>
      <c r="L5986" s="16">
        <f>base!X5986</f>
        <v>0</v>
      </c>
      <c r="M5986" s="11">
        <f t="shared" si="934"/>
        <v>0</v>
      </c>
      <c r="N5986" s="11">
        <f t="shared" si="935"/>
        <v>46.307099999999998</v>
      </c>
      <c r="O5986" s="11">
        <f t="shared" si="936"/>
        <v>0.21</v>
      </c>
      <c r="P5986" s="12">
        <f t="shared" si="937"/>
        <v>-46.307099999999998</v>
      </c>
      <c r="Q5986" s="17" t="str">
        <f t="shared" si="939"/>
        <v>Ecart négatif</v>
      </c>
    </row>
    <row r="5987" spans="1:18" x14ac:dyDescent="0.3">
      <c r="A5987" s="34" t="str">
        <f>base!J5987</f>
        <v>RS</v>
      </c>
      <c r="B5987" s="34" t="str">
        <f>base!V5987</f>
        <v>59700</v>
      </c>
      <c r="C5987" s="37">
        <v>59</v>
      </c>
      <c r="D5987" s="36">
        <f>base!H5987</f>
        <v>140</v>
      </c>
      <c r="E5987" s="44"/>
      <c r="F5987" s="16">
        <f>base!W5987</f>
        <v>0</v>
      </c>
      <c r="G5987" s="11">
        <f t="shared" si="930"/>
        <v>0</v>
      </c>
      <c r="H5987" s="11">
        <f t="shared" si="931"/>
        <v>26.6</v>
      </c>
      <c r="I5987" s="11">
        <f t="shared" si="932"/>
        <v>0.19</v>
      </c>
      <c r="J5987" s="12">
        <f t="shared" si="933"/>
        <v>-26.6</v>
      </c>
      <c r="K5987" s="17" t="str">
        <f t="shared" si="938"/>
        <v>Ecart négatif</v>
      </c>
      <c r="L5987" s="16">
        <f>base!X5987</f>
        <v>0</v>
      </c>
      <c r="M5987" s="11">
        <f t="shared" si="934"/>
        <v>0</v>
      </c>
      <c r="N5987" s="11">
        <f t="shared" si="935"/>
        <v>0</v>
      </c>
      <c r="O5987" s="11">
        <f t="shared" si="936"/>
        <v>0</v>
      </c>
      <c r="P5987" s="12">
        <f t="shared" si="937"/>
        <v>0</v>
      </c>
      <c r="Q5987" s="17" t="str">
        <f t="shared" si="939"/>
        <v>Pas d'écart</v>
      </c>
    </row>
    <row r="5988" spans="1:18" x14ac:dyDescent="0.3">
      <c r="A5988" s="34" t="str">
        <f>base!J5988</f>
        <v>RS</v>
      </c>
      <c r="B5988" s="34" t="str">
        <f>base!V5988</f>
        <v>88000</v>
      </c>
      <c r="C5988" s="37">
        <v>88</v>
      </c>
      <c r="D5988" s="36">
        <f>base!H5988</f>
        <v>71.900000000000006</v>
      </c>
      <c r="E5988" s="44"/>
      <c r="F5988" s="16">
        <f>base!W5988</f>
        <v>0</v>
      </c>
      <c r="G5988" s="11">
        <f t="shared" si="930"/>
        <v>0</v>
      </c>
      <c r="H5988" s="11">
        <f t="shared" si="931"/>
        <v>20.132000000000005</v>
      </c>
      <c r="I5988" s="11">
        <f t="shared" si="932"/>
        <v>0.28000000000000003</v>
      </c>
      <c r="J5988" s="12">
        <f t="shared" si="933"/>
        <v>-20.132000000000005</v>
      </c>
      <c r="K5988" s="17" t="str">
        <f t="shared" si="938"/>
        <v>Ecart négatif</v>
      </c>
      <c r="L5988" s="16">
        <f>base!X5988</f>
        <v>0</v>
      </c>
      <c r="M5988" s="11">
        <f t="shared" si="934"/>
        <v>0</v>
      </c>
      <c r="N5988" s="11">
        <f t="shared" si="935"/>
        <v>5.7520000000000007</v>
      </c>
      <c r="O5988" s="11">
        <f t="shared" si="936"/>
        <v>0.08</v>
      </c>
      <c r="P5988" s="12">
        <f t="shared" si="937"/>
        <v>-5.7520000000000007</v>
      </c>
      <c r="Q5988" s="17" t="str">
        <f t="shared" si="939"/>
        <v>Ecart négatif</v>
      </c>
    </row>
    <row r="5989" spans="1:18" x14ac:dyDescent="0.3">
      <c r="A5989" s="34" t="str">
        <f>base!J5989</f>
        <v>RS</v>
      </c>
      <c r="B5989" s="34" t="str">
        <f>base!V5989</f>
        <v>80080</v>
      </c>
      <c r="C5989" s="37">
        <v>80</v>
      </c>
      <c r="D5989" s="36">
        <f>base!H5989</f>
        <v>183.98</v>
      </c>
      <c r="E5989" s="44"/>
      <c r="F5989" s="16">
        <f>base!W5989</f>
        <v>0</v>
      </c>
      <c r="G5989" s="11">
        <f t="shared" si="930"/>
        <v>0</v>
      </c>
      <c r="H5989" s="11">
        <f t="shared" si="931"/>
        <v>34.956199999999995</v>
      </c>
      <c r="I5989" s="11">
        <f t="shared" si="932"/>
        <v>0.18999999999999997</v>
      </c>
      <c r="J5989" s="12">
        <f t="shared" si="933"/>
        <v>-34.956199999999995</v>
      </c>
      <c r="K5989" s="17" t="str">
        <f t="shared" si="938"/>
        <v>Ecart négatif</v>
      </c>
      <c r="L5989" s="16">
        <f>base!X5989</f>
        <v>34.96</v>
      </c>
      <c r="M5989" s="11">
        <f t="shared" si="934"/>
        <v>0.1900206544189586</v>
      </c>
      <c r="N5989" s="11">
        <f t="shared" si="935"/>
        <v>0</v>
      </c>
      <c r="O5989" s="11">
        <f t="shared" si="936"/>
        <v>0</v>
      </c>
      <c r="P5989" s="12">
        <f t="shared" si="937"/>
        <v>34.96</v>
      </c>
      <c r="Q5989" s="17" t="str">
        <f t="shared" si="939"/>
        <v>Ecart positif</v>
      </c>
      <c r="R5989" s="38"/>
    </row>
    <row r="5990" spans="1:18" x14ac:dyDescent="0.3">
      <c r="A5990" s="34">
        <f>base!J5990</f>
        <v>0</v>
      </c>
      <c r="B5990" s="34" t="str">
        <f>base!V5990</f>
        <v>77184</v>
      </c>
      <c r="C5990" s="37">
        <v>77</v>
      </c>
      <c r="D5990" s="36">
        <f>base!H5990</f>
        <v>133</v>
      </c>
      <c r="E5990" s="44"/>
      <c r="F5990" s="16">
        <f>base!W5990</f>
        <v>0</v>
      </c>
      <c r="G5990" s="11">
        <f t="shared" si="930"/>
        <v>0</v>
      </c>
      <c r="H5990" s="11">
        <f t="shared" si="931"/>
        <v>0</v>
      </c>
      <c r="I5990" s="11">
        <f t="shared" si="932"/>
        <v>0</v>
      </c>
      <c r="J5990" s="12">
        <f t="shared" si="933"/>
        <v>0</v>
      </c>
      <c r="K5990" s="17" t="str">
        <f t="shared" si="938"/>
        <v>Pas d'écart</v>
      </c>
      <c r="L5990" s="16">
        <f>base!X5990</f>
        <v>0</v>
      </c>
      <c r="M5990" s="11">
        <f t="shared" si="934"/>
        <v>0</v>
      </c>
      <c r="N5990" s="11">
        <f t="shared" si="935"/>
        <v>0</v>
      </c>
      <c r="O5990" s="11">
        <f t="shared" si="936"/>
        <v>0</v>
      </c>
      <c r="P5990" s="12">
        <f t="shared" si="937"/>
        <v>0</v>
      </c>
      <c r="Q5990" s="17" t="str">
        <f t="shared" si="939"/>
        <v>Pas d'écart</v>
      </c>
    </row>
    <row r="5991" spans="1:18" x14ac:dyDescent="0.3">
      <c r="A5991" s="34">
        <f>base!J5991</f>
        <v>0</v>
      </c>
      <c r="B5991" s="34" t="str">
        <f>base!V5991</f>
        <v>77184</v>
      </c>
      <c r="C5991" s="37">
        <v>77</v>
      </c>
      <c r="D5991" s="36">
        <f>base!H5991</f>
        <v>124</v>
      </c>
      <c r="E5991" s="44"/>
      <c r="F5991" s="16">
        <f>base!W5991</f>
        <v>0</v>
      </c>
      <c r="G5991" s="11">
        <f t="shared" si="930"/>
        <v>0</v>
      </c>
      <c r="H5991" s="11">
        <f t="shared" si="931"/>
        <v>0</v>
      </c>
      <c r="I5991" s="11">
        <f t="shared" si="932"/>
        <v>0</v>
      </c>
      <c r="J5991" s="12">
        <f t="shared" si="933"/>
        <v>0</v>
      </c>
      <c r="K5991" s="17" t="str">
        <f t="shared" si="938"/>
        <v>Pas d'écart</v>
      </c>
      <c r="L5991" s="16">
        <f>base!X5991</f>
        <v>0</v>
      </c>
      <c r="M5991" s="11">
        <f t="shared" si="934"/>
        <v>0</v>
      </c>
      <c r="N5991" s="11">
        <f t="shared" si="935"/>
        <v>0</v>
      </c>
      <c r="O5991" s="11">
        <f t="shared" si="936"/>
        <v>0</v>
      </c>
      <c r="P5991" s="12">
        <f t="shared" si="937"/>
        <v>0</v>
      </c>
      <c r="Q5991" s="17" t="str">
        <f t="shared" si="939"/>
        <v>Pas d'écart</v>
      </c>
    </row>
    <row r="5992" spans="1:18" x14ac:dyDescent="0.3">
      <c r="A5992" s="34" t="str">
        <f>base!J5992</f>
        <v>LM</v>
      </c>
      <c r="B5992" s="34" t="str">
        <f>base!V5992</f>
        <v>84380</v>
      </c>
      <c r="C5992" s="37">
        <v>6</v>
      </c>
      <c r="D5992" s="36">
        <f>base!H5992</f>
        <v>75.34</v>
      </c>
      <c r="E5992" s="44"/>
      <c r="F5992" s="16">
        <f>base!W5992</f>
        <v>0</v>
      </c>
      <c r="G5992" s="11">
        <f t="shared" si="930"/>
        <v>0</v>
      </c>
      <c r="H5992" s="11">
        <f t="shared" si="931"/>
        <v>22.602</v>
      </c>
      <c r="I5992" s="11">
        <f t="shared" si="932"/>
        <v>0.3</v>
      </c>
      <c r="J5992" s="12">
        <f t="shared" si="933"/>
        <v>-22.602</v>
      </c>
      <c r="K5992" s="17" t="str">
        <f t="shared" si="938"/>
        <v>Ecart négatif</v>
      </c>
      <c r="L5992" s="16">
        <f>base!X5992</f>
        <v>0</v>
      </c>
      <c r="M5992" s="11">
        <f t="shared" si="934"/>
        <v>0</v>
      </c>
      <c r="N5992" s="11">
        <f t="shared" si="935"/>
        <v>15.821400000000001</v>
      </c>
      <c r="O5992" s="11">
        <f t="shared" si="936"/>
        <v>0.21</v>
      </c>
      <c r="P5992" s="12">
        <f t="shared" si="937"/>
        <v>-15.821400000000001</v>
      </c>
      <c r="Q5992" s="17" t="str">
        <f t="shared" si="939"/>
        <v>Ecart négatif</v>
      </c>
    </row>
    <row r="5993" spans="1:18" x14ac:dyDescent="0.3">
      <c r="A5993" s="34" t="str">
        <f>base!J5993</f>
        <v>RM</v>
      </c>
      <c r="B5993" s="34" t="str">
        <f>base!V5993</f>
        <v>69006</v>
      </c>
      <c r="C5993" s="37">
        <v>69</v>
      </c>
      <c r="D5993" s="36">
        <f>base!H5993</f>
        <v>29.59</v>
      </c>
      <c r="E5993" s="44"/>
      <c r="F5993" s="16">
        <f>base!W5993</f>
        <v>0</v>
      </c>
      <c r="G5993" s="11">
        <f t="shared" si="930"/>
        <v>0</v>
      </c>
      <c r="H5993" s="11">
        <f t="shared" si="931"/>
        <v>7.9893000000000001</v>
      </c>
      <c r="I5993" s="11">
        <f t="shared" si="932"/>
        <v>0.27</v>
      </c>
      <c r="J5993" s="12">
        <f t="shared" si="933"/>
        <v>-7.9893000000000001</v>
      </c>
      <c r="K5993" s="17" t="str">
        <f t="shared" si="938"/>
        <v>Ecart négatif</v>
      </c>
      <c r="L5993" s="16">
        <f>base!X5993</f>
        <v>0</v>
      </c>
      <c r="M5993" s="11">
        <f t="shared" si="934"/>
        <v>0</v>
      </c>
      <c r="N5993" s="11">
        <f t="shared" si="935"/>
        <v>0</v>
      </c>
      <c r="O5993" s="11">
        <f t="shared" si="936"/>
        <v>0</v>
      </c>
      <c r="P5993" s="12">
        <f t="shared" si="937"/>
        <v>0</v>
      </c>
      <c r="Q5993" s="17" t="str">
        <f t="shared" si="939"/>
        <v>Pas d'écart</v>
      </c>
    </row>
    <row r="5994" spans="1:18" x14ac:dyDescent="0.3">
      <c r="A5994" s="34" t="str">
        <f>base!J5994</f>
        <v>LM</v>
      </c>
      <c r="B5994" s="34" t="str">
        <f>base!V5994</f>
        <v>77290</v>
      </c>
      <c r="C5994" s="37">
        <v>77</v>
      </c>
      <c r="D5994" s="36">
        <f>base!H5994</f>
        <v>379.59</v>
      </c>
      <c r="E5994" s="44"/>
      <c r="F5994" s="16">
        <f>base!W5994</f>
        <v>0</v>
      </c>
      <c r="G5994" s="11">
        <f t="shared" si="930"/>
        <v>0</v>
      </c>
      <c r="H5994" s="11">
        <f t="shared" si="931"/>
        <v>0</v>
      </c>
      <c r="I5994" s="11">
        <f t="shared" si="932"/>
        <v>0</v>
      </c>
      <c r="J5994" s="12">
        <f t="shared" si="933"/>
        <v>0</v>
      </c>
      <c r="K5994" s="17" t="str">
        <f t="shared" si="938"/>
        <v>Pas d'écart</v>
      </c>
      <c r="L5994" s="16">
        <f>base!X5994</f>
        <v>0</v>
      </c>
      <c r="M5994" s="11">
        <f t="shared" si="934"/>
        <v>0</v>
      </c>
      <c r="N5994" s="11">
        <f t="shared" si="935"/>
        <v>0</v>
      </c>
      <c r="O5994" s="11">
        <f t="shared" si="936"/>
        <v>0</v>
      </c>
      <c r="P5994" s="12">
        <f t="shared" si="937"/>
        <v>0</v>
      </c>
      <c r="Q5994" s="17" t="str">
        <f t="shared" si="939"/>
        <v>Pas d'écart</v>
      </c>
    </row>
    <row r="5995" spans="1:18" x14ac:dyDescent="0.3">
      <c r="A5995" s="34" t="str">
        <f>base!J5995</f>
        <v>LM</v>
      </c>
      <c r="B5995" s="34" t="str">
        <f>base!V5995</f>
        <v>49250</v>
      </c>
      <c r="C5995" s="37">
        <v>13</v>
      </c>
      <c r="D5995" s="36">
        <f>base!H5995</f>
        <v>136.85</v>
      </c>
      <c r="E5995" s="44"/>
      <c r="F5995" s="16">
        <f>base!W5995</f>
        <v>36.950000000000003</v>
      </c>
      <c r="G5995" s="11">
        <f t="shared" si="930"/>
        <v>0.27000365363536721</v>
      </c>
      <c r="H5995" s="11">
        <f t="shared" si="931"/>
        <v>39.686499999999995</v>
      </c>
      <c r="I5995" s="11">
        <f t="shared" si="932"/>
        <v>0.28999999999999998</v>
      </c>
      <c r="J5995" s="12">
        <f t="shared" si="933"/>
        <v>-2.7364999999999924</v>
      </c>
      <c r="K5995" s="17" t="str">
        <f t="shared" si="938"/>
        <v>Ecart négatif</v>
      </c>
      <c r="L5995" s="16">
        <f>base!X5995</f>
        <v>0</v>
      </c>
      <c r="M5995" s="11">
        <f t="shared" si="934"/>
        <v>0</v>
      </c>
      <c r="N5995" s="11">
        <f t="shared" si="935"/>
        <v>26.0015</v>
      </c>
      <c r="O5995" s="11">
        <f t="shared" si="936"/>
        <v>0.19</v>
      </c>
      <c r="P5995" s="12">
        <f t="shared" si="937"/>
        <v>-26.0015</v>
      </c>
      <c r="Q5995" s="17" t="str">
        <f t="shared" si="939"/>
        <v>Ecart négatif</v>
      </c>
    </row>
    <row r="5996" spans="1:18" x14ac:dyDescent="0.3">
      <c r="A5996" s="34" t="str">
        <f>base!J5996</f>
        <v>LS</v>
      </c>
      <c r="B5996" s="34" t="str">
        <f>base!V5996</f>
        <v>88000</v>
      </c>
      <c r="C5996" s="37">
        <v>13</v>
      </c>
      <c r="D5996" s="36">
        <f>base!H5996</f>
        <v>20.2</v>
      </c>
      <c r="E5996" s="44"/>
      <c r="F5996" s="16">
        <f>base!W5996</f>
        <v>5.86</v>
      </c>
      <c r="G5996" s="11">
        <f t="shared" si="930"/>
        <v>0.29009900990099013</v>
      </c>
      <c r="H5996" s="11">
        <f t="shared" si="931"/>
        <v>5.8579999999999997</v>
      </c>
      <c r="I5996" s="11">
        <f t="shared" si="932"/>
        <v>0.28999999999999998</v>
      </c>
      <c r="J5996" s="12">
        <f t="shared" si="933"/>
        <v>2.0000000000006679E-3</v>
      </c>
      <c r="K5996" s="17" t="str">
        <f t="shared" si="938"/>
        <v>Ecart positif</v>
      </c>
      <c r="L5996" s="16">
        <f>base!X5996</f>
        <v>0</v>
      </c>
      <c r="M5996" s="11">
        <f t="shared" si="934"/>
        <v>0</v>
      </c>
      <c r="N5996" s="11">
        <f t="shared" si="935"/>
        <v>3.8380000000000001</v>
      </c>
      <c r="O5996" s="11">
        <f t="shared" si="936"/>
        <v>0.19</v>
      </c>
      <c r="P5996" s="12">
        <f t="shared" si="937"/>
        <v>-3.8380000000000001</v>
      </c>
      <c r="Q5996" s="17" t="str">
        <f t="shared" si="939"/>
        <v>Ecart négatif</v>
      </c>
    </row>
    <row r="5997" spans="1:18" x14ac:dyDescent="0.3">
      <c r="A5997" s="34" t="str">
        <f>base!J5997</f>
        <v>LS</v>
      </c>
      <c r="B5997" s="34" t="str">
        <f>base!V5997</f>
        <v>49124</v>
      </c>
      <c r="C5997" s="37">
        <v>63</v>
      </c>
      <c r="D5997" s="36">
        <f>base!H5997</f>
        <v>65</v>
      </c>
      <c r="E5997" s="44"/>
      <c r="F5997" s="16">
        <f>base!W5997</f>
        <v>17.55</v>
      </c>
      <c r="G5997" s="11">
        <f t="shared" si="930"/>
        <v>0.27</v>
      </c>
      <c r="H5997" s="11">
        <f t="shared" si="931"/>
        <v>18.849999999999998</v>
      </c>
      <c r="I5997" s="11">
        <f t="shared" si="932"/>
        <v>0.28999999999999998</v>
      </c>
      <c r="J5997" s="12">
        <f t="shared" si="933"/>
        <v>-1.2999999999999972</v>
      </c>
      <c r="K5997" s="17" t="str">
        <f t="shared" si="938"/>
        <v>Ecart négatif</v>
      </c>
      <c r="L5997" s="16">
        <f>base!X5997</f>
        <v>0</v>
      </c>
      <c r="M5997" s="11">
        <f t="shared" si="934"/>
        <v>0</v>
      </c>
      <c r="N5997" s="11">
        <f t="shared" si="935"/>
        <v>7.8</v>
      </c>
      <c r="O5997" s="11">
        <f t="shared" si="936"/>
        <v>0.12</v>
      </c>
      <c r="P5997" s="12">
        <f t="shared" si="937"/>
        <v>-7.8</v>
      </c>
      <c r="Q5997" s="17" t="str">
        <f t="shared" si="939"/>
        <v>Ecart négatif</v>
      </c>
    </row>
    <row r="5998" spans="1:18" x14ac:dyDescent="0.3">
      <c r="A5998" s="34" t="str">
        <f>base!J5998</f>
        <v>LS</v>
      </c>
      <c r="B5998" s="34" t="str">
        <f>base!V5998</f>
        <v>64000</v>
      </c>
      <c r="C5998" s="37">
        <v>13</v>
      </c>
      <c r="D5998" s="36">
        <f>base!H5998</f>
        <v>67.25</v>
      </c>
      <c r="E5998" s="44"/>
      <c r="F5998" s="16">
        <f>base!W5998</f>
        <v>14.12</v>
      </c>
      <c r="G5998" s="11">
        <f t="shared" si="930"/>
        <v>0.20996282527881041</v>
      </c>
      <c r="H5998" s="11">
        <f t="shared" si="931"/>
        <v>19.502499999999998</v>
      </c>
      <c r="I5998" s="11">
        <f t="shared" si="932"/>
        <v>0.28999999999999998</v>
      </c>
      <c r="J5998" s="12">
        <f t="shared" si="933"/>
        <v>-5.3824999999999985</v>
      </c>
      <c r="K5998" s="17" t="str">
        <f t="shared" si="938"/>
        <v>Ecart négatif</v>
      </c>
      <c r="L5998" s="16">
        <f>base!X5998</f>
        <v>0</v>
      </c>
      <c r="M5998" s="11">
        <f t="shared" si="934"/>
        <v>0</v>
      </c>
      <c r="N5998" s="11">
        <f t="shared" si="935"/>
        <v>12.7775</v>
      </c>
      <c r="O5998" s="11">
        <f t="shared" si="936"/>
        <v>0.19</v>
      </c>
      <c r="P5998" s="12">
        <f t="shared" si="937"/>
        <v>-12.7775</v>
      </c>
      <c r="Q5998" s="17" t="str">
        <f t="shared" si="939"/>
        <v>Ecart négatif</v>
      </c>
    </row>
    <row r="5999" spans="1:18" x14ac:dyDescent="0.3">
      <c r="A5999" s="34" t="str">
        <f>base!J5999</f>
        <v>RS</v>
      </c>
      <c r="B5999" s="34" t="str">
        <f>base!V5999</f>
        <v>67860</v>
      </c>
      <c r="C5999" s="37">
        <v>67</v>
      </c>
      <c r="D5999" s="36">
        <f>base!H5999</f>
        <v>151</v>
      </c>
      <c r="E5999" s="44"/>
      <c r="F5999" s="16">
        <f>base!W5999</f>
        <v>0</v>
      </c>
      <c r="G5999" s="11">
        <f t="shared" si="930"/>
        <v>0</v>
      </c>
      <c r="H5999" s="11">
        <f t="shared" si="931"/>
        <v>43.79</v>
      </c>
      <c r="I5999" s="11">
        <f t="shared" si="932"/>
        <v>0.28999999999999998</v>
      </c>
      <c r="J5999" s="12">
        <f t="shared" si="933"/>
        <v>-43.79</v>
      </c>
      <c r="K5999" s="17" t="str">
        <f t="shared" si="938"/>
        <v>Ecart négatif</v>
      </c>
      <c r="L5999" s="16">
        <f>base!X5999</f>
        <v>0</v>
      </c>
      <c r="M5999" s="11">
        <f t="shared" si="934"/>
        <v>0</v>
      </c>
      <c r="N5999" s="11">
        <f t="shared" si="935"/>
        <v>12.08</v>
      </c>
      <c r="O5999" s="11">
        <f t="shared" si="936"/>
        <v>0.08</v>
      </c>
      <c r="P5999" s="12">
        <f t="shared" si="937"/>
        <v>-12.08</v>
      </c>
      <c r="Q5999" s="17" t="str">
        <f t="shared" si="939"/>
        <v>Ecart négatif</v>
      </c>
    </row>
    <row r="6000" spans="1:18" x14ac:dyDescent="0.3">
      <c r="A6000" s="34" t="str">
        <f>base!J6000</f>
        <v>RS</v>
      </c>
      <c r="B6000" s="34" t="str">
        <f>base!V6000</f>
        <v>85500</v>
      </c>
      <c r="C6000" s="37">
        <v>85</v>
      </c>
      <c r="D6000" s="36">
        <f>base!H6000</f>
        <v>25.6</v>
      </c>
      <c r="E6000" s="44"/>
      <c r="F6000" s="16">
        <f>base!W6000</f>
        <v>0</v>
      </c>
      <c r="G6000" s="11">
        <f t="shared" si="930"/>
        <v>0</v>
      </c>
      <c r="H6000" s="11">
        <f t="shared" si="931"/>
        <v>6.9120000000000008</v>
      </c>
      <c r="I6000" s="11">
        <f t="shared" si="932"/>
        <v>0.27</v>
      </c>
      <c r="J6000" s="12">
        <f t="shared" si="933"/>
        <v>-6.9120000000000008</v>
      </c>
      <c r="K6000" s="17" t="str">
        <f t="shared" si="938"/>
        <v>Ecart négatif</v>
      </c>
      <c r="L6000" s="16">
        <f>base!X6000</f>
        <v>0</v>
      </c>
      <c r="M6000" s="11">
        <f t="shared" si="934"/>
        <v>0</v>
      </c>
      <c r="N6000" s="11">
        <f t="shared" si="935"/>
        <v>0</v>
      </c>
      <c r="O6000" s="11">
        <f t="shared" si="936"/>
        <v>0</v>
      </c>
      <c r="P6000" s="12">
        <f t="shared" si="937"/>
        <v>0</v>
      </c>
      <c r="Q6000" s="17" t="str">
        <f t="shared" si="939"/>
        <v>Pas d'écart</v>
      </c>
    </row>
    <row r="6001" spans="1:18" x14ac:dyDescent="0.3">
      <c r="A6001" s="34" t="str">
        <f>base!J6001</f>
        <v>LM</v>
      </c>
      <c r="B6001" s="34" t="str">
        <f>base!V6001</f>
        <v>44000</v>
      </c>
      <c r="C6001" s="37">
        <v>68</v>
      </c>
      <c r="D6001" s="36">
        <f>base!H6001</f>
        <v>136.33000000000001</v>
      </c>
      <c r="E6001" s="44"/>
      <c r="F6001" s="16">
        <f>base!W6001</f>
        <v>36.81</v>
      </c>
      <c r="G6001" s="11">
        <f t="shared" si="930"/>
        <v>0.27000660162840168</v>
      </c>
      <c r="H6001" s="11">
        <f t="shared" si="931"/>
        <v>39.535699999999999</v>
      </c>
      <c r="I6001" s="11">
        <f t="shared" si="932"/>
        <v>0.28999999999999998</v>
      </c>
      <c r="J6001" s="12">
        <f t="shared" si="933"/>
        <v>-2.7256999999999962</v>
      </c>
      <c r="K6001" s="17" t="str">
        <f t="shared" si="938"/>
        <v>Ecart négatif</v>
      </c>
      <c r="L6001" s="16">
        <f>base!X6001</f>
        <v>0</v>
      </c>
      <c r="M6001" s="11">
        <f t="shared" si="934"/>
        <v>0</v>
      </c>
      <c r="N6001" s="11">
        <f t="shared" si="935"/>
        <v>10.906400000000001</v>
      </c>
      <c r="O6001" s="11">
        <f t="shared" si="936"/>
        <v>0.08</v>
      </c>
      <c r="P6001" s="12">
        <f t="shared" si="937"/>
        <v>-10.906400000000001</v>
      </c>
      <c r="Q6001" s="17" t="str">
        <f t="shared" si="939"/>
        <v>Ecart négatif</v>
      </c>
    </row>
    <row r="6002" spans="1:18" x14ac:dyDescent="0.3">
      <c r="A6002" s="34" t="str">
        <f>base!J6002</f>
        <v>RS</v>
      </c>
      <c r="B6002" s="34" t="str">
        <f>base!V6002</f>
        <v>83320</v>
      </c>
      <c r="C6002" s="37">
        <v>83</v>
      </c>
      <c r="D6002" s="36">
        <f>base!H6002</f>
        <v>161.25</v>
      </c>
      <c r="E6002" s="44"/>
      <c r="F6002" s="16">
        <f>base!W6002</f>
        <v>0</v>
      </c>
      <c r="G6002" s="11">
        <f t="shared" si="930"/>
        <v>0</v>
      </c>
      <c r="H6002" s="11">
        <f t="shared" si="931"/>
        <v>48.375</v>
      </c>
      <c r="I6002" s="11">
        <f t="shared" si="932"/>
        <v>0.3</v>
      </c>
      <c r="J6002" s="12">
        <f t="shared" si="933"/>
        <v>-48.375</v>
      </c>
      <c r="K6002" s="17" t="str">
        <f t="shared" si="938"/>
        <v>Ecart négatif</v>
      </c>
      <c r="L6002" s="16">
        <f>base!X6002</f>
        <v>33.86</v>
      </c>
      <c r="M6002" s="11">
        <f t="shared" si="934"/>
        <v>0.209984496124031</v>
      </c>
      <c r="N6002" s="11">
        <f t="shared" si="935"/>
        <v>33.862499999999997</v>
      </c>
      <c r="O6002" s="11">
        <f t="shared" si="936"/>
        <v>0.21</v>
      </c>
      <c r="P6002" s="12">
        <f t="shared" si="937"/>
        <v>-2.4999999999977263E-3</v>
      </c>
      <c r="Q6002" s="17" t="str">
        <f t="shared" si="939"/>
        <v>Ecart négatif</v>
      </c>
      <c r="R6002" s="38"/>
    </row>
    <row r="6003" spans="1:18" x14ac:dyDescent="0.3">
      <c r="A6003" s="34" t="str">
        <f>base!J6003</f>
        <v>RM</v>
      </c>
      <c r="B6003" s="34" t="str">
        <f>base!V6003</f>
        <v>78125</v>
      </c>
      <c r="C6003" s="37">
        <v>78</v>
      </c>
      <c r="D6003" s="36">
        <f>base!H6003</f>
        <v>70</v>
      </c>
      <c r="E6003" s="44"/>
      <c r="F6003" s="16">
        <f>base!W6003</f>
        <v>0</v>
      </c>
      <c r="G6003" s="11">
        <f t="shared" si="930"/>
        <v>0</v>
      </c>
      <c r="H6003" s="11">
        <f t="shared" si="931"/>
        <v>0</v>
      </c>
      <c r="I6003" s="11">
        <f t="shared" si="932"/>
        <v>0</v>
      </c>
      <c r="J6003" s="12">
        <f t="shared" si="933"/>
        <v>0</v>
      </c>
      <c r="K6003" s="17" t="str">
        <f t="shared" si="938"/>
        <v>Pas d'écart</v>
      </c>
      <c r="L6003" s="16">
        <f>base!X6003</f>
        <v>0</v>
      </c>
      <c r="M6003" s="11">
        <f t="shared" si="934"/>
        <v>0</v>
      </c>
      <c r="N6003" s="11">
        <f t="shared" si="935"/>
        <v>0</v>
      </c>
      <c r="O6003" s="11">
        <f t="shared" si="936"/>
        <v>0</v>
      </c>
      <c r="P6003" s="12">
        <f t="shared" si="937"/>
        <v>0</v>
      </c>
      <c r="Q6003" s="17" t="str">
        <f t="shared" si="939"/>
        <v>Pas d'écart</v>
      </c>
    </row>
    <row r="6004" spans="1:18" x14ac:dyDescent="0.3">
      <c r="A6004" s="34" t="str">
        <f>base!J6004</f>
        <v>RM</v>
      </c>
      <c r="B6004" s="34" t="str">
        <f>base!V6004</f>
        <v>89470</v>
      </c>
      <c r="C6004" s="37">
        <v>89</v>
      </c>
      <c r="D6004" s="36">
        <f>base!H6004</f>
        <v>70</v>
      </c>
      <c r="E6004" s="44"/>
      <c r="F6004" s="16">
        <f>base!W6004</f>
        <v>0</v>
      </c>
      <c r="G6004" s="11">
        <f t="shared" si="930"/>
        <v>0</v>
      </c>
      <c r="H6004" s="11">
        <f t="shared" si="931"/>
        <v>16.100000000000001</v>
      </c>
      <c r="I6004" s="11">
        <f t="shared" si="932"/>
        <v>0.23</v>
      </c>
      <c r="J6004" s="12">
        <f t="shared" si="933"/>
        <v>-16.100000000000001</v>
      </c>
      <c r="K6004" s="17" t="str">
        <f t="shared" si="938"/>
        <v>Ecart négatif</v>
      </c>
      <c r="L6004" s="16">
        <f>base!X6004</f>
        <v>0</v>
      </c>
      <c r="M6004" s="11">
        <f t="shared" si="934"/>
        <v>0</v>
      </c>
      <c r="N6004" s="11">
        <f t="shared" si="935"/>
        <v>8.4</v>
      </c>
      <c r="O6004" s="11">
        <f t="shared" si="936"/>
        <v>0.12000000000000001</v>
      </c>
      <c r="P6004" s="12">
        <f t="shared" si="937"/>
        <v>-8.4</v>
      </c>
      <c r="Q6004" s="17" t="str">
        <f t="shared" si="939"/>
        <v>Ecart négatif</v>
      </c>
    </row>
    <row r="6005" spans="1:18" x14ac:dyDescent="0.3">
      <c r="A6005" s="34" t="str">
        <f>base!J6005</f>
        <v>LM</v>
      </c>
      <c r="B6005" s="34" t="str">
        <f>base!V6005</f>
        <v>38400</v>
      </c>
      <c r="C6005" s="37">
        <v>68</v>
      </c>
      <c r="D6005" s="36">
        <f>base!H6005</f>
        <v>173.64</v>
      </c>
      <c r="E6005" s="44"/>
      <c r="F6005" s="16">
        <f>base!W6005</f>
        <v>46.88</v>
      </c>
      <c r="G6005" s="11">
        <f t="shared" si="930"/>
        <v>0.26998387468325274</v>
      </c>
      <c r="H6005" s="11">
        <f t="shared" si="931"/>
        <v>50.355599999999995</v>
      </c>
      <c r="I6005" s="11">
        <f t="shared" si="932"/>
        <v>0.28999999999999998</v>
      </c>
      <c r="J6005" s="12">
        <f t="shared" si="933"/>
        <v>-3.4755999999999929</v>
      </c>
      <c r="K6005" s="17" t="str">
        <f t="shared" si="938"/>
        <v>Ecart négatif</v>
      </c>
      <c r="L6005" s="16">
        <f>base!X6005</f>
        <v>0</v>
      </c>
      <c r="M6005" s="11">
        <f t="shared" si="934"/>
        <v>0</v>
      </c>
      <c r="N6005" s="11">
        <f t="shared" si="935"/>
        <v>13.8912</v>
      </c>
      <c r="O6005" s="11">
        <f t="shared" si="936"/>
        <v>0.08</v>
      </c>
      <c r="P6005" s="12">
        <f t="shared" si="937"/>
        <v>-13.8912</v>
      </c>
      <c r="Q6005" s="17" t="str">
        <f t="shared" si="939"/>
        <v>Ecart négatif</v>
      </c>
    </row>
    <row r="6006" spans="1:18" x14ac:dyDescent="0.3">
      <c r="A6006" s="34" t="str">
        <f>base!J6006</f>
        <v>RS</v>
      </c>
      <c r="B6006" s="34" t="str">
        <f>base!V6006</f>
        <v>83190</v>
      </c>
      <c r="C6006" s="37">
        <v>83</v>
      </c>
      <c r="D6006" s="36">
        <f>base!H6006</f>
        <v>180</v>
      </c>
      <c r="E6006" s="44"/>
      <c r="F6006" s="16">
        <f>base!W6006</f>
        <v>0</v>
      </c>
      <c r="G6006" s="11">
        <f t="shared" si="930"/>
        <v>0</v>
      </c>
      <c r="H6006" s="11">
        <f t="shared" si="931"/>
        <v>54</v>
      </c>
      <c r="I6006" s="11">
        <f t="shared" si="932"/>
        <v>0.3</v>
      </c>
      <c r="J6006" s="12">
        <f t="shared" si="933"/>
        <v>-54</v>
      </c>
      <c r="K6006" s="17" t="str">
        <f t="shared" si="938"/>
        <v>Ecart négatif</v>
      </c>
      <c r="L6006" s="16">
        <f>base!X6006</f>
        <v>0</v>
      </c>
      <c r="M6006" s="11">
        <f t="shared" si="934"/>
        <v>0</v>
      </c>
      <c r="N6006" s="11">
        <f t="shared" si="935"/>
        <v>37.799999999999997</v>
      </c>
      <c r="O6006" s="11">
        <f t="shared" si="936"/>
        <v>0.21</v>
      </c>
      <c r="P6006" s="12">
        <f t="shared" si="937"/>
        <v>-37.799999999999997</v>
      </c>
      <c r="Q6006" s="17" t="str">
        <f t="shared" si="939"/>
        <v>Ecart négatif</v>
      </c>
    </row>
    <row r="6007" spans="1:18" x14ac:dyDescent="0.3">
      <c r="A6007" s="34" t="str">
        <f>base!J6007</f>
        <v>RS</v>
      </c>
      <c r="B6007" s="34" t="str">
        <f>base!V6007</f>
        <v>24100</v>
      </c>
      <c r="C6007" s="37">
        <v>24</v>
      </c>
      <c r="D6007" s="36">
        <f>base!H6007</f>
        <v>73.599999999999994</v>
      </c>
      <c r="E6007" s="44"/>
      <c r="F6007" s="16">
        <f>base!W6007</f>
        <v>0</v>
      </c>
      <c r="G6007" s="11">
        <f t="shared" si="930"/>
        <v>0</v>
      </c>
      <c r="H6007" s="11">
        <f t="shared" si="931"/>
        <v>15.455999999999998</v>
      </c>
      <c r="I6007" s="11">
        <f t="shared" si="932"/>
        <v>0.21</v>
      </c>
      <c r="J6007" s="12">
        <f t="shared" si="933"/>
        <v>-15.455999999999998</v>
      </c>
      <c r="K6007" s="17" t="str">
        <f t="shared" si="938"/>
        <v>Ecart négatif</v>
      </c>
      <c r="L6007" s="16">
        <f>base!X6007</f>
        <v>12.51</v>
      </c>
      <c r="M6007" s="11">
        <f t="shared" si="934"/>
        <v>0.16997282608695652</v>
      </c>
      <c r="N6007" s="11">
        <f t="shared" si="935"/>
        <v>12.512</v>
      </c>
      <c r="O6007" s="11">
        <f t="shared" si="936"/>
        <v>0.17</v>
      </c>
      <c r="P6007" s="12">
        <f t="shared" si="937"/>
        <v>-2.0000000000006679E-3</v>
      </c>
      <c r="Q6007" s="17" t="str">
        <f t="shared" si="939"/>
        <v>Ecart négatif</v>
      </c>
      <c r="R6007" s="38"/>
    </row>
    <row r="6008" spans="1:18" x14ac:dyDescent="0.3">
      <c r="A6008" s="34" t="str">
        <f>base!J6008</f>
        <v>RS</v>
      </c>
      <c r="B6008" s="34" t="str">
        <f>base!V6008</f>
        <v>63118</v>
      </c>
      <c r="C6008" s="37">
        <v>63</v>
      </c>
      <c r="D6008" s="36">
        <f>base!H6008</f>
        <v>25</v>
      </c>
      <c r="E6008" s="44"/>
      <c r="F6008" s="16">
        <f>base!W6008</f>
        <v>0</v>
      </c>
      <c r="G6008" s="11">
        <f t="shared" si="930"/>
        <v>0</v>
      </c>
      <c r="H6008" s="11">
        <f t="shared" si="931"/>
        <v>7.2499999999999991</v>
      </c>
      <c r="I6008" s="11">
        <f t="shared" si="932"/>
        <v>0.28999999999999998</v>
      </c>
      <c r="J6008" s="12">
        <f t="shared" si="933"/>
        <v>-7.2499999999999991</v>
      </c>
      <c r="K6008" s="17" t="str">
        <f t="shared" si="938"/>
        <v>Ecart négatif</v>
      </c>
      <c r="L6008" s="16">
        <f>base!X6008</f>
        <v>3</v>
      </c>
      <c r="M6008" s="11">
        <f t="shared" si="934"/>
        <v>0.12</v>
      </c>
      <c r="N6008" s="11">
        <f t="shared" si="935"/>
        <v>3</v>
      </c>
      <c r="O6008" s="11">
        <f t="shared" si="936"/>
        <v>0.12</v>
      </c>
      <c r="P6008" s="12">
        <f t="shared" si="937"/>
        <v>0</v>
      </c>
      <c r="Q6008" s="17" t="str">
        <f t="shared" si="939"/>
        <v>Pas d'écart</v>
      </c>
      <c r="R6008" s="38"/>
    </row>
    <row r="6009" spans="1:18" x14ac:dyDescent="0.3">
      <c r="A6009" s="34" t="str">
        <f>base!J6009</f>
        <v>RM</v>
      </c>
      <c r="B6009" s="34" t="str">
        <f>base!V6009</f>
        <v>68290</v>
      </c>
      <c r="C6009" s="37">
        <v>68</v>
      </c>
      <c r="D6009" s="36">
        <f>base!H6009</f>
        <v>140.72</v>
      </c>
      <c r="E6009" s="44"/>
      <c r="F6009" s="16">
        <f>base!W6009</f>
        <v>0</v>
      </c>
      <c r="G6009" s="11">
        <f t="shared" si="930"/>
        <v>0</v>
      </c>
      <c r="H6009" s="11">
        <f t="shared" si="931"/>
        <v>40.808799999999998</v>
      </c>
      <c r="I6009" s="11">
        <f t="shared" si="932"/>
        <v>0.28999999999999998</v>
      </c>
      <c r="J6009" s="12">
        <f t="shared" si="933"/>
        <v>-40.808799999999998</v>
      </c>
      <c r="K6009" s="17" t="str">
        <f t="shared" si="938"/>
        <v>Ecart négatif</v>
      </c>
      <c r="L6009" s="16">
        <f>base!X6009</f>
        <v>11.26</v>
      </c>
      <c r="M6009" s="11">
        <f t="shared" si="934"/>
        <v>8.0017055144968735E-2</v>
      </c>
      <c r="N6009" s="11">
        <f t="shared" si="935"/>
        <v>11.2576</v>
      </c>
      <c r="O6009" s="11">
        <f t="shared" si="936"/>
        <v>0.08</v>
      </c>
      <c r="P6009" s="12">
        <f t="shared" si="937"/>
        <v>2.3999999999997357E-3</v>
      </c>
      <c r="Q6009" s="17" t="str">
        <f t="shared" si="939"/>
        <v>Ecart positif</v>
      </c>
      <c r="R6009" s="38"/>
    </row>
    <row r="6010" spans="1:18" x14ac:dyDescent="0.3">
      <c r="A6010" s="34" t="str">
        <f>base!J6010</f>
        <v>RS</v>
      </c>
      <c r="B6010" s="34" t="str">
        <f>base!V6010</f>
        <v>86000</v>
      </c>
      <c r="C6010" s="37">
        <v>86</v>
      </c>
      <c r="D6010" s="36">
        <f>base!H6010</f>
        <v>70</v>
      </c>
      <c r="E6010" s="44"/>
      <c r="F6010" s="16">
        <f>base!W6010</f>
        <v>0</v>
      </c>
      <c r="G6010" s="11">
        <f t="shared" si="930"/>
        <v>0</v>
      </c>
      <c r="H6010" s="11">
        <f t="shared" si="931"/>
        <v>14.7</v>
      </c>
      <c r="I6010" s="11">
        <f t="shared" si="932"/>
        <v>0.21</v>
      </c>
      <c r="J6010" s="12">
        <f t="shared" si="933"/>
        <v>-14.7</v>
      </c>
      <c r="K6010" s="17" t="str">
        <f t="shared" si="938"/>
        <v>Ecart négatif</v>
      </c>
      <c r="L6010" s="16">
        <f>base!X6010</f>
        <v>14.7</v>
      </c>
      <c r="M6010" s="11">
        <f t="shared" si="934"/>
        <v>0.21</v>
      </c>
      <c r="N6010" s="11">
        <f t="shared" si="935"/>
        <v>8.4</v>
      </c>
      <c r="O6010" s="11">
        <f t="shared" si="936"/>
        <v>0.12000000000000001</v>
      </c>
      <c r="P6010" s="12">
        <f t="shared" si="937"/>
        <v>6.2999999999999989</v>
      </c>
      <c r="Q6010" s="17" t="str">
        <f t="shared" si="939"/>
        <v>Ecart positif</v>
      </c>
    </row>
    <row r="6011" spans="1:18" x14ac:dyDescent="0.3">
      <c r="A6011" s="34" t="str">
        <f>base!J6011</f>
        <v>RM</v>
      </c>
      <c r="B6011" s="34" t="str">
        <f>base!V6011</f>
        <v>85700</v>
      </c>
      <c r="C6011" s="37">
        <v>85</v>
      </c>
      <c r="D6011" s="36">
        <f>base!H6011</f>
        <v>18.8</v>
      </c>
      <c r="E6011" s="44"/>
      <c r="F6011" s="16">
        <f>base!W6011</f>
        <v>0</v>
      </c>
      <c r="G6011" s="11">
        <f t="shared" si="930"/>
        <v>0</v>
      </c>
      <c r="H6011" s="11">
        <f t="shared" si="931"/>
        <v>5.0760000000000005</v>
      </c>
      <c r="I6011" s="11">
        <f t="shared" si="932"/>
        <v>0.27</v>
      </c>
      <c r="J6011" s="12">
        <f t="shared" si="933"/>
        <v>-5.0760000000000005</v>
      </c>
      <c r="K6011" s="17" t="str">
        <f t="shared" si="938"/>
        <v>Ecart négatif</v>
      </c>
      <c r="L6011" s="16">
        <f>base!X6011</f>
        <v>5.08</v>
      </c>
      <c r="M6011" s="11">
        <f t="shared" si="934"/>
        <v>0.27021276595744681</v>
      </c>
      <c r="N6011" s="11">
        <f t="shared" si="935"/>
        <v>0</v>
      </c>
      <c r="O6011" s="11">
        <f t="shared" si="936"/>
        <v>0</v>
      </c>
      <c r="P6011" s="12">
        <f t="shared" si="937"/>
        <v>5.08</v>
      </c>
      <c r="Q6011" s="17" t="str">
        <f t="shared" si="939"/>
        <v>Ecart positif</v>
      </c>
      <c r="R6011" s="38"/>
    </row>
    <row r="6012" spans="1:18" x14ac:dyDescent="0.3">
      <c r="A6012" s="34" t="str">
        <f>base!J6012</f>
        <v>RM</v>
      </c>
      <c r="B6012" s="34" t="str">
        <f>base!V6012</f>
        <v>70000</v>
      </c>
      <c r="C6012" s="37">
        <v>70</v>
      </c>
      <c r="D6012" s="36">
        <f>base!H6012</f>
        <v>25</v>
      </c>
      <c r="E6012" s="44"/>
      <c r="F6012" s="16">
        <f>base!W6012</f>
        <v>0</v>
      </c>
      <c r="G6012" s="11">
        <f t="shared" si="930"/>
        <v>0</v>
      </c>
      <c r="H6012" s="11">
        <f t="shared" si="931"/>
        <v>6</v>
      </c>
      <c r="I6012" s="11">
        <f t="shared" si="932"/>
        <v>0.24</v>
      </c>
      <c r="J6012" s="12">
        <f t="shared" si="933"/>
        <v>-6</v>
      </c>
      <c r="K6012" s="17" t="str">
        <f t="shared" si="938"/>
        <v>Ecart négatif</v>
      </c>
      <c r="L6012" s="16">
        <f>base!X6012</f>
        <v>0</v>
      </c>
      <c r="M6012" s="11">
        <f t="shared" si="934"/>
        <v>0</v>
      </c>
      <c r="N6012" s="11">
        <f t="shared" si="935"/>
        <v>3</v>
      </c>
      <c r="O6012" s="11">
        <f t="shared" si="936"/>
        <v>0.12</v>
      </c>
      <c r="P6012" s="12">
        <f t="shared" si="937"/>
        <v>-3</v>
      </c>
      <c r="Q6012" s="17" t="str">
        <f t="shared" si="939"/>
        <v>Ecart négatif</v>
      </c>
    </row>
    <row r="6013" spans="1:18" x14ac:dyDescent="0.3">
      <c r="A6013" s="34" t="str">
        <f>base!J6013</f>
        <v>RM</v>
      </c>
      <c r="B6013" s="34" t="str">
        <f>base!V6013</f>
        <v>06190</v>
      </c>
      <c r="C6013" s="37">
        <v>6</v>
      </c>
      <c r="D6013" s="36">
        <f>base!H6013</f>
        <v>92</v>
      </c>
      <c r="E6013" s="44"/>
      <c r="F6013" s="16">
        <f>base!W6013</f>
        <v>0</v>
      </c>
      <c r="G6013" s="11">
        <f t="shared" si="930"/>
        <v>0</v>
      </c>
      <c r="H6013" s="11">
        <f t="shared" si="931"/>
        <v>27.599999999999998</v>
      </c>
      <c r="I6013" s="11">
        <f t="shared" si="932"/>
        <v>0.3</v>
      </c>
      <c r="J6013" s="12">
        <f t="shared" si="933"/>
        <v>-27.599999999999998</v>
      </c>
      <c r="K6013" s="17" t="str">
        <f t="shared" si="938"/>
        <v>Ecart négatif</v>
      </c>
      <c r="L6013" s="16">
        <f>base!X6013</f>
        <v>27.6</v>
      </c>
      <c r="M6013" s="11">
        <f t="shared" si="934"/>
        <v>0.3</v>
      </c>
      <c r="N6013" s="11">
        <f t="shared" si="935"/>
        <v>19.32</v>
      </c>
      <c r="O6013" s="11">
        <f t="shared" si="936"/>
        <v>0.21</v>
      </c>
      <c r="P6013" s="12">
        <f t="shared" si="937"/>
        <v>8.2800000000000011</v>
      </c>
      <c r="Q6013" s="17" t="str">
        <f t="shared" si="939"/>
        <v>Ecart positif</v>
      </c>
      <c r="R6013" s="38"/>
    </row>
    <row r="6014" spans="1:18" x14ac:dyDescent="0.3">
      <c r="A6014" s="34" t="str">
        <f>base!J6014</f>
        <v>RM</v>
      </c>
      <c r="B6014" s="34" t="str">
        <f>base!V6014</f>
        <v>10200</v>
      </c>
      <c r="C6014" s="37">
        <v>10</v>
      </c>
      <c r="D6014" s="36">
        <f>base!H6014</f>
        <v>151</v>
      </c>
      <c r="E6014" s="44"/>
      <c r="F6014" s="16">
        <f>base!W6014</f>
        <v>0</v>
      </c>
      <c r="G6014" s="11">
        <f t="shared" si="930"/>
        <v>0</v>
      </c>
      <c r="H6014" s="11">
        <f t="shared" si="931"/>
        <v>34.730000000000004</v>
      </c>
      <c r="I6014" s="11">
        <f t="shared" si="932"/>
        <v>0.23000000000000004</v>
      </c>
      <c r="J6014" s="12">
        <f t="shared" si="933"/>
        <v>-34.730000000000004</v>
      </c>
      <c r="K6014" s="17" t="str">
        <f t="shared" si="938"/>
        <v>Ecart négatif</v>
      </c>
      <c r="L6014" s="16">
        <f>base!X6014</f>
        <v>0</v>
      </c>
      <c r="M6014" s="11">
        <f t="shared" si="934"/>
        <v>0</v>
      </c>
      <c r="N6014" s="11">
        <f t="shared" si="935"/>
        <v>18.12</v>
      </c>
      <c r="O6014" s="11">
        <f t="shared" si="936"/>
        <v>0.12000000000000001</v>
      </c>
      <c r="P6014" s="12">
        <f t="shared" si="937"/>
        <v>-18.12</v>
      </c>
      <c r="Q6014" s="17" t="str">
        <f t="shared" si="939"/>
        <v>Ecart négatif</v>
      </c>
    </row>
    <row r="6015" spans="1:18" x14ac:dyDescent="0.3">
      <c r="A6015" s="34" t="str">
        <f>base!J6015</f>
        <v>DLM</v>
      </c>
      <c r="B6015" s="34" t="str">
        <f>base!V6015</f>
        <v>69003</v>
      </c>
      <c r="C6015" s="37">
        <v>69</v>
      </c>
      <c r="D6015" s="36">
        <f>base!H6015</f>
        <v>52.5</v>
      </c>
      <c r="E6015" s="44"/>
      <c r="F6015" s="16">
        <f>base!W6015</f>
        <v>0</v>
      </c>
      <c r="G6015" s="11">
        <f t="shared" si="930"/>
        <v>0</v>
      </c>
      <c r="H6015" s="11">
        <f t="shared" si="931"/>
        <v>14.175000000000001</v>
      </c>
      <c r="I6015" s="11">
        <f t="shared" si="932"/>
        <v>0.27</v>
      </c>
      <c r="J6015" s="12">
        <f t="shared" si="933"/>
        <v>-14.175000000000001</v>
      </c>
      <c r="K6015" s="17" t="str">
        <f t="shared" si="938"/>
        <v>Ecart négatif</v>
      </c>
      <c r="L6015" s="16">
        <f>base!X6015</f>
        <v>0</v>
      </c>
      <c r="M6015" s="11">
        <f t="shared" si="934"/>
        <v>0</v>
      </c>
      <c r="N6015" s="11">
        <f t="shared" si="935"/>
        <v>0</v>
      </c>
      <c r="O6015" s="11">
        <f t="shared" si="936"/>
        <v>0</v>
      </c>
      <c r="P6015" s="12">
        <f t="shared" si="937"/>
        <v>0</v>
      </c>
      <c r="Q6015" s="17" t="str">
        <f t="shared" si="939"/>
        <v>Pas d'écart</v>
      </c>
    </row>
    <row r="6016" spans="1:18" x14ac:dyDescent="0.3">
      <c r="A6016" s="34" t="str">
        <f>base!J6016</f>
        <v>DLM</v>
      </c>
      <c r="B6016" s="34" t="str">
        <f>base!V6016</f>
        <v>93000</v>
      </c>
      <c r="C6016" s="37">
        <v>93</v>
      </c>
      <c r="D6016" s="36">
        <f>base!H6016</f>
        <v>52.5</v>
      </c>
      <c r="E6016" s="44"/>
      <c r="F6016" s="16">
        <f>base!W6016</f>
        <v>0</v>
      </c>
      <c r="G6016" s="11">
        <f t="shared" si="930"/>
        <v>0</v>
      </c>
      <c r="H6016" s="11">
        <f t="shared" si="931"/>
        <v>0</v>
      </c>
      <c r="I6016" s="11">
        <f t="shared" si="932"/>
        <v>0</v>
      </c>
      <c r="J6016" s="12">
        <f t="shared" si="933"/>
        <v>0</v>
      </c>
      <c r="K6016" s="17" t="str">
        <f t="shared" si="938"/>
        <v>Pas d'écart</v>
      </c>
      <c r="L6016" s="16">
        <f>base!X6016</f>
        <v>0</v>
      </c>
      <c r="M6016" s="11">
        <f t="shared" si="934"/>
        <v>0</v>
      </c>
      <c r="N6016" s="11">
        <f t="shared" si="935"/>
        <v>0</v>
      </c>
      <c r="O6016" s="11">
        <f t="shared" si="936"/>
        <v>0</v>
      </c>
      <c r="P6016" s="12">
        <f t="shared" si="937"/>
        <v>0</v>
      </c>
      <c r="Q6016" s="17" t="str">
        <f t="shared" si="939"/>
        <v>Pas d'écart</v>
      </c>
    </row>
    <row r="6017" spans="1:18" x14ac:dyDescent="0.3">
      <c r="A6017" s="34" t="str">
        <f>base!J6017</f>
        <v>DLM</v>
      </c>
      <c r="B6017" s="34" t="str">
        <f>base!V6017</f>
        <v>14000</v>
      </c>
      <c r="C6017" s="37">
        <v>14</v>
      </c>
      <c r="D6017" s="36">
        <f>base!H6017</f>
        <v>52.5</v>
      </c>
      <c r="E6017" s="44"/>
      <c r="F6017" s="16">
        <f>base!W6017</f>
        <v>0</v>
      </c>
      <c r="G6017" s="11">
        <f t="shared" si="930"/>
        <v>0</v>
      </c>
      <c r="H6017" s="11">
        <f t="shared" si="931"/>
        <v>8.9250000000000007</v>
      </c>
      <c r="I6017" s="11">
        <f t="shared" si="932"/>
        <v>0.17</v>
      </c>
      <c r="J6017" s="12">
        <f t="shared" si="933"/>
        <v>-8.9250000000000007</v>
      </c>
      <c r="K6017" s="17" t="str">
        <f t="shared" si="938"/>
        <v>Ecart négatif</v>
      </c>
      <c r="L6017" s="16">
        <f>base!X6017</f>
        <v>0</v>
      </c>
      <c r="M6017" s="11">
        <f t="shared" si="934"/>
        <v>0</v>
      </c>
      <c r="N6017" s="11">
        <f t="shared" si="935"/>
        <v>8.9250000000000007</v>
      </c>
      <c r="O6017" s="11">
        <f t="shared" si="936"/>
        <v>0.17</v>
      </c>
      <c r="P6017" s="12">
        <f t="shared" si="937"/>
        <v>-8.9250000000000007</v>
      </c>
      <c r="Q6017" s="17" t="str">
        <f t="shared" si="939"/>
        <v>Ecart négatif</v>
      </c>
    </row>
    <row r="6018" spans="1:18" x14ac:dyDescent="0.3">
      <c r="A6018" s="34" t="str">
        <f>base!J6018</f>
        <v>RM</v>
      </c>
      <c r="B6018" s="34" t="str">
        <f>base!V6018</f>
        <v>69520</v>
      </c>
      <c r="C6018" s="37">
        <v>69</v>
      </c>
      <c r="D6018" s="36">
        <f>base!H6018</f>
        <v>140</v>
      </c>
      <c r="E6018" s="44"/>
      <c r="F6018" s="16">
        <f>base!W6018</f>
        <v>0</v>
      </c>
      <c r="G6018" s="11">
        <f t="shared" ref="G6018:G6081" si="940">F6018/D6018</f>
        <v>0</v>
      </c>
      <c r="H6018" s="11">
        <f t="shared" ref="H6018:H6081" si="941">VLOOKUP(C6018,tout_cout_traction,2,FALSE)*D6018</f>
        <v>37.800000000000004</v>
      </c>
      <c r="I6018" s="11">
        <f t="shared" ref="I6018:I6081" si="942">H6018/D6018</f>
        <v>0.27</v>
      </c>
      <c r="J6018" s="12">
        <f t="shared" ref="J6018:J6081" si="943">F6018-H6018</f>
        <v>-37.800000000000004</v>
      </c>
      <c r="K6018" s="17" t="str">
        <f t="shared" si="938"/>
        <v>Ecart négatif</v>
      </c>
      <c r="L6018" s="16">
        <f>base!X6018</f>
        <v>0</v>
      </c>
      <c r="M6018" s="11">
        <f t="shared" ref="M6018:M6081" si="944">L6018/D6018</f>
        <v>0</v>
      </c>
      <c r="N6018" s="11">
        <f t="shared" ref="N6018:N6081" si="945">VLOOKUP(C6018,tout_cout_traction,3,FALSE)*D6018</f>
        <v>0</v>
      </c>
      <c r="O6018" s="11">
        <f t="shared" ref="O6018:O6081" si="946">N6018/D6018</f>
        <v>0</v>
      </c>
      <c r="P6018" s="12">
        <f t="shared" ref="P6018:P6081" si="947">L6018-N6018</f>
        <v>0</v>
      </c>
      <c r="Q6018" s="17" t="str">
        <f t="shared" si="939"/>
        <v>Pas d'écart</v>
      </c>
    </row>
    <row r="6019" spans="1:18" x14ac:dyDescent="0.3">
      <c r="A6019" s="34" t="str">
        <f>base!J6019</f>
        <v>RM</v>
      </c>
      <c r="B6019" s="34" t="str">
        <f>base!V6019</f>
        <v>77140</v>
      </c>
      <c r="C6019" s="37">
        <v>77</v>
      </c>
      <c r="D6019" s="36">
        <f>base!H6019</f>
        <v>124.94</v>
      </c>
      <c r="E6019" s="44"/>
      <c r="F6019" s="16">
        <f>base!W6019</f>
        <v>0</v>
      </c>
      <c r="G6019" s="11">
        <f t="shared" si="940"/>
        <v>0</v>
      </c>
      <c r="H6019" s="11">
        <f t="shared" si="941"/>
        <v>0</v>
      </c>
      <c r="I6019" s="11">
        <f t="shared" si="942"/>
        <v>0</v>
      </c>
      <c r="J6019" s="12">
        <f t="shared" si="943"/>
        <v>0</v>
      </c>
      <c r="K6019" s="17" t="str">
        <f t="shared" ref="K6019:K6082" si="948">IF(H6019=F6019,"Pas d'écart",IF(H6019&lt;F6019,"Ecart positif",IF(H6019&gt;F6019,"Ecart négatif")))</f>
        <v>Pas d'écart</v>
      </c>
      <c r="L6019" s="16">
        <f>base!X6019</f>
        <v>0</v>
      </c>
      <c r="M6019" s="11">
        <f t="shared" si="944"/>
        <v>0</v>
      </c>
      <c r="N6019" s="11">
        <f t="shared" si="945"/>
        <v>0</v>
      </c>
      <c r="O6019" s="11">
        <f t="shared" si="946"/>
        <v>0</v>
      </c>
      <c r="P6019" s="12">
        <f t="shared" si="947"/>
        <v>0</v>
      </c>
      <c r="Q6019" s="17" t="str">
        <f t="shared" ref="Q6019:Q6082" si="949">IF(N6019=L6019,"Pas d'écart",IF(N6019&lt;L6019,"Ecart positif",IF(N6019&gt;L6019,"Ecart négatif")))</f>
        <v>Pas d'écart</v>
      </c>
    </row>
    <row r="6020" spans="1:18" x14ac:dyDescent="0.3">
      <c r="A6020" s="34" t="str">
        <f>base!J6020</f>
        <v>RS</v>
      </c>
      <c r="B6020" s="34" t="str">
        <f>base!V6020</f>
        <v>93320</v>
      </c>
      <c r="C6020" s="37">
        <v>93</v>
      </c>
      <c r="D6020" s="36">
        <f>base!H6020</f>
        <v>184.02</v>
      </c>
      <c r="E6020" s="44"/>
      <c r="F6020" s="16">
        <f>base!W6020</f>
        <v>0</v>
      </c>
      <c r="G6020" s="11">
        <f t="shared" si="940"/>
        <v>0</v>
      </c>
      <c r="H6020" s="11">
        <f t="shared" si="941"/>
        <v>0</v>
      </c>
      <c r="I6020" s="11">
        <f t="shared" si="942"/>
        <v>0</v>
      </c>
      <c r="J6020" s="12">
        <f t="shared" si="943"/>
        <v>0</v>
      </c>
      <c r="K6020" s="17" t="str">
        <f t="shared" si="948"/>
        <v>Pas d'écart</v>
      </c>
      <c r="L6020" s="16">
        <f>base!X6020</f>
        <v>0</v>
      </c>
      <c r="M6020" s="11">
        <f t="shared" si="944"/>
        <v>0</v>
      </c>
      <c r="N6020" s="11">
        <f t="shared" si="945"/>
        <v>0</v>
      </c>
      <c r="O6020" s="11">
        <f t="shared" si="946"/>
        <v>0</v>
      </c>
      <c r="P6020" s="12">
        <f t="shared" si="947"/>
        <v>0</v>
      </c>
      <c r="Q6020" s="17" t="str">
        <f t="shared" si="949"/>
        <v>Pas d'écart</v>
      </c>
    </row>
    <row r="6021" spans="1:18" x14ac:dyDescent="0.3">
      <c r="A6021" s="34" t="str">
        <f>base!J6021</f>
        <v>RM</v>
      </c>
      <c r="B6021" s="34" t="str">
        <f>base!V6021</f>
        <v>75009</v>
      </c>
      <c r="C6021" s="37">
        <v>75</v>
      </c>
      <c r="D6021" s="36">
        <f>base!H6021</f>
        <v>70</v>
      </c>
      <c r="E6021" s="44"/>
      <c r="F6021" s="16">
        <f>base!W6021</f>
        <v>0</v>
      </c>
      <c r="G6021" s="11">
        <f t="shared" si="940"/>
        <v>0</v>
      </c>
      <c r="H6021" s="11">
        <f t="shared" si="941"/>
        <v>0</v>
      </c>
      <c r="I6021" s="11">
        <f t="shared" si="942"/>
        <v>0</v>
      </c>
      <c r="J6021" s="12">
        <f t="shared" si="943"/>
        <v>0</v>
      </c>
      <c r="K6021" s="17" t="str">
        <f t="shared" si="948"/>
        <v>Pas d'écart</v>
      </c>
      <c r="L6021" s="16">
        <f>base!X6021</f>
        <v>0</v>
      </c>
      <c r="M6021" s="11">
        <f t="shared" si="944"/>
        <v>0</v>
      </c>
      <c r="N6021" s="11">
        <f t="shared" si="945"/>
        <v>0</v>
      </c>
      <c r="O6021" s="11">
        <f t="shared" si="946"/>
        <v>0</v>
      </c>
      <c r="P6021" s="12">
        <f t="shared" si="947"/>
        <v>0</v>
      </c>
      <c r="Q6021" s="17" t="str">
        <f t="shared" si="949"/>
        <v>Pas d'écart</v>
      </c>
    </row>
    <row r="6022" spans="1:18" x14ac:dyDescent="0.3">
      <c r="A6022" s="34" t="str">
        <f>base!J6022</f>
        <v>LM</v>
      </c>
      <c r="B6022" s="34" t="str">
        <f>base!V6022</f>
        <v>56920</v>
      </c>
      <c r="C6022" s="37">
        <v>6</v>
      </c>
      <c r="D6022" s="36">
        <f>base!H6022</f>
        <v>86.54</v>
      </c>
      <c r="E6022" s="44"/>
      <c r="F6022" s="16">
        <f>base!W6022</f>
        <v>23.37</v>
      </c>
      <c r="G6022" s="11">
        <f t="shared" si="940"/>
        <v>0.27004853247053384</v>
      </c>
      <c r="H6022" s="11">
        <f t="shared" si="941"/>
        <v>25.962</v>
      </c>
      <c r="I6022" s="11">
        <f t="shared" si="942"/>
        <v>0.3</v>
      </c>
      <c r="J6022" s="12">
        <f t="shared" si="943"/>
        <v>-2.5919999999999987</v>
      </c>
      <c r="K6022" s="17" t="str">
        <f t="shared" si="948"/>
        <v>Ecart négatif</v>
      </c>
      <c r="L6022" s="16">
        <f>base!X6022</f>
        <v>0</v>
      </c>
      <c r="M6022" s="11">
        <f t="shared" si="944"/>
        <v>0</v>
      </c>
      <c r="N6022" s="11">
        <f t="shared" si="945"/>
        <v>18.173400000000001</v>
      </c>
      <c r="O6022" s="11">
        <f t="shared" si="946"/>
        <v>0.21</v>
      </c>
      <c r="P6022" s="12">
        <f t="shared" si="947"/>
        <v>-18.173400000000001</v>
      </c>
      <c r="Q6022" s="17" t="str">
        <f t="shared" si="949"/>
        <v>Ecart négatif</v>
      </c>
    </row>
    <row r="6023" spans="1:18" x14ac:dyDescent="0.3">
      <c r="A6023" s="34">
        <f>base!J6023</f>
        <v>0</v>
      </c>
      <c r="B6023" s="34" t="str">
        <f>base!V6023</f>
        <v>77184</v>
      </c>
      <c r="C6023" s="37">
        <v>77</v>
      </c>
      <c r="D6023" s="36">
        <f>base!H6023</f>
        <v>180</v>
      </c>
      <c r="E6023" s="44"/>
      <c r="F6023" s="16">
        <f>base!W6023</f>
        <v>0</v>
      </c>
      <c r="G6023" s="11">
        <f t="shared" si="940"/>
        <v>0</v>
      </c>
      <c r="H6023" s="11">
        <f t="shared" si="941"/>
        <v>0</v>
      </c>
      <c r="I6023" s="11">
        <f t="shared" si="942"/>
        <v>0</v>
      </c>
      <c r="J6023" s="12">
        <f t="shared" si="943"/>
        <v>0</v>
      </c>
      <c r="K6023" s="17" t="str">
        <f t="shared" si="948"/>
        <v>Pas d'écart</v>
      </c>
      <c r="L6023" s="16">
        <f>base!X6023</f>
        <v>0</v>
      </c>
      <c r="M6023" s="11">
        <f t="shared" si="944"/>
        <v>0</v>
      </c>
      <c r="N6023" s="11">
        <f t="shared" si="945"/>
        <v>0</v>
      </c>
      <c r="O6023" s="11">
        <f t="shared" si="946"/>
        <v>0</v>
      </c>
      <c r="P6023" s="12">
        <f t="shared" si="947"/>
        <v>0</v>
      </c>
      <c r="Q6023" s="17" t="str">
        <f t="shared" si="949"/>
        <v>Pas d'écart</v>
      </c>
    </row>
    <row r="6024" spans="1:18" x14ac:dyDescent="0.3">
      <c r="A6024" s="34" t="str">
        <f>base!J6024</f>
        <v>RM</v>
      </c>
      <c r="B6024" s="34" t="str">
        <f>base!V6024</f>
        <v>59155</v>
      </c>
      <c r="C6024" s="37">
        <v>59</v>
      </c>
      <c r="D6024" s="36">
        <f>base!H6024</f>
        <v>180</v>
      </c>
      <c r="E6024" s="44"/>
      <c r="F6024" s="16">
        <f>base!W6024</f>
        <v>0</v>
      </c>
      <c r="G6024" s="11">
        <f t="shared" si="940"/>
        <v>0</v>
      </c>
      <c r="H6024" s="11">
        <f t="shared" si="941"/>
        <v>34.200000000000003</v>
      </c>
      <c r="I6024" s="11">
        <f t="shared" si="942"/>
        <v>0.19</v>
      </c>
      <c r="J6024" s="12">
        <f t="shared" si="943"/>
        <v>-34.200000000000003</v>
      </c>
      <c r="K6024" s="17" t="str">
        <f t="shared" si="948"/>
        <v>Ecart négatif</v>
      </c>
      <c r="L6024" s="16">
        <f>base!X6024</f>
        <v>0</v>
      </c>
      <c r="M6024" s="11">
        <f t="shared" si="944"/>
        <v>0</v>
      </c>
      <c r="N6024" s="11">
        <f t="shared" si="945"/>
        <v>0</v>
      </c>
      <c r="O6024" s="11">
        <f t="shared" si="946"/>
        <v>0</v>
      </c>
      <c r="P6024" s="12">
        <f t="shared" si="947"/>
        <v>0</v>
      </c>
      <c r="Q6024" s="17" t="str">
        <f t="shared" si="949"/>
        <v>Pas d'écart</v>
      </c>
    </row>
    <row r="6025" spans="1:18" x14ac:dyDescent="0.3">
      <c r="A6025" s="34" t="str">
        <f>base!J6025</f>
        <v>RS</v>
      </c>
      <c r="B6025" s="34" t="str">
        <f>base!V6025</f>
        <v>52000</v>
      </c>
      <c r="C6025" s="37">
        <v>52</v>
      </c>
      <c r="D6025" s="36">
        <f>base!H6025</f>
        <v>140</v>
      </c>
      <c r="E6025" s="44"/>
      <c r="F6025" s="16">
        <f>base!W6025</f>
        <v>0</v>
      </c>
      <c r="G6025" s="11">
        <f t="shared" si="940"/>
        <v>0</v>
      </c>
      <c r="H6025" s="11">
        <f t="shared" si="941"/>
        <v>25.2</v>
      </c>
      <c r="I6025" s="11">
        <f t="shared" si="942"/>
        <v>0.18</v>
      </c>
      <c r="J6025" s="12">
        <f t="shared" si="943"/>
        <v>-25.2</v>
      </c>
      <c r="K6025" s="17" t="str">
        <f t="shared" si="948"/>
        <v>Ecart négatif</v>
      </c>
      <c r="L6025" s="16">
        <f>base!X6025</f>
        <v>16.8</v>
      </c>
      <c r="M6025" s="11">
        <f t="shared" si="944"/>
        <v>0.12000000000000001</v>
      </c>
      <c r="N6025" s="11">
        <f t="shared" si="945"/>
        <v>16.8</v>
      </c>
      <c r="O6025" s="11">
        <f t="shared" si="946"/>
        <v>0.12000000000000001</v>
      </c>
      <c r="P6025" s="12">
        <f t="shared" si="947"/>
        <v>0</v>
      </c>
      <c r="Q6025" s="17" t="str">
        <f t="shared" si="949"/>
        <v>Pas d'écart</v>
      </c>
      <c r="R6025" s="38"/>
    </row>
    <row r="6026" spans="1:18" x14ac:dyDescent="0.3">
      <c r="A6026" s="34" t="str">
        <f>base!J6026</f>
        <v>RM</v>
      </c>
      <c r="B6026" s="34" t="str">
        <f>base!V6026</f>
        <v>01000</v>
      </c>
      <c r="C6026" s="37">
        <v>1</v>
      </c>
      <c r="D6026" s="36">
        <f>base!H6026</f>
        <v>70</v>
      </c>
      <c r="E6026" s="44"/>
      <c r="F6026" s="16">
        <f>base!W6026</f>
        <v>0</v>
      </c>
      <c r="G6026" s="11">
        <f t="shared" si="940"/>
        <v>0</v>
      </c>
      <c r="H6026" s="11">
        <f t="shared" si="941"/>
        <v>18.2</v>
      </c>
      <c r="I6026" s="11">
        <f t="shared" si="942"/>
        <v>0.26</v>
      </c>
      <c r="J6026" s="12">
        <f t="shared" si="943"/>
        <v>-18.2</v>
      </c>
      <c r="K6026" s="17" t="str">
        <f t="shared" si="948"/>
        <v>Ecart négatif</v>
      </c>
      <c r="L6026" s="16">
        <f>base!X6026</f>
        <v>18.899999999999999</v>
      </c>
      <c r="M6026" s="11">
        <f t="shared" si="944"/>
        <v>0.26999999999999996</v>
      </c>
      <c r="N6026" s="11">
        <f t="shared" si="945"/>
        <v>0</v>
      </c>
      <c r="O6026" s="11">
        <f t="shared" si="946"/>
        <v>0</v>
      </c>
      <c r="P6026" s="12">
        <f t="shared" si="947"/>
        <v>18.899999999999999</v>
      </c>
      <c r="Q6026" s="17" t="str">
        <f t="shared" si="949"/>
        <v>Ecart positif</v>
      </c>
    </row>
    <row r="6027" spans="1:18" x14ac:dyDescent="0.3">
      <c r="A6027" s="34" t="str">
        <f>base!J6027</f>
        <v>RS</v>
      </c>
      <c r="B6027" s="34" t="str">
        <f>base!V6027</f>
        <v>76110</v>
      </c>
      <c r="C6027" s="37">
        <v>76</v>
      </c>
      <c r="D6027" s="36">
        <f>base!H6027</f>
        <v>151</v>
      </c>
      <c r="E6027" s="44"/>
      <c r="F6027" s="16">
        <f>base!W6027</f>
        <v>0</v>
      </c>
      <c r="G6027" s="11">
        <f t="shared" si="940"/>
        <v>0</v>
      </c>
      <c r="H6027" s="11">
        <f t="shared" si="941"/>
        <v>25.67</v>
      </c>
      <c r="I6027" s="11">
        <f t="shared" si="942"/>
        <v>0.17</v>
      </c>
      <c r="J6027" s="12">
        <f t="shared" si="943"/>
        <v>-25.67</v>
      </c>
      <c r="K6027" s="17" t="str">
        <f t="shared" si="948"/>
        <v>Ecart négatif</v>
      </c>
      <c r="L6027" s="16">
        <f>base!X6027</f>
        <v>0</v>
      </c>
      <c r="M6027" s="11">
        <f t="shared" si="944"/>
        <v>0</v>
      </c>
      <c r="N6027" s="11">
        <f t="shared" si="945"/>
        <v>25.67</v>
      </c>
      <c r="O6027" s="11">
        <f t="shared" si="946"/>
        <v>0.17</v>
      </c>
      <c r="P6027" s="12">
        <f t="shared" si="947"/>
        <v>-25.67</v>
      </c>
      <c r="Q6027" s="17" t="str">
        <f t="shared" si="949"/>
        <v>Ecart négatif</v>
      </c>
    </row>
    <row r="6028" spans="1:18" x14ac:dyDescent="0.3">
      <c r="A6028" s="34" t="str">
        <f>base!J6028</f>
        <v>RS</v>
      </c>
      <c r="B6028" s="34" t="str">
        <f>base!V6028</f>
        <v>25000</v>
      </c>
      <c r="C6028" s="37">
        <v>25</v>
      </c>
      <c r="D6028" s="36">
        <f>base!H6028</f>
        <v>146.31</v>
      </c>
      <c r="E6028" s="44"/>
      <c r="F6028" s="16">
        <f>base!W6028</f>
        <v>0</v>
      </c>
      <c r="G6028" s="11">
        <f t="shared" si="940"/>
        <v>0</v>
      </c>
      <c r="H6028" s="11">
        <f t="shared" si="941"/>
        <v>35.114399999999996</v>
      </c>
      <c r="I6028" s="11">
        <f t="shared" si="942"/>
        <v>0.23999999999999996</v>
      </c>
      <c r="J6028" s="12">
        <f t="shared" si="943"/>
        <v>-35.114399999999996</v>
      </c>
      <c r="K6028" s="17" t="str">
        <f t="shared" si="948"/>
        <v>Ecart négatif</v>
      </c>
      <c r="L6028" s="16">
        <f>base!X6028</f>
        <v>17.559999999999999</v>
      </c>
      <c r="M6028" s="11">
        <f t="shared" si="944"/>
        <v>0.12001913744788462</v>
      </c>
      <c r="N6028" s="11">
        <f t="shared" si="945"/>
        <v>17.557199999999998</v>
      </c>
      <c r="O6028" s="11">
        <f t="shared" si="946"/>
        <v>0.11999999999999998</v>
      </c>
      <c r="P6028" s="12">
        <f t="shared" si="947"/>
        <v>2.8000000000005798E-3</v>
      </c>
      <c r="Q6028" s="17" t="str">
        <f t="shared" si="949"/>
        <v>Ecart positif</v>
      </c>
      <c r="R6028" s="38"/>
    </row>
    <row r="6029" spans="1:18" x14ac:dyDescent="0.3">
      <c r="A6029" s="34" t="str">
        <f>base!J6029</f>
        <v>RS</v>
      </c>
      <c r="B6029" s="34" t="str">
        <f>base!V6029</f>
        <v>51100</v>
      </c>
      <c r="C6029" s="37">
        <v>51</v>
      </c>
      <c r="D6029" s="36">
        <f>base!H6029</f>
        <v>70</v>
      </c>
      <c r="E6029" s="44"/>
      <c r="F6029" s="16">
        <f>base!W6029</f>
        <v>0</v>
      </c>
      <c r="G6029" s="11">
        <f t="shared" si="940"/>
        <v>0</v>
      </c>
      <c r="H6029" s="11">
        <f t="shared" si="941"/>
        <v>17.5</v>
      </c>
      <c r="I6029" s="11">
        <f t="shared" si="942"/>
        <v>0.25</v>
      </c>
      <c r="J6029" s="12">
        <f t="shared" si="943"/>
        <v>-17.5</v>
      </c>
      <c r="K6029" s="17" t="str">
        <f t="shared" si="948"/>
        <v>Ecart négatif</v>
      </c>
      <c r="L6029" s="16">
        <f>base!X6029</f>
        <v>17.5</v>
      </c>
      <c r="M6029" s="11">
        <f t="shared" si="944"/>
        <v>0.25</v>
      </c>
      <c r="N6029" s="11">
        <f t="shared" si="945"/>
        <v>17.5</v>
      </c>
      <c r="O6029" s="11">
        <f t="shared" si="946"/>
        <v>0.25</v>
      </c>
      <c r="P6029" s="12">
        <f t="shared" si="947"/>
        <v>0</v>
      </c>
      <c r="Q6029" s="17" t="str">
        <f t="shared" si="949"/>
        <v>Pas d'écart</v>
      </c>
    </row>
    <row r="6030" spans="1:18" x14ac:dyDescent="0.3">
      <c r="A6030" s="34" t="str">
        <f>base!J6030</f>
        <v>LS</v>
      </c>
      <c r="B6030" s="34" t="str">
        <f>base!V6030</f>
        <v>60290</v>
      </c>
      <c r="C6030" s="37">
        <v>13</v>
      </c>
      <c r="D6030" s="36">
        <f>base!H6030</f>
        <v>28.02</v>
      </c>
      <c r="E6030" s="44"/>
      <c r="F6030" s="16">
        <f>base!W6030</f>
        <v>13.45</v>
      </c>
      <c r="G6030" s="11">
        <f t="shared" si="940"/>
        <v>0.48001427551748749</v>
      </c>
      <c r="H6030" s="11">
        <f t="shared" si="941"/>
        <v>8.1257999999999999</v>
      </c>
      <c r="I6030" s="11">
        <f t="shared" si="942"/>
        <v>0.28999999999999998</v>
      </c>
      <c r="J6030" s="12">
        <f t="shared" si="943"/>
        <v>5.3241999999999994</v>
      </c>
      <c r="K6030" s="17" t="str">
        <f t="shared" si="948"/>
        <v>Ecart positif</v>
      </c>
      <c r="L6030" s="16">
        <f>base!X6030</f>
        <v>0</v>
      </c>
      <c r="M6030" s="11">
        <f t="shared" si="944"/>
        <v>0</v>
      </c>
      <c r="N6030" s="11">
        <f t="shared" si="945"/>
        <v>5.3238000000000003</v>
      </c>
      <c r="O6030" s="11">
        <f t="shared" si="946"/>
        <v>0.19</v>
      </c>
      <c r="P6030" s="12">
        <f t="shared" si="947"/>
        <v>-5.3238000000000003</v>
      </c>
      <c r="Q6030" s="17" t="str">
        <f t="shared" si="949"/>
        <v>Ecart négatif</v>
      </c>
    </row>
    <row r="6031" spans="1:18" x14ac:dyDescent="0.3">
      <c r="A6031" s="34" t="str">
        <f>base!J6031</f>
        <v>RS</v>
      </c>
      <c r="B6031" s="34" t="str">
        <f>base!V6031</f>
        <v>06560</v>
      </c>
      <c r="C6031" s="37">
        <v>6</v>
      </c>
      <c r="D6031" s="36">
        <f>base!H6031</f>
        <v>151</v>
      </c>
      <c r="E6031" s="44"/>
      <c r="F6031" s="16">
        <f>base!W6031</f>
        <v>0</v>
      </c>
      <c r="G6031" s="11">
        <f t="shared" si="940"/>
        <v>0</v>
      </c>
      <c r="H6031" s="11">
        <f t="shared" si="941"/>
        <v>45.3</v>
      </c>
      <c r="I6031" s="11">
        <f t="shared" si="942"/>
        <v>0.3</v>
      </c>
      <c r="J6031" s="12">
        <f t="shared" si="943"/>
        <v>-45.3</v>
      </c>
      <c r="K6031" s="17" t="str">
        <f t="shared" si="948"/>
        <v>Ecart négatif</v>
      </c>
      <c r="L6031" s="16">
        <f>base!X6031</f>
        <v>0</v>
      </c>
      <c r="M6031" s="11">
        <f t="shared" si="944"/>
        <v>0</v>
      </c>
      <c r="N6031" s="11">
        <f t="shared" si="945"/>
        <v>31.709999999999997</v>
      </c>
      <c r="O6031" s="11">
        <f t="shared" si="946"/>
        <v>0.21</v>
      </c>
      <c r="P6031" s="12">
        <f t="shared" si="947"/>
        <v>-31.709999999999997</v>
      </c>
      <c r="Q6031" s="17" t="str">
        <f t="shared" si="949"/>
        <v>Ecart négatif</v>
      </c>
    </row>
    <row r="6032" spans="1:18" x14ac:dyDescent="0.3">
      <c r="A6032" s="34">
        <f>base!J6032</f>
        <v>0</v>
      </c>
      <c r="B6032" s="34" t="str">
        <f>base!V6032</f>
        <v>77184</v>
      </c>
      <c r="C6032" s="37">
        <v>77</v>
      </c>
      <c r="D6032" s="36">
        <f>base!H6032</f>
        <v>10</v>
      </c>
      <c r="E6032" s="44"/>
      <c r="F6032" s="16">
        <f>base!W6032</f>
        <v>0</v>
      </c>
      <c r="G6032" s="11">
        <f t="shared" si="940"/>
        <v>0</v>
      </c>
      <c r="H6032" s="11">
        <f t="shared" si="941"/>
        <v>0</v>
      </c>
      <c r="I6032" s="11">
        <f t="shared" si="942"/>
        <v>0</v>
      </c>
      <c r="J6032" s="12">
        <f t="shared" si="943"/>
        <v>0</v>
      </c>
      <c r="K6032" s="17" t="str">
        <f t="shared" si="948"/>
        <v>Pas d'écart</v>
      </c>
      <c r="L6032" s="16">
        <f>base!X6032</f>
        <v>0</v>
      </c>
      <c r="M6032" s="11">
        <f t="shared" si="944"/>
        <v>0</v>
      </c>
      <c r="N6032" s="11">
        <f t="shared" si="945"/>
        <v>0</v>
      </c>
      <c r="O6032" s="11">
        <f t="shared" si="946"/>
        <v>0</v>
      </c>
      <c r="P6032" s="12">
        <f t="shared" si="947"/>
        <v>0</v>
      </c>
      <c r="Q6032" s="17" t="str">
        <f t="shared" si="949"/>
        <v>Pas d'écart</v>
      </c>
    </row>
    <row r="6033" spans="1:18" x14ac:dyDescent="0.3">
      <c r="A6033" s="34">
        <f>base!J6033</f>
        <v>0</v>
      </c>
      <c r="B6033" s="34" t="str">
        <f>base!V6033</f>
        <v>77184</v>
      </c>
      <c r="C6033" s="37">
        <v>77</v>
      </c>
      <c r="D6033" s="36">
        <f>base!H6033</f>
        <v>25</v>
      </c>
      <c r="E6033" s="44"/>
      <c r="F6033" s="16">
        <f>base!W6033</f>
        <v>0</v>
      </c>
      <c r="G6033" s="11">
        <f t="shared" si="940"/>
        <v>0</v>
      </c>
      <c r="H6033" s="11">
        <f t="shared" si="941"/>
        <v>0</v>
      </c>
      <c r="I6033" s="11">
        <f t="shared" si="942"/>
        <v>0</v>
      </c>
      <c r="J6033" s="12">
        <f t="shared" si="943"/>
        <v>0</v>
      </c>
      <c r="K6033" s="17" t="str">
        <f t="shared" si="948"/>
        <v>Pas d'écart</v>
      </c>
      <c r="L6033" s="16">
        <f>base!X6033</f>
        <v>0</v>
      </c>
      <c r="M6033" s="11">
        <f t="shared" si="944"/>
        <v>0</v>
      </c>
      <c r="N6033" s="11">
        <f t="shared" si="945"/>
        <v>0</v>
      </c>
      <c r="O6033" s="11">
        <f t="shared" si="946"/>
        <v>0</v>
      </c>
      <c r="P6033" s="12">
        <f t="shared" si="947"/>
        <v>0</v>
      </c>
      <c r="Q6033" s="17" t="str">
        <f t="shared" si="949"/>
        <v>Pas d'écart</v>
      </c>
    </row>
    <row r="6034" spans="1:18" x14ac:dyDescent="0.3">
      <c r="A6034" s="34">
        <f>base!J6034</f>
        <v>0</v>
      </c>
      <c r="B6034" s="34" t="str">
        <f>base!V6034</f>
        <v>77184</v>
      </c>
      <c r="C6034" s="37">
        <v>77</v>
      </c>
      <c r="D6034" s="36">
        <f>base!H6034</f>
        <v>10</v>
      </c>
      <c r="E6034" s="44"/>
      <c r="F6034" s="16">
        <f>base!W6034</f>
        <v>0</v>
      </c>
      <c r="G6034" s="11">
        <f t="shared" si="940"/>
        <v>0</v>
      </c>
      <c r="H6034" s="11">
        <f t="shared" si="941"/>
        <v>0</v>
      </c>
      <c r="I6034" s="11">
        <f t="shared" si="942"/>
        <v>0</v>
      </c>
      <c r="J6034" s="12">
        <f t="shared" si="943"/>
        <v>0</v>
      </c>
      <c r="K6034" s="17" t="str">
        <f t="shared" si="948"/>
        <v>Pas d'écart</v>
      </c>
      <c r="L6034" s="16">
        <f>base!X6034</f>
        <v>0</v>
      </c>
      <c r="M6034" s="11">
        <f t="shared" si="944"/>
        <v>0</v>
      </c>
      <c r="N6034" s="11">
        <f t="shared" si="945"/>
        <v>0</v>
      </c>
      <c r="O6034" s="11">
        <f t="shared" si="946"/>
        <v>0</v>
      </c>
      <c r="P6034" s="12">
        <f t="shared" si="947"/>
        <v>0</v>
      </c>
      <c r="Q6034" s="17" t="str">
        <f t="shared" si="949"/>
        <v>Pas d'écart</v>
      </c>
    </row>
    <row r="6035" spans="1:18" x14ac:dyDescent="0.3">
      <c r="A6035" s="34" t="str">
        <f>base!J6035</f>
        <v>RS</v>
      </c>
      <c r="B6035" s="34" t="str">
        <f>base!V6035</f>
        <v>36250</v>
      </c>
      <c r="C6035" s="37">
        <v>36</v>
      </c>
      <c r="D6035" s="36">
        <f>base!H6035</f>
        <v>57</v>
      </c>
      <c r="E6035" s="44"/>
      <c r="F6035" s="16">
        <f>base!W6035</f>
        <v>0</v>
      </c>
      <c r="G6035" s="11">
        <f t="shared" si="940"/>
        <v>0</v>
      </c>
      <c r="H6035" s="11">
        <f t="shared" si="941"/>
        <v>11.969999999999999</v>
      </c>
      <c r="I6035" s="11">
        <f t="shared" si="942"/>
        <v>0.21</v>
      </c>
      <c r="J6035" s="12">
        <f t="shared" si="943"/>
        <v>-11.969999999999999</v>
      </c>
      <c r="K6035" s="17" t="str">
        <f t="shared" si="948"/>
        <v>Ecart négatif</v>
      </c>
      <c r="L6035" s="16">
        <f>base!X6035</f>
        <v>0</v>
      </c>
      <c r="M6035" s="11">
        <f t="shared" si="944"/>
        <v>0</v>
      </c>
      <c r="N6035" s="11">
        <f t="shared" si="945"/>
        <v>6.84</v>
      </c>
      <c r="O6035" s="11">
        <f t="shared" si="946"/>
        <v>0.12</v>
      </c>
      <c r="P6035" s="12">
        <f t="shared" si="947"/>
        <v>-6.84</v>
      </c>
      <c r="Q6035" s="17" t="str">
        <f t="shared" si="949"/>
        <v>Ecart négatif</v>
      </c>
    </row>
    <row r="6036" spans="1:18" x14ac:dyDescent="0.3">
      <c r="A6036" s="34" t="str">
        <f>base!J6036</f>
        <v>DLM</v>
      </c>
      <c r="B6036" s="34" t="str">
        <f>base!V6036</f>
        <v>38110</v>
      </c>
      <c r="C6036" s="37">
        <v>38</v>
      </c>
      <c r="D6036" s="36">
        <f>base!H6036</f>
        <v>23.4</v>
      </c>
      <c r="E6036" s="44"/>
      <c r="F6036" s="16">
        <f>base!W6036</f>
        <v>0</v>
      </c>
      <c r="G6036" s="11">
        <f t="shared" si="940"/>
        <v>0</v>
      </c>
      <c r="H6036" s="11">
        <f t="shared" si="941"/>
        <v>6.3179999999999996</v>
      </c>
      <c r="I6036" s="11">
        <f t="shared" si="942"/>
        <v>0.27</v>
      </c>
      <c r="J6036" s="12">
        <f t="shared" si="943"/>
        <v>-6.3179999999999996</v>
      </c>
      <c r="K6036" s="17" t="str">
        <f t="shared" si="948"/>
        <v>Ecart négatif</v>
      </c>
      <c r="L6036" s="16">
        <f>base!X6036</f>
        <v>0</v>
      </c>
      <c r="M6036" s="11">
        <f t="shared" si="944"/>
        <v>0</v>
      </c>
      <c r="N6036" s="11">
        <f t="shared" si="945"/>
        <v>0</v>
      </c>
      <c r="O6036" s="11">
        <f t="shared" si="946"/>
        <v>0</v>
      </c>
      <c r="P6036" s="12">
        <f t="shared" si="947"/>
        <v>0</v>
      </c>
      <c r="Q6036" s="17" t="str">
        <f t="shared" si="949"/>
        <v>Pas d'écart</v>
      </c>
    </row>
    <row r="6037" spans="1:18" x14ac:dyDescent="0.3">
      <c r="A6037" s="34">
        <f>base!J6037</f>
        <v>0</v>
      </c>
      <c r="B6037" s="34" t="str">
        <f>base!V6037</f>
        <v>77184</v>
      </c>
      <c r="C6037" s="37">
        <v>77</v>
      </c>
      <c r="D6037" s="36">
        <f>base!H6037</f>
        <v>10</v>
      </c>
      <c r="E6037" s="44"/>
      <c r="F6037" s="16">
        <f>base!W6037</f>
        <v>0</v>
      </c>
      <c r="G6037" s="11">
        <f t="shared" si="940"/>
        <v>0</v>
      </c>
      <c r="H6037" s="11">
        <f t="shared" si="941"/>
        <v>0</v>
      </c>
      <c r="I6037" s="11">
        <f t="shared" si="942"/>
        <v>0</v>
      </c>
      <c r="J6037" s="12">
        <f t="shared" si="943"/>
        <v>0</v>
      </c>
      <c r="K6037" s="17" t="str">
        <f t="shared" si="948"/>
        <v>Pas d'écart</v>
      </c>
      <c r="L6037" s="16">
        <f>base!X6037</f>
        <v>0</v>
      </c>
      <c r="M6037" s="11">
        <f t="shared" si="944"/>
        <v>0</v>
      </c>
      <c r="N6037" s="11">
        <f t="shared" si="945"/>
        <v>0</v>
      </c>
      <c r="O6037" s="11">
        <f t="shared" si="946"/>
        <v>0</v>
      </c>
      <c r="P6037" s="12">
        <f t="shared" si="947"/>
        <v>0</v>
      </c>
      <c r="Q6037" s="17" t="str">
        <f t="shared" si="949"/>
        <v>Pas d'écart</v>
      </c>
    </row>
    <row r="6038" spans="1:18" x14ac:dyDescent="0.3">
      <c r="A6038" s="34" t="str">
        <f>base!J6038</f>
        <v>RS</v>
      </c>
      <c r="B6038" s="34" t="str">
        <f>base!V6038</f>
        <v>06560</v>
      </c>
      <c r="C6038" s="37">
        <v>6</v>
      </c>
      <c r="D6038" s="36">
        <f>base!H6038</f>
        <v>140</v>
      </c>
      <c r="E6038" s="44"/>
      <c r="F6038" s="16">
        <f>base!W6038</f>
        <v>0</v>
      </c>
      <c r="G6038" s="11">
        <f t="shared" si="940"/>
        <v>0</v>
      </c>
      <c r="H6038" s="11">
        <f t="shared" si="941"/>
        <v>42</v>
      </c>
      <c r="I6038" s="11">
        <f t="shared" si="942"/>
        <v>0.3</v>
      </c>
      <c r="J6038" s="12">
        <f t="shared" si="943"/>
        <v>-42</v>
      </c>
      <c r="K6038" s="17" t="str">
        <f t="shared" si="948"/>
        <v>Ecart négatif</v>
      </c>
      <c r="L6038" s="16">
        <f>base!X6038</f>
        <v>29.4</v>
      </c>
      <c r="M6038" s="11">
        <f t="shared" si="944"/>
        <v>0.21</v>
      </c>
      <c r="N6038" s="11">
        <f t="shared" si="945"/>
        <v>29.4</v>
      </c>
      <c r="O6038" s="11">
        <f t="shared" si="946"/>
        <v>0.21</v>
      </c>
      <c r="P6038" s="12">
        <f t="shared" si="947"/>
        <v>0</v>
      </c>
      <c r="Q6038" s="17" t="str">
        <f t="shared" si="949"/>
        <v>Pas d'écart</v>
      </c>
      <c r="R6038" s="38"/>
    </row>
    <row r="6039" spans="1:18" x14ac:dyDescent="0.3">
      <c r="A6039" s="34" t="str">
        <f>base!J6039</f>
        <v>RS</v>
      </c>
      <c r="B6039" s="34" t="str">
        <f>base!V6039</f>
        <v>75004</v>
      </c>
      <c r="C6039" s="37">
        <v>75</v>
      </c>
      <c r="D6039" s="36">
        <f>base!H6039</f>
        <v>25</v>
      </c>
      <c r="E6039" s="44"/>
      <c r="F6039" s="16">
        <f>base!W6039</f>
        <v>0</v>
      </c>
      <c r="G6039" s="11">
        <f t="shared" si="940"/>
        <v>0</v>
      </c>
      <c r="H6039" s="11">
        <f t="shared" si="941"/>
        <v>0</v>
      </c>
      <c r="I6039" s="11">
        <f t="shared" si="942"/>
        <v>0</v>
      </c>
      <c r="J6039" s="12">
        <f t="shared" si="943"/>
        <v>0</v>
      </c>
      <c r="K6039" s="17" t="str">
        <f t="shared" si="948"/>
        <v>Pas d'écart</v>
      </c>
      <c r="L6039" s="16">
        <f>base!X6039</f>
        <v>0</v>
      </c>
      <c r="M6039" s="11">
        <f t="shared" si="944"/>
        <v>0</v>
      </c>
      <c r="N6039" s="11">
        <f t="shared" si="945"/>
        <v>0</v>
      </c>
      <c r="O6039" s="11">
        <f t="shared" si="946"/>
        <v>0</v>
      </c>
      <c r="P6039" s="12">
        <f t="shared" si="947"/>
        <v>0</v>
      </c>
      <c r="Q6039" s="17" t="str">
        <f t="shared" si="949"/>
        <v>Pas d'écart</v>
      </c>
    </row>
    <row r="6040" spans="1:18" x14ac:dyDescent="0.3">
      <c r="A6040" s="34" t="str">
        <f>base!J6040</f>
        <v>RS</v>
      </c>
      <c r="B6040" s="34" t="str">
        <f>base!V6040</f>
        <v>14000</v>
      </c>
      <c r="C6040" s="37">
        <v>14</v>
      </c>
      <c r="D6040" s="36">
        <f>base!H6040</f>
        <v>33.119999999999997</v>
      </c>
      <c r="E6040" s="44"/>
      <c r="F6040" s="16">
        <f>base!W6040</f>
        <v>0</v>
      </c>
      <c r="G6040" s="11">
        <f t="shared" si="940"/>
        <v>0</v>
      </c>
      <c r="H6040" s="11">
        <f t="shared" si="941"/>
        <v>5.6303999999999998</v>
      </c>
      <c r="I6040" s="11">
        <f t="shared" si="942"/>
        <v>0.17</v>
      </c>
      <c r="J6040" s="12">
        <f t="shared" si="943"/>
        <v>-5.6303999999999998</v>
      </c>
      <c r="K6040" s="17" t="str">
        <f t="shared" si="948"/>
        <v>Ecart négatif</v>
      </c>
      <c r="L6040" s="16">
        <f>base!X6040</f>
        <v>5.63</v>
      </c>
      <c r="M6040" s="11">
        <f t="shared" si="944"/>
        <v>0.16998792270531402</v>
      </c>
      <c r="N6040" s="11">
        <f t="shared" si="945"/>
        <v>5.6303999999999998</v>
      </c>
      <c r="O6040" s="11">
        <f t="shared" si="946"/>
        <v>0.17</v>
      </c>
      <c r="P6040" s="12">
        <f t="shared" si="947"/>
        <v>-3.9999999999995595E-4</v>
      </c>
      <c r="Q6040" s="17" t="str">
        <f t="shared" si="949"/>
        <v>Ecart négatif</v>
      </c>
      <c r="R6040" s="38"/>
    </row>
    <row r="6041" spans="1:18" x14ac:dyDescent="0.3">
      <c r="A6041" s="34" t="str">
        <f>base!J6041</f>
        <v>LM</v>
      </c>
      <c r="B6041" s="34" t="str">
        <f>base!V6041</f>
        <v>56920</v>
      </c>
      <c r="C6041" s="37">
        <v>13</v>
      </c>
      <c r="D6041" s="36">
        <f>base!H6041</f>
        <v>49.08</v>
      </c>
      <c r="E6041" s="44"/>
      <c r="F6041" s="16">
        <f>base!W6041</f>
        <v>13.25</v>
      </c>
      <c r="G6041" s="11">
        <f t="shared" si="940"/>
        <v>0.26996740016299919</v>
      </c>
      <c r="H6041" s="11">
        <f t="shared" si="941"/>
        <v>14.233199999999998</v>
      </c>
      <c r="I6041" s="11">
        <f t="shared" si="942"/>
        <v>0.28999999999999998</v>
      </c>
      <c r="J6041" s="12">
        <f t="shared" si="943"/>
        <v>-0.9831999999999983</v>
      </c>
      <c r="K6041" s="17" t="str">
        <f t="shared" si="948"/>
        <v>Ecart négatif</v>
      </c>
      <c r="L6041" s="16">
        <f>base!X6041</f>
        <v>0</v>
      </c>
      <c r="M6041" s="11">
        <f t="shared" si="944"/>
        <v>0</v>
      </c>
      <c r="N6041" s="11">
        <f t="shared" si="945"/>
        <v>9.3252000000000006</v>
      </c>
      <c r="O6041" s="11">
        <f t="shared" si="946"/>
        <v>0.19000000000000003</v>
      </c>
      <c r="P6041" s="12">
        <f t="shared" si="947"/>
        <v>-9.3252000000000006</v>
      </c>
      <c r="Q6041" s="17" t="str">
        <f t="shared" si="949"/>
        <v>Ecart négatif</v>
      </c>
    </row>
    <row r="6042" spans="1:18" x14ac:dyDescent="0.3">
      <c r="A6042" s="34" t="str">
        <f>base!J6042</f>
        <v>RM</v>
      </c>
      <c r="B6042" s="34" t="str">
        <f>base!V6042</f>
        <v>75013</v>
      </c>
      <c r="C6042" s="37">
        <v>75</v>
      </c>
      <c r="D6042" s="36">
        <f>base!H6042</f>
        <v>151</v>
      </c>
      <c r="E6042" s="44"/>
      <c r="F6042" s="16">
        <f>base!W6042</f>
        <v>0</v>
      </c>
      <c r="G6042" s="11">
        <f t="shared" si="940"/>
        <v>0</v>
      </c>
      <c r="H6042" s="11">
        <f t="shared" si="941"/>
        <v>0</v>
      </c>
      <c r="I6042" s="11">
        <f t="shared" si="942"/>
        <v>0</v>
      </c>
      <c r="J6042" s="12">
        <f t="shared" si="943"/>
        <v>0</v>
      </c>
      <c r="K6042" s="17" t="str">
        <f t="shared" si="948"/>
        <v>Pas d'écart</v>
      </c>
      <c r="L6042" s="16">
        <f>base!X6042</f>
        <v>0</v>
      </c>
      <c r="M6042" s="11">
        <f t="shared" si="944"/>
        <v>0</v>
      </c>
      <c r="N6042" s="11">
        <f t="shared" si="945"/>
        <v>0</v>
      </c>
      <c r="O6042" s="11">
        <f t="shared" si="946"/>
        <v>0</v>
      </c>
      <c r="P6042" s="12">
        <f t="shared" si="947"/>
        <v>0</v>
      </c>
      <c r="Q6042" s="17" t="str">
        <f t="shared" si="949"/>
        <v>Pas d'écart</v>
      </c>
    </row>
    <row r="6043" spans="1:18" x14ac:dyDescent="0.3">
      <c r="A6043" s="34">
        <f>base!J6043</f>
        <v>0</v>
      </c>
      <c r="B6043" s="34" t="str">
        <f>base!V6043</f>
        <v>77184</v>
      </c>
      <c r="C6043" s="37">
        <v>77</v>
      </c>
      <c r="D6043" s="36">
        <f>base!H6043</f>
        <v>84.5</v>
      </c>
      <c r="E6043" s="44"/>
      <c r="F6043" s="16">
        <f>base!W6043</f>
        <v>0</v>
      </c>
      <c r="G6043" s="11">
        <f t="shared" si="940"/>
        <v>0</v>
      </c>
      <c r="H6043" s="11">
        <f t="shared" si="941"/>
        <v>0</v>
      </c>
      <c r="I6043" s="11">
        <f t="shared" si="942"/>
        <v>0</v>
      </c>
      <c r="J6043" s="12">
        <f t="shared" si="943"/>
        <v>0</v>
      </c>
      <c r="K6043" s="17" t="str">
        <f t="shared" si="948"/>
        <v>Pas d'écart</v>
      </c>
      <c r="L6043" s="16">
        <f>base!X6043</f>
        <v>0</v>
      </c>
      <c r="M6043" s="11">
        <f t="shared" si="944"/>
        <v>0</v>
      </c>
      <c r="N6043" s="11">
        <f t="shared" si="945"/>
        <v>0</v>
      </c>
      <c r="O6043" s="11">
        <f t="shared" si="946"/>
        <v>0</v>
      </c>
      <c r="P6043" s="12">
        <f t="shared" si="947"/>
        <v>0</v>
      </c>
      <c r="Q6043" s="17" t="str">
        <f t="shared" si="949"/>
        <v>Pas d'écart</v>
      </c>
    </row>
    <row r="6044" spans="1:18" x14ac:dyDescent="0.3">
      <c r="A6044" s="34" t="str">
        <f>base!J6044</f>
        <v>RM</v>
      </c>
      <c r="B6044" s="34" t="str">
        <f>base!V6044</f>
        <v>54000</v>
      </c>
      <c r="C6044" s="37">
        <v>54</v>
      </c>
      <c r="D6044" s="36">
        <f>base!H6044</f>
        <v>17</v>
      </c>
      <c r="E6044" s="44"/>
      <c r="F6044" s="16">
        <f>base!W6044</f>
        <v>0</v>
      </c>
      <c r="G6044" s="11">
        <f t="shared" si="940"/>
        <v>0</v>
      </c>
      <c r="H6044" s="11">
        <f t="shared" si="941"/>
        <v>4.25</v>
      </c>
      <c r="I6044" s="11">
        <f t="shared" si="942"/>
        <v>0.25</v>
      </c>
      <c r="J6044" s="12">
        <f t="shared" si="943"/>
        <v>-4.25</v>
      </c>
      <c r="K6044" s="17" t="str">
        <f t="shared" si="948"/>
        <v>Ecart négatif</v>
      </c>
      <c r="L6044" s="16">
        <f>base!X6044</f>
        <v>4.25</v>
      </c>
      <c r="M6044" s="11">
        <f t="shared" si="944"/>
        <v>0.25</v>
      </c>
      <c r="N6044" s="11">
        <f t="shared" si="945"/>
        <v>4.25</v>
      </c>
      <c r="O6044" s="11">
        <f t="shared" si="946"/>
        <v>0.25</v>
      </c>
      <c r="P6044" s="12">
        <f t="shared" si="947"/>
        <v>0</v>
      </c>
      <c r="Q6044" s="17" t="str">
        <f t="shared" si="949"/>
        <v>Pas d'écart</v>
      </c>
      <c r="R6044" s="38"/>
    </row>
    <row r="6045" spans="1:18" x14ac:dyDescent="0.3">
      <c r="A6045" s="34" t="str">
        <f>base!J6045</f>
        <v>RM</v>
      </c>
      <c r="B6045" s="34" t="str">
        <f>base!V6045</f>
        <v>94150</v>
      </c>
      <c r="C6045" s="37">
        <v>94</v>
      </c>
      <c r="D6045" s="36">
        <f>base!H6045</f>
        <v>151</v>
      </c>
      <c r="E6045" s="44"/>
      <c r="F6045" s="16">
        <f>base!W6045</f>
        <v>0</v>
      </c>
      <c r="G6045" s="11">
        <f t="shared" si="940"/>
        <v>0</v>
      </c>
      <c r="H6045" s="11">
        <f t="shared" si="941"/>
        <v>0</v>
      </c>
      <c r="I6045" s="11">
        <f t="shared" si="942"/>
        <v>0</v>
      </c>
      <c r="J6045" s="12">
        <f t="shared" si="943"/>
        <v>0</v>
      </c>
      <c r="K6045" s="17" t="str">
        <f t="shared" si="948"/>
        <v>Pas d'écart</v>
      </c>
      <c r="L6045" s="16">
        <f>base!X6045</f>
        <v>0</v>
      </c>
      <c r="M6045" s="11">
        <f t="shared" si="944"/>
        <v>0</v>
      </c>
      <c r="N6045" s="11">
        <f t="shared" si="945"/>
        <v>0</v>
      </c>
      <c r="O6045" s="11">
        <f t="shared" si="946"/>
        <v>0</v>
      </c>
      <c r="P6045" s="12">
        <f t="shared" si="947"/>
        <v>0</v>
      </c>
      <c r="Q6045" s="17" t="str">
        <f t="shared" si="949"/>
        <v>Pas d'écart</v>
      </c>
    </row>
    <row r="6046" spans="1:18" x14ac:dyDescent="0.3">
      <c r="A6046" s="34" t="str">
        <f>base!J6046</f>
        <v>LM</v>
      </c>
      <c r="B6046" s="34" t="str">
        <f>base!V6046</f>
        <v>83990</v>
      </c>
      <c r="C6046" s="37">
        <v>6</v>
      </c>
      <c r="D6046" s="36">
        <f>base!H6046</f>
        <v>188.27</v>
      </c>
      <c r="E6046" s="44"/>
      <c r="F6046" s="16">
        <f>base!W6046</f>
        <v>56.48</v>
      </c>
      <c r="G6046" s="11">
        <f t="shared" si="940"/>
        <v>0.2999946884793116</v>
      </c>
      <c r="H6046" s="11">
        <f t="shared" si="941"/>
        <v>56.481000000000002</v>
      </c>
      <c r="I6046" s="11">
        <f t="shared" si="942"/>
        <v>0.3</v>
      </c>
      <c r="J6046" s="12">
        <f t="shared" si="943"/>
        <v>-1.0000000000047748E-3</v>
      </c>
      <c r="K6046" s="17" t="str">
        <f t="shared" si="948"/>
        <v>Ecart négatif</v>
      </c>
      <c r="L6046" s="16">
        <f>base!X6046</f>
        <v>0</v>
      </c>
      <c r="M6046" s="11">
        <f t="shared" si="944"/>
        <v>0</v>
      </c>
      <c r="N6046" s="11">
        <f t="shared" si="945"/>
        <v>39.536700000000003</v>
      </c>
      <c r="O6046" s="11">
        <f t="shared" si="946"/>
        <v>0.21</v>
      </c>
      <c r="P6046" s="12">
        <f t="shared" si="947"/>
        <v>-39.536700000000003</v>
      </c>
      <c r="Q6046" s="17" t="str">
        <f t="shared" si="949"/>
        <v>Ecart négatif</v>
      </c>
    </row>
    <row r="6047" spans="1:18" x14ac:dyDescent="0.3">
      <c r="A6047" s="34" t="str">
        <f>base!J6047</f>
        <v>LS</v>
      </c>
      <c r="B6047" s="34" t="str">
        <f>base!V6047</f>
        <v>44000</v>
      </c>
      <c r="C6047" s="37">
        <v>6</v>
      </c>
      <c r="D6047" s="36">
        <f>base!H6047</f>
        <v>55.16</v>
      </c>
      <c r="E6047" s="44"/>
      <c r="F6047" s="16">
        <f>base!W6047</f>
        <v>14.89</v>
      </c>
      <c r="G6047" s="11">
        <f t="shared" si="940"/>
        <v>0.26994198694706312</v>
      </c>
      <c r="H6047" s="11">
        <f t="shared" si="941"/>
        <v>16.547999999999998</v>
      </c>
      <c r="I6047" s="11">
        <f t="shared" si="942"/>
        <v>0.3</v>
      </c>
      <c r="J6047" s="12">
        <f t="shared" si="943"/>
        <v>-1.6579999999999977</v>
      </c>
      <c r="K6047" s="17" t="str">
        <f t="shared" si="948"/>
        <v>Ecart négatif</v>
      </c>
      <c r="L6047" s="16">
        <f>base!X6047</f>
        <v>0</v>
      </c>
      <c r="M6047" s="11">
        <f t="shared" si="944"/>
        <v>0</v>
      </c>
      <c r="N6047" s="11">
        <f t="shared" si="945"/>
        <v>11.583599999999999</v>
      </c>
      <c r="O6047" s="11">
        <f t="shared" si="946"/>
        <v>0.21</v>
      </c>
      <c r="P6047" s="12">
        <f t="shared" si="947"/>
        <v>-11.583599999999999</v>
      </c>
      <c r="Q6047" s="17" t="str">
        <f t="shared" si="949"/>
        <v>Ecart négatif</v>
      </c>
    </row>
    <row r="6048" spans="1:18" x14ac:dyDescent="0.3">
      <c r="A6048" s="34" t="str">
        <f>base!J6048</f>
        <v>LM</v>
      </c>
      <c r="B6048" s="34" t="str">
        <f>base!V6048</f>
        <v>57400</v>
      </c>
      <c r="C6048" s="37">
        <v>6</v>
      </c>
      <c r="D6048" s="36">
        <f>base!H6048</f>
        <v>12</v>
      </c>
      <c r="E6048" s="44"/>
      <c r="F6048" s="16">
        <f>base!W6048</f>
        <v>0</v>
      </c>
      <c r="G6048" s="11">
        <f t="shared" si="940"/>
        <v>0</v>
      </c>
      <c r="H6048" s="11">
        <f t="shared" si="941"/>
        <v>3.5999999999999996</v>
      </c>
      <c r="I6048" s="11">
        <f t="shared" si="942"/>
        <v>0.3</v>
      </c>
      <c r="J6048" s="12">
        <f t="shared" si="943"/>
        <v>-3.5999999999999996</v>
      </c>
      <c r="K6048" s="17" t="str">
        <f t="shared" si="948"/>
        <v>Ecart négatif</v>
      </c>
      <c r="L6048" s="16">
        <f>base!X6048</f>
        <v>0</v>
      </c>
      <c r="M6048" s="11">
        <f t="shared" si="944"/>
        <v>0</v>
      </c>
      <c r="N6048" s="11">
        <f t="shared" si="945"/>
        <v>2.52</v>
      </c>
      <c r="O6048" s="11">
        <f t="shared" si="946"/>
        <v>0.21</v>
      </c>
      <c r="P6048" s="12">
        <f t="shared" si="947"/>
        <v>-2.52</v>
      </c>
      <c r="Q6048" s="17" t="str">
        <f t="shared" si="949"/>
        <v>Ecart négatif</v>
      </c>
    </row>
    <row r="6049" spans="1:18" x14ac:dyDescent="0.3">
      <c r="A6049" s="34" t="str">
        <f>base!J6049</f>
        <v>RS</v>
      </c>
      <c r="B6049" s="34" t="str">
        <f>base!V6049</f>
        <v>74200</v>
      </c>
      <c r="C6049" s="37">
        <v>74</v>
      </c>
      <c r="D6049" s="36">
        <f>base!H6049</f>
        <v>183.04</v>
      </c>
      <c r="E6049" s="44"/>
      <c r="F6049" s="16">
        <f>base!W6049</f>
        <v>0</v>
      </c>
      <c r="G6049" s="11">
        <f t="shared" si="940"/>
        <v>0</v>
      </c>
      <c r="H6049" s="11">
        <f t="shared" si="941"/>
        <v>47.590400000000002</v>
      </c>
      <c r="I6049" s="11">
        <f t="shared" si="942"/>
        <v>0.26</v>
      </c>
      <c r="J6049" s="12">
        <f t="shared" si="943"/>
        <v>-47.590400000000002</v>
      </c>
      <c r="K6049" s="17" t="str">
        <f t="shared" si="948"/>
        <v>Ecart négatif</v>
      </c>
      <c r="L6049" s="16">
        <f>base!X6049</f>
        <v>0</v>
      </c>
      <c r="M6049" s="11">
        <f t="shared" si="944"/>
        <v>0</v>
      </c>
      <c r="N6049" s="11">
        <f t="shared" si="945"/>
        <v>0</v>
      </c>
      <c r="O6049" s="11">
        <f t="shared" si="946"/>
        <v>0</v>
      </c>
      <c r="P6049" s="12">
        <f t="shared" si="947"/>
        <v>0</v>
      </c>
      <c r="Q6049" s="17" t="str">
        <f t="shared" si="949"/>
        <v>Pas d'écart</v>
      </c>
    </row>
    <row r="6050" spans="1:18" x14ac:dyDescent="0.3">
      <c r="A6050" s="34" t="str">
        <f>base!J6050</f>
        <v>LM</v>
      </c>
      <c r="B6050" s="34" t="str">
        <f>base!V6050</f>
        <v>14000</v>
      </c>
      <c r="C6050" s="37">
        <v>83</v>
      </c>
      <c r="D6050" s="36">
        <f>base!H6050</f>
        <v>143.57</v>
      </c>
      <c r="E6050" s="44"/>
      <c r="F6050" s="16">
        <f>base!W6050</f>
        <v>24.41</v>
      </c>
      <c r="G6050" s="11">
        <f t="shared" si="940"/>
        <v>0.1700215922546493</v>
      </c>
      <c r="H6050" s="11">
        <f t="shared" si="941"/>
        <v>43.070999999999998</v>
      </c>
      <c r="I6050" s="11">
        <f t="shared" si="942"/>
        <v>0.3</v>
      </c>
      <c r="J6050" s="12">
        <f t="shared" si="943"/>
        <v>-18.660999999999998</v>
      </c>
      <c r="K6050" s="17" t="str">
        <f t="shared" si="948"/>
        <v>Ecart négatif</v>
      </c>
      <c r="L6050" s="16">
        <f>base!X6050</f>
        <v>0</v>
      </c>
      <c r="M6050" s="11">
        <f t="shared" si="944"/>
        <v>0</v>
      </c>
      <c r="N6050" s="11">
        <f t="shared" si="945"/>
        <v>30.149699999999996</v>
      </c>
      <c r="O6050" s="11">
        <f t="shared" si="946"/>
        <v>0.21</v>
      </c>
      <c r="P6050" s="12">
        <f t="shared" si="947"/>
        <v>-30.149699999999996</v>
      </c>
      <c r="Q6050" s="17" t="str">
        <f t="shared" si="949"/>
        <v>Ecart négatif</v>
      </c>
    </row>
    <row r="6051" spans="1:18" x14ac:dyDescent="0.3">
      <c r="A6051" s="34">
        <f>base!J6051</f>
        <v>0</v>
      </c>
      <c r="B6051" s="34" t="str">
        <f>base!V6051</f>
        <v>44240</v>
      </c>
      <c r="C6051" s="37">
        <v>44</v>
      </c>
      <c r="D6051" s="36">
        <f>base!H6051</f>
        <v>28</v>
      </c>
      <c r="E6051" s="44"/>
      <c r="F6051" s="16">
        <f>base!W6051</f>
        <v>0</v>
      </c>
      <c r="G6051" s="11">
        <f t="shared" si="940"/>
        <v>0</v>
      </c>
      <c r="H6051" s="11">
        <f t="shared" si="941"/>
        <v>7.5600000000000005</v>
      </c>
      <c r="I6051" s="11">
        <f t="shared" si="942"/>
        <v>0.27</v>
      </c>
      <c r="J6051" s="12">
        <f t="shared" si="943"/>
        <v>-7.5600000000000005</v>
      </c>
      <c r="K6051" s="17" t="str">
        <f t="shared" si="948"/>
        <v>Ecart négatif</v>
      </c>
      <c r="L6051" s="16">
        <f>base!X6051</f>
        <v>0</v>
      </c>
      <c r="M6051" s="11">
        <f t="shared" si="944"/>
        <v>0</v>
      </c>
      <c r="N6051" s="11">
        <f t="shared" si="945"/>
        <v>0</v>
      </c>
      <c r="O6051" s="11">
        <f t="shared" si="946"/>
        <v>0</v>
      </c>
      <c r="P6051" s="12">
        <f t="shared" si="947"/>
        <v>0</v>
      </c>
      <c r="Q6051" s="17" t="str">
        <f t="shared" si="949"/>
        <v>Pas d'écart</v>
      </c>
    </row>
    <row r="6052" spans="1:18" x14ac:dyDescent="0.3">
      <c r="A6052" s="34">
        <f>base!J6052</f>
        <v>0</v>
      </c>
      <c r="B6052" s="34" t="str">
        <f>base!V6052</f>
        <v>77184</v>
      </c>
      <c r="C6052" s="37">
        <v>77</v>
      </c>
      <c r="D6052" s="36">
        <f>base!H6052</f>
        <v>158</v>
      </c>
      <c r="E6052" s="44"/>
      <c r="F6052" s="16">
        <f>base!W6052</f>
        <v>0</v>
      </c>
      <c r="G6052" s="11">
        <f t="shared" si="940"/>
        <v>0</v>
      </c>
      <c r="H6052" s="11">
        <f t="shared" si="941"/>
        <v>0</v>
      </c>
      <c r="I6052" s="11">
        <f t="shared" si="942"/>
        <v>0</v>
      </c>
      <c r="J6052" s="12">
        <f t="shared" si="943"/>
        <v>0</v>
      </c>
      <c r="K6052" s="17" t="str">
        <f t="shared" si="948"/>
        <v>Pas d'écart</v>
      </c>
      <c r="L6052" s="16">
        <f>base!X6052</f>
        <v>0</v>
      </c>
      <c r="M6052" s="11">
        <f t="shared" si="944"/>
        <v>0</v>
      </c>
      <c r="N6052" s="11">
        <f t="shared" si="945"/>
        <v>0</v>
      </c>
      <c r="O6052" s="11">
        <f t="shared" si="946"/>
        <v>0</v>
      </c>
      <c r="P6052" s="12">
        <f t="shared" si="947"/>
        <v>0</v>
      </c>
      <c r="Q6052" s="17" t="str">
        <f t="shared" si="949"/>
        <v>Pas d'écart</v>
      </c>
    </row>
    <row r="6053" spans="1:18" x14ac:dyDescent="0.3">
      <c r="A6053" s="34" t="str">
        <f>base!J6053</f>
        <v>RS</v>
      </c>
      <c r="B6053" s="34" t="str">
        <f>base!V6053</f>
        <v>67000</v>
      </c>
      <c r="C6053" s="37">
        <v>67</v>
      </c>
      <c r="D6053" s="36">
        <f>base!H6053</f>
        <v>32</v>
      </c>
      <c r="E6053" s="44"/>
      <c r="F6053" s="16">
        <f>base!W6053</f>
        <v>0</v>
      </c>
      <c r="G6053" s="11">
        <f t="shared" si="940"/>
        <v>0</v>
      </c>
      <c r="H6053" s="11">
        <f t="shared" si="941"/>
        <v>9.2799999999999994</v>
      </c>
      <c r="I6053" s="11">
        <f t="shared" si="942"/>
        <v>0.28999999999999998</v>
      </c>
      <c r="J6053" s="12">
        <f t="shared" si="943"/>
        <v>-9.2799999999999994</v>
      </c>
      <c r="K6053" s="17" t="str">
        <f t="shared" si="948"/>
        <v>Ecart négatif</v>
      </c>
      <c r="L6053" s="16">
        <f>base!X6053</f>
        <v>2.56</v>
      </c>
      <c r="M6053" s="11">
        <f t="shared" si="944"/>
        <v>0.08</v>
      </c>
      <c r="N6053" s="11">
        <f t="shared" si="945"/>
        <v>2.56</v>
      </c>
      <c r="O6053" s="11">
        <f t="shared" si="946"/>
        <v>0.08</v>
      </c>
      <c r="P6053" s="12">
        <f t="shared" si="947"/>
        <v>0</v>
      </c>
      <c r="Q6053" s="17" t="str">
        <f t="shared" si="949"/>
        <v>Pas d'écart</v>
      </c>
      <c r="R6053" s="38"/>
    </row>
    <row r="6054" spans="1:18" x14ac:dyDescent="0.3">
      <c r="A6054" s="34" t="str">
        <f>base!J6054</f>
        <v>DLS</v>
      </c>
      <c r="B6054" s="34" t="str">
        <f>base!V6054</f>
        <v>56920</v>
      </c>
      <c r="C6054" s="37">
        <v>56</v>
      </c>
      <c r="D6054" s="36">
        <f>base!H6054</f>
        <v>18.8</v>
      </c>
      <c r="E6054" s="44"/>
      <c r="F6054" s="16">
        <f>base!W6054</f>
        <v>0</v>
      </c>
      <c r="G6054" s="11">
        <f t="shared" si="940"/>
        <v>0</v>
      </c>
      <c r="H6054" s="11">
        <f t="shared" si="941"/>
        <v>5.0760000000000005</v>
      </c>
      <c r="I6054" s="11">
        <f t="shared" si="942"/>
        <v>0.27</v>
      </c>
      <c r="J6054" s="12">
        <f t="shared" si="943"/>
        <v>-5.0760000000000005</v>
      </c>
      <c r="K6054" s="17" t="str">
        <f t="shared" si="948"/>
        <v>Ecart négatif</v>
      </c>
      <c r="L6054" s="16">
        <f>base!X6054</f>
        <v>3.57</v>
      </c>
      <c r="M6054" s="11">
        <f t="shared" si="944"/>
        <v>0.18989361702127658</v>
      </c>
      <c r="N6054" s="11">
        <f t="shared" si="945"/>
        <v>0</v>
      </c>
      <c r="O6054" s="11">
        <f t="shared" si="946"/>
        <v>0</v>
      </c>
      <c r="P6054" s="12">
        <f t="shared" si="947"/>
        <v>3.57</v>
      </c>
      <c r="Q6054" s="17" t="str">
        <f t="shared" si="949"/>
        <v>Ecart positif</v>
      </c>
    </row>
    <row r="6055" spans="1:18" x14ac:dyDescent="0.3">
      <c r="A6055" s="34" t="str">
        <f>base!J6055</f>
        <v>LS</v>
      </c>
      <c r="B6055" s="34" t="str">
        <f>base!V6055</f>
        <v>53000</v>
      </c>
      <c r="C6055" s="37">
        <v>30</v>
      </c>
      <c r="D6055" s="36">
        <f>base!H6055</f>
        <v>55.26</v>
      </c>
      <c r="E6055" s="44"/>
      <c r="F6055" s="16">
        <f>base!W6055</f>
        <v>14.92</v>
      </c>
      <c r="G6055" s="11">
        <f t="shared" si="940"/>
        <v>0.26999638074556642</v>
      </c>
      <c r="H6055" s="11">
        <f t="shared" si="941"/>
        <v>21.551400000000001</v>
      </c>
      <c r="I6055" s="11">
        <f t="shared" si="942"/>
        <v>0.39</v>
      </c>
      <c r="J6055" s="12">
        <f t="shared" si="943"/>
        <v>-6.6314000000000011</v>
      </c>
      <c r="K6055" s="17" t="str">
        <f t="shared" si="948"/>
        <v>Ecart négatif</v>
      </c>
      <c r="L6055" s="16">
        <f>base!X6055</f>
        <v>0</v>
      </c>
      <c r="M6055" s="11">
        <f t="shared" si="944"/>
        <v>0</v>
      </c>
      <c r="N6055" s="11">
        <f t="shared" si="945"/>
        <v>15.472800000000001</v>
      </c>
      <c r="O6055" s="11">
        <f t="shared" si="946"/>
        <v>0.28000000000000003</v>
      </c>
      <c r="P6055" s="12">
        <f t="shared" si="947"/>
        <v>-15.472800000000001</v>
      </c>
      <c r="Q6055" s="17" t="str">
        <f t="shared" si="949"/>
        <v>Ecart négatif</v>
      </c>
    </row>
    <row r="6056" spans="1:18" x14ac:dyDescent="0.3">
      <c r="A6056" s="34" t="str">
        <f>base!J6056</f>
        <v>RM</v>
      </c>
      <c r="B6056" s="34" t="str">
        <f>base!V6056</f>
        <v>13001</v>
      </c>
      <c r="C6056" s="37">
        <v>13</v>
      </c>
      <c r="D6056" s="36">
        <f>base!H6056</f>
        <v>140</v>
      </c>
      <c r="E6056" s="44"/>
      <c r="F6056" s="16">
        <f>base!W6056</f>
        <v>0</v>
      </c>
      <c r="G6056" s="11">
        <f t="shared" si="940"/>
        <v>0</v>
      </c>
      <c r="H6056" s="11">
        <f t="shared" si="941"/>
        <v>40.599999999999994</v>
      </c>
      <c r="I6056" s="11">
        <f t="shared" si="942"/>
        <v>0.28999999999999998</v>
      </c>
      <c r="J6056" s="12">
        <f t="shared" si="943"/>
        <v>-40.599999999999994</v>
      </c>
      <c r="K6056" s="17" t="str">
        <f t="shared" si="948"/>
        <v>Ecart négatif</v>
      </c>
      <c r="L6056" s="16">
        <f>base!X6056</f>
        <v>26.6</v>
      </c>
      <c r="M6056" s="11">
        <f t="shared" si="944"/>
        <v>0.19</v>
      </c>
      <c r="N6056" s="11">
        <f t="shared" si="945"/>
        <v>26.6</v>
      </c>
      <c r="O6056" s="11">
        <f t="shared" si="946"/>
        <v>0.19</v>
      </c>
      <c r="P6056" s="12">
        <f t="shared" si="947"/>
        <v>0</v>
      </c>
      <c r="Q6056" s="17" t="str">
        <f t="shared" si="949"/>
        <v>Pas d'écart</v>
      </c>
      <c r="R6056" s="38"/>
    </row>
    <row r="6057" spans="1:18" x14ac:dyDescent="0.3">
      <c r="A6057" s="34">
        <f>base!J6057</f>
        <v>0</v>
      </c>
      <c r="B6057" s="34" t="str">
        <f>base!V6057</f>
        <v>77184</v>
      </c>
      <c r="C6057" s="37">
        <v>77</v>
      </c>
      <c r="D6057" s="36">
        <f>base!H6057</f>
        <v>222</v>
      </c>
      <c r="E6057" s="44"/>
      <c r="F6057" s="16">
        <f>base!W6057</f>
        <v>0</v>
      </c>
      <c r="G6057" s="11">
        <f t="shared" si="940"/>
        <v>0</v>
      </c>
      <c r="H6057" s="11">
        <f t="shared" si="941"/>
        <v>0</v>
      </c>
      <c r="I6057" s="11">
        <f t="shared" si="942"/>
        <v>0</v>
      </c>
      <c r="J6057" s="12">
        <f t="shared" si="943"/>
        <v>0</v>
      </c>
      <c r="K6057" s="17" t="str">
        <f t="shared" si="948"/>
        <v>Pas d'écart</v>
      </c>
      <c r="L6057" s="16">
        <f>base!X6057</f>
        <v>0</v>
      </c>
      <c r="M6057" s="11">
        <f t="shared" si="944"/>
        <v>0</v>
      </c>
      <c r="N6057" s="11">
        <f t="shared" si="945"/>
        <v>0</v>
      </c>
      <c r="O6057" s="11">
        <f t="shared" si="946"/>
        <v>0</v>
      </c>
      <c r="P6057" s="12">
        <f t="shared" si="947"/>
        <v>0</v>
      </c>
      <c r="Q6057" s="17" t="str">
        <f t="shared" si="949"/>
        <v>Pas d'écart</v>
      </c>
    </row>
    <row r="6058" spans="1:18" x14ac:dyDescent="0.3">
      <c r="A6058" s="34">
        <f>base!J6058</f>
        <v>0</v>
      </c>
      <c r="B6058" s="34" t="str">
        <f>base!V6058</f>
        <v>77184</v>
      </c>
      <c r="C6058" s="37">
        <v>77</v>
      </c>
      <c r="D6058" s="36">
        <f>base!H6058</f>
        <v>31</v>
      </c>
      <c r="E6058" s="44"/>
      <c r="F6058" s="16">
        <f>base!W6058</f>
        <v>0</v>
      </c>
      <c r="G6058" s="11">
        <f t="shared" si="940"/>
        <v>0</v>
      </c>
      <c r="H6058" s="11">
        <f t="shared" si="941"/>
        <v>0</v>
      </c>
      <c r="I6058" s="11">
        <f t="shared" si="942"/>
        <v>0</v>
      </c>
      <c r="J6058" s="12">
        <f t="shared" si="943"/>
        <v>0</v>
      </c>
      <c r="K6058" s="17" t="str">
        <f t="shared" si="948"/>
        <v>Pas d'écart</v>
      </c>
      <c r="L6058" s="16">
        <f>base!X6058</f>
        <v>0</v>
      </c>
      <c r="M6058" s="11">
        <f t="shared" si="944"/>
        <v>0</v>
      </c>
      <c r="N6058" s="11">
        <f t="shared" si="945"/>
        <v>0</v>
      </c>
      <c r="O6058" s="11">
        <f t="shared" si="946"/>
        <v>0</v>
      </c>
      <c r="P6058" s="12">
        <f t="shared" si="947"/>
        <v>0</v>
      </c>
      <c r="Q6058" s="17" t="str">
        <f t="shared" si="949"/>
        <v>Pas d'écart</v>
      </c>
    </row>
    <row r="6059" spans="1:18" x14ac:dyDescent="0.3">
      <c r="A6059" s="34" t="str">
        <f>base!J6059</f>
        <v>LM</v>
      </c>
      <c r="B6059" s="34" t="str">
        <f>base!V6059</f>
        <v>06190</v>
      </c>
      <c r="C6059" s="37">
        <v>34</v>
      </c>
      <c r="D6059" s="36">
        <f>base!H6059</f>
        <v>83</v>
      </c>
      <c r="E6059" s="44"/>
      <c r="F6059" s="16">
        <f>base!W6059</f>
        <v>24.9</v>
      </c>
      <c r="G6059" s="11">
        <f t="shared" si="940"/>
        <v>0.3</v>
      </c>
      <c r="H6059" s="11">
        <f t="shared" si="941"/>
        <v>32.370000000000005</v>
      </c>
      <c r="I6059" s="11">
        <f t="shared" si="942"/>
        <v>0.39000000000000007</v>
      </c>
      <c r="J6059" s="12">
        <f t="shared" si="943"/>
        <v>-7.470000000000006</v>
      </c>
      <c r="K6059" s="17" t="str">
        <f t="shared" si="948"/>
        <v>Ecart négatif</v>
      </c>
      <c r="L6059" s="16">
        <f>base!X6059</f>
        <v>0</v>
      </c>
      <c r="M6059" s="11">
        <f t="shared" si="944"/>
        <v>0</v>
      </c>
      <c r="N6059" s="11">
        <f t="shared" si="945"/>
        <v>23.240000000000002</v>
      </c>
      <c r="O6059" s="11">
        <f t="shared" si="946"/>
        <v>0.28000000000000003</v>
      </c>
      <c r="P6059" s="12">
        <f t="shared" si="947"/>
        <v>-23.240000000000002</v>
      </c>
      <c r="Q6059" s="17" t="str">
        <f t="shared" si="949"/>
        <v>Ecart négatif</v>
      </c>
    </row>
    <row r="6060" spans="1:18" x14ac:dyDescent="0.3">
      <c r="A6060" s="34" t="str">
        <f>base!J6060</f>
        <v>LM</v>
      </c>
      <c r="B6060" s="34" t="str">
        <f>base!V6060</f>
        <v>34500</v>
      </c>
      <c r="C6060" s="37">
        <v>13</v>
      </c>
      <c r="D6060" s="36">
        <f>base!H6060</f>
        <v>149.79</v>
      </c>
      <c r="E6060" s="44"/>
      <c r="F6060" s="16">
        <f>base!W6060</f>
        <v>58.42</v>
      </c>
      <c r="G6060" s="11">
        <f t="shared" si="940"/>
        <v>0.39001268442486148</v>
      </c>
      <c r="H6060" s="11">
        <f t="shared" si="941"/>
        <v>43.439099999999996</v>
      </c>
      <c r="I6060" s="11">
        <f t="shared" si="942"/>
        <v>0.28999999999999998</v>
      </c>
      <c r="J6060" s="12">
        <f t="shared" si="943"/>
        <v>14.980900000000005</v>
      </c>
      <c r="K6060" s="17" t="str">
        <f t="shared" si="948"/>
        <v>Ecart positif</v>
      </c>
      <c r="L6060" s="16">
        <f>base!X6060</f>
        <v>0</v>
      </c>
      <c r="M6060" s="11">
        <f t="shared" si="944"/>
        <v>0</v>
      </c>
      <c r="N6060" s="11">
        <f t="shared" si="945"/>
        <v>28.460099999999997</v>
      </c>
      <c r="O6060" s="11">
        <f t="shared" si="946"/>
        <v>0.19</v>
      </c>
      <c r="P6060" s="12">
        <f t="shared" si="947"/>
        <v>-28.460099999999997</v>
      </c>
      <c r="Q6060" s="17" t="str">
        <f t="shared" si="949"/>
        <v>Ecart négatif</v>
      </c>
    </row>
    <row r="6061" spans="1:18" x14ac:dyDescent="0.3">
      <c r="A6061" s="34" t="str">
        <f>base!J6061</f>
        <v>LM</v>
      </c>
      <c r="B6061" s="34" t="str">
        <f>base!V6061</f>
        <v>75018</v>
      </c>
      <c r="C6061" s="37">
        <v>75</v>
      </c>
      <c r="D6061" s="36">
        <f>base!H6061</f>
        <v>55.16</v>
      </c>
      <c r="E6061" s="44"/>
      <c r="F6061" s="16">
        <f>base!W6061</f>
        <v>0</v>
      </c>
      <c r="G6061" s="11">
        <f t="shared" si="940"/>
        <v>0</v>
      </c>
      <c r="H6061" s="11">
        <f t="shared" si="941"/>
        <v>0</v>
      </c>
      <c r="I6061" s="11">
        <f t="shared" si="942"/>
        <v>0</v>
      </c>
      <c r="J6061" s="12">
        <f t="shared" si="943"/>
        <v>0</v>
      </c>
      <c r="K6061" s="17" t="str">
        <f t="shared" si="948"/>
        <v>Pas d'écart</v>
      </c>
      <c r="L6061" s="16">
        <f>base!X6061</f>
        <v>0</v>
      </c>
      <c r="M6061" s="11">
        <f t="shared" si="944"/>
        <v>0</v>
      </c>
      <c r="N6061" s="11">
        <f t="shared" si="945"/>
        <v>0</v>
      </c>
      <c r="O6061" s="11">
        <f t="shared" si="946"/>
        <v>0</v>
      </c>
      <c r="P6061" s="12">
        <f t="shared" si="947"/>
        <v>0</v>
      </c>
      <c r="Q6061" s="17" t="str">
        <f t="shared" si="949"/>
        <v>Pas d'écart</v>
      </c>
    </row>
    <row r="6062" spans="1:18" x14ac:dyDescent="0.3">
      <c r="A6062" s="34" t="str">
        <f>base!J6062</f>
        <v>LM</v>
      </c>
      <c r="B6062" s="34" t="str">
        <f>base!V6062</f>
        <v>69800</v>
      </c>
      <c r="C6062" s="37">
        <v>68</v>
      </c>
      <c r="D6062" s="36">
        <f>base!H6062</f>
        <v>136.97999999999999</v>
      </c>
      <c r="E6062" s="44"/>
      <c r="F6062" s="16">
        <f>base!W6062</f>
        <v>36.979999999999997</v>
      </c>
      <c r="G6062" s="11">
        <f t="shared" si="940"/>
        <v>0.26996641845524894</v>
      </c>
      <c r="H6062" s="11">
        <f t="shared" si="941"/>
        <v>39.724199999999996</v>
      </c>
      <c r="I6062" s="11">
        <f t="shared" si="942"/>
        <v>0.28999999999999998</v>
      </c>
      <c r="J6062" s="12">
        <f t="shared" si="943"/>
        <v>-2.7441999999999993</v>
      </c>
      <c r="K6062" s="17" t="str">
        <f t="shared" si="948"/>
        <v>Ecart négatif</v>
      </c>
      <c r="L6062" s="16">
        <f>base!X6062</f>
        <v>0</v>
      </c>
      <c r="M6062" s="11">
        <f t="shared" si="944"/>
        <v>0</v>
      </c>
      <c r="N6062" s="11">
        <f t="shared" si="945"/>
        <v>10.958399999999999</v>
      </c>
      <c r="O6062" s="11">
        <f t="shared" si="946"/>
        <v>0.08</v>
      </c>
      <c r="P6062" s="12">
        <f t="shared" si="947"/>
        <v>-10.958399999999999</v>
      </c>
      <c r="Q6062" s="17" t="str">
        <f t="shared" si="949"/>
        <v>Ecart négatif</v>
      </c>
    </row>
    <row r="6063" spans="1:18" x14ac:dyDescent="0.3">
      <c r="A6063" s="34" t="str">
        <f>base!J6063</f>
        <v>LM</v>
      </c>
      <c r="B6063" s="34" t="str">
        <f>base!V6063</f>
        <v>59380</v>
      </c>
      <c r="C6063" s="37">
        <v>83</v>
      </c>
      <c r="D6063" s="36">
        <f>base!H6063</f>
        <v>18.350000000000001</v>
      </c>
      <c r="E6063" s="44"/>
      <c r="F6063" s="16">
        <f>base!W6063</f>
        <v>3.49</v>
      </c>
      <c r="G6063" s="11">
        <f t="shared" si="940"/>
        <v>0.19019073569482289</v>
      </c>
      <c r="H6063" s="11">
        <f t="shared" si="941"/>
        <v>5.5049999999999999</v>
      </c>
      <c r="I6063" s="11">
        <f t="shared" si="942"/>
        <v>0.3</v>
      </c>
      <c r="J6063" s="12">
        <f t="shared" si="943"/>
        <v>-2.0149999999999997</v>
      </c>
      <c r="K6063" s="17" t="str">
        <f t="shared" si="948"/>
        <v>Ecart négatif</v>
      </c>
      <c r="L6063" s="16">
        <f>base!X6063</f>
        <v>0</v>
      </c>
      <c r="M6063" s="11">
        <f t="shared" si="944"/>
        <v>0</v>
      </c>
      <c r="N6063" s="11">
        <f t="shared" si="945"/>
        <v>3.8535000000000004</v>
      </c>
      <c r="O6063" s="11">
        <f t="shared" si="946"/>
        <v>0.21</v>
      </c>
      <c r="P6063" s="12">
        <f t="shared" si="947"/>
        <v>-3.8535000000000004</v>
      </c>
      <c r="Q6063" s="17" t="str">
        <f t="shared" si="949"/>
        <v>Ecart négatif</v>
      </c>
    </row>
    <row r="6064" spans="1:18" x14ac:dyDescent="0.3">
      <c r="A6064" s="34">
        <f>base!J6064</f>
        <v>0</v>
      </c>
      <c r="B6064" s="34" t="str">
        <f>base!V6064</f>
        <v>44240</v>
      </c>
      <c r="C6064" s="37">
        <v>44</v>
      </c>
      <c r="D6064" s="36">
        <f>base!H6064</f>
        <v>164.25</v>
      </c>
      <c r="E6064" s="44"/>
      <c r="F6064" s="16">
        <f>base!W6064</f>
        <v>0</v>
      </c>
      <c r="G6064" s="11">
        <f t="shared" si="940"/>
        <v>0</v>
      </c>
      <c r="H6064" s="11">
        <f t="shared" si="941"/>
        <v>44.347500000000004</v>
      </c>
      <c r="I6064" s="11">
        <f t="shared" si="942"/>
        <v>0.27</v>
      </c>
      <c r="J6064" s="12">
        <f t="shared" si="943"/>
        <v>-44.347500000000004</v>
      </c>
      <c r="K6064" s="17" t="str">
        <f t="shared" si="948"/>
        <v>Ecart négatif</v>
      </c>
      <c r="L6064" s="16">
        <f>base!X6064</f>
        <v>0</v>
      </c>
      <c r="M6064" s="11">
        <f t="shared" si="944"/>
        <v>0</v>
      </c>
      <c r="N6064" s="11">
        <f t="shared" si="945"/>
        <v>0</v>
      </c>
      <c r="O6064" s="11">
        <f t="shared" si="946"/>
        <v>0</v>
      </c>
      <c r="P6064" s="12">
        <f t="shared" si="947"/>
        <v>0</v>
      </c>
      <c r="Q6064" s="17" t="str">
        <f t="shared" si="949"/>
        <v>Pas d'écart</v>
      </c>
    </row>
    <row r="6065" spans="1:17" x14ac:dyDescent="0.3">
      <c r="A6065" s="34">
        <f>base!J6065</f>
        <v>0</v>
      </c>
      <c r="B6065" s="34" t="str">
        <f>base!V6065</f>
        <v>44240</v>
      </c>
      <c r="C6065" s="37">
        <v>44</v>
      </c>
      <c r="D6065" s="36">
        <f>base!H6065</f>
        <v>129</v>
      </c>
      <c r="E6065" s="44"/>
      <c r="F6065" s="16">
        <f>base!W6065</f>
        <v>0</v>
      </c>
      <c r="G6065" s="11">
        <f t="shared" si="940"/>
        <v>0</v>
      </c>
      <c r="H6065" s="11">
        <f t="shared" si="941"/>
        <v>34.830000000000005</v>
      </c>
      <c r="I6065" s="11">
        <f t="shared" si="942"/>
        <v>0.27</v>
      </c>
      <c r="J6065" s="12">
        <f t="shared" si="943"/>
        <v>-34.830000000000005</v>
      </c>
      <c r="K6065" s="17" t="str">
        <f t="shared" si="948"/>
        <v>Ecart négatif</v>
      </c>
      <c r="L6065" s="16">
        <f>base!X6065</f>
        <v>0</v>
      </c>
      <c r="M6065" s="11">
        <f t="shared" si="944"/>
        <v>0</v>
      </c>
      <c r="N6065" s="11">
        <f t="shared" si="945"/>
        <v>0</v>
      </c>
      <c r="O6065" s="11">
        <f t="shared" si="946"/>
        <v>0</v>
      </c>
      <c r="P6065" s="12">
        <f t="shared" si="947"/>
        <v>0</v>
      </c>
      <c r="Q6065" s="17" t="str">
        <f t="shared" si="949"/>
        <v>Pas d'écart</v>
      </c>
    </row>
    <row r="6066" spans="1:17" x14ac:dyDescent="0.3">
      <c r="A6066" s="34">
        <f>base!J6066</f>
        <v>0</v>
      </c>
      <c r="B6066" s="34" t="str">
        <f>base!V6066</f>
        <v>77184</v>
      </c>
      <c r="C6066" s="37">
        <v>77</v>
      </c>
      <c r="D6066" s="36">
        <f>base!H6066</f>
        <v>84.5</v>
      </c>
      <c r="E6066" s="44"/>
      <c r="F6066" s="16">
        <f>base!W6066</f>
        <v>0</v>
      </c>
      <c r="G6066" s="11">
        <f t="shared" si="940"/>
        <v>0</v>
      </c>
      <c r="H6066" s="11">
        <f t="shared" si="941"/>
        <v>0</v>
      </c>
      <c r="I6066" s="11">
        <f t="shared" si="942"/>
        <v>0</v>
      </c>
      <c r="J6066" s="12">
        <f t="shared" si="943"/>
        <v>0</v>
      </c>
      <c r="K6066" s="17" t="str">
        <f t="shared" si="948"/>
        <v>Pas d'écart</v>
      </c>
      <c r="L6066" s="16">
        <f>base!X6066</f>
        <v>0</v>
      </c>
      <c r="M6066" s="11">
        <f t="shared" si="944"/>
        <v>0</v>
      </c>
      <c r="N6066" s="11">
        <f t="shared" si="945"/>
        <v>0</v>
      </c>
      <c r="O6066" s="11">
        <f t="shared" si="946"/>
        <v>0</v>
      </c>
      <c r="P6066" s="12">
        <f t="shared" si="947"/>
        <v>0</v>
      </c>
      <c r="Q6066" s="17" t="str">
        <f t="shared" si="949"/>
        <v>Pas d'écart</v>
      </c>
    </row>
    <row r="6067" spans="1:17" x14ac:dyDescent="0.3">
      <c r="A6067" s="34" t="str">
        <f>base!J6067</f>
        <v>LM</v>
      </c>
      <c r="B6067" s="34" t="str">
        <f>base!V6067</f>
        <v>75014</v>
      </c>
      <c r="C6067" s="37">
        <v>75</v>
      </c>
      <c r="D6067" s="36">
        <f>base!H6067</f>
        <v>137.59</v>
      </c>
      <c r="E6067" s="44"/>
      <c r="F6067" s="16">
        <f>base!W6067</f>
        <v>0</v>
      </c>
      <c r="G6067" s="11">
        <f t="shared" si="940"/>
        <v>0</v>
      </c>
      <c r="H6067" s="11">
        <f t="shared" si="941"/>
        <v>0</v>
      </c>
      <c r="I6067" s="11">
        <f t="shared" si="942"/>
        <v>0</v>
      </c>
      <c r="J6067" s="12">
        <f t="shared" si="943"/>
        <v>0</v>
      </c>
      <c r="K6067" s="17" t="str">
        <f t="shared" si="948"/>
        <v>Pas d'écart</v>
      </c>
      <c r="L6067" s="16">
        <f>base!X6067</f>
        <v>0</v>
      </c>
      <c r="M6067" s="11">
        <f t="shared" si="944"/>
        <v>0</v>
      </c>
      <c r="N6067" s="11">
        <f t="shared" si="945"/>
        <v>0</v>
      </c>
      <c r="O6067" s="11">
        <f t="shared" si="946"/>
        <v>0</v>
      </c>
      <c r="P6067" s="12">
        <f t="shared" si="947"/>
        <v>0</v>
      </c>
      <c r="Q6067" s="17" t="str">
        <f t="shared" si="949"/>
        <v>Pas d'écart</v>
      </c>
    </row>
    <row r="6068" spans="1:17" x14ac:dyDescent="0.3">
      <c r="A6068" s="34" t="str">
        <f>base!J6068</f>
        <v>LM</v>
      </c>
      <c r="B6068" s="34" t="str">
        <f>base!V6068</f>
        <v>64600</v>
      </c>
      <c r="C6068" s="37">
        <v>83</v>
      </c>
      <c r="D6068" s="36">
        <f>base!H6068</f>
        <v>138.12</v>
      </c>
      <c r="E6068" s="44"/>
      <c r="F6068" s="16">
        <f>base!W6068</f>
        <v>29.01</v>
      </c>
      <c r="G6068" s="11">
        <f t="shared" si="940"/>
        <v>0.21003475238922675</v>
      </c>
      <c r="H6068" s="11">
        <f t="shared" si="941"/>
        <v>41.436</v>
      </c>
      <c r="I6068" s="11">
        <f t="shared" si="942"/>
        <v>0.3</v>
      </c>
      <c r="J6068" s="12">
        <f t="shared" si="943"/>
        <v>-12.425999999999998</v>
      </c>
      <c r="K6068" s="17" t="str">
        <f t="shared" si="948"/>
        <v>Ecart négatif</v>
      </c>
      <c r="L6068" s="16">
        <f>base!X6068</f>
        <v>0</v>
      </c>
      <c r="M6068" s="11">
        <f t="shared" si="944"/>
        <v>0</v>
      </c>
      <c r="N6068" s="11">
        <f t="shared" si="945"/>
        <v>29.005199999999999</v>
      </c>
      <c r="O6068" s="11">
        <f t="shared" si="946"/>
        <v>0.21</v>
      </c>
      <c r="P6068" s="12">
        <f t="shared" si="947"/>
        <v>-29.005199999999999</v>
      </c>
      <c r="Q6068" s="17" t="str">
        <f t="shared" si="949"/>
        <v>Ecart négatif</v>
      </c>
    </row>
    <row r="6069" spans="1:17" x14ac:dyDescent="0.3">
      <c r="A6069" s="34" t="str">
        <f>base!J6069</f>
        <v>LM</v>
      </c>
      <c r="B6069" s="34" t="str">
        <f>base!V6069</f>
        <v>14000</v>
      </c>
      <c r="C6069" s="37">
        <v>83</v>
      </c>
      <c r="D6069" s="36">
        <f>base!H6069</f>
        <v>86.54</v>
      </c>
      <c r="E6069" s="44"/>
      <c r="F6069" s="16">
        <f>base!W6069</f>
        <v>14.71</v>
      </c>
      <c r="G6069" s="11">
        <f t="shared" si="940"/>
        <v>0.16997920036977121</v>
      </c>
      <c r="H6069" s="11">
        <f t="shared" si="941"/>
        <v>25.962</v>
      </c>
      <c r="I6069" s="11">
        <f t="shared" si="942"/>
        <v>0.3</v>
      </c>
      <c r="J6069" s="12">
        <f t="shared" si="943"/>
        <v>-11.251999999999999</v>
      </c>
      <c r="K6069" s="17" t="str">
        <f t="shared" si="948"/>
        <v>Ecart négatif</v>
      </c>
      <c r="L6069" s="16">
        <f>base!X6069</f>
        <v>0</v>
      </c>
      <c r="M6069" s="11">
        <f t="shared" si="944"/>
        <v>0</v>
      </c>
      <c r="N6069" s="11">
        <f t="shared" si="945"/>
        <v>18.173400000000001</v>
      </c>
      <c r="O6069" s="11">
        <f t="shared" si="946"/>
        <v>0.21</v>
      </c>
      <c r="P6069" s="12">
        <f t="shared" si="947"/>
        <v>-18.173400000000001</v>
      </c>
      <c r="Q6069" s="17" t="str">
        <f t="shared" si="949"/>
        <v>Ecart négatif</v>
      </c>
    </row>
    <row r="6070" spans="1:17" x14ac:dyDescent="0.3">
      <c r="A6070" s="34" t="str">
        <f>base!J6070</f>
        <v>RM</v>
      </c>
      <c r="B6070" s="34" t="str">
        <f>base!V6070</f>
        <v>94110</v>
      </c>
      <c r="C6070" s="37">
        <v>94</v>
      </c>
      <c r="D6070" s="36">
        <f>base!H6070</f>
        <v>1002.99</v>
      </c>
      <c r="E6070" s="44"/>
      <c r="F6070" s="16">
        <f>base!W6070</f>
        <v>0</v>
      </c>
      <c r="G6070" s="11">
        <f t="shared" si="940"/>
        <v>0</v>
      </c>
      <c r="H6070" s="11">
        <f t="shared" si="941"/>
        <v>0</v>
      </c>
      <c r="I6070" s="11">
        <f t="shared" si="942"/>
        <v>0</v>
      </c>
      <c r="J6070" s="12">
        <f t="shared" si="943"/>
        <v>0</v>
      </c>
      <c r="K6070" s="17" t="str">
        <f t="shared" si="948"/>
        <v>Pas d'écart</v>
      </c>
      <c r="L6070" s="16">
        <f>base!X6070</f>
        <v>0</v>
      </c>
      <c r="M6070" s="11">
        <f t="shared" si="944"/>
        <v>0</v>
      </c>
      <c r="N6070" s="11">
        <f t="shared" si="945"/>
        <v>0</v>
      </c>
      <c r="O6070" s="11">
        <f t="shared" si="946"/>
        <v>0</v>
      </c>
      <c r="P6070" s="12">
        <f t="shared" si="947"/>
        <v>0</v>
      </c>
      <c r="Q6070" s="17" t="str">
        <f t="shared" si="949"/>
        <v>Pas d'écart</v>
      </c>
    </row>
    <row r="6071" spans="1:17" x14ac:dyDescent="0.3">
      <c r="A6071" s="34" t="str">
        <f>base!J6071</f>
        <v>LM</v>
      </c>
      <c r="B6071" s="34" t="str">
        <f>base!V6071</f>
        <v>86510</v>
      </c>
      <c r="C6071" s="37">
        <v>67</v>
      </c>
      <c r="D6071" s="36">
        <f>base!H6071</f>
        <v>185.87</v>
      </c>
      <c r="E6071" s="44"/>
      <c r="F6071" s="16">
        <f>base!W6071</f>
        <v>39.03</v>
      </c>
      <c r="G6071" s="11">
        <f t="shared" si="940"/>
        <v>0.20998547371819012</v>
      </c>
      <c r="H6071" s="11">
        <f t="shared" si="941"/>
        <v>53.902299999999997</v>
      </c>
      <c r="I6071" s="11">
        <f t="shared" si="942"/>
        <v>0.28999999999999998</v>
      </c>
      <c r="J6071" s="12">
        <f t="shared" si="943"/>
        <v>-14.872299999999996</v>
      </c>
      <c r="K6071" s="17" t="str">
        <f t="shared" si="948"/>
        <v>Ecart négatif</v>
      </c>
      <c r="L6071" s="16">
        <f>base!X6071</f>
        <v>0</v>
      </c>
      <c r="M6071" s="11">
        <f t="shared" si="944"/>
        <v>0</v>
      </c>
      <c r="N6071" s="11">
        <f t="shared" si="945"/>
        <v>14.8696</v>
      </c>
      <c r="O6071" s="11">
        <f t="shared" si="946"/>
        <v>0.08</v>
      </c>
      <c r="P6071" s="12">
        <f t="shared" si="947"/>
        <v>-14.8696</v>
      </c>
      <c r="Q6071" s="17" t="str">
        <f t="shared" si="949"/>
        <v>Ecart négatif</v>
      </c>
    </row>
    <row r="6072" spans="1:17" x14ac:dyDescent="0.3">
      <c r="A6072" s="34" t="str">
        <f>base!J6072</f>
        <v>LM</v>
      </c>
      <c r="B6072" s="34" t="str">
        <f>base!V6072</f>
        <v>67600</v>
      </c>
      <c r="C6072" s="37">
        <v>68</v>
      </c>
      <c r="D6072" s="36">
        <f>base!H6072</f>
        <v>126.65</v>
      </c>
      <c r="E6072" s="44"/>
      <c r="F6072" s="16">
        <f>base!W6072</f>
        <v>36.729999999999997</v>
      </c>
      <c r="G6072" s="11">
        <f t="shared" si="940"/>
        <v>0.29001184366363991</v>
      </c>
      <c r="H6072" s="11">
        <f t="shared" si="941"/>
        <v>36.728499999999997</v>
      </c>
      <c r="I6072" s="11">
        <f t="shared" si="942"/>
        <v>0.28999999999999998</v>
      </c>
      <c r="J6072" s="12">
        <f t="shared" si="943"/>
        <v>1.5000000000000568E-3</v>
      </c>
      <c r="K6072" s="17" t="str">
        <f t="shared" si="948"/>
        <v>Ecart positif</v>
      </c>
      <c r="L6072" s="16">
        <f>base!X6072</f>
        <v>0</v>
      </c>
      <c r="M6072" s="11">
        <f t="shared" si="944"/>
        <v>0</v>
      </c>
      <c r="N6072" s="11">
        <f t="shared" si="945"/>
        <v>10.132000000000001</v>
      </c>
      <c r="O6072" s="11">
        <f t="shared" si="946"/>
        <v>0.08</v>
      </c>
      <c r="P6072" s="12">
        <f t="shared" si="947"/>
        <v>-10.132000000000001</v>
      </c>
      <c r="Q6072" s="17" t="str">
        <f t="shared" si="949"/>
        <v>Ecart négatif</v>
      </c>
    </row>
    <row r="6073" spans="1:17" x14ac:dyDescent="0.3">
      <c r="A6073" s="34">
        <f>base!J6073</f>
        <v>0</v>
      </c>
      <c r="B6073" s="34" t="str">
        <f>base!V6073</f>
        <v>77184</v>
      </c>
      <c r="C6073" s="37">
        <v>77</v>
      </c>
      <c r="D6073" s="36">
        <f>base!H6073</f>
        <v>105</v>
      </c>
      <c r="E6073" s="44"/>
      <c r="F6073" s="16">
        <f>base!W6073</f>
        <v>0</v>
      </c>
      <c r="G6073" s="11">
        <f t="shared" si="940"/>
        <v>0</v>
      </c>
      <c r="H6073" s="11">
        <f t="shared" si="941"/>
        <v>0</v>
      </c>
      <c r="I6073" s="11">
        <f t="shared" si="942"/>
        <v>0</v>
      </c>
      <c r="J6073" s="12">
        <f t="shared" si="943"/>
        <v>0</v>
      </c>
      <c r="K6073" s="17" t="str">
        <f t="shared" si="948"/>
        <v>Pas d'écart</v>
      </c>
      <c r="L6073" s="16">
        <f>base!X6073</f>
        <v>0</v>
      </c>
      <c r="M6073" s="11">
        <f t="shared" si="944"/>
        <v>0</v>
      </c>
      <c r="N6073" s="11">
        <f t="shared" si="945"/>
        <v>0</v>
      </c>
      <c r="O6073" s="11">
        <f t="shared" si="946"/>
        <v>0</v>
      </c>
      <c r="P6073" s="12">
        <f t="shared" si="947"/>
        <v>0</v>
      </c>
      <c r="Q6073" s="17" t="str">
        <f t="shared" si="949"/>
        <v>Pas d'écart</v>
      </c>
    </row>
    <row r="6074" spans="1:17" x14ac:dyDescent="0.3">
      <c r="A6074" s="34" t="str">
        <f>base!J6074</f>
        <v>LS</v>
      </c>
      <c r="B6074" s="34" t="str">
        <f>base!V6074</f>
        <v>62600</v>
      </c>
      <c r="C6074" s="37">
        <v>15</v>
      </c>
      <c r="D6074" s="36">
        <f>base!H6074</f>
        <v>39.25</v>
      </c>
      <c r="E6074" s="44"/>
      <c r="F6074" s="16">
        <f>base!W6074</f>
        <v>7.46</v>
      </c>
      <c r="G6074" s="11">
        <f t="shared" si="940"/>
        <v>0.19006369426751593</v>
      </c>
      <c r="H6074" s="11">
        <f t="shared" si="941"/>
        <v>11.382499999999999</v>
      </c>
      <c r="I6074" s="11">
        <f t="shared" si="942"/>
        <v>0.28999999999999998</v>
      </c>
      <c r="J6074" s="12">
        <f t="shared" si="943"/>
        <v>-3.9224999999999985</v>
      </c>
      <c r="K6074" s="17" t="str">
        <f t="shared" si="948"/>
        <v>Ecart négatif</v>
      </c>
      <c r="L6074" s="16">
        <f>base!X6074</f>
        <v>0</v>
      </c>
      <c r="M6074" s="11">
        <f t="shared" si="944"/>
        <v>0</v>
      </c>
      <c r="N6074" s="11">
        <f t="shared" si="945"/>
        <v>4.71</v>
      </c>
      <c r="O6074" s="11">
        <f t="shared" si="946"/>
        <v>0.12</v>
      </c>
      <c r="P6074" s="12">
        <f t="shared" si="947"/>
        <v>-4.71</v>
      </c>
      <c r="Q6074" s="17" t="str">
        <f t="shared" si="949"/>
        <v>Ecart négatif</v>
      </c>
    </row>
    <row r="6075" spans="1:17" x14ac:dyDescent="0.3">
      <c r="A6075" s="34" t="str">
        <f>base!J6075</f>
        <v>LM</v>
      </c>
      <c r="B6075" s="34" t="str">
        <f>base!V6075</f>
        <v>59270</v>
      </c>
      <c r="C6075" s="37">
        <v>67</v>
      </c>
      <c r="D6075" s="36">
        <f>base!H6075</f>
        <v>18.350000000000001</v>
      </c>
      <c r="E6075" s="44"/>
      <c r="F6075" s="16">
        <f>base!W6075</f>
        <v>3.49</v>
      </c>
      <c r="G6075" s="11">
        <f t="shared" si="940"/>
        <v>0.19019073569482289</v>
      </c>
      <c r="H6075" s="11">
        <f t="shared" si="941"/>
        <v>5.3215000000000003</v>
      </c>
      <c r="I6075" s="11">
        <f t="shared" si="942"/>
        <v>0.28999999999999998</v>
      </c>
      <c r="J6075" s="12">
        <f t="shared" si="943"/>
        <v>-1.8315000000000001</v>
      </c>
      <c r="K6075" s="17" t="str">
        <f t="shared" si="948"/>
        <v>Ecart négatif</v>
      </c>
      <c r="L6075" s="16">
        <f>base!X6075</f>
        <v>0</v>
      </c>
      <c r="M6075" s="11">
        <f t="shared" si="944"/>
        <v>0</v>
      </c>
      <c r="N6075" s="11">
        <f t="shared" si="945"/>
        <v>1.4680000000000002</v>
      </c>
      <c r="O6075" s="11">
        <f t="shared" si="946"/>
        <v>0.08</v>
      </c>
      <c r="P6075" s="12">
        <f t="shared" si="947"/>
        <v>-1.4680000000000002</v>
      </c>
      <c r="Q6075" s="17" t="str">
        <f t="shared" si="949"/>
        <v>Ecart négatif</v>
      </c>
    </row>
    <row r="6076" spans="1:17" x14ac:dyDescent="0.3">
      <c r="A6076" s="34" t="str">
        <f>base!J6076</f>
        <v>LS</v>
      </c>
      <c r="B6076" s="34" t="str">
        <f>base!V6076</f>
        <v>92400</v>
      </c>
      <c r="C6076" s="37">
        <v>92</v>
      </c>
      <c r="D6076" s="36">
        <f>base!H6076</f>
        <v>164.26</v>
      </c>
      <c r="E6076" s="44"/>
      <c r="F6076" s="16">
        <f>base!W6076</f>
        <v>0</v>
      </c>
      <c r="G6076" s="11">
        <f t="shared" si="940"/>
        <v>0</v>
      </c>
      <c r="H6076" s="11">
        <f t="shared" si="941"/>
        <v>0</v>
      </c>
      <c r="I6076" s="11">
        <f t="shared" si="942"/>
        <v>0</v>
      </c>
      <c r="J6076" s="12">
        <f t="shared" si="943"/>
        <v>0</v>
      </c>
      <c r="K6076" s="17" t="str">
        <f t="shared" si="948"/>
        <v>Pas d'écart</v>
      </c>
      <c r="L6076" s="16">
        <f>base!X6076</f>
        <v>0</v>
      </c>
      <c r="M6076" s="11">
        <f t="shared" si="944"/>
        <v>0</v>
      </c>
      <c r="N6076" s="11">
        <f t="shared" si="945"/>
        <v>0</v>
      </c>
      <c r="O6076" s="11">
        <f t="shared" si="946"/>
        <v>0</v>
      </c>
      <c r="P6076" s="12">
        <f t="shared" si="947"/>
        <v>0</v>
      </c>
      <c r="Q6076" s="17" t="str">
        <f t="shared" si="949"/>
        <v>Pas d'écart</v>
      </c>
    </row>
    <row r="6077" spans="1:17" x14ac:dyDescent="0.3">
      <c r="A6077" s="34" t="str">
        <f>base!J6077</f>
        <v>LM</v>
      </c>
      <c r="B6077" s="34" t="str">
        <f>base!V6077</f>
        <v>30320</v>
      </c>
      <c r="C6077" s="37">
        <v>68</v>
      </c>
      <c r="D6077" s="36">
        <f>base!H6077</f>
        <v>142.01</v>
      </c>
      <c r="E6077" s="44"/>
      <c r="F6077" s="16">
        <f>base!W6077</f>
        <v>55.38</v>
      </c>
      <c r="G6077" s="11">
        <f t="shared" si="940"/>
        <v>0.38997253714527153</v>
      </c>
      <c r="H6077" s="11">
        <f t="shared" si="941"/>
        <v>41.182899999999997</v>
      </c>
      <c r="I6077" s="11">
        <f t="shared" si="942"/>
        <v>0.28999999999999998</v>
      </c>
      <c r="J6077" s="12">
        <f t="shared" si="943"/>
        <v>14.197100000000006</v>
      </c>
      <c r="K6077" s="17" t="str">
        <f t="shared" si="948"/>
        <v>Ecart positif</v>
      </c>
      <c r="L6077" s="16">
        <f>base!X6077</f>
        <v>0</v>
      </c>
      <c r="M6077" s="11">
        <f t="shared" si="944"/>
        <v>0</v>
      </c>
      <c r="N6077" s="11">
        <f t="shared" si="945"/>
        <v>11.360799999999999</v>
      </c>
      <c r="O6077" s="11">
        <f t="shared" si="946"/>
        <v>0.08</v>
      </c>
      <c r="P6077" s="12">
        <f t="shared" si="947"/>
        <v>-11.360799999999999</v>
      </c>
      <c r="Q6077" s="17" t="str">
        <f t="shared" si="949"/>
        <v>Ecart négatif</v>
      </c>
    </row>
    <row r="6078" spans="1:17" x14ac:dyDescent="0.3">
      <c r="A6078" s="34" t="str">
        <f>base!J6078</f>
        <v>LM</v>
      </c>
      <c r="B6078" s="34" t="str">
        <f>base!V6078</f>
        <v>06560</v>
      </c>
      <c r="C6078" s="37">
        <v>67</v>
      </c>
      <c r="D6078" s="36">
        <f>base!H6078</f>
        <v>19.89</v>
      </c>
      <c r="E6078" s="44"/>
      <c r="F6078" s="16">
        <f>base!W6078</f>
        <v>5.97</v>
      </c>
      <c r="G6078" s="11">
        <f t="shared" si="940"/>
        <v>0.30015082956259426</v>
      </c>
      <c r="H6078" s="11">
        <f t="shared" si="941"/>
        <v>5.7680999999999996</v>
      </c>
      <c r="I6078" s="11">
        <f t="shared" si="942"/>
        <v>0.28999999999999998</v>
      </c>
      <c r="J6078" s="12">
        <f t="shared" si="943"/>
        <v>0.20190000000000019</v>
      </c>
      <c r="K6078" s="17" t="str">
        <f t="shared" si="948"/>
        <v>Ecart positif</v>
      </c>
      <c r="L6078" s="16">
        <f>base!X6078</f>
        <v>0</v>
      </c>
      <c r="M6078" s="11">
        <f t="shared" si="944"/>
        <v>0</v>
      </c>
      <c r="N6078" s="11">
        <f t="shared" si="945"/>
        <v>1.5912000000000002</v>
      </c>
      <c r="O6078" s="11">
        <f t="shared" si="946"/>
        <v>0.08</v>
      </c>
      <c r="P6078" s="12">
        <f t="shared" si="947"/>
        <v>-1.5912000000000002</v>
      </c>
      <c r="Q6078" s="17" t="str">
        <f t="shared" si="949"/>
        <v>Ecart négatif</v>
      </c>
    </row>
    <row r="6079" spans="1:17" x14ac:dyDescent="0.3">
      <c r="A6079" s="34" t="str">
        <f>base!J6079</f>
        <v>LM</v>
      </c>
      <c r="B6079" s="34" t="str">
        <f>base!V6079</f>
        <v>06560</v>
      </c>
      <c r="C6079" s="37">
        <v>68</v>
      </c>
      <c r="D6079" s="36">
        <f>base!H6079</f>
        <v>19.89</v>
      </c>
      <c r="E6079" s="44"/>
      <c r="F6079" s="16">
        <f>base!W6079</f>
        <v>5.97</v>
      </c>
      <c r="G6079" s="11">
        <f t="shared" si="940"/>
        <v>0.30015082956259426</v>
      </c>
      <c r="H6079" s="11">
        <f t="shared" si="941"/>
        <v>5.7680999999999996</v>
      </c>
      <c r="I6079" s="11">
        <f t="shared" si="942"/>
        <v>0.28999999999999998</v>
      </c>
      <c r="J6079" s="12">
        <f t="shared" si="943"/>
        <v>0.20190000000000019</v>
      </c>
      <c r="K6079" s="17" t="str">
        <f t="shared" si="948"/>
        <v>Ecart positif</v>
      </c>
      <c r="L6079" s="16">
        <f>base!X6079</f>
        <v>0</v>
      </c>
      <c r="M6079" s="11">
        <f t="shared" si="944"/>
        <v>0</v>
      </c>
      <c r="N6079" s="11">
        <f t="shared" si="945"/>
        <v>1.5912000000000002</v>
      </c>
      <c r="O6079" s="11">
        <f t="shared" si="946"/>
        <v>0.08</v>
      </c>
      <c r="P6079" s="12">
        <f t="shared" si="947"/>
        <v>-1.5912000000000002</v>
      </c>
      <c r="Q6079" s="17" t="str">
        <f t="shared" si="949"/>
        <v>Ecart négatif</v>
      </c>
    </row>
    <row r="6080" spans="1:17" x14ac:dyDescent="0.3">
      <c r="A6080" s="34" t="str">
        <f>base!J6080</f>
        <v>LS</v>
      </c>
      <c r="B6080" s="34" t="str">
        <f>base!V6080</f>
        <v>60000</v>
      </c>
      <c r="C6080" s="37">
        <v>67</v>
      </c>
      <c r="D6080" s="36">
        <f>base!H6080</f>
        <v>82.33</v>
      </c>
      <c r="E6080" s="44"/>
      <c r="F6080" s="16">
        <f>base!W6080</f>
        <v>15.64</v>
      </c>
      <c r="G6080" s="11">
        <f t="shared" si="940"/>
        <v>0.18996720515000609</v>
      </c>
      <c r="H6080" s="11">
        <f t="shared" si="941"/>
        <v>23.875699999999998</v>
      </c>
      <c r="I6080" s="11">
        <f t="shared" si="942"/>
        <v>0.28999999999999998</v>
      </c>
      <c r="J6080" s="12">
        <f t="shared" si="943"/>
        <v>-8.2356999999999978</v>
      </c>
      <c r="K6080" s="17" t="str">
        <f t="shared" si="948"/>
        <v>Ecart négatif</v>
      </c>
      <c r="L6080" s="16">
        <f>base!X6080</f>
        <v>0</v>
      </c>
      <c r="M6080" s="11">
        <f t="shared" si="944"/>
        <v>0</v>
      </c>
      <c r="N6080" s="11">
        <f t="shared" si="945"/>
        <v>6.5864000000000003</v>
      </c>
      <c r="O6080" s="11">
        <f t="shared" si="946"/>
        <v>0.08</v>
      </c>
      <c r="P6080" s="12">
        <f t="shared" si="947"/>
        <v>-6.5864000000000003</v>
      </c>
      <c r="Q6080" s="17" t="str">
        <f t="shared" si="949"/>
        <v>Ecart négatif</v>
      </c>
    </row>
    <row r="6081" spans="1:17" x14ac:dyDescent="0.3">
      <c r="A6081" s="34" t="str">
        <f>base!J6081</f>
        <v>LS</v>
      </c>
      <c r="B6081" s="34" t="str">
        <f>base!V6081</f>
        <v>44700</v>
      </c>
      <c r="C6081" s="37">
        <v>84</v>
      </c>
      <c r="D6081" s="36">
        <f>base!H6081</f>
        <v>86.75</v>
      </c>
      <c r="E6081" s="44"/>
      <c r="F6081" s="16">
        <f>base!W6081</f>
        <v>23.42</v>
      </c>
      <c r="G6081" s="11">
        <f t="shared" si="940"/>
        <v>0.26997118155619598</v>
      </c>
      <c r="H6081" s="11">
        <f t="shared" si="941"/>
        <v>25.157499999999999</v>
      </c>
      <c r="I6081" s="11">
        <f t="shared" si="942"/>
        <v>0.28999999999999998</v>
      </c>
      <c r="J6081" s="12">
        <f t="shared" si="943"/>
        <v>-1.7374999999999972</v>
      </c>
      <c r="K6081" s="17" t="str">
        <f t="shared" si="948"/>
        <v>Ecart négatif</v>
      </c>
      <c r="L6081" s="16">
        <f>base!X6081</f>
        <v>0</v>
      </c>
      <c r="M6081" s="11">
        <f t="shared" si="944"/>
        <v>0</v>
      </c>
      <c r="N6081" s="11">
        <f t="shared" si="945"/>
        <v>16.482500000000002</v>
      </c>
      <c r="O6081" s="11">
        <f t="shared" si="946"/>
        <v>0.19000000000000003</v>
      </c>
      <c r="P6081" s="12">
        <f t="shared" si="947"/>
        <v>-16.482500000000002</v>
      </c>
      <c r="Q6081" s="17" t="str">
        <f t="shared" si="949"/>
        <v>Ecart négatif</v>
      </c>
    </row>
    <row r="6082" spans="1:17" x14ac:dyDescent="0.3">
      <c r="A6082" s="34" t="str">
        <f>base!J6082</f>
        <v>LS</v>
      </c>
      <c r="B6082" s="34" t="str">
        <f>base!V6082</f>
        <v>26000</v>
      </c>
      <c r="C6082" s="37">
        <v>84</v>
      </c>
      <c r="D6082" s="36">
        <f>base!H6082</f>
        <v>19.649999999999999</v>
      </c>
      <c r="E6082" s="44"/>
      <c r="F6082" s="16">
        <f>base!W6082</f>
        <v>5.31</v>
      </c>
      <c r="G6082" s="11">
        <f t="shared" ref="G6082:G6145" si="950">F6082/D6082</f>
        <v>0.27022900763358776</v>
      </c>
      <c r="H6082" s="11">
        <f t="shared" ref="H6082:H6145" si="951">VLOOKUP(C6082,tout_cout_traction,2,FALSE)*D6082</f>
        <v>5.6984999999999992</v>
      </c>
      <c r="I6082" s="11">
        <f t="shared" ref="I6082:I6145" si="952">H6082/D6082</f>
        <v>0.28999999999999998</v>
      </c>
      <c r="J6082" s="12">
        <f t="shared" ref="J6082:J6145" si="953">F6082-H6082</f>
        <v>-0.38849999999999962</v>
      </c>
      <c r="K6082" s="17" t="str">
        <f t="shared" si="948"/>
        <v>Ecart négatif</v>
      </c>
      <c r="L6082" s="16">
        <f>base!X6082</f>
        <v>0</v>
      </c>
      <c r="M6082" s="11">
        <f t="shared" ref="M6082:M6145" si="954">L6082/D6082</f>
        <v>0</v>
      </c>
      <c r="N6082" s="11">
        <f t="shared" ref="N6082:N6145" si="955">VLOOKUP(C6082,tout_cout_traction,3,FALSE)*D6082</f>
        <v>3.7334999999999998</v>
      </c>
      <c r="O6082" s="11">
        <f t="shared" ref="O6082:O6145" si="956">N6082/D6082</f>
        <v>0.19</v>
      </c>
      <c r="P6082" s="12">
        <f t="shared" ref="P6082:P6145" si="957">L6082-N6082</f>
        <v>-3.7334999999999998</v>
      </c>
      <c r="Q6082" s="17" t="str">
        <f t="shared" si="949"/>
        <v>Ecart négatif</v>
      </c>
    </row>
    <row r="6083" spans="1:17" x14ac:dyDescent="0.3">
      <c r="A6083" s="34">
        <f>base!J6083</f>
        <v>0</v>
      </c>
      <c r="B6083" s="34" t="str">
        <f>base!V6083</f>
        <v>77184</v>
      </c>
      <c r="C6083" s="37">
        <v>77</v>
      </c>
      <c r="D6083" s="36">
        <f>base!H6083</f>
        <v>31</v>
      </c>
      <c r="E6083" s="44"/>
      <c r="F6083" s="16">
        <f>base!W6083</f>
        <v>0</v>
      </c>
      <c r="G6083" s="11">
        <f t="shared" si="950"/>
        <v>0</v>
      </c>
      <c r="H6083" s="11">
        <f t="shared" si="951"/>
        <v>0</v>
      </c>
      <c r="I6083" s="11">
        <f t="shared" si="952"/>
        <v>0</v>
      </c>
      <c r="J6083" s="12">
        <f t="shared" si="953"/>
        <v>0</v>
      </c>
      <c r="K6083" s="17" t="str">
        <f t="shared" ref="K6083:K6146" si="958">IF(H6083=F6083,"Pas d'écart",IF(H6083&lt;F6083,"Ecart positif",IF(H6083&gt;F6083,"Ecart négatif")))</f>
        <v>Pas d'écart</v>
      </c>
      <c r="L6083" s="16">
        <f>base!X6083</f>
        <v>0</v>
      </c>
      <c r="M6083" s="11">
        <f t="shared" si="954"/>
        <v>0</v>
      </c>
      <c r="N6083" s="11">
        <f t="shared" si="955"/>
        <v>0</v>
      </c>
      <c r="O6083" s="11">
        <f t="shared" si="956"/>
        <v>0</v>
      </c>
      <c r="P6083" s="12">
        <f t="shared" si="957"/>
        <v>0</v>
      </c>
      <c r="Q6083" s="17" t="str">
        <f t="shared" ref="Q6083:Q6146" si="959">IF(N6083=L6083,"Pas d'écart",IF(N6083&lt;L6083,"Ecart positif",IF(N6083&gt;L6083,"Ecart négatif")))</f>
        <v>Pas d'écart</v>
      </c>
    </row>
    <row r="6084" spans="1:17" x14ac:dyDescent="0.3">
      <c r="A6084" s="34" t="str">
        <f>base!J6084</f>
        <v>RM</v>
      </c>
      <c r="B6084" s="34" t="str">
        <f>base!V6084</f>
        <v>59154</v>
      </c>
      <c r="C6084" s="37">
        <v>59</v>
      </c>
      <c r="D6084" s="36">
        <f>base!H6084</f>
        <v>173.69</v>
      </c>
      <c r="E6084" s="44"/>
      <c r="F6084" s="16">
        <f>base!W6084</f>
        <v>0</v>
      </c>
      <c r="G6084" s="11">
        <f t="shared" si="950"/>
        <v>0</v>
      </c>
      <c r="H6084" s="11">
        <f t="shared" si="951"/>
        <v>33.001100000000001</v>
      </c>
      <c r="I6084" s="11">
        <f t="shared" si="952"/>
        <v>0.19</v>
      </c>
      <c r="J6084" s="12">
        <f t="shared" si="953"/>
        <v>-33.001100000000001</v>
      </c>
      <c r="K6084" s="17" t="str">
        <f t="shared" si="958"/>
        <v>Ecart négatif</v>
      </c>
      <c r="L6084" s="16">
        <f>base!X6084</f>
        <v>0</v>
      </c>
      <c r="M6084" s="11">
        <f t="shared" si="954"/>
        <v>0</v>
      </c>
      <c r="N6084" s="11">
        <f t="shared" si="955"/>
        <v>0</v>
      </c>
      <c r="O6084" s="11">
        <f t="shared" si="956"/>
        <v>0</v>
      </c>
      <c r="P6084" s="12">
        <f t="shared" si="957"/>
        <v>0</v>
      </c>
      <c r="Q6084" s="17" t="str">
        <f t="shared" si="959"/>
        <v>Pas d'écart</v>
      </c>
    </row>
    <row r="6085" spans="1:17" x14ac:dyDescent="0.3">
      <c r="A6085" s="34" t="str">
        <f>base!J6085</f>
        <v>RS</v>
      </c>
      <c r="B6085" s="34" t="str">
        <f>base!V6085</f>
        <v>27520</v>
      </c>
      <c r="C6085" s="37">
        <v>27</v>
      </c>
      <c r="D6085" s="36">
        <f>base!H6085</f>
        <v>140</v>
      </c>
      <c r="E6085" s="44"/>
      <c r="F6085" s="16">
        <f>base!W6085</f>
        <v>23.8</v>
      </c>
      <c r="G6085" s="11">
        <f t="shared" si="950"/>
        <v>0.17</v>
      </c>
      <c r="H6085" s="11">
        <f t="shared" si="951"/>
        <v>23.8</v>
      </c>
      <c r="I6085" s="11">
        <f t="shared" si="952"/>
        <v>0.17</v>
      </c>
      <c r="J6085" s="12">
        <f t="shared" si="953"/>
        <v>0</v>
      </c>
      <c r="K6085" s="17" t="str">
        <f t="shared" si="958"/>
        <v>Pas d'écart</v>
      </c>
      <c r="L6085" s="16">
        <f>base!X6085</f>
        <v>0</v>
      </c>
      <c r="M6085" s="11">
        <f t="shared" si="954"/>
        <v>0</v>
      </c>
      <c r="N6085" s="11">
        <f t="shared" si="955"/>
        <v>23.8</v>
      </c>
      <c r="O6085" s="11">
        <f t="shared" si="956"/>
        <v>0.17</v>
      </c>
      <c r="P6085" s="12">
        <f t="shared" si="957"/>
        <v>-23.8</v>
      </c>
      <c r="Q6085" s="17" t="str">
        <f t="shared" si="959"/>
        <v>Ecart négatif</v>
      </c>
    </row>
    <row r="6086" spans="1:17" x14ac:dyDescent="0.3">
      <c r="A6086" s="34" t="str">
        <f>base!J6086</f>
        <v>RM</v>
      </c>
      <c r="B6086" s="34" t="str">
        <f>base!V6086</f>
        <v>75010</v>
      </c>
      <c r="C6086" s="37">
        <v>75</v>
      </c>
      <c r="D6086" s="36">
        <f>base!H6086</f>
        <v>180</v>
      </c>
      <c r="E6086" s="44"/>
      <c r="F6086" s="16">
        <f>base!W6086</f>
        <v>0</v>
      </c>
      <c r="G6086" s="11">
        <f t="shared" si="950"/>
        <v>0</v>
      </c>
      <c r="H6086" s="11">
        <f t="shared" si="951"/>
        <v>0</v>
      </c>
      <c r="I6086" s="11">
        <f t="shared" si="952"/>
        <v>0</v>
      </c>
      <c r="J6086" s="12">
        <f t="shared" si="953"/>
        <v>0</v>
      </c>
      <c r="K6086" s="17" t="str">
        <f t="shared" si="958"/>
        <v>Pas d'écart</v>
      </c>
      <c r="L6086" s="16">
        <f>base!X6086</f>
        <v>0</v>
      </c>
      <c r="M6086" s="11">
        <f t="shared" si="954"/>
        <v>0</v>
      </c>
      <c r="N6086" s="11">
        <f t="shared" si="955"/>
        <v>0</v>
      </c>
      <c r="O6086" s="11">
        <f t="shared" si="956"/>
        <v>0</v>
      </c>
      <c r="P6086" s="12">
        <f t="shared" si="957"/>
        <v>0</v>
      </c>
      <c r="Q6086" s="17" t="str">
        <f t="shared" si="959"/>
        <v>Pas d'écart</v>
      </c>
    </row>
    <row r="6087" spans="1:17" x14ac:dyDescent="0.3">
      <c r="A6087" s="34" t="str">
        <f>base!J6087</f>
        <v>LM</v>
      </c>
      <c r="B6087" s="34" t="str">
        <f>base!V6087</f>
        <v>65290</v>
      </c>
      <c r="C6087" s="37">
        <v>5</v>
      </c>
      <c r="D6087" s="36">
        <f>base!H6087</f>
        <v>158.88</v>
      </c>
      <c r="E6087" s="44"/>
      <c r="F6087" s="16">
        <f>base!W6087</f>
        <v>34.950000000000003</v>
      </c>
      <c r="G6087" s="11">
        <f t="shared" si="950"/>
        <v>0.21997734138972813</v>
      </c>
      <c r="H6087" s="11">
        <f t="shared" si="951"/>
        <v>46.075199999999995</v>
      </c>
      <c r="I6087" s="11">
        <f t="shared" si="952"/>
        <v>0.28999999999999998</v>
      </c>
      <c r="J6087" s="12">
        <f t="shared" si="953"/>
        <v>-11.125199999999992</v>
      </c>
      <c r="K6087" s="17" t="str">
        <f t="shared" si="958"/>
        <v>Ecart négatif</v>
      </c>
      <c r="L6087" s="16">
        <f>base!X6087</f>
        <v>0</v>
      </c>
      <c r="M6087" s="11">
        <f t="shared" si="954"/>
        <v>0</v>
      </c>
      <c r="N6087" s="11">
        <f t="shared" si="955"/>
        <v>30.187200000000001</v>
      </c>
      <c r="O6087" s="11">
        <f t="shared" si="956"/>
        <v>0.19</v>
      </c>
      <c r="P6087" s="12">
        <f t="shared" si="957"/>
        <v>-30.187200000000001</v>
      </c>
      <c r="Q6087" s="17" t="str">
        <f t="shared" si="959"/>
        <v>Ecart négatif</v>
      </c>
    </row>
    <row r="6088" spans="1:17" x14ac:dyDescent="0.3">
      <c r="A6088" s="34" t="str">
        <f>base!J6088</f>
        <v>LS</v>
      </c>
      <c r="B6088" s="34" t="str">
        <f>base!V6088</f>
        <v>68110</v>
      </c>
      <c r="C6088" s="37">
        <v>20</v>
      </c>
      <c r="D6088" s="36">
        <f>base!H6088</f>
        <v>18.350000000000001</v>
      </c>
      <c r="E6088" s="44"/>
      <c r="F6088" s="16">
        <f>base!W6088</f>
        <v>5.32</v>
      </c>
      <c r="G6088" s="11">
        <f t="shared" si="950"/>
        <v>0.2899182561307902</v>
      </c>
      <c r="H6088" s="11">
        <f t="shared" si="951"/>
        <v>5.3215000000000003</v>
      </c>
      <c r="I6088" s="11">
        <f t="shared" si="952"/>
        <v>0.28999999999999998</v>
      </c>
      <c r="J6088" s="12">
        <f t="shared" si="953"/>
        <v>-1.5000000000000568E-3</v>
      </c>
      <c r="K6088" s="17" t="str">
        <f t="shared" si="958"/>
        <v>Ecart négatif</v>
      </c>
      <c r="L6088" s="16">
        <f>base!X6088</f>
        <v>0</v>
      </c>
      <c r="M6088" s="11">
        <f t="shared" si="954"/>
        <v>0</v>
      </c>
      <c r="N6088" s="11">
        <f t="shared" si="955"/>
        <v>3.8535000000000004</v>
      </c>
      <c r="O6088" s="11">
        <f t="shared" si="956"/>
        <v>0.21</v>
      </c>
      <c r="P6088" s="12">
        <f t="shared" si="957"/>
        <v>-3.8535000000000004</v>
      </c>
      <c r="Q6088" s="17" t="str">
        <f t="shared" si="959"/>
        <v>Ecart négatif</v>
      </c>
    </row>
    <row r="6089" spans="1:17" x14ac:dyDescent="0.3">
      <c r="A6089" s="34" t="str">
        <f>base!J6089</f>
        <v>LM</v>
      </c>
      <c r="B6089" s="34" t="str">
        <f>base!V6089</f>
        <v>59890</v>
      </c>
      <c r="C6089" s="37">
        <v>59</v>
      </c>
      <c r="D6089" s="36">
        <f>base!H6089</f>
        <v>40</v>
      </c>
      <c r="E6089" s="44"/>
      <c r="F6089" s="16">
        <f>base!W6089</f>
        <v>7.6</v>
      </c>
      <c r="G6089" s="11">
        <f t="shared" si="950"/>
        <v>0.19</v>
      </c>
      <c r="H6089" s="11">
        <f t="shared" si="951"/>
        <v>7.6</v>
      </c>
      <c r="I6089" s="11">
        <f t="shared" si="952"/>
        <v>0.19</v>
      </c>
      <c r="J6089" s="12">
        <f t="shared" si="953"/>
        <v>0</v>
      </c>
      <c r="K6089" s="17" t="str">
        <f t="shared" si="958"/>
        <v>Pas d'écart</v>
      </c>
      <c r="L6089" s="16">
        <f>base!X6089</f>
        <v>0</v>
      </c>
      <c r="M6089" s="11">
        <f t="shared" si="954"/>
        <v>0</v>
      </c>
      <c r="N6089" s="11">
        <f t="shared" si="955"/>
        <v>0</v>
      </c>
      <c r="O6089" s="11">
        <f t="shared" si="956"/>
        <v>0</v>
      </c>
      <c r="P6089" s="12">
        <f t="shared" si="957"/>
        <v>0</v>
      </c>
      <c r="Q6089" s="17" t="str">
        <f t="shared" si="959"/>
        <v>Pas d'écart</v>
      </c>
    </row>
    <row r="6090" spans="1:17" x14ac:dyDescent="0.3">
      <c r="A6090" s="34" t="str">
        <f>base!J6090</f>
        <v>DLM</v>
      </c>
      <c r="B6090" s="34" t="str">
        <f>base!V6090</f>
        <v>76700</v>
      </c>
      <c r="C6090" s="37">
        <v>76</v>
      </c>
      <c r="D6090" s="36">
        <f>base!H6090</f>
        <v>140</v>
      </c>
      <c r="E6090" s="44"/>
      <c r="F6090" s="16">
        <f>base!W6090</f>
        <v>0</v>
      </c>
      <c r="G6090" s="11">
        <f t="shared" si="950"/>
        <v>0</v>
      </c>
      <c r="H6090" s="11">
        <f t="shared" si="951"/>
        <v>23.8</v>
      </c>
      <c r="I6090" s="11">
        <f t="shared" si="952"/>
        <v>0.17</v>
      </c>
      <c r="J6090" s="12">
        <f t="shared" si="953"/>
        <v>-23.8</v>
      </c>
      <c r="K6090" s="17" t="str">
        <f t="shared" si="958"/>
        <v>Ecart négatif</v>
      </c>
      <c r="L6090" s="16">
        <f>base!X6090</f>
        <v>0</v>
      </c>
      <c r="M6090" s="11">
        <f t="shared" si="954"/>
        <v>0</v>
      </c>
      <c r="N6090" s="11">
        <f t="shared" si="955"/>
        <v>23.8</v>
      </c>
      <c r="O6090" s="11">
        <f t="shared" si="956"/>
        <v>0.17</v>
      </c>
      <c r="P6090" s="12">
        <f t="shared" si="957"/>
        <v>-23.8</v>
      </c>
      <c r="Q6090" s="17" t="str">
        <f t="shared" si="959"/>
        <v>Ecart négatif</v>
      </c>
    </row>
    <row r="6091" spans="1:17" x14ac:dyDescent="0.3">
      <c r="A6091" s="34" t="str">
        <f>base!J6091</f>
        <v>LM</v>
      </c>
      <c r="B6091" s="34" t="str">
        <f>base!V6091</f>
        <v>59230</v>
      </c>
      <c r="C6091" s="37">
        <v>59</v>
      </c>
      <c r="D6091" s="36">
        <f>base!H6091</f>
        <v>40</v>
      </c>
      <c r="E6091" s="44"/>
      <c r="F6091" s="16">
        <f>base!W6091</f>
        <v>7.6</v>
      </c>
      <c r="G6091" s="11">
        <f t="shared" si="950"/>
        <v>0.19</v>
      </c>
      <c r="H6091" s="11">
        <f t="shared" si="951"/>
        <v>7.6</v>
      </c>
      <c r="I6091" s="11">
        <f t="shared" si="952"/>
        <v>0.19</v>
      </c>
      <c r="J6091" s="12">
        <f t="shared" si="953"/>
        <v>0</v>
      </c>
      <c r="K6091" s="17" t="str">
        <f t="shared" si="958"/>
        <v>Pas d'écart</v>
      </c>
      <c r="L6091" s="16">
        <f>base!X6091</f>
        <v>0</v>
      </c>
      <c r="M6091" s="11">
        <f t="shared" si="954"/>
        <v>0</v>
      </c>
      <c r="N6091" s="11">
        <f t="shared" si="955"/>
        <v>0</v>
      </c>
      <c r="O6091" s="11">
        <f t="shared" si="956"/>
        <v>0</v>
      </c>
      <c r="P6091" s="12">
        <f t="shared" si="957"/>
        <v>0</v>
      </c>
      <c r="Q6091" s="17" t="str">
        <f t="shared" si="959"/>
        <v>Pas d'écart</v>
      </c>
    </row>
    <row r="6092" spans="1:17" x14ac:dyDescent="0.3">
      <c r="A6092" s="34" t="str">
        <f>base!J6092</f>
        <v>LS</v>
      </c>
      <c r="B6092" s="34" t="str">
        <f>base!V6092</f>
        <v>53600</v>
      </c>
      <c r="C6092" s="37">
        <v>68</v>
      </c>
      <c r="D6092" s="36">
        <f>base!H6092</f>
        <v>120.29</v>
      </c>
      <c r="E6092" s="44"/>
      <c r="F6092" s="16">
        <f>base!W6092</f>
        <v>32.479999999999997</v>
      </c>
      <c r="G6092" s="11">
        <f t="shared" si="950"/>
        <v>0.27001413251309331</v>
      </c>
      <c r="H6092" s="11">
        <f t="shared" si="951"/>
        <v>34.884099999999997</v>
      </c>
      <c r="I6092" s="11">
        <f t="shared" si="952"/>
        <v>0.28999999999999998</v>
      </c>
      <c r="J6092" s="12">
        <f t="shared" si="953"/>
        <v>-2.4040999999999997</v>
      </c>
      <c r="K6092" s="17" t="str">
        <f t="shared" si="958"/>
        <v>Ecart négatif</v>
      </c>
      <c r="L6092" s="16">
        <f>base!X6092</f>
        <v>0</v>
      </c>
      <c r="M6092" s="11">
        <f t="shared" si="954"/>
        <v>0</v>
      </c>
      <c r="N6092" s="11">
        <f t="shared" si="955"/>
        <v>9.6232000000000006</v>
      </c>
      <c r="O6092" s="11">
        <f t="shared" si="956"/>
        <v>0.08</v>
      </c>
      <c r="P6092" s="12">
        <f t="shared" si="957"/>
        <v>-9.6232000000000006</v>
      </c>
      <c r="Q6092" s="17" t="str">
        <f t="shared" si="959"/>
        <v>Ecart négatif</v>
      </c>
    </row>
    <row r="6093" spans="1:17" x14ac:dyDescent="0.3">
      <c r="A6093" s="34" t="str">
        <f>base!J6093</f>
        <v>RS</v>
      </c>
      <c r="B6093" s="34" t="str">
        <f>base!V6093</f>
        <v>69005</v>
      </c>
      <c r="C6093" s="37">
        <v>69</v>
      </c>
      <c r="D6093" s="36">
        <f>base!H6093</f>
        <v>400</v>
      </c>
      <c r="E6093" s="44"/>
      <c r="F6093" s="16">
        <f>base!W6093</f>
        <v>0</v>
      </c>
      <c r="G6093" s="11">
        <f t="shared" si="950"/>
        <v>0</v>
      </c>
      <c r="H6093" s="11">
        <f t="shared" si="951"/>
        <v>108</v>
      </c>
      <c r="I6093" s="11">
        <f t="shared" si="952"/>
        <v>0.27</v>
      </c>
      <c r="J6093" s="12">
        <f t="shared" si="953"/>
        <v>-108</v>
      </c>
      <c r="K6093" s="17" t="str">
        <f t="shared" si="958"/>
        <v>Ecart négatif</v>
      </c>
      <c r="L6093" s="16">
        <f>base!X6093</f>
        <v>0</v>
      </c>
      <c r="M6093" s="11">
        <f t="shared" si="954"/>
        <v>0</v>
      </c>
      <c r="N6093" s="11">
        <f t="shared" si="955"/>
        <v>0</v>
      </c>
      <c r="O6093" s="11">
        <f t="shared" si="956"/>
        <v>0</v>
      </c>
      <c r="P6093" s="12">
        <f t="shared" si="957"/>
        <v>0</v>
      </c>
      <c r="Q6093" s="17" t="str">
        <f t="shared" si="959"/>
        <v>Pas d'écart</v>
      </c>
    </row>
    <row r="6094" spans="1:17" x14ac:dyDescent="0.3">
      <c r="A6094" s="34" t="str">
        <f>base!J6094</f>
        <v>LM</v>
      </c>
      <c r="B6094" s="34" t="str">
        <f>base!V6094</f>
        <v>73000</v>
      </c>
      <c r="C6094" s="37">
        <v>13</v>
      </c>
      <c r="D6094" s="36">
        <f>base!H6094</f>
        <v>153.44999999999999</v>
      </c>
      <c r="E6094" s="44"/>
      <c r="F6094" s="16">
        <f>base!W6094</f>
        <v>41.43</v>
      </c>
      <c r="G6094" s="11">
        <f t="shared" si="950"/>
        <v>0.26999022482893453</v>
      </c>
      <c r="H6094" s="11">
        <f t="shared" si="951"/>
        <v>44.500499999999995</v>
      </c>
      <c r="I6094" s="11">
        <f t="shared" si="952"/>
        <v>0.28999999999999998</v>
      </c>
      <c r="J6094" s="12">
        <f t="shared" si="953"/>
        <v>-3.0704999999999956</v>
      </c>
      <c r="K6094" s="17" t="str">
        <f t="shared" si="958"/>
        <v>Ecart négatif</v>
      </c>
      <c r="L6094" s="16">
        <f>base!X6094</f>
        <v>0</v>
      </c>
      <c r="M6094" s="11">
        <f t="shared" si="954"/>
        <v>0</v>
      </c>
      <c r="N6094" s="11">
        <f t="shared" si="955"/>
        <v>29.155499999999996</v>
      </c>
      <c r="O6094" s="11">
        <f t="shared" si="956"/>
        <v>0.19</v>
      </c>
      <c r="P6094" s="12">
        <f t="shared" si="957"/>
        <v>-29.155499999999996</v>
      </c>
      <c r="Q6094" s="17" t="str">
        <f t="shared" si="959"/>
        <v>Ecart négatif</v>
      </c>
    </row>
    <row r="6095" spans="1:17" x14ac:dyDescent="0.3">
      <c r="A6095" s="34" t="str">
        <f>base!J6095</f>
        <v>LM</v>
      </c>
      <c r="B6095" s="34" t="str">
        <f>base!V6095</f>
        <v>73000</v>
      </c>
      <c r="C6095" s="37">
        <v>67</v>
      </c>
      <c r="D6095" s="36">
        <f>base!H6095</f>
        <v>186.91</v>
      </c>
      <c r="E6095" s="44"/>
      <c r="F6095" s="16">
        <f>base!W6095</f>
        <v>50.47</v>
      </c>
      <c r="G6095" s="11">
        <f t="shared" si="950"/>
        <v>0.27002300572468035</v>
      </c>
      <c r="H6095" s="11">
        <f t="shared" si="951"/>
        <v>54.203899999999997</v>
      </c>
      <c r="I6095" s="11">
        <f t="shared" si="952"/>
        <v>0.28999999999999998</v>
      </c>
      <c r="J6095" s="12">
        <f t="shared" si="953"/>
        <v>-3.7338999999999984</v>
      </c>
      <c r="K6095" s="17" t="str">
        <f t="shared" si="958"/>
        <v>Ecart négatif</v>
      </c>
      <c r="L6095" s="16">
        <f>base!X6095</f>
        <v>0</v>
      </c>
      <c r="M6095" s="11">
        <f t="shared" si="954"/>
        <v>0</v>
      </c>
      <c r="N6095" s="11">
        <f t="shared" si="955"/>
        <v>14.9528</v>
      </c>
      <c r="O6095" s="11">
        <f t="shared" si="956"/>
        <v>0.08</v>
      </c>
      <c r="P6095" s="12">
        <f t="shared" si="957"/>
        <v>-14.9528</v>
      </c>
      <c r="Q6095" s="17" t="str">
        <f t="shared" si="959"/>
        <v>Ecart négatif</v>
      </c>
    </row>
    <row r="6096" spans="1:17" x14ac:dyDescent="0.3">
      <c r="A6096" s="34" t="str">
        <f>base!J6096</f>
        <v>LS</v>
      </c>
      <c r="B6096" s="34" t="str">
        <f>base!V6096</f>
        <v>41700</v>
      </c>
      <c r="C6096" s="37">
        <v>84</v>
      </c>
      <c r="D6096" s="36">
        <f>base!H6096</f>
        <v>178.25</v>
      </c>
      <c r="E6096" s="44"/>
      <c r="F6096" s="16">
        <f>base!W6096</f>
        <v>37.43</v>
      </c>
      <c r="G6096" s="11">
        <f t="shared" si="950"/>
        <v>0.20998597475455821</v>
      </c>
      <c r="H6096" s="11">
        <f t="shared" si="951"/>
        <v>51.692499999999995</v>
      </c>
      <c r="I6096" s="11">
        <f t="shared" si="952"/>
        <v>0.28999999999999998</v>
      </c>
      <c r="J6096" s="12">
        <f t="shared" si="953"/>
        <v>-14.262499999999996</v>
      </c>
      <c r="K6096" s="17" t="str">
        <f t="shared" si="958"/>
        <v>Ecart négatif</v>
      </c>
      <c r="L6096" s="16">
        <f>base!X6096</f>
        <v>0</v>
      </c>
      <c r="M6096" s="11">
        <f t="shared" si="954"/>
        <v>0</v>
      </c>
      <c r="N6096" s="11">
        <f t="shared" si="955"/>
        <v>33.8675</v>
      </c>
      <c r="O6096" s="11">
        <f t="shared" si="956"/>
        <v>0.19</v>
      </c>
      <c r="P6096" s="12">
        <f t="shared" si="957"/>
        <v>-33.8675</v>
      </c>
      <c r="Q6096" s="17" t="str">
        <f t="shared" si="959"/>
        <v>Ecart négatif</v>
      </c>
    </row>
    <row r="6097" spans="1:17" x14ac:dyDescent="0.3">
      <c r="A6097" s="34" t="str">
        <f>base!J6097</f>
        <v>LS</v>
      </c>
      <c r="B6097" s="34" t="str">
        <f>base!V6097</f>
        <v>41100</v>
      </c>
      <c r="C6097" s="37">
        <v>68</v>
      </c>
      <c r="D6097" s="36">
        <f>base!H6097</f>
        <v>120.85</v>
      </c>
      <c r="E6097" s="44"/>
      <c r="F6097" s="16">
        <f>base!W6097</f>
        <v>25.38</v>
      </c>
      <c r="G6097" s="11">
        <f t="shared" si="950"/>
        <v>0.21001241208109225</v>
      </c>
      <c r="H6097" s="11">
        <f t="shared" si="951"/>
        <v>35.046499999999995</v>
      </c>
      <c r="I6097" s="11">
        <f t="shared" si="952"/>
        <v>0.28999999999999998</v>
      </c>
      <c r="J6097" s="12">
        <f t="shared" si="953"/>
        <v>-9.6664999999999957</v>
      </c>
      <c r="K6097" s="17" t="str">
        <f t="shared" si="958"/>
        <v>Ecart négatif</v>
      </c>
      <c r="L6097" s="16">
        <f>base!X6097</f>
        <v>0</v>
      </c>
      <c r="M6097" s="11">
        <f t="shared" si="954"/>
        <v>0</v>
      </c>
      <c r="N6097" s="11">
        <f t="shared" si="955"/>
        <v>9.6679999999999993</v>
      </c>
      <c r="O6097" s="11">
        <f t="shared" si="956"/>
        <v>0.08</v>
      </c>
      <c r="P6097" s="12">
        <f t="shared" si="957"/>
        <v>-9.6679999999999993</v>
      </c>
      <c r="Q6097" s="17" t="str">
        <f t="shared" si="959"/>
        <v>Ecart négatif</v>
      </c>
    </row>
    <row r="6098" spans="1:17" x14ac:dyDescent="0.3">
      <c r="A6098" s="34" t="str">
        <f>base!J6098</f>
        <v>RS</v>
      </c>
      <c r="B6098" s="34" t="str">
        <f>base!V6098</f>
        <v>38150</v>
      </c>
      <c r="C6098" s="37">
        <v>38</v>
      </c>
      <c r="D6098" s="36">
        <f>base!H6098</f>
        <v>211.53</v>
      </c>
      <c r="E6098" s="44"/>
      <c r="F6098" s="16">
        <f>base!W6098</f>
        <v>0</v>
      </c>
      <c r="G6098" s="11">
        <f t="shared" si="950"/>
        <v>0</v>
      </c>
      <c r="H6098" s="11">
        <f t="shared" si="951"/>
        <v>57.113100000000003</v>
      </c>
      <c r="I6098" s="11">
        <f t="shared" si="952"/>
        <v>0.27</v>
      </c>
      <c r="J6098" s="12">
        <f t="shared" si="953"/>
        <v>-57.113100000000003</v>
      </c>
      <c r="K6098" s="17" t="str">
        <f t="shared" si="958"/>
        <v>Ecart négatif</v>
      </c>
      <c r="L6098" s="16">
        <f>base!X6098</f>
        <v>0</v>
      </c>
      <c r="M6098" s="11">
        <f t="shared" si="954"/>
        <v>0</v>
      </c>
      <c r="N6098" s="11">
        <f t="shared" si="955"/>
        <v>0</v>
      </c>
      <c r="O6098" s="11">
        <f t="shared" si="956"/>
        <v>0</v>
      </c>
      <c r="P6098" s="12">
        <f t="shared" si="957"/>
        <v>0</v>
      </c>
      <c r="Q6098" s="17" t="str">
        <f t="shared" si="959"/>
        <v>Pas d'écart</v>
      </c>
    </row>
    <row r="6099" spans="1:17" x14ac:dyDescent="0.3">
      <c r="A6099" s="34" t="str">
        <f>base!J6099</f>
        <v>DRS</v>
      </c>
      <c r="B6099" s="34" t="str">
        <f>base!V6099</f>
        <v>19200</v>
      </c>
      <c r="C6099" s="37">
        <v>19</v>
      </c>
      <c r="D6099" s="36">
        <f>base!H6099</f>
        <v>122.09</v>
      </c>
      <c r="E6099" s="44"/>
      <c r="F6099" s="16">
        <f>base!W6099</f>
        <v>0</v>
      </c>
      <c r="G6099" s="11">
        <f t="shared" si="950"/>
        <v>0</v>
      </c>
      <c r="H6099" s="11">
        <f t="shared" si="951"/>
        <v>35.406099999999995</v>
      </c>
      <c r="I6099" s="11">
        <f t="shared" si="952"/>
        <v>0.28999999999999992</v>
      </c>
      <c r="J6099" s="12">
        <f t="shared" si="953"/>
        <v>-35.406099999999995</v>
      </c>
      <c r="K6099" s="17" t="str">
        <f t="shared" si="958"/>
        <v>Ecart négatif</v>
      </c>
      <c r="L6099" s="16">
        <f>base!X6099</f>
        <v>0</v>
      </c>
      <c r="M6099" s="11">
        <f t="shared" si="954"/>
        <v>0</v>
      </c>
      <c r="N6099" s="11">
        <f t="shared" si="955"/>
        <v>14.6508</v>
      </c>
      <c r="O6099" s="11">
        <f t="shared" si="956"/>
        <v>0.12</v>
      </c>
      <c r="P6099" s="12">
        <f t="shared" si="957"/>
        <v>-14.6508</v>
      </c>
      <c r="Q6099" s="17" t="str">
        <f t="shared" si="959"/>
        <v>Ecart négatif</v>
      </c>
    </row>
    <row r="6100" spans="1:17" x14ac:dyDescent="0.3">
      <c r="A6100" s="34" t="str">
        <f>base!J6100</f>
        <v>LS</v>
      </c>
      <c r="B6100" s="34" t="str">
        <f>base!V6100</f>
        <v>75012</v>
      </c>
      <c r="C6100" s="37">
        <v>75</v>
      </c>
      <c r="D6100" s="36">
        <f>base!H6100</f>
        <v>148.93</v>
      </c>
      <c r="E6100" s="44"/>
      <c r="F6100" s="16">
        <f>base!W6100</f>
        <v>0</v>
      </c>
      <c r="G6100" s="11">
        <f t="shared" si="950"/>
        <v>0</v>
      </c>
      <c r="H6100" s="11">
        <f t="shared" si="951"/>
        <v>0</v>
      </c>
      <c r="I6100" s="11">
        <f t="shared" si="952"/>
        <v>0</v>
      </c>
      <c r="J6100" s="12">
        <f t="shared" si="953"/>
        <v>0</v>
      </c>
      <c r="K6100" s="17" t="str">
        <f t="shared" si="958"/>
        <v>Pas d'écart</v>
      </c>
      <c r="L6100" s="16">
        <f>base!X6100</f>
        <v>0</v>
      </c>
      <c r="M6100" s="11">
        <f t="shared" si="954"/>
        <v>0</v>
      </c>
      <c r="N6100" s="11">
        <f t="shared" si="955"/>
        <v>0</v>
      </c>
      <c r="O6100" s="11">
        <f t="shared" si="956"/>
        <v>0</v>
      </c>
      <c r="P6100" s="12">
        <f t="shared" si="957"/>
        <v>0</v>
      </c>
      <c r="Q6100" s="17" t="str">
        <f t="shared" si="959"/>
        <v>Pas d'écart</v>
      </c>
    </row>
    <row r="6101" spans="1:17" x14ac:dyDescent="0.3">
      <c r="A6101" s="34" t="str">
        <f>base!J6101</f>
        <v>RS</v>
      </c>
      <c r="B6101" s="34" t="str">
        <f>base!V6101</f>
        <v>38300</v>
      </c>
      <c r="C6101" s="37">
        <v>38</v>
      </c>
      <c r="D6101" s="36">
        <f>base!H6101</f>
        <v>40</v>
      </c>
      <c r="E6101" s="44"/>
      <c r="F6101" s="16">
        <f>base!W6101</f>
        <v>0</v>
      </c>
      <c r="G6101" s="11">
        <f t="shared" si="950"/>
        <v>0</v>
      </c>
      <c r="H6101" s="11">
        <f t="shared" si="951"/>
        <v>10.8</v>
      </c>
      <c r="I6101" s="11">
        <f t="shared" si="952"/>
        <v>0.27</v>
      </c>
      <c r="J6101" s="12">
        <f t="shared" si="953"/>
        <v>-10.8</v>
      </c>
      <c r="K6101" s="17" t="str">
        <f t="shared" si="958"/>
        <v>Ecart négatif</v>
      </c>
      <c r="L6101" s="16">
        <f>base!X6101</f>
        <v>0</v>
      </c>
      <c r="M6101" s="11">
        <f t="shared" si="954"/>
        <v>0</v>
      </c>
      <c r="N6101" s="11">
        <f t="shared" si="955"/>
        <v>0</v>
      </c>
      <c r="O6101" s="11">
        <f t="shared" si="956"/>
        <v>0</v>
      </c>
      <c r="P6101" s="12">
        <f t="shared" si="957"/>
        <v>0</v>
      </c>
      <c r="Q6101" s="17" t="str">
        <f t="shared" si="959"/>
        <v>Pas d'écart</v>
      </c>
    </row>
    <row r="6102" spans="1:17" x14ac:dyDescent="0.3">
      <c r="A6102" s="34" t="str">
        <f>base!J6102</f>
        <v>RS</v>
      </c>
      <c r="B6102" s="34" t="str">
        <f>base!V6102</f>
        <v>49000</v>
      </c>
      <c r="C6102" s="37">
        <v>49</v>
      </c>
      <c r="D6102" s="36">
        <f>base!H6102</f>
        <v>172.73</v>
      </c>
      <c r="E6102" s="44"/>
      <c r="F6102" s="16">
        <f>base!W6102</f>
        <v>0</v>
      </c>
      <c r="G6102" s="11">
        <f t="shared" si="950"/>
        <v>0</v>
      </c>
      <c r="H6102" s="11">
        <f t="shared" si="951"/>
        <v>46.637100000000004</v>
      </c>
      <c r="I6102" s="11">
        <f t="shared" si="952"/>
        <v>0.27</v>
      </c>
      <c r="J6102" s="12">
        <f t="shared" si="953"/>
        <v>-46.637100000000004</v>
      </c>
      <c r="K6102" s="17" t="str">
        <f t="shared" si="958"/>
        <v>Ecart négatif</v>
      </c>
      <c r="L6102" s="16">
        <f>base!X6102</f>
        <v>0</v>
      </c>
      <c r="M6102" s="11">
        <f t="shared" si="954"/>
        <v>0</v>
      </c>
      <c r="N6102" s="11">
        <f t="shared" si="955"/>
        <v>0</v>
      </c>
      <c r="O6102" s="11">
        <f t="shared" si="956"/>
        <v>0</v>
      </c>
      <c r="P6102" s="12">
        <f t="shared" si="957"/>
        <v>0</v>
      </c>
      <c r="Q6102" s="17" t="str">
        <f t="shared" si="959"/>
        <v>Pas d'écart</v>
      </c>
    </row>
    <row r="6103" spans="1:17" x14ac:dyDescent="0.3">
      <c r="A6103" s="34">
        <f>base!J6103</f>
        <v>0</v>
      </c>
      <c r="B6103" s="34" t="str">
        <f>base!V6103</f>
        <v>77184</v>
      </c>
      <c r="C6103" s="37">
        <v>77</v>
      </c>
      <c r="D6103" s="36">
        <f>base!H6103</f>
        <v>147</v>
      </c>
      <c r="E6103" s="44"/>
      <c r="F6103" s="16">
        <f>base!W6103</f>
        <v>0</v>
      </c>
      <c r="G6103" s="11">
        <f t="shared" si="950"/>
        <v>0</v>
      </c>
      <c r="H6103" s="11">
        <f t="shared" si="951"/>
        <v>0</v>
      </c>
      <c r="I6103" s="11">
        <f t="shared" si="952"/>
        <v>0</v>
      </c>
      <c r="J6103" s="12">
        <f t="shared" si="953"/>
        <v>0</v>
      </c>
      <c r="K6103" s="17" t="str">
        <f t="shared" si="958"/>
        <v>Pas d'écart</v>
      </c>
      <c r="L6103" s="16">
        <f>base!X6103</f>
        <v>0</v>
      </c>
      <c r="M6103" s="11">
        <f t="shared" si="954"/>
        <v>0</v>
      </c>
      <c r="N6103" s="11">
        <f t="shared" si="955"/>
        <v>0</v>
      </c>
      <c r="O6103" s="11">
        <f t="shared" si="956"/>
        <v>0</v>
      </c>
      <c r="P6103" s="12">
        <f t="shared" si="957"/>
        <v>0</v>
      </c>
      <c r="Q6103" s="17" t="str">
        <f t="shared" si="959"/>
        <v>Pas d'écart</v>
      </c>
    </row>
    <row r="6104" spans="1:17" x14ac:dyDescent="0.3">
      <c r="A6104" s="34" t="str">
        <f>base!J6104</f>
        <v>LS</v>
      </c>
      <c r="B6104" s="34" t="str">
        <f>base!V6104</f>
        <v>17100</v>
      </c>
      <c r="C6104" s="37">
        <v>68</v>
      </c>
      <c r="D6104" s="36">
        <f>base!H6104</f>
        <v>131.97999999999999</v>
      </c>
      <c r="E6104" s="44"/>
      <c r="F6104" s="16">
        <f>base!W6104</f>
        <v>27.72</v>
      </c>
      <c r="G6104" s="11">
        <f t="shared" si="950"/>
        <v>0.21003182300348539</v>
      </c>
      <c r="H6104" s="11">
        <f t="shared" si="951"/>
        <v>38.274199999999993</v>
      </c>
      <c r="I6104" s="11">
        <f t="shared" si="952"/>
        <v>0.28999999999999998</v>
      </c>
      <c r="J6104" s="12">
        <f t="shared" si="953"/>
        <v>-10.554199999999994</v>
      </c>
      <c r="K6104" s="17" t="str">
        <f t="shared" si="958"/>
        <v>Ecart négatif</v>
      </c>
      <c r="L6104" s="16">
        <f>base!X6104</f>
        <v>0</v>
      </c>
      <c r="M6104" s="11">
        <f t="shared" si="954"/>
        <v>0</v>
      </c>
      <c r="N6104" s="11">
        <f t="shared" si="955"/>
        <v>10.558399999999999</v>
      </c>
      <c r="O6104" s="11">
        <f t="shared" si="956"/>
        <v>0.08</v>
      </c>
      <c r="P6104" s="12">
        <f t="shared" si="957"/>
        <v>-10.558399999999999</v>
      </c>
      <c r="Q6104" s="17" t="str">
        <f t="shared" si="959"/>
        <v>Ecart négatif</v>
      </c>
    </row>
    <row r="6105" spans="1:17" x14ac:dyDescent="0.3">
      <c r="A6105" s="34" t="str">
        <f>base!J6105</f>
        <v>LS</v>
      </c>
      <c r="B6105" s="34" t="str">
        <f>base!V6105</f>
        <v>17400</v>
      </c>
      <c r="C6105" s="37">
        <v>68</v>
      </c>
      <c r="D6105" s="36">
        <f>base!H6105</f>
        <v>131.97999999999999</v>
      </c>
      <c r="E6105" s="44"/>
      <c r="F6105" s="16">
        <f>base!W6105</f>
        <v>27.72</v>
      </c>
      <c r="G6105" s="11">
        <f t="shared" si="950"/>
        <v>0.21003182300348539</v>
      </c>
      <c r="H6105" s="11">
        <f t="shared" si="951"/>
        <v>38.274199999999993</v>
      </c>
      <c r="I6105" s="11">
        <f t="shared" si="952"/>
        <v>0.28999999999999998</v>
      </c>
      <c r="J6105" s="12">
        <f t="shared" si="953"/>
        <v>-10.554199999999994</v>
      </c>
      <c r="K6105" s="17" t="str">
        <f t="shared" si="958"/>
        <v>Ecart négatif</v>
      </c>
      <c r="L6105" s="16">
        <f>base!X6105</f>
        <v>0</v>
      </c>
      <c r="M6105" s="11">
        <f t="shared" si="954"/>
        <v>0</v>
      </c>
      <c r="N6105" s="11">
        <f t="shared" si="955"/>
        <v>10.558399999999999</v>
      </c>
      <c r="O6105" s="11">
        <f t="shared" si="956"/>
        <v>0.08</v>
      </c>
      <c r="P6105" s="12">
        <f t="shared" si="957"/>
        <v>-10.558399999999999</v>
      </c>
      <c r="Q6105" s="17" t="str">
        <f t="shared" si="959"/>
        <v>Ecart négatif</v>
      </c>
    </row>
    <row r="6106" spans="1:17" x14ac:dyDescent="0.3">
      <c r="A6106" s="34" t="str">
        <f>base!J6106</f>
        <v>LS</v>
      </c>
      <c r="B6106" s="34" t="str">
        <f>base!V6106</f>
        <v>17000</v>
      </c>
      <c r="C6106" s="37">
        <v>68</v>
      </c>
      <c r="D6106" s="36">
        <f>base!H6106</f>
        <v>131.97999999999999</v>
      </c>
      <c r="E6106" s="44"/>
      <c r="F6106" s="16">
        <f>base!W6106</f>
        <v>27.72</v>
      </c>
      <c r="G6106" s="11">
        <f t="shared" si="950"/>
        <v>0.21003182300348539</v>
      </c>
      <c r="H6106" s="11">
        <f t="shared" si="951"/>
        <v>38.274199999999993</v>
      </c>
      <c r="I6106" s="11">
        <f t="shared" si="952"/>
        <v>0.28999999999999998</v>
      </c>
      <c r="J6106" s="12">
        <f t="shared" si="953"/>
        <v>-10.554199999999994</v>
      </c>
      <c r="K6106" s="17" t="str">
        <f t="shared" si="958"/>
        <v>Ecart négatif</v>
      </c>
      <c r="L6106" s="16">
        <f>base!X6106</f>
        <v>0</v>
      </c>
      <c r="M6106" s="11">
        <f t="shared" si="954"/>
        <v>0</v>
      </c>
      <c r="N6106" s="11">
        <f t="shared" si="955"/>
        <v>10.558399999999999</v>
      </c>
      <c r="O6106" s="11">
        <f t="shared" si="956"/>
        <v>0.08</v>
      </c>
      <c r="P6106" s="12">
        <f t="shared" si="957"/>
        <v>-10.558399999999999</v>
      </c>
      <c r="Q6106" s="17" t="str">
        <f t="shared" si="959"/>
        <v>Ecart négatif</v>
      </c>
    </row>
    <row r="6107" spans="1:17" x14ac:dyDescent="0.3">
      <c r="A6107" s="34" t="str">
        <f>base!J6107</f>
        <v>DLS</v>
      </c>
      <c r="B6107" s="34" t="str">
        <f>base!V6107</f>
        <v>34400</v>
      </c>
      <c r="C6107" s="37">
        <v>34</v>
      </c>
      <c r="D6107" s="36">
        <f>base!H6107</f>
        <v>0</v>
      </c>
      <c r="E6107" s="44"/>
      <c r="F6107" s="16">
        <f>base!W6107</f>
        <v>0</v>
      </c>
      <c r="G6107" s="11" t="e">
        <f t="shared" si="950"/>
        <v>#DIV/0!</v>
      </c>
      <c r="H6107" s="11">
        <f t="shared" si="951"/>
        <v>0</v>
      </c>
      <c r="I6107" s="11" t="e">
        <f t="shared" si="952"/>
        <v>#DIV/0!</v>
      </c>
      <c r="J6107" s="12">
        <f t="shared" si="953"/>
        <v>0</v>
      </c>
      <c r="K6107" s="17" t="str">
        <f t="shared" si="958"/>
        <v>Pas d'écart</v>
      </c>
      <c r="L6107" s="16">
        <f>base!X6107</f>
        <v>0</v>
      </c>
      <c r="M6107" s="11" t="e">
        <f t="shared" si="954"/>
        <v>#DIV/0!</v>
      </c>
      <c r="N6107" s="11">
        <f t="shared" si="955"/>
        <v>0</v>
      </c>
      <c r="O6107" s="11" t="e">
        <f t="shared" si="956"/>
        <v>#DIV/0!</v>
      </c>
      <c r="P6107" s="12">
        <f t="shared" si="957"/>
        <v>0</v>
      </c>
      <c r="Q6107" s="17" t="str">
        <f t="shared" si="959"/>
        <v>Pas d'écart</v>
      </c>
    </row>
    <row r="6108" spans="1:17" x14ac:dyDescent="0.3">
      <c r="A6108" s="34" t="str">
        <f>base!J6108</f>
        <v>LS</v>
      </c>
      <c r="B6108" s="34" t="str">
        <f>base!V6108</f>
        <v>69009</v>
      </c>
      <c r="C6108" s="37">
        <v>69</v>
      </c>
      <c r="D6108" s="36">
        <f>base!H6108</f>
        <v>40</v>
      </c>
      <c r="E6108" s="44"/>
      <c r="F6108" s="16">
        <f>base!W6108</f>
        <v>10.8</v>
      </c>
      <c r="G6108" s="11">
        <f t="shared" si="950"/>
        <v>0.27</v>
      </c>
      <c r="H6108" s="11">
        <f t="shared" si="951"/>
        <v>10.8</v>
      </c>
      <c r="I6108" s="11">
        <f t="shared" si="952"/>
        <v>0.27</v>
      </c>
      <c r="J6108" s="12">
        <f t="shared" si="953"/>
        <v>0</v>
      </c>
      <c r="K6108" s="17" t="str">
        <f t="shared" si="958"/>
        <v>Pas d'écart</v>
      </c>
      <c r="L6108" s="16">
        <f>base!X6108</f>
        <v>0</v>
      </c>
      <c r="M6108" s="11">
        <f t="shared" si="954"/>
        <v>0</v>
      </c>
      <c r="N6108" s="11">
        <f t="shared" si="955"/>
        <v>0</v>
      </c>
      <c r="O6108" s="11">
        <f t="shared" si="956"/>
        <v>0</v>
      </c>
      <c r="P6108" s="12">
        <f t="shared" si="957"/>
        <v>0</v>
      </c>
      <c r="Q6108" s="17" t="str">
        <f t="shared" si="959"/>
        <v>Pas d'écart</v>
      </c>
    </row>
    <row r="6109" spans="1:17" x14ac:dyDescent="0.3">
      <c r="A6109" s="34" t="str">
        <f>base!J6109</f>
        <v>LS</v>
      </c>
      <c r="B6109" s="34" t="str">
        <f>base!V6109</f>
        <v>69124</v>
      </c>
      <c r="C6109" s="37">
        <v>68</v>
      </c>
      <c r="D6109" s="36">
        <f>base!H6109</f>
        <v>8.07</v>
      </c>
      <c r="E6109" s="44"/>
      <c r="F6109" s="16">
        <f>base!W6109</f>
        <v>2.1800000000000002</v>
      </c>
      <c r="G6109" s="11">
        <f t="shared" si="950"/>
        <v>0.2701363073110285</v>
      </c>
      <c r="H6109" s="11">
        <f t="shared" si="951"/>
        <v>2.3403</v>
      </c>
      <c r="I6109" s="11">
        <f t="shared" si="952"/>
        <v>0.28999999999999998</v>
      </c>
      <c r="J6109" s="12">
        <f t="shared" si="953"/>
        <v>-0.16029999999999989</v>
      </c>
      <c r="K6109" s="17" t="str">
        <f t="shared" si="958"/>
        <v>Ecart négatif</v>
      </c>
      <c r="L6109" s="16">
        <f>base!X6109</f>
        <v>0</v>
      </c>
      <c r="M6109" s="11">
        <f t="shared" si="954"/>
        <v>0</v>
      </c>
      <c r="N6109" s="11">
        <f t="shared" si="955"/>
        <v>0.64560000000000006</v>
      </c>
      <c r="O6109" s="11">
        <f t="shared" si="956"/>
        <v>0.08</v>
      </c>
      <c r="P6109" s="12">
        <f t="shared" si="957"/>
        <v>-0.64560000000000006</v>
      </c>
      <c r="Q6109" s="17" t="str">
        <f t="shared" si="959"/>
        <v>Ecart négatif</v>
      </c>
    </row>
    <row r="6110" spans="1:17" x14ac:dyDescent="0.3">
      <c r="A6110" s="34" t="str">
        <f>base!J6110</f>
        <v>LS</v>
      </c>
      <c r="B6110" s="34" t="str">
        <f>base!V6110</f>
        <v>34970</v>
      </c>
      <c r="C6110" s="37">
        <v>19</v>
      </c>
      <c r="D6110" s="36">
        <f>base!H6110</f>
        <v>7.99</v>
      </c>
      <c r="E6110" s="44"/>
      <c r="F6110" s="16">
        <f>base!W6110</f>
        <v>3.12</v>
      </c>
      <c r="G6110" s="11">
        <f t="shared" si="950"/>
        <v>0.3904881101376721</v>
      </c>
      <c r="H6110" s="11">
        <f t="shared" si="951"/>
        <v>2.3170999999999999</v>
      </c>
      <c r="I6110" s="11">
        <f t="shared" si="952"/>
        <v>0.28999999999999998</v>
      </c>
      <c r="J6110" s="12">
        <f t="shared" si="953"/>
        <v>0.80290000000000017</v>
      </c>
      <c r="K6110" s="17" t="str">
        <f t="shared" si="958"/>
        <v>Ecart positif</v>
      </c>
      <c r="L6110" s="16">
        <f>base!X6110</f>
        <v>0</v>
      </c>
      <c r="M6110" s="11">
        <f t="shared" si="954"/>
        <v>0</v>
      </c>
      <c r="N6110" s="11">
        <f t="shared" si="955"/>
        <v>0.95879999999999999</v>
      </c>
      <c r="O6110" s="11">
        <f t="shared" si="956"/>
        <v>0.12</v>
      </c>
      <c r="P6110" s="12">
        <f t="shared" si="957"/>
        <v>-0.95879999999999999</v>
      </c>
      <c r="Q6110" s="17" t="str">
        <f t="shared" si="959"/>
        <v>Ecart négatif</v>
      </c>
    </row>
    <row r="6111" spans="1:17" x14ac:dyDescent="0.3">
      <c r="A6111" s="34" t="str">
        <f>base!J6111</f>
        <v>LS</v>
      </c>
      <c r="B6111" s="34" t="str">
        <f>base!V6111</f>
        <v>75012</v>
      </c>
      <c r="C6111" s="37">
        <v>75</v>
      </c>
      <c r="D6111" s="36">
        <f>base!H6111</f>
        <v>30</v>
      </c>
      <c r="E6111" s="44"/>
      <c r="F6111" s="16">
        <f>base!W6111</f>
        <v>0</v>
      </c>
      <c r="G6111" s="11">
        <f t="shared" si="950"/>
        <v>0</v>
      </c>
      <c r="H6111" s="11">
        <f t="shared" si="951"/>
        <v>0</v>
      </c>
      <c r="I6111" s="11">
        <f t="shared" si="952"/>
        <v>0</v>
      </c>
      <c r="J6111" s="12">
        <f t="shared" si="953"/>
        <v>0</v>
      </c>
      <c r="K6111" s="17" t="str">
        <f t="shared" si="958"/>
        <v>Pas d'écart</v>
      </c>
      <c r="L6111" s="16">
        <f>base!X6111</f>
        <v>0</v>
      </c>
      <c r="M6111" s="11">
        <f t="shared" si="954"/>
        <v>0</v>
      </c>
      <c r="N6111" s="11">
        <f t="shared" si="955"/>
        <v>0</v>
      </c>
      <c r="O6111" s="11">
        <f t="shared" si="956"/>
        <v>0</v>
      </c>
      <c r="P6111" s="12">
        <f t="shared" si="957"/>
        <v>0</v>
      </c>
      <c r="Q6111" s="17" t="str">
        <f t="shared" si="959"/>
        <v>Pas d'écart</v>
      </c>
    </row>
    <row r="6112" spans="1:17" x14ac:dyDescent="0.3">
      <c r="A6112" s="34" t="str">
        <f>base!J6112</f>
        <v>LM</v>
      </c>
      <c r="B6112" s="34" t="str">
        <f>base!V6112</f>
        <v>92200</v>
      </c>
      <c r="C6112" s="37">
        <v>92</v>
      </c>
      <c r="D6112" s="36">
        <f>base!H6112</f>
        <v>30</v>
      </c>
      <c r="E6112" s="44"/>
      <c r="F6112" s="16">
        <f>base!W6112</f>
        <v>0</v>
      </c>
      <c r="G6112" s="11">
        <f t="shared" si="950"/>
        <v>0</v>
      </c>
      <c r="H6112" s="11">
        <f t="shared" si="951"/>
        <v>0</v>
      </c>
      <c r="I6112" s="11">
        <f t="shared" si="952"/>
        <v>0</v>
      </c>
      <c r="J6112" s="12">
        <f t="shared" si="953"/>
        <v>0</v>
      </c>
      <c r="K6112" s="17" t="str">
        <f t="shared" si="958"/>
        <v>Pas d'écart</v>
      </c>
      <c r="L6112" s="16">
        <f>base!X6112</f>
        <v>0</v>
      </c>
      <c r="M6112" s="11">
        <f t="shared" si="954"/>
        <v>0</v>
      </c>
      <c r="N6112" s="11">
        <f t="shared" si="955"/>
        <v>0</v>
      </c>
      <c r="O6112" s="11">
        <f t="shared" si="956"/>
        <v>0</v>
      </c>
      <c r="P6112" s="12">
        <f t="shared" si="957"/>
        <v>0</v>
      </c>
      <c r="Q6112" s="17" t="str">
        <f t="shared" si="959"/>
        <v>Pas d'écart</v>
      </c>
    </row>
    <row r="6113" spans="1:18" x14ac:dyDescent="0.3">
      <c r="A6113" s="34" t="str">
        <f>base!J6113</f>
        <v>RM</v>
      </c>
      <c r="B6113" s="34" t="str">
        <f>base!V6113</f>
        <v>30300</v>
      </c>
      <c r="C6113" s="37">
        <v>30</v>
      </c>
      <c r="D6113" s="36">
        <f>base!H6113</f>
        <v>159</v>
      </c>
      <c r="E6113" s="44"/>
      <c r="F6113" s="16">
        <f>base!W6113</f>
        <v>0</v>
      </c>
      <c r="G6113" s="11">
        <f t="shared" si="950"/>
        <v>0</v>
      </c>
      <c r="H6113" s="11">
        <f t="shared" si="951"/>
        <v>62.010000000000005</v>
      </c>
      <c r="I6113" s="11">
        <f t="shared" si="952"/>
        <v>0.39</v>
      </c>
      <c r="J6113" s="12">
        <f t="shared" si="953"/>
        <v>-62.010000000000005</v>
      </c>
      <c r="K6113" s="17" t="str">
        <f t="shared" si="958"/>
        <v>Ecart négatif</v>
      </c>
      <c r="L6113" s="16">
        <f>base!X6113</f>
        <v>62.01</v>
      </c>
      <c r="M6113" s="11">
        <f t="shared" si="954"/>
        <v>0.39</v>
      </c>
      <c r="N6113" s="11">
        <f t="shared" si="955"/>
        <v>44.52</v>
      </c>
      <c r="O6113" s="11">
        <f t="shared" si="956"/>
        <v>0.28000000000000003</v>
      </c>
      <c r="P6113" s="12">
        <f t="shared" si="957"/>
        <v>17.489999999999995</v>
      </c>
      <c r="Q6113" s="17" t="str">
        <f t="shared" si="959"/>
        <v>Ecart positif</v>
      </c>
      <c r="R6113" s="38"/>
    </row>
    <row r="6114" spans="1:18" x14ac:dyDescent="0.3">
      <c r="A6114" s="34" t="str">
        <f>base!J6114</f>
        <v>RM</v>
      </c>
      <c r="B6114" s="34" t="str">
        <f>base!V6114</f>
        <v>14000</v>
      </c>
      <c r="C6114" s="37">
        <v>14</v>
      </c>
      <c r="D6114" s="36">
        <f>base!H6114</f>
        <v>154.30000000000001</v>
      </c>
      <c r="E6114" s="44"/>
      <c r="F6114" s="16">
        <f>base!W6114</f>
        <v>0</v>
      </c>
      <c r="G6114" s="11">
        <f t="shared" si="950"/>
        <v>0</v>
      </c>
      <c r="H6114" s="11">
        <f t="shared" si="951"/>
        <v>26.231000000000005</v>
      </c>
      <c r="I6114" s="11">
        <f t="shared" si="952"/>
        <v>0.17</v>
      </c>
      <c r="J6114" s="12">
        <f t="shared" si="953"/>
        <v>-26.231000000000005</v>
      </c>
      <c r="K6114" s="17" t="str">
        <f t="shared" si="958"/>
        <v>Ecart négatif</v>
      </c>
      <c r="L6114" s="16">
        <f>base!X6114</f>
        <v>26.23</v>
      </c>
      <c r="M6114" s="11">
        <f t="shared" si="954"/>
        <v>0.16999351911860011</v>
      </c>
      <c r="N6114" s="11">
        <f t="shared" si="955"/>
        <v>26.231000000000005</v>
      </c>
      <c r="O6114" s="11">
        <f t="shared" si="956"/>
        <v>0.17</v>
      </c>
      <c r="P6114" s="12">
        <f t="shared" si="957"/>
        <v>-1.0000000000047748E-3</v>
      </c>
      <c r="Q6114" s="17" t="str">
        <f t="shared" si="959"/>
        <v>Ecart négatif</v>
      </c>
      <c r="R6114" s="38"/>
    </row>
    <row r="6115" spans="1:18" x14ac:dyDescent="0.3">
      <c r="A6115" s="34" t="str">
        <f>base!J6115</f>
        <v>RM</v>
      </c>
      <c r="B6115" s="34" t="str">
        <f>base!V6115</f>
        <v>38420</v>
      </c>
      <c r="C6115" s="37">
        <v>38</v>
      </c>
      <c r="D6115" s="36">
        <f>base!H6115</f>
        <v>199.92</v>
      </c>
      <c r="E6115" s="44"/>
      <c r="F6115" s="16">
        <f>base!W6115</f>
        <v>0</v>
      </c>
      <c r="G6115" s="11">
        <f t="shared" si="950"/>
        <v>0</v>
      </c>
      <c r="H6115" s="11">
        <f t="shared" si="951"/>
        <v>53.978400000000001</v>
      </c>
      <c r="I6115" s="11">
        <f t="shared" si="952"/>
        <v>0.27</v>
      </c>
      <c r="J6115" s="12">
        <f t="shared" si="953"/>
        <v>-53.978400000000001</v>
      </c>
      <c r="K6115" s="17" t="str">
        <f t="shared" si="958"/>
        <v>Ecart négatif</v>
      </c>
      <c r="L6115" s="16">
        <f>base!X6115</f>
        <v>0</v>
      </c>
      <c r="M6115" s="11">
        <f t="shared" si="954"/>
        <v>0</v>
      </c>
      <c r="N6115" s="11">
        <f t="shared" si="955"/>
        <v>0</v>
      </c>
      <c r="O6115" s="11">
        <f t="shared" si="956"/>
        <v>0</v>
      </c>
      <c r="P6115" s="12">
        <f t="shared" si="957"/>
        <v>0</v>
      </c>
      <c r="Q6115" s="17" t="str">
        <f t="shared" si="959"/>
        <v>Pas d'écart</v>
      </c>
    </row>
    <row r="6116" spans="1:18" x14ac:dyDescent="0.3">
      <c r="A6116" s="34" t="str">
        <f>base!J6116</f>
        <v>RM</v>
      </c>
      <c r="B6116" s="34" t="str">
        <f>base!V6116</f>
        <v>42230</v>
      </c>
      <c r="C6116" s="37">
        <v>42</v>
      </c>
      <c r="D6116" s="36">
        <f>base!H6116</f>
        <v>180</v>
      </c>
      <c r="E6116" s="44"/>
      <c r="F6116" s="16">
        <f>base!W6116</f>
        <v>0</v>
      </c>
      <c r="G6116" s="11">
        <f t="shared" si="950"/>
        <v>0</v>
      </c>
      <c r="H6116" s="11">
        <f t="shared" si="951"/>
        <v>46.800000000000004</v>
      </c>
      <c r="I6116" s="11">
        <f t="shared" si="952"/>
        <v>0.26</v>
      </c>
      <c r="J6116" s="12">
        <f t="shared" si="953"/>
        <v>-46.800000000000004</v>
      </c>
      <c r="K6116" s="17" t="str">
        <f t="shared" si="958"/>
        <v>Ecart négatif</v>
      </c>
      <c r="L6116" s="16">
        <f>base!X6116</f>
        <v>0</v>
      </c>
      <c r="M6116" s="11">
        <f t="shared" si="954"/>
        <v>0</v>
      </c>
      <c r="N6116" s="11">
        <f t="shared" si="955"/>
        <v>0</v>
      </c>
      <c r="O6116" s="11">
        <f t="shared" si="956"/>
        <v>0</v>
      </c>
      <c r="P6116" s="12">
        <f t="shared" si="957"/>
        <v>0</v>
      </c>
      <c r="Q6116" s="17" t="str">
        <f t="shared" si="959"/>
        <v>Pas d'écart</v>
      </c>
    </row>
    <row r="6117" spans="1:18" x14ac:dyDescent="0.3">
      <c r="A6117" s="34" t="str">
        <f>base!J6117</f>
        <v>RM</v>
      </c>
      <c r="B6117" s="34" t="str">
        <f>base!V6117</f>
        <v>69002</v>
      </c>
      <c r="C6117" s="37">
        <v>69</v>
      </c>
      <c r="D6117" s="36">
        <f>base!H6117</f>
        <v>36.89</v>
      </c>
      <c r="E6117" s="44"/>
      <c r="F6117" s="16">
        <f>base!W6117</f>
        <v>0</v>
      </c>
      <c r="G6117" s="11">
        <f t="shared" si="950"/>
        <v>0</v>
      </c>
      <c r="H6117" s="11">
        <f t="shared" si="951"/>
        <v>9.9603000000000002</v>
      </c>
      <c r="I6117" s="11">
        <f t="shared" si="952"/>
        <v>0.27</v>
      </c>
      <c r="J6117" s="12">
        <f t="shared" si="953"/>
        <v>-9.9603000000000002</v>
      </c>
      <c r="K6117" s="17" t="str">
        <f t="shared" si="958"/>
        <v>Ecart négatif</v>
      </c>
      <c r="L6117" s="16">
        <f>base!X6117</f>
        <v>0</v>
      </c>
      <c r="M6117" s="11">
        <f t="shared" si="954"/>
        <v>0</v>
      </c>
      <c r="N6117" s="11">
        <f t="shared" si="955"/>
        <v>0</v>
      </c>
      <c r="O6117" s="11">
        <f t="shared" si="956"/>
        <v>0</v>
      </c>
      <c r="P6117" s="12">
        <f t="shared" si="957"/>
        <v>0</v>
      </c>
      <c r="Q6117" s="17" t="str">
        <f t="shared" si="959"/>
        <v>Pas d'écart</v>
      </c>
    </row>
    <row r="6118" spans="1:18" x14ac:dyDescent="0.3">
      <c r="A6118" s="34" t="str">
        <f>base!J6118</f>
        <v>RS</v>
      </c>
      <c r="B6118" s="34" t="str">
        <f>base!V6118</f>
        <v>67000</v>
      </c>
      <c r="C6118" s="37">
        <v>67</v>
      </c>
      <c r="D6118" s="36">
        <f>base!H6118</f>
        <v>40</v>
      </c>
      <c r="E6118" s="44"/>
      <c r="F6118" s="16">
        <f>base!W6118</f>
        <v>0</v>
      </c>
      <c r="G6118" s="11">
        <f t="shared" si="950"/>
        <v>0</v>
      </c>
      <c r="H6118" s="11">
        <f t="shared" si="951"/>
        <v>11.6</v>
      </c>
      <c r="I6118" s="11">
        <f t="shared" si="952"/>
        <v>0.28999999999999998</v>
      </c>
      <c r="J6118" s="12">
        <f t="shared" si="953"/>
        <v>-11.6</v>
      </c>
      <c r="K6118" s="17" t="str">
        <f t="shared" si="958"/>
        <v>Ecart négatif</v>
      </c>
      <c r="L6118" s="16">
        <f>base!X6118</f>
        <v>3.2</v>
      </c>
      <c r="M6118" s="11">
        <f t="shared" si="954"/>
        <v>0.08</v>
      </c>
      <c r="N6118" s="11">
        <f t="shared" si="955"/>
        <v>3.2</v>
      </c>
      <c r="O6118" s="11">
        <f t="shared" si="956"/>
        <v>0.08</v>
      </c>
      <c r="P6118" s="12">
        <f t="shared" si="957"/>
        <v>0</v>
      </c>
      <c r="Q6118" s="17" t="str">
        <f t="shared" si="959"/>
        <v>Pas d'écart</v>
      </c>
      <c r="R6118" s="38"/>
    </row>
    <row r="6119" spans="1:18" x14ac:dyDescent="0.3">
      <c r="A6119" s="34" t="str">
        <f>base!J6119</f>
        <v>RM</v>
      </c>
      <c r="B6119" s="34" t="str">
        <f>base!V6119</f>
        <v>69120</v>
      </c>
      <c r="C6119" s="37">
        <v>69</v>
      </c>
      <c r="D6119" s="36">
        <f>base!H6119</f>
        <v>40</v>
      </c>
      <c r="E6119" s="44"/>
      <c r="F6119" s="16">
        <f>base!W6119</f>
        <v>0</v>
      </c>
      <c r="G6119" s="11">
        <f t="shared" si="950"/>
        <v>0</v>
      </c>
      <c r="H6119" s="11">
        <f t="shared" si="951"/>
        <v>10.8</v>
      </c>
      <c r="I6119" s="11">
        <f t="shared" si="952"/>
        <v>0.27</v>
      </c>
      <c r="J6119" s="12">
        <f t="shared" si="953"/>
        <v>-10.8</v>
      </c>
      <c r="K6119" s="17" t="str">
        <f t="shared" si="958"/>
        <v>Ecart négatif</v>
      </c>
      <c r="L6119" s="16">
        <f>base!X6119</f>
        <v>0</v>
      </c>
      <c r="M6119" s="11">
        <f t="shared" si="954"/>
        <v>0</v>
      </c>
      <c r="N6119" s="11">
        <f t="shared" si="955"/>
        <v>0</v>
      </c>
      <c r="O6119" s="11">
        <f t="shared" si="956"/>
        <v>0</v>
      </c>
      <c r="P6119" s="12">
        <f t="shared" si="957"/>
        <v>0</v>
      </c>
      <c r="Q6119" s="17" t="str">
        <f t="shared" si="959"/>
        <v>Pas d'écart</v>
      </c>
    </row>
    <row r="6120" spans="1:18" x14ac:dyDescent="0.3">
      <c r="A6120" s="34" t="str">
        <f>base!J6120</f>
        <v>RM</v>
      </c>
      <c r="B6120" s="34" t="str">
        <f>base!V6120</f>
        <v>13856</v>
      </c>
      <c r="C6120" s="37">
        <v>13</v>
      </c>
      <c r="D6120" s="36">
        <f>base!H6120</f>
        <v>110.91</v>
      </c>
      <c r="E6120" s="44"/>
      <c r="F6120" s="16">
        <f>base!W6120</f>
        <v>0</v>
      </c>
      <c r="G6120" s="11">
        <f t="shared" si="950"/>
        <v>0</v>
      </c>
      <c r="H6120" s="11">
        <f t="shared" si="951"/>
        <v>32.163899999999998</v>
      </c>
      <c r="I6120" s="11">
        <f t="shared" si="952"/>
        <v>0.28999999999999998</v>
      </c>
      <c r="J6120" s="12">
        <f t="shared" si="953"/>
        <v>-32.163899999999998</v>
      </c>
      <c r="K6120" s="17" t="str">
        <f t="shared" si="958"/>
        <v>Ecart négatif</v>
      </c>
      <c r="L6120" s="16">
        <f>base!X6120</f>
        <v>0</v>
      </c>
      <c r="M6120" s="11">
        <f t="shared" si="954"/>
        <v>0</v>
      </c>
      <c r="N6120" s="11">
        <f t="shared" si="955"/>
        <v>21.072900000000001</v>
      </c>
      <c r="O6120" s="11">
        <f t="shared" si="956"/>
        <v>0.19</v>
      </c>
      <c r="P6120" s="12">
        <f t="shared" si="957"/>
        <v>-21.072900000000001</v>
      </c>
      <c r="Q6120" s="17" t="str">
        <f t="shared" si="959"/>
        <v>Ecart négatif</v>
      </c>
    </row>
    <row r="6121" spans="1:18" x14ac:dyDescent="0.3">
      <c r="A6121" s="34" t="str">
        <f>base!J6121</f>
        <v>RS</v>
      </c>
      <c r="B6121" s="34" t="str">
        <f>base!V6121</f>
        <v>84140</v>
      </c>
      <c r="C6121" s="37">
        <v>84</v>
      </c>
      <c r="D6121" s="36">
        <f>base!H6121</f>
        <v>40</v>
      </c>
      <c r="E6121" s="44"/>
      <c r="F6121" s="16">
        <f>base!W6121</f>
        <v>0</v>
      </c>
      <c r="G6121" s="11">
        <f t="shared" si="950"/>
        <v>0</v>
      </c>
      <c r="H6121" s="11">
        <f t="shared" si="951"/>
        <v>11.6</v>
      </c>
      <c r="I6121" s="11">
        <f t="shared" si="952"/>
        <v>0.28999999999999998</v>
      </c>
      <c r="J6121" s="12">
        <f t="shared" si="953"/>
        <v>-11.6</v>
      </c>
      <c r="K6121" s="17" t="str">
        <f t="shared" si="958"/>
        <v>Ecart négatif</v>
      </c>
      <c r="L6121" s="16">
        <f>base!X6121</f>
        <v>7.6</v>
      </c>
      <c r="M6121" s="11">
        <f t="shared" si="954"/>
        <v>0.19</v>
      </c>
      <c r="N6121" s="11">
        <f t="shared" si="955"/>
        <v>7.6</v>
      </c>
      <c r="O6121" s="11">
        <f t="shared" si="956"/>
        <v>0.19</v>
      </c>
      <c r="P6121" s="12">
        <f t="shared" si="957"/>
        <v>0</v>
      </c>
      <c r="Q6121" s="17" t="str">
        <f t="shared" si="959"/>
        <v>Pas d'écart</v>
      </c>
      <c r="R6121" s="38"/>
    </row>
    <row r="6122" spans="1:18" x14ac:dyDescent="0.3">
      <c r="A6122" s="34" t="str">
        <f>base!J6122</f>
        <v>RS</v>
      </c>
      <c r="B6122" s="34" t="str">
        <f>base!V6122</f>
        <v>30000</v>
      </c>
      <c r="C6122" s="37">
        <v>30</v>
      </c>
      <c r="D6122" s="36">
        <f>base!H6122</f>
        <v>180</v>
      </c>
      <c r="E6122" s="44"/>
      <c r="F6122" s="16">
        <f>base!W6122</f>
        <v>0</v>
      </c>
      <c r="G6122" s="11">
        <f t="shared" si="950"/>
        <v>0</v>
      </c>
      <c r="H6122" s="11">
        <f t="shared" si="951"/>
        <v>70.2</v>
      </c>
      <c r="I6122" s="11">
        <f t="shared" si="952"/>
        <v>0.39</v>
      </c>
      <c r="J6122" s="12">
        <f t="shared" si="953"/>
        <v>-70.2</v>
      </c>
      <c r="K6122" s="17" t="str">
        <f t="shared" si="958"/>
        <v>Ecart négatif</v>
      </c>
      <c r="L6122" s="16">
        <f>base!X6122</f>
        <v>0</v>
      </c>
      <c r="M6122" s="11">
        <f t="shared" si="954"/>
        <v>0</v>
      </c>
      <c r="N6122" s="11">
        <f t="shared" si="955"/>
        <v>50.400000000000006</v>
      </c>
      <c r="O6122" s="11">
        <f t="shared" si="956"/>
        <v>0.28000000000000003</v>
      </c>
      <c r="P6122" s="12">
        <f t="shared" si="957"/>
        <v>-50.400000000000006</v>
      </c>
      <c r="Q6122" s="17" t="str">
        <f t="shared" si="959"/>
        <v>Ecart négatif</v>
      </c>
    </row>
    <row r="6123" spans="1:18" x14ac:dyDescent="0.3">
      <c r="A6123" s="34" t="str">
        <f>base!J6123</f>
        <v>RS</v>
      </c>
      <c r="B6123" s="34" t="str">
        <f>base!V6123</f>
        <v>34000</v>
      </c>
      <c r="C6123" s="37">
        <v>34</v>
      </c>
      <c r="D6123" s="36">
        <f>base!H6123</f>
        <v>33</v>
      </c>
      <c r="E6123" s="44"/>
      <c r="F6123" s="16">
        <f>base!W6123</f>
        <v>0</v>
      </c>
      <c r="G6123" s="11">
        <f t="shared" si="950"/>
        <v>0</v>
      </c>
      <c r="H6123" s="11">
        <f t="shared" si="951"/>
        <v>12.870000000000001</v>
      </c>
      <c r="I6123" s="11">
        <f t="shared" si="952"/>
        <v>0.39</v>
      </c>
      <c r="J6123" s="12">
        <f t="shared" si="953"/>
        <v>-12.870000000000001</v>
      </c>
      <c r="K6123" s="17" t="str">
        <f t="shared" si="958"/>
        <v>Ecart négatif</v>
      </c>
      <c r="L6123" s="16">
        <f>base!X6123</f>
        <v>0</v>
      </c>
      <c r="M6123" s="11">
        <f t="shared" si="954"/>
        <v>0</v>
      </c>
      <c r="N6123" s="11">
        <f t="shared" si="955"/>
        <v>9.24</v>
      </c>
      <c r="O6123" s="11">
        <f t="shared" si="956"/>
        <v>0.28000000000000003</v>
      </c>
      <c r="P6123" s="12">
        <f t="shared" si="957"/>
        <v>-9.24</v>
      </c>
      <c r="Q6123" s="17" t="str">
        <f t="shared" si="959"/>
        <v>Ecart négatif</v>
      </c>
    </row>
    <row r="6124" spans="1:18" x14ac:dyDescent="0.3">
      <c r="A6124" s="34" t="str">
        <f>base!J6124</f>
        <v>RM</v>
      </c>
      <c r="B6124" s="34" t="str">
        <f>base!V6124</f>
        <v>06000</v>
      </c>
      <c r="C6124" s="37">
        <v>6</v>
      </c>
      <c r="D6124" s="36">
        <f>base!H6124</f>
        <v>26.6</v>
      </c>
      <c r="E6124" s="44"/>
      <c r="F6124" s="16">
        <f>base!W6124</f>
        <v>0</v>
      </c>
      <c r="G6124" s="11">
        <f t="shared" si="950"/>
        <v>0</v>
      </c>
      <c r="H6124" s="11">
        <f t="shared" si="951"/>
        <v>7.98</v>
      </c>
      <c r="I6124" s="11">
        <f t="shared" si="952"/>
        <v>0.3</v>
      </c>
      <c r="J6124" s="12">
        <f t="shared" si="953"/>
        <v>-7.98</v>
      </c>
      <c r="K6124" s="17" t="str">
        <f t="shared" si="958"/>
        <v>Ecart négatif</v>
      </c>
      <c r="L6124" s="16">
        <f>base!X6124</f>
        <v>5.59</v>
      </c>
      <c r="M6124" s="11">
        <f t="shared" si="954"/>
        <v>0.21015037593984962</v>
      </c>
      <c r="N6124" s="11">
        <f t="shared" si="955"/>
        <v>5.5860000000000003</v>
      </c>
      <c r="O6124" s="11">
        <f t="shared" si="956"/>
        <v>0.21</v>
      </c>
      <c r="P6124" s="12">
        <f t="shared" si="957"/>
        <v>3.9999999999995595E-3</v>
      </c>
      <c r="Q6124" s="17" t="str">
        <f t="shared" si="959"/>
        <v>Ecart positif</v>
      </c>
      <c r="R6124" s="38"/>
    </row>
    <row r="6125" spans="1:18" x14ac:dyDescent="0.3">
      <c r="A6125" s="34">
        <f>base!J6125</f>
        <v>0</v>
      </c>
      <c r="B6125" s="34" t="str">
        <f>base!V6125</f>
        <v>69380</v>
      </c>
      <c r="C6125" s="37">
        <v>69</v>
      </c>
      <c r="D6125" s="36">
        <f>base!H6125</f>
        <v>151</v>
      </c>
      <c r="E6125" s="44"/>
      <c r="F6125" s="16">
        <f>base!W6125</f>
        <v>0</v>
      </c>
      <c r="G6125" s="11">
        <f t="shared" si="950"/>
        <v>0</v>
      </c>
      <c r="H6125" s="11">
        <f t="shared" si="951"/>
        <v>40.770000000000003</v>
      </c>
      <c r="I6125" s="11">
        <f t="shared" si="952"/>
        <v>0.27</v>
      </c>
      <c r="J6125" s="12">
        <f t="shared" si="953"/>
        <v>-40.770000000000003</v>
      </c>
      <c r="K6125" s="17" t="str">
        <f t="shared" si="958"/>
        <v>Ecart négatif</v>
      </c>
      <c r="L6125" s="16">
        <f>base!X6125</f>
        <v>0</v>
      </c>
      <c r="M6125" s="11">
        <f t="shared" si="954"/>
        <v>0</v>
      </c>
      <c r="N6125" s="11">
        <f t="shared" si="955"/>
        <v>0</v>
      </c>
      <c r="O6125" s="11">
        <f t="shared" si="956"/>
        <v>0</v>
      </c>
      <c r="P6125" s="12">
        <f t="shared" si="957"/>
        <v>0</v>
      </c>
      <c r="Q6125" s="17" t="str">
        <f t="shared" si="959"/>
        <v>Pas d'écart</v>
      </c>
    </row>
    <row r="6126" spans="1:18" x14ac:dyDescent="0.3">
      <c r="A6126" s="34" t="str">
        <f>base!J6126</f>
        <v>LS</v>
      </c>
      <c r="B6126" s="34" t="str">
        <f>base!V6126</f>
        <v>75010</v>
      </c>
      <c r="C6126" s="37">
        <v>75</v>
      </c>
      <c r="D6126" s="36">
        <f>base!H6126</f>
        <v>136.65</v>
      </c>
      <c r="E6126" s="44"/>
      <c r="F6126" s="16">
        <f>base!W6126</f>
        <v>0</v>
      </c>
      <c r="G6126" s="11">
        <f t="shared" si="950"/>
        <v>0</v>
      </c>
      <c r="H6126" s="11">
        <f t="shared" si="951"/>
        <v>0</v>
      </c>
      <c r="I6126" s="11">
        <f t="shared" si="952"/>
        <v>0</v>
      </c>
      <c r="J6126" s="12">
        <f t="shared" si="953"/>
        <v>0</v>
      </c>
      <c r="K6126" s="17" t="str">
        <f t="shared" si="958"/>
        <v>Pas d'écart</v>
      </c>
      <c r="L6126" s="16">
        <f>base!X6126</f>
        <v>0</v>
      </c>
      <c r="M6126" s="11">
        <f t="shared" si="954"/>
        <v>0</v>
      </c>
      <c r="N6126" s="11">
        <f t="shared" si="955"/>
        <v>0</v>
      </c>
      <c r="O6126" s="11">
        <f t="shared" si="956"/>
        <v>0</v>
      </c>
      <c r="P6126" s="12">
        <f t="shared" si="957"/>
        <v>0</v>
      </c>
      <c r="Q6126" s="17" t="str">
        <f t="shared" si="959"/>
        <v>Pas d'écart</v>
      </c>
    </row>
    <row r="6127" spans="1:18" x14ac:dyDescent="0.3">
      <c r="A6127" s="34" t="str">
        <f>base!J6127</f>
        <v>RM</v>
      </c>
      <c r="B6127" s="34" t="str">
        <f>base!V6127</f>
        <v>85700</v>
      </c>
      <c r="C6127" s="37">
        <v>85</v>
      </c>
      <c r="D6127" s="36">
        <f>base!H6127</f>
        <v>92</v>
      </c>
      <c r="E6127" s="44"/>
      <c r="F6127" s="16">
        <f>base!W6127</f>
        <v>0</v>
      </c>
      <c r="G6127" s="11">
        <f t="shared" si="950"/>
        <v>0</v>
      </c>
      <c r="H6127" s="11">
        <f t="shared" si="951"/>
        <v>24.840000000000003</v>
      </c>
      <c r="I6127" s="11">
        <f t="shared" si="952"/>
        <v>0.27</v>
      </c>
      <c r="J6127" s="12">
        <f t="shared" si="953"/>
        <v>-24.840000000000003</v>
      </c>
      <c r="K6127" s="17" t="str">
        <f t="shared" si="958"/>
        <v>Ecart négatif</v>
      </c>
      <c r="L6127" s="16">
        <f>base!X6127</f>
        <v>0</v>
      </c>
      <c r="M6127" s="11">
        <f t="shared" si="954"/>
        <v>0</v>
      </c>
      <c r="N6127" s="11">
        <f t="shared" si="955"/>
        <v>0</v>
      </c>
      <c r="O6127" s="11">
        <f t="shared" si="956"/>
        <v>0</v>
      </c>
      <c r="P6127" s="12">
        <f t="shared" si="957"/>
        <v>0</v>
      </c>
      <c r="Q6127" s="17" t="str">
        <f t="shared" si="959"/>
        <v>Pas d'écart</v>
      </c>
    </row>
    <row r="6128" spans="1:18" x14ac:dyDescent="0.3">
      <c r="A6128" s="34" t="str">
        <f>base!J6128</f>
        <v>DLS</v>
      </c>
      <c r="B6128" s="34" t="str">
        <f>base!V6128</f>
        <v>91160</v>
      </c>
      <c r="C6128" s="37">
        <v>91</v>
      </c>
      <c r="D6128" s="36">
        <f>base!H6128</f>
        <v>151</v>
      </c>
      <c r="E6128" s="44"/>
      <c r="F6128" s="16">
        <f>base!W6128</f>
        <v>0</v>
      </c>
      <c r="G6128" s="11">
        <f t="shared" si="950"/>
        <v>0</v>
      </c>
      <c r="H6128" s="11">
        <f t="shared" si="951"/>
        <v>0</v>
      </c>
      <c r="I6128" s="11">
        <f t="shared" si="952"/>
        <v>0</v>
      </c>
      <c r="J6128" s="12">
        <f t="shared" si="953"/>
        <v>0</v>
      </c>
      <c r="K6128" s="17" t="str">
        <f t="shared" si="958"/>
        <v>Pas d'écart</v>
      </c>
      <c r="L6128" s="16">
        <f>base!X6128</f>
        <v>0</v>
      </c>
      <c r="M6128" s="11">
        <f t="shared" si="954"/>
        <v>0</v>
      </c>
      <c r="N6128" s="11">
        <f t="shared" si="955"/>
        <v>0</v>
      </c>
      <c r="O6128" s="11">
        <f t="shared" si="956"/>
        <v>0</v>
      </c>
      <c r="P6128" s="12">
        <f t="shared" si="957"/>
        <v>0</v>
      </c>
      <c r="Q6128" s="17" t="str">
        <f t="shared" si="959"/>
        <v>Pas d'écart</v>
      </c>
    </row>
    <row r="6129" spans="1:18" x14ac:dyDescent="0.3">
      <c r="A6129" s="34" t="str">
        <f>base!J6129</f>
        <v>RM</v>
      </c>
      <c r="B6129" s="34" t="str">
        <f>base!V6129</f>
        <v>69150</v>
      </c>
      <c r="C6129" s="37">
        <v>69</v>
      </c>
      <c r="D6129" s="36">
        <f>base!H6129</f>
        <v>29.09</v>
      </c>
      <c r="E6129" s="44"/>
      <c r="F6129" s="16">
        <f>base!W6129</f>
        <v>0</v>
      </c>
      <c r="G6129" s="11">
        <f t="shared" si="950"/>
        <v>0</v>
      </c>
      <c r="H6129" s="11">
        <f t="shared" si="951"/>
        <v>7.8543000000000003</v>
      </c>
      <c r="I6129" s="11">
        <f t="shared" si="952"/>
        <v>0.27</v>
      </c>
      <c r="J6129" s="12">
        <f t="shared" si="953"/>
        <v>-7.8543000000000003</v>
      </c>
      <c r="K6129" s="17" t="str">
        <f t="shared" si="958"/>
        <v>Ecart négatif</v>
      </c>
      <c r="L6129" s="16">
        <f>base!X6129</f>
        <v>0</v>
      </c>
      <c r="M6129" s="11">
        <f t="shared" si="954"/>
        <v>0</v>
      </c>
      <c r="N6129" s="11">
        <f t="shared" si="955"/>
        <v>0</v>
      </c>
      <c r="O6129" s="11">
        <f t="shared" si="956"/>
        <v>0</v>
      </c>
      <c r="P6129" s="12">
        <f t="shared" si="957"/>
        <v>0</v>
      </c>
      <c r="Q6129" s="17" t="str">
        <f t="shared" si="959"/>
        <v>Pas d'écart</v>
      </c>
    </row>
    <row r="6130" spans="1:18" x14ac:dyDescent="0.3">
      <c r="A6130" s="34" t="str">
        <f>base!J6130</f>
        <v>RM</v>
      </c>
      <c r="B6130" s="34" t="str">
        <f>base!V6130</f>
        <v>06190</v>
      </c>
      <c r="C6130" s="37">
        <v>6</v>
      </c>
      <c r="D6130" s="36">
        <f>base!H6130</f>
        <v>27</v>
      </c>
      <c r="E6130" s="44"/>
      <c r="F6130" s="16">
        <f>base!W6130</f>
        <v>0</v>
      </c>
      <c r="G6130" s="11">
        <f t="shared" si="950"/>
        <v>0</v>
      </c>
      <c r="H6130" s="11">
        <f t="shared" si="951"/>
        <v>8.1</v>
      </c>
      <c r="I6130" s="11">
        <f t="shared" si="952"/>
        <v>0.3</v>
      </c>
      <c r="J6130" s="12">
        <f t="shared" si="953"/>
        <v>-8.1</v>
      </c>
      <c r="K6130" s="17" t="str">
        <f t="shared" si="958"/>
        <v>Ecart négatif</v>
      </c>
      <c r="L6130" s="16">
        <f>base!X6130</f>
        <v>8.1</v>
      </c>
      <c r="M6130" s="11">
        <f t="shared" si="954"/>
        <v>0.3</v>
      </c>
      <c r="N6130" s="11">
        <f t="shared" si="955"/>
        <v>5.67</v>
      </c>
      <c r="O6130" s="11">
        <f t="shared" si="956"/>
        <v>0.21</v>
      </c>
      <c r="P6130" s="12">
        <f t="shared" si="957"/>
        <v>2.4299999999999997</v>
      </c>
      <c r="Q6130" s="17" t="str">
        <f t="shared" si="959"/>
        <v>Ecart positif</v>
      </c>
      <c r="R6130" s="38"/>
    </row>
    <row r="6131" spans="1:18" x14ac:dyDescent="0.3">
      <c r="A6131" s="34" t="str">
        <f>base!J6131</f>
        <v>RS</v>
      </c>
      <c r="B6131" s="34" t="str">
        <f>base!V6131</f>
        <v>62200</v>
      </c>
      <c r="C6131" s="37">
        <v>62</v>
      </c>
      <c r="D6131" s="36">
        <f>base!H6131</f>
        <v>70</v>
      </c>
      <c r="E6131" s="44"/>
      <c r="F6131" s="16">
        <f>base!W6131</f>
        <v>0</v>
      </c>
      <c r="G6131" s="11">
        <f t="shared" si="950"/>
        <v>0</v>
      </c>
      <c r="H6131" s="11">
        <f t="shared" si="951"/>
        <v>13.3</v>
      </c>
      <c r="I6131" s="11">
        <f t="shared" si="952"/>
        <v>0.19</v>
      </c>
      <c r="J6131" s="12">
        <f t="shared" si="953"/>
        <v>-13.3</v>
      </c>
      <c r="K6131" s="17" t="str">
        <f t="shared" si="958"/>
        <v>Ecart négatif</v>
      </c>
      <c r="L6131" s="16">
        <f>base!X6131</f>
        <v>0</v>
      </c>
      <c r="M6131" s="11">
        <f t="shared" si="954"/>
        <v>0</v>
      </c>
      <c r="N6131" s="11">
        <f t="shared" si="955"/>
        <v>0</v>
      </c>
      <c r="O6131" s="11">
        <f t="shared" si="956"/>
        <v>0</v>
      </c>
      <c r="P6131" s="12">
        <f t="shared" si="957"/>
        <v>0</v>
      </c>
      <c r="Q6131" s="17" t="str">
        <f t="shared" si="959"/>
        <v>Pas d'écart</v>
      </c>
    </row>
    <row r="6132" spans="1:18" x14ac:dyDescent="0.3">
      <c r="A6132" s="34" t="str">
        <f>base!J6132</f>
        <v>DLM</v>
      </c>
      <c r="B6132" s="34" t="str">
        <f>base!V6132</f>
        <v>95100</v>
      </c>
      <c r="C6132" s="37">
        <v>95</v>
      </c>
      <c r="D6132" s="36">
        <f>base!H6132</f>
        <v>52.5</v>
      </c>
      <c r="E6132" s="44"/>
      <c r="F6132" s="16">
        <f>base!W6132</f>
        <v>0</v>
      </c>
      <c r="G6132" s="11">
        <f t="shared" si="950"/>
        <v>0</v>
      </c>
      <c r="H6132" s="11">
        <f t="shared" si="951"/>
        <v>0</v>
      </c>
      <c r="I6132" s="11">
        <f t="shared" si="952"/>
        <v>0</v>
      </c>
      <c r="J6132" s="12">
        <f t="shared" si="953"/>
        <v>0</v>
      </c>
      <c r="K6132" s="17" t="str">
        <f t="shared" si="958"/>
        <v>Pas d'écart</v>
      </c>
      <c r="L6132" s="16">
        <f>base!X6132</f>
        <v>0</v>
      </c>
      <c r="M6132" s="11">
        <f t="shared" si="954"/>
        <v>0</v>
      </c>
      <c r="N6132" s="11">
        <f t="shared" si="955"/>
        <v>0</v>
      </c>
      <c r="O6132" s="11">
        <f t="shared" si="956"/>
        <v>0</v>
      </c>
      <c r="P6132" s="12">
        <f t="shared" si="957"/>
        <v>0</v>
      </c>
      <c r="Q6132" s="17" t="str">
        <f t="shared" si="959"/>
        <v>Pas d'écart</v>
      </c>
    </row>
    <row r="6133" spans="1:18" x14ac:dyDescent="0.3">
      <c r="A6133" s="34" t="str">
        <f>base!J6133</f>
        <v>DLM</v>
      </c>
      <c r="B6133" s="34" t="str">
        <f>base!V6133</f>
        <v>06200</v>
      </c>
      <c r="C6133" s="37">
        <v>6</v>
      </c>
      <c r="D6133" s="36">
        <f>base!H6133</f>
        <v>52.5</v>
      </c>
      <c r="E6133" s="44"/>
      <c r="F6133" s="16">
        <f>base!W6133</f>
        <v>0</v>
      </c>
      <c r="G6133" s="11">
        <f t="shared" si="950"/>
        <v>0</v>
      </c>
      <c r="H6133" s="11">
        <f t="shared" si="951"/>
        <v>15.75</v>
      </c>
      <c r="I6133" s="11">
        <f t="shared" si="952"/>
        <v>0.3</v>
      </c>
      <c r="J6133" s="12">
        <f t="shared" si="953"/>
        <v>-15.75</v>
      </c>
      <c r="K6133" s="17" t="str">
        <f t="shared" si="958"/>
        <v>Ecart négatif</v>
      </c>
      <c r="L6133" s="16">
        <f>base!X6133</f>
        <v>0</v>
      </c>
      <c r="M6133" s="11">
        <f t="shared" si="954"/>
        <v>0</v>
      </c>
      <c r="N6133" s="11">
        <f t="shared" si="955"/>
        <v>11.025</v>
      </c>
      <c r="O6133" s="11">
        <f t="shared" si="956"/>
        <v>0.21000000000000002</v>
      </c>
      <c r="P6133" s="12">
        <f t="shared" si="957"/>
        <v>-11.025</v>
      </c>
      <c r="Q6133" s="17" t="str">
        <f t="shared" si="959"/>
        <v>Ecart négatif</v>
      </c>
    </row>
    <row r="6134" spans="1:18" x14ac:dyDescent="0.3">
      <c r="A6134" s="34" t="str">
        <f>base!J6134</f>
        <v>DLM</v>
      </c>
      <c r="B6134" s="34" t="str">
        <f>base!V6134</f>
        <v>65000</v>
      </c>
      <c r="C6134" s="37">
        <v>65</v>
      </c>
      <c r="D6134" s="36">
        <f>base!H6134</f>
        <v>52.5</v>
      </c>
      <c r="E6134" s="44"/>
      <c r="F6134" s="16">
        <f>base!W6134</f>
        <v>11.55</v>
      </c>
      <c r="G6134" s="11">
        <f t="shared" si="950"/>
        <v>0.22</v>
      </c>
      <c r="H6134" s="11">
        <f t="shared" si="951"/>
        <v>11.55</v>
      </c>
      <c r="I6134" s="11">
        <f t="shared" si="952"/>
        <v>0.22</v>
      </c>
      <c r="J6134" s="12">
        <f t="shared" si="953"/>
        <v>0</v>
      </c>
      <c r="K6134" s="17" t="str">
        <f t="shared" si="958"/>
        <v>Pas d'écart</v>
      </c>
      <c r="L6134" s="16">
        <f>base!X6134</f>
        <v>0</v>
      </c>
      <c r="M6134" s="11">
        <f t="shared" si="954"/>
        <v>0</v>
      </c>
      <c r="N6134" s="11">
        <f t="shared" si="955"/>
        <v>13.65</v>
      </c>
      <c r="O6134" s="11">
        <f t="shared" si="956"/>
        <v>0.26</v>
      </c>
      <c r="P6134" s="12">
        <f t="shared" si="957"/>
        <v>-13.65</v>
      </c>
      <c r="Q6134" s="17" t="str">
        <f t="shared" si="959"/>
        <v>Ecart négatif</v>
      </c>
    </row>
    <row r="6135" spans="1:18" x14ac:dyDescent="0.3">
      <c r="A6135" s="34" t="str">
        <f>base!J6135</f>
        <v>DRM</v>
      </c>
      <c r="B6135" s="34" t="str">
        <f>base!V6135</f>
        <v>44240</v>
      </c>
      <c r="C6135" s="37">
        <v>44</v>
      </c>
      <c r="D6135" s="36">
        <f>base!H6135</f>
        <v>100</v>
      </c>
      <c r="E6135" s="44"/>
      <c r="F6135" s="16">
        <f>base!W6135</f>
        <v>0</v>
      </c>
      <c r="G6135" s="11">
        <f t="shared" si="950"/>
        <v>0</v>
      </c>
      <c r="H6135" s="11">
        <f t="shared" si="951"/>
        <v>27</v>
      </c>
      <c r="I6135" s="11">
        <f t="shared" si="952"/>
        <v>0.27</v>
      </c>
      <c r="J6135" s="12">
        <f t="shared" si="953"/>
        <v>-27</v>
      </c>
      <c r="K6135" s="17" t="str">
        <f t="shared" si="958"/>
        <v>Ecart négatif</v>
      </c>
      <c r="L6135" s="16">
        <f>base!X6135</f>
        <v>0</v>
      </c>
      <c r="M6135" s="11">
        <f t="shared" si="954"/>
        <v>0</v>
      </c>
      <c r="N6135" s="11">
        <f t="shared" si="955"/>
        <v>0</v>
      </c>
      <c r="O6135" s="11">
        <f t="shared" si="956"/>
        <v>0</v>
      </c>
      <c r="P6135" s="12">
        <f t="shared" si="957"/>
        <v>0</v>
      </c>
      <c r="Q6135" s="17" t="str">
        <f t="shared" si="959"/>
        <v>Pas d'écart</v>
      </c>
    </row>
    <row r="6136" spans="1:18" x14ac:dyDescent="0.3">
      <c r="A6136" s="34" t="str">
        <f>base!J6136</f>
        <v>LS</v>
      </c>
      <c r="B6136" s="34" t="str">
        <f>base!V6136</f>
        <v>92500</v>
      </c>
      <c r="C6136" s="37">
        <v>92</v>
      </c>
      <c r="D6136" s="36">
        <f>base!H6136</f>
        <v>40</v>
      </c>
      <c r="E6136" s="44"/>
      <c r="F6136" s="16">
        <f>base!W6136</f>
        <v>0</v>
      </c>
      <c r="G6136" s="11">
        <f t="shared" si="950"/>
        <v>0</v>
      </c>
      <c r="H6136" s="11">
        <f t="shared" si="951"/>
        <v>0</v>
      </c>
      <c r="I6136" s="11">
        <f t="shared" si="952"/>
        <v>0</v>
      </c>
      <c r="J6136" s="12">
        <f t="shared" si="953"/>
        <v>0</v>
      </c>
      <c r="K6136" s="17" t="str">
        <f t="shared" si="958"/>
        <v>Pas d'écart</v>
      </c>
      <c r="L6136" s="16">
        <f>base!X6136</f>
        <v>0</v>
      </c>
      <c r="M6136" s="11">
        <f t="shared" si="954"/>
        <v>0</v>
      </c>
      <c r="N6136" s="11">
        <f t="shared" si="955"/>
        <v>0</v>
      </c>
      <c r="O6136" s="11">
        <f t="shared" si="956"/>
        <v>0</v>
      </c>
      <c r="P6136" s="12">
        <f t="shared" si="957"/>
        <v>0</v>
      </c>
      <c r="Q6136" s="17" t="str">
        <f t="shared" si="959"/>
        <v>Pas d'écart</v>
      </c>
    </row>
    <row r="6137" spans="1:18" x14ac:dyDescent="0.3">
      <c r="A6137" s="34" t="str">
        <f>base!J6137</f>
        <v>DLM</v>
      </c>
      <c r="B6137" s="34" t="str">
        <f>base!V6137</f>
        <v>07800</v>
      </c>
      <c r="C6137" s="37">
        <v>7</v>
      </c>
      <c r="D6137" s="36">
        <f>base!H6137</f>
        <v>23.4</v>
      </c>
      <c r="E6137" s="44"/>
      <c r="F6137" s="16">
        <f>base!W6137</f>
        <v>0</v>
      </c>
      <c r="G6137" s="11">
        <f t="shared" si="950"/>
        <v>0</v>
      </c>
      <c r="H6137" s="11">
        <f t="shared" si="951"/>
        <v>6.3179999999999996</v>
      </c>
      <c r="I6137" s="11">
        <f t="shared" si="952"/>
        <v>0.27</v>
      </c>
      <c r="J6137" s="12">
        <f t="shared" si="953"/>
        <v>-6.3179999999999996</v>
      </c>
      <c r="K6137" s="17" t="str">
        <f t="shared" si="958"/>
        <v>Ecart négatif</v>
      </c>
      <c r="L6137" s="16">
        <f>base!X6137</f>
        <v>0</v>
      </c>
      <c r="M6137" s="11">
        <f t="shared" si="954"/>
        <v>0</v>
      </c>
      <c r="N6137" s="11">
        <f t="shared" si="955"/>
        <v>0</v>
      </c>
      <c r="O6137" s="11">
        <f t="shared" si="956"/>
        <v>0</v>
      </c>
      <c r="P6137" s="12">
        <f t="shared" si="957"/>
        <v>0</v>
      </c>
      <c r="Q6137" s="17" t="str">
        <f t="shared" si="959"/>
        <v>Pas d'écart</v>
      </c>
    </row>
    <row r="6138" spans="1:18" x14ac:dyDescent="0.3">
      <c r="A6138" s="34">
        <f>base!J6138</f>
        <v>0</v>
      </c>
      <c r="B6138" s="34" t="str">
        <f>base!V6138</f>
        <v>77184</v>
      </c>
      <c r="C6138" s="37">
        <v>77</v>
      </c>
      <c r="D6138" s="36">
        <f>base!H6138</f>
        <v>20</v>
      </c>
      <c r="E6138" s="44"/>
      <c r="F6138" s="16">
        <f>base!W6138</f>
        <v>0</v>
      </c>
      <c r="G6138" s="11">
        <f t="shared" si="950"/>
        <v>0</v>
      </c>
      <c r="H6138" s="11">
        <f t="shared" si="951"/>
        <v>0</v>
      </c>
      <c r="I6138" s="11">
        <f t="shared" si="952"/>
        <v>0</v>
      </c>
      <c r="J6138" s="12">
        <f t="shared" si="953"/>
        <v>0</v>
      </c>
      <c r="K6138" s="17" t="str">
        <f t="shared" si="958"/>
        <v>Pas d'écart</v>
      </c>
      <c r="L6138" s="16">
        <f>base!X6138</f>
        <v>0</v>
      </c>
      <c r="M6138" s="11">
        <f t="shared" si="954"/>
        <v>0</v>
      </c>
      <c r="N6138" s="11">
        <f t="shared" si="955"/>
        <v>0</v>
      </c>
      <c r="O6138" s="11">
        <f t="shared" si="956"/>
        <v>0</v>
      </c>
      <c r="P6138" s="12">
        <f t="shared" si="957"/>
        <v>0</v>
      </c>
      <c r="Q6138" s="17" t="str">
        <f t="shared" si="959"/>
        <v>Pas d'écart</v>
      </c>
    </row>
    <row r="6139" spans="1:18" x14ac:dyDescent="0.3">
      <c r="A6139" s="34" t="str">
        <f>base!J6139</f>
        <v>LM</v>
      </c>
      <c r="B6139" s="34" t="str">
        <f>base!V6139</f>
        <v>16340</v>
      </c>
      <c r="C6139" s="37">
        <v>84</v>
      </c>
      <c r="D6139" s="36">
        <f>base!H6139</f>
        <v>55.51</v>
      </c>
      <c r="E6139" s="44"/>
      <c r="F6139" s="16">
        <f>base!W6139</f>
        <v>11.66</v>
      </c>
      <c r="G6139" s="11">
        <f t="shared" si="950"/>
        <v>0.2100522428391281</v>
      </c>
      <c r="H6139" s="11">
        <f t="shared" si="951"/>
        <v>16.097899999999999</v>
      </c>
      <c r="I6139" s="11">
        <f t="shared" si="952"/>
        <v>0.28999999999999998</v>
      </c>
      <c r="J6139" s="12">
        <f t="shared" si="953"/>
        <v>-4.4378999999999991</v>
      </c>
      <c r="K6139" s="17" t="str">
        <f t="shared" si="958"/>
        <v>Ecart négatif</v>
      </c>
      <c r="L6139" s="16">
        <f>base!X6139</f>
        <v>0</v>
      </c>
      <c r="M6139" s="11">
        <f t="shared" si="954"/>
        <v>0</v>
      </c>
      <c r="N6139" s="11">
        <f t="shared" si="955"/>
        <v>10.546899999999999</v>
      </c>
      <c r="O6139" s="11">
        <f t="shared" si="956"/>
        <v>0.19</v>
      </c>
      <c r="P6139" s="12">
        <f t="shared" si="957"/>
        <v>-10.546899999999999</v>
      </c>
      <c r="Q6139" s="17" t="str">
        <f t="shared" si="959"/>
        <v>Ecart négatif</v>
      </c>
    </row>
    <row r="6140" spans="1:18" x14ac:dyDescent="0.3">
      <c r="A6140" s="34" t="str">
        <f>base!J6140</f>
        <v>RS</v>
      </c>
      <c r="B6140" s="34" t="str">
        <f>base!V6140</f>
        <v>06560</v>
      </c>
      <c r="C6140" s="37">
        <v>6</v>
      </c>
      <c r="D6140" s="36">
        <f>base!H6140</f>
        <v>151</v>
      </c>
      <c r="E6140" s="44"/>
      <c r="F6140" s="16">
        <f>base!W6140</f>
        <v>0</v>
      </c>
      <c r="G6140" s="11">
        <f t="shared" si="950"/>
        <v>0</v>
      </c>
      <c r="H6140" s="11">
        <f t="shared" si="951"/>
        <v>45.3</v>
      </c>
      <c r="I6140" s="11">
        <f t="shared" si="952"/>
        <v>0.3</v>
      </c>
      <c r="J6140" s="12">
        <f t="shared" si="953"/>
        <v>-45.3</v>
      </c>
      <c r="K6140" s="17" t="str">
        <f t="shared" si="958"/>
        <v>Ecart négatif</v>
      </c>
      <c r="L6140" s="16">
        <f>base!X6140</f>
        <v>0</v>
      </c>
      <c r="M6140" s="11">
        <f t="shared" si="954"/>
        <v>0</v>
      </c>
      <c r="N6140" s="11">
        <f t="shared" si="955"/>
        <v>31.709999999999997</v>
      </c>
      <c r="O6140" s="11">
        <f t="shared" si="956"/>
        <v>0.21</v>
      </c>
      <c r="P6140" s="12">
        <f t="shared" si="957"/>
        <v>-31.709999999999997</v>
      </c>
      <c r="Q6140" s="17" t="str">
        <f t="shared" si="959"/>
        <v>Ecart négatif</v>
      </c>
    </row>
    <row r="6141" spans="1:18" x14ac:dyDescent="0.3">
      <c r="A6141" s="34">
        <f>base!J6141</f>
        <v>0</v>
      </c>
      <c r="B6141" s="34" t="str">
        <f>base!V6141</f>
        <v>77184</v>
      </c>
      <c r="C6141" s="37">
        <v>77</v>
      </c>
      <c r="D6141" s="36">
        <f>base!H6141</f>
        <v>84.5</v>
      </c>
      <c r="E6141" s="44"/>
      <c r="F6141" s="16">
        <f>base!W6141</f>
        <v>0</v>
      </c>
      <c r="G6141" s="11">
        <f t="shared" si="950"/>
        <v>0</v>
      </c>
      <c r="H6141" s="11">
        <f t="shared" si="951"/>
        <v>0</v>
      </c>
      <c r="I6141" s="11">
        <f t="shared" si="952"/>
        <v>0</v>
      </c>
      <c r="J6141" s="12">
        <f t="shared" si="953"/>
        <v>0</v>
      </c>
      <c r="K6141" s="17" t="str">
        <f t="shared" si="958"/>
        <v>Pas d'écart</v>
      </c>
      <c r="L6141" s="16">
        <f>base!X6141</f>
        <v>0</v>
      </c>
      <c r="M6141" s="11">
        <f t="shared" si="954"/>
        <v>0</v>
      </c>
      <c r="N6141" s="11">
        <f t="shared" si="955"/>
        <v>0</v>
      </c>
      <c r="O6141" s="11">
        <f t="shared" si="956"/>
        <v>0</v>
      </c>
      <c r="P6141" s="12">
        <f t="shared" si="957"/>
        <v>0</v>
      </c>
      <c r="Q6141" s="17" t="str">
        <f t="shared" si="959"/>
        <v>Pas d'écart</v>
      </c>
    </row>
    <row r="6142" spans="1:18" x14ac:dyDescent="0.3">
      <c r="A6142" s="34" t="str">
        <f>base!J6142</f>
        <v>RS</v>
      </c>
      <c r="B6142" s="34" t="str">
        <f>base!V6142</f>
        <v>53000</v>
      </c>
      <c r="C6142" s="37">
        <v>53</v>
      </c>
      <c r="D6142" s="36">
        <f>base!H6142</f>
        <v>60.2</v>
      </c>
      <c r="E6142" s="44"/>
      <c r="F6142" s="16">
        <f>base!W6142</f>
        <v>0</v>
      </c>
      <c r="G6142" s="11">
        <f t="shared" si="950"/>
        <v>0</v>
      </c>
      <c r="H6142" s="11">
        <f t="shared" si="951"/>
        <v>16.254000000000001</v>
      </c>
      <c r="I6142" s="11">
        <f t="shared" si="952"/>
        <v>0.27</v>
      </c>
      <c r="J6142" s="12">
        <f t="shared" si="953"/>
        <v>-16.254000000000001</v>
      </c>
      <c r="K6142" s="17" t="str">
        <f t="shared" si="958"/>
        <v>Ecart négatif</v>
      </c>
      <c r="L6142" s="16">
        <f>base!X6142</f>
        <v>0</v>
      </c>
      <c r="M6142" s="11">
        <f t="shared" si="954"/>
        <v>0</v>
      </c>
      <c r="N6142" s="11">
        <f t="shared" si="955"/>
        <v>0</v>
      </c>
      <c r="O6142" s="11">
        <f t="shared" si="956"/>
        <v>0</v>
      </c>
      <c r="P6142" s="12">
        <f t="shared" si="957"/>
        <v>0</v>
      </c>
      <c r="Q6142" s="17" t="str">
        <f t="shared" si="959"/>
        <v>Pas d'écart</v>
      </c>
    </row>
    <row r="6143" spans="1:18" x14ac:dyDescent="0.3">
      <c r="A6143" s="34" t="str">
        <f>base!J6143</f>
        <v>DRM</v>
      </c>
      <c r="B6143" s="34" t="str">
        <f>base!V6143</f>
        <v>63100</v>
      </c>
      <c r="C6143" s="37">
        <v>63</v>
      </c>
      <c r="D6143" s="36">
        <f>base!H6143</f>
        <v>114.52</v>
      </c>
      <c r="E6143" s="44"/>
      <c r="F6143" s="16">
        <f>base!W6143</f>
        <v>0</v>
      </c>
      <c r="G6143" s="11">
        <f t="shared" si="950"/>
        <v>0</v>
      </c>
      <c r="H6143" s="11">
        <f t="shared" si="951"/>
        <v>33.210799999999999</v>
      </c>
      <c r="I6143" s="11">
        <f t="shared" si="952"/>
        <v>0.28999999999999998</v>
      </c>
      <c r="J6143" s="12">
        <f t="shared" si="953"/>
        <v>-33.210799999999999</v>
      </c>
      <c r="K6143" s="17" t="str">
        <f t="shared" si="958"/>
        <v>Ecart négatif</v>
      </c>
      <c r="L6143" s="16">
        <f>base!X6143</f>
        <v>0</v>
      </c>
      <c r="M6143" s="11">
        <f t="shared" si="954"/>
        <v>0</v>
      </c>
      <c r="N6143" s="11">
        <f t="shared" si="955"/>
        <v>13.742399999999998</v>
      </c>
      <c r="O6143" s="11">
        <f t="shared" si="956"/>
        <v>0.11999999999999998</v>
      </c>
      <c r="P6143" s="12">
        <f t="shared" si="957"/>
        <v>-13.742399999999998</v>
      </c>
      <c r="Q6143" s="17" t="str">
        <f t="shared" si="959"/>
        <v>Ecart négatif</v>
      </c>
    </row>
    <row r="6144" spans="1:18" x14ac:dyDescent="0.3">
      <c r="A6144" s="34" t="str">
        <f>base!J6144</f>
        <v>DLS</v>
      </c>
      <c r="B6144" s="34" t="str">
        <f>base!V6144</f>
        <v>77184</v>
      </c>
      <c r="C6144" s="37">
        <v>77</v>
      </c>
      <c r="D6144" s="36">
        <f>base!H6144</f>
        <v>34.6</v>
      </c>
      <c r="E6144" s="44"/>
      <c r="F6144" s="16">
        <f>base!W6144</f>
        <v>0</v>
      </c>
      <c r="G6144" s="11">
        <f t="shared" si="950"/>
        <v>0</v>
      </c>
      <c r="H6144" s="11">
        <f t="shared" si="951"/>
        <v>0</v>
      </c>
      <c r="I6144" s="11">
        <f t="shared" si="952"/>
        <v>0</v>
      </c>
      <c r="J6144" s="12">
        <f t="shared" si="953"/>
        <v>0</v>
      </c>
      <c r="K6144" s="17" t="str">
        <f t="shared" si="958"/>
        <v>Pas d'écart</v>
      </c>
      <c r="L6144" s="16">
        <f>base!X6144</f>
        <v>0</v>
      </c>
      <c r="M6144" s="11">
        <f t="shared" si="954"/>
        <v>0</v>
      </c>
      <c r="N6144" s="11">
        <f t="shared" si="955"/>
        <v>0</v>
      </c>
      <c r="O6144" s="11">
        <f t="shared" si="956"/>
        <v>0</v>
      </c>
      <c r="P6144" s="12">
        <f t="shared" si="957"/>
        <v>0</v>
      </c>
      <c r="Q6144" s="17" t="str">
        <f t="shared" si="959"/>
        <v>Pas d'écart</v>
      </c>
    </row>
    <row r="6145" spans="1:17" x14ac:dyDescent="0.3">
      <c r="A6145" s="34" t="str">
        <f>base!J6145</f>
        <v>RS</v>
      </c>
      <c r="B6145" s="34" t="str">
        <f>base!V6145</f>
        <v>44000</v>
      </c>
      <c r="C6145" s="37">
        <v>44</v>
      </c>
      <c r="D6145" s="36">
        <f>base!H6145</f>
        <v>180</v>
      </c>
      <c r="E6145" s="44"/>
      <c r="F6145" s="16">
        <f>base!W6145</f>
        <v>0</v>
      </c>
      <c r="G6145" s="11">
        <f t="shared" si="950"/>
        <v>0</v>
      </c>
      <c r="H6145" s="11">
        <f t="shared" si="951"/>
        <v>48.6</v>
      </c>
      <c r="I6145" s="11">
        <f t="shared" si="952"/>
        <v>0.27</v>
      </c>
      <c r="J6145" s="12">
        <f t="shared" si="953"/>
        <v>-48.6</v>
      </c>
      <c r="K6145" s="17" t="str">
        <f t="shared" si="958"/>
        <v>Ecart négatif</v>
      </c>
      <c r="L6145" s="16">
        <f>base!X6145</f>
        <v>48.6</v>
      </c>
      <c r="M6145" s="11">
        <f t="shared" si="954"/>
        <v>0.27</v>
      </c>
      <c r="N6145" s="11">
        <f t="shared" si="955"/>
        <v>0</v>
      </c>
      <c r="O6145" s="11">
        <f t="shared" si="956"/>
        <v>0</v>
      </c>
      <c r="P6145" s="12">
        <f t="shared" si="957"/>
        <v>48.6</v>
      </c>
      <c r="Q6145" s="17" t="str">
        <f t="shared" si="959"/>
        <v>Ecart positif</v>
      </c>
    </row>
    <row r="6146" spans="1:17" x14ac:dyDescent="0.3">
      <c r="A6146" s="34" t="str">
        <f>base!J6146</f>
        <v>LM</v>
      </c>
      <c r="B6146" s="34" t="str">
        <f>base!V6146</f>
        <v>26000</v>
      </c>
      <c r="C6146" s="37">
        <v>19</v>
      </c>
      <c r="D6146" s="36">
        <f>base!H6146</f>
        <v>75.16</v>
      </c>
      <c r="E6146" s="44"/>
      <c r="F6146" s="16">
        <f>base!W6146</f>
        <v>20.29</v>
      </c>
      <c r="G6146" s="11">
        <f t="shared" ref="G6146:G6209" si="960">F6146/D6146</f>
        <v>0.2699574241617882</v>
      </c>
      <c r="H6146" s="11">
        <f t="shared" ref="H6146:H6209" si="961">VLOOKUP(C6146,tout_cout_traction,2,FALSE)*D6146</f>
        <v>21.796399999999998</v>
      </c>
      <c r="I6146" s="11">
        <f t="shared" ref="I6146:I6209" si="962">H6146/D6146</f>
        <v>0.28999999999999998</v>
      </c>
      <c r="J6146" s="12">
        <f t="shared" ref="J6146:J6209" si="963">F6146-H6146</f>
        <v>-1.5063999999999993</v>
      </c>
      <c r="K6146" s="17" t="str">
        <f t="shared" si="958"/>
        <v>Ecart négatif</v>
      </c>
      <c r="L6146" s="16">
        <f>base!X6146</f>
        <v>0</v>
      </c>
      <c r="M6146" s="11">
        <f t="shared" ref="M6146:M6209" si="964">L6146/D6146</f>
        <v>0</v>
      </c>
      <c r="N6146" s="11">
        <f t="shared" ref="N6146:N6209" si="965">VLOOKUP(C6146,tout_cout_traction,3,FALSE)*D6146</f>
        <v>9.0191999999999997</v>
      </c>
      <c r="O6146" s="11">
        <f t="shared" ref="O6146:O6209" si="966">N6146/D6146</f>
        <v>0.12</v>
      </c>
      <c r="P6146" s="12">
        <f t="shared" ref="P6146:P6209" si="967">L6146-N6146</f>
        <v>-9.0191999999999997</v>
      </c>
      <c r="Q6146" s="17" t="str">
        <f t="shared" si="959"/>
        <v>Ecart négatif</v>
      </c>
    </row>
    <row r="6147" spans="1:17" x14ac:dyDescent="0.3">
      <c r="A6147" s="34" t="str">
        <f>base!J6147</f>
        <v>LS</v>
      </c>
      <c r="B6147" s="34" t="str">
        <f>base!V6147</f>
        <v>25600</v>
      </c>
      <c r="C6147" s="37">
        <v>25</v>
      </c>
      <c r="D6147" s="36">
        <f>base!H6147</f>
        <v>0</v>
      </c>
      <c r="E6147" s="44"/>
      <c r="F6147" s="16">
        <f>base!W6147</f>
        <v>0</v>
      </c>
      <c r="G6147" s="11" t="e">
        <f t="shared" si="960"/>
        <v>#DIV/0!</v>
      </c>
      <c r="H6147" s="11">
        <f t="shared" si="961"/>
        <v>0</v>
      </c>
      <c r="I6147" s="11" t="e">
        <f t="shared" si="962"/>
        <v>#DIV/0!</v>
      </c>
      <c r="J6147" s="12">
        <f t="shared" si="963"/>
        <v>0</v>
      </c>
      <c r="K6147" s="17" t="str">
        <f t="shared" ref="K6147:K6210" si="968">IF(H6147=F6147,"Pas d'écart",IF(H6147&lt;F6147,"Ecart positif",IF(H6147&gt;F6147,"Ecart négatif")))</f>
        <v>Pas d'écart</v>
      </c>
      <c r="L6147" s="16">
        <f>base!X6147</f>
        <v>0</v>
      </c>
      <c r="M6147" s="11" t="e">
        <f t="shared" si="964"/>
        <v>#DIV/0!</v>
      </c>
      <c r="N6147" s="11">
        <f t="shared" si="965"/>
        <v>0</v>
      </c>
      <c r="O6147" s="11" t="e">
        <f t="shared" si="966"/>
        <v>#DIV/0!</v>
      </c>
      <c r="P6147" s="12">
        <f t="shared" si="967"/>
        <v>0</v>
      </c>
      <c r="Q6147" s="17" t="str">
        <f t="shared" ref="Q6147:Q6210" si="969">IF(N6147=L6147,"Pas d'écart",IF(N6147&lt;L6147,"Ecart positif",IF(N6147&gt;L6147,"Ecart négatif")))</f>
        <v>Pas d'écart</v>
      </c>
    </row>
    <row r="6148" spans="1:17" x14ac:dyDescent="0.3">
      <c r="A6148" s="34" t="str">
        <f>base!J6148</f>
        <v>RM</v>
      </c>
      <c r="B6148" s="34" t="str">
        <f>base!V6148</f>
        <v>73200</v>
      </c>
      <c r="C6148" s="37">
        <v>73</v>
      </c>
      <c r="D6148" s="36">
        <f>base!H6148</f>
        <v>8</v>
      </c>
      <c r="E6148" s="44"/>
      <c r="F6148" s="16">
        <f>base!W6148</f>
        <v>0</v>
      </c>
      <c r="G6148" s="11">
        <f t="shared" si="960"/>
        <v>0</v>
      </c>
      <c r="H6148" s="11">
        <f t="shared" si="961"/>
        <v>2.16</v>
      </c>
      <c r="I6148" s="11">
        <f t="shared" si="962"/>
        <v>0.27</v>
      </c>
      <c r="J6148" s="12">
        <f t="shared" si="963"/>
        <v>-2.16</v>
      </c>
      <c r="K6148" s="17" t="str">
        <f t="shared" si="968"/>
        <v>Ecart négatif</v>
      </c>
      <c r="L6148" s="16">
        <f>base!X6148</f>
        <v>0</v>
      </c>
      <c r="M6148" s="11">
        <f t="shared" si="964"/>
        <v>0</v>
      </c>
      <c r="N6148" s="11">
        <f t="shared" si="965"/>
        <v>0</v>
      </c>
      <c r="O6148" s="11">
        <f t="shared" si="966"/>
        <v>0</v>
      </c>
      <c r="P6148" s="12">
        <f t="shared" si="967"/>
        <v>0</v>
      </c>
      <c r="Q6148" s="17" t="str">
        <f t="shared" si="969"/>
        <v>Pas d'écart</v>
      </c>
    </row>
    <row r="6149" spans="1:17" x14ac:dyDescent="0.3">
      <c r="A6149" s="34" t="str">
        <f>base!J6149</f>
        <v>RS</v>
      </c>
      <c r="B6149" s="34" t="str">
        <f>base!V6149</f>
        <v>69280</v>
      </c>
      <c r="C6149" s="37">
        <v>69</v>
      </c>
      <c r="D6149" s="36">
        <f>base!H6149</f>
        <v>160.38999999999999</v>
      </c>
      <c r="E6149" s="44"/>
      <c r="F6149" s="16">
        <f>base!W6149</f>
        <v>0</v>
      </c>
      <c r="G6149" s="11">
        <f t="shared" si="960"/>
        <v>0</v>
      </c>
      <c r="H6149" s="11">
        <f t="shared" si="961"/>
        <v>43.305300000000003</v>
      </c>
      <c r="I6149" s="11">
        <f t="shared" si="962"/>
        <v>0.27</v>
      </c>
      <c r="J6149" s="12">
        <f t="shared" si="963"/>
        <v>-43.305300000000003</v>
      </c>
      <c r="K6149" s="17" t="str">
        <f t="shared" si="968"/>
        <v>Ecart négatif</v>
      </c>
      <c r="L6149" s="16">
        <f>base!X6149</f>
        <v>0</v>
      </c>
      <c r="M6149" s="11">
        <f t="shared" si="964"/>
        <v>0</v>
      </c>
      <c r="N6149" s="11">
        <f t="shared" si="965"/>
        <v>0</v>
      </c>
      <c r="O6149" s="11">
        <f t="shared" si="966"/>
        <v>0</v>
      </c>
      <c r="P6149" s="12">
        <f t="shared" si="967"/>
        <v>0</v>
      </c>
      <c r="Q6149" s="17" t="str">
        <f t="shared" si="969"/>
        <v>Pas d'écart</v>
      </c>
    </row>
    <row r="6150" spans="1:17" x14ac:dyDescent="0.3">
      <c r="A6150" s="34" t="str">
        <f>base!J6150</f>
        <v>DRS</v>
      </c>
      <c r="B6150" s="34" t="str">
        <f>base!V6150</f>
        <v>25480</v>
      </c>
      <c r="C6150" s="37">
        <v>25</v>
      </c>
      <c r="D6150" s="36">
        <f>base!H6150</f>
        <v>140</v>
      </c>
      <c r="E6150" s="44"/>
      <c r="F6150" s="16">
        <f>base!W6150</f>
        <v>0</v>
      </c>
      <c r="G6150" s="11">
        <f t="shared" si="960"/>
        <v>0</v>
      </c>
      <c r="H6150" s="11">
        <f t="shared" si="961"/>
        <v>33.6</v>
      </c>
      <c r="I6150" s="11">
        <f t="shared" si="962"/>
        <v>0.24000000000000002</v>
      </c>
      <c r="J6150" s="12">
        <f t="shared" si="963"/>
        <v>-33.6</v>
      </c>
      <c r="K6150" s="17" t="str">
        <f t="shared" si="968"/>
        <v>Ecart négatif</v>
      </c>
      <c r="L6150" s="16">
        <f>base!X6150</f>
        <v>0</v>
      </c>
      <c r="M6150" s="11">
        <f t="shared" si="964"/>
        <v>0</v>
      </c>
      <c r="N6150" s="11">
        <f t="shared" si="965"/>
        <v>16.8</v>
      </c>
      <c r="O6150" s="11">
        <f t="shared" si="966"/>
        <v>0.12000000000000001</v>
      </c>
      <c r="P6150" s="12">
        <f t="shared" si="967"/>
        <v>-16.8</v>
      </c>
      <c r="Q6150" s="17" t="str">
        <f t="shared" si="969"/>
        <v>Ecart négatif</v>
      </c>
    </row>
    <row r="6151" spans="1:17" x14ac:dyDescent="0.3">
      <c r="A6151" s="34">
        <f>base!J6151</f>
        <v>0</v>
      </c>
      <c r="B6151" s="34" t="str">
        <f>base!V6151</f>
        <v>44240</v>
      </c>
      <c r="C6151" s="37">
        <v>44</v>
      </c>
      <c r="D6151" s="36">
        <f>base!H6151</f>
        <v>31</v>
      </c>
      <c r="E6151" s="44"/>
      <c r="F6151" s="16">
        <f>base!W6151</f>
        <v>0</v>
      </c>
      <c r="G6151" s="11">
        <f t="shared" si="960"/>
        <v>0</v>
      </c>
      <c r="H6151" s="11">
        <f t="shared" si="961"/>
        <v>8.370000000000001</v>
      </c>
      <c r="I6151" s="11">
        <f t="shared" si="962"/>
        <v>0.27</v>
      </c>
      <c r="J6151" s="12">
        <f t="shared" si="963"/>
        <v>-8.370000000000001</v>
      </c>
      <c r="K6151" s="17" t="str">
        <f t="shared" si="968"/>
        <v>Ecart négatif</v>
      </c>
      <c r="L6151" s="16">
        <f>base!X6151</f>
        <v>0</v>
      </c>
      <c r="M6151" s="11">
        <f t="shared" si="964"/>
        <v>0</v>
      </c>
      <c r="N6151" s="11">
        <f t="shared" si="965"/>
        <v>0</v>
      </c>
      <c r="O6151" s="11">
        <f t="shared" si="966"/>
        <v>0</v>
      </c>
      <c r="P6151" s="12">
        <f t="shared" si="967"/>
        <v>0</v>
      </c>
      <c r="Q6151" s="17" t="str">
        <f t="shared" si="969"/>
        <v>Pas d'écart</v>
      </c>
    </row>
    <row r="6152" spans="1:17" x14ac:dyDescent="0.3">
      <c r="A6152" s="34">
        <f>base!J6152</f>
        <v>0</v>
      </c>
      <c r="B6152" s="34" t="str">
        <f>base!V6152</f>
        <v>77184</v>
      </c>
      <c r="C6152" s="37">
        <v>77</v>
      </c>
      <c r="D6152" s="36">
        <f>base!H6152</f>
        <v>171</v>
      </c>
      <c r="E6152" s="44"/>
      <c r="F6152" s="16">
        <f>base!W6152</f>
        <v>0</v>
      </c>
      <c r="G6152" s="11">
        <f t="shared" si="960"/>
        <v>0</v>
      </c>
      <c r="H6152" s="11">
        <f t="shared" si="961"/>
        <v>0</v>
      </c>
      <c r="I6152" s="11">
        <f t="shared" si="962"/>
        <v>0</v>
      </c>
      <c r="J6152" s="12">
        <f t="shared" si="963"/>
        <v>0</v>
      </c>
      <c r="K6152" s="17" t="str">
        <f t="shared" si="968"/>
        <v>Pas d'écart</v>
      </c>
      <c r="L6152" s="16">
        <f>base!X6152</f>
        <v>0</v>
      </c>
      <c r="M6152" s="11">
        <f t="shared" si="964"/>
        <v>0</v>
      </c>
      <c r="N6152" s="11">
        <f t="shared" si="965"/>
        <v>0</v>
      </c>
      <c r="O6152" s="11">
        <f t="shared" si="966"/>
        <v>0</v>
      </c>
      <c r="P6152" s="12">
        <f t="shared" si="967"/>
        <v>0</v>
      </c>
      <c r="Q6152" s="17" t="str">
        <f t="shared" si="969"/>
        <v>Pas d'écart</v>
      </c>
    </row>
    <row r="6153" spans="1:17" x14ac:dyDescent="0.3">
      <c r="A6153" s="34">
        <f>base!J6153</f>
        <v>0</v>
      </c>
      <c r="B6153" s="34" t="str">
        <f>base!V6153</f>
        <v>77184</v>
      </c>
      <c r="C6153" s="37">
        <v>77</v>
      </c>
      <c r="D6153" s="36">
        <f>base!H6153</f>
        <v>171</v>
      </c>
      <c r="E6153" s="44"/>
      <c r="F6153" s="16">
        <f>base!W6153</f>
        <v>0</v>
      </c>
      <c r="G6153" s="11">
        <f t="shared" si="960"/>
        <v>0</v>
      </c>
      <c r="H6153" s="11">
        <f t="shared" si="961"/>
        <v>0</v>
      </c>
      <c r="I6153" s="11">
        <f t="shared" si="962"/>
        <v>0</v>
      </c>
      <c r="J6153" s="12">
        <f t="shared" si="963"/>
        <v>0</v>
      </c>
      <c r="K6153" s="17" t="str">
        <f t="shared" si="968"/>
        <v>Pas d'écart</v>
      </c>
      <c r="L6153" s="16">
        <f>base!X6153</f>
        <v>0</v>
      </c>
      <c r="M6153" s="11">
        <f t="shared" si="964"/>
        <v>0</v>
      </c>
      <c r="N6153" s="11">
        <f t="shared" si="965"/>
        <v>0</v>
      </c>
      <c r="O6153" s="11">
        <f t="shared" si="966"/>
        <v>0</v>
      </c>
      <c r="P6153" s="12">
        <f t="shared" si="967"/>
        <v>0</v>
      </c>
      <c r="Q6153" s="17" t="str">
        <f t="shared" si="969"/>
        <v>Pas d'écart</v>
      </c>
    </row>
    <row r="6154" spans="1:17" x14ac:dyDescent="0.3">
      <c r="A6154" s="34" t="str">
        <f>base!J6154</f>
        <v>RS</v>
      </c>
      <c r="B6154" s="34" t="str">
        <f>base!V6154</f>
        <v>45000</v>
      </c>
      <c r="C6154" s="37">
        <v>45</v>
      </c>
      <c r="D6154" s="36">
        <f>base!H6154</f>
        <v>40</v>
      </c>
      <c r="E6154" s="44"/>
      <c r="F6154" s="16">
        <f>base!W6154</f>
        <v>0</v>
      </c>
      <c r="G6154" s="11">
        <f t="shared" si="960"/>
        <v>0</v>
      </c>
      <c r="H6154" s="11">
        <f t="shared" si="961"/>
        <v>8.4</v>
      </c>
      <c r="I6154" s="11">
        <f t="shared" si="962"/>
        <v>0.21000000000000002</v>
      </c>
      <c r="J6154" s="12">
        <f t="shared" si="963"/>
        <v>-8.4</v>
      </c>
      <c r="K6154" s="17" t="str">
        <f t="shared" si="968"/>
        <v>Ecart négatif</v>
      </c>
      <c r="L6154" s="16">
        <f>base!X6154</f>
        <v>0</v>
      </c>
      <c r="M6154" s="11">
        <f t="shared" si="964"/>
        <v>0</v>
      </c>
      <c r="N6154" s="11">
        <f t="shared" si="965"/>
        <v>4.8</v>
      </c>
      <c r="O6154" s="11">
        <f t="shared" si="966"/>
        <v>0.12</v>
      </c>
      <c r="P6154" s="12">
        <f t="shared" si="967"/>
        <v>-4.8</v>
      </c>
      <c r="Q6154" s="17" t="str">
        <f t="shared" si="969"/>
        <v>Ecart négatif</v>
      </c>
    </row>
    <row r="6155" spans="1:17" x14ac:dyDescent="0.3">
      <c r="A6155" s="34" t="str">
        <f>base!J6155</f>
        <v>LS</v>
      </c>
      <c r="B6155" s="34" t="str">
        <f>base!V6155</f>
        <v>56100</v>
      </c>
      <c r="C6155" s="37">
        <v>67</v>
      </c>
      <c r="D6155" s="36">
        <f>base!H6155</f>
        <v>139.19999999999999</v>
      </c>
      <c r="E6155" s="44"/>
      <c r="F6155" s="16">
        <f>base!W6155</f>
        <v>37.58</v>
      </c>
      <c r="G6155" s="11">
        <f t="shared" si="960"/>
        <v>0.2699712643678161</v>
      </c>
      <c r="H6155" s="11">
        <f t="shared" si="961"/>
        <v>40.367999999999995</v>
      </c>
      <c r="I6155" s="11">
        <f t="shared" si="962"/>
        <v>0.28999999999999998</v>
      </c>
      <c r="J6155" s="12">
        <f t="shared" si="963"/>
        <v>-2.7879999999999967</v>
      </c>
      <c r="K6155" s="17" t="str">
        <f t="shared" si="968"/>
        <v>Ecart négatif</v>
      </c>
      <c r="L6155" s="16">
        <f>base!X6155</f>
        <v>0</v>
      </c>
      <c r="M6155" s="11">
        <f t="shared" si="964"/>
        <v>0</v>
      </c>
      <c r="N6155" s="11">
        <f t="shared" si="965"/>
        <v>11.135999999999999</v>
      </c>
      <c r="O6155" s="11">
        <f t="shared" si="966"/>
        <v>0.08</v>
      </c>
      <c r="P6155" s="12">
        <f t="shared" si="967"/>
        <v>-11.135999999999999</v>
      </c>
      <c r="Q6155" s="17" t="str">
        <f t="shared" si="969"/>
        <v>Ecart négatif</v>
      </c>
    </row>
    <row r="6156" spans="1:17" x14ac:dyDescent="0.3">
      <c r="A6156" s="34" t="str">
        <f>base!J6156</f>
        <v>RS</v>
      </c>
      <c r="B6156" s="34" t="str">
        <f>base!V6156</f>
        <v>38100</v>
      </c>
      <c r="C6156" s="37">
        <v>38</v>
      </c>
      <c r="D6156" s="36">
        <f>base!H6156</f>
        <v>201</v>
      </c>
      <c r="E6156" s="44"/>
      <c r="F6156" s="16">
        <f>base!W6156</f>
        <v>0</v>
      </c>
      <c r="G6156" s="11">
        <f t="shared" si="960"/>
        <v>0</v>
      </c>
      <c r="H6156" s="11">
        <f t="shared" si="961"/>
        <v>54.27</v>
      </c>
      <c r="I6156" s="11">
        <f t="shared" si="962"/>
        <v>0.27</v>
      </c>
      <c r="J6156" s="12">
        <f t="shared" si="963"/>
        <v>-54.27</v>
      </c>
      <c r="K6156" s="17" t="str">
        <f t="shared" si="968"/>
        <v>Ecart négatif</v>
      </c>
      <c r="L6156" s="16">
        <f>base!X6156</f>
        <v>0</v>
      </c>
      <c r="M6156" s="11">
        <f t="shared" si="964"/>
        <v>0</v>
      </c>
      <c r="N6156" s="11">
        <f t="shared" si="965"/>
        <v>0</v>
      </c>
      <c r="O6156" s="11">
        <f t="shared" si="966"/>
        <v>0</v>
      </c>
      <c r="P6156" s="12">
        <f t="shared" si="967"/>
        <v>0</v>
      </c>
      <c r="Q6156" s="17" t="str">
        <f t="shared" si="969"/>
        <v>Pas d'écart</v>
      </c>
    </row>
    <row r="6157" spans="1:17" x14ac:dyDescent="0.3">
      <c r="A6157" s="34">
        <f>base!J6157</f>
        <v>0</v>
      </c>
      <c r="B6157" s="34" t="str">
        <f>base!V6157</f>
        <v>77184</v>
      </c>
      <c r="C6157" s="37">
        <v>77</v>
      </c>
      <c r="D6157" s="36">
        <f>base!H6157</f>
        <v>219</v>
      </c>
      <c r="E6157" s="44"/>
      <c r="F6157" s="16">
        <f>base!W6157</f>
        <v>0</v>
      </c>
      <c r="G6157" s="11">
        <f t="shared" si="960"/>
        <v>0</v>
      </c>
      <c r="H6157" s="11">
        <f t="shared" si="961"/>
        <v>0</v>
      </c>
      <c r="I6157" s="11">
        <f t="shared" si="962"/>
        <v>0</v>
      </c>
      <c r="J6157" s="12">
        <f t="shared" si="963"/>
        <v>0</v>
      </c>
      <c r="K6157" s="17" t="str">
        <f t="shared" si="968"/>
        <v>Pas d'écart</v>
      </c>
      <c r="L6157" s="16">
        <f>base!X6157</f>
        <v>0</v>
      </c>
      <c r="M6157" s="11">
        <f t="shared" si="964"/>
        <v>0</v>
      </c>
      <c r="N6157" s="11">
        <f t="shared" si="965"/>
        <v>0</v>
      </c>
      <c r="O6157" s="11">
        <f t="shared" si="966"/>
        <v>0</v>
      </c>
      <c r="P6157" s="12">
        <f t="shared" si="967"/>
        <v>0</v>
      </c>
      <c r="Q6157" s="17" t="str">
        <f t="shared" si="969"/>
        <v>Pas d'écart</v>
      </c>
    </row>
    <row r="6158" spans="1:17" x14ac:dyDescent="0.3">
      <c r="A6158" s="34">
        <f>base!J6158</f>
        <v>0</v>
      </c>
      <c r="B6158" s="34" t="str">
        <f>base!V6158</f>
        <v>77184</v>
      </c>
      <c r="C6158" s="37">
        <v>77</v>
      </c>
      <c r="D6158" s="36">
        <f>base!H6158</f>
        <v>133</v>
      </c>
      <c r="E6158" s="44"/>
      <c r="F6158" s="16">
        <f>base!W6158</f>
        <v>0</v>
      </c>
      <c r="G6158" s="11">
        <f t="shared" si="960"/>
        <v>0</v>
      </c>
      <c r="H6158" s="11">
        <f t="shared" si="961"/>
        <v>0</v>
      </c>
      <c r="I6158" s="11">
        <f t="shared" si="962"/>
        <v>0</v>
      </c>
      <c r="J6158" s="12">
        <f t="shared" si="963"/>
        <v>0</v>
      </c>
      <c r="K6158" s="17" t="str">
        <f t="shared" si="968"/>
        <v>Pas d'écart</v>
      </c>
      <c r="L6158" s="16">
        <f>base!X6158</f>
        <v>0</v>
      </c>
      <c r="M6158" s="11">
        <f t="shared" si="964"/>
        <v>0</v>
      </c>
      <c r="N6158" s="11">
        <f t="shared" si="965"/>
        <v>0</v>
      </c>
      <c r="O6158" s="11">
        <f t="shared" si="966"/>
        <v>0</v>
      </c>
      <c r="P6158" s="12">
        <f t="shared" si="967"/>
        <v>0</v>
      </c>
      <c r="Q6158" s="17" t="str">
        <f t="shared" si="969"/>
        <v>Pas d'écart</v>
      </c>
    </row>
    <row r="6159" spans="1:17" x14ac:dyDescent="0.3">
      <c r="A6159" s="34" t="str">
        <f>base!J6159</f>
        <v>LS</v>
      </c>
      <c r="B6159" s="34" t="str">
        <f>base!V6159</f>
        <v>69800</v>
      </c>
      <c r="C6159" s="37">
        <v>13</v>
      </c>
      <c r="D6159" s="36">
        <f>base!H6159</f>
        <v>137.59</v>
      </c>
      <c r="E6159" s="44"/>
      <c r="F6159" s="16">
        <f>base!W6159</f>
        <v>37.15</v>
      </c>
      <c r="G6159" s="11">
        <f t="shared" si="960"/>
        <v>0.27000508757903918</v>
      </c>
      <c r="H6159" s="11">
        <f t="shared" si="961"/>
        <v>39.9011</v>
      </c>
      <c r="I6159" s="11">
        <f t="shared" si="962"/>
        <v>0.28999999999999998</v>
      </c>
      <c r="J6159" s="12">
        <f t="shared" si="963"/>
        <v>-2.751100000000001</v>
      </c>
      <c r="K6159" s="17" t="str">
        <f t="shared" si="968"/>
        <v>Ecart négatif</v>
      </c>
      <c r="L6159" s="16">
        <f>base!X6159</f>
        <v>0</v>
      </c>
      <c r="M6159" s="11">
        <f t="shared" si="964"/>
        <v>0</v>
      </c>
      <c r="N6159" s="11">
        <f t="shared" si="965"/>
        <v>26.142099999999999</v>
      </c>
      <c r="O6159" s="11">
        <f t="shared" si="966"/>
        <v>0.19</v>
      </c>
      <c r="P6159" s="12">
        <f t="shared" si="967"/>
        <v>-26.142099999999999</v>
      </c>
      <c r="Q6159" s="17" t="str">
        <f t="shared" si="969"/>
        <v>Ecart négatif</v>
      </c>
    </row>
    <row r="6160" spans="1:17" x14ac:dyDescent="0.3">
      <c r="A6160" s="34" t="str">
        <f>base!J6160</f>
        <v>LS</v>
      </c>
      <c r="B6160" s="34" t="str">
        <f>base!V6160</f>
        <v>29260</v>
      </c>
      <c r="C6160" s="37">
        <v>13</v>
      </c>
      <c r="D6160" s="36">
        <f>base!H6160</f>
        <v>55.16</v>
      </c>
      <c r="E6160" s="44"/>
      <c r="F6160" s="16">
        <f>base!W6160</f>
        <v>21.51</v>
      </c>
      <c r="G6160" s="11">
        <f t="shared" si="960"/>
        <v>0.38995649021029738</v>
      </c>
      <c r="H6160" s="11">
        <f t="shared" si="961"/>
        <v>15.996399999999998</v>
      </c>
      <c r="I6160" s="11">
        <f t="shared" si="962"/>
        <v>0.28999999999999998</v>
      </c>
      <c r="J6160" s="12">
        <f t="shared" si="963"/>
        <v>5.5136000000000038</v>
      </c>
      <c r="K6160" s="17" t="str">
        <f t="shared" si="968"/>
        <v>Ecart positif</v>
      </c>
      <c r="L6160" s="16">
        <f>base!X6160</f>
        <v>0</v>
      </c>
      <c r="M6160" s="11">
        <f t="shared" si="964"/>
        <v>0</v>
      </c>
      <c r="N6160" s="11">
        <f t="shared" si="965"/>
        <v>10.480399999999999</v>
      </c>
      <c r="O6160" s="11">
        <f t="shared" si="966"/>
        <v>0.19</v>
      </c>
      <c r="P6160" s="12">
        <f t="shared" si="967"/>
        <v>-10.480399999999999</v>
      </c>
      <c r="Q6160" s="17" t="str">
        <f t="shared" si="969"/>
        <v>Ecart négatif</v>
      </c>
    </row>
    <row r="6161" spans="1:17" x14ac:dyDescent="0.3">
      <c r="A6161" s="34" t="str">
        <f>base!J6161</f>
        <v>LM</v>
      </c>
      <c r="B6161" s="34" t="str">
        <f>base!V6161</f>
        <v>75014</v>
      </c>
      <c r="C6161" s="37">
        <v>75</v>
      </c>
      <c r="D6161" s="36">
        <f>base!H6161</f>
        <v>107.6</v>
      </c>
      <c r="E6161" s="44"/>
      <c r="F6161" s="16">
        <f>base!W6161</f>
        <v>0</v>
      </c>
      <c r="G6161" s="11">
        <f t="shared" si="960"/>
        <v>0</v>
      </c>
      <c r="H6161" s="11">
        <f t="shared" si="961"/>
        <v>0</v>
      </c>
      <c r="I6161" s="11">
        <f t="shared" si="962"/>
        <v>0</v>
      </c>
      <c r="J6161" s="12">
        <f t="shared" si="963"/>
        <v>0</v>
      </c>
      <c r="K6161" s="17" t="str">
        <f t="shared" si="968"/>
        <v>Pas d'écart</v>
      </c>
      <c r="L6161" s="16">
        <f>base!X6161</f>
        <v>0</v>
      </c>
      <c r="M6161" s="11">
        <f t="shared" si="964"/>
        <v>0</v>
      </c>
      <c r="N6161" s="11">
        <f t="shared" si="965"/>
        <v>0</v>
      </c>
      <c r="O6161" s="11">
        <f t="shared" si="966"/>
        <v>0</v>
      </c>
      <c r="P6161" s="12">
        <f t="shared" si="967"/>
        <v>0</v>
      </c>
      <c r="Q6161" s="17" t="str">
        <f t="shared" si="969"/>
        <v>Pas d'écart</v>
      </c>
    </row>
    <row r="6162" spans="1:17" x14ac:dyDescent="0.3">
      <c r="A6162" s="34" t="str">
        <f>base!J6162</f>
        <v>LM</v>
      </c>
      <c r="B6162" s="34" t="str">
        <f>base!V6162</f>
        <v>67000</v>
      </c>
      <c r="C6162" s="37">
        <v>13</v>
      </c>
      <c r="D6162" s="36">
        <f>base!H6162</f>
        <v>174.15</v>
      </c>
      <c r="E6162" s="44"/>
      <c r="F6162" s="16">
        <f>base!W6162</f>
        <v>50.5</v>
      </c>
      <c r="G6162" s="11">
        <f t="shared" si="960"/>
        <v>0.28997990238300314</v>
      </c>
      <c r="H6162" s="11">
        <f t="shared" si="961"/>
        <v>50.503499999999995</v>
      </c>
      <c r="I6162" s="11">
        <f t="shared" si="962"/>
        <v>0.28999999999999998</v>
      </c>
      <c r="J6162" s="12">
        <f t="shared" si="963"/>
        <v>-3.4999999999953957E-3</v>
      </c>
      <c r="K6162" s="17" t="str">
        <f t="shared" si="968"/>
        <v>Ecart négatif</v>
      </c>
      <c r="L6162" s="16">
        <f>base!X6162</f>
        <v>0</v>
      </c>
      <c r="M6162" s="11">
        <f t="shared" si="964"/>
        <v>0</v>
      </c>
      <c r="N6162" s="11">
        <f t="shared" si="965"/>
        <v>33.088500000000003</v>
      </c>
      <c r="O6162" s="11">
        <f t="shared" si="966"/>
        <v>0.19</v>
      </c>
      <c r="P6162" s="12">
        <f t="shared" si="967"/>
        <v>-33.088500000000003</v>
      </c>
      <c r="Q6162" s="17" t="str">
        <f t="shared" si="969"/>
        <v>Ecart négatif</v>
      </c>
    </row>
    <row r="6163" spans="1:17" x14ac:dyDescent="0.3">
      <c r="A6163" s="34">
        <f>base!J6163</f>
        <v>0</v>
      </c>
      <c r="B6163" s="34" t="str">
        <f>base!V6163</f>
        <v>44240</v>
      </c>
      <c r="C6163" s="37">
        <v>44</v>
      </c>
      <c r="D6163" s="36">
        <f>base!H6163</f>
        <v>117.8</v>
      </c>
      <c r="E6163" s="44"/>
      <c r="F6163" s="16">
        <f>base!W6163</f>
        <v>0</v>
      </c>
      <c r="G6163" s="11">
        <f t="shared" si="960"/>
        <v>0</v>
      </c>
      <c r="H6163" s="11">
        <f t="shared" si="961"/>
        <v>31.806000000000001</v>
      </c>
      <c r="I6163" s="11">
        <f t="shared" si="962"/>
        <v>0.27</v>
      </c>
      <c r="J6163" s="12">
        <f t="shared" si="963"/>
        <v>-31.806000000000001</v>
      </c>
      <c r="K6163" s="17" t="str">
        <f t="shared" si="968"/>
        <v>Ecart négatif</v>
      </c>
      <c r="L6163" s="16">
        <f>base!X6163</f>
        <v>0</v>
      </c>
      <c r="M6163" s="11">
        <f t="shared" si="964"/>
        <v>0</v>
      </c>
      <c r="N6163" s="11">
        <f t="shared" si="965"/>
        <v>0</v>
      </c>
      <c r="O6163" s="11">
        <f t="shared" si="966"/>
        <v>0</v>
      </c>
      <c r="P6163" s="12">
        <f t="shared" si="967"/>
        <v>0</v>
      </c>
      <c r="Q6163" s="17" t="str">
        <f t="shared" si="969"/>
        <v>Pas d'écart</v>
      </c>
    </row>
    <row r="6164" spans="1:17" x14ac:dyDescent="0.3">
      <c r="A6164" s="34" t="str">
        <f>base!J6164</f>
        <v>RS</v>
      </c>
      <c r="B6164" s="34" t="str">
        <f>base!V6164</f>
        <v>59400</v>
      </c>
      <c r="C6164" s="37">
        <v>59</v>
      </c>
      <c r="D6164" s="36">
        <f>base!H6164</f>
        <v>180</v>
      </c>
      <c r="E6164" s="44"/>
      <c r="F6164" s="16">
        <f>base!W6164</f>
        <v>0</v>
      </c>
      <c r="G6164" s="11">
        <f t="shared" si="960"/>
        <v>0</v>
      </c>
      <c r="H6164" s="11">
        <f t="shared" si="961"/>
        <v>34.200000000000003</v>
      </c>
      <c r="I6164" s="11">
        <f t="shared" si="962"/>
        <v>0.19</v>
      </c>
      <c r="J6164" s="12">
        <f t="shared" si="963"/>
        <v>-34.200000000000003</v>
      </c>
      <c r="K6164" s="17" t="str">
        <f t="shared" si="968"/>
        <v>Ecart négatif</v>
      </c>
      <c r="L6164" s="16">
        <f>base!X6164</f>
        <v>0</v>
      </c>
      <c r="M6164" s="11">
        <f t="shared" si="964"/>
        <v>0</v>
      </c>
      <c r="N6164" s="11">
        <f t="shared" si="965"/>
        <v>0</v>
      </c>
      <c r="O6164" s="11">
        <f t="shared" si="966"/>
        <v>0</v>
      </c>
      <c r="P6164" s="12">
        <f t="shared" si="967"/>
        <v>0</v>
      </c>
      <c r="Q6164" s="17" t="str">
        <f t="shared" si="969"/>
        <v>Pas d'écart</v>
      </c>
    </row>
    <row r="6165" spans="1:17" x14ac:dyDescent="0.3">
      <c r="A6165" s="34" t="str">
        <f>base!J6165</f>
        <v>LS</v>
      </c>
      <c r="B6165" s="34" t="str">
        <f>base!V6165</f>
        <v>83190</v>
      </c>
      <c r="C6165" s="37">
        <v>63</v>
      </c>
      <c r="D6165" s="36">
        <f>base!H6165</f>
        <v>13</v>
      </c>
      <c r="E6165" s="44"/>
      <c r="F6165" s="16">
        <f>base!W6165</f>
        <v>0</v>
      </c>
      <c r="G6165" s="11">
        <f t="shared" si="960"/>
        <v>0</v>
      </c>
      <c r="H6165" s="11">
        <f t="shared" si="961"/>
        <v>3.7699999999999996</v>
      </c>
      <c r="I6165" s="11">
        <f t="shared" si="962"/>
        <v>0.28999999999999998</v>
      </c>
      <c r="J6165" s="12">
        <f t="shared" si="963"/>
        <v>-3.7699999999999996</v>
      </c>
      <c r="K6165" s="17" t="str">
        <f t="shared" si="968"/>
        <v>Ecart négatif</v>
      </c>
      <c r="L6165" s="16">
        <f>base!X6165</f>
        <v>0</v>
      </c>
      <c r="M6165" s="11">
        <f t="shared" si="964"/>
        <v>0</v>
      </c>
      <c r="N6165" s="11">
        <f t="shared" si="965"/>
        <v>1.56</v>
      </c>
      <c r="O6165" s="11">
        <f t="shared" si="966"/>
        <v>0.12000000000000001</v>
      </c>
      <c r="P6165" s="12">
        <f t="shared" si="967"/>
        <v>-1.56</v>
      </c>
      <c r="Q6165" s="17" t="str">
        <f t="shared" si="969"/>
        <v>Ecart négatif</v>
      </c>
    </row>
    <row r="6166" spans="1:17" x14ac:dyDescent="0.3">
      <c r="A6166" s="34" t="str">
        <f>base!J6166</f>
        <v>RS</v>
      </c>
      <c r="B6166" s="34" t="str">
        <f>base!V6166</f>
        <v>69330</v>
      </c>
      <c r="C6166" s="37">
        <v>69</v>
      </c>
      <c r="D6166" s="36">
        <f>base!H6166</f>
        <v>140</v>
      </c>
      <c r="E6166" s="44"/>
      <c r="F6166" s="16">
        <f>base!W6166</f>
        <v>0</v>
      </c>
      <c r="G6166" s="11">
        <f t="shared" si="960"/>
        <v>0</v>
      </c>
      <c r="H6166" s="11">
        <f t="shared" si="961"/>
        <v>37.800000000000004</v>
      </c>
      <c r="I6166" s="11">
        <f t="shared" si="962"/>
        <v>0.27</v>
      </c>
      <c r="J6166" s="12">
        <f t="shared" si="963"/>
        <v>-37.800000000000004</v>
      </c>
      <c r="K6166" s="17" t="str">
        <f t="shared" si="968"/>
        <v>Ecart négatif</v>
      </c>
      <c r="L6166" s="16">
        <f>base!X6166</f>
        <v>0</v>
      </c>
      <c r="M6166" s="11">
        <f t="shared" si="964"/>
        <v>0</v>
      </c>
      <c r="N6166" s="11">
        <f t="shared" si="965"/>
        <v>0</v>
      </c>
      <c r="O6166" s="11">
        <f t="shared" si="966"/>
        <v>0</v>
      </c>
      <c r="P6166" s="12">
        <f t="shared" si="967"/>
        <v>0</v>
      </c>
      <c r="Q6166" s="17" t="str">
        <f t="shared" si="969"/>
        <v>Pas d'écart</v>
      </c>
    </row>
    <row r="6167" spans="1:17" x14ac:dyDescent="0.3">
      <c r="A6167" s="34" t="str">
        <f>base!J6167</f>
        <v>LM</v>
      </c>
      <c r="B6167" s="34" t="str">
        <f>base!V6167</f>
        <v>75014</v>
      </c>
      <c r="C6167" s="37">
        <v>75</v>
      </c>
      <c r="D6167" s="36">
        <f>base!H6167</f>
        <v>19.649999999999999</v>
      </c>
      <c r="E6167" s="44"/>
      <c r="F6167" s="16">
        <f>base!W6167</f>
        <v>0</v>
      </c>
      <c r="G6167" s="11">
        <f t="shared" si="960"/>
        <v>0</v>
      </c>
      <c r="H6167" s="11">
        <f t="shared" si="961"/>
        <v>0</v>
      </c>
      <c r="I6167" s="11">
        <f t="shared" si="962"/>
        <v>0</v>
      </c>
      <c r="J6167" s="12">
        <f t="shared" si="963"/>
        <v>0</v>
      </c>
      <c r="K6167" s="17" t="str">
        <f t="shared" si="968"/>
        <v>Pas d'écart</v>
      </c>
      <c r="L6167" s="16">
        <f>base!X6167</f>
        <v>0</v>
      </c>
      <c r="M6167" s="11">
        <f t="shared" si="964"/>
        <v>0</v>
      </c>
      <c r="N6167" s="11">
        <f t="shared" si="965"/>
        <v>0</v>
      </c>
      <c r="O6167" s="11">
        <f t="shared" si="966"/>
        <v>0</v>
      </c>
      <c r="P6167" s="12">
        <f t="shared" si="967"/>
        <v>0</v>
      </c>
      <c r="Q6167" s="17" t="str">
        <f t="shared" si="969"/>
        <v>Pas d'écart</v>
      </c>
    </row>
    <row r="6168" spans="1:17" x14ac:dyDescent="0.3">
      <c r="A6168" s="34" t="str">
        <f>base!J6168</f>
        <v>LM</v>
      </c>
      <c r="B6168" s="34" t="str">
        <f>base!V6168</f>
        <v>75014</v>
      </c>
      <c r="C6168" s="37">
        <v>75</v>
      </c>
      <c r="D6168" s="36">
        <f>base!H6168</f>
        <v>19.649999999999999</v>
      </c>
      <c r="E6168" s="44"/>
      <c r="F6168" s="16">
        <f>base!W6168</f>
        <v>0</v>
      </c>
      <c r="G6168" s="11">
        <f t="shared" si="960"/>
        <v>0</v>
      </c>
      <c r="H6168" s="11">
        <f t="shared" si="961"/>
        <v>0</v>
      </c>
      <c r="I6168" s="11">
        <f t="shared" si="962"/>
        <v>0</v>
      </c>
      <c r="J6168" s="12">
        <f t="shared" si="963"/>
        <v>0</v>
      </c>
      <c r="K6168" s="17" t="str">
        <f t="shared" si="968"/>
        <v>Pas d'écart</v>
      </c>
      <c r="L6168" s="16">
        <f>base!X6168</f>
        <v>0</v>
      </c>
      <c r="M6168" s="11">
        <f t="shared" si="964"/>
        <v>0</v>
      </c>
      <c r="N6168" s="11">
        <f t="shared" si="965"/>
        <v>0</v>
      </c>
      <c r="O6168" s="11">
        <f t="shared" si="966"/>
        <v>0</v>
      </c>
      <c r="P6168" s="12">
        <f t="shared" si="967"/>
        <v>0</v>
      </c>
      <c r="Q6168" s="17" t="str">
        <f t="shared" si="969"/>
        <v>Pas d'écart</v>
      </c>
    </row>
    <row r="6169" spans="1:17" x14ac:dyDescent="0.3">
      <c r="A6169" s="34" t="str">
        <f>base!J6169</f>
        <v>LM</v>
      </c>
      <c r="B6169" s="34" t="str">
        <f>base!V6169</f>
        <v>75014</v>
      </c>
      <c r="C6169" s="37">
        <v>75</v>
      </c>
      <c r="D6169" s="36">
        <f>base!H6169</f>
        <v>19.649999999999999</v>
      </c>
      <c r="E6169" s="44"/>
      <c r="F6169" s="16">
        <f>base!W6169</f>
        <v>0</v>
      </c>
      <c r="G6169" s="11">
        <f t="shared" si="960"/>
        <v>0</v>
      </c>
      <c r="H6169" s="11">
        <f t="shared" si="961"/>
        <v>0</v>
      </c>
      <c r="I6169" s="11">
        <f t="shared" si="962"/>
        <v>0</v>
      </c>
      <c r="J6169" s="12">
        <f t="shared" si="963"/>
        <v>0</v>
      </c>
      <c r="K6169" s="17" t="str">
        <f t="shared" si="968"/>
        <v>Pas d'écart</v>
      </c>
      <c r="L6169" s="16">
        <f>base!X6169</f>
        <v>0</v>
      </c>
      <c r="M6169" s="11">
        <f t="shared" si="964"/>
        <v>0</v>
      </c>
      <c r="N6169" s="11">
        <f t="shared" si="965"/>
        <v>0</v>
      </c>
      <c r="O6169" s="11">
        <f t="shared" si="966"/>
        <v>0</v>
      </c>
      <c r="P6169" s="12">
        <f t="shared" si="967"/>
        <v>0</v>
      </c>
      <c r="Q6169" s="17" t="str">
        <f t="shared" si="969"/>
        <v>Pas d'écart</v>
      </c>
    </row>
    <row r="6170" spans="1:17" x14ac:dyDescent="0.3">
      <c r="A6170" s="34" t="str">
        <f>base!J6170</f>
        <v>LM</v>
      </c>
      <c r="B6170" s="34" t="str">
        <f>base!V6170</f>
        <v>75014</v>
      </c>
      <c r="C6170" s="37">
        <v>75</v>
      </c>
      <c r="D6170" s="36">
        <f>base!H6170</f>
        <v>19.649999999999999</v>
      </c>
      <c r="E6170" s="44"/>
      <c r="F6170" s="16">
        <f>base!W6170</f>
        <v>0</v>
      </c>
      <c r="G6170" s="11">
        <f t="shared" si="960"/>
        <v>0</v>
      </c>
      <c r="H6170" s="11">
        <f t="shared" si="961"/>
        <v>0</v>
      </c>
      <c r="I6170" s="11">
        <f t="shared" si="962"/>
        <v>0</v>
      </c>
      <c r="J6170" s="12">
        <f t="shared" si="963"/>
        <v>0</v>
      </c>
      <c r="K6170" s="17" t="str">
        <f t="shared" si="968"/>
        <v>Pas d'écart</v>
      </c>
      <c r="L6170" s="16">
        <f>base!X6170</f>
        <v>0</v>
      </c>
      <c r="M6170" s="11">
        <f t="shared" si="964"/>
        <v>0</v>
      </c>
      <c r="N6170" s="11">
        <f t="shared" si="965"/>
        <v>0</v>
      </c>
      <c r="O6170" s="11">
        <f t="shared" si="966"/>
        <v>0</v>
      </c>
      <c r="P6170" s="12">
        <f t="shared" si="967"/>
        <v>0</v>
      </c>
      <c r="Q6170" s="17" t="str">
        <f t="shared" si="969"/>
        <v>Pas d'écart</v>
      </c>
    </row>
    <row r="6171" spans="1:17" x14ac:dyDescent="0.3">
      <c r="A6171" s="34" t="str">
        <f>base!J6171</f>
        <v>LM</v>
      </c>
      <c r="B6171" s="34" t="str">
        <f>base!V6171</f>
        <v>75014</v>
      </c>
      <c r="C6171" s="37">
        <v>75</v>
      </c>
      <c r="D6171" s="36">
        <f>base!H6171</f>
        <v>19.649999999999999</v>
      </c>
      <c r="E6171" s="44"/>
      <c r="F6171" s="16">
        <f>base!W6171</f>
        <v>0</v>
      </c>
      <c r="G6171" s="11">
        <f t="shared" si="960"/>
        <v>0</v>
      </c>
      <c r="H6171" s="11">
        <f t="shared" si="961"/>
        <v>0</v>
      </c>
      <c r="I6171" s="11">
        <f t="shared" si="962"/>
        <v>0</v>
      </c>
      <c r="J6171" s="12">
        <f t="shared" si="963"/>
        <v>0</v>
      </c>
      <c r="K6171" s="17" t="str">
        <f t="shared" si="968"/>
        <v>Pas d'écart</v>
      </c>
      <c r="L6171" s="16">
        <f>base!X6171</f>
        <v>0</v>
      </c>
      <c r="M6171" s="11">
        <f t="shared" si="964"/>
        <v>0</v>
      </c>
      <c r="N6171" s="11">
        <f t="shared" si="965"/>
        <v>0</v>
      </c>
      <c r="O6171" s="11">
        <f t="shared" si="966"/>
        <v>0</v>
      </c>
      <c r="P6171" s="12">
        <f t="shared" si="967"/>
        <v>0</v>
      </c>
      <c r="Q6171" s="17" t="str">
        <f t="shared" si="969"/>
        <v>Pas d'écart</v>
      </c>
    </row>
    <row r="6172" spans="1:17" x14ac:dyDescent="0.3">
      <c r="A6172" s="34" t="str">
        <f>base!J6172</f>
        <v>LS</v>
      </c>
      <c r="B6172" s="34" t="str">
        <f>base!V6172</f>
        <v>62220</v>
      </c>
      <c r="C6172" s="37">
        <v>84</v>
      </c>
      <c r="D6172" s="36">
        <f>base!H6172</f>
        <v>55.26</v>
      </c>
      <c r="E6172" s="44"/>
      <c r="F6172" s="16">
        <f>base!W6172</f>
        <v>10.5</v>
      </c>
      <c r="G6172" s="11">
        <f t="shared" si="960"/>
        <v>0.19001085776330076</v>
      </c>
      <c r="H6172" s="11">
        <f t="shared" si="961"/>
        <v>16.025399999999998</v>
      </c>
      <c r="I6172" s="11">
        <f t="shared" si="962"/>
        <v>0.28999999999999998</v>
      </c>
      <c r="J6172" s="12">
        <f t="shared" si="963"/>
        <v>-5.5253999999999976</v>
      </c>
      <c r="K6172" s="17" t="str">
        <f t="shared" si="968"/>
        <v>Ecart négatif</v>
      </c>
      <c r="L6172" s="16">
        <f>base!X6172</f>
        <v>0</v>
      </c>
      <c r="M6172" s="11">
        <f t="shared" si="964"/>
        <v>0</v>
      </c>
      <c r="N6172" s="11">
        <f t="shared" si="965"/>
        <v>10.4994</v>
      </c>
      <c r="O6172" s="11">
        <f t="shared" si="966"/>
        <v>0.19</v>
      </c>
      <c r="P6172" s="12">
        <f t="shared" si="967"/>
        <v>-10.4994</v>
      </c>
      <c r="Q6172" s="17" t="str">
        <f t="shared" si="969"/>
        <v>Ecart négatif</v>
      </c>
    </row>
    <row r="6173" spans="1:17" x14ac:dyDescent="0.3">
      <c r="A6173" s="34" t="str">
        <f>base!J6173</f>
        <v>LS</v>
      </c>
      <c r="B6173" s="34" t="str">
        <f>base!V6173</f>
        <v>39700</v>
      </c>
      <c r="C6173" s="37">
        <v>39</v>
      </c>
      <c r="D6173" s="36">
        <f>base!H6173</f>
        <v>0</v>
      </c>
      <c r="E6173" s="44"/>
      <c r="F6173" s="16">
        <f>base!W6173</f>
        <v>0</v>
      </c>
      <c r="G6173" s="11" t="e">
        <f t="shared" si="960"/>
        <v>#DIV/0!</v>
      </c>
      <c r="H6173" s="11">
        <f t="shared" si="961"/>
        <v>0</v>
      </c>
      <c r="I6173" s="11" t="e">
        <f t="shared" si="962"/>
        <v>#DIV/0!</v>
      </c>
      <c r="J6173" s="12">
        <f t="shared" si="963"/>
        <v>0</v>
      </c>
      <c r="K6173" s="17" t="str">
        <f t="shared" si="968"/>
        <v>Pas d'écart</v>
      </c>
      <c r="L6173" s="16">
        <f>base!X6173</f>
        <v>0</v>
      </c>
      <c r="M6173" s="11" t="e">
        <f t="shared" si="964"/>
        <v>#DIV/0!</v>
      </c>
      <c r="N6173" s="11">
        <f t="shared" si="965"/>
        <v>0</v>
      </c>
      <c r="O6173" s="11" t="e">
        <f t="shared" si="966"/>
        <v>#DIV/0!</v>
      </c>
      <c r="P6173" s="12">
        <f t="shared" si="967"/>
        <v>0</v>
      </c>
      <c r="Q6173" s="17" t="str">
        <f t="shared" si="969"/>
        <v>Pas d'écart</v>
      </c>
    </row>
    <row r="6174" spans="1:17" x14ac:dyDescent="0.3">
      <c r="A6174" s="34" t="str">
        <f>base!J6174</f>
        <v>LM</v>
      </c>
      <c r="B6174" s="34" t="str">
        <f>base!V6174</f>
        <v>62180</v>
      </c>
      <c r="C6174" s="37">
        <v>67</v>
      </c>
      <c r="D6174" s="36">
        <f>base!H6174</f>
        <v>55.31</v>
      </c>
      <c r="E6174" s="44"/>
      <c r="F6174" s="16">
        <f>base!W6174</f>
        <v>10.51</v>
      </c>
      <c r="G6174" s="11">
        <f t="shared" si="960"/>
        <v>0.19001988790453805</v>
      </c>
      <c r="H6174" s="11">
        <f t="shared" si="961"/>
        <v>16.039899999999999</v>
      </c>
      <c r="I6174" s="11">
        <f t="shared" si="962"/>
        <v>0.28999999999999998</v>
      </c>
      <c r="J6174" s="12">
        <f t="shared" si="963"/>
        <v>-5.5298999999999996</v>
      </c>
      <c r="K6174" s="17" t="str">
        <f t="shared" si="968"/>
        <v>Ecart négatif</v>
      </c>
      <c r="L6174" s="16">
        <f>base!X6174</f>
        <v>0</v>
      </c>
      <c r="M6174" s="11">
        <f t="shared" si="964"/>
        <v>0</v>
      </c>
      <c r="N6174" s="11">
        <f t="shared" si="965"/>
        <v>4.4248000000000003</v>
      </c>
      <c r="O6174" s="11">
        <f t="shared" si="966"/>
        <v>0.08</v>
      </c>
      <c r="P6174" s="12">
        <f t="shared" si="967"/>
        <v>-4.4248000000000003</v>
      </c>
      <c r="Q6174" s="17" t="str">
        <f t="shared" si="969"/>
        <v>Ecart négatif</v>
      </c>
    </row>
    <row r="6175" spans="1:17" x14ac:dyDescent="0.3">
      <c r="A6175" s="34">
        <f>base!J6175</f>
        <v>0</v>
      </c>
      <c r="B6175" s="34" t="str">
        <f>base!V6175</f>
        <v>77184</v>
      </c>
      <c r="C6175" s="37">
        <v>77</v>
      </c>
      <c r="D6175" s="36">
        <f>base!H6175</f>
        <v>148</v>
      </c>
      <c r="E6175" s="44"/>
      <c r="F6175" s="16">
        <f>base!W6175</f>
        <v>0</v>
      </c>
      <c r="G6175" s="11">
        <f t="shared" si="960"/>
        <v>0</v>
      </c>
      <c r="H6175" s="11">
        <f t="shared" si="961"/>
        <v>0</v>
      </c>
      <c r="I6175" s="11">
        <f t="shared" si="962"/>
        <v>0</v>
      </c>
      <c r="J6175" s="12">
        <f t="shared" si="963"/>
        <v>0</v>
      </c>
      <c r="K6175" s="17" t="str">
        <f t="shared" si="968"/>
        <v>Pas d'écart</v>
      </c>
      <c r="L6175" s="16">
        <f>base!X6175</f>
        <v>0</v>
      </c>
      <c r="M6175" s="11">
        <f t="shared" si="964"/>
        <v>0</v>
      </c>
      <c r="N6175" s="11">
        <f t="shared" si="965"/>
        <v>0</v>
      </c>
      <c r="O6175" s="11">
        <f t="shared" si="966"/>
        <v>0</v>
      </c>
      <c r="P6175" s="12">
        <f t="shared" si="967"/>
        <v>0</v>
      </c>
      <c r="Q6175" s="17" t="str">
        <f t="shared" si="969"/>
        <v>Pas d'écart</v>
      </c>
    </row>
    <row r="6176" spans="1:17" x14ac:dyDescent="0.3">
      <c r="A6176" s="34" t="str">
        <f>base!J6176</f>
        <v>LM</v>
      </c>
      <c r="B6176" s="34" t="str">
        <f>base!V6176</f>
        <v>02570</v>
      </c>
      <c r="C6176" s="37">
        <v>67</v>
      </c>
      <c r="D6176" s="36">
        <f>base!H6176</f>
        <v>67.25</v>
      </c>
      <c r="E6176" s="44"/>
      <c r="F6176" s="16">
        <f>base!W6176</f>
        <v>12.78</v>
      </c>
      <c r="G6176" s="11">
        <f t="shared" si="960"/>
        <v>0.19003717472118958</v>
      </c>
      <c r="H6176" s="11">
        <f t="shared" si="961"/>
        <v>19.502499999999998</v>
      </c>
      <c r="I6176" s="11">
        <f t="shared" si="962"/>
        <v>0.28999999999999998</v>
      </c>
      <c r="J6176" s="12">
        <f t="shared" si="963"/>
        <v>-6.7224999999999984</v>
      </c>
      <c r="K6176" s="17" t="str">
        <f t="shared" si="968"/>
        <v>Ecart négatif</v>
      </c>
      <c r="L6176" s="16">
        <f>base!X6176</f>
        <v>0</v>
      </c>
      <c r="M6176" s="11">
        <f t="shared" si="964"/>
        <v>0</v>
      </c>
      <c r="N6176" s="11">
        <f t="shared" si="965"/>
        <v>5.38</v>
      </c>
      <c r="O6176" s="11">
        <f t="shared" si="966"/>
        <v>0.08</v>
      </c>
      <c r="P6176" s="12">
        <f t="shared" si="967"/>
        <v>-5.38</v>
      </c>
      <c r="Q6176" s="17" t="str">
        <f t="shared" si="969"/>
        <v>Ecart négatif</v>
      </c>
    </row>
    <row r="6177" spans="1:18" x14ac:dyDescent="0.3">
      <c r="A6177" s="34" t="str">
        <f>base!J6177</f>
        <v>LS</v>
      </c>
      <c r="B6177" s="34" t="str">
        <f>base!V6177</f>
        <v>76590</v>
      </c>
      <c r="C6177" s="37">
        <v>67</v>
      </c>
      <c r="D6177" s="36">
        <f>base!H6177</f>
        <v>194.79</v>
      </c>
      <c r="E6177" s="44"/>
      <c r="F6177" s="16">
        <f>base!W6177</f>
        <v>33.11</v>
      </c>
      <c r="G6177" s="11">
        <f t="shared" si="960"/>
        <v>0.16997792494481237</v>
      </c>
      <c r="H6177" s="11">
        <f t="shared" si="961"/>
        <v>56.489099999999993</v>
      </c>
      <c r="I6177" s="11">
        <f t="shared" si="962"/>
        <v>0.28999999999999998</v>
      </c>
      <c r="J6177" s="12">
        <f t="shared" si="963"/>
        <v>-23.379099999999994</v>
      </c>
      <c r="K6177" s="17" t="str">
        <f t="shared" si="968"/>
        <v>Ecart négatif</v>
      </c>
      <c r="L6177" s="16">
        <f>base!X6177</f>
        <v>0</v>
      </c>
      <c r="M6177" s="11">
        <f t="shared" si="964"/>
        <v>0</v>
      </c>
      <c r="N6177" s="11">
        <f t="shared" si="965"/>
        <v>15.5832</v>
      </c>
      <c r="O6177" s="11">
        <f t="shared" si="966"/>
        <v>0.08</v>
      </c>
      <c r="P6177" s="12">
        <f t="shared" si="967"/>
        <v>-15.5832</v>
      </c>
      <c r="Q6177" s="17" t="str">
        <f t="shared" si="969"/>
        <v>Ecart négatif</v>
      </c>
    </row>
    <row r="6178" spans="1:18" x14ac:dyDescent="0.3">
      <c r="A6178" s="34" t="str">
        <f>base!J6178</f>
        <v>RM</v>
      </c>
      <c r="B6178" s="34" t="str">
        <f>base!V6178</f>
        <v>54000</v>
      </c>
      <c r="C6178" s="37">
        <v>54</v>
      </c>
      <c r="D6178" s="36">
        <f>base!H6178</f>
        <v>140</v>
      </c>
      <c r="E6178" s="44"/>
      <c r="F6178" s="16">
        <f>base!W6178</f>
        <v>0</v>
      </c>
      <c r="G6178" s="11">
        <f t="shared" si="960"/>
        <v>0</v>
      </c>
      <c r="H6178" s="11">
        <f t="shared" si="961"/>
        <v>35</v>
      </c>
      <c r="I6178" s="11">
        <f t="shared" si="962"/>
        <v>0.25</v>
      </c>
      <c r="J6178" s="12">
        <f t="shared" si="963"/>
        <v>-35</v>
      </c>
      <c r="K6178" s="17" t="str">
        <f t="shared" si="968"/>
        <v>Ecart négatif</v>
      </c>
      <c r="L6178" s="16">
        <f>base!X6178</f>
        <v>35</v>
      </c>
      <c r="M6178" s="11">
        <f t="shared" si="964"/>
        <v>0.25</v>
      </c>
      <c r="N6178" s="11">
        <f t="shared" si="965"/>
        <v>35</v>
      </c>
      <c r="O6178" s="11">
        <f t="shared" si="966"/>
        <v>0.25</v>
      </c>
      <c r="P6178" s="12">
        <f t="shared" si="967"/>
        <v>0</v>
      </c>
      <c r="Q6178" s="17" t="str">
        <f t="shared" si="969"/>
        <v>Pas d'écart</v>
      </c>
    </row>
    <row r="6179" spans="1:18" x14ac:dyDescent="0.3">
      <c r="A6179" s="34" t="str">
        <f>base!J6179</f>
        <v>LM</v>
      </c>
      <c r="B6179" s="34" t="str">
        <f>base!V6179</f>
        <v>75009</v>
      </c>
      <c r="C6179" s="37">
        <v>75</v>
      </c>
      <c r="D6179" s="36">
        <f>base!H6179</f>
        <v>28.26</v>
      </c>
      <c r="E6179" s="44"/>
      <c r="F6179" s="16">
        <f>base!W6179</f>
        <v>0</v>
      </c>
      <c r="G6179" s="11">
        <f t="shared" si="960"/>
        <v>0</v>
      </c>
      <c r="H6179" s="11">
        <f t="shared" si="961"/>
        <v>0</v>
      </c>
      <c r="I6179" s="11">
        <f t="shared" si="962"/>
        <v>0</v>
      </c>
      <c r="J6179" s="12">
        <f t="shared" si="963"/>
        <v>0</v>
      </c>
      <c r="K6179" s="17" t="str">
        <f t="shared" si="968"/>
        <v>Pas d'écart</v>
      </c>
      <c r="L6179" s="16">
        <f>base!X6179</f>
        <v>0</v>
      </c>
      <c r="M6179" s="11">
        <f t="shared" si="964"/>
        <v>0</v>
      </c>
      <c r="N6179" s="11">
        <f t="shared" si="965"/>
        <v>0</v>
      </c>
      <c r="O6179" s="11">
        <f t="shared" si="966"/>
        <v>0</v>
      </c>
      <c r="P6179" s="12">
        <f t="shared" si="967"/>
        <v>0</v>
      </c>
      <c r="Q6179" s="17" t="str">
        <f t="shared" si="969"/>
        <v>Pas d'écart</v>
      </c>
    </row>
    <row r="6180" spans="1:18" x14ac:dyDescent="0.3">
      <c r="A6180" s="34" t="str">
        <f>base!J6180</f>
        <v>RS</v>
      </c>
      <c r="B6180" s="34" t="str">
        <f>base!V6180</f>
        <v>25200</v>
      </c>
      <c r="C6180" s="37">
        <v>25</v>
      </c>
      <c r="D6180" s="36">
        <f>base!H6180</f>
        <v>151</v>
      </c>
      <c r="E6180" s="44"/>
      <c r="F6180" s="16">
        <f>base!W6180</f>
        <v>0</v>
      </c>
      <c r="G6180" s="11">
        <f t="shared" si="960"/>
        <v>0</v>
      </c>
      <c r="H6180" s="11">
        <f t="shared" si="961"/>
        <v>36.24</v>
      </c>
      <c r="I6180" s="11">
        <f t="shared" si="962"/>
        <v>0.24000000000000002</v>
      </c>
      <c r="J6180" s="12">
        <f t="shared" si="963"/>
        <v>-36.24</v>
      </c>
      <c r="K6180" s="17" t="str">
        <f t="shared" si="968"/>
        <v>Ecart négatif</v>
      </c>
      <c r="L6180" s="16">
        <f>base!X6180</f>
        <v>0</v>
      </c>
      <c r="M6180" s="11">
        <f t="shared" si="964"/>
        <v>0</v>
      </c>
      <c r="N6180" s="11">
        <f t="shared" si="965"/>
        <v>18.12</v>
      </c>
      <c r="O6180" s="11">
        <f t="shared" si="966"/>
        <v>0.12000000000000001</v>
      </c>
      <c r="P6180" s="12">
        <f t="shared" si="967"/>
        <v>-18.12</v>
      </c>
      <c r="Q6180" s="17" t="str">
        <f t="shared" si="969"/>
        <v>Ecart négatif</v>
      </c>
    </row>
    <row r="6181" spans="1:18" x14ac:dyDescent="0.3">
      <c r="A6181" s="34">
        <f>base!J6181</f>
        <v>0</v>
      </c>
      <c r="B6181" s="34" t="str">
        <f>base!V6181</f>
        <v>77184</v>
      </c>
      <c r="C6181" s="37">
        <v>77</v>
      </c>
      <c r="D6181" s="36">
        <f>base!H6181</f>
        <v>300</v>
      </c>
      <c r="E6181" s="44"/>
      <c r="F6181" s="16">
        <f>base!W6181</f>
        <v>0</v>
      </c>
      <c r="G6181" s="11">
        <f t="shared" si="960"/>
        <v>0</v>
      </c>
      <c r="H6181" s="11">
        <f t="shared" si="961"/>
        <v>0</v>
      </c>
      <c r="I6181" s="11">
        <f t="shared" si="962"/>
        <v>0</v>
      </c>
      <c r="J6181" s="12">
        <f t="shared" si="963"/>
        <v>0</v>
      </c>
      <c r="K6181" s="17" t="str">
        <f t="shared" si="968"/>
        <v>Pas d'écart</v>
      </c>
      <c r="L6181" s="16">
        <f>base!X6181</f>
        <v>0</v>
      </c>
      <c r="M6181" s="11">
        <f t="shared" si="964"/>
        <v>0</v>
      </c>
      <c r="N6181" s="11">
        <f t="shared" si="965"/>
        <v>0</v>
      </c>
      <c r="O6181" s="11">
        <f t="shared" si="966"/>
        <v>0</v>
      </c>
      <c r="P6181" s="12">
        <f t="shared" si="967"/>
        <v>0</v>
      </c>
      <c r="Q6181" s="17" t="str">
        <f t="shared" si="969"/>
        <v>Pas d'écart</v>
      </c>
    </row>
    <row r="6182" spans="1:18" x14ac:dyDescent="0.3">
      <c r="A6182" s="34" t="str">
        <f>base!J6182</f>
        <v>LS</v>
      </c>
      <c r="B6182" s="34" t="str">
        <f>base!V6182</f>
        <v>35133</v>
      </c>
      <c r="C6182" s="37">
        <v>67</v>
      </c>
      <c r="D6182" s="36">
        <f>base!H6182</f>
        <v>109.45</v>
      </c>
      <c r="E6182" s="44"/>
      <c r="F6182" s="16">
        <f>base!W6182</f>
        <v>29.55</v>
      </c>
      <c r="G6182" s="11">
        <f t="shared" si="960"/>
        <v>0.26998629511192324</v>
      </c>
      <c r="H6182" s="11">
        <f t="shared" si="961"/>
        <v>31.740499999999997</v>
      </c>
      <c r="I6182" s="11">
        <f t="shared" si="962"/>
        <v>0.28999999999999998</v>
      </c>
      <c r="J6182" s="12">
        <f t="shared" si="963"/>
        <v>-2.1904999999999966</v>
      </c>
      <c r="K6182" s="17" t="str">
        <f t="shared" si="968"/>
        <v>Ecart négatif</v>
      </c>
      <c r="L6182" s="16">
        <f>base!X6182</f>
        <v>0</v>
      </c>
      <c r="M6182" s="11">
        <f t="shared" si="964"/>
        <v>0</v>
      </c>
      <c r="N6182" s="11">
        <f t="shared" si="965"/>
        <v>8.7560000000000002</v>
      </c>
      <c r="O6182" s="11">
        <f t="shared" si="966"/>
        <v>0.08</v>
      </c>
      <c r="P6182" s="12">
        <f t="shared" si="967"/>
        <v>-8.7560000000000002</v>
      </c>
      <c r="Q6182" s="17" t="str">
        <f t="shared" si="969"/>
        <v>Ecart négatif</v>
      </c>
    </row>
    <row r="6183" spans="1:18" x14ac:dyDescent="0.3">
      <c r="A6183" s="34" t="str">
        <f>base!J6183</f>
        <v>RS</v>
      </c>
      <c r="B6183" s="34" t="str">
        <f>base!V6183</f>
        <v>62600</v>
      </c>
      <c r="C6183" s="37">
        <v>62</v>
      </c>
      <c r="D6183" s="36">
        <f>base!H6183</f>
        <v>156.4</v>
      </c>
      <c r="E6183" s="44"/>
      <c r="F6183" s="16">
        <f>base!W6183</f>
        <v>0</v>
      </c>
      <c r="G6183" s="11">
        <f t="shared" si="960"/>
        <v>0</v>
      </c>
      <c r="H6183" s="11">
        <f t="shared" si="961"/>
        <v>29.716000000000001</v>
      </c>
      <c r="I6183" s="11">
        <f t="shared" si="962"/>
        <v>0.19</v>
      </c>
      <c r="J6183" s="12">
        <f t="shared" si="963"/>
        <v>-29.716000000000001</v>
      </c>
      <c r="K6183" s="17" t="str">
        <f t="shared" si="968"/>
        <v>Ecart négatif</v>
      </c>
      <c r="L6183" s="16">
        <f>base!X6183</f>
        <v>0</v>
      </c>
      <c r="M6183" s="11">
        <f t="shared" si="964"/>
        <v>0</v>
      </c>
      <c r="N6183" s="11">
        <f t="shared" si="965"/>
        <v>0</v>
      </c>
      <c r="O6183" s="11">
        <f t="shared" si="966"/>
        <v>0</v>
      </c>
      <c r="P6183" s="12">
        <f t="shared" si="967"/>
        <v>0</v>
      </c>
      <c r="Q6183" s="17" t="str">
        <f t="shared" si="969"/>
        <v>Pas d'écart</v>
      </c>
    </row>
    <row r="6184" spans="1:18" x14ac:dyDescent="0.3">
      <c r="A6184" s="34" t="str">
        <f>base!J6184</f>
        <v>RM</v>
      </c>
      <c r="B6184" s="34" t="str">
        <f>base!V6184</f>
        <v>68120</v>
      </c>
      <c r="C6184" s="37">
        <v>68</v>
      </c>
      <c r="D6184" s="36">
        <f>base!H6184</f>
        <v>140</v>
      </c>
      <c r="E6184" s="44"/>
      <c r="F6184" s="16">
        <f>base!W6184</f>
        <v>0</v>
      </c>
      <c r="G6184" s="11">
        <f t="shared" si="960"/>
        <v>0</v>
      </c>
      <c r="H6184" s="11">
        <f t="shared" si="961"/>
        <v>40.599999999999994</v>
      </c>
      <c r="I6184" s="11">
        <f t="shared" si="962"/>
        <v>0.28999999999999998</v>
      </c>
      <c r="J6184" s="12">
        <f t="shared" si="963"/>
        <v>-40.599999999999994</v>
      </c>
      <c r="K6184" s="17" t="str">
        <f t="shared" si="968"/>
        <v>Ecart négatif</v>
      </c>
      <c r="L6184" s="16">
        <f>base!X6184</f>
        <v>11.2</v>
      </c>
      <c r="M6184" s="11">
        <f t="shared" si="964"/>
        <v>0.08</v>
      </c>
      <c r="N6184" s="11">
        <f t="shared" si="965"/>
        <v>11.200000000000001</v>
      </c>
      <c r="O6184" s="11">
        <f t="shared" si="966"/>
        <v>0.08</v>
      </c>
      <c r="P6184" s="12">
        <f t="shared" si="967"/>
        <v>0</v>
      </c>
      <c r="Q6184" s="17" t="str">
        <f t="shared" si="969"/>
        <v>Pas d'écart</v>
      </c>
      <c r="R6184" s="38"/>
    </row>
    <row r="6185" spans="1:18" x14ac:dyDescent="0.3">
      <c r="A6185" s="34" t="str">
        <f>base!J6185</f>
        <v>RM</v>
      </c>
      <c r="B6185" s="34" t="str">
        <f>base!V6185</f>
        <v>59890</v>
      </c>
      <c r="C6185" s="37">
        <v>59</v>
      </c>
      <c r="D6185" s="36">
        <f>base!H6185</f>
        <v>180</v>
      </c>
      <c r="E6185" s="44"/>
      <c r="F6185" s="16">
        <f>base!W6185</f>
        <v>0</v>
      </c>
      <c r="G6185" s="11">
        <f t="shared" si="960"/>
        <v>0</v>
      </c>
      <c r="H6185" s="11">
        <f t="shared" si="961"/>
        <v>34.200000000000003</v>
      </c>
      <c r="I6185" s="11">
        <f t="shared" si="962"/>
        <v>0.19</v>
      </c>
      <c r="J6185" s="12">
        <f t="shared" si="963"/>
        <v>-34.200000000000003</v>
      </c>
      <c r="K6185" s="17" t="str">
        <f t="shared" si="968"/>
        <v>Ecart négatif</v>
      </c>
      <c r="L6185" s="16">
        <f>base!X6185</f>
        <v>0</v>
      </c>
      <c r="M6185" s="11">
        <f t="shared" si="964"/>
        <v>0</v>
      </c>
      <c r="N6185" s="11">
        <f t="shared" si="965"/>
        <v>0</v>
      </c>
      <c r="O6185" s="11">
        <f t="shared" si="966"/>
        <v>0</v>
      </c>
      <c r="P6185" s="12">
        <f t="shared" si="967"/>
        <v>0</v>
      </c>
      <c r="Q6185" s="17" t="str">
        <f t="shared" si="969"/>
        <v>Pas d'écart</v>
      </c>
    </row>
    <row r="6186" spans="1:18" x14ac:dyDescent="0.3">
      <c r="A6186" s="34" t="str">
        <f>base!J6186</f>
        <v>LS</v>
      </c>
      <c r="B6186" s="34" t="str">
        <f>base!V6186</f>
        <v>28500</v>
      </c>
      <c r="C6186" s="37">
        <v>67</v>
      </c>
      <c r="D6186" s="36">
        <f>base!H6186</f>
        <v>126.75</v>
      </c>
      <c r="E6186" s="44"/>
      <c r="F6186" s="16">
        <f>base!W6186</f>
        <v>26.62</v>
      </c>
      <c r="G6186" s="11">
        <f t="shared" si="960"/>
        <v>0.21001972386587772</v>
      </c>
      <c r="H6186" s="11">
        <f t="shared" si="961"/>
        <v>36.7575</v>
      </c>
      <c r="I6186" s="11">
        <f t="shared" si="962"/>
        <v>0.28999999999999998</v>
      </c>
      <c r="J6186" s="12">
        <f t="shared" si="963"/>
        <v>-10.137499999999999</v>
      </c>
      <c r="K6186" s="17" t="str">
        <f t="shared" si="968"/>
        <v>Ecart négatif</v>
      </c>
      <c r="L6186" s="16">
        <f>base!X6186</f>
        <v>0</v>
      </c>
      <c r="M6186" s="11">
        <f t="shared" si="964"/>
        <v>0</v>
      </c>
      <c r="N6186" s="11">
        <f t="shared" si="965"/>
        <v>10.14</v>
      </c>
      <c r="O6186" s="11">
        <f t="shared" si="966"/>
        <v>0.08</v>
      </c>
      <c r="P6186" s="12">
        <f t="shared" si="967"/>
        <v>-10.14</v>
      </c>
      <c r="Q6186" s="17" t="str">
        <f t="shared" si="969"/>
        <v>Ecart négatif</v>
      </c>
    </row>
    <row r="6187" spans="1:18" x14ac:dyDescent="0.3">
      <c r="A6187" s="34" t="str">
        <f>base!J6187</f>
        <v>LS</v>
      </c>
      <c r="B6187" s="34" t="str">
        <f>base!V6187</f>
        <v>19100</v>
      </c>
      <c r="C6187" s="37">
        <v>67</v>
      </c>
      <c r="D6187" s="36">
        <f>base!H6187</f>
        <v>100.8</v>
      </c>
      <c r="E6187" s="44"/>
      <c r="F6187" s="16">
        <f>base!W6187</f>
        <v>29.23</v>
      </c>
      <c r="G6187" s="11">
        <f t="shared" si="960"/>
        <v>0.28998015873015875</v>
      </c>
      <c r="H6187" s="11">
        <f t="shared" si="961"/>
        <v>29.231999999999996</v>
      </c>
      <c r="I6187" s="11">
        <f t="shared" si="962"/>
        <v>0.28999999999999998</v>
      </c>
      <c r="J6187" s="12">
        <f t="shared" si="963"/>
        <v>-1.9999999999953388E-3</v>
      </c>
      <c r="K6187" s="17" t="str">
        <f t="shared" si="968"/>
        <v>Ecart négatif</v>
      </c>
      <c r="L6187" s="16">
        <f>base!X6187</f>
        <v>0</v>
      </c>
      <c r="M6187" s="11">
        <f t="shared" si="964"/>
        <v>0</v>
      </c>
      <c r="N6187" s="11">
        <f t="shared" si="965"/>
        <v>8.0640000000000001</v>
      </c>
      <c r="O6187" s="11">
        <f t="shared" si="966"/>
        <v>0.08</v>
      </c>
      <c r="P6187" s="12">
        <f t="shared" si="967"/>
        <v>-8.0640000000000001</v>
      </c>
      <c r="Q6187" s="17" t="str">
        <f t="shared" si="969"/>
        <v>Ecart négatif</v>
      </c>
    </row>
    <row r="6188" spans="1:18" x14ac:dyDescent="0.3">
      <c r="A6188" s="34" t="str">
        <f>base!J6188</f>
        <v>RS</v>
      </c>
      <c r="B6188" s="34" t="str">
        <f>base!V6188</f>
        <v>59777</v>
      </c>
      <c r="C6188" s="37">
        <v>59</v>
      </c>
      <c r="D6188" s="36">
        <f>base!H6188</f>
        <v>149.97999999999999</v>
      </c>
      <c r="E6188" s="44"/>
      <c r="F6188" s="16">
        <f>base!W6188</f>
        <v>0</v>
      </c>
      <c r="G6188" s="11">
        <f t="shared" si="960"/>
        <v>0</v>
      </c>
      <c r="H6188" s="11">
        <f t="shared" si="961"/>
        <v>28.496199999999998</v>
      </c>
      <c r="I6188" s="11">
        <f t="shared" si="962"/>
        <v>0.19</v>
      </c>
      <c r="J6188" s="12">
        <f t="shared" si="963"/>
        <v>-28.496199999999998</v>
      </c>
      <c r="K6188" s="17" t="str">
        <f t="shared" si="968"/>
        <v>Ecart négatif</v>
      </c>
      <c r="L6188" s="16">
        <f>base!X6188</f>
        <v>0</v>
      </c>
      <c r="M6188" s="11">
        <f t="shared" si="964"/>
        <v>0</v>
      </c>
      <c r="N6188" s="11">
        <f t="shared" si="965"/>
        <v>0</v>
      </c>
      <c r="O6188" s="11">
        <f t="shared" si="966"/>
        <v>0</v>
      </c>
      <c r="P6188" s="12">
        <f t="shared" si="967"/>
        <v>0</v>
      </c>
      <c r="Q6188" s="17" t="str">
        <f t="shared" si="969"/>
        <v>Pas d'écart</v>
      </c>
    </row>
    <row r="6189" spans="1:18" x14ac:dyDescent="0.3">
      <c r="A6189" s="34" t="str">
        <f>base!J6189</f>
        <v>LM</v>
      </c>
      <c r="B6189" s="34" t="str">
        <f>base!V6189</f>
        <v>62380</v>
      </c>
      <c r="C6189" s="37">
        <v>67</v>
      </c>
      <c r="D6189" s="36">
        <f>base!H6189</f>
        <v>19.8</v>
      </c>
      <c r="E6189" s="44"/>
      <c r="F6189" s="16">
        <f>base!W6189</f>
        <v>3.76</v>
      </c>
      <c r="G6189" s="11">
        <f t="shared" si="960"/>
        <v>0.18989898989898987</v>
      </c>
      <c r="H6189" s="11">
        <f t="shared" si="961"/>
        <v>5.742</v>
      </c>
      <c r="I6189" s="11">
        <f t="shared" si="962"/>
        <v>0.28999999999999998</v>
      </c>
      <c r="J6189" s="12">
        <f t="shared" si="963"/>
        <v>-1.9820000000000002</v>
      </c>
      <c r="K6189" s="17" t="str">
        <f t="shared" si="968"/>
        <v>Ecart négatif</v>
      </c>
      <c r="L6189" s="16">
        <f>base!X6189</f>
        <v>0</v>
      </c>
      <c r="M6189" s="11">
        <f t="shared" si="964"/>
        <v>0</v>
      </c>
      <c r="N6189" s="11">
        <f t="shared" si="965"/>
        <v>1.5840000000000001</v>
      </c>
      <c r="O6189" s="11">
        <f t="shared" si="966"/>
        <v>0.08</v>
      </c>
      <c r="P6189" s="12">
        <f t="shared" si="967"/>
        <v>-1.5840000000000001</v>
      </c>
      <c r="Q6189" s="17" t="str">
        <f t="shared" si="969"/>
        <v>Ecart négatif</v>
      </c>
    </row>
    <row r="6190" spans="1:18" x14ac:dyDescent="0.3">
      <c r="A6190" s="34" t="str">
        <f>base!J6190</f>
        <v>LM</v>
      </c>
      <c r="B6190" s="34" t="str">
        <f>base!V6190</f>
        <v>62300</v>
      </c>
      <c r="C6190" s="37">
        <v>67</v>
      </c>
      <c r="D6190" s="36">
        <f>base!H6190</f>
        <v>19.8</v>
      </c>
      <c r="E6190" s="44"/>
      <c r="F6190" s="16">
        <f>base!W6190</f>
        <v>3.76</v>
      </c>
      <c r="G6190" s="11">
        <f t="shared" si="960"/>
        <v>0.18989898989898987</v>
      </c>
      <c r="H6190" s="11">
        <f t="shared" si="961"/>
        <v>5.742</v>
      </c>
      <c r="I6190" s="11">
        <f t="shared" si="962"/>
        <v>0.28999999999999998</v>
      </c>
      <c r="J6190" s="12">
        <f t="shared" si="963"/>
        <v>-1.9820000000000002</v>
      </c>
      <c r="K6190" s="17" t="str">
        <f t="shared" si="968"/>
        <v>Ecart négatif</v>
      </c>
      <c r="L6190" s="16">
        <f>base!X6190</f>
        <v>0</v>
      </c>
      <c r="M6190" s="11">
        <f t="shared" si="964"/>
        <v>0</v>
      </c>
      <c r="N6190" s="11">
        <f t="shared" si="965"/>
        <v>1.5840000000000001</v>
      </c>
      <c r="O6190" s="11">
        <f t="shared" si="966"/>
        <v>0.08</v>
      </c>
      <c r="P6190" s="12">
        <f t="shared" si="967"/>
        <v>-1.5840000000000001</v>
      </c>
      <c r="Q6190" s="17" t="str">
        <f t="shared" si="969"/>
        <v>Ecart négatif</v>
      </c>
    </row>
    <row r="6191" spans="1:18" x14ac:dyDescent="0.3">
      <c r="A6191" s="34" t="str">
        <f>base!J6191</f>
        <v>LS</v>
      </c>
      <c r="B6191" s="34" t="str">
        <f>base!V6191</f>
        <v>29620</v>
      </c>
      <c r="C6191" s="37">
        <v>67</v>
      </c>
      <c r="D6191" s="36">
        <f>base!H6191</f>
        <v>120.65</v>
      </c>
      <c r="E6191" s="44"/>
      <c r="F6191" s="16">
        <f>base!W6191</f>
        <v>47.05</v>
      </c>
      <c r="G6191" s="11">
        <f t="shared" si="960"/>
        <v>0.3899709904682967</v>
      </c>
      <c r="H6191" s="11">
        <f t="shared" si="961"/>
        <v>34.988500000000002</v>
      </c>
      <c r="I6191" s="11">
        <f t="shared" si="962"/>
        <v>0.28999999999999998</v>
      </c>
      <c r="J6191" s="12">
        <f t="shared" si="963"/>
        <v>12.061499999999995</v>
      </c>
      <c r="K6191" s="17" t="str">
        <f t="shared" si="968"/>
        <v>Ecart positif</v>
      </c>
      <c r="L6191" s="16">
        <f>base!X6191</f>
        <v>0</v>
      </c>
      <c r="M6191" s="11">
        <f t="shared" si="964"/>
        <v>0</v>
      </c>
      <c r="N6191" s="11">
        <f t="shared" si="965"/>
        <v>9.652000000000001</v>
      </c>
      <c r="O6191" s="11">
        <f t="shared" si="966"/>
        <v>0.08</v>
      </c>
      <c r="P6191" s="12">
        <f t="shared" si="967"/>
        <v>-9.652000000000001</v>
      </c>
      <c r="Q6191" s="17" t="str">
        <f t="shared" si="969"/>
        <v>Ecart négatif</v>
      </c>
    </row>
    <row r="6192" spans="1:18" x14ac:dyDescent="0.3">
      <c r="A6192" s="34" t="str">
        <f>base!J6192</f>
        <v>LS</v>
      </c>
      <c r="B6192" s="34" t="str">
        <f>base!V6192</f>
        <v>83170</v>
      </c>
      <c r="C6192" s="37">
        <v>3</v>
      </c>
      <c r="D6192" s="36">
        <f>base!H6192</f>
        <v>188.25</v>
      </c>
      <c r="E6192" s="44"/>
      <c r="F6192" s="16">
        <f>base!W6192</f>
        <v>56.48</v>
      </c>
      <c r="G6192" s="11">
        <f t="shared" si="960"/>
        <v>0.30002656042496678</v>
      </c>
      <c r="H6192" s="11">
        <f t="shared" si="961"/>
        <v>54.592499999999994</v>
      </c>
      <c r="I6192" s="11">
        <f t="shared" si="962"/>
        <v>0.28999999999999998</v>
      </c>
      <c r="J6192" s="12">
        <f t="shared" si="963"/>
        <v>1.8875000000000028</v>
      </c>
      <c r="K6192" s="17" t="str">
        <f t="shared" si="968"/>
        <v>Ecart positif</v>
      </c>
      <c r="L6192" s="16">
        <f>base!X6192</f>
        <v>0</v>
      </c>
      <c r="M6192" s="11">
        <f t="shared" si="964"/>
        <v>0</v>
      </c>
      <c r="N6192" s="11">
        <f t="shared" si="965"/>
        <v>22.59</v>
      </c>
      <c r="O6192" s="11">
        <f t="shared" si="966"/>
        <v>0.12</v>
      </c>
      <c r="P6192" s="12">
        <f t="shared" si="967"/>
        <v>-22.59</v>
      </c>
      <c r="Q6192" s="17" t="str">
        <f t="shared" si="969"/>
        <v>Ecart négatif</v>
      </c>
    </row>
    <row r="6193" spans="1:18" x14ac:dyDescent="0.3">
      <c r="A6193" s="34">
        <f>base!J6193</f>
        <v>0</v>
      </c>
      <c r="B6193" s="34" t="str">
        <f>base!V6193</f>
        <v>77184</v>
      </c>
      <c r="C6193" s="37">
        <v>77</v>
      </c>
      <c r="D6193" s="36">
        <f>base!H6193</f>
        <v>217</v>
      </c>
      <c r="E6193" s="44"/>
      <c r="F6193" s="16">
        <f>base!W6193</f>
        <v>0</v>
      </c>
      <c r="G6193" s="11">
        <f t="shared" si="960"/>
        <v>0</v>
      </c>
      <c r="H6193" s="11">
        <f t="shared" si="961"/>
        <v>0</v>
      </c>
      <c r="I6193" s="11">
        <f t="shared" si="962"/>
        <v>0</v>
      </c>
      <c r="J6193" s="12">
        <f t="shared" si="963"/>
        <v>0</v>
      </c>
      <c r="K6193" s="17" t="str">
        <f t="shared" si="968"/>
        <v>Pas d'écart</v>
      </c>
      <c r="L6193" s="16">
        <f>base!X6193</f>
        <v>0</v>
      </c>
      <c r="M6193" s="11">
        <f t="shared" si="964"/>
        <v>0</v>
      </c>
      <c r="N6193" s="11">
        <f t="shared" si="965"/>
        <v>0</v>
      </c>
      <c r="O6193" s="11">
        <f t="shared" si="966"/>
        <v>0</v>
      </c>
      <c r="P6193" s="12">
        <f t="shared" si="967"/>
        <v>0</v>
      </c>
      <c r="Q6193" s="17" t="str">
        <f t="shared" si="969"/>
        <v>Pas d'écart</v>
      </c>
    </row>
    <row r="6194" spans="1:18" x14ac:dyDescent="0.3">
      <c r="A6194" s="34" t="str">
        <f>base!J6194</f>
        <v>RS</v>
      </c>
      <c r="B6194" s="34" t="str">
        <f>base!V6194</f>
        <v>74600</v>
      </c>
      <c r="C6194" s="37">
        <v>74</v>
      </c>
      <c r="D6194" s="36">
        <f>base!H6194</f>
        <v>71.819999999999993</v>
      </c>
      <c r="E6194" s="44"/>
      <c r="F6194" s="16">
        <f>base!W6194</f>
        <v>0</v>
      </c>
      <c r="G6194" s="11">
        <f t="shared" si="960"/>
        <v>0</v>
      </c>
      <c r="H6194" s="11">
        <f t="shared" si="961"/>
        <v>18.673199999999998</v>
      </c>
      <c r="I6194" s="11">
        <f t="shared" si="962"/>
        <v>0.26</v>
      </c>
      <c r="J6194" s="12">
        <f t="shared" si="963"/>
        <v>-18.673199999999998</v>
      </c>
      <c r="K6194" s="17" t="str">
        <f t="shared" si="968"/>
        <v>Ecart négatif</v>
      </c>
      <c r="L6194" s="16">
        <f>base!X6194</f>
        <v>0</v>
      </c>
      <c r="M6194" s="11">
        <f t="shared" si="964"/>
        <v>0</v>
      </c>
      <c r="N6194" s="11">
        <f t="shared" si="965"/>
        <v>0</v>
      </c>
      <c r="O6194" s="11">
        <f t="shared" si="966"/>
        <v>0</v>
      </c>
      <c r="P6194" s="12">
        <f t="shared" si="967"/>
        <v>0</v>
      </c>
      <c r="Q6194" s="17" t="str">
        <f t="shared" si="969"/>
        <v>Pas d'écart</v>
      </c>
    </row>
    <row r="6195" spans="1:18" x14ac:dyDescent="0.3">
      <c r="A6195" s="34" t="str">
        <f>base!J6195</f>
        <v>RM</v>
      </c>
      <c r="B6195" s="34" t="str">
        <f>base!V6195</f>
        <v>06000</v>
      </c>
      <c r="C6195" s="37">
        <v>6</v>
      </c>
      <c r="D6195" s="36">
        <f>base!H6195</f>
        <v>87.25</v>
      </c>
      <c r="E6195" s="44"/>
      <c r="F6195" s="16">
        <f>base!W6195</f>
        <v>0</v>
      </c>
      <c r="G6195" s="11">
        <f t="shared" si="960"/>
        <v>0</v>
      </c>
      <c r="H6195" s="11">
        <f t="shared" si="961"/>
        <v>26.175000000000001</v>
      </c>
      <c r="I6195" s="11">
        <f t="shared" si="962"/>
        <v>0.3</v>
      </c>
      <c r="J6195" s="12">
        <f t="shared" si="963"/>
        <v>-26.175000000000001</v>
      </c>
      <c r="K6195" s="17" t="str">
        <f t="shared" si="968"/>
        <v>Ecart négatif</v>
      </c>
      <c r="L6195" s="16">
        <f>base!X6195</f>
        <v>0</v>
      </c>
      <c r="M6195" s="11">
        <f t="shared" si="964"/>
        <v>0</v>
      </c>
      <c r="N6195" s="11">
        <f t="shared" si="965"/>
        <v>18.322499999999998</v>
      </c>
      <c r="O6195" s="11">
        <f t="shared" si="966"/>
        <v>0.20999999999999996</v>
      </c>
      <c r="P6195" s="12">
        <f t="shared" si="967"/>
        <v>-18.322499999999998</v>
      </c>
      <c r="Q6195" s="17" t="str">
        <f t="shared" si="969"/>
        <v>Ecart négatif</v>
      </c>
    </row>
    <row r="6196" spans="1:18" x14ac:dyDescent="0.3">
      <c r="A6196" s="34" t="str">
        <f>base!J6196</f>
        <v>RM</v>
      </c>
      <c r="B6196" s="34" t="str">
        <f>base!V6196</f>
        <v>69006</v>
      </c>
      <c r="C6196" s="37">
        <v>69</v>
      </c>
      <c r="D6196" s="36">
        <f>base!H6196</f>
        <v>29.59</v>
      </c>
      <c r="E6196" s="44"/>
      <c r="F6196" s="16">
        <f>base!W6196</f>
        <v>0</v>
      </c>
      <c r="G6196" s="11">
        <f t="shared" si="960"/>
        <v>0</v>
      </c>
      <c r="H6196" s="11">
        <f t="shared" si="961"/>
        <v>7.9893000000000001</v>
      </c>
      <c r="I6196" s="11">
        <f t="shared" si="962"/>
        <v>0.27</v>
      </c>
      <c r="J6196" s="12">
        <f t="shared" si="963"/>
        <v>-7.9893000000000001</v>
      </c>
      <c r="K6196" s="17" t="str">
        <f t="shared" si="968"/>
        <v>Ecart négatif</v>
      </c>
      <c r="L6196" s="16">
        <f>base!X6196</f>
        <v>0</v>
      </c>
      <c r="M6196" s="11">
        <f t="shared" si="964"/>
        <v>0</v>
      </c>
      <c r="N6196" s="11">
        <f t="shared" si="965"/>
        <v>0</v>
      </c>
      <c r="O6196" s="11">
        <f t="shared" si="966"/>
        <v>0</v>
      </c>
      <c r="P6196" s="12">
        <f t="shared" si="967"/>
        <v>0</v>
      </c>
      <c r="Q6196" s="17" t="str">
        <f t="shared" si="969"/>
        <v>Pas d'écart</v>
      </c>
    </row>
    <row r="6197" spans="1:18" x14ac:dyDescent="0.3">
      <c r="A6197" s="34" t="str">
        <f>base!J6197</f>
        <v>RM</v>
      </c>
      <c r="B6197" s="34" t="str">
        <f>base!V6197</f>
        <v>59287</v>
      </c>
      <c r="C6197" s="37">
        <v>59</v>
      </c>
      <c r="D6197" s="36">
        <f>base!H6197</f>
        <v>70</v>
      </c>
      <c r="E6197" s="44"/>
      <c r="F6197" s="16">
        <f>base!W6197</f>
        <v>0</v>
      </c>
      <c r="G6197" s="11">
        <f t="shared" si="960"/>
        <v>0</v>
      </c>
      <c r="H6197" s="11">
        <f t="shared" si="961"/>
        <v>13.3</v>
      </c>
      <c r="I6197" s="11">
        <f t="shared" si="962"/>
        <v>0.19</v>
      </c>
      <c r="J6197" s="12">
        <f t="shared" si="963"/>
        <v>-13.3</v>
      </c>
      <c r="K6197" s="17" t="str">
        <f t="shared" si="968"/>
        <v>Ecart négatif</v>
      </c>
      <c r="L6197" s="16">
        <f>base!X6197</f>
        <v>0</v>
      </c>
      <c r="M6197" s="11">
        <f t="shared" si="964"/>
        <v>0</v>
      </c>
      <c r="N6197" s="11">
        <f t="shared" si="965"/>
        <v>0</v>
      </c>
      <c r="O6197" s="11">
        <f t="shared" si="966"/>
        <v>0</v>
      </c>
      <c r="P6197" s="12">
        <f t="shared" si="967"/>
        <v>0</v>
      </c>
      <c r="Q6197" s="17" t="str">
        <f t="shared" si="969"/>
        <v>Pas d'écart</v>
      </c>
    </row>
    <row r="6198" spans="1:18" x14ac:dyDescent="0.3">
      <c r="A6198" s="34" t="str">
        <f>base!J6198</f>
        <v>LM</v>
      </c>
      <c r="B6198" s="34" t="str">
        <f>base!V6198</f>
        <v>75014</v>
      </c>
      <c r="C6198" s="37">
        <v>75</v>
      </c>
      <c r="D6198" s="36">
        <f>base!H6198</f>
        <v>137.59</v>
      </c>
      <c r="E6198" s="44"/>
      <c r="F6198" s="16">
        <f>base!W6198</f>
        <v>0</v>
      </c>
      <c r="G6198" s="11">
        <f t="shared" si="960"/>
        <v>0</v>
      </c>
      <c r="H6198" s="11">
        <f t="shared" si="961"/>
        <v>0</v>
      </c>
      <c r="I6198" s="11">
        <f t="shared" si="962"/>
        <v>0</v>
      </c>
      <c r="J6198" s="12">
        <f t="shared" si="963"/>
        <v>0</v>
      </c>
      <c r="K6198" s="17" t="str">
        <f t="shared" si="968"/>
        <v>Pas d'écart</v>
      </c>
      <c r="L6198" s="16">
        <f>base!X6198</f>
        <v>0</v>
      </c>
      <c r="M6198" s="11">
        <f t="shared" si="964"/>
        <v>0</v>
      </c>
      <c r="N6198" s="11">
        <f t="shared" si="965"/>
        <v>0</v>
      </c>
      <c r="O6198" s="11">
        <f t="shared" si="966"/>
        <v>0</v>
      </c>
      <c r="P6198" s="12">
        <f t="shared" si="967"/>
        <v>0</v>
      </c>
      <c r="Q6198" s="17" t="str">
        <f t="shared" si="969"/>
        <v>Pas d'écart</v>
      </c>
    </row>
    <row r="6199" spans="1:18" x14ac:dyDescent="0.3">
      <c r="A6199" s="34" t="str">
        <f>base!J6199</f>
        <v>LM</v>
      </c>
      <c r="B6199" s="34" t="str">
        <f>base!V6199</f>
        <v>92200</v>
      </c>
      <c r="C6199" s="37">
        <v>92</v>
      </c>
      <c r="D6199" s="36">
        <f>base!H6199</f>
        <v>30</v>
      </c>
      <c r="E6199" s="44"/>
      <c r="F6199" s="16">
        <f>base!W6199</f>
        <v>0</v>
      </c>
      <c r="G6199" s="11">
        <f t="shared" si="960"/>
        <v>0</v>
      </c>
      <c r="H6199" s="11">
        <f t="shared" si="961"/>
        <v>0</v>
      </c>
      <c r="I6199" s="11">
        <f t="shared" si="962"/>
        <v>0</v>
      </c>
      <c r="J6199" s="12">
        <f t="shared" si="963"/>
        <v>0</v>
      </c>
      <c r="K6199" s="17" t="str">
        <f t="shared" si="968"/>
        <v>Pas d'écart</v>
      </c>
      <c r="L6199" s="16">
        <f>base!X6199</f>
        <v>0</v>
      </c>
      <c r="M6199" s="11">
        <f t="shared" si="964"/>
        <v>0</v>
      </c>
      <c r="N6199" s="11">
        <f t="shared" si="965"/>
        <v>0</v>
      </c>
      <c r="O6199" s="11">
        <f t="shared" si="966"/>
        <v>0</v>
      </c>
      <c r="P6199" s="12">
        <f t="shared" si="967"/>
        <v>0</v>
      </c>
      <c r="Q6199" s="17" t="str">
        <f t="shared" si="969"/>
        <v>Pas d'écart</v>
      </c>
    </row>
    <row r="6200" spans="1:18" x14ac:dyDescent="0.3">
      <c r="A6200" s="34" t="str">
        <f>base!J6200</f>
        <v>LS</v>
      </c>
      <c r="B6200" s="34" t="str">
        <f>base!V6200</f>
        <v>78220</v>
      </c>
      <c r="C6200" s="37">
        <v>78</v>
      </c>
      <c r="D6200" s="36">
        <f>base!H6200</f>
        <v>1251.95</v>
      </c>
      <c r="E6200" s="44"/>
      <c r="F6200" s="16">
        <f>base!W6200</f>
        <v>0</v>
      </c>
      <c r="G6200" s="11">
        <f t="shared" si="960"/>
        <v>0</v>
      </c>
      <c r="H6200" s="11">
        <f t="shared" si="961"/>
        <v>0</v>
      </c>
      <c r="I6200" s="11">
        <f t="shared" si="962"/>
        <v>0</v>
      </c>
      <c r="J6200" s="12">
        <f t="shared" si="963"/>
        <v>0</v>
      </c>
      <c r="K6200" s="17" t="str">
        <f t="shared" si="968"/>
        <v>Pas d'écart</v>
      </c>
      <c r="L6200" s="16">
        <f>base!X6200</f>
        <v>0</v>
      </c>
      <c r="M6200" s="11">
        <f t="shared" si="964"/>
        <v>0</v>
      </c>
      <c r="N6200" s="11">
        <f t="shared" si="965"/>
        <v>0</v>
      </c>
      <c r="O6200" s="11">
        <f t="shared" si="966"/>
        <v>0</v>
      </c>
      <c r="P6200" s="12">
        <f t="shared" si="967"/>
        <v>0</v>
      </c>
      <c r="Q6200" s="17" t="str">
        <f t="shared" si="969"/>
        <v>Pas d'écart</v>
      </c>
    </row>
    <row r="6201" spans="1:18" x14ac:dyDescent="0.3">
      <c r="A6201" s="34" t="str">
        <f>base!J6201</f>
        <v>RS</v>
      </c>
      <c r="B6201" s="34" t="str">
        <f>base!V6201</f>
        <v>74940</v>
      </c>
      <c r="C6201" s="37">
        <v>74</v>
      </c>
      <c r="D6201" s="36">
        <f>base!H6201</f>
        <v>187.92</v>
      </c>
      <c r="E6201" s="44"/>
      <c r="F6201" s="16">
        <f>base!W6201</f>
        <v>0</v>
      </c>
      <c r="G6201" s="11">
        <f t="shared" si="960"/>
        <v>0</v>
      </c>
      <c r="H6201" s="11">
        <f t="shared" si="961"/>
        <v>48.859200000000001</v>
      </c>
      <c r="I6201" s="11">
        <f t="shared" si="962"/>
        <v>0.26</v>
      </c>
      <c r="J6201" s="12">
        <f t="shared" si="963"/>
        <v>-48.859200000000001</v>
      </c>
      <c r="K6201" s="17" t="str">
        <f t="shared" si="968"/>
        <v>Ecart négatif</v>
      </c>
      <c r="L6201" s="16">
        <f>base!X6201</f>
        <v>0</v>
      </c>
      <c r="M6201" s="11">
        <f t="shared" si="964"/>
        <v>0</v>
      </c>
      <c r="N6201" s="11">
        <f t="shared" si="965"/>
        <v>0</v>
      </c>
      <c r="O6201" s="11">
        <f t="shared" si="966"/>
        <v>0</v>
      </c>
      <c r="P6201" s="12">
        <f t="shared" si="967"/>
        <v>0</v>
      </c>
      <c r="Q6201" s="17" t="str">
        <f t="shared" si="969"/>
        <v>Pas d'écart</v>
      </c>
    </row>
    <row r="6202" spans="1:18" x14ac:dyDescent="0.3">
      <c r="A6202" s="34" t="str">
        <f>base!J6202</f>
        <v>RS</v>
      </c>
      <c r="B6202" s="34" t="str">
        <f>base!V6202</f>
        <v>91000</v>
      </c>
      <c r="C6202" s="37">
        <v>91</v>
      </c>
      <c r="D6202" s="36">
        <f>base!H6202</f>
        <v>151</v>
      </c>
      <c r="E6202" s="44"/>
      <c r="F6202" s="16">
        <f>base!W6202</f>
        <v>0</v>
      </c>
      <c r="G6202" s="11">
        <f t="shared" si="960"/>
        <v>0</v>
      </c>
      <c r="H6202" s="11">
        <f t="shared" si="961"/>
        <v>0</v>
      </c>
      <c r="I6202" s="11">
        <f t="shared" si="962"/>
        <v>0</v>
      </c>
      <c r="J6202" s="12">
        <f t="shared" si="963"/>
        <v>0</v>
      </c>
      <c r="K6202" s="17" t="str">
        <f t="shared" si="968"/>
        <v>Pas d'écart</v>
      </c>
      <c r="L6202" s="16">
        <f>base!X6202</f>
        <v>0</v>
      </c>
      <c r="M6202" s="11">
        <f t="shared" si="964"/>
        <v>0</v>
      </c>
      <c r="N6202" s="11">
        <f t="shared" si="965"/>
        <v>0</v>
      </c>
      <c r="O6202" s="11">
        <f t="shared" si="966"/>
        <v>0</v>
      </c>
      <c r="P6202" s="12">
        <f t="shared" si="967"/>
        <v>0</v>
      </c>
      <c r="Q6202" s="17" t="str">
        <f t="shared" si="969"/>
        <v>Pas d'écart</v>
      </c>
    </row>
    <row r="6203" spans="1:18" x14ac:dyDescent="0.3">
      <c r="A6203" s="34" t="str">
        <f>base!J6203</f>
        <v>RM</v>
      </c>
      <c r="B6203" s="34" t="str">
        <f>base!V6203</f>
        <v>67000</v>
      </c>
      <c r="C6203" s="37">
        <v>67</v>
      </c>
      <c r="D6203" s="36">
        <f>base!H6203</f>
        <v>40</v>
      </c>
      <c r="E6203" s="44"/>
      <c r="F6203" s="16">
        <f>base!W6203</f>
        <v>0</v>
      </c>
      <c r="G6203" s="11">
        <f t="shared" si="960"/>
        <v>0</v>
      </c>
      <c r="H6203" s="11">
        <f t="shared" si="961"/>
        <v>11.6</v>
      </c>
      <c r="I6203" s="11">
        <f t="shared" si="962"/>
        <v>0.28999999999999998</v>
      </c>
      <c r="J6203" s="12">
        <f t="shared" si="963"/>
        <v>-11.6</v>
      </c>
      <c r="K6203" s="17" t="str">
        <f t="shared" si="968"/>
        <v>Ecart négatif</v>
      </c>
      <c r="L6203" s="16">
        <f>base!X6203</f>
        <v>3.2</v>
      </c>
      <c r="M6203" s="11">
        <f t="shared" si="964"/>
        <v>0.08</v>
      </c>
      <c r="N6203" s="11">
        <f t="shared" si="965"/>
        <v>3.2</v>
      </c>
      <c r="O6203" s="11">
        <f t="shared" si="966"/>
        <v>0.08</v>
      </c>
      <c r="P6203" s="12">
        <f t="shared" si="967"/>
        <v>0</v>
      </c>
      <c r="Q6203" s="17" t="str">
        <f t="shared" si="969"/>
        <v>Pas d'écart</v>
      </c>
      <c r="R6203" s="38"/>
    </row>
    <row r="6204" spans="1:18" x14ac:dyDescent="0.3">
      <c r="A6204" s="34" t="str">
        <f>base!J6204</f>
        <v>RM</v>
      </c>
      <c r="B6204" s="34" t="str">
        <f>base!V6204</f>
        <v>06400</v>
      </c>
      <c r="C6204" s="37">
        <v>6</v>
      </c>
      <c r="D6204" s="36">
        <f>base!H6204</f>
        <v>180</v>
      </c>
      <c r="E6204" s="44"/>
      <c r="F6204" s="16">
        <f>base!W6204</f>
        <v>0</v>
      </c>
      <c r="G6204" s="11">
        <f t="shared" si="960"/>
        <v>0</v>
      </c>
      <c r="H6204" s="11">
        <f t="shared" si="961"/>
        <v>54</v>
      </c>
      <c r="I6204" s="11">
        <f t="shared" si="962"/>
        <v>0.3</v>
      </c>
      <c r="J6204" s="12">
        <f t="shared" si="963"/>
        <v>-54</v>
      </c>
      <c r="K6204" s="17" t="str">
        <f t="shared" si="968"/>
        <v>Ecart négatif</v>
      </c>
      <c r="L6204" s="16">
        <f>base!X6204</f>
        <v>0</v>
      </c>
      <c r="M6204" s="11">
        <f t="shared" si="964"/>
        <v>0</v>
      </c>
      <c r="N6204" s="11">
        <f t="shared" si="965"/>
        <v>37.799999999999997</v>
      </c>
      <c r="O6204" s="11">
        <f t="shared" si="966"/>
        <v>0.21</v>
      </c>
      <c r="P6204" s="12">
        <f t="shared" si="967"/>
        <v>-37.799999999999997</v>
      </c>
      <c r="Q6204" s="17" t="str">
        <f t="shared" si="969"/>
        <v>Ecart négatif</v>
      </c>
    </row>
    <row r="6205" spans="1:18" x14ac:dyDescent="0.3">
      <c r="A6205" s="34" t="str">
        <f>base!J6205</f>
        <v>RM</v>
      </c>
      <c r="B6205" s="34" t="str">
        <f>base!V6205</f>
        <v>21800</v>
      </c>
      <c r="C6205" s="37">
        <v>21</v>
      </c>
      <c r="D6205" s="36">
        <f>base!H6205</f>
        <v>70</v>
      </c>
      <c r="E6205" s="44"/>
      <c r="F6205" s="16">
        <f>base!W6205</f>
        <v>0</v>
      </c>
      <c r="G6205" s="11">
        <f t="shared" si="960"/>
        <v>0</v>
      </c>
      <c r="H6205" s="11">
        <f t="shared" si="961"/>
        <v>16.8</v>
      </c>
      <c r="I6205" s="11">
        <f t="shared" si="962"/>
        <v>0.24000000000000002</v>
      </c>
      <c r="J6205" s="12">
        <f t="shared" si="963"/>
        <v>-16.8</v>
      </c>
      <c r="K6205" s="17" t="str">
        <f t="shared" si="968"/>
        <v>Ecart négatif</v>
      </c>
      <c r="L6205" s="16">
        <f>base!X6205</f>
        <v>0</v>
      </c>
      <c r="M6205" s="11">
        <f t="shared" si="964"/>
        <v>0</v>
      </c>
      <c r="N6205" s="11">
        <f t="shared" si="965"/>
        <v>8.4</v>
      </c>
      <c r="O6205" s="11">
        <f t="shared" si="966"/>
        <v>0.12000000000000001</v>
      </c>
      <c r="P6205" s="12">
        <f t="shared" si="967"/>
        <v>-8.4</v>
      </c>
      <c r="Q6205" s="17" t="str">
        <f t="shared" si="969"/>
        <v>Ecart négatif</v>
      </c>
    </row>
    <row r="6206" spans="1:18" x14ac:dyDescent="0.3">
      <c r="A6206" s="34" t="str">
        <f>base!J6206</f>
        <v>RM</v>
      </c>
      <c r="B6206" s="34" t="str">
        <f>base!V6206</f>
        <v>13127</v>
      </c>
      <c r="C6206" s="37">
        <v>13</v>
      </c>
      <c r="D6206" s="36">
        <f>base!H6206</f>
        <v>94.79</v>
      </c>
      <c r="E6206" s="44"/>
      <c r="F6206" s="16">
        <f>base!W6206</f>
        <v>0</v>
      </c>
      <c r="G6206" s="11">
        <f t="shared" si="960"/>
        <v>0</v>
      </c>
      <c r="H6206" s="11">
        <f t="shared" si="961"/>
        <v>27.489100000000001</v>
      </c>
      <c r="I6206" s="11">
        <f t="shared" si="962"/>
        <v>0.28999999999999998</v>
      </c>
      <c r="J6206" s="12">
        <f t="shared" si="963"/>
        <v>-27.489100000000001</v>
      </c>
      <c r="K6206" s="17" t="str">
        <f t="shared" si="968"/>
        <v>Ecart négatif</v>
      </c>
      <c r="L6206" s="16">
        <f>base!X6206</f>
        <v>0</v>
      </c>
      <c r="M6206" s="11">
        <f t="shared" si="964"/>
        <v>0</v>
      </c>
      <c r="N6206" s="11">
        <f t="shared" si="965"/>
        <v>18.010100000000001</v>
      </c>
      <c r="O6206" s="11">
        <f t="shared" si="966"/>
        <v>0.19</v>
      </c>
      <c r="P6206" s="12">
        <f t="shared" si="967"/>
        <v>-18.010100000000001</v>
      </c>
      <c r="Q6206" s="17" t="str">
        <f t="shared" si="969"/>
        <v>Ecart négatif</v>
      </c>
    </row>
    <row r="6207" spans="1:18" x14ac:dyDescent="0.3">
      <c r="A6207" s="34" t="str">
        <f>base!J6207</f>
        <v>RS</v>
      </c>
      <c r="B6207" s="34" t="str">
        <f>base!V6207</f>
        <v>13115</v>
      </c>
      <c r="C6207" s="37">
        <v>13</v>
      </c>
      <c r="D6207" s="36">
        <f>base!H6207</f>
        <v>180</v>
      </c>
      <c r="E6207" s="44"/>
      <c r="F6207" s="16">
        <f>base!W6207</f>
        <v>0</v>
      </c>
      <c r="G6207" s="11">
        <f t="shared" si="960"/>
        <v>0</v>
      </c>
      <c r="H6207" s="11">
        <f t="shared" si="961"/>
        <v>52.199999999999996</v>
      </c>
      <c r="I6207" s="11">
        <f t="shared" si="962"/>
        <v>0.28999999999999998</v>
      </c>
      <c r="J6207" s="12">
        <f t="shared" si="963"/>
        <v>-52.199999999999996</v>
      </c>
      <c r="K6207" s="17" t="str">
        <f t="shared" si="968"/>
        <v>Ecart négatif</v>
      </c>
      <c r="L6207" s="16">
        <f>base!X6207</f>
        <v>0</v>
      </c>
      <c r="M6207" s="11">
        <f t="shared" si="964"/>
        <v>0</v>
      </c>
      <c r="N6207" s="11">
        <f t="shared" si="965"/>
        <v>34.200000000000003</v>
      </c>
      <c r="O6207" s="11">
        <f t="shared" si="966"/>
        <v>0.19</v>
      </c>
      <c r="P6207" s="12">
        <f t="shared" si="967"/>
        <v>-34.200000000000003</v>
      </c>
      <c r="Q6207" s="17" t="str">
        <f t="shared" si="969"/>
        <v>Ecart négatif</v>
      </c>
    </row>
    <row r="6208" spans="1:18" x14ac:dyDescent="0.3">
      <c r="A6208" s="34" t="str">
        <f>base!J6208</f>
        <v>RS</v>
      </c>
      <c r="B6208" s="34" t="str">
        <f>base!V6208</f>
        <v>13300</v>
      </c>
      <c r="C6208" s="37">
        <v>13</v>
      </c>
      <c r="D6208" s="36">
        <f>base!H6208</f>
        <v>40</v>
      </c>
      <c r="E6208" s="44"/>
      <c r="F6208" s="16">
        <f>base!W6208</f>
        <v>0</v>
      </c>
      <c r="G6208" s="11">
        <f t="shared" si="960"/>
        <v>0</v>
      </c>
      <c r="H6208" s="11">
        <f t="shared" si="961"/>
        <v>11.6</v>
      </c>
      <c r="I6208" s="11">
        <f t="shared" si="962"/>
        <v>0.28999999999999998</v>
      </c>
      <c r="J6208" s="12">
        <f t="shared" si="963"/>
        <v>-11.6</v>
      </c>
      <c r="K6208" s="17" t="str">
        <f t="shared" si="968"/>
        <v>Ecart négatif</v>
      </c>
      <c r="L6208" s="16">
        <f>base!X6208</f>
        <v>0</v>
      </c>
      <c r="M6208" s="11">
        <f t="shared" si="964"/>
        <v>0</v>
      </c>
      <c r="N6208" s="11">
        <f t="shared" si="965"/>
        <v>7.6</v>
      </c>
      <c r="O6208" s="11">
        <f t="shared" si="966"/>
        <v>0.19</v>
      </c>
      <c r="P6208" s="12">
        <f t="shared" si="967"/>
        <v>-7.6</v>
      </c>
      <c r="Q6208" s="17" t="str">
        <f t="shared" si="969"/>
        <v>Ecart négatif</v>
      </c>
    </row>
    <row r="6209" spans="1:18" x14ac:dyDescent="0.3">
      <c r="A6209" s="34" t="str">
        <f>base!J6209</f>
        <v>RS</v>
      </c>
      <c r="B6209" s="34" t="str">
        <f>base!V6209</f>
        <v>30100</v>
      </c>
      <c r="C6209" s="37">
        <v>30</v>
      </c>
      <c r="D6209" s="36">
        <f>base!H6209</f>
        <v>140</v>
      </c>
      <c r="E6209" s="44"/>
      <c r="F6209" s="16">
        <f>base!W6209</f>
        <v>0</v>
      </c>
      <c r="G6209" s="11">
        <f t="shared" si="960"/>
        <v>0</v>
      </c>
      <c r="H6209" s="11">
        <f t="shared" si="961"/>
        <v>54.6</v>
      </c>
      <c r="I6209" s="11">
        <f t="shared" si="962"/>
        <v>0.39</v>
      </c>
      <c r="J6209" s="12">
        <f t="shared" si="963"/>
        <v>-54.6</v>
      </c>
      <c r="K6209" s="17" t="str">
        <f t="shared" si="968"/>
        <v>Ecart négatif</v>
      </c>
      <c r="L6209" s="16">
        <f>base!X6209</f>
        <v>0</v>
      </c>
      <c r="M6209" s="11">
        <f t="shared" si="964"/>
        <v>0</v>
      </c>
      <c r="N6209" s="11">
        <f t="shared" si="965"/>
        <v>39.200000000000003</v>
      </c>
      <c r="O6209" s="11">
        <f t="shared" si="966"/>
        <v>0.28000000000000003</v>
      </c>
      <c r="P6209" s="12">
        <f t="shared" si="967"/>
        <v>-39.200000000000003</v>
      </c>
      <c r="Q6209" s="17" t="str">
        <f t="shared" si="969"/>
        <v>Ecart négatif</v>
      </c>
    </row>
    <row r="6210" spans="1:18" x14ac:dyDescent="0.3">
      <c r="A6210" s="34" t="str">
        <f>base!J6210</f>
        <v>RS</v>
      </c>
      <c r="B6210" s="34" t="str">
        <f>base!V6210</f>
        <v>66000</v>
      </c>
      <c r="C6210" s="37">
        <v>66</v>
      </c>
      <c r="D6210" s="36">
        <f>base!H6210</f>
        <v>40</v>
      </c>
      <c r="E6210" s="44"/>
      <c r="F6210" s="16">
        <f>base!W6210</f>
        <v>0</v>
      </c>
      <c r="G6210" s="11">
        <f t="shared" ref="G6210:G6273" si="970">F6210/D6210</f>
        <v>0</v>
      </c>
      <c r="H6210" s="11">
        <f t="shared" ref="H6210:H6273" si="971">VLOOKUP(C6210,tout_cout_traction,2,FALSE)*D6210</f>
        <v>13.600000000000001</v>
      </c>
      <c r="I6210" s="11">
        <f t="shared" ref="I6210:I6273" si="972">H6210/D6210</f>
        <v>0.34</v>
      </c>
      <c r="J6210" s="12">
        <f t="shared" ref="J6210:J6273" si="973">F6210-H6210</f>
        <v>-13.600000000000001</v>
      </c>
      <c r="K6210" s="17" t="str">
        <f t="shared" si="968"/>
        <v>Ecart négatif</v>
      </c>
      <c r="L6210" s="16">
        <f>base!X6210</f>
        <v>0</v>
      </c>
      <c r="M6210" s="11">
        <f t="shared" ref="M6210:M6273" si="974">L6210/D6210</f>
        <v>0</v>
      </c>
      <c r="N6210" s="11">
        <f t="shared" ref="N6210:N6273" si="975">VLOOKUP(C6210,tout_cout_traction,3,FALSE)*D6210</f>
        <v>11.200000000000001</v>
      </c>
      <c r="O6210" s="11">
        <f t="shared" ref="O6210:O6273" si="976">N6210/D6210</f>
        <v>0.28000000000000003</v>
      </c>
      <c r="P6210" s="12">
        <f t="shared" ref="P6210:P6273" si="977">L6210-N6210</f>
        <v>-11.200000000000001</v>
      </c>
      <c r="Q6210" s="17" t="str">
        <f t="shared" si="969"/>
        <v>Ecart négatif</v>
      </c>
    </row>
    <row r="6211" spans="1:18" x14ac:dyDescent="0.3">
      <c r="A6211" s="34" t="str">
        <f>base!J6211</f>
        <v>DLM</v>
      </c>
      <c r="B6211" s="34" t="str">
        <f>base!V6211</f>
        <v>69700</v>
      </c>
      <c r="C6211" s="37">
        <v>69</v>
      </c>
      <c r="D6211" s="36">
        <f>base!H6211</f>
        <v>52.5</v>
      </c>
      <c r="E6211" s="44"/>
      <c r="F6211" s="16">
        <f>base!W6211</f>
        <v>0</v>
      </c>
      <c r="G6211" s="11">
        <f t="shared" si="970"/>
        <v>0</v>
      </c>
      <c r="H6211" s="11">
        <f t="shared" si="971"/>
        <v>14.175000000000001</v>
      </c>
      <c r="I6211" s="11">
        <f t="shared" si="972"/>
        <v>0.27</v>
      </c>
      <c r="J6211" s="12">
        <f t="shared" si="973"/>
        <v>-14.175000000000001</v>
      </c>
      <c r="K6211" s="17" t="str">
        <f t="shared" ref="K6211:K6274" si="978">IF(H6211=F6211,"Pas d'écart",IF(H6211&lt;F6211,"Ecart positif",IF(H6211&gt;F6211,"Ecart négatif")))</f>
        <v>Ecart négatif</v>
      </c>
      <c r="L6211" s="16">
        <f>base!X6211</f>
        <v>0</v>
      </c>
      <c r="M6211" s="11">
        <f t="shared" si="974"/>
        <v>0</v>
      </c>
      <c r="N6211" s="11">
        <f t="shared" si="975"/>
        <v>0</v>
      </c>
      <c r="O6211" s="11">
        <f t="shared" si="976"/>
        <v>0</v>
      </c>
      <c r="P6211" s="12">
        <f t="shared" si="977"/>
        <v>0</v>
      </c>
      <c r="Q6211" s="17" t="str">
        <f t="shared" ref="Q6211:Q6274" si="979">IF(N6211=L6211,"Pas d'écart",IF(N6211&lt;L6211,"Ecart positif",IF(N6211&gt;L6211,"Ecart négatif")))</f>
        <v>Pas d'écart</v>
      </c>
    </row>
    <row r="6212" spans="1:18" x14ac:dyDescent="0.3">
      <c r="A6212" s="34" t="str">
        <f>base!J6212</f>
        <v>DLM</v>
      </c>
      <c r="B6212" s="34" t="str">
        <f>base!V6212</f>
        <v>38100</v>
      </c>
      <c r="C6212" s="37">
        <v>38</v>
      </c>
      <c r="D6212" s="36">
        <f>base!H6212</f>
        <v>52.5</v>
      </c>
      <c r="E6212" s="44"/>
      <c r="F6212" s="16">
        <f>base!W6212</f>
        <v>0</v>
      </c>
      <c r="G6212" s="11">
        <f t="shared" si="970"/>
        <v>0</v>
      </c>
      <c r="H6212" s="11">
        <f t="shared" si="971"/>
        <v>14.175000000000001</v>
      </c>
      <c r="I6212" s="11">
        <f t="shared" si="972"/>
        <v>0.27</v>
      </c>
      <c r="J6212" s="12">
        <f t="shared" si="973"/>
        <v>-14.175000000000001</v>
      </c>
      <c r="K6212" s="17" t="str">
        <f t="shared" si="978"/>
        <v>Ecart négatif</v>
      </c>
      <c r="L6212" s="16">
        <f>base!X6212</f>
        <v>0</v>
      </c>
      <c r="M6212" s="11">
        <f t="shared" si="974"/>
        <v>0</v>
      </c>
      <c r="N6212" s="11">
        <f t="shared" si="975"/>
        <v>0</v>
      </c>
      <c r="O6212" s="11">
        <f t="shared" si="976"/>
        <v>0</v>
      </c>
      <c r="P6212" s="12">
        <f t="shared" si="977"/>
        <v>0</v>
      </c>
      <c r="Q6212" s="17" t="str">
        <f t="shared" si="979"/>
        <v>Pas d'écart</v>
      </c>
    </row>
    <row r="6213" spans="1:18" x14ac:dyDescent="0.3">
      <c r="A6213" s="34" t="str">
        <f>base!J6213</f>
        <v>DLM</v>
      </c>
      <c r="B6213" s="34" t="str">
        <f>base!V6213</f>
        <v>69003</v>
      </c>
      <c r="C6213" s="37">
        <v>69</v>
      </c>
      <c r="D6213" s="36">
        <f>base!H6213</f>
        <v>52.5</v>
      </c>
      <c r="E6213" s="44"/>
      <c r="F6213" s="16">
        <f>base!W6213</f>
        <v>0</v>
      </c>
      <c r="G6213" s="11">
        <f t="shared" si="970"/>
        <v>0</v>
      </c>
      <c r="H6213" s="11">
        <f t="shared" si="971"/>
        <v>14.175000000000001</v>
      </c>
      <c r="I6213" s="11">
        <f t="shared" si="972"/>
        <v>0.27</v>
      </c>
      <c r="J6213" s="12">
        <f t="shared" si="973"/>
        <v>-14.175000000000001</v>
      </c>
      <c r="K6213" s="17" t="str">
        <f t="shared" si="978"/>
        <v>Ecart négatif</v>
      </c>
      <c r="L6213" s="16">
        <f>base!X6213</f>
        <v>0</v>
      </c>
      <c r="M6213" s="11">
        <f t="shared" si="974"/>
        <v>0</v>
      </c>
      <c r="N6213" s="11">
        <f t="shared" si="975"/>
        <v>0</v>
      </c>
      <c r="O6213" s="11">
        <f t="shared" si="976"/>
        <v>0</v>
      </c>
      <c r="P6213" s="12">
        <f t="shared" si="977"/>
        <v>0</v>
      </c>
      <c r="Q6213" s="17" t="str">
        <f t="shared" si="979"/>
        <v>Pas d'écart</v>
      </c>
    </row>
    <row r="6214" spans="1:18" x14ac:dyDescent="0.3">
      <c r="A6214" s="34" t="str">
        <f>base!J6214</f>
        <v>DLM</v>
      </c>
      <c r="B6214" s="34" t="str">
        <f>base!V6214</f>
        <v>44100</v>
      </c>
      <c r="C6214" s="37">
        <v>44</v>
      </c>
      <c r="D6214" s="36">
        <f>base!H6214</f>
        <v>52.5</v>
      </c>
      <c r="E6214" s="44"/>
      <c r="F6214" s="16">
        <f>base!W6214</f>
        <v>0</v>
      </c>
      <c r="G6214" s="11">
        <f t="shared" si="970"/>
        <v>0</v>
      </c>
      <c r="H6214" s="11">
        <f t="shared" si="971"/>
        <v>14.175000000000001</v>
      </c>
      <c r="I6214" s="11">
        <f t="shared" si="972"/>
        <v>0.27</v>
      </c>
      <c r="J6214" s="12">
        <f t="shared" si="973"/>
        <v>-14.175000000000001</v>
      </c>
      <c r="K6214" s="17" t="str">
        <f t="shared" si="978"/>
        <v>Ecart négatif</v>
      </c>
      <c r="L6214" s="16">
        <f>base!X6214</f>
        <v>0</v>
      </c>
      <c r="M6214" s="11">
        <f t="shared" si="974"/>
        <v>0</v>
      </c>
      <c r="N6214" s="11">
        <f t="shared" si="975"/>
        <v>0</v>
      </c>
      <c r="O6214" s="11">
        <f t="shared" si="976"/>
        <v>0</v>
      </c>
      <c r="P6214" s="12">
        <f t="shared" si="977"/>
        <v>0</v>
      </c>
      <c r="Q6214" s="17" t="str">
        <f t="shared" si="979"/>
        <v>Pas d'écart</v>
      </c>
    </row>
    <row r="6215" spans="1:18" x14ac:dyDescent="0.3">
      <c r="A6215" s="34" t="str">
        <f>base!J6215</f>
        <v>DLM</v>
      </c>
      <c r="B6215" s="34" t="str">
        <f>base!V6215</f>
        <v>69120</v>
      </c>
      <c r="C6215" s="37">
        <v>69</v>
      </c>
      <c r="D6215" s="36">
        <f>base!H6215</f>
        <v>52.5</v>
      </c>
      <c r="E6215" s="44"/>
      <c r="F6215" s="16">
        <f>base!W6215</f>
        <v>0</v>
      </c>
      <c r="G6215" s="11">
        <f t="shared" si="970"/>
        <v>0</v>
      </c>
      <c r="H6215" s="11">
        <f t="shared" si="971"/>
        <v>14.175000000000001</v>
      </c>
      <c r="I6215" s="11">
        <f t="shared" si="972"/>
        <v>0.27</v>
      </c>
      <c r="J6215" s="12">
        <f t="shared" si="973"/>
        <v>-14.175000000000001</v>
      </c>
      <c r="K6215" s="17" t="str">
        <f t="shared" si="978"/>
        <v>Ecart négatif</v>
      </c>
      <c r="L6215" s="16">
        <f>base!X6215</f>
        <v>0</v>
      </c>
      <c r="M6215" s="11">
        <f t="shared" si="974"/>
        <v>0</v>
      </c>
      <c r="N6215" s="11">
        <f t="shared" si="975"/>
        <v>0</v>
      </c>
      <c r="O6215" s="11">
        <f t="shared" si="976"/>
        <v>0</v>
      </c>
      <c r="P6215" s="12">
        <f t="shared" si="977"/>
        <v>0</v>
      </c>
      <c r="Q6215" s="17" t="str">
        <f t="shared" si="979"/>
        <v>Pas d'écart</v>
      </c>
    </row>
    <row r="6216" spans="1:18" x14ac:dyDescent="0.3">
      <c r="A6216" s="34" t="str">
        <f>base!J6216</f>
        <v>RM</v>
      </c>
      <c r="B6216" s="34" t="str">
        <f>base!V6216</f>
        <v>77140</v>
      </c>
      <c r="C6216" s="37">
        <v>77</v>
      </c>
      <c r="D6216" s="36">
        <f>base!H6216</f>
        <v>30.11</v>
      </c>
      <c r="E6216" s="44"/>
      <c r="F6216" s="16">
        <f>base!W6216</f>
        <v>0</v>
      </c>
      <c r="G6216" s="11">
        <f t="shared" si="970"/>
        <v>0</v>
      </c>
      <c r="H6216" s="11">
        <f t="shared" si="971"/>
        <v>0</v>
      </c>
      <c r="I6216" s="11">
        <f t="shared" si="972"/>
        <v>0</v>
      </c>
      <c r="J6216" s="12">
        <f t="shared" si="973"/>
        <v>0</v>
      </c>
      <c r="K6216" s="17" t="str">
        <f t="shared" si="978"/>
        <v>Pas d'écart</v>
      </c>
      <c r="L6216" s="16">
        <f>base!X6216</f>
        <v>0</v>
      </c>
      <c r="M6216" s="11">
        <f t="shared" si="974"/>
        <v>0</v>
      </c>
      <c r="N6216" s="11">
        <f t="shared" si="975"/>
        <v>0</v>
      </c>
      <c r="O6216" s="11">
        <f t="shared" si="976"/>
        <v>0</v>
      </c>
      <c r="P6216" s="12">
        <f t="shared" si="977"/>
        <v>0</v>
      </c>
      <c r="Q6216" s="17" t="str">
        <f t="shared" si="979"/>
        <v>Pas d'écart</v>
      </c>
    </row>
    <row r="6217" spans="1:18" x14ac:dyDescent="0.3">
      <c r="A6217" s="34" t="str">
        <f>base!J6217</f>
        <v>RM</v>
      </c>
      <c r="B6217" s="34" t="str">
        <f>base!V6217</f>
        <v>45400</v>
      </c>
      <c r="C6217" s="37">
        <v>45</v>
      </c>
      <c r="D6217" s="36">
        <f>base!H6217</f>
        <v>18.8</v>
      </c>
      <c r="E6217" s="44"/>
      <c r="F6217" s="16">
        <f>base!W6217</f>
        <v>0</v>
      </c>
      <c r="G6217" s="11">
        <f t="shared" si="970"/>
        <v>0</v>
      </c>
      <c r="H6217" s="11">
        <f t="shared" si="971"/>
        <v>3.948</v>
      </c>
      <c r="I6217" s="11">
        <f t="shared" si="972"/>
        <v>0.21</v>
      </c>
      <c r="J6217" s="12">
        <f t="shared" si="973"/>
        <v>-3.948</v>
      </c>
      <c r="K6217" s="17" t="str">
        <f t="shared" si="978"/>
        <v>Ecart négatif</v>
      </c>
      <c r="L6217" s="16">
        <f>base!X6217</f>
        <v>5.08</v>
      </c>
      <c r="M6217" s="11">
        <f t="shared" si="974"/>
        <v>0.27021276595744681</v>
      </c>
      <c r="N6217" s="11">
        <f t="shared" si="975"/>
        <v>2.2559999999999998</v>
      </c>
      <c r="O6217" s="11">
        <f t="shared" si="976"/>
        <v>0.11999999999999998</v>
      </c>
      <c r="P6217" s="12">
        <f t="shared" si="977"/>
        <v>2.8240000000000003</v>
      </c>
      <c r="Q6217" s="17" t="str">
        <f t="shared" si="979"/>
        <v>Ecart positif</v>
      </c>
      <c r="R6217" s="38"/>
    </row>
    <row r="6218" spans="1:18" x14ac:dyDescent="0.3">
      <c r="A6218" s="34" t="str">
        <f>base!J6218</f>
        <v>DRS</v>
      </c>
      <c r="B6218" s="34" t="str">
        <f>base!V6218</f>
        <v>44000</v>
      </c>
      <c r="C6218" s="37">
        <v>44</v>
      </c>
      <c r="D6218" s="36">
        <f>base!H6218</f>
        <v>184.06</v>
      </c>
      <c r="E6218" s="44"/>
      <c r="F6218" s="16">
        <f>base!W6218</f>
        <v>0</v>
      </c>
      <c r="G6218" s="11">
        <f t="shared" si="970"/>
        <v>0</v>
      </c>
      <c r="H6218" s="11">
        <f t="shared" si="971"/>
        <v>49.696200000000005</v>
      </c>
      <c r="I6218" s="11">
        <f t="shared" si="972"/>
        <v>0.27</v>
      </c>
      <c r="J6218" s="12">
        <f t="shared" si="973"/>
        <v>-49.696200000000005</v>
      </c>
      <c r="K6218" s="17" t="str">
        <f t="shared" si="978"/>
        <v>Ecart négatif</v>
      </c>
      <c r="L6218" s="16">
        <f>base!X6218</f>
        <v>0</v>
      </c>
      <c r="M6218" s="11">
        <f t="shared" si="974"/>
        <v>0</v>
      </c>
      <c r="N6218" s="11">
        <f t="shared" si="975"/>
        <v>0</v>
      </c>
      <c r="O6218" s="11">
        <f t="shared" si="976"/>
        <v>0</v>
      </c>
      <c r="P6218" s="12">
        <f t="shared" si="977"/>
        <v>0</v>
      </c>
      <c r="Q6218" s="17" t="str">
        <f t="shared" si="979"/>
        <v>Pas d'écart</v>
      </c>
    </row>
    <row r="6219" spans="1:18" x14ac:dyDescent="0.3">
      <c r="A6219" s="34" t="str">
        <f>base!J6219</f>
        <v>RM</v>
      </c>
      <c r="B6219" s="34" t="str">
        <f>base!V6219</f>
        <v>67000</v>
      </c>
      <c r="C6219" s="37">
        <v>67</v>
      </c>
      <c r="D6219" s="36">
        <f>base!H6219</f>
        <v>40</v>
      </c>
      <c r="E6219" s="44"/>
      <c r="F6219" s="16">
        <f>base!W6219</f>
        <v>0</v>
      </c>
      <c r="G6219" s="11">
        <f t="shared" si="970"/>
        <v>0</v>
      </c>
      <c r="H6219" s="11">
        <f t="shared" si="971"/>
        <v>11.6</v>
      </c>
      <c r="I6219" s="11">
        <f t="shared" si="972"/>
        <v>0.28999999999999998</v>
      </c>
      <c r="J6219" s="12">
        <f t="shared" si="973"/>
        <v>-11.6</v>
      </c>
      <c r="K6219" s="17" t="str">
        <f t="shared" si="978"/>
        <v>Ecart négatif</v>
      </c>
      <c r="L6219" s="16">
        <f>base!X6219</f>
        <v>3.2</v>
      </c>
      <c r="M6219" s="11">
        <f t="shared" si="974"/>
        <v>0.08</v>
      </c>
      <c r="N6219" s="11">
        <f t="shared" si="975"/>
        <v>3.2</v>
      </c>
      <c r="O6219" s="11">
        <f t="shared" si="976"/>
        <v>0.08</v>
      </c>
      <c r="P6219" s="12">
        <f t="shared" si="977"/>
        <v>0</v>
      </c>
      <c r="Q6219" s="17" t="str">
        <f t="shared" si="979"/>
        <v>Pas d'écart</v>
      </c>
      <c r="R6219" s="38"/>
    </row>
    <row r="6220" spans="1:18" x14ac:dyDescent="0.3">
      <c r="A6220" s="34" t="str">
        <f>base!J6220</f>
        <v>RM</v>
      </c>
      <c r="B6220" s="34" t="str">
        <f>base!V6220</f>
        <v>69280</v>
      </c>
      <c r="C6220" s="37">
        <v>69</v>
      </c>
      <c r="D6220" s="36">
        <f>base!H6220</f>
        <v>37.93</v>
      </c>
      <c r="E6220" s="44"/>
      <c r="F6220" s="16">
        <f>base!W6220</f>
        <v>0</v>
      </c>
      <c r="G6220" s="11">
        <f t="shared" si="970"/>
        <v>0</v>
      </c>
      <c r="H6220" s="11">
        <f t="shared" si="971"/>
        <v>10.241100000000001</v>
      </c>
      <c r="I6220" s="11">
        <f t="shared" si="972"/>
        <v>0.27</v>
      </c>
      <c r="J6220" s="12">
        <f t="shared" si="973"/>
        <v>-10.241100000000001</v>
      </c>
      <c r="K6220" s="17" t="str">
        <f t="shared" si="978"/>
        <v>Ecart négatif</v>
      </c>
      <c r="L6220" s="16">
        <f>base!X6220</f>
        <v>0</v>
      </c>
      <c r="M6220" s="11">
        <f t="shared" si="974"/>
        <v>0</v>
      </c>
      <c r="N6220" s="11">
        <f t="shared" si="975"/>
        <v>0</v>
      </c>
      <c r="O6220" s="11">
        <f t="shared" si="976"/>
        <v>0</v>
      </c>
      <c r="P6220" s="12">
        <f t="shared" si="977"/>
        <v>0</v>
      </c>
      <c r="Q6220" s="17" t="str">
        <f t="shared" si="979"/>
        <v>Pas d'écart</v>
      </c>
    </row>
    <row r="6221" spans="1:18" x14ac:dyDescent="0.3">
      <c r="A6221" s="34" t="str">
        <f>base!J6221</f>
        <v>DLM</v>
      </c>
      <c r="B6221" s="34" t="str">
        <f>base!V6221</f>
        <v>06200</v>
      </c>
      <c r="C6221" s="37">
        <v>6</v>
      </c>
      <c r="D6221" s="36">
        <f>base!H6221</f>
        <v>193.63</v>
      </c>
      <c r="E6221" s="44"/>
      <c r="F6221" s="16">
        <f>base!W6221</f>
        <v>0</v>
      </c>
      <c r="G6221" s="11">
        <f t="shared" si="970"/>
        <v>0</v>
      </c>
      <c r="H6221" s="11">
        <f t="shared" si="971"/>
        <v>58.088999999999999</v>
      </c>
      <c r="I6221" s="11">
        <f t="shared" si="972"/>
        <v>0.3</v>
      </c>
      <c r="J6221" s="12">
        <f t="shared" si="973"/>
        <v>-58.088999999999999</v>
      </c>
      <c r="K6221" s="17" t="str">
        <f t="shared" si="978"/>
        <v>Ecart négatif</v>
      </c>
      <c r="L6221" s="16">
        <f>base!X6221</f>
        <v>0</v>
      </c>
      <c r="M6221" s="11">
        <f t="shared" si="974"/>
        <v>0</v>
      </c>
      <c r="N6221" s="11">
        <f t="shared" si="975"/>
        <v>40.662299999999995</v>
      </c>
      <c r="O6221" s="11">
        <f t="shared" si="976"/>
        <v>0.20999999999999996</v>
      </c>
      <c r="P6221" s="12">
        <f t="shared" si="977"/>
        <v>-40.662299999999995</v>
      </c>
      <c r="Q6221" s="17" t="str">
        <f t="shared" si="979"/>
        <v>Ecart négatif</v>
      </c>
    </row>
    <row r="6222" spans="1:18" x14ac:dyDescent="0.3">
      <c r="A6222" s="34" t="str">
        <f>base!J6222</f>
        <v>RS</v>
      </c>
      <c r="B6222" s="34" t="str">
        <f>base!V6222</f>
        <v>50100</v>
      </c>
      <c r="C6222" s="37">
        <v>50</v>
      </c>
      <c r="D6222" s="36">
        <f>base!H6222</f>
        <v>250</v>
      </c>
      <c r="E6222" s="44"/>
      <c r="F6222" s="16">
        <f>base!W6222</f>
        <v>0</v>
      </c>
      <c r="G6222" s="11">
        <f t="shared" si="970"/>
        <v>0</v>
      </c>
      <c r="H6222" s="11">
        <f t="shared" si="971"/>
        <v>42.5</v>
      </c>
      <c r="I6222" s="11">
        <f t="shared" si="972"/>
        <v>0.17</v>
      </c>
      <c r="J6222" s="12">
        <f t="shared" si="973"/>
        <v>-42.5</v>
      </c>
      <c r="K6222" s="17" t="str">
        <f t="shared" si="978"/>
        <v>Ecart négatif</v>
      </c>
      <c r="L6222" s="16">
        <f>base!X6222</f>
        <v>42.5</v>
      </c>
      <c r="M6222" s="11">
        <f t="shared" si="974"/>
        <v>0.17</v>
      </c>
      <c r="N6222" s="11">
        <f t="shared" si="975"/>
        <v>42.5</v>
      </c>
      <c r="O6222" s="11">
        <f t="shared" si="976"/>
        <v>0.17</v>
      </c>
      <c r="P6222" s="12">
        <f t="shared" si="977"/>
        <v>0</v>
      </c>
      <c r="Q6222" s="17" t="str">
        <f t="shared" si="979"/>
        <v>Pas d'écart</v>
      </c>
    </row>
    <row r="6223" spans="1:18" x14ac:dyDescent="0.3">
      <c r="A6223" s="34" t="str">
        <f>base!J6223</f>
        <v>RM</v>
      </c>
      <c r="B6223" s="34" t="str">
        <f>base!V6223</f>
        <v>75013</v>
      </c>
      <c r="C6223" s="37">
        <v>75</v>
      </c>
      <c r="D6223" s="36">
        <f>base!H6223</f>
        <v>151</v>
      </c>
      <c r="E6223" s="44"/>
      <c r="F6223" s="16">
        <f>base!W6223</f>
        <v>0</v>
      </c>
      <c r="G6223" s="11">
        <f t="shared" si="970"/>
        <v>0</v>
      </c>
      <c r="H6223" s="11">
        <f t="shared" si="971"/>
        <v>0</v>
      </c>
      <c r="I6223" s="11">
        <f t="shared" si="972"/>
        <v>0</v>
      </c>
      <c r="J6223" s="12">
        <f t="shared" si="973"/>
        <v>0</v>
      </c>
      <c r="K6223" s="17" t="str">
        <f t="shared" si="978"/>
        <v>Pas d'écart</v>
      </c>
      <c r="L6223" s="16">
        <f>base!X6223</f>
        <v>0</v>
      </c>
      <c r="M6223" s="11">
        <f t="shared" si="974"/>
        <v>0</v>
      </c>
      <c r="N6223" s="11">
        <f t="shared" si="975"/>
        <v>0</v>
      </c>
      <c r="O6223" s="11">
        <f t="shared" si="976"/>
        <v>0</v>
      </c>
      <c r="P6223" s="12">
        <f t="shared" si="977"/>
        <v>0</v>
      </c>
      <c r="Q6223" s="17" t="str">
        <f t="shared" si="979"/>
        <v>Pas d'écart</v>
      </c>
    </row>
    <row r="6224" spans="1:18" x14ac:dyDescent="0.3">
      <c r="A6224" s="34">
        <f>base!J6224</f>
        <v>0</v>
      </c>
      <c r="B6224" s="34" t="str">
        <f>base!V6224</f>
        <v>77184</v>
      </c>
      <c r="C6224" s="37">
        <v>77</v>
      </c>
      <c r="D6224" s="36">
        <f>base!H6224</f>
        <v>88.38</v>
      </c>
      <c r="E6224" s="44"/>
      <c r="F6224" s="16">
        <f>base!W6224</f>
        <v>0</v>
      </c>
      <c r="G6224" s="11">
        <f t="shared" si="970"/>
        <v>0</v>
      </c>
      <c r="H6224" s="11">
        <f t="shared" si="971"/>
        <v>0</v>
      </c>
      <c r="I6224" s="11">
        <f t="shared" si="972"/>
        <v>0</v>
      </c>
      <c r="J6224" s="12">
        <f t="shared" si="973"/>
        <v>0</v>
      </c>
      <c r="K6224" s="17" t="str">
        <f t="shared" si="978"/>
        <v>Pas d'écart</v>
      </c>
      <c r="L6224" s="16">
        <f>base!X6224</f>
        <v>0</v>
      </c>
      <c r="M6224" s="11">
        <f t="shared" si="974"/>
        <v>0</v>
      </c>
      <c r="N6224" s="11">
        <f t="shared" si="975"/>
        <v>0</v>
      </c>
      <c r="O6224" s="11">
        <f t="shared" si="976"/>
        <v>0</v>
      </c>
      <c r="P6224" s="12">
        <f t="shared" si="977"/>
        <v>0</v>
      </c>
      <c r="Q6224" s="17" t="str">
        <f t="shared" si="979"/>
        <v>Pas d'écart</v>
      </c>
    </row>
    <row r="6225" spans="1:18" x14ac:dyDescent="0.3">
      <c r="A6225" s="34" t="str">
        <f>base!J6225</f>
        <v>DLM</v>
      </c>
      <c r="B6225" s="34" t="str">
        <f>base!V6225</f>
        <v>69800</v>
      </c>
      <c r="C6225" s="37">
        <v>69</v>
      </c>
      <c r="D6225" s="36">
        <f>base!H6225</f>
        <v>151</v>
      </c>
      <c r="E6225" s="44"/>
      <c r="F6225" s="16">
        <f>base!W6225</f>
        <v>0</v>
      </c>
      <c r="G6225" s="11">
        <f t="shared" si="970"/>
        <v>0</v>
      </c>
      <c r="H6225" s="11">
        <f t="shared" si="971"/>
        <v>40.770000000000003</v>
      </c>
      <c r="I6225" s="11">
        <f t="shared" si="972"/>
        <v>0.27</v>
      </c>
      <c r="J6225" s="12">
        <f t="shared" si="973"/>
        <v>-40.770000000000003</v>
      </c>
      <c r="K6225" s="17" t="str">
        <f t="shared" si="978"/>
        <v>Ecart négatif</v>
      </c>
      <c r="L6225" s="16">
        <f>base!X6225</f>
        <v>0</v>
      </c>
      <c r="M6225" s="11">
        <f t="shared" si="974"/>
        <v>0</v>
      </c>
      <c r="N6225" s="11">
        <f t="shared" si="975"/>
        <v>0</v>
      </c>
      <c r="O6225" s="11">
        <f t="shared" si="976"/>
        <v>0</v>
      </c>
      <c r="P6225" s="12">
        <f t="shared" si="977"/>
        <v>0</v>
      </c>
      <c r="Q6225" s="17" t="str">
        <f t="shared" si="979"/>
        <v>Pas d'écart</v>
      </c>
    </row>
    <row r="6226" spans="1:18" x14ac:dyDescent="0.3">
      <c r="A6226" s="34" t="str">
        <f>base!J6226</f>
        <v>LS</v>
      </c>
      <c r="B6226" s="34" t="str">
        <f>base!V6226</f>
        <v>42100</v>
      </c>
      <c r="C6226" s="37">
        <v>6</v>
      </c>
      <c r="D6226" s="36">
        <f>base!H6226</f>
        <v>170.88</v>
      </c>
      <c r="E6226" s="44"/>
      <c r="F6226" s="16">
        <f>base!W6226</f>
        <v>46.14</v>
      </c>
      <c r="G6226" s="11">
        <f t="shared" si="970"/>
        <v>0.27001404494382025</v>
      </c>
      <c r="H6226" s="11">
        <f t="shared" si="971"/>
        <v>51.263999999999996</v>
      </c>
      <c r="I6226" s="11">
        <f t="shared" si="972"/>
        <v>0.3</v>
      </c>
      <c r="J6226" s="12">
        <f t="shared" si="973"/>
        <v>-5.1239999999999952</v>
      </c>
      <c r="K6226" s="17" t="str">
        <f t="shared" si="978"/>
        <v>Ecart négatif</v>
      </c>
      <c r="L6226" s="16">
        <f>base!X6226</f>
        <v>0</v>
      </c>
      <c r="M6226" s="11">
        <f t="shared" si="974"/>
        <v>0</v>
      </c>
      <c r="N6226" s="11">
        <f t="shared" si="975"/>
        <v>35.884799999999998</v>
      </c>
      <c r="O6226" s="11">
        <f t="shared" si="976"/>
        <v>0.21</v>
      </c>
      <c r="P6226" s="12">
        <f t="shared" si="977"/>
        <v>-35.884799999999998</v>
      </c>
      <c r="Q6226" s="17" t="str">
        <f t="shared" si="979"/>
        <v>Ecart négatif</v>
      </c>
    </row>
    <row r="6227" spans="1:18" x14ac:dyDescent="0.3">
      <c r="A6227" s="34" t="str">
        <f>base!J6227</f>
        <v>Metre Aller</v>
      </c>
      <c r="B6227" s="34" t="str">
        <f>base!V6227</f>
        <v>77184</v>
      </c>
      <c r="C6227" s="37">
        <v>77</v>
      </c>
      <c r="D6227" s="36">
        <f>base!H6227</f>
        <v>175.82</v>
      </c>
      <c r="E6227" s="44"/>
      <c r="F6227" s="16">
        <f>base!W6227</f>
        <v>0</v>
      </c>
      <c r="G6227" s="11">
        <f t="shared" si="970"/>
        <v>0</v>
      </c>
      <c r="H6227" s="11">
        <f t="shared" si="971"/>
        <v>0</v>
      </c>
      <c r="I6227" s="11">
        <f t="shared" si="972"/>
        <v>0</v>
      </c>
      <c r="J6227" s="12">
        <f t="shared" si="973"/>
        <v>0</v>
      </c>
      <c r="K6227" s="17" t="str">
        <f t="shared" si="978"/>
        <v>Pas d'écart</v>
      </c>
      <c r="L6227" s="16">
        <f>base!X6227</f>
        <v>0</v>
      </c>
      <c r="M6227" s="11">
        <f t="shared" si="974"/>
        <v>0</v>
      </c>
      <c r="N6227" s="11">
        <f t="shared" si="975"/>
        <v>0</v>
      </c>
      <c r="O6227" s="11">
        <f t="shared" si="976"/>
        <v>0</v>
      </c>
      <c r="P6227" s="12">
        <f t="shared" si="977"/>
        <v>0</v>
      </c>
      <c r="Q6227" s="17" t="str">
        <f t="shared" si="979"/>
        <v>Pas d'écart</v>
      </c>
    </row>
    <row r="6228" spans="1:18" x14ac:dyDescent="0.3">
      <c r="A6228" s="34" t="str">
        <f>base!J6228</f>
        <v>LS</v>
      </c>
      <c r="B6228" s="34" t="str">
        <f>base!V6228</f>
        <v>80400</v>
      </c>
      <c r="C6228" s="37">
        <v>67</v>
      </c>
      <c r="D6228" s="36">
        <f>base!H6228</f>
        <v>102.88</v>
      </c>
      <c r="E6228" s="44"/>
      <c r="F6228" s="16">
        <f>base!W6228</f>
        <v>19.55</v>
      </c>
      <c r="G6228" s="11">
        <f t="shared" si="970"/>
        <v>0.19002721617418353</v>
      </c>
      <c r="H6228" s="11">
        <f t="shared" si="971"/>
        <v>29.835199999999997</v>
      </c>
      <c r="I6228" s="11">
        <f t="shared" si="972"/>
        <v>0.28999999999999998</v>
      </c>
      <c r="J6228" s="12">
        <f t="shared" si="973"/>
        <v>-10.285199999999996</v>
      </c>
      <c r="K6228" s="17" t="str">
        <f t="shared" si="978"/>
        <v>Ecart négatif</v>
      </c>
      <c r="L6228" s="16">
        <f>base!X6228</f>
        <v>0</v>
      </c>
      <c r="M6228" s="11">
        <f t="shared" si="974"/>
        <v>0</v>
      </c>
      <c r="N6228" s="11">
        <f t="shared" si="975"/>
        <v>8.2303999999999995</v>
      </c>
      <c r="O6228" s="11">
        <f t="shared" si="976"/>
        <v>0.08</v>
      </c>
      <c r="P6228" s="12">
        <f t="shared" si="977"/>
        <v>-8.2303999999999995</v>
      </c>
      <c r="Q6228" s="17" t="str">
        <f t="shared" si="979"/>
        <v>Ecart négatif</v>
      </c>
    </row>
    <row r="6229" spans="1:18" x14ac:dyDescent="0.3">
      <c r="A6229" s="34">
        <f>base!J6229</f>
        <v>0</v>
      </c>
      <c r="B6229" s="34" t="str">
        <f>base!V6229</f>
        <v>77184</v>
      </c>
      <c r="C6229" s="37">
        <v>77</v>
      </c>
      <c r="D6229" s="36">
        <f>base!H6229</f>
        <v>11</v>
      </c>
      <c r="E6229" s="44"/>
      <c r="F6229" s="16">
        <f>base!W6229</f>
        <v>0</v>
      </c>
      <c r="G6229" s="11">
        <f t="shared" si="970"/>
        <v>0</v>
      </c>
      <c r="H6229" s="11">
        <f t="shared" si="971"/>
        <v>0</v>
      </c>
      <c r="I6229" s="11">
        <f t="shared" si="972"/>
        <v>0</v>
      </c>
      <c r="J6229" s="12">
        <f t="shared" si="973"/>
        <v>0</v>
      </c>
      <c r="K6229" s="17" t="str">
        <f t="shared" si="978"/>
        <v>Pas d'écart</v>
      </c>
      <c r="L6229" s="16">
        <f>base!X6229</f>
        <v>0</v>
      </c>
      <c r="M6229" s="11">
        <f t="shared" si="974"/>
        <v>0</v>
      </c>
      <c r="N6229" s="11">
        <f t="shared" si="975"/>
        <v>0</v>
      </c>
      <c r="O6229" s="11">
        <f t="shared" si="976"/>
        <v>0</v>
      </c>
      <c r="P6229" s="12">
        <f t="shared" si="977"/>
        <v>0</v>
      </c>
      <c r="Q6229" s="17" t="str">
        <f t="shared" si="979"/>
        <v>Pas d'écart</v>
      </c>
    </row>
    <row r="6230" spans="1:18" x14ac:dyDescent="0.3">
      <c r="A6230" s="34" t="str">
        <f>base!J6230</f>
        <v>DLS</v>
      </c>
      <c r="B6230" s="34" t="str">
        <f>base!V6230</f>
        <v>77184</v>
      </c>
      <c r="C6230" s="37">
        <v>77</v>
      </c>
      <c r="D6230" s="36">
        <f>base!H6230</f>
        <v>40</v>
      </c>
      <c r="E6230" s="44"/>
      <c r="F6230" s="16">
        <f>base!W6230</f>
        <v>0</v>
      </c>
      <c r="G6230" s="11">
        <f t="shared" si="970"/>
        <v>0</v>
      </c>
      <c r="H6230" s="11">
        <f t="shared" si="971"/>
        <v>0</v>
      </c>
      <c r="I6230" s="11">
        <f t="shared" si="972"/>
        <v>0</v>
      </c>
      <c r="J6230" s="12">
        <f t="shared" si="973"/>
        <v>0</v>
      </c>
      <c r="K6230" s="17" t="str">
        <f t="shared" si="978"/>
        <v>Pas d'écart</v>
      </c>
      <c r="L6230" s="16">
        <f>base!X6230</f>
        <v>0</v>
      </c>
      <c r="M6230" s="11">
        <f t="shared" si="974"/>
        <v>0</v>
      </c>
      <c r="N6230" s="11">
        <f t="shared" si="975"/>
        <v>0</v>
      </c>
      <c r="O6230" s="11">
        <f t="shared" si="976"/>
        <v>0</v>
      </c>
      <c r="P6230" s="12">
        <f t="shared" si="977"/>
        <v>0</v>
      </c>
      <c r="Q6230" s="17" t="str">
        <f t="shared" si="979"/>
        <v>Pas d'écart</v>
      </c>
    </row>
    <row r="6231" spans="1:18" x14ac:dyDescent="0.3">
      <c r="A6231" s="34">
        <f>base!J6231</f>
        <v>0</v>
      </c>
      <c r="B6231" s="34" t="str">
        <f>base!V6231</f>
        <v>77184</v>
      </c>
      <c r="C6231" s="37">
        <v>77</v>
      </c>
      <c r="D6231" s="36">
        <f>base!H6231</f>
        <v>70.36</v>
      </c>
      <c r="E6231" s="44"/>
      <c r="F6231" s="16">
        <f>base!W6231</f>
        <v>0</v>
      </c>
      <c r="G6231" s="11">
        <f t="shared" si="970"/>
        <v>0</v>
      </c>
      <c r="H6231" s="11">
        <f t="shared" si="971"/>
        <v>0</v>
      </c>
      <c r="I6231" s="11">
        <f t="shared" si="972"/>
        <v>0</v>
      </c>
      <c r="J6231" s="12">
        <f t="shared" si="973"/>
        <v>0</v>
      </c>
      <c r="K6231" s="17" t="str">
        <f t="shared" si="978"/>
        <v>Pas d'écart</v>
      </c>
      <c r="L6231" s="16">
        <f>base!X6231</f>
        <v>0</v>
      </c>
      <c r="M6231" s="11">
        <f t="shared" si="974"/>
        <v>0</v>
      </c>
      <c r="N6231" s="11">
        <f t="shared" si="975"/>
        <v>0</v>
      </c>
      <c r="O6231" s="11">
        <f t="shared" si="976"/>
        <v>0</v>
      </c>
      <c r="P6231" s="12">
        <f t="shared" si="977"/>
        <v>0</v>
      </c>
      <c r="Q6231" s="17" t="str">
        <f t="shared" si="979"/>
        <v>Pas d'écart</v>
      </c>
    </row>
    <row r="6232" spans="1:18" x14ac:dyDescent="0.3">
      <c r="A6232" s="34" t="str">
        <f>base!J6232</f>
        <v>DLS</v>
      </c>
      <c r="B6232" s="34" t="str">
        <f>base!V6232</f>
        <v>80000</v>
      </c>
      <c r="C6232" s="37">
        <v>80</v>
      </c>
      <c r="D6232" s="36">
        <f>base!H6232</f>
        <v>184.06</v>
      </c>
      <c r="E6232" s="44"/>
      <c r="F6232" s="16">
        <f>base!W6232</f>
        <v>0</v>
      </c>
      <c r="G6232" s="11">
        <f t="shared" si="970"/>
        <v>0</v>
      </c>
      <c r="H6232" s="11">
        <f t="shared" si="971"/>
        <v>34.971400000000003</v>
      </c>
      <c r="I6232" s="11">
        <f t="shared" si="972"/>
        <v>0.19</v>
      </c>
      <c r="J6232" s="12">
        <f t="shared" si="973"/>
        <v>-34.971400000000003</v>
      </c>
      <c r="K6232" s="17" t="str">
        <f t="shared" si="978"/>
        <v>Ecart négatif</v>
      </c>
      <c r="L6232" s="16">
        <f>base!X6232</f>
        <v>0</v>
      </c>
      <c r="M6232" s="11">
        <f t="shared" si="974"/>
        <v>0</v>
      </c>
      <c r="N6232" s="11">
        <f t="shared" si="975"/>
        <v>0</v>
      </c>
      <c r="O6232" s="11">
        <f t="shared" si="976"/>
        <v>0</v>
      </c>
      <c r="P6232" s="12">
        <f t="shared" si="977"/>
        <v>0</v>
      </c>
      <c r="Q6232" s="17" t="str">
        <f t="shared" si="979"/>
        <v>Pas d'écart</v>
      </c>
    </row>
    <row r="6233" spans="1:18" x14ac:dyDescent="0.3">
      <c r="A6233" s="34" t="str">
        <f>base!J6233</f>
        <v>LM</v>
      </c>
      <c r="B6233" s="34" t="str">
        <f>base!V6233</f>
        <v>75009</v>
      </c>
      <c r="C6233" s="37">
        <v>75</v>
      </c>
      <c r="D6233" s="36">
        <f>base!H6233</f>
        <v>184.19</v>
      </c>
      <c r="E6233" s="44"/>
      <c r="F6233" s="16">
        <f>base!W6233</f>
        <v>0</v>
      </c>
      <c r="G6233" s="11">
        <f t="shared" si="970"/>
        <v>0</v>
      </c>
      <c r="H6233" s="11">
        <f t="shared" si="971"/>
        <v>0</v>
      </c>
      <c r="I6233" s="11">
        <f t="shared" si="972"/>
        <v>0</v>
      </c>
      <c r="J6233" s="12">
        <f t="shared" si="973"/>
        <v>0</v>
      </c>
      <c r="K6233" s="17" t="str">
        <f t="shared" si="978"/>
        <v>Pas d'écart</v>
      </c>
      <c r="L6233" s="16">
        <f>base!X6233</f>
        <v>0</v>
      </c>
      <c r="M6233" s="11">
        <f t="shared" si="974"/>
        <v>0</v>
      </c>
      <c r="N6233" s="11">
        <f t="shared" si="975"/>
        <v>0</v>
      </c>
      <c r="O6233" s="11">
        <f t="shared" si="976"/>
        <v>0</v>
      </c>
      <c r="P6233" s="12">
        <f t="shared" si="977"/>
        <v>0</v>
      </c>
      <c r="Q6233" s="17" t="str">
        <f t="shared" si="979"/>
        <v>Pas d'écart</v>
      </c>
    </row>
    <row r="6234" spans="1:18" x14ac:dyDescent="0.3">
      <c r="A6234" s="34" t="str">
        <f>base!J6234</f>
        <v>RS</v>
      </c>
      <c r="B6234" s="34" t="str">
        <f>base!V6234</f>
        <v>13007</v>
      </c>
      <c r="C6234" s="37">
        <v>13</v>
      </c>
      <c r="D6234" s="36">
        <f>base!H6234</f>
        <v>140</v>
      </c>
      <c r="E6234" s="44"/>
      <c r="F6234" s="16">
        <f>base!W6234</f>
        <v>0</v>
      </c>
      <c r="G6234" s="11">
        <f t="shared" si="970"/>
        <v>0</v>
      </c>
      <c r="H6234" s="11">
        <f t="shared" si="971"/>
        <v>40.599999999999994</v>
      </c>
      <c r="I6234" s="11">
        <f t="shared" si="972"/>
        <v>0.28999999999999998</v>
      </c>
      <c r="J6234" s="12">
        <f t="shared" si="973"/>
        <v>-40.599999999999994</v>
      </c>
      <c r="K6234" s="17" t="str">
        <f t="shared" si="978"/>
        <v>Ecart négatif</v>
      </c>
      <c r="L6234" s="16">
        <f>base!X6234</f>
        <v>26.6</v>
      </c>
      <c r="M6234" s="11">
        <f t="shared" si="974"/>
        <v>0.19</v>
      </c>
      <c r="N6234" s="11">
        <f t="shared" si="975"/>
        <v>26.6</v>
      </c>
      <c r="O6234" s="11">
        <f t="shared" si="976"/>
        <v>0.19</v>
      </c>
      <c r="P6234" s="12">
        <f t="shared" si="977"/>
        <v>0</v>
      </c>
      <c r="Q6234" s="17" t="str">
        <f t="shared" si="979"/>
        <v>Pas d'écart</v>
      </c>
      <c r="R6234" s="38"/>
    </row>
    <row r="6235" spans="1:18" x14ac:dyDescent="0.3">
      <c r="A6235" s="34" t="str">
        <f>base!J6235</f>
        <v>DRS</v>
      </c>
      <c r="B6235" s="34" t="str">
        <f>base!V6235</f>
        <v>92110</v>
      </c>
      <c r="C6235" s="37">
        <v>92</v>
      </c>
      <c r="D6235" s="36">
        <f>base!H6235</f>
        <v>180</v>
      </c>
      <c r="E6235" s="44"/>
      <c r="F6235" s="16">
        <f>base!W6235</f>
        <v>0</v>
      </c>
      <c r="G6235" s="11">
        <f t="shared" si="970"/>
        <v>0</v>
      </c>
      <c r="H6235" s="11">
        <f t="shared" si="971"/>
        <v>0</v>
      </c>
      <c r="I6235" s="11">
        <f t="shared" si="972"/>
        <v>0</v>
      </c>
      <c r="J6235" s="12">
        <f t="shared" si="973"/>
        <v>0</v>
      </c>
      <c r="K6235" s="17" t="str">
        <f t="shared" si="978"/>
        <v>Pas d'écart</v>
      </c>
      <c r="L6235" s="16">
        <f>base!X6235</f>
        <v>0</v>
      </c>
      <c r="M6235" s="11">
        <f t="shared" si="974"/>
        <v>0</v>
      </c>
      <c r="N6235" s="11">
        <f t="shared" si="975"/>
        <v>0</v>
      </c>
      <c r="O6235" s="11">
        <f t="shared" si="976"/>
        <v>0</v>
      </c>
      <c r="P6235" s="12">
        <f t="shared" si="977"/>
        <v>0</v>
      </c>
      <c r="Q6235" s="17" t="str">
        <f t="shared" si="979"/>
        <v>Pas d'écart</v>
      </c>
    </row>
    <row r="6236" spans="1:18" x14ac:dyDescent="0.3">
      <c r="A6236" s="34" t="str">
        <f>base!J6236</f>
        <v>LM</v>
      </c>
      <c r="B6236" s="34" t="str">
        <f>base!V6236</f>
        <v>75014</v>
      </c>
      <c r="C6236" s="37">
        <v>75</v>
      </c>
      <c r="D6236" s="36">
        <f>base!H6236</f>
        <v>19.649999999999999</v>
      </c>
      <c r="E6236" s="44"/>
      <c r="F6236" s="16">
        <f>base!W6236</f>
        <v>0</v>
      </c>
      <c r="G6236" s="11">
        <f t="shared" si="970"/>
        <v>0</v>
      </c>
      <c r="H6236" s="11">
        <f t="shared" si="971"/>
        <v>0</v>
      </c>
      <c r="I6236" s="11">
        <f t="shared" si="972"/>
        <v>0</v>
      </c>
      <c r="J6236" s="12">
        <f t="shared" si="973"/>
        <v>0</v>
      </c>
      <c r="K6236" s="17" t="str">
        <f t="shared" si="978"/>
        <v>Pas d'écart</v>
      </c>
      <c r="L6236" s="16">
        <f>base!X6236</f>
        <v>0</v>
      </c>
      <c r="M6236" s="11">
        <f t="shared" si="974"/>
        <v>0</v>
      </c>
      <c r="N6236" s="11">
        <f t="shared" si="975"/>
        <v>0</v>
      </c>
      <c r="O6236" s="11">
        <f t="shared" si="976"/>
        <v>0</v>
      </c>
      <c r="P6236" s="12">
        <f t="shared" si="977"/>
        <v>0</v>
      </c>
      <c r="Q6236" s="17" t="str">
        <f t="shared" si="979"/>
        <v>Pas d'écart</v>
      </c>
    </row>
    <row r="6237" spans="1:18" x14ac:dyDescent="0.3">
      <c r="A6237" s="34" t="str">
        <f>base!J6237</f>
        <v>LM</v>
      </c>
      <c r="B6237" s="34" t="str">
        <f>base!V6237</f>
        <v>76390</v>
      </c>
      <c r="C6237" s="37">
        <v>84</v>
      </c>
      <c r="D6237" s="36">
        <f>base!H6237</f>
        <v>5.5</v>
      </c>
      <c r="E6237" s="44"/>
      <c r="F6237" s="16">
        <f>base!W6237</f>
        <v>0.94</v>
      </c>
      <c r="G6237" s="11">
        <f t="shared" si="970"/>
        <v>0.1709090909090909</v>
      </c>
      <c r="H6237" s="11">
        <f t="shared" si="971"/>
        <v>1.595</v>
      </c>
      <c r="I6237" s="11">
        <f t="shared" si="972"/>
        <v>0.28999999999999998</v>
      </c>
      <c r="J6237" s="12">
        <f t="shared" si="973"/>
        <v>-0.65500000000000003</v>
      </c>
      <c r="K6237" s="17" t="str">
        <f t="shared" si="978"/>
        <v>Ecart négatif</v>
      </c>
      <c r="L6237" s="16">
        <f>base!X6237</f>
        <v>0</v>
      </c>
      <c r="M6237" s="11">
        <f t="shared" si="974"/>
        <v>0</v>
      </c>
      <c r="N6237" s="11">
        <f t="shared" si="975"/>
        <v>1.0449999999999999</v>
      </c>
      <c r="O6237" s="11">
        <f t="shared" si="976"/>
        <v>0.18999999999999997</v>
      </c>
      <c r="P6237" s="12">
        <f t="shared" si="977"/>
        <v>-1.0449999999999999</v>
      </c>
      <c r="Q6237" s="17" t="str">
        <f t="shared" si="979"/>
        <v>Ecart négatif</v>
      </c>
    </row>
    <row r="6238" spans="1:18" x14ac:dyDescent="0.3">
      <c r="A6238" s="34" t="str">
        <f>base!J6238</f>
        <v>RS</v>
      </c>
      <c r="B6238" s="34" t="str">
        <f>base!V6238</f>
        <v>69124</v>
      </c>
      <c r="C6238" s="37">
        <v>69</v>
      </c>
      <c r="D6238" s="36">
        <f>base!H6238</f>
        <v>20</v>
      </c>
      <c r="E6238" s="44"/>
      <c r="F6238" s="16">
        <f>base!W6238</f>
        <v>0</v>
      </c>
      <c r="G6238" s="11">
        <f t="shared" si="970"/>
        <v>0</v>
      </c>
      <c r="H6238" s="11">
        <f t="shared" si="971"/>
        <v>5.4</v>
      </c>
      <c r="I6238" s="11">
        <f t="shared" si="972"/>
        <v>0.27</v>
      </c>
      <c r="J6238" s="12">
        <f t="shared" si="973"/>
        <v>-5.4</v>
      </c>
      <c r="K6238" s="17" t="str">
        <f t="shared" si="978"/>
        <v>Ecart négatif</v>
      </c>
      <c r="L6238" s="16">
        <f>base!X6238</f>
        <v>0</v>
      </c>
      <c r="M6238" s="11">
        <f t="shared" si="974"/>
        <v>0</v>
      </c>
      <c r="N6238" s="11">
        <f t="shared" si="975"/>
        <v>0</v>
      </c>
      <c r="O6238" s="11">
        <f t="shared" si="976"/>
        <v>0</v>
      </c>
      <c r="P6238" s="12">
        <f t="shared" si="977"/>
        <v>0</v>
      </c>
      <c r="Q6238" s="17" t="str">
        <f t="shared" si="979"/>
        <v>Pas d'écart</v>
      </c>
    </row>
    <row r="6239" spans="1:18" x14ac:dyDescent="0.3">
      <c r="A6239" s="34" t="str">
        <f>base!J6239</f>
        <v>DLS</v>
      </c>
      <c r="B6239" s="34" t="str">
        <f>base!V6239</f>
        <v>35680</v>
      </c>
      <c r="C6239" s="37">
        <v>35</v>
      </c>
      <c r="D6239" s="36">
        <f>base!H6239</f>
        <v>134.93</v>
      </c>
      <c r="E6239" s="44"/>
      <c r="F6239" s="16">
        <f>base!W6239</f>
        <v>0</v>
      </c>
      <c r="G6239" s="11">
        <f t="shared" si="970"/>
        <v>0</v>
      </c>
      <c r="H6239" s="11">
        <f t="shared" si="971"/>
        <v>36.431100000000001</v>
      </c>
      <c r="I6239" s="11">
        <f t="shared" si="972"/>
        <v>0.27</v>
      </c>
      <c r="J6239" s="12">
        <f t="shared" si="973"/>
        <v>-36.431100000000001</v>
      </c>
      <c r="K6239" s="17" t="str">
        <f t="shared" si="978"/>
        <v>Ecart négatif</v>
      </c>
      <c r="L6239" s="16">
        <f>base!X6239</f>
        <v>0</v>
      </c>
      <c r="M6239" s="11">
        <f t="shared" si="974"/>
        <v>0</v>
      </c>
      <c r="N6239" s="11">
        <f t="shared" si="975"/>
        <v>0</v>
      </c>
      <c r="O6239" s="11">
        <f t="shared" si="976"/>
        <v>0</v>
      </c>
      <c r="P6239" s="12">
        <f t="shared" si="977"/>
        <v>0</v>
      </c>
      <c r="Q6239" s="17" t="str">
        <f t="shared" si="979"/>
        <v>Pas d'écart</v>
      </c>
    </row>
    <row r="6240" spans="1:18" x14ac:dyDescent="0.3">
      <c r="A6240" s="34" t="str">
        <f>base!J6240</f>
        <v>RM</v>
      </c>
      <c r="B6240" s="34" t="str">
        <f>base!V6240</f>
        <v>25042</v>
      </c>
      <c r="C6240" s="37">
        <v>25</v>
      </c>
      <c r="D6240" s="36">
        <f>base!H6240</f>
        <v>151</v>
      </c>
      <c r="E6240" s="44"/>
      <c r="F6240" s="16">
        <f>base!W6240</f>
        <v>0</v>
      </c>
      <c r="G6240" s="11">
        <f t="shared" si="970"/>
        <v>0</v>
      </c>
      <c r="H6240" s="11">
        <f t="shared" si="971"/>
        <v>36.24</v>
      </c>
      <c r="I6240" s="11">
        <f t="shared" si="972"/>
        <v>0.24000000000000002</v>
      </c>
      <c r="J6240" s="12">
        <f t="shared" si="973"/>
        <v>-36.24</v>
      </c>
      <c r="K6240" s="17" t="str">
        <f t="shared" si="978"/>
        <v>Ecart négatif</v>
      </c>
      <c r="L6240" s="16">
        <f>base!X6240</f>
        <v>0</v>
      </c>
      <c r="M6240" s="11">
        <f t="shared" si="974"/>
        <v>0</v>
      </c>
      <c r="N6240" s="11">
        <f t="shared" si="975"/>
        <v>18.12</v>
      </c>
      <c r="O6240" s="11">
        <f t="shared" si="976"/>
        <v>0.12000000000000001</v>
      </c>
      <c r="P6240" s="12">
        <f t="shared" si="977"/>
        <v>-18.12</v>
      </c>
      <c r="Q6240" s="17" t="str">
        <f t="shared" si="979"/>
        <v>Ecart négatif</v>
      </c>
    </row>
    <row r="6241" spans="1:18" x14ac:dyDescent="0.3">
      <c r="A6241" s="34" t="str">
        <f>base!J6241</f>
        <v>LS</v>
      </c>
      <c r="B6241" s="34" t="str">
        <f>base!V6241</f>
        <v>57370</v>
      </c>
      <c r="C6241" s="37">
        <v>19</v>
      </c>
      <c r="D6241" s="36">
        <f>base!H6241</f>
        <v>120.85</v>
      </c>
      <c r="E6241" s="44"/>
      <c r="F6241" s="16">
        <f>base!W6241</f>
        <v>30.21</v>
      </c>
      <c r="G6241" s="11">
        <f t="shared" si="970"/>
        <v>0.24997931319817959</v>
      </c>
      <c r="H6241" s="11">
        <f t="shared" si="971"/>
        <v>35.046499999999995</v>
      </c>
      <c r="I6241" s="11">
        <f t="shared" si="972"/>
        <v>0.28999999999999998</v>
      </c>
      <c r="J6241" s="12">
        <f t="shared" si="973"/>
        <v>-4.8364999999999938</v>
      </c>
      <c r="K6241" s="17" t="str">
        <f t="shared" si="978"/>
        <v>Ecart négatif</v>
      </c>
      <c r="L6241" s="16">
        <f>base!X6241</f>
        <v>0</v>
      </c>
      <c r="M6241" s="11">
        <f t="shared" si="974"/>
        <v>0</v>
      </c>
      <c r="N6241" s="11">
        <f t="shared" si="975"/>
        <v>14.501999999999999</v>
      </c>
      <c r="O6241" s="11">
        <f t="shared" si="976"/>
        <v>0.12</v>
      </c>
      <c r="P6241" s="12">
        <f t="shared" si="977"/>
        <v>-14.501999999999999</v>
      </c>
      <c r="Q6241" s="17" t="str">
        <f t="shared" si="979"/>
        <v>Ecart négatif</v>
      </c>
    </row>
    <row r="6242" spans="1:18" x14ac:dyDescent="0.3">
      <c r="A6242" s="34" t="str">
        <f>base!J6242</f>
        <v>LS</v>
      </c>
      <c r="B6242" s="34" t="str">
        <f>base!V6242</f>
        <v>45000</v>
      </c>
      <c r="C6242" s="37">
        <v>19</v>
      </c>
      <c r="D6242" s="36">
        <f>base!H6242</f>
        <v>38</v>
      </c>
      <c r="E6242" s="44"/>
      <c r="F6242" s="16">
        <f>base!W6242</f>
        <v>7.98</v>
      </c>
      <c r="G6242" s="11">
        <f t="shared" si="970"/>
        <v>0.21000000000000002</v>
      </c>
      <c r="H6242" s="11">
        <f t="shared" si="971"/>
        <v>11.02</v>
      </c>
      <c r="I6242" s="11">
        <f t="shared" si="972"/>
        <v>0.28999999999999998</v>
      </c>
      <c r="J6242" s="12">
        <f t="shared" si="973"/>
        <v>-3.0399999999999991</v>
      </c>
      <c r="K6242" s="17" t="str">
        <f t="shared" si="978"/>
        <v>Ecart négatif</v>
      </c>
      <c r="L6242" s="16">
        <f>base!X6242</f>
        <v>0</v>
      </c>
      <c r="M6242" s="11">
        <f t="shared" si="974"/>
        <v>0</v>
      </c>
      <c r="N6242" s="11">
        <f t="shared" si="975"/>
        <v>4.5599999999999996</v>
      </c>
      <c r="O6242" s="11">
        <f t="shared" si="976"/>
        <v>0.12</v>
      </c>
      <c r="P6242" s="12">
        <f t="shared" si="977"/>
        <v>-4.5599999999999996</v>
      </c>
      <c r="Q6242" s="17" t="str">
        <f t="shared" si="979"/>
        <v>Ecart négatif</v>
      </c>
    </row>
    <row r="6243" spans="1:18" x14ac:dyDescent="0.3">
      <c r="A6243" s="34">
        <f>base!J6243</f>
        <v>0</v>
      </c>
      <c r="B6243" s="34" t="str">
        <f>base!V6243</f>
        <v>77184</v>
      </c>
      <c r="C6243" s="37">
        <v>77</v>
      </c>
      <c r="D6243" s="36">
        <f>base!H6243</f>
        <v>157</v>
      </c>
      <c r="E6243" s="44"/>
      <c r="F6243" s="16">
        <f>base!W6243</f>
        <v>0</v>
      </c>
      <c r="G6243" s="11">
        <f t="shared" si="970"/>
        <v>0</v>
      </c>
      <c r="H6243" s="11">
        <f t="shared" si="971"/>
        <v>0</v>
      </c>
      <c r="I6243" s="11">
        <f t="shared" si="972"/>
        <v>0</v>
      </c>
      <c r="J6243" s="12">
        <f t="shared" si="973"/>
        <v>0</v>
      </c>
      <c r="K6243" s="17" t="str">
        <f t="shared" si="978"/>
        <v>Pas d'écart</v>
      </c>
      <c r="L6243" s="16">
        <f>base!X6243</f>
        <v>0</v>
      </c>
      <c r="M6243" s="11">
        <f t="shared" si="974"/>
        <v>0</v>
      </c>
      <c r="N6243" s="11">
        <f t="shared" si="975"/>
        <v>0</v>
      </c>
      <c r="O6243" s="11">
        <f t="shared" si="976"/>
        <v>0</v>
      </c>
      <c r="P6243" s="12">
        <f t="shared" si="977"/>
        <v>0</v>
      </c>
      <c r="Q6243" s="17" t="str">
        <f t="shared" si="979"/>
        <v>Pas d'écart</v>
      </c>
    </row>
    <row r="6244" spans="1:18" x14ac:dyDescent="0.3">
      <c r="A6244" s="34">
        <f>base!J6244</f>
        <v>0</v>
      </c>
      <c r="B6244" s="34" t="str">
        <f>base!V6244</f>
        <v>77184</v>
      </c>
      <c r="C6244" s="37">
        <v>77</v>
      </c>
      <c r="D6244" s="36">
        <f>base!H6244</f>
        <v>177</v>
      </c>
      <c r="E6244" s="44"/>
      <c r="F6244" s="16">
        <f>base!W6244</f>
        <v>0</v>
      </c>
      <c r="G6244" s="11">
        <f t="shared" si="970"/>
        <v>0</v>
      </c>
      <c r="H6244" s="11">
        <f t="shared" si="971"/>
        <v>0</v>
      </c>
      <c r="I6244" s="11">
        <f t="shared" si="972"/>
        <v>0</v>
      </c>
      <c r="J6244" s="12">
        <f t="shared" si="973"/>
        <v>0</v>
      </c>
      <c r="K6244" s="17" t="str">
        <f t="shared" si="978"/>
        <v>Pas d'écart</v>
      </c>
      <c r="L6244" s="16">
        <f>base!X6244</f>
        <v>0</v>
      </c>
      <c r="M6244" s="11">
        <f t="shared" si="974"/>
        <v>0</v>
      </c>
      <c r="N6244" s="11">
        <f t="shared" si="975"/>
        <v>0</v>
      </c>
      <c r="O6244" s="11">
        <f t="shared" si="976"/>
        <v>0</v>
      </c>
      <c r="P6244" s="12">
        <f t="shared" si="977"/>
        <v>0</v>
      </c>
      <c r="Q6244" s="17" t="str">
        <f t="shared" si="979"/>
        <v>Pas d'écart</v>
      </c>
    </row>
    <row r="6245" spans="1:18" x14ac:dyDescent="0.3">
      <c r="A6245" s="34" t="str">
        <f>base!J6245</f>
        <v>LS</v>
      </c>
      <c r="B6245" s="34" t="str">
        <f>base!V6245</f>
        <v>94150</v>
      </c>
      <c r="C6245" s="37">
        <v>94</v>
      </c>
      <c r="D6245" s="36">
        <f>base!H6245</f>
        <v>0</v>
      </c>
      <c r="E6245" s="44"/>
      <c r="F6245" s="16">
        <f>base!W6245</f>
        <v>0</v>
      </c>
      <c r="G6245" s="11" t="e">
        <f t="shared" si="970"/>
        <v>#DIV/0!</v>
      </c>
      <c r="H6245" s="11">
        <f t="shared" si="971"/>
        <v>0</v>
      </c>
      <c r="I6245" s="11" t="e">
        <f t="shared" si="972"/>
        <v>#DIV/0!</v>
      </c>
      <c r="J6245" s="12">
        <f t="shared" si="973"/>
        <v>0</v>
      </c>
      <c r="K6245" s="17" t="str">
        <f t="shared" si="978"/>
        <v>Pas d'écart</v>
      </c>
      <c r="L6245" s="16">
        <f>base!X6245</f>
        <v>0</v>
      </c>
      <c r="M6245" s="11" t="e">
        <f t="shared" si="974"/>
        <v>#DIV/0!</v>
      </c>
      <c r="N6245" s="11">
        <f t="shared" si="975"/>
        <v>0</v>
      </c>
      <c r="O6245" s="11" t="e">
        <f t="shared" si="976"/>
        <v>#DIV/0!</v>
      </c>
      <c r="P6245" s="12">
        <f t="shared" si="977"/>
        <v>0</v>
      </c>
      <c r="Q6245" s="17" t="str">
        <f t="shared" si="979"/>
        <v>Pas d'écart</v>
      </c>
    </row>
    <row r="6246" spans="1:18" x14ac:dyDescent="0.3">
      <c r="A6246" s="34" t="str">
        <f>base!J6246</f>
        <v>LM</v>
      </c>
      <c r="B6246" s="34" t="str">
        <f>base!V6246</f>
        <v>75009</v>
      </c>
      <c r="C6246" s="37">
        <v>75</v>
      </c>
      <c r="D6246" s="36">
        <f>base!H6246</f>
        <v>28.26</v>
      </c>
      <c r="E6246" s="44"/>
      <c r="F6246" s="16">
        <f>base!W6246</f>
        <v>0</v>
      </c>
      <c r="G6246" s="11">
        <f t="shared" si="970"/>
        <v>0</v>
      </c>
      <c r="H6246" s="11">
        <f t="shared" si="971"/>
        <v>0</v>
      </c>
      <c r="I6246" s="11">
        <f t="shared" si="972"/>
        <v>0</v>
      </c>
      <c r="J6246" s="12">
        <f t="shared" si="973"/>
        <v>0</v>
      </c>
      <c r="K6246" s="17" t="str">
        <f t="shared" si="978"/>
        <v>Pas d'écart</v>
      </c>
      <c r="L6246" s="16">
        <f>base!X6246</f>
        <v>0</v>
      </c>
      <c r="M6246" s="11">
        <f t="shared" si="974"/>
        <v>0</v>
      </c>
      <c r="N6246" s="11">
        <f t="shared" si="975"/>
        <v>0</v>
      </c>
      <c r="O6246" s="11">
        <f t="shared" si="976"/>
        <v>0</v>
      </c>
      <c r="P6246" s="12">
        <f t="shared" si="977"/>
        <v>0</v>
      </c>
      <c r="Q6246" s="17" t="str">
        <f t="shared" si="979"/>
        <v>Pas d'écart</v>
      </c>
    </row>
    <row r="6247" spans="1:18" x14ac:dyDescent="0.3">
      <c r="A6247" s="34" t="str">
        <f>base!J6247</f>
        <v>RS</v>
      </c>
      <c r="B6247" s="34" t="str">
        <f>base!V6247</f>
        <v>05190</v>
      </c>
      <c r="C6247" s="37">
        <v>5</v>
      </c>
      <c r="D6247" s="36">
        <f>base!H6247</f>
        <v>40</v>
      </c>
      <c r="E6247" s="44"/>
      <c r="F6247" s="16">
        <f>base!W6247</f>
        <v>0</v>
      </c>
      <c r="G6247" s="11">
        <f t="shared" si="970"/>
        <v>0</v>
      </c>
      <c r="H6247" s="11">
        <f t="shared" si="971"/>
        <v>11.6</v>
      </c>
      <c r="I6247" s="11">
        <f t="shared" si="972"/>
        <v>0.28999999999999998</v>
      </c>
      <c r="J6247" s="12">
        <f t="shared" si="973"/>
        <v>-11.6</v>
      </c>
      <c r="K6247" s="17" t="str">
        <f t="shared" si="978"/>
        <v>Ecart négatif</v>
      </c>
      <c r="L6247" s="16">
        <f>base!X6247</f>
        <v>0</v>
      </c>
      <c r="M6247" s="11">
        <f t="shared" si="974"/>
        <v>0</v>
      </c>
      <c r="N6247" s="11">
        <f t="shared" si="975"/>
        <v>7.6</v>
      </c>
      <c r="O6247" s="11">
        <f t="shared" si="976"/>
        <v>0.19</v>
      </c>
      <c r="P6247" s="12">
        <f t="shared" si="977"/>
        <v>-7.6</v>
      </c>
      <c r="Q6247" s="17" t="str">
        <f t="shared" si="979"/>
        <v>Ecart négatif</v>
      </c>
    </row>
    <row r="6248" spans="1:18" x14ac:dyDescent="0.3">
      <c r="A6248" s="34" t="str">
        <f>base!J6248</f>
        <v>DRS</v>
      </c>
      <c r="B6248" s="34" t="str">
        <f>base!V6248</f>
        <v>38170</v>
      </c>
      <c r="C6248" s="37">
        <v>38</v>
      </c>
      <c r="D6248" s="36">
        <f>base!H6248</f>
        <v>122.09</v>
      </c>
      <c r="E6248" s="44"/>
      <c r="F6248" s="16">
        <f>base!W6248</f>
        <v>0</v>
      </c>
      <c r="G6248" s="11">
        <f t="shared" si="970"/>
        <v>0</v>
      </c>
      <c r="H6248" s="11">
        <f t="shared" si="971"/>
        <v>32.964300000000001</v>
      </c>
      <c r="I6248" s="11">
        <f t="shared" si="972"/>
        <v>0.27</v>
      </c>
      <c r="J6248" s="12">
        <f t="shared" si="973"/>
        <v>-32.964300000000001</v>
      </c>
      <c r="K6248" s="17" t="str">
        <f t="shared" si="978"/>
        <v>Ecart négatif</v>
      </c>
      <c r="L6248" s="16">
        <f>base!X6248</f>
        <v>0</v>
      </c>
      <c r="M6248" s="11">
        <f t="shared" si="974"/>
        <v>0</v>
      </c>
      <c r="N6248" s="11">
        <f t="shared" si="975"/>
        <v>0</v>
      </c>
      <c r="O6248" s="11">
        <f t="shared" si="976"/>
        <v>0</v>
      </c>
      <c r="P6248" s="12">
        <f t="shared" si="977"/>
        <v>0</v>
      </c>
      <c r="Q6248" s="17" t="str">
        <f t="shared" si="979"/>
        <v>Pas d'écart</v>
      </c>
    </row>
    <row r="6249" spans="1:18" x14ac:dyDescent="0.3">
      <c r="A6249" s="34" t="str">
        <f>base!J6249</f>
        <v>DLS</v>
      </c>
      <c r="B6249" s="34" t="str">
        <f>base!V6249</f>
        <v>34430</v>
      </c>
      <c r="C6249" s="37">
        <v>34</v>
      </c>
      <c r="D6249" s="36">
        <f>base!H6249</f>
        <v>40</v>
      </c>
      <c r="E6249" s="44"/>
      <c r="F6249" s="16">
        <f>base!W6249</f>
        <v>15.6</v>
      </c>
      <c r="G6249" s="11">
        <f t="shared" si="970"/>
        <v>0.39</v>
      </c>
      <c r="H6249" s="11">
        <f t="shared" si="971"/>
        <v>15.600000000000001</v>
      </c>
      <c r="I6249" s="11">
        <f t="shared" si="972"/>
        <v>0.39</v>
      </c>
      <c r="J6249" s="12">
        <f t="shared" si="973"/>
        <v>0</v>
      </c>
      <c r="K6249" s="17" t="str">
        <f t="shared" si="978"/>
        <v>Pas d'écart</v>
      </c>
      <c r="L6249" s="16">
        <f>base!X6249</f>
        <v>0</v>
      </c>
      <c r="M6249" s="11">
        <f t="shared" si="974"/>
        <v>0</v>
      </c>
      <c r="N6249" s="11">
        <f t="shared" si="975"/>
        <v>11.200000000000001</v>
      </c>
      <c r="O6249" s="11">
        <f t="shared" si="976"/>
        <v>0.28000000000000003</v>
      </c>
      <c r="P6249" s="12">
        <f t="shared" si="977"/>
        <v>-11.200000000000001</v>
      </c>
      <c r="Q6249" s="17" t="str">
        <f t="shared" si="979"/>
        <v>Ecart négatif</v>
      </c>
    </row>
    <row r="6250" spans="1:18" x14ac:dyDescent="0.3">
      <c r="A6250" s="34" t="str">
        <f>base!J6250</f>
        <v>DLS</v>
      </c>
      <c r="B6250" s="34" t="str">
        <f>base!V6250</f>
        <v>76000</v>
      </c>
      <c r="C6250" s="37">
        <v>76</v>
      </c>
      <c r="D6250" s="36">
        <f>base!H6250</f>
        <v>140</v>
      </c>
      <c r="E6250" s="44"/>
      <c r="F6250" s="16">
        <f>base!W6250</f>
        <v>0</v>
      </c>
      <c r="G6250" s="11">
        <f t="shared" si="970"/>
        <v>0</v>
      </c>
      <c r="H6250" s="11">
        <f t="shared" si="971"/>
        <v>23.8</v>
      </c>
      <c r="I6250" s="11">
        <f t="shared" si="972"/>
        <v>0.17</v>
      </c>
      <c r="J6250" s="12">
        <f t="shared" si="973"/>
        <v>-23.8</v>
      </c>
      <c r="K6250" s="17" t="str">
        <f t="shared" si="978"/>
        <v>Ecart négatif</v>
      </c>
      <c r="L6250" s="16">
        <f>base!X6250</f>
        <v>0</v>
      </c>
      <c r="M6250" s="11">
        <f t="shared" si="974"/>
        <v>0</v>
      </c>
      <c r="N6250" s="11">
        <f t="shared" si="975"/>
        <v>23.8</v>
      </c>
      <c r="O6250" s="11">
        <f t="shared" si="976"/>
        <v>0.17</v>
      </c>
      <c r="P6250" s="12">
        <f t="shared" si="977"/>
        <v>-23.8</v>
      </c>
      <c r="Q6250" s="17" t="str">
        <f t="shared" si="979"/>
        <v>Ecart négatif</v>
      </c>
    </row>
    <row r="6251" spans="1:18" x14ac:dyDescent="0.3">
      <c r="A6251" s="34" t="str">
        <f>base!J6251</f>
        <v>RM</v>
      </c>
      <c r="B6251" s="34" t="str">
        <f>base!V6251</f>
        <v>67500</v>
      </c>
      <c r="C6251" s="37">
        <v>67</v>
      </c>
      <c r="D6251" s="36">
        <f>base!H6251</f>
        <v>250</v>
      </c>
      <c r="E6251" s="44"/>
      <c r="F6251" s="16">
        <f>base!W6251</f>
        <v>0</v>
      </c>
      <c r="G6251" s="11">
        <f t="shared" si="970"/>
        <v>0</v>
      </c>
      <c r="H6251" s="11">
        <f t="shared" si="971"/>
        <v>72.5</v>
      </c>
      <c r="I6251" s="11">
        <f t="shared" si="972"/>
        <v>0.28999999999999998</v>
      </c>
      <c r="J6251" s="12">
        <f t="shared" si="973"/>
        <v>-72.5</v>
      </c>
      <c r="K6251" s="17" t="str">
        <f t="shared" si="978"/>
        <v>Ecart négatif</v>
      </c>
      <c r="L6251" s="16">
        <f>base!X6251</f>
        <v>20</v>
      </c>
      <c r="M6251" s="11">
        <f t="shared" si="974"/>
        <v>0.08</v>
      </c>
      <c r="N6251" s="11">
        <f t="shared" si="975"/>
        <v>20</v>
      </c>
      <c r="O6251" s="11">
        <f t="shared" si="976"/>
        <v>0.08</v>
      </c>
      <c r="P6251" s="12">
        <f t="shared" si="977"/>
        <v>0</v>
      </c>
      <c r="Q6251" s="17" t="str">
        <f t="shared" si="979"/>
        <v>Pas d'écart</v>
      </c>
      <c r="R6251" s="38"/>
    </row>
    <row r="6252" spans="1:18" x14ac:dyDescent="0.3">
      <c r="A6252" s="34" t="str">
        <f>base!J6252</f>
        <v>LS</v>
      </c>
      <c r="B6252" s="34" t="str">
        <f>base!V6252</f>
        <v>72000</v>
      </c>
      <c r="C6252" s="37">
        <v>83</v>
      </c>
      <c r="D6252" s="36">
        <f>base!H6252</f>
        <v>189.48</v>
      </c>
      <c r="E6252" s="44"/>
      <c r="F6252" s="16">
        <f>base!W6252</f>
        <v>39.79</v>
      </c>
      <c r="G6252" s="11">
        <f t="shared" si="970"/>
        <v>0.20999577791851384</v>
      </c>
      <c r="H6252" s="11">
        <f t="shared" si="971"/>
        <v>56.843999999999994</v>
      </c>
      <c r="I6252" s="11">
        <f t="shared" si="972"/>
        <v>0.3</v>
      </c>
      <c r="J6252" s="12">
        <f t="shared" si="973"/>
        <v>-17.053999999999995</v>
      </c>
      <c r="K6252" s="17" t="str">
        <f t="shared" si="978"/>
        <v>Ecart négatif</v>
      </c>
      <c r="L6252" s="16">
        <f>base!X6252</f>
        <v>0</v>
      </c>
      <c r="M6252" s="11">
        <f t="shared" si="974"/>
        <v>0</v>
      </c>
      <c r="N6252" s="11">
        <f t="shared" si="975"/>
        <v>39.790799999999997</v>
      </c>
      <c r="O6252" s="11">
        <f t="shared" si="976"/>
        <v>0.21</v>
      </c>
      <c r="P6252" s="12">
        <f t="shared" si="977"/>
        <v>-39.790799999999997</v>
      </c>
      <c r="Q6252" s="17" t="str">
        <f t="shared" si="979"/>
        <v>Ecart négatif</v>
      </c>
    </row>
    <row r="6253" spans="1:18" x14ac:dyDescent="0.3">
      <c r="A6253" s="34" t="str">
        <f>base!J6253</f>
        <v>RM</v>
      </c>
      <c r="B6253" s="34" t="str">
        <f>base!V6253</f>
        <v>44980</v>
      </c>
      <c r="C6253" s="37">
        <v>44</v>
      </c>
      <c r="D6253" s="36">
        <f>base!H6253</f>
        <v>739.52</v>
      </c>
      <c r="E6253" s="44"/>
      <c r="F6253" s="16">
        <f>base!W6253</f>
        <v>0</v>
      </c>
      <c r="G6253" s="11">
        <f t="shared" si="970"/>
        <v>0</v>
      </c>
      <c r="H6253" s="11">
        <f t="shared" si="971"/>
        <v>199.6704</v>
      </c>
      <c r="I6253" s="11">
        <f t="shared" si="972"/>
        <v>0.27</v>
      </c>
      <c r="J6253" s="12">
        <f t="shared" si="973"/>
        <v>-199.6704</v>
      </c>
      <c r="K6253" s="17" t="str">
        <f t="shared" si="978"/>
        <v>Ecart négatif</v>
      </c>
      <c r="L6253" s="16">
        <f>base!X6253</f>
        <v>0</v>
      </c>
      <c r="M6253" s="11">
        <f t="shared" si="974"/>
        <v>0</v>
      </c>
      <c r="N6253" s="11">
        <f t="shared" si="975"/>
        <v>0</v>
      </c>
      <c r="O6253" s="11">
        <f t="shared" si="976"/>
        <v>0</v>
      </c>
      <c r="P6253" s="12">
        <f t="shared" si="977"/>
        <v>0</v>
      </c>
      <c r="Q6253" s="17" t="str">
        <f t="shared" si="979"/>
        <v>Pas d'écart</v>
      </c>
    </row>
    <row r="6254" spans="1:18" x14ac:dyDescent="0.3">
      <c r="A6254" s="34" t="str">
        <f>base!J6254</f>
        <v>RM</v>
      </c>
      <c r="B6254" s="34" t="str">
        <f>base!V6254</f>
        <v>68270</v>
      </c>
      <c r="C6254" s="37">
        <v>68</v>
      </c>
      <c r="D6254" s="36">
        <f>base!H6254</f>
        <v>20</v>
      </c>
      <c r="E6254" s="44"/>
      <c r="F6254" s="16">
        <f>base!W6254</f>
        <v>0</v>
      </c>
      <c r="G6254" s="11">
        <f t="shared" si="970"/>
        <v>0</v>
      </c>
      <c r="H6254" s="11">
        <f t="shared" si="971"/>
        <v>5.8</v>
      </c>
      <c r="I6254" s="11">
        <f t="shared" si="972"/>
        <v>0.28999999999999998</v>
      </c>
      <c r="J6254" s="12">
        <f t="shared" si="973"/>
        <v>-5.8</v>
      </c>
      <c r="K6254" s="17" t="str">
        <f t="shared" si="978"/>
        <v>Ecart négatif</v>
      </c>
      <c r="L6254" s="16">
        <f>base!X6254</f>
        <v>1.6</v>
      </c>
      <c r="M6254" s="11">
        <f t="shared" si="974"/>
        <v>0.08</v>
      </c>
      <c r="N6254" s="11">
        <f t="shared" si="975"/>
        <v>1.6</v>
      </c>
      <c r="O6254" s="11">
        <f t="shared" si="976"/>
        <v>0.08</v>
      </c>
      <c r="P6254" s="12">
        <f t="shared" si="977"/>
        <v>0</v>
      </c>
      <c r="Q6254" s="17" t="str">
        <f t="shared" si="979"/>
        <v>Pas d'écart</v>
      </c>
      <c r="R6254" s="38"/>
    </row>
    <row r="6255" spans="1:18" x14ac:dyDescent="0.3">
      <c r="A6255" s="34" t="str">
        <f>base!J6255</f>
        <v>RS</v>
      </c>
      <c r="B6255" s="34" t="str">
        <f>base!V6255</f>
        <v>67230</v>
      </c>
      <c r="C6255" s="37">
        <v>67</v>
      </c>
      <c r="D6255" s="36">
        <f>base!H6255</f>
        <v>151</v>
      </c>
      <c r="E6255" s="44"/>
      <c r="F6255" s="16">
        <f>base!W6255</f>
        <v>0</v>
      </c>
      <c r="G6255" s="11">
        <f t="shared" si="970"/>
        <v>0</v>
      </c>
      <c r="H6255" s="11">
        <f t="shared" si="971"/>
        <v>43.79</v>
      </c>
      <c r="I6255" s="11">
        <f t="shared" si="972"/>
        <v>0.28999999999999998</v>
      </c>
      <c r="J6255" s="12">
        <f t="shared" si="973"/>
        <v>-43.79</v>
      </c>
      <c r="K6255" s="17" t="str">
        <f t="shared" si="978"/>
        <v>Ecart négatif</v>
      </c>
      <c r="L6255" s="16">
        <f>base!X6255</f>
        <v>12.08</v>
      </c>
      <c r="M6255" s="11">
        <f t="shared" si="974"/>
        <v>0.08</v>
      </c>
      <c r="N6255" s="11">
        <f t="shared" si="975"/>
        <v>12.08</v>
      </c>
      <c r="O6255" s="11">
        <f t="shared" si="976"/>
        <v>0.08</v>
      </c>
      <c r="P6255" s="12">
        <f t="shared" si="977"/>
        <v>0</v>
      </c>
      <c r="Q6255" s="17" t="str">
        <f t="shared" si="979"/>
        <v>Pas d'écart</v>
      </c>
      <c r="R6255" s="38"/>
    </row>
    <row r="6256" spans="1:18" x14ac:dyDescent="0.3">
      <c r="A6256" s="34" t="str">
        <f>base!J6256</f>
        <v>RS</v>
      </c>
      <c r="B6256" s="34" t="str">
        <f>base!V6256</f>
        <v>26200</v>
      </c>
      <c r="C6256" s="37">
        <v>26</v>
      </c>
      <c r="D6256" s="36">
        <f>base!H6256</f>
        <v>70</v>
      </c>
      <c r="E6256" s="44"/>
      <c r="F6256" s="16">
        <f>base!W6256</f>
        <v>0</v>
      </c>
      <c r="G6256" s="11">
        <f t="shared" si="970"/>
        <v>0</v>
      </c>
      <c r="H6256" s="11">
        <f t="shared" si="971"/>
        <v>18.900000000000002</v>
      </c>
      <c r="I6256" s="11">
        <f t="shared" si="972"/>
        <v>0.27</v>
      </c>
      <c r="J6256" s="12">
        <f t="shared" si="973"/>
        <v>-18.900000000000002</v>
      </c>
      <c r="K6256" s="17" t="str">
        <f t="shared" si="978"/>
        <v>Ecart négatif</v>
      </c>
      <c r="L6256" s="16">
        <f>base!X6256</f>
        <v>0</v>
      </c>
      <c r="M6256" s="11">
        <f t="shared" si="974"/>
        <v>0</v>
      </c>
      <c r="N6256" s="11">
        <f t="shared" si="975"/>
        <v>0</v>
      </c>
      <c r="O6256" s="11">
        <f t="shared" si="976"/>
        <v>0</v>
      </c>
      <c r="P6256" s="12">
        <f t="shared" si="977"/>
        <v>0</v>
      </c>
      <c r="Q6256" s="17" t="str">
        <f t="shared" si="979"/>
        <v>Pas d'écart</v>
      </c>
    </row>
    <row r="6257" spans="1:18" x14ac:dyDescent="0.3">
      <c r="A6257" s="34" t="str">
        <f>base!J6257</f>
        <v>RS</v>
      </c>
      <c r="B6257" s="34" t="str">
        <f>base!V6257</f>
        <v>61250</v>
      </c>
      <c r="C6257" s="37">
        <v>61</v>
      </c>
      <c r="D6257" s="36">
        <f>base!H6257</f>
        <v>40</v>
      </c>
      <c r="E6257" s="44"/>
      <c r="F6257" s="16">
        <f>base!W6257</f>
        <v>0</v>
      </c>
      <c r="G6257" s="11">
        <f t="shared" si="970"/>
        <v>0</v>
      </c>
      <c r="H6257" s="11">
        <f t="shared" si="971"/>
        <v>6.8000000000000007</v>
      </c>
      <c r="I6257" s="11">
        <f t="shared" si="972"/>
        <v>0.17</v>
      </c>
      <c r="J6257" s="12">
        <f t="shared" si="973"/>
        <v>-6.8000000000000007</v>
      </c>
      <c r="K6257" s="17" t="str">
        <f t="shared" si="978"/>
        <v>Ecart négatif</v>
      </c>
      <c r="L6257" s="16">
        <f>base!X6257</f>
        <v>6.8</v>
      </c>
      <c r="M6257" s="11">
        <f t="shared" si="974"/>
        <v>0.16999999999999998</v>
      </c>
      <c r="N6257" s="11">
        <f t="shared" si="975"/>
        <v>6.8000000000000007</v>
      </c>
      <c r="O6257" s="11">
        <f t="shared" si="976"/>
        <v>0.17</v>
      </c>
      <c r="P6257" s="12">
        <f t="shared" si="977"/>
        <v>0</v>
      </c>
      <c r="Q6257" s="17" t="str">
        <f t="shared" si="979"/>
        <v>Pas d'écart</v>
      </c>
    </row>
    <row r="6258" spans="1:18" x14ac:dyDescent="0.3">
      <c r="A6258" s="34" t="str">
        <f>base!J6258</f>
        <v>DRS</v>
      </c>
      <c r="B6258" s="34" t="str">
        <f>base!V6258</f>
        <v>14120</v>
      </c>
      <c r="C6258" s="37">
        <v>14</v>
      </c>
      <c r="D6258" s="36">
        <f>base!H6258</f>
        <v>180</v>
      </c>
      <c r="E6258" s="44"/>
      <c r="F6258" s="16">
        <f>base!W6258</f>
        <v>0</v>
      </c>
      <c r="G6258" s="11">
        <f t="shared" si="970"/>
        <v>0</v>
      </c>
      <c r="H6258" s="11">
        <f t="shared" si="971"/>
        <v>30.6</v>
      </c>
      <c r="I6258" s="11">
        <f t="shared" si="972"/>
        <v>0.17</v>
      </c>
      <c r="J6258" s="12">
        <f t="shared" si="973"/>
        <v>-30.6</v>
      </c>
      <c r="K6258" s="17" t="str">
        <f t="shared" si="978"/>
        <v>Ecart négatif</v>
      </c>
      <c r="L6258" s="16">
        <f>base!X6258</f>
        <v>0</v>
      </c>
      <c r="M6258" s="11">
        <f t="shared" si="974"/>
        <v>0</v>
      </c>
      <c r="N6258" s="11">
        <f t="shared" si="975"/>
        <v>30.6</v>
      </c>
      <c r="O6258" s="11">
        <f t="shared" si="976"/>
        <v>0.17</v>
      </c>
      <c r="P6258" s="12">
        <f t="shared" si="977"/>
        <v>-30.6</v>
      </c>
      <c r="Q6258" s="17" t="str">
        <f t="shared" si="979"/>
        <v>Ecart négatif</v>
      </c>
    </row>
    <row r="6259" spans="1:18" x14ac:dyDescent="0.3">
      <c r="A6259" s="34">
        <f>base!J6259</f>
        <v>0</v>
      </c>
      <c r="B6259" s="34" t="str">
        <f>base!V6259</f>
        <v>77184</v>
      </c>
      <c r="C6259" s="37">
        <v>77</v>
      </c>
      <c r="D6259" s="36">
        <f>base!H6259</f>
        <v>180</v>
      </c>
      <c r="E6259" s="44"/>
      <c r="F6259" s="16">
        <f>base!W6259</f>
        <v>0</v>
      </c>
      <c r="G6259" s="11">
        <f t="shared" si="970"/>
        <v>0</v>
      </c>
      <c r="H6259" s="11">
        <f t="shared" si="971"/>
        <v>0</v>
      </c>
      <c r="I6259" s="11">
        <f t="shared" si="972"/>
        <v>0</v>
      </c>
      <c r="J6259" s="12">
        <f t="shared" si="973"/>
        <v>0</v>
      </c>
      <c r="K6259" s="17" t="str">
        <f t="shared" si="978"/>
        <v>Pas d'écart</v>
      </c>
      <c r="L6259" s="16">
        <f>base!X6259</f>
        <v>0</v>
      </c>
      <c r="M6259" s="11">
        <f t="shared" si="974"/>
        <v>0</v>
      </c>
      <c r="N6259" s="11">
        <f t="shared" si="975"/>
        <v>0</v>
      </c>
      <c r="O6259" s="11">
        <f t="shared" si="976"/>
        <v>0</v>
      </c>
      <c r="P6259" s="12">
        <f t="shared" si="977"/>
        <v>0</v>
      </c>
      <c r="Q6259" s="17" t="str">
        <f t="shared" si="979"/>
        <v>Pas d'écart</v>
      </c>
    </row>
    <row r="6260" spans="1:18" x14ac:dyDescent="0.3">
      <c r="A6260" s="34" t="str">
        <f>base!J6260</f>
        <v>RM</v>
      </c>
      <c r="B6260" s="34" t="str">
        <f>base!V6260</f>
        <v>59175</v>
      </c>
      <c r="C6260" s="37">
        <v>59</v>
      </c>
      <c r="D6260" s="36">
        <f>base!H6260</f>
        <v>180</v>
      </c>
      <c r="E6260" s="44"/>
      <c r="F6260" s="16">
        <f>base!W6260</f>
        <v>0</v>
      </c>
      <c r="G6260" s="11">
        <f t="shared" si="970"/>
        <v>0</v>
      </c>
      <c r="H6260" s="11">
        <f t="shared" si="971"/>
        <v>34.200000000000003</v>
      </c>
      <c r="I6260" s="11">
        <f t="shared" si="972"/>
        <v>0.19</v>
      </c>
      <c r="J6260" s="12">
        <f t="shared" si="973"/>
        <v>-34.200000000000003</v>
      </c>
      <c r="K6260" s="17" t="str">
        <f t="shared" si="978"/>
        <v>Ecart négatif</v>
      </c>
      <c r="L6260" s="16">
        <f>base!X6260</f>
        <v>0</v>
      </c>
      <c r="M6260" s="11">
        <f t="shared" si="974"/>
        <v>0</v>
      </c>
      <c r="N6260" s="11">
        <f t="shared" si="975"/>
        <v>0</v>
      </c>
      <c r="O6260" s="11">
        <f t="shared" si="976"/>
        <v>0</v>
      </c>
      <c r="P6260" s="12">
        <f t="shared" si="977"/>
        <v>0</v>
      </c>
      <c r="Q6260" s="17" t="str">
        <f t="shared" si="979"/>
        <v>Pas d'écart</v>
      </c>
    </row>
    <row r="6261" spans="1:18" x14ac:dyDescent="0.3">
      <c r="A6261" s="34" t="str">
        <f>base!J6261</f>
        <v>RS</v>
      </c>
      <c r="B6261" s="34" t="str">
        <f>base!V6261</f>
        <v>30200</v>
      </c>
      <c r="C6261" s="37">
        <v>30</v>
      </c>
      <c r="D6261" s="36">
        <f>base!H6261</f>
        <v>0</v>
      </c>
      <c r="E6261" s="44"/>
      <c r="F6261" s="16">
        <f>base!W6261</f>
        <v>0</v>
      </c>
      <c r="G6261" s="11" t="e">
        <f t="shared" si="970"/>
        <v>#DIV/0!</v>
      </c>
      <c r="H6261" s="11">
        <f t="shared" si="971"/>
        <v>0</v>
      </c>
      <c r="I6261" s="11" t="e">
        <f t="shared" si="972"/>
        <v>#DIV/0!</v>
      </c>
      <c r="J6261" s="12">
        <f t="shared" si="973"/>
        <v>0</v>
      </c>
      <c r="K6261" s="17" t="str">
        <f t="shared" si="978"/>
        <v>Pas d'écart</v>
      </c>
      <c r="L6261" s="16">
        <f>base!X6261</f>
        <v>0</v>
      </c>
      <c r="M6261" s="11" t="e">
        <f t="shared" si="974"/>
        <v>#DIV/0!</v>
      </c>
      <c r="N6261" s="11">
        <f t="shared" si="975"/>
        <v>0</v>
      </c>
      <c r="O6261" s="11" t="e">
        <f t="shared" si="976"/>
        <v>#DIV/0!</v>
      </c>
      <c r="P6261" s="12">
        <f t="shared" si="977"/>
        <v>0</v>
      </c>
      <c r="Q6261" s="17" t="str">
        <f t="shared" si="979"/>
        <v>Pas d'écart</v>
      </c>
    </row>
    <row r="6262" spans="1:18" x14ac:dyDescent="0.3">
      <c r="A6262" s="34" t="str">
        <f>base!J6262</f>
        <v>Stockage</v>
      </c>
      <c r="B6262" s="34" t="str">
        <f>base!V6262</f>
        <v/>
      </c>
      <c r="C6262" s="40" t="s">
        <v>11</v>
      </c>
      <c r="D6262" s="36">
        <f>base!H6262</f>
        <v>0</v>
      </c>
      <c r="E6262" s="44"/>
      <c r="F6262" s="16">
        <f>base!W6262</f>
        <v>0</v>
      </c>
      <c r="G6262" s="11" t="e">
        <f t="shared" si="970"/>
        <v>#DIV/0!</v>
      </c>
      <c r="H6262" s="11" t="e">
        <f t="shared" si="971"/>
        <v>#N/A</v>
      </c>
      <c r="I6262" s="11" t="e">
        <f t="shared" si="972"/>
        <v>#N/A</v>
      </c>
      <c r="J6262" s="12" t="e">
        <f t="shared" si="973"/>
        <v>#N/A</v>
      </c>
      <c r="K6262" s="17" t="e">
        <f t="shared" si="978"/>
        <v>#N/A</v>
      </c>
      <c r="L6262" s="16">
        <f>base!X6262</f>
        <v>0</v>
      </c>
      <c r="M6262" s="11" t="e">
        <f t="shared" si="974"/>
        <v>#DIV/0!</v>
      </c>
      <c r="N6262" s="11" t="e">
        <f t="shared" si="975"/>
        <v>#N/A</v>
      </c>
      <c r="O6262" s="11" t="e">
        <f t="shared" si="976"/>
        <v>#N/A</v>
      </c>
      <c r="P6262" s="12" t="e">
        <f t="shared" si="977"/>
        <v>#N/A</v>
      </c>
      <c r="Q6262" s="17" t="e">
        <f t="shared" si="979"/>
        <v>#N/A</v>
      </c>
    </row>
    <row r="6263" spans="1:18" x14ac:dyDescent="0.3">
      <c r="A6263" s="34" t="str">
        <f>base!J6263</f>
        <v>Stockage</v>
      </c>
      <c r="B6263" s="34" t="str">
        <f>base!V6263</f>
        <v/>
      </c>
      <c r="C6263" s="40" t="s">
        <v>11</v>
      </c>
      <c r="D6263" s="36">
        <f>base!H6263</f>
        <v>0</v>
      </c>
      <c r="E6263" s="44"/>
      <c r="F6263" s="16">
        <f>base!W6263</f>
        <v>0</v>
      </c>
      <c r="G6263" s="11" t="e">
        <f t="shared" si="970"/>
        <v>#DIV/0!</v>
      </c>
      <c r="H6263" s="11" t="e">
        <f t="shared" si="971"/>
        <v>#N/A</v>
      </c>
      <c r="I6263" s="11" t="e">
        <f t="shared" si="972"/>
        <v>#N/A</v>
      </c>
      <c r="J6263" s="12" t="e">
        <f t="shared" si="973"/>
        <v>#N/A</v>
      </c>
      <c r="K6263" s="17" t="e">
        <f t="shared" si="978"/>
        <v>#N/A</v>
      </c>
      <c r="L6263" s="16">
        <f>base!X6263</f>
        <v>0</v>
      </c>
      <c r="M6263" s="11" t="e">
        <f t="shared" si="974"/>
        <v>#DIV/0!</v>
      </c>
      <c r="N6263" s="11" t="e">
        <f t="shared" si="975"/>
        <v>#N/A</v>
      </c>
      <c r="O6263" s="11" t="e">
        <f t="shared" si="976"/>
        <v>#N/A</v>
      </c>
      <c r="P6263" s="12" t="e">
        <f t="shared" si="977"/>
        <v>#N/A</v>
      </c>
      <c r="Q6263" s="17" t="e">
        <f t="shared" si="979"/>
        <v>#N/A</v>
      </c>
    </row>
    <row r="6264" spans="1:18" x14ac:dyDescent="0.3">
      <c r="A6264" s="34" t="str">
        <f>base!J6264</f>
        <v>LS</v>
      </c>
      <c r="B6264" s="34" t="str">
        <f>base!V6264</f>
        <v>77184</v>
      </c>
      <c r="C6264" s="37">
        <v>77</v>
      </c>
      <c r="D6264" s="36">
        <f>base!H6264</f>
        <v>46.34</v>
      </c>
      <c r="E6264" s="44"/>
      <c r="F6264" s="16">
        <f>base!W6264</f>
        <v>0</v>
      </c>
      <c r="G6264" s="11">
        <f t="shared" si="970"/>
        <v>0</v>
      </c>
      <c r="H6264" s="11">
        <f t="shared" si="971"/>
        <v>0</v>
      </c>
      <c r="I6264" s="11">
        <f t="shared" si="972"/>
        <v>0</v>
      </c>
      <c r="J6264" s="12">
        <f t="shared" si="973"/>
        <v>0</v>
      </c>
      <c r="K6264" s="17" t="str">
        <f t="shared" si="978"/>
        <v>Pas d'écart</v>
      </c>
      <c r="L6264" s="16">
        <f>base!X6264</f>
        <v>0</v>
      </c>
      <c r="M6264" s="11">
        <f t="shared" si="974"/>
        <v>0</v>
      </c>
      <c r="N6264" s="11">
        <f t="shared" si="975"/>
        <v>0</v>
      </c>
      <c r="O6264" s="11">
        <f t="shared" si="976"/>
        <v>0</v>
      </c>
      <c r="P6264" s="12">
        <f t="shared" si="977"/>
        <v>0</v>
      </c>
      <c r="Q6264" s="17" t="str">
        <f t="shared" si="979"/>
        <v>Pas d'écart</v>
      </c>
    </row>
    <row r="6265" spans="1:18" x14ac:dyDescent="0.3">
      <c r="A6265" s="34" t="str">
        <f>base!J6265</f>
        <v>RM</v>
      </c>
      <c r="B6265" s="34" t="str">
        <f>base!V6265</f>
        <v>51150</v>
      </c>
      <c r="C6265" s="37">
        <v>51</v>
      </c>
      <c r="D6265" s="36">
        <f>base!H6265</f>
        <v>33</v>
      </c>
      <c r="E6265" s="44"/>
      <c r="F6265" s="16">
        <f>base!W6265</f>
        <v>0</v>
      </c>
      <c r="G6265" s="11">
        <f t="shared" si="970"/>
        <v>0</v>
      </c>
      <c r="H6265" s="11">
        <f t="shared" si="971"/>
        <v>8.25</v>
      </c>
      <c r="I6265" s="11">
        <f t="shared" si="972"/>
        <v>0.25</v>
      </c>
      <c r="J6265" s="12">
        <f t="shared" si="973"/>
        <v>-8.25</v>
      </c>
      <c r="K6265" s="17" t="str">
        <f t="shared" si="978"/>
        <v>Ecart négatif</v>
      </c>
      <c r="L6265" s="16">
        <f>base!X6265</f>
        <v>8.25</v>
      </c>
      <c r="M6265" s="11">
        <f t="shared" si="974"/>
        <v>0.25</v>
      </c>
      <c r="N6265" s="11">
        <f t="shared" si="975"/>
        <v>8.25</v>
      </c>
      <c r="O6265" s="11">
        <f t="shared" si="976"/>
        <v>0.25</v>
      </c>
      <c r="P6265" s="12">
        <f t="shared" si="977"/>
        <v>0</v>
      </c>
      <c r="Q6265" s="17" t="str">
        <f t="shared" si="979"/>
        <v>Pas d'écart</v>
      </c>
      <c r="R6265" s="38"/>
    </row>
    <row r="6266" spans="1:18" x14ac:dyDescent="0.3">
      <c r="A6266" s="34">
        <f>base!J6266</f>
        <v>0</v>
      </c>
      <c r="B6266" s="34" t="str">
        <f>base!V6266</f>
        <v>77184</v>
      </c>
      <c r="C6266" s="37">
        <v>77</v>
      </c>
      <c r="D6266" s="36">
        <f>base!H6266</f>
        <v>186.73</v>
      </c>
      <c r="E6266" s="44"/>
      <c r="F6266" s="16">
        <f>base!W6266</f>
        <v>0</v>
      </c>
      <c r="G6266" s="11">
        <f t="shared" si="970"/>
        <v>0</v>
      </c>
      <c r="H6266" s="11">
        <f t="shared" si="971"/>
        <v>0</v>
      </c>
      <c r="I6266" s="11">
        <f t="shared" si="972"/>
        <v>0</v>
      </c>
      <c r="J6266" s="12">
        <f t="shared" si="973"/>
        <v>0</v>
      </c>
      <c r="K6266" s="17" t="str">
        <f t="shared" si="978"/>
        <v>Pas d'écart</v>
      </c>
      <c r="L6266" s="16">
        <f>base!X6266</f>
        <v>0</v>
      </c>
      <c r="M6266" s="11">
        <f t="shared" si="974"/>
        <v>0</v>
      </c>
      <c r="N6266" s="11">
        <f t="shared" si="975"/>
        <v>0</v>
      </c>
      <c r="O6266" s="11">
        <f t="shared" si="976"/>
        <v>0</v>
      </c>
      <c r="P6266" s="12">
        <f t="shared" si="977"/>
        <v>0</v>
      </c>
      <c r="Q6266" s="17" t="str">
        <f t="shared" si="979"/>
        <v>Pas d'écart</v>
      </c>
    </row>
    <row r="6267" spans="1:18" x14ac:dyDescent="0.3">
      <c r="A6267" s="34" t="str">
        <f>base!J6267</f>
        <v>RM</v>
      </c>
      <c r="B6267" s="34" t="str">
        <f>base!V6267</f>
        <v>50100</v>
      </c>
      <c r="C6267" s="37">
        <v>50</v>
      </c>
      <c r="D6267" s="36">
        <f>base!H6267</f>
        <v>40.93</v>
      </c>
      <c r="E6267" s="44"/>
      <c r="F6267" s="16">
        <f>base!W6267</f>
        <v>0</v>
      </c>
      <c r="G6267" s="11">
        <f t="shared" si="970"/>
        <v>0</v>
      </c>
      <c r="H6267" s="11">
        <f t="shared" si="971"/>
        <v>6.9581000000000008</v>
      </c>
      <c r="I6267" s="11">
        <f t="shared" si="972"/>
        <v>0.17</v>
      </c>
      <c r="J6267" s="12">
        <f t="shared" si="973"/>
        <v>-6.9581000000000008</v>
      </c>
      <c r="K6267" s="17" t="str">
        <f t="shared" si="978"/>
        <v>Ecart négatif</v>
      </c>
      <c r="L6267" s="16">
        <f>base!X6267</f>
        <v>0</v>
      </c>
      <c r="M6267" s="11">
        <f t="shared" si="974"/>
        <v>0</v>
      </c>
      <c r="N6267" s="11">
        <f t="shared" si="975"/>
        <v>6.9581000000000008</v>
      </c>
      <c r="O6267" s="11">
        <f t="shared" si="976"/>
        <v>0.17</v>
      </c>
      <c r="P6267" s="12">
        <f t="shared" si="977"/>
        <v>-6.9581000000000008</v>
      </c>
      <c r="Q6267" s="17" t="str">
        <f t="shared" si="979"/>
        <v>Ecart négatif</v>
      </c>
    </row>
    <row r="6268" spans="1:18" x14ac:dyDescent="0.3">
      <c r="A6268" s="34" t="str">
        <f>base!J6268</f>
        <v>RM</v>
      </c>
      <c r="B6268" s="34" t="str">
        <f>base!V6268</f>
        <v>14000</v>
      </c>
      <c r="C6268" s="37">
        <v>14</v>
      </c>
      <c r="D6268" s="36">
        <f>base!H6268</f>
        <v>180</v>
      </c>
      <c r="E6268" s="44"/>
      <c r="F6268" s="16">
        <f>base!W6268</f>
        <v>0</v>
      </c>
      <c r="G6268" s="11">
        <f t="shared" si="970"/>
        <v>0</v>
      </c>
      <c r="H6268" s="11">
        <f t="shared" si="971"/>
        <v>30.6</v>
      </c>
      <c r="I6268" s="11">
        <f t="shared" si="972"/>
        <v>0.17</v>
      </c>
      <c r="J6268" s="12">
        <f t="shared" si="973"/>
        <v>-30.6</v>
      </c>
      <c r="K6268" s="17" t="str">
        <f t="shared" si="978"/>
        <v>Ecart négatif</v>
      </c>
      <c r="L6268" s="16">
        <f>base!X6268</f>
        <v>0</v>
      </c>
      <c r="M6268" s="11">
        <f t="shared" si="974"/>
        <v>0</v>
      </c>
      <c r="N6268" s="11">
        <f t="shared" si="975"/>
        <v>30.6</v>
      </c>
      <c r="O6268" s="11">
        <f t="shared" si="976"/>
        <v>0.17</v>
      </c>
      <c r="P6268" s="12">
        <f t="shared" si="977"/>
        <v>-30.6</v>
      </c>
      <c r="Q6268" s="17" t="str">
        <f t="shared" si="979"/>
        <v>Ecart négatif</v>
      </c>
    </row>
    <row r="6269" spans="1:18" x14ac:dyDescent="0.3">
      <c r="A6269" s="34" t="str">
        <f>base!J6269</f>
        <v>RS</v>
      </c>
      <c r="B6269" s="34" t="str">
        <f>base!V6269</f>
        <v>30000</v>
      </c>
      <c r="C6269" s="37">
        <v>30</v>
      </c>
      <c r="D6269" s="36">
        <f>base!H6269</f>
        <v>40</v>
      </c>
      <c r="E6269" s="44"/>
      <c r="F6269" s="16">
        <f>base!W6269</f>
        <v>0</v>
      </c>
      <c r="G6269" s="11">
        <f t="shared" si="970"/>
        <v>0</v>
      </c>
      <c r="H6269" s="11">
        <f t="shared" si="971"/>
        <v>15.600000000000001</v>
      </c>
      <c r="I6269" s="11">
        <f t="shared" si="972"/>
        <v>0.39</v>
      </c>
      <c r="J6269" s="12">
        <f t="shared" si="973"/>
        <v>-15.600000000000001</v>
      </c>
      <c r="K6269" s="17" t="str">
        <f t="shared" si="978"/>
        <v>Ecart négatif</v>
      </c>
      <c r="L6269" s="16">
        <f>base!X6269</f>
        <v>0</v>
      </c>
      <c r="M6269" s="11">
        <f t="shared" si="974"/>
        <v>0</v>
      </c>
      <c r="N6269" s="11">
        <f t="shared" si="975"/>
        <v>11.200000000000001</v>
      </c>
      <c r="O6269" s="11">
        <f t="shared" si="976"/>
        <v>0.28000000000000003</v>
      </c>
      <c r="P6269" s="12">
        <f t="shared" si="977"/>
        <v>-11.200000000000001</v>
      </c>
      <c r="Q6269" s="17" t="str">
        <f t="shared" si="979"/>
        <v>Ecart négatif</v>
      </c>
    </row>
    <row r="6270" spans="1:18" x14ac:dyDescent="0.3">
      <c r="A6270" s="34" t="str">
        <f>base!J6270</f>
        <v>RM</v>
      </c>
      <c r="B6270" s="34" t="str">
        <f>base!V6270</f>
        <v>13001</v>
      </c>
      <c r="C6270" s="37">
        <v>13</v>
      </c>
      <c r="D6270" s="36">
        <f>base!H6270</f>
        <v>180</v>
      </c>
      <c r="E6270" s="44"/>
      <c r="F6270" s="16">
        <f>base!W6270</f>
        <v>0</v>
      </c>
      <c r="G6270" s="11">
        <f t="shared" si="970"/>
        <v>0</v>
      </c>
      <c r="H6270" s="11">
        <f t="shared" si="971"/>
        <v>52.199999999999996</v>
      </c>
      <c r="I6270" s="11">
        <f t="shared" si="972"/>
        <v>0.28999999999999998</v>
      </c>
      <c r="J6270" s="12">
        <f t="shared" si="973"/>
        <v>-52.199999999999996</v>
      </c>
      <c r="K6270" s="17" t="str">
        <f t="shared" si="978"/>
        <v>Ecart négatif</v>
      </c>
      <c r="L6270" s="16">
        <f>base!X6270</f>
        <v>0</v>
      </c>
      <c r="M6270" s="11">
        <f t="shared" si="974"/>
        <v>0</v>
      </c>
      <c r="N6270" s="11">
        <f t="shared" si="975"/>
        <v>34.200000000000003</v>
      </c>
      <c r="O6270" s="11">
        <f t="shared" si="976"/>
        <v>0.19</v>
      </c>
      <c r="P6270" s="12">
        <f t="shared" si="977"/>
        <v>-34.200000000000003</v>
      </c>
      <c r="Q6270" s="17" t="str">
        <f t="shared" si="979"/>
        <v>Ecart négatif</v>
      </c>
    </row>
    <row r="6271" spans="1:18" x14ac:dyDescent="0.3">
      <c r="A6271" s="34" t="str">
        <f>base!J6271</f>
        <v>RM</v>
      </c>
      <c r="B6271" s="34" t="str">
        <f>base!V6271</f>
        <v>13127</v>
      </c>
      <c r="C6271" s="37">
        <v>13</v>
      </c>
      <c r="D6271" s="36">
        <f>base!H6271</f>
        <v>110.91</v>
      </c>
      <c r="E6271" s="44"/>
      <c r="F6271" s="16">
        <f>base!W6271</f>
        <v>0</v>
      </c>
      <c r="G6271" s="11">
        <f t="shared" si="970"/>
        <v>0</v>
      </c>
      <c r="H6271" s="11">
        <f t="shared" si="971"/>
        <v>32.163899999999998</v>
      </c>
      <c r="I6271" s="11">
        <f t="shared" si="972"/>
        <v>0.28999999999999998</v>
      </c>
      <c r="J6271" s="12">
        <f t="shared" si="973"/>
        <v>-32.163899999999998</v>
      </c>
      <c r="K6271" s="17" t="str">
        <f t="shared" si="978"/>
        <v>Ecart négatif</v>
      </c>
      <c r="L6271" s="16">
        <f>base!X6271</f>
        <v>0</v>
      </c>
      <c r="M6271" s="11">
        <f t="shared" si="974"/>
        <v>0</v>
      </c>
      <c r="N6271" s="11">
        <f t="shared" si="975"/>
        <v>21.072900000000001</v>
      </c>
      <c r="O6271" s="11">
        <f t="shared" si="976"/>
        <v>0.19</v>
      </c>
      <c r="P6271" s="12">
        <f t="shared" si="977"/>
        <v>-21.072900000000001</v>
      </c>
      <c r="Q6271" s="17" t="str">
        <f t="shared" si="979"/>
        <v>Ecart négatif</v>
      </c>
    </row>
    <row r="6272" spans="1:18" x14ac:dyDescent="0.3">
      <c r="A6272" s="34" t="str">
        <f>base!J6272</f>
        <v>RM</v>
      </c>
      <c r="B6272" s="34" t="str">
        <f>base!V6272</f>
        <v>65600</v>
      </c>
      <c r="C6272" s="37">
        <v>65</v>
      </c>
      <c r="D6272" s="36">
        <f>base!H6272</f>
        <v>195.02</v>
      </c>
      <c r="E6272" s="44"/>
      <c r="F6272" s="16">
        <f>base!W6272</f>
        <v>0</v>
      </c>
      <c r="G6272" s="11">
        <f t="shared" si="970"/>
        <v>0</v>
      </c>
      <c r="H6272" s="11">
        <f t="shared" si="971"/>
        <v>42.904400000000003</v>
      </c>
      <c r="I6272" s="11">
        <f t="shared" si="972"/>
        <v>0.22</v>
      </c>
      <c r="J6272" s="12">
        <f t="shared" si="973"/>
        <v>-42.904400000000003</v>
      </c>
      <c r="K6272" s="17" t="str">
        <f t="shared" si="978"/>
        <v>Ecart négatif</v>
      </c>
      <c r="L6272" s="16">
        <f>base!X6272</f>
        <v>0</v>
      </c>
      <c r="M6272" s="11">
        <f t="shared" si="974"/>
        <v>0</v>
      </c>
      <c r="N6272" s="11">
        <f t="shared" si="975"/>
        <v>50.705200000000005</v>
      </c>
      <c r="O6272" s="11">
        <f t="shared" si="976"/>
        <v>0.26</v>
      </c>
      <c r="P6272" s="12">
        <f t="shared" si="977"/>
        <v>-50.705200000000005</v>
      </c>
      <c r="Q6272" s="17" t="str">
        <f t="shared" si="979"/>
        <v>Ecart négatif</v>
      </c>
    </row>
    <row r="6273" spans="1:18" x14ac:dyDescent="0.3">
      <c r="A6273" s="34" t="str">
        <f>base!J6273</f>
        <v>RM</v>
      </c>
      <c r="B6273" s="34" t="str">
        <f>base!V6273</f>
        <v>51150</v>
      </c>
      <c r="C6273" s="37">
        <v>51</v>
      </c>
      <c r="D6273" s="36">
        <f>base!H6273</f>
        <v>173.44</v>
      </c>
      <c r="E6273" s="44"/>
      <c r="F6273" s="16">
        <f>base!W6273</f>
        <v>0</v>
      </c>
      <c r="G6273" s="11">
        <f t="shared" si="970"/>
        <v>0</v>
      </c>
      <c r="H6273" s="11">
        <f t="shared" si="971"/>
        <v>43.36</v>
      </c>
      <c r="I6273" s="11">
        <f t="shared" si="972"/>
        <v>0.25</v>
      </c>
      <c r="J6273" s="12">
        <f t="shared" si="973"/>
        <v>-43.36</v>
      </c>
      <c r="K6273" s="17" t="str">
        <f t="shared" si="978"/>
        <v>Ecart négatif</v>
      </c>
      <c r="L6273" s="16">
        <f>base!X6273</f>
        <v>43.36</v>
      </c>
      <c r="M6273" s="11">
        <f t="shared" si="974"/>
        <v>0.25</v>
      </c>
      <c r="N6273" s="11">
        <f t="shared" si="975"/>
        <v>43.36</v>
      </c>
      <c r="O6273" s="11">
        <f t="shared" si="976"/>
        <v>0.25</v>
      </c>
      <c r="P6273" s="12">
        <f t="shared" si="977"/>
        <v>0</v>
      </c>
      <c r="Q6273" s="17" t="str">
        <f t="shared" si="979"/>
        <v>Pas d'écart</v>
      </c>
      <c r="R6273" s="38"/>
    </row>
    <row r="6274" spans="1:18" x14ac:dyDescent="0.3">
      <c r="A6274" s="34" t="str">
        <f>base!J6274</f>
        <v>RM</v>
      </c>
      <c r="B6274" s="34" t="str">
        <f>base!V6274</f>
        <v>27300</v>
      </c>
      <c r="C6274" s="37">
        <v>27</v>
      </c>
      <c r="D6274" s="36">
        <f>base!H6274</f>
        <v>19.399999999999999</v>
      </c>
      <c r="E6274" s="44"/>
      <c r="F6274" s="16">
        <f>base!W6274</f>
        <v>0</v>
      </c>
      <c r="G6274" s="11">
        <f t="shared" ref="G6274:G6337" si="980">F6274/D6274</f>
        <v>0</v>
      </c>
      <c r="H6274" s="11">
        <f t="shared" ref="H6274:H6337" si="981">VLOOKUP(C6274,tout_cout_traction,2,FALSE)*D6274</f>
        <v>3.298</v>
      </c>
      <c r="I6274" s="11">
        <f t="shared" ref="I6274:I6337" si="982">H6274/D6274</f>
        <v>0.17</v>
      </c>
      <c r="J6274" s="12">
        <f t="shared" ref="J6274:J6337" si="983">F6274-H6274</f>
        <v>-3.298</v>
      </c>
      <c r="K6274" s="17" t="str">
        <f t="shared" si="978"/>
        <v>Ecart négatif</v>
      </c>
      <c r="L6274" s="16">
        <f>base!X6274</f>
        <v>0</v>
      </c>
      <c r="M6274" s="11">
        <f t="shared" ref="M6274:M6337" si="984">L6274/D6274</f>
        <v>0</v>
      </c>
      <c r="N6274" s="11">
        <f t="shared" ref="N6274:N6337" si="985">VLOOKUP(C6274,tout_cout_traction,3,FALSE)*D6274</f>
        <v>3.298</v>
      </c>
      <c r="O6274" s="11">
        <f t="shared" ref="O6274:O6337" si="986">N6274/D6274</f>
        <v>0.17</v>
      </c>
      <c r="P6274" s="12">
        <f t="shared" ref="P6274:P6337" si="987">L6274-N6274</f>
        <v>-3.298</v>
      </c>
      <c r="Q6274" s="17" t="str">
        <f t="shared" si="979"/>
        <v>Ecart négatif</v>
      </c>
    </row>
    <row r="6275" spans="1:18" x14ac:dyDescent="0.3">
      <c r="A6275" s="34" t="str">
        <f>base!J6275</f>
        <v>RS</v>
      </c>
      <c r="B6275" s="34" t="str">
        <f>base!V6275</f>
        <v>86360</v>
      </c>
      <c r="C6275" s="37">
        <v>86</v>
      </c>
      <c r="D6275" s="36">
        <f>base!H6275</f>
        <v>170.88</v>
      </c>
      <c r="E6275" s="44"/>
      <c r="F6275" s="16">
        <f>base!W6275</f>
        <v>0</v>
      </c>
      <c r="G6275" s="11">
        <f t="shared" si="980"/>
        <v>0</v>
      </c>
      <c r="H6275" s="11">
        <f t="shared" si="981"/>
        <v>35.884799999999998</v>
      </c>
      <c r="I6275" s="11">
        <f t="shared" si="982"/>
        <v>0.21</v>
      </c>
      <c r="J6275" s="12">
        <f t="shared" si="983"/>
        <v>-35.884799999999998</v>
      </c>
      <c r="K6275" s="17" t="str">
        <f t="shared" ref="K6275:K6338" si="988">IF(H6275=F6275,"Pas d'écart",IF(H6275&lt;F6275,"Ecart positif",IF(H6275&gt;F6275,"Ecart négatif")))</f>
        <v>Ecart négatif</v>
      </c>
      <c r="L6275" s="16">
        <f>base!X6275</f>
        <v>0</v>
      </c>
      <c r="M6275" s="11">
        <f t="shared" si="984"/>
        <v>0</v>
      </c>
      <c r="N6275" s="11">
        <f t="shared" si="985"/>
        <v>20.505599999999998</v>
      </c>
      <c r="O6275" s="11">
        <f t="shared" si="986"/>
        <v>0.12</v>
      </c>
      <c r="P6275" s="12">
        <f t="shared" si="987"/>
        <v>-20.505599999999998</v>
      </c>
      <c r="Q6275" s="17" t="str">
        <f t="shared" ref="Q6275:Q6338" si="989">IF(N6275=L6275,"Pas d'écart",IF(N6275&lt;L6275,"Ecart positif",IF(N6275&gt;L6275,"Ecart négatif")))</f>
        <v>Ecart négatif</v>
      </c>
    </row>
    <row r="6276" spans="1:18" x14ac:dyDescent="0.3">
      <c r="A6276" s="34" t="str">
        <f>base!J6276</f>
        <v>RS</v>
      </c>
      <c r="B6276" s="34" t="str">
        <f>base!V6276</f>
        <v>13002</v>
      </c>
      <c r="C6276" s="37">
        <v>13</v>
      </c>
      <c r="D6276" s="36">
        <f>base!H6276</f>
        <v>160</v>
      </c>
      <c r="E6276" s="44"/>
      <c r="F6276" s="16">
        <f>base!W6276</f>
        <v>0</v>
      </c>
      <c r="G6276" s="11">
        <f t="shared" si="980"/>
        <v>0</v>
      </c>
      <c r="H6276" s="11">
        <f t="shared" si="981"/>
        <v>46.4</v>
      </c>
      <c r="I6276" s="11">
        <f t="shared" si="982"/>
        <v>0.28999999999999998</v>
      </c>
      <c r="J6276" s="12">
        <f t="shared" si="983"/>
        <v>-46.4</v>
      </c>
      <c r="K6276" s="17" t="str">
        <f t="shared" si="988"/>
        <v>Ecart négatif</v>
      </c>
      <c r="L6276" s="16">
        <f>base!X6276</f>
        <v>0</v>
      </c>
      <c r="M6276" s="11">
        <f t="shared" si="984"/>
        <v>0</v>
      </c>
      <c r="N6276" s="11">
        <f t="shared" si="985"/>
        <v>30.4</v>
      </c>
      <c r="O6276" s="11">
        <f t="shared" si="986"/>
        <v>0.19</v>
      </c>
      <c r="P6276" s="12">
        <f t="shared" si="987"/>
        <v>-30.4</v>
      </c>
      <c r="Q6276" s="17" t="str">
        <f t="shared" si="989"/>
        <v>Ecart négatif</v>
      </c>
    </row>
    <row r="6277" spans="1:18" x14ac:dyDescent="0.3">
      <c r="A6277" s="34" t="str">
        <f>base!J6277</f>
        <v>RS</v>
      </c>
      <c r="B6277" s="34" t="str">
        <f>base!V6277</f>
        <v>57815</v>
      </c>
      <c r="C6277" s="37">
        <v>57</v>
      </c>
      <c r="D6277" s="36">
        <f>base!H6277</f>
        <v>140</v>
      </c>
      <c r="E6277" s="44"/>
      <c r="F6277" s="16">
        <f>base!W6277</f>
        <v>0</v>
      </c>
      <c r="G6277" s="11">
        <f t="shared" si="980"/>
        <v>0</v>
      </c>
      <c r="H6277" s="11">
        <f t="shared" si="981"/>
        <v>33.6</v>
      </c>
      <c r="I6277" s="11">
        <f t="shared" si="982"/>
        <v>0.24000000000000002</v>
      </c>
      <c r="J6277" s="12">
        <f t="shared" si="983"/>
        <v>-33.6</v>
      </c>
      <c r="K6277" s="17" t="str">
        <f t="shared" si="988"/>
        <v>Ecart négatif</v>
      </c>
      <c r="L6277" s="16">
        <f>base!X6277</f>
        <v>0</v>
      </c>
      <c r="M6277" s="11">
        <f t="shared" si="984"/>
        <v>0</v>
      </c>
      <c r="N6277" s="11">
        <f t="shared" si="985"/>
        <v>35</v>
      </c>
      <c r="O6277" s="11">
        <f t="shared" si="986"/>
        <v>0.25</v>
      </c>
      <c r="P6277" s="12">
        <f t="shared" si="987"/>
        <v>-35</v>
      </c>
      <c r="Q6277" s="17" t="str">
        <f t="shared" si="989"/>
        <v>Ecart négatif</v>
      </c>
    </row>
    <row r="6278" spans="1:18" x14ac:dyDescent="0.3">
      <c r="A6278" s="34" t="str">
        <f>base!J6278</f>
        <v>DRM</v>
      </c>
      <c r="B6278" s="34" t="str">
        <f>base!V6278</f>
        <v>51000</v>
      </c>
      <c r="C6278" s="37">
        <v>51</v>
      </c>
      <c r="D6278" s="36">
        <f>base!H6278</f>
        <v>192.47</v>
      </c>
      <c r="E6278" s="44"/>
      <c r="F6278" s="16">
        <f>base!W6278</f>
        <v>0</v>
      </c>
      <c r="G6278" s="11">
        <f t="shared" si="980"/>
        <v>0</v>
      </c>
      <c r="H6278" s="11">
        <f t="shared" si="981"/>
        <v>48.1175</v>
      </c>
      <c r="I6278" s="11">
        <f t="shared" si="982"/>
        <v>0.25</v>
      </c>
      <c r="J6278" s="12">
        <f t="shared" si="983"/>
        <v>-48.1175</v>
      </c>
      <c r="K6278" s="17" t="str">
        <f t="shared" si="988"/>
        <v>Ecart négatif</v>
      </c>
      <c r="L6278" s="16">
        <f>base!X6278</f>
        <v>0</v>
      </c>
      <c r="M6278" s="11">
        <f t="shared" si="984"/>
        <v>0</v>
      </c>
      <c r="N6278" s="11">
        <f t="shared" si="985"/>
        <v>48.1175</v>
      </c>
      <c r="O6278" s="11">
        <f t="shared" si="986"/>
        <v>0.25</v>
      </c>
      <c r="P6278" s="12">
        <f t="shared" si="987"/>
        <v>-48.1175</v>
      </c>
      <c r="Q6278" s="17" t="str">
        <f t="shared" si="989"/>
        <v>Ecart négatif</v>
      </c>
    </row>
    <row r="6279" spans="1:18" x14ac:dyDescent="0.3">
      <c r="A6279" s="34" t="str">
        <f>base!J6279</f>
        <v>DLM</v>
      </c>
      <c r="B6279" s="34" t="str">
        <f>base!V6279</f>
        <v>51000</v>
      </c>
      <c r="C6279" s="37">
        <v>51</v>
      </c>
      <c r="D6279" s="36">
        <f>base!H6279</f>
        <v>192.47</v>
      </c>
      <c r="E6279" s="44"/>
      <c r="F6279" s="16">
        <f>base!W6279</f>
        <v>0</v>
      </c>
      <c r="G6279" s="11">
        <f t="shared" si="980"/>
        <v>0</v>
      </c>
      <c r="H6279" s="11">
        <f t="shared" si="981"/>
        <v>48.1175</v>
      </c>
      <c r="I6279" s="11">
        <f t="shared" si="982"/>
        <v>0.25</v>
      </c>
      <c r="J6279" s="12">
        <f t="shared" si="983"/>
        <v>-48.1175</v>
      </c>
      <c r="K6279" s="17" t="str">
        <f t="shared" si="988"/>
        <v>Ecart négatif</v>
      </c>
      <c r="L6279" s="16">
        <f>base!X6279</f>
        <v>0</v>
      </c>
      <c r="M6279" s="11">
        <f t="shared" si="984"/>
        <v>0</v>
      </c>
      <c r="N6279" s="11">
        <f t="shared" si="985"/>
        <v>48.1175</v>
      </c>
      <c r="O6279" s="11">
        <f t="shared" si="986"/>
        <v>0.25</v>
      </c>
      <c r="P6279" s="12">
        <f t="shared" si="987"/>
        <v>-48.1175</v>
      </c>
      <c r="Q6279" s="17" t="str">
        <f t="shared" si="989"/>
        <v>Ecart négatif</v>
      </c>
    </row>
    <row r="6280" spans="1:18" x14ac:dyDescent="0.3">
      <c r="A6280" s="34" t="str">
        <f>base!J6280</f>
        <v>RM</v>
      </c>
      <c r="B6280" s="34" t="str">
        <f>base!V6280</f>
        <v>85700</v>
      </c>
      <c r="C6280" s="37">
        <v>85</v>
      </c>
      <c r="D6280" s="36">
        <f>base!H6280</f>
        <v>34</v>
      </c>
      <c r="E6280" s="44"/>
      <c r="F6280" s="16">
        <f>base!W6280</f>
        <v>0</v>
      </c>
      <c r="G6280" s="11">
        <f t="shared" si="980"/>
        <v>0</v>
      </c>
      <c r="H6280" s="11">
        <f t="shared" si="981"/>
        <v>9.18</v>
      </c>
      <c r="I6280" s="11">
        <f t="shared" si="982"/>
        <v>0.27</v>
      </c>
      <c r="J6280" s="12">
        <f t="shared" si="983"/>
        <v>-9.18</v>
      </c>
      <c r="K6280" s="17" t="str">
        <f t="shared" si="988"/>
        <v>Ecart négatif</v>
      </c>
      <c r="L6280" s="16">
        <f>base!X6280</f>
        <v>0</v>
      </c>
      <c r="M6280" s="11">
        <f t="shared" si="984"/>
        <v>0</v>
      </c>
      <c r="N6280" s="11">
        <f t="shared" si="985"/>
        <v>0</v>
      </c>
      <c r="O6280" s="11">
        <f t="shared" si="986"/>
        <v>0</v>
      </c>
      <c r="P6280" s="12">
        <f t="shared" si="987"/>
        <v>0</v>
      </c>
      <c r="Q6280" s="17" t="str">
        <f t="shared" si="989"/>
        <v>Pas d'écart</v>
      </c>
    </row>
    <row r="6281" spans="1:18" x14ac:dyDescent="0.3">
      <c r="A6281" s="34" t="str">
        <f>base!J6281</f>
        <v>RM</v>
      </c>
      <c r="B6281" s="34" t="str">
        <f>base!V6281</f>
        <v>70000</v>
      </c>
      <c r="C6281" s="37">
        <v>70</v>
      </c>
      <c r="D6281" s="36">
        <f>base!H6281</f>
        <v>22.5</v>
      </c>
      <c r="E6281" s="44"/>
      <c r="F6281" s="16">
        <f>base!W6281</f>
        <v>0</v>
      </c>
      <c r="G6281" s="11">
        <f t="shared" si="980"/>
        <v>0</v>
      </c>
      <c r="H6281" s="11">
        <f t="shared" si="981"/>
        <v>5.3999999999999995</v>
      </c>
      <c r="I6281" s="11">
        <f t="shared" si="982"/>
        <v>0.23999999999999996</v>
      </c>
      <c r="J6281" s="12">
        <f t="shared" si="983"/>
        <v>-5.3999999999999995</v>
      </c>
      <c r="K6281" s="17" t="str">
        <f t="shared" si="988"/>
        <v>Ecart négatif</v>
      </c>
      <c r="L6281" s="16">
        <f>base!X6281</f>
        <v>0</v>
      </c>
      <c r="M6281" s="11">
        <f t="shared" si="984"/>
        <v>0</v>
      </c>
      <c r="N6281" s="11">
        <f t="shared" si="985"/>
        <v>2.6999999999999997</v>
      </c>
      <c r="O6281" s="11">
        <f t="shared" si="986"/>
        <v>0.11999999999999998</v>
      </c>
      <c r="P6281" s="12">
        <f t="shared" si="987"/>
        <v>-2.6999999999999997</v>
      </c>
      <c r="Q6281" s="17" t="str">
        <f t="shared" si="989"/>
        <v>Ecart négatif</v>
      </c>
    </row>
    <row r="6282" spans="1:18" x14ac:dyDescent="0.3">
      <c r="A6282" s="34" t="str">
        <f>base!J6282</f>
        <v>RS</v>
      </c>
      <c r="B6282" s="34" t="str">
        <f>base!V6282</f>
        <v>84130</v>
      </c>
      <c r="C6282" s="37">
        <v>84</v>
      </c>
      <c r="D6282" s="36">
        <f>base!H6282</f>
        <v>201.85</v>
      </c>
      <c r="E6282" s="44"/>
      <c r="F6282" s="16">
        <f>base!W6282</f>
        <v>0</v>
      </c>
      <c r="G6282" s="11">
        <f t="shared" si="980"/>
        <v>0</v>
      </c>
      <c r="H6282" s="11">
        <f t="shared" si="981"/>
        <v>58.536499999999997</v>
      </c>
      <c r="I6282" s="11">
        <f t="shared" si="982"/>
        <v>0.28999999999999998</v>
      </c>
      <c r="J6282" s="12">
        <f t="shared" si="983"/>
        <v>-58.536499999999997</v>
      </c>
      <c r="K6282" s="17" t="str">
        <f t="shared" si="988"/>
        <v>Ecart négatif</v>
      </c>
      <c r="L6282" s="16">
        <f>base!X6282</f>
        <v>0</v>
      </c>
      <c r="M6282" s="11">
        <f t="shared" si="984"/>
        <v>0</v>
      </c>
      <c r="N6282" s="11">
        <f t="shared" si="985"/>
        <v>38.351500000000001</v>
      </c>
      <c r="O6282" s="11">
        <f t="shared" si="986"/>
        <v>0.19</v>
      </c>
      <c r="P6282" s="12">
        <f t="shared" si="987"/>
        <v>-38.351500000000001</v>
      </c>
      <c r="Q6282" s="17" t="str">
        <f t="shared" si="989"/>
        <v>Ecart négatif</v>
      </c>
    </row>
    <row r="6283" spans="1:18" x14ac:dyDescent="0.3">
      <c r="A6283" s="34" t="str">
        <f>base!J6283</f>
        <v>RM</v>
      </c>
      <c r="B6283" s="34" t="str">
        <f>base!V6283</f>
        <v>06190</v>
      </c>
      <c r="C6283" s="37">
        <v>6</v>
      </c>
      <c r="D6283" s="36">
        <f>base!H6283</f>
        <v>64</v>
      </c>
      <c r="E6283" s="44"/>
      <c r="F6283" s="16">
        <f>base!W6283</f>
        <v>0</v>
      </c>
      <c r="G6283" s="11">
        <f t="shared" si="980"/>
        <v>0</v>
      </c>
      <c r="H6283" s="11">
        <f t="shared" si="981"/>
        <v>19.2</v>
      </c>
      <c r="I6283" s="11">
        <f t="shared" si="982"/>
        <v>0.3</v>
      </c>
      <c r="J6283" s="12">
        <f t="shared" si="983"/>
        <v>-19.2</v>
      </c>
      <c r="K6283" s="17" t="str">
        <f t="shared" si="988"/>
        <v>Ecart négatif</v>
      </c>
      <c r="L6283" s="16">
        <f>base!X6283</f>
        <v>19.2</v>
      </c>
      <c r="M6283" s="11">
        <f t="shared" si="984"/>
        <v>0.3</v>
      </c>
      <c r="N6283" s="11">
        <f t="shared" si="985"/>
        <v>13.44</v>
      </c>
      <c r="O6283" s="11">
        <f t="shared" si="986"/>
        <v>0.21</v>
      </c>
      <c r="P6283" s="12">
        <f t="shared" si="987"/>
        <v>5.76</v>
      </c>
      <c r="Q6283" s="17" t="str">
        <f t="shared" si="989"/>
        <v>Ecart positif</v>
      </c>
      <c r="R6283" s="38"/>
    </row>
    <row r="6284" spans="1:18" x14ac:dyDescent="0.3">
      <c r="A6284" s="34" t="str">
        <f>base!J6284</f>
        <v>RM</v>
      </c>
      <c r="B6284" s="34" t="str">
        <f>base!V6284</f>
        <v>69120</v>
      </c>
      <c r="C6284" s="37">
        <v>69</v>
      </c>
      <c r="D6284" s="36">
        <f>base!H6284</f>
        <v>30</v>
      </c>
      <c r="E6284" s="44"/>
      <c r="F6284" s="16">
        <f>base!W6284</f>
        <v>0</v>
      </c>
      <c r="G6284" s="11">
        <f t="shared" si="980"/>
        <v>0</v>
      </c>
      <c r="H6284" s="11">
        <f t="shared" si="981"/>
        <v>8.1000000000000014</v>
      </c>
      <c r="I6284" s="11">
        <f t="shared" si="982"/>
        <v>0.27000000000000007</v>
      </c>
      <c r="J6284" s="12">
        <f t="shared" si="983"/>
        <v>-8.1000000000000014</v>
      </c>
      <c r="K6284" s="17" t="str">
        <f t="shared" si="988"/>
        <v>Ecart négatif</v>
      </c>
      <c r="L6284" s="16">
        <f>base!X6284</f>
        <v>0</v>
      </c>
      <c r="M6284" s="11">
        <f t="shared" si="984"/>
        <v>0</v>
      </c>
      <c r="N6284" s="11">
        <f t="shared" si="985"/>
        <v>0</v>
      </c>
      <c r="O6284" s="11">
        <f t="shared" si="986"/>
        <v>0</v>
      </c>
      <c r="P6284" s="12">
        <f t="shared" si="987"/>
        <v>0</v>
      </c>
      <c r="Q6284" s="17" t="str">
        <f t="shared" si="989"/>
        <v>Pas d'écart</v>
      </c>
    </row>
    <row r="6285" spans="1:18" x14ac:dyDescent="0.3">
      <c r="A6285" s="34" t="str">
        <f>base!J6285</f>
        <v>RM</v>
      </c>
      <c r="B6285" s="34" t="str">
        <f>base!V6285</f>
        <v>69120</v>
      </c>
      <c r="C6285" s="37">
        <v>69</v>
      </c>
      <c r="D6285" s="36">
        <f>base!H6285</f>
        <v>30</v>
      </c>
      <c r="E6285" s="44"/>
      <c r="F6285" s="16">
        <f>base!W6285</f>
        <v>0</v>
      </c>
      <c r="G6285" s="11">
        <f t="shared" si="980"/>
        <v>0</v>
      </c>
      <c r="H6285" s="11">
        <f t="shared" si="981"/>
        <v>8.1000000000000014</v>
      </c>
      <c r="I6285" s="11">
        <f t="shared" si="982"/>
        <v>0.27000000000000007</v>
      </c>
      <c r="J6285" s="12">
        <f t="shared" si="983"/>
        <v>-8.1000000000000014</v>
      </c>
      <c r="K6285" s="17" t="str">
        <f t="shared" si="988"/>
        <v>Ecart négatif</v>
      </c>
      <c r="L6285" s="16">
        <f>base!X6285</f>
        <v>0</v>
      </c>
      <c r="M6285" s="11">
        <f t="shared" si="984"/>
        <v>0</v>
      </c>
      <c r="N6285" s="11">
        <f t="shared" si="985"/>
        <v>0</v>
      </c>
      <c r="O6285" s="11">
        <f t="shared" si="986"/>
        <v>0</v>
      </c>
      <c r="P6285" s="12">
        <f t="shared" si="987"/>
        <v>0</v>
      </c>
      <c r="Q6285" s="17" t="str">
        <f t="shared" si="989"/>
        <v>Pas d'écart</v>
      </c>
    </row>
    <row r="6286" spans="1:18" x14ac:dyDescent="0.3">
      <c r="A6286" s="34" t="str">
        <f>base!J6286</f>
        <v>RS</v>
      </c>
      <c r="B6286" s="34" t="str">
        <f>base!V6286</f>
        <v>62320</v>
      </c>
      <c r="C6286" s="37">
        <v>62</v>
      </c>
      <c r="D6286" s="36">
        <f>base!H6286</f>
        <v>180</v>
      </c>
      <c r="E6286" s="44"/>
      <c r="F6286" s="16">
        <f>base!W6286</f>
        <v>0</v>
      </c>
      <c r="G6286" s="11">
        <f t="shared" si="980"/>
        <v>0</v>
      </c>
      <c r="H6286" s="11">
        <f t="shared" si="981"/>
        <v>34.200000000000003</v>
      </c>
      <c r="I6286" s="11">
        <f t="shared" si="982"/>
        <v>0.19</v>
      </c>
      <c r="J6286" s="12">
        <f t="shared" si="983"/>
        <v>-34.200000000000003</v>
      </c>
      <c r="K6286" s="17" t="str">
        <f t="shared" si="988"/>
        <v>Ecart négatif</v>
      </c>
      <c r="L6286" s="16">
        <f>base!X6286</f>
        <v>0</v>
      </c>
      <c r="M6286" s="11">
        <f t="shared" si="984"/>
        <v>0</v>
      </c>
      <c r="N6286" s="11">
        <f t="shared" si="985"/>
        <v>0</v>
      </c>
      <c r="O6286" s="11">
        <f t="shared" si="986"/>
        <v>0</v>
      </c>
      <c r="P6286" s="12">
        <f t="shared" si="987"/>
        <v>0</v>
      </c>
      <c r="Q6286" s="17" t="str">
        <f t="shared" si="989"/>
        <v>Pas d'écart</v>
      </c>
    </row>
    <row r="6287" spans="1:18" x14ac:dyDescent="0.3">
      <c r="A6287" s="34" t="str">
        <f>base!J6287</f>
        <v>RS</v>
      </c>
      <c r="B6287" s="34" t="str">
        <f>base!V6287</f>
        <v>06560</v>
      </c>
      <c r="C6287" s="37">
        <v>6</v>
      </c>
      <c r="D6287" s="36">
        <f>base!H6287</f>
        <v>151</v>
      </c>
      <c r="E6287" s="44"/>
      <c r="F6287" s="16">
        <f>base!W6287</f>
        <v>0</v>
      </c>
      <c r="G6287" s="11">
        <f t="shared" si="980"/>
        <v>0</v>
      </c>
      <c r="H6287" s="11">
        <f t="shared" si="981"/>
        <v>45.3</v>
      </c>
      <c r="I6287" s="11">
        <f t="shared" si="982"/>
        <v>0.3</v>
      </c>
      <c r="J6287" s="12">
        <f t="shared" si="983"/>
        <v>-45.3</v>
      </c>
      <c r="K6287" s="17" t="str">
        <f t="shared" si="988"/>
        <v>Ecart négatif</v>
      </c>
      <c r="L6287" s="16">
        <f>base!X6287</f>
        <v>0</v>
      </c>
      <c r="M6287" s="11">
        <f t="shared" si="984"/>
        <v>0</v>
      </c>
      <c r="N6287" s="11">
        <f t="shared" si="985"/>
        <v>31.709999999999997</v>
      </c>
      <c r="O6287" s="11">
        <f t="shared" si="986"/>
        <v>0.21</v>
      </c>
      <c r="P6287" s="12">
        <f t="shared" si="987"/>
        <v>-31.709999999999997</v>
      </c>
      <c r="Q6287" s="17" t="str">
        <f t="shared" si="989"/>
        <v>Ecart négatif</v>
      </c>
    </row>
    <row r="6288" spans="1:18" x14ac:dyDescent="0.3">
      <c r="A6288" s="34" t="str">
        <f>base!J6288</f>
        <v>RS</v>
      </c>
      <c r="B6288" s="34" t="str">
        <f>base!V6288</f>
        <v>60200</v>
      </c>
      <c r="C6288" s="37">
        <v>60</v>
      </c>
      <c r="D6288" s="36">
        <f>base!H6288</f>
        <v>34.72</v>
      </c>
      <c r="E6288" s="44"/>
      <c r="F6288" s="16">
        <f>base!W6288</f>
        <v>0</v>
      </c>
      <c r="G6288" s="11">
        <f t="shared" si="980"/>
        <v>0</v>
      </c>
      <c r="H6288" s="11">
        <f t="shared" si="981"/>
        <v>6.5968</v>
      </c>
      <c r="I6288" s="11">
        <f t="shared" si="982"/>
        <v>0.19</v>
      </c>
      <c r="J6288" s="12">
        <f t="shared" si="983"/>
        <v>-6.5968</v>
      </c>
      <c r="K6288" s="17" t="str">
        <f t="shared" si="988"/>
        <v>Ecart négatif</v>
      </c>
      <c r="L6288" s="16">
        <f>base!X6288</f>
        <v>0</v>
      </c>
      <c r="M6288" s="11">
        <f t="shared" si="984"/>
        <v>0</v>
      </c>
      <c r="N6288" s="11">
        <f t="shared" si="985"/>
        <v>0</v>
      </c>
      <c r="O6288" s="11">
        <f t="shared" si="986"/>
        <v>0</v>
      </c>
      <c r="P6288" s="12">
        <f t="shared" si="987"/>
        <v>0</v>
      </c>
      <c r="Q6288" s="17" t="str">
        <f t="shared" si="989"/>
        <v>Pas d'écart</v>
      </c>
    </row>
    <row r="6289" spans="1:17" x14ac:dyDescent="0.3">
      <c r="A6289" s="34" t="str">
        <f>base!J6289</f>
        <v>LM</v>
      </c>
      <c r="B6289" s="34" t="str">
        <f>base!V6289</f>
        <v>25300</v>
      </c>
      <c r="C6289" s="37">
        <v>43</v>
      </c>
      <c r="D6289" s="36">
        <f>base!H6289</f>
        <v>28.26</v>
      </c>
      <c r="E6289" s="44"/>
      <c r="F6289" s="16">
        <f>base!W6289</f>
        <v>0</v>
      </c>
      <c r="G6289" s="11">
        <f t="shared" si="980"/>
        <v>0</v>
      </c>
      <c r="H6289" s="11">
        <f t="shared" si="981"/>
        <v>8.1953999999999994</v>
      </c>
      <c r="I6289" s="11">
        <f t="shared" si="982"/>
        <v>0.28999999999999998</v>
      </c>
      <c r="J6289" s="12">
        <f t="shared" si="983"/>
        <v>-8.1953999999999994</v>
      </c>
      <c r="K6289" s="17" t="str">
        <f t="shared" si="988"/>
        <v>Ecart négatif</v>
      </c>
      <c r="L6289" s="16">
        <f>base!X6289</f>
        <v>0</v>
      </c>
      <c r="M6289" s="11">
        <f t="shared" si="984"/>
        <v>0</v>
      </c>
      <c r="N6289" s="11">
        <f t="shared" si="985"/>
        <v>3.3912</v>
      </c>
      <c r="O6289" s="11">
        <f t="shared" si="986"/>
        <v>0.12</v>
      </c>
      <c r="P6289" s="12">
        <f t="shared" si="987"/>
        <v>-3.3912</v>
      </c>
      <c r="Q6289" s="17" t="str">
        <f t="shared" si="989"/>
        <v>Ecart négatif</v>
      </c>
    </row>
    <row r="6290" spans="1:17" x14ac:dyDescent="0.3">
      <c r="A6290" s="34" t="str">
        <f>base!J6290</f>
        <v>LS</v>
      </c>
      <c r="B6290" s="34" t="str">
        <f>base!V6290</f>
        <v>60610</v>
      </c>
      <c r="C6290" s="37">
        <v>84</v>
      </c>
      <c r="D6290" s="36">
        <f>base!H6290</f>
        <v>103.75</v>
      </c>
      <c r="E6290" s="44"/>
      <c r="F6290" s="16">
        <f>base!W6290</f>
        <v>19.71</v>
      </c>
      <c r="G6290" s="11">
        <f t="shared" si="980"/>
        <v>0.18997590361445785</v>
      </c>
      <c r="H6290" s="11">
        <f t="shared" si="981"/>
        <v>30.087499999999999</v>
      </c>
      <c r="I6290" s="11">
        <f t="shared" si="982"/>
        <v>0.28999999999999998</v>
      </c>
      <c r="J6290" s="12">
        <f t="shared" si="983"/>
        <v>-10.377499999999998</v>
      </c>
      <c r="K6290" s="17" t="str">
        <f t="shared" si="988"/>
        <v>Ecart négatif</v>
      </c>
      <c r="L6290" s="16">
        <f>base!X6290</f>
        <v>0</v>
      </c>
      <c r="M6290" s="11">
        <f t="shared" si="984"/>
        <v>0</v>
      </c>
      <c r="N6290" s="11">
        <f t="shared" si="985"/>
        <v>19.712499999999999</v>
      </c>
      <c r="O6290" s="11">
        <f t="shared" si="986"/>
        <v>0.18999999999999997</v>
      </c>
      <c r="P6290" s="12">
        <f t="shared" si="987"/>
        <v>-19.712499999999999</v>
      </c>
      <c r="Q6290" s="17" t="str">
        <f t="shared" si="989"/>
        <v>Ecart négatif</v>
      </c>
    </row>
    <row r="6291" spans="1:17" x14ac:dyDescent="0.3">
      <c r="A6291" s="34" t="str">
        <f>base!J6291</f>
        <v>RM</v>
      </c>
      <c r="B6291" s="34" t="str">
        <f>base!V6291</f>
        <v>93013</v>
      </c>
      <c r="C6291" s="37">
        <v>93</v>
      </c>
      <c r="D6291" s="36">
        <f>base!H6291</f>
        <v>15</v>
      </c>
      <c r="E6291" s="44"/>
      <c r="F6291" s="16">
        <f>base!W6291</f>
        <v>0</v>
      </c>
      <c r="G6291" s="11">
        <f t="shared" si="980"/>
        <v>0</v>
      </c>
      <c r="H6291" s="11">
        <f t="shared" si="981"/>
        <v>0</v>
      </c>
      <c r="I6291" s="11">
        <f t="shared" si="982"/>
        <v>0</v>
      </c>
      <c r="J6291" s="12">
        <f t="shared" si="983"/>
        <v>0</v>
      </c>
      <c r="K6291" s="17" t="str">
        <f t="shared" si="988"/>
        <v>Pas d'écart</v>
      </c>
      <c r="L6291" s="16">
        <f>base!X6291</f>
        <v>0</v>
      </c>
      <c r="M6291" s="11">
        <f t="shared" si="984"/>
        <v>0</v>
      </c>
      <c r="N6291" s="11">
        <f t="shared" si="985"/>
        <v>0</v>
      </c>
      <c r="O6291" s="11">
        <f t="shared" si="986"/>
        <v>0</v>
      </c>
      <c r="P6291" s="12">
        <f t="shared" si="987"/>
        <v>0</v>
      </c>
      <c r="Q6291" s="17" t="str">
        <f t="shared" si="989"/>
        <v>Pas d'écart</v>
      </c>
    </row>
    <row r="6292" spans="1:17" x14ac:dyDescent="0.3">
      <c r="A6292" s="34" t="str">
        <f>base!J6292</f>
        <v>RS</v>
      </c>
      <c r="B6292" s="34" t="str">
        <f>base!V6292</f>
        <v>29270</v>
      </c>
      <c r="C6292" s="37">
        <v>29</v>
      </c>
      <c r="D6292" s="36">
        <f>base!H6292</f>
        <v>151</v>
      </c>
      <c r="E6292" s="44"/>
      <c r="F6292" s="16">
        <f>base!W6292</f>
        <v>0</v>
      </c>
      <c r="G6292" s="11">
        <f t="shared" si="980"/>
        <v>0</v>
      </c>
      <c r="H6292" s="11">
        <f t="shared" si="981"/>
        <v>58.89</v>
      </c>
      <c r="I6292" s="11">
        <f t="shared" si="982"/>
        <v>0.39</v>
      </c>
      <c r="J6292" s="12">
        <f t="shared" si="983"/>
        <v>-58.89</v>
      </c>
      <c r="K6292" s="17" t="str">
        <f t="shared" si="988"/>
        <v>Ecart négatif</v>
      </c>
      <c r="L6292" s="16">
        <f>base!X6292</f>
        <v>0</v>
      </c>
      <c r="M6292" s="11">
        <f t="shared" si="984"/>
        <v>0</v>
      </c>
      <c r="N6292" s="11">
        <f t="shared" si="985"/>
        <v>18.12</v>
      </c>
      <c r="O6292" s="11">
        <f t="shared" si="986"/>
        <v>0.12000000000000001</v>
      </c>
      <c r="P6292" s="12">
        <f t="shared" si="987"/>
        <v>-18.12</v>
      </c>
      <c r="Q6292" s="17" t="str">
        <f t="shared" si="989"/>
        <v>Ecart négatif</v>
      </c>
    </row>
    <row r="6293" spans="1:17" x14ac:dyDescent="0.3">
      <c r="A6293" s="34" t="str">
        <f>base!J6293</f>
        <v>DLS</v>
      </c>
      <c r="B6293" s="34" t="str">
        <f>base!V6293</f>
        <v>78280</v>
      </c>
      <c r="C6293" s="37">
        <v>78</v>
      </c>
      <c r="D6293" s="36">
        <f>base!H6293</f>
        <v>67.64</v>
      </c>
      <c r="E6293" s="44"/>
      <c r="F6293" s="16">
        <f>base!W6293</f>
        <v>0</v>
      </c>
      <c r="G6293" s="11">
        <f t="shared" si="980"/>
        <v>0</v>
      </c>
      <c r="H6293" s="11">
        <f t="shared" si="981"/>
        <v>0</v>
      </c>
      <c r="I6293" s="11">
        <f t="shared" si="982"/>
        <v>0</v>
      </c>
      <c r="J6293" s="12">
        <f t="shared" si="983"/>
        <v>0</v>
      </c>
      <c r="K6293" s="17" t="str">
        <f t="shared" si="988"/>
        <v>Pas d'écart</v>
      </c>
      <c r="L6293" s="16">
        <f>base!X6293</f>
        <v>0</v>
      </c>
      <c r="M6293" s="11">
        <f t="shared" si="984"/>
        <v>0</v>
      </c>
      <c r="N6293" s="11">
        <f t="shared" si="985"/>
        <v>0</v>
      </c>
      <c r="O6293" s="11">
        <f t="shared" si="986"/>
        <v>0</v>
      </c>
      <c r="P6293" s="12">
        <f t="shared" si="987"/>
        <v>0</v>
      </c>
      <c r="Q6293" s="17" t="str">
        <f t="shared" si="989"/>
        <v>Pas d'écart</v>
      </c>
    </row>
    <row r="6294" spans="1:17" x14ac:dyDescent="0.3">
      <c r="A6294" s="34">
        <f>base!J6294</f>
        <v>0</v>
      </c>
      <c r="B6294" s="34" t="str">
        <f>base!V6294</f>
        <v>77184</v>
      </c>
      <c r="C6294" s="37">
        <v>77</v>
      </c>
      <c r="D6294" s="36">
        <f>base!H6294</f>
        <v>75</v>
      </c>
      <c r="E6294" s="44"/>
      <c r="F6294" s="16">
        <f>base!W6294</f>
        <v>0</v>
      </c>
      <c r="G6294" s="11">
        <f t="shared" si="980"/>
        <v>0</v>
      </c>
      <c r="H6294" s="11">
        <f t="shared" si="981"/>
        <v>0</v>
      </c>
      <c r="I6294" s="11">
        <f t="shared" si="982"/>
        <v>0</v>
      </c>
      <c r="J6294" s="12">
        <f t="shared" si="983"/>
        <v>0</v>
      </c>
      <c r="K6294" s="17" t="str">
        <f t="shared" si="988"/>
        <v>Pas d'écart</v>
      </c>
      <c r="L6294" s="16">
        <f>base!X6294</f>
        <v>0</v>
      </c>
      <c r="M6294" s="11">
        <f t="shared" si="984"/>
        <v>0</v>
      </c>
      <c r="N6294" s="11">
        <f t="shared" si="985"/>
        <v>0</v>
      </c>
      <c r="O6294" s="11">
        <f t="shared" si="986"/>
        <v>0</v>
      </c>
      <c r="P6294" s="12">
        <f t="shared" si="987"/>
        <v>0</v>
      </c>
      <c r="Q6294" s="17" t="str">
        <f t="shared" si="989"/>
        <v>Pas d'écart</v>
      </c>
    </row>
    <row r="6295" spans="1:17" x14ac:dyDescent="0.3">
      <c r="A6295" s="34">
        <f>base!J6295</f>
        <v>0</v>
      </c>
      <c r="B6295" s="34" t="str">
        <f>base!V6295</f>
        <v>44240</v>
      </c>
      <c r="C6295" s="37">
        <v>44</v>
      </c>
      <c r="D6295" s="36">
        <f>base!H6295</f>
        <v>22.8</v>
      </c>
      <c r="E6295" s="44"/>
      <c r="F6295" s="16">
        <f>base!W6295</f>
        <v>0</v>
      </c>
      <c r="G6295" s="11">
        <f t="shared" si="980"/>
        <v>0</v>
      </c>
      <c r="H6295" s="11">
        <f t="shared" si="981"/>
        <v>6.1560000000000006</v>
      </c>
      <c r="I6295" s="11">
        <f t="shared" si="982"/>
        <v>0.27</v>
      </c>
      <c r="J6295" s="12">
        <f t="shared" si="983"/>
        <v>-6.1560000000000006</v>
      </c>
      <c r="K6295" s="17" t="str">
        <f t="shared" si="988"/>
        <v>Ecart négatif</v>
      </c>
      <c r="L6295" s="16">
        <f>base!X6295</f>
        <v>0</v>
      </c>
      <c r="M6295" s="11">
        <f t="shared" si="984"/>
        <v>0</v>
      </c>
      <c r="N6295" s="11">
        <f t="shared" si="985"/>
        <v>0</v>
      </c>
      <c r="O6295" s="11">
        <f t="shared" si="986"/>
        <v>0</v>
      </c>
      <c r="P6295" s="12">
        <f t="shared" si="987"/>
        <v>0</v>
      </c>
      <c r="Q6295" s="17" t="str">
        <f t="shared" si="989"/>
        <v>Pas d'écart</v>
      </c>
    </row>
    <row r="6296" spans="1:17" x14ac:dyDescent="0.3">
      <c r="A6296" s="34" t="str">
        <f>base!J6296</f>
        <v>RS</v>
      </c>
      <c r="B6296" s="34" t="str">
        <f>base!V6296</f>
        <v>22000</v>
      </c>
      <c r="C6296" s="37">
        <v>22</v>
      </c>
      <c r="D6296" s="36">
        <f>base!H6296</f>
        <v>140</v>
      </c>
      <c r="E6296" s="44"/>
      <c r="F6296" s="16">
        <f>base!W6296</f>
        <v>0</v>
      </c>
      <c r="G6296" s="11">
        <f t="shared" si="980"/>
        <v>0</v>
      </c>
      <c r="H6296" s="11">
        <f t="shared" si="981"/>
        <v>53.2</v>
      </c>
      <c r="I6296" s="11">
        <f t="shared" si="982"/>
        <v>0.38</v>
      </c>
      <c r="J6296" s="12">
        <f t="shared" si="983"/>
        <v>-53.2</v>
      </c>
      <c r="K6296" s="17" t="str">
        <f t="shared" si="988"/>
        <v>Ecart négatif</v>
      </c>
      <c r="L6296" s="16">
        <f>base!X6296</f>
        <v>0</v>
      </c>
      <c r="M6296" s="11">
        <f t="shared" si="984"/>
        <v>0</v>
      </c>
      <c r="N6296" s="11">
        <f t="shared" si="985"/>
        <v>16.8</v>
      </c>
      <c r="O6296" s="11">
        <f t="shared" si="986"/>
        <v>0.12000000000000001</v>
      </c>
      <c r="P6296" s="12">
        <f t="shared" si="987"/>
        <v>-16.8</v>
      </c>
      <c r="Q6296" s="17" t="str">
        <f t="shared" si="989"/>
        <v>Ecart négatif</v>
      </c>
    </row>
    <row r="6297" spans="1:17" x14ac:dyDescent="0.3">
      <c r="A6297" s="34" t="str">
        <f>base!J6297</f>
        <v>LS</v>
      </c>
      <c r="B6297" s="34" t="str">
        <f>base!V6297</f>
        <v>77170</v>
      </c>
      <c r="C6297" s="37">
        <v>77</v>
      </c>
      <c r="D6297" s="36">
        <f>base!H6297</f>
        <v>0</v>
      </c>
      <c r="E6297" s="44"/>
      <c r="F6297" s="16">
        <f>base!W6297</f>
        <v>0</v>
      </c>
      <c r="G6297" s="11" t="e">
        <f t="shared" si="980"/>
        <v>#DIV/0!</v>
      </c>
      <c r="H6297" s="11">
        <f t="shared" si="981"/>
        <v>0</v>
      </c>
      <c r="I6297" s="11" t="e">
        <f t="shared" si="982"/>
        <v>#DIV/0!</v>
      </c>
      <c r="J6297" s="12">
        <f t="shared" si="983"/>
        <v>0</v>
      </c>
      <c r="K6297" s="17" t="str">
        <f t="shared" si="988"/>
        <v>Pas d'écart</v>
      </c>
      <c r="L6297" s="16">
        <f>base!X6297</f>
        <v>0</v>
      </c>
      <c r="M6297" s="11" t="e">
        <f t="shared" si="984"/>
        <v>#DIV/0!</v>
      </c>
      <c r="N6297" s="11">
        <f t="shared" si="985"/>
        <v>0</v>
      </c>
      <c r="O6297" s="11" t="e">
        <f t="shared" si="986"/>
        <v>#DIV/0!</v>
      </c>
      <c r="P6297" s="12">
        <f t="shared" si="987"/>
        <v>0</v>
      </c>
      <c r="Q6297" s="17" t="str">
        <f t="shared" si="989"/>
        <v>Pas d'écart</v>
      </c>
    </row>
    <row r="6298" spans="1:17" x14ac:dyDescent="0.3">
      <c r="A6298" s="34" t="str">
        <f>base!J6298</f>
        <v>LS</v>
      </c>
      <c r="B6298" s="34" t="str">
        <f>base!V6298</f>
        <v>83190</v>
      </c>
      <c r="C6298" s="37">
        <v>67</v>
      </c>
      <c r="D6298" s="36">
        <f>base!H6298</f>
        <v>13</v>
      </c>
      <c r="E6298" s="44"/>
      <c r="F6298" s="16">
        <f>base!W6298</f>
        <v>0</v>
      </c>
      <c r="G6298" s="11">
        <f t="shared" si="980"/>
        <v>0</v>
      </c>
      <c r="H6298" s="11">
        <f t="shared" si="981"/>
        <v>3.7699999999999996</v>
      </c>
      <c r="I6298" s="11">
        <f t="shared" si="982"/>
        <v>0.28999999999999998</v>
      </c>
      <c r="J6298" s="12">
        <f t="shared" si="983"/>
        <v>-3.7699999999999996</v>
      </c>
      <c r="K6298" s="17" t="str">
        <f t="shared" si="988"/>
        <v>Ecart négatif</v>
      </c>
      <c r="L6298" s="16">
        <f>base!X6298</f>
        <v>0</v>
      </c>
      <c r="M6298" s="11">
        <f t="shared" si="984"/>
        <v>0</v>
      </c>
      <c r="N6298" s="11">
        <f t="shared" si="985"/>
        <v>1.04</v>
      </c>
      <c r="O6298" s="11">
        <f t="shared" si="986"/>
        <v>0.08</v>
      </c>
      <c r="P6298" s="12">
        <f t="shared" si="987"/>
        <v>-1.04</v>
      </c>
      <c r="Q6298" s="17" t="str">
        <f t="shared" si="989"/>
        <v>Ecart négatif</v>
      </c>
    </row>
    <row r="6299" spans="1:17" x14ac:dyDescent="0.3">
      <c r="A6299" s="34">
        <f>base!J6299</f>
        <v>0</v>
      </c>
      <c r="B6299" s="34" t="str">
        <f>base!V6299</f>
        <v>77184</v>
      </c>
      <c r="C6299" s="37">
        <v>77</v>
      </c>
      <c r="D6299" s="36">
        <f>base!H6299</f>
        <v>148.04</v>
      </c>
      <c r="E6299" s="44"/>
      <c r="F6299" s="16">
        <f>base!W6299</f>
        <v>0</v>
      </c>
      <c r="G6299" s="11">
        <f t="shared" si="980"/>
        <v>0</v>
      </c>
      <c r="H6299" s="11">
        <f t="shared" si="981"/>
        <v>0</v>
      </c>
      <c r="I6299" s="11">
        <f t="shared" si="982"/>
        <v>0</v>
      </c>
      <c r="J6299" s="12">
        <f t="shared" si="983"/>
        <v>0</v>
      </c>
      <c r="K6299" s="17" t="str">
        <f t="shared" si="988"/>
        <v>Pas d'écart</v>
      </c>
      <c r="L6299" s="16">
        <f>base!X6299</f>
        <v>0</v>
      </c>
      <c r="M6299" s="11">
        <f t="shared" si="984"/>
        <v>0</v>
      </c>
      <c r="N6299" s="11">
        <f t="shared" si="985"/>
        <v>0</v>
      </c>
      <c r="O6299" s="11">
        <f t="shared" si="986"/>
        <v>0</v>
      </c>
      <c r="P6299" s="12">
        <f t="shared" si="987"/>
        <v>0</v>
      </c>
      <c r="Q6299" s="17" t="str">
        <f t="shared" si="989"/>
        <v>Pas d'écart</v>
      </c>
    </row>
    <row r="6300" spans="1:17" x14ac:dyDescent="0.3">
      <c r="A6300" s="34" t="str">
        <f>base!J6300</f>
        <v>RM</v>
      </c>
      <c r="B6300" s="34" t="str">
        <f>base!V6300</f>
        <v>06210</v>
      </c>
      <c r="C6300" s="37">
        <v>6</v>
      </c>
      <c r="D6300" s="36">
        <f>base!H6300</f>
        <v>190</v>
      </c>
      <c r="E6300" s="44"/>
      <c r="F6300" s="16">
        <f>base!W6300</f>
        <v>0</v>
      </c>
      <c r="G6300" s="11">
        <f t="shared" si="980"/>
        <v>0</v>
      </c>
      <c r="H6300" s="11">
        <f t="shared" si="981"/>
        <v>57</v>
      </c>
      <c r="I6300" s="11">
        <f t="shared" si="982"/>
        <v>0.3</v>
      </c>
      <c r="J6300" s="12">
        <f t="shared" si="983"/>
        <v>-57</v>
      </c>
      <c r="K6300" s="17" t="str">
        <f t="shared" si="988"/>
        <v>Ecart négatif</v>
      </c>
      <c r="L6300" s="16">
        <f>base!X6300</f>
        <v>0</v>
      </c>
      <c r="M6300" s="11">
        <f t="shared" si="984"/>
        <v>0</v>
      </c>
      <c r="N6300" s="11">
        <f t="shared" si="985"/>
        <v>39.9</v>
      </c>
      <c r="O6300" s="11">
        <f t="shared" si="986"/>
        <v>0.21</v>
      </c>
      <c r="P6300" s="12">
        <f t="shared" si="987"/>
        <v>-39.9</v>
      </c>
      <c r="Q6300" s="17" t="str">
        <f t="shared" si="989"/>
        <v>Ecart négatif</v>
      </c>
    </row>
    <row r="6301" spans="1:17" x14ac:dyDescent="0.3">
      <c r="A6301" s="34">
        <f>base!J6301</f>
        <v>0</v>
      </c>
      <c r="B6301" s="34" t="str">
        <f>base!V6301</f>
        <v>77184</v>
      </c>
      <c r="C6301" s="37">
        <v>77</v>
      </c>
      <c r="D6301" s="36">
        <f>base!H6301</f>
        <v>52.4</v>
      </c>
      <c r="E6301" s="44"/>
      <c r="F6301" s="16">
        <f>base!W6301</f>
        <v>0</v>
      </c>
      <c r="G6301" s="11">
        <f t="shared" si="980"/>
        <v>0</v>
      </c>
      <c r="H6301" s="11">
        <f t="shared" si="981"/>
        <v>0</v>
      </c>
      <c r="I6301" s="11">
        <f t="shared" si="982"/>
        <v>0</v>
      </c>
      <c r="J6301" s="12">
        <f t="shared" si="983"/>
        <v>0</v>
      </c>
      <c r="K6301" s="17" t="str">
        <f t="shared" si="988"/>
        <v>Pas d'écart</v>
      </c>
      <c r="L6301" s="16">
        <f>base!X6301</f>
        <v>0</v>
      </c>
      <c r="M6301" s="11">
        <f t="shared" si="984"/>
        <v>0</v>
      </c>
      <c r="N6301" s="11">
        <f t="shared" si="985"/>
        <v>0</v>
      </c>
      <c r="O6301" s="11">
        <f t="shared" si="986"/>
        <v>0</v>
      </c>
      <c r="P6301" s="12">
        <f t="shared" si="987"/>
        <v>0</v>
      </c>
      <c r="Q6301" s="17" t="str">
        <f t="shared" si="989"/>
        <v>Pas d'écart</v>
      </c>
    </row>
    <row r="6302" spans="1:17" x14ac:dyDescent="0.3">
      <c r="A6302" s="34" t="str">
        <f>base!J6302</f>
        <v>DRM</v>
      </c>
      <c r="B6302" s="34" t="str">
        <f>base!V6302</f>
        <v>13270</v>
      </c>
      <c r="C6302" s="37">
        <v>13</v>
      </c>
      <c r="D6302" s="36">
        <f>base!H6302</f>
        <v>149.58000000000001</v>
      </c>
      <c r="E6302" s="44"/>
      <c r="F6302" s="16">
        <f>base!W6302</f>
        <v>0</v>
      </c>
      <c r="G6302" s="11">
        <f t="shared" si="980"/>
        <v>0</v>
      </c>
      <c r="H6302" s="11">
        <f t="shared" si="981"/>
        <v>43.3782</v>
      </c>
      <c r="I6302" s="11">
        <f t="shared" si="982"/>
        <v>0.28999999999999998</v>
      </c>
      <c r="J6302" s="12">
        <f t="shared" si="983"/>
        <v>-43.3782</v>
      </c>
      <c r="K6302" s="17" t="str">
        <f t="shared" si="988"/>
        <v>Ecart négatif</v>
      </c>
      <c r="L6302" s="16">
        <f>base!X6302</f>
        <v>0</v>
      </c>
      <c r="M6302" s="11">
        <f t="shared" si="984"/>
        <v>0</v>
      </c>
      <c r="N6302" s="11">
        <f t="shared" si="985"/>
        <v>28.420200000000001</v>
      </c>
      <c r="O6302" s="11">
        <f t="shared" si="986"/>
        <v>0.19</v>
      </c>
      <c r="P6302" s="12">
        <f t="shared" si="987"/>
        <v>-28.420200000000001</v>
      </c>
      <c r="Q6302" s="17" t="str">
        <f t="shared" si="989"/>
        <v>Ecart négatif</v>
      </c>
    </row>
    <row r="6303" spans="1:17" x14ac:dyDescent="0.3">
      <c r="A6303" s="34" t="str">
        <f>base!J6303</f>
        <v>LM</v>
      </c>
      <c r="B6303" s="34" t="str">
        <f>base!V6303</f>
        <v>94250</v>
      </c>
      <c r="C6303" s="37">
        <v>94</v>
      </c>
      <c r="D6303" s="36">
        <f>base!H6303</f>
        <v>21.09</v>
      </c>
      <c r="E6303" s="44"/>
      <c r="F6303" s="16">
        <f>base!W6303</f>
        <v>0</v>
      </c>
      <c r="G6303" s="11">
        <f t="shared" si="980"/>
        <v>0</v>
      </c>
      <c r="H6303" s="11">
        <f t="shared" si="981"/>
        <v>0</v>
      </c>
      <c r="I6303" s="11">
        <f t="shared" si="982"/>
        <v>0</v>
      </c>
      <c r="J6303" s="12">
        <f t="shared" si="983"/>
        <v>0</v>
      </c>
      <c r="K6303" s="17" t="str">
        <f t="shared" si="988"/>
        <v>Pas d'écart</v>
      </c>
      <c r="L6303" s="16">
        <f>base!X6303</f>
        <v>0</v>
      </c>
      <c r="M6303" s="11">
        <f t="shared" si="984"/>
        <v>0</v>
      </c>
      <c r="N6303" s="11">
        <f t="shared" si="985"/>
        <v>0</v>
      </c>
      <c r="O6303" s="11">
        <f t="shared" si="986"/>
        <v>0</v>
      </c>
      <c r="P6303" s="12">
        <f t="shared" si="987"/>
        <v>0</v>
      </c>
      <c r="Q6303" s="17" t="str">
        <f t="shared" si="989"/>
        <v>Pas d'écart</v>
      </c>
    </row>
    <row r="6304" spans="1:17" x14ac:dyDescent="0.3">
      <c r="A6304" s="34" t="str">
        <f>base!J6304</f>
        <v>LS</v>
      </c>
      <c r="B6304" s="34" t="str">
        <f>base!V6304</f>
        <v>69266</v>
      </c>
      <c r="C6304" s="37">
        <v>67</v>
      </c>
      <c r="D6304" s="36">
        <f>base!H6304</f>
        <v>1.46</v>
      </c>
      <c r="E6304" s="44"/>
      <c r="F6304" s="16">
        <f>base!W6304</f>
        <v>0.39</v>
      </c>
      <c r="G6304" s="11">
        <f t="shared" si="980"/>
        <v>0.26712328767123289</v>
      </c>
      <c r="H6304" s="11">
        <f t="shared" si="981"/>
        <v>0.42339999999999994</v>
      </c>
      <c r="I6304" s="11">
        <f t="shared" si="982"/>
        <v>0.28999999999999998</v>
      </c>
      <c r="J6304" s="12">
        <f t="shared" si="983"/>
        <v>-3.339999999999993E-2</v>
      </c>
      <c r="K6304" s="17" t="str">
        <f t="shared" si="988"/>
        <v>Ecart négatif</v>
      </c>
      <c r="L6304" s="16">
        <f>base!X6304</f>
        <v>0</v>
      </c>
      <c r="M6304" s="11">
        <f t="shared" si="984"/>
        <v>0</v>
      </c>
      <c r="N6304" s="11">
        <f t="shared" si="985"/>
        <v>0.1168</v>
      </c>
      <c r="O6304" s="11">
        <f t="shared" si="986"/>
        <v>0.08</v>
      </c>
      <c r="P6304" s="12">
        <f t="shared" si="987"/>
        <v>-0.1168</v>
      </c>
      <c r="Q6304" s="17" t="str">
        <f t="shared" si="989"/>
        <v>Ecart négatif</v>
      </c>
    </row>
    <row r="6305" spans="1:17" x14ac:dyDescent="0.3">
      <c r="A6305" s="34" t="str">
        <f>base!J6305</f>
        <v>RS</v>
      </c>
      <c r="B6305" s="34" t="str">
        <f>base!V6305</f>
        <v>45400</v>
      </c>
      <c r="C6305" s="37">
        <v>45</v>
      </c>
      <c r="D6305" s="36">
        <f>base!H6305</f>
        <v>151</v>
      </c>
      <c r="E6305" s="44"/>
      <c r="F6305" s="16">
        <f>base!W6305</f>
        <v>0</v>
      </c>
      <c r="G6305" s="11">
        <f t="shared" si="980"/>
        <v>0</v>
      </c>
      <c r="H6305" s="11">
        <f t="shared" si="981"/>
        <v>31.709999999999997</v>
      </c>
      <c r="I6305" s="11">
        <f t="shared" si="982"/>
        <v>0.21</v>
      </c>
      <c r="J6305" s="12">
        <f t="shared" si="983"/>
        <v>-31.709999999999997</v>
      </c>
      <c r="K6305" s="17" t="str">
        <f t="shared" si="988"/>
        <v>Ecart négatif</v>
      </c>
      <c r="L6305" s="16">
        <f>base!X6305</f>
        <v>0</v>
      </c>
      <c r="M6305" s="11">
        <f t="shared" si="984"/>
        <v>0</v>
      </c>
      <c r="N6305" s="11">
        <f t="shared" si="985"/>
        <v>18.12</v>
      </c>
      <c r="O6305" s="11">
        <f t="shared" si="986"/>
        <v>0.12000000000000001</v>
      </c>
      <c r="P6305" s="12">
        <f t="shared" si="987"/>
        <v>-18.12</v>
      </c>
      <c r="Q6305" s="17" t="str">
        <f t="shared" si="989"/>
        <v>Ecart négatif</v>
      </c>
    </row>
    <row r="6306" spans="1:17" x14ac:dyDescent="0.3">
      <c r="A6306" s="34" t="str">
        <f>base!J6306</f>
        <v>RS</v>
      </c>
      <c r="B6306" s="34" t="str">
        <f>base!V6306</f>
        <v>14790</v>
      </c>
      <c r="C6306" s="37">
        <v>14</v>
      </c>
      <c r="D6306" s="36">
        <f>base!H6306</f>
        <v>40</v>
      </c>
      <c r="E6306" s="44"/>
      <c r="F6306" s="16">
        <f>base!W6306</f>
        <v>0</v>
      </c>
      <c r="G6306" s="11">
        <f t="shared" si="980"/>
        <v>0</v>
      </c>
      <c r="H6306" s="11">
        <f t="shared" si="981"/>
        <v>6.8000000000000007</v>
      </c>
      <c r="I6306" s="11">
        <f t="shared" si="982"/>
        <v>0.17</v>
      </c>
      <c r="J6306" s="12">
        <f t="shared" si="983"/>
        <v>-6.8000000000000007</v>
      </c>
      <c r="K6306" s="17" t="str">
        <f t="shared" si="988"/>
        <v>Ecart négatif</v>
      </c>
      <c r="L6306" s="16">
        <f>base!X6306</f>
        <v>6.8</v>
      </c>
      <c r="M6306" s="11">
        <f t="shared" si="984"/>
        <v>0.16999999999999998</v>
      </c>
      <c r="N6306" s="11">
        <f t="shared" si="985"/>
        <v>6.8000000000000007</v>
      </c>
      <c r="O6306" s="11">
        <f t="shared" si="986"/>
        <v>0.17</v>
      </c>
      <c r="P6306" s="12">
        <f t="shared" si="987"/>
        <v>0</v>
      </c>
      <c r="Q6306" s="17" t="str">
        <f t="shared" si="989"/>
        <v>Pas d'écart</v>
      </c>
    </row>
    <row r="6307" spans="1:17" x14ac:dyDescent="0.3">
      <c r="A6307" s="34" t="str">
        <f>base!J6307</f>
        <v>LS</v>
      </c>
      <c r="B6307" s="34" t="str">
        <f>base!V6307</f>
        <v>72000</v>
      </c>
      <c r="C6307" s="37">
        <v>68</v>
      </c>
      <c r="D6307" s="36">
        <f>base!H6307</f>
        <v>55.14</v>
      </c>
      <c r="E6307" s="44"/>
      <c r="F6307" s="16">
        <f>base!W6307</f>
        <v>11.58</v>
      </c>
      <c r="G6307" s="11">
        <f t="shared" si="980"/>
        <v>0.21001088139281829</v>
      </c>
      <c r="H6307" s="11">
        <f t="shared" si="981"/>
        <v>15.990599999999999</v>
      </c>
      <c r="I6307" s="11">
        <f t="shared" si="982"/>
        <v>0.28999999999999998</v>
      </c>
      <c r="J6307" s="12">
        <f t="shared" si="983"/>
        <v>-4.4105999999999987</v>
      </c>
      <c r="K6307" s="17" t="str">
        <f t="shared" si="988"/>
        <v>Ecart négatif</v>
      </c>
      <c r="L6307" s="16">
        <f>base!X6307</f>
        <v>0</v>
      </c>
      <c r="M6307" s="11">
        <f t="shared" si="984"/>
        <v>0</v>
      </c>
      <c r="N6307" s="11">
        <f t="shared" si="985"/>
        <v>4.4112</v>
      </c>
      <c r="O6307" s="11">
        <f t="shared" si="986"/>
        <v>0.08</v>
      </c>
      <c r="P6307" s="12">
        <f t="shared" si="987"/>
        <v>-4.4112</v>
      </c>
      <c r="Q6307" s="17" t="str">
        <f t="shared" si="989"/>
        <v>Ecart négatif</v>
      </c>
    </row>
    <row r="6308" spans="1:17" x14ac:dyDescent="0.3">
      <c r="A6308" s="34" t="str">
        <f>base!J6308</f>
        <v>LS</v>
      </c>
      <c r="B6308" s="34" t="str">
        <f>base!V6308</f>
        <v>04000</v>
      </c>
      <c r="C6308" s="37">
        <v>4</v>
      </c>
      <c r="D6308" s="36">
        <f>base!H6308</f>
        <v>0</v>
      </c>
      <c r="E6308" s="44"/>
      <c r="F6308" s="16">
        <f>base!W6308</f>
        <v>0</v>
      </c>
      <c r="G6308" s="11" t="e">
        <f t="shared" si="980"/>
        <v>#DIV/0!</v>
      </c>
      <c r="H6308" s="11">
        <f t="shared" si="981"/>
        <v>0</v>
      </c>
      <c r="I6308" s="11" t="e">
        <f t="shared" si="982"/>
        <v>#DIV/0!</v>
      </c>
      <c r="J6308" s="12">
        <f t="shared" si="983"/>
        <v>0</v>
      </c>
      <c r="K6308" s="17" t="str">
        <f t="shared" si="988"/>
        <v>Pas d'écart</v>
      </c>
      <c r="L6308" s="16">
        <f>base!X6308</f>
        <v>0</v>
      </c>
      <c r="M6308" s="11" t="e">
        <f t="shared" si="984"/>
        <v>#DIV/0!</v>
      </c>
      <c r="N6308" s="11">
        <f t="shared" si="985"/>
        <v>0</v>
      </c>
      <c r="O6308" s="11" t="e">
        <f t="shared" si="986"/>
        <v>#DIV/0!</v>
      </c>
      <c r="P6308" s="12">
        <f t="shared" si="987"/>
        <v>0</v>
      </c>
      <c r="Q6308" s="17" t="str">
        <f t="shared" si="989"/>
        <v>Pas d'écart</v>
      </c>
    </row>
    <row r="6309" spans="1:17" x14ac:dyDescent="0.3">
      <c r="A6309" s="34" t="str">
        <f>base!J6309</f>
        <v>RM</v>
      </c>
      <c r="B6309" s="34" t="str">
        <f>base!V6309</f>
        <v>54000</v>
      </c>
      <c r="C6309" s="37">
        <v>54</v>
      </c>
      <c r="D6309" s="36">
        <f>base!H6309</f>
        <v>22.6</v>
      </c>
      <c r="E6309" s="44"/>
      <c r="F6309" s="16">
        <f>base!W6309</f>
        <v>0</v>
      </c>
      <c r="G6309" s="11">
        <f t="shared" si="980"/>
        <v>0</v>
      </c>
      <c r="H6309" s="11">
        <f t="shared" si="981"/>
        <v>5.65</v>
      </c>
      <c r="I6309" s="11">
        <f t="shared" si="982"/>
        <v>0.25</v>
      </c>
      <c r="J6309" s="12">
        <f t="shared" si="983"/>
        <v>-5.65</v>
      </c>
      <c r="K6309" s="17" t="str">
        <f t="shared" si="988"/>
        <v>Ecart négatif</v>
      </c>
      <c r="L6309" s="16">
        <f>base!X6309</f>
        <v>0</v>
      </c>
      <c r="M6309" s="11">
        <f t="shared" si="984"/>
        <v>0</v>
      </c>
      <c r="N6309" s="11">
        <f t="shared" si="985"/>
        <v>5.65</v>
      </c>
      <c r="O6309" s="11">
        <f t="shared" si="986"/>
        <v>0.25</v>
      </c>
      <c r="P6309" s="12">
        <f t="shared" si="987"/>
        <v>-5.65</v>
      </c>
      <c r="Q6309" s="17" t="str">
        <f t="shared" si="989"/>
        <v>Ecart négatif</v>
      </c>
    </row>
    <row r="6310" spans="1:17" x14ac:dyDescent="0.3">
      <c r="A6310" s="34">
        <f>base!J6310</f>
        <v>0</v>
      </c>
      <c r="B6310" s="34" t="str">
        <f>base!V6310</f>
        <v>77184</v>
      </c>
      <c r="C6310" s="37">
        <v>77</v>
      </c>
      <c r="D6310" s="36">
        <f>base!H6310</f>
        <v>105</v>
      </c>
      <c r="E6310" s="44"/>
      <c r="F6310" s="16">
        <f>base!W6310</f>
        <v>0</v>
      </c>
      <c r="G6310" s="11">
        <f t="shared" si="980"/>
        <v>0</v>
      </c>
      <c r="H6310" s="11">
        <f t="shared" si="981"/>
        <v>0</v>
      </c>
      <c r="I6310" s="11">
        <f t="shared" si="982"/>
        <v>0</v>
      </c>
      <c r="J6310" s="12">
        <f t="shared" si="983"/>
        <v>0</v>
      </c>
      <c r="K6310" s="17" t="str">
        <f t="shared" si="988"/>
        <v>Pas d'écart</v>
      </c>
      <c r="L6310" s="16">
        <f>base!X6310</f>
        <v>0</v>
      </c>
      <c r="M6310" s="11">
        <f t="shared" si="984"/>
        <v>0</v>
      </c>
      <c r="N6310" s="11">
        <f t="shared" si="985"/>
        <v>0</v>
      </c>
      <c r="O6310" s="11">
        <f t="shared" si="986"/>
        <v>0</v>
      </c>
      <c r="P6310" s="12">
        <f t="shared" si="987"/>
        <v>0</v>
      </c>
      <c r="Q6310" s="17" t="str">
        <f t="shared" si="989"/>
        <v>Pas d'écart</v>
      </c>
    </row>
    <row r="6311" spans="1:17" x14ac:dyDescent="0.3">
      <c r="A6311" s="34" t="str">
        <f>base!J6311</f>
        <v>RS</v>
      </c>
      <c r="B6311" s="34" t="str">
        <f>base!V6311</f>
        <v>72000</v>
      </c>
      <c r="C6311" s="37">
        <v>72</v>
      </c>
      <c r="D6311" s="36">
        <f>base!H6311</f>
        <v>70</v>
      </c>
      <c r="E6311" s="44"/>
      <c r="F6311" s="16">
        <f>base!W6311</f>
        <v>0</v>
      </c>
      <c r="G6311" s="11">
        <f t="shared" si="980"/>
        <v>0</v>
      </c>
      <c r="H6311" s="11">
        <f t="shared" si="981"/>
        <v>14.7</v>
      </c>
      <c r="I6311" s="11">
        <f t="shared" si="982"/>
        <v>0.21</v>
      </c>
      <c r="J6311" s="12">
        <f t="shared" si="983"/>
        <v>-14.7</v>
      </c>
      <c r="K6311" s="17" t="str">
        <f t="shared" si="988"/>
        <v>Ecart négatif</v>
      </c>
      <c r="L6311" s="16">
        <f>base!X6311</f>
        <v>0</v>
      </c>
      <c r="M6311" s="11">
        <f t="shared" si="984"/>
        <v>0</v>
      </c>
      <c r="N6311" s="11">
        <f t="shared" si="985"/>
        <v>8.4</v>
      </c>
      <c r="O6311" s="11">
        <f t="shared" si="986"/>
        <v>0.12000000000000001</v>
      </c>
      <c r="P6311" s="12">
        <f t="shared" si="987"/>
        <v>-8.4</v>
      </c>
      <c r="Q6311" s="17" t="str">
        <f t="shared" si="989"/>
        <v>Ecart négatif</v>
      </c>
    </row>
    <row r="6312" spans="1:17" x14ac:dyDescent="0.3">
      <c r="A6312" s="34" t="str">
        <f>base!J6312</f>
        <v>RM</v>
      </c>
      <c r="B6312" s="34" t="str">
        <f>base!V6312</f>
        <v>06000</v>
      </c>
      <c r="C6312" s="37">
        <v>6</v>
      </c>
      <c r="D6312" s="36">
        <f>base!H6312</f>
        <v>140</v>
      </c>
      <c r="E6312" s="44"/>
      <c r="F6312" s="16">
        <f>base!W6312</f>
        <v>0</v>
      </c>
      <c r="G6312" s="11">
        <f t="shared" si="980"/>
        <v>0</v>
      </c>
      <c r="H6312" s="11">
        <f t="shared" si="981"/>
        <v>42</v>
      </c>
      <c r="I6312" s="11">
        <f t="shared" si="982"/>
        <v>0.3</v>
      </c>
      <c r="J6312" s="12">
        <f t="shared" si="983"/>
        <v>-42</v>
      </c>
      <c r="K6312" s="17" t="str">
        <f t="shared" si="988"/>
        <v>Ecart négatif</v>
      </c>
      <c r="L6312" s="16">
        <f>base!X6312</f>
        <v>0</v>
      </c>
      <c r="M6312" s="11">
        <f t="shared" si="984"/>
        <v>0</v>
      </c>
      <c r="N6312" s="11">
        <f t="shared" si="985"/>
        <v>29.4</v>
      </c>
      <c r="O6312" s="11">
        <f t="shared" si="986"/>
        <v>0.21</v>
      </c>
      <c r="P6312" s="12">
        <f t="shared" si="987"/>
        <v>-29.4</v>
      </c>
      <c r="Q6312" s="17" t="str">
        <f t="shared" si="989"/>
        <v>Ecart négatif</v>
      </c>
    </row>
    <row r="6313" spans="1:17" x14ac:dyDescent="0.3">
      <c r="A6313" s="34" t="str">
        <f>base!J6313</f>
        <v>RS</v>
      </c>
      <c r="B6313" s="34" t="str">
        <f>base!V6313</f>
        <v>88200</v>
      </c>
      <c r="C6313" s="37">
        <v>88</v>
      </c>
      <c r="D6313" s="36">
        <f>base!H6313</f>
        <v>10</v>
      </c>
      <c r="E6313" s="44"/>
      <c r="F6313" s="16">
        <f>base!W6313</f>
        <v>0</v>
      </c>
      <c r="G6313" s="11">
        <f t="shared" si="980"/>
        <v>0</v>
      </c>
      <c r="H6313" s="11">
        <f t="shared" si="981"/>
        <v>2.8000000000000003</v>
      </c>
      <c r="I6313" s="11">
        <f t="shared" si="982"/>
        <v>0.28000000000000003</v>
      </c>
      <c r="J6313" s="12">
        <f t="shared" si="983"/>
        <v>-2.8000000000000003</v>
      </c>
      <c r="K6313" s="17" t="str">
        <f t="shared" si="988"/>
        <v>Ecart négatif</v>
      </c>
      <c r="L6313" s="16">
        <f>base!X6313</f>
        <v>0</v>
      </c>
      <c r="M6313" s="11">
        <f t="shared" si="984"/>
        <v>0</v>
      </c>
      <c r="N6313" s="11">
        <f t="shared" si="985"/>
        <v>0.8</v>
      </c>
      <c r="O6313" s="11">
        <f t="shared" si="986"/>
        <v>0.08</v>
      </c>
      <c r="P6313" s="12">
        <f t="shared" si="987"/>
        <v>-0.8</v>
      </c>
      <c r="Q6313" s="17" t="str">
        <f t="shared" si="989"/>
        <v>Ecart négatif</v>
      </c>
    </row>
    <row r="6314" spans="1:17" x14ac:dyDescent="0.3">
      <c r="A6314" s="34" t="str">
        <f>base!J6314</f>
        <v>RM</v>
      </c>
      <c r="B6314" s="34" t="str">
        <f>base!V6314</f>
        <v>67000</v>
      </c>
      <c r="C6314" s="37">
        <v>67</v>
      </c>
      <c r="D6314" s="36">
        <f>base!H6314</f>
        <v>151</v>
      </c>
      <c r="E6314" s="44"/>
      <c r="F6314" s="16">
        <f>base!W6314</f>
        <v>0</v>
      </c>
      <c r="G6314" s="11">
        <f t="shared" si="980"/>
        <v>0</v>
      </c>
      <c r="H6314" s="11">
        <f t="shared" si="981"/>
        <v>43.79</v>
      </c>
      <c r="I6314" s="11">
        <f t="shared" si="982"/>
        <v>0.28999999999999998</v>
      </c>
      <c r="J6314" s="12">
        <f t="shared" si="983"/>
        <v>-43.79</v>
      </c>
      <c r="K6314" s="17" t="str">
        <f t="shared" si="988"/>
        <v>Ecart négatif</v>
      </c>
      <c r="L6314" s="16">
        <f>base!X6314</f>
        <v>0</v>
      </c>
      <c r="M6314" s="11">
        <f t="shared" si="984"/>
        <v>0</v>
      </c>
      <c r="N6314" s="11">
        <f t="shared" si="985"/>
        <v>12.08</v>
      </c>
      <c r="O6314" s="11">
        <f t="shared" si="986"/>
        <v>0.08</v>
      </c>
      <c r="P6314" s="12">
        <f t="shared" si="987"/>
        <v>-12.08</v>
      </c>
      <c r="Q6314" s="17" t="str">
        <f t="shared" si="989"/>
        <v>Ecart négatif</v>
      </c>
    </row>
    <row r="6315" spans="1:17" x14ac:dyDescent="0.3">
      <c r="A6315" s="34" t="str">
        <f>base!J6315</f>
        <v>RS</v>
      </c>
      <c r="B6315" s="34" t="str">
        <f>base!V6315</f>
        <v>59710</v>
      </c>
      <c r="C6315" s="37">
        <v>59</v>
      </c>
      <c r="D6315" s="36">
        <f>base!H6315</f>
        <v>140</v>
      </c>
      <c r="E6315" s="44"/>
      <c r="F6315" s="16">
        <f>base!W6315</f>
        <v>0</v>
      </c>
      <c r="G6315" s="11">
        <f t="shared" si="980"/>
        <v>0</v>
      </c>
      <c r="H6315" s="11">
        <f t="shared" si="981"/>
        <v>26.6</v>
      </c>
      <c r="I6315" s="11">
        <f t="shared" si="982"/>
        <v>0.19</v>
      </c>
      <c r="J6315" s="12">
        <f t="shared" si="983"/>
        <v>-26.6</v>
      </c>
      <c r="K6315" s="17" t="str">
        <f t="shared" si="988"/>
        <v>Ecart négatif</v>
      </c>
      <c r="L6315" s="16">
        <f>base!X6315</f>
        <v>0</v>
      </c>
      <c r="M6315" s="11">
        <f t="shared" si="984"/>
        <v>0</v>
      </c>
      <c r="N6315" s="11">
        <f t="shared" si="985"/>
        <v>0</v>
      </c>
      <c r="O6315" s="11">
        <f t="shared" si="986"/>
        <v>0</v>
      </c>
      <c r="P6315" s="12">
        <f t="shared" si="987"/>
        <v>0</v>
      </c>
      <c r="Q6315" s="17" t="str">
        <f t="shared" si="989"/>
        <v>Pas d'écart</v>
      </c>
    </row>
    <row r="6316" spans="1:17" x14ac:dyDescent="0.3">
      <c r="A6316" s="34" t="str">
        <f>base!J6316</f>
        <v>RM</v>
      </c>
      <c r="B6316" s="34" t="str">
        <f>base!V6316</f>
        <v>75007</v>
      </c>
      <c r="C6316" s="37">
        <v>75</v>
      </c>
      <c r="D6316" s="36">
        <f>base!H6316</f>
        <v>22.5</v>
      </c>
      <c r="E6316" s="44"/>
      <c r="F6316" s="16">
        <f>base!W6316</f>
        <v>0</v>
      </c>
      <c r="G6316" s="11">
        <f t="shared" si="980"/>
        <v>0</v>
      </c>
      <c r="H6316" s="11">
        <f t="shared" si="981"/>
        <v>0</v>
      </c>
      <c r="I6316" s="11">
        <f t="shared" si="982"/>
        <v>0</v>
      </c>
      <c r="J6316" s="12">
        <f t="shared" si="983"/>
        <v>0</v>
      </c>
      <c r="K6316" s="17" t="str">
        <f t="shared" si="988"/>
        <v>Pas d'écart</v>
      </c>
      <c r="L6316" s="16">
        <f>base!X6316</f>
        <v>0</v>
      </c>
      <c r="M6316" s="11">
        <f t="shared" si="984"/>
        <v>0</v>
      </c>
      <c r="N6316" s="11">
        <f t="shared" si="985"/>
        <v>0</v>
      </c>
      <c r="O6316" s="11">
        <f t="shared" si="986"/>
        <v>0</v>
      </c>
      <c r="P6316" s="12">
        <f t="shared" si="987"/>
        <v>0</v>
      </c>
      <c r="Q6316" s="17" t="str">
        <f t="shared" si="989"/>
        <v>Pas d'écart</v>
      </c>
    </row>
    <row r="6317" spans="1:17" x14ac:dyDescent="0.3">
      <c r="A6317" s="34" t="str">
        <f>base!J6317</f>
        <v>RM</v>
      </c>
      <c r="B6317" s="34" t="str">
        <f>base!V6317</f>
        <v>94230</v>
      </c>
      <c r="C6317" s="37">
        <v>94</v>
      </c>
      <c r="D6317" s="36">
        <f>base!H6317</f>
        <v>40.25</v>
      </c>
      <c r="E6317" s="44"/>
      <c r="F6317" s="16">
        <f>base!W6317</f>
        <v>0</v>
      </c>
      <c r="G6317" s="11">
        <f t="shared" si="980"/>
        <v>0</v>
      </c>
      <c r="H6317" s="11">
        <f t="shared" si="981"/>
        <v>0</v>
      </c>
      <c r="I6317" s="11">
        <f t="shared" si="982"/>
        <v>0</v>
      </c>
      <c r="J6317" s="12">
        <f t="shared" si="983"/>
        <v>0</v>
      </c>
      <c r="K6317" s="17" t="str">
        <f t="shared" si="988"/>
        <v>Pas d'écart</v>
      </c>
      <c r="L6317" s="16">
        <f>base!X6317</f>
        <v>0</v>
      </c>
      <c r="M6317" s="11">
        <f t="shared" si="984"/>
        <v>0</v>
      </c>
      <c r="N6317" s="11">
        <f t="shared" si="985"/>
        <v>0</v>
      </c>
      <c r="O6317" s="11">
        <f t="shared" si="986"/>
        <v>0</v>
      </c>
      <c r="P6317" s="12">
        <f t="shared" si="987"/>
        <v>0</v>
      </c>
      <c r="Q6317" s="17" t="str">
        <f t="shared" si="989"/>
        <v>Pas d'écart</v>
      </c>
    </row>
    <row r="6318" spans="1:17" x14ac:dyDescent="0.3">
      <c r="A6318" s="34" t="str">
        <f>base!J6318</f>
        <v>RM</v>
      </c>
      <c r="B6318" s="34" t="str">
        <f>base!V6318</f>
        <v>75003</v>
      </c>
      <c r="C6318" s="37">
        <v>75</v>
      </c>
      <c r="D6318" s="36">
        <f>base!H6318</f>
        <v>151</v>
      </c>
      <c r="E6318" s="44"/>
      <c r="F6318" s="16">
        <f>base!W6318</f>
        <v>0</v>
      </c>
      <c r="G6318" s="11">
        <f t="shared" si="980"/>
        <v>0</v>
      </c>
      <c r="H6318" s="11">
        <f t="shared" si="981"/>
        <v>0</v>
      </c>
      <c r="I6318" s="11">
        <f t="shared" si="982"/>
        <v>0</v>
      </c>
      <c r="J6318" s="12">
        <f t="shared" si="983"/>
        <v>0</v>
      </c>
      <c r="K6318" s="17" t="str">
        <f t="shared" si="988"/>
        <v>Pas d'écart</v>
      </c>
      <c r="L6318" s="16">
        <f>base!X6318</f>
        <v>0</v>
      </c>
      <c r="M6318" s="11">
        <f t="shared" si="984"/>
        <v>0</v>
      </c>
      <c r="N6318" s="11">
        <f t="shared" si="985"/>
        <v>0</v>
      </c>
      <c r="O6318" s="11">
        <f t="shared" si="986"/>
        <v>0</v>
      </c>
      <c r="P6318" s="12">
        <f t="shared" si="987"/>
        <v>0</v>
      </c>
      <c r="Q6318" s="17" t="str">
        <f t="shared" si="989"/>
        <v>Pas d'écart</v>
      </c>
    </row>
    <row r="6319" spans="1:17" x14ac:dyDescent="0.3">
      <c r="A6319" s="34" t="str">
        <f>base!J6319</f>
        <v>DLS</v>
      </c>
      <c r="B6319" s="34" t="str">
        <f>base!V6319</f>
        <v>93600</v>
      </c>
      <c r="C6319" s="37">
        <v>93</v>
      </c>
      <c r="D6319" s="36">
        <f>base!H6319</f>
        <v>220.28</v>
      </c>
      <c r="E6319" s="44"/>
      <c r="F6319" s="16">
        <f>base!W6319</f>
        <v>0</v>
      </c>
      <c r="G6319" s="11">
        <f t="shared" si="980"/>
        <v>0</v>
      </c>
      <c r="H6319" s="11">
        <f t="shared" si="981"/>
        <v>0</v>
      </c>
      <c r="I6319" s="11">
        <f t="shared" si="982"/>
        <v>0</v>
      </c>
      <c r="J6319" s="12">
        <f t="shared" si="983"/>
        <v>0</v>
      </c>
      <c r="K6319" s="17" t="str">
        <f t="shared" si="988"/>
        <v>Pas d'écart</v>
      </c>
      <c r="L6319" s="16">
        <f>base!X6319</f>
        <v>0</v>
      </c>
      <c r="M6319" s="11">
        <f t="shared" si="984"/>
        <v>0</v>
      </c>
      <c r="N6319" s="11">
        <f t="shared" si="985"/>
        <v>0</v>
      </c>
      <c r="O6319" s="11">
        <f t="shared" si="986"/>
        <v>0</v>
      </c>
      <c r="P6319" s="12">
        <f t="shared" si="987"/>
        <v>0</v>
      </c>
      <c r="Q6319" s="17" t="str">
        <f t="shared" si="989"/>
        <v>Pas d'écart</v>
      </c>
    </row>
    <row r="6320" spans="1:17" x14ac:dyDescent="0.3">
      <c r="A6320" s="34" t="str">
        <f>base!J6320</f>
        <v>RS</v>
      </c>
      <c r="B6320" s="34" t="str">
        <f>base!V6320</f>
        <v>64250</v>
      </c>
      <c r="C6320" s="37">
        <v>64</v>
      </c>
      <c r="D6320" s="36">
        <f>base!H6320</f>
        <v>220</v>
      </c>
      <c r="E6320" s="44"/>
      <c r="F6320" s="16">
        <f>base!W6320</f>
        <v>0</v>
      </c>
      <c r="G6320" s="11">
        <f t="shared" si="980"/>
        <v>0</v>
      </c>
      <c r="H6320" s="11">
        <f t="shared" si="981"/>
        <v>46.199999999999996</v>
      </c>
      <c r="I6320" s="11">
        <f t="shared" si="982"/>
        <v>0.21</v>
      </c>
      <c r="J6320" s="12">
        <f t="shared" si="983"/>
        <v>-46.199999999999996</v>
      </c>
      <c r="K6320" s="17" t="str">
        <f t="shared" si="988"/>
        <v>Ecart négatif</v>
      </c>
      <c r="L6320" s="16">
        <f>base!X6320</f>
        <v>46.2</v>
      </c>
      <c r="M6320" s="11">
        <f t="shared" si="984"/>
        <v>0.21000000000000002</v>
      </c>
      <c r="N6320" s="11">
        <f t="shared" si="985"/>
        <v>37.400000000000006</v>
      </c>
      <c r="O6320" s="11">
        <f t="shared" si="986"/>
        <v>0.17</v>
      </c>
      <c r="P6320" s="12">
        <f t="shared" si="987"/>
        <v>8.7999999999999972</v>
      </c>
      <c r="Q6320" s="17" t="str">
        <f t="shared" si="989"/>
        <v>Ecart positif</v>
      </c>
    </row>
    <row r="6321" spans="1:17" x14ac:dyDescent="0.3">
      <c r="A6321" s="34" t="str">
        <f>base!J6321</f>
        <v>RM</v>
      </c>
      <c r="B6321" s="34" t="str">
        <f>base!V6321</f>
        <v>13625</v>
      </c>
      <c r="C6321" s="37">
        <v>13</v>
      </c>
      <c r="D6321" s="36">
        <f>base!H6321</f>
        <v>794.44</v>
      </c>
      <c r="E6321" s="44"/>
      <c r="F6321" s="16">
        <f>base!W6321</f>
        <v>0</v>
      </c>
      <c r="G6321" s="11">
        <f t="shared" si="980"/>
        <v>0</v>
      </c>
      <c r="H6321" s="11">
        <f t="shared" si="981"/>
        <v>230.38759999999999</v>
      </c>
      <c r="I6321" s="11">
        <f t="shared" si="982"/>
        <v>0.28999999999999998</v>
      </c>
      <c r="J6321" s="12">
        <f t="shared" si="983"/>
        <v>-230.38759999999999</v>
      </c>
      <c r="K6321" s="17" t="str">
        <f t="shared" si="988"/>
        <v>Ecart négatif</v>
      </c>
      <c r="L6321" s="16">
        <f>base!X6321</f>
        <v>0</v>
      </c>
      <c r="M6321" s="11">
        <f t="shared" si="984"/>
        <v>0</v>
      </c>
      <c r="N6321" s="11">
        <f t="shared" si="985"/>
        <v>150.9436</v>
      </c>
      <c r="O6321" s="11">
        <f t="shared" si="986"/>
        <v>0.19</v>
      </c>
      <c r="P6321" s="12">
        <f t="shared" si="987"/>
        <v>-150.9436</v>
      </c>
      <c r="Q6321" s="17" t="str">
        <f t="shared" si="989"/>
        <v>Ecart négatif</v>
      </c>
    </row>
    <row r="6322" spans="1:17" x14ac:dyDescent="0.3">
      <c r="A6322" s="34" t="str">
        <f>base!J6322</f>
        <v>RM</v>
      </c>
      <c r="B6322" s="34" t="str">
        <f>base!V6322</f>
        <v>66000</v>
      </c>
      <c r="C6322" s="37">
        <v>66</v>
      </c>
      <c r="D6322" s="36">
        <f>base!H6322</f>
        <v>58.2</v>
      </c>
      <c r="E6322" s="44"/>
      <c r="F6322" s="16">
        <f>base!W6322</f>
        <v>0</v>
      </c>
      <c r="G6322" s="11">
        <f t="shared" si="980"/>
        <v>0</v>
      </c>
      <c r="H6322" s="11">
        <f t="shared" si="981"/>
        <v>19.788000000000004</v>
      </c>
      <c r="I6322" s="11">
        <f t="shared" si="982"/>
        <v>0.34</v>
      </c>
      <c r="J6322" s="12">
        <f t="shared" si="983"/>
        <v>-19.788000000000004</v>
      </c>
      <c r="K6322" s="17" t="str">
        <f t="shared" si="988"/>
        <v>Ecart négatif</v>
      </c>
      <c r="L6322" s="16">
        <f>base!X6322</f>
        <v>0</v>
      </c>
      <c r="M6322" s="11">
        <f t="shared" si="984"/>
        <v>0</v>
      </c>
      <c r="N6322" s="11">
        <f t="shared" si="985"/>
        <v>16.296000000000003</v>
      </c>
      <c r="O6322" s="11">
        <f t="shared" si="986"/>
        <v>0.28000000000000003</v>
      </c>
      <c r="P6322" s="12">
        <f t="shared" si="987"/>
        <v>-16.296000000000003</v>
      </c>
      <c r="Q6322" s="17" t="str">
        <f t="shared" si="989"/>
        <v>Ecart négatif</v>
      </c>
    </row>
    <row r="6323" spans="1:17" x14ac:dyDescent="0.3">
      <c r="A6323" s="34" t="str">
        <f>base!J6323</f>
        <v>RM</v>
      </c>
      <c r="B6323" s="34" t="str">
        <f>base!V6323</f>
        <v>34000</v>
      </c>
      <c r="C6323" s="37">
        <v>34</v>
      </c>
      <c r="D6323" s="36">
        <f>base!H6323</f>
        <v>180</v>
      </c>
      <c r="E6323" s="44"/>
      <c r="F6323" s="16">
        <f>base!W6323</f>
        <v>0</v>
      </c>
      <c r="G6323" s="11">
        <f t="shared" si="980"/>
        <v>0</v>
      </c>
      <c r="H6323" s="11">
        <f t="shared" si="981"/>
        <v>70.2</v>
      </c>
      <c r="I6323" s="11">
        <f t="shared" si="982"/>
        <v>0.39</v>
      </c>
      <c r="J6323" s="12">
        <f t="shared" si="983"/>
        <v>-70.2</v>
      </c>
      <c r="K6323" s="17" t="str">
        <f t="shared" si="988"/>
        <v>Ecart négatif</v>
      </c>
      <c r="L6323" s="16">
        <f>base!X6323</f>
        <v>0</v>
      </c>
      <c r="M6323" s="11">
        <f t="shared" si="984"/>
        <v>0</v>
      </c>
      <c r="N6323" s="11">
        <f t="shared" si="985"/>
        <v>50.400000000000006</v>
      </c>
      <c r="O6323" s="11">
        <f t="shared" si="986"/>
        <v>0.28000000000000003</v>
      </c>
      <c r="P6323" s="12">
        <f t="shared" si="987"/>
        <v>-50.400000000000006</v>
      </c>
      <c r="Q6323" s="17" t="str">
        <f t="shared" si="989"/>
        <v>Ecart négatif</v>
      </c>
    </row>
    <row r="6324" spans="1:17" x14ac:dyDescent="0.3">
      <c r="A6324" s="34" t="str">
        <f>base!J6324</f>
        <v>DLM</v>
      </c>
      <c r="B6324" s="34" t="str">
        <f>base!V6324</f>
        <v>45000</v>
      </c>
      <c r="C6324" s="37">
        <v>45</v>
      </c>
      <c r="D6324" s="36">
        <f>base!H6324</f>
        <v>52.5</v>
      </c>
      <c r="E6324" s="44"/>
      <c r="F6324" s="16">
        <f>base!W6324</f>
        <v>0</v>
      </c>
      <c r="G6324" s="11">
        <f t="shared" si="980"/>
        <v>0</v>
      </c>
      <c r="H6324" s="11">
        <f t="shared" si="981"/>
        <v>11.025</v>
      </c>
      <c r="I6324" s="11">
        <f t="shared" si="982"/>
        <v>0.21000000000000002</v>
      </c>
      <c r="J6324" s="12">
        <f t="shared" si="983"/>
        <v>-11.025</v>
      </c>
      <c r="K6324" s="17" t="str">
        <f t="shared" si="988"/>
        <v>Ecart négatif</v>
      </c>
      <c r="L6324" s="16">
        <f>base!X6324</f>
        <v>0</v>
      </c>
      <c r="M6324" s="11">
        <f t="shared" si="984"/>
        <v>0</v>
      </c>
      <c r="N6324" s="11">
        <f t="shared" si="985"/>
        <v>6.3</v>
      </c>
      <c r="O6324" s="11">
        <f t="shared" si="986"/>
        <v>0.12</v>
      </c>
      <c r="P6324" s="12">
        <f t="shared" si="987"/>
        <v>-6.3</v>
      </c>
      <c r="Q6324" s="17" t="str">
        <f t="shared" si="989"/>
        <v>Ecart négatif</v>
      </c>
    </row>
    <row r="6325" spans="1:17" x14ac:dyDescent="0.3">
      <c r="A6325" s="34" t="str">
        <f>base!J6325</f>
        <v>DLM</v>
      </c>
      <c r="B6325" s="34" t="str">
        <f>base!V6325</f>
        <v>59100</v>
      </c>
      <c r="C6325" s="37">
        <v>59</v>
      </c>
      <c r="D6325" s="36">
        <f>base!H6325</f>
        <v>52.5</v>
      </c>
      <c r="E6325" s="44"/>
      <c r="F6325" s="16">
        <f>base!W6325</f>
        <v>9.98</v>
      </c>
      <c r="G6325" s="11">
        <f t="shared" si="980"/>
        <v>0.19009523809523809</v>
      </c>
      <c r="H6325" s="11">
        <f t="shared" si="981"/>
        <v>9.9749999999999996</v>
      </c>
      <c r="I6325" s="11">
        <f t="shared" si="982"/>
        <v>0.19</v>
      </c>
      <c r="J6325" s="12">
        <f t="shared" si="983"/>
        <v>5.0000000000007816E-3</v>
      </c>
      <c r="K6325" s="17" t="str">
        <f t="shared" si="988"/>
        <v>Ecart positif</v>
      </c>
      <c r="L6325" s="16">
        <f>base!X6325</f>
        <v>0</v>
      </c>
      <c r="M6325" s="11">
        <f t="shared" si="984"/>
        <v>0</v>
      </c>
      <c r="N6325" s="11">
        <f t="shared" si="985"/>
        <v>0</v>
      </c>
      <c r="O6325" s="11">
        <f t="shared" si="986"/>
        <v>0</v>
      </c>
      <c r="P6325" s="12">
        <f t="shared" si="987"/>
        <v>0</v>
      </c>
      <c r="Q6325" s="17" t="str">
        <f t="shared" si="989"/>
        <v>Pas d'écart</v>
      </c>
    </row>
    <row r="6326" spans="1:17" x14ac:dyDescent="0.3">
      <c r="A6326" s="34" t="str">
        <f>base!J6326</f>
        <v>DRM</v>
      </c>
      <c r="B6326" s="34" t="str">
        <f>base!V6326</f>
        <v>38230</v>
      </c>
      <c r="C6326" s="37">
        <v>38</v>
      </c>
      <c r="D6326" s="36">
        <f>base!H6326</f>
        <v>23.4</v>
      </c>
      <c r="E6326" s="44"/>
      <c r="F6326" s="16">
        <f>base!W6326</f>
        <v>0</v>
      </c>
      <c r="G6326" s="11">
        <f t="shared" si="980"/>
        <v>0</v>
      </c>
      <c r="H6326" s="11">
        <f t="shared" si="981"/>
        <v>6.3179999999999996</v>
      </c>
      <c r="I6326" s="11">
        <f t="shared" si="982"/>
        <v>0.27</v>
      </c>
      <c r="J6326" s="12">
        <f t="shared" si="983"/>
        <v>-6.3179999999999996</v>
      </c>
      <c r="K6326" s="17" t="str">
        <f t="shared" si="988"/>
        <v>Ecart négatif</v>
      </c>
      <c r="L6326" s="16">
        <f>base!X6326</f>
        <v>0</v>
      </c>
      <c r="M6326" s="11">
        <f t="shared" si="984"/>
        <v>0</v>
      </c>
      <c r="N6326" s="11">
        <f t="shared" si="985"/>
        <v>0</v>
      </c>
      <c r="O6326" s="11">
        <f t="shared" si="986"/>
        <v>0</v>
      </c>
      <c r="P6326" s="12">
        <f t="shared" si="987"/>
        <v>0</v>
      </c>
      <c r="Q6326" s="17" t="str">
        <f t="shared" si="989"/>
        <v>Pas d'écart</v>
      </c>
    </row>
    <row r="6327" spans="1:17" x14ac:dyDescent="0.3">
      <c r="A6327" s="34" t="str">
        <f>base!J6327</f>
        <v>RM</v>
      </c>
      <c r="B6327" s="34" t="str">
        <f>base!V6327</f>
        <v>13011</v>
      </c>
      <c r="C6327" s="37">
        <v>13</v>
      </c>
      <c r="D6327" s="36">
        <f>base!H6327</f>
        <v>165.52</v>
      </c>
      <c r="E6327" s="44"/>
      <c r="F6327" s="16">
        <f>base!W6327</f>
        <v>0</v>
      </c>
      <c r="G6327" s="11">
        <f t="shared" si="980"/>
        <v>0</v>
      </c>
      <c r="H6327" s="11">
        <f t="shared" si="981"/>
        <v>48.000799999999998</v>
      </c>
      <c r="I6327" s="11">
        <f t="shared" si="982"/>
        <v>0.28999999999999998</v>
      </c>
      <c r="J6327" s="12">
        <f t="shared" si="983"/>
        <v>-48.000799999999998</v>
      </c>
      <c r="K6327" s="17" t="str">
        <f t="shared" si="988"/>
        <v>Ecart négatif</v>
      </c>
      <c r="L6327" s="16">
        <f>base!X6327</f>
        <v>0</v>
      </c>
      <c r="M6327" s="11">
        <f t="shared" si="984"/>
        <v>0</v>
      </c>
      <c r="N6327" s="11">
        <f t="shared" si="985"/>
        <v>31.448800000000002</v>
      </c>
      <c r="O6327" s="11">
        <f t="shared" si="986"/>
        <v>0.19</v>
      </c>
      <c r="P6327" s="12">
        <f t="shared" si="987"/>
        <v>-31.448800000000002</v>
      </c>
      <c r="Q6327" s="17" t="str">
        <f t="shared" si="989"/>
        <v>Ecart négatif</v>
      </c>
    </row>
    <row r="6328" spans="1:17" x14ac:dyDescent="0.3">
      <c r="A6328" s="34" t="str">
        <f>base!J6328</f>
        <v>RS</v>
      </c>
      <c r="B6328" s="34" t="str">
        <f>base!V6328</f>
        <v>50000</v>
      </c>
      <c r="C6328" s="37">
        <v>50</v>
      </c>
      <c r="D6328" s="36">
        <f>base!H6328</f>
        <v>250</v>
      </c>
      <c r="E6328" s="44"/>
      <c r="F6328" s="16">
        <f>base!W6328</f>
        <v>0</v>
      </c>
      <c r="G6328" s="11">
        <f t="shared" si="980"/>
        <v>0</v>
      </c>
      <c r="H6328" s="11">
        <f t="shared" si="981"/>
        <v>42.5</v>
      </c>
      <c r="I6328" s="11">
        <f t="shared" si="982"/>
        <v>0.17</v>
      </c>
      <c r="J6328" s="12">
        <f t="shared" si="983"/>
        <v>-42.5</v>
      </c>
      <c r="K6328" s="17" t="str">
        <f t="shared" si="988"/>
        <v>Ecart négatif</v>
      </c>
      <c r="L6328" s="16">
        <f>base!X6328</f>
        <v>0</v>
      </c>
      <c r="M6328" s="11">
        <f t="shared" si="984"/>
        <v>0</v>
      </c>
      <c r="N6328" s="11">
        <f t="shared" si="985"/>
        <v>42.5</v>
      </c>
      <c r="O6328" s="11">
        <f t="shared" si="986"/>
        <v>0.17</v>
      </c>
      <c r="P6328" s="12">
        <f t="shared" si="987"/>
        <v>-42.5</v>
      </c>
      <c r="Q6328" s="17" t="str">
        <f t="shared" si="989"/>
        <v>Ecart négatif</v>
      </c>
    </row>
    <row r="6329" spans="1:17" x14ac:dyDescent="0.3">
      <c r="A6329" s="34" t="str">
        <f>base!J6329</f>
        <v>RS</v>
      </c>
      <c r="B6329" s="34" t="str">
        <f>base!V6329</f>
        <v>76430</v>
      </c>
      <c r="C6329" s="37">
        <v>76</v>
      </c>
      <c r="D6329" s="36">
        <f>base!H6329</f>
        <v>180</v>
      </c>
      <c r="E6329" s="44"/>
      <c r="F6329" s="16">
        <f>base!W6329</f>
        <v>0</v>
      </c>
      <c r="G6329" s="11">
        <f t="shared" si="980"/>
        <v>0</v>
      </c>
      <c r="H6329" s="11">
        <f t="shared" si="981"/>
        <v>30.6</v>
      </c>
      <c r="I6329" s="11">
        <f t="shared" si="982"/>
        <v>0.17</v>
      </c>
      <c r="J6329" s="12">
        <f t="shared" si="983"/>
        <v>-30.6</v>
      </c>
      <c r="K6329" s="17" t="str">
        <f t="shared" si="988"/>
        <v>Ecart négatif</v>
      </c>
      <c r="L6329" s="16">
        <f>base!X6329</f>
        <v>0</v>
      </c>
      <c r="M6329" s="11">
        <f t="shared" si="984"/>
        <v>0</v>
      </c>
      <c r="N6329" s="11">
        <f t="shared" si="985"/>
        <v>30.6</v>
      </c>
      <c r="O6329" s="11">
        <f t="shared" si="986"/>
        <v>0.17</v>
      </c>
      <c r="P6329" s="12">
        <f t="shared" si="987"/>
        <v>-30.6</v>
      </c>
      <c r="Q6329" s="17" t="str">
        <f t="shared" si="989"/>
        <v>Ecart négatif</v>
      </c>
    </row>
    <row r="6330" spans="1:17" x14ac:dyDescent="0.3">
      <c r="A6330" s="34" t="str">
        <f>base!J6330</f>
        <v>RS</v>
      </c>
      <c r="B6330" s="34" t="str">
        <f>base!V6330</f>
        <v>69003</v>
      </c>
      <c r="C6330" s="37">
        <v>69</v>
      </c>
      <c r="D6330" s="36">
        <f>base!H6330</f>
        <v>180</v>
      </c>
      <c r="E6330" s="44"/>
      <c r="F6330" s="16">
        <f>base!W6330</f>
        <v>0</v>
      </c>
      <c r="G6330" s="11">
        <f t="shared" si="980"/>
        <v>0</v>
      </c>
      <c r="H6330" s="11">
        <f t="shared" si="981"/>
        <v>48.6</v>
      </c>
      <c r="I6330" s="11">
        <f t="shared" si="982"/>
        <v>0.27</v>
      </c>
      <c r="J6330" s="12">
        <f t="shared" si="983"/>
        <v>-48.6</v>
      </c>
      <c r="K6330" s="17" t="str">
        <f t="shared" si="988"/>
        <v>Ecart négatif</v>
      </c>
      <c r="L6330" s="16">
        <f>base!X6330</f>
        <v>0</v>
      </c>
      <c r="M6330" s="11">
        <f t="shared" si="984"/>
        <v>0</v>
      </c>
      <c r="N6330" s="11">
        <f t="shared" si="985"/>
        <v>0</v>
      </c>
      <c r="O6330" s="11">
        <f t="shared" si="986"/>
        <v>0</v>
      </c>
      <c r="P6330" s="12">
        <f t="shared" si="987"/>
        <v>0</v>
      </c>
      <c r="Q6330" s="17" t="str">
        <f t="shared" si="989"/>
        <v>Pas d'écart</v>
      </c>
    </row>
    <row r="6331" spans="1:17" x14ac:dyDescent="0.3">
      <c r="A6331" s="34" t="str">
        <f>base!J6331</f>
        <v>DRS</v>
      </c>
      <c r="B6331" s="34" t="str">
        <f>base!V6331</f>
        <v>94220</v>
      </c>
      <c r="C6331" s="37">
        <v>94</v>
      </c>
      <c r="D6331" s="36">
        <f>base!H6331</f>
        <v>180</v>
      </c>
      <c r="E6331" s="44"/>
      <c r="F6331" s="16">
        <f>base!W6331</f>
        <v>0</v>
      </c>
      <c r="G6331" s="11">
        <f t="shared" si="980"/>
        <v>0</v>
      </c>
      <c r="H6331" s="11">
        <f t="shared" si="981"/>
        <v>0</v>
      </c>
      <c r="I6331" s="11">
        <f t="shared" si="982"/>
        <v>0</v>
      </c>
      <c r="J6331" s="12">
        <f t="shared" si="983"/>
        <v>0</v>
      </c>
      <c r="K6331" s="17" t="str">
        <f t="shared" si="988"/>
        <v>Pas d'écart</v>
      </c>
      <c r="L6331" s="16">
        <f>base!X6331</f>
        <v>0</v>
      </c>
      <c r="M6331" s="11">
        <f t="shared" si="984"/>
        <v>0</v>
      </c>
      <c r="N6331" s="11">
        <f t="shared" si="985"/>
        <v>0</v>
      </c>
      <c r="O6331" s="11">
        <f t="shared" si="986"/>
        <v>0</v>
      </c>
      <c r="P6331" s="12">
        <f t="shared" si="987"/>
        <v>0</v>
      </c>
      <c r="Q6331" s="17" t="str">
        <f t="shared" si="989"/>
        <v>Pas d'écart</v>
      </c>
    </row>
    <row r="6332" spans="1:17" x14ac:dyDescent="0.3">
      <c r="A6332" s="34" t="str">
        <f>base!J6332</f>
        <v>RS</v>
      </c>
      <c r="B6332" s="34" t="str">
        <f>base!V6332</f>
        <v>74500</v>
      </c>
      <c r="C6332" s="37">
        <v>74</v>
      </c>
      <c r="D6332" s="36">
        <f>base!H6332</f>
        <v>25</v>
      </c>
      <c r="E6332" s="44"/>
      <c r="F6332" s="16">
        <f>base!W6332</f>
        <v>0</v>
      </c>
      <c r="G6332" s="11">
        <f t="shared" si="980"/>
        <v>0</v>
      </c>
      <c r="H6332" s="11">
        <f t="shared" si="981"/>
        <v>6.5</v>
      </c>
      <c r="I6332" s="11">
        <f t="shared" si="982"/>
        <v>0.26</v>
      </c>
      <c r="J6332" s="12">
        <f t="shared" si="983"/>
        <v>-6.5</v>
      </c>
      <c r="K6332" s="17" t="str">
        <f t="shared" si="988"/>
        <v>Ecart négatif</v>
      </c>
      <c r="L6332" s="16">
        <f>base!X6332</f>
        <v>0</v>
      </c>
      <c r="M6332" s="11">
        <f t="shared" si="984"/>
        <v>0</v>
      </c>
      <c r="N6332" s="11">
        <f t="shared" si="985"/>
        <v>0</v>
      </c>
      <c r="O6332" s="11">
        <f t="shared" si="986"/>
        <v>0</v>
      </c>
      <c r="P6332" s="12">
        <f t="shared" si="987"/>
        <v>0</v>
      </c>
      <c r="Q6332" s="17" t="str">
        <f t="shared" si="989"/>
        <v>Pas d'écart</v>
      </c>
    </row>
    <row r="6333" spans="1:17" x14ac:dyDescent="0.3">
      <c r="A6333" s="34" t="str">
        <f>base!J6333</f>
        <v>LS</v>
      </c>
      <c r="B6333" s="34" t="str">
        <f>base!V6333</f>
        <v>89200</v>
      </c>
      <c r="C6333" s="37">
        <v>68</v>
      </c>
      <c r="D6333" s="36">
        <f>base!H6333</f>
        <v>140</v>
      </c>
      <c r="E6333" s="44"/>
      <c r="F6333" s="16">
        <f>base!W6333</f>
        <v>0</v>
      </c>
      <c r="G6333" s="11">
        <f t="shared" si="980"/>
        <v>0</v>
      </c>
      <c r="H6333" s="11">
        <f t="shared" si="981"/>
        <v>40.599999999999994</v>
      </c>
      <c r="I6333" s="11">
        <f t="shared" si="982"/>
        <v>0.28999999999999998</v>
      </c>
      <c r="J6333" s="12">
        <f t="shared" si="983"/>
        <v>-40.599999999999994</v>
      </c>
      <c r="K6333" s="17" t="str">
        <f t="shared" si="988"/>
        <v>Ecart négatif</v>
      </c>
      <c r="L6333" s="16">
        <f>base!X6333</f>
        <v>0</v>
      </c>
      <c r="M6333" s="11">
        <f t="shared" si="984"/>
        <v>0</v>
      </c>
      <c r="N6333" s="11">
        <f t="shared" si="985"/>
        <v>11.200000000000001</v>
      </c>
      <c r="O6333" s="11">
        <f t="shared" si="986"/>
        <v>0.08</v>
      </c>
      <c r="P6333" s="12">
        <f t="shared" si="987"/>
        <v>-11.200000000000001</v>
      </c>
      <c r="Q6333" s="17" t="str">
        <f t="shared" si="989"/>
        <v>Ecart négatif</v>
      </c>
    </row>
    <row r="6334" spans="1:17" x14ac:dyDescent="0.3">
      <c r="A6334" s="34" t="str">
        <f>base!J6334</f>
        <v>DLM</v>
      </c>
      <c r="B6334" s="34" t="str">
        <f>base!V6334</f>
        <v>88000</v>
      </c>
      <c r="C6334" s="37">
        <v>88</v>
      </c>
      <c r="D6334" s="36">
        <f>base!H6334</f>
        <v>180</v>
      </c>
      <c r="E6334" s="44"/>
      <c r="F6334" s="16">
        <f>base!W6334</f>
        <v>0</v>
      </c>
      <c r="G6334" s="11">
        <f t="shared" si="980"/>
        <v>0</v>
      </c>
      <c r="H6334" s="11">
        <f t="shared" si="981"/>
        <v>50.400000000000006</v>
      </c>
      <c r="I6334" s="11">
        <f t="shared" si="982"/>
        <v>0.28000000000000003</v>
      </c>
      <c r="J6334" s="12">
        <f t="shared" si="983"/>
        <v>-50.400000000000006</v>
      </c>
      <c r="K6334" s="17" t="str">
        <f t="shared" si="988"/>
        <v>Ecart négatif</v>
      </c>
      <c r="L6334" s="16">
        <f>base!X6334</f>
        <v>0</v>
      </c>
      <c r="M6334" s="11">
        <f t="shared" si="984"/>
        <v>0</v>
      </c>
      <c r="N6334" s="11">
        <f t="shared" si="985"/>
        <v>14.4</v>
      </c>
      <c r="O6334" s="11">
        <f t="shared" si="986"/>
        <v>0.08</v>
      </c>
      <c r="P6334" s="12">
        <f t="shared" si="987"/>
        <v>-14.4</v>
      </c>
      <c r="Q6334" s="17" t="str">
        <f t="shared" si="989"/>
        <v>Ecart négatif</v>
      </c>
    </row>
    <row r="6335" spans="1:17" x14ac:dyDescent="0.3">
      <c r="A6335" s="34" t="str">
        <f>base!J6335</f>
        <v>LS</v>
      </c>
      <c r="B6335" s="34" t="str">
        <f>base!V6335</f>
        <v>82000</v>
      </c>
      <c r="C6335" s="37">
        <v>68</v>
      </c>
      <c r="D6335" s="36">
        <f>base!H6335</f>
        <v>20</v>
      </c>
      <c r="E6335" s="44"/>
      <c r="F6335" s="16">
        <f>base!W6335</f>
        <v>0</v>
      </c>
      <c r="G6335" s="11">
        <f t="shared" si="980"/>
        <v>0</v>
      </c>
      <c r="H6335" s="11">
        <f t="shared" si="981"/>
        <v>5.8</v>
      </c>
      <c r="I6335" s="11">
        <f t="shared" si="982"/>
        <v>0.28999999999999998</v>
      </c>
      <c r="J6335" s="12">
        <f t="shared" si="983"/>
        <v>-5.8</v>
      </c>
      <c r="K6335" s="17" t="str">
        <f t="shared" si="988"/>
        <v>Ecart négatif</v>
      </c>
      <c r="L6335" s="16">
        <f>base!X6335</f>
        <v>0</v>
      </c>
      <c r="M6335" s="11">
        <f t="shared" si="984"/>
        <v>0</v>
      </c>
      <c r="N6335" s="11">
        <f t="shared" si="985"/>
        <v>1.6</v>
      </c>
      <c r="O6335" s="11">
        <f t="shared" si="986"/>
        <v>0.08</v>
      </c>
      <c r="P6335" s="12">
        <f t="shared" si="987"/>
        <v>-1.6</v>
      </c>
      <c r="Q6335" s="17" t="str">
        <f t="shared" si="989"/>
        <v>Ecart négatif</v>
      </c>
    </row>
    <row r="6336" spans="1:17" x14ac:dyDescent="0.3">
      <c r="A6336" s="34" t="str">
        <f>base!J6336</f>
        <v>LM</v>
      </c>
      <c r="B6336" s="34" t="str">
        <f>base!V6336</f>
        <v>67230</v>
      </c>
      <c r="C6336" s="37">
        <v>67</v>
      </c>
      <c r="D6336" s="36">
        <f>base!H6336</f>
        <v>401.19</v>
      </c>
      <c r="E6336" s="44"/>
      <c r="F6336" s="16">
        <f>base!W6336</f>
        <v>0</v>
      </c>
      <c r="G6336" s="11">
        <f t="shared" si="980"/>
        <v>0</v>
      </c>
      <c r="H6336" s="11">
        <f t="shared" si="981"/>
        <v>116.34509999999999</v>
      </c>
      <c r="I6336" s="11">
        <f t="shared" si="982"/>
        <v>0.28999999999999998</v>
      </c>
      <c r="J6336" s="12">
        <f t="shared" si="983"/>
        <v>-116.34509999999999</v>
      </c>
      <c r="K6336" s="17" t="str">
        <f t="shared" si="988"/>
        <v>Ecart négatif</v>
      </c>
      <c r="L6336" s="16">
        <f>base!X6336</f>
        <v>0</v>
      </c>
      <c r="M6336" s="11">
        <f t="shared" si="984"/>
        <v>0</v>
      </c>
      <c r="N6336" s="11">
        <f t="shared" si="985"/>
        <v>32.095199999999998</v>
      </c>
      <c r="O6336" s="11">
        <f t="shared" si="986"/>
        <v>0.08</v>
      </c>
      <c r="P6336" s="12">
        <f t="shared" si="987"/>
        <v>-32.095199999999998</v>
      </c>
      <c r="Q6336" s="17" t="str">
        <f t="shared" si="989"/>
        <v>Ecart négatif</v>
      </c>
    </row>
    <row r="6337" spans="1:18" x14ac:dyDescent="0.3">
      <c r="A6337" s="34" t="str">
        <f>base!J6337</f>
        <v>RM</v>
      </c>
      <c r="B6337" s="34" t="str">
        <f>base!V6337</f>
        <v>49000</v>
      </c>
      <c r="C6337" s="37">
        <v>49</v>
      </c>
      <c r="D6337" s="36">
        <f>base!H6337</f>
        <v>32</v>
      </c>
      <c r="E6337" s="44"/>
      <c r="F6337" s="16">
        <f>base!W6337</f>
        <v>0</v>
      </c>
      <c r="G6337" s="11">
        <f t="shared" si="980"/>
        <v>0</v>
      </c>
      <c r="H6337" s="11">
        <f t="shared" si="981"/>
        <v>8.64</v>
      </c>
      <c r="I6337" s="11">
        <f t="shared" si="982"/>
        <v>0.27</v>
      </c>
      <c r="J6337" s="12">
        <f t="shared" si="983"/>
        <v>-8.64</v>
      </c>
      <c r="K6337" s="17" t="str">
        <f t="shared" si="988"/>
        <v>Ecart négatif</v>
      </c>
      <c r="L6337" s="16">
        <f>base!X6337</f>
        <v>0</v>
      </c>
      <c r="M6337" s="11">
        <f t="shared" si="984"/>
        <v>0</v>
      </c>
      <c r="N6337" s="11">
        <f t="shared" si="985"/>
        <v>0</v>
      </c>
      <c r="O6337" s="11">
        <f t="shared" si="986"/>
        <v>0</v>
      </c>
      <c r="P6337" s="12">
        <f t="shared" si="987"/>
        <v>0</v>
      </c>
      <c r="Q6337" s="17" t="str">
        <f t="shared" si="989"/>
        <v>Pas d'écart</v>
      </c>
    </row>
    <row r="6338" spans="1:18" x14ac:dyDescent="0.3">
      <c r="A6338" s="34" t="str">
        <f>base!J6338</f>
        <v>DLS</v>
      </c>
      <c r="B6338" s="34" t="str">
        <f>base!V6338</f>
        <v>75010</v>
      </c>
      <c r="C6338" s="37">
        <v>75</v>
      </c>
      <c r="D6338" s="36">
        <f>base!H6338</f>
        <v>250</v>
      </c>
      <c r="E6338" s="44"/>
      <c r="F6338" s="16">
        <f>base!W6338</f>
        <v>0</v>
      </c>
      <c r="G6338" s="11">
        <f t="shared" ref="G6338:G6401" si="990">F6338/D6338</f>
        <v>0</v>
      </c>
      <c r="H6338" s="11">
        <f t="shared" ref="H6338:H6401" si="991">VLOOKUP(C6338,tout_cout_traction,2,FALSE)*D6338</f>
        <v>0</v>
      </c>
      <c r="I6338" s="11">
        <f t="shared" ref="I6338:I6401" si="992">H6338/D6338</f>
        <v>0</v>
      </c>
      <c r="J6338" s="12">
        <f t="shared" ref="J6338:J6401" si="993">F6338-H6338</f>
        <v>0</v>
      </c>
      <c r="K6338" s="17" t="str">
        <f t="shared" si="988"/>
        <v>Pas d'écart</v>
      </c>
      <c r="L6338" s="16">
        <f>base!X6338</f>
        <v>0</v>
      </c>
      <c r="M6338" s="11">
        <f t="shared" ref="M6338:M6401" si="994">L6338/D6338</f>
        <v>0</v>
      </c>
      <c r="N6338" s="11">
        <f t="shared" ref="N6338:N6401" si="995">VLOOKUP(C6338,tout_cout_traction,3,FALSE)*D6338</f>
        <v>0</v>
      </c>
      <c r="O6338" s="11">
        <f t="shared" ref="O6338:O6401" si="996">N6338/D6338</f>
        <v>0</v>
      </c>
      <c r="P6338" s="12">
        <f t="shared" ref="P6338:P6401" si="997">L6338-N6338</f>
        <v>0</v>
      </c>
      <c r="Q6338" s="17" t="str">
        <f t="shared" si="989"/>
        <v>Pas d'écart</v>
      </c>
    </row>
    <row r="6339" spans="1:18" x14ac:dyDescent="0.3">
      <c r="A6339" s="34" t="str">
        <f>base!J6339</f>
        <v>LS</v>
      </c>
      <c r="B6339" s="34" t="str">
        <f>base!V6339</f>
        <v>94380</v>
      </c>
      <c r="C6339" s="37">
        <v>94</v>
      </c>
      <c r="D6339" s="36">
        <f>base!H6339</f>
        <v>185.14</v>
      </c>
      <c r="E6339" s="44"/>
      <c r="F6339" s="16">
        <f>base!W6339</f>
        <v>0</v>
      </c>
      <c r="G6339" s="11">
        <f t="shared" si="990"/>
        <v>0</v>
      </c>
      <c r="H6339" s="11">
        <f t="shared" si="991"/>
        <v>0</v>
      </c>
      <c r="I6339" s="11">
        <f t="shared" si="992"/>
        <v>0</v>
      </c>
      <c r="J6339" s="12">
        <f t="shared" si="993"/>
        <v>0</v>
      </c>
      <c r="K6339" s="17" t="str">
        <f t="shared" ref="K6339:K6402" si="998">IF(H6339=F6339,"Pas d'écart",IF(H6339&lt;F6339,"Ecart positif",IF(H6339&gt;F6339,"Ecart négatif")))</f>
        <v>Pas d'écart</v>
      </c>
      <c r="L6339" s="16">
        <f>base!X6339</f>
        <v>0</v>
      </c>
      <c r="M6339" s="11">
        <f t="shared" si="994"/>
        <v>0</v>
      </c>
      <c r="N6339" s="11">
        <f t="shared" si="995"/>
        <v>0</v>
      </c>
      <c r="O6339" s="11">
        <f t="shared" si="996"/>
        <v>0</v>
      </c>
      <c r="P6339" s="12">
        <f t="shared" si="997"/>
        <v>0</v>
      </c>
      <c r="Q6339" s="17" t="str">
        <f t="shared" ref="Q6339:Q6402" si="999">IF(N6339=L6339,"Pas d'écart",IF(N6339&lt;L6339,"Ecart positif",IF(N6339&gt;L6339,"Ecart négatif")))</f>
        <v>Pas d'écart</v>
      </c>
    </row>
    <row r="6340" spans="1:18" x14ac:dyDescent="0.3">
      <c r="A6340" s="34" t="str">
        <f>base!J6340</f>
        <v>RS</v>
      </c>
      <c r="B6340" s="34" t="str">
        <f>base!V6340</f>
        <v>62600</v>
      </c>
      <c r="C6340" s="37">
        <v>62</v>
      </c>
      <c r="D6340" s="36">
        <f>base!H6340</f>
        <v>29.89</v>
      </c>
      <c r="E6340" s="44"/>
      <c r="F6340" s="16">
        <f>base!W6340</f>
        <v>0</v>
      </c>
      <c r="G6340" s="11">
        <f t="shared" si="990"/>
        <v>0</v>
      </c>
      <c r="H6340" s="11">
        <f t="shared" si="991"/>
        <v>5.6791</v>
      </c>
      <c r="I6340" s="11">
        <f t="shared" si="992"/>
        <v>0.19</v>
      </c>
      <c r="J6340" s="12">
        <f t="shared" si="993"/>
        <v>-5.6791</v>
      </c>
      <c r="K6340" s="17" t="str">
        <f t="shared" si="998"/>
        <v>Ecart négatif</v>
      </c>
      <c r="L6340" s="16">
        <f>base!X6340</f>
        <v>0</v>
      </c>
      <c r="M6340" s="11">
        <f t="shared" si="994"/>
        <v>0</v>
      </c>
      <c r="N6340" s="11">
        <f t="shared" si="995"/>
        <v>0</v>
      </c>
      <c r="O6340" s="11">
        <f t="shared" si="996"/>
        <v>0</v>
      </c>
      <c r="P6340" s="12">
        <f t="shared" si="997"/>
        <v>0</v>
      </c>
      <c r="Q6340" s="17" t="str">
        <f t="shared" si="999"/>
        <v>Pas d'écart</v>
      </c>
    </row>
    <row r="6341" spans="1:18" x14ac:dyDescent="0.3">
      <c r="A6341" s="34" t="str">
        <f>base!J6341</f>
        <v>RS</v>
      </c>
      <c r="B6341" s="34" t="str">
        <f>base!V6341</f>
        <v>45100</v>
      </c>
      <c r="C6341" s="37">
        <v>45</v>
      </c>
      <c r="D6341" s="36">
        <f>base!H6341</f>
        <v>72.400000000000006</v>
      </c>
      <c r="E6341" s="44"/>
      <c r="F6341" s="16">
        <f>base!W6341</f>
        <v>0</v>
      </c>
      <c r="G6341" s="11">
        <f t="shared" si="990"/>
        <v>0</v>
      </c>
      <c r="H6341" s="11">
        <f t="shared" si="991"/>
        <v>15.204000000000001</v>
      </c>
      <c r="I6341" s="11">
        <f t="shared" si="992"/>
        <v>0.21</v>
      </c>
      <c r="J6341" s="12">
        <f t="shared" si="993"/>
        <v>-15.204000000000001</v>
      </c>
      <c r="K6341" s="17" t="str">
        <f t="shared" si="998"/>
        <v>Ecart négatif</v>
      </c>
      <c r="L6341" s="16">
        <f>base!X6341</f>
        <v>0</v>
      </c>
      <c r="M6341" s="11">
        <f t="shared" si="994"/>
        <v>0</v>
      </c>
      <c r="N6341" s="11">
        <f t="shared" si="995"/>
        <v>8.6880000000000006</v>
      </c>
      <c r="O6341" s="11">
        <f t="shared" si="996"/>
        <v>0.12</v>
      </c>
      <c r="P6341" s="12">
        <f t="shared" si="997"/>
        <v>-8.6880000000000006</v>
      </c>
      <c r="Q6341" s="17" t="str">
        <f t="shared" si="999"/>
        <v>Ecart négatif</v>
      </c>
    </row>
    <row r="6342" spans="1:18" x14ac:dyDescent="0.3">
      <c r="A6342" s="34" t="str">
        <f>base!J6342</f>
        <v>LS</v>
      </c>
      <c r="B6342" s="34" t="str">
        <f>base!V6342</f>
        <v>34430</v>
      </c>
      <c r="C6342" s="37">
        <v>6</v>
      </c>
      <c r="D6342" s="36">
        <f>base!H6342</f>
        <v>55.14</v>
      </c>
      <c r="E6342" s="44"/>
      <c r="F6342" s="16">
        <f>base!W6342</f>
        <v>0</v>
      </c>
      <c r="G6342" s="11">
        <f t="shared" si="990"/>
        <v>0</v>
      </c>
      <c r="H6342" s="11">
        <f t="shared" si="991"/>
        <v>16.541999999999998</v>
      </c>
      <c r="I6342" s="11">
        <f t="shared" si="992"/>
        <v>0.3</v>
      </c>
      <c r="J6342" s="12">
        <f t="shared" si="993"/>
        <v>-16.541999999999998</v>
      </c>
      <c r="K6342" s="17" t="str">
        <f t="shared" si="998"/>
        <v>Ecart négatif</v>
      </c>
      <c r="L6342" s="16">
        <f>base!X6342</f>
        <v>0</v>
      </c>
      <c r="M6342" s="11">
        <f t="shared" si="994"/>
        <v>0</v>
      </c>
      <c r="N6342" s="11">
        <f t="shared" si="995"/>
        <v>11.5794</v>
      </c>
      <c r="O6342" s="11">
        <f t="shared" si="996"/>
        <v>0.21</v>
      </c>
      <c r="P6342" s="12">
        <f t="shared" si="997"/>
        <v>-11.5794</v>
      </c>
      <c r="Q6342" s="17" t="str">
        <f t="shared" si="999"/>
        <v>Ecart négatif</v>
      </c>
    </row>
    <row r="6343" spans="1:18" x14ac:dyDescent="0.3">
      <c r="A6343" s="34" t="str">
        <f>base!J6343</f>
        <v>DRS</v>
      </c>
      <c r="B6343" s="34" t="str">
        <f>base!V6343</f>
        <v>83490</v>
      </c>
      <c r="C6343" s="37">
        <v>83</v>
      </c>
      <c r="D6343" s="36">
        <f>base!H6343</f>
        <v>74.25</v>
      </c>
      <c r="E6343" s="44"/>
      <c r="F6343" s="16">
        <f>base!W6343</f>
        <v>0</v>
      </c>
      <c r="G6343" s="11">
        <f t="shared" si="990"/>
        <v>0</v>
      </c>
      <c r="H6343" s="11">
        <f t="shared" si="991"/>
        <v>22.274999999999999</v>
      </c>
      <c r="I6343" s="11">
        <f t="shared" si="992"/>
        <v>0.3</v>
      </c>
      <c r="J6343" s="12">
        <f t="shared" si="993"/>
        <v>-22.274999999999999</v>
      </c>
      <c r="K6343" s="17" t="str">
        <f t="shared" si="998"/>
        <v>Ecart négatif</v>
      </c>
      <c r="L6343" s="16">
        <f>base!X6343</f>
        <v>0</v>
      </c>
      <c r="M6343" s="11">
        <f t="shared" si="994"/>
        <v>0</v>
      </c>
      <c r="N6343" s="11">
        <f t="shared" si="995"/>
        <v>15.592499999999999</v>
      </c>
      <c r="O6343" s="11">
        <f t="shared" si="996"/>
        <v>0.21</v>
      </c>
      <c r="P6343" s="12">
        <f t="shared" si="997"/>
        <v>-15.592499999999999</v>
      </c>
      <c r="Q6343" s="17" t="str">
        <f t="shared" si="999"/>
        <v>Ecart négatif</v>
      </c>
    </row>
    <row r="6344" spans="1:18" x14ac:dyDescent="0.3">
      <c r="A6344" s="34" t="str">
        <f>base!J6344</f>
        <v>Stockage</v>
      </c>
      <c r="B6344" s="34" t="str">
        <f>base!V6344</f>
        <v/>
      </c>
      <c r="C6344" s="40" t="s">
        <v>11</v>
      </c>
      <c r="D6344" s="36">
        <f>base!H6344</f>
        <v>0</v>
      </c>
      <c r="E6344" s="44"/>
      <c r="F6344" s="16">
        <f>base!W6344</f>
        <v>0</v>
      </c>
      <c r="G6344" s="11" t="e">
        <f t="shared" si="990"/>
        <v>#DIV/0!</v>
      </c>
      <c r="H6344" s="11" t="e">
        <f t="shared" si="991"/>
        <v>#N/A</v>
      </c>
      <c r="I6344" s="11" t="e">
        <f t="shared" si="992"/>
        <v>#N/A</v>
      </c>
      <c r="J6344" s="12" t="e">
        <f t="shared" si="993"/>
        <v>#N/A</v>
      </c>
      <c r="K6344" s="17" t="e">
        <f t="shared" si="998"/>
        <v>#N/A</v>
      </c>
      <c r="L6344" s="16">
        <f>base!X6344</f>
        <v>0</v>
      </c>
      <c r="M6344" s="11" t="e">
        <f t="shared" si="994"/>
        <v>#DIV/0!</v>
      </c>
      <c r="N6344" s="11" t="e">
        <f t="shared" si="995"/>
        <v>#N/A</v>
      </c>
      <c r="O6344" s="11" t="e">
        <f t="shared" si="996"/>
        <v>#N/A</v>
      </c>
      <c r="P6344" s="12" t="e">
        <f t="shared" si="997"/>
        <v>#N/A</v>
      </c>
      <c r="Q6344" s="17" t="e">
        <f t="shared" si="999"/>
        <v>#N/A</v>
      </c>
    </row>
    <row r="6345" spans="1:18" x14ac:dyDescent="0.3">
      <c r="A6345" s="34" t="str">
        <f>base!J6345</f>
        <v>RS</v>
      </c>
      <c r="B6345" s="34" t="str">
        <f>base!V6345</f>
        <v>93600</v>
      </c>
      <c r="C6345" s="37">
        <v>93</v>
      </c>
      <c r="D6345" s="36">
        <f>base!H6345</f>
        <v>68</v>
      </c>
      <c r="E6345" s="44"/>
      <c r="F6345" s="16">
        <f>base!W6345</f>
        <v>0</v>
      </c>
      <c r="G6345" s="11">
        <f t="shared" si="990"/>
        <v>0</v>
      </c>
      <c r="H6345" s="11">
        <f t="shared" si="991"/>
        <v>0</v>
      </c>
      <c r="I6345" s="11">
        <f t="shared" si="992"/>
        <v>0</v>
      </c>
      <c r="J6345" s="12">
        <f t="shared" si="993"/>
        <v>0</v>
      </c>
      <c r="K6345" s="17" t="str">
        <f t="shared" si="998"/>
        <v>Pas d'écart</v>
      </c>
      <c r="L6345" s="16">
        <f>base!X6345</f>
        <v>0</v>
      </c>
      <c r="M6345" s="11">
        <f t="shared" si="994"/>
        <v>0</v>
      </c>
      <c r="N6345" s="11">
        <f t="shared" si="995"/>
        <v>0</v>
      </c>
      <c r="O6345" s="11">
        <f t="shared" si="996"/>
        <v>0</v>
      </c>
      <c r="P6345" s="12">
        <f t="shared" si="997"/>
        <v>0</v>
      </c>
      <c r="Q6345" s="17" t="str">
        <f t="shared" si="999"/>
        <v>Pas d'écart</v>
      </c>
    </row>
    <row r="6346" spans="1:18" x14ac:dyDescent="0.3">
      <c r="A6346" s="34" t="str">
        <f>base!J6346</f>
        <v>RM</v>
      </c>
      <c r="B6346" s="34" t="str">
        <f>base!V6346</f>
        <v>92350</v>
      </c>
      <c r="C6346" s="37">
        <v>92</v>
      </c>
      <c r="D6346" s="36">
        <f>base!H6346</f>
        <v>22.8</v>
      </c>
      <c r="E6346" s="44"/>
      <c r="F6346" s="16">
        <f>base!W6346</f>
        <v>0</v>
      </c>
      <c r="G6346" s="11">
        <f t="shared" si="990"/>
        <v>0</v>
      </c>
      <c r="H6346" s="11">
        <f t="shared" si="991"/>
        <v>0</v>
      </c>
      <c r="I6346" s="11">
        <f t="shared" si="992"/>
        <v>0</v>
      </c>
      <c r="J6346" s="12">
        <f t="shared" si="993"/>
        <v>0</v>
      </c>
      <c r="K6346" s="17" t="str">
        <f t="shared" si="998"/>
        <v>Pas d'écart</v>
      </c>
      <c r="L6346" s="16">
        <f>base!X6346</f>
        <v>0</v>
      </c>
      <c r="M6346" s="11">
        <f t="shared" si="994"/>
        <v>0</v>
      </c>
      <c r="N6346" s="11">
        <f t="shared" si="995"/>
        <v>0</v>
      </c>
      <c r="O6346" s="11">
        <f t="shared" si="996"/>
        <v>0</v>
      </c>
      <c r="P6346" s="12">
        <f t="shared" si="997"/>
        <v>0</v>
      </c>
      <c r="Q6346" s="17" t="str">
        <f t="shared" si="999"/>
        <v>Pas d'écart</v>
      </c>
    </row>
    <row r="6347" spans="1:18" x14ac:dyDescent="0.3">
      <c r="A6347" s="34" t="str">
        <f>base!J6347</f>
        <v>RS</v>
      </c>
      <c r="B6347" s="34" t="str">
        <f>base!V6347</f>
        <v>78530</v>
      </c>
      <c r="C6347" s="37">
        <v>78</v>
      </c>
      <c r="D6347" s="36">
        <f>base!H6347</f>
        <v>40</v>
      </c>
      <c r="E6347" s="44"/>
      <c r="F6347" s="16">
        <f>base!W6347</f>
        <v>0</v>
      </c>
      <c r="G6347" s="11">
        <f t="shared" si="990"/>
        <v>0</v>
      </c>
      <c r="H6347" s="11">
        <f t="shared" si="991"/>
        <v>0</v>
      </c>
      <c r="I6347" s="11">
        <f t="shared" si="992"/>
        <v>0</v>
      </c>
      <c r="J6347" s="12">
        <f t="shared" si="993"/>
        <v>0</v>
      </c>
      <c r="K6347" s="17" t="str">
        <f t="shared" si="998"/>
        <v>Pas d'écart</v>
      </c>
      <c r="L6347" s="16">
        <f>base!X6347</f>
        <v>0</v>
      </c>
      <c r="M6347" s="11">
        <f t="shared" si="994"/>
        <v>0</v>
      </c>
      <c r="N6347" s="11">
        <f t="shared" si="995"/>
        <v>0</v>
      </c>
      <c r="O6347" s="11">
        <f t="shared" si="996"/>
        <v>0</v>
      </c>
      <c r="P6347" s="12">
        <f t="shared" si="997"/>
        <v>0</v>
      </c>
      <c r="Q6347" s="17" t="str">
        <f t="shared" si="999"/>
        <v>Pas d'écart</v>
      </c>
    </row>
    <row r="6348" spans="1:18" x14ac:dyDescent="0.3">
      <c r="A6348" s="34" t="str">
        <f>base!J6348</f>
        <v>RS</v>
      </c>
      <c r="B6348" s="34" t="str">
        <f>base!V6348</f>
        <v>59530</v>
      </c>
      <c r="C6348" s="37">
        <v>59</v>
      </c>
      <c r="D6348" s="36">
        <f>base!H6348</f>
        <v>196.98</v>
      </c>
      <c r="E6348" s="44"/>
      <c r="F6348" s="16">
        <f>base!W6348</f>
        <v>0</v>
      </c>
      <c r="G6348" s="11">
        <f t="shared" si="990"/>
        <v>0</v>
      </c>
      <c r="H6348" s="11">
        <f t="shared" si="991"/>
        <v>37.426200000000001</v>
      </c>
      <c r="I6348" s="11">
        <f t="shared" si="992"/>
        <v>0.19000000000000003</v>
      </c>
      <c r="J6348" s="12">
        <f t="shared" si="993"/>
        <v>-37.426200000000001</v>
      </c>
      <c r="K6348" s="17" t="str">
        <f t="shared" si="998"/>
        <v>Ecart négatif</v>
      </c>
      <c r="L6348" s="16">
        <f>base!X6348</f>
        <v>37.43</v>
      </c>
      <c r="M6348" s="11">
        <f t="shared" si="994"/>
        <v>0.19001929129860901</v>
      </c>
      <c r="N6348" s="11">
        <f t="shared" si="995"/>
        <v>0</v>
      </c>
      <c r="O6348" s="11">
        <f t="shared" si="996"/>
        <v>0</v>
      </c>
      <c r="P6348" s="12">
        <f t="shared" si="997"/>
        <v>37.43</v>
      </c>
      <c r="Q6348" s="17" t="str">
        <f t="shared" si="999"/>
        <v>Ecart positif</v>
      </c>
      <c r="R6348" s="38"/>
    </row>
    <row r="6349" spans="1:18" x14ac:dyDescent="0.3">
      <c r="A6349" s="34" t="str">
        <f>base!J6349</f>
        <v>RM</v>
      </c>
      <c r="B6349" s="34" t="str">
        <f>base!V6349</f>
        <v>39500</v>
      </c>
      <c r="C6349" s="37">
        <v>39</v>
      </c>
      <c r="D6349" s="36">
        <f>base!H6349</f>
        <v>29.89</v>
      </c>
      <c r="E6349" s="44"/>
      <c r="F6349" s="16">
        <f>base!W6349</f>
        <v>0</v>
      </c>
      <c r="G6349" s="11">
        <f t="shared" si="990"/>
        <v>0</v>
      </c>
      <c r="H6349" s="11">
        <f t="shared" si="991"/>
        <v>8.0703000000000014</v>
      </c>
      <c r="I6349" s="11">
        <f t="shared" si="992"/>
        <v>0.27</v>
      </c>
      <c r="J6349" s="12">
        <f t="shared" si="993"/>
        <v>-8.0703000000000014</v>
      </c>
      <c r="K6349" s="17" t="str">
        <f t="shared" si="998"/>
        <v>Ecart négatif</v>
      </c>
      <c r="L6349" s="16">
        <f>base!X6349</f>
        <v>0</v>
      </c>
      <c r="M6349" s="11">
        <f t="shared" si="994"/>
        <v>0</v>
      </c>
      <c r="N6349" s="11">
        <f t="shared" si="995"/>
        <v>0</v>
      </c>
      <c r="O6349" s="11">
        <f t="shared" si="996"/>
        <v>0</v>
      </c>
      <c r="P6349" s="12">
        <f t="shared" si="997"/>
        <v>0</v>
      </c>
      <c r="Q6349" s="17" t="str">
        <f t="shared" si="999"/>
        <v>Pas d'écart</v>
      </c>
    </row>
    <row r="6350" spans="1:18" x14ac:dyDescent="0.3">
      <c r="A6350" s="34" t="str">
        <f>base!J6350</f>
        <v>RS</v>
      </c>
      <c r="B6350" s="34" t="str">
        <f>base!V6350</f>
        <v>95701</v>
      </c>
      <c r="C6350" s="37">
        <v>95</v>
      </c>
      <c r="D6350" s="36">
        <f>base!H6350</f>
        <v>25</v>
      </c>
      <c r="E6350" s="44"/>
      <c r="F6350" s="16">
        <f>base!W6350</f>
        <v>0</v>
      </c>
      <c r="G6350" s="11">
        <f t="shared" si="990"/>
        <v>0</v>
      </c>
      <c r="H6350" s="11">
        <f t="shared" si="991"/>
        <v>0</v>
      </c>
      <c r="I6350" s="11">
        <f t="shared" si="992"/>
        <v>0</v>
      </c>
      <c r="J6350" s="12">
        <f t="shared" si="993"/>
        <v>0</v>
      </c>
      <c r="K6350" s="17" t="str">
        <f t="shared" si="998"/>
        <v>Pas d'écart</v>
      </c>
      <c r="L6350" s="16">
        <f>base!X6350</f>
        <v>0</v>
      </c>
      <c r="M6350" s="11">
        <f t="shared" si="994"/>
        <v>0</v>
      </c>
      <c r="N6350" s="11">
        <f t="shared" si="995"/>
        <v>0</v>
      </c>
      <c r="O6350" s="11">
        <f t="shared" si="996"/>
        <v>0</v>
      </c>
      <c r="P6350" s="12">
        <f t="shared" si="997"/>
        <v>0</v>
      </c>
      <c r="Q6350" s="17" t="str">
        <f t="shared" si="999"/>
        <v>Pas d'écart</v>
      </c>
    </row>
    <row r="6351" spans="1:18" x14ac:dyDescent="0.3">
      <c r="A6351" s="34" t="str">
        <f>base!J6351</f>
        <v>RS</v>
      </c>
      <c r="B6351" s="34" t="str">
        <f>base!V6351</f>
        <v>59242</v>
      </c>
      <c r="C6351" s="37">
        <v>59</v>
      </c>
      <c r="D6351" s="36">
        <f>base!H6351</f>
        <v>140</v>
      </c>
      <c r="E6351" s="44"/>
      <c r="F6351" s="16">
        <f>base!W6351</f>
        <v>0</v>
      </c>
      <c r="G6351" s="11">
        <f t="shared" si="990"/>
        <v>0</v>
      </c>
      <c r="H6351" s="11">
        <f t="shared" si="991"/>
        <v>26.6</v>
      </c>
      <c r="I6351" s="11">
        <f t="shared" si="992"/>
        <v>0.19</v>
      </c>
      <c r="J6351" s="12">
        <f t="shared" si="993"/>
        <v>-26.6</v>
      </c>
      <c r="K6351" s="17" t="str">
        <f t="shared" si="998"/>
        <v>Ecart négatif</v>
      </c>
      <c r="L6351" s="16">
        <f>base!X6351</f>
        <v>0</v>
      </c>
      <c r="M6351" s="11">
        <f t="shared" si="994"/>
        <v>0</v>
      </c>
      <c r="N6351" s="11">
        <f t="shared" si="995"/>
        <v>0</v>
      </c>
      <c r="O6351" s="11">
        <f t="shared" si="996"/>
        <v>0</v>
      </c>
      <c r="P6351" s="12">
        <f t="shared" si="997"/>
        <v>0</v>
      </c>
      <c r="Q6351" s="17" t="str">
        <f t="shared" si="999"/>
        <v>Pas d'écart</v>
      </c>
    </row>
    <row r="6352" spans="1:18" x14ac:dyDescent="0.3">
      <c r="A6352" s="34" t="str">
        <f>base!J6352</f>
        <v>RS</v>
      </c>
      <c r="B6352" s="34" t="str">
        <f>base!V6352</f>
        <v>41000</v>
      </c>
      <c r="C6352" s="37">
        <v>41</v>
      </c>
      <c r="D6352" s="36">
        <f>base!H6352</f>
        <v>141.25</v>
      </c>
      <c r="E6352" s="44"/>
      <c r="F6352" s="16">
        <f>base!W6352</f>
        <v>0</v>
      </c>
      <c r="G6352" s="11">
        <f t="shared" si="990"/>
        <v>0</v>
      </c>
      <c r="H6352" s="11">
        <f t="shared" si="991"/>
        <v>29.662499999999998</v>
      </c>
      <c r="I6352" s="11">
        <f t="shared" si="992"/>
        <v>0.21</v>
      </c>
      <c r="J6352" s="12">
        <f t="shared" si="993"/>
        <v>-29.662499999999998</v>
      </c>
      <c r="K6352" s="17" t="str">
        <f t="shared" si="998"/>
        <v>Ecart négatif</v>
      </c>
      <c r="L6352" s="16">
        <f>base!X6352</f>
        <v>0</v>
      </c>
      <c r="M6352" s="11">
        <f t="shared" si="994"/>
        <v>0</v>
      </c>
      <c r="N6352" s="11">
        <f t="shared" si="995"/>
        <v>16.95</v>
      </c>
      <c r="O6352" s="11">
        <f t="shared" si="996"/>
        <v>0.12</v>
      </c>
      <c r="P6352" s="12">
        <f t="shared" si="997"/>
        <v>-16.95</v>
      </c>
      <c r="Q6352" s="17" t="str">
        <f t="shared" si="999"/>
        <v>Ecart négatif</v>
      </c>
    </row>
    <row r="6353" spans="1:18" x14ac:dyDescent="0.3">
      <c r="A6353" s="34" t="str">
        <f>base!J6353</f>
        <v>RM</v>
      </c>
      <c r="B6353" s="34" t="str">
        <f>base!V6353</f>
        <v>49430</v>
      </c>
      <c r="C6353" s="37">
        <v>49</v>
      </c>
      <c r="D6353" s="36">
        <f>base!H6353</f>
        <v>140</v>
      </c>
      <c r="E6353" s="44"/>
      <c r="F6353" s="16">
        <f>base!W6353</f>
        <v>0</v>
      </c>
      <c r="G6353" s="11">
        <f t="shared" si="990"/>
        <v>0</v>
      </c>
      <c r="H6353" s="11">
        <f t="shared" si="991"/>
        <v>37.800000000000004</v>
      </c>
      <c r="I6353" s="11">
        <f t="shared" si="992"/>
        <v>0.27</v>
      </c>
      <c r="J6353" s="12">
        <f t="shared" si="993"/>
        <v>-37.800000000000004</v>
      </c>
      <c r="K6353" s="17" t="str">
        <f t="shared" si="998"/>
        <v>Ecart négatif</v>
      </c>
      <c r="L6353" s="16">
        <f>base!X6353</f>
        <v>0</v>
      </c>
      <c r="M6353" s="11">
        <f t="shared" si="994"/>
        <v>0</v>
      </c>
      <c r="N6353" s="11">
        <f t="shared" si="995"/>
        <v>0</v>
      </c>
      <c r="O6353" s="11">
        <f t="shared" si="996"/>
        <v>0</v>
      </c>
      <c r="P6353" s="12">
        <f t="shared" si="997"/>
        <v>0</v>
      </c>
      <c r="Q6353" s="17" t="str">
        <f t="shared" si="999"/>
        <v>Pas d'écart</v>
      </c>
    </row>
    <row r="6354" spans="1:18" x14ac:dyDescent="0.3">
      <c r="A6354" s="34" t="str">
        <f>base!J6354</f>
        <v>RM</v>
      </c>
      <c r="B6354" s="34" t="str">
        <f>base!V6354</f>
        <v>78125</v>
      </c>
      <c r="C6354" s="37">
        <v>78</v>
      </c>
      <c r="D6354" s="36">
        <f>base!H6354</f>
        <v>84.5</v>
      </c>
      <c r="E6354" s="44"/>
      <c r="F6354" s="16">
        <f>base!W6354</f>
        <v>0</v>
      </c>
      <c r="G6354" s="11">
        <f t="shared" si="990"/>
        <v>0</v>
      </c>
      <c r="H6354" s="11">
        <f t="shared" si="991"/>
        <v>0</v>
      </c>
      <c r="I6354" s="11">
        <f t="shared" si="992"/>
        <v>0</v>
      </c>
      <c r="J6354" s="12">
        <f t="shared" si="993"/>
        <v>0</v>
      </c>
      <c r="K6354" s="17" t="str">
        <f t="shared" si="998"/>
        <v>Pas d'écart</v>
      </c>
      <c r="L6354" s="16">
        <f>base!X6354</f>
        <v>0</v>
      </c>
      <c r="M6354" s="11">
        <f t="shared" si="994"/>
        <v>0</v>
      </c>
      <c r="N6354" s="11">
        <f t="shared" si="995"/>
        <v>0</v>
      </c>
      <c r="O6354" s="11">
        <f t="shared" si="996"/>
        <v>0</v>
      </c>
      <c r="P6354" s="12">
        <f t="shared" si="997"/>
        <v>0</v>
      </c>
      <c r="Q6354" s="17" t="str">
        <f t="shared" si="999"/>
        <v>Pas d'écart</v>
      </c>
    </row>
    <row r="6355" spans="1:18" x14ac:dyDescent="0.3">
      <c r="A6355" s="34">
        <f>base!J6355</f>
        <v>0</v>
      </c>
      <c r="B6355" s="34" t="str">
        <f>base!V6355</f>
        <v>77184</v>
      </c>
      <c r="C6355" s="37">
        <v>77</v>
      </c>
      <c r="D6355" s="36">
        <f>base!H6355</f>
        <v>124</v>
      </c>
      <c r="E6355" s="44"/>
      <c r="F6355" s="16">
        <f>base!W6355</f>
        <v>0</v>
      </c>
      <c r="G6355" s="11">
        <f t="shared" si="990"/>
        <v>0</v>
      </c>
      <c r="H6355" s="11">
        <f t="shared" si="991"/>
        <v>0</v>
      </c>
      <c r="I6355" s="11">
        <f t="shared" si="992"/>
        <v>0</v>
      </c>
      <c r="J6355" s="12">
        <f t="shared" si="993"/>
        <v>0</v>
      </c>
      <c r="K6355" s="17" t="str">
        <f t="shared" si="998"/>
        <v>Pas d'écart</v>
      </c>
      <c r="L6355" s="16">
        <f>base!X6355</f>
        <v>0</v>
      </c>
      <c r="M6355" s="11">
        <f t="shared" si="994"/>
        <v>0</v>
      </c>
      <c r="N6355" s="11">
        <f t="shared" si="995"/>
        <v>0</v>
      </c>
      <c r="O6355" s="11">
        <f t="shared" si="996"/>
        <v>0</v>
      </c>
      <c r="P6355" s="12">
        <f t="shared" si="997"/>
        <v>0</v>
      </c>
      <c r="Q6355" s="17" t="str">
        <f t="shared" si="999"/>
        <v>Pas d'écart</v>
      </c>
    </row>
    <row r="6356" spans="1:18" x14ac:dyDescent="0.3">
      <c r="A6356" s="34" t="str">
        <f>base!J6356</f>
        <v>RS</v>
      </c>
      <c r="B6356" s="34" t="str">
        <f>base!V6356</f>
        <v>59790</v>
      </c>
      <c r="C6356" s="37">
        <v>59</v>
      </c>
      <c r="D6356" s="36">
        <f>base!H6356</f>
        <v>216.12</v>
      </c>
      <c r="E6356" s="44"/>
      <c r="F6356" s="16">
        <f>base!W6356</f>
        <v>0</v>
      </c>
      <c r="G6356" s="11">
        <f t="shared" si="990"/>
        <v>0</v>
      </c>
      <c r="H6356" s="11">
        <f t="shared" si="991"/>
        <v>41.062800000000003</v>
      </c>
      <c r="I6356" s="11">
        <f t="shared" si="992"/>
        <v>0.19</v>
      </c>
      <c r="J6356" s="12">
        <f t="shared" si="993"/>
        <v>-41.062800000000003</v>
      </c>
      <c r="K6356" s="17" t="str">
        <f t="shared" si="998"/>
        <v>Ecart négatif</v>
      </c>
      <c r="L6356" s="16">
        <f>base!X6356</f>
        <v>0</v>
      </c>
      <c r="M6356" s="11">
        <f t="shared" si="994"/>
        <v>0</v>
      </c>
      <c r="N6356" s="11">
        <f t="shared" si="995"/>
        <v>0</v>
      </c>
      <c r="O6356" s="11">
        <f t="shared" si="996"/>
        <v>0</v>
      </c>
      <c r="P6356" s="12">
        <f t="shared" si="997"/>
        <v>0</v>
      </c>
      <c r="Q6356" s="17" t="str">
        <f t="shared" si="999"/>
        <v>Pas d'écart</v>
      </c>
    </row>
    <row r="6357" spans="1:18" x14ac:dyDescent="0.3">
      <c r="A6357" s="34" t="str">
        <f>base!J6357</f>
        <v>RM</v>
      </c>
      <c r="B6357" s="34" t="str">
        <f>base!V6357</f>
        <v>69120</v>
      </c>
      <c r="C6357" s="37">
        <v>69</v>
      </c>
      <c r="D6357" s="36">
        <f>base!H6357</f>
        <v>151</v>
      </c>
      <c r="E6357" s="44"/>
      <c r="F6357" s="16">
        <f>base!W6357</f>
        <v>0</v>
      </c>
      <c r="G6357" s="11">
        <f t="shared" si="990"/>
        <v>0</v>
      </c>
      <c r="H6357" s="11">
        <f t="shared" si="991"/>
        <v>40.770000000000003</v>
      </c>
      <c r="I6357" s="11">
        <f t="shared" si="992"/>
        <v>0.27</v>
      </c>
      <c r="J6357" s="12">
        <f t="shared" si="993"/>
        <v>-40.770000000000003</v>
      </c>
      <c r="K6357" s="17" t="str">
        <f t="shared" si="998"/>
        <v>Ecart négatif</v>
      </c>
      <c r="L6357" s="16">
        <f>base!X6357</f>
        <v>0</v>
      </c>
      <c r="M6357" s="11">
        <f t="shared" si="994"/>
        <v>0</v>
      </c>
      <c r="N6357" s="11">
        <f t="shared" si="995"/>
        <v>0</v>
      </c>
      <c r="O6357" s="11">
        <f t="shared" si="996"/>
        <v>0</v>
      </c>
      <c r="P6357" s="12">
        <f t="shared" si="997"/>
        <v>0</v>
      </c>
      <c r="Q6357" s="17" t="str">
        <f t="shared" si="999"/>
        <v>Pas d'écart</v>
      </c>
    </row>
    <row r="6358" spans="1:18" x14ac:dyDescent="0.3">
      <c r="A6358" s="34" t="str">
        <f>base!J6358</f>
        <v>RM</v>
      </c>
      <c r="B6358" s="34" t="str">
        <f>base!V6358</f>
        <v>06000</v>
      </c>
      <c r="C6358" s="37">
        <v>6</v>
      </c>
      <c r="D6358" s="36">
        <f>base!H6358</f>
        <v>151</v>
      </c>
      <c r="E6358" s="44"/>
      <c r="F6358" s="16">
        <f>base!W6358</f>
        <v>0</v>
      </c>
      <c r="G6358" s="11">
        <f t="shared" si="990"/>
        <v>0</v>
      </c>
      <c r="H6358" s="11">
        <f t="shared" si="991"/>
        <v>45.3</v>
      </c>
      <c r="I6358" s="11">
        <f t="shared" si="992"/>
        <v>0.3</v>
      </c>
      <c r="J6358" s="12">
        <f t="shared" si="993"/>
        <v>-45.3</v>
      </c>
      <c r="K6358" s="17" t="str">
        <f t="shared" si="998"/>
        <v>Ecart négatif</v>
      </c>
      <c r="L6358" s="16">
        <f>base!X6358</f>
        <v>31.71</v>
      </c>
      <c r="M6358" s="11">
        <f t="shared" si="994"/>
        <v>0.21</v>
      </c>
      <c r="N6358" s="11">
        <f t="shared" si="995"/>
        <v>31.709999999999997</v>
      </c>
      <c r="O6358" s="11">
        <f t="shared" si="996"/>
        <v>0.21</v>
      </c>
      <c r="P6358" s="12">
        <f t="shared" si="997"/>
        <v>0</v>
      </c>
      <c r="Q6358" s="17" t="str">
        <f t="shared" si="999"/>
        <v>Pas d'écart</v>
      </c>
      <c r="R6358" s="38"/>
    </row>
    <row r="6359" spans="1:18" x14ac:dyDescent="0.3">
      <c r="A6359" s="34" t="str">
        <f>base!J6359</f>
        <v>RS</v>
      </c>
      <c r="B6359" s="34" t="str">
        <f>base!V6359</f>
        <v>83190</v>
      </c>
      <c r="C6359" s="37">
        <v>83</v>
      </c>
      <c r="D6359" s="36">
        <f>base!H6359</f>
        <v>70</v>
      </c>
      <c r="E6359" s="44"/>
      <c r="F6359" s="16">
        <f>base!W6359</f>
        <v>0</v>
      </c>
      <c r="G6359" s="11">
        <f t="shared" si="990"/>
        <v>0</v>
      </c>
      <c r="H6359" s="11">
        <f t="shared" si="991"/>
        <v>21</v>
      </c>
      <c r="I6359" s="11">
        <f t="shared" si="992"/>
        <v>0.3</v>
      </c>
      <c r="J6359" s="12">
        <f t="shared" si="993"/>
        <v>-21</v>
      </c>
      <c r="K6359" s="17" t="str">
        <f t="shared" si="998"/>
        <v>Ecart négatif</v>
      </c>
      <c r="L6359" s="16">
        <f>base!X6359</f>
        <v>14.7</v>
      </c>
      <c r="M6359" s="11">
        <f t="shared" si="994"/>
        <v>0.21</v>
      </c>
      <c r="N6359" s="11">
        <f t="shared" si="995"/>
        <v>14.7</v>
      </c>
      <c r="O6359" s="11">
        <f t="shared" si="996"/>
        <v>0.21</v>
      </c>
      <c r="P6359" s="12">
        <f t="shared" si="997"/>
        <v>0</v>
      </c>
      <c r="Q6359" s="17" t="str">
        <f t="shared" si="999"/>
        <v>Pas d'écart</v>
      </c>
      <c r="R6359" s="38"/>
    </row>
    <row r="6360" spans="1:18" x14ac:dyDescent="0.3">
      <c r="A6360" s="34" t="str">
        <f>base!J6360</f>
        <v>RM</v>
      </c>
      <c r="B6360" s="34" t="str">
        <f>base!V6360</f>
        <v>21300</v>
      </c>
      <c r="C6360" s="37">
        <v>21</v>
      </c>
      <c r="D6360" s="36">
        <f>base!H6360</f>
        <v>180</v>
      </c>
      <c r="E6360" s="44"/>
      <c r="F6360" s="16">
        <f>base!W6360</f>
        <v>0</v>
      </c>
      <c r="G6360" s="11">
        <f t="shared" si="990"/>
        <v>0</v>
      </c>
      <c r="H6360" s="11">
        <f t="shared" si="991"/>
        <v>43.199999999999996</v>
      </c>
      <c r="I6360" s="11">
        <f t="shared" si="992"/>
        <v>0.23999999999999996</v>
      </c>
      <c r="J6360" s="12">
        <f t="shared" si="993"/>
        <v>-43.199999999999996</v>
      </c>
      <c r="K6360" s="17" t="str">
        <f t="shared" si="998"/>
        <v>Ecart négatif</v>
      </c>
      <c r="L6360" s="16">
        <f>base!X6360</f>
        <v>21.6</v>
      </c>
      <c r="M6360" s="11">
        <f t="shared" si="994"/>
        <v>0.12000000000000001</v>
      </c>
      <c r="N6360" s="11">
        <f t="shared" si="995"/>
        <v>21.599999999999998</v>
      </c>
      <c r="O6360" s="11">
        <f t="shared" si="996"/>
        <v>0.11999999999999998</v>
      </c>
      <c r="P6360" s="12">
        <f t="shared" si="997"/>
        <v>0</v>
      </c>
      <c r="Q6360" s="17" t="str">
        <f t="shared" si="999"/>
        <v>Pas d'écart</v>
      </c>
      <c r="R6360" s="38"/>
    </row>
    <row r="6361" spans="1:18" x14ac:dyDescent="0.3">
      <c r="A6361" s="34" t="str">
        <f>base!J6361</f>
        <v>RS</v>
      </c>
      <c r="B6361" s="34" t="str">
        <f>base!V6361</f>
        <v>51480</v>
      </c>
      <c r="C6361" s="37">
        <v>51</v>
      </c>
      <c r="D6361" s="36">
        <f>base!H6361</f>
        <v>140</v>
      </c>
      <c r="E6361" s="44"/>
      <c r="F6361" s="16">
        <f>base!W6361</f>
        <v>0</v>
      </c>
      <c r="G6361" s="11">
        <f t="shared" si="990"/>
        <v>0</v>
      </c>
      <c r="H6361" s="11">
        <f t="shared" si="991"/>
        <v>35</v>
      </c>
      <c r="I6361" s="11">
        <f t="shared" si="992"/>
        <v>0.25</v>
      </c>
      <c r="J6361" s="12">
        <f t="shared" si="993"/>
        <v>-35</v>
      </c>
      <c r="K6361" s="17" t="str">
        <f t="shared" si="998"/>
        <v>Ecart négatif</v>
      </c>
      <c r="L6361" s="16">
        <f>base!X6361</f>
        <v>35</v>
      </c>
      <c r="M6361" s="11">
        <f t="shared" si="994"/>
        <v>0.25</v>
      </c>
      <c r="N6361" s="11">
        <f t="shared" si="995"/>
        <v>35</v>
      </c>
      <c r="O6361" s="11">
        <f t="shared" si="996"/>
        <v>0.25</v>
      </c>
      <c r="P6361" s="12">
        <f t="shared" si="997"/>
        <v>0</v>
      </c>
      <c r="Q6361" s="17" t="str">
        <f t="shared" si="999"/>
        <v>Pas d'écart</v>
      </c>
    </row>
    <row r="6362" spans="1:18" x14ac:dyDescent="0.3">
      <c r="A6362" s="34" t="str">
        <f>base!J6362</f>
        <v>RM</v>
      </c>
      <c r="B6362" s="34" t="str">
        <f>base!V6362</f>
        <v>69800</v>
      </c>
      <c r="C6362" s="37">
        <v>69</v>
      </c>
      <c r="D6362" s="36">
        <f>base!H6362</f>
        <v>40</v>
      </c>
      <c r="E6362" s="44"/>
      <c r="F6362" s="16">
        <f>base!W6362</f>
        <v>0</v>
      </c>
      <c r="G6362" s="11">
        <f t="shared" si="990"/>
        <v>0</v>
      </c>
      <c r="H6362" s="11">
        <f t="shared" si="991"/>
        <v>10.8</v>
      </c>
      <c r="I6362" s="11">
        <f t="shared" si="992"/>
        <v>0.27</v>
      </c>
      <c r="J6362" s="12">
        <f t="shared" si="993"/>
        <v>-10.8</v>
      </c>
      <c r="K6362" s="17" t="str">
        <f t="shared" si="998"/>
        <v>Ecart négatif</v>
      </c>
      <c r="L6362" s="16">
        <f>base!X6362</f>
        <v>0</v>
      </c>
      <c r="M6362" s="11">
        <f t="shared" si="994"/>
        <v>0</v>
      </c>
      <c r="N6362" s="11">
        <f t="shared" si="995"/>
        <v>0</v>
      </c>
      <c r="O6362" s="11">
        <f t="shared" si="996"/>
        <v>0</v>
      </c>
      <c r="P6362" s="12">
        <f t="shared" si="997"/>
        <v>0</v>
      </c>
      <c r="Q6362" s="17" t="str">
        <f t="shared" si="999"/>
        <v>Pas d'écart</v>
      </c>
    </row>
    <row r="6363" spans="1:18" x14ac:dyDescent="0.3">
      <c r="A6363" s="34" t="str">
        <f>base!J6363</f>
        <v>RS</v>
      </c>
      <c r="B6363" s="34" t="str">
        <f>base!V6363</f>
        <v>06600</v>
      </c>
      <c r="C6363" s="37">
        <v>6</v>
      </c>
      <c r="D6363" s="36">
        <f>base!H6363</f>
        <v>38.03</v>
      </c>
      <c r="E6363" s="44"/>
      <c r="F6363" s="16">
        <f>base!W6363</f>
        <v>0</v>
      </c>
      <c r="G6363" s="11">
        <f t="shared" si="990"/>
        <v>0</v>
      </c>
      <c r="H6363" s="11">
        <f t="shared" si="991"/>
        <v>11.409000000000001</v>
      </c>
      <c r="I6363" s="11">
        <f t="shared" si="992"/>
        <v>0.3</v>
      </c>
      <c r="J6363" s="12">
        <f t="shared" si="993"/>
        <v>-11.409000000000001</v>
      </c>
      <c r="K6363" s="17" t="str">
        <f t="shared" si="998"/>
        <v>Ecart négatif</v>
      </c>
      <c r="L6363" s="16">
        <f>base!X6363</f>
        <v>0</v>
      </c>
      <c r="M6363" s="11">
        <f t="shared" si="994"/>
        <v>0</v>
      </c>
      <c r="N6363" s="11">
        <f t="shared" si="995"/>
        <v>7.9863</v>
      </c>
      <c r="O6363" s="11">
        <f t="shared" si="996"/>
        <v>0.21</v>
      </c>
      <c r="P6363" s="12">
        <f t="shared" si="997"/>
        <v>-7.9863</v>
      </c>
      <c r="Q6363" s="17" t="str">
        <f t="shared" si="999"/>
        <v>Ecart négatif</v>
      </c>
    </row>
    <row r="6364" spans="1:18" x14ac:dyDescent="0.3">
      <c r="A6364" s="34" t="str">
        <f>base!J6364</f>
        <v>RM</v>
      </c>
      <c r="B6364" s="34" t="str">
        <f>base!V6364</f>
        <v>74500</v>
      </c>
      <c r="C6364" s="37">
        <v>74</v>
      </c>
      <c r="D6364" s="36">
        <f>base!H6364</f>
        <v>26</v>
      </c>
      <c r="E6364" s="44"/>
      <c r="F6364" s="16">
        <f>base!W6364</f>
        <v>0</v>
      </c>
      <c r="G6364" s="11">
        <f t="shared" si="990"/>
        <v>0</v>
      </c>
      <c r="H6364" s="11">
        <f t="shared" si="991"/>
        <v>6.76</v>
      </c>
      <c r="I6364" s="11">
        <f t="shared" si="992"/>
        <v>0.26</v>
      </c>
      <c r="J6364" s="12">
        <f t="shared" si="993"/>
        <v>-6.76</v>
      </c>
      <c r="K6364" s="17" t="str">
        <f t="shared" si="998"/>
        <v>Ecart négatif</v>
      </c>
      <c r="L6364" s="16">
        <f>base!X6364</f>
        <v>0</v>
      </c>
      <c r="M6364" s="11">
        <f t="shared" si="994"/>
        <v>0</v>
      </c>
      <c r="N6364" s="11">
        <f t="shared" si="995"/>
        <v>0</v>
      </c>
      <c r="O6364" s="11">
        <f t="shared" si="996"/>
        <v>0</v>
      </c>
      <c r="P6364" s="12">
        <f t="shared" si="997"/>
        <v>0</v>
      </c>
      <c r="Q6364" s="17" t="str">
        <f t="shared" si="999"/>
        <v>Pas d'écart</v>
      </c>
    </row>
    <row r="6365" spans="1:18" x14ac:dyDescent="0.3">
      <c r="A6365" s="34" t="str">
        <f>base!J6365</f>
        <v>LS</v>
      </c>
      <c r="B6365" s="34" t="str">
        <f>base!V6365</f>
        <v>62000</v>
      </c>
      <c r="C6365" s="37">
        <v>83</v>
      </c>
      <c r="D6365" s="36">
        <f>base!H6365</f>
        <v>196.4</v>
      </c>
      <c r="E6365" s="44"/>
      <c r="F6365" s="16">
        <f>base!W6365</f>
        <v>37.32</v>
      </c>
      <c r="G6365" s="11">
        <f t="shared" si="990"/>
        <v>0.190020366598778</v>
      </c>
      <c r="H6365" s="11">
        <f t="shared" si="991"/>
        <v>58.92</v>
      </c>
      <c r="I6365" s="11">
        <f t="shared" si="992"/>
        <v>0.3</v>
      </c>
      <c r="J6365" s="12">
        <f t="shared" si="993"/>
        <v>-21.6</v>
      </c>
      <c r="K6365" s="17" t="str">
        <f t="shared" si="998"/>
        <v>Ecart négatif</v>
      </c>
      <c r="L6365" s="16">
        <f>base!X6365</f>
        <v>0</v>
      </c>
      <c r="M6365" s="11">
        <f t="shared" si="994"/>
        <v>0</v>
      </c>
      <c r="N6365" s="11">
        <f t="shared" si="995"/>
        <v>41.244</v>
      </c>
      <c r="O6365" s="11">
        <f t="shared" si="996"/>
        <v>0.21</v>
      </c>
      <c r="P6365" s="12">
        <f t="shared" si="997"/>
        <v>-41.244</v>
      </c>
      <c r="Q6365" s="17" t="str">
        <f t="shared" si="999"/>
        <v>Ecart négatif</v>
      </c>
    </row>
    <row r="6366" spans="1:18" x14ac:dyDescent="0.3">
      <c r="A6366" s="34" t="str">
        <f>base!J6366</f>
        <v>RM</v>
      </c>
      <c r="B6366" s="34" t="str">
        <f>base!V6366</f>
        <v>98000</v>
      </c>
      <c r="C6366" s="37">
        <v>98</v>
      </c>
      <c r="D6366" s="36">
        <f>base!H6366</f>
        <v>164.02</v>
      </c>
      <c r="E6366" s="44"/>
      <c r="F6366" s="16">
        <f>base!W6366</f>
        <v>0</v>
      </c>
      <c r="G6366" s="11">
        <f t="shared" si="990"/>
        <v>0</v>
      </c>
      <c r="H6366" s="11">
        <f t="shared" si="991"/>
        <v>44.285400000000003</v>
      </c>
      <c r="I6366" s="11">
        <f t="shared" si="992"/>
        <v>0.27</v>
      </c>
      <c r="J6366" s="12">
        <f t="shared" si="993"/>
        <v>-44.285400000000003</v>
      </c>
      <c r="K6366" s="17" t="str">
        <f t="shared" si="998"/>
        <v>Ecart négatif</v>
      </c>
      <c r="L6366" s="16">
        <f>base!X6366</f>
        <v>0</v>
      </c>
      <c r="M6366" s="11">
        <f t="shared" si="994"/>
        <v>0</v>
      </c>
      <c r="N6366" s="11">
        <f t="shared" si="995"/>
        <v>34.444200000000002</v>
      </c>
      <c r="O6366" s="11">
        <f t="shared" si="996"/>
        <v>0.21</v>
      </c>
      <c r="P6366" s="12">
        <f t="shared" si="997"/>
        <v>-34.444200000000002</v>
      </c>
      <c r="Q6366" s="17" t="str">
        <f t="shared" si="999"/>
        <v>Ecart négatif</v>
      </c>
    </row>
    <row r="6367" spans="1:18" x14ac:dyDescent="0.3">
      <c r="A6367" s="34" t="str">
        <f>base!J6367</f>
        <v>RM</v>
      </c>
      <c r="B6367" s="34" t="str">
        <f>base!V6367</f>
        <v>54000</v>
      </c>
      <c r="C6367" s="37">
        <v>54</v>
      </c>
      <c r="D6367" s="36">
        <f>base!H6367</f>
        <v>75.5</v>
      </c>
      <c r="E6367" s="44"/>
      <c r="F6367" s="16">
        <f>base!W6367</f>
        <v>0</v>
      </c>
      <c r="G6367" s="11">
        <f t="shared" si="990"/>
        <v>0</v>
      </c>
      <c r="H6367" s="11">
        <f t="shared" si="991"/>
        <v>18.875</v>
      </c>
      <c r="I6367" s="11">
        <f t="shared" si="992"/>
        <v>0.25</v>
      </c>
      <c r="J6367" s="12">
        <f t="shared" si="993"/>
        <v>-18.875</v>
      </c>
      <c r="K6367" s="17" t="str">
        <f t="shared" si="998"/>
        <v>Ecart négatif</v>
      </c>
      <c r="L6367" s="16">
        <f>base!X6367</f>
        <v>18.88</v>
      </c>
      <c r="M6367" s="11">
        <f t="shared" si="994"/>
        <v>0.25006622516556293</v>
      </c>
      <c r="N6367" s="11">
        <f t="shared" si="995"/>
        <v>18.875</v>
      </c>
      <c r="O6367" s="11">
        <f t="shared" si="996"/>
        <v>0.25</v>
      </c>
      <c r="P6367" s="12">
        <f t="shared" si="997"/>
        <v>4.9999999999990052E-3</v>
      </c>
      <c r="Q6367" s="17" t="str">
        <f t="shared" si="999"/>
        <v>Ecart positif</v>
      </c>
      <c r="R6367" s="38"/>
    </row>
    <row r="6368" spans="1:18" x14ac:dyDescent="0.3">
      <c r="A6368" s="34" t="str">
        <f>base!J6368</f>
        <v>RM</v>
      </c>
      <c r="B6368" s="34" t="str">
        <f>base!V6368</f>
        <v>85700</v>
      </c>
      <c r="C6368" s="37">
        <v>85</v>
      </c>
      <c r="D6368" s="36">
        <f>base!H6368</f>
        <v>34</v>
      </c>
      <c r="E6368" s="44"/>
      <c r="F6368" s="16">
        <f>base!W6368</f>
        <v>0</v>
      </c>
      <c r="G6368" s="11">
        <f t="shared" si="990"/>
        <v>0</v>
      </c>
      <c r="H6368" s="11">
        <f t="shared" si="991"/>
        <v>9.18</v>
      </c>
      <c r="I6368" s="11">
        <f t="shared" si="992"/>
        <v>0.27</v>
      </c>
      <c r="J6368" s="12">
        <f t="shared" si="993"/>
        <v>-9.18</v>
      </c>
      <c r="K6368" s="17" t="str">
        <f t="shared" si="998"/>
        <v>Ecart négatif</v>
      </c>
      <c r="L6368" s="16">
        <f>base!X6368</f>
        <v>0</v>
      </c>
      <c r="M6368" s="11">
        <f t="shared" si="994"/>
        <v>0</v>
      </c>
      <c r="N6368" s="11">
        <f t="shared" si="995"/>
        <v>0</v>
      </c>
      <c r="O6368" s="11">
        <f t="shared" si="996"/>
        <v>0</v>
      </c>
      <c r="P6368" s="12">
        <f t="shared" si="997"/>
        <v>0</v>
      </c>
      <c r="Q6368" s="17" t="str">
        <f t="shared" si="999"/>
        <v>Pas d'écart</v>
      </c>
    </row>
    <row r="6369" spans="1:18" x14ac:dyDescent="0.3">
      <c r="A6369" s="34" t="str">
        <f>base!J6369</f>
        <v>RM</v>
      </c>
      <c r="B6369" s="34" t="str">
        <f>base!V6369</f>
        <v>70000</v>
      </c>
      <c r="C6369" s="37">
        <v>70</v>
      </c>
      <c r="D6369" s="36">
        <f>base!H6369</f>
        <v>22.5</v>
      </c>
      <c r="E6369" s="44"/>
      <c r="F6369" s="16">
        <f>base!W6369</f>
        <v>0</v>
      </c>
      <c r="G6369" s="11">
        <f t="shared" si="990"/>
        <v>0</v>
      </c>
      <c r="H6369" s="11">
        <f t="shared" si="991"/>
        <v>5.3999999999999995</v>
      </c>
      <c r="I6369" s="11">
        <f t="shared" si="992"/>
        <v>0.23999999999999996</v>
      </c>
      <c r="J6369" s="12">
        <f t="shared" si="993"/>
        <v>-5.3999999999999995</v>
      </c>
      <c r="K6369" s="17" t="str">
        <f t="shared" si="998"/>
        <v>Ecart négatif</v>
      </c>
      <c r="L6369" s="16">
        <f>base!X6369</f>
        <v>0</v>
      </c>
      <c r="M6369" s="11">
        <f t="shared" si="994"/>
        <v>0</v>
      </c>
      <c r="N6369" s="11">
        <f t="shared" si="995"/>
        <v>2.6999999999999997</v>
      </c>
      <c r="O6369" s="11">
        <f t="shared" si="996"/>
        <v>0.11999999999999998</v>
      </c>
      <c r="P6369" s="12">
        <f t="shared" si="997"/>
        <v>-2.6999999999999997</v>
      </c>
      <c r="Q6369" s="17" t="str">
        <f t="shared" si="999"/>
        <v>Ecart négatif</v>
      </c>
    </row>
    <row r="6370" spans="1:18" x14ac:dyDescent="0.3">
      <c r="A6370" s="34" t="str">
        <f>base!J6370</f>
        <v>RM</v>
      </c>
      <c r="B6370" s="34" t="str">
        <f>base!V6370</f>
        <v>45120</v>
      </c>
      <c r="C6370" s="37">
        <v>45</v>
      </c>
      <c r="D6370" s="36">
        <f>base!H6370</f>
        <v>140</v>
      </c>
      <c r="E6370" s="44"/>
      <c r="F6370" s="16">
        <f>base!W6370</f>
        <v>0</v>
      </c>
      <c r="G6370" s="11">
        <f t="shared" si="990"/>
        <v>0</v>
      </c>
      <c r="H6370" s="11">
        <f t="shared" si="991"/>
        <v>29.4</v>
      </c>
      <c r="I6370" s="11">
        <f t="shared" si="992"/>
        <v>0.21</v>
      </c>
      <c r="J6370" s="12">
        <f t="shared" si="993"/>
        <v>-29.4</v>
      </c>
      <c r="K6370" s="17" t="str">
        <f t="shared" si="998"/>
        <v>Ecart négatif</v>
      </c>
      <c r="L6370" s="16">
        <f>base!X6370</f>
        <v>54.6</v>
      </c>
      <c r="M6370" s="11">
        <f t="shared" si="994"/>
        <v>0.39</v>
      </c>
      <c r="N6370" s="11">
        <f t="shared" si="995"/>
        <v>16.8</v>
      </c>
      <c r="O6370" s="11">
        <f t="shared" si="996"/>
        <v>0.12000000000000001</v>
      </c>
      <c r="P6370" s="12">
        <f t="shared" si="997"/>
        <v>37.799999999999997</v>
      </c>
      <c r="Q6370" s="17" t="str">
        <f t="shared" si="999"/>
        <v>Ecart positif</v>
      </c>
      <c r="R6370" s="38"/>
    </row>
    <row r="6371" spans="1:18" x14ac:dyDescent="0.3">
      <c r="A6371" s="34" t="str">
        <f>base!J6371</f>
        <v>RM</v>
      </c>
      <c r="B6371" s="34" t="str">
        <f>base!V6371</f>
        <v>72310</v>
      </c>
      <c r="C6371" s="37">
        <v>72</v>
      </c>
      <c r="D6371" s="36">
        <f>base!H6371</f>
        <v>29.4</v>
      </c>
      <c r="E6371" s="44"/>
      <c r="F6371" s="16">
        <f>base!W6371</f>
        <v>0</v>
      </c>
      <c r="G6371" s="11">
        <f t="shared" si="990"/>
        <v>0</v>
      </c>
      <c r="H6371" s="11">
        <f t="shared" si="991"/>
        <v>6.1739999999999995</v>
      </c>
      <c r="I6371" s="11">
        <f t="shared" si="992"/>
        <v>0.21</v>
      </c>
      <c r="J6371" s="12">
        <f t="shared" si="993"/>
        <v>-6.1739999999999995</v>
      </c>
      <c r="K6371" s="17" t="str">
        <f t="shared" si="998"/>
        <v>Ecart négatif</v>
      </c>
      <c r="L6371" s="16">
        <f>base!X6371</f>
        <v>0</v>
      </c>
      <c r="M6371" s="11">
        <f t="shared" si="994"/>
        <v>0</v>
      </c>
      <c r="N6371" s="11">
        <f t="shared" si="995"/>
        <v>3.5279999999999996</v>
      </c>
      <c r="O6371" s="11">
        <f t="shared" si="996"/>
        <v>0.12</v>
      </c>
      <c r="P6371" s="12">
        <f t="shared" si="997"/>
        <v>-3.5279999999999996</v>
      </c>
      <c r="Q6371" s="17" t="str">
        <f t="shared" si="999"/>
        <v>Ecart négatif</v>
      </c>
    </row>
    <row r="6372" spans="1:18" x14ac:dyDescent="0.3">
      <c r="A6372" s="34" t="str">
        <f>base!J6372</f>
        <v>RM</v>
      </c>
      <c r="B6372" s="34" t="str">
        <f>base!V6372</f>
        <v>79000</v>
      </c>
      <c r="C6372" s="37">
        <v>79</v>
      </c>
      <c r="D6372" s="36">
        <f>base!H6372</f>
        <v>114.37</v>
      </c>
      <c r="E6372" s="44"/>
      <c r="F6372" s="16">
        <f>base!W6372</f>
        <v>0</v>
      </c>
      <c r="G6372" s="11">
        <f t="shared" si="990"/>
        <v>0</v>
      </c>
      <c r="H6372" s="11">
        <f t="shared" si="991"/>
        <v>24.017700000000001</v>
      </c>
      <c r="I6372" s="11">
        <f t="shared" si="992"/>
        <v>0.21</v>
      </c>
      <c r="J6372" s="12">
        <f t="shared" si="993"/>
        <v>-24.017700000000001</v>
      </c>
      <c r="K6372" s="17" t="str">
        <f t="shared" si="998"/>
        <v>Ecart négatif</v>
      </c>
      <c r="L6372" s="16">
        <f>base!X6372</f>
        <v>0</v>
      </c>
      <c r="M6372" s="11">
        <f t="shared" si="994"/>
        <v>0</v>
      </c>
      <c r="N6372" s="11">
        <f t="shared" si="995"/>
        <v>13.724399999999999</v>
      </c>
      <c r="O6372" s="11">
        <f t="shared" si="996"/>
        <v>0.12</v>
      </c>
      <c r="P6372" s="12">
        <f t="shared" si="997"/>
        <v>-13.724399999999999</v>
      </c>
      <c r="Q6372" s="17" t="str">
        <f t="shared" si="999"/>
        <v>Ecart négatif</v>
      </c>
    </row>
    <row r="6373" spans="1:18" x14ac:dyDescent="0.3">
      <c r="A6373" s="34" t="str">
        <f>base!J6373</f>
        <v>LM</v>
      </c>
      <c r="B6373" s="34" t="str">
        <f>base!V6373</f>
        <v>92000</v>
      </c>
      <c r="C6373" s="37">
        <v>92</v>
      </c>
      <c r="D6373" s="36">
        <f>base!H6373</f>
        <v>50.84</v>
      </c>
      <c r="E6373" s="44"/>
      <c r="F6373" s="16">
        <f>base!W6373</f>
        <v>0</v>
      </c>
      <c r="G6373" s="11">
        <f t="shared" si="990"/>
        <v>0</v>
      </c>
      <c r="H6373" s="11">
        <f t="shared" si="991"/>
        <v>0</v>
      </c>
      <c r="I6373" s="11">
        <f t="shared" si="992"/>
        <v>0</v>
      </c>
      <c r="J6373" s="12">
        <f t="shared" si="993"/>
        <v>0</v>
      </c>
      <c r="K6373" s="17" t="str">
        <f t="shared" si="998"/>
        <v>Pas d'écart</v>
      </c>
      <c r="L6373" s="16">
        <f>base!X6373</f>
        <v>0</v>
      </c>
      <c r="M6373" s="11">
        <f t="shared" si="994"/>
        <v>0</v>
      </c>
      <c r="N6373" s="11">
        <f t="shared" si="995"/>
        <v>0</v>
      </c>
      <c r="O6373" s="11">
        <f t="shared" si="996"/>
        <v>0</v>
      </c>
      <c r="P6373" s="12">
        <f t="shared" si="997"/>
        <v>0</v>
      </c>
      <c r="Q6373" s="17" t="str">
        <f t="shared" si="999"/>
        <v>Pas d'écart</v>
      </c>
    </row>
    <row r="6374" spans="1:18" x14ac:dyDescent="0.3">
      <c r="A6374" s="34" t="str">
        <f>base!J6374</f>
        <v>DLM</v>
      </c>
      <c r="B6374" s="34" t="str">
        <f>base!V6374</f>
        <v>69003</v>
      </c>
      <c r="C6374" s="37">
        <v>69</v>
      </c>
      <c r="D6374" s="36">
        <f>base!H6374</f>
        <v>52.5</v>
      </c>
      <c r="E6374" s="44"/>
      <c r="F6374" s="16">
        <f>base!W6374</f>
        <v>0</v>
      </c>
      <c r="G6374" s="11">
        <f t="shared" si="990"/>
        <v>0</v>
      </c>
      <c r="H6374" s="11">
        <f t="shared" si="991"/>
        <v>14.175000000000001</v>
      </c>
      <c r="I6374" s="11">
        <f t="shared" si="992"/>
        <v>0.27</v>
      </c>
      <c r="J6374" s="12">
        <f t="shared" si="993"/>
        <v>-14.175000000000001</v>
      </c>
      <c r="K6374" s="17" t="str">
        <f t="shared" si="998"/>
        <v>Ecart négatif</v>
      </c>
      <c r="L6374" s="16">
        <f>base!X6374</f>
        <v>0</v>
      </c>
      <c r="M6374" s="11">
        <f t="shared" si="994"/>
        <v>0</v>
      </c>
      <c r="N6374" s="11">
        <f t="shared" si="995"/>
        <v>0</v>
      </c>
      <c r="O6374" s="11">
        <f t="shared" si="996"/>
        <v>0</v>
      </c>
      <c r="P6374" s="12">
        <f t="shared" si="997"/>
        <v>0</v>
      </c>
      <c r="Q6374" s="17" t="str">
        <f t="shared" si="999"/>
        <v>Pas d'écart</v>
      </c>
    </row>
    <row r="6375" spans="1:18" x14ac:dyDescent="0.3">
      <c r="A6375" s="34" t="str">
        <f>base!J6375</f>
        <v>DLM</v>
      </c>
      <c r="B6375" s="34" t="str">
        <f>base!V6375</f>
        <v>38100</v>
      </c>
      <c r="C6375" s="37">
        <v>38</v>
      </c>
      <c r="D6375" s="36">
        <f>base!H6375</f>
        <v>52.5</v>
      </c>
      <c r="E6375" s="44"/>
      <c r="F6375" s="16">
        <f>base!W6375</f>
        <v>14.18</v>
      </c>
      <c r="G6375" s="11">
        <f t="shared" si="990"/>
        <v>0.27009523809523811</v>
      </c>
      <c r="H6375" s="11">
        <f t="shared" si="991"/>
        <v>14.175000000000001</v>
      </c>
      <c r="I6375" s="11">
        <f t="shared" si="992"/>
        <v>0.27</v>
      </c>
      <c r="J6375" s="12">
        <f t="shared" si="993"/>
        <v>4.9999999999990052E-3</v>
      </c>
      <c r="K6375" s="17" t="str">
        <f t="shared" si="998"/>
        <v>Ecart positif</v>
      </c>
      <c r="L6375" s="16">
        <f>base!X6375</f>
        <v>0</v>
      </c>
      <c r="M6375" s="11">
        <f t="shared" si="994"/>
        <v>0</v>
      </c>
      <c r="N6375" s="11">
        <f t="shared" si="995"/>
        <v>0</v>
      </c>
      <c r="O6375" s="11">
        <f t="shared" si="996"/>
        <v>0</v>
      </c>
      <c r="P6375" s="12">
        <f t="shared" si="997"/>
        <v>0</v>
      </c>
      <c r="Q6375" s="17" t="str">
        <f t="shared" si="999"/>
        <v>Pas d'écart</v>
      </c>
    </row>
    <row r="6376" spans="1:18" x14ac:dyDescent="0.3">
      <c r="A6376" s="34" t="str">
        <f>base!J6376</f>
        <v>DLM</v>
      </c>
      <c r="B6376" s="34" t="str">
        <f>base!V6376</f>
        <v>91130</v>
      </c>
      <c r="C6376" s="37">
        <v>91</v>
      </c>
      <c r="D6376" s="36">
        <f>base!H6376</f>
        <v>52.5</v>
      </c>
      <c r="E6376" s="44"/>
      <c r="F6376" s="16">
        <f>base!W6376</f>
        <v>0</v>
      </c>
      <c r="G6376" s="11">
        <f t="shared" si="990"/>
        <v>0</v>
      </c>
      <c r="H6376" s="11">
        <f t="shared" si="991"/>
        <v>0</v>
      </c>
      <c r="I6376" s="11">
        <f t="shared" si="992"/>
        <v>0</v>
      </c>
      <c r="J6376" s="12">
        <f t="shared" si="993"/>
        <v>0</v>
      </c>
      <c r="K6376" s="17" t="str">
        <f t="shared" si="998"/>
        <v>Pas d'écart</v>
      </c>
      <c r="L6376" s="16">
        <f>base!X6376</f>
        <v>0</v>
      </c>
      <c r="M6376" s="11">
        <f t="shared" si="994"/>
        <v>0</v>
      </c>
      <c r="N6376" s="11">
        <f t="shared" si="995"/>
        <v>0</v>
      </c>
      <c r="O6376" s="11">
        <f t="shared" si="996"/>
        <v>0</v>
      </c>
      <c r="P6376" s="12">
        <f t="shared" si="997"/>
        <v>0</v>
      </c>
      <c r="Q6376" s="17" t="str">
        <f t="shared" si="999"/>
        <v>Pas d'écart</v>
      </c>
    </row>
    <row r="6377" spans="1:18" x14ac:dyDescent="0.3">
      <c r="A6377" s="34" t="str">
        <f>base!J6377</f>
        <v>DLM</v>
      </c>
      <c r="B6377" s="34" t="str">
        <f>base!V6377</f>
        <v>26000</v>
      </c>
      <c r="C6377" s="37">
        <v>26</v>
      </c>
      <c r="D6377" s="36">
        <f>base!H6377</f>
        <v>52.5</v>
      </c>
      <c r="E6377" s="44"/>
      <c r="F6377" s="16">
        <f>base!W6377</f>
        <v>0</v>
      </c>
      <c r="G6377" s="11">
        <f t="shared" si="990"/>
        <v>0</v>
      </c>
      <c r="H6377" s="11">
        <f t="shared" si="991"/>
        <v>14.175000000000001</v>
      </c>
      <c r="I6377" s="11">
        <f t="shared" si="992"/>
        <v>0.27</v>
      </c>
      <c r="J6377" s="12">
        <f t="shared" si="993"/>
        <v>-14.175000000000001</v>
      </c>
      <c r="K6377" s="17" t="str">
        <f t="shared" si="998"/>
        <v>Ecart négatif</v>
      </c>
      <c r="L6377" s="16">
        <f>base!X6377</f>
        <v>0</v>
      </c>
      <c r="M6377" s="11">
        <f t="shared" si="994"/>
        <v>0</v>
      </c>
      <c r="N6377" s="11">
        <f t="shared" si="995"/>
        <v>0</v>
      </c>
      <c r="O6377" s="11">
        <f t="shared" si="996"/>
        <v>0</v>
      </c>
      <c r="P6377" s="12">
        <f t="shared" si="997"/>
        <v>0</v>
      </c>
      <c r="Q6377" s="17" t="str">
        <f t="shared" si="999"/>
        <v>Pas d'écart</v>
      </c>
    </row>
    <row r="6378" spans="1:18" x14ac:dyDescent="0.3">
      <c r="A6378" s="34" t="str">
        <f>base!J6378</f>
        <v>RM</v>
      </c>
      <c r="B6378" s="34" t="str">
        <f>base!V6378</f>
        <v>69520</v>
      </c>
      <c r="C6378" s="37">
        <v>69</v>
      </c>
      <c r="D6378" s="36">
        <f>base!H6378</f>
        <v>34.08</v>
      </c>
      <c r="E6378" s="44"/>
      <c r="F6378" s="16">
        <f>base!W6378</f>
        <v>0</v>
      </c>
      <c r="G6378" s="11">
        <f t="shared" si="990"/>
        <v>0</v>
      </c>
      <c r="H6378" s="11">
        <f t="shared" si="991"/>
        <v>9.2016000000000009</v>
      </c>
      <c r="I6378" s="11">
        <f t="shared" si="992"/>
        <v>0.27</v>
      </c>
      <c r="J6378" s="12">
        <f t="shared" si="993"/>
        <v>-9.2016000000000009</v>
      </c>
      <c r="K6378" s="17" t="str">
        <f t="shared" si="998"/>
        <v>Ecart négatif</v>
      </c>
      <c r="L6378" s="16">
        <f>base!X6378</f>
        <v>0</v>
      </c>
      <c r="M6378" s="11">
        <f t="shared" si="994"/>
        <v>0</v>
      </c>
      <c r="N6378" s="11">
        <f t="shared" si="995"/>
        <v>0</v>
      </c>
      <c r="O6378" s="11">
        <f t="shared" si="996"/>
        <v>0</v>
      </c>
      <c r="P6378" s="12">
        <f t="shared" si="997"/>
        <v>0</v>
      </c>
      <c r="Q6378" s="17" t="str">
        <f t="shared" si="999"/>
        <v>Pas d'écart</v>
      </c>
    </row>
    <row r="6379" spans="1:18" x14ac:dyDescent="0.3">
      <c r="A6379" s="34" t="str">
        <f>base!J6379</f>
        <v>RM</v>
      </c>
      <c r="B6379" s="34" t="str">
        <f>base!V6379</f>
        <v>77140</v>
      </c>
      <c r="C6379" s="37">
        <v>77</v>
      </c>
      <c r="D6379" s="36">
        <f>base!H6379</f>
        <v>163</v>
      </c>
      <c r="E6379" s="44"/>
      <c r="F6379" s="16">
        <f>base!W6379</f>
        <v>0</v>
      </c>
      <c r="G6379" s="11">
        <f t="shared" si="990"/>
        <v>0</v>
      </c>
      <c r="H6379" s="11">
        <f t="shared" si="991"/>
        <v>0</v>
      </c>
      <c r="I6379" s="11">
        <f t="shared" si="992"/>
        <v>0</v>
      </c>
      <c r="J6379" s="12">
        <f t="shared" si="993"/>
        <v>0</v>
      </c>
      <c r="K6379" s="17" t="str">
        <f t="shared" si="998"/>
        <v>Pas d'écart</v>
      </c>
      <c r="L6379" s="16">
        <f>base!X6379</f>
        <v>0</v>
      </c>
      <c r="M6379" s="11">
        <f t="shared" si="994"/>
        <v>0</v>
      </c>
      <c r="N6379" s="11">
        <f t="shared" si="995"/>
        <v>0</v>
      </c>
      <c r="O6379" s="11">
        <f t="shared" si="996"/>
        <v>0</v>
      </c>
      <c r="P6379" s="12">
        <f t="shared" si="997"/>
        <v>0</v>
      </c>
      <c r="Q6379" s="17" t="str">
        <f t="shared" si="999"/>
        <v>Pas d'écart</v>
      </c>
    </row>
    <row r="6380" spans="1:18" x14ac:dyDescent="0.3">
      <c r="A6380" s="34" t="str">
        <f>base!J6380</f>
        <v>RM</v>
      </c>
      <c r="B6380" s="34" t="str">
        <f>base!V6380</f>
        <v>77140</v>
      </c>
      <c r="C6380" s="37">
        <v>77</v>
      </c>
      <c r="D6380" s="36">
        <f>base!H6380</f>
        <v>163.98</v>
      </c>
      <c r="E6380" s="44"/>
      <c r="F6380" s="16">
        <f>base!W6380</f>
        <v>0</v>
      </c>
      <c r="G6380" s="11">
        <f t="shared" si="990"/>
        <v>0</v>
      </c>
      <c r="H6380" s="11">
        <f t="shared" si="991"/>
        <v>0</v>
      </c>
      <c r="I6380" s="11">
        <f t="shared" si="992"/>
        <v>0</v>
      </c>
      <c r="J6380" s="12">
        <f t="shared" si="993"/>
        <v>0</v>
      </c>
      <c r="K6380" s="17" t="str">
        <f t="shared" si="998"/>
        <v>Pas d'écart</v>
      </c>
      <c r="L6380" s="16">
        <f>base!X6380</f>
        <v>0</v>
      </c>
      <c r="M6380" s="11">
        <f t="shared" si="994"/>
        <v>0</v>
      </c>
      <c r="N6380" s="11">
        <f t="shared" si="995"/>
        <v>0</v>
      </c>
      <c r="O6380" s="11">
        <f t="shared" si="996"/>
        <v>0</v>
      </c>
      <c r="P6380" s="12">
        <f t="shared" si="997"/>
        <v>0</v>
      </c>
      <c r="Q6380" s="17" t="str">
        <f t="shared" si="999"/>
        <v>Pas d'écart</v>
      </c>
    </row>
    <row r="6381" spans="1:18" x14ac:dyDescent="0.3">
      <c r="A6381" s="34" t="str">
        <f>base!J6381</f>
        <v>RM</v>
      </c>
      <c r="B6381" s="34" t="str">
        <f>base!V6381</f>
        <v>69120</v>
      </c>
      <c r="C6381" s="37">
        <v>69</v>
      </c>
      <c r="D6381" s="36">
        <f>base!H6381</f>
        <v>30</v>
      </c>
      <c r="E6381" s="44"/>
      <c r="F6381" s="16">
        <f>base!W6381</f>
        <v>0</v>
      </c>
      <c r="G6381" s="11">
        <f t="shared" si="990"/>
        <v>0</v>
      </c>
      <c r="H6381" s="11">
        <f t="shared" si="991"/>
        <v>8.1000000000000014</v>
      </c>
      <c r="I6381" s="11">
        <f t="shared" si="992"/>
        <v>0.27000000000000007</v>
      </c>
      <c r="J6381" s="12">
        <f t="shared" si="993"/>
        <v>-8.1000000000000014</v>
      </c>
      <c r="K6381" s="17" t="str">
        <f t="shared" si="998"/>
        <v>Ecart négatif</v>
      </c>
      <c r="L6381" s="16">
        <f>base!X6381</f>
        <v>0</v>
      </c>
      <c r="M6381" s="11">
        <f t="shared" si="994"/>
        <v>0</v>
      </c>
      <c r="N6381" s="11">
        <f t="shared" si="995"/>
        <v>0</v>
      </c>
      <c r="O6381" s="11">
        <f t="shared" si="996"/>
        <v>0</v>
      </c>
      <c r="P6381" s="12">
        <f t="shared" si="997"/>
        <v>0</v>
      </c>
      <c r="Q6381" s="17" t="str">
        <f t="shared" si="999"/>
        <v>Pas d'écart</v>
      </c>
    </row>
    <row r="6382" spans="1:18" x14ac:dyDescent="0.3">
      <c r="A6382" s="34" t="str">
        <f>base!J6382</f>
        <v>RS</v>
      </c>
      <c r="B6382" s="34" t="str">
        <f>base!V6382</f>
        <v>63000</v>
      </c>
      <c r="C6382" s="37">
        <v>63</v>
      </c>
      <c r="D6382" s="36">
        <f>base!H6382</f>
        <v>141.02000000000001</v>
      </c>
      <c r="E6382" s="44"/>
      <c r="F6382" s="16">
        <f>base!W6382</f>
        <v>0</v>
      </c>
      <c r="G6382" s="11">
        <f t="shared" si="990"/>
        <v>0</v>
      </c>
      <c r="H6382" s="11">
        <f t="shared" si="991"/>
        <v>40.895800000000001</v>
      </c>
      <c r="I6382" s="11">
        <f t="shared" si="992"/>
        <v>0.28999999999999998</v>
      </c>
      <c r="J6382" s="12">
        <f t="shared" si="993"/>
        <v>-40.895800000000001</v>
      </c>
      <c r="K6382" s="17" t="str">
        <f t="shared" si="998"/>
        <v>Ecart négatif</v>
      </c>
      <c r="L6382" s="16">
        <f>base!X6382</f>
        <v>16.920000000000002</v>
      </c>
      <c r="M6382" s="11">
        <f t="shared" si="994"/>
        <v>0.11998298113742732</v>
      </c>
      <c r="N6382" s="11">
        <f t="shared" si="995"/>
        <v>16.9224</v>
      </c>
      <c r="O6382" s="11">
        <f t="shared" si="996"/>
        <v>0.12</v>
      </c>
      <c r="P6382" s="12">
        <f t="shared" si="997"/>
        <v>-2.3999999999979593E-3</v>
      </c>
      <c r="Q6382" s="17" t="str">
        <f t="shared" si="999"/>
        <v>Ecart négatif</v>
      </c>
      <c r="R6382" s="38"/>
    </row>
    <row r="6383" spans="1:18" x14ac:dyDescent="0.3">
      <c r="A6383" s="34" t="str">
        <f>base!J6383</f>
        <v>RM</v>
      </c>
      <c r="B6383" s="34" t="str">
        <f>base!V6383</f>
        <v>77170</v>
      </c>
      <c r="C6383" s="37">
        <v>77</v>
      </c>
      <c r="D6383" s="36">
        <f>base!H6383</f>
        <v>151</v>
      </c>
      <c r="E6383" s="44"/>
      <c r="F6383" s="16">
        <f>base!W6383</f>
        <v>0</v>
      </c>
      <c r="G6383" s="11">
        <f t="shared" si="990"/>
        <v>0</v>
      </c>
      <c r="H6383" s="11">
        <f t="shared" si="991"/>
        <v>0</v>
      </c>
      <c r="I6383" s="11">
        <f t="shared" si="992"/>
        <v>0</v>
      </c>
      <c r="J6383" s="12">
        <f t="shared" si="993"/>
        <v>0</v>
      </c>
      <c r="K6383" s="17" t="str">
        <f t="shared" si="998"/>
        <v>Pas d'écart</v>
      </c>
      <c r="L6383" s="16">
        <f>base!X6383</f>
        <v>0</v>
      </c>
      <c r="M6383" s="11">
        <f t="shared" si="994"/>
        <v>0</v>
      </c>
      <c r="N6383" s="11">
        <f t="shared" si="995"/>
        <v>0</v>
      </c>
      <c r="O6383" s="11">
        <f t="shared" si="996"/>
        <v>0</v>
      </c>
      <c r="P6383" s="12">
        <f t="shared" si="997"/>
        <v>0</v>
      </c>
      <c r="Q6383" s="17" t="str">
        <f t="shared" si="999"/>
        <v>Pas d'écart</v>
      </c>
    </row>
    <row r="6384" spans="1:18" x14ac:dyDescent="0.3">
      <c r="A6384" s="34" t="str">
        <f>base!J6384</f>
        <v>RM</v>
      </c>
      <c r="B6384" s="34" t="str">
        <f>base!V6384</f>
        <v>93290</v>
      </c>
      <c r="C6384" s="37">
        <v>93</v>
      </c>
      <c r="D6384" s="36">
        <f>base!H6384</f>
        <v>34.24</v>
      </c>
      <c r="E6384" s="44"/>
      <c r="F6384" s="16">
        <f>base!W6384</f>
        <v>0</v>
      </c>
      <c r="G6384" s="11">
        <f t="shared" si="990"/>
        <v>0</v>
      </c>
      <c r="H6384" s="11">
        <f t="shared" si="991"/>
        <v>0</v>
      </c>
      <c r="I6384" s="11">
        <f t="shared" si="992"/>
        <v>0</v>
      </c>
      <c r="J6384" s="12">
        <f t="shared" si="993"/>
        <v>0</v>
      </c>
      <c r="K6384" s="17" t="str">
        <f t="shared" si="998"/>
        <v>Pas d'écart</v>
      </c>
      <c r="L6384" s="16">
        <f>base!X6384</f>
        <v>0</v>
      </c>
      <c r="M6384" s="11">
        <f t="shared" si="994"/>
        <v>0</v>
      </c>
      <c r="N6384" s="11">
        <f t="shared" si="995"/>
        <v>0</v>
      </c>
      <c r="O6384" s="11">
        <f t="shared" si="996"/>
        <v>0</v>
      </c>
      <c r="P6384" s="12">
        <f t="shared" si="997"/>
        <v>0</v>
      </c>
      <c r="Q6384" s="17" t="str">
        <f t="shared" si="999"/>
        <v>Pas d'écart</v>
      </c>
    </row>
    <row r="6385" spans="1:18" x14ac:dyDescent="0.3">
      <c r="A6385" s="34" t="str">
        <f>base!J6385</f>
        <v>RS</v>
      </c>
      <c r="B6385" s="34" t="str">
        <f>base!V6385</f>
        <v>94120</v>
      </c>
      <c r="C6385" s="37">
        <v>94</v>
      </c>
      <c r="D6385" s="36">
        <f>base!H6385</f>
        <v>151.26</v>
      </c>
      <c r="E6385" s="44"/>
      <c r="F6385" s="16">
        <f>base!W6385</f>
        <v>0</v>
      </c>
      <c r="G6385" s="11">
        <f t="shared" si="990"/>
        <v>0</v>
      </c>
      <c r="H6385" s="11">
        <f t="shared" si="991"/>
        <v>0</v>
      </c>
      <c r="I6385" s="11">
        <f t="shared" si="992"/>
        <v>0</v>
      </c>
      <c r="J6385" s="12">
        <f t="shared" si="993"/>
        <v>0</v>
      </c>
      <c r="K6385" s="17" t="str">
        <f t="shared" si="998"/>
        <v>Pas d'écart</v>
      </c>
      <c r="L6385" s="16">
        <f>base!X6385</f>
        <v>0</v>
      </c>
      <c r="M6385" s="11">
        <f t="shared" si="994"/>
        <v>0</v>
      </c>
      <c r="N6385" s="11">
        <f t="shared" si="995"/>
        <v>0</v>
      </c>
      <c r="O6385" s="11">
        <f t="shared" si="996"/>
        <v>0</v>
      </c>
      <c r="P6385" s="12">
        <f t="shared" si="997"/>
        <v>0</v>
      </c>
      <c r="Q6385" s="17" t="str">
        <f t="shared" si="999"/>
        <v>Pas d'écart</v>
      </c>
    </row>
    <row r="6386" spans="1:18" x14ac:dyDescent="0.3">
      <c r="A6386" s="34" t="str">
        <f>base!J6386</f>
        <v>LM</v>
      </c>
      <c r="B6386" s="34" t="str">
        <f>base!V6386</f>
        <v>38110</v>
      </c>
      <c r="C6386" s="37">
        <v>6</v>
      </c>
      <c r="D6386" s="36">
        <f>base!H6386</f>
        <v>19.649999999999999</v>
      </c>
      <c r="E6386" s="44"/>
      <c r="F6386" s="16">
        <f>base!W6386</f>
        <v>5.31</v>
      </c>
      <c r="G6386" s="11">
        <f t="shared" si="990"/>
        <v>0.27022900763358776</v>
      </c>
      <c r="H6386" s="11">
        <f t="shared" si="991"/>
        <v>5.8949999999999996</v>
      </c>
      <c r="I6386" s="11">
        <f t="shared" si="992"/>
        <v>0.3</v>
      </c>
      <c r="J6386" s="12">
        <f t="shared" si="993"/>
        <v>-0.58499999999999996</v>
      </c>
      <c r="K6386" s="17" t="str">
        <f t="shared" si="998"/>
        <v>Ecart négatif</v>
      </c>
      <c r="L6386" s="16">
        <f>base!X6386</f>
        <v>0</v>
      </c>
      <c r="M6386" s="11">
        <f t="shared" si="994"/>
        <v>0</v>
      </c>
      <c r="N6386" s="11">
        <f t="shared" si="995"/>
        <v>4.1264999999999992</v>
      </c>
      <c r="O6386" s="11">
        <f t="shared" si="996"/>
        <v>0.20999999999999996</v>
      </c>
      <c r="P6386" s="12">
        <f t="shared" si="997"/>
        <v>-4.1264999999999992</v>
      </c>
      <c r="Q6386" s="17" t="str">
        <f t="shared" si="999"/>
        <v>Ecart négatif</v>
      </c>
    </row>
    <row r="6387" spans="1:18" x14ac:dyDescent="0.3">
      <c r="A6387" s="34">
        <f>base!J6387</f>
        <v>0</v>
      </c>
      <c r="B6387" s="34" t="str">
        <f>base!V6387</f>
        <v>77184</v>
      </c>
      <c r="C6387" s="37">
        <v>77</v>
      </c>
      <c r="D6387" s="36">
        <f>base!H6387</f>
        <v>180</v>
      </c>
      <c r="E6387" s="44"/>
      <c r="F6387" s="16">
        <f>base!W6387</f>
        <v>0</v>
      </c>
      <c r="G6387" s="11">
        <f t="shared" si="990"/>
        <v>0</v>
      </c>
      <c r="H6387" s="11">
        <f t="shared" si="991"/>
        <v>0</v>
      </c>
      <c r="I6387" s="11">
        <f t="shared" si="992"/>
        <v>0</v>
      </c>
      <c r="J6387" s="12">
        <f t="shared" si="993"/>
        <v>0</v>
      </c>
      <c r="K6387" s="17" t="str">
        <f t="shared" si="998"/>
        <v>Pas d'écart</v>
      </c>
      <c r="L6387" s="16">
        <f>base!X6387</f>
        <v>0</v>
      </c>
      <c r="M6387" s="11">
        <f t="shared" si="994"/>
        <v>0</v>
      </c>
      <c r="N6387" s="11">
        <f t="shared" si="995"/>
        <v>0</v>
      </c>
      <c r="O6387" s="11">
        <f t="shared" si="996"/>
        <v>0</v>
      </c>
      <c r="P6387" s="12">
        <f t="shared" si="997"/>
        <v>0</v>
      </c>
      <c r="Q6387" s="17" t="str">
        <f t="shared" si="999"/>
        <v>Pas d'écart</v>
      </c>
    </row>
    <row r="6388" spans="1:18" x14ac:dyDescent="0.3">
      <c r="A6388" s="34" t="str">
        <f>base!J6388</f>
        <v>RS</v>
      </c>
      <c r="B6388" s="34" t="str">
        <f>base!V6388</f>
        <v>44240</v>
      </c>
      <c r="C6388" s="37">
        <v>44</v>
      </c>
      <c r="D6388" s="36">
        <f>base!H6388</f>
        <v>171.33</v>
      </c>
      <c r="E6388" s="44"/>
      <c r="F6388" s="16">
        <f>base!W6388</f>
        <v>0</v>
      </c>
      <c r="G6388" s="11">
        <f t="shared" si="990"/>
        <v>0</v>
      </c>
      <c r="H6388" s="11">
        <f t="shared" si="991"/>
        <v>46.259100000000004</v>
      </c>
      <c r="I6388" s="11">
        <f t="shared" si="992"/>
        <v>0.27</v>
      </c>
      <c r="J6388" s="12">
        <f t="shared" si="993"/>
        <v>-46.259100000000004</v>
      </c>
      <c r="K6388" s="17" t="str">
        <f t="shared" si="998"/>
        <v>Ecart négatif</v>
      </c>
      <c r="L6388" s="16">
        <f>base!X6388</f>
        <v>46.26</v>
      </c>
      <c r="M6388" s="11">
        <f t="shared" si="994"/>
        <v>0.27000525302048672</v>
      </c>
      <c r="N6388" s="11">
        <f t="shared" si="995"/>
        <v>0</v>
      </c>
      <c r="O6388" s="11">
        <f t="shared" si="996"/>
        <v>0</v>
      </c>
      <c r="P6388" s="12">
        <f t="shared" si="997"/>
        <v>46.26</v>
      </c>
      <c r="Q6388" s="17" t="str">
        <f t="shared" si="999"/>
        <v>Ecart positif</v>
      </c>
      <c r="R6388" s="38"/>
    </row>
    <row r="6389" spans="1:18" x14ac:dyDescent="0.3">
      <c r="A6389" s="34" t="str">
        <f>base!J6389</f>
        <v>LM</v>
      </c>
      <c r="B6389" s="34" t="str">
        <f>base!V6389</f>
        <v>16380</v>
      </c>
      <c r="C6389" s="37">
        <v>6</v>
      </c>
      <c r="D6389" s="36">
        <f>base!H6389</f>
        <v>136.72</v>
      </c>
      <c r="E6389" s="44"/>
      <c r="F6389" s="16">
        <f>base!W6389</f>
        <v>28.71</v>
      </c>
      <c r="G6389" s="11">
        <f t="shared" si="990"/>
        <v>0.20999122293739028</v>
      </c>
      <c r="H6389" s="11">
        <f t="shared" si="991"/>
        <v>41.015999999999998</v>
      </c>
      <c r="I6389" s="11">
        <f t="shared" si="992"/>
        <v>0.3</v>
      </c>
      <c r="J6389" s="12">
        <f t="shared" si="993"/>
        <v>-12.305999999999997</v>
      </c>
      <c r="K6389" s="17" t="str">
        <f t="shared" si="998"/>
        <v>Ecart négatif</v>
      </c>
      <c r="L6389" s="16">
        <f>base!X6389</f>
        <v>0</v>
      </c>
      <c r="M6389" s="11">
        <f t="shared" si="994"/>
        <v>0</v>
      </c>
      <c r="N6389" s="11">
        <f t="shared" si="995"/>
        <v>28.711199999999998</v>
      </c>
      <c r="O6389" s="11">
        <f t="shared" si="996"/>
        <v>0.21</v>
      </c>
      <c r="P6389" s="12">
        <f t="shared" si="997"/>
        <v>-28.711199999999998</v>
      </c>
      <c r="Q6389" s="17" t="str">
        <f t="shared" si="999"/>
        <v>Ecart négatif</v>
      </c>
    </row>
    <row r="6390" spans="1:18" x14ac:dyDescent="0.3">
      <c r="A6390" s="34" t="str">
        <f>base!J6390</f>
        <v>LM</v>
      </c>
      <c r="B6390" s="34" t="str">
        <f>base!V6390</f>
        <v>16380</v>
      </c>
      <c r="C6390" s="37">
        <v>67</v>
      </c>
      <c r="D6390" s="36">
        <f>base!H6390</f>
        <v>184.19</v>
      </c>
      <c r="E6390" s="44"/>
      <c r="F6390" s="16">
        <f>base!W6390</f>
        <v>38.68</v>
      </c>
      <c r="G6390" s="11">
        <f t="shared" si="990"/>
        <v>0.21000054291763939</v>
      </c>
      <c r="H6390" s="11">
        <f t="shared" si="991"/>
        <v>53.415099999999995</v>
      </c>
      <c r="I6390" s="11">
        <f t="shared" si="992"/>
        <v>0.28999999999999998</v>
      </c>
      <c r="J6390" s="12">
        <f t="shared" si="993"/>
        <v>-14.735099999999996</v>
      </c>
      <c r="K6390" s="17" t="str">
        <f t="shared" si="998"/>
        <v>Ecart négatif</v>
      </c>
      <c r="L6390" s="16">
        <f>base!X6390</f>
        <v>0</v>
      </c>
      <c r="M6390" s="11">
        <f t="shared" si="994"/>
        <v>0</v>
      </c>
      <c r="N6390" s="11">
        <f t="shared" si="995"/>
        <v>14.735200000000001</v>
      </c>
      <c r="O6390" s="11">
        <f t="shared" si="996"/>
        <v>0.08</v>
      </c>
      <c r="P6390" s="12">
        <f t="shared" si="997"/>
        <v>-14.735200000000001</v>
      </c>
      <c r="Q6390" s="17" t="str">
        <f t="shared" si="999"/>
        <v>Ecart négatif</v>
      </c>
    </row>
    <row r="6391" spans="1:18" x14ac:dyDescent="0.3">
      <c r="A6391" s="34" t="str">
        <f>base!J6391</f>
        <v>LS</v>
      </c>
      <c r="B6391" s="34" t="str">
        <f>base!V6391</f>
        <v>35131</v>
      </c>
      <c r="C6391" s="37">
        <v>67</v>
      </c>
      <c r="D6391" s="36">
        <f>base!H6391</f>
        <v>126.65</v>
      </c>
      <c r="E6391" s="44"/>
      <c r="F6391" s="16">
        <f>base!W6391</f>
        <v>34.200000000000003</v>
      </c>
      <c r="G6391" s="11">
        <f t="shared" si="990"/>
        <v>0.27003553099091987</v>
      </c>
      <c r="H6391" s="11">
        <f t="shared" si="991"/>
        <v>36.728499999999997</v>
      </c>
      <c r="I6391" s="11">
        <f t="shared" si="992"/>
        <v>0.28999999999999998</v>
      </c>
      <c r="J6391" s="12">
        <f t="shared" si="993"/>
        <v>-2.528499999999994</v>
      </c>
      <c r="K6391" s="17" t="str">
        <f t="shared" si="998"/>
        <v>Ecart négatif</v>
      </c>
      <c r="L6391" s="16">
        <f>base!X6391</f>
        <v>0</v>
      </c>
      <c r="M6391" s="11">
        <f t="shared" si="994"/>
        <v>0</v>
      </c>
      <c r="N6391" s="11">
        <f t="shared" si="995"/>
        <v>10.132000000000001</v>
      </c>
      <c r="O6391" s="11">
        <f t="shared" si="996"/>
        <v>0.08</v>
      </c>
      <c r="P6391" s="12">
        <f t="shared" si="997"/>
        <v>-10.132000000000001</v>
      </c>
      <c r="Q6391" s="17" t="str">
        <f t="shared" si="999"/>
        <v>Ecart négatif</v>
      </c>
    </row>
    <row r="6392" spans="1:18" x14ac:dyDescent="0.3">
      <c r="A6392" s="34" t="str">
        <f>base!J6392</f>
        <v>LM</v>
      </c>
      <c r="B6392" s="34" t="str">
        <f>base!V6392</f>
        <v>44000</v>
      </c>
      <c r="C6392" s="37">
        <v>67</v>
      </c>
      <c r="D6392" s="36">
        <f>base!H6392</f>
        <v>154.38999999999999</v>
      </c>
      <c r="E6392" s="44"/>
      <c r="F6392" s="16">
        <f>base!W6392</f>
        <v>41.69</v>
      </c>
      <c r="G6392" s="11">
        <f t="shared" si="990"/>
        <v>0.27003044238616492</v>
      </c>
      <c r="H6392" s="11">
        <f t="shared" si="991"/>
        <v>44.773099999999992</v>
      </c>
      <c r="I6392" s="11">
        <f t="shared" si="992"/>
        <v>0.28999999999999998</v>
      </c>
      <c r="J6392" s="12">
        <f t="shared" si="993"/>
        <v>-3.0830999999999946</v>
      </c>
      <c r="K6392" s="17" t="str">
        <f t="shared" si="998"/>
        <v>Ecart négatif</v>
      </c>
      <c r="L6392" s="16">
        <f>base!X6392</f>
        <v>0</v>
      </c>
      <c r="M6392" s="11">
        <f t="shared" si="994"/>
        <v>0</v>
      </c>
      <c r="N6392" s="11">
        <f t="shared" si="995"/>
        <v>12.351199999999999</v>
      </c>
      <c r="O6392" s="11">
        <f t="shared" si="996"/>
        <v>0.08</v>
      </c>
      <c r="P6392" s="12">
        <f t="shared" si="997"/>
        <v>-12.351199999999999</v>
      </c>
      <c r="Q6392" s="17" t="str">
        <f t="shared" si="999"/>
        <v>Ecart négatif</v>
      </c>
    </row>
    <row r="6393" spans="1:18" x14ac:dyDescent="0.3">
      <c r="A6393" s="34" t="str">
        <f>base!J6393</f>
        <v>RS</v>
      </c>
      <c r="B6393" s="34" t="str">
        <f>base!V6393</f>
        <v>94600</v>
      </c>
      <c r="C6393" s="37">
        <v>94</v>
      </c>
      <c r="D6393" s="36">
        <f>base!H6393</f>
        <v>129</v>
      </c>
      <c r="E6393" s="44"/>
      <c r="F6393" s="16">
        <f>base!W6393</f>
        <v>0</v>
      </c>
      <c r="G6393" s="11">
        <f t="shared" si="990"/>
        <v>0</v>
      </c>
      <c r="H6393" s="11">
        <f t="shared" si="991"/>
        <v>0</v>
      </c>
      <c r="I6393" s="11">
        <f t="shared" si="992"/>
        <v>0</v>
      </c>
      <c r="J6393" s="12">
        <f t="shared" si="993"/>
        <v>0</v>
      </c>
      <c r="K6393" s="17" t="str">
        <f t="shared" si="998"/>
        <v>Pas d'écart</v>
      </c>
      <c r="L6393" s="16">
        <f>base!X6393</f>
        <v>0</v>
      </c>
      <c r="M6393" s="11">
        <f t="shared" si="994"/>
        <v>0</v>
      </c>
      <c r="N6393" s="11">
        <f t="shared" si="995"/>
        <v>0</v>
      </c>
      <c r="O6393" s="11">
        <f t="shared" si="996"/>
        <v>0</v>
      </c>
      <c r="P6393" s="12">
        <f t="shared" si="997"/>
        <v>0</v>
      </c>
      <c r="Q6393" s="17" t="str">
        <f t="shared" si="999"/>
        <v>Pas d'écart</v>
      </c>
    </row>
    <row r="6394" spans="1:18" x14ac:dyDescent="0.3">
      <c r="A6394" s="34" t="str">
        <f>base!J6394</f>
        <v>RS</v>
      </c>
      <c r="B6394" s="34" t="str">
        <f>base!V6394</f>
        <v>28000</v>
      </c>
      <c r="C6394" s="37">
        <v>28</v>
      </c>
      <c r="D6394" s="36">
        <f>base!H6394</f>
        <v>36.119999999999997</v>
      </c>
      <c r="E6394" s="44"/>
      <c r="F6394" s="16">
        <f>base!W6394</f>
        <v>0</v>
      </c>
      <c r="G6394" s="11">
        <f t="shared" si="990"/>
        <v>0</v>
      </c>
      <c r="H6394" s="11">
        <f t="shared" si="991"/>
        <v>7.2240000000000002</v>
      </c>
      <c r="I6394" s="11">
        <f t="shared" si="992"/>
        <v>0.2</v>
      </c>
      <c r="J6394" s="12">
        <f t="shared" si="993"/>
        <v>-7.2240000000000002</v>
      </c>
      <c r="K6394" s="17" t="str">
        <f t="shared" si="998"/>
        <v>Ecart négatif</v>
      </c>
      <c r="L6394" s="16">
        <f>base!X6394</f>
        <v>0</v>
      </c>
      <c r="M6394" s="11">
        <f t="shared" si="994"/>
        <v>0</v>
      </c>
      <c r="N6394" s="11">
        <f t="shared" si="995"/>
        <v>4.3343999999999996</v>
      </c>
      <c r="O6394" s="11">
        <f t="shared" si="996"/>
        <v>0.12</v>
      </c>
      <c r="P6394" s="12">
        <f t="shared" si="997"/>
        <v>-4.3343999999999996</v>
      </c>
      <c r="Q6394" s="17" t="str">
        <f t="shared" si="999"/>
        <v>Ecart négatif</v>
      </c>
    </row>
    <row r="6395" spans="1:18" x14ac:dyDescent="0.3">
      <c r="A6395" s="34" t="str">
        <f>base!J6395</f>
        <v>LM</v>
      </c>
      <c r="B6395" s="34" t="str">
        <f>base!V6395</f>
        <v>13790</v>
      </c>
      <c r="C6395" s="37">
        <v>67</v>
      </c>
      <c r="D6395" s="36">
        <f>base!H6395</f>
        <v>73</v>
      </c>
      <c r="E6395" s="44"/>
      <c r="F6395" s="16">
        <f>base!W6395</f>
        <v>37.229999999999997</v>
      </c>
      <c r="G6395" s="11">
        <f t="shared" si="990"/>
        <v>0.51</v>
      </c>
      <c r="H6395" s="11">
        <f t="shared" si="991"/>
        <v>21.169999999999998</v>
      </c>
      <c r="I6395" s="11">
        <f t="shared" si="992"/>
        <v>0.28999999999999998</v>
      </c>
      <c r="J6395" s="12">
        <f t="shared" si="993"/>
        <v>16.059999999999999</v>
      </c>
      <c r="K6395" s="17" t="str">
        <f t="shared" si="998"/>
        <v>Ecart positif</v>
      </c>
      <c r="L6395" s="16">
        <f>base!X6395</f>
        <v>0</v>
      </c>
      <c r="M6395" s="11">
        <f t="shared" si="994"/>
        <v>0</v>
      </c>
      <c r="N6395" s="11">
        <f t="shared" si="995"/>
        <v>5.84</v>
      </c>
      <c r="O6395" s="11">
        <f t="shared" si="996"/>
        <v>0.08</v>
      </c>
      <c r="P6395" s="12">
        <f t="shared" si="997"/>
        <v>-5.84</v>
      </c>
      <c r="Q6395" s="17" t="str">
        <f t="shared" si="999"/>
        <v>Ecart négatif</v>
      </c>
    </row>
    <row r="6396" spans="1:18" x14ac:dyDescent="0.3">
      <c r="A6396" s="34" t="str">
        <f>base!J6396</f>
        <v>RM</v>
      </c>
      <c r="B6396" s="34" t="str">
        <f>base!V6396</f>
        <v>92400</v>
      </c>
      <c r="C6396" s="37">
        <v>92</v>
      </c>
      <c r="D6396" s="36">
        <f>base!H6396</f>
        <v>40</v>
      </c>
      <c r="E6396" s="44"/>
      <c r="F6396" s="16">
        <f>base!W6396</f>
        <v>0</v>
      </c>
      <c r="G6396" s="11">
        <f t="shared" si="990"/>
        <v>0</v>
      </c>
      <c r="H6396" s="11">
        <f t="shared" si="991"/>
        <v>0</v>
      </c>
      <c r="I6396" s="11">
        <f t="shared" si="992"/>
        <v>0</v>
      </c>
      <c r="J6396" s="12">
        <f t="shared" si="993"/>
        <v>0</v>
      </c>
      <c r="K6396" s="17" t="str">
        <f t="shared" si="998"/>
        <v>Pas d'écart</v>
      </c>
      <c r="L6396" s="16">
        <f>base!X6396</f>
        <v>0</v>
      </c>
      <c r="M6396" s="11">
        <f t="shared" si="994"/>
        <v>0</v>
      </c>
      <c r="N6396" s="11">
        <f t="shared" si="995"/>
        <v>0</v>
      </c>
      <c r="O6396" s="11">
        <f t="shared" si="996"/>
        <v>0</v>
      </c>
      <c r="P6396" s="12">
        <f t="shared" si="997"/>
        <v>0</v>
      </c>
      <c r="Q6396" s="17" t="str">
        <f t="shared" si="999"/>
        <v>Pas d'écart</v>
      </c>
    </row>
    <row r="6397" spans="1:18" x14ac:dyDescent="0.3">
      <c r="A6397" s="34" t="str">
        <f>base!J6397</f>
        <v>RM</v>
      </c>
      <c r="B6397" s="34" t="str">
        <f>base!V6397</f>
        <v>92400</v>
      </c>
      <c r="C6397" s="37">
        <v>92</v>
      </c>
      <c r="D6397" s="36">
        <f>base!H6397</f>
        <v>29.59</v>
      </c>
      <c r="E6397" s="44"/>
      <c r="F6397" s="16">
        <f>base!W6397</f>
        <v>0</v>
      </c>
      <c r="G6397" s="11">
        <f t="shared" si="990"/>
        <v>0</v>
      </c>
      <c r="H6397" s="11">
        <f t="shared" si="991"/>
        <v>0</v>
      </c>
      <c r="I6397" s="11">
        <f t="shared" si="992"/>
        <v>0</v>
      </c>
      <c r="J6397" s="12">
        <f t="shared" si="993"/>
        <v>0</v>
      </c>
      <c r="K6397" s="17" t="str">
        <f t="shared" si="998"/>
        <v>Pas d'écart</v>
      </c>
      <c r="L6397" s="16">
        <f>base!X6397</f>
        <v>0</v>
      </c>
      <c r="M6397" s="11">
        <f t="shared" si="994"/>
        <v>0</v>
      </c>
      <c r="N6397" s="11">
        <f t="shared" si="995"/>
        <v>0</v>
      </c>
      <c r="O6397" s="11">
        <f t="shared" si="996"/>
        <v>0</v>
      </c>
      <c r="P6397" s="12">
        <f t="shared" si="997"/>
        <v>0</v>
      </c>
      <c r="Q6397" s="17" t="str">
        <f t="shared" si="999"/>
        <v>Pas d'écart</v>
      </c>
    </row>
    <row r="6398" spans="1:18" x14ac:dyDescent="0.3">
      <c r="A6398" s="34" t="str">
        <f>base!J6398</f>
        <v>LS</v>
      </c>
      <c r="B6398" s="34" t="str">
        <f>base!V6398</f>
        <v>94150</v>
      </c>
      <c r="C6398" s="37">
        <v>94</v>
      </c>
      <c r="D6398" s="36">
        <f>base!H6398</f>
        <v>210</v>
      </c>
      <c r="E6398" s="44"/>
      <c r="F6398" s="16">
        <f>base!W6398</f>
        <v>0</v>
      </c>
      <c r="G6398" s="11">
        <f t="shared" si="990"/>
        <v>0</v>
      </c>
      <c r="H6398" s="11">
        <f t="shared" si="991"/>
        <v>0</v>
      </c>
      <c r="I6398" s="11">
        <f t="shared" si="992"/>
        <v>0</v>
      </c>
      <c r="J6398" s="12">
        <f t="shared" si="993"/>
        <v>0</v>
      </c>
      <c r="K6398" s="17" t="str">
        <f t="shared" si="998"/>
        <v>Pas d'écart</v>
      </c>
      <c r="L6398" s="16">
        <f>base!X6398</f>
        <v>0</v>
      </c>
      <c r="M6398" s="11">
        <f t="shared" si="994"/>
        <v>0</v>
      </c>
      <c r="N6398" s="11">
        <f t="shared" si="995"/>
        <v>0</v>
      </c>
      <c r="O6398" s="11">
        <f t="shared" si="996"/>
        <v>0</v>
      </c>
      <c r="P6398" s="12">
        <f t="shared" si="997"/>
        <v>0</v>
      </c>
      <c r="Q6398" s="17" t="str">
        <f t="shared" si="999"/>
        <v>Pas d'écart</v>
      </c>
    </row>
    <row r="6399" spans="1:18" x14ac:dyDescent="0.3">
      <c r="A6399" s="34" t="str">
        <f>base!J6399</f>
        <v>RM</v>
      </c>
      <c r="B6399" s="34" t="str">
        <f>base!V6399</f>
        <v>62320</v>
      </c>
      <c r="C6399" s="37">
        <v>62</v>
      </c>
      <c r="D6399" s="36">
        <f>base!H6399</f>
        <v>180</v>
      </c>
      <c r="E6399" s="44"/>
      <c r="F6399" s="16">
        <f>base!W6399</f>
        <v>0</v>
      </c>
      <c r="G6399" s="11">
        <f t="shared" si="990"/>
        <v>0</v>
      </c>
      <c r="H6399" s="11">
        <f t="shared" si="991"/>
        <v>34.200000000000003</v>
      </c>
      <c r="I6399" s="11">
        <f t="shared" si="992"/>
        <v>0.19</v>
      </c>
      <c r="J6399" s="12">
        <f t="shared" si="993"/>
        <v>-34.200000000000003</v>
      </c>
      <c r="K6399" s="17" t="str">
        <f t="shared" si="998"/>
        <v>Ecart négatif</v>
      </c>
      <c r="L6399" s="16">
        <f>base!X6399</f>
        <v>0</v>
      </c>
      <c r="M6399" s="11">
        <f t="shared" si="994"/>
        <v>0</v>
      </c>
      <c r="N6399" s="11">
        <f t="shared" si="995"/>
        <v>0</v>
      </c>
      <c r="O6399" s="11">
        <f t="shared" si="996"/>
        <v>0</v>
      </c>
      <c r="P6399" s="12">
        <f t="shared" si="997"/>
        <v>0</v>
      </c>
      <c r="Q6399" s="17" t="str">
        <f t="shared" si="999"/>
        <v>Pas d'écart</v>
      </c>
    </row>
    <row r="6400" spans="1:18" x14ac:dyDescent="0.3">
      <c r="A6400" s="34" t="str">
        <f>base!J6400</f>
        <v>RM</v>
      </c>
      <c r="B6400" s="34" t="str">
        <f>base!V6400</f>
        <v>06560</v>
      </c>
      <c r="C6400" s="37">
        <v>6</v>
      </c>
      <c r="D6400" s="36">
        <f>base!H6400</f>
        <v>151</v>
      </c>
      <c r="E6400" s="44"/>
      <c r="F6400" s="16">
        <f>base!W6400</f>
        <v>0</v>
      </c>
      <c r="G6400" s="11">
        <f t="shared" si="990"/>
        <v>0</v>
      </c>
      <c r="H6400" s="11">
        <f t="shared" si="991"/>
        <v>45.3</v>
      </c>
      <c r="I6400" s="11">
        <f t="shared" si="992"/>
        <v>0.3</v>
      </c>
      <c r="J6400" s="12">
        <f t="shared" si="993"/>
        <v>-45.3</v>
      </c>
      <c r="K6400" s="17" t="str">
        <f t="shared" si="998"/>
        <v>Ecart négatif</v>
      </c>
      <c r="L6400" s="16">
        <f>base!X6400</f>
        <v>0</v>
      </c>
      <c r="M6400" s="11">
        <f t="shared" si="994"/>
        <v>0</v>
      </c>
      <c r="N6400" s="11">
        <f t="shared" si="995"/>
        <v>31.709999999999997</v>
      </c>
      <c r="O6400" s="11">
        <f t="shared" si="996"/>
        <v>0.21</v>
      </c>
      <c r="P6400" s="12">
        <f t="shared" si="997"/>
        <v>-31.709999999999997</v>
      </c>
      <c r="Q6400" s="17" t="str">
        <f t="shared" si="999"/>
        <v>Ecart négatif</v>
      </c>
    </row>
    <row r="6401" spans="1:18" x14ac:dyDescent="0.3">
      <c r="A6401" s="34" t="str">
        <f>base!J6401</f>
        <v>RM</v>
      </c>
      <c r="B6401" s="34" t="str">
        <f>base!V6401</f>
        <v>06560</v>
      </c>
      <c r="C6401" s="37">
        <v>6</v>
      </c>
      <c r="D6401" s="36">
        <f>base!H6401</f>
        <v>151</v>
      </c>
      <c r="E6401" s="44"/>
      <c r="F6401" s="16">
        <f>base!W6401</f>
        <v>0</v>
      </c>
      <c r="G6401" s="11">
        <f t="shared" si="990"/>
        <v>0</v>
      </c>
      <c r="H6401" s="11">
        <f t="shared" si="991"/>
        <v>45.3</v>
      </c>
      <c r="I6401" s="11">
        <f t="shared" si="992"/>
        <v>0.3</v>
      </c>
      <c r="J6401" s="12">
        <f t="shared" si="993"/>
        <v>-45.3</v>
      </c>
      <c r="K6401" s="17" t="str">
        <f t="shared" si="998"/>
        <v>Ecart négatif</v>
      </c>
      <c r="L6401" s="16">
        <f>base!X6401</f>
        <v>0</v>
      </c>
      <c r="M6401" s="11">
        <f t="shared" si="994"/>
        <v>0</v>
      </c>
      <c r="N6401" s="11">
        <f t="shared" si="995"/>
        <v>31.709999999999997</v>
      </c>
      <c r="O6401" s="11">
        <f t="shared" si="996"/>
        <v>0.21</v>
      </c>
      <c r="P6401" s="12">
        <f t="shared" si="997"/>
        <v>-31.709999999999997</v>
      </c>
      <c r="Q6401" s="17" t="str">
        <f t="shared" si="999"/>
        <v>Ecart négatif</v>
      </c>
    </row>
    <row r="6402" spans="1:18" x14ac:dyDescent="0.3">
      <c r="A6402" s="34" t="str">
        <f>base!J6402</f>
        <v>RM</v>
      </c>
      <c r="B6402" s="34" t="str">
        <f>base!V6402</f>
        <v>06560</v>
      </c>
      <c r="C6402" s="37">
        <v>6</v>
      </c>
      <c r="D6402" s="36">
        <f>base!H6402</f>
        <v>151</v>
      </c>
      <c r="E6402" s="44"/>
      <c r="F6402" s="16">
        <f>base!W6402</f>
        <v>0</v>
      </c>
      <c r="G6402" s="11">
        <f t="shared" ref="G6402:G6465" si="1000">F6402/D6402</f>
        <v>0</v>
      </c>
      <c r="H6402" s="11">
        <f t="shared" ref="H6402:H6465" si="1001">VLOOKUP(C6402,tout_cout_traction,2,FALSE)*D6402</f>
        <v>45.3</v>
      </c>
      <c r="I6402" s="11">
        <f t="shared" ref="I6402:I6465" si="1002">H6402/D6402</f>
        <v>0.3</v>
      </c>
      <c r="J6402" s="12">
        <f t="shared" ref="J6402:J6465" si="1003">F6402-H6402</f>
        <v>-45.3</v>
      </c>
      <c r="K6402" s="17" t="str">
        <f t="shared" si="998"/>
        <v>Ecart négatif</v>
      </c>
      <c r="L6402" s="16">
        <f>base!X6402</f>
        <v>0</v>
      </c>
      <c r="M6402" s="11">
        <f t="shared" ref="M6402:M6465" si="1004">L6402/D6402</f>
        <v>0</v>
      </c>
      <c r="N6402" s="11">
        <f t="shared" ref="N6402:N6465" si="1005">VLOOKUP(C6402,tout_cout_traction,3,FALSE)*D6402</f>
        <v>31.709999999999997</v>
      </c>
      <c r="O6402" s="11">
        <f t="shared" ref="O6402:O6465" si="1006">N6402/D6402</f>
        <v>0.21</v>
      </c>
      <c r="P6402" s="12">
        <f t="shared" ref="P6402:P6465" si="1007">L6402-N6402</f>
        <v>-31.709999999999997</v>
      </c>
      <c r="Q6402" s="17" t="str">
        <f t="shared" si="999"/>
        <v>Ecart négatif</v>
      </c>
    </row>
    <row r="6403" spans="1:18" x14ac:dyDescent="0.3">
      <c r="A6403" s="34" t="str">
        <f>base!J6403</f>
        <v>RM</v>
      </c>
      <c r="B6403" s="34" t="str">
        <f>base!V6403</f>
        <v>06560</v>
      </c>
      <c r="C6403" s="37">
        <v>6</v>
      </c>
      <c r="D6403" s="36">
        <f>base!H6403</f>
        <v>151</v>
      </c>
      <c r="E6403" s="44"/>
      <c r="F6403" s="16">
        <f>base!W6403</f>
        <v>0</v>
      </c>
      <c r="G6403" s="11">
        <f t="shared" si="1000"/>
        <v>0</v>
      </c>
      <c r="H6403" s="11">
        <f t="shared" si="1001"/>
        <v>45.3</v>
      </c>
      <c r="I6403" s="11">
        <f t="shared" si="1002"/>
        <v>0.3</v>
      </c>
      <c r="J6403" s="12">
        <f t="shared" si="1003"/>
        <v>-45.3</v>
      </c>
      <c r="K6403" s="17" t="str">
        <f t="shared" ref="K6403:K6466" si="1008">IF(H6403=F6403,"Pas d'écart",IF(H6403&lt;F6403,"Ecart positif",IF(H6403&gt;F6403,"Ecart négatif")))</f>
        <v>Ecart négatif</v>
      </c>
      <c r="L6403" s="16">
        <f>base!X6403</f>
        <v>0</v>
      </c>
      <c r="M6403" s="11">
        <f t="shared" si="1004"/>
        <v>0</v>
      </c>
      <c r="N6403" s="11">
        <f t="shared" si="1005"/>
        <v>31.709999999999997</v>
      </c>
      <c r="O6403" s="11">
        <f t="shared" si="1006"/>
        <v>0.21</v>
      </c>
      <c r="P6403" s="12">
        <f t="shared" si="1007"/>
        <v>-31.709999999999997</v>
      </c>
      <c r="Q6403" s="17" t="str">
        <f t="shared" ref="Q6403:Q6466" si="1009">IF(N6403=L6403,"Pas d'écart",IF(N6403&lt;L6403,"Ecart positif",IF(N6403&gt;L6403,"Ecart négatif")))</f>
        <v>Ecart négatif</v>
      </c>
    </row>
    <row r="6404" spans="1:18" x14ac:dyDescent="0.3">
      <c r="A6404" s="34">
        <f>base!J6404</f>
        <v>0</v>
      </c>
      <c r="B6404" s="34" t="str">
        <f>base!V6404</f>
        <v>77184</v>
      </c>
      <c r="C6404" s="37">
        <v>77</v>
      </c>
      <c r="D6404" s="36">
        <f>base!H6404</f>
        <v>10</v>
      </c>
      <c r="E6404" s="44"/>
      <c r="F6404" s="16">
        <f>base!W6404</f>
        <v>0</v>
      </c>
      <c r="G6404" s="11">
        <f t="shared" si="1000"/>
        <v>0</v>
      </c>
      <c r="H6404" s="11">
        <f t="shared" si="1001"/>
        <v>0</v>
      </c>
      <c r="I6404" s="11">
        <f t="shared" si="1002"/>
        <v>0</v>
      </c>
      <c r="J6404" s="12">
        <f t="shared" si="1003"/>
        <v>0</v>
      </c>
      <c r="K6404" s="17" t="str">
        <f t="shared" si="1008"/>
        <v>Pas d'écart</v>
      </c>
      <c r="L6404" s="16">
        <f>base!X6404</f>
        <v>0</v>
      </c>
      <c r="M6404" s="11">
        <f t="shared" si="1004"/>
        <v>0</v>
      </c>
      <c r="N6404" s="11">
        <f t="shared" si="1005"/>
        <v>0</v>
      </c>
      <c r="O6404" s="11">
        <f t="shared" si="1006"/>
        <v>0</v>
      </c>
      <c r="P6404" s="12">
        <f t="shared" si="1007"/>
        <v>0</v>
      </c>
      <c r="Q6404" s="17" t="str">
        <f t="shared" si="1009"/>
        <v>Pas d'écart</v>
      </c>
    </row>
    <row r="6405" spans="1:18" x14ac:dyDescent="0.3">
      <c r="A6405" s="34" t="str">
        <f>base!J6405</f>
        <v>RM</v>
      </c>
      <c r="B6405" s="34" t="str">
        <f>base!V6405</f>
        <v>75008</v>
      </c>
      <c r="C6405" s="37">
        <v>75</v>
      </c>
      <c r="D6405" s="36">
        <f>base!H6405</f>
        <v>164.02</v>
      </c>
      <c r="E6405" s="44"/>
      <c r="F6405" s="16">
        <f>base!W6405</f>
        <v>0</v>
      </c>
      <c r="G6405" s="11">
        <f t="shared" si="1000"/>
        <v>0</v>
      </c>
      <c r="H6405" s="11">
        <f t="shared" si="1001"/>
        <v>0</v>
      </c>
      <c r="I6405" s="11">
        <f t="shared" si="1002"/>
        <v>0</v>
      </c>
      <c r="J6405" s="12">
        <f t="shared" si="1003"/>
        <v>0</v>
      </c>
      <c r="K6405" s="17" t="str">
        <f t="shared" si="1008"/>
        <v>Pas d'écart</v>
      </c>
      <c r="L6405" s="16">
        <f>base!X6405</f>
        <v>0</v>
      </c>
      <c r="M6405" s="11">
        <f t="shared" si="1004"/>
        <v>0</v>
      </c>
      <c r="N6405" s="11">
        <f t="shared" si="1005"/>
        <v>0</v>
      </c>
      <c r="O6405" s="11">
        <f t="shared" si="1006"/>
        <v>0</v>
      </c>
      <c r="P6405" s="12">
        <f t="shared" si="1007"/>
        <v>0</v>
      </c>
      <c r="Q6405" s="17" t="str">
        <f t="shared" si="1009"/>
        <v>Pas d'écart</v>
      </c>
    </row>
    <row r="6406" spans="1:18" x14ac:dyDescent="0.3">
      <c r="A6406" s="34" t="str">
        <f>base!J6406</f>
        <v>RS</v>
      </c>
      <c r="B6406" s="34" t="str">
        <f>base!V6406</f>
        <v>34980</v>
      </c>
      <c r="C6406" s="37">
        <v>34</v>
      </c>
      <c r="D6406" s="36">
        <f>base!H6406</f>
        <v>139.62</v>
      </c>
      <c r="E6406" s="44"/>
      <c r="F6406" s="16">
        <f>base!W6406</f>
        <v>0</v>
      </c>
      <c r="G6406" s="11">
        <f t="shared" si="1000"/>
        <v>0</v>
      </c>
      <c r="H6406" s="11">
        <f t="shared" si="1001"/>
        <v>54.451800000000006</v>
      </c>
      <c r="I6406" s="11">
        <f t="shared" si="1002"/>
        <v>0.39</v>
      </c>
      <c r="J6406" s="12">
        <f t="shared" si="1003"/>
        <v>-54.451800000000006</v>
      </c>
      <c r="K6406" s="17" t="str">
        <f t="shared" si="1008"/>
        <v>Ecart négatif</v>
      </c>
      <c r="L6406" s="16">
        <f>base!X6406</f>
        <v>39.090000000000003</v>
      </c>
      <c r="M6406" s="11">
        <f t="shared" si="1004"/>
        <v>0.2799742157284057</v>
      </c>
      <c r="N6406" s="11">
        <f t="shared" si="1005"/>
        <v>39.093600000000002</v>
      </c>
      <c r="O6406" s="11">
        <f t="shared" si="1006"/>
        <v>0.28000000000000003</v>
      </c>
      <c r="P6406" s="12">
        <f t="shared" si="1007"/>
        <v>-3.5999999999987153E-3</v>
      </c>
      <c r="Q6406" s="17" t="str">
        <f t="shared" si="1009"/>
        <v>Ecart négatif</v>
      </c>
      <c r="R6406" s="38"/>
    </row>
    <row r="6407" spans="1:18" x14ac:dyDescent="0.3">
      <c r="A6407" s="34" t="str">
        <f>base!J6407</f>
        <v>RS</v>
      </c>
      <c r="B6407" s="34" t="str">
        <f>base!V6407</f>
        <v>38460</v>
      </c>
      <c r="C6407" s="37">
        <v>38</v>
      </c>
      <c r="D6407" s="36">
        <f>base!H6407</f>
        <v>70</v>
      </c>
      <c r="E6407" s="44"/>
      <c r="F6407" s="16">
        <f>base!W6407</f>
        <v>0</v>
      </c>
      <c r="G6407" s="11">
        <f t="shared" si="1000"/>
        <v>0</v>
      </c>
      <c r="H6407" s="11">
        <f t="shared" si="1001"/>
        <v>18.900000000000002</v>
      </c>
      <c r="I6407" s="11">
        <f t="shared" si="1002"/>
        <v>0.27</v>
      </c>
      <c r="J6407" s="12">
        <f t="shared" si="1003"/>
        <v>-18.900000000000002</v>
      </c>
      <c r="K6407" s="17" t="str">
        <f t="shared" si="1008"/>
        <v>Ecart négatif</v>
      </c>
      <c r="L6407" s="16">
        <f>base!X6407</f>
        <v>0</v>
      </c>
      <c r="M6407" s="11">
        <f t="shared" si="1004"/>
        <v>0</v>
      </c>
      <c r="N6407" s="11">
        <f t="shared" si="1005"/>
        <v>0</v>
      </c>
      <c r="O6407" s="11">
        <f t="shared" si="1006"/>
        <v>0</v>
      </c>
      <c r="P6407" s="12">
        <f t="shared" si="1007"/>
        <v>0</v>
      </c>
      <c r="Q6407" s="17" t="str">
        <f t="shared" si="1009"/>
        <v>Pas d'écart</v>
      </c>
    </row>
    <row r="6408" spans="1:18" x14ac:dyDescent="0.3">
      <c r="A6408" s="34" t="str">
        <f>base!J6408</f>
        <v>RM</v>
      </c>
      <c r="B6408" s="34" t="str">
        <f>base!V6408</f>
        <v>69003</v>
      </c>
      <c r="C6408" s="37">
        <v>69</v>
      </c>
      <c r="D6408" s="36">
        <f>base!H6408</f>
        <v>178.29</v>
      </c>
      <c r="E6408" s="44"/>
      <c r="F6408" s="16">
        <f>base!W6408</f>
        <v>0</v>
      </c>
      <c r="G6408" s="11">
        <f t="shared" si="1000"/>
        <v>0</v>
      </c>
      <c r="H6408" s="11">
        <f t="shared" si="1001"/>
        <v>48.138300000000001</v>
      </c>
      <c r="I6408" s="11">
        <f t="shared" si="1002"/>
        <v>0.27</v>
      </c>
      <c r="J6408" s="12">
        <f t="shared" si="1003"/>
        <v>-48.138300000000001</v>
      </c>
      <c r="K6408" s="17" t="str">
        <f t="shared" si="1008"/>
        <v>Ecart négatif</v>
      </c>
      <c r="L6408" s="16">
        <f>base!X6408</f>
        <v>0</v>
      </c>
      <c r="M6408" s="11">
        <f t="shared" si="1004"/>
        <v>0</v>
      </c>
      <c r="N6408" s="11">
        <f t="shared" si="1005"/>
        <v>0</v>
      </c>
      <c r="O6408" s="11">
        <f t="shared" si="1006"/>
        <v>0</v>
      </c>
      <c r="P6408" s="12">
        <f t="shared" si="1007"/>
        <v>0</v>
      </c>
      <c r="Q6408" s="17" t="str">
        <f t="shared" si="1009"/>
        <v>Pas d'écart</v>
      </c>
    </row>
    <row r="6409" spans="1:18" x14ac:dyDescent="0.3">
      <c r="A6409" s="34">
        <f>base!J6409</f>
        <v>0</v>
      </c>
      <c r="B6409" s="34" t="str">
        <f>base!V6409</f>
        <v>77184</v>
      </c>
      <c r="C6409" s="37">
        <v>77</v>
      </c>
      <c r="D6409" s="36">
        <f>base!H6409</f>
        <v>31.6</v>
      </c>
      <c r="E6409" s="44"/>
      <c r="F6409" s="16">
        <f>base!W6409</f>
        <v>0</v>
      </c>
      <c r="G6409" s="11">
        <f t="shared" si="1000"/>
        <v>0</v>
      </c>
      <c r="H6409" s="11">
        <f t="shared" si="1001"/>
        <v>0</v>
      </c>
      <c r="I6409" s="11">
        <f t="shared" si="1002"/>
        <v>0</v>
      </c>
      <c r="J6409" s="12">
        <f t="shared" si="1003"/>
        <v>0</v>
      </c>
      <c r="K6409" s="17" t="str">
        <f t="shared" si="1008"/>
        <v>Pas d'écart</v>
      </c>
      <c r="L6409" s="16">
        <f>base!X6409</f>
        <v>0</v>
      </c>
      <c r="M6409" s="11">
        <f t="shared" si="1004"/>
        <v>0</v>
      </c>
      <c r="N6409" s="11">
        <f t="shared" si="1005"/>
        <v>0</v>
      </c>
      <c r="O6409" s="11">
        <f t="shared" si="1006"/>
        <v>0</v>
      </c>
      <c r="P6409" s="12">
        <f t="shared" si="1007"/>
        <v>0</v>
      </c>
      <c r="Q6409" s="17" t="str">
        <f t="shared" si="1009"/>
        <v>Pas d'écart</v>
      </c>
    </row>
    <row r="6410" spans="1:18" x14ac:dyDescent="0.3">
      <c r="A6410" s="34" t="str">
        <f>base!J6410</f>
        <v>RM</v>
      </c>
      <c r="B6410" s="34" t="str">
        <f>base!V6410</f>
        <v>30750</v>
      </c>
      <c r="C6410" s="37">
        <v>30</v>
      </c>
      <c r="D6410" s="36">
        <f>base!H6410</f>
        <v>140</v>
      </c>
      <c r="E6410" s="44"/>
      <c r="F6410" s="16">
        <f>base!W6410</f>
        <v>0</v>
      </c>
      <c r="G6410" s="11">
        <f t="shared" si="1000"/>
        <v>0</v>
      </c>
      <c r="H6410" s="11">
        <f t="shared" si="1001"/>
        <v>54.6</v>
      </c>
      <c r="I6410" s="11">
        <f t="shared" si="1002"/>
        <v>0.39</v>
      </c>
      <c r="J6410" s="12">
        <f t="shared" si="1003"/>
        <v>-54.6</v>
      </c>
      <c r="K6410" s="17" t="str">
        <f t="shared" si="1008"/>
        <v>Ecart négatif</v>
      </c>
      <c r="L6410" s="16">
        <f>base!X6410</f>
        <v>39.200000000000003</v>
      </c>
      <c r="M6410" s="11">
        <f t="shared" si="1004"/>
        <v>0.28000000000000003</v>
      </c>
      <c r="N6410" s="11">
        <f t="shared" si="1005"/>
        <v>39.200000000000003</v>
      </c>
      <c r="O6410" s="11">
        <f t="shared" si="1006"/>
        <v>0.28000000000000003</v>
      </c>
      <c r="P6410" s="12">
        <f t="shared" si="1007"/>
        <v>0</v>
      </c>
      <c r="Q6410" s="17" t="str">
        <f t="shared" si="1009"/>
        <v>Pas d'écart</v>
      </c>
      <c r="R6410" s="38"/>
    </row>
    <row r="6411" spans="1:18" x14ac:dyDescent="0.3">
      <c r="A6411" s="34" t="str">
        <f>base!J6411</f>
        <v>LM</v>
      </c>
      <c r="B6411" s="34" t="str">
        <f>base!V6411</f>
        <v>69007</v>
      </c>
      <c r="C6411" s="37">
        <v>67</v>
      </c>
      <c r="D6411" s="36">
        <f>base!H6411</f>
        <v>160.61000000000001</v>
      </c>
      <c r="E6411" s="44"/>
      <c r="F6411" s="16">
        <f>base!W6411</f>
        <v>43.36</v>
      </c>
      <c r="G6411" s="11">
        <f t="shared" si="1000"/>
        <v>0.2699707365668389</v>
      </c>
      <c r="H6411" s="11">
        <f t="shared" si="1001"/>
        <v>46.576900000000002</v>
      </c>
      <c r="I6411" s="11">
        <f t="shared" si="1002"/>
        <v>0.28999999999999998</v>
      </c>
      <c r="J6411" s="12">
        <f t="shared" si="1003"/>
        <v>-3.2169000000000025</v>
      </c>
      <c r="K6411" s="17" t="str">
        <f t="shared" si="1008"/>
        <v>Ecart négatif</v>
      </c>
      <c r="L6411" s="16">
        <f>base!X6411</f>
        <v>0</v>
      </c>
      <c r="M6411" s="11">
        <f t="shared" si="1004"/>
        <v>0</v>
      </c>
      <c r="N6411" s="11">
        <f t="shared" si="1005"/>
        <v>12.848800000000001</v>
      </c>
      <c r="O6411" s="11">
        <f t="shared" si="1006"/>
        <v>0.08</v>
      </c>
      <c r="P6411" s="12">
        <f t="shared" si="1007"/>
        <v>-12.848800000000001</v>
      </c>
      <c r="Q6411" s="17" t="str">
        <f t="shared" si="1009"/>
        <v>Ecart négatif</v>
      </c>
    </row>
    <row r="6412" spans="1:18" x14ac:dyDescent="0.3">
      <c r="A6412" s="34" t="str">
        <f>base!J6412</f>
        <v>RM</v>
      </c>
      <c r="B6412" s="34" t="str">
        <f>base!V6412</f>
        <v>69002</v>
      </c>
      <c r="C6412" s="37">
        <v>69</v>
      </c>
      <c r="D6412" s="36">
        <f>base!H6412</f>
        <v>205</v>
      </c>
      <c r="E6412" s="44"/>
      <c r="F6412" s="16">
        <f>base!W6412</f>
        <v>0</v>
      </c>
      <c r="G6412" s="11">
        <f t="shared" si="1000"/>
        <v>0</v>
      </c>
      <c r="H6412" s="11">
        <f t="shared" si="1001"/>
        <v>55.35</v>
      </c>
      <c r="I6412" s="11">
        <f t="shared" si="1002"/>
        <v>0.27</v>
      </c>
      <c r="J6412" s="12">
        <f t="shared" si="1003"/>
        <v>-55.35</v>
      </c>
      <c r="K6412" s="17" t="str">
        <f t="shared" si="1008"/>
        <v>Ecart négatif</v>
      </c>
      <c r="L6412" s="16">
        <f>base!X6412</f>
        <v>0</v>
      </c>
      <c r="M6412" s="11">
        <f t="shared" si="1004"/>
        <v>0</v>
      </c>
      <c r="N6412" s="11">
        <f t="shared" si="1005"/>
        <v>0</v>
      </c>
      <c r="O6412" s="11">
        <f t="shared" si="1006"/>
        <v>0</v>
      </c>
      <c r="P6412" s="12">
        <f t="shared" si="1007"/>
        <v>0</v>
      </c>
      <c r="Q6412" s="17" t="str">
        <f t="shared" si="1009"/>
        <v>Pas d'écart</v>
      </c>
    </row>
    <row r="6413" spans="1:18" x14ac:dyDescent="0.3">
      <c r="A6413" s="34" t="str">
        <f>base!J6413</f>
        <v>RS</v>
      </c>
      <c r="B6413" s="34" t="str">
        <f>base!V6413</f>
        <v>67000</v>
      </c>
      <c r="C6413" s="37">
        <v>67</v>
      </c>
      <c r="D6413" s="36">
        <f>base!H6413</f>
        <v>17</v>
      </c>
      <c r="E6413" s="44"/>
      <c r="F6413" s="16">
        <f>base!W6413</f>
        <v>0</v>
      </c>
      <c r="G6413" s="11">
        <f t="shared" si="1000"/>
        <v>0</v>
      </c>
      <c r="H6413" s="11">
        <f t="shared" si="1001"/>
        <v>4.93</v>
      </c>
      <c r="I6413" s="11">
        <f t="shared" si="1002"/>
        <v>0.28999999999999998</v>
      </c>
      <c r="J6413" s="12">
        <f t="shared" si="1003"/>
        <v>-4.93</v>
      </c>
      <c r="K6413" s="17" t="str">
        <f t="shared" si="1008"/>
        <v>Ecart négatif</v>
      </c>
      <c r="L6413" s="16">
        <f>base!X6413</f>
        <v>1.36</v>
      </c>
      <c r="M6413" s="11">
        <f t="shared" si="1004"/>
        <v>0.08</v>
      </c>
      <c r="N6413" s="11">
        <f t="shared" si="1005"/>
        <v>1.36</v>
      </c>
      <c r="O6413" s="11">
        <f t="shared" si="1006"/>
        <v>0.08</v>
      </c>
      <c r="P6413" s="12">
        <f t="shared" si="1007"/>
        <v>0</v>
      </c>
      <c r="Q6413" s="17" t="str">
        <f t="shared" si="1009"/>
        <v>Pas d'écart</v>
      </c>
      <c r="R6413" s="38"/>
    </row>
    <row r="6414" spans="1:18" x14ac:dyDescent="0.3">
      <c r="A6414" s="34" t="str">
        <f>base!J6414</f>
        <v>RS</v>
      </c>
      <c r="B6414" s="34" t="str">
        <f>base!V6414</f>
        <v>50240</v>
      </c>
      <c r="C6414" s="37">
        <v>50</v>
      </c>
      <c r="D6414" s="36">
        <f>base!H6414</f>
        <v>164.02</v>
      </c>
      <c r="E6414" s="44"/>
      <c r="F6414" s="16">
        <f>base!W6414</f>
        <v>0</v>
      </c>
      <c r="G6414" s="11">
        <f t="shared" si="1000"/>
        <v>0</v>
      </c>
      <c r="H6414" s="11">
        <f t="shared" si="1001"/>
        <v>27.883400000000005</v>
      </c>
      <c r="I6414" s="11">
        <f t="shared" si="1002"/>
        <v>0.17</v>
      </c>
      <c r="J6414" s="12">
        <f t="shared" si="1003"/>
        <v>-27.883400000000005</v>
      </c>
      <c r="K6414" s="17" t="str">
        <f t="shared" si="1008"/>
        <v>Ecart négatif</v>
      </c>
      <c r="L6414" s="16">
        <f>base!X6414</f>
        <v>27.88</v>
      </c>
      <c r="M6414" s="11">
        <f t="shared" si="1004"/>
        <v>0.16997927082063161</v>
      </c>
      <c r="N6414" s="11">
        <f t="shared" si="1005"/>
        <v>27.883400000000005</v>
      </c>
      <c r="O6414" s="11">
        <f t="shared" si="1006"/>
        <v>0.17</v>
      </c>
      <c r="P6414" s="12">
        <f t="shared" si="1007"/>
        <v>-3.4000000000062869E-3</v>
      </c>
      <c r="Q6414" s="17" t="str">
        <f t="shared" si="1009"/>
        <v>Ecart négatif</v>
      </c>
      <c r="R6414" s="38"/>
    </row>
    <row r="6415" spans="1:18" x14ac:dyDescent="0.3">
      <c r="A6415" s="34" t="str">
        <f>base!J6415</f>
        <v>DLS</v>
      </c>
      <c r="B6415" s="34" t="str">
        <f>base!V6415</f>
        <v>77184</v>
      </c>
      <c r="C6415" s="37">
        <v>77</v>
      </c>
      <c r="D6415" s="36">
        <f>base!H6415</f>
        <v>124</v>
      </c>
      <c r="E6415" s="44"/>
      <c r="F6415" s="16">
        <f>base!W6415</f>
        <v>0</v>
      </c>
      <c r="G6415" s="11">
        <f t="shared" si="1000"/>
        <v>0</v>
      </c>
      <c r="H6415" s="11">
        <f t="shared" si="1001"/>
        <v>0</v>
      </c>
      <c r="I6415" s="11">
        <f t="shared" si="1002"/>
        <v>0</v>
      </c>
      <c r="J6415" s="12">
        <f t="shared" si="1003"/>
        <v>0</v>
      </c>
      <c r="K6415" s="17" t="str">
        <f t="shared" si="1008"/>
        <v>Pas d'écart</v>
      </c>
      <c r="L6415" s="16">
        <f>base!X6415</f>
        <v>0</v>
      </c>
      <c r="M6415" s="11">
        <f t="shared" si="1004"/>
        <v>0</v>
      </c>
      <c r="N6415" s="11">
        <f t="shared" si="1005"/>
        <v>0</v>
      </c>
      <c r="O6415" s="11">
        <f t="shared" si="1006"/>
        <v>0</v>
      </c>
      <c r="P6415" s="12">
        <f t="shared" si="1007"/>
        <v>0</v>
      </c>
      <c r="Q6415" s="17" t="str">
        <f t="shared" si="1009"/>
        <v>Pas d'écart</v>
      </c>
    </row>
    <row r="6416" spans="1:18" x14ac:dyDescent="0.3">
      <c r="A6416" s="34" t="str">
        <f>base!J6416</f>
        <v>LS</v>
      </c>
      <c r="B6416" s="34" t="str">
        <f>base!V6416</f>
        <v>49730</v>
      </c>
      <c r="C6416" s="37">
        <v>57</v>
      </c>
      <c r="D6416" s="36">
        <f>base!H6416</f>
        <v>121.89</v>
      </c>
      <c r="E6416" s="44"/>
      <c r="F6416" s="16">
        <f>base!W6416</f>
        <v>32.909999999999997</v>
      </c>
      <c r="G6416" s="11">
        <f t="shared" si="1000"/>
        <v>0.26999753876445975</v>
      </c>
      <c r="H6416" s="11">
        <f t="shared" si="1001"/>
        <v>29.253599999999999</v>
      </c>
      <c r="I6416" s="11">
        <f t="shared" si="1002"/>
        <v>0.24</v>
      </c>
      <c r="J6416" s="12">
        <f t="shared" si="1003"/>
        <v>3.6563999999999979</v>
      </c>
      <c r="K6416" s="17" t="str">
        <f t="shared" si="1008"/>
        <v>Ecart positif</v>
      </c>
      <c r="L6416" s="16">
        <f>base!X6416</f>
        <v>0</v>
      </c>
      <c r="M6416" s="11">
        <f t="shared" si="1004"/>
        <v>0</v>
      </c>
      <c r="N6416" s="11">
        <f t="shared" si="1005"/>
        <v>30.4725</v>
      </c>
      <c r="O6416" s="11">
        <f t="shared" si="1006"/>
        <v>0.25</v>
      </c>
      <c r="P6416" s="12">
        <f t="shared" si="1007"/>
        <v>-30.4725</v>
      </c>
      <c r="Q6416" s="17" t="str">
        <f t="shared" si="1009"/>
        <v>Ecart négatif</v>
      </c>
    </row>
    <row r="6417" spans="1:18" x14ac:dyDescent="0.3">
      <c r="A6417" s="34" t="str">
        <f>base!J6417</f>
        <v>LM</v>
      </c>
      <c r="B6417" s="34" t="str">
        <f>base!V6417</f>
        <v>42160</v>
      </c>
      <c r="C6417" s="37">
        <v>67</v>
      </c>
      <c r="D6417" s="36">
        <f>base!H6417</f>
        <v>20.23</v>
      </c>
      <c r="E6417" s="44"/>
      <c r="F6417" s="16">
        <f>base!W6417</f>
        <v>5.46</v>
      </c>
      <c r="G6417" s="11">
        <f t="shared" si="1000"/>
        <v>0.26989619377162627</v>
      </c>
      <c r="H6417" s="11">
        <f t="shared" si="1001"/>
        <v>5.8666999999999998</v>
      </c>
      <c r="I6417" s="11">
        <f t="shared" si="1002"/>
        <v>0.28999999999999998</v>
      </c>
      <c r="J6417" s="12">
        <f t="shared" si="1003"/>
        <v>-0.40669999999999984</v>
      </c>
      <c r="K6417" s="17" t="str">
        <f t="shared" si="1008"/>
        <v>Ecart négatif</v>
      </c>
      <c r="L6417" s="16">
        <f>base!X6417</f>
        <v>0</v>
      </c>
      <c r="M6417" s="11">
        <f t="shared" si="1004"/>
        <v>0</v>
      </c>
      <c r="N6417" s="11">
        <f t="shared" si="1005"/>
        <v>1.6184000000000001</v>
      </c>
      <c r="O6417" s="11">
        <f t="shared" si="1006"/>
        <v>0.08</v>
      </c>
      <c r="P6417" s="12">
        <f t="shared" si="1007"/>
        <v>-1.6184000000000001</v>
      </c>
      <c r="Q6417" s="17" t="str">
        <f t="shared" si="1009"/>
        <v>Ecart négatif</v>
      </c>
    </row>
    <row r="6418" spans="1:18" x14ac:dyDescent="0.3">
      <c r="A6418" s="34" t="str">
        <f>base!J6418</f>
        <v>LM</v>
      </c>
      <c r="B6418" s="34" t="str">
        <f>base!V6418</f>
        <v>42160</v>
      </c>
      <c r="C6418" s="37">
        <v>67</v>
      </c>
      <c r="D6418" s="36">
        <f>base!H6418</f>
        <v>154.03</v>
      </c>
      <c r="E6418" s="44"/>
      <c r="F6418" s="16">
        <f>base!W6418</f>
        <v>41.59</v>
      </c>
      <c r="G6418" s="11">
        <f t="shared" si="1000"/>
        <v>0.27001233525936508</v>
      </c>
      <c r="H6418" s="11">
        <f t="shared" si="1001"/>
        <v>44.668699999999994</v>
      </c>
      <c r="I6418" s="11">
        <f t="shared" si="1002"/>
        <v>0.28999999999999998</v>
      </c>
      <c r="J6418" s="12">
        <f t="shared" si="1003"/>
        <v>-3.0786999999999907</v>
      </c>
      <c r="K6418" s="17" t="str">
        <f t="shared" si="1008"/>
        <v>Ecart négatif</v>
      </c>
      <c r="L6418" s="16">
        <f>base!X6418</f>
        <v>0</v>
      </c>
      <c r="M6418" s="11">
        <f t="shared" si="1004"/>
        <v>0</v>
      </c>
      <c r="N6418" s="11">
        <f t="shared" si="1005"/>
        <v>12.3224</v>
      </c>
      <c r="O6418" s="11">
        <f t="shared" si="1006"/>
        <v>0.08</v>
      </c>
      <c r="P6418" s="12">
        <f t="shared" si="1007"/>
        <v>-12.3224</v>
      </c>
      <c r="Q6418" s="17" t="str">
        <f t="shared" si="1009"/>
        <v>Ecart négatif</v>
      </c>
    </row>
    <row r="6419" spans="1:18" x14ac:dyDescent="0.3">
      <c r="A6419" s="34" t="str">
        <f>base!J6419</f>
        <v>DLS</v>
      </c>
      <c r="B6419" s="34" t="str">
        <f>base!V6419</f>
        <v>83400</v>
      </c>
      <c r="C6419" s="37">
        <v>83</v>
      </c>
      <c r="D6419" s="36">
        <f>base!H6419</f>
        <v>250</v>
      </c>
      <c r="E6419" s="44"/>
      <c r="F6419" s="16">
        <f>base!W6419</f>
        <v>0</v>
      </c>
      <c r="G6419" s="11">
        <f t="shared" si="1000"/>
        <v>0</v>
      </c>
      <c r="H6419" s="11">
        <f t="shared" si="1001"/>
        <v>75</v>
      </c>
      <c r="I6419" s="11">
        <f t="shared" si="1002"/>
        <v>0.3</v>
      </c>
      <c r="J6419" s="12">
        <f t="shared" si="1003"/>
        <v>-75</v>
      </c>
      <c r="K6419" s="17" t="str">
        <f t="shared" si="1008"/>
        <v>Ecart négatif</v>
      </c>
      <c r="L6419" s="16">
        <f>base!X6419</f>
        <v>0</v>
      </c>
      <c r="M6419" s="11">
        <f t="shared" si="1004"/>
        <v>0</v>
      </c>
      <c r="N6419" s="11">
        <f t="shared" si="1005"/>
        <v>52.5</v>
      </c>
      <c r="O6419" s="11">
        <f t="shared" si="1006"/>
        <v>0.21</v>
      </c>
      <c r="P6419" s="12">
        <f t="shared" si="1007"/>
        <v>-52.5</v>
      </c>
      <c r="Q6419" s="17" t="str">
        <f t="shared" si="1009"/>
        <v>Ecart négatif</v>
      </c>
    </row>
    <row r="6420" spans="1:18" x14ac:dyDescent="0.3">
      <c r="A6420" s="34" t="str">
        <f>base!J6420</f>
        <v>RS</v>
      </c>
      <c r="B6420" s="34" t="str">
        <f>base!V6420</f>
        <v>45120</v>
      </c>
      <c r="C6420" s="37">
        <v>45</v>
      </c>
      <c r="D6420" s="36">
        <f>base!H6420</f>
        <v>79.400000000000006</v>
      </c>
      <c r="E6420" s="44"/>
      <c r="F6420" s="16">
        <f>base!W6420</f>
        <v>0</v>
      </c>
      <c r="G6420" s="11">
        <f t="shared" si="1000"/>
        <v>0</v>
      </c>
      <c r="H6420" s="11">
        <f t="shared" si="1001"/>
        <v>16.673999999999999</v>
      </c>
      <c r="I6420" s="11">
        <f t="shared" si="1002"/>
        <v>0.21</v>
      </c>
      <c r="J6420" s="12">
        <f t="shared" si="1003"/>
        <v>-16.673999999999999</v>
      </c>
      <c r="K6420" s="17" t="str">
        <f t="shared" si="1008"/>
        <v>Ecart négatif</v>
      </c>
      <c r="L6420" s="16">
        <f>base!X6420</f>
        <v>30.97</v>
      </c>
      <c r="M6420" s="11">
        <f t="shared" si="1004"/>
        <v>0.39005037783375313</v>
      </c>
      <c r="N6420" s="11">
        <f t="shared" si="1005"/>
        <v>9.5280000000000005</v>
      </c>
      <c r="O6420" s="11">
        <f t="shared" si="1006"/>
        <v>0.12</v>
      </c>
      <c r="P6420" s="12">
        <f t="shared" si="1007"/>
        <v>21.442</v>
      </c>
      <c r="Q6420" s="17" t="str">
        <f t="shared" si="1009"/>
        <v>Ecart positif</v>
      </c>
      <c r="R6420" s="38"/>
    </row>
    <row r="6421" spans="1:18" x14ac:dyDescent="0.3">
      <c r="A6421" s="34" t="str">
        <f>base!J6421</f>
        <v>LM</v>
      </c>
      <c r="B6421" s="34" t="str">
        <f>base!V6421</f>
        <v>26000</v>
      </c>
      <c r="C6421" s="37">
        <v>67</v>
      </c>
      <c r="D6421" s="36">
        <f>base!H6421</f>
        <v>137.43</v>
      </c>
      <c r="E6421" s="44"/>
      <c r="F6421" s="16">
        <f>base!W6421</f>
        <v>37.11</v>
      </c>
      <c r="G6421" s="11">
        <f t="shared" si="1000"/>
        <v>0.27002837808338787</v>
      </c>
      <c r="H6421" s="11">
        <f t="shared" si="1001"/>
        <v>39.854700000000001</v>
      </c>
      <c r="I6421" s="11">
        <f t="shared" si="1002"/>
        <v>0.28999999999999998</v>
      </c>
      <c r="J6421" s="12">
        <f t="shared" si="1003"/>
        <v>-2.7447000000000017</v>
      </c>
      <c r="K6421" s="17" t="str">
        <f t="shared" si="1008"/>
        <v>Ecart négatif</v>
      </c>
      <c r="L6421" s="16">
        <f>base!X6421</f>
        <v>0</v>
      </c>
      <c r="M6421" s="11">
        <f t="shared" si="1004"/>
        <v>0</v>
      </c>
      <c r="N6421" s="11">
        <f t="shared" si="1005"/>
        <v>10.994400000000001</v>
      </c>
      <c r="O6421" s="11">
        <f t="shared" si="1006"/>
        <v>0.08</v>
      </c>
      <c r="P6421" s="12">
        <f t="shared" si="1007"/>
        <v>-10.994400000000001</v>
      </c>
      <c r="Q6421" s="17" t="str">
        <f t="shared" si="1009"/>
        <v>Ecart négatif</v>
      </c>
    </row>
    <row r="6422" spans="1:18" x14ac:dyDescent="0.3">
      <c r="A6422" s="34" t="str">
        <f>base!J6422</f>
        <v>LM</v>
      </c>
      <c r="B6422" s="34" t="str">
        <f>base!V6422</f>
        <v>26000</v>
      </c>
      <c r="C6422" s="37">
        <v>67</v>
      </c>
      <c r="D6422" s="36">
        <f>base!H6422</f>
        <v>55.16</v>
      </c>
      <c r="E6422" s="44"/>
      <c r="F6422" s="16">
        <f>base!W6422</f>
        <v>14.89</v>
      </c>
      <c r="G6422" s="11">
        <f t="shared" si="1000"/>
        <v>0.26994198694706312</v>
      </c>
      <c r="H6422" s="11">
        <f t="shared" si="1001"/>
        <v>15.996399999999998</v>
      </c>
      <c r="I6422" s="11">
        <f t="shared" si="1002"/>
        <v>0.28999999999999998</v>
      </c>
      <c r="J6422" s="12">
        <f t="shared" si="1003"/>
        <v>-1.1063999999999972</v>
      </c>
      <c r="K6422" s="17" t="str">
        <f t="shared" si="1008"/>
        <v>Ecart négatif</v>
      </c>
      <c r="L6422" s="16">
        <f>base!X6422</f>
        <v>0</v>
      </c>
      <c r="M6422" s="11">
        <f t="shared" si="1004"/>
        <v>0</v>
      </c>
      <c r="N6422" s="11">
        <f t="shared" si="1005"/>
        <v>4.4127999999999998</v>
      </c>
      <c r="O6422" s="11">
        <f t="shared" si="1006"/>
        <v>0.08</v>
      </c>
      <c r="P6422" s="12">
        <f t="shared" si="1007"/>
        <v>-4.4127999999999998</v>
      </c>
      <c r="Q6422" s="17" t="str">
        <f t="shared" si="1009"/>
        <v>Ecart négatif</v>
      </c>
    </row>
    <row r="6423" spans="1:18" x14ac:dyDescent="0.3">
      <c r="A6423" s="34" t="str">
        <f>base!J6423</f>
        <v>LM</v>
      </c>
      <c r="B6423" s="34" t="str">
        <f>base!V6423</f>
        <v>87000</v>
      </c>
      <c r="C6423" s="37">
        <v>67</v>
      </c>
      <c r="D6423" s="36">
        <f>base!H6423</f>
        <v>20.23</v>
      </c>
      <c r="E6423" s="44"/>
      <c r="F6423" s="16">
        <f>base!W6423</f>
        <v>5.87</v>
      </c>
      <c r="G6423" s="11">
        <f t="shared" si="1000"/>
        <v>0.2901631240731587</v>
      </c>
      <c r="H6423" s="11">
        <f t="shared" si="1001"/>
        <v>5.8666999999999998</v>
      </c>
      <c r="I6423" s="11">
        <f t="shared" si="1002"/>
        <v>0.28999999999999998</v>
      </c>
      <c r="J6423" s="12">
        <f t="shared" si="1003"/>
        <v>3.3000000000003027E-3</v>
      </c>
      <c r="K6423" s="17" t="str">
        <f t="shared" si="1008"/>
        <v>Ecart positif</v>
      </c>
      <c r="L6423" s="16">
        <f>base!X6423</f>
        <v>0</v>
      </c>
      <c r="M6423" s="11">
        <f t="shared" si="1004"/>
        <v>0</v>
      </c>
      <c r="N6423" s="11">
        <f t="shared" si="1005"/>
        <v>1.6184000000000001</v>
      </c>
      <c r="O6423" s="11">
        <f t="shared" si="1006"/>
        <v>0.08</v>
      </c>
      <c r="P6423" s="12">
        <f t="shared" si="1007"/>
        <v>-1.6184000000000001</v>
      </c>
      <c r="Q6423" s="17" t="str">
        <f t="shared" si="1009"/>
        <v>Ecart négatif</v>
      </c>
    </row>
    <row r="6424" spans="1:18" x14ac:dyDescent="0.3">
      <c r="A6424" s="34" t="str">
        <f>base!J6424</f>
        <v>LS</v>
      </c>
      <c r="B6424" s="34" t="str">
        <f>base!V6424</f>
        <v>42160</v>
      </c>
      <c r="C6424" s="37">
        <v>68</v>
      </c>
      <c r="D6424" s="36">
        <f>base!H6424</f>
        <v>114.65</v>
      </c>
      <c r="E6424" s="44"/>
      <c r="F6424" s="16">
        <f>base!W6424</f>
        <v>30.96</v>
      </c>
      <c r="G6424" s="11">
        <f t="shared" si="1000"/>
        <v>0.2700392498909725</v>
      </c>
      <c r="H6424" s="11">
        <f t="shared" si="1001"/>
        <v>33.2485</v>
      </c>
      <c r="I6424" s="11">
        <f t="shared" si="1002"/>
        <v>0.28999999999999998</v>
      </c>
      <c r="J6424" s="12">
        <f t="shared" si="1003"/>
        <v>-2.2884999999999991</v>
      </c>
      <c r="K6424" s="17" t="str">
        <f t="shared" si="1008"/>
        <v>Ecart négatif</v>
      </c>
      <c r="L6424" s="16">
        <f>base!X6424</f>
        <v>0</v>
      </c>
      <c r="M6424" s="11">
        <f t="shared" si="1004"/>
        <v>0</v>
      </c>
      <c r="N6424" s="11">
        <f t="shared" si="1005"/>
        <v>9.1720000000000006</v>
      </c>
      <c r="O6424" s="11">
        <f t="shared" si="1006"/>
        <v>0.08</v>
      </c>
      <c r="P6424" s="12">
        <f t="shared" si="1007"/>
        <v>-9.1720000000000006</v>
      </c>
      <c r="Q6424" s="17" t="str">
        <f t="shared" si="1009"/>
        <v>Ecart négatif</v>
      </c>
    </row>
    <row r="6425" spans="1:18" x14ac:dyDescent="0.3">
      <c r="A6425" s="34" t="str">
        <f>base!J6425</f>
        <v>LS</v>
      </c>
      <c r="B6425" s="34" t="str">
        <f>base!V6425</f>
        <v>66130</v>
      </c>
      <c r="C6425" s="37">
        <v>63</v>
      </c>
      <c r="D6425" s="36">
        <f>base!H6425</f>
        <v>137.01</v>
      </c>
      <c r="E6425" s="44"/>
      <c r="F6425" s="16">
        <f>base!W6425</f>
        <v>53.43</v>
      </c>
      <c r="G6425" s="11">
        <f t="shared" si="1000"/>
        <v>0.38997153492445807</v>
      </c>
      <c r="H6425" s="11">
        <f t="shared" si="1001"/>
        <v>39.732899999999994</v>
      </c>
      <c r="I6425" s="11">
        <f t="shared" si="1002"/>
        <v>0.28999999999999998</v>
      </c>
      <c r="J6425" s="12">
        <f t="shared" si="1003"/>
        <v>13.697100000000006</v>
      </c>
      <c r="K6425" s="17" t="str">
        <f t="shared" si="1008"/>
        <v>Ecart positif</v>
      </c>
      <c r="L6425" s="16">
        <f>base!X6425</f>
        <v>0</v>
      </c>
      <c r="M6425" s="11">
        <f t="shared" si="1004"/>
        <v>0</v>
      </c>
      <c r="N6425" s="11">
        <f t="shared" si="1005"/>
        <v>16.441199999999998</v>
      </c>
      <c r="O6425" s="11">
        <f t="shared" si="1006"/>
        <v>0.12</v>
      </c>
      <c r="P6425" s="12">
        <f t="shared" si="1007"/>
        <v>-16.441199999999998</v>
      </c>
      <c r="Q6425" s="17" t="str">
        <f t="shared" si="1009"/>
        <v>Ecart négatif</v>
      </c>
    </row>
    <row r="6426" spans="1:18" x14ac:dyDescent="0.3">
      <c r="A6426" s="34" t="str">
        <f>base!J6426</f>
        <v>DLM</v>
      </c>
      <c r="B6426" s="34" t="str">
        <f>base!V6426</f>
        <v>38510</v>
      </c>
      <c r="C6426" s="37">
        <v>38</v>
      </c>
      <c r="D6426" s="36">
        <f>base!H6426</f>
        <v>183.04</v>
      </c>
      <c r="E6426" s="44"/>
      <c r="F6426" s="16">
        <f>base!W6426</f>
        <v>0</v>
      </c>
      <c r="G6426" s="11">
        <f t="shared" si="1000"/>
        <v>0</v>
      </c>
      <c r="H6426" s="11">
        <f t="shared" si="1001"/>
        <v>49.4208</v>
      </c>
      <c r="I6426" s="11">
        <f t="shared" si="1002"/>
        <v>0.27</v>
      </c>
      <c r="J6426" s="12">
        <f t="shared" si="1003"/>
        <v>-49.4208</v>
      </c>
      <c r="K6426" s="17" t="str">
        <f t="shared" si="1008"/>
        <v>Ecart négatif</v>
      </c>
      <c r="L6426" s="16">
        <f>base!X6426</f>
        <v>0</v>
      </c>
      <c r="M6426" s="11">
        <f t="shared" si="1004"/>
        <v>0</v>
      </c>
      <c r="N6426" s="11">
        <f t="shared" si="1005"/>
        <v>0</v>
      </c>
      <c r="O6426" s="11">
        <f t="shared" si="1006"/>
        <v>0</v>
      </c>
      <c r="P6426" s="12">
        <f t="shared" si="1007"/>
        <v>0</v>
      </c>
      <c r="Q6426" s="17" t="str">
        <f t="shared" si="1009"/>
        <v>Pas d'écart</v>
      </c>
    </row>
    <row r="6427" spans="1:18" x14ac:dyDescent="0.3">
      <c r="A6427" s="34" t="str">
        <f>base!J6427</f>
        <v>RS</v>
      </c>
      <c r="B6427" s="34" t="str">
        <f>base!V6427</f>
        <v>60200</v>
      </c>
      <c r="C6427" s="37">
        <v>60</v>
      </c>
      <c r="D6427" s="36">
        <f>base!H6427</f>
        <v>40</v>
      </c>
      <c r="E6427" s="44"/>
      <c r="F6427" s="16">
        <f>base!W6427</f>
        <v>0</v>
      </c>
      <c r="G6427" s="11">
        <f t="shared" si="1000"/>
        <v>0</v>
      </c>
      <c r="H6427" s="11">
        <f t="shared" si="1001"/>
        <v>7.6</v>
      </c>
      <c r="I6427" s="11">
        <f t="shared" si="1002"/>
        <v>0.19</v>
      </c>
      <c r="J6427" s="12">
        <f t="shared" si="1003"/>
        <v>-7.6</v>
      </c>
      <c r="K6427" s="17" t="str">
        <f t="shared" si="1008"/>
        <v>Ecart négatif</v>
      </c>
      <c r="L6427" s="16">
        <f>base!X6427</f>
        <v>0</v>
      </c>
      <c r="M6427" s="11">
        <f t="shared" si="1004"/>
        <v>0</v>
      </c>
      <c r="N6427" s="11">
        <f t="shared" si="1005"/>
        <v>0</v>
      </c>
      <c r="O6427" s="11">
        <f t="shared" si="1006"/>
        <v>0</v>
      </c>
      <c r="P6427" s="12">
        <f t="shared" si="1007"/>
        <v>0</v>
      </c>
      <c r="Q6427" s="17" t="str">
        <f t="shared" si="1009"/>
        <v>Pas d'écart</v>
      </c>
    </row>
    <row r="6428" spans="1:18" x14ac:dyDescent="0.3">
      <c r="A6428" s="34" t="str">
        <f>base!J6428</f>
        <v>RS</v>
      </c>
      <c r="B6428" s="34" t="str">
        <f>base!V6428</f>
        <v>35510</v>
      </c>
      <c r="C6428" s="37">
        <v>35</v>
      </c>
      <c r="D6428" s="36">
        <f>base!H6428</f>
        <v>42.96</v>
      </c>
      <c r="E6428" s="44"/>
      <c r="F6428" s="16">
        <f>base!W6428</f>
        <v>0</v>
      </c>
      <c r="G6428" s="11">
        <f t="shared" si="1000"/>
        <v>0</v>
      </c>
      <c r="H6428" s="11">
        <f t="shared" si="1001"/>
        <v>11.599200000000002</v>
      </c>
      <c r="I6428" s="11">
        <f t="shared" si="1002"/>
        <v>0.27</v>
      </c>
      <c r="J6428" s="12">
        <f t="shared" si="1003"/>
        <v>-11.599200000000002</v>
      </c>
      <c r="K6428" s="17" t="str">
        <f t="shared" si="1008"/>
        <v>Ecart négatif</v>
      </c>
      <c r="L6428" s="16">
        <f>base!X6428</f>
        <v>0</v>
      </c>
      <c r="M6428" s="11">
        <f t="shared" si="1004"/>
        <v>0</v>
      </c>
      <c r="N6428" s="11">
        <f t="shared" si="1005"/>
        <v>0</v>
      </c>
      <c r="O6428" s="11">
        <f t="shared" si="1006"/>
        <v>0</v>
      </c>
      <c r="P6428" s="12">
        <f t="shared" si="1007"/>
        <v>0</v>
      </c>
      <c r="Q6428" s="17" t="str">
        <f t="shared" si="1009"/>
        <v>Pas d'écart</v>
      </c>
    </row>
    <row r="6429" spans="1:18" x14ac:dyDescent="0.3">
      <c r="A6429" s="34" t="str">
        <f>base!J6429</f>
        <v>RS</v>
      </c>
      <c r="B6429" s="34" t="str">
        <f>base!V6429</f>
        <v>13821</v>
      </c>
      <c r="C6429" s="37">
        <v>13</v>
      </c>
      <c r="D6429" s="36">
        <f>base!H6429</f>
        <v>239.58</v>
      </c>
      <c r="E6429" s="44"/>
      <c r="F6429" s="16">
        <f>base!W6429</f>
        <v>0</v>
      </c>
      <c r="G6429" s="11">
        <f t="shared" si="1000"/>
        <v>0</v>
      </c>
      <c r="H6429" s="11">
        <f t="shared" si="1001"/>
        <v>69.478200000000001</v>
      </c>
      <c r="I6429" s="11">
        <f t="shared" si="1002"/>
        <v>0.28999999999999998</v>
      </c>
      <c r="J6429" s="12">
        <f t="shared" si="1003"/>
        <v>-69.478200000000001</v>
      </c>
      <c r="K6429" s="17" t="str">
        <f t="shared" si="1008"/>
        <v>Ecart négatif</v>
      </c>
      <c r="L6429" s="16">
        <f>base!X6429</f>
        <v>45.52</v>
      </c>
      <c r="M6429" s="11">
        <f t="shared" si="1004"/>
        <v>0.18999916520577678</v>
      </c>
      <c r="N6429" s="11">
        <f t="shared" si="1005"/>
        <v>45.520200000000003</v>
      </c>
      <c r="O6429" s="11">
        <f t="shared" si="1006"/>
        <v>0.19</v>
      </c>
      <c r="P6429" s="12">
        <f t="shared" si="1007"/>
        <v>-1.9999999999953388E-4</v>
      </c>
      <c r="Q6429" s="17" t="str">
        <f t="shared" si="1009"/>
        <v>Ecart négatif</v>
      </c>
      <c r="R6429" s="38"/>
    </row>
    <row r="6430" spans="1:18" x14ac:dyDescent="0.3">
      <c r="A6430" s="34" t="str">
        <f>base!J6430</f>
        <v>RS</v>
      </c>
      <c r="B6430" s="34" t="str">
        <f>base!V6430</f>
        <v>75002</v>
      </c>
      <c r="C6430" s="37">
        <v>75</v>
      </c>
      <c r="D6430" s="36">
        <f>base!H6430</f>
        <v>40</v>
      </c>
      <c r="E6430" s="44"/>
      <c r="F6430" s="16">
        <f>base!W6430</f>
        <v>0</v>
      </c>
      <c r="G6430" s="11">
        <f t="shared" si="1000"/>
        <v>0</v>
      </c>
      <c r="H6430" s="11">
        <f t="shared" si="1001"/>
        <v>0</v>
      </c>
      <c r="I6430" s="11">
        <f t="shared" si="1002"/>
        <v>0</v>
      </c>
      <c r="J6430" s="12">
        <f t="shared" si="1003"/>
        <v>0</v>
      </c>
      <c r="K6430" s="17" t="str">
        <f t="shared" si="1008"/>
        <v>Pas d'écart</v>
      </c>
      <c r="L6430" s="16">
        <f>base!X6430</f>
        <v>0</v>
      </c>
      <c r="M6430" s="11">
        <f t="shared" si="1004"/>
        <v>0</v>
      </c>
      <c r="N6430" s="11">
        <f t="shared" si="1005"/>
        <v>0</v>
      </c>
      <c r="O6430" s="11">
        <f t="shared" si="1006"/>
        <v>0</v>
      </c>
      <c r="P6430" s="12">
        <f t="shared" si="1007"/>
        <v>0</v>
      </c>
      <c r="Q6430" s="17" t="str">
        <f t="shared" si="1009"/>
        <v>Pas d'écart</v>
      </c>
    </row>
    <row r="6431" spans="1:18" x14ac:dyDescent="0.3">
      <c r="A6431" s="34" t="str">
        <f>base!J6431</f>
        <v>LM</v>
      </c>
      <c r="B6431" s="34" t="str">
        <f>base!V6431</f>
        <v>68520</v>
      </c>
      <c r="C6431" s="37">
        <v>68</v>
      </c>
      <c r="D6431" s="36">
        <f>base!H6431</f>
        <v>40</v>
      </c>
      <c r="E6431" s="44"/>
      <c r="F6431" s="16">
        <f>base!W6431</f>
        <v>11.6</v>
      </c>
      <c r="G6431" s="11">
        <f t="shared" si="1000"/>
        <v>0.28999999999999998</v>
      </c>
      <c r="H6431" s="11">
        <f t="shared" si="1001"/>
        <v>11.6</v>
      </c>
      <c r="I6431" s="11">
        <f t="shared" si="1002"/>
        <v>0.28999999999999998</v>
      </c>
      <c r="J6431" s="12">
        <f t="shared" si="1003"/>
        <v>0</v>
      </c>
      <c r="K6431" s="17" t="str">
        <f t="shared" si="1008"/>
        <v>Pas d'écart</v>
      </c>
      <c r="L6431" s="16">
        <f>base!X6431</f>
        <v>0</v>
      </c>
      <c r="M6431" s="11">
        <f t="shared" si="1004"/>
        <v>0</v>
      </c>
      <c r="N6431" s="11">
        <f t="shared" si="1005"/>
        <v>3.2</v>
      </c>
      <c r="O6431" s="11">
        <f t="shared" si="1006"/>
        <v>0.08</v>
      </c>
      <c r="P6431" s="12">
        <f t="shared" si="1007"/>
        <v>-3.2</v>
      </c>
      <c r="Q6431" s="17" t="str">
        <f t="shared" si="1009"/>
        <v>Ecart négatif</v>
      </c>
    </row>
    <row r="6432" spans="1:18" x14ac:dyDescent="0.3">
      <c r="A6432" s="34" t="str">
        <f>base!J6432</f>
        <v>LS</v>
      </c>
      <c r="B6432" s="34" t="str">
        <f>base!V6432</f>
        <v>75009</v>
      </c>
      <c r="C6432" s="37">
        <v>75</v>
      </c>
      <c r="D6432" s="36">
        <f>base!H6432</f>
        <v>56.51</v>
      </c>
      <c r="E6432" s="44"/>
      <c r="F6432" s="16">
        <f>base!W6432</f>
        <v>0</v>
      </c>
      <c r="G6432" s="11">
        <f t="shared" si="1000"/>
        <v>0</v>
      </c>
      <c r="H6432" s="11">
        <f t="shared" si="1001"/>
        <v>0</v>
      </c>
      <c r="I6432" s="11">
        <f t="shared" si="1002"/>
        <v>0</v>
      </c>
      <c r="J6432" s="12">
        <f t="shared" si="1003"/>
        <v>0</v>
      </c>
      <c r="K6432" s="17" t="str">
        <f t="shared" si="1008"/>
        <v>Pas d'écart</v>
      </c>
      <c r="L6432" s="16">
        <f>base!X6432</f>
        <v>0</v>
      </c>
      <c r="M6432" s="11">
        <f t="shared" si="1004"/>
        <v>0</v>
      </c>
      <c r="N6432" s="11">
        <f t="shared" si="1005"/>
        <v>0</v>
      </c>
      <c r="O6432" s="11">
        <f t="shared" si="1006"/>
        <v>0</v>
      </c>
      <c r="P6432" s="12">
        <f t="shared" si="1007"/>
        <v>0</v>
      </c>
      <c r="Q6432" s="17" t="str">
        <f t="shared" si="1009"/>
        <v>Pas d'écart</v>
      </c>
    </row>
    <row r="6433" spans="1:17" x14ac:dyDescent="0.3">
      <c r="A6433" s="34" t="str">
        <f>base!J6433</f>
        <v>LS</v>
      </c>
      <c r="B6433" s="34" t="str">
        <f>base!V6433</f>
        <v>88350</v>
      </c>
      <c r="C6433" s="37">
        <v>13</v>
      </c>
      <c r="D6433" s="36">
        <f>base!H6433</f>
        <v>37.53</v>
      </c>
      <c r="E6433" s="44"/>
      <c r="F6433" s="16">
        <f>base!W6433</f>
        <v>10.88</v>
      </c>
      <c r="G6433" s="11">
        <f t="shared" si="1000"/>
        <v>0.28990141220357046</v>
      </c>
      <c r="H6433" s="11">
        <f t="shared" si="1001"/>
        <v>10.883699999999999</v>
      </c>
      <c r="I6433" s="11">
        <f t="shared" si="1002"/>
        <v>0.28999999999999998</v>
      </c>
      <c r="J6433" s="12">
        <f t="shared" si="1003"/>
        <v>-3.6999999999984823E-3</v>
      </c>
      <c r="K6433" s="17" t="str">
        <f t="shared" si="1008"/>
        <v>Ecart négatif</v>
      </c>
      <c r="L6433" s="16">
        <f>base!X6433</f>
        <v>0</v>
      </c>
      <c r="M6433" s="11">
        <f t="shared" si="1004"/>
        <v>0</v>
      </c>
      <c r="N6433" s="11">
        <f t="shared" si="1005"/>
        <v>7.1307</v>
      </c>
      <c r="O6433" s="11">
        <f t="shared" si="1006"/>
        <v>0.19</v>
      </c>
      <c r="P6433" s="12">
        <f t="shared" si="1007"/>
        <v>-7.1307</v>
      </c>
      <c r="Q6433" s="17" t="str">
        <f t="shared" si="1009"/>
        <v>Ecart négatif</v>
      </c>
    </row>
    <row r="6434" spans="1:17" x14ac:dyDescent="0.3">
      <c r="A6434" s="34">
        <f>base!J6434</f>
        <v>0</v>
      </c>
      <c r="B6434" s="34" t="str">
        <f>base!V6434</f>
        <v>77184</v>
      </c>
      <c r="C6434" s="37">
        <v>77</v>
      </c>
      <c r="D6434" s="36">
        <f>base!H6434</f>
        <v>84.5</v>
      </c>
      <c r="E6434" s="44"/>
      <c r="F6434" s="16">
        <f>base!W6434</f>
        <v>0</v>
      </c>
      <c r="G6434" s="11">
        <f t="shared" si="1000"/>
        <v>0</v>
      </c>
      <c r="H6434" s="11">
        <f t="shared" si="1001"/>
        <v>0</v>
      </c>
      <c r="I6434" s="11">
        <f t="shared" si="1002"/>
        <v>0</v>
      </c>
      <c r="J6434" s="12">
        <f t="shared" si="1003"/>
        <v>0</v>
      </c>
      <c r="K6434" s="17" t="str">
        <f t="shared" si="1008"/>
        <v>Pas d'écart</v>
      </c>
      <c r="L6434" s="16">
        <f>base!X6434</f>
        <v>0</v>
      </c>
      <c r="M6434" s="11">
        <f t="shared" si="1004"/>
        <v>0</v>
      </c>
      <c r="N6434" s="11">
        <f t="shared" si="1005"/>
        <v>0</v>
      </c>
      <c r="O6434" s="11">
        <f t="shared" si="1006"/>
        <v>0</v>
      </c>
      <c r="P6434" s="12">
        <f t="shared" si="1007"/>
        <v>0</v>
      </c>
      <c r="Q6434" s="17" t="str">
        <f t="shared" si="1009"/>
        <v>Pas d'écart</v>
      </c>
    </row>
    <row r="6435" spans="1:17" x14ac:dyDescent="0.3">
      <c r="A6435" s="34">
        <f>base!J6435</f>
        <v>0</v>
      </c>
      <c r="B6435" s="34" t="str">
        <f>base!V6435</f>
        <v>77184</v>
      </c>
      <c r="C6435" s="37">
        <v>77</v>
      </c>
      <c r="D6435" s="36">
        <f>base!H6435</f>
        <v>84.5</v>
      </c>
      <c r="E6435" s="44"/>
      <c r="F6435" s="16">
        <f>base!W6435</f>
        <v>0</v>
      </c>
      <c r="G6435" s="11">
        <f t="shared" si="1000"/>
        <v>0</v>
      </c>
      <c r="H6435" s="11">
        <f t="shared" si="1001"/>
        <v>0</v>
      </c>
      <c r="I6435" s="11">
        <f t="shared" si="1002"/>
        <v>0</v>
      </c>
      <c r="J6435" s="12">
        <f t="shared" si="1003"/>
        <v>0</v>
      </c>
      <c r="K6435" s="17" t="str">
        <f t="shared" si="1008"/>
        <v>Pas d'écart</v>
      </c>
      <c r="L6435" s="16">
        <f>base!X6435</f>
        <v>0</v>
      </c>
      <c r="M6435" s="11">
        <f t="shared" si="1004"/>
        <v>0</v>
      </c>
      <c r="N6435" s="11">
        <f t="shared" si="1005"/>
        <v>0</v>
      </c>
      <c r="O6435" s="11">
        <f t="shared" si="1006"/>
        <v>0</v>
      </c>
      <c r="P6435" s="12">
        <f t="shared" si="1007"/>
        <v>0</v>
      </c>
      <c r="Q6435" s="17" t="str">
        <f t="shared" si="1009"/>
        <v>Pas d'écart</v>
      </c>
    </row>
    <row r="6436" spans="1:17" x14ac:dyDescent="0.3">
      <c r="A6436" s="34">
        <f>base!J6436</f>
        <v>0</v>
      </c>
      <c r="B6436" s="34" t="str">
        <f>base!V6436</f>
        <v>77184</v>
      </c>
      <c r="C6436" s="37">
        <v>77</v>
      </c>
      <c r="D6436" s="36">
        <f>base!H6436</f>
        <v>121.8</v>
      </c>
      <c r="E6436" s="44"/>
      <c r="F6436" s="16">
        <f>base!W6436</f>
        <v>0</v>
      </c>
      <c r="G6436" s="11">
        <f t="shared" si="1000"/>
        <v>0</v>
      </c>
      <c r="H6436" s="11">
        <f t="shared" si="1001"/>
        <v>0</v>
      </c>
      <c r="I6436" s="11">
        <f t="shared" si="1002"/>
        <v>0</v>
      </c>
      <c r="J6436" s="12">
        <f t="shared" si="1003"/>
        <v>0</v>
      </c>
      <c r="K6436" s="17" t="str">
        <f t="shared" si="1008"/>
        <v>Pas d'écart</v>
      </c>
      <c r="L6436" s="16">
        <f>base!X6436</f>
        <v>0</v>
      </c>
      <c r="M6436" s="11">
        <f t="shared" si="1004"/>
        <v>0</v>
      </c>
      <c r="N6436" s="11">
        <f t="shared" si="1005"/>
        <v>0</v>
      </c>
      <c r="O6436" s="11">
        <f t="shared" si="1006"/>
        <v>0</v>
      </c>
      <c r="P6436" s="12">
        <f t="shared" si="1007"/>
        <v>0</v>
      </c>
      <c r="Q6436" s="17" t="str">
        <f t="shared" si="1009"/>
        <v>Pas d'écart</v>
      </c>
    </row>
    <row r="6437" spans="1:17" x14ac:dyDescent="0.3">
      <c r="A6437" s="34" t="str">
        <f>base!J6437</f>
        <v>RM</v>
      </c>
      <c r="B6437" s="34" t="str">
        <f>base!V6437</f>
        <v>59980</v>
      </c>
      <c r="C6437" s="37">
        <v>59</v>
      </c>
      <c r="D6437" s="36">
        <f>base!H6437</f>
        <v>140</v>
      </c>
      <c r="E6437" s="44"/>
      <c r="F6437" s="16">
        <f>base!W6437</f>
        <v>0</v>
      </c>
      <c r="G6437" s="11">
        <f t="shared" si="1000"/>
        <v>0</v>
      </c>
      <c r="H6437" s="11">
        <f t="shared" si="1001"/>
        <v>26.6</v>
      </c>
      <c r="I6437" s="11">
        <f t="shared" si="1002"/>
        <v>0.19</v>
      </c>
      <c r="J6437" s="12">
        <f t="shared" si="1003"/>
        <v>-26.6</v>
      </c>
      <c r="K6437" s="17" t="str">
        <f t="shared" si="1008"/>
        <v>Ecart négatif</v>
      </c>
      <c r="L6437" s="16">
        <f>base!X6437</f>
        <v>0</v>
      </c>
      <c r="M6437" s="11">
        <f t="shared" si="1004"/>
        <v>0</v>
      </c>
      <c r="N6437" s="11">
        <f t="shared" si="1005"/>
        <v>0</v>
      </c>
      <c r="O6437" s="11">
        <f t="shared" si="1006"/>
        <v>0</v>
      </c>
      <c r="P6437" s="12">
        <f t="shared" si="1007"/>
        <v>0</v>
      </c>
      <c r="Q6437" s="17" t="str">
        <f t="shared" si="1009"/>
        <v>Pas d'écart</v>
      </c>
    </row>
    <row r="6438" spans="1:17" x14ac:dyDescent="0.3">
      <c r="A6438" s="34">
        <f>base!J6438</f>
        <v>0</v>
      </c>
      <c r="B6438" s="34" t="str">
        <f>base!V6438</f>
        <v>77184</v>
      </c>
      <c r="C6438" s="37">
        <v>77</v>
      </c>
      <c r="D6438" s="36">
        <f>base!H6438</f>
        <v>171.88</v>
      </c>
      <c r="E6438" s="44"/>
      <c r="F6438" s="16">
        <f>base!W6438</f>
        <v>0</v>
      </c>
      <c r="G6438" s="11">
        <f t="shared" si="1000"/>
        <v>0</v>
      </c>
      <c r="H6438" s="11">
        <f t="shared" si="1001"/>
        <v>0</v>
      </c>
      <c r="I6438" s="11">
        <f t="shared" si="1002"/>
        <v>0</v>
      </c>
      <c r="J6438" s="12">
        <f t="shared" si="1003"/>
        <v>0</v>
      </c>
      <c r="K6438" s="17" t="str">
        <f t="shared" si="1008"/>
        <v>Pas d'écart</v>
      </c>
      <c r="L6438" s="16">
        <f>base!X6438</f>
        <v>0</v>
      </c>
      <c r="M6438" s="11">
        <f t="shared" si="1004"/>
        <v>0</v>
      </c>
      <c r="N6438" s="11">
        <f t="shared" si="1005"/>
        <v>0</v>
      </c>
      <c r="O6438" s="11">
        <f t="shared" si="1006"/>
        <v>0</v>
      </c>
      <c r="P6438" s="12">
        <f t="shared" si="1007"/>
        <v>0</v>
      </c>
      <c r="Q6438" s="17" t="str">
        <f t="shared" si="1009"/>
        <v>Pas d'écart</v>
      </c>
    </row>
    <row r="6439" spans="1:17" x14ac:dyDescent="0.3">
      <c r="A6439" s="34" t="str">
        <f>base!J6439</f>
        <v>LS</v>
      </c>
      <c r="B6439" s="34" t="str">
        <f>base!V6439</f>
        <v>59777</v>
      </c>
      <c r="C6439" s="37">
        <v>67</v>
      </c>
      <c r="D6439" s="36">
        <f>base!H6439</f>
        <v>31.4</v>
      </c>
      <c r="E6439" s="44"/>
      <c r="F6439" s="16">
        <f>base!W6439</f>
        <v>5.97</v>
      </c>
      <c r="G6439" s="11">
        <f t="shared" si="1000"/>
        <v>0.19012738853503186</v>
      </c>
      <c r="H6439" s="11">
        <f t="shared" si="1001"/>
        <v>9.1059999999999981</v>
      </c>
      <c r="I6439" s="11">
        <f t="shared" si="1002"/>
        <v>0.28999999999999998</v>
      </c>
      <c r="J6439" s="12">
        <f t="shared" si="1003"/>
        <v>-3.1359999999999983</v>
      </c>
      <c r="K6439" s="17" t="str">
        <f t="shared" si="1008"/>
        <v>Ecart négatif</v>
      </c>
      <c r="L6439" s="16">
        <f>base!X6439</f>
        <v>0</v>
      </c>
      <c r="M6439" s="11">
        <f t="shared" si="1004"/>
        <v>0</v>
      </c>
      <c r="N6439" s="11">
        <f t="shared" si="1005"/>
        <v>2.512</v>
      </c>
      <c r="O6439" s="11">
        <f t="shared" si="1006"/>
        <v>0.08</v>
      </c>
      <c r="P6439" s="12">
        <f t="shared" si="1007"/>
        <v>-2.512</v>
      </c>
      <c r="Q6439" s="17" t="str">
        <f t="shared" si="1009"/>
        <v>Ecart négatif</v>
      </c>
    </row>
    <row r="6440" spans="1:17" x14ac:dyDescent="0.3">
      <c r="A6440" s="34" t="str">
        <f>base!J6440</f>
        <v>LS</v>
      </c>
      <c r="B6440" s="34" t="str">
        <f>base!V6440</f>
        <v>34500</v>
      </c>
      <c r="C6440" s="37">
        <v>13</v>
      </c>
      <c r="D6440" s="36">
        <f>base!H6440</f>
        <v>143.44999999999999</v>
      </c>
      <c r="E6440" s="44"/>
      <c r="F6440" s="16">
        <f>base!W6440</f>
        <v>55.95</v>
      </c>
      <c r="G6440" s="11">
        <f t="shared" si="1000"/>
        <v>0.3900313698152667</v>
      </c>
      <c r="H6440" s="11">
        <f t="shared" si="1001"/>
        <v>41.600499999999997</v>
      </c>
      <c r="I6440" s="11">
        <f t="shared" si="1002"/>
        <v>0.28999999999999998</v>
      </c>
      <c r="J6440" s="12">
        <f t="shared" si="1003"/>
        <v>14.349500000000006</v>
      </c>
      <c r="K6440" s="17" t="str">
        <f t="shared" si="1008"/>
        <v>Ecart positif</v>
      </c>
      <c r="L6440" s="16">
        <f>base!X6440</f>
        <v>0</v>
      </c>
      <c r="M6440" s="11">
        <f t="shared" si="1004"/>
        <v>0</v>
      </c>
      <c r="N6440" s="11">
        <f t="shared" si="1005"/>
        <v>27.255499999999998</v>
      </c>
      <c r="O6440" s="11">
        <f t="shared" si="1006"/>
        <v>0.19</v>
      </c>
      <c r="P6440" s="12">
        <f t="shared" si="1007"/>
        <v>-27.255499999999998</v>
      </c>
      <c r="Q6440" s="17" t="str">
        <f t="shared" si="1009"/>
        <v>Ecart négatif</v>
      </c>
    </row>
    <row r="6441" spans="1:17" x14ac:dyDescent="0.3">
      <c r="A6441" s="34" t="str">
        <f>base!J6441</f>
        <v>LM</v>
      </c>
      <c r="B6441" s="34" t="str">
        <f>base!V6441</f>
        <v>62740</v>
      </c>
      <c r="C6441" s="37">
        <v>6</v>
      </c>
      <c r="D6441" s="36">
        <f>base!H6441</f>
        <v>129.19999999999999</v>
      </c>
      <c r="E6441" s="44"/>
      <c r="F6441" s="16">
        <f>base!W6441</f>
        <v>24.55</v>
      </c>
      <c r="G6441" s="11">
        <f t="shared" si="1000"/>
        <v>0.19001547987616102</v>
      </c>
      <c r="H6441" s="11">
        <f t="shared" si="1001"/>
        <v>38.76</v>
      </c>
      <c r="I6441" s="11">
        <f t="shared" si="1002"/>
        <v>0.3</v>
      </c>
      <c r="J6441" s="12">
        <f t="shared" si="1003"/>
        <v>-14.209999999999997</v>
      </c>
      <c r="K6441" s="17" t="str">
        <f t="shared" si="1008"/>
        <v>Ecart négatif</v>
      </c>
      <c r="L6441" s="16">
        <f>base!X6441</f>
        <v>0</v>
      </c>
      <c r="M6441" s="11">
        <f t="shared" si="1004"/>
        <v>0</v>
      </c>
      <c r="N6441" s="11">
        <f t="shared" si="1005"/>
        <v>27.131999999999998</v>
      </c>
      <c r="O6441" s="11">
        <f t="shared" si="1006"/>
        <v>0.21</v>
      </c>
      <c r="P6441" s="12">
        <f t="shared" si="1007"/>
        <v>-27.131999999999998</v>
      </c>
      <c r="Q6441" s="17" t="str">
        <f t="shared" si="1009"/>
        <v>Ecart négatif</v>
      </c>
    </row>
    <row r="6442" spans="1:17" x14ac:dyDescent="0.3">
      <c r="A6442" s="34" t="str">
        <f>base!J6442</f>
        <v>LM</v>
      </c>
      <c r="B6442" s="34" t="str">
        <f>base!V6442</f>
        <v>69110</v>
      </c>
      <c r="C6442" s="37">
        <v>68</v>
      </c>
      <c r="D6442" s="36">
        <f>base!H6442</f>
        <v>28.62</v>
      </c>
      <c r="E6442" s="44"/>
      <c r="F6442" s="16">
        <f>base!W6442</f>
        <v>7.73</v>
      </c>
      <c r="G6442" s="11">
        <f t="shared" si="1000"/>
        <v>0.2700908455625437</v>
      </c>
      <c r="H6442" s="11">
        <f t="shared" si="1001"/>
        <v>8.2997999999999994</v>
      </c>
      <c r="I6442" s="11">
        <f t="shared" si="1002"/>
        <v>0.28999999999999998</v>
      </c>
      <c r="J6442" s="12">
        <f t="shared" si="1003"/>
        <v>-0.56979999999999897</v>
      </c>
      <c r="K6442" s="17" t="str">
        <f t="shared" si="1008"/>
        <v>Ecart négatif</v>
      </c>
      <c r="L6442" s="16">
        <f>base!X6442</f>
        <v>0</v>
      </c>
      <c r="M6442" s="11">
        <f t="shared" si="1004"/>
        <v>0</v>
      </c>
      <c r="N6442" s="11">
        <f t="shared" si="1005"/>
        <v>2.2896000000000001</v>
      </c>
      <c r="O6442" s="11">
        <f t="shared" si="1006"/>
        <v>0.08</v>
      </c>
      <c r="P6442" s="12">
        <f t="shared" si="1007"/>
        <v>-2.2896000000000001</v>
      </c>
      <c r="Q6442" s="17" t="str">
        <f t="shared" si="1009"/>
        <v>Ecart négatif</v>
      </c>
    </row>
    <row r="6443" spans="1:17" x14ac:dyDescent="0.3">
      <c r="A6443" s="34">
        <f>base!J6443</f>
        <v>0</v>
      </c>
      <c r="B6443" s="34" t="str">
        <f>base!V6443</f>
        <v>44240</v>
      </c>
      <c r="C6443" s="37">
        <v>44</v>
      </c>
      <c r="D6443" s="36">
        <f>base!H6443</f>
        <v>31</v>
      </c>
      <c r="E6443" s="44"/>
      <c r="F6443" s="16">
        <f>base!W6443</f>
        <v>0</v>
      </c>
      <c r="G6443" s="11">
        <f t="shared" si="1000"/>
        <v>0</v>
      </c>
      <c r="H6443" s="11">
        <f t="shared" si="1001"/>
        <v>8.370000000000001</v>
      </c>
      <c r="I6443" s="11">
        <f t="shared" si="1002"/>
        <v>0.27</v>
      </c>
      <c r="J6443" s="12">
        <f t="shared" si="1003"/>
        <v>-8.370000000000001</v>
      </c>
      <c r="K6443" s="17" t="str">
        <f t="shared" si="1008"/>
        <v>Ecart négatif</v>
      </c>
      <c r="L6443" s="16">
        <f>base!X6443</f>
        <v>0</v>
      </c>
      <c r="M6443" s="11">
        <f t="shared" si="1004"/>
        <v>0</v>
      </c>
      <c r="N6443" s="11">
        <f t="shared" si="1005"/>
        <v>0</v>
      </c>
      <c r="O6443" s="11">
        <f t="shared" si="1006"/>
        <v>0</v>
      </c>
      <c r="P6443" s="12">
        <f t="shared" si="1007"/>
        <v>0</v>
      </c>
      <c r="Q6443" s="17" t="str">
        <f t="shared" si="1009"/>
        <v>Pas d'écart</v>
      </c>
    </row>
    <row r="6444" spans="1:17" x14ac:dyDescent="0.3">
      <c r="A6444" s="34">
        <f>base!J6444</f>
        <v>0</v>
      </c>
      <c r="B6444" s="34" t="str">
        <f>base!V6444</f>
        <v>44240</v>
      </c>
      <c r="C6444" s="37">
        <v>44</v>
      </c>
      <c r="D6444" s="36">
        <f>base!H6444</f>
        <v>31</v>
      </c>
      <c r="E6444" s="44"/>
      <c r="F6444" s="16">
        <f>base!W6444</f>
        <v>0</v>
      </c>
      <c r="G6444" s="11">
        <f t="shared" si="1000"/>
        <v>0</v>
      </c>
      <c r="H6444" s="11">
        <f t="shared" si="1001"/>
        <v>8.370000000000001</v>
      </c>
      <c r="I6444" s="11">
        <f t="shared" si="1002"/>
        <v>0.27</v>
      </c>
      <c r="J6444" s="12">
        <f t="shared" si="1003"/>
        <v>-8.370000000000001</v>
      </c>
      <c r="K6444" s="17" t="str">
        <f t="shared" si="1008"/>
        <v>Ecart négatif</v>
      </c>
      <c r="L6444" s="16">
        <f>base!X6444</f>
        <v>0</v>
      </c>
      <c r="M6444" s="11">
        <f t="shared" si="1004"/>
        <v>0</v>
      </c>
      <c r="N6444" s="11">
        <f t="shared" si="1005"/>
        <v>0</v>
      </c>
      <c r="O6444" s="11">
        <f t="shared" si="1006"/>
        <v>0</v>
      </c>
      <c r="P6444" s="12">
        <f t="shared" si="1007"/>
        <v>0</v>
      </c>
      <c r="Q6444" s="17" t="str">
        <f t="shared" si="1009"/>
        <v>Pas d'écart</v>
      </c>
    </row>
    <row r="6445" spans="1:17" x14ac:dyDescent="0.3">
      <c r="A6445" s="34">
        <f>base!J6445</f>
        <v>0</v>
      </c>
      <c r="B6445" s="34" t="str">
        <f>base!V6445</f>
        <v>44240</v>
      </c>
      <c r="C6445" s="37">
        <v>44</v>
      </c>
      <c r="D6445" s="36">
        <f>base!H6445</f>
        <v>34</v>
      </c>
      <c r="E6445" s="44"/>
      <c r="F6445" s="16">
        <f>base!W6445</f>
        <v>0</v>
      </c>
      <c r="G6445" s="11">
        <f t="shared" si="1000"/>
        <v>0</v>
      </c>
      <c r="H6445" s="11">
        <f t="shared" si="1001"/>
        <v>9.18</v>
      </c>
      <c r="I6445" s="11">
        <f t="shared" si="1002"/>
        <v>0.27</v>
      </c>
      <c r="J6445" s="12">
        <f t="shared" si="1003"/>
        <v>-9.18</v>
      </c>
      <c r="K6445" s="17" t="str">
        <f t="shared" si="1008"/>
        <v>Ecart négatif</v>
      </c>
      <c r="L6445" s="16">
        <f>base!X6445</f>
        <v>0</v>
      </c>
      <c r="M6445" s="11">
        <f t="shared" si="1004"/>
        <v>0</v>
      </c>
      <c r="N6445" s="11">
        <f t="shared" si="1005"/>
        <v>0</v>
      </c>
      <c r="O6445" s="11">
        <f t="shared" si="1006"/>
        <v>0</v>
      </c>
      <c r="P6445" s="12">
        <f t="shared" si="1007"/>
        <v>0</v>
      </c>
      <c r="Q6445" s="17" t="str">
        <f t="shared" si="1009"/>
        <v>Pas d'écart</v>
      </c>
    </row>
    <row r="6446" spans="1:17" x14ac:dyDescent="0.3">
      <c r="A6446" s="34">
        <f>base!J6446</f>
        <v>0</v>
      </c>
      <c r="B6446" s="34" t="str">
        <f>base!V6446</f>
        <v>44240</v>
      </c>
      <c r="C6446" s="37">
        <v>44</v>
      </c>
      <c r="D6446" s="36">
        <f>base!H6446</f>
        <v>22.8</v>
      </c>
      <c r="E6446" s="44"/>
      <c r="F6446" s="16">
        <f>base!W6446</f>
        <v>0</v>
      </c>
      <c r="G6446" s="11">
        <f t="shared" si="1000"/>
        <v>0</v>
      </c>
      <c r="H6446" s="11">
        <f t="shared" si="1001"/>
        <v>6.1560000000000006</v>
      </c>
      <c r="I6446" s="11">
        <f t="shared" si="1002"/>
        <v>0.27</v>
      </c>
      <c r="J6446" s="12">
        <f t="shared" si="1003"/>
        <v>-6.1560000000000006</v>
      </c>
      <c r="K6446" s="17" t="str">
        <f t="shared" si="1008"/>
        <v>Ecart négatif</v>
      </c>
      <c r="L6446" s="16">
        <f>base!X6446</f>
        <v>0</v>
      </c>
      <c r="M6446" s="11">
        <f t="shared" si="1004"/>
        <v>0</v>
      </c>
      <c r="N6446" s="11">
        <f t="shared" si="1005"/>
        <v>0</v>
      </c>
      <c r="O6446" s="11">
        <f t="shared" si="1006"/>
        <v>0</v>
      </c>
      <c r="P6446" s="12">
        <f t="shared" si="1007"/>
        <v>0</v>
      </c>
      <c r="Q6446" s="17" t="str">
        <f t="shared" si="1009"/>
        <v>Pas d'écart</v>
      </c>
    </row>
    <row r="6447" spans="1:17" x14ac:dyDescent="0.3">
      <c r="A6447" s="34">
        <f>base!J6447</f>
        <v>0</v>
      </c>
      <c r="B6447" s="34" t="str">
        <f>base!V6447</f>
        <v>44240</v>
      </c>
      <c r="C6447" s="37">
        <v>44</v>
      </c>
      <c r="D6447" s="36">
        <f>base!H6447</f>
        <v>31</v>
      </c>
      <c r="E6447" s="44"/>
      <c r="F6447" s="16">
        <f>base!W6447</f>
        <v>0</v>
      </c>
      <c r="G6447" s="11">
        <f t="shared" si="1000"/>
        <v>0</v>
      </c>
      <c r="H6447" s="11">
        <f t="shared" si="1001"/>
        <v>8.370000000000001</v>
      </c>
      <c r="I6447" s="11">
        <f t="shared" si="1002"/>
        <v>0.27</v>
      </c>
      <c r="J6447" s="12">
        <f t="shared" si="1003"/>
        <v>-8.370000000000001</v>
      </c>
      <c r="K6447" s="17" t="str">
        <f t="shared" si="1008"/>
        <v>Ecart négatif</v>
      </c>
      <c r="L6447" s="16">
        <f>base!X6447</f>
        <v>0</v>
      </c>
      <c r="M6447" s="11">
        <f t="shared" si="1004"/>
        <v>0</v>
      </c>
      <c r="N6447" s="11">
        <f t="shared" si="1005"/>
        <v>0</v>
      </c>
      <c r="O6447" s="11">
        <f t="shared" si="1006"/>
        <v>0</v>
      </c>
      <c r="P6447" s="12">
        <f t="shared" si="1007"/>
        <v>0</v>
      </c>
      <c r="Q6447" s="17" t="str">
        <f t="shared" si="1009"/>
        <v>Pas d'écart</v>
      </c>
    </row>
    <row r="6448" spans="1:17" x14ac:dyDescent="0.3">
      <c r="A6448" s="34" t="str">
        <f>base!J6448</f>
        <v>LM</v>
      </c>
      <c r="B6448" s="34" t="str">
        <f>base!V6448</f>
        <v>62740</v>
      </c>
      <c r="C6448" s="37">
        <v>62</v>
      </c>
      <c r="D6448" s="36">
        <f>base!H6448</f>
        <v>40</v>
      </c>
      <c r="E6448" s="44"/>
      <c r="F6448" s="16">
        <f>base!W6448</f>
        <v>7.6</v>
      </c>
      <c r="G6448" s="11">
        <f t="shared" si="1000"/>
        <v>0.19</v>
      </c>
      <c r="H6448" s="11">
        <f t="shared" si="1001"/>
        <v>7.6</v>
      </c>
      <c r="I6448" s="11">
        <f t="shared" si="1002"/>
        <v>0.19</v>
      </c>
      <c r="J6448" s="12">
        <f t="shared" si="1003"/>
        <v>0</v>
      </c>
      <c r="K6448" s="17" t="str">
        <f t="shared" si="1008"/>
        <v>Pas d'écart</v>
      </c>
      <c r="L6448" s="16">
        <f>base!X6448</f>
        <v>0</v>
      </c>
      <c r="M6448" s="11">
        <f t="shared" si="1004"/>
        <v>0</v>
      </c>
      <c r="N6448" s="11">
        <f t="shared" si="1005"/>
        <v>0</v>
      </c>
      <c r="O6448" s="11">
        <f t="shared" si="1006"/>
        <v>0</v>
      </c>
      <c r="P6448" s="12">
        <f t="shared" si="1007"/>
        <v>0</v>
      </c>
      <c r="Q6448" s="17" t="str">
        <f t="shared" si="1009"/>
        <v>Pas d'écart</v>
      </c>
    </row>
    <row r="6449" spans="1:18" x14ac:dyDescent="0.3">
      <c r="A6449" s="34" t="str">
        <f>base!J6449</f>
        <v>LM</v>
      </c>
      <c r="B6449" s="34" t="str">
        <f>base!V6449</f>
        <v>62740</v>
      </c>
      <c r="C6449" s="37">
        <v>62</v>
      </c>
      <c r="D6449" s="36">
        <f>base!H6449</f>
        <v>40</v>
      </c>
      <c r="E6449" s="44"/>
      <c r="F6449" s="16">
        <f>base!W6449</f>
        <v>7.6</v>
      </c>
      <c r="G6449" s="11">
        <f t="shared" si="1000"/>
        <v>0.19</v>
      </c>
      <c r="H6449" s="11">
        <f t="shared" si="1001"/>
        <v>7.6</v>
      </c>
      <c r="I6449" s="11">
        <f t="shared" si="1002"/>
        <v>0.19</v>
      </c>
      <c r="J6449" s="12">
        <f t="shared" si="1003"/>
        <v>0</v>
      </c>
      <c r="K6449" s="17" t="str">
        <f t="shared" si="1008"/>
        <v>Pas d'écart</v>
      </c>
      <c r="L6449" s="16">
        <f>base!X6449</f>
        <v>0</v>
      </c>
      <c r="M6449" s="11">
        <f t="shared" si="1004"/>
        <v>0</v>
      </c>
      <c r="N6449" s="11">
        <f t="shared" si="1005"/>
        <v>0</v>
      </c>
      <c r="O6449" s="11">
        <f t="shared" si="1006"/>
        <v>0</v>
      </c>
      <c r="P6449" s="12">
        <f t="shared" si="1007"/>
        <v>0</v>
      </c>
      <c r="Q6449" s="17" t="str">
        <f t="shared" si="1009"/>
        <v>Pas d'écart</v>
      </c>
    </row>
    <row r="6450" spans="1:18" x14ac:dyDescent="0.3">
      <c r="A6450" s="34">
        <f>base!J6450</f>
        <v>0</v>
      </c>
      <c r="B6450" s="34" t="str">
        <f>base!V6450</f>
        <v>77184</v>
      </c>
      <c r="C6450" s="37">
        <v>77</v>
      </c>
      <c r="D6450" s="36">
        <f>base!H6450</f>
        <v>58.2</v>
      </c>
      <c r="E6450" s="44"/>
      <c r="F6450" s="16">
        <f>base!W6450</f>
        <v>0</v>
      </c>
      <c r="G6450" s="11">
        <f t="shared" si="1000"/>
        <v>0</v>
      </c>
      <c r="H6450" s="11">
        <f t="shared" si="1001"/>
        <v>0</v>
      </c>
      <c r="I6450" s="11">
        <f t="shared" si="1002"/>
        <v>0</v>
      </c>
      <c r="J6450" s="12">
        <f t="shared" si="1003"/>
        <v>0</v>
      </c>
      <c r="K6450" s="17" t="str">
        <f t="shared" si="1008"/>
        <v>Pas d'écart</v>
      </c>
      <c r="L6450" s="16">
        <f>base!X6450</f>
        <v>0</v>
      </c>
      <c r="M6450" s="11">
        <f t="shared" si="1004"/>
        <v>0</v>
      </c>
      <c r="N6450" s="11">
        <f t="shared" si="1005"/>
        <v>0</v>
      </c>
      <c r="O6450" s="11">
        <f t="shared" si="1006"/>
        <v>0</v>
      </c>
      <c r="P6450" s="12">
        <f t="shared" si="1007"/>
        <v>0</v>
      </c>
      <c r="Q6450" s="17" t="str">
        <f t="shared" si="1009"/>
        <v>Pas d'écart</v>
      </c>
    </row>
    <row r="6451" spans="1:18" x14ac:dyDescent="0.3">
      <c r="A6451" s="34" t="str">
        <f>base!J6451</f>
        <v>RM</v>
      </c>
      <c r="B6451" s="34" t="str">
        <f>base!V6451</f>
        <v>67100</v>
      </c>
      <c r="C6451" s="37">
        <v>67</v>
      </c>
      <c r="D6451" s="36">
        <f>base!H6451</f>
        <v>22</v>
      </c>
      <c r="E6451" s="44"/>
      <c r="F6451" s="16">
        <f>base!W6451</f>
        <v>0</v>
      </c>
      <c r="G6451" s="11">
        <f t="shared" si="1000"/>
        <v>0</v>
      </c>
      <c r="H6451" s="11">
        <f t="shared" si="1001"/>
        <v>6.38</v>
      </c>
      <c r="I6451" s="11">
        <f t="shared" si="1002"/>
        <v>0.28999999999999998</v>
      </c>
      <c r="J6451" s="12">
        <f t="shared" si="1003"/>
        <v>-6.38</v>
      </c>
      <c r="K6451" s="17" t="str">
        <f t="shared" si="1008"/>
        <v>Ecart négatif</v>
      </c>
      <c r="L6451" s="16">
        <f>base!X6451</f>
        <v>1.76</v>
      </c>
      <c r="M6451" s="11">
        <f t="shared" si="1004"/>
        <v>0.08</v>
      </c>
      <c r="N6451" s="11">
        <f t="shared" si="1005"/>
        <v>1.76</v>
      </c>
      <c r="O6451" s="11">
        <f t="shared" si="1006"/>
        <v>0.08</v>
      </c>
      <c r="P6451" s="12">
        <f t="shared" si="1007"/>
        <v>0</v>
      </c>
      <c r="Q6451" s="17" t="str">
        <f t="shared" si="1009"/>
        <v>Pas d'écart</v>
      </c>
      <c r="R6451" s="38"/>
    </row>
    <row r="6452" spans="1:18" x14ac:dyDescent="0.3">
      <c r="A6452" s="34" t="str">
        <f>base!J6452</f>
        <v>RM</v>
      </c>
      <c r="B6452" s="34" t="str">
        <f>base!V6452</f>
        <v>67000</v>
      </c>
      <c r="C6452" s="37">
        <v>67</v>
      </c>
      <c r="D6452" s="36">
        <f>base!H6452</f>
        <v>25</v>
      </c>
      <c r="E6452" s="44"/>
      <c r="F6452" s="16">
        <f>base!W6452</f>
        <v>0</v>
      </c>
      <c r="G6452" s="11">
        <f t="shared" si="1000"/>
        <v>0</v>
      </c>
      <c r="H6452" s="11">
        <f t="shared" si="1001"/>
        <v>7.2499999999999991</v>
      </c>
      <c r="I6452" s="11">
        <f t="shared" si="1002"/>
        <v>0.28999999999999998</v>
      </c>
      <c r="J6452" s="12">
        <f t="shared" si="1003"/>
        <v>-7.2499999999999991</v>
      </c>
      <c r="K6452" s="17" t="str">
        <f t="shared" si="1008"/>
        <v>Ecart négatif</v>
      </c>
      <c r="L6452" s="16">
        <f>base!X6452</f>
        <v>2</v>
      </c>
      <c r="M6452" s="11">
        <f t="shared" si="1004"/>
        <v>0.08</v>
      </c>
      <c r="N6452" s="11">
        <f t="shared" si="1005"/>
        <v>2</v>
      </c>
      <c r="O6452" s="11">
        <f t="shared" si="1006"/>
        <v>0.08</v>
      </c>
      <c r="P6452" s="12">
        <f t="shared" si="1007"/>
        <v>0</v>
      </c>
      <c r="Q6452" s="17" t="str">
        <f t="shared" si="1009"/>
        <v>Pas d'écart</v>
      </c>
      <c r="R6452" s="38"/>
    </row>
    <row r="6453" spans="1:18" x14ac:dyDescent="0.3">
      <c r="A6453" s="34" t="str">
        <f>base!J6453</f>
        <v>RS</v>
      </c>
      <c r="B6453" s="34" t="str">
        <f>base!V6453</f>
        <v>48100</v>
      </c>
      <c r="C6453" s="37">
        <v>48</v>
      </c>
      <c r="D6453" s="36">
        <f>base!H6453</f>
        <v>110.92</v>
      </c>
      <c r="E6453" s="44"/>
      <c r="F6453" s="16">
        <f>base!W6453</f>
        <v>0</v>
      </c>
      <c r="G6453" s="11">
        <f t="shared" si="1000"/>
        <v>0</v>
      </c>
      <c r="H6453" s="11">
        <f t="shared" si="1001"/>
        <v>43.258800000000001</v>
      </c>
      <c r="I6453" s="11">
        <f t="shared" si="1002"/>
        <v>0.39</v>
      </c>
      <c r="J6453" s="12">
        <f t="shared" si="1003"/>
        <v>-43.258800000000001</v>
      </c>
      <c r="K6453" s="17" t="str">
        <f t="shared" si="1008"/>
        <v>Ecart négatif</v>
      </c>
      <c r="L6453" s="16">
        <f>base!X6453</f>
        <v>31.06</v>
      </c>
      <c r="M6453" s="11">
        <f t="shared" si="1004"/>
        <v>0.28002163721601153</v>
      </c>
      <c r="N6453" s="11">
        <f t="shared" si="1005"/>
        <v>31.057600000000004</v>
      </c>
      <c r="O6453" s="11">
        <f t="shared" si="1006"/>
        <v>0.28000000000000003</v>
      </c>
      <c r="P6453" s="12">
        <f t="shared" si="1007"/>
        <v>2.3999999999944066E-3</v>
      </c>
      <c r="Q6453" s="17" t="str">
        <f t="shared" si="1009"/>
        <v>Ecart positif</v>
      </c>
      <c r="R6453" s="38"/>
    </row>
    <row r="6454" spans="1:18" x14ac:dyDescent="0.3">
      <c r="A6454" s="34" t="str">
        <f>base!J6454</f>
        <v>RS</v>
      </c>
      <c r="B6454" s="34" t="str">
        <f>base!V6454</f>
        <v>34670</v>
      </c>
      <c r="C6454" s="37">
        <v>34</v>
      </c>
      <c r="D6454" s="36">
        <f>base!H6454</f>
        <v>140</v>
      </c>
      <c r="E6454" s="44"/>
      <c r="F6454" s="16">
        <f>base!W6454</f>
        <v>0</v>
      </c>
      <c r="G6454" s="11">
        <f t="shared" si="1000"/>
        <v>0</v>
      </c>
      <c r="H6454" s="11">
        <f t="shared" si="1001"/>
        <v>54.6</v>
      </c>
      <c r="I6454" s="11">
        <f t="shared" si="1002"/>
        <v>0.39</v>
      </c>
      <c r="J6454" s="12">
        <f t="shared" si="1003"/>
        <v>-54.6</v>
      </c>
      <c r="K6454" s="17" t="str">
        <f t="shared" si="1008"/>
        <v>Ecart négatif</v>
      </c>
      <c r="L6454" s="16">
        <f>base!X6454</f>
        <v>39.200000000000003</v>
      </c>
      <c r="M6454" s="11">
        <f t="shared" si="1004"/>
        <v>0.28000000000000003</v>
      </c>
      <c r="N6454" s="11">
        <f t="shared" si="1005"/>
        <v>39.200000000000003</v>
      </c>
      <c r="O6454" s="11">
        <f t="shared" si="1006"/>
        <v>0.28000000000000003</v>
      </c>
      <c r="P6454" s="12">
        <f t="shared" si="1007"/>
        <v>0</v>
      </c>
      <c r="Q6454" s="17" t="str">
        <f t="shared" si="1009"/>
        <v>Pas d'écart</v>
      </c>
      <c r="R6454" s="38"/>
    </row>
    <row r="6455" spans="1:18" x14ac:dyDescent="0.3">
      <c r="A6455" s="34">
        <f>base!J6455</f>
        <v>0</v>
      </c>
      <c r="B6455" s="34" t="str">
        <f>base!V6455</f>
        <v>77184</v>
      </c>
      <c r="C6455" s="37">
        <v>77</v>
      </c>
      <c r="D6455" s="36">
        <f>base!H6455</f>
        <v>84.5</v>
      </c>
      <c r="E6455" s="44"/>
      <c r="F6455" s="16">
        <f>base!W6455</f>
        <v>0</v>
      </c>
      <c r="G6455" s="11">
        <f t="shared" si="1000"/>
        <v>0</v>
      </c>
      <c r="H6455" s="11">
        <f t="shared" si="1001"/>
        <v>0</v>
      </c>
      <c r="I6455" s="11">
        <f t="shared" si="1002"/>
        <v>0</v>
      </c>
      <c r="J6455" s="12">
        <f t="shared" si="1003"/>
        <v>0</v>
      </c>
      <c r="K6455" s="17" t="str">
        <f t="shared" si="1008"/>
        <v>Pas d'écart</v>
      </c>
      <c r="L6455" s="16">
        <f>base!X6455</f>
        <v>0</v>
      </c>
      <c r="M6455" s="11">
        <f t="shared" si="1004"/>
        <v>0</v>
      </c>
      <c r="N6455" s="11">
        <f t="shared" si="1005"/>
        <v>0</v>
      </c>
      <c r="O6455" s="11">
        <f t="shared" si="1006"/>
        <v>0</v>
      </c>
      <c r="P6455" s="12">
        <f t="shared" si="1007"/>
        <v>0</v>
      </c>
      <c r="Q6455" s="17" t="str">
        <f t="shared" si="1009"/>
        <v>Pas d'écart</v>
      </c>
    </row>
    <row r="6456" spans="1:18" x14ac:dyDescent="0.3">
      <c r="A6456" s="34">
        <f>base!J6456</f>
        <v>0</v>
      </c>
      <c r="B6456" s="34" t="str">
        <f>base!V6456</f>
        <v>77184</v>
      </c>
      <c r="C6456" s="37">
        <v>77</v>
      </c>
      <c r="D6456" s="36">
        <f>base!H6456</f>
        <v>108</v>
      </c>
      <c r="E6456" s="44"/>
      <c r="F6456" s="16">
        <f>base!W6456</f>
        <v>0</v>
      </c>
      <c r="G6456" s="11">
        <f t="shared" si="1000"/>
        <v>0</v>
      </c>
      <c r="H6456" s="11">
        <f t="shared" si="1001"/>
        <v>0</v>
      </c>
      <c r="I6456" s="11">
        <f t="shared" si="1002"/>
        <v>0</v>
      </c>
      <c r="J6456" s="12">
        <f t="shared" si="1003"/>
        <v>0</v>
      </c>
      <c r="K6456" s="17" t="str">
        <f t="shared" si="1008"/>
        <v>Pas d'écart</v>
      </c>
      <c r="L6456" s="16">
        <f>base!X6456</f>
        <v>0</v>
      </c>
      <c r="M6456" s="11">
        <f t="shared" si="1004"/>
        <v>0</v>
      </c>
      <c r="N6456" s="11">
        <f t="shared" si="1005"/>
        <v>0</v>
      </c>
      <c r="O6456" s="11">
        <f t="shared" si="1006"/>
        <v>0</v>
      </c>
      <c r="P6456" s="12">
        <f t="shared" si="1007"/>
        <v>0</v>
      </c>
      <c r="Q6456" s="17" t="str">
        <f t="shared" si="1009"/>
        <v>Pas d'écart</v>
      </c>
    </row>
    <row r="6457" spans="1:18" x14ac:dyDescent="0.3">
      <c r="A6457" s="34">
        <f>base!J6457</f>
        <v>0</v>
      </c>
      <c r="B6457" s="34" t="str">
        <f>base!V6457</f>
        <v>77184</v>
      </c>
      <c r="C6457" s="37">
        <v>77</v>
      </c>
      <c r="D6457" s="36">
        <f>base!H6457</f>
        <v>84.5</v>
      </c>
      <c r="E6457" s="44"/>
      <c r="F6457" s="16">
        <f>base!W6457</f>
        <v>0</v>
      </c>
      <c r="G6457" s="11">
        <f t="shared" si="1000"/>
        <v>0</v>
      </c>
      <c r="H6457" s="11">
        <f t="shared" si="1001"/>
        <v>0</v>
      </c>
      <c r="I6457" s="11">
        <f t="shared" si="1002"/>
        <v>0</v>
      </c>
      <c r="J6457" s="12">
        <f t="shared" si="1003"/>
        <v>0</v>
      </c>
      <c r="K6457" s="17" t="str">
        <f t="shared" si="1008"/>
        <v>Pas d'écart</v>
      </c>
      <c r="L6457" s="16">
        <f>base!X6457</f>
        <v>0</v>
      </c>
      <c r="M6457" s="11">
        <f t="shared" si="1004"/>
        <v>0</v>
      </c>
      <c r="N6457" s="11">
        <f t="shared" si="1005"/>
        <v>0</v>
      </c>
      <c r="O6457" s="11">
        <f t="shared" si="1006"/>
        <v>0</v>
      </c>
      <c r="P6457" s="12">
        <f t="shared" si="1007"/>
        <v>0</v>
      </c>
      <c r="Q6457" s="17" t="str">
        <f t="shared" si="1009"/>
        <v>Pas d'écart</v>
      </c>
    </row>
    <row r="6458" spans="1:18" x14ac:dyDescent="0.3">
      <c r="A6458" s="34">
        <f>base!J6458</f>
        <v>0</v>
      </c>
      <c r="B6458" s="34" t="str">
        <f>base!V6458</f>
        <v>77184</v>
      </c>
      <c r="C6458" s="37">
        <v>77</v>
      </c>
      <c r="D6458" s="36">
        <f>base!H6458</f>
        <v>156</v>
      </c>
      <c r="E6458" s="44"/>
      <c r="F6458" s="16">
        <f>base!W6458</f>
        <v>0</v>
      </c>
      <c r="G6458" s="11">
        <f t="shared" si="1000"/>
        <v>0</v>
      </c>
      <c r="H6458" s="11">
        <f t="shared" si="1001"/>
        <v>0</v>
      </c>
      <c r="I6458" s="11">
        <f t="shared" si="1002"/>
        <v>0</v>
      </c>
      <c r="J6458" s="12">
        <f t="shared" si="1003"/>
        <v>0</v>
      </c>
      <c r="K6458" s="17" t="str">
        <f t="shared" si="1008"/>
        <v>Pas d'écart</v>
      </c>
      <c r="L6458" s="16">
        <f>base!X6458</f>
        <v>0</v>
      </c>
      <c r="M6458" s="11">
        <f t="shared" si="1004"/>
        <v>0</v>
      </c>
      <c r="N6458" s="11">
        <f t="shared" si="1005"/>
        <v>0</v>
      </c>
      <c r="O6458" s="11">
        <f t="shared" si="1006"/>
        <v>0</v>
      </c>
      <c r="P6458" s="12">
        <f t="shared" si="1007"/>
        <v>0</v>
      </c>
      <c r="Q6458" s="17" t="str">
        <f t="shared" si="1009"/>
        <v>Pas d'écart</v>
      </c>
    </row>
    <row r="6459" spans="1:18" x14ac:dyDescent="0.3">
      <c r="A6459" s="34" t="str">
        <f>base!J6459</f>
        <v>LM</v>
      </c>
      <c r="B6459" s="34" t="str">
        <f>base!V6459</f>
        <v>14000</v>
      </c>
      <c r="C6459" s="37">
        <v>67</v>
      </c>
      <c r="D6459" s="36">
        <f>base!H6459</f>
        <v>18.350000000000001</v>
      </c>
      <c r="E6459" s="44"/>
      <c r="F6459" s="16">
        <f>base!W6459</f>
        <v>3.12</v>
      </c>
      <c r="G6459" s="11">
        <f t="shared" si="1000"/>
        <v>0.17002724795640325</v>
      </c>
      <c r="H6459" s="11">
        <f t="shared" si="1001"/>
        <v>5.3215000000000003</v>
      </c>
      <c r="I6459" s="11">
        <f t="shared" si="1002"/>
        <v>0.28999999999999998</v>
      </c>
      <c r="J6459" s="12">
        <f t="shared" si="1003"/>
        <v>-2.2015000000000002</v>
      </c>
      <c r="K6459" s="17" t="str">
        <f t="shared" si="1008"/>
        <v>Ecart négatif</v>
      </c>
      <c r="L6459" s="16">
        <f>base!X6459</f>
        <v>0</v>
      </c>
      <c r="M6459" s="11">
        <f t="shared" si="1004"/>
        <v>0</v>
      </c>
      <c r="N6459" s="11">
        <f t="shared" si="1005"/>
        <v>1.4680000000000002</v>
      </c>
      <c r="O6459" s="11">
        <f t="shared" si="1006"/>
        <v>0.08</v>
      </c>
      <c r="P6459" s="12">
        <f t="shared" si="1007"/>
        <v>-1.4680000000000002</v>
      </c>
      <c r="Q6459" s="17" t="str">
        <f t="shared" si="1009"/>
        <v>Ecart négatif</v>
      </c>
    </row>
    <row r="6460" spans="1:18" x14ac:dyDescent="0.3">
      <c r="A6460" s="34" t="str">
        <f>base!J6460</f>
        <v>RS</v>
      </c>
      <c r="B6460" s="34" t="str">
        <f>base!V6460</f>
        <v>76570</v>
      </c>
      <c r="C6460" s="37">
        <v>76</v>
      </c>
      <c r="D6460" s="36">
        <f>base!H6460</f>
        <v>80</v>
      </c>
      <c r="E6460" s="44"/>
      <c r="F6460" s="16">
        <f>base!W6460</f>
        <v>0</v>
      </c>
      <c r="G6460" s="11">
        <f t="shared" si="1000"/>
        <v>0</v>
      </c>
      <c r="H6460" s="11">
        <f t="shared" si="1001"/>
        <v>13.600000000000001</v>
      </c>
      <c r="I6460" s="11">
        <f t="shared" si="1002"/>
        <v>0.17</v>
      </c>
      <c r="J6460" s="12">
        <f t="shared" si="1003"/>
        <v>-13.600000000000001</v>
      </c>
      <c r="K6460" s="17" t="str">
        <f t="shared" si="1008"/>
        <v>Ecart négatif</v>
      </c>
      <c r="L6460" s="16">
        <f>base!X6460</f>
        <v>13.6</v>
      </c>
      <c r="M6460" s="11">
        <f t="shared" si="1004"/>
        <v>0.16999999999999998</v>
      </c>
      <c r="N6460" s="11">
        <f t="shared" si="1005"/>
        <v>13.600000000000001</v>
      </c>
      <c r="O6460" s="11">
        <f t="shared" si="1006"/>
        <v>0.17</v>
      </c>
      <c r="P6460" s="12">
        <f t="shared" si="1007"/>
        <v>0</v>
      </c>
      <c r="Q6460" s="17" t="str">
        <f t="shared" si="1009"/>
        <v>Pas d'écart</v>
      </c>
    </row>
    <row r="6461" spans="1:18" x14ac:dyDescent="0.3">
      <c r="A6461" s="34" t="str">
        <f>base!J6461</f>
        <v>RS</v>
      </c>
      <c r="B6461" s="34" t="str">
        <f>base!V6461</f>
        <v>44000</v>
      </c>
      <c r="C6461" s="37">
        <v>44</v>
      </c>
      <c r="D6461" s="36">
        <f>base!H6461</f>
        <v>180</v>
      </c>
      <c r="E6461" s="44"/>
      <c r="F6461" s="16">
        <f>base!W6461</f>
        <v>0</v>
      </c>
      <c r="G6461" s="11">
        <f t="shared" si="1000"/>
        <v>0</v>
      </c>
      <c r="H6461" s="11">
        <f t="shared" si="1001"/>
        <v>48.6</v>
      </c>
      <c r="I6461" s="11">
        <f t="shared" si="1002"/>
        <v>0.27</v>
      </c>
      <c r="J6461" s="12">
        <f t="shared" si="1003"/>
        <v>-48.6</v>
      </c>
      <c r="K6461" s="17" t="str">
        <f t="shared" si="1008"/>
        <v>Ecart négatif</v>
      </c>
      <c r="L6461" s="16">
        <f>base!X6461</f>
        <v>0</v>
      </c>
      <c r="M6461" s="11">
        <f t="shared" si="1004"/>
        <v>0</v>
      </c>
      <c r="N6461" s="11">
        <f t="shared" si="1005"/>
        <v>0</v>
      </c>
      <c r="O6461" s="11">
        <f t="shared" si="1006"/>
        <v>0</v>
      </c>
      <c r="P6461" s="12">
        <f t="shared" si="1007"/>
        <v>0</v>
      </c>
      <c r="Q6461" s="17" t="str">
        <f t="shared" si="1009"/>
        <v>Pas d'écart</v>
      </c>
    </row>
    <row r="6462" spans="1:18" x14ac:dyDescent="0.3">
      <c r="A6462" s="34" t="str">
        <f>base!J6462</f>
        <v>RM</v>
      </c>
      <c r="B6462" s="34" t="str">
        <f>base!V6462</f>
        <v>13001</v>
      </c>
      <c r="C6462" s="37">
        <v>13</v>
      </c>
      <c r="D6462" s="36">
        <f>base!H6462</f>
        <v>132.05000000000001</v>
      </c>
      <c r="E6462" s="44"/>
      <c r="F6462" s="16">
        <f>base!W6462</f>
        <v>0</v>
      </c>
      <c r="G6462" s="11">
        <f t="shared" si="1000"/>
        <v>0</v>
      </c>
      <c r="H6462" s="11">
        <f t="shared" si="1001"/>
        <v>38.294499999999999</v>
      </c>
      <c r="I6462" s="11">
        <f t="shared" si="1002"/>
        <v>0.28999999999999998</v>
      </c>
      <c r="J6462" s="12">
        <f t="shared" si="1003"/>
        <v>-38.294499999999999</v>
      </c>
      <c r="K6462" s="17" t="str">
        <f t="shared" si="1008"/>
        <v>Ecart négatif</v>
      </c>
      <c r="L6462" s="16">
        <f>base!X6462</f>
        <v>25.09</v>
      </c>
      <c r="M6462" s="11">
        <f t="shared" si="1004"/>
        <v>0.19000378644452856</v>
      </c>
      <c r="N6462" s="11">
        <f t="shared" si="1005"/>
        <v>25.089500000000001</v>
      </c>
      <c r="O6462" s="11">
        <f t="shared" si="1006"/>
        <v>0.19</v>
      </c>
      <c r="P6462" s="12">
        <f t="shared" si="1007"/>
        <v>4.9999999999883471E-4</v>
      </c>
      <c r="Q6462" s="17" t="str">
        <f t="shared" si="1009"/>
        <v>Ecart positif</v>
      </c>
      <c r="R6462" s="38"/>
    </row>
    <row r="6463" spans="1:18" x14ac:dyDescent="0.3">
      <c r="A6463" s="34" t="str">
        <f>base!J6463</f>
        <v>LS</v>
      </c>
      <c r="B6463" s="34" t="str">
        <f>base!V6463</f>
        <v>94000</v>
      </c>
      <c r="C6463" s="37">
        <v>94</v>
      </c>
      <c r="D6463" s="36">
        <f>base!H6463</f>
        <v>183.98</v>
      </c>
      <c r="E6463" s="44"/>
      <c r="F6463" s="16">
        <f>base!W6463</f>
        <v>0</v>
      </c>
      <c r="G6463" s="11">
        <f t="shared" si="1000"/>
        <v>0</v>
      </c>
      <c r="H6463" s="11">
        <f t="shared" si="1001"/>
        <v>0</v>
      </c>
      <c r="I6463" s="11">
        <f t="shared" si="1002"/>
        <v>0</v>
      </c>
      <c r="J6463" s="12">
        <f t="shared" si="1003"/>
        <v>0</v>
      </c>
      <c r="K6463" s="17" t="str">
        <f t="shared" si="1008"/>
        <v>Pas d'écart</v>
      </c>
      <c r="L6463" s="16">
        <f>base!X6463</f>
        <v>0</v>
      </c>
      <c r="M6463" s="11">
        <f t="shared" si="1004"/>
        <v>0</v>
      </c>
      <c r="N6463" s="11">
        <f t="shared" si="1005"/>
        <v>0</v>
      </c>
      <c r="O6463" s="11">
        <f t="shared" si="1006"/>
        <v>0</v>
      </c>
      <c r="P6463" s="12">
        <f t="shared" si="1007"/>
        <v>0</v>
      </c>
      <c r="Q6463" s="17" t="str">
        <f t="shared" si="1009"/>
        <v>Pas d'écart</v>
      </c>
    </row>
    <row r="6464" spans="1:18" x14ac:dyDescent="0.3">
      <c r="A6464" s="34" t="str">
        <f>base!J6464</f>
        <v>DRS</v>
      </c>
      <c r="B6464" s="34" t="str">
        <f>base!V6464</f>
        <v>80000</v>
      </c>
      <c r="C6464" s="37">
        <v>80</v>
      </c>
      <c r="D6464" s="36">
        <f>base!H6464</f>
        <v>184.06</v>
      </c>
      <c r="E6464" s="44"/>
      <c r="F6464" s="16">
        <f>base!W6464</f>
        <v>0</v>
      </c>
      <c r="G6464" s="11">
        <f t="shared" si="1000"/>
        <v>0</v>
      </c>
      <c r="H6464" s="11">
        <f t="shared" si="1001"/>
        <v>34.971400000000003</v>
      </c>
      <c r="I6464" s="11">
        <f t="shared" si="1002"/>
        <v>0.19</v>
      </c>
      <c r="J6464" s="12">
        <f t="shared" si="1003"/>
        <v>-34.971400000000003</v>
      </c>
      <c r="K6464" s="17" t="str">
        <f t="shared" si="1008"/>
        <v>Ecart négatif</v>
      </c>
      <c r="L6464" s="16">
        <f>base!X6464</f>
        <v>0</v>
      </c>
      <c r="M6464" s="11">
        <f t="shared" si="1004"/>
        <v>0</v>
      </c>
      <c r="N6464" s="11">
        <f t="shared" si="1005"/>
        <v>0</v>
      </c>
      <c r="O6464" s="11">
        <f t="shared" si="1006"/>
        <v>0</v>
      </c>
      <c r="P6464" s="12">
        <f t="shared" si="1007"/>
        <v>0</v>
      </c>
      <c r="Q6464" s="17" t="str">
        <f t="shared" si="1009"/>
        <v>Pas d'écart</v>
      </c>
    </row>
    <row r="6465" spans="1:18" x14ac:dyDescent="0.3">
      <c r="A6465" s="34" t="str">
        <f>base!J6465</f>
        <v>LS</v>
      </c>
      <c r="B6465" s="34" t="str">
        <f>base!V6465</f>
        <v>94100</v>
      </c>
      <c r="C6465" s="37">
        <v>94</v>
      </c>
      <c r="D6465" s="36">
        <f>base!H6465</f>
        <v>137.35</v>
      </c>
      <c r="E6465" s="44"/>
      <c r="F6465" s="16">
        <f>base!W6465</f>
        <v>0</v>
      </c>
      <c r="G6465" s="11">
        <f t="shared" si="1000"/>
        <v>0</v>
      </c>
      <c r="H6465" s="11">
        <f t="shared" si="1001"/>
        <v>0</v>
      </c>
      <c r="I6465" s="11">
        <f t="shared" si="1002"/>
        <v>0</v>
      </c>
      <c r="J6465" s="12">
        <f t="shared" si="1003"/>
        <v>0</v>
      </c>
      <c r="K6465" s="17" t="str">
        <f t="shared" si="1008"/>
        <v>Pas d'écart</v>
      </c>
      <c r="L6465" s="16">
        <f>base!X6465</f>
        <v>0</v>
      </c>
      <c r="M6465" s="11">
        <f t="shared" si="1004"/>
        <v>0</v>
      </c>
      <c r="N6465" s="11">
        <f t="shared" si="1005"/>
        <v>0</v>
      </c>
      <c r="O6465" s="11">
        <f t="shared" si="1006"/>
        <v>0</v>
      </c>
      <c r="P6465" s="12">
        <f t="shared" si="1007"/>
        <v>0</v>
      </c>
      <c r="Q6465" s="17" t="str">
        <f t="shared" si="1009"/>
        <v>Pas d'écart</v>
      </c>
    </row>
    <row r="6466" spans="1:18" x14ac:dyDescent="0.3">
      <c r="A6466" s="34">
        <f>base!J6466</f>
        <v>0</v>
      </c>
      <c r="B6466" s="34" t="str">
        <f>base!V6466</f>
        <v>77184</v>
      </c>
      <c r="C6466" s="37">
        <v>77</v>
      </c>
      <c r="D6466" s="36">
        <f>base!H6466</f>
        <v>84.5</v>
      </c>
      <c r="E6466" s="44"/>
      <c r="F6466" s="16">
        <f>base!W6466</f>
        <v>0</v>
      </c>
      <c r="G6466" s="11">
        <f t="shared" ref="G6466:G6529" si="1010">F6466/D6466</f>
        <v>0</v>
      </c>
      <c r="H6466" s="11">
        <f t="shared" ref="H6466:H6529" si="1011">VLOOKUP(C6466,tout_cout_traction,2,FALSE)*D6466</f>
        <v>0</v>
      </c>
      <c r="I6466" s="11">
        <f t="shared" ref="I6466:I6529" si="1012">H6466/D6466</f>
        <v>0</v>
      </c>
      <c r="J6466" s="12">
        <f t="shared" ref="J6466:J6529" si="1013">F6466-H6466</f>
        <v>0</v>
      </c>
      <c r="K6466" s="17" t="str">
        <f t="shared" si="1008"/>
        <v>Pas d'écart</v>
      </c>
      <c r="L6466" s="16">
        <f>base!X6466</f>
        <v>0</v>
      </c>
      <c r="M6466" s="11">
        <f t="shared" ref="M6466:M6529" si="1014">L6466/D6466</f>
        <v>0</v>
      </c>
      <c r="N6466" s="11">
        <f t="shared" ref="N6466:N6529" si="1015">VLOOKUP(C6466,tout_cout_traction,3,FALSE)*D6466</f>
        <v>0</v>
      </c>
      <c r="O6466" s="11">
        <f t="shared" ref="O6466:O6529" si="1016">N6466/D6466</f>
        <v>0</v>
      </c>
      <c r="P6466" s="12">
        <f t="shared" ref="P6466:P6529" si="1017">L6466-N6466</f>
        <v>0</v>
      </c>
      <c r="Q6466" s="17" t="str">
        <f t="shared" si="1009"/>
        <v>Pas d'écart</v>
      </c>
    </row>
    <row r="6467" spans="1:18" x14ac:dyDescent="0.3">
      <c r="A6467" s="34">
        <f>base!J6467</f>
        <v>0</v>
      </c>
      <c r="B6467" s="34" t="str">
        <f>base!V6467</f>
        <v>77184</v>
      </c>
      <c r="C6467" s="37">
        <v>77</v>
      </c>
      <c r="D6467" s="36">
        <f>base!H6467</f>
        <v>171.33</v>
      </c>
      <c r="E6467" s="44"/>
      <c r="F6467" s="16">
        <f>base!W6467</f>
        <v>0</v>
      </c>
      <c r="G6467" s="11">
        <f t="shared" si="1010"/>
        <v>0</v>
      </c>
      <c r="H6467" s="11">
        <f t="shared" si="1011"/>
        <v>0</v>
      </c>
      <c r="I6467" s="11">
        <f t="shared" si="1012"/>
        <v>0</v>
      </c>
      <c r="J6467" s="12">
        <f t="shared" si="1013"/>
        <v>0</v>
      </c>
      <c r="K6467" s="17" t="str">
        <f t="shared" ref="K6467:K6530" si="1018">IF(H6467=F6467,"Pas d'écart",IF(H6467&lt;F6467,"Ecart positif",IF(H6467&gt;F6467,"Ecart négatif")))</f>
        <v>Pas d'écart</v>
      </c>
      <c r="L6467" s="16">
        <f>base!X6467</f>
        <v>0</v>
      </c>
      <c r="M6467" s="11">
        <f t="shared" si="1014"/>
        <v>0</v>
      </c>
      <c r="N6467" s="11">
        <f t="shared" si="1015"/>
        <v>0</v>
      </c>
      <c r="O6467" s="11">
        <f t="shared" si="1016"/>
        <v>0</v>
      </c>
      <c r="P6467" s="12">
        <f t="shared" si="1017"/>
        <v>0</v>
      </c>
      <c r="Q6467" s="17" t="str">
        <f t="shared" ref="Q6467:Q6530" si="1019">IF(N6467=L6467,"Pas d'écart",IF(N6467&lt;L6467,"Ecart positif",IF(N6467&gt;L6467,"Ecart négatif")))</f>
        <v>Pas d'écart</v>
      </c>
    </row>
    <row r="6468" spans="1:18" x14ac:dyDescent="0.3">
      <c r="A6468" s="34">
        <f>base!J6468</f>
        <v>0</v>
      </c>
      <c r="B6468" s="34" t="str">
        <f>base!V6468</f>
        <v>77184</v>
      </c>
      <c r="C6468" s="37">
        <v>77</v>
      </c>
      <c r="D6468" s="36">
        <f>base!H6468</f>
        <v>149.97999999999999</v>
      </c>
      <c r="E6468" s="44"/>
      <c r="F6468" s="16">
        <f>base!W6468</f>
        <v>0</v>
      </c>
      <c r="G6468" s="11">
        <f t="shared" si="1010"/>
        <v>0</v>
      </c>
      <c r="H6468" s="11">
        <f t="shared" si="1011"/>
        <v>0</v>
      </c>
      <c r="I6468" s="11">
        <f t="shared" si="1012"/>
        <v>0</v>
      </c>
      <c r="J6468" s="12">
        <f t="shared" si="1013"/>
        <v>0</v>
      </c>
      <c r="K6468" s="17" t="str">
        <f t="shared" si="1018"/>
        <v>Pas d'écart</v>
      </c>
      <c r="L6468" s="16">
        <f>base!X6468</f>
        <v>0</v>
      </c>
      <c r="M6468" s="11">
        <f t="shared" si="1014"/>
        <v>0</v>
      </c>
      <c r="N6468" s="11">
        <f t="shared" si="1015"/>
        <v>0</v>
      </c>
      <c r="O6468" s="11">
        <f t="shared" si="1016"/>
        <v>0</v>
      </c>
      <c r="P6468" s="12">
        <f t="shared" si="1017"/>
        <v>0</v>
      </c>
      <c r="Q6468" s="17" t="str">
        <f t="shared" si="1019"/>
        <v>Pas d'écart</v>
      </c>
    </row>
    <row r="6469" spans="1:18" x14ac:dyDescent="0.3">
      <c r="A6469" s="34" t="str">
        <f>base!J6469</f>
        <v>RS</v>
      </c>
      <c r="B6469" s="34" t="str">
        <f>base!V6469</f>
        <v>60880</v>
      </c>
      <c r="C6469" s="37">
        <v>60</v>
      </c>
      <c r="D6469" s="36">
        <f>base!H6469</f>
        <v>164.8</v>
      </c>
      <c r="E6469" s="44"/>
      <c r="F6469" s="16">
        <f>base!W6469</f>
        <v>0</v>
      </c>
      <c r="G6469" s="11">
        <f t="shared" si="1010"/>
        <v>0</v>
      </c>
      <c r="H6469" s="11">
        <f t="shared" si="1011"/>
        <v>31.312000000000001</v>
      </c>
      <c r="I6469" s="11">
        <f t="shared" si="1012"/>
        <v>0.19</v>
      </c>
      <c r="J6469" s="12">
        <f t="shared" si="1013"/>
        <v>-31.312000000000001</v>
      </c>
      <c r="K6469" s="17" t="str">
        <f t="shared" si="1018"/>
        <v>Ecart négatif</v>
      </c>
      <c r="L6469" s="16">
        <f>base!X6469</f>
        <v>0</v>
      </c>
      <c r="M6469" s="11">
        <f t="shared" si="1014"/>
        <v>0</v>
      </c>
      <c r="N6469" s="11">
        <f t="shared" si="1015"/>
        <v>0</v>
      </c>
      <c r="O6469" s="11">
        <f t="shared" si="1016"/>
        <v>0</v>
      </c>
      <c r="P6469" s="12">
        <f t="shared" si="1017"/>
        <v>0</v>
      </c>
      <c r="Q6469" s="17" t="str">
        <f t="shared" si="1019"/>
        <v>Pas d'écart</v>
      </c>
    </row>
    <row r="6470" spans="1:18" x14ac:dyDescent="0.3">
      <c r="A6470" s="34" t="str">
        <f>base!J6470</f>
        <v>DRS</v>
      </c>
      <c r="B6470" s="34" t="str">
        <f>base!V6470</f>
        <v>34290</v>
      </c>
      <c r="C6470" s="37">
        <v>34</v>
      </c>
      <c r="D6470" s="36">
        <f>base!H6470</f>
        <v>149.79</v>
      </c>
      <c r="E6470" s="44"/>
      <c r="F6470" s="16">
        <f>base!W6470</f>
        <v>0</v>
      </c>
      <c r="G6470" s="11">
        <f t="shared" si="1010"/>
        <v>0</v>
      </c>
      <c r="H6470" s="11">
        <f t="shared" si="1011"/>
        <v>58.418099999999995</v>
      </c>
      <c r="I6470" s="11">
        <f t="shared" si="1012"/>
        <v>0.39</v>
      </c>
      <c r="J6470" s="12">
        <f t="shared" si="1013"/>
        <v>-58.418099999999995</v>
      </c>
      <c r="K6470" s="17" t="str">
        <f t="shared" si="1018"/>
        <v>Ecart négatif</v>
      </c>
      <c r="L6470" s="16">
        <f>base!X6470</f>
        <v>0</v>
      </c>
      <c r="M6470" s="11">
        <f t="shared" si="1014"/>
        <v>0</v>
      </c>
      <c r="N6470" s="11">
        <f t="shared" si="1015"/>
        <v>41.941200000000002</v>
      </c>
      <c r="O6470" s="11">
        <f t="shared" si="1016"/>
        <v>0.28000000000000003</v>
      </c>
      <c r="P6470" s="12">
        <f t="shared" si="1017"/>
        <v>-41.941200000000002</v>
      </c>
      <c r="Q6470" s="17" t="str">
        <f t="shared" si="1019"/>
        <v>Ecart négatif</v>
      </c>
    </row>
    <row r="6471" spans="1:18" x14ac:dyDescent="0.3">
      <c r="A6471" s="34">
        <f>base!J6471</f>
        <v>0</v>
      </c>
      <c r="B6471" s="34" t="str">
        <f>base!V6471</f>
        <v>77184</v>
      </c>
      <c r="C6471" s="37">
        <v>77</v>
      </c>
      <c r="D6471" s="36">
        <f>base!H6471</f>
        <v>220</v>
      </c>
      <c r="E6471" s="44"/>
      <c r="F6471" s="16">
        <f>base!W6471</f>
        <v>0</v>
      </c>
      <c r="G6471" s="11">
        <f t="shared" si="1010"/>
        <v>0</v>
      </c>
      <c r="H6471" s="11">
        <f t="shared" si="1011"/>
        <v>0</v>
      </c>
      <c r="I6471" s="11">
        <f t="shared" si="1012"/>
        <v>0</v>
      </c>
      <c r="J6471" s="12">
        <f t="shared" si="1013"/>
        <v>0</v>
      </c>
      <c r="K6471" s="17" t="str">
        <f t="shared" si="1018"/>
        <v>Pas d'écart</v>
      </c>
      <c r="L6471" s="16">
        <f>base!X6471</f>
        <v>0</v>
      </c>
      <c r="M6471" s="11">
        <f t="shared" si="1014"/>
        <v>0</v>
      </c>
      <c r="N6471" s="11">
        <f t="shared" si="1015"/>
        <v>0</v>
      </c>
      <c r="O6471" s="11">
        <f t="shared" si="1016"/>
        <v>0</v>
      </c>
      <c r="P6471" s="12">
        <f t="shared" si="1017"/>
        <v>0</v>
      </c>
      <c r="Q6471" s="17" t="str">
        <f t="shared" si="1019"/>
        <v>Pas d'écart</v>
      </c>
    </row>
    <row r="6472" spans="1:18" x14ac:dyDescent="0.3">
      <c r="A6472" s="34">
        <f>base!J6472</f>
        <v>0</v>
      </c>
      <c r="B6472" s="34" t="str">
        <f>base!V6472</f>
        <v>77184</v>
      </c>
      <c r="C6472" s="37">
        <v>77</v>
      </c>
      <c r="D6472" s="36">
        <f>base!H6472</f>
        <v>106</v>
      </c>
      <c r="E6472" s="44"/>
      <c r="F6472" s="16">
        <f>base!W6472</f>
        <v>0</v>
      </c>
      <c r="G6472" s="11">
        <f t="shared" si="1010"/>
        <v>0</v>
      </c>
      <c r="H6472" s="11">
        <f t="shared" si="1011"/>
        <v>0</v>
      </c>
      <c r="I6472" s="11">
        <f t="shared" si="1012"/>
        <v>0</v>
      </c>
      <c r="J6472" s="12">
        <f t="shared" si="1013"/>
        <v>0</v>
      </c>
      <c r="K6472" s="17" t="str">
        <f t="shared" si="1018"/>
        <v>Pas d'écart</v>
      </c>
      <c r="L6472" s="16">
        <f>base!X6472</f>
        <v>0</v>
      </c>
      <c r="M6472" s="11">
        <f t="shared" si="1014"/>
        <v>0</v>
      </c>
      <c r="N6472" s="11">
        <f t="shared" si="1015"/>
        <v>0</v>
      </c>
      <c r="O6472" s="11">
        <f t="shared" si="1016"/>
        <v>0</v>
      </c>
      <c r="P6472" s="12">
        <f t="shared" si="1017"/>
        <v>0</v>
      </c>
      <c r="Q6472" s="17" t="str">
        <f t="shared" si="1019"/>
        <v>Pas d'écart</v>
      </c>
    </row>
    <row r="6473" spans="1:18" x14ac:dyDescent="0.3">
      <c r="A6473" s="34">
        <f>base!J6473</f>
        <v>0</v>
      </c>
      <c r="B6473" s="34" t="str">
        <f>base!V6473</f>
        <v>77184</v>
      </c>
      <c r="C6473" s="37">
        <v>77</v>
      </c>
      <c r="D6473" s="36">
        <f>base!H6473</f>
        <v>181</v>
      </c>
      <c r="E6473" s="44"/>
      <c r="F6473" s="16">
        <f>base!W6473</f>
        <v>0</v>
      </c>
      <c r="G6473" s="11">
        <f t="shared" si="1010"/>
        <v>0</v>
      </c>
      <c r="H6473" s="11">
        <f t="shared" si="1011"/>
        <v>0</v>
      </c>
      <c r="I6473" s="11">
        <f t="shared" si="1012"/>
        <v>0</v>
      </c>
      <c r="J6473" s="12">
        <f t="shared" si="1013"/>
        <v>0</v>
      </c>
      <c r="K6473" s="17" t="str">
        <f t="shared" si="1018"/>
        <v>Pas d'écart</v>
      </c>
      <c r="L6473" s="16">
        <f>base!X6473</f>
        <v>0</v>
      </c>
      <c r="M6473" s="11">
        <f t="shared" si="1014"/>
        <v>0</v>
      </c>
      <c r="N6473" s="11">
        <f t="shared" si="1015"/>
        <v>0</v>
      </c>
      <c r="O6473" s="11">
        <f t="shared" si="1016"/>
        <v>0</v>
      </c>
      <c r="P6473" s="12">
        <f t="shared" si="1017"/>
        <v>0</v>
      </c>
      <c r="Q6473" s="17" t="str">
        <f t="shared" si="1019"/>
        <v>Pas d'écart</v>
      </c>
    </row>
    <row r="6474" spans="1:18" x14ac:dyDescent="0.3">
      <c r="A6474" s="34">
        <f>base!J6474</f>
        <v>0</v>
      </c>
      <c r="B6474" s="34" t="str">
        <f>base!V6474</f>
        <v>77184</v>
      </c>
      <c r="C6474" s="37">
        <v>77</v>
      </c>
      <c r="D6474" s="36">
        <f>base!H6474</f>
        <v>126</v>
      </c>
      <c r="E6474" s="44"/>
      <c r="F6474" s="16">
        <f>base!W6474</f>
        <v>0</v>
      </c>
      <c r="G6474" s="11">
        <f t="shared" si="1010"/>
        <v>0</v>
      </c>
      <c r="H6474" s="11">
        <f t="shared" si="1011"/>
        <v>0</v>
      </c>
      <c r="I6474" s="11">
        <f t="shared" si="1012"/>
        <v>0</v>
      </c>
      <c r="J6474" s="12">
        <f t="shared" si="1013"/>
        <v>0</v>
      </c>
      <c r="K6474" s="17" t="str">
        <f t="shared" si="1018"/>
        <v>Pas d'écart</v>
      </c>
      <c r="L6474" s="16">
        <f>base!X6474</f>
        <v>0</v>
      </c>
      <c r="M6474" s="11">
        <f t="shared" si="1014"/>
        <v>0</v>
      </c>
      <c r="N6474" s="11">
        <f t="shared" si="1015"/>
        <v>0</v>
      </c>
      <c r="O6474" s="11">
        <f t="shared" si="1016"/>
        <v>0</v>
      </c>
      <c r="P6474" s="12">
        <f t="shared" si="1017"/>
        <v>0</v>
      </c>
      <c r="Q6474" s="17" t="str">
        <f t="shared" si="1019"/>
        <v>Pas d'écart</v>
      </c>
    </row>
    <row r="6475" spans="1:18" x14ac:dyDescent="0.3">
      <c r="A6475" s="34">
        <f>base!J6475</f>
        <v>0</v>
      </c>
      <c r="B6475" s="34" t="str">
        <f>base!V6475</f>
        <v>77184</v>
      </c>
      <c r="C6475" s="37">
        <v>77</v>
      </c>
      <c r="D6475" s="36">
        <f>base!H6475</f>
        <v>55</v>
      </c>
      <c r="E6475" s="44"/>
      <c r="F6475" s="16">
        <f>base!W6475</f>
        <v>0</v>
      </c>
      <c r="G6475" s="11">
        <f t="shared" si="1010"/>
        <v>0</v>
      </c>
      <c r="H6475" s="11">
        <f t="shared" si="1011"/>
        <v>0</v>
      </c>
      <c r="I6475" s="11">
        <f t="shared" si="1012"/>
        <v>0</v>
      </c>
      <c r="J6475" s="12">
        <f t="shared" si="1013"/>
        <v>0</v>
      </c>
      <c r="K6475" s="17" t="str">
        <f t="shared" si="1018"/>
        <v>Pas d'écart</v>
      </c>
      <c r="L6475" s="16">
        <f>base!X6475</f>
        <v>0</v>
      </c>
      <c r="M6475" s="11">
        <f t="shared" si="1014"/>
        <v>0</v>
      </c>
      <c r="N6475" s="11">
        <f t="shared" si="1015"/>
        <v>0</v>
      </c>
      <c r="O6475" s="11">
        <f t="shared" si="1016"/>
        <v>0</v>
      </c>
      <c r="P6475" s="12">
        <f t="shared" si="1017"/>
        <v>0</v>
      </c>
      <c r="Q6475" s="17" t="str">
        <f t="shared" si="1019"/>
        <v>Pas d'écart</v>
      </c>
    </row>
    <row r="6476" spans="1:18" x14ac:dyDescent="0.3">
      <c r="A6476" s="34" t="str">
        <f>base!J6476</f>
        <v>RS</v>
      </c>
      <c r="B6476" s="34" t="str">
        <f>base!V6476</f>
        <v>02130</v>
      </c>
      <c r="C6476" s="37">
        <v>2</v>
      </c>
      <c r="D6476" s="36">
        <f>base!H6476</f>
        <v>201.08</v>
      </c>
      <c r="E6476" s="44"/>
      <c r="F6476" s="16">
        <f>base!W6476</f>
        <v>0</v>
      </c>
      <c r="G6476" s="11">
        <f t="shared" si="1010"/>
        <v>0</v>
      </c>
      <c r="H6476" s="11">
        <f t="shared" si="1011"/>
        <v>36.194400000000002</v>
      </c>
      <c r="I6476" s="11">
        <f t="shared" si="1012"/>
        <v>0.18</v>
      </c>
      <c r="J6476" s="12">
        <f t="shared" si="1013"/>
        <v>-36.194400000000002</v>
      </c>
      <c r="K6476" s="17" t="str">
        <f t="shared" si="1018"/>
        <v>Ecart négatif</v>
      </c>
      <c r="L6476" s="16">
        <f>base!X6476</f>
        <v>0</v>
      </c>
      <c r="M6476" s="11">
        <f t="shared" si="1014"/>
        <v>0</v>
      </c>
      <c r="N6476" s="11">
        <f t="shared" si="1015"/>
        <v>0</v>
      </c>
      <c r="O6476" s="11">
        <f t="shared" si="1016"/>
        <v>0</v>
      </c>
      <c r="P6476" s="12">
        <f t="shared" si="1017"/>
        <v>0</v>
      </c>
      <c r="Q6476" s="17" t="str">
        <f t="shared" si="1019"/>
        <v>Pas d'écart</v>
      </c>
    </row>
    <row r="6477" spans="1:18" x14ac:dyDescent="0.3">
      <c r="A6477" s="34" t="str">
        <f>base!J6477</f>
        <v>RS</v>
      </c>
      <c r="B6477" s="34" t="str">
        <f>base!V6477</f>
        <v>13800</v>
      </c>
      <c r="C6477" s="37">
        <v>13</v>
      </c>
      <c r="D6477" s="36">
        <f>base!H6477</f>
        <v>70</v>
      </c>
      <c r="E6477" s="44"/>
      <c r="F6477" s="16">
        <f>base!W6477</f>
        <v>0</v>
      </c>
      <c r="G6477" s="11">
        <f t="shared" si="1010"/>
        <v>0</v>
      </c>
      <c r="H6477" s="11">
        <f t="shared" si="1011"/>
        <v>20.299999999999997</v>
      </c>
      <c r="I6477" s="11">
        <f t="shared" si="1012"/>
        <v>0.28999999999999998</v>
      </c>
      <c r="J6477" s="12">
        <f t="shared" si="1013"/>
        <v>-20.299999999999997</v>
      </c>
      <c r="K6477" s="17" t="str">
        <f t="shared" si="1018"/>
        <v>Ecart négatif</v>
      </c>
      <c r="L6477" s="16">
        <f>base!X6477</f>
        <v>13.3</v>
      </c>
      <c r="M6477" s="11">
        <f t="shared" si="1014"/>
        <v>0.19</v>
      </c>
      <c r="N6477" s="11">
        <f t="shared" si="1015"/>
        <v>13.3</v>
      </c>
      <c r="O6477" s="11">
        <f t="shared" si="1016"/>
        <v>0.19</v>
      </c>
      <c r="P6477" s="12">
        <f t="shared" si="1017"/>
        <v>0</v>
      </c>
      <c r="Q6477" s="17" t="str">
        <f t="shared" si="1019"/>
        <v>Pas d'écart</v>
      </c>
      <c r="R6477" s="38"/>
    </row>
    <row r="6478" spans="1:18" x14ac:dyDescent="0.3">
      <c r="A6478" s="34" t="str">
        <f>base!J6478</f>
        <v>RS</v>
      </c>
      <c r="B6478" s="34" t="str">
        <f>base!V6478</f>
        <v>57200</v>
      </c>
      <c r="C6478" s="37">
        <v>57</v>
      </c>
      <c r="D6478" s="36">
        <f>base!H6478</f>
        <v>83</v>
      </c>
      <c r="E6478" s="44"/>
      <c r="F6478" s="16">
        <f>base!W6478</f>
        <v>0</v>
      </c>
      <c r="G6478" s="11">
        <f t="shared" si="1010"/>
        <v>0</v>
      </c>
      <c r="H6478" s="11">
        <f t="shared" si="1011"/>
        <v>19.919999999999998</v>
      </c>
      <c r="I6478" s="11">
        <f t="shared" si="1012"/>
        <v>0.24</v>
      </c>
      <c r="J6478" s="12">
        <f t="shared" si="1013"/>
        <v>-19.919999999999998</v>
      </c>
      <c r="K6478" s="17" t="str">
        <f t="shared" si="1018"/>
        <v>Ecart négatif</v>
      </c>
      <c r="L6478" s="16">
        <f>base!X6478</f>
        <v>20.75</v>
      </c>
      <c r="M6478" s="11">
        <f t="shared" si="1014"/>
        <v>0.25</v>
      </c>
      <c r="N6478" s="11">
        <f t="shared" si="1015"/>
        <v>20.75</v>
      </c>
      <c r="O6478" s="11">
        <f t="shared" si="1016"/>
        <v>0.25</v>
      </c>
      <c r="P6478" s="12">
        <f t="shared" si="1017"/>
        <v>0</v>
      </c>
      <c r="Q6478" s="17" t="str">
        <f t="shared" si="1019"/>
        <v>Pas d'écart</v>
      </c>
      <c r="R6478" s="38"/>
    </row>
    <row r="6479" spans="1:18" x14ac:dyDescent="0.3">
      <c r="A6479" s="34" t="str">
        <f>base!J6479</f>
        <v>LS</v>
      </c>
      <c r="B6479" s="34" t="str">
        <f>base!V6479</f>
        <v>35920</v>
      </c>
      <c r="C6479" s="37">
        <v>83</v>
      </c>
      <c r="D6479" s="36">
        <f>base!H6479</f>
        <v>138.12</v>
      </c>
      <c r="E6479" s="44"/>
      <c r="F6479" s="16">
        <f>base!W6479</f>
        <v>37.29</v>
      </c>
      <c r="G6479" s="11">
        <f t="shared" si="1010"/>
        <v>0.26998262380538662</v>
      </c>
      <c r="H6479" s="11">
        <f t="shared" si="1011"/>
        <v>41.436</v>
      </c>
      <c r="I6479" s="11">
        <f t="shared" si="1012"/>
        <v>0.3</v>
      </c>
      <c r="J6479" s="12">
        <f t="shared" si="1013"/>
        <v>-4.1460000000000008</v>
      </c>
      <c r="K6479" s="17" t="str">
        <f t="shared" si="1018"/>
        <v>Ecart négatif</v>
      </c>
      <c r="L6479" s="16">
        <f>base!X6479</f>
        <v>0</v>
      </c>
      <c r="M6479" s="11">
        <f t="shared" si="1014"/>
        <v>0</v>
      </c>
      <c r="N6479" s="11">
        <f t="shared" si="1015"/>
        <v>29.005199999999999</v>
      </c>
      <c r="O6479" s="11">
        <f t="shared" si="1016"/>
        <v>0.21</v>
      </c>
      <c r="P6479" s="12">
        <f t="shared" si="1017"/>
        <v>-29.005199999999999</v>
      </c>
      <c r="Q6479" s="17" t="str">
        <f t="shared" si="1019"/>
        <v>Ecart négatif</v>
      </c>
    </row>
    <row r="6480" spans="1:18" x14ac:dyDescent="0.3">
      <c r="A6480" s="34" t="str">
        <f>base!J6480</f>
        <v>LS</v>
      </c>
      <c r="B6480" s="34" t="str">
        <f>base!V6480</f>
        <v>76700</v>
      </c>
      <c r="C6480" s="37">
        <v>83</v>
      </c>
      <c r="D6480" s="36">
        <f>base!H6480</f>
        <v>126.65</v>
      </c>
      <c r="E6480" s="44"/>
      <c r="F6480" s="16">
        <f>base!W6480</f>
        <v>21.53</v>
      </c>
      <c r="G6480" s="11">
        <f t="shared" si="1010"/>
        <v>0.16999605211212002</v>
      </c>
      <c r="H6480" s="11">
        <f t="shared" si="1011"/>
        <v>37.994999999999997</v>
      </c>
      <c r="I6480" s="11">
        <f t="shared" si="1012"/>
        <v>0.3</v>
      </c>
      <c r="J6480" s="12">
        <f t="shared" si="1013"/>
        <v>-16.464999999999996</v>
      </c>
      <c r="K6480" s="17" t="str">
        <f t="shared" si="1018"/>
        <v>Ecart négatif</v>
      </c>
      <c r="L6480" s="16">
        <f>base!X6480</f>
        <v>0</v>
      </c>
      <c r="M6480" s="11">
        <f t="shared" si="1014"/>
        <v>0</v>
      </c>
      <c r="N6480" s="11">
        <f t="shared" si="1015"/>
        <v>26.596499999999999</v>
      </c>
      <c r="O6480" s="11">
        <f t="shared" si="1016"/>
        <v>0.21</v>
      </c>
      <c r="P6480" s="12">
        <f t="shared" si="1017"/>
        <v>-26.596499999999999</v>
      </c>
      <c r="Q6480" s="17" t="str">
        <f t="shared" si="1019"/>
        <v>Ecart négatif</v>
      </c>
    </row>
    <row r="6481" spans="1:18" x14ac:dyDescent="0.3">
      <c r="A6481" s="34" t="str">
        <f>base!J6481</f>
        <v>LS</v>
      </c>
      <c r="B6481" s="34" t="str">
        <f>base!V6481</f>
        <v>10000</v>
      </c>
      <c r="C6481" s="37">
        <v>13</v>
      </c>
      <c r="D6481" s="36">
        <f>base!H6481</f>
        <v>120.29</v>
      </c>
      <c r="E6481" s="44"/>
      <c r="F6481" s="16">
        <f>base!W6481</f>
        <v>28.87</v>
      </c>
      <c r="G6481" s="11">
        <f t="shared" si="1010"/>
        <v>0.24000332529719842</v>
      </c>
      <c r="H6481" s="11">
        <f t="shared" si="1011"/>
        <v>34.884099999999997</v>
      </c>
      <c r="I6481" s="11">
        <f t="shared" si="1012"/>
        <v>0.28999999999999998</v>
      </c>
      <c r="J6481" s="12">
        <f t="shared" si="1013"/>
        <v>-6.0140999999999956</v>
      </c>
      <c r="K6481" s="17" t="str">
        <f t="shared" si="1018"/>
        <v>Ecart négatif</v>
      </c>
      <c r="L6481" s="16">
        <f>base!X6481</f>
        <v>0</v>
      </c>
      <c r="M6481" s="11">
        <f t="shared" si="1014"/>
        <v>0</v>
      </c>
      <c r="N6481" s="11">
        <f t="shared" si="1015"/>
        <v>22.8551</v>
      </c>
      <c r="O6481" s="11">
        <f t="shared" si="1016"/>
        <v>0.19</v>
      </c>
      <c r="P6481" s="12">
        <f t="shared" si="1017"/>
        <v>-22.8551</v>
      </c>
      <c r="Q6481" s="17" t="str">
        <f t="shared" si="1019"/>
        <v>Ecart négatif</v>
      </c>
    </row>
    <row r="6482" spans="1:18" x14ac:dyDescent="0.3">
      <c r="A6482" s="34" t="str">
        <f>base!J6482</f>
        <v>LS</v>
      </c>
      <c r="B6482" s="34" t="str">
        <f>base!V6482</f>
        <v>84000</v>
      </c>
      <c r="C6482" s="37">
        <v>67</v>
      </c>
      <c r="D6482" s="36">
        <f>base!H6482</f>
        <v>96.1</v>
      </c>
      <c r="E6482" s="44"/>
      <c r="F6482" s="16">
        <f>base!W6482</f>
        <v>27.87</v>
      </c>
      <c r="G6482" s="11">
        <f t="shared" si="1010"/>
        <v>0.29001040582726328</v>
      </c>
      <c r="H6482" s="11">
        <f t="shared" si="1011"/>
        <v>27.868999999999996</v>
      </c>
      <c r="I6482" s="11">
        <f t="shared" si="1012"/>
        <v>0.28999999999999998</v>
      </c>
      <c r="J6482" s="12">
        <f t="shared" si="1013"/>
        <v>1.0000000000047748E-3</v>
      </c>
      <c r="K6482" s="17" t="str">
        <f t="shared" si="1018"/>
        <v>Ecart positif</v>
      </c>
      <c r="L6482" s="16">
        <f>base!X6482</f>
        <v>0</v>
      </c>
      <c r="M6482" s="11">
        <f t="shared" si="1014"/>
        <v>0</v>
      </c>
      <c r="N6482" s="11">
        <f t="shared" si="1015"/>
        <v>7.6879999999999997</v>
      </c>
      <c r="O6482" s="11">
        <f t="shared" si="1016"/>
        <v>0.08</v>
      </c>
      <c r="P6482" s="12">
        <f t="shared" si="1017"/>
        <v>-7.6879999999999997</v>
      </c>
      <c r="Q6482" s="17" t="str">
        <f t="shared" si="1019"/>
        <v>Ecart négatif</v>
      </c>
    </row>
    <row r="6483" spans="1:18" x14ac:dyDescent="0.3">
      <c r="A6483" s="34" t="str">
        <f>base!J6483</f>
        <v>LS</v>
      </c>
      <c r="B6483" s="34" t="str">
        <f>base!V6483</f>
        <v>31100</v>
      </c>
      <c r="C6483" s="37">
        <v>57</v>
      </c>
      <c r="D6483" s="36">
        <f>base!H6483</f>
        <v>52.52</v>
      </c>
      <c r="E6483" s="44"/>
      <c r="F6483" s="16">
        <f>base!W6483</f>
        <v>11.55</v>
      </c>
      <c r="G6483" s="11">
        <f t="shared" si="1010"/>
        <v>0.21991622239146991</v>
      </c>
      <c r="H6483" s="11">
        <f t="shared" si="1011"/>
        <v>12.604800000000001</v>
      </c>
      <c r="I6483" s="11">
        <f t="shared" si="1012"/>
        <v>0.24</v>
      </c>
      <c r="J6483" s="12">
        <f t="shared" si="1013"/>
        <v>-1.0548000000000002</v>
      </c>
      <c r="K6483" s="17" t="str">
        <f t="shared" si="1018"/>
        <v>Ecart négatif</v>
      </c>
      <c r="L6483" s="16">
        <f>base!X6483</f>
        <v>0</v>
      </c>
      <c r="M6483" s="11">
        <f t="shared" si="1014"/>
        <v>0</v>
      </c>
      <c r="N6483" s="11">
        <f t="shared" si="1015"/>
        <v>13.13</v>
      </c>
      <c r="O6483" s="11">
        <f t="shared" si="1016"/>
        <v>0.25</v>
      </c>
      <c r="P6483" s="12">
        <f t="shared" si="1017"/>
        <v>-13.13</v>
      </c>
      <c r="Q6483" s="17" t="str">
        <f t="shared" si="1019"/>
        <v>Ecart négatif</v>
      </c>
    </row>
    <row r="6484" spans="1:18" x14ac:dyDescent="0.3">
      <c r="A6484" s="34" t="str">
        <f>base!J6484</f>
        <v>LS</v>
      </c>
      <c r="B6484" s="34" t="str">
        <f>base!V6484</f>
        <v>45120</v>
      </c>
      <c r="C6484" s="37">
        <v>68</v>
      </c>
      <c r="D6484" s="36">
        <f>base!H6484</f>
        <v>97.48</v>
      </c>
      <c r="E6484" s="44"/>
      <c r="F6484" s="16">
        <f>base!W6484</f>
        <v>20.47</v>
      </c>
      <c r="G6484" s="11">
        <f t="shared" si="1010"/>
        <v>0.20999179318834632</v>
      </c>
      <c r="H6484" s="11">
        <f t="shared" si="1011"/>
        <v>28.269199999999998</v>
      </c>
      <c r="I6484" s="11">
        <f t="shared" si="1012"/>
        <v>0.28999999999999998</v>
      </c>
      <c r="J6484" s="12">
        <f t="shared" si="1013"/>
        <v>-7.799199999999999</v>
      </c>
      <c r="K6484" s="17" t="str">
        <f t="shared" si="1018"/>
        <v>Ecart négatif</v>
      </c>
      <c r="L6484" s="16">
        <f>base!X6484</f>
        <v>0</v>
      </c>
      <c r="M6484" s="11">
        <f t="shared" si="1014"/>
        <v>0</v>
      </c>
      <c r="N6484" s="11">
        <f t="shared" si="1015"/>
        <v>7.7984000000000009</v>
      </c>
      <c r="O6484" s="11">
        <f t="shared" si="1016"/>
        <v>0.08</v>
      </c>
      <c r="P6484" s="12">
        <f t="shared" si="1017"/>
        <v>-7.7984000000000009</v>
      </c>
      <c r="Q6484" s="17" t="str">
        <f t="shared" si="1019"/>
        <v>Ecart négatif</v>
      </c>
    </row>
    <row r="6485" spans="1:18" x14ac:dyDescent="0.3">
      <c r="A6485" s="34" t="str">
        <f>base!J6485</f>
        <v>LS</v>
      </c>
      <c r="B6485" s="34" t="str">
        <f>base!V6485</f>
        <v>31800</v>
      </c>
      <c r="C6485" s="37">
        <v>63</v>
      </c>
      <c r="D6485" s="36">
        <f>base!H6485</f>
        <v>138.12</v>
      </c>
      <c r="E6485" s="44"/>
      <c r="F6485" s="16">
        <f>base!W6485</f>
        <v>30.39</v>
      </c>
      <c r="G6485" s="11">
        <f t="shared" si="1010"/>
        <v>0.22002606429192006</v>
      </c>
      <c r="H6485" s="11">
        <f t="shared" si="1011"/>
        <v>40.0548</v>
      </c>
      <c r="I6485" s="11">
        <f t="shared" si="1012"/>
        <v>0.28999999999999998</v>
      </c>
      <c r="J6485" s="12">
        <f t="shared" si="1013"/>
        <v>-9.6647999999999996</v>
      </c>
      <c r="K6485" s="17" t="str">
        <f t="shared" si="1018"/>
        <v>Ecart négatif</v>
      </c>
      <c r="L6485" s="16">
        <f>base!X6485</f>
        <v>0</v>
      </c>
      <c r="M6485" s="11">
        <f t="shared" si="1014"/>
        <v>0</v>
      </c>
      <c r="N6485" s="11">
        <f t="shared" si="1015"/>
        <v>16.574400000000001</v>
      </c>
      <c r="O6485" s="11">
        <f t="shared" si="1016"/>
        <v>0.12</v>
      </c>
      <c r="P6485" s="12">
        <f t="shared" si="1017"/>
        <v>-16.574400000000001</v>
      </c>
      <c r="Q6485" s="17" t="str">
        <f t="shared" si="1019"/>
        <v>Ecart négatif</v>
      </c>
    </row>
    <row r="6486" spans="1:18" x14ac:dyDescent="0.3">
      <c r="A6486" s="34" t="str">
        <f>base!J6486</f>
        <v>LM</v>
      </c>
      <c r="B6486" s="34" t="str">
        <f>base!V6486</f>
        <v>06560</v>
      </c>
      <c r="C6486" s="37">
        <v>13</v>
      </c>
      <c r="D6486" s="36">
        <f>base!H6486</f>
        <v>69.599999999999994</v>
      </c>
      <c r="E6486" s="44"/>
      <c r="F6486" s="16">
        <f>base!W6486</f>
        <v>20.88</v>
      </c>
      <c r="G6486" s="11">
        <f t="shared" si="1010"/>
        <v>0.3</v>
      </c>
      <c r="H6486" s="11">
        <f t="shared" si="1011"/>
        <v>20.183999999999997</v>
      </c>
      <c r="I6486" s="11">
        <f t="shared" si="1012"/>
        <v>0.28999999999999998</v>
      </c>
      <c r="J6486" s="12">
        <f t="shared" si="1013"/>
        <v>0.69600000000000151</v>
      </c>
      <c r="K6486" s="17" t="str">
        <f t="shared" si="1018"/>
        <v>Ecart positif</v>
      </c>
      <c r="L6486" s="16">
        <f>base!X6486</f>
        <v>0</v>
      </c>
      <c r="M6486" s="11">
        <f t="shared" si="1014"/>
        <v>0</v>
      </c>
      <c r="N6486" s="11">
        <f t="shared" si="1015"/>
        <v>13.223999999999998</v>
      </c>
      <c r="O6486" s="11">
        <f t="shared" si="1016"/>
        <v>0.19</v>
      </c>
      <c r="P6486" s="12">
        <f t="shared" si="1017"/>
        <v>-13.223999999999998</v>
      </c>
      <c r="Q6486" s="17" t="str">
        <f t="shared" si="1019"/>
        <v>Ecart négatif</v>
      </c>
    </row>
    <row r="6487" spans="1:18" x14ac:dyDescent="0.3">
      <c r="A6487" s="34" t="str">
        <f>base!J6487</f>
        <v>LM</v>
      </c>
      <c r="B6487" s="34" t="str">
        <f>base!V6487</f>
        <v>75014</v>
      </c>
      <c r="C6487" s="37">
        <v>75</v>
      </c>
      <c r="D6487" s="36">
        <f>base!H6487</f>
        <v>107.6</v>
      </c>
      <c r="E6487" s="44"/>
      <c r="F6487" s="16">
        <f>base!W6487</f>
        <v>0</v>
      </c>
      <c r="G6487" s="11">
        <f t="shared" si="1010"/>
        <v>0</v>
      </c>
      <c r="H6487" s="11">
        <f t="shared" si="1011"/>
        <v>0</v>
      </c>
      <c r="I6487" s="11">
        <f t="shared" si="1012"/>
        <v>0</v>
      </c>
      <c r="J6487" s="12">
        <f t="shared" si="1013"/>
        <v>0</v>
      </c>
      <c r="K6487" s="17" t="str">
        <f t="shared" si="1018"/>
        <v>Pas d'écart</v>
      </c>
      <c r="L6487" s="16">
        <f>base!X6487</f>
        <v>0</v>
      </c>
      <c r="M6487" s="11">
        <f t="shared" si="1014"/>
        <v>0</v>
      </c>
      <c r="N6487" s="11">
        <f t="shared" si="1015"/>
        <v>0</v>
      </c>
      <c r="O6487" s="11">
        <f t="shared" si="1016"/>
        <v>0</v>
      </c>
      <c r="P6487" s="12">
        <f t="shared" si="1017"/>
        <v>0</v>
      </c>
      <c r="Q6487" s="17" t="str">
        <f t="shared" si="1019"/>
        <v>Pas d'écart</v>
      </c>
    </row>
    <row r="6488" spans="1:18" x14ac:dyDescent="0.3">
      <c r="A6488" s="34" t="str">
        <f>base!J6488</f>
        <v>LS</v>
      </c>
      <c r="B6488" s="34" t="str">
        <f>base!V6488</f>
        <v>44240</v>
      </c>
      <c r="C6488" s="37">
        <v>13</v>
      </c>
      <c r="D6488" s="36">
        <f>base!H6488</f>
        <v>173.25</v>
      </c>
      <c r="E6488" s="44"/>
      <c r="F6488" s="16">
        <f>base!W6488</f>
        <v>46.78</v>
      </c>
      <c r="G6488" s="11">
        <f t="shared" si="1010"/>
        <v>0.27001443001443004</v>
      </c>
      <c r="H6488" s="11">
        <f t="shared" si="1011"/>
        <v>50.2425</v>
      </c>
      <c r="I6488" s="11">
        <f t="shared" si="1012"/>
        <v>0.28999999999999998</v>
      </c>
      <c r="J6488" s="12">
        <f t="shared" si="1013"/>
        <v>-3.4624999999999986</v>
      </c>
      <c r="K6488" s="17" t="str">
        <f t="shared" si="1018"/>
        <v>Ecart négatif</v>
      </c>
      <c r="L6488" s="16">
        <f>base!X6488</f>
        <v>0</v>
      </c>
      <c r="M6488" s="11">
        <f t="shared" si="1014"/>
        <v>0</v>
      </c>
      <c r="N6488" s="11">
        <f t="shared" si="1015"/>
        <v>32.917499999999997</v>
      </c>
      <c r="O6488" s="11">
        <f t="shared" si="1016"/>
        <v>0.18999999999999997</v>
      </c>
      <c r="P6488" s="12">
        <f t="shared" si="1017"/>
        <v>-32.917499999999997</v>
      </c>
      <c r="Q6488" s="17" t="str">
        <f t="shared" si="1019"/>
        <v>Ecart négatif</v>
      </c>
    </row>
    <row r="6489" spans="1:18" x14ac:dyDescent="0.3">
      <c r="A6489" s="34" t="str">
        <f>base!J6489</f>
        <v>LS</v>
      </c>
      <c r="B6489" s="34" t="str">
        <f>base!V6489</f>
        <v>67270</v>
      </c>
      <c r="C6489" s="37">
        <v>13</v>
      </c>
      <c r="D6489" s="36">
        <f>base!H6489</f>
        <v>126.65</v>
      </c>
      <c r="E6489" s="44"/>
      <c r="F6489" s="16">
        <f>base!W6489</f>
        <v>36.729999999999997</v>
      </c>
      <c r="G6489" s="11">
        <f t="shared" si="1010"/>
        <v>0.29001184366363991</v>
      </c>
      <c r="H6489" s="11">
        <f t="shared" si="1011"/>
        <v>36.728499999999997</v>
      </c>
      <c r="I6489" s="11">
        <f t="shared" si="1012"/>
        <v>0.28999999999999998</v>
      </c>
      <c r="J6489" s="12">
        <f t="shared" si="1013"/>
        <v>1.5000000000000568E-3</v>
      </c>
      <c r="K6489" s="17" t="str">
        <f t="shared" si="1018"/>
        <v>Ecart positif</v>
      </c>
      <c r="L6489" s="16">
        <f>base!X6489</f>
        <v>0</v>
      </c>
      <c r="M6489" s="11">
        <f t="shared" si="1014"/>
        <v>0</v>
      </c>
      <c r="N6489" s="11">
        <f t="shared" si="1015"/>
        <v>24.063500000000001</v>
      </c>
      <c r="O6489" s="11">
        <f t="shared" si="1016"/>
        <v>0.19</v>
      </c>
      <c r="P6489" s="12">
        <f t="shared" si="1017"/>
        <v>-24.063500000000001</v>
      </c>
      <c r="Q6489" s="17" t="str">
        <f t="shared" si="1019"/>
        <v>Ecart négatif</v>
      </c>
    </row>
    <row r="6490" spans="1:18" x14ac:dyDescent="0.3">
      <c r="A6490" s="34" t="str">
        <f>base!J6490</f>
        <v>LM</v>
      </c>
      <c r="B6490" s="34" t="str">
        <f>base!V6490</f>
        <v>11000</v>
      </c>
      <c r="C6490" s="37">
        <v>13</v>
      </c>
      <c r="D6490" s="36">
        <f>base!H6490</f>
        <v>55.36</v>
      </c>
      <c r="E6490" s="44"/>
      <c r="F6490" s="16">
        <f>base!W6490</f>
        <v>21.59</v>
      </c>
      <c r="G6490" s="11">
        <f t="shared" si="1010"/>
        <v>0.38999277456647397</v>
      </c>
      <c r="H6490" s="11">
        <f t="shared" si="1011"/>
        <v>16.054399999999998</v>
      </c>
      <c r="I6490" s="11">
        <f t="shared" si="1012"/>
        <v>0.28999999999999998</v>
      </c>
      <c r="J6490" s="12">
        <f t="shared" si="1013"/>
        <v>5.5356000000000023</v>
      </c>
      <c r="K6490" s="17" t="str">
        <f t="shared" si="1018"/>
        <v>Ecart positif</v>
      </c>
      <c r="L6490" s="16">
        <f>base!X6490</f>
        <v>0</v>
      </c>
      <c r="M6490" s="11">
        <f t="shared" si="1014"/>
        <v>0</v>
      </c>
      <c r="N6490" s="11">
        <f t="shared" si="1015"/>
        <v>10.5184</v>
      </c>
      <c r="O6490" s="11">
        <f t="shared" si="1016"/>
        <v>0.19</v>
      </c>
      <c r="P6490" s="12">
        <f t="shared" si="1017"/>
        <v>-10.5184</v>
      </c>
      <c r="Q6490" s="17" t="str">
        <f t="shared" si="1019"/>
        <v>Ecart négatif</v>
      </c>
    </row>
    <row r="6491" spans="1:18" x14ac:dyDescent="0.3">
      <c r="A6491" s="34" t="str">
        <f>base!J6491</f>
        <v>LS</v>
      </c>
      <c r="B6491" s="34" t="str">
        <f>base!V6491</f>
        <v>67000</v>
      </c>
      <c r="C6491" s="37">
        <v>13</v>
      </c>
      <c r="D6491" s="36">
        <f>base!H6491</f>
        <v>174.15</v>
      </c>
      <c r="E6491" s="44"/>
      <c r="F6491" s="16">
        <f>base!W6491</f>
        <v>50.5</v>
      </c>
      <c r="G6491" s="11">
        <f t="shared" si="1010"/>
        <v>0.28997990238300314</v>
      </c>
      <c r="H6491" s="11">
        <f t="shared" si="1011"/>
        <v>50.503499999999995</v>
      </c>
      <c r="I6491" s="11">
        <f t="shared" si="1012"/>
        <v>0.28999999999999998</v>
      </c>
      <c r="J6491" s="12">
        <f t="shared" si="1013"/>
        <v>-3.4999999999953957E-3</v>
      </c>
      <c r="K6491" s="17" t="str">
        <f t="shared" si="1018"/>
        <v>Ecart négatif</v>
      </c>
      <c r="L6491" s="16">
        <f>base!X6491</f>
        <v>0</v>
      </c>
      <c r="M6491" s="11">
        <f t="shared" si="1014"/>
        <v>0</v>
      </c>
      <c r="N6491" s="11">
        <f t="shared" si="1015"/>
        <v>33.088500000000003</v>
      </c>
      <c r="O6491" s="11">
        <f t="shared" si="1016"/>
        <v>0.19</v>
      </c>
      <c r="P6491" s="12">
        <f t="shared" si="1017"/>
        <v>-33.088500000000003</v>
      </c>
      <c r="Q6491" s="17" t="str">
        <f t="shared" si="1019"/>
        <v>Ecart négatif</v>
      </c>
    </row>
    <row r="6492" spans="1:18" x14ac:dyDescent="0.3">
      <c r="A6492" s="34" t="str">
        <f>base!J6492</f>
        <v>LM</v>
      </c>
      <c r="B6492" s="34" t="str">
        <f>base!V6492</f>
        <v>75014</v>
      </c>
      <c r="C6492" s="37">
        <v>75</v>
      </c>
      <c r="D6492" s="36">
        <f>base!H6492</f>
        <v>53.38</v>
      </c>
      <c r="E6492" s="44"/>
      <c r="F6492" s="16">
        <f>base!W6492</f>
        <v>0</v>
      </c>
      <c r="G6492" s="11">
        <f t="shared" si="1010"/>
        <v>0</v>
      </c>
      <c r="H6492" s="11">
        <f t="shared" si="1011"/>
        <v>0</v>
      </c>
      <c r="I6492" s="11">
        <f t="shared" si="1012"/>
        <v>0</v>
      </c>
      <c r="J6492" s="12">
        <f t="shared" si="1013"/>
        <v>0</v>
      </c>
      <c r="K6492" s="17" t="str">
        <f t="shared" si="1018"/>
        <v>Pas d'écart</v>
      </c>
      <c r="L6492" s="16">
        <f>base!X6492</f>
        <v>0</v>
      </c>
      <c r="M6492" s="11">
        <f t="shared" si="1014"/>
        <v>0</v>
      </c>
      <c r="N6492" s="11">
        <f t="shared" si="1015"/>
        <v>0</v>
      </c>
      <c r="O6492" s="11">
        <f t="shared" si="1016"/>
        <v>0</v>
      </c>
      <c r="P6492" s="12">
        <f t="shared" si="1017"/>
        <v>0</v>
      </c>
      <c r="Q6492" s="17" t="str">
        <f t="shared" si="1019"/>
        <v>Pas d'écart</v>
      </c>
    </row>
    <row r="6493" spans="1:18" x14ac:dyDescent="0.3">
      <c r="A6493" s="34" t="str">
        <f>base!J6493</f>
        <v>LS</v>
      </c>
      <c r="B6493" s="34" t="str">
        <f>base!V6493</f>
        <v>28000</v>
      </c>
      <c r="C6493" s="37">
        <v>13</v>
      </c>
      <c r="D6493" s="36">
        <f>base!H6493</f>
        <v>40</v>
      </c>
      <c r="E6493" s="44"/>
      <c r="F6493" s="16">
        <f>base!W6493</f>
        <v>8.4</v>
      </c>
      <c r="G6493" s="11">
        <f t="shared" si="1010"/>
        <v>0.21000000000000002</v>
      </c>
      <c r="H6493" s="11">
        <f t="shared" si="1011"/>
        <v>11.6</v>
      </c>
      <c r="I6493" s="11">
        <f t="shared" si="1012"/>
        <v>0.28999999999999998</v>
      </c>
      <c r="J6493" s="12">
        <f t="shared" si="1013"/>
        <v>-3.1999999999999993</v>
      </c>
      <c r="K6493" s="17" t="str">
        <f t="shared" si="1018"/>
        <v>Ecart négatif</v>
      </c>
      <c r="L6493" s="16">
        <f>base!X6493</f>
        <v>0</v>
      </c>
      <c r="M6493" s="11">
        <f t="shared" si="1014"/>
        <v>0</v>
      </c>
      <c r="N6493" s="11">
        <f t="shared" si="1015"/>
        <v>7.6</v>
      </c>
      <c r="O6493" s="11">
        <f t="shared" si="1016"/>
        <v>0.19</v>
      </c>
      <c r="P6493" s="12">
        <f t="shared" si="1017"/>
        <v>-7.6</v>
      </c>
      <c r="Q6493" s="17" t="str">
        <f t="shared" si="1019"/>
        <v>Ecart négatif</v>
      </c>
    </row>
    <row r="6494" spans="1:18" x14ac:dyDescent="0.3">
      <c r="A6494" s="34" t="str">
        <f>base!J6494</f>
        <v>LM</v>
      </c>
      <c r="B6494" s="34" t="str">
        <f>base!V6494</f>
        <v>69002</v>
      </c>
      <c r="C6494" s="37">
        <v>69</v>
      </c>
      <c r="D6494" s="36">
        <f>base!H6494</f>
        <v>200</v>
      </c>
      <c r="E6494" s="44"/>
      <c r="F6494" s="16">
        <f>base!W6494</f>
        <v>54</v>
      </c>
      <c r="G6494" s="11">
        <f t="shared" si="1010"/>
        <v>0.27</v>
      </c>
      <c r="H6494" s="11">
        <f t="shared" si="1011"/>
        <v>54</v>
      </c>
      <c r="I6494" s="11">
        <f t="shared" si="1012"/>
        <v>0.27</v>
      </c>
      <c r="J6494" s="12">
        <f t="shared" si="1013"/>
        <v>0</v>
      </c>
      <c r="K6494" s="17" t="str">
        <f t="shared" si="1018"/>
        <v>Pas d'écart</v>
      </c>
      <c r="L6494" s="16">
        <f>base!X6494</f>
        <v>0</v>
      </c>
      <c r="M6494" s="11">
        <f t="shared" si="1014"/>
        <v>0</v>
      </c>
      <c r="N6494" s="11">
        <f t="shared" si="1015"/>
        <v>0</v>
      </c>
      <c r="O6494" s="11">
        <f t="shared" si="1016"/>
        <v>0</v>
      </c>
      <c r="P6494" s="12">
        <f t="shared" si="1017"/>
        <v>0</v>
      </c>
      <c r="Q6494" s="17" t="str">
        <f t="shared" si="1019"/>
        <v>Pas d'écart</v>
      </c>
    </row>
    <row r="6495" spans="1:18" x14ac:dyDescent="0.3">
      <c r="A6495" s="34" t="str">
        <f>base!J6495</f>
        <v>RM</v>
      </c>
      <c r="B6495" s="34" t="str">
        <f>base!V6495</f>
        <v>14000</v>
      </c>
      <c r="C6495" s="37">
        <v>14</v>
      </c>
      <c r="D6495" s="36">
        <f>base!H6495</f>
        <v>151</v>
      </c>
      <c r="E6495" s="44"/>
      <c r="F6495" s="16">
        <f>base!W6495</f>
        <v>0</v>
      </c>
      <c r="G6495" s="11">
        <f t="shared" si="1010"/>
        <v>0</v>
      </c>
      <c r="H6495" s="11">
        <f t="shared" si="1011"/>
        <v>25.67</v>
      </c>
      <c r="I6495" s="11">
        <f t="shared" si="1012"/>
        <v>0.17</v>
      </c>
      <c r="J6495" s="12">
        <f t="shared" si="1013"/>
        <v>-25.67</v>
      </c>
      <c r="K6495" s="17" t="str">
        <f t="shared" si="1018"/>
        <v>Ecart négatif</v>
      </c>
      <c r="L6495" s="16">
        <f>base!X6495</f>
        <v>25.67</v>
      </c>
      <c r="M6495" s="11">
        <f t="shared" si="1014"/>
        <v>0.17</v>
      </c>
      <c r="N6495" s="11">
        <f t="shared" si="1015"/>
        <v>25.67</v>
      </c>
      <c r="O6495" s="11">
        <f t="shared" si="1016"/>
        <v>0.17</v>
      </c>
      <c r="P6495" s="12">
        <f t="shared" si="1017"/>
        <v>0</v>
      </c>
      <c r="Q6495" s="17" t="str">
        <f t="shared" si="1019"/>
        <v>Pas d'écart</v>
      </c>
      <c r="R6495" s="38"/>
    </row>
    <row r="6496" spans="1:18" x14ac:dyDescent="0.3">
      <c r="A6496" s="34" t="str">
        <f>base!J6496</f>
        <v>RM</v>
      </c>
      <c r="B6496" s="34" t="str">
        <f>base!V6496</f>
        <v>37400</v>
      </c>
      <c r="C6496" s="37">
        <v>37</v>
      </c>
      <c r="D6496" s="36">
        <f>base!H6496</f>
        <v>70</v>
      </c>
      <c r="E6496" s="44"/>
      <c r="F6496" s="16">
        <f>base!W6496</f>
        <v>0</v>
      </c>
      <c r="G6496" s="11">
        <f t="shared" si="1010"/>
        <v>0</v>
      </c>
      <c r="H6496" s="11">
        <f t="shared" si="1011"/>
        <v>13.3</v>
      </c>
      <c r="I6496" s="11">
        <f t="shared" si="1012"/>
        <v>0.19</v>
      </c>
      <c r="J6496" s="12">
        <f t="shared" si="1013"/>
        <v>-13.3</v>
      </c>
      <c r="K6496" s="17" t="str">
        <f t="shared" si="1018"/>
        <v>Ecart négatif</v>
      </c>
      <c r="L6496" s="16">
        <f>base!X6496</f>
        <v>8.4</v>
      </c>
      <c r="M6496" s="11">
        <f t="shared" si="1014"/>
        <v>0.12000000000000001</v>
      </c>
      <c r="N6496" s="11">
        <f t="shared" si="1015"/>
        <v>8.4</v>
      </c>
      <c r="O6496" s="11">
        <f t="shared" si="1016"/>
        <v>0.12000000000000001</v>
      </c>
      <c r="P6496" s="12">
        <f t="shared" si="1017"/>
        <v>0</v>
      </c>
      <c r="Q6496" s="17" t="str">
        <f t="shared" si="1019"/>
        <v>Pas d'écart</v>
      </c>
      <c r="R6496" s="38"/>
    </row>
    <row r="6497" spans="1:17" x14ac:dyDescent="0.3">
      <c r="A6497" s="34" t="str">
        <f>base!J6497</f>
        <v>DRM</v>
      </c>
      <c r="B6497" s="34" t="str">
        <f>base!V6497</f>
        <v>44700</v>
      </c>
      <c r="C6497" s="37">
        <v>44</v>
      </c>
      <c r="D6497" s="36">
        <f>base!H6497</f>
        <v>172.66</v>
      </c>
      <c r="E6497" s="44"/>
      <c r="F6497" s="16">
        <f>base!W6497</f>
        <v>0</v>
      </c>
      <c r="G6497" s="11">
        <f t="shared" si="1010"/>
        <v>0</v>
      </c>
      <c r="H6497" s="11">
        <f t="shared" si="1011"/>
        <v>46.618200000000002</v>
      </c>
      <c r="I6497" s="11">
        <f t="shared" si="1012"/>
        <v>0.27</v>
      </c>
      <c r="J6497" s="12">
        <f t="shared" si="1013"/>
        <v>-46.618200000000002</v>
      </c>
      <c r="K6497" s="17" t="str">
        <f t="shared" si="1018"/>
        <v>Ecart négatif</v>
      </c>
      <c r="L6497" s="16">
        <f>base!X6497</f>
        <v>0</v>
      </c>
      <c r="M6497" s="11">
        <f t="shared" si="1014"/>
        <v>0</v>
      </c>
      <c r="N6497" s="11">
        <f t="shared" si="1015"/>
        <v>0</v>
      </c>
      <c r="O6497" s="11">
        <f t="shared" si="1016"/>
        <v>0</v>
      </c>
      <c r="P6497" s="12">
        <f t="shared" si="1017"/>
        <v>0</v>
      </c>
      <c r="Q6497" s="17" t="str">
        <f t="shared" si="1019"/>
        <v>Pas d'écart</v>
      </c>
    </row>
    <row r="6498" spans="1:17" x14ac:dyDescent="0.3">
      <c r="A6498" s="34" t="str">
        <f>base!J6498</f>
        <v>LM</v>
      </c>
      <c r="B6498" s="34" t="str">
        <f>base!V6498</f>
        <v>75014</v>
      </c>
      <c r="C6498" s="37">
        <v>75</v>
      </c>
      <c r="D6498" s="36">
        <f>base!H6498</f>
        <v>19.649999999999999</v>
      </c>
      <c r="E6498" s="44"/>
      <c r="F6498" s="16">
        <f>base!W6498</f>
        <v>0</v>
      </c>
      <c r="G6498" s="11">
        <f t="shared" si="1010"/>
        <v>0</v>
      </c>
      <c r="H6498" s="11">
        <f t="shared" si="1011"/>
        <v>0</v>
      </c>
      <c r="I6498" s="11">
        <f t="shared" si="1012"/>
        <v>0</v>
      </c>
      <c r="J6498" s="12">
        <f t="shared" si="1013"/>
        <v>0</v>
      </c>
      <c r="K6498" s="17" t="str">
        <f t="shared" si="1018"/>
        <v>Pas d'écart</v>
      </c>
      <c r="L6498" s="16">
        <f>base!X6498</f>
        <v>0</v>
      </c>
      <c r="M6498" s="11">
        <f t="shared" si="1014"/>
        <v>0</v>
      </c>
      <c r="N6498" s="11">
        <f t="shared" si="1015"/>
        <v>0</v>
      </c>
      <c r="O6498" s="11">
        <f t="shared" si="1016"/>
        <v>0</v>
      </c>
      <c r="P6498" s="12">
        <f t="shared" si="1017"/>
        <v>0</v>
      </c>
      <c r="Q6498" s="17" t="str">
        <f t="shared" si="1019"/>
        <v>Pas d'écart</v>
      </c>
    </row>
    <row r="6499" spans="1:17" x14ac:dyDescent="0.3">
      <c r="A6499" s="34">
        <f>base!J6499</f>
        <v>0</v>
      </c>
      <c r="B6499" s="34" t="str">
        <f>base!V6499</f>
        <v>77184</v>
      </c>
      <c r="C6499" s="37">
        <v>77</v>
      </c>
      <c r="D6499" s="36">
        <f>base!H6499</f>
        <v>416.43</v>
      </c>
      <c r="E6499" s="44"/>
      <c r="F6499" s="16">
        <f>base!W6499</f>
        <v>0</v>
      </c>
      <c r="G6499" s="11">
        <f t="shared" si="1010"/>
        <v>0</v>
      </c>
      <c r="H6499" s="11">
        <f t="shared" si="1011"/>
        <v>0</v>
      </c>
      <c r="I6499" s="11">
        <f t="shared" si="1012"/>
        <v>0</v>
      </c>
      <c r="J6499" s="12">
        <f t="shared" si="1013"/>
        <v>0</v>
      </c>
      <c r="K6499" s="17" t="str">
        <f t="shared" si="1018"/>
        <v>Pas d'écart</v>
      </c>
      <c r="L6499" s="16">
        <f>base!X6499</f>
        <v>0</v>
      </c>
      <c r="M6499" s="11">
        <f t="shared" si="1014"/>
        <v>0</v>
      </c>
      <c r="N6499" s="11">
        <f t="shared" si="1015"/>
        <v>0</v>
      </c>
      <c r="O6499" s="11">
        <f t="shared" si="1016"/>
        <v>0</v>
      </c>
      <c r="P6499" s="12">
        <f t="shared" si="1017"/>
        <v>0</v>
      </c>
      <c r="Q6499" s="17" t="str">
        <f t="shared" si="1019"/>
        <v>Pas d'écart</v>
      </c>
    </row>
    <row r="6500" spans="1:17" x14ac:dyDescent="0.3">
      <c r="A6500" s="34">
        <f>base!J6500</f>
        <v>0</v>
      </c>
      <c r="B6500" s="34" t="str">
        <f>base!V6500</f>
        <v>77184</v>
      </c>
      <c r="C6500" s="37">
        <v>77</v>
      </c>
      <c r="D6500" s="36">
        <f>base!H6500</f>
        <v>115</v>
      </c>
      <c r="E6500" s="44"/>
      <c r="F6500" s="16">
        <f>base!W6500</f>
        <v>0</v>
      </c>
      <c r="G6500" s="11">
        <f t="shared" si="1010"/>
        <v>0</v>
      </c>
      <c r="H6500" s="11">
        <f t="shared" si="1011"/>
        <v>0</v>
      </c>
      <c r="I6500" s="11">
        <f t="shared" si="1012"/>
        <v>0</v>
      </c>
      <c r="J6500" s="12">
        <f t="shared" si="1013"/>
        <v>0</v>
      </c>
      <c r="K6500" s="17" t="str">
        <f t="shared" si="1018"/>
        <v>Pas d'écart</v>
      </c>
      <c r="L6500" s="16">
        <f>base!X6500</f>
        <v>0</v>
      </c>
      <c r="M6500" s="11">
        <f t="shared" si="1014"/>
        <v>0</v>
      </c>
      <c r="N6500" s="11">
        <f t="shared" si="1015"/>
        <v>0</v>
      </c>
      <c r="O6500" s="11">
        <f t="shared" si="1016"/>
        <v>0</v>
      </c>
      <c r="P6500" s="12">
        <f t="shared" si="1017"/>
        <v>0</v>
      </c>
      <c r="Q6500" s="17" t="str">
        <f t="shared" si="1019"/>
        <v>Pas d'écart</v>
      </c>
    </row>
    <row r="6501" spans="1:17" x14ac:dyDescent="0.3">
      <c r="A6501" s="34">
        <f>base!J6501</f>
        <v>0</v>
      </c>
      <c r="B6501" s="34" t="str">
        <f>base!V6501</f>
        <v>77184</v>
      </c>
      <c r="C6501" s="37">
        <v>77</v>
      </c>
      <c r="D6501" s="36">
        <f>base!H6501</f>
        <v>160.97999999999999</v>
      </c>
      <c r="E6501" s="44"/>
      <c r="F6501" s="16">
        <f>base!W6501</f>
        <v>0</v>
      </c>
      <c r="G6501" s="11">
        <f t="shared" si="1010"/>
        <v>0</v>
      </c>
      <c r="H6501" s="11">
        <f t="shared" si="1011"/>
        <v>0</v>
      </c>
      <c r="I6501" s="11">
        <f t="shared" si="1012"/>
        <v>0</v>
      </c>
      <c r="J6501" s="12">
        <f t="shared" si="1013"/>
        <v>0</v>
      </c>
      <c r="K6501" s="17" t="str">
        <f t="shared" si="1018"/>
        <v>Pas d'écart</v>
      </c>
      <c r="L6501" s="16">
        <f>base!X6501</f>
        <v>0</v>
      </c>
      <c r="M6501" s="11">
        <f t="shared" si="1014"/>
        <v>0</v>
      </c>
      <c r="N6501" s="11">
        <f t="shared" si="1015"/>
        <v>0</v>
      </c>
      <c r="O6501" s="11">
        <f t="shared" si="1016"/>
        <v>0</v>
      </c>
      <c r="P6501" s="12">
        <f t="shared" si="1017"/>
        <v>0</v>
      </c>
      <c r="Q6501" s="17" t="str">
        <f t="shared" si="1019"/>
        <v>Pas d'écart</v>
      </c>
    </row>
    <row r="6502" spans="1:17" x14ac:dyDescent="0.3">
      <c r="A6502" s="34" t="str">
        <f>base!J6502</f>
        <v>LM</v>
      </c>
      <c r="B6502" s="34" t="str">
        <f>base!V6502</f>
        <v>14000</v>
      </c>
      <c r="C6502" s="37">
        <v>13</v>
      </c>
      <c r="D6502" s="36">
        <f>base!H6502</f>
        <v>115.22</v>
      </c>
      <c r="E6502" s="44"/>
      <c r="F6502" s="16">
        <f>base!W6502</f>
        <v>19.59</v>
      </c>
      <c r="G6502" s="11">
        <f t="shared" si="1010"/>
        <v>0.17002256552681827</v>
      </c>
      <c r="H6502" s="11">
        <f t="shared" si="1011"/>
        <v>33.413799999999995</v>
      </c>
      <c r="I6502" s="11">
        <f t="shared" si="1012"/>
        <v>0.28999999999999998</v>
      </c>
      <c r="J6502" s="12">
        <f t="shared" si="1013"/>
        <v>-13.823799999999995</v>
      </c>
      <c r="K6502" s="17" t="str">
        <f t="shared" si="1018"/>
        <v>Ecart négatif</v>
      </c>
      <c r="L6502" s="16">
        <f>base!X6502</f>
        <v>0</v>
      </c>
      <c r="M6502" s="11">
        <f t="shared" si="1014"/>
        <v>0</v>
      </c>
      <c r="N6502" s="11">
        <f t="shared" si="1015"/>
        <v>21.8918</v>
      </c>
      <c r="O6502" s="11">
        <f t="shared" si="1016"/>
        <v>0.19</v>
      </c>
      <c r="P6502" s="12">
        <f t="shared" si="1017"/>
        <v>-21.8918</v>
      </c>
      <c r="Q6502" s="17" t="str">
        <f t="shared" si="1019"/>
        <v>Ecart négatif</v>
      </c>
    </row>
    <row r="6503" spans="1:17" x14ac:dyDescent="0.3">
      <c r="A6503" s="34" t="str">
        <f>base!J6503</f>
        <v>LM</v>
      </c>
      <c r="B6503" s="34" t="str">
        <f>base!V6503</f>
        <v>75014</v>
      </c>
      <c r="C6503" s="37">
        <v>75</v>
      </c>
      <c r="D6503" s="36">
        <f>base!H6503</f>
        <v>19.649999999999999</v>
      </c>
      <c r="E6503" s="44"/>
      <c r="F6503" s="16">
        <f>base!W6503</f>
        <v>0</v>
      </c>
      <c r="G6503" s="11">
        <f t="shared" si="1010"/>
        <v>0</v>
      </c>
      <c r="H6503" s="11">
        <f t="shared" si="1011"/>
        <v>0</v>
      </c>
      <c r="I6503" s="11">
        <f t="shared" si="1012"/>
        <v>0</v>
      </c>
      <c r="J6503" s="12">
        <f t="shared" si="1013"/>
        <v>0</v>
      </c>
      <c r="K6503" s="17" t="str">
        <f t="shared" si="1018"/>
        <v>Pas d'écart</v>
      </c>
      <c r="L6503" s="16">
        <f>base!X6503</f>
        <v>0</v>
      </c>
      <c r="M6503" s="11">
        <f t="shared" si="1014"/>
        <v>0</v>
      </c>
      <c r="N6503" s="11">
        <f t="shared" si="1015"/>
        <v>0</v>
      </c>
      <c r="O6503" s="11">
        <f t="shared" si="1016"/>
        <v>0</v>
      </c>
      <c r="P6503" s="12">
        <f t="shared" si="1017"/>
        <v>0</v>
      </c>
      <c r="Q6503" s="17" t="str">
        <f t="shared" si="1019"/>
        <v>Pas d'écart</v>
      </c>
    </row>
    <row r="6504" spans="1:17" x14ac:dyDescent="0.3">
      <c r="A6504" s="34" t="str">
        <f>base!J6504</f>
        <v>LM</v>
      </c>
      <c r="B6504" s="34" t="str">
        <f>base!V6504</f>
        <v>75014</v>
      </c>
      <c r="C6504" s="37">
        <v>75</v>
      </c>
      <c r="D6504" s="36">
        <f>base!H6504</f>
        <v>19.649999999999999</v>
      </c>
      <c r="E6504" s="44"/>
      <c r="F6504" s="16">
        <f>base!W6504</f>
        <v>0</v>
      </c>
      <c r="G6504" s="11">
        <f t="shared" si="1010"/>
        <v>0</v>
      </c>
      <c r="H6504" s="11">
        <f t="shared" si="1011"/>
        <v>0</v>
      </c>
      <c r="I6504" s="11">
        <f t="shared" si="1012"/>
        <v>0</v>
      </c>
      <c r="J6504" s="12">
        <f t="shared" si="1013"/>
        <v>0</v>
      </c>
      <c r="K6504" s="17" t="str">
        <f t="shared" si="1018"/>
        <v>Pas d'écart</v>
      </c>
      <c r="L6504" s="16">
        <f>base!X6504</f>
        <v>0</v>
      </c>
      <c r="M6504" s="11">
        <f t="shared" si="1014"/>
        <v>0</v>
      </c>
      <c r="N6504" s="11">
        <f t="shared" si="1015"/>
        <v>0</v>
      </c>
      <c r="O6504" s="11">
        <f t="shared" si="1016"/>
        <v>0</v>
      </c>
      <c r="P6504" s="12">
        <f t="shared" si="1017"/>
        <v>0</v>
      </c>
      <c r="Q6504" s="17" t="str">
        <f t="shared" si="1019"/>
        <v>Pas d'écart</v>
      </c>
    </row>
    <row r="6505" spans="1:17" x14ac:dyDescent="0.3">
      <c r="A6505" s="34" t="str">
        <f>base!J6505</f>
        <v>LM</v>
      </c>
      <c r="B6505" s="34" t="str">
        <f>base!V6505</f>
        <v>75014</v>
      </c>
      <c r="C6505" s="37">
        <v>75</v>
      </c>
      <c r="D6505" s="36">
        <f>base!H6505</f>
        <v>19.649999999999999</v>
      </c>
      <c r="E6505" s="44"/>
      <c r="F6505" s="16">
        <f>base!W6505</f>
        <v>0</v>
      </c>
      <c r="G6505" s="11">
        <f t="shared" si="1010"/>
        <v>0</v>
      </c>
      <c r="H6505" s="11">
        <f t="shared" si="1011"/>
        <v>0</v>
      </c>
      <c r="I6505" s="11">
        <f t="shared" si="1012"/>
        <v>0</v>
      </c>
      <c r="J6505" s="12">
        <f t="shared" si="1013"/>
        <v>0</v>
      </c>
      <c r="K6505" s="17" t="str">
        <f t="shared" si="1018"/>
        <v>Pas d'écart</v>
      </c>
      <c r="L6505" s="16">
        <f>base!X6505</f>
        <v>0</v>
      </c>
      <c r="M6505" s="11">
        <f t="shared" si="1014"/>
        <v>0</v>
      </c>
      <c r="N6505" s="11">
        <f t="shared" si="1015"/>
        <v>0</v>
      </c>
      <c r="O6505" s="11">
        <f t="shared" si="1016"/>
        <v>0</v>
      </c>
      <c r="P6505" s="12">
        <f t="shared" si="1017"/>
        <v>0</v>
      </c>
      <c r="Q6505" s="17" t="str">
        <f t="shared" si="1019"/>
        <v>Pas d'écart</v>
      </c>
    </row>
    <row r="6506" spans="1:17" x14ac:dyDescent="0.3">
      <c r="A6506" s="34" t="str">
        <f>base!J6506</f>
        <v>LS</v>
      </c>
      <c r="B6506" s="34" t="str">
        <f>base!V6506</f>
        <v>75014</v>
      </c>
      <c r="C6506" s="37">
        <v>75</v>
      </c>
      <c r="D6506" s="36">
        <f>base!H6506</f>
        <v>19.649999999999999</v>
      </c>
      <c r="E6506" s="44"/>
      <c r="F6506" s="16">
        <f>base!W6506</f>
        <v>0</v>
      </c>
      <c r="G6506" s="11">
        <f t="shared" si="1010"/>
        <v>0</v>
      </c>
      <c r="H6506" s="11">
        <f t="shared" si="1011"/>
        <v>0</v>
      </c>
      <c r="I6506" s="11">
        <f t="shared" si="1012"/>
        <v>0</v>
      </c>
      <c r="J6506" s="12">
        <f t="shared" si="1013"/>
        <v>0</v>
      </c>
      <c r="K6506" s="17" t="str">
        <f t="shared" si="1018"/>
        <v>Pas d'écart</v>
      </c>
      <c r="L6506" s="16">
        <f>base!X6506</f>
        <v>0</v>
      </c>
      <c r="M6506" s="11">
        <f t="shared" si="1014"/>
        <v>0</v>
      </c>
      <c r="N6506" s="11">
        <f t="shared" si="1015"/>
        <v>0</v>
      </c>
      <c r="O6506" s="11">
        <f t="shared" si="1016"/>
        <v>0</v>
      </c>
      <c r="P6506" s="12">
        <f t="shared" si="1017"/>
        <v>0</v>
      </c>
      <c r="Q6506" s="17" t="str">
        <f t="shared" si="1019"/>
        <v>Pas d'écart</v>
      </c>
    </row>
    <row r="6507" spans="1:17" x14ac:dyDescent="0.3">
      <c r="A6507" s="34" t="str">
        <f>base!J6507</f>
        <v>LM</v>
      </c>
      <c r="B6507" s="34" t="str">
        <f>base!V6507</f>
        <v>75014</v>
      </c>
      <c r="C6507" s="37">
        <v>75</v>
      </c>
      <c r="D6507" s="36">
        <f>base!H6507</f>
        <v>19.649999999999999</v>
      </c>
      <c r="E6507" s="44"/>
      <c r="F6507" s="16">
        <f>base!W6507</f>
        <v>0</v>
      </c>
      <c r="G6507" s="11">
        <f t="shared" si="1010"/>
        <v>0</v>
      </c>
      <c r="H6507" s="11">
        <f t="shared" si="1011"/>
        <v>0</v>
      </c>
      <c r="I6507" s="11">
        <f t="shared" si="1012"/>
        <v>0</v>
      </c>
      <c r="J6507" s="12">
        <f t="shared" si="1013"/>
        <v>0</v>
      </c>
      <c r="K6507" s="17" t="str">
        <f t="shared" si="1018"/>
        <v>Pas d'écart</v>
      </c>
      <c r="L6507" s="16">
        <f>base!X6507</f>
        <v>0</v>
      </c>
      <c r="M6507" s="11">
        <f t="shared" si="1014"/>
        <v>0</v>
      </c>
      <c r="N6507" s="11">
        <f t="shared" si="1015"/>
        <v>0</v>
      </c>
      <c r="O6507" s="11">
        <f t="shared" si="1016"/>
        <v>0</v>
      </c>
      <c r="P6507" s="12">
        <f t="shared" si="1017"/>
        <v>0</v>
      </c>
      <c r="Q6507" s="17" t="str">
        <f t="shared" si="1019"/>
        <v>Pas d'écart</v>
      </c>
    </row>
    <row r="6508" spans="1:17" x14ac:dyDescent="0.3">
      <c r="A6508" s="34" t="str">
        <f>base!J6508</f>
        <v>LM</v>
      </c>
      <c r="B6508" s="34" t="str">
        <f>base!V6508</f>
        <v>75014</v>
      </c>
      <c r="C6508" s="37">
        <v>75</v>
      </c>
      <c r="D6508" s="36">
        <f>base!H6508</f>
        <v>19.649999999999999</v>
      </c>
      <c r="E6508" s="44"/>
      <c r="F6508" s="16">
        <f>base!W6508</f>
        <v>0</v>
      </c>
      <c r="G6508" s="11">
        <f t="shared" si="1010"/>
        <v>0</v>
      </c>
      <c r="H6508" s="11">
        <f t="shared" si="1011"/>
        <v>0</v>
      </c>
      <c r="I6508" s="11">
        <f t="shared" si="1012"/>
        <v>0</v>
      </c>
      <c r="J6508" s="12">
        <f t="shared" si="1013"/>
        <v>0</v>
      </c>
      <c r="K6508" s="17" t="str">
        <f t="shared" si="1018"/>
        <v>Pas d'écart</v>
      </c>
      <c r="L6508" s="16">
        <f>base!X6508</f>
        <v>0</v>
      </c>
      <c r="M6508" s="11">
        <f t="shared" si="1014"/>
        <v>0</v>
      </c>
      <c r="N6508" s="11">
        <f t="shared" si="1015"/>
        <v>0</v>
      </c>
      <c r="O6508" s="11">
        <f t="shared" si="1016"/>
        <v>0</v>
      </c>
      <c r="P6508" s="12">
        <f t="shared" si="1017"/>
        <v>0</v>
      </c>
      <c r="Q6508" s="17" t="str">
        <f t="shared" si="1019"/>
        <v>Pas d'écart</v>
      </c>
    </row>
    <row r="6509" spans="1:17" x14ac:dyDescent="0.3">
      <c r="A6509" s="34" t="str">
        <f>base!J6509</f>
        <v>LM</v>
      </c>
      <c r="B6509" s="34" t="str">
        <f>base!V6509</f>
        <v>75014</v>
      </c>
      <c r="C6509" s="37">
        <v>75</v>
      </c>
      <c r="D6509" s="36">
        <f>base!H6509</f>
        <v>19.649999999999999</v>
      </c>
      <c r="E6509" s="44"/>
      <c r="F6509" s="16">
        <f>base!W6509</f>
        <v>0</v>
      </c>
      <c r="G6509" s="11">
        <f t="shared" si="1010"/>
        <v>0</v>
      </c>
      <c r="H6509" s="11">
        <f t="shared" si="1011"/>
        <v>0</v>
      </c>
      <c r="I6509" s="11">
        <f t="shared" si="1012"/>
        <v>0</v>
      </c>
      <c r="J6509" s="12">
        <f t="shared" si="1013"/>
        <v>0</v>
      </c>
      <c r="K6509" s="17" t="str">
        <f t="shared" si="1018"/>
        <v>Pas d'écart</v>
      </c>
      <c r="L6509" s="16">
        <f>base!X6509</f>
        <v>0</v>
      </c>
      <c r="M6509" s="11">
        <f t="shared" si="1014"/>
        <v>0</v>
      </c>
      <c r="N6509" s="11">
        <f t="shared" si="1015"/>
        <v>0</v>
      </c>
      <c r="O6509" s="11">
        <f t="shared" si="1016"/>
        <v>0</v>
      </c>
      <c r="P6509" s="12">
        <f t="shared" si="1017"/>
        <v>0</v>
      </c>
      <c r="Q6509" s="17" t="str">
        <f t="shared" si="1019"/>
        <v>Pas d'écart</v>
      </c>
    </row>
    <row r="6510" spans="1:17" x14ac:dyDescent="0.3">
      <c r="A6510" s="34" t="str">
        <f>base!J6510</f>
        <v>LS</v>
      </c>
      <c r="B6510" s="34" t="str">
        <f>base!V6510</f>
        <v>51100</v>
      </c>
      <c r="C6510" s="37">
        <v>13</v>
      </c>
      <c r="D6510" s="36">
        <f>base!H6510</f>
        <v>33.35</v>
      </c>
      <c r="E6510" s="44"/>
      <c r="F6510" s="16">
        <f>base!W6510</f>
        <v>8.34</v>
      </c>
      <c r="G6510" s="11">
        <f t="shared" si="1010"/>
        <v>0.25007496251874062</v>
      </c>
      <c r="H6510" s="11">
        <f t="shared" si="1011"/>
        <v>9.6715</v>
      </c>
      <c r="I6510" s="11">
        <f t="shared" si="1012"/>
        <v>0.28999999999999998</v>
      </c>
      <c r="J6510" s="12">
        <f t="shared" si="1013"/>
        <v>-1.3315000000000001</v>
      </c>
      <c r="K6510" s="17" t="str">
        <f t="shared" si="1018"/>
        <v>Ecart négatif</v>
      </c>
      <c r="L6510" s="16">
        <f>base!X6510</f>
        <v>0</v>
      </c>
      <c r="M6510" s="11">
        <f t="shared" si="1014"/>
        <v>0</v>
      </c>
      <c r="N6510" s="11">
        <f t="shared" si="1015"/>
        <v>6.3365</v>
      </c>
      <c r="O6510" s="11">
        <f t="shared" si="1016"/>
        <v>0.19</v>
      </c>
      <c r="P6510" s="12">
        <f t="shared" si="1017"/>
        <v>-6.3365</v>
      </c>
      <c r="Q6510" s="17" t="str">
        <f t="shared" si="1019"/>
        <v>Ecart négatif</v>
      </c>
    </row>
    <row r="6511" spans="1:17" x14ac:dyDescent="0.3">
      <c r="A6511" s="34" t="str">
        <f>base!J6511</f>
        <v>LS</v>
      </c>
      <c r="B6511" s="34" t="str">
        <f>base!V6511</f>
        <v>94000</v>
      </c>
      <c r="C6511" s="37">
        <v>94</v>
      </c>
      <c r="D6511" s="36">
        <f>base!H6511</f>
        <v>201.8</v>
      </c>
      <c r="E6511" s="44"/>
      <c r="F6511" s="16">
        <f>base!W6511</f>
        <v>0</v>
      </c>
      <c r="G6511" s="11">
        <f t="shared" si="1010"/>
        <v>0</v>
      </c>
      <c r="H6511" s="11">
        <f t="shared" si="1011"/>
        <v>0</v>
      </c>
      <c r="I6511" s="11">
        <f t="shared" si="1012"/>
        <v>0</v>
      </c>
      <c r="J6511" s="12">
        <f t="shared" si="1013"/>
        <v>0</v>
      </c>
      <c r="K6511" s="17" t="str">
        <f t="shared" si="1018"/>
        <v>Pas d'écart</v>
      </c>
      <c r="L6511" s="16">
        <f>base!X6511</f>
        <v>0</v>
      </c>
      <c r="M6511" s="11">
        <f t="shared" si="1014"/>
        <v>0</v>
      </c>
      <c r="N6511" s="11">
        <f t="shared" si="1015"/>
        <v>0</v>
      </c>
      <c r="O6511" s="11">
        <f t="shared" si="1016"/>
        <v>0</v>
      </c>
      <c r="P6511" s="12">
        <f t="shared" si="1017"/>
        <v>0</v>
      </c>
      <c r="Q6511" s="17" t="str">
        <f t="shared" si="1019"/>
        <v>Pas d'écart</v>
      </c>
    </row>
    <row r="6512" spans="1:17" x14ac:dyDescent="0.3">
      <c r="A6512" s="34" t="str">
        <f>base!J6512</f>
        <v>LM</v>
      </c>
      <c r="B6512" s="34" t="str">
        <f>base!V6512</f>
        <v>67000</v>
      </c>
      <c r="C6512" s="37">
        <v>6</v>
      </c>
      <c r="D6512" s="36">
        <f>base!H6512</f>
        <v>120.29</v>
      </c>
      <c r="E6512" s="44"/>
      <c r="F6512" s="16">
        <f>base!W6512</f>
        <v>34.880000000000003</v>
      </c>
      <c r="G6512" s="11">
        <f t="shared" si="1010"/>
        <v>0.28996591570371605</v>
      </c>
      <c r="H6512" s="11">
        <f t="shared" si="1011"/>
        <v>36.087000000000003</v>
      </c>
      <c r="I6512" s="11">
        <f t="shared" si="1012"/>
        <v>0.3</v>
      </c>
      <c r="J6512" s="12">
        <f t="shared" si="1013"/>
        <v>-1.2070000000000007</v>
      </c>
      <c r="K6512" s="17" t="str">
        <f t="shared" si="1018"/>
        <v>Ecart négatif</v>
      </c>
      <c r="L6512" s="16">
        <f>base!X6512</f>
        <v>0</v>
      </c>
      <c r="M6512" s="11">
        <f t="shared" si="1014"/>
        <v>0</v>
      </c>
      <c r="N6512" s="11">
        <f t="shared" si="1015"/>
        <v>25.260899999999999</v>
      </c>
      <c r="O6512" s="11">
        <f t="shared" si="1016"/>
        <v>0.21</v>
      </c>
      <c r="P6512" s="12">
        <f t="shared" si="1017"/>
        <v>-25.260899999999999</v>
      </c>
      <c r="Q6512" s="17" t="str">
        <f t="shared" si="1019"/>
        <v>Ecart négatif</v>
      </c>
    </row>
    <row r="6513" spans="1:18" x14ac:dyDescent="0.3">
      <c r="A6513" s="34" t="str">
        <f>base!J6513</f>
        <v>LS</v>
      </c>
      <c r="B6513" s="34" t="str">
        <f>base!V6513</f>
        <v>29800</v>
      </c>
      <c r="C6513" s="37">
        <v>6</v>
      </c>
      <c r="D6513" s="36">
        <f>base!H6513</f>
        <v>32.85</v>
      </c>
      <c r="E6513" s="44"/>
      <c r="F6513" s="16">
        <f>base!W6513</f>
        <v>12.81</v>
      </c>
      <c r="G6513" s="11">
        <f t="shared" si="1010"/>
        <v>0.38995433789954337</v>
      </c>
      <c r="H6513" s="11">
        <f t="shared" si="1011"/>
        <v>9.8550000000000004</v>
      </c>
      <c r="I6513" s="11">
        <f t="shared" si="1012"/>
        <v>0.3</v>
      </c>
      <c r="J6513" s="12">
        <f t="shared" si="1013"/>
        <v>2.9550000000000001</v>
      </c>
      <c r="K6513" s="17" t="str">
        <f t="shared" si="1018"/>
        <v>Ecart positif</v>
      </c>
      <c r="L6513" s="16">
        <f>base!X6513</f>
        <v>0</v>
      </c>
      <c r="M6513" s="11">
        <f t="shared" si="1014"/>
        <v>0</v>
      </c>
      <c r="N6513" s="11">
        <f t="shared" si="1015"/>
        <v>6.8985000000000003</v>
      </c>
      <c r="O6513" s="11">
        <f t="shared" si="1016"/>
        <v>0.21</v>
      </c>
      <c r="P6513" s="12">
        <f t="shared" si="1017"/>
        <v>-6.8985000000000003</v>
      </c>
      <c r="Q6513" s="17" t="str">
        <f t="shared" si="1019"/>
        <v>Ecart négatif</v>
      </c>
    </row>
    <row r="6514" spans="1:18" x14ac:dyDescent="0.3">
      <c r="A6514" s="34" t="str">
        <f>base!J6514</f>
        <v>RS</v>
      </c>
      <c r="B6514" s="34" t="str">
        <f>base!V6514</f>
        <v>76420</v>
      </c>
      <c r="C6514" s="37">
        <v>76</v>
      </c>
      <c r="D6514" s="36">
        <f>base!H6514</f>
        <v>105</v>
      </c>
      <c r="E6514" s="44"/>
      <c r="F6514" s="16">
        <f>base!W6514</f>
        <v>0</v>
      </c>
      <c r="G6514" s="11">
        <f t="shared" si="1010"/>
        <v>0</v>
      </c>
      <c r="H6514" s="11">
        <f t="shared" si="1011"/>
        <v>17.850000000000001</v>
      </c>
      <c r="I6514" s="11">
        <f t="shared" si="1012"/>
        <v>0.17</v>
      </c>
      <c r="J6514" s="12">
        <f t="shared" si="1013"/>
        <v>-17.850000000000001</v>
      </c>
      <c r="K6514" s="17" t="str">
        <f t="shared" si="1018"/>
        <v>Ecart négatif</v>
      </c>
      <c r="L6514" s="16">
        <f>base!X6514</f>
        <v>17.850000000000001</v>
      </c>
      <c r="M6514" s="11">
        <f t="shared" si="1014"/>
        <v>0.17</v>
      </c>
      <c r="N6514" s="11">
        <f t="shared" si="1015"/>
        <v>17.850000000000001</v>
      </c>
      <c r="O6514" s="11">
        <f t="shared" si="1016"/>
        <v>0.17</v>
      </c>
      <c r="P6514" s="12">
        <f t="shared" si="1017"/>
        <v>0</v>
      </c>
      <c r="Q6514" s="17" t="str">
        <f t="shared" si="1019"/>
        <v>Pas d'écart</v>
      </c>
      <c r="R6514" s="38"/>
    </row>
    <row r="6515" spans="1:18" x14ac:dyDescent="0.3">
      <c r="A6515" s="34" t="str">
        <f>base!J6515</f>
        <v>RM</v>
      </c>
      <c r="B6515" s="34" t="str">
        <f>base!V6515</f>
        <v>38300</v>
      </c>
      <c r="C6515" s="37">
        <v>38</v>
      </c>
      <c r="D6515" s="36">
        <f>base!H6515</f>
        <v>180</v>
      </c>
      <c r="E6515" s="44"/>
      <c r="F6515" s="16">
        <f>base!W6515</f>
        <v>0</v>
      </c>
      <c r="G6515" s="11">
        <f t="shared" si="1010"/>
        <v>0</v>
      </c>
      <c r="H6515" s="11">
        <f t="shared" si="1011"/>
        <v>48.6</v>
      </c>
      <c r="I6515" s="11">
        <f t="shared" si="1012"/>
        <v>0.27</v>
      </c>
      <c r="J6515" s="12">
        <f t="shared" si="1013"/>
        <v>-48.6</v>
      </c>
      <c r="K6515" s="17" t="str">
        <f t="shared" si="1018"/>
        <v>Ecart négatif</v>
      </c>
      <c r="L6515" s="16">
        <f>base!X6515</f>
        <v>0</v>
      </c>
      <c r="M6515" s="11">
        <f t="shared" si="1014"/>
        <v>0</v>
      </c>
      <c r="N6515" s="11">
        <f t="shared" si="1015"/>
        <v>0</v>
      </c>
      <c r="O6515" s="11">
        <f t="shared" si="1016"/>
        <v>0</v>
      </c>
      <c r="P6515" s="12">
        <f t="shared" si="1017"/>
        <v>0</v>
      </c>
      <c r="Q6515" s="17" t="str">
        <f t="shared" si="1019"/>
        <v>Pas d'écart</v>
      </c>
    </row>
    <row r="6516" spans="1:18" x14ac:dyDescent="0.3">
      <c r="A6516" s="34" t="str">
        <f>base!J6516</f>
        <v>LS</v>
      </c>
      <c r="B6516" s="34" t="str">
        <f>base!V6516</f>
        <v>69150</v>
      </c>
      <c r="C6516" s="37">
        <v>88</v>
      </c>
      <c r="D6516" s="36">
        <f>base!H6516</f>
        <v>138.12</v>
      </c>
      <c r="E6516" s="44"/>
      <c r="F6516" s="16">
        <f>base!W6516</f>
        <v>37.29</v>
      </c>
      <c r="G6516" s="11">
        <f t="shared" si="1010"/>
        <v>0.26998262380538662</v>
      </c>
      <c r="H6516" s="11">
        <f t="shared" si="1011"/>
        <v>38.673600000000008</v>
      </c>
      <c r="I6516" s="11">
        <f t="shared" si="1012"/>
        <v>0.28000000000000003</v>
      </c>
      <c r="J6516" s="12">
        <f t="shared" si="1013"/>
        <v>-1.3836000000000084</v>
      </c>
      <c r="K6516" s="17" t="str">
        <f t="shared" si="1018"/>
        <v>Ecart négatif</v>
      </c>
      <c r="L6516" s="16">
        <f>base!X6516</f>
        <v>0</v>
      </c>
      <c r="M6516" s="11">
        <f t="shared" si="1014"/>
        <v>0</v>
      </c>
      <c r="N6516" s="11">
        <f t="shared" si="1015"/>
        <v>11.0496</v>
      </c>
      <c r="O6516" s="11">
        <f t="shared" si="1016"/>
        <v>0.08</v>
      </c>
      <c r="P6516" s="12">
        <f t="shared" si="1017"/>
        <v>-11.0496</v>
      </c>
      <c r="Q6516" s="17" t="str">
        <f t="shared" si="1019"/>
        <v>Ecart négatif</v>
      </c>
    </row>
    <row r="6517" spans="1:18" x14ac:dyDescent="0.3">
      <c r="A6517" s="34" t="str">
        <f>base!J6517</f>
        <v>LM</v>
      </c>
      <c r="B6517" s="34" t="str">
        <f>base!V6517</f>
        <v>25370</v>
      </c>
      <c r="C6517" s="37">
        <v>68</v>
      </c>
      <c r="D6517" s="36">
        <f>base!H6517</f>
        <v>103.06</v>
      </c>
      <c r="E6517" s="44"/>
      <c r="F6517" s="16">
        <f>base!W6517</f>
        <v>24.73</v>
      </c>
      <c r="G6517" s="11">
        <f t="shared" si="1010"/>
        <v>0.23995730642344265</v>
      </c>
      <c r="H6517" s="11">
        <f t="shared" si="1011"/>
        <v>29.8874</v>
      </c>
      <c r="I6517" s="11">
        <f t="shared" si="1012"/>
        <v>0.28999999999999998</v>
      </c>
      <c r="J6517" s="12">
        <f t="shared" si="1013"/>
        <v>-5.1573999999999991</v>
      </c>
      <c r="K6517" s="17" t="str">
        <f t="shared" si="1018"/>
        <v>Ecart négatif</v>
      </c>
      <c r="L6517" s="16">
        <f>base!X6517</f>
        <v>0</v>
      </c>
      <c r="M6517" s="11">
        <f t="shared" si="1014"/>
        <v>0</v>
      </c>
      <c r="N6517" s="11">
        <f t="shared" si="1015"/>
        <v>8.2447999999999997</v>
      </c>
      <c r="O6517" s="11">
        <f t="shared" si="1016"/>
        <v>0.08</v>
      </c>
      <c r="P6517" s="12">
        <f t="shared" si="1017"/>
        <v>-8.2447999999999997</v>
      </c>
      <c r="Q6517" s="17" t="str">
        <f t="shared" si="1019"/>
        <v>Ecart négatif</v>
      </c>
    </row>
    <row r="6518" spans="1:18" x14ac:dyDescent="0.3">
      <c r="A6518" s="34" t="str">
        <f>base!J6518</f>
        <v>LS</v>
      </c>
      <c r="B6518" s="34" t="str">
        <f>base!V6518</f>
        <v>13008</v>
      </c>
      <c r="C6518" s="37">
        <v>67</v>
      </c>
      <c r="D6518" s="36">
        <f>base!H6518</f>
        <v>137.74</v>
      </c>
      <c r="E6518" s="44"/>
      <c r="F6518" s="16">
        <f>base!W6518</f>
        <v>39.94</v>
      </c>
      <c r="G6518" s="11">
        <f t="shared" si="1010"/>
        <v>0.28996660374618843</v>
      </c>
      <c r="H6518" s="11">
        <f t="shared" si="1011"/>
        <v>39.944600000000001</v>
      </c>
      <c r="I6518" s="11">
        <f t="shared" si="1012"/>
        <v>0.28999999999999998</v>
      </c>
      <c r="J6518" s="12">
        <f t="shared" si="1013"/>
        <v>-4.6000000000034902E-3</v>
      </c>
      <c r="K6518" s="17" t="str">
        <f t="shared" si="1018"/>
        <v>Ecart négatif</v>
      </c>
      <c r="L6518" s="16">
        <f>base!X6518</f>
        <v>0</v>
      </c>
      <c r="M6518" s="11">
        <f t="shared" si="1014"/>
        <v>0</v>
      </c>
      <c r="N6518" s="11">
        <f t="shared" si="1015"/>
        <v>11.019200000000001</v>
      </c>
      <c r="O6518" s="11">
        <f t="shared" si="1016"/>
        <v>0.08</v>
      </c>
      <c r="P6518" s="12">
        <f t="shared" si="1017"/>
        <v>-11.019200000000001</v>
      </c>
      <c r="Q6518" s="17" t="str">
        <f t="shared" si="1019"/>
        <v>Ecart négatif</v>
      </c>
    </row>
    <row r="6519" spans="1:18" x14ac:dyDescent="0.3">
      <c r="A6519" s="34" t="str">
        <f>base!J6519</f>
        <v>LM</v>
      </c>
      <c r="B6519" s="34" t="str">
        <f>base!V6519</f>
        <v>14000</v>
      </c>
      <c r="C6519" s="37">
        <v>67</v>
      </c>
      <c r="D6519" s="36">
        <f>base!H6519</f>
        <v>153.77000000000001</v>
      </c>
      <c r="E6519" s="44"/>
      <c r="F6519" s="16">
        <f>base!W6519</f>
        <v>26.14</v>
      </c>
      <c r="G6519" s="11">
        <f t="shared" si="1010"/>
        <v>0.16999414710281588</v>
      </c>
      <c r="H6519" s="11">
        <f t="shared" si="1011"/>
        <v>44.593299999999999</v>
      </c>
      <c r="I6519" s="11">
        <f t="shared" si="1012"/>
        <v>0.28999999999999998</v>
      </c>
      <c r="J6519" s="12">
        <f t="shared" si="1013"/>
        <v>-18.453299999999999</v>
      </c>
      <c r="K6519" s="17" t="str">
        <f t="shared" si="1018"/>
        <v>Ecart négatif</v>
      </c>
      <c r="L6519" s="16">
        <f>base!X6519</f>
        <v>0</v>
      </c>
      <c r="M6519" s="11">
        <f t="shared" si="1014"/>
        <v>0</v>
      </c>
      <c r="N6519" s="11">
        <f t="shared" si="1015"/>
        <v>12.301600000000001</v>
      </c>
      <c r="O6519" s="11">
        <f t="shared" si="1016"/>
        <v>0.08</v>
      </c>
      <c r="P6519" s="12">
        <f t="shared" si="1017"/>
        <v>-12.301600000000001</v>
      </c>
      <c r="Q6519" s="17" t="str">
        <f t="shared" si="1019"/>
        <v>Ecart négatif</v>
      </c>
    </row>
    <row r="6520" spans="1:18" x14ac:dyDescent="0.3">
      <c r="A6520" s="34" t="str">
        <f>base!J6520</f>
        <v>LS</v>
      </c>
      <c r="B6520" s="34" t="str">
        <f>base!V6520</f>
        <v>76600</v>
      </c>
      <c r="C6520" s="37">
        <v>67</v>
      </c>
      <c r="D6520" s="36">
        <f>base!H6520</f>
        <v>129.91999999999999</v>
      </c>
      <c r="E6520" s="44"/>
      <c r="F6520" s="16">
        <f>base!W6520</f>
        <v>22.09</v>
      </c>
      <c r="G6520" s="11">
        <f t="shared" si="1010"/>
        <v>0.17002770935960593</v>
      </c>
      <c r="H6520" s="11">
        <f t="shared" si="1011"/>
        <v>37.676799999999993</v>
      </c>
      <c r="I6520" s="11">
        <f t="shared" si="1012"/>
        <v>0.28999999999999998</v>
      </c>
      <c r="J6520" s="12">
        <f t="shared" si="1013"/>
        <v>-15.586799999999993</v>
      </c>
      <c r="K6520" s="17" t="str">
        <f t="shared" si="1018"/>
        <v>Ecart négatif</v>
      </c>
      <c r="L6520" s="16">
        <f>base!X6520</f>
        <v>0</v>
      </c>
      <c r="M6520" s="11">
        <f t="shared" si="1014"/>
        <v>0</v>
      </c>
      <c r="N6520" s="11">
        <f t="shared" si="1015"/>
        <v>10.393599999999999</v>
      </c>
      <c r="O6520" s="11">
        <f t="shared" si="1016"/>
        <v>0.08</v>
      </c>
      <c r="P6520" s="12">
        <f t="shared" si="1017"/>
        <v>-10.393599999999999</v>
      </c>
      <c r="Q6520" s="17" t="str">
        <f t="shared" si="1019"/>
        <v>Ecart négatif</v>
      </c>
    </row>
    <row r="6521" spans="1:18" x14ac:dyDescent="0.3">
      <c r="A6521" s="34" t="str">
        <f>base!J6521</f>
        <v>LM</v>
      </c>
      <c r="B6521" s="34" t="str">
        <f>base!V6521</f>
        <v>44840</v>
      </c>
      <c r="C6521" s="37">
        <v>67</v>
      </c>
      <c r="D6521" s="36">
        <f>base!H6521</f>
        <v>141.71</v>
      </c>
      <c r="E6521" s="44"/>
      <c r="F6521" s="16">
        <f>base!W6521</f>
        <v>38.26</v>
      </c>
      <c r="G6521" s="11">
        <f t="shared" si="1010"/>
        <v>0.26998800366946579</v>
      </c>
      <c r="H6521" s="11">
        <f t="shared" si="1011"/>
        <v>41.0959</v>
      </c>
      <c r="I6521" s="11">
        <f t="shared" si="1012"/>
        <v>0.28999999999999998</v>
      </c>
      <c r="J6521" s="12">
        <f t="shared" si="1013"/>
        <v>-2.8359000000000023</v>
      </c>
      <c r="K6521" s="17" t="str">
        <f t="shared" si="1018"/>
        <v>Ecart négatif</v>
      </c>
      <c r="L6521" s="16">
        <f>base!X6521</f>
        <v>0</v>
      </c>
      <c r="M6521" s="11">
        <f t="shared" si="1014"/>
        <v>0</v>
      </c>
      <c r="N6521" s="11">
        <f t="shared" si="1015"/>
        <v>11.3368</v>
      </c>
      <c r="O6521" s="11">
        <f t="shared" si="1016"/>
        <v>0.08</v>
      </c>
      <c r="P6521" s="12">
        <f t="shared" si="1017"/>
        <v>-11.3368</v>
      </c>
      <c r="Q6521" s="17" t="str">
        <f t="shared" si="1019"/>
        <v>Ecart négatif</v>
      </c>
    </row>
    <row r="6522" spans="1:18" x14ac:dyDescent="0.3">
      <c r="A6522" s="34" t="str">
        <f>base!J6522</f>
        <v>LM</v>
      </c>
      <c r="B6522" s="34" t="str">
        <f>base!V6522</f>
        <v>67230</v>
      </c>
      <c r="C6522" s="37">
        <v>87</v>
      </c>
      <c r="D6522" s="36">
        <f>base!H6522</f>
        <v>136.65</v>
      </c>
      <c r="E6522" s="44"/>
      <c r="F6522" s="16">
        <f>base!W6522</f>
        <v>39.630000000000003</v>
      </c>
      <c r="G6522" s="11">
        <f t="shared" si="1010"/>
        <v>0.29001097694840833</v>
      </c>
      <c r="H6522" s="11">
        <f t="shared" si="1011"/>
        <v>38.262000000000008</v>
      </c>
      <c r="I6522" s="11">
        <f t="shared" si="1012"/>
        <v>0.28000000000000003</v>
      </c>
      <c r="J6522" s="12">
        <f t="shared" si="1013"/>
        <v>1.367999999999995</v>
      </c>
      <c r="K6522" s="17" t="str">
        <f t="shared" si="1018"/>
        <v>Ecart positif</v>
      </c>
      <c r="L6522" s="16">
        <f>base!X6522</f>
        <v>0</v>
      </c>
      <c r="M6522" s="11">
        <f t="shared" si="1014"/>
        <v>0</v>
      </c>
      <c r="N6522" s="11">
        <f t="shared" si="1015"/>
        <v>16.398</v>
      </c>
      <c r="O6522" s="11">
        <f t="shared" si="1016"/>
        <v>0.12</v>
      </c>
      <c r="P6522" s="12">
        <f t="shared" si="1017"/>
        <v>-16.398</v>
      </c>
      <c r="Q6522" s="17" t="str">
        <f t="shared" si="1019"/>
        <v>Ecart négatif</v>
      </c>
    </row>
    <row r="6523" spans="1:18" x14ac:dyDescent="0.3">
      <c r="A6523" s="34">
        <f>base!J6523</f>
        <v>0</v>
      </c>
      <c r="B6523" s="34" t="str">
        <f>base!V6523</f>
        <v>77184</v>
      </c>
      <c r="C6523" s="37">
        <v>77</v>
      </c>
      <c r="D6523" s="36">
        <f>base!H6523</f>
        <v>84.5</v>
      </c>
      <c r="E6523" s="44"/>
      <c r="F6523" s="16">
        <f>base!W6523</f>
        <v>0</v>
      </c>
      <c r="G6523" s="11">
        <f t="shared" si="1010"/>
        <v>0</v>
      </c>
      <c r="H6523" s="11">
        <f t="shared" si="1011"/>
        <v>0</v>
      </c>
      <c r="I6523" s="11">
        <f t="shared" si="1012"/>
        <v>0</v>
      </c>
      <c r="J6523" s="12">
        <f t="shared" si="1013"/>
        <v>0</v>
      </c>
      <c r="K6523" s="17" t="str">
        <f t="shared" si="1018"/>
        <v>Pas d'écart</v>
      </c>
      <c r="L6523" s="16">
        <f>base!X6523</f>
        <v>0</v>
      </c>
      <c r="M6523" s="11">
        <f t="shared" si="1014"/>
        <v>0</v>
      </c>
      <c r="N6523" s="11">
        <f t="shared" si="1015"/>
        <v>0</v>
      </c>
      <c r="O6523" s="11">
        <f t="shared" si="1016"/>
        <v>0</v>
      </c>
      <c r="P6523" s="12">
        <f t="shared" si="1017"/>
        <v>0</v>
      </c>
      <c r="Q6523" s="17" t="str">
        <f t="shared" si="1019"/>
        <v>Pas d'écart</v>
      </c>
    </row>
    <row r="6524" spans="1:18" x14ac:dyDescent="0.3">
      <c r="A6524" s="34" t="str">
        <f>base!J6524</f>
        <v>LS</v>
      </c>
      <c r="B6524" s="34" t="str">
        <f>base!V6524</f>
        <v>27000</v>
      </c>
      <c r="C6524" s="37">
        <v>67</v>
      </c>
      <c r="D6524" s="36">
        <f>base!H6524</f>
        <v>143.25</v>
      </c>
      <c r="E6524" s="44"/>
      <c r="F6524" s="16">
        <f>base!W6524</f>
        <v>24.35</v>
      </c>
      <c r="G6524" s="11">
        <f t="shared" si="1010"/>
        <v>0.16998254799301921</v>
      </c>
      <c r="H6524" s="11">
        <f t="shared" si="1011"/>
        <v>41.542499999999997</v>
      </c>
      <c r="I6524" s="11">
        <f t="shared" si="1012"/>
        <v>0.28999999999999998</v>
      </c>
      <c r="J6524" s="12">
        <f t="shared" si="1013"/>
        <v>-17.192499999999995</v>
      </c>
      <c r="K6524" s="17" t="str">
        <f t="shared" si="1018"/>
        <v>Ecart négatif</v>
      </c>
      <c r="L6524" s="16">
        <f>base!X6524</f>
        <v>0</v>
      </c>
      <c r="M6524" s="11">
        <f t="shared" si="1014"/>
        <v>0</v>
      </c>
      <c r="N6524" s="11">
        <f t="shared" si="1015"/>
        <v>11.46</v>
      </c>
      <c r="O6524" s="11">
        <f t="shared" si="1016"/>
        <v>0.08</v>
      </c>
      <c r="P6524" s="12">
        <f t="shared" si="1017"/>
        <v>-11.46</v>
      </c>
      <c r="Q6524" s="17" t="str">
        <f t="shared" si="1019"/>
        <v>Ecart négatif</v>
      </c>
    </row>
    <row r="6525" spans="1:18" x14ac:dyDescent="0.3">
      <c r="A6525" s="34" t="str">
        <f>base!J6525</f>
        <v>LM</v>
      </c>
      <c r="B6525" s="34" t="str">
        <f>base!V6525</f>
        <v>25200</v>
      </c>
      <c r="C6525" s="37">
        <v>84</v>
      </c>
      <c r="D6525" s="36">
        <f>base!H6525</f>
        <v>171.81</v>
      </c>
      <c r="E6525" s="44"/>
      <c r="F6525" s="16">
        <f>base!W6525</f>
        <v>41.23</v>
      </c>
      <c r="G6525" s="11">
        <f t="shared" si="1010"/>
        <v>0.23997439031488269</v>
      </c>
      <c r="H6525" s="11">
        <f t="shared" si="1011"/>
        <v>49.8249</v>
      </c>
      <c r="I6525" s="11">
        <f t="shared" si="1012"/>
        <v>0.28999999999999998</v>
      </c>
      <c r="J6525" s="12">
        <f t="shared" si="1013"/>
        <v>-8.5949000000000026</v>
      </c>
      <c r="K6525" s="17" t="str">
        <f t="shared" si="1018"/>
        <v>Ecart négatif</v>
      </c>
      <c r="L6525" s="16">
        <f>base!X6525</f>
        <v>0</v>
      </c>
      <c r="M6525" s="11">
        <f t="shared" si="1014"/>
        <v>0</v>
      </c>
      <c r="N6525" s="11">
        <f t="shared" si="1015"/>
        <v>32.643900000000002</v>
      </c>
      <c r="O6525" s="11">
        <f t="shared" si="1016"/>
        <v>0.19</v>
      </c>
      <c r="P6525" s="12">
        <f t="shared" si="1017"/>
        <v>-32.643900000000002</v>
      </c>
      <c r="Q6525" s="17" t="str">
        <f t="shared" si="1019"/>
        <v>Ecart négatif</v>
      </c>
    </row>
    <row r="6526" spans="1:18" x14ac:dyDescent="0.3">
      <c r="A6526" s="34" t="str">
        <f>base!J6526</f>
        <v>LM</v>
      </c>
      <c r="B6526" s="34" t="str">
        <f>base!V6526</f>
        <v>51130</v>
      </c>
      <c r="C6526" s="37">
        <v>63</v>
      </c>
      <c r="D6526" s="36">
        <f>base!H6526</f>
        <v>183.25</v>
      </c>
      <c r="E6526" s="44"/>
      <c r="F6526" s="16">
        <f>base!W6526</f>
        <v>45.81</v>
      </c>
      <c r="G6526" s="11">
        <f t="shared" si="1010"/>
        <v>0.24998635743519784</v>
      </c>
      <c r="H6526" s="11">
        <f t="shared" si="1011"/>
        <v>53.142499999999998</v>
      </c>
      <c r="I6526" s="11">
        <f t="shared" si="1012"/>
        <v>0.28999999999999998</v>
      </c>
      <c r="J6526" s="12">
        <f t="shared" si="1013"/>
        <v>-7.332499999999996</v>
      </c>
      <c r="K6526" s="17" t="str">
        <f t="shared" si="1018"/>
        <v>Ecart négatif</v>
      </c>
      <c r="L6526" s="16">
        <f>base!X6526</f>
        <v>0</v>
      </c>
      <c r="M6526" s="11">
        <f t="shared" si="1014"/>
        <v>0</v>
      </c>
      <c r="N6526" s="11">
        <f t="shared" si="1015"/>
        <v>21.99</v>
      </c>
      <c r="O6526" s="11">
        <f t="shared" si="1016"/>
        <v>0.12</v>
      </c>
      <c r="P6526" s="12">
        <f t="shared" si="1017"/>
        <v>-21.99</v>
      </c>
      <c r="Q6526" s="17" t="str">
        <f t="shared" si="1019"/>
        <v>Ecart négatif</v>
      </c>
    </row>
    <row r="6527" spans="1:18" x14ac:dyDescent="0.3">
      <c r="A6527" s="34" t="str">
        <f>base!J6527</f>
        <v>LM</v>
      </c>
      <c r="B6527" s="34" t="str">
        <f>base!V6527</f>
        <v>67230</v>
      </c>
      <c r="C6527" s="37">
        <v>13</v>
      </c>
      <c r="D6527" s="36">
        <f>base!H6527</f>
        <v>19.8</v>
      </c>
      <c r="E6527" s="44"/>
      <c r="F6527" s="16">
        <f>base!W6527</f>
        <v>5.74</v>
      </c>
      <c r="G6527" s="11">
        <f t="shared" si="1010"/>
        <v>0.28989898989898988</v>
      </c>
      <c r="H6527" s="11">
        <f t="shared" si="1011"/>
        <v>5.742</v>
      </c>
      <c r="I6527" s="11">
        <f t="shared" si="1012"/>
        <v>0.28999999999999998</v>
      </c>
      <c r="J6527" s="12">
        <f t="shared" si="1013"/>
        <v>-1.9999999999997797E-3</v>
      </c>
      <c r="K6527" s="17" t="str">
        <f t="shared" si="1018"/>
        <v>Ecart négatif</v>
      </c>
      <c r="L6527" s="16">
        <f>base!X6527</f>
        <v>0</v>
      </c>
      <c r="M6527" s="11">
        <f t="shared" si="1014"/>
        <v>0</v>
      </c>
      <c r="N6527" s="11">
        <f t="shared" si="1015"/>
        <v>3.762</v>
      </c>
      <c r="O6527" s="11">
        <f t="shared" si="1016"/>
        <v>0.19</v>
      </c>
      <c r="P6527" s="12">
        <f t="shared" si="1017"/>
        <v>-3.762</v>
      </c>
      <c r="Q6527" s="17" t="str">
        <f t="shared" si="1019"/>
        <v>Ecart négatif</v>
      </c>
    </row>
    <row r="6528" spans="1:18" x14ac:dyDescent="0.3">
      <c r="A6528" s="34" t="str">
        <f>base!J6528</f>
        <v>LS</v>
      </c>
      <c r="B6528" s="34" t="str">
        <f>base!V6528</f>
        <v>13270</v>
      </c>
      <c r="C6528" s="37">
        <v>67</v>
      </c>
      <c r="D6528" s="36">
        <f>base!H6528</f>
        <v>67.25</v>
      </c>
      <c r="E6528" s="44"/>
      <c r="F6528" s="16">
        <f>base!W6528</f>
        <v>19.5</v>
      </c>
      <c r="G6528" s="11">
        <f t="shared" si="1010"/>
        <v>0.2899628252788104</v>
      </c>
      <c r="H6528" s="11">
        <f t="shared" si="1011"/>
        <v>19.502499999999998</v>
      </c>
      <c r="I6528" s="11">
        <f t="shared" si="1012"/>
        <v>0.28999999999999998</v>
      </c>
      <c r="J6528" s="12">
        <f t="shared" si="1013"/>
        <v>-2.4999999999977263E-3</v>
      </c>
      <c r="K6528" s="17" t="str">
        <f t="shared" si="1018"/>
        <v>Ecart négatif</v>
      </c>
      <c r="L6528" s="16">
        <f>base!X6528</f>
        <v>0</v>
      </c>
      <c r="M6528" s="11">
        <f t="shared" si="1014"/>
        <v>0</v>
      </c>
      <c r="N6528" s="11">
        <f t="shared" si="1015"/>
        <v>5.38</v>
      </c>
      <c r="O6528" s="11">
        <f t="shared" si="1016"/>
        <v>0.08</v>
      </c>
      <c r="P6528" s="12">
        <f t="shared" si="1017"/>
        <v>-5.38</v>
      </c>
      <c r="Q6528" s="17" t="str">
        <f t="shared" si="1019"/>
        <v>Ecart négatif</v>
      </c>
    </row>
    <row r="6529" spans="1:17" x14ac:dyDescent="0.3">
      <c r="A6529" s="34" t="str">
        <f>base!J6529</f>
        <v>RM</v>
      </c>
      <c r="B6529" s="34" t="str">
        <f>base!V6529</f>
        <v>45000</v>
      </c>
      <c r="C6529" s="37">
        <v>45</v>
      </c>
      <c r="D6529" s="36">
        <f>base!H6529</f>
        <v>140</v>
      </c>
      <c r="E6529" s="44"/>
      <c r="F6529" s="16">
        <f>base!W6529</f>
        <v>0</v>
      </c>
      <c r="G6529" s="11">
        <f t="shared" si="1010"/>
        <v>0</v>
      </c>
      <c r="H6529" s="11">
        <f t="shared" si="1011"/>
        <v>29.4</v>
      </c>
      <c r="I6529" s="11">
        <f t="shared" si="1012"/>
        <v>0.21</v>
      </c>
      <c r="J6529" s="12">
        <f t="shared" si="1013"/>
        <v>-29.4</v>
      </c>
      <c r="K6529" s="17" t="str">
        <f t="shared" si="1018"/>
        <v>Ecart négatif</v>
      </c>
      <c r="L6529" s="16">
        <f>base!X6529</f>
        <v>0</v>
      </c>
      <c r="M6529" s="11">
        <f t="shared" si="1014"/>
        <v>0</v>
      </c>
      <c r="N6529" s="11">
        <f t="shared" si="1015"/>
        <v>16.8</v>
      </c>
      <c r="O6529" s="11">
        <f t="shared" si="1016"/>
        <v>0.12000000000000001</v>
      </c>
      <c r="P6529" s="12">
        <f t="shared" si="1017"/>
        <v>-16.8</v>
      </c>
      <c r="Q6529" s="17" t="str">
        <f t="shared" si="1019"/>
        <v>Ecart négatif</v>
      </c>
    </row>
    <row r="6530" spans="1:17" x14ac:dyDescent="0.3">
      <c r="A6530" s="34" t="str">
        <f>base!J6530</f>
        <v>LS</v>
      </c>
      <c r="B6530" s="34" t="str">
        <f>base!V6530</f>
        <v>59161</v>
      </c>
      <c r="C6530" s="37">
        <v>13</v>
      </c>
      <c r="D6530" s="36">
        <f>base!H6530</f>
        <v>198.02</v>
      </c>
      <c r="E6530" s="44"/>
      <c r="F6530" s="16">
        <f>base!W6530</f>
        <v>37.619999999999997</v>
      </c>
      <c r="G6530" s="11">
        <f t="shared" ref="G6530:G6593" si="1020">F6530/D6530</f>
        <v>0.18998081001918996</v>
      </c>
      <c r="H6530" s="11">
        <f t="shared" ref="H6530:H6593" si="1021">VLOOKUP(C6530,tout_cout_traction,2,FALSE)*D6530</f>
        <v>57.425800000000002</v>
      </c>
      <c r="I6530" s="11">
        <f t="shared" ref="I6530:I6593" si="1022">H6530/D6530</f>
        <v>0.28999999999999998</v>
      </c>
      <c r="J6530" s="12">
        <f t="shared" ref="J6530:J6593" si="1023">F6530-H6530</f>
        <v>-19.805800000000005</v>
      </c>
      <c r="K6530" s="17" t="str">
        <f t="shared" si="1018"/>
        <v>Ecart négatif</v>
      </c>
      <c r="L6530" s="16">
        <f>base!X6530</f>
        <v>0</v>
      </c>
      <c r="M6530" s="11">
        <f t="shared" ref="M6530:M6593" si="1024">L6530/D6530</f>
        <v>0</v>
      </c>
      <c r="N6530" s="11">
        <f t="shared" ref="N6530:N6593" si="1025">VLOOKUP(C6530,tout_cout_traction,3,FALSE)*D6530</f>
        <v>37.623800000000003</v>
      </c>
      <c r="O6530" s="11">
        <f t="shared" ref="O6530:O6593" si="1026">N6530/D6530</f>
        <v>0.19</v>
      </c>
      <c r="P6530" s="12">
        <f t="shared" ref="P6530:P6593" si="1027">L6530-N6530</f>
        <v>-37.623800000000003</v>
      </c>
      <c r="Q6530" s="17" t="str">
        <f t="shared" si="1019"/>
        <v>Ecart négatif</v>
      </c>
    </row>
    <row r="6531" spans="1:17" x14ac:dyDescent="0.3">
      <c r="A6531" s="34" t="str">
        <f>base!J6531</f>
        <v>LM</v>
      </c>
      <c r="B6531" s="34" t="str">
        <f>base!V6531</f>
        <v>59160</v>
      </c>
      <c r="C6531" s="37">
        <v>83</v>
      </c>
      <c r="D6531" s="36">
        <f>base!H6531</f>
        <v>170.88</v>
      </c>
      <c r="E6531" s="44"/>
      <c r="F6531" s="16">
        <f>base!W6531</f>
        <v>32.47</v>
      </c>
      <c r="G6531" s="11">
        <f t="shared" si="1020"/>
        <v>0.19001638576779026</v>
      </c>
      <c r="H6531" s="11">
        <f t="shared" si="1021"/>
        <v>51.263999999999996</v>
      </c>
      <c r="I6531" s="11">
        <f t="shared" si="1022"/>
        <v>0.3</v>
      </c>
      <c r="J6531" s="12">
        <f t="shared" si="1023"/>
        <v>-18.793999999999997</v>
      </c>
      <c r="K6531" s="17" t="str">
        <f t="shared" ref="K6531:K6594" si="1028">IF(H6531=F6531,"Pas d'écart",IF(H6531&lt;F6531,"Ecart positif",IF(H6531&gt;F6531,"Ecart négatif")))</f>
        <v>Ecart négatif</v>
      </c>
      <c r="L6531" s="16">
        <f>base!X6531</f>
        <v>0</v>
      </c>
      <c r="M6531" s="11">
        <f t="shared" si="1024"/>
        <v>0</v>
      </c>
      <c r="N6531" s="11">
        <f t="shared" si="1025"/>
        <v>35.884799999999998</v>
      </c>
      <c r="O6531" s="11">
        <f t="shared" si="1026"/>
        <v>0.21</v>
      </c>
      <c r="P6531" s="12">
        <f t="shared" si="1027"/>
        <v>-35.884799999999998</v>
      </c>
      <c r="Q6531" s="17" t="str">
        <f t="shared" ref="Q6531:Q6594" si="1029">IF(N6531=L6531,"Pas d'écart",IF(N6531&lt;L6531,"Ecart positif",IF(N6531&gt;L6531,"Ecart négatif")))</f>
        <v>Ecart négatif</v>
      </c>
    </row>
    <row r="6532" spans="1:17" x14ac:dyDescent="0.3">
      <c r="A6532" s="34" t="str">
        <f>base!J6532</f>
        <v>DRS</v>
      </c>
      <c r="B6532" s="34" t="str">
        <f>base!V6532</f>
        <v>63100</v>
      </c>
      <c r="C6532" s="37">
        <v>63</v>
      </c>
      <c r="D6532" s="36">
        <f>base!H6532</f>
        <v>151</v>
      </c>
      <c r="E6532" s="44"/>
      <c r="F6532" s="16">
        <f>base!W6532</f>
        <v>0</v>
      </c>
      <c r="G6532" s="11">
        <f t="shared" si="1020"/>
        <v>0</v>
      </c>
      <c r="H6532" s="11">
        <f t="shared" si="1021"/>
        <v>43.79</v>
      </c>
      <c r="I6532" s="11">
        <f t="shared" si="1022"/>
        <v>0.28999999999999998</v>
      </c>
      <c r="J6532" s="12">
        <f t="shared" si="1023"/>
        <v>-43.79</v>
      </c>
      <c r="K6532" s="17" t="str">
        <f t="shared" si="1028"/>
        <v>Ecart négatif</v>
      </c>
      <c r="L6532" s="16">
        <f>base!X6532</f>
        <v>0</v>
      </c>
      <c r="M6532" s="11">
        <f t="shared" si="1024"/>
        <v>0</v>
      </c>
      <c r="N6532" s="11">
        <f t="shared" si="1025"/>
        <v>18.12</v>
      </c>
      <c r="O6532" s="11">
        <f t="shared" si="1026"/>
        <v>0.12000000000000001</v>
      </c>
      <c r="P6532" s="12">
        <f t="shared" si="1027"/>
        <v>-18.12</v>
      </c>
      <c r="Q6532" s="17" t="str">
        <f t="shared" si="1029"/>
        <v>Ecart négatif</v>
      </c>
    </row>
    <row r="6533" spans="1:17" x14ac:dyDescent="0.3">
      <c r="A6533" s="34">
        <f>base!J6533</f>
        <v>0</v>
      </c>
      <c r="B6533" s="34" t="str">
        <f>base!V6533</f>
        <v>77184</v>
      </c>
      <c r="C6533" s="37">
        <v>77</v>
      </c>
      <c r="D6533" s="36">
        <f>base!H6533</f>
        <v>42.96</v>
      </c>
      <c r="E6533" s="44"/>
      <c r="F6533" s="16">
        <f>base!W6533</f>
        <v>0</v>
      </c>
      <c r="G6533" s="11">
        <f t="shared" si="1020"/>
        <v>0</v>
      </c>
      <c r="H6533" s="11">
        <f t="shared" si="1021"/>
        <v>0</v>
      </c>
      <c r="I6533" s="11">
        <f t="shared" si="1022"/>
        <v>0</v>
      </c>
      <c r="J6533" s="12">
        <f t="shared" si="1023"/>
        <v>0</v>
      </c>
      <c r="K6533" s="17" t="str">
        <f t="shared" si="1028"/>
        <v>Pas d'écart</v>
      </c>
      <c r="L6533" s="16">
        <f>base!X6533</f>
        <v>0</v>
      </c>
      <c r="M6533" s="11">
        <f t="shared" si="1024"/>
        <v>0</v>
      </c>
      <c r="N6533" s="11">
        <f t="shared" si="1025"/>
        <v>0</v>
      </c>
      <c r="O6533" s="11">
        <f t="shared" si="1026"/>
        <v>0</v>
      </c>
      <c r="P6533" s="12">
        <f t="shared" si="1027"/>
        <v>0</v>
      </c>
      <c r="Q6533" s="17" t="str">
        <f t="shared" si="1029"/>
        <v>Pas d'écart</v>
      </c>
    </row>
    <row r="6534" spans="1:17" x14ac:dyDescent="0.3">
      <c r="A6534" s="34">
        <f>base!J6534</f>
        <v>0</v>
      </c>
      <c r="B6534" s="34" t="str">
        <f>base!V6534</f>
        <v>77184</v>
      </c>
      <c r="C6534" s="37">
        <v>77</v>
      </c>
      <c r="D6534" s="36">
        <f>base!H6534</f>
        <v>42.03</v>
      </c>
      <c r="E6534" s="44"/>
      <c r="F6534" s="16">
        <f>base!W6534</f>
        <v>0</v>
      </c>
      <c r="G6534" s="11">
        <f t="shared" si="1020"/>
        <v>0</v>
      </c>
      <c r="H6534" s="11">
        <f t="shared" si="1021"/>
        <v>0</v>
      </c>
      <c r="I6534" s="11">
        <f t="shared" si="1022"/>
        <v>0</v>
      </c>
      <c r="J6534" s="12">
        <f t="shared" si="1023"/>
        <v>0</v>
      </c>
      <c r="K6534" s="17" t="str">
        <f t="shared" si="1028"/>
        <v>Pas d'écart</v>
      </c>
      <c r="L6534" s="16">
        <f>base!X6534</f>
        <v>0</v>
      </c>
      <c r="M6534" s="11">
        <f t="shared" si="1024"/>
        <v>0</v>
      </c>
      <c r="N6534" s="11">
        <f t="shared" si="1025"/>
        <v>0</v>
      </c>
      <c r="O6534" s="11">
        <f t="shared" si="1026"/>
        <v>0</v>
      </c>
      <c r="P6534" s="12">
        <f t="shared" si="1027"/>
        <v>0</v>
      </c>
      <c r="Q6534" s="17" t="str">
        <f t="shared" si="1029"/>
        <v>Pas d'écart</v>
      </c>
    </row>
    <row r="6535" spans="1:17" x14ac:dyDescent="0.3">
      <c r="A6535" s="34">
        <f>base!J6535</f>
        <v>0</v>
      </c>
      <c r="B6535" s="34" t="str">
        <f>base!V6535</f>
        <v>77184</v>
      </c>
      <c r="C6535" s="37">
        <v>77</v>
      </c>
      <c r="D6535" s="36">
        <f>base!H6535</f>
        <v>162.72999999999999</v>
      </c>
      <c r="E6535" s="44"/>
      <c r="F6535" s="16">
        <f>base!W6535</f>
        <v>0</v>
      </c>
      <c r="G6535" s="11">
        <f t="shared" si="1020"/>
        <v>0</v>
      </c>
      <c r="H6535" s="11">
        <f t="shared" si="1021"/>
        <v>0</v>
      </c>
      <c r="I6535" s="11">
        <f t="shared" si="1022"/>
        <v>0</v>
      </c>
      <c r="J6535" s="12">
        <f t="shared" si="1023"/>
        <v>0</v>
      </c>
      <c r="K6535" s="17" t="str">
        <f t="shared" si="1028"/>
        <v>Pas d'écart</v>
      </c>
      <c r="L6535" s="16">
        <f>base!X6535</f>
        <v>0</v>
      </c>
      <c r="M6535" s="11">
        <f t="shared" si="1024"/>
        <v>0</v>
      </c>
      <c r="N6535" s="11">
        <f t="shared" si="1025"/>
        <v>0</v>
      </c>
      <c r="O6535" s="11">
        <f t="shared" si="1026"/>
        <v>0</v>
      </c>
      <c r="P6535" s="12">
        <f t="shared" si="1027"/>
        <v>0</v>
      </c>
      <c r="Q6535" s="17" t="str">
        <f t="shared" si="1029"/>
        <v>Pas d'écart</v>
      </c>
    </row>
    <row r="6536" spans="1:17" x14ac:dyDescent="0.3">
      <c r="A6536" s="34">
        <f>base!J6536</f>
        <v>0</v>
      </c>
      <c r="B6536" s="34" t="str">
        <f>base!V6536</f>
        <v>77184</v>
      </c>
      <c r="C6536" s="37">
        <v>77</v>
      </c>
      <c r="D6536" s="36">
        <f>base!H6536</f>
        <v>151</v>
      </c>
      <c r="E6536" s="44"/>
      <c r="F6536" s="16">
        <f>base!W6536</f>
        <v>0</v>
      </c>
      <c r="G6536" s="11">
        <f t="shared" si="1020"/>
        <v>0</v>
      </c>
      <c r="H6536" s="11">
        <f t="shared" si="1021"/>
        <v>0</v>
      </c>
      <c r="I6536" s="11">
        <f t="shared" si="1022"/>
        <v>0</v>
      </c>
      <c r="J6536" s="12">
        <f t="shared" si="1023"/>
        <v>0</v>
      </c>
      <c r="K6536" s="17" t="str">
        <f t="shared" si="1028"/>
        <v>Pas d'écart</v>
      </c>
      <c r="L6536" s="16">
        <f>base!X6536</f>
        <v>0</v>
      </c>
      <c r="M6536" s="11">
        <f t="shared" si="1024"/>
        <v>0</v>
      </c>
      <c r="N6536" s="11">
        <f t="shared" si="1025"/>
        <v>0</v>
      </c>
      <c r="O6536" s="11">
        <f t="shared" si="1026"/>
        <v>0</v>
      </c>
      <c r="P6536" s="12">
        <f t="shared" si="1027"/>
        <v>0</v>
      </c>
      <c r="Q6536" s="17" t="str">
        <f t="shared" si="1029"/>
        <v>Pas d'écart</v>
      </c>
    </row>
    <row r="6537" spans="1:17" x14ac:dyDescent="0.3">
      <c r="A6537" s="34" t="str">
        <f>base!J6537</f>
        <v>LS</v>
      </c>
      <c r="B6537" s="34" t="str">
        <f>base!V6537</f>
        <v>38200</v>
      </c>
      <c r="C6537" s="37">
        <v>13</v>
      </c>
      <c r="D6537" s="36">
        <f>base!H6537</f>
        <v>367.19</v>
      </c>
      <c r="E6537" s="44"/>
      <c r="F6537" s="16">
        <f>base!W6537</f>
        <v>99.14</v>
      </c>
      <c r="G6537" s="11">
        <f t="shared" si="1020"/>
        <v>0.26999645959857294</v>
      </c>
      <c r="H6537" s="11">
        <f t="shared" si="1021"/>
        <v>106.48509999999999</v>
      </c>
      <c r="I6537" s="11">
        <f t="shared" si="1022"/>
        <v>0.28999999999999998</v>
      </c>
      <c r="J6537" s="12">
        <f t="shared" si="1023"/>
        <v>-7.345099999999988</v>
      </c>
      <c r="K6537" s="17" t="str">
        <f t="shared" si="1028"/>
        <v>Ecart négatif</v>
      </c>
      <c r="L6537" s="16">
        <f>base!X6537</f>
        <v>0</v>
      </c>
      <c r="M6537" s="11">
        <f t="shared" si="1024"/>
        <v>0</v>
      </c>
      <c r="N6537" s="11">
        <f t="shared" si="1025"/>
        <v>69.766099999999994</v>
      </c>
      <c r="O6537" s="11">
        <f t="shared" si="1026"/>
        <v>0.18999999999999997</v>
      </c>
      <c r="P6537" s="12">
        <f t="shared" si="1027"/>
        <v>-69.766099999999994</v>
      </c>
      <c r="Q6537" s="17" t="str">
        <f t="shared" si="1029"/>
        <v>Ecart négatif</v>
      </c>
    </row>
    <row r="6538" spans="1:17" x14ac:dyDescent="0.3">
      <c r="A6538" s="34" t="str">
        <f>base!J6538</f>
        <v>LM</v>
      </c>
      <c r="B6538" s="34" t="str">
        <f>base!V6538</f>
        <v>61110</v>
      </c>
      <c r="C6538" s="37">
        <v>61</v>
      </c>
      <c r="D6538" s="36">
        <f>base!H6538</f>
        <v>40</v>
      </c>
      <c r="E6538" s="44"/>
      <c r="F6538" s="16">
        <f>base!W6538</f>
        <v>6.8</v>
      </c>
      <c r="G6538" s="11">
        <f t="shared" si="1020"/>
        <v>0.16999999999999998</v>
      </c>
      <c r="H6538" s="11">
        <f t="shared" si="1021"/>
        <v>6.8000000000000007</v>
      </c>
      <c r="I6538" s="11">
        <f t="shared" si="1022"/>
        <v>0.17</v>
      </c>
      <c r="J6538" s="12">
        <f t="shared" si="1023"/>
        <v>0</v>
      </c>
      <c r="K6538" s="17" t="str">
        <f t="shared" si="1028"/>
        <v>Pas d'écart</v>
      </c>
      <c r="L6538" s="16">
        <f>base!X6538</f>
        <v>0</v>
      </c>
      <c r="M6538" s="11">
        <f t="shared" si="1024"/>
        <v>0</v>
      </c>
      <c r="N6538" s="11">
        <f t="shared" si="1025"/>
        <v>6.8000000000000007</v>
      </c>
      <c r="O6538" s="11">
        <f t="shared" si="1026"/>
        <v>0.17</v>
      </c>
      <c r="P6538" s="12">
        <f t="shared" si="1027"/>
        <v>-6.8000000000000007</v>
      </c>
      <c r="Q6538" s="17" t="str">
        <f t="shared" si="1029"/>
        <v>Ecart négatif</v>
      </c>
    </row>
    <row r="6539" spans="1:17" x14ac:dyDescent="0.3">
      <c r="A6539" s="34" t="str">
        <f>base!J6539</f>
        <v>LS</v>
      </c>
      <c r="B6539" s="34" t="str">
        <f>base!V6539</f>
        <v>67920</v>
      </c>
      <c r="C6539" s="37">
        <v>6</v>
      </c>
      <c r="D6539" s="36">
        <f>base!H6539</f>
        <v>196.4</v>
      </c>
      <c r="E6539" s="44"/>
      <c r="F6539" s="16">
        <f>base!W6539</f>
        <v>56.96</v>
      </c>
      <c r="G6539" s="11">
        <f t="shared" si="1020"/>
        <v>0.290020366598778</v>
      </c>
      <c r="H6539" s="11">
        <f t="shared" si="1021"/>
        <v>58.92</v>
      </c>
      <c r="I6539" s="11">
        <f t="shared" si="1022"/>
        <v>0.3</v>
      </c>
      <c r="J6539" s="12">
        <f t="shared" si="1023"/>
        <v>-1.9600000000000009</v>
      </c>
      <c r="K6539" s="17" t="str">
        <f t="shared" si="1028"/>
        <v>Ecart négatif</v>
      </c>
      <c r="L6539" s="16">
        <f>base!X6539</f>
        <v>0</v>
      </c>
      <c r="M6539" s="11">
        <f t="shared" si="1024"/>
        <v>0</v>
      </c>
      <c r="N6539" s="11">
        <f t="shared" si="1025"/>
        <v>41.244</v>
      </c>
      <c r="O6539" s="11">
        <f t="shared" si="1026"/>
        <v>0.21</v>
      </c>
      <c r="P6539" s="12">
        <f t="shared" si="1027"/>
        <v>-41.244</v>
      </c>
      <c r="Q6539" s="17" t="str">
        <f t="shared" si="1029"/>
        <v>Ecart négatif</v>
      </c>
    </row>
    <row r="6540" spans="1:17" x14ac:dyDescent="0.3">
      <c r="A6540" s="34" t="str">
        <f>base!J6540</f>
        <v>LM</v>
      </c>
      <c r="B6540" s="34" t="str">
        <f>base!V6540</f>
        <v>06140</v>
      </c>
      <c r="C6540" s="37">
        <v>6</v>
      </c>
      <c r="D6540" s="36">
        <f>base!H6540</f>
        <v>55.34</v>
      </c>
      <c r="E6540" s="44"/>
      <c r="F6540" s="16">
        <f>base!W6540</f>
        <v>16.600000000000001</v>
      </c>
      <c r="G6540" s="11">
        <f t="shared" si="1020"/>
        <v>0.2999638597759306</v>
      </c>
      <c r="H6540" s="11">
        <f t="shared" si="1021"/>
        <v>16.602</v>
      </c>
      <c r="I6540" s="11">
        <f t="shared" si="1022"/>
        <v>0.3</v>
      </c>
      <c r="J6540" s="12">
        <f t="shared" si="1023"/>
        <v>-1.9999999999988916E-3</v>
      </c>
      <c r="K6540" s="17" t="str">
        <f t="shared" si="1028"/>
        <v>Ecart négatif</v>
      </c>
      <c r="L6540" s="16">
        <f>base!X6540</f>
        <v>0</v>
      </c>
      <c r="M6540" s="11">
        <f t="shared" si="1024"/>
        <v>0</v>
      </c>
      <c r="N6540" s="11">
        <f t="shared" si="1025"/>
        <v>11.6214</v>
      </c>
      <c r="O6540" s="11">
        <f t="shared" si="1026"/>
        <v>0.20999999999999996</v>
      </c>
      <c r="P6540" s="12">
        <f t="shared" si="1027"/>
        <v>-11.6214</v>
      </c>
      <c r="Q6540" s="17" t="str">
        <f t="shared" si="1029"/>
        <v>Ecart négatif</v>
      </c>
    </row>
    <row r="6541" spans="1:17" x14ac:dyDescent="0.3">
      <c r="A6541" s="34" t="str">
        <f>base!J6541</f>
        <v>LS</v>
      </c>
      <c r="B6541" s="34" t="str">
        <f>base!V6541</f>
        <v>74290</v>
      </c>
      <c r="C6541" s="37">
        <v>98</v>
      </c>
      <c r="D6541" s="36">
        <f>base!H6541</f>
        <v>16.8</v>
      </c>
      <c r="E6541" s="44"/>
      <c r="F6541" s="16">
        <f>base!W6541</f>
        <v>4.54</v>
      </c>
      <c r="G6541" s="11">
        <f t="shared" si="1020"/>
        <v>0.27023809523809522</v>
      </c>
      <c r="H6541" s="11">
        <f t="shared" si="1021"/>
        <v>4.5360000000000005</v>
      </c>
      <c r="I6541" s="11">
        <f t="shared" si="1022"/>
        <v>0.27</v>
      </c>
      <c r="J6541" s="12">
        <f t="shared" si="1023"/>
        <v>3.9999999999995595E-3</v>
      </c>
      <c r="K6541" s="17" t="str">
        <f t="shared" si="1028"/>
        <v>Ecart positif</v>
      </c>
      <c r="L6541" s="16">
        <f>base!X6541</f>
        <v>0</v>
      </c>
      <c r="M6541" s="11">
        <f t="shared" si="1024"/>
        <v>0</v>
      </c>
      <c r="N6541" s="11">
        <f t="shared" si="1025"/>
        <v>3.528</v>
      </c>
      <c r="O6541" s="11">
        <f t="shared" si="1026"/>
        <v>0.21</v>
      </c>
      <c r="P6541" s="12">
        <f t="shared" si="1027"/>
        <v>-3.528</v>
      </c>
      <c r="Q6541" s="17" t="str">
        <f t="shared" si="1029"/>
        <v>Ecart négatif</v>
      </c>
    </row>
    <row r="6542" spans="1:17" x14ac:dyDescent="0.3">
      <c r="A6542" s="34" t="str">
        <f>base!J6542</f>
        <v>LM</v>
      </c>
      <c r="B6542" s="34" t="str">
        <f>base!V6542</f>
        <v>30320</v>
      </c>
      <c r="C6542" s="37">
        <v>63</v>
      </c>
      <c r="D6542" s="36">
        <f>base!H6542</f>
        <v>55.34</v>
      </c>
      <c r="E6542" s="44"/>
      <c r="F6542" s="16">
        <f>base!W6542</f>
        <v>21.58</v>
      </c>
      <c r="G6542" s="11">
        <f t="shared" si="1020"/>
        <v>0.38995301770870971</v>
      </c>
      <c r="H6542" s="11">
        <f t="shared" si="1021"/>
        <v>16.0486</v>
      </c>
      <c r="I6542" s="11">
        <f t="shared" si="1022"/>
        <v>0.28999999999999998</v>
      </c>
      <c r="J6542" s="12">
        <f t="shared" si="1023"/>
        <v>5.5313999999999979</v>
      </c>
      <c r="K6542" s="17" t="str">
        <f t="shared" si="1028"/>
        <v>Ecart positif</v>
      </c>
      <c r="L6542" s="16">
        <f>base!X6542</f>
        <v>0</v>
      </c>
      <c r="M6542" s="11">
        <f t="shared" si="1024"/>
        <v>0</v>
      </c>
      <c r="N6542" s="11">
        <f t="shared" si="1025"/>
        <v>6.6408000000000005</v>
      </c>
      <c r="O6542" s="11">
        <f t="shared" si="1026"/>
        <v>0.12</v>
      </c>
      <c r="P6542" s="12">
        <f t="shared" si="1027"/>
        <v>-6.6408000000000005</v>
      </c>
      <c r="Q6542" s="17" t="str">
        <f t="shared" si="1029"/>
        <v>Ecart négatif</v>
      </c>
    </row>
    <row r="6543" spans="1:17" x14ac:dyDescent="0.3">
      <c r="A6543" s="34" t="str">
        <f>base!J6543</f>
        <v>LS</v>
      </c>
      <c r="B6543" s="34" t="str">
        <f>base!V6543</f>
        <v>29200</v>
      </c>
      <c r="C6543" s="37">
        <v>63</v>
      </c>
      <c r="D6543" s="36">
        <f>base!H6543</f>
        <v>75.28</v>
      </c>
      <c r="E6543" s="44"/>
      <c r="F6543" s="16">
        <f>base!W6543</f>
        <v>29.36</v>
      </c>
      <c r="G6543" s="11">
        <f t="shared" si="1020"/>
        <v>0.39001062699256112</v>
      </c>
      <c r="H6543" s="11">
        <f t="shared" si="1021"/>
        <v>21.831199999999999</v>
      </c>
      <c r="I6543" s="11">
        <f t="shared" si="1022"/>
        <v>0.28999999999999998</v>
      </c>
      <c r="J6543" s="12">
        <f t="shared" si="1023"/>
        <v>7.5288000000000004</v>
      </c>
      <c r="K6543" s="17" t="str">
        <f t="shared" si="1028"/>
        <v>Ecart positif</v>
      </c>
      <c r="L6543" s="16">
        <f>base!X6543</f>
        <v>0</v>
      </c>
      <c r="M6543" s="11">
        <f t="shared" si="1024"/>
        <v>0</v>
      </c>
      <c r="N6543" s="11">
        <f t="shared" si="1025"/>
        <v>9.0335999999999999</v>
      </c>
      <c r="O6543" s="11">
        <f t="shared" si="1026"/>
        <v>0.12</v>
      </c>
      <c r="P6543" s="12">
        <f t="shared" si="1027"/>
        <v>-9.0335999999999999</v>
      </c>
      <c r="Q6543" s="17" t="str">
        <f t="shared" si="1029"/>
        <v>Ecart négatif</v>
      </c>
    </row>
    <row r="6544" spans="1:17" x14ac:dyDescent="0.3">
      <c r="A6544" s="34" t="str">
        <f>base!J6544</f>
        <v>LS</v>
      </c>
      <c r="B6544" s="34" t="str">
        <f>base!V6544</f>
        <v>25200</v>
      </c>
      <c r="C6544" s="37">
        <v>84</v>
      </c>
      <c r="D6544" s="36">
        <f>base!H6544</f>
        <v>144.19999999999999</v>
      </c>
      <c r="E6544" s="44"/>
      <c r="F6544" s="16">
        <f>base!W6544</f>
        <v>34.61</v>
      </c>
      <c r="G6544" s="11">
        <f t="shared" si="1020"/>
        <v>0.24001386962552013</v>
      </c>
      <c r="H6544" s="11">
        <f t="shared" si="1021"/>
        <v>41.817999999999991</v>
      </c>
      <c r="I6544" s="11">
        <f t="shared" si="1022"/>
        <v>0.28999999999999998</v>
      </c>
      <c r="J6544" s="12">
        <f t="shared" si="1023"/>
        <v>-7.2079999999999913</v>
      </c>
      <c r="K6544" s="17" t="str">
        <f t="shared" si="1028"/>
        <v>Ecart négatif</v>
      </c>
      <c r="L6544" s="16">
        <f>base!X6544</f>
        <v>0</v>
      </c>
      <c r="M6544" s="11">
        <f t="shared" si="1024"/>
        <v>0</v>
      </c>
      <c r="N6544" s="11">
        <f t="shared" si="1025"/>
        <v>27.398</v>
      </c>
      <c r="O6544" s="11">
        <f t="shared" si="1026"/>
        <v>0.19</v>
      </c>
      <c r="P6544" s="12">
        <f t="shared" si="1027"/>
        <v>-27.398</v>
      </c>
      <c r="Q6544" s="17" t="str">
        <f t="shared" si="1029"/>
        <v>Ecart négatif</v>
      </c>
    </row>
    <row r="6545" spans="1:17" x14ac:dyDescent="0.3">
      <c r="A6545" s="34" t="str">
        <f>base!J6545</f>
        <v>LS</v>
      </c>
      <c r="B6545" s="34" t="str">
        <f>base!V6545</f>
        <v>25000</v>
      </c>
      <c r="C6545" s="37">
        <v>13</v>
      </c>
      <c r="D6545" s="36">
        <f>base!H6545</f>
        <v>144.19999999999999</v>
      </c>
      <c r="E6545" s="44"/>
      <c r="F6545" s="16">
        <f>base!W6545</f>
        <v>34.61</v>
      </c>
      <c r="G6545" s="11">
        <f t="shared" si="1020"/>
        <v>0.24001386962552013</v>
      </c>
      <c r="H6545" s="11">
        <f t="shared" si="1021"/>
        <v>41.817999999999991</v>
      </c>
      <c r="I6545" s="11">
        <f t="shared" si="1022"/>
        <v>0.28999999999999998</v>
      </c>
      <c r="J6545" s="12">
        <f t="shared" si="1023"/>
        <v>-7.2079999999999913</v>
      </c>
      <c r="K6545" s="17" t="str">
        <f t="shared" si="1028"/>
        <v>Ecart négatif</v>
      </c>
      <c r="L6545" s="16">
        <f>base!X6545</f>
        <v>0</v>
      </c>
      <c r="M6545" s="11">
        <f t="shared" si="1024"/>
        <v>0</v>
      </c>
      <c r="N6545" s="11">
        <f t="shared" si="1025"/>
        <v>27.398</v>
      </c>
      <c r="O6545" s="11">
        <f t="shared" si="1026"/>
        <v>0.19</v>
      </c>
      <c r="P6545" s="12">
        <f t="shared" si="1027"/>
        <v>-27.398</v>
      </c>
      <c r="Q6545" s="17" t="str">
        <f t="shared" si="1029"/>
        <v>Ecart négatif</v>
      </c>
    </row>
    <row r="6546" spans="1:17" x14ac:dyDescent="0.3">
      <c r="A6546" s="34" t="str">
        <f>base!J6546</f>
        <v>LM</v>
      </c>
      <c r="B6546" s="34" t="str">
        <f>base!V6546</f>
        <v>35113</v>
      </c>
      <c r="C6546" s="37">
        <v>15</v>
      </c>
      <c r="D6546" s="36">
        <f>base!H6546</f>
        <v>19.8</v>
      </c>
      <c r="E6546" s="44"/>
      <c r="F6546" s="16">
        <f>base!W6546</f>
        <v>5.35</v>
      </c>
      <c r="G6546" s="11">
        <f t="shared" si="1020"/>
        <v>0.27020202020202017</v>
      </c>
      <c r="H6546" s="11">
        <f t="shared" si="1021"/>
        <v>5.742</v>
      </c>
      <c r="I6546" s="11">
        <f t="shared" si="1022"/>
        <v>0.28999999999999998</v>
      </c>
      <c r="J6546" s="12">
        <f t="shared" si="1023"/>
        <v>-0.39200000000000035</v>
      </c>
      <c r="K6546" s="17" t="str">
        <f t="shared" si="1028"/>
        <v>Ecart négatif</v>
      </c>
      <c r="L6546" s="16">
        <f>base!X6546</f>
        <v>0</v>
      </c>
      <c r="M6546" s="11">
        <f t="shared" si="1024"/>
        <v>0</v>
      </c>
      <c r="N6546" s="11">
        <f t="shared" si="1025"/>
        <v>2.3759999999999999</v>
      </c>
      <c r="O6546" s="11">
        <f t="shared" si="1026"/>
        <v>0.12</v>
      </c>
      <c r="P6546" s="12">
        <f t="shared" si="1027"/>
        <v>-2.3759999999999999</v>
      </c>
      <c r="Q6546" s="17" t="str">
        <f t="shared" si="1029"/>
        <v>Ecart négatif</v>
      </c>
    </row>
    <row r="6547" spans="1:17" x14ac:dyDescent="0.3">
      <c r="A6547" s="34" t="str">
        <f>base!J6547</f>
        <v>LS</v>
      </c>
      <c r="B6547" s="34" t="str">
        <f>base!V6547</f>
        <v>13014</v>
      </c>
      <c r="C6547" s="37">
        <v>67</v>
      </c>
      <c r="D6547" s="36">
        <f>base!H6547</f>
        <v>109.07</v>
      </c>
      <c r="E6547" s="44"/>
      <c r="F6547" s="16">
        <f>base!W6547</f>
        <v>31.63</v>
      </c>
      <c r="G6547" s="11">
        <f t="shared" si="1020"/>
        <v>0.28999724947281563</v>
      </c>
      <c r="H6547" s="11">
        <f t="shared" si="1021"/>
        <v>31.630299999999995</v>
      </c>
      <c r="I6547" s="11">
        <f t="shared" si="1022"/>
        <v>0.28999999999999998</v>
      </c>
      <c r="J6547" s="12">
        <f t="shared" si="1023"/>
        <v>-2.9999999999574811E-4</v>
      </c>
      <c r="K6547" s="17" t="str">
        <f t="shared" si="1028"/>
        <v>Ecart négatif</v>
      </c>
      <c r="L6547" s="16">
        <f>base!X6547</f>
        <v>0</v>
      </c>
      <c r="M6547" s="11">
        <f t="shared" si="1024"/>
        <v>0</v>
      </c>
      <c r="N6547" s="11">
        <f t="shared" si="1025"/>
        <v>8.7256</v>
      </c>
      <c r="O6547" s="11">
        <f t="shared" si="1026"/>
        <v>0.08</v>
      </c>
      <c r="P6547" s="12">
        <f t="shared" si="1027"/>
        <v>-8.7256</v>
      </c>
      <c r="Q6547" s="17" t="str">
        <f t="shared" si="1029"/>
        <v>Ecart négatif</v>
      </c>
    </row>
    <row r="6548" spans="1:17" x14ac:dyDescent="0.3">
      <c r="A6548" s="34" t="str">
        <f>base!J6548</f>
        <v>LS</v>
      </c>
      <c r="B6548" s="34" t="str">
        <f>base!V6548</f>
        <v>13450</v>
      </c>
      <c r="C6548" s="37">
        <v>83</v>
      </c>
      <c r="D6548" s="36">
        <f>base!H6548</f>
        <v>185.8</v>
      </c>
      <c r="E6548" s="44"/>
      <c r="F6548" s="16">
        <f>base!W6548</f>
        <v>53.88</v>
      </c>
      <c r="G6548" s="11">
        <f t="shared" si="1020"/>
        <v>0.28998923573735197</v>
      </c>
      <c r="H6548" s="11">
        <f t="shared" si="1021"/>
        <v>55.74</v>
      </c>
      <c r="I6548" s="11">
        <f t="shared" si="1022"/>
        <v>0.3</v>
      </c>
      <c r="J6548" s="12">
        <f t="shared" si="1023"/>
        <v>-1.8599999999999994</v>
      </c>
      <c r="K6548" s="17" t="str">
        <f t="shared" si="1028"/>
        <v>Ecart négatif</v>
      </c>
      <c r="L6548" s="16">
        <f>base!X6548</f>
        <v>0</v>
      </c>
      <c r="M6548" s="11">
        <f t="shared" si="1024"/>
        <v>0</v>
      </c>
      <c r="N6548" s="11">
        <f t="shared" si="1025"/>
        <v>39.018000000000001</v>
      </c>
      <c r="O6548" s="11">
        <f t="shared" si="1026"/>
        <v>0.21</v>
      </c>
      <c r="P6548" s="12">
        <f t="shared" si="1027"/>
        <v>-39.018000000000001</v>
      </c>
      <c r="Q6548" s="17" t="str">
        <f t="shared" si="1029"/>
        <v>Ecart négatif</v>
      </c>
    </row>
    <row r="6549" spans="1:17" x14ac:dyDescent="0.3">
      <c r="A6549" s="34" t="str">
        <f>base!J6549</f>
        <v>RS</v>
      </c>
      <c r="B6549" s="34" t="str">
        <f>base!V6549</f>
        <v>44370</v>
      </c>
      <c r="C6549" s="37">
        <v>44</v>
      </c>
      <c r="D6549" s="36">
        <f>base!H6549</f>
        <v>70</v>
      </c>
      <c r="E6549" s="44"/>
      <c r="F6549" s="16">
        <f>base!W6549</f>
        <v>0</v>
      </c>
      <c r="G6549" s="11">
        <f t="shared" si="1020"/>
        <v>0</v>
      </c>
      <c r="H6549" s="11">
        <f t="shared" si="1021"/>
        <v>18.900000000000002</v>
      </c>
      <c r="I6549" s="11">
        <f t="shared" si="1022"/>
        <v>0.27</v>
      </c>
      <c r="J6549" s="12">
        <f t="shared" si="1023"/>
        <v>-18.900000000000002</v>
      </c>
      <c r="K6549" s="17" t="str">
        <f t="shared" si="1028"/>
        <v>Ecart négatif</v>
      </c>
      <c r="L6549" s="16">
        <f>base!X6549</f>
        <v>0</v>
      </c>
      <c r="M6549" s="11">
        <f t="shared" si="1024"/>
        <v>0</v>
      </c>
      <c r="N6549" s="11">
        <f t="shared" si="1025"/>
        <v>0</v>
      </c>
      <c r="O6549" s="11">
        <f t="shared" si="1026"/>
        <v>0</v>
      </c>
      <c r="P6549" s="12">
        <f t="shared" si="1027"/>
        <v>0</v>
      </c>
      <c r="Q6549" s="17" t="str">
        <f t="shared" si="1029"/>
        <v>Pas d'écart</v>
      </c>
    </row>
    <row r="6550" spans="1:17" x14ac:dyDescent="0.3">
      <c r="A6550" s="34" t="str">
        <f>base!J6550</f>
        <v>RM</v>
      </c>
      <c r="B6550" s="34" t="str">
        <f>base!V6550</f>
        <v>37140</v>
      </c>
      <c r="C6550" s="37">
        <v>37</v>
      </c>
      <c r="D6550" s="36">
        <f>base!H6550</f>
        <v>151</v>
      </c>
      <c r="E6550" s="44"/>
      <c r="F6550" s="16">
        <f>base!W6550</f>
        <v>0</v>
      </c>
      <c r="G6550" s="11">
        <f t="shared" si="1020"/>
        <v>0</v>
      </c>
      <c r="H6550" s="11">
        <f t="shared" si="1021"/>
        <v>28.69</v>
      </c>
      <c r="I6550" s="11">
        <f t="shared" si="1022"/>
        <v>0.19</v>
      </c>
      <c r="J6550" s="12">
        <f t="shared" si="1023"/>
        <v>-28.69</v>
      </c>
      <c r="K6550" s="17" t="str">
        <f t="shared" si="1028"/>
        <v>Ecart négatif</v>
      </c>
      <c r="L6550" s="16">
        <f>base!X6550</f>
        <v>0</v>
      </c>
      <c r="M6550" s="11">
        <f t="shared" si="1024"/>
        <v>0</v>
      </c>
      <c r="N6550" s="11">
        <f t="shared" si="1025"/>
        <v>18.12</v>
      </c>
      <c r="O6550" s="11">
        <f t="shared" si="1026"/>
        <v>0.12000000000000001</v>
      </c>
      <c r="P6550" s="12">
        <f t="shared" si="1027"/>
        <v>-18.12</v>
      </c>
      <c r="Q6550" s="17" t="str">
        <f t="shared" si="1029"/>
        <v>Ecart négatif</v>
      </c>
    </row>
    <row r="6551" spans="1:17" x14ac:dyDescent="0.3">
      <c r="A6551" s="34" t="str">
        <f>base!J6551</f>
        <v>LM</v>
      </c>
      <c r="B6551" s="34" t="str">
        <f>base!V6551</f>
        <v>29200</v>
      </c>
      <c r="C6551" s="37">
        <v>13</v>
      </c>
      <c r="D6551" s="36">
        <f>base!H6551</f>
        <v>59.54</v>
      </c>
      <c r="E6551" s="44"/>
      <c r="F6551" s="16">
        <f>base!W6551</f>
        <v>23.22</v>
      </c>
      <c r="G6551" s="11">
        <f t="shared" si="1020"/>
        <v>0.38998992274101441</v>
      </c>
      <c r="H6551" s="11">
        <f t="shared" si="1021"/>
        <v>17.266599999999997</v>
      </c>
      <c r="I6551" s="11">
        <f t="shared" si="1022"/>
        <v>0.28999999999999992</v>
      </c>
      <c r="J6551" s="12">
        <f t="shared" si="1023"/>
        <v>5.953400000000002</v>
      </c>
      <c r="K6551" s="17" t="str">
        <f t="shared" si="1028"/>
        <v>Ecart positif</v>
      </c>
      <c r="L6551" s="16">
        <f>base!X6551</f>
        <v>0</v>
      </c>
      <c r="M6551" s="11">
        <f t="shared" si="1024"/>
        <v>0</v>
      </c>
      <c r="N6551" s="11">
        <f t="shared" si="1025"/>
        <v>11.3126</v>
      </c>
      <c r="O6551" s="11">
        <f t="shared" si="1026"/>
        <v>0.19</v>
      </c>
      <c r="P6551" s="12">
        <f t="shared" si="1027"/>
        <v>-11.3126</v>
      </c>
      <c r="Q6551" s="17" t="str">
        <f t="shared" si="1029"/>
        <v>Ecart négatif</v>
      </c>
    </row>
    <row r="6552" spans="1:17" x14ac:dyDescent="0.3">
      <c r="A6552" s="34" t="str">
        <f>base!J6552</f>
        <v>LS</v>
      </c>
      <c r="B6552" s="34" t="str">
        <f>base!V6552</f>
        <v>13103</v>
      </c>
      <c r="C6552" s="37">
        <v>88</v>
      </c>
      <c r="D6552" s="36">
        <f>base!H6552</f>
        <v>102.7</v>
      </c>
      <c r="E6552" s="44"/>
      <c r="F6552" s="16">
        <f>base!W6552</f>
        <v>29.78</v>
      </c>
      <c r="G6552" s="11">
        <f t="shared" si="1020"/>
        <v>0.2899707887049659</v>
      </c>
      <c r="H6552" s="11">
        <f t="shared" si="1021"/>
        <v>28.756000000000004</v>
      </c>
      <c r="I6552" s="11">
        <f t="shared" si="1022"/>
        <v>0.28000000000000003</v>
      </c>
      <c r="J6552" s="12">
        <f t="shared" si="1023"/>
        <v>1.0239999999999974</v>
      </c>
      <c r="K6552" s="17" t="str">
        <f t="shared" si="1028"/>
        <v>Ecart positif</v>
      </c>
      <c r="L6552" s="16">
        <f>base!X6552</f>
        <v>0</v>
      </c>
      <c r="M6552" s="11">
        <f t="shared" si="1024"/>
        <v>0</v>
      </c>
      <c r="N6552" s="11">
        <f t="shared" si="1025"/>
        <v>8.2160000000000011</v>
      </c>
      <c r="O6552" s="11">
        <f t="shared" si="1026"/>
        <v>0.08</v>
      </c>
      <c r="P6552" s="12">
        <f t="shared" si="1027"/>
        <v>-8.2160000000000011</v>
      </c>
      <c r="Q6552" s="17" t="str">
        <f t="shared" si="1029"/>
        <v>Ecart négatif</v>
      </c>
    </row>
    <row r="6553" spans="1:17" x14ac:dyDescent="0.3">
      <c r="A6553" s="34" t="str">
        <f>base!J6553</f>
        <v>LS</v>
      </c>
      <c r="B6553" s="34" t="str">
        <f>base!V6553</f>
        <v>80005</v>
      </c>
      <c r="C6553" s="37">
        <v>13</v>
      </c>
      <c r="D6553" s="36">
        <f>base!H6553</f>
        <v>85.35</v>
      </c>
      <c r="E6553" s="44"/>
      <c r="F6553" s="16">
        <f>base!W6553</f>
        <v>16.22</v>
      </c>
      <c r="G6553" s="11">
        <f t="shared" si="1020"/>
        <v>0.19004100761570006</v>
      </c>
      <c r="H6553" s="11">
        <f t="shared" si="1021"/>
        <v>24.751499999999997</v>
      </c>
      <c r="I6553" s="11">
        <f t="shared" si="1022"/>
        <v>0.28999999999999998</v>
      </c>
      <c r="J6553" s="12">
        <f t="shared" si="1023"/>
        <v>-8.5314999999999976</v>
      </c>
      <c r="K6553" s="17" t="str">
        <f t="shared" si="1028"/>
        <v>Ecart négatif</v>
      </c>
      <c r="L6553" s="16">
        <f>base!X6553</f>
        <v>0</v>
      </c>
      <c r="M6553" s="11">
        <f t="shared" si="1024"/>
        <v>0</v>
      </c>
      <c r="N6553" s="11">
        <f t="shared" si="1025"/>
        <v>16.2165</v>
      </c>
      <c r="O6553" s="11">
        <f t="shared" si="1026"/>
        <v>0.19</v>
      </c>
      <c r="P6553" s="12">
        <f t="shared" si="1027"/>
        <v>-16.2165</v>
      </c>
      <c r="Q6553" s="17" t="str">
        <f t="shared" si="1029"/>
        <v>Ecart négatif</v>
      </c>
    </row>
    <row r="6554" spans="1:17" x14ac:dyDescent="0.3">
      <c r="A6554" s="34" t="str">
        <f>base!J6554</f>
        <v>LS</v>
      </c>
      <c r="B6554" s="34" t="str">
        <f>base!V6554</f>
        <v>61200</v>
      </c>
      <c r="C6554" s="37">
        <v>13</v>
      </c>
      <c r="D6554" s="36">
        <f>base!H6554</f>
        <v>120.85</v>
      </c>
      <c r="E6554" s="44"/>
      <c r="F6554" s="16">
        <f>base!W6554</f>
        <v>20.54</v>
      </c>
      <c r="G6554" s="11">
        <f t="shared" si="1020"/>
        <v>0.1699627637567232</v>
      </c>
      <c r="H6554" s="11">
        <f t="shared" si="1021"/>
        <v>35.046499999999995</v>
      </c>
      <c r="I6554" s="11">
        <f t="shared" si="1022"/>
        <v>0.28999999999999998</v>
      </c>
      <c r="J6554" s="12">
        <f t="shared" si="1023"/>
        <v>-14.506499999999996</v>
      </c>
      <c r="K6554" s="17" t="str">
        <f t="shared" si="1028"/>
        <v>Ecart négatif</v>
      </c>
      <c r="L6554" s="16">
        <f>base!X6554</f>
        <v>0</v>
      </c>
      <c r="M6554" s="11">
        <f t="shared" si="1024"/>
        <v>0</v>
      </c>
      <c r="N6554" s="11">
        <f t="shared" si="1025"/>
        <v>22.961500000000001</v>
      </c>
      <c r="O6554" s="11">
        <f t="shared" si="1026"/>
        <v>0.19000000000000003</v>
      </c>
      <c r="P6554" s="12">
        <f t="shared" si="1027"/>
        <v>-22.961500000000001</v>
      </c>
      <c r="Q6554" s="17" t="str">
        <f t="shared" si="1029"/>
        <v>Ecart négatif</v>
      </c>
    </row>
    <row r="6555" spans="1:17" x14ac:dyDescent="0.3">
      <c r="A6555" s="34" t="str">
        <f>base!J6555</f>
        <v>LS</v>
      </c>
      <c r="B6555" s="34" t="str">
        <f>base!V6555</f>
        <v>02100</v>
      </c>
      <c r="C6555" s="37">
        <v>67</v>
      </c>
      <c r="D6555" s="36">
        <f>base!H6555</f>
        <v>51.6</v>
      </c>
      <c r="E6555" s="44"/>
      <c r="F6555" s="16">
        <f>base!W6555</f>
        <v>9.8000000000000007</v>
      </c>
      <c r="G6555" s="11">
        <f t="shared" si="1020"/>
        <v>0.18992248062015504</v>
      </c>
      <c r="H6555" s="11">
        <f t="shared" si="1021"/>
        <v>14.963999999999999</v>
      </c>
      <c r="I6555" s="11">
        <f t="shared" si="1022"/>
        <v>0.28999999999999998</v>
      </c>
      <c r="J6555" s="12">
        <f t="shared" si="1023"/>
        <v>-5.1639999999999979</v>
      </c>
      <c r="K6555" s="17" t="str">
        <f t="shared" si="1028"/>
        <v>Ecart négatif</v>
      </c>
      <c r="L6555" s="16">
        <f>base!X6555</f>
        <v>0</v>
      </c>
      <c r="M6555" s="11">
        <f t="shared" si="1024"/>
        <v>0</v>
      </c>
      <c r="N6555" s="11">
        <f t="shared" si="1025"/>
        <v>4.1280000000000001</v>
      </c>
      <c r="O6555" s="11">
        <f t="shared" si="1026"/>
        <v>0.08</v>
      </c>
      <c r="P6555" s="12">
        <f t="shared" si="1027"/>
        <v>-4.1280000000000001</v>
      </c>
      <c r="Q6555" s="17" t="str">
        <f t="shared" si="1029"/>
        <v>Ecart négatif</v>
      </c>
    </row>
    <row r="6556" spans="1:17" x14ac:dyDescent="0.3">
      <c r="A6556" s="34">
        <f>base!J6556</f>
        <v>0</v>
      </c>
      <c r="B6556" s="34" t="str">
        <f>base!V6556</f>
        <v>77184</v>
      </c>
      <c r="C6556" s="37">
        <v>77</v>
      </c>
      <c r="D6556" s="36">
        <f>base!H6556</f>
        <v>129.06</v>
      </c>
      <c r="E6556" s="44"/>
      <c r="F6556" s="16">
        <f>base!W6556</f>
        <v>0</v>
      </c>
      <c r="G6556" s="11">
        <f t="shared" si="1020"/>
        <v>0</v>
      </c>
      <c r="H6556" s="11">
        <f t="shared" si="1021"/>
        <v>0</v>
      </c>
      <c r="I6556" s="11">
        <f t="shared" si="1022"/>
        <v>0</v>
      </c>
      <c r="J6556" s="12">
        <f t="shared" si="1023"/>
        <v>0</v>
      </c>
      <c r="K6556" s="17" t="str">
        <f t="shared" si="1028"/>
        <v>Pas d'écart</v>
      </c>
      <c r="L6556" s="16">
        <f>base!X6556</f>
        <v>0</v>
      </c>
      <c r="M6556" s="11">
        <f t="shared" si="1024"/>
        <v>0</v>
      </c>
      <c r="N6556" s="11">
        <f t="shared" si="1025"/>
        <v>0</v>
      </c>
      <c r="O6556" s="11">
        <f t="shared" si="1026"/>
        <v>0</v>
      </c>
      <c r="P6556" s="12">
        <f t="shared" si="1027"/>
        <v>0</v>
      </c>
      <c r="Q6556" s="17" t="str">
        <f t="shared" si="1029"/>
        <v>Pas d'écart</v>
      </c>
    </row>
    <row r="6557" spans="1:17" x14ac:dyDescent="0.3">
      <c r="A6557" s="34" t="str">
        <f>base!J6557</f>
        <v>RM</v>
      </c>
      <c r="B6557" s="34" t="str">
        <f>base!V6557</f>
        <v>14150</v>
      </c>
      <c r="C6557" s="37">
        <v>14</v>
      </c>
      <c r="D6557" s="36">
        <f>base!H6557</f>
        <v>234</v>
      </c>
      <c r="E6557" s="44"/>
      <c r="F6557" s="16">
        <f>base!W6557</f>
        <v>0</v>
      </c>
      <c r="G6557" s="11">
        <f t="shared" si="1020"/>
        <v>0</v>
      </c>
      <c r="H6557" s="11">
        <f t="shared" si="1021"/>
        <v>39.78</v>
      </c>
      <c r="I6557" s="11">
        <f t="shared" si="1022"/>
        <v>0.17</v>
      </c>
      <c r="J6557" s="12">
        <f t="shared" si="1023"/>
        <v>-39.78</v>
      </c>
      <c r="K6557" s="17" t="str">
        <f t="shared" si="1028"/>
        <v>Ecart négatif</v>
      </c>
      <c r="L6557" s="16">
        <f>base!X6557</f>
        <v>0</v>
      </c>
      <c r="M6557" s="11">
        <f t="shared" si="1024"/>
        <v>0</v>
      </c>
      <c r="N6557" s="11">
        <f t="shared" si="1025"/>
        <v>39.78</v>
      </c>
      <c r="O6557" s="11">
        <f t="shared" si="1026"/>
        <v>0.17</v>
      </c>
      <c r="P6557" s="12">
        <f t="shared" si="1027"/>
        <v>-39.78</v>
      </c>
      <c r="Q6557" s="17" t="str">
        <f t="shared" si="1029"/>
        <v>Ecart négatif</v>
      </c>
    </row>
    <row r="6558" spans="1:17" x14ac:dyDescent="0.3">
      <c r="A6558" s="34" t="str">
        <f>base!J6558</f>
        <v>LS</v>
      </c>
      <c r="B6558" s="34" t="str">
        <f>base!V6558</f>
        <v>26320</v>
      </c>
      <c r="C6558" s="37">
        <v>67</v>
      </c>
      <c r="D6558" s="36">
        <f>base!H6558</f>
        <v>130.19999999999999</v>
      </c>
      <c r="E6558" s="44"/>
      <c r="F6558" s="16">
        <f>base!W6558</f>
        <v>35.15</v>
      </c>
      <c r="G6558" s="11">
        <f t="shared" si="1020"/>
        <v>0.26996927803379417</v>
      </c>
      <c r="H6558" s="11">
        <f t="shared" si="1021"/>
        <v>37.757999999999996</v>
      </c>
      <c r="I6558" s="11">
        <f t="shared" si="1022"/>
        <v>0.28999999999999998</v>
      </c>
      <c r="J6558" s="12">
        <f t="shared" si="1023"/>
        <v>-2.607999999999997</v>
      </c>
      <c r="K6558" s="17" t="str">
        <f t="shared" si="1028"/>
        <v>Ecart négatif</v>
      </c>
      <c r="L6558" s="16">
        <f>base!X6558</f>
        <v>0</v>
      </c>
      <c r="M6558" s="11">
        <f t="shared" si="1024"/>
        <v>0</v>
      </c>
      <c r="N6558" s="11">
        <f t="shared" si="1025"/>
        <v>10.415999999999999</v>
      </c>
      <c r="O6558" s="11">
        <f t="shared" si="1026"/>
        <v>0.08</v>
      </c>
      <c r="P6558" s="12">
        <f t="shared" si="1027"/>
        <v>-10.415999999999999</v>
      </c>
      <c r="Q6558" s="17" t="str">
        <f t="shared" si="1029"/>
        <v>Ecart négatif</v>
      </c>
    </row>
    <row r="6559" spans="1:17" x14ac:dyDescent="0.3">
      <c r="A6559" s="34" t="str">
        <f>base!J6559</f>
        <v>LS</v>
      </c>
      <c r="B6559" s="34" t="str">
        <f>base!V6559</f>
        <v>14150</v>
      </c>
      <c r="C6559" s="37">
        <v>67</v>
      </c>
      <c r="D6559" s="36">
        <f>base!H6559</f>
        <v>132.26</v>
      </c>
      <c r="E6559" s="44"/>
      <c r="F6559" s="16">
        <f>base!W6559</f>
        <v>22.48</v>
      </c>
      <c r="G6559" s="11">
        <f t="shared" si="1020"/>
        <v>0.16996824436715563</v>
      </c>
      <c r="H6559" s="11">
        <f t="shared" si="1021"/>
        <v>38.355399999999996</v>
      </c>
      <c r="I6559" s="11">
        <f t="shared" si="1022"/>
        <v>0.28999999999999998</v>
      </c>
      <c r="J6559" s="12">
        <f t="shared" si="1023"/>
        <v>-15.875399999999996</v>
      </c>
      <c r="K6559" s="17" t="str">
        <f t="shared" si="1028"/>
        <v>Ecart négatif</v>
      </c>
      <c r="L6559" s="16">
        <f>base!X6559</f>
        <v>0</v>
      </c>
      <c r="M6559" s="11">
        <f t="shared" si="1024"/>
        <v>0</v>
      </c>
      <c r="N6559" s="11">
        <f t="shared" si="1025"/>
        <v>10.5808</v>
      </c>
      <c r="O6559" s="11">
        <f t="shared" si="1026"/>
        <v>0.08</v>
      </c>
      <c r="P6559" s="12">
        <f t="shared" si="1027"/>
        <v>-10.5808</v>
      </c>
      <c r="Q6559" s="17" t="str">
        <f t="shared" si="1029"/>
        <v>Ecart négatif</v>
      </c>
    </row>
    <row r="6560" spans="1:17" x14ac:dyDescent="0.3">
      <c r="A6560" s="34" t="str">
        <f>base!J6560</f>
        <v>LS</v>
      </c>
      <c r="B6560" s="34" t="str">
        <f>base!V6560</f>
        <v>59374</v>
      </c>
      <c r="C6560" s="37">
        <v>67</v>
      </c>
      <c r="D6560" s="36">
        <f>base!H6560</f>
        <v>137.01</v>
      </c>
      <c r="E6560" s="44"/>
      <c r="F6560" s="16">
        <f>base!W6560</f>
        <v>26.03</v>
      </c>
      <c r="G6560" s="11">
        <f t="shared" si="1020"/>
        <v>0.18998613239909498</v>
      </c>
      <c r="H6560" s="11">
        <f t="shared" si="1021"/>
        <v>39.732899999999994</v>
      </c>
      <c r="I6560" s="11">
        <f t="shared" si="1022"/>
        <v>0.28999999999999998</v>
      </c>
      <c r="J6560" s="12">
        <f t="shared" si="1023"/>
        <v>-13.702899999999993</v>
      </c>
      <c r="K6560" s="17" t="str">
        <f t="shared" si="1028"/>
        <v>Ecart négatif</v>
      </c>
      <c r="L6560" s="16">
        <f>base!X6560</f>
        <v>0</v>
      </c>
      <c r="M6560" s="11">
        <f t="shared" si="1024"/>
        <v>0</v>
      </c>
      <c r="N6560" s="11">
        <f t="shared" si="1025"/>
        <v>10.960799999999999</v>
      </c>
      <c r="O6560" s="11">
        <f t="shared" si="1026"/>
        <v>0.08</v>
      </c>
      <c r="P6560" s="12">
        <f t="shared" si="1027"/>
        <v>-10.960799999999999</v>
      </c>
      <c r="Q6560" s="17" t="str">
        <f t="shared" si="1029"/>
        <v>Ecart négatif</v>
      </c>
    </row>
    <row r="6561" spans="1:18" x14ac:dyDescent="0.3">
      <c r="A6561" s="34" t="str">
        <f>base!J6561</f>
        <v>LS</v>
      </c>
      <c r="B6561" s="34" t="str">
        <f>base!V6561</f>
        <v>49070</v>
      </c>
      <c r="C6561" s="37">
        <v>67</v>
      </c>
      <c r="D6561" s="36">
        <f>base!H6561</f>
        <v>32.46</v>
      </c>
      <c r="E6561" s="44"/>
      <c r="F6561" s="16">
        <f>base!W6561</f>
        <v>8.76</v>
      </c>
      <c r="G6561" s="11">
        <f t="shared" si="1020"/>
        <v>0.26987060998151569</v>
      </c>
      <c r="H6561" s="11">
        <f t="shared" si="1021"/>
        <v>9.4133999999999993</v>
      </c>
      <c r="I6561" s="11">
        <f t="shared" si="1022"/>
        <v>0.28999999999999998</v>
      </c>
      <c r="J6561" s="12">
        <f t="shared" si="1023"/>
        <v>-0.65339999999999954</v>
      </c>
      <c r="K6561" s="17" t="str">
        <f t="shared" si="1028"/>
        <v>Ecart négatif</v>
      </c>
      <c r="L6561" s="16">
        <f>base!X6561</f>
        <v>0</v>
      </c>
      <c r="M6561" s="11">
        <f t="shared" si="1024"/>
        <v>0</v>
      </c>
      <c r="N6561" s="11">
        <f t="shared" si="1025"/>
        <v>2.5968</v>
      </c>
      <c r="O6561" s="11">
        <f t="shared" si="1026"/>
        <v>0.08</v>
      </c>
      <c r="P6561" s="12">
        <f t="shared" si="1027"/>
        <v>-2.5968</v>
      </c>
      <c r="Q6561" s="17" t="str">
        <f t="shared" si="1029"/>
        <v>Ecart négatif</v>
      </c>
    </row>
    <row r="6562" spans="1:18" x14ac:dyDescent="0.3">
      <c r="A6562" s="34">
        <f>base!J6562</f>
        <v>0</v>
      </c>
      <c r="B6562" s="34" t="str">
        <f>base!V6562</f>
        <v>77184</v>
      </c>
      <c r="C6562" s="37">
        <v>77</v>
      </c>
      <c r="D6562" s="36">
        <f>base!H6562</f>
        <v>315</v>
      </c>
      <c r="E6562" s="44"/>
      <c r="F6562" s="16">
        <f>base!W6562</f>
        <v>0</v>
      </c>
      <c r="G6562" s="11">
        <f t="shared" si="1020"/>
        <v>0</v>
      </c>
      <c r="H6562" s="11">
        <f t="shared" si="1021"/>
        <v>0</v>
      </c>
      <c r="I6562" s="11">
        <f t="shared" si="1022"/>
        <v>0</v>
      </c>
      <c r="J6562" s="12">
        <f t="shared" si="1023"/>
        <v>0</v>
      </c>
      <c r="K6562" s="17" t="str">
        <f t="shared" si="1028"/>
        <v>Pas d'écart</v>
      </c>
      <c r="L6562" s="16">
        <f>base!X6562</f>
        <v>0</v>
      </c>
      <c r="M6562" s="11">
        <f t="shared" si="1024"/>
        <v>0</v>
      </c>
      <c r="N6562" s="11">
        <f t="shared" si="1025"/>
        <v>0</v>
      </c>
      <c r="O6562" s="11">
        <f t="shared" si="1026"/>
        <v>0</v>
      </c>
      <c r="P6562" s="12">
        <f t="shared" si="1027"/>
        <v>0</v>
      </c>
      <c r="Q6562" s="17" t="str">
        <f t="shared" si="1029"/>
        <v>Pas d'écart</v>
      </c>
    </row>
    <row r="6563" spans="1:18" x14ac:dyDescent="0.3">
      <c r="A6563" s="34" t="str">
        <f>base!J6563</f>
        <v>LM</v>
      </c>
      <c r="B6563" s="34" t="str">
        <f>base!V6563</f>
        <v>45000</v>
      </c>
      <c r="C6563" s="37">
        <v>45</v>
      </c>
      <c r="D6563" s="36">
        <f>base!H6563</f>
        <v>80</v>
      </c>
      <c r="E6563" s="44"/>
      <c r="F6563" s="16">
        <f>base!W6563</f>
        <v>16.8</v>
      </c>
      <c r="G6563" s="11">
        <f t="shared" si="1020"/>
        <v>0.21000000000000002</v>
      </c>
      <c r="H6563" s="11">
        <f t="shared" si="1021"/>
        <v>16.8</v>
      </c>
      <c r="I6563" s="11">
        <f t="shared" si="1022"/>
        <v>0.21000000000000002</v>
      </c>
      <c r="J6563" s="12">
        <f t="shared" si="1023"/>
        <v>0</v>
      </c>
      <c r="K6563" s="17" t="str">
        <f t="shared" si="1028"/>
        <v>Pas d'écart</v>
      </c>
      <c r="L6563" s="16">
        <f>base!X6563</f>
        <v>0</v>
      </c>
      <c r="M6563" s="11">
        <f t="shared" si="1024"/>
        <v>0</v>
      </c>
      <c r="N6563" s="11">
        <f t="shared" si="1025"/>
        <v>9.6</v>
      </c>
      <c r="O6563" s="11">
        <f t="shared" si="1026"/>
        <v>0.12</v>
      </c>
      <c r="P6563" s="12">
        <f t="shared" si="1027"/>
        <v>-9.6</v>
      </c>
      <c r="Q6563" s="17" t="str">
        <f t="shared" si="1029"/>
        <v>Ecart négatif</v>
      </c>
    </row>
    <row r="6564" spans="1:18" x14ac:dyDescent="0.3">
      <c r="A6564" s="34" t="str">
        <f>base!J6564</f>
        <v>RM</v>
      </c>
      <c r="B6564" s="34" t="str">
        <f>base!V6564</f>
        <v>44000</v>
      </c>
      <c r="C6564" s="37">
        <v>44</v>
      </c>
      <c r="D6564" s="36">
        <f>base!H6564</f>
        <v>250</v>
      </c>
      <c r="E6564" s="44"/>
      <c r="F6564" s="16">
        <f>base!W6564</f>
        <v>0</v>
      </c>
      <c r="G6564" s="11">
        <f t="shared" si="1020"/>
        <v>0</v>
      </c>
      <c r="H6564" s="11">
        <f t="shared" si="1021"/>
        <v>67.5</v>
      </c>
      <c r="I6564" s="11">
        <f t="shared" si="1022"/>
        <v>0.27</v>
      </c>
      <c r="J6564" s="12">
        <f t="shared" si="1023"/>
        <v>-67.5</v>
      </c>
      <c r="K6564" s="17" t="str">
        <f t="shared" si="1028"/>
        <v>Ecart négatif</v>
      </c>
      <c r="L6564" s="16">
        <f>base!X6564</f>
        <v>0</v>
      </c>
      <c r="M6564" s="11">
        <f t="shared" si="1024"/>
        <v>0</v>
      </c>
      <c r="N6564" s="11">
        <f t="shared" si="1025"/>
        <v>0</v>
      </c>
      <c r="O6564" s="11">
        <f t="shared" si="1026"/>
        <v>0</v>
      </c>
      <c r="P6564" s="12">
        <f t="shared" si="1027"/>
        <v>0</v>
      </c>
      <c r="Q6564" s="17" t="str">
        <f t="shared" si="1029"/>
        <v>Pas d'écart</v>
      </c>
    </row>
    <row r="6565" spans="1:18" x14ac:dyDescent="0.3">
      <c r="A6565" s="34" t="str">
        <f>base!J6565</f>
        <v>LS</v>
      </c>
      <c r="B6565" s="34" t="str">
        <f>base!V6565</f>
        <v>69120</v>
      </c>
      <c r="C6565" s="37">
        <v>67</v>
      </c>
      <c r="D6565" s="36">
        <f>base!H6565</f>
        <v>82.64</v>
      </c>
      <c r="E6565" s="44"/>
      <c r="F6565" s="16">
        <f>base!W6565</f>
        <v>22.31</v>
      </c>
      <c r="G6565" s="11">
        <f t="shared" si="1020"/>
        <v>0.26996611810261373</v>
      </c>
      <c r="H6565" s="11">
        <f t="shared" si="1021"/>
        <v>23.965599999999998</v>
      </c>
      <c r="I6565" s="11">
        <f t="shared" si="1022"/>
        <v>0.28999999999999998</v>
      </c>
      <c r="J6565" s="12">
        <f t="shared" si="1023"/>
        <v>-1.6555999999999997</v>
      </c>
      <c r="K6565" s="17" t="str">
        <f t="shared" si="1028"/>
        <v>Ecart négatif</v>
      </c>
      <c r="L6565" s="16">
        <f>base!X6565</f>
        <v>0</v>
      </c>
      <c r="M6565" s="11">
        <f t="shared" si="1024"/>
        <v>0</v>
      </c>
      <c r="N6565" s="11">
        <f t="shared" si="1025"/>
        <v>6.6112000000000002</v>
      </c>
      <c r="O6565" s="11">
        <f t="shared" si="1026"/>
        <v>0.08</v>
      </c>
      <c r="P6565" s="12">
        <f t="shared" si="1027"/>
        <v>-6.6112000000000002</v>
      </c>
      <c r="Q6565" s="17" t="str">
        <f t="shared" si="1029"/>
        <v>Ecart négatif</v>
      </c>
    </row>
    <row r="6566" spans="1:18" x14ac:dyDescent="0.3">
      <c r="A6566" s="34" t="str">
        <f>base!J6566</f>
        <v>LS</v>
      </c>
      <c r="B6566" s="34" t="str">
        <f>base!V6566</f>
        <v>94400</v>
      </c>
      <c r="C6566" s="37">
        <v>94</v>
      </c>
      <c r="D6566" s="36">
        <f>base!H6566</f>
        <v>55.34</v>
      </c>
      <c r="E6566" s="44"/>
      <c r="F6566" s="16">
        <f>base!W6566</f>
        <v>0</v>
      </c>
      <c r="G6566" s="11">
        <f t="shared" si="1020"/>
        <v>0</v>
      </c>
      <c r="H6566" s="11">
        <f t="shared" si="1021"/>
        <v>0</v>
      </c>
      <c r="I6566" s="11">
        <f t="shared" si="1022"/>
        <v>0</v>
      </c>
      <c r="J6566" s="12">
        <f t="shared" si="1023"/>
        <v>0</v>
      </c>
      <c r="K6566" s="17" t="str">
        <f t="shared" si="1028"/>
        <v>Pas d'écart</v>
      </c>
      <c r="L6566" s="16">
        <f>base!X6566</f>
        <v>0</v>
      </c>
      <c r="M6566" s="11">
        <f t="shared" si="1024"/>
        <v>0</v>
      </c>
      <c r="N6566" s="11">
        <f t="shared" si="1025"/>
        <v>0</v>
      </c>
      <c r="O6566" s="11">
        <f t="shared" si="1026"/>
        <v>0</v>
      </c>
      <c r="P6566" s="12">
        <f t="shared" si="1027"/>
        <v>0</v>
      </c>
      <c r="Q6566" s="17" t="str">
        <f t="shared" si="1029"/>
        <v>Pas d'écart</v>
      </c>
    </row>
    <row r="6567" spans="1:18" x14ac:dyDescent="0.3">
      <c r="A6567" s="34" t="str">
        <f>base!J6567</f>
        <v>LS</v>
      </c>
      <c r="B6567" s="34" t="str">
        <f>base!V6567</f>
        <v>44323</v>
      </c>
      <c r="C6567" s="37">
        <v>44</v>
      </c>
      <c r="D6567" s="36">
        <f>base!H6567</f>
        <v>40</v>
      </c>
      <c r="E6567" s="44"/>
      <c r="F6567" s="16">
        <f>base!W6567</f>
        <v>10.8</v>
      </c>
      <c r="G6567" s="11">
        <f t="shared" si="1020"/>
        <v>0.27</v>
      </c>
      <c r="H6567" s="11">
        <f t="shared" si="1021"/>
        <v>10.8</v>
      </c>
      <c r="I6567" s="11">
        <f t="shared" si="1022"/>
        <v>0.27</v>
      </c>
      <c r="J6567" s="12">
        <f t="shared" si="1023"/>
        <v>0</v>
      </c>
      <c r="K6567" s="17" t="str">
        <f t="shared" si="1028"/>
        <v>Pas d'écart</v>
      </c>
      <c r="L6567" s="16">
        <f>base!X6567</f>
        <v>0</v>
      </c>
      <c r="M6567" s="11">
        <f t="shared" si="1024"/>
        <v>0</v>
      </c>
      <c r="N6567" s="11">
        <f t="shared" si="1025"/>
        <v>0</v>
      </c>
      <c r="O6567" s="11">
        <f t="shared" si="1026"/>
        <v>0</v>
      </c>
      <c r="P6567" s="12">
        <f t="shared" si="1027"/>
        <v>0</v>
      </c>
      <c r="Q6567" s="17" t="str">
        <f t="shared" si="1029"/>
        <v>Pas d'écart</v>
      </c>
    </row>
    <row r="6568" spans="1:18" x14ac:dyDescent="0.3">
      <c r="A6568" s="34" t="str">
        <f>base!J6568</f>
        <v>LS</v>
      </c>
      <c r="B6568" s="34" t="str">
        <f>base!V6568</f>
        <v>33300</v>
      </c>
      <c r="C6568" s="37">
        <v>33</v>
      </c>
      <c r="D6568" s="36">
        <f>base!H6568</f>
        <v>40</v>
      </c>
      <c r="E6568" s="44"/>
      <c r="F6568" s="16">
        <f>base!W6568</f>
        <v>8.4</v>
      </c>
      <c r="G6568" s="11">
        <f t="shared" si="1020"/>
        <v>0.21000000000000002</v>
      </c>
      <c r="H6568" s="11">
        <f t="shared" si="1021"/>
        <v>8.4</v>
      </c>
      <c r="I6568" s="11">
        <f t="shared" si="1022"/>
        <v>0.21000000000000002</v>
      </c>
      <c r="J6568" s="12">
        <f t="shared" si="1023"/>
        <v>0</v>
      </c>
      <c r="K6568" s="17" t="str">
        <f t="shared" si="1028"/>
        <v>Pas d'écart</v>
      </c>
      <c r="L6568" s="16">
        <f>base!X6568</f>
        <v>0</v>
      </c>
      <c r="M6568" s="11">
        <f t="shared" si="1024"/>
        <v>0</v>
      </c>
      <c r="N6568" s="11">
        <f t="shared" si="1025"/>
        <v>6.8000000000000007</v>
      </c>
      <c r="O6568" s="11">
        <f t="shared" si="1026"/>
        <v>0.17</v>
      </c>
      <c r="P6568" s="12">
        <f t="shared" si="1027"/>
        <v>-6.8000000000000007</v>
      </c>
      <c r="Q6568" s="17" t="str">
        <f t="shared" si="1029"/>
        <v>Ecart négatif</v>
      </c>
    </row>
    <row r="6569" spans="1:18" x14ac:dyDescent="0.3">
      <c r="A6569" s="34" t="str">
        <f>base!J6569</f>
        <v>LS</v>
      </c>
      <c r="B6569" s="34" t="str">
        <f>base!V6569</f>
        <v>69300</v>
      </c>
      <c r="C6569" s="37">
        <v>13</v>
      </c>
      <c r="D6569" s="36">
        <f>base!H6569</f>
        <v>190.21</v>
      </c>
      <c r="E6569" s="44"/>
      <c r="F6569" s="16">
        <f>base!W6569</f>
        <v>51.36</v>
      </c>
      <c r="G6569" s="11">
        <f t="shared" si="1020"/>
        <v>0.27001734924557069</v>
      </c>
      <c r="H6569" s="11">
        <f t="shared" si="1021"/>
        <v>55.160899999999998</v>
      </c>
      <c r="I6569" s="11">
        <f t="shared" si="1022"/>
        <v>0.28999999999999998</v>
      </c>
      <c r="J6569" s="12">
        <f t="shared" si="1023"/>
        <v>-3.8008999999999986</v>
      </c>
      <c r="K6569" s="17" t="str">
        <f t="shared" si="1028"/>
        <v>Ecart négatif</v>
      </c>
      <c r="L6569" s="16">
        <f>base!X6569</f>
        <v>0</v>
      </c>
      <c r="M6569" s="11">
        <f t="shared" si="1024"/>
        <v>0</v>
      </c>
      <c r="N6569" s="11">
        <f t="shared" si="1025"/>
        <v>36.139900000000004</v>
      </c>
      <c r="O6569" s="11">
        <f t="shared" si="1026"/>
        <v>0.19</v>
      </c>
      <c r="P6569" s="12">
        <f t="shared" si="1027"/>
        <v>-36.139900000000004</v>
      </c>
      <c r="Q6569" s="17" t="str">
        <f t="shared" si="1029"/>
        <v>Ecart négatif</v>
      </c>
    </row>
    <row r="6570" spans="1:18" x14ac:dyDescent="0.3">
      <c r="A6570" s="34" t="str">
        <f>base!J6570</f>
        <v>LM</v>
      </c>
      <c r="B6570" s="34" t="str">
        <f>base!V6570</f>
        <v>50690</v>
      </c>
      <c r="C6570" s="37">
        <v>19</v>
      </c>
      <c r="D6570" s="36">
        <f>base!H6570</f>
        <v>3.42</v>
      </c>
      <c r="E6570" s="44"/>
      <c r="F6570" s="16">
        <f>base!W6570</f>
        <v>0.57999999999999996</v>
      </c>
      <c r="G6570" s="11">
        <f t="shared" si="1020"/>
        <v>0.16959064327485379</v>
      </c>
      <c r="H6570" s="11">
        <f t="shared" si="1021"/>
        <v>0.9917999999999999</v>
      </c>
      <c r="I6570" s="11">
        <f t="shared" si="1022"/>
        <v>0.28999999999999998</v>
      </c>
      <c r="J6570" s="12">
        <f t="shared" si="1023"/>
        <v>-0.41179999999999994</v>
      </c>
      <c r="K6570" s="17" t="str">
        <f t="shared" si="1028"/>
        <v>Ecart négatif</v>
      </c>
      <c r="L6570" s="16">
        <f>base!X6570</f>
        <v>0</v>
      </c>
      <c r="M6570" s="11">
        <f t="shared" si="1024"/>
        <v>0</v>
      </c>
      <c r="N6570" s="11">
        <f t="shared" si="1025"/>
        <v>0.41039999999999999</v>
      </c>
      <c r="O6570" s="11">
        <f t="shared" si="1026"/>
        <v>0.12</v>
      </c>
      <c r="P6570" s="12">
        <f t="shared" si="1027"/>
        <v>-0.41039999999999999</v>
      </c>
      <c r="Q6570" s="17" t="str">
        <f t="shared" si="1029"/>
        <v>Ecart négatif</v>
      </c>
    </row>
    <row r="6571" spans="1:18" x14ac:dyDescent="0.3">
      <c r="A6571" s="34" t="str">
        <f>base!J6571</f>
        <v>LS</v>
      </c>
      <c r="B6571" s="34" t="str">
        <f>base!V6571</f>
        <v>86220</v>
      </c>
      <c r="C6571" s="37">
        <v>84</v>
      </c>
      <c r="D6571" s="36">
        <f>base!H6571</f>
        <v>19.8</v>
      </c>
      <c r="E6571" s="44"/>
      <c r="F6571" s="16">
        <f>base!W6571</f>
        <v>4.16</v>
      </c>
      <c r="G6571" s="11">
        <f t="shared" si="1020"/>
        <v>0.21010101010101009</v>
      </c>
      <c r="H6571" s="11">
        <f t="shared" si="1021"/>
        <v>5.742</v>
      </c>
      <c r="I6571" s="11">
        <f t="shared" si="1022"/>
        <v>0.28999999999999998</v>
      </c>
      <c r="J6571" s="12">
        <f t="shared" si="1023"/>
        <v>-1.5819999999999999</v>
      </c>
      <c r="K6571" s="17" t="str">
        <f t="shared" si="1028"/>
        <v>Ecart négatif</v>
      </c>
      <c r="L6571" s="16">
        <f>base!X6571</f>
        <v>0</v>
      </c>
      <c r="M6571" s="11">
        <f t="shared" si="1024"/>
        <v>0</v>
      </c>
      <c r="N6571" s="11">
        <f t="shared" si="1025"/>
        <v>3.762</v>
      </c>
      <c r="O6571" s="11">
        <f t="shared" si="1026"/>
        <v>0.19</v>
      </c>
      <c r="P6571" s="12">
        <f t="shared" si="1027"/>
        <v>-3.762</v>
      </c>
      <c r="Q6571" s="17" t="str">
        <f t="shared" si="1029"/>
        <v>Ecart négatif</v>
      </c>
    </row>
    <row r="6572" spans="1:18" x14ac:dyDescent="0.3">
      <c r="A6572" s="34" t="str">
        <f>base!J6572</f>
        <v>RS</v>
      </c>
      <c r="B6572" s="34" t="str">
        <f>base!V6572</f>
        <v>66000</v>
      </c>
      <c r="C6572" s="37">
        <v>66</v>
      </c>
      <c r="D6572" s="36">
        <f>base!H6572</f>
        <v>151</v>
      </c>
      <c r="E6572" s="44"/>
      <c r="F6572" s="16">
        <f>base!W6572</f>
        <v>0</v>
      </c>
      <c r="G6572" s="11">
        <f t="shared" si="1020"/>
        <v>0</v>
      </c>
      <c r="H6572" s="11">
        <f t="shared" si="1021"/>
        <v>51.34</v>
      </c>
      <c r="I6572" s="11">
        <f t="shared" si="1022"/>
        <v>0.34</v>
      </c>
      <c r="J6572" s="12">
        <f t="shared" si="1023"/>
        <v>-51.34</v>
      </c>
      <c r="K6572" s="17" t="str">
        <f t="shared" si="1028"/>
        <v>Ecart négatif</v>
      </c>
      <c r="L6572" s="16">
        <f>base!X6572</f>
        <v>42.28</v>
      </c>
      <c r="M6572" s="11">
        <f t="shared" si="1024"/>
        <v>0.28000000000000003</v>
      </c>
      <c r="N6572" s="11">
        <f t="shared" si="1025"/>
        <v>42.28</v>
      </c>
      <c r="O6572" s="11">
        <f t="shared" si="1026"/>
        <v>0.28000000000000003</v>
      </c>
      <c r="P6572" s="12">
        <f t="shared" si="1027"/>
        <v>0</v>
      </c>
      <c r="Q6572" s="17" t="str">
        <f t="shared" si="1029"/>
        <v>Pas d'écart</v>
      </c>
      <c r="R6572" s="38"/>
    </row>
    <row r="6573" spans="1:18" x14ac:dyDescent="0.3">
      <c r="A6573" s="34" t="str">
        <f>base!J6573</f>
        <v>RM</v>
      </c>
      <c r="B6573" s="34" t="str">
        <f>base!V6573</f>
        <v>59260</v>
      </c>
      <c r="C6573" s="37">
        <v>59</v>
      </c>
      <c r="D6573" s="36">
        <f>base!H6573</f>
        <v>137.80000000000001</v>
      </c>
      <c r="E6573" s="44"/>
      <c r="F6573" s="16">
        <f>base!W6573</f>
        <v>0</v>
      </c>
      <c r="G6573" s="11">
        <f t="shared" si="1020"/>
        <v>0</v>
      </c>
      <c r="H6573" s="11">
        <f t="shared" si="1021"/>
        <v>26.182000000000002</v>
      </c>
      <c r="I6573" s="11">
        <f t="shared" si="1022"/>
        <v>0.19</v>
      </c>
      <c r="J6573" s="12">
        <f t="shared" si="1023"/>
        <v>-26.182000000000002</v>
      </c>
      <c r="K6573" s="17" t="str">
        <f t="shared" si="1028"/>
        <v>Ecart négatif</v>
      </c>
      <c r="L6573" s="16">
        <f>base!X6573</f>
        <v>0</v>
      </c>
      <c r="M6573" s="11">
        <f t="shared" si="1024"/>
        <v>0</v>
      </c>
      <c r="N6573" s="11">
        <f t="shared" si="1025"/>
        <v>0</v>
      </c>
      <c r="O6573" s="11">
        <f t="shared" si="1026"/>
        <v>0</v>
      </c>
      <c r="P6573" s="12">
        <f t="shared" si="1027"/>
        <v>0</v>
      </c>
      <c r="Q6573" s="17" t="str">
        <f t="shared" si="1029"/>
        <v>Pas d'écart</v>
      </c>
    </row>
    <row r="6574" spans="1:18" x14ac:dyDescent="0.3">
      <c r="A6574" s="34">
        <f>base!J6574</f>
        <v>0</v>
      </c>
      <c r="B6574" s="34" t="str">
        <f>base!V6574</f>
        <v>77184</v>
      </c>
      <c r="C6574" s="37">
        <v>77</v>
      </c>
      <c r="D6574" s="36">
        <f>base!H6574</f>
        <v>171</v>
      </c>
      <c r="E6574" s="44"/>
      <c r="F6574" s="16">
        <f>base!W6574</f>
        <v>0</v>
      </c>
      <c r="G6574" s="11">
        <f t="shared" si="1020"/>
        <v>0</v>
      </c>
      <c r="H6574" s="11">
        <f t="shared" si="1021"/>
        <v>0</v>
      </c>
      <c r="I6574" s="11">
        <f t="shared" si="1022"/>
        <v>0</v>
      </c>
      <c r="J6574" s="12">
        <f t="shared" si="1023"/>
        <v>0</v>
      </c>
      <c r="K6574" s="17" t="str">
        <f t="shared" si="1028"/>
        <v>Pas d'écart</v>
      </c>
      <c r="L6574" s="16">
        <f>base!X6574</f>
        <v>0</v>
      </c>
      <c r="M6574" s="11">
        <f t="shared" si="1024"/>
        <v>0</v>
      </c>
      <c r="N6574" s="11">
        <f t="shared" si="1025"/>
        <v>0</v>
      </c>
      <c r="O6574" s="11">
        <f t="shared" si="1026"/>
        <v>0</v>
      </c>
      <c r="P6574" s="12">
        <f t="shared" si="1027"/>
        <v>0</v>
      </c>
      <c r="Q6574" s="17" t="str">
        <f t="shared" si="1029"/>
        <v>Pas d'écart</v>
      </c>
    </row>
    <row r="6575" spans="1:18" x14ac:dyDescent="0.3">
      <c r="A6575" s="34" t="str">
        <f>base!J6575</f>
        <v>LM</v>
      </c>
      <c r="B6575" s="34" t="str">
        <f>base!V6575</f>
        <v>62500</v>
      </c>
      <c r="C6575" s="37">
        <v>63</v>
      </c>
      <c r="D6575" s="36">
        <f>base!H6575</f>
        <v>19.8</v>
      </c>
      <c r="E6575" s="44"/>
      <c r="F6575" s="16">
        <f>base!W6575</f>
        <v>3.76</v>
      </c>
      <c r="G6575" s="11">
        <f t="shared" si="1020"/>
        <v>0.18989898989898987</v>
      </c>
      <c r="H6575" s="11">
        <f t="shared" si="1021"/>
        <v>5.742</v>
      </c>
      <c r="I6575" s="11">
        <f t="shared" si="1022"/>
        <v>0.28999999999999998</v>
      </c>
      <c r="J6575" s="12">
        <f t="shared" si="1023"/>
        <v>-1.9820000000000002</v>
      </c>
      <c r="K6575" s="17" t="str">
        <f t="shared" si="1028"/>
        <v>Ecart négatif</v>
      </c>
      <c r="L6575" s="16">
        <f>base!X6575</f>
        <v>0</v>
      </c>
      <c r="M6575" s="11">
        <f t="shared" si="1024"/>
        <v>0</v>
      </c>
      <c r="N6575" s="11">
        <f t="shared" si="1025"/>
        <v>2.3759999999999999</v>
      </c>
      <c r="O6575" s="11">
        <f t="shared" si="1026"/>
        <v>0.12</v>
      </c>
      <c r="P6575" s="12">
        <f t="shared" si="1027"/>
        <v>-2.3759999999999999</v>
      </c>
      <c r="Q6575" s="17" t="str">
        <f t="shared" si="1029"/>
        <v>Ecart négatif</v>
      </c>
    </row>
    <row r="6576" spans="1:18" x14ac:dyDescent="0.3">
      <c r="A6576" s="34" t="str">
        <f>base!J6576</f>
        <v>LS</v>
      </c>
      <c r="B6576" s="34" t="str">
        <f>base!V6576</f>
        <v>60290</v>
      </c>
      <c r="C6576" s="37">
        <v>13</v>
      </c>
      <c r="D6576" s="36">
        <f>base!H6576</f>
        <v>19.8</v>
      </c>
      <c r="E6576" s="44"/>
      <c r="F6576" s="16">
        <f>base!W6576</f>
        <v>3.76</v>
      </c>
      <c r="G6576" s="11">
        <f t="shared" si="1020"/>
        <v>0.18989898989898987</v>
      </c>
      <c r="H6576" s="11">
        <f t="shared" si="1021"/>
        <v>5.742</v>
      </c>
      <c r="I6576" s="11">
        <f t="shared" si="1022"/>
        <v>0.28999999999999998</v>
      </c>
      <c r="J6576" s="12">
        <f t="shared" si="1023"/>
        <v>-1.9820000000000002</v>
      </c>
      <c r="K6576" s="17" t="str">
        <f t="shared" si="1028"/>
        <v>Ecart négatif</v>
      </c>
      <c r="L6576" s="16">
        <f>base!X6576</f>
        <v>0</v>
      </c>
      <c r="M6576" s="11">
        <f t="shared" si="1024"/>
        <v>0</v>
      </c>
      <c r="N6576" s="11">
        <f t="shared" si="1025"/>
        <v>3.762</v>
      </c>
      <c r="O6576" s="11">
        <f t="shared" si="1026"/>
        <v>0.19</v>
      </c>
      <c r="P6576" s="12">
        <f t="shared" si="1027"/>
        <v>-3.762</v>
      </c>
      <c r="Q6576" s="17" t="str">
        <f t="shared" si="1029"/>
        <v>Ecart négatif</v>
      </c>
    </row>
    <row r="6577" spans="1:17" x14ac:dyDescent="0.3">
      <c r="A6577" s="34" t="str">
        <f>base!J6577</f>
        <v>LM</v>
      </c>
      <c r="B6577" s="34" t="str">
        <f>base!V6577</f>
        <v>62380</v>
      </c>
      <c r="C6577" s="37">
        <v>13</v>
      </c>
      <c r="D6577" s="36">
        <f>base!H6577</f>
        <v>19.8</v>
      </c>
      <c r="E6577" s="44"/>
      <c r="F6577" s="16">
        <f>base!W6577</f>
        <v>3.76</v>
      </c>
      <c r="G6577" s="11">
        <f t="shared" si="1020"/>
        <v>0.18989898989898987</v>
      </c>
      <c r="H6577" s="11">
        <f t="shared" si="1021"/>
        <v>5.742</v>
      </c>
      <c r="I6577" s="11">
        <f t="shared" si="1022"/>
        <v>0.28999999999999998</v>
      </c>
      <c r="J6577" s="12">
        <f t="shared" si="1023"/>
        <v>-1.9820000000000002</v>
      </c>
      <c r="K6577" s="17" t="str">
        <f t="shared" si="1028"/>
        <v>Ecart négatif</v>
      </c>
      <c r="L6577" s="16">
        <f>base!X6577</f>
        <v>0</v>
      </c>
      <c r="M6577" s="11">
        <f t="shared" si="1024"/>
        <v>0</v>
      </c>
      <c r="N6577" s="11">
        <f t="shared" si="1025"/>
        <v>3.762</v>
      </c>
      <c r="O6577" s="11">
        <f t="shared" si="1026"/>
        <v>0.19</v>
      </c>
      <c r="P6577" s="12">
        <f t="shared" si="1027"/>
        <v>-3.762</v>
      </c>
      <c r="Q6577" s="17" t="str">
        <f t="shared" si="1029"/>
        <v>Ecart négatif</v>
      </c>
    </row>
    <row r="6578" spans="1:17" x14ac:dyDescent="0.3">
      <c r="A6578" s="34" t="str">
        <f>base!J6578</f>
        <v>LM</v>
      </c>
      <c r="B6578" s="34" t="str">
        <f>base!V6578</f>
        <v>38590</v>
      </c>
      <c r="C6578" s="37">
        <v>6</v>
      </c>
      <c r="D6578" s="36">
        <f>base!H6578</f>
        <v>25.8</v>
      </c>
      <c r="E6578" s="44"/>
      <c r="F6578" s="16">
        <f>base!W6578</f>
        <v>6.97</v>
      </c>
      <c r="G6578" s="11">
        <f t="shared" si="1020"/>
        <v>0.27015503875968988</v>
      </c>
      <c r="H6578" s="11">
        <f t="shared" si="1021"/>
        <v>7.74</v>
      </c>
      <c r="I6578" s="11">
        <f t="shared" si="1022"/>
        <v>0.3</v>
      </c>
      <c r="J6578" s="12">
        <f t="shared" si="1023"/>
        <v>-0.77000000000000046</v>
      </c>
      <c r="K6578" s="17" t="str">
        <f t="shared" si="1028"/>
        <v>Ecart négatif</v>
      </c>
      <c r="L6578" s="16">
        <f>base!X6578</f>
        <v>0</v>
      </c>
      <c r="M6578" s="11">
        <f t="shared" si="1024"/>
        <v>0</v>
      </c>
      <c r="N6578" s="11">
        <f t="shared" si="1025"/>
        <v>5.4180000000000001</v>
      </c>
      <c r="O6578" s="11">
        <f t="shared" si="1026"/>
        <v>0.21</v>
      </c>
      <c r="P6578" s="12">
        <f t="shared" si="1027"/>
        <v>-5.4180000000000001</v>
      </c>
      <c r="Q6578" s="17" t="str">
        <f t="shared" si="1029"/>
        <v>Ecart négatif</v>
      </c>
    </row>
    <row r="6579" spans="1:17" x14ac:dyDescent="0.3">
      <c r="A6579" s="34" t="str">
        <f>base!J6579</f>
        <v>LS</v>
      </c>
      <c r="B6579" s="34" t="str">
        <f>base!V6579</f>
        <v>38590</v>
      </c>
      <c r="C6579" s="37">
        <v>67</v>
      </c>
      <c r="D6579" s="36">
        <f>base!H6579</f>
        <v>25.8</v>
      </c>
      <c r="E6579" s="44"/>
      <c r="F6579" s="16">
        <f>base!W6579</f>
        <v>6.97</v>
      </c>
      <c r="G6579" s="11">
        <f t="shared" si="1020"/>
        <v>0.27015503875968988</v>
      </c>
      <c r="H6579" s="11">
        <f t="shared" si="1021"/>
        <v>7.4819999999999993</v>
      </c>
      <c r="I6579" s="11">
        <f t="shared" si="1022"/>
        <v>0.28999999999999998</v>
      </c>
      <c r="J6579" s="12">
        <f t="shared" si="1023"/>
        <v>-0.51199999999999957</v>
      </c>
      <c r="K6579" s="17" t="str">
        <f t="shared" si="1028"/>
        <v>Ecart négatif</v>
      </c>
      <c r="L6579" s="16">
        <f>base!X6579</f>
        <v>0</v>
      </c>
      <c r="M6579" s="11">
        <f t="shared" si="1024"/>
        <v>0</v>
      </c>
      <c r="N6579" s="11">
        <f t="shared" si="1025"/>
        <v>2.0640000000000001</v>
      </c>
      <c r="O6579" s="11">
        <f t="shared" si="1026"/>
        <v>0.08</v>
      </c>
      <c r="P6579" s="12">
        <f t="shared" si="1027"/>
        <v>-2.0640000000000001</v>
      </c>
      <c r="Q6579" s="17" t="str">
        <f t="shared" si="1029"/>
        <v>Ecart négatif</v>
      </c>
    </row>
    <row r="6580" spans="1:17" x14ac:dyDescent="0.3">
      <c r="A6580" s="34" t="str">
        <f>base!J6580</f>
        <v>DLM</v>
      </c>
      <c r="B6580" s="34" t="str">
        <f>base!V6580</f>
        <v>59200</v>
      </c>
      <c r="C6580" s="37">
        <v>59</v>
      </c>
      <c r="D6580" s="36">
        <f>base!H6580</f>
        <v>120</v>
      </c>
      <c r="E6580" s="44"/>
      <c r="F6580" s="16">
        <f>base!W6580</f>
        <v>0</v>
      </c>
      <c r="G6580" s="11">
        <f t="shared" si="1020"/>
        <v>0</v>
      </c>
      <c r="H6580" s="11">
        <f t="shared" si="1021"/>
        <v>22.8</v>
      </c>
      <c r="I6580" s="11">
        <f t="shared" si="1022"/>
        <v>0.19</v>
      </c>
      <c r="J6580" s="12">
        <f t="shared" si="1023"/>
        <v>-22.8</v>
      </c>
      <c r="K6580" s="17" t="str">
        <f t="shared" si="1028"/>
        <v>Ecart négatif</v>
      </c>
      <c r="L6580" s="16">
        <f>base!X6580</f>
        <v>34.799999999999997</v>
      </c>
      <c r="M6580" s="11">
        <f t="shared" si="1024"/>
        <v>0.28999999999999998</v>
      </c>
      <c r="N6580" s="11">
        <f t="shared" si="1025"/>
        <v>0</v>
      </c>
      <c r="O6580" s="11">
        <f t="shared" si="1026"/>
        <v>0</v>
      </c>
      <c r="P6580" s="12">
        <f t="shared" si="1027"/>
        <v>34.799999999999997</v>
      </c>
      <c r="Q6580" s="17" t="str">
        <f t="shared" si="1029"/>
        <v>Ecart positif</v>
      </c>
    </row>
    <row r="6581" spans="1:17" x14ac:dyDescent="0.3">
      <c r="A6581" s="34" t="str">
        <f>base!J6581</f>
        <v>RM</v>
      </c>
      <c r="B6581" s="34" t="str">
        <f>base!V6581</f>
        <v>69005</v>
      </c>
      <c r="C6581" s="37">
        <v>69</v>
      </c>
      <c r="D6581" s="36">
        <f>base!H6581</f>
        <v>151</v>
      </c>
      <c r="E6581" s="44"/>
      <c r="F6581" s="16">
        <f>base!W6581</f>
        <v>0</v>
      </c>
      <c r="G6581" s="11">
        <f t="shared" si="1020"/>
        <v>0</v>
      </c>
      <c r="H6581" s="11">
        <f t="shared" si="1021"/>
        <v>40.770000000000003</v>
      </c>
      <c r="I6581" s="11">
        <f t="shared" si="1022"/>
        <v>0.27</v>
      </c>
      <c r="J6581" s="12">
        <f t="shared" si="1023"/>
        <v>-40.770000000000003</v>
      </c>
      <c r="K6581" s="17" t="str">
        <f t="shared" si="1028"/>
        <v>Ecart négatif</v>
      </c>
      <c r="L6581" s="16">
        <f>base!X6581</f>
        <v>0</v>
      </c>
      <c r="M6581" s="11">
        <f t="shared" si="1024"/>
        <v>0</v>
      </c>
      <c r="N6581" s="11">
        <f t="shared" si="1025"/>
        <v>0</v>
      </c>
      <c r="O6581" s="11">
        <f t="shared" si="1026"/>
        <v>0</v>
      </c>
      <c r="P6581" s="12">
        <f t="shared" si="1027"/>
        <v>0</v>
      </c>
      <c r="Q6581" s="17" t="str">
        <f t="shared" si="1029"/>
        <v>Pas d'écart</v>
      </c>
    </row>
    <row r="6582" spans="1:17" x14ac:dyDescent="0.3">
      <c r="A6582" s="34" t="str">
        <f>base!J6582</f>
        <v>LS</v>
      </c>
      <c r="B6582" s="34" t="str">
        <f>base!V6582</f>
        <v>45100</v>
      </c>
      <c r="C6582" s="37">
        <v>68</v>
      </c>
      <c r="D6582" s="36">
        <f>base!H6582</f>
        <v>143.99</v>
      </c>
      <c r="E6582" s="44"/>
      <c r="F6582" s="16">
        <f>base!W6582</f>
        <v>30.24</v>
      </c>
      <c r="G6582" s="11">
        <f t="shared" si="1020"/>
        <v>0.21001458434613512</v>
      </c>
      <c r="H6582" s="11">
        <f t="shared" si="1021"/>
        <v>41.757100000000001</v>
      </c>
      <c r="I6582" s="11">
        <f t="shared" si="1022"/>
        <v>0.28999999999999998</v>
      </c>
      <c r="J6582" s="12">
        <f t="shared" si="1023"/>
        <v>-11.517100000000003</v>
      </c>
      <c r="K6582" s="17" t="str">
        <f t="shared" si="1028"/>
        <v>Ecart négatif</v>
      </c>
      <c r="L6582" s="16">
        <f>base!X6582</f>
        <v>0</v>
      </c>
      <c r="M6582" s="11">
        <f t="shared" si="1024"/>
        <v>0</v>
      </c>
      <c r="N6582" s="11">
        <f t="shared" si="1025"/>
        <v>11.519200000000001</v>
      </c>
      <c r="O6582" s="11">
        <f t="shared" si="1026"/>
        <v>0.08</v>
      </c>
      <c r="P6582" s="12">
        <f t="shared" si="1027"/>
        <v>-11.519200000000001</v>
      </c>
      <c r="Q6582" s="17" t="str">
        <f t="shared" si="1029"/>
        <v>Ecart négatif</v>
      </c>
    </row>
    <row r="6583" spans="1:17" x14ac:dyDescent="0.3">
      <c r="A6583" s="34" t="str">
        <f>base!J6583</f>
        <v>LM</v>
      </c>
      <c r="B6583" s="34" t="str">
        <f>base!V6583</f>
        <v>01500</v>
      </c>
      <c r="C6583" s="37">
        <v>68</v>
      </c>
      <c r="D6583" s="36">
        <f>base!H6583</f>
        <v>120.29</v>
      </c>
      <c r="E6583" s="44"/>
      <c r="F6583" s="16">
        <f>base!W6583</f>
        <v>32.479999999999997</v>
      </c>
      <c r="G6583" s="11">
        <f t="shared" si="1020"/>
        <v>0.27001413251309331</v>
      </c>
      <c r="H6583" s="11">
        <f t="shared" si="1021"/>
        <v>34.884099999999997</v>
      </c>
      <c r="I6583" s="11">
        <f t="shared" si="1022"/>
        <v>0.28999999999999998</v>
      </c>
      <c r="J6583" s="12">
        <f t="shared" si="1023"/>
        <v>-2.4040999999999997</v>
      </c>
      <c r="K6583" s="17" t="str">
        <f t="shared" si="1028"/>
        <v>Ecart négatif</v>
      </c>
      <c r="L6583" s="16">
        <f>base!X6583</f>
        <v>0</v>
      </c>
      <c r="M6583" s="11">
        <f t="shared" si="1024"/>
        <v>0</v>
      </c>
      <c r="N6583" s="11">
        <f t="shared" si="1025"/>
        <v>9.6232000000000006</v>
      </c>
      <c r="O6583" s="11">
        <f t="shared" si="1026"/>
        <v>0.08</v>
      </c>
      <c r="P6583" s="12">
        <f t="shared" si="1027"/>
        <v>-9.6232000000000006</v>
      </c>
      <c r="Q6583" s="17" t="str">
        <f t="shared" si="1029"/>
        <v>Ecart négatif</v>
      </c>
    </row>
    <row r="6584" spans="1:17" x14ac:dyDescent="0.3">
      <c r="A6584" s="34" t="str">
        <f>base!J6584</f>
        <v>LS</v>
      </c>
      <c r="B6584" s="34" t="str">
        <f>base!V6584</f>
        <v>59193</v>
      </c>
      <c r="C6584" s="37">
        <v>84</v>
      </c>
      <c r="D6584" s="36">
        <f>base!H6584</f>
        <v>24.35</v>
      </c>
      <c r="E6584" s="44"/>
      <c r="F6584" s="16">
        <f>base!W6584</f>
        <v>4.63</v>
      </c>
      <c r="G6584" s="11">
        <f t="shared" si="1020"/>
        <v>0.19014373716632443</v>
      </c>
      <c r="H6584" s="11">
        <f t="shared" si="1021"/>
        <v>7.0614999999999997</v>
      </c>
      <c r="I6584" s="11">
        <f t="shared" si="1022"/>
        <v>0.28999999999999998</v>
      </c>
      <c r="J6584" s="12">
        <f t="shared" si="1023"/>
        <v>-2.4314999999999998</v>
      </c>
      <c r="K6584" s="17" t="str">
        <f t="shared" si="1028"/>
        <v>Ecart négatif</v>
      </c>
      <c r="L6584" s="16">
        <f>base!X6584</f>
        <v>0</v>
      </c>
      <c r="M6584" s="11">
        <f t="shared" si="1024"/>
        <v>0</v>
      </c>
      <c r="N6584" s="11">
        <f t="shared" si="1025"/>
        <v>4.6265000000000001</v>
      </c>
      <c r="O6584" s="11">
        <f t="shared" si="1026"/>
        <v>0.19</v>
      </c>
      <c r="P6584" s="12">
        <f t="shared" si="1027"/>
        <v>-4.6265000000000001</v>
      </c>
      <c r="Q6584" s="17" t="str">
        <f t="shared" si="1029"/>
        <v>Ecart négatif</v>
      </c>
    </row>
    <row r="6585" spans="1:17" x14ac:dyDescent="0.3">
      <c r="A6585" s="34" t="str">
        <f>base!J6585</f>
        <v>RM</v>
      </c>
      <c r="B6585" s="34" t="str">
        <f>base!V6585</f>
        <v>59000</v>
      </c>
      <c r="C6585" s="37">
        <v>59</v>
      </c>
      <c r="D6585" s="36">
        <f>base!H6585</f>
        <v>201.52</v>
      </c>
      <c r="E6585" s="44"/>
      <c r="F6585" s="16">
        <f>base!W6585</f>
        <v>0</v>
      </c>
      <c r="G6585" s="11">
        <f t="shared" si="1020"/>
        <v>0</v>
      </c>
      <c r="H6585" s="11">
        <f t="shared" si="1021"/>
        <v>38.288800000000002</v>
      </c>
      <c r="I6585" s="11">
        <f t="shared" si="1022"/>
        <v>0.19</v>
      </c>
      <c r="J6585" s="12">
        <f t="shared" si="1023"/>
        <v>-38.288800000000002</v>
      </c>
      <c r="K6585" s="17" t="str">
        <f t="shared" si="1028"/>
        <v>Ecart négatif</v>
      </c>
      <c r="L6585" s="16">
        <f>base!X6585</f>
        <v>0</v>
      </c>
      <c r="M6585" s="11">
        <f t="shared" si="1024"/>
        <v>0</v>
      </c>
      <c r="N6585" s="11">
        <f t="shared" si="1025"/>
        <v>0</v>
      </c>
      <c r="O6585" s="11">
        <f t="shared" si="1026"/>
        <v>0</v>
      </c>
      <c r="P6585" s="12">
        <f t="shared" si="1027"/>
        <v>0</v>
      </c>
      <c r="Q6585" s="17" t="str">
        <f t="shared" si="1029"/>
        <v>Pas d'écart</v>
      </c>
    </row>
    <row r="6586" spans="1:17" x14ac:dyDescent="0.3">
      <c r="A6586" s="34">
        <f>base!J6586</f>
        <v>0</v>
      </c>
      <c r="B6586" s="34" t="str">
        <f>base!V6586</f>
        <v>77184</v>
      </c>
      <c r="C6586" s="37">
        <v>77</v>
      </c>
      <c r="D6586" s="36">
        <f>base!H6586</f>
        <v>137</v>
      </c>
      <c r="E6586" s="44"/>
      <c r="F6586" s="16">
        <f>base!W6586</f>
        <v>0</v>
      </c>
      <c r="G6586" s="11">
        <f t="shared" si="1020"/>
        <v>0</v>
      </c>
      <c r="H6586" s="11">
        <f t="shared" si="1021"/>
        <v>0</v>
      </c>
      <c r="I6586" s="11">
        <f t="shared" si="1022"/>
        <v>0</v>
      </c>
      <c r="J6586" s="12">
        <f t="shared" si="1023"/>
        <v>0</v>
      </c>
      <c r="K6586" s="17" t="str">
        <f t="shared" si="1028"/>
        <v>Pas d'écart</v>
      </c>
      <c r="L6586" s="16">
        <f>base!X6586</f>
        <v>0</v>
      </c>
      <c r="M6586" s="11">
        <f t="shared" si="1024"/>
        <v>0</v>
      </c>
      <c r="N6586" s="11">
        <f t="shared" si="1025"/>
        <v>0</v>
      </c>
      <c r="O6586" s="11">
        <f t="shared" si="1026"/>
        <v>0</v>
      </c>
      <c r="P6586" s="12">
        <f t="shared" si="1027"/>
        <v>0</v>
      </c>
      <c r="Q6586" s="17" t="str">
        <f t="shared" si="1029"/>
        <v>Pas d'écart</v>
      </c>
    </row>
    <row r="6587" spans="1:17" x14ac:dyDescent="0.3">
      <c r="A6587" s="34">
        <f>base!J6587</f>
        <v>0</v>
      </c>
      <c r="B6587" s="34" t="str">
        <f>base!V6587</f>
        <v>77184</v>
      </c>
      <c r="C6587" s="37">
        <v>77</v>
      </c>
      <c r="D6587" s="36">
        <f>base!H6587</f>
        <v>139</v>
      </c>
      <c r="E6587" s="44"/>
      <c r="F6587" s="16">
        <f>base!W6587</f>
        <v>0</v>
      </c>
      <c r="G6587" s="11">
        <f t="shared" si="1020"/>
        <v>0</v>
      </c>
      <c r="H6587" s="11">
        <f t="shared" si="1021"/>
        <v>0</v>
      </c>
      <c r="I6587" s="11">
        <f t="shared" si="1022"/>
        <v>0</v>
      </c>
      <c r="J6587" s="12">
        <f t="shared" si="1023"/>
        <v>0</v>
      </c>
      <c r="K6587" s="17" t="str">
        <f t="shared" si="1028"/>
        <v>Pas d'écart</v>
      </c>
      <c r="L6587" s="16">
        <f>base!X6587</f>
        <v>0</v>
      </c>
      <c r="M6587" s="11">
        <f t="shared" si="1024"/>
        <v>0</v>
      </c>
      <c r="N6587" s="11">
        <f t="shared" si="1025"/>
        <v>0</v>
      </c>
      <c r="O6587" s="11">
        <f t="shared" si="1026"/>
        <v>0</v>
      </c>
      <c r="P6587" s="12">
        <f t="shared" si="1027"/>
        <v>0</v>
      </c>
      <c r="Q6587" s="17" t="str">
        <f t="shared" si="1029"/>
        <v>Pas d'écart</v>
      </c>
    </row>
    <row r="6588" spans="1:17" x14ac:dyDescent="0.3">
      <c r="A6588" s="34" t="str">
        <f>base!J6588</f>
        <v>LS</v>
      </c>
      <c r="B6588" s="34" t="str">
        <f>base!V6588</f>
        <v>34270</v>
      </c>
      <c r="C6588" s="37">
        <v>87</v>
      </c>
      <c r="D6588" s="36">
        <f>base!H6588</f>
        <v>127.01</v>
      </c>
      <c r="E6588" s="44"/>
      <c r="F6588" s="16">
        <f>base!W6588</f>
        <v>49.53</v>
      </c>
      <c r="G6588" s="11">
        <f t="shared" si="1020"/>
        <v>0.38996929375639711</v>
      </c>
      <c r="H6588" s="11">
        <f t="shared" si="1021"/>
        <v>35.562800000000003</v>
      </c>
      <c r="I6588" s="11">
        <f t="shared" si="1022"/>
        <v>0.28000000000000003</v>
      </c>
      <c r="J6588" s="12">
        <f t="shared" si="1023"/>
        <v>13.967199999999998</v>
      </c>
      <c r="K6588" s="17" t="str">
        <f t="shared" si="1028"/>
        <v>Ecart positif</v>
      </c>
      <c r="L6588" s="16">
        <f>base!X6588</f>
        <v>0</v>
      </c>
      <c r="M6588" s="11">
        <f t="shared" si="1024"/>
        <v>0</v>
      </c>
      <c r="N6588" s="11">
        <f t="shared" si="1025"/>
        <v>15.241199999999999</v>
      </c>
      <c r="O6588" s="11">
        <f t="shared" si="1026"/>
        <v>0.12</v>
      </c>
      <c r="P6588" s="12">
        <f t="shared" si="1027"/>
        <v>-15.241199999999999</v>
      </c>
      <c r="Q6588" s="17" t="str">
        <f t="shared" si="1029"/>
        <v>Ecart négatif</v>
      </c>
    </row>
    <row r="6589" spans="1:17" x14ac:dyDescent="0.3">
      <c r="A6589" s="34" t="str">
        <f>base!J6589</f>
        <v>LS</v>
      </c>
      <c r="B6589" s="34" t="str">
        <f>base!V6589</f>
        <v>86100</v>
      </c>
      <c r="C6589" s="37">
        <v>13</v>
      </c>
      <c r="D6589" s="36">
        <f>base!H6589</f>
        <v>55.22</v>
      </c>
      <c r="E6589" s="44"/>
      <c r="F6589" s="16">
        <f>base!W6589</f>
        <v>11.6</v>
      </c>
      <c r="G6589" s="11">
        <f t="shared" si="1020"/>
        <v>0.2100688156465049</v>
      </c>
      <c r="H6589" s="11">
        <f t="shared" si="1021"/>
        <v>16.0138</v>
      </c>
      <c r="I6589" s="11">
        <f t="shared" si="1022"/>
        <v>0.28999999999999998</v>
      </c>
      <c r="J6589" s="12">
        <f t="shared" si="1023"/>
        <v>-4.4138000000000002</v>
      </c>
      <c r="K6589" s="17" t="str">
        <f t="shared" si="1028"/>
        <v>Ecart négatif</v>
      </c>
      <c r="L6589" s="16">
        <f>base!X6589</f>
        <v>0</v>
      </c>
      <c r="M6589" s="11">
        <f t="shared" si="1024"/>
        <v>0</v>
      </c>
      <c r="N6589" s="11">
        <f t="shared" si="1025"/>
        <v>10.4918</v>
      </c>
      <c r="O6589" s="11">
        <f t="shared" si="1026"/>
        <v>0.19</v>
      </c>
      <c r="P6589" s="12">
        <f t="shared" si="1027"/>
        <v>-10.4918</v>
      </c>
      <c r="Q6589" s="17" t="str">
        <f t="shared" si="1029"/>
        <v>Ecart négatif</v>
      </c>
    </row>
    <row r="6590" spans="1:17" x14ac:dyDescent="0.3">
      <c r="A6590" s="34" t="str">
        <f>base!J6590</f>
        <v>LM</v>
      </c>
      <c r="B6590" s="34" t="str">
        <f>base!V6590</f>
        <v>69005</v>
      </c>
      <c r="C6590" s="37">
        <v>67</v>
      </c>
      <c r="D6590" s="36">
        <f>base!H6590</f>
        <v>33.35</v>
      </c>
      <c r="E6590" s="44"/>
      <c r="F6590" s="16">
        <f>base!W6590</f>
        <v>9</v>
      </c>
      <c r="G6590" s="11">
        <f t="shared" si="1020"/>
        <v>0.26986506746626687</v>
      </c>
      <c r="H6590" s="11">
        <f t="shared" si="1021"/>
        <v>9.6715</v>
      </c>
      <c r="I6590" s="11">
        <f t="shared" si="1022"/>
        <v>0.28999999999999998</v>
      </c>
      <c r="J6590" s="12">
        <f t="shared" si="1023"/>
        <v>-0.67149999999999999</v>
      </c>
      <c r="K6590" s="17" t="str">
        <f t="shared" si="1028"/>
        <v>Ecart négatif</v>
      </c>
      <c r="L6590" s="16">
        <f>base!X6590</f>
        <v>0</v>
      </c>
      <c r="M6590" s="11">
        <f t="shared" si="1024"/>
        <v>0</v>
      </c>
      <c r="N6590" s="11">
        <f t="shared" si="1025"/>
        <v>2.6680000000000001</v>
      </c>
      <c r="O6590" s="11">
        <f t="shared" si="1026"/>
        <v>0.08</v>
      </c>
      <c r="P6590" s="12">
        <f t="shared" si="1027"/>
        <v>-2.6680000000000001</v>
      </c>
      <c r="Q6590" s="17" t="str">
        <f t="shared" si="1029"/>
        <v>Ecart négatif</v>
      </c>
    </row>
    <row r="6591" spans="1:17" x14ac:dyDescent="0.3">
      <c r="A6591" s="34" t="str">
        <f>base!J6591</f>
        <v>LM</v>
      </c>
      <c r="B6591" s="34" t="str">
        <f>base!V6591</f>
        <v>69005</v>
      </c>
      <c r="C6591" s="37">
        <v>67</v>
      </c>
      <c r="D6591" s="36">
        <f>base!H6591</f>
        <v>33.35</v>
      </c>
      <c r="E6591" s="44"/>
      <c r="F6591" s="16">
        <f>base!W6591</f>
        <v>9</v>
      </c>
      <c r="G6591" s="11">
        <f t="shared" si="1020"/>
        <v>0.26986506746626687</v>
      </c>
      <c r="H6591" s="11">
        <f t="shared" si="1021"/>
        <v>9.6715</v>
      </c>
      <c r="I6591" s="11">
        <f t="shared" si="1022"/>
        <v>0.28999999999999998</v>
      </c>
      <c r="J6591" s="12">
        <f t="shared" si="1023"/>
        <v>-0.67149999999999999</v>
      </c>
      <c r="K6591" s="17" t="str">
        <f t="shared" si="1028"/>
        <v>Ecart négatif</v>
      </c>
      <c r="L6591" s="16">
        <f>base!X6591</f>
        <v>0</v>
      </c>
      <c r="M6591" s="11">
        <f t="shared" si="1024"/>
        <v>0</v>
      </c>
      <c r="N6591" s="11">
        <f t="shared" si="1025"/>
        <v>2.6680000000000001</v>
      </c>
      <c r="O6591" s="11">
        <f t="shared" si="1026"/>
        <v>0.08</v>
      </c>
      <c r="P6591" s="12">
        <f t="shared" si="1027"/>
        <v>-2.6680000000000001</v>
      </c>
      <c r="Q6591" s="17" t="str">
        <f t="shared" si="1029"/>
        <v>Ecart négatif</v>
      </c>
    </row>
    <row r="6592" spans="1:17" x14ac:dyDescent="0.3">
      <c r="A6592" s="34" t="str">
        <f>base!J6592</f>
        <v>LS</v>
      </c>
      <c r="B6592" s="34" t="str">
        <f>base!V6592</f>
        <v>62700</v>
      </c>
      <c r="C6592" s="37">
        <v>13</v>
      </c>
      <c r="D6592" s="36">
        <f>base!H6592</f>
        <v>22.53</v>
      </c>
      <c r="E6592" s="44"/>
      <c r="F6592" s="16">
        <f>base!W6592</f>
        <v>4.28</v>
      </c>
      <c r="G6592" s="11">
        <f t="shared" si="1020"/>
        <v>0.18996893031513537</v>
      </c>
      <c r="H6592" s="11">
        <f t="shared" si="1021"/>
        <v>6.5336999999999996</v>
      </c>
      <c r="I6592" s="11">
        <f t="shared" si="1022"/>
        <v>0.28999999999999998</v>
      </c>
      <c r="J6592" s="12">
        <f t="shared" si="1023"/>
        <v>-2.2536999999999994</v>
      </c>
      <c r="K6592" s="17" t="str">
        <f t="shared" si="1028"/>
        <v>Ecart négatif</v>
      </c>
      <c r="L6592" s="16">
        <f>base!X6592</f>
        <v>0</v>
      </c>
      <c r="M6592" s="11">
        <f t="shared" si="1024"/>
        <v>0</v>
      </c>
      <c r="N6592" s="11">
        <f t="shared" si="1025"/>
        <v>4.2807000000000004</v>
      </c>
      <c r="O6592" s="11">
        <f t="shared" si="1026"/>
        <v>0.19</v>
      </c>
      <c r="P6592" s="12">
        <f t="shared" si="1027"/>
        <v>-4.2807000000000004</v>
      </c>
      <c r="Q6592" s="17" t="str">
        <f t="shared" si="1029"/>
        <v>Ecart négatif</v>
      </c>
    </row>
    <row r="6593" spans="1:18" x14ac:dyDescent="0.3">
      <c r="A6593" s="34" t="str">
        <f>base!J6593</f>
        <v>RS</v>
      </c>
      <c r="B6593" s="34" t="str">
        <f>base!V6593</f>
        <v>74150</v>
      </c>
      <c r="C6593" s="37">
        <v>74</v>
      </c>
      <c r="D6593" s="36">
        <f>base!H6593</f>
        <v>311.14999999999998</v>
      </c>
      <c r="E6593" s="44"/>
      <c r="F6593" s="16">
        <f>base!W6593</f>
        <v>0</v>
      </c>
      <c r="G6593" s="11">
        <f t="shared" si="1020"/>
        <v>0</v>
      </c>
      <c r="H6593" s="11">
        <f t="shared" si="1021"/>
        <v>80.899000000000001</v>
      </c>
      <c r="I6593" s="11">
        <f t="shared" si="1022"/>
        <v>0.26</v>
      </c>
      <c r="J6593" s="12">
        <f t="shared" si="1023"/>
        <v>-80.899000000000001</v>
      </c>
      <c r="K6593" s="17" t="str">
        <f t="shared" si="1028"/>
        <v>Ecart négatif</v>
      </c>
      <c r="L6593" s="16">
        <f>base!X6593</f>
        <v>0</v>
      </c>
      <c r="M6593" s="11">
        <f t="shared" si="1024"/>
        <v>0</v>
      </c>
      <c r="N6593" s="11">
        <f t="shared" si="1025"/>
        <v>0</v>
      </c>
      <c r="O6593" s="11">
        <f t="shared" si="1026"/>
        <v>0</v>
      </c>
      <c r="P6593" s="12">
        <f t="shared" si="1027"/>
        <v>0</v>
      </c>
      <c r="Q6593" s="17" t="str">
        <f t="shared" si="1029"/>
        <v>Pas d'écart</v>
      </c>
    </row>
    <row r="6594" spans="1:18" x14ac:dyDescent="0.3">
      <c r="A6594" s="34" t="str">
        <f>base!J6594</f>
        <v>RM</v>
      </c>
      <c r="B6594" s="34" t="str">
        <f>base!V6594</f>
        <v>94100</v>
      </c>
      <c r="C6594" s="37">
        <v>94</v>
      </c>
      <c r="D6594" s="36">
        <f>base!H6594</f>
        <v>25</v>
      </c>
      <c r="E6594" s="44"/>
      <c r="F6594" s="16">
        <f>base!W6594</f>
        <v>0</v>
      </c>
      <c r="G6594" s="11">
        <f t="shared" ref="G6594:G6657" si="1030">F6594/D6594</f>
        <v>0</v>
      </c>
      <c r="H6594" s="11">
        <f t="shared" ref="H6594:H6657" si="1031">VLOOKUP(C6594,tout_cout_traction,2,FALSE)*D6594</f>
        <v>0</v>
      </c>
      <c r="I6594" s="11">
        <f t="shared" ref="I6594:I6657" si="1032">H6594/D6594</f>
        <v>0</v>
      </c>
      <c r="J6594" s="12">
        <f t="shared" ref="J6594:J6657" si="1033">F6594-H6594</f>
        <v>0</v>
      </c>
      <c r="K6594" s="17" t="str">
        <f t="shared" si="1028"/>
        <v>Pas d'écart</v>
      </c>
      <c r="L6594" s="16">
        <f>base!X6594</f>
        <v>0</v>
      </c>
      <c r="M6594" s="11">
        <f t="shared" ref="M6594:M6657" si="1034">L6594/D6594</f>
        <v>0</v>
      </c>
      <c r="N6594" s="11">
        <f t="shared" ref="N6594:N6657" si="1035">VLOOKUP(C6594,tout_cout_traction,3,FALSE)*D6594</f>
        <v>0</v>
      </c>
      <c r="O6594" s="11">
        <f t="shared" ref="O6594:O6657" si="1036">N6594/D6594</f>
        <v>0</v>
      </c>
      <c r="P6594" s="12">
        <f t="shared" ref="P6594:P6657" si="1037">L6594-N6594</f>
        <v>0</v>
      </c>
      <c r="Q6594" s="17" t="str">
        <f t="shared" si="1029"/>
        <v>Pas d'écart</v>
      </c>
    </row>
    <row r="6595" spans="1:18" x14ac:dyDescent="0.3">
      <c r="A6595" s="34" t="str">
        <f>base!J6595</f>
        <v>LS</v>
      </c>
      <c r="B6595" s="34" t="str">
        <f>base!V6595</f>
        <v>92130</v>
      </c>
      <c r="C6595" s="37">
        <v>92</v>
      </c>
      <c r="D6595" s="36">
        <f>base!H6595</f>
        <v>1136.45</v>
      </c>
      <c r="E6595" s="44"/>
      <c r="F6595" s="16">
        <f>base!W6595</f>
        <v>0</v>
      </c>
      <c r="G6595" s="11">
        <f t="shared" si="1030"/>
        <v>0</v>
      </c>
      <c r="H6595" s="11">
        <f t="shared" si="1031"/>
        <v>0</v>
      </c>
      <c r="I6595" s="11">
        <f t="shared" si="1032"/>
        <v>0</v>
      </c>
      <c r="J6595" s="12">
        <f t="shared" si="1033"/>
        <v>0</v>
      </c>
      <c r="K6595" s="17" t="str">
        <f t="shared" ref="K6595:K6658" si="1038">IF(H6595=F6595,"Pas d'écart",IF(H6595&lt;F6595,"Ecart positif",IF(H6595&gt;F6595,"Ecart négatif")))</f>
        <v>Pas d'écart</v>
      </c>
      <c r="L6595" s="16">
        <f>base!X6595</f>
        <v>0</v>
      </c>
      <c r="M6595" s="11">
        <f t="shared" si="1034"/>
        <v>0</v>
      </c>
      <c r="N6595" s="11">
        <f t="shared" si="1035"/>
        <v>0</v>
      </c>
      <c r="O6595" s="11">
        <f t="shared" si="1036"/>
        <v>0</v>
      </c>
      <c r="P6595" s="12">
        <f t="shared" si="1037"/>
        <v>0</v>
      </c>
      <c r="Q6595" s="17" t="str">
        <f t="shared" ref="Q6595:Q6658" si="1039">IF(N6595=L6595,"Pas d'écart",IF(N6595&lt;L6595,"Ecart positif",IF(N6595&gt;L6595,"Ecart négatif")))</f>
        <v>Pas d'écart</v>
      </c>
    </row>
    <row r="6596" spans="1:18" x14ac:dyDescent="0.3">
      <c r="A6596" s="34" t="str">
        <f>base!J6596</f>
        <v>LM</v>
      </c>
      <c r="B6596" s="34" t="str">
        <f>base!V6596</f>
        <v>84380</v>
      </c>
      <c r="C6596" s="37">
        <v>19</v>
      </c>
      <c r="D6596" s="36">
        <f>base!H6596</f>
        <v>33.25</v>
      </c>
      <c r="E6596" s="44"/>
      <c r="F6596" s="16">
        <f>base!W6596</f>
        <v>9.64</v>
      </c>
      <c r="G6596" s="11">
        <f t="shared" si="1030"/>
        <v>0.2899248120300752</v>
      </c>
      <c r="H6596" s="11">
        <f t="shared" si="1031"/>
        <v>9.6425000000000001</v>
      </c>
      <c r="I6596" s="11">
        <f t="shared" si="1032"/>
        <v>0.28999999999999998</v>
      </c>
      <c r="J6596" s="12">
        <f t="shared" si="1033"/>
        <v>-2.4999999999995026E-3</v>
      </c>
      <c r="K6596" s="17" t="str">
        <f t="shared" si="1038"/>
        <v>Ecart négatif</v>
      </c>
      <c r="L6596" s="16">
        <f>base!X6596</f>
        <v>0</v>
      </c>
      <c r="M6596" s="11">
        <f t="shared" si="1034"/>
        <v>0</v>
      </c>
      <c r="N6596" s="11">
        <f t="shared" si="1035"/>
        <v>3.9899999999999998</v>
      </c>
      <c r="O6596" s="11">
        <f t="shared" si="1036"/>
        <v>0.12</v>
      </c>
      <c r="P6596" s="12">
        <f t="shared" si="1037"/>
        <v>-3.9899999999999998</v>
      </c>
      <c r="Q6596" s="17" t="str">
        <f t="shared" si="1039"/>
        <v>Ecart négatif</v>
      </c>
    </row>
    <row r="6597" spans="1:18" x14ac:dyDescent="0.3">
      <c r="A6597" s="34" t="str">
        <f>base!J6597</f>
        <v>LS</v>
      </c>
      <c r="B6597" s="34" t="str">
        <f>base!V6597</f>
        <v>80000</v>
      </c>
      <c r="C6597" s="37">
        <v>19</v>
      </c>
      <c r="D6597" s="36">
        <f>base!H6597</f>
        <v>184.92</v>
      </c>
      <c r="E6597" s="44"/>
      <c r="F6597" s="16">
        <f>base!W6597</f>
        <v>35.130000000000003</v>
      </c>
      <c r="G6597" s="11">
        <f t="shared" si="1030"/>
        <v>0.18997404282933164</v>
      </c>
      <c r="H6597" s="11">
        <f t="shared" si="1031"/>
        <v>53.626799999999996</v>
      </c>
      <c r="I6597" s="11">
        <f t="shared" si="1032"/>
        <v>0.28999999999999998</v>
      </c>
      <c r="J6597" s="12">
        <f t="shared" si="1033"/>
        <v>-18.496799999999993</v>
      </c>
      <c r="K6597" s="17" t="str">
        <f t="shared" si="1038"/>
        <v>Ecart négatif</v>
      </c>
      <c r="L6597" s="16">
        <f>base!X6597</f>
        <v>0</v>
      </c>
      <c r="M6597" s="11">
        <f t="shared" si="1034"/>
        <v>0</v>
      </c>
      <c r="N6597" s="11">
        <f t="shared" si="1035"/>
        <v>22.190399999999997</v>
      </c>
      <c r="O6597" s="11">
        <f t="shared" si="1036"/>
        <v>0.12</v>
      </c>
      <c r="P6597" s="12">
        <f t="shared" si="1037"/>
        <v>-22.190399999999997</v>
      </c>
      <c r="Q6597" s="17" t="str">
        <f t="shared" si="1039"/>
        <v>Ecart négatif</v>
      </c>
    </row>
    <row r="6598" spans="1:18" x14ac:dyDescent="0.3">
      <c r="A6598" s="34" t="str">
        <f>base!J6598</f>
        <v>LM</v>
      </c>
      <c r="B6598" s="34" t="str">
        <f>base!V6598</f>
        <v>84140</v>
      </c>
      <c r="C6598" s="37">
        <v>19</v>
      </c>
      <c r="D6598" s="36">
        <f>base!H6598</f>
        <v>18.350000000000001</v>
      </c>
      <c r="E6598" s="44"/>
      <c r="F6598" s="16">
        <f>base!W6598</f>
        <v>5.32</v>
      </c>
      <c r="G6598" s="11">
        <f t="shared" si="1030"/>
        <v>0.2899182561307902</v>
      </c>
      <c r="H6598" s="11">
        <f t="shared" si="1031"/>
        <v>5.3215000000000003</v>
      </c>
      <c r="I6598" s="11">
        <f t="shared" si="1032"/>
        <v>0.28999999999999998</v>
      </c>
      <c r="J6598" s="12">
        <f t="shared" si="1033"/>
        <v>-1.5000000000000568E-3</v>
      </c>
      <c r="K6598" s="17" t="str">
        <f t="shared" si="1038"/>
        <v>Ecart négatif</v>
      </c>
      <c r="L6598" s="16">
        <f>base!X6598</f>
        <v>0</v>
      </c>
      <c r="M6598" s="11">
        <f t="shared" si="1034"/>
        <v>0</v>
      </c>
      <c r="N6598" s="11">
        <f t="shared" si="1035"/>
        <v>2.202</v>
      </c>
      <c r="O6598" s="11">
        <f t="shared" si="1036"/>
        <v>0.11999999999999998</v>
      </c>
      <c r="P6598" s="12">
        <f t="shared" si="1037"/>
        <v>-2.202</v>
      </c>
      <c r="Q6598" s="17" t="str">
        <f t="shared" si="1039"/>
        <v>Ecart négatif</v>
      </c>
    </row>
    <row r="6599" spans="1:18" x14ac:dyDescent="0.3">
      <c r="A6599" s="34" t="str">
        <f>base!J6599</f>
        <v>LM</v>
      </c>
      <c r="B6599" s="34" t="str">
        <f>base!V6599</f>
        <v>84140</v>
      </c>
      <c r="C6599" s="37">
        <v>19</v>
      </c>
      <c r="D6599" s="36">
        <f>base!H6599</f>
        <v>18.350000000000001</v>
      </c>
      <c r="E6599" s="44"/>
      <c r="F6599" s="16">
        <f>base!W6599</f>
        <v>5.32</v>
      </c>
      <c r="G6599" s="11">
        <f t="shared" si="1030"/>
        <v>0.2899182561307902</v>
      </c>
      <c r="H6599" s="11">
        <f t="shared" si="1031"/>
        <v>5.3215000000000003</v>
      </c>
      <c r="I6599" s="11">
        <f t="shared" si="1032"/>
        <v>0.28999999999999998</v>
      </c>
      <c r="J6599" s="12">
        <f t="shared" si="1033"/>
        <v>-1.5000000000000568E-3</v>
      </c>
      <c r="K6599" s="17" t="str">
        <f t="shared" si="1038"/>
        <v>Ecart négatif</v>
      </c>
      <c r="L6599" s="16">
        <f>base!X6599</f>
        <v>0</v>
      </c>
      <c r="M6599" s="11">
        <f t="shared" si="1034"/>
        <v>0</v>
      </c>
      <c r="N6599" s="11">
        <f t="shared" si="1035"/>
        <v>2.202</v>
      </c>
      <c r="O6599" s="11">
        <f t="shared" si="1036"/>
        <v>0.11999999999999998</v>
      </c>
      <c r="P6599" s="12">
        <f t="shared" si="1037"/>
        <v>-2.202</v>
      </c>
      <c r="Q6599" s="17" t="str">
        <f t="shared" si="1039"/>
        <v>Ecart négatif</v>
      </c>
    </row>
    <row r="6600" spans="1:18" x14ac:dyDescent="0.3">
      <c r="A6600" s="34" t="str">
        <f>base!J6600</f>
        <v>LM</v>
      </c>
      <c r="B6600" s="34" t="str">
        <f>base!V6600</f>
        <v>75008</v>
      </c>
      <c r="C6600" s="37">
        <v>75</v>
      </c>
      <c r="D6600" s="36">
        <f>base!H6600</f>
        <v>55.34</v>
      </c>
      <c r="E6600" s="44"/>
      <c r="F6600" s="16">
        <f>base!W6600</f>
        <v>0</v>
      </c>
      <c r="G6600" s="11">
        <f t="shared" si="1030"/>
        <v>0</v>
      </c>
      <c r="H6600" s="11">
        <f t="shared" si="1031"/>
        <v>0</v>
      </c>
      <c r="I6600" s="11">
        <f t="shared" si="1032"/>
        <v>0</v>
      </c>
      <c r="J6600" s="12">
        <f t="shared" si="1033"/>
        <v>0</v>
      </c>
      <c r="K6600" s="17" t="str">
        <f t="shared" si="1038"/>
        <v>Pas d'écart</v>
      </c>
      <c r="L6600" s="16">
        <f>base!X6600</f>
        <v>0</v>
      </c>
      <c r="M6600" s="11">
        <f t="shared" si="1034"/>
        <v>0</v>
      </c>
      <c r="N6600" s="11">
        <f t="shared" si="1035"/>
        <v>0</v>
      </c>
      <c r="O6600" s="11">
        <f t="shared" si="1036"/>
        <v>0</v>
      </c>
      <c r="P6600" s="12">
        <f t="shared" si="1037"/>
        <v>0</v>
      </c>
      <c r="Q6600" s="17" t="str">
        <f t="shared" si="1039"/>
        <v>Pas d'écart</v>
      </c>
    </row>
    <row r="6601" spans="1:18" x14ac:dyDescent="0.3">
      <c r="A6601" s="34" t="str">
        <f>base!J6601</f>
        <v>LS</v>
      </c>
      <c r="B6601" s="34" t="str">
        <f>base!V6601</f>
        <v>08200</v>
      </c>
      <c r="C6601" s="37">
        <v>13</v>
      </c>
      <c r="D6601" s="36">
        <f>base!H6601</f>
        <v>131.49</v>
      </c>
      <c r="E6601" s="44"/>
      <c r="F6601" s="16">
        <f>base!W6601</f>
        <v>24.98</v>
      </c>
      <c r="G6601" s="11">
        <f t="shared" si="1030"/>
        <v>0.18997642406266635</v>
      </c>
      <c r="H6601" s="11">
        <f t="shared" si="1031"/>
        <v>38.132100000000001</v>
      </c>
      <c r="I6601" s="11">
        <f t="shared" si="1032"/>
        <v>0.28999999999999998</v>
      </c>
      <c r="J6601" s="12">
        <f t="shared" si="1033"/>
        <v>-13.152100000000001</v>
      </c>
      <c r="K6601" s="17" t="str">
        <f t="shared" si="1038"/>
        <v>Ecart négatif</v>
      </c>
      <c r="L6601" s="16">
        <f>base!X6601</f>
        <v>0</v>
      </c>
      <c r="M6601" s="11">
        <f t="shared" si="1034"/>
        <v>0</v>
      </c>
      <c r="N6601" s="11">
        <f t="shared" si="1035"/>
        <v>24.9831</v>
      </c>
      <c r="O6601" s="11">
        <f t="shared" si="1036"/>
        <v>0.19</v>
      </c>
      <c r="P6601" s="12">
        <f t="shared" si="1037"/>
        <v>-24.9831</v>
      </c>
      <c r="Q6601" s="17" t="str">
        <f t="shared" si="1039"/>
        <v>Ecart négatif</v>
      </c>
    </row>
    <row r="6602" spans="1:18" x14ac:dyDescent="0.3">
      <c r="A6602" s="34" t="str">
        <f>base!J6602</f>
        <v>LM</v>
      </c>
      <c r="B6602" s="34" t="str">
        <f>base!V6602</f>
        <v>92078</v>
      </c>
      <c r="C6602" s="37">
        <v>92</v>
      </c>
      <c r="D6602" s="36">
        <f>base!H6602</f>
        <v>153.44999999999999</v>
      </c>
      <c r="E6602" s="44"/>
      <c r="F6602" s="16">
        <f>base!W6602</f>
        <v>0</v>
      </c>
      <c r="G6602" s="11">
        <f t="shared" si="1030"/>
        <v>0</v>
      </c>
      <c r="H6602" s="11">
        <f t="shared" si="1031"/>
        <v>0</v>
      </c>
      <c r="I6602" s="11">
        <f t="shared" si="1032"/>
        <v>0</v>
      </c>
      <c r="J6602" s="12">
        <f t="shared" si="1033"/>
        <v>0</v>
      </c>
      <c r="K6602" s="17" t="str">
        <f t="shared" si="1038"/>
        <v>Pas d'écart</v>
      </c>
      <c r="L6602" s="16">
        <f>base!X6602</f>
        <v>0</v>
      </c>
      <c r="M6602" s="11">
        <f t="shared" si="1034"/>
        <v>0</v>
      </c>
      <c r="N6602" s="11">
        <f t="shared" si="1035"/>
        <v>0</v>
      </c>
      <c r="O6602" s="11">
        <f t="shared" si="1036"/>
        <v>0</v>
      </c>
      <c r="P6602" s="12">
        <f t="shared" si="1037"/>
        <v>0</v>
      </c>
      <c r="Q6602" s="17" t="str">
        <f t="shared" si="1039"/>
        <v>Pas d'écart</v>
      </c>
    </row>
    <row r="6603" spans="1:18" x14ac:dyDescent="0.3">
      <c r="A6603" s="34" t="str">
        <f>base!J6603</f>
        <v>LS</v>
      </c>
      <c r="B6603" s="34" t="str">
        <f>base!V6603</f>
        <v>94700</v>
      </c>
      <c r="C6603" s="37">
        <v>94</v>
      </c>
      <c r="D6603" s="36">
        <f>base!H6603</f>
        <v>30</v>
      </c>
      <c r="E6603" s="44"/>
      <c r="F6603" s="16">
        <f>base!W6603</f>
        <v>0</v>
      </c>
      <c r="G6603" s="11">
        <f t="shared" si="1030"/>
        <v>0</v>
      </c>
      <c r="H6603" s="11">
        <f t="shared" si="1031"/>
        <v>0</v>
      </c>
      <c r="I6603" s="11">
        <f t="shared" si="1032"/>
        <v>0</v>
      </c>
      <c r="J6603" s="12">
        <f t="shared" si="1033"/>
        <v>0</v>
      </c>
      <c r="K6603" s="17" t="str">
        <f t="shared" si="1038"/>
        <v>Pas d'écart</v>
      </c>
      <c r="L6603" s="16">
        <f>base!X6603</f>
        <v>0</v>
      </c>
      <c r="M6603" s="11">
        <f t="shared" si="1034"/>
        <v>0</v>
      </c>
      <c r="N6603" s="11">
        <f t="shared" si="1035"/>
        <v>0</v>
      </c>
      <c r="O6603" s="11">
        <f t="shared" si="1036"/>
        <v>0</v>
      </c>
      <c r="P6603" s="12">
        <f t="shared" si="1037"/>
        <v>0</v>
      </c>
      <c r="Q6603" s="17" t="str">
        <f t="shared" si="1039"/>
        <v>Pas d'écart</v>
      </c>
    </row>
    <row r="6604" spans="1:18" x14ac:dyDescent="0.3">
      <c r="A6604" s="34" t="str">
        <f>base!J6604</f>
        <v>RS</v>
      </c>
      <c r="B6604" s="34" t="str">
        <f>base!V6604</f>
        <v>59700</v>
      </c>
      <c r="C6604" s="37">
        <v>59</v>
      </c>
      <c r="D6604" s="36">
        <f>base!H6604</f>
        <v>140</v>
      </c>
      <c r="E6604" s="44"/>
      <c r="F6604" s="16">
        <f>base!W6604</f>
        <v>0</v>
      </c>
      <c r="G6604" s="11">
        <f t="shared" si="1030"/>
        <v>0</v>
      </c>
      <c r="H6604" s="11">
        <f t="shared" si="1031"/>
        <v>26.6</v>
      </c>
      <c r="I6604" s="11">
        <f t="shared" si="1032"/>
        <v>0.19</v>
      </c>
      <c r="J6604" s="12">
        <f t="shared" si="1033"/>
        <v>-26.6</v>
      </c>
      <c r="K6604" s="17" t="str">
        <f t="shared" si="1038"/>
        <v>Ecart négatif</v>
      </c>
      <c r="L6604" s="16">
        <f>base!X6604</f>
        <v>0</v>
      </c>
      <c r="M6604" s="11">
        <f t="shared" si="1034"/>
        <v>0</v>
      </c>
      <c r="N6604" s="11">
        <f t="shared" si="1035"/>
        <v>0</v>
      </c>
      <c r="O6604" s="11">
        <f t="shared" si="1036"/>
        <v>0</v>
      </c>
      <c r="P6604" s="12">
        <f t="shared" si="1037"/>
        <v>0</v>
      </c>
      <c r="Q6604" s="17" t="str">
        <f t="shared" si="1039"/>
        <v>Pas d'écart</v>
      </c>
    </row>
    <row r="6605" spans="1:18" x14ac:dyDescent="0.3">
      <c r="A6605" s="34" t="str">
        <f>base!J6605</f>
        <v>LS</v>
      </c>
      <c r="B6605" s="34" t="str">
        <f>base!V6605</f>
        <v>84350</v>
      </c>
      <c r="C6605" s="37">
        <v>67</v>
      </c>
      <c r="D6605" s="36">
        <f>base!H6605</f>
        <v>86.34</v>
      </c>
      <c r="E6605" s="44"/>
      <c r="F6605" s="16">
        <f>base!W6605</f>
        <v>25.04</v>
      </c>
      <c r="G6605" s="11">
        <f t="shared" si="1030"/>
        <v>0.29001621496409541</v>
      </c>
      <c r="H6605" s="11">
        <f t="shared" si="1031"/>
        <v>25.038599999999999</v>
      </c>
      <c r="I6605" s="11">
        <f t="shared" si="1032"/>
        <v>0.28999999999999998</v>
      </c>
      <c r="J6605" s="12">
        <f t="shared" si="1033"/>
        <v>1.4000000000002899E-3</v>
      </c>
      <c r="K6605" s="17" t="str">
        <f t="shared" si="1038"/>
        <v>Ecart positif</v>
      </c>
      <c r="L6605" s="16">
        <f>base!X6605</f>
        <v>0</v>
      </c>
      <c r="M6605" s="11">
        <f t="shared" si="1034"/>
        <v>0</v>
      </c>
      <c r="N6605" s="11">
        <f t="shared" si="1035"/>
        <v>6.9072000000000005</v>
      </c>
      <c r="O6605" s="11">
        <f t="shared" si="1036"/>
        <v>0.08</v>
      </c>
      <c r="P6605" s="12">
        <f t="shared" si="1037"/>
        <v>-6.9072000000000005</v>
      </c>
      <c r="Q6605" s="17" t="str">
        <f t="shared" si="1039"/>
        <v>Ecart négatif</v>
      </c>
    </row>
    <row r="6606" spans="1:18" x14ac:dyDescent="0.3">
      <c r="A6606" s="34" t="str">
        <f>base!J6606</f>
        <v>LS</v>
      </c>
      <c r="B6606" s="34" t="str">
        <f>base!V6606</f>
        <v>91360</v>
      </c>
      <c r="C6606" s="37">
        <v>91</v>
      </c>
      <c r="D6606" s="36">
        <f>base!H6606</f>
        <v>130.06</v>
      </c>
      <c r="E6606" s="44"/>
      <c r="F6606" s="16">
        <f>base!W6606</f>
        <v>0</v>
      </c>
      <c r="G6606" s="11">
        <f t="shared" si="1030"/>
        <v>0</v>
      </c>
      <c r="H6606" s="11">
        <f t="shared" si="1031"/>
        <v>0</v>
      </c>
      <c r="I6606" s="11">
        <f t="shared" si="1032"/>
        <v>0</v>
      </c>
      <c r="J6606" s="12">
        <f t="shared" si="1033"/>
        <v>0</v>
      </c>
      <c r="K6606" s="17" t="str">
        <f t="shared" si="1038"/>
        <v>Pas d'écart</v>
      </c>
      <c r="L6606" s="16">
        <f>base!X6606</f>
        <v>0</v>
      </c>
      <c r="M6606" s="11">
        <f t="shared" si="1034"/>
        <v>0</v>
      </c>
      <c r="N6606" s="11">
        <f t="shared" si="1035"/>
        <v>0</v>
      </c>
      <c r="O6606" s="11">
        <f t="shared" si="1036"/>
        <v>0</v>
      </c>
      <c r="P6606" s="12">
        <f t="shared" si="1037"/>
        <v>0</v>
      </c>
      <c r="Q6606" s="17" t="str">
        <f t="shared" si="1039"/>
        <v>Pas d'écart</v>
      </c>
    </row>
    <row r="6607" spans="1:18" x14ac:dyDescent="0.3">
      <c r="A6607" s="34" t="str">
        <f>base!J6607</f>
        <v>LS</v>
      </c>
      <c r="B6607" s="34" t="str">
        <f>base!V6607</f>
        <v>75012</v>
      </c>
      <c r="C6607" s="37">
        <v>75</v>
      </c>
      <c r="D6607" s="36">
        <f>base!H6607</f>
        <v>30</v>
      </c>
      <c r="E6607" s="44"/>
      <c r="F6607" s="16">
        <f>base!W6607</f>
        <v>0</v>
      </c>
      <c r="G6607" s="11">
        <f t="shared" si="1030"/>
        <v>0</v>
      </c>
      <c r="H6607" s="11">
        <f t="shared" si="1031"/>
        <v>0</v>
      </c>
      <c r="I6607" s="11">
        <f t="shared" si="1032"/>
        <v>0</v>
      </c>
      <c r="J6607" s="12">
        <f t="shared" si="1033"/>
        <v>0</v>
      </c>
      <c r="K6607" s="17" t="str">
        <f t="shared" si="1038"/>
        <v>Pas d'écart</v>
      </c>
      <c r="L6607" s="16">
        <f>base!X6607</f>
        <v>0</v>
      </c>
      <c r="M6607" s="11">
        <f t="shared" si="1034"/>
        <v>0</v>
      </c>
      <c r="N6607" s="11">
        <f t="shared" si="1035"/>
        <v>0</v>
      </c>
      <c r="O6607" s="11">
        <f t="shared" si="1036"/>
        <v>0</v>
      </c>
      <c r="P6607" s="12">
        <f t="shared" si="1037"/>
        <v>0</v>
      </c>
      <c r="Q6607" s="17" t="str">
        <f t="shared" si="1039"/>
        <v>Pas d'écart</v>
      </c>
    </row>
    <row r="6608" spans="1:18" x14ac:dyDescent="0.3">
      <c r="A6608" s="34" t="str">
        <f>base!J6608</f>
        <v>RM</v>
      </c>
      <c r="B6608" s="34" t="str">
        <f>base!V6608</f>
        <v>80000</v>
      </c>
      <c r="C6608" s="37">
        <v>80</v>
      </c>
      <c r="D6608" s="36">
        <f>base!H6608</f>
        <v>193</v>
      </c>
      <c r="E6608" s="44"/>
      <c r="F6608" s="16">
        <f>base!W6608</f>
        <v>0</v>
      </c>
      <c r="G6608" s="11">
        <f t="shared" si="1030"/>
        <v>0</v>
      </c>
      <c r="H6608" s="11">
        <f t="shared" si="1031"/>
        <v>36.67</v>
      </c>
      <c r="I6608" s="11">
        <f t="shared" si="1032"/>
        <v>0.19</v>
      </c>
      <c r="J6608" s="12">
        <f t="shared" si="1033"/>
        <v>-36.67</v>
      </c>
      <c r="K6608" s="17" t="str">
        <f t="shared" si="1038"/>
        <v>Ecart négatif</v>
      </c>
      <c r="L6608" s="16">
        <f>base!X6608</f>
        <v>36.67</v>
      </c>
      <c r="M6608" s="11">
        <f t="shared" si="1034"/>
        <v>0.19</v>
      </c>
      <c r="N6608" s="11">
        <f t="shared" si="1035"/>
        <v>0</v>
      </c>
      <c r="O6608" s="11">
        <f t="shared" si="1036"/>
        <v>0</v>
      </c>
      <c r="P6608" s="12">
        <f t="shared" si="1037"/>
        <v>36.67</v>
      </c>
      <c r="Q6608" s="17" t="str">
        <f t="shared" si="1039"/>
        <v>Ecart positif</v>
      </c>
      <c r="R6608" s="38"/>
    </row>
    <row r="6609" spans="1:18" x14ac:dyDescent="0.3">
      <c r="A6609" s="34" t="str">
        <f>base!J6609</f>
        <v>RM</v>
      </c>
      <c r="B6609" s="34" t="str">
        <f>base!V6609</f>
        <v>76220</v>
      </c>
      <c r="C6609" s="37">
        <v>76</v>
      </c>
      <c r="D6609" s="36">
        <f>base!H6609</f>
        <v>40</v>
      </c>
      <c r="E6609" s="44"/>
      <c r="F6609" s="16">
        <f>base!W6609</f>
        <v>0</v>
      </c>
      <c r="G6609" s="11">
        <f t="shared" si="1030"/>
        <v>0</v>
      </c>
      <c r="H6609" s="11">
        <f t="shared" si="1031"/>
        <v>6.8000000000000007</v>
      </c>
      <c r="I6609" s="11">
        <f t="shared" si="1032"/>
        <v>0.17</v>
      </c>
      <c r="J6609" s="12">
        <f t="shared" si="1033"/>
        <v>-6.8000000000000007</v>
      </c>
      <c r="K6609" s="17" t="str">
        <f t="shared" si="1038"/>
        <v>Ecart négatif</v>
      </c>
      <c r="L6609" s="16">
        <f>base!X6609</f>
        <v>6.8</v>
      </c>
      <c r="M6609" s="11">
        <f t="shared" si="1034"/>
        <v>0.16999999999999998</v>
      </c>
      <c r="N6609" s="11">
        <f t="shared" si="1035"/>
        <v>6.8000000000000007</v>
      </c>
      <c r="O6609" s="11">
        <f t="shared" si="1036"/>
        <v>0.17</v>
      </c>
      <c r="P6609" s="12">
        <f t="shared" si="1037"/>
        <v>0</v>
      </c>
      <c r="Q6609" s="17" t="str">
        <f t="shared" si="1039"/>
        <v>Pas d'écart</v>
      </c>
    </row>
    <row r="6610" spans="1:18" x14ac:dyDescent="0.3">
      <c r="A6610" s="34" t="str">
        <f>base!J6610</f>
        <v>LS</v>
      </c>
      <c r="B6610" s="34" t="str">
        <f>base!V6610</f>
        <v>06300</v>
      </c>
      <c r="C6610" s="37">
        <v>6</v>
      </c>
      <c r="D6610" s="36">
        <f>base!H6610</f>
        <v>40</v>
      </c>
      <c r="E6610" s="44"/>
      <c r="F6610" s="16">
        <f>base!W6610</f>
        <v>12</v>
      </c>
      <c r="G6610" s="11">
        <f t="shared" si="1030"/>
        <v>0.3</v>
      </c>
      <c r="H6610" s="11">
        <f t="shared" si="1031"/>
        <v>12</v>
      </c>
      <c r="I6610" s="11">
        <f t="shared" si="1032"/>
        <v>0.3</v>
      </c>
      <c r="J6610" s="12">
        <f t="shared" si="1033"/>
        <v>0</v>
      </c>
      <c r="K6610" s="17" t="str">
        <f t="shared" si="1038"/>
        <v>Pas d'écart</v>
      </c>
      <c r="L6610" s="16">
        <f>base!X6610</f>
        <v>0</v>
      </c>
      <c r="M6610" s="11">
        <f t="shared" si="1034"/>
        <v>0</v>
      </c>
      <c r="N6610" s="11">
        <f t="shared" si="1035"/>
        <v>8.4</v>
      </c>
      <c r="O6610" s="11">
        <f t="shared" si="1036"/>
        <v>0.21000000000000002</v>
      </c>
      <c r="P6610" s="12">
        <f t="shared" si="1037"/>
        <v>-8.4</v>
      </c>
      <c r="Q6610" s="17" t="str">
        <f t="shared" si="1039"/>
        <v>Ecart négatif</v>
      </c>
    </row>
    <row r="6611" spans="1:18" x14ac:dyDescent="0.3">
      <c r="A6611" s="34" t="str">
        <f>base!J6611</f>
        <v>RS</v>
      </c>
      <c r="B6611" s="34" t="str">
        <f>base!V6611</f>
        <v>30200</v>
      </c>
      <c r="C6611" s="37">
        <v>30</v>
      </c>
      <c r="D6611" s="36">
        <f>base!H6611</f>
        <v>73.34</v>
      </c>
      <c r="E6611" s="44"/>
      <c r="F6611" s="16">
        <f>base!W6611</f>
        <v>0</v>
      </c>
      <c r="G6611" s="11">
        <f t="shared" si="1030"/>
        <v>0</v>
      </c>
      <c r="H6611" s="11">
        <f t="shared" si="1031"/>
        <v>28.602600000000002</v>
      </c>
      <c r="I6611" s="11">
        <f t="shared" si="1032"/>
        <v>0.39</v>
      </c>
      <c r="J6611" s="12">
        <f t="shared" si="1033"/>
        <v>-28.602600000000002</v>
      </c>
      <c r="K6611" s="17" t="str">
        <f t="shared" si="1038"/>
        <v>Ecart négatif</v>
      </c>
      <c r="L6611" s="16">
        <f>base!X6611</f>
        <v>0</v>
      </c>
      <c r="M6611" s="11">
        <f t="shared" si="1034"/>
        <v>0</v>
      </c>
      <c r="N6611" s="11">
        <f t="shared" si="1035"/>
        <v>20.535200000000003</v>
      </c>
      <c r="O6611" s="11">
        <f t="shared" si="1036"/>
        <v>0.28000000000000003</v>
      </c>
      <c r="P6611" s="12">
        <f t="shared" si="1037"/>
        <v>-20.535200000000003</v>
      </c>
      <c r="Q6611" s="17" t="str">
        <f t="shared" si="1039"/>
        <v>Ecart négatif</v>
      </c>
    </row>
    <row r="6612" spans="1:18" x14ac:dyDescent="0.3">
      <c r="A6612" s="34" t="str">
        <f>base!J6612</f>
        <v>LS</v>
      </c>
      <c r="B6612" s="34" t="str">
        <f>base!V6612</f>
        <v>77184</v>
      </c>
      <c r="C6612" s="37">
        <v>84</v>
      </c>
      <c r="D6612" s="36">
        <f>base!H6612</f>
        <v>10</v>
      </c>
      <c r="E6612" s="44"/>
      <c r="F6612" s="16">
        <f>base!W6612</f>
        <v>2.1</v>
      </c>
      <c r="G6612" s="11">
        <f t="shared" si="1030"/>
        <v>0.21000000000000002</v>
      </c>
      <c r="H6612" s="11">
        <f t="shared" si="1031"/>
        <v>2.9</v>
      </c>
      <c r="I6612" s="11">
        <f t="shared" si="1032"/>
        <v>0.28999999999999998</v>
      </c>
      <c r="J6612" s="12">
        <f t="shared" si="1033"/>
        <v>-0.79999999999999982</v>
      </c>
      <c r="K6612" s="17" t="str">
        <f t="shared" si="1038"/>
        <v>Ecart négatif</v>
      </c>
      <c r="L6612" s="16">
        <f>base!X6612</f>
        <v>0</v>
      </c>
      <c r="M6612" s="11">
        <f t="shared" si="1034"/>
        <v>0</v>
      </c>
      <c r="N6612" s="11">
        <f t="shared" si="1035"/>
        <v>1.9</v>
      </c>
      <c r="O6612" s="11">
        <f t="shared" si="1036"/>
        <v>0.19</v>
      </c>
      <c r="P6612" s="12">
        <f t="shared" si="1037"/>
        <v>-1.9</v>
      </c>
      <c r="Q6612" s="17" t="str">
        <f t="shared" si="1039"/>
        <v>Ecart négatif</v>
      </c>
    </row>
    <row r="6613" spans="1:18" x14ac:dyDescent="0.3">
      <c r="A6613" s="34" t="str">
        <f>base!J6613</f>
        <v>RS</v>
      </c>
      <c r="B6613" s="34" t="str">
        <f>base!V6613</f>
        <v>01600</v>
      </c>
      <c r="C6613" s="37">
        <v>1</v>
      </c>
      <c r="D6613" s="36">
        <f>base!H6613</f>
        <v>267.04000000000002</v>
      </c>
      <c r="E6613" s="44"/>
      <c r="F6613" s="16">
        <f>base!W6613</f>
        <v>0</v>
      </c>
      <c r="G6613" s="11">
        <f t="shared" si="1030"/>
        <v>0</v>
      </c>
      <c r="H6613" s="11">
        <f t="shared" si="1031"/>
        <v>69.430400000000006</v>
      </c>
      <c r="I6613" s="11">
        <f t="shared" si="1032"/>
        <v>0.26</v>
      </c>
      <c r="J6613" s="12">
        <f t="shared" si="1033"/>
        <v>-69.430400000000006</v>
      </c>
      <c r="K6613" s="17" t="str">
        <f t="shared" si="1038"/>
        <v>Ecart négatif</v>
      </c>
      <c r="L6613" s="16">
        <f>base!X6613</f>
        <v>0</v>
      </c>
      <c r="M6613" s="11">
        <f t="shared" si="1034"/>
        <v>0</v>
      </c>
      <c r="N6613" s="11">
        <f t="shared" si="1035"/>
        <v>0</v>
      </c>
      <c r="O6613" s="11">
        <f t="shared" si="1036"/>
        <v>0</v>
      </c>
      <c r="P6613" s="12">
        <f t="shared" si="1037"/>
        <v>0</v>
      </c>
      <c r="Q6613" s="17" t="str">
        <f t="shared" si="1039"/>
        <v>Pas d'écart</v>
      </c>
    </row>
    <row r="6614" spans="1:18" x14ac:dyDescent="0.3">
      <c r="A6614" s="34" t="str">
        <f>base!J6614</f>
        <v>RM</v>
      </c>
      <c r="B6614" s="34" t="str">
        <f>base!V6614</f>
        <v>14000</v>
      </c>
      <c r="C6614" s="37">
        <v>14</v>
      </c>
      <c r="D6614" s="36">
        <f>base!H6614</f>
        <v>154.30000000000001</v>
      </c>
      <c r="E6614" s="44"/>
      <c r="F6614" s="16">
        <f>base!W6614</f>
        <v>0</v>
      </c>
      <c r="G6614" s="11">
        <f t="shared" si="1030"/>
        <v>0</v>
      </c>
      <c r="H6614" s="11">
        <f t="shared" si="1031"/>
        <v>26.231000000000005</v>
      </c>
      <c r="I6614" s="11">
        <f t="shared" si="1032"/>
        <v>0.17</v>
      </c>
      <c r="J6614" s="12">
        <f t="shared" si="1033"/>
        <v>-26.231000000000005</v>
      </c>
      <c r="K6614" s="17" t="str">
        <f t="shared" si="1038"/>
        <v>Ecart négatif</v>
      </c>
      <c r="L6614" s="16">
        <f>base!X6614</f>
        <v>0</v>
      </c>
      <c r="M6614" s="11">
        <f t="shared" si="1034"/>
        <v>0</v>
      </c>
      <c r="N6614" s="11">
        <f t="shared" si="1035"/>
        <v>26.231000000000005</v>
      </c>
      <c r="O6614" s="11">
        <f t="shared" si="1036"/>
        <v>0.17</v>
      </c>
      <c r="P6614" s="12">
        <f t="shared" si="1037"/>
        <v>-26.231000000000005</v>
      </c>
      <c r="Q6614" s="17" t="str">
        <f t="shared" si="1039"/>
        <v>Ecart négatif</v>
      </c>
    </row>
    <row r="6615" spans="1:18" x14ac:dyDescent="0.3">
      <c r="A6615" s="34">
        <f>base!J6615</f>
        <v>0</v>
      </c>
      <c r="B6615" s="34" t="str">
        <f>base!V6615</f>
        <v>77184</v>
      </c>
      <c r="C6615" s="37">
        <v>77</v>
      </c>
      <c r="D6615" s="36">
        <f>base!H6615</f>
        <v>235.78</v>
      </c>
      <c r="E6615" s="44"/>
      <c r="F6615" s="16">
        <f>base!W6615</f>
        <v>0</v>
      </c>
      <c r="G6615" s="11">
        <f t="shared" si="1030"/>
        <v>0</v>
      </c>
      <c r="H6615" s="11">
        <f t="shared" si="1031"/>
        <v>0</v>
      </c>
      <c r="I6615" s="11">
        <f t="shared" si="1032"/>
        <v>0</v>
      </c>
      <c r="J6615" s="12">
        <f t="shared" si="1033"/>
        <v>0</v>
      </c>
      <c r="K6615" s="17" t="str">
        <f t="shared" si="1038"/>
        <v>Pas d'écart</v>
      </c>
      <c r="L6615" s="16">
        <f>base!X6615</f>
        <v>0</v>
      </c>
      <c r="M6615" s="11">
        <f t="shared" si="1034"/>
        <v>0</v>
      </c>
      <c r="N6615" s="11">
        <f t="shared" si="1035"/>
        <v>0</v>
      </c>
      <c r="O6615" s="11">
        <f t="shared" si="1036"/>
        <v>0</v>
      </c>
      <c r="P6615" s="12">
        <f t="shared" si="1037"/>
        <v>0</v>
      </c>
      <c r="Q6615" s="17" t="str">
        <f t="shared" si="1039"/>
        <v>Pas d'écart</v>
      </c>
    </row>
    <row r="6616" spans="1:18" x14ac:dyDescent="0.3">
      <c r="A6616" s="34" t="str">
        <f>base!J6616</f>
        <v>RM</v>
      </c>
      <c r="B6616" s="34" t="str">
        <f>base!V6616</f>
        <v>37520</v>
      </c>
      <c r="C6616" s="37">
        <v>37</v>
      </c>
      <c r="D6616" s="36">
        <f>base!H6616</f>
        <v>193.63</v>
      </c>
      <c r="E6616" s="44"/>
      <c r="F6616" s="16">
        <f>base!W6616</f>
        <v>0</v>
      </c>
      <c r="G6616" s="11">
        <f t="shared" si="1030"/>
        <v>0</v>
      </c>
      <c r="H6616" s="11">
        <f t="shared" si="1031"/>
        <v>36.789699999999996</v>
      </c>
      <c r="I6616" s="11">
        <f t="shared" si="1032"/>
        <v>0.18999999999999997</v>
      </c>
      <c r="J6616" s="12">
        <f t="shared" si="1033"/>
        <v>-36.789699999999996</v>
      </c>
      <c r="K6616" s="17" t="str">
        <f t="shared" si="1038"/>
        <v>Ecart négatif</v>
      </c>
      <c r="L6616" s="16">
        <f>base!X6616</f>
        <v>0</v>
      </c>
      <c r="M6616" s="11">
        <f t="shared" si="1034"/>
        <v>0</v>
      </c>
      <c r="N6616" s="11">
        <f t="shared" si="1035"/>
        <v>23.235599999999998</v>
      </c>
      <c r="O6616" s="11">
        <f t="shared" si="1036"/>
        <v>0.12</v>
      </c>
      <c r="P6616" s="12">
        <f t="shared" si="1037"/>
        <v>-23.235599999999998</v>
      </c>
      <c r="Q6616" s="17" t="str">
        <f t="shared" si="1039"/>
        <v>Ecart négatif</v>
      </c>
    </row>
    <row r="6617" spans="1:18" x14ac:dyDescent="0.3">
      <c r="A6617" s="34" t="str">
        <f>base!J6617</f>
        <v>RM</v>
      </c>
      <c r="B6617" s="34" t="str">
        <f>base!V6617</f>
        <v>06220</v>
      </c>
      <c r="C6617" s="37">
        <v>6</v>
      </c>
      <c r="D6617" s="36">
        <f>base!H6617</f>
        <v>40</v>
      </c>
      <c r="E6617" s="44"/>
      <c r="F6617" s="16">
        <f>base!W6617</f>
        <v>0</v>
      </c>
      <c r="G6617" s="11">
        <f t="shared" si="1030"/>
        <v>0</v>
      </c>
      <c r="H6617" s="11">
        <f t="shared" si="1031"/>
        <v>12</v>
      </c>
      <c r="I6617" s="11">
        <f t="shared" si="1032"/>
        <v>0.3</v>
      </c>
      <c r="J6617" s="12">
        <f t="shared" si="1033"/>
        <v>-12</v>
      </c>
      <c r="K6617" s="17" t="str">
        <f t="shared" si="1038"/>
        <v>Ecart négatif</v>
      </c>
      <c r="L6617" s="16">
        <f>base!X6617</f>
        <v>12</v>
      </c>
      <c r="M6617" s="11">
        <f t="shared" si="1034"/>
        <v>0.3</v>
      </c>
      <c r="N6617" s="11">
        <f t="shared" si="1035"/>
        <v>8.4</v>
      </c>
      <c r="O6617" s="11">
        <f t="shared" si="1036"/>
        <v>0.21000000000000002</v>
      </c>
      <c r="P6617" s="12">
        <f t="shared" si="1037"/>
        <v>3.5999999999999996</v>
      </c>
      <c r="Q6617" s="17" t="str">
        <f t="shared" si="1039"/>
        <v>Ecart positif</v>
      </c>
    </row>
    <row r="6618" spans="1:18" x14ac:dyDescent="0.3">
      <c r="A6618" s="34" t="str">
        <f>base!J6618</f>
        <v>RS</v>
      </c>
      <c r="B6618" s="34" t="str">
        <f>base!V6618</f>
        <v>56360</v>
      </c>
      <c r="C6618" s="37">
        <v>56</v>
      </c>
      <c r="D6618" s="36">
        <f>base!H6618</f>
        <v>140</v>
      </c>
      <c r="E6618" s="44"/>
      <c r="F6618" s="16">
        <f>base!W6618</f>
        <v>0</v>
      </c>
      <c r="G6618" s="11">
        <f t="shared" si="1030"/>
        <v>0</v>
      </c>
      <c r="H6618" s="11">
        <f t="shared" si="1031"/>
        <v>37.800000000000004</v>
      </c>
      <c r="I6618" s="11">
        <f t="shared" si="1032"/>
        <v>0.27</v>
      </c>
      <c r="J6618" s="12">
        <f t="shared" si="1033"/>
        <v>-37.800000000000004</v>
      </c>
      <c r="K6618" s="17" t="str">
        <f t="shared" si="1038"/>
        <v>Ecart négatif</v>
      </c>
      <c r="L6618" s="16">
        <f>base!X6618</f>
        <v>0</v>
      </c>
      <c r="M6618" s="11">
        <f t="shared" si="1034"/>
        <v>0</v>
      </c>
      <c r="N6618" s="11">
        <f t="shared" si="1035"/>
        <v>0</v>
      </c>
      <c r="O6618" s="11">
        <f t="shared" si="1036"/>
        <v>0</v>
      </c>
      <c r="P6618" s="12">
        <f t="shared" si="1037"/>
        <v>0</v>
      </c>
      <c r="Q6618" s="17" t="str">
        <f t="shared" si="1039"/>
        <v>Pas d'écart</v>
      </c>
    </row>
    <row r="6619" spans="1:18" x14ac:dyDescent="0.3">
      <c r="A6619" s="34" t="str">
        <f>base!J6619</f>
        <v>RM</v>
      </c>
      <c r="B6619" s="34" t="str">
        <f>base!V6619</f>
        <v>59110</v>
      </c>
      <c r="C6619" s="37">
        <v>59</v>
      </c>
      <c r="D6619" s="36">
        <f>base!H6619</f>
        <v>70</v>
      </c>
      <c r="E6619" s="44"/>
      <c r="F6619" s="16">
        <f>base!W6619</f>
        <v>0</v>
      </c>
      <c r="G6619" s="11">
        <f t="shared" si="1030"/>
        <v>0</v>
      </c>
      <c r="H6619" s="11">
        <f t="shared" si="1031"/>
        <v>13.3</v>
      </c>
      <c r="I6619" s="11">
        <f t="shared" si="1032"/>
        <v>0.19</v>
      </c>
      <c r="J6619" s="12">
        <f t="shared" si="1033"/>
        <v>-13.3</v>
      </c>
      <c r="K6619" s="17" t="str">
        <f t="shared" si="1038"/>
        <v>Ecart négatif</v>
      </c>
      <c r="L6619" s="16">
        <f>base!X6619</f>
        <v>0</v>
      </c>
      <c r="M6619" s="11">
        <f t="shared" si="1034"/>
        <v>0</v>
      </c>
      <c r="N6619" s="11">
        <f t="shared" si="1035"/>
        <v>0</v>
      </c>
      <c r="O6619" s="11">
        <f t="shared" si="1036"/>
        <v>0</v>
      </c>
      <c r="P6619" s="12">
        <f t="shared" si="1037"/>
        <v>0</v>
      </c>
      <c r="Q6619" s="17" t="str">
        <f t="shared" si="1039"/>
        <v>Pas d'écart</v>
      </c>
    </row>
    <row r="6620" spans="1:18" x14ac:dyDescent="0.3">
      <c r="A6620" s="34" t="str">
        <f>base!J6620</f>
        <v>RM</v>
      </c>
      <c r="B6620" s="34" t="str">
        <f>base!V6620</f>
        <v>14000</v>
      </c>
      <c r="C6620" s="37">
        <v>14</v>
      </c>
      <c r="D6620" s="36">
        <f>base!H6620</f>
        <v>183.98</v>
      </c>
      <c r="E6620" s="44"/>
      <c r="F6620" s="16">
        <f>base!W6620</f>
        <v>0</v>
      </c>
      <c r="G6620" s="11">
        <f t="shared" si="1030"/>
        <v>0</v>
      </c>
      <c r="H6620" s="11">
        <f t="shared" si="1031"/>
        <v>31.276600000000002</v>
      </c>
      <c r="I6620" s="11">
        <f t="shared" si="1032"/>
        <v>0.17</v>
      </c>
      <c r="J6620" s="12">
        <f t="shared" si="1033"/>
        <v>-31.276600000000002</v>
      </c>
      <c r="K6620" s="17" t="str">
        <f t="shared" si="1038"/>
        <v>Ecart négatif</v>
      </c>
      <c r="L6620" s="16">
        <f>base!X6620</f>
        <v>31.28</v>
      </c>
      <c r="M6620" s="11">
        <f t="shared" si="1034"/>
        <v>0.17001848026959454</v>
      </c>
      <c r="N6620" s="11">
        <f t="shared" si="1035"/>
        <v>31.276600000000002</v>
      </c>
      <c r="O6620" s="11">
        <f t="shared" si="1036"/>
        <v>0.17</v>
      </c>
      <c r="P6620" s="12">
        <f t="shared" si="1037"/>
        <v>3.3999999999991815E-3</v>
      </c>
      <c r="Q6620" s="17" t="str">
        <f t="shared" si="1039"/>
        <v>Ecart positif</v>
      </c>
      <c r="R6620" s="38"/>
    </row>
    <row r="6621" spans="1:18" x14ac:dyDescent="0.3">
      <c r="A6621" s="34" t="str">
        <f>base!J6621</f>
        <v>RS</v>
      </c>
      <c r="B6621" s="34" t="str">
        <f>base!V6621</f>
        <v>14000</v>
      </c>
      <c r="C6621" s="37">
        <v>14</v>
      </c>
      <c r="D6621" s="36">
        <f>base!H6621</f>
        <v>183.98</v>
      </c>
      <c r="E6621" s="44"/>
      <c r="F6621" s="16">
        <f>base!W6621</f>
        <v>0</v>
      </c>
      <c r="G6621" s="11">
        <f t="shared" si="1030"/>
        <v>0</v>
      </c>
      <c r="H6621" s="11">
        <f t="shared" si="1031"/>
        <v>31.276600000000002</v>
      </c>
      <c r="I6621" s="11">
        <f t="shared" si="1032"/>
        <v>0.17</v>
      </c>
      <c r="J6621" s="12">
        <f t="shared" si="1033"/>
        <v>-31.276600000000002</v>
      </c>
      <c r="K6621" s="17" t="str">
        <f t="shared" si="1038"/>
        <v>Ecart négatif</v>
      </c>
      <c r="L6621" s="16">
        <f>base!X6621</f>
        <v>31.28</v>
      </c>
      <c r="M6621" s="11">
        <f t="shared" si="1034"/>
        <v>0.17001848026959454</v>
      </c>
      <c r="N6621" s="11">
        <f t="shared" si="1035"/>
        <v>31.276600000000002</v>
      </c>
      <c r="O6621" s="11">
        <f t="shared" si="1036"/>
        <v>0.17</v>
      </c>
      <c r="P6621" s="12">
        <f t="shared" si="1037"/>
        <v>3.3999999999991815E-3</v>
      </c>
      <c r="Q6621" s="17" t="str">
        <f t="shared" si="1039"/>
        <v>Ecart positif</v>
      </c>
      <c r="R6621" s="38"/>
    </row>
    <row r="6622" spans="1:18" x14ac:dyDescent="0.3">
      <c r="A6622" s="34" t="str">
        <f>base!J6622</f>
        <v>RM</v>
      </c>
      <c r="B6622" s="34" t="str">
        <f>base!V6622</f>
        <v>13127</v>
      </c>
      <c r="C6622" s="37">
        <v>13</v>
      </c>
      <c r="D6622" s="36">
        <f>base!H6622</f>
        <v>94.79</v>
      </c>
      <c r="E6622" s="44"/>
      <c r="F6622" s="16">
        <f>base!W6622</f>
        <v>0</v>
      </c>
      <c r="G6622" s="11">
        <f t="shared" si="1030"/>
        <v>0</v>
      </c>
      <c r="H6622" s="11">
        <f t="shared" si="1031"/>
        <v>27.489100000000001</v>
      </c>
      <c r="I6622" s="11">
        <f t="shared" si="1032"/>
        <v>0.28999999999999998</v>
      </c>
      <c r="J6622" s="12">
        <f t="shared" si="1033"/>
        <v>-27.489100000000001</v>
      </c>
      <c r="K6622" s="17" t="str">
        <f t="shared" si="1038"/>
        <v>Ecart négatif</v>
      </c>
      <c r="L6622" s="16">
        <f>base!X6622</f>
        <v>0</v>
      </c>
      <c r="M6622" s="11">
        <f t="shared" si="1034"/>
        <v>0</v>
      </c>
      <c r="N6622" s="11">
        <f t="shared" si="1035"/>
        <v>18.010100000000001</v>
      </c>
      <c r="O6622" s="11">
        <f t="shared" si="1036"/>
        <v>0.19</v>
      </c>
      <c r="P6622" s="12">
        <f t="shared" si="1037"/>
        <v>-18.010100000000001</v>
      </c>
      <c r="Q6622" s="17" t="str">
        <f t="shared" si="1039"/>
        <v>Ecart négatif</v>
      </c>
    </row>
    <row r="6623" spans="1:18" x14ac:dyDescent="0.3">
      <c r="A6623" s="34" t="str">
        <f>base!J6623</f>
        <v>RS</v>
      </c>
      <c r="B6623" s="34" t="str">
        <f>base!V6623</f>
        <v>05220</v>
      </c>
      <c r="C6623" s="37">
        <v>5</v>
      </c>
      <c r="D6623" s="36">
        <f>base!H6623</f>
        <v>250</v>
      </c>
      <c r="E6623" s="44"/>
      <c r="F6623" s="16">
        <f>base!W6623</f>
        <v>0</v>
      </c>
      <c r="G6623" s="11">
        <f t="shared" si="1030"/>
        <v>0</v>
      </c>
      <c r="H6623" s="11">
        <f t="shared" si="1031"/>
        <v>72.5</v>
      </c>
      <c r="I6623" s="11">
        <f t="shared" si="1032"/>
        <v>0.28999999999999998</v>
      </c>
      <c r="J6623" s="12">
        <f t="shared" si="1033"/>
        <v>-72.5</v>
      </c>
      <c r="K6623" s="17" t="str">
        <f t="shared" si="1038"/>
        <v>Ecart négatif</v>
      </c>
      <c r="L6623" s="16">
        <f>base!X6623</f>
        <v>0</v>
      </c>
      <c r="M6623" s="11">
        <f t="shared" si="1034"/>
        <v>0</v>
      </c>
      <c r="N6623" s="11">
        <f t="shared" si="1035"/>
        <v>47.5</v>
      </c>
      <c r="O6623" s="11">
        <f t="shared" si="1036"/>
        <v>0.19</v>
      </c>
      <c r="P6623" s="12">
        <f t="shared" si="1037"/>
        <v>-47.5</v>
      </c>
      <c r="Q6623" s="17" t="str">
        <f t="shared" si="1039"/>
        <v>Ecart négatif</v>
      </c>
    </row>
    <row r="6624" spans="1:18" x14ac:dyDescent="0.3">
      <c r="A6624" s="34" t="str">
        <f>base!J6624</f>
        <v>RS</v>
      </c>
      <c r="B6624" s="34" t="str">
        <f>base!V6624</f>
        <v>69800</v>
      </c>
      <c r="C6624" s="37">
        <v>69</v>
      </c>
      <c r="D6624" s="36">
        <f>base!H6624</f>
        <v>151</v>
      </c>
      <c r="E6624" s="44"/>
      <c r="F6624" s="16">
        <f>base!W6624</f>
        <v>0</v>
      </c>
      <c r="G6624" s="11">
        <f t="shared" si="1030"/>
        <v>0</v>
      </c>
      <c r="H6624" s="11">
        <f t="shared" si="1031"/>
        <v>40.770000000000003</v>
      </c>
      <c r="I6624" s="11">
        <f t="shared" si="1032"/>
        <v>0.27</v>
      </c>
      <c r="J6624" s="12">
        <f t="shared" si="1033"/>
        <v>-40.770000000000003</v>
      </c>
      <c r="K6624" s="17" t="str">
        <f t="shared" si="1038"/>
        <v>Ecart négatif</v>
      </c>
      <c r="L6624" s="16">
        <f>base!X6624</f>
        <v>40.770000000000003</v>
      </c>
      <c r="M6624" s="11">
        <f t="shared" si="1034"/>
        <v>0.27</v>
      </c>
      <c r="N6624" s="11">
        <f t="shared" si="1035"/>
        <v>0</v>
      </c>
      <c r="O6624" s="11">
        <f t="shared" si="1036"/>
        <v>0</v>
      </c>
      <c r="P6624" s="12">
        <f t="shared" si="1037"/>
        <v>40.770000000000003</v>
      </c>
      <c r="Q6624" s="17" t="str">
        <f t="shared" si="1039"/>
        <v>Ecart positif</v>
      </c>
      <c r="R6624" s="38"/>
    </row>
    <row r="6625" spans="1:18" x14ac:dyDescent="0.3">
      <c r="A6625" s="34" t="str">
        <f>base!J6625</f>
        <v>RM</v>
      </c>
      <c r="B6625" s="34" t="str">
        <f>base!V6625</f>
        <v>63120</v>
      </c>
      <c r="C6625" s="37">
        <v>63</v>
      </c>
      <c r="D6625" s="36">
        <f>base!H6625</f>
        <v>180</v>
      </c>
      <c r="E6625" s="44"/>
      <c r="F6625" s="16">
        <f>base!W6625</f>
        <v>0</v>
      </c>
      <c r="G6625" s="11">
        <f t="shared" si="1030"/>
        <v>0</v>
      </c>
      <c r="H6625" s="11">
        <f t="shared" si="1031"/>
        <v>52.199999999999996</v>
      </c>
      <c r="I6625" s="11">
        <f t="shared" si="1032"/>
        <v>0.28999999999999998</v>
      </c>
      <c r="J6625" s="12">
        <f t="shared" si="1033"/>
        <v>-52.199999999999996</v>
      </c>
      <c r="K6625" s="17" t="str">
        <f t="shared" si="1038"/>
        <v>Ecart négatif</v>
      </c>
      <c r="L6625" s="16">
        <f>base!X6625</f>
        <v>21.6</v>
      </c>
      <c r="M6625" s="11">
        <f t="shared" si="1034"/>
        <v>0.12000000000000001</v>
      </c>
      <c r="N6625" s="11">
        <f t="shared" si="1035"/>
        <v>21.599999999999998</v>
      </c>
      <c r="O6625" s="11">
        <f t="shared" si="1036"/>
        <v>0.11999999999999998</v>
      </c>
      <c r="P6625" s="12">
        <f t="shared" si="1037"/>
        <v>0</v>
      </c>
      <c r="Q6625" s="17" t="str">
        <f t="shared" si="1039"/>
        <v>Pas d'écart</v>
      </c>
      <c r="R6625" s="38"/>
    </row>
    <row r="6626" spans="1:18" x14ac:dyDescent="0.3">
      <c r="A6626" s="34" t="str">
        <f>base!J6626</f>
        <v>RM</v>
      </c>
      <c r="B6626" s="34" t="str">
        <f>base!V6626</f>
        <v>38300</v>
      </c>
      <c r="C6626" s="37">
        <v>38</v>
      </c>
      <c r="D6626" s="36">
        <f>base!H6626</f>
        <v>218.63</v>
      </c>
      <c r="E6626" s="44"/>
      <c r="F6626" s="16">
        <f>base!W6626</f>
        <v>0</v>
      </c>
      <c r="G6626" s="11">
        <f t="shared" si="1030"/>
        <v>0</v>
      </c>
      <c r="H6626" s="11">
        <f t="shared" si="1031"/>
        <v>59.030100000000004</v>
      </c>
      <c r="I6626" s="11">
        <f t="shared" si="1032"/>
        <v>0.27</v>
      </c>
      <c r="J6626" s="12">
        <f t="shared" si="1033"/>
        <v>-59.030100000000004</v>
      </c>
      <c r="K6626" s="17" t="str">
        <f t="shared" si="1038"/>
        <v>Ecart négatif</v>
      </c>
      <c r="L6626" s="16">
        <f>base!X6626</f>
        <v>0</v>
      </c>
      <c r="M6626" s="11">
        <f t="shared" si="1034"/>
        <v>0</v>
      </c>
      <c r="N6626" s="11">
        <f t="shared" si="1035"/>
        <v>0</v>
      </c>
      <c r="O6626" s="11">
        <f t="shared" si="1036"/>
        <v>0</v>
      </c>
      <c r="P6626" s="12">
        <f t="shared" si="1037"/>
        <v>0</v>
      </c>
      <c r="Q6626" s="17" t="str">
        <f t="shared" si="1039"/>
        <v>Pas d'écart</v>
      </c>
    </row>
    <row r="6627" spans="1:18" x14ac:dyDescent="0.3">
      <c r="A6627" s="34" t="str">
        <f>base!J6627</f>
        <v>RS</v>
      </c>
      <c r="B6627" s="34" t="str">
        <f>base!V6627</f>
        <v>38200</v>
      </c>
      <c r="C6627" s="37">
        <v>38</v>
      </c>
      <c r="D6627" s="36">
        <f>base!H6627</f>
        <v>944.69</v>
      </c>
      <c r="E6627" s="44"/>
      <c r="F6627" s="16">
        <f>base!W6627</f>
        <v>0</v>
      </c>
      <c r="G6627" s="11">
        <f t="shared" si="1030"/>
        <v>0</v>
      </c>
      <c r="H6627" s="11">
        <f t="shared" si="1031"/>
        <v>255.06630000000004</v>
      </c>
      <c r="I6627" s="11">
        <f t="shared" si="1032"/>
        <v>0.27</v>
      </c>
      <c r="J6627" s="12">
        <f t="shared" si="1033"/>
        <v>-255.06630000000004</v>
      </c>
      <c r="K6627" s="17" t="str">
        <f t="shared" si="1038"/>
        <v>Ecart négatif</v>
      </c>
      <c r="L6627" s="16">
        <f>base!X6627</f>
        <v>0</v>
      </c>
      <c r="M6627" s="11">
        <f t="shared" si="1034"/>
        <v>0</v>
      </c>
      <c r="N6627" s="11">
        <f t="shared" si="1035"/>
        <v>0</v>
      </c>
      <c r="O6627" s="11">
        <f t="shared" si="1036"/>
        <v>0</v>
      </c>
      <c r="P6627" s="12">
        <f t="shared" si="1037"/>
        <v>0</v>
      </c>
      <c r="Q6627" s="17" t="str">
        <f t="shared" si="1039"/>
        <v>Pas d'écart</v>
      </c>
    </row>
    <row r="6628" spans="1:18" x14ac:dyDescent="0.3">
      <c r="A6628" s="34" t="str">
        <f>base!J6628</f>
        <v>RS</v>
      </c>
      <c r="B6628" s="34" t="str">
        <f>base!V6628</f>
        <v>98000</v>
      </c>
      <c r="C6628" s="37">
        <v>98</v>
      </c>
      <c r="D6628" s="36">
        <f>base!H6628</f>
        <v>128.4</v>
      </c>
      <c r="E6628" s="44"/>
      <c r="F6628" s="16">
        <f>base!W6628</f>
        <v>0</v>
      </c>
      <c r="G6628" s="11">
        <f t="shared" si="1030"/>
        <v>0</v>
      </c>
      <c r="H6628" s="11">
        <f t="shared" si="1031"/>
        <v>34.668000000000006</v>
      </c>
      <c r="I6628" s="11">
        <f t="shared" si="1032"/>
        <v>0.27</v>
      </c>
      <c r="J6628" s="12">
        <f t="shared" si="1033"/>
        <v>-34.668000000000006</v>
      </c>
      <c r="K6628" s="17" t="str">
        <f t="shared" si="1038"/>
        <v>Ecart négatif</v>
      </c>
      <c r="L6628" s="16">
        <f>base!X6628</f>
        <v>0</v>
      </c>
      <c r="M6628" s="11">
        <f t="shared" si="1034"/>
        <v>0</v>
      </c>
      <c r="N6628" s="11">
        <f t="shared" si="1035"/>
        <v>26.963999999999999</v>
      </c>
      <c r="O6628" s="11">
        <f t="shared" si="1036"/>
        <v>0.21</v>
      </c>
      <c r="P6628" s="12">
        <f t="shared" si="1037"/>
        <v>-26.963999999999999</v>
      </c>
      <c r="Q6628" s="17" t="str">
        <f t="shared" si="1039"/>
        <v>Ecart négatif</v>
      </c>
    </row>
    <row r="6629" spans="1:18" x14ac:dyDescent="0.3">
      <c r="A6629" s="34" t="str">
        <f>base!J6629</f>
        <v>RS</v>
      </c>
      <c r="B6629" s="34" t="str">
        <f>base!V6629</f>
        <v>51220</v>
      </c>
      <c r="C6629" s="37">
        <v>51</v>
      </c>
      <c r="D6629" s="36">
        <f>base!H6629</f>
        <v>103.3</v>
      </c>
      <c r="E6629" s="44"/>
      <c r="F6629" s="16">
        <f>base!W6629</f>
        <v>0</v>
      </c>
      <c r="G6629" s="11">
        <f t="shared" si="1030"/>
        <v>0</v>
      </c>
      <c r="H6629" s="11">
        <f t="shared" si="1031"/>
        <v>25.824999999999999</v>
      </c>
      <c r="I6629" s="11">
        <f t="shared" si="1032"/>
        <v>0.25</v>
      </c>
      <c r="J6629" s="12">
        <f t="shared" si="1033"/>
        <v>-25.824999999999999</v>
      </c>
      <c r="K6629" s="17" t="str">
        <f t="shared" si="1038"/>
        <v>Ecart négatif</v>
      </c>
      <c r="L6629" s="16">
        <f>base!X6629</f>
        <v>25.82</v>
      </c>
      <c r="M6629" s="11">
        <f t="shared" si="1034"/>
        <v>0.24995159728944821</v>
      </c>
      <c r="N6629" s="11">
        <f t="shared" si="1035"/>
        <v>25.824999999999999</v>
      </c>
      <c r="O6629" s="11">
        <f t="shared" si="1036"/>
        <v>0.25</v>
      </c>
      <c r="P6629" s="12">
        <f t="shared" si="1037"/>
        <v>-4.9999999999990052E-3</v>
      </c>
      <c r="Q6629" s="17" t="str">
        <f t="shared" si="1039"/>
        <v>Ecart négatif</v>
      </c>
      <c r="R6629" s="38"/>
    </row>
    <row r="6630" spans="1:18" x14ac:dyDescent="0.3">
      <c r="A6630" s="34" t="str">
        <f>base!J6630</f>
        <v>RM</v>
      </c>
      <c r="B6630" s="34" t="str">
        <f>base!V6630</f>
        <v>57000</v>
      </c>
      <c r="C6630" s="37">
        <v>57</v>
      </c>
      <c r="D6630" s="36">
        <f>base!H6630</f>
        <v>109.06</v>
      </c>
      <c r="E6630" s="44"/>
      <c r="F6630" s="16">
        <f>base!W6630</f>
        <v>0</v>
      </c>
      <c r="G6630" s="11">
        <f t="shared" si="1030"/>
        <v>0</v>
      </c>
      <c r="H6630" s="11">
        <f t="shared" si="1031"/>
        <v>26.174399999999999</v>
      </c>
      <c r="I6630" s="11">
        <f t="shared" si="1032"/>
        <v>0.24</v>
      </c>
      <c r="J6630" s="12">
        <f t="shared" si="1033"/>
        <v>-26.174399999999999</v>
      </c>
      <c r="K6630" s="17" t="str">
        <f t="shared" si="1038"/>
        <v>Ecart négatif</v>
      </c>
      <c r="L6630" s="16">
        <f>base!X6630</f>
        <v>27.26</v>
      </c>
      <c r="M6630" s="11">
        <f t="shared" si="1034"/>
        <v>0.24995415367687512</v>
      </c>
      <c r="N6630" s="11">
        <f t="shared" si="1035"/>
        <v>27.265000000000001</v>
      </c>
      <c r="O6630" s="11">
        <f t="shared" si="1036"/>
        <v>0.25</v>
      </c>
      <c r="P6630" s="12">
        <f t="shared" si="1037"/>
        <v>-4.9999999999990052E-3</v>
      </c>
      <c r="Q6630" s="17" t="str">
        <f t="shared" si="1039"/>
        <v>Ecart négatif</v>
      </c>
      <c r="R6630" s="38"/>
    </row>
    <row r="6631" spans="1:18" x14ac:dyDescent="0.3">
      <c r="A6631" s="34" t="str">
        <f>base!J6631</f>
        <v>DRS</v>
      </c>
      <c r="B6631" s="34" t="str">
        <f>base!V6631</f>
        <v>18000</v>
      </c>
      <c r="C6631" s="37">
        <v>18</v>
      </c>
      <c r="D6631" s="36">
        <f>base!H6631</f>
        <v>155.36000000000001</v>
      </c>
      <c r="E6631" s="44"/>
      <c r="F6631" s="16">
        <f>base!W6631</f>
        <v>0</v>
      </c>
      <c r="G6631" s="11">
        <f t="shared" si="1030"/>
        <v>0</v>
      </c>
      <c r="H6631" s="11">
        <f t="shared" si="1031"/>
        <v>32.625599999999999</v>
      </c>
      <c r="I6631" s="11">
        <f t="shared" si="1032"/>
        <v>0.20999999999999996</v>
      </c>
      <c r="J6631" s="12">
        <f t="shared" si="1033"/>
        <v>-32.625599999999999</v>
      </c>
      <c r="K6631" s="17" t="str">
        <f t="shared" si="1038"/>
        <v>Ecart négatif</v>
      </c>
      <c r="L6631" s="16">
        <f>base!X6631</f>
        <v>0</v>
      </c>
      <c r="M6631" s="11">
        <f t="shared" si="1034"/>
        <v>0</v>
      </c>
      <c r="N6631" s="11">
        <f t="shared" si="1035"/>
        <v>18.6432</v>
      </c>
      <c r="O6631" s="11">
        <f t="shared" si="1036"/>
        <v>0.12</v>
      </c>
      <c r="P6631" s="12">
        <f t="shared" si="1037"/>
        <v>-18.6432</v>
      </c>
      <c r="Q6631" s="17" t="str">
        <f t="shared" si="1039"/>
        <v>Ecart négatif</v>
      </c>
    </row>
    <row r="6632" spans="1:18" x14ac:dyDescent="0.3">
      <c r="A6632" s="34" t="str">
        <f>base!J6632</f>
        <v>LS</v>
      </c>
      <c r="B6632" s="34" t="str">
        <f>base!V6632</f>
        <v>77140</v>
      </c>
      <c r="C6632" s="37">
        <v>77</v>
      </c>
      <c r="D6632" s="36">
        <f>base!H6632</f>
        <v>160</v>
      </c>
      <c r="E6632" s="44"/>
      <c r="F6632" s="16">
        <f>base!W6632</f>
        <v>0</v>
      </c>
      <c r="G6632" s="11">
        <f t="shared" si="1030"/>
        <v>0</v>
      </c>
      <c r="H6632" s="11">
        <f t="shared" si="1031"/>
        <v>0</v>
      </c>
      <c r="I6632" s="11">
        <f t="shared" si="1032"/>
        <v>0</v>
      </c>
      <c r="J6632" s="12">
        <f t="shared" si="1033"/>
        <v>0</v>
      </c>
      <c r="K6632" s="17" t="str">
        <f t="shared" si="1038"/>
        <v>Pas d'écart</v>
      </c>
      <c r="L6632" s="16">
        <f>base!X6632</f>
        <v>0</v>
      </c>
      <c r="M6632" s="11">
        <f t="shared" si="1034"/>
        <v>0</v>
      </c>
      <c r="N6632" s="11">
        <f t="shared" si="1035"/>
        <v>0</v>
      </c>
      <c r="O6632" s="11">
        <f t="shared" si="1036"/>
        <v>0</v>
      </c>
      <c r="P6632" s="12">
        <f t="shared" si="1037"/>
        <v>0</v>
      </c>
      <c r="Q6632" s="17" t="str">
        <f t="shared" si="1039"/>
        <v>Pas d'écart</v>
      </c>
    </row>
    <row r="6633" spans="1:18" x14ac:dyDescent="0.3">
      <c r="A6633" s="34" t="str">
        <f>base!J6633</f>
        <v>RS</v>
      </c>
      <c r="B6633" s="34" t="str">
        <f>base!V6633</f>
        <v>64320</v>
      </c>
      <c r="C6633" s="37">
        <v>64</v>
      </c>
      <c r="D6633" s="36">
        <f>base!H6633</f>
        <v>40</v>
      </c>
      <c r="E6633" s="44"/>
      <c r="F6633" s="16">
        <f>base!W6633</f>
        <v>0</v>
      </c>
      <c r="G6633" s="11">
        <f t="shared" si="1030"/>
        <v>0</v>
      </c>
      <c r="H6633" s="11">
        <f t="shared" si="1031"/>
        <v>8.4</v>
      </c>
      <c r="I6633" s="11">
        <f t="shared" si="1032"/>
        <v>0.21000000000000002</v>
      </c>
      <c r="J6633" s="12">
        <f t="shared" si="1033"/>
        <v>-8.4</v>
      </c>
      <c r="K6633" s="17" t="str">
        <f t="shared" si="1038"/>
        <v>Ecart négatif</v>
      </c>
      <c r="L6633" s="16">
        <f>base!X6633</f>
        <v>6.8</v>
      </c>
      <c r="M6633" s="11">
        <f t="shared" si="1034"/>
        <v>0.16999999999999998</v>
      </c>
      <c r="N6633" s="11">
        <f t="shared" si="1035"/>
        <v>6.8000000000000007</v>
      </c>
      <c r="O6633" s="11">
        <f t="shared" si="1036"/>
        <v>0.17</v>
      </c>
      <c r="P6633" s="12">
        <f t="shared" si="1037"/>
        <v>0</v>
      </c>
      <c r="Q6633" s="17" t="str">
        <f t="shared" si="1039"/>
        <v>Pas d'écart</v>
      </c>
      <c r="R6633" s="38"/>
    </row>
    <row r="6634" spans="1:18" x14ac:dyDescent="0.3">
      <c r="A6634" s="34" t="str">
        <f>base!J6634</f>
        <v>DLM</v>
      </c>
      <c r="B6634" s="34" t="str">
        <f>base!V6634</f>
        <v>59000</v>
      </c>
      <c r="C6634" s="37">
        <v>59</v>
      </c>
      <c r="D6634" s="36">
        <f>base!H6634</f>
        <v>52.5</v>
      </c>
      <c r="E6634" s="44"/>
      <c r="F6634" s="16">
        <f>base!W6634</f>
        <v>0</v>
      </c>
      <c r="G6634" s="11">
        <f t="shared" si="1030"/>
        <v>0</v>
      </c>
      <c r="H6634" s="11">
        <f t="shared" si="1031"/>
        <v>9.9749999999999996</v>
      </c>
      <c r="I6634" s="11">
        <f t="shared" si="1032"/>
        <v>0.19</v>
      </c>
      <c r="J6634" s="12">
        <f t="shared" si="1033"/>
        <v>-9.9749999999999996</v>
      </c>
      <c r="K6634" s="17" t="str">
        <f t="shared" si="1038"/>
        <v>Ecart négatif</v>
      </c>
      <c r="L6634" s="16">
        <f>base!X6634</f>
        <v>0</v>
      </c>
      <c r="M6634" s="11">
        <f t="shared" si="1034"/>
        <v>0</v>
      </c>
      <c r="N6634" s="11">
        <f t="shared" si="1035"/>
        <v>0</v>
      </c>
      <c r="O6634" s="11">
        <f t="shared" si="1036"/>
        <v>0</v>
      </c>
      <c r="P6634" s="12">
        <f t="shared" si="1037"/>
        <v>0</v>
      </c>
      <c r="Q6634" s="17" t="str">
        <f t="shared" si="1039"/>
        <v>Pas d'écart</v>
      </c>
    </row>
    <row r="6635" spans="1:18" x14ac:dyDescent="0.3">
      <c r="A6635" s="34" t="str">
        <f>base!J6635</f>
        <v>DLM</v>
      </c>
      <c r="B6635" s="34" t="str">
        <f>base!V6635</f>
        <v>13013</v>
      </c>
      <c r="C6635" s="37">
        <v>13</v>
      </c>
      <c r="D6635" s="36">
        <f>base!H6635</f>
        <v>52.5</v>
      </c>
      <c r="E6635" s="44"/>
      <c r="F6635" s="16">
        <f>base!W6635</f>
        <v>0</v>
      </c>
      <c r="G6635" s="11">
        <f t="shared" si="1030"/>
        <v>0</v>
      </c>
      <c r="H6635" s="11">
        <f t="shared" si="1031"/>
        <v>15.225</v>
      </c>
      <c r="I6635" s="11">
        <f t="shared" si="1032"/>
        <v>0.28999999999999998</v>
      </c>
      <c r="J6635" s="12">
        <f t="shared" si="1033"/>
        <v>-15.225</v>
      </c>
      <c r="K6635" s="17" t="str">
        <f t="shared" si="1038"/>
        <v>Ecart négatif</v>
      </c>
      <c r="L6635" s="16">
        <f>base!X6635</f>
        <v>0</v>
      </c>
      <c r="M6635" s="11">
        <f t="shared" si="1034"/>
        <v>0</v>
      </c>
      <c r="N6635" s="11">
        <f t="shared" si="1035"/>
        <v>9.9749999999999996</v>
      </c>
      <c r="O6635" s="11">
        <f t="shared" si="1036"/>
        <v>0.19</v>
      </c>
      <c r="P6635" s="12">
        <f t="shared" si="1037"/>
        <v>-9.9749999999999996</v>
      </c>
      <c r="Q6635" s="17" t="str">
        <f t="shared" si="1039"/>
        <v>Ecart négatif</v>
      </c>
    </row>
    <row r="6636" spans="1:18" x14ac:dyDescent="0.3">
      <c r="A6636" s="34" t="str">
        <f>base!J6636</f>
        <v>DLM</v>
      </c>
      <c r="B6636" s="34" t="str">
        <f>base!V6636</f>
        <v>68200</v>
      </c>
      <c r="C6636" s="37">
        <v>68</v>
      </c>
      <c r="D6636" s="36">
        <f>base!H6636</f>
        <v>52.5</v>
      </c>
      <c r="E6636" s="44"/>
      <c r="F6636" s="16">
        <f>base!W6636</f>
        <v>15.23</v>
      </c>
      <c r="G6636" s="11">
        <f t="shared" si="1030"/>
        <v>0.29009523809523813</v>
      </c>
      <c r="H6636" s="11">
        <f t="shared" si="1031"/>
        <v>15.225</v>
      </c>
      <c r="I6636" s="11">
        <f t="shared" si="1032"/>
        <v>0.28999999999999998</v>
      </c>
      <c r="J6636" s="12">
        <f t="shared" si="1033"/>
        <v>5.0000000000007816E-3</v>
      </c>
      <c r="K6636" s="17" t="str">
        <f t="shared" si="1038"/>
        <v>Ecart positif</v>
      </c>
      <c r="L6636" s="16">
        <f>base!X6636</f>
        <v>0</v>
      </c>
      <c r="M6636" s="11">
        <f t="shared" si="1034"/>
        <v>0</v>
      </c>
      <c r="N6636" s="11">
        <f t="shared" si="1035"/>
        <v>4.2</v>
      </c>
      <c r="O6636" s="11">
        <f t="shared" si="1036"/>
        <v>0.08</v>
      </c>
      <c r="P6636" s="12">
        <f t="shared" si="1037"/>
        <v>-4.2</v>
      </c>
      <c r="Q6636" s="17" t="str">
        <f t="shared" si="1039"/>
        <v>Ecart négatif</v>
      </c>
    </row>
    <row r="6637" spans="1:18" x14ac:dyDescent="0.3">
      <c r="A6637" s="34" t="str">
        <f>base!J6637</f>
        <v>DLM</v>
      </c>
      <c r="B6637" s="34" t="str">
        <f>base!V6637</f>
        <v>30000</v>
      </c>
      <c r="C6637" s="37">
        <v>30</v>
      </c>
      <c r="D6637" s="36">
        <f>base!H6637</f>
        <v>52.5</v>
      </c>
      <c r="E6637" s="44"/>
      <c r="F6637" s="16">
        <f>base!W6637</f>
        <v>0</v>
      </c>
      <c r="G6637" s="11">
        <f t="shared" si="1030"/>
        <v>0</v>
      </c>
      <c r="H6637" s="11">
        <f t="shared" si="1031"/>
        <v>20.475000000000001</v>
      </c>
      <c r="I6637" s="11">
        <f t="shared" si="1032"/>
        <v>0.39</v>
      </c>
      <c r="J6637" s="12">
        <f t="shared" si="1033"/>
        <v>-20.475000000000001</v>
      </c>
      <c r="K6637" s="17" t="str">
        <f t="shared" si="1038"/>
        <v>Ecart négatif</v>
      </c>
      <c r="L6637" s="16">
        <f>base!X6637</f>
        <v>0</v>
      </c>
      <c r="M6637" s="11">
        <f t="shared" si="1034"/>
        <v>0</v>
      </c>
      <c r="N6637" s="11">
        <f t="shared" si="1035"/>
        <v>14.700000000000001</v>
      </c>
      <c r="O6637" s="11">
        <f t="shared" si="1036"/>
        <v>0.28000000000000003</v>
      </c>
      <c r="P6637" s="12">
        <f t="shared" si="1037"/>
        <v>-14.700000000000001</v>
      </c>
      <c r="Q6637" s="17" t="str">
        <f t="shared" si="1039"/>
        <v>Ecart négatif</v>
      </c>
    </row>
    <row r="6638" spans="1:18" x14ac:dyDescent="0.3">
      <c r="A6638" s="34" t="str">
        <f>base!J6638</f>
        <v>DLM</v>
      </c>
      <c r="B6638" s="34" t="str">
        <f>base!V6638</f>
        <v>33150</v>
      </c>
      <c r="C6638" s="37">
        <v>33</v>
      </c>
      <c r="D6638" s="36">
        <f>base!H6638</f>
        <v>52.5</v>
      </c>
      <c r="E6638" s="44"/>
      <c r="F6638" s="16">
        <f>base!W6638</f>
        <v>0</v>
      </c>
      <c r="G6638" s="11">
        <f t="shared" si="1030"/>
        <v>0</v>
      </c>
      <c r="H6638" s="11">
        <f t="shared" si="1031"/>
        <v>11.025</v>
      </c>
      <c r="I6638" s="11">
        <f t="shared" si="1032"/>
        <v>0.21000000000000002</v>
      </c>
      <c r="J6638" s="12">
        <f t="shared" si="1033"/>
        <v>-11.025</v>
      </c>
      <c r="K6638" s="17" t="str">
        <f t="shared" si="1038"/>
        <v>Ecart négatif</v>
      </c>
      <c r="L6638" s="16">
        <f>base!X6638</f>
        <v>0</v>
      </c>
      <c r="M6638" s="11">
        <f t="shared" si="1034"/>
        <v>0</v>
      </c>
      <c r="N6638" s="11">
        <f t="shared" si="1035"/>
        <v>8.9250000000000007</v>
      </c>
      <c r="O6638" s="11">
        <f t="shared" si="1036"/>
        <v>0.17</v>
      </c>
      <c r="P6638" s="12">
        <f t="shared" si="1037"/>
        <v>-8.9250000000000007</v>
      </c>
      <c r="Q6638" s="17" t="str">
        <f t="shared" si="1039"/>
        <v>Ecart négatif</v>
      </c>
    </row>
    <row r="6639" spans="1:18" x14ac:dyDescent="0.3">
      <c r="A6639" s="34" t="str">
        <f>base!J6639</f>
        <v>LS</v>
      </c>
      <c r="B6639" s="34" t="str">
        <f>base!V6639</f>
        <v>01000</v>
      </c>
      <c r="C6639" s="37">
        <v>6</v>
      </c>
      <c r="D6639" s="36">
        <f>base!H6639</f>
        <v>5.4</v>
      </c>
      <c r="E6639" s="44"/>
      <c r="F6639" s="16">
        <f>base!W6639</f>
        <v>1.46</v>
      </c>
      <c r="G6639" s="11">
        <f t="shared" si="1030"/>
        <v>0.27037037037037037</v>
      </c>
      <c r="H6639" s="11">
        <f t="shared" si="1031"/>
        <v>1.62</v>
      </c>
      <c r="I6639" s="11">
        <f t="shared" si="1032"/>
        <v>0.3</v>
      </c>
      <c r="J6639" s="12">
        <f t="shared" si="1033"/>
        <v>-0.16000000000000014</v>
      </c>
      <c r="K6639" s="17" t="str">
        <f t="shared" si="1038"/>
        <v>Ecart négatif</v>
      </c>
      <c r="L6639" s="16">
        <f>base!X6639</f>
        <v>0</v>
      </c>
      <c r="M6639" s="11">
        <f t="shared" si="1034"/>
        <v>0</v>
      </c>
      <c r="N6639" s="11">
        <f t="shared" si="1035"/>
        <v>1.1340000000000001</v>
      </c>
      <c r="O6639" s="11">
        <f t="shared" si="1036"/>
        <v>0.21000000000000002</v>
      </c>
      <c r="P6639" s="12">
        <f t="shared" si="1037"/>
        <v>-1.1340000000000001</v>
      </c>
      <c r="Q6639" s="17" t="str">
        <f t="shared" si="1039"/>
        <v>Ecart négatif</v>
      </c>
    </row>
    <row r="6640" spans="1:18" x14ac:dyDescent="0.3">
      <c r="A6640" s="34" t="str">
        <f>base!J6640</f>
        <v>RM</v>
      </c>
      <c r="B6640" s="34" t="str">
        <f>base!V6640</f>
        <v>77170</v>
      </c>
      <c r="C6640" s="37">
        <v>77</v>
      </c>
      <c r="D6640" s="36">
        <f>base!H6640</f>
        <v>151</v>
      </c>
      <c r="E6640" s="44"/>
      <c r="F6640" s="16">
        <f>base!W6640</f>
        <v>0</v>
      </c>
      <c r="G6640" s="11">
        <f t="shared" si="1030"/>
        <v>0</v>
      </c>
      <c r="H6640" s="11">
        <f t="shared" si="1031"/>
        <v>0</v>
      </c>
      <c r="I6640" s="11">
        <f t="shared" si="1032"/>
        <v>0</v>
      </c>
      <c r="J6640" s="12">
        <f t="shared" si="1033"/>
        <v>0</v>
      </c>
      <c r="K6640" s="17" t="str">
        <f t="shared" si="1038"/>
        <v>Pas d'écart</v>
      </c>
      <c r="L6640" s="16">
        <f>base!X6640</f>
        <v>0</v>
      </c>
      <c r="M6640" s="11">
        <f t="shared" si="1034"/>
        <v>0</v>
      </c>
      <c r="N6640" s="11">
        <f t="shared" si="1035"/>
        <v>0</v>
      </c>
      <c r="O6640" s="11">
        <f t="shared" si="1036"/>
        <v>0</v>
      </c>
      <c r="P6640" s="12">
        <f t="shared" si="1037"/>
        <v>0</v>
      </c>
      <c r="Q6640" s="17" t="str">
        <f t="shared" si="1039"/>
        <v>Pas d'écart</v>
      </c>
    </row>
    <row r="6641" spans="1:18" x14ac:dyDescent="0.3">
      <c r="A6641" s="34" t="str">
        <f>base!J6641</f>
        <v>RS</v>
      </c>
      <c r="B6641" s="34" t="str">
        <f>base!V6641</f>
        <v>54700</v>
      </c>
      <c r="C6641" s="37">
        <v>54</v>
      </c>
      <c r="D6641" s="36">
        <f>base!H6641</f>
        <v>160</v>
      </c>
      <c r="E6641" s="44"/>
      <c r="F6641" s="16">
        <f>base!W6641</f>
        <v>0</v>
      </c>
      <c r="G6641" s="11">
        <f t="shared" si="1030"/>
        <v>0</v>
      </c>
      <c r="H6641" s="11">
        <f t="shared" si="1031"/>
        <v>40</v>
      </c>
      <c r="I6641" s="11">
        <f t="shared" si="1032"/>
        <v>0.25</v>
      </c>
      <c r="J6641" s="12">
        <f t="shared" si="1033"/>
        <v>-40</v>
      </c>
      <c r="K6641" s="17" t="str">
        <f t="shared" si="1038"/>
        <v>Ecart négatif</v>
      </c>
      <c r="L6641" s="16">
        <f>base!X6641</f>
        <v>40</v>
      </c>
      <c r="M6641" s="11">
        <f t="shared" si="1034"/>
        <v>0.25</v>
      </c>
      <c r="N6641" s="11">
        <f t="shared" si="1035"/>
        <v>40</v>
      </c>
      <c r="O6641" s="11">
        <f t="shared" si="1036"/>
        <v>0.25</v>
      </c>
      <c r="P6641" s="12">
        <f t="shared" si="1037"/>
        <v>0</v>
      </c>
      <c r="Q6641" s="17" t="str">
        <f t="shared" si="1039"/>
        <v>Pas d'écart</v>
      </c>
    </row>
    <row r="6642" spans="1:18" x14ac:dyDescent="0.3">
      <c r="A6642" s="34" t="str">
        <f>base!J6642</f>
        <v>LM</v>
      </c>
      <c r="B6642" s="34" t="str">
        <f>base!V6642</f>
        <v>62200</v>
      </c>
      <c r="C6642" s="37">
        <v>13</v>
      </c>
      <c r="D6642" s="36">
        <f>base!H6642</f>
        <v>19.8</v>
      </c>
      <c r="E6642" s="44"/>
      <c r="F6642" s="16">
        <f>base!W6642</f>
        <v>3.76</v>
      </c>
      <c r="G6642" s="11">
        <f t="shared" si="1030"/>
        <v>0.18989898989898987</v>
      </c>
      <c r="H6642" s="11">
        <f t="shared" si="1031"/>
        <v>5.742</v>
      </c>
      <c r="I6642" s="11">
        <f t="shared" si="1032"/>
        <v>0.28999999999999998</v>
      </c>
      <c r="J6642" s="12">
        <f t="shared" si="1033"/>
        <v>-1.9820000000000002</v>
      </c>
      <c r="K6642" s="17" t="str">
        <f t="shared" si="1038"/>
        <v>Ecart négatif</v>
      </c>
      <c r="L6642" s="16">
        <f>base!X6642</f>
        <v>0</v>
      </c>
      <c r="M6642" s="11">
        <f t="shared" si="1034"/>
        <v>0</v>
      </c>
      <c r="N6642" s="11">
        <f t="shared" si="1035"/>
        <v>3.762</v>
      </c>
      <c r="O6642" s="11">
        <f t="shared" si="1036"/>
        <v>0.19</v>
      </c>
      <c r="P6642" s="12">
        <f t="shared" si="1037"/>
        <v>-3.762</v>
      </c>
      <c r="Q6642" s="17" t="str">
        <f t="shared" si="1039"/>
        <v>Ecart négatif</v>
      </c>
    </row>
    <row r="6643" spans="1:18" x14ac:dyDescent="0.3">
      <c r="A6643" s="34" t="str">
        <f>base!J6643</f>
        <v>RM</v>
      </c>
      <c r="B6643" s="34" t="str">
        <f>base!V6643</f>
        <v>85000</v>
      </c>
      <c r="C6643" s="37">
        <v>85</v>
      </c>
      <c r="D6643" s="36">
        <f>base!H6643</f>
        <v>151</v>
      </c>
      <c r="E6643" s="44"/>
      <c r="F6643" s="16">
        <f>base!W6643</f>
        <v>0</v>
      </c>
      <c r="G6643" s="11">
        <f t="shared" si="1030"/>
        <v>0</v>
      </c>
      <c r="H6643" s="11">
        <f t="shared" si="1031"/>
        <v>40.770000000000003</v>
      </c>
      <c r="I6643" s="11">
        <f t="shared" si="1032"/>
        <v>0.27</v>
      </c>
      <c r="J6643" s="12">
        <f t="shared" si="1033"/>
        <v>-40.770000000000003</v>
      </c>
      <c r="K6643" s="17" t="str">
        <f t="shared" si="1038"/>
        <v>Ecart négatif</v>
      </c>
      <c r="L6643" s="16">
        <f>base!X6643</f>
        <v>0</v>
      </c>
      <c r="M6643" s="11">
        <f t="shared" si="1034"/>
        <v>0</v>
      </c>
      <c r="N6643" s="11">
        <f t="shared" si="1035"/>
        <v>0</v>
      </c>
      <c r="O6643" s="11">
        <f t="shared" si="1036"/>
        <v>0</v>
      </c>
      <c r="P6643" s="12">
        <f t="shared" si="1037"/>
        <v>0</v>
      </c>
      <c r="Q6643" s="17" t="str">
        <f t="shared" si="1039"/>
        <v>Pas d'écart</v>
      </c>
    </row>
    <row r="6644" spans="1:18" x14ac:dyDescent="0.3">
      <c r="A6644" s="34" t="str">
        <f>base!J6644</f>
        <v>LM</v>
      </c>
      <c r="B6644" s="34" t="str">
        <f>base!V6644</f>
        <v>63120</v>
      </c>
      <c r="C6644" s="37">
        <v>63</v>
      </c>
      <c r="D6644" s="36">
        <f>base!H6644</f>
        <v>189.79</v>
      </c>
      <c r="E6644" s="44"/>
      <c r="F6644" s="16">
        <f>base!W6644</f>
        <v>55.04</v>
      </c>
      <c r="G6644" s="11">
        <f t="shared" si="1030"/>
        <v>0.2900047420833553</v>
      </c>
      <c r="H6644" s="11">
        <f t="shared" si="1031"/>
        <v>55.039099999999991</v>
      </c>
      <c r="I6644" s="11">
        <f t="shared" si="1032"/>
        <v>0.28999999999999998</v>
      </c>
      <c r="J6644" s="12">
        <f t="shared" si="1033"/>
        <v>9.0000000000856062E-4</v>
      </c>
      <c r="K6644" s="17" t="str">
        <f t="shared" si="1038"/>
        <v>Ecart positif</v>
      </c>
      <c r="L6644" s="16">
        <f>base!X6644</f>
        <v>0</v>
      </c>
      <c r="M6644" s="11">
        <f t="shared" si="1034"/>
        <v>0</v>
      </c>
      <c r="N6644" s="11">
        <f t="shared" si="1035"/>
        <v>22.774799999999999</v>
      </c>
      <c r="O6644" s="11">
        <f t="shared" si="1036"/>
        <v>0.12</v>
      </c>
      <c r="P6644" s="12">
        <f t="shared" si="1037"/>
        <v>-22.774799999999999</v>
      </c>
      <c r="Q6644" s="17" t="str">
        <f t="shared" si="1039"/>
        <v>Ecart négatif</v>
      </c>
    </row>
    <row r="6645" spans="1:18" x14ac:dyDescent="0.3">
      <c r="A6645" s="34" t="str">
        <f>base!J6645</f>
        <v>LM</v>
      </c>
      <c r="B6645" s="34" t="str">
        <f>base!V6645</f>
        <v>93013</v>
      </c>
      <c r="C6645" s="37">
        <v>93</v>
      </c>
      <c r="D6645" s="36">
        <f>base!H6645</f>
        <v>55.16</v>
      </c>
      <c r="E6645" s="44"/>
      <c r="F6645" s="16">
        <f>base!W6645</f>
        <v>0</v>
      </c>
      <c r="G6645" s="11">
        <f t="shared" si="1030"/>
        <v>0</v>
      </c>
      <c r="H6645" s="11">
        <f t="shared" si="1031"/>
        <v>0</v>
      </c>
      <c r="I6645" s="11">
        <f t="shared" si="1032"/>
        <v>0</v>
      </c>
      <c r="J6645" s="12">
        <f t="shared" si="1033"/>
        <v>0</v>
      </c>
      <c r="K6645" s="17" t="str">
        <f t="shared" si="1038"/>
        <v>Pas d'écart</v>
      </c>
      <c r="L6645" s="16">
        <f>base!X6645</f>
        <v>0</v>
      </c>
      <c r="M6645" s="11">
        <f t="shared" si="1034"/>
        <v>0</v>
      </c>
      <c r="N6645" s="11">
        <f t="shared" si="1035"/>
        <v>0</v>
      </c>
      <c r="O6645" s="11">
        <f t="shared" si="1036"/>
        <v>0</v>
      </c>
      <c r="P6645" s="12">
        <f t="shared" si="1037"/>
        <v>0</v>
      </c>
      <c r="Q6645" s="17" t="str">
        <f t="shared" si="1039"/>
        <v>Pas d'écart</v>
      </c>
    </row>
    <row r="6646" spans="1:18" x14ac:dyDescent="0.3">
      <c r="A6646" s="34" t="str">
        <f>base!J6646</f>
        <v>LM</v>
      </c>
      <c r="B6646" s="34" t="str">
        <f>base!V6646</f>
        <v>38110</v>
      </c>
      <c r="C6646" s="37">
        <v>13</v>
      </c>
      <c r="D6646" s="36">
        <f>base!H6646</f>
        <v>19.649999999999999</v>
      </c>
      <c r="E6646" s="44"/>
      <c r="F6646" s="16">
        <f>base!W6646</f>
        <v>5.31</v>
      </c>
      <c r="G6646" s="11">
        <f t="shared" si="1030"/>
        <v>0.27022900763358776</v>
      </c>
      <c r="H6646" s="11">
        <f t="shared" si="1031"/>
        <v>5.6984999999999992</v>
      </c>
      <c r="I6646" s="11">
        <f t="shared" si="1032"/>
        <v>0.28999999999999998</v>
      </c>
      <c r="J6646" s="12">
        <f t="shared" si="1033"/>
        <v>-0.38849999999999962</v>
      </c>
      <c r="K6646" s="17" t="str">
        <f t="shared" si="1038"/>
        <v>Ecart négatif</v>
      </c>
      <c r="L6646" s="16">
        <f>base!X6646</f>
        <v>0</v>
      </c>
      <c r="M6646" s="11">
        <f t="shared" si="1034"/>
        <v>0</v>
      </c>
      <c r="N6646" s="11">
        <f t="shared" si="1035"/>
        <v>3.7334999999999998</v>
      </c>
      <c r="O6646" s="11">
        <f t="shared" si="1036"/>
        <v>0.19</v>
      </c>
      <c r="P6646" s="12">
        <f t="shared" si="1037"/>
        <v>-3.7334999999999998</v>
      </c>
      <c r="Q6646" s="17" t="str">
        <f t="shared" si="1039"/>
        <v>Ecart négatif</v>
      </c>
    </row>
    <row r="6647" spans="1:18" x14ac:dyDescent="0.3">
      <c r="A6647" s="34" t="str">
        <f>base!J6647</f>
        <v>RS</v>
      </c>
      <c r="B6647" s="34" t="str">
        <f>base!V6647</f>
        <v>45160</v>
      </c>
      <c r="C6647" s="37">
        <v>45</v>
      </c>
      <c r="D6647" s="36">
        <f>base!H6647</f>
        <v>68.3</v>
      </c>
      <c r="E6647" s="44"/>
      <c r="F6647" s="16">
        <f>base!W6647</f>
        <v>0</v>
      </c>
      <c r="G6647" s="11">
        <f t="shared" si="1030"/>
        <v>0</v>
      </c>
      <c r="H6647" s="11">
        <f t="shared" si="1031"/>
        <v>14.342999999999998</v>
      </c>
      <c r="I6647" s="11">
        <f t="shared" si="1032"/>
        <v>0.21</v>
      </c>
      <c r="J6647" s="12">
        <f t="shared" si="1033"/>
        <v>-14.342999999999998</v>
      </c>
      <c r="K6647" s="17" t="str">
        <f t="shared" si="1038"/>
        <v>Ecart négatif</v>
      </c>
      <c r="L6647" s="16">
        <f>base!X6647</f>
        <v>0</v>
      </c>
      <c r="M6647" s="11">
        <f t="shared" si="1034"/>
        <v>0</v>
      </c>
      <c r="N6647" s="11">
        <f t="shared" si="1035"/>
        <v>8.1959999999999997</v>
      </c>
      <c r="O6647" s="11">
        <f t="shared" si="1036"/>
        <v>0.12</v>
      </c>
      <c r="P6647" s="12">
        <f t="shared" si="1037"/>
        <v>-8.1959999999999997</v>
      </c>
      <c r="Q6647" s="17" t="str">
        <f t="shared" si="1039"/>
        <v>Ecart négatif</v>
      </c>
    </row>
    <row r="6648" spans="1:18" x14ac:dyDescent="0.3">
      <c r="A6648" s="34" t="str">
        <f>base!J6648</f>
        <v>RS</v>
      </c>
      <c r="B6648" s="34" t="str">
        <f>base!V6648</f>
        <v>60200</v>
      </c>
      <c r="C6648" s="37">
        <v>60</v>
      </c>
      <c r="D6648" s="36">
        <f>base!H6648</f>
        <v>31.24</v>
      </c>
      <c r="E6648" s="44"/>
      <c r="F6648" s="16">
        <f>base!W6648</f>
        <v>0</v>
      </c>
      <c r="G6648" s="11">
        <f t="shared" si="1030"/>
        <v>0</v>
      </c>
      <c r="H6648" s="11">
        <f t="shared" si="1031"/>
        <v>5.9356</v>
      </c>
      <c r="I6648" s="11">
        <f t="shared" si="1032"/>
        <v>0.19</v>
      </c>
      <c r="J6648" s="12">
        <f t="shared" si="1033"/>
        <v>-5.9356</v>
      </c>
      <c r="K6648" s="17" t="str">
        <f t="shared" si="1038"/>
        <v>Ecart négatif</v>
      </c>
      <c r="L6648" s="16">
        <f>base!X6648</f>
        <v>0</v>
      </c>
      <c r="M6648" s="11">
        <f t="shared" si="1034"/>
        <v>0</v>
      </c>
      <c r="N6648" s="11">
        <f t="shared" si="1035"/>
        <v>0</v>
      </c>
      <c r="O6648" s="11">
        <f t="shared" si="1036"/>
        <v>0</v>
      </c>
      <c r="P6648" s="12">
        <f t="shared" si="1037"/>
        <v>0</v>
      </c>
      <c r="Q6648" s="17" t="str">
        <f t="shared" si="1039"/>
        <v>Pas d'écart</v>
      </c>
    </row>
    <row r="6649" spans="1:18" x14ac:dyDescent="0.3">
      <c r="A6649" s="34" t="str">
        <f>base!J6649</f>
        <v>DLM</v>
      </c>
      <c r="B6649" s="34" t="str">
        <f>base!V6649</f>
        <v>38110</v>
      </c>
      <c r="C6649" s="37">
        <v>38</v>
      </c>
      <c r="D6649" s="36">
        <f>base!H6649</f>
        <v>23.4</v>
      </c>
      <c r="E6649" s="44"/>
      <c r="F6649" s="16">
        <f>base!W6649</f>
        <v>0</v>
      </c>
      <c r="G6649" s="11">
        <f t="shared" si="1030"/>
        <v>0</v>
      </c>
      <c r="H6649" s="11">
        <f t="shared" si="1031"/>
        <v>6.3179999999999996</v>
      </c>
      <c r="I6649" s="11">
        <f t="shared" si="1032"/>
        <v>0.27</v>
      </c>
      <c r="J6649" s="12">
        <f t="shared" si="1033"/>
        <v>-6.3179999999999996</v>
      </c>
      <c r="K6649" s="17" t="str">
        <f t="shared" si="1038"/>
        <v>Ecart négatif</v>
      </c>
      <c r="L6649" s="16">
        <f>base!X6649</f>
        <v>0</v>
      </c>
      <c r="M6649" s="11">
        <f t="shared" si="1034"/>
        <v>0</v>
      </c>
      <c r="N6649" s="11">
        <f t="shared" si="1035"/>
        <v>0</v>
      </c>
      <c r="O6649" s="11">
        <f t="shared" si="1036"/>
        <v>0</v>
      </c>
      <c r="P6649" s="12">
        <f t="shared" si="1037"/>
        <v>0</v>
      </c>
      <c r="Q6649" s="17" t="str">
        <f t="shared" si="1039"/>
        <v>Pas d'écart</v>
      </c>
    </row>
    <row r="6650" spans="1:18" x14ac:dyDescent="0.3">
      <c r="A6650" s="34" t="str">
        <f>base!J6650</f>
        <v>DLM</v>
      </c>
      <c r="B6650" s="34" t="str">
        <f>base!V6650</f>
        <v>38230</v>
      </c>
      <c r="C6650" s="37">
        <v>38</v>
      </c>
      <c r="D6650" s="36">
        <f>base!H6650</f>
        <v>23.4</v>
      </c>
      <c r="E6650" s="44"/>
      <c r="F6650" s="16">
        <f>base!W6650</f>
        <v>0</v>
      </c>
      <c r="G6650" s="11">
        <f t="shared" si="1030"/>
        <v>0</v>
      </c>
      <c r="H6650" s="11">
        <f t="shared" si="1031"/>
        <v>6.3179999999999996</v>
      </c>
      <c r="I6650" s="11">
        <f t="shared" si="1032"/>
        <v>0.27</v>
      </c>
      <c r="J6650" s="12">
        <f t="shared" si="1033"/>
        <v>-6.3179999999999996</v>
      </c>
      <c r="K6650" s="17" t="str">
        <f t="shared" si="1038"/>
        <v>Ecart négatif</v>
      </c>
      <c r="L6650" s="16">
        <f>base!X6650</f>
        <v>0</v>
      </c>
      <c r="M6650" s="11">
        <f t="shared" si="1034"/>
        <v>0</v>
      </c>
      <c r="N6650" s="11">
        <f t="shared" si="1035"/>
        <v>0</v>
      </c>
      <c r="O6650" s="11">
        <f t="shared" si="1036"/>
        <v>0</v>
      </c>
      <c r="P6650" s="12">
        <f t="shared" si="1037"/>
        <v>0</v>
      </c>
      <c r="Q6650" s="17" t="str">
        <f t="shared" si="1039"/>
        <v>Pas d'écart</v>
      </c>
    </row>
    <row r="6651" spans="1:18" x14ac:dyDescent="0.3">
      <c r="A6651" s="34" t="str">
        <f>base!J6651</f>
        <v>RM</v>
      </c>
      <c r="B6651" s="34" t="str">
        <f>base!V6651</f>
        <v>90400</v>
      </c>
      <c r="C6651" s="37">
        <v>90</v>
      </c>
      <c r="D6651" s="36">
        <f>base!H6651</f>
        <v>181</v>
      </c>
      <c r="E6651" s="44"/>
      <c r="F6651" s="16">
        <f>base!W6651</f>
        <v>0</v>
      </c>
      <c r="G6651" s="11">
        <f t="shared" si="1030"/>
        <v>0</v>
      </c>
      <c r="H6651" s="11">
        <f t="shared" si="1031"/>
        <v>52.489999999999995</v>
      </c>
      <c r="I6651" s="11">
        <f t="shared" si="1032"/>
        <v>0.28999999999999998</v>
      </c>
      <c r="J6651" s="12">
        <f t="shared" si="1033"/>
        <v>-52.489999999999995</v>
      </c>
      <c r="K6651" s="17" t="str">
        <f t="shared" si="1038"/>
        <v>Ecart négatif</v>
      </c>
      <c r="L6651" s="16">
        <f>base!X6651</f>
        <v>52.49</v>
      </c>
      <c r="M6651" s="11">
        <f t="shared" si="1034"/>
        <v>0.29000000000000004</v>
      </c>
      <c r="N6651" s="11">
        <f t="shared" si="1035"/>
        <v>14.48</v>
      </c>
      <c r="O6651" s="11">
        <f t="shared" si="1036"/>
        <v>0.08</v>
      </c>
      <c r="P6651" s="12">
        <f t="shared" si="1037"/>
        <v>38.010000000000005</v>
      </c>
      <c r="Q6651" s="17" t="str">
        <f t="shared" si="1039"/>
        <v>Ecart positif</v>
      </c>
      <c r="R6651" s="38"/>
    </row>
    <row r="6652" spans="1:18" x14ac:dyDescent="0.3">
      <c r="A6652" s="34">
        <f>base!J6652</f>
        <v>0</v>
      </c>
      <c r="B6652" s="34" t="str">
        <f>base!V6652</f>
        <v>77184</v>
      </c>
      <c r="C6652" s="37">
        <v>77</v>
      </c>
      <c r="D6652" s="36">
        <f>base!H6652</f>
        <v>20</v>
      </c>
      <c r="E6652" s="44"/>
      <c r="F6652" s="16">
        <f>base!W6652</f>
        <v>0</v>
      </c>
      <c r="G6652" s="11">
        <f t="shared" si="1030"/>
        <v>0</v>
      </c>
      <c r="H6652" s="11">
        <f t="shared" si="1031"/>
        <v>0</v>
      </c>
      <c r="I6652" s="11">
        <f t="shared" si="1032"/>
        <v>0</v>
      </c>
      <c r="J6652" s="12">
        <f t="shared" si="1033"/>
        <v>0</v>
      </c>
      <c r="K6652" s="17" t="str">
        <f t="shared" si="1038"/>
        <v>Pas d'écart</v>
      </c>
      <c r="L6652" s="16">
        <f>base!X6652</f>
        <v>0</v>
      </c>
      <c r="M6652" s="11">
        <f t="shared" si="1034"/>
        <v>0</v>
      </c>
      <c r="N6652" s="11">
        <f t="shared" si="1035"/>
        <v>0</v>
      </c>
      <c r="O6652" s="11">
        <f t="shared" si="1036"/>
        <v>0</v>
      </c>
      <c r="P6652" s="12">
        <f t="shared" si="1037"/>
        <v>0</v>
      </c>
      <c r="Q6652" s="17" t="str">
        <f t="shared" si="1039"/>
        <v>Pas d'écart</v>
      </c>
    </row>
    <row r="6653" spans="1:18" x14ac:dyDescent="0.3">
      <c r="A6653" s="34" t="str">
        <f>base!J6653</f>
        <v>RS</v>
      </c>
      <c r="B6653" s="34" t="str">
        <f>base!V6653</f>
        <v>03800</v>
      </c>
      <c r="C6653" s="37">
        <v>3</v>
      </c>
      <c r="D6653" s="36">
        <f>base!H6653</f>
        <v>126.4</v>
      </c>
      <c r="E6653" s="44"/>
      <c r="F6653" s="16">
        <f>base!W6653</f>
        <v>0</v>
      </c>
      <c r="G6653" s="11">
        <f t="shared" si="1030"/>
        <v>0</v>
      </c>
      <c r="H6653" s="11">
        <f t="shared" si="1031"/>
        <v>36.655999999999999</v>
      </c>
      <c r="I6653" s="11">
        <f t="shared" si="1032"/>
        <v>0.28999999999999998</v>
      </c>
      <c r="J6653" s="12">
        <f t="shared" si="1033"/>
        <v>-36.655999999999999</v>
      </c>
      <c r="K6653" s="17" t="str">
        <f t="shared" si="1038"/>
        <v>Ecart négatif</v>
      </c>
      <c r="L6653" s="16">
        <f>base!X6653</f>
        <v>15.17</v>
      </c>
      <c r="M6653" s="11">
        <f t="shared" si="1034"/>
        <v>0.12001582278481011</v>
      </c>
      <c r="N6653" s="11">
        <f t="shared" si="1035"/>
        <v>15.167999999999999</v>
      </c>
      <c r="O6653" s="11">
        <f t="shared" si="1036"/>
        <v>0.12</v>
      </c>
      <c r="P6653" s="12">
        <f t="shared" si="1037"/>
        <v>2.0000000000006679E-3</v>
      </c>
      <c r="Q6653" s="17" t="str">
        <f t="shared" si="1039"/>
        <v>Ecart positif</v>
      </c>
      <c r="R6653" s="38"/>
    </row>
    <row r="6654" spans="1:18" x14ac:dyDescent="0.3">
      <c r="A6654" s="34" t="str">
        <f>base!J6654</f>
        <v>LS</v>
      </c>
      <c r="B6654" s="34" t="str">
        <f>base!V6654</f>
        <v>75005</v>
      </c>
      <c r="C6654" s="37">
        <v>75</v>
      </c>
      <c r="D6654" s="36">
        <f>base!H6654</f>
        <v>28.17</v>
      </c>
      <c r="E6654" s="44"/>
      <c r="F6654" s="16">
        <f>base!W6654</f>
        <v>0</v>
      </c>
      <c r="G6654" s="11">
        <f t="shared" si="1030"/>
        <v>0</v>
      </c>
      <c r="H6654" s="11">
        <f t="shared" si="1031"/>
        <v>0</v>
      </c>
      <c r="I6654" s="11">
        <f t="shared" si="1032"/>
        <v>0</v>
      </c>
      <c r="J6654" s="12">
        <f t="shared" si="1033"/>
        <v>0</v>
      </c>
      <c r="K6654" s="17" t="str">
        <f t="shared" si="1038"/>
        <v>Pas d'écart</v>
      </c>
      <c r="L6654" s="16">
        <f>base!X6654</f>
        <v>0</v>
      </c>
      <c r="M6654" s="11">
        <f t="shared" si="1034"/>
        <v>0</v>
      </c>
      <c r="N6654" s="11">
        <f t="shared" si="1035"/>
        <v>0</v>
      </c>
      <c r="O6654" s="11">
        <f t="shared" si="1036"/>
        <v>0</v>
      </c>
      <c r="P6654" s="12">
        <f t="shared" si="1037"/>
        <v>0</v>
      </c>
      <c r="Q6654" s="17" t="str">
        <f t="shared" si="1039"/>
        <v>Pas d'écart</v>
      </c>
    </row>
    <row r="6655" spans="1:18" x14ac:dyDescent="0.3">
      <c r="A6655" s="34" t="str">
        <f>base!J6655</f>
        <v>RM</v>
      </c>
      <c r="B6655" s="34" t="str">
        <f>base!V6655</f>
        <v>25000</v>
      </c>
      <c r="C6655" s="37">
        <v>25</v>
      </c>
      <c r="D6655" s="36">
        <f>base!H6655</f>
        <v>146.31</v>
      </c>
      <c r="E6655" s="44"/>
      <c r="F6655" s="16">
        <f>base!W6655</f>
        <v>0</v>
      </c>
      <c r="G6655" s="11">
        <f t="shared" si="1030"/>
        <v>0</v>
      </c>
      <c r="H6655" s="11">
        <f t="shared" si="1031"/>
        <v>35.114399999999996</v>
      </c>
      <c r="I6655" s="11">
        <f t="shared" si="1032"/>
        <v>0.23999999999999996</v>
      </c>
      <c r="J6655" s="12">
        <f t="shared" si="1033"/>
        <v>-35.114399999999996</v>
      </c>
      <c r="K6655" s="17" t="str">
        <f t="shared" si="1038"/>
        <v>Ecart négatif</v>
      </c>
      <c r="L6655" s="16">
        <f>base!X6655</f>
        <v>17.559999999999999</v>
      </c>
      <c r="M6655" s="11">
        <f t="shared" si="1034"/>
        <v>0.12001913744788462</v>
      </c>
      <c r="N6655" s="11">
        <f t="shared" si="1035"/>
        <v>17.557199999999998</v>
      </c>
      <c r="O6655" s="11">
        <f t="shared" si="1036"/>
        <v>0.11999999999999998</v>
      </c>
      <c r="P6655" s="12">
        <f t="shared" si="1037"/>
        <v>2.8000000000005798E-3</v>
      </c>
      <c r="Q6655" s="17" t="str">
        <f t="shared" si="1039"/>
        <v>Ecart positif</v>
      </c>
      <c r="R6655" s="38"/>
    </row>
    <row r="6656" spans="1:18" x14ac:dyDescent="0.3">
      <c r="A6656" s="34" t="str">
        <f>base!J6656</f>
        <v>LM</v>
      </c>
      <c r="B6656" s="34" t="str">
        <f>base!V6656</f>
        <v>21160</v>
      </c>
      <c r="C6656" s="37">
        <v>83</v>
      </c>
      <c r="D6656" s="36">
        <f>base!H6656</f>
        <v>55.16</v>
      </c>
      <c r="E6656" s="44"/>
      <c r="F6656" s="16">
        <f>base!W6656</f>
        <v>13.24</v>
      </c>
      <c r="G6656" s="11">
        <f t="shared" si="1030"/>
        <v>0.24002900652646847</v>
      </c>
      <c r="H6656" s="11">
        <f t="shared" si="1031"/>
        <v>16.547999999999998</v>
      </c>
      <c r="I6656" s="11">
        <f t="shared" si="1032"/>
        <v>0.3</v>
      </c>
      <c r="J6656" s="12">
        <f t="shared" si="1033"/>
        <v>-3.3079999999999981</v>
      </c>
      <c r="K6656" s="17" t="str">
        <f t="shared" si="1038"/>
        <v>Ecart négatif</v>
      </c>
      <c r="L6656" s="16">
        <f>base!X6656</f>
        <v>0</v>
      </c>
      <c r="M6656" s="11">
        <f t="shared" si="1034"/>
        <v>0</v>
      </c>
      <c r="N6656" s="11">
        <f t="shared" si="1035"/>
        <v>11.583599999999999</v>
      </c>
      <c r="O6656" s="11">
        <f t="shared" si="1036"/>
        <v>0.21</v>
      </c>
      <c r="P6656" s="12">
        <f t="shared" si="1037"/>
        <v>-11.583599999999999</v>
      </c>
      <c r="Q6656" s="17" t="str">
        <f t="shared" si="1039"/>
        <v>Ecart négatif</v>
      </c>
    </row>
    <row r="6657" spans="1:18" x14ac:dyDescent="0.3">
      <c r="A6657" s="34" t="str">
        <f>base!J6657</f>
        <v>RS</v>
      </c>
      <c r="B6657" s="34" t="str">
        <f>base!V6657</f>
        <v>06560</v>
      </c>
      <c r="C6657" s="37">
        <v>6</v>
      </c>
      <c r="D6657" s="36">
        <f>base!H6657</f>
        <v>151</v>
      </c>
      <c r="E6657" s="44"/>
      <c r="F6657" s="16">
        <f>base!W6657</f>
        <v>0</v>
      </c>
      <c r="G6657" s="11">
        <f t="shared" si="1030"/>
        <v>0</v>
      </c>
      <c r="H6657" s="11">
        <f t="shared" si="1031"/>
        <v>45.3</v>
      </c>
      <c r="I6657" s="11">
        <f t="shared" si="1032"/>
        <v>0.3</v>
      </c>
      <c r="J6657" s="12">
        <f t="shared" si="1033"/>
        <v>-45.3</v>
      </c>
      <c r="K6657" s="17" t="str">
        <f t="shared" si="1038"/>
        <v>Ecart négatif</v>
      </c>
      <c r="L6657" s="16">
        <f>base!X6657</f>
        <v>0</v>
      </c>
      <c r="M6657" s="11">
        <f t="shared" si="1034"/>
        <v>0</v>
      </c>
      <c r="N6657" s="11">
        <f t="shared" si="1035"/>
        <v>31.709999999999997</v>
      </c>
      <c r="O6657" s="11">
        <f t="shared" si="1036"/>
        <v>0.21</v>
      </c>
      <c r="P6657" s="12">
        <f t="shared" si="1037"/>
        <v>-31.709999999999997</v>
      </c>
      <c r="Q6657" s="17" t="str">
        <f t="shared" si="1039"/>
        <v>Ecart négatif</v>
      </c>
    </row>
    <row r="6658" spans="1:18" x14ac:dyDescent="0.3">
      <c r="A6658" s="34" t="str">
        <f>base!J6658</f>
        <v>RM</v>
      </c>
      <c r="B6658" s="34" t="str">
        <f>base!V6658</f>
        <v>84130</v>
      </c>
      <c r="C6658" s="37">
        <v>84</v>
      </c>
      <c r="D6658" s="36">
        <f>base!H6658</f>
        <v>140</v>
      </c>
      <c r="E6658" s="44"/>
      <c r="F6658" s="16">
        <f>base!W6658</f>
        <v>0</v>
      </c>
      <c r="G6658" s="11">
        <f t="shared" ref="G6658:G6721" si="1040">F6658/D6658</f>
        <v>0</v>
      </c>
      <c r="H6658" s="11">
        <f t="shared" ref="H6658:H6721" si="1041">VLOOKUP(C6658,tout_cout_traction,2,FALSE)*D6658</f>
        <v>40.599999999999994</v>
      </c>
      <c r="I6658" s="11">
        <f t="shared" ref="I6658:I6721" si="1042">H6658/D6658</f>
        <v>0.28999999999999998</v>
      </c>
      <c r="J6658" s="12">
        <f t="shared" ref="J6658:J6721" si="1043">F6658-H6658</f>
        <v>-40.599999999999994</v>
      </c>
      <c r="K6658" s="17" t="str">
        <f t="shared" si="1038"/>
        <v>Ecart négatif</v>
      </c>
      <c r="L6658" s="16">
        <f>base!X6658</f>
        <v>26.6</v>
      </c>
      <c r="M6658" s="11">
        <f t="shared" ref="M6658:M6721" si="1044">L6658/D6658</f>
        <v>0.19</v>
      </c>
      <c r="N6658" s="11">
        <f t="shared" ref="N6658:N6721" si="1045">VLOOKUP(C6658,tout_cout_traction,3,FALSE)*D6658</f>
        <v>26.6</v>
      </c>
      <c r="O6658" s="11">
        <f t="shared" ref="O6658:O6721" si="1046">N6658/D6658</f>
        <v>0.19</v>
      </c>
      <c r="P6658" s="12">
        <f t="shared" ref="P6658:P6721" si="1047">L6658-N6658</f>
        <v>0</v>
      </c>
      <c r="Q6658" s="17" t="str">
        <f t="shared" si="1039"/>
        <v>Pas d'écart</v>
      </c>
      <c r="R6658" s="38"/>
    </row>
    <row r="6659" spans="1:18" x14ac:dyDescent="0.3">
      <c r="A6659" s="34" t="str">
        <f>base!J6659</f>
        <v>LM</v>
      </c>
      <c r="B6659" s="34" t="str">
        <f>base!V6659</f>
        <v>56920</v>
      </c>
      <c r="C6659" s="37">
        <v>83</v>
      </c>
      <c r="D6659" s="36">
        <f>base!H6659</f>
        <v>58.35</v>
      </c>
      <c r="E6659" s="44"/>
      <c r="F6659" s="16">
        <f>base!W6659</f>
        <v>15.75</v>
      </c>
      <c r="G6659" s="11">
        <f t="shared" si="1040"/>
        <v>0.26992287917737789</v>
      </c>
      <c r="H6659" s="11">
        <f t="shared" si="1041"/>
        <v>17.504999999999999</v>
      </c>
      <c r="I6659" s="11">
        <f t="shared" si="1042"/>
        <v>0.3</v>
      </c>
      <c r="J6659" s="12">
        <f t="shared" si="1043"/>
        <v>-1.754999999999999</v>
      </c>
      <c r="K6659" s="17" t="str">
        <f t="shared" ref="K6659:K6722" si="1048">IF(H6659=F6659,"Pas d'écart",IF(H6659&lt;F6659,"Ecart positif",IF(H6659&gt;F6659,"Ecart négatif")))</f>
        <v>Ecart négatif</v>
      </c>
      <c r="L6659" s="16">
        <f>base!X6659</f>
        <v>0</v>
      </c>
      <c r="M6659" s="11">
        <f t="shared" si="1044"/>
        <v>0</v>
      </c>
      <c r="N6659" s="11">
        <f t="shared" si="1045"/>
        <v>12.253500000000001</v>
      </c>
      <c r="O6659" s="11">
        <f t="shared" si="1046"/>
        <v>0.21000000000000002</v>
      </c>
      <c r="P6659" s="12">
        <f t="shared" si="1047"/>
        <v>-12.253500000000001</v>
      </c>
      <c r="Q6659" s="17" t="str">
        <f t="shared" ref="Q6659:Q6722" si="1049">IF(N6659=L6659,"Pas d'écart",IF(N6659&lt;L6659,"Ecart positif",IF(N6659&gt;L6659,"Ecart négatif")))</f>
        <v>Ecart négatif</v>
      </c>
    </row>
    <row r="6660" spans="1:18" x14ac:dyDescent="0.3">
      <c r="A6660" s="34" t="str">
        <f>base!J6660</f>
        <v>RS</v>
      </c>
      <c r="B6660" s="34" t="str">
        <f>base!V6660</f>
        <v>14740</v>
      </c>
      <c r="C6660" s="37">
        <v>14</v>
      </c>
      <c r="D6660" s="36">
        <f>base!H6660</f>
        <v>234.12</v>
      </c>
      <c r="E6660" s="44"/>
      <c r="F6660" s="16">
        <f>base!W6660</f>
        <v>0</v>
      </c>
      <c r="G6660" s="11">
        <f t="shared" si="1040"/>
        <v>0</v>
      </c>
      <c r="H6660" s="11">
        <f t="shared" si="1041"/>
        <v>39.800400000000003</v>
      </c>
      <c r="I6660" s="11">
        <f t="shared" si="1042"/>
        <v>0.17</v>
      </c>
      <c r="J6660" s="12">
        <f t="shared" si="1043"/>
        <v>-39.800400000000003</v>
      </c>
      <c r="K6660" s="17" t="str">
        <f t="shared" si="1048"/>
        <v>Ecart négatif</v>
      </c>
      <c r="L6660" s="16">
        <f>base!X6660</f>
        <v>0</v>
      </c>
      <c r="M6660" s="11">
        <f t="shared" si="1044"/>
        <v>0</v>
      </c>
      <c r="N6660" s="11">
        <f t="shared" si="1045"/>
        <v>39.800400000000003</v>
      </c>
      <c r="O6660" s="11">
        <f t="shared" si="1046"/>
        <v>0.17</v>
      </c>
      <c r="P6660" s="12">
        <f t="shared" si="1047"/>
        <v>-39.800400000000003</v>
      </c>
      <c r="Q6660" s="17" t="str">
        <f t="shared" si="1049"/>
        <v>Ecart négatif</v>
      </c>
    </row>
    <row r="6661" spans="1:18" x14ac:dyDescent="0.3">
      <c r="A6661" s="34" t="str">
        <f>base!J6661</f>
        <v>DRS</v>
      </c>
      <c r="B6661" s="34" t="str">
        <f>base!V6661</f>
        <v>68200</v>
      </c>
      <c r="C6661" s="37">
        <v>68</v>
      </c>
      <c r="D6661" s="36">
        <f>base!H6661</f>
        <v>103.6</v>
      </c>
      <c r="E6661" s="44"/>
      <c r="F6661" s="16">
        <f>base!W6661</f>
        <v>0</v>
      </c>
      <c r="G6661" s="11">
        <f t="shared" si="1040"/>
        <v>0</v>
      </c>
      <c r="H6661" s="11">
        <f t="shared" si="1041"/>
        <v>30.043999999999997</v>
      </c>
      <c r="I6661" s="11">
        <f t="shared" si="1042"/>
        <v>0.28999999999999998</v>
      </c>
      <c r="J6661" s="12">
        <f t="shared" si="1043"/>
        <v>-30.043999999999997</v>
      </c>
      <c r="K6661" s="17" t="str">
        <f t="shared" si="1048"/>
        <v>Ecart négatif</v>
      </c>
      <c r="L6661" s="16">
        <f>base!X6661</f>
        <v>0</v>
      </c>
      <c r="M6661" s="11">
        <f t="shared" si="1044"/>
        <v>0</v>
      </c>
      <c r="N6661" s="11">
        <f t="shared" si="1045"/>
        <v>8.2880000000000003</v>
      </c>
      <c r="O6661" s="11">
        <f t="shared" si="1046"/>
        <v>0.08</v>
      </c>
      <c r="P6661" s="12">
        <f t="shared" si="1047"/>
        <v>-8.2880000000000003</v>
      </c>
      <c r="Q6661" s="17" t="str">
        <f t="shared" si="1049"/>
        <v>Ecart négatif</v>
      </c>
    </row>
    <row r="6662" spans="1:18" x14ac:dyDescent="0.3">
      <c r="A6662" s="34" t="str">
        <f>base!J6662</f>
        <v>RS</v>
      </c>
      <c r="B6662" s="34" t="str">
        <f>base!V6662</f>
        <v>92800</v>
      </c>
      <c r="C6662" s="37">
        <v>92</v>
      </c>
      <c r="D6662" s="36">
        <f>base!H6662</f>
        <v>151</v>
      </c>
      <c r="E6662" s="44"/>
      <c r="F6662" s="16">
        <f>base!W6662</f>
        <v>0</v>
      </c>
      <c r="G6662" s="11">
        <f t="shared" si="1040"/>
        <v>0</v>
      </c>
      <c r="H6662" s="11">
        <f t="shared" si="1041"/>
        <v>0</v>
      </c>
      <c r="I6662" s="11">
        <f t="shared" si="1042"/>
        <v>0</v>
      </c>
      <c r="J6662" s="12">
        <f t="shared" si="1043"/>
        <v>0</v>
      </c>
      <c r="K6662" s="17" t="str">
        <f t="shared" si="1048"/>
        <v>Pas d'écart</v>
      </c>
      <c r="L6662" s="16">
        <f>base!X6662</f>
        <v>0</v>
      </c>
      <c r="M6662" s="11">
        <f t="shared" si="1044"/>
        <v>0</v>
      </c>
      <c r="N6662" s="11">
        <f t="shared" si="1045"/>
        <v>0</v>
      </c>
      <c r="O6662" s="11">
        <f t="shared" si="1046"/>
        <v>0</v>
      </c>
      <c r="P6662" s="12">
        <f t="shared" si="1047"/>
        <v>0</v>
      </c>
      <c r="Q6662" s="17" t="str">
        <f t="shared" si="1049"/>
        <v>Pas d'écart</v>
      </c>
    </row>
    <row r="6663" spans="1:18" x14ac:dyDescent="0.3">
      <c r="A6663" s="34" t="str">
        <f>base!J6663</f>
        <v>LM</v>
      </c>
      <c r="B6663" s="34" t="str">
        <f>base!V6663</f>
        <v>69125</v>
      </c>
      <c r="C6663" s="37">
        <v>6</v>
      </c>
      <c r="D6663" s="36">
        <f>base!H6663</f>
        <v>53.52</v>
      </c>
      <c r="E6663" s="44"/>
      <c r="F6663" s="16">
        <f>base!W6663</f>
        <v>14.45</v>
      </c>
      <c r="G6663" s="11">
        <f t="shared" si="1040"/>
        <v>0.26999252615844543</v>
      </c>
      <c r="H6663" s="11">
        <f t="shared" si="1041"/>
        <v>16.056000000000001</v>
      </c>
      <c r="I6663" s="11">
        <f t="shared" si="1042"/>
        <v>0.3</v>
      </c>
      <c r="J6663" s="12">
        <f t="shared" si="1043"/>
        <v>-1.6060000000000016</v>
      </c>
      <c r="K6663" s="17" t="str">
        <f t="shared" si="1048"/>
        <v>Ecart négatif</v>
      </c>
      <c r="L6663" s="16">
        <f>base!X6663</f>
        <v>0</v>
      </c>
      <c r="M6663" s="11">
        <f t="shared" si="1044"/>
        <v>0</v>
      </c>
      <c r="N6663" s="11">
        <f t="shared" si="1045"/>
        <v>11.2392</v>
      </c>
      <c r="O6663" s="11">
        <f t="shared" si="1046"/>
        <v>0.21</v>
      </c>
      <c r="P6663" s="12">
        <f t="shared" si="1047"/>
        <v>-11.2392</v>
      </c>
      <c r="Q6663" s="17" t="str">
        <f t="shared" si="1049"/>
        <v>Ecart négatif</v>
      </c>
    </row>
    <row r="6664" spans="1:18" x14ac:dyDescent="0.3">
      <c r="A6664" s="34">
        <f>base!J6664</f>
        <v>0</v>
      </c>
      <c r="B6664" s="34" t="str">
        <f>base!V6664</f>
        <v>77184</v>
      </c>
      <c r="C6664" s="37">
        <v>77</v>
      </c>
      <c r="D6664" s="36">
        <f>base!H6664</f>
        <v>31</v>
      </c>
      <c r="E6664" s="44"/>
      <c r="F6664" s="16">
        <f>base!W6664</f>
        <v>0</v>
      </c>
      <c r="G6664" s="11">
        <f t="shared" si="1040"/>
        <v>0</v>
      </c>
      <c r="H6664" s="11">
        <f t="shared" si="1041"/>
        <v>0</v>
      </c>
      <c r="I6664" s="11">
        <f t="shared" si="1042"/>
        <v>0</v>
      </c>
      <c r="J6664" s="12">
        <f t="shared" si="1043"/>
        <v>0</v>
      </c>
      <c r="K6664" s="17" t="str">
        <f t="shared" si="1048"/>
        <v>Pas d'écart</v>
      </c>
      <c r="L6664" s="16">
        <f>base!X6664</f>
        <v>0</v>
      </c>
      <c r="M6664" s="11">
        <f t="shared" si="1044"/>
        <v>0</v>
      </c>
      <c r="N6664" s="11">
        <f t="shared" si="1045"/>
        <v>0</v>
      </c>
      <c r="O6664" s="11">
        <f t="shared" si="1046"/>
        <v>0</v>
      </c>
      <c r="P6664" s="12">
        <f t="shared" si="1047"/>
        <v>0</v>
      </c>
      <c r="Q6664" s="17" t="str">
        <f t="shared" si="1049"/>
        <v>Pas d'écart</v>
      </c>
    </row>
    <row r="6665" spans="1:18" x14ac:dyDescent="0.3">
      <c r="A6665" s="34">
        <f>base!J6665</f>
        <v>0</v>
      </c>
      <c r="B6665" s="34" t="str">
        <f>base!V6665</f>
        <v>77184</v>
      </c>
      <c r="C6665" s="37">
        <v>77</v>
      </c>
      <c r="D6665" s="36">
        <f>base!H6665</f>
        <v>10</v>
      </c>
      <c r="E6665" s="44"/>
      <c r="F6665" s="16">
        <f>base!W6665</f>
        <v>0</v>
      </c>
      <c r="G6665" s="11">
        <f t="shared" si="1040"/>
        <v>0</v>
      </c>
      <c r="H6665" s="11">
        <f t="shared" si="1041"/>
        <v>0</v>
      </c>
      <c r="I6665" s="11">
        <f t="shared" si="1042"/>
        <v>0</v>
      </c>
      <c r="J6665" s="12">
        <f t="shared" si="1043"/>
        <v>0</v>
      </c>
      <c r="K6665" s="17" t="str">
        <f t="shared" si="1048"/>
        <v>Pas d'écart</v>
      </c>
      <c r="L6665" s="16">
        <f>base!X6665</f>
        <v>0</v>
      </c>
      <c r="M6665" s="11">
        <f t="shared" si="1044"/>
        <v>0</v>
      </c>
      <c r="N6665" s="11">
        <f t="shared" si="1045"/>
        <v>0</v>
      </c>
      <c r="O6665" s="11">
        <f t="shared" si="1046"/>
        <v>0</v>
      </c>
      <c r="P6665" s="12">
        <f t="shared" si="1047"/>
        <v>0</v>
      </c>
      <c r="Q6665" s="17" t="str">
        <f t="shared" si="1049"/>
        <v>Pas d'écart</v>
      </c>
    </row>
    <row r="6666" spans="1:18" x14ac:dyDescent="0.3">
      <c r="A6666" s="34">
        <f>base!J6666</f>
        <v>0</v>
      </c>
      <c r="B6666" s="34" t="str">
        <f>base!V6666</f>
        <v>77184</v>
      </c>
      <c r="C6666" s="37">
        <v>77</v>
      </c>
      <c r="D6666" s="36">
        <f>base!H6666</f>
        <v>10</v>
      </c>
      <c r="E6666" s="44"/>
      <c r="F6666" s="16">
        <f>base!W6666</f>
        <v>0</v>
      </c>
      <c r="G6666" s="11">
        <f t="shared" si="1040"/>
        <v>0</v>
      </c>
      <c r="H6666" s="11">
        <f t="shared" si="1041"/>
        <v>0</v>
      </c>
      <c r="I6666" s="11">
        <f t="shared" si="1042"/>
        <v>0</v>
      </c>
      <c r="J6666" s="12">
        <f t="shared" si="1043"/>
        <v>0</v>
      </c>
      <c r="K6666" s="17" t="str">
        <f t="shared" si="1048"/>
        <v>Pas d'écart</v>
      </c>
      <c r="L6666" s="16">
        <f>base!X6666</f>
        <v>0</v>
      </c>
      <c r="M6666" s="11">
        <f t="shared" si="1044"/>
        <v>0</v>
      </c>
      <c r="N6666" s="11">
        <f t="shared" si="1045"/>
        <v>0</v>
      </c>
      <c r="O6666" s="11">
        <f t="shared" si="1046"/>
        <v>0</v>
      </c>
      <c r="P6666" s="12">
        <f t="shared" si="1047"/>
        <v>0</v>
      </c>
      <c r="Q6666" s="17" t="str">
        <f t="shared" si="1049"/>
        <v>Pas d'écart</v>
      </c>
    </row>
    <row r="6667" spans="1:18" x14ac:dyDescent="0.3">
      <c r="A6667" s="34" t="str">
        <f>base!J6667</f>
        <v>RS</v>
      </c>
      <c r="B6667" s="34" t="str">
        <f>base!V6667</f>
        <v>34000</v>
      </c>
      <c r="C6667" s="37">
        <v>34</v>
      </c>
      <c r="D6667" s="36">
        <f>base!H6667</f>
        <v>14.6</v>
      </c>
      <c r="E6667" s="44"/>
      <c r="F6667" s="16">
        <f>base!W6667</f>
        <v>0</v>
      </c>
      <c r="G6667" s="11">
        <f t="shared" si="1040"/>
        <v>0</v>
      </c>
      <c r="H6667" s="11">
        <f t="shared" si="1041"/>
        <v>5.694</v>
      </c>
      <c r="I6667" s="11">
        <f t="shared" si="1042"/>
        <v>0.39</v>
      </c>
      <c r="J6667" s="12">
        <f t="shared" si="1043"/>
        <v>-5.694</v>
      </c>
      <c r="K6667" s="17" t="str">
        <f t="shared" si="1048"/>
        <v>Ecart négatif</v>
      </c>
      <c r="L6667" s="16">
        <f>base!X6667</f>
        <v>4.09</v>
      </c>
      <c r="M6667" s="11">
        <f t="shared" si="1044"/>
        <v>0.28013698630136985</v>
      </c>
      <c r="N6667" s="11">
        <f t="shared" si="1045"/>
        <v>4.0880000000000001</v>
      </c>
      <c r="O6667" s="11">
        <f t="shared" si="1046"/>
        <v>0.28000000000000003</v>
      </c>
      <c r="P6667" s="12">
        <f t="shared" si="1047"/>
        <v>1.9999999999997797E-3</v>
      </c>
      <c r="Q6667" s="17" t="str">
        <f t="shared" si="1049"/>
        <v>Ecart positif</v>
      </c>
      <c r="R6667" s="38"/>
    </row>
    <row r="6668" spans="1:18" x14ac:dyDescent="0.3">
      <c r="A6668" s="34" t="str">
        <f>base!J6668</f>
        <v>LM</v>
      </c>
      <c r="B6668" s="34" t="str">
        <f>base!V6668</f>
        <v>69002</v>
      </c>
      <c r="C6668" s="37">
        <v>6</v>
      </c>
      <c r="D6668" s="36">
        <f>base!H6668</f>
        <v>19.8</v>
      </c>
      <c r="E6668" s="44"/>
      <c r="F6668" s="16">
        <f>base!W6668</f>
        <v>5.35</v>
      </c>
      <c r="G6668" s="11">
        <f t="shared" si="1040"/>
        <v>0.27020202020202017</v>
      </c>
      <c r="H6668" s="11">
        <f t="shared" si="1041"/>
        <v>5.94</v>
      </c>
      <c r="I6668" s="11">
        <f t="shared" si="1042"/>
        <v>0.3</v>
      </c>
      <c r="J6668" s="12">
        <f t="shared" si="1043"/>
        <v>-0.59000000000000075</v>
      </c>
      <c r="K6668" s="17" t="str">
        <f t="shared" si="1048"/>
        <v>Ecart négatif</v>
      </c>
      <c r="L6668" s="16">
        <f>base!X6668</f>
        <v>0</v>
      </c>
      <c r="M6668" s="11">
        <f t="shared" si="1044"/>
        <v>0</v>
      </c>
      <c r="N6668" s="11">
        <f t="shared" si="1045"/>
        <v>4.1580000000000004</v>
      </c>
      <c r="O6668" s="11">
        <f t="shared" si="1046"/>
        <v>0.21000000000000002</v>
      </c>
      <c r="P6668" s="12">
        <f t="shared" si="1047"/>
        <v>-4.1580000000000004</v>
      </c>
      <c r="Q6668" s="17" t="str">
        <f t="shared" si="1049"/>
        <v>Ecart négatif</v>
      </c>
    </row>
    <row r="6669" spans="1:18" x14ac:dyDescent="0.3">
      <c r="A6669" s="34" t="str">
        <f>base!J6669</f>
        <v>LM</v>
      </c>
      <c r="B6669" s="34" t="str">
        <f>base!V6669</f>
        <v>54300</v>
      </c>
      <c r="C6669" s="37">
        <v>6</v>
      </c>
      <c r="D6669" s="36">
        <f>base!H6669</f>
        <v>151.93</v>
      </c>
      <c r="E6669" s="44"/>
      <c r="F6669" s="16">
        <f>base!W6669</f>
        <v>37.979999999999997</v>
      </c>
      <c r="G6669" s="11">
        <f t="shared" si="1040"/>
        <v>0.24998354505364309</v>
      </c>
      <c r="H6669" s="11">
        <f t="shared" si="1041"/>
        <v>45.579000000000001</v>
      </c>
      <c r="I6669" s="11">
        <f t="shared" si="1042"/>
        <v>0.3</v>
      </c>
      <c r="J6669" s="12">
        <f t="shared" si="1043"/>
        <v>-7.5990000000000038</v>
      </c>
      <c r="K6669" s="17" t="str">
        <f t="shared" si="1048"/>
        <v>Ecart négatif</v>
      </c>
      <c r="L6669" s="16">
        <f>base!X6669</f>
        <v>0</v>
      </c>
      <c r="M6669" s="11">
        <f t="shared" si="1044"/>
        <v>0</v>
      </c>
      <c r="N6669" s="11">
        <f t="shared" si="1045"/>
        <v>31.9053</v>
      </c>
      <c r="O6669" s="11">
        <f t="shared" si="1046"/>
        <v>0.21</v>
      </c>
      <c r="P6669" s="12">
        <f t="shared" si="1047"/>
        <v>-31.9053</v>
      </c>
      <c r="Q6669" s="17" t="str">
        <f t="shared" si="1049"/>
        <v>Ecart négatif</v>
      </c>
    </row>
    <row r="6670" spans="1:18" x14ac:dyDescent="0.3">
      <c r="A6670" s="34" t="str">
        <f>base!J6670</f>
        <v>LM</v>
      </c>
      <c r="B6670" s="34" t="str">
        <f>base!V6670</f>
        <v>93013</v>
      </c>
      <c r="C6670" s="37">
        <v>93</v>
      </c>
      <c r="D6670" s="36">
        <f>base!H6670</f>
        <v>20.23</v>
      </c>
      <c r="E6670" s="44"/>
      <c r="F6670" s="16">
        <f>base!W6670</f>
        <v>0</v>
      </c>
      <c r="G6670" s="11">
        <f t="shared" si="1040"/>
        <v>0</v>
      </c>
      <c r="H6670" s="11">
        <f t="shared" si="1041"/>
        <v>0</v>
      </c>
      <c r="I6670" s="11">
        <f t="shared" si="1042"/>
        <v>0</v>
      </c>
      <c r="J6670" s="12">
        <f t="shared" si="1043"/>
        <v>0</v>
      </c>
      <c r="K6670" s="17" t="str">
        <f t="shared" si="1048"/>
        <v>Pas d'écart</v>
      </c>
      <c r="L6670" s="16">
        <f>base!X6670</f>
        <v>0</v>
      </c>
      <c r="M6670" s="11">
        <f t="shared" si="1044"/>
        <v>0</v>
      </c>
      <c r="N6670" s="11">
        <f t="shared" si="1045"/>
        <v>0</v>
      </c>
      <c r="O6670" s="11">
        <f t="shared" si="1046"/>
        <v>0</v>
      </c>
      <c r="P6670" s="12">
        <f t="shared" si="1047"/>
        <v>0</v>
      </c>
      <c r="Q6670" s="17" t="str">
        <f t="shared" si="1049"/>
        <v>Pas d'écart</v>
      </c>
    </row>
    <row r="6671" spans="1:18" x14ac:dyDescent="0.3">
      <c r="A6671" s="34" t="str">
        <f>base!J6671</f>
        <v>LM</v>
      </c>
      <c r="B6671" s="34" t="str">
        <f>base!V6671</f>
        <v>87000</v>
      </c>
      <c r="C6671" s="37">
        <v>6</v>
      </c>
      <c r="D6671" s="36">
        <f>base!H6671</f>
        <v>20.23</v>
      </c>
      <c r="E6671" s="44"/>
      <c r="F6671" s="16">
        <f>base!W6671</f>
        <v>5.87</v>
      </c>
      <c r="G6671" s="11">
        <f t="shared" si="1040"/>
        <v>0.2901631240731587</v>
      </c>
      <c r="H6671" s="11">
        <f t="shared" si="1041"/>
        <v>6.069</v>
      </c>
      <c r="I6671" s="11">
        <f t="shared" si="1042"/>
        <v>0.3</v>
      </c>
      <c r="J6671" s="12">
        <f t="shared" si="1043"/>
        <v>-0.19899999999999984</v>
      </c>
      <c r="K6671" s="17" t="str">
        <f t="shared" si="1048"/>
        <v>Ecart négatif</v>
      </c>
      <c r="L6671" s="16">
        <f>base!X6671</f>
        <v>0</v>
      </c>
      <c r="M6671" s="11">
        <f t="shared" si="1044"/>
        <v>0</v>
      </c>
      <c r="N6671" s="11">
        <f t="shared" si="1045"/>
        <v>4.2482999999999995</v>
      </c>
      <c r="O6671" s="11">
        <f t="shared" si="1046"/>
        <v>0.20999999999999996</v>
      </c>
      <c r="P6671" s="12">
        <f t="shared" si="1047"/>
        <v>-4.2482999999999995</v>
      </c>
      <c r="Q6671" s="17" t="str">
        <f t="shared" si="1049"/>
        <v>Ecart négatif</v>
      </c>
    </row>
    <row r="6672" spans="1:18" x14ac:dyDescent="0.3">
      <c r="A6672" s="34" t="str">
        <f>base!J6672</f>
        <v>LM</v>
      </c>
      <c r="B6672" s="34" t="str">
        <f>base!V6672</f>
        <v>73200</v>
      </c>
      <c r="C6672" s="37">
        <v>6</v>
      </c>
      <c r="D6672" s="36">
        <f>base!H6672</f>
        <v>20.23</v>
      </c>
      <c r="E6672" s="44"/>
      <c r="F6672" s="16">
        <f>base!W6672</f>
        <v>5.46</v>
      </c>
      <c r="G6672" s="11">
        <f t="shared" si="1040"/>
        <v>0.26989619377162627</v>
      </c>
      <c r="H6672" s="11">
        <f t="shared" si="1041"/>
        <v>6.069</v>
      </c>
      <c r="I6672" s="11">
        <f t="shared" si="1042"/>
        <v>0.3</v>
      </c>
      <c r="J6672" s="12">
        <f t="shared" si="1043"/>
        <v>-0.60899999999999999</v>
      </c>
      <c r="K6672" s="17" t="str">
        <f t="shared" si="1048"/>
        <v>Ecart négatif</v>
      </c>
      <c r="L6672" s="16">
        <f>base!X6672</f>
        <v>0</v>
      </c>
      <c r="M6672" s="11">
        <f t="shared" si="1044"/>
        <v>0</v>
      </c>
      <c r="N6672" s="11">
        <f t="shared" si="1045"/>
        <v>4.2482999999999995</v>
      </c>
      <c r="O6672" s="11">
        <f t="shared" si="1046"/>
        <v>0.20999999999999996</v>
      </c>
      <c r="P6672" s="12">
        <f t="shared" si="1047"/>
        <v>-4.2482999999999995</v>
      </c>
      <c r="Q6672" s="17" t="str">
        <f t="shared" si="1049"/>
        <v>Ecart négatif</v>
      </c>
    </row>
    <row r="6673" spans="1:18" x14ac:dyDescent="0.3">
      <c r="A6673" s="34" t="str">
        <f>base!J6673</f>
        <v>RS</v>
      </c>
      <c r="B6673" s="34" t="str">
        <f>base!V6673</f>
        <v>57370</v>
      </c>
      <c r="C6673" s="37">
        <v>57</v>
      </c>
      <c r="D6673" s="36">
        <f>base!H6673</f>
        <v>70</v>
      </c>
      <c r="E6673" s="44"/>
      <c r="F6673" s="16">
        <f>base!W6673</f>
        <v>0</v>
      </c>
      <c r="G6673" s="11">
        <f t="shared" si="1040"/>
        <v>0</v>
      </c>
      <c r="H6673" s="11">
        <f t="shared" si="1041"/>
        <v>16.8</v>
      </c>
      <c r="I6673" s="11">
        <f t="shared" si="1042"/>
        <v>0.24000000000000002</v>
      </c>
      <c r="J6673" s="12">
        <f t="shared" si="1043"/>
        <v>-16.8</v>
      </c>
      <c r="K6673" s="17" t="str">
        <f t="shared" si="1048"/>
        <v>Ecart négatif</v>
      </c>
      <c r="L6673" s="16">
        <f>base!X6673</f>
        <v>17.5</v>
      </c>
      <c r="M6673" s="11">
        <f t="shared" si="1044"/>
        <v>0.25</v>
      </c>
      <c r="N6673" s="11">
        <f t="shared" si="1045"/>
        <v>17.5</v>
      </c>
      <c r="O6673" s="11">
        <f t="shared" si="1046"/>
        <v>0.25</v>
      </c>
      <c r="P6673" s="12">
        <f t="shared" si="1047"/>
        <v>0</v>
      </c>
      <c r="Q6673" s="17" t="str">
        <f t="shared" si="1049"/>
        <v>Pas d'écart</v>
      </c>
    </row>
    <row r="6674" spans="1:18" x14ac:dyDescent="0.3">
      <c r="A6674" s="34" t="str">
        <f>base!J6674</f>
        <v>RS</v>
      </c>
      <c r="B6674" s="34" t="str">
        <f>base!V6674</f>
        <v>75013</v>
      </c>
      <c r="C6674" s="37">
        <v>75</v>
      </c>
      <c r="D6674" s="36">
        <f>base!H6674</f>
        <v>180</v>
      </c>
      <c r="E6674" s="44"/>
      <c r="F6674" s="16">
        <f>base!W6674</f>
        <v>0</v>
      </c>
      <c r="G6674" s="11">
        <f t="shared" si="1040"/>
        <v>0</v>
      </c>
      <c r="H6674" s="11">
        <f t="shared" si="1041"/>
        <v>0</v>
      </c>
      <c r="I6674" s="11">
        <f t="shared" si="1042"/>
        <v>0</v>
      </c>
      <c r="J6674" s="12">
        <f t="shared" si="1043"/>
        <v>0</v>
      </c>
      <c r="K6674" s="17" t="str">
        <f t="shared" si="1048"/>
        <v>Pas d'écart</v>
      </c>
      <c r="L6674" s="16">
        <f>base!X6674</f>
        <v>0</v>
      </c>
      <c r="M6674" s="11">
        <f t="shared" si="1044"/>
        <v>0</v>
      </c>
      <c r="N6674" s="11">
        <f t="shared" si="1045"/>
        <v>0</v>
      </c>
      <c r="O6674" s="11">
        <f t="shared" si="1046"/>
        <v>0</v>
      </c>
      <c r="P6674" s="12">
        <f t="shared" si="1047"/>
        <v>0</v>
      </c>
      <c r="Q6674" s="17" t="str">
        <f t="shared" si="1049"/>
        <v>Pas d'écart</v>
      </c>
    </row>
    <row r="6675" spans="1:18" x14ac:dyDescent="0.3">
      <c r="A6675" s="34" t="str">
        <f>base!J6675</f>
        <v>LS</v>
      </c>
      <c r="B6675" s="34" t="str">
        <f>base!V6675</f>
        <v>29000</v>
      </c>
      <c r="C6675" s="37">
        <v>6</v>
      </c>
      <c r="D6675" s="36">
        <f>base!H6675</f>
        <v>55.34</v>
      </c>
      <c r="E6675" s="44"/>
      <c r="F6675" s="16">
        <f>base!W6675</f>
        <v>21.58</v>
      </c>
      <c r="G6675" s="11">
        <f t="shared" si="1040"/>
        <v>0.38995301770870971</v>
      </c>
      <c r="H6675" s="11">
        <f t="shared" si="1041"/>
        <v>16.602</v>
      </c>
      <c r="I6675" s="11">
        <f t="shared" si="1042"/>
        <v>0.3</v>
      </c>
      <c r="J6675" s="12">
        <f t="shared" si="1043"/>
        <v>4.977999999999998</v>
      </c>
      <c r="K6675" s="17" t="str">
        <f t="shared" si="1048"/>
        <v>Ecart positif</v>
      </c>
      <c r="L6675" s="16">
        <f>base!X6675</f>
        <v>0</v>
      </c>
      <c r="M6675" s="11">
        <f t="shared" si="1044"/>
        <v>0</v>
      </c>
      <c r="N6675" s="11">
        <f t="shared" si="1045"/>
        <v>11.6214</v>
      </c>
      <c r="O6675" s="11">
        <f t="shared" si="1046"/>
        <v>0.20999999999999996</v>
      </c>
      <c r="P6675" s="12">
        <f t="shared" si="1047"/>
        <v>-11.6214</v>
      </c>
      <c r="Q6675" s="17" t="str">
        <f t="shared" si="1049"/>
        <v>Ecart négatif</v>
      </c>
    </row>
    <row r="6676" spans="1:18" x14ac:dyDescent="0.3">
      <c r="A6676" s="34" t="str">
        <f>base!J6676</f>
        <v>LS</v>
      </c>
      <c r="B6676" s="34" t="str">
        <f>base!V6676</f>
        <v xml:space="preserve">93500 </v>
      </c>
      <c r="C6676" s="37">
        <v>93</v>
      </c>
      <c r="D6676" s="36">
        <f>base!H6676</f>
        <v>53.52</v>
      </c>
      <c r="E6676" s="44"/>
      <c r="F6676" s="16">
        <f>base!W6676</f>
        <v>0</v>
      </c>
      <c r="G6676" s="11">
        <f t="shared" si="1040"/>
        <v>0</v>
      </c>
      <c r="H6676" s="11">
        <f t="shared" si="1041"/>
        <v>0</v>
      </c>
      <c r="I6676" s="11">
        <f t="shared" si="1042"/>
        <v>0</v>
      </c>
      <c r="J6676" s="12">
        <f t="shared" si="1043"/>
        <v>0</v>
      </c>
      <c r="K6676" s="17" t="str">
        <f t="shared" si="1048"/>
        <v>Pas d'écart</v>
      </c>
      <c r="L6676" s="16">
        <f>base!X6676</f>
        <v>0</v>
      </c>
      <c r="M6676" s="11">
        <f t="shared" si="1044"/>
        <v>0</v>
      </c>
      <c r="N6676" s="11">
        <f t="shared" si="1045"/>
        <v>0</v>
      </c>
      <c r="O6676" s="11">
        <f t="shared" si="1046"/>
        <v>0</v>
      </c>
      <c r="P6676" s="12">
        <f t="shared" si="1047"/>
        <v>0</v>
      </c>
      <c r="Q6676" s="17" t="str">
        <f t="shared" si="1049"/>
        <v>Pas d'écart</v>
      </c>
    </row>
    <row r="6677" spans="1:18" x14ac:dyDescent="0.3">
      <c r="A6677" s="34" t="str">
        <f>base!J6677</f>
        <v>LM</v>
      </c>
      <c r="B6677" s="34" t="str">
        <f>base!V6677</f>
        <v>75013</v>
      </c>
      <c r="C6677" s="37">
        <v>75</v>
      </c>
      <c r="D6677" s="36">
        <f>base!H6677</f>
        <v>38.76</v>
      </c>
      <c r="E6677" s="44"/>
      <c r="F6677" s="16">
        <f>base!W6677</f>
        <v>0</v>
      </c>
      <c r="G6677" s="11">
        <f t="shared" si="1040"/>
        <v>0</v>
      </c>
      <c r="H6677" s="11">
        <f t="shared" si="1041"/>
        <v>0</v>
      </c>
      <c r="I6677" s="11">
        <f t="shared" si="1042"/>
        <v>0</v>
      </c>
      <c r="J6677" s="12">
        <f t="shared" si="1043"/>
        <v>0</v>
      </c>
      <c r="K6677" s="17" t="str">
        <f t="shared" si="1048"/>
        <v>Pas d'écart</v>
      </c>
      <c r="L6677" s="16">
        <f>base!X6677</f>
        <v>0</v>
      </c>
      <c r="M6677" s="11">
        <f t="shared" si="1044"/>
        <v>0</v>
      </c>
      <c r="N6677" s="11">
        <f t="shared" si="1045"/>
        <v>0</v>
      </c>
      <c r="O6677" s="11">
        <f t="shared" si="1046"/>
        <v>0</v>
      </c>
      <c r="P6677" s="12">
        <f t="shared" si="1047"/>
        <v>0</v>
      </c>
      <c r="Q6677" s="17" t="str">
        <f t="shared" si="1049"/>
        <v>Pas d'écart</v>
      </c>
    </row>
    <row r="6678" spans="1:18" x14ac:dyDescent="0.3">
      <c r="A6678" s="34" t="str">
        <f>base!J6678</f>
        <v>RM</v>
      </c>
      <c r="B6678" s="34" t="str">
        <f>base!V6678</f>
        <v>77183</v>
      </c>
      <c r="C6678" s="37">
        <v>77</v>
      </c>
      <c r="D6678" s="36">
        <f>base!H6678</f>
        <v>40</v>
      </c>
      <c r="E6678" s="44"/>
      <c r="F6678" s="16">
        <f>base!W6678</f>
        <v>0</v>
      </c>
      <c r="G6678" s="11">
        <f t="shared" si="1040"/>
        <v>0</v>
      </c>
      <c r="H6678" s="11">
        <f t="shared" si="1041"/>
        <v>0</v>
      </c>
      <c r="I6678" s="11">
        <f t="shared" si="1042"/>
        <v>0</v>
      </c>
      <c r="J6678" s="12">
        <f t="shared" si="1043"/>
        <v>0</v>
      </c>
      <c r="K6678" s="17" t="str">
        <f t="shared" si="1048"/>
        <v>Pas d'écart</v>
      </c>
      <c r="L6678" s="16">
        <f>base!X6678</f>
        <v>0</v>
      </c>
      <c r="M6678" s="11">
        <f t="shared" si="1044"/>
        <v>0</v>
      </c>
      <c r="N6678" s="11">
        <f t="shared" si="1045"/>
        <v>0</v>
      </c>
      <c r="O6678" s="11">
        <f t="shared" si="1046"/>
        <v>0</v>
      </c>
      <c r="P6678" s="12">
        <f t="shared" si="1047"/>
        <v>0</v>
      </c>
      <c r="Q6678" s="17" t="str">
        <f t="shared" si="1049"/>
        <v>Pas d'écart</v>
      </c>
    </row>
    <row r="6679" spans="1:18" x14ac:dyDescent="0.3">
      <c r="A6679" s="34" t="str">
        <f>base!J6679</f>
        <v>RS</v>
      </c>
      <c r="B6679" s="34" t="str">
        <f>base!V6679</f>
        <v>93200</v>
      </c>
      <c r="C6679" s="37">
        <v>93</v>
      </c>
      <c r="D6679" s="36">
        <f>base!H6679</f>
        <v>0</v>
      </c>
      <c r="E6679" s="44"/>
      <c r="F6679" s="16">
        <f>base!W6679</f>
        <v>0</v>
      </c>
      <c r="G6679" s="11" t="e">
        <f t="shared" si="1040"/>
        <v>#DIV/0!</v>
      </c>
      <c r="H6679" s="11">
        <f t="shared" si="1041"/>
        <v>0</v>
      </c>
      <c r="I6679" s="11" t="e">
        <f t="shared" si="1042"/>
        <v>#DIV/0!</v>
      </c>
      <c r="J6679" s="12">
        <f t="shared" si="1043"/>
        <v>0</v>
      </c>
      <c r="K6679" s="17" t="str">
        <f t="shared" si="1048"/>
        <v>Pas d'écart</v>
      </c>
      <c r="L6679" s="16">
        <f>base!X6679</f>
        <v>0</v>
      </c>
      <c r="M6679" s="11" t="e">
        <f t="shared" si="1044"/>
        <v>#DIV/0!</v>
      </c>
      <c r="N6679" s="11">
        <f t="shared" si="1045"/>
        <v>0</v>
      </c>
      <c r="O6679" s="11" t="e">
        <f t="shared" si="1046"/>
        <v>#DIV/0!</v>
      </c>
      <c r="P6679" s="12">
        <f t="shared" si="1047"/>
        <v>0</v>
      </c>
      <c r="Q6679" s="17" t="str">
        <f t="shared" si="1049"/>
        <v>Pas d'écart</v>
      </c>
    </row>
    <row r="6680" spans="1:18" x14ac:dyDescent="0.3">
      <c r="A6680" s="34" t="str">
        <f>base!J6680</f>
        <v>LS</v>
      </c>
      <c r="B6680" s="34" t="str">
        <f>base!V6680</f>
        <v>47400</v>
      </c>
      <c r="C6680" s="37">
        <v>83</v>
      </c>
      <c r="D6680" s="36">
        <f>base!H6680</f>
        <v>55</v>
      </c>
      <c r="E6680" s="44"/>
      <c r="F6680" s="16">
        <f>base!W6680</f>
        <v>11.55</v>
      </c>
      <c r="G6680" s="11">
        <f t="shared" si="1040"/>
        <v>0.21000000000000002</v>
      </c>
      <c r="H6680" s="11">
        <f t="shared" si="1041"/>
        <v>16.5</v>
      </c>
      <c r="I6680" s="11">
        <f t="shared" si="1042"/>
        <v>0.3</v>
      </c>
      <c r="J6680" s="12">
        <f t="shared" si="1043"/>
        <v>-4.9499999999999993</v>
      </c>
      <c r="K6680" s="17" t="str">
        <f t="shared" si="1048"/>
        <v>Ecart négatif</v>
      </c>
      <c r="L6680" s="16">
        <f>base!X6680</f>
        <v>0</v>
      </c>
      <c r="M6680" s="11">
        <f t="shared" si="1044"/>
        <v>0</v>
      </c>
      <c r="N6680" s="11">
        <f t="shared" si="1045"/>
        <v>11.549999999999999</v>
      </c>
      <c r="O6680" s="11">
        <f t="shared" si="1046"/>
        <v>0.21</v>
      </c>
      <c r="P6680" s="12">
        <f t="shared" si="1047"/>
        <v>-11.549999999999999</v>
      </c>
      <c r="Q6680" s="17" t="str">
        <f t="shared" si="1049"/>
        <v>Ecart négatif</v>
      </c>
    </row>
    <row r="6681" spans="1:18" x14ac:dyDescent="0.3">
      <c r="A6681" s="34">
        <f>base!J6681</f>
        <v>0</v>
      </c>
      <c r="B6681" s="34" t="str">
        <f>base!V6681</f>
        <v>77184</v>
      </c>
      <c r="C6681" s="37">
        <v>77</v>
      </c>
      <c r="D6681" s="36">
        <f>base!H6681</f>
        <v>90</v>
      </c>
      <c r="E6681" s="44"/>
      <c r="F6681" s="16">
        <f>base!W6681</f>
        <v>0</v>
      </c>
      <c r="G6681" s="11">
        <f t="shared" si="1040"/>
        <v>0</v>
      </c>
      <c r="H6681" s="11">
        <f t="shared" si="1041"/>
        <v>0</v>
      </c>
      <c r="I6681" s="11">
        <f t="shared" si="1042"/>
        <v>0</v>
      </c>
      <c r="J6681" s="12">
        <f t="shared" si="1043"/>
        <v>0</v>
      </c>
      <c r="K6681" s="17" t="str">
        <f t="shared" si="1048"/>
        <v>Pas d'écart</v>
      </c>
      <c r="L6681" s="16">
        <f>base!X6681</f>
        <v>0</v>
      </c>
      <c r="M6681" s="11">
        <f t="shared" si="1044"/>
        <v>0</v>
      </c>
      <c r="N6681" s="11">
        <f t="shared" si="1045"/>
        <v>0</v>
      </c>
      <c r="O6681" s="11">
        <f t="shared" si="1046"/>
        <v>0</v>
      </c>
      <c r="P6681" s="12">
        <f t="shared" si="1047"/>
        <v>0</v>
      </c>
      <c r="Q6681" s="17" t="str">
        <f t="shared" si="1049"/>
        <v>Pas d'écart</v>
      </c>
    </row>
    <row r="6682" spans="1:18" x14ac:dyDescent="0.3">
      <c r="A6682" s="34" t="str">
        <f>base!J6682</f>
        <v>RS</v>
      </c>
      <c r="B6682" s="34" t="str">
        <f>base!V6682</f>
        <v>34400</v>
      </c>
      <c r="C6682" s="37">
        <v>34</v>
      </c>
      <c r="D6682" s="36">
        <f>base!H6682</f>
        <v>44</v>
      </c>
      <c r="E6682" s="44"/>
      <c r="F6682" s="16">
        <f>base!W6682</f>
        <v>0</v>
      </c>
      <c r="G6682" s="11">
        <f t="shared" si="1040"/>
        <v>0</v>
      </c>
      <c r="H6682" s="11">
        <f t="shared" si="1041"/>
        <v>17.16</v>
      </c>
      <c r="I6682" s="11">
        <f t="shared" si="1042"/>
        <v>0.39</v>
      </c>
      <c r="J6682" s="12">
        <f t="shared" si="1043"/>
        <v>-17.16</v>
      </c>
      <c r="K6682" s="17" t="str">
        <f t="shared" si="1048"/>
        <v>Ecart négatif</v>
      </c>
      <c r="L6682" s="16">
        <f>base!X6682</f>
        <v>12.32</v>
      </c>
      <c r="M6682" s="11">
        <f t="shared" si="1044"/>
        <v>0.28000000000000003</v>
      </c>
      <c r="N6682" s="11">
        <f t="shared" si="1045"/>
        <v>12.32</v>
      </c>
      <c r="O6682" s="11">
        <f t="shared" si="1046"/>
        <v>0.28000000000000003</v>
      </c>
      <c r="P6682" s="12">
        <f t="shared" si="1047"/>
        <v>0</v>
      </c>
      <c r="Q6682" s="17" t="str">
        <f t="shared" si="1049"/>
        <v>Pas d'écart</v>
      </c>
      <c r="R6682" s="38"/>
    </row>
    <row r="6683" spans="1:18" x14ac:dyDescent="0.3">
      <c r="A6683" s="34" t="str">
        <f>base!J6683</f>
        <v>LM</v>
      </c>
      <c r="B6683" s="34" t="str">
        <f>base!V6683</f>
        <v>13008</v>
      </c>
      <c r="C6683" s="37">
        <v>83</v>
      </c>
      <c r="D6683" s="36">
        <f>base!H6683</f>
        <v>267.95999999999998</v>
      </c>
      <c r="E6683" s="44"/>
      <c r="F6683" s="16">
        <f>base!W6683</f>
        <v>77.709999999999994</v>
      </c>
      <c r="G6683" s="11">
        <f t="shared" si="1040"/>
        <v>0.29000597104045378</v>
      </c>
      <c r="H6683" s="11">
        <f t="shared" si="1041"/>
        <v>80.387999999999991</v>
      </c>
      <c r="I6683" s="11">
        <f t="shared" si="1042"/>
        <v>0.3</v>
      </c>
      <c r="J6683" s="12">
        <f t="shared" si="1043"/>
        <v>-2.6779999999999973</v>
      </c>
      <c r="K6683" s="17" t="str">
        <f t="shared" si="1048"/>
        <v>Ecart négatif</v>
      </c>
      <c r="L6683" s="16">
        <f>base!X6683</f>
        <v>0</v>
      </c>
      <c r="M6683" s="11">
        <f t="shared" si="1044"/>
        <v>0</v>
      </c>
      <c r="N6683" s="11">
        <f t="shared" si="1045"/>
        <v>56.271599999999992</v>
      </c>
      <c r="O6683" s="11">
        <f t="shared" si="1046"/>
        <v>0.21</v>
      </c>
      <c r="P6683" s="12">
        <f t="shared" si="1047"/>
        <v>-56.271599999999992</v>
      </c>
      <c r="Q6683" s="17" t="str">
        <f t="shared" si="1049"/>
        <v>Ecart négatif</v>
      </c>
    </row>
    <row r="6684" spans="1:18" x14ac:dyDescent="0.3">
      <c r="A6684" s="34" t="str">
        <f>base!J6684</f>
        <v>LS</v>
      </c>
      <c r="B6684" s="34" t="str">
        <f>base!V6684</f>
        <v>54000</v>
      </c>
      <c r="C6684" s="37">
        <v>83</v>
      </c>
      <c r="D6684" s="36">
        <f>base!H6684</f>
        <v>12</v>
      </c>
      <c r="E6684" s="44"/>
      <c r="F6684" s="16">
        <f>base!W6684</f>
        <v>3</v>
      </c>
      <c r="G6684" s="11">
        <f t="shared" si="1040"/>
        <v>0.25</v>
      </c>
      <c r="H6684" s="11">
        <f t="shared" si="1041"/>
        <v>3.5999999999999996</v>
      </c>
      <c r="I6684" s="11">
        <f t="shared" si="1042"/>
        <v>0.3</v>
      </c>
      <c r="J6684" s="12">
        <f t="shared" si="1043"/>
        <v>-0.59999999999999964</v>
      </c>
      <c r="K6684" s="17" t="str">
        <f t="shared" si="1048"/>
        <v>Ecart négatif</v>
      </c>
      <c r="L6684" s="16">
        <f>base!X6684</f>
        <v>0</v>
      </c>
      <c r="M6684" s="11">
        <f t="shared" si="1044"/>
        <v>0</v>
      </c>
      <c r="N6684" s="11">
        <f t="shared" si="1045"/>
        <v>2.52</v>
      </c>
      <c r="O6684" s="11">
        <f t="shared" si="1046"/>
        <v>0.21</v>
      </c>
      <c r="P6684" s="12">
        <f t="shared" si="1047"/>
        <v>-2.52</v>
      </c>
      <c r="Q6684" s="17" t="str">
        <f t="shared" si="1049"/>
        <v>Ecart négatif</v>
      </c>
    </row>
    <row r="6685" spans="1:18" x14ac:dyDescent="0.3">
      <c r="A6685" s="34" t="str">
        <f>base!J6685</f>
        <v>RS</v>
      </c>
      <c r="B6685" s="34" t="str">
        <f>base!V6685</f>
        <v>14100</v>
      </c>
      <c r="C6685" s="37">
        <v>14</v>
      </c>
      <c r="D6685" s="36">
        <f>base!H6685</f>
        <v>250</v>
      </c>
      <c r="E6685" s="44"/>
      <c r="F6685" s="16">
        <f>base!W6685</f>
        <v>0</v>
      </c>
      <c r="G6685" s="11">
        <f t="shared" si="1040"/>
        <v>0</v>
      </c>
      <c r="H6685" s="11">
        <f t="shared" si="1041"/>
        <v>42.5</v>
      </c>
      <c r="I6685" s="11">
        <f t="shared" si="1042"/>
        <v>0.17</v>
      </c>
      <c r="J6685" s="12">
        <f t="shared" si="1043"/>
        <v>-42.5</v>
      </c>
      <c r="K6685" s="17" t="str">
        <f t="shared" si="1048"/>
        <v>Ecart négatif</v>
      </c>
      <c r="L6685" s="16">
        <f>base!X6685</f>
        <v>42.5</v>
      </c>
      <c r="M6685" s="11">
        <f t="shared" si="1044"/>
        <v>0.17</v>
      </c>
      <c r="N6685" s="11">
        <f t="shared" si="1045"/>
        <v>42.5</v>
      </c>
      <c r="O6685" s="11">
        <f t="shared" si="1046"/>
        <v>0.17</v>
      </c>
      <c r="P6685" s="12">
        <f t="shared" si="1047"/>
        <v>0</v>
      </c>
      <c r="Q6685" s="17" t="str">
        <f t="shared" si="1049"/>
        <v>Pas d'écart</v>
      </c>
    </row>
    <row r="6686" spans="1:18" x14ac:dyDescent="0.3">
      <c r="A6686" s="34" t="str">
        <f>base!J6686</f>
        <v>DRS</v>
      </c>
      <c r="B6686" s="34" t="str">
        <f>base!V6686</f>
        <v>94150</v>
      </c>
      <c r="C6686" s="37">
        <v>94</v>
      </c>
      <c r="D6686" s="36">
        <f>base!H6686</f>
        <v>67.64</v>
      </c>
      <c r="E6686" s="44"/>
      <c r="F6686" s="16">
        <f>base!W6686</f>
        <v>0</v>
      </c>
      <c r="G6686" s="11">
        <f t="shared" si="1040"/>
        <v>0</v>
      </c>
      <c r="H6686" s="11">
        <f t="shared" si="1041"/>
        <v>0</v>
      </c>
      <c r="I6686" s="11">
        <f t="shared" si="1042"/>
        <v>0</v>
      </c>
      <c r="J6686" s="12">
        <f t="shared" si="1043"/>
        <v>0</v>
      </c>
      <c r="K6686" s="17" t="str">
        <f t="shared" si="1048"/>
        <v>Pas d'écart</v>
      </c>
      <c r="L6686" s="16">
        <f>base!X6686</f>
        <v>0</v>
      </c>
      <c r="M6686" s="11">
        <f t="shared" si="1044"/>
        <v>0</v>
      </c>
      <c r="N6686" s="11">
        <f t="shared" si="1045"/>
        <v>0</v>
      </c>
      <c r="O6686" s="11">
        <f t="shared" si="1046"/>
        <v>0</v>
      </c>
      <c r="P6686" s="12">
        <f t="shared" si="1047"/>
        <v>0</v>
      </c>
      <c r="Q6686" s="17" t="str">
        <f t="shared" si="1049"/>
        <v>Pas d'écart</v>
      </c>
    </row>
    <row r="6687" spans="1:18" x14ac:dyDescent="0.3">
      <c r="A6687" s="34" t="str">
        <f>base!J6687</f>
        <v>LS</v>
      </c>
      <c r="B6687" s="34" t="str">
        <f>base!V6687</f>
        <v>72000</v>
      </c>
      <c r="C6687" s="37">
        <v>72</v>
      </c>
      <c r="D6687" s="36">
        <f>base!H6687</f>
        <v>70</v>
      </c>
      <c r="E6687" s="44"/>
      <c r="F6687" s="16">
        <f>base!W6687</f>
        <v>14.7</v>
      </c>
      <c r="G6687" s="11">
        <f t="shared" si="1040"/>
        <v>0.21</v>
      </c>
      <c r="H6687" s="11">
        <f t="shared" si="1041"/>
        <v>14.7</v>
      </c>
      <c r="I6687" s="11">
        <f t="shared" si="1042"/>
        <v>0.21</v>
      </c>
      <c r="J6687" s="12">
        <f t="shared" si="1043"/>
        <v>0</v>
      </c>
      <c r="K6687" s="17" t="str">
        <f t="shared" si="1048"/>
        <v>Pas d'écart</v>
      </c>
      <c r="L6687" s="16">
        <f>base!X6687</f>
        <v>0</v>
      </c>
      <c r="M6687" s="11">
        <f t="shared" si="1044"/>
        <v>0</v>
      </c>
      <c r="N6687" s="11">
        <f t="shared" si="1045"/>
        <v>8.4</v>
      </c>
      <c r="O6687" s="11">
        <f t="shared" si="1046"/>
        <v>0.12000000000000001</v>
      </c>
      <c r="P6687" s="12">
        <f t="shared" si="1047"/>
        <v>-8.4</v>
      </c>
      <c r="Q6687" s="17" t="str">
        <f t="shared" si="1049"/>
        <v>Ecart négatif</v>
      </c>
    </row>
    <row r="6688" spans="1:18" x14ac:dyDescent="0.3">
      <c r="A6688" s="34">
        <f>base!J6688</f>
        <v>0</v>
      </c>
      <c r="B6688" s="34" t="str">
        <f>base!V6688</f>
        <v>77184</v>
      </c>
      <c r="C6688" s="37">
        <v>77</v>
      </c>
      <c r="D6688" s="36">
        <f>base!H6688</f>
        <v>57</v>
      </c>
      <c r="E6688" s="44"/>
      <c r="F6688" s="16">
        <f>base!W6688</f>
        <v>0</v>
      </c>
      <c r="G6688" s="11">
        <f t="shared" si="1040"/>
        <v>0</v>
      </c>
      <c r="H6688" s="11">
        <f t="shared" si="1041"/>
        <v>0</v>
      </c>
      <c r="I6688" s="11">
        <f t="shared" si="1042"/>
        <v>0</v>
      </c>
      <c r="J6688" s="12">
        <f t="shared" si="1043"/>
        <v>0</v>
      </c>
      <c r="K6688" s="17" t="str">
        <f t="shared" si="1048"/>
        <v>Pas d'écart</v>
      </c>
      <c r="L6688" s="16">
        <f>base!X6688</f>
        <v>0</v>
      </c>
      <c r="M6688" s="11">
        <f t="shared" si="1044"/>
        <v>0</v>
      </c>
      <c r="N6688" s="11">
        <f t="shared" si="1045"/>
        <v>0</v>
      </c>
      <c r="O6688" s="11">
        <f t="shared" si="1046"/>
        <v>0</v>
      </c>
      <c r="P6688" s="12">
        <f t="shared" si="1047"/>
        <v>0</v>
      </c>
      <c r="Q6688" s="17" t="str">
        <f t="shared" si="1049"/>
        <v>Pas d'écart</v>
      </c>
    </row>
    <row r="6689" spans="1:18" x14ac:dyDescent="0.3">
      <c r="A6689" s="34" t="str">
        <f>base!J6689</f>
        <v>LS</v>
      </c>
      <c r="B6689" s="34" t="str">
        <f>base!V6689</f>
        <v>29690</v>
      </c>
      <c r="C6689" s="37">
        <v>83</v>
      </c>
      <c r="D6689" s="36">
        <f>base!H6689</f>
        <v>201.98</v>
      </c>
      <c r="E6689" s="44"/>
      <c r="F6689" s="16">
        <f>base!W6689</f>
        <v>78.77</v>
      </c>
      <c r="G6689" s="11">
        <f t="shared" si="1040"/>
        <v>0.38998910783245866</v>
      </c>
      <c r="H6689" s="11">
        <f t="shared" si="1041"/>
        <v>60.593999999999994</v>
      </c>
      <c r="I6689" s="11">
        <f t="shared" si="1042"/>
        <v>0.3</v>
      </c>
      <c r="J6689" s="12">
        <f t="shared" si="1043"/>
        <v>18.176000000000002</v>
      </c>
      <c r="K6689" s="17" t="str">
        <f t="shared" si="1048"/>
        <v>Ecart positif</v>
      </c>
      <c r="L6689" s="16">
        <f>base!X6689</f>
        <v>0</v>
      </c>
      <c r="M6689" s="11">
        <f t="shared" si="1044"/>
        <v>0</v>
      </c>
      <c r="N6689" s="11">
        <f t="shared" si="1045"/>
        <v>42.415799999999997</v>
      </c>
      <c r="O6689" s="11">
        <f t="shared" si="1046"/>
        <v>0.21</v>
      </c>
      <c r="P6689" s="12">
        <f t="shared" si="1047"/>
        <v>-42.415799999999997</v>
      </c>
      <c r="Q6689" s="17" t="str">
        <f t="shared" si="1049"/>
        <v>Ecart négatif</v>
      </c>
    </row>
    <row r="6690" spans="1:18" x14ac:dyDescent="0.3">
      <c r="A6690" s="34">
        <f>base!J6690</f>
        <v>0</v>
      </c>
      <c r="B6690" s="34" t="str">
        <f>base!V6690</f>
        <v>77184</v>
      </c>
      <c r="C6690" s="37">
        <v>77</v>
      </c>
      <c r="D6690" s="36">
        <f>base!H6690</f>
        <v>84.5</v>
      </c>
      <c r="E6690" s="44"/>
      <c r="F6690" s="16">
        <f>base!W6690</f>
        <v>0</v>
      </c>
      <c r="G6690" s="11">
        <f t="shared" si="1040"/>
        <v>0</v>
      </c>
      <c r="H6690" s="11">
        <f t="shared" si="1041"/>
        <v>0</v>
      </c>
      <c r="I6690" s="11">
        <f t="shared" si="1042"/>
        <v>0</v>
      </c>
      <c r="J6690" s="12">
        <f t="shared" si="1043"/>
        <v>0</v>
      </c>
      <c r="K6690" s="17" t="str">
        <f t="shared" si="1048"/>
        <v>Pas d'écart</v>
      </c>
      <c r="L6690" s="16">
        <f>base!X6690</f>
        <v>0</v>
      </c>
      <c r="M6690" s="11">
        <f t="shared" si="1044"/>
        <v>0</v>
      </c>
      <c r="N6690" s="11">
        <f t="shared" si="1045"/>
        <v>0</v>
      </c>
      <c r="O6690" s="11">
        <f t="shared" si="1046"/>
        <v>0</v>
      </c>
      <c r="P6690" s="12">
        <f t="shared" si="1047"/>
        <v>0</v>
      </c>
      <c r="Q6690" s="17" t="str">
        <f t="shared" si="1049"/>
        <v>Pas d'écart</v>
      </c>
    </row>
    <row r="6691" spans="1:18" x14ac:dyDescent="0.3">
      <c r="A6691" s="34">
        <f>base!J6691</f>
        <v>0</v>
      </c>
      <c r="B6691" s="34" t="str">
        <f>base!V6691</f>
        <v>77184</v>
      </c>
      <c r="C6691" s="37">
        <v>77</v>
      </c>
      <c r="D6691" s="36">
        <f>base!H6691</f>
        <v>156</v>
      </c>
      <c r="E6691" s="44"/>
      <c r="F6691" s="16">
        <f>base!W6691</f>
        <v>0</v>
      </c>
      <c r="G6691" s="11">
        <f t="shared" si="1040"/>
        <v>0</v>
      </c>
      <c r="H6691" s="11">
        <f t="shared" si="1041"/>
        <v>0</v>
      </c>
      <c r="I6691" s="11">
        <f t="shared" si="1042"/>
        <v>0</v>
      </c>
      <c r="J6691" s="12">
        <f t="shared" si="1043"/>
        <v>0</v>
      </c>
      <c r="K6691" s="17" t="str">
        <f t="shared" si="1048"/>
        <v>Pas d'écart</v>
      </c>
      <c r="L6691" s="16">
        <f>base!X6691</f>
        <v>0</v>
      </c>
      <c r="M6691" s="11">
        <f t="shared" si="1044"/>
        <v>0</v>
      </c>
      <c r="N6691" s="11">
        <f t="shared" si="1045"/>
        <v>0</v>
      </c>
      <c r="O6691" s="11">
        <f t="shared" si="1046"/>
        <v>0</v>
      </c>
      <c r="P6691" s="12">
        <f t="shared" si="1047"/>
        <v>0</v>
      </c>
      <c r="Q6691" s="17" t="str">
        <f t="shared" si="1049"/>
        <v>Pas d'écart</v>
      </c>
    </row>
    <row r="6692" spans="1:18" x14ac:dyDescent="0.3">
      <c r="A6692" s="34">
        <f>base!J6692</f>
        <v>0</v>
      </c>
      <c r="B6692" s="34" t="str">
        <f>base!V6692</f>
        <v>77184</v>
      </c>
      <c r="C6692" s="37">
        <v>77</v>
      </c>
      <c r="D6692" s="36">
        <f>base!H6692</f>
        <v>156</v>
      </c>
      <c r="E6692" s="44"/>
      <c r="F6692" s="16">
        <f>base!W6692</f>
        <v>0</v>
      </c>
      <c r="G6692" s="11">
        <f t="shared" si="1040"/>
        <v>0</v>
      </c>
      <c r="H6692" s="11">
        <f t="shared" si="1041"/>
        <v>0</v>
      </c>
      <c r="I6692" s="11">
        <f t="shared" si="1042"/>
        <v>0</v>
      </c>
      <c r="J6692" s="12">
        <f t="shared" si="1043"/>
        <v>0</v>
      </c>
      <c r="K6692" s="17" t="str">
        <f t="shared" si="1048"/>
        <v>Pas d'écart</v>
      </c>
      <c r="L6692" s="16">
        <f>base!X6692</f>
        <v>0</v>
      </c>
      <c r="M6692" s="11">
        <f t="shared" si="1044"/>
        <v>0</v>
      </c>
      <c r="N6692" s="11">
        <f t="shared" si="1045"/>
        <v>0</v>
      </c>
      <c r="O6692" s="11">
        <f t="shared" si="1046"/>
        <v>0</v>
      </c>
      <c r="P6692" s="12">
        <f t="shared" si="1047"/>
        <v>0</v>
      </c>
      <c r="Q6692" s="17" t="str">
        <f t="shared" si="1049"/>
        <v>Pas d'écart</v>
      </c>
    </row>
    <row r="6693" spans="1:18" x14ac:dyDescent="0.3">
      <c r="A6693" s="34">
        <f>base!J6693</f>
        <v>0</v>
      </c>
      <c r="B6693" s="34" t="str">
        <f>base!V6693</f>
        <v>77184</v>
      </c>
      <c r="C6693" s="37">
        <v>77</v>
      </c>
      <c r="D6693" s="36">
        <f>base!H6693</f>
        <v>157</v>
      </c>
      <c r="E6693" s="44"/>
      <c r="F6693" s="16">
        <f>base!W6693</f>
        <v>0</v>
      </c>
      <c r="G6693" s="11">
        <f t="shared" si="1040"/>
        <v>0</v>
      </c>
      <c r="H6693" s="11">
        <f t="shared" si="1041"/>
        <v>0</v>
      </c>
      <c r="I6693" s="11">
        <f t="shared" si="1042"/>
        <v>0</v>
      </c>
      <c r="J6693" s="12">
        <f t="shared" si="1043"/>
        <v>0</v>
      </c>
      <c r="K6693" s="17" t="str">
        <f t="shared" si="1048"/>
        <v>Pas d'écart</v>
      </c>
      <c r="L6693" s="16">
        <f>base!X6693</f>
        <v>0</v>
      </c>
      <c r="M6693" s="11">
        <f t="shared" si="1044"/>
        <v>0</v>
      </c>
      <c r="N6693" s="11">
        <f t="shared" si="1045"/>
        <v>0</v>
      </c>
      <c r="O6693" s="11">
        <f t="shared" si="1046"/>
        <v>0</v>
      </c>
      <c r="P6693" s="12">
        <f t="shared" si="1047"/>
        <v>0</v>
      </c>
      <c r="Q6693" s="17" t="str">
        <f t="shared" si="1049"/>
        <v>Pas d'écart</v>
      </c>
    </row>
    <row r="6694" spans="1:18" x14ac:dyDescent="0.3">
      <c r="A6694" s="34" t="str">
        <f>base!J6694</f>
        <v>LM</v>
      </c>
      <c r="B6694" s="34" t="str">
        <f>base!V6694</f>
        <v>62740</v>
      </c>
      <c r="C6694" s="37">
        <v>6</v>
      </c>
      <c r="D6694" s="36">
        <f>base!H6694</f>
        <v>18.350000000000001</v>
      </c>
      <c r="E6694" s="44"/>
      <c r="F6694" s="16">
        <f>base!W6694</f>
        <v>3.49</v>
      </c>
      <c r="G6694" s="11">
        <f t="shared" si="1040"/>
        <v>0.19019073569482289</v>
      </c>
      <c r="H6694" s="11">
        <f t="shared" si="1041"/>
        <v>5.5049999999999999</v>
      </c>
      <c r="I6694" s="11">
        <f t="shared" si="1042"/>
        <v>0.3</v>
      </c>
      <c r="J6694" s="12">
        <f t="shared" si="1043"/>
        <v>-2.0149999999999997</v>
      </c>
      <c r="K6694" s="17" t="str">
        <f t="shared" si="1048"/>
        <v>Ecart négatif</v>
      </c>
      <c r="L6694" s="16">
        <f>base!X6694</f>
        <v>0</v>
      </c>
      <c r="M6694" s="11">
        <f t="shared" si="1044"/>
        <v>0</v>
      </c>
      <c r="N6694" s="11">
        <f t="shared" si="1045"/>
        <v>3.8535000000000004</v>
      </c>
      <c r="O6694" s="11">
        <f t="shared" si="1046"/>
        <v>0.21</v>
      </c>
      <c r="P6694" s="12">
        <f t="shared" si="1047"/>
        <v>-3.8535000000000004</v>
      </c>
      <c r="Q6694" s="17" t="str">
        <f t="shared" si="1049"/>
        <v>Ecart négatif</v>
      </c>
    </row>
    <row r="6695" spans="1:18" x14ac:dyDescent="0.3">
      <c r="A6695" s="34" t="str">
        <f>base!J6695</f>
        <v>LS</v>
      </c>
      <c r="B6695" s="34" t="str">
        <f>base!V6695</f>
        <v>94200</v>
      </c>
      <c r="C6695" s="37">
        <v>94</v>
      </c>
      <c r="D6695" s="36">
        <f>base!H6695</f>
        <v>188.25</v>
      </c>
      <c r="E6695" s="44"/>
      <c r="F6695" s="16">
        <f>base!W6695</f>
        <v>0</v>
      </c>
      <c r="G6695" s="11">
        <f t="shared" si="1040"/>
        <v>0</v>
      </c>
      <c r="H6695" s="11">
        <f t="shared" si="1041"/>
        <v>0</v>
      </c>
      <c r="I6695" s="11">
        <f t="shared" si="1042"/>
        <v>0</v>
      </c>
      <c r="J6695" s="12">
        <f t="shared" si="1043"/>
        <v>0</v>
      </c>
      <c r="K6695" s="17" t="str">
        <f t="shared" si="1048"/>
        <v>Pas d'écart</v>
      </c>
      <c r="L6695" s="16">
        <f>base!X6695</f>
        <v>0</v>
      </c>
      <c r="M6695" s="11">
        <f t="shared" si="1044"/>
        <v>0</v>
      </c>
      <c r="N6695" s="11">
        <f t="shared" si="1045"/>
        <v>0</v>
      </c>
      <c r="O6695" s="11">
        <f t="shared" si="1046"/>
        <v>0</v>
      </c>
      <c r="P6695" s="12">
        <f t="shared" si="1047"/>
        <v>0</v>
      </c>
      <c r="Q6695" s="17" t="str">
        <f t="shared" si="1049"/>
        <v>Pas d'écart</v>
      </c>
    </row>
    <row r="6696" spans="1:18" x14ac:dyDescent="0.3">
      <c r="A6696" s="34" t="str">
        <f>base!J6696</f>
        <v>LS</v>
      </c>
      <c r="B6696" s="34" t="str">
        <f>base!V6696</f>
        <v>70270</v>
      </c>
      <c r="C6696" s="37">
        <v>6</v>
      </c>
      <c r="D6696" s="36">
        <f>base!H6696</f>
        <v>151</v>
      </c>
      <c r="E6696" s="44"/>
      <c r="F6696" s="16">
        <f>base!W6696</f>
        <v>36.24</v>
      </c>
      <c r="G6696" s="11">
        <f t="shared" si="1040"/>
        <v>0.24000000000000002</v>
      </c>
      <c r="H6696" s="11">
        <f t="shared" si="1041"/>
        <v>45.3</v>
      </c>
      <c r="I6696" s="11">
        <f t="shared" si="1042"/>
        <v>0.3</v>
      </c>
      <c r="J6696" s="12">
        <f t="shared" si="1043"/>
        <v>-9.0599999999999952</v>
      </c>
      <c r="K6696" s="17" t="str">
        <f t="shared" si="1048"/>
        <v>Ecart négatif</v>
      </c>
      <c r="L6696" s="16">
        <f>base!X6696</f>
        <v>0</v>
      </c>
      <c r="M6696" s="11">
        <f t="shared" si="1044"/>
        <v>0</v>
      </c>
      <c r="N6696" s="11">
        <f t="shared" si="1045"/>
        <v>31.709999999999997</v>
      </c>
      <c r="O6696" s="11">
        <f t="shared" si="1046"/>
        <v>0.21</v>
      </c>
      <c r="P6696" s="12">
        <f t="shared" si="1047"/>
        <v>-31.709999999999997</v>
      </c>
      <c r="Q6696" s="17" t="str">
        <f t="shared" si="1049"/>
        <v>Ecart négatif</v>
      </c>
    </row>
    <row r="6697" spans="1:18" x14ac:dyDescent="0.3">
      <c r="A6697" s="34" t="str">
        <f>base!J6697</f>
        <v>RS</v>
      </c>
      <c r="B6697" s="34" t="str">
        <f>base!V6697</f>
        <v>35650</v>
      </c>
      <c r="C6697" s="37">
        <v>35</v>
      </c>
      <c r="D6697" s="36">
        <f>base!H6697</f>
        <v>70</v>
      </c>
      <c r="E6697" s="44"/>
      <c r="F6697" s="16">
        <f>base!W6697</f>
        <v>0</v>
      </c>
      <c r="G6697" s="11">
        <f t="shared" si="1040"/>
        <v>0</v>
      </c>
      <c r="H6697" s="11">
        <f t="shared" si="1041"/>
        <v>18.900000000000002</v>
      </c>
      <c r="I6697" s="11">
        <f t="shared" si="1042"/>
        <v>0.27</v>
      </c>
      <c r="J6697" s="12">
        <f t="shared" si="1043"/>
        <v>-18.900000000000002</v>
      </c>
      <c r="K6697" s="17" t="str">
        <f t="shared" si="1048"/>
        <v>Ecart négatif</v>
      </c>
      <c r="L6697" s="16">
        <f>base!X6697</f>
        <v>0</v>
      </c>
      <c r="M6697" s="11">
        <f t="shared" si="1044"/>
        <v>0</v>
      </c>
      <c r="N6697" s="11">
        <f t="shared" si="1045"/>
        <v>0</v>
      </c>
      <c r="O6697" s="11">
        <f t="shared" si="1046"/>
        <v>0</v>
      </c>
      <c r="P6697" s="12">
        <f t="shared" si="1047"/>
        <v>0</v>
      </c>
      <c r="Q6697" s="17" t="str">
        <f t="shared" si="1049"/>
        <v>Pas d'écart</v>
      </c>
    </row>
    <row r="6698" spans="1:18" x14ac:dyDescent="0.3">
      <c r="A6698" s="34" t="str">
        <f>base!J6698</f>
        <v>RS</v>
      </c>
      <c r="B6698" s="34" t="str">
        <f>base!V6698</f>
        <v>76700</v>
      </c>
      <c r="C6698" s="37">
        <v>76</v>
      </c>
      <c r="D6698" s="36">
        <f>base!H6698</f>
        <v>163.02000000000001</v>
      </c>
      <c r="E6698" s="44"/>
      <c r="F6698" s="16">
        <f>base!W6698</f>
        <v>0</v>
      </c>
      <c r="G6698" s="11">
        <f t="shared" si="1040"/>
        <v>0</v>
      </c>
      <c r="H6698" s="11">
        <f t="shared" si="1041"/>
        <v>27.713400000000004</v>
      </c>
      <c r="I6698" s="11">
        <f t="shared" si="1042"/>
        <v>0.17</v>
      </c>
      <c r="J6698" s="12">
        <f t="shared" si="1043"/>
        <v>-27.713400000000004</v>
      </c>
      <c r="K6698" s="17" t="str">
        <f t="shared" si="1048"/>
        <v>Ecart négatif</v>
      </c>
      <c r="L6698" s="16">
        <f>base!X6698</f>
        <v>27.71</v>
      </c>
      <c r="M6698" s="11">
        <f t="shared" si="1044"/>
        <v>0.16997914366335418</v>
      </c>
      <c r="N6698" s="11">
        <f t="shared" si="1045"/>
        <v>27.713400000000004</v>
      </c>
      <c r="O6698" s="11">
        <f t="shared" si="1046"/>
        <v>0.17</v>
      </c>
      <c r="P6698" s="12">
        <f t="shared" si="1047"/>
        <v>-3.4000000000027342E-3</v>
      </c>
      <c r="Q6698" s="17" t="str">
        <f t="shared" si="1049"/>
        <v>Ecart négatif</v>
      </c>
      <c r="R6698" s="38"/>
    </row>
    <row r="6699" spans="1:18" x14ac:dyDescent="0.3">
      <c r="A6699" s="34">
        <f>base!J6699</f>
        <v>0</v>
      </c>
      <c r="B6699" s="34" t="str">
        <f>base!V6699</f>
        <v>77184</v>
      </c>
      <c r="C6699" s="37">
        <v>77</v>
      </c>
      <c r="D6699" s="36">
        <f>base!H6699</f>
        <v>22</v>
      </c>
      <c r="E6699" s="44"/>
      <c r="F6699" s="16">
        <f>base!W6699</f>
        <v>0</v>
      </c>
      <c r="G6699" s="11">
        <f t="shared" si="1040"/>
        <v>0</v>
      </c>
      <c r="H6699" s="11">
        <f t="shared" si="1041"/>
        <v>0</v>
      </c>
      <c r="I6699" s="11">
        <f t="shared" si="1042"/>
        <v>0</v>
      </c>
      <c r="J6699" s="12">
        <f t="shared" si="1043"/>
        <v>0</v>
      </c>
      <c r="K6699" s="17" t="str">
        <f t="shared" si="1048"/>
        <v>Pas d'écart</v>
      </c>
      <c r="L6699" s="16">
        <f>base!X6699</f>
        <v>0</v>
      </c>
      <c r="M6699" s="11">
        <f t="shared" si="1044"/>
        <v>0</v>
      </c>
      <c r="N6699" s="11">
        <f t="shared" si="1045"/>
        <v>0</v>
      </c>
      <c r="O6699" s="11">
        <f t="shared" si="1046"/>
        <v>0</v>
      </c>
      <c r="P6699" s="12">
        <f t="shared" si="1047"/>
        <v>0</v>
      </c>
      <c r="Q6699" s="17" t="str">
        <f t="shared" si="1049"/>
        <v>Pas d'écart</v>
      </c>
    </row>
    <row r="6700" spans="1:18" x14ac:dyDescent="0.3">
      <c r="A6700" s="34" t="str">
        <f>base!J6700</f>
        <v>RM</v>
      </c>
      <c r="B6700" s="34" t="str">
        <f>base!V6700</f>
        <v>60490</v>
      </c>
      <c r="C6700" s="37">
        <v>60</v>
      </c>
      <c r="D6700" s="36">
        <f>base!H6700</f>
        <v>25</v>
      </c>
      <c r="E6700" s="44"/>
      <c r="F6700" s="16">
        <f>base!W6700</f>
        <v>0</v>
      </c>
      <c r="G6700" s="11">
        <f t="shared" si="1040"/>
        <v>0</v>
      </c>
      <c r="H6700" s="11">
        <f t="shared" si="1041"/>
        <v>4.75</v>
      </c>
      <c r="I6700" s="11">
        <f t="shared" si="1042"/>
        <v>0.19</v>
      </c>
      <c r="J6700" s="12">
        <f t="shared" si="1043"/>
        <v>-4.75</v>
      </c>
      <c r="K6700" s="17" t="str">
        <f t="shared" si="1048"/>
        <v>Ecart négatif</v>
      </c>
      <c r="L6700" s="16">
        <f>base!X6700</f>
        <v>0</v>
      </c>
      <c r="M6700" s="11">
        <f t="shared" si="1044"/>
        <v>0</v>
      </c>
      <c r="N6700" s="11">
        <f t="shared" si="1045"/>
        <v>0</v>
      </c>
      <c r="O6700" s="11">
        <f t="shared" si="1046"/>
        <v>0</v>
      </c>
      <c r="P6700" s="12">
        <f t="shared" si="1047"/>
        <v>0</v>
      </c>
      <c r="Q6700" s="17" t="str">
        <f t="shared" si="1049"/>
        <v>Pas d'écart</v>
      </c>
    </row>
    <row r="6701" spans="1:18" x14ac:dyDescent="0.3">
      <c r="A6701" s="34" t="str">
        <f>base!J6701</f>
        <v>RM</v>
      </c>
      <c r="B6701" s="34" t="str">
        <f>base!V6701</f>
        <v>37140</v>
      </c>
      <c r="C6701" s="37">
        <v>37</v>
      </c>
      <c r="D6701" s="36">
        <f>base!H6701</f>
        <v>140</v>
      </c>
      <c r="E6701" s="44"/>
      <c r="F6701" s="16">
        <f>base!W6701</f>
        <v>0</v>
      </c>
      <c r="G6701" s="11">
        <f t="shared" si="1040"/>
        <v>0</v>
      </c>
      <c r="H6701" s="11">
        <f t="shared" si="1041"/>
        <v>26.6</v>
      </c>
      <c r="I6701" s="11">
        <f t="shared" si="1042"/>
        <v>0.19</v>
      </c>
      <c r="J6701" s="12">
        <f t="shared" si="1043"/>
        <v>-26.6</v>
      </c>
      <c r="K6701" s="17" t="str">
        <f t="shared" si="1048"/>
        <v>Ecart négatif</v>
      </c>
      <c r="L6701" s="16">
        <f>base!X6701</f>
        <v>54.6</v>
      </c>
      <c r="M6701" s="11">
        <f t="shared" si="1044"/>
        <v>0.39</v>
      </c>
      <c r="N6701" s="11">
        <f t="shared" si="1045"/>
        <v>16.8</v>
      </c>
      <c r="O6701" s="11">
        <f t="shared" si="1046"/>
        <v>0.12000000000000001</v>
      </c>
      <c r="P6701" s="12">
        <f t="shared" si="1047"/>
        <v>37.799999999999997</v>
      </c>
      <c r="Q6701" s="17" t="str">
        <f t="shared" si="1049"/>
        <v>Ecart positif</v>
      </c>
      <c r="R6701" s="38"/>
    </row>
    <row r="6702" spans="1:18" x14ac:dyDescent="0.3">
      <c r="A6702" s="34" t="str">
        <f>base!J6702</f>
        <v>RM</v>
      </c>
      <c r="B6702" s="34" t="str">
        <f>base!V6702</f>
        <v>06100</v>
      </c>
      <c r="C6702" s="37">
        <v>6</v>
      </c>
      <c r="D6702" s="36">
        <f>base!H6702</f>
        <v>164.3</v>
      </c>
      <c r="E6702" s="44"/>
      <c r="F6702" s="16">
        <f>base!W6702</f>
        <v>0</v>
      </c>
      <c r="G6702" s="11">
        <f t="shared" si="1040"/>
        <v>0</v>
      </c>
      <c r="H6702" s="11">
        <f t="shared" si="1041"/>
        <v>49.29</v>
      </c>
      <c r="I6702" s="11">
        <f t="shared" si="1042"/>
        <v>0.3</v>
      </c>
      <c r="J6702" s="12">
        <f t="shared" si="1043"/>
        <v>-49.29</v>
      </c>
      <c r="K6702" s="17" t="str">
        <f t="shared" si="1048"/>
        <v>Ecart négatif</v>
      </c>
      <c r="L6702" s="16">
        <f>base!X6702</f>
        <v>34.5</v>
      </c>
      <c r="M6702" s="11">
        <f t="shared" si="1044"/>
        <v>0.20998174071819839</v>
      </c>
      <c r="N6702" s="11">
        <f t="shared" si="1045"/>
        <v>34.503</v>
      </c>
      <c r="O6702" s="11">
        <f t="shared" si="1046"/>
        <v>0.21</v>
      </c>
      <c r="P6702" s="12">
        <f t="shared" si="1047"/>
        <v>-3.0000000000001137E-3</v>
      </c>
      <c r="Q6702" s="17" t="str">
        <f t="shared" si="1049"/>
        <v>Ecart négatif</v>
      </c>
      <c r="R6702" s="38"/>
    </row>
    <row r="6703" spans="1:18" x14ac:dyDescent="0.3">
      <c r="A6703" s="34" t="str">
        <f>base!J6703</f>
        <v>RM</v>
      </c>
      <c r="B6703" s="34" t="str">
        <f>base!V6703</f>
        <v>06100</v>
      </c>
      <c r="C6703" s="37">
        <v>6</v>
      </c>
      <c r="D6703" s="36">
        <f>base!H6703</f>
        <v>127</v>
      </c>
      <c r="E6703" s="44"/>
      <c r="F6703" s="16">
        <f>base!W6703</f>
        <v>0</v>
      </c>
      <c r="G6703" s="11">
        <f t="shared" si="1040"/>
        <v>0</v>
      </c>
      <c r="H6703" s="11">
        <f t="shared" si="1041"/>
        <v>38.1</v>
      </c>
      <c r="I6703" s="11">
        <f t="shared" si="1042"/>
        <v>0.3</v>
      </c>
      <c r="J6703" s="12">
        <f t="shared" si="1043"/>
        <v>-38.1</v>
      </c>
      <c r="K6703" s="17" t="str">
        <f t="shared" si="1048"/>
        <v>Ecart négatif</v>
      </c>
      <c r="L6703" s="16">
        <f>base!X6703</f>
        <v>26.67</v>
      </c>
      <c r="M6703" s="11">
        <f t="shared" si="1044"/>
        <v>0.21000000000000002</v>
      </c>
      <c r="N6703" s="11">
        <f t="shared" si="1045"/>
        <v>26.669999999999998</v>
      </c>
      <c r="O6703" s="11">
        <f t="shared" si="1046"/>
        <v>0.21</v>
      </c>
      <c r="P6703" s="12">
        <f t="shared" si="1047"/>
        <v>0</v>
      </c>
      <c r="Q6703" s="17" t="str">
        <f t="shared" si="1049"/>
        <v>Pas d'écart</v>
      </c>
      <c r="R6703" s="38"/>
    </row>
    <row r="6704" spans="1:18" x14ac:dyDescent="0.3">
      <c r="A6704" s="34" t="str">
        <f>base!J6704</f>
        <v>LM</v>
      </c>
      <c r="B6704" s="34" t="str">
        <f>base!V6704</f>
        <v>59380</v>
      </c>
      <c r="C6704" s="37">
        <v>6</v>
      </c>
      <c r="D6704" s="36">
        <f>base!H6704</f>
        <v>131.65</v>
      </c>
      <c r="E6704" s="44"/>
      <c r="F6704" s="16">
        <f>base!W6704</f>
        <v>25.01</v>
      </c>
      <c r="G6704" s="11">
        <f t="shared" si="1040"/>
        <v>0.18997341435624762</v>
      </c>
      <c r="H6704" s="11">
        <f t="shared" si="1041"/>
        <v>39.494999999999997</v>
      </c>
      <c r="I6704" s="11">
        <f t="shared" si="1042"/>
        <v>0.3</v>
      </c>
      <c r="J6704" s="12">
        <f t="shared" si="1043"/>
        <v>-14.484999999999996</v>
      </c>
      <c r="K6704" s="17" t="str">
        <f t="shared" si="1048"/>
        <v>Ecart négatif</v>
      </c>
      <c r="L6704" s="16">
        <f>base!X6704</f>
        <v>0</v>
      </c>
      <c r="M6704" s="11">
        <f t="shared" si="1044"/>
        <v>0</v>
      </c>
      <c r="N6704" s="11">
        <f t="shared" si="1045"/>
        <v>27.6465</v>
      </c>
      <c r="O6704" s="11">
        <f t="shared" si="1046"/>
        <v>0.21</v>
      </c>
      <c r="P6704" s="12">
        <f t="shared" si="1047"/>
        <v>-27.6465</v>
      </c>
      <c r="Q6704" s="17" t="str">
        <f t="shared" si="1049"/>
        <v>Ecart négatif</v>
      </c>
    </row>
    <row r="6705" spans="1:18" x14ac:dyDescent="0.3">
      <c r="A6705" s="34" t="str">
        <f>base!J6705</f>
        <v>LM</v>
      </c>
      <c r="B6705" s="34" t="str">
        <f>base!V6705</f>
        <v>13006</v>
      </c>
      <c r="C6705" s="37">
        <v>6</v>
      </c>
      <c r="D6705" s="36">
        <f>base!H6705</f>
        <v>197.55</v>
      </c>
      <c r="E6705" s="44"/>
      <c r="F6705" s="16">
        <f>base!W6705</f>
        <v>57.29</v>
      </c>
      <c r="G6705" s="11">
        <f t="shared" si="1040"/>
        <v>0.29000253100480888</v>
      </c>
      <c r="H6705" s="11">
        <f t="shared" si="1041"/>
        <v>59.265000000000001</v>
      </c>
      <c r="I6705" s="11">
        <f t="shared" si="1042"/>
        <v>0.3</v>
      </c>
      <c r="J6705" s="12">
        <f t="shared" si="1043"/>
        <v>-1.9750000000000014</v>
      </c>
      <c r="K6705" s="17" t="str">
        <f t="shared" si="1048"/>
        <v>Ecart négatif</v>
      </c>
      <c r="L6705" s="16">
        <f>base!X6705</f>
        <v>0</v>
      </c>
      <c r="M6705" s="11">
        <f t="shared" si="1044"/>
        <v>0</v>
      </c>
      <c r="N6705" s="11">
        <f t="shared" si="1045"/>
        <v>41.485500000000002</v>
      </c>
      <c r="O6705" s="11">
        <f t="shared" si="1046"/>
        <v>0.21</v>
      </c>
      <c r="P6705" s="12">
        <f t="shared" si="1047"/>
        <v>-41.485500000000002</v>
      </c>
      <c r="Q6705" s="17" t="str">
        <f t="shared" si="1049"/>
        <v>Ecart négatif</v>
      </c>
    </row>
    <row r="6706" spans="1:18" x14ac:dyDescent="0.3">
      <c r="A6706" s="34" t="str">
        <f>base!J6706</f>
        <v>LS</v>
      </c>
      <c r="B6706" s="34" t="str">
        <f>base!V6706</f>
        <v>62954</v>
      </c>
      <c r="C6706" s="37">
        <v>6</v>
      </c>
      <c r="D6706" s="36">
        <f>base!H6706</f>
        <v>96.1</v>
      </c>
      <c r="E6706" s="44"/>
      <c r="F6706" s="16">
        <f>base!W6706</f>
        <v>18.260000000000002</v>
      </c>
      <c r="G6706" s="11">
        <f t="shared" si="1040"/>
        <v>0.19001040582726331</v>
      </c>
      <c r="H6706" s="11">
        <f t="shared" si="1041"/>
        <v>28.83</v>
      </c>
      <c r="I6706" s="11">
        <f t="shared" si="1042"/>
        <v>0.3</v>
      </c>
      <c r="J6706" s="12">
        <f t="shared" si="1043"/>
        <v>-10.569999999999997</v>
      </c>
      <c r="K6706" s="17" t="str">
        <f t="shared" si="1048"/>
        <v>Ecart négatif</v>
      </c>
      <c r="L6706" s="16">
        <f>base!X6706</f>
        <v>0</v>
      </c>
      <c r="M6706" s="11">
        <f t="shared" si="1044"/>
        <v>0</v>
      </c>
      <c r="N6706" s="11">
        <f t="shared" si="1045"/>
        <v>20.180999999999997</v>
      </c>
      <c r="O6706" s="11">
        <f t="shared" si="1046"/>
        <v>0.21</v>
      </c>
      <c r="P6706" s="12">
        <f t="shared" si="1047"/>
        <v>-20.180999999999997</v>
      </c>
      <c r="Q6706" s="17" t="str">
        <f t="shared" si="1049"/>
        <v>Ecart négatif</v>
      </c>
    </row>
    <row r="6707" spans="1:18" x14ac:dyDescent="0.3">
      <c r="A6707" s="34" t="str">
        <f>base!J6707</f>
        <v>LM</v>
      </c>
      <c r="B6707" s="34" t="str">
        <f>base!V6707</f>
        <v>79000</v>
      </c>
      <c r="C6707" s="37">
        <v>6</v>
      </c>
      <c r="D6707" s="36">
        <f>base!H6707</f>
        <v>59.72</v>
      </c>
      <c r="E6707" s="44"/>
      <c r="F6707" s="16">
        <f>base!W6707</f>
        <v>12.54</v>
      </c>
      <c r="G6707" s="11">
        <f t="shared" si="1040"/>
        <v>0.20997990622906898</v>
      </c>
      <c r="H6707" s="11">
        <f t="shared" si="1041"/>
        <v>17.916</v>
      </c>
      <c r="I6707" s="11">
        <f t="shared" si="1042"/>
        <v>0.3</v>
      </c>
      <c r="J6707" s="12">
        <f t="shared" si="1043"/>
        <v>-5.3760000000000012</v>
      </c>
      <c r="K6707" s="17" t="str">
        <f t="shared" si="1048"/>
        <v>Ecart négatif</v>
      </c>
      <c r="L6707" s="16">
        <f>base!X6707</f>
        <v>0</v>
      </c>
      <c r="M6707" s="11">
        <f t="shared" si="1044"/>
        <v>0</v>
      </c>
      <c r="N6707" s="11">
        <f t="shared" si="1045"/>
        <v>12.5412</v>
      </c>
      <c r="O6707" s="11">
        <f t="shared" si="1046"/>
        <v>0.21</v>
      </c>
      <c r="P6707" s="12">
        <f t="shared" si="1047"/>
        <v>-12.5412</v>
      </c>
      <c r="Q6707" s="17" t="str">
        <f t="shared" si="1049"/>
        <v>Ecart négatif</v>
      </c>
    </row>
    <row r="6708" spans="1:18" x14ac:dyDescent="0.3">
      <c r="A6708" s="34" t="str">
        <f>base!J6708</f>
        <v>LS</v>
      </c>
      <c r="B6708" s="34" t="str">
        <f>base!V6708</f>
        <v>34500</v>
      </c>
      <c r="C6708" s="37">
        <v>6</v>
      </c>
      <c r="D6708" s="36">
        <f>base!H6708</f>
        <v>300.20999999999998</v>
      </c>
      <c r="E6708" s="44"/>
      <c r="F6708" s="16">
        <f>base!W6708</f>
        <v>117.08</v>
      </c>
      <c r="G6708" s="11">
        <f t="shared" si="1040"/>
        <v>0.38999367109689886</v>
      </c>
      <c r="H6708" s="11">
        <f t="shared" si="1041"/>
        <v>90.062999999999988</v>
      </c>
      <c r="I6708" s="11">
        <f t="shared" si="1042"/>
        <v>0.3</v>
      </c>
      <c r="J6708" s="12">
        <f t="shared" si="1043"/>
        <v>27.01700000000001</v>
      </c>
      <c r="K6708" s="17" t="str">
        <f t="shared" si="1048"/>
        <v>Ecart positif</v>
      </c>
      <c r="L6708" s="16">
        <f>base!X6708</f>
        <v>0</v>
      </c>
      <c r="M6708" s="11">
        <f t="shared" si="1044"/>
        <v>0</v>
      </c>
      <c r="N6708" s="11">
        <f t="shared" si="1045"/>
        <v>63.044099999999993</v>
      </c>
      <c r="O6708" s="11">
        <f t="shared" si="1046"/>
        <v>0.21</v>
      </c>
      <c r="P6708" s="12">
        <f t="shared" si="1047"/>
        <v>-63.044099999999993</v>
      </c>
      <c r="Q6708" s="17" t="str">
        <f t="shared" si="1049"/>
        <v>Ecart négatif</v>
      </c>
    </row>
    <row r="6709" spans="1:18" x14ac:dyDescent="0.3">
      <c r="A6709" s="34" t="str">
        <f>base!J6709</f>
        <v>LS</v>
      </c>
      <c r="B6709" s="34" t="str">
        <f>base!V6709</f>
        <v>67490</v>
      </c>
      <c r="C6709" s="37">
        <v>6</v>
      </c>
      <c r="D6709" s="36">
        <f>base!H6709</f>
        <v>86.27</v>
      </c>
      <c r="E6709" s="44"/>
      <c r="F6709" s="16">
        <f>base!W6709</f>
        <v>25.02</v>
      </c>
      <c r="G6709" s="11">
        <f t="shared" si="1040"/>
        <v>0.2900197055755187</v>
      </c>
      <c r="H6709" s="11">
        <f t="shared" si="1041"/>
        <v>25.880999999999997</v>
      </c>
      <c r="I6709" s="11">
        <f t="shared" si="1042"/>
        <v>0.3</v>
      </c>
      <c r="J6709" s="12">
        <f t="shared" si="1043"/>
        <v>-0.8609999999999971</v>
      </c>
      <c r="K6709" s="17" t="str">
        <f t="shared" si="1048"/>
        <v>Ecart négatif</v>
      </c>
      <c r="L6709" s="16">
        <f>base!X6709</f>
        <v>0</v>
      </c>
      <c r="M6709" s="11">
        <f t="shared" si="1044"/>
        <v>0</v>
      </c>
      <c r="N6709" s="11">
        <f t="shared" si="1045"/>
        <v>18.116699999999998</v>
      </c>
      <c r="O6709" s="11">
        <f t="shared" si="1046"/>
        <v>0.21</v>
      </c>
      <c r="P6709" s="12">
        <f t="shared" si="1047"/>
        <v>-18.116699999999998</v>
      </c>
      <c r="Q6709" s="17" t="str">
        <f t="shared" si="1049"/>
        <v>Ecart négatif</v>
      </c>
    </row>
    <row r="6710" spans="1:18" x14ac:dyDescent="0.3">
      <c r="A6710" s="34" t="str">
        <f>base!J6710</f>
        <v>LM</v>
      </c>
      <c r="B6710" s="34" t="str">
        <f>base!V6710</f>
        <v>69800</v>
      </c>
      <c r="C6710" s="37">
        <v>6</v>
      </c>
      <c r="D6710" s="36">
        <f>base!H6710</f>
        <v>136.97999999999999</v>
      </c>
      <c r="E6710" s="44"/>
      <c r="F6710" s="16">
        <f>base!W6710</f>
        <v>36.979999999999997</v>
      </c>
      <c r="G6710" s="11">
        <f t="shared" si="1040"/>
        <v>0.26996641845524894</v>
      </c>
      <c r="H6710" s="11">
        <f t="shared" si="1041"/>
        <v>41.093999999999994</v>
      </c>
      <c r="I6710" s="11">
        <f t="shared" si="1042"/>
        <v>0.3</v>
      </c>
      <c r="J6710" s="12">
        <f t="shared" si="1043"/>
        <v>-4.1139999999999972</v>
      </c>
      <c r="K6710" s="17" t="str">
        <f t="shared" si="1048"/>
        <v>Ecart négatif</v>
      </c>
      <c r="L6710" s="16">
        <f>base!X6710</f>
        <v>0</v>
      </c>
      <c r="M6710" s="11">
        <f t="shared" si="1044"/>
        <v>0</v>
      </c>
      <c r="N6710" s="11">
        <f t="shared" si="1045"/>
        <v>28.765799999999995</v>
      </c>
      <c r="O6710" s="11">
        <f t="shared" si="1046"/>
        <v>0.21</v>
      </c>
      <c r="P6710" s="12">
        <f t="shared" si="1047"/>
        <v>-28.765799999999995</v>
      </c>
      <c r="Q6710" s="17" t="str">
        <f t="shared" si="1049"/>
        <v>Ecart négatif</v>
      </c>
    </row>
    <row r="6711" spans="1:18" x14ac:dyDescent="0.3">
      <c r="A6711" s="34" t="str">
        <f>base!J6711</f>
        <v>LM</v>
      </c>
      <c r="B6711" s="34" t="str">
        <f>base!V6711</f>
        <v>69800</v>
      </c>
      <c r="C6711" s="37">
        <v>6</v>
      </c>
      <c r="D6711" s="36">
        <f>base!H6711</f>
        <v>136.97999999999999</v>
      </c>
      <c r="E6711" s="44"/>
      <c r="F6711" s="16">
        <f>base!W6711</f>
        <v>36.979999999999997</v>
      </c>
      <c r="G6711" s="11">
        <f t="shared" si="1040"/>
        <v>0.26996641845524894</v>
      </c>
      <c r="H6711" s="11">
        <f t="shared" si="1041"/>
        <v>41.093999999999994</v>
      </c>
      <c r="I6711" s="11">
        <f t="shared" si="1042"/>
        <v>0.3</v>
      </c>
      <c r="J6711" s="12">
        <f t="shared" si="1043"/>
        <v>-4.1139999999999972</v>
      </c>
      <c r="K6711" s="17" t="str">
        <f t="shared" si="1048"/>
        <v>Ecart négatif</v>
      </c>
      <c r="L6711" s="16">
        <f>base!X6711</f>
        <v>0</v>
      </c>
      <c r="M6711" s="11">
        <f t="shared" si="1044"/>
        <v>0</v>
      </c>
      <c r="N6711" s="11">
        <f t="shared" si="1045"/>
        <v>28.765799999999995</v>
      </c>
      <c r="O6711" s="11">
        <f t="shared" si="1046"/>
        <v>0.21</v>
      </c>
      <c r="P6711" s="12">
        <f t="shared" si="1047"/>
        <v>-28.765799999999995</v>
      </c>
      <c r="Q6711" s="17" t="str">
        <f t="shared" si="1049"/>
        <v>Ecart négatif</v>
      </c>
    </row>
    <row r="6712" spans="1:18" x14ac:dyDescent="0.3">
      <c r="A6712" s="34" t="str">
        <f>base!J6712</f>
        <v>LS</v>
      </c>
      <c r="B6712" s="34" t="str">
        <f>base!V6712</f>
        <v>76380</v>
      </c>
      <c r="C6712" s="37">
        <v>6</v>
      </c>
      <c r="D6712" s="36">
        <f>base!H6712</f>
        <v>75.34</v>
      </c>
      <c r="E6712" s="44"/>
      <c r="F6712" s="16">
        <f>base!W6712</f>
        <v>12.81</v>
      </c>
      <c r="G6712" s="11">
        <f t="shared" si="1040"/>
        <v>0.17002920095566765</v>
      </c>
      <c r="H6712" s="11">
        <f t="shared" si="1041"/>
        <v>22.602</v>
      </c>
      <c r="I6712" s="11">
        <f t="shared" si="1042"/>
        <v>0.3</v>
      </c>
      <c r="J6712" s="12">
        <f t="shared" si="1043"/>
        <v>-9.7919999999999998</v>
      </c>
      <c r="K6712" s="17" t="str">
        <f t="shared" si="1048"/>
        <v>Ecart négatif</v>
      </c>
      <c r="L6712" s="16">
        <f>base!X6712</f>
        <v>0</v>
      </c>
      <c r="M6712" s="11">
        <f t="shared" si="1044"/>
        <v>0</v>
      </c>
      <c r="N6712" s="11">
        <f t="shared" si="1045"/>
        <v>15.821400000000001</v>
      </c>
      <c r="O6712" s="11">
        <f t="shared" si="1046"/>
        <v>0.21</v>
      </c>
      <c r="P6712" s="12">
        <f t="shared" si="1047"/>
        <v>-15.821400000000001</v>
      </c>
      <c r="Q6712" s="17" t="str">
        <f t="shared" si="1049"/>
        <v>Ecart négatif</v>
      </c>
    </row>
    <row r="6713" spans="1:18" x14ac:dyDescent="0.3">
      <c r="A6713" s="34" t="str">
        <f>base!J6713</f>
        <v>RS</v>
      </c>
      <c r="B6713" s="34" t="str">
        <f>base!V6713</f>
        <v>62730</v>
      </c>
      <c r="C6713" s="37">
        <v>62</v>
      </c>
      <c r="D6713" s="36">
        <f>base!H6713</f>
        <v>126.4</v>
      </c>
      <c r="E6713" s="44"/>
      <c r="F6713" s="16">
        <f>base!W6713</f>
        <v>0</v>
      </c>
      <c r="G6713" s="11">
        <f t="shared" si="1040"/>
        <v>0</v>
      </c>
      <c r="H6713" s="11">
        <f t="shared" si="1041"/>
        <v>24.016000000000002</v>
      </c>
      <c r="I6713" s="11">
        <f t="shared" si="1042"/>
        <v>0.19</v>
      </c>
      <c r="J6713" s="12">
        <f t="shared" si="1043"/>
        <v>-24.016000000000002</v>
      </c>
      <c r="K6713" s="17" t="str">
        <f t="shared" si="1048"/>
        <v>Ecart négatif</v>
      </c>
      <c r="L6713" s="16">
        <f>base!X6713</f>
        <v>0</v>
      </c>
      <c r="M6713" s="11">
        <f t="shared" si="1044"/>
        <v>0</v>
      </c>
      <c r="N6713" s="11">
        <f t="shared" si="1045"/>
        <v>0</v>
      </c>
      <c r="O6713" s="11">
        <f t="shared" si="1046"/>
        <v>0</v>
      </c>
      <c r="P6713" s="12">
        <f t="shared" si="1047"/>
        <v>0</v>
      </c>
      <c r="Q6713" s="17" t="str">
        <f t="shared" si="1049"/>
        <v>Pas d'écart</v>
      </c>
    </row>
    <row r="6714" spans="1:18" x14ac:dyDescent="0.3">
      <c r="A6714" s="34" t="str">
        <f>base!J6714</f>
        <v>RM</v>
      </c>
      <c r="B6714" s="34" t="str">
        <f>base!V6714</f>
        <v>37400</v>
      </c>
      <c r="C6714" s="37">
        <v>37</v>
      </c>
      <c r="D6714" s="36">
        <f>base!H6714</f>
        <v>180</v>
      </c>
      <c r="E6714" s="44"/>
      <c r="F6714" s="16">
        <f>base!W6714</f>
        <v>0</v>
      </c>
      <c r="G6714" s="11">
        <f t="shared" si="1040"/>
        <v>0</v>
      </c>
      <c r="H6714" s="11">
        <f t="shared" si="1041"/>
        <v>34.200000000000003</v>
      </c>
      <c r="I6714" s="11">
        <f t="shared" si="1042"/>
        <v>0.19</v>
      </c>
      <c r="J6714" s="12">
        <f t="shared" si="1043"/>
        <v>-34.200000000000003</v>
      </c>
      <c r="K6714" s="17" t="str">
        <f t="shared" si="1048"/>
        <v>Ecart négatif</v>
      </c>
      <c r="L6714" s="16">
        <f>base!X6714</f>
        <v>21.6</v>
      </c>
      <c r="M6714" s="11">
        <f t="shared" si="1044"/>
        <v>0.12000000000000001</v>
      </c>
      <c r="N6714" s="11">
        <f t="shared" si="1045"/>
        <v>21.599999999999998</v>
      </c>
      <c r="O6714" s="11">
        <f t="shared" si="1046"/>
        <v>0.11999999999999998</v>
      </c>
      <c r="P6714" s="12">
        <f t="shared" si="1047"/>
        <v>0</v>
      </c>
      <c r="Q6714" s="17" t="str">
        <f t="shared" si="1049"/>
        <v>Pas d'écart</v>
      </c>
      <c r="R6714" s="38"/>
    </row>
    <row r="6715" spans="1:18" x14ac:dyDescent="0.3">
      <c r="A6715" s="34" t="str">
        <f>base!J6715</f>
        <v>LM</v>
      </c>
      <c r="B6715" s="34" t="str">
        <f>base!V6715</f>
        <v>75014</v>
      </c>
      <c r="C6715" s="37">
        <v>75</v>
      </c>
      <c r="D6715" s="36">
        <f>base!H6715</f>
        <v>19.649999999999999</v>
      </c>
      <c r="E6715" s="44"/>
      <c r="F6715" s="16">
        <f>base!W6715</f>
        <v>0</v>
      </c>
      <c r="G6715" s="11">
        <f t="shared" si="1040"/>
        <v>0</v>
      </c>
      <c r="H6715" s="11">
        <f t="shared" si="1041"/>
        <v>0</v>
      </c>
      <c r="I6715" s="11">
        <f t="shared" si="1042"/>
        <v>0</v>
      </c>
      <c r="J6715" s="12">
        <f t="shared" si="1043"/>
        <v>0</v>
      </c>
      <c r="K6715" s="17" t="str">
        <f t="shared" si="1048"/>
        <v>Pas d'écart</v>
      </c>
      <c r="L6715" s="16">
        <f>base!X6715</f>
        <v>0</v>
      </c>
      <c r="M6715" s="11">
        <f t="shared" si="1044"/>
        <v>0</v>
      </c>
      <c r="N6715" s="11">
        <f t="shared" si="1045"/>
        <v>0</v>
      </c>
      <c r="O6715" s="11">
        <f t="shared" si="1046"/>
        <v>0</v>
      </c>
      <c r="P6715" s="12">
        <f t="shared" si="1047"/>
        <v>0</v>
      </c>
      <c r="Q6715" s="17" t="str">
        <f t="shared" si="1049"/>
        <v>Pas d'écart</v>
      </c>
    </row>
    <row r="6716" spans="1:18" x14ac:dyDescent="0.3">
      <c r="A6716" s="34" t="str">
        <f>base!J6716</f>
        <v>LS</v>
      </c>
      <c r="B6716" s="34" t="str">
        <f>base!V6716</f>
        <v>75014</v>
      </c>
      <c r="C6716" s="37">
        <v>75</v>
      </c>
      <c r="D6716" s="36">
        <f>base!H6716</f>
        <v>19.649999999999999</v>
      </c>
      <c r="E6716" s="44"/>
      <c r="F6716" s="16">
        <f>base!W6716</f>
        <v>0</v>
      </c>
      <c r="G6716" s="11">
        <f t="shared" si="1040"/>
        <v>0</v>
      </c>
      <c r="H6716" s="11">
        <f t="shared" si="1041"/>
        <v>0</v>
      </c>
      <c r="I6716" s="11">
        <f t="shared" si="1042"/>
        <v>0</v>
      </c>
      <c r="J6716" s="12">
        <f t="shared" si="1043"/>
        <v>0</v>
      </c>
      <c r="K6716" s="17" t="str">
        <f t="shared" si="1048"/>
        <v>Pas d'écart</v>
      </c>
      <c r="L6716" s="16">
        <f>base!X6716</f>
        <v>0</v>
      </c>
      <c r="M6716" s="11">
        <f t="shared" si="1044"/>
        <v>0</v>
      </c>
      <c r="N6716" s="11">
        <f t="shared" si="1045"/>
        <v>0</v>
      </c>
      <c r="O6716" s="11">
        <f t="shared" si="1046"/>
        <v>0</v>
      </c>
      <c r="P6716" s="12">
        <f t="shared" si="1047"/>
        <v>0</v>
      </c>
      <c r="Q6716" s="17" t="str">
        <f t="shared" si="1049"/>
        <v>Pas d'écart</v>
      </c>
    </row>
    <row r="6717" spans="1:18" x14ac:dyDescent="0.3">
      <c r="A6717" s="34" t="str">
        <f>base!J6717</f>
        <v>LM</v>
      </c>
      <c r="B6717" s="34" t="str">
        <f>base!V6717</f>
        <v>75014</v>
      </c>
      <c r="C6717" s="37">
        <v>75</v>
      </c>
      <c r="D6717" s="36">
        <f>base!H6717</f>
        <v>19.649999999999999</v>
      </c>
      <c r="E6717" s="44"/>
      <c r="F6717" s="16">
        <f>base!W6717</f>
        <v>0</v>
      </c>
      <c r="G6717" s="11">
        <f t="shared" si="1040"/>
        <v>0</v>
      </c>
      <c r="H6717" s="11">
        <f t="shared" si="1041"/>
        <v>0</v>
      </c>
      <c r="I6717" s="11">
        <f t="shared" si="1042"/>
        <v>0</v>
      </c>
      <c r="J6717" s="12">
        <f t="shared" si="1043"/>
        <v>0</v>
      </c>
      <c r="K6717" s="17" t="str">
        <f t="shared" si="1048"/>
        <v>Pas d'écart</v>
      </c>
      <c r="L6717" s="16">
        <f>base!X6717</f>
        <v>0</v>
      </c>
      <c r="M6717" s="11">
        <f t="shared" si="1044"/>
        <v>0</v>
      </c>
      <c r="N6717" s="11">
        <f t="shared" si="1045"/>
        <v>0</v>
      </c>
      <c r="O6717" s="11">
        <f t="shared" si="1046"/>
        <v>0</v>
      </c>
      <c r="P6717" s="12">
        <f t="shared" si="1047"/>
        <v>0</v>
      </c>
      <c r="Q6717" s="17" t="str">
        <f t="shared" si="1049"/>
        <v>Pas d'écart</v>
      </c>
    </row>
    <row r="6718" spans="1:18" x14ac:dyDescent="0.3">
      <c r="A6718" s="34" t="str">
        <f>base!J6718</f>
        <v>LM</v>
      </c>
      <c r="B6718" s="34" t="str">
        <f>base!V6718</f>
        <v>75014</v>
      </c>
      <c r="C6718" s="37">
        <v>75</v>
      </c>
      <c r="D6718" s="36">
        <f>base!H6718</f>
        <v>19.649999999999999</v>
      </c>
      <c r="E6718" s="44"/>
      <c r="F6718" s="16">
        <f>base!W6718</f>
        <v>0</v>
      </c>
      <c r="G6718" s="11">
        <f t="shared" si="1040"/>
        <v>0</v>
      </c>
      <c r="H6718" s="11">
        <f t="shared" si="1041"/>
        <v>0</v>
      </c>
      <c r="I6718" s="11">
        <f t="shared" si="1042"/>
        <v>0</v>
      </c>
      <c r="J6718" s="12">
        <f t="shared" si="1043"/>
        <v>0</v>
      </c>
      <c r="K6718" s="17" t="str">
        <f t="shared" si="1048"/>
        <v>Pas d'écart</v>
      </c>
      <c r="L6718" s="16">
        <f>base!X6718</f>
        <v>0</v>
      </c>
      <c r="M6718" s="11">
        <f t="shared" si="1044"/>
        <v>0</v>
      </c>
      <c r="N6718" s="11">
        <f t="shared" si="1045"/>
        <v>0</v>
      </c>
      <c r="O6718" s="11">
        <f t="shared" si="1046"/>
        <v>0</v>
      </c>
      <c r="P6718" s="12">
        <f t="shared" si="1047"/>
        <v>0</v>
      </c>
      <c r="Q6718" s="17" t="str">
        <f t="shared" si="1049"/>
        <v>Pas d'écart</v>
      </c>
    </row>
    <row r="6719" spans="1:18" x14ac:dyDescent="0.3">
      <c r="A6719" s="34" t="str">
        <f>base!J6719</f>
        <v>LM</v>
      </c>
      <c r="B6719" s="34" t="str">
        <f>base!V6719</f>
        <v>75014</v>
      </c>
      <c r="C6719" s="37">
        <v>75</v>
      </c>
      <c r="D6719" s="36">
        <f>base!H6719</f>
        <v>137.59</v>
      </c>
      <c r="E6719" s="44"/>
      <c r="F6719" s="16">
        <f>base!W6719</f>
        <v>0</v>
      </c>
      <c r="G6719" s="11">
        <f t="shared" si="1040"/>
        <v>0</v>
      </c>
      <c r="H6719" s="11">
        <f t="shared" si="1041"/>
        <v>0</v>
      </c>
      <c r="I6719" s="11">
        <f t="shared" si="1042"/>
        <v>0</v>
      </c>
      <c r="J6719" s="12">
        <f t="shared" si="1043"/>
        <v>0</v>
      </c>
      <c r="K6719" s="17" t="str">
        <f t="shared" si="1048"/>
        <v>Pas d'écart</v>
      </c>
      <c r="L6719" s="16">
        <f>base!X6719</f>
        <v>0</v>
      </c>
      <c r="M6719" s="11">
        <f t="shared" si="1044"/>
        <v>0</v>
      </c>
      <c r="N6719" s="11">
        <f t="shared" si="1045"/>
        <v>0</v>
      </c>
      <c r="O6719" s="11">
        <f t="shared" si="1046"/>
        <v>0</v>
      </c>
      <c r="P6719" s="12">
        <f t="shared" si="1047"/>
        <v>0</v>
      </c>
      <c r="Q6719" s="17" t="str">
        <f t="shared" si="1049"/>
        <v>Pas d'écart</v>
      </c>
    </row>
    <row r="6720" spans="1:18" x14ac:dyDescent="0.3">
      <c r="A6720" s="34" t="str">
        <f>base!J6720</f>
        <v>LS</v>
      </c>
      <c r="B6720" s="34" t="str">
        <f>base!V6720</f>
        <v>76120</v>
      </c>
      <c r="C6720" s="37">
        <v>6</v>
      </c>
      <c r="D6720" s="36">
        <f>base!H6720</f>
        <v>124.95</v>
      </c>
      <c r="E6720" s="44"/>
      <c r="F6720" s="16">
        <f>base!W6720</f>
        <v>21.24</v>
      </c>
      <c r="G6720" s="11">
        <f t="shared" si="1040"/>
        <v>0.16998799519807922</v>
      </c>
      <c r="H6720" s="11">
        <f t="shared" si="1041"/>
        <v>37.484999999999999</v>
      </c>
      <c r="I6720" s="11">
        <f t="shared" si="1042"/>
        <v>0.3</v>
      </c>
      <c r="J6720" s="12">
        <f t="shared" si="1043"/>
        <v>-16.245000000000001</v>
      </c>
      <c r="K6720" s="17" t="str">
        <f t="shared" si="1048"/>
        <v>Ecart négatif</v>
      </c>
      <c r="L6720" s="16">
        <f>base!X6720</f>
        <v>0</v>
      </c>
      <c r="M6720" s="11">
        <f t="shared" si="1044"/>
        <v>0</v>
      </c>
      <c r="N6720" s="11">
        <f t="shared" si="1045"/>
        <v>26.2395</v>
      </c>
      <c r="O6720" s="11">
        <f t="shared" si="1046"/>
        <v>0.21</v>
      </c>
      <c r="P6720" s="12">
        <f t="shared" si="1047"/>
        <v>-26.2395</v>
      </c>
      <c r="Q6720" s="17" t="str">
        <f t="shared" si="1049"/>
        <v>Ecart négatif</v>
      </c>
    </row>
    <row r="6721" spans="1:18" x14ac:dyDescent="0.3">
      <c r="A6721" s="34" t="str">
        <f>base!J6721</f>
        <v>LM</v>
      </c>
      <c r="B6721" s="34" t="str">
        <f>base!V6721</f>
        <v>49080</v>
      </c>
      <c r="C6721" s="37">
        <v>6</v>
      </c>
      <c r="D6721" s="36">
        <f>base!H6721</f>
        <v>87.12</v>
      </c>
      <c r="E6721" s="44"/>
      <c r="F6721" s="16">
        <f>base!W6721</f>
        <v>0</v>
      </c>
      <c r="G6721" s="11">
        <f t="shared" si="1040"/>
        <v>0</v>
      </c>
      <c r="H6721" s="11">
        <f t="shared" si="1041"/>
        <v>26.135999999999999</v>
      </c>
      <c r="I6721" s="11">
        <f t="shared" si="1042"/>
        <v>0.3</v>
      </c>
      <c r="J6721" s="12">
        <f t="shared" si="1043"/>
        <v>-26.135999999999999</v>
      </c>
      <c r="K6721" s="17" t="str">
        <f t="shared" si="1048"/>
        <v>Ecart négatif</v>
      </c>
      <c r="L6721" s="16">
        <f>base!X6721</f>
        <v>0</v>
      </c>
      <c r="M6721" s="11">
        <f t="shared" si="1044"/>
        <v>0</v>
      </c>
      <c r="N6721" s="11">
        <f t="shared" si="1045"/>
        <v>18.295200000000001</v>
      </c>
      <c r="O6721" s="11">
        <f t="shared" si="1046"/>
        <v>0.21</v>
      </c>
      <c r="P6721" s="12">
        <f t="shared" si="1047"/>
        <v>-18.295200000000001</v>
      </c>
      <c r="Q6721" s="17" t="str">
        <f t="shared" si="1049"/>
        <v>Ecart négatif</v>
      </c>
    </row>
    <row r="6722" spans="1:18" x14ac:dyDescent="0.3">
      <c r="A6722" s="34" t="str">
        <f>base!J6722</f>
        <v>LM</v>
      </c>
      <c r="B6722" s="34" t="str">
        <f>base!V6722</f>
        <v>14000</v>
      </c>
      <c r="C6722" s="37">
        <v>6</v>
      </c>
      <c r="D6722" s="36">
        <f>base!H6722</f>
        <v>156.57</v>
      </c>
      <c r="E6722" s="44"/>
      <c r="F6722" s="16">
        <f>base!W6722</f>
        <v>26.62</v>
      </c>
      <c r="G6722" s="11">
        <f t="shared" ref="G6722:G6785" si="1050">F6722/D6722</f>
        <v>0.17001979945072493</v>
      </c>
      <c r="H6722" s="11">
        <f t="shared" ref="H6722:H6785" si="1051">VLOOKUP(C6722,tout_cout_traction,2,FALSE)*D6722</f>
        <v>46.970999999999997</v>
      </c>
      <c r="I6722" s="11">
        <f t="shared" ref="I6722:I6785" si="1052">H6722/D6722</f>
        <v>0.3</v>
      </c>
      <c r="J6722" s="12">
        <f t="shared" ref="J6722:J6785" si="1053">F6722-H6722</f>
        <v>-20.350999999999996</v>
      </c>
      <c r="K6722" s="17" t="str">
        <f t="shared" si="1048"/>
        <v>Ecart négatif</v>
      </c>
      <c r="L6722" s="16">
        <f>base!X6722</f>
        <v>0</v>
      </c>
      <c r="M6722" s="11">
        <f t="shared" ref="M6722:M6785" si="1054">L6722/D6722</f>
        <v>0</v>
      </c>
      <c r="N6722" s="11">
        <f t="shared" ref="N6722:N6785" si="1055">VLOOKUP(C6722,tout_cout_traction,3,FALSE)*D6722</f>
        <v>32.8797</v>
      </c>
      <c r="O6722" s="11">
        <f t="shared" ref="O6722:O6785" si="1056">N6722/D6722</f>
        <v>0.21000000000000002</v>
      </c>
      <c r="P6722" s="12">
        <f t="shared" ref="P6722:P6785" si="1057">L6722-N6722</f>
        <v>-32.8797</v>
      </c>
      <c r="Q6722" s="17" t="str">
        <f t="shared" si="1049"/>
        <v>Ecart négatif</v>
      </c>
    </row>
    <row r="6723" spans="1:18" x14ac:dyDescent="0.3">
      <c r="A6723" s="34" t="str">
        <f>base!J6723</f>
        <v>RM</v>
      </c>
      <c r="B6723" s="34" t="str">
        <f>base!V6723</f>
        <v>62740</v>
      </c>
      <c r="C6723" s="37">
        <v>62</v>
      </c>
      <c r="D6723" s="36">
        <f>base!H6723</f>
        <v>40</v>
      </c>
      <c r="E6723" s="44"/>
      <c r="F6723" s="16">
        <f>base!W6723</f>
        <v>0</v>
      </c>
      <c r="G6723" s="11">
        <f t="shared" si="1050"/>
        <v>0</v>
      </c>
      <c r="H6723" s="11">
        <f t="shared" si="1051"/>
        <v>7.6</v>
      </c>
      <c r="I6723" s="11">
        <f t="shared" si="1052"/>
        <v>0.19</v>
      </c>
      <c r="J6723" s="12">
        <f t="shared" si="1053"/>
        <v>-7.6</v>
      </c>
      <c r="K6723" s="17" t="str">
        <f t="shared" ref="K6723:K6786" si="1058">IF(H6723=F6723,"Pas d'écart",IF(H6723&lt;F6723,"Ecart positif",IF(H6723&gt;F6723,"Ecart négatif")))</f>
        <v>Ecart négatif</v>
      </c>
      <c r="L6723" s="16">
        <f>base!X6723</f>
        <v>0</v>
      </c>
      <c r="M6723" s="11">
        <f t="shared" si="1054"/>
        <v>0</v>
      </c>
      <c r="N6723" s="11">
        <f t="shared" si="1055"/>
        <v>0</v>
      </c>
      <c r="O6723" s="11">
        <f t="shared" si="1056"/>
        <v>0</v>
      </c>
      <c r="P6723" s="12">
        <f t="shared" si="1057"/>
        <v>0</v>
      </c>
      <c r="Q6723" s="17" t="str">
        <f t="shared" ref="Q6723:Q6786" si="1059">IF(N6723=L6723,"Pas d'écart",IF(N6723&lt;L6723,"Ecart positif",IF(N6723&gt;L6723,"Ecart négatif")))</f>
        <v>Pas d'écart</v>
      </c>
    </row>
    <row r="6724" spans="1:18" x14ac:dyDescent="0.3">
      <c r="A6724" s="34" t="str">
        <f>base!J6724</f>
        <v>DLS</v>
      </c>
      <c r="B6724" s="34" t="str">
        <f>base!V6724</f>
        <v>94782</v>
      </c>
      <c r="C6724" s="37">
        <v>94</v>
      </c>
      <c r="D6724" s="36">
        <f>base!H6724</f>
        <v>170.5</v>
      </c>
      <c r="E6724" s="44"/>
      <c r="F6724" s="16">
        <f>base!W6724</f>
        <v>0</v>
      </c>
      <c r="G6724" s="11">
        <f t="shared" si="1050"/>
        <v>0</v>
      </c>
      <c r="H6724" s="11">
        <f t="shared" si="1051"/>
        <v>0</v>
      </c>
      <c r="I6724" s="11">
        <f t="shared" si="1052"/>
        <v>0</v>
      </c>
      <c r="J6724" s="12">
        <f t="shared" si="1053"/>
        <v>0</v>
      </c>
      <c r="K6724" s="17" t="str">
        <f t="shared" si="1058"/>
        <v>Pas d'écart</v>
      </c>
      <c r="L6724" s="16">
        <f>base!X6724</f>
        <v>46.04</v>
      </c>
      <c r="M6724" s="11">
        <f t="shared" si="1054"/>
        <v>0.27002932551319647</v>
      </c>
      <c r="N6724" s="11">
        <f t="shared" si="1055"/>
        <v>0</v>
      </c>
      <c r="O6724" s="11">
        <f t="shared" si="1056"/>
        <v>0</v>
      </c>
      <c r="P6724" s="12">
        <f t="shared" si="1057"/>
        <v>46.04</v>
      </c>
      <c r="Q6724" s="17" t="str">
        <f t="shared" si="1059"/>
        <v>Ecart positif</v>
      </c>
    </row>
    <row r="6725" spans="1:18" x14ac:dyDescent="0.3">
      <c r="A6725" s="34" t="str">
        <f>base!J6725</f>
        <v>RM</v>
      </c>
      <c r="B6725" s="34" t="str">
        <f>base!V6725</f>
        <v>79330</v>
      </c>
      <c r="C6725" s="37">
        <v>79</v>
      </c>
      <c r="D6725" s="36">
        <f>base!H6725</f>
        <v>250</v>
      </c>
      <c r="E6725" s="44"/>
      <c r="F6725" s="16">
        <f>base!W6725</f>
        <v>0</v>
      </c>
      <c r="G6725" s="11">
        <f t="shared" si="1050"/>
        <v>0</v>
      </c>
      <c r="H6725" s="11">
        <f t="shared" si="1051"/>
        <v>52.5</v>
      </c>
      <c r="I6725" s="11">
        <f t="shared" si="1052"/>
        <v>0.21</v>
      </c>
      <c r="J6725" s="12">
        <f t="shared" si="1053"/>
        <v>-52.5</v>
      </c>
      <c r="K6725" s="17" t="str">
        <f t="shared" si="1058"/>
        <v>Ecart négatif</v>
      </c>
      <c r="L6725" s="16">
        <f>base!X6725</f>
        <v>30</v>
      </c>
      <c r="M6725" s="11">
        <f t="shared" si="1054"/>
        <v>0.12</v>
      </c>
      <c r="N6725" s="11">
        <f t="shared" si="1055"/>
        <v>30</v>
      </c>
      <c r="O6725" s="11">
        <f t="shared" si="1056"/>
        <v>0.12</v>
      </c>
      <c r="P6725" s="12">
        <f t="shared" si="1057"/>
        <v>0</v>
      </c>
      <c r="Q6725" s="17" t="str">
        <f t="shared" si="1059"/>
        <v>Pas d'écart</v>
      </c>
      <c r="R6725" s="38"/>
    </row>
    <row r="6726" spans="1:18" x14ac:dyDescent="0.3">
      <c r="A6726" s="34" t="str">
        <f>base!J6726</f>
        <v>LS</v>
      </c>
      <c r="B6726" s="34" t="str">
        <f>base!V6726</f>
        <v>25570</v>
      </c>
      <c r="C6726" s="37">
        <v>6</v>
      </c>
      <c r="D6726" s="36">
        <f>base!H6726</f>
        <v>103.06</v>
      </c>
      <c r="E6726" s="44"/>
      <c r="F6726" s="16">
        <f>base!W6726</f>
        <v>24.73</v>
      </c>
      <c r="G6726" s="11">
        <f t="shared" si="1050"/>
        <v>0.23995730642344265</v>
      </c>
      <c r="H6726" s="11">
        <f t="shared" si="1051"/>
        <v>30.917999999999999</v>
      </c>
      <c r="I6726" s="11">
        <f t="shared" si="1052"/>
        <v>0.3</v>
      </c>
      <c r="J6726" s="12">
        <f t="shared" si="1053"/>
        <v>-6.1879999999999988</v>
      </c>
      <c r="K6726" s="17" t="str">
        <f t="shared" si="1058"/>
        <v>Ecart négatif</v>
      </c>
      <c r="L6726" s="16">
        <f>base!X6726</f>
        <v>0</v>
      </c>
      <c r="M6726" s="11">
        <f t="shared" si="1054"/>
        <v>0</v>
      </c>
      <c r="N6726" s="11">
        <f t="shared" si="1055"/>
        <v>21.642599999999998</v>
      </c>
      <c r="O6726" s="11">
        <f t="shared" si="1056"/>
        <v>0.20999999999999996</v>
      </c>
      <c r="P6726" s="12">
        <f t="shared" si="1057"/>
        <v>-21.642599999999998</v>
      </c>
      <c r="Q6726" s="17" t="str">
        <f t="shared" si="1059"/>
        <v>Ecart négatif</v>
      </c>
    </row>
    <row r="6727" spans="1:18" x14ac:dyDescent="0.3">
      <c r="A6727" s="34" t="str">
        <f>base!J6727</f>
        <v>LS</v>
      </c>
      <c r="B6727" s="34" t="str">
        <f>base!V6727</f>
        <v>25530</v>
      </c>
      <c r="C6727" s="37">
        <v>6</v>
      </c>
      <c r="D6727" s="36">
        <f>base!H6727</f>
        <v>103.06</v>
      </c>
      <c r="E6727" s="44"/>
      <c r="F6727" s="16">
        <f>base!W6727</f>
        <v>24.73</v>
      </c>
      <c r="G6727" s="11">
        <f t="shared" si="1050"/>
        <v>0.23995730642344265</v>
      </c>
      <c r="H6727" s="11">
        <f t="shared" si="1051"/>
        <v>30.917999999999999</v>
      </c>
      <c r="I6727" s="11">
        <f t="shared" si="1052"/>
        <v>0.3</v>
      </c>
      <c r="J6727" s="12">
        <f t="shared" si="1053"/>
        <v>-6.1879999999999988</v>
      </c>
      <c r="K6727" s="17" t="str">
        <f t="shared" si="1058"/>
        <v>Ecart négatif</v>
      </c>
      <c r="L6727" s="16">
        <f>base!X6727</f>
        <v>0</v>
      </c>
      <c r="M6727" s="11">
        <f t="shared" si="1054"/>
        <v>0</v>
      </c>
      <c r="N6727" s="11">
        <f t="shared" si="1055"/>
        <v>21.642599999999998</v>
      </c>
      <c r="O6727" s="11">
        <f t="shared" si="1056"/>
        <v>0.20999999999999996</v>
      </c>
      <c r="P6727" s="12">
        <f t="shared" si="1057"/>
        <v>-21.642599999999998</v>
      </c>
      <c r="Q6727" s="17" t="str">
        <f t="shared" si="1059"/>
        <v>Ecart négatif</v>
      </c>
    </row>
    <row r="6728" spans="1:18" x14ac:dyDescent="0.3">
      <c r="A6728" s="34" t="str">
        <f>base!J6728</f>
        <v>LS</v>
      </c>
      <c r="B6728" s="34" t="str">
        <f>base!V6728</f>
        <v>34980</v>
      </c>
      <c r="C6728" s="37">
        <v>6</v>
      </c>
      <c r="D6728" s="36">
        <f>base!H6728</f>
        <v>98.42</v>
      </c>
      <c r="E6728" s="44"/>
      <c r="F6728" s="16">
        <f>base!W6728</f>
        <v>38.380000000000003</v>
      </c>
      <c r="G6728" s="11">
        <f t="shared" si="1050"/>
        <v>0.38996138996138996</v>
      </c>
      <c r="H6728" s="11">
        <f t="shared" si="1051"/>
        <v>29.526</v>
      </c>
      <c r="I6728" s="11">
        <f t="shared" si="1052"/>
        <v>0.3</v>
      </c>
      <c r="J6728" s="12">
        <f t="shared" si="1053"/>
        <v>8.8540000000000028</v>
      </c>
      <c r="K6728" s="17" t="str">
        <f t="shared" si="1058"/>
        <v>Ecart positif</v>
      </c>
      <c r="L6728" s="16">
        <f>base!X6728</f>
        <v>0</v>
      </c>
      <c r="M6728" s="11">
        <f t="shared" si="1054"/>
        <v>0</v>
      </c>
      <c r="N6728" s="11">
        <f t="shared" si="1055"/>
        <v>20.668199999999999</v>
      </c>
      <c r="O6728" s="11">
        <f t="shared" si="1056"/>
        <v>0.21</v>
      </c>
      <c r="P6728" s="12">
        <f t="shared" si="1057"/>
        <v>-20.668199999999999</v>
      </c>
      <c r="Q6728" s="17" t="str">
        <f t="shared" si="1059"/>
        <v>Ecart négatif</v>
      </c>
    </row>
    <row r="6729" spans="1:18" x14ac:dyDescent="0.3">
      <c r="A6729" s="34" t="str">
        <f>base!J6729</f>
        <v>RS</v>
      </c>
      <c r="B6729" s="34" t="str">
        <f>base!V6729</f>
        <v>60500</v>
      </c>
      <c r="C6729" s="37">
        <v>60</v>
      </c>
      <c r="D6729" s="36">
        <f>base!H6729</f>
        <v>106.2</v>
      </c>
      <c r="E6729" s="44"/>
      <c r="F6729" s="16">
        <f>base!W6729</f>
        <v>0</v>
      </c>
      <c r="G6729" s="11">
        <f t="shared" si="1050"/>
        <v>0</v>
      </c>
      <c r="H6729" s="11">
        <f t="shared" si="1051"/>
        <v>20.178000000000001</v>
      </c>
      <c r="I6729" s="11">
        <f t="shared" si="1052"/>
        <v>0.19</v>
      </c>
      <c r="J6729" s="12">
        <f t="shared" si="1053"/>
        <v>-20.178000000000001</v>
      </c>
      <c r="K6729" s="17" t="str">
        <f t="shared" si="1058"/>
        <v>Ecart négatif</v>
      </c>
      <c r="L6729" s="16">
        <f>base!X6729</f>
        <v>0</v>
      </c>
      <c r="M6729" s="11">
        <f t="shared" si="1054"/>
        <v>0</v>
      </c>
      <c r="N6729" s="11">
        <f t="shared" si="1055"/>
        <v>0</v>
      </c>
      <c r="O6729" s="11">
        <f t="shared" si="1056"/>
        <v>0</v>
      </c>
      <c r="P6729" s="12">
        <f t="shared" si="1057"/>
        <v>0</v>
      </c>
      <c r="Q6729" s="17" t="str">
        <f t="shared" si="1059"/>
        <v>Pas d'écart</v>
      </c>
    </row>
    <row r="6730" spans="1:18" x14ac:dyDescent="0.3">
      <c r="A6730" s="34" t="str">
        <f>base!J6730</f>
        <v>RS</v>
      </c>
      <c r="B6730" s="34" t="str">
        <f>base!V6730</f>
        <v>27160</v>
      </c>
      <c r="C6730" s="37">
        <v>27</v>
      </c>
      <c r="D6730" s="36">
        <f>base!H6730</f>
        <v>151</v>
      </c>
      <c r="E6730" s="44"/>
      <c r="F6730" s="16">
        <f>base!W6730</f>
        <v>0</v>
      </c>
      <c r="G6730" s="11">
        <f t="shared" si="1050"/>
        <v>0</v>
      </c>
      <c r="H6730" s="11">
        <f t="shared" si="1051"/>
        <v>25.67</v>
      </c>
      <c r="I6730" s="11">
        <f t="shared" si="1052"/>
        <v>0.17</v>
      </c>
      <c r="J6730" s="12">
        <f t="shared" si="1053"/>
        <v>-25.67</v>
      </c>
      <c r="K6730" s="17" t="str">
        <f t="shared" si="1058"/>
        <v>Ecart négatif</v>
      </c>
      <c r="L6730" s="16">
        <f>base!X6730</f>
        <v>25.67</v>
      </c>
      <c r="M6730" s="11">
        <f t="shared" si="1054"/>
        <v>0.17</v>
      </c>
      <c r="N6730" s="11">
        <f t="shared" si="1055"/>
        <v>25.67</v>
      </c>
      <c r="O6730" s="11">
        <f t="shared" si="1056"/>
        <v>0.17</v>
      </c>
      <c r="P6730" s="12">
        <f t="shared" si="1057"/>
        <v>0</v>
      </c>
      <c r="Q6730" s="17" t="str">
        <f t="shared" si="1059"/>
        <v>Pas d'écart</v>
      </c>
      <c r="R6730" s="38"/>
    </row>
    <row r="6731" spans="1:18" x14ac:dyDescent="0.3">
      <c r="A6731" s="34" t="str">
        <f>base!J6731</f>
        <v>LM</v>
      </c>
      <c r="B6731" s="34" t="str">
        <f>base!V6731</f>
        <v>51130</v>
      </c>
      <c r="C6731" s="37">
        <v>6</v>
      </c>
      <c r="D6731" s="36">
        <f>base!H6731</f>
        <v>136.65</v>
      </c>
      <c r="E6731" s="44"/>
      <c r="F6731" s="16">
        <f>base!W6731</f>
        <v>34.159999999999997</v>
      </c>
      <c r="G6731" s="11">
        <f t="shared" si="1050"/>
        <v>0.24998170508598605</v>
      </c>
      <c r="H6731" s="11">
        <f t="shared" si="1051"/>
        <v>40.994999999999997</v>
      </c>
      <c r="I6731" s="11">
        <f t="shared" si="1052"/>
        <v>0.3</v>
      </c>
      <c r="J6731" s="12">
        <f t="shared" si="1053"/>
        <v>-6.8350000000000009</v>
      </c>
      <c r="K6731" s="17" t="str">
        <f t="shared" si="1058"/>
        <v>Ecart négatif</v>
      </c>
      <c r="L6731" s="16">
        <f>base!X6731</f>
        <v>0</v>
      </c>
      <c r="M6731" s="11">
        <f t="shared" si="1054"/>
        <v>0</v>
      </c>
      <c r="N6731" s="11">
        <f t="shared" si="1055"/>
        <v>28.6965</v>
      </c>
      <c r="O6731" s="11">
        <f t="shared" si="1056"/>
        <v>0.21</v>
      </c>
      <c r="P6731" s="12">
        <f t="shared" si="1057"/>
        <v>-28.6965</v>
      </c>
      <c r="Q6731" s="17" t="str">
        <f t="shared" si="1059"/>
        <v>Ecart négatif</v>
      </c>
    </row>
    <row r="6732" spans="1:18" x14ac:dyDescent="0.3">
      <c r="A6732" s="34" t="str">
        <f>base!J6732</f>
        <v>LS</v>
      </c>
      <c r="B6732" s="34" t="str">
        <f>base!V6732</f>
        <v>59282</v>
      </c>
      <c r="C6732" s="37">
        <v>6</v>
      </c>
      <c r="D6732" s="36">
        <f>base!H6732</f>
        <v>75.34</v>
      </c>
      <c r="E6732" s="44"/>
      <c r="F6732" s="16">
        <f>base!W6732</f>
        <v>14.31</v>
      </c>
      <c r="G6732" s="11">
        <f t="shared" si="1050"/>
        <v>0.18993894345633131</v>
      </c>
      <c r="H6732" s="11">
        <f t="shared" si="1051"/>
        <v>22.602</v>
      </c>
      <c r="I6732" s="11">
        <f t="shared" si="1052"/>
        <v>0.3</v>
      </c>
      <c r="J6732" s="12">
        <f t="shared" si="1053"/>
        <v>-8.2919999999999998</v>
      </c>
      <c r="K6732" s="17" t="str">
        <f t="shared" si="1058"/>
        <v>Ecart négatif</v>
      </c>
      <c r="L6732" s="16">
        <f>base!X6732</f>
        <v>0</v>
      </c>
      <c r="M6732" s="11">
        <f t="shared" si="1054"/>
        <v>0</v>
      </c>
      <c r="N6732" s="11">
        <f t="shared" si="1055"/>
        <v>15.821400000000001</v>
      </c>
      <c r="O6732" s="11">
        <f t="shared" si="1056"/>
        <v>0.21</v>
      </c>
      <c r="P6732" s="12">
        <f t="shared" si="1057"/>
        <v>-15.821400000000001</v>
      </c>
      <c r="Q6732" s="17" t="str">
        <f t="shared" si="1059"/>
        <v>Ecart négatif</v>
      </c>
    </row>
    <row r="6733" spans="1:18" x14ac:dyDescent="0.3">
      <c r="A6733" s="34">
        <f>base!J6733</f>
        <v>0</v>
      </c>
      <c r="B6733" s="34" t="str">
        <f>base!V6733</f>
        <v>77184</v>
      </c>
      <c r="C6733" s="37">
        <v>77</v>
      </c>
      <c r="D6733" s="36">
        <f>base!H6733</f>
        <v>36.119999999999997</v>
      </c>
      <c r="E6733" s="44"/>
      <c r="F6733" s="16">
        <f>base!W6733</f>
        <v>0</v>
      </c>
      <c r="G6733" s="11">
        <f t="shared" si="1050"/>
        <v>0</v>
      </c>
      <c r="H6733" s="11">
        <f t="shared" si="1051"/>
        <v>0</v>
      </c>
      <c r="I6733" s="11">
        <f t="shared" si="1052"/>
        <v>0</v>
      </c>
      <c r="J6733" s="12">
        <f t="shared" si="1053"/>
        <v>0</v>
      </c>
      <c r="K6733" s="17" t="str">
        <f t="shared" si="1058"/>
        <v>Pas d'écart</v>
      </c>
      <c r="L6733" s="16">
        <f>base!X6733</f>
        <v>0</v>
      </c>
      <c r="M6733" s="11">
        <f t="shared" si="1054"/>
        <v>0</v>
      </c>
      <c r="N6733" s="11">
        <f t="shared" si="1055"/>
        <v>0</v>
      </c>
      <c r="O6733" s="11">
        <f t="shared" si="1056"/>
        <v>0</v>
      </c>
      <c r="P6733" s="12">
        <f t="shared" si="1057"/>
        <v>0</v>
      </c>
      <c r="Q6733" s="17" t="str">
        <f t="shared" si="1059"/>
        <v>Pas d'écart</v>
      </c>
    </row>
    <row r="6734" spans="1:18" x14ac:dyDescent="0.3">
      <c r="A6734" s="34">
        <f>base!J6734</f>
        <v>0</v>
      </c>
      <c r="B6734" s="34" t="str">
        <f>base!V6734</f>
        <v>77184</v>
      </c>
      <c r="C6734" s="37">
        <v>77</v>
      </c>
      <c r="D6734" s="36">
        <f>base!H6734</f>
        <v>31</v>
      </c>
      <c r="E6734" s="44"/>
      <c r="F6734" s="16">
        <f>base!W6734</f>
        <v>0</v>
      </c>
      <c r="G6734" s="11">
        <f t="shared" si="1050"/>
        <v>0</v>
      </c>
      <c r="H6734" s="11">
        <f t="shared" si="1051"/>
        <v>0</v>
      </c>
      <c r="I6734" s="11">
        <f t="shared" si="1052"/>
        <v>0</v>
      </c>
      <c r="J6734" s="12">
        <f t="shared" si="1053"/>
        <v>0</v>
      </c>
      <c r="K6734" s="17" t="str">
        <f t="shared" si="1058"/>
        <v>Pas d'écart</v>
      </c>
      <c r="L6734" s="16">
        <f>base!X6734</f>
        <v>0</v>
      </c>
      <c r="M6734" s="11">
        <f t="shared" si="1054"/>
        <v>0</v>
      </c>
      <c r="N6734" s="11">
        <f t="shared" si="1055"/>
        <v>0</v>
      </c>
      <c r="O6734" s="11">
        <f t="shared" si="1056"/>
        <v>0</v>
      </c>
      <c r="P6734" s="12">
        <f t="shared" si="1057"/>
        <v>0</v>
      </c>
      <c r="Q6734" s="17" t="str">
        <f t="shared" si="1059"/>
        <v>Pas d'écart</v>
      </c>
    </row>
    <row r="6735" spans="1:18" x14ac:dyDescent="0.3">
      <c r="A6735" s="34">
        <f>base!J6735</f>
        <v>0</v>
      </c>
      <c r="B6735" s="34" t="str">
        <f>base!V6735</f>
        <v>77184</v>
      </c>
      <c r="C6735" s="37">
        <v>77</v>
      </c>
      <c r="D6735" s="36">
        <f>base!H6735</f>
        <v>169</v>
      </c>
      <c r="E6735" s="44"/>
      <c r="F6735" s="16">
        <f>base!W6735</f>
        <v>0</v>
      </c>
      <c r="G6735" s="11">
        <f t="shared" si="1050"/>
        <v>0</v>
      </c>
      <c r="H6735" s="11">
        <f t="shared" si="1051"/>
        <v>0</v>
      </c>
      <c r="I6735" s="11">
        <f t="shared" si="1052"/>
        <v>0</v>
      </c>
      <c r="J6735" s="12">
        <f t="shared" si="1053"/>
        <v>0</v>
      </c>
      <c r="K6735" s="17" t="str">
        <f t="shared" si="1058"/>
        <v>Pas d'écart</v>
      </c>
      <c r="L6735" s="16">
        <f>base!X6735</f>
        <v>0</v>
      </c>
      <c r="M6735" s="11">
        <f t="shared" si="1054"/>
        <v>0</v>
      </c>
      <c r="N6735" s="11">
        <f t="shared" si="1055"/>
        <v>0</v>
      </c>
      <c r="O6735" s="11">
        <f t="shared" si="1056"/>
        <v>0</v>
      </c>
      <c r="P6735" s="12">
        <f t="shared" si="1057"/>
        <v>0</v>
      </c>
      <c r="Q6735" s="17" t="str">
        <f t="shared" si="1059"/>
        <v>Pas d'écart</v>
      </c>
    </row>
    <row r="6736" spans="1:18" x14ac:dyDescent="0.3">
      <c r="A6736" s="34" t="str">
        <f>base!J6736</f>
        <v>DLM</v>
      </c>
      <c r="B6736" s="34" t="str">
        <f>base!V6736</f>
        <v>13751</v>
      </c>
      <c r="C6736" s="37">
        <v>13</v>
      </c>
      <c r="D6736" s="36">
        <f>base!H6736</f>
        <v>149.58000000000001</v>
      </c>
      <c r="E6736" s="44"/>
      <c r="F6736" s="16">
        <f>base!W6736</f>
        <v>0</v>
      </c>
      <c r="G6736" s="11">
        <f t="shared" si="1050"/>
        <v>0</v>
      </c>
      <c r="H6736" s="11">
        <f t="shared" si="1051"/>
        <v>43.3782</v>
      </c>
      <c r="I6736" s="11">
        <f t="shared" si="1052"/>
        <v>0.28999999999999998</v>
      </c>
      <c r="J6736" s="12">
        <f t="shared" si="1053"/>
        <v>-43.3782</v>
      </c>
      <c r="K6736" s="17" t="str">
        <f t="shared" si="1058"/>
        <v>Ecart négatif</v>
      </c>
      <c r="L6736" s="16">
        <f>base!X6736</f>
        <v>0</v>
      </c>
      <c r="M6736" s="11">
        <f t="shared" si="1054"/>
        <v>0</v>
      </c>
      <c r="N6736" s="11">
        <f t="shared" si="1055"/>
        <v>28.420200000000001</v>
      </c>
      <c r="O6736" s="11">
        <f t="shared" si="1056"/>
        <v>0.19</v>
      </c>
      <c r="P6736" s="12">
        <f t="shared" si="1057"/>
        <v>-28.420200000000001</v>
      </c>
      <c r="Q6736" s="17" t="str">
        <f t="shared" si="1059"/>
        <v>Ecart négatif</v>
      </c>
    </row>
    <row r="6737" spans="1:17" x14ac:dyDescent="0.3">
      <c r="A6737" s="34">
        <f>base!J6737</f>
        <v>0</v>
      </c>
      <c r="B6737" s="34" t="str">
        <f>base!V6737</f>
        <v>77184</v>
      </c>
      <c r="C6737" s="37">
        <v>77</v>
      </c>
      <c r="D6737" s="36">
        <f>base!H6737</f>
        <v>39</v>
      </c>
      <c r="E6737" s="44"/>
      <c r="F6737" s="16">
        <f>base!W6737</f>
        <v>0</v>
      </c>
      <c r="G6737" s="11">
        <f t="shared" si="1050"/>
        <v>0</v>
      </c>
      <c r="H6737" s="11">
        <f t="shared" si="1051"/>
        <v>0</v>
      </c>
      <c r="I6737" s="11">
        <f t="shared" si="1052"/>
        <v>0</v>
      </c>
      <c r="J6737" s="12">
        <f t="shared" si="1053"/>
        <v>0</v>
      </c>
      <c r="K6737" s="17" t="str">
        <f t="shared" si="1058"/>
        <v>Pas d'écart</v>
      </c>
      <c r="L6737" s="16">
        <f>base!X6737</f>
        <v>0</v>
      </c>
      <c r="M6737" s="11">
        <f t="shared" si="1054"/>
        <v>0</v>
      </c>
      <c r="N6737" s="11">
        <f t="shared" si="1055"/>
        <v>0</v>
      </c>
      <c r="O6737" s="11">
        <f t="shared" si="1056"/>
        <v>0</v>
      </c>
      <c r="P6737" s="12">
        <f t="shared" si="1057"/>
        <v>0</v>
      </c>
      <c r="Q6737" s="17" t="str">
        <f t="shared" si="1059"/>
        <v>Pas d'écart</v>
      </c>
    </row>
    <row r="6738" spans="1:17" x14ac:dyDescent="0.3">
      <c r="A6738" s="34">
        <f>base!J6738</f>
        <v>0</v>
      </c>
      <c r="B6738" s="34" t="str">
        <f>base!V6738</f>
        <v>77184</v>
      </c>
      <c r="C6738" s="37">
        <v>77</v>
      </c>
      <c r="D6738" s="36">
        <f>base!H6738</f>
        <v>31</v>
      </c>
      <c r="E6738" s="44"/>
      <c r="F6738" s="16">
        <f>base!W6738</f>
        <v>0</v>
      </c>
      <c r="G6738" s="11">
        <f t="shared" si="1050"/>
        <v>0</v>
      </c>
      <c r="H6738" s="11">
        <f t="shared" si="1051"/>
        <v>0</v>
      </c>
      <c r="I6738" s="11">
        <f t="shared" si="1052"/>
        <v>0</v>
      </c>
      <c r="J6738" s="12">
        <f t="shared" si="1053"/>
        <v>0</v>
      </c>
      <c r="K6738" s="17" t="str">
        <f t="shared" si="1058"/>
        <v>Pas d'écart</v>
      </c>
      <c r="L6738" s="16">
        <f>base!X6738</f>
        <v>0</v>
      </c>
      <c r="M6738" s="11">
        <f t="shared" si="1054"/>
        <v>0</v>
      </c>
      <c r="N6738" s="11">
        <f t="shared" si="1055"/>
        <v>0</v>
      </c>
      <c r="O6738" s="11">
        <f t="shared" si="1056"/>
        <v>0</v>
      </c>
      <c r="P6738" s="12">
        <f t="shared" si="1057"/>
        <v>0</v>
      </c>
      <c r="Q6738" s="17" t="str">
        <f t="shared" si="1059"/>
        <v>Pas d'écart</v>
      </c>
    </row>
    <row r="6739" spans="1:17" x14ac:dyDescent="0.3">
      <c r="A6739" s="34" t="str">
        <f>base!J6739</f>
        <v>DRS</v>
      </c>
      <c r="B6739" s="34" t="str">
        <f>base!V6739</f>
        <v>22000</v>
      </c>
      <c r="C6739" s="37">
        <v>22</v>
      </c>
      <c r="D6739" s="36">
        <f>base!H6739</f>
        <v>147.46</v>
      </c>
      <c r="E6739" s="44"/>
      <c r="F6739" s="16">
        <f>base!W6739</f>
        <v>0</v>
      </c>
      <c r="G6739" s="11">
        <f t="shared" si="1050"/>
        <v>0</v>
      </c>
      <c r="H6739" s="11">
        <f t="shared" si="1051"/>
        <v>56.034800000000004</v>
      </c>
      <c r="I6739" s="11">
        <f t="shared" si="1052"/>
        <v>0.38</v>
      </c>
      <c r="J6739" s="12">
        <f t="shared" si="1053"/>
        <v>-56.034800000000004</v>
      </c>
      <c r="K6739" s="17" t="str">
        <f t="shared" si="1058"/>
        <v>Ecart négatif</v>
      </c>
      <c r="L6739" s="16">
        <f>base!X6739</f>
        <v>0</v>
      </c>
      <c r="M6739" s="11">
        <f t="shared" si="1054"/>
        <v>0</v>
      </c>
      <c r="N6739" s="11">
        <f t="shared" si="1055"/>
        <v>17.6952</v>
      </c>
      <c r="O6739" s="11">
        <f t="shared" si="1056"/>
        <v>0.12</v>
      </c>
      <c r="P6739" s="12">
        <f t="shared" si="1057"/>
        <v>-17.6952</v>
      </c>
      <c r="Q6739" s="17" t="str">
        <f t="shared" si="1059"/>
        <v>Ecart négatif</v>
      </c>
    </row>
    <row r="6740" spans="1:17" x14ac:dyDescent="0.3">
      <c r="A6740" s="34" t="str">
        <f>base!J6740</f>
        <v>LS</v>
      </c>
      <c r="B6740" s="34" t="str">
        <f>base!V6740</f>
        <v>51160</v>
      </c>
      <c r="C6740" s="37">
        <v>6</v>
      </c>
      <c r="D6740" s="36">
        <f>base!H6740</f>
        <v>145.97999999999999</v>
      </c>
      <c r="E6740" s="44"/>
      <c r="F6740" s="16">
        <f>base!W6740</f>
        <v>36.5</v>
      </c>
      <c r="G6740" s="11">
        <f t="shared" si="1050"/>
        <v>0.25003425126729689</v>
      </c>
      <c r="H6740" s="11">
        <f t="shared" si="1051"/>
        <v>43.793999999999997</v>
      </c>
      <c r="I6740" s="11">
        <f t="shared" si="1052"/>
        <v>0.3</v>
      </c>
      <c r="J6740" s="12">
        <f t="shared" si="1053"/>
        <v>-7.2939999999999969</v>
      </c>
      <c r="K6740" s="17" t="str">
        <f t="shared" si="1058"/>
        <v>Ecart négatif</v>
      </c>
      <c r="L6740" s="16">
        <f>base!X6740</f>
        <v>0</v>
      </c>
      <c r="M6740" s="11">
        <f t="shared" si="1054"/>
        <v>0</v>
      </c>
      <c r="N6740" s="11">
        <f t="shared" si="1055"/>
        <v>30.655799999999996</v>
      </c>
      <c r="O6740" s="11">
        <f t="shared" si="1056"/>
        <v>0.21</v>
      </c>
      <c r="P6740" s="12">
        <f t="shared" si="1057"/>
        <v>-30.655799999999996</v>
      </c>
      <c r="Q6740" s="17" t="str">
        <f t="shared" si="1059"/>
        <v>Ecart négatif</v>
      </c>
    </row>
    <row r="6741" spans="1:17" x14ac:dyDescent="0.3">
      <c r="A6741" s="34" t="str">
        <f>base!J6741</f>
        <v>LS</v>
      </c>
      <c r="B6741" s="34" t="str">
        <f>base!V6741</f>
        <v>75002</v>
      </c>
      <c r="C6741" s="37">
        <v>75</v>
      </c>
      <c r="D6741" s="36">
        <f>base!H6741</f>
        <v>375.3</v>
      </c>
      <c r="E6741" s="44"/>
      <c r="F6741" s="16">
        <f>base!W6741</f>
        <v>0</v>
      </c>
      <c r="G6741" s="11">
        <f t="shared" si="1050"/>
        <v>0</v>
      </c>
      <c r="H6741" s="11">
        <f t="shared" si="1051"/>
        <v>0</v>
      </c>
      <c r="I6741" s="11">
        <f t="shared" si="1052"/>
        <v>0</v>
      </c>
      <c r="J6741" s="12">
        <f t="shared" si="1053"/>
        <v>0</v>
      </c>
      <c r="K6741" s="17" t="str">
        <f t="shared" si="1058"/>
        <v>Pas d'écart</v>
      </c>
      <c r="L6741" s="16">
        <f>base!X6741</f>
        <v>0</v>
      </c>
      <c r="M6741" s="11">
        <f t="shared" si="1054"/>
        <v>0</v>
      </c>
      <c r="N6741" s="11">
        <f t="shared" si="1055"/>
        <v>0</v>
      </c>
      <c r="O6741" s="11">
        <f t="shared" si="1056"/>
        <v>0</v>
      </c>
      <c r="P6741" s="12">
        <f t="shared" si="1057"/>
        <v>0</v>
      </c>
      <c r="Q6741" s="17" t="str">
        <f t="shared" si="1059"/>
        <v>Pas d'écart</v>
      </c>
    </row>
    <row r="6742" spans="1:17" x14ac:dyDescent="0.3">
      <c r="A6742" s="34" t="str">
        <f>base!J6742</f>
        <v>LS</v>
      </c>
      <c r="B6742" s="34" t="str">
        <f>base!V6742</f>
        <v>57200</v>
      </c>
      <c r="C6742" s="37">
        <v>6</v>
      </c>
      <c r="D6742" s="36">
        <f>base!H6742</f>
        <v>4.58</v>
      </c>
      <c r="E6742" s="44"/>
      <c r="F6742" s="16">
        <f>base!W6742</f>
        <v>1.1499999999999999</v>
      </c>
      <c r="G6742" s="11">
        <f t="shared" si="1050"/>
        <v>0.25109170305676853</v>
      </c>
      <c r="H6742" s="11">
        <f t="shared" si="1051"/>
        <v>1.3739999999999999</v>
      </c>
      <c r="I6742" s="11">
        <f t="shared" si="1052"/>
        <v>0.3</v>
      </c>
      <c r="J6742" s="12">
        <f t="shared" si="1053"/>
        <v>-0.22399999999999998</v>
      </c>
      <c r="K6742" s="17" t="str">
        <f t="shared" si="1058"/>
        <v>Ecart négatif</v>
      </c>
      <c r="L6742" s="16">
        <f>base!X6742</f>
        <v>0</v>
      </c>
      <c r="M6742" s="11">
        <f t="shared" si="1054"/>
        <v>0</v>
      </c>
      <c r="N6742" s="11">
        <f t="shared" si="1055"/>
        <v>0.96179999999999999</v>
      </c>
      <c r="O6742" s="11">
        <f t="shared" si="1056"/>
        <v>0.21</v>
      </c>
      <c r="P6742" s="12">
        <f t="shared" si="1057"/>
        <v>-0.96179999999999999</v>
      </c>
      <c r="Q6742" s="17" t="str">
        <f t="shared" si="1059"/>
        <v>Ecart négatif</v>
      </c>
    </row>
    <row r="6743" spans="1:17" x14ac:dyDescent="0.3">
      <c r="A6743" s="34" t="str">
        <f>base!J6743</f>
        <v>RS</v>
      </c>
      <c r="B6743" s="34" t="str">
        <f>base!V6743</f>
        <v>77210</v>
      </c>
      <c r="C6743" s="37">
        <v>77</v>
      </c>
      <c r="D6743" s="36">
        <f>base!H6743</f>
        <v>140</v>
      </c>
      <c r="E6743" s="44"/>
      <c r="F6743" s="16">
        <f>base!W6743</f>
        <v>0</v>
      </c>
      <c r="G6743" s="11">
        <f t="shared" si="1050"/>
        <v>0</v>
      </c>
      <c r="H6743" s="11">
        <f t="shared" si="1051"/>
        <v>0</v>
      </c>
      <c r="I6743" s="11">
        <f t="shared" si="1052"/>
        <v>0</v>
      </c>
      <c r="J6743" s="12">
        <f t="shared" si="1053"/>
        <v>0</v>
      </c>
      <c r="K6743" s="17" t="str">
        <f t="shared" si="1058"/>
        <v>Pas d'écart</v>
      </c>
      <c r="L6743" s="16">
        <f>base!X6743</f>
        <v>0</v>
      </c>
      <c r="M6743" s="11">
        <f t="shared" si="1054"/>
        <v>0</v>
      </c>
      <c r="N6743" s="11">
        <f t="shared" si="1055"/>
        <v>0</v>
      </c>
      <c r="O6743" s="11">
        <f t="shared" si="1056"/>
        <v>0</v>
      </c>
      <c r="P6743" s="12">
        <f t="shared" si="1057"/>
        <v>0</v>
      </c>
      <c r="Q6743" s="17" t="str">
        <f t="shared" si="1059"/>
        <v>Pas d'écart</v>
      </c>
    </row>
    <row r="6744" spans="1:17" x14ac:dyDescent="0.3">
      <c r="A6744" s="34" t="str">
        <f>base!J6744</f>
        <v>DRS</v>
      </c>
      <c r="B6744" s="34" t="str">
        <f>base!V6744</f>
        <v>14740</v>
      </c>
      <c r="C6744" s="37">
        <v>14</v>
      </c>
      <c r="D6744" s="36">
        <f>base!H6744</f>
        <v>250</v>
      </c>
      <c r="E6744" s="44"/>
      <c r="F6744" s="16">
        <f>base!W6744</f>
        <v>0</v>
      </c>
      <c r="G6744" s="11">
        <f t="shared" si="1050"/>
        <v>0</v>
      </c>
      <c r="H6744" s="11">
        <f t="shared" si="1051"/>
        <v>42.5</v>
      </c>
      <c r="I6744" s="11">
        <f t="shared" si="1052"/>
        <v>0.17</v>
      </c>
      <c r="J6744" s="12">
        <f t="shared" si="1053"/>
        <v>-42.5</v>
      </c>
      <c r="K6744" s="17" t="str">
        <f t="shared" si="1058"/>
        <v>Ecart négatif</v>
      </c>
      <c r="L6744" s="16">
        <f>base!X6744</f>
        <v>0</v>
      </c>
      <c r="M6744" s="11">
        <f t="shared" si="1054"/>
        <v>0</v>
      </c>
      <c r="N6744" s="11">
        <f t="shared" si="1055"/>
        <v>42.5</v>
      </c>
      <c r="O6744" s="11">
        <f t="shared" si="1056"/>
        <v>0.17</v>
      </c>
      <c r="P6744" s="12">
        <f t="shared" si="1057"/>
        <v>-42.5</v>
      </c>
      <c r="Q6744" s="17" t="str">
        <f t="shared" si="1059"/>
        <v>Ecart négatif</v>
      </c>
    </row>
    <row r="6745" spans="1:17" x14ac:dyDescent="0.3">
      <c r="A6745" s="34" t="str">
        <f>base!J6745</f>
        <v>LS</v>
      </c>
      <c r="B6745" s="34" t="str">
        <f>base!V6745</f>
        <v>38150</v>
      </c>
      <c r="C6745" s="37">
        <v>6</v>
      </c>
      <c r="D6745" s="36">
        <f>base!H6745</f>
        <v>367.19</v>
      </c>
      <c r="E6745" s="44"/>
      <c r="F6745" s="16">
        <f>base!W6745</f>
        <v>99.14</v>
      </c>
      <c r="G6745" s="11">
        <f t="shared" si="1050"/>
        <v>0.26999645959857294</v>
      </c>
      <c r="H6745" s="11">
        <f t="shared" si="1051"/>
        <v>110.157</v>
      </c>
      <c r="I6745" s="11">
        <f t="shared" si="1052"/>
        <v>0.3</v>
      </c>
      <c r="J6745" s="12">
        <f t="shared" si="1053"/>
        <v>-11.016999999999996</v>
      </c>
      <c r="K6745" s="17" t="str">
        <f t="shared" si="1058"/>
        <v>Ecart négatif</v>
      </c>
      <c r="L6745" s="16">
        <f>base!X6745</f>
        <v>0</v>
      </c>
      <c r="M6745" s="11">
        <f t="shared" si="1054"/>
        <v>0</v>
      </c>
      <c r="N6745" s="11">
        <f t="shared" si="1055"/>
        <v>77.109899999999996</v>
      </c>
      <c r="O6745" s="11">
        <f t="shared" si="1056"/>
        <v>0.21</v>
      </c>
      <c r="P6745" s="12">
        <f t="shared" si="1057"/>
        <v>-77.109899999999996</v>
      </c>
      <c r="Q6745" s="17" t="str">
        <f t="shared" si="1059"/>
        <v>Ecart négatif</v>
      </c>
    </row>
    <row r="6746" spans="1:17" x14ac:dyDescent="0.3">
      <c r="A6746" s="34" t="str">
        <f>base!J6746</f>
        <v>LM</v>
      </c>
      <c r="B6746" s="34" t="str">
        <f>base!V6746</f>
        <v>44327</v>
      </c>
      <c r="C6746" s="37">
        <v>6</v>
      </c>
      <c r="D6746" s="36">
        <f>base!H6746</f>
        <v>110.45</v>
      </c>
      <c r="E6746" s="44"/>
      <c r="F6746" s="16">
        <f>base!W6746</f>
        <v>29.82</v>
      </c>
      <c r="G6746" s="11">
        <f t="shared" si="1050"/>
        <v>0.26998641919420552</v>
      </c>
      <c r="H6746" s="11">
        <f t="shared" si="1051"/>
        <v>33.134999999999998</v>
      </c>
      <c r="I6746" s="11">
        <f t="shared" si="1052"/>
        <v>0.3</v>
      </c>
      <c r="J6746" s="12">
        <f t="shared" si="1053"/>
        <v>-3.3149999999999977</v>
      </c>
      <c r="K6746" s="17" t="str">
        <f t="shared" si="1058"/>
        <v>Ecart négatif</v>
      </c>
      <c r="L6746" s="16">
        <f>base!X6746</f>
        <v>0</v>
      </c>
      <c r="M6746" s="11">
        <f t="shared" si="1054"/>
        <v>0</v>
      </c>
      <c r="N6746" s="11">
        <f t="shared" si="1055"/>
        <v>23.194500000000001</v>
      </c>
      <c r="O6746" s="11">
        <f t="shared" si="1056"/>
        <v>0.21000000000000002</v>
      </c>
      <c r="P6746" s="12">
        <f t="shared" si="1057"/>
        <v>-23.194500000000001</v>
      </c>
      <c r="Q6746" s="17" t="str">
        <f t="shared" si="1059"/>
        <v>Ecart négatif</v>
      </c>
    </row>
    <row r="6747" spans="1:17" x14ac:dyDescent="0.3">
      <c r="A6747" s="34" t="str">
        <f>base!J6747</f>
        <v>LM</v>
      </c>
      <c r="B6747" s="34" t="str">
        <f>base!V6747</f>
        <v>44300</v>
      </c>
      <c r="C6747" s="37">
        <v>83</v>
      </c>
      <c r="D6747" s="36">
        <f>base!H6747</f>
        <v>19.8</v>
      </c>
      <c r="E6747" s="44"/>
      <c r="F6747" s="16">
        <f>base!W6747</f>
        <v>5.35</v>
      </c>
      <c r="G6747" s="11">
        <f t="shared" si="1050"/>
        <v>0.27020202020202017</v>
      </c>
      <c r="H6747" s="11">
        <f t="shared" si="1051"/>
        <v>5.94</v>
      </c>
      <c r="I6747" s="11">
        <f t="shared" si="1052"/>
        <v>0.3</v>
      </c>
      <c r="J6747" s="12">
        <f t="shared" si="1053"/>
        <v>-0.59000000000000075</v>
      </c>
      <c r="K6747" s="17" t="str">
        <f t="shared" si="1058"/>
        <v>Ecart négatif</v>
      </c>
      <c r="L6747" s="16">
        <f>base!X6747</f>
        <v>0</v>
      </c>
      <c r="M6747" s="11">
        <f t="shared" si="1054"/>
        <v>0</v>
      </c>
      <c r="N6747" s="11">
        <f t="shared" si="1055"/>
        <v>4.1580000000000004</v>
      </c>
      <c r="O6747" s="11">
        <f t="shared" si="1056"/>
        <v>0.21000000000000002</v>
      </c>
      <c r="P6747" s="12">
        <f t="shared" si="1057"/>
        <v>-4.1580000000000004</v>
      </c>
      <c r="Q6747" s="17" t="str">
        <f t="shared" si="1059"/>
        <v>Ecart négatif</v>
      </c>
    </row>
    <row r="6748" spans="1:17" x14ac:dyDescent="0.3">
      <c r="A6748" s="34" t="str">
        <f>base!J6748</f>
        <v>LM</v>
      </c>
      <c r="B6748" s="34" t="str">
        <f>base!V6748</f>
        <v>91120</v>
      </c>
      <c r="C6748" s="37">
        <v>91</v>
      </c>
      <c r="D6748" s="36">
        <f>base!H6748</f>
        <v>183.25</v>
      </c>
      <c r="E6748" s="44"/>
      <c r="F6748" s="16">
        <f>base!W6748</f>
        <v>0</v>
      </c>
      <c r="G6748" s="11">
        <f t="shared" si="1050"/>
        <v>0</v>
      </c>
      <c r="H6748" s="11">
        <f t="shared" si="1051"/>
        <v>0</v>
      </c>
      <c r="I6748" s="11">
        <f t="shared" si="1052"/>
        <v>0</v>
      </c>
      <c r="J6748" s="12">
        <f t="shared" si="1053"/>
        <v>0</v>
      </c>
      <c r="K6748" s="17" t="str">
        <f t="shared" si="1058"/>
        <v>Pas d'écart</v>
      </c>
      <c r="L6748" s="16">
        <f>base!X6748</f>
        <v>0</v>
      </c>
      <c r="M6748" s="11">
        <f t="shared" si="1054"/>
        <v>0</v>
      </c>
      <c r="N6748" s="11">
        <f t="shared" si="1055"/>
        <v>0</v>
      </c>
      <c r="O6748" s="11">
        <f t="shared" si="1056"/>
        <v>0</v>
      </c>
      <c r="P6748" s="12">
        <f t="shared" si="1057"/>
        <v>0</v>
      </c>
      <c r="Q6748" s="17" t="str">
        <f t="shared" si="1059"/>
        <v>Pas d'écart</v>
      </c>
    </row>
    <row r="6749" spans="1:17" x14ac:dyDescent="0.3">
      <c r="A6749" s="34" t="str">
        <f>base!J6749</f>
        <v>LS</v>
      </c>
      <c r="B6749" s="34" t="str">
        <f>base!V6749</f>
        <v>44200</v>
      </c>
      <c r="C6749" s="37">
        <v>34</v>
      </c>
      <c r="D6749" s="36">
        <f>base!H6749</f>
        <v>8.07</v>
      </c>
      <c r="E6749" s="44"/>
      <c r="F6749" s="16">
        <f>base!W6749</f>
        <v>2.1800000000000002</v>
      </c>
      <c r="G6749" s="11">
        <f t="shared" si="1050"/>
        <v>0.2701363073110285</v>
      </c>
      <c r="H6749" s="11">
        <f t="shared" si="1051"/>
        <v>3.1473000000000004</v>
      </c>
      <c r="I6749" s="11">
        <f t="shared" si="1052"/>
        <v>0.39</v>
      </c>
      <c r="J6749" s="12">
        <f t="shared" si="1053"/>
        <v>-0.96730000000000027</v>
      </c>
      <c r="K6749" s="17" t="str">
        <f t="shared" si="1058"/>
        <v>Ecart négatif</v>
      </c>
      <c r="L6749" s="16">
        <f>base!X6749</f>
        <v>0</v>
      </c>
      <c r="M6749" s="11">
        <f t="shared" si="1054"/>
        <v>0</v>
      </c>
      <c r="N6749" s="11">
        <f t="shared" si="1055"/>
        <v>2.2596000000000003</v>
      </c>
      <c r="O6749" s="11">
        <f t="shared" si="1056"/>
        <v>0.28000000000000003</v>
      </c>
      <c r="P6749" s="12">
        <f t="shared" si="1057"/>
        <v>-2.2596000000000003</v>
      </c>
      <c r="Q6749" s="17" t="str">
        <f t="shared" si="1059"/>
        <v>Ecart négatif</v>
      </c>
    </row>
    <row r="6750" spans="1:17" x14ac:dyDescent="0.3">
      <c r="A6750" s="34" t="str">
        <f>base!J6750</f>
        <v>LS</v>
      </c>
      <c r="B6750" s="34" t="str">
        <f>base!V6750</f>
        <v>59310</v>
      </c>
      <c r="C6750" s="37">
        <v>91</v>
      </c>
      <c r="D6750" s="36">
        <f>base!H6750</f>
        <v>120.85</v>
      </c>
      <c r="E6750" s="44"/>
      <c r="F6750" s="16">
        <f>base!W6750</f>
        <v>22.96</v>
      </c>
      <c r="G6750" s="11">
        <f t="shared" si="1050"/>
        <v>0.18998758791890774</v>
      </c>
      <c r="H6750" s="11">
        <f t="shared" si="1051"/>
        <v>0</v>
      </c>
      <c r="I6750" s="11">
        <f t="shared" si="1052"/>
        <v>0</v>
      </c>
      <c r="J6750" s="12">
        <f t="shared" si="1053"/>
        <v>22.96</v>
      </c>
      <c r="K6750" s="17" t="str">
        <f t="shared" si="1058"/>
        <v>Ecart positif</v>
      </c>
      <c r="L6750" s="16">
        <f>base!X6750</f>
        <v>0</v>
      </c>
      <c r="M6750" s="11">
        <f t="shared" si="1054"/>
        <v>0</v>
      </c>
      <c r="N6750" s="11">
        <f t="shared" si="1055"/>
        <v>0</v>
      </c>
      <c r="O6750" s="11">
        <f t="shared" si="1056"/>
        <v>0</v>
      </c>
      <c r="P6750" s="12">
        <f t="shared" si="1057"/>
        <v>0</v>
      </c>
      <c r="Q6750" s="17" t="str">
        <f t="shared" si="1059"/>
        <v>Pas d'écart</v>
      </c>
    </row>
    <row r="6751" spans="1:17" x14ac:dyDescent="0.3">
      <c r="A6751" s="34" t="str">
        <f>base!J6751</f>
        <v>LS</v>
      </c>
      <c r="B6751" s="34" t="str">
        <f>base!V6751</f>
        <v>62220</v>
      </c>
      <c r="C6751" s="37">
        <v>62</v>
      </c>
      <c r="D6751" s="36">
        <f>base!H6751</f>
        <v>180</v>
      </c>
      <c r="E6751" s="44"/>
      <c r="F6751" s="16">
        <f>base!W6751</f>
        <v>34.200000000000003</v>
      </c>
      <c r="G6751" s="11">
        <f t="shared" si="1050"/>
        <v>0.19</v>
      </c>
      <c r="H6751" s="11">
        <f t="shared" si="1051"/>
        <v>34.200000000000003</v>
      </c>
      <c r="I6751" s="11">
        <f t="shared" si="1052"/>
        <v>0.19</v>
      </c>
      <c r="J6751" s="12">
        <f t="shared" si="1053"/>
        <v>0</v>
      </c>
      <c r="K6751" s="17" t="str">
        <f t="shared" si="1058"/>
        <v>Pas d'écart</v>
      </c>
      <c r="L6751" s="16">
        <f>base!X6751</f>
        <v>0</v>
      </c>
      <c r="M6751" s="11">
        <f t="shared" si="1054"/>
        <v>0</v>
      </c>
      <c r="N6751" s="11">
        <f t="shared" si="1055"/>
        <v>0</v>
      </c>
      <c r="O6751" s="11">
        <f t="shared" si="1056"/>
        <v>0</v>
      </c>
      <c r="P6751" s="12">
        <f t="shared" si="1057"/>
        <v>0</v>
      </c>
      <c r="Q6751" s="17" t="str">
        <f t="shared" si="1059"/>
        <v>Pas d'écart</v>
      </c>
    </row>
    <row r="6752" spans="1:17" x14ac:dyDescent="0.3">
      <c r="A6752" s="34">
        <f>base!J6752</f>
        <v>0</v>
      </c>
      <c r="B6752" s="34" t="str">
        <f>base!V6752</f>
        <v>77184</v>
      </c>
      <c r="C6752" s="37">
        <v>77</v>
      </c>
      <c r="D6752" s="36">
        <f>base!H6752</f>
        <v>90</v>
      </c>
      <c r="E6752" s="44"/>
      <c r="F6752" s="16">
        <f>base!W6752</f>
        <v>0</v>
      </c>
      <c r="G6752" s="11">
        <f t="shared" si="1050"/>
        <v>0</v>
      </c>
      <c r="H6752" s="11">
        <f t="shared" si="1051"/>
        <v>0</v>
      </c>
      <c r="I6752" s="11">
        <f t="shared" si="1052"/>
        <v>0</v>
      </c>
      <c r="J6752" s="12">
        <f t="shared" si="1053"/>
        <v>0</v>
      </c>
      <c r="K6752" s="17" t="str">
        <f t="shared" si="1058"/>
        <v>Pas d'écart</v>
      </c>
      <c r="L6752" s="16">
        <f>base!X6752</f>
        <v>0</v>
      </c>
      <c r="M6752" s="11">
        <f t="shared" si="1054"/>
        <v>0</v>
      </c>
      <c r="N6752" s="11">
        <f t="shared" si="1055"/>
        <v>0</v>
      </c>
      <c r="O6752" s="11">
        <f t="shared" si="1056"/>
        <v>0</v>
      </c>
      <c r="P6752" s="12">
        <f t="shared" si="1057"/>
        <v>0</v>
      </c>
      <c r="Q6752" s="17" t="str">
        <f t="shared" si="1059"/>
        <v>Pas d'écart</v>
      </c>
    </row>
    <row r="6753" spans="1:18" x14ac:dyDescent="0.3">
      <c r="A6753" s="34" t="str">
        <f>base!J6753</f>
        <v>RS</v>
      </c>
      <c r="B6753" s="34" t="str">
        <f>base!V6753</f>
        <v>37250</v>
      </c>
      <c r="C6753" s="37">
        <v>37</v>
      </c>
      <c r="D6753" s="36">
        <f>base!H6753</f>
        <v>250</v>
      </c>
      <c r="E6753" s="44"/>
      <c r="F6753" s="16">
        <f>base!W6753</f>
        <v>0</v>
      </c>
      <c r="G6753" s="11">
        <f t="shared" si="1050"/>
        <v>0</v>
      </c>
      <c r="H6753" s="11">
        <f t="shared" si="1051"/>
        <v>47.5</v>
      </c>
      <c r="I6753" s="11">
        <f t="shared" si="1052"/>
        <v>0.19</v>
      </c>
      <c r="J6753" s="12">
        <f t="shared" si="1053"/>
        <v>-47.5</v>
      </c>
      <c r="K6753" s="17" t="str">
        <f t="shared" si="1058"/>
        <v>Ecart négatif</v>
      </c>
      <c r="L6753" s="16">
        <f>base!X6753</f>
        <v>0</v>
      </c>
      <c r="M6753" s="11">
        <f t="shared" si="1054"/>
        <v>0</v>
      </c>
      <c r="N6753" s="11">
        <f t="shared" si="1055"/>
        <v>30</v>
      </c>
      <c r="O6753" s="11">
        <f t="shared" si="1056"/>
        <v>0.12</v>
      </c>
      <c r="P6753" s="12">
        <f t="shared" si="1057"/>
        <v>-30</v>
      </c>
      <c r="Q6753" s="17" t="str">
        <f t="shared" si="1059"/>
        <v>Ecart négatif</v>
      </c>
    </row>
    <row r="6754" spans="1:18" x14ac:dyDescent="0.3">
      <c r="A6754" s="34" t="str">
        <f>base!J6754</f>
        <v>RS</v>
      </c>
      <c r="B6754" s="34" t="str">
        <f>base!V6754</f>
        <v>02200</v>
      </c>
      <c r="C6754" s="37">
        <v>2</v>
      </c>
      <c r="D6754" s="36">
        <f>base!H6754</f>
        <v>198.98</v>
      </c>
      <c r="E6754" s="44"/>
      <c r="F6754" s="16">
        <f>base!W6754</f>
        <v>0</v>
      </c>
      <c r="G6754" s="11">
        <f t="shared" si="1050"/>
        <v>0</v>
      </c>
      <c r="H6754" s="11">
        <f t="shared" si="1051"/>
        <v>35.816399999999994</v>
      </c>
      <c r="I6754" s="11">
        <f t="shared" si="1052"/>
        <v>0.18</v>
      </c>
      <c r="J6754" s="12">
        <f t="shared" si="1053"/>
        <v>-35.816399999999994</v>
      </c>
      <c r="K6754" s="17" t="str">
        <f t="shared" si="1058"/>
        <v>Ecart négatif</v>
      </c>
      <c r="L6754" s="16">
        <f>base!X6754</f>
        <v>0</v>
      </c>
      <c r="M6754" s="11">
        <f t="shared" si="1054"/>
        <v>0</v>
      </c>
      <c r="N6754" s="11">
        <f t="shared" si="1055"/>
        <v>0</v>
      </c>
      <c r="O6754" s="11">
        <f t="shared" si="1056"/>
        <v>0</v>
      </c>
      <c r="P6754" s="12">
        <f t="shared" si="1057"/>
        <v>0</v>
      </c>
      <c r="Q6754" s="17" t="str">
        <f t="shared" si="1059"/>
        <v>Pas d'écart</v>
      </c>
    </row>
    <row r="6755" spans="1:18" x14ac:dyDescent="0.3">
      <c r="A6755" s="34" t="str">
        <f>base!J6755</f>
        <v>LS</v>
      </c>
      <c r="B6755" s="34" t="str">
        <f>base!V6755</f>
        <v>72000</v>
      </c>
      <c r="C6755" s="37">
        <v>66</v>
      </c>
      <c r="D6755" s="36">
        <f>base!H6755</f>
        <v>183.61</v>
      </c>
      <c r="E6755" s="44"/>
      <c r="F6755" s="16">
        <f>base!W6755</f>
        <v>38.56</v>
      </c>
      <c r="G6755" s="11">
        <f t="shared" si="1050"/>
        <v>0.21001034802026033</v>
      </c>
      <c r="H6755" s="11">
        <f t="shared" si="1051"/>
        <v>62.427400000000006</v>
      </c>
      <c r="I6755" s="11">
        <f t="shared" si="1052"/>
        <v>0.34</v>
      </c>
      <c r="J6755" s="12">
        <f t="shared" si="1053"/>
        <v>-23.867400000000004</v>
      </c>
      <c r="K6755" s="17" t="str">
        <f t="shared" si="1058"/>
        <v>Ecart négatif</v>
      </c>
      <c r="L6755" s="16">
        <f>base!X6755</f>
        <v>0</v>
      </c>
      <c r="M6755" s="11">
        <f t="shared" si="1054"/>
        <v>0</v>
      </c>
      <c r="N6755" s="11">
        <f t="shared" si="1055"/>
        <v>51.410800000000009</v>
      </c>
      <c r="O6755" s="11">
        <f t="shared" si="1056"/>
        <v>0.28000000000000003</v>
      </c>
      <c r="P6755" s="12">
        <f t="shared" si="1057"/>
        <v>-51.410800000000009</v>
      </c>
      <c r="Q6755" s="17" t="str">
        <f t="shared" si="1059"/>
        <v>Ecart négatif</v>
      </c>
    </row>
    <row r="6756" spans="1:18" x14ac:dyDescent="0.3">
      <c r="A6756" s="34" t="str">
        <f>base!J6756</f>
        <v>LS</v>
      </c>
      <c r="B6756" s="34" t="str">
        <f>base!V6756</f>
        <v>59262</v>
      </c>
      <c r="C6756" s="37">
        <v>29</v>
      </c>
      <c r="D6756" s="36">
        <f>base!H6756</f>
        <v>130.19999999999999</v>
      </c>
      <c r="E6756" s="44"/>
      <c r="F6756" s="16">
        <f>base!W6756</f>
        <v>24.74</v>
      </c>
      <c r="G6756" s="11">
        <f t="shared" si="1050"/>
        <v>0.19001536098310293</v>
      </c>
      <c r="H6756" s="11">
        <f t="shared" si="1051"/>
        <v>50.777999999999999</v>
      </c>
      <c r="I6756" s="11">
        <f t="shared" si="1052"/>
        <v>0.39</v>
      </c>
      <c r="J6756" s="12">
        <f t="shared" si="1053"/>
        <v>-26.038</v>
      </c>
      <c r="K6756" s="17" t="str">
        <f t="shared" si="1058"/>
        <v>Ecart négatif</v>
      </c>
      <c r="L6756" s="16">
        <f>base!X6756</f>
        <v>0</v>
      </c>
      <c r="M6756" s="11">
        <f t="shared" si="1054"/>
        <v>0</v>
      </c>
      <c r="N6756" s="11">
        <f t="shared" si="1055"/>
        <v>15.623999999999999</v>
      </c>
      <c r="O6756" s="11">
        <f t="shared" si="1056"/>
        <v>0.12</v>
      </c>
      <c r="P6756" s="12">
        <f t="shared" si="1057"/>
        <v>-15.623999999999999</v>
      </c>
      <c r="Q6756" s="17" t="str">
        <f t="shared" si="1059"/>
        <v>Ecart négatif</v>
      </c>
    </row>
    <row r="6757" spans="1:18" x14ac:dyDescent="0.3">
      <c r="A6757" s="34" t="str">
        <f>base!J6757</f>
        <v>LS</v>
      </c>
      <c r="B6757" s="34" t="str">
        <f>base!V6757</f>
        <v>67300</v>
      </c>
      <c r="C6757" s="37">
        <v>34</v>
      </c>
      <c r="D6757" s="36">
        <f>base!H6757</f>
        <v>147.65</v>
      </c>
      <c r="E6757" s="44"/>
      <c r="F6757" s="16">
        <f>base!W6757</f>
        <v>42.82</v>
      </c>
      <c r="G6757" s="11">
        <f t="shared" si="1050"/>
        <v>0.29001015916017608</v>
      </c>
      <c r="H6757" s="11">
        <f t="shared" si="1051"/>
        <v>57.583500000000001</v>
      </c>
      <c r="I6757" s="11">
        <f t="shared" si="1052"/>
        <v>0.39</v>
      </c>
      <c r="J6757" s="12">
        <f t="shared" si="1053"/>
        <v>-14.763500000000001</v>
      </c>
      <c r="K6757" s="17" t="str">
        <f t="shared" si="1058"/>
        <v>Ecart négatif</v>
      </c>
      <c r="L6757" s="16">
        <f>base!X6757</f>
        <v>0</v>
      </c>
      <c r="M6757" s="11">
        <f t="shared" si="1054"/>
        <v>0</v>
      </c>
      <c r="N6757" s="11">
        <f t="shared" si="1055"/>
        <v>41.342000000000006</v>
      </c>
      <c r="O6757" s="11">
        <f t="shared" si="1056"/>
        <v>0.28000000000000003</v>
      </c>
      <c r="P6757" s="12">
        <f t="shared" si="1057"/>
        <v>-41.342000000000006</v>
      </c>
      <c r="Q6757" s="17" t="str">
        <f t="shared" si="1059"/>
        <v>Ecart négatif</v>
      </c>
    </row>
    <row r="6758" spans="1:18" x14ac:dyDescent="0.3">
      <c r="A6758" s="34" t="str">
        <f>base!J6758</f>
        <v>LS</v>
      </c>
      <c r="B6758" s="34" t="str">
        <f>base!V6758</f>
        <v>73102</v>
      </c>
      <c r="C6758" s="37">
        <v>30</v>
      </c>
      <c r="D6758" s="36">
        <f>base!H6758</f>
        <v>154.38999999999999</v>
      </c>
      <c r="E6758" s="44"/>
      <c r="F6758" s="16">
        <f>base!W6758</f>
        <v>41.69</v>
      </c>
      <c r="G6758" s="11">
        <f t="shared" si="1050"/>
        <v>0.27003044238616492</v>
      </c>
      <c r="H6758" s="11">
        <f t="shared" si="1051"/>
        <v>60.2121</v>
      </c>
      <c r="I6758" s="11">
        <f t="shared" si="1052"/>
        <v>0.39</v>
      </c>
      <c r="J6758" s="12">
        <f t="shared" si="1053"/>
        <v>-18.522100000000002</v>
      </c>
      <c r="K6758" s="17" t="str">
        <f t="shared" si="1058"/>
        <v>Ecart négatif</v>
      </c>
      <c r="L6758" s="16">
        <f>base!X6758</f>
        <v>0</v>
      </c>
      <c r="M6758" s="11">
        <f t="shared" si="1054"/>
        <v>0</v>
      </c>
      <c r="N6758" s="11">
        <f t="shared" si="1055"/>
        <v>43.229199999999999</v>
      </c>
      <c r="O6758" s="11">
        <f t="shared" si="1056"/>
        <v>0.28000000000000003</v>
      </c>
      <c r="P6758" s="12">
        <f t="shared" si="1057"/>
        <v>-43.229199999999999</v>
      </c>
      <c r="Q6758" s="17" t="str">
        <f t="shared" si="1059"/>
        <v>Ecart négatif</v>
      </c>
    </row>
    <row r="6759" spans="1:18" x14ac:dyDescent="0.3">
      <c r="A6759" s="34" t="str">
        <f>base!J6759</f>
        <v>RS</v>
      </c>
      <c r="B6759" s="34" t="str">
        <f>base!V6759</f>
        <v>68360</v>
      </c>
      <c r="C6759" s="37">
        <v>68</v>
      </c>
      <c r="D6759" s="36">
        <f>base!H6759</f>
        <v>180</v>
      </c>
      <c r="E6759" s="44"/>
      <c r="F6759" s="16">
        <f>base!W6759</f>
        <v>0</v>
      </c>
      <c r="G6759" s="11">
        <f t="shared" si="1050"/>
        <v>0</v>
      </c>
      <c r="H6759" s="11">
        <f t="shared" si="1051"/>
        <v>52.199999999999996</v>
      </c>
      <c r="I6759" s="11">
        <f t="shared" si="1052"/>
        <v>0.28999999999999998</v>
      </c>
      <c r="J6759" s="12">
        <f t="shared" si="1053"/>
        <v>-52.199999999999996</v>
      </c>
      <c r="K6759" s="17" t="str">
        <f t="shared" si="1058"/>
        <v>Ecart négatif</v>
      </c>
      <c r="L6759" s="16">
        <f>base!X6759</f>
        <v>14.4</v>
      </c>
      <c r="M6759" s="11">
        <f t="shared" si="1054"/>
        <v>0.08</v>
      </c>
      <c r="N6759" s="11">
        <f t="shared" si="1055"/>
        <v>14.4</v>
      </c>
      <c r="O6759" s="11">
        <f t="shared" si="1056"/>
        <v>0.08</v>
      </c>
      <c r="P6759" s="12">
        <f t="shared" si="1057"/>
        <v>0</v>
      </c>
      <c r="Q6759" s="17" t="str">
        <f t="shared" si="1059"/>
        <v>Pas d'écart</v>
      </c>
      <c r="R6759" s="38"/>
    </row>
    <row r="6760" spans="1:18" x14ac:dyDescent="0.3">
      <c r="A6760" s="34">
        <f>base!J6760</f>
        <v>0</v>
      </c>
      <c r="B6760" s="34" t="str">
        <f>base!V6760</f>
        <v>44240</v>
      </c>
      <c r="C6760" s="37">
        <v>44</v>
      </c>
      <c r="D6760" s="36">
        <f>base!H6760</f>
        <v>22.5</v>
      </c>
      <c r="E6760" s="44"/>
      <c r="F6760" s="16">
        <f>base!W6760</f>
        <v>0</v>
      </c>
      <c r="G6760" s="11">
        <f t="shared" si="1050"/>
        <v>0</v>
      </c>
      <c r="H6760" s="11">
        <f t="shared" si="1051"/>
        <v>6.0750000000000002</v>
      </c>
      <c r="I6760" s="11">
        <f t="shared" si="1052"/>
        <v>0.27</v>
      </c>
      <c r="J6760" s="12">
        <f t="shared" si="1053"/>
        <v>-6.0750000000000002</v>
      </c>
      <c r="K6760" s="17" t="str">
        <f t="shared" si="1058"/>
        <v>Ecart négatif</v>
      </c>
      <c r="L6760" s="16">
        <f>base!X6760</f>
        <v>0</v>
      </c>
      <c r="M6760" s="11">
        <f t="shared" si="1054"/>
        <v>0</v>
      </c>
      <c r="N6760" s="11">
        <f t="shared" si="1055"/>
        <v>0</v>
      </c>
      <c r="O6760" s="11">
        <f t="shared" si="1056"/>
        <v>0</v>
      </c>
      <c r="P6760" s="12">
        <f t="shared" si="1057"/>
        <v>0</v>
      </c>
      <c r="Q6760" s="17" t="str">
        <f t="shared" si="1059"/>
        <v>Pas d'écart</v>
      </c>
    </row>
    <row r="6761" spans="1:18" x14ac:dyDescent="0.3">
      <c r="A6761" s="34">
        <f>base!J6761</f>
        <v>0</v>
      </c>
      <c r="B6761" s="34" t="str">
        <f>base!V6761</f>
        <v>44240</v>
      </c>
      <c r="C6761" s="37">
        <v>44</v>
      </c>
      <c r="D6761" s="36">
        <f>base!H6761</f>
        <v>50</v>
      </c>
      <c r="E6761" s="44"/>
      <c r="F6761" s="16">
        <f>base!W6761</f>
        <v>0</v>
      </c>
      <c r="G6761" s="11">
        <f t="shared" si="1050"/>
        <v>0</v>
      </c>
      <c r="H6761" s="11">
        <f t="shared" si="1051"/>
        <v>13.5</v>
      </c>
      <c r="I6761" s="11">
        <f t="shared" si="1052"/>
        <v>0.27</v>
      </c>
      <c r="J6761" s="12">
        <f t="shared" si="1053"/>
        <v>-13.5</v>
      </c>
      <c r="K6761" s="17" t="str">
        <f t="shared" si="1058"/>
        <v>Ecart négatif</v>
      </c>
      <c r="L6761" s="16">
        <f>base!X6761</f>
        <v>0</v>
      </c>
      <c r="M6761" s="11">
        <f t="shared" si="1054"/>
        <v>0</v>
      </c>
      <c r="N6761" s="11">
        <f t="shared" si="1055"/>
        <v>0</v>
      </c>
      <c r="O6761" s="11">
        <f t="shared" si="1056"/>
        <v>0</v>
      </c>
      <c r="P6761" s="12">
        <f t="shared" si="1057"/>
        <v>0</v>
      </c>
      <c r="Q6761" s="17" t="str">
        <f t="shared" si="1059"/>
        <v>Pas d'écart</v>
      </c>
    </row>
    <row r="6762" spans="1:18" x14ac:dyDescent="0.3">
      <c r="A6762" s="34" t="str">
        <f>base!J6762</f>
        <v>LS</v>
      </c>
      <c r="B6762" s="34" t="str">
        <f>base!V6762</f>
        <v>19100</v>
      </c>
      <c r="C6762" s="37">
        <v>29</v>
      </c>
      <c r="D6762" s="36">
        <f>base!H6762</f>
        <v>105.75</v>
      </c>
      <c r="E6762" s="44"/>
      <c r="F6762" s="16">
        <f>base!W6762</f>
        <v>30.67</v>
      </c>
      <c r="G6762" s="11">
        <f t="shared" si="1050"/>
        <v>0.29002364066193853</v>
      </c>
      <c r="H6762" s="11">
        <f t="shared" si="1051"/>
        <v>41.2425</v>
      </c>
      <c r="I6762" s="11">
        <f t="shared" si="1052"/>
        <v>0.39</v>
      </c>
      <c r="J6762" s="12">
        <f t="shared" si="1053"/>
        <v>-10.572499999999998</v>
      </c>
      <c r="K6762" s="17" t="str">
        <f t="shared" si="1058"/>
        <v>Ecart négatif</v>
      </c>
      <c r="L6762" s="16">
        <f>base!X6762</f>
        <v>0</v>
      </c>
      <c r="M6762" s="11">
        <f t="shared" si="1054"/>
        <v>0</v>
      </c>
      <c r="N6762" s="11">
        <f t="shared" si="1055"/>
        <v>12.69</v>
      </c>
      <c r="O6762" s="11">
        <f t="shared" si="1056"/>
        <v>0.12</v>
      </c>
      <c r="P6762" s="12">
        <f t="shared" si="1057"/>
        <v>-12.69</v>
      </c>
      <c r="Q6762" s="17" t="str">
        <f t="shared" si="1059"/>
        <v>Ecart négatif</v>
      </c>
    </row>
    <row r="6763" spans="1:18" x14ac:dyDescent="0.3">
      <c r="A6763" s="34" t="str">
        <f>base!J6763</f>
        <v>LM</v>
      </c>
      <c r="B6763" s="34" t="str">
        <f>base!V6763</f>
        <v>65290</v>
      </c>
      <c r="C6763" s="37">
        <v>66</v>
      </c>
      <c r="D6763" s="36">
        <f>base!H6763</f>
        <v>268.02999999999997</v>
      </c>
      <c r="E6763" s="44"/>
      <c r="F6763" s="16">
        <f>base!W6763</f>
        <v>58.97</v>
      </c>
      <c r="G6763" s="11">
        <f t="shared" si="1050"/>
        <v>0.22001268514718503</v>
      </c>
      <c r="H6763" s="11">
        <f t="shared" si="1051"/>
        <v>91.130200000000002</v>
      </c>
      <c r="I6763" s="11">
        <f t="shared" si="1052"/>
        <v>0.34</v>
      </c>
      <c r="J6763" s="12">
        <f t="shared" si="1053"/>
        <v>-32.160200000000003</v>
      </c>
      <c r="K6763" s="17" t="str">
        <f t="shared" si="1058"/>
        <v>Ecart négatif</v>
      </c>
      <c r="L6763" s="16">
        <f>base!X6763</f>
        <v>0</v>
      </c>
      <c r="M6763" s="11">
        <f t="shared" si="1054"/>
        <v>0</v>
      </c>
      <c r="N6763" s="11">
        <f t="shared" si="1055"/>
        <v>75.048400000000001</v>
      </c>
      <c r="O6763" s="11">
        <f t="shared" si="1056"/>
        <v>0.28000000000000003</v>
      </c>
      <c r="P6763" s="12">
        <f t="shared" si="1057"/>
        <v>-75.048400000000001</v>
      </c>
      <c r="Q6763" s="17" t="str">
        <f t="shared" si="1059"/>
        <v>Ecart négatif</v>
      </c>
    </row>
    <row r="6764" spans="1:18" x14ac:dyDescent="0.3">
      <c r="A6764" s="34" t="str">
        <f>base!J6764</f>
        <v>LS</v>
      </c>
      <c r="B6764" s="34" t="str">
        <f>base!V6764</f>
        <v>75847</v>
      </c>
      <c r="C6764" s="37">
        <v>75</v>
      </c>
      <c r="D6764" s="36">
        <f>base!H6764</f>
        <v>40</v>
      </c>
      <c r="E6764" s="44"/>
      <c r="F6764" s="16">
        <f>base!W6764</f>
        <v>0</v>
      </c>
      <c r="G6764" s="11">
        <f t="shared" si="1050"/>
        <v>0</v>
      </c>
      <c r="H6764" s="11">
        <f t="shared" si="1051"/>
        <v>0</v>
      </c>
      <c r="I6764" s="11">
        <f t="shared" si="1052"/>
        <v>0</v>
      </c>
      <c r="J6764" s="12">
        <f t="shared" si="1053"/>
        <v>0</v>
      </c>
      <c r="K6764" s="17" t="str">
        <f t="shared" si="1058"/>
        <v>Pas d'écart</v>
      </c>
      <c r="L6764" s="16">
        <f>base!X6764</f>
        <v>0</v>
      </c>
      <c r="M6764" s="11">
        <f t="shared" si="1054"/>
        <v>0</v>
      </c>
      <c r="N6764" s="11">
        <f t="shared" si="1055"/>
        <v>0</v>
      </c>
      <c r="O6764" s="11">
        <f t="shared" si="1056"/>
        <v>0</v>
      </c>
      <c r="P6764" s="12">
        <f t="shared" si="1057"/>
        <v>0</v>
      </c>
      <c r="Q6764" s="17" t="str">
        <f t="shared" si="1059"/>
        <v>Pas d'écart</v>
      </c>
    </row>
    <row r="6765" spans="1:18" x14ac:dyDescent="0.3">
      <c r="A6765" s="34" t="str">
        <f>base!J6765</f>
        <v>LS</v>
      </c>
      <c r="B6765" s="34" t="str">
        <f>base!V6765</f>
        <v>35520</v>
      </c>
      <c r="C6765" s="37">
        <v>66</v>
      </c>
      <c r="D6765" s="36">
        <f>base!H6765</f>
        <v>0.6</v>
      </c>
      <c r="E6765" s="44"/>
      <c r="F6765" s="16">
        <f>base!W6765</f>
        <v>0.65</v>
      </c>
      <c r="G6765" s="11">
        <f t="shared" si="1050"/>
        <v>1.0833333333333335</v>
      </c>
      <c r="H6765" s="11">
        <f t="shared" si="1051"/>
        <v>0.20400000000000001</v>
      </c>
      <c r="I6765" s="11">
        <f t="shared" si="1052"/>
        <v>0.34</v>
      </c>
      <c r="J6765" s="12">
        <f t="shared" si="1053"/>
        <v>0.44600000000000001</v>
      </c>
      <c r="K6765" s="17" t="str">
        <f t="shared" si="1058"/>
        <v>Ecart positif</v>
      </c>
      <c r="L6765" s="16">
        <f>base!X6765</f>
        <v>0</v>
      </c>
      <c r="M6765" s="11">
        <f t="shared" si="1054"/>
        <v>0</v>
      </c>
      <c r="N6765" s="11">
        <f t="shared" si="1055"/>
        <v>0.16800000000000001</v>
      </c>
      <c r="O6765" s="11">
        <f t="shared" si="1056"/>
        <v>0.28000000000000003</v>
      </c>
      <c r="P6765" s="12">
        <f t="shared" si="1057"/>
        <v>-0.16800000000000001</v>
      </c>
      <c r="Q6765" s="17" t="str">
        <f t="shared" si="1059"/>
        <v>Ecart négatif</v>
      </c>
    </row>
    <row r="6766" spans="1:18" x14ac:dyDescent="0.3">
      <c r="A6766" s="34" t="str">
        <f>base!J6766</f>
        <v>LS</v>
      </c>
      <c r="B6766" s="34" t="str">
        <f>base!V6766</f>
        <v>44690</v>
      </c>
      <c r="C6766" s="37">
        <v>29</v>
      </c>
      <c r="D6766" s="36">
        <f>base!H6766</f>
        <v>102.68</v>
      </c>
      <c r="E6766" s="44"/>
      <c r="F6766" s="16">
        <f>base!W6766</f>
        <v>27.72</v>
      </c>
      <c r="G6766" s="11">
        <f t="shared" si="1050"/>
        <v>0.26996493961823137</v>
      </c>
      <c r="H6766" s="11">
        <f t="shared" si="1051"/>
        <v>40.045200000000001</v>
      </c>
      <c r="I6766" s="11">
        <f t="shared" si="1052"/>
        <v>0.39</v>
      </c>
      <c r="J6766" s="12">
        <f t="shared" si="1053"/>
        <v>-12.325200000000002</v>
      </c>
      <c r="K6766" s="17" t="str">
        <f t="shared" si="1058"/>
        <v>Ecart négatif</v>
      </c>
      <c r="L6766" s="16">
        <f>base!X6766</f>
        <v>0</v>
      </c>
      <c r="M6766" s="11">
        <f t="shared" si="1054"/>
        <v>0</v>
      </c>
      <c r="N6766" s="11">
        <f t="shared" si="1055"/>
        <v>12.3216</v>
      </c>
      <c r="O6766" s="11">
        <f t="shared" si="1056"/>
        <v>0.12</v>
      </c>
      <c r="P6766" s="12">
        <f t="shared" si="1057"/>
        <v>-12.3216</v>
      </c>
      <c r="Q6766" s="17" t="str">
        <f t="shared" si="1059"/>
        <v>Ecart négatif</v>
      </c>
    </row>
    <row r="6767" spans="1:18" x14ac:dyDescent="0.3">
      <c r="A6767" s="34">
        <f>base!J6767</f>
        <v>0</v>
      </c>
      <c r="B6767" s="34" t="str">
        <f>base!V6767</f>
        <v>77184</v>
      </c>
      <c r="C6767" s="37">
        <v>77</v>
      </c>
      <c r="D6767" s="36">
        <f>base!H6767</f>
        <v>40.6</v>
      </c>
      <c r="E6767" s="44"/>
      <c r="F6767" s="16">
        <f>base!W6767</f>
        <v>0</v>
      </c>
      <c r="G6767" s="11">
        <f t="shared" si="1050"/>
        <v>0</v>
      </c>
      <c r="H6767" s="11">
        <f t="shared" si="1051"/>
        <v>0</v>
      </c>
      <c r="I6767" s="11">
        <f t="shared" si="1052"/>
        <v>0</v>
      </c>
      <c r="J6767" s="12">
        <f t="shared" si="1053"/>
        <v>0</v>
      </c>
      <c r="K6767" s="17" t="str">
        <f t="shared" si="1058"/>
        <v>Pas d'écart</v>
      </c>
      <c r="L6767" s="16">
        <f>base!X6767</f>
        <v>0</v>
      </c>
      <c r="M6767" s="11">
        <f t="shared" si="1054"/>
        <v>0</v>
      </c>
      <c r="N6767" s="11">
        <f t="shared" si="1055"/>
        <v>0</v>
      </c>
      <c r="O6767" s="11">
        <f t="shared" si="1056"/>
        <v>0</v>
      </c>
      <c r="P6767" s="12">
        <f t="shared" si="1057"/>
        <v>0</v>
      </c>
      <c r="Q6767" s="17" t="str">
        <f t="shared" si="1059"/>
        <v>Pas d'écart</v>
      </c>
    </row>
    <row r="6768" spans="1:18" x14ac:dyDescent="0.3">
      <c r="A6768" s="34" t="str">
        <f>base!J6768</f>
        <v>LS</v>
      </c>
      <c r="B6768" s="34" t="str">
        <f>base!V6768</f>
        <v>54000</v>
      </c>
      <c r="C6768" s="37">
        <v>57</v>
      </c>
      <c r="D6768" s="36">
        <f>base!H6768</f>
        <v>120.65</v>
      </c>
      <c r="E6768" s="44"/>
      <c r="F6768" s="16">
        <f>base!W6768</f>
        <v>30.16</v>
      </c>
      <c r="G6768" s="11">
        <f t="shared" si="1050"/>
        <v>0.24997927890592622</v>
      </c>
      <c r="H6768" s="11">
        <f t="shared" si="1051"/>
        <v>28.956</v>
      </c>
      <c r="I6768" s="11">
        <f t="shared" si="1052"/>
        <v>0.24</v>
      </c>
      <c r="J6768" s="12">
        <f t="shared" si="1053"/>
        <v>1.2040000000000006</v>
      </c>
      <c r="K6768" s="17" t="str">
        <f t="shared" si="1058"/>
        <v>Ecart positif</v>
      </c>
      <c r="L6768" s="16">
        <f>base!X6768</f>
        <v>0</v>
      </c>
      <c r="M6768" s="11">
        <f t="shared" si="1054"/>
        <v>0</v>
      </c>
      <c r="N6768" s="11">
        <f t="shared" si="1055"/>
        <v>30.162500000000001</v>
      </c>
      <c r="O6768" s="11">
        <f t="shared" si="1056"/>
        <v>0.25</v>
      </c>
      <c r="P6768" s="12">
        <f t="shared" si="1057"/>
        <v>-30.162500000000001</v>
      </c>
      <c r="Q6768" s="17" t="str">
        <f t="shared" si="1059"/>
        <v>Ecart négatif</v>
      </c>
    </row>
    <row r="6769" spans="1:18" x14ac:dyDescent="0.3">
      <c r="A6769" s="34" t="str">
        <f>base!J6769</f>
        <v>LS</v>
      </c>
      <c r="B6769" s="34" t="str">
        <f>base!V6769</f>
        <v>35000</v>
      </c>
      <c r="C6769" s="37">
        <v>29</v>
      </c>
      <c r="D6769" s="36">
        <f>base!H6769</f>
        <v>0.55000000000000004</v>
      </c>
      <c r="E6769" s="44"/>
      <c r="F6769" s="16">
        <f>base!W6769</f>
        <v>0.15</v>
      </c>
      <c r="G6769" s="11">
        <f t="shared" si="1050"/>
        <v>0.27272727272727271</v>
      </c>
      <c r="H6769" s="11">
        <f t="shared" si="1051"/>
        <v>0.21450000000000002</v>
      </c>
      <c r="I6769" s="11">
        <f t="shared" si="1052"/>
        <v>0.39</v>
      </c>
      <c r="J6769" s="12">
        <f t="shared" si="1053"/>
        <v>-6.450000000000003E-2</v>
      </c>
      <c r="K6769" s="17" t="str">
        <f t="shared" si="1058"/>
        <v>Ecart négatif</v>
      </c>
      <c r="L6769" s="16">
        <f>base!X6769</f>
        <v>0</v>
      </c>
      <c r="M6769" s="11">
        <f t="shared" si="1054"/>
        <v>0</v>
      </c>
      <c r="N6769" s="11">
        <f t="shared" si="1055"/>
        <v>6.6000000000000003E-2</v>
      </c>
      <c r="O6769" s="11">
        <f t="shared" si="1056"/>
        <v>0.12</v>
      </c>
      <c r="P6769" s="12">
        <f t="shared" si="1057"/>
        <v>-6.6000000000000003E-2</v>
      </c>
      <c r="Q6769" s="17" t="str">
        <f t="shared" si="1059"/>
        <v>Ecart négatif</v>
      </c>
    </row>
    <row r="6770" spans="1:18" x14ac:dyDescent="0.3">
      <c r="A6770" s="34" t="str">
        <f>base!J6770</f>
        <v>LS</v>
      </c>
      <c r="B6770" s="34" t="str">
        <f>base!V6770</f>
        <v>44980</v>
      </c>
      <c r="C6770" s="37">
        <v>22</v>
      </c>
      <c r="D6770" s="36">
        <f>base!H6770</f>
        <v>137.22999999999999</v>
      </c>
      <c r="E6770" s="44"/>
      <c r="F6770" s="16">
        <f>base!W6770</f>
        <v>37.049999999999997</v>
      </c>
      <c r="G6770" s="11">
        <f t="shared" si="1050"/>
        <v>0.26998469722363916</v>
      </c>
      <c r="H6770" s="11">
        <f t="shared" si="1051"/>
        <v>52.147399999999998</v>
      </c>
      <c r="I6770" s="11">
        <f t="shared" si="1052"/>
        <v>0.38</v>
      </c>
      <c r="J6770" s="12">
        <f t="shared" si="1053"/>
        <v>-15.0974</v>
      </c>
      <c r="K6770" s="17" t="str">
        <f t="shared" si="1058"/>
        <v>Ecart négatif</v>
      </c>
      <c r="L6770" s="16">
        <f>base!X6770</f>
        <v>0</v>
      </c>
      <c r="M6770" s="11">
        <f t="shared" si="1054"/>
        <v>0</v>
      </c>
      <c r="N6770" s="11">
        <f t="shared" si="1055"/>
        <v>16.467599999999997</v>
      </c>
      <c r="O6770" s="11">
        <f t="shared" si="1056"/>
        <v>0.12</v>
      </c>
      <c r="P6770" s="12">
        <f t="shared" si="1057"/>
        <v>-16.467599999999997</v>
      </c>
      <c r="Q6770" s="17" t="str">
        <f t="shared" si="1059"/>
        <v>Ecart négatif</v>
      </c>
    </row>
    <row r="6771" spans="1:18" x14ac:dyDescent="0.3">
      <c r="A6771" s="34" t="str">
        <f>base!J6771</f>
        <v>LM</v>
      </c>
      <c r="B6771" s="34" t="str">
        <f>base!V6771</f>
        <v>35000</v>
      </c>
      <c r="C6771" s="37">
        <v>30</v>
      </c>
      <c r="D6771" s="36">
        <f>base!H6771</f>
        <v>127.59</v>
      </c>
      <c r="E6771" s="44"/>
      <c r="F6771" s="16">
        <f>base!W6771</f>
        <v>34.450000000000003</v>
      </c>
      <c r="G6771" s="11">
        <f t="shared" si="1050"/>
        <v>0.27000548632337962</v>
      </c>
      <c r="H6771" s="11">
        <f t="shared" si="1051"/>
        <v>49.760100000000001</v>
      </c>
      <c r="I6771" s="11">
        <f t="shared" si="1052"/>
        <v>0.39</v>
      </c>
      <c r="J6771" s="12">
        <f t="shared" si="1053"/>
        <v>-15.310099999999998</v>
      </c>
      <c r="K6771" s="17" t="str">
        <f t="shared" si="1058"/>
        <v>Ecart négatif</v>
      </c>
      <c r="L6771" s="16">
        <f>base!X6771</f>
        <v>0</v>
      </c>
      <c r="M6771" s="11">
        <f t="shared" si="1054"/>
        <v>0</v>
      </c>
      <c r="N6771" s="11">
        <f t="shared" si="1055"/>
        <v>35.725200000000001</v>
      </c>
      <c r="O6771" s="11">
        <f t="shared" si="1056"/>
        <v>0.28000000000000003</v>
      </c>
      <c r="P6771" s="12">
        <f t="shared" si="1057"/>
        <v>-35.725200000000001</v>
      </c>
      <c r="Q6771" s="17" t="str">
        <f t="shared" si="1059"/>
        <v>Ecart négatif</v>
      </c>
    </row>
    <row r="6772" spans="1:18" x14ac:dyDescent="0.3">
      <c r="A6772" s="34" t="str">
        <f>base!J6772</f>
        <v>LM</v>
      </c>
      <c r="B6772" s="34" t="str">
        <f>base!V6772</f>
        <v>62380</v>
      </c>
      <c r="C6772" s="37">
        <v>30</v>
      </c>
      <c r="D6772" s="36">
        <f>base!H6772</f>
        <v>19.8</v>
      </c>
      <c r="E6772" s="44"/>
      <c r="F6772" s="16">
        <f>base!W6772</f>
        <v>3.76</v>
      </c>
      <c r="G6772" s="11">
        <f t="shared" si="1050"/>
        <v>0.18989898989898987</v>
      </c>
      <c r="H6772" s="11">
        <f t="shared" si="1051"/>
        <v>7.7220000000000004</v>
      </c>
      <c r="I6772" s="11">
        <f t="shared" si="1052"/>
        <v>0.39</v>
      </c>
      <c r="J6772" s="12">
        <f t="shared" si="1053"/>
        <v>-3.9620000000000006</v>
      </c>
      <c r="K6772" s="17" t="str">
        <f t="shared" si="1058"/>
        <v>Ecart négatif</v>
      </c>
      <c r="L6772" s="16">
        <f>base!X6772</f>
        <v>0</v>
      </c>
      <c r="M6772" s="11">
        <f t="shared" si="1054"/>
        <v>0</v>
      </c>
      <c r="N6772" s="11">
        <f t="shared" si="1055"/>
        <v>5.5440000000000005</v>
      </c>
      <c r="O6772" s="11">
        <f t="shared" si="1056"/>
        <v>0.28000000000000003</v>
      </c>
      <c r="P6772" s="12">
        <f t="shared" si="1057"/>
        <v>-5.5440000000000005</v>
      </c>
      <c r="Q6772" s="17" t="str">
        <f t="shared" si="1059"/>
        <v>Ecart négatif</v>
      </c>
    </row>
    <row r="6773" spans="1:18" x14ac:dyDescent="0.3">
      <c r="A6773" s="34" t="str">
        <f>base!J6773</f>
        <v>LS</v>
      </c>
      <c r="B6773" s="34" t="str">
        <f>base!V6773</f>
        <v>67100</v>
      </c>
      <c r="C6773" s="37">
        <v>29</v>
      </c>
      <c r="D6773" s="36">
        <f>base!H6773</f>
        <v>19.8</v>
      </c>
      <c r="E6773" s="44"/>
      <c r="F6773" s="16">
        <f>base!W6773</f>
        <v>5.74</v>
      </c>
      <c r="G6773" s="11">
        <f t="shared" si="1050"/>
        <v>0.28989898989898988</v>
      </c>
      <c r="H6773" s="11">
        <f t="shared" si="1051"/>
        <v>7.7220000000000004</v>
      </c>
      <c r="I6773" s="11">
        <f t="shared" si="1052"/>
        <v>0.39</v>
      </c>
      <c r="J6773" s="12">
        <f t="shared" si="1053"/>
        <v>-1.9820000000000002</v>
      </c>
      <c r="K6773" s="17" t="str">
        <f t="shared" si="1058"/>
        <v>Ecart négatif</v>
      </c>
      <c r="L6773" s="16">
        <f>base!X6773</f>
        <v>0</v>
      </c>
      <c r="M6773" s="11">
        <f t="shared" si="1054"/>
        <v>0</v>
      </c>
      <c r="N6773" s="11">
        <f t="shared" si="1055"/>
        <v>2.3759999999999999</v>
      </c>
      <c r="O6773" s="11">
        <f t="shared" si="1056"/>
        <v>0.12</v>
      </c>
      <c r="P6773" s="12">
        <f t="shared" si="1057"/>
        <v>-2.3759999999999999</v>
      </c>
      <c r="Q6773" s="17" t="str">
        <f t="shared" si="1059"/>
        <v>Ecart négatif</v>
      </c>
    </row>
    <row r="6774" spans="1:18" x14ac:dyDescent="0.3">
      <c r="A6774" s="34" t="str">
        <f>base!J6774</f>
        <v>RM</v>
      </c>
      <c r="B6774" s="34" t="str">
        <f>base!V6774</f>
        <v>13200</v>
      </c>
      <c r="C6774" s="37">
        <v>13</v>
      </c>
      <c r="D6774" s="36">
        <f>base!H6774</f>
        <v>70</v>
      </c>
      <c r="E6774" s="44"/>
      <c r="F6774" s="16">
        <f>base!W6774</f>
        <v>0</v>
      </c>
      <c r="G6774" s="11">
        <f t="shared" si="1050"/>
        <v>0</v>
      </c>
      <c r="H6774" s="11">
        <f t="shared" si="1051"/>
        <v>20.299999999999997</v>
      </c>
      <c r="I6774" s="11">
        <f t="shared" si="1052"/>
        <v>0.28999999999999998</v>
      </c>
      <c r="J6774" s="12">
        <f t="shared" si="1053"/>
        <v>-20.299999999999997</v>
      </c>
      <c r="K6774" s="17" t="str">
        <f t="shared" si="1058"/>
        <v>Ecart négatif</v>
      </c>
      <c r="L6774" s="16">
        <f>base!X6774</f>
        <v>0</v>
      </c>
      <c r="M6774" s="11">
        <f t="shared" si="1054"/>
        <v>0</v>
      </c>
      <c r="N6774" s="11">
        <f t="shared" si="1055"/>
        <v>13.3</v>
      </c>
      <c r="O6774" s="11">
        <f t="shared" si="1056"/>
        <v>0.19</v>
      </c>
      <c r="P6774" s="12">
        <f t="shared" si="1057"/>
        <v>-13.3</v>
      </c>
      <c r="Q6774" s="17" t="str">
        <f t="shared" si="1059"/>
        <v>Ecart négatif</v>
      </c>
    </row>
    <row r="6775" spans="1:18" x14ac:dyDescent="0.3">
      <c r="A6775" s="34" t="str">
        <f>base!J6775</f>
        <v>LS</v>
      </c>
      <c r="B6775" s="34" t="str">
        <f>base!V6775</f>
        <v>38000</v>
      </c>
      <c r="C6775" s="37">
        <v>34</v>
      </c>
      <c r="D6775" s="36">
        <f>base!H6775</f>
        <v>201</v>
      </c>
      <c r="E6775" s="44"/>
      <c r="F6775" s="16">
        <f>base!W6775</f>
        <v>54.27</v>
      </c>
      <c r="G6775" s="11">
        <f t="shared" si="1050"/>
        <v>0.27</v>
      </c>
      <c r="H6775" s="11">
        <f t="shared" si="1051"/>
        <v>78.39</v>
      </c>
      <c r="I6775" s="11">
        <f t="shared" si="1052"/>
        <v>0.39</v>
      </c>
      <c r="J6775" s="12">
        <f t="shared" si="1053"/>
        <v>-24.119999999999997</v>
      </c>
      <c r="K6775" s="17" t="str">
        <f t="shared" si="1058"/>
        <v>Ecart négatif</v>
      </c>
      <c r="L6775" s="16">
        <f>base!X6775</f>
        <v>0</v>
      </c>
      <c r="M6775" s="11">
        <f t="shared" si="1054"/>
        <v>0</v>
      </c>
      <c r="N6775" s="11">
        <f t="shared" si="1055"/>
        <v>56.280000000000008</v>
      </c>
      <c r="O6775" s="11">
        <f t="shared" si="1056"/>
        <v>0.28000000000000003</v>
      </c>
      <c r="P6775" s="12">
        <f t="shared" si="1057"/>
        <v>-56.280000000000008</v>
      </c>
      <c r="Q6775" s="17" t="str">
        <f t="shared" si="1059"/>
        <v>Ecart négatif</v>
      </c>
    </row>
    <row r="6776" spans="1:18" x14ac:dyDescent="0.3">
      <c r="A6776" s="34" t="str">
        <f>base!J6776</f>
        <v>RS</v>
      </c>
      <c r="B6776" s="34" t="str">
        <f>base!V6776</f>
        <v>13270</v>
      </c>
      <c r="C6776" s="37">
        <v>13</v>
      </c>
      <c r="D6776" s="36">
        <f>base!H6776</f>
        <v>70</v>
      </c>
      <c r="E6776" s="44"/>
      <c r="F6776" s="16">
        <f>base!W6776</f>
        <v>0</v>
      </c>
      <c r="G6776" s="11">
        <f t="shared" si="1050"/>
        <v>0</v>
      </c>
      <c r="H6776" s="11">
        <f t="shared" si="1051"/>
        <v>20.299999999999997</v>
      </c>
      <c r="I6776" s="11">
        <f t="shared" si="1052"/>
        <v>0.28999999999999998</v>
      </c>
      <c r="J6776" s="12">
        <f t="shared" si="1053"/>
        <v>-20.299999999999997</v>
      </c>
      <c r="K6776" s="17" t="str">
        <f t="shared" si="1058"/>
        <v>Ecart négatif</v>
      </c>
      <c r="L6776" s="16">
        <f>base!X6776</f>
        <v>0</v>
      </c>
      <c r="M6776" s="11">
        <f t="shared" si="1054"/>
        <v>0</v>
      </c>
      <c r="N6776" s="11">
        <f t="shared" si="1055"/>
        <v>13.3</v>
      </c>
      <c r="O6776" s="11">
        <f t="shared" si="1056"/>
        <v>0.19</v>
      </c>
      <c r="P6776" s="12">
        <f t="shared" si="1057"/>
        <v>-13.3</v>
      </c>
      <c r="Q6776" s="17" t="str">
        <f t="shared" si="1059"/>
        <v>Ecart négatif</v>
      </c>
    </row>
    <row r="6777" spans="1:18" x14ac:dyDescent="0.3">
      <c r="A6777" s="34" t="str">
        <f>base!J6777</f>
        <v>RM</v>
      </c>
      <c r="B6777" s="34" t="str">
        <f>base!V6777</f>
        <v>73000</v>
      </c>
      <c r="C6777" s="37">
        <v>73</v>
      </c>
      <c r="D6777" s="36">
        <f>base!H6777</f>
        <v>180</v>
      </c>
      <c r="E6777" s="44"/>
      <c r="F6777" s="16">
        <f>base!W6777</f>
        <v>0</v>
      </c>
      <c r="G6777" s="11">
        <f t="shared" si="1050"/>
        <v>0</v>
      </c>
      <c r="H6777" s="11">
        <f t="shared" si="1051"/>
        <v>48.6</v>
      </c>
      <c r="I6777" s="11">
        <f t="shared" si="1052"/>
        <v>0.27</v>
      </c>
      <c r="J6777" s="12">
        <f t="shared" si="1053"/>
        <v>-48.6</v>
      </c>
      <c r="K6777" s="17" t="str">
        <f t="shared" si="1058"/>
        <v>Ecart négatif</v>
      </c>
      <c r="L6777" s="16">
        <f>base!X6777</f>
        <v>0</v>
      </c>
      <c r="M6777" s="11">
        <f t="shared" si="1054"/>
        <v>0</v>
      </c>
      <c r="N6777" s="11">
        <f t="shared" si="1055"/>
        <v>0</v>
      </c>
      <c r="O6777" s="11">
        <f t="shared" si="1056"/>
        <v>0</v>
      </c>
      <c r="P6777" s="12">
        <f t="shared" si="1057"/>
        <v>0</v>
      </c>
      <c r="Q6777" s="17" t="str">
        <f t="shared" si="1059"/>
        <v>Pas d'écart</v>
      </c>
    </row>
    <row r="6778" spans="1:18" x14ac:dyDescent="0.3">
      <c r="A6778" s="34" t="str">
        <f>base!J6778</f>
        <v>LS</v>
      </c>
      <c r="B6778" s="34" t="str">
        <f>base!V6778</f>
        <v>50370</v>
      </c>
      <c r="C6778" s="37">
        <v>29</v>
      </c>
      <c r="D6778" s="36">
        <f>base!H6778</f>
        <v>144.26</v>
      </c>
      <c r="E6778" s="44"/>
      <c r="F6778" s="16">
        <f>base!W6778</f>
        <v>24.52</v>
      </c>
      <c r="G6778" s="11">
        <f t="shared" si="1050"/>
        <v>0.1699708859004575</v>
      </c>
      <c r="H6778" s="11">
        <f t="shared" si="1051"/>
        <v>56.261400000000002</v>
      </c>
      <c r="I6778" s="11">
        <f t="shared" si="1052"/>
        <v>0.39</v>
      </c>
      <c r="J6778" s="12">
        <f t="shared" si="1053"/>
        <v>-31.741400000000002</v>
      </c>
      <c r="K6778" s="17" t="str">
        <f t="shared" si="1058"/>
        <v>Ecart négatif</v>
      </c>
      <c r="L6778" s="16">
        <f>base!X6778</f>
        <v>0</v>
      </c>
      <c r="M6778" s="11">
        <f t="shared" si="1054"/>
        <v>0</v>
      </c>
      <c r="N6778" s="11">
        <f t="shared" si="1055"/>
        <v>17.311199999999999</v>
      </c>
      <c r="O6778" s="11">
        <f t="shared" si="1056"/>
        <v>0.12000000000000001</v>
      </c>
      <c r="P6778" s="12">
        <f t="shared" si="1057"/>
        <v>-17.311199999999999</v>
      </c>
      <c r="Q6778" s="17" t="str">
        <f t="shared" si="1059"/>
        <v>Ecart négatif</v>
      </c>
    </row>
    <row r="6779" spans="1:18" x14ac:dyDescent="0.3">
      <c r="A6779" s="34" t="str">
        <f>base!J6779</f>
        <v>RM</v>
      </c>
      <c r="B6779" s="34" t="str">
        <f>base!V6779</f>
        <v>76700</v>
      </c>
      <c r="C6779" s="37">
        <v>76</v>
      </c>
      <c r="D6779" s="36">
        <f>base!H6779</f>
        <v>151</v>
      </c>
      <c r="E6779" s="44"/>
      <c r="F6779" s="16">
        <f>base!W6779</f>
        <v>0</v>
      </c>
      <c r="G6779" s="11">
        <f t="shared" si="1050"/>
        <v>0</v>
      </c>
      <c r="H6779" s="11">
        <f t="shared" si="1051"/>
        <v>25.67</v>
      </c>
      <c r="I6779" s="11">
        <f t="shared" si="1052"/>
        <v>0.17</v>
      </c>
      <c r="J6779" s="12">
        <f t="shared" si="1053"/>
        <v>-25.67</v>
      </c>
      <c r="K6779" s="17" t="str">
        <f t="shared" si="1058"/>
        <v>Ecart négatif</v>
      </c>
      <c r="L6779" s="16">
        <f>base!X6779</f>
        <v>25.67</v>
      </c>
      <c r="M6779" s="11">
        <f t="shared" si="1054"/>
        <v>0.17</v>
      </c>
      <c r="N6779" s="11">
        <f t="shared" si="1055"/>
        <v>25.67</v>
      </c>
      <c r="O6779" s="11">
        <f t="shared" si="1056"/>
        <v>0.17</v>
      </c>
      <c r="P6779" s="12">
        <f t="shared" si="1057"/>
        <v>0</v>
      </c>
      <c r="Q6779" s="17" t="str">
        <f t="shared" si="1059"/>
        <v>Pas d'écart</v>
      </c>
      <c r="R6779" s="38"/>
    </row>
    <row r="6780" spans="1:18" x14ac:dyDescent="0.3">
      <c r="A6780" s="34" t="str">
        <f>base!J6780</f>
        <v>RM</v>
      </c>
      <c r="B6780" s="34" t="str">
        <f>base!V6780</f>
        <v>59000</v>
      </c>
      <c r="C6780" s="37">
        <v>59</v>
      </c>
      <c r="D6780" s="36">
        <f>base!H6780</f>
        <v>164.05</v>
      </c>
      <c r="E6780" s="44"/>
      <c r="F6780" s="16">
        <f>base!W6780</f>
        <v>0</v>
      </c>
      <c r="G6780" s="11">
        <f t="shared" si="1050"/>
        <v>0</v>
      </c>
      <c r="H6780" s="11">
        <f t="shared" si="1051"/>
        <v>31.169500000000003</v>
      </c>
      <c r="I6780" s="11">
        <f t="shared" si="1052"/>
        <v>0.19</v>
      </c>
      <c r="J6780" s="12">
        <f t="shared" si="1053"/>
        <v>-31.169500000000003</v>
      </c>
      <c r="K6780" s="17" t="str">
        <f t="shared" si="1058"/>
        <v>Ecart négatif</v>
      </c>
      <c r="L6780" s="16">
        <f>base!X6780</f>
        <v>0</v>
      </c>
      <c r="M6780" s="11">
        <f t="shared" si="1054"/>
        <v>0</v>
      </c>
      <c r="N6780" s="11">
        <f t="shared" si="1055"/>
        <v>0</v>
      </c>
      <c r="O6780" s="11">
        <f t="shared" si="1056"/>
        <v>0</v>
      </c>
      <c r="P6780" s="12">
        <f t="shared" si="1057"/>
        <v>0</v>
      </c>
      <c r="Q6780" s="17" t="str">
        <f t="shared" si="1059"/>
        <v>Pas d'écart</v>
      </c>
    </row>
    <row r="6781" spans="1:18" x14ac:dyDescent="0.3">
      <c r="A6781" s="34">
        <f>base!J6781</f>
        <v>0</v>
      </c>
      <c r="B6781" s="34" t="str">
        <f>base!V6781</f>
        <v>77184</v>
      </c>
      <c r="C6781" s="37">
        <v>77</v>
      </c>
      <c r="D6781" s="36">
        <f>base!H6781</f>
        <v>164</v>
      </c>
      <c r="E6781" s="44"/>
      <c r="F6781" s="16">
        <f>base!W6781</f>
        <v>0</v>
      </c>
      <c r="G6781" s="11">
        <f t="shared" si="1050"/>
        <v>0</v>
      </c>
      <c r="H6781" s="11">
        <f t="shared" si="1051"/>
        <v>0</v>
      </c>
      <c r="I6781" s="11">
        <f t="shared" si="1052"/>
        <v>0</v>
      </c>
      <c r="J6781" s="12">
        <f t="shared" si="1053"/>
        <v>0</v>
      </c>
      <c r="K6781" s="17" t="str">
        <f t="shared" si="1058"/>
        <v>Pas d'écart</v>
      </c>
      <c r="L6781" s="16">
        <f>base!X6781</f>
        <v>0</v>
      </c>
      <c r="M6781" s="11">
        <f t="shared" si="1054"/>
        <v>0</v>
      </c>
      <c r="N6781" s="11">
        <f t="shared" si="1055"/>
        <v>0</v>
      </c>
      <c r="O6781" s="11">
        <f t="shared" si="1056"/>
        <v>0</v>
      </c>
      <c r="P6781" s="12">
        <f t="shared" si="1057"/>
        <v>0</v>
      </c>
      <c r="Q6781" s="17" t="str">
        <f t="shared" si="1059"/>
        <v>Pas d'écart</v>
      </c>
    </row>
    <row r="6782" spans="1:18" x14ac:dyDescent="0.3">
      <c r="A6782" s="34" t="str">
        <f>base!J6782</f>
        <v>LS</v>
      </c>
      <c r="B6782" s="34" t="str">
        <f>base!V6782</f>
        <v>80000</v>
      </c>
      <c r="C6782" s="37">
        <v>80</v>
      </c>
      <c r="D6782" s="36">
        <f>base!H6782</f>
        <v>40</v>
      </c>
      <c r="E6782" s="44"/>
      <c r="F6782" s="16">
        <f>base!W6782</f>
        <v>7.6</v>
      </c>
      <c r="G6782" s="11">
        <f t="shared" si="1050"/>
        <v>0.19</v>
      </c>
      <c r="H6782" s="11">
        <f t="shared" si="1051"/>
        <v>7.6</v>
      </c>
      <c r="I6782" s="11">
        <f t="shared" si="1052"/>
        <v>0.19</v>
      </c>
      <c r="J6782" s="12">
        <f t="shared" si="1053"/>
        <v>0</v>
      </c>
      <c r="K6782" s="17" t="str">
        <f t="shared" si="1058"/>
        <v>Pas d'écart</v>
      </c>
      <c r="L6782" s="16">
        <f>base!X6782</f>
        <v>0</v>
      </c>
      <c r="M6782" s="11">
        <f t="shared" si="1054"/>
        <v>0</v>
      </c>
      <c r="N6782" s="11">
        <f t="shared" si="1055"/>
        <v>0</v>
      </c>
      <c r="O6782" s="11">
        <f t="shared" si="1056"/>
        <v>0</v>
      </c>
      <c r="P6782" s="12">
        <f t="shared" si="1057"/>
        <v>0</v>
      </c>
      <c r="Q6782" s="17" t="str">
        <f t="shared" si="1059"/>
        <v>Pas d'écart</v>
      </c>
    </row>
    <row r="6783" spans="1:18" x14ac:dyDescent="0.3">
      <c r="A6783" s="34" t="str">
        <f>base!J6783</f>
        <v>LM</v>
      </c>
      <c r="B6783" s="34" t="str">
        <f>base!V6783</f>
        <v>13100</v>
      </c>
      <c r="C6783" s="37">
        <v>30</v>
      </c>
      <c r="D6783" s="36">
        <f>base!H6783</f>
        <v>33.35</v>
      </c>
      <c r="E6783" s="44"/>
      <c r="F6783" s="16">
        <f>base!W6783</f>
        <v>9.67</v>
      </c>
      <c r="G6783" s="11">
        <f t="shared" si="1050"/>
        <v>0.2899550224887556</v>
      </c>
      <c r="H6783" s="11">
        <f t="shared" si="1051"/>
        <v>13.006500000000001</v>
      </c>
      <c r="I6783" s="11">
        <f t="shared" si="1052"/>
        <v>0.39</v>
      </c>
      <c r="J6783" s="12">
        <f t="shared" si="1053"/>
        <v>-3.3365000000000009</v>
      </c>
      <c r="K6783" s="17" t="str">
        <f t="shared" si="1058"/>
        <v>Ecart négatif</v>
      </c>
      <c r="L6783" s="16">
        <f>base!X6783</f>
        <v>0</v>
      </c>
      <c r="M6783" s="11">
        <f t="shared" si="1054"/>
        <v>0</v>
      </c>
      <c r="N6783" s="11">
        <f t="shared" si="1055"/>
        <v>9.338000000000001</v>
      </c>
      <c r="O6783" s="11">
        <f t="shared" si="1056"/>
        <v>0.28000000000000003</v>
      </c>
      <c r="P6783" s="12">
        <f t="shared" si="1057"/>
        <v>-9.338000000000001</v>
      </c>
      <c r="Q6783" s="17" t="str">
        <f t="shared" si="1059"/>
        <v>Ecart négatif</v>
      </c>
    </row>
    <row r="6784" spans="1:18" x14ac:dyDescent="0.3">
      <c r="A6784" s="34" t="str">
        <f>base!J6784</f>
        <v>LM</v>
      </c>
      <c r="B6784" s="34" t="str">
        <f>base!V6784</f>
        <v>69005</v>
      </c>
      <c r="C6784" s="37">
        <v>29</v>
      </c>
      <c r="D6784" s="36">
        <f>base!H6784</f>
        <v>138.16</v>
      </c>
      <c r="E6784" s="44"/>
      <c r="F6784" s="16">
        <f>base!W6784</f>
        <v>37.299999999999997</v>
      </c>
      <c r="G6784" s="11">
        <f t="shared" si="1050"/>
        <v>0.26997683844817599</v>
      </c>
      <c r="H6784" s="11">
        <f t="shared" si="1051"/>
        <v>53.882399999999997</v>
      </c>
      <c r="I6784" s="11">
        <f t="shared" si="1052"/>
        <v>0.39</v>
      </c>
      <c r="J6784" s="12">
        <f t="shared" si="1053"/>
        <v>-16.5824</v>
      </c>
      <c r="K6784" s="17" t="str">
        <f t="shared" si="1058"/>
        <v>Ecart négatif</v>
      </c>
      <c r="L6784" s="16">
        <f>base!X6784</f>
        <v>0</v>
      </c>
      <c r="M6784" s="11">
        <f t="shared" si="1054"/>
        <v>0</v>
      </c>
      <c r="N6784" s="11">
        <f t="shared" si="1055"/>
        <v>16.5792</v>
      </c>
      <c r="O6784" s="11">
        <f t="shared" si="1056"/>
        <v>0.12000000000000001</v>
      </c>
      <c r="P6784" s="12">
        <f t="shared" si="1057"/>
        <v>-16.5792</v>
      </c>
      <c r="Q6784" s="17" t="str">
        <f t="shared" si="1059"/>
        <v>Ecart négatif</v>
      </c>
    </row>
    <row r="6785" spans="1:18" x14ac:dyDescent="0.3">
      <c r="A6785" s="34" t="str">
        <f>base!J6785</f>
        <v>LS</v>
      </c>
      <c r="B6785" s="34" t="str">
        <f>base!V6785</f>
        <v>44300</v>
      </c>
      <c r="C6785" s="37">
        <v>44</v>
      </c>
      <c r="D6785" s="36">
        <f>base!H6785</f>
        <v>40</v>
      </c>
      <c r="E6785" s="44"/>
      <c r="F6785" s="16">
        <f>base!W6785</f>
        <v>10.8</v>
      </c>
      <c r="G6785" s="11">
        <f t="shared" si="1050"/>
        <v>0.27</v>
      </c>
      <c r="H6785" s="11">
        <f t="shared" si="1051"/>
        <v>10.8</v>
      </c>
      <c r="I6785" s="11">
        <f t="shared" si="1052"/>
        <v>0.27</v>
      </c>
      <c r="J6785" s="12">
        <f t="shared" si="1053"/>
        <v>0</v>
      </c>
      <c r="K6785" s="17" t="str">
        <f t="shared" si="1058"/>
        <v>Pas d'écart</v>
      </c>
      <c r="L6785" s="16">
        <f>base!X6785</f>
        <v>0</v>
      </c>
      <c r="M6785" s="11">
        <f t="shared" si="1054"/>
        <v>0</v>
      </c>
      <c r="N6785" s="11">
        <f t="shared" si="1055"/>
        <v>0</v>
      </c>
      <c r="O6785" s="11">
        <f t="shared" si="1056"/>
        <v>0</v>
      </c>
      <c r="P6785" s="12">
        <f t="shared" si="1057"/>
        <v>0</v>
      </c>
      <c r="Q6785" s="17" t="str">
        <f t="shared" si="1059"/>
        <v>Pas d'écart</v>
      </c>
    </row>
    <row r="6786" spans="1:18" x14ac:dyDescent="0.3">
      <c r="A6786" s="34" t="str">
        <f>base!J6786</f>
        <v>RS</v>
      </c>
      <c r="B6786" s="34" t="str">
        <f>base!V6786</f>
        <v>42000</v>
      </c>
      <c r="C6786" s="37">
        <v>42</v>
      </c>
      <c r="D6786" s="36">
        <f>base!H6786</f>
        <v>97.82</v>
      </c>
      <c r="E6786" s="44"/>
      <c r="F6786" s="16">
        <f>base!W6786</f>
        <v>0</v>
      </c>
      <c r="G6786" s="11">
        <f t="shared" ref="G6786:G6849" si="1060">F6786/D6786</f>
        <v>0</v>
      </c>
      <c r="H6786" s="11">
        <f t="shared" ref="H6786:H6849" si="1061">VLOOKUP(C6786,tout_cout_traction,2,FALSE)*D6786</f>
        <v>25.433199999999999</v>
      </c>
      <c r="I6786" s="11">
        <f t="shared" ref="I6786:I6849" si="1062">H6786/D6786</f>
        <v>0.26</v>
      </c>
      <c r="J6786" s="12">
        <f t="shared" ref="J6786:J6849" si="1063">F6786-H6786</f>
        <v>-25.433199999999999</v>
      </c>
      <c r="K6786" s="17" t="str">
        <f t="shared" si="1058"/>
        <v>Ecart négatif</v>
      </c>
      <c r="L6786" s="16">
        <f>base!X6786</f>
        <v>0</v>
      </c>
      <c r="M6786" s="11">
        <f t="shared" ref="M6786:M6849" si="1064">L6786/D6786</f>
        <v>0</v>
      </c>
      <c r="N6786" s="11">
        <f t="shared" ref="N6786:N6849" si="1065">VLOOKUP(C6786,tout_cout_traction,3,FALSE)*D6786</f>
        <v>0</v>
      </c>
      <c r="O6786" s="11">
        <f t="shared" ref="O6786:O6849" si="1066">N6786/D6786</f>
        <v>0</v>
      </c>
      <c r="P6786" s="12">
        <f t="shared" ref="P6786:P6849" si="1067">L6786-N6786</f>
        <v>0</v>
      </c>
      <c r="Q6786" s="17" t="str">
        <f t="shared" si="1059"/>
        <v>Pas d'écart</v>
      </c>
    </row>
    <row r="6787" spans="1:18" x14ac:dyDescent="0.3">
      <c r="A6787" s="34" t="str">
        <f>base!J6787</f>
        <v>LS</v>
      </c>
      <c r="B6787" s="34" t="str">
        <f>base!V6787</f>
        <v>17000</v>
      </c>
      <c r="C6787" s="37">
        <v>11</v>
      </c>
      <c r="D6787" s="36">
        <f>base!H6787</f>
        <v>131.97999999999999</v>
      </c>
      <c r="E6787" s="44"/>
      <c r="F6787" s="16">
        <f>base!W6787</f>
        <v>27.72</v>
      </c>
      <c r="G6787" s="11">
        <f t="shared" si="1060"/>
        <v>0.21003182300348539</v>
      </c>
      <c r="H6787" s="11">
        <f t="shared" si="1061"/>
        <v>47.512799999999991</v>
      </c>
      <c r="I6787" s="11">
        <f t="shared" si="1062"/>
        <v>0.36</v>
      </c>
      <c r="J6787" s="12">
        <f t="shared" si="1063"/>
        <v>-19.792799999999993</v>
      </c>
      <c r="K6787" s="17" t="str">
        <f t="shared" ref="K6787:K6850" si="1068">IF(H6787=F6787,"Pas d'écart",IF(H6787&lt;F6787,"Ecart positif",IF(H6787&gt;F6787,"Ecart négatif")))</f>
        <v>Ecart négatif</v>
      </c>
      <c r="L6787" s="16">
        <f>base!X6787</f>
        <v>0</v>
      </c>
      <c r="M6787" s="11">
        <f t="shared" si="1064"/>
        <v>0</v>
      </c>
      <c r="N6787" s="11">
        <f t="shared" si="1065"/>
        <v>36.9544</v>
      </c>
      <c r="O6787" s="11">
        <f t="shared" si="1066"/>
        <v>0.28000000000000003</v>
      </c>
      <c r="P6787" s="12">
        <f t="shared" si="1067"/>
        <v>-36.9544</v>
      </c>
      <c r="Q6787" s="17" t="str">
        <f t="shared" ref="Q6787:Q6850" si="1069">IF(N6787=L6787,"Pas d'écart",IF(N6787&lt;L6787,"Ecart positif",IF(N6787&gt;L6787,"Ecart négatif")))</f>
        <v>Ecart négatif</v>
      </c>
    </row>
    <row r="6788" spans="1:18" x14ac:dyDescent="0.3">
      <c r="A6788" s="34" t="str">
        <f>base!J6788</f>
        <v>LM</v>
      </c>
      <c r="B6788" s="34" t="str">
        <f>base!V6788</f>
        <v>06000</v>
      </c>
      <c r="C6788" s="37">
        <v>11</v>
      </c>
      <c r="D6788" s="36">
        <f>base!H6788</f>
        <v>103.06</v>
      </c>
      <c r="E6788" s="44"/>
      <c r="F6788" s="16">
        <f>base!W6788</f>
        <v>30.92</v>
      </c>
      <c r="G6788" s="11">
        <f t="shared" si="1060"/>
        <v>0.30001940617116246</v>
      </c>
      <c r="H6788" s="11">
        <f t="shared" si="1061"/>
        <v>37.101599999999998</v>
      </c>
      <c r="I6788" s="11">
        <f t="shared" si="1062"/>
        <v>0.36</v>
      </c>
      <c r="J6788" s="12">
        <f t="shared" si="1063"/>
        <v>-6.181599999999996</v>
      </c>
      <c r="K6788" s="17" t="str">
        <f t="shared" si="1068"/>
        <v>Ecart négatif</v>
      </c>
      <c r="L6788" s="16">
        <f>base!X6788</f>
        <v>0</v>
      </c>
      <c r="M6788" s="11">
        <f t="shared" si="1064"/>
        <v>0</v>
      </c>
      <c r="N6788" s="11">
        <f t="shared" si="1065"/>
        <v>28.856800000000003</v>
      </c>
      <c r="O6788" s="11">
        <f t="shared" si="1066"/>
        <v>0.28000000000000003</v>
      </c>
      <c r="P6788" s="12">
        <f t="shared" si="1067"/>
        <v>-28.856800000000003</v>
      </c>
      <c r="Q6788" s="17" t="str">
        <f t="shared" si="1069"/>
        <v>Ecart négatif</v>
      </c>
    </row>
    <row r="6789" spans="1:18" x14ac:dyDescent="0.3">
      <c r="A6789" s="34" t="str">
        <f>base!J6789</f>
        <v>LM</v>
      </c>
      <c r="B6789" s="34" t="str">
        <f>base!V6789</f>
        <v>06000</v>
      </c>
      <c r="C6789" s="37">
        <v>29</v>
      </c>
      <c r="D6789" s="36">
        <f>base!H6789</f>
        <v>43.44</v>
      </c>
      <c r="E6789" s="44"/>
      <c r="F6789" s="16">
        <f>base!W6789</f>
        <v>13.03</v>
      </c>
      <c r="G6789" s="11">
        <f t="shared" si="1060"/>
        <v>0.29995395948434622</v>
      </c>
      <c r="H6789" s="11">
        <f t="shared" si="1061"/>
        <v>16.941600000000001</v>
      </c>
      <c r="I6789" s="11">
        <f t="shared" si="1062"/>
        <v>0.39000000000000007</v>
      </c>
      <c r="J6789" s="12">
        <f t="shared" si="1063"/>
        <v>-3.9116000000000017</v>
      </c>
      <c r="K6789" s="17" t="str">
        <f t="shared" si="1068"/>
        <v>Ecart négatif</v>
      </c>
      <c r="L6789" s="16">
        <f>base!X6789</f>
        <v>0</v>
      </c>
      <c r="M6789" s="11">
        <f t="shared" si="1064"/>
        <v>0</v>
      </c>
      <c r="N6789" s="11">
        <f t="shared" si="1065"/>
        <v>5.2127999999999997</v>
      </c>
      <c r="O6789" s="11">
        <f t="shared" si="1066"/>
        <v>0.12</v>
      </c>
      <c r="P6789" s="12">
        <f t="shared" si="1067"/>
        <v>-5.2127999999999997</v>
      </c>
      <c r="Q6789" s="17" t="str">
        <f t="shared" si="1069"/>
        <v>Ecart négatif</v>
      </c>
    </row>
    <row r="6790" spans="1:18" x14ac:dyDescent="0.3">
      <c r="A6790" s="34" t="str">
        <f>base!J6790</f>
        <v>LS</v>
      </c>
      <c r="B6790" s="34" t="str">
        <f>base!V6790</f>
        <v>60000</v>
      </c>
      <c r="C6790" s="37">
        <v>60</v>
      </c>
      <c r="D6790" s="36">
        <f>base!H6790</f>
        <v>0</v>
      </c>
      <c r="E6790" s="44"/>
      <c r="F6790" s="16">
        <f>base!W6790</f>
        <v>0</v>
      </c>
      <c r="G6790" s="11" t="e">
        <f t="shared" si="1060"/>
        <v>#DIV/0!</v>
      </c>
      <c r="H6790" s="11">
        <f t="shared" si="1061"/>
        <v>0</v>
      </c>
      <c r="I6790" s="11" t="e">
        <f t="shared" si="1062"/>
        <v>#DIV/0!</v>
      </c>
      <c r="J6790" s="12">
        <f t="shared" si="1063"/>
        <v>0</v>
      </c>
      <c r="K6790" s="17" t="str">
        <f t="shared" si="1068"/>
        <v>Pas d'écart</v>
      </c>
      <c r="L6790" s="16">
        <f>base!X6790</f>
        <v>0</v>
      </c>
      <c r="M6790" s="11" t="e">
        <f t="shared" si="1064"/>
        <v>#DIV/0!</v>
      </c>
      <c r="N6790" s="11">
        <f t="shared" si="1065"/>
        <v>0</v>
      </c>
      <c r="O6790" s="11" t="e">
        <f t="shared" si="1066"/>
        <v>#DIV/0!</v>
      </c>
      <c r="P6790" s="12">
        <f t="shared" si="1067"/>
        <v>0</v>
      </c>
      <c r="Q6790" s="17" t="str">
        <f t="shared" si="1069"/>
        <v>Pas d'écart</v>
      </c>
    </row>
    <row r="6791" spans="1:18" x14ac:dyDescent="0.3">
      <c r="A6791" s="34" t="str">
        <f>base!J6791</f>
        <v>RS</v>
      </c>
      <c r="B6791" s="34" t="str">
        <f>base!V6791</f>
        <v>14220</v>
      </c>
      <c r="C6791" s="37">
        <v>14</v>
      </c>
      <c r="D6791" s="36">
        <f>base!H6791</f>
        <v>114</v>
      </c>
      <c r="E6791" s="44"/>
      <c r="F6791" s="16">
        <f>base!W6791</f>
        <v>0</v>
      </c>
      <c r="G6791" s="11">
        <f t="shared" si="1060"/>
        <v>0</v>
      </c>
      <c r="H6791" s="11">
        <f t="shared" si="1061"/>
        <v>19.380000000000003</v>
      </c>
      <c r="I6791" s="11">
        <f t="shared" si="1062"/>
        <v>0.17</v>
      </c>
      <c r="J6791" s="12">
        <f t="shared" si="1063"/>
        <v>-19.380000000000003</v>
      </c>
      <c r="K6791" s="17" t="str">
        <f t="shared" si="1068"/>
        <v>Ecart négatif</v>
      </c>
      <c r="L6791" s="16">
        <f>base!X6791</f>
        <v>19.38</v>
      </c>
      <c r="M6791" s="11">
        <f t="shared" si="1064"/>
        <v>0.16999999999999998</v>
      </c>
      <c r="N6791" s="11">
        <f t="shared" si="1065"/>
        <v>19.380000000000003</v>
      </c>
      <c r="O6791" s="11">
        <f t="shared" si="1066"/>
        <v>0.17</v>
      </c>
      <c r="P6791" s="12">
        <f t="shared" si="1067"/>
        <v>0</v>
      </c>
      <c r="Q6791" s="17" t="str">
        <f t="shared" si="1069"/>
        <v>Pas d'écart</v>
      </c>
      <c r="R6791" s="38"/>
    </row>
    <row r="6792" spans="1:18" x14ac:dyDescent="0.3">
      <c r="A6792" s="34" t="str">
        <f>base!J6792</f>
        <v>LM</v>
      </c>
      <c r="B6792" s="34" t="str">
        <f>base!V6792</f>
        <v>77290</v>
      </c>
      <c r="C6792" s="37">
        <v>77</v>
      </c>
      <c r="D6792" s="36">
        <f>base!H6792</f>
        <v>379.59</v>
      </c>
      <c r="E6792" s="44"/>
      <c r="F6792" s="16">
        <f>base!W6792</f>
        <v>0</v>
      </c>
      <c r="G6792" s="11">
        <f t="shared" si="1060"/>
        <v>0</v>
      </c>
      <c r="H6792" s="11">
        <f t="shared" si="1061"/>
        <v>0</v>
      </c>
      <c r="I6792" s="11">
        <f t="shared" si="1062"/>
        <v>0</v>
      </c>
      <c r="J6792" s="12">
        <f t="shared" si="1063"/>
        <v>0</v>
      </c>
      <c r="K6792" s="17" t="str">
        <f t="shared" si="1068"/>
        <v>Pas d'écart</v>
      </c>
      <c r="L6792" s="16">
        <f>base!X6792</f>
        <v>0</v>
      </c>
      <c r="M6792" s="11">
        <f t="shared" si="1064"/>
        <v>0</v>
      </c>
      <c r="N6792" s="11">
        <f t="shared" si="1065"/>
        <v>0</v>
      </c>
      <c r="O6792" s="11">
        <f t="shared" si="1066"/>
        <v>0</v>
      </c>
      <c r="P6792" s="12">
        <f t="shared" si="1067"/>
        <v>0</v>
      </c>
      <c r="Q6792" s="17" t="str">
        <f t="shared" si="1069"/>
        <v>Pas d'écart</v>
      </c>
    </row>
    <row r="6793" spans="1:18" x14ac:dyDescent="0.3">
      <c r="A6793" s="34" t="str">
        <f>base!J6793</f>
        <v>RS</v>
      </c>
      <c r="B6793" s="34" t="str">
        <f>base!V6793</f>
        <v>37400</v>
      </c>
      <c r="C6793" s="37">
        <v>37</v>
      </c>
      <c r="D6793" s="36">
        <f>base!H6793</f>
        <v>70.5</v>
      </c>
      <c r="E6793" s="44"/>
      <c r="F6793" s="16">
        <f>base!W6793</f>
        <v>0</v>
      </c>
      <c r="G6793" s="11">
        <f t="shared" si="1060"/>
        <v>0</v>
      </c>
      <c r="H6793" s="11">
        <f t="shared" si="1061"/>
        <v>13.395</v>
      </c>
      <c r="I6793" s="11">
        <f t="shared" si="1062"/>
        <v>0.19</v>
      </c>
      <c r="J6793" s="12">
        <f t="shared" si="1063"/>
        <v>-13.395</v>
      </c>
      <c r="K6793" s="17" t="str">
        <f t="shared" si="1068"/>
        <v>Ecart négatif</v>
      </c>
      <c r="L6793" s="16">
        <f>base!X6793</f>
        <v>0</v>
      </c>
      <c r="M6793" s="11">
        <f t="shared" si="1064"/>
        <v>0</v>
      </c>
      <c r="N6793" s="11">
        <f t="shared" si="1065"/>
        <v>8.4599999999999991</v>
      </c>
      <c r="O6793" s="11">
        <f t="shared" si="1066"/>
        <v>0.11999999999999998</v>
      </c>
      <c r="P6793" s="12">
        <f t="shared" si="1067"/>
        <v>-8.4599999999999991</v>
      </c>
      <c r="Q6793" s="17" t="str">
        <f t="shared" si="1069"/>
        <v>Ecart négatif</v>
      </c>
    </row>
    <row r="6794" spans="1:18" x14ac:dyDescent="0.3">
      <c r="A6794" s="34" t="str">
        <f>base!J6794</f>
        <v>DLM</v>
      </c>
      <c r="B6794" s="34" t="str">
        <f>base!V6794</f>
        <v>92200</v>
      </c>
      <c r="C6794" s="37">
        <v>92</v>
      </c>
      <c r="D6794" s="36">
        <f>base!H6794</f>
        <v>53.2</v>
      </c>
      <c r="E6794" s="44"/>
      <c r="F6794" s="16">
        <f>base!W6794</f>
        <v>0</v>
      </c>
      <c r="G6794" s="11">
        <f t="shared" si="1060"/>
        <v>0</v>
      </c>
      <c r="H6794" s="11">
        <f t="shared" si="1061"/>
        <v>0</v>
      </c>
      <c r="I6794" s="11">
        <f t="shared" si="1062"/>
        <v>0</v>
      </c>
      <c r="J6794" s="12">
        <f t="shared" si="1063"/>
        <v>0</v>
      </c>
      <c r="K6794" s="17" t="str">
        <f t="shared" si="1068"/>
        <v>Pas d'écart</v>
      </c>
      <c r="L6794" s="16">
        <f>base!X6794</f>
        <v>0</v>
      </c>
      <c r="M6794" s="11">
        <f t="shared" si="1064"/>
        <v>0</v>
      </c>
      <c r="N6794" s="11">
        <f t="shared" si="1065"/>
        <v>0</v>
      </c>
      <c r="O6794" s="11">
        <f t="shared" si="1066"/>
        <v>0</v>
      </c>
      <c r="P6794" s="12">
        <f t="shared" si="1067"/>
        <v>0</v>
      </c>
      <c r="Q6794" s="17" t="str">
        <f t="shared" si="1069"/>
        <v>Pas d'écart</v>
      </c>
    </row>
    <row r="6795" spans="1:18" x14ac:dyDescent="0.3">
      <c r="A6795" s="34" t="str">
        <f>base!J6795</f>
        <v>LS</v>
      </c>
      <c r="B6795" s="34" t="str">
        <f>base!V6795</f>
        <v>94400</v>
      </c>
      <c r="C6795" s="37">
        <v>94</v>
      </c>
      <c r="D6795" s="36">
        <f>base!H6795</f>
        <v>1.46</v>
      </c>
      <c r="E6795" s="44"/>
      <c r="F6795" s="16">
        <f>base!W6795</f>
        <v>0</v>
      </c>
      <c r="G6795" s="11">
        <f t="shared" si="1060"/>
        <v>0</v>
      </c>
      <c r="H6795" s="11">
        <f t="shared" si="1061"/>
        <v>0</v>
      </c>
      <c r="I6795" s="11">
        <f t="shared" si="1062"/>
        <v>0</v>
      </c>
      <c r="J6795" s="12">
        <f t="shared" si="1063"/>
        <v>0</v>
      </c>
      <c r="K6795" s="17" t="str">
        <f t="shared" si="1068"/>
        <v>Pas d'écart</v>
      </c>
      <c r="L6795" s="16">
        <f>base!X6795</f>
        <v>0</v>
      </c>
      <c r="M6795" s="11">
        <f t="shared" si="1064"/>
        <v>0</v>
      </c>
      <c r="N6795" s="11">
        <f t="shared" si="1065"/>
        <v>0</v>
      </c>
      <c r="O6795" s="11">
        <f t="shared" si="1066"/>
        <v>0</v>
      </c>
      <c r="P6795" s="12">
        <f t="shared" si="1067"/>
        <v>0</v>
      </c>
      <c r="Q6795" s="17" t="str">
        <f t="shared" si="1069"/>
        <v>Pas d'écart</v>
      </c>
    </row>
    <row r="6796" spans="1:18" x14ac:dyDescent="0.3">
      <c r="A6796" s="34" t="str">
        <f>base!J6796</f>
        <v>LS</v>
      </c>
      <c r="B6796" s="34" t="str">
        <f>base!V6796</f>
        <v>77930</v>
      </c>
      <c r="C6796" s="37">
        <v>77</v>
      </c>
      <c r="D6796" s="36">
        <f>base!H6796</f>
        <v>137.59</v>
      </c>
      <c r="E6796" s="44"/>
      <c r="F6796" s="16">
        <f>base!W6796</f>
        <v>0</v>
      </c>
      <c r="G6796" s="11">
        <f t="shared" si="1060"/>
        <v>0</v>
      </c>
      <c r="H6796" s="11">
        <f t="shared" si="1061"/>
        <v>0</v>
      </c>
      <c r="I6796" s="11">
        <f t="shared" si="1062"/>
        <v>0</v>
      </c>
      <c r="J6796" s="12">
        <f t="shared" si="1063"/>
        <v>0</v>
      </c>
      <c r="K6796" s="17" t="str">
        <f t="shared" si="1068"/>
        <v>Pas d'écart</v>
      </c>
      <c r="L6796" s="16">
        <f>base!X6796</f>
        <v>0</v>
      </c>
      <c r="M6796" s="11">
        <f t="shared" si="1064"/>
        <v>0</v>
      </c>
      <c r="N6796" s="11">
        <f t="shared" si="1065"/>
        <v>0</v>
      </c>
      <c r="O6796" s="11">
        <f t="shared" si="1066"/>
        <v>0</v>
      </c>
      <c r="P6796" s="12">
        <f t="shared" si="1067"/>
        <v>0</v>
      </c>
      <c r="Q6796" s="17" t="str">
        <f t="shared" si="1069"/>
        <v>Pas d'écart</v>
      </c>
    </row>
    <row r="6797" spans="1:18" x14ac:dyDescent="0.3">
      <c r="A6797" s="34" t="str">
        <f>base!J6797</f>
        <v>LM</v>
      </c>
      <c r="B6797" s="34" t="str">
        <f>base!V6797</f>
        <v>92200</v>
      </c>
      <c r="C6797" s="37">
        <v>92</v>
      </c>
      <c r="D6797" s="36">
        <f>base!H6797</f>
        <v>30</v>
      </c>
      <c r="E6797" s="44"/>
      <c r="F6797" s="16">
        <f>base!W6797</f>
        <v>0</v>
      </c>
      <c r="G6797" s="11">
        <f t="shared" si="1060"/>
        <v>0</v>
      </c>
      <c r="H6797" s="11">
        <f t="shared" si="1061"/>
        <v>0</v>
      </c>
      <c r="I6797" s="11">
        <f t="shared" si="1062"/>
        <v>0</v>
      </c>
      <c r="J6797" s="12">
        <f t="shared" si="1063"/>
        <v>0</v>
      </c>
      <c r="K6797" s="17" t="str">
        <f t="shared" si="1068"/>
        <v>Pas d'écart</v>
      </c>
      <c r="L6797" s="16">
        <f>base!X6797</f>
        <v>0</v>
      </c>
      <c r="M6797" s="11">
        <f t="shared" si="1064"/>
        <v>0</v>
      </c>
      <c r="N6797" s="11">
        <f t="shared" si="1065"/>
        <v>0</v>
      </c>
      <c r="O6797" s="11">
        <f t="shared" si="1066"/>
        <v>0</v>
      </c>
      <c r="P6797" s="12">
        <f t="shared" si="1067"/>
        <v>0</v>
      </c>
      <c r="Q6797" s="17" t="str">
        <f t="shared" si="1069"/>
        <v>Pas d'écart</v>
      </c>
    </row>
    <row r="6798" spans="1:18" x14ac:dyDescent="0.3">
      <c r="A6798" s="34" t="str">
        <f>base!J6798</f>
        <v>LS</v>
      </c>
      <c r="B6798" s="34" t="str">
        <f>base!V6798</f>
        <v>69520</v>
      </c>
      <c r="C6798" s="37">
        <v>34</v>
      </c>
      <c r="D6798" s="36">
        <f>base!H6798</f>
        <v>23.12</v>
      </c>
      <c r="E6798" s="44"/>
      <c r="F6798" s="16">
        <f>base!W6798</f>
        <v>6.24</v>
      </c>
      <c r="G6798" s="11">
        <f t="shared" si="1060"/>
        <v>0.26989619377162627</v>
      </c>
      <c r="H6798" s="11">
        <f t="shared" si="1061"/>
        <v>9.0167999999999999</v>
      </c>
      <c r="I6798" s="11">
        <f t="shared" si="1062"/>
        <v>0.38999999999999996</v>
      </c>
      <c r="J6798" s="12">
        <f t="shared" si="1063"/>
        <v>-2.7767999999999997</v>
      </c>
      <c r="K6798" s="17" t="str">
        <f t="shared" si="1068"/>
        <v>Ecart négatif</v>
      </c>
      <c r="L6798" s="16">
        <f>base!X6798</f>
        <v>0</v>
      </c>
      <c r="M6798" s="11">
        <f t="shared" si="1064"/>
        <v>0</v>
      </c>
      <c r="N6798" s="11">
        <f t="shared" si="1065"/>
        <v>6.4736000000000011</v>
      </c>
      <c r="O6798" s="11">
        <f t="shared" si="1066"/>
        <v>0.28000000000000003</v>
      </c>
      <c r="P6798" s="12">
        <f t="shared" si="1067"/>
        <v>-6.4736000000000011</v>
      </c>
      <c r="Q6798" s="17" t="str">
        <f t="shared" si="1069"/>
        <v>Ecart négatif</v>
      </c>
    </row>
    <row r="6799" spans="1:18" x14ac:dyDescent="0.3">
      <c r="A6799" s="34" t="str">
        <f>base!J6799</f>
        <v>Stockage</v>
      </c>
      <c r="B6799" s="34" t="str">
        <f>base!V6799</f>
        <v/>
      </c>
      <c r="C6799" s="40" t="s">
        <v>11</v>
      </c>
      <c r="D6799" s="36">
        <f>base!H6799</f>
        <v>0</v>
      </c>
      <c r="E6799" s="44"/>
      <c r="F6799" s="16">
        <f>base!W6799</f>
        <v>0</v>
      </c>
      <c r="G6799" s="11" t="e">
        <f t="shared" si="1060"/>
        <v>#DIV/0!</v>
      </c>
      <c r="H6799" s="11" t="e">
        <f t="shared" si="1061"/>
        <v>#N/A</v>
      </c>
      <c r="I6799" s="11" t="e">
        <f t="shared" si="1062"/>
        <v>#N/A</v>
      </c>
      <c r="J6799" s="12" t="e">
        <f t="shared" si="1063"/>
        <v>#N/A</v>
      </c>
      <c r="K6799" s="17" t="e">
        <f t="shared" si="1068"/>
        <v>#N/A</v>
      </c>
      <c r="L6799" s="16">
        <f>base!X6799</f>
        <v>0</v>
      </c>
      <c r="M6799" s="11" t="e">
        <f t="shared" si="1064"/>
        <v>#DIV/0!</v>
      </c>
      <c r="N6799" s="11" t="e">
        <f t="shared" si="1065"/>
        <v>#N/A</v>
      </c>
      <c r="O6799" s="11" t="e">
        <f t="shared" si="1066"/>
        <v>#N/A</v>
      </c>
      <c r="P6799" s="12" t="e">
        <f t="shared" si="1067"/>
        <v>#N/A</v>
      </c>
      <c r="Q6799" s="17" t="e">
        <f t="shared" si="1069"/>
        <v>#N/A</v>
      </c>
    </row>
    <row r="6800" spans="1:18" x14ac:dyDescent="0.3">
      <c r="A6800" s="34" t="str">
        <f>base!J6800</f>
        <v>LS</v>
      </c>
      <c r="B6800" s="34" t="str">
        <f>base!V6800</f>
        <v>77184</v>
      </c>
      <c r="C6800" s="37">
        <v>77</v>
      </c>
      <c r="D6800" s="36">
        <f>base!H6800</f>
        <v>53.07</v>
      </c>
      <c r="E6800" s="44"/>
      <c r="F6800" s="16">
        <f>base!W6800</f>
        <v>0</v>
      </c>
      <c r="G6800" s="11">
        <f t="shared" si="1060"/>
        <v>0</v>
      </c>
      <c r="H6800" s="11">
        <f t="shared" si="1061"/>
        <v>0</v>
      </c>
      <c r="I6800" s="11">
        <f t="shared" si="1062"/>
        <v>0</v>
      </c>
      <c r="J6800" s="12">
        <f t="shared" si="1063"/>
        <v>0</v>
      </c>
      <c r="K6800" s="17" t="str">
        <f t="shared" si="1068"/>
        <v>Pas d'écart</v>
      </c>
      <c r="L6800" s="16">
        <f>base!X6800</f>
        <v>0</v>
      </c>
      <c r="M6800" s="11">
        <f t="shared" si="1064"/>
        <v>0</v>
      </c>
      <c r="N6800" s="11">
        <f t="shared" si="1065"/>
        <v>0</v>
      </c>
      <c r="O6800" s="11">
        <f t="shared" si="1066"/>
        <v>0</v>
      </c>
      <c r="P6800" s="12">
        <f t="shared" si="1067"/>
        <v>0</v>
      </c>
      <c r="Q6800" s="17" t="str">
        <f t="shared" si="1069"/>
        <v>Pas d'écart</v>
      </c>
    </row>
    <row r="6801" spans="1:18" x14ac:dyDescent="0.3">
      <c r="A6801" s="34" t="str">
        <f>base!J6801</f>
        <v>RS</v>
      </c>
      <c r="B6801" s="34" t="str">
        <f>base!V6801</f>
        <v>74960</v>
      </c>
      <c r="C6801" s="37">
        <v>74</v>
      </c>
      <c r="D6801" s="36">
        <f>base!H6801</f>
        <v>140</v>
      </c>
      <c r="E6801" s="44"/>
      <c r="F6801" s="16">
        <f>base!W6801</f>
        <v>0</v>
      </c>
      <c r="G6801" s="11">
        <f t="shared" si="1060"/>
        <v>0</v>
      </c>
      <c r="H6801" s="11">
        <f t="shared" si="1061"/>
        <v>36.4</v>
      </c>
      <c r="I6801" s="11">
        <f t="shared" si="1062"/>
        <v>0.26</v>
      </c>
      <c r="J6801" s="12">
        <f t="shared" si="1063"/>
        <v>-36.4</v>
      </c>
      <c r="K6801" s="17" t="str">
        <f t="shared" si="1068"/>
        <v>Ecart négatif</v>
      </c>
      <c r="L6801" s="16">
        <f>base!X6801</f>
        <v>37.799999999999997</v>
      </c>
      <c r="M6801" s="11">
        <f t="shared" si="1064"/>
        <v>0.26999999999999996</v>
      </c>
      <c r="N6801" s="11">
        <f t="shared" si="1065"/>
        <v>0</v>
      </c>
      <c r="O6801" s="11">
        <f t="shared" si="1066"/>
        <v>0</v>
      </c>
      <c r="P6801" s="12">
        <f t="shared" si="1067"/>
        <v>37.799999999999997</v>
      </c>
      <c r="Q6801" s="17" t="str">
        <f t="shared" si="1069"/>
        <v>Ecart positif</v>
      </c>
    </row>
    <row r="6802" spans="1:18" x14ac:dyDescent="0.3">
      <c r="A6802" s="34" t="str">
        <f>base!J6802</f>
        <v>RM</v>
      </c>
      <c r="B6802" s="34" t="str">
        <f>base!V6802</f>
        <v>71200</v>
      </c>
      <c r="C6802" s="37">
        <v>71</v>
      </c>
      <c r="D6802" s="36">
        <f>base!H6802</f>
        <v>193.2</v>
      </c>
      <c r="E6802" s="44"/>
      <c r="F6802" s="16">
        <f>base!W6802</f>
        <v>0</v>
      </c>
      <c r="G6802" s="11">
        <f t="shared" si="1060"/>
        <v>0</v>
      </c>
      <c r="H6802" s="11">
        <f t="shared" si="1061"/>
        <v>52.164000000000001</v>
      </c>
      <c r="I6802" s="11">
        <f t="shared" si="1062"/>
        <v>0.27</v>
      </c>
      <c r="J6802" s="12">
        <f t="shared" si="1063"/>
        <v>-52.164000000000001</v>
      </c>
      <c r="K6802" s="17" t="str">
        <f t="shared" si="1068"/>
        <v>Ecart négatif</v>
      </c>
      <c r="L6802" s="16">
        <f>base!X6802</f>
        <v>0</v>
      </c>
      <c r="M6802" s="11">
        <f t="shared" si="1064"/>
        <v>0</v>
      </c>
      <c r="N6802" s="11">
        <f t="shared" si="1065"/>
        <v>0</v>
      </c>
      <c r="O6802" s="11">
        <f t="shared" si="1066"/>
        <v>0</v>
      </c>
      <c r="P6802" s="12">
        <f t="shared" si="1067"/>
        <v>0</v>
      </c>
      <c r="Q6802" s="17" t="str">
        <f t="shared" si="1069"/>
        <v>Pas d'écart</v>
      </c>
    </row>
    <row r="6803" spans="1:18" x14ac:dyDescent="0.3">
      <c r="A6803" s="34" t="str">
        <f>base!J6803</f>
        <v>RM</v>
      </c>
      <c r="B6803" s="34" t="str">
        <f>base!V6803</f>
        <v>39500</v>
      </c>
      <c r="C6803" s="37">
        <v>39</v>
      </c>
      <c r="D6803" s="36">
        <f>base!H6803</f>
        <v>29.89</v>
      </c>
      <c r="E6803" s="44"/>
      <c r="F6803" s="16">
        <f>base!W6803</f>
        <v>0</v>
      </c>
      <c r="G6803" s="11">
        <f t="shared" si="1060"/>
        <v>0</v>
      </c>
      <c r="H6803" s="11">
        <f t="shared" si="1061"/>
        <v>8.0703000000000014</v>
      </c>
      <c r="I6803" s="11">
        <f t="shared" si="1062"/>
        <v>0.27</v>
      </c>
      <c r="J6803" s="12">
        <f t="shared" si="1063"/>
        <v>-8.0703000000000014</v>
      </c>
      <c r="K6803" s="17" t="str">
        <f t="shared" si="1068"/>
        <v>Ecart négatif</v>
      </c>
      <c r="L6803" s="16">
        <f>base!X6803</f>
        <v>0</v>
      </c>
      <c r="M6803" s="11">
        <f t="shared" si="1064"/>
        <v>0</v>
      </c>
      <c r="N6803" s="11">
        <f t="shared" si="1065"/>
        <v>0</v>
      </c>
      <c r="O6803" s="11">
        <f t="shared" si="1066"/>
        <v>0</v>
      </c>
      <c r="P6803" s="12">
        <f t="shared" si="1067"/>
        <v>0</v>
      </c>
      <c r="Q6803" s="17" t="str">
        <f t="shared" si="1069"/>
        <v>Pas d'écart</v>
      </c>
    </row>
    <row r="6804" spans="1:18" x14ac:dyDescent="0.3">
      <c r="A6804" s="34" t="str">
        <f>base!J6804</f>
        <v>RM</v>
      </c>
      <c r="B6804" s="34" t="str">
        <f>base!V6804</f>
        <v>57175</v>
      </c>
      <c r="C6804" s="37">
        <v>57</v>
      </c>
      <c r="D6804" s="36">
        <f>base!H6804</f>
        <v>40</v>
      </c>
      <c r="E6804" s="44"/>
      <c r="F6804" s="16">
        <f>base!W6804</f>
        <v>0</v>
      </c>
      <c r="G6804" s="11">
        <f t="shared" si="1060"/>
        <v>0</v>
      </c>
      <c r="H6804" s="11">
        <f t="shared" si="1061"/>
        <v>9.6</v>
      </c>
      <c r="I6804" s="11">
        <f t="shared" si="1062"/>
        <v>0.24</v>
      </c>
      <c r="J6804" s="12">
        <f t="shared" si="1063"/>
        <v>-9.6</v>
      </c>
      <c r="K6804" s="17" t="str">
        <f t="shared" si="1068"/>
        <v>Ecart négatif</v>
      </c>
      <c r="L6804" s="16">
        <f>base!X6804</f>
        <v>10</v>
      </c>
      <c r="M6804" s="11">
        <f t="shared" si="1064"/>
        <v>0.25</v>
      </c>
      <c r="N6804" s="11">
        <f t="shared" si="1065"/>
        <v>10</v>
      </c>
      <c r="O6804" s="11">
        <f t="shared" si="1066"/>
        <v>0.25</v>
      </c>
      <c r="P6804" s="12">
        <f t="shared" si="1067"/>
        <v>0</v>
      </c>
      <c r="Q6804" s="17" t="str">
        <f t="shared" si="1069"/>
        <v>Pas d'écart</v>
      </c>
    </row>
    <row r="6805" spans="1:18" x14ac:dyDescent="0.3">
      <c r="A6805" s="34" t="str">
        <f>base!J6805</f>
        <v>RM</v>
      </c>
      <c r="B6805" s="34" t="str">
        <f>base!V6805</f>
        <v>69100</v>
      </c>
      <c r="C6805" s="37">
        <v>69</v>
      </c>
      <c r="D6805" s="36">
        <f>base!H6805</f>
        <v>180</v>
      </c>
      <c r="E6805" s="44"/>
      <c r="F6805" s="16">
        <f>base!W6805</f>
        <v>0</v>
      </c>
      <c r="G6805" s="11">
        <f t="shared" si="1060"/>
        <v>0</v>
      </c>
      <c r="H6805" s="11">
        <f t="shared" si="1061"/>
        <v>48.6</v>
      </c>
      <c r="I6805" s="11">
        <f t="shared" si="1062"/>
        <v>0.27</v>
      </c>
      <c r="J6805" s="12">
        <f t="shared" si="1063"/>
        <v>-48.6</v>
      </c>
      <c r="K6805" s="17" t="str">
        <f t="shared" si="1068"/>
        <v>Ecart négatif</v>
      </c>
      <c r="L6805" s="16">
        <f>base!X6805</f>
        <v>0</v>
      </c>
      <c r="M6805" s="11">
        <f t="shared" si="1064"/>
        <v>0</v>
      </c>
      <c r="N6805" s="11">
        <f t="shared" si="1065"/>
        <v>0</v>
      </c>
      <c r="O6805" s="11">
        <f t="shared" si="1066"/>
        <v>0</v>
      </c>
      <c r="P6805" s="12">
        <f t="shared" si="1067"/>
        <v>0</v>
      </c>
      <c r="Q6805" s="17" t="str">
        <f t="shared" si="1069"/>
        <v>Pas d'écart</v>
      </c>
    </row>
    <row r="6806" spans="1:18" x14ac:dyDescent="0.3">
      <c r="A6806" s="34" t="str">
        <f>base!J6806</f>
        <v>RS</v>
      </c>
      <c r="B6806" s="34" t="str">
        <f>base!V6806</f>
        <v>84220</v>
      </c>
      <c r="C6806" s="37">
        <v>84</v>
      </c>
      <c r="D6806" s="36">
        <f>base!H6806</f>
        <v>70</v>
      </c>
      <c r="E6806" s="44"/>
      <c r="F6806" s="16">
        <f>base!W6806</f>
        <v>0</v>
      </c>
      <c r="G6806" s="11">
        <f t="shared" si="1060"/>
        <v>0</v>
      </c>
      <c r="H6806" s="11">
        <f t="shared" si="1061"/>
        <v>20.299999999999997</v>
      </c>
      <c r="I6806" s="11">
        <f t="shared" si="1062"/>
        <v>0.28999999999999998</v>
      </c>
      <c r="J6806" s="12">
        <f t="shared" si="1063"/>
        <v>-20.299999999999997</v>
      </c>
      <c r="K6806" s="17" t="str">
        <f t="shared" si="1068"/>
        <v>Ecart négatif</v>
      </c>
      <c r="L6806" s="16">
        <f>base!X6806</f>
        <v>0</v>
      </c>
      <c r="M6806" s="11">
        <f t="shared" si="1064"/>
        <v>0</v>
      </c>
      <c r="N6806" s="11">
        <f t="shared" si="1065"/>
        <v>13.3</v>
      </c>
      <c r="O6806" s="11">
        <f t="shared" si="1066"/>
        <v>0.19</v>
      </c>
      <c r="P6806" s="12">
        <f t="shared" si="1067"/>
        <v>-13.3</v>
      </c>
      <c r="Q6806" s="17" t="str">
        <f t="shared" si="1069"/>
        <v>Ecart négatif</v>
      </c>
    </row>
    <row r="6807" spans="1:18" x14ac:dyDescent="0.3">
      <c r="A6807" s="34" t="str">
        <f>base!J6807</f>
        <v>RS</v>
      </c>
      <c r="B6807" s="34" t="str">
        <f>base!V6807</f>
        <v>28000</v>
      </c>
      <c r="C6807" s="37">
        <v>28</v>
      </c>
      <c r="D6807" s="36">
        <f>base!H6807</f>
        <v>171.88</v>
      </c>
      <c r="E6807" s="44"/>
      <c r="F6807" s="16">
        <f>base!W6807</f>
        <v>0</v>
      </c>
      <c r="G6807" s="11">
        <f t="shared" si="1060"/>
        <v>0</v>
      </c>
      <c r="H6807" s="11">
        <f t="shared" si="1061"/>
        <v>34.375999999999998</v>
      </c>
      <c r="I6807" s="11">
        <f t="shared" si="1062"/>
        <v>0.19999999999999998</v>
      </c>
      <c r="J6807" s="12">
        <f t="shared" si="1063"/>
        <v>-34.375999999999998</v>
      </c>
      <c r="K6807" s="17" t="str">
        <f t="shared" si="1068"/>
        <v>Ecart négatif</v>
      </c>
      <c r="L6807" s="16">
        <f>base!X6807</f>
        <v>0</v>
      </c>
      <c r="M6807" s="11">
        <f t="shared" si="1064"/>
        <v>0</v>
      </c>
      <c r="N6807" s="11">
        <f t="shared" si="1065"/>
        <v>20.625599999999999</v>
      </c>
      <c r="O6807" s="11">
        <f t="shared" si="1066"/>
        <v>0.12</v>
      </c>
      <c r="P6807" s="12">
        <f t="shared" si="1067"/>
        <v>-20.625599999999999</v>
      </c>
      <c r="Q6807" s="17" t="str">
        <f t="shared" si="1069"/>
        <v>Ecart négatif</v>
      </c>
    </row>
    <row r="6808" spans="1:18" x14ac:dyDescent="0.3">
      <c r="A6808" s="34" t="str">
        <f>base!J6808</f>
        <v>RS</v>
      </c>
      <c r="B6808" s="34" t="str">
        <f>base!V6808</f>
        <v>14000</v>
      </c>
      <c r="C6808" s="37">
        <v>14</v>
      </c>
      <c r="D6808" s="36">
        <f>base!H6808</f>
        <v>180</v>
      </c>
      <c r="E6808" s="44"/>
      <c r="F6808" s="16">
        <f>base!W6808</f>
        <v>0</v>
      </c>
      <c r="G6808" s="11">
        <f t="shared" si="1060"/>
        <v>0</v>
      </c>
      <c r="H6808" s="11">
        <f t="shared" si="1061"/>
        <v>30.6</v>
      </c>
      <c r="I6808" s="11">
        <f t="shared" si="1062"/>
        <v>0.17</v>
      </c>
      <c r="J6808" s="12">
        <f t="shared" si="1063"/>
        <v>-30.6</v>
      </c>
      <c r="K6808" s="17" t="str">
        <f t="shared" si="1068"/>
        <v>Ecart négatif</v>
      </c>
      <c r="L6808" s="16">
        <f>base!X6808</f>
        <v>30.6</v>
      </c>
      <c r="M6808" s="11">
        <f t="shared" si="1064"/>
        <v>0.17</v>
      </c>
      <c r="N6808" s="11">
        <f t="shared" si="1065"/>
        <v>30.6</v>
      </c>
      <c r="O6808" s="11">
        <f t="shared" si="1066"/>
        <v>0.17</v>
      </c>
      <c r="P6808" s="12">
        <f t="shared" si="1067"/>
        <v>0</v>
      </c>
      <c r="Q6808" s="17" t="str">
        <f t="shared" si="1069"/>
        <v>Pas d'écart</v>
      </c>
    </row>
    <row r="6809" spans="1:18" x14ac:dyDescent="0.3">
      <c r="A6809" s="34" t="str">
        <f>base!J6809</f>
        <v>LS</v>
      </c>
      <c r="B6809" s="34" t="str">
        <f>base!V6809</f>
        <v>74500</v>
      </c>
      <c r="C6809" s="37">
        <v>29</v>
      </c>
      <c r="D6809" s="36">
        <f>base!H6809</f>
        <v>136.65</v>
      </c>
      <c r="E6809" s="44"/>
      <c r="F6809" s="16">
        <f>base!W6809</f>
        <v>36.9</v>
      </c>
      <c r="G6809" s="11">
        <f t="shared" si="1060"/>
        <v>0.27003293084522501</v>
      </c>
      <c r="H6809" s="11">
        <f t="shared" si="1061"/>
        <v>53.293500000000002</v>
      </c>
      <c r="I6809" s="11">
        <f t="shared" si="1062"/>
        <v>0.39</v>
      </c>
      <c r="J6809" s="12">
        <f t="shared" si="1063"/>
        <v>-16.393500000000003</v>
      </c>
      <c r="K6809" s="17" t="str">
        <f t="shared" si="1068"/>
        <v>Ecart négatif</v>
      </c>
      <c r="L6809" s="16">
        <f>base!X6809</f>
        <v>0</v>
      </c>
      <c r="M6809" s="11">
        <f t="shared" si="1064"/>
        <v>0</v>
      </c>
      <c r="N6809" s="11">
        <f t="shared" si="1065"/>
        <v>16.398</v>
      </c>
      <c r="O6809" s="11">
        <f t="shared" si="1066"/>
        <v>0.12</v>
      </c>
      <c r="P6809" s="12">
        <f t="shared" si="1067"/>
        <v>-16.398</v>
      </c>
      <c r="Q6809" s="17" t="str">
        <f t="shared" si="1069"/>
        <v>Ecart négatif</v>
      </c>
    </row>
    <row r="6810" spans="1:18" x14ac:dyDescent="0.3">
      <c r="A6810" s="34" t="str">
        <f>base!J6810</f>
        <v>LM</v>
      </c>
      <c r="B6810" s="34" t="str">
        <f>base!V6810</f>
        <v>44600</v>
      </c>
      <c r="C6810" s="37">
        <v>22</v>
      </c>
      <c r="D6810" s="36">
        <f>base!H6810</f>
        <v>137.01</v>
      </c>
      <c r="E6810" s="44"/>
      <c r="F6810" s="16">
        <f>base!W6810</f>
        <v>67.13</v>
      </c>
      <c r="G6810" s="11">
        <f t="shared" si="1060"/>
        <v>0.48996423618713963</v>
      </c>
      <c r="H6810" s="11">
        <f t="shared" si="1061"/>
        <v>52.063800000000001</v>
      </c>
      <c r="I6810" s="11">
        <f t="shared" si="1062"/>
        <v>0.38</v>
      </c>
      <c r="J6810" s="12">
        <f t="shared" si="1063"/>
        <v>15.066199999999995</v>
      </c>
      <c r="K6810" s="17" t="str">
        <f t="shared" si="1068"/>
        <v>Ecart positif</v>
      </c>
      <c r="L6810" s="16">
        <f>base!X6810</f>
        <v>0</v>
      </c>
      <c r="M6810" s="11">
        <f t="shared" si="1064"/>
        <v>0</v>
      </c>
      <c r="N6810" s="11">
        <f t="shared" si="1065"/>
        <v>16.441199999999998</v>
      </c>
      <c r="O6810" s="11">
        <f t="shared" si="1066"/>
        <v>0.12</v>
      </c>
      <c r="P6810" s="12">
        <f t="shared" si="1067"/>
        <v>-16.441199999999998</v>
      </c>
      <c r="Q6810" s="17" t="str">
        <f t="shared" si="1069"/>
        <v>Ecart négatif</v>
      </c>
    </row>
    <row r="6811" spans="1:18" x14ac:dyDescent="0.3">
      <c r="A6811" s="34" t="str">
        <f>base!J6811</f>
        <v>RM</v>
      </c>
      <c r="B6811" s="34" t="str">
        <f>base!V6811</f>
        <v>21600</v>
      </c>
      <c r="C6811" s="37">
        <v>21</v>
      </c>
      <c r="D6811" s="36">
        <f>base!H6811</f>
        <v>70</v>
      </c>
      <c r="E6811" s="44"/>
      <c r="F6811" s="16">
        <f>base!W6811</f>
        <v>0</v>
      </c>
      <c r="G6811" s="11">
        <f t="shared" si="1060"/>
        <v>0</v>
      </c>
      <c r="H6811" s="11">
        <f t="shared" si="1061"/>
        <v>16.8</v>
      </c>
      <c r="I6811" s="11">
        <f t="shared" si="1062"/>
        <v>0.24000000000000002</v>
      </c>
      <c r="J6811" s="12">
        <f t="shared" si="1063"/>
        <v>-16.8</v>
      </c>
      <c r="K6811" s="17" t="str">
        <f t="shared" si="1068"/>
        <v>Ecart négatif</v>
      </c>
      <c r="L6811" s="16">
        <f>base!X6811</f>
        <v>8.4</v>
      </c>
      <c r="M6811" s="11">
        <f t="shared" si="1064"/>
        <v>0.12000000000000001</v>
      </c>
      <c r="N6811" s="11">
        <f t="shared" si="1065"/>
        <v>8.4</v>
      </c>
      <c r="O6811" s="11">
        <f t="shared" si="1066"/>
        <v>0.12000000000000001</v>
      </c>
      <c r="P6811" s="12">
        <f t="shared" si="1067"/>
        <v>0</v>
      </c>
      <c r="Q6811" s="17" t="str">
        <f t="shared" si="1069"/>
        <v>Pas d'écart</v>
      </c>
      <c r="R6811" s="38"/>
    </row>
    <row r="6812" spans="1:18" x14ac:dyDescent="0.3">
      <c r="A6812" s="34" t="str">
        <f>base!J6812</f>
        <v>RM</v>
      </c>
      <c r="B6812" s="34" t="str">
        <f>base!V6812</f>
        <v>13127</v>
      </c>
      <c r="C6812" s="37">
        <v>13</v>
      </c>
      <c r="D6812" s="36">
        <f>base!H6812</f>
        <v>110.91</v>
      </c>
      <c r="E6812" s="44"/>
      <c r="F6812" s="16">
        <f>base!W6812</f>
        <v>0</v>
      </c>
      <c r="G6812" s="11">
        <f t="shared" si="1060"/>
        <v>0</v>
      </c>
      <c r="H6812" s="11">
        <f t="shared" si="1061"/>
        <v>32.163899999999998</v>
      </c>
      <c r="I6812" s="11">
        <f t="shared" si="1062"/>
        <v>0.28999999999999998</v>
      </c>
      <c r="J6812" s="12">
        <f t="shared" si="1063"/>
        <v>-32.163899999999998</v>
      </c>
      <c r="K6812" s="17" t="str">
        <f t="shared" si="1068"/>
        <v>Ecart négatif</v>
      </c>
      <c r="L6812" s="16">
        <f>base!X6812</f>
        <v>0</v>
      </c>
      <c r="M6812" s="11">
        <f t="shared" si="1064"/>
        <v>0</v>
      </c>
      <c r="N6812" s="11">
        <f t="shared" si="1065"/>
        <v>21.072900000000001</v>
      </c>
      <c r="O6812" s="11">
        <f t="shared" si="1066"/>
        <v>0.19</v>
      </c>
      <c r="P6812" s="12">
        <f t="shared" si="1067"/>
        <v>-21.072900000000001</v>
      </c>
      <c r="Q6812" s="17" t="str">
        <f t="shared" si="1069"/>
        <v>Ecart négatif</v>
      </c>
    </row>
    <row r="6813" spans="1:18" x14ac:dyDescent="0.3">
      <c r="A6813" s="34" t="str">
        <f>base!J6813</f>
        <v>LM</v>
      </c>
      <c r="B6813" s="34" t="str">
        <f>base!V6813</f>
        <v>38400</v>
      </c>
      <c r="C6813" s="37">
        <v>30</v>
      </c>
      <c r="D6813" s="36">
        <f>base!H6813</f>
        <v>125.26</v>
      </c>
      <c r="E6813" s="44"/>
      <c r="F6813" s="16">
        <f>base!W6813</f>
        <v>33.82</v>
      </c>
      <c r="G6813" s="11">
        <f t="shared" si="1060"/>
        <v>0.2699984033210921</v>
      </c>
      <c r="H6813" s="11">
        <f t="shared" si="1061"/>
        <v>48.851400000000005</v>
      </c>
      <c r="I6813" s="11">
        <f t="shared" si="1062"/>
        <v>0.39</v>
      </c>
      <c r="J6813" s="12">
        <f t="shared" si="1063"/>
        <v>-15.031400000000005</v>
      </c>
      <c r="K6813" s="17" t="str">
        <f t="shared" si="1068"/>
        <v>Ecart négatif</v>
      </c>
      <c r="L6813" s="16">
        <f>base!X6813</f>
        <v>0</v>
      </c>
      <c r="M6813" s="11">
        <f t="shared" si="1064"/>
        <v>0</v>
      </c>
      <c r="N6813" s="11">
        <f t="shared" si="1065"/>
        <v>35.072800000000008</v>
      </c>
      <c r="O6813" s="11">
        <f t="shared" si="1066"/>
        <v>0.28000000000000003</v>
      </c>
      <c r="P6813" s="12">
        <f t="shared" si="1067"/>
        <v>-35.072800000000008</v>
      </c>
      <c r="Q6813" s="17" t="str">
        <f t="shared" si="1069"/>
        <v>Ecart négatif</v>
      </c>
    </row>
    <row r="6814" spans="1:18" x14ac:dyDescent="0.3">
      <c r="A6814" s="34" t="str">
        <f>base!J6814</f>
        <v>RS</v>
      </c>
      <c r="B6814" s="34" t="str">
        <f>base!V6814</f>
        <v>13002</v>
      </c>
      <c r="C6814" s="37">
        <v>13</v>
      </c>
      <c r="D6814" s="36">
        <f>base!H6814</f>
        <v>250</v>
      </c>
      <c r="E6814" s="44"/>
      <c r="F6814" s="16">
        <f>base!W6814</f>
        <v>0</v>
      </c>
      <c r="G6814" s="11">
        <f t="shared" si="1060"/>
        <v>0</v>
      </c>
      <c r="H6814" s="11">
        <f t="shared" si="1061"/>
        <v>72.5</v>
      </c>
      <c r="I6814" s="11">
        <f t="shared" si="1062"/>
        <v>0.28999999999999998</v>
      </c>
      <c r="J6814" s="12">
        <f t="shared" si="1063"/>
        <v>-72.5</v>
      </c>
      <c r="K6814" s="17" t="str">
        <f t="shared" si="1068"/>
        <v>Ecart négatif</v>
      </c>
      <c r="L6814" s="16">
        <f>base!X6814</f>
        <v>0</v>
      </c>
      <c r="M6814" s="11">
        <f t="shared" si="1064"/>
        <v>0</v>
      </c>
      <c r="N6814" s="11">
        <f t="shared" si="1065"/>
        <v>47.5</v>
      </c>
      <c r="O6814" s="11">
        <f t="shared" si="1066"/>
        <v>0.19</v>
      </c>
      <c r="P6814" s="12">
        <f t="shared" si="1067"/>
        <v>-47.5</v>
      </c>
      <c r="Q6814" s="17" t="str">
        <f t="shared" si="1069"/>
        <v>Ecart négatif</v>
      </c>
    </row>
    <row r="6815" spans="1:18" x14ac:dyDescent="0.3">
      <c r="A6815" s="34" t="str">
        <f>base!J6815</f>
        <v>DLS</v>
      </c>
      <c r="B6815" s="34" t="str">
        <f>base!V6815</f>
        <v>34130</v>
      </c>
      <c r="C6815" s="37">
        <v>34</v>
      </c>
      <c r="D6815" s="36">
        <f>base!H6815</f>
        <v>140</v>
      </c>
      <c r="E6815" s="44"/>
      <c r="F6815" s="16">
        <f>base!W6815</f>
        <v>0</v>
      </c>
      <c r="G6815" s="11">
        <f t="shared" si="1060"/>
        <v>0</v>
      </c>
      <c r="H6815" s="11">
        <f t="shared" si="1061"/>
        <v>54.6</v>
      </c>
      <c r="I6815" s="11">
        <f t="shared" si="1062"/>
        <v>0.39</v>
      </c>
      <c r="J6815" s="12">
        <f t="shared" si="1063"/>
        <v>-54.6</v>
      </c>
      <c r="K6815" s="17" t="str">
        <f t="shared" si="1068"/>
        <v>Ecart négatif</v>
      </c>
      <c r="L6815" s="16">
        <f>base!X6815</f>
        <v>40.6</v>
      </c>
      <c r="M6815" s="11">
        <f t="shared" si="1064"/>
        <v>0.29000000000000004</v>
      </c>
      <c r="N6815" s="11">
        <f t="shared" si="1065"/>
        <v>39.200000000000003</v>
      </c>
      <c r="O6815" s="11">
        <f t="shared" si="1066"/>
        <v>0.28000000000000003</v>
      </c>
      <c r="P6815" s="12">
        <f t="shared" si="1067"/>
        <v>1.3999999999999986</v>
      </c>
      <c r="Q6815" s="17" t="str">
        <f t="shared" si="1069"/>
        <v>Ecart positif</v>
      </c>
    </row>
    <row r="6816" spans="1:18" x14ac:dyDescent="0.3">
      <c r="A6816" s="34" t="str">
        <f>base!J6816</f>
        <v>RS</v>
      </c>
      <c r="B6816" s="34" t="str">
        <f>base!V6816</f>
        <v>69230</v>
      </c>
      <c r="C6816" s="37">
        <v>69</v>
      </c>
      <c r="D6816" s="36">
        <f>base!H6816</f>
        <v>157.32</v>
      </c>
      <c r="E6816" s="44"/>
      <c r="F6816" s="16">
        <f>base!W6816</f>
        <v>0</v>
      </c>
      <c r="G6816" s="11">
        <f t="shared" si="1060"/>
        <v>0</v>
      </c>
      <c r="H6816" s="11">
        <f t="shared" si="1061"/>
        <v>42.476399999999998</v>
      </c>
      <c r="I6816" s="11">
        <f t="shared" si="1062"/>
        <v>0.27</v>
      </c>
      <c r="J6816" s="12">
        <f t="shared" si="1063"/>
        <v>-42.476399999999998</v>
      </c>
      <c r="K6816" s="17" t="str">
        <f t="shared" si="1068"/>
        <v>Ecart négatif</v>
      </c>
      <c r="L6816" s="16">
        <f>base!X6816</f>
        <v>0</v>
      </c>
      <c r="M6816" s="11">
        <f t="shared" si="1064"/>
        <v>0</v>
      </c>
      <c r="N6816" s="11">
        <f t="shared" si="1065"/>
        <v>0</v>
      </c>
      <c r="O6816" s="11">
        <f t="shared" si="1066"/>
        <v>0</v>
      </c>
      <c r="P6816" s="12">
        <f t="shared" si="1067"/>
        <v>0</v>
      </c>
      <c r="Q6816" s="17" t="str">
        <f t="shared" si="1069"/>
        <v>Pas d'écart</v>
      </c>
    </row>
    <row r="6817" spans="1:18" x14ac:dyDescent="0.3">
      <c r="A6817" s="34" t="str">
        <f>base!J6817</f>
        <v>RS</v>
      </c>
      <c r="B6817" s="34" t="str">
        <f>base!V6817</f>
        <v>67900</v>
      </c>
      <c r="C6817" s="37">
        <v>67</v>
      </c>
      <c r="D6817" s="36">
        <f>base!H6817</f>
        <v>180</v>
      </c>
      <c r="E6817" s="44"/>
      <c r="F6817" s="16">
        <f>base!W6817</f>
        <v>0</v>
      </c>
      <c r="G6817" s="11">
        <f t="shared" si="1060"/>
        <v>0</v>
      </c>
      <c r="H6817" s="11">
        <f t="shared" si="1061"/>
        <v>52.199999999999996</v>
      </c>
      <c r="I6817" s="11">
        <f t="shared" si="1062"/>
        <v>0.28999999999999998</v>
      </c>
      <c r="J6817" s="12">
        <f t="shared" si="1063"/>
        <v>-52.199999999999996</v>
      </c>
      <c r="K6817" s="17" t="str">
        <f t="shared" si="1068"/>
        <v>Ecart négatif</v>
      </c>
      <c r="L6817" s="16">
        <f>base!X6817</f>
        <v>14.4</v>
      </c>
      <c r="M6817" s="11">
        <f t="shared" si="1064"/>
        <v>0.08</v>
      </c>
      <c r="N6817" s="11">
        <f t="shared" si="1065"/>
        <v>14.4</v>
      </c>
      <c r="O6817" s="11">
        <f t="shared" si="1066"/>
        <v>0.08</v>
      </c>
      <c r="P6817" s="12">
        <f t="shared" si="1067"/>
        <v>0</v>
      </c>
      <c r="Q6817" s="17" t="str">
        <f t="shared" si="1069"/>
        <v>Pas d'écart</v>
      </c>
      <c r="R6817" s="38"/>
    </row>
    <row r="6818" spans="1:18" x14ac:dyDescent="0.3">
      <c r="A6818" s="34" t="str">
        <f>base!J6818</f>
        <v>RM</v>
      </c>
      <c r="B6818" s="34" t="str">
        <f>base!V6818</f>
        <v>68290</v>
      </c>
      <c r="C6818" s="37">
        <v>68</v>
      </c>
      <c r="D6818" s="36">
        <f>base!H6818</f>
        <v>70</v>
      </c>
      <c r="E6818" s="44"/>
      <c r="F6818" s="16">
        <f>base!W6818</f>
        <v>0</v>
      </c>
      <c r="G6818" s="11">
        <f t="shared" si="1060"/>
        <v>0</v>
      </c>
      <c r="H6818" s="11">
        <f t="shared" si="1061"/>
        <v>20.299999999999997</v>
      </c>
      <c r="I6818" s="11">
        <f t="shared" si="1062"/>
        <v>0.28999999999999998</v>
      </c>
      <c r="J6818" s="12">
        <f t="shared" si="1063"/>
        <v>-20.299999999999997</v>
      </c>
      <c r="K6818" s="17" t="str">
        <f t="shared" si="1068"/>
        <v>Ecart négatif</v>
      </c>
      <c r="L6818" s="16">
        <f>base!X6818</f>
        <v>5.6</v>
      </c>
      <c r="M6818" s="11">
        <f t="shared" si="1064"/>
        <v>0.08</v>
      </c>
      <c r="N6818" s="11">
        <f t="shared" si="1065"/>
        <v>5.6000000000000005</v>
      </c>
      <c r="O6818" s="11">
        <f t="shared" si="1066"/>
        <v>0.08</v>
      </c>
      <c r="P6818" s="12">
        <f t="shared" si="1067"/>
        <v>0</v>
      </c>
      <c r="Q6818" s="17" t="str">
        <f t="shared" si="1069"/>
        <v>Pas d'écart</v>
      </c>
      <c r="R6818" s="38"/>
    </row>
    <row r="6819" spans="1:18" x14ac:dyDescent="0.3">
      <c r="A6819" s="34" t="str">
        <f>base!J6819</f>
        <v>RS</v>
      </c>
      <c r="B6819" s="34" t="str">
        <f>base!V6819</f>
        <v>02400</v>
      </c>
      <c r="C6819" s="37">
        <v>2</v>
      </c>
      <c r="D6819" s="36">
        <f>base!H6819</f>
        <v>180</v>
      </c>
      <c r="E6819" s="44"/>
      <c r="F6819" s="16">
        <f>base!W6819</f>
        <v>0</v>
      </c>
      <c r="G6819" s="11">
        <f t="shared" si="1060"/>
        <v>0</v>
      </c>
      <c r="H6819" s="11">
        <f t="shared" si="1061"/>
        <v>32.4</v>
      </c>
      <c r="I6819" s="11">
        <f t="shared" si="1062"/>
        <v>0.18</v>
      </c>
      <c r="J6819" s="12">
        <f t="shared" si="1063"/>
        <v>-32.4</v>
      </c>
      <c r="K6819" s="17" t="str">
        <f t="shared" si="1068"/>
        <v>Ecart négatif</v>
      </c>
      <c r="L6819" s="16">
        <f>base!X6819</f>
        <v>0</v>
      </c>
      <c r="M6819" s="11">
        <f t="shared" si="1064"/>
        <v>0</v>
      </c>
      <c r="N6819" s="11">
        <f t="shared" si="1065"/>
        <v>0</v>
      </c>
      <c r="O6819" s="11">
        <f t="shared" si="1066"/>
        <v>0</v>
      </c>
      <c r="P6819" s="12">
        <f t="shared" si="1067"/>
        <v>0</v>
      </c>
      <c r="Q6819" s="17" t="str">
        <f t="shared" si="1069"/>
        <v>Pas d'écart</v>
      </c>
    </row>
    <row r="6820" spans="1:18" x14ac:dyDescent="0.3">
      <c r="A6820" s="34" t="str">
        <f>base!J6820</f>
        <v>RM</v>
      </c>
      <c r="B6820" s="34" t="str">
        <f>base!V6820</f>
        <v>68290</v>
      </c>
      <c r="C6820" s="37">
        <v>68</v>
      </c>
      <c r="D6820" s="36">
        <f>base!H6820</f>
        <v>70</v>
      </c>
      <c r="E6820" s="44"/>
      <c r="F6820" s="16">
        <f>base!W6820</f>
        <v>0</v>
      </c>
      <c r="G6820" s="11">
        <f t="shared" si="1060"/>
        <v>0</v>
      </c>
      <c r="H6820" s="11">
        <f t="shared" si="1061"/>
        <v>20.299999999999997</v>
      </c>
      <c r="I6820" s="11">
        <f t="shared" si="1062"/>
        <v>0.28999999999999998</v>
      </c>
      <c r="J6820" s="12">
        <f t="shared" si="1063"/>
        <v>-20.299999999999997</v>
      </c>
      <c r="K6820" s="17" t="str">
        <f t="shared" si="1068"/>
        <v>Ecart négatif</v>
      </c>
      <c r="L6820" s="16">
        <f>base!X6820</f>
        <v>5.6</v>
      </c>
      <c r="M6820" s="11">
        <f t="shared" si="1064"/>
        <v>0.08</v>
      </c>
      <c r="N6820" s="11">
        <f t="shared" si="1065"/>
        <v>5.6000000000000005</v>
      </c>
      <c r="O6820" s="11">
        <f t="shared" si="1066"/>
        <v>0.08</v>
      </c>
      <c r="P6820" s="12">
        <f t="shared" si="1067"/>
        <v>0</v>
      </c>
      <c r="Q6820" s="17" t="str">
        <f t="shared" si="1069"/>
        <v>Pas d'écart</v>
      </c>
      <c r="R6820" s="38"/>
    </row>
    <row r="6821" spans="1:18" x14ac:dyDescent="0.3">
      <c r="A6821" s="34" t="str">
        <f>base!J6821</f>
        <v>LS</v>
      </c>
      <c r="B6821" s="34" t="str">
        <f>base!V6821</f>
        <v>75012</v>
      </c>
      <c r="C6821" s="37">
        <v>75</v>
      </c>
      <c r="D6821" s="36">
        <f>base!H6821</f>
        <v>80.88</v>
      </c>
      <c r="E6821" s="44"/>
      <c r="F6821" s="16">
        <f>base!W6821</f>
        <v>0</v>
      </c>
      <c r="G6821" s="11">
        <f t="shared" si="1060"/>
        <v>0</v>
      </c>
      <c r="H6821" s="11">
        <f t="shared" si="1061"/>
        <v>0</v>
      </c>
      <c r="I6821" s="11">
        <f t="shared" si="1062"/>
        <v>0</v>
      </c>
      <c r="J6821" s="12">
        <f t="shared" si="1063"/>
        <v>0</v>
      </c>
      <c r="K6821" s="17" t="str">
        <f t="shared" si="1068"/>
        <v>Pas d'écart</v>
      </c>
      <c r="L6821" s="16">
        <f>base!X6821</f>
        <v>0</v>
      </c>
      <c r="M6821" s="11">
        <f t="shared" si="1064"/>
        <v>0</v>
      </c>
      <c r="N6821" s="11">
        <f t="shared" si="1065"/>
        <v>0</v>
      </c>
      <c r="O6821" s="11">
        <f t="shared" si="1066"/>
        <v>0</v>
      </c>
      <c r="P6821" s="12">
        <f t="shared" si="1067"/>
        <v>0</v>
      </c>
      <c r="Q6821" s="17" t="str">
        <f t="shared" si="1069"/>
        <v>Pas d'écart</v>
      </c>
    </row>
    <row r="6822" spans="1:18" x14ac:dyDescent="0.3">
      <c r="A6822" s="34" t="str">
        <f>base!J6822</f>
        <v>RM</v>
      </c>
      <c r="B6822" s="34" t="str">
        <f>base!V6822</f>
        <v>69150</v>
      </c>
      <c r="C6822" s="37">
        <v>69</v>
      </c>
      <c r="D6822" s="36">
        <f>base!H6822</f>
        <v>25</v>
      </c>
      <c r="E6822" s="44"/>
      <c r="F6822" s="16">
        <f>base!W6822</f>
        <v>0</v>
      </c>
      <c r="G6822" s="11">
        <f t="shared" si="1060"/>
        <v>0</v>
      </c>
      <c r="H6822" s="11">
        <f t="shared" si="1061"/>
        <v>6.75</v>
      </c>
      <c r="I6822" s="11">
        <f t="shared" si="1062"/>
        <v>0.27</v>
      </c>
      <c r="J6822" s="12">
        <f t="shared" si="1063"/>
        <v>-6.75</v>
      </c>
      <c r="K6822" s="17" t="str">
        <f t="shared" si="1068"/>
        <v>Ecart négatif</v>
      </c>
      <c r="L6822" s="16">
        <f>base!X6822</f>
        <v>0</v>
      </c>
      <c r="M6822" s="11">
        <f t="shared" si="1064"/>
        <v>0</v>
      </c>
      <c r="N6822" s="11">
        <f t="shared" si="1065"/>
        <v>0</v>
      </c>
      <c r="O6822" s="11">
        <f t="shared" si="1066"/>
        <v>0</v>
      </c>
      <c r="P6822" s="12">
        <f t="shared" si="1067"/>
        <v>0</v>
      </c>
      <c r="Q6822" s="17" t="str">
        <f t="shared" si="1069"/>
        <v>Pas d'écart</v>
      </c>
    </row>
    <row r="6823" spans="1:18" x14ac:dyDescent="0.3">
      <c r="A6823" s="34" t="str">
        <f>base!J6823</f>
        <v>RM</v>
      </c>
      <c r="B6823" s="34" t="str">
        <f>base!V6823</f>
        <v>38000</v>
      </c>
      <c r="C6823" s="37">
        <v>38</v>
      </c>
      <c r="D6823" s="36">
        <f>base!H6823</f>
        <v>201</v>
      </c>
      <c r="E6823" s="44"/>
      <c r="F6823" s="16">
        <f>base!W6823</f>
        <v>0</v>
      </c>
      <c r="G6823" s="11">
        <f t="shared" si="1060"/>
        <v>0</v>
      </c>
      <c r="H6823" s="11">
        <f t="shared" si="1061"/>
        <v>54.27</v>
      </c>
      <c r="I6823" s="11">
        <f t="shared" si="1062"/>
        <v>0.27</v>
      </c>
      <c r="J6823" s="12">
        <f t="shared" si="1063"/>
        <v>-54.27</v>
      </c>
      <c r="K6823" s="17" t="str">
        <f t="shared" si="1068"/>
        <v>Ecart négatif</v>
      </c>
      <c r="L6823" s="16">
        <f>base!X6823</f>
        <v>54.27</v>
      </c>
      <c r="M6823" s="11">
        <f t="shared" si="1064"/>
        <v>0.27</v>
      </c>
      <c r="N6823" s="11">
        <f t="shared" si="1065"/>
        <v>0</v>
      </c>
      <c r="O6823" s="11">
        <f t="shared" si="1066"/>
        <v>0</v>
      </c>
      <c r="P6823" s="12">
        <f t="shared" si="1067"/>
        <v>54.27</v>
      </c>
      <c r="Q6823" s="17" t="str">
        <f t="shared" si="1069"/>
        <v>Ecart positif</v>
      </c>
      <c r="R6823" s="38"/>
    </row>
    <row r="6824" spans="1:18" x14ac:dyDescent="0.3">
      <c r="A6824" s="34" t="str">
        <f>base!J6824</f>
        <v>LM</v>
      </c>
      <c r="B6824" s="34" t="str">
        <f>base!V6824</f>
        <v>92000</v>
      </c>
      <c r="C6824" s="37">
        <v>92</v>
      </c>
      <c r="D6824" s="36">
        <f>base!H6824</f>
        <v>50.84</v>
      </c>
      <c r="E6824" s="44"/>
      <c r="F6824" s="16">
        <f>base!W6824</f>
        <v>0</v>
      </c>
      <c r="G6824" s="11">
        <f t="shared" si="1060"/>
        <v>0</v>
      </c>
      <c r="H6824" s="11">
        <f t="shared" si="1061"/>
        <v>0</v>
      </c>
      <c r="I6824" s="11">
        <f t="shared" si="1062"/>
        <v>0</v>
      </c>
      <c r="J6824" s="12">
        <f t="shared" si="1063"/>
        <v>0</v>
      </c>
      <c r="K6824" s="17" t="str">
        <f t="shared" si="1068"/>
        <v>Pas d'écart</v>
      </c>
      <c r="L6824" s="16">
        <f>base!X6824</f>
        <v>0</v>
      </c>
      <c r="M6824" s="11">
        <f t="shared" si="1064"/>
        <v>0</v>
      </c>
      <c r="N6824" s="11">
        <f t="shared" si="1065"/>
        <v>0</v>
      </c>
      <c r="O6824" s="11">
        <f t="shared" si="1066"/>
        <v>0</v>
      </c>
      <c r="P6824" s="12">
        <f t="shared" si="1067"/>
        <v>0</v>
      </c>
      <c r="Q6824" s="17" t="str">
        <f t="shared" si="1069"/>
        <v>Pas d'écart</v>
      </c>
    </row>
    <row r="6825" spans="1:18" x14ac:dyDescent="0.3">
      <c r="A6825" s="34" t="str">
        <f>base!J6825</f>
        <v>DLM</v>
      </c>
      <c r="B6825" s="34" t="str">
        <f>base!V6825</f>
        <v>13800</v>
      </c>
      <c r="C6825" s="37">
        <v>13</v>
      </c>
      <c r="D6825" s="36">
        <f>base!H6825</f>
        <v>52.5</v>
      </c>
      <c r="E6825" s="44"/>
      <c r="F6825" s="16">
        <f>base!W6825</f>
        <v>0</v>
      </c>
      <c r="G6825" s="11">
        <f t="shared" si="1060"/>
        <v>0</v>
      </c>
      <c r="H6825" s="11">
        <f t="shared" si="1061"/>
        <v>15.225</v>
      </c>
      <c r="I6825" s="11">
        <f t="shared" si="1062"/>
        <v>0.28999999999999998</v>
      </c>
      <c r="J6825" s="12">
        <f t="shared" si="1063"/>
        <v>-15.225</v>
      </c>
      <c r="K6825" s="17" t="str">
        <f t="shared" si="1068"/>
        <v>Ecart négatif</v>
      </c>
      <c r="L6825" s="16">
        <f>base!X6825</f>
        <v>0</v>
      </c>
      <c r="M6825" s="11">
        <f t="shared" si="1064"/>
        <v>0</v>
      </c>
      <c r="N6825" s="11">
        <f t="shared" si="1065"/>
        <v>9.9749999999999996</v>
      </c>
      <c r="O6825" s="11">
        <f t="shared" si="1066"/>
        <v>0.19</v>
      </c>
      <c r="P6825" s="12">
        <f t="shared" si="1067"/>
        <v>-9.9749999999999996</v>
      </c>
      <c r="Q6825" s="17" t="str">
        <f t="shared" si="1069"/>
        <v>Ecart négatif</v>
      </c>
    </row>
    <row r="6826" spans="1:18" x14ac:dyDescent="0.3">
      <c r="A6826" s="34" t="str">
        <f>base!J6826</f>
        <v>DLM</v>
      </c>
      <c r="B6826" s="34" t="str">
        <f>base!V6826</f>
        <v>69003</v>
      </c>
      <c r="C6826" s="37">
        <v>69</v>
      </c>
      <c r="D6826" s="36">
        <f>base!H6826</f>
        <v>52.5</v>
      </c>
      <c r="E6826" s="44"/>
      <c r="F6826" s="16">
        <f>base!W6826</f>
        <v>0</v>
      </c>
      <c r="G6826" s="11">
        <f t="shared" si="1060"/>
        <v>0</v>
      </c>
      <c r="H6826" s="11">
        <f t="shared" si="1061"/>
        <v>14.175000000000001</v>
      </c>
      <c r="I6826" s="11">
        <f t="shared" si="1062"/>
        <v>0.27</v>
      </c>
      <c r="J6826" s="12">
        <f t="shared" si="1063"/>
        <v>-14.175000000000001</v>
      </c>
      <c r="K6826" s="17" t="str">
        <f t="shared" si="1068"/>
        <v>Ecart négatif</v>
      </c>
      <c r="L6826" s="16">
        <f>base!X6826</f>
        <v>0</v>
      </c>
      <c r="M6826" s="11">
        <f t="shared" si="1064"/>
        <v>0</v>
      </c>
      <c r="N6826" s="11">
        <f t="shared" si="1065"/>
        <v>0</v>
      </c>
      <c r="O6826" s="11">
        <f t="shared" si="1066"/>
        <v>0</v>
      </c>
      <c r="P6826" s="12">
        <f t="shared" si="1067"/>
        <v>0</v>
      </c>
      <c r="Q6826" s="17" t="str">
        <f t="shared" si="1069"/>
        <v>Pas d'écart</v>
      </c>
    </row>
    <row r="6827" spans="1:18" x14ac:dyDescent="0.3">
      <c r="A6827" s="34" t="str">
        <f>base!J6827</f>
        <v>DLM</v>
      </c>
      <c r="B6827" s="34" t="str">
        <f>base!V6827</f>
        <v>71100</v>
      </c>
      <c r="C6827" s="37">
        <v>71</v>
      </c>
      <c r="D6827" s="36">
        <f>base!H6827</f>
        <v>52.5</v>
      </c>
      <c r="E6827" s="44"/>
      <c r="F6827" s="16">
        <f>base!W6827</f>
        <v>0</v>
      </c>
      <c r="G6827" s="11">
        <f t="shared" si="1060"/>
        <v>0</v>
      </c>
      <c r="H6827" s="11">
        <f t="shared" si="1061"/>
        <v>14.175000000000001</v>
      </c>
      <c r="I6827" s="11">
        <f t="shared" si="1062"/>
        <v>0.27</v>
      </c>
      <c r="J6827" s="12">
        <f t="shared" si="1063"/>
        <v>-14.175000000000001</v>
      </c>
      <c r="K6827" s="17" t="str">
        <f t="shared" si="1068"/>
        <v>Ecart négatif</v>
      </c>
      <c r="L6827" s="16">
        <f>base!X6827</f>
        <v>0</v>
      </c>
      <c r="M6827" s="11">
        <f t="shared" si="1064"/>
        <v>0</v>
      </c>
      <c r="N6827" s="11">
        <f t="shared" si="1065"/>
        <v>0</v>
      </c>
      <c r="O6827" s="11">
        <f t="shared" si="1066"/>
        <v>0</v>
      </c>
      <c r="P6827" s="12">
        <f t="shared" si="1067"/>
        <v>0</v>
      </c>
      <c r="Q6827" s="17" t="str">
        <f t="shared" si="1069"/>
        <v>Pas d'écart</v>
      </c>
    </row>
    <row r="6828" spans="1:18" x14ac:dyDescent="0.3">
      <c r="A6828" s="34" t="str">
        <f>base!J6828</f>
        <v>RS</v>
      </c>
      <c r="B6828" s="34" t="str">
        <f>base!V6828</f>
        <v>38520</v>
      </c>
      <c r="C6828" s="37">
        <v>38</v>
      </c>
      <c r="D6828" s="36">
        <f>base!H6828</f>
        <v>250</v>
      </c>
      <c r="E6828" s="44"/>
      <c r="F6828" s="16">
        <f>base!W6828</f>
        <v>0</v>
      </c>
      <c r="G6828" s="11">
        <f t="shared" si="1060"/>
        <v>0</v>
      </c>
      <c r="H6828" s="11">
        <f t="shared" si="1061"/>
        <v>67.5</v>
      </c>
      <c r="I6828" s="11">
        <f t="shared" si="1062"/>
        <v>0.27</v>
      </c>
      <c r="J6828" s="12">
        <f t="shared" si="1063"/>
        <v>-67.5</v>
      </c>
      <c r="K6828" s="17" t="str">
        <f t="shared" si="1068"/>
        <v>Ecart négatif</v>
      </c>
      <c r="L6828" s="16">
        <f>base!X6828</f>
        <v>0</v>
      </c>
      <c r="M6828" s="11">
        <f t="shared" si="1064"/>
        <v>0</v>
      </c>
      <c r="N6828" s="11">
        <f t="shared" si="1065"/>
        <v>0</v>
      </c>
      <c r="O6828" s="11">
        <f t="shared" si="1066"/>
        <v>0</v>
      </c>
      <c r="P6828" s="12">
        <f t="shared" si="1067"/>
        <v>0</v>
      </c>
      <c r="Q6828" s="17" t="str">
        <f t="shared" si="1069"/>
        <v>Pas d'écart</v>
      </c>
    </row>
    <row r="6829" spans="1:18" x14ac:dyDescent="0.3">
      <c r="A6829" s="34" t="str">
        <f>base!J6829</f>
        <v>RM</v>
      </c>
      <c r="B6829" s="34" t="str">
        <f>base!V6829</f>
        <v>44000</v>
      </c>
      <c r="C6829" s="37">
        <v>44</v>
      </c>
      <c r="D6829" s="36">
        <f>base!H6829</f>
        <v>140</v>
      </c>
      <c r="E6829" s="44"/>
      <c r="F6829" s="16">
        <f>base!W6829</f>
        <v>0</v>
      </c>
      <c r="G6829" s="11">
        <f t="shared" si="1060"/>
        <v>0</v>
      </c>
      <c r="H6829" s="11">
        <f t="shared" si="1061"/>
        <v>37.800000000000004</v>
      </c>
      <c r="I6829" s="11">
        <f t="shared" si="1062"/>
        <v>0.27</v>
      </c>
      <c r="J6829" s="12">
        <f t="shared" si="1063"/>
        <v>-37.800000000000004</v>
      </c>
      <c r="K6829" s="17" t="str">
        <f t="shared" si="1068"/>
        <v>Ecart négatif</v>
      </c>
      <c r="L6829" s="16">
        <f>base!X6829</f>
        <v>37.799999999999997</v>
      </c>
      <c r="M6829" s="11">
        <f t="shared" si="1064"/>
        <v>0.26999999999999996</v>
      </c>
      <c r="N6829" s="11">
        <f t="shared" si="1065"/>
        <v>0</v>
      </c>
      <c r="O6829" s="11">
        <f t="shared" si="1066"/>
        <v>0</v>
      </c>
      <c r="P6829" s="12">
        <f t="shared" si="1067"/>
        <v>37.799999999999997</v>
      </c>
      <c r="Q6829" s="17" t="str">
        <f t="shared" si="1069"/>
        <v>Ecart positif</v>
      </c>
    </row>
    <row r="6830" spans="1:18" x14ac:dyDescent="0.3">
      <c r="A6830" s="34" t="str">
        <f>base!J6830</f>
        <v>RM</v>
      </c>
      <c r="B6830" s="34" t="str">
        <f>base!V6830</f>
        <v>77000</v>
      </c>
      <c r="C6830" s="37">
        <v>77</v>
      </c>
      <c r="D6830" s="36">
        <f>base!H6830</f>
        <v>151</v>
      </c>
      <c r="E6830" s="44"/>
      <c r="F6830" s="16">
        <f>base!W6830</f>
        <v>0</v>
      </c>
      <c r="G6830" s="11">
        <f t="shared" si="1060"/>
        <v>0</v>
      </c>
      <c r="H6830" s="11">
        <f t="shared" si="1061"/>
        <v>0</v>
      </c>
      <c r="I6830" s="11">
        <f t="shared" si="1062"/>
        <v>0</v>
      </c>
      <c r="J6830" s="12">
        <f t="shared" si="1063"/>
        <v>0</v>
      </c>
      <c r="K6830" s="17" t="str">
        <f t="shared" si="1068"/>
        <v>Pas d'écart</v>
      </c>
      <c r="L6830" s="16">
        <f>base!X6830</f>
        <v>0</v>
      </c>
      <c r="M6830" s="11">
        <f t="shared" si="1064"/>
        <v>0</v>
      </c>
      <c r="N6830" s="11">
        <f t="shared" si="1065"/>
        <v>0</v>
      </c>
      <c r="O6830" s="11">
        <f t="shared" si="1066"/>
        <v>0</v>
      </c>
      <c r="P6830" s="12">
        <f t="shared" si="1067"/>
        <v>0</v>
      </c>
      <c r="Q6830" s="17" t="str">
        <f t="shared" si="1069"/>
        <v>Pas d'écart</v>
      </c>
    </row>
    <row r="6831" spans="1:18" x14ac:dyDescent="0.3">
      <c r="A6831" s="34" t="str">
        <f>base!J6831</f>
        <v>LM</v>
      </c>
      <c r="B6831" s="34" t="str">
        <f>base!V6831</f>
        <v>84200</v>
      </c>
      <c r="C6831" s="37">
        <v>34</v>
      </c>
      <c r="D6831" s="36">
        <f>base!H6831</f>
        <v>110.58</v>
      </c>
      <c r="E6831" s="44"/>
      <c r="F6831" s="16">
        <f>base!W6831</f>
        <v>32.07</v>
      </c>
      <c r="G6831" s="11">
        <f t="shared" si="1060"/>
        <v>0.29001627780792189</v>
      </c>
      <c r="H6831" s="11">
        <f t="shared" si="1061"/>
        <v>43.126200000000004</v>
      </c>
      <c r="I6831" s="11">
        <f t="shared" si="1062"/>
        <v>0.39000000000000007</v>
      </c>
      <c r="J6831" s="12">
        <f t="shared" si="1063"/>
        <v>-11.056200000000004</v>
      </c>
      <c r="K6831" s="17" t="str">
        <f t="shared" si="1068"/>
        <v>Ecart négatif</v>
      </c>
      <c r="L6831" s="16">
        <f>base!X6831</f>
        <v>0</v>
      </c>
      <c r="M6831" s="11">
        <f t="shared" si="1064"/>
        <v>0</v>
      </c>
      <c r="N6831" s="11">
        <f t="shared" si="1065"/>
        <v>30.962400000000002</v>
      </c>
      <c r="O6831" s="11">
        <f t="shared" si="1066"/>
        <v>0.28000000000000003</v>
      </c>
      <c r="P6831" s="12">
        <f t="shared" si="1067"/>
        <v>-30.962400000000002</v>
      </c>
      <c r="Q6831" s="17" t="str">
        <f t="shared" si="1069"/>
        <v>Ecart négatif</v>
      </c>
    </row>
    <row r="6832" spans="1:18" x14ac:dyDescent="0.3">
      <c r="A6832" s="34" t="str">
        <f>base!J6832</f>
        <v>LM</v>
      </c>
      <c r="B6832" s="34" t="str">
        <f>base!V6832</f>
        <v>07800</v>
      </c>
      <c r="C6832" s="37">
        <v>66</v>
      </c>
      <c r="D6832" s="36">
        <f>base!H6832</f>
        <v>19.649999999999999</v>
      </c>
      <c r="E6832" s="44"/>
      <c r="F6832" s="16">
        <f>base!W6832</f>
        <v>5.31</v>
      </c>
      <c r="G6832" s="11">
        <f t="shared" si="1060"/>
        <v>0.27022900763358776</v>
      </c>
      <c r="H6832" s="11">
        <f t="shared" si="1061"/>
        <v>6.681</v>
      </c>
      <c r="I6832" s="11">
        <f t="shared" si="1062"/>
        <v>0.34</v>
      </c>
      <c r="J6832" s="12">
        <f t="shared" si="1063"/>
        <v>-1.3710000000000004</v>
      </c>
      <c r="K6832" s="17" t="str">
        <f t="shared" si="1068"/>
        <v>Ecart négatif</v>
      </c>
      <c r="L6832" s="16">
        <f>base!X6832</f>
        <v>0</v>
      </c>
      <c r="M6832" s="11">
        <f t="shared" si="1064"/>
        <v>0</v>
      </c>
      <c r="N6832" s="11">
        <f t="shared" si="1065"/>
        <v>5.5019999999999998</v>
      </c>
      <c r="O6832" s="11">
        <f t="shared" si="1066"/>
        <v>0.28000000000000003</v>
      </c>
      <c r="P6832" s="12">
        <f t="shared" si="1067"/>
        <v>-5.5019999999999998</v>
      </c>
      <c r="Q6832" s="17" t="str">
        <f t="shared" si="1069"/>
        <v>Ecart négatif</v>
      </c>
    </row>
    <row r="6833" spans="1:18" x14ac:dyDescent="0.3">
      <c r="A6833" s="34" t="str">
        <f>base!J6833</f>
        <v>LM</v>
      </c>
      <c r="B6833" s="34" t="str">
        <f>base!V6833</f>
        <v>07800</v>
      </c>
      <c r="C6833" s="37">
        <v>30</v>
      </c>
      <c r="D6833" s="36">
        <f>base!H6833</f>
        <v>19.649999999999999</v>
      </c>
      <c r="E6833" s="44"/>
      <c r="F6833" s="16">
        <f>base!W6833</f>
        <v>5.31</v>
      </c>
      <c r="G6833" s="11">
        <f t="shared" si="1060"/>
        <v>0.27022900763358776</v>
      </c>
      <c r="H6833" s="11">
        <f t="shared" si="1061"/>
        <v>7.6635</v>
      </c>
      <c r="I6833" s="11">
        <f t="shared" si="1062"/>
        <v>0.39</v>
      </c>
      <c r="J6833" s="12">
        <f t="shared" si="1063"/>
        <v>-2.3535000000000004</v>
      </c>
      <c r="K6833" s="17" t="str">
        <f t="shared" si="1068"/>
        <v>Ecart négatif</v>
      </c>
      <c r="L6833" s="16">
        <f>base!X6833</f>
        <v>0</v>
      </c>
      <c r="M6833" s="11">
        <f t="shared" si="1064"/>
        <v>0</v>
      </c>
      <c r="N6833" s="11">
        <f t="shared" si="1065"/>
        <v>5.5019999999999998</v>
      </c>
      <c r="O6833" s="11">
        <f t="shared" si="1066"/>
        <v>0.28000000000000003</v>
      </c>
      <c r="P6833" s="12">
        <f t="shared" si="1067"/>
        <v>-5.5019999999999998</v>
      </c>
      <c r="Q6833" s="17" t="str">
        <f t="shared" si="1069"/>
        <v>Ecart négatif</v>
      </c>
    </row>
    <row r="6834" spans="1:18" x14ac:dyDescent="0.3">
      <c r="A6834" s="34" t="str">
        <f>base!J6834</f>
        <v>RM</v>
      </c>
      <c r="B6834" s="34" t="str">
        <f>base!V6834</f>
        <v>27400</v>
      </c>
      <c r="C6834" s="37">
        <v>27</v>
      </c>
      <c r="D6834" s="36">
        <f>base!H6834</f>
        <v>40</v>
      </c>
      <c r="E6834" s="44"/>
      <c r="F6834" s="16">
        <f>base!W6834</f>
        <v>0</v>
      </c>
      <c r="G6834" s="11">
        <f t="shared" si="1060"/>
        <v>0</v>
      </c>
      <c r="H6834" s="11">
        <f t="shared" si="1061"/>
        <v>6.8000000000000007</v>
      </c>
      <c r="I6834" s="11">
        <f t="shared" si="1062"/>
        <v>0.17</v>
      </c>
      <c r="J6834" s="12">
        <f t="shared" si="1063"/>
        <v>-6.8000000000000007</v>
      </c>
      <c r="K6834" s="17" t="str">
        <f t="shared" si="1068"/>
        <v>Ecart négatif</v>
      </c>
      <c r="L6834" s="16">
        <f>base!X6834</f>
        <v>0</v>
      </c>
      <c r="M6834" s="11">
        <f t="shared" si="1064"/>
        <v>0</v>
      </c>
      <c r="N6834" s="11">
        <f t="shared" si="1065"/>
        <v>6.8000000000000007</v>
      </c>
      <c r="O6834" s="11">
        <f t="shared" si="1066"/>
        <v>0.17</v>
      </c>
      <c r="P6834" s="12">
        <f t="shared" si="1067"/>
        <v>-6.8000000000000007</v>
      </c>
      <c r="Q6834" s="17" t="str">
        <f t="shared" si="1069"/>
        <v>Ecart négatif</v>
      </c>
    </row>
    <row r="6835" spans="1:18" x14ac:dyDescent="0.3">
      <c r="A6835" s="34" t="str">
        <f>base!J6835</f>
        <v>LM</v>
      </c>
      <c r="B6835" s="34" t="str">
        <f>base!V6835</f>
        <v>16380</v>
      </c>
      <c r="C6835" s="37">
        <v>22</v>
      </c>
      <c r="D6835" s="36">
        <f>base!H6835</f>
        <v>184.19</v>
      </c>
      <c r="E6835" s="44"/>
      <c r="F6835" s="16">
        <f>base!W6835</f>
        <v>38.68</v>
      </c>
      <c r="G6835" s="11">
        <f t="shared" si="1060"/>
        <v>0.21000054291763939</v>
      </c>
      <c r="H6835" s="11">
        <f t="shared" si="1061"/>
        <v>69.992199999999997</v>
      </c>
      <c r="I6835" s="11">
        <f t="shared" si="1062"/>
        <v>0.38</v>
      </c>
      <c r="J6835" s="12">
        <f t="shared" si="1063"/>
        <v>-31.312199999999997</v>
      </c>
      <c r="K6835" s="17" t="str">
        <f t="shared" si="1068"/>
        <v>Ecart négatif</v>
      </c>
      <c r="L6835" s="16">
        <f>base!X6835</f>
        <v>0</v>
      </c>
      <c r="M6835" s="11">
        <f t="shared" si="1064"/>
        <v>0</v>
      </c>
      <c r="N6835" s="11">
        <f t="shared" si="1065"/>
        <v>22.102799999999998</v>
      </c>
      <c r="O6835" s="11">
        <f t="shared" si="1066"/>
        <v>0.12</v>
      </c>
      <c r="P6835" s="12">
        <f t="shared" si="1067"/>
        <v>-22.102799999999998</v>
      </c>
      <c r="Q6835" s="17" t="str">
        <f t="shared" si="1069"/>
        <v>Ecart négatif</v>
      </c>
    </row>
    <row r="6836" spans="1:18" x14ac:dyDescent="0.3">
      <c r="A6836" s="34" t="str">
        <f>base!J6836</f>
        <v>LM</v>
      </c>
      <c r="B6836" s="34" t="str">
        <f>base!V6836</f>
        <v>44000</v>
      </c>
      <c r="C6836" s="37">
        <v>22</v>
      </c>
      <c r="D6836" s="36">
        <f>base!H6836</f>
        <v>153.15</v>
      </c>
      <c r="E6836" s="44"/>
      <c r="F6836" s="16">
        <f>base!W6836</f>
        <v>41.35</v>
      </c>
      <c r="G6836" s="11">
        <f t="shared" si="1060"/>
        <v>0.26999673522690171</v>
      </c>
      <c r="H6836" s="11">
        <f t="shared" si="1061"/>
        <v>58.197000000000003</v>
      </c>
      <c r="I6836" s="11">
        <f t="shared" si="1062"/>
        <v>0.38</v>
      </c>
      <c r="J6836" s="12">
        <f t="shared" si="1063"/>
        <v>-16.847000000000001</v>
      </c>
      <c r="K6836" s="17" t="str">
        <f t="shared" si="1068"/>
        <v>Ecart négatif</v>
      </c>
      <c r="L6836" s="16">
        <f>base!X6836</f>
        <v>0</v>
      </c>
      <c r="M6836" s="11">
        <f t="shared" si="1064"/>
        <v>0</v>
      </c>
      <c r="N6836" s="11">
        <f t="shared" si="1065"/>
        <v>18.378</v>
      </c>
      <c r="O6836" s="11">
        <f t="shared" si="1066"/>
        <v>0.12</v>
      </c>
      <c r="P6836" s="12">
        <f t="shared" si="1067"/>
        <v>-18.378</v>
      </c>
      <c r="Q6836" s="17" t="str">
        <f t="shared" si="1069"/>
        <v>Ecart négatif</v>
      </c>
    </row>
    <row r="6837" spans="1:18" x14ac:dyDescent="0.3">
      <c r="A6837" s="34" t="str">
        <f>base!J6837</f>
        <v>RS</v>
      </c>
      <c r="B6837" s="34" t="str">
        <f>base!V6837</f>
        <v>75847</v>
      </c>
      <c r="C6837" s="37">
        <v>75</v>
      </c>
      <c r="D6837" s="36">
        <f>base!H6837</f>
        <v>151</v>
      </c>
      <c r="E6837" s="44"/>
      <c r="F6837" s="16">
        <f>base!W6837</f>
        <v>0</v>
      </c>
      <c r="G6837" s="11">
        <f t="shared" si="1060"/>
        <v>0</v>
      </c>
      <c r="H6837" s="11">
        <f t="shared" si="1061"/>
        <v>0</v>
      </c>
      <c r="I6837" s="11">
        <f t="shared" si="1062"/>
        <v>0</v>
      </c>
      <c r="J6837" s="12">
        <f t="shared" si="1063"/>
        <v>0</v>
      </c>
      <c r="K6837" s="17" t="str">
        <f t="shared" si="1068"/>
        <v>Pas d'écart</v>
      </c>
      <c r="L6837" s="16">
        <f>base!X6837</f>
        <v>0</v>
      </c>
      <c r="M6837" s="11">
        <f t="shared" si="1064"/>
        <v>0</v>
      </c>
      <c r="N6837" s="11">
        <f t="shared" si="1065"/>
        <v>0</v>
      </c>
      <c r="O6837" s="11">
        <f t="shared" si="1066"/>
        <v>0</v>
      </c>
      <c r="P6837" s="12">
        <f t="shared" si="1067"/>
        <v>0</v>
      </c>
      <c r="Q6837" s="17" t="str">
        <f t="shared" si="1069"/>
        <v>Pas d'écart</v>
      </c>
    </row>
    <row r="6838" spans="1:18" x14ac:dyDescent="0.3">
      <c r="A6838" s="34" t="str">
        <f>base!J6838</f>
        <v>RS</v>
      </c>
      <c r="B6838" s="34" t="str">
        <f>base!V6838</f>
        <v>06560</v>
      </c>
      <c r="C6838" s="37">
        <v>6</v>
      </c>
      <c r="D6838" s="36">
        <f>base!H6838</f>
        <v>151</v>
      </c>
      <c r="E6838" s="44"/>
      <c r="F6838" s="16">
        <f>base!W6838</f>
        <v>0</v>
      </c>
      <c r="G6838" s="11">
        <f t="shared" si="1060"/>
        <v>0</v>
      </c>
      <c r="H6838" s="11">
        <f t="shared" si="1061"/>
        <v>45.3</v>
      </c>
      <c r="I6838" s="11">
        <f t="shared" si="1062"/>
        <v>0.3</v>
      </c>
      <c r="J6838" s="12">
        <f t="shared" si="1063"/>
        <v>-45.3</v>
      </c>
      <c r="K6838" s="17" t="str">
        <f t="shared" si="1068"/>
        <v>Ecart négatif</v>
      </c>
      <c r="L6838" s="16">
        <f>base!X6838</f>
        <v>0</v>
      </c>
      <c r="M6838" s="11">
        <f t="shared" si="1064"/>
        <v>0</v>
      </c>
      <c r="N6838" s="11">
        <f t="shared" si="1065"/>
        <v>31.709999999999997</v>
      </c>
      <c r="O6838" s="11">
        <f t="shared" si="1066"/>
        <v>0.21</v>
      </c>
      <c r="P6838" s="12">
        <f t="shared" si="1067"/>
        <v>-31.709999999999997</v>
      </c>
      <c r="Q6838" s="17" t="str">
        <f t="shared" si="1069"/>
        <v>Ecart négatif</v>
      </c>
    </row>
    <row r="6839" spans="1:18" x14ac:dyDescent="0.3">
      <c r="A6839" s="34" t="str">
        <f>base!J6839</f>
        <v>RS</v>
      </c>
      <c r="B6839" s="34" t="str">
        <f>base!V6839</f>
        <v>06560</v>
      </c>
      <c r="C6839" s="37">
        <v>6</v>
      </c>
      <c r="D6839" s="36">
        <f>base!H6839</f>
        <v>151</v>
      </c>
      <c r="E6839" s="44"/>
      <c r="F6839" s="16">
        <f>base!W6839</f>
        <v>0</v>
      </c>
      <c r="G6839" s="11">
        <f t="shared" si="1060"/>
        <v>0</v>
      </c>
      <c r="H6839" s="11">
        <f t="shared" si="1061"/>
        <v>45.3</v>
      </c>
      <c r="I6839" s="11">
        <f t="shared" si="1062"/>
        <v>0.3</v>
      </c>
      <c r="J6839" s="12">
        <f t="shared" si="1063"/>
        <v>-45.3</v>
      </c>
      <c r="K6839" s="17" t="str">
        <f t="shared" si="1068"/>
        <v>Ecart négatif</v>
      </c>
      <c r="L6839" s="16">
        <f>base!X6839</f>
        <v>0</v>
      </c>
      <c r="M6839" s="11">
        <f t="shared" si="1064"/>
        <v>0</v>
      </c>
      <c r="N6839" s="11">
        <f t="shared" si="1065"/>
        <v>31.709999999999997</v>
      </c>
      <c r="O6839" s="11">
        <f t="shared" si="1066"/>
        <v>0.21</v>
      </c>
      <c r="P6839" s="12">
        <f t="shared" si="1067"/>
        <v>-31.709999999999997</v>
      </c>
      <c r="Q6839" s="17" t="str">
        <f t="shared" si="1069"/>
        <v>Ecart négatif</v>
      </c>
    </row>
    <row r="6840" spans="1:18" x14ac:dyDescent="0.3">
      <c r="A6840" s="34" t="str">
        <f>base!J6840</f>
        <v>RM</v>
      </c>
      <c r="B6840" s="34" t="str">
        <f>base!V6840</f>
        <v>76410</v>
      </c>
      <c r="C6840" s="37">
        <v>76</v>
      </c>
      <c r="D6840" s="36">
        <f>base!H6840</f>
        <v>140</v>
      </c>
      <c r="E6840" s="44"/>
      <c r="F6840" s="16">
        <f>base!W6840</f>
        <v>0</v>
      </c>
      <c r="G6840" s="11">
        <f t="shared" si="1060"/>
        <v>0</v>
      </c>
      <c r="H6840" s="11">
        <f t="shared" si="1061"/>
        <v>23.8</v>
      </c>
      <c r="I6840" s="11">
        <f t="shared" si="1062"/>
        <v>0.17</v>
      </c>
      <c r="J6840" s="12">
        <f t="shared" si="1063"/>
        <v>-23.8</v>
      </c>
      <c r="K6840" s="17" t="str">
        <f t="shared" si="1068"/>
        <v>Ecart négatif</v>
      </c>
      <c r="L6840" s="16">
        <f>base!X6840</f>
        <v>23.8</v>
      </c>
      <c r="M6840" s="11">
        <f t="shared" si="1064"/>
        <v>0.17</v>
      </c>
      <c r="N6840" s="11">
        <f t="shared" si="1065"/>
        <v>23.8</v>
      </c>
      <c r="O6840" s="11">
        <f t="shared" si="1066"/>
        <v>0.17</v>
      </c>
      <c r="P6840" s="12">
        <f t="shared" si="1067"/>
        <v>0</v>
      </c>
      <c r="Q6840" s="17" t="str">
        <f t="shared" si="1069"/>
        <v>Pas d'écart</v>
      </c>
    </row>
    <row r="6841" spans="1:18" x14ac:dyDescent="0.3">
      <c r="A6841" s="34" t="str">
        <f>base!J6841</f>
        <v>LM</v>
      </c>
      <c r="B6841" s="34" t="str">
        <f>base!V6841</f>
        <v>94547</v>
      </c>
      <c r="C6841" s="37">
        <v>94</v>
      </c>
      <c r="D6841" s="36">
        <f>base!H6841</f>
        <v>53.52</v>
      </c>
      <c r="E6841" s="44"/>
      <c r="F6841" s="16">
        <f>base!W6841</f>
        <v>0</v>
      </c>
      <c r="G6841" s="11">
        <f t="shared" si="1060"/>
        <v>0</v>
      </c>
      <c r="H6841" s="11">
        <f t="shared" si="1061"/>
        <v>0</v>
      </c>
      <c r="I6841" s="11">
        <f t="shared" si="1062"/>
        <v>0</v>
      </c>
      <c r="J6841" s="12">
        <f t="shared" si="1063"/>
        <v>0</v>
      </c>
      <c r="K6841" s="17" t="str">
        <f t="shared" si="1068"/>
        <v>Pas d'écart</v>
      </c>
      <c r="L6841" s="16">
        <f>base!X6841</f>
        <v>0</v>
      </c>
      <c r="M6841" s="11">
        <f t="shared" si="1064"/>
        <v>0</v>
      </c>
      <c r="N6841" s="11">
        <f t="shared" si="1065"/>
        <v>0</v>
      </c>
      <c r="O6841" s="11">
        <f t="shared" si="1066"/>
        <v>0</v>
      </c>
      <c r="P6841" s="12">
        <f t="shared" si="1067"/>
        <v>0</v>
      </c>
      <c r="Q6841" s="17" t="str">
        <f t="shared" si="1069"/>
        <v>Pas d'écart</v>
      </c>
    </row>
    <row r="6842" spans="1:18" x14ac:dyDescent="0.3">
      <c r="A6842" s="34" t="str">
        <f>base!J6842</f>
        <v>LM</v>
      </c>
      <c r="B6842" s="34" t="str">
        <f>base!V6842</f>
        <v>94547</v>
      </c>
      <c r="C6842" s="37">
        <v>94</v>
      </c>
      <c r="D6842" s="36">
        <f>base!H6842</f>
        <v>53.52</v>
      </c>
      <c r="E6842" s="44"/>
      <c r="F6842" s="16">
        <f>base!W6842</f>
        <v>0</v>
      </c>
      <c r="G6842" s="11">
        <f t="shared" si="1060"/>
        <v>0</v>
      </c>
      <c r="H6842" s="11">
        <f t="shared" si="1061"/>
        <v>0</v>
      </c>
      <c r="I6842" s="11">
        <f t="shared" si="1062"/>
        <v>0</v>
      </c>
      <c r="J6842" s="12">
        <f t="shared" si="1063"/>
        <v>0</v>
      </c>
      <c r="K6842" s="17" t="str">
        <f t="shared" si="1068"/>
        <v>Pas d'écart</v>
      </c>
      <c r="L6842" s="16">
        <f>base!X6842</f>
        <v>0</v>
      </c>
      <c r="M6842" s="11">
        <f t="shared" si="1064"/>
        <v>0</v>
      </c>
      <c r="N6842" s="11">
        <f t="shared" si="1065"/>
        <v>0</v>
      </c>
      <c r="O6842" s="11">
        <f t="shared" si="1066"/>
        <v>0</v>
      </c>
      <c r="P6842" s="12">
        <f t="shared" si="1067"/>
        <v>0</v>
      </c>
      <c r="Q6842" s="17" t="str">
        <f t="shared" si="1069"/>
        <v>Pas d'écart</v>
      </c>
    </row>
    <row r="6843" spans="1:18" x14ac:dyDescent="0.3">
      <c r="A6843" s="34" t="str">
        <f>base!J6843</f>
        <v>RM</v>
      </c>
      <c r="B6843" s="34" t="str">
        <f>base!V6843</f>
        <v>42160</v>
      </c>
      <c r="C6843" s="37">
        <v>42</v>
      </c>
      <c r="D6843" s="36">
        <f>base!H6843</f>
        <v>22.8</v>
      </c>
      <c r="E6843" s="44"/>
      <c r="F6843" s="16">
        <f>base!W6843</f>
        <v>0</v>
      </c>
      <c r="G6843" s="11">
        <f t="shared" si="1060"/>
        <v>0</v>
      </c>
      <c r="H6843" s="11">
        <f t="shared" si="1061"/>
        <v>5.9280000000000008</v>
      </c>
      <c r="I6843" s="11">
        <f t="shared" si="1062"/>
        <v>0.26</v>
      </c>
      <c r="J6843" s="12">
        <f t="shared" si="1063"/>
        <v>-5.9280000000000008</v>
      </c>
      <c r="K6843" s="17" t="str">
        <f t="shared" si="1068"/>
        <v>Ecart négatif</v>
      </c>
      <c r="L6843" s="16">
        <f>base!X6843</f>
        <v>0</v>
      </c>
      <c r="M6843" s="11">
        <f t="shared" si="1064"/>
        <v>0</v>
      </c>
      <c r="N6843" s="11">
        <f t="shared" si="1065"/>
        <v>0</v>
      </c>
      <c r="O6843" s="11">
        <f t="shared" si="1066"/>
        <v>0</v>
      </c>
      <c r="P6843" s="12">
        <f t="shared" si="1067"/>
        <v>0</v>
      </c>
      <c r="Q6843" s="17" t="str">
        <f t="shared" si="1069"/>
        <v>Pas d'écart</v>
      </c>
    </row>
    <row r="6844" spans="1:18" x14ac:dyDescent="0.3">
      <c r="A6844" s="34">
        <f>base!J6844</f>
        <v>0</v>
      </c>
      <c r="B6844" s="34" t="str">
        <f>base!V6844</f>
        <v>77184</v>
      </c>
      <c r="C6844" s="37">
        <v>77</v>
      </c>
      <c r="D6844" s="36">
        <f>base!H6844</f>
        <v>35</v>
      </c>
      <c r="E6844" s="44"/>
      <c r="F6844" s="16">
        <f>base!W6844</f>
        <v>0</v>
      </c>
      <c r="G6844" s="11">
        <f t="shared" si="1060"/>
        <v>0</v>
      </c>
      <c r="H6844" s="11">
        <f t="shared" si="1061"/>
        <v>0</v>
      </c>
      <c r="I6844" s="11">
        <f t="shared" si="1062"/>
        <v>0</v>
      </c>
      <c r="J6844" s="12">
        <f t="shared" si="1063"/>
        <v>0</v>
      </c>
      <c r="K6844" s="17" t="str">
        <f t="shared" si="1068"/>
        <v>Pas d'écart</v>
      </c>
      <c r="L6844" s="16">
        <f>base!X6844</f>
        <v>0</v>
      </c>
      <c r="M6844" s="11">
        <f t="shared" si="1064"/>
        <v>0</v>
      </c>
      <c r="N6844" s="11">
        <f t="shared" si="1065"/>
        <v>0</v>
      </c>
      <c r="O6844" s="11">
        <f t="shared" si="1066"/>
        <v>0</v>
      </c>
      <c r="P6844" s="12">
        <f t="shared" si="1067"/>
        <v>0</v>
      </c>
      <c r="Q6844" s="17" t="str">
        <f t="shared" si="1069"/>
        <v>Pas d'écart</v>
      </c>
    </row>
    <row r="6845" spans="1:18" x14ac:dyDescent="0.3">
      <c r="A6845" s="34" t="str">
        <f>base!J6845</f>
        <v>LM</v>
      </c>
      <c r="B6845" s="34" t="str">
        <f>base!V6845</f>
        <v>13008</v>
      </c>
      <c r="C6845" s="37">
        <v>34</v>
      </c>
      <c r="D6845" s="36">
        <f>base!H6845</f>
        <v>36.17</v>
      </c>
      <c r="E6845" s="44"/>
      <c r="F6845" s="16">
        <f>base!W6845</f>
        <v>10.49</v>
      </c>
      <c r="G6845" s="11">
        <f t="shared" si="1060"/>
        <v>0.29001935305501797</v>
      </c>
      <c r="H6845" s="11">
        <f t="shared" si="1061"/>
        <v>14.106300000000001</v>
      </c>
      <c r="I6845" s="11">
        <f t="shared" si="1062"/>
        <v>0.39</v>
      </c>
      <c r="J6845" s="12">
        <f t="shared" si="1063"/>
        <v>-3.6163000000000007</v>
      </c>
      <c r="K6845" s="17" t="str">
        <f t="shared" si="1068"/>
        <v>Ecart négatif</v>
      </c>
      <c r="L6845" s="16">
        <f>base!X6845</f>
        <v>0</v>
      </c>
      <c r="M6845" s="11">
        <f t="shared" si="1064"/>
        <v>0</v>
      </c>
      <c r="N6845" s="11">
        <f t="shared" si="1065"/>
        <v>10.127600000000001</v>
      </c>
      <c r="O6845" s="11">
        <f t="shared" si="1066"/>
        <v>0.28000000000000003</v>
      </c>
      <c r="P6845" s="12">
        <f t="shared" si="1067"/>
        <v>-10.127600000000001</v>
      </c>
      <c r="Q6845" s="17" t="str">
        <f t="shared" si="1069"/>
        <v>Ecart négatif</v>
      </c>
    </row>
    <row r="6846" spans="1:18" x14ac:dyDescent="0.3">
      <c r="A6846" s="34" t="str">
        <f>base!J6846</f>
        <v>RM</v>
      </c>
      <c r="B6846" s="34" t="str">
        <f>base!V6846</f>
        <v>13115</v>
      </c>
      <c r="C6846" s="37">
        <v>13</v>
      </c>
      <c r="D6846" s="36">
        <f>base!H6846</f>
        <v>40</v>
      </c>
      <c r="E6846" s="44"/>
      <c r="F6846" s="16">
        <f>base!W6846</f>
        <v>0</v>
      </c>
      <c r="G6846" s="11">
        <f t="shared" si="1060"/>
        <v>0</v>
      </c>
      <c r="H6846" s="11">
        <f t="shared" si="1061"/>
        <v>11.6</v>
      </c>
      <c r="I6846" s="11">
        <f t="shared" si="1062"/>
        <v>0.28999999999999998</v>
      </c>
      <c r="J6846" s="12">
        <f t="shared" si="1063"/>
        <v>-11.6</v>
      </c>
      <c r="K6846" s="17" t="str">
        <f t="shared" si="1068"/>
        <v>Ecart négatif</v>
      </c>
      <c r="L6846" s="16">
        <f>base!X6846</f>
        <v>7.6</v>
      </c>
      <c r="M6846" s="11">
        <f t="shared" si="1064"/>
        <v>0.19</v>
      </c>
      <c r="N6846" s="11">
        <f t="shared" si="1065"/>
        <v>7.6</v>
      </c>
      <c r="O6846" s="11">
        <f t="shared" si="1066"/>
        <v>0.19</v>
      </c>
      <c r="P6846" s="12">
        <f t="shared" si="1067"/>
        <v>0</v>
      </c>
      <c r="Q6846" s="17" t="str">
        <f t="shared" si="1069"/>
        <v>Pas d'écart</v>
      </c>
      <c r="R6846" s="38"/>
    </row>
    <row r="6847" spans="1:18" x14ac:dyDescent="0.3">
      <c r="A6847" s="34" t="str">
        <f>base!J6847</f>
        <v>LS</v>
      </c>
      <c r="B6847" s="34" t="str">
        <f>base!V6847</f>
        <v>38000</v>
      </c>
      <c r="C6847" s="37">
        <v>38</v>
      </c>
      <c r="D6847" s="36">
        <f>base!H6847</f>
        <v>40</v>
      </c>
      <c r="E6847" s="44"/>
      <c r="F6847" s="16">
        <f>base!W6847</f>
        <v>10.8</v>
      </c>
      <c r="G6847" s="11">
        <f t="shared" si="1060"/>
        <v>0.27</v>
      </c>
      <c r="H6847" s="11">
        <f t="shared" si="1061"/>
        <v>10.8</v>
      </c>
      <c r="I6847" s="11">
        <f t="shared" si="1062"/>
        <v>0.27</v>
      </c>
      <c r="J6847" s="12">
        <f t="shared" si="1063"/>
        <v>0</v>
      </c>
      <c r="K6847" s="17" t="str">
        <f t="shared" si="1068"/>
        <v>Pas d'écart</v>
      </c>
      <c r="L6847" s="16">
        <f>base!X6847</f>
        <v>0</v>
      </c>
      <c r="M6847" s="11">
        <f t="shared" si="1064"/>
        <v>0</v>
      </c>
      <c r="N6847" s="11">
        <f t="shared" si="1065"/>
        <v>0</v>
      </c>
      <c r="O6847" s="11">
        <f t="shared" si="1066"/>
        <v>0</v>
      </c>
      <c r="P6847" s="12">
        <f t="shared" si="1067"/>
        <v>0</v>
      </c>
      <c r="Q6847" s="17" t="str">
        <f t="shared" si="1069"/>
        <v>Pas d'écart</v>
      </c>
    </row>
    <row r="6848" spans="1:18" x14ac:dyDescent="0.3">
      <c r="A6848" s="34" t="str">
        <f>base!J6848</f>
        <v>LM</v>
      </c>
      <c r="B6848" s="34" t="str">
        <f>base!V6848</f>
        <v>73200</v>
      </c>
      <c r="C6848" s="37">
        <v>34</v>
      </c>
      <c r="D6848" s="36">
        <f>base!H6848</f>
        <v>55.16</v>
      </c>
      <c r="E6848" s="44"/>
      <c r="F6848" s="16">
        <f>base!W6848</f>
        <v>14.89</v>
      </c>
      <c r="G6848" s="11">
        <f t="shared" si="1060"/>
        <v>0.26994198694706312</v>
      </c>
      <c r="H6848" s="11">
        <f t="shared" si="1061"/>
        <v>21.5124</v>
      </c>
      <c r="I6848" s="11">
        <f t="shared" si="1062"/>
        <v>0.39</v>
      </c>
      <c r="J6848" s="12">
        <f t="shared" si="1063"/>
        <v>-6.622399999999999</v>
      </c>
      <c r="K6848" s="17" t="str">
        <f t="shared" si="1068"/>
        <v>Ecart négatif</v>
      </c>
      <c r="L6848" s="16">
        <f>base!X6848</f>
        <v>0</v>
      </c>
      <c r="M6848" s="11">
        <f t="shared" si="1064"/>
        <v>0</v>
      </c>
      <c r="N6848" s="11">
        <f t="shared" si="1065"/>
        <v>15.444800000000001</v>
      </c>
      <c r="O6848" s="11">
        <f t="shared" si="1066"/>
        <v>0.28000000000000003</v>
      </c>
      <c r="P6848" s="12">
        <f t="shared" si="1067"/>
        <v>-15.444800000000001</v>
      </c>
      <c r="Q6848" s="17" t="str">
        <f t="shared" si="1069"/>
        <v>Ecart négatif</v>
      </c>
    </row>
    <row r="6849" spans="1:18" x14ac:dyDescent="0.3">
      <c r="A6849" s="34" t="str">
        <f>base!J6849</f>
        <v>LM</v>
      </c>
      <c r="B6849" s="34" t="str">
        <f>base!V6849</f>
        <v>75018</v>
      </c>
      <c r="C6849" s="37">
        <v>75</v>
      </c>
      <c r="D6849" s="36">
        <f>base!H6849</f>
        <v>20.23</v>
      </c>
      <c r="E6849" s="44"/>
      <c r="F6849" s="16">
        <f>base!W6849</f>
        <v>0</v>
      </c>
      <c r="G6849" s="11">
        <f t="shared" si="1060"/>
        <v>0</v>
      </c>
      <c r="H6849" s="11">
        <f t="shared" si="1061"/>
        <v>0</v>
      </c>
      <c r="I6849" s="11">
        <f t="shared" si="1062"/>
        <v>0</v>
      </c>
      <c r="J6849" s="12">
        <f t="shared" si="1063"/>
        <v>0</v>
      </c>
      <c r="K6849" s="17" t="str">
        <f t="shared" si="1068"/>
        <v>Pas d'écart</v>
      </c>
      <c r="L6849" s="16">
        <f>base!X6849</f>
        <v>0</v>
      </c>
      <c r="M6849" s="11">
        <f t="shared" si="1064"/>
        <v>0</v>
      </c>
      <c r="N6849" s="11">
        <f t="shared" si="1065"/>
        <v>0</v>
      </c>
      <c r="O6849" s="11">
        <f t="shared" si="1066"/>
        <v>0</v>
      </c>
      <c r="P6849" s="12">
        <f t="shared" si="1067"/>
        <v>0</v>
      </c>
      <c r="Q6849" s="17" t="str">
        <f t="shared" si="1069"/>
        <v>Pas d'écart</v>
      </c>
    </row>
    <row r="6850" spans="1:18" x14ac:dyDescent="0.3">
      <c r="A6850" s="34" t="str">
        <f>base!J6850</f>
        <v>RS</v>
      </c>
      <c r="B6850" s="34" t="str">
        <f>base!V6850</f>
        <v>14100</v>
      </c>
      <c r="C6850" s="37">
        <v>14</v>
      </c>
      <c r="D6850" s="36">
        <f>base!H6850</f>
        <v>180</v>
      </c>
      <c r="E6850" s="44"/>
      <c r="F6850" s="16">
        <f>base!W6850</f>
        <v>0</v>
      </c>
      <c r="G6850" s="11">
        <f t="shared" ref="G6850:G6913" si="1070">F6850/D6850</f>
        <v>0</v>
      </c>
      <c r="H6850" s="11">
        <f t="shared" ref="H6850:H6913" si="1071">VLOOKUP(C6850,tout_cout_traction,2,FALSE)*D6850</f>
        <v>30.6</v>
      </c>
      <c r="I6850" s="11">
        <f t="shared" ref="I6850:I6913" si="1072">H6850/D6850</f>
        <v>0.17</v>
      </c>
      <c r="J6850" s="12">
        <f t="shared" ref="J6850:J6913" si="1073">F6850-H6850</f>
        <v>-30.6</v>
      </c>
      <c r="K6850" s="17" t="str">
        <f t="shared" si="1068"/>
        <v>Ecart négatif</v>
      </c>
      <c r="L6850" s="16">
        <f>base!X6850</f>
        <v>30.6</v>
      </c>
      <c r="M6850" s="11">
        <f t="shared" ref="M6850:M6913" si="1074">L6850/D6850</f>
        <v>0.17</v>
      </c>
      <c r="N6850" s="11">
        <f t="shared" ref="N6850:N6913" si="1075">VLOOKUP(C6850,tout_cout_traction,3,FALSE)*D6850</f>
        <v>30.6</v>
      </c>
      <c r="O6850" s="11">
        <f t="shared" ref="O6850:O6913" si="1076">N6850/D6850</f>
        <v>0.17</v>
      </c>
      <c r="P6850" s="12">
        <f t="shared" ref="P6850:P6913" si="1077">L6850-N6850</f>
        <v>0</v>
      </c>
      <c r="Q6850" s="17" t="str">
        <f t="shared" si="1069"/>
        <v>Pas d'écart</v>
      </c>
    </row>
    <row r="6851" spans="1:18" x14ac:dyDescent="0.3">
      <c r="A6851" s="34" t="str">
        <f>base!J6851</f>
        <v>RS</v>
      </c>
      <c r="B6851" s="34" t="str">
        <f>base!V6851</f>
        <v>34740</v>
      </c>
      <c r="C6851" s="37">
        <v>34</v>
      </c>
      <c r="D6851" s="36">
        <f>base!H6851</f>
        <v>180</v>
      </c>
      <c r="E6851" s="44"/>
      <c r="F6851" s="16">
        <f>base!W6851</f>
        <v>0</v>
      </c>
      <c r="G6851" s="11">
        <f t="shared" si="1070"/>
        <v>0</v>
      </c>
      <c r="H6851" s="11">
        <f t="shared" si="1071"/>
        <v>70.2</v>
      </c>
      <c r="I6851" s="11">
        <f t="shared" si="1072"/>
        <v>0.39</v>
      </c>
      <c r="J6851" s="12">
        <f t="shared" si="1073"/>
        <v>-70.2</v>
      </c>
      <c r="K6851" s="17" t="str">
        <f t="shared" ref="K6851:K6914" si="1078">IF(H6851=F6851,"Pas d'écart",IF(H6851&lt;F6851,"Ecart positif",IF(H6851&gt;F6851,"Ecart négatif")))</f>
        <v>Ecart négatif</v>
      </c>
      <c r="L6851" s="16">
        <f>base!X6851</f>
        <v>50.4</v>
      </c>
      <c r="M6851" s="11">
        <f t="shared" si="1074"/>
        <v>0.27999999999999997</v>
      </c>
      <c r="N6851" s="11">
        <f t="shared" si="1075"/>
        <v>50.400000000000006</v>
      </c>
      <c r="O6851" s="11">
        <f t="shared" si="1076"/>
        <v>0.28000000000000003</v>
      </c>
      <c r="P6851" s="12">
        <f t="shared" si="1077"/>
        <v>0</v>
      </c>
      <c r="Q6851" s="17" t="str">
        <f t="shared" ref="Q6851:Q6914" si="1079">IF(N6851=L6851,"Pas d'écart",IF(N6851&lt;L6851,"Ecart positif",IF(N6851&gt;L6851,"Ecart négatif")))</f>
        <v>Pas d'écart</v>
      </c>
      <c r="R6851" s="38"/>
    </row>
    <row r="6852" spans="1:18" x14ac:dyDescent="0.3">
      <c r="A6852" s="34" t="str">
        <f>base!J6852</f>
        <v>RS</v>
      </c>
      <c r="B6852" s="34" t="str">
        <f>base!V6852</f>
        <v>45650</v>
      </c>
      <c r="C6852" s="37">
        <v>45</v>
      </c>
      <c r="D6852" s="36">
        <f>base!H6852</f>
        <v>140</v>
      </c>
      <c r="E6852" s="44"/>
      <c r="F6852" s="16">
        <f>base!W6852</f>
        <v>0</v>
      </c>
      <c r="G6852" s="11">
        <f t="shared" si="1070"/>
        <v>0</v>
      </c>
      <c r="H6852" s="11">
        <f t="shared" si="1071"/>
        <v>29.4</v>
      </c>
      <c r="I6852" s="11">
        <f t="shared" si="1072"/>
        <v>0.21</v>
      </c>
      <c r="J6852" s="12">
        <f t="shared" si="1073"/>
        <v>-29.4</v>
      </c>
      <c r="K6852" s="17" t="str">
        <f t="shared" si="1078"/>
        <v>Ecart négatif</v>
      </c>
      <c r="L6852" s="16">
        <f>base!X6852</f>
        <v>54.6</v>
      </c>
      <c r="M6852" s="11">
        <f t="shared" si="1074"/>
        <v>0.39</v>
      </c>
      <c r="N6852" s="11">
        <f t="shared" si="1075"/>
        <v>16.8</v>
      </c>
      <c r="O6852" s="11">
        <f t="shared" si="1076"/>
        <v>0.12000000000000001</v>
      </c>
      <c r="P6852" s="12">
        <f t="shared" si="1077"/>
        <v>37.799999999999997</v>
      </c>
      <c r="Q6852" s="17" t="str">
        <f t="shared" si="1079"/>
        <v>Ecart positif</v>
      </c>
      <c r="R6852" s="38"/>
    </row>
    <row r="6853" spans="1:18" x14ac:dyDescent="0.3">
      <c r="A6853" s="34">
        <f>base!J6853</f>
        <v>0</v>
      </c>
      <c r="B6853" s="34" t="str">
        <f>base!V6853</f>
        <v>77184</v>
      </c>
      <c r="C6853" s="37">
        <v>77</v>
      </c>
      <c r="D6853" s="36">
        <f>base!H6853</f>
        <v>84.5</v>
      </c>
      <c r="E6853" s="44"/>
      <c r="F6853" s="16">
        <f>base!W6853</f>
        <v>0</v>
      </c>
      <c r="G6853" s="11">
        <f t="shared" si="1070"/>
        <v>0</v>
      </c>
      <c r="H6853" s="11">
        <f t="shared" si="1071"/>
        <v>0</v>
      </c>
      <c r="I6853" s="11">
        <f t="shared" si="1072"/>
        <v>0</v>
      </c>
      <c r="J6853" s="12">
        <f t="shared" si="1073"/>
        <v>0</v>
      </c>
      <c r="K6853" s="17" t="str">
        <f t="shared" si="1078"/>
        <v>Pas d'écart</v>
      </c>
      <c r="L6853" s="16">
        <f>base!X6853</f>
        <v>0</v>
      </c>
      <c r="M6853" s="11">
        <f t="shared" si="1074"/>
        <v>0</v>
      </c>
      <c r="N6853" s="11">
        <f t="shared" si="1075"/>
        <v>0</v>
      </c>
      <c r="O6853" s="11">
        <f t="shared" si="1076"/>
        <v>0</v>
      </c>
      <c r="P6853" s="12">
        <f t="shared" si="1077"/>
        <v>0</v>
      </c>
      <c r="Q6853" s="17" t="str">
        <f t="shared" si="1079"/>
        <v>Pas d'écart</v>
      </c>
    </row>
    <row r="6854" spans="1:18" x14ac:dyDescent="0.3">
      <c r="A6854" s="34">
        <f>base!J6854</f>
        <v>0</v>
      </c>
      <c r="B6854" s="34" t="str">
        <f>base!V6854</f>
        <v>77184</v>
      </c>
      <c r="C6854" s="37">
        <v>77</v>
      </c>
      <c r="D6854" s="36">
        <f>base!H6854</f>
        <v>84.5</v>
      </c>
      <c r="E6854" s="44"/>
      <c r="F6854" s="16">
        <f>base!W6854</f>
        <v>0</v>
      </c>
      <c r="G6854" s="11">
        <f t="shared" si="1070"/>
        <v>0</v>
      </c>
      <c r="H6854" s="11">
        <f t="shared" si="1071"/>
        <v>0</v>
      </c>
      <c r="I6854" s="11">
        <f t="shared" si="1072"/>
        <v>0</v>
      </c>
      <c r="J6854" s="12">
        <f t="shared" si="1073"/>
        <v>0</v>
      </c>
      <c r="K6854" s="17" t="str">
        <f t="shared" si="1078"/>
        <v>Pas d'écart</v>
      </c>
      <c r="L6854" s="16">
        <f>base!X6854</f>
        <v>0</v>
      </c>
      <c r="M6854" s="11">
        <f t="shared" si="1074"/>
        <v>0</v>
      </c>
      <c r="N6854" s="11">
        <f t="shared" si="1075"/>
        <v>0</v>
      </c>
      <c r="O6854" s="11">
        <f t="shared" si="1076"/>
        <v>0</v>
      </c>
      <c r="P6854" s="12">
        <f t="shared" si="1077"/>
        <v>0</v>
      </c>
      <c r="Q6854" s="17" t="str">
        <f t="shared" si="1079"/>
        <v>Pas d'écart</v>
      </c>
    </row>
    <row r="6855" spans="1:18" x14ac:dyDescent="0.3">
      <c r="A6855" s="34">
        <f>base!J6855</f>
        <v>0</v>
      </c>
      <c r="B6855" s="34" t="str">
        <f>base!V6855</f>
        <v>77184</v>
      </c>
      <c r="C6855" s="37">
        <v>77</v>
      </c>
      <c r="D6855" s="36">
        <f>base!H6855</f>
        <v>66.2</v>
      </c>
      <c r="E6855" s="44"/>
      <c r="F6855" s="16">
        <f>base!W6855</f>
        <v>0</v>
      </c>
      <c r="G6855" s="11">
        <f t="shared" si="1070"/>
        <v>0</v>
      </c>
      <c r="H6855" s="11">
        <f t="shared" si="1071"/>
        <v>0</v>
      </c>
      <c r="I6855" s="11">
        <f t="shared" si="1072"/>
        <v>0</v>
      </c>
      <c r="J6855" s="12">
        <f t="shared" si="1073"/>
        <v>0</v>
      </c>
      <c r="K6855" s="17" t="str">
        <f t="shared" si="1078"/>
        <v>Pas d'écart</v>
      </c>
      <c r="L6855" s="16">
        <f>base!X6855</f>
        <v>0</v>
      </c>
      <c r="M6855" s="11">
        <f t="shared" si="1074"/>
        <v>0</v>
      </c>
      <c r="N6855" s="11">
        <f t="shared" si="1075"/>
        <v>0</v>
      </c>
      <c r="O6855" s="11">
        <f t="shared" si="1076"/>
        <v>0</v>
      </c>
      <c r="P6855" s="12">
        <f t="shared" si="1077"/>
        <v>0</v>
      </c>
      <c r="Q6855" s="17" t="str">
        <f t="shared" si="1079"/>
        <v>Pas d'écart</v>
      </c>
    </row>
    <row r="6856" spans="1:18" x14ac:dyDescent="0.3">
      <c r="A6856" s="34" t="str">
        <f>base!J6856</f>
        <v>RM</v>
      </c>
      <c r="B6856" s="34" t="str">
        <f>base!V6856</f>
        <v>88100</v>
      </c>
      <c r="C6856" s="37">
        <v>88</v>
      </c>
      <c r="D6856" s="36">
        <f>base!H6856</f>
        <v>17</v>
      </c>
      <c r="E6856" s="44"/>
      <c r="F6856" s="16">
        <f>base!W6856</f>
        <v>0</v>
      </c>
      <c r="G6856" s="11">
        <f t="shared" si="1070"/>
        <v>0</v>
      </c>
      <c r="H6856" s="11">
        <f t="shared" si="1071"/>
        <v>4.7600000000000007</v>
      </c>
      <c r="I6856" s="11">
        <f t="shared" si="1072"/>
        <v>0.28000000000000003</v>
      </c>
      <c r="J6856" s="12">
        <f t="shared" si="1073"/>
        <v>-4.7600000000000007</v>
      </c>
      <c r="K6856" s="17" t="str">
        <f t="shared" si="1078"/>
        <v>Ecart négatif</v>
      </c>
      <c r="L6856" s="16">
        <f>base!X6856</f>
        <v>0</v>
      </c>
      <c r="M6856" s="11">
        <f t="shared" si="1074"/>
        <v>0</v>
      </c>
      <c r="N6856" s="11">
        <f t="shared" si="1075"/>
        <v>1.36</v>
      </c>
      <c r="O6856" s="11">
        <f t="shared" si="1076"/>
        <v>0.08</v>
      </c>
      <c r="P6856" s="12">
        <f t="shared" si="1077"/>
        <v>-1.36</v>
      </c>
      <c r="Q6856" s="17" t="str">
        <f t="shared" si="1079"/>
        <v>Ecart négatif</v>
      </c>
    </row>
    <row r="6857" spans="1:18" x14ac:dyDescent="0.3">
      <c r="A6857" s="34" t="str">
        <f>base!J6857</f>
        <v>LS</v>
      </c>
      <c r="B6857" s="34" t="str">
        <f>base!V6857</f>
        <v>34000</v>
      </c>
      <c r="C6857" s="37">
        <v>34</v>
      </c>
      <c r="D6857" s="36">
        <f>base!H6857</f>
        <v>191.09</v>
      </c>
      <c r="E6857" s="44"/>
      <c r="F6857" s="16">
        <f>base!W6857</f>
        <v>74.53</v>
      </c>
      <c r="G6857" s="11">
        <f t="shared" si="1070"/>
        <v>0.39002564236747084</v>
      </c>
      <c r="H6857" s="11">
        <f t="shared" si="1071"/>
        <v>74.525100000000009</v>
      </c>
      <c r="I6857" s="11">
        <f t="shared" si="1072"/>
        <v>0.39</v>
      </c>
      <c r="J6857" s="12">
        <f t="shared" si="1073"/>
        <v>4.8999999999921329E-3</v>
      </c>
      <c r="K6857" s="17" t="str">
        <f t="shared" si="1078"/>
        <v>Ecart positif</v>
      </c>
      <c r="L6857" s="16">
        <f>base!X6857</f>
        <v>0</v>
      </c>
      <c r="M6857" s="11">
        <f t="shared" si="1074"/>
        <v>0</v>
      </c>
      <c r="N6857" s="11">
        <f t="shared" si="1075"/>
        <v>53.505200000000009</v>
      </c>
      <c r="O6857" s="11">
        <f t="shared" si="1076"/>
        <v>0.28000000000000003</v>
      </c>
      <c r="P6857" s="12">
        <f t="shared" si="1077"/>
        <v>-53.505200000000009</v>
      </c>
      <c r="Q6857" s="17" t="str">
        <f t="shared" si="1079"/>
        <v>Ecart négatif</v>
      </c>
    </row>
    <row r="6858" spans="1:18" x14ac:dyDescent="0.3">
      <c r="A6858" s="34" t="str">
        <f>base!J6858</f>
        <v>DLS</v>
      </c>
      <c r="B6858" s="34" t="str">
        <f>base!V6858</f>
        <v>25870</v>
      </c>
      <c r="C6858" s="37">
        <v>25</v>
      </c>
      <c r="D6858" s="36">
        <f>base!H6858</f>
        <v>100</v>
      </c>
      <c r="E6858" s="44"/>
      <c r="F6858" s="16">
        <f>base!W6858</f>
        <v>0</v>
      </c>
      <c r="G6858" s="11">
        <f t="shared" si="1070"/>
        <v>0</v>
      </c>
      <c r="H6858" s="11">
        <f t="shared" si="1071"/>
        <v>24</v>
      </c>
      <c r="I6858" s="11">
        <f t="shared" si="1072"/>
        <v>0.24</v>
      </c>
      <c r="J6858" s="12">
        <f t="shared" si="1073"/>
        <v>-24</v>
      </c>
      <c r="K6858" s="17" t="str">
        <f t="shared" si="1078"/>
        <v>Ecart négatif</v>
      </c>
      <c r="L6858" s="16">
        <f>base!X6858</f>
        <v>0</v>
      </c>
      <c r="M6858" s="11">
        <f t="shared" si="1074"/>
        <v>0</v>
      </c>
      <c r="N6858" s="11">
        <f t="shared" si="1075"/>
        <v>12</v>
      </c>
      <c r="O6858" s="11">
        <f t="shared" si="1076"/>
        <v>0.12</v>
      </c>
      <c r="P6858" s="12">
        <f t="shared" si="1077"/>
        <v>-12</v>
      </c>
      <c r="Q6858" s="17" t="str">
        <f t="shared" si="1079"/>
        <v>Ecart négatif</v>
      </c>
    </row>
    <row r="6859" spans="1:18" x14ac:dyDescent="0.3">
      <c r="A6859" s="34" t="str">
        <f>base!J6859</f>
        <v>LS</v>
      </c>
      <c r="B6859" s="34" t="str">
        <f>base!V6859</f>
        <v>49380</v>
      </c>
      <c r="C6859" s="37">
        <v>34</v>
      </c>
      <c r="D6859" s="36">
        <f>base!H6859</f>
        <v>370.47</v>
      </c>
      <c r="E6859" s="44"/>
      <c r="F6859" s="16">
        <f>base!W6859</f>
        <v>100.03</v>
      </c>
      <c r="G6859" s="11">
        <f t="shared" si="1070"/>
        <v>0.2700083677490755</v>
      </c>
      <c r="H6859" s="11">
        <f t="shared" si="1071"/>
        <v>144.48330000000001</v>
      </c>
      <c r="I6859" s="11">
        <f t="shared" si="1072"/>
        <v>0.39</v>
      </c>
      <c r="J6859" s="12">
        <f t="shared" si="1073"/>
        <v>-44.453300000000013</v>
      </c>
      <c r="K6859" s="17" t="str">
        <f t="shared" si="1078"/>
        <v>Ecart négatif</v>
      </c>
      <c r="L6859" s="16">
        <f>base!X6859</f>
        <v>0</v>
      </c>
      <c r="M6859" s="11">
        <f t="shared" si="1074"/>
        <v>0</v>
      </c>
      <c r="N6859" s="11">
        <f t="shared" si="1075"/>
        <v>103.73160000000001</v>
      </c>
      <c r="O6859" s="11">
        <f t="shared" si="1076"/>
        <v>0.28000000000000003</v>
      </c>
      <c r="P6859" s="12">
        <f t="shared" si="1077"/>
        <v>-103.73160000000001</v>
      </c>
      <c r="Q6859" s="17" t="str">
        <f t="shared" si="1079"/>
        <v>Ecart négatif</v>
      </c>
    </row>
    <row r="6860" spans="1:18" x14ac:dyDescent="0.3">
      <c r="A6860" s="34">
        <f>base!J6860</f>
        <v>0</v>
      </c>
      <c r="B6860" s="34" t="str">
        <f>base!V6860</f>
        <v>44240</v>
      </c>
      <c r="C6860" s="37">
        <v>44</v>
      </c>
      <c r="D6860" s="36">
        <f>base!H6860</f>
        <v>29.89</v>
      </c>
      <c r="E6860" s="44"/>
      <c r="F6860" s="16">
        <f>base!W6860</f>
        <v>0</v>
      </c>
      <c r="G6860" s="11">
        <f t="shared" si="1070"/>
        <v>0</v>
      </c>
      <c r="H6860" s="11">
        <f t="shared" si="1071"/>
        <v>8.0703000000000014</v>
      </c>
      <c r="I6860" s="11">
        <f t="shared" si="1072"/>
        <v>0.27</v>
      </c>
      <c r="J6860" s="12">
        <f t="shared" si="1073"/>
        <v>-8.0703000000000014</v>
      </c>
      <c r="K6860" s="17" t="str">
        <f t="shared" si="1078"/>
        <v>Ecart négatif</v>
      </c>
      <c r="L6860" s="16">
        <f>base!X6860</f>
        <v>0</v>
      </c>
      <c r="M6860" s="11">
        <f t="shared" si="1074"/>
        <v>0</v>
      </c>
      <c r="N6860" s="11">
        <f t="shared" si="1075"/>
        <v>0</v>
      </c>
      <c r="O6860" s="11">
        <f t="shared" si="1076"/>
        <v>0</v>
      </c>
      <c r="P6860" s="12">
        <f t="shared" si="1077"/>
        <v>0</v>
      </c>
      <c r="Q6860" s="17" t="str">
        <f t="shared" si="1079"/>
        <v>Pas d'écart</v>
      </c>
    </row>
    <row r="6861" spans="1:18" x14ac:dyDescent="0.3">
      <c r="A6861" s="34" t="str">
        <f>base!J6861</f>
        <v>LS</v>
      </c>
      <c r="B6861" s="34" t="str">
        <f>base!V6861</f>
        <v>94700</v>
      </c>
      <c r="C6861" s="37">
        <v>94</v>
      </c>
      <c r="D6861" s="36">
        <f>base!H6861</f>
        <v>0</v>
      </c>
      <c r="E6861" s="44"/>
      <c r="F6861" s="16">
        <f>base!W6861</f>
        <v>0</v>
      </c>
      <c r="G6861" s="11" t="e">
        <f t="shared" si="1070"/>
        <v>#DIV/0!</v>
      </c>
      <c r="H6861" s="11">
        <f t="shared" si="1071"/>
        <v>0</v>
      </c>
      <c r="I6861" s="11" t="e">
        <f t="shared" si="1072"/>
        <v>#DIV/0!</v>
      </c>
      <c r="J6861" s="12">
        <f t="shared" si="1073"/>
        <v>0</v>
      </c>
      <c r="K6861" s="17" t="str">
        <f t="shared" si="1078"/>
        <v>Pas d'écart</v>
      </c>
      <c r="L6861" s="16">
        <f>base!X6861</f>
        <v>0</v>
      </c>
      <c r="M6861" s="11" t="e">
        <f t="shared" si="1074"/>
        <v>#DIV/0!</v>
      </c>
      <c r="N6861" s="11">
        <f t="shared" si="1075"/>
        <v>0</v>
      </c>
      <c r="O6861" s="11" t="e">
        <f t="shared" si="1076"/>
        <v>#DIV/0!</v>
      </c>
      <c r="P6861" s="12">
        <f t="shared" si="1077"/>
        <v>0</v>
      </c>
      <c r="Q6861" s="17" t="str">
        <f t="shared" si="1079"/>
        <v>Pas d'écart</v>
      </c>
    </row>
    <row r="6862" spans="1:18" x14ac:dyDescent="0.3">
      <c r="A6862" s="34" t="str">
        <f>base!J6862</f>
        <v>LS</v>
      </c>
      <c r="B6862" s="34" t="str">
        <f>base!V6862</f>
        <v>75019</v>
      </c>
      <c r="C6862" s="37">
        <v>75</v>
      </c>
      <c r="D6862" s="36">
        <f>base!H6862</f>
        <v>324.41000000000003</v>
      </c>
      <c r="E6862" s="44"/>
      <c r="F6862" s="16">
        <f>base!W6862</f>
        <v>0</v>
      </c>
      <c r="G6862" s="11">
        <f t="shared" si="1070"/>
        <v>0</v>
      </c>
      <c r="H6862" s="11">
        <f t="shared" si="1071"/>
        <v>0</v>
      </c>
      <c r="I6862" s="11">
        <f t="shared" si="1072"/>
        <v>0</v>
      </c>
      <c r="J6862" s="12">
        <f t="shared" si="1073"/>
        <v>0</v>
      </c>
      <c r="K6862" s="17" t="str">
        <f t="shared" si="1078"/>
        <v>Pas d'écart</v>
      </c>
      <c r="L6862" s="16">
        <f>base!X6862</f>
        <v>0</v>
      </c>
      <c r="M6862" s="11">
        <f t="shared" si="1074"/>
        <v>0</v>
      </c>
      <c r="N6862" s="11">
        <f t="shared" si="1075"/>
        <v>0</v>
      </c>
      <c r="O6862" s="11">
        <f t="shared" si="1076"/>
        <v>0</v>
      </c>
      <c r="P6862" s="12">
        <f t="shared" si="1077"/>
        <v>0</v>
      </c>
      <c r="Q6862" s="17" t="str">
        <f t="shared" si="1079"/>
        <v>Pas d'écart</v>
      </c>
    </row>
    <row r="6863" spans="1:18" x14ac:dyDescent="0.3">
      <c r="A6863" s="34" t="str">
        <f>base!J6863</f>
        <v>LM</v>
      </c>
      <c r="B6863" s="34" t="str">
        <f>base!V6863</f>
        <v>06190</v>
      </c>
      <c r="C6863" s="37">
        <v>6</v>
      </c>
      <c r="D6863" s="36">
        <f>base!H6863</f>
        <v>220</v>
      </c>
      <c r="E6863" s="44"/>
      <c r="F6863" s="16">
        <f>base!W6863</f>
        <v>66</v>
      </c>
      <c r="G6863" s="11">
        <f t="shared" si="1070"/>
        <v>0.3</v>
      </c>
      <c r="H6863" s="11">
        <f t="shared" si="1071"/>
        <v>66</v>
      </c>
      <c r="I6863" s="11">
        <f t="shared" si="1072"/>
        <v>0.3</v>
      </c>
      <c r="J6863" s="12">
        <f t="shared" si="1073"/>
        <v>0</v>
      </c>
      <c r="K6863" s="17" t="str">
        <f t="shared" si="1078"/>
        <v>Pas d'écart</v>
      </c>
      <c r="L6863" s="16">
        <f>base!X6863</f>
        <v>0</v>
      </c>
      <c r="M6863" s="11">
        <f t="shared" si="1074"/>
        <v>0</v>
      </c>
      <c r="N6863" s="11">
        <f t="shared" si="1075"/>
        <v>46.199999999999996</v>
      </c>
      <c r="O6863" s="11">
        <f t="shared" si="1076"/>
        <v>0.21</v>
      </c>
      <c r="P6863" s="12">
        <f t="shared" si="1077"/>
        <v>-46.199999999999996</v>
      </c>
      <c r="Q6863" s="17" t="str">
        <f t="shared" si="1079"/>
        <v>Ecart négatif</v>
      </c>
    </row>
    <row r="6864" spans="1:18" x14ac:dyDescent="0.3">
      <c r="A6864" s="34" t="str">
        <f>base!J6864</f>
        <v>LS</v>
      </c>
      <c r="B6864" s="34" t="str">
        <f>base!V6864</f>
        <v>12000</v>
      </c>
      <c r="C6864" s="37">
        <v>29</v>
      </c>
      <c r="D6864" s="36">
        <f>base!H6864</f>
        <v>138.12</v>
      </c>
      <c r="E6864" s="44"/>
      <c r="F6864" s="16">
        <f>base!W6864</f>
        <v>30.39</v>
      </c>
      <c r="G6864" s="11">
        <f t="shared" si="1070"/>
        <v>0.22002606429192006</v>
      </c>
      <c r="H6864" s="11">
        <f t="shared" si="1071"/>
        <v>53.866800000000005</v>
      </c>
      <c r="I6864" s="11">
        <f t="shared" si="1072"/>
        <v>0.39</v>
      </c>
      <c r="J6864" s="12">
        <f t="shared" si="1073"/>
        <v>-23.476800000000004</v>
      </c>
      <c r="K6864" s="17" t="str">
        <f t="shared" si="1078"/>
        <v>Ecart négatif</v>
      </c>
      <c r="L6864" s="16">
        <f>base!X6864</f>
        <v>0</v>
      </c>
      <c r="M6864" s="11">
        <f t="shared" si="1074"/>
        <v>0</v>
      </c>
      <c r="N6864" s="11">
        <f t="shared" si="1075"/>
        <v>16.574400000000001</v>
      </c>
      <c r="O6864" s="11">
        <f t="shared" si="1076"/>
        <v>0.12</v>
      </c>
      <c r="P6864" s="12">
        <f t="shared" si="1077"/>
        <v>-16.574400000000001</v>
      </c>
      <c r="Q6864" s="17" t="str">
        <f t="shared" si="1079"/>
        <v>Ecart négatif</v>
      </c>
    </row>
    <row r="6865" spans="1:17" x14ac:dyDescent="0.3">
      <c r="A6865" s="34" t="str">
        <f>base!J6865</f>
        <v>LS</v>
      </c>
      <c r="B6865" s="34" t="str">
        <f>base!V6865</f>
        <v>69007</v>
      </c>
      <c r="C6865" s="37">
        <v>29</v>
      </c>
      <c r="D6865" s="36">
        <f>base!H6865</f>
        <v>28.62</v>
      </c>
      <c r="E6865" s="44"/>
      <c r="F6865" s="16">
        <f>base!W6865</f>
        <v>7.73</v>
      </c>
      <c r="G6865" s="11">
        <f t="shared" si="1070"/>
        <v>0.2700908455625437</v>
      </c>
      <c r="H6865" s="11">
        <f t="shared" si="1071"/>
        <v>11.161800000000001</v>
      </c>
      <c r="I6865" s="11">
        <f t="shared" si="1072"/>
        <v>0.39</v>
      </c>
      <c r="J6865" s="12">
        <f t="shared" si="1073"/>
        <v>-3.4318000000000008</v>
      </c>
      <c r="K6865" s="17" t="str">
        <f t="shared" si="1078"/>
        <v>Ecart négatif</v>
      </c>
      <c r="L6865" s="16">
        <f>base!X6865</f>
        <v>0</v>
      </c>
      <c r="M6865" s="11">
        <f t="shared" si="1074"/>
        <v>0</v>
      </c>
      <c r="N6865" s="11">
        <f t="shared" si="1075"/>
        <v>3.4344000000000001</v>
      </c>
      <c r="O6865" s="11">
        <f t="shared" si="1076"/>
        <v>0.12</v>
      </c>
      <c r="P6865" s="12">
        <f t="shared" si="1077"/>
        <v>-3.4344000000000001</v>
      </c>
      <c r="Q6865" s="17" t="str">
        <f t="shared" si="1079"/>
        <v>Ecart négatif</v>
      </c>
    </row>
    <row r="6866" spans="1:17" x14ac:dyDescent="0.3">
      <c r="A6866" s="34" t="str">
        <f>base!J6866</f>
        <v>LM</v>
      </c>
      <c r="B6866" s="34" t="str">
        <f>base!V6866</f>
        <v>34500</v>
      </c>
      <c r="C6866" s="37">
        <v>34</v>
      </c>
      <c r="D6866" s="36">
        <f>base!H6866</f>
        <v>149.79</v>
      </c>
      <c r="E6866" s="44"/>
      <c r="F6866" s="16">
        <f>base!W6866</f>
        <v>58.42</v>
      </c>
      <c r="G6866" s="11">
        <f t="shared" si="1070"/>
        <v>0.39001268442486148</v>
      </c>
      <c r="H6866" s="11">
        <f t="shared" si="1071"/>
        <v>58.418099999999995</v>
      </c>
      <c r="I6866" s="11">
        <f t="shared" si="1072"/>
        <v>0.39</v>
      </c>
      <c r="J6866" s="12">
        <f t="shared" si="1073"/>
        <v>1.90000000000623E-3</v>
      </c>
      <c r="K6866" s="17" t="str">
        <f t="shared" si="1078"/>
        <v>Ecart positif</v>
      </c>
      <c r="L6866" s="16">
        <f>base!X6866</f>
        <v>0</v>
      </c>
      <c r="M6866" s="11">
        <f t="shared" si="1074"/>
        <v>0</v>
      </c>
      <c r="N6866" s="11">
        <f t="shared" si="1075"/>
        <v>41.941200000000002</v>
      </c>
      <c r="O6866" s="11">
        <f t="shared" si="1076"/>
        <v>0.28000000000000003</v>
      </c>
      <c r="P6866" s="12">
        <f t="shared" si="1077"/>
        <v>-41.941200000000002</v>
      </c>
      <c r="Q6866" s="17" t="str">
        <f t="shared" si="1079"/>
        <v>Ecart négatif</v>
      </c>
    </row>
    <row r="6867" spans="1:17" x14ac:dyDescent="0.3">
      <c r="A6867" s="34" t="str">
        <f>base!J6867</f>
        <v>LM</v>
      </c>
      <c r="B6867" s="34" t="str">
        <f>base!V6867</f>
        <v>34500</v>
      </c>
      <c r="C6867" s="37">
        <v>29</v>
      </c>
      <c r="D6867" s="36">
        <f>base!H6867</f>
        <v>149.79</v>
      </c>
      <c r="E6867" s="44"/>
      <c r="F6867" s="16">
        <f>base!W6867</f>
        <v>58.42</v>
      </c>
      <c r="G6867" s="11">
        <f t="shared" si="1070"/>
        <v>0.39001268442486148</v>
      </c>
      <c r="H6867" s="11">
        <f t="shared" si="1071"/>
        <v>58.418099999999995</v>
      </c>
      <c r="I6867" s="11">
        <f t="shared" si="1072"/>
        <v>0.39</v>
      </c>
      <c r="J6867" s="12">
        <f t="shared" si="1073"/>
        <v>1.90000000000623E-3</v>
      </c>
      <c r="K6867" s="17" t="str">
        <f t="shared" si="1078"/>
        <v>Ecart positif</v>
      </c>
      <c r="L6867" s="16">
        <f>base!X6867</f>
        <v>0</v>
      </c>
      <c r="M6867" s="11">
        <f t="shared" si="1074"/>
        <v>0</v>
      </c>
      <c r="N6867" s="11">
        <f t="shared" si="1075"/>
        <v>17.974799999999998</v>
      </c>
      <c r="O6867" s="11">
        <f t="shared" si="1076"/>
        <v>0.12</v>
      </c>
      <c r="P6867" s="12">
        <f t="shared" si="1077"/>
        <v>-17.974799999999998</v>
      </c>
      <c r="Q6867" s="17" t="str">
        <f t="shared" si="1079"/>
        <v>Ecart négatif</v>
      </c>
    </row>
    <row r="6868" spans="1:17" x14ac:dyDescent="0.3">
      <c r="A6868" s="34" t="str">
        <f>base!J6868</f>
        <v>LM</v>
      </c>
      <c r="B6868" s="34" t="str">
        <f>base!V6868</f>
        <v>74190</v>
      </c>
      <c r="C6868" s="37">
        <v>66</v>
      </c>
      <c r="D6868" s="36">
        <f>base!H6868</f>
        <v>136.91999999999999</v>
      </c>
      <c r="E6868" s="44"/>
      <c r="F6868" s="16">
        <f>base!W6868</f>
        <v>36.97</v>
      </c>
      <c r="G6868" s="11">
        <f t="shared" si="1070"/>
        <v>0.27001168565585743</v>
      </c>
      <c r="H6868" s="11">
        <f t="shared" si="1071"/>
        <v>46.552799999999998</v>
      </c>
      <c r="I6868" s="11">
        <f t="shared" si="1072"/>
        <v>0.34</v>
      </c>
      <c r="J6868" s="12">
        <f t="shared" si="1073"/>
        <v>-9.5827999999999989</v>
      </c>
      <c r="K6868" s="17" t="str">
        <f t="shared" si="1078"/>
        <v>Ecart négatif</v>
      </c>
      <c r="L6868" s="16">
        <f>base!X6868</f>
        <v>0</v>
      </c>
      <c r="M6868" s="11">
        <f t="shared" si="1074"/>
        <v>0</v>
      </c>
      <c r="N6868" s="11">
        <f t="shared" si="1075"/>
        <v>38.337600000000002</v>
      </c>
      <c r="O6868" s="11">
        <f t="shared" si="1076"/>
        <v>0.28000000000000003</v>
      </c>
      <c r="P6868" s="12">
        <f t="shared" si="1077"/>
        <v>-38.337600000000002</v>
      </c>
      <c r="Q6868" s="17" t="str">
        <f t="shared" si="1079"/>
        <v>Ecart négatif</v>
      </c>
    </row>
    <row r="6869" spans="1:17" x14ac:dyDescent="0.3">
      <c r="A6869" s="34" t="str">
        <f>base!J6869</f>
        <v>LS</v>
      </c>
      <c r="B6869" s="34" t="str">
        <f>base!V6869</f>
        <v>75014</v>
      </c>
      <c r="C6869" s="37">
        <v>75</v>
      </c>
      <c r="D6869" s="36">
        <f>base!H6869</f>
        <v>107.6</v>
      </c>
      <c r="E6869" s="44"/>
      <c r="F6869" s="16">
        <f>base!W6869</f>
        <v>0</v>
      </c>
      <c r="G6869" s="11">
        <f t="shared" si="1070"/>
        <v>0</v>
      </c>
      <c r="H6869" s="11">
        <f t="shared" si="1071"/>
        <v>0</v>
      </c>
      <c r="I6869" s="11">
        <f t="shared" si="1072"/>
        <v>0</v>
      </c>
      <c r="J6869" s="12">
        <f t="shared" si="1073"/>
        <v>0</v>
      </c>
      <c r="K6869" s="17" t="str">
        <f t="shared" si="1078"/>
        <v>Pas d'écart</v>
      </c>
      <c r="L6869" s="16">
        <f>base!X6869</f>
        <v>0</v>
      </c>
      <c r="M6869" s="11">
        <f t="shared" si="1074"/>
        <v>0</v>
      </c>
      <c r="N6869" s="11">
        <f t="shared" si="1075"/>
        <v>0</v>
      </c>
      <c r="O6869" s="11">
        <f t="shared" si="1076"/>
        <v>0</v>
      </c>
      <c r="P6869" s="12">
        <f t="shared" si="1077"/>
        <v>0</v>
      </c>
      <c r="Q6869" s="17" t="str">
        <f t="shared" si="1079"/>
        <v>Pas d'écart</v>
      </c>
    </row>
    <row r="6870" spans="1:17" x14ac:dyDescent="0.3">
      <c r="A6870" s="34" t="str">
        <f>base!J6870</f>
        <v>LM</v>
      </c>
      <c r="B6870" s="34" t="str">
        <f>base!V6870</f>
        <v>75014</v>
      </c>
      <c r="C6870" s="37">
        <v>75</v>
      </c>
      <c r="D6870" s="36">
        <f>base!H6870</f>
        <v>107.6</v>
      </c>
      <c r="E6870" s="44"/>
      <c r="F6870" s="16">
        <f>base!W6870</f>
        <v>0</v>
      </c>
      <c r="G6870" s="11">
        <f t="shared" si="1070"/>
        <v>0</v>
      </c>
      <c r="H6870" s="11">
        <f t="shared" si="1071"/>
        <v>0</v>
      </c>
      <c r="I6870" s="11">
        <f t="shared" si="1072"/>
        <v>0</v>
      </c>
      <c r="J6870" s="12">
        <f t="shared" si="1073"/>
        <v>0</v>
      </c>
      <c r="K6870" s="17" t="str">
        <f t="shared" si="1078"/>
        <v>Pas d'écart</v>
      </c>
      <c r="L6870" s="16">
        <f>base!X6870</f>
        <v>0</v>
      </c>
      <c r="M6870" s="11">
        <f t="shared" si="1074"/>
        <v>0</v>
      </c>
      <c r="N6870" s="11">
        <f t="shared" si="1075"/>
        <v>0</v>
      </c>
      <c r="O6870" s="11">
        <f t="shared" si="1076"/>
        <v>0</v>
      </c>
      <c r="P6870" s="12">
        <f t="shared" si="1077"/>
        <v>0</v>
      </c>
      <c r="Q6870" s="17" t="str">
        <f t="shared" si="1079"/>
        <v>Pas d'écart</v>
      </c>
    </row>
    <row r="6871" spans="1:17" x14ac:dyDescent="0.3">
      <c r="A6871" s="34" t="str">
        <f>base!J6871</f>
        <v>LS</v>
      </c>
      <c r="B6871" s="34" t="str">
        <f>base!V6871</f>
        <v>56300</v>
      </c>
      <c r="C6871" s="37">
        <v>22</v>
      </c>
      <c r="D6871" s="36">
        <f>base!H6871</f>
        <v>126.65</v>
      </c>
      <c r="E6871" s="44"/>
      <c r="F6871" s="16">
        <f>base!W6871</f>
        <v>34.200000000000003</v>
      </c>
      <c r="G6871" s="11">
        <f t="shared" si="1070"/>
        <v>0.27003553099091987</v>
      </c>
      <c r="H6871" s="11">
        <f t="shared" si="1071"/>
        <v>48.127000000000002</v>
      </c>
      <c r="I6871" s="11">
        <f t="shared" si="1072"/>
        <v>0.38</v>
      </c>
      <c r="J6871" s="12">
        <f t="shared" si="1073"/>
        <v>-13.927</v>
      </c>
      <c r="K6871" s="17" t="str">
        <f t="shared" si="1078"/>
        <v>Ecart négatif</v>
      </c>
      <c r="L6871" s="16">
        <f>base!X6871</f>
        <v>0</v>
      </c>
      <c r="M6871" s="11">
        <f t="shared" si="1074"/>
        <v>0</v>
      </c>
      <c r="N6871" s="11">
        <f t="shared" si="1075"/>
        <v>15.198</v>
      </c>
      <c r="O6871" s="11">
        <f t="shared" si="1076"/>
        <v>0.12</v>
      </c>
      <c r="P6871" s="12">
        <f t="shared" si="1077"/>
        <v>-15.198</v>
      </c>
      <c r="Q6871" s="17" t="str">
        <f t="shared" si="1079"/>
        <v>Ecart négatif</v>
      </c>
    </row>
    <row r="6872" spans="1:17" x14ac:dyDescent="0.3">
      <c r="A6872" s="34" t="str">
        <f>base!J6872</f>
        <v>LM</v>
      </c>
      <c r="B6872" s="34" t="str">
        <f>base!V6872</f>
        <v>75014</v>
      </c>
      <c r="C6872" s="37">
        <v>75</v>
      </c>
      <c r="D6872" s="36">
        <f>base!H6872</f>
        <v>53.38</v>
      </c>
      <c r="E6872" s="44"/>
      <c r="F6872" s="16">
        <f>base!W6872</f>
        <v>0</v>
      </c>
      <c r="G6872" s="11">
        <f t="shared" si="1070"/>
        <v>0</v>
      </c>
      <c r="H6872" s="11">
        <f t="shared" si="1071"/>
        <v>0</v>
      </c>
      <c r="I6872" s="11">
        <f t="shared" si="1072"/>
        <v>0</v>
      </c>
      <c r="J6872" s="12">
        <f t="shared" si="1073"/>
        <v>0</v>
      </c>
      <c r="K6872" s="17" t="str">
        <f t="shared" si="1078"/>
        <v>Pas d'écart</v>
      </c>
      <c r="L6872" s="16">
        <f>base!X6872</f>
        <v>0</v>
      </c>
      <c r="M6872" s="11">
        <f t="shared" si="1074"/>
        <v>0</v>
      </c>
      <c r="N6872" s="11">
        <f t="shared" si="1075"/>
        <v>0</v>
      </c>
      <c r="O6872" s="11">
        <f t="shared" si="1076"/>
        <v>0</v>
      </c>
      <c r="P6872" s="12">
        <f t="shared" si="1077"/>
        <v>0</v>
      </c>
      <c r="Q6872" s="17" t="str">
        <f t="shared" si="1079"/>
        <v>Pas d'écart</v>
      </c>
    </row>
    <row r="6873" spans="1:17" x14ac:dyDescent="0.3">
      <c r="A6873" s="34" t="str">
        <f>base!J6873</f>
        <v>LS</v>
      </c>
      <c r="B6873" s="34" t="str">
        <f>base!V6873</f>
        <v>54700</v>
      </c>
      <c r="C6873" s="37">
        <v>29</v>
      </c>
      <c r="D6873" s="36">
        <f>base!H6873</f>
        <v>75.34</v>
      </c>
      <c r="E6873" s="44"/>
      <c r="F6873" s="16">
        <f>base!W6873</f>
        <v>18.84</v>
      </c>
      <c r="G6873" s="11">
        <f t="shared" si="1070"/>
        <v>0.25006636580833552</v>
      </c>
      <c r="H6873" s="11">
        <f t="shared" si="1071"/>
        <v>29.382600000000004</v>
      </c>
      <c r="I6873" s="11">
        <f t="shared" si="1072"/>
        <v>0.39</v>
      </c>
      <c r="J6873" s="12">
        <f t="shared" si="1073"/>
        <v>-10.542600000000004</v>
      </c>
      <c r="K6873" s="17" t="str">
        <f t="shared" si="1078"/>
        <v>Ecart négatif</v>
      </c>
      <c r="L6873" s="16">
        <f>base!X6873</f>
        <v>0</v>
      </c>
      <c r="M6873" s="11">
        <f t="shared" si="1074"/>
        <v>0</v>
      </c>
      <c r="N6873" s="11">
        <f t="shared" si="1075"/>
        <v>9.0408000000000008</v>
      </c>
      <c r="O6873" s="11">
        <f t="shared" si="1076"/>
        <v>0.12000000000000001</v>
      </c>
      <c r="P6873" s="12">
        <f t="shared" si="1077"/>
        <v>-9.0408000000000008</v>
      </c>
      <c r="Q6873" s="17" t="str">
        <f t="shared" si="1079"/>
        <v>Ecart négatif</v>
      </c>
    </row>
    <row r="6874" spans="1:17" x14ac:dyDescent="0.3">
      <c r="A6874" s="34">
        <f>base!J6874</f>
        <v>0</v>
      </c>
      <c r="B6874" s="34" t="str">
        <f>base!V6874</f>
        <v>44240</v>
      </c>
      <c r="C6874" s="37">
        <v>44</v>
      </c>
      <c r="D6874" s="36">
        <f>base!H6874</f>
        <v>59.27</v>
      </c>
      <c r="E6874" s="44"/>
      <c r="F6874" s="16">
        <f>base!W6874</f>
        <v>0</v>
      </c>
      <c r="G6874" s="11">
        <f t="shared" si="1070"/>
        <v>0</v>
      </c>
      <c r="H6874" s="11">
        <f t="shared" si="1071"/>
        <v>16.0029</v>
      </c>
      <c r="I6874" s="11">
        <f t="shared" si="1072"/>
        <v>0.27</v>
      </c>
      <c r="J6874" s="12">
        <f t="shared" si="1073"/>
        <v>-16.0029</v>
      </c>
      <c r="K6874" s="17" t="str">
        <f t="shared" si="1078"/>
        <v>Ecart négatif</v>
      </c>
      <c r="L6874" s="16">
        <f>base!X6874</f>
        <v>0</v>
      </c>
      <c r="M6874" s="11">
        <f t="shared" si="1074"/>
        <v>0</v>
      </c>
      <c r="N6874" s="11">
        <f t="shared" si="1075"/>
        <v>0</v>
      </c>
      <c r="O6874" s="11">
        <f t="shared" si="1076"/>
        <v>0</v>
      </c>
      <c r="P6874" s="12">
        <f t="shared" si="1077"/>
        <v>0</v>
      </c>
      <c r="Q6874" s="17" t="str">
        <f t="shared" si="1079"/>
        <v>Pas d'écart</v>
      </c>
    </row>
    <row r="6875" spans="1:17" x14ac:dyDescent="0.3">
      <c r="A6875" s="34" t="str">
        <f>base!J6875</f>
        <v>DRS</v>
      </c>
      <c r="B6875" s="34" t="str">
        <f>base!V6875</f>
        <v>35220</v>
      </c>
      <c r="C6875" s="37">
        <v>35</v>
      </c>
      <c r="D6875" s="36">
        <f>base!H6875</f>
        <v>171.28</v>
      </c>
      <c r="E6875" s="44"/>
      <c r="F6875" s="16">
        <f>base!W6875</f>
        <v>0</v>
      </c>
      <c r="G6875" s="11">
        <f t="shared" si="1070"/>
        <v>0</v>
      </c>
      <c r="H6875" s="11">
        <f t="shared" si="1071"/>
        <v>46.245600000000003</v>
      </c>
      <c r="I6875" s="11">
        <f t="shared" si="1072"/>
        <v>0.27</v>
      </c>
      <c r="J6875" s="12">
        <f t="shared" si="1073"/>
        <v>-46.245600000000003</v>
      </c>
      <c r="K6875" s="17" t="str">
        <f t="shared" si="1078"/>
        <v>Ecart négatif</v>
      </c>
      <c r="L6875" s="16">
        <f>base!X6875</f>
        <v>0</v>
      </c>
      <c r="M6875" s="11">
        <f t="shared" si="1074"/>
        <v>0</v>
      </c>
      <c r="N6875" s="11">
        <f t="shared" si="1075"/>
        <v>0</v>
      </c>
      <c r="O6875" s="11">
        <f t="shared" si="1076"/>
        <v>0</v>
      </c>
      <c r="P6875" s="12">
        <f t="shared" si="1077"/>
        <v>0</v>
      </c>
      <c r="Q6875" s="17" t="str">
        <f t="shared" si="1079"/>
        <v>Pas d'écart</v>
      </c>
    </row>
    <row r="6876" spans="1:17" x14ac:dyDescent="0.3">
      <c r="A6876" s="34" t="str">
        <f>base!J6876</f>
        <v>LS</v>
      </c>
      <c r="B6876" s="34" t="str">
        <f>base!V6876</f>
        <v>11100</v>
      </c>
      <c r="C6876" s="37">
        <v>34</v>
      </c>
      <c r="D6876" s="36">
        <f>base!H6876</f>
        <v>183.98</v>
      </c>
      <c r="E6876" s="44"/>
      <c r="F6876" s="16">
        <f>base!W6876</f>
        <v>71.75</v>
      </c>
      <c r="G6876" s="11">
        <f t="shared" si="1070"/>
        <v>0.3899880421784977</v>
      </c>
      <c r="H6876" s="11">
        <f t="shared" si="1071"/>
        <v>71.752200000000002</v>
      </c>
      <c r="I6876" s="11">
        <f t="shared" si="1072"/>
        <v>0.39</v>
      </c>
      <c r="J6876" s="12">
        <f t="shared" si="1073"/>
        <v>-2.2000000000019782E-3</v>
      </c>
      <c r="K6876" s="17" t="str">
        <f t="shared" si="1078"/>
        <v>Ecart négatif</v>
      </c>
      <c r="L6876" s="16">
        <f>base!X6876</f>
        <v>0</v>
      </c>
      <c r="M6876" s="11">
        <f t="shared" si="1074"/>
        <v>0</v>
      </c>
      <c r="N6876" s="11">
        <f t="shared" si="1075"/>
        <v>51.514400000000002</v>
      </c>
      <c r="O6876" s="11">
        <f t="shared" si="1076"/>
        <v>0.28000000000000003</v>
      </c>
      <c r="P6876" s="12">
        <f t="shared" si="1077"/>
        <v>-51.514400000000002</v>
      </c>
      <c r="Q6876" s="17" t="str">
        <f t="shared" si="1079"/>
        <v>Ecart négatif</v>
      </c>
    </row>
    <row r="6877" spans="1:17" x14ac:dyDescent="0.3">
      <c r="A6877" s="34" t="str">
        <f>base!J6877</f>
        <v>LM</v>
      </c>
      <c r="B6877" s="34" t="str">
        <f>base!V6877</f>
        <v>14000</v>
      </c>
      <c r="C6877" s="37">
        <v>22</v>
      </c>
      <c r="D6877" s="36">
        <f>base!H6877</f>
        <v>156.57</v>
      </c>
      <c r="E6877" s="44"/>
      <c r="F6877" s="16">
        <f>base!W6877</f>
        <v>26.62</v>
      </c>
      <c r="G6877" s="11">
        <f t="shared" si="1070"/>
        <v>0.17001979945072493</v>
      </c>
      <c r="H6877" s="11">
        <f t="shared" si="1071"/>
        <v>59.496600000000001</v>
      </c>
      <c r="I6877" s="11">
        <f t="shared" si="1072"/>
        <v>0.38</v>
      </c>
      <c r="J6877" s="12">
        <f t="shared" si="1073"/>
        <v>-32.876599999999996</v>
      </c>
      <c r="K6877" s="17" t="str">
        <f t="shared" si="1078"/>
        <v>Ecart négatif</v>
      </c>
      <c r="L6877" s="16">
        <f>base!X6877</f>
        <v>0</v>
      </c>
      <c r="M6877" s="11">
        <f t="shared" si="1074"/>
        <v>0</v>
      </c>
      <c r="N6877" s="11">
        <f t="shared" si="1075"/>
        <v>18.788399999999999</v>
      </c>
      <c r="O6877" s="11">
        <f t="shared" si="1076"/>
        <v>0.12</v>
      </c>
      <c r="P6877" s="12">
        <f t="shared" si="1077"/>
        <v>-18.788399999999999</v>
      </c>
      <c r="Q6877" s="17" t="str">
        <f t="shared" si="1079"/>
        <v>Ecart négatif</v>
      </c>
    </row>
    <row r="6878" spans="1:17" x14ac:dyDescent="0.3">
      <c r="A6878" s="34" t="str">
        <f>base!J6878</f>
        <v>LM</v>
      </c>
      <c r="B6878" s="34" t="str">
        <f>base!V6878</f>
        <v>75014</v>
      </c>
      <c r="C6878" s="37">
        <v>75</v>
      </c>
      <c r="D6878" s="36">
        <f>base!H6878</f>
        <v>19.649999999999999</v>
      </c>
      <c r="E6878" s="44"/>
      <c r="F6878" s="16">
        <f>base!W6878</f>
        <v>0</v>
      </c>
      <c r="G6878" s="11">
        <f t="shared" si="1070"/>
        <v>0</v>
      </c>
      <c r="H6878" s="11">
        <f t="shared" si="1071"/>
        <v>0</v>
      </c>
      <c r="I6878" s="11">
        <f t="shared" si="1072"/>
        <v>0</v>
      </c>
      <c r="J6878" s="12">
        <f t="shared" si="1073"/>
        <v>0</v>
      </c>
      <c r="K6878" s="17" t="str">
        <f t="shared" si="1078"/>
        <v>Pas d'écart</v>
      </c>
      <c r="L6878" s="16">
        <f>base!X6878</f>
        <v>0</v>
      </c>
      <c r="M6878" s="11">
        <f t="shared" si="1074"/>
        <v>0</v>
      </c>
      <c r="N6878" s="11">
        <f t="shared" si="1075"/>
        <v>0</v>
      </c>
      <c r="O6878" s="11">
        <f t="shared" si="1076"/>
        <v>0</v>
      </c>
      <c r="P6878" s="12">
        <f t="shared" si="1077"/>
        <v>0</v>
      </c>
      <c r="Q6878" s="17" t="str">
        <f t="shared" si="1079"/>
        <v>Pas d'écart</v>
      </c>
    </row>
    <row r="6879" spans="1:17" x14ac:dyDescent="0.3">
      <c r="A6879" s="34" t="str">
        <f>base!J6879</f>
        <v>LM</v>
      </c>
      <c r="B6879" s="34" t="str">
        <f>base!V6879</f>
        <v>75014</v>
      </c>
      <c r="C6879" s="37">
        <v>75</v>
      </c>
      <c r="D6879" s="36">
        <f>base!H6879</f>
        <v>137.59</v>
      </c>
      <c r="E6879" s="44"/>
      <c r="F6879" s="16">
        <f>base!W6879</f>
        <v>0</v>
      </c>
      <c r="G6879" s="11">
        <f t="shared" si="1070"/>
        <v>0</v>
      </c>
      <c r="H6879" s="11">
        <f t="shared" si="1071"/>
        <v>0</v>
      </c>
      <c r="I6879" s="11">
        <f t="shared" si="1072"/>
        <v>0</v>
      </c>
      <c r="J6879" s="12">
        <f t="shared" si="1073"/>
        <v>0</v>
      </c>
      <c r="K6879" s="17" t="str">
        <f t="shared" si="1078"/>
        <v>Pas d'écart</v>
      </c>
      <c r="L6879" s="16">
        <f>base!X6879</f>
        <v>0</v>
      </c>
      <c r="M6879" s="11">
        <f t="shared" si="1074"/>
        <v>0</v>
      </c>
      <c r="N6879" s="11">
        <f t="shared" si="1075"/>
        <v>0</v>
      </c>
      <c r="O6879" s="11">
        <f t="shared" si="1076"/>
        <v>0</v>
      </c>
      <c r="P6879" s="12">
        <f t="shared" si="1077"/>
        <v>0</v>
      </c>
      <c r="Q6879" s="17" t="str">
        <f t="shared" si="1079"/>
        <v>Pas d'écart</v>
      </c>
    </row>
    <row r="6880" spans="1:17" x14ac:dyDescent="0.3">
      <c r="A6880" s="34" t="str">
        <f>base!J6880</f>
        <v>LM</v>
      </c>
      <c r="B6880" s="34" t="str">
        <f>base!V6880</f>
        <v>75014</v>
      </c>
      <c r="C6880" s="37">
        <v>75</v>
      </c>
      <c r="D6880" s="36">
        <f>base!H6880</f>
        <v>19.649999999999999</v>
      </c>
      <c r="E6880" s="44"/>
      <c r="F6880" s="16">
        <f>base!W6880</f>
        <v>0</v>
      </c>
      <c r="G6880" s="11">
        <f t="shared" si="1070"/>
        <v>0</v>
      </c>
      <c r="H6880" s="11">
        <f t="shared" si="1071"/>
        <v>0</v>
      </c>
      <c r="I6880" s="11">
        <f t="shared" si="1072"/>
        <v>0</v>
      </c>
      <c r="J6880" s="12">
        <f t="shared" si="1073"/>
        <v>0</v>
      </c>
      <c r="K6880" s="17" t="str">
        <f t="shared" si="1078"/>
        <v>Pas d'écart</v>
      </c>
      <c r="L6880" s="16">
        <f>base!X6880</f>
        <v>0</v>
      </c>
      <c r="M6880" s="11">
        <f t="shared" si="1074"/>
        <v>0</v>
      </c>
      <c r="N6880" s="11">
        <f t="shared" si="1075"/>
        <v>0</v>
      </c>
      <c r="O6880" s="11">
        <f t="shared" si="1076"/>
        <v>0</v>
      </c>
      <c r="P6880" s="12">
        <f t="shared" si="1077"/>
        <v>0</v>
      </c>
      <c r="Q6880" s="17" t="str">
        <f t="shared" si="1079"/>
        <v>Pas d'écart</v>
      </c>
    </row>
    <row r="6881" spans="1:17" x14ac:dyDescent="0.3">
      <c r="A6881" s="34" t="str">
        <f>base!J6881</f>
        <v>LM</v>
      </c>
      <c r="B6881" s="34" t="str">
        <f>base!V6881</f>
        <v>75014</v>
      </c>
      <c r="C6881" s="37">
        <v>75</v>
      </c>
      <c r="D6881" s="36">
        <f>base!H6881</f>
        <v>19.649999999999999</v>
      </c>
      <c r="E6881" s="44"/>
      <c r="F6881" s="16">
        <f>base!W6881</f>
        <v>0</v>
      </c>
      <c r="G6881" s="11">
        <f t="shared" si="1070"/>
        <v>0</v>
      </c>
      <c r="H6881" s="11">
        <f t="shared" si="1071"/>
        <v>0</v>
      </c>
      <c r="I6881" s="11">
        <f t="shared" si="1072"/>
        <v>0</v>
      </c>
      <c r="J6881" s="12">
        <f t="shared" si="1073"/>
        <v>0</v>
      </c>
      <c r="K6881" s="17" t="str">
        <f t="shared" si="1078"/>
        <v>Pas d'écart</v>
      </c>
      <c r="L6881" s="16">
        <f>base!X6881</f>
        <v>0</v>
      </c>
      <c r="M6881" s="11">
        <f t="shared" si="1074"/>
        <v>0</v>
      </c>
      <c r="N6881" s="11">
        <f t="shared" si="1075"/>
        <v>0</v>
      </c>
      <c r="O6881" s="11">
        <f t="shared" si="1076"/>
        <v>0</v>
      </c>
      <c r="P6881" s="12">
        <f t="shared" si="1077"/>
        <v>0</v>
      </c>
      <c r="Q6881" s="17" t="str">
        <f t="shared" si="1079"/>
        <v>Pas d'écart</v>
      </c>
    </row>
    <row r="6882" spans="1:17" x14ac:dyDescent="0.3">
      <c r="A6882" s="34" t="str">
        <f>base!J6882</f>
        <v>LM</v>
      </c>
      <c r="B6882" s="34" t="str">
        <f>base!V6882</f>
        <v>75014</v>
      </c>
      <c r="C6882" s="37">
        <v>75</v>
      </c>
      <c r="D6882" s="36">
        <f>base!H6882</f>
        <v>19.649999999999999</v>
      </c>
      <c r="E6882" s="44"/>
      <c r="F6882" s="16">
        <f>base!W6882</f>
        <v>0</v>
      </c>
      <c r="G6882" s="11">
        <f t="shared" si="1070"/>
        <v>0</v>
      </c>
      <c r="H6882" s="11">
        <f t="shared" si="1071"/>
        <v>0</v>
      </c>
      <c r="I6882" s="11">
        <f t="shared" si="1072"/>
        <v>0</v>
      </c>
      <c r="J6882" s="12">
        <f t="shared" si="1073"/>
        <v>0</v>
      </c>
      <c r="K6882" s="17" t="str">
        <f t="shared" si="1078"/>
        <v>Pas d'écart</v>
      </c>
      <c r="L6882" s="16">
        <f>base!X6882</f>
        <v>0</v>
      </c>
      <c r="M6882" s="11">
        <f t="shared" si="1074"/>
        <v>0</v>
      </c>
      <c r="N6882" s="11">
        <f t="shared" si="1075"/>
        <v>0</v>
      </c>
      <c r="O6882" s="11">
        <f t="shared" si="1076"/>
        <v>0</v>
      </c>
      <c r="P6882" s="12">
        <f t="shared" si="1077"/>
        <v>0</v>
      </c>
      <c r="Q6882" s="17" t="str">
        <f t="shared" si="1079"/>
        <v>Pas d'écart</v>
      </c>
    </row>
    <row r="6883" spans="1:17" x14ac:dyDescent="0.3">
      <c r="A6883" s="34" t="str">
        <f>base!J6883</f>
        <v>LM</v>
      </c>
      <c r="B6883" s="34" t="str">
        <f>base!V6883</f>
        <v>75014</v>
      </c>
      <c r="C6883" s="37">
        <v>75</v>
      </c>
      <c r="D6883" s="36">
        <f>base!H6883</f>
        <v>19.649999999999999</v>
      </c>
      <c r="E6883" s="44"/>
      <c r="F6883" s="16">
        <f>base!W6883</f>
        <v>0</v>
      </c>
      <c r="G6883" s="11">
        <f t="shared" si="1070"/>
        <v>0</v>
      </c>
      <c r="H6883" s="11">
        <f t="shared" si="1071"/>
        <v>0</v>
      </c>
      <c r="I6883" s="11">
        <f t="shared" si="1072"/>
        <v>0</v>
      </c>
      <c r="J6883" s="12">
        <f t="shared" si="1073"/>
        <v>0</v>
      </c>
      <c r="K6883" s="17" t="str">
        <f t="shared" si="1078"/>
        <v>Pas d'écart</v>
      </c>
      <c r="L6883" s="16">
        <f>base!X6883</f>
        <v>0</v>
      </c>
      <c r="M6883" s="11">
        <f t="shared" si="1074"/>
        <v>0</v>
      </c>
      <c r="N6883" s="11">
        <f t="shared" si="1075"/>
        <v>0</v>
      </c>
      <c r="O6883" s="11">
        <f t="shared" si="1076"/>
        <v>0</v>
      </c>
      <c r="P6883" s="12">
        <f t="shared" si="1077"/>
        <v>0</v>
      </c>
      <c r="Q6883" s="17" t="str">
        <f t="shared" si="1079"/>
        <v>Pas d'écart</v>
      </c>
    </row>
    <row r="6884" spans="1:17" x14ac:dyDescent="0.3">
      <c r="A6884" s="34" t="str">
        <f>base!J6884</f>
        <v>LM</v>
      </c>
      <c r="B6884" s="34" t="str">
        <f>base!V6884</f>
        <v>75014</v>
      </c>
      <c r="C6884" s="37">
        <v>75</v>
      </c>
      <c r="D6884" s="36">
        <f>base!H6884</f>
        <v>19.649999999999999</v>
      </c>
      <c r="E6884" s="44"/>
      <c r="F6884" s="16">
        <f>base!W6884</f>
        <v>0</v>
      </c>
      <c r="G6884" s="11">
        <f t="shared" si="1070"/>
        <v>0</v>
      </c>
      <c r="H6884" s="11">
        <f t="shared" si="1071"/>
        <v>0</v>
      </c>
      <c r="I6884" s="11">
        <f t="shared" si="1072"/>
        <v>0</v>
      </c>
      <c r="J6884" s="12">
        <f t="shared" si="1073"/>
        <v>0</v>
      </c>
      <c r="K6884" s="17" t="str">
        <f t="shared" si="1078"/>
        <v>Pas d'écart</v>
      </c>
      <c r="L6884" s="16">
        <f>base!X6884</f>
        <v>0</v>
      </c>
      <c r="M6884" s="11">
        <f t="shared" si="1074"/>
        <v>0</v>
      </c>
      <c r="N6884" s="11">
        <f t="shared" si="1075"/>
        <v>0</v>
      </c>
      <c r="O6884" s="11">
        <f t="shared" si="1076"/>
        <v>0</v>
      </c>
      <c r="P6884" s="12">
        <f t="shared" si="1077"/>
        <v>0</v>
      </c>
      <c r="Q6884" s="17" t="str">
        <f t="shared" si="1079"/>
        <v>Pas d'écart</v>
      </c>
    </row>
    <row r="6885" spans="1:17" x14ac:dyDescent="0.3">
      <c r="A6885" s="34" t="str">
        <f>base!J6885</f>
        <v>LM</v>
      </c>
      <c r="B6885" s="34" t="str">
        <f>base!V6885</f>
        <v>14000</v>
      </c>
      <c r="C6885" s="37">
        <v>34</v>
      </c>
      <c r="D6885" s="36">
        <f>base!H6885</f>
        <v>156.96</v>
      </c>
      <c r="E6885" s="44"/>
      <c r="F6885" s="16">
        <f>base!W6885</f>
        <v>26.68</v>
      </c>
      <c r="G6885" s="11">
        <f t="shared" si="1070"/>
        <v>0.16997961264016309</v>
      </c>
      <c r="H6885" s="11">
        <f t="shared" si="1071"/>
        <v>61.214400000000005</v>
      </c>
      <c r="I6885" s="11">
        <f t="shared" si="1072"/>
        <v>0.39</v>
      </c>
      <c r="J6885" s="12">
        <f t="shared" si="1073"/>
        <v>-34.534400000000005</v>
      </c>
      <c r="K6885" s="17" t="str">
        <f t="shared" si="1078"/>
        <v>Ecart négatif</v>
      </c>
      <c r="L6885" s="16">
        <f>base!X6885</f>
        <v>0</v>
      </c>
      <c r="M6885" s="11">
        <f t="shared" si="1074"/>
        <v>0</v>
      </c>
      <c r="N6885" s="11">
        <f t="shared" si="1075"/>
        <v>43.948800000000006</v>
      </c>
      <c r="O6885" s="11">
        <f t="shared" si="1076"/>
        <v>0.28000000000000003</v>
      </c>
      <c r="P6885" s="12">
        <f t="shared" si="1077"/>
        <v>-43.948800000000006</v>
      </c>
      <c r="Q6885" s="17" t="str">
        <f t="shared" si="1079"/>
        <v>Ecart négatif</v>
      </c>
    </row>
    <row r="6886" spans="1:17" x14ac:dyDescent="0.3">
      <c r="A6886" s="34" t="str">
        <f>base!J6886</f>
        <v>LS</v>
      </c>
      <c r="B6886" s="34" t="str">
        <f>base!V6886</f>
        <v>57690</v>
      </c>
      <c r="C6886" s="37">
        <v>29</v>
      </c>
      <c r="D6886" s="36">
        <f>base!H6886</f>
        <v>67.25</v>
      </c>
      <c r="E6886" s="44"/>
      <c r="F6886" s="16">
        <f>base!W6886</f>
        <v>16.809999999999999</v>
      </c>
      <c r="G6886" s="11">
        <f t="shared" si="1070"/>
        <v>0.24996282527881039</v>
      </c>
      <c r="H6886" s="11">
        <f t="shared" si="1071"/>
        <v>26.227499999999999</v>
      </c>
      <c r="I6886" s="11">
        <f t="shared" si="1072"/>
        <v>0.39</v>
      </c>
      <c r="J6886" s="12">
        <f t="shared" si="1073"/>
        <v>-9.4175000000000004</v>
      </c>
      <c r="K6886" s="17" t="str">
        <f t="shared" si="1078"/>
        <v>Ecart négatif</v>
      </c>
      <c r="L6886" s="16">
        <f>base!X6886</f>
        <v>0</v>
      </c>
      <c r="M6886" s="11">
        <f t="shared" si="1074"/>
        <v>0</v>
      </c>
      <c r="N6886" s="11">
        <f t="shared" si="1075"/>
        <v>8.07</v>
      </c>
      <c r="O6886" s="11">
        <f t="shared" si="1076"/>
        <v>0.12000000000000001</v>
      </c>
      <c r="P6886" s="12">
        <f t="shared" si="1077"/>
        <v>-8.07</v>
      </c>
      <c r="Q6886" s="17" t="str">
        <f t="shared" si="1079"/>
        <v>Ecart négatif</v>
      </c>
    </row>
    <row r="6887" spans="1:17" x14ac:dyDescent="0.3">
      <c r="A6887" s="34" t="str">
        <f>base!J6887</f>
        <v>RS</v>
      </c>
      <c r="B6887" s="34" t="str">
        <f>base!V6887</f>
        <v>75010</v>
      </c>
      <c r="C6887" s="37">
        <v>75</v>
      </c>
      <c r="D6887" s="36">
        <f>base!H6887</f>
        <v>80.400000000000006</v>
      </c>
      <c r="E6887" s="44"/>
      <c r="F6887" s="16">
        <f>base!W6887</f>
        <v>0</v>
      </c>
      <c r="G6887" s="11">
        <f t="shared" si="1070"/>
        <v>0</v>
      </c>
      <c r="H6887" s="11">
        <f t="shared" si="1071"/>
        <v>0</v>
      </c>
      <c r="I6887" s="11">
        <f t="shared" si="1072"/>
        <v>0</v>
      </c>
      <c r="J6887" s="12">
        <f t="shared" si="1073"/>
        <v>0</v>
      </c>
      <c r="K6887" s="17" t="str">
        <f t="shared" si="1078"/>
        <v>Pas d'écart</v>
      </c>
      <c r="L6887" s="16">
        <f>base!X6887</f>
        <v>0</v>
      </c>
      <c r="M6887" s="11">
        <f t="shared" si="1074"/>
        <v>0</v>
      </c>
      <c r="N6887" s="11">
        <f t="shared" si="1075"/>
        <v>0</v>
      </c>
      <c r="O6887" s="11">
        <f t="shared" si="1076"/>
        <v>0</v>
      </c>
      <c r="P6887" s="12">
        <f t="shared" si="1077"/>
        <v>0</v>
      </c>
      <c r="Q6887" s="17" t="str">
        <f t="shared" si="1079"/>
        <v>Pas d'écart</v>
      </c>
    </row>
    <row r="6888" spans="1:17" x14ac:dyDescent="0.3">
      <c r="A6888" s="34" t="str">
        <f>base!J6888</f>
        <v>LS</v>
      </c>
      <c r="B6888" s="34" t="str">
        <f>base!V6888</f>
        <v>63820</v>
      </c>
      <c r="C6888" s="37">
        <v>29</v>
      </c>
      <c r="D6888" s="36">
        <f>base!H6888</f>
        <v>120.29</v>
      </c>
      <c r="E6888" s="44"/>
      <c r="F6888" s="16">
        <f>base!W6888</f>
        <v>34.880000000000003</v>
      </c>
      <c r="G6888" s="11">
        <f t="shared" si="1070"/>
        <v>0.28996591570371605</v>
      </c>
      <c r="H6888" s="11">
        <f t="shared" si="1071"/>
        <v>46.913100000000007</v>
      </c>
      <c r="I6888" s="11">
        <f t="shared" si="1072"/>
        <v>0.39</v>
      </c>
      <c r="J6888" s="12">
        <f t="shared" si="1073"/>
        <v>-12.033100000000005</v>
      </c>
      <c r="K6888" s="17" t="str">
        <f t="shared" si="1078"/>
        <v>Ecart négatif</v>
      </c>
      <c r="L6888" s="16">
        <f>base!X6888</f>
        <v>0</v>
      </c>
      <c r="M6888" s="11">
        <f t="shared" si="1074"/>
        <v>0</v>
      </c>
      <c r="N6888" s="11">
        <f t="shared" si="1075"/>
        <v>14.434800000000001</v>
      </c>
      <c r="O6888" s="11">
        <f t="shared" si="1076"/>
        <v>0.12</v>
      </c>
      <c r="P6888" s="12">
        <f t="shared" si="1077"/>
        <v>-14.434800000000001</v>
      </c>
      <c r="Q6888" s="17" t="str">
        <f t="shared" si="1079"/>
        <v>Ecart négatif</v>
      </c>
    </row>
    <row r="6889" spans="1:17" x14ac:dyDescent="0.3">
      <c r="A6889" s="34" t="str">
        <f>base!J6889</f>
        <v>LS</v>
      </c>
      <c r="B6889" s="34" t="str">
        <f>base!V6889</f>
        <v>60230</v>
      </c>
      <c r="C6889" s="37">
        <v>29</v>
      </c>
      <c r="D6889" s="36">
        <f>base!H6889</f>
        <v>120.29</v>
      </c>
      <c r="E6889" s="44"/>
      <c r="F6889" s="16">
        <f>base!W6889</f>
        <v>22.86</v>
      </c>
      <c r="G6889" s="11">
        <f t="shared" si="1070"/>
        <v>0.19004073489068085</v>
      </c>
      <c r="H6889" s="11">
        <f t="shared" si="1071"/>
        <v>46.913100000000007</v>
      </c>
      <c r="I6889" s="11">
        <f t="shared" si="1072"/>
        <v>0.39</v>
      </c>
      <c r="J6889" s="12">
        <f t="shared" si="1073"/>
        <v>-24.053100000000008</v>
      </c>
      <c r="K6889" s="17" t="str">
        <f t="shared" si="1078"/>
        <v>Ecart négatif</v>
      </c>
      <c r="L6889" s="16">
        <f>base!X6889</f>
        <v>0</v>
      </c>
      <c r="M6889" s="11">
        <f t="shared" si="1074"/>
        <v>0</v>
      </c>
      <c r="N6889" s="11">
        <f t="shared" si="1075"/>
        <v>14.434800000000001</v>
      </c>
      <c r="O6889" s="11">
        <f t="shared" si="1076"/>
        <v>0.12</v>
      </c>
      <c r="P6889" s="12">
        <f t="shared" si="1077"/>
        <v>-14.434800000000001</v>
      </c>
      <c r="Q6889" s="17" t="str">
        <f t="shared" si="1079"/>
        <v>Ecart négatif</v>
      </c>
    </row>
    <row r="6890" spans="1:17" x14ac:dyDescent="0.3">
      <c r="A6890" s="34">
        <f>base!J6890</f>
        <v>0</v>
      </c>
      <c r="B6890" s="34" t="str">
        <f>base!V6890</f>
        <v>77184</v>
      </c>
      <c r="C6890" s="37">
        <v>77</v>
      </c>
      <c r="D6890" s="36">
        <f>base!H6890</f>
        <v>31</v>
      </c>
      <c r="E6890" s="44"/>
      <c r="F6890" s="16">
        <f>base!W6890</f>
        <v>0</v>
      </c>
      <c r="G6890" s="11">
        <f t="shared" si="1070"/>
        <v>0</v>
      </c>
      <c r="H6890" s="11">
        <f t="shared" si="1071"/>
        <v>0</v>
      </c>
      <c r="I6890" s="11">
        <f t="shared" si="1072"/>
        <v>0</v>
      </c>
      <c r="J6890" s="12">
        <f t="shared" si="1073"/>
        <v>0</v>
      </c>
      <c r="K6890" s="17" t="str">
        <f t="shared" si="1078"/>
        <v>Pas d'écart</v>
      </c>
      <c r="L6890" s="16">
        <f>base!X6890</f>
        <v>0</v>
      </c>
      <c r="M6890" s="11">
        <f t="shared" si="1074"/>
        <v>0</v>
      </c>
      <c r="N6890" s="11">
        <f t="shared" si="1075"/>
        <v>0</v>
      </c>
      <c r="O6890" s="11">
        <f t="shared" si="1076"/>
        <v>0</v>
      </c>
      <c r="P6890" s="12">
        <f t="shared" si="1077"/>
        <v>0</v>
      </c>
      <c r="Q6890" s="17" t="str">
        <f t="shared" si="1079"/>
        <v>Pas d'écart</v>
      </c>
    </row>
    <row r="6891" spans="1:17" x14ac:dyDescent="0.3">
      <c r="A6891" s="34">
        <f>base!J6891</f>
        <v>0</v>
      </c>
      <c r="B6891" s="34" t="str">
        <f>base!V6891</f>
        <v>77184</v>
      </c>
      <c r="C6891" s="37">
        <v>77</v>
      </c>
      <c r="D6891" s="36">
        <f>base!H6891</f>
        <v>32.65</v>
      </c>
      <c r="E6891" s="44"/>
      <c r="F6891" s="16">
        <f>base!W6891</f>
        <v>0</v>
      </c>
      <c r="G6891" s="11">
        <f t="shared" si="1070"/>
        <v>0</v>
      </c>
      <c r="H6891" s="11">
        <f t="shared" si="1071"/>
        <v>0</v>
      </c>
      <c r="I6891" s="11">
        <f t="shared" si="1072"/>
        <v>0</v>
      </c>
      <c r="J6891" s="12">
        <f t="shared" si="1073"/>
        <v>0</v>
      </c>
      <c r="K6891" s="17" t="str">
        <f t="shared" si="1078"/>
        <v>Pas d'écart</v>
      </c>
      <c r="L6891" s="16">
        <f>base!X6891</f>
        <v>0</v>
      </c>
      <c r="M6891" s="11">
        <f t="shared" si="1074"/>
        <v>0</v>
      </c>
      <c r="N6891" s="11">
        <f t="shared" si="1075"/>
        <v>0</v>
      </c>
      <c r="O6891" s="11">
        <f t="shared" si="1076"/>
        <v>0</v>
      </c>
      <c r="P6891" s="12">
        <f t="shared" si="1077"/>
        <v>0</v>
      </c>
      <c r="Q6891" s="17" t="str">
        <f t="shared" si="1079"/>
        <v>Pas d'écart</v>
      </c>
    </row>
    <row r="6892" spans="1:17" x14ac:dyDescent="0.3">
      <c r="A6892" s="34" t="str">
        <f>base!J6892</f>
        <v>LM</v>
      </c>
      <c r="B6892" s="34" t="str">
        <f>base!V6892</f>
        <v>75010</v>
      </c>
      <c r="C6892" s="37">
        <v>75</v>
      </c>
      <c r="D6892" s="36">
        <f>base!H6892</f>
        <v>148.78</v>
      </c>
      <c r="E6892" s="44"/>
      <c r="F6892" s="16">
        <f>base!W6892</f>
        <v>0</v>
      </c>
      <c r="G6892" s="11">
        <f t="shared" si="1070"/>
        <v>0</v>
      </c>
      <c r="H6892" s="11">
        <f t="shared" si="1071"/>
        <v>0</v>
      </c>
      <c r="I6892" s="11">
        <f t="shared" si="1072"/>
        <v>0</v>
      </c>
      <c r="J6892" s="12">
        <f t="shared" si="1073"/>
        <v>0</v>
      </c>
      <c r="K6892" s="17" t="str">
        <f t="shared" si="1078"/>
        <v>Pas d'écart</v>
      </c>
      <c r="L6892" s="16">
        <f>base!X6892</f>
        <v>0</v>
      </c>
      <c r="M6892" s="11">
        <f t="shared" si="1074"/>
        <v>0</v>
      </c>
      <c r="N6892" s="11">
        <f t="shared" si="1075"/>
        <v>0</v>
      </c>
      <c r="O6892" s="11">
        <f t="shared" si="1076"/>
        <v>0</v>
      </c>
      <c r="P6892" s="12">
        <f t="shared" si="1077"/>
        <v>0</v>
      </c>
      <c r="Q6892" s="17" t="str">
        <f t="shared" si="1079"/>
        <v>Pas d'écart</v>
      </c>
    </row>
    <row r="6893" spans="1:17" x14ac:dyDescent="0.3">
      <c r="A6893" s="34" t="str">
        <f>base!J6893</f>
        <v>LM</v>
      </c>
      <c r="B6893" s="34" t="str">
        <f>base!V6893</f>
        <v>69007</v>
      </c>
      <c r="C6893" s="37">
        <v>30</v>
      </c>
      <c r="D6893" s="36">
        <f>base!H6893</f>
        <v>5.12</v>
      </c>
      <c r="E6893" s="44"/>
      <c r="F6893" s="16">
        <f>base!W6893</f>
        <v>1.38</v>
      </c>
      <c r="G6893" s="11">
        <f t="shared" si="1070"/>
        <v>0.26953125</v>
      </c>
      <c r="H6893" s="11">
        <f t="shared" si="1071"/>
        <v>1.9968000000000001</v>
      </c>
      <c r="I6893" s="11">
        <f t="shared" si="1072"/>
        <v>0.39</v>
      </c>
      <c r="J6893" s="12">
        <f t="shared" si="1073"/>
        <v>-0.61680000000000024</v>
      </c>
      <c r="K6893" s="17" t="str">
        <f t="shared" si="1078"/>
        <v>Ecart négatif</v>
      </c>
      <c r="L6893" s="16">
        <f>base!X6893</f>
        <v>0</v>
      </c>
      <c r="M6893" s="11">
        <f t="shared" si="1074"/>
        <v>0</v>
      </c>
      <c r="N6893" s="11">
        <f t="shared" si="1075"/>
        <v>1.4336000000000002</v>
      </c>
      <c r="O6893" s="11">
        <f t="shared" si="1076"/>
        <v>0.28000000000000003</v>
      </c>
      <c r="P6893" s="12">
        <f t="shared" si="1077"/>
        <v>-1.4336000000000002</v>
      </c>
      <c r="Q6893" s="17" t="str">
        <f t="shared" si="1079"/>
        <v>Ecart négatif</v>
      </c>
    </row>
    <row r="6894" spans="1:17" x14ac:dyDescent="0.3">
      <c r="A6894" s="34" t="str">
        <f>base!J6894</f>
        <v>LS</v>
      </c>
      <c r="B6894" s="34" t="str">
        <f>base!V6894</f>
        <v>84120</v>
      </c>
      <c r="C6894" s="37">
        <v>29</v>
      </c>
      <c r="D6894" s="36">
        <f>base!H6894</f>
        <v>149.63</v>
      </c>
      <c r="E6894" s="44"/>
      <c r="F6894" s="16">
        <f>base!W6894</f>
        <v>43.39</v>
      </c>
      <c r="G6894" s="11">
        <f t="shared" si="1070"/>
        <v>0.28998195549020922</v>
      </c>
      <c r="H6894" s="11">
        <f t="shared" si="1071"/>
        <v>58.355699999999999</v>
      </c>
      <c r="I6894" s="11">
        <f t="shared" si="1072"/>
        <v>0.39</v>
      </c>
      <c r="J6894" s="12">
        <f t="shared" si="1073"/>
        <v>-14.965699999999998</v>
      </c>
      <c r="K6894" s="17" t="str">
        <f t="shared" si="1078"/>
        <v>Ecart négatif</v>
      </c>
      <c r="L6894" s="16">
        <f>base!X6894</f>
        <v>0</v>
      </c>
      <c r="M6894" s="11">
        <f t="shared" si="1074"/>
        <v>0</v>
      </c>
      <c r="N6894" s="11">
        <f t="shared" si="1075"/>
        <v>17.9556</v>
      </c>
      <c r="O6894" s="11">
        <f t="shared" si="1076"/>
        <v>0.12000000000000001</v>
      </c>
      <c r="P6894" s="12">
        <f t="shared" si="1077"/>
        <v>-17.9556</v>
      </c>
      <c r="Q6894" s="17" t="str">
        <f t="shared" si="1079"/>
        <v>Ecart négatif</v>
      </c>
    </row>
    <row r="6895" spans="1:17" x14ac:dyDescent="0.3">
      <c r="A6895" s="34">
        <f>base!J6895</f>
        <v>0</v>
      </c>
      <c r="B6895" s="34" t="str">
        <f>base!V6895</f>
        <v>77184</v>
      </c>
      <c r="C6895" s="37">
        <v>77</v>
      </c>
      <c r="D6895" s="36">
        <f>base!H6895</f>
        <v>31.6</v>
      </c>
      <c r="E6895" s="44"/>
      <c r="F6895" s="16">
        <f>base!W6895</f>
        <v>0</v>
      </c>
      <c r="G6895" s="11">
        <f t="shared" si="1070"/>
        <v>0</v>
      </c>
      <c r="H6895" s="11">
        <f t="shared" si="1071"/>
        <v>0</v>
      </c>
      <c r="I6895" s="11">
        <f t="shared" si="1072"/>
        <v>0</v>
      </c>
      <c r="J6895" s="12">
        <f t="shared" si="1073"/>
        <v>0</v>
      </c>
      <c r="K6895" s="17" t="str">
        <f t="shared" si="1078"/>
        <v>Pas d'écart</v>
      </c>
      <c r="L6895" s="16">
        <f>base!X6895</f>
        <v>0</v>
      </c>
      <c r="M6895" s="11">
        <f t="shared" si="1074"/>
        <v>0</v>
      </c>
      <c r="N6895" s="11">
        <f t="shared" si="1075"/>
        <v>0</v>
      </c>
      <c r="O6895" s="11">
        <f t="shared" si="1076"/>
        <v>0</v>
      </c>
      <c r="P6895" s="12">
        <f t="shared" si="1077"/>
        <v>0</v>
      </c>
      <c r="Q6895" s="17" t="str">
        <f t="shared" si="1079"/>
        <v>Pas d'écart</v>
      </c>
    </row>
    <row r="6896" spans="1:17" x14ac:dyDescent="0.3">
      <c r="A6896" s="34" t="str">
        <f>base!J6896</f>
        <v>LM</v>
      </c>
      <c r="B6896" s="34" t="str">
        <f>base!V6896</f>
        <v>49130</v>
      </c>
      <c r="C6896" s="37">
        <v>30</v>
      </c>
      <c r="D6896" s="36">
        <f>base!H6896</f>
        <v>184.02</v>
      </c>
      <c r="E6896" s="44"/>
      <c r="F6896" s="16">
        <f>base!W6896</f>
        <v>49.69</v>
      </c>
      <c r="G6896" s="11">
        <f t="shared" si="1070"/>
        <v>0.27002499728290402</v>
      </c>
      <c r="H6896" s="11">
        <f t="shared" si="1071"/>
        <v>71.767800000000008</v>
      </c>
      <c r="I6896" s="11">
        <f t="shared" si="1072"/>
        <v>0.39</v>
      </c>
      <c r="J6896" s="12">
        <f t="shared" si="1073"/>
        <v>-22.077800000000011</v>
      </c>
      <c r="K6896" s="17" t="str">
        <f t="shared" si="1078"/>
        <v>Ecart négatif</v>
      </c>
      <c r="L6896" s="16">
        <f>base!X6896</f>
        <v>0</v>
      </c>
      <c r="M6896" s="11">
        <f t="shared" si="1074"/>
        <v>0</v>
      </c>
      <c r="N6896" s="11">
        <f t="shared" si="1075"/>
        <v>51.525600000000004</v>
      </c>
      <c r="O6896" s="11">
        <f t="shared" si="1076"/>
        <v>0.28000000000000003</v>
      </c>
      <c r="P6896" s="12">
        <f t="shared" si="1077"/>
        <v>-51.525600000000004</v>
      </c>
      <c r="Q6896" s="17" t="str">
        <f t="shared" si="1079"/>
        <v>Ecart négatif</v>
      </c>
    </row>
    <row r="6897" spans="1:18" x14ac:dyDescent="0.3">
      <c r="A6897" s="34" t="str">
        <f>base!J6897</f>
        <v>LS</v>
      </c>
      <c r="B6897" s="34" t="str">
        <f>base!V6897</f>
        <v>75009</v>
      </c>
      <c r="C6897" s="37">
        <v>75</v>
      </c>
      <c r="D6897" s="36">
        <f>base!H6897</f>
        <v>86.54</v>
      </c>
      <c r="E6897" s="44"/>
      <c r="F6897" s="16">
        <f>base!W6897</f>
        <v>0</v>
      </c>
      <c r="G6897" s="11">
        <f t="shared" si="1070"/>
        <v>0</v>
      </c>
      <c r="H6897" s="11">
        <f t="shared" si="1071"/>
        <v>0</v>
      </c>
      <c r="I6897" s="11">
        <f t="shared" si="1072"/>
        <v>0</v>
      </c>
      <c r="J6897" s="12">
        <f t="shared" si="1073"/>
        <v>0</v>
      </c>
      <c r="K6897" s="17" t="str">
        <f t="shared" si="1078"/>
        <v>Pas d'écart</v>
      </c>
      <c r="L6897" s="16">
        <f>base!X6897</f>
        <v>0</v>
      </c>
      <c r="M6897" s="11">
        <f t="shared" si="1074"/>
        <v>0</v>
      </c>
      <c r="N6897" s="11">
        <f t="shared" si="1075"/>
        <v>0</v>
      </c>
      <c r="O6897" s="11">
        <f t="shared" si="1076"/>
        <v>0</v>
      </c>
      <c r="P6897" s="12">
        <f t="shared" si="1077"/>
        <v>0</v>
      </c>
      <c r="Q6897" s="17" t="str">
        <f t="shared" si="1079"/>
        <v>Pas d'écart</v>
      </c>
    </row>
    <row r="6898" spans="1:18" x14ac:dyDescent="0.3">
      <c r="A6898" s="34" t="str">
        <f>base!J6898</f>
        <v>LM</v>
      </c>
      <c r="B6898" s="34" t="str">
        <f>base!V6898</f>
        <v>77290</v>
      </c>
      <c r="C6898" s="37">
        <v>77</v>
      </c>
      <c r="D6898" s="36">
        <f>base!H6898</f>
        <v>28.26</v>
      </c>
      <c r="E6898" s="44"/>
      <c r="F6898" s="16">
        <f>base!W6898</f>
        <v>0</v>
      </c>
      <c r="G6898" s="11">
        <f t="shared" si="1070"/>
        <v>0</v>
      </c>
      <c r="H6898" s="11">
        <f t="shared" si="1071"/>
        <v>0</v>
      </c>
      <c r="I6898" s="11">
        <f t="shared" si="1072"/>
        <v>0</v>
      </c>
      <c r="J6898" s="12">
        <f t="shared" si="1073"/>
        <v>0</v>
      </c>
      <c r="K6898" s="17" t="str">
        <f t="shared" si="1078"/>
        <v>Pas d'écart</v>
      </c>
      <c r="L6898" s="16">
        <f>base!X6898</f>
        <v>0</v>
      </c>
      <c r="M6898" s="11">
        <f t="shared" si="1074"/>
        <v>0</v>
      </c>
      <c r="N6898" s="11">
        <f t="shared" si="1075"/>
        <v>0</v>
      </c>
      <c r="O6898" s="11">
        <f t="shared" si="1076"/>
        <v>0</v>
      </c>
      <c r="P6898" s="12">
        <f t="shared" si="1077"/>
        <v>0</v>
      </c>
      <c r="Q6898" s="17" t="str">
        <f t="shared" si="1079"/>
        <v>Pas d'écart</v>
      </c>
    </row>
    <row r="6899" spans="1:18" x14ac:dyDescent="0.3">
      <c r="A6899" s="34" t="str">
        <f>base!J6899</f>
        <v>LM</v>
      </c>
      <c r="B6899" s="34" t="str">
        <f>base!V6899</f>
        <v>59150</v>
      </c>
      <c r="C6899" s="37">
        <v>30</v>
      </c>
      <c r="D6899" s="36">
        <f>base!H6899</f>
        <v>5.12</v>
      </c>
      <c r="E6899" s="44"/>
      <c r="F6899" s="16">
        <f>base!W6899</f>
        <v>0.97</v>
      </c>
      <c r="G6899" s="11">
        <f t="shared" si="1070"/>
        <v>0.189453125</v>
      </c>
      <c r="H6899" s="11">
        <f t="shared" si="1071"/>
        <v>1.9968000000000001</v>
      </c>
      <c r="I6899" s="11">
        <f t="shared" si="1072"/>
        <v>0.39</v>
      </c>
      <c r="J6899" s="12">
        <f t="shared" si="1073"/>
        <v>-1.0268000000000002</v>
      </c>
      <c r="K6899" s="17" t="str">
        <f t="shared" si="1078"/>
        <v>Ecart négatif</v>
      </c>
      <c r="L6899" s="16">
        <f>base!X6899</f>
        <v>0</v>
      </c>
      <c r="M6899" s="11">
        <f t="shared" si="1074"/>
        <v>0</v>
      </c>
      <c r="N6899" s="11">
        <f t="shared" si="1075"/>
        <v>1.4336000000000002</v>
      </c>
      <c r="O6899" s="11">
        <f t="shared" si="1076"/>
        <v>0.28000000000000003</v>
      </c>
      <c r="P6899" s="12">
        <f t="shared" si="1077"/>
        <v>-1.4336000000000002</v>
      </c>
      <c r="Q6899" s="17" t="str">
        <f t="shared" si="1079"/>
        <v>Ecart négatif</v>
      </c>
    </row>
    <row r="6900" spans="1:18" x14ac:dyDescent="0.3">
      <c r="A6900" s="34" t="str">
        <f>base!J6900</f>
        <v>RM</v>
      </c>
      <c r="B6900" s="34" t="str">
        <f>base!V6900</f>
        <v>34500</v>
      </c>
      <c r="C6900" s="37">
        <v>34</v>
      </c>
      <c r="D6900" s="36">
        <f>base!H6900</f>
        <v>180</v>
      </c>
      <c r="E6900" s="44"/>
      <c r="F6900" s="16">
        <f>base!W6900</f>
        <v>0</v>
      </c>
      <c r="G6900" s="11">
        <f t="shared" si="1070"/>
        <v>0</v>
      </c>
      <c r="H6900" s="11">
        <f t="shared" si="1071"/>
        <v>70.2</v>
      </c>
      <c r="I6900" s="11">
        <f t="shared" si="1072"/>
        <v>0.39</v>
      </c>
      <c r="J6900" s="12">
        <f t="shared" si="1073"/>
        <v>-70.2</v>
      </c>
      <c r="K6900" s="17" t="str">
        <f t="shared" si="1078"/>
        <v>Ecart négatif</v>
      </c>
      <c r="L6900" s="16">
        <f>base!X6900</f>
        <v>50.4</v>
      </c>
      <c r="M6900" s="11">
        <f t="shared" si="1074"/>
        <v>0.27999999999999997</v>
      </c>
      <c r="N6900" s="11">
        <f t="shared" si="1075"/>
        <v>50.400000000000006</v>
      </c>
      <c r="O6900" s="11">
        <f t="shared" si="1076"/>
        <v>0.28000000000000003</v>
      </c>
      <c r="P6900" s="12">
        <f t="shared" si="1077"/>
        <v>0</v>
      </c>
      <c r="Q6900" s="17" t="str">
        <f t="shared" si="1079"/>
        <v>Pas d'écart</v>
      </c>
      <c r="R6900" s="38"/>
    </row>
    <row r="6901" spans="1:18" x14ac:dyDescent="0.3">
      <c r="A6901" s="34" t="str">
        <f>base!J6901</f>
        <v>RM</v>
      </c>
      <c r="B6901" s="34" t="str">
        <f>base!V6901</f>
        <v>34500</v>
      </c>
      <c r="C6901" s="37">
        <v>34</v>
      </c>
      <c r="D6901" s="36">
        <f>base!H6901</f>
        <v>140</v>
      </c>
      <c r="E6901" s="44"/>
      <c r="F6901" s="16">
        <f>base!W6901</f>
        <v>0</v>
      </c>
      <c r="G6901" s="11">
        <f t="shared" si="1070"/>
        <v>0</v>
      </c>
      <c r="H6901" s="11">
        <f t="shared" si="1071"/>
        <v>54.6</v>
      </c>
      <c r="I6901" s="11">
        <f t="shared" si="1072"/>
        <v>0.39</v>
      </c>
      <c r="J6901" s="12">
        <f t="shared" si="1073"/>
        <v>-54.6</v>
      </c>
      <c r="K6901" s="17" t="str">
        <f t="shared" si="1078"/>
        <v>Ecart négatif</v>
      </c>
      <c r="L6901" s="16">
        <f>base!X6901</f>
        <v>39.200000000000003</v>
      </c>
      <c r="M6901" s="11">
        <f t="shared" si="1074"/>
        <v>0.28000000000000003</v>
      </c>
      <c r="N6901" s="11">
        <f t="shared" si="1075"/>
        <v>39.200000000000003</v>
      </c>
      <c r="O6901" s="11">
        <f t="shared" si="1076"/>
        <v>0.28000000000000003</v>
      </c>
      <c r="P6901" s="12">
        <f t="shared" si="1077"/>
        <v>0</v>
      </c>
      <c r="Q6901" s="17" t="str">
        <f t="shared" si="1079"/>
        <v>Pas d'écart</v>
      </c>
      <c r="R6901" s="38"/>
    </row>
    <row r="6902" spans="1:18" x14ac:dyDescent="0.3">
      <c r="A6902" s="34" t="str">
        <f>base!J6902</f>
        <v>DLS</v>
      </c>
      <c r="B6902" s="34" t="str">
        <f>base!V6902</f>
        <v>75010</v>
      </c>
      <c r="C6902" s="37">
        <v>75</v>
      </c>
      <c r="D6902" s="36">
        <f>base!H6902</f>
        <v>250</v>
      </c>
      <c r="E6902" s="44"/>
      <c r="F6902" s="16">
        <f>base!W6902</f>
        <v>0</v>
      </c>
      <c r="G6902" s="11">
        <f t="shared" si="1070"/>
        <v>0</v>
      </c>
      <c r="H6902" s="11">
        <f t="shared" si="1071"/>
        <v>0</v>
      </c>
      <c r="I6902" s="11">
        <f t="shared" si="1072"/>
        <v>0</v>
      </c>
      <c r="J6902" s="12">
        <f t="shared" si="1073"/>
        <v>0</v>
      </c>
      <c r="K6902" s="17" t="str">
        <f t="shared" si="1078"/>
        <v>Pas d'écart</v>
      </c>
      <c r="L6902" s="16">
        <f>base!X6902</f>
        <v>42.5</v>
      </c>
      <c r="M6902" s="11">
        <f t="shared" si="1074"/>
        <v>0.17</v>
      </c>
      <c r="N6902" s="11">
        <f t="shared" si="1075"/>
        <v>0</v>
      </c>
      <c r="O6902" s="11">
        <f t="shared" si="1076"/>
        <v>0</v>
      </c>
      <c r="P6902" s="12">
        <f t="shared" si="1077"/>
        <v>42.5</v>
      </c>
      <c r="Q6902" s="17" t="str">
        <f t="shared" si="1079"/>
        <v>Ecart positif</v>
      </c>
    </row>
    <row r="6903" spans="1:18" x14ac:dyDescent="0.3">
      <c r="A6903" s="34" t="str">
        <f>base!J6903</f>
        <v>RS</v>
      </c>
      <c r="B6903" s="34" t="str">
        <f>base!V6903</f>
        <v>38400</v>
      </c>
      <c r="C6903" s="37">
        <v>38</v>
      </c>
      <c r="D6903" s="36">
        <f>base!H6903</f>
        <v>83.05</v>
      </c>
      <c r="E6903" s="44"/>
      <c r="F6903" s="16">
        <f>base!W6903</f>
        <v>0</v>
      </c>
      <c r="G6903" s="11">
        <f t="shared" si="1070"/>
        <v>0</v>
      </c>
      <c r="H6903" s="11">
        <f t="shared" si="1071"/>
        <v>22.423500000000001</v>
      </c>
      <c r="I6903" s="11">
        <f t="shared" si="1072"/>
        <v>0.27</v>
      </c>
      <c r="J6903" s="12">
        <f t="shared" si="1073"/>
        <v>-22.423500000000001</v>
      </c>
      <c r="K6903" s="17" t="str">
        <f t="shared" si="1078"/>
        <v>Ecart négatif</v>
      </c>
      <c r="L6903" s="16">
        <f>base!X6903</f>
        <v>0</v>
      </c>
      <c r="M6903" s="11">
        <f t="shared" si="1074"/>
        <v>0</v>
      </c>
      <c r="N6903" s="11">
        <f t="shared" si="1075"/>
        <v>0</v>
      </c>
      <c r="O6903" s="11">
        <f t="shared" si="1076"/>
        <v>0</v>
      </c>
      <c r="P6903" s="12">
        <f t="shared" si="1077"/>
        <v>0</v>
      </c>
      <c r="Q6903" s="17" t="str">
        <f t="shared" si="1079"/>
        <v>Pas d'écart</v>
      </c>
    </row>
    <row r="6904" spans="1:18" x14ac:dyDescent="0.3">
      <c r="A6904" s="34" t="str">
        <f>base!J6904</f>
        <v>LS</v>
      </c>
      <c r="B6904" s="34" t="str">
        <f>base!V6904</f>
        <v>84300</v>
      </c>
      <c r="C6904" s="37">
        <v>34</v>
      </c>
      <c r="D6904" s="36">
        <f>base!H6904</f>
        <v>19.649999999999999</v>
      </c>
      <c r="E6904" s="44"/>
      <c r="F6904" s="16">
        <f>base!W6904</f>
        <v>5.7</v>
      </c>
      <c r="G6904" s="11">
        <f t="shared" si="1070"/>
        <v>0.29007633587786263</v>
      </c>
      <c r="H6904" s="11">
        <f t="shared" si="1071"/>
        <v>7.6635</v>
      </c>
      <c r="I6904" s="11">
        <f t="shared" si="1072"/>
        <v>0.39</v>
      </c>
      <c r="J6904" s="12">
        <f t="shared" si="1073"/>
        <v>-1.9634999999999998</v>
      </c>
      <c r="K6904" s="17" t="str">
        <f t="shared" si="1078"/>
        <v>Ecart négatif</v>
      </c>
      <c r="L6904" s="16">
        <f>base!X6904</f>
        <v>0</v>
      </c>
      <c r="M6904" s="11">
        <f t="shared" si="1074"/>
        <v>0</v>
      </c>
      <c r="N6904" s="11">
        <f t="shared" si="1075"/>
        <v>5.5019999999999998</v>
      </c>
      <c r="O6904" s="11">
        <f t="shared" si="1076"/>
        <v>0.28000000000000003</v>
      </c>
      <c r="P6904" s="12">
        <f t="shared" si="1077"/>
        <v>-5.5019999999999998</v>
      </c>
      <c r="Q6904" s="17" t="str">
        <f t="shared" si="1079"/>
        <v>Ecart négatif</v>
      </c>
    </row>
    <row r="6905" spans="1:18" x14ac:dyDescent="0.3">
      <c r="A6905" s="34" t="str">
        <f>base!J6905</f>
        <v>LS</v>
      </c>
      <c r="B6905" s="34" t="str">
        <f>base!V6905</f>
        <v>37600</v>
      </c>
      <c r="C6905" s="37">
        <v>22</v>
      </c>
      <c r="D6905" s="36">
        <f>base!H6905</f>
        <v>55.34</v>
      </c>
      <c r="E6905" s="44"/>
      <c r="F6905" s="16">
        <f>base!W6905</f>
        <v>11.62</v>
      </c>
      <c r="G6905" s="11">
        <f t="shared" si="1070"/>
        <v>0.2099747018431514</v>
      </c>
      <c r="H6905" s="11">
        <f t="shared" si="1071"/>
        <v>21.029200000000003</v>
      </c>
      <c r="I6905" s="11">
        <f t="shared" si="1072"/>
        <v>0.38</v>
      </c>
      <c r="J6905" s="12">
        <f t="shared" si="1073"/>
        <v>-9.4092000000000038</v>
      </c>
      <c r="K6905" s="17" t="str">
        <f t="shared" si="1078"/>
        <v>Ecart négatif</v>
      </c>
      <c r="L6905" s="16">
        <f>base!X6905</f>
        <v>0</v>
      </c>
      <c r="M6905" s="11">
        <f t="shared" si="1074"/>
        <v>0</v>
      </c>
      <c r="N6905" s="11">
        <f t="shared" si="1075"/>
        <v>6.6408000000000005</v>
      </c>
      <c r="O6905" s="11">
        <f t="shared" si="1076"/>
        <v>0.12</v>
      </c>
      <c r="P6905" s="12">
        <f t="shared" si="1077"/>
        <v>-6.6408000000000005</v>
      </c>
      <c r="Q6905" s="17" t="str">
        <f t="shared" si="1079"/>
        <v>Ecart négatif</v>
      </c>
    </row>
    <row r="6906" spans="1:18" x14ac:dyDescent="0.3">
      <c r="A6906" s="34" t="str">
        <f>base!J6906</f>
        <v>LS</v>
      </c>
      <c r="B6906" s="34" t="str">
        <f>base!V6906</f>
        <v>79100</v>
      </c>
      <c r="C6906" s="37">
        <v>34</v>
      </c>
      <c r="D6906" s="36">
        <f>base!H6906</f>
        <v>8.36</v>
      </c>
      <c r="E6906" s="44"/>
      <c r="F6906" s="16">
        <f>base!W6906</f>
        <v>1.76</v>
      </c>
      <c r="G6906" s="11">
        <f t="shared" si="1070"/>
        <v>0.2105263157894737</v>
      </c>
      <c r="H6906" s="11">
        <f t="shared" si="1071"/>
        <v>3.2603999999999997</v>
      </c>
      <c r="I6906" s="11">
        <f t="shared" si="1072"/>
        <v>0.39</v>
      </c>
      <c r="J6906" s="12">
        <f t="shared" si="1073"/>
        <v>-1.5003999999999997</v>
      </c>
      <c r="K6906" s="17" t="str">
        <f t="shared" si="1078"/>
        <v>Ecart négatif</v>
      </c>
      <c r="L6906" s="16">
        <f>base!X6906</f>
        <v>0</v>
      </c>
      <c r="M6906" s="11">
        <f t="shared" si="1074"/>
        <v>0</v>
      </c>
      <c r="N6906" s="11">
        <f t="shared" si="1075"/>
        <v>2.3408000000000002</v>
      </c>
      <c r="O6906" s="11">
        <f t="shared" si="1076"/>
        <v>0.28000000000000003</v>
      </c>
      <c r="P6906" s="12">
        <f t="shared" si="1077"/>
        <v>-2.3408000000000002</v>
      </c>
      <c r="Q6906" s="17" t="str">
        <f t="shared" si="1079"/>
        <v>Ecart négatif</v>
      </c>
    </row>
    <row r="6907" spans="1:18" x14ac:dyDescent="0.3">
      <c r="A6907" s="34" t="str">
        <f>base!J6907</f>
        <v>LS</v>
      </c>
      <c r="B6907" s="34" t="str">
        <f>base!V6907</f>
        <v>13200</v>
      </c>
      <c r="C6907" s="37">
        <v>34</v>
      </c>
      <c r="D6907" s="36">
        <f>base!H6907</f>
        <v>83</v>
      </c>
      <c r="E6907" s="44"/>
      <c r="F6907" s="16">
        <f>base!W6907</f>
        <v>24.07</v>
      </c>
      <c r="G6907" s="11">
        <f t="shared" si="1070"/>
        <v>0.28999999999999998</v>
      </c>
      <c r="H6907" s="11">
        <f t="shared" si="1071"/>
        <v>32.370000000000005</v>
      </c>
      <c r="I6907" s="11">
        <f t="shared" si="1072"/>
        <v>0.39000000000000007</v>
      </c>
      <c r="J6907" s="12">
        <f t="shared" si="1073"/>
        <v>-8.3000000000000043</v>
      </c>
      <c r="K6907" s="17" t="str">
        <f t="shared" si="1078"/>
        <v>Ecart négatif</v>
      </c>
      <c r="L6907" s="16">
        <f>base!X6907</f>
        <v>0</v>
      </c>
      <c r="M6907" s="11">
        <f t="shared" si="1074"/>
        <v>0</v>
      </c>
      <c r="N6907" s="11">
        <f t="shared" si="1075"/>
        <v>23.240000000000002</v>
      </c>
      <c r="O6907" s="11">
        <f t="shared" si="1076"/>
        <v>0.28000000000000003</v>
      </c>
      <c r="P6907" s="12">
        <f t="shared" si="1077"/>
        <v>-23.240000000000002</v>
      </c>
      <c r="Q6907" s="17" t="str">
        <f t="shared" si="1079"/>
        <v>Ecart négatif</v>
      </c>
    </row>
    <row r="6908" spans="1:18" x14ac:dyDescent="0.3">
      <c r="A6908" s="34" t="str">
        <f>base!J6908</f>
        <v>LS</v>
      </c>
      <c r="B6908" s="34" t="str">
        <f>base!V6908</f>
        <v>60100</v>
      </c>
      <c r="C6908" s="37">
        <v>34</v>
      </c>
      <c r="D6908" s="36">
        <f>base!H6908</f>
        <v>33.35</v>
      </c>
      <c r="E6908" s="44"/>
      <c r="F6908" s="16">
        <f>base!W6908</f>
        <v>6.34</v>
      </c>
      <c r="G6908" s="11">
        <f t="shared" si="1070"/>
        <v>0.19010494752623686</v>
      </c>
      <c r="H6908" s="11">
        <f t="shared" si="1071"/>
        <v>13.006500000000001</v>
      </c>
      <c r="I6908" s="11">
        <f t="shared" si="1072"/>
        <v>0.39</v>
      </c>
      <c r="J6908" s="12">
        <f t="shared" si="1073"/>
        <v>-6.666500000000001</v>
      </c>
      <c r="K6908" s="17" t="str">
        <f t="shared" si="1078"/>
        <v>Ecart négatif</v>
      </c>
      <c r="L6908" s="16">
        <f>base!X6908</f>
        <v>0</v>
      </c>
      <c r="M6908" s="11">
        <f t="shared" si="1074"/>
        <v>0</v>
      </c>
      <c r="N6908" s="11">
        <f t="shared" si="1075"/>
        <v>9.338000000000001</v>
      </c>
      <c r="O6908" s="11">
        <f t="shared" si="1076"/>
        <v>0.28000000000000003</v>
      </c>
      <c r="P6908" s="12">
        <f t="shared" si="1077"/>
        <v>-9.338000000000001</v>
      </c>
      <c r="Q6908" s="17" t="str">
        <f t="shared" si="1079"/>
        <v>Ecart négatif</v>
      </c>
    </row>
    <row r="6909" spans="1:18" x14ac:dyDescent="0.3">
      <c r="A6909" s="34" t="str">
        <f>base!J6909</f>
        <v>LS</v>
      </c>
      <c r="B6909" s="34" t="str">
        <f>base!V6909</f>
        <v>59156</v>
      </c>
      <c r="C6909" s="37">
        <v>34</v>
      </c>
      <c r="D6909" s="36">
        <f>base!H6909</f>
        <v>72.400000000000006</v>
      </c>
      <c r="E6909" s="44"/>
      <c r="F6909" s="16">
        <f>base!W6909</f>
        <v>13.76</v>
      </c>
      <c r="G6909" s="11">
        <f t="shared" si="1070"/>
        <v>0.19005524861878451</v>
      </c>
      <c r="H6909" s="11">
        <f t="shared" si="1071"/>
        <v>28.236000000000004</v>
      </c>
      <c r="I6909" s="11">
        <f t="shared" si="1072"/>
        <v>0.39</v>
      </c>
      <c r="J6909" s="12">
        <f t="shared" si="1073"/>
        <v>-14.476000000000004</v>
      </c>
      <c r="K6909" s="17" t="str">
        <f t="shared" si="1078"/>
        <v>Ecart négatif</v>
      </c>
      <c r="L6909" s="16">
        <f>base!X6909</f>
        <v>0</v>
      </c>
      <c r="M6909" s="11">
        <f t="shared" si="1074"/>
        <v>0</v>
      </c>
      <c r="N6909" s="11">
        <f t="shared" si="1075"/>
        <v>20.272000000000002</v>
      </c>
      <c r="O6909" s="11">
        <f t="shared" si="1076"/>
        <v>0.28000000000000003</v>
      </c>
      <c r="P6909" s="12">
        <f t="shared" si="1077"/>
        <v>-20.272000000000002</v>
      </c>
      <c r="Q6909" s="17" t="str">
        <f t="shared" si="1079"/>
        <v>Ecart négatif</v>
      </c>
    </row>
    <row r="6910" spans="1:18" x14ac:dyDescent="0.3">
      <c r="A6910" s="34" t="str">
        <f>base!J6910</f>
        <v>LM</v>
      </c>
      <c r="B6910" s="34" t="str">
        <f>base!V6910</f>
        <v>75010</v>
      </c>
      <c r="C6910" s="37">
        <v>75</v>
      </c>
      <c r="D6910" s="36">
        <f>base!H6910</f>
        <v>55.14</v>
      </c>
      <c r="E6910" s="44"/>
      <c r="F6910" s="16">
        <f>base!W6910</f>
        <v>0</v>
      </c>
      <c r="G6910" s="11">
        <f t="shared" si="1070"/>
        <v>0</v>
      </c>
      <c r="H6910" s="11">
        <f t="shared" si="1071"/>
        <v>0</v>
      </c>
      <c r="I6910" s="11">
        <f t="shared" si="1072"/>
        <v>0</v>
      </c>
      <c r="J6910" s="12">
        <f t="shared" si="1073"/>
        <v>0</v>
      </c>
      <c r="K6910" s="17" t="str">
        <f t="shared" si="1078"/>
        <v>Pas d'écart</v>
      </c>
      <c r="L6910" s="16">
        <f>base!X6910</f>
        <v>0</v>
      </c>
      <c r="M6910" s="11">
        <f t="shared" si="1074"/>
        <v>0</v>
      </c>
      <c r="N6910" s="11">
        <f t="shared" si="1075"/>
        <v>0</v>
      </c>
      <c r="O6910" s="11">
        <f t="shared" si="1076"/>
        <v>0</v>
      </c>
      <c r="P6910" s="12">
        <f t="shared" si="1077"/>
        <v>0</v>
      </c>
      <c r="Q6910" s="17" t="str">
        <f t="shared" si="1079"/>
        <v>Pas d'écart</v>
      </c>
    </row>
    <row r="6911" spans="1:18" x14ac:dyDescent="0.3">
      <c r="A6911" s="34" t="str">
        <f>base!J6911</f>
        <v>LS</v>
      </c>
      <c r="B6911" s="34" t="str">
        <f>base!V6911</f>
        <v>92816</v>
      </c>
      <c r="C6911" s="37">
        <v>92</v>
      </c>
      <c r="D6911" s="36">
        <f>base!H6911</f>
        <v>139.19999999999999</v>
      </c>
      <c r="E6911" s="44"/>
      <c r="F6911" s="16">
        <f>base!W6911</f>
        <v>0</v>
      </c>
      <c r="G6911" s="11">
        <f t="shared" si="1070"/>
        <v>0</v>
      </c>
      <c r="H6911" s="11">
        <f t="shared" si="1071"/>
        <v>0</v>
      </c>
      <c r="I6911" s="11">
        <f t="shared" si="1072"/>
        <v>0</v>
      </c>
      <c r="J6911" s="12">
        <f t="shared" si="1073"/>
        <v>0</v>
      </c>
      <c r="K6911" s="17" t="str">
        <f t="shared" si="1078"/>
        <v>Pas d'écart</v>
      </c>
      <c r="L6911" s="16">
        <f>base!X6911</f>
        <v>0</v>
      </c>
      <c r="M6911" s="11">
        <f t="shared" si="1074"/>
        <v>0</v>
      </c>
      <c r="N6911" s="11">
        <f t="shared" si="1075"/>
        <v>0</v>
      </c>
      <c r="O6911" s="11">
        <f t="shared" si="1076"/>
        <v>0</v>
      </c>
      <c r="P6911" s="12">
        <f t="shared" si="1077"/>
        <v>0</v>
      </c>
      <c r="Q6911" s="17" t="str">
        <f t="shared" si="1079"/>
        <v>Pas d'écart</v>
      </c>
    </row>
    <row r="6912" spans="1:18" x14ac:dyDescent="0.3">
      <c r="A6912" s="34" t="str">
        <f>base!J6912</f>
        <v>LS</v>
      </c>
      <c r="B6912" s="34" t="str">
        <f>base!V6912</f>
        <v>37000</v>
      </c>
      <c r="C6912" s="37">
        <v>34</v>
      </c>
      <c r="D6912" s="36">
        <f>base!H6912</f>
        <v>18.350000000000001</v>
      </c>
      <c r="E6912" s="44"/>
      <c r="F6912" s="16">
        <f>base!W6912</f>
        <v>3.85</v>
      </c>
      <c r="G6912" s="11">
        <f t="shared" si="1070"/>
        <v>0.2098092643051771</v>
      </c>
      <c r="H6912" s="11">
        <f t="shared" si="1071"/>
        <v>7.1565000000000012</v>
      </c>
      <c r="I6912" s="11">
        <f t="shared" si="1072"/>
        <v>0.39</v>
      </c>
      <c r="J6912" s="12">
        <f t="shared" si="1073"/>
        <v>-3.3065000000000011</v>
      </c>
      <c r="K6912" s="17" t="str">
        <f t="shared" si="1078"/>
        <v>Ecart négatif</v>
      </c>
      <c r="L6912" s="16">
        <f>base!X6912</f>
        <v>0</v>
      </c>
      <c r="M6912" s="11">
        <f t="shared" si="1074"/>
        <v>0</v>
      </c>
      <c r="N6912" s="11">
        <f t="shared" si="1075"/>
        <v>5.1380000000000008</v>
      </c>
      <c r="O6912" s="11">
        <f t="shared" si="1076"/>
        <v>0.28000000000000003</v>
      </c>
      <c r="P6912" s="12">
        <f t="shared" si="1077"/>
        <v>-5.1380000000000008</v>
      </c>
      <c r="Q6912" s="17" t="str">
        <f t="shared" si="1079"/>
        <v>Ecart négatif</v>
      </c>
    </row>
    <row r="6913" spans="1:17" x14ac:dyDescent="0.3">
      <c r="A6913" s="34" t="str">
        <f>base!J6913</f>
        <v>LM</v>
      </c>
      <c r="B6913" s="34" t="str">
        <f>base!V6913</f>
        <v>14150</v>
      </c>
      <c r="C6913" s="37">
        <v>34</v>
      </c>
      <c r="D6913" s="36">
        <f>base!H6913</f>
        <v>55.34</v>
      </c>
      <c r="E6913" s="44"/>
      <c r="F6913" s="16">
        <f>base!W6913</f>
        <v>9.41</v>
      </c>
      <c r="G6913" s="11">
        <f t="shared" si="1070"/>
        <v>0.17003975424647633</v>
      </c>
      <c r="H6913" s="11">
        <f t="shared" si="1071"/>
        <v>21.582600000000003</v>
      </c>
      <c r="I6913" s="11">
        <f t="shared" si="1072"/>
        <v>0.39</v>
      </c>
      <c r="J6913" s="12">
        <f t="shared" si="1073"/>
        <v>-12.172600000000003</v>
      </c>
      <c r="K6913" s="17" t="str">
        <f t="shared" si="1078"/>
        <v>Ecart négatif</v>
      </c>
      <c r="L6913" s="16">
        <f>base!X6913</f>
        <v>0</v>
      </c>
      <c r="M6913" s="11">
        <f t="shared" si="1074"/>
        <v>0</v>
      </c>
      <c r="N6913" s="11">
        <f t="shared" si="1075"/>
        <v>15.495200000000002</v>
      </c>
      <c r="O6913" s="11">
        <f t="shared" si="1076"/>
        <v>0.28000000000000003</v>
      </c>
      <c r="P6913" s="12">
        <f t="shared" si="1077"/>
        <v>-15.495200000000002</v>
      </c>
      <c r="Q6913" s="17" t="str">
        <f t="shared" si="1079"/>
        <v>Ecart négatif</v>
      </c>
    </row>
    <row r="6914" spans="1:17" x14ac:dyDescent="0.3">
      <c r="A6914" s="34" t="str">
        <f>base!J6914</f>
        <v>LM</v>
      </c>
      <c r="B6914" s="34" t="str">
        <f>base!V6914</f>
        <v>14150</v>
      </c>
      <c r="C6914" s="37">
        <v>34</v>
      </c>
      <c r="D6914" s="36">
        <f>base!H6914</f>
        <v>199.78</v>
      </c>
      <c r="E6914" s="44"/>
      <c r="F6914" s="16">
        <f>base!W6914</f>
        <v>33.96</v>
      </c>
      <c r="G6914" s="11">
        <f t="shared" ref="G6914:G6977" si="1080">F6914/D6914</f>
        <v>0.16998698568425269</v>
      </c>
      <c r="H6914" s="11">
        <f t="shared" ref="H6914:H6977" si="1081">VLOOKUP(C6914,tout_cout_traction,2,FALSE)*D6914</f>
        <v>77.914200000000008</v>
      </c>
      <c r="I6914" s="11">
        <f t="shared" ref="I6914:I6977" si="1082">H6914/D6914</f>
        <v>0.39</v>
      </c>
      <c r="J6914" s="12">
        <f t="shared" ref="J6914:J6977" si="1083">F6914-H6914</f>
        <v>-43.954200000000007</v>
      </c>
      <c r="K6914" s="17" t="str">
        <f t="shared" si="1078"/>
        <v>Ecart négatif</v>
      </c>
      <c r="L6914" s="16">
        <f>base!X6914</f>
        <v>0</v>
      </c>
      <c r="M6914" s="11">
        <f t="shared" ref="M6914:M6977" si="1084">L6914/D6914</f>
        <v>0</v>
      </c>
      <c r="N6914" s="11">
        <f t="shared" ref="N6914:N6977" si="1085">VLOOKUP(C6914,tout_cout_traction,3,FALSE)*D6914</f>
        <v>55.938400000000009</v>
      </c>
      <c r="O6914" s="11">
        <f t="shared" ref="O6914:O6977" si="1086">N6914/D6914</f>
        <v>0.28000000000000003</v>
      </c>
      <c r="P6914" s="12">
        <f t="shared" ref="P6914:P6977" si="1087">L6914-N6914</f>
        <v>-55.938400000000009</v>
      </c>
      <c r="Q6914" s="17" t="str">
        <f t="shared" si="1079"/>
        <v>Ecart négatif</v>
      </c>
    </row>
    <row r="6915" spans="1:17" x14ac:dyDescent="0.3">
      <c r="A6915" s="34" t="str">
        <f>base!J6915</f>
        <v>LS</v>
      </c>
      <c r="B6915" s="34" t="str">
        <f>base!V6915</f>
        <v>25460</v>
      </c>
      <c r="C6915" s="37">
        <v>34</v>
      </c>
      <c r="D6915" s="36">
        <f>base!H6915</f>
        <v>0.42</v>
      </c>
      <c r="E6915" s="44"/>
      <c r="F6915" s="16">
        <f>base!W6915</f>
        <v>0.1</v>
      </c>
      <c r="G6915" s="11">
        <f t="shared" si="1080"/>
        <v>0.23809523809523811</v>
      </c>
      <c r="H6915" s="11">
        <f t="shared" si="1081"/>
        <v>0.1638</v>
      </c>
      <c r="I6915" s="11">
        <f t="shared" si="1082"/>
        <v>0.39</v>
      </c>
      <c r="J6915" s="12">
        <f t="shared" si="1083"/>
        <v>-6.3799999999999996E-2</v>
      </c>
      <c r="K6915" s="17" t="str">
        <f t="shared" ref="K6915:K6978" si="1088">IF(H6915=F6915,"Pas d'écart",IF(H6915&lt;F6915,"Ecart positif",IF(H6915&gt;F6915,"Ecart négatif")))</f>
        <v>Ecart négatif</v>
      </c>
      <c r="L6915" s="16">
        <f>base!X6915</f>
        <v>0</v>
      </c>
      <c r="M6915" s="11">
        <f t="shared" si="1084"/>
        <v>0</v>
      </c>
      <c r="N6915" s="11">
        <f t="shared" si="1085"/>
        <v>0.11760000000000001</v>
      </c>
      <c r="O6915" s="11">
        <f t="shared" si="1086"/>
        <v>0.28000000000000003</v>
      </c>
      <c r="P6915" s="12">
        <f t="shared" si="1087"/>
        <v>-0.11760000000000001</v>
      </c>
      <c r="Q6915" s="17" t="str">
        <f t="shared" ref="Q6915:Q6978" si="1089">IF(N6915=L6915,"Pas d'écart",IF(N6915&lt;L6915,"Ecart positif",IF(N6915&gt;L6915,"Ecart négatif")))</f>
        <v>Ecart négatif</v>
      </c>
    </row>
    <row r="6916" spans="1:17" x14ac:dyDescent="0.3">
      <c r="A6916" s="34" t="str">
        <f>base!J6916</f>
        <v>LS</v>
      </c>
      <c r="B6916" s="34" t="str">
        <f>base!V6916</f>
        <v>74540</v>
      </c>
      <c r="C6916" s="37">
        <v>34</v>
      </c>
      <c r="D6916" s="36">
        <f>base!H6916</f>
        <v>153.44999999999999</v>
      </c>
      <c r="E6916" s="44"/>
      <c r="F6916" s="16">
        <f>base!W6916</f>
        <v>41.43</v>
      </c>
      <c r="G6916" s="11">
        <f t="shared" si="1080"/>
        <v>0.26999022482893453</v>
      </c>
      <c r="H6916" s="11">
        <f t="shared" si="1081"/>
        <v>59.845499999999994</v>
      </c>
      <c r="I6916" s="11">
        <f t="shared" si="1082"/>
        <v>0.39</v>
      </c>
      <c r="J6916" s="12">
        <f t="shared" si="1083"/>
        <v>-18.415499999999994</v>
      </c>
      <c r="K6916" s="17" t="str">
        <f t="shared" si="1088"/>
        <v>Ecart négatif</v>
      </c>
      <c r="L6916" s="16">
        <f>base!X6916</f>
        <v>0</v>
      </c>
      <c r="M6916" s="11">
        <f t="shared" si="1084"/>
        <v>0</v>
      </c>
      <c r="N6916" s="11">
        <f t="shared" si="1085"/>
        <v>42.966000000000001</v>
      </c>
      <c r="O6916" s="11">
        <f t="shared" si="1086"/>
        <v>0.28000000000000003</v>
      </c>
      <c r="P6916" s="12">
        <f t="shared" si="1087"/>
        <v>-42.966000000000001</v>
      </c>
      <c r="Q6916" s="17" t="str">
        <f t="shared" si="1089"/>
        <v>Ecart négatif</v>
      </c>
    </row>
    <row r="6917" spans="1:17" x14ac:dyDescent="0.3">
      <c r="A6917" s="34" t="str">
        <f>base!J6917</f>
        <v>LM</v>
      </c>
      <c r="B6917" s="34" t="str">
        <f>base!V6917</f>
        <v>02000</v>
      </c>
      <c r="C6917" s="37">
        <v>34</v>
      </c>
      <c r="D6917" s="36">
        <f>base!H6917</f>
        <v>1.23</v>
      </c>
      <c r="E6917" s="44"/>
      <c r="F6917" s="16">
        <f>base!W6917</f>
        <v>0.23</v>
      </c>
      <c r="G6917" s="11">
        <f t="shared" si="1080"/>
        <v>0.18699186991869921</v>
      </c>
      <c r="H6917" s="11">
        <f t="shared" si="1081"/>
        <v>0.47970000000000002</v>
      </c>
      <c r="I6917" s="11">
        <f t="shared" si="1082"/>
        <v>0.39</v>
      </c>
      <c r="J6917" s="12">
        <f t="shared" si="1083"/>
        <v>-0.24970000000000001</v>
      </c>
      <c r="K6917" s="17" t="str">
        <f t="shared" si="1088"/>
        <v>Ecart négatif</v>
      </c>
      <c r="L6917" s="16">
        <f>base!X6917</f>
        <v>0</v>
      </c>
      <c r="M6917" s="11">
        <f t="shared" si="1084"/>
        <v>0</v>
      </c>
      <c r="N6917" s="11">
        <f t="shared" si="1085"/>
        <v>0.34440000000000004</v>
      </c>
      <c r="O6917" s="11">
        <f t="shared" si="1086"/>
        <v>0.28000000000000003</v>
      </c>
      <c r="P6917" s="12">
        <f t="shared" si="1087"/>
        <v>-0.34440000000000004</v>
      </c>
      <c r="Q6917" s="17" t="str">
        <f t="shared" si="1089"/>
        <v>Ecart négatif</v>
      </c>
    </row>
    <row r="6918" spans="1:17" x14ac:dyDescent="0.3">
      <c r="A6918" s="34">
        <f>base!J6918</f>
        <v>0</v>
      </c>
      <c r="B6918" s="34" t="str">
        <f>base!V6918</f>
        <v>44240</v>
      </c>
      <c r="C6918" s="37">
        <v>44</v>
      </c>
      <c r="D6918" s="36">
        <f>base!H6918</f>
        <v>94.79</v>
      </c>
      <c r="E6918" s="44"/>
      <c r="F6918" s="16">
        <f>base!W6918</f>
        <v>0</v>
      </c>
      <c r="G6918" s="11">
        <f t="shared" si="1080"/>
        <v>0</v>
      </c>
      <c r="H6918" s="11">
        <f t="shared" si="1081"/>
        <v>25.593300000000003</v>
      </c>
      <c r="I6918" s="11">
        <f t="shared" si="1082"/>
        <v>0.27</v>
      </c>
      <c r="J6918" s="12">
        <f t="shared" si="1083"/>
        <v>-25.593300000000003</v>
      </c>
      <c r="K6918" s="17" t="str">
        <f t="shared" si="1088"/>
        <v>Ecart négatif</v>
      </c>
      <c r="L6918" s="16">
        <f>base!X6918</f>
        <v>0</v>
      </c>
      <c r="M6918" s="11">
        <f t="shared" si="1084"/>
        <v>0</v>
      </c>
      <c r="N6918" s="11">
        <f t="shared" si="1085"/>
        <v>0</v>
      </c>
      <c r="O6918" s="11">
        <f t="shared" si="1086"/>
        <v>0</v>
      </c>
      <c r="P6918" s="12">
        <f t="shared" si="1087"/>
        <v>0</v>
      </c>
      <c r="Q6918" s="17" t="str">
        <f t="shared" si="1089"/>
        <v>Pas d'écart</v>
      </c>
    </row>
    <row r="6919" spans="1:17" x14ac:dyDescent="0.3">
      <c r="A6919" s="34" t="str">
        <f>base!J6919</f>
        <v>RS</v>
      </c>
      <c r="B6919" s="34" t="str">
        <f>base!V6919</f>
        <v>49000</v>
      </c>
      <c r="C6919" s="37">
        <v>49</v>
      </c>
      <c r="D6919" s="36">
        <f>base!H6919</f>
        <v>40</v>
      </c>
      <c r="E6919" s="44"/>
      <c r="F6919" s="16">
        <f>base!W6919</f>
        <v>0</v>
      </c>
      <c r="G6919" s="11">
        <f t="shared" si="1080"/>
        <v>0</v>
      </c>
      <c r="H6919" s="11">
        <f t="shared" si="1081"/>
        <v>10.8</v>
      </c>
      <c r="I6919" s="11">
        <f t="shared" si="1082"/>
        <v>0.27</v>
      </c>
      <c r="J6919" s="12">
        <f t="shared" si="1083"/>
        <v>-10.8</v>
      </c>
      <c r="K6919" s="17" t="str">
        <f t="shared" si="1088"/>
        <v>Ecart négatif</v>
      </c>
      <c r="L6919" s="16">
        <f>base!X6919</f>
        <v>0</v>
      </c>
      <c r="M6919" s="11">
        <f t="shared" si="1084"/>
        <v>0</v>
      </c>
      <c r="N6919" s="11">
        <f t="shared" si="1085"/>
        <v>0</v>
      </c>
      <c r="O6919" s="11">
        <f t="shared" si="1086"/>
        <v>0</v>
      </c>
      <c r="P6919" s="12">
        <f t="shared" si="1087"/>
        <v>0</v>
      </c>
      <c r="Q6919" s="17" t="str">
        <f t="shared" si="1089"/>
        <v>Pas d'écart</v>
      </c>
    </row>
    <row r="6920" spans="1:17" x14ac:dyDescent="0.3">
      <c r="A6920" s="34" t="str">
        <f>base!J6920</f>
        <v>DLS</v>
      </c>
      <c r="B6920" s="34" t="str">
        <f>base!V6920</f>
        <v>34430</v>
      </c>
      <c r="C6920" s="37">
        <v>34</v>
      </c>
      <c r="D6920" s="36">
        <f>base!H6920</f>
        <v>40</v>
      </c>
      <c r="E6920" s="44"/>
      <c r="F6920" s="16">
        <f>base!W6920</f>
        <v>0</v>
      </c>
      <c r="G6920" s="11">
        <f t="shared" si="1080"/>
        <v>0</v>
      </c>
      <c r="H6920" s="11">
        <f t="shared" si="1081"/>
        <v>15.600000000000001</v>
      </c>
      <c r="I6920" s="11">
        <f t="shared" si="1082"/>
        <v>0.39</v>
      </c>
      <c r="J6920" s="12">
        <f t="shared" si="1083"/>
        <v>-15.600000000000001</v>
      </c>
      <c r="K6920" s="17" t="str">
        <f t="shared" si="1088"/>
        <v>Ecart négatif</v>
      </c>
      <c r="L6920" s="16">
        <f>base!X6920</f>
        <v>12</v>
      </c>
      <c r="M6920" s="11">
        <f t="shared" si="1084"/>
        <v>0.3</v>
      </c>
      <c r="N6920" s="11">
        <f t="shared" si="1085"/>
        <v>11.200000000000001</v>
      </c>
      <c r="O6920" s="11">
        <f t="shared" si="1086"/>
        <v>0.28000000000000003</v>
      </c>
      <c r="P6920" s="12">
        <f t="shared" si="1087"/>
        <v>0.79999999999999893</v>
      </c>
      <c r="Q6920" s="17" t="str">
        <f t="shared" si="1089"/>
        <v>Ecart positif</v>
      </c>
    </row>
    <row r="6921" spans="1:17" x14ac:dyDescent="0.3">
      <c r="A6921" s="34" t="str">
        <f>base!J6921</f>
        <v>LS</v>
      </c>
      <c r="B6921" s="34" t="str">
        <f>base!V6921</f>
        <v>92400</v>
      </c>
      <c r="C6921" s="37">
        <v>92</v>
      </c>
      <c r="D6921" s="36">
        <f>base!H6921</f>
        <v>189.93</v>
      </c>
      <c r="E6921" s="44"/>
      <c r="F6921" s="16">
        <f>base!W6921</f>
        <v>0</v>
      </c>
      <c r="G6921" s="11">
        <f t="shared" si="1080"/>
        <v>0</v>
      </c>
      <c r="H6921" s="11">
        <f t="shared" si="1081"/>
        <v>0</v>
      </c>
      <c r="I6921" s="11">
        <f t="shared" si="1082"/>
        <v>0</v>
      </c>
      <c r="J6921" s="12">
        <f t="shared" si="1083"/>
        <v>0</v>
      </c>
      <c r="K6921" s="17" t="str">
        <f t="shared" si="1088"/>
        <v>Pas d'écart</v>
      </c>
      <c r="L6921" s="16">
        <f>base!X6921</f>
        <v>0</v>
      </c>
      <c r="M6921" s="11">
        <f t="shared" si="1084"/>
        <v>0</v>
      </c>
      <c r="N6921" s="11">
        <f t="shared" si="1085"/>
        <v>0</v>
      </c>
      <c r="O6921" s="11">
        <f t="shared" si="1086"/>
        <v>0</v>
      </c>
      <c r="P6921" s="12">
        <f t="shared" si="1087"/>
        <v>0</v>
      </c>
      <c r="Q6921" s="17" t="str">
        <f t="shared" si="1089"/>
        <v>Pas d'écart</v>
      </c>
    </row>
    <row r="6922" spans="1:17" x14ac:dyDescent="0.3">
      <c r="A6922" s="34" t="str">
        <f>base!J6922</f>
        <v>LM</v>
      </c>
      <c r="B6922" s="34" t="str">
        <f>base!V6922</f>
        <v>77550</v>
      </c>
      <c r="C6922" s="37">
        <v>77</v>
      </c>
      <c r="D6922" s="36">
        <f>base!H6922</f>
        <v>143.25</v>
      </c>
      <c r="E6922" s="44"/>
      <c r="F6922" s="16">
        <f>base!W6922</f>
        <v>0</v>
      </c>
      <c r="G6922" s="11">
        <f t="shared" si="1080"/>
        <v>0</v>
      </c>
      <c r="H6922" s="11">
        <f t="shared" si="1081"/>
        <v>0</v>
      </c>
      <c r="I6922" s="11">
        <f t="shared" si="1082"/>
        <v>0</v>
      </c>
      <c r="J6922" s="12">
        <f t="shared" si="1083"/>
        <v>0</v>
      </c>
      <c r="K6922" s="17" t="str">
        <f t="shared" si="1088"/>
        <v>Pas d'écart</v>
      </c>
      <c r="L6922" s="16">
        <f>base!X6922</f>
        <v>0</v>
      </c>
      <c r="M6922" s="11">
        <f t="shared" si="1084"/>
        <v>0</v>
      </c>
      <c r="N6922" s="11">
        <f t="shared" si="1085"/>
        <v>0</v>
      </c>
      <c r="O6922" s="11">
        <f t="shared" si="1086"/>
        <v>0</v>
      </c>
      <c r="P6922" s="12">
        <f t="shared" si="1087"/>
        <v>0</v>
      </c>
      <c r="Q6922" s="17" t="str">
        <f t="shared" si="1089"/>
        <v>Pas d'écart</v>
      </c>
    </row>
    <row r="6923" spans="1:17" x14ac:dyDescent="0.3">
      <c r="A6923" s="34" t="str">
        <f>base!J6923</f>
        <v>LM</v>
      </c>
      <c r="B6923" s="34" t="str">
        <f>base!V6923</f>
        <v>75015</v>
      </c>
      <c r="C6923" s="37">
        <v>75</v>
      </c>
      <c r="D6923" s="36">
        <f>base!H6923</f>
        <v>214.6</v>
      </c>
      <c r="E6923" s="44"/>
      <c r="F6923" s="16">
        <f>base!W6923</f>
        <v>0</v>
      </c>
      <c r="G6923" s="11">
        <f t="shared" si="1080"/>
        <v>0</v>
      </c>
      <c r="H6923" s="11">
        <f t="shared" si="1081"/>
        <v>0</v>
      </c>
      <c r="I6923" s="11">
        <f t="shared" si="1082"/>
        <v>0</v>
      </c>
      <c r="J6923" s="12">
        <f t="shared" si="1083"/>
        <v>0</v>
      </c>
      <c r="K6923" s="17" t="str">
        <f t="shared" si="1088"/>
        <v>Pas d'écart</v>
      </c>
      <c r="L6923" s="16">
        <f>base!X6923</f>
        <v>0</v>
      </c>
      <c r="M6923" s="11">
        <f t="shared" si="1084"/>
        <v>0</v>
      </c>
      <c r="N6923" s="11">
        <f t="shared" si="1085"/>
        <v>0</v>
      </c>
      <c r="O6923" s="11">
        <f t="shared" si="1086"/>
        <v>0</v>
      </c>
      <c r="P6923" s="12">
        <f t="shared" si="1087"/>
        <v>0</v>
      </c>
      <c r="Q6923" s="17" t="str">
        <f t="shared" si="1089"/>
        <v>Pas d'écart</v>
      </c>
    </row>
    <row r="6924" spans="1:17" x14ac:dyDescent="0.3">
      <c r="A6924" s="34" t="str">
        <f>base!J6924</f>
        <v>LS</v>
      </c>
      <c r="B6924" s="34" t="str">
        <f>base!V6924</f>
        <v>63100</v>
      </c>
      <c r="C6924" s="37">
        <v>30</v>
      </c>
      <c r="D6924" s="36">
        <f>base!H6924</f>
        <v>120.29</v>
      </c>
      <c r="E6924" s="44"/>
      <c r="F6924" s="16">
        <f>base!W6924</f>
        <v>34.880000000000003</v>
      </c>
      <c r="G6924" s="11">
        <f t="shared" si="1080"/>
        <v>0.28996591570371605</v>
      </c>
      <c r="H6924" s="11">
        <f t="shared" si="1081"/>
        <v>46.913100000000007</v>
      </c>
      <c r="I6924" s="11">
        <f t="shared" si="1082"/>
        <v>0.39</v>
      </c>
      <c r="J6924" s="12">
        <f t="shared" si="1083"/>
        <v>-12.033100000000005</v>
      </c>
      <c r="K6924" s="17" t="str">
        <f t="shared" si="1088"/>
        <v>Ecart négatif</v>
      </c>
      <c r="L6924" s="16">
        <f>base!X6924</f>
        <v>0</v>
      </c>
      <c r="M6924" s="11">
        <f t="shared" si="1084"/>
        <v>0</v>
      </c>
      <c r="N6924" s="11">
        <f t="shared" si="1085"/>
        <v>33.681200000000004</v>
      </c>
      <c r="O6924" s="11">
        <f t="shared" si="1086"/>
        <v>0.28000000000000003</v>
      </c>
      <c r="P6924" s="12">
        <f t="shared" si="1087"/>
        <v>-33.681200000000004</v>
      </c>
      <c r="Q6924" s="17" t="str">
        <f t="shared" si="1089"/>
        <v>Ecart négatif</v>
      </c>
    </row>
    <row r="6925" spans="1:17" x14ac:dyDescent="0.3">
      <c r="A6925" s="34" t="str">
        <f>base!J6925</f>
        <v>LS</v>
      </c>
      <c r="B6925" s="34" t="str">
        <f>base!V6925</f>
        <v>13010</v>
      </c>
      <c r="C6925" s="37">
        <v>13</v>
      </c>
      <c r="D6925" s="36">
        <f>base!H6925</f>
        <v>40</v>
      </c>
      <c r="E6925" s="44"/>
      <c r="F6925" s="16">
        <f>base!W6925</f>
        <v>11.6</v>
      </c>
      <c r="G6925" s="11">
        <f t="shared" si="1080"/>
        <v>0.28999999999999998</v>
      </c>
      <c r="H6925" s="11">
        <f t="shared" si="1081"/>
        <v>11.6</v>
      </c>
      <c r="I6925" s="11">
        <f t="shared" si="1082"/>
        <v>0.28999999999999998</v>
      </c>
      <c r="J6925" s="12">
        <f t="shared" si="1083"/>
        <v>0</v>
      </c>
      <c r="K6925" s="17" t="str">
        <f t="shared" si="1088"/>
        <v>Pas d'écart</v>
      </c>
      <c r="L6925" s="16">
        <f>base!X6925</f>
        <v>0</v>
      </c>
      <c r="M6925" s="11">
        <f t="shared" si="1084"/>
        <v>0</v>
      </c>
      <c r="N6925" s="11">
        <f t="shared" si="1085"/>
        <v>7.6</v>
      </c>
      <c r="O6925" s="11">
        <f t="shared" si="1086"/>
        <v>0.19</v>
      </c>
      <c r="P6925" s="12">
        <f t="shared" si="1087"/>
        <v>-7.6</v>
      </c>
      <c r="Q6925" s="17" t="str">
        <f t="shared" si="1089"/>
        <v>Ecart négatif</v>
      </c>
    </row>
    <row r="6926" spans="1:17" x14ac:dyDescent="0.3">
      <c r="A6926" s="34">
        <f>base!J6926</f>
        <v>0</v>
      </c>
      <c r="B6926" s="34" t="str">
        <f>base!V6926</f>
        <v>77184</v>
      </c>
      <c r="C6926" s="37">
        <v>77</v>
      </c>
      <c r="D6926" s="36">
        <f>base!H6926</f>
        <v>55</v>
      </c>
      <c r="E6926" s="44"/>
      <c r="F6926" s="16">
        <f>base!W6926</f>
        <v>0</v>
      </c>
      <c r="G6926" s="11">
        <f t="shared" si="1080"/>
        <v>0</v>
      </c>
      <c r="H6926" s="11">
        <f t="shared" si="1081"/>
        <v>0</v>
      </c>
      <c r="I6926" s="11">
        <f t="shared" si="1082"/>
        <v>0</v>
      </c>
      <c r="J6926" s="12">
        <f t="shared" si="1083"/>
        <v>0</v>
      </c>
      <c r="K6926" s="17" t="str">
        <f t="shared" si="1088"/>
        <v>Pas d'écart</v>
      </c>
      <c r="L6926" s="16">
        <f>base!X6926</f>
        <v>0</v>
      </c>
      <c r="M6926" s="11">
        <f t="shared" si="1084"/>
        <v>0</v>
      </c>
      <c r="N6926" s="11">
        <f t="shared" si="1085"/>
        <v>0</v>
      </c>
      <c r="O6926" s="11">
        <f t="shared" si="1086"/>
        <v>0</v>
      </c>
      <c r="P6926" s="12">
        <f t="shared" si="1087"/>
        <v>0</v>
      </c>
      <c r="Q6926" s="17" t="str">
        <f t="shared" si="1089"/>
        <v>Pas d'écart</v>
      </c>
    </row>
    <row r="6927" spans="1:17" x14ac:dyDescent="0.3">
      <c r="A6927" s="34" t="str">
        <f>base!J6927</f>
        <v>DLS</v>
      </c>
      <c r="B6927" s="34" t="str">
        <f>base!V6927</f>
        <v>77184</v>
      </c>
      <c r="C6927" s="37">
        <v>77</v>
      </c>
      <c r="D6927" s="36">
        <f>base!H6927</f>
        <v>40</v>
      </c>
      <c r="E6927" s="44"/>
      <c r="F6927" s="16">
        <f>base!W6927</f>
        <v>0</v>
      </c>
      <c r="G6927" s="11">
        <f t="shared" si="1080"/>
        <v>0</v>
      </c>
      <c r="H6927" s="11">
        <f t="shared" si="1081"/>
        <v>0</v>
      </c>
      <c r="I6927" s="11">
        <f t="shared" si="1082"/>
        <v>0</v>
      </c>
      <c r="J6927" s="12">
        <f t="shared" si="1083"/>
        <v>0</v>
      </c>
      <c r="K6927" s="17" t="str">
        <f t="shared" si="1088"/>
        <v>Pas d'écart</v>
      </c>
      <c r="L6927" s="16">
        <f>base!X6927</f>
        <v>0</v>
      </c>
      <c r="M6927" s="11">
        <f t="shared" si="1084"/>
        <v>0</v>
      </c>
      <c r="N6927" s="11">
        <f t="shared" si="1085"/>
        <v>0</v>
      </c>
      <c r="O6927" s="11">
        <f t="shared" si="1086"/>
        <v>0</v>
      </c>
      <c r="P6927" s="12">
        <f t="shared" si="1087"/>
        <v>0</v>
      </c>
      <c r="Q6927" s="17" t="str">
        <f t="shared" si="1089"/>
        <v>Pas d'écart</v>
      </c>
    </row>
    <row r="6928" spans="1:17" x14ac:dyDescent="0.3">
      <c r="A6928" s="34" t="str">
        <f>base!J6928</f>
        <v>LM</v>
      </c>
      <c r="B6928" s="34" t="str">
        <f>base!V6928</f>
        <v>62500</v>
      </c>
      <c r="C6928" s="37">
        <v>34</v>
      </c>
      <c r="D6928" s="36">
        <f>base!H6928</f>
        <v>19.8</v>
      </c>
      <c r="E6928" s="44"/>
      <c r="F6928" s="16">
        <f>base!W6928</f>
        <v>3.76</v>
      </c>
      <c r="G6928" s="11">
        <f t="shared" si="1080"/>
        <v>0.18989898989898987</v>
      </c>
      <c r="H6928" s="11">
        <f t="shared" si="1081"/>
        <v>7.7220000000000004</v>
      </c>
      <c r="I6928" s="11">
        <f t="shared" si="1082"/>
        <v>0.39</v>
      </c>
      <c r="J6928" s="12">
        <f t="shared" si="1083"/>
        <v>-3.9620000000000006</v>
      </c>
      <c r="K6928" s="17" t="str">
        <f t="shared" si="1088"/>
        <v>Ecart négatif</v>
      </c>
      <c r="L6928" s="16">
        <f>base!X6928</f>
        <v>0</v>
      </c>
      <c r="M6928" s="11">
        <f t="shared" si="1084"/>
        <v>0</v>
      </c>
      <c r="N6928" s="11">
        <f t="shared" si="1085"/>
        <v>5.5440000000000005</v>
      </c>
      <c r="O6928" s="11">
        <f t="shared" si="1086"/>
        <v>0.28000000000000003</v>
      </c>
      <c r="P6928" s="12">
        <f t="shared" si="1087"/>
        <v>-5.5440000000000005</v>
      </c>
      <c r="Q6928" s="17" t="str">
        <f t="shared" si="1089"/>
        <v>Ecart négatif</v>
      </c>
    </row>
    <row r="6929" spans="1:17" x14ac:dyDescent="0.3">
      <c r="A6929" s="34" t="str">
        <f>base!J6929</f>
        <v>LS</v>
      </c>
      <c r="B6929" s="34" t="str">
        <f>base!V6929</f>
        <v>57600</v>
      </c>
      <c r="C6929" s="37">
        <v>30</v>
      </c>
      <c r="D6929" s="36">
        <f>base!H6929</f>
        <v>40</v>
      </c>
      <c r="E6929" s="44"/>
      <c r="F6929" s="16">
        <f>base!W6929</f>
        <v>10</v>
      </c>
      <c r="G6929" s="11">
        <f t="shared" si="1080"/>
        <v>0.25</v>
      </c>
      <c r="H6929" s="11">
        <f t="shared" si="1081"/>
        <v>15.600000000000001</v>
      </c>
      <c r="I6929" s="11">
        <f t="shared" si="1082"/>
        <v>0.39</v>
      </c>
      <c r="J6929" s="12">
        <f t="shared" si="1083"/>
        <v>-5.6000000000000014</v>
      </c>
      <c r="K6929" s="17" t="str">
        <f t="shared" si="1088"/>
        <v>Ecart négatif</v>
      </c>
      <c r="L6929" s="16">
        <f>base!X6929</f>
        <v>0</v>
      </c>
      <c r="M6929" s="11">
        <f t="shared" si="1084"/>
        <v>0</v>
      </c>
      <c r="N6929" s="11">
        <f t="shared" si="1085"/>
        <v>11.200000000000001</v>
      </c>
      <c r="O6929" s="11">
        <f t="shared" si="1086"/>
        <v>0.28000000000000003</v>
      </c>
      <c r="P6929" s="12">
        <f t="shared" si="1087"/>
        <v>-11.200000000000001</v>
      </c>
      <c r="Q6929" s="17" t="str">
        <f t="shared" si="1089"/>
        <v>Ecart négatif</v>
      </c>
    </row>
    <row r="6930" spans="1:17" x14ac:dyDescent="0.3">
      <c r="A6930" s="34" t="str">
        <f>base!J6930</f>
        <v>LM</v>
      </c>
      <c r="B6930" s="34" t="str">
        <f>base!V6930</f>
        <v>83170</v>
      </c>
      <c r="C6930" s="37">
        <v>29</v>
      </c>
      <c r="D6930" s="36">
        <f>base!H6930</f>
        <v>141.65</v>
      </c>
      <c r="E6930" s="44"/>
      <c r="F6930" s="16">
        <f>base!W6930</f>
        <v>42.5</v>
      </c>
      <c r="G6930" s="11">
        <f t="shared" si="1080"/>
        <v>0.30003529827038472</v>
      </c>
      <c r="H6930" s="11">
        <f t="shared" si="1081"/>
        <v>55.243500000000004</v>
      </c>
      <c r="I6930" s="11">
        <f t="shared" si="1082"/>
        <v>0.39</v>
      </c>
      <c r="J6930" s="12">
        <f t="shared" si="1083"/>
        <v>-12.743500000000004</v>
      </c>
      <c r="K6930" s="17" t="str">
        <f t="shared" si="1088"/>
        <v>Ecart négatif</v>
      </c>
      <c r="L6930" s="16">
        <f>base!X6930</f>
        <v>0</v>
      </c>
      <c r="M6930" s="11">
        <f t="shared" si="1084"/>
        <v>0</v>
      </c>
      <c r="N6930" s="11">
        <f t="shared" si="1085"/>
        <v>16.998000000000001</v>
      </c>
      <c r="O6930" s="11">
        <f t="shared" si="1086"/>
        <v>0.12000000000000001</v>
      </c>
      <c r="P6930" s="12">
        <f t="shared" si="1087"/>
        <v>-16.998000000000001</v>
      </c>
      <c r="Q6930" s="17" t="str">
        <f t="shared" si="1089"/>
        <v>Ecart négatif</v>
      </c>
    </row>
    <row r="6931" spans="1:17" x14ac:dyDescent="0.3">
      <c r="A6931" s="34" t="str">
        <f>base!J6931</f>
        <v>LS</v>
      </c>
      <c r="B6931" s="34" t="str">
        <f>base!V6931</f>
        <v>91400</v>
      </c>
      <c r="C6931" s="37">
        <v>91</v>
      </c>
      <c r="D6931" s="36">
        <f>base!H6931</f>
        <v>168.95</v>
      </c>
      <c r="E6931" s="44"/>
      <c r="F6931" s="16">
        <f>base!W6931</f>
        <v>0</v>
      </c>
      <c r="G6931" s="11">
        <f t="shared" si="1080"/>
        <v>0</v>
      </c>
      <c r="H6931" s="11">
        <f t="shared" si="1081"/>
        <v>0</v>
      </c>
      <c r="I6931" s="11">
        <f t="shared" si="1082"/>
        <v>0</v>
      </c>
      <c r="J6931" s="12">
        <f t="shared" si="1083"/>
        <v>0</v>
      </c>
      <c r="K6931" s="17" t="str">
        <f t="shared" si="1088"/>
        <v>Pas d'écart</v>
      </c>
      <c r="L6931" s="16">
        <f>base!X6931</f>
        <v>0</v>
      </c>
      <c r="M6931" s="11">
        <f t="shared" si="1084"/>
        <v>0</v>
      </c>
      <c r="N6931" s="11">
        <f t="shared" si="1085"/>
        <v>0</v>
      </c>
      <c r="O6931" s="11">
        <f t="shared" si="1086"/>
        <v>0</v>
      </c>
      <c r="P6931" s="12">
        <f t="shared" si="1087"/>
        <v>0</v>
      </c>
      <c r="Q6931" s="17" t="str">
        <f t="shared" si="1089"/>
        <v>Pas d'écart</v>
      </c>
    </row>
    <row r="6932" spans="1:17" x14ac:dyDescent="0.3">
      <c r="A6932" s="34" t="str">
        <f>base!J6932</f>
        <v>LS</v>
      </c>
      <c r="B6932" s="34" t="str">
        <f>base!V6932</f>
        <v>45000</v>
      </c>
      <c r="C6932" s="37">
        <v>45</v>
      </c>
      <c r="D6932" s="36">
        <f>base!H6932</f>
        <v>150</v>
      </c>
      <c r="E6932" s="44"/>
      <c r="F6932" s="16">
        <f>base!W6932</f>
        <v>31.5</v>
      </c>
      <c r="G6932" s="11">
        <f t="shared" si="1080"/>
        <v>0.21</v>
      </c>
      <c r="H6932" s="11">
        <f t="shared" si="1081"/>
        <v>31.5</v>
      </c>
      <c r="I6932" s="11">
        <f t="shared" si="1082"/>
        <v>0.21</v>
      </c>
      <c r="J6932" s="12">
        <f t="shared" si="1083"/>
        <v>0</v>
      </c>
      <c r="K6932" s="17" t="str">
        <f t="shared" si="1088"/>
        <v>Pas d'écart</v>
      </c>
      <c r="L6932" s="16">
        <f>base!X6932</f>
        <v>0</v>
      </c>
      <c r="M6932" s="11">
        <f t="shared" si="1084"/>
        <v>0</v>
      </c>
      <c r="N6932" s="11">
        <f t="shared" si="1085"/>
        <v>18</v>
      </c>
      <c r="O6932" s="11">
        <f t="shared" si="1086"/>
        <v>0.12</v>
      </c>
      <c r="P6932" s="12">
        <f t="shared" si="1087"/>
        <v>-18</v>
      </c>
      <c r="Q6932" s="17" t="str">
        <f t="shared" si="1089"/>
        <v>Ecart négatif</v>
      </c>
    </row>
    <row r="6933" spans="1:17" x14ac:dyDescent="0.3">
      <c r="A6933" s="34" t="str">
        <f>base!J6933</f>
        <v>RM</v>
      </c>
      <c r="B6933" s="34" t="str">
        <f>base!V6933</f>
        <v>59000</v>
      </c>
      <c r="C6933" s="37">
        <v>59</v>
      </c>
      <c r="D6933" s="36">
        <f>base!H6933</f>
        <v>668</v>
      </c>
      <c r="E6933" s="44"/>
      <c r="F6933" s="16">
        <f>base!W6933</f>
        <v>0</v>
      </c>
      <c r="G6933" s="11">
        <f t="shared" si="1080"/>
        <v>0</v>
      </c>
      <c r="H6933" s="11">
        <f t="shared" si="1081"/>
        <v>126.92</v>
      </c>
      <c r="I6933" s="11">
        <f t="shared" si="1082"/>
        <v>0.19</v>
      </c>
      <c r="J6933" s="12">
        <f t="shared" si="1083"/>
        <v>-126.92</v>
      </c>
      <c r="K6933" s="17" t="str">
        <f t="shared" si="1088"/>
        <v>Ecart négatif</v>
      </c>
      <c r="L6933" s="16">
        <f>base!X6933</f>
        <v>0</v>
      </c>
      <c r="M6933" s="11">
        <f t="shared" si="1084"/>
        <v>0</v>
      </c>
      <c r="N6933" s="11">
        <f t="shared" si="1085"/>
        <v>0</v>
      </c>
      <c r="O6933" s="11">
        <f t="shared" si="1086"/>
        <v>0</v>
      </c>
      <c r="P6933" s="12">
        <f t="shared" si="1087"/>
        <v>0</v>
      </c>
      <c r="Q6933" s="17" t="str">
        <f t="shared" si="1089"/>
        <v>Pas d'écart</v>
      </c>
    </row>
    <row r="6934" spans="1:17" x14ac:dyDescent="0.3">
      <c r="A6934" s="34" t="str">
        <f>base!J6934</f>
        <v>LS</v>
      </c>
      <c r="B6934" s="34" t="str">
        <f>base!V6934</f>
        <v>92200</v>
      </c>
      <c r="C6934" s="37">
        <v>92</v>
      </c>
      <c r="D6934" s="36">
        <f>base!H6934</f>
        <v>151</v>
      </c>
      <c r="E6934" s="44"/>
      <c r="F6934" s="16">
        <f>base!W6934</f>
        <v>0</v>
      </c>
      <c r="G6934" s="11">
        <f t="shared" si="1080"/>
        <v>0</v>
      </c>
      <c r="H6934" s="11">
        <f t="shared" si="1081"/>
        <v>0</v>
      </c>
      <c r="I6934" s="11">
        <f t="shared" si="1082"/>
        <v>0</v>
      </c>
      <c r="J6934" s="12">
        <f t="shared" si="1083"/>
        <v>0</v>
      </c>
      <c r="K6934" s="17" t="str">
        <f t="shared" si="1088"/>
        <v>Pas d'écart</v>
      </c>
      <c r="L6934" s="16">
        <f>base!X6934</f>
        <v>0</v>
      </c>
      <c r="M6934" s="11">
        <f t="shared" si="1084"/>
        <v>0</v>
      </c>
      <c r="N6934" s="11">
        <f t="shared" si="1085"/>
        <v>0</v>
      </c>
      <c r="O6934" s="11">
        <f t="shared" si="1086"/>
        <v>0</v>
      </c>
      <c r="P6934" s="12">
        <f t="shared" si="1087"/>
        <v>0</v>
      </c>
      <c r="Q6934" s="17" t="str">
        <f t="shared" si="1089"/>
        <v>Pas d'écart</v>
      </c>
    </row>
    <row r="6935" spans="1:17" x14ac:dyDescent="0.3">
      <c r="A6935" s="34" t="str">
        <f>base!J6935</f>
        <v>RM</v>
      </c>
      <c r="B6935" s="34" t="str">
        <f>base!V6935</f>
        <v>77184</v>
      </c>
      <c r="C6935" s="37">
        <v>77</v>
      </c>
      <c r="D6935" s="36">
        <f>base!H6935</f>
        <v>194</v>
      </c>
      <c r="E6935" s="44"/>
      <c r="F6935" s="16">
        <f>base!W6935</f>
        <v>0</v>
      </c>
      <c r="G6935" s="11">
        <f t="shared" si="1080"/>
        <v>0</v>
      </c>
      <c r="H6935" s="11">
        <f t="shared" si="1081"/>
        <v>0</v>
      </c>
      <c r="I6935" s="11">
        <f t="shared" si="1082"/>
        <v>0</v>
      </c>
      <c r="J6935" s="12">
        <f t="shared" si="1083"/>
        <v>0</v>
      </c>
      <c r="K6935" s="17" t="str">
        <f t="shared" si="1088"/>
        <v>Pas d'écart</v>
      </c>
      <c r="L6935" s="16">
        <f>base!X6935</f>
        <v>0</v>
      </c>
      <c r="M6935" s="11">
        <f t="shared" si="1084"/>
        <v>0</v>
      </c>
      <c r="N6935" s="11">
        <f t="shared" si="1085"/>
        <v>0</v>
      </c>
      <c r="O6935" s="11">
        <f t="shared" si="1086"/>
        <v>0</v>
      </c>
      <c r="P6935" s="12">
        <f t="shared" si="1087"/>
        <v>0</v>
      </c>
      <c r="Q6935" s="17" t="str">
        <f t="shared" si="1089"/>
        <v>Pas d'écart</v>
      </c>
    </row>
    <row r="6936" spans="1:17" x14ac:dyDescent="0.3">
      <c r="A6936" s="34" t="str">
        <f>base!J6936</f>
        <v>LM</v>
      </c>
      <c r="B6936" s="34" t="str">
        <f>base!V6936</f>
        <v>78190</v>
      </c>
      <c r="C6936" s="37">
        <v>78</v>
      </c>
      <c r="D6936" s="36">
        <f>base!H6936</f>
        <v>53.82</v>
      </c>
      <c r="E6936" s="44"/>
      <c r="F6936" s="16">
        <f>base!W6936</f>
        <v>0</v>
      </c>
      <c r="G6936" s="11">
        <f t="shared" si="1080"/>
        <v>0</v>
      </c>
      <c r="H6936" s="11">
        <f t="shared" si="1081"/>
        <v>0</v>
      </c>
      <c r="I6936" s="11">
        <f t="shared" si="1082"/>
        <v>0</v>
      </c>
      <c r="J6936" s="12">
        <f t="shared" si="1083"/>
        <v>0</v>
      </c>
      <c r="K6936" s="17" t="str">
        <f t="shared" si="1088"/>
        <v>Pas d'écart</v>
      </c>
      <c r="L6936" s="16">
        <f>base!X6936</f>
        <v>0</v>
      </c>
      <c r="M6936" s="11">
        <f t="shared" si="1084"/>
        <v>0</v>
      </c>
      <c r="N6936" s="11">
        <f t="shared" si="1085"/>
        <v>0</v>
      </c>
      <c r="O6936" s="11">
        <f t="shared" si="1086"/>
        <v>0</v>
      </c>
      <c r="P6936" s="12">
        <f t="shared" si="1087"/>
        <v>0</v>
      </c>
      <c r="Q6936" s="17" t="str">
        <f t="shared" si="1089"/>
        <v>Pas d'écart</v>
      </c>
    </row>
    <row r="6937" spans="1:17" x14ac:dyDescent="0.3">
      <c r="A6937" s="34" t="str">
        <f>base!J6937</f>
        <v>LM</v>
      </c>
      <c r="B6937" s="34" t="str">
        <f>base!V6937</f>
        <v>69005</v>
      </c>
      <c r="C6937" s="37">
        <v>29</v>
      </c>
      <c r="D6937" s="36">
        <f>base!H6937</f>
        <v>33.35</v>
      </c>
      <c r="E6937" s="44"/>
      <c r="F6937" s="16">
        <f>base!W6937</f>
        <v>9</v>
      </c>
      <c r="G6937" s="11">
        <f t="shared" si="1080"/>
        <v>0.26986506746626687</v>
      </c>
      <c r="H6937" s="11">
        <f t="shared" si="1081"/>
        <v>13.006500000000001</v>
      </c>
      <c r="I6937" s="11">
        <f t="shared" si="1082"/>
        <v>0.39</v>
      </c>
      <c r="J6937" s="12">
        <f t="shared" si="1083"/>
        <v>-4.0065000000000008</v>
      </c>
      <c r="K6937" s="17" t="str">
        <f t="shared" si="1088"/>
        <v>Ecart négatif</v>
      </c>
      <c r="L6937" s="16">
        <f>base!X6937</f>
        <v>0</v>
      </c>
      <c r="M6937" s="11">
        <f t="shared" si="1084"/>
        <v>0</v>
      </c>
      <c r="N6937" s="11">
        <f t="shared" si="1085"/>
        <v>4.0019999999999998</v>
      </c>
      <c r="O6937" s="11">
        <f t="shared" si="1086"/>
        <v>0.11999999999999998</v>
      </c>
      <c r="P6937" s="12">
        <f t="shared" si="1087"/>
        <v>-4.0019999999999998</v>
      </c>
      <c r="Q6937" s="17" t="str">
        <f t="shared" si="1089"/>
        <v>Ecart négatif</v>
      </c>
    </row>
    <row r="6938" spans="1:17" x14ac:dyDescent="0.3">
      <c r="A6938" s="34" t="str">
        <f>base!J6938</f>
        <v>LM</v>
      </c>
      <c r="B6938" s="34" t="str">
        <f>base!V6938</f>
        <v>84380</v>
      </c>
      <c r="C6938" s="37">
        <v>22</v>
      </c>
      <c r="D6938" s="36">
        <f>base!H6938</f>
        <v>33.25</v>
      </c>
      <c r="E6938" s="44"/>
      <c r="F6938" s="16">
        <f>base!W6938</f>
        <v>9.64</v>
      </c>
      <c r="G6938" s="11">
        <f t="shared" si="1080"/>
        <v>0.2899248120300752</v>
      </c>
      <c r="H6938" s="11">
        <f t="shared" si="1081"/>
        <v>12.635</v>
      </c>
      <c r="I6938" s="11">
        <f t="shared" si="1082"/>
        <v>0.38</v>
      </c>
      <c r="J6938" s="12">
        <f t="shared" si="1083"/>
        <v>-2.9949999999999992</v>
      </c>
      <c r="K6938" s="17" t="str">
        <f t="shared" si="1088"/>
        <v>Ecart négatif</v>
      </c>
      <c r="L6938" s="16">
        <f>base!X6938</f>
        <v>0</v>
      </c>
      <c r="M6938" s="11">
        <f t="shared" si="1084"/>
        <v>0</v>
      </c>
      <c r="N6938" s="11">
        <f t="shared" si="1085"/>
        <v>3.9899999999999998</v>
      </c>
      <c r="O6938" s="11">
        <f t="shared" si="1086"/>
        <v>0.12</v>
      </c>
      <c r="P6938" s="12">
        <f t="shared" si="1087"/>
        <v>-3.9899999999999998</v>
      </c>
      <c r="Q6938" s="17" t="str">
        <f t="shared" si="1089"/>
        <v>Ecart négatif</v>
      </c>
    </row>
    <row r="6939" spans="1:17" x14ac:dyDescent="0.3">
      <c r="A6939" s="34" t="str">
        <f>base!J6939</f>
        <v>LS</v>
      </c>
      <c r="B6939" s="34" t="str">
        <f>base!V6939</f>
        <v>14310</v>
      </c>
      <c r="C6939" s="37">
        <v>34</v>
      </c>
      <c r="D6939" s="36">
        <f>base!H6939</f>
        <v>69.34</v>
      </c>
      <c r="E6939" s="44"/>
      <c r="F6939" s="16">
        <f>base!W6939</f>
        <v>11.79</v>
      </c>
      <c r="G6939" s="11">
        <f t="shared" si="1080"/>
        <v>0.1700317277184886</v>
      </c>
      <c r="H6939" s="11">
        <f t="shared" si="1081"/>
        <v>27.042600000000004</v>
      </c>
      <c r="I6939" s="11">
        <f t="shared" si="1082"/>
        <v>0.39</v>
      </c>
      <c r="J6939" s="12">
        <f t="shared" si="1083"/>
        <v>-15.252600000000005</v>
      </c>
      <c r="K6939" s="17" t="str">
        <f t="shared" si="1088"/>
        <v>Ecart négatif</v>
      </c>
      <c r="L6939" s="16">
        <f>base!X6939</f>
        <v>0</v>
      </c>
      <c r="M6939" s="11">
        <f t="shared" si="1084"/>
        <v>0</v>
      </c>
      <c r="N6939" s="11">
        <f t="shared" si="1085"/>
        <v>19.415200000000002</v>
      </c>
      <c r="O6939" s="11">
        <f t="shared" si="1086"/>
        <v>0.28000000000000003</v>
      </c>
      <c r="P6939" s="12">
        <f t="shared" si="1087"/>
        <v>-19.415200000000002</v>
      </c>
      <c r="Q6939" s="17" t="str">
        <f t="shared" si="1089"/>
        <v>Ecart négatif</v>
      </c>
    </row>
    <row r="6940" spans="1:17" x14ac:dyDescent="0.3">
      <c r="A6940" s="34" t="str">
        <f>base!J6940</f>
        <v>LS</v>
      </c>
      <c r="B6940" s="34" t="str">
        <f>base!V6940</f>
        <v>62000</v>
      </c>
      <c r="C6940" s="37">
        <v>66</v>
      </c>
      <c r="D6940" s="36">
        <f>base!H6940</f>
        <v>14.6</v>
      </c>
      <c r="E6940" s="44"/>
      <c r="F6940" s="16">
        <f>base!W6940</f>
        <v>2.77</v>
      </c>
      <c r="G6940" s="11">
        <f t="shared" si="1080"/>
        <v>0.18972602739726027</v>
      </c>
      <c r="H6940" s="11">
        <f t="shared" si="1081"/>
        <v>4.9640000000000004</v>
      </c>
      <c r="I6940" s="11">
        <f t="shared" si="1082"/>
        <v>0.34</v>
      </c>
      <c r="J6940" s="12">
        <f t="shared" si="1083"/>
        <v>-2.1940000000000004</v>
      </c>
      <c r="K6940" s="17" t="str">
        <f t="shared" si="1088"/>
        <v>Ecart négatif</v>
      </c>
      <c r="L6940" s="16">
        <f>base!X6940</f>
        <v>0</v>
      </c>
      <c r="M6940" s="11">
        <f t="shared" si="1084"/>
        <v>0</v>
      </c>
      <c r="N6940" s="11">
        <f t="shared" si="1085"/>
        <v>4.0880000000000001</v>
      </c>
      <c r="O6940" s="11">
        <f t="shared" si="1086"/>
        <v>0.28000000000000003</v>
      </c>
      <c r="P6940" s="12">
        <f t="shared" si="1087"/>
        <v>-4.0880000000000001</v>
      </c>
      <c r="Q6940" s="17" t="str">
        <f t="shared" si="1089"/>
        <v>Ecart négatif</v>
      </c>
    </row>
    <row r="6941" spans="1:17" x14ac:dyDescent="0.3">
      <c r="A6941" s="34" t="str">
        <f>base!J6941</f>
        <v>LS</v>
      </c>
      <c r="B6941" s="34" t="str">
        <f>base!V6941</f>
        <v>31150</v>
      </c>
      <c r="C6941" s="37">
        <v>29</v>
      </c>
      <c r="D6941" s="36">
        <f>base!H6941</f>
        <v>1671.25</v>
      </c>
      <c r="E6941" s="44"/>
      <c r="F6941" s="16">
        <f>base!W6941</f>
        <v>367.68</v>
      </c>
      <c r="G6941" s="11">
        <f t="shared" si="1080"/>
        <v>0.22000299177262528</v>
      </c>
      <c r="H6941" s="11">
        <f t="shared" si="1081"/>
        <v>651.78750000000002</v>
      </c>
      <c r="I6941" s="11">
        <f t="shared" si="1082"/>
        <v>0.39</v>
      </c>
      <c r="J6941" s="12">
        <f t="shared" si="1083"/>
        <v>-284.10750000000002</v>
      </c>
      <c r="K6941" s="17" t="str">
        <f t="shared" si="1088"/>
        <v>Ecart négatif</v>
      </c>
      <c r="L6941" s="16">
        <f>base!X6941</f>
        <v>0</v>
      </c>
      <c r="M6941" s="11">
        <f t="shared" si="1084"/>
        <v>0</v>
      </c>
      <c r="N6941" s="11">
        <f t="shared" si="1085"/>
        <v>200.54999999999998</v>
      </c>
      <c r="O6941" s="11">
        <f t="shared" si="1086"/>
        <v>0.12</v>
      </c>
      <c r="P6941" s="12">
        <f t="shared" si="1087"/>
        <v>-200.54999999999998</v>
      </c>
      <c r="Q6941" s="17" t="str">
        <f t="shared" si="1089"/>
        <v>Ecart négatif</v>
      </c>
    </row>
    <row r="6942" spans="1:17" x14ac:dyDescent="0.3">
      <c r="A6942" s="34" t="str">
        <f>base!J6942</f>
        <v>RS</v>
      </c>
      <c r="B6942" s="34" t="str">
        <f>base!V6942</f>
        <v>27400</v>
      </c>
      <c r="C6942" s="37">
        <v>27</v>
      </c>
      <c r="D6942" s="36">
        <f>base!H6942</f>
        <v>40</v>
      </c>
      <c r="E6942" s="44"/>
      <c r="F6942" s="16">
        <f>base!W6942</f>
        <v>0</v>
      </c>
      <c r="G6942" s="11">
        <f t="shared" si="1080"/>
        <v>0</v>
      </c>
      <c r="H6942" s="11">
        <f t="shared" si="1081"/>
        <v>6.8000000000000007</v>
      </c>
      <c r="I6942" s="11">
        <f t="shared" si="1082"/>
        <v>0.17</v>
      </c>
      <c r="J6942" s="12">
        <f t="shared" si="1083"/>
        <v>-6.8000000000000007</v>
      </c>
      <c r="K6942" s="17" t="str">
        <f t="shared" si="1088"/>
        <v>Ecart négatif</v>
      </c>
      <c r="L6942" s="16">
        <f>base!X6942</f>
        <v>6.8</v>
      </c>
      <c r="M6942" s="11">
        <f t="shared" si="1084"/>
        <v>0.16999999999999998</v>
      </c>
      <c r="N6942" s="11">
        <f t="shared" si="1085"/>
        <v>6.8000000000000007</v>
      </c>
      <c r="O6942" s="11">
        <f t="shared" si="1086"/>
        <v>0.17</v>
      </c>
      <c r="P6942" s="12">
        <f t="shared" si="1087"/>
        <v>0</v>
      </c>
      <c r="Q6942" s="17" t="str">
        <f t="shared" si="1089"/>
        <v>Pas d'écart</v>
      </c>
    </row>
    <row r="6943" spans="1:17" x14ac:dyDescent="0.3">
      <c r="A6943" s="34" t="str">
        <f>base!J6943</f>
        <v>LS</v>
      </c>
      <c r="B6943" s="34" t="str">
        <f>base!V6943</f>
        <v>60617</v>
      </c>
      <c r="C6943" s="37">
        <v>29</v>
      </c>
      <c r="D6943" s="36">
        <f>base!H6943</f>
        <v>36.369999999999997</v>
      </c>
      <c r="E6943" s="44"/>
      <c r="F6943" s="16">
        <f>base!W6943</f>
        <v>6.91</v>
      </c>
      <c r="G6943" s="11">
        <f t="shared" si="1080"/>
        <v>0.18999175144349739</v>
      </c>
      <c r="H6943" s="11">
        <f t="shared" si="1081"/>
        <v>14.1843</v>
      </c>
      <c r="I6943" s="11">
        <f t="shared" si="1082"/>
        <v>0.39</v>
      </c>
      <c r="J6943" s="12">
        <f t="shared" si="1083"/>
        <v>-7.2743000000000002</v>
      </c>
      <c r="K6943" s="17" t="str">
        <f t="shared" si="1088"/>
        <v>Ecart négatif</v>
      </c>
      <c r="L6943" s="16">
        <f>base!X6943</f>
        <v>0</v>
      </c>
      <c r="M6943" s="11">
        <f t="shared" si="1084"/>
        <v>0</v>
      </c>
      <c r="N6943" s="11">
        <f t="shared" si="1085"/>
        <v>4.3643999999999998</v>
      </c>
      <c r="O6943" s="11">
        <f t="shared" si="1086"/>
        <v>0.12000000000000001</v>
      </c>
      <c r="P6943" s="12">
        <f t="shared" si="1087"/>
        <v>-4.3643999999999998</v>
      </c>
      <c r="Q6943" s="17" t="str">
        <f t="shared" si="1089"/>
        <v>Ecart négatif</v>
      </c>
    </row>
    <row r="6944" spans="1:17" x14ac:dyDescent="0.3">
      <c r="A6944" s="34" t="str">
        <f>base!J6944</f>
        <v>RM</v>
      </c>
      <c r="B6944" s="34" t="str">
        <f>base!V6944</f>
        <v>59287</v>
      </c>
      <c r="C6944" s="37">
        <v>59</v>
      </c>
      <c r="D6944" s="36">
        <f>base!H6944</f>
        <v>290.64999999999998</v>
      </c>
      <c r="E6944" s="44"/>
      <c r="F6944" s="16">
        <f>base!W6944</f>
        <v>0</v>
      </c>
      <c r="G6944" s="11">
        <f t="shared" si="1080"/>
        <v>0</v>
      </c>
      <c r="H6944" s="11">
        <f t="shared" si="1081"/>
        <v>55.223499999999994</v>
      </c>
      <c r="I6944" s="11">
        <f t="shared" si="1082"/>
        <v>0.19</v>
      </c>
      <c r="J6944" s="12">
        <f t="shared" si="1083"/>
        <v>-55.223499999999994</v>
      </c>
      <c r="K6944" s="17" t="str">
        <f t="shared" si="1088"/>
        <v>Ecart négatif</v>
      </c>
      <c r="L6944" s="16">
        <f>base!X6944</f>
        <v>0</v>
      </c>
      <c r="M6944" s="11">
        <f t="shared" si="1084"/>
        <v>0</v>
      </c>
      <c r="N6944" s="11">
        <f t="shared" si="1085"/>
        <v>0</v>
      </c>
      <c r="O6944" s="11">
        <f t="shared" si="1086"/>
        <v>0</v>
      </c>
      <c r="P6944" s="12">
        <f t="shared" si="1087"/>
        <v>0</v>
      </c>
      <c r="Q6944" s="17" t="str">
        <f t="shared" si="1089"/>
        <v>Pas d'écart</v>
      </c>
    </row>
    <row r="6945" spans="1:18" x14ac:dyDescent="0.3">
      <c r="A6945" s="34" t="str">
        <f>base!J6945</f>
        <v>LM</v>
      </c>
      <c r="B6945" s="34" t="str">
        <f>base!V6945</f>
        <v>92200</v>
      </c>
      <c r="C6945" s="37">
        <v>92</v>
      </c>
      <c r="D6945" s="36">
        <f>base!H6945</f>
        <v>30</v>
      </c>
      <c r="E6945" s="44"/>
      <c r="F6945" s="16">
        <f>base!W6945</f>
        <v>0</v>
      </c>
      <c r="G6945" s="11">
        <f t="shared" si="1080"/>
        <v>0</v>
      </c>
      <c r="H6945" s="11">
        <f t="shared" si="1081"/>
        <v>0</v>
      </c>
      <c r="I6945" s="11">
        <f t="shared" si="1082"/>
        <v>0</v>
      </c>
      <c r="J6945" s="12">
        <f t="shared" si="1083"/>
        <v>0</v>
      </c>
      <c r="K6945" s="17" t="str">
        <f t="shared" si="1088"/>
        <v>Pas d'écart</v>
      </c>
      <c r="L6945" s="16">
        <f>base!X6945</f>
        <v>0</v>
      </c>
      <c r="M6945" s="11">
        <f t="shared" si="1084"/>
        <v>0</v>
      </c>
      <c r="N6945" s="11">
        <f t="shared" si="1085"/>
        <v>0</v>
      </c>
      <c r="O6945" s="11">
        <f t="shared" si="1086"/>
        <v>0</v>
      </c>
      <c r="P6945" s="12">
        <f t="shared" si="1087"/>
        <v>0</v>
      </c>
      <c r="Q6945" s="17" t="str">
        <f t="shared" si="1089"/>
        <v>Pas d'écart</v>
      </c>
    </row>
    <row r="6946" spans="1:18" x14ac:dyDescent="0.3">
      <c r="A6946" s="34" t="str">
        <f>base!J6946</f>
        <v>RS</v>
      </c>
      <c r="B6946" s="34" t="str">
        <f>base!V6946</f>
        <v>76133</v>
      </c>
      <c r="C6946" s="37">
        <v>76</v>
      </c>
      <c r="D6946" s="36">
        <f>base!H6946</f>
        <v>140</v>
      </c>
      <c r="E6946" s="44"/>
      <c r="F6946" s="16">
        <f>base!W6946</f>
        <v>0</v>
      </c>
      <c r="G6946" s="11">
        <f t="shared" si="1080"/>
        <v>0</v>
      </c>
      <c r="H6946" s="11">
        <f t="shared" si="1081"/>
        <v>23.8</v>
      </c>
      <c r="I6946" s="11">
        <f t="shared" si="1082"/>
        <v>0.17</v>
      </c>
      <c r="J6946" s="12">
        <f t="shared" si="1083"/>
        <v>-23.8</v>
      </c>
      <c r="K6946" s="17" t="str">
        <f t="shared" si="1088"/>
        <v>Ecart négatif</v>
      </c>
      <c r="L6946" s="16">
        <f>base!X6946</f>
        <v>0</v>
      </c>
      <c r="M6946" s="11">
        <f t="shared" si="1084"/>
        <v>0</v>
      </c>
      <c r="N6946" s="11">
        <f t="shared" si="1085"/>
        <v>23.8</v>
      </c>
      <c r="O6946" s="11">
        <f t="shared" si="1086"/>
        <v>0.17</v>
      </c>
      <c r="P6946" s="12">
        <f t="shared" si="1087"/>
        <v>-23.8</v>
      </c>
      <c r="Q6946" s="17" t="str">
        <f t="shared" si="1089"/>
        <v>Ecart négatif</v>
      </c>
    </row>
    <row r="6947" spans="1:18" x14ac:dyDescent="0.3">
      <c r="A6947" s="34" t="str">
        <f>base!J6947</f>
        <v>RM</v>
      </c>
      <c r="B6947" s="34" t="str">
        <f>base!V6947</f>
        <v>77190</v>
      </c>
      <c r="C6947" s="37">
        <v>77</v>
      </c>
      <c r="D6947" s="36">
        <f>base!H6947</f>
        <v>40</v>
      </c>
      <c r="E6947" s="44"/>
      <c r="F6947" s="16">
        <f>base!W6947</f>
        <v>0</v>
      </c>
      <c r="G6947" s="11">
        <f t="shared" si="1080"/>
        <v>0</v>
      </c>
      <c r="H6947" s="11">
        <f t="shared" si="1081"/>
        <v>0</v>
      </c>
      <c r="I6947" s="11">
        <f t="shared" si="1082"/>
        <v>0</v>
      </c>
      <c r="J6947" s="12">
        <f t="shared" si="1083"/>
        <v>0</v>
      </c>
      <c r="K6947" s="17" t="str">
        <f t="shared" si="1088"/>
        <v>Pas d'écart</v>
      </c>
      <c r="L6947" s="16">
        <f>base!X6947</f>
        <v>0</v>
      </c>
      <c r="M6947" s="11">
        <f t="shared" si="1084"/>
        <v>0</v>
      </c>
      <c r="N6947" s="11">
        <f t="shared" si="1085"/>
        <v>0</v>
      </c>
      <c r="O6947" s="11">
        <f t="shared" si="1086"/>
        <v>0</v>
      </c>
      <c r="P6947" s="12">
        <f t="shared" si="1087"/>
        <v>0</v>
      </c>
      <c r="Q6947" s="17" t="str">
        <f t="shared" si="1089"/>
        <v>Pas d'écart</v>
      </c>
    </row>
    <row r="6948" spans="1:18" x14ac:dyDescent="0.3">
      <c r="A6948" s="34" t="str">
        <f>base!J6948</f>
        <v>RS</v>
      </c>
      <c r="B6948" s="34" t="str">
        <f>base!V6948</f>
        <v>73270</v>
      </c>
      <c r="C6948" s="37">
        <v>73</v>
      </c>
      <c r="D6948" s="36">
        <f>base!H6948</f>
        <v>140</v>
      </c>
      <c r="E6948" s="44"/>
      <c r="F6948" s="16">
        <f>base!W6948</f>
        <v>0</v>
      </c>
      <c r="G6948" s="11">
        <f t="shared" si="1080"/>
        <v>0</v>
      </c>
      <c r="H6948" s="11">
        <f t="shared" si="1081"/>
        <v>37.800000000000004</v>
      </c>
      <c r="I6948" s="11">
        <f t="shared" si="1082"/>
        <v>0.27</v>
      </c>
      <c r="J6948" s="12">
        <f t="shared" si="1083"/>
        <v>-37.800000000000004</v>
      </c>
      <c r="K6948" s="17" t="str">
        <f t="shared" si="1088"/>
        <v>Ecart négatif</v>
      </c>
      <c r="L6948" s="16">
        <f>base!X6948</f>
        <v>37.799999999999997</v>
      </c>
      <c r="M6948" s="11">
        <f t="shared" si="1084"/>
        <v>0.26999999999999996</v>
      </c>
      <c r="N6948" s="11">
        <f t="shared" si="1085"/>
        <v>0</v>
      </c>
      <c r="O6948" s="11">
        <f t="shared" si="1086"/>
        <v>0</v>
      </c>
      <c r="P6948" s="12">
        <f t="shared" si="1087"/>
        <v>37.799999999999997</v>
      </c>
      <c r="Q6948" s="17" t="str">
        <f t="shared" si="1089"/>
        <v>Ecart positif</v>
      </c>
    </row>
    <row r="6949" spans="1:18" x14ac:dyDescent="0.3">
      <c r="A6949" s="34" t="str">
        <f>base!J6949</f>
        <v>RS</v>
      </c>
      <c r="B6949" s="34" t="str">
        <f>base!V6949</f>
        <v>83320</v>
      </c>
      <c r="C6949" s="37">
        <v>83</v>
      </c>
      <c r="D6949" s="36">
        <f>base!H6949</f>
        <v>161.25</v>
      </c>
      <c r="E6949" s="44"/>
      <c r="F6949" s="16">
        <f>base!W6949</f>
        <v>0</v>
      </c>
      <c r="G6949" s="11">
        <f t="shared" si="1080"/>
        <v>0</v>
      </c>
      <c r="H6949" s="11">
        <f t="shared" si="1081"/>
        <v>48.375</v>
      </c>
      <c r="I6949" s="11">
        <f t="shared" si="1082"/>
        <v>0.3</v>
      </c>
      <c r="J6949" s="12">
        <f t="shared" si="1083"/>
        <v>-48.375</v>
      </c>
      <c r="K6949" s="17" t="str">
        <f t="shared" si="1088"/>
        <v>Ecart négatif</v>
      </c>
      <c r="L6949" s="16">
        <f>base!X6949</f>
        <v>0</v>
      </c>
      <c r="M6949" s="11">
        <f t="shared" si="1084"/>
        <v>0</v>
      </c>
      <c r="N6949" s="11">
        <f t="shared" si="1085"/>
        <v>33.862499999999997</v>
      </c>
      <c r="O6949" s="11">
        <f t="shared" si="1086"/>
        <v>0.21</v>
      </c>
      <c r="P6949" s="12">
        <f t="shared" si="1087"/>
        <v>-33.862499999999997</v>
      </c>
      <c r="Q6949" s="17" t="str">
        <f t="shared" si="1089"/>
        <v>Ecart négatif</v>
      </c>
    </row>
    <row r="6950" spans="1:18" x14ac:dyDescent="0.3">
      <c r="A6950" s="34" t="str">
        <f>base!J6950</f>
        <v>RS</v>
      </c>
      <c r="B6950" s="34" t="str">
        <f>base!V6950</f>
        <v>01100</v>
      </c>
      <c r="C6950" s="37">
        <v>1</v>
      </c>
      <c r="D6950" s="36">
        <f>base!H6950</f>
        <v>227</v>
      </c>
      <c r="E6950" s="44"/>
      <c r="F6950" s="16">
        <f>base!W6950</f>
        <v>0</v>
      </c>
      <c r="G6950" s="11">
        <f t="shared" si="1080"/>
        <v>0</v>
      </c>
      <c r="H6950" s="11">
        <f t="shared" si="1081"/>
        <v>59.02</v>
      </c>
      <c r="I6950" s="11">
        <f t="shared" si="1082"/>
        <v>0.26</v>
      </c>
      <c r="J6950" s="12">
        <f t="shared" si="1083"/>
        <v>-59.02</v>
      </c>
      <c r="K6950" s="17" t="str">
        <f t="shared" si="1088"/>
        <v>Ecart négatif</v>
      </c>
      <c r="L6950" s="16">
        <f>base!X6950</f>
        <v>0</v>
      </c>
      <c r="M6950" s="11">
        <f t="shared" si="1084"/>
        <v>0</v>
      </c>
      <c r="N6950" s="11">
        <f t="shared" si="1085"/>
        <v>0</v>
      </c>
      <c r="O6950" s="11">
        <f t="shared" si="1086"/>
        <v>0</v>
      </c>
      <c r="P6950" s="12">
        <f t="shared" si="1087"/>
        <v>0</v>
      </c>
      <c r="Q6950" s="17" t="str">
        <f t="shared" si="1089"/>
        <v>Pas d'écart</v>
      </c>
    </row>
    <row r="6951" spans="1:18" x14ac:dyDescent="0.3">
      <c r="A6951" s="34" t="str">
        <f>base!J6951</f>
        <v>RS</v>
      </c>
      <c r="B6951" s="34" t="str">
        <f>base!V6951</f>
        <v>51300</v>
      </c>
      <c r="C6951" s="37">
        <v>51</v>
      </c>
      <c r="D6951" s="36">
        <f>base!H6951</f>
        <v>151</v>
      </c>
      <c r="E6951" s="44"/>
      <c r="F6951" s="16">
        <f>base!W6951</f>
        <v>0</v>
      </c>
      <c r="G6951" s="11">
        <f t="shared" si="1080"/>
        <v>0</v>
      </c>
      <c r="H6951" s="11">
        <f t="shared" si="1081"/>
        <v>37.75</v>
      </c>
      <c r="I6951" s="11">
        <f t="shared" si="1082"/>
        <v>0.25</v>
      </c>
      <c r="J6951" s="12">
        <f t="shared" si="1083"/>
        <v>-37.75</v>
      </c>
      <c r="K6951" s="17" t="str">
        <f t="shared" si="1088"/>
        <v>Ecart négatif</v>
      </c>
      <c r="L6951" s="16">
        <f>base!X6951</f>
        <v>0</v>
      </c>
      <c r="M6951" s="11">
        <f t="shared" si="1084"/>
        <v>0</v>
      </c>
      <c r="N6951" s="11">
        <f t="shared" si="1085"/>
        <v>37.75</v>
      </c>
      <c r="O6951" s="11">
        <f t="shared" si="1086"/>
        <v>0.25</v>
      </c>
      <c r="P6951" s="12">
        <f t="shared" si="1087"/>
        <v>-37.75</v>
      </c>
      <c r="Q6951" s="17" t="str">
        <f t="shared" si="1089"/>
        <v>Ecart négatif</v>
      </c>
    </row>
    <row r="6952" spans="1:18" x14ac:dyDescent="0.3">
      <c r="A6952" s="34" t="str">
        <f>base!J6952</f>
        <v>Metre Aller</v>
      </c>
      <c r="B6952" s="34" t="str">
        <f>base!V6952</f>
        <v>77184</v>
      </c>
      <c r="C6952" s="37">
        <v>77</v>
      </c>
      <c r="D6952" s="36">
        <f>base!H6952</f>
        <v>70</v>
      </c>
      <c r="E6952" s="44"/>
      <c r="F6952" s="16">
        <f>base!W6952</f>
        <v>18.899999999999999</v>
      </c>
      <c r="G6952" s="11">
        <f t="shared" si="1080"/>
        <v>0.26999999999999996</v>
      </c>
      <c r="H6952" s="11">
        <f t="shared" si="1081"/>
        <v>0</v>
      </c>
      <c r="I6952" s="11">
        <f t="shared" si="1082"/>
        <v>0</v>
      </c>
      <c r="J6952" s="12">
        <f t="shared" si="1083"/>
        <v>18.899999999999999</v>
      </c>
      <c r="K6952" s="17" t="str">
        <f t="shared" si="1088"/>
        <v>Ecart positif</v>
      </c>
      <c r="L6952" s="16">
        <f>base!X6952</f>
        <v>0</v>
      </c>
      <c r="M6952" s="11">
        <f t="shared" si="1084"/>
        <v>0</v>
      </c>
      <c r="N6952" s="11">
        <f t="shared" si="1085"/>
        <v>0</v>
      </c>
      <c r="O6952" s="11">
        <f t="shared" si="1086"/>
        <v>0</v>
      </c>
      <c r="P6952" s="12">
        <f t="shared" si="1087"/>
        <v>0</v>
      </c>
      <c r="Q6952" s="17" t="str">
        <f t="shared" si="1089"/>
        <v>Pas d'écart</v>
      </c>
    </row>
    <row r="6953" spans="1:18" x14ac:dyDescent="0.3">
      <c r="A6953" s="34" t="str">
        <f>base!J6953</f>
        <v>RM</v>
      </c>
      <c r="B6953" s="34" t="str">
        <f>base!V6953</f>
        <v>75009</v>
      </c>
      <c r="C6953" s="37">
        <v>75</v>
      </c>
      <c r="D6953" s="36">
        <f>base!H6953</f>
        <v>40</v>
      </c>
      <c r="E6953" s="44"/>
      <c r="F6953" s="16">
        <f>base!W6953</f>
        <v>0</v>
      </c>
      <c r="G6953" s="11">
        <f t="shared" si="1080"/>
        <v>0</v>
      </c>
      <c r="H6953" s="11">
        <f t="shared" si="1081"/>
        <v>0</v>
      </c>
      <c r="I6953" s="11">
        <f t="shared" si="1082"/>
        <v>0</v>
      </c>
      <c r="J6953" s="12">
        <f t="shared" si="1083"/>
        <v>0</v>
      </c>
      <c r="K6953" s="17" t="str">
        <f t="shared" si="1088"/>
        <v>Pas d'écart</v>
      </c>
      <c r="L6953" s="16">
        <f>base!X6953</f>
        <v>0</v>
      </c>
      <c r="M6953" s="11">
        <f t="shared" si="1084"/>
        <v>0</v>
      </c>
      <c r="N6953" s="11">
        <f t="shared" si="1085"/>
        <v>0</v>
      </c>
      <c r="O6953" s="11">
        <f t="shared" si="1086"/>
        <v>0</v>
      </c>
      <c r="P6953" s="12">
        <f t="shared" si="1087"/>
        <v>0</v>
      </c>
      <c r="Q6953" s="17" t="str">
        <f t="shared" si="1089"/>
        <v>Pas d'écart</v>
      </c>
    </row>
    <row r="6954" spans="1:18" x14ac:dyDescent="0.3">
      <c r="A6954" s="34" t="str">
        <f>base!J6954</f>
        <v>RS</v>
      </c>
      <c r="B6954" s="34" t="str">
        <f>base!V6954</f>
        <v>77290</v>
      </c>
      <c r="C6954" s="37">
        <v>77</v>
      </c>
      <c r="D6954" s="36">
        <f>base!H6954</f>
        <v>180</v>
      </c>
      <c r="E6954" s="44"/>
      <c r="F6954" s="16">
        <f>base!W6954</f>
        <v>0</v>
      </c>
      <c r="G6954" s="11">
        <f t="shared" si="1080"/>
        <v>0</v>
      </c>
      <c r="H6954" s="11">
        <f t="shared" si="1081"/>
        <v>0</v>
      </c>
      <c r="I6954" s="11">
        <f t="shared" si="1082"/>
        <v>0</v>
      </c>
      <c r="J6954" s="12">
        <f t="shared" si="1083"/>
        <v>0</v>
      </c>
      <c r="K6954" s="17" t="str">
        <f t="shared" si="1088"/>
        <v>Pas d'écart</v>
      </c>
      <c r="L6954" s="16">
        <f>base!X6954</f>
        <v>0</v>
      </c>
      <c r="M6954" s="11">
        <f t="shared" si="1084"/>
        <v>0</v>
      </c>
      <c r="N6954" s="11">
        <f t="shared" si="1085"/>
        <v>0</v>
      </c>
      <c r="O6954" s="11">
        <f t="shared" si="1086"/>
        <v>0</v>
      </c>
      <c r="P6954" s="12">
        <f t="shared" si="1087"/>
        <v>0</v>
      </c>
      <c r="Q6954" s="17" t="str">
        <f t="shared" si="1089"/>
        <v>Pas d'écart</v>
      </c>
    </row>
    <row r="6955" spans="1:18" x14ac:dyDescent="0.3">
      <c r="A6955" s="34" t="str">
        <f>base!J6955</f>
        <v>RS</v>
      </c>
      <c r="B6955" s="34" t="str">
        <f>base!V6955</f>
        <v>49100</v>
      </c>
      <c r="C6955" s="37">
        <v>49</v>
      </c>
      <c r="D6955" s="36">
        <f>base!H6955</f>
        <v>80</v>
      </c>
      <c r="E6955" s="44"/>
      <c r="F6955" s="16">
        <f>base!W6955</f>
        <v>0</v>
      </c>
      <c r="G6955" s="11">
        <f t="shared" si="1080"/>
        <v>0</v>
      </c>
      <c r="H6955" s="11">
        <f t="shared" si="1081"/>
        <v>21.6</v>
      </c>
      <c r="I6955" s="11">
        <f t="shared" si="1082"/>
        <v>0.27</v>
      </c>
      <c r="J6955" s="12">
        <f t="shared" si="1083"/>
        <v>-21.6</v>
      </c>
      <c r="K6955" s="17" t="str">
        <f t="shared" si="1088"/>
        <v>Ecart négatif</v>
      </c>
      <c r="L6955" s="16">
        <f>base!X6955</f>
        <v>21.6</v>
      </c>
      <c r="M6955" s="11">
        <f t="shared" si="1084"/>
        <v>0.27</v>
      </c>
      <c r="N6955" s="11">
        <f t="shared" si="1085"/>
        <v>0</v>
      </c>
      <c r="O6955" s="11">
        <f t="shared" si="1086"/>
        <v>0</v>
      </c>
      <c r="P6955" s="12">
        <f t="shared" si="1087"/>
        <v>21.6</v>
      </c>
      <c r="Q6955" s="17" t="str">
        <f t="shared" si="1089"/>
        <v>Ecart positif</v>
      </c>
    </row>
    <row r="6956" spans="1:18" x14ac:dyDescent="0.3">
      <c r="A6956" s="34" t="str">
        <f>base!J6956</f>
        <v>RS</v>
      </c>
      <c r="B6956" s="34" t="str">
        <f>base!V6956</f>
        <v>21000</v>
      </c>
      <c r="C6956" s="37">
        <v>21</v>
      </c>
      <c r="D6956" s="36">
        <f>base!H6956</f>
        <v>21.22</v>
      </c>
      <c r="E6956" s="44"/>
      <c r="F6956" s="16">
        <f>base!W6956</f>
        <v>0</v>
      </c>
      <c r="G6956" s="11">
        <f t="shared" si="1080"/>
        <v>0</v>
      </c>
      <c r="H6956" s="11">
        <f t="shared" si="1081"/>
        <v>5.0927999999999995</v>
      </c>
      <c r="I6956" s="11">
        <f t="shared" si="1082"/>
        <v>0.24</v>
      </c>
      <c r="J6956" s="12">
        <f t="shared" si="1083"/>
        <v>-5.0927999999999995</v>
      </c>
      <c r="K6956" s="17" t="str">
        <f t="shared" si="1088"/>
        <v>Ecart négatif</v>
      </c>
      <c r="L6956" s="16">
        <f>base!X6956</f>
        <v>0</v>
      </c>
      <c r="M6956" s="11">
        <f t="shared" si="1084"/>
        <v>0</v>
      </c>
      <c r="N6956" s="11">
        <f t="shared" si="1085"/>
        <v>2.5463999999999998</v>
      </c>
      <c r="O6956" s="11">
        <f t="shared" si="1086"/>
        <v>0.12</v>
      </c>
      <c r="P6956" s="12">
        <f t="shared" si="1087"/>
        <v>-2.5463999999999998</v>
      </c>
      <c r="Q6956" s="17" t="str">
        <f t="shared" si="1089"/>
        <v>Ecart négatif</v>
      </c>
    </row>
    <row r="6957" spans="1:18" x14ac:dyDescent="0.3">
      <c r="A6957" s="34" t="str">
        <f>base!J6957</f>
        <v>RS</v>
      </c>
      <c r="B6957" s="34" t="str">
        <f>base!V6957</f>
        <v>03000</v>
      </c>
      <c r="C6957" s="37">
        <v>3</v>
      </c>
      <c r="D6957" s="36">
        <f>base!H6957</f>
        <v>32.78</v>
      </c>
      <c r="E6957" s="44"/>
      <c r="F6957" s="16">
        <f>base!W6957</f>
        <v>0</v>
      </c>
      <c r="G6957" s="11">
        <f t="shared" si="1080"/>
        <v>0</v>
      </c>
      <c r="H6957" s="11">
        <f t="shared" si="1081"/>
        <v>9.5061999999999998</v>
      </c>
      <c r="I6957" s="11">
        <f t="shared" si="1082"/>
        <v>0.28999999999999998</v>
      </c>
      <c r="J6957" s="12">
        <f t="shared" si="1083"/>
        <v>-9.5061999999999998</v>
      </c>
      <c r="K6957" s="17" t="str">
        <f t="shared" si="1088"/>
        <v>Ecart négatif</v>
      </c>
      <c r="L6957" s="16">
        <f>base!X6957</f>
        <v>0</v>
      </c>
      <c r="M6957" s="11">
        <f t="shared" si="1084"/>
        <v>0</v>
      </c>
      <c r="N6957" s="11">
        <f t="shared" si="1085"/>
        <v>3.9336000000000002</v>
      </c>
      <c r="O6957" s="11">
        <f t="shared" si="1086"/>
        <v>0.12</v>
      </c>
      <c r="P6957" s="12">
        <f t="shared" si="1087"/>
        <v>-3.9336000000000002</v>
      </c>
      <c r="Q6957" s="17" t="str">
        <f t="shared" si="1089"/>
        <v>Ecart négatif</v>
      </c>
    </row>
    <row r="6958" spans="1:18" x14ac:dyDescent="0.3">
      <c r="A6958" s="34" t="str">
        <f>base!J6958</f>
        <v>RM</v>
      </c>
      <c r="B6958" s="34" t="str">
        <f>base!V6958</f>
        <v>66000</v>
      </c>
      <c r="C6958" s="37">
        <v>66</v>
      </c>
      <c r="D6958" s="36">
        <f>base!H6958</f>
        <v>70</v>
      </c>
      <c r="E6958" s="44"/>
      <c r="F6958" s="16">
        <f>base!W6958</f>
        <v>0</v>
      </c>
      <c r="G6958" s="11">
        <f t="shared" si="1080"/>
        <v>0</v>
      </c>
      <c r="H6958" s="11">
        <f t="shared" si="1081"/>
        <v>23.8</v>
      </c>
      <c r="I6958" s="11">
        <f t="shared" si="1082"/>
        <v>0.34</v>
      </c>
      <c r="J6958" s="12">
        <f t="shared" si="1083"/>
        <v>-23.8</v>
      </c>
      <c r="K6958" s="17" t="str">
        <f t="shared" si="1088"/>
        <v>Ecart négatif</v>
      </c>
      <c r="L6958" s="16">
        <f>base!X6958</f>
        <v>0</v>
      </c>
      <c r="M6958" s="11">
        <f t="shared" si="1084"/>
        <v>0</v>
      </c>
      <c r="N6958" s="11">
        <f t="shared" si="1085"/>
        <v>19.600000000000001</v>
      </c>
      <c r="O6958" s="11">
        <f t="shared" si="1086"/>
        <v>0.28000000000000003</v>
      </c>
      <c r="P6958" s="12">
        <f t="shared" si="1087"/>
        <v>-19.600000000000001</v>
      </c>
      <c r="Q6958" s="17" t="str">
        <f t="shared" si="1089"/>
        <v>Ecart négatif</v>
      </c>
    </row>
    <row r="6959" spans="1:18" x14ac:dyDescent="0.3">
      <c r="A6959" s="34" t="str">
        <f>base!J6959</f>
        <v>RS</v>
      </c>
      <c r="B6959" s="34" t="str">
        <f>base!V6959</f>
        <v>68000</v>
      </c>
      <c r="C6959" s="37">
        <v>68</v>
      </c>
      <c r="D6959" s="36">
        <f>base!H6959</f>
        <v>181.89</v>
      </c>
      <c r="E6959" s="44"/>
      <c r="F6959" s="16">
        <f>base!W6959</f>
        <v>0</v>
      </c>
      <c r="G6959" s="11">
        <f t="shared" si="1080"/>
        <v>0</v>
      </c>
      <c r="H6959" s="11">
        <f t="shared" si="1081"/>
        <v>52.748099999999994</v>
      </c>
      <c r="I6959" s="11">
        <f t="shared" si="1082"/>
        <v>0.28999999999999998</v>
      </c>
      <c r="J6959" s="12">
        <f t="shared" si="1083"/>
        <v>-52.748099999999994</v>
      </c>
      <c r="K6959" s="17" t="str">
        <f t="shared" si="1088"/>
        <v>Ecart négatif</v>
      </c>
      <c r="L6959" s="16">
        <f>base!X6959</f>
        <v>14.55</v>
      </c>
      <c r="M6959" s="11">
        <f t="shared" si="1084"/>
        <v>7.9993402605970654E-2</v>
      </c>
      <c r="N6959" s="11">
        <f t="shared" si="1085"/>
        <v>14.5512</v>
      </c>
      <c r="O6959" s="11">
        <f t="shared" si="1086"/>
        <v>0.08</v>
      </c>
      <c r="P6959" s="12">
        <f t="shared" si="1087"/>
        <v>-1.1999999999989797E-3</v>
      </c>
      <c r="Q6959" s="17" t="str">
        <f t="shared" si="1089"/>
        <v>Ecart négatif</v>
      </c>
      <c r="R6959" s="38"/>
    </row>
    <row r="6960" spans="1:18" x14ac:dyDescent="0.3">
      <c r="A6960" s="34" t="str">
        <f>base!J6960</f>
        <v>LM</v>
      </c>
      <c r="B6960" s="34" t="str">
        <f>base!V6960</f>
        <v>94547</v>
      </c>
      <c r="C6960" s="37">
        <v>94</v>
      </c>
      <c r="D6960" s="36">
        <f>base!H6960</f>
        <v>20.23</v>
      </c>
      <c r="E6960" s="44"/>
      <c r="F6960" s="16">
        <f>base!W6960</f>
        <v>0</v>
      </c>
      <c r="G6960" s="11">
        <f t="shared" si="1080"/>
        <v>0</v>
      </c>
      <c r="H6960" s="11">
        <f t="shared" si="1081"/>
        <v>0</v>
      </c>
      <c r="I6960" s="11">
        <f t="shared" si="1082"/>
        <v>0</v>
      </c>
      <c r="J6960" s="12">
        <f t="shared" si="1083"/>
        <v>0</v>
      </c>
      <c r="K6960" s="17" t="str">
        <f t="shared" si="1088"/>
        <v>Pas d'écart</v>
      </c>
      <c r="L6960" s="16">
        <f>base!X6960</f>
        <v>0</v>
      </c>
      <c r="M6960" s="11">
        <f t="shared" si="1084"/>
        <v>0</v>
      </c>
      <c r="N6960" s="11">
        <f t="shared" si="1085"/>
        <v>0</v>
      </c>
      <c r="O6960" s="11">
        <f t="shared" si="1086"/>
        <v>0</v>
      </c>
      <c r="P6960" s="12">
        <f t="shared" si="1087"/>
        <v>0</v>
      </c>
      <c r="Q6960" s="17" t="str">
        <f t="shared" si="1089"/>
        <v>Pas d'écart</v>
      </c>
    </row>
    <row r="6961" spans="1:18" x14ac:dyDescent="0.3">
      <c r="A6961" s="34" t="str">
        <f>base!J6961</f>
        <v>RM</v>
      </c>
      <c r="B6961" s="34" t="str">
        <f>base!V6961</f>
        <v>88000</v>
      </c>
      <c r="C6961" s="37">
        <v>88</v>
      </c>
      <c r="D6961" s="36">
        <f>base!H6961</f>
        <v>32.6</v>
      </c>
      <c r="E6961" s="44"/>
      <c r="F6961" s="16">
        <f>base!W6961</f>
        <v>0</v>
      </c>
      <c r="G6961" s="11">
        <f t="shared" si="1080"/>
        <v>0</v>
      </c>
      <c r="H6961" s="11">
        <f t="shared" si="1081"/>
        <v>9.1280000000000019</v>
      </c>
      <c r="I6961" s="11">
        <f t="shared" si="1082"/>
        <v>0.28000000000000003</v>
      </c>
      <c r="J6961" s="12">
        <f t="shared" si="1083"/>
        <v>-9.1280000000000019</v>
      </c>
      <c r="K6961" s="17" t="str">
        <f t="shared" si="1088"/>
        <v>Ecart négatif</v>
      </c>
      <c r="L6961" s="16">
        <f>base!X6961</f>
        <v>2.61</v>
      </c>
      <c r="M6961" s="11">
        <f t="shared" si="1084"/>
        <v>8.006134969325153E-2</v>
      </c>
      <c r="N6961" s="11">
        <f t="shared" si="1085"/>
        <v>2.6080000000000001</v>
      </c>
      <c r="O6961" s="11">
        <f t="shared" si="1086"/>
        <v>0.08</v>
      </c>
      <c r="P6961" s="12">
        <f t="shared" si="1087"/>
        <v>1.9999999999997797E-3</v>
      </c>
      <c r="Q6961" s="17" t="str">
        <f t="shared" si="1089"/>
        <v>Ecart positif</v>
      </c>
      <c r="R6961" s="38"/>
    </row>
    <row r="6962" spans="1:18" x14ac:dyDescent="0.3">
      <c r="A6962" s="34" t="str">
        <f>base!J6962</f>
        <v>RS</v>
      </c>
      <c r="B6962" s="34" t="str">
        <f>base!V6962</f>
        <v>30000</v>
      </c>
      <c r="C6962" s="37">
        <v>30</v>
      </c>
      <c r="D6962" s="36">
        <f>base!H6962</f>
        <v>34.71</v>
      </c>
      <c r="E6962" s="44"/>
      <c r="F6962" s="16">
        <f>base!W6962</f>
        <v>0</v>
      </c>
      <c r="G6962" s="11">
        <f t="shared" si="1080"/>
        <v>0</v>
      </c>
      <c r="H6962" s="11">
        <f t="shared" si="1081"/>
        <v>13.536900000000001</v>
      </c>
      <c r="I6962" s="11">
        <f t="shared" si="1082"/>
        <v>0.39</v>
      </c>
      <c r="J6962" s="12">
        <f t="shared" si="1083"/>
        <v>-13.536900000000001</v>
      </c>
      <c r="K6962" s="17" t="str">
        <f t="shared" si="1088"/>
        <v>Ecart négatif</v>
      </c>
      <c r="L6962" s="16">
        <f>base!X6962</f>
        <v>0</v>
      </c>
      <c r="M6962" s="11">
        <f t="shared" si="1084"/>
        <v>0</v>
      </c>
      <c r="N6962" s="11">
        <f t="shared" si="1085"/>
        <v>9.7188000000000017</v>
      </c>
      <c r="O6962" s="11">
        <f t="shared" si="1086"/>
        <v>0.28000000000000003</v>
      </c>
      <c r="P6962" s="12">
        <f t="shared" si="1087"/>
        <v>-9.7188000000000017</v>
      </c>
      <c r="Q6962" s="17" t="str">
        <f t="shared" si="1089"/>
        <v>Ecart négatif</v>
      </c>
    </row>
    <row r="6963" spans="1:18" x14ac:dyDescent="0.3">
      <c r="A6963" s="34" t="str">
        <f>base!J6963</f>
        <v>RM</v>
      </c>
      <c r="B6963" s="34" t="str">
        <f>base!V6963</f>
        <v>70000</v>
      </c>
      <c r="C6963" s="37">
        <v>70</v>
      </c>
      <c r="D6963" s="36">
        <f>base!H6963</f>
        <v>40</v>
      </c>
      <c r="E6963" s="44"/>
      <c r="F6963" s="16">
        <f>base!W6963</f>
        <v>0</v>
      </c>
      <c r="G6963" s="11">
        <f t="shared" si="1080"/>
        <v>0</v>
      </c>
      <c r="H6963" s="11">
        <f t="shared" si="1081"/>
        <v>9.6</v>
      </c>
      <c r="I6963" s="11">
        <f t="shared" si="1082"/>
        <v>0.24</v>
      </c>
      <c r="J6963" s="12">
        <f t="shared" si="1083"/>
        <v>-9.6</v>
      </c>
      <c r="K6963" s="17" t="str">
        <f t="shared" si="1088"/>
        <v>Ecart négatif</v>
      </c>
      <c r="L6963" s="16">
        <f>base!X6963</f>
        <v>0</v>
      </c>
      <c r="M6963" s="11">
        <f t="shared" si="1084"/>
        <v>0</v>
      </c>
      <c r="N6963" s="11">
        <f t="shared" si="1085"/>
        <v>4.8</v>
      </c>
      <c r="O6963" s="11">
        <f t="shared" si="1086"/>
        <v>0.12</v>
      </c>
      <c r="P6963" s="12">
        <f t="shared" si="1087"/>
        <v>-4.8</v>
      </c>
      <c r="Q6963" s="17" t="str">
        <f t="shared" si="1089"/>
        <v>Ecart négatif</v>
      </c>
    </row>
    <row r="6964" spans="1:18" x14ac:dyDescent="0.3">
      <c r="A6964" s="34" t="str">
        <f>base!J6964</f>
        <v>RS</v>
      </c>
      <c r="B6964" s="34" t="str">
        <f>base!V6964</f>
        <v>33300</v>
      </c>
      <c r="C6964" s="37">
        <v>33</v>
      </c>
      <c r="D6964" s="36">
        <f>base!H6964</f>
        <v>140</v>
      </c>
      <c r="E6964" s="44"/>
      <c r="F6964" s="16">
        <f>base!W6964</f>
        <v>0</v>
      </c>
      <c r="G6964" s="11">
        <f t="shared" si="1080"/>
        <v>0</v>
      </c>
      <c r="H6964" s="11">
        <f t="shared" si="1081"/>
        <v>29.4</v>
      </c>
      <c r="I6964" s="11">
        <f t="shared" si="1082"/>
        <v>0.21</v>
      </c>
      <c r="J6964" s="12">
        <f t="shared" si="1083"/>
        <v>-29.4</v>
      </c>
      <c r="K6964" s="17" t="str">
        <f t="shared" si="1088"/>
        <v>Ecart négatif</v>
      </c>
      <c r="L6964" s="16">
        <f>base!X6964</f>
        <v>23.8</v>
      </c>
      <c r="M6964" s="11">
        <f t="shared" si="1084"/>
        <v>0.17</v>
      </c>
      <c r="N6964" s="11">
        <f t="shared" si="1085"/>
        <v>23.8</v>
      </c>
      <c r="O6964" s="11">
        <f t="shared" si="1086"/>
        <v>0.17</v>
      </c>
      <c r="P6964" s="12">
        <f t="shared" si="1087"/>
        <v>0</v>
      </c>
      <c r="Q6964" s="17" t="str">
        <f t="shared" si="1089"/>
        <v>Pas d'écart</v>
      </c>
      <c r="R6964" s="38"/>
    </row>
    <row r="6965" spans="1:18" x14ac:dyDescent="0.3">
      <c r="A6965" s="34" t="str">
        <f>base!J6965</f>
        <v>RM</v>
      </c>
      <c r="B6965" s="34" t="str">
        <f>base!V6965</f>
        <v>45120</v>
      </c>
      <c r="C6965" s="37">
        <v>45</v>
      </c>
      <c r="D6965" s="36">
        <f>base!H6965</f>
        <v>180</v>
      </c>
      <c r="E6965" s="44"/>
      <c r="F6965" s="16">
        <f>base!W6965</f>
        <v>0</v>
      </c>
      <c r="G6965" s="11">
        <f t="shared" si="1080"/>
        <v>0</v>
      </c>
      <c r="H6965" s="11">
        <f t="shared" si="1081"/>
        <v>37.799999999999997</v>
      </c>
      <c r="I6965" s="11">
        <f t="shared" si="1082"/>
        <v>0.21</v>
      </c>
      <c r="J6965" s="12">
        <f t="shared" si="1083"/>
        <v>-37.799999999999997</v>
      </c>
      <c r="K6965" s="17" t="str">
        <f t="shared" si="1088"/>
        <v>Ecart négatif</v>
      </c>
      <c r="L6965" s="16">
        <f>base!X6965</f>
        <v>70.2</v>
      </c>
      <c r="M6965" s="11">
        <f t="shared" si="1084"/>
        <v>0.39</v>
      </c>
      <c r="N6965" s="11">
        <f t="shared" si="1085"/>
        <v>21.599999999999998</v>
      </c>
      <c r="O6965" s="11">
        <f t="shared" si="1086"/>
        <v>0.11999999999999998</v>
      </c>
      <c r="P6965" s="12">
        <f t="shared" si="1087"/>
        <v>48.600000000000009</v>
      </c>
      <c r="Q6965" s="17" t="str">
        <f t="shared" si="1089"/>
        <v>Ecart positif</v>
      </c>
      <c r="R6965" s="38"/>
    </row>
    <row r="6966" spans="1:18" x14ac:dyDescent="0.3">
      <c r="A6966" s="34" t="str">
        <f>base!J6966</f>
        <v>RM</v>
      </c>
      <c r="B6966" s="34" t="str">
        <f>base!V6966</f>
        <v>38000</v>
      </c>
      <c r="C6966" s="37">
        <v>38</v>
      </c>
      <c r="D6966" s="36">
        <f>base!H6966</f>
        <v>201</v>
      </c>
      <c r="E6966" s="44"/>
      <c r="F6966" s="16">
        <f>base!W6966</f>
        <v>0</v>
      </c>
      <c r="G6966" s="11">
        <f t="shared" si="1080"/>
        <v>0</v>
      </c>
      <c r="H6966" s="11">
        <f t="shared" si="1081"/>
        <v>54.27</v>
      </c>
      <c r="I6966" s="11">
        <f t="shared" si="1082"/>
        <v>0.27</v>
      </c>
      <c r="J6966" s="12">
        <f t="shared" si="1083"/>
        <v>-54.27</v>
      </c>
      <c r="K6966" s="17" t="str">
        <f t="shared" si="1088"/>
        <v>Ecart négatif</v>
      </c>
      <c r="L6966" s="16">
        <f>base!X6966</f>
        <v>54.27</v>
      </c>
      <c r="M6966" s="11">
        <f t="shared" si="1084"/>
        <v>0.27</v>
      </c>
      <c r="N6966" s="11">
        <f t="shared" si="1085"/>
        <v>0</v>
      </c>
      <c r="O6966" s="11">
        <f t="shared" si="1086"/>
        <v>0</v>
      </c>
      <c r="P6966" s="12">
        <f t="shared" si="1087"/>
        <v>54.27</v>
      </c>
      <c r="Q6966" s="17" t="str">
        <f t="shared" si="1089"/>
        <v>Ecart positif</v>
      </c>
      <c r="R6966" s="38"/>
    </row>
    <row r="6967" spans="1:18" x14ac:dyDescent="0.3">
      <c r="A6967" s="34" t="str">
        <f>base!J6967</f>
        <v>DLM</v>
      </c>
      <c r="B6967" s="34" t="str">
        <f>base!V6967</f>
        <v>69003</v>
      </c>
      <c r="C6967" s="37">
        <v>69</v>
      </c>
      <c r="D6967" s="36">
        <f>base!H6967</f>
        <v>52.5</v>
      </c>
      <c r="E6967" s="44"/>
      <c r="F6967" s="16">
        <f>base!W6967</f>
        <v>0</v>
      </c>
      <c r="G6967" s="11">
        <f t="shared" si="1080"/>
        <v>0</v>
      </c>
      <c r="H6967" s="11">
        <f t="shared" si="1081"/>
        <v>14.175000000000001</v>
      </c>
      <c r="I6967" s="11">
        <f t="shared" si="1082"/>
        <v>0.27</v>
      </c>
      <c r="J6967" s="12">
        <f t="shared" si="1083"/>
        <v>-14.175000000000001</v>
      </c>
      <c r="K6967" s="17" t="str">
        <f t="shared" si="1088"/>
        <v>Ecart négatif</v>
      </c>
      <c r="L6967" s="16">
        <f>base!X6967</f>
        <v>0</v>
      </c>
      <c r="M6967" s="11">
        <f t="shared" si="1084"/>
        <v>0</v>
      </c>
      <c r="N6967" s="11">
        <f t="shared" si="1085"/>
        <v>0</v>
      </c>
      <c r="O6967" s="11">
        <f t="shared" si="1086"/>
        <v>0</v>
      </c>
      <c r="P6967" s="12">
        <f t="shared" si="1087"/>
        <v>0</v>
      </c>
      <c r="Q6967" s="17" t="str">
        <f t="shared" si="1089"/>
        <v>Pas d'écart</v>
      </c>
    </row>
    <row r="6968" spans="1:18" x14ac:dyDescent="0.3">
      <c r="A6968" s="34" t="str">
        <f>base!J6968</f>
        <v>DLM</v>
      </c>
      <c r="B6968" s="34" t="str">
        <f>base!V6968</f>
        <v>37000</v>
      </c>
      <c r="C6968" s="37">
        <v>37</v>
      </c>
      <c r="D6968" s="36">
        <f>base!H6968</f>
        <v>52.5</v>
      </c>
      <c r="E6968" s="44"/>
      <c r="F6968" s="16">
        <f>base!W6968</f>
        <v>0</v>
      </c>
      <c r="G6968" s="11">
        <f t="shared" si="1080"/>
        <v>0</v>
      </c>
      <c r="H6968" s="11">
        <f t="shared" si="1081"/>
        <v>9.9749999999999996</v>
      </c>
      <c r="I6968" s="11">
        <f t="shared" si="1082"/>
        <v>0.19</v>
      </c>
      <c r="J6968" s="12">
        <f t="shared" si="1083"/>
        <v>-9.9749999999999996</v>
      </c>
      <c r="K6968" s="17" t="str">
        <f t="shared" si="1088"/>
        <v>Ecart négatif</v>
      </c>
      <c r="L6968" s="16">
        <f>base!X6968</f>
        <v>0</v>
      </c>
      <c r="M6968" s="11">
        <f t="shared" si="1084"/>
        <v>0</v>
      </c>
      <c r="N6968" s="11">
        <f t="shared" si="1085"/>
        <v>6.3</v>
      </c>
      <c r="O6968" s="11">
        <f t="shared" si="1086"/>
        <v>0.12</v>
      </c>
      <c r="P6968" s="12">
        <f t="shared" si="1087"/>
        <v>-6.3</v>
      </c>
      <c r="Q6968" s="17" t="str">
        <f t="shared" si="1089"/>
        <v>Ecart négatif</v>
      </c>
    </row>
    <row r="6969" spans="1:18" x14ac:dyDescent="0.3">
      <c r="A6969" s="34" t="str">
        <f>base!J6969</f>
        <v>RM</v>
      </c>
      <c r="B6969" s="34" t="str">
        <f>base!V6969</f>
        <v>45140</v>
      </c>
      <c r="C6969" s="37">
        <v>45</v>
      </c>
      <c r="D6969" s="36">
        <f>base!H6969</f>
        <v>70</v>
      </c>
      <c r="E6969" s="44"/>
      <c r="F6969" s="16">
        <f>base!W6969</f>
        <v>0</v>
      </c>
      <c r="G6969" s="11">
        <f t="shared" si="1080"/>
        <v>0</v>
      </c>
      <c r="H6969" s="11">
        <f t="shared" si="1081"/>
        <v>14.7</v>
      </c>
      <c r="I6969" s="11">
        <f t="shared" si="1082"/>
        <v>0.21</v>
      </c>
      <c r="J6969" s="12">
        <f t="shared" si="1083"/>
        <v>-14.7</v>
      </c>
      <c r="K6969" s="17" t="str">
        <f t="shared" si="1088"/>
        <v>Ecart négatif</v>
      </c>
      <c r="L6969" s="16">
        <f>base!X6969</f>
        <v>18.899999999999999</v>
      </c>
      <c r="M6969" s="11">
        <f t="shared" si="1084"/>
        <v>0.26999999999999996</v>
      </c>
      <c r="N6969" s="11">
        <f t="shared" si="1085"/>
        <v>8.4</v>
      </c>
      <c r="O6969" s="11">
        <f t="shared" si="1086"/>
        <v>0.12000000000000001</v>
      </c>
      <c r="P6969" s="12">
        <f t="shared" si="1087"/>
        <v>10.499999999999998</v>
      </c>
      <c r="Q6969" s="17" t="str">
        <f t="shared" si="1089"/>
        <v>Ecart positif</v>
      </c>
      <c r="R6969" s="38"/>
    </row>
    <row r="6970" spans="1:18" x14ac:dyDescent="0.3">
      <c r="A6970" s="34" t="str">
        <f>base!J6970</f>
        <v>RM</v>
      </c>
      <c r="B6970" s="34" t="str">
        <f>base!V6970</f>
        <v>69120</v>
      </c>
      <c r="C6970" s="37">
        <v>69</v>
      </c>
      <c r="D6970" s="36">
        <f>base!H6970</f>
        <v>30</v>
      </c>
      <c r="E6970" s="44"/>
      <c r="F6970" s="16">
        <f>base!W6970</f>
        <v>0</v>
      </c>
      <c r="G6970" s="11">
        <f t="shared" si="1080"/>
        <v>0</v>
      </c>
      <c r="H6970" s="11">
        <f t="shared" si="1081"/>
        <v>8.1000000000000014</v>
      </c>
      <c r="I6970" s="11">
        <f t="shared" si="1082"/>
        <v>0.27000000000000007</v>
      </c>
      <c r="J6970" s="12">
        <f t="shared" si="1083"/>
        <v>-8.1000000000000014</v>
      </c>
      <c r="K6970" s="17" t="str">
        <f t="shared" si="1088"/>
        <v>Ecart négatif</v>
      </c>
      <c r="L6970" s="16">
        <f>base!X6970</f>
        <v>0</v>
      </c>
      <c r="M6970" s="11">
        <f t="shared" si="1084"/>
        <v>0</v>
      </c>
      <c r="N6970" s="11">
        <f t="shared" si="1085"/>
        <v>0</v>
      </c>
      <c r="O6970" s="11">
        <f t="shared" si="1086"/>
        <v>0</v>
      </c>
      <c r="P6970" s="12">
        <f t="shared" si="1087"/>
        <v>0</v>
      </c>
      <c r="Q6970" s="17" t="str">
        <f t="shared" si="1089"/>
        <v>Pas d'écart</v>
      </c>
    </row>
    <row r="6971" spans="1:18" x14ac:dyDescent="0.3">
      <c r="A6971" s="34" t="str">
        <f>base!J6971</f>
        <v>RM</v>
      </c>
      <c r="B6971" s="34" t="str">
        <f>base!V6971</f>
        <v>75009</v>
      </c>
      <c r="C6971" s="37">
        <v>75</v>
      </c>
      <c r="D6971" s="36">
        <f>base!H6971</f>
        <v>70</v>
      </c>
      <c r="E6971" s="44"/>
      <c r="F6971" s="16">
        <f>base!W6971</f>
        <v>0</v>
      </c>
      <c r="G6971" s="11">
        <f t="shared" si="1080"/>
        <v>0</v>
      </c>
      <c r="H6971" s="11">
        <f t="shared" si="1081"/>
        <v>0</v>
      </c>
      <c r="I6971" s="11">
        <f t="shared" si="1082"/>
        <v>0</v>
      </c>
      <c r="J6971" s="12">
        <f t="shared" si="1083"/>
        <v>0</v>
      </c>
      <c r="K6971" s="17" t="str">
        <f t="shared" si="1088"/>
        <v>Pas d'écart</v>
      </c>
      <c r="L6971" s="16">
        <f>base!X6971</f>
        <v>0</v>
      </c>
      <c r="M6971" s="11">
        <f t="shared" si="1084"/>
        <v>0</v>
      </c>
      <c r="N6971" s="11">
        <f t="shared" si="1085"/>
        <v>0</v>
      </c>
      <c r="O6971" s="11">
        <f t="shared" si="1086"/>
        <v>0</v>
      </c>
      <c r="P6971" s="12">
        <f t="shared" si="1087"/>
        <v>0</v>
      </c>
      <c r="Q6971" s="17" t="str">
        <f t="shared" si="1089"/>
        <v>Pas d'écart</v>
      </c>
    </row>
    <row r="6972" spans="1:18" x14ac:dyDescent="0.3">
      <c r="A6972" s="34" t="str">
        <f>base!J6972</f>
        <v>RM</v>
      </c>
      <c r="B6972" s="34" t="str">
        <f>base!V6972</f>
        <v>61400</v>
      </c>
      <c r="C6972" s="37">
        <v>61</v>
      </c>
      <c r="D6972" s="36">
        <f>base!H6972</f>
        <v>140</v>
      </c>
      <c r="E6972" s="44"/>
      <c r="F6972" s="16">
        <f>base!W6972</f>
        <v>0</v>
      </c>
      <c r="G6972" s="11">
        <f t="shared" si="1080"/>
        <v>0</v>
      </c>
      <c r="H6972" s="11">
        <f t="shared" si="1081"/>
        <v>23.8</v>
      </c>
      <c r="I6972" s="11">
        <f t="shared" si="1082"/>
        <v>0.17</v>
      </c>
      <c r="J6972" s="12">
        <f t="shared" si="1083"/>
        <v>-23.8</v>
      </c>
      <c r="K6972" s="17" t="str">
        <f t="shared" si="1088"/>
        <v>Ecart négatif</v>
      </c>
      <c r="L6972" s="16">
        <f>base!X6972</f>
        <v>23.8</v>
      </c>
      <c r="M6972" s="11">
        <f t="shared" si="1084"/>
        <v>0.17</v>
      </c>
      <c r="N6972" s="11">
        <f t="shared" si="1085"/>
        <v>23.8</v>
      </c>
      <c r="O6972" s="11">
        <f t="shared" si="1086"/>
        <v>0.17</v>
      </c>
      <c r="P6972" s="12">
        <f t="shared" si="1087"/>
        <v>0</v>
      </c>
      <c r="Q6972" s="17" t="str">
        <f t="shared" si="1089"/>
        <v>Pas d'écart</v>
      </c>
    </row>
    <row r="6973" spans="1:18" x14ac:dyDescent="0.3">
      <c r="A6973" s="34" t="str">
        <f>base!J6973</f>
        <v>RS</v>
      </c>
      <c r="B6973" s="34" t="str">
        <f>base!V6973</f>
        <v>44570</v>
      </c>
      <c r="C6973" s="37">
        <v>44</v>
      </c>
      <c r="D6973" s="36">
        <f>base!H6973</f>
        <v>137</v>
      </c>
      <c r="E6973" s="44"/>
      <c r="F6973" s="16">
        <f>base!W6973</f>
        <v>0</v>
      </c>
      <c r="G6973" s="11">
        <f t="shared" si="1080"/>
        <v>0</v>
      </c>
      <c r="H6973" s="11">
        <f t="shared" si="1081"/>
        <v>36.99</v>
      </c>
      <c r="I6973" s="11">
        <f t="shared" si="1082"/>
        <v>0.27</v>
      </c>
      <c r="J6973" s="12">
        <f t="shared" si="1083"/>
        <v>-36.99</v>
      </c>
      <c r="K6973" s="17" t="str">
        <f t="shared" si="1088"/>
        <v>Ecart négatif</v>
      </c>
      <c r="L6973" s="16">
        <f>base!X6973</f>
        <v>0</v>
      </c>
      <c r="M6973" s="11">
        <f t="shared" si="1084"/>
        <v>0</v>
      </c>
      <c r="N6973" s="11">
        <f t="shared" si="1085"/>
        <v>0</v>
      </c>
      <c r="O6973" s="11">
        <f t="shared" si="1086"/>
        <v>0</v>
      </c>
      <c r="P6973" s="12">
        <f t="shared" si="1087"/>
        <v>0</v>
      </c>
      <c r="Q6973" s="17" t="str">
        <f t="shared" si="1089"/>
        <v>Pas d'écart</v>
      </c>
    </row>
    <row r="6974" spans="1:18" x14ac:dyDescent="0.3">
      <c r="A6974" s="34" t="str">
        <f>base!J6974</f>
        <v>LS</v>
      </c>
      <c r="B6974" s="34" t="str">
        <f>base!V6974</f>
        <v>92000</v>
      </c>
      <c r="C6974" s="37">
        <v>92</v>
      </c>
      <c r="D6974" s="36">
        <f>base!H6974</f>
        <v>50.84</v>
      </c>
      <c r="E6974" s="44"/>
      <c r="F6974" s="16">
        <f>base!W6974</f>
        <v>0</v>
      </c>
      <c r="G6974" s="11">
        <f t="shared" si="1080"/>
        <v>0</v>
      </c>
      <c r="H6974" s="11">
        <f t="shared" si="1081"/>
        <v>0</v>
      </c>
      <c r="I6974" s="11">
        <f t="shared" si="1082"/>
        <v>0</v>
      </c>
      <c r="J6974" s="12">
        <f t="shared" si="1083"/>
        <v>0</v>
      </c>
      <c r="K6974" s="17" t="str">
        <f t="shared" si="1088"/>
        <v>Pas d'écart</v>
      </c>
      <c r="L6974" s="16">
        <f>base!X6974</f>
        <v>0</v>
      </c>
      <c r="M6974" s="11">
        <f t="shared" si="1084"/>
        <v>0</v>
      </c>
      <c r="N6974" s="11">
        <f t="shared" si="1085"/>
        <v>0</v>
      </c>
      <c r="O6974" s="11">
        <f t="shared" si="1086"/>
        <v>0</v>
      </c>
      <c r="P6974" s="12">
        <f t="shared" si="1087"/>
        <v>0</v>
      </c>
      <c r="Q6974" s="17" t="str">
        <f t="shared" si="1089"/>
        <v>Pas d'écart</v>
      </c>
    </row>
    <row r="6975" spans="1:18" x14ac:dyDescent="0.3">
      <c r="A6975" s="34" t="str">
        <f>base!J6975</f>
        <v>LM</v>
      </c>
      <c r="B6975" s="34" t="str">
        <f>base!V6975</f>
        <v>92000</v>
      </c>
      <c r="C6975" s="37">
        <v>92</v>
      </c>
      <c r="D6975" s="36">
        <f>base!H6975</f>
        <v>50.84</v>
      </c>
      <c r="E6975" s="44"/>
      <c r="F6975" s="16">
        <f>base!W6975</f>
        <v>0</v>
      </c>
      <c r="G6975" s="11">
        <f t="shared" si="1080"/>
        <v>0</v>
      </c>
      <c r="H6975" s="11">
        <f t="shared" si="1081"/>
        <v>0</v>
      </c>
      <c r="I6975" s="11">
        <f t="shared" si="1082"/>
        <v>0</v>
      </c>
      <c r="J6975" s="12">
        <f t="shared" si="1083"/>
        <v>0</v>
      </c>
      <c r="K6975" s="17" t="str">
        <f t="shared" si="1088"/>
        <v>Pas d'écart</v>
      </c>
      <c r="L6975" s="16">
        <f>base!X6975</f>
        <v>0</v>
      </c>
      <c r="M6975" s="11">
        <f t="shared" si="1084"/>
        <v>0</v>
      </c>
      <c r="N6975" s="11">
        <f t="shared" si="1085"/>
        <v>0</v>
      </c>
      <c r="O6975" s="11">
        <f t="shared" si="1086"/>
        <v>0</v>
      </c>
      <c r="P6975" s="12">
        <f t="shared" si="1087"/>
        <v>0</v>
      </c>
      <c r="Q6975" s="17" t="str">
        <f t="shared" si="1089"/>
        <v>Pas d'écart</v>
      </c>
    </row>
    <row r="6976" spans="1:18" x14ac:dyDescent="0.3">
      <c r="A6976" s="34" t="str">
        <f>base!J6976</f>
        <v>LM</v>
      </c>
      <c r="B6976" s="34" t="str">
        <f>base!V6976</f>
        <v>93013</v>
      </c>
      <c r="C6976" s="37">
        <v>93</v>
      </c>
      <c r="D6976" s="36">
        <f>base!H6976</f>
        <v>75.16</v>
      </c>
      <c r="E6976" s="44"/>
      <c r="F6976" s="16">
        <f>base!W6976</f>
        <v>0</v>
      </c>
      <c r="G6976" s="11">
        <f t="shared" si="1080"/>
        <v>0</v>
      </c>
      <c r="H6976" s="11">
        <f t="shared" si="1081"/>
        <v>0</v>
      </c>
      <c r="I6976" s="11">
        <f t="shared" si="1082"/>
        <v>0</v>
      </c>
      <c r="J6976" s="12">
        <f t="shared" si="1083"/>
        <v>0</v>
      </c>
      <c r="K6976" s="17" t="str">
        <f t="shared" si="1088"/>
        <v>Pas d'écart</v>
      </c>
      <c r="L6976" s="16">
        <f>base!X6976</f>
        <v>0</v>
      </c>
      <c r="M6976" s="11">
        <f t="shared" si="1084"/>
        <v>0</v>
      </c>
      <c r="N6976" s="11">
        <f t="shared" si="1085"/>
        <v>0</v>
      </c>
      <c r="O6976" s="11">
        <f t="shared" si="1086"/>
        <v>0</v>
      </c>
      <c r="P6976" s="12">
        <f t="shared" si="1087"/>
        <v>0</v>
      </c>
      <c r="Q6976" s="17" t="str">
        <f t="shared" si="1089"/>
        <v>Pas d'écart</v>
      </c>
    </row>
    <row r="6977" spans="1:18" x14ac:dyDescent="0.3">
      <c r="A6977" s="34" t="str">
        <f>base!J6977</f>
        <v>RM</v>
      </c>
      <c r="B6977" s="34" t="str">
        <f>base!V6977</f>
        <v>50570</v>
      </c>
      <c r="C6977" s="37">
        <v>50</v>
      </c>
      <c r="D6977" s="36">
        <f>base!H6977</f>
        <v>325</v>
      </c>
      <c r="E6977" s="44"/>
      <c r="F6977" s="16">
        <f>base!W6977</f>
        <v>0</v>
      </c>
      <c r="G6977" s="11">
        <f t="shared" si="1080"/>
        <v>0</v>
      </c>
      <c r="H6977" s="11">
        <f t="shared" si="1081"/>
        <v>55.250000000000007</v>
      </c>
      <c r="I6977" s="11">
        <f t="shared" si="1082"/>
        <v>0.17</v>
      </c>
      <c r="J6977" s="12">
        <f t="shared" si="1083"/>
        <v>-55.250000000000007</v>
      </c>
      <c r="K6977" s="17" t="str">
        <f t="shared" si="1088"/>
        <v>Ecart négatif</v>
      </c>
      <c r="L6977" s="16">
        <f>base!X6977</f>
        <v>0</v>
      </c>
      <c r="M6977" s="11">
        <f t="shared" si="1084"/>
        <v>0</v>
      </c>
      <c r="N6977" s="11">
        <f t="shared" si="1085"/>
        <v>55.250000000000007</v>
      </c>
      <c r="O6977" s="11">
        <f t="shared" si="1086"/>
        <v>0.17</v>
      </c>
      <c r="P6977" s="12">
        <f t="shared" si="1087"/>
        <v>-55.250000000000007</v>
      </c>
      <c r="Q6977" s="17" t="str">
        <f t="shared" si="1089"/>
        <v>Ecart négatif</v>
      </c>
    </row>
    <row r="6978" spans="1:18" x14ac:dyDescent="0.3">
      <c r="A6978" s="34" t="str">
        <f>base!J6978</f>
        <v>RM</v>
      </c>
      <c r="B6978" s="34" t="str">
        <f>base!V6978</f>
        <v>63500</v>
      </c>
      <c r="C6978" s="37">
        <v>63</v>
      </c>
      <c r="D6978" s="36">
        <f>base!H6978</f>
        <v>36.89</v>
      </c>
      <c r="E6978" s="44"/>
      <c r="F6978" s="16">
        <f>base!W6978</f>
        <v>0</v>
      </c>
      <c r="G6978" s="11">
        <f t="shared" ref="G6978:G7041" si="1090">F6978/D6978</f>
        <v>0</v>
      </c>
      <c r="H6978" s="11">
        <f t="shared" ref="H6978:H7041" si="1091">VLOOKUP(C6978,tout_cout_traction,2,FALSE)*D6978</f>
        <v>10.6981</v>
      </c>
      <c r="I6978" s="11">
        <f t="shared" ref="I6978:I7041" si="1092">H6978/D6978</f>
        <v>0.28999999999999998</v>
      </c>
      <c r="J6978" s="12">
        <f t="shared" ref="J6978:J7041" si="1093">F6978-H6978</f>
        <v>-10.6981</v>
      </c>
      <c r="K6978" s="17" t="str">
        <f t="shared" si="1088"/>
        <v>Ecart négatif</v>
      </c>
      <c r="L6978" s="16">
        <f>base!X6978</f>
        <v>4.43</v>
      </c>
      <c r="M6978" s="11">
        <f t="shared" ref="M6978:M7041" si="1094">L6978/D6978</f>
        <v>0.12008674437516942</v>
      </c>
      <c r="N6978" s="11">
        <f t="shared" ref="N6978:N7041" si="1095">VLOOKUP(C6978,tout_cout_traction,3,FALSE)*D6978</f>
        <v>4.4268000000000001</v>
      </c>
      <c r="O6978" s="11">
        <f t="shared" ref="O6978:O7041" si="1096">N6978/D6978</f>
        <v>0.12</v>
      </c>
      <c r="P6978" s="12">
        <f t="shared" ref="P6978:P7041" si="1097">L6978-N6978</f>
        <v>3.1999999999996476E-3</v>
      </c>
      <c r="Q6978" s="17" t="str">
        <f t="shared" si="1089"/>
        <v>Ecart positif</v>
      </c>
      <c r="R6978" s="38"/>
    </row>
    <row r="6979" spans="1:18" x14ac:dyDescent="0.3">
      <c r="A6979" s="34" t="str">
        <f>base!J6979</f>
        <v>RS</v>
      </c>
      <c r="B6979" s="34" t="str">
        <f>base!V6979</f>
        <v>75008</v>
      </c>
      <c r="C6979" s="37">
        <v>75</v>
      </c>
      <c r="D6979" s="36">
        <f>base!H6979</f>
        <v>140</v>
      </c>
      <c r="E6979" s="44"/>
      <c r="F6979" s="16">
        <f>base!W6979</f>
        <v>0</v>
      </c>
      <c r="G6979" s="11">
        <f t="shared" si="1090"/>
        <v>0</v>
      </c>
      <c r="H6979" s="11">
        <f t="shared" si="1091"/>
        <v>0</v>
      </c>
      <c r="I6979" s="11">
        <f t="shared" si="1092"/>
        <v>0</v>
      </c>
      <c r="J6979" s="12">
        <f t="shared" si="1093"/>
        <v>0</v>
      </c>
      <c r="K6979" s="17" t="str">
        <f t="shared" ref="K6979:K7042" si="1098">IF(H6979=F6979,"Pas d'écart",IF(H6979&lt;F6979,"Ecart positif",IF(H6979&gt;F6979,"Ecart négatif")))</f>
        <v>Pas d'écart</v>
      </c>
      <c r="L6979" s="16">
        <f>base!X6979</f>
        <v>0</v>
      </c>
      <c r="M6979" s="11">
        <f t="shared" si="1094"/>
        <v>0</v>
      </c>
      <c r="N6979" s="11">
        <f t="shared" si="1095"/>
        <v>0</v>
      </c>
      <c r="O6979" s="11">
        <f t="shared" si="1096"/>
        <v>0</v>
      </c>
      <c r="P6979" s="12">
        <f t="shared" si="1097"/>
        <v>0</v>
      </c>
      <c r="Q6979" s="17" t="str">
        <f t="shared" ref="Q6979:Q7042" si="1099">IF(N6979=L6979,"Pas d'écart",IF(N6979&lt;L6979,"Ecart positif",IF(N6979&gt;L6979,"Ecart négatif")))</f>
        <v>Pas d'écart</v>
      </c>
    </row>
    <row r="6980" spans="1:18" x14ac:dyDescent="0.3">
      <c r="A6980" s="34" t="str">
        <f>base!J6980</f>
        <v>RM</v>
      </c>
      <c r="B6980" s="34" t="str">
        <f>base!V6980</f>
        <v>39400</v>
      </c>
      <c r="C6980" s="37">
        <v>39</v>
      </c>
      <c r="D6980" s="36">
        <f>base!H6980</f>
        <v>38.25</v>
      </c>
      <c r="E6980" s="44"/>
      <c r="F6980" s="16">
        <f>base!W6980</f>
        <v>0</v>
      </c>
      <c r="G6980" s="11">
        <f t="shared" si="1090"/>
        <v>0</v>
      </c>
      <c r="H6980" s="11">
        <f t="shared" si="1091"/>
        <v>10.327500000000001</v>
      </c>
      <c r="I6980" s="11">
        <f t="shared" si="1092"/>
        <v>0.27</v>
      </c>
      <c r="J6980" s="12">
        <f t="shared" si="1093"/>
        <v>-10.327500000000001</v>
      </c>
      <c r="K6980" s="17" t="str">
        <f t="shared" si="1098"/>
        <v>Ecart négatif</v>
      </c>
      <c r="L6980" s="16">
        <f>base!X6980</f>
        <v>0</v>
      </c>
      <c r="M6980" s="11">
        <f t="shared" si="1094"/>
        <v>0</v>
      </c>
      <c r="N6980" s="11">
        <f t="shared" si="1095"/>
        <v>0</v>
      </c>
      <c r="O6980" s="11">
        <f t="shared" si="1096"/>
        <v>0</v>
      </c>
      <c r="P6980" s="12">
        <f t="shared" si="1097"/>
        <v>0</v>
      </c>
      <c r="Q6980" s="17" t="str">
        <f t="shared" si="1099"/>
        <v>Pas d'écart</v>
      </c>
    </row>
    <row r="6981" spans="1:18" x14ac:dyDescent="0.3">
      <c r="A6981" s="34" t="str">
        <f>base!J6981</f>
        <v>RM</v>
      </c>
      <c r="B6981" s="34" t="str">
        <f>base!V6981</f>
        <v>06560</v>
      </c>
      <c r="C6981" s="37">
        <v>6</v>
      </c>
      <c r="D6981" s="36">
        <f>base!H6981</f>
        <v>151</v>
      </c>
      <c r="E6981" s="44"/>
      <c r="F6981" s="16">
        <f>base!W6981</f>
        <v>0</v>
      </c>
      <c r="G6981" s="11">
        <f t="shared" si="1090"/>
        <v>0</v>
      </c>
      <c r="H6981" s="11">
        <f t="shared" si="1091"/>
        <v>45.3</v>
      </c>
      <c r="I6981" s="11">
        <f t="shared" si="1092"/>
        <v>0.3</v>
      </c>
      <c r="J6981" s="12">
        <f t="shared" si="1093"/>
        <v>-45.3</v>
      </c>
      <c r="K6981" s="17" t="str">
        <f t="shared" si="1098"/>
        <v>Ecart négatif</v>
      </c>
      <c r="L6981" s="16">
        <f>base!X6981</f>
        <v>0</v>
      </c>
      <c r="M6981" s="11">
        <f t="shared" si="1094"/>
        <v>0</v>
      </c>
      <c r="N6981" s="11">
        <f t="shared" si="1095"/>
        <v>31.709999999999997</v>
      </c>
      <c r="O6981" s="11">
        <f t="shared" si="1096"/>
        <v>0.21</v>
      </c>
      <c r="P6981" s="12">
        <f t="shared" si="1097"/>
        <v>-31.709999999999997</v>
      </c>
      <c r="Q6981" s="17" t="str">
        <f t="shared" si="1099"/>
        <v>Ecart négatif</v>
      </c>
    </row>
    <row r="6982" spans="1:18" x14ac:dyDescent="0.3">
      <c r="A6982" s="34" t="str">
        <f>base!J6982</f>
        <v>RS</v>
      </c>
      <c r="B6982" s="34" t="str">
        <f>base!V6982</f>
        <v>06560</v>
      </c>
      <c r="C6982" s="37">
        <v>6</v>
      </c>
      <c r="D6982" s="36">
        <f>base!H6982</f>
        <v>151</v>
      </c>
      <c r="E6982" s="44"/>
      <c r="F6982" s="16">
        <f>base!W6982</f>
        <v>0</v>
      </c>
      <c r="G6982" s="11">
        <f t="shared" si="1090"/>
        <v>0</v>
      </c>
      <c r="H6982" s="11">
        <f t="shared" si="1091"/>
        <v>45.3</v>
      </c>
      <c r="I6982" s="11">
        <f t="shared" si="1092"/>
        <v>0.3</v>
      </c>
      <c r="J6982" s="12">
        <f t="shared" si="1093"/>
        <v>-45.3</v>
      </c>
      <c r="K6982" s="17" t="str">
        <f t="shared" si="1098"/>
        <v>Ecart négatif</v>
      </c>
      <c r="L6982" s="16">
        <f>base!X6982</f>
        <v>0</v>
      </c>
      <c r="M6982" s="11">
        <f t="shared" si="1094"/>
        <v>0</v>
      </c>
      <c r="N6982" s="11">
        <f t="shared" si="1095"/>
        <v>31.709999999999997</v>
      </c>
      <c r="O6982" s="11">
        <f t="shared" si="1096"/>
        <v>0.21</v>
      </c>
      <c r="P6982" s="12">
        <f t="shared" si="1097"/>
        <v>-31.709999999999997</v>
      </c>
      <c r="Q6982" s="17" t="str">
        <f t="shared" si="1099"/>
        <v>Ecart négatif</v>
      </c>
    </row>
    <row r="6983" spans="1:18" x14ac:dyDescent="0.3">
      <c r="A6983" s="34" t="str">
        <f>base!J6983</f>
        <v>RM</v>
      </c>
      <c r="B6983" s="34" t="str">
        <f>base!V6983</f>
        <v>06560</v>
      </c>
      <c r="C6983" s="37">
        <v>6</v>
      </c>
      <c r="D6983" s="36">
        <f>base!H6983</f>
        <v>151</v>
      </c>
      <c r="E6983" s="44"/>
      <c r="F6983" s="16">
        <f>base!W6983</f>
        <v>0</v>
      </c>
      <c r="G6983" s="11">
        <f t="shared" si="1090"/>
        <v>0</v>
      </c>
      <c r="H6983" s="11">
        <f t="shared" si="1091"/>
        <v>45.3</v>
      </c>
      <c r="I6983" s="11">
        <f t="shared" si="1092"/>
        <v>0.3</v>
      </c>
      <c r="J6983" s="12">
        <f t="shared" si="1093"/>
        <v>-45.3</v>
      </c>
      <c r="K6983" s="17" t="str">
        <f t="shared" si="1098"/>
        <v>Ecart négatif</v>
      </c>
      <c r="L6983" s="16">
        <f>base!X6983</f>
        <v>0</v>
      </c>
      <c r="M6983" s="11">
        <f t="shared" si="1094"/>
        <v>0</v>
      </c>
      <c r="N6983" s="11">
        <f t="shared" si="1095"/>
        <v>31.709999999999997</v>
      </c>
      <c r="O6983" s="11">
        <f t="shared" si="1096"/>
        <v>0.21</v>
      </c>
      <c r="P6983" s="12">
        <f t="shared" si="1097"/>
        <v>-31.709999999999997</v>
      </c>
      <c r="Q6983" s="17" t="str">
        <f t="shared" si="1099"/>
        <v>Ecart négatif</v>
      </c>
    </row>
    <row r="6984" spans="1:18" x14ac:dyDescent="0.3">
      <c r="A6984" s="34" t="str">
        <f>base!J6984</f>
        <v>RS</v>
      </c>
      <c r="B6984" s="34" t="str">
        <f>base!V6984</f>
        <v>06560</v>
      </c>
      <c r="C6984" s="37">
        <v>6</v>
      </c>
      <c r="D6984" s="36">
        <f>base!H6984</f>
        <v>151</v>
      </c>
      <c r="E6984" s="44"/>
      <c r="F6984" s="16">
        <f>base!W6984</f>
        <v>0</v>
      </c>
      <c r="G6984" s="11">
        <f t="shared" si="1090"/>
        <v>0</v>
      </c>
      <c r="H6984" s="11">
        <f t="shared" si="1091"/>
        <v>45.3</v>
      </c>
      <c r="I6984" s="11">
        <f t="shared" si="1092"/>
        <v>0.3</v>
      </c>
      <c r="J6984" s="12">
        <f t="shared" si="1093"/>
        <v>-45.3</v>
      </c>
      <c r="K6984" s="17" t="str">
        <f t="shared" si="1098"/>
        <v>Ecart négatif</v>
      </c>
      <c r="L6984" s="16">
        <f>base!X6984</f>
        <v>0</v>
      </c>
      <c r="M6984" s="11">
        <f t="shared" si="1094"/>
        <v>0</v>
      </c>
      <c r="N6984" s="11">
        <f t="shared" si="1095"/>
        <v>31.709999999999997</v>
      </c>
      <c r="O6984" s="11">
        <f t="shared" si="1096"/>
        <v>0.21</v>
      </c>
      <c r="P6984" s="12">
        <f t="shared" si="1097"/>
        <v>-31.709999999999997</v>
      </c>
      <c r="Q6984" s="17" t="str">
        <f t="shared" si="1099"/>
        <v>Ecart négatif</v>
      </c>
    </row>
    <row r="6985" spans="1:18" x14ac:dyDescent="0.3">
      <c r="A6985" s="34" t="str">
        <f>base!J6985</f>
        <v>RS</v>
      </c>
      <c r="B6985" s="34" t="str">
        <f>base!V6985</f>
        <v>38430</v>
      </c>
      <c r="C6985" s="37">
        <v>38</v>
      </c>
      <c r="D6985" s="36">
        <f>base!H6985</f>
        <v>40</v>
      </c>
      <c r="E6985" s="44"/>
      <c r="F6985" s="16">
        <f>base!W6985</f>
        <v>0</v>
      </c>
      <c r="G6985" s="11">
        <f t="shared" si="1090"/>
        <v>0</v>
      </c>
      <c r="H6985" s="11">
        <f t="shared" si="1091"/>
        <v>10.8</v>
      </c>
      <c r="I6985" s="11">
        <f t="shared" si="1092"/>
        <v>0.27</v>
      </c>
      <c r="J6985" s="12">
        <f t="shared" si="1093"/>
        <v>-10.8</v>
      </c>
      <c r="K6985" s="17" t="str">
        <f t="shared" si="1098"/>
        <v>Ecart négatif</v>
      </c>
      <c r="L6985" s="16">
        <f>base!X6985</f>
        <v>0</v>
      </c>
      <c r="M6985" s="11">
        <f t="shared" si="1094"/>
        <v>0</v>
      </c>
      <c r="N6985" s="11">
        <f t="shared" si="1095"/>
        <v>0</v>
      </c>
      <c r="O6985" s="11">
        <f t="shared" si="1096"/>
        <v>0</v>
      </c>
      <c r="P6985" s="12">
        <f t="shared" si="1097"/>
        <v>0</v>
      </c>
      <c r="Q6985" s="17" t="str">
        <f t="shared" si="1099"/>
        <v>Pas d'écart</v>
      </c>
    </row>
    <row r="6986" spans="1:18" x14ac:dyDescent="0.3">
      <c r="A6986" s="34">
        <f>base!J6986</f>
        <v>0</v>
      </c>
      <c r="B6986" s="34" t="str">
        <f>base!V6986</f>
        <v>77184</v>
      </c>
      <c r="C6986" s="37">
        <v>77</v>
      </c>
      <c r="D6986" s="36">
        <f>base!H6986</f>
        <v>10</v>
      </c>
      <c r="E6986" s="44"/>
      <c r="F6986" s="16">
        <f>base!W6986</f>
        <v>0</v>
      </c>
      <c r="G6986" s="11">
        <f t="shared" si="1090"/>
        <v>0</v>
      </c>
      <c r="H6986" s="11">
        <f t="shared" si="1091"/>
        <v>0</v>
      </c>
      <c r="I6986" s="11">
        <f t="shared" si="1092"/>
        <v>0</v>
      </c>
      <c r="J6986" s="12">
        <f t="shared" si="1093"/>
        <v>0</v>
      </c>
      <c r="K6986" s="17" t="str">
        <f t="shared" si="1098"/>
        <v>Pas d'écart</v>
      </c>
      <c r="L6986" s="16">
        <f>base!X6986</f>
        <v>0</v>
      </c>
      <c r="M6986" s="11">
        <f t="shared" si="1094"/>
        <v>0</v>
      </c>
      <c r="N6986" s="11">
        <f t="shared" si="1095"/>
        <v>0</v>
      </c>
      <c r="O6986" s="11">
        <f t="shared" si="1096"/>
        <v>0</v>
      </c>
      <c r="P6986" s="12">
        <f t="shared" si="1097"/>
        <v>0</v>
      </c>
      <c r="Q6986" s="17" t="str">
        <f t="shared" si="1099"/>
        <v>Pas d'écart</v>
      </c>
    </row>
    <row r="6987" spans="1:18" x14ac:dyDescent="0.3">
      <c r="A6987" s="34">
        <f>base!J6987</f>
        <v>0</v>
      </c>
      <c r="B6987" s="34" t="str">
        <f>base!V6987</f>
        <v>77184</v>
      </c>
      <c r="C6987" s="37">
        <v>77</v>
      </c>
      <c r="D6987" s="36">
        <f>base!H6987</f>
        <v>10</v>
      </c>
      <c r="E6987" s="44"/>
      <c r="F6987" s="16">
        <f>base!W6987</f>
        <v>0</v>
      </c>
      <c r="G6987" s="11">
        <f t="shared" si="1090"/>
        <v>0</v>
      </c>
      <c r="H6987" s="11">
        <f t="shared" si="1091"/>
        <v>0</v>
      </c>
      <c r="I6987" s="11">
        <f t="shared" si="1092"/>
        <v>0</v>
      </c>
      <c r="J6987" s="12">
        <f t="shared" si="1093"/>
        <v>0</v>
      </c>
      <c r="K6987" s="17" t="str">
        <f t="shared" si="1098"/>
        <v>Pas d'écart</v>
      </c>
      <c r="L6987" s="16">
        <f>base!X6987</f>
        <v>0</v>
      </c>
      <c r="M6987" s="11">
        <f t="shared" si="1094"/>
        <v>0</v>
      </c>
      <c r="N6987" s="11">
        <f t="shared" si="1095"/>
        <v>0</v>
      </c>
      <c r="O6987" s="11">
        <f t="shared" si="1096"/>
        <v>0</v>
      </c>
      <c r="P6987" s="12">
        <f t="shared" si="1097"/>
        <v>0</v>
      </c>
      <c r="Q6987" s="17" t="str">
        <f t="shared" si="1099"/>
        <v>Pas d'écart</v>
      </c>
    </row>
    <row r="6988" spans="1:18" x14ac:dyDescent="0.3">
      <c r="A6988" s="34" t="str">
        <f>base!J6988</f>
        <v>RS</v>
      </c>
      <c r="B6988" s="34" t="str">
        <f>base!V6988</f>
        <v>34280</v>
      </c>
      <c r="C6988" s="37">
        <v>34</v>
      </c>
      <c r="D6988" s="36">
        <f>base!H6988</f>
        <v>171.53</v>
      </c>
      <c r="E6988" s="44"/>
      <c r="F6988" s="16">
        <f>base!W6988</f>
        <v>0</v>
      </c>
      <c r="G6988" s="11">
        <f t="shared" si="1090"/>
        <v>0</v>
      </c>
      <c r="H6988" s="11">
        <f t="shared" si="1091"/>
        <v>66.89670000000001</v>
      </c>
      <c r="I6988" s="11">
        <f t="shared" si="1092"/>
        <v>0.39000000000000007</v>
      </c>
      <c r="J6988" s="12">
        <f t="shared" si="1093"/>
        <v>-66.89670000000001</v>
      </c>
      <c r="K6988" s="17" t="str">
        <f t="shared" si="1098"/>
        <v>Ecart négatif</v>
      </c>
      <c r="L6988" s="16">
        <f>base!X6988</f>
        <v>48.03</v>
      </c>
      <c r="M6988" s="11">
        <f t="shared" si="1094"/>
        <v>0.28000932781437649</v>
      </c>
      <c r="N6988" s="11">
        <f t="shared" si="1095"/>
        <v>48.028400000000005</v>
      </c>
      <c r="O6988" s="11">
        <f t="shared" si="1096"/>
        <v>0.28000000000000003</v>
      </c>
      <c r="P6988" s="12">
        <f t="shared" si="1097"/>
        <v>1.5999999999962711E-3</v>
      </c>
      <c r="Q6988" s="17" t="str">
        <f t="shared" si="1099"/>
        <v>Ecart positif</v>
      </c>
      <c r="R6988" s="38"/>
    </row>
    <row r="6989" spans="1:18" x14ac:dyDescent="0.3">
      <c r="A6989" s="34" t="str">
        <f>base!J6989</f>
        <v>RS</v>
      </c>
      <c r="B6989" s="34" t="str">
        <f>base!V6989</f>
        <v>94700</v>
      </c>
      <c r="C6989" s="37">
        <v>94</v>
      </c>
      <c r="D6989" s="36">
        <f>base!H6989</f>
        <v>1390.69</v>
      </c>
      <c r="E6989" s="44"/>
      <c r="F6989" s="16">
        <f>base!W6989</f>
        <v>0</v>
      </c>
      <c r="G6989" s="11">
        <f t="shared" si="1090"/>
        <v>0</v>
      </c>
      <c r="H6989" s="11">
        <f t="shared" si="1091"/>
        <v>0</v>
      </c>
      <c r="I6989" s="11">
        <f t="shared" si="1092"/>
        <v>0</v>
      </c>
      <c r="J6989" s="12">
        <f t="shared" si="1093"/>
        <v>0</v>
      </c>
      <c r="K6989" s="17" t="str">
        <f t="shared" si="1098"/>
        <v>Pas d'écart</v>
      </c>
      <c r="L6989" s="16">
        <f>base!X6989</f>
        <v>0</v>
      </c>
      <c r="M6989" s="11">
        <f t="shared" si="1094"/>
        <v>0</v>
      </c>
      <c r="N6989" s="11">
        <f t="shared" si="1095"/>
        <v>0</v>
      </c>
      <c r="O6989" s="11">
        <f t="shared" si="1096"/>
        <v>0</v>
      </c>
      <c r="P6989" s="12">
        <f t="shared" si="1097"/>
        <v>0</v>
      </c>
      <c r="Q6989" s="17" t="str">
        <f t="shared" si="1099"/>
        <v>Pas d'écart</v>
      </c>
    </row>
    <row r="6990" spans="1:18" x14ac:dyDescent="0.3">
      <c r="A6990" s="34" t="str">
        <f>base!J6990</f>
        <v>RS</v>
      </c>
      <c r="B6990" s="34" t="str">
        <f>base!V6990</f>
        <v>13510</v>
      </c>
      <c r="C6990" s="37">
        <v>13</v>
      </c>
      <c r="D6990" s="36">
        <f>base!H6990</f>
        <v>151</v>
      </c>
      <c r="E6990" s="44"/>
      <c r="F6990" s="16">
        <f>base!W6990</f>
        <v>0</v>
      </c>
      <c r="G6990" s="11">
        <f t="shared" si="1090"/>
        <v>0</v>
      </c>
      <c r="H6990" s="11">
        <f t="shared" si="1091"/>
        <v>43.79</v>
      </c>
      <c r="I6990" s="11">
        <f t="shared" si="1092"/>
        <v>0.28999999999999998</v>
      </c>
      <c r="J6990" s="12">
        <f t="shared" si="1093"/>
        <v>-43.79</v>
      </c>
      <c r="K6990" s="17" t="str">
        <f t="shared" si="1098"/>
        <v>Ecart négatif</v>
      </c>
      <c r="L6990" s="16">
        <f>base!X6990</f>
        <v>0</v>
      </c>
      <c r="M6990" s="11">
        <f t="shared" si="1094"/>
        <v>0</v>
      </c>
      <c r="N6990" s="11">
        <f t="shared" si="1095"/>
        <v>28.69</v>
      </c>
      <c r="O6990" s="11">
        <f t="shared" si="1096"/>
        <v>0.19</v>
      </c>
      <c r="P6990" s="12">
        <f t="shared" si="1097"/>
        <v>-28.69</v>
      </c>
      <c r="Q6990" s="17" t="str">
        <f t="shared" si="1099"/>
        <v>Ecart négatif</v>
      </c>
    </row>
    <row r="6991" spans="1:18" x14ac:dyDescent="0.3">
      <c r="A6991" s="34">
        <f>base!J6991</f>
        <v>0</v>
      </c>
      <c r="B6991" s="34" t="str">
        <f>base!V6991</f>
        <v>77184</v>
      </c>
      <c r="C6991" s="37">
        <v>77</v>
      </c>
      <c r="D6991" s="36">
        <f>base!H6991</f>
        <v>31.6</v>
      </c>
      <c r="E6991" s="44"/>
      <c r="F6991" s="16">
        <f>base!W6991</f>
        <v>0</v>
      </c>
      <c r="G6991" s="11">
        <f t="shared" si="1090"/>
        <v>0</v>
      </c>
      <c r="H6991" s="11">
        <f t="shared" si="1091"/>
        <v>0</v>
      </c>
      <c r="I6991" s="11">
        <f t="shared" si="1092"/>
        <v>0</v>
      </c>
      <c r="J6991" s="12">
        <f t="shared" si="1093"/>
        <v>0</v>
      </c>
      <c r="K6991" s="17" t="str">
        <f t="shared" si="1098"/>
        <v>Pas d'écart</v>
      </c>
      <c r="L6991" s="16">
        <f>base!X6991</f>
        <v>0</v>
      </c>
      <c r="M6991" s="11">
        <f t="shared" si="1094"/>
        <v>0</v>
      </c>
      <c r="N6991" s="11">
        <f t="shared" si="1095"/>
        <v>0</v>
      </c>
      <c r="O6991" s="11">
        <f t="shared" si="1096"/>
        <v>0</v>
      </c>
      <c r="P6991" s="12">
        <f t="shared" si="1097"/>
        <v>0</v>
      </c>
      <c r="Q6991" s="17" t="str">
        <f t="shared" si="1099"/>
        <v>Pas d'écart</v>
      </c>
    </row>
    <row r="6992" spans="1:18" x14ac:dyDescent="0.3">
      <c r="A6992" s="34" t="str">
        <f>base!J6992</f>
        <v>LS</v>
      </c>
      <c r="B6992" s="34" t="str">
        <f>base!V6992</f>
        <v>13200</v>
      </c>
      <c r="C6992" s="37">
        <v>13</v>
      </c>
      <c r="D6992" s="36">
        <f>base!H6992</f>
        <v>140</v>
      </c>
      <c r="E6992" s="44"/>
      <c r="F6992" s="16">
        <f>base!W6992</f>
        <v>40.6</v>
      </c>
      <c r="G6992" s="11">
        <f t="shared" si="1090"/>
        <v>0.29000000000000004</v>
      </c>
      <c r="H6992" s="11">
        <f t="shared" si="1091"/>
        <v>40.599999999999994</v>
      </c>
      <c r="I6992" s="11">
        <f t="shared" si="1092"/>
        <v>0.28999999999999998</v>
      </c>
      <c r="J6992" s="12">
        <f t="shared" si="1093"/>
        <v>0</v>
      </c>
      <c r="K6992" s="17" t="str">
        <f t="shared" si="1098"/>
        <v>Pas d'écart</v>
      </c>
      <c r="L6992" s="16">
        <f>base!X6992</f>
        <v>0</v>
      </c>
      <c r="M6992" s="11">
        <f t="shared" si="1094"/>
        <v>0</v>
      </c>
      <c r="N6992" s="11">
        <f t="shared" si="1095"/>
        <v>26.6</v>
      </c>
      <c r="O6992" s="11">
        <f t="shared" si="1096"/>
        <v>0.19</v>
      </c>
      <c r="P6992" s="12">
        <f t="shared" si="1097"/>
        <v>-26.6</v>
      </c>
      <c r="Q6992" s="17" t="str">
        <f t="shared" si="1099"/>
        <v>Ecart négatif</v>
      </c>
    </row>
    <row r="6993" spans="1:18" x14ac:dyDescent="0.3">
      <c r="A6993" s="34" t="str">
        <f>base!J6993</f>
        <v>DLM</v>
      </c>
      <c r="B6993" s="34" t="str">
        <f>base!V6993</f>
        <v>63100</v>
      </c>
      <c r="C6993" s="37">
        <v>63</v>
      </c>
      <c r="D6993" s="36">
        <f>base!H6993</f>
        <v>160.28</v>
      </c>
      <c r="E6993" s="44"/>
      <c r="F6993" s="16">
        <f>base!W6993</f>
        <v>0</v>
      </c>
      <c r="G6993" s="11">
        <f t="shared" si="1090"/>
        <v>0</v>
      </c>
      <c r="H6993" s="11">
        <f t="shared" si="1091"/>
        <v>46.481199999999994</v>
      </c>
      <c r="I6993" s="11">
        <f t="shared" si="1092"/>
        <v>0.28999999999999998</v>
      </c>
      <c r="J6993" s="12">
        <f t="shared" si="1093"/>
        <v>-46.481199999999994</v>
      </c>
      <c r="K6993" s="17" t="str">
        <f t="shared" si="1098"/>
        <v>Ecart négatif</v>
      </c>
      <c r="L6993" s="16">
        <f>base!X6993</f>
        <v>0</v>
      </c>
      <c r="M6993" s="11">
        <f t="shared" si="1094"/>
        <v>0</v>
      </c>
      <c r="N6993" s="11">
        <f t="shared" si="1095"/>
        <v>19.233599999999999</v>
      </c>
      <c r="O6993" s="11">
        <f t="shared" si="1096"/>
        <v>0.12</v>
      </c>
      <c r="P6993" s="12">
        <f t="shared" si="1097"/>
        <v>-19.233599999999999</v>
      </c>
      <c r="Q6993" s="17" t="str">
        <f t="shared" si="1099"/>
        <v>Ecart négatif</v>
      </c>
    </row>
    <row r="6994" spans="1:18" x14ac:dyDescent="0.3">
      <c r="A6994" s="34" t="str">
        <f>base!J6994</f>
        <v>LS</v>
      </c>
      <c r="B6994" s="34" t="str">
        <f>base!V6994</f>
        <v>29690</v>
      </c>
      <c r="C6994" s="37">
        <v>11</v>
      </c>
      <c r="D6994" s="36">
        <f>base!H6994</f>
        <v>126.65</v>
      </c>
      <c r="E6994" s="44"/>
      <c r="F6994" s="16">
        <f>base!W6994</f>
        <v>49.39</v>
      </c>
      <c r="G6994" s="11">
        <f t="shared" si="1090"/>
        <v>0.3899723647848401</v>
      </c>
      <c r="H6994" s="11">
        <f t="shared" si="1091"/>
        <v>45.594000000000001</v>
      </c>
      <c r="I6994" s="11">
        <f t="shared" si="1092"/>
        <v>0.36</v>
      </c>
      <c r="J6994" s="12">
        <f t="shared" si="1093"/>
        <v>3.7959999999999994</v>
      </c>
      <c r="K6994" s="17" t="str">
        <f t="shared" si="1098"/>
        <v>Ecart positif</v>
      </c>
      <c r="L6994" s="16">
        <f>base!X6994</f>
        <v>0</v>
      </c>
      <c r="M6994" s="11">
        <f t="shared" si="1094"/>
        <v>0</v>
      </c>
      <c r="N6994" s="11">
        <f t="shared" si="1095"/>
        <v>35.462000000000003</v>
      </c>
      <c r="O6994" s="11">
        <f t="shared" si="1096"/>
        <v>0.28000000000000003</v>
      </c>
      <c r="P6994" s="12">
        <f t="shared" si="1097"/>
        <v>-35.462000000000003</v>
      </c>
      <c r="Q6994" s="17" t="str">
        <f t="shared" si="1099"/>
        <v>Ecart négatif</v>
      </c>
    </row>
    <row r="6995" spans="1:18" x14ac:dyDescent="0.3">
      <c r="A6995" s="34" t="str">
        <f>base!J6995</f>
        <v>LM</v>
      </c>
      <c r="B6995" s="34" t="str">
        <f>base!V6995</f>
        <v>87000</v>
      </c>
      <c r="C6995" s="37">
        <v>34</v>
      </c>
      <c r="D6995" s="36">
        <f>base!H6995</f>
        <v>55.16</v>
      </c>
      <c r="E6995" s="44"/>
      <c r="F6995" s="16">
        <f>base!W6995</f>
        <v>16</v>
      </c>
      <c r="G6995" s="11">
        <f t="shared" si="1090"/>
        <v>0.29006526468455407</v>
      </c>
      <c r="H6995" s="11">
        <f t="shared" si="1091"/>
        <v>21.5124</v>
      </c>
      <c r="I6995" s="11">
        <f t="shared" si="1092"/>
        <v>0.39</v>
      </c>
      <c r="J6995" s="12">
        <f t="shared" si="1093"/>
        <v>-5.5123999999999995</v>
      </c>
      <c r="K6995" s="17" t="str">
        <f t="shared" si="1098"/>
        <v>Ecart négatif</v>
      </c>
      <c r="L6995" s="16">
        <f>base!X6995</f>
        <v>0</v>
      </c>
      <c r="M6995" s="11">
        <f t="shared" si="1094"/>
        <v>0</v>
      </c>
      <c r="N6995" s="11">
        <f t="shared" si="1095"/>
        <v>15.444800000000001</v>
      </c>
      <c r="O6995" s="11">
        <f t="shared" si="1096"/>
        <v>0.28000000000000003</v>
      </c>
      <c r="P6995" s="12">
        <f t="shared" si="1097"/>
        <v>-15.444800000000001</v>
      </c>
      <c r="Q6995" s="17" t="str">
        <f t="shared" si="1099"/>
        <v>Ecart négatif</v>
      </c>
    </row>
    <row r="6996" spans="1:18" x14ac:dyDescent="0.3">
      <c r="A6996" s="34" t="str">
        <f>base!J6996</f>
        <v>LM</v>
      </c>
      <c r="B6996" s="34" t="str">
        <f>base!V6996</f>
        <v>26000</v>
      </c>
      <c r="C6996" s="37">
        <v>22</v>
      </c>
      <c r="D6996" s="36">
        <f>base!H6996</f>
        <v>55.16</v>
      </c>
      <c r="E6996" s="44"/>
      <c r="F6996" s="16">
        <f>base!W6996</f>
        <v>14.89</v>
      </c>
      <c r="G6996" s="11">
        <f t="shared" si="1090"/>
        <v>0.26994198694706312</v>
      </c>
      <c r="H6996" s="11">
        <f t="shared" si="1091"/>
        <v>20.960799999999999</v>
      </c>
      <c r="I6996" s="11">
        <f t="shared" si="1092"/>
        <v>0.38</v>
      </c>
      <c r="J6996" s="12">
        <f t="shared" si="1093"/>
        <v>-6.0707999999999984</v>
      </c>
      <c r="K6996" s="17" t="str">
        <f t="shared" si="1098"/>
        <v>Ecart négatif</v>
      </c>
      <c r="L6996" s="16">
        <f>base!X6996</f>
        <v>0</v>
      </c>
      <c r="M6996" s="11">
        <f t="shared" si="1094"/>
        <v>0</v>
      </c>
      <c r="N6996" s="11">
        <f t="shared" si="1095"/>
        <v>6.6191999999999993</v>
      </c>
      <c r="O6996" s="11">
        <f t="shared" si="1096"/>
        <v>0.12</v>
      </c>
      <c r="P6996" s="12">
        <f t="shared" si="1097"/>
        <v>-6.6191999999999993</v>
      </c>
      <c r="Q6996" s="17" t="str">
        <f t="shared" si="1099"/>
        <v>Ecart négatif</v>
      </c>
    </row>
    <row r="6997" spans="1:18" x14ac:dyDescent="0.3">
      <c r="A6997" s="34" t="str">
        <f>base!J6997</f>
        <v>LM</v>
      </c>
      <c r="B6997" s="34" t="str">
        <f>base!V6997</f>
        <v>87000</v>
      </c>
      <c r="C6997" s="37">
        <v>22</v>
      </c>
      <c r="D6997" s="36">
        <f>base!H6997</f>
        <v>20.23</v>
      </c>
      <c r="E6997" s="44"/>
      <c r="F6997" s="16">
        <f>base!W6997</f>
        <v>5.87</v>
      </c>
      <c r="G6997" s="11">
        <f t="shared" si="1090"/>
        <v>0.2901631240731587</v>
      </c>
      <c r="H6997" s="11">
        <f t="shared" si="1091"/>
        <v>7.6874000000000002</v>
      </c>
      <c r="I6997" s="11">
        <f t="shared" si="1092"/>
        <v>0.38</v>
      </c>
      <c r="J6997" s="12">
        <f t="shared" si="1093"/>
        <v>-1.8174000000000001</v>
      </c>
      <c r="K6997" s="17" t="str">
        <f t="shared" si="1098"/>
        <v>Ecart négatif</v>
      </c>
      <c r="L6997" s="16">
        <f>base!X6997</f>
        <v>0</v>
      </c>
      <c r="M6997" s="11">
        <f t="shared" si="1094"/>
        <v>0</v>
      </c>
      <c r="N6997" s="11">
        <f t="shared" si="1095"/>
        <v>2.4276</v>
      </c>
      <c r="O6997" s="11">
        <f t="shared" si="1096"/>
        <v>0.12</v>
      </c>
      <c r="P6997" s="12">
        <f t="shared" si="1097"/>
        <v>-2.4276</v>
      </c>
      <c r="Q6997" s="17" t="str">
        <f t="shared" si="1099"/>
        <v>Ecart négatif</v>
      </c>
    </row>
    <row r="6998" spans="1:18" x14ac:dyDescent="0.3">
      <c r="A6998" s="34" t="str">
        <f>base!J6998</f>
        <v>RM</v>
      </c>
      <c r="B6998" s="34" t="str">
        <f>base!V6998</f>
        <v>84000</v>
      </c>
      <c r="C6998" s="37">
        <v>84</v>
      </c>
      <c r="D6998" s="36">
        <f>base!H6998</f>
        <v>104.2</v>
      </c>
      <c r="E6998" s="44"/>
      <c r="F6998" s="16">
        <f>base!W6998</f>
        <v>0</v>
      </c>
      <c r="G6998" s="11">
        <f t="shared" si="1090"/>
        <v>0</v>
      </c>
      <c r="H6998" s="11">
        <f t="shared" si="1091"/>
        <v>30.218</v>
      </c>
      <c r="I6998" s="11">
        <f t="shared" si="1092"/>
        <v>0.28999999999999998</v>
      </c>
      <c r="J6998" s="12">
        <f t="shared" si="1093"/>
        <v>-30.218</v>
      </c>
      <c r="K6998" s="17" t="str">
        <f t="shared" si="1098"/>
        <v>Ecart négatif</v>
      </c>
      <c r="L6998" s="16">
        <f>base!X6998</f>
        <v>19.8</v>
      </c>
      <c r="M6998" s="11">
        <f t="shared" si="1094"/>
        <v>0.19001919385796545</v>
      </c>
      <c r="N6998" s="11">
        <f t="shared" si="1095"/>
        <v>19.798000000000002</v>
      </c>
      <c r="O6998" s="11">
        <f t="shared" si="1096"/>
        <v>0.19</v>
      </c>
      <c r="P6998" s="12">
        <f t="shared" si="1097"/>
        <v>1.9999999999988916E-3</v>
      </c>
      <c r="Q6998" s="17" t="str">
        <f t="shared" si="1099"/>
        <v>Ecart positif</v>
      </c>
      <c r="R6998" s="38"/>
    </row>
    <row r="6999" spans="1:18" x14ac:dyDescent="0.3">
      <c r="A6999" s="34" t="str">
        <f>base!J6999</f>
        <v>RM</v>
      </c>
      <c r="B6999" s="34" t="str">
        <f>base!V6999</f>
        <v>75013</v>
      </c>
      <c r="C6999" s="37">
        <v>75</v>
      </c>
      <c r="D6999" s="36">
        <f>base!H6999</f>
        <v>151</v>
      </c>
      <c r="E6999" s="44"/>
      <c r="F6999" s="16">
        <f>base!W6999</f>
        <v>0</v>
      </c>
      <c r="G6999" s="11">
        <f t="shared" si="1090"/>
        <v>0</v>
      </c>
      <c r="H6999" s="11">
        <f t="shared" si="1091"/>
        <v>0</v>
      </c>
      <c r="I6999" s="11">
        <f t="shared" si="1092"/>
        <v>0</v>
      </c>
      <c r="J6999" s="12">
        <f t="shared" si="1093"/>
        <v>0</v>
      </c>
      <c r="K6999" s="17" t="str">
        <f t="shared" si="1098"/>
        <v>Pas d'écart</v>
      </c>
      <c r="L6999" s="16">
        <f>base!X6999</f>
        <v>0</v>
      </c>
      <c r="M6999" s="11">
        <f t="shared" si="1094"/>
        <v>0</v>
      </c>
      <c r="N6999" s="11">
        <f t="shared" si="1095"/>
        <v>0</v>
      </c>
      <c r="O6999" s="11">
        <f t="shared" si="1096"/>
        <v>0</v>
      </c>
      <c r="P6999" s="12">
        <f t="shared" si="1097"/>
        <v>0</v>
      </c>
      <c r="Q6999" s="17" t="str">
        <f t="shared" si="1099"/>
        <v>Pas d'écart</v>
      </c>
    </row>
    <row r="7000" spans="1:18" x14ac:dyDescent="0.3">
      <c r="A7000" s="34" t="str">
        <f>base!J7000</f>
        <v>RM</v>
      </c>
      <c r="B7000" s="34" t="str">
        <f>base!V7000</f>
        <v>75013</v>
      </c>
      <c r="C7000" s="37">
        <v>75</v>
      </c>
      <c r="D7000" s="36">
        <f>base!H7000</f>
        <v>151</v>
      </c>
      <c r="E7000" s="44"/>
      <c r="F7000" s="16">
        <f>base!W7000</f>
        <v>0</v>
      </c>
      <c r="G7000" s="11">
        <f t="shared" si="1090"/>
        <v>0</v>
      </c>
      <c r="H7000" s="11">
        <f t="shared" si="1091"/>
        <v>0</v>
      </c>
      <c r="I7000" s="11">
        <f t="shared" si="1092"/>
        <v>0</v>
      </c>
      <c r="J7000" s="12">
        <f t="shared" si="1093"/>
        <v>0</v>
      </c>
      <c r="K7000" s="17" t="str">
        <f t="shared" si="1098"/>
        <v>Pas d'écart</v>
      </c>
      <c r="L7000" s="16">
        <f>base!X7000</f>
        <v>0</v>
      </c>
      <c r="M7000" s="11">
        <f t="shared" si="1094"/>
        <v>0</v>
      </c>
      <c r="N7000" s="11">
        <f t="shared" si="1095"/>
        <v>0</v>
      </c>
      <c r="O7000" s="11">
        <f t="shared" si="1096"/>
        <v>0</v>
      </c>
      <c r="P7000" s="12">
        <f t="shared" si="1097"/>
        <v>0</v>
      </c>
      <c r="Q7000" s="17" t="str">
        <f t="shared" si="1099"/>
        <v>Pas d'écart</v>
      </c>
    </row>
    <row r="7001" spans="1:18" x14ac:dyDescent="0.3">
      <c r="A7001" s="34" t="str">
        <f>base!J7001</f>
        <v>LM</v>
      </c>
      <c r="B7001" s="34" t="str">
        <f>base!V7001</f>
        <v>51320</v>
      </c>
      <c r="C7001" s="37">
        <v>29</v>
      </c>
      <c r="D7001" s="36">
        <f>base!H7001</f>
        <v>69.34</v>
      </c>
      <c r="E7001" s="44"/>
      <c r="F7001" s="16">
        <f>base!W7001</f>
        <v>17.34</v>
      </c>
      <c r="G7001" s="11">
        <f t="shared" si="1090"/>
        <v>0.25007210845111044</v>
      </c>
      <c r="H7001" s="11">
        <f t="shared" si="1091"/>
        <v>27.042600000000004</v>
      </c>
      <c r="I7001" s="11">
        <f t="shared" si="1092"/>
        <v>0.39</v>
      </c>
      <c r="J7001" s="12">
        <f t="shared" si="1093"/>
        <v>-9.7026000000000039</v>
      </c>
      <c r="K7001" s="17" t="str">
        <f t="shared" si="1098"/>
        <v>Ecart négatif</v>
      </c>
      <c r="L7001" s="16">
        <f>base!X7001</f>
        <v>0</v>
      </c>
      <c r="M7001" s="11">
        <f t="shared" si="1094"/>
        <v>0</v>
      </c>
      <c r="N7001" s="11">
        <f t="shared" si="1095"/>
        <v>8.3208000000000002</v>
      </c>
      <c r="O7001" s="11">
        <f t="shared" si="1096"/>
        <v>0.12</v>
      </c>
      <c r="P7001" s="12">
        <f t="shared" si="1097"/>
        <v>-8.3208000000000002</v>
      </c>
      <c r="Q7001" s="17" t="str">
        <f t="shared" si="1099"/>
        <v>Ecart négatif</v>
      </c>
    </row>
    <row r="7002" spans="1:18" x14ac:dyDescent="0.3">
      <c r="A7002" s="34" t="str">
        <f>base!J7002</f>
        <v>LM</v>
      </c>
      <c r="B7002" s="34" t="str">
        <f>base!V7002</f>
        <v>25300</v>
      </c>
      <c r="C7002" s="37">
        <v>34</v>
      </c>
      <c r="D7002" s="36">
        <f>base!H7002</f>
        <v>22.62</v>
      </c>
      <c r="E7002" s="44"/>
      <c r="F7002" s="16">
        <f>base!W7002</f>
        <v>0</v>
      </c>
      <c r="G7002" s="11">
        <f t="shared" si="1090"/>
        <v>0</v>
      </c>
      <c r="H7002" s="11">
        <f t="shared" si="1091"/>
        <v>8.8218000000000014</v>
      </c>
      <c r="I7002" s="11">
        <f t="shared" si="1092"/>
        <v>0.39000000000000007</v>
      </c>
      <c r="J7002" s="12">
        <f t="shared" si="1093"/>
        <v>-8.8218000000000014</v>
      </c>
      <c r="K7002" s="17" t="str">
        <f t="shared" si="1098"/>
        <v>Ecart négatif</v>
      </c>
      <c r="L7002" s="16">
        <f>base!X7002</f>
        <v>0</v>
      </c>
      <c r="M7002" s="11">
        <f t="shared" si="1094"/>
        <v>0</v>
      </c>
      <c r="N7002" s="11">
        <f t="shared" si="1095"/>
        <v>6.3336000000000006</v>
      </c>
      <c r="O7002" s="11">
        <f t="shared" si="1096"/>
        <v>0.28000000000000003</v>
      </c>
      <c r="P7002" s="12">
        <f t="shared" si="1097"/>
        <v>-6.3336000000000006</v>
      </c>
      <c r="Q7002" s="17" t="str">
        <f t="shared" si="1099"/>
        <v>Ecart négatif</v>
      </c>
    </row>
    <row r="7003" spans="1:18" x14ac:dyDescent="0.3">
      <c r="A7003" s="34" t="str">
        <f>base!J7003</f>
        <v>RS</v>
      </c>
      <c r="B7003" s="34" t="str">
        <f>base!V7003</f>
        <v>84700</v>
      </c>
      <c r="C7003" s="37">
        <v>84</v>
      </c>
      <c r="D7003" s="36">
        <f>base!H7003</f>
        <v>180</v>
      </c>
      <c r="E7003" s="44"/>
      <c r="F7003" s="16">
        <f>base!W7003</f>
        <v>0</v>
      </c>
      <c r="G7003" s="11">
        <f t="shared" si="1090"/>
        <v>0</v>
      </c>
      <c r="H7003" s="11">
        <f t="shared" si="1091"/>
        <v>52.199999999999996</v>
      </c>
      <c r="I7003" s="11">
        <f t="shared" si="1092"/>
        <v>0.28999999999999998</v>
      </c>
      <c r="J7003" s="12">
        <f t="shared" si="1093"/>
        <v>-52.199999999999996</v>
      </c>
      <c r="K7003" s="17" t="str">
        <f t="shared" si="1098"/>
        <v>Ecart négatif</v>
      </c>
      <c r="L7003" s="16">
        <f>base!X7003</f>
        <v>0</v>
      </c>
      <c r="M7003" s="11">
        <f t="shared" si="1094"/>
        <v>0</v>
      </c>
      <c r="N7003" s="11">
        <f t="shared" si="1095"/>
        <v>34.200000000000003</v>
      </c>
      <c r="O7003" s="11">
        <f t="shared" si="1096"/>
        <v>0.19</v>
      </c>
      <c r="P7003" s="12">
        <f t="shared" si="1097"/>
        <v>-34.200000000000003</v>
      </c>
      <c r="Q7003" s="17" t="str">
        <f t="shared" si="1099"/>
        <v>Ecart négatif</v>
      </c>
    </row>
    <row r="7004" spans="1:18" x14ac:dyDescent="0.3">
      <c r="A7004" s="34" t="str">
        <f>base!J7004</f>
        <v>LS</v>
      </c>
      <c r="B7004" s="34" t="str">
        <f>base!V7004</f>
        <v>94400</v>
      </c>
      <c r="C7004" s="37">
        <v>94</v>
      </c>
      <c r="D7004" s="36">
        <f>base!H7004</f>
        <v>366.96</v>
      </c>
      <c r="E7004" s="44"/>
      <c r="F7004" s="16">
        <f>base!W7004</f>
        <v>0</v>
      </c>
      <c r="G7004" s="11">
        <f t="shared" si="1090"/>
        <v>0</v>
      </c>
      <c r="H7004" s="11">
        <f t="shared" si="1091"/>
        <v>0</v>
      </c>
      <c r="I7004" s="11">
        <f t="shared" si="1092"/>
        <v>0</v>
      </c>
      <c r="J7004" s="12">
        <f t="shared" si="1093"/>
        <v>0</v>
      </c>
      <c r="K7004" s="17" t="str">
        <f t="shared" si="1098"/>
        <v>Pas d'écart</v>
      </c>
      <c r="L7004" s="16">
        <f>base!X7004</f>
        <v>0</v>
      </c>
      <c r="M7004" s="11">
        <f t="shared" si="1094"/>
        <v>0</v>
      </c>
      <c r="N7004" s="11">
        <f t="shared" si="1095"/>
        <v>0</v>
      </c>
      <c r="O7004" s="11">
        <f t="shared" si="1096"/>
        <v>0</v>
      </c>
      <c r="P7004" s="12">
        <f t="shared" si="1097"/>
        <v>0</v>
      </c>
      <c r="Q7004" s="17" t="str">
        <f t="shared" si="1099"/>
        <v>Pas d'écart</v>
      </c>
    </row>
    <row r="7005" spans="1:18" x14ac:dyDescent="0.3">
      <c r="A7005" s="34" t="str">
        <f>base!J7005</f>
        <v>RM</v>
      </c>
      <c r="B7005" s="34" t="str">
        <f>base!V7005</f>
        <v>57200</v>
      </c>
      <c r="C7005" s="37">
        <v>57</v>
      </c>
      <c r="D7005" s="36">
        <f>base!H7005</f>
        <v>17</v>
      </c>
      <c r="E7005" s="44"/>
      <c r="F7005" s="16">
        <f>base!W7005</f>
        <v>0</v>
      </c>
      <c r="G7005" s="11">
        <f t="shared" si="1090"/>
        <v>0</v>
      </c>
      <c r="H7005" s="11">
        <f t="shared" si="1091"/>
        <v>4.08</v>
      </c>
      <c r="I7005" s="11">
        <f t="shared" si="1092"/>
        <v>0.24</v>
      </c>
      <c r="J7005" s="12">
        <f t="shared" si="1093"/>
        <v>-4.08</v>
      </c>
      <c r="K7005" s="17" t="str">
        <f t="shared" si="1098"/>
        <v>Ecart négatif</v>
      </c>
      <c r="L7005" s="16">
        <f>base!X7005</f>
        <v>4.25</v>
      </c>
      <c r="M7005" s="11">
        <f t="shared" si="1094"/>
        <v>0.25</v>
      </c>
      <c r="N7005" s="11">
        <f t="shared" si="1095"/>
        <v>4.25</v>
      </c>
      <c r="O7005" s="11">
        <f t="shared" si="1096"/>
        <v>0.25</v>
      </c>
      <c r="P7005" s="12">
        <f t="shared" si="1097"/>
        <v>0</v>
      </c>
      <c r="Q7005" s="17" t="str">
        <f t="shared" si="1099"/>
        <v>Pas d'écart</v>
      </c>
      <c r="R7005" s="38"/>
    </row>
    <row r="7006" spans="1:18" x14ac:dyDescent="0.3">
      <c r="A7006" s="34" t="str">
        <f>base!J7006</f>
        <v>DRM</v>
      </c>
      <c r="B7006" s="34" t="str">
        <f>base!V7006</f>
        <v>67800</v>
      </c>
      <c r="C7006" s="37">
        <v>67</v>
      </c>
      <c r="D7006" s="36">
        <f>base!H7006</f>
        <v>151</v>
      </c>
      <c r="E7006" s="44"/>
      <c r="F7006" s="16">
        <f>base!W7006</f>
        <v>0</v>
      </c>
      <c r="G7006" s="11">
        <f t="shared" si="1090"/>
        <v>0</v>
      </c>
      <c r="H7006" s="11">
        <f t="shared" si="1091"/>
        <v>43.79</v>
      </c>
      <c r="I7006" s="11">
        <f t="shared" si="1092"/>
        <v>0.28999999999999998</v>
      </c>
      <c r="J7006" s="12">
        <f t="shared" si="1093"/>
        <v>-43.79</v>
      </c>
      <c r="K7006" s="17" t="str">
        <f t="shared" si="1098"/>
        <v>Ecart négatif</v>
      </c>
      <c r="L7006" s="16">
        <f>base!X7006</f>
        <v>0</v>
      </c>
      <c r="M7006" s="11">
        <f t="shared" si="1094"/>
        <v>0</v>
      </c>
      <c r="N7006" s="11">
        <f t="shared" si="1095"/>
        <v>12.08</v>
      </c>
      <c r="O7006" s="11">
        <f t="shared" si="1096"/>
        <v>0.08</v>
      </c>
      <c r="P7006" s="12">
        <f t="shared" si="1097"/>
        <v>-12.08</v>
      </c>
      <c r="Q7006" s="17" t="str">
        <f t="shared" si="1099"/>
        <v>Ecart négatif</v>
      </c>
    </row>
    <row r="7007" spans="1:18" x14ac:dyDescent="0.3">
      <c r="A7007" s="34" t="str">
        <f>base!J7007</f>
        <v>DLM</v>
      </c>
      <c r="B7007" s="34" t="str">
        <f>base!V7007</f>
        <v>69800</v>
      </c>
      <c r="C7007" s="37">
        <v>69</v>
      </c>
      <c r="D7007" s="36">
        <f>base!H7007</f>
        <v>151</v>
      </c>
      <c r="E7007" s="44"/>
      <c r="F7007" s="16">
        <f>base!W7007</f>
        <v>0</v>
      </c>
      <c r="G7007" s="11">
        <f t="shared" si="1090"/>
        <v>0</v>
      </c>
      <c r="H7007" s="11">
        <f t="shared" si="1091"/>
        <v>40.770000000000003</v>
      </c>
      <c r="I7007" s="11">
        <f t="shared" si="1092"/>
        <v>0.27</v>
      </c>
      <c r="J7007" s="12">
        <f t="shared" si="1093"/>
        <v>-40.770000000000003</v>
      </c>
      <c r="K7007" s="17" t="str">
        <f t="shared" si="1098"/>
        <v>Ecart négatif</v>
      </c>
      <c r="L7007" s="16">
        <f>base!X7007</f>
        <v>0</v>
      </c>
      <c r="M7007" s="11">
        <f t="shared" si="1094"/>
        <v>0</v>
      </c>
      <c r="N7007" s="11">
        <f t="shared" si="1095"/>
        <v>0</v>
      </c>
      <c r="O7007" s="11">
        <f t="shared" si="1096"/>
        <v>0</v>
      </c>
      <c r="P7007" s="12">
        <f t="shared" si="1097"/>
        <v>0</v>
      </c>
      <c r="Q7007" s="17" t="str">
        <f t="shared" si="1099"/>
        <v>Pas d'écart</v>
      </c>
    </row>
    <row r="7008" spans="1:18" x14ac:dyDescent="0.3">
      <c r="A7008" s="34" t="str">
        <f>base!J7008</f>
        <v>Metre Aller</v>
      </c>
      <c r="B7008" s="34" t="str">
        <f>base!V7008</f>
        <v>77184</v>
      </c>
      <c r="C7008" s="37">
        <v>77</v>
      </c>
      <c r="D7008" s="36">
        <f>base!H7008</f>
        <v>133.66999999999999</v>
      </c>
      <c r="E7008" s="44"/>
      <c r="F7008" s="16">
        <f>base!W7008</f>
        <v>0</v>
      </c>
      <c r="G7008" s="11">
        <f t="shared" si="1090"/>
        <v>0</v>
      </c>
      <c r="H7008" s="11">
        <f t="shared" si="1091"/>
        <v>0</v>
      </c>
      <c r="I7008" s="11">
        <f t="shared" si="1092"/>
        <v>0</v>
      </c>
      <c r="J7008" s="12">
        <f t="shared" si="1093"/>
        <v>0</v>
      </c>
      <c r="K7008" s="17" t="str">
        <f t="shared" si="1098"/>
        <v>Pas d'écart</v>
      </c>
      <c r="L7008" s="16">
        <f>base!X7008</f>
        <v>0</v>
      </c>
      <c r="M7008" s="11">
        <f t="shared" si="1094"/>
        <v>0</v>
      </c>
      <c r="N7008" s="11">
        <f t="shared" si="1095"/>
        <v>0</v>
      </c>
      <c r="O7008" s="11">
        <f t="shared" si="1096"/>
        <v>0</v>
      </c>
      <c r="P7008" s="12">
        <f t="shared" si="1097"/>
        <v>0</v>
      </c>
      <c r="Q7008" s="17" t="str">
        <f t="shared" si="1099"/>
        <v>Pas d'écart</v>
      </c>
    </row>
    <row r="7009" spans="1:17" x14ac:dyDescent="0.3">
      <c r="A7009" s="34" t="str">
        <f>base!J7009</f>
        <v>DLS</v>
      </c>
      <c r="B7009" s="34" t="str">
        <f>base!V7009</f>
        <v>91090</v>
      </c>
      <c r="C7009" s="37">
        <v>91</v>
      </c>
      <c r="D7009" s="36">
        <f>base!H7009</f>
        <v>140</v>
      </c>
      <c r="E7009" s="44"/>
      <c r="F7009" s="16">
        <f>base!W7009</f>
        <v>0</v>
      </c>
      <c r="G7009" s="11">
        <f t="shared" si="1090"/>
        <v>0</v>
      </c>
      <c r="H7009" s="11">
        <f t="shared" si="1091"/>
        <v>0</v>
      </c>
      <c r="I7009" s="11">
        <f t="shared" si="1092"/>
        <v>0</v>
      </c>
      <c r="J7009" s="12">
        <f t="shared" si="1093"/>
        <v>0</v>
      </c>
      <c r="K7009" s="17" t="str">
        <f t="shared" si="1098"/>
        <v>Pas d'écart</v>
      </c>
      <c r="L7009" s="16">
        <f>base!X7009</f>
        <v>33.6</v>
      </c>
      <c r="M7009" s="11">
        <f t="shared" si="1094"/>
        <v>0.24000000000000002</v>
      </c>
      <c r="N7009" s="11">
        <f t="shared" si="1095"/>
        <v>0</v>
      </c>
      <c r="O7009" s="11">
        <f t="shared" si="1096"/>
        <v>0</v>
      </c>
      <c r="P7009" s="12">
        <f t="shared" si="1097"/>
        <v>33.6</v>
      </c>
      <c r="Q7009" s="17" t="str">
        <f t="shared" si="1099"/>
        <v>Ecart positif</v>
      </c>
    </row>
    <row r="7010" spans="1:17" x14ac:dyDescent="0.3">
      <c r="A7010" s="34">
        <f>base!J7010</f>
        <v>0</v>
      </c>
      <c r="B7010" s="34" t="str">
        <f>base!V7010</f>
        <v>44240</v>
      </c>
      <c r="C7010" s="37">
        <v>44</v>
      </c>
      <c r="D7010" s="36">
        <f>base!H7010</f>
        <v>22.8</v>
      </c>
      <c r="E7010" s="44"/>
      <c r="F7010" s="16">
        <f>base!W7010</f>
        <v>0</v>
      </c>
      <c r="G7010" s="11">
        <f t="shared" si="1090"/>
        <v>0</v>
      </c>
      <c r="H7010" s="11">
        <f t="shared" si="1091"/>
        <v>6.1560000000000006</v>
      </c>
      <c r="I7010" s="11">
        <f t="shared" si="1092"/>
        <v>0.27</v>
      </c>
      <c r="J7010" s="12">
        <f t="shared" si="1093"/>
        <v>-6.1560000000000006</v>
      </c>
      <c r="K7010" s="17" t="str">
        <f t="shared" si="1098"/>
        <v>Ecart négatif</v>
      </c>
      <c r="L7010" s="16">
        <f>base!X7010</f>
        <v>0</v>
      </c>
      <c r="M7010" s="11">
        <f t="shared" si="1094"/>
        <v>0</v>
      </c>
      <c r="N7010" s="11">
        <f t="shared" si="1095"/>
        <v>0</v>
      </c>
      <c r="O7010" s="11">
        <f t="shared" si="1096"/>
        <v>0</v>
      </c>
      <c r="P7010" s="12">
        <f t="shared" si="1097"/>
        <v>0</v>
      </c>
      <c r="Q7010" s="17" t="str">
        <f t="shared" si="1099"/>
        <v>Pas d'écart</v>
      </c>
    </row>
    <row r="7011" spans="1:17" x14ac:dyDescent="0.3">
      <c r="A7011" s="34" t="str">
        <f>base!J7011</f>
        <v>LS</v>
      </c>
      <c r="B7011" s="34" t="str">
        <f>base!V7011</f>
        <v>14032</v>
      </c>
      <c r="C7011" s="37">
        <v>34</v>
      </c>
      <c r="D7011" s="36">
        <f>base!H7011</f>
        <v>155.22</v>
      </c>
      <c r="E7011" s="44"/>
      <c r="F7011" s="16">
        <f>base!W7011</f>
        <v>26.39</v>
      </c>
      <c r="G7011" s="11">
        <f t="shared" si="1090"/>
        <v>0.17001675041876047</v>
      </c>
      <c r="H7011" s="11">
        <f t="shared" si="1091"/>
        <v>60.535800000000002</v>
      </c>
      <c r="I7011" s="11">
        <f t="shared" si="1092"/>
        <v>0.39</v>
      </c>
      <c r="J7011" s="12">
        <f t="shared" si="1093"/>
        <v>-34.145800000000001</v>
      </c>
      <c r="K7011" s="17" t="str">
        <f t="shared" si="1098"/>
        <v>Ecart négatif</v>
      </c>
      <c r="L7011" s="16">
        <f>base!X7011</f>
        <v>0</v>
      </c>
      <c r="M7011" s="11">
        <f t="shared" si="1094"/>
        <v>0</v>
      </c>
      <c r="N7011" s="11">
        <f t="shared" si="1095"/>
        <v>43.461600000000004</v>
      </c>
      <c r="O7011" s="11">
        <f t="shared" si="1096"/>
        <v>0.28000000000000003</v>
      </c>
      <c r="P7011" s="12">
        <f t="shared" si="1097"/>
        <v>-43.461600000000004</v>
      </c>
      <c r="Q7011" s="17" t="str">
        <f t="shared" si="1099"/>
        <v>Ecart négatif</v>
      </c>
    </row>
    <row r="7012" spans="1:17" x14ac:dyDescent="0.3">
      <c r="A7012" s="34" t="str">
        <f>base!J7012</f>
        <v>RS</v>
      </c>
      <c r="B7012" s="34" t="str">
        <f>base!V7012</f>
        <v>62660</v>
      </c>
      <c r="C7012" s="37">
        <v>62</v>
      </c>
      <c r="D7012" s="36">
        <f>base!H7012</f>
        <v>222</v>
      </c>
      <c r="E7012" s="44"/>
      <c r="F7012" s="16">
        <f>base!W7012</f>
        <v>0</v>
      </c>
      <c r="G7012" s="11">
        <f t="shared" si="1090"/>
        <v>0</v>
      </c>
      <c r="H7012" s="11">
        <f t="shared" si="1091"/>
        <v>42.18</v>
      </c>
      <c r="I7012" s="11">
        <f t="shared" si="1092"/>
        <v>0.19</v>
      </c>
      <c r="J7012" s="12">
        <f t="shared" si="1093"/>
        <v>-42.18</v>
      </c>
      <c r="K7012" s="17" t="str">
        <f t="shared" si="1098"/>
        <v>Ecart négatif</v>
      </c>
      <c r="L7012" s="16">
        <f>base!X7012</f>
        <v>0</v>
      </c>
      <c r="M7012" s="11">
        <f t="shared" si="1094"/>
        <v>0</v>
      </c>
      <c r="N7012" s="11">
        <f t="shared" si="1095"/>
        <v>0</v>
      </c>
      <c r="O7012" s="11">
        <f t="shared" si="1096"/>
        <v>0</v>
      </c>
      <c r="P7012" s="12">
        <f t="shared" si="1097"/>
        <v>0</v>
      </c>
      <c r="Q7012" s="17" t="str">
        <f t="shared" si="1099"/>
        <v>Pas d'écart</v>
      </c>
    </row>
    <row r="7013" spans="1:17" x14ac:dyDescent="0.3">
      <c r="A7013" s="34">
        <f>base!J7013</f>
        <v>0</v>
      </c>
      <c r="B7013" s="34" t="str">
        <f>base!V7013</f>
        <v>77184</v>
      </c>
      <c r="C7013" s="37">
        <v>77</v>
      </c>
      <c r="D7013" s="36">
        <f>base!H7013</f>
        <v>84.5</v>
      </c>
      <c r="E7013" s="44"/>
      <c r="F7013" s="16">
        <f>base!W7013</f>
        <v>0</v>
      </c>
      <c r="G7013" s="11">
        <f t="shared" si="1090"/>
        <v>0</v>
      </c>
      <c r="H7013" s="11">
        <f t="shared" si="1091"/>
        <v>0</v>
      </c>
      <c r="I7013" s="11">
        <f t="shared" si="1092"/>
        <v>0</v>
      </c>
      <c r="J7013" s="12">
        <f t="shared" si="1093"/>
        <v>0</v>
      </c>
      <c r="K7013" s="17" t="str">
        <f t="shared" si="1098"/>
        <v>Pas d'écart</v>
      </c>
      <c r="L7013" s="16">
        <f>base!X7013</f>
        <v>0</v>
      </c>
      <c r="M7013" s="11">
        <f t="shared" si="1094"/>
        <v>0</v>
      </c>
      <c r="N7013" s="11">
        <f t="shared" si="1095"/>
        <v>0</v>
      </c>
      <c r="O7013" s="11">
        <f t="shared" si="1096"/>
        <v>0</v>
      </c>
      <c r="P7013" s="12">
        <f t="shared" si="1097"/>
        <v>0</v>
      </c>
      <c r="Q7013" s="17" t="str">
        <f t="shared" si="1099"/>
        <v>Pas d'écart</v>
      </c>
    </row>
    <row r="7014" spans="1:17" x14ac:dyDescent="0.3">
      <c r="A7014" s="34">
        <f>base!J7014</f>
        <v>0</v>
      </c>
      <c r="B7014" s="34" t="str">
        <f>base!V7014</f>
        <v>77184</v>
      </c>
      <c r="C7014" s="37">
        <v>77</v>
      </c>
      <c r="D7014" s="36">
        <f>base!H7014</f>
        <v>84.5</v>
      </c>
      <c r="E7014" s="44"/>
      <c r="F7014" s="16">
        <f>base!W7014</f>
        <v>0</v>
      </c>
      <c r="G7014" s="11">
        <f t="shared" si="1090"/>
        <v>0</v>
      </c>
      <c r="H7014" s="11">
        <f t="shared" si="1091"/>
        <v>0</v>
      </c>
      <c r="I7014" s="11">
        <f t="shared" si="1092"/>
        <v>0</v>
      </c>
      <c r="J7014" s="12">
        <f t="shared" si="1093"/>
        <v>0</v>
      </c>
      <c r="K7014" s="17" t="str">
        <f t="shared" si="1098"/>
        <v>Pas d'écart</v>
      </c>
      <c r="L7014" s="16">
        <f>base!X7014</f>
        <v>0</v>
      </c>
      <c r="M7014" s="11">
        <f t="shared" si="1094"/>
        <v>0</v>
      </c>
      <c r="N7014" s="11">
        <f t="shared" si="1095"/>
        <v>0</v>
      </c>
      <c r="O7014" s="11">
        <f t="shared" si="1096"/>
        <v>0</v>
      </c>
      <c r="P7014" s="12">
        <f t="shared" si="1097"/>
        <v>0</v>
      </c>
      <c r="Q7014" s="17" t="str">
        <f t="shared" si="1099"/>
        <v>Pas d'écart</v>
      </c>
    </row>
    <row r="7015" spans="1:17" x14ac:dyDescent="0.3">
      <c r="A7015" s="34" t="str">
        <f>base!J7015</f>
        <v>RS</v>
      </c>
      <c r="B7015" s="34" t="str">
        <f>base!V7015</f>
        <v>35132</v>
      </c>
      <c r="C7015" s="37">
        <v>35</v>
      </c>
      <c r="D7015" s="36">
        <f>base!H7015</f>
        <v>140</v>
      </c>
      <c r="E7015" s="44"/>
      <c r="F7015" s="16">
        <f>base!W7015</f>
        <v>0</v>
      </c>
      <c r="G7015" s="11">
        <f t="shared" si="1090"/>
        <v>0</v>
      </c>
      <c r="H7015" s="11">
        <f t="shared" si="1091"/>
        <v>37.800000000000004</v>
      </c>
      <c r="I7015" s="11">
        <f t="shared" si="1092"/>
        <v>0.27</v>
      </c>
      <c r="J7015" s="12">
        <f t="shared" si="1093"/>
        <v>-37.800000000000004</v>
      </c>
      <c r="K7015" s="17" t="str">
        <f t="shared" si="1098"/>
        <v>Ecart négatif</v>
      </c>
      <c r="L7015" s="16">
        <f>base!X7015</f>
        <v>0</v>
      </c>
      <c r="M7015" s="11">
        <f t="shared" si="1094"/>
        <v>0</v>
      </c>
      <c r="N7015" s="11">
        <f t="shared" si="1095"/>
        <v>0</v>
      </c>
      <c r="O7015" s="11">
        <f t="shared" si="1096"/>
        <v>0</v>
      </c>
      <c r="P7015" s="12">
        <f t="shared" si="1097"/>
        <v>0</v>
      </c>
      <c r="Q7015" s="17" t="str">
        <f t="shared" si="1099"/>
        <v>Pas d'écart</v>
      </c>
    </row>
    <row r="7016" spans="1:17" x14ac:dyDescent="0.3">
      <c r="A7016" s="34" t="str">
        <f>base!J7016</f>
        <v>DLS</v>
      </c>
      <c r="B7016" s="34" t="str">
        <f>base!V7016</f>
        <v>69300</v>
      </c>
      <c r="C7016" s="37">
        <v>69</v>
      </c>
      <c r="D7016" s="36">
        <f>base!H7016</f>
        <v>40.799999999999997</v>
      </c>
      <c r="E7016" s="44"/>
      <c r="F7016" s="16">
        <f>base!W7016</f>
        <v>11.02</v>
      </c>
      <c r="G7016" s="11">
        <f t="shared" si="1090"/>
        <v>0.27009803921568626</v>
      </c>
      <c r="H7016" s="11">
        <f t="shared" si="1091"/>
        <v>11.016</v>
      </c>
      <c r="I7016" s="11">
        <f t="shared" si="1092"/>
        <v>0.27</v>
      </c>
      <c r="J7016" s="12">
        <f t="shared" si="1093"/>
        <v>3.9999999999995595E-3</v>
      </c>
      <c r="K7016" s="17" t="str">
        <f t="shared" si="1098"/>
        <v>Ecart positif</v>
      </c>
      <c r="L7016" s="16">
        <f>base!X7016</f>
        <v>0</v>
      </c>
      <c r="M7016" s="11">
        <f t="shared" si="1094"/>
        <v>0</v>
      </c>
      <c r="N7016" s="11">
        <f t="shared" si="1095"/>
        <v>0</v>
      </c>
      <c r="O7016" s="11">
        <f t="shared" si="1096"/>
        <v>0</v>
      </c>
      <c r="P7016" s="12">
        <f t="shared" si="1097"/>
        <v>0</v>
      </c>
      <c r="Q7016" s="17" t="str">
        <f t="shared" si="1099"/>
        <v>Pas d'écart</v>
      </c>
    </row>
    <row r="7017" spans="1:17" x14ac:dyDescent="0.3">
      <c r="A7017" s="34" t="str">
        <f>base!J7017</f>
        <v>LM</v>
      </c>
      <c r="B7017" s="34" t="str">
        <f>base!V7017</f>
        <v>59380</v>
      </c>
      <c r="C7017" s="37">
        <v>11</v>
      </c>
      <c r="D7017" s="36">
        <f>base!H7017</f>
        <v>141.85</v>
      </c>
      <c r="E7017" s="44"/>
      <c r="F7017" s="16">
        <f>base!W7017</f>
        <v>26.95</v>
      </c>
      <c r="G7017" s="11">
        <f t="shared" si="1090"/>
        <v>0.18998942544941841</v>
      </c>
      <c r="H7017" s="11">
        <f t="shared" si="1091"/>
        <v>51.065999999999995</v>
      </c>
      <c r="I7017" s="11">
        <f t="shared" si="1092"/>
        <v>0.36</v>
      </c>
      <c r="J7017" s="12">
        <f t="shared" si="1093"/>
        <v>-24.115999999999996</v>
      </c>
      <c r="K7017" s="17" t="str">
        <f t="shared" si="1098"/>
        <v>Ecart négatif</v>
      </c>
      <c r="L7017" s="16">
        <f>base!X7017</f>
        <v>0</v>
      </c>
      <c r="M7017" s="11">
        <f t="shared" si="1094"/>
        <v>0</v>
      </c>
      <c r="N7017" s="11">
        <f t="shared" si="1095"/>
        <v>39.718000000000004</v>
      </c>
      <c r="O7017" s="11">
        <f t="shared" si="1096"/>
        <v>0.28000000000000003</v>
      </c>
      <c r="P7017" s="12">
        <f t="shared" si="1097"/>
        <v>-39.718000000000004</v>
      </c>
      <c r="Q7017" s="17" t="str">
        <f t="shared" si="1099"/>
        <v>Ecart négatif</v>
      </c>
    </row>
    <row r="7018" spans="1:17" x14ac:dyDescent="0.3">
      <c r="A7018" s="34" t="str">
        <f>base!J7018</f>
        <v>LS</v>
      </c>
      <c r="B7018" s="34" t="str">
        <f>base!V7018</f>
        <v>34070</v>
      </c>
      <c r="C7018" s="37">
        <v>48</v>
      </c>
      <c r="D7018" s="36">
        <f>base!H7018</f>
        <v>86.27</v>
      </c>
      <c r="E7018" s="44"/>
      <c r="F7018" s="16">
        <f>base!W7018</f>
        <v>33.65</v>
      </c>
      <c r="G7018" s="11">
        <f t="shared" si="1090"/>
        <v>0.39005448012055177</v>
      </c>
      <c r="H7018" s="11">
        <f t="shared" si="1091"/>
        <v>33.645299999999999</v>
      </c>
      <c r="I7018" s="11">
        <f t="shared" si="1092"/>
        <v>0.39</v>
      </c>
      <c r="J7018" s="12">
        <f t="shared" si="1093"/>
        <v>4.6999999999997044E-3</v>
      </c>
      <c r="K7018" s="17" t="str">
        <f t="shared" si="1098"/>
        <v>Ecart positif</v>
      </c>
      <c r="L7018" s="16">
        <f>base!X7018</f>
        <v>0</v>
      </c>
      <c r="M7018" s="11">
        <f t="shared" si="1094"/>
        <v>0</v>
      </c>
      <c r="N7018" s="11">
        <f t="shared" si="1095"/>
        <v>24.1556</v>
      </c>
      <c r="O7018" s="11">
        <f t="shared" si="1096"/>
        <v>0.28000000000000003</v>
      </c>
      <c r="P7018" s="12">
        <f t="shared" si="1097"/>
        <v>-24.1556</v>
      </c>
      <c r="Q7018" s="17" t="str">
        <f t="shared" si="1099"/>
        <v>Ecart négatif</v>
      </c>
    </row>
    <row r="7019" spans="1:17" x14ac:dyDescent="0.3">
      <c r="A7019" s="34" t="str">
        <f>base!J7019</f>
        <v>LM</v>
      </c>
      <c r="B7019" s="34" t="str">
        <f>base!V7019</f>
        <v>69800</v>
      </c>
      <c r="C7019" s="37">
        <v>29</v>
      </c>
      <c r="D7019" s="36">
        <f>base!H7019</f>
        <v>136.97999999999999</v>
      </c>
      <c r="E7019" s="44"/>
      <c r="F7019" s="16">
        <f>base!W7019</f>
        <v>36.979999999999997</v>
      </c>
      <c r="G7019" s="11">
        <f t="shared" si="1090"/>
        <v>0.26996641845524894</v>
      </c>
      <c r="H7019" s="11">
        <f t="shared" si="1091"/>
        <v>53.422199999999997</v>
      </c>
      <c r="I7019" s="11">
        <f t="shared" si="1092"/>
        <v>0.39</v>
      </c>
      <c r="J7019" s="12">
        <f t="shared" si="1093"/>
        <v>-16.4422</v>
      </c>
      <c r="K7019" s="17" t="str">
        <f t="shared" si="1098"/>
        <v>Ecart négatif</v>
      </c>
      <c r="L7019" s="16">
        <f>base!X7019</f>
        <v>0</v>
      </c>
      <c r="M7019" s="11">
        <f t="shared" si="1094"/>
        <v>0</v>
      </c>
      <c r="N7019" s="11">
        <f t="shared" si="1095"/>
        <v>16.4376</v>
      </c>
      <c r="O7019" s="11">
        <f t="shared" si="1096"/>
        <v>0.12000000000000001</v>
      </c>
      <c r="P7019" s="12">
        <f t="shared" si="1097"/>
        <v>-16.4376</v>
      </c>
      <c r="Q7019" s="17" t="str">
        <f t="shared" si="1099"/>
        <v>Ecart négatif</v>
      </c>
    </row>
    <row r="7020" spans="1:17" x14ac:dyDescent="0.3">
      <c r="A7020" s="34" t="str">
        <f>base!J7020</f>
        <v>LS</v>
      </c>
      <c r="B7020" s="34" t="str">
        <f>base!V7020</f>
        <v>75014</v>
      </c>
      <c r="C7020" s="37">
        <v>75</v>
      </c>
      <c r="D7020" s="36">
        <f>base!H7020</f>
        <v>53.38</v>
      </c>
      <c r="E7020" s="44"/>
      <c r="F7020" s="16">
        <f>base!W7020</f>
        <v>0</v>
      </c>
      <c r="G7020" s="11">
        <f t="shared" si="1090"/>
        <v>0</v>
      </c>
      <c r="H7020" s="11">
        <f t="shared" si="1091"/>
        <v>0</v>
      </c>
      <c r="I7020" s="11">
        <f t="shared" si="1092"/>
        <v>0</v>
      </c>
      <c r="J7020" s="12">
        <f t="shared" si="1093"/>
        <v>0</v>
      </c>
      <c r="K7020" s="17" t="str">
        <f t="shared" si="1098"/>
        <v>Pas d'écart</v>
      </c>
      <c r="L7020" s="16">
        <f>base!X7020</f>
        <v>0</v>
      </c>
      <c r="M7020" s="11">
        <f t="shared" si="1094"/>
        <v>0</v>
      </c>
      <c r="N7020" s="11">
        <f t="shared" si="1095"/>
        <v>0</v>
      </c>
      <c r="O7020" s="11">
        <f t="shared" si="1096"/>
        <v>0</v>
      </c>
      <c r="P7020" s="12">
        <f t="shared" si="1097"/>
        <v>0</v>
      </c>
      <c r="Q7020" s="17" t="str">
        <f t="shared" si="1099"/>
        <v>Pas d'écart</v>
      </c>
    </row>
    <row r="7021" spans="1:17" x14ac:dyDescent="0.3">
      <c r="A7021" s="34" t="str">
        <f>base!J7021</f>
        <v>LM</v>
      </c>
      <c r="B7021" s="34" t="str">
        <f>base!V7021</f>
        <v>08350</v>
      </c>
      <c r="C7021" s="37">
        <v>22</v>
      </c>
      <c r="D7021" s="36">
        <f>base!H7021</f>
        <v>55.34</v>
      </c>
      <c r="E7021" s="44"/>
      <c r="F7021" s="16">
        <f>base!W7021</f>
        <v>10.51</v>
      </c>
      <c r="G7021" s="11">
        <f t="shared" si="1090"/>
        <v>0.1899168774846404</v>
      </c>
      <c r="H7021" s="11">
        <f t="shared" si="1091"/>
        <v>21.029200000000003</v>
      </c>
      <c r="I7021" s="11">
        <f t="shared" si="1092"/>
        <v>0.38</v>
      </c>
      <c r="J7021" s="12">
        <f t="shared" si="1093"/>
        <v>-10.519200000000003</v>
      </c>
      <c r="K7021" s="17" t="str">
        <f t="shared" si="1098"/>
        <v>Ecart négatif</v>
      </c>
      <c r="L7021" s="16">
        <f>base!X7021</f>
        <v>0</v>
      </c>
      <c r="M7021" s="11">
        <f t="shared" si="1094"/>
        <v>0</v>
      </c>
      <c r="N7021" s="11">
        <f t="shared" si="1095"/>
        <v>6.6408000000000005</v>
      </c>
      <c r="O7021" s="11">
        <f t="shared" si="1096"/>
        <v>0.12</v>
      </c>
      <c r="P7021" s="12">
        <f t="shared" si="1097"/>
        <v>-6.6408000000000005</v>
      </c>
      <c r="Q7021" s="17" t="str">
        <f t="shared" si="1099"/>
        <v>Ecart négatif</v>
      </c>
    </row>
    <row r="7022" spans="1:17" x14ac:dyDescent="0.3">
      <c r="A7022" s="34" t="str">
        <f>base!J7022</f>
        <v>LM</v>
      </c>
      <c r="B7022" s="34" t="str">
        <f>base!V7022</f>
        <v>59380</v>
      </c>
      <c r="C7022" s="37">
        <v>59</v>
      </c>
      <c r="D7022" s="36">
        <f>base!H7022</f>
        <v>40</v>
      </c>
      <c r="E7022" s="44"/>
      <c r="F7022" s="16">
        <f>base!W7022</f>
        <v>7.6</v>
      </c>
      <c r="G7022" s="11">
        <f t="shared" si="1090"/>
        <v>0.19</v>
      </c>
      <c r="H7022" s="11">
        <f t="shared" si="1091"/>
        <v>7.6</v>
      </c>
      <c r="I7022" s="11">
        <f t="shared" si="1092"/>
        <v>0.19</v>
      </c>
      <c r="J7022" s="12">
        <f t="shared" si="1093"/>
        <v>0</v>
      </c>
      <c r="K7022" s="17" t="str">
        <f t="shared" si="1098"/>
        <v>Pas d'écart</v>
      </c>
      <c r="L7022" s="16">
        <f>base!X7022</f>
        <v>0</v>
      </c>
      <c r="M7022" s="11">
        <f t="shared" si="1094"/>
        <v>0</v>
      </c>
      <c r="N7022" s="11">
        <f t="shared" si="1095"/>
        <v>0</v>
      </c>
      <c r="O7022" s="11">
        <f t="shared" si="1096"/>
        <v>0</v>
      </c>
      <c r="P7022" s="12">
        <f t="shared" si="1097"/>
        <v>0</v>
      </c>
      <c r="Q7022" s="17" t="str">
        <f t="shared" si="1099"/>
        <v>Pas d'écart</v>
      </c>
    </row>
    <row r="7023" spans="1:17" x14ac:dyDescent="0.3">
      <c r="A7023" s="34" t="str">
        <f>base!J7023</f>
        <v>RS</v>
      </c>
      <c r="B7023" s="34" t="str">
        <f>base!V7023</f>
        <v>59540</v>
      </c>
      <c r="C7023" s="37">
        <v>59</v>
      </c>
      <c r="D7023" s="36">
        <f>base!H7023</f>
        <v>180</v>
      </c>
      <c r="E7023" s="44"/>
      <c r="F7023" s="16">
        <f>base!W7023</f>
        <v>0</v>
      </c>
      <c r="G7023" s="11">
        <f t="shared" si="1090"/>
        <v>0</v>
      </c>
      <c r="H7023" s="11">
        <f t="shared" si="1091"/>
        <v>34.200000000000003</v>
      </c>
      <c r="I7023" s="11">
        <f t="shared" si="1092"/>
        <v>0.19</v>
      </c>
      <c r="J7023" s="12">
        <f t="shared" si="1093"/>
        <v>-34.200000000000003</v>
      </c>
      <c r="K7023" s="17" t="str">
        <f t="shared" si="1098"/>
        <v>Ecart négatif</v>
      </c>
      <c r="L7023" s="16">
        <f>base!X7023</f>
        <v>0</v>
      </c>
      <c r="M7023" s="11">
        <f t="shared" si="1094"/>
        <v>0</v>
      </c>
      <c r="N7023" s="11">
        <f t="shared" si="1095"/>
        <v>0</v>
      </c>
      <c r="O7023" s="11">
        <f t="shared" si="1096"/>
        <v>0</v>
      </c>
      <c r="P7023" s="12">
        <f t="shared" si="1097"/>
        <v>0</v>
      </c>
      <c r="Q7023" s="17" t="str">
        <f t="shared" si="1099"/>
        <v>Pas d'écart</v>
      </c>
    </row>
    <row r="7024" spans="1:17" x14ac:dyDescent="0.3">
      <c r="A7024" s="34" t="str">
        <f>base!J7024</f>
        <v>DRS</v>
      </c>
      <c r="B7024" s="34" t="str">
        <f>base!V7024</f>
        <v>35220</v>
      </c>
      <c r="C7024" s="37">
        <v>35</v>
      </c>
      <c r="D7024" s="36">
        <f>base!H7024</f>
        <v>0</v>
      </c>
      <c r="E7024" s="44"/>
      <c r="F7024" s="16">
        <f>base!W7024</f>
        <v>0</v>
      </c>
      <c r="G7024" s="11" t="e">
        <f t="shared" si="1090"/>
        <v>#DIV/0!</v>
      </c>
      <c r="H7024" s="11">
        <f t="shared" si="1091"/>
        <v>0</v>
      </c>
      <c r="I7024" s="11" t="e">
        <f t="shared" si="1092"/>
        <v>#DIV/0!</v>
      </c>
      <c r="J7024" s="12">
        <f t="shared" si="1093"/>
        <v>0</v>
      </c>
      <c r="K7024" s="17" t="str">
        <f t="shared" si="1098"/>
        <v>Pas d'écart</v>
      </c>
      <c r="L7024" s="16">
        <f>base!X7024</f>
        <v>0</v>
      </c>
      <c r="M7024" s="11" t="e">
        <f t="shared" si="1094"/>
        <v>#DIV/0!</v>
      </c>
      <c r="N7024" s="11">
        <f t="shared" si="1095"/>
        <v>0</v>
      </c>
      <c r="O7024" s="11" t="e">
        <f t="shared" si="1096"/>
        <v>#DIV/0!</v>
      </c>
      <c r="P7024" s="12">
        <f t="shared" si="1097"/>
        <v>0</v>
      </c>
      <c r="Q7024" s="17" t="str">
        <f t="shared" si="1099"/>
        <v>Pas d'écart</v>
      </c>
    </row>
    <row r="7025" spans="1:18" x14ac:dyDescent="0.3">
      <c r="A7025" s="34" t="str">
        <f>base!J7025</f>
        <v>LS</v>
      </c>
      <c r="B7025" s="34" t="str">
        <f>base!V7025</f>
        <v>61100</v>
      </c>
      <c r="C7025" s="37">
        <v>61</v>
      </c>
      <c r="D7025" s="36">
        <f>base!H7025</f>
        <v>40</v>
      </c>
      <c r="E7025" s="44"/>
      <c r="F7025" s="16">
        <f>base!W7025</f>
        <v>6.8</v>
      </c>
      <c r="G7025" s="11">
        <f t="shared" si="1090"/>
        <v>0.16999999999999998</v>
      </c>
      <c r="H7025" s="11">
        <f t="shared" si="1091"/>
        <v>6.8000000000000007</v>
      </c>
      <c r="I7025" s="11">
        <f t="shared" si="1092"/>
        <v>0.17</v>
      </c>
      <c r="J7025" s="12">
        <f t="shared" si="1093"/>
        <v>0</v>
      </c>
      <c r="K7025" s="17" t="str">
        <f t="shared" si="1098"/>
        <v>Pas d'écart</v>
      </c>
      <c r="L7025" s="16">
        <f>base!X7025</f>
        <v>0</v>
      </c>
      <c r="M7025" s="11">
        <f t="shared" si="1094"/>
        <v>0</v>
      </c>
      <c r="N7025" s="11">
        <f t="shared" si="1095"/>
        <v>6.8000000000000007</v>
      </c>
      <c r="O7025" s="11">
        <f t="shared" si="1096"/>
        <v>0.17</v>
      </c>
      <c r="P7025" s="12">
        <f t="shared" si="1097"/>
        <v>-6.8000000000000007</v>
      </c>
      <c r="Q7025" s="17" t="str">
        <f t="shared" si="1099"/>
        <v>Ecart négatif</v>
      </c>
    </row>
    <row r="7026" spans="1:18" x14ac:dyDescent="0.3">
      <c r="A7026" s="34" t="str">
        <f>base!J7026</f>
        <v>LM</v>
      </c>
      <c r="B7026" s="34" t="str">
        <f>base!V7026</f>
        <v>75014</v>
      </c>
      <c r="C7026" s="37">
        <v>75</v>
      </c>
      <c r="D7026" s="36">
        <f>base!H7026</f>
        <v>19.649999999999999</v>
      </c>
      <c r="E7026" s="44"/>
      <c r="F7026" s="16">
        <f>base!W7026</f>
        <v>0</v>
      </c>
      <c r="G7026" s="11">
        <f t="shared" si="1090"/>
        <v>0</v>
      </c>
      <c r="H7026" s="11">
        <f t="shared" si="1091"/>
        <v>0</v>
      </c>
      <c r="I7026" s="11">
        <f t="shared" si="1092"/>
        <v>0</v>
      </c>
      <c r="J7026" s="12">
        <f t="shared" si="1093"/>
        <v>0</v>
      </c>
      <c r="K7026" s="17" t="str">
        <f t="shared" si="1098"/>
        <v>Pas d'écart</v>
      </c>
      <c r="L7026" s="16">
        <f>base!X7026</f>
        <v>0</v>
      </c>
      <c r="M7026" s="11">
        <f t="shared" si="1094"/>
        <v>0</v>
      </c>
      <c r="N7026" s="11">
        <f t="shared" si="1095"/>
        <v>0</v>
      </c>
      <c r="O7026" s="11">
        <f t="shared" si="1096"/>
        <v>0</v>
      </c>
      <c r="P7026" s="12">
        <f t="shared" si="1097"/>
        <v>0</v>
      </c>
      <c r="Q7026" s="17" t="str">
        <f t="shared" si="1099"/>
        <v>Pas d'écart</v>
      </c>
    </row>
    <row r="7027" spans="1:18" x14ac:dyDescent="0.3">
      <c r="A7027" s="34" t="str">
        <f>base!J7027</f>
        <v>LM</v>
      </c>
      <c r="B7027" s="34" t="str">
        <f>base!V7027</f>
        <v>75014</v>
      </c>
      <c r="C7027" s="37">
        <v>75</v>
      </c>
      <c r="D7027" s="36">
        <f>base!H7027</f>
        <v>19.649999999999999</v>
      </c>
      <c r="E7027" s="44"/>
      <c r="F7027" s="16">
        <f>base!W7027</f>
        <v>0</v>
      </c>
      <c r="G7027" s="11">
        <f t="shared" si="1090"/>
        <v>0</v>
      </c>
      <c r="H7027" s="11">
        <f t="shared" si="1091"/>
        <v>0</v>
      </c>
      <c r="I7027" s="11">
        <f t="shared" si="1092"/>
        <v>0</v>
      </c>
      <c r="J7027" s="12">
        <f t="shared" si="1093"/>
        <v>0</v>
      </c>
      <c r="K7027" s="17" t="str">
        <f t="shared" si="1098"/>
        <v>Pas d'écart</v>
      </c>
      <c r="L7027" s="16">
        <f>base!X7027</f>
        <v>0</v>
      </c>
      <c r="M7027" s="11">
        <f t="shared" si="1094"/>
        <v>0</v>
      </c>
      <c r="N7027" s="11">
        <f t="shared" si="1095"/>
        <v>0</v>
      </c>
      <c r="O7027" s="11">
        <f t="shared" si="1096"/>
        <v>0</v>
      </c>
      <c r="P7027" s="12">
        <f t="shared" si="1097"/>
        <v>0</v>
      </c>
      <c r="Q7027" s="17" t="str">
        <f t="shared" si="1099"/>
        <v>Pas d'écart</v>
      </c>
    </row>
    <row r="7028" spans="1:18" x14ac:dyDescent="0.3">
      <c r="A7028" s="34" t="str">
        <f>base!J7028</f>
        <v>LM</v>
      </c>
      <c r="B7028" s="34" t="str">
        <f>base!V7028</f>
        <v>14000</v>
      </c>
      <c r="C7028" s="37">
        <v>29</v>
      </c>
      <c r="D7028" s="36">
        <f>base!H7028</f>
        <v>156.57</v>
      </c>
      <c r="E7028" s="44"/>
      <c r="F7028" s="16">
        <f>base!W7028</f>
        <v>26.62</v>
      </c>
      <c r="G7028" s="11">
        <f t="shared" si="1090"/>
        <v>0.17001979945072493</v>
      </c>
      <c r="H7028" s="11">
        <f t="shared" si="1091"/>
        <v>61.0623</v>
      </c>
      <c r="I7028" s="11">
        <f t="shared" si="1092"/>
        <v>0.39</v>
      </c>
      <c r="J7028" s="12">
        <f t="shared" si="1093"/>
        <v>-34.442300000000003</v>
      </c>
      <c r="K7028" s="17" t="str">
        <f t="shared" si="1098"/>
        <v>Ecart négatif</v>
      </c>
      <c r="L7028" s="16">
        <f>base!X7028</f>
        <v>0</v>
      </c>
      <c r="M7028" s="11">
        <f t="shared" si="1094"/>
        <v>0</v>
      </c>
      <c r="N7028" s="11">
        <f t="shared" si="1095"/>
        <v>18.788399999999999</v>
      </c>
      <c r="O7028" s="11">
        <f t="shared" si="1096"/>
        <v>0.12</v>
      </c>
      <c r="P7028" s="12">
        <f t="shared" si="1097"/>
        <v>-18.788399999999999</v>
      </c>
      <c r="Q7028" s="17" t="str">
        <f t="shared" si="1099"/>
        <v>Ecart négatif</v>
      </c>
    </row>
    <row r="7029" spans="1:18" x14ac:dyDescent="0.3">
      <c r="A7029" s="34">
        <f>base!J7029</f>
        <v>0</v>
      </c>
      <c r="B7029" s="34" t="str">
        <f>base!V7029</f>
        <v>77184</v>
      </c>
      <c r="C7029" s="37">
        <v>77</v>
      </c>
      <c r="D7029" s="36">
        <f>base!H7029</f>
        <v>192.65</v>
      </c>
      <c r="E7029" s="44"/>
      <c r="F7029" s="16">
        <f>base!W7029</f>
        <v>0</v>
      </c>
      <c r="G7029" s="11">
        <f t="shared" si="1090"/>
        <v>0</v>
      </c>
      <c r="H7029" s="11">
        <f t="shared" si="1091"/>
        <v>0</v>
      </c>
      <c r="I7029" s="11">
        <f t="shared" si="1092"/>
        <v>0</v>
      </c>
      <c r="J7029" s="12">
        <f t="shared" si="1093"/>
        <v>0</v>
      </c>
      <c r="K7029" s="17" t="str">
        <f t="shared" si="1098"/>
        <v>Pas d'écart</v>
      </c>
      <c r="L7029" s="16">
        <f>base!X7029</f>
        <v>0</v>
      </c>
      <c r="M7029" s="11">
        <f t="shared" si="1094"/>
        <v>0</v>
      </c>
      <c r="N7029" s="11">
        <f t="shared" si="1095"/>
        <v>0</v>
      </c>
      <c r="O7029" s="11">
        <f t="shared" si="1096"/>
        <v>0</v>
      </c>
      <c r="P7029" s="12">
        <f t="shared" si="1097"/>
        <v>0</v>
      </c>
      <c r="Q7029" s="17" t="str">
        <f t="shared" si="1099"/>
        <v>Pas d'écart</v>
      </c>
    </row>
    <row r="7030" spans="1:18" x14ac:dyDescent="0.3">
      <c r="A7030" s="34" t="str">
        <f>base!J7030</f>
        <v>RS</v>
      </c>
      <c r="B7030" s="34" t="str">
        <f>base!V7030</f>
        <v>06000</v>
      </c>
      <c r="C7030" s="37">
        <v>6</v>
      </c>
      <c r="D7030" s="36">
        <f>base!H7030</f>
        <v>40</v>
      </c>
      <c r="E7030" s="44"/>
      <c r="F7030" s="16">
        <f>base!W7030</f>
        <v>0</v>
      </c>
      <c r="G7030" s="11">
        <f t="shared" si="1090"/>
        <v>0</v>
      </c>
      <c r="H7030" s="11">
        <f t="shared" si="1091"/>
        <v>12</v>
      </c>
      <c r="I7030" s="11">
        <f t="shared" si="1092"/>
        <v>0.3</v>
      </c>
      <c r="J7030" s="12">
        <f t="shared" si="1093"/>
        <v>-12</v>
      </c>
      <c r="K7030" s="17" t="str">
        <f t="shared" si="1098"/>
        <v>Ecart négatif</v>
      </c>
      <c r="L7030" s="16">
        <f>base!X7030</f>
        <v>8.4</v>
      </c>
      <c r="M7030" s="11">
        <f t="shared" si="1094"/>
        <v>0.21000000000000002</v>
      </c>
      <c r="N7030" s="11">
        <f t="shared" si="1095"/>
        <v>8.4</v>
      </c>
      <c r="O7030" s="11">
        <f t="shared" si="1096"/>
        <v>0.21000000000000002</v>
      </c>
      <c r="P7030" s="12">
        <f t="shared" si="1097"/>
        <v>0</v>
      </c>
      <c r="Q7030" s="17" t="str">
        <f t="shared" si="1099"/>
        <v>Pas d'écart</v>
      </c>
      <c r="R7030" s="38"/>
    </row>
    <row r="7031" spans="1:18" x14ac:dyDescent="0.3">
      <c r="A7031" s="34" t="str">
        <f>base!J7031</f>
        <v>LS</v>
      </c>
      <c r="B7031" s="34" t="str">
        <f>base!V7031</f>
        <v>13100</v>
      </c>
      <c r="C7031" s="37">
        <v>34</v>
      </c>
      <c r="D7031" s="36">
        <f>base!H7031</f>
        <v>181</v>
      </c>
      <c r="E7031" s="44"/>
      <c r="F7031" s="16">
        <f>base!W7031</f>
        <v>52.49</v>
      </c>
      <c r="G7031" s="11">
        <f t="shared" si="1090"/>
        <v>0.29000000000000004</v>
      </c>
      <c r="H7031" s="11">
        <f t="shared" si="1091"/>
        <v>70.59</v>
      </c>
      <c r="I7031" s="11">
        <f t="shared" si="1092"/>
        <v>0.39</v>
      </c>
      <c r="J7031" s="12">
        <f t="shared" si="1093"/>
        <v>-18.100000000000001</v>
      </c>
      <c r="K7031" s="17" t="str">
        <f t="shared" si="1098"/>
        <v>Ecart négatif</v>
      </c>
      <c r="L7031" s="16">
        <f>base!X7031</f>
        <v>0</v>
      </c>
      <c r="M7031" s="11">
        <f t="shared" si="1094"/>
        <v>0</v>
      </c>
      <c r="N7031" s="11">
        <f t="shared" si="1095"/>
        <v>50.680000000000007</v>
      </c>
      <c r="O7031" s="11">
        <f t="shared" si="1096"/>
        <v>0.28000000000000003</v>
      </c>
      <c r="P7031" s="12">
        <f t="shared" si="1097"/>
        <v>-50.680000000000007</v>
      </c>
      <c r="Q7031" s="17" t="str">
        <f t="shared" si="1099"/>
        <v>Ecart négatif</v>
      </c>
    </row>
    <row r="7032" spans="1:18" x14ac:dyDescent="0.3">
      <c r="A7032" s="34" t="str">
        <f>base!J7032</f>
        <v>LS</v>
      </c>
      <c r="B7032" s="34" t="str">
        <f>base!V7032</f>
        <v>45000</v>
      </c>
      <c r="C7032" s="37">
        <v>34</v>
      </c>
      <c r="D7032" s="36">
        <f>base!H7032</f>
        <v>55.34</v>
      </c>
      <c r="E7032" s="44"/>
      <c r="F7032" s="16">
        <f>base!W7032</f>
        <v>11.62</v>
      </c>
      <c r="G7032" s="11">
        <f t="shared" si="1090"/>
        <v>0.2099747018431514</v>
      </c>
      <c r="H7032" s="11">
        <f t="shared" si="1091"/>
        <v>21.582600000000003</v>
      </c>
      <c r="I7032" s="11">
        <f t="shared" si="1092"/>
        <v>0.39</v>
      </c>
      <c r="J7032" s="12">
        <f t="shared" si="1093"/>
        <v>-9.9626000000000037</v>
      </c>
      <c r="K7032" s="17" t="str">
        <f t="shared" si="1098"/>
        <v>Ecart négatif</v>
      </c>
      <c r="L7032" s="16">
        <f>base!X7032</f>
        <v>0</v>
      </c>
      <c r="M7032" s="11">
        <f t="shared" si="1094"/>
        <v>0</v>
      </c>
      <c r="N7032" s="11">
        <f t="shared" si="1095"/>
        <v>15.495200000000002</v>
      </c>
      <c r="O7032" s="11">
        <f t="shared" si="1096"/>
        <v>0.28000000000000003</v>
      </c>
      <c r="P7032" s="12">
        <f t="shared" si="1097"/>
        <v>-15.495200000000002</v>
      </c>
      <c r="Q7032" s="17" t="str">
        <f t="shared" si="1099"/>
        <v>Ecart négatif</v>
      </c>
    </row>
    <row r="7033" spans="1:18" x14ac:dyDescent="0.3">
      <c r="A7033" s="34">
        <f>base!J7033</f>
        <v>0</v>
      </c>
      <c r="B7033" s="34" t="str">
        <f>base!V7033</f>
        <v>77184</v>
      </c>
      <c r="C7033" s="37">
        <v>77</v>
      </c>
      <c r="D7033" s="36">
        <f>base!H7033</f>
        <v>53.8</v>
      </c>
      <c r="E7033" s="44"/>
      <c r="F7033" s="16">
        <f>base!W7033</f>
        <v>0</v>
      </c>
      <c r="G7033" s="11">
        <f t="shared" si="1090"/>
        <v>0</v>
      </c>
      <c r="H7033" s="11">
        <f t="shared" si="1091"/>
        <v>0</v>
      </c>
      <c r="I7033" s="11">
        <f t="shared" si="1092"/>
        <v>0</v>
      </c>
      <c r="J7033" s="12">
        <f t="shared" si="1093"/>
        <v>0</v>
      </c>
      <c r="K7033" s="17" t="str">
        <f t="shared" si="1098"/>
        <v>Pas d'écart</v>
      </c>
      <c r="L7033" s="16">
        <f>base!X7033</f>
        <v>0</v>
      </c>
      <c r="M7033" s="11">
        <f t="shared" si="1094"/>
        <v>0</v>
      </c>
      <c r="N7033" s="11">
        <f t="shared" si="1095"/>
        <v>0</v>
      </c>
      <c r="O7033" s="11">
        <f t="shared" si="1096"/>
        <v>0</v>
      </c>
      <c r="P7033" s="12">
        <f t="shared" si="1097"/>
        <v>0</v>
      </c>
      <c r="Q7033" s="17" t="str">
        <f t="shared" si="1099"/>
        <v>Pas d'écart</v>
      </c>
    </row>
    <row r="7034" spans="1:18" x14ac:dyDescent="0.3">
      <c r="A7034" s="34">
        <f>base!J7034</f>
        <v>0</v>
      </c>
      <c r="B7034" s="34" t="str">
        <f>base!V7034</f>
        <v>77184</v>
      </c>
      <c r="C7034" s="37">
        <v>77</v>
      </c>
      <c r="D7034" s="36">
        <f>base!H7034</f>
        <v>20</v>
      </c>
      <c r="E7034" s="44"/>
      <c r="F7034" s="16">
        <f>base!W7034</f>
        <v>0</v>
      </c>
      <c r="G7034" s="11">
        <f t="shared" si="1090"/>
        <v>0</v>
      </c>
      <c r="H7034" s="11">
        <f t="shared" si="1091"/>
        <v>0</v>
      </c>
      <c r="I7034" s="11">
        <f t="shared" si="1092"/>
        <v>0</v>
      </c>
      <c r="J7034" s="12">
        <f t="shared" si="1093"/>
        <v>0</v>
      </c>
      <c r="K7034" s="17" t="str">
        <f t="shared" si="1098"/>
        <v>Pas d'écart</v>
      </c>
      <c r="L7034" s="16">
        <f>base!X7034</f>
        <v>0</v>
      </c>
      <c r="M7034" s="11">
        <f t="shared" si="1094"/>
        <v>0</v>
      </c>
      <c r="N7034" s="11">
        <f t="shared" si="1095"/>
        <v>0</v>
      </c>
      <c r="O7034" s="11">
        <f t="shared" si="1096"/>
        <v>0</v>
      </c>
      <c r="P7034" s="12">
        <f t="shared" si="1097"/>
        <v>0</v>
      </c>
      <c r="Q7034" s="17" t="str">
        <f t="shared" si="1099"/>
        <v>Pas d'écart</v>
      </c>
    </row>
    <row r="7035" spans="1:18" x14ac:dyDescent="0.3">
      <c r="A7035" s="34">
        <f>base!J7035</f>
        <v>0</v>
      </c>
      <c r="B7035" s="34" t="str">
        <f>base!V7035</f>
        <v>77184</v>
      </c>
      <c r="C7035" s="37">
        <v>77</v>
      </c>
      <c r="D7035" s="36">
        <f>base!H7035</f>
        <v>32.65</v>
      </c>
      <c r="E7035" s="44"/>
      <c r="F7035" s="16">
        <f>base!W7035</f>
        <v>0</v>
      </c>
      <c r="G7035" s="11">
        <f t="shared" si="1090"/>
        <v>0</v>
      </c>
      <c r="H7035" s="11">
        <f t="shared" si="1091"/>
        <v>0</v>
      </c>
      <c r="I7035" s="11">
        <f t="shared" si="1092"/>
        <v>0</v>
      </c>
      <c r="J7035" s="12">
        <f t="shared" si="1093"/>
        <v>0</v>
      </c>
      <c r="K7035" s="17" t="str">
        <f t="shared" si="1098"/>
        <v>Pas d'écart</v>
      </c>
      <c r="L7035" s="16">
        <f>base!X7035</f>
        <v>0</v>
      </c>
      <c r="M7035" s="11">
        <f t="shared" si="1094"/>
        <v>0</v>
      </c>
      <c r="N7035" s="11">
        <f t="shared" si="1095"/>
        <v>0</v>
      </c>
      <c r="O7035" s="11">
        <f t="shared" si="1096"/>
        <v>0</v>
      </c>
      <c r="P7035" s="12">
        <f t="shared" si="1097"/>
        <v>0</v>
      </c>
      <c r="Q7035" s="17" t="str">
        <f t="shared" si="1099"/>
        <v>Pas d'écart</v>
      </c>
    </row>
    <row r="7036" spans="1:18" x14ac:dyDescent="0.3">
      <c r="A7036" s="34">
        <f>base!J7036</f>
        <v>0</v>
      </c>
      <c r="B7036" s="34" t="str">
        <f>base!V7036</f>
        <v>77184</v>
      </c>
      <c r="C7036" s="37">
        <v>77</v>
      </c>
      <c r="D7036" s="36">
        <f>base!H7036</f>
        <v>26</v>
      </c>
      <c r="E7036" s="44"/>
      <c r="F7036" s="16">
        <f>base!W7036</f>
        <v>0</v>
      </c>
      <c r="G7036" s="11">
        <f t="shared" si="1090"/>
        <v>0</v>
      </c>
      <c r="H7036" s="11">
        <f t="shared" si="1091"/>
        <v>0</v>
      </c>
      <c r="I7036" s="11">
        <f t="shared" si="1092"/>
        <v>0</v>
      </c>
      <c r="J7036" s="12">
        <f t="shared" si="1093"/>
        <v>0</v>
      </c>
      <c r="K7036" s="17" t="str">
        <f t="shared" si="1098"/>
        <v>Pas d'écart</v>
      </c>
      <c r="L7036" s="16">
        <f>base!X7036</f>
        <v>0</v>
      </c>
      <c r="M7036" s="11">
        <f t="shared" si="1094"/>
        <v>0</v>
      </c>
      <c r="N7036" s="11">
        <f t="shared" si="1095"/>
        <v>0</v>
      </c>
      <c r="O7036" s="11">
        <f t="shared" si="1096"/>
        <v>0</v>
      </c>
      <c r="P7036" s="12">
        <f t="shared" si="1097"/>
        <v>0</v>
      </c>
      <c r="Q7036" s="17" t="str">
        <f t="shared" si="1099"/>
        <v>Pas d'écart</v>
      </c>
    </row>
    <row r="7037" spans="1:18" x14ac:dyDescent="0.3">
      <c r="A7037" s="34" t="str">
        <f>base!J7037</f>
        <v>LS</v>
      </c>
      <c r="B7037" s="34" t="str">
        <f>base!V7037</f>
        <v>59493</v>
      </c>
      <c r="C7037" s="37">
        <v>66</v>
      </c>
      <c r="D7037" s="36">
        <f>base!H7037</f>
        <v>160.97999999999999</v>
      </c>
      <c r="E7037" s="44"/>
      <c r="F7037" s="16">
        <f>base!W7037</f>
        <v>30.59</v>
      </c>
      <c r="G7037" s="11">
        <f t="shared" si="1090"/>
        <v>0.19002360541682198</v>
      </c>
      <c r="H7037" s="11">
        <f t="shared" si="1091"/>
        <v>54.733200000000004</v>
      </c>
      <c r="I7037" s="11">
        <f t="shared" si="1092"/>
        <v>0.34</v>
      </c>
      <c r="J7037" s="12">
        <f t="shared" si="1093"/>
        <v>-24.143200000000004</v>
      </c>
      <c r="K7037" s="17" t="str">
        <f t="shared" si="1098"/>
        <v>Ecart négatif</v>
      </c>
      <c r="L7037" s="16">
        <f>base!X7037</f>
        <v>0</v>
      </c>
      <c r="M7037" s="11">
        <f t="shared" si="1094"/>
        <v>0</v>
      </c>
      <c r="N7037" s="11">
        <f t="shared" si="1095"/>
        <v>45.074400000000004</v>
      </c>
      <c r="O7037" s="11">
        <f t="shared" si="1096"/>
        <v>0.28000000000000003</v>
      </c>
      <c r="P7037" s="12">
        <f t="shared" si="1097"/>
        <v>-45.074400000000004</v>
      </c>
      <c r="Q7037" s="17" t="str">
        <f t="shared" si="1099"/>
        <v>Ecart négatif</v>
      </c>
    </row>
    <row r="7038" spans="1:18" x14ac:dyDescent="0.3">
      <c r="A7038" s="34" t="str">
        <f>base!J7038</f>
        <v>LS</v>
      </c>
      <c r="B7038" s="34" t="str">
        <f>base!V7038</f>
        <v>22190</v>
      </c>
      <c r="C7038" s="37">
        <v>22</v>
      </c>
      <c r="D7038" s="36">
        <f>base!H7038</f>
        <v>18.350000000000001</v>
      </c>
      <c r="E7038" s="44"/>
      <c r="F7038" s="16">
        <f>base!W7038</f>
        <v>7.16</v>
      </c>
      <c r="G7038" s="11">
        <f t="shared" si="1090"/>
        <v>0.39019073569482288</v>
      </c>
      <c r="H7038" s="11">
        <f t="shared" si="1091"/>
        <v>6.9730000000000008</v>
      </c>
      <c r="I7038" s="11">
        <f t="shared" si="1092"/>
        <v>0.38</v>
      </c>
      <c r="J7038" s="12">
        <f t="shared" si="1093"/>
        <v>0.18699999999999939</v>
      </c>
      <c r="K7038" s="17" t="str">
        <f t="shared" si="1098"/>
        <v>Ecart positif</v>
      </c>
      <c r="L7038" s="16">
        <f>base!X7038</f>
        <v>0</v>
      </c>
      <c r="M7038" s="11">
        <f t="shared" si="1094"/>
        <v>0</v>
      </c>
      <c r="N7038" s="11">
        <f t="shared" si="1095"/>
        <v>2.202</v>
      </c>
      <c r="O7038" s="11">
        <f t="shared" si="1096"/>
        <v>0.11999999999999998</v>
      </c>
      <c r="P7038" s="12">
        <f t="shared" si="1097"/>
        <v>-2.202</v>
      </c>
      <c r="Q7038" s="17" t="str">
        <f t="shared" si="1099"/>
        <v>Ecart négatif</v>
      </c>
    </row>
    <row r="7039" spans="1:18" x14ac:dyDescent="0.3">
      <c r="A7039" s="34" t="str">
        <f>base!J7039</f>
        <v>RM</v>
      </c>
      <c r="B7039" s="34" t="str">
        <f>base!V7039</f>
        <v>54000</v>
      </c>
      <c r="C7039" s="37">
        <v>54</v>
      </c>
      <c r="D7039" s="36">
        <f>base!H7039</f>
        <v>400</v>
      </c>
      <c r="E7039" s="44"/>
      <c r="F7039" s="16">
        <f>base!W7039</f>
        <v>0</v>
      </c>
      <c r="G7039" s="11">
        <f t="shared" si="1090"/>
        <v>0</v>
      </c>
      <c r="H7039" s="11">
        <f t="shared" si="1091"/>
        <v>100</v>
      </c>
      <c r="I7039" s="11">
        <f t="shared" si="1092"/>
        <v>0.25</v>
      </c>
      <c r="J7039" s="12">
        <f t="shared" si="1093"/>
        <v>-100</v>
      </c>
      <c r="K7039" s="17" t="str">
        <f t="shared" si="1098"/>
        <v>Ecart négatif</v>
      </c>
      <c r="L7039" s="16">
        <f>base!X7039</f>
        <v>100</v>
      </c>
      <c r="M7039" s="11">
        <f t="shared" si="1094"/>
        <v>0.25</v>
      </c>
      <c r="N7039" s="11">
        <f t="shared" si="1095"/>
        <v>100</v>
      </c>
      <c r="O7039" s="11">
        <f t="shared" si="1096"/>
        <v>0.25</v>
      </c>
      <c r="P7039" s="12">
        <f t="shared" si="1097"/>
        <v>0</v>
      </c>
      <c r="Q7039" s="17" t="str">
        <f t="shared" si="1099"/>
        <v>Pas d'écart</v>
      </c>
    </row>
    <row r="7040" spans="1:18" x14ac:dyDescent="0.3">
      <c r="A7040" s="34" t="str">
        <f>base!J7040</f>
        <v>LM</v>
      </c>
      <c r="B7040" s="34" t="str">
        <f>base!V7040</f>
        <v>06560</v>
      </c>
      <c r="C7040" s="37">
        <v>22</v>
      </c>
      <c r="D7040" s="36">
        <f>base!H7040</f>
        <v>19.89</v>
      </c>
      <c r="E7040" s="44"/>
      <c r="F7040" s="16">
        <f>base!W7040</f>
        <v>5.97</v>
      </c>
      <c r="G7040" s="11">
        <f t="shared" si="1090"/>
        <v>0.30015082956259426</v>
      </c>
      <c r="H7040" s="11">
        <f t="shared" si="1091"/>
        <v>7.5582000000000003</v>
      </c>
      <c r="I7040" s="11">
        <f t="shared" si="1092"/>
        <v>0.38</v>
      </c>
      <c r="J7040" s="12">
        <f t="shared" si="1093"/>
        <v>-1.5882000000000005</v>
      </c>
      <c r="K7040" s="17" t="str">
        <f t="shared" si="1098"/>
        <v>Ecart négatif</v>
      </c>
      <c r="L7040" s="16">
        <f>base!X7040</f>
        <v>0</v>
      </c>
      <c r="M7040" s="11">
        <f t="shared" si="1094"/>
        <v>0</v>
      </c>
      <c r="N7040" s="11">
        <f t="shared" si="1095"/>
        <v>2.3868</v>
      </c>
      <c r="O7040" s="11">
        <f t="shared" si="1096"/>
        <v>0.12</v>
      </c>
      <c r="P7040" s="12">
        <f t="shared" si="1097"/>
        <v>-2.3868</v>
      </c>
      <c r="Q7040" s="17" t="str">
        <f t="shared" si="1099"/>
        <v>Ecart négatif</v>
      </c>
    </row>
    <row r="7041" spans="1:18" x14ac:dyDescent="0.3">
      <c r="A7041" s="34" t="str">
        <f>base!J7041</f>
        <v>LM</v>
      </c>
      <c r="B7041" s="34" t="str">
        <f>base!V7041</f>
        <v>75006</v>
      </c>
      <c r="C7041" s="37">
        <v>75</v>
      </c>
      <c r="D7041" s="36">
        <f>base!H7041</f>
        <v>69.599999999999994</v>
      </c>
      <c r="E7041" s="44"/>
      <c r="F7041" s="16">
        <f>base!W7041</f>
        <v>0</v>
      </c>
      <c r="G7041" s="11">
        <f t="shared" si="1090"/>
        <v>0</v>
      </c>
      <c r="H7041" s="11">
        <f t="shared" si="1091"/>
        <v>0</v>
      </c>
      <c r="I7041" s="11">
        <f t="shared" si="1092"/>
        <v>0</v>
      </c>
      <c r="J7041" s="12">
        <f t="shared" si="1093"/>
        <v>0</v>
      </c>
      <c r="K7041" s="17" t="str">
        <f t="shared" si="1098"/>
        <v>Pas d'écart</v>
      </c>
      <c r="L7041" s="16">
        <f>base!X7041</f>
        <v>0</v>
      </c>
      <c r="M7041" s="11">
        <f t="shared" si="1094"/>
        <v>0</v>
      </c>
      <c r="N7041" s="11">
        <f t="shared" si="1095"/>
        <v>0</v>
      </c>
      <c r="O7041" s="11">
        <f t="shared" si="1096"/>
        <v>0</v>
      </c>
      <c r="P7041" s="12">
        <f t="shared" si="1097"/>
        <v>0</v>
      </c>
      <c r="Q7041" s="17" t="str">
        <f t="shared" si="1099"/>
        <v>Pas d'écart</v>
      </c>
    </row>
    <row r="7042" spans="1:18" x14ac:dyDescent="0.3">
      <c r="A7042" s="34" t="str">
        <f>base!J7042</f>
        <v>LS</v>
      </c>
      <c r="B7042" s="34" t="str">
        <f>base!V7042</f>
        <v>13117</v>
      </c>
      <c r="C7042" s="37">
        <v>22</v>
      </c>
      <c r="D7042" s="36">
        <f>base!H7042</f>
        <v>180.98</v>
      </c>
      <c r="E7042" s="44"/>
      <c r="F7042" s="16">
        <f>base!W7042</f>
        <v>52.48</v>
      </c>
      <c r="G7042" s="11">
        <f t="shared" ref="G7042:G7105" si="1100">F7042/D7042</f>
        <v>0.28997679301580287</v>
      </c>
      <c r="H7042" s="11">
        <f t="shared" ref="H7042:H7105" si="1101">VLOOKUP(C7042,tout_cout_traction,2,FALSE)*D7042</f>
        <v>68.77239999999999</v>
      </c>
      <c r="I7042" s="11">
        <f t="shared" ref="I7042:I7105" si="1102">H7042/D7042</f>
        <v>0.37999999999999995</v>
      </c>
      <c r="J7042" s="12">
        <f t="shared" ref="J7042:J7105" si="1103">F7042-H7042</f>
        <v>-16.292399999999994</v>
      </c>
      <c r="K7042" s="17" t="str">
        <f t="shared" si="1098"/>
        <v>Ecart négatif</v>
      </c>
      <c r="L7042" s="16">
        <f>base!X7042</f>
        <v>0</v>
      </c>
      <c r="M7042" s="11">
        <f t="shared" ref="M7042:M7105" si="1104">L7042/D7042</f>
        <v>0</v>
      </c>
      <c r="N7042" s="11">
        <f t="shared" ref="N7042:N7105" si="1105">VLOOKUP(C7042,tout_cout_traction,3,FALSE)*D7042</f>
        <v>21.717599999999997</v>
      </c>
      <c r="O7042" s="11">
        <f t="shared" ref="O7042:O7105" si="1106">N7042/D7042</f>
        <v>0.12</v>
      </c>
      <c r="P7042" s="12">
        <f t="shared" ref="P7042:P7105" si="1107">L7042-N7042</f>
        <v>-21.717599999999997</v>
      </c>
      <c r="Q7042" s="17" t="str">
        <f t="shared" si="1099"/>
        <v>Ecart négatif</v>
      </c>
    </row>
    <row r="7043" spans="1:18" x14ac:dyDescent="0.3">
      <c r="A7043" s="34" t="str">
        <f>base!J7043</f>
        <v>LS</v>
      </c>
      <c r="B7043" s="34" t="str">
        <f>base!V7043</f>
        <v>16120</v>
      </c>
      <c r="C7043" s="37">
        <v>22</v>
      </c>
      <c r="D7043" s="36">
        <f>base!H7043</f>
        <v>425.78</v>
      </c>
      <c r="E7043" s="44"/>
      <c r="F7043" s="16">
        <f>base!W7043</f>
        <v>89.41</v>
      </c>
      <c r="G7043" s="11">
        <f t="shared" si="1100"/>
        <v>0.20999107520315657</v>
      </c>
      <c r="H7043" s="11">
        <f t="shared" si="1101"/>
        <v>161.79640000000001</v>
      </c>
      <c r="I7043" s="11">
        <f t="shared" si="1102"/>
        <v>0.38000000000000006</v>
      </c>
      <c r="J7043" s="12">
        <f t="shared" si="1103"/>
        <v>-72.386400000000009</v>
      </c>
      <c r="K7043" s="17" t="str">
        <f t="shared" ref="K7043:K7106" si="1108">IF(H7043=F7043,"Pas d'écart",IF(H7043&lt;F7043,"Ecart positif",IF(H7043&gt;F7043,"Ecart négatif")))</f>
        <v>Ecart négatif</v>
      </c>
      <c r="L7043" s="16">
        <f>base!X7043</f>
        <v>0</v>
      </c>
      <c r="M7043" s="11">
        <f t="shared" si="1104"/>
        <v>0</v>
      </c>
      <c r="N7043" s="11">
        <f t="shared" si="1105"/>
        <v>51.093599999999995</v>
      </c>
      <c r="O7043" s="11">
        <f t="shared" si="1106"/>
        <v>0.12</v>
      </c>
      <c r="P7043" s="12">
        <f t="shared" si="1107"/>
        <v>-51.093599999999995</v>
      </c>
      <c r="Q7043" s="17" t="str">
        <f t="shared" ref="Q7043:Q7106" si="1109">IF(N7043=L7043,"Pas d'écart",IF(N7043&lt;L7043,"Ecart positif",IF(N7043&gt;L7043,"Ecart négatif")))</f>
        <v>Ecart négatif</v>
      </c>
    </row>
    <row r="7044" spans="1:18" x14ac:dyDescent="0.3">
      <c r="A7044" s="34" t="str">
        <f>base!J7044</f>
        <v>RS</v>
      </c>
      <c r="B7044" s="34" t="str">
        <f>base!V7044</f>
        <v>91630</v>
      </c>
      <c r="C7044" s="37">
        <v>91</v>
      </c>
      <c r="D7044" s="36">
        <f>base!H7044</f>
        <v>250</v>
      </c>
      <c r="E7044" s="44"/>
      <c r="F7044" s="16">
        <f>base!W7044</f>
        <v>0</v>
      </c>
      <c r="G7044" s="11">
        <f t="shared" si="1100"/>
        <v>0</v>
      </c>
      <c r="H7044" s="11">
        <f t="shared" si="1101"/>
        <v>0</v>
      </c>
      <c r="I7044" s="11">
        <f t="shared" si="1102"/>
        <v>0</v>
      </c>
      <c r="J7044" s="12">
        <f t="shared" si="1103"/>
        <v>0</v>
      </c>
      <c r="K7044" s="17" t="str">
        <f t="shared" si="1108"/>
        <v>Pas d'écart</v>
      </c>
      <c r="L7044" s="16">
        <f>base!X7044</f>
        <v>0</v>
      </c>
      <c r="M7044" s="11">
        <f t="shared" si="1104"/>
        <v>0</v>
      </c>
      <c r="N7044" s="11">
        <f t="shared" si="1105"/>
        <v>0</v>
      </c>
      <c r="O7044" s="11">
        <f t="shared" si="1106"/>
        <v>0</v>
      </c>
      <c r="P7044" s="12">
        <f t="shared" si="1107"/>
        <v>0</v>
      </c>
      <c r="Q7044" s="17" t="str">
        <f t="shared" si="1109"/>
        <v>Pas d'écart</v>
      </c>
    </row>
    <row r="7045" spans="1:18" x14ac:dyDescent="0.3">
      <c r="A7045" s="34" t="str">
        <f>base!J7045</f>
        <v>RS</v>
      </c>
      <c r="B7045" s="34" t="str">
        <f>base!V7045</f>
        <v>35000</v>
      </c>
      <c r="C7045" s="37">
        <v>35</v>
      </c>
      <c r="D7045" s="36">
        <f>base!H7045</f>
        <v>70</v>
      </c>
      <c r="E7045" s="44"/>
      <c r="F7045" s="16">
        <f>base!W7045</f>
        <v>0</v>
      </c>
      <c r="G7045" s="11">
        <f t="shared" si="1100"/>
        <v>0</v>
      </c>
      <c r="H7045" s="11">
        <f t="shared" si="1101"/>
        <v>18.900000000000002</v>
      </c>
      <c r="I7045" s="11">
        <f t="shared" si="1102"/>
        <v>0.27</v>
      </c>
      <c r="J7045" s="12">
        <f t="shared" si="1103"/>
        <v>-18.900000000000002</v>
      </c>
      <c r="K7045" s="17" t="str">
        <f t="shared" si="1108"/>
        <v>Ecart négatif</v>
      </c>
      <c r="L7045" s="16">
        <f>base!X7045</f>
        <v>0</v>
      </c>
      <c r="M7045" s="11">
        <f t="shared" si="1104"/>
        <v>0</v>
      </c>
      <c r="N7045" s="11">
        <f t="shared" si="1105"/>
        <v>0</v>
      </c>
      <c r="O7045" s="11">
        <f t="shared" si="1106"/>
        <v>0</v>
      </c>
      <c r="P7045" s="12">
        <f t="shared" si="1107"/>
        <v>0</v>
      </c>
      <c r="Q7045" s="17" t="str">
        <f t="shared" si="1109"/>
        <v>Pas d'écart</v>
      </c>
    </row>
    <row r="7046" spans="1:18" x14ac:dyDescent="0.3">
      <c r="A7046" s="34" t="str">
        <f>base!J7046</f>
        <v>LM</v>
      </c>
      <c r="B7046" s="34" t="str">
        <f>base!V7046</f>
        <v>44115</v>
      </c>
      <c r="C7046" s="37">
        <v>22</v>
      </c>
      <c r="D7046" s="36">
        <f>base!H7046</f>
        <v>183.98</v>
      </c>
      <c r="E7046" s="44"/>
      <c r="F7046" s="16">
        <f>base!W7046</f>
        <v>49.67</v>
      </c>
      <c r="G7046" s="11">
        <f t="shared" si="1100"/>
        <v>0.26997499728231333</v>
      </c>
      <c r="H7046" s="11">
        <f t="shared" si="1101"/>
        <v>69.912399999999991</v>
      </c>
      <c r="I7046" s="11">
        <f t="shared" si="1102"/>
        <v>0.37999999999999995</v>
      </c>
      <c r="J7046" s="12">
        <f t="shared" si="1103"/>
        <v>-20.242399999999989</v>
      </c>
      <c r="K7046" s="17" t="str">
        <f t="shared" si="1108"/>
        <v>Ecart négatif</v>
      </c>
      <c r="L7046" s="16">
        <f>base!X7046</f>
        <v>0</v>
      </c>
      <c r="M7046" s="11">
        <f t="shared" si="1104"/>
        <v>0</v>
      </c>
      <c r="N7046" s="11">
        <f t="shared" si="1105"/>
        <v>22.077599999999997</v>
      </c>
      <c r="O7046" s="11">
        <f t="shared" si="1106"/>
        <v>0.12</v>
      </c>
      <c r="P7046" s="12">
        <f t="shared" si="1107"/>
        <v>-22.077599999999997</v>
      </c>
      <c r="Q7046" s="17" t="str">
        <f t="shared" si="1109"/>
        <v>Ecart négatif</v>
      </c>
    </row>
    <row r="7047" spans="1:18" x14ac:dyDescent="0.3">
      <c r="A7047" s="34" t="str">
        <f>base!J7047</f>
        <v>RS</v>
      </c>
      <c r="B7047" s="34" t="str">
        <f>base!V7047</f>
        <v>14150</v>
      </c>
      <c r="C7047" s="37">
        <v>14</v>
      </c>
      <c r="D7047" s="36">
        <f>base!H7047</f>
        <v>250</v>
      </c>
      <c r="E7047" s="44"/>
      <c r="F7047" s="16">
        <f>base!W7047</f>
        <v>0</v>
      </c>
      <c r="G7047" s="11">
        <f t="shared" si="1100"/>
        <v>0</v>
      </c>
      <c r="H7047" s="11">
        <f t="shared" si="1101"/>
        <v>42.5</v>
      </c>
      <c r="I7047" s="11">
        <f t="shared" si="1102"/>
        <v>0.17</v>
      </c>
      <c r="J7047" s="12">
        <f t="shared" si="1103"/>
        <v>-42.5</v>
      </c>
      <c r="K7047" s="17" t="str">
        <f t="shared" si="1108"/>
        <v>Ecart négatif</v>
      </c>
      <c r="L7047" s="16">
        <f>base!X7047</f>
        <v>0</v>
      </c>
      <c r="M7047" s="11">
        <f t="shared" si="1104"/>
        <v>0</v>
      </c>
      <c r="N7047" s="11">
        <f t="shared" si="1105"/>
        <v>42.5</v>
      </c>
      <c r="O7047" s="11">
        <f t="shared" si="1106"/>
        <v>0.17</v>
      </c>
      <c r="P7047" s="12">
        <f t="shared" si="1107"/>
        <v>-42.5</v>
      </c>
      <c r="Q7047" s="17" t="str">
        <f t="shared" si="1109"/>
        <v>Ecart négatif</v>
      </c>
    </row>
    <row r="7048" spans="1:18" x14ac:dyDescent="0.3">
      <c r="A7048" s="34" t="str">
        <f>base!J7048</f>
        <v>LS</v>
      </c>
      <c r="B7048" s="34" t="str">
        <f>base!V7048</f>
        <v>67230</v>
      </c>
      <c r="C7048" s="37">
        <v>22</v>
      </c>
      <c r="D7048" s="36">
        <f>base!H7048</f>
        <v>126.65</v>
      </c>
      <c r="E7048" s="44"/>
      <c r="F7048" s="16">
        <f>base!W7048</f>
        <v>36.729999999999997</v>
      </c>
      <c r="G7048" s="11">
        <f t="shared" si="1100"/>
        <v>0.29001184366363991</v>
      </c>
      <c r="H7048" s="11">
        <f t="shared" si="1101"/>
        <v>48.127000000000002</v>
      </c>
      <c r="I7048" s="11">
        <f t="shared" si="1102"/>
        <v>0.38</v>
      </c>
      <c r="J7048" s="12">
        <f t="shared" si="1103"/>
        <v>-11.397000000000006</v>
      </c>
      <c r="K7048" s="17" t="str">
        <f t="shared" si="1108"/>
        <v>Ecart négatif</v>
      </c>
      <c r="L7048" s="16">
        <f>base!X7048</f>
        <v>0</v>
      </c>
      <c r="M7048" s="11">
        <f t="shared" si="1104"/>
        <v>0</v>
      </c>
      <c r="N7048" s="11">
        <f t="shared" si="1105"/>
        <v>15.198</v>
      </c>
      <c r="O7048" s="11">
        <f t="shared" si="1106"/>
        <v>0.12</v>
      </c>
      <c r="P7048" s="12">
        <f t="shared" si="1107"/>
        <v>-15.198</v>
      </c>
      <c r="Q7048" s="17" t="str">
        <f t="shared" si="1109"/>
        <v>Ecart négatif</v>
      </c>
    </row>
    <row r="7049" spans="1:18" x14ac:dyDescent="0.3">
      <c r="A7049" s="34" t="str">
        <f>base!J7049</f>
        <v>RM</v>
      </c>
      <c r="B7049" s="34" t="str">
        <f>base!V7049</f>
        <v>62180</v>
      </c>
      <c r="C7049" s="37">
        <v>62</v>
      </c>
      <c r="D7049" s="36">
        <f>base!H7049</f>
        <v>70</v>
      </c>
      <c r="E7049" s="44"/>
      <c r="F7049" s="16">
        <f>base!W7049</f>
        <v>0</v>
      </c>
      <c r="G7049" s="11">
        <f t="shared" si="1100"/>
        <v>0</v>
      </c>
      <c r="H7049" s="11">
        <f t="shared" si="1101"/>
        <v>13.3</v>
      </c>
      <c r="I7049" s="11">
        <f t="shared" si="1102"/>
        <v>0.19</v>
      </c>
      <c r="J7049" s="12">
        <f t="shared" si="1103"/>
        <v>-13.3</v>
      </c>
      <c r="K7049" s="17" t="str">
        <f t="shared" si="1108"/>
        <v>Ecart négatif</v>
      </c>
      <c r="L7049" s="16">
        <f>base!X7049</f>
        <v>0</v>
      </c>
      <c r="M7049" s="11">
        <f t="shared" si="1104"/>
        <v>0</v>
      </c>
      <c r="N7049" s="11">
        <f t="shared" si="1105"/>
        <v>0</v>
      </c>
      <c r="O7049" s="11">
        <f t="shared" si="1106"/>
        <v>0</v>
      </c>
      <c r="P7049" s="12">
        <f t="shared" si="1107"/>
        <v>0</v>
      </c>
      <c r="Q7049" s="17" t="str">
        <f t="shared" si="1109"/>
        <v>Pas d'écart</v>
      </c>
    </row>
    <row r="7050" spans="1:18" x14ac:dyDescent="0.3">
      <c r="A7050" s="34" t="str">
        <f>base!J7050</f>
        <v>RM</v>
      </c>
      <c r="B7050" s="34" t="str">
        <f>base!V7050</f>
        <v>67960</v>
      </c>
      <c r="C7050" s="37">
        <v>67</v>
      </c>
      <c r="D7050" s="36">
        <f>base!H7050</f>
        <v>140</v>
      </c>
      <c r="E7050" s="44"/>
      <c r="F7050" s="16">
        <f>base!W7050</f>
        <v>0</v>
      </c>
      <c r="G7050" s="11">
        <f t="shared" si="1100"/>
        <v>0</v>
      </c>
      <c r="H7050" s="11">
        <f t="shared" si="1101"/>
        <v>40.599999999999994</v>
      </c>
      <c r="I7050" s="11">
        <f t="shared" si="1102"/>
        <v>0.28999999999999998</v>
      </c>
      <c r="J7050" s="12">
        <f t="shared" si="1103"/>
        <v>-40.599999999999994</v>
      </c>
      <c r="K7050" s="17" t="str">
        <f t="shared" si="1108"/>
        <v>Ecart négatif</v>
      </c>
      <c r="L7050" s="16">
        <f>base!X7050</f>
        <v>11.2</v>
      </c>
      <c r="M7050" s="11">
        <f t="shared" si="1104"/>
        <v>0.08</v>
      </c>
      <c r="N7050" s="11">
        <f t="shared" si="1105"/>
        <v>11.200000000000001</v>
      </c>
      <c r="O7050" s="11">
        <f t="shared" si="1106"/>
        <v>0.08</v>
      </c>
      <c r="P7050" s="12">
        <f t="shared" si="1107"/>
        <v>0</v>
      </c>
      <c r="Q7050" s="17" t="str">
        <f t="shared" si="1109"/>
        <v>Pas d'écart</v>
      </c>
      <c r="R7050" s="38"/>
    </row>
    <row r="7051" spans="1:18" x14ac:dyDescent="0.3">
      <c r="A7051" s="34" t="str">
        <f>base!J7051</f>
        <v>LS</v>
      </c>
      <c r="B7051" s="34" t="str">
        <f>base!V7051</f>
        <v>19100</v>
      </c>
      <c r="C7051" s="37">
        <v>22</v>
      </c>
      <c r="D7051" s="36">
        <f>base!H7051</f>
        <v>100.42</v>
      </c>
      <c r="E7051" s="44"/>
      <c r="F7051" s="16">
        <f>base!W7051</f>
        <v>29.12</v>
      </c>
      <c r="G7051" s="11">
        <f t="shared" si="1100"/>
        <v>0.28998207528380804</v>
      </c>
      <c r="H7051" s="11">
        <f t="shared" si="1101"/>
        <v>38.159600000000005</v>
      </c>
      <c r="I7051" s="11">
        <f t="shared" si="1102"/>
        <v>0.38000000000000006</v>
      </c>
      <c r="J7051" s="12">
        <f t="shared" si="1103"/>
        <v>-9.0396000000000036</v>
      </c>
      <c r="K7051" s="17" t="str">
        <f t="shared" si="1108"/>
        <v>Ecart négatif</v>
      </c>
      <c r="L7051" s="16">
        <f>base!X7051</f>
        <v>0</v>
      </c>
      <c r="M7051" s="11">
        <f t="shared" si="1104"/>
        <v>0</v>
      </c>
      <c r="N7051" s="11">
        <f t="shared" si="1105"/>
        <v>12.0504</v>
      </c>
      <c r="O7051" s="11">
        <f t="shared" si="1106"/>
        <v>0.12</v>
      </c>
      <c r="P7051" s="12">
        <f t="shared" si="1107"/>
        <v>-12.0504</v>
      </c>
      <c r="Q7051" s="17" t="str">
        <f t="shared" si="1109"/>
        <v>Ecart négatif</v>
      </c>
    </row>
    <row r="7052" spans="1:18" x14ac:dyDescent="0.3">
      <c r="A7052" s="34" t="str">
        <f>base!J7052</f>
        <v>LS</v>
      </c>
      <c r="B7052" s="34" t="str">
        <f>base!V7052</f>
        <v>19100</v>
      </c>
      <c r="C7052" s="37">
        <v>34</v>
      </c>
      <c r="D7052" s="36">
        <f>base!H7052</f>
        <v>100.8</v>
      </c>
      <c r="E7052" s="44"/>
      <c r="F7052" s="16">
        <f>base!W7052</f>
        <v>29.23</v>
      </c>
      <c r="G7052" s="11">
        <f t="shared" si="1100"/>
        <v>0.28998015873015875</v>
      </c>
      <c r="H7052" s="11">
        <f t="shared" si="1101"/>
        <v>39.311999999999998</v>
      </c>
      <c r="I7052" s="11">
        <f t="shared" si="1102"/>
        <v>0.39</v>
      </c>
      <c r="J7052" s="12">
        <f t="shared" si="1103"/>
        <v>-10.081999999999997</v>
      </c>
      <c r="K7052" s="17" t="str">
        <f t="shared" si="1108"/>
        <v>Ecart négatif</v>
      </c>
      <c r="L7052" s="16">
        <f>base!X7052</f>
        <v>0</v>
      </c>
      <c r="M7052" s="11">
        <f t="shared" si="1104"/>
        <v>0</v>
      </c>
      <c r="N7052" s="11">
        <f t="shared" si="1105"/>
        <v>28.224</v>
      </c>
      <c r="O7052" s="11">
        <f t="shared" si="1106"/>
        <v>0.28000000000000003</v>
      </c>
      <c r="P7052" s="12">
        <f t="shared" si="1107"/>
        <v>-28.224</v>
      </c>
      <c r="Q7052" s="17" t="str">
        <f t="shared" si="1109"/>
        <v>Ecart négatif</v>
      </c>
    </row>
    <row r="7053" spans="1:18" x14ac:dyDescent="0.3">
      <c r="A7053" s="34" t="str">
        <f>base!J7053</f>
        <v>LS</v>
      </c>
      <c r="B7053" s="34" t="str">
        <f>base!V7053</f>
        <v>69560</v>
      </c>
      <c r="C7053" s="37">
        <v>34</v>
      </c>
      <c r="D7053" s="36">
        <f>base!H7053</f>
        <v>367.19</v>
      </c>
      <c r="E7053" s="44"/>
      <c r="F7053" s="16">
        <f>base!W7053</f>
        <v>99.14</v>
      </c>
      <c r="G7053" s="11">
        <f t="shared" si="1100"/>
        <v>0.26999645959857294</v>
      </c>
      <c r="H7053" s="11">
        <f t="shared" si="1101"/>
        <v>143.20410000000001</v>
      </c>
      <c r="I7053" s="11">
        <f t="shared" si="1102"/>
        <v>0.39</v>
      </c>
      <c r="J7053" s="12">
        <f t="shared" si="1103"/>
        <v>-44.06410000000001</v>
      </c>
      <c r="K7053" s="17" t="str">
        <f t="shared" si="1108"/>
        <v>Ecart négatif</v>
      </c>
      <c r="L7053" s="16">
        <f>base!X7053</f>
        <v>0</v>
      </c>
      <c r="M7053" s="11">
        <f t="shared" si="1104"/>
        <v>0</v>
      </c>
      <c r="N7053" s="11">
        <f t="shared" si="1105"/>
        <v>102.81320000000001</v>
      </c>
      <c r="O7053" s="11">
        <f t="shared" si="1106"/>
        <v>0.28000000000000003</v>
      </c>
      <c r="P7053" s="12">
        <f t="shared" si="1107"/>
        <v>-102.81320000000001</v>
      </c>
      <c r="Q7053" s="17" t="str">
        <f t="shared" si="1109"/>
        <v>Ecart négatif</v>
      </c>
    </row>
    <row r="7054" spans="1:18" x14ac:dyDescent="0.3">
      <c r="A7054" s="34" t="str">
        <f>base!J7054</f>
        <v>RM</v>
      </c>
      <c r="B7054" s="34" t="str">
        <f>base!V7054</f>
        <v>44000</v>
      </c>
      <c r="C7054" s="37">
        <v>44</v>
      </c>
      <c r="D7054" s="36">
        <f>base!H7054</f>
        <v>35</v>
      </c>
      <c r="E7054" s="44"/>
      <c r="F7054" s="16">
        <f>base!W7054</f>
        <v>0</v>
      </c>
      <c r="G7054" s="11">
        <f t="shared" si="1100"/>
        <v>0</v>
      </c>
      <c r="H7054" s="11">
        <f t="shared" si="1101"/>
        <v>9.4500000000000011</v>
      </c>
      <c r="I7054" s="11">
        <f t="shared" si="1102"/>
        <v>0.27</v>
      </c>
      <c r="J7054" s="12">
        <f t="shared" si="1103"/>
        <v>-9.4500000000000011</v>
      </c>
      <c r="K7054" s="17" t="str">
        <f t="shared" si="1108"/>
        <v>Ecart négatif</v>
      </c>
      <c r="L7054" s="16">
        <f>base!X7054</f>
        <v>0</v>
      </c>
      <c r="M7054" s="11">
        <f t="shared" si="1104"/>
        <v>0</v>
      </c>
      <c r="N7054" s="11">
        <f t="shared" si="1105"/>
        <v>0</v>
      </c>
      <c r="O7054" s="11">
        <f t="shared" si="1106"/>
        <v>0</v>
      </c>
      <c r="P7054" s="12">
        <f t="shared" si="1107"/>
        <v>0</v>
      </c>
      <c r="Q7054" s="17" t="str">
        <f t="shared" si="1109"/>
        <v>Pas d'écart</v>
      </c>
    </row>
    <row r="7055" spans="1:18" x14ac:dyDescent="0.3">
      <c r="A7055" s="34" t="str">
        <f>base!J7055</f>
        <v>LS</v>
      </c>
      <c r="B7055" s="34" t="str">
        <f>base!V7055</f>
        <v>14650</v>
      </c>
      <c r="C7055" s="37">
        <v>29</v>
      </c>
      <c r="D7055" s="36">
        <f>base!H7055</f>
        <v>86.54</v>
      </c>
      <c r="E7055" s="44"/>
      <c r="F7055" s="16">
        <f>base!W7055</f>
        <v>14.71</v>
      </c>
      <c r="G7055" s="11">
        <f t="shared" si="1100"/>
        <v>0.16997920036977121</v>
      </c>
      <c r="H7055" s="11">
        <f t="shared" si="1101"/>
        <v>33.750600000000006</v>
      </c>
      <c r="I7055" s="11">
        <f t="shared" si="1102"/>
        <v>0.39</v>
      </c>
      <c r="J7055" s="12">
        <f t="shared" si="1103"/>
        <v>-19.040600000000005</v>
      </c>
      <c r="K7055" s="17" t="str">
        <f t="shared" si="1108"/>
        <v>Ecart négatif</v>
      </c>
      <c r="L7055" s="16">
        <f>base!X7055</f>
        <v>0</v>
      </c>
      <c r="M7055" s="11">
        <f t="shared" si="1104"/>
        <v>0</v>
      </c>
      <c r="N7055" s="11">
        <f t="shared" si="1105"/>
        <v>10.3848</v>
      </c>
      <c r="O7055" s="11">
        <f t="shared" si="1106"/>
        <v>0.12</v>
      </c>
      <c r="P7055" s="12">
        <f t="shared" si="1107"/>
        <v>-10.3848</v>
      </c>
      <c r="Q7055" s="17" t="str">
        <f t="shared" si="1109"/>
        <v>Ecart négatif</v>
      </c>
    </row>
    <row r="7056" spans="1:18" x14ac:dyDescent="0.3">
      <c r="A7056" s="34" t="str">
        <f>base!J7056</f>
        <v>LS</v>
      </c>
      <c r="B7056" s="34" t="str">
        <f>base!V7056</f>
        <v>92069</v>
      </c>
      <c r="C7056" s="37">
        <v>92</v>
      </c>
      <c r="D7056" s="36">
        <f>base!H7056</f>
        <v>19.8</v>
      </c>
      <c r="E7056" s="44"/>
      <c r="F7056" s="16">
        <f>base!W7056</f>
        <v>0</v>
      </c>
      <c r="G7056" s="11">
        <f t="shared" si="1100"/>
        <v>0</v>
      </c>
      <c r="H7056" s="11">
        <f t="shared" si="1101"/>
        <v>0</v>
      </c>
      <c r="I7056" s="11">
        <f t="shared" si="1102"/>
        <v>0</v>
      </c>
      <c r="J7056" s="12">
        <f t="shared" si="1103"/>
        <v>0</v>
      </c>
      <c r="K7056" s="17" t="str">
        <f t="shared" si="1108"/>
        <v>Pas d'écart</v>
      </c>
      <c r="L7056" s="16">
        <f>base!X7056</f>
        <v>0</v>
      </c>
      <c r="M7056" s="11">
        <f t="shared" si="1104"/>
        <v>0</v>
      </c>
      <c r="N7056" s="11">
        <f t="shared" si="1105"/>
        <v>0</v>
      </c>
      <c r="O7056" s="11">
        <f t="shared" si="1106"/>
        <v>0</v>
      </c>
      <c r="P7056" s="12">
        <f t="shared" si="1107"/>
        <v>0</v>
      </c>
      <c r="Q7056" s="17" t="str">
        <f t="shared" si="1109"/>
        <v>Pas d'écart</v>
      </c>
    </row>
    <row r="7057" spans="1:17" x14ac:dyDescent="0.3">
      <c r="A7057" s="34" t="str">
        <f>base!J7057</f>
        <v>LS</v>
      </c>
      <c r="B7057" s="34" t="str">
        <f>base!V7057</f>
        <v>86036</v>
      </c>
      <c r="C7057" s="37">
        <v>66</v>
      </c>
      <c r="D7057" s="36">
        <f>base!H7057</f>
        <v>120.29</v>
      </c>
      <c r="E7057" s="44"/>
      <c r="F7057" s="16">
        <f>base!W7057</f>
        <v>25.26</v>
      </c>
      <c r="G7057" s="11">
        <f t="shared" si="1100"/>
        <v>0.20999251808130351</v>
      </c>
      <c r="H7057" s="11">
        <f t="shared" si="1101"/>
        <v>40.898600000000002</v>
      </c>
      <c r="I7057" s="11">
        <f t="shared" si="1102"/>
        <v>0.34</v>
      </c>
      <c r="J7057" s="12">
        <f t="shared" si="1103"/>
        <v>-15.6386</v>
      </c>
      <c r="K7057" s="17" t="str">
        <f t="shared" si="1108"/>
        <v>Ecart négatif</v>
      </c>
      <c r="L7057" s="16">
        <f>base!X7057</f>
        <v>0</v>
      </c>
      <c r="M7057" s="11">
        <f t="shared" si="1104"/>
        <v>0</v>
      </c>
      <c r="N7057" s="11">
        <f t="shared" si="1105"/>
        <v>33.681200000000004</v>
      </c>
      <c r="O7057" s="11">
        <f t="shared" si="1106"/>
        <v>0.28000000000000003</v>
      </c>
      <c r="P7057" s="12">
        <f t="shared" si="1107"/>
        <v>-33.681200000000004</v>
      </c>
      <c r="Q7057" s="17" t="str">
        <f t="shared" si="1109"/>
        <v>Ecart négatif</v>
      </c>
    </row>
    <row r="7058" spans="1:17" x14ac:dyDescent="0.3">
      <c r="A7058" s="34" t="str">
        <f>base!J7058</f>
        <v>LS</v>
      </c>
      <c r="B7058" s="34" t="str">
        <f>base!V7058</f>
        <v>33300</v>
      </c>
      <c r="C7058" s="37">
        <v>33</v>
      </c>
      <c r="D7058" s="36">
        <f>base!H7058</f>
        <v>40</v>
      </c>
      <c r="E7058" s="44"/>
      <c r="F7058" s="16">
        <f>base!W7058</f>
        <v>8.4</v>
      </c>
      <c r="G7058" s="11">
        <f t="shared" si="1100"/>
        <v>0.21000000000000002</v>
      </c>
      <c r="H7058" s="11">
        <f t="shared" si="1101"/>
        <v>8.4</v>
      </c>
      <c r="I7058" s="11">
        <f t="shared" si="1102"/>
        <v>0.21000000000000002</v>
      </c>
      <c r="J7058" s="12">
        <f t="shared" si="1103"/>
        <v>0</v>
      </c>
      <c r="K7058" s="17" t="str">
        <f t="shared" si="1108"/>
        <v>Pas d'écart</v>
      </c>
      <c r="L7058" s="16">
        <f>base!X7058</f>
        <v>0</v>
      </c>
      <c r="M7058" s="11">
        <f t="shared" si="1104"/>
        <v>0</v>
      </c>
      <c r="N7058" s="11">
        <f t="shared" si="1105"/>
        <v>6.8000000000000007</v>
      </c>
      <c r="O7058" s="11">
        <f t="shared" si="1106"/>
        <v>0.17</v>
      </c>
      <c r="P7058" s="12">
        <f t="shared" si="1107"/>
        <v>-6.8000000000000007</v>
      </c>
      <c r="Q7058" s="17" t="str">
        <f t="shared" si="1109"/>
        <v>Ecart négatif</v>
      </c>
    </row>
    <row r="7059" spans="1:17" x14ac:dyDescent="0.3">
      <c r="A7059" s="34" t="str">
        <f>base!J7059</f>
        <v>LM</v>
      </c>
      <c r="B7059" s="34" t="str">
        <f>base!V7059</f>
        <v>44000</v>
      </c>
      <c r="C7059" s="37">
        <v>44</v>
      </c>
      <c r="D7059" s="36">
        <f>base!H7059</f>
        <v>40</v>
      </c>
      <c r="E7059" s="44"/>
      <c r="F7059" s="16">
        <f>base!W7059</f>
        <v>10.8</v>
      </c>
      <c r="G7059" s="11">
        <f t="shared" si="1100"/>
        <v>0.27</v>
      </c>
      <c r="H7059" s="11">
        <f t="shared" si="1101"/>
        <v>10.8</v>
      </c>
      <c r="I7059" s="11">
        <f t="shared" si="1102"/>
        <v>0.27</v>
      </c>
      <c r="J7059" s="12">
        <f t="shared" si="1103"/>
        <v>0</v>
      </c>
      <c r="K7059" s="17" t="str">
        <f t="shared" si="1108"/>
        <v>Pas d'écart</v>
      </c>
      <c r="L7059" s="16">
        <f>base!X7059</f>
        <v>0</v>
      </c>
      <c r="M7059" s="11">
        <f t="shared" si="1104"/>
        <v>0</v>
      </c>
      <c r="N7059" s="11">
        <f t="shared" si="1105"/>
        <v>0</v>
      </c>
      <c r="O7059" s="11">
        <f t="shared" si="1106"/>
        <v>0</v>
      </c>
      <c r="P7059" s="12">
        <f t="shared" si="1107"/>
        <v>0</v>
      </c>
      <c r="Q7059" s="17" t="str">
        <f t="shared" si="1109"/>
        <v>Pas d'écart</v>
      </c>
    </row>
    <row r="7060" spans="1:17" x14ac:dyDescent="0.3">
      <c r="A7060" s="34" t="str">
        <f>base!J7060</f>
        <v>RS</v>
      </c>
      <c r="B7060" s="34" t="str">
        <f>base!V7060</f>
        <v>74360</v>
      </c>
      <c r="C7060" s="37">
        <v>74</v>
      </c>
      <c r="D7060" s="36">
        <f>base!H7060</f>
        <v>151</v>
      </c>
      <c r="E7060" s="44"/>
      <c r="F7060" s="16">
        <f>base!W7060</f>
        <v>0</v>
      </c>
      <c r="G7060" s="11">
        <f t="shared" si="1100"/>
        <v>0</v>
      </c>
      <c r="H7060" s="11">
        <f t="shared" si="1101"/>
        <v>39.26</v>
      </c>
      <c r="I7060" s="11">
        <f t="shared" si="1102"/>
        <v>0.26</v>
      </c>
      <c r="J7060" s="12">
        <f t="shared" si="1103"/>
        <v>-39.26</v>
      </c>
      <c r="K7060" s="17" t="str">
        <f t="shared" si="1108"/>
        <v>Ecart négatif</v>
      </c>
      <c r="L7060" s="16">
        <f>base!X7060</f>
        <v>0</v>
      </c>
      <c r="M7060" s="11">
        <f t="shared" si="1104"/>
        <v>0</v>
      </c>
      <c r="N7060" s="11">
        <f t="shared" si="1105"/>
        <v>0</v>
      </c>
      <c r="O7060" s="11">
        <f t="shared" si="1106"/>
        <v>0</v>
      </c>
      <c r="P7060" s="12">
        <f t="shared" si="1107"/>
        <v>0</v>
      </c>
      <c r="Q7060" s="17" t="str">
        <f t="shared" si="1109"/>
        <v>Pas d'écart</v>
      </c>
    </row>
    <row r="7061" spans="1:17" x14ac:dyDescent="0.3">
      <c r="A7061" s="34" t="str">
        <f>base!J7061</f>
        <v>LS</v>
      </c>
      <c r="B7061" s="34" t="str">
        <f>base!V7061</f>
        <v>07350</v>
      </c>
      <c r="C7061" s="37">
        <v>7</v>
      </c>
      <c r="D7061" s="36">
        <f>base!H7061</f>
        <v>140</v>
      </c>
      <c r="E7061" s="44"/>
      <c r="F7061" s="16">
        <f>base!W7061</f>
        <v>37.799999999999997</v>
      </c>
      <c r="G7061" s="11">
        <f t="shared" si="1100"/>
        <v>0.26999999999999996</v>
      </c>
      <c r="H7061" s="11">
        <f t="shared" si="1101"/>
        <v>37.800000000000004</v>
      </c>
      <c r="I7061" s="11">
        <f t="shared" si="1102"/>
        <v>0.27</v>
      </c>
      <c r="J7061" s="12">
        <f t="shared" si="1103"/>
        <v>0</v>
      </c>
      <c r="K7061" s="17" t="str">
        <f t="shared" si="1108"/>
        <v>Pas d'écart</v>
      </c>
      <c r="L7061" s="16">
        <f>base!X7061</f>
        <v>0</v>
      </c>
      <c r="M7061" s="11">
        <f t="shared" si="1104"/>
        <v>0</v>
      </c>
      <c r="N7061" s="11">
        <f t="shared" si="1105"/>
        <v>0</v>
      </c>
      <c r="O7061" s="11">
        <f t="shared" si="1106"/>
        <v>0</v>
      </c>
      <c r="P7061" s="12">
        <f t="shared" si="1107"/>
        <v>0</v>
      </c>
      <c r="Q7061" s="17" t="str">
        <f t="shared" si="1109"/>
        <v>Pas d'écart</v>
      </c>
    </row>
    <row r="7062" spans="1:17" x14ac:dyDescent="0.3">
      <c r="A7062" s="34" t="str">
        <f>base!J7062</f>
        <v>DRM</v>
      </c>
      <c r="B7062" s="34" t="str">
        <f>base!V7062</f>
        <v>94150</v>
      </c>
      <c r="C7062" s="37">
        <v>94</v>
      </c>
      <c r="D7062" s="36">
        <f>base!H7062</f>
        <v>284</v>
      </c>
      <c r="E7062" s="44"/>
      <c r="F7062" s="16">
        <f>base!W7062</f>
        <v>0</v>
      </c>
      <c r="G7062" s="11">
        <f t="shared" si="1100"/>
        <v>0</v>
      </c>
      <c r="H7062" s="11">
        <f t="shared" si="1101"/>
        <v>0</v>
      </c>
      <c r="I7062" s="11">
        <f t="shared" si="1102"/>
        <v>0</v>
      </c>
      <c r="J7062" s="12">
        <f t="shared" si="1103"/>
        <v>0</v>
      </c>
      <c r="K7062" s="17" t="str">
        <f t="shared" si="1108"/>
        <v>Pas d'écart</v>
      </c>
      <c r="L7062" s="16">
        <f>base!X7062</f>
        <v>0</v>
      </c>
      <c r="M7062" s="11">
        <f t="shared" si="1104"/>
        <v>0</v>
      </c>
      <c r="N7062" s="11">
        <f t="shared" si="1105"/>
        <v>0</v>
      </c>
      <c r="O7062" s="11">
        <f t="shared" si="1106"/>
        <v>0</v>
      </c>
      <c r="P7062" s="12">
        <f t="shared" si="1107"/>
        <v>0</v>
      </c>
      <c r="Q7062" s="17" t="str">
        <f t="shared" si="1109"/>
        <v>Pas d'écart</v>
      </c>
    </row>
    <row r="7063" spans="1:17" x14ac:dyDescent="0.3">
      <c r="A7063" s="34">
        <f>base!J7063</f>
        <v>0</v>
      </c>
      <c r="B7063" s="34" t="str">
        <f>base!V7063</f>
        <v>77184</v>
      </c>
      <c r="C7063" s="37">
        <v>77</v>
      </c>
      <c r="D7063" s="36">
        <f>base!H7063</f>
        <v>125</v>
      </c>
      <c r="E7063" s="44"/>
      <c r="F7063" s="16">
        <f>base!W7063</f>
        <v>0</v>
      </c>
      <c r="G7063" s="11">
        <f t="shared" si="1100"/>
        <v>0</v>
      </c>
      <c r="H7063" s="11">
        <f t="shared" si="1101"/>
        <v>0</v>
      </c>
      <c r="I7063" s="11">
        <f t="shared" si="1102"/>
        <v>0</v>
      </c>
      <c r="J7063" s="12">
        <f t="shared" si="1103"/>
        <v>0</v>
      </c>
      <c r="K7063" s="17" t="str">
        <f t="shared" si="1108"/>
        <v>Pas d'écart</v>
      </c>
      <c r="L7063" s="16">
        <f>base!X7063</f>
        <v>0</v>
      </c>
      <c r="M7063" s="11">
        <f t="shared" si="1104"/>
        <v>0</v>
      </c>
      <c r="N7063" s="11">
        <f t="shared" si="1105"/>
        <v>0</v>
      </c>
      <c r="O7063" s="11">
        <f t="shared" si="1106"/>
        <v>0</v>
      </c>
      <c r="P7063" s="12">
        <f t="shared" si="1107"/>
        <v>0</v>
      </c>
      <c r="Q7063" s="17" t="str">
        <f t="shared" si="1109"/>
        <v>Pas d'écart</v>
      </c>
    </row>
    <row r="7064" spans="1:17" x14ac:dyDescent="0.3">
      <c r="A7064" s="34" t="str">
        <f>base!J7064</f>
        <v>LM</v>
      </c>
      <c r="B7064" s="34" t="str">
        <f>base!V7064</f>
        <v>13103</v>
      </c>
      <c r="C7064" s="37">
        <v>29</v>
      </c>
      <c r="D7064" s="36">
        <f>base!H7064</f>
        <v>3.23</v>
      </c>
      <c r="E7064" s="44"/>
      <c r="F7064" s="16">
        <f>base!W7064</f>
        <v>0.94</v>
      </c>
      <c r="G7064" s="11">
        <f t="shared" si="1100"/>
        <v>0.29102167182662536</v>
      </c>
      <c r="H7064" s="11">
        <f t="shared" si="1101"/>
        <v>1.2597</v>
      </c>
      <c r="I7064" s="11">
        <f t="shared" si="1102"/>
        <v>0.39</v>
      </c>
      <c r="J7064" s="12">
        <f t="shared" si="1103"/>
        <v>-0.3197000000000001</v>
      </c>
      <c r="K7064" s="17" t="str">
        <f t="shared" si="1108"/>
        <v>Ecart négatif</v>
      </c>
      <c r="L7064" s="16">
        <f>base!X7064</f>
        <v>0</v>
      </c>
      <c r="M7064" s="11">
        <f t="shared" si="1104"/>
        <v>0</v>
      </c>
      <c r="N7064" s="11">
        <f t="shared" si="1105"/>
        <v>0.3876</v>
      </c>
      <c r="O7064" s="11">
        <f t="shared" si="1106"/>
        <v>0.12</v>
      </c>
      <c r="P7064" s="12">
        <f t="shared" si="1107"/>
        <v>-0.3876</v>
      </c>
      <c r="Q7064" s="17" t="str">
        <f t="shared" si="1109"/>
        <v>Ecart négatif</v>
      </c>
    </row>
    <row r="7065" spans="1:17" x14ac:dyDescent="0.3">
      <c r="A7065" s="34" t="str">
        <f>base!J7065</f>
        <v>LS</v>
      </c>
      <c r="B7065" s="34" t="str">
        <f>base!V7065</f>
        <v>25000</v>
      </c>
      <c r="C7065" s="37">
        <v>29</v>
      </c>
      <c r="D7065" s="36">
        <f>base!H7065</f>
        <v>203.61</v>
      </c>
      <c r="E7065" s="44"/>
      <c r="F7065" s="16">
        <f>base!W7065</f>
        <v>48.87</v>
      </c>
      <c r="G7065" s="11">
        <f t="shared" si="1100"/>
        <v>0.24001768086046851</v>
      </c>
      <c r="H7065" s="11">
        <f t="shared" si="1101"/>
        <v>79.407900000000012</v>
      </c>
      <c r="I7065" s="11">
        <f t="shared" si="1102"/>
        <v>0.39</v>
      </c>
      <c r="J7065" s="12">
        <f t="shared" si="1103"/>
        <v>-30.537900000000015</v>
      </c>
      <c r="K7065" s="17" t="str">
        <f t="shared" si="1108"/>
        <v>Ecart négatif</v>
      </c>
      <c r="L7065" s="16">
        <f>base!X7065</f>
        <v>0</v>
      </c>
      <c r="M7065" s="11">
        <f t="shared" si="1104"/>
        <v>0</v>
      </c>
      <c r="N7065" s="11">
        <f t="shared" si="1105"/>
        <v>24.433199999999999</v>
      </c>
      <c r="O7065" s="11">
        <f t="shared" si="1106"/>
        <v>0.12</v>
      </c>
      <c r="P7065" s="12">
        <f t="shared" si="1107"/>
        <v>-24.433199999999999</v>
      </c>
      <c r="Q7065" s="17" t="str">
        <f t="shared" si="1109"/>
        <v>Ecart négatif</v>
      </c>
    </row>
    <row r="7066" spans="1:17" x14ac:dyDescent="0.3">
      <c r="A7066" s="34" t="str">
        <f>base!J7066</f>
        <v>RS</v>
      </c>
      <c r="B7066" s="34" t="str">
        <f>base!V7066</f>
        <v>59770</v>
      </c>
      <c r="C7066" s="37">
        <v>59</v>
      </c>
      <c r="D7066" s="36">
        <f>base!H7066</f>
        <v>140</v>
      </c>
      <c r="E7066" s="44"/>
      <c r="F7066" s="16">
        <f>base!W7066</f>
        <v>0</v>
      </c>
      <c r="G7066" s="11">
        <f t="shared" si="1100"/>
        <v>0</v>
      </c>
      <c r="H7066" s="11">
        <f t="shared" si="1101"/>
        <v>26.6</v>
      </c>
      <c r="I7066" s="11">
        <f t="shared" si="1102"/>
        <v>0.19</v>
      </c>
      <c r="J7066" s="12">
        <f t="shared" si="1103"/>
        <v>-26.6</v>
      </c>
      <c r="K7066" s="17" t="str">
        <f t="shared" si="1108"/>
        <v>Ecart négatif</v>
      </c>
      <c r="L7066" s="16">
        <f>base!X7066</f>
        <v>0</v>
      </c>
      <c r="M7066" s="11">
        <f t="shared" si="1104"/>
        <v>0</v>
      </c>
      <c r="N7066" s="11">
        <f t="shared" si="1105"/>
        <v>0</v>
      </c>
      <c r="O7066" s="11">
        <f t="shared" si="1106"/>
        <v>0</v>
      </c>
      <c r="P7066" s="12">
        <f t="shared" si="1107"/>
        <v>0</v>
      </c>
      <c r="Q7066" s="17" t="str">
        <f t="shared" si="1109"/>
        <v>Pas d'écart</v>
      </c>
    </row>
    <row r="7067" spans="1:17" x14ac:dyDescent="0.3">
      <c r="A7067" s="34" t="str">
        <f>base!J7067</f>
        <v>RS</v>
      </c>
      <c r="B7067" s="34" t="str">
        <f>base!V7067</f>
        <v>02190</v>
      </c>
      <c r="C7067" s="37">
        <v>2</v>
      </c>
      <c r="D7067" s="36">
        <f>base!H7067</f>
        <v>40</v>
      </c>
      <c r="E7067" s="44"/>
      <c r="F7067" s="16">
        <f>base!W7067</f>
        <v>0</v>
      </c>
      <c r="G7067" s="11">
        <f t="shared" si="1100"/>
        <v>0</v>
      </c>
      <c r="H7067" s="11">
        <f t="shared" si="1101"/>
        <v>7.1999999999999993</v>
      </c>
      <c r="I7067" s="11">
        <f t="shared" si="1102"/>
        <v>0.18</v>
      </c>
      <c r="J7067" s="12">
        <f t="shared" si="1103"/>
        <v>-7.1999999999999993</v>
      </c>
      <c r="K7067" s="17" t="str">
        <f t="shared" si="1108"/>
        <v>Ecart négatif</v>
      </c>
      <c r="L7067" s="16">
        <f>base!X7067</f>
        <v>0</v>
      </c>
      <c r="M7067" s="11">
        <f t="shared" si="1104"/>
        <v>0</v>
      </c>
      <c r="N7067" s="11">
        <f t="shared" si="1105"/>
        <v>0</v>
      </c>
      <c r="O7067" s="11">
        <f t="shared" si="1106"/>
        <v>0</v>
      </c>
      <c r="P7067" s="12">
        <f t="shared" si="1107"/>
        <v>0</v>
      </c>
      <c r="Q7067" s="17" t="str">
        <f t="shared" si="1109"/>
        <v>Pas d'écart</v>
      </c>
    </row>
    <row r="7068" spans="1:17" x14ac:dyDescent="0.3">
      <c r="A7068" s="34" t="str">
        <f>base!J7068</f>
        <v>RM</v>
      </c>
      <c r="B7068" s="34" t="str">
        <f>base!V7068</f>
        <v>59287</v>
      </c>
      <c r="C7068" s="37">
        <v>59</v>
      </c>
      <c r="D7068" s="36">
        <f>base!H7068</f>
        <v>76.92</v>
      </c>
      <c r="E7068" s="44"/>
      <c r="F7068" s="16">
        <f>base!W7068</f>
        <v>0</v>
      </c>
      <c r="G7068" s="11">
        <f t="shared" si="1100"/>
        <v>0</v>
      </c>
      <c r="H7068" s="11">
        <f t="shared" si="1101"/>
        <v>14.614800000000001</v>
      </c>
      <c r="I7068" s="11">
        <f t="shared" si="1102"/>
        <v>0.19</v>
      </c>
      <c r="J7068" s="12">
        <f t="shared" si="1103"/>
        <v>-14.614800000000001</v>
      </c>
      <c r="K7068" s="17" t="str">
        <f t="shared" si="1108"/>
        <v>Ecart négatif</v>
      </c>
      <c r="L7068" s="16">
        <f>base!X7068</f>
        <v>0</v>
      </c>
      <c r="M7068" s="11">
        <f t="shared" si="1104"/>
        <v>0</v>
      </c>
      <c r="N7068" s="11">
        <f t="shared" si="1105"/>
        <v>0</v>
      </c>
      <c r="O7068" s="11">
        <f t="shared" si="1106"/>
        <v>0</v>
      </c>
      <c r="P7068" s="12">
        <f t="shared" si="1107"/>
        <v>0</v>
      </c>
      <c r="Q7068" s="17" t="str">
        <f t="shared" si="1109"/>
        <v>Pas d'écart</v>
      </c>
    </row>
    <row r="7069" spans="1:17" x14ac:dyDescent="0.3">
      <c r="A7069" s="34" t="str">
        <f>base!J7069</f>
        <v>DLM</v>
      </c>
      <c r="B7069" s="34" t="str">
        <f>base!V7069</f>
        <v>14000</v>
      </c>
      <c r="C7069" s="37">
        <v>14</v>
      </c>
      <c r="D7069" s="36">
        <f>base!H7069</f>
        <v>69.540000000000006</v>
      </c>
      <c r="E7069" s="44"/>
      <c r="F7069" s="16">
        <f>base!W7069</f>
        <v>0</v>
      </c>
      <c r="G7069" s="11">
        <f t="shared" si="1100"/>
        <v>0</v>
      </c>
      <c r="H7069" s="11">
        <f t="shared" si="1101"/>
        <v>11.821800000000001</v>
      </c>
      <c r="I7069" s="11">
        <f t="shared" si="1102"/>
        <v>0.17</v>
      </c>
      <c r="J7069" s="12">
        <f t="shared" si="1103"/>
        <v>-11.821800000000001</v>
      </c>
      <c r="K7069" s="17" t="str">
        <f t="shared" si="1108"/>
        <v>Ecart négatif</v>
      </c>
      <c r="L7069" s="16">
        <f>base!X7069</f>
        <v>0</v>
      </c>
      <c r="M7069" s="11">
        <f t="shared" si="1104"/>
        <v>0</v>
      </c>
      <c r="N7069" s="11">
        <f t="shared" si="1105"/>
        <v>11.821800000000001</v>
      </c>
      <c r="O7069" s="11">
        <f t="shared" si="1106"/>
        <v>0.17</v>
      </c>
      <c r="P7069" s="12">
        <f t="shared" si="1107"/>
        <v>-11.821800000000001</v>
      </c>
      <c r="Q7069" s="17" t="str">
        <f t="shared" si="1109"/>
        <v>Ecart négatif</v>
      </c>
    </row>
    <row r="7070" spans="1:17" x14ac:dyDescent="0.3">
      <c r="A7070" s="34" t="str">
        <f>base!J7070</f>
        <v>LM</v>
      </c>
      <c r="B7070" s="34" t="str">
        <f>base!V7070</f>
        <v>69230</v>
      </c>
      <c r="C7070" s="37">
        <v>66</v>
      </c>
      <c r="D7070" s="36">
        <f>base!H7070</f>
        <v>139.22</v>
      </c>
      <c r="E7070" s="44"/>
      <c r="F7070" s="16">
        <f>base!W7070</f>
        <v>37.590000000000003</v>
      </c>
      <c r="G7070" s="11">
        <f t="shared" si="1100"/>
        <v>0.27000430972561418</v>
      </c>
      <c r="H7070" s="11">
        <f t="shared" si="1101"/>
        <v>47.334800000000001</v>
      </c>
      <c r="I7070" s="11">
        <f t="shared" si="1102"/>
        <v>0.34</v>
      </c>
      <c r="J7070" s="12">
        <f t="shared" si="1103"/>
        <v>-9.7447999999999979</v>
      </c>
      <c r="K7070" s="17" t="str">
        <f t="shared" si="1108"/>
        <v>Ecart négatif</v>
      </c>
      <c r="L7070" s="16">
        <f>base!X7070</f>
        <v>0</v>
      </c>
      <c r="M7070" s="11">
        <f t="shared" si="1104"/>
        <v>0</v>
      </c>
      <c r="N7070" s="11">
        <f t="shared" si="1105"/>
        <v>38.9816</v>
      </c>
      <c r="O7070" s="11">
        <f t="shared" si="1106"/>
        <v>0.28000000000000003</v>
      </c>
      <c r="P7070" s="12">
        <f t="shared" si="1107"/>
        <v>-38.9816</v>
      </c>
      <c r="Q7070" s="17" t="str">
        <f t="shared" si="1109"/>
        <v>Ecart négatif</v>
      </c>
    </row>
    <row r="7071" spans="1:17" x14ac:dyDescent="0.3">
      <c r="A7071" s="34" t="str">
        <f>base!J7071</f>
        <v>LS</v>
      </c>
      <c r="B7071" s="34" t="str">
        <f>base!V7071</f>
        <v>83170</v>
      </c>
      <c r="C7071" s="37">
        <v>29</v>
      </c>
      <c r="D7071" s="36">
        <f>base!H7071</f>
        <v>75.14</v>
      </c>
      <c r="E7071" s="44"/>
      <c r="F7071" s="16">
        <f>base!W7071</f>
        <v>22.54</v>
      </c>
      <c r="G7071" s="11">
        <f t="shared" si="1100"/>
        <v>0.29997338301836568</v>
      </c>
      <c r="H7071" s="11">
        <f t="shared" si="1101"/>
        <v>29.304600000000001</v>
      </c>
      <c r="I7071" s="11">
        <f t="shared" si="1102"/>
        <v>0.39</v>
      </c>
      <c r="J7071" s="12">
        <f t="shared" si="1103"/>
        <v>-6.7646000000000015</v>
      </c>
      <c r="K7071" s="17" t="str">
        <f t="shared" si="1108"/>
        <v>Ecart négatif</v>
      </c>
      <c r="L7071" s="16">
        <f>base!X7071</f>
        <v>0</v>
      </c>
      <c r="M7071" s="11">
        <f t="shared" si="1104"/>
        <v>0</v>
      </c>
      <c r="N7071" s="11">
        <f t="shared" si="1105"/>
        <v>9.0167999999999999</v>
      </c>
      <c r="O7071" s="11">
        <f t="shared" si="1106"/>
        <v>0.12</v>
      </c>
      <c r="P7071" s="12">
        <f t="shared" si="1107"/>
        <v>-9.0167999999999999</v>
      </c>
      <c r="Q7071" s="17" t="str">
        <f t="shared" si="1109"/>
        <v>Ecart négatif</v>
      </c>
    </row>
    <row r="7072" spans="1:17" x14ac:dyDescent="0.3">
      <c r="A7072" s="34" t="str">
        <f>base!J7072</f>
        <v>LM</v>
      </c>
      <c r="B7072" s="34" t="str">
        <f>base!V7072</f>
        <v>75019</v>
      </c>
      <c r="C7072" s="37">
        <v>75</v>
      </c>
      <c r="D7072" s="36">
        <f>base!H7072</f>
        <v>190.41</v>
      </c>
      <c r="E7072" s="44"/>
      <c r="F7072" s="16">
        <f>base!W7072</f>
        <v>0</v>
      </c>
      <c r="G7072" s="11">
        <f t="shared" si="1100"/>
        <v>0</v>
      </c>
      <c r="H7072" s="11">
        <f t="shared" si="1101"/>
        <v>0</v>
      </c>
      <c r="I7072" s="11">
        <f t="shared" si="1102"/>
        <v>0</v>
      </c>
      <c r="J7072" s="12">
        <f t="shared" si="1103"/>
        <v>0</v>
      </c>
      <c r="K7072" s="17" t="str">
        <f t="shared" si="1108"/>
        <v>Pas d'écart</v>
      </c>
      <c r="L7072" s="16">
        <f>base!X7072</f>
        <v>0</v>
      </c>
      <c r="M7072" s="11">
        <f t="shared" si="1104"/>
        <v>0</v>
      </c>
      <c r="N7072" s="11">
        <f t="shared" si="1105"/>
        <v>0</v>
      </c>
      <c r="O7072" s="11">
        <f t="shared" si="1106"/>
        <v>0</v>
      </c>
      <c r="P7072" s="12">
        <f t="shared" si="1107"/>
        <v>0</v>
      </c>
      <c r="Q7072" s="17" t="str">
        <f t="shared" si="1109"/>
        <v>Pas d'écart</v>
      </c>
    </row>
    <row r="7073" spans="1:18" x14ac:dyDescent="0.3">
      <c r="A7073" s="34" t="str">
        <f>base!J7073</f>
        <v>RS</v>
      </c>
      <c r="B7073" s="34" t="str">
        <f>base!V7073</f>
        <v>93100</v>
      </c>
      <c r="C7073" s="37">
        <v>93</v>
      </c>
      <c r="D7073" s="36">
        <f>base!H7073</f>
        <v>220</v>
      </c>
      <c r="E7073" s="44"/>
      <c r="F7073" s="16">
        <f>base!W7073</f>
        <v>0</v>
      </c>
      <c r="G7073" s="11">
        <f t="shared" si="1100"/>
        <v>0</v>
      </c>
      <c r="H7073" s="11">
        <f t="shared" si="1101"/>
        <v>0</v>
      </c>
      <c r="I7073" s="11">
        <f t="shared" si="1102"/>
        <v>0</v>
      </c>
      <c r="J7073" s="12">
        <f t="shared" si="1103"/>
        <v>0</v>
      </c>
      <c r="K7073" s="17" t="str">
        <f t="shared" si="1108"/>
        <v>Pas d'écart</v>
      </c>
      <c r="L7073" s="16">
        <f>base!X7073</f>
        <v>0</v>
      </c>
      <c r="M7073" s="11">
        <f t="shared" si="1104"/>
        <v>0</v>
      </c>
      <c r="N7073" s="11">
        <f t="shared" si="1105"/>
        <v>0</v>
      </c>
      <c r="O7073" s="11">
        <f t="shared" si="1106"/>
        <v>0</v>
      </c>
      <c r="P7073" s="12">
        <f t="shared" si="1107"/>
        <v>0</v>
      </c>
      <c r="Q7073" s="17" t="str">
        <f t="shared" si="1109"/>
        <v>Pas d'écart</v>
      </c>
    </row>
    <row r="7074" spans="1:18" x14ac:dyDescent="0.3">
      <c r="A7074" s="34" t="str">
        <f>base!J7074</f>
        <v>RM</v>
      </c>
      <c r="B7074" s="34" t="str">
        <f>base!V7074</f>
        <v>51000</v>
      </c>
      <c r="C7074" s="37">
        <v>51</v>
      </c>
      <c r="D7074" s="36">
        <f>base!H7074</f>
        <v>22.5</v>
      </c>
      <c r="E7074" s="44"/>
      <c r="F7074" s="16">
        <f>base!W7074</f>
        <v>0</v>
      </c>
      <c r="G7074" s="11">
        <f t="shared" si="1100"/>
        <v>0</v>
      </c>
      <c r="H7074" s="11">
        <f t="shared" si="1101"/>
        <v>5.625</v>
      </c>
      <c r="I7074" s="11">
        <f t="shared" si="1102"/>
        <v>0.25</v>
      </c>
      <c r="J7074" s="12">
        <f t="shared" si="1103"/>
        <v>-5.625</v>
      </c>
      <c r="K7074" s="17" t="str">
        <f t="shared" si="1108"/>
        <v>Ecart négatif</v>
      </c>
      <c r="L7074" s="16">
        <f>base!X7074</f>
        <v>5.63</v>
      </c>
      <c r="M7074" s="11">
        <f t="shared" si="1104"/>
        <v>0.25022222222222223</v>
      </c>
      <c r="N7074" s="11">
        <f t="shared" si="1105"/>
        <v>5.625</v>
      </c>
      <c r="O7074" s="11">
        <f t="shared" si="1106"/>
        <v>0.25</v>
      </c>
      <c r="P7074" s="12">
        <f t="shared" si="1107"/>
        <v>4.9999999999998934E-3</v>
      </c>
      <c r="Q7074" s="17" t="str">
        <f t="shared" si="1109"/>
        <v>Ecart positif</v>
      </c>
      <c r="R7074" s="38"/>
    </row>
    <row r="7075" spans="1:18" x14ac:dyDescent="0.3">
      <c r="A7075" s="34" t="str">
        <f>base!J7075</f>
        <v>RM</v>
      </c>
      <c r="B7075" s="34" t="str">
        <f>base!V7075</f>
        <v>69100</v>
      </c>
      <c r="C7075" s="37">
        <v>69</v>
      </c>
      <c r="D7075" s="36">
        <f>base!H7075</f>
        <v>90.99</v>
      </c>
      <c r="E7075" s="44"/>
      <c r="F7075" s="16">
        <f>base!W7075</f>
        <v>0</v>
      </c>
      <c r="G7075" s="11">
        <f t="shared" si="1100"/>
        <v>0</v>
      </c>
      <c r="H7075" s="11">
        <f t="shared" si="1101"/>
        <v>24.567299999999999</v>
      </c>
      <c r="I7075" s="11">
        <f t="shared" si="1102"/>
        <v>0.27</v>
      </c>
      <c r="J7075" s="12">
        <f t="shared" si="1103"/>
        <v>-24.567299999999999</v>
      </c>
      <c r="K7075" s="17" t="str">
        <f t="shared" si="1108"/>
        <v>Ecart négatif</v>
      </c>
      <c r="L7075" s="16">
        <f>base!X7075</f>
        <v>0</v>
      </c>
      <c r="M7075" s="11">
        <f t="shared" si="1104"/>
        <v>0</v>
      </c>
      <c r="N7075" s="11">
        <f t="shared" si="1105"/>
        <v>0</v>
      </c>
      <c r="O7075" s="11">
        <f t="shared" si="1106"/>
        <v>0</v>
      </c>
      <c r="P7075" s="12">
        <f t="shared" si="1107"/>
        <v>0</v>
      </c>
      <c r="Q7075" s="17" t="str">
        <f t="shared" si="1109"/>
        <v>Pas d'écart</v>
      </c>
    </row>
    <row r="7076" spans="1:18" x14ac:dyDescent="0.3">
      <c r="A7076" s="34" t="str">
        <f>base!J7076</f>
        <v>RM</v>
      </c>
      <c r="B7076" s="34" t="str">
        <f>base!V7076</f>
        <v>92210</v>
      </c>
      <c r="C7076" s="37">
        <v>92</v>
      </c>
      <c r="D7076" s="36">
        <f>base!H7076</f>
        <v>186.4</v>
      </c>
      <c r="E7076" s="44"/>
      <c r="F7076" s="16">
        <f>base!W7076</f>
        <v>0</v>
      </c>
      <c r="G7076" s="11">
        <f t="shared" si="1100"/>
        <v>0</v>
      </c>
      <c r="H7076" s="11">
        <f t="shared" si="1101"/>
        <v>0</v>
      </c>
      <c r="I7076" s="11">
        <f t="shared" si="1102"/>
        <v>0</v>
      </c>
      <c r="J7076" s="12">
        <f t="shared" si="1103"/>
        <v>0</v>
      </c>
      <c r="K7076" s="17" t="str">
        <f t="shared" si="1108"/>
        <v>Pas d'écart</v>
      </c>
      <c r="L7076" s="16">
        <f>base!X7076</f>
        <v>0</v>
      </c>
      <c r="M7076" s="11">
        <f t="shared" si="1104"/>
        <v>0</v>
      </c>
      <c r="N7076" s="11">
        <f t="shared" si="1105"/>
        <v>0</v>
      </c>
      <c r="O7076" s="11">
        <f t="shared" si="1106"/>
        <v>0</v>
      </c>
      <c r="P7076" s="12">
        <f t="shared" si="1107"/>
        <v>0</v>
      </c>
      <c r="Q7076" s="17" t="str">
        <f t="shared" si="1109"/>
        <v>Pas d'écart</v>
      </c>
    </row>
    <row r="7077" spans="1:18" x14ac:dyDescent="0.3">
      <c r="A7077" s="34" t="str">
        <f>base!J7077</f>
        <v>RM</v>
      </c>
      <c r="B7077" s="34" t="str">
        <f>base!V7077</f>
        <v>71500</v>
      </c>
      <c r="C7077" s="37">
        <v>71</v>
      </c>
      <c r="D7077" s="36">
        <f>base!H7077</f>
        <v>70</v>
      </c>
      <c r="E7077" s="44"/>
      <c r="F7077" s="16">
        <f>base!W7077</f>
        <v>0</v>
      </c>
      <c r="G7077" s="11">
        <f t="shared" si="1100"/>
        <v>0</v>
      </c>
      <c r="H7077" s="11">
        <f t="shared" si="1101"/>
        <v>18.900000000000002</v>
      </c>
      <c r="I7077" s="11">
        <f t="shared" si="1102"/>
        <v>0.27</v>
      </c>
      <c r="J7077" s="12">
        <f t="shared" si="1103"/>
        <v>-18.900000000000002</v>
      </c>
      <c r="K7077" s="17" t="str">
        <f t="shared" si="1108"/>
        <v>Ecart négatif</v>
      </c>
      <c r="L7077" s="16">
        <f>base!X7077</f>
        <v>0</v>
      </c>
      <c r="M7077" s="11">
        <f t="shared" si="1104"/>
        <v>0</v>
      </c>
      <c r="N7077" s="11">
        <f t="shared" si="1105"/>
        <v>0</v>
      </c>
      <c r="O7077" s="11">
        <f t="shared" si="1106"/>
        <v>0</v>
      </c>
      <c r="P7077" s="12">
        <f t="shared" si="1107"/>
        <v>0</v>
      </c>
      <c r="Q7077" s="17" t="str">
        <f t="shared" si="1109"/>
        <v>Pas d'écart</v>
      </c>
    </row>
    <row r="7078" spans="1:18" x14ac:dyDescent="0.3">
      <c r="A7078" s="34" t="str">
        <f>base!J7078</f>
        <v>RS</v>
      </c>
      <c r="B7078" s="34" t="str">
        <f>base!V7078</f>
        <v>83190</v>
      </c>
      <c r="C7078" s="37">
        <v>83</v>
      </c>
      <c r="D7078" s="36">
        <f>base!H7078</f>
        <v>70</v>
      </c>
      <c r="E7078" s="44"/>
      <c r="F7078" s="16">
        <f>base!W7078</f>
        <v>0</v>
      </c>
      <c r="G7078" s="11">
        <f t="shared" si="1100"/>
        <v>0</v>
      </c>
      <c r="H7078" s="11">
        <f t="shared" si="1101"/>
        <v>21</v>
      </c>
      <c r="I7078" s="11">
        <f t="shared" si="1102"/>
        <v>0.3</v>
      </c>
      <c r="J7078" s="12">
        <f t="shared" si="1103"/>
        <v>-21</v>
      </c>
      <c r="K7078" s="17" t="str">
        <f t="shared" si="1108"/>
        <v>Ecart négatif</v>
      </c>
      <c r="L7078" s="16">
        <f>base!X7078</f>
        <v>14.7</v>
      </c>
      <c r="M7078" s="11">
        <f t="shared" si="1104"/>
        <v>0.21</v>
      </c>
      <c r="N7078" s="11">
        <f t="shared" si="1105"/>
        <v>14.7</v>
      </c>
      <c r="O7078" s="11">
        <f t="shared" si="1106"/>
        <v>0.21</v>
      </c>
      <c r="P7078" s="12">
        <f t="shared" si="1107"/>
        <v>0</v>
      </c>
      <c r="Q7078" s="17" t="str">
        <f t="shared" si="1109"/>
        <v>Pas d'écart</v>
      </c>
      <c r="R7078" s="38"/>
    </row>
    <row r="7079" spans="1:18" x14ac:dyDescent="0.3">
      <c r="A7079" s="34" t="str">
        <f>base!J7079</f>
        <v>RS</v>
      </c>
      <c r="B7079" s="34" t="str">
        <f>base!V7079</f>
        <v>34920</v>
      </c>
      <c r="C7079" s="37">
        <v>34</v>
      </c>
      <c r="D7079" s="36">
        <f>base!H7079</f>
        <v>78.92</v>
      </c>
      <c r="E7079" s="44"/>
      <c r="F7079" s="16">
        <f>base!W7079</f>
        <v>0</v>
      </c>
      <c r="G7079" s="11">
        <f t="shared" si="1100"/>
        <v>0</v>
      </c>
      <c r="H7079" s="11">
        <f t="shared" si="1101"/>
        <v>30.7788</v>
      </c>
      <c r="I7079" s="11">
        <f t="shared" si="1102"/>
        <v>0.39</v>
      </c>
      <c r="J7079" s="12">
        <f t="shared" si="1103"/>
        <v>-30.7788</v>
      </c>
      <c r="K7079" s="17" t="str">
        <f t="shared" si="1108"/>
        <v>Ecart négatif</v>
      </c>
      <c r="L7079" s="16">
        <f>base!X7079</f>
        <v>0</v>
      </c>
      <c r="M7079" s="11">
        <f t="shared" si="1104"/>
        <v>0</v>
      </c>
      <c r="N7079" s="11">
        <f t="shared" si="1105"/>
        <v>22.097600000000003</v>
      </c>
      <c r="O7079" s="11">
        <f t="shared" si="1106"/>
        <v>0.28000000000000003</v>
      </c>
      <c r="P7079" s="12">
        <f t="shared" si="1107"/>
        <v>-22.097600000000003</v>
      </c>
      <c r="Q7079" s="17" t="str">
        <f t="shared" si="1109"/>
        <v>Ecart négatif</v>
      </c>
    </row>
    <row r="7080" spans="1:18" x14ac:dyDescent="0.3">
      <c r="A7080" s="34" t="str">
        <f>base!J7080</f>
        <v>DLS</v>
      </c>
      <c r="B7080" s="34" t="str">
        <f>base!V7080</f>
        <v>34130</v>
      </c>
      <c r="C7080" s="37">
        <v>34</v>
      </c>
      <c r="D7080" s="36">
        <f>base!H7080</f>
        <v>140</v>
      </c>
      <c r="E7080" s="44"/>
      <c r="F7080" s="16">
        <f>base!W7080</f>
        <v>54.6</v>
      </c>
      <c r="G7080" s="11">
        <f t="shared" si="1100"/>
        <v>0.39</v>
      </c>
      <c r="H7080" s="11">
        <f t="shared" si="1101"/>
        <v>54.6</v>
      </c>
      <c r="I7080" s="11">
        <f t="shared" si="1102"/>
        <v>0.39</v>
      </c>
      <c r="J7080" s="12">
        <f t="shared" si="1103"/>
        <v>0</v>
      </c>
      <c r="K7080" s="17" t="str">
        <f t="shared" si="1108"/>
        <v>Pas d'écart</v>
      </c>
      <c r="L7080" s="16">
        <f>base!X7080</f>
        <v>0</v>
      </c>
      <c r="M7080" s="11">
        <f t="shared" si="1104"/>
        <v>0</v>
      </c>
      <c r="N7080" s="11">
        <f t="shared" si="1105"/>
        <v>39.200000000000003</v>
      </c>
      <c r="O7080" s="11">
        <f t="shared" si="1106"/>
        <v>0.28000000000000003</v>
      </c>
      <c r="P7080" s="12">
        <f t="shared" si="1107"/>
        <v>-39.200000000000003</v>
      </c>
      <c r="Q7080" s="17" t="str">
        <f t="shared" si="1109"/>
        <v>Ecart négatif</v>
      </c>
    </row>
    <row r="7081" spans="1:18" x14ac:dyDescent="0.3">
      <c r="A7081" s="34" t="str">
        <f>base!J7081</f>
        <v>RS</v>
      </c>
      <c r="B7081" s="34" t="str">
        <f>base!V7081</f>
        <v>56560</v>
      </c>
      <c r="C7081" s="37">
        <v>56</v>
      </c>
      <c r="D7081" s="36">
        <f>base!H7081</f>
        <v>25</v>
      </c>
      <c r="E7081" s="44"/>
      <c r="F7081" s="16">
        <f>base!W7081</f>
        <v>0</v>
      </c>
      <c r="G7081" s="11">
        <f t="shared" si="1100"/>
        <v>0</v>
      </c>
      <c r="H7081" s="11">
        <f t="shared" si="1101"/>
        <v>6.75</v>
      </c>
      <c r="I7081" s="11">
        <f t="shared" si="1102"/>
        <v>0.27</v>
      </c>
      <c r="J7081" s="12">
        <f t="shared" si="1103"/>
        <v>-6.75</v>
      </c>
      <c r="K7081" s="17" t="str">
        <f t="shared" si="1108"/>
        <v>Ecart négatif</v>
      </c>
      <c r="L7081" s="16">
        <f>base!X7081</f>
        <v>0</v>
      </c>
      <c r="M7081" s="11">
        <f t="shared" si="1104"/>
        <v>0</v>
      </c>
      <c r="N7081" s="11">
        <f t="shared" si="1105"/>
        <v>0</v>
      </c>
      <c r="O7081" s="11">
        <f t="shared" si="1106"/>
        <v>0</v>
      </c>
      <c r="P7081" s="12">
        <f t="shared" si="1107"/>
        <v>0</v>
      </c>
      <c r="Q7081" s="17" t="str">
        <f t="shared" si="1109"/>
        <v>Pas d'écart</v>
      </c>
    </row>
    <row r="7082" spans="1:18" x14ac:dyDescent="0.3">
      <c r="A7082" s="34" t="str">
        <f>base!J7082</f>
        <v>DRS</v>
      </c>
      <c r="B7082" s="34" t="str">
        <f>base!V7082</f>
        <v>59000</v>
      </c>
      <c r="C7082" s="37">
        <v>59</v>
      </c>
      <c r="D7082" s="36">
        <f>base!H7082</f>
        <v>121.14</v>
      </c>
      <c r="E7082" s="44"/>
      <c r="F7082" s="16">
        <f>base!W7082</f>
        <v>0</v>
      </c>
      <c r="G7082" s="11">
        <f t="shared" si="1100"/>
        <v>0</v>
      </c>
      <c r="H7082" s="11">
        <f t="shared" si="1101"/>
        <v>23.0166</v>
      </c>
      <c r="I7082" s="11">
        <f t="shared" si="1102"/>
        <v>0.19</v>
      </c>
      <c r="J7082" s="12">
        <f t="shared" si="1103"/>
        <v>-23.0166</v>
      </c>
      <c r="K7082" s="17" t="str">
        <f t="shared" si="1108"/>
        <v>Ecart négatif</v>
      </c>
      <c r="L7082" s="16">
        <f>base!X7082</f>
        <v>0</v>
      </c>
      <c r="M7082" s="11">
        <f t="shared" si="1104"/>
        <v>0</v>
      </c>
      <c r="N7082" s="11">
        <f t="shared" si="1105"/>
        <v>0</v>
      </c>
      <c r="O7082" s="11">
        <f t="shared" si="1106"/>
        <v>0</v>
      </c>
      <c r="P7082" s="12">
        <f t="shared" si="1107"/>
        <v>0</v>
      </c>
      <c r="Q7082" s="17" t="str">
        <f t="shared" si="1109"/>
        <v>Pas d'écart</v>
      </c>
    </row>
    <row r="7083" spans="1:18" x14ac:dyDescent="0.3">
      <c r="A7083" s="34" t="str">
        <f>base!J7083</f>
        <v>RS</v>
      </c>
      <c r="B7083" s="34" t="str">
        <f>base!V7083</f>
        <v>17300</v>
      </c>
      <c r="C7083" s="37">
        <v>17</v>
      </c>
      <c r="D7083" s="36">
        <f>base!H7083</f>
        <v>151</v>
      </c>
      <c r="E7083" s="44"/>
      <c r="F7083" s="16">
        <f>base!W7083</f>
        <v>0</v>
      </c>
      <c r="G7083" s="11">
        <f t="shared" si="1100"/>
        <v>0</v>
      </c>
      <c r="H7083" s="11">
        <f t="shared" si="1101"/>
        <v>31.709999999999997</v>
      </c>
      <c r="I7083" s="11">
        <f t="shared" si="1102"/>
        <v>0.21</v>
      </c>
      <c r="J7083" s="12">
        <f t="shared" si="1103"/>
        <v>-31.709999999999997</v>
      </c>
      <c r="K7083" s="17" t="str">
        <f t="shared" si="1108"/>
        <v>Ecart négatif</v>
      </c>
      <c r="L7083" s="16">
        <f>base!X7083</f>
        <v>0</v>
      </c>
      <c r="M7083" s="11">
        <f t="shared" si="1104"/>
        <v>0</v>
      </c>
      <c r="N7083" s="11">
        <f t="shared" si="1105"/>
        <v>25.67</v>
      </c>
      <c r="O7083" s="11">
        <f t="shared" si="1106"/>
        <v>0.17</v>
      </c>
      <c r="P7083" s="12">
        <f t="shared" si="1107"/>
        <v>-25.67</v>
      </c>
      <c r="Q7083" s="17" t="str">
        <f t="shared" si="1109"/>
        <v>Ecart négatif</v>
      </c>
    </row>
    <row r="7084" spans="1:18" x14ac:dyDescent="0.3">
      <c r="A7084" s="34" t="str">
        <f>base!J7084</f>
        <v>LM</v>
      </c>
      <c r="B7084" s="34" t="str">
        <f>base!V7084</f>
        <v>69125</v>
      </c>
      <c r="C7084" s="37">
        <v>34</v>
      </c>
      <c r="D7084" s="36">
        <f>base!H7084</f>
        <v>28.5</v>
      </c>
      <c r="E7084" s="44"/>
      <c r="F7084" s="16">
        <f>base!W7084</f>
        <v>7.7</v>
      </c>
      <c r="G7084" s="11">
        <f t="shared" si="1100"/>
        <v>0.27017543859649124</v>
      </c>
      <c r="H7084" s="11">
        <f t="shared" si="1101"/>
        <v>11.115</v>
      </c>
      <c r="I7084" s="11">
        <f t="shared" si="1102"/>
        <v>0.39</v>
      </c>
      <c r="J7084" s="12">
        <f t="shared" si="1103"/>
        <v>-3.415</v>
      </c>
      <c r="K7084" s="17" t="str">
        <f t="shared" si="1108"/>
        <v>Ecart négatif</v>
      </c>
      <c r="L7084" s="16">
        <f>base!X7084</f>
        <v>0</v>
      </c>
      <c r="M7084" s="11">
        <f t="shared" si="1104"/>
        <v>0</v>
      </c>
      <c r="N7084" s="11">
        <f t="shared" si="1105"/>
        <v>7.98</v>
      </c>
      <c r="O7084" s="11">
        <f t="shared" si="1106"/>
        <v>0.28000000000000003</v>
      </c>
      <c r="P7084" s="12">
        <f t="shared" si="1107"/>
        <v>-7.98</v>
      </c>
      <c r="Q7084" s="17" t="str">
        <f t="shared" si="1109"/>
        <v>Ecart négatif</v>
      </c>
    </row>
    <row r="7085" spans="1:18" x14ac:dyDescent="0.3">
      <c r="A7085" s="34" t="str">
        <f>base!J7085</f>
        <v>RM</v>
      </c>
      <c r="B7085" s="34" t="str">
        <f>base!V7085</f>
        <v>70000</v>
      </c>
      <c r="C7085" s="37">
        <v>70</v>
      </c>
      <c r="D7085" s="36">
        <f>base!H7085</f>
        <v>25</v>
      </c>
      <c r="E7085" s="44"/>
      <c r="F7085" s="16">
        <f>base!W7085</f>
        <v>0</v>
      </c>
      <c r="G7085" s="11">
        <f t="shared" si="1100"/>
        <v>0</v>
      </c>
      <c r="H7085" s="11">
        <f t="shared" si="1101"/>
        <v>6</v>
      </c>
      <c r="I7085" s="11">
        <f t="shared" si="1102"/>
        <v>0.24</v>
      </c>
      <c r="J7085" s="12">
        <f t="shared" si="1103"/>
        <v>-6</v>
      </c>
      <c r="K7085" s="17" t="str">
        <f t="shared" si="1108"/>
        <v>Ecart négatif</v>
      </c>
      <c r="L7085" s="16">
        <f>base!X7085</f>
        <v>0</v>
      </c>
      <c r="M7085" s="11">
        <f t="shared" si="1104"/>
        <v>0</v>
      </c>
      <c r="N7085" s="11">
        <f t="shared" si="1105"/>
        <v>3</v>
      </c>
      <c r="O7085" s="11">
        <f t="shared" si="1106"/>
        <v>0.12</v>
      </c>
      <c r="P7085" s="12">
        <f t="shared" si="1107"/>
        <v>-3</v>
      </c>
      <c r="Q7085" s="17" t="str">
        <f t="shared" si="1109"/>
        <v>Ecart négatif</v>
      </c>
    </row>
    <row r="7086" spans="1:18" x14ac:dyDescent="0.3">
      <c r="A7086" s="34" t="str">
        <f>base!J7086</f>
        <v>RM</v>
      </c>
      <c r="B7086" s="34" t="str">
        <f>base!V7086</f>
        <v>70000</v>
      </c>
      <c r="C7086" s="37">
        <v>70</v>
      </c>
      <c r="D7086" s="36">
        <f>base!H7086</f>
        <v>22.5</v>
      </c>
      <c r="E7086" s="44"/>
      <c r="F7086" s="16">
        <f>base!W7086</f>
        <v>0</v>
      </c>
      <c r="G7086" s="11">
        <f t="shared" si="1100"/>
        <v>0</v>
      </c>
      <c r="H7086" s="11">
        <f t="shared" si="1101"/>
        <v>5.3999999999999995</v>
      </c>
      <c r="I7086" s="11">
        <f t="shared" si="1102"/>
        <v>0.23999999999999996</v>
      </c>
      <c r="J7086" s="12">
        <f t="shared" si="1103"/>
        <v>-5.3999999999999995</v>
      </c>
      <c r="K7086" s="17" t="str">
        <f t="shared" si="1108"/>
        <v>Ecart négatif</v>
      </c>
      <c r="L7086" s="16">
        <f>base!X7086</f>
        <v>0</v>
      </c>
      <c r="M7086" s="11">
        <f t="shared" si="1104"/>
        <v>0</v>
      </c>
      <c r="N7086" s="11">
        <f t="shared" si="1105"/>
        <v>2.6999999999999997</v>
      </c>
      <c r="O7086" s="11">
        <f t="shared" si="1106"/>
        <v>0.11999999999999998</v>
      </c>
      <c r="P7086" s="12">
        <f t="shared" si="1107"/>
        <v>-2.6999999999999997</v>
      </c>
      <c r="Q7086" s="17" t="str">
        <f t="shared" si="1109"/>
        <v>Ecart négatif</v>
      </c>
    </row>
    <row r="7087" spans="1:18" x14ac:dyDescent="0.3">
      <c r="A7087" s="34" t="str">
        <f>base!J7087</f>
        <v>RM</v>
      </c>
      <c r="B7087" s="34" t="str">
        <f>base!V7087</f>
        <v>70000</v>
      </c>
      <c r="C7087" s="37">
        <v>70</v>
      </c>
      <c r="D7087" s="36">
        <f>base!H7087</f>
        <v>22.5</v>
      </c>
      <c r="E7087" s="44"/>
      <c r="F7087" s="16">
        <f>base!W7087</f>
        <v>0</v>
      </c>
      <c r="G7087" s="11">
        <f t="shared" si="1100"/>
        <v>0</v>
      </c>
      <c r="H7087" s="11">
        <f t="shared" si="1101"/>
        <v>5.3999999999999995</v>
      </c>
      <c r="I7087" s="11">
        <f t="shared" si="1102"/>
        <v>0.23999999999999996</v>
      </c>
      <c r="J7087" s="12">
        <f t="shared" si="1103"/>
        <v>-5.3999999999999995</v>
      </c>
      <c r="K7087" s="17" t="str">
        <f t="shared" si="1108"/>
        <v>Ecart négatif</v>
      </c>
      <c r="L7087" s="16">
        <f>base!X7087</f>
        <v>2.7</v>
      </c>
      <c r="M7087" s="11">
        <f t="shared" si="1104"/>
        <v>0.12000000000000001</v>
      </c>
      <c r="N7087" s="11">
        <f t="shared" si="1105"/>
        <v>2.6999999999999997</v>
      </c>
      <c r="O7087" s="11">
        <f t="shared" si="1106"/>
        <v>0.11999999999999998</v>
      </c>
      <c r="P7087" s="12">
        <f t="shared" si="1107"/>
        <v>0</v>
      </c>
      <c r="Q7087" s="17" t="str">
        <f t="shared" si="1109"/>
        <v>Pas d'écart</v>
      </c>
      <c r="R7087" s="38"/>
    </row>
    <row r="7088" spans="1:18" x14ac:dyDescent="0.3">
      <c r="A7088" s="34" t="str">
        <f>base!J7088</f>
        <v>RM</v>
      </c>
      <c r="B7088" s="34" t="str">
        <f>base!V7088</f>
        <v>14110</v>
      </c>
      <c r="C7088" s="37">
        <v>14</v>
      </c>
      <c r="D7088" s="36">
        <f>base!H7088</f>
        <v>151</v>
      </c>
      <c r="E7088" s="44"/>
      <c r="F7088" s="16">
        <f>base!W7088</f>
        <v>0</v>
      </c>
      <c r="G7088" s="11">
        <f t="shared" si="1100"/>
        <v>0</v>
      </c>
      <c r="H7088" s="11">
        <f t="shared" si="1101"/>
        <v>25.67</v>
      </c>
      <c r="I7088" s="11">
        <f t="shared" si="1102"/>
        <v>0.17</v>
      </c>
      <c r="J7088" s="12">
        <f t="shared" si="1103"/>
        <v>-25.67</v>
      </c>
      <c r="K7088" s="17" t="str">
        <f t="shared" si="1108"/>
        <v>Ecart négatif</v>
      </c>
      <c r="L7088" s="16">
        <f>base!X7088</f>
        <v>0</v>
      </c>
      <c r="M7088" s="11">
        <f t="shared" si="1104"/>
        <v>0</v>
      </c>
      <c r="N7088" s="11">
        <f t="shared" si="1105"/>
        <v>25.67</v>
      </c>
      <c r="O7088" s="11">
        <f t="shared" si="1106"/>
        <v>0.17</v>
      </c>
      <c r="P7088" s="12">
        <f t="shared" si="1107"/>
        <v>-25.67</v>
      </c>
      <c r="Q7088" s="17" t="str">
        <f t="shared" si="1109"/>
        <v>Ecart négatif</v>
      </c>
    </row>
    <row r="7089" spans="1:17" x14ac:dyDescent="0.3">
      <c r="A7089" s="34" t="str">
        <f>base!J7089</f>
        <v>DLM</v>
      </c>
      <c r="B7089" s="34" t="str">
        <f>base!V7089</f>
        <v>76600</v>
      </c>
      <c r="C7089" s="37">
        <v>76</v>
      </c>
      <c r="D7089" s="36">
        <f>base!H7089</f>
        <v>52.5</v>
      </c>
      <c r="E7089" s="44"/>
      <c r="F7089" s="16">
        <f>base!W7089</f>
        <v>0</v>
      </c>
      <c r="G7089" s="11">
        <f t="shared" si="1100"/>
        <v>0</v>
      </c>
      <c r="H7089" s="11">
        <f t="shared" si="1101"/>
        <v>8.9250000000000007</v>
      </c>
      <c r="I7089" s="11">
        <f t="shared" si="1102"/>
        <v>0.17</v>
      </c>
      <c r="J7089" s="12">
        <f t="shared" si="1103"/>
        <v>-8.9250000000000007</v>
      </c>
      <c r="K7089" s="17" t="str">
        <f t="shared" si="1108"/>
        <v>Ecart négatif</v>
      </c>
      <c r="L7089" s="16">
        <f>base!X7089</f>
        <v>0</v>
      </c>
      <c r="M7089" s="11">
        <f t="shared" si="1104"/>
        <v>0</v>
      </c>
      <c r="N7089" s="11">
        <f t="shared" si="1105"/>
        <v>8.9250000000000007</v>
      </c>
      <c r="O7089" s="11">
        <f t="shared" si="1106"/>
        <v>0.17</v>
      </c>
      <c r="P7089" s="12">
        <f t="shared" si="1107"/>
        <v>-8.9250000000000007</v>
      </c>
      <c r="Q7089" s="17" t="str">
        <f t="shared" si="1109"/>
        <v>Ecart négatif</v>
      </c>
    </row>
    <row r="7090" spans="1:17" x14ac:dyDescent="0.3">
      <c r="A7090" s="34" t="str">
        <f>base!J7090</f>
        <v>DLM</v>
      </c>
      <c r="B7090" s="34" t="str">
        <f>base!V7090</f>
        <v>69003</v>
      </c>
      <c r="C7090" s="37">
        <v>69</v>
      </c>
      <c r="D7090" s="36">
        <f>base!H7090</f>
        <v>52.5</v>
      </c>
      <c r="E7090" s="44"/>
      <c r="F7090" s="16">
        <f>base!W7090</f>
        <v>0</v>
      </c>
      <c r="G7090" s="11">
        <f t="shared" si="1100"/>
        <v>0</v>
      </c>
      <c r="H7090" s="11">
        <f t="shared" si="1101"/>
        <v>14.175000000000001</v>
      </c>
      <c r="I7090" s="11">
        <f t="shared" si="1102"/>
        <v>0.27</v>
      </c>
      <c r="J7090" s="12">
        <f t="shared" si="1103"/>
        <v>-14.175000000000001</v>
      </c>
      <c r="K7090" s="17" t="str">
        <f t="shared" si="1108"/>
        <v>Ecart négatif</v>
      </c>
      <c r="L7090" s="16">
        <f>base!X7090</f>
        <v>0</v>
      </c>
      <c r="M7090" s="11">
        <f t="shared" si="1104"/>
        <v>0</v>
      </c>
      <c r="N7090" s="11">
        <f t="shared" si="1105"/>
        <v>0</v>
      </c>
      <c r="O7090" s="11">
        <f t="shared" si="1106"/>
        <v>0</v>
      </c>
      <c r="P7090" s="12">
        <f t="shared" si="1107"/>
        <v>0</v>
      </c>
      <c r="Q7090" s="17" t="str">
        <f t="shared" si="1109"/>
        <v>Pas d'écart</v>
      </c>
    </row>
    <row r="7091" spans="1:17" x14ac:dyDescent="0.3">
      <c r="A7091" s="34" t="str">
        <f>base!J7091</f>
        <v>DLM</v>
      </c>
      <c r="B7091" s="34" t="str">
        <f>base!V7091</f>
        <v>84120</v>
      </c>
      <c r="C7091" s="37">
        <v>84</v>
      </c>
      <c r="D7091" s="36">
        <f>base!H7091</f>
        <v>52.5</v>
      </c>
      <c r="E7091" s="44"/>
      <c r="F7091" s="16">
        <f>base!W7091</f>
        <v>0</v>
      </c>
      <c r="G7091" s="11">
        <f t="shared" si="1100"/>
        <v>0</v>
      </c>
      <c r="H7091" s="11">
        <f t="shared" si="1101"/>
        <v>15.225</v>
      </c>
      <c r="I7091" s="11">
        <f t="shared" si="1102"/>
        <v>0.28999999999999998</v>
      </c>
      <c r="J7091" s="12">
        <f t="shared" si="1103"/>
        <v>-15.225</v>
      </c>
      <c r="K7091" s="17" t="str">
        <f t="shared" si="1108"/>
        <v>Ecart négatif</v>
      </c>
      <c r="L7091" s="16">
        <f>base!X7091</f>
        <v>0</v>
      </c>
      <c r="M7091" s="11">
        <f t="shared" si="1104"/>
        <v>0</v>
      </c>
      <c r="N7091" s="11">
        <f t="shared" si="1105"/>
        <v>9.9749999999999996</v>
      </c>
      <c r="O7091" s="11">
        <f t="shared" si="1106"/>
        <v>0.19</v>
      </c>
      <c r="P7091" s="12">
        <f t="shared" si="1107"/>
        <v>-9.9749999999999996</v>
      </c>
      <c r="Q7091" s="17" t="str">
        <f t="shared" si="1109"/>
        <v>Ecart négatif</v>
      </c>
    </row>
    <row r="7092" spans="1:17" x14ac:dyDescent="0.3">
      <c r="A7092" s="34" t="str">
        <f>base!J7092</f>
        <v>DLM</v>
      </c>
      <c r="B7092" s="34" t="str">
        <f>base!V7092</f>
        <v>84000</v>
      </c>
      <c r="C7092" s="37">
        <v>84</v>
      </c>
      <c r="D7092" s="36">
        <f>base!H7092</f>
        <v>52.5</v>
      </c>
      <c r="E7092" s="44"/>
      <c r="F7092" s="16">
        <f>base!W7092</f>
        <v>0</v>
      </c>
      <c r="G7092" s="11">
        <f t="shared" si="1100"/>
        <v>0</v>
      </c>
      <c r="H7092" s="11">
        <f t="shared" si="1101"/>
        <v>15.225</v>
      </c>
      <c r="I7092" s="11">
        <f t="shared" si="1102"/>
        <v>0.28999999999999998</v>
      </c>
      <c r="J7092" s="12">
        <f t="shared" si="1103"/>
        <v>-15.225</v>
      </c>
      <c r="K7092" s="17" t="str">
        <f t="shared" si="1108"/>
        <v>Ecart négatif</v>
      </c>
      <c r="L7092" s="16">
        <f>base!X7092</f>
        <v>0</v>
      </c>
      <c r="M7092" s="11">
        <f t="shared" si="1104"/>
        <v>0</v>
      </c>
      <c r="N7092" s="11">
        <f t="shared" si="1105"/>
        <v>9.9749999999999996</v>
      </c>
      <c r="O7092" s="11">
        <f t="shared" si="1106"/>
        <v>0.19</v>
      </c>
      <c r="P7092" s="12">
        <f t="shared" si="1107"/>
        <v>-9.9749999999999996</v>
      </c>
      <c r="Q7092" s="17" t="str">
        <f t="shared" si="1109"/>
        <v>Ecart négatif</v>
      </c>
    </row>
    <row r="7093" spans="1:17" x14ac:dyDescent="0.3">
      <c r="A7093" s="34" t="str">
        <f>base!J7093</f>
        <v>DLM</v>
      </c>
      <c r="B7093" s="34" t="str">
        <f>base!V7093</f>
        <v>69120</v>
      </c>
      <c r="C7093" s="37">
        <v>69</v>
      </c>
      <c r="D7093" s="36">
        <f>base!H7093</f>
        <v>52.5</v>
      </c>
      <c r="E7093" s="44"/>
      <c r="F7093" s="16">
        <f>base!W7093</f>
        <v>0</v>
      </c>
      <c r="G7093" s="11">
        <f t="shared" si="1100"/>
        <v>0</v>
      </c>
      <c r="H7093" s="11">
        <f t="shared" si="1101"/>
        <v>14.175000000000001</v>
      </c>
      <c r="I7093" s="11">
        <f t="shared" si="1102"/>
        <v>0.27</v>
      </c>
      <c r="J7093" s="12">
        <f t="shared" si="1103"/>
        <v>-14.175000000000001</v>
      </c>
      <c r="K7093" s="17" t="str">
        <f t="shared" si="1108"/>
        <v>Ecart négatif</v>
      </c>
      <c r="L7093" s="16">
        <f>base!X7093</f>
        <v>0</v>
      </c>
      <c r="M7093" s="11">
        <f t="shared" si="1104"/>
        <v>0</v>
      </c>
      <c r="N7093" s="11">
        <f t="shared" si="1105"/>
        <v>0</v>
      </c>
      <c r="O7093" s="11">
        <f t="shared" si="1106"/>
        <v>0</v>
      </c>
      <c r="P7093" s="12">
        <f t="shared" si="1107"/>
        <v>0</v>
      </c>
      <c r="Q7093" s="17" t="str">
        <f t="shared" si="1109"/>
        <v>Pas d'écart</v>
      </c>
    </row>
    <row r="7094" spans="1:17" x14ac:dyDescent="0.3">
      <c r="A7094" s="34" t="str">
        <f>base!J7094</f>
        <v>DLM</v>
      </c>
      <c r="B7094" s="34" t="str">
        <f>base!V7094</f>
        <v>69100</v>
      </c>
      <c r="C7094" s="37">
        <v>69</v>
      </c>
      <c r="D7094" s="36">
        <f>base!H7094</f>
        <v>52.5</v>
      </c>
      <c r="E7094" s="44"/>
      <c r="F7094" s="16">
        <f>base!W7094</f>
        <v>0</v>
      </c>
      <c r="G7094" s="11">
        <f t="shared" si="1100"/>
        <v>0</v>
      </c>
      <c r="H7094" s="11">
        <f t="shared" si="1101"/>
        <v>14.175000000000001</v>
      </c>
      <c r="I7094" s="11">
        <f t="shared" si="1102"/>
        <v>0.27</v>
      </c>
      <c r="J7094" s="12">
        <f t="shared" si="1103"/>
        <v>-14.175000000000001</v>
      </c>
      <c r="K7094" s="17" t="str">
        <f t="shared" si="1108"/>
        <v>Ecart négatif</v>
      </c>
      <c r="L7094" s="16">
        <f>base!X7094</f>
        <v>0</v>
      </c>
      <c r="M7094" s="11">
        <f t="shared" si="1104"/>
        <v>0</v>
      </c>
      <c r="N7094" s="11">
        <f t="shared" si="1105"/>
        <v>0</v>
      </c>
      <c r="O7094" s="11">
        <f t="shared" si="1106"/>
        <v>0</v>
      </c>
      <c r="P7094" s="12">
        <f t="shared" si="1107"/>
        <v>0</v>
      </c>
      <c r="Q7094" s="17" t="str">
        <f t="shared" si="1109"/>
        <v>Pas d'écart</v>
      </c>
    </row>
    <row r="7095" spans="1:17" x14ac:dyDescent="0.3">
      <c r="A7095" s="34" t="str">
        <f>base!J7095</f>
        <v>RS</v>
      </c>
      <c r="B7095" s="34" t="str">
        <f>base!V7095</f>
        <v>94120</v>
      </c>
      <c r="C7095" s="37">
        <v>94</v>
      </c>
      <c r="D7095" s="36">
        <f>base!H7095</f>
        <v>25</v>
      </c>
      <c r="E7095" s="44"/>
      <c r="F7095" s="16">
        <f>base!W7095</f>
        <v>0</v>
      </c>
      <c r="G7095" s="11">
        <f t="shared" si="1100"/>
        <v>0</v>
      </c>
      <c r="H7095" s="11">
        <f t="shared" si="1101"/>
        <v>0</v>
      </c>
      <c r="I7095" s="11">
        <f t="shared" si="1102"/>
        <v>0</v>
      </c>
      <c r="J7095" s="12">
        <f t="shared" si="1103"/>
        <v>0</v>
      </c>
      <c r="K7095" s="17" t="str">
        <f t="shared" si="1108"/>
        <v>Pas d'écart</v>
      </c>
      <c r="L7095" s="16">
        <f>base!X7095</f>
        <v>0</v>
      </c>
      <c r="M7095" s="11">
        <f t="shared" si="1104"/>
        <v>0</v>
      </c>
      <c r="N7095" s="11">
        <f t="shared" si="1105"/>
        <v>0</v>
      </c>
      <c r="O7095" s="11">
        <f t="shared" si="1106"/>
        <v>0</v>
      </c>
      <c r="P7095" s="12">
        <f t="shared" si="1107"/>
        <v>0</v>
      </c>
      <c r="Q7095" s="17" t="str">
        <f t="shared" si="1109"/>
        <v>Pas d'écart</v>
      </c>
    </row>
    <row r="7096" spans="1:17" x14ac:dyDescent="0.3">
      <c r="A7096" s="34" t="str">
        <f>base!J7096</f>
        <v>RM</v>
      </c>
      <c r="B7096" s="34" t="str">
        <f>base!V7096</f>
        <v>93290</v>
      </c>
      <c r="C7096" s="37">
        <v>93</v>
      </c>
      <c r="D7096" s="36">
        <f>base!H7096</f>
        <v>140</v>
      </c>
      <c r="E7096" s="44"/>
      <c r="F7096" s="16">
        <f>base!W7096</f>
        <v>0</v>
      </c>
      <c r="G7096" s="11">
        <f t="shared" si="1100"/>
        <v>0</v>
      </c>
      <c r="H7096" s="11">
        <f t="shared" si="1101"/>
        <v>0</v>
      </c>
      <c r="I7096" s="11">
        <f t="shared" si="1102"/>
        <v>0</v>
      </c>
      <c r="J7096" s="12">
        <f t="shared" si="1103"/>
        <v>0</v>
      </c>
      <c r="K7096" s="17" t="str">
        <f t="shared" si="1108"/>
        <v>Pas d'écart</v>
      </c>
      <c r="L7096" s="16">
        <f>base!X7096</f>
        <v>0</v>
      </c>
      <c r="M7096" s="11">
        <f t="shared" si="1104"/>
        <v>0</v>
      </c>
      <c r="N7096" s="11">
        <f t="shared" si="1105"/>
        <v>0</v>
      </c>
      <c r="O7096" s="11">
        <f t="shared" si="1106"/>
        <v>0</v>
      </c>
      <c r="P7096" s="12">
        <f t="shared" si="1107"/>
        <v>0</v>
      </c>
      <c r="Q7096" s="17" t="str">
        <f t="shared" si="1109"/>
        <v>Pas d'écart</v>
      </c>
    </row>
    <row r="7097" spans="1:17" x14ac:dyDescent="0.3">
      <c r="A7097" s="34" t="str">
        <f>base!J7097</f>
        <v>LM</v>
      </c>
      <c r="B7097" s="34" t="str">
        <f>base!V7097</f>
        <v>93013</v>
      </c>
      <c r="C7097" s="37">
        <v>93</v>
      </c>
      <c r="D7097" s="36">
        <f>base!H7097</f>
        <v>55.16</v>
      </c>
      <c r="E7097" s="44"/>
      <c r="F7097" s="16">
        <f>base!W7097</f>
        <v>0</v>
      </c>
      <c r="G7097" s="11">
        <f t="shared" si="1100"/>
        <v>0</v>
      </c>
      <c r="H7097" s="11">
        <f t="shared" si="1101"/>
        <v>0</v>
      </c>
      <c r="I7097" s="11">
        <f t="shared" si="1102"/>
        <v>0</v>
      </c>
      <c r="J7097" s="12">
        <f t="shared" si="1103"/>
        <v>0</v>
      </c>
      <c r="K7097" s="17" t="str">
        <f t="shared" si="1108"/>
        <v>Pas d'écart</v>
      </c>
      <c r="L7097" s="16">
        <f>base!X7097</f>
        <v>0</v>
      </c>
      <c r="M7097" s="11">
        <f t="shared" si="1104"/>
        <v>0</v>
      </c>
      <c r="N7097" s="11">
        <f t="shared" si="1105"/>
        <v>0</v>
      </c>
      <c r="O7097" s="11">
        <f t="shared" si="1106"/>
        <v>0</v>
      </c>
      <c r="P7097" s="12">
        <f t="shared" si="1107"/>
        <v>0</v>
      </c>
      <c r="Q7097" s="17" t="str">
        <f t="shared" si="1109"/>
        <v>Pas d'écart</v>
      </c>
    </row>
    <row r="7098" spans="1:17" x14ac:dyDescent="0.3">
      <c r="A7098" s="34" t="str">
        <f>base!J7098</f>
        <v>DRM</v>
      </c>
      <c r="B7098" s="34" t="str">
        <f>base!V7098</f>
        <v>38230</v>
      </c>
      <c r="C7098" s="37">
        <v>38</v>
      </c>
      <c r="D7098" s="36">
        <f>base!H7098</f>
        <v>23.4</v>
      </c>
      <c r="E7098" s="44"/>
      <c r="F7098" s="16">
        <f>base!W7098</f>
        <v>0</v>
      </c>
      <c r="G7098" s="11">
        <f t="shared" si="1100"/>
        <v>0</v>
      </c>
      <c r="H7098" s="11">
        <f t="shared" si="1101"/>
        <v>6.3179999999999996</v>
      </c>
      <c r="I7098" s="11">
        <f t="shared" si="1102"/>
        <v>0.27</v>
      </c>
      <c r="J7098" s="12">
        <f t="shared" si="1103"/>
        <v>-6.3179999999999996</v>
      </c>
      <c r="K7098" s="17" t="str">
        <f t="shared" si="1108"/>
        <v>Ecart négatif</v>
      </c>
      <c r="L7098" s="16">
        <f>base!X7098</f>
        <v>0</v>
      </c>
      <c r="M7098" s="11">
        <f t="shared" si="1104"/>
        <v>0</v>
      </c>
      <c r="N7098" s="11">
        <f t="shared" si="1105"/>
        <v>0</v>
      </c>
      <c r="O7098" s="11">
        <f t="shared" si="1106"/>
        <v>0</v>
      </c>
      <c r="P7098" s="12">
        <f t="shared" si="1107"/>
        <v>0</v>
      </c>
      <c r="Q7098" s="17" t="str">
        <f t="shared" si="1109"/>
        <v>Pas d'écart</v>
      </c>
    </row>
    <row r="7099" spans="1:17" x14ac:dyDescent="0.3">
      <c r="A7099" s="34" t="str">
        <f>base!J7099</f>
        <v>LM</v>
      </c>
      <c r="B7099" s="34" t="str">
        <f>base!V7099</f>
        <v>16380</v>
      </c>
      <c r="C7099" s="37">
        <v>29</v>
      </c>
      <c r="D7099" s="36">
        <f>base!H7099</f>
        <v>19.8</v>
      </c>
      <c r="E7099" s="44"/>
      <c r="F7099" s="16">
        <f>base!W7099</f>
        <v>4.16</v>
      </c>
      <c r="G7099" s="11">
        <f t="shared" si="1100"/>
        <v>0.21010101010101009</v>
      </c>
      <c r="H7099" s="11">
        <f t="shared" si="1101"/>
        <v>7.7220000000000004</v>
      </c>
      <c r="I7099" s="11">
        <f t="shared" si="1102"/>
        <v>0.39</v>
      </c>
      <c r="J7099" s="12">
        <f t="shared" si="1103"/>
        <v>-3.5620000000000003</v>
      </c>
      <c r="K7099" s="17" t="str">
        <f t="shared" si="1108"/>
        <v>Ecart négatif</v>
      </c>
      <c r="L7099" s="16">
        <f>base!X7099</f>
        <v>0</v>
      </c>
      <c r="M7099" s="11">
        <f t="shared" si="1104"/>
        <v>0</v>
      </c>
      <c r="N7099" s="11">
        <f t="shared" si="1105"/>
        <v>2.3759999999999999</v>
      </c>
      <c r="O7099" s="11">
        <f t="shared" si="1106"/>
        <v>0.12</v>
      </c>
      <c r="P7099" s="12">
        <f t="shared" si="1107"/>
        <v>-2.3759999999999999</v>
      </c>
      <c r="Q7099" s="17" t="str">
        <f t="shared" si="1109"/>
        <v>Ecart négatif</v>
      </c>
    </row>
    <row r="7100" spans="1:17" x14ac:dyDescent="0.3">
      <c r="A7100" s="34" t="str">
        <f>base!J7100</f>
        <v>DLS</v>
      </c>
      <c r="B7100" s="34" t="str">
        <f>base!V7100</f>
        <v>51100</v>
      </c>
      <c r="C7100" s="37">
        <v>51</v>
      </c>
      <c r="D7100" s="36">
        <f>base!H7100</f>
        <v>55</v>
      </c>
      <c r="E7100" s="44"/>
      <c r="F7100" s="16">
        <f>base!W7100</f>
        <v>13.75</v>
      </c>
      <c r="G7100" s="11">
        <f t="shared" si="1100"/>
        <v>0.25</v>
      </c>
      <c r="H7100" s="11">
        <f t="shared" si="1101"/>
        <v>13.75</v>
      </c>
      <c r="I7100" s="11">
        <f t="shared" si="1102"/>
        <v>0.25</v>
      </c>
      <c r="J7100" s="12">
        <f t="shared" si="1103"/>
        <v>0</v>
      </c>
      <c r="K7100" s="17" t="str">
        <f t="shared" si="1108"/>
        <v>Pas d'écart</v>
      </c>
      <c r="L7100" s="16">
        <f>base!X7100</f>
        <v>0</v>
      </c>
      <c r="M7100" s="11">
        <f t="shared" si="1104"/>
        <v>0</v>
      </c>
      <c r="N7100" s="11">
        <f t="shared" si="1105"/>
        <v>13.75</v>
      </c>
      <c r="O7100" s="11">
        <f t="shared" si="1106"/>
        <v>0.25</v>
      </c>
      <c r="P7100" s="12">
        <f t="shared" si="1107"/>
        <v>-13.75</v>
      </c>
      <c r="Q7100" s="17" t="str">
        <f t="shared" si="1109"/>
        <v>Ecart négatif</v>
      </c>
    </row>
    <row r="7101" spans="1:17" x14ac:dyDescent="0.3">
      <c r="A7101" s="34" t="str">
        <f>base!J7101</f>
        <v>LS</v>
      </c>
      <c r="B7101" s="34" t="str">
        <f>base!V7101</f>
        <v>50400</v>
      </c>
      <c r="C7101" s="37">
        <v>34</v>
      </c>
      <c r="D7101" s="36">
        <f>base!H7101</f>
        <v>55.36</v>
      </c>
      <c r="E7101" s="44"/>
      <c r="F7101" s="16">
        <f>base!W7101</f>
        <v>9.41</v>
      </c>
      <c r="G7101" s="11">
        <f t="shared" si="1100"/>
        <v>0.16997832369942198</v>
      </c>
      <c r="H7101" s="11">
        <f t="shared" si="1101"/>
        <v>21.590399999999999</v>
      </c>
      <c r="I7101" s="11">
        <f t="shared" si="1102"/>
        <v>0.38999999999999996</v>
      </c>
      <c r="J7101" s="12">
        <f t="shared" si="1103"/>
        <v>-12.180399999999999</v>
      </c>
      <c r="K7101" s="17" t="str">
        <f t="shared" si="1108"/>
        <v>Ecart négatif</v>
      </c>
      <c r="L7101" s="16">
        <f>base!X7101</f>
        <v>0</v>
      </c>
      <c r="M7101" s="11">
        <f t="shared" si="1104"/>
        <v>0</v>
      </c>
      <c r="N7101" s="11">
        <f t="shared" si="1105"/>
        <v>15.500800000000002</v>
      </c>
      <c r="O7101" s="11">
        <f t="shared" si="1106"/>
        <v>0.28000000000000003</v>
      </c>
      <c r="P7101" s="12">
        <f t="shared" si="1107"/>
        <v>-15.500800000000002</v>
      </c>
      <c r="Q7101" s="17" t="str">
        <f t="shared" si="1109"/>
        <v>Ecart négatif</v>
      </c>
    </row>
    <row r="7102" spans="1:17" x14ac:dyDescent="0.3">
      <c r="A7102" s="34" t="str">
        <f>base!J7102</f>
        <v>RS</v>
      </c>
      <c r="B7102" s="34" t="str">
        <f>base!V7102</f>
        <v>39000</v>
      </c>
      <c r="C7102" s="37">
        <v>39</v>
      </c>
      <c r="D7102" s="36">
        <f>base!H7102</f>
        <v>149.83000000000001</v>
      </c>
      <c r="E7102" s="44"/>
      <c r="F7102" s="16">
        <f>base!W7102</f>
        <v>0</v>
      </c>
      <c r="G7102" s="11">
        <f t="shared" si="1100"/>
        <v>0</v>
      </c>
      <c r="H7102" s="11">
        <f t="shared" si="1101"/>
        <v>40.454100000000004</v>
      </c>
      <c r="I7102" s="11">
        <f t="shared" si="1102"/>
        <v>0.27</v>
      </c>
      <c r="J7102" s="12">
        <f t="shared" si="1103"/>
        <v>-40.454100000000004</v>
      </c>
      <c r="K7102" s="17" t="str">
        <f t="shared" si="1108"/>
        <v>Ecart négatif</v>
      </c>
      <c r="L7102" s="16">
        <f>base!X7102</f>
        <v>0</v>
      </c>
      <c r="M7102" s="11">
        <f t="shared" si="1104"/>
        <v>0</v>
      </c>
      <c r="N7102" s="11">
        <f t="shared" si="1105"/>
        <v>0</v>
      </c>
      <c r="O7102" s="11">
        <f t="shared" si="1106"/>
        <v>0</v>
      </c>
      <c r="P7102" s="12">
        <f t="shared" si="1107"/>
        <v>0</v>
      </c>
      <c r="Q7102" s="17" t="str">
        <f t="shared" si="1109"/>
        <v>Pas d'écart</v>
      </c>
    </row>
    <row r="7103" spans="1:17" x14ac:dyDescent="0.3">
      <c r="A7103" s="34" t="str">
        <f>base!J7103</f>
        <v>LM</v>
      </c>
      <c r="B7103" s="34" t="str">
        <f>base!V7103</f>
        <v>21160</v>
      </c>
      <c r="C7103" s="37">
        <v>34</v>
      </c>
      <c r="D7103" s="36">
        <f>base!H7103</f>
        <v>55.16</v>
      </c>
      <c r="E7103" s="44"/>
      <c r="F7103" s="16">
        <f>base!W7103</f>
        <v>13.24</v>
      </c>
      <c r="G7103" s="11">
        <f t="shared" si="1100"/>
        <v>0.24002900652646847</v>
      </c>
      <c r="H7103" s="11">
        <f t="shared" si="1101"/>
        <v>21.5124</v>
      </c>
      <c r="I7103" s="11">
        <f t="shared" si="1102"/>
        <v>0.39</v>
      </c>
      <c r="J7103" s="12">
        <f t="shared" si="1103"/>
        <v>-8.2723999999999993</v>
      </c>
      <c r="K7103" s="17" t="str">
        <f t="shared" si="1108"/>
        <v>Ecart négatif</v>
      </c>
      <c r="L7103" s="16">
        <f>base!X7103</f>
        <v>0</v>
      </c>
      <c r="M7103" s="11">
        <f t="shared" si="1104"/>
        <v>0</v>
      </c>
      <c r="N7103" s="11">
        <f t="shared" si="1105"/>
        <v>15.444800000000001</v>
      </c>
      <c r="O7103" s="11">
        <f t="shared" si="1106"/>
        <v>0.28000000000000003</v>
      </c>
      <c r="P7103" s="12">
        <f t="shared" si="1107"/>
        <v>-15.444800000000001</v>
      </c>
      <c r="Q7103" s="17" t="str">
        <f t="shared" si="1109"/>
        <v>Ecart négatif</v>
      </c>
    </row>
    <row r="7104" spans="1:17" x14ac:dyDescent="0.3">
      <c r="A7104" s="34">
        <f>base!J7104</f>
        <v>0</v>
      </c>
      <c r="B7104" s="34" t="str">
        <f>base!V7104</f>
        <v>77184</v>
      </c>
      <c r="C7104" s="37">
        <v>77</v>
      </c>
      <c r="D7104" s="36">
        <f>base!H7104</f>
        <v>31</v>
      </c>
      <c r="E7104" s="44"/>
      <c r="F7104" s="16">
        <f>base!W7104</f>
        <v>0</v>
      </c>
      <c r="G7104" s="11">
        <f t="shared" si="1100"/>
        <v>0</v>
      </c>
      <c r="H7104" s="11">
        <f t="shared" si="1101"/>
        <v>0</v>
      </c>
      <c r="I7104" s="11">
        <f t="shared" si="1102"/>
        <v>0</v>
      </c>
      <c r="J7104" s="12">
        <f t="shared" si="1103"/>
        <v>0</v>
      </c>
      <c r="K7104" s="17" t="str">
        <f t="shared" si="1108"/>
        <v>Pas d'écart</v>
      </c>
      <c r="L7104" s="16">
        <f>base!X7104</f>
        <v>0</v>
      </c>
      <c r="M7104" s="11">
        <f t="shared" si="1104"/>
        <v>0</v>
      </c>
      <c r="N7104" s="11">
        <f t="shared" si="1105"/>
        <v>0</v>
      </c>
      <c r="O7104" s="11">
        <f t="shared" si="1106"/>
        <v>0</v>
      </c>
      <c r="P7104" s="12">
        <f t="shared" si="1107"/>
        <v>0</v>
      </c>
      <c r="Q7104" s="17" t="str">
        <f t="shared" si="1109"/>
        <v>Pas d'écart</v>
      </c>
    </row>
    <row r="7105" spans="1:18" x14ac:dyDescent="0.3">
      <c r="A7105" s="34" t="str">
        <f>base!J7105</f>
        <v>RS</v>
      </c>
      <c r="B7105" s="34" t="str">
        <f>base!V7105</f>
        <v>50440</v>
      </c>
      <c r="C7105" s="37">
        <v>50</v>
      </c>
      <c r="D7105" s="36">
        <f>base!H7105</f>
        <v>126.4</v>
      </c>
      <c r="E7105" s="44"/>
      <c r="F7105" s="16">
        <f>base!W7105</f>
        <v>0</v>
      </c>
      <c r="G7105" s="11">
        <f t="shared" si="1100"/>
        <v>0</v>
      </c>
      <c r="H7105" s="11">
        <f t="shared" si="1101"/>
        <v>21.488000000000003</v>
      </c>
      <c r="I7105" s="11">
        <f t="shared" si="1102"/>
        <v>0.17</v>
      </c>
      <c r="J7105" s="12">
        <f t="shared" si="1103"/>
        <v>-21.488000000000003</v>
      </c>
      <c r="K7105" s="17" t="str">
        <f t="shared" si="1108"/>
        <v>Ecart négatif</v>
      </c>
      <c r="L7105" s="16">
        <f>base!X7105</f>
        <v>21.49</v>
      </c>
      <c r="M7105" s="11">
        <f t="shared" si="1104"/>
        <v>0.17001582278481012</v>
      </c>
      <c r="N7105" s="11">
        <f t="shared" si="1105"/>
        <v>21.488000000000003</v>
      </c>
      <c r="O7105" s="11">
        <f t="shared" si="1106"/>
        <v>0.17</v>
      </c>
      <c r="P7105" s="12">
        <f t="shared" si="1107"/>
        <v>1.9999999999953388E-3</v>
      </c>
      <c r="Q7105" s="17" t="str">
        <f t="shared" si="1109"/>
        <v>Ecart positif</v>
      </c>
      <c r="R7105" s="38"/>
    </row>
    <row r="7106" spans="1:18" x14ac:dyDescent="0.3">
      <c r="A7106" s="34">
        <f>base!J7106</f>
        <v>0</v>
      </c>
      <c r="B7106" s="34" t="str">
        <f>base!V7106</f>
        <v>77184</v>
      </c>
      <c r="C7106" s="37">
        <v>77</v>
      </c>
      <c r="D7106" s="36">
        <f>base!H7106</f>
        <v>82.8</v>
      </c>
      <c r="E7106" s="44"/>
      <c r="F7106" s="16">
        <f>base!W7106</f>
        <v>0</v>
      </c>
      <c r="G7106" s="11">
        <f t="shared" ref="G7106:G7169" si="1110">F7106/D7106</f>
        <v>0</v>
      </c>
      <c r="H7106" s="11">
        <f t="shared" ref="H7106:H7169" si="1111">VLOOKUP(C7106,tout_cout_traction,2,FALSE)*D7106</f>
        <v>0</v>
      </c>
      <c r="I7106" s="11">
        <f t="shared" ref="I7106:I7169" si="1112">H7106/D7106</f>
        <v>0</v>
      </c>
      <c r="J7106" s="12">
        <f t="shared" ref="J7106:J7169" si="1113">F7106-H7106</f>
        <v>0</v>
      </c>
      <c r="K7106" s="17" t="str">
        <f t="shared" si="1108"/>
        <v>Pas d'écart</v>
      </c>
      <c r="L7106" s="16">
        <f>base!X7106</f>
        <v>0</v>
      </c>
      <c r="M7106" s="11">
        <f t="shared" ref="M7106:M7169" si="1114">L7106/D7106</f>
        <v>0</v>
      </c>
      <c r="N7106" s="11">
        <f t="shared" ref="N7106:N7169" si="1115">VLOOKUP(C7106,tout_cout_traction,3,FALSE)*D7106</f>
        <v>0</v>
      </c>
      <c r="O7106" s="11">
        <f t="shared" ref="O7106:O7169" si="1116">N7106/D7106</f>
        <v>0</v>
      </c>
      <c r="P7106" s="12">
        <f t="shared" ref="P7106:P7169" si="1117">L7106-N7106</f>
        <v>0</v>
      </c>
      <c r="Q7106" s="17" t="str">
        <f t="shared" si="1109"/>
        <v>Pas d'écart</v>
      </c>
    </row>
    <row r="7107" spans="1:18" x14ac:dyDescent="0.3">
      <c r="A7107" s="34">
        <f>base!J7107</f>
        <v>0</v>
      </c>
      <c r="B7107" s="34" t="str">
        <f>base!V7107</f>
        <v>77184</v>
      </c>
      <c r="C7107" s="37">
        <v>77</v>
      </c>
      <c r="D7107" s="36">
        <f>base!H7107</f>
        <v>31</v>
      </c>
      <c r="E7107" s="44"/>
      <c r="F7107" s="16">
        <f>base!W7107</f>
        <v>0</v>
      </c>
      <c r="G7107" s="11">
        <f t="shared" si="1110"/>
        <v>0</v>
      </c>
      <c r="H7107" s="11">
        <f t="shared" si="1111"/>
        <v>0</v>
      </c>
      <c r="I7107" s="11">
        <f t="shared" si="1112"/>
        <v>0</v>
      </c>
      <c r="J7107" s="12">
        <f t="shared" si="1113"/>
        <v>0</v>
      </c>
      <c r="K7107" s="17" t="str">
        <f t="shared" ref="K7107:K7170" si="1118">IF(H7107=F7107,"Pas d'écart",IF(H7107&lt;F7107,"Ecart positif",IF(H7107&gt;F7107,"Ecart négatif")))</f>
        <v>Pas d'écart</v>
      </c>
      <c r="L7107" s="16">
        <f>base!X7107</f>
        <v>0</v>
      </c>
      <c r="M7107" s="11">
        <f t="shared" si="1114"/>
        <v>0</v>
      </c>
      <c r="N7107" s="11">
        <f t="shared" si="1115"/>
        <v>0</v>
      </c>
      <c r="O7107" s="11">
        <f t="shared" si="1116"/>
        <v>0</v>
      </c>
      <c r="P7107" s="12">
        <f t="shared" si="1117"/>
        <v>0</v>
      </c>
      <c r="Q7107" s="17" t="str">
        <f t="shared" ref="Q7107:Q7170" si="1119">IF(N7107=L7107,"Pas d'écart",IF(N7107&lt;L7107,"Ecart positif",IF(N7107&gt;L7107,"Ecart négatif")))</f>
        <v>Pas d'écart</v>
      </c>
    </row>
    <row r="7108" spans="1:18" x14ac:dyDescent="0.3">
      <c r="A7108" s="34" t="str">
        <f>base!J7108</f>
        <v>DLM</v>
      </c>
      <c r="B7108" s="34" t="str">
        <f>base!V7108</f>
        <v>63100</v>
      </c>
      <c r="C7108" s="37">
        <v>63</v>
      </c>
      <c r="D7108" s="36">
        <f>base!H7108</f>
        <v>163.08000000000001</v>
      </c>
      <c r="E7108" s="44"/>
      <c r="F7108" s="16">
        <f>base!W7108</f>
        <v>0</v>
      </c>
      <c r="G7108" s="11">
        <f t="shared" si="1110"/>
        <v>0</v>
      </c>
      <c r="H7108" s="11">
        <f t="shared" si="1111"/>
        <v>47.293199999999999</v>
      </c>
      <c r="I7108" s="11">
        <f t="shared" si="1112"/>
        <v>0.28999999999999998</v>
      </c>
      <c r="J7108" s="12">
        <f t="shared" si="1113"/>
        <v>-47.293199999999999</v>
      </c>
      <c r="K7108" s="17" t="str">
        <f t="shared" si="1118"/>
        <v>Ecart négatif</v>
      </c>
      <c r="L7108" s="16">
        <f>base!X7108</f>
        <v>0</v>
      </c>
      <c r="M7108" s="11">
        <f t="shared" si="1114"/>
        <v>0</v>
      </c>
      <c r="N7108" s="11">
        <f t="shared" si="1115"/>
        <v>19.569600000000001</v>
      </c>
      <c r="O7108" s="11">
        <f t="shared" si="1116"/>
        <v>0.12</v>
      </c>
      <c r="P7108" s="12">
        <f t="shared" si="1117"/>
        <v>-19.569600000000001</v>
      </c>
      <c r="Q7108" s="17" t="str">
        <f t="shared" si="1119"/>
        <v>Ecart négatif</v>
      </c>
    </row>
    <row r="7109" spans="1:18" x14ac:dyDescent="0.3">
      <c r="A7109" s="34" t="str">
        <f>base!J7109</f>
        <v>RS</v>
      </c>
      <c r="B7109" s="34" t="str">
        <f>base!V7109</f>
        <v>25000</v>
      </c>
      <c r="C7109" s="37">
        <v>25</v>
      </c>
      <c r="D7109" s="36">
        <f>base!H7109</f>
        <v>180</v>
      </c>
      <c r="E7109" s="44"/>
      <c r="F7109" s="16">
        <f>base!W7109</f>
        <v>0</v>
      </c>
      <c r="G7109" s="11">
        <f t="shared" si="1110"/>
        <v>0</v>
      </c>
      <c r="H7109" s="11">
        <f t="shared" si="1111"/>
        <v>43.199999999999996</v>
      </c>
      <c r="I7109" s="11">
        <f t="shared" si="1112"/>
        <v>0.23999999999999996</v>
      </c>
      <c r="J7109" s="12">
        <f t="shared" si="1113"/>
        <v>-43.199999999999996</v>
      </c>
      <c r="K7109" s="17" t="str">
        <f t="shared" si="1118"/>
        <v>Ecart négatif</v>
      </c>
      <c r="L7109" s="16">
        <f>base!X7109</f>
        <v>21.6</v>
      </c>
      <c r="M7109" s="11">
        <f t="shared" si="1114"/>
        <v>0.12000000000000001</v>
      </c>
      <c r="N7109" s="11">
        <f t="shared" si="1115"/>
        <v>21.599999999999998</v>
      </c>
      <c r="O7109" s="11">
        <f t="shared" si="1116"/>
        <v>0.11999999999999998</v>
      </c>
      <c r="P7109" s="12">
        <f t="shared" si="1117"/>
        <v>0</v>
      </c>
      <c r="Q7109" s="17" t="str">
        <f t="shared" si="1119"/>
        <v>Pas d'écart</v>
      </c>
      <c r="R7109" s="38"/>
    </row>
    <row r="7110" spans="1:18" x14ac:dyDescent="0.3">
      <c r="A7110" s="34" t="str">
        <f>base!J7110</f>
        <v>RM</v>
      </c>
      <c r="B7110" s="34" t="str">
        <f>base!V7110</f>
        <v>70000</v>
      </c>
      <c r="C7110" s="37">
        <v>70</v>
      </c>
      <c r="D7110" s="36">
        <f>base!H7110</f>
        <v>91</v>
      </c>
      <c r="E7110" s="44"/>
      <c r="F7110" s="16">
        <f>base!W7110</f>
        <v>0</v>
      </c>
      <c r="G7110" s="11">
        <f t="shared" si="1110"/>
        <v>0</v>
      </c>
      <c r="H7110" s="11">
        <f t="shared" si="1111"/>
        <v>21.84</v>
      </c>
      <c r="I7110" s="11">
        <f t="shared" si="1112"/>
        <v>0.24</v>
      </c>
      <c r="J7110" s="12">
        <f t="shared" si="1113"/>
        <v>-21.84</v>
      </c>
      <c r="K7110" s="17" t="str">
        <f t="shared" si="1118"/>
        <v>Ecart négatif</v>
      </c>
      <c r="L7110" s="16">
        <f>base!X7110</f>
        <v>0</v>
      </c>
      <c r="M7110" s="11">
        <f t="shared" si="1114"/>
        <v>0</v>
      </c>
      <c r="N7110" s="11">
        <f t="shared" si="1115"/>
        <v>10.92</v>
      </c>
      <c r="O7110" s="11">
        <f t="shared" si="1116"/>
        <v>0.12</v>
      </c>
      <c r="P7110" s="12">
        <f t="shared" si="1117"/>
        <v>-10.92</v>
      </c>
      <c r="Q7110" s="17" t="str">
        <f t="shared" si="1119"/>
        <v>Ecart négatif</v>
      </c>
    </row>
    <row r="7111" spans="1:18" x14ac:dyDescent="0.3">
      <c r="A7111" s="34" t="str">
        <f>base!J7111</f>
        <v>LM</v>
      </c>
      <c r="B7111" s="34" t="str">
        <f>base!V7111</f>
        <v>87000</v>
      </c>
      <c r="C7111" s="37">
        <v>34</v>
      </c>
      <c r="D7111" s="36">
        <f>base!H7111</f>
        <v>75.16</v>
      </c>
      <c r="E7111" s="44"/>
      <c r="F7111" s="16">
        <f>base!W7111</f>
        <v>21.8</v>
      </c>
      <c r="G7111" s="11">
        <f t="shared" si="1110"/>
        <v>0.29004789781798829</v>
      </c>
      <c r="H7111" s="11">
        <f t="shared" si="1111"/>
        <v>29.3124</v>
      </c>
      <c r="I7111" s="11">
        <f t="shared" si="1112"/>
        <v>0.39</v>
      </c>
      <c r="J7111" s="12">
        <f t="shared" si="1113"/>
        <v>-7.5123999999999995</v>
      </c>
      <c r="K7111" s="17" t="str">
        <f t="shared" si="1118"/>
        <v>Ecart négatif</v>
      </c>
      <c r="L7111" s="16">
        <f>base!X7111</f>
        <v>0</v>
      </c>
      <c r="M7111" s="11">
        <f t="shared" si="1114"/>
        <v>0</v>
      </c>
      <c r="N7111" s="11">
        <f t="shared" si="1115"/>
        <v>21.044800000000002</v>
      </c>
      <c r="O7111" s="11">
        <f t="shared" si="1116"/>
        <v>0.28000000000000003</v>
      </c>
      <c r="P7111" s="12">
        <f t="shared" si="1117"/>
        <v>-21.044800000000002</v>
      </c>
      <c r="Q7111" s="17" t="str">
        <f t="shared" si="1119"/>
        <v>Ecart négatif</v>
      </c>
    </row>
    <row r="7112" spans="1:18" x14ac:dyDescent="0.3">
      <c r="A7112" s="34" t="str">
        <f>base!J7112</f>
        <v>LM</v>
      </c>
      <c r="B7112" s="34" t="str">
        <f>base!V7112</f>
        <v>56920</v>
      </c>
      <c r="C7112" s="37">
        <v>34</v>
      </c>
      <c r="D7112" s="36">
        <f>base!H7112</f>
        <v>49.08</v>
      </c>
      <c r="E7112" s="44"/>
      <c r="F7112" s="16">
        <f>base!W7112</f>
        <v>13.25</v>
      </c>
      <c r="G7112" s="11">
        <f t="shared" si="1110"/>
        <v>0.26996740016299919</v>
      </c>
      <c r="H7112" s="11">
        <f t="shared" si="1111"/>
        <v>19.141200000000001</v>
      </c>
      <c r="I7112" s="11">
        <f t="shared" si="1112"/>
        <v>0.39</v>
      </c>
      <c r="J7112" s="12">
        <f t="shared" si="1113"/>
        <v>-5.8912000000000013</v>
      </c>
      <c r="K7112" s="17" t="str">
        <f t="shared" si="1118"/>
        <v>Ecart négatif</v>
      </c>
      <c r="L7112" s="16">
        <f>base!X7112</f>
        <v>0</v>
      </c>
      <c r="M7112" s="11">
        <f t="shared" si="1114"/>
        <v>0</v>
      </c>
      <c r="N7112" s="11">
        <f t="shared" si="1115"/>
        <v>13.7424</v>
      </c>
      <c r="O7112" s="11">
        <f t="shared" si="1116"/>
        <v>0.28000000000000003</v>
      </c>
      <c r="P7112" s="12">
        <f t="shared" si="1117"/>
        <v>-13.7424</v>
      </c>
      <c r="Q7112" s="17" t="str">
        <f t="shared" si="1119"/>
        <v>Ecart négatif</v>
      </c>
    </row>
    <row r="7113" spans="1:18" x14ac:dyDescent="0.3">
      <c r="A7113" s="34" t="str">
        <f>base!J7113</f>
        <v>RS</v>
      </c>
      <c r="B7113" s="34" t="str">
        <f>base!V7113</f>
        <v>60680</v>
      </c>
      <c r="C7113" s="37">
        <v>60</v>
      </c>
      <c r="D7113" s="36">
        <f>base!H7113</f>
        <v>180</v>
      </c>
      <c r="E7113" s="44"/>
      <c r="F7113" s="16">
        <f>base!W7113</f>
        <v>0</v>
      </c>
      <c r="G7113" s="11">
        <f t="shared" si="1110"/>
        <v>0</v>
      </c>
      <c r="H7113" s="11">
        <f t="shared" si="1111"/>
        <v>34.200000000000003</v>
      </c>
      <c r="I7113" s="11">
        <f t="shared" si="1112"/>
        <v>0.19</v>
      </c>
      <c r="J7113" s="12">
        <f t="shared" si="1113"/>
        <v>-34.200000000000003</v>
      </c>
      <c r="K7113" s="17" t="str">
        <f t="shared" si="1118"/>
        <v>Ecart négatif</v>
      </c>
      <c r="L7113" s="16">
        <f>base!X7113</f>
        <v>0</v>
      </c>
      <c r="M7113" s="11">
        <f t="shared" si="1114"/>
        <v>0</v>
      </c>
      <c r="N7113" s="11">
        <f t="shared" si="1115"/>
        <v>0</v>
      </c>
      <c r="O7113" s="11">
        <f t="shared" si="1116"/>
        <v>0</v>
      </c>
      <c r="P7113" s="12">
        <f t="shared" si="1117"/>
        <v>0</v>
      </c>
      <c r="Q7113" s="17" t="str">
        <f t="shared" si="1119"/>
        <v>Pas d'écart</v>
      </c>
    </row>
    <row r="7114" spans="1:18" x14ac:dyDescent="0.3">
      <c r="A7114" s="34" t="str">
        <f>base!J7114</f>
        <v>DRM</v>
      </c>
      <c r="B7114" s="34" t="str">
        <f>base!V7114</f>
        <v>67800</v>
      </c>
      <c r="C7114" s="37">
        <v>67</v>
      </c>
      <c r="D7114" s="36">
        <f>base!H7114</f>
        <v>151</v>
      </c>
      <c r="E7114" s="44"/>
      <c r="F7114" s="16">
        <f>base!W7114</f>
        <v>0</v>
      </c>
      <c r="G7114" s="11">
        <f t="shared" si="1110"/>
        <v>0</v>
      </c>
      <c r="H7114" s="11">
        <f t="shared" si="1111"/>
        <v>43.79</v>
      </c>
      <c r="I7114" s="11">
        <f t="shared" si="1112"/>
        <v>0.28999999999999998</v>
      </c>
      <c r="J7114" s="12">
        <f t="shared" si="1113"/>
        <v>-43.79</v>
      </c>
      <c r="K7114" s="17" t="str">
        <f t="shared" si="1118"/>
        <v>Ecart négatif</v>
      </c>
      <c r="L7114" s="16">
        <f>base!X7114</f>
        <v>0</v>
      </c>
      <c r="M7114" s="11">
        <f t="shared" si="1114"/>
        <v>0</v>
      </c>
      <c r="N7114" s="11">
        <f t="shared" si="1115"/>
        <v>12.08</v>
      </c>
      <c r="O7114" s="11">
        <f t="shared" si="1116"/>
        <v>0.08</v>
      </c>
      <c r="P7114" s="12">
        <f t="shared" si="1117"/>
        <v>-12.08</v>
      </c>
      <c r="Q7114" s="17" t="str">
        <f t="shared" si="1119"/>
        <v>Ecart négatif</v>
      </c>
    </row>
    <row r="7115" spans="1:18" x14ac:dyDescent="0.3">
      <c r="A7115" s="34" t="str">
        <f>base!J7115</f>
        <v>LS</v>
      </c>
      <c r="B7115" s="34" t="str">
        <f>base!V7115</f>
        <v>02190</v>
      </c>
      <c r="C7115" s="37">
        <v>34</v>
      </c>
      <c r="D7115" s="36">
        <f>base!H7115</f>
        <v>40</v>
      </c>
      <c r="E7115" s="44"/>
      <c r="F7115" s="16">
        <f>base!W7115</f>
        <v>7.6</v>
      </c>
      <c r="G7115" s="11">
        <f t="shared" si="1110"/>
        <v>0.19</v>
      </c>
      <c r="H7115" s="11">
        <f t="shared" si="1111"/>
        <v>15.600000000000001</v>
      </c>
      <c r="I7115" s="11">
        <f t="shared" si="1112"/>
        <v>0.39</v>
      </c>
      <c r="J7115" s="12">
        <f t="shared" si="1113"/>
        <v>-8.0000000000000018</v>
      </c>
      <c r="K7115" s="17" t="str">
        <f t="shared" si="1118"/>
        <v>Ecart négatif</v>
      </c>
      <c r="L7115" s="16">
        <f>base!X7115</f>
        <v>0</v>
      </c>
      <c r="M7115" s="11">
        <f t="shared" si="1114"/>
        <v>0</v>
      </c>
      <c r="N7115" s="11">
        <f t="shared" si="1115"/>
        <v>11.200000000000001</v>
      </c>
      <c r="O7115" s="11">
        <f t="shared" si="1116"/>
        <v>0.28000000000000003</v>
      </c>
      <c r="P7115" s="12">
        <f t="shared" si="1117"/>
        <v>-11.200000000000001</v>
      </c>
      <c r="Q7115" s="17" t="str">
        <f t="shared" si="1119"/>
        <v>Ecart négatif</v>
      </c>
    </row>
    <row r="7116" spans="1:18" x14ac:dyDescent="0.3">
      <c r="A7116" s="34">
        <f>base!J7116</f>
        <v>0</v>
      </c>
      <c r="B7116" s="34" t="str">
        <f>base!V7116</f>
        <v>44240</v>
      </c>
      <c r="C7116" s="37">
        <v>44</v>
      </c>
      <c r="D7116" s="36">
        <f>base!H7116</f>
        <v>28</v>
      </c>
      <c r="E7116" s="44"/>
      <c r="F7116" s="16">
        <f>base!W7116</f>
        <v>0</v>
      </c>
      <c r="G7116" s="11">
        <f t="shared" si="1110"/>
        <v>0</v>
      </c>
      <c r="H7116" s="11">
        <f t="shared" si="1111"/>
        <v>7.5600000000000005</v>
      </c>
      <c r="I7116" s="11">
        <f t="shared" si="1112"/>
        <v>0.27</v>
      </c>
      <c r="J7116" s="12">
        <f t="shared" si="1113"/>
        <v>-7.5600000000000005</v>
      </c>
      <c r="K7116" s="17" t="str">
        <f t="shared" si="1118"/>
        <v>Ecart négatif</v>
      </c>
      <c r="L7116" s="16">
        <f>base!X7116</f>
        <v>0</v>
      </c>
      <c r="M7116" s="11">
        <f t="shared" si="1114"/>
        <v>0</v>
      </c>
      <c r="N7116" s="11">
        <f t="shared" si="1115"/>
        <v>0</v>
      </c>
      <c r="O7116" s="11">
        <f t="shared" si="1116"/>
        <v>0</v>
      </c>
      <c r="P7116" s="12">
        <f t="shared" si="1117"/>
        <v>0</v>
      </c>
      <c r="Q7116" s="17" t="str">
        <f t="shared" si="1119"/>
        <v>Pas d'écart</v>
      </c>
    </row>
    <row r="7117" spans="1:18" x14ac:dyDescent="0.3">
      <c r="A7117" s="34">
        <f>base!J7117</f>
        <v>0</v>
      </c>
      <c r="B7117" s="34" t="str">
        <f>base!V7117</f>
        <v>77184</v>
      </c>
      <c r="C7117" s="37">
        <v>77</v>
      </c>
      <c r="D7117" s="36">
        <f>base!H7117</f>
        <v>175.82</v>
      </c>
      <c r="E7117" s="44"/>
      <c r="F7117" s="16">
        <f>base!W7117</f>
        <v>0</v>
      </c>
      <c r="G7117" s="11">
        <f t="shared" si="1110"/>
        <v>0</v>
      </c>
      <c r="H7117" s="11">
        <f t="shared" si="1111"/>
        <v>0</v>
      </c>
      <c r="I7117" s="11">
        <f t="shared" si="1112"/>
        <v>0</v>
      </c>
      <c r="J7117" s="12">
        <f t="shared" si="1113"/>
        <v>0</v>
      </c>
      <c r="K7117" s="17" t="str">
        <f t="shared" si="1118"/>
        <v>Pas d'écart</v>
      </c>
      <c r="L7117" s="16">
        <f>base!X7117</f>
        <v>0</v>
      </c>
      <c r="M7117" s="11">
        <f t="shared" si="1114"/>
        <v>0</v>
      </c>
      <c r="N7117" s="11">
        <f t="shared" si="1115"/>
        <v>0</v>
      </c>
      <c r="O7117" s="11">
        <f t="shared" si="1116"/>
        <v>0</v>
      </c>
      <c r="P7117" s="12">
        <f t="shared" si="1117"/>
        <v>0</v>
      </c>
      <c r="Q7117" s="17" t="str">
        <f t="shared" si="1119"/>
        <v>Pas d'écart</v>
      </c>
    </row>
    <row r="7118" spans="1:18" x14ac:dyDescent="0.3">
      <c r="A7118" s="34" t="str">
        <f>base!J7118</f>
        <v>LM</v>
      </c>
      <c r="B7118" s="34" t="str">
        <f>base!V7118</f>
        <v>75013</v>
      </c>
      <c r="C7118" s="37">
        <v>75</v>
      </c>
      <c r="D7118" s="36">
        <f>base!H7118</f>
        <v>205.94</v>
      </c>
      <c r="E7118" s="44"/>
      <c r="F7118" s="16">
        <f>base!W7118</f>
        <v>0</v>
      </c>
      <c r="G7118" s="11">
        <f t="shared" si="1110"/>
        <v>0</v>
      </c>
      <c r="H7118" s="11">
        <f t="shared" si="1111"/>
        <v>0</v>
      </c>
      <c r="I7118" s="11">
        <f t="shared" si="1112"/>
        <v>0</v>
      </c>
      <c r="J7118" s="12">
        <f t="shared" si="1113"/>
        <v>0</v>
      </c>
      <c r="K7118" s="17" t="str">
        <f t="shared" si="1118"/>
        <v>Pas d'écart</v>
      </c>
      <c r="L7118" s="16">
        <f>base!X7118</f>
        <v>0</v>
      </c>
      <c r="M7118" s="11">
        <f t="shared" si="1114"/>
        <v>0</v>
      </c>
      <c r="N7118" s="11">
        <f t="shared" si="1115"/>
        <v>0</v>
      </c>
      <c r="O7118" s="11">
        <f t="shared" si="1116"/>
        <v>0</v>
      </c>
      <c r="P7118" s="12">
        <f t="shared" si="1117"/>
        <v>0</v>
      </c>
      <c r="Q7118" s="17" t="str">
        <f t="shared" si="1119"/>
        <v>Pas d'écart</v>
      </c>
    </row>
    <row r="7119" spans="1:18" x14ac:dyDescent="0.3">
      <c r="A7119" s="34" t="str">
        <f>base!J7119</f>
        <v>RM</v>
      </c>
      <c r="B7119" s="34" t="str">
        <f>base!V7119</f>
        <v>69340</v>
      </c>
      <c r="C7119" s="37">
        <v>69</v>
      </c>
      <c r="D7119" s="36">
        <f>base!H7119</f>
        <v>40</v>
      </c>
      <c r="E7119" s="44"/>
      <c r="F7119" s="16">
        <f>base!W7119</f>
        <v>0</v>
      </c>
      <c r="G7119" s="11">
        <f t="shared" si="1110"/>
        <v>0</v>
      </c>
      <c r="H7119" s="11">
        <f t="shared" si="1111"/>
        <v>10.8</v>
      </c>
      <c r="I7119" s="11">
        <f t="shared" si="1112"/>
        <v>0.27</v>
      </c>
      <c r="J7119" s="12">
        <f t="shared" si="1113"/>
        <v>-10.8</v>
      </c>
      <c r="K7119" s="17" t="str">
        <f t="shared" si="1118"/>
        <v>Ecart négatif</v>
      </c>
      <c r="L7119" s="16">
        <f>base!X7119</f>
        <v>0</v>
      </c>
      <c r="M7119" s="11">
        <f t="shared" si="1114"/>
        <v>0</v>
      </c>
      <c r="N7119" s="11">
        <f t="shared" si="1115"/>
        <v>0</v>
      </c>
      <c r="O7119" s="11">
        <f t="shared" si="1116"/>
        <v>0</v>
      </c>
      <c r="P7119" s="12">
        <f t="shared" si="1117"/>
        <v>0</v>
      </c>
      <c r="Q7119" s="17" t="str">
        <f t="shared" si="1119"/>
        <v>Pas d'écart</v>
      </c>
    </row>
    <row r="7120" spans="1:18" x14ac:dyDescent="0.3">
      <c r="A7120" s="34" t="str">
        <f>base!J7120</f>
        <v>LS</v>
      </c>
      <c r="B7120" s="34" t="str">
        <f>base!V7120</f>
        <v>29490</v>
      </c>
      <c r="C7120" s="37">
        <v>34</v>
      </c>
      <c r="D7120" s="36">
        <f>base!H7120</f>
        <v>144.99</v>
      </c>
      <c r="E7120" s="44"/>
      <c r="F7120" s="16">
        <f>base!W7120</f>
        <v>56.55</v>
      </c>
      <c r="G7120" s="11">
        <f t="shared" si="1110"/>
        <v>0.39002689840678662</v>
      </c>
      <c r="H7120" s="11">
        <f t="shared" si="1111"/>
        <v>56.546100000000003</v>
      </c>
      <c r="I7120" s="11">
        <f t="shared" si="1112"/>
        <v>0.39</v>
      </c>
      <c r="J7120" s="12">
        <f t="shared" si="1113"/>
        <v>3.8999999999944635E-3</v>
      </c>
      <c r="K7120" s="17" t="str">
        <f t="shared" si="1118"/>
        <v>Ecart positif</v>
      </c>
      <c r="L7120" s="16">
        <f>base!X7120</f>
        <v>0</v>
      </c>
      <c r="M7120" s="11">
        <f t="shared" si="1114"/>
        <v>0</v>
      </c>
      <c r="N7120" s="11">
        <f t="shared" si="1115"/>
        <v>40.597200000000008</v>
      </c>
      <c r="O7120" s="11">
        <f t="shared" si="1116"/>
        <v>0.28000000000000003</v>
      </c>
      <c r="P7120" s="12">
        <f t="shared" si="1117"/>
        <v>-40.597200000000008</v>
      </c>
      <c r="Q7120" s="17" t="str">
        <f t="shared" si="1119"/>
        <v>Ecart négatif</v>
      </c>
    </row>
    <row r="7121" spans="1:17" x14ac:dyDescent="0.3">
      <c r="A7121" s="34" t="str">
        <f>base!J7121</f>
        <v>RM</v>
      </c>
      <c r="B7121" s="34" t="str">
        <f>base!V7121</f>
        <v>68250</v>
      </c>
      <c r="C7121" s="37">
        <v>68</v>
      </c>
      <c r="D7121" s="36">
        <f>base!H7121</f>
        <v>140</v>
      </c>
      <c r="E7121" s="44"/>
      <c r="F7121" s="16">
        <f>base!W7121</f>
        <v>0</v>
      </c>
      <c r="G7121" s="11">
        <f t="shared" si="1110"/>
        <v>0</v>
      </c>
      <c r="H7121" s="11">
        <f t="shared" si="1111"/>
        <v>40.599999999999994</v>
      </c>
      <c r="I7121" s="11">
        <f t="shared" si="1112"/>
        <v>0.28999999999999998</v>
      </c>
      <c r="J7121" s="12">
        <f t="shared" si="1113"/>
        <v>-40.599999999999994</v>
      </c>
      <c r="K7121" s="17" t="str">
        <f t="shared" si="1118"/>
        <v>Ecart négatif</v>
      </c>
      <c r="L7121" s="16">
        <f>base!X7121</f>
        <v>0</v>
      </c>
      <c r="M7121" s="11">
        <f t="shared" si="1114"/>
        <v>0</v>
      </c>
      <c r="N7121" s="11">
        <f t="shared" si="1115"/>
        <v>11.200000000000001</v>
      </c>
      <c r="O7121" s="11">
        <f t="shared" si="1116"/>
        <v>0.08</v>
      </c>
      <c r="P7121" s="12">
        <f t="shared" si="1117"/>
        <v>-11.200000000000001</v>
      </c>
      <c r="Q7121" s="17" t="str">
        <f t="shared" si="1119"/>
        <v>Ecart négatif</v>
      </c>
    </row>
    <row r="7122" spans="1:17" x14ac:dyDescent="0.3">
      <c r="A7122" s="34" t="str">
        <f>base!J7122</f>
        <v>LS</v>
      </c>
      <c r="B7122" s="34" t="str">
        <f>base!V7122</f>
        <v>83310</v>
      </c>
      <c r="C7122" s="37">
        <v>34</v>
      </c>
      <c r="D7122" s="36">
        <f>base!H7122</f>
        <v>55.34</v>
      </c>
      <c r="E7122" s="44"/>
      <c r="F7122" s="16">
        <f>base!W7122</f>
        <v>16.600000000000001</v>
      </c>
      <c r="G7122" s="11">
        <f t="shared" si="1110"/>
        <v>0.2999638597759306</v>
      </c>
      <c r="H7122" s="11">
        <f t="shared" si="1111"/>
        <v>21.582600000000003</v>
      </c>
      <c r="I7122" s="11">
        <f t="shared" si="1112"/>
        <v>0.39</v>
      </c>
      <c r="J7122" s="12">
        <f t="shared" si="1113"/>
        <v>-4.9826000000000015</v>
      </c>
      <c r="K7122" s="17" t="str">
        <f t="shared" si="1118"/>
        <v>Ecart négatif</v>
      </c>
      <c r="L7122" s="16">
        <f>base!X7122</f>
        <v>0</v>
      </c>
      <c r="M7122" s="11">
        <f t="shared" si="1114"/>
        <v>0</v>
      </c>
      <c r="N7122" s="11">
        <f t="shared" si="1115"/>
        <v>15.495200000000002</v>
      </c>
      <c r="O7122" s="11">
        <f t="shared" si="1116"/>
        <v>0.28000000000000003</v>
      </c>
      <c r="P7122" s="12">
        <f t="shared" si="1117"/>
        <v>-15.495200000000002</v>
      </c>
      <c r="Q7122" s="17" t="str">
        <f t="shared" si="1119"/>
        <v>Ecart négatif</v>
      </c>
    </row>
    <row r="7123" spans="1:17" x14ac:dyDescent="0.3">
      <c r="A7123" s="34" t="str">
        <f>base!J7123</f>
        <v>LS</v>
      </c>
      <c r="B7123" s="34" t="str">
        <f>base!V7123</f>
        <v>13009</v>
      </c>
      <c r="C7123" s="37">
        <v>34</v>
      </c>
      <c r="D7123" s="36">
        <f>base!H7123</f>
        <v>33.58</v>
      </c>
      <c r="E7123" s="44"/>
      <c r="F7123" s="16">
        <f>base!W7123</f>
        <v>9.74</v>
      </c>
      <c r="G7123" s="11">
        <f t="shared" si="1110"/>
        <v>0.29005360333531865</v>
      </c>
      <c r="H7123" s="11">
        <f t="shared" si="1111"/>
        <v>13.0962</v>
      </c>
      <c r="I7123" s="11">
        <f t="shared" si="1112"/>
        <v>0.39</v>
      </c>
      <c r="J7123" s="12">
        <f t="shared" si="1113"/>
        <v>-3.3561999999999994</v>
      </c>
      <c r="K7123" s="17" t="str">
        <f t="shared" si="1118"/>
        <v>Ecart négatif</v>
      </c>
      <c r="L7123" s="16">
        <f>base!X7123</f>
        <v>0</v>
      </c>
      <c r="M7123" s="11">
        <f t="shared" si="1114"/>
        <v>0</v>
      </c>
      <c r="N7123" s="11">
        <f t="shared" si="1115"/>
        <v>9.4024000000000001</v>
      </c>
      <c r="O7123" s="11">
        <f t="shared" si="1116"/>
        <v>0.28000000000000003</v>
      </c>
      <c r="P7123" s="12">
        <f t="shared" si="1117"/>
        <v>-9.4024000000000001</v>
      </c>
      <c r="Q7123" s="17" t="str">
        <f t="shared" si="1119"/>
        <v>Ecart négatif</v>
      </c>
    </row>
    <row r="7124" spans="1:17" x14ac:dyDescent="0.3">
      <c r="A7124" s="34" t="str">
        <f>base!J7124</f>
        <v>LM</v>
      </c>
      <c r="B7124" s="34" t="str">
        <f>base!V7124</f>
        <v>75014</v>
      </c>
      <c r="C7124" s="37">
        <v>75</v>
      </c>
      <c r="D7124" s="36">
        <f>base!H7124</f>
        <v>107.6</v>
      </c>
      <c r="E7124" s="44"/>
      <c r="F7124" s="16">
        <f>base!W7124</f>
        <v>0</v>
      </c>
      <c r="G7124" s="11">
        <f t="shared" si="1110"/>
        <v>0</v>
      </c>
      <c r="H7124" s="11">
        <f t="shared" si="1111"/>
        <v>0</v>
      </c>
      <c r="I7124" s="11">
        <f t="shared" si="1112"/>
        <v>0</v>
      </c>
      <c r="J7124" s="12">
        <f t="shared" si="1113"/>
        <v>0</v>
      </c>
      <c r="K7124" s="17" t="str">
        <f t="shared" si="1118"/>
        <v>Pas d'écart</v>
      </c>
      <c r="L7124" s="16">
        <f>base!X7124</f>
        <v>0</v>
      </c>
      <c r="M7124" s="11">
        <f t="shared" si="1114"/>
        <v>0</v>
      </c>
      <c r="N7124" s="11">
        <f t="shared" si="1115"/>
        <v>0</v>
      </c>
      <c r="O7124" s="11">
        <f t="shared" si="1116"/>
        <v>0</v>
      </c>
      <c r="P7124" s="12">
        <f t="shared" si="1117"/>
        <v>0</v>
      </c>
      <c r="Q7124" s="17" t="str">
        <f t="shared" si="1119"/>
        <v>Pas d'écart</v>
      </c>
    </row>
    <row r="7125" spans="1:17" x14ac:dyDescent="0.3">
      <c r="A7125" s="34">
        <f>base!J7125</f>
        <v>0</v>
      </c>
      <c r="B7125" s="34" t="str">
        <f>base!V7125</f>
        <v>44240</v>
      </c>
      <c r="C7125" s="37">
        <v>44</v>
      </c>
      <c r="D7125" s="36">
        <f>base!H7125</f>
        <v>104.1</v>
      </c>
      <c r="E7125" s="44"/>
      <c r="F7125" s="16">
        <f>base!W7125</f>
        <v>0</v>
      </c>
      <c r="G7125" s="11">
        <f t="shared" si="1110"/>
        <v>0</v>
      </c>
      <c r="H7125" s="11">
        <f t="shared" si="1111"/>
        <v>28.106999999999999</v>
      </c>
      <c r="I7125" s="11">
        <f t="shared" si="1112"/>
        <v>0.27</v>
      </c>
      <c r="J7125" s="12">
        <f t="shared" si="1113"/>
        <v>-28.106999999999999</v>
      </c>
      <c r="K7125" s="17" t="str">
        <f t="shared" si="1118"/>
        <v>Ecart négatif</v>
      </c>
      <c r="L7125" s="16">
        <f>base!X7125</f>
        <v>0</v>
      </c>
      <c r="M7125" s="11">
        <f t="shared" si="1114"/>
        <v>0</v>
      </c>
      <c r="N7125" s="11">
        <f t="shared" si="1115"/>
        <v>0</v>
      </c>
      <c r="O7125" s="11">
        <f t="shared" si="1116"/>
        <v>0</v>
      </c>
      <c r="P7125" s="12">
        <f t="shared" si="1117"/>
        <v>0</v>
      </c>
      <c r="Q7125" s="17" t="str">
        <f t="shared" si="1119"/>
        <v>Pas d'écart</v>
      </c>
    </row>
    <row r="7126" spans="1:17" x14ac:dyDescent="0.3">
      <c r="A7126" s="34" t="str">
        <f>base!J7126</f>
        <v>LS</v>
      </c>
      <c r="B7126" s="34" t="str">
        <f>base!V7126</f>
        <v>69800</v>
      </c>
      <c r="C7126" s="37">
        <v>69</v>
      </c>
      <c r="D7126" s="36">
        <f>base!H7126</f>
        <v>0</v>
      </c>
      <c r="E7126" s="44"/>
      <c r="F7126" s="16">
        <f>base!W7126</f>
        <v>0</v>
      </c>
      <c r="G7126" s="11" t="e">
        <f t="shared" si="1110"/>
        <v>#DIV/0!</v>
      </c>
      <c r="H7126" s="11">
        <f t="shared" si="1111"/>
        <v>0</v>
      </c>
      <c r="I7126" s="11" t="e">
        <f t="shared" si="1112"/>
        <v>#DIV/0!</v>
      </c>
      <c r="J7126" s="12">
        <f t="shared" si="1113"/>
        <v>0</v>
      </c>
      <c r="K7126" s="17" t="str">
        <f t="shared" si="1118"/>
        <v>Pas d'écart</v>
      </c>
      <c r="L7126" s="16">
        <f>base!X7126</f>
        <v>0</v>
      </c>
      <c r="M7126" s="11" t="e">
        <f t="shared" si="1114"/>
        <v>#DIV/0!</v>
      </c>
      <c r="N7126" s="11">
        <f t="shared" si="1115"/>
        <v>0</v>
      </c>
      <c r="O7126" s="11" t="e">
        <f t="shared" si="1116"/>
        <v>#DIV/0!</v>
      </c>
      <c r="P7126" s="12">
        <f t="shared" si="1117"/>
        <v>0</v>
      </c>
      <c r="Q7126" s="17" t="str">
        <f t="shared" si="1119"/>
        <v>Pas d'écart</v>
      </c>
    </row>
    <row r="7127" spans="1:17" x14ac:dyDescent="0.3">
      <c r="A7127" s="34" t="str">
        <f>base!J7127</f>
        <v>DRM</v>
      </c>
      <c r="B7127" s="34" t="str">
        <f>base!V7127</f>
        <v>79280</v>
      </c>
      <c r="C7127" s="37">
        <v>79</v>
      </c>
      <c r="D7127" s="36">
        <f>base!H7127</f>
        <v>70</v>
      </c>
      <c r="E7127" s="44"/>
      <c r="F7127" s="16">
        <f>base!W7127</f>
        <v>0</v>
      </c>
      <c r="G7127" s="11">
        <f t="shared" si="1110"/>
        <v>0</v>
      </c>
      <c r="H7127" s="11">
        <f t="shared" si="1111"/>
        <v>14.7</v>
      </c>
      <c r="I7127" s="11">
        <f t="shared" si="1112"/>
        <v>0.21</v>
      </c>
      <c r="J7127" s="12">
        <f t="shared" si="1113"/>
        <v>-14.7</v>
      </c>
      <c r="K7127" s="17" t="str">
        <f t="shared" si="1118"/>
        <v>Ecart négatif</v>
      </c>
      <c r="L7127" s="16">
        <f>base!X7127</f>
        <v>0</v>
      </c>
      <c r="M7127" s="11">
        <f t="shared" si="1114"/>
        <v>0</v>
      </c>
      <c r="N7127" s="11">
        <f t="shared" si="1115"/>
        <v>8.4</v>
      </c>
      <c r="O7127" s="11">
        <f t="shared" si="1116"/>
        <v>0.12000000000000001</v>
      </c>
      <c r="P7127" s="12">
        <f t="shared" si="1117"/>
        <v>-8.4</v>
      </c>
      <c r="Q7127" s="17" t="str">
        <f t="shared" si="1119"/>
        <v>Ecart négatif</v>
      </c>
    </row>
    <row r="7128" spans="1:17" x14ac:dyDescent="0.3">
      <c r="A7128" s="34" t="str">
        <f>base!J7128</f>
        <v>LM</v>
      </c>
      <c r="B7128" s="34" t="str">
        <f>base!V7128</f>
        <v>75014</v>
      </c>
      <c r="C7128" s="37">
        <v>75</v>
      </c>
      <c r="D7128" s="36">
        <f>base!H7128</f>
        <v>19.649999999999999</v>
      </c>
      <c r="E7128" s="44"/>
      <c r="F7128" s="16">
        <f>base!W7128</f>
        <v>0</v>
      </c>
      <c r="G7128" s="11">
        <f t="shared" si="1110"/>
        <v>0</v>
      </c>
      <c r="H7128" s="11">
        <f t="shared" si="1111"/>
        <v>0</v>
      </c>
      <c r="I7128" s="11">
        <f t="shared" si="1112"/>
        <v>0</v>
      </c>
      <c r="J7128" s="12">
        <f t="shared" si="1113"/>
        <v>0</v>
      </c>
      <c r="K7128" s="17" t="str">
        <f t="shared" si="1118"/>
        <v>Pas d'écart</v>
      </c>
      <c r="L7128" s="16">
        <f>base!X7128</f>
        <v>0</v>
      </c>
      <c r="M7128" s="11">
        <f t="shared" si="1114"/>
        <v>0</v>
      </c>
      <c r="N7128" s="11">
        <f t="shared" si="1115"/>
        <v>0</v>
      </c>
      <c r="O7128" s="11">
        <f t="shared" si="1116"/>
        <v>0</v>
      </c>
      <c r="P7128" s="12">
        <f t="shared" si="1117"/>
        <v>0</v>
      </c>
      <c r="Q7128" s="17" t="str">
        <f t="shared" si="1119"/>
        <v>Pas d'écart</v>
      </c>
    </row>
    <row r="7129" spans="1:17" x14ac:dyDescent="0.3">
      <c r="A7129" s="34">
        <f>base!J7129</f>
        <v>0</v>
      </c>
      <c r="B7129" s="34" t="str">
        <f>base!V7129</f>
        <v>77184</v>
      </c>
      <c r="C7129" s="37">
        <v>77</v>
      </c>
      <c r="D7129" s="36">
        <f>base!H7129</f>
        <v>84.5</v>
      </c>
      <c r="E7129" s="44"/>
      <c r="F7129" s="16">
        <f>base!W7129</f>
        <v>0</v>
      </c>
      <c r="G7129" s="11">
        <f t="shared" si="1110"/>
        <v>0</v>
      </c>
      <c r="H7129" s="11">
        <f t="shared" si="1111"/>
        <v>0</v>
      </c>
      <c r="I7129" s="11">
        <f t="shared" si="1112"/>
        <v>0</v>
      </c>
      <c r="J7129" s="12">
        <f t="shared" si="1113"/>
        <v>0</v>
      </c>
      <c r="K7129" s="17" t="str">
        <f t="shared" si="1118"/>
        <v>Pas d'écart</v>
      </c>
      <c r="L7129" s="16">
        <f>base!X7129</f>
        <v>0</v>
      </c>
      <c r="M7129" s="11">
        <f t="shared" si="1114"/>
        <v>0</v>
      </c>
      <c r="N7129" s="11">
        <f t="shared" si="1115"/>
        <v>0</v>
      </c>
      <c r="O7129" s="11">
        <f t="shared" si="1116"/>
        <v>0</v>
      </c>
      <c r="P7129" s="12">
        <f t="shared" si="1117"/>
        <v>0</v>
      </c>
      <c r="Q7129" s="17" t="str">
        <f t="shared" si="1119"/>
        <v>Pas d'écart</v>
      </c>
    </row>
    <row r="7130" spans="1:17" x14ac:dyDescent="0.3">
      <c r="A7130" s="34" t="str">
        <f>base!J7130</f>
        <v>LM</v>
      </c>
      <c r="B7130" s="34" t="str">
        <f>base!V7130</f>
        <v>75014</v>
      </c>
      <c r="C7130" s="37">
        <v>75</v>
      </c>
      <c r="D7130" s="36">
        <f>base!H7130</f>
        <v>19.649999999999999</v>
      </c>
      <c r="E7130" s="44"/>
      <c r="F7130" s="16">
        <f>base!W7130</f>
        <v>0</v>
      </c>
      <c r="G7130" s="11">
        <f t="shared" si="1110"/>
        <v>0</v>
      </c>
      <c r="H7130" s="11">
        <f t="shared" si="1111"/>
        <v>0</v>
      </c>
      <c r="I7130" s="11">
        <f t="shared" si="1112"/>
        <v>0</v>
      </c>
      <c r="J7130" s="12">
        <f t="shared" si="1113"/>
        <v>0</v>
      </c>
      <c r="K7130" s="17" t="str">
        <f t="shared" si="1118"/>
        <v>Pas d'écart</v>
      </c>
      <c r="L7130" s="16">
        <f>base!X7130</f>
        <v>0</v>
      </c>
      <c r="M7130" s="11">
        <f t="shared" si="1114"/>
        <v>0</v>
      </c>
      <c r="N7130" s="11">
        <f t="shared" si="1115"/>
        <v>0</v>
      </c>
      <c r="O7130" s="11">
        <f t="shared" si="1116"/>
        <v>0</v>
      </c>
      <c r="P7130" s="12">
        <f t="shared" si="1117"/>
        <v>0</v>
      </c>
      <c r="Q7130" s="17" t="str">
        <f t="shared" si="1119"/>
        <v>Pas d'écart</v>
      </c>
    </row>
    <row r="7131" spans="1:17" x14ac:dyDescent="0.3">
      <c r="A7131" s="34" t="str">
        <f>base!J7131</f>
        <v>RM</v>
      </c>
      <c r="B7131" s="34" t="str">
        <f>base!V7131</f>
        <v>62740</v>
      </c>
      <c r="C7131" s="37">
        <v>62</v>
      </c>
      <c r="D7131" s="36">
        <f>base!H7131</f>
        <v>33.6</v>
      </c>
      <c r="E7131" s="44"/>
      <c r="F7131" s="16">
        <f>base!W7131</f>
        <v>0</v>
      </c>
      <c r="G7131" s="11">
        <f t="shared" si="1110"/>
        <v>0</v>
      </c>
      <c r="H7131" s="11">
        <f t="shared" si="1111"/>
        <v>6.3840000000000003</v>
      </c>
      <c r="I7131" s="11">
        <f t="shared" si="1112"/>
        <v>0.19</v>
      </c>
      <c r="J7131" s="12">
        <f t="shared" si="1113"/>
        <v>-6.3840000000000003</v>
      </c>
      <c r="K7131" s="17" t="str">
        <f t="shared" si="1118"/>
        <v>Ecart négatif</v>
      </c>
      <c r="L7131" s="16">
        <f>base!X7131</f>
        <v>0</v>
      </c>
      <c r="M7131" s="11">
        <f t="shared" si="1114"/>
        <v>0</v>
      </c>
      <c r="N7131" s="11">
        <f t="shared" si="1115"/>
        <v>0</v>
      </c>
      <c r="O7131" s="11">
        <f t="shared" si="1116"/>
        <v>0</v>
      </c>
      <c r="P7131" s="12">
        <f t="shared" si="1117"/>
        <v>0</v>
      </c>
      <c r="Q7131" s="17" t="str">
        <f t="shared" si="1119"/>
        <v>Pas d'écart</v>
      </c>
    </row>
    <row r="7132" spans="1:17" x14ac:dyDescent="0.3">
      <c r="A7132" s="34" t="str">
        <f>base!J7132</f>
        <v>LS</v>
      </c>
      <c r="B7132" s="34" t="str">
        <f>base!V7132</f>
        <v>93100</v>
      </c>
      <c r="C7132" s="37">
        <v>93</v>
      </c>
      <c r="D7132" s="36">
        <f>base!H7132</f>
        <v>129.82</v>
      </c>
      <c r="E7132" s="44"/>
      <c r="F7132" s="16">
        <f>base!W7132</f>
        <v>0</v>
      </c>
      <c r="G7132" s="11">
        <f t="shared" si="1110"/>
        <v>0</v>
      </c>
      <c r="H7132" s="11">
        <f t="shared" si="1111"/>
        <v>0</v>
      </c>
      <c r="I7132" s="11">
        <f t="shared" si="1112"/>
        <v>0</v>
      </c>
      <c r="J7132" s="12">
        <f t="shared" si="1113"/>
        <v>0</v>
      </c>
      <c r="K7132" s="17" t="str">
        <f t="shared" si="1118"/>
        <v>Pas d'écart</v>
      </c>
      <c r="L7132" s="16">
        <f>base!X7132</f>
        <v>0</v>
      </c>
      <c r="M7132" s="11">
        <f t="shared" si="1114"/>
        <v>0</v>
      </c>
      <c r="N7132" s="11">
        <f t="shared" si="1115"/>
        <v>0</v>
      </c>
      <c r="O7132" s="11">
        <f t="shared" si="1116"/>
        <v>0</v>
      </c>
      <c r="P7132" s="12">
        <f t="shared" si="1117"/>
        <v>0</v>
      </c>
      <c r="Q7132" s="17" t="str">
        <f t="shared" si="1119"/>
        <v>Pas d'écart</v>
      </c>
    </row>
    <row r="7133" spans="1:17" x14ac:dyDescent="0.3">
      <c r="A7133" s="34" t="str">
        <f>base!J7133</f>
        <v>RS</v>
      </c>
      <c r="B7133" s="34" t="str">
        <f>base!V7133</f>
        <v>74110</v>
      </c>
      <c r="C7133" s="37">
        <v>74</v>
      </c>
      <c r="D7133" s="36">
        <f>base!H7133</f>
        <v>50</v>
      </c>
      <c r="E7133" s="44"/>
      <c r="F7133" s="16">
        <f>base!W7133</f>
        <v>0</v>
      </c>
      <c r="G7133" s="11">
        <f t="shared" si="1110"/>
        <v>0</v>
      </c>
      <c r="H7133" s="11">
        <f t="shared" si="1111"/>
        <v>13</v>
      </c>
      <c r="I7133" s="11">
        <f t="shared" si="1112"/>
        <v>0.26</v>
      </c>
      <c r="J7133" s="12">
        <f t="shared" si="1113"/>
        <v>-13</v>
      </c>
      <c r="K7133" s="17" t="str">
        <f t="shared" si="1118"/>
        <v>Ecart négatif</v>
      </c>
      <c r="L7133" s="16">
        <f>base!X7133</f>
        <v>0</v>
      </c>
      <c r="M7133" s="11">
        <f t="shared" si="1114"/>
        <v>0</v>
      </c>
      <c r="N7133" s="11">
        <f t="shared" si="1115"/>
        <v>0</v>
      </c>
      <c r="O7133" s="11">
        <f t="shared" si="1116"/>
        <v>0</v>
      </c>
      <c r="P7133" s="12">
        <f t="shared" si="1117"/>
        <v>0</v>
      </c>
      <c r="Q7133" s="17" t="str">
        <f t="shared" si="1119"/>
        <v>Pas d'écart</v>
      </c>
    </row>
    <row r="7134" spans="1:17" x14ac:dyDescent="0.3">
      <c r="A7134" s="34">
        <f>base!J7134</f>
        <v>0</v>
      </c>
      <c r="B7134" s="34" t="str">
        <f>base!V7134</f>
        <v>77184</v>
      </c>
      <c r="C7134" s="37">
        <v>77</v>
      </c>
      <c r="D7134" s="36">
        <f>base!H7134</f>
        <v>32</v>
      </c>
      <c r="E7134" s="44"/>
      <c r="F7134" s="16">
        <f>base!W7134</f>
        <v>0</v>
      </c>
      <c r="G7134" s="11">
        <f t="shared" si="1110"/>
        <v>0</v>
      </c>
      <c r="H7134" s="11">
        <f t="shared" si="1111"/>
        <v>0</v>
      </c>
      <c r="I7134" s="11">
        <f t="shared" si="1112"/>
        <v>0</v>
      </c>
      <c r="J7134" s="12">
        <f t="shared" si="1113"/>
        <v>0</v>
      </c>
      <c r="K7134" s="17" t="str">
        <f t="shared" si="1118"/>
        <v>Pas d'écart</v>
      </c>
      <c r="L7134" s="16">
        <f>base!X7134</f>
        <v>0</v>
      </c>
      <c r="M7134" s="11">
        <f t="shared" si="1114"/>
        <v>0</v>
      </c>
      <c r="N7134" s="11">
        <f t="shared" si="1115"/>
        <v>0</v>
      </c>
      <c r="O7134" s="11">
        <f t="shared" si="1116"/>
        <v>0</v>
      </c>
      <c r="P7134" s="12">
        <f t="shared" si="1117"/>
        <v>0</v>
      </c>
      <c r="Q7134" s="17" t="str">
        <f t="shared" si="1119"/>
        <v>Pas d'écart</v>
      </c>
    </row>
    <row r="7135" spans="1:17" x14ac:dyDescent="0.3">
      <c r="A7135" s="34" t="str">
        <f>base!J7135</f>
        <v>RS</v>
      </c>
      <c r="B7135" s="34" t="str">
        <f>base!V7135</f>
        <v>62000</v>
      </c>
      <c r="C7135" s="37">
        <v>62</v>
      </c>
      <c r="D7135" s="36">
        <f>base!H7135</f>
        <v>33.6</v>
      </c>
      <c r="E7135" s="44"/>
      <c r="F7135" s="16">
        <f>base!W7135</f>
        <v>0</v>
      </c>
      <c r="G7135" s="11">
        <f t="shared" si="1110"/>
        <v>0</v>
      </c>
      <c r="H7135" s="11">
        <f t="shared" si="1111"/>
        <v>6.3840000000000003</v>
      </c>
      <c r="I7135" s="11">
        <f t="shared" si="1112"/>
        <v>0.19</v>
      </c>
      <c r="J7135" s="12">
        <f t="shared" si="1113"/>
        <v>-6.3840000000000003</v>
      </c>
      <c r="K7135" s="17" t="str">
        <f t="shared" si="1118"/>
        <v>Ecart négatif</v>
      </c>
      <c r="L7135" s="16">
        <f>base!X7135</f>
        <v>0</v>
      </c>
      <c r="M7135" s="11">
        <f t="shared" si="1114"/>
        <v>0</v>
      </c>
      <c r="N7135" s="11">
        <f t="shared" si="1115"/>
        <v>0</v>
      </c>
      <c r="O7135" s="11">
        <f t="shared" si="1116"/>
        <v>0</v>
      </c>
      <c r="P7135" s="12">
        <f t="shared" si="1117"/>
        <v>0</v>
      </c>
      <c r="Q7135" s="17" t="str">
        <f t="shared" si="1119"/>
        <v>Pas d'écart</v>
      </c>
    </row>
    <row r="7136" spans="1:17" x14ac:dyDescent="0.3">
      <c r="A7136" s="34" t="str">
        <f>base!J7136</f>
        <v>RM</v>
      </c>
      <c r="B7136" s="34" t="str">
        <f>base!V7136</f>
        <v>78190</v>
      </c>
      <c r="C7136" s="37">
        <v>78</v>
      </c>
      <c r="D7136" s="36">
        <f>base!H7136</f>
        <v>25</v>
      </c>
      <c r="E7136" s="44"/>
      <c r="F7136" s="16">
        <f>base!W7136</f>
        <v>0</v>
      </c>
      <c r="G7136" s="11">
        <f t="shared" si="1110"/>
        <v>0</v>
      </c>
      <c r="H7136" s="11">
        <f t="shared" si="1111"/>
        <v>0</v>
      </c>
      <c r="I7136" s="11">
        <f t="shared" si="1112"/>
        <v>0</v>
      </c>
      <c r="J7136" s="12">
        <f t="shared" si="1113"/>
        <v>0</v>
      </c>
      <c r="K7136" s="17" t="str">
        <f t="shared" si="1118"/>
        <v>Pas d'écart</v>
      </c>
      <c r="L7136" s="16">
        <f>base!X7136</f>
        <v>0</v>
      </c>
      <c r="M7136" s="11">
        <f t="shared" si="1114"/>
        <v>0</v>
      </c>
      <c r="N7136" s="11">
        <f t="shared" si="1115"/>
        <v>0</v>
      </c>
      <c r="O7136" s="11">
        <f t="shared" si="1116"/>
        <v>0</v>
      </c>
      <c r="P7136" s="12">
        <f t="shared" si="1117"/>
        <v>0</v>
      </c>
      <c r="Q7136" s="17" t="str">
        <f t="shared" si="1119"/>
        <v>Pas d'écart</v>
      </c>
    </row>
    <row r="7137" spans="1:18" x14ac:dyDescent="0.3">
      <c r="A7137" s="34" t="str">
        <f>base!J7137</f>
        <v>RM</v>
      </c>
      <c r="B7137" s="34" t="str">
        <f>base!V7137</f>
        <v>54000</v>
      </c>
      <c r="C7137" s="37">
        <v>54</v>
      </c>
      <c r="D7137" s="36">
        <f>base!H7137</f>
        <v>37.24</v>
      </c>
      <c r="E7137" s="44"/>
      <c r="F7137" s="16">
        <f>base!W7137</f>
        <v>0</v>
      </c>
      <c r="G7137" s="11">
        <f t="shared" si="1110"/>
        <v>0</v>
      </c>
      <c r="H7137" s="11">
        <f t="shared" si="1111"/>
        <v>9.31</v>
      </c>
      <c r="I7137" s="11">
        <f t="shared" si="1112"/>
        <v>0.25</v>
      </c>
      <c r="J7137" s="12">
        <f t="shared" si="1113"/>
        <v>-9.31</v>
      </c>
      <c r="K7137" s="17" t="str">
        <f t="shared" si="1118"/>
        <v>Ecart négatif</v>
      </c>
      <c r="L7137" s="16">
        <f>base!X7137</f>
        <v>9.31</v>
      </c>
      <c r="M7137" s="11">
        <f t="shared" si="1114"/>
        <v>0.25</v>
      </c>
      <c r="N7137" s="11">
        <f t="shared" si="1115"/>
        <v>9.31</v>
      </c>
      <c r="O7137" s="11">
        <f t="shared" si="1116"/>
        <v>0.25</v>
      </c>
      <c r="P7137" s="12">
        <f t="shared" si="1117"/>
        <v>0</v>
      </c>
      <c r="Q7137" s="17" t="str">
        <f t="shared" si="1119"/>
        <v>Pas d'écart</v>
      </c>
      <c r="R7137" s="38"/>
    </row>
    <row r="7138" spans="1:18" x14ac:dyDescent="0.3">
      <c r="A7138" s="34" t="str">
        <f>base!J7138</f>
        <v>LS</v>
      </c>
      <c r="B7138" s="34" t="str">
        <f>base!V7138</f>
        <v>67100</v>
      </c>
      <c r="C7138" s="37">
        <v>34</v>
      </c>
      <c r="D7138" s="36">
        <f>base!H7138</f>
        <v>1.25</v>
      </c>
      <c r="E7138" s="44"/>
      <c r="F7138" s="16">
        <f>base!W7138</f>
        <v>0.36</v>
      </c>
      <c r="G7138" s="11">
        <f t="shared" si="1110"/>
        <v>0.28799999999999998</v>
      </c>
      <c r="H7138" s="11">
        <f t="shared" si="1111"/>
        <v>0.48750000000000004</v>
      </c>
      <c r="I7138" s="11">
        <f t="shared" si="1112"/>
        <v>0.39</v>
      </c>
      <c r="J7138" s="12">
        <f t="shared" si="1113"/>
        <v>-0.12750000000000006</v>
      </c>
      <c r="K7138" s="17" t="str">
        <f t="shared" si="1118"/>
        <v>Ecart négatif</v>
      </c>
      <c r="L7138" s="16">
        <f>base!X7138</f>
        <v>0</v>
      </c>
      <c r="M7138" s="11">
        <f t="shared" si="1114"/>
        <v>0</v>
      </c>
      <c r="N7138" s="11">
        <f t="shared" si="1115"/>
        <v>0.35000000000000003</v>
      </c>
      <c r="O7138" s="11">
        <f t="shared" si="1116"/>
        <v>0.28000000000000003</v>
      </c>
      <c r="P7138" s="12">
        <f t="shared" si="1117"/>
        <v>-0.35000000000000003</v>
      </c>
      <c r="Q7138" s="17" t="str">
        <f t="shared" si="1119"/>
        <v>Ecart négatif</v>
      </c>
    </row>
    <row r="7139" spans="1:18" x14ac:dyDescent="0.3">
      <c r="A7139" s="34">
        <f>base!J7139</f>
        <v>0</v>
      </c>
      <c r="B7139" s="34" t="str">
        <f>base!V7139</f>
        <v>77184</v>
      </c>
      <c r="C7139" s="37">
        <v>77</v>
      </c>
      <c r="D7139" s="36">
        <f>base!H7139</f>
        <v>166.52</v>
      </c>
      <c r="E7139" s="44"/>
      <c r="F7139" s="16">
        <f>base!W7139</f>
        <v>0</v>
      </c>
      <c r="G7139" s="11">
        <f t="shared" si="1110"/>
        <v>0</v>
      </c>
      <c r="H7139" s="11">
        <f t="shared" si="1111"/>
        <v>0</v>
      </c>
      <c r="I7139" s="11">
        <f t="shared" si="1112"/>
        <v>0</v>
      </c>
      <c r="J7139" s="12">
        <f t="shared" si="1113"/>
        <v>0</v>
      </c>
      <c r="K7139" s="17" t="str">
        <f t="shared" si="1118"/>
        <v>Pas d'écart</v>
      </c>
      <c r="L7139" s="16">
        <f>base!X7139</f>
        <v>0</v>
      </c>
      <c r="M7139" s="11">
        <f t="shared" si="1114"/>
        <v>0</v>
      </c>
      <c r="N7139" s="11">
        <f t="shared" si="1115"/>
        <v>0</v>
      </c>
      <c r="O7139" s="11">
        <f t="shared" si="1116"/>
        <v>0</v>
      </c>
      <c r="P7139" s="12">
        <f t="shared" si="1117"/>
        <v>0</v>
      </c>
      <c r="Q7139" s="17" t="str">
        <f t="shared" si="1119"/>
        <v>Pas d'écart</v>
      </c>
    </row>
    <row r="7140" spans="1:18" x14ac:dyDescent="0.3">
      <c r="A7140" s="34" t="str">
        <f>base!J7140</f>
        <v>DRS</v>
      </c>
      <c r="B7140" s="34" t="str">
        <f>base!V7140</f>
        <v>27230</v>
      </c>
      <c r="C7140" s="37">
        <v>27</v>
      </c>
      <c r="D7140" s="36">
        <f>base!H7140</f>
        <v>1503.29</v>
      </c>
      <c r="E7140" s="44"/>
      <c r="F7140" s="16">
        <f>base!W7140</f>
        <v>0</v>
      </c>
      <c r="G7140" s="11">
        <f t="shared" si="1110"/>
        <v>0</v>
      </c>
      <c r="H7140" s="11">
        <f t="shared" si="1111"/>
        <v>255.55930000000001</v>
      </c>
      <c r="I7140" s="11">
        <f t="shared" si="1112"/>
        <v>0.17</v>
      </c>
      <c r="J7140" s="12">
        <f t="shared" si="1113"/>
        <v>-255.55930000000001</v>
      </c>
      <c r="K7140" s="17" t="str">
        <f t="shared" si="1118"/>
        <v>Ecart négatif</v>
      </c>
      <c r="L7140" s="16">
        <f>base!X7140</f>
        <v>0</v>
      </c>
      <c r="M7140" s="11">
        <f t="shared" si="1114"/>
        <v>0</v>
      </c>
      <c r="N7140" s="11">
        <f t="shared" si="1115"/>
        <v>255.55930000000001</v>
      </c>
      <c r="O7140" s="11">
        <f t="shared" si="1116"/>
        <v>0.17</v>
      </c>
      <c r="P7140" s="12">
        <f t="shared" si="1117"/>
        <v>-255.55930000000001</v>
      </c>
      <c r="Q7140" s="17" t="str">
        <f t="shared" si="1119"/>
        <v>Ecart négatif</v>
      </c>
    </row>
    <row r="7141" spans="1:18" x14ac:dyDescent="0.3">
      <c r="A7141" s="34" t="str">
        <f>base!J7141</f>
        <v>LM</v>
      </c>
      <c r="B7141" s="34" t="str">
        <f>base!V7141</f>
        <v>13790</v>
      </c>
      <c r="C7141" s="37">
        <v>34</v>
      </c>
      <c r="D7141" s="36">
        <f>base!H7141</f>
        <v>107.72</v>
      </c>
      <c r="E7141" s="44"/>
      <c r="F7141" s="16">
        <f>base!W7141</f>
        <v>31.24</v>
      </c>
      <c r="G7141" s="11">
        <f t="shared" si="1110"/>
        <v>0.29001113999257333</v>
      </c>
      <c r="H7141" s="11">
        <f t="shared" si="1111"/>
        <v>42.010800000000003</v>
      </c>
      <c r="I7141" s="11">
        <f t="shared" si="1112"/>
        <v>0.39</v>
      </c>
      <c r="J7141" s="12">
        <f t="shared" si="1113"/>
        <v>-10.770800000000005</v>
      </c>
      <c r="K7141" s="17" t="str">
        <f t="shared" si="1118"/>
        <v>Ecart négatif</v>
      </c>
      <c r="L7141" s="16">
        <f>base!X7141</f>
        <v>0</v>
      </c>
      <c r="M7141" s="11">
        <f t="shared" si="1114"/>
        <v>0</v>
      </c>
      <c r="N7141" s="11">
        <f t="shared" si="1115"/>
        <v>30.161600000000004</v>
      </c>
      <c r="O7141" s="11">
        <f t="shared" si="1116"/>
        <v>0.28000000000000003</v>
      </c>
      <c r="P7141" s="12">
        <f t="shared" si="1117"/>
        <v>-30.161600000000004</v>
      </c>
      <c r="Q7141" s="17" t="str">
        <f t="shared" si="1119"/>
        <v>Ecart négatif</v>
      </c>
    </row>
    <row r="7142" spans="1:18" x14ac:dyDescent="0.3">
      <c r="A7142" s="34" t="str">
        <f>base!J7142</f>
        <v>LS</v>
      </c>
      <c r="B7142" s="34" t="str">
        <f>base!V7142</f>
        <v>50000</v>
      </c>
      <c r="C7142" s="37">
        <v>50</v>
      </c>
      <c r="D7142" s="36">
        <f>base!H7142</f>
        <v>80</v>
      </c>
      <c r="E7142" s="44"/>
      <c r="F7142" s="16">
        <f>base!W7142</f>
        <v>13.6</v>
      </c>
      <c r="G7142" s="11">
        <f t="shared" si="1110"/>
        <v>0.16999999999999998</v>
      </c>
      <c r="H7142" s="11">
        <f t="shared" si="1111"/>
        <v>13.600000000000001</v>
      </c>
      <c r="I7142" s="11">
        <f t="shared" si="1112"/>
        <v>0.17</v>
      </c>
      <c r="J7142" s="12">
        <f t="shared" si="1113"/>
        <v>0</v>
      </c>
      <c r="K7142" s="17" t="str">
        <f t="shared" si="1118"/>
        <v>Pas d'écart</v>
      </c>
      <c r="L7142" s="16">
        <f>base!X7142</f>
        <v>0</v>
      </c>
      <c r="M7142" s="11">
        <f t="shared" si="1114"/>
        <v>0</v>
      </c>
      <c r="N7142" s="11">
        <f t="shared" si="1115"/>
        <v>13.600000000000001</v>
      </c>
      <c r="O7142" s="11">
        <f t="shared" si="1116"/>
        <v>0.17</v>
      </c>
      <c r="P7142" s="12">
        <f t="shared" si="1117"/>
        <v>-13.600000000000001</v>
      </c>
      <c r="Q7142" s="17" t="str">
        <f t="shared" si="1119"/>
        <v>Ecart négatif</v>
      </c>
    </row>
    <row r="7143" spans="1:18" x14ac:dyDescent="0.3">
      <c r="A7143" s="34" t="str">
        <f>base!J7143</f>
        <v>RS</v>
      </c>
      <c r="B7143" s="34" t="str">
        <f>base!V7143</f>
        <v>39100</v>
      </c>
      <c r="C7143" s="37">
        <v>39</v>
      </c>
      <c r="D7143" s="36">
        <f>base!H7143</f>
        <v>30.58</v>
      </c>
      <c r="E7143" s="44"/>
      <c r="F7143" s="16">
        <f>base!W7143</f>
        <v>0</v>
      </c>
      <c r="G7143" s="11">
        <f t="shared" si="1110"/>
        <v>0</v>
      </c>
      <c r="H7143" s="11">
        <f t="shared" si="1111"/>
        <v>8.2566000000000006</v>
      </c>
      <c r="I7143" s="11">
        <f t="shared" si="1112"/>
        <v>0.27</v>
      </c>
      <c r="J7143" s="12">
        <f t="shared" si="1113"/>
        <v>-8.2566000000000006</v>
      </c>
      <c r="K7143" s="17" t="str">
        <f t="shared" si="1118"/>
        <v>Ecart négatif</v>
      </c>
      <c r="L7143" s="16">
        <f>base!X7143</f>
        <v>0</v>
      </c>
      <c r="M7143" s="11">
        <f t="shared" si="1114"/>
        <v>0</v>
      </c>
      <c r="N7143" s="11">
        <f t="shared" si="1115"/>
        <v>0</v>
      </c>
      <c r="O7143" s="11">
        <f t="shared" si="1116"/>
        <v>0</v>
      </c>
      <c r="P7143" s="12">
        <f t="shared" si="1117"/>
        <v>0</v>
      </c>
      <c r="Q7143" s="17" t="str">
        <f t="shared" si="1119"/>
        <v>Pas d'écart</v>
      </c>
    </row>
    <row r="7144" spans="1:18" x14ac:dyDescent="0.3">
      <c r="A7144" s="34">
        <f>base!J7144</f>
        <v>0</v>
      </c>
      <c r="B7144" s="34" t="str">
        <f>base!V7144</f>
        <v>59810</v>
      </c>
      <c r="C7144" s="37">
        <v>59</v>
      </c>
      <c r="D7144" s="36">
        <f>base!H7144</f>
        <v>47.73</v>
      </c>
      <c r="E7144" s="44"/>
      <c r="F7144" s="16">
        <f>base!W7144</f>
        <v>0</v>
      </c>
      <c r="G7144" s="11">
        <f t="shared" si="1110"/>
        <v>0</v>
      </c>
      <c r="H7144" s="11">
        <f t="shared" si="1111"/>
        <v>9.0686999999999998</v>
      </c>
      <c r="I7144" s="11">
        <f t="shared" si="1112"/>
        <v>0.19</v>
      </c>
      <c r="J7144" s="12">
        <f t="shared" si="1113"/>
        <v>-9.0686999999999998</v>
      </c>
      <c r="K7144" s="17" t="str">
        <f t="shared" si="1118"/>
        <v>Ecart négatif</v>
      </c>
      <c r="L7144" s="16">
        <f>base!X7144</f>
        <v>0</v>
      </c>
      <c r="M7144" s="11">
        <f t="shared" si="1114"/>
        <v>0</v>
      </c>
      <c r="N7144" s="11">
        <f t="shared" si="1115"/>
        <v>0</v>
      </c>
      <c r="O7144" s="11">
        <f t="shared" si="1116"/>
        <v>0</v>
      </c>
      <c r="P7144" s="12">
        <f t="shared" si="1117"/>
        <v>0</v>
      </c>
      <c r="Q7144" s="17" t="str">
        <f t="shared" si="1119"/>
        <v>Pas d'écart</v>
      </c>
    </row>
    <row r="7145" spans="1:18" x14ac:dyDescent="0.3">
      <c r="A7145" s="34" t="str">
        <f>base!J7145</f>
        <v>LM</v>
      </c>
      <c r="B7145" s="34" t="str">
        <f>base!V7145</f>
        <v>38590</v>
      </c>
      <c r="C7145" s="37">
        <v>60</v>
      </c>
      <c r="D7145" s="36">
        <f>base!H7145</f>
        <v>25.8</v>
      </c>
      <c r="E7145" s="44"/>
      <c r="F7145" s="16">
        <f>base!W7145</f>
        <v>6.97</v>
      </c>
      <c r="G7145" s="11">
        <f t="shared" si="1110"/>
        <v>0.27015503875968988</v>
      </c>
      <c r="H7145" s="11">
        <f t="shared" si="1111"/>
        <v>4.9020000000000001</v>
      </c>
      <c r="I7145" s="11">
        <f t="shared" si="1112"/>
        <v>0.19</v>
      </c>
      <c r="J7145" s="12">
        <f t="shared" si="1113"/>
        <v>2.0679999999999996</v>
      </c>
      <c r="K7145" s="17" t="str">
        <f t="shared" si="1118"/>
        <v>Ecart positif</v>
      </c>
      <c r="L7145" s="16">
        <f>base!X7145</f>
        <v>0</v>
      </c>
      <c r="M7145" s="11">
        <f t="shared" si="1114"/>
        <v>0</v>
      </c>
      <c r="N7145" s="11">
        <f t="shared" si="1115"/>
        <v>0</v>
      </c>
      <c r="O7145" s="11">
        <f t="shared" si="1116"/>
        <v>0</v>
      </c>
      <c r="P7145" s="12">
        <f t="shared" si="1117"/>
        <v>0</v>
      </c>
      <c r="Q7145" s="17" t="str">
        <f t="shared" si="1119"/>
        <v>Pas d'écart</v>
      </c>
    </row>
    <row r="7146" spans="1:18" x14ac:dyDescent="0.3">
      <c r="A7146" s="34" t="str">
        <f>base!J7146</f>
        <v>LS</v>
      </c>
      <c r="B7146" s="34" t="str">
        <f>base!V7146</f>
        <v>29870</v>
      </c>
      <c r="C7146" s="37">
        <v>13</v>
      </c>
      <c r="D7146" s="36">
        <f>base!H7146</f>
        <v>120.29</v>
      </c>
      <c r="E7146" s="44"/>
      <c r="F7146" s="16">
        <f>base!W7146</f>
        <v>46.91</v>
      </c>
      <c r="G7146" s="11">
        <f t="shared" si="1110"/>
        <v>0.38997422894671208</v>
      </c>
      <c r="H7146" s="11">
        <f t="shared" si="1111"/>
        <v>34.884099999999997</v>
      </c>
      <c r="I7146" s="11">
        <f t="shared" si="1112"/>
        <v>0.28999999999999998</v>
      </c>
      <c r="J7146" s="12">
        <f t="shared" si="1113"/>
        <v>12.0259</v>
      </c>
      <c r="K7146" s="17" t="str">
        <f t="shared" si="1118"/>
        <v>Ecart positif</v>
      </c>
      <c r="L7146" s="16">
        <f>base!X7146</f>
        <v>0</v>
      </c>
      <c r="M7146" s="11">
        <f t="shared" si="1114"/>
        <v>0</v>
      </c>
      <c r="N7146" s="11">
        <f t="shared" si="1115"/>
        <v>22.8551</v>
      </c>
      <c r="O7146" s="11">
        <f t="shared" si="1116"/>
        <v>0.19</v>
      </c>
      <c r="P7146" s="12">
        <f t="shared" si="1117"/>
        <v>-22.8551</v>
      </c>
      <c r="Q7146" s="17" t="str">
        <f t="shared" si="1119"/>
        <v>Ecart négatif</v>
      </c>
    </row>
    <row r="7147" spans="1:18" x14ac:dyDescent="0.3">
      <c r="A7147" s="34" t="str">
        <f>base!J7147</f>
        <v>LS</v>
      </c>
      <c r="B7147" s="34" t="str">
        <f>base!V7147</f>
        <v>94150</v>
      </c>
      <c r="C7147" s="37">
        <v>94</v>
      </c>
      <c r="D7147" s="36">
        <f>base!H7147</f>
        <v>1142.9000000000001</v>
      </c>
      <c r="E7147" s="44"/>
      <c r="F7147" s="16">
        <f>base!W7147</f>
        <v>0</v>
      </c>
      <c r="G7147" s="11">
        <f t="shared" si="1110"/>
        <v>0</v>
      </c>
      <c r="H7147" s="11">
        <f t="shared" si="1111"/>
        <v>0</v>
      </c>
      <c r="I7147" s="11">
        <f t="shared" si="1112"/>
        <v>0</v>
      </c>
      <c r="J7147" s="12">
        <f t="shared" si="1113"/>
        <v>0</v>
      </c>
      <c r="K7147" s="17" t="str">
        <f t="shared" si="1118"/>
        <v>Pas d'écart</v>
      </c>
      <c r="L7147" s="16">
        <f>base!X7147</f>
        <v>0</v>
      </c>
      <c r="M7147" s="11">
        <f t="shared" si="1114"/>
        <v>0</v>
      </c>
      <c r="N7147" s="11">
        <f t="shared" si="1115"/>
        <v>0</v>
      </c>
      <c r="O7147" s="11">
        <f t="shared" si="1116"/>
        <v>0</v>
      </c>
      <c r="P7147" s="12">
        <f t="shared" si="1117"/>
        <v>0</v>
      </c>
      <c r="Q7147" s="17" t="str">
        <f t="shared" si="1119"/>
        <v>Pas d'écart</v>
      </c>
    </row>
    <row r="7148" spans="1:18" x14ac:dyDescent="0.3">
      <c r="A7148" s="34" t="str">
        <f>base!J7148</f>
        <v>LM</v>
      </c>
      <c r="B7148" s="34" t="str">
        <f>base!V7148</f>
        <v>76700</v>
      </c>
      <c r="C7148" s="37">
        <v>13</v>
      </c>
      <c r="D7148" s="36">
        <f>base!H7148</f>
        <v>153.52000000000001</v>
      </c>
      <c r="E7148" s="44"/>
      <c r="F7148" s="16">
        <f>base!W7148</f>
        <v>26.1</v>
      </c>
      <c r="G7148" s="11">
        <f t="shared" si="1110"/>
        <v>0.17001042209484107</v>
      </c>
      <c r="H7148" s="11">
        <f t="shared" si="1111"/>
        <v>44.520800000000001</v>
      </c>
      <c r="I7148" s="11">
        <f t="shared" si="1112"/>
        <v>0.28999999999999998</v>
      </c>
      <c r="J7148" s="12">
        <f t="shared" si="1113"/>
        <v>-18.4208</v>
      </c>
      <c r="K7148" s="17" t="str">
        <f t="shared" si="1118"/>
        <v>Ecart négatif</v>
      </c>
      <c r="L7148" s="16">
        <f>base!X7148</f>
        <v>0</v>
      </c>
      <c r="M7148" s="11">
        <f t="shared" si="1114"/>
        <v>0</v>
      </c>
      <c r="N7148" s="11">
        <f t="shared" si="1115"/>
        <v>29.168800000000001</v>
      </c>
      <c r="O7148" s="11">
        <f t="shared" si="1116"/>
        <v>0.19</v>
      </c>
      <c r="P7148" s="12">
        <f t="shared" si="1117"/>
        <v>-29.168800000000001</v>
      </c>
      <c r="Q7148" s="17" t="str">
        <f t="shared" si="1119"/>
        <v>Ecart négatif</v>
      </c>
    </row>
    <row r="7149" spans="1:18" x14ac:dyDescent="0.3">
      <c r="A7149" s="34" t="str">
        <f>base!J7149</f>
        <v>DRS</v>
      </c>
      <c r="B7149" s="34" t="str">
        <f>base!V7149</f>
        <v>73000</v>
      </c>
      <c r="C7149" s="37">
        <v>73</v>
      </c>
      <c r="D7149" s="36">
        <f>base!H7149</f>
        <v>140</v>
      </c>
      <c r="E7149" s="44"/>
      <c r="F7149" s="16">
        <f>base!W7149</f>
        <v>0</v>
      </c>
      <c r="G7149" s="11">
        <f t="shared" si="1110"/>
        <v>0</v>
      </c>
      <c r="H7149" s="11">
        <f t="shared" si="1111"/>
        <v>37.800000000000004</v>
      </c>
      <c r="I7149" s="11">
        <f t="shared" si="1112"/>
        <v>0.27</v>
      </c>
      <c r="J7149" s="12">
        <f t="shared" si="1113"/>
        <v>-37.800000000000004</v>
      </c>
      <c r="K7149" s="17" t="str">
        <f t="shared" si="1118"/>
        <v>Ecart négatif</v>
      </c>
      <c r="L7149" s="16">
        <f>base!X7149</f>
        <v>0</v>
      </c>
      <c r="M7149" s="11">
        <f t="shared" si="1114"/>
        <v>0</v>
      </c>
      <c r="N7149" s="11">
        <f t="shared" si="1115"/>
        <v>0</v>
      </c>
      <c r="O7149" s="11">
        <f t="shared" si="1116"/>
        <v>0</v>
      </c>
      <c r="P7149" s="12">
        <f t="shared" si="1117"/>
        <v>0</v>
      </c>
      <c r="Q7149" s="17" t="str">
        <f t="shared" si="1119"/>
        <v>Pas d'écart</v>
      </c>
    </row>
    <row r="7150" spans="1:18" x14ac:dyDescent="0.3">
      <c r="A7150" s="34" t="str">
        <f>base!J7150</f>
        <v>DLM</v>
      </c>
      <c r="B7150" s="34" t="str">
        <f>base!V7150</f>
        <v>75009</v>
      </c>
      <c r="C7150" s="37">
        <v>75</v>
      </c>
      <c r="D7150" s="36">
        <f>base!H7150</f>
        <v>145.19999999999999</v>
      </c>
      <c r="E7150" s="44"/>
      <c r="F7150" s="16">
        <f>base!W7150</f>
        <v>0</v>
      </c>
      <c r="G7150" s="11">
        <f t="shared" si="1110"/>
        <v>0</v>
      </c>
      <c r="H7150" s="11">
        <f t="shared" si="1111"/>
        <v>0</v>
      </c>
      <c r="I7150" s="11">
        <f t="shared" si="1112"/>
        <v>0</v>
      </c>
      <c r="J7150" s="12">
        <f t="shared" si="1113"/>
        <v>0</v>
      </c>
      <c r="K7150" s="17" t="str">
        <f t="shared" si="1118"/>
        <v>Pas d'écart</v>
      </c>
      <c r="L7150" s="16">
        <f>base!X7150</f>
        <v>0</v>
      </c>
      <c r="M7150" s="11">
        <f t="shared" si="1114"/>
        <v>0</v>
      </c>
      <c r="N7150" s="11">
        <f t="shared" si="1115"/>
        <v>0</v>
      </c>
      <c r="O7150" s="11">
        <f t="shared" si="1116"/>
        <v>0</v>
      </c>
      <c r="P7150" s="12">
        <f t="shared" si="1117"/>
        <v>0</v>
      </c>
      <c r="Q7150" s="17" t="str">
        <f t="shared" si="1119"/>
        <v>Pas d'écart</v>
      </c>
    </row>
    <row r="7151" spans="1:18" x14ac:dyDescent="0.3">
      <c r="A7151" s="34" t="str">
        <f>base!J7151</f>
        <v>LS</v>
      </c>
      <c r="B7151" s="34" t="str">
        <f>base!V7151</f>
        <v>59310</v>
      </c>
      <c r="C7151" s="37">
        <v>13</v>
      </c>
      <c r="D7151" s="36">
        <f>base!H7151</f>
        <v>39.43</v>
      </c>
      <c r="E7151" s="44"/>
      <c r="F7151" s="16">
        <f>base!W7151</f>
        <v>7.49</v>
      </c>
      <c r="G7151" s="11">
        <f t="shared" si="1110"/>
        <v>0.18995688562008622</v>
      </c>
      <c r="H7151" s="11">
        <f t="shared" si="1111"/>
        <v>11.434699999999999</v>
      </c>
      <c r="I7151" s="11">
        <f t="shared" si="1112"/>
        <v>0.28999999999999998</v>
      </c>
      <c r="J7151" s="12">
        <f t="shared" si="1113"/>
        <v>-3.9446999999999992</v>
      </c>
      <c r="K7151" s="17" t="str">
        <f t="shared" si="1118"/>
        <v>Ecart négatif</v>
      </c>
      <c r="L7151" s="16">
        <f>base!X7151</f>
        <v>0</v>
      </c>
      <c r="M7151" s="11">
        <f t="shared" si="1114"/>
        <v>0</v>
      </c>
      <c r="N7151" s="11">
        <f t="shared" si="1115"/>
        <v>7.4916999999999998</v>
      </c>
      <c r="O7151" s="11">
        <f t="shared" si="1116"/>
        <v>0.19</v>
      </c>
      <c r="P7151" s="12">
        <f t="shared" si="1117"/>
        <v>-7.4916999999999998</v>
      </c>
      <c r="Q7151" s="17" t="str">
        <f t="shared" si="1119"/>
        <v>Ecart négatif</v>
      </c>
    </row>
    <row r="7152" spans="1:18" x14ac:dyDescent="0.3">
      <c r="A7152" s="34" t="str">
        <f>base!J7152</f>
        <v>LS</v>
      </c>
      <c r="B7152" s="34" t="str">
        <f>base!V7152</f>
        <v>84370</v>
      </c>
      <c r="C7152" s="37">
        <v>13</v>
      </c>
      <c r="D7152" s="36">
        <f>base!H7152</f>
        <v>86.34</v>
      </c>
      <c r="E7152" s="44"/>
      <c r="F7152" s="16">
        <f>base!W7152</f>
        <v>25.04</v>
      </c>
      <c r="G7152" s="11">
        <f t="shared" si="1110"/>
        <v>0.29001621496409541</v>
      </c>
      <c r="H7152" s="11">
        <f t="shared" si="1111"/>
        <v>25.038599999999999</v>
      </c>
      <c r="I7152" s="11">
        <f t="shared" si="1112"/>
        <v>0.28999999999999998</v>
      </c>
      <c r="J7152" s="12">
        <f t="shared" si="1113"/>
        <v>1.4000000000002899E-3</v>
      </c>
      <c r="K7152" s="17" t="str">
        <f t="shared" si="1118"/>
        <v>Ecart positif</v>
      </c>
      <c r="L7152" s="16">
        <f>base!X7152</f>
        <v>0</v>
      </c>
      <c r="M7152" s="11">
        <f t="shared" si="1114"/>
        <v>0</v>
      </c>
      <c r="N7152" s="11">
        <f t="shared" si="1115"/>
        <v>16.404600000000002</v>
      </c>
      <c r="O7152" s="11">
        <f t="shared" si="1116"/>
        <v>0.19000000000000003</v>
      </c>
      <c r="P7152" s="12">
        <f t="shared" si="1117"/>
        <v>-16.404600000000002</v>
      </c>
      <c r="Q7152" s="17" t="str">
        <f t="shared" si="1119"/>
        <v>Ecart négatif</v>
      </c>
    </row>
    <row r="7153" spans="1:17" x14ac:dyDescent="0.3">
      <c r="A7153" s="34" t="str">
        <f>base!J7153</f>
        <v>LS</v>
      </c>
      <c r="B7153" s="34" t="str">
        <f>base!V7153</f>
        <v>69500</v>
      </c>
      <c r="C7153" s="37">
        <v>13</v>
      </c>
      <c r="D7153" s="36">
        <f>base!H7153</f>
        <v>126.65</v>
      </c>
      <c r="E7153" s="44"/>
      <c r="F7153" s="16">
        <f>base!W7153</f>
        <v>34.200000000000003</v>
      </c>
      <c r="G7153" s="11">
        <f t="shared" si="1110"/>
        <v>0.27003553099091987</v>
      </c>
      <c r="H7153" s="11">
        <f t="shared" si="1111"/>
        <v>36.728499999999997</v>
      </c>
      <c r="I7153" s="11">
        <f t="shared" si="1112"/>
        <v>0.28999999999999998</v>
      </c>
      <c r="J7153" s="12">
        <f t="shared" si="1113"/>
        <v>-2.528499999999994</v>
      </c>
      <c r="K7153" s="17" t="str">
        <f t="shared" si="1118"/>
        <v>Ecart négatif</v>
      </c>
      <c r="L7153" s="16">
        <f>base!X7153</f>
        <v>0</v>
      </c>
      <c r="M7153" s="11">
        <f t="shared" si="1114"/>
        <v>0</v>
      </c>
      <c r="N7153" s="11">
        <f t="shared" si="1115"/>
        <v>24.063500000000001</v>
      </c>
      <c r="O7153" s="11">
        <f t="shared" si="1116"/>
        <v>0.19</v>
      </c>
      <c r="P7153" s="12">
        <f t="shared" si="1117"/>
        <v>-24.063500000000001</v>
      </c>
      <c r="Q7153" s="17" t="str">
        <f t="shared" si="1119"/>
        <v>Ecart négatif</v>
      </c>
    </row>
    <row r="7154" spans="1:17" x14ac:dyDescent="0.3">
      <c r="A7154" s="34" t="str">
        <f>base!J7154</f>
        <v>Metre Aller</v>
      </c>
      <c r="B7154" s="34" t="str">
        <f>base!V7154</f>
        <v>77184</v>
      </c>
      <c r="C7154" s="37">
        <v>77</v>
      </c>
      <c r="D7154" s="36">
        <f>base!H7154</f>
        <v>180</v>
      </c>
      <c r="E7154" s="44"/>
      <c r="F7154" s="16">
        <f>base!W7154</f>
        <v>104.4</v>
      </c>
      <c r="G7154" s="11">
        <f t="shared" si="1110"/>
        <v>0.58000000000000007</v>
      </c>
      <c r="H7154" s="11">
        <f t="shared" si="1111"/>
        <v>0</v>
      </c>
      <c r="I7154" s="11">
        <f t="shared" si="1112"/>
        <v>0</v>
      </c>
      <c r="J7154" s="12">
        <f t="shared" si="1113"/>
        <v>104.4</v>
      </c>
      <c r="K7154" s="17" t="str">
        <f t="shared" si="1118"/>
        <v>Ecart positif</v>
      </c>
      <c r="L7154" s="16">
        <f>base!X7154</f>
        <v>0</v>
      </c>
      <c r="M7154" s="11">
        <f t="shared" si="1114"/>
        <v>0</v>
      </c>
      <c r="N7154" s="11">
        <f t="shared" si="1115"/>
        <v>0</v>
      </c>
      <c r="O7154" s="11">
        <f t="shared" si="1116"/>
        <v>0</v>
      </c>
      <c r="P7154" s="12">
        <f t="shared" si="1117"/>
        <v>0</v>
      </c>
      <c r="Q7154" s="17" t="str">
        <f t="shared" si="1119"/>
        <v>Pas d'écart</v>
      </c>
    </row>
    <row r="7155" spans="1:17" x14ac:dyDescent="0.3">
      <c r="A7155" s="34" t="str">
        <f>base!J7155</f>
        <v>RM</v>
      </c>
      <c r="B7155" s="34" t="str">
        <f>base!V7155</f>
        <v>89000</v>
      </c>
      <c r="C7155" s="37">
        <v>89</v>
      </c>
      <c r="D7155" s="36">
        <f>base!H7155</f>
        <v>140</v>
      </c>
      <c r="E7155" s="44"/>
      <c r="F7155" s="16">
        <f>base!W7155</f>
        <v>0</v>
      </c>
      <c r="G7155" s="11">
        <f t="shared" si="1110"/>
        <v>0</v>
      </c>
      <c r="H7155" s="11">
        <f t="shared" si="1111"/>
        <v>32.200000000000003</v>
      </c>
      <c r="I7155" s="11">
        <f t="shared" si="1112"/>
        <v>0.23</v>
      </c>
      <c r="J7155" s="12">
        <f t="shared" si="1113"/>
        <v>-32.200000000000003</v>
      </c>
      <c r="K7155" s="17" t="str">
        <f t="shared" si="1118"/>
        <v>Ecart négatif</v>
      </c>
      <c r="L7155" s="16">
        <f>base!X7155</f>
        <v>0</v>
      </c>
      <c r="M7155" s="11">
        <f t="shared" si="1114"/>
        <v>0</v>
      </c>
      <c r="N7155" s="11">
        <f t="shared" si="1115"/>
        <v>16.8</v>
      </c>
      <c r="O7155" s="11">
        <f t="shared" si="1116"/>
        <v>0.12000000000000001</v>
      </c>
      <c r="P7155" s="12">
        <f t="shared" si="1117"/>
        <v>-16.8</v>
      </c>
      <c r="Q7155" s="17" t="str">
        <f t="shared" si="1119"/>
        <v>Ecart négatif</v>
      </c>
    </row>
    <row r="7156" spans="1:17" x14ac:dyDescent="0.3">
      <c r="A7156" s="34" t="str">
        <f>base!J7156</f>
        <v>RS</v>
      </c>
      <c r="B7156" s="34" t="str">
        <f>base!V7156</f>
        <v>92160</v>
      </c>
      <c r="C7156" s="37">
        <v>92</v>
      </c>
      <c r="D7156" s="36">
        <f>base!H7156</f>
        <v>140</v>
      </c>
      <c r="E7156" s="44"/>
      <c r="F7156" s="16">
        <f>base!W7156</f>
        <v>0</v>
      </c>
      <c r="G7156" s="11">
        <f t="shared" si="1110"/>
        <v>0</v>
      </c>
      <c r="H7156" s="11">
        <f t="shared" si="1111"/>
        <v>0</v>
      </c>
      <c r="I7156" s="11">
        <f t="shared" si="1112"/>
        <v>0</v>
      </c>
      <c r="J7156" s="12">
        <f t="shared" si="1113"/>
        <v>0</v>
      </c>
      <c r="K7156" s="17" t="str">
        <f t="shared" si="1118"/>
        <v>Pas d'écart</v>
      </c>
      <c r="L7156" s="16">
        <f>base!X7156</f>
        <v>0</v>
      </c>
      <c r="M7156" s="11">
        <f t="shared" si="1114"/>
        <v>0</v>
      </c>
      <c r="N7156" s="11">
        <f t="shared" si="1115"/>
        <v>0</v>
      </c>
      <c r="O7156" s="11">
        <f t="shared" si="1116"/>
        <v>0</v>
      </c>
      <c r="P7156" s="12">
        <f t="shared" si="1117"/>
        <v>0</v>
      </c>
      <c r="Q7156" s="17" t="str">
        <f t="shared" si="1119"/>
        <v>Pas d'écart</v>
      </c>
    </row>
    <row r="7157" spans="1:17" x14ac:dyDescent="0.3">
      <c r="A7157" s="34" t="str">
        <f>base!J7157</f>
        <v>RM</v>
      </c>
      <c r="B7157" s="34" t="str">
        <f>base!V7157</f>
        <v>14000</v>
      </c>
      <c r="C7157" s="37">
        <v>14</v>
      </c>
      <c r="D7157" s="36">
        <f>base!H7157</f>
        <v>153</v>
      </c>
      <c r="E7157" s="44"/>
      <c r="F7157" s="16">
        <f>base!W7157</f>
        <v>0</v>
      </c>
      <c r="G7157" s="11">
        <f t="shared" si="1110"/>
        <v>0</v>
      </c>
      <c r="H7157" s="11">
        <f t="shared" si="1111"/>
        <v>26.01</v>
      </c>
      <c r="I7157" s="11">
        <f t="shared" si="1112"/>
        <v>0.17</v>
      </c>
      <c r="J7157" s="12">
        <f t="shared" si="1113"/>
        <v>-26.01</v>
      </c>
      <c r="K7157" s="17" t="str">
        <f t="shared" si="1118"/>
        <v>Ecart négatif</v>
      </c>
      <c r="L7157" s="16">
        <f>base!X7157</f>
        <v>0</v>
      </c>
      <c r="M7157" s="11">
        <f t="shared" si="1114"/>
        <v>0</v>
      </c>
      <c r="N7157" s="11">
        <f t="shared" si="1115"/>
        <v>26.01</v>
      </c>
      <c r="O7157" s="11">
        <f t="shared" si="1116"/>
        <v>0.17</v>
      </c>
      <c r="P7157" s="12">
        <f t="shared" si="1117"/>
        <v>-26.01</v>
      </c>
      <c r="Q7157" s="17" t="str">
        <f t="shared" si="1119"/>
        <v>Ecart négatif</v>
      </c>
    </row>
    <row r="7158" spans="1:17" x14ac:dyDescent="0.3">
      <c r="A7158" s="34" t="str">
        <f>base!J7158</f>
        <v>RM</v>
      </c>
      <c r="B7158" s="34" t="str">
        <f>base!V7158</f>
        <v>37520</v>
      </c>
      <c r="C7158" s="37">
        <v>37</v>
      </c>
      <c r="D7158" s="36">
        <f>base!H7158</f>
        <v>70</v>
      </c>
      <c r="E7158" s="44"/>
      <c r="F7158" s="16">
        <f>base!W7158</f>
        <v>0</v>
      </c>
      <c r="G7158" s="11">
        <f t="shared" si="1110"/>
        <v>0</v>
      </c>
      <c r="H7158" s="11">
        <f t="shared" si="1111"/>
        <v>13.3</v>
      </c>
      <c r="I7158" s="11">
        <f t="shared" si="1112"/>
        <v>0.19</v>
      </c>
      <c r="J7158" s="12">
        <f t="shared" si="1113"/>
        <v>-13.3</v>
      </c>
      <c r="K7158" s="17" t="str">
        <f t="shared" si="1118"/>
        <v>Ecart négatif</v>
      </c>
      <c r="L7158" s="16">
        <f>base!X7158</f>
        <v>0</v>
      </c>
      <c r="M7158" s="11">
        <f t="shared" si="1114"/>
        <v>0</v>
      </c>
      <c r="N7158" s="11">
        <f t="shared" si="1115"/>
        <v>8.4</v>
      </c>
      <c r="O7158" s="11">
        <f t="shared" si="1116"/>
        <v>0.12000000000000001</v>
      </c>
      <c r="P7158" s="12">
        <f t="shared" si="1117"/>
        <v>-8.4</v>
      </c>
      <c r="Q7158" s="17" t="str">
        <f t="shared" si="1119"/>
        <v>Ecart négatif</v>
      </c>
    </row>
    <row r="7159" spans="1:17" x14ac:dyDescent="0.3">
      <c r="A7159" s="34" t="str">
        <f>base!J7159</f>
        <v>RS</v>
      </c>
      <c r="B7159" s="34" t="str">
        <f>base!V7159</f>
        <v>69007</v>
      </c>
      <c r="C7159" s="37">
        <v>69</v>
      </c>
      <c r="D7159" s="36">
        <f>base!H7159</f>
        <v>140.46</v>
      </c>
      <c r="E7159" s="44"/>
      <c r="F7159" s="16">
        <f>base!W7159</f>
        <v>0</v>
      </c>
      <c r="G7159" s="11">
        <f t="shared" si="1110"/>
        <v>0</v>
      </c>
      <c r="H7159" s="11">
        <f t="shared" si="1111"/>
        <v>37.924200000000006</v>
      </c>
      <c r="I7159" s="11">
        <f t="shared" si="1112"/>
        <v>0.27</v>
      </c>
      <c r="J7159" s="12">
        <f t="shared" si="1113"/>
        <v>-37.924200000000006</v>
      </c>
      <c r="K7159" s="17" t="str">
        <f t="shared" si="1118"/>
        <v>Ecart négatif</v>
      </c>
      <c r="L7159" s="16">
        <f>base!X7159</f>
        <v>0</v>
      </c>
      <c r="M7159" s="11">
        <f t="shared" si="1114"/>
        <v>0</v>
      </c>
      <c r="N7159" s="11">
        <f t="shared" si="1115"/>
        <v>0</v>
      </c>
      <c r="O7159" s="11">
        <f t="shared" si="1116"/>
        <v>0</v>
      </c>
      <c r="P7159" s="12">
        <f t="shared" si="1117"/>
        <v>0</v>
      </c>
      <c r="Q7159" s="17" t="str">
        <f t="shared" si="1119"/>
        <v>Pas d'écart</v>
      </c>
    </row>
    <row r="7160" spans="1:17" x14ac:dyDescent="0.3">
      <c r="A7160" s="34" t="str">
        <f>base!J7160</f>
        <v>RS</v>
      </c>
      <c r="B7160" s="34" t="str">
        <f>base!V7160</f>
        <v>75007</v>
      </c>
      <c r="C7160" s="37">
        <v>75</v>
      </c>
      <c r="D7160" s="36">
        <f>base!H7160</f>
        <v>22.5</v>
      </c>
      <c r="E7160" s="44"/>
      <c r="F7160" s="16">
        <f>base!W7160</f>
        <v>0</v>
      </c>
      <c r="G7160" s="11">
        <f t="shared" si="1110"/>
        <v>0</v>
      </c>
      <c r="H7160" s="11">
        <f t="shared" si="1111"/>
        <v>0</v>
      </c>
      <c r="I7160" s="11">
        <f t="shared" si="1112"/>
        <v>0</v>
      </c>
      <c r="J7160" s="12">
        <f t="shared" si="1113"/>
        <v>0</v>
      </c>
      <c r="K7160" s="17" t="str">
        <f t="shared" si="1118"/>
        <v>Pas d'écart</v>
      </c>
      <c r="L7160" s="16">
        <f>base!X7160</f>
        <v>0</v>
      </c>
      <c r="M7160" s="11">
        <f t="shared" si="1114"/>
        <v>0</v>
      </c>
      <c r="N7160" s="11">
        <f t="shared" si="1115"/>
        <v>0</v>
      </c>
      <c r="O7160" s="11">
        <f t="shared" si="1116"/>
        <v>0</v>
      </c>
      <c r="P7160" s="12">
        <f t="shared" si="1117"/>
        <v>0</v>
      </c>
      <c r="Q7160" s="17" t="str">
        <f t="shared" si="1119"/>
        <v>Pas d'écart</v>
      </c>
    </row>
    <row r="7161" spans="1:17" x14ac:dyDescent="0.3">
      <c r="A7161" s="34" t="str">
        <f>base!J7161</f>
        <v>RS</v>
      </c>
      <c r="B7161" s="34" t="str">
        <f>base!V7161</f>
        <v>80000</v>
      </c>
      <c r="C7161" s="37">
        <v>80</v>
      </c>
      <c r="D7161" s="36">
        <f>base!H7161</f>
        <v>100</v>
      </c>
      <c r="E7161" s="44"/>
      <c r="F7161" s="16">
        <f>base!W7161</f>
        <v>0</v>
      </c>
      <c r="G7161" s="11">
        <f t="shared" si="1110"/>
        <v>0</v>
      </c>
      <c r="H7161" s="11">
        <f t="shared" si="1111"/>
        <v>19</v>
      </c>
      <c r="I7161" s="11">
        <f t="shared" si="1112"/>
        <v>0.19</v>
      </c>
      <c r="J7161" s="12">
        <f t="shared" si="1113"/>
        <v>-19</v>
      </c>
      <c r="K7161" s="17" t="str">
        <f t="shared" si="1118"/>
        <v>Ecart négatif</v>
      </c>
      <c r="L7161" s="16">
        <f>base!X7161</f>
        <v>19</v>
      </c>
      <c r="M7161" s="11">
        <f t="shared" si="1114"/>
        <v>0.19</v>
      </c>
      <c r="N7161" s="11">
        <f t="shared" si="1115"/>
        <v>0</v>
      </c>
      <c r="O7161" s="11">
        <f t="shared" si="1116"/>
        <v>0</v>
      </c>
      <c r="P7161" s="12">
        <f t="shared" si="1117"/>
        <v>19</v>
      </c>
      <c r="Q7161" s="17" t="str">
        <f t="shared" si="1119"/>
        <v>Ecart positif</v>
      </c>
    </row>
    <row r="7162" spans="1:17" x14ac:dyDescent="0.3">
      <c r="A7162" s="34" t="str">
        <f>base!J7162</f>
        <v>RM</v>
      </c>
      <c r="B7162" s="34" t="str">
        <f>base!V7162</f>
        <v>31300</v>
      </c>
      <c r="C7162" s="37">
        <v>31</v>
      </c>
      <c r="D7162" s="36">
        <f>base!H7162</f>
        <v>183.98</v>
      </c>
      <c r="E7162" s="44"/>
      <c r="F7162" s="16">
        <f>base!W7162</f>
        <v>0</v>
      </c>
      <c r="G7162" s="11">
        <f t="shared" si="1110"/>
        <v>0</v>
      </c>
      <c r="H7162" s="11">
        <f t="shared" si="1111"/>
        <v>34.956199999999995</v>
      </c>
      <c r="I7162" s="11">
        <f t="shared" si="1112"/>
        <v>0.18999999999999997</v>
      </c>
      <c r="J7162" s="12">
        <f t="shared" si="1113"/>
        <v>-34.956199999999995</v>
      </c>
      <c r="K7162" s="17" t="str">
        <f t="shared" si="1118"/>
        <v>Ecart négatif</v>
      </c>
      <c r="L7162" s="16">
        <f>base!X7162</f>
        <v>0</v>
      </c>
      <c r="M7162" s="11">
        <f t="shared" si="1114"/>
        <v>0</v>
      </c>
      <c r="N7162" s="11">
        <f t="shared" si="1115"/>
        <v>47.834800000000001</v>
      </c>
      <c r="O7162" s="11">
        <f t="shared" si="1116"/>
        <v>0.26</v>
      </c>
      <c r="P7162" s="12">
        <f t="shared" si="1117"/>
        <v>-47.834800000000001</v>
      </c>
      <c r="Q7162" s="17" t="str">
        <f t="shared" si="1119"/>
        <v>Ecart négatif</v>
      </c>
    </row>
    <row r="7163" spans="1:17" x14ac:dyDescent="0.3">
      <c r="A7163" s="34" t="str">
        <f>base!J7163</f>
        <v>DLS</v>
      </c>
      <c r="B7163" s="34" t="str">
        <f>base!V7163</f>
        <v>67400</v>
      </c>
      <c r="C7163" s="37">
        <v>67</v>
      </c>
      <c r="D7163" s="36">
        <f>base!H7163</f>
        <v>99.01</v>
      </c>
      <c r="E7163" s="44"/>
      <c r="F7163" s="16">
        <f>base!W7163</f>
        <v>0</v>
      </c>
      <c r="G7163" s="11">
        <f t="shared" si="1110"/>
        <v>0</v>
      </c>
      <c r="H7163" s="11">
        <f t="shared" si="1111"/>
        <v>28.712900000000001</v>
      </c>
      <c r="I7163" s="11">
        <f t="shared" si="1112"/>
        <v>0.28999999999999998</v>
      </c>
      <c r="J7163" s="12">
        <f t="shared" si="1113"/>
        <v>-28.712900000000001</v>
      </c>
      <c r="K7163" s="17" t="str">
        <f t="shared" si="1118"/>
        <v>Ecart négatif</v>
      </c>
      <c r="L7163" s="16">
        <f>base!X7163</f>
        <v>0</v>
      </c>
      <c r="M7163" s="11">
        <f t="shared" si="1114"/>
        <v>0</v>
      </c>
      <c r="N7163" s="11">
        <f t="shared" si="1115"/>
        <v>7.9208000000000007</v>
      </c>
      <c r="O7163" s="11">
        <f t="shared" si="1116"/>
        <v>0.08</v>
      </c>
      <c r="P7163" s="12">
        <f t="shared" si="1117"/>
        <v>-7.9208000000000007</v>
      </c>
      <c r="Q7163" s="17" t="str">
        <f t="shared" si="1119"/>
        <v>Ecart négatif</v>
      </c>
    </row>
    <row r="7164" spans="1:17" x14ac:dyDescent="0.3">
      <c r="A7164" s="34" t="str">
        <f>base!J7164</f>
        <v>LS</v>
      </c>
      <c r="B7164" s="34" t="str">
        <f>base!V7164</f>
        <v>94360</v>
      </c>
      <c r="C7164" s="37">
        <v>94</v>
      </c>
      <c r="D7164" s="36">
        <f>base!H7164</f>
        <v>0</v>
      </c>
      <c r="E7164" s="44"/>
      <c r="F7164" s="16">
        <f>base!W7164</f>
        <v>0</v>
      </c>
      <c r="G7164" s="11" t="e">
        <f t="shared" si="1110"/>
        <v>#DIV/0!</v>
      </c>
      <c r="H7164" s="11">
        <f t="shared" si="1111"/>
        <v>0</v>
      </c>
      <c r="I7164" s="11" t="e">
        <f t="shared" si="1112"/>
        <v>#DIV/0!</v>
      </c>
      <c r="J7164" s="12">
        <f t="shared" si="1113"/>
        <v>0</v>
      </c>
      <c r="K7164" s="17" t="str">
        <f t="shared" si="1118"/>
        <v>Pas d'écart</v>
      </c>
      <c r="L7164" s="16">
        <f>base!X7164</f>
        <v>0</v>
      </c>
      <c r="M7164" s="11" t="e">
        <f t="shared" si="1114"/>
        <v>#DIV/0!</v>
      </c>
      <c r="N7164" s="11">
        <f t="shared" si="1115"/>
        <v>0</v>
      </c>
      <c r="O7164" s="11" t="e">
        <f t="shared" si="1116"/>
        <v>#DIV/0!</v>
      </c>
      <c r="P7164" s="12">
        <f t="shared" si="1117"/>
        <v>0</v>
      </c>
      <c r="Q7164" s="17" t="str">
        <f t="shared" si="1119"/>
        <v>Pas d'écart</v>
      </c>
    </row>
    <row r="7165" spans="1:17" x14ac:dyDescent="0.3">
      <c r="A7165" s="34" t="str">
        <f>base!J7165</f>
        <v>RS</v>
      </c>
      <c r="B7165" s="34" t="str">
        <f>base!V7165</f>
        <v>84000</v>
      </c>
      <c r="C7165" s="37">
        <v>84</v>
      </c>
      <c r="D7165" s="36">
        <f>base!H7165</f>
        <v>174.92</v>
      </c>
      <c r="E7165" s="44"/>
      <c r="F7165" s="16">
        <f>base!W7165</f>
        <v>0</v>
      </c>
      <c r="G7165" s="11">
        <f t="shared" si="1110"/>
        <v>0</v>
      </c>
      <c r="H7165" s="11">
        <f t="shared" si="1111"/>
        <v>50.72679999999999</v>
      </c>
      <c r="I7165" s="11">
        <f t="shared" si="1112"/>
        <v>0.28999999999999998</v>
      </c>
      <c r="J7165" s="12">
        <f t="shared" si="1113"/>
        <v>-50.72679999999999</v>
      </c>
      <c r="K7165" s="17" t="str">
        <f t="shared" si="1118"/>
        <v>Ecart négatif</v>
      </c>
      <c r="L7165" s="16">
        <f>base!X7165</f>
        <v>0</v>
      </c>
      <c r="M7165" s="11">
        <f t="shared" si="1114"/>
        <v>0</v>
      </c>
      <c r="N7165" s="11">
        <f t="shared" si="1115"/>
        <v>33.2348</v>
      </c>
      <c r="O7165" s="11">
        <f t="shared" si="1116"/>
        <v>0.19</v>
      </c>
      <c r="P7165" s="12">
        <f t="shared" si="1117"/>
        <v>-33.2348</v>
      </c>
      <c r="Q7165" s="17" t="str">
        <f t="shared" si="1119"/>
        <v>Ecart négatif</v>
      </c>
    </row>
    <row r="7166" spans="1:17" x14ac:dyDescent="0.3">
      <c r="A7166" s="34" t="str">
        <f>base!J7166</f>
        <v>RM</v>
      </c>
      <c r="B7166" s="34" t="str">
        <f>base!V7166</f>
        <v>27300</v>
      </c>
      <c r="C7166" s="37">
        <v>27</v>
      </c>
      <c r="D7166" s="36">
        <f>base!H7166</f>
        <v>19.399999999999999</v>
      </c>
      <c r="E7166" s="44"/>
      <c r="F7166" s="16">
        <f>base!W7166</f>
        <v>0</v>
      </c>
      <c r="G7166" s="11">
        <f t="shared" si="1110"/>
        <v>0</v>
      </c>
      <c r="H7166" s="11">
        <f t="shared" si="1111"/>
        <v>3.298</v>
      </c>
      <c r="I7166" s="11">
        <f t="shared" si="1112"/>
        <v>0.17</v>
      </c>
      <c r="J7166" s="12">
        <f t="shared" si="1113"/>
        <v>-3.298</v>
      </c>
      <c r="K7166" s="17" t="str">
        <f t="shared" si="1118"/>
        <v>Ecart négatif</v>
      </c>
      <c r="L7166" s="16">
        <f>base!X7166</f>
        <v>0</v>
      </c>
      <c r="M7166" s="11">
        <f t="shared" si="1114"/>
        <v>0</v>
      </c>
      <c r="N7166" s="11">
        <f t="shared" si="1115"/>
        <v>3.298</v>
      </c>
      <c r="O7166" s="11">
        <f t="shared" si="1116"/>
        <v>0.17</v>
      </c>
      <c r="P7166" s="12">
        <f t="shared" si="1117"/>
        <v>-3.298</v>
      </c>
      <c r="Q7166" s="17" t="str">
        <f t="shared" si="1119"/>
        <v>Ecart négatif</v>
      </c>
    </row>
    <row r="7167" spans="1:17" x14ac:dyDescent="0.3">
      <c r="A7167" s="34" t="str">
        <f>base!J7167</f>
        <v>RS</v>
      </c>
      <c r="B7167" s="34" t="str">
        <f>base!V7167</f>
        <v>27300</v>
      </c>
      <c r="C7167" s="37">
        <v>27</v>
      </c>
      <c r="D7167" s="36">
        <f>base!H7167</f>
        <v>19.399999999999999</v>
      </c>
      <c r="E7167" s="44"/>
      <c r="F7167" s="16">
        <f>base!W7167</f>
        <v>0</v>
      </c>
      <c r="G7167" s="11">
        <f t="shared" si="1110"/>
        <v>0</v>
      </c>
      <c r="H7167" s="11">
        <f t="shared" si="1111"/>
        <v>3.298</v>
      </c>
      <c r="I7167" s="11">
        <f t="shared" si="1112"/>
        <v>0.17</v>
      </c>
      <c r="J7167" s="12">
        <f t="shared" si="1113"/>
        <v>-3.298</v>
      </c>
      <c r="K7167" s="17" t="str">
        <f t="shared" si="1118"/>
        <v>Ecart négatif</v>
      </c>
      <c r="L7167" s="16">
        <f>base!X7167</f>
        <v>0</v>
      </c>
      <c r="M7167" s="11">
        <f t="shared" si="1114"/>
        <v>0</v>
      </c>
      <c r="N7167" s="11">
        <f t="shared" si="1115"/>
        <v>3.298</v>
      </c>
      <c r="O7167" s="11">
        <f t="shared" si="1116"/>
        <v>0.17</v>
      </c>
      <c r="P7167" s="12">
        <f t="shared" si="1117"/>
        <v>-3.298</v>
      </c>
      <c r="Q7167" s="17" t="str">
        <f t="shared" si="1119"/>
        <v>Ecart négatif</v>
      </c>
    </row>
    <row r="7168" spans="1:17" x14ac:dyDescent="0.3">
      <c r="A7168" s="34" t="str">
        <f>base!J7168</f>
        <v>RS</v>
      </c>
      <c r="B7168" s="34" t="str">
        <f>base!V7168</f>
        <v>75008</v>
      </c>
      <c r="C7168" s="37">
        <v>75</v>
      </c>
      <c r="D7168" s="36">
        <f>base!H7168</f>
        <v>8.43</v>
      </c>
      <c r="E7168" s="44"/>
      <c r="F7168" s="16">
        <f>base!W7168</f>
        <v>0</v>
      </c>
      <c r="G7168" s="11">
        <f t="shared" si="1110"/>
        <v>0</v>
      </c>
      <c r="H7168" s="11">
        <f t="shared" si="1111"/>
        <v>0</v>
      </c>
      <c r="I7168" s="11">
        <f t="shared" si="1112"/>
        <v>0</v>
      </c>
      <c r="J7168" s="12">
        <f t="shared" si="1113"/>
        <v>0</v>
      </c>
      <c r="K7168" s="17" t="str">
        <f t="shared" si="1118"/>
        <v>Pas d'écart</v>
      </c>
      <c r="L7168" s="16">
        <f>base!X7168</f>
        <v>0</v>
      </c>
      <c r="M7168" s="11">
        <f t="shared" si="1114"/>
        <v>0</v>
      </c>
      <c r="N7168" s="11">
        <f t="shared" si="1115"/>
        <v>0</v>
      </c>
      <c r="O7168" s="11">
        <f t="shared" si="1116"/>
        <v>0</v>
      </c>
      <c r="P7168" s="12">
        <f t="shared" si="1117"/>
        <v>0</v>
      </c>
      <c r="Q7168" s="17" t="str">
        <f t="shared" si="1119"/>
        <v>Pas d'écart</v>
      </c>
    </row>
    <row r="7169" spans="1:18" x14ac:dyDescent="0.3">
      <c r="A7169" s="34" t="str">
        <f>base!J7169</f>
        <v>RS</v>
      </c>
      <c r="B7169" s="34" t="str">
        <f>base!V7169</f>
        <v>67000</v>
      </c>
      <c r="C7169" s="37">
        <v>67</v>
      </c>
      <c r="D7169" s="36">
        <f>base!H7169</f>
        <v>40</v>
      </c>
      <c r="E7169" s="44"/>
      <c r="F7169" s="16">
        <f>base!W7169</f>
        <v>0</v>
      </c>
      <c r="G7169" s="11">
        <f t="shared" si="1110"/>
        <v>0</v>
      </c>
      <c r="H7169" s="11">
        <f t="shared" si="1111"/>
        <v>11.6</v>
      </c>
      <c r="I7169" s="11">
        <f t="shared" si="1112"/>
        <v>0.28999999999999998</v>
      </c>
      <c r="J7169" s="12">
        <f t="shared" si="1113"/>
        <v>-11.6</v>
      </c>
      <c r="K7169" s="17" t="str">
        <f t="shared" si="1118"/>
        <v>Ecart négatif</v>
      </c>
      <c r="L7169" s="16">
        <f>base!X7169</f>
        <v>3.2</v>
      </c>
      <c r="M7169" s="11">
        <f t="shared" si="1114"/>
        <v>0.08</v>
      </c>
      <c r="N7169" s="11">
        <f t="shared" si="1115"/>
        <v>3.2</v>
      </c>
      <c r="O7169" s="11">
        <f t="shared" si="1116"/>
        <v>0.08</v>
      </c>
      <c r="P7169" s="12">
        <f t="shared" si="1117"/>
        <v>0</v>
      </c>
      <c r="Q7169" s="17" t="str">
        <f t="shared" si="1119"/>
        <v>Pas d'écart</v>
      </c>
      <c r="R7169" s="38"/>
    </row>
    <row r="7170" spans="1:18" x14ac:dyDescent="0.3">
      <c r="A7170" s="34" t="str">
        <f>base!J7170</f>
        <v>RM</v>
      </c>
      <c r="B7170" s="34" t="str">
        <f>base!V7170</f>
        <v>85700</v>
      </c>
      <c r="C7170" s="37">
        <v>85</v>
      </c>
      <c r="D7170" s="36">
        <f>base!H7170</f>
        <v>18.8</v>
      </c>
      <c r="E7170" s="44"/>
      <c r="F7170" s="16">
        <f>base!W7170</f>
        <v>0</v>
      </c>
      <c r="G7170" s="11">
        <f t="shared" ref="G7170:G7233" si="1120">F7170/D7170</f>
        <v>0</v>
      </c>
      <c r="H7170" s="11">
        <f t="shared" ref="H7170:H7233" si="1121">VLOOKUP(C7170,tout_cout_traction,2,FALSE)*D7170</f>
        <v>5.0760000000000005</v>
      </c>
      <c r="I7170" s="11">
        <f t="shared" ref="I7170:I7233" si="1122">H7170/D7170</f>
        <v>0.27</v>
      </c>
      <c r="J7170" s="12">
        <f t="shared" ref="J7170:J7233" si="1123">F7170-H7170</f>
        <v>-5.0760000000000005</v>
      </c>
      <c r="K7170" s="17" t="str">
        <f t="shared" si="1118"/>
        <v>Ecart négatif</v>
      </c>
      <c r="L7170" s="16">
        <f>base!X7170</f>
        <v>5.08</v>
      </c>
      <c r="M7170" s="11">
        <f t="shared" ref="M7170:M7233" si="1124">L7170/D7170</f>
        <v>0.27021276595744681</v>
      </c>
      <c r="N7170" s="11">
        <f t="shared" ref="N7170:N7233" si="1125">VLOOKUP(C7170,tout_cout_traction,3,FALSE)*D7170</f>
        <v>0</v>
      </c>
      <c r="O7170" s="11">
        <f t="shared" ref="O7170:O7233" si="1126">N7170/D7170</f>
        <v>0</v>
      </c>
      <c r="P7170" s="12">
        <f t="shared" ref="P7170:P7233" si="1127">L7170-N7170</f>
        <v>5.08</v>
      </c>
      <c r="Q7170" s="17" t="str">
        <f t="shared" si="1119"/>
        <v>Ecart positif</v>
      </c>
      <c r="R7170" s="38"/>
    </row>
    <row r="7171" spans="1:18" x14ac:dyDescent="0.3">
      <c r="A7171" s="34" t="str">
        <f>base!J7171</f>
        <v>RM</v>
      </c>
      <c r="B7171" s="34" t="str">
        <f>base!V7171</f>
        <v>70000</v>
      </c>
      <c r="C7171" s="37">
        <v>70</v>
      </c>
      <c r="D7171" s="36">
        <f>base!H7171</f>
        <v>40</v>
      </c>
      <c r="E7171" s="44"/>
      <c r="F7171" s="16">
        <f>base!W7171</f>
        <v>0</v>
      </c>
      <c r="G7171" s="11">
        <f t="shared" si="1120"/>
        <v>0</v>
      </c>
      <c r="H7171" s="11">
        <f t="shared" si="1121"/>
        <v>9.6</v>
      </c>
      <c r="I7171" s="11">
        <f t="shared" si="1122"/>
        <v>0.24</v>
      </c>
      <c r="J7171" s="12">
        <f t="shared" si="1123"/>
        <v>-9.6</v>
      </c>
      <c r="K7171" s="17" t="str">
        <f t="shared" ref="K7171:K7234" si="1128">IF(H7171=F7171,"Pas d'écart",IF(H7171&lt;F7171,"Ecart positif",IF(H7171&gt;F7171,"Ecart négatif")))</f>
        <v>Ecart négatif</v>
      </c>
      <c r="L7171" s="16">
        <f>base!X7171</f>
        <v>0</v>
      </c>
      <c r="M7171" s="11">
        <f t="shared" si="1124"/>
        <v>0</v>
      </c>
      <c r="N7171" s="11">
        <f t="shared" si="1125"/>
        <v>4.8</v>
      </c>
      <c r="O7171" s="11">
        <f t="shared" si="1126"/>
        <v>0.12</v>
      </c>
      <c r="P7171" s="12">
        <f t="shared" si="1127"/>
        <v>-4.8</v>
      </c>
      <c r="Q7171" s="17" t="str">
        <f t="shared" ref="Q7171:Q7234" si="1129">IF(N7171=L7171,"Pas d'écart",IF(N7171&lt;L7171,"Ecart positif",IF(N7171&gt;L7171,"Ecart négatif")))</f>
        <v>Ecart négatif</v>
      </c>
    </row>
    <row r="7172" spans="1:18" x14ac:dyDescent="0.3">
      <c r="A7172" s="34" t="str">
        <f>base!J7172</f>
        <v>RM</v>
      </c>
      <c r="B7172" s="34" t="str">
        <f>base!V7172</f>
        <v>70000</v>
      </c>
      <c r="C7172" s="37">
        <v>70</v>
      </c>
      <c r="D7172" s="36">
        <f>base!H7172</f>
        <v>22.5</v>
      </c>
      <c r="E7172" s="44"/>
      <c r="F7172" s="16">
        <f>base!W7172</f>
        <v>0</v>
      </c>
      <c r="G7172" s="11">
        <f t="shared" si="1120"/>
        <v>0</v>
      </c>
      <c r="H7172" s="11">
        <f t="shared" si="1121"/>
        <v>5.3999999999999995</v>
      </c>
      <c r="I7172" s="11">
        <f t="shared" si="1122"/>
        <v>0.23999999999999996</v>
      </c>
      <c r="J7172" s="12">
        <f t="shared" si="1123"/>
        <v>-5.3999999999999995</v>
      </c>
      <c r="K7172" s="17" t="str">
        <f t="shared" si="1128"/>
        <v>Ecart négatif</v>
      </c>
      <c r="L7172" s="16">
        <f>base!X7172</f>
        <v>0</v>
      </c>
      <c r="M7172" s="11">
        <f t="shared" si="1124"/>
        <v>0</v>
      </c>
      <c r="N7172" s="11">
        <f t="shared" si="1125"/>
        <v>2.6999999999999997</v>
      </c>
      <c r="O7172" s="11">
        <f t="shared" si="1126"/>
        <v>0.11999999999999998</v>
      </c>
      <c r="P7172" s="12">
        <f t="shared" si="1127"/>
        <v>-2.6999999999999997</v>
      </c>
      <c r="Q7172" s="17" t="str">
        <f t="shared" si="1129"/>
        <v>Ecart négatif</v>
      </c>
    </row>
    <row r="7173" spans="1:18" x14ac:dyDescent="0.3">
      <c r="A7173" s="34" t="str">
        <f>base!J7173</f>
        <v>RM</v>
      </c>
      <c r="B7173" s="34" t="str">
        <f>base!V7173</f>
        <v>70000</v>
      </c>
      <c r="C7173" s="37">
        <v>70</v>
      </c>
      <c r="D7173" s="36">
        <f>base!H7173</f>
        <v>22.5</v>
      </c>
      <c r="E7173" s="44"/>
      <c r="F7173" s="16">
        <f>base!W7173</f>
        <v>0</v>
      </c>
      <c r="G7173" s="11">
        <f t="shared" si="1120"/>
        <v>0</v>
      </c>
      <c r="H7173" s="11">
        <f t="shared" si="1121"/>
        <v>5.3999999999999995</v>
      </c>
      <c r="I7173" s="11">
        <f t="shared" si="1122"/>
        <v>0.23999999999999996</v>
      </c>
      <c r="J7173" s="12">
        <f t="shared" si="1123"/>
        <v>-5.3999999999999995</v>
      </c>
      <c r="K7173" s="17" t="str">
        <f t="shared" si="1128"/>
        <v>Ecart négatif</v>
      </c>
      <c r="L7173" s="16">
        <f>base!X7173</f>
        <v>0</v>
      </c>
      <c r="M7173" s="11">
        <f t="shared" si="1124"/>
        <v>0</v>
      </c>
      <c r="N7173" s="11">
        <f t="shared" si="1125"/>
        <v>2.6999999999999997</v>
      </c>
      <c r="O7173" s="11">
        <f t="shared" si="1126"/>
        <v>0.11999999999999998</v>
      </c>
      <c r="P7173" s="12">
        <f t="shared" si="1127"/>
        <v>-2.6999999999999997</v>
      </c>
      <c r="Q7173" s="17" t="str">
        <f t="shared" si="1129"/>
        <v>Ecart négatif</v>
      </c>
    </row>
    <row r="7174" spans="1:18" x14ac:dyDescent="0.3">
      <c r="A7174" s="34" t="str">
        <f>base!J7174</f>
        <v>RS</v>
      </c>
      <c r="B7174" s="34" t="str">
        <f>base!V7174</f>
        <v>69200</v>
      </c>
      <c r="C7174" s="37">
        <v>69</v>
      </c>
      <c r="D7174" s="36">
        <f>base!H7174</f>
        <v>17.399999999999999</v>
      </c>
      <c r="E7174" s="44"/>
      <c r="F7174" s="16">
        <f>base!W7174</f>
        <v>0</v>
      </c>
      <c r="G7174" s="11">
        <f t="shared" si="1120"/>
        <v>0</v>
      </c>
      <c r="H7174" s="11">
        <f t="shared" si="1121"/>
        <v>4.6979999999999995</v>
      </c>
      <c r="I7174" s="11">
        <f t="shared" si="1122"/>
        <v>0.27</v>
      </c>
      <c r="J7174" s="12">
        <f t="shared" si="1123"/>
        <v>-4.6979999999999995</v>
      </c>
      <c r="K7174" s="17" t="str">
        <f t="shared" si="1128"/>
        <v>Ecart négatif</v>
      </c>
      <c r="L7174" s="16">
        <f>base!X7174</f>
        <v>0</v>
      </c>
      <c r="M7174" s="11">
        <f t="shared" si="1124"/>
        <v>0</v>
      </c>
      <c r="N7174" s="11">
        <f t="shared" si="1125"/>
        <v>0</v>
      </c>
      <c r="O7174" s="11">
        <f t="shared" si="1126"/>
        <v>0</v>
      </c>
      <c r="P7174" s="12">
        <f t="shared" si="1127"/>
        <v>0</v>
      </c>
      <c r="Q7174" s="17" t="str">
        <f t="shared" si="1129"/>
        <v>Pas d'écart</v>
      </c>
    </row>
    <row r="7175" spans="1:18" x14ac:dyDescent="0.3">
      <c r="A7175" s="34" t="str">
        <f>base!J7175</f>
        <v>DLM</v>
      </c>
      <c r="B7175" s="34" t="str">
        <f>base!V7175</f>
        <v>77100</v>
      </c>
      <c r="C7175" s="37">
        <v>77</v>
      </c>
      <c r="D7175" s="36">
        <f>base!H7175</f>
        <v>52.5</v>
      </c>
      <c r="E7175" s="44"/>
      <c r="F7175" s="16">
        <f>base!W7175</f>
        <v>0</v>
      </c>
      <c r="G7175" s="11">
        <f t="shared" si="1120"/>
        <v>0</v>
      </c>
      <c r="H7175" s="11">
        <f t="shared" si="1121"/>
        <v>0</v>
      </c>
      <c r="I7175" s="11">
        <f t="shared" si="1122"/>
        <v>0</v>
      </c>
      <c r="J7175" s="12">
        <f t="shared" si="1123"/>
        <v>0</v>
      </c>
      <c r="K7175" s="17" t="str">
        <f t="shared" si="1128"/>
        <v>Pas d'écart</v>
      </c>
      <c r="L7175" s="16">
        <f>base!X7175</f>
        <v>0</v>
      </c>
      <c r="M7175" s="11">
        <f t="shared" si="1124"/>
        <v>0</v>
      </c>
      <c r="N7175" s="11">
        <f t="shared" si="1125"/>
        <v>0</v>
      </c>
      <c r="O7175" s="11">
        <f t="shared" si="1126"/>
        <v>0</v>
      </c>
      <c r="P7175" s="12">
        <f t="shared" si="1127"/>
        <v>0</v>
      </c>
      <c r="Q7175" s="17" t="str">
        <f t="shared" si="1129"/>
        <v>Pas d'écart</v>
      </c>
    </row>
    <row r="7176" spans="1:18" x14ac:dyDescent="0.3">
      <c r="A7176" s="34" t="str">
        <f>base!J7176</f>
        <v>DLM</v>
      </c>
      <c r="B7176" s="34" t="str">
        <f>base!V7176</f>
        <v>84100</v>
      </c>
      <c r="C7176" s="37">
        <v>84</v>
      </c>
      <c r="D7176" s="36">
        <f>base!H7176</f>
        <v>52.5</v>
      </c>
      <c r="E7176" s="44"/>
      <c r="F7176" s="16">
        <f>base!W7176</f>
        <v>0</v>
      </c>
      <c r="G7176" s="11">
        <f t="shared" si="1120"/>
        <v>0</v>
      </c>
      <c r="H7176" s="11">
        <f t="shared" si="1121"/>
        <v>15.225</v>
      </c>
      <c r="I7176" s="11">
        <f t="shared" si="1122"/>
        <v>0.28999999999999998</v>
      </c>
      <c r="J7176" s="12">
        <f t="shared" si="1123"/>
        <v>-15.225</v>
      </c>
      <c r="K7176" s="17" t="str">
        <f t="shared" si="1128"/>
        <v>Ecart négatif</v>
      </c>
      <c r="L7176" s="16">
        <f>base!X7176</f>
        <v>0</v>
      </c>
      <c r="M7176" s="11">
        <f t="shared" si="1124"/>
        <v>0</v>
      </c>
      <c r="N7176" s="11">
        <f t="shared" si="1125"/>
        <v>9.9749999999999996</v>
      </c>
      <c r="O7176" s="11">
        <f t="shared" si="1126"/>
        <v>0.19</v>
      </c>
      <c r="P7176" s="12">
        <f t="shared" si="1127"/>
        <v>-9.9749999999999996</v>
      </c>
      <c r="Q7176" s="17" t="str">
        <f t="shared" si="1129"/>
        <v>Ecart négatif</v>
      </c>
    </row>
    <row r="7177" spans="1:18" x14ac:dyDescent="0.3">
      <c r="A7177" s="34" t="str">
        <f>base!J7177</f>
        <v>DLM</v>
      </c>
      <c r="B7177" s="34" t="str">
        <f>base!V7177</f>
        <v>22000</v>
      </c>
      <c r="C7177" s="37">
        <v>22</v>
      </c>
      <c r="D7177" s="36">
        <f>base!H7177</f>
        <v>52.5</v>
      </c>
      <c r="E7177" s="44"/>
      <c r="F7177" s="16">
        <f>base!W7177</f>
        <v>0</v>
      </c>
      <c r="G7177" s="11">
        <f t="shared" si="1120"/>
        <v>0</v>
      </c>
      <c r="H7177" s="11">
        <f t="shared" si="1121"/>
        <v>19.95</v>
      </c>
      <c r="I7177" s="11">
        <f t="shared" si="1122"/>
        <v>0.38</v>
      </c>
      <c r="J7177" s="12">
        <f t="shared" si="1123"/>
        <v>-19.95</v>
      </c>
      <c r="K7177" s="17" t="str">
        <f t="shared" si="1128"/>
        <v>Ecart négatif</v>
      </c>
      <c r="L7177" s="16">
        <f>base!X7177</f>
        <v>0</v>
      </c>
      <c r="M7177" s="11">
        <f t="shared" si="1124"/>
        <v>0</v>
      </c>
      <c r="N7177" s="11">
        <f t="shared" si="1125"/>
        <v>6.3</v>
      </c>
      <c r="O7177" s="11">
        <f t="shared" si="1126"/>
        <v>0.12</v>
      </c>
      <c r="P7177" s="12">
        <f t="shared" si="1127"/>
        <v>-6.3</v>
      </c>
      <c r="Q7177" s="17" t="str">
        <f t="shared" si="1129"/>
        <v>Ecart négatif</v>
      </c>
    </row>
    <row r="7178" spans="1:18" x14ac:dyDescent="0.3">
      <c r="A7178" s="34" t="str">
        <f>base!J7178</f>
        <v>DLM</v>
      </c>
      <c r="B7178" s="34" t="str">
        <f>base!V7178</f>
        <v>26500</v>
      </c>
      <c r="C7178" s="37">
        <v>26</v>
      </c>
      <c r="D7178" s="36">
        <f>base!H7178</f>
        <v>52.5</v>
      </c>
      <c r="E7178" s="44"/>
      <c r="F7178" s="16">
        <f>base!W7178</f>
        <v>0</v>
      </c>
      <c r="G7178" s="11">
        <f t="shared" si="1120"/>
        <v>0</v>
      </c>
      <c r="H7178" s="11">
        <f t="shared" si="1121"/>
        <v>14.175000000000001</v>
      </c>
      <c r="I7178" s="11">
        <f t="shared" si="1122"/>
        <v>0.27</v>
      </c>
      <c r="J7178" s="12">
        <f t="shared" si="1123"/>
        <v>-14.175000000000001</v>
      </c>
      <c r="K7178" s="17" t="str">
        <f t="shared" si="1128"/>
        <v>Ecart négatif</v>
      </c>
      <c r="L7178" s="16">
        <f>base!X7178</f>
        <v>0</v>
      </c>
      <c r="M7178" s="11">
        <f t="shared" si="1124"/>
        <v>0</v>
      </c>
      <c r="N7178" s="11">
        <f t="shared" si="1125"/>
        <v>0</v>
      </c>
      <c r="O7178" s="11">
        <f t="shared" si="1126"/>
        <v>0</v>
      </c>
      <c r="P7178" s="12">
        <f t="shared" si="1127"/>
        <v>0</v>
      </c>
      <c r="Q7178" s="17" t="str">
        <f t="shared" si="1129"/>
        <v>Pas d'écart</v>
      </c>
    </row>
    <row r="7179" spans="1:18" x14ac:dyDescent="0.3">
      <c r="A7179" s="34" t="str">
        <f>base!J7179</f>
        <v>RS</v>
      </c>
      <c r="B7179" s="34" t="str">
        <f>base!V7179</f>
        <v>59287</v>
      </c>
      <c r="C7179" s="37">
        <v>59</v>
      </c>
      <c r="D7179" s="36">
        <f>base!H7179</f>
        <v>162</v>
      </c>
      <c r="E7179" s="44"/>
      <c r="F7179" s="16">
        <f>base!W7179</f>
        <v>0</v>
      </c>
      <c r="G7179" s="11">
        <f t="shared" si="1120"/>
        <v>0</v>
      </c>
      <c r="H7179" s="11">
        <f t="shared" si="1121"/>
        <v>30.78</v>
      </c>
      <c r="I7179" s="11">
        <f t="shared" si="1122"/>
        <v>0.19</v>
      </c>
      <c r="J7179" s="12">
        <f t="shared" si="1123"/>
        <v>-30.78</v>
      </c>
      <c r="K7179" s="17" t="str">
        <f t="shared" si="1128"/>
        <v>Ecart négatif</v>
      </c>
      <c r="L7179" s="16">
        <f>base!X7179</f>
        <v>0</v>
      </c>
      <c r="M7179" s="11">
        <f t="shared" si="1124"/>
        <v>0</v>
      </c>
      <c r="N7179" s="11">
        <f t="shared" si="1125"/>
        <v>0</v>
      </c>
      <c r="O7179" s="11">
        <f t="shared" si="1126"/>
        <v>0</v>
      </c>
      <c r="P7179" s="12">
        <f t="shared" si="1127"/>
        <v>0</v>
      </c>
      <c r="Q7179" s="17" t="str">
        <f t="shared" si="1129"/>
        <v>Pas d'écart</v>
      </c>
    </row>
    <row r="7180" spans="1:18" x14ac:dyDescent="0.3">
      <c r="A7180" s="34" t="str">
        <f>base!J7180</f>
        <v>RS</v>
      </c>
      <c r="B7180" s="34" t="str">
        <f>base!V7180</f>
        <v>34800</v>
      </c>
      <c r="C7180" s="37">
        <v>34</v>
      </c>
      <c r="D7180" s="36">
        <f>base!H7180</f>
        <v>180</v>
      </c>
      <c r="E7180" s="44"/>
      <c r="F7180" s="16">
        <f>base!W7180</f>
        <v>0</v>
      </c>
      <c r="G7180" s="11">
        <f t="shared" si="1120"/>
        <v>0</v>
      </c>
      <c r="H7180" s="11">
        <f t="shared" si="1121"/>
        <v>70.2</v>
      </c>
      <c r="I7180" s="11">
        <f t="shared" si="1122"/>
        <v>0.39</v>
      </c>
      <c r="J7180" s="12">
        <f t="shared" si="1123"/>
        <v>-70.2</v>
      </c>
      <c r="K7180" s="17" t="str">
        <f t="shared" si="1128"/>
        <v>Ecart négatif</v>
      </c>
      <c r="L7180" s="16">
        <f>base!X7180</f>
        <v>0</v>
      </c>
      <c r="M7180" s="11">
        <f t="shared" si="1124"/>
        <v>0</v>
      </c>
      <c r="N7180" s="11">
        <f t="shared" si="1125"/>
        <v>50.400000000000006</v>
      </c>
      <c r="O7180" s="11">
        <f t="shared" si="1126"/>
        <v>0.28000000000000003</v>
      </c>
      <c r="P7180" s="12">
        <f t="shared" si="1127"/>
        <v>-50.400000000000006</v>
      </c>
      <c r="Q7180" s="17" t="str">
        <f t="shared" si="1129"/>
        <v>Ecart négatif</v>
      </c>
    </row>
    <row r="7181" spans="1:18" x14ac:dyDescent="0.3">
      <c r="A7181" s="34" t="str">
        <f>base!J7181</f>
        <v>DLM</v>
      </c>
      <c r="B7181" s="34" t="str">
        <f>base!V7181</f>
        <v>07800</v>
      </c>
      <c r="C7181" s="37">
        <v>7</v>
      </c>
      <c r="D7181" s="36">
        <f>base!H7181</f>
        <v>23.4</v>
      </c>
      <c r="E7181" s="44"/>
      <c r="F7181" s="16">
        <f>base!W7181</f>
        <v>0</v>
      </c>
      <c r="G7181" s="11">
        <f t="shared" si="1120"/>
        <v>0</v>
      </c>
      <c r="H7181" s="11">
        <f t="shared" si="1121"/>
        <v>6.3179999999999996</v>
      </c>
      <c r="I7181" s="11">
        <f t="shared" si="1122"/>
        <v>0.27</v>
      </c>
      <c r="J7181" s="12">
        <f t="shared" si="1123"/>
        <v>-6.3179999999999996</v>
      </c>
      <c r="K7181" s="17" t="str">
        <f t="shared" si="1128"/>
        <v>Ecart négatif</v>
      </c>
      <c r="L7181" s="16">
        <f>base!X7181</f>
        <v>0</v>
      </c>
      <c r="M7181" s="11">
        <f t="shared" si="1124"/>
        <v>0</v>
      </c>
      <c r="N7181" s="11">
        <f t="shared" si="1125"/>
        <v>0</v>
      </c>
      <c r="O7181" s="11">
        <f t="shared" si="1126"/>
        <v>0</v>
      </c>
      <c r="P7181" s="12">
        <f t="shared" si="1127"/>
        <v>0</v>
      </c>
      <c r="Q7181" s="17" t="str">
        <f t="shared" si="1129"/>
        <v>Pas d'écart</v>
      </c>
    </row>
    <row r="7182" spans="1:18" x14ac:dyDescent="0.3">
      <c r="A7182" s="34" t="str">
        <f>base!J7182</f>
        <v>DLM</v>
      </c>
      <c r="B7182" s="34" t="str">
        <f>base!V7182</f>
        <v>38300</v>
      </c>
      <c r="C7182" s="37">
        <v>38</v>
      </c>
      <c r="D7182" s="36">
        <f>base!H7182</f>
        <v>23.4</v>
      </c>
      <c r="E7182" s="44"/>
      <c r="F7182" s="16">
        <f>base!W7182</f>
        <v>0</v>
      </c>
      <c r="G7182" s="11">
        <f t="shared" si="1120"/>
        <v>0</v>
      </c>
      <c r="H7182" s="11">
        <f t="shared" si="1121"/>
        <v>6.3179999999999996</v>
      </c>
      <c r="I7182" s="11">
        <f t="shared" si="1122"/>
        <v>0.27</v>
      </c>
      <c r="J7182" s="12">
        <f t="shared" si="1123"/>
        <v>-6.3179999999999996</v>
      </c>
      <c r="K7182" s="17" t="str">
        <f t="shared" si="1128"/>
        <v>Ecart négatif</v>
      </c>
      <c r="L7182" s="16">
        <f>base!X7182</f>
        <v>0</v>
      </c>
      <c r="M7182" s="11">
        <f t="shared" si="1124"/>
        <v>0</v>
      </c>
      <c r="N7182" s="11">
        <f t="shared" si="1125"/>
        <v>0</v>
      </c>
      <c r="O7182" s="11">
        <f t="shared" si="1126"/>
        <v>0</v>
      </c>
      <c r="P7182" s="12">
        <f t="shared" si="1127"/>
        <v>0</v>
      </c>
      <c r="Q7182" s="17" t="str">
        <f t="shared" si="1129"/>
        <v>Pas d'écart</v>
      </c>
    </row>
    <row r="7183" spans="1:18" x14ac:dyDescent="0.3">
      <c r="A7183" s="34" t="str">
        <f>base!J7183</f>
        <v>DRM</v>
      </c>
      <c r="B7183" s="34" t="str">
        <f>base!V7183</f>
        <v>51100</v>
      </c>
      <c r="C7183" s="37">
        <v>51</v>
      </c>
      <c r="D7183" s="36">
        <f>base!H7183</f>
        <v>181</v>
      </c>
      <c r="E7183" s="44"/>
      <c r="F7183" s="16">
        <f>base!W7183</f>
        <v>0</v>
      </c>
      <c r="G7183" s="11">
        <f t="shared" si="1120"/>
        <v>0</v>
      </c>
      <c r="H7183" s="11">
        <f t="shared" si="1121"/>
        <v>45.25</v>
      </c>
      <c r="I7183" s="11">
        <f t="shared" si="1122"/>
        <v>0.25</v>
      </c>
      <c r="J7183" s="12">
        <f t="shared" si="1123"/>
        <v>-45.25</v>
      </c>
      <c r="K7183" s="17" t="str">
        <f t="shared" si="1128"/>
        <v>Ecart négatif</v>
      </c>
      <c r="L7183" s="16">
        <f>base!X7183</f>
        <v>0</v>
      </c>
      <c r="M7183" s="11">
        <f t="shared" si="1124"/>
        <v>0</v>
      </c>
      <c r="N7183" s="11">
        <f t="shared" si="1125"/>
        <v>45.25</v>
      </c>
      <c r="O7183" s="11">
        <f t="shared" si="1126"/>
        <v>0.25</v>
      </c>
      <c r="P7183" s="12">
        <f t="shared" si="1127"/>
        <v>-45.25</v>
      </c>
      <c r="Q7183" s="17" t="str">
        <f t="shared" si="1129"/>
        <v>Ecart négatif</v>
      </c>
    </row>
    <row r="7184" spans="1:18" x14ac:dyDescent="0.3">
      <c r="A7184" s="34" t="str">
        <f>base!J7184</f>
        <v>DRM</v>
      </c>
      <c r="B7184" s="34" t="str">
        <f>base!V7184</f>
        <v>08200</v>
      </c>
      <c r="C7184" s="37">
        <v>8</v>
      </c>
      <c r="D7184" s="36">
        <f>base!H7184</f>
        <v>32</v>
      </c>
      <c r="E7184" s="44"/>
      <c r="F7184" s="16">
        <f>base!W7184</f>
        <v>0</v>
      </c>
      <c r="G7184" s="11">
        <f t="shared" si="1120"/>
        <v>0</v>
      </c>
      <c r="H7184" s="11">
        <f t="shared" si="1121"/>
        <v>5.76</v>
      </c>
      <c r="I7184" s="11">
        <f t="shared" si="1122"/>
        <v>0.18</v>
      </c>
      <c r="J7184" s="12">
        <f t="shared" si="1123"/>
        <v>-5.76</v>
      </c>
      <c r="K7184" s="17" t="str">
        <f t="shared" si="1128"/>
        <v>Ecart négatif</v>
      </c>
      <c r="L7184" s="16">
        <f>base!X7184</f>
        <v>0</v>
      </c>
      <c r="M7184" s="11">
        <f t="shared" si="1124"/>
        <v>0</v>
      </c>
      <c r="N7184" s="11">
        <f t="shared" si="1125"/>
        <v>0</v>
      </c>
      <c r="O7184" s="11">
        <f t="shared" si="1126"/>
        <v>0</v>
      </c>
      <c r="P7184" s="12">
        <f t="shared" si="1127"/>
        <v>0</v>
      </c>
      <c r="Q7184" s="17" t="str">
        <f t="shared" si="1129"/>
        <v>Pas d'écart</v>
      </c>
    </row>
    <row r="7185" spans="1:18" x14ac:dyDescent="0.3">
      <c r="A7185" s="34" t="str">
        <f>base!J7185</f>
        <v>DRS</v>
      </c>
      <c r="B7185" s="34" t="str">
        <f>base!V7185</f>
        <v>78193</v>
      </c>
      <c r="C7185" s="37">
        <v>78</v>
      </c>
      <c r="D7185" s="36">
        <f>base!H7185</f>
        <v>0</v>
      </c>
      <c r="E7185" s="44"/>
      <c r="F7185" s="16">
        <f>base!W7185</f>
        <v>0</v>
      </c>
      <c r="G7185" s="11" t="e">
        <f t="shared" si="1120"/>
        <v>#DIV/0!</v>
      </c>
      <c r="H7185" s="11">
        <f t="shared" si="1121"/>
        <v>0</v>
      </c>
      <c r="I7185" s="11" t="e">
        <f t="shared" si="1122"/>
        <v>#DIV/0!</v>
      </c>
      <c r="J7185" s="12">
        <f t="shared" si="1123"/>
        <v>0</v>
      </c>
      <c r="K7185" s="17" t="str">
        <f t="shared" si="1128"/>
        <v>Pas d'écart</v>
      </c>
      <c r="L7185" s="16">
        <f>base!X7185</f>
        <v>0</v>
      </c>
      <c r="M7185" s="11" t="e">
        <f t="shared" si="1124"/>
        <v>#DIV/0!</v>
      </c>
      <c r="N7185" s="11">
        <f t="shared" si="1125"/>
        <v>0</v>
      </c>
      <c r="O7185" s="11" t="e">
        <f t="shared" si="1126"/>
        <v>#DIV/0!</v>
      </c>
      <c r="P7185" s="12">
        <f t="shared" si="1127"/>
        <v>0</v>
      </c>
      <c r="Q7185" s="17" t="str">
        <f t="shared" si="1129"/>
        <v>Pas d'écart</v>
      </c>
    </row>
    <row r="7186" spans="1:18" x14ac:dyDescent="0.3">
      <c r="A7186" s="34" t="str">
        <f>base!J7186</f>
        <v>DRS</v>
      </c>
      <c r="B7186" s="34" t="str">
        <f>base!V7186</f>
        <v>33700</v>
      </c>
      <c r="C7186" s="37">
        <v>33</v>
      </c>
      <c r="D7186" s="36">
        <f>base!H7186</f>
        <v>74.33</v>
      </c>
      <c r="E7186" s="44"/>
      <c r="F7186" s="16">
        <f>base!W7186</f>
        <v>0</v>
      </c>
      <c r="G7186" s="11">
        <f t="shared" si="1120"/>
        <v>0</v>
      </c>
      <c r="H7186" s="11">
        <f t="shared" si="1121"/>
        <v>15.609299999999999</v>
      </c>
      <c r="I7186" s="11">
        <f t="shared" si="1122"/>
        <v>0.21</v>
      </c>
      <c r="J7186" s="12">
        <f t="shared" si="1123"/>
        <v>-15.609299999999999</v>
      </c>
      <c r="K7186" s="17" t="str">
        <f t="shared" si="1128"/>
        <v>Ecart négatif</v>
      </c>
      <c r="L7186" s="16">
        <f>base!X7186</f>
        <v>0</v>
      </c>
      <c r="M7186" s="11">
        <f t="shared" si="1124"/>
        <v>0</v>
      </c>
      <c r="N7186" s="11">
        <f t="shared" si="1125"/>
        <v>12.636100000000001</v>
      </c>
      <c r="O7186" s="11">
        <f t="shared" si="1126"/>
        <v>0.17</v>
      </c>
      <c r="P7186" s="12">
        <f t="shared" si="1127"/>
        <v>-12.636100000000001</v>
      </c>
      <c r="Q7186" s="17" t="str">
        <f t="shared" si="1129"/>
        <v>Ecart négatif</v>
      </c>
    </row>
    <row r="7187" spans="1:18" x14ac:dyDescent="0.3">
      <c r="A7187" s="34" t="str">
        <f>base!J7187</f>
        <v>RS</v>
      </c>
      <c r="B7187" s="34" t="str">
        <f>base!V7187</f>
        <v>17390</v>
      </c>
      <c r="C7187" s="37">
        <v>17</v>
      </c>
      <c r="D7187" s="36">
        <f>base!H7187</f>
        <v>159</v>
      </c>
      <c r="E7187" s="44"/>
      <c r="F7187" s="16">
        <f>base!W7187</f>
        <v>0</v>
      </c>
      <c r="G7187" s="11">
        <f t="shared" si="1120"/>
        <v>0</v>
      </c>
      <c r="H7187" s="11">
        <f t="shared" si="1121"/>
        <v>33.39</v>
      </c>
      <c r="I7187" s="11">
        <f t="shared" si="1122"/>
        <v>0.21</v>
      </c>
      <c r="J7187" s="12">
        <f t="shared" si="1123"/>
        <v>-33.39</v>
      </c>
      <c r="K7187" s="17" t="str">
        <f t="shared" si="1128"/>
        <v>Ecart négatif</v>
      </c>
      <c r="L7187" s="16">
        <f>base!X7187</f>
        <v>33.39</v>
      </c>
      <c r="M7187" s="11">
        <f t="shared" si="1124"/>
        <v>0.21</v>
      </c>
      <c r="N7187" s="11">
        <f t="shared" si="1125"/>
        <v>27.03</v>
      </c>
      <c r="O7187" s="11">
        <f t="shared" si="1126"/>
        <v>0.17</v>
      </c>
      <c r="P7187" s="12">
        <f t="shared" si="1127"/>
        <v>6.3599999999999994</v>
      </c>
      <c r="Q7187" s="17" t="str">
        <f t="shared" si="1129"/>
        <v>Ecart positif</v>
      </c>
      <c r="R7187" s="38"/>
    </row>
    <row r="7188" spans="1:18" x14ac:dyDescent="0.3">
      <c r="A7188" s="34" t="str">
        <f>base!J7188</f>
        <v>RM</v>
      </c>
      <c r="B7188" s="34" t="str">
        <f>base!V7188</f>
        <v>44000</v>
      </c>
      <c r="C7188" s="37">
        <v>44</v>
      </c>
      <c r="D7188" s="36">
        <f>base!H7188</f>
        <v>140</v>
      </c>
      <c r="E7188" s="44"/>
      <c r="F7188" s="16">
        <f>base!W7188</f>
        <v>0</v>
      </c>
      <c r="G7188" s="11">
        <f t="shared" si="1120"/>
        <v>0</v>
      </c>
      <c r="H7188" s="11">
        <f t="shared" si="1121"/>
        <v>37.800000000000004</v>
      </c>
      <c r="I7188" s="11">
        <f t="shared" si="1122"/>
        <v>0.27</v>
      </c>
      <c r="J7188" s="12">
        <f t="shared" si="1123"/>
        <v>-37.800000000000004</v>
      </c>
      <c r="K7188" s="17" t="str">
        <f t="shared" si="1128"/>
        <v>Ecart négatif</v>
      </c>
      <c r="L7188" s="16">
        <f>base!X7188</f>
        <v>0</v>
      </c>
      <c r="M7188" s="11">
        <f t="shared" si="1124"/>
        <v>0</v>
      </c>
      <c r="N7188" s="11">
        <f t="shared" si="1125"/>
        <v>0</v>
      </c>
      <c r="O7188" s="11">
        <f t="shared" si="1126"/>
        <v>0</v>
      </c>
      <c r="P7188" s="12">
        <f t="shared" si="1127"/>
        <v>0</v>
      </c>
      <c r="Q7188" s="17" t="str">
        <f t="shared" si="1129"/>
        <v>Pas d'écart</v>
      </c>
    </row>
    <row r="7189" spans="1:18" x14ac:dyDescent="0.3">
      <c r="A7189" s="34" t="str">
        <f>base!J7189</f>
        <v>RM</v>
      </c>
      <c r="B7189" s="34" t="str">
        <f>base!V7189</f>
        <v>27000</v>
      </c>
      <c r="C7189" s="37">
        <v>27</v>
      </c>
      <c r="D7189" s="36">
        <f>base!H7189</f>
        <v>180</v>
      </c>
      <c r="E7189" s="44"/>
      <c r="F7189" s="16">
        <f>base!W7189</f>
        <v>0</v>
      </c>
      <c r="G7189" s="11">
        <f t="shared" si="1120"/>
        <v>0</v>
      </c>
      <c r="H7189" s="11">
        <f t="shared" si="1121"/>
        <v>30.6</v>
      </c>
      <c r="I7189" s="11">
        <f t="shared" si="1122"/>
        <v>0.17</v>
      </c>
      <c r="J7189" s="12">
        <f t="shared" si="1123"/>
        <v>-30.6</v>
      </c>
      <c r="K7189" s="17" t="str">
        <f t="shared" si="1128"/>
        <v>Ecart négatif</v>
      </c>
      <c r="L7189" s="16">
        <f>base!X7189</f>
        <v>0</v>
      </c>
      <c r="M7189" s="11">
        <f t="shared" si="1124"/>
        <v>0</v>
      </c>
      <c r="N7189" s="11">
        <f t="shared" si="1125"/>
        <v>30.6</v>
      </c>
      <c r="O7189" s="11">
        <f t="shared" si="1126"/>
        <v>0.17</v>
      </c>
      <c r="P7189" s="12">
        <f t="shared" si="1127"/>
        <v>-30.6</v>
      </c>
      <c r="Q7189" s="17" t="str">
        <f t="shared" si="1129"/>
        <v>Ecart négatif</v>
      </c>
    </row>
    <row r="7190" spans="1:18" x14ac:dyDescent="0.3">
      <c r="A7190" s="34" t="str">
        <f>base!J7190</f>
        <v>DRM</v>
      </c>
      <c r="B7190" s="34" t="str">
        <f>base!V7190</f>
        <v>38230</v>
      </c>
      <c r="C7190" s="37">
        <v>38</v>
      </c>
      <c r="D7190" s="36">
        <f>base!H7190</f>
        <v>23.4</v>
      </c>
      <c r="E7190" s="44"/>
      <c r="F7190" s="16">
        <f>base!W7190</f>
        <v>0</v>
      </c>
      <c r="G7190" s="11">
        <f t="shared" si="1120"/>
        <v>0</v>
      </c>
      <c r="H7190" s="11">
        <f t="shared" si="1121"/>
        <v>6.3179999999999996</v>
      </c>
      <c r="I7190" s="11">
        <f t="shared" si="1122"/>
        <v>0.27</v>
      </c>
      <c r="J7190" s="12">
        <f t="shared" si="1123"/>
        <v>-6.3179999999999996</v>
      </c>
      <c r="K7190" s="17" t="str">
        <f t="shared" si="1128"/>
        <v>Ecart négatif</v>
      </c>
      <c r="L7190" s="16">
        <f>base!X7190</f>
        <v>0</v>
      </c>
      <c r="M7190" s="11">
        <f t="shared" si="1124"/>
        <v>0</v>
      </c>
      <c r="N7190" s="11">
        <f t="shared" si="1125"/>
        <v>0</v>
      </c>
      <c r="O7190" s="11">
        <f t="shared" si="1126"/>
        <v>0</v>
      </c>
      <c r="P7190" s="12">
        <f t="shared" si="1127"/>
        <v>0</v>
      </c>
      <c r="Q7190" s="17" t="str">
        <f t="shared" si="1129"/>
        <v>Pas d'écart</v>
      </c>
    </row>
    <row r="7191" spans="1:18" x14ac:dyDescent="0.3">
      <c r="A7191" s="34" t="str">
        <f>base!J7191</f>
        <v>LS</v>
      </c>
      <c r="B7191" s="34" t="str">
        <f>base!V7191</f>
        <v>05000</v>
      </c>
      <c r="C7191" s="37">
        <v>5</v>
      </c>
      <c r="D7191" s="36">
        <f>base!H7191</f>
        <v>0</v>
      </c>
      <c r="E7191" s="44"/>
      <c r="F7191" s="16">
        <f>base!W7191</f>
        <v>0</v>
      </c>
      <c r="G7191" s="11" t="e">
        <f t="shared" si="1120"/>
        <v>#DIV/0!</v>
      </c>
      <c r="H7191" s="11">
        <f t="shared" si="1121"/>
        <v>0</v>
      </c>
      <c r="I7191" s="11" t="e">
        <f t="shared" si="1122"/>
        <v>#DIV/0!</v>
      </c>
      <c r="J7191" s="12">
        <f t="shared" si="1123"/>
        <v>0</v>
      </c>
      <c r="K7191" s="17" t="str">
        <f t="shared" si="1128"/>
        <v>Pas d'écart</v>
      </c>
      <c r="L7191" s="16">
        <f>base!X7191</f>
        <v>0</v>
      </c>
      <c r="M7191" s="11" t="e">
        <f t="shared" si="1124"/>
        <v>#DIV/0!</v>
      </c>
      <c r="N7191" s="11">
        <f t="shared" si="1125"/>
        <v>0</v>
      </c>
      <c r="O7191" s="11" t="e">
        <f t="shared" si="1126"/>
        <v>#DIV/0!</v>
      </c>
      <c r="P7191" s="12">
        <f t="shared" si="1127"/>
        <v>0</v>
      </c>
      <c r="Q7191" s="17" t="str">
        <f t="shared" si="1129"/>
        <v>Pas d'écart</v>
      </c>
    </row>
    <row r="7192" spans="1:18" x14ac:dyDescent="0.3">
      <c r="A7192" s="34" t="str">
        <f>base!J7192</f>
        <v>RM</v>
      </c>
      <c r="B7192" s="34" t="str">
        <f>base!V7192</f>
        <v>53000</v>
      </c>
      <c r="C7192" s="37">
        <v>53</v>
      </c>
      <c r="D7192" s="36">
        <f>base!H7192</f>
        <v>180</v>
      </c>
      <c r="E7192" s="44"/>
      <c r="F7192" s="16">
        <f>base!W7192</f>
        <v>0</v>
      </c>
      <c r="G7192" s="11">
        <f t="shared" si="1120"/>
        <v>0</v>
      </c>
      <c r="H7192" s="11">
        <f t="shared" si="1121"/>
        <v>48.6</v>
      </c>
      <c r="I7192" s="11">
        <f t="shared" si="1122"/>
        <v>0.27</v>
      </c>
      <c r="J7192" s="12">
        <f t="shared" si="1123"/>
        <v>-48.6</v>
      </c>
      <c r="K7192" s="17" t="str">
        <f t="shared" si="1128"/>
        <v>Ecart négatif</v>
      </c>
      <c r="L7192" s="16">
        <f>base!X7192</f>
        <v>0</v>
      </c>
      <c r="M7192" s="11">
        <f t="shared" si="1124"/>
        <v>0</v>
      </c>
      <c r="N7192" s="11">
        <f t="shared" si="1125"/>
        <v>0</v>
      </c>
      <c r="O7192" s="11">
        <f t="shared" si="1126"/>
        <v>0</v>
      </c>
      <c r="P7192" s="12">
        <f t="shared" si="1127"/>
        <v>0</v>
      </c>
      <c r="Q7192" s="17" t="str">
        <f t="shared" si="1129"/>
        <v>Pas d'écart</v>
      </c>
    </row>
    <row r="7193" spans="1:18" x14ac:dyDescent="0.3">
      <c r="A7193" s="34" t="str">
        <f>base!J7193</f>
        <v>RM</v>
      </c>
      <c r="B7193" s="34" t="str">
        <f>base!V7193</f>
        <v>14790</v>
      </c>
      <c r="C7193" s="37">
        <v>14</v>
      </c>
      <c r="D7193" s="36">
        <f>base!H7193</f>
        <v>140</v>
      </c>
      <c r="E7193" s="44"/>
      <c r="F7193" s="16">
        <f>base!W7193</f>
        <v>0</v>
      </c>
      <c r="G7193" s="11">
        <f t="shared" si="1120"/>
        <v>0</v>
      </c>
      <c r="H7193" s="11">
        <f t="shared" si="1121"/>
        <v>23.8</v>
      </c>
      <c r="I7193" s="11">
        <f t="shared" si="1122"/>
        <v>0.17</v>
      </c>
      <c r="J7193" s="12">
        <f t="shared" si="1123"/>
        <v>-23.8</v>
      </c>
      <c r="K7193" s="17" t="str">
        <f t="shared" si="1128"/>
        <v>Ecart négatif</v>
      </c>
      <c r="L7193" s="16">
        <f>base!X7193</f>
        <v>23.8</v>
      </c>
      <c r="M7193" s="11">
        <f t="shared" si="1124"/>
        <v>0.17</v>
      </c>
      <c r="N7193" s="11">
        <f t="shared" si="1125"/>
        <v>23.8</v>
      </c>
      <c r="O7193" s="11">
        <f t="shared" si="1126"/>
        <v>0.17</v>
      </c>
      <c r="P7193" s="12">
        <f t="shared" si="1127"/>
        <v>0</v>
      </c>
      <c r="Q7193" s="17" t="str">
        <f t="shared" si="1129"/>
        <v>Pas d'écart</v>
      </c>
    </row>
    <row r="7194" spans="1:18" x14ac:dyDescent="0.3">
      <c r="A7194" s="34" t="str">
        <f>base!J7194</f>
        <v>RM</v>
      </c>
      <c r="B7194" s="34" t="str">
        <f>base!V7194</f>
        <v>38190</v>
      </c>
      <c r="C7194" s="37">
        <v>38</v>
      </c>
      <c r="D7194" s="36">
        <f>base!H7194</f>
        <v>26.6</v>
      </c>
      <c r="E7194" s="44"/>
      <c r="F7194" s="16">
        <f>base!W7194</f>
        <v>0</v>
      </c>
      <c r="G7194" s="11">
        <f t="shared" si="1120"/>
        <v>0</v>
      </c>
      <c r="H7194" s="11">
        <f t="shared" si="1121"/>
        <v>7.1820000000000013</v>
      </c>
      <c r="I7194" s="11">
        <f t="shared" si="1122"/>
        <v>0.27</v>
      </c>
      <c r="J7194" s="12">
        <f t="shared" si="1123"/>
        <v>-7.1820000000000013</v>
      </c>
      <c r="K7194" s="17" t="str">
        <f t="shared" si="1128"/>
        <v>Ecart négatif</v>
      </c>
      <c r="L7194" s="16">
        <f>base!X7194</f>
        <v>0</v>
      </c>
      <c r="M7194" s="11">
        <f t="shared" si="1124"/>
        <v>0</v>
      </c>
      <c r="N7194" s="11">
        <f t="shared" si="1125"/>
        <v>0</v>
      </c>
      <c r="O7194" s="11">
        <f t="shared" si="1126"/>
        <v>0</v>
      </c>
      <c r="P7194" s="12">
        <f t="shared" si="1127"/>
        <v>0</v>
      </c>
      <c r="Q7194" s="17" t="str">
        <f t="shared" si="1129"/>
        <v>Pas d'écart</v>
      </c>
    </row>
    <row r="7195" spans="1:18" x14ac:dyDescent="0.3">
      <c r="A7195" s="34" t="str">
        <f>base!J7195</f>
        <v>DLM</v>
      </c>
      <c r="B7195" s="34" t="str">
        <f>base!V7195</f>
        <v>69800</v>
      </c>
      <c r="C7195" s="37">
        <v>69</v>
      </c>
      <c r="D7195" s="36">
        <f>base!H7195</f>
        <v>151</v>
      </c>
      <c r="E7195" s="44"/>
      <c r="F7195" s="16">
        <f>base!W7195</f>
        <v>0</v>
      </c>
      <c r="G7195" s="11">
        <f t="shared" si="1120"/>
        <v>0</v>
      </c>
      <c r="H7195" s="11">
        <f t="shared" si="1121"/>
        <v>40.770000000000003</v>
      </c>
      <c r="I7195" s="11">
        <f t="shared" si="1122"/>
        <v>0.27</v>
      </c>
      <c r="J7195" s="12">
        <f t="shared" si="1123"/>
        <v>-40.770000000000003</v>
      </c>
      <c r="K7195" s="17" t="str">
        <f t="shared" si="1128"/>
        <v>Ecart négatif</v>
      </c>
      <c r="L7195" s="16">
        <f>base!X7195</f>
        <v>0</v>
      </c>
      <c r="M7195" s="11">
        <f t="shared" si="1124"/>
        <v>0</v>
      </c>
      <c r="N7195" s="11">
        <f t="shared" si="1125"/>
        <v>0</v>
      </c>
      <c r="O7195" s="11">
        <f t="shared" si="1126"/>
        <v>0</v>
      </c>
      <c r="P7195" s="12">
        <f t="shared" si="1127"/>
        <v>0</v>
      </c>
      <c r="Q7195" s="17" t="str">
        <f t="shared" si="1129"/>
        <v>Pas d'écart</v>
      </c>
    </row>
    <row r="7196" spans="1:18" x14ac:dyDescent="0.3">
      <c r="A7196" s="34">
        <f>base!J7196</f>
        <v>0</v>
      </c>
      <c r="B7196" s="34" t="str">
        <f>base!V7196</f>
        <v>77184</v>
      </c>
      <c r="C7196" s="37">
        <v>77</v>
      </c>
      <c r="D7196" s="36">
        <f>base!H7196</f>
        <v>16</v>
      </c>
      <c r="E7196" s="44"/>
      <c r="F7196" s="16">
        <f>base!W7196</f>
        <v>0</v>
      </c>
      <c r="G7196" s="11">
        <f t="shared" si="1120"/>
        <v>0</v>
      </c>
      <c r="H7196" s="11">
        <f t="shared" si="1121"/>
        <v>0</v>
      </c>
      <c r="I7196" s="11">
        <f t="shared" si="1122"/>
        <v>0</v>
      </c>
      <c r="J7196" s="12">
        <f t="shared" si="1123"/>
        <v>0</v>
      </c>
      <c r="K7196" s="17" t="str">
        <f t="shared" si="1128"/>
        <v>Pas d'écart</v>
      </c>
      <c r="L7196" s="16">
        <f>base!X7196</f>
        <v>0</v>
      </c>
      <c r="M7196" s="11">
        <f t="shared" si="1124"/>
        <v>0</v>
      </c>
      <c r="N7196" s="11">
        <f t="shared" si="1125"/>
        <v>0</v>
      </c>
      <c r="O7196" s="11">
        <f t="shared" si="1126"/>
        <v>0</v>
      </c>
      <c r="P7196" s="12">
        <f t="shared" si="1127"/>
        <v>0</v>
      </c>
      <c r="Q7196" s="17" t="str">
        <f t="shared" si="1129"/>
        <v>Pas d'écart</v>
      </c>
    </row>
    <row r="7197" spans="1:18" x14ac:dyDescent="0.3">
      <c r="A7197" s="34" t="str">
        <f>base!J7197</f>
        <v>DRM</v>
      </c>
      <c r="B7197" s="34" t="str">
        <f>base!V7197</f>
        <v>50230</v>
      </c>
      <c r="C7197" s="37">
        <v>50</v>
      </c>
      <c r="D7197" s="36">
        <f>base!H7197</f>
        <v>140</v>
      </c>
      <c r="E7197" s="44"/>
      <c r="F7197" s="16">
        <f>base!W7197</f>
        <v>0</v>
      </c>
      <c r="G7197" s="11">
        <f t="shared" si="1120"/>
        <v>0</v>
      </c>
      <c r="H7197" s="11">
        <f t="shared" si="1121"/>
        <v>23.8</v>
      </c>
      <c r="I7197" s="11">
        <f t="shared" si="1122"/>
        <v>0.17</v>
      </c>
      <c r="J7197" s="12">
        <f t="shared" si="1123"/>
        <v>-23.8</v>
      </c>
      <c r="K7197" s="17" t="str">
        <f t="shared" si="1128"/>
        <v>Ecart négatif</v>
      </c>
      <c r="L7197" s="16">
        <f>base!X7197</f>
        <v>0</v>
      </c>
      <c r="M7197" s="11">
        <f t="shared" si="1124"/>
        <v>0</v>
      </c>
      <c r="N7197" s="11">
        <f t="shared" si="1125"/>
        <v>23.8</v>
      </c>
      <c r="O7197" s="11">
        <f t="shared" si="1126"/>
        <v>0.17</v>
      </c>
      <c r="P7197" s="12">
        <f t="shared" si="1127"/>
        <v>-23.8</v>
      </c>
      <c r="Q7197" s="17" t="str">
        <f t="shared" si="1129"/>
        <v>Ecart négatif</v>
      </c>
    </row>
    <row r="7198" spans="1:18" x14ac:dyDescent="0.3">
      <c r="A7198" s="34" t="str">
        <f>base!J7198</f>
        <v>DLS</v>
      </c>
      <c r="B7198" s="34" t="str">
        <f>base!V7198</f>
        <v>83300</v>
      </c>
      <c r="C7198" s="37">
        <v>83</v>
      </c>
      <c r="D7198" s="36">
        <f>base!H7198</f>
        <v>122.09</v>
      </c>
      <c r="E7198" s="44"/>
      <c r="F7198" s="16">
        <f>base!W7198</f>
        <v>0</v>
      </c>
      <c r="G7198" s="11">
        <f t="shared" si="1120"/>
        <v>0</v>
      </c>
      <c r="H7198" s="11">
        <f t="shared" si="1121"/>
        <v>36.627000000000002</v>
      </c>
      <c r="I7198" s="11">
        <f t="shared" si="1122"/>
        <v>0.3</v>
      </c>
      <c r="J7198" s="12">
        <f t="shared" si="1123"/>
        <v>-36.627000000000002</v>
      </c>
      <c r="K7198" s="17" t="str">
        <f t="shared" si="1128"/>
        <v>Ecart négatif</v>
      </c>
      <c r="L7198" s="16">
        <f>base!X7198</f>
        <v>0</v>
      </c>
      <c r="M7198" s="11">
        <f t="shared" si="1124"/>
        <v>0</v>
      </c>
      <c r="N7198" s="11">
        <f t="shared" si="1125"/>
        <v>25.6389</v>
      </c>
      <c r="O7198" s="11">
        <f t="shared" si="1126"/>
        <v>0.21</v>
      </c>
      <c r="P7198" s="12">
        <f t="shared" si="1127"/>
        <v>-25.6389</v>
      </c>
      <c r="Q7198" s="17" t="str">
        <f t="shared" si="1129"/>
        <v>Ecart négatif</v>
      </c>
    </row>
    <row r="7199" spans="1:18" x14ac:dyDescent="0.3">
      <c r="A7199" s="34">
        <f>base!J7199</f>
        <v>0</v>
      </c>
      <c r="B7199" s="34" t="str">
        <f>base!V7199</f>
        <v>77184</v>
      </c>
      <c r="C7199" s="37">
        <v>77</v>
      </c>
      <c r="D7199" s="36">
        <f>base!H7199</f>
        <v>60</v>
      </c>
      <c r="E7199" s="44"/>
      <c r="F7199" s="16">
        <f>base!W7199</f>
        <v>0</v>
      </c>
      <c r="G7199" s="11">
        <f t="shared" si="1120"/>
        <v>0</v>
      </c>
      <c r="H7199" s="11">
        <f t="shared" si="1121"/>
        <v>0</v>
      </c>
      <c r="I7199" s="11">
        <f t="shared" si="1122"/>
        <v>0</v>
      </c>
      <c r="J7199" s="12">
        <f t="shared" si="1123"/>
        <v>0</v>
      </c>
      <c r="K7199" s="17" t="str">
        <f t="shared" si="1128"/>
        <v>Pas d'écart</v>
      </c>
      <c r="L7199" s="16">
        <f>base!X7199</f>
        <v>0</v>
      </c>
      <c r="M7199" s="11">
        <f t="shared" si="1124"/>
        <v>0</v>
      </c>
      <c r="N7199" s="11">
        <f t="shared" si="1125"/>
        <v>0</v>
      </c>
      <c r="O7199" s="11">
        <f t="shared" si="1126"/>
        <v>0</v>
      </c>
      <c r="P7199" s="12">
        <f t="shared" si="1127"/>
        <v>0</v>
      </c>
      <c r="Q7199" s="17" t="str">
        <f t="shared" si="1129"/>
        <v>Pas d'écart</v>
      </c>
    </row>
    <row r="7200" spans="1:18" x14ac:dyDescent="0.3">
      <c r="A7200" s="34" t="str">
        <f>base!J7200</f>
        <v>RS</v>
      </c>
      <c r="B7200" s="34" t="str">
        <f>base!V7200</f>
        <v>83600</v>
      </c>
      <c r="C7200" s="37">
        <v>83</v>
      </c>
      <c r="D7200" s="36">
        <f>base!H7200</f>
        <v>140</v>
      </c>
      <c r="E7200" s="44"/>
      <c r="F7200" s="16">
        <f>base!W7200</f>
        <v>0</v>
      </c>
      <c r="G7200" s="11">
        <f t="shared" si="1120"/>
        <v>0</v>
      </c>
      <c r="H7200" s="11">
        <f t="shared" si="1121"/>
        <v>42</v>
      </c>
      <c r="I7200" s="11">
        <f t="shared" si="1122"/>
        <v>0.3</v>
      </c>
      <c r="J7200" s="12">
        <f t="shared" si="1123"/>
        <v>-42</v>
      </c>
      <c r="K7200" s="17" t="str">
        <f t="shared" si="1128"/>
        <v>Ecart négatif</v>
      </c>
      <c r="L7200" s="16">
        <f>base!X7200</f>
        <v>0</v>
      </c>
      <c r="M7200" s="11">
        <f t="shared" si="1124"/>
        <v>0</v>
      </c>
      <c r="N7200" s="11">
        <f t="shared" si="1125"/>
        <v>29.4</v>
      </c>
      <c r="O7200" s="11">
        <f t="shared" si="1126"/>
        <v>0.21</v>
      </c>
      <c r="P7200" s="12">
        <f t="shared" si="1127"/>
        <v>-29.4</v>
      </c>
      <c r="Q7200" s="17" t="str">
        <f t="shared" si="1129"/>
        <v>Ecart négatif</v>
      </c>
    </row>
    <row r="7201" spans="1:18" x14ac:dyDescent="0.3">
      <c r="A7201" s="34" t="str">
        <f>base!J7201</f>
        <v>LS</v>
      </c>
      <c r="B7201" s="34" t="str">
        <f>base!V7201</f>
        <v>67100</v>
      </c>
      <c r="C7201" s="37">
        <v>13</v>
      </c>
      <c r="D7201" s="36">
        <f>base!H7201</f>
        <v>194.79</v>
      </c>
      <c r="E7201" s="44"/>
      <c r="F7201" s="16">
        <f>base!W7201</f>
        <v>56.49</v>
      </c>
      <c r="G7201" s="11">
        <f t="shared" si="1120"/>
        <v>0.29000462036038815</v>
      </c>
      <c r="H7201" s="11">
        <f t="shared" si="1121"/>
        <v>56.489099999999993</v>
      </c>
      <c r="I7201" s="11">
        <f t="shared" si="1122"/>
        <v>0.28999999999999998</v>
      </c>
      <c r="J7201" s="12">
        <f t="shared" si="1123"/>
        <v>9.0000000000856062E-4</v>
      </c>
      <c r="K7201" s="17" t="str">
        <f t="shared" si="1128"/>
        <v>Ecart positif</v>
      </c>
      <c r="L7201" s="16">
        <f>base!X7201</f>
        <v>0</v>
      </c>
      <c r="M7201" s="11">
        <f t="shared" si="1124"/>
        <v>0</v>
      </c>
      <c r="N7201" s="11">
        <f t="shared" si="1125"/>
        <v>37.010100000000001</v>
      </c>
      <c r="O7201" s="11">
        <f t="shared" si="1126"/>
        <v>0.19</v>
      </c>
      <c r="P7201" s="12">
        <f t="shared" si="1127"/>
        <v>-37.010100000000001</v>
      </c>
      <c r="Q7201" s="17" t="str">
        <f t="shared" si="1129"/>
        <v>Ecart négatif</v>
      </c>
    </row>
    <row r="7202" spans="1:18" x14ac:dyDescent="0.3">
      <c r="A7202" s="34" t="str">
        <f>base!J7202</f>
        <v>DLM</v>
      </c>
      <c r="B7202" s="34" t="str">
        <f>base!V7202</f>
        <v>79000</v>
      </c>
      <c r="C7202" s="37">
        <v>79</v>
      </c>
      <c r="D7202" s="36">
        <f>base!H7202</f>
        <v>180</v>
      </c>
      <c r="E7202" s="44"/>
      <c r="F7202" s="16">
        <f>base!W7202</f>
        <v>0</v>
      </c>
      <c r="G7202" s="11">
        <f t="shared" si="1120"/>
        <v>0</v>
      </c>
      <c r="H7202" s="11">
        <f t="shared" si="1121"/>
        <v>37.799999999999997</v>
      </c>
      <c r="I7202" s="11">
        <f t="shared" si="1122"/>
        <v>0.21</v>
      </c>
      <c r="J7202" s="12">
        <f t="shared" si="1123"/>
        <v>-37.799999999999997</v>
      </c>
      <c r="K7202" s="17" t="str">
        <f t="shared" si="1128"/>
        <v>Ecart négatif</v>
      </c>
      <c r="L7202" s="16">
        <f>base!X7202</f>
        <v>0</v>
      </c>
      <c r="M7202" s="11">
        <f t="shared" si="1124"/>
        <v>0</v>
      </c>
      <c r="N7202" s="11">
        <f t="shared" si="1125"/>
        <v>21.599999999999998</v>
      </c>
      <c r="O7202" s="11">
        <f t="shared" si="1126"/>
        <v>0.11999999999999998</v>
      </c>
      <c r="P7202" s="12">
        <f t="shared" si="1127"/>
        <v>-21.599999999999998</v>
      </c>
      <c r="Q7202" s="17" t="str">
        <f t="shared" si="1129"/>
        <v>Ecart négatif</v>
      </c>
    </row>
    <row r="7203" spans="1:18" x14ac:dyDescent="0.3">
      <c r="A7203" s="34" t="str">
        <f>base!J7203</f>
        <v>DLM</v>
      </c>
      <c r="B7203" s="34" t="str">
        <f>base!V7203</f>
        <v>44800</v>
      </c>
      <c r="C7203" s="37">
        <v>44</v>
      </c>
      <c r="D7203" s="36">
        <f>base!H7203</f>
        <v>181</v>
      </c>
      <c r="E7203" s="44"/>
      <c r="F7203" s="16">
        <f>base!W7203</f>
        <v>0</v>
      </c>
      <c r="G7203" s="11">
        <f t="shared" si="1120"/>
        <v>0</v>
      </c>
      <c r="H7203" s="11">
        <f t="shared" si="1121"/>
        <v>48.870000000000005</v>
      </c>
      <c r="I7203" s="11">
        <f t="shared" si="1122"/>
        <v>0.27</v>
      </c>
      <c r="J7203" s="12">
        <f t="shared" si="1123"/>
        <v>-48.870000000000005</v>
      </c>
      <c r="K7203" s="17" t="str">
        <f t="shared" si="1128"/>
        <v>Ecart négatif</v>
      </c>
      <c r="L7203" s="16">
        <f>base!X7203</f>
        <v>0</v>
      </c>
      <c r="M7203" s="11">
        <f t="shared" si="1124"/>
        <v>0</v>
      </c>
      <c r="N7203" s="11">
        <f t="shared" si="1125"/>
        <v>0</v>
      </c>
      <c r="O7203" s="11">
        <f t="shared" si="1126"/>
        <v>0</v>
      </c>
      <c r="P7203" s="12">
        <f t="shared" si="1127"/>
        <v>0</v>
      </c>
      <c r="Q7203" s="17" t="str">
        <f t="shared" si="1129"/>
        <v>Pas d'écart</v>
      </c>
    </row>
    <row r="7204" spans="1:18" x14ac:dyDescent="0.3">
      <c r="A7204" s="34">
        <f>base!J7204</f>
        <v>0</v>
      </c>
      <c r="B7204" s="34" t="str">
        <f>base!V7204</f>
        <v>77184</v>
      </c>
      <c r="C7204" s="37">
        <v>77</v>
      </c>
      <c r="D7204" s="36">
        <f>base!H7204</f>
        <v>84.5</v>
      </c>
      <c r="E7204" s="44"/>
      <c r="F7204" s="16">
        <f>base!W7204</f>
        <v>0</v>
      </c>
      <c r="G7204" s="11">
        <f t="shared" si="1120"/>
        <v>0</v>
      </c>
      <c r="H7204" s="11">
        <f t="shared" si="1121"/>
        <v>0</v>
      </c>
      <c r="I7204" s="11">
        <f t="shared" si="1122"/>
        <v>0</v>
      </c>
      <c r="J7204" s="12">
        <f t="shared" si="1123"/>
        <v>0</v>
      </c>
      <c r="K7204" s="17" t="str">
        <f t="shared" si="1128"/>
        <v>Pas d'écart</v>
      </c>
      <c r="L7204" s="16">
        <f>base!X7204</f>
        <v>0</v>
      </c>
      <c r="M7204" s="11">
        <f t="shared" si="1124"/>
        <v>0</v>
      </c>
      <c r="N7204" s="11">
        <f t="shared" si="1125"/>
        <v>0</v>
      </c>
      <c r="O7204" s="11">
        <f t="shared" si="1126"/>
        <v>0</v>
      </c>
      <c r="P7204" s="12">
        <f t="shared" si="1127"/>
        <v>0</v>
      </c>
      <c r="Q7204" s="17" t="str">
        <f t="shared" si="1129"/>
        <v>Pas d'écart</v>
      </c>
    </row>
    <row r="7205" spans="1:18" x14ac:dyDescent="0.3">
      <c r="A7205" s="34">
        <f>base!J7205</f>
        <v>0</v>
      </c>
      <c r="B7205" s="34" t="str">
        <f>base!V7205</f>
        <v>77184</v>
      </c>
      <c r="C7205" s="37">
        <v>77</v>
      </c>
      <c r="D7205" s="36">
        <f>base!H7205</f>
        <v>72.400000000000006</v>
      </c>
      <c r="E7205" s="44"/>
      <c r="F7205" s="16">
        <f>base!W7205</f>
        <v>0</v>
      </c>
      <c r="G7205" s="11">
        <f t="shared" si="1120"/>
        <v>0</v>
      </c>
      <c r="H7205" s="11">
        <f t="shared" si="1121"/>
        <v>0</v>
      </c>
      <c r="I7205" s="11">
        <f t="shared" si="1122"/>
        <v>0</v>
      </c>
      <c r="J7205" s="12">
        <f t="shared" si="1123"/>
        <v>0</v>
      </c>
      <c r="K7205" s="17" t="str">
        <f t="shared" si="1128"/>
        <v>Pas d'écart</v>
      </c>
      <c r="L7205" s="16">
        <f>base!X7205</f>
        <v>0</v>
      </c>
      <c r="M7205" s="11">
        <f t="shared" si="1124"/>
        <v>0</v>
      </c>
      <c r="N7205" s="11">
        <f t="shared" si="1125"/>
        <v>0</v>
      </c>
      <c r="O7205" s="11">
        <f t="shared" si="1126"/>
        <v>0</v>
      </c>
      <c r="P7205" s="12">
        <f t="shared" si="1127"/>
        <v>0</v>
      </c>
      <c r="Q7205" s="17" t="str">
        <f t="shared" si="1129"/>
        <v>Pas d'écart</v>
      </c>
    </row>
    <row r="7206" spans="1:18" x14ac:dyDescent="0.3">
      <c r="A7206" s="34" t="str">
        <f>base!J7206</f>
        <v>LS</v>
      </c>
      <c r="B7206" s="34" t="str">
        <f>base!V7206</f>
        <v>87280</v>
      </c>
      <c r="C7206" s="37">
        <v>87</v>
      </c>
      <c r="D7206" s="36">
        <f>base!H7206</f>
        <v>0</v>
      </c>
      <c r="E7206" s="44"/>
      <c r="F7206" s="16">
        <f>base!W7206</f>
        <v>0</v>
      </c>
      <c r="G7206" s="11" t="e">
        <f t="shared" si="1120"/>
        <v>#DIV/0!</v>
      </c>
      <c r="H7206" s="11">
        <f t="shared" si="1121"/>
        <v>0</v>
      </c>
      <c r="I7206" s="11" t="e">
        <f t="shared" si="1122"/>
        <v>#DIV/0!</v>
      </c>
      <c r="J7206" s="12">
        <f t="shared" si="1123"/>
        <v>0</v>
      </c>
      <c r="K7206" s="17" t="str">
        <f t="shared" si="1128"/>
        <v>Pas d'écart</v>
      </c>
      <c r="L7206" s="16">
        <f>base!X7206</f>
        <v>0</v>
      </c>
      <c r="M7206" s="11" t="e">
        <f t="shared" si="1124"/>
        <v>#DIV/0!</v>
      </c>
      <c r="N7206" s="11">
        <f t="shared" si="1125"/>
        <v>0</v>
      </c>
      <c r="O7206" s="11" t="e">
        <f t="shared" si="1126"/>
        <v>#DIV/0!</v>
      </c>
      <c r="P7206" s="12">
        <f t="shared" si="1127"/>
        <v>0</v>
      </c>
      <c r="Q7206" s="17" t="str">
        <f t="shared" si="1129"/>
        <v>Pas d'écart</v>
      </c>
    </row>
    <row r="7207" spans="1:18" x14ac:dyDescent="0.3">
      <c r="A7207" s="34" t="str">
        <f>base!J7207</f>
        <v>RM</v>
      </c>
      <c r="B7207" s="34" t="str">
        <f>base!V7207</f>
        <v>67600</v>
      </c>
      <c r="C7207" s="37">
        <v>67</v>
      </c>
      <c r="D7207" s="36">
        <f>base!H7207</f>
        <v>236.58</v>
      </c>
      <c r="E7207" s="44"/>
      <c r="F7207" s="16">
        <f>base!W7207</f>
        <v>0</v>
      </c>
      <c r="G7207" s="11">
        <f t="shared" si="1120"/>
        <v>0</v>
      </c>
      <c r="H7207" s="11">
        <f t="shared" si="1121"/>
        <v>68.608199999999997</v>
      </c>
      <c r="I7207" s="11">
        <f t="shared" si="1122"/>
        <v>0.28999999999999998</v>
      </c>
      <c r="J7207" s="12">
        <f t="shared" si="1123"/>
        <v>-68.608199999999997</v>
      </c>
      <c r="K7207" s="17" t="str">
        <f t="shared" si="1128"/>
        <v>Ecart négatif</v>
      </c>
      <c r="L7207" s="16">
        <f>base!X7207</f>
        <v>18.93</v>
      </c>
      <c r="M7207" s="11">
        <f t="shared" si="1124"/>
        <v>8.0015216839969566E-2</v>
      </c>
      <c r="N7207" s="11">
        <f t="shared" si="1125"/>
        <v>18.926400000000001</v>
      </c>
      <c r="O7207" s="11">
        <f t="shared" si="1126"/>
        <v>0.08</v>
      </c>
      <c r="P7207" s="12">
        <f t="shared" si="1127"/>
        <v>3.5999999999987153E-3</v>
      </c>
      <c r="Q7207" s="17" t="str">
        <f t="shared" si="1129"/>
        <v>Ecart positif</v>
      </c>
      <c r="R7207" s="38"/>
    </row>
    <row r="7208" spans="1:18" x14ac:dyDescent="0.3">
      <c r="A7208" s="34" t="str">
        <f>base!J7208</f>
        <v>RM</v>
      </c>
      <c r="B7208" s="34" t="str">
        <f>base!V7208</f>
        <v>45000</v>
      </c>
      <c r="C7208" s="37">
        <v>45</v>
      </c>
      <c r="D7208" s="36">
        <f>base!H7208</f>
        <v>25.6</v>
      </c>
      <c r="E7208" s="44"/>
      <c r="F7208" s="16">
        <f>base!W7208</f>
        <v>0</v>
      </c>
      <c r="G7208" s="11">
        <f t="shared" si="1120"/>
        <v>0</v>
      </c>
      <c r="H7208" s="11">
        <f t="shared" si="1121"/>
        <v>5.3760000000000003</v>
      </c>
      <c r="I7208" s="11">
        <f t="shared" si="1122"/>
        <v>0.21</v>
      </c>
      <c r="J7208" s="12">
        <f t="shared" si="1123"/>
        <v>-5.3760000000000003</v>
      </c>
      <c r="K7208" s="17" t="str">
        <f t="shared" si="1128"/>
        <v>Ecart négatif</v>
      </c>
      <c r="L7208" s="16">
        <f>base!X7208</f>
        <v>0</v>
      </c>
      <c r="M7208" s="11">
        <f t="shared" si="1124"/>
        <v>0</v>
      </c>
      <c r="N7208" s="11">
        <f t="shared" si="1125"/>
        <v>3.0720000000000001</v>
      </c>
      <c r="O7208" s="11">
        <f t="shared" si="1126"/>
        <v>0.12</v>
      </c>
      <c r="P7208" s="12">
        <f t="shared" si="1127"/>
        <v>-3.0720000000000001</v>
      </c>
      <c r="Q7208" s="17" t="str">
        <f t="shared" si="1129"/>
        <v>Ecart négatif</v>
      </c>
    </row>
    <row r="7209" spans="1:18" x14ac:dyDescent="0.3">
      <c r="A7209" s="34" t="str">
        <f>base!J7209</f>
        <v>LM</v>
      </c>
      <c r="B7209" s="34" t="str">
        <f>base!V7209</f>
        <v>13790</v>
      </c>
      <c r="C7209" s="37">
        <v>13</v>
      </c>
      <c r="D7209" s="36">
        <f>base!H7209</f>
        <v>107.72</v>
      </c>
      <c r="E7209" s="44"/>
      <c r="F7209" s="16">
        <f>base!W7209</f>
        <v>31.24</v>
      </c>
      <c r="G7209" s="11">
        <f t="shared" si="1120"/>
        <v>0.29001113999257333</v>
      </c>
      <c r="H7209" s="11">
        <f t="shared" si="1121"/>
        <v>31.238799999999998</v>
      </c>
      <c r="I7209" s="11">
        <f t="shared" si="1122"/>
        <v>0.28999999999999998</v>
      </c>
      <c r="J7209" s="12">
        <f t="shared" si="1123"/>
        <v>1.200000000000756E-3</v>
      </c>
      <c r="K7209" s="17" t="str">
        <f t="shared" si="1128"/>
        <v>Ecart positif</v>
      </c>
      <c r="L7209" s="16">
        <f>base!X7209</f>
        <v>0</v>
      </c>
      <c r="M7209" s="11">
        <f t="shared" si="1124"/>
        <v>0</v>
      </c>
      <c r="N7209" s="11">
        <f t="shared" si="1125"/>
        <v>20.466799999999999</v>
      </c>
      <c r="O7209" s="11">
        <f t="shared" si="1126"/>
        <v>0.19</v>
      </c>
      <c r="P7209" s="12">
        <f t="shared" si="1127"/>
        <v>-20.466799999999999</v>
      </c>
      <c r="Q7209" s="17" t="str">
        <f t="shared" si="1129"/>
        <v>Ecart négatif</v>
      </c>
    </row>
    <row r="7210" spans="1:18" x14ac:dyDescent="0.3">
      <c r="A7210" s="34" t="str">
        <f>base!J7210</f>
        <v>RS</v>
      </c>
      <c r="B7210" s="34" t="str">
        <f>base!V7210</f>
        <v>75009</v>
      </c>
      <c r="C7210" s="37">
        <v>75</v>
      </c>
      <c r="D7210" s="36">
        <f>base!H7210</f>
        <v>27.2</v>
      </c>
      <c r="E7210" s="44"/>
      <c r="F7210" s="16">
        <f>base!W7210</f>
        <v>0</v>
      </c>
      <c r="G7210" s="11">
        <f t="shared" si="1120"/>
        <v>0</v>
      </c>
      <c r="H7210" s="11">
        <f t="shared" si="1121"/>
        <v>0</v>
      </c>
      <c r="I7210" s="11">
        <f t="shared" si="1122"/>
        <v>0</v>
      </c>
      <c r="J7210" s="12">
        <f t="shared" si="1123"/>
        <v>0</v>
      </c>
      <c r="K7210" s="17" t="str">
        <f t="shared" si="1128"/>
        <v>Pas d'écart</v>
      </c>
      <c r="L7210" s="16">
        <f>base!X7210</f>
        <v>0</v>
      </c>
      <c r="M7210" s="11">
        <f t="shared" si="1124"/>
        <v>0</v>
      </c>
      <c r="N7210" s="11">
        <f t="shared" si="1125"/>
        <v>0</v>
      </c>
      <c r="O7210" s="11">
        <f t="shared" si="1126"/>
        <v>0</v>
      </c>
      <c r="P7210" s="12">
        <f t="shared" si="1127"/>
        <v>0</v>
      </c>
      <c r="Q7210" s="17" t="str">
        <f t="shared" si="1129"/>
        <v>Pas d'écart</v>
      </c>
    </row>
    <row r="7211" spans="1:18" x14ac:dyDescent="0.3">
      <c r="A7211" s="34" t="str">
        <f>base!J7211</f>
        <v>RS</v>
      </c>
      <c r="B7211" s="34" t="str">
        <f>base!V7211</f>
        <v>62600</v>
      </c>
      <c r="C7211" s="37">
        <v>62</v>
      </c>
      <c r="D7211" s="36">
        <f>base!H7211</f>
        <v>70</v>
      </c>
      <c r="E7211" s="44"/>
      <c r="F7211" s="16">
        <f>base!W7211</f>
        <v>0</v>
      </c>
      <c r="G7211" s="11">
        <f t="shared" si="1120"/>
        <v>0</v>
      </c>
      <c r="H7211" s="11">
        <f t="shared" si="1121"/>
        <v>13.3</v>
      </c>
      <c r="I7211" s="11">
        <f t="shared" si="1122"/>
        <v>0.19</v>
      </c>
      <c r="J7211" s="12">
        <f t="shared" si="1123"/>
        <v>-13.3</v>
      </c>
      <c r="K7211" s="17" t="str">
        <f t="shared" si="1128"/>
        <v>Ecart négatif</v>
      </c>
      <c r="L7211" s="16">
        <f>base!X7211</f>
        <v>0</v>
      </c>
      <c r="M7211" s="11">
        <f t="shared" si="1124"/>
        <v>0</v>
      </c>
      <c r="N7211" s="11">
        <f t="shared" si="1125"/>
        <v>0</v>
      </c>
      <c r="O7211" s="11">
        <f t="shared" si="1126"/>
        <v>0</v>
      </c>
      <c r="P7211" s="12">
        <f t="shared" si="1127"/>
        <v>0</v>
      </c>
      <c r="Q7211" s="17" t="str">
        <f t="shared" si="1129"/>
        <v>Pas d'écart</v>
      </c>
    </row>
    <row r="7212" spans="1:18" x14ac:dyDescent="0.3">
      <c r="A7212" s="34" t="str">
        <f>base!J7212</f>
        <v>RM</v>
      </c>
      <c r="B7212" s="34" t="str">
        <f>base!V7212</f>
        <v>44600</v>
      </c>
      <c r="C7212" s="37">
        <v>44</v>
      </c>
      <c r="D7212" s="36">
        <f>base!H7212</f>
        <v>35</v>
      </c>
      <c r="E7212" s="44"/>
      <c r="F7212" s="16">
        <f>base!W7212</f>
        <v>0</v>
      </c>
      <c r="G7212" s="11">
        <f t="shared" si="1120"/>
        <v>0</v>
      </c>
      <c r="H7212" s="11">
        <f t="shared" si="1121"/>
        <v>9.4500000000000011</v>
      </c>
      <c r="I7212" s="11">
        <f t="shared" si="1122"/>
        <v>0.27</v>
      </c>
      <c r="J7212" s="12">
        <f t="shared" si="1123"/>
        <v>-9.4500000000000011</v>
      </c>
      <c r="K7212" s="17" t="str">
        <f t="shared" si="1128"/>
        <v>Ecart négatif</v>
      </c>
      <c r="L7212" s="16">
        <f>base!X7212</f>
        <v>0</v>
      </c>
      <c r="M7212" s="11">
        <f t="shared" si="1124"/>
        <v>0</v>
      </c>
      <c r="N7212" s="11">
        <f t="shared" si="1125"/>
        <v>0</v>
      </c>
      <c r="O7212" s="11">
        <f t="shared" si="1126"/>
        <v>0</v>
      </c>
      <c r="P7212" s="12">
        <f t="shared" si="1127"/>
        <v>0</v>
      </c>
      <c r="Q7212" s="17" t="str">
        <f t="shared" si="1129"/>
        <v>Pas d'écart</v>
      </c>
    </row>
    <row r="7213" spans="1:18" x14ac:dyDescent="0.3">
      <c r="A7213" s="34" t="str">
        <f>base!J7213</f>
        <v>LS</v>
      </c>
      <c r="B7213" s="34" t="str">
        <f>base!V7213</f>
        <v>29000</v>
      </c>
      <c r="C7213" s="37">
        <v>13</v>
      </c>
      <c r="D7213" s="36">
        <f>base!H7213</f>
        <v>80.430000000000007</v>
      </c>
      <c r="E7213" s="44"/>
      <c r="F7213" s="16">
        <f>base!W7213</f>
        <v>31.37</v>
      </c>
      <c r="G7213" s="11">
        <f t="shared" si="1120"/>
        <v>0.39002859629491482</v>
      </c>
      <c r="H7213" s="11">
        <f t="shared" si="1121"/>
        <v>23.3247</v>
      </c>
      <c r="I7213" s="11">
        <f t="shared" si="1122"/>
        <v>0.28999999999999998</v>
      </c>
      <c r="J7213" s="12">
        <f t="shared" si="1123"/>
        <v>8.045300000000001</v>
      </c>
      <c r="K7213" s="17" t="str">
        <f t="shared" si="1128"/>
        <v>Ecart positif</v>
      </c>
      <c r="L7213" s="16">
        <f>base!X7213</f>
        <v>0</v>
      </c>
      <c r="M7213" s="11">
        <f t="shared" si="1124"/>
        <v>0</v>
      </c>
      <c r="N7213" s="11">
        <f t="shared" si="1125"/>
        <v>15.281700000000001</v>
      </c>
      <c r="O7213" s="11">
        <f t="shared" si="1126"/>
        <v>0.19</v>
      </c>
      <c r="P7213" s="12">
        <f t="shared" si="1127"/>
        <v>-15.281700000000001</v>
      </c>
      <c r="Q7213" s="17" t="str">
        <f t="shared" si="1129"/>
        <v>Ecart négatif</v>
      </c>
    </row>
    <row r="7214" spans="1:18" x14ac:dyDescent="0.3">
      <c r="A7214" s="34" t="str">
        <f>base!J7214</f>
        <v>LS</v>
      </c>
      <c r="B7214" s="34" t="str">
        <f>base!V7214</f>
        <v>13290</v>
      </c>
      <c r="C7214" s="37">
        <v>94</v>
      </c>
      <c r="D7214" s="36">
        <f>base!H7214</f>
        <v>120.85</v>
      </c>
      <c r="E7214" s="44"/>
      <c r="F7214" s="16">
        <f>base!W7214</f>
        <v>35.049999999999997</v>
      </c>
      <c r="G7214" s="11">
        <f t="shared" si="1120"/>
        <v>0.29002896152254859</v>
      </c>
      <c r="H7214" s="11">
        <f t="shared" si="1121"/>
        <v>0</v>
      </c>
      <c r="I7214" s="11">
        <f t="shared" si="1122"/>
        <v>0</v>
      </c>
      <c r="J7214" s="12">
        <f t="shared" si="1123"/>
        <v>35.049999999999997</v>
      </c>
      <c r="K7214" s="17" t="str">
        <f t="shared" si="1128"/>
        <v>Ecart positif</v>
      </c>
      <c r="L7214" s="16">
        <f>base!X7214</f>
        <v>0</v>
      </c>
      <c r="M7214" s="11">
        <f t="shared" si="1124"/>
        <v>0</v>
      </c>
      <c r="N7214" s="11">
        <f t="shared" si="1125"/>
        <v>0</v>
      </c>
      <c r="O7214" s="11">
        <f t="shared" si="1126"/>
        <v>0</v>
      </c>
      <c r="P7214" s="12">
        <f t="shared" si="1127"/>
        <v>0</v>
      </c>
      <c r="Q7214" s="17" t="str">
        <f t="shared" si="1129"/>
        <v>Pas d'écart</v>
      </c>
    </row>
    <row r="7215" spans="1:18" x14ac:dyDescent="0.3">
      <c r="A7215" s="34" t="str">
        <f>base!J7215</f>
        <v>LM</v>
      </c>
      <c r="B7215" s="34" t="str">
        <f>base!V7215</f>
        <v>50690</v>
      </c>
      <c r="C7215" s="37">
        <v>44</v>
      </c>
      <c r="D7215" s="36">
        <f>base!H7215</f>
        <v>132.26</v>
      </c>
      <c r="E7215" s="44"/>
      <c r="F7215" s="16">
        <f>base!W7215</f>
        <v>22.48</v>
      </c>
      <c r="G7215" s="11">
        <f t="shared" si="1120"/>
        <v>0.16996824436715563</v>
      </c>
      <c r="H7215" s="11">
        <f t="shared" si="1121"/>
        <v>35.7102</v>
      </c>
      <c r="I7215" s="11">
        <f t="shared" si="1122"/>
        <v>0.27</v>
      </c>
      <c r="J7215" s="12">
        <f t="shared" si="1123"/>
        <v>-13.2302</v>
      </c>
      <c r="K7215" s="17" t="str">
        <f t="shared" si="1128"/>
        <v>Ecart négatif</v>
      </c>
      <c r="L7215" s="16">
        <f>base!X7215</f>
        <v>0</v>
      </c>
      <c r="M7215" s="11">
        <f t="shared" si="1124"/>
        <v>0</v>
      </c>
      <c r="N7215" s="11">
        <f t="shared" si="1125"/>
        <v>0</v>
      </c>
      <c r="O7215" s="11">
        <f t="shared" si="1126"/>
        <v>0</v>
      </c>
      <c r="P7215" s="12">
        <f t="shared" si="1127"/>
        <v>0</v>
      </c>
      <c r="Q7215" s="17" t="str">
        <f t="shared" si="1129"/>
        <v>Pas d'écart</v>
      </c>
    </row>
    <row r="7216" spans="1:18" x14ac:dyDescent="0.3">
      <c r="A7216" s="34" t="str">
        <f>base!J7216</f>
        <v>RM</v>
      </c>
      <c r="B7216" s="34" t="str">
        <f>base!V7216</f>
        <v>30100</v>
      </c>
      <c r="C7216" s="37">
        <v>30</v>
      </c>
      <c r="D7216" s="36">
        <f>base!H7216</f>
        <v>201</v>
      </c>
      <c r="E7216" s="44"/>
      <c r="F7216" s="16">
        <f>base!W7216</f>
        <v>0</v>
      </c>
      <c r="G7216" s="11">
        <f t="shared" si="1120"/>
        <v>0</v>
      </c>
      <c r="H7216" s="11">
        <f t="shared" si="1121"/>
        <v>78.39</v>
      </c>
      <c r="I7216" s="11">
        <f t="shared" si="1122"/>
        <v>0.39</v>
      </c>
      <c r="J7216" s="12">
        <f t="shared" si="1123"/>
        <v>-78.39</v>
      </c>
      <c r="K7216" s="17" t="str">
        <f t="shared" si="1128"/>
        <v>Ecart négatif</v>
      </c>
      <c r="L7216" s="16">
        <f>base!X7216</f>
        <v>0</v>
      </c>
      <c r="M7216" s="11">
        <f t="shared" si="1124"/>
        <v>0</v>
      </c>
      <c r="N7216" s="11">
        <f t="shared" si="1125"/>
        <v>56.280000000000008</v>
      </c>
      <c r="O7216" s="11">
        <f t="shared" si="1126"/>
        <v>0.28000000000000003</v>
      </c>
      <c r="P7216" s="12">
        <f t="shared" si="1127"/>
        <v>-56.280000000000008</v>
      </c>
      <c r="Q7216" s="17" t="str">
        <f t="shared" si="1129"/>
        <v>Ecart négatif</v>
      </c>
    </row>
    <row r="7217" spans="1:18" x14ac:dyDescent="0.3">
      <c r="A7217" s="34" t="str">
        <f>base!J7217</f>
        <v>RS</v>
      </c>
      <c r="B7217" s="34" t="str">
        <f>base!V7217</f>
        <v>67100</v>
      </c>
      <c r="C7217" s="37">
        <v>67</v>
      </c>
      <c r="D7217" s="36">
        <f>base!H7217</f>
        <v>151</v>
      </c>
      <c r="E7217" s="44"/>
      <c r="F7217" s="16">
        <f>base!W7217</f>
        <v>0</v>
      </c>
      <c r="G7217" s="11">
        <f t="shared" si="1120"/>
        <v>0</v>
      </c>
      <c r="H7217" s="11">
        <f t="shared" si="1121"/>
        <v>43.79</v>
      </c>
      <c r="I7217" s="11">
        <f t="shared" si="1122"/>
        <v>0.28999999999999998</v>
      </c>
      <c r="J7217" s="12">
        <f t="shared" si="1123"/>
        <v>-43.79</v>
      </c>
      <c r="K7217" s="17" t="str">
        <f t="shared" si="1128"/>
        <v>Ecart négatif</v>
      </c>
      <c r="L7217" s="16">
        <f>base!X7217</f>
        <v>0</v>
      </c>
      <c r="M7217" s="11">
        <f t="shared" si="1124"/>
        <v>0</v>
      </c>
      <c r="N7217" s="11">
        <f t="shared" si="1125"/>
        <v>12.08</v>
      </c>
      <c r="O7217" s="11">
        <f t="shared" si="1126"/>
        <v>0.08</v>
      </c>
      <c r="P7217" s="12">
        <f t="shared" si="1127"/>
        <v>-12.08</v>
      </c>
      <c r="Q7217" s="17" t="str">
        <f t="shared" si="1129"/>
        <v>Ecart négatif</v>
      </c>
    </row>
    <row r="7218" spans="1:18" x14ac:dyDescent="0.3">
      <c r="A7218" s="34" t="str">
        <f>base!J7218</f>
        <v>LM</v>
      </c>
      <c r="B7218" s="34" t="str">
        <f>base!V7218</f>
        <v>44000</v>
      </c>
      <c r="C7218" s="37">
        <v>14</v>
      </c>
      <c r="D7218" s="36">
        <f>base!H7218</f>
        <v>58.55</v>
      </c>
      <c r="E7218" s="44"/>
      <c r="F7218" s="16">
        <f>base!W7218</f>
        <v>15.81</v>
      </c>
      <c r="G7218" s="11">
        <f t="shared" si="1120"/>
        <v>0.27002561912894962</v>
      </c>
      <c r="H7218" s="11">
        <f t="shared" si="1121"/>
        <v>9.9535</v>
      </c>
      <c r="I7218" s="11">
        <f t="shared" si="1122"/>
        <v>0.17</v>
      </c>
      <c r="J7218" s="12">
        <f t="shared" si="1123"/>
        <v>5.8565000000000005</v>
      </c>
      <c r="K7218" s="17" t="str">
        <f t="shared" si="1128"/>
        <v>Ecart positif</v>
      </c>
      <c r="L7218" s="16">
        <f>base!X7218</f>
        <v>0</v>
      </c>
      <c r="M7218" s="11">
        <f t="shared" si="1124"/>
        <v>0</v>
      </c>
      <c r="N7218" s="11">
        <f t="shared" si="1125"/>
        <v>9.9535</v>
      </c>
      <c r="O7218" s="11">
        <f t="shared" si="1126"/>
        <v>0.17</v>
      </c>
      <c r="P7218" s="12">
        <f t="shared" si="1127"/>
        <v>-9.9535</v>
      </c>
      <c r="Q7218" s="17" t="str">
        <f t="shared" si="1129"/>
        <v>Ecart négatif</v>
      </c>
    </row>
    <row r="7219" spans="1:18" x14ac:dyDescent="0.3">
      <c r="A7219" s="34" t="str">
        <f>base!J7219</f>
        <v>RM</v>
      </c>
      <c r="B7219" s="34" t="str">
        <f>base!V7219</f>
        <v>49130</v>
      </c>
      <c r="C7219" s="37">
        <v>49</v>
      </c>
      <c r="D7219" s="36">
        <f>base!H7219</f>
        <v>183.38</v>
      </c>
      <c r="E7219" s="44"/>
      <c r="F7219" s="16">
        <f>base!W7219</f>
        <v>0</v>
      </c>
      <c r="G7219" s="11">
        <f t="shared" si="1120"/>
        <v>0</v>
      </c>
      <c r="H7219" s="11">
        <f t="shared" si="1121"/>
        <v>49.512599999999999</v>
      </c>
      <c r="I7219" s="11">
        <f t="shared" si="1122"/>
        <v>0.27</v>
      </c>
      <c r="J7219" s="12">
        <f t="shared" si="1123"/>
        <v>-49.512599999999999</v>
      </c>
      <c r="K7219" s="17" t="str">
        <f t="shared" si="1128"/>
        <v>Ecart négatif</v>
      </c>
      <c r="L7219" s="16">
        <f>base!X7219</f>
        <v>0</v>
      </c>
      <c r="M7219" s="11">
        <f t="shared" si="1124"/>
        <v>0</v>
      </c>
      <c r="N7219" s="11">
        <f t="shared" si="1125"/>
        <v>0</v>
      </c>
      <c r="O7219" s="11">
        <f t="shared" si="1126"/>
        <v>0</v>
      </c>
      <c r="P7219" s="12">
        <f t="shared" si="1127"/>
        <v>0</v>
      </c>
      <c r="Q7219" s="17" t="str">
        <f t="shared" si="1129"/>
        <v>Pas d'écart</v>
      </c>
    </row>
    <row r="7220" spans="1:18" x14ac:dyDescent="0.3">
      <c r="A7220" s="34" t="str">
        <f>base!J7220</f>
        <v>DRS</v>
      </c>
      <c r="B7220" s="34" t="str">
        <f>base!V7220</f>
        <v>75013</v>
      </c>
      <c r="C7220" s="37">
        <v>75</v>
      </c>
      <c r="D7220" s="36">
        <f>base!H7220</f>
        <v>197.34</v>
      </c>
      <c r="E7220" s="44"/>
      <c r="F7220" s="16">
        <f>base!W7220</f>
        <v>0</v>
      </c>
      <c r="G7220" s="11">
        <f t="shared" si="1120"/>
        <v>0</v>
      </c>
      <c r="H7220" s="11">
        <f t="shared" si="1121"/>
        <v>0</v>
      </c>
      <c r="I7220" s="11">
        <f t="shared" si="1122"/>
        <v>0</v>
      </c>
      <c r="J7220" s="12">
        <f t="shared" si="1123"/>
        <v>0</v>
      </c>
      <c r="K7220" s="17" t="str">
        <f t="shared" si="1128"/>
        <v>Pas d'écart</v>
      </c>
      <c r="L7220" s="16">
        <f>base!X7220</f>
        <v>0</v>
      </c>
      <c r="M7220" s="11">
        <f t="shared" si="1124"/>
        <v>0</v>
      </c>
      <c r="N7220" s="11">
        <f t="shared" si="1125"/>
        <v>0</v>
      </c>
      <c r="O7220" s="11">
        <f t="shared" si="1126"/>
        <v>0</v>
      </c>
      <c r="P7220" s="12">
        <f t="shared" si="1127"/>
        <v>0</v>
      </c>
      <c r="Q7220" s="17" t="str">
        <f t="shared" si="1129"/>
        <v>Pas d'écart</v>
      </c>
    </row>
    <row r="7221" spans="1:18" x14ac:dyDescent="0.3">
      <c r="A7221" s="34" t="str">
        <f>base!J7221</f>
        <v>LM</v>
      </c>
      <c r="B7221" s="34" t="str">
        <f>base!V7221</f>
        <v>69005</v>
      </c>
      <c r="C7221" s="37">
        <v>83</v>
      </c>
      <c r="D7221" s="36">
        <f>base!H7221</f>
        <v>33.35</v>
      </c>
      <c r="E7221" s="44"/>
      <c r="F7221" s="16">
        <f>base!W7221</f>
        <v>9</v>
      </c>
      <c r="G7221" s="11">
        <f t="shared" si="1120"/>
        <v>0.26986506746626687</v>
      </c>
      <c r="H7221" s="11">
        <f t="shared" si="1121"/>
        <v>10.005000000000001</v>
      </c>
      <c r="I7221" s="11">
        <f t="shared" si="1122"/>
        <v>0.3</v>
      </c>
      <c r="J7221" s="12">
        <f t="shared" si="1123"/>
        <v>-1.0050000000000008</v>
      </c>
      <c r="K7221" s="17" t="str">
        <f t="shared" si="1128"/>
        <v>Ecart négatif</v>
      </c>
      <c r="L7221" s="16">
        <f>base!X7221</f>
        <v>0</v>
      </c>
      <c r="M7221" s="11">
        <f t="shared" si="1124"/>
        <v>0</v>
      </c>
      <c r="N7221" s="11">
        <f t="shared" si="1125"/>
        <v>7.0034999999999998</v>
      </c>
      <c r="O7221" s="11">
        <f t="shared" si="1126"/>
        <v>0.21</v>
      </c>
      <c r="P7221" s="12">
        <f t="shared" si="1127"/>
        <v>-7.0034999999999998</v>
      </c>
      <c r="Q7221" s="17" t="str">
        <f t="shared" si="1129"/>
        <v>Ecart négatif</v>
      </c>
    </row>
    <row r="7222" spans="1:18" x14ac:dyDescent="0.3">
      <c r="A7222" s="34" t="str">
        <f>base!J7222</f>
        <v>LS</v>
      </c>
      <c r="B7222" s="34" t="str">
        <f>base!V7222</f>
        <v>76000</v>
      </c>
      <c r="C7222" s="37">
        <v>59</v>
      </c>
      <c r="D7222" s="36">
        <f>base!H7222</f>
        <v>30</v>
      </c>
      <c r="E7222" s="44"/>
      <c r="F7222" s="16">
        <f>base!W7222</f>
        <v>0</v>
      </c>
      <c r="G7222" s="11">
        <f t="shared" si="1120"/>
        <v>0</v>
      </c>
      <c r="H7222" s="11">
        <f t="shared" si="1121"/>
        <v>5.7</v>
      </c>
      <c r="I7222" s="11">
        <f t="shared" si="1122"/>
        <v>0.19</v>
      </c>
      <c r="J7222" s="12">
        <f t="shared" si="1123"/>
        <v>-5.7</v>
      </c>
      <c r="K7222" s="17" t="str">
        <f t="shared" si="1128"/>
        <v>Ecart négatif</v>
      </c>
      <c r="L7222" s="16">
        <f>base!X7222</f>
        <v>0</v>
      </c>
      <c r="M7222" s="11">
        <f t="shared" si="1124"/>
        <v>0</v>
      </c>
      <c r="N7222" s="11">
        <f t="shared" si="1125"/>
        <v>0</v>
      </c>
      <c r="O7222" s="11">
        <f t="shared" si="1126"/>
        <v>0</v>
      </c>
      <c r="P7222" s="12">
        <f t="shared" si="1127"/>
        <v>0</v>
      </c>
      <c r="Q7222" s="17" t="str">
        <f t="shared" si="1129"/>
        <v>Pas d'écart</v>
      </c>
    </row>
    <row r="7223" spans="1:18" x14ac:dyDescent="0.3">
      <c r="A7223" s="34" t="str">
        <f>base!J7223</f>
        <v>DRS</v>
      </c>
      <c r="B7223" s="34" t="str">
        <f>base!V7223</f>
        <v>75014</v>
      </c>
      <c r="C7223" s="37">
        <v>75</v>
      </c>
      <c r="D7223" s="36">
        <f>base!H7223</f>
        <v>134</v>
      </c>
      <c r="E7223" s="44"/>
      <c r="F7223" s="16">
        <f>base!W7223</f>
        <v>0</v>
      </c>
      <c r="G7223" s="11">
        <f t="shared" si="1120"/>
        <v>0</v>
      </c>
      <c r="H7223" s="11">
        <f t="shared" si="1121"/>
        <v>0</v>
      </c>
      <c r="I7223" s="11">
        <f t="shared" si="1122"/>
        <v>0</v>
      </c>
      <c r="J7223" s="12">
        <f t="shared" si="1123"/>
        <v>0</v>
      </c>
      <c r="K7223" s="17" t="str">
        <f t="shared" si="1128"/>
        <v>Pas d'écart</v>
      </c>
      <c r="L7223" s="16">
        <f>base!X7223</f>
        <v>0</v>
      </c>
      <c r="M7223" s="11">
        <f t="shared" si="1124"/>
        <v>0</v>
      </c>
      <c r="N7223" s="11">
        <f t="shared" si="1125"/>
        <v>0</v>
      </c>
      <c r="O7223" s="11">
        <f t="shared" si="1126"/>
        <v>0</v>
      </c>
      <c r="P7223" s="12">
        <f t="shared" si="1127"/>
        <v>0</v>
      </c>
      <c r="Q7223" s="17" t="str">
        <f t="shared" si="1129"/>
        <v>Pas d'écart</v>
      </c>
    </row>
    <row r="7224" spans="1:18" x14ac:dyDescent="0.3">
      <c r="A7224" s="34" t="str">
        <f>base!J7224</f>
        <v>RM</v>
      </c>
      <c r="B7224" s="34" t="str">
        <f>base!V7224</f>
        <v>39500</v>
      </c>
      <c r="C7224" s="37">
        <v>39</v>
      </c>
      <c r="D7224" s="36">
        <f>base!H7224</f>
        <v>29.89</v>
      </c>
      <c r="E7224" s="44"/>
      <c r="F7224" s="16">
        <f>base!W7224</f>
        <v>0</v>
      </c>
      <c r="G7224" s="11">
        <f t="shared" si="1120"/>
        <v>0</v>
      </c>
      <c r="H7224" s="11">
        <f t="shared" si="1121"/>
        <v>8.0703000000000014</v>
      </c>
      <c r="I7224" s="11">
        <f t="shared" si="1122"/>
        <v>0.27</v>
      </c>
      <c r="J7224" s="12">
        <f t="shared" si="1123"/>
        <v>-8.0703000000000014</v>
      </c>
      <c r="K7224" s="17" t="str">
        <f t="shared" si="1128"/>
        <v>Ecart négatif</v>
      </c>
      <c r="L7224" s="16">
        <f>base!X7224</f>
        <v>0</v>
      </c>
      <c r="M7224" s="11">
        <f t="shared" si="1124"/>
        <v>0</v>
      </c>
      <c r="N7224" s="11">
        <f t="shared" si="1125"/>
        <v>0</v>
      </c>
      <c r="O7224" s="11">
        <f t="shared" si="1126"/>
        <v>0</v>
      </c>
      <c r="P7224" s="12">
        <f t="shared" si="1127"/>
        <v>0</v>
      </c>
      <c r="Q7224" s="17" t="str">
        <f t="shared" si="1129"/>
        <v>Pas d'écart</v>
      </c>
    </row>
    <row r="7225" spans="1:18" x14ac:dyDescent="0.3">
      <c r="A7225" s="34" t="str">
        <f>base!J7225</f>
        <v>RM</v>
      </c>
      <c r="B7225" s="34" t="str">
        <f>base!V7225</f>
        <v>42230</v>
      </c>
      <c r="C7225" s="37">
        <v>42</v>
      </c>
      <c r="D7225" s="36">
        <f>base!H7225</f>
        <v>180</v>
      </c>
      <c r="E7225" s="44"/>
      <c r="F7225" s="16">
        <f>base!W7225</f>
        <v>0</v>
      </c>
      <c r="G7225" s="11">
        <f t="shared" si="1120"/>
        <v>0</v>
      </c>
      <c r="H7225" s="11">
        <f t="shared" si="1121"/>
        <v>46.800000000000004</v>
      </c>
      <c r="I7225" s="11">
        <f t="shared" si="1122"/>
        <v>0.26</v>
      </c>
      <c r="J7225" s="12">
        <f t="shared" si="1123"/>
        <v>-46.800000000000004</v>
      </c>
      <c r="K7225" s="17" t="str">
        <f t="shared" si="1128"/>
        <v>Ecart négatif</v>
      </c>
      <c r="L7225" s="16">
        <f>base!X7225</f>
        <v>0</v>
      </c>
      <c r="M7225" s="11">
        <f t="shared" si="1124"/>
        <v>0</v>
      </c>
      <c r="N7225" s="11">
        <f t="shared" si="1125"/>
        <v>0</v>
      </c>
      <c r="O7225" s="11">
        <f t="shared" si="1126"/>
        <v>0</v>
      </c>
      <c r="P7225" s="12">
        <f t="shared" si="1127"/>
        <v>0</v>
      </c>
      <c r="Q7225" s="17" t="str">
        <f t="shared" si="1129"/>
        <v>Pas d'écart</v>
      </c>
    </row>
    <row r="7226" spans="1:18" x14ac:dyDescent="0.3">
      <c r="A7226" s="34" t="str">
        <f>base!J7226</f>
        <v>RS</v>
      </c>
      <c r="B7226" s="34" t="str">
        <f>base!V7226</f>
        <v>98000</v>
      </c>
      <c r="C7226" s="37">
        <v>98</v>
      </c>
      <c r="D7226" s="36">
        <f>base!H7226</f>
        <v>70</v>
      </c>
      <c r="E7226" s="44"/>
      <c r="F7226" s="16">
        <f>base!W7226</f>
        <v>0</v>
      </c>
      <c r="G7226" s="11">
        <f t="shared" si="1120"/>
        <v>0</v>
      </c>
      <c r="H7226" s="11">
        <f t="shared" si="1121"/>
        <v>18.900000000000002</v>
      </c>
      <c r="I7226" s="11">
        <f t="shared" si="1122"/>
        <v>0.27</v>
      </c>
      <c r="J7226" s="12">
        <f t="shared" si="1123"/>
        <v>-18.900000000000002</v>
      </c>
      <c r="K7226" s="17" t="str">
        <f t="shared" si="1128"/>
        <v>Ecart négatif</v>
      </c>
      <c r="L7226" s="16">
        <f>base!X7226</f>
        <v>0</v>
      </c>
      <c r="M7226" s="11">
        <f t="shared" si="1124"/>
        <v>0</v>
      </c>
      <c r="N7226" s="11">
        <f t="shared" si="1125"/>
        <v>14.7</v>
      </c>
      <c r="O7226" s="11">
        <f t="shared" si="1126"/>
        <v>0.21</v>
      </c>
      <c r="P7226" s="12">
        <f t="shared" si="1127"/>
        <v>-14.7</v>
      </c>
      <c r="Q7226" s="17" t="str">
        <f t="shared" si="1129"/>
        <v>Ecart négatif</v>
      </c>
    </row>
    <row r="7227" spans="1:18" x14ac:dyDescent="0.3">
      <c r="A7227" s="34" t="str">
        <f>base!J7227</f>
        <v>RM</v>
      </c>
      <c r="B7227" s="34" t="str">
        <f>base!V7227</f>
        <v>21500</v>
      </c>
      <c r="C7227" s="37">
        <v>21</v>
      </c>
      <c r="D7227" s="36">
        <f>base!H7227</f>
        <v>70</v>
      </c>
      <c r="E7227" s="44"/>
      <c r="F7227" s="16">
        <f>base!W7227</f>
        <v>0</v>
      </c>
      <c r="G7227" s="11">
        <f t="shared" si="1120"/>
        <v>0</v>
      </c>
      <c r="H7227" s="11">
        <f t="shared" si="1121"/>
        <v>16.8</v>
      </c>
      <c r="I7227" s="11">
        <f t="shared" si="1122"/>
        <v>0.24000000000000002</v>
      </c>
      <c r="J7227" s="12">
        <f t="shared" si="1123"/>
        <v>-16.8</v>
      </c>
      <c r="K7227" s="17" t="str">
        <f t="shared" si="1128"/>
        <v>Ecart négatif</v>
      </c>
      <c r="L7227" s="16">
        <f>base!X7227</f>
        <v>8.4</v>
      </c>
      <c r="M7227" s="11">
        <f t="shared" si="1124"/>
        <v>0.12000000000000001</v>
      </c>
      <c r="N7227" s="11">
        <f t="shared" si="1125"/>
        <v>8.4</v>
      </c>
      <c r="O7227" s="11">
        <f t="shared" si="1126"/>
        <v>0.12000000000000001</v>
      </c>
      <c r="P7227" s="12">
        <f t="shared" si="1127"/>
        <v>0</v>
      </c>
      <c r="Q7227" s="17" t="str">
        <f t="shared" si="1129"/>
        <v>Pas d'écart</v>
      </c>
      <c r="R7227" s="38"/>
    </row>
    <row r="7228" spans="1:18" x14ac:dyDescent="0.3">
      <c r="A7228" s="34" t="str">
        <f>base!J7228</f>
        <v>RS</v>
      </c>
      <c r="B7228" s="34" t="str">
        <f>base!V7228</f>
        <v>77380</v>
      </c>
      <c r="C7228" s="37">
        <v>77</v>
      </c>
      <c r="D7228" s="36">
        <f>base!H7228</f>
        <v>62.1</v>
      </c>
      <c r="E7228" s="44"/>
      <c r="F7228" s="16">
        <f>base!W7228</f>
        <v>0</v>
      </c>
      <c r="G7228" s="11">
        <f t="shared" si="1120"/>
        <v>0</v>
      </c>
      <c r="H7228" s="11">
        <f t="shared" si="1121"/>
        <v>0</v>
      </c>
      <c r="I7228" s="11">
        <f t="shared" si="1122"/>
        <v>0</v>
      </c>
      <c r="J7228" s="12">
        <f t="shared" si="1123"/>
        <v>0</v>
      </c>
      <c r="K7228" s="17" t="str">
        <f t="shared" si="1128"/>
        <v>Pas d'écart</v>
      </c>
      <c r="L7228" s="16">
        <f>base!X7228</f>
        <v>0</v>
      </c>
      <c r="M7228" s="11">
        <f t="shared" si="1124"/>
        <v>0</v>
      </c>
      <c r="N7228" s="11">
        <f t="shared" si="1125"/>
        <v>0</v>
      </c>
      <c r="O7228" s="11">
        <f t="shared" si="1126"/>
        <v>0</v>
      </c>
      <c r="P7228" s="12">
        <f t="shared" si="1127"/>
        <v>0</v>
      </c>
      <c r="Q7228" s="17" t="str">
        <f t="shared" si="1129"/>
        <v>Pas d'écart</v>
      </c>
    </row>
    <row r="7229" spans="1:18" x14ac:dyDescent="0.3">
      <c r="A7229" s="34" t="str">
        <f>base!J7229</f>
        <v>RS</v>
      </c>
      <c r="B7229" s="34" t="str">
        <f>base!V7229</f>
        <v>64230</v>
      </c>
      <c r="C7229" s="37">
        <v>64</v>
      </c>
      <c r="D7229" s="36">
        <f>base!H7229</f>
        <v>184.6</v>
      </c>
      <c r="E7229" s="44"/>
      <c r="F7229" s="16">
        <f>base!W7229</f>
        <v>0</v>
      </c>
      <c r="G7229" s="11">
        <f t="shared" si="1120"/>
        <v>0</v>
      </c>
      <c r="H7229" s="11">
        <f t="shared" si="1121"/>
        <v>38.765999999999998</v>
      </c>
      <c r="I7229" s="11">
        <f t="shared" si="1122"/>
        <v>0.21</v>
      </c>
      <c r="J7229" s="12">
        <f t="shared" si="1123"/>
        <v>-38.765999999999998</v>
      </c>
      <c r="K7229" s="17" t="str">
        <f t="shared" si="1128"/>
        <v>Ecart négatif</v>
      </c>
      <c r="L7229" s="16">
        <f>base!X7229</f>
        <v>0</v>
      </c>
      <c r="M7229" s="11">
        <f t="shared" si="1124"/>
        <v>0</v>
      </c>
      <c r="N7229" s="11">
        <f t="shared" si="1125"/>
        <v>31.382000000000001</v>
      </c>
      <c r="O7229" s="11">
        <f t="shared" si="1126"/>
        <v>0.17</v>
      </c>
      <c r="P7229" s="12">
        <f t="shared" si="1127"/>
        <v>-31.382000000000001</v>
      </c>
      <c r="Q7229" s="17" t="str">
        <f t="shared" si="1129"/>
        <v>Ecart négatif</v>
      </c>
    </row>
    <row r="7230" spans="1:18" x14ac:dyDescent="0.3">
      <c r="A7230" s="34" t="str">
        <f>base!J7230</f>
        <v>RM</v>
      </c>
      <c r="B7230" s="34" t="str">
        <f>base!V7230</f>
        <v>69120</v>
      </c>
      <c r="C7230" s="37">
        <v>69</v>
      </c>
      <c r="D7230" s="36">
        <f>base!H7230</f>
        <v>151</v>
      </c>
      <c r="E7230" s="44"/>
      <c r="F7230" s="16">
        <f>base!W7230</f>
        <v>0</v>
      </c>
      <c r="G7230" s="11">
        <f t="shared" si="1120"/>
        <v>0</v>
      </c>
      <c r="H7230" s="11">
        <f t="shared" si="1121"/>
        <v>40.770000000000003</v>
      </c>
      <c r="I7230" s="11">
        <f t="shared" si="1122"/>
        <v>0.27</v>
      </c>
      <c r="J7230" s="12">
        <f t="shared" si="1123"/>
        <v>-40.770000000000003</v>
      </c>
      <c r="K7230" s="17" t="str">
        <f t="shared" si="1128"/>
        <v>Ecart négatif</v>
      </c>
      <c r="L7230" s="16">
        <f>base!X7230</f>
        <v>0</v>
      </c>
      <c r="M7230" s="11">
        <f t="shared" si="1124"/>
        <v>0</v>
      </c>
      <c r="N7230" s="11">
        <f t="shared" si="1125"/>
        <v>0</v>
      </c>
      <c r="O7230" s="11">
        <f t="shared" si="1126"/>
        <v>0</v>
      </c>
      <c r="P7230" s="12">
        <f t="shared" si="1127"/>
        <v>0</v>
      </c>
      <c r="Q7230" s="17" t="str">
        <f t="shared" si="1129"/>
        <v>Pas d'écart</v>
      </c>
    </row>
    <row r="7231" spans="1:18" x14ac:dyDescent="0.3">
      <c r="A7231" s="34" t="str">
        <f>base!J7231</f>
        <v>RM</v>
      </c>
      <c r="B7231" s="34" t="str">
        <f>base!V7231</f>
        <v>06000</v>
      </c>
      <c r="C7231" s="37">
        <v>6</v>
      </c>
      <c r="D7231" s="36">
        <f>base!H7231</f>
        <v>26.6</v>
      </c>
      <c r="E7231" s="44"/>
      <c r="F7231" s="16">
        <f>base!W7231</f>
        <v>0</v>
      </c>
      <c r="G7231" s="11">
        <f t="shared" si="1120"/>
        <v>0</v>
      </c>
      <c r="H7231" s="11">
        <f t="shared" si="1121"/>
        <v>7.98</v>
      </c>
      <c r="I7231" s="11">
        <f t="shared" si="1122"/>
        <v>0.3</v>
      </c>
      <c r="J7231" s="12">
        <f t="shared" si="1123"/>
        <v>-7.98</v>
      </c>
      <c r="K7231" s="17" t="str">
        <f t="shared" si="1128"/>
        <v>Ecart négatif</v>
      </c>
      <c r="L7231" s="16">
        <f>base!X7231</f>
        <v>0</v>
      </c>
      <c r="M7231" s="11">
        <f t="shared" si="1124"/>
        <v>0</v>
      </c>
      <c r="N7231" s="11">
        <f t="shared" si="1125"/>
        <v>5.5860000000000003</v>
      </c>
      <c r="O7231" s="11">
        <f t="shared" si="1126"/>
        <v>0.21</v>
      </c>
      <c r="P7231" s="12">
        <f t="shared" si="1127"/>
        <v>-5.5860000000000003</v>
      </c>
      <c r="Q7231" s="17" t="str">
        <f t="shared" si="1129"/>
        <v>Ecart négatif</v>
      </c>
    </row>
    <row r="7232" spans="1:18" x14ac:dyDescent="0.3">
      <c r="A7232" s="34" t="str">
        <f>base!J7232</f>
        <v>RM</v>
      </c>
      <c r="B7232" s="34" t="str">
        <f>base!V7232</f>
        <v>27300</v>
      </c>
      <c r="C7232" s="37">
        <v>27</v>
      </c>
      <c r="D7232" s="36">
        <f>base!H7232</f>
        <v>19.399999999999999</v>
      </c>
      <c r="E7232" s="44"/>
      <c r="F7232" s="16">
        <f>base!W7232</f>
        <v>0</v>
      </c>
      <c r="G7232" s="11">
        <f t="shared" si="1120"/>
        <v>0</v>
      </c>
      <c r="H7232" s="11">
        <f t="shared" si="1121"/>
        <v>3.298</v>
      </c>
      <c r="I7232" s="11">
        <f t="shared" si="1122"/>
        <v>0.17</v>
      </c>
      <c r="J7232" s="12">
        <f t="shared" si="1123"/>
        <v>-3.298</v>
      </c>
      <c r="K7232" s="17" t="str">
        <f t="shared" si="1128"/>
        <v>Ecart négatif</v>
      </c>
      <c r="L7232" s="16">
        <f>base!X7232</f>
        <v>0</v>
      </c>
      <c r="M7232" s="11">
        <f t="shared" si="1124"/>
        <v>0</v>
      </c>
      <c r="N7232" s="11">
        <f t="shared" si="1125"/>
        <v>3.298</v>
      </c>
      <c r="O7232" s="11">
        <f t="shared" si="1126"/>
        <v>0.17</v>
      </c>
      <c r="P7232" s="12">
        <f t="shared" si="1127"/>
        <v>-3.298</v>
      </c>
      <c r="Q7232" s="17" t="str">
        <f t="shared" si="1129"/>
        <v>Ecart négatif</v>
      </c>
    </row>
    <row r="7233" spans="1:18" x14ac:dyDescent="0.3">
      <c r="A7233" s="34" t="str">
        <f>base!J7233</f>
        <v>DLM</v>
      </c>
      <c r="B7233" s="34" t="str">
        <f>base!V7233</f>
        <v>13003</v>
      </c>
      <c r="C7233" s="37">
        <v>13</v>
      </c>
      <c r="D7233" s="36">
        <f>base!H7233</f>
        <v>52.5</v>
      </c>
      <c r="E7233" s="44"/>
      <c r="F7233" s="16">
        <f>base!W7233</f>
        <v>0</v>
      </c>
      <c r="G7233" s="11">
        <f t="shared" si="1120"/>
        <v>0</v>
      </c>
      <c r="H7233" s="11">
        <f t="shared" si="1121"/>
        <v>15.225</v>
      </c>
      <c r="I7233" s="11">
        <f t="shared" si="1122"/>
        <v>0.28999999999999998</v>
      </c>
      <c r="J7233" s="12">
        <f t="shared" si="1123"/>
        <v>-15.225</v>
      </c>
      <c r="K7233" s="17" t="str">
        <f t="shared" si="1128"/>
        <v>Ecart négatif</v>
      </c>
      <c r="L7233" s="16">
        <f>base!X7233</f>
        <v>0</v>
      </c>
      <c r="M7233" s="11">
        <f t="shared" si="1124"/>
        <v>0</v>
      </c>
      <c r="N7233" s="11">
        <f t="shared" si="1125"/>
        <v>9.9749999999999996</v>
      </c>
      <c r="O7233" s="11">
        <f t="shared" si="1126"/>
        <v>0.19</v>
      </c>
      <c r="P7233" s="12">
        <f t="shared" si="1127"/>
        <v>-9.9749999999999996</v>
      </c>
      <c r="Q7233" s="17" t="str">
        <f t="shared" si="1129"/>
        <v>Ecart négatif</v>
      </c>
    </row>
    <row r="7234" spans="1:18" x14ac:dyDescent="0.3">
      <c r="A7234" s="34" t="str">
        <f>base!J7234</f>
        <v>DLM</v>
      </c>
      <c r="B7234" s="34" t="str">
        <f>base!V7234</f>
        <v>13012</v>
      </c>
      <c r="C7234" s="37">
        <v>13</v>
      </c>
      <c r="D7234" s="36">
        <f>base!H7234</f>
        <v>52.5</v>
      </c>
      <c r="E7234" s="44"/>
      <c r="F7234" s="16">
        <f>base!W7234</f>
        <v>0</v>
      </c>
      <c r="G7234" s="11">
        <f t="shared" ref="G7234:G7297" si="1130">F7234/D7234</f>
        <v>0</v>
      </c>
      <c r="H7234" s="11">
        <f t="shared" ref="H7234:H7297" si="1131">VLOOKUP(C7234,tout_cout_traction,2,FALSE)*D7234</f>
        <v>15.225</v>
      </c>
      <c r="I7234" s="11">
        <f t="shared" ref="I7234:I7297" si="1132">H7234/D7234</f>
        <v>0.28999999999999998</v>
      </c>
      <c r="J7234" s="12">
        <f t="shared" ref="J7234:J7297" si="1133">F7234-H7234</f>
        <v>-15.225</v>
      </c>
      <c r="K7234" s="17" t="str">
        <f t="shared" si="1128"/>
        <v>Ecart négatif</v>
      </c>
      <c r="L7234" s="16">
        <f>base!X7234</f>
        <v>0</v>
      </c>
      <c r="M7234" s="11">
        <f t="shared" ref="M7234:M7297" si="1134">L7234/D7234</f>
        <v>0</v>
      </c>
      <c r="N7234" s="11">
        <f t="shared" ref="N7234:N7297" si="1135">VLOOKUP(C7234,tout_cout_traction,3,FALSE)*D7234</f>
        <v>9.9749999999999996</v>
      </c>
      <c r="O7234" s="11">
        <f t="shared" ref="O7234:O7297" si="1136">N7234/D7234</f>
        <v>0.19</v>
      </c>
      <c r="P7234" s="12">
        <f t="shared" ref="P7234:P7297" si="1137">L7234-N7234</f>
        <v>-9.9749999999999996</v>
      </c>
      <c r="Q7234" s="17" t="str">
        <f t="shared" si="1129"/>
        <v>Ecart négatif</v>
      </c>
    </row>
    <row r="7235" spans="1:18" x14ac:dyDescent="0.3">
      <c r="A7235" s="34" t="str">
        <f>base!J7235</f>
        <v>DLM</v>
      </c>
      <c r="B7235" s="34" t="str">
        <f>base!V7235</f>
        <v>69003</v>
      </c>
      <c r="C7235" s="37">
        <v>69</v>
      </c>
      <c r="D7235" s="36">
        <f>base!H7235</f>
        <v>52.5</v>
      </c>
      <c r="E7235" s="44"/>
      <c r="F7235" s="16">
        <f>base!W7235</f>
        <v>0</v>
      </c>
      <c r="G7235" s="11">
        <f t="shared" si="1130"/>
        <v>0</v>
      </c>
      <c r="H7235" s="11">
        <f t="shared" si="1131"/>
        <v>14.175000000000001</v>
      </c>
      <c r="I7235" s="11">
        <f t="shared" si="1132"/>
        <v>0.27</v>
      </c>
      <c r="J7235" s="12">
        <f t="shared" si="1133"/>
        <v>-14.175000000000001</v>
      </c>
      <c r="K7235" s="17" t="str">
        <f t="shared" ref="K7235:K7298" si="1138">IF(H7235=F7235,"Pas d'écart",IF(H7235&lt;F7235,"Ecart positif",IF(H7235&gt;F7235,"Ecart négatif")))</f>
        <v>Ecart négatif</v>
      </c>
      <c r="L7235" s="16">
        <f>base!X7235</f>
        <v>0</v>
      </c>
      <c r="M7235" s="11">
        <f t="shared" si="1134"/>
        <v>0</v>
      </c>
      <c r="N7235" s="11">
        <f t="shared" si="1135"/>
        <v>0</v>
      </c>
      <c r="O7235" s="11">
        <f t="shared" si="1136"/>
        <v>0</v>
      </c>
      <c r="P7235" s="12">
        <f t="shared" si="1137"/>
        <v>0</v>
      </c>
      <c r="Q7235" s="17" t="str">
        <f t="shared" ref="Q7235:Q7298" si="1139">IF(N7235=L7235,"Pas d'écart",IF(N7235&lt;L7235,"Ecart positif",IF(N7235&gt;L7235,"Ecart négatif")))</f>
        <v>Pas d'écart</v>
      </c>
    </row>
    <row r="7236" spans="1:18" x14ac:dyDescent="0.3">
      <c r="A7236" s="34" t="str">
        <f>base!J7236</f>
        <v>DLS</v>
      </c>
      <c r="B7236" s="34" t="str">
        <f>base!V7236</f>
        <v>37210</v>
      </c>
      <c r="C7236" s="37">
        <v>37</v>
      </c>
      <c r="D7236" s="36">
        <f>base!H7236</f>
        <v>70</v>
      </c>
      <c r="E7236" s="44"/>
      <c r="F7236" s="16">
        <f>base!W7236</f>
        <v>0</v>
      </c>
      <c r="G7236" s="11">
        <f t="shared" si="1130"/>
        <v>0</v>
      </c>
      <c r="H7236" s="11">
        <f t="shared" si="1131"/>
        <v>13.3</v>
      </c>
      <c r="I7236" s="11">
        <f t="shared" si="1132"/>
        <v>0.19</v>
      </c>
      <c r="J7236" s="12">
        <f t="shared" si="1133"/>
        <v>-13.3</v>
      </c>
      <c r="K7236" s="17" t="str">
        <f t="shared" si="1138"/>
        <v>Ecart négatif</v>
      </c>
      <c r="L7236" s="16">
        <f>base!X7236</f>
        <v>18.899999999999999</v>
      </c>
      <c r="M7236" s="11">
        <f t="shared" si="1134"/>
        <v>0.26999999999999996</v>
      </c>
      <c r="N7236" s="11">
        <f t="shared" si="1135"/>
        <v>8.4</v>
      </c>
      <c r="O7236" s="11">
        <f t="shared" si="1136"/>
        <v>0.12000000000000001</v>
      </c>
      <c r="P7236" s="12">
        <f t="shared" si="1137"/>
        <v>10.499999999999998</v>
      </c>
      <c r="Q7236" s="17" t="str">
        <f t="shared" si="1139"/>
        <v>Ecart positif</v>
      </c>
    </row>
    <row r="7237" spans="1:18" x14ac:dyDescent="0.3">
      <c r="A7237" s="34" t="str">
        <f>base!J7237</f>
        <v>RM</v>
      </c>
      <c r="B7237" s="34" t="str">
        <f>base!V7237</f>
        <v>59155</v>
      </c>
      <c r="C7237" s="37">
        <v>59</v>
      </c>
      <c r="D7237" s="36">
        <f>base!H7237</f>
        <v>180</v>
      </c>
      <c r="E7237" s="44"/>
      <c r="F7237" s="16">
        <f>base!W7237</f>
        <v>0</v>
      </c>
      <c r="G7237" s="11">
        <f t="shared" si="1130"/>
        <v>0</v>
      </c>
      <c r="H7237" s="11">
        <f t="shared" si="1131"/>
        <v>34.200000000000003</v>
      </c>
      <c r="I7237" s="11">
        <f t="shared" si="1132"/>
        <v>0.19</v>
      </c>
      <c r="J7237" s="12">
        <f t="shared" si="1133"/>
        <v>-34.200000000000003</v>
      </c>
      <c r="K7237" s="17" t="str">
        <f t="shared" si="1138"/>
        <v>Ecart négatif</v>
      </c>
      <c r="L7237" s="16">
        <f>base!X7237</f>
        <v>0</v>
      </c>
      <c r="M7237" s="11">
        <f t="shared" si="1134"/>
        <v>0</v>
      </c>
      <c r="N7237" s="11">
        <f t="shared" si="1135"/>
        <v>0</v>
      </c>
      <c r="O7237" s="11">
        <f t="shared" si="1136"/>
        <v>0</v>
      </c>
      <c r="P7237" s="12">
        <f t="shared" si="1137"/>
        <v>0</v>
      </c>
      <c r="Q7237" s="17" t="str">
        <f t="shared" si="1139"/>
        <v>Pas d'écart</v>
      </c>
    </row>
    <row r="7238" spans="1:18" x14ac:dyDescent="0.3">
      <c r="A7238" s="34" t="str">
        <f>base!J7238</f>
        <v>RM</v>
      </c>
      <c r="B7238" s="34" t="str">
        <f>base!V7238</f>
        <v>06560</v>
      </c>
      <c r="C7238" s="37">
        <v>6</v>
      </c>
      <c r="D7238" s="36">
        <f>base!H7238</f>
        <v>151</v>
      </c>
      <c r="E7238" s="44"/>
      <c r="F7238" s="16">
        <f>base!W7238</f>
        <v>0</v>
      </c>
      <c r="G7238" s="11">
        <f t="shared" si="1130"/>
        <v>0</v>
      </c>
      <c r="H7238" s="11">
        <f t="shared" si="1131"/>
        <v>45.3</v>
      </c>
      <c r="I7238" s="11">
        <f t="shared" si="1132"/>
        <v>0.3</v>
      </c>
      <c r="J7238" s="12">
        <f t="shared" si="1133"/>
        <v>-45.3</v>
      </c>
      <c r="K7238" s="17" t="str">
        <f t="shared" si="1138"/>
        <v>Ecart négatif</v>
      </c>
      <c r="L7238" s="16">
        <f>base!X7238</f>
        <v>0</v>
      </c>
      <c r="M7238" s="11">
        <f t="shared" si="1134"/>
        <v>0</v>
      </c>
      <c r="N7238" s="11">
        <f t="shared" si="1135"/>
        <v>31.709999999999997</v>
      </c>
      <c r="O7238" s="11">
        <f t="shared" si="1136"/>
        <v>0.21</v>
      </c>
      <c r="P7238" s="12">
        <f t="shared" si="1137"/>
        <v>-31.709999999999997</v>
      </c>
      <c r="Q7238" s="17" t="str">
        <f t="shared" si="1139"/>
        <v>Ecart négatif</v>
      </c>
    </row>
    <row r="7239" spans="1:18" x14ac:dyDescent="0.3">
      <c r="A7239" s="34" t="str">
        <f>base!J7239</f>
        <v>DLS</v>
      </c>
      <c r="B7239" s="34" t="str">
        <f>base!V7239</f>
        <v>92500</v>
      </c>
      <c r="C7239" s="37">
        <v>92</v>
      </c>
      <c r="D7239" s="36">
        <f>base!H7239</f>
        <v>140</v>
      </c>
      <c r="E7239" s="44"/>
      <c r="F7239" s="16">
        <f>base!W7239</f>
        <v>0</v>
      </c>
      <c r="G7239" s="11">
        <f t="shared" si="1130"/>
        <v>0</v>
      </c>
      <c r="H7239" s="11">
        <f t="shared" si="1131"/>
        <v>0</v>
      </c>
      <c r="I7239" s="11">
        <f t="shared" si="1132"/>
        <v>0</v>
      </c>
      <c r="J7239" s="12">
        <f t="shared" si="1133"/>
        <v>0</v>
      </c>
      <c r="K7239" s="17" t="str">
        <f t="shared" si="1138"/>
        <v>Pas d'écart</v>
      </c>
      <c r="L7239" s="16">
        <f>base!X7239</f>
        <v>0</v>
      </c>
      <c r="M7239" s="11">
        <f t="shared" si="1134"/>
        <v>0</v>
      </c>
      <c r="N7239" s="11">
        <f t="shared" si="1135"/>
        <v>0</v>
      </c>
      <c r="O7239" s="11">
        <f t="shared" si="1136"/>
        <v>0</v>
      </c>
      <c r="P7239" s="12">
        <f t="shared" si="1137"/>
        <v>0</v>
      </c>
      <c r="Q7239" s="17" t="str">
        <f t="shared" si="1139"/>
        <v>Pas d'écart</v>
      </c>
    </row>
    <row r="7240" spans="1:18" x14ac:dyDescent="0.3">
      <c r="A7240" s="34">
        <f>base!J7240</f>
        <v>0</v>
      </c>
      <c r="B7240" s="34" t="str">
        <f>base!V7240</f>
        <v>77184</v>
      </c>
      <c r="C7240" s="37">
        <v>77</v>
      </c>
      <c r="D7240" s="36">
        <f>base!H7240</f>
        <v>26.6</v>
      </c>
      <c r="E7240" s="44"/>
      <c r="F7240" s="16">
        <f>base!W7240</f>
        <v>0</v>
      </c>
      <c r="G7240" s="11">
        <f t="shared" si="1130"/>
        <v>0</v>
      </c>
      <c r="H7240" s="11">
        <f t="shared" si="1131"/>
        <v>0</v>
      </c>
      <c r="I7240" s="11">
        <f t="shared" si="1132"/>
        <v>0</v>
      </c>
      <c r="J7240" s="12">
        <f t="shared" si="1133"/>
        <v>0</v>
      </c>
      <c r="K7240" s="17" t="str">
        <f t="shared" si="1138"/>
        <v>Pas d'écart</v>
      </c>
      <c r="L7240" s="16">
        <f>base!X7240</f>
        <v>0</v>
      </c>
      <c r="M7240" s="11">
        <f t="shared" si="1134"/>
        <v>0</v>
      </c>
      <c r="N7240" s="11">
        <f t="shared" si="1135"/>
        <v>0</v>
      </c>
      <c r="O7240" s="11">
        <f t="shared" si="1136"/>
        <v>0</v>
      </c>
      <c r="P7240" s="12">
        <f t="shared" si="1137"/>
        <v>0</v>
      </c>
      <c r="Q7240" s="17" t="str">
        <f t="shared" si="1139"/>
        <v>Pas d'écart</v>
      </c>
    </row>
    <row r="7241" spans="1:18" x14ac:dyDescent="0.3">
      <c r="A7241" s="34" t="str">
        <f>base!J7241</f>
        <v>RS</v>
      </c>
      <c r="B7241" s="34" t="str">
        <f>base!V7241</f>
        <v>34400</v>
      </c>
      <c r="C7241" s="37">
        <v>34</v>
      </c>
      <c r="D7241" s="36">
        <f>base!H7241</f>
        <v>180</v>
      </c>
      <c r="E7241" s="44"/>
      <c r="F7241" s="16">
        <f>base!W7241</f>
        <v>0</v>
      </c>
      <c r="G7241" s="11">
        <f t="shared" si="1130"/>
        <v>0</v>
      </c>
      <c r="H7241" s="11">
        <f t="shared" si="1131"/>
        <v>70.2</v>
      </c>
      <c r="I7241" s="11">
        <f t="shared" si="1132"/>
        <v>0.39</v>
      </c>
      <c r="J7241" s="12">
        <f t="shared" si="1133"/>
        <v>-70.2</v>
      </c>
      <c r="K7241" s="17" t="str">
        <f t="shared" si="1138"/>
        <v>Ecart négatif</v>
      </c>
      <c r="L7241" s="16">
        <f>base!X7241</f>
        <v>70.2</v>
      </c>
      <c r="M7241" s="11">
        <f t="shared" si="1134"/>
        <v>0.39</v>
      </c>
      <c r="N7241" s="11">
        <f t="shared" si="1135"/>
        <v>50.400000000000006</v>
      </c>
      <c r="O7241" s="11">
        <f t="shared" si="1136"/>
        <v>0.28000000000000003</v>
      </c>
      <c r="P7241" s="12">
        <f t="shared" si="1137"/>
        <v>19.799999999999997</v>
      </c>
      <c r="Q7241" s="17" t="str">
        <f t="shared" si="1139"/>
        <v>Ecart positif</v>
      </c>
    </row>
    <row r="7242" spans="1:18" x14ac:dyDescent="0.3">
      <c r="A7242" s="34" t="str">
        <f>base!J7242</f>
        <v>DRS</v>
      </c>
      <c r="B7242" s="34" t="str">
        <f>base!V7242</f>
        <v>13851</v>
      </c>
      <c r="C7242" s="37">
        <v>13</v>
      </c>
      <c r="D7242" s="36">
        <f>base!H7242</f>
        <v>180</v>
      </c>
      <c r="E7242" s="44"/>
      <c r="F7242" s="16">
        <f>base!W7242</f>
        <v>0</v>
      </c>
      <c r="G7242" s="11">
        <f t="shared" si="1130"/>
        <v>0</v>
      </c>
      <c r="H7242" s="11">
        <f t="shared" si="1131"/>
        <v>52.199999999999996</v>
      </c>
      <c r="I7242" s="11">
        <f t="shared" si="1132"/>
        <v>0.28999999999999998</v>
      </c>
      <c r="J7242" s="12">
        <f t="shared" si="1133"/>
        <v>-52.199999999999996</v>
      </c>
      <c r="K7242" s="17" t="str">
        <f t="shared" si="1138"/>
        <v>Ecart négatif</v>
      </c>
      <c r="L7242" s="16">
        <f>base!X7242</f>
        <v>0</v>
      </c>
      <c r="M7242" s="11">
        <f t="shared" si="1134"/>
        <v>0</v>
      </c>
      <c r="N7242" s="11">
        <f t="shared" si="1135"/>
        <v>34.200000000000003</v>
      </c>
      <c r="O7242" s="11">
        <f t="shared" si="1136"/>
        <v>0.19</v>
      </c>
      <c r="P7242" s="12">
        <f t="shared" si="1137"/>
        <v>-34.200000000000003</v>
      </c>
      <c r="Q7242" s="17" t="str">
        <f t="shared" si="1139"/>
        <v>Ecart négatif</v>
      </c>
    </row>
    <row r="7243" spans="1:18" x14ac:dyDescent="0.3">
      <c r="A7243" s="34" t="str">
        <f>base!J7243</f>
        <v>RM</v>
      </c>
      <c r="B7243" s="34" t="str">
        <f>base!V7243</f>
        <v>67089</v>
      </c>
      <c r="C7243" s="37">
        <v>67</v>
      </c>
      <c r="D7243" s="36">
        <f>base!H7243</f>
        <v>151</v>
      </c>
      <c r="E7243" s="44"/>
      <c r="F7243" s="16">
        <f>base!W7243</f>
        <v>0</v>
      </c>
      <c r="G7243" s="11">
        <f t="shared" si="1130"/>
        <v>0</v>
      </c>
      <c r="H7243" s="11">
        <f t="shared" si="1131"/>
        <v>43.79</v>
      </c>
      <c r="I7243" s="11">
        <f t="shared" si="1132"/>
        <v>0.28999999999999998</v>
      </c>
      <c r="J7243" s="12">
        <f t="shared" si="1133"/>
        <v>-43.79</v>
      </c>
      <c r="K7243" s="17" t="str">
        <f t="shared" si="1138"/>
        <v>Ecart négatif</v>
      </c>
      <c r="L7243" s="16">
        <f>base!X7243</f>
        <v>0</v>
      </c>
      <c r="M7243" s="11">
        <f t="shared" si="1134"/>
        <v>0</v>
      </c>
      <c r="N7243" s="11">
        <f t="shared" si="1135"/>
        <v>12.08</v>
      </c>
      <c r="O7243" s="11">
        <f t="shared" si="1136"/>
        <v>0.08</v>
      </c>
      <c r="P7243" s="12">
        <f t="shared" si="1137"/>
        <v>-12.08</v>
      </c>
      <c r="Q7243" s="17" t="str">
        <f t="shared" si="1139"/>
        <v>Ecart négatif</v>
      </c>
    </row>
    <row r="7244" spans="1:18" x14ac:dyDescent="0.3">
      <c r="A7244" s="34">
        <f>base!J7244</f>
        <v>0</v>
      </c>
      <c r="B7244" s="34" t="str">
        <f>base!V7244</f>
        <v>77184</v>
      </c>
      <c r="C7244" s="37">
        <v>77</v>
      </c>
      <c r="D7244" s="36">
        <f>base!H7244</f>
        <v>25</v>
      </c>
      <c r="E7244" s="44"/>
      <c r="F7244" s="16">
        <f>base!W7244</f>
        <v>0</v>
      </c>
      <c r="G7244" s="11">
        <f t="shared" si="1130"/>
        <v>0</v>
      </c>
      <c r="H7244" s="11">
        <f t="shared" si="1131"/>
        <v>0</v>
      </c>
      <c r="I7244" s="11">
        <f t="shared" si="1132"/>
        <v>0</v>
      </c>
      <c r="J7244" s="12">
        <f t="shared" si="1133"/>
        <v>0</v>
      </c>
      <c r="K7244" s="17" t="str">
        <f t="shared" si="1138"/>
        <v>Pas d'écart</v>
      </c>
      <c r="L7244" s="16">
        <f>base!X7244</f>
        <v>0</v>
      </c>
      <c r="M7244" s="11">
        <f t="shared" si="1134"/>
        <v>0</v>
      </c>
      <c r="N7244" s="11">
        <f t="shared" si="1135"/>
        <v>0</v>
      </c>
      <c r="O7244" s="11">
        <f t="shared" si="1136"/>
        <v>0</v>
      </c>
      <c r="P7244" s="12">
        <f t="shared" si="1137"/>
        <v>0</v>
      </c>
      <c r="Q7244" s="17" t="str">
        <f t="shared" si="1139"/>
        <v>Pas d'écart</v>
      </c>
    </row>
    <row r="7245" spans="1:18" x14ac:dyDescent="0.3">
      <c r="A7245" s="34" t="str">
        <f>base!J7245</f>
        <v>RS</v>
      </c>
      <c r="B7245" s="34" t="str">
        <f>base!V7245</f>
        <v>67000</v>
      </c>
      <c r="C7245" s="37">
        <v>67</v>
      </c>
      <c r="D7245" s="36">
        <f>base!H7245</f>
        <v>29</v>
      </c>
      <c r="E7245" s="44"/>
      <c r="F7245" s="16">
        <f>base!W7245</f>
        <v>0</v>
      </c>
      <c r="G7245" s="11">
        <f t="shared" si="1130"/>
        <v>0</v>
      </c>
      <c r="H7245" s="11">
        <f t="shared" si="1131"/>
        <v>8.41</v>
      </c>
      <c r="I7245" s="11">
        <f t="shared" si="1132"/>
        <v>0.28999999999999998</v>
      </c>
      <c r="J7245" s="12">
        <f t="shared" si="1133"/>
        <v>-8.41</v>
      </c>
      <c r="K7245" s="17" t="str">
        <f t="shared" si="1138"/>
        <v>Ecart négatif</v>
      </c>
      <c r="L7245" s="16">
        <f>base!X7245</f>
        <v>2.3199999999999998</v>
      </c>
      <c r="M7245" s="11">
        <f t="shared" si="1134"/>
        <v>7.9999999999999988E-2</v>
      </c>
      <c r="N7245" s="11">
        <f t="shared" si="1135"/>
        <v>2.3199999999999998</v>
      </c>
      <c r="O7245" s="11">
        <f t="shared" si="1136"/>
        <v>7.9999999999999988E-2</v>
      </c>
      <c r="P7245" s="12">
        <f t="shared" si="1137"/>
        <v>0</v>
      </c>
      <c r="Q7245" s="17" t="str">
        <f t="shared" si="1139"/>
        <v>Pas d'écart</v>
      </c>
      <c r="R7245" s="38"/>
    </row>
    <row r="7246" spans="1:18" x14ac:dyDescent="0.3">
      <c r="A7246" s="34">
        <f>base!J7246</f>
        <v>0</v>
      </c>
      <c r="B7246" s="34" t="str">
        <f>base!V7246</f>
        <v>77184</v>
      </c>
      <c r="C7246" s="37">
        <v>77</v>
      </c>
      <c r="D7246" s="36">
        <f>base!H7246</f>
        <v>170</v>
      </c>
      <c r="E7246" s="44"/>
      <c r="F7246" s="16">
        <f>base!W7246</f>
        <v>0</v>
      </c>
      <c r="G7246" s="11">
        <f t="shared" si="1130"/>
        <v>0</v>
      </c>
      <c r="H7246" s="11">
        <f t="shared" si="1131"/>
        <v>0</v>
      </c>
      <c r="I7246" s="11">
        <f t="shared" si="1132"/>
        <v>0</v>
      </c>
      <c r="J7246" s="12">
        <f t="shared" si="1133"/>
        <v>0</v>
      </c>
      <c r="K7246" s="17" t="str">
        <f t="shared" si="1138"/>
        <v>Pas d'écart</v>
      </c>
      <c r="L7246" s="16">
        <f>base!X7246</f>
        <v>0</v>
      </c>
      <c r="M7246" s="11">
        <f t="shared" si="1134"/>
        <v>0</v>
      </c>
      <c r="N7246" s="11">
        <f t="shared" si="1135"/>
        <v>0</v>
      </c>
      <c r="O7246" s="11">
        <f t="shared" si="1136"/>
        <v>0</v>
      </c>
      <c r="P7246" s="12">
        <f t="shared" si="1137"/>
        <v>0</v>
      </c>
      <c r="Q7246" s="17" t="str">
        <f t="shared" si="1139"/>
        <v>Pas d'écart</v>
      </c>
    </row>
    <row r="7247" spans="1:18" x14ac:dyDescent="0.3">
      <c r="A7247" s="34" t="str">
        <f>base!J7247</f>
        <v>DRS</v>
      </c>
      <c r="B7247" s="34" t="str">
        <f>base!V7247</f>
        <v>69000</v>
      </c>
      <c r="C7247" s="37">
        <v>69</v>
      </c>
      <c r="D7247" s="36">
        <f>base!H7247</f>
        <v>151</v>
      </c>
      <c r="E7247" s="44"/>
      <c r="F7247" s="16">
        <f>base!W7247</f>
        <v>0</v>
      </c>
      <c r="G7247" s="11">
        <f t="shared" si="1130"/>
        <v>0</v>
      </c>
      <c r="H7247" s="11">
        <f t="shared" si="1131"/>
        <v>40.770000000000003</v>
      </c>
      <c r="I7247" s="11">
        <f t="shared" si="1132"/>
        <v>0.27</v>
      </c>
      <c r="J7247" s="12">
        <f t="shared" si="1133"/>
        <v>-40.770000000000003</v>
      </c>
      <c r="K7247" s="17" t="str">
        <f t="shared" si="1138"/>
        <v>Ecart négatif</v>
      </c>
      <c r="L7247" s="16">
        <f>base!X7247</f>
        <v>0</v>
      </c>
      <c r="M7247" s="11">
        <f t="shared" si="1134"/>
        <v>0</v>
      </c>
      <c r="N7247" s="11">
        <f t="shared" si="1135"/>
        <v>0</v>
      </c>
      <c r="O7247" s="11">
        <f t="shared" si="1136"/>
        <v>0</v>
      </c>
      <c r="P7247" s="12">
        <f t="shared" si="1137"/>
        <v>0</v>
      </c>
      <c r="Q7247" s="17" t="str">
        <f t="shared" si="1139"/>
        <v>Pas d'écart</v>
      </c>
    </row>
    <row r="7248" spans="1:18" x14ac:dyDescent="0.3">
      <c r="A7248" s="34">
        <f>base!J7248</f>
        <v>0</v>
      </c>
      <c r="B7248" s="34" t="str">
        <f>base!V7248</f>
        <v>77184</v>
      </c>
      <c r="C7248" s="37">
        <v>77</v>
      </c>
      <c r="D7248" s="36">
        <f>base!H7248</f>
        <v>120</v>
      </c>
      <c r="E7248" s="44"/>
      <c r="F7248" s="16">
        <f>base!W7248</f>
        <v>0</v>
      </c>
      <c r="G7248" s="11">
        <f t="shared" si="1130"/>
        <v>0</v>
      </c>
      <c r="H7248" s="11">
        <f t="shared" si="1131"/>
        <v>0</v>
      </c>
      <c r="I7248" s="11">
        <f t="shared" si="1132"/>
        <v>0</v>
      </c>
      <c r="J7248" s="12">
        <f t="shared" si="1133"/>
        <v>0</v>
      </c>
      <c r="K7248" s="17" t="str">
        <f t="shared" si="1138"/>
        <v>Pas d'écart</v>
      </c>
      <c r="L7248" s="16">
        <f>base!X7248</f>
        <v>0</v>
      </c>
      <c r="M7248" s="11">
        <f t="shared" si="1134"/>
        <v>0</v>
      </c>
      <c r="N7248" s="11">
        <f t="shared" si="1135"/>
        <v>0</v>
      </c>
      <c r="O7248" s="11">
        <f t="shared" si="1136"/>
        <v>0</v>
      </c>
      <c r="P7248" s="12">
        <f t="shared" si="1137"/>
        <v>0</v>
      </c>
      <c r="Q7248" s="17" t="str">
        <f t="shared" si="1139"/>
        <v>Pas d'écart</v>
      </c>
    </row>
    <row r="7249" spans="1:17" x14ac:dyDescent="0.3">
      <c r="A7249" s="34">
        <f>base!J7249</f>
        <v>0</v>
      </c>
      <c r="B7249" s="34" t="str">
        <f>base!V7249</f>
        <v>77184</v>
      </c>
      <c r="C7249" s="37">
        <v>77</v>
      </c>
      <c r="D7249" s="36">
        <f>base!H7249</f>
        <v>149</v>
      </c>
      <c r="E7249" s="44"/>
      <c r="F7249" s="16">
        <f>base!W7249</f>
        <v>0</v>
      </c>
      <c r="G7249" s="11">
        <f t="shared" si="1130"/>
        <v>0</v>
      </c>
      <c r="H7249" s="11">
        <f t="shared" si="1131"/>
        <v>0</v>
      </c>
      <c r="I7249" s="11">
        <f t="shared" si="1132"/>
        <v>0</v>
      </c>
      <c r="J7249" s="12">
        <f t="shared" si="1133"/>
        <v>0</v>
      </c>
      <c r="K7249" s="17" t="str">
        <f t="shared" si="1138"/>
        <v>Pas d'écart</v>
      </c>
      <c r="L7249" s="16">
        <f>base!X7249</f>
        <v>0</v>
      </c>
      <c r="M7249" s="11">
        <f t="shared" si="1134"/>
        <v>0</v>
      </c>
      <c r="N7249" s="11">
        <f t="shared" si="1135"/>
        <v>0</v>
      </c>
      <c r="O7249" s="11">
        <f t="shared" si="1136"/>
        <v>0</v>
      </c>
      <c r="P7249" s="12">
        <f t="shared" si="1137"/>
        <v>0</v>
      </c>
      <c r="Q7249" s="17" t="str">
        <f t="shared" si="1139"/>
        <v>Pas d'écart</v>
      </c>
    </row>
    <row r="7250" spans="1:17" x14ac:dyDescent="0.3">
      <c r="A7250" s="34">
        <f>base!J7250</f>
        <v>0</v>
      </c>
      <c r="B7250" s="34" t="str">
        <f>base!V7250</f>
        <v>77184</v>
      </c>
      <c r="C7250" s="37">
        <v>77</v>
      </c>
      <c r="D7250" s="36">
        <f>base!H7250</f>
        <v>126</v>
      </c>
      <c r="E7250" s="44"/>
      <c r="F7250" s="16">
        <f>base!W7250</f>
        <v>0</v>
      </c>
      <c r="G7250" s="11">
        <f t="shared" si="1130"/>
        <v>0</v>
      </c>
      <c r="H7250" s="11">
        <f t="shared" si="1131"/>
        <v>0</v>
      </c>
      <c r="I7250" s="11">
        <f t="shared" si="1132"/>
        <v>0</v>
      </c>
      <c r="J7250" s="12">
        <f t="shared" si="1133"/>
        <v>0</v>
      </c>
      <c r="K7250" s="17" t="str">
        <f t="shared" si="1138"/>
        <v>Pas d'écart</v>
      </c>
      <c r="L7250" s="16">
        <f>base!X7250</f>
        <v>0</v>
      </c>
      <c r="M7250" s="11">
        <f t="shared" si="1134"/>
        <v>0</v>
      </c>
      <c r="N7250" s="11">
        <f t="shared" si="1135"/>
        <v>0</v>
      </c>
      <c r="O7250" s="11">
        <f t="shared" si="1136"/>
        <v>0</v>
      </c>
      <c r="P7250" s="12">
        <f t="shared" si="1137"/>
        <v>0</v>
      </c>
      <c r="Q7250" s="17" t="str">
        <f t="shared" si="1139"/>
        <v>Pas d'écart</v>
      </c>
    </row>
    <row r="7251" spans="1:17" x14ac:dyDescent="0.3">
      <c r="A7251" s="34" t="str">
        <f>base!J7251</f>
        <v>DLS</v>
      </c>
      <c r="B7251" s="34" t="str">
        <f>base!V7251</f>
        <v>60000</v>
      </c>
      <c r="C7251" s="37">
        <v>60</v>
      </c>
      <c r="D7251" s="36">
        <f>base!H7251</f>
        <v>145.97999999999999</v>
      </c>
      <c r="E7251" s="44"/>
      <c r="F7251" s="16">
        <f>base!W7251</f>
        <v>27.74</v>
      </c>
      <c r="G7251" s="11">
        <f t="shared" si="1130"/>
        <v>0.19002603096314563</v>
      </c>
      <c r="H7251" s="11">
        <f t="shared" si="1131"/>
        <v>27.736199999999997</v>
      </c>
      <c r="I7251" s="11">
        <f t="shared" si="1132"/>
        <v>0.19</v>
      </c>
      <c r="J7251" s="12">
        <f t="shared" si="1133"/>
        <v>3.8000000000018019E-3</v>
      </c>
      <c r="K7251" s="17" t="str">
        <f t="shared" si="1138"/>
        <v>Ecart positif</v>
      </c>
      <c r="L7251" s="16">
        <f>base!X7251</f>
        <v>0</v>
      </c>
      <c r="M7251" s="11">
        <f t="shared" si="1134"/>
        <v>0</v>
      </c>
      <c r="N7251" s="11">
        <f t="shared" si="1135"/>
        <v>0</v>
      </c>
      <c r="O7251" s="11">
        <f t="shared" si="1136"/>
        <v>0</v>
      </c>
      <c r="P7251" s="12">
        <f t="shared" si="1137"/>
        <v>0</v>
      </c>
      <c r="Q7251" s="17" t="str">
        <f t="shared" si="1139"/>
        <v>Pas d'écart</v>
      </c>
    </row>
    <row r="7252" spans="1:17" x14ac:dyDescent="0.3">
      <c r="A7252" s="34" t="str">
        <f>base!J7252</f>
        <v>DLM</v>
      </c>
      <c r="B7252" s="34" t="str">
        <f>base!V7252</f>
        <v>79000</v>
      </c>
      <c r="C7252" s="37">
        <v>79</v>
      </c>
      <c r="D7252" s="36">
        <f>base!H7252</f>
        <v>70</v>
      </c>
      <c r="E7252" s="44"/>
      <c r="F7252" s="16">
        <f>base!W7252</f>
        <v>0</v>
      </c>
      <c r="G7252" s="11">
        <f t="shared" si="1130"/>
        <v>0</v>
      </c>
      <c r="H7252" s="11">
        <f t="shared" si="1131"/>
        <v>14.7</v>
      </c>
      <c r="I7252" s="11">
        <f t="shared" si="1132"/>
        <v>0.21</v>
      </c>
      <c r="J7252" s="12">
        <f t="shared" si="1133"/>
        <v>-14.7</v>
      </c>
      <c r="K7252" s="17" t="str">
        <f t="shared" si="1138"/>
        <v>Ecart négatif</v>
      </c>
      <c r="L7252" s="16">
        <f>base!X7252</f>
        <v>0</v>
      </c>
      <c r="M7252" s="11">
        <f t="shared" si="1134"/>
        <v>0</v>
      </c>
      <c r="N7252" s="11">
        <f t="shared" si="1135"/>
        <v>8.4</v>
      </c>
      <c r="O7252" s="11">
        <f t="shared" si="1136"/>
        <v>0.12000000000000001</v>
      </c>
      <c r="P7252" s="12">
        <f t="shared" si="1137"/>
        <v>-8.4</v>
      </c>
      <c r="Q7252" s="17" t="str">
        <f t="shared" si="1139"/>
        <v>Ecart négatif</v>
      </c>
    </row>
    <row r="7253" spans="1:17" x14ac:dyDescent="0.3">
      <c r="A7253" s="34" t="str">
        <f>base!J7253</f>
        <v>DRS</v>
      </c>
      <c r="B7253" s="34" t="str">
        <f>base!V7253</f>
        <v>75017</v>
      </c>
      <c r="C7253" s="37">
        <v>75</v>
      </c>
      <c r="D7253" s="36">
        <f>base!H7253</f>
        <v>180</v>
      </c>
      <c r="E7253" s="44"/>
      <c r="F7253" s="16">
        <f>base!W7253</f>
        <v>0</v>
      </c>
      <c r="G7253" s="11">
        <f t="shared" si="1130"/>
        <v>0</v>
      </c>
      <c r="H7253" s="11">
        <f t="shared" si="1131"/>
        <v>0</v>
      </c>
      <c r="I7253" s="11">
        <f t="shared" si="1132"/>
        <v>0</v>
      </c>
      <c r="J7253" s="12">
        <f t="shared" si="1133"/>
        <v>0</v>
      </c>
      <c r="K7253" s="17" t="str">
        <f t="shared" si="1138"/>
        <v>Pas d'écart</v>
      </c>
      <c r="L7253" s="16">
        <f>base!X7253</f>
        <v>0</v>
      </c>
      <c r="M7253" s="11">
        <f t="shared" si="1134"/>
        <v>0</v>
      </c>
      <c r="N7253" s="11">
        <f t="shared" si="1135"/>
        <v>0</v>
      </c>
      <c r="O7253" s="11">
        <f t="shared" si="1136"/>
        <v>0</v>
      </c>
      <c r="P7253" s="12">
        <f t="shared" si="1137"/>
        <v>0</v>
      </c>
      <c r="Q7253" s="17" t="str">
        <f t="shared" si="1139"/>
        <v>Pas d'écart</v>
      </c>
    </row>
    <row r="7254" spans="1:17" x14ac:dyDescent="0.3">
      <c r="A7254" s="34">
        <f>base!J7254</f>
        <v>0</v>
      </c>
      <c r="B7254" s="34" t="str">
        <f>base!V7254</f>
        <v>77184</v>
      </c>
      <c r="C7254" s="37">
        <v>77</v>
      </c>
      <c r="D7254" s="36">
        <f>base!H7254</f>
        <v>33.630000000000003</v>
      </c>
      <c r="E7254" s="44"/>
      <c r="F7254" s="16">
        <f>base!W7254</f>
        <v>0</v>
      </c>
      <c r="G7254" s="11">
        <f t="shared" si="1130"/>
        <v>0</v>
      </c>
      <c r="H7254" s="11">
        <f t="shared" si="1131"/>
        <v>0</v>
      </c>
      <c r="I7254" s="11">
        <f t="shared" si="1132"/>
        <v>0</v>
      </c>
      <c r="J7254" s="12">
        <f t="shared" si="1133"/>
        <v>0</v>
      </c>
      <c r="K7254" s="17" t="str">
        <f t="shared" si="1138"/>
        <v>Pas d'écart</v>
      </c>
      <c r="L7254" s="16">
        <f>base!X7254</f>
        <v>0</v>
      </c>
      <c r="M7254" s="11">
        <f t="shared" si="1134"/>
        <v>0</v>
      </c>
      <c r="N7254" s="11">
        <f t="shared" si="1135"/>
        <v>0</v>
      </c>
      <c r="O7254" s="11">
        <f t="shared" si="1136"/>
        <v>0</v>
      </c>
      <c r="P7254" s="12">
        <f t="shared" si="1137"/>
        <v>0</v>
      </c>
      <c r="Q7254" s="17" t="str">
        <f t="shared" si="1139"/>
        <v>Pas d'écart</v>
      </c>
    </row>
    <row r="7255" spans="1:17" x14ac:dyDescent="0.3">
      <c r="A7255" s="34" t="str">
        <f>base!J7255</f>
        <v>DLS</v>
      </c>
      <c r="B7255" s="34" t="str">
        <f>base!V7255</f>
        <v>94150</v>
      </c>
      <c r="C7255" s="37">
        <v>94</v>
      </c>
      <c r="D7255" s="36">
        <f>base!H7255</f>
        <v>151</v>
      </c>
      <c r="E7255" s="44"/>
      <c r="F7255" s="16">
        <f>base!W7255</f>
        <v>0</v>
      </c>
      <c r="G7255" s="11">
        <f t="shared" si="1130"/>
        <v>0</v>
      </c>
      <c r="H7255" s="11">
        <f t="shared" si="1131"/>
        <v>0</v>
      </c>
      <c r="I7255" s="11">
        <f t="shared" si="1132"/>
        <v>0</v>
      </c>
      <c r="J7255" s="12">
        <f t="shared" si="1133"/>
        <v>0</v>
      </c>
      <c r="K7255" s="17" t="str">
        <f t="shared" si="1138"/>
        <v>Pas d'écart</v>
      </c>
      <c r="L7255" s="16">
        <f>base!X7255</f>
        <v>0</v>
      </c>
      <c r="M7255" s="11">
        <f t="shared" si="1134"/>
        <v>0</v>
      </c>
      <c r="N7255" s="11">
        <f t="shared" si="1135"/>
        <v>0</v>
      </c>
      <c r="O7255" s="11">
        <f t="shared" si="1136"/>
        <v>0</v>
      </c>
      <c r="P7255" s="12">
        <f t="shared" si="1137"/>
        <v>0</v>
      </c>
      <c r="Q7255" s="17" t="str">
        <f t="shared" si="1139"/>
        <v>Pas d'écart</v>
      </c>
    </row>
    <row r="7256" spans="1:17" x14ac:dyDescent="0.3">
      <c r="A7256" s="34" t="str">
        <f>base!J7256</f>
        <v>DRS</v>
      </c>
      <c r="B7256" s="34" t="str">
        <f>base!V7256</f>
        <v xml:space="preserve">93400 </v>
      </c>
      <c r="C7256" s="37">
        <v>93</v>
      </c>
      <c r="D7256" s="36">
        <f>base!H7256</f>
        <v>0</v>
      </c>
      <c r="E7256" s="44"/>
      <c r="F7256" s="16">
        <f>base!W7256</f>
        <v>0</v>
      </c>
      <c r="G7256" s="11" t="e">
        <f t="shared" si="1130"/>
        <v>#DIV/0!</v>
      </c>
      <c r="H7256" s="11">
        <f t="shared" si="1131"/>
        <v>0</v>
      </c>
      <c r="I7256" s="11" t="e">
        <f t="shared" si="1132"/>
        <v>#DIV/0!</v>
      </c>
      <c r="J7256" s="12">
        <f t="shared" si="1133"/>
        <v>0</v>
      </c>
      <c r="K7256" s="17" t="str">
        <f t="shared" si="1138"/>
        <v>Pas d'écart</v>
      </c>
      <c r="L7256" s="16">
        <f>base!X7256</f>
        <v>0</v>
      </c>
      <c r="M7256" s="11" t="e">
        <f t="shared" si="1134"/>
        <v>#DIV/0!</v>
      </c>
      <c r="N7256" s="11">
        <f t="shared" si="1135"/>
        <v>0</v>
      </c>
      <c r="O7256" s="11" t="e">
        <f t="shared" si="1136"/>
        <v>#DIV/0!</v>
      </c>
      <c r="P7256" s="12">
        <f t="shared" si="1137"/>
        <v>0</v>
      </c>
      <c r="Q7256" s="17" t="str">
        <f t="shared" si="1139"/>
        <v>Pas d'écart</v>
      </c>
    </row>
    <row r="7257" spans="1:17" x14ac:dyDescent="0.3">
      <c r="A7257" s="34" t="str">
        <f>base!J7257</f>
        <v>DLM</v>
      </c>
      <c r="B7257" s="34" t="str">
        <f>base!V7257</f>
        <v>80400</v>
      </c>
      <c r="C7257" s="37">
        <v>80</v>
      </c>
      <c r="D7257" s="36">
        <f>base!H7257</f>
        <v>200</v>
      </c>
      <c r="E7257" s="44"/>
      <c r="F7257" s="16">
        <f>base!W7257</f>
        <v>0</v>
      </c>
      <c r="G7257" s="11">
        <f t="shared" si="1130"/>
        <v>0</v>
      </c>
      <c r="H7257" s="11">
        <f t="shared" si="1131"/>
        <v>38</v>
      </c>
      <c r="I7257" s="11">
        <f t="shared" si="1132"/>
        <v>0.19</v>
      </c>
      <c r="J7257" s="12">
        <f t="shared" si="1133"/>
        <v>-38</v>
      </c>
      <c r="K7257" s="17" t="str">
        <f t="shared" si="1138"/>
        <v>Ecart négatif</v>
      </c>
      <c r="L7257" s="16">
        <f>base!X7257</f>
        <v>0</v>
      </c>
      <c r="M7257" s="11">
        <f t="shared" si="1134"/>
        <v>0</v>
      </c>
      <c r="N7257" s="11">
        <f t="shared" si="1135"/>
        <v>0</v>
      </c>
      <c r="O7257" s="11">
        <f t="shared" si="1136"/>
        <v>0</v>
      </c>
      <c r="P7257" s="12">
        <f t="shared" si="1137"/>
        <v>0</v>
      </c>
      <c r="Q7257" s="17" t="str">
        <f t="shared" si="1139"/>
        <v>Pas d'écart</v>
      </c>
    </row>
    <row r="7258" spans="1:17" x14ac:dyDescent="0.3">
      <c r="A7258" s="34" t="str">
        <f>base!J7258</f>
        <v>DRM</v>
      </c>
      <c r="B7258" s="34" t="str">
        <f>base!V7258</f>
        <v>92400</v>
      </c>
      <c r="C7258" s="37">
        <v>92</v>
      </c>
      <c r="D7258" s="36">
        <f>base!H7258</f>
        <v>145.19999999999999</v>
      </c>
      <c r="E7258" s="44"/>
      <c r="F7258" s="16">
        <f>base!W7258</f>
        <v>0</v>
      </c>
      <c r="G7258" s="11">
        <f t="shared" si="1130"/>
        <v>0</v>
      </c>
      <c r="H7258" s="11">
        <f t="shared" si="1131"/>
        <v>0</v>
      </c>
      <c r="I7258" s="11">
        <f t="shared" si="1132"/>
        <v>0</v>
      </c>
      <c r="J7258" s="12">
        <f t="shared" si="1133"/>
        <v>0</v>
      </c>
      <c r="K7258" s="17" t="str">
        <f t="shared" si="1138"/>
        <v>Pas d'écart</v>
      </c>
      <c r="L7258" s="16">
        <f>base!X7258</f>
        <v>0</v>
      </c>
      <c r="M7258" s="11">
        <f t="shared" si="1134"/>
        <v>0</v>
      </c>
      <c r="N7258" s="11">
        <f t="shared" si="1135"/>
        <v>0</v>
      </c>
      <c r="O7258" s="11">
        <f t="shared" si="1136"/>
        <v>0</v>
      </c>
      <c r="P7258" s="12">
        <f t="shared" si="1137"/>
        <v>0</v>
      </c>
      <c r="Q7258" s="17" t="str">
        <f t="shared" si="1139"/>
        <v>Pas d'écart</v>
      </c>
    </row>
    <row r="7259" spans="1:17" x14ac:dyDescent="0.3">
      <c r="A7259" s="34" t="str">
        <f>base!J7259</f>
        <v>RM</v>
      </c>
      <c r="B7259" s="34" t="str">
        <f>base!V7259</f>
        <v>06000</v>
      </c>
      <c r="C7259" s="37">
        <v>6</v>
      </c>
      <c r="D7259" s="36">
        <f>base!H7259</f>
        <v>40</v>
      </c>
      <c r="E7259" s="44"/>
      <c r="F7259" s="16">
        <f>base!W7259</f>
        <v>0</v>
      </c>
      <c r="G7259" s="11">
        <f t="shared" si="1130"/>
        <v>0</v>
      </c>
      <c r="H7259" s="11">
        <f t="shared" si="1131"/>
        <v>12</v>
      </c>
      <c r="I7259" s="11">
        <f t="shared" si="1132"/>
        <v>0.3</v>
      </c>
      <c r="J7259" s="12">
        <f t="shared" si="1133"/>
        <v>-12</v>
      </c>
      <c r="K7259" s="17" t="str">
        <f t="shared" si="1138"/>
        <v>Ecart négatif</v>
      </c>
      <c r="L7259" s="16">
        <f>base!X7259</f>
        <v>0</v>
      </c>
      <c r="M7259" s="11">
        <f t="shared" si="1134"/>
        <v>0</v>
      </c>
      <c r="N7259" s="11">
        <f t="shared" si="1135"/>
        <v>8.4</v>
      </c>
      <c r="O7259" s="11">
        <f t="shared" si="1136"/>
        <v>0.21000000000000002</v>
      </c>
      <c r="P7259" s="12">
        <f t="shared" si="1137"/>
        <v>-8.4</v>
      </c>
      <c r="Q7259" s="17" t="str">
        <f t="shared" si="1139"/>
        <v>Ecart négatif</v>
      </c>
    </row>
    <row r="7260" spans="1:17" x14ac:dyDescent="0.3">
      <c r="A7260" s="34" t="str">
        <f>base!J7260</f>
        <v>LM</v>
      </c>
      <c r="B7260" s="34" t="str">
        <f>base!V7260</f>
        <v>84380</v>
      </c>
      <c r="C7260" s="37">
        <v>13</v>
      </c>
      <c r="D7260" s="36">
        <f>base!H7260</f>
        <v>75.34</v>
      </c>
      <c r="E7260" s="44"/>
      <c r="F7260" s="16">
        <f>base!W7260</f>
        <v>0</v>
      </c>
      <c r="G7260" s="11">
        <f t="shared" si="1130"/>
        <v>0</v>
      </c>
      <c r="H7260" s="11">
        <f t="shared" si="1131"/>
        <v>21.848600000000001</v>
      </c>
      <c r="I7260" s="11">
        <f t="shared" si="1132"/>
        <v>0.28999999999999998</v>
      </c>
      <c r="J7260" s="12">
        <f t="shared" si="1133"/>
        <v>-21.848600000000001</v>
      </c>
      <c r="K7260" s="17" t="str">
        <f t="shared" si="1138"/>
        <v>Ecart négatif</v>
      </c>
      <c r="L7260" s="16">
        <f>base!X7260</f>
        <v>0</v>
      </c>
      <c r="M7260" s="11">
        <f t="shared" si="1134"/>
        <v>0</v>
      </c>
      <c r="N7260" s="11">
        <f t="shared" si="1135"/>
        <v>14.3146</v>
      </c>
      <c r="O7260" s="11">
        <f t="shared" si="1136"/>
        <v>0.19</v>
      </c>
      <c r="P7260" s="12">
        <f t="shared" si="1137"/>
        <v>-14.3146</v>
      </c>
      <c r="Q7260" s="17" t="str">
        <f t="shared" si="1139"/>
        <v>Ecart négatif</v>
      </c>
    </row>
    <row r="7261" spans="1:17" x14ac:dyDescent="0.3">
      <c r="A7261" s="34" t="str">
        <f>base!J7261</f>
        <v>RS</v>
      </c>
      <c r="B7261" s="34" t="str">
        <f>base!V7261</f>
        <v>06510</v>
      </c>
      <c r="C7261" s="37">
        <v>6</v>
      </c>
      <c r="D7261" s="36">
        <f>base!H7261</f>
        <v>20</v>
      </c>
      <c r="E7261" s="44"/>
      <c r="F7261" s="16">
        <f>base!W7261</f>
        <v>0</v>
      </c>
      <c r="G7261" s="11">
        <f t="shared" si="1130"/>
        <v>0</v>
      </c>
      <c r="H7261" s="11">
        <f t="shared" si="1131"/>
        <v>6</v>
      </c>
      <c r="I7261" s="11">
        <f t="shared" si="1132"/>
        <v>0.3</v>
      </c>
      <c r="J7261" s="12">
        <f t="shared" si="1133"/>
        <v>-6</v>
      </c>
      <c r="K7261" s="17" t="str">
        <f t="shared" si="1138"/>
        <v>Ecart négatif</v>
      </c>
      <c r="L7261" s="16">
        <f>base!X7261</f>
        <v>0</v>
      </c>
      <c r="M7261" s="11">
        <f t="shared" si="1134"/>
        <v>0</v>
      </c>
      <c r="N7261" s="11">
        <f t="shared" si="1135"/>
        <v>4.2</v>
      </c>
      <c r="O7261" s="11">
        <f t="shared" si="1136"/>
        <v>0.21000000000000002</v>
      </c>
      <c r="P7261" s="12">
        <f t="shared" si="1137"/>
        <v>-4.2</v>
      </c>
      <c r="Q7261" s="17" t="str">
        <f t="shared" si="1139"/>
        <v>Ecart négatif</v>
      </c>
    </row>
    <row r="7262" spans="1:17" x14ac:dyDescent="0.3">
      <c r="A7262" s="34" t="str">
        <f>base!J7262</f>
        <v>RS</v>
      </c>
      <c r="B7262" s="34" t="str">
        <f>base!V7262</f>
        <v>57600</v>
      </c>
      <c r="C7262" s="37">
        <v>57</v>
      </c>
      <c r="D7262" s="36">
        <f>base!H7262</f>
        <v>180</v>
      </c>
      <c r="E7262" s="44"/>
      <c r="F7262" s="16">
        <f>base!W7262</f>
        <v>0</v>
      </c>
      <c r="G7262" s="11">
        <f t="shared" si="1130"/>
        <v>0</v>
      </c>
      <c r="H7262" s="11">
        <f t="shared" si="1131"/>
        <v>43.199999999999996</v>
      </c>
      <c r="I7262" s="11">
        <f t="shared" si="1132"/>
        <v>0.23999999999999996</v>
      </c>
      <c r="J7262" s="12">
        <f t="shared" si="1133"/>
        <v>-43.199999999999996</v>
      </c>
      <c r="K7262" s="17" t="str">
        <f t="shared" si="1138"/>
        <v>Ecart négatif</v>
      </c>
      <c r="L7262" s="16">
        <f>base!X7262</f>
        <v>0</v>
      </c>
      <c r="M7262" s="11">
        <f t="shared" si="1134"/>
        <v>0</v>
      </c>
      <c r="N7262" s="11">
        <f t="shared" si="1135"/>
        <v>45</v>
      </c>
      <c r="O7262" s="11">
        <f t="shared" si="1136"/>
        <v>0.25</v>
      </c>
      <c r="P7262" s="12">
        <f t="shared" si="1137"/>
        <v>-45</v>
      </c>
      <c r="Q7262" s="17" t="str">
        <f t="shared" si="1139"/>
        <v>Ecart négatif</v>
      </c>
    </row>
    <row r="7263" spans="1:17" x14ac:dyDescent="0.3">
      <c r="A7263" s="34" t="str">
        <f>base!J7263</f>
        <v>DLS</v>
      </c>
      <c r="B7263" s="34" t="str">
        <f>base!V7263</f>
        <v>37300</v>
      </c>
      <c r="C7263" s="37">
        <v>37</v>
      </c>
      <c r="D7263" s="36">
        <f>base!H7263</f>
        <v>74.25</v>
      </c>
      <c r="E7263" s="44"/>
      <c r="F7263" s="16">
        <f>base!W7263</f>
        <v>15.59</v>
      </c>
      <c r="G7263" s="11">
        <f t="shared" si="1130"/>
        <v>0.20996632996632997</v>
      </c>
      <c r="H7263" s="11">
        <f t="shared" si="1131"/>
        <v>14.1075</v>
      </c>
      <c r="I7263" s="11">
        <f t="shared" si="1132"/>
        <v>0.19</v>
      </c>
      <c r="J7263" s="12">
        <f t="shared" si="1133"/>
        <v>1.4824999999999999</v>
      </c>
      <c r="K7263" s="17" t="str">
        <f t="shared" si="1138"/>
        <v>Ecart positif</v>
      </c>
      <c r="L7263" s="16">
        <f>base!X7263</f>
        <v>0</v>
      </c>
      <c r="M7263" s="11">
        <f t="shared" si="1134"/>
        <v>0</v>
      </c>
      <c r="N7263" s="11">
        <f t="shared" si="1135"/>
        <v>8.91</v>
      </c>
      <c r="O7263" s="11">
        <f t="shared" si="1136"/>
        <v>0.12</v>
      </c>
      <c r="P7263" s="12">
        <f t="shared" si="1137"/>
        <v>-8.91</v>
      </c>
      <c r="Q7263" s="17" t="str">
        <f t="shared" si="1139"/>
        <v>Ecart négatif</v>
      </c>
    </row>
    <row r="7264" spans="1:17" x14ac:dyDescent="0.3">
      <c r="A7264" s="34" t="str">
        <f>base!J7264</f>
        <v>RM</v>
      </c>
      <c r="B7264" s="34" t="str">
        <f>base!V7264</f>
        <v>69100</v>
      </c>
      <c r="C7264" s="37">
        <v>69</v>
      </c>
      <c r="D7264" s="36">
        <f>base!H7264</f>
        <v>90.99</v>
      </c>
      <c r="E7264" s="44"/>
      <c r="F7264" s="16">
        <f>base!W7264</f>
        <v>0</v>
      </c>
      <c r="G7264" s="11">
        <f t="shared" si="1130"/>
        <v>0</v>
      </c>
      <c r="H7264" s="11">
        <f t="shared" si="1131"/>
        <v>24.567299999999999</v>
      </c>
      <c r="I7264" s="11">
        <f t="shared" si="1132"/>
        <v>0.27</v>
      </c>
      <c r="J7264" s="12">
        <f t="shared" si="1133"/>
        <v>-24.567299999999999</v>
      </c>
      <c r="K7264" s="17" t="str">
        <f t="shared" si="1138"/>
        <v>Ecart négatif</v>
      </c>
      <c r="L7264" s="16">
        <f>base!X7264</f>
        <v>0</v>
      </c>
      <c r="M7264" s="11">
        <f t="shared" si="1134"/>
        <v>0</v>
      </c>
      <c r="N7264" s="11">
        <f t="shared" si="1135"/>
        <v>0</v>
      </c>
      <c r="O7264" s="11">
        <f t="shared" si="1136"/>
        <v>0</v>
      </c>
      <c r="P7264" s="12">
        <f t="shared" si="1137"/>
        <v>0</v>
      </c>
      <c r="Q7264" s="17" t="str">
        <f t="shared" si="1139"/>
        <v>Pas d'écart</v>
      </c>
    </row>
    <row r="7265" spans="1:18" x14ac:dyDescent="0.3">
      <c r="A7265" s="34" t="str">
        <f>base!J7265</f>
        <v>RS</v>
      </c>
      <c r="B7265" s="34" t="str">
        <f>base!V7265</f>
        <v>98000</v>
      </c>
      <c r="C7265" s="37">
        <v>98</v>
      </c>
      <c r="D7265" s="36">
        <f>base!H7265</f>
        <v>16</v>
      </c>
      <c r="E7265" s="44"/>
      <c r="F7265" s="16">
        <f>base!W7265</f>
        <v>0</v>
      </c>
      <c r="G7265" s="11">
        <f t="shared" si="1130"/>
        <v>0</v>
      </c>
      <c r="H7265" s="11">
        <f t="shared" si="1131"/>
        <v>4.32</v>
      </c>
      <c r="I7265" s="11">
        <f t="shared" si="1132"/>
        <v>0.27</v>
      </c>
      <c r="J7265" s="12">
        <f t="shared" si="1133"/>
        <v>-4.32</v>
      </c>
      <c r="K7265" s="17" t="str">
        <f t="shared" si="1138"/>
        <v>Ecart négatif</v>
      </c>
      <c r="L7265" s="16">
        <f>base!X7265</f>
        <v>0</v>
      </c>
      <c r="M7265" s="11">
        <f t="shared" si="1134"/>
        <v>0</v>
      </c>
      <c r="N7265" s="11">
        <f t="shared" si="1135"/>
        <v>3.36</v>
      </c>
      <c r="O7265" s="11">
        <f t="shared" si="1136"/>
        <v>0.21</v>
      </c>
      <c r="P7265" s="12">
        <f t="shared" si="1137"/>
        <v>-3.36</v>
      </c>
      <c r="Q7265" s="17" t="str">
        <f t="shared" si="1139"/>
        <v>Ecart négatif</v>
      </c>
    </row>
    <row r="7266" spans="1:18" x14ac:dyDescent="0.3">
      <c r="A7266" s="34" t="str">
        <f>base!J7266</f>
        <v>RS</v>
      </c>
      <c r="B7266" s="34" t="str">
        <f>base!V7266</f>
        <v>18390</v>
      </c>
      <c r="C7266" s="37">
        <v>18</v>
      </c>
      <c r="D7266" s="36">
        <f>base!H7266</f>
        <v>140</v>
      </c>
      <c r="E7266" s="44"/>
      <c r="F7266" s="16">
        <f>base!W7266</f>
        <v>0</v>
      </c>
      <c r="G7266" s="11">
        <f t="shared" si="1130"/>
        <v>0</v>
      </c>
      <c r="H7266" s="11">
        <f t="shared" si="1131"/>
        <v>29.4</v>
      </c>
      <c r="I7266" s="11">
        <f t="shared" si="1132"/>
        <v>0.21</v>
      </c>
      <c r="J7266" s="12">
        <f t="shared" si="1133"/>
        <v>-29.4</v>
      </c>
      <c r="K7266" s="17" t="str">
        <f t="shared" si="1138"/>
        <v>Ecart négatif</v>
      </c>
      <c r="L7266" s="16">
        <f>base!X7266</f>
        <v>37.799999999999997</v>
      </c>
      <c r="M7266" s="11">
        <f t="shared" si="1134"/>
        <v>0.26999999999999996</v>
      </c>
      <c r="N7266" s="11">
        <f t="shared" si="1135"/>
        <v>16.8</v>
      </c>
      <c r="O7266" s="11">
        <f t="shared" si="1136"/>
        <v>0.12000000000000001</v>
      </c>
      <c r="P7266" s="12">
        <f t="shared" si="1137"/>
        <v>20.999999999999996</v>
      </c>
      <c r="Q7266" s="17" t="str">
        <f t="shared" si="1139"/>
        <v>Ecart positif</v>
      </c>
      <c r="R7266" s="38"/>
    </row>
    <row r="7267" spans="1:18" x14ac:dyDescent="0.3">
      <c r="A7267" s="34" t="str">
        <f>base!J7267</f>
        <v>RM</v>
      </c>
      <c r="B7267" s="34" t="str">
        <f>base!V7267</f>
        <v>13127</v>
      </c>
      <c r="C7267" s="37">
        <v>13</v>
      </c>
      <c r="D7267" s="36">
        <f>base!H7267</f>
        <v>198.98</v>
      </c>
      <c r="E7267" s="44"/>
      <c r="F7267" s="16">
        <f>base!W7267</f>
        <v>0</v>
      </c>
      <c r="G7267" s="11">
        <f t="shared" si="1130"/>
        <v>0</v>
      </c>
      <c r="H7267" s="11">
        <f t="shared" si="1131"/>
        <v>57.704199999999993</v>
      </c>
      <c r="I7267" s="11">
        <f t="shared" si="1132"/>
        <v>0.28999999999999998</v>
      </c>
      <c r="J7267" s="12">
        <f t="shared" si="1133"/>
        <v>-57.704199999999993</v>
      </c>
      <c r="K7267" s="17" t="str">
        <f t="shared" si="1138"/>
        <v>Ecart négatif</v>
      </c>
      <c r="L7267" s="16">
        <f>base!X7267</f>
        <v>0</v>
      </c>
      <c r="M7267" s="11">
        <f t="shared" si="1134"/>
        <v>0</v>
      </c>
      <c r="N7267" s="11">
        <f t="shared" si="1135"/>
        <v>37.806199999999997</v>
      </c>
      <c r="O7267" s="11">
        <f t="shared" si="1136"/>
        <v>0.19</v>
      </c>
      <c r="P7267" s="12">
        <f t="shared" si="1137"/>
        <v>-37.806199999999997</v>
      </c>
      <c r="Q7267" s="17" t="str">
        <f t="shared" si="1139"/>
        <v>Ecart négatif</v>
      </c>
    </row>
    <row r="7268" spans="1:18" x14ac:dyDescent="0.3">
      <c r="A7268" s="34" t="str">
        <f>base!J7268</f>
        <v>RM</v>
      </c>
      <c r="B7268" s="34" t="str">
        <f>base!V7268</f>
        <v>13127</v>
      </c>
      <c r="C7268" s="37">
        <v>13</v>
      </c>
      <c r="D7268" s="36">
        <f>base!H7268</f>
        <v>94.79</v>
      </c>
      <c r="E7268" s="44"/>
      <c r="F7268" s="16">
        <f>base!W7268</f>
        <v>0</v>
      </c>
      <c r="G7268" s="11">
        <f t="shared" si="1130"/>
        <v>0</v>
      </c>
      <c r="H7268" s="11">
        <f t="shared" si="1131"/>
        <v>27.489100000000001</v>
      </c>
      <c r="I7268" s="11">
        <f t="shared" si="1132"/>
        <v>0.28999999999999998</v>
      </c>
      <c r="J7268" s="12">
        <f t="shared" si="1133"/>
        <v>-27.489100000000001</v>
      </c>
      <c r="K7268" s="17" t="str">
        <f t="shared" si="1138"/>
        <v>Ecart négatif</v>
      </c>
      <c r="L7268" s="16">
        <f>base!X7268</f>
        <v>0</v>
      </c>
      <c r="M7268" s="11">
        <f t="shared" si="1134"/>
        <v>0</v>
      </c>
      <c r="N7268" s="11">
        <f t="shared" si="1135"/>
        <v>18.010100000000001</v>
      </c>
      <c r="O7268" s="11">
        <f t="shared" si="1136"/>
        <v>0.19</v>
      </c>
      <c r="P7268" s="12">
        <f t="shared" si="1137"/>
        <v>-18.010100000000001</v>
      </c>
      <c r="Q7268" s="17" t="str">
        <f t="shared" si="1139"/>
        <v>Ecart négatif</v>
      </c>
    </row>
    <row r="7269" spans="1:18" x14ac:dyDescent="0.3">
      <c r="A7269" s="34" t="str">
        <f>base!J7269</f>
        <v>RS</v>
      </c>
      <c r="B7269" s="34" t="str">
        <f>base!V7269</f>
        <v>54670</v>
      </c>
      <c r="C7269" s="37">
        <v>54</v>
      </c>
      <c r="D7269" s="36">
        <f>base!H7269</f>
        <v>151.33000000000001</v>
      </c>
      <c r="E7269" s="44"/>
      <c r="F7269" s="16">
        <f>base!W7269</f>
        <v>0</v>
      </c>
      <c r="G7269" s="11">
        <f t="shared" si="1130"/>
        <v>0</v>
      </c>
      <c r="H7269" s="11">
        <f t="shared" si="1131"/>
        <v>37.832500000000003</v>
      </c>
      <c r="I7269" s="11">
        <f t="shared" si="1132"/>
        <v>0.25</v>
      </c>
      <c r="J7269" s="12">
        <f t="shared" si="1133"/>
        <v>-37.832500000000003</v>
      </c>
      <c r="K7269" s="17" t="str">
        <f t="shared" si="1138"/>
        <v>Ecart négatif</v>
      </c>
      <c r="L7269" s="16">
        <f>base!X7269</f>
        <v>0</v>
      </c>
      <c r="M7269" s="11">
        <f t="shared" si="1134"/>
        <v>0</v>
      </c>
      <c r="N7269" s="11">
        <f t="shared" si="1135"/>
        <v>37.832500000000003</v>
      </c>
      <c r="O7269" s="11">
        <f t="shared" si="1136"/>
        <v>0.25</v>
      </c>
      <c r="P7269" s="12">
        <f t="shared" si="1137"/>
        <v>-37.832500000000003</v>
      </c>
      <c r="Q7269" s="17" t="str">
        <f t="shared" si="1139"/>
        <v>Ecart négatif</v>
      </c>
    </row>
    <row r="7270" spans="1:18" x14ac:dyDescent="0.3">
      <c r="A7270" s="34" t="str">
        <f>base!J7270</f>
        <v>RS</v>
      </c>
      <c r="B7270" s="34" t="str">
        <f>base!V7270</f>
        <v>68650</v>
      </c>
      <c r="C7270" s="37">
        <v>68</v>
      </c>
      <c r="D7270" s="36">
        <f>base!H7270</f>
        <v>180</v>
      </c>
      <c r="E7270" s="44"/>
      <c r="F7270" s="16">
        <f>base!W7270</f>
        <v>0</v>
      </c>
      <c r="G7270" s="11">
        <f t="shared" si="1130"/>
        <v>0</v>
      </c>
      <c r="H7270" s="11">
        <f t="shared" si="1131"/>
        <v>52.199999999999996</v>
      </c>
      <c r="I7270" s="11">
        <f t="shared" si="1132"/>
        <v>0.28999999999999998</v>
      </c>
      <c r="J7270" s="12">
        <f t="shared" si="1133"/>
        <v>-52.199999999999996</v>
      </c>
      <c r="K7270" s="17" t="str">
        <f t="shared" si="1138"/>
        <v>Ecart négatif</v>
      </c>
      <c r="L7270" s="16">
        <f>base!X7270</f>
        <v>14.4</v>
      </c>
      <c r="M7270" s="11">
        <f t="shared" si="1134"/>
        <v>0.08</v>
      </c>
      <c r="N7270" s="11">
        <f t="shared" si="1135"/>
        <v>14.4</v>
      </c>
      <c r="O7270" s="11">
        <f t="shared" si="1136"/>
        <v>0.08</v>
      </c>
      <c r="P7270" s="12">
        <f t="shared" si="1137"/>
        <v>0</v>
      </c>
      <c r="Q7270" s="17" t="str">
        <f t="shared" si="1139"/>
        <v>Pas d'écart</v>
      </c>
      <c r="R7270" s="38"/>
    </row>
    <row r="7271" spans="1:18" x14ac:dyDescent="0.3">
      <c r="A7271" s="34" t="str">
        <f>base!J7271</f>
        <v>RM</v>
      </c>
      <c r="B7271" s="34" t="str">
        <f>base!V7271</f>
        <v>88000</v>
      </c>
      <c r="C7271" s="37">
        <v>88</v>
      </c>
      <c r="D7271" s="36">
        <f>base!H7271</f>
        <v>109.06</v>
      </c>
      <c r="E7271" s="44"/>
      <c r="F7271" s="16">
        <f>base!W7271</f>
        <v>0</v>
      </c>
      <c r="G7271" s="11">
        <f t="shared" si="1130"/>
        <v>0</v>
      </c>
      <c r="H7271" s="11">
        <f t="shared" si="1131"/>
        <v>30.536800000000003</v>
      </c>
      <c r="I7271" s="11">
        <f t="shared" si="1132"/>
        <v>0.28000000000000003</v>
      </c>
      <c r="J7271" s="12">
        <f t="shared" si="1133"/>
        <v>-30.536800000000003</v>
      </c>
      <c r="K7271" s="17" t="str">
        <f t="shared" si="1138"/>
        <v>Ecart négatif</v>
      </c>
      <c r="L7271" s="16">
        <f>base!X7271</f>
        <v>8.7200000000000006</v>
      </c>
      <c r="M7271" s="11">
        <f t="shared" si="1134"/>
        <v>7.9955987529800113E-2</v>
      </c>
      <c r="N7271" s="11">
        <f t="shared" si="1135"/>
        <v>8.7248000000000001</v>
      </c>
      <c r="O7271" s="11">
        <f t="shared" si="1136"/>
        <v>0.08</v>
      </c>
      <c r="P7271" s="12">
        <f t="shared" si="1137"/>
        <v>-4.7999999999994714E-3</v>
      </c>
      <c r="Q7271" s="17" t="str">
        <f t="shared" si="1139"/>
        <v>Ecart négatif</v>
      </c>
      <c r="R7271" s="38"/>
    </row>
    <row r="7272" spans="1:18" x14ac:dyDescent="0.3">
      <c r="A7272" s="34" t="str">
        <f>base!J7272</f>
        <v>RS</v>
      </c>
      <c r="B7272" s="34" t="str">
        <f>base!V7272</f>
        <v>69480</v>
      </c>
      <c r="C7272" s="37">
        <v>69</v>
      </c>
      <c r="D7272" s="36">
        <f>base!H7272</f>
        <v>159.4</v>
      </c>
      <c r="E7272" s="44"/>
      <c r="F7272" s="16">
        <f>base!W7272</f>
        <v>0</v>
      </c>
      <c r="G7272" s="11">
        <f t="shared" si="1130"/>
        <v>0</v>
      </c>
      <c r="H7272" s="11">
        <f t="shared" si="1131"/>
        <v>43.038000000000004</v>
      </c>
      <c r="I7272" s="11">
        <f t="shared" si="1132"/>
        <v>0.27</v>
      </c>
      <c r="J7272" s="12">
        <f t="shared" si="1133"/>
        <v>-43.038000000000004</v>
      </c>
      <c r="K7272" s="17" t="str">
        <f t="shared" si="1138"/>
        <v>Ecart négatif</v>
      </c>
      <c r="L7272" s="16">
        <f>base!X7272</f>
        <v>0</v>
      </c>
      <c r="M7272" s="11">
        <f t="shared" si="1134"/>
        <v>0</v>
      </c>
      <c r="N7272" s="11">
        <f t="shared" si="1135"/>
        <v>0</v>
      </c>
      <c r="O7272" s="11">
        <f t="shared" si="1136"/>
        <v>0</v>
      </c>
      <c r="P7272" s="12">
        <f t="shared" si="1137"/>
        <v>0</v>
      </c>
      <c r="Q7272" s="17" t="str">
        <f t="shared" si="1139"/>
        <v>Pas d'écart</v>
      </c>
    </row>
    <row r="7273" spans="1:18" x14ac:dyDescent="0.3">
      <c r="A7273" s="34" t="str">
        <f>base!J7273</f>
        <v>DLM</v>
      </c>
      <c r="B7273" s="34" t="str">
        <f>base!V7273</f>
        <v>93700</v>
      </c>
      <c r="C7273" s="37">
        <v>93</v>
      </c>
      <c r="D7273" s="36">
        <f>base!H7273</f>
        <v>52.5</v>
      </c>
      <c r="E7273" s="44"/>
      <c r="F7273" s="16">
        <f>base!W7273</f>
        <v>0</v>
      </c>
      <c r="G7273" s="11">
        <f t="shared" si="1130"/>
        <v>0</v>
      </c>
      <c r="H7273" s="11">
        <f t="shared" si="1131"/>
        <v>0</v>
      </c>
      <c r="I7273" s="11">
        <f t="shared" si="1132"/>
        <v>0</v>
      </c>
      <c r="J7273" s="12">
        <f t="shared" si="1133"/>
        <v>0</v>
      </c>
      <c r="K7273" s="17" t="str">
        <f t="shared" si="1138"/>
        <v>Pas d'écart</v>
      </c>
      <c r="L7273" s="16">
        <f>base!X7273</f>
        <v>0</v>
      </c>
      <c r="M7273" s="11">
        <f t="shared" si="1134"/>
        <v>0</v>
      </c>
      <c r="N7273" s="11">
        <f t="shared" si="1135"/>
        <v>0</v>
      </c>
      <c r="O7273" s="11">
        <f t="shared" si="1136"/>
        <v>0</v>
      </c>
      <c r="P7273" s="12">
        <f t="shared" si="1137"/>
        <v>0</v>
      </c>
      <c r="Q7273" s="17" t="str">
        <f t="shared" si="1139"/>
        <v>Pas d'écart</v>
      </c>
    </row>
    <row r="7274" spans="1:18" x14ac:dyDescent="0.3">
      <c r="A7274" s="34" t="str">
        <f>base!J7274</f>
        <v>RS</v>
      </c>
      <c r="B7274" s="34" t="str">
        <f>base!V7274</f>
        <v>60200</v>
      </c>
      <c r="C7274" s="37">
        <v>60</v>
      </c>
      <c r="D7274" s="36">
        <f>base!H7274</f>
        <v>140</v>
      </c>
      <c r="E7274" s="44"/>
      <c r="F7274" s="16">
        <f>base!W7274</f>
        <v>0</v>
      </c>
      <c r="G7274" s="11">
        <f t="shared" si="1130"/>
        <v>0</v>
      </c>
      <c r="H7274" s="11">
        <f t="shared" si="1131"/>
        <v>26.6</v>
      </c>
      <c r="I7274" s="11">
        <f t="shared" si="1132"/>
        <v>0.19</v>
      </c>
      <c r="J7274" s="12">
        <f t="shared" si="1133"/>
        <v>-26.6</v>
      </c>
      <c r="K7274" s="17" t="str">
        <f t="shared" si="1138"/>
        <v>Ecart négatif</v>
      </c>
      <c r="L7274" s="16">
        <f>base!X7274</f>
        <v>0</v>
      </c>
      <c r="M7274" s="11">
        <f t="shared" si="1134"/>
        <v>0</v>
      </c>
      <c r="N7274" s="11">
        <f t="shared" si="1135"/>
        <v>0</v>
      </c>
      <c r="O7274" s="11">
        <f t="shared" si="1136"/>
        <v>0</v>
      </c>
      <c r="P7274" s="12">
        <f t="shared" si="1137"/>
        <v>0</v>
      </c>
      <c r="Q7274" s="17" t="str">
        <f t="shared" si="1139"/>
        <v>Pas d'écart</v>
      </c>
    </row>
    <row r="7275" spans="1:18" x14ac:dyDescent="0.3">
      <c r="A7275" s="34" t="str">
        <f>base!J7275</f>
        <v>DLM</v>
      </c>
      <c r="B7275" s="34" t="str">
        <f>base!V7275</f>
        <v>38300</v>
      </c>
      <c r="C7275" s="37">
        <v>38</v>
      </c>
      <c r="D7275" s="36">
        <f>base!H7275</f>
        <v>23.4</v>
      </c>
      <c r="E7275" s="44"/>
      <c r="F7275" s="16">
        <f>base!W7275</f>
        <v>0</v>
      </c>
      <c r="G7275" s="11">
        <f t="shared" si="1130"/>
        <v>0</v>
      </c>
      <c r="H7275" s="11">
        <f t="shared" si="1131"/>
        <v>6.3179999999999996</v>
      </c>
      <c r="I7275" s="11">
        <f t="shared" si="1132"/>
        <v>0.27</v>
      </c>
      <c r="J7275" s="12">
        <f t="shared" si="1133"/>
        <v>-6.3179999999999996</v>
      </c>
      <c r="K7275" s="17" t="str">
        <f t="shared" si="1138"/>
        <v>Ecart négatif</v>
      </c>
      <c r="L7275" s="16">
        <f>base!X7275</f>
        <v>0</v>
      </c>
      <c r="M7275" s="11">
        <f t="shared" si="1134"/>
        <v>0</v>
      </c>
      <c r="N7275" s="11">
        <f t="shared" si="1135"/>
        <v>0</v>
      </c>
      <c r="O7275" s="11">
        <f t="shared" si="1136"/>
        <v>0</v>
      </c>
      <c r="P7275" s="12">
        <f t="shared" si="1137"/>
        <v>0</v>
      </c>
      <c r="Q7275" s="17" t="str">
        <f t="shared" si="1139"/>
        <v>Pas d'écart</v>
      </c>
    </row>
    <row r="7276" spans="1:18" x14ac:dyDescent="0.3">
      <c r="A7276" s="34" t="str">
        <f>base!J7276</f>
        <v>DLM</v>
      </c>
      <c r="B7276" s="34" t="str">
        <f>base!V7276</f>
        <v>08200</v>
      </c>
      <c r="C7276" s="37">
        <v>8</v>
      </c>
      <c r="D7276" s="36">
        <f>base!H7276</f>
        <v>32</v>
      </c>
      <c r="E7276" s="44"/>
      <c r="F7276" s="16">
        <f>base!W7276</f>
        <v>0</v>
      </c>
      <c r="G7276" s="11">
        <f t="shared" si="1130"/>
        <v>0</v>
      </c>
      <c r="H7276" s="11">
        <f t="shared" si="1131"/>
        <v>5.76</v>
      </c>
      <c r="I7276" s="11">
        <f t="shared" si="1132"/>
        <v>0.18</v>
      </c>
      <c r="J7276" s="12">
        <f t="shared" si="1133"/>
        <v>-5.76</v>
      </c>
      <c r="K7276" s="17" t="str">
        <f t="shared" si="1138"/>
        <v>Ecart négatif</v>
      </c>
      <c r="L7276" s="16">
        <f>base!X7276</f>
        <v>0</v>
      </c>
      <c r="M7276" s="11">
        <f t="shared" si="1134"/>
        <v>0</v>
      </c>
      <c r="N7276" s="11">
        <f t="shared" si="1135"/>
        <v>0</v>
      </c>
      <c r="O7276" s="11">
        <f t="shared" si="1136"/>
        <v>0</v>
      </c>
      <c r="P7276" s="12">
        <f t="shared" si="1137"/>
        <v>0</v>
      </c>
      <c r="Q7276" s="17" t="str">
        <f t="shared" si="1139"/>
        <v>Pas d'écart</v>
      </c>
    </row>
    <row r="7277" spans="1:18" x14ac:dyDescent="0.3">
      <c r="A7277" s="34" t="str">
        <f>base!J7277</f>
        <v>RM</v>
      </c>
      <c r="B7277" s="34" t="str">
        <f>base!V7277</f>
        <v>67000</v>
      </c>
      <c r="C7277" s="37">
        <v>67</v>
      </c>
      <c r="D7277" s="36">
        <f>base!H7277</f>
        <v>40</v>
      </c>
      <c r="E7277" s="44"/>
      <c r="F7277" s="16">
        <f>base!W7277</f>
        <v>0</v>
      </c>
      <c r="G7277" s="11">
        <f t="shared" si="1130"/>
        <v>0</v>
      </c>
      <c r="H7277" s="11">
        <f t="shared" si="1131"/>
        <v>11.6</v>
      </c>
      <c r="I7277" s="11">
        <f t="shared" si="1132"/>
        <v>0.28999999999999998</v>
      </c>
      <c r="J7277" s="12">
        <f t="shared" si="1133"/>
        <v>-11.6</v>
      </c>
      <c r="K7277" s="17" t="str">
        <f t="shared" si="1138"/>
        <v>Ecart négatif</v>
      </c>
      <c r="L7277" s="16">
        <f>base!X7277</f>
        <v>3.2</v>
      </c>
      <c r="M7277" s="11">
        <f t="shared" si="1134"/>
        <v>0.08</v>
      </c>
      <c r="N7277" s="11">
        <f t="shared" si="1135"/>
        <v>3.2</v>
      </c>
      <c r="O7277" s="11">
        <f t="shared" si="1136"/>
        <v>0.08</v>
      </c>
      <c r="P7277" s="12">
        <f t="shared" si="1137"/>
        <v>0</v>
      </c>
      <c r="Q7277" s="17" t="str">
        <f t="shared" si="1139"/>
        <v>Pas d'écart</v>
      </c>
      <c r="R7277" s="38"/>
    </row>
    <row r="7278" spans="1:18" x14ac:dyDescent="0.3">
      <c r="A7278" s="34" t="str">
        <f>base!J7278</f>
        <v>RS</v>
      </c>
      <c r="B7278" s="34" t="str">
        <f>base!V7278</f>
        <v>62320</v>
      </c>
      <c r="C7278" s="37">
        <v>62</v>
      </c>
      <c r="D7278" s="36">
        <f>base!H7278</f>
        <v>180</v>
      </c>
      <c r="E7278" s="44"/>
      <c r="F7278" s="16">
        <f>base!W7278</f>
        <v>0</v>
      </c>
      <c r="G7278" s="11">
        <f t="shared" si="1130"/>
        <v>0</v>
      </c>
      <c r="H7278" s="11">
        <f t="shared" si="1131"/>
        <v>34.200000000000003</v>
      </c>
      <c r="I7278" s="11">
        <f t="shared" si="1132"/>
        <v>0.19</v>
      </c>
      <c r="J7278" s="12">
        <f t="shared" si="1133"/>
        <v>-34.200000000000003</v>
      </c>
      <c r="K7278" s="17" t="str">
        <f t="shared" si="1138"/>
        <v>Ecart négatif</v>
      </c>
      <c r="L7278" s="16">
        <f>base!X7278</f>
        <v>0</v>
      </c>
      <c r="M7278" s="11">
        <f t="shared" si="1134"/>
        <v>0</v>
      </c>
      <c r="N7278" s="11">
        <f t="shared" si="1135"/>
        <v>0</v>
      </c>
      <c r="O7278" s="11">
        <f t="shared" si="1136"/>
        <v>0</v>
      </c>
      <c r="P7278" s="12">
        <f t="shared" si="1137"/>
        <v>0</v>
      </c>
      <c r="Q7278" s="17" t="str">
        <f t="shared" si="1139"/>
        <v>Pas d'écart</v>
      </c>
    </row>
    <row r="7279" spans="1:18" x14ac:dyDescent="0.3">
      <c r="A7279" s="34" t="str">
        <f>base!J7279</f>
        <v>RM</v>
      </c>
      <c r="B7279" s="34" t="str">
        <f>base!V7279</f>
        <v>06560</v>
      </c>
      <c r="C7279" s="37">
        <v>6</v>
      </c>
      <c r="D7279" s="36">
        <f>base!H7279</f>
        <v>151</v>
      </c>
      <c r="E7279" s="44"/>
      <c r="F7279" s="16">
        <f>base!W7279</f>
        <v>0</v>
      </c>
      <c r="G7279" s="11">
        <f t="shared" si="1130"/>
        <v>0</v>
      </c>
      <c r="H7279" s="11">
        <f t="shared" si="1131"/>
        <v>45.3</v>
      </c>
      <c r="I7279" s="11">
        <f t="shared" si="1132"/>
        <v>0.3</v>
      </c>
      <c r="J7279" s="12">
        <f t="shared" si="1133"/>
        <v>-45.3</v>
      </c>
      <c r="K7279" s="17" t="str">
        <f t="shared" si="1138"/>
        <v>Ecart négatif</v>
      </c>
      <c r="L7279" s="16">
        <f>base!X7279</f>
        <v>0</v>
      </c>
      <c r="M7279" s="11">
        <f t="shared" si="1134"/>
        <v>0</v>
      </c>
      <c r="N7279" s="11">
        <f t="shared" si="1135"/>
        <v>31.709999999999997</v>
      </c>
      <c r="O7279" s="11">
        <f t="shared" si="1136"/>
        <v>0.21</v>
      </c>
      <c r="P7279" s="12">
        <f t="shared" si="1137"/>
        <v>-31.709999999999997</v>
      </c>
      <c r="Q7279" s="17" t="str">
        <f t="shared" si="1139"/>
        <v>Ecart négatif</v>
      </c>
    </row>
    <row r="7280" spans="1:18" x14ac:dyDescent="0.3">
      <c r="A7280" s="34" t="str">
        <f>base!J7280</f>
        <v>RM</v>
      </c>
      <c r="B7280" s="34" t="str">
        <f>base!V7280</f>
        <v>06560</v>
      </c>
      <c r="C7280" s="37">
        <v>6</v>
      </c>
      <c r="D7280" s="36">
        <f>base!H7280</f>
        <v>151</v>
      </c>
      <c r="E7280" s="44"/>
      <c r="F7280" s="16">
        <f>base!W7280</f>
        <v>0</v>
      </c>
      <c r="G7280" s="11">
        <f t="shared" si="1130"/>
        <v>0</v>
      </c>
      <c r="H7280" s="11">
        <f t="shared" si="1131"/>
        <v>45.3</v>
      </c>
      <c r="I7280" s="11">
        <f t="shared" si="1132"/>
        <v>0.3</v>
      </c>
      <c r="J7280" s="12">
        <f t="shared" si="1133"/>
        <v>-45.3</v>
      </c>
      <c r="K7280" s="17" t="str">
        <f t="shared" si="1138"/>
        <v>Ecart négatif</v>
      </c>
      <c r="L7280" s="16">
        <f>base!X7280</f>
        <v>0</v>
      </c>
      <c r="M7280" s="11">
        <f t="shared" si="1134"/>
        <v>0</v>
      </c>
      <c r="N7280" s="11">
        <f t="shared" si="1135"/>
        <v>31.709999999999997</v>
      </c>
      <c r="O7280" s="11">
        <f t="shared" si="1136"/>
        <v>0.21</v>
      </c>
      <c r="P7280" s="12">
        <f t="shared" si="1137"/>
        <v>-31.709999999999997</v>
      </c>
      <c r="Q7280" s="17" t="str">
        <f t="shared" si="1139"/>
        <v>Ecart négatif</v>
      </c>
    </row>
    <row r="7281" spans="1:17" x14ac:dyDescent="0.3">
      <c r="A7281" s="34" t="str">
        <f>base!J7281</f>
        <v>RM</v>
      </c>
      <c r="B7281" s="34" t="str">
        <f>base!V7281</f>
        <v>01000</v>
      </c>
      <c r="C7281" s="37">
        <v>1</v>
      </c>
      <c r="D7281" s="36">
        <f>base!H7281</f>
        <v>70</v>
      </c>
      <c r="E7281" s="44"/>
      <c r="F7281" s="16">
        <f>base!W7281</f>
        <v>0</v>
      </c>
      <c r="G7281" s="11">
        <f t="shared" si="1130"/>
        <v>0</v>
      </c>
      <c r="H7281" s="11">
        <f t="shared" si="1131"/>
        <v>18.2</v>
      </c>
      <c r="I7281" s="11">
        <f t="shared" si="1132"/>
        <v>0.26</v>
      </c>
      <c r="J7281" s="12">
        <f t="shared" si="1133"/>
        <v>-18.2</v>
      </c>
      <c r="K7281" s="17" t="str">
        <f t="shared" si="1138"/>
        <v>Ecart négatif</v>
      </c>
      <c r="L7281" s="16">
        <f>base!X7281</f>
        <v>0</v>
      </c>
      <c r="M7281" s="11">
        <f t="shared" si="1134"/>
        <v>0</v>
      </c>
      <c r="N7281" s="11">
        <f t="shared" si="1135"/>
        <v>0</v>
      </c>
      <c r="O7281" s="11">
        <f t="shared" si="1136"/>
        <v>0</v>
      </c>
      <c r="P7281" s="12">
        <f t="shared" si="1137"/>
        <v>0</v>
      </c>
      <c r="Q7281" s="17" t="str">
        <f t="shared" si="1139"/>
        <v>Pas d'écart</v>
      </c>
    </row>
    <row r="7282" spans="1:17" x14ac:dyDescent="0.3">
      <c r="A7282" s="34" t="str">
        <f>base!J7282</f>
        <v>RM</v>
      </c>
      <c r="B7282" s="34" t="str">
        <f>base!V7282</f>
        <v>56400</v>
      </c>
      <c r="C7282" s="37">
        <v>56</v>
      </c>
      <c r="D7282" s="36">
        <f>base!H7282</f>
        <v>140</v>
      </c>
      <c r="E7282" s="44"/>
      <c r="F7282" s="16">
        <f>base!W7282</f>
        <v>0</v>
      </c>
      <c r="G7282" s="11">
        <f t="shared" si="1130"/>
        <v>0</v>
      </c>
      <c r="H7282" s="11">
        <f t="shared" si="1131"/>
        <v>37.800000000000004</v>
      </c>
      <c r="I7282" s="11">
        <f t="shared" si="1132"/>
        <v>0.27</v>
      </c>
      <c r="J7282" s="12">
        <f t="shared" si="1133"/>
        <v>-37.800000000000004</v>
      </c>
      <c r="K7282" s="17" t="str">
        <f t="shared" si="1138"/>
        <v>Ecart négatif</v>
      </c>
      <c r="L7282" s="16">
        <f>base!X7282</f>
        <v>0</v>
      </c>
      <c r="M7282" s="11">
        <f t="shared" si="1134"/>
        <v>0</v>
      </c>
      <c r="N7282" s="11">
        <f t="shared" si="1135"/>
        <v>0</v>
      </c>
      <c r="O7282" s="11">
        <f t="shared" si="1136"/>
        <v>0</v>
      </c>
      <c r="P7282" s="12">
        <f t="shared" si="1137"/>
        <v>0</v>
      </c>
      <c r="Q7282" s="17" t="str">
        <f t="shared" si="1139"/>
        <v>Pas d'écart</v>
      </c>
    </row>
    <row r="7283" spans="1:17" x14ac:dyDescent="0.3">
      <c r="A7283" s="34" t="str">
        <f>base!J7283</f>
        <v>DLS</v>
      </c>
      <c r="B7283" s="34" t="str">
        <f>base!V7283</f>
        <v>13290</v>
      </c>
      <c r="C7283" s="37">
        <v>13</v>
      </c>
      <c r="D7283" s="36">
        <f>base!H7283</f>
        <v>180</v>
      </c>
      <c r="E7283" s="44"/>
      <c r="F7283" s="16">
        <f>base!W7283</f>
        <v>0</v>
      </c>
      <c r="G7283" s="11">
        <f t="shared" si="1130"/>
        <v>0</v>
      </c>
      <c r="H7283" s="11">
        <f t="shared" si="1131"/>
        <v>52.199999999999996</v>
      </c>
      <c r="I7283" s="11">
        <f t="shared" si="1132"/>
        <v>0.28999999999999998</v>
      </c>
      <c r="J7283" s="12">
        <f t="shared" si="1133"/>
        <v>-52.199999999999996</v>
      </c>
      <c r="K7283" s="17" t="str">
        <f t="shared" si="1138"/>
        <v>Ecart négatif</v>
      </c>
      <c r="L7283" s="16">
        <f>base!X7283</f>
        <v>0</v>
      </c>
      <c r="M7283" s="11">
        <f t="shared" si="1134"/>
        <v>0</v>
      </c>
      <c r="N7283" s="11">
        <f t="shared" si="1135"/>
        <v>34.200000000000003</v>
      </c>
      <c r="O7283" s="11">
        <f t="shared" si="1136"/>
        <v>0.19</v>
      </c>
      <c r="P7283" s="12">
        <f t="shared" si="1137"/>
        <v>-34.200000000000003</v>
      </c>
      <c r="Q7283" s="17" t="str">
        <f t="shared" si="1139"/>
        <v>Ecart négatif</v>
      </c>
    </row>
    <row r="7284" spans="1:17" x14ac:dyDescent="0.3">
      <c r="A7284" s="34" t="str">
        <f>base!J7284</f>
        <v>RS</v>
      </c>
      <c r="B7284" s="34" t="str">
        <f>base!V7284</f>
        <v>06150</v>
      </c>
      <c r="C7284" s="37">
        <v>6</v>
      </c>
      <c r="D7284" s="36">
        <f>base!H7284</f>
        <v>140.19999999999999</v>
      </c>
      <c r="E7284" s="44"/>
      <c r="F7284" s="16">
        <f>base!W7284</f>
        <v>0</v>
      </c>
      <c r="G7284" s="11">
        <f t="shared" si="1130"/>
        <v>0</v>
      </c>
      <c r="H7284" s="11">
        <f t="shared" si="1131"/>
        <v>42.059999999999995</v>
      </c>
      <c r="I7284" s="11">
        <f t="shared" si="1132"/>
        <v>0.3</v>
      </c>
      <c r="J7284" s="12">
        <f t="shared" si="1133"/>
        <v>-42.059999999999995</v>
      </c>
      <c r="K7284" s="17" t="str">
        <f t="shared" si="1138"/>
        <v>Ecart négatif</v>
      </c>
      <c r="L7284" s="16">
        <f>base!X7284</f>
        <v>0</v>
      </c>
      <c r="M7284" s="11">
        <f t="shared" si="1134"/>
        <v>0</v>
      </c>
      <c r="N7284" s="11">
        <f t="shared" si="1135"/>
        <v>29.441999999999997</v>
      </c>
      <c r="O7284" s="11">
        <f t="shared" si="1136"/>
        <v>0.21</v>
      </c>
      <c r="P7284" s="12">
        <f t="shared" si="1137"/>
        <v>-29.441999999999997</v>
      </c>
      <c r="Q7284" s="17" t="str">
        <f t="shared" si="1139"/>
        <v>Ecart négatif</v>
      </c>
    </row>
    <row r="7285" spans="1:17" x14ac:dyDescent="0.3">
      <c r="A7285" s="34" t="str">
        <f>base!J7285</f>
        <v>LS</v>
      </c>
      <c r="B7285" s="34" t="str">
        <f>base!V7285</f>
        <v>76220</v>
      </c>
      <c r="C7285" s="37">
        <v>47</v>
      </c>
      <c r="D7285" s="36">
        <f>base!H7285</f>
        <v>55.05</v>
      </c>
      <c r="E7285" s="44"/>
      <c r="F7285" s="16">
        <f>base!W7285</f>
        <v>9.36</v>
      </c>
      <c r="G7285" s="11">
        <f t="shared" si="1130"/>
        <v>0.17002724795640325</v>
      </c>
      <c r="H7285" s="11">
        <f t="shared" si="1131"/>
        <v>11.560499999999999</v>
      </c>
      <c r="I7285" s="11">
        <f t="shared" si="1132"/>
        <v>0.21</v>
      </c>
      <c r="J7285" s="12">
        <f t="shared" si="1133"/>
        <v>-2.2004999999999999</v>
      </c>
      <c r="K7285" s="17" t="str">
        <f t="shared" si="1138"/>
        <v>Ecart négatif</v>
      </c>
      <c r="L7285" s="16">
        <f>base!X7285</f>
        <v>0</v>
      </c>
      <c r="M7285" s="11">
        <f t="shared" si="1134"/>
        <v>0</v>
      </c>
      <c r="N7285" s="11">
        <f t="shared" si="1135"/>
        <v>9.3584999999999994</v>
      </c>
      <c r="O7285" s="11">
        <f t="shared" si="1136"/>
        <v>0.16999999999999998</v>
      </c>
      <c r="P7285" s="12">
        <f t="shared" si="1137"/>
        <v>-9.3584999999999994</v>
      </c>
      <c r="Q7285" s="17" t="str">
        <f t="shared" si="1139"/>
        <v>Ecart négatif</v>
      </c>
    </row>
    <row r="7286" spans="1:17" x14ac:dyDescent="0.3">
      <c r="A7286" s="34" t="str">
        <f>base!J7286</f>
        <v>LS</v>
      </c>
      <c r="B7286" s="34" t="str">
        <f>base!V7286</f>
        <v>77170</v>
      </c>
      <c r="C7286" s="37">
        <v>77</v>
      </c>
      <c r="D7286" s="36">
        <f>base!H7286</f>
        <v>90</v>
      </c>
      <c r="E7286" s="44"/>
      <c r="F7286" s="16">
        <f>base!W7286</f>
        <v>0</v>
      </c>
      <c r="G7286" s="11">
        <f t="shared" si="1130"/>
        <v>0</v>
      </c>
      <c r="H7286" s="11">
        <f t="shared" si="1131"/>
        <v>0</v>
      </c>
      <c r="I7286" s="11">
        <f t="shared" si="1132"/>
        <v>0</v>
      </c>
      <c r="J7286" s="12">
        <f t="shared" si="1133"/>
        <v>0</v>
      </c>
      <c r="K7286" s="17" t="str">
        <f t="shared" si="1138"/>
        <v>Pas d'écart</v>
      </c>
      <c r="L7286" s="16">
        <f>base!X7286</f>
        <v>0</v>
      </c>
      <c r="M7286" s="11">
        <f t="shared" si="1134"/>
        <v>0</v>
      </c>
      <c r="N7286" s="11">
        <f t="shared" si="1135"/>
        <v>0</v>
      </c>
      <c r="O7286" s="11">
        <f t="shared" si="1136"/>
        <v>0</v>
      </c>
      <c r="P7286" s="12">
        <f t="shared" si="1137"/>
        <v>0</v>
      </c>
      <c r="Q7286" s="17" t="str">
        <f t="shared" si="1139"/>
        <v>Pas d'écart</v>
      </c>
    </row>
    <row r="7287" spans="1:17" x14ac:dyDescent="0.3">
      <c r="A7287" s="34" t="str">
        <f>base!J7287</f>
        <v>RM</v>
      </c>
      <c r="B7287" s="34" t="str">
        <f>base!V7287</f>
        <v>25510</v>
      </c>
      <c r="C7287" s="37">
        <v>25</v>
      </c>
      <c r="D7287" s="36">
        <f>base!H7287</f>
        <v>151</v>
      </c>
      <c r="E7287" s="44"/>
      <c r="F7287" s="16">
        <f>base!W7287</f>
        <v>0</v>
      </c>
      <c r="G7287" s="11">
        <f t="shared" si="1130"/>
        <v>0</v>
      </c>
      <c r="H7287" s="11">
        <f t="shared" si="1131"/>
        <v>36.24</v>
      </c>
      <c r="I7287" s="11">
        <f t="shared" si="1132"/>
        <v>0.24000000000000002</v>
      </c>
      <c r="J7287" s="12">
        <f t="shared" si="1133"/>
        <v>-36.24</v>
      </c>
      <c r="K7287" s="17" t="str">
        <f t="shared" si="1138"/>
        <v>Ecart négatif</v>
      </c>
      <c r="L7287" s="16">
        <f>base!X7287</f>
        <v>0</v>
      </c>
      <c r="M7287" s="11">
        <f t="shared" si="1134"/>
        <v>0</v>
      </c>
      <c r="N7287" s="11">
        <f t="shared" si="1135"/>
        <v>18.12</v>
      </c>
      <c r="O7287" s="11">
        <f t="shared" si="1136"/>
        <v>0.12000000000000001</v>
      </c>
      <c r="P7287" s="12">
        <f t="shared" si="1137"/>
        <v>-18.12</v>
      </c>
      <c r="Q7287" s="17" t="str">
        <f t="shared" si="1139"/>
        <v>Ecart négatif</v>
      </c>
    </row>
    <row r="7288" spans="1:17" x14ac:dyDescent="0.3">
      <c r="A7288" s="34" t="str">
        <f>base!J7288</f>
        <v>DLS</v>
      </c>
      <c r="B7288" s="34" t="str">
        <f>base!V7288</f>
        <v>67230</v>
      </c>
      <c r="C7288" s="37">
        <v>67</v>
      </c>
      <c r="D7288" s="36">
        <f>base!H7288</f>
        <v>67</v>
      </c>
      <c r="E7288" s="44"/>
      <c r="F7288" s="16">
        <f>base!W7288</f>
        <v>19.43</v>
      </c>
      <c r="G7288" s="11">
        <f t="shared" si="1130"/>
        <v>0.28999999999999998</v>
      </c>
      <c r="H7288" s="11">
        <f t="shared" si="1131"/>
        <v>19.43</v>
      </c>
      <c r="I7288" s="11">
        <f t="shared" si="1132"/>
        <v>0.28999999999999998</v>
      </c>
      <c r="J7288" s="12">
        <f t="shared" si="1133"/>
        <v>0</v>
      </c>
      <c r="K7288" s="17" t="str">
        <f t="shared" si="1138"/>
        <v>Pas d'écart</v>
      </c>
      <c r="L7288" s="16">
        <f>base!X7288</f>
        <v>0</v>
      </c>
      <c r="M7288" s="11">
        <f t="shared" si="1134"/>
        <v>0</v>
      </c>
      <c r="N7288" s="11">
        <f t="shared" si="1135"/>
        <v>5.36</v>
      </c>
      <c r="O7288" s="11">
        <f t="shared" si="1136"/>
        <v>0.08</v>
      </c>
      <c r="P7288" s="12">
        <f t="shared" si="1137"/>
        <v>-5.36</v>
      </c>
      <c r="Q7288" s="17" t="str">
        <f t="shared" si="1139"/>
        <v>Ecart négatif</v>
      </c>
    </row>
    <row r="7289" spans="1:17" x14ac:dyDescent="0.3">
      <c r="A7289" s="34" t="str">
        <f>base!J7289</f>
        <v>DRS</v>
      </c>
      <c r="B7289" s="34" t="str">
        <f>base!V7289</f>
        <v>76000</v>
      </c>
      <c r="C7289" s="37">
        <v>76</v>
      </c>
      <c r="D7289" s="36">
        <f>base!H7289</f>
        <v>140</v>
      </c>
      <c r="E7289" s="44"/>
      <c r="F7289" s="16">
        <f>base!W7289</f>
        <v>0</v>
      </c>
      <c r="G7289" s="11">
        <f t="shared" si="1130"/>
        <v>0</v>
      </c>
      <c r="H7289" s="11">
        <f t="shared" si="1131"/>
        <v>23.8</v>
      </c>
      <c r="I7289" s="11">
        <f t="shared" si="1132"/>
        <v>0.17</v>
      </c>
      <c r="J7289" s="12">
        <f t="shared" si="1133"/>
        <v>-23.8</v>
      </c>
      <c r="K7289" s="17" t="str">
        <f t="shared" si="1138"/>
        <v>Ecart négatif</v>
      </c>
      <c r="L7289" s="16">
        <f>base!X7289</f>
        <v>0</v>
      </c>
      <c r="M7289" s="11">
        <f t="shared" si="1134"/>
        <v>0</v>
      </c>
      <c r="N7289" s="11">
        <f t="shared" si="1135"/>
        <v>23.8</v>
      </c>
      <c r="O7289" s="11">
        <f t="shared" si="1136"/>
        <v>0.17</v>
      </c>
      <c r="P7289" s="12">
        <f t="shared" si="1137"/>
        <v>-23.8</v>
      </c>
      <c r="Q7289" s="17" t="str">
        <f t="shared" si="1139"/>
        <v>Ecart négatif</v>
      </c>
    </row>
    <row r="7290" spans="1:17" x14ac:dyDescent="0.3">
      <c r="A7290" s="34" t="str">
        <f>base!J7290</f>
        <v>DRS</v>
      </c>
      <c r="B7290" s="34" t="str">
        <f>base!V7290</f>
        <v>75002</v>
      </c>
      <c r="C7290" s="37">
        <v>75</v>
      </c>
      <c r="D7290" s="36">
        <f>base!H7290</f>
        <v>33.119999999999997</v>
      </c>
      <c r="E7290" s="44"/>
      <c r="F7290" s="16">
        <f>base!W7290</f>
        <v>0</v>
      </c>
      <c r="G7290" s="11">
        <f t="shared" si="1130"/>
        <v>0</v>
      </c>
      <c r="H7290" s="11">
        <f t="shared" si="1131"/>
        <v>0</v>
      </c>
      <c r="I7290" s="11">
        <f t="shared" si="1132"/>
        <v>0</v>
      </c>
      <c r="J7290" s="12">
        <f t="shared" si="1133"/>
        <v>0</v>
      </c>
      <c r="K7290" s="17" t="str">
        <f t="shared" si="1138"/>
        <v>Pas d'écart</v>
      </c>
      <c r="L7290" s="16">
        <f>base!X7290</f>
        <v>0</v>
      </c>
      <c r="M7290" s="11">
        <f t="shared" si="1134"/>
        <v>0</v>
      </c>
      <c r="N7290" s="11">
        <f t="shared" si="1135"/>
        <v>0</v>
      </c>
      <c r="O7290" s="11">
        <f t="shared" si="1136"/>
        <v>0</v>
      </c>
      <c r="P7290" s="12">
        <f t="shared" si="1137"/>
        <v>0</v>
      </c>
      <c r="Q7290" s="17" t="str">
        <f t="shared" si="1139"/>
        <v>Pas d'écart</v>
      </c>
    </row>
    <row r="7291" spans="1:17" x14ac:dyDescent="0.3">
      <c r="A7291" s="34" t="str">
        <f>base!J7291</f>
        <v>Stockage</v>
      </c>
      <c r="B7291" s="34" t="str">
        <f>base!V7291</f>
        <v/>
      </c>
      <c r="C7291" s="40" t="s">
        <v>11</v>
      </c>
      <c r="D7291" s="36">
        <f>base!H7291</f>
        <v>0</v>
      </c>
      <c r="E7291" s="44"/>
      <c r="F7291" s="16">
        <f>base!W7291</f>
        <v>0</v>
      </c>
      <c r="G7291" s="11" t="e">
        <f t="shared" si="1130"/>
        <v>#DIV/0!</v>
      </c>
      <c r="H7291" s="11" t="e">
        <f t="shared" si="1131"/>
        <v>#N/A</v>
      </c>
      <c r="I7291" s="11" t="e">
        <f t="shared" si="1132"/>
        <v>#N/A</v>
      </c>
      <c r="J7291" s="12" t="e">
        <f t="shared" si="1133"/>
        <v>#N/A</v>
      </c>
      <c r="K7291" s="17" t="e">
        <f t="shared" si="1138"/>
        <v>#N/A</v>
      </c>
      <c r="L7291" s="16">
        <f>base!X7291</f>
        <v>0</v>
      </c>
      <c r="M7291" s="11" t="e">
        <f t="shared" si="1134"/>
        <v>#DIV/0!</v>
      </c>
      <c r="N7291" s="11" t="e">
        <f t="shared" si="1135"/>
        <v>#N/A</v>
      </c>
      <c r="O7291" s="11" t="e">
        <f t="shared" si="1136"/>
        <v>#N/A</v>
      </c>
      <c r="P7291" s="12" t="e">
        <f t="shared" si="1137"/>
        <v>#N/A</v>
      </c>
      <c r="Q7291" s="17" t="e">
        <f t="shared" si="1139"/>
        <v>#N/A</v>
      </c>
    </row>
    <row r="7292" spans="1:17" x14ac:dyDescent="0.3">
      <c r="A7292" s="34">
        <f>base!J7292</f>
        <v>0</v>
      </c>
      <c r="B7292" s="34">
        <f>base!V7292</f>
        <v>0</v>
      </c>
      <c r="C7292" s="40" t="s">
        <v>11</v>
      </c>
      <c r="D7292" s="36">
        <f>base!H7292</f>
        <v>0</v>
      </c>
      <c r="E7292" s="44"/>
      <c r="F7292" s="16">
        <f>base!W7292</f>
        <v>0</v>
      </c>
      <c r="G7292" s="11" t="e">
        <f t="shared" si="1130"/>
        <v>#DIV/0!</v>
      </c>
      <c r="H7292" s="11" t="e">
        <f t="shared" si="1131"/>
        <v>#N/A</v>
      </c>
      <c r="I7292" s="11" t="e">
        <f t="shared" si="1132"/>
        <v>#N/A</v>
      </c>
      <c r="J7292" s="12" t="e">
        <f t="shared" si="1133"/>
        <v>#N/A</v>
      </c>
      <c r="K7292" s="17" t="e">
        <f t="shared" si="1138"/>
        <v>#N/A</v>
      </c>
      <c r="L7292" s="16">
        <f>base!X7292</f>
        <v>0</v>
      </c>
      <c r="M7292" s="11" t="e">
        <f t="shared" si="1134"/>
        <v>#DIV/0!</v>
      </c>
      <c r="N7292" s="11" t="e">
        <f t="shared" si="1135"/>
        <v>#N/A</v>
      </c>
      <c r="O7292" s="11" t="e">
        <f t="shared" si="1136"/>
        <v>#N/A</v>
      </c>
      <c r="P7292" s="12" t="e">
        <f t="shared" si="1137"/>
        <v>#N/A</v>
      </c>
      <c r="Q7292" s="17" t="e">
        <f t="shared" si="1139"/>
        <v>#N/A</v>
      </c>
    </row>
    <row r="7293" spans="1:17" x14ac:dyDescent="0.3">
      <c r="A7293" s="34">
        <f>base!J7293</f>
        <v>0</v>
      </c>
      <c r="B7293" s="34">
        <f>base!V7293</f>
        <v>0</v>
      </c>
      <c r="C7293" s="40" t="s">
        <v>11</v>
      </c>
      <c r="D7293" s="36">
        <f>base!H7293</f>
        <v>0</v>
      </c>
      <c r="E7293" s="44"/>
      <c r="F7293" s="16">
        <f>base!W7293</f>
        <v>0</v>
      </c>
      <c r="G7293" s="11" t="e">
        <f t="shared" si="1130"/>
        <v>#DIV/0!</v>
      </c>
      <c r="H7293" s="11" t="e">
        <f t="shared" si="1131"/>
        <v>#N/A</v>
      </c>
      <c r="I7293" s="11" t="e">
        <f t="shared" si="1132"/>
        <v>#N/A</v>
      </c>
      <c r="J7293" s="12" t="e">
        <f t="shared" si="1133"/>
        <v>#N/A</v>
      </c>
      <c r="K7293" s="17" t="e">
        <f t="shared" si="1138"/>
        <v>#N/A</v>
      </c>
      <c r="L7293" s="16">
        <f>base!X7293</f>
        <v>0</v>
      </c>
      <c r="M7293" s="11" t="e">
        <f t="shared" si="1134"/>
        <v>#DIV/0!</v>
      </c>
      <c r="N7293" s="11" t="e">
        <f t="shared" si="1135"/>
        <v>#N/A</v>
      </c>
      <c r="O7293" s="11" t="e">
        <f t="shared" si="1136"/>
        <v>#N/A</v>
      </c>
      <c r="P7293" s="12" t="e">
        <f t="shared" si="1137"/>
        <v>#N/A</v>
      </c>
      <c r="Q7293" s="17" t="e">
        <f t="shared" si="1139"/>
        <v>#N/A</v>
      </c>
    </row>
    <row r="7294" spans="1:17" x14ac:dyDescent="0.3">
      <c r="A7294" s="34">
        <f>base!J7294</f>
        <v>0</v>
      </c>
      <c r="B7294" s="34">
        <f>base!V7294</f>
        <v>0</v>
      </c>
      <c r="C7294" s="40" t="s">
        <v>11</v>
      </c>
      <c r="D7294" s="36">
        <f>base!H7294</f>
        <v>0</v>
      </c>
      <c r="E7294" s="44"/>
      <c r="F7294" s="16">
        <f>base!W7294</f>
        <v>0</v>
      </c>
      <c r="G7294" s="11" t="e">
        <f t="shared" si="1130"/>
        <v>#DIV/0!</v>
      </c>
      <c r="H7294" s="11" t="e">
        <f t="shared" si="1131"/>
        <v>#N/A</v>
      </c>
      <c r="I7294" s="11" t="e">
        <f t="shared" si="1132"/>
        <v>#N/A</v>
      </c>
      <c r="J7294" s="12" t="e">
        <f t="shared" si="1133"/>
        <v>#N/A</v>
      </c>
      <c r="K7294" s="17" t="e">
        <f t="shared" si="1138"/>
        <v>#N/A</v>
      </c>
      <c r="L7294" s="16">
        <f>base!X7294</f>
        <v>0</v>
      </c>
      <c r="M7294" s="11" t="e">
        <f t="shared" si="1134"/>
        <v>#DIV/0!</v>
      </c>
      <c r="N7294" s="11" t="e">
        <f t="shared" si="1135"/>
        <v>#N/A</v>
      </c>
      <c r="O7294" s="11" t="e">
        <f t="shared" si="1136"/>
        <v>#N/A</v>
      </c>
      <c r="P7294" s="12" t="e">
        <f t="shared" si="1137"/>
        <v>#N/A</v>
      </c>
      <c r="Q7294" s="17" t="e">
        <f t="shared" si="1139"/>
        <v>#N/A</v>
      </c>
    </row>
    <row r="7295" spans="1:17" x14ac:dyDescent="0.3">
      <c r="A7295" s="34">
        <f>base!J7295</f>
        <v>0</v>
      </c>
      <c r="B7295" s="34">
        <f>base!V7295</f>
        <v>0</v>
      </c>
      <c r="C7295" s="40" t="s">
        <v>11</v>
      </c>
      <c r="D7295" s="36">
        <f>base!H7295</f>
        <v>0</v>
      </c>
      <c r="E7295" s="44"/>
      <c r="F7295" s="16">
        <f>base!W7295</f>
        <v>0</v>
      </c>
      <c r="G7295" s="11" t="e">
        <f t="shared" si="1130"/>
        <v>#DIV/0!</v>
      </c>
      <c r="H7295" s="11" t="e">
        <f t="shared" si="1131"/>
        <v>#N/A</v>
      </c>
      <c r="I7295" s="11" t="e">
        <f t="shared" si="1132"/>
        <v>#N/A</v>
      </c>
      <c r="J7295" s="12" t="e">
        <f t="shared" si="1133"/>
        <v>#N/A</v>
      </c>
      <c r="K7295" s="17" t="e">
        <f t="shared" si="1138"/>
        <v>#N/A</v>
      </c>
      <c r="L7295" s="16">
        <f>base!X7295</f>
        <v>0</v>
      </c>
      <c r="M7295" s="11" t="e">
        <f t="shared" si="1134"/>
        <v>#DIV/0!</v>
      </c>
      <c r="N7295" s="11" t="e">
        <f t="shared" si="1135"/>
        <v>#N/A</v>
      </c>
      <c r="O7295" s="11" t="e">
        <f t="shared" si="1136"/>
        <v>#N/A</v>
      </c>
      <c r="P7295" s="12" t="e">
        <f t="shared" si="1137"/>
        <v>#N/A</v>
      </c>
      <c r="Q7295" s="17" t="e">
        <f t="shared" si="1139"/>
        <v>#N/A</v>
      </c>
    </row>
    <row r="7296" spans="1:17" x14ac:dyDescent="0.3">
      <c r="A7296" s="34">
        <f>base!J7296</f>
        <v>0</v>
      </c>
      <c r="B7296" s="34">
        <f>base!V7296</f>
        <v>0</v>
      </c>
      <c r="C7296" s="40" t="s">
        <v>11</v>
      </c>
      <c r="D7296" s="36">
        <f>base!H7296</f>
        <v>0</v>
      </c>
      <c r="E7296" s="44"/>
      <c r="F7296" s="16">
        <f>base!W7296</f>
        <v>0</v>
      </c>
      <c r="G7296" s="11" t="e">
        <f t="shared" si="1130"/>
        <v>#DIV/0!</v>
      </c>
      <c r="H7296" s="11" t="e">
        <f t="shared" si="1131"/>
        <v>#N/A</v>
      </c>
      <c r="I7296" s="11" t="e">
        <f t="shared" si="1132"/>
        <v>#N/A</v>
      </c>
      <c r="J7296" s="12" t="e">
        <f t="shared" si="1133"/>
        <v>#N/A</v>
      </c>
      <c r="K7296" s="17" t="e">
        <f t="shared" si="1138"/>
        <v>#N/A</v>
      </c>
      <c r="L7296" s="16">
        <f>base!X7296</f>
        <v>0</v>
      </c>
      <c r="M7296" s="11" t="e">
        <f t="shared" si="1134"/>
        <v>#DIV/0!</v>
      </c>
      <c r="N7296" s="11" t="e">
        <f t="shared" si="1135"/>
        <v>#N/A</v>
      </c>
      <c r="O7296" s="11" t="e">
        <f t="shared" si="1136"/>
        <v>#N/A</v>
      </c>
      <c r="P7296" s="12" t="e">
        <f t="shared" si="1137"/>
        <v>#N/A</v>
      </c>
      <c r="Q7296" s="17" t="e">
        <f t="shared" si="1139"/>
        <v>#N/A</v>
      </c>
    </row>
    <row r="7297" spans="1:17" x14ac:dyDescent="0.3">
      <c r="A7297" s="34">
        <f>base!J7297</f>
        <v>0</v>
      </c>
      <c r="B7297" s="34">
        <f>base!V7297</f>
        <v>0</v>
      </c>
      <c r="C7297" s="40" t="s">
        <v>11</v>
      </c>
      <c r="D7297" s="36">
        <f>base!H7297</f>
        <v>0</v>
      </c>
      <c r="E7297" s="44"/>
      <c r="F7297" s="16">
        <f>base!W7297</f>
        <v>0</v>
      </c>
      <c r="G7297" s="11" t="e">
        <f t="shared" si="1130"/>
        <v>#DIV/0!</v>
      </c>
      <c r="H7297" s="11" t="e">
        <f t="shared" si="1131"/>
        <v>#N/A</v>
      </c>
      <c r="I7297" s="11" t="e">
        <f t="shared" si="1132"/>
        <v>#N/A</v>
      </c>
      <c r="J7297" s="12" t="e">
        <f t="shared" si="1133"/>
        <v>#N/A</v>
      </c>
      <c r="K7297" s="17" t="e">
        <f t="shared" si="1138"/>
        <v>#N/A</v>
      </c>
      <c r="L7297" s="16">
        <f>base!X7297</f>
        <v>0</v>
      </c>
      <c r="M7297" s="11" t="e">
        <f t="shared" si="1134"/>
        <v>#DIV/0!</v>
      </c>
      <c r="N7297" s="11" t="e">
        <f t="shared" si="1135"/>
        <v>#N/A</v>
      </c>
      <c r="O7297" s="11" t="e">
        <f t="shared" si="1136"/>
        <v>#N/A</v>
      </c>
      <c r="P7297" s="12" t="e">
        <f t="shared" si="1137"/>
        <v>#N/A</v>
      </c>
      <c r="Q7297" s="17" t="e">
        <f t="shared" si="1139"/>
        <v>#N/A</v>
      </c>
    </row>
    <row r="7298" spans="1:17" x14ac:dyDescent="0.3">
      <c r="A7298" s="34">
        <f>base!J7298</f>
        <v>0</v>
      </c>
      <c r="B7298" s="34">
        <f>base!V7298</f>
        <v>0</v>
      </c>
      <c r="C7298" s="40" t="s">
        <v>11</v>
      </c>
      <c r="D7298" s="36">
        <f>base!H7298</f>
        <v>0</v>
      </c>
      <c r="E7298" s="44"/>
      <c r="F7298" s="16">
        <f>base!W7298</f>
        <v>0</v>
      </c>
      <c r="G7298" s="11" t="e">
        <f t="shared" ref="G7298:G7361" si="1140">F7298/D7298</f>
        <v>#DIV/0!</v>
      </c>
      <c r="H7298" s="11" t="e">
        <f t="shared" ref="H7298:H7361" si="1141">VLOOKUP(C7298,tout_cout_traction,2,FALSE)*D7298</f>
        <v>#N/A</v>
      </c>
      <c r="I7298" s="11" t="e">
        <f t="shared" ref="I7298:I7361" si="1142">H7298/D7298</f>
        <v>#N/A</v>
      </c>
      <c r="J7298" s="12" t="e">
        <f t="shared" ref="J7298:J7361" si="1143">F7298-H7298</f>
        <v>#N/A</v>
      </c>
      <c r="K7298" s="17" t="e">
        <f t="shared" si="1138"/>
        <v>#N/A</v>
      </c>
      <c r="L7298" s="16">
        <f>base!X7298</f>
        <v>0</v>
      </c>
      <c r="M7298" s="11" t="e">
        <f t="shared" ref="M7298:M7361" si="1144">L7298/D7298</f>
        <v>#DIV/0!</v>
      </c>
      <c r="N7298" s="11" t="e">
        <f t="shared" ref="N7298:N7361" si="1145">VLOOKUP(C7298,tout_cout_traction,3,FALSE)*D7298</f>
        <v>#N/A</v>
      </c>
      <c r="O7298" s="11" t="e">
        <f t="shared" ref="O7298:O7361" si="1146">N7298/D7298</f>
        <v>#N/A</v>
      </c>
      <c r="P7298" s="12" t="e">
        <f t="shared" ref="P7298:P7361" si="1147">L7298-N7298</f>
        <v>#N/A</v>
      </c>
      <c r="Q7298" s="17" t="e">
        <f t="shared" si="1139"/>
        <v>#N/A</v>
      </c>
    </row>
    <row r="7299" spans="1:17" x14ac:dyDescent="0.3">
      <c r="A7299" s="34">
        <f>base!J7299</f>
        <v>0</v>
      </c>
      <c r="B7299" s="34">
        <f>base!V7299</f>
        <v>0</v>
      </c>
      <c r="C7299" s="40" t="s">
        <v>11</v>
      </c>
      <c r="D7299" s="36">
        <f>base!H7299</f>
        <v>0</v>
      </c>
      <c r="E7299" s="44"/>
      <c r="F7299" s="16">
        <f>base!W7299</f>
        <v>0</v>
      </c>
      <c r="G7299" s="11" t="e">
        <f t="shared" si="1140"/>
        <v>#DIV/0!</v>
      </c>
      <c r="H7299" s="11" t="e">
        <f t="shared" si="1141"/>
        <v>#N/A</v>
      </c>
      <c r="I7299" s="11" t="e">
        <f t="shared" si="1142"/>
        <v>#N/A</v>
      </c>
      <c r="J7299" s="12" t="e">
        <f t="shared" si="1143"/>
        <v>#N/A</v>
      </c>
      <c r="K7299" s="17" t="e">
        <f t="shared" ref="K7299:K7362" si="1148">IF(H7299=F7299,"Pas d'écart",IF(H7299&lt;F7299,"Ecart positif",IF(H7299&gt;F7299,"Ecart négatif")))</f>
        <v>#N/A</v>
      </c>
      <c r="L7299" s="16">
        <f>base!X7299</f>
        <v>0</v>
      </c>
      <c r="M7299" s="11" t="e">
        <f t="shared" si="1144"/>
        <v>#DIV/0!</v>
      </c>
      <c r="N7299" s="11" t="e">
        <f t="shared" si="1145"/>
        <v>#N/A</v>
      </c>
      <c r="O7299" s="11" t="e">
        <f t="shared" si="1146"/>
        <v>#N/A</v>
      </c>
      <c r="P7299" s="12" t="e">
        <f t="shared" si="1147"/>
        <v>#N/A</v>
      </c>
      <c r="Q7299" s="17" t="e">
        <f t="shared" ref="Q7299:Q7362" si="1149">IF(N7299=L7299,"Pas d'écart",IF(N7299&lt;L7299,"Ecart positif",IF(N7299&gt;L7299,"Ecart négatif")))</f>
        <v>#N/A</v>
      </c>
    </row>
    <row r="7300" spans="1:17" x14ac:dyDescent="0.3">
      <c r="A7300" s="34">
        <f>base!J7300</f>
        <v>0</v>
      </c>
      <c r="B7300" s="34">
        <f>base!V7300</f>
        <v>0</v>
      </c>
      <c r="C7300" s="40" t="s">
        <v>11</v>
      </c>
      <c r="D7300" s="36">
        <f>base!H7300</f>
        <v>0</v>
      </c>
      <c r="E7300" s="44"/>
      <c r="F7300" s="16">
        <f>base!W7300</f>
        <v>0</v>
      </c>
      <c r="G7300" s="11" t="e">
        <f t="shared" si="1140"/>
        <v>#DIV/0!</v>
      </c>
      <c r="H7300" s="11" t="e">
        <f t="shared" si="1141"/>
        <v>#N/A</v>
      </c>
      <c r="I7300" s="11" t="e">
        <f t="shared" si="1142"/>
        <v>#N/A</v>
      </c>
      <c r="J7300" s="12" t="e">
        <f t="shared" si="1143"/>
        <v>#N/A</v>
      </c>
      <c r="K7300" s="17" t="e">
        <f t="shared" si="1148"/>
        <v>#N/A</v>
      </c>
      <c r="L7300" s="16">
        <f>base!X7300</f>
        <v>0</v>
      </c>
      <c r="M7300" s="11" t="e">
        <f t="shared" si="1144"/>
        <v>#DIV/0!</v>
      </c>
      <c r="N7300" s="11" t="e">
        <f t="shared" si="1145"/>
        <v>#N/A</v>
      </c>
      <c r="O7300" s="11" t="e">
        <f t="shared" si="1146"/>
        <v>#N/A</v>
      </c>
      <c r="P7300" s="12" t="e">
        <f t="shared" si="1147"/>
        <v>#N/A</v>
      </c>
      <c r="Q7300" s="17" t="e">
        <f t="shared" si="1149"/>
        <v>#N/A</v>
      </c>
    </row>
    <row r="7301" spans="1:17" x14ac:dyDescent="0.3">
      <c r="A7301" s="34">
        <f>base!J7301</f>
        <v>0</v>
      </c>
      <c r="B7301" s="34">
        <f>base!V7301</f>
        <v>0</v>
      </c>
      <c r="C7301" s="40" t="s">
        <v>11</v>
      </c>
      <c r="D7301" s="36">
        <f>base!H7301</f>
        <v>0</v>
      </c>
      <c r="E7301" s="44"/>
      <c r="F7301" s="16">
        <f>base!W7301</f>
        <v>0</v>
      </c>
      <c r="G7301" s="11" t="e">
        <f t="shared" si="1140"/>
        <v>#DIV/0!</v>
      </c>
      <c r="H7301" s="11" t="e">
        <f t="shared" si="1141"/>
        <v>#N/A</v>
      </c>
      <c r="I7301" s="11" t="e">
        <f t="shared" si="1142"/>
        <v>#N/A</v>
      </c>
      <c r="J7301" s="12" t="e">
        <f t="shared" si="1143"/>
        <v>#N/A</v>
      </c>
      <c r="K7301" s="17" t="e">
        <f t="shared" si="1148"/>
        <v>#N/A</v>
      </c>
      <c r="L7301" s="16">
        <f>base!X7301</f>
        <v>0</v>
      </c>
      <c r="M7301" s="11" t="e">
        <f t="shared" si="1144"/>
        <v>#DIV/0!</v>
      </c>
      <c r="N7301" s="11" t="e">
        <f t="shared" si="1145"/>
        <v>#N/A</v>
      </c>
      <c r="O7301" s="11" t="e">
        <f t="shared" si="1146"/>
        <v>#N/A</v>
      </c>
      <c r="P7301" s="12" t="e">
        <f t="shared" si="1147"/>
        <v>#N/A</v>
      </c>
      <c r="Q7301" s="17" t="e">
        <f t="shared" si="1149"/>
        <v>#N/A</v>
      </c>
    </row>
    <row r="7302" spans="1:17" x14ac:dyDescent="0.3">
      <c r="A7302" s="34">
        <f>base!J7302</f>
        <v>0</v>
      </c>
      <c r="B7302" s="34">
        <f>base!V7302</f>
        <v>0</v>
      </c>
      <c r="C7302" s="40" t="s">
        <v>11</v>
      </c>
      <c r="D7302" s="36">
        <f>base!H7302</f>
        <v>0</v>
      </c>
      <c r="E7302" s="44"/>
      <c r="F7302" s="16">
        <f>base!W7302</f>
        <v>0</v>
      </c>
      <c r="G7302" s="11" t="e">
        <f t="shared" si="1140"/>
        <v>#DIV/0!</v>
      </c>
      <c r="H7302" s="11" t="e">
        <f t="shared" si="1141"/>
        <v>#N/A</v>
      </c>
      <c r="I7302" s="11" t="e">
        <f t="shared" si="1142"/>
        <v>#N/A</v>
      </c>
      <c r="J7302" s="12" t="e">
        <f t="shared" si="1143"/>
        <v>#N/A</v>
      </c>
      <c r="K7302" s="17" t="e">
        <f t="shared" si="1148"/>
        <v>#N/A</v>
      </c>
      <c r="L7302" s="16">
        <f>base!X7302</f>
        <v>0</v>
      </c>
      <c r="M7302" s="11" t="e">
        <f t="shared" si="1144"/>
        <v>#DIV/0!</v>
      </c>
      <c r="N7302" s="11" t="e">
        <f t="shared" si="1145"/>
        <v>#N/A</v>
      </c>
      <c r="O7302" s="11" t="e">
        <f t="shared" si="1146"/>
        <v>#N/A</v>
      </c>
      <c r="P7302" s="12" t="e">
        <f t="shared" si="1147"/>
        <v>#N/A</v>
      </c>
      <c r="Q7302" s="17" t="e">
        <f t="shared" si="1149"/>
        <v>#N/A</v>
      </c>
    </row>
    <row r="7303" spans="1:17" x14ac:dyDescent="0.3">
      <c r="A7303" s="34">
        <f>base!J7303</f>
        <v>0</v>
      </c>
      <c r="B7303" s="34">
        <f>base!V7303</f>
        <v>0</v>
      </c>
      <c r="C7303" s="40" t="s">
        <v>11</v>
      </c>
      <c r="D7303" s="36">
        <f>base!H7303</f>
        <v>0</v>
      </c>
      <c r="E7303" s="44"/>
      <c r="F7303" s="16">
        <f>base!W7303</f>
        <v>0</v>
      </c>
      <c r="G7303" s="11" t="e">
        <f t="shared" si="1140"/>
        <v>#DIV/0!</v>
      </c>
      <c r="H7303" s="11" t="e">
        <f t="shared" si="1141"/>
        <v>#N/A</v>
      </c>
      <c r="I7303" s="11" t="e">
        <f t="shared" si="1142"/>
        <v>#N/A</v>
      </c>
      <c r="J7303" s="12" t="e">
        <f t="shared" si="1143"/>
        <v>#N/A</v>
      </c>
      <c r="K7303" s="17" t="e">
        <f t="shared" si="1148"/>
        <v>#N/A</v>
      </c>
      <c r="L7303" s="16">
        <f>base!X7303</f>
        <v>0</v>
      </c>
      <c r="M7303" s="11" t="e">
        <f t="shared" si="1144"/>
        <v>#DIV/0!</v>
      </c>
      <c r="N7303" s="11" t="e">
        <f t="shared" si="1145"/>
        <v>#N/A</v>
      </c>
      <c r="O7303" s="11" t="e">
        <f t="shared" si="1146"/>
        <v>#N/A</v>
      </c>
      <c r="P7303" s="12" t="e">
        <f t="shared" si="1147"/>
        <v>#N/A</v>
      </c>
      <c r="Q7303" s="17" t="e">
        <f t="shared" si="1149"/>
        <v>#N/A</v>
      </c>
    </row>
    <row r="7304" spans="1:17" x14ac:dyDescent="0.3">
      <c r="A7304" s="34">
        <f>base!J7304</f>
        <v>0</v>
      </c>
      <c r="B7304" s="34">
        <f>base!V7304</f>
        <v>0</v>
      </c>
      <c r="C7304" s="40" t="s">
        <v>11</v>
      </c>
      <c r="D7304" s="36">
        <f>base!H7304</f>
        <v>0</v>
      </c>
      <c r="E7304" s="44"/>
      <c r="F7304" s="16">
        <f>base!W7304</f>
        <v>0</v>
      </c>
      <c r="G7304" s="11" t="e">
        <f t="shared" si="1140"/>
        <v>#DIV/0!</v>
      </c>
      <c r="H7304" s="11" t="e">
        <f t="shared" si="1141"/>
        <v>#N/A</v>
      </c>
      <c r="I7304" s="11" t="e">
        <f t="shared" si="1142"/>
        <v>#N/A</v>
      </c>
      <c r="J7304" s="12" t="e">
        <f t="shared" si="1143"/>
        <v>#N/A</v>
      </c>
      <c r="K7304" s="17" t="e">
        <f t="shared" si="1148"/>
        <v>#N/A</v>
      </c>
      <c r="L7304" s="16">
        <f>base!X7304</f>
        <v>0</v>
      </c>
      <c r="M7304" s="11" t="e">
        <f t="shared" si="1144"/>
        <v>#DIV/0!</v>
      </c>
      <c r="N7304" s="11" t="e">
        <f t="shared" si="1145"/>
        <v>#N/A</v>
      </c>
      <c r="O7304" s="11" t="e">
        <f t="shared" si="1146"/>
        <v>#N/A</v>
      </c>
      <c r="P7304" s="12" t="e">
        <f t="shared" si="1147"/>
        <v>#N/A</v>
      </c>
      <c r="Q7304" s="17" t="e">
        <f t="shared" si="1149"/>
        <v>#N/A</v>
      </c>
    </row>
    <row r="7305" spans="1:17" x14ac:dyDescent="0.3">
      <c r="A7305" s="34">
        <f>base!J7305</f>
        <v>0</v>
      </c>
      <c r="B7305" s="34">
        <f>base!V7305</f>
        <v>0</v>
      </c>
      <c r="C7305" s="40" t="s">
        <v>11</v>
      </c>
      <c r="D7305" s="36">
        <f>base!H7305</f>
        <v>0</v>
      </c>
      <c r="E7305" s="44"/>
      <c r="F7305" s="16">
        <f>base!W7305</f>
        <v>0</v>
      </c>
      <c r="G7305" s="11" t="e">
        <f t="shared" si="1140"/>
        <v>#DIV/0!</v>
      </c>
      <c r="H7305" s="11" t="e">
        <f t="shared" si="1141"/>
        <v>#N/A</v>
      </c>
      <c r="I7305" s="11" t="e">
        <f t="shared" si="1142"/>
        <v>#N/A</v>
      </c>
      <c r="J7305" s="12" t="e">
        <f t="shared" si="1143"/>
        <v>#N/A</v>
      </c>
      <c r="K7305" s="17" t="e">
        <f t="shared" si="1148"/>
        <v>#N/A</v>
      </c>
      <c r="L7305" s="16">
        <f>base!X7305</f>
        <v>0</v>
      </c>
      <c r="M7305" s="11" t="e">
        <f t="shared" si="1144"/>
        <v>#DIV/0!</v>
      </c>
      <c r="N7305" s="11" t="e">
        <f t="shared" si="1145"/>
        <v>#N/A</v>
      </c>
      <c r="O7305" s="11" t="e">
        <f t="shared" si="1146"/>
        <v>#N/A</v>
      </c>
      <c r="P7305" s="12" t="e">
        <f t="shared" si="1147"/>
        <v>#N/A</v>
      </c>
      <c r="Q7305" s="17" t="e">
        <f t="shared" si="1149"/>
        <v>#N/A</v>
      </c>
    </row>
    <row r="7306" spans="1:17" x14ac:dyDescent="0.3">
      <c r="A7306" s="34">
        <f>base!J7306</f>
        <v>0</v>
      </c>
      <c r="B7306" s="34">
        <f>base!V7306</f>
        <v>0</v>
      </c>
      <c r="C7306" s="40" t="s">
        <v>11</v>
      </c>
      <c r="D7306" s="36">
        <f>base!H7306</f>
        <v>0</v>
      </c>
      <c r="E7306" s="44"/>
      <c r="F7306" s="16">
        <f>base!W7306</f>
        <v>0</v>
      </c>
      <c r="G7306" s="11" t="e">
        <f t="shared" si="1140"/>
        <v>#DIV/0!</v>
      </c>
      <c r="H7306" s="11" t="e">
        <f t="shared" si="1141"/>
        <v>#N/A</v>
      </c>
      <c r="I7306" s="11" t="e">
        <f t="shared" si="1142"/>
        <v>#N/A</v>
      </c>
      <c r="J7306" s="12" t="e">
        <f t="shared" si="1143"/>
        <v>#N/A</v>
      </c>
      <c r="K7306" s="17" t="e">
        <f t="shared" si="1148"/>
        <v>#N/A</v>
      </c>
      <c r="L7306" s="16">
        <f>base!X7306</f>
        <v>0</v>
      </c>
      <c r="M7306" s="11" t="e">
        <f t="shared" si="1144"/>
        <v>#DIV/0!</v>
      </c>
      <c r="N7306" s="11" t="e">
        <f t="shared" si="1145"/>
        <v>#N/A</v>
      </c>
      <c r="O7306" s="11" t="e">
        <f t="shared" si="1146"/>
        <v>#N/A</v>
      </c>
      <c r="P7306" s="12" t="e">
        <f t="shared" si="1147"/>
        <v>#N/A</v>
      </c>
      <c r="Q7306" s="17" t="e">
        <f t="shared" si="1149"/>
        <v>#N/A</v>
      </c>
    </row>
    <row r="7307" spans="1:17" x14ac:dyDescent="0.3">
      <c r="A7307" s="34">
        <f>base!J7307</f>
        <v>0</v>
      </c>
      <c r="B7307" s="34">
        <f>base!V7307</f>
        <v>0</v>
      </c>
      <c r="C7307" s="40" t="s">
        <v>11</v>
      </c>
      <c r="D7307" s="36">
        <f>base!H7307</f>
        <v>0</v>
      </c>
      <c r="E7307" s="44"/>
      <c r="F7307" s="16">
        <f>base!W7307</f>
        <v>0</v>
      </c>
      <c r="G7307" s="11" t="e">
        <f t="shared" si="1140"/>
        <v>#DIV/0!</v>
      </c>
      <c r="H7307" s="11" t="e">
        <f t="shared" si="1141"/>
        <v>#N/A</v>
      </c>
      <c r="I7307" s="11" t="e">
        <f t="shared" si="1142"/>
        <v>#N/A</v>
      </c>
      <c r="J7307" s="12" t="e">
        <f t="shared" si="1143"/>
        <v>#N/A</v>
      </c>
      <c r="K7307" s="17" t="e">
        <f t="shared" si="1148"/>
        <v>#N/A</v>
      </c>
      <c r="L7307" s="16">
        <f>base!X7307</f>
        <v>0</v>
      </c>
      <c r="M7307" s="11" t="e">
        <f t="shared" si="1144"/>
        <v>#DIV/0!</v>
      </c>
      <c r="N7307" s="11" t="e">
        <f t="shared" si="1145"/>
        <v>#N/A</v>
      </c>
      <c r="O7307" s="11" t="e">
        <f t="shared" si="1146"/>
        <v>#N/A</v>
      </c>
      <c r="P7307" s="12" t="e">
        <f t="shared" si="1147"/>
        <v>#N/A</v>
      </c>
      <c r="Q7307" s="17" t="e">
        <f t="shared" si="1149"/>
        <v>#N/A</v>
      </c>
    </row>
    <row r="7308" spans="1:17" x14ac:dyDescent="0.3">
      <c r="A7308" s="34">
        <f>base!J7308</f>
        <v>0</v>
      </c>
      <c r="B7308" s="34">
        <f>base!V7308</f>
        <v>0</v>
      </c>
      <c r="C7308" s="40" t="s">
        <v>11</v>
      </c>
      <c r="D7308" s="36">
        <f>base!H7308</f>
        <v>0</v>
      </c>
      <c r="E7308" s="44"/>
      <c r="F7308" s="16">
        <f>base!W7308</f>
        <v>0</v>
      </c>
      <c r="G7308" s="11" t="e">
        <f t="shared" si="1140"/>
        <v>#DIV/0!</v>
      </c>
      <c r="H7308" s="11" t="e">
        <f t="shared" si="1141"/>
        <v>#N/A</v>
      </c>
      <c r="I7308" s="11" t="e">
        <f t="shared" si="1142"/>
        <v>#N/A</v>
      </c>
      <c r="J7308" s="12" t="e">
        <f t="shared" si="1143"/>
        <v>#N/A</v>
      </c>
      <c r="K7308" s="17" t="e">
        <f t="shared" si="1148"/>
        <v>#N/A</v>
      </c>
      <c r="L7308" s="16">
        <f>base!X7308</f>
        <v>0</v>
      </c>
      <c r="M7308" s="11" t="e">
        <f t="shared" si="1144"/>
        <v>#DIV/0!</v>
      </c>
      <c r="N7308" s="11" t="e">
        <f t="shared" si="1145"/>
        <v>#N/A</v>
      </c>
      <c r="O7308" s="11" t="e">
        <f t="shared" si="1146"/>
        <v>#N/A</v>
      </c>
      <c r="P7308" s="12" t="e">
        <f t="shared" si="1147"/>
        <v>#N/A</v>
      </c>
      <c r="Q7308" s="17" t="e">
        <f t="shared" si="1149"/>
        <v>#N/A</v>
      </c>
    </row>
    <row r="7309" spans="1:17" x14ac:dyDescent="0.3">
      <c r="A7309" s="34">
        <f>base!J7309</f>
        <v>0</v>
      </c>
      <c r="B7309" s="34">
        <f>base!V7309</f>
        <v>0</v>
      </c>
      <c r="C7309" s="40" t="s">
        <v>11</v>
      </c>
      <c r="D7309" s="36">
        <f>base!H7309</f>
        <v>0</v>
      </c>
      <c r="E7309" s="44"/>
      <c r="F7309" s="16">
        <f>base!W7309</f>
        <v>0</v>
      </c>
      <c r="G7309" s="11" t="e">
        <f t="shared" si="1140"/>
        <v>#DIV/0!</v>
      </c>
      <c r="H7309" s="11" t="e">
        <f t="shared" si="1141"/>
        <v>#N/A</v>
      </c>
      <c r="I7309" s="11" t="e">
        <f t="shared" si="1142"/>
        <v>#N/A</v>
      </c>
      <c r="J7309" s="12" t="e">
        <f t="shared" si="1143"/>
        <v>#N/A</v>
      </c>
      <c r="K7309" s="17" t="e">
        <f t="shared" si="1148"/>
        <v>#N/A</v>
      </c>
      <c r="L7309" s="16">
        <f>base!X7309</f>
        <v>0</v>
      </c>
      <c r="M7309" s="11" t="e">
        <f t="shared" si="1144"/>
        <v>#DIV/0!</v>
      </c>
      <c r="N7309" s="11" t="e">
        <f t="shared" si="1145"/>
        <v>#N/A</v>
      </c>
      <c r="O7309" s="11" t="e">
        <f t="shared" si="1146"/>
        <v>#N/A</v>
      </c>
      <c r="P7309" s="12" t="e">
        <f t="shared" si="1147"/>
        <v>#N/A</v>
      </c>
      <c r="Q7309" s="17" t="e">
        <f t="shared" si="1149"/>
        <v>#N/A</v>
      </c>
    </row>
    <row r="7310" spans="1:17" x14ac:dyDescent="0.3">
      <c r="A7310" s="34">
        <f>base!J7310</f>
        <v>0</v>
      </c>
      <c r="B7310" s="34">
        <f>base!V7310</f>
        <v>0</v>
      </c>
      <c r="C7310" s="40" t="s">
        <v>11</v>
      </c>
      <c r="D7310" s="36">
        <f>base!H7310</f>
        <v>0</v>
      </c>
      <c r="E7310" s="44"/>
      <c r="F7310" s="16">
        <f>base!W7310</f>
        <v>0</v>
      </c>
      <c r="G7310" s="11" t="e">
        <f t="shared" si="1140"/>
        <v>#DIV/0!</v>
      </c>
      <c r="H7310" s="11" t="e">
        <f t="shared" si="1141"/>
        <v>#N/A</v>
      </c>
      <c r="I7310" s="11" t="e">
        <f t="shared" si="1142"/>
        <v>#N/A</v>
      </c>
      <c r="J7310" s="12" t="e">
        <f t="shared" si="1143"/>
        <v>#N/A</v>
      </c>
      <c r="K7310" s="17" t="e">
        <f t="shared" si="1148"/>
        <v>#N/A</v>
      </c>
      <c r="L7310" s="16">
        <f>base!X7310</f>
        <v>0</v>
      </c>
      <c r="M7310" s="11" t="e">
        <f t="shared" si="1144"/>
        <v>#DIV/0!</v>
      </c>
      <c r="N7310" s="11" t="e">
        <f t="shared" si="1145"/>
        <v>#N/A</v>
      </c>
      <c r="O7310" s="11" t="e">
        <f t="shared" si="1146"/>
        <v>#N/A</v>
      </c>
      <c r="P7310" s="12" t="e">
        <f t="shared" si="1147"/>
        <v>#N/A</v>
      </c>
      <c r="Q7310" s="17" t="e">
        <f t="shared" si="1149"/>
        <v>#N/A</v>
      </c>
    </row>
    <row r="7311" spans="1:17" x14ac:dyDescent="0.3">
      <c r="A7311" s="34">
        <f>base!J7311</f>
        <v>0</v>
      </c>
      <c r="B7311" s="34">
        <f>base!V7311</f>
        <v>0</v>
      </c>
      <c r="C7311" s="40" t="s">
        <v>11</v>
      </c>
      <c r="D7311" s="36">
        <f>base!H7311</f>
        <v>0</v>
      </c>
      <c r="E7311" s="44"/>
      <c r="F7311" s="16">
        <f>base!W7311</f>
        <v>0</v>
      </c>
      <c r="G7311" s="11" t="e">
        <f t="shared" si="1140"/>
        <v>#DIV/0!</v>
      </c>
      <c r="H7311" s="11" t="e">
        <f t="shared" si="1141"/>
        <v>#N/A</v>
      </c>
      <c r="I7311" s="11" t="e">
        <f t="shared" si="1142"/>
        <v>#N/A</v>
      </c>
      <c r="J7311" s="12" t="e">
        <f t="shared" si="1143"/>
        <v>#N/A</v>
      </c>
      <c r="K7311" s="17" t="e">
        <f t="shared" si="1148"/>
        <v>#N/A</v>
      </c>
      <c r="L7311" s="16">
        <f>base!X7311</f>
        <v>0</v>
      </c>
      <c r="M7311" s="11" t="e">
        <f t="shared" si="1144"/>
        <v>#DIV/0!</v>
      </c>
      <c r="N7311" s="11" t="e">
        <f t="shared" si="1145"/>
        <v>#N/A</v>
      </c>
      <c r="O7311" s="11" t="e">
        <f t="shared" si="1146"/>
        <v>#N/A</v>
      </c>
      <c r="P7311" s="12" t="e">
        <f t="shared" si="1147"/>
        <v>#N/A</v>
      </c>
      <c r="Q7311" s="17" t="e">
        <f t="shared" si="1149"/>
        <v>#N/A</v>
      </c>
    </row>
    <row r="7312" spans="1:17" x14ac:dyDescent="0.3">
      <c r="A7312" s="34">
        <f>base!J7312</f>
        <v>0</v>
      </c>
      <c r="B7312" s="34">
        <f>base!V7312</f>
        <v>0</v>
      </c>
      <c r="C7312" s="40" t="s">
        <v>11</v>
      </c>
      <c r="D7312" s="36">
        <f>base!H7312</f>
        <v>0</v>
      </c>
      <c r="E7312" s="44"/>
      <c r="F7312" s="16">
        <f>base!W7312</f>
        <v>0</v>
      </c>
      <c r="G7312" s="11" t="e">
        <f t="shared" si="1140"/>
        <v>#DIV/0!</v>
      </c>
      <c r="H7312" s="11" t="e">
        <f t="shared" si="1141"/>
        <v>#N/A</v>
      </c>
      <c r="I7312" s="11" t="e">
        <f t="shared" si="1142"/>
        <v>#N/A</v>
      </c>
      <c r="J7312" s="12" t="e">
        <f t="shared" si="1143"/>
        <v>#N/A</v>
      </c>
      <c r="K7312" s="17" t="e">
        <f t="shared" si="1148"/>
        <v>#N/A</v>
      </c>
      <c r="L7312" s="16">
        <f>base!X7312</f>
        <v>0</v>
      </c>
      <c r="M7312" s="11" t="e">
        <f t="shared" si="1144"/>
        <v>#DIV/0!</v>
      </c>
      <c r="N7312" s="11" t="e">
        <f t="shared" si="1145"/>
        <v>#N/A</v>
      </c>
      <c r="O7312" s="11" t="e">
        <f t="shared" si="1146"/>
        <v>#N/A</v>
      </c>
      <c r="P7312" s="12" t="e">
        <f t="shared" si="1147"/>
        <v>#N/A</v>
      </c>
      <c r="Q7312" s="17" t="e">
        <f t="shared" si="1149"/>
        <v>#N/A</v>
      </c>
    </row>
    <row r="7313" spans="1:17" x14ac:dyDescent="0.3">
      <c r="A7313" s="34">
        <f>base!J7313</f>
        <v>0</v>
      </c>
      <c r="B7313" s="34">
        <f>base!V7313</f>
        <v>0</v>
      </c>
      <c r="C7313" s="40" t="s">
        <v>11</v>
      </c>
      <c r="D7313" s="36">
        <f>base!H7313</f>
        <v>0</v>
      </c>
      <c r="E7313" s="44"/>
      <c r="F7313" s="16">
        <f>base!W7313</f>
        <v>0</v>
      </c>
      <c r="G7313" s="11" t="e">
        <f t="shared" si="1140"/>
        <v>#DIV/0!</v>
      </c>
      <c r="H7313" s="11" t="e">
        <f t="shared" si="1141"/>
        <v>#N/A</v>
      </c>
      <c r="I7313" s="11" t="e">
        <f t="shared" si="1142"/>
        <v>#N/A</v>
      </c>
      <c r="J7313" s="12" t="e">
        <f t="shared" si="1143"/>
        <v>#N/A</v>
      </c>
      <c r="K7313" s="17" t="e">
        <f t="shared" si="1148"/>
        <v>#N/A</v>
      </c>
      <c r="L7313" s="16">
        <f>base!X7313</f>
        <v>0</v>
      </c>
      <c r="M7313" s="11" t="e">
        <f t="shared" si="1144"/>
        <v>#DIV/0!</v>
      </c>
      <c r="N7313" s="11" t="e">
        <f t="shared" si="1145"/>
        <v>#N/A</v>
      </c>
      <c r="O7313" s="11" t="e">
        <f t="shared" si="1146"/>
        <v>#N/A</v>
      </c>
      <c r="P7313" s="12" t="e">
        <f t="shared" si="1147"/>
        <v>#N/A</v>
      </c>
      <c r="Q7313" s="17" t="e">
        <f t="shared" si="1149"/>
        <v>#N/A</v>
      </c>
    </row>
    <row r="7314" spans="1:17" x14ac:dyDescent="0.3">
      <c r="A7314" s="34">
        <f>base!J7314</f>
        <v>0</v>
      </c>
      <c r="B7314" s="34">
        <f>base!V7314</f>
        <v>0</v>
      </c>
      <c r="C7314" s="40" t="s">
        <v>11</v>
      </c>
      <c r="D7314" s="36">
        <f>base!H7314</f>
        <v>0</v>
      </c>
      <c r="E7314" s="44"/>
      <c r="F7314" s="16">
        <f>base!W7314</f>
        <v>0</v>
      </c>
      <c r="G7314" s="11" t="e">
        <f t="shared" si="1140"/>
        <v>#DIV/0!</v>
      </c>
      <c r="H7314" s="11" t="e">
        <f t="shared" si="1141"/>
        <v>#N/A</v>
      </c>
      <c r="I7314" s="11" t="e">
        <f t="shared" si="1142"/>
        <v>#N/A</v>
      </c>
      <c r="J7314" s="12" t="e">
        <f t="shared" si="1143"/>
        <v>#N/A</v>
      </c>
      <c r="K7314" s="17" t="e">
        <f t="shared" si="1148"/>
        <v>#N/A</v>
      </c>
      <c r="L7314" s="16">
        <f>base!X7314</f>
        <v>0</v>
      </c>
      <c r="M7314" s="11" t="e">
        <f t="shared" si="1144"/>
        <v>#DIV/0!</v>
      </c>
      <c r="N7314" s="11" t="e">
        <f t="shared" si="1145"/>
        <v>#N/A</v>
      </c>
      <c r="O7314" s="11" t="e">
        <f t="shared" si="1146"/>
        <v>#N/A</v>
      </c>
      <c r="P7314" s="12" t="e">
        <f t="shared" si="1147"/>
        <v>#N/A</v>
      </c>
      <c r="Q7314" s="17" t="e">
        <f t="shared" si="1149"/>
        <v>#N/A</v>
      </c>
    </row>
    <row r="7315" spans="1:17" x14ac:dyDescent="0.3">
      <c r="A7315" s="34">
        <f>base!J7315</f>
        <v>0</v>
      </c>
      <c r="B7315" s="34">
        <f>base!V7315</f>
        <v>0</v>
      </c>
      <c r="C7315" s="40" t="s">
        <v>11</v>
      </c>
      <c r="D7315" s="36">
        <f>base!H7315</f>
        <v>0</v>
      </c>
      <c r="E7315" s="44"/>
      <c r="F7315" s="16">
        <f>base!W7315</f>
        <v>0</v>
      </c>
      <c r="G7315" s="11" t="e">
        <f t="shared" si="1140"/>
        <v>#DIV/0!</v>
      </c>
      <c r="H7315" s="11" t="e">
        <f t="shared" si="1141"/>
        <v>#N/A</v>
      </c>
      <c r="I7315" s="11" t="e">
        <f t="shared" si="1142"/>
        <v>#N/A</v>
      </c>
      <c r="J7315" s="12" t="e">
        <f t="shared" si="1143"/>
        <v>#N/A</v>
      </c>
      <c r="K7315" s="17" t="e">
        <f t="shared" si="1148"/>
        <v>#N/A</v>
      </c>
      <c r="L7315" s="16">
        <f>base!X7315</f>
        <v>0</v>
      </c>
      <c r="M7315" s="11" t="e">
        <f t="shared" si="1144"/>
        <v>#DIV/0!</v>
      </c>
      <c r="N7315" s="11" t="e">
        <f t="shared" si="1145"/>
        <v>#N/A</v>
      </c>
      <c r="O7315" s="11" t="e">
        <f t="shared" si="1146"/>
        <v>#N/A</v>
      </c>
      <c r="P7315" s="12" t="e">
        <f t="shared" si="1147"/>
        <v>#N/A</v>
      </c>
      <c r="Q7315" s="17" t="e">
        <f t="shared" si="1149"/>
        <v>#N/A</v>
      </c>
    </row>
    <row r="7316" spans="1:17" x14ac:dyDescent="0.3">
      <c r="A7316" s="34">
        <f>base!J7316</f>
        <v>0</v>
      </c>
      <c r="B7316" s="34">
        <f>base!V7316</f>
        <v>0</v>
      </c>
      <c r="C7316" s="40" t="s">
        <v>11</v>
      </c>
      <c r="D7316" s="36">
        <f>base!H7316</f>
        <v>0</v>
      </c>
      <c r="E7316" s="44"/>
      <c r="F7316" s="16">
        <f>base!W7316</f>
        <v>0</v>
      </c>
      <c r="G7316" s="11" t="e">
        <f t="shared" si="1140"/>
        <v>#DIV/0!</v>
      </c>
      <c r="H7316" s="11" t="e">
        <f t="shared" si="1141"/>
        <v>#N/A</v>
      </c>
      <c r="I7316" s="11" t="e">
        <f t="shared" si="1142"/>
        <v>#N/A</v>
      </c>
      <c r="J7316" s="12" t="e">
        <f t="shared" si="1143"/>
        <v>#N/A</v>
      </c>
      <c r="K7316" s="17" t="e">
        <f t="shared" si="1148"/>
        <v>#N/A</v>
      </c>
      <c r="L7316" s="16">
        <f>base!X7316</f>
        <v>0</v>
      </c>
      <c r="M7316" s="11" t="e">
        <f t="shared" si="1144"/>
        <v>#DIV/0!</v>
      </c>
      <c r="N7316" s="11" t="e">
        <f t="shared" si="1145"/>
        <v>#N/A</v>
      </c>
      <c r="O7316" s="11" t="e">
        <f t="shared" si="1146"/>
        <v>#N/A</v>
      </c>
      <c r="P7316" s="12" t="e">
        <f t="shared" si="1147"/>
        <v>#N/A</v>
      </c>
      <c r="Q7316" s="17" t="e">
        <f t="shared" si="1149"/>
        <v>#N/A</v>
      </c>
    </row>
    <row r="7317" spans="1:17" x14ac:dyDescent="0.3">
      <c r="A7317" s="34">
        <f>base!J7317</f>
        <v>0</v>
      </c>
      <c r="B7317" s="34">
        <f>base!V7317</f>
        <v>0</v>
      </c>
      <c r="C7317" s="40" t="s">
        <v>11</v>
      </c>
      <c r="D7317" s="36">
        <f>base!H7317</f>
        <v>0</v>
      </c>
      <c r="E7317" s="44"/>
      <c r="F7317" s="16">
        <f>base!W7317</f>
        <v>0</v>
      </c>
      <c r="G7317" s="11" t="e">
        <f t="shared" si="1140"/>
        <v>#DIV/0!</v>
      </c>
      <c r="H7317" s="11" t="e">
        <f t="shared" si="1141"/>
        <v>#N/A</v>
      </c>
      <c r="I7317" s="11" t="e">
        <f t="shared" si="1142"/>
        <v>#N/A</v>
      </c>
      <c r="J7317" s="12" t="e">
        <f t="shared" si="1143"/>
        <v>#N/A</v>
      </c>
      <c r="K7317" s="17" t="e">
        <f t="shared" si="1148"/>
        <v>#N/A</v>
      </c>
      <c r="L7317" s="16">
        <f>base!X7317</f>
        <v>0</v>
      </c>
      <c r="M7317" s="11" t="e">
        <f t="shared" si="1144"/>
        <v>#DIV/0!</v>
      </c>
      <c r="N7317" s="11" t="e">
        <f t="shared" si="1145"/>
        <v>#N/A</v>
      </c>
      <c r="O7317" s="11" t="e">
        <f t="shared" si="1146"/>
        <v>#N/A</v>
      </c>
      <c r="P7317" s="12" t="e">
        <f t="shared" si="1147"/>
        <v>#N/A</v>
      </c>
      <c r="Q7317" s="17" t="e">
        <f t="shared" si="1149"/>
        <v>#N/A</v>
      </c>
    </row>
    <row r="7318" spans="1:17" x14ac:dyDescent="0.3">
      <c r="A7318" s="34">
        <f>base!J7318</f>
        <v>0</v>
      </c>
      <c r="B7318" s="34">
        <f>base!V7318</f>
        <v>0</v>
      </c>
      <c r="C7318" s="40" t="s">
        <v>11</v>
      </c>
      <c r="D7318" s="36">
        <f>base!H7318</f>
        <v>0</v>
      </c>
      <c r="E7318" s="44"/>
      <c r="F7318" s="16">
        <f>base!W7318</f>
        <v>0</v>
      </c>
      <c r="G7318" s="11" t="e">
        <f t="shared" si="1140"/>
        <v>#DIV/0!</v>
      </c>
      <c r="H7318" s="11" t="e">
        <f t="shared" si="1141"/>
        <v>#N/A</v>
      </c>
      <c r="I7318" s="11" t="e">
        <f t="shared" si="1142"/>
        <v>#N/A</v>
      </c>
      <c r="J7318" s="12" t="e">
        <f t="shared" si="1143"/>
        <v>#N/A</v>
      </c>
      <c r="K7318" s="17" t="e">
        <f t="shared" si="1148"/>
        <v>#N/A</v>
      </c>
      <c r="L7318" s="16">
        <f>base!X7318</f>
        <v>0</v>
      </c>
      <c r="M7318" s="11" t="e">
        <f t="shared" si="1144"/>
        <v>#DIV/0!</v>
      </c>
      <c r="N7318" s="11" t="e">
        <f t="shared" si="1145"/>
        <v>#N/A</v>
      </c>
      <c r="O7318" s="11" t="e">
        <f t="shared" si="1146"/>
        <v>#N/A</v>
      </c>
      <c r="P7318" s="12" t="e">
        <f t="shared" si="1147"/>
        <v>#N/A</v>
      </c>
      <c r="Q7318" s="17" t="e">
        <f t="shared" si="1149"/>
        <v>#N/A</v>
      </c>
    </row>
    <row r="7319" spans="1:17" x14ac:dyDescent="0.3">
      <c r="A7319" s="34">
        <f>base!J7319</f>
        <v>0</v>
      </c>
      <c r="B7319" s="34">
        <f>base!V7319</f>
        <v>0</v>
      </c>
      <c r="C7319" s="40" t="s">
        <v>11</v>
      </c>
      <c r="D7319" s="36">
        <f>base!H7319</f>
        <v>0</v>
      </c>
      <c r="E7319" s="44"/>
      <c r="F7319" s="16">
        <f>base!W7319</f>
        <v>0</v>
      </c>
      <c r="G7319" s="11" t="e">
        <f t="shared" si="1140"/>
        <v>#DIV/0!</v>
      </c>
      <c r="H7319" s="11" t="e">
        <f t="shared" si="1141"/>
        <v>#N/A</v>
      </c>
      <c r="I7319" s="11" t="e">
        <f t="shared" si="1142"/>
        <v>#N/A</v>
      </c>
      <c r="J7319" s="12" t="e">
        <f t="shared" si="1143"/>
        <v>#N/A</v>
      </c>
      <c r="K7319" s="17" t="e">
        <f t="shared" si="1148"/>
        <v>#N/A</v>
      </c>
      <c r="L7319" s="16">
        <f>base!X7319</f>
        <v>0</v>
      </c>
      <c r="M7319" s="11" t="e">
        <f t="shared" si="1144"/>
        <v>#DIV/0!</v>
      </c>
      <c r="N7319" s="11" t="e">
        <f t="shared" si="1145"/>
        <v>#N/A</v>
      </c>
      <c r="O7319" s="11" t="e">
        <f t="shared" si="1146"/>
        <v>#N/A</v>
      </c>
      <c r="P7319" s="12" t="e">
        <f t="shared" si="1147"/>
        <v>#N/A</v>
      </c>
      <c r="Q7319" s="17" t="e">
        <f t="shared" si="1149"/>
        <v>#N/A</v>
      </c>
    </row>
    <row r="7320" spans="1:17" x14ac:dyDescent="0.3">
      <c r="A7320" s="34">
        <f>base!J7320</f>
        <v>0</v>
      </c>
      <c r="B7320" s="34">
        <f>base!V7320</f>
        <v>0</v>
      </c>
      <c r="C7320" s="40" t="s">
        <v>11</v>
      </c>
      <c r="D7320" s="36">
        <f>base!H7320</f>
        <v>0</v>
      </c>
      <c r="E7320" s="44"/>
      <c r="F7320" s="16">
        <f>base!W7320</f>
        <v>0</v>
      </c>
      <c r="G7320" s="11" t="e">
        <f t="shared" si="1140"/>
        <v>#DIV/0!</v>
      </c>
      <c r="H7320" s="11" t="e">
        <f t="shared" si="1141"/>
        <v>#N/A</v>
      </c>
      <c r="I7320" s="11" t="e">
        <f t="shared" si="1142"/>
        <v>#N/A</v>
      </c>
      <c r="J7320" s="12" t="e">
        <f t="shared" si="1143"/>
        <v>#N/A</v>
      </c>
      <c r="K7320" s="17" t="e">
        <f t="shared" si="1148"/>
        <v>#N/A</v>
      </c>
      <c r="L7320" s="16">
        <f>base!X7320</f>
        <v>0</v>
      </c>
      <c r="M7320" s="11" t="e">
        <f t="shared" si="1144"/>
        <v>#DIV/0!</v>
      </c>
      <c r="N7320" s="11" t="e">
        <f t="shared" si="1145"/>
        <v>#N/A</v>
      </c>
      <c r="O7320" s="11" t="e">
        <f t="shared" si="1146"/>
        <v>#N/A</v>
      </c>
      <c r="P7320" s="12" t="e">
        <f t="shared" si="1147"/>
        <v>#N/A</v>
      </c>
      <c r="Q7320" s="17" t="e">
        <f t="shared" si="1149"/>
        <v>#N/A</v>
      </c>
    </row>
    <row r="7321" spans="1:17" x14ac:dyDescent="0.3">
      <c r="A7321" s="34">
        <f>base!J7321</f>
        <v>0</v>
      </c>
      <c r="B7321" s="34">
        <f>base!V7321</f>
        <v>0</v>
      </c>
      <c r="C7321" s="40" t="s">
        <v>11</v>
      </c>
      <c r="D7321" s="36">
        <f>base!H7321</f>
        <v>0</v>
      </c>
      <c r="E7321" s="44"/>
      <c r="F7321" s="16">
        <f>base!W7321</f>
        <v>0</v>
      </c>
      <c r="G7321" s="11" t="e">
        <f t="shared" si="1140"/>
        <v>#DIV/0!</v>
      </c>
      <c r="H7321" s="11" t="e">
        <f t="shared" si="1141"/>
        <v>#N/A</v>
      </c>
      <c r="I7321" s="11" t="e">
        <f t="shared" si="1142"/>
        <v>#N/A</v>
      </c>
      <c r="J7321" s="12" t="e">
        <f t="shared" si="1143"/>
        <v>#N/A</v>
      </c>
      <c r="K7321" s="17" t="e">
        <f t="shared" si="1148"/>
        <v>#N/A</v>
      </c>
      <c r="L7321" s="16">
        <f>base!X7321</f>
        <v>0</v>
      </c>
      <c r="M7321" s="11" t="e">
        <f t="shared" si="1144"/>
        <v>#DIV/0!</v>
      </c>
      <c r="N7321" s="11" t="e">
        <f t="shared" si="1145"/>
        <v>#N/A</v>
      </c>
      <c r="O7321" s="11" t="e">
        <f t="shared" si="1146"/>
        <v>#N/A</v>
      </c>
      <c r="P7321" s="12" t="e">
        <f t="shared" si="1147"/>
        <v>#N/A</v>
      </c>
      <c r="Q7321" s="17" t="e">
        <f t="shared" si="1149"/>
        <v>#N/A</v>
      </c>
    </row>
    <row r="7322" spans="1:17" x14ac:dyDescent="0.3">
      <c r="A7322" s="34">
        <f>base!J7322</f>
        <v>0</v>
      </c>
      <c r="B7322" s="34">
        <f>base!V7322</f>
        <v>0</v>
      </c>
      <c r="C7322" s="40" t="s">
        <v>11</v>
      </c>
      <c r="D7322" s="36">
        <f>base!H7322</f>
        <v>0</v>
      </c>
      <c r="E7322" s="44"/>
      <c r="F7322" s="16">
        <f>base!W7322</f>
        <v>0</v>
      </c>
      <c r="G7322" s="11" t="e">
        <f t="shared" si="1140"/>
        <v>#DIV/0!</v>
      </c>
      <c r="H7322" s="11" t="e">
        <f t="shared" si="1141"/>
        <v>#N/A</v>
      </c>
      <c r="I7322" s="11" t="e">
        <f t="shared" si="1142"/>
        <v>#N/A</v>
      </c>
      <c r="J7322" s="12" t="e">
        <f t="shared" si="1143"/>
        <v>#N/A</v>
      </c>
      <c r="K7322" s="17" t="e">
        <f t="shared" si="1148"/>
        <v>#N/A</v>
      </c>
      <c r="L7322" s="16">
        <f>base!X7322</f>
        <v>0</v>
      </c>
      <c r="M7322" s="11" t="e">
        <f t="shared" si="1144"/>
        <v>#DIV/0!</v>
      </c>
      <c r="N7322" s="11" t="e">
        <f t="shared" si="1145"/>
        <v>#N/A</v>
      </c>
      <c r="O7322" s="11" t="e">
        <f t="shared" si="1146"/>
        <v>#N/A</v>
      </c>
      <c r="P7322" s="12" t="e">
        <f t="shared" si="1147"/>
        <v>#N/A</v>
      </c>
      <c r="Q7322" s="17" t="e">
        <f t="shared" si="1149"/>
        <v>#N/A</v>
      </c>
    </row>
    <row r="7323" spans="1:17" x14ac:dyDescent="0.3">
      <c r="A7323" s="34">
        <f>base!J7323</f>
        <v>0</v>
      </c>
      <c r="B7323" s="34">
        <f>base!V7323</f>
        <v>0</v>
      </c>
      <c r="C7323" s="40" t="s">
        <v>11</v>
      </c>
      <c r="D7323" s="36">
        <f>base!H7323</f>
        <v>0</v>
      </c>
      <c r="E7323" s="44"/>
      <c r="F7323" s="16">
        <f>base!W7323</f>
        <v>0</v>
      </c>
      <c r="G7323" s="11" t="e">
        <f t="shared" si="1140"/>
        <v>#DIV/0!</v>
      </c>
      <c r="H7323" s="11" t="e">
        <f t="shared" si="1141"/>
        <v>#N/A</v>
      </c>
      <c r="I7323" s="11" t="e">
        <f t="shared" si="1142"/>
        <v>#N/A</v>
      </c>
      <c r="J7323" s="12" t="e">
        <f t="shared" si="1143"/>
        <v>#N/A</v>
      </c>
      <c r="K7323" s="17" t="e">
        <f t="shared" si="1148"/>
        <v>#N/A</v>
      </c>
      <c r="L7323" s="16">
        <f>base!X7323</f>
        <v>0</v>
      </c>
      <c r="M7323" s="11" t="e">
        <f t="shared" si="1144"/>
        <v>#DIV/0!</v>
      </c>
      <c r="N7323" s="11" t="e">
        <f t="shared" si="1145"/>
        <v>#N/A</v>
      </c>
      <c r="O7323" s="11" t="e">
        <f t="shared" si="1146"/>
        <v>#N/A</v>
      </c>
      <c r="P7323" s="12" t="e">
        <f t="shared" si="1147"/>
        <v>#N/A</v>
      </c>
      <c r="Q7323" s="17" t="e">
        <f t="shared" si="1149"/>
        <v>#N/A</v>
      </c>
    </row>
    <row r="7324" spans="1:17" x14ac:dyDescent="0.3">
      <c r="A7324" s="34">
        <f>base!J7324</f>
        <v>0</v>
      </c>
      <c r="B7324" s="34">
        <f>base!V7324</f>
        <v>0</v>
      </c>
      <c r="C7324" s="40" t="s">
        <v>11</v>
      </c>
      <c r="D7324" s="36">
        <f>base!H7324</f>
        <v>0</v>
      </c>
      <c r="E7324" s="44"/>
      <c r="F7324" s="16">
        <f>base!W7324</f>
        <v>0</v>
      </c>
      <c r="G7324" s="11" t="e">
        <f t="shared" si="1140"/>
        <v>#DIV/0!</v>
      </c>
      <c r="H7324" s="11" t="e">
        <f t="shared" si="1141"/>
        <v>#N/A</v>
      </c>
      <c r="I7324" s="11" t="e">
        <f t="shared" si="1142"/>
        <v>#N/A</v>
      </c>
      <c r="J7324" s="12" t="e">
        <f t="shared" si="1143"/>
        <v>#N/A</v>
      </c>
      <c r="K7324" s="17" t="e">
        <f t="shared" si="1148"/>
        <v>#N/A</v>
      </c>
      <c r="L7324" s="16">
        <f>base!X7324</f>
        <v>0</v>
      </c>
      <c r="M7324" s="11" t="e">
        <f t="shared" si="1144"/>
        <v>#DIV/0!</v>
      </c>
      <c r="N7324" s="11" t="e">
        <f t="shared" si="1145"/>
        <v>#N/A</v>
      </c>
      <c r="O7324" s="11" t="e">
        <f t="shared" si="1146"/>
        <v>#N/A</v>
      </c>
      <c r="P7324" s="12" t="e">
        <f t="shared" si="1147"/>
        <v>#N/A</v>
      </c>
      <c r="Q7324" s="17" t="e">
        <f t="shared" si="1149"/>
        <v>#N/A</v>
      </c>
    </row>
    <row r="7325" spans="1:17" x14ac:dyDescent="0.3">
      <c r="A7325" s="34">
        <f>base!J7325</f>
        <v>0</v>
      </c>
      <c r="B7325" s="34">
        <f>base!V7325</f>
        <v>0</v>
      </c>
      <c r="C7325" s="40" t="s">
        <v>11</v>
      </c>
      <c r="D7325" s="36">
        <f>base!H7325</f>
        <v>0</v>
      </c>
      <c r="E7325" s="44"/>
      <c r="F7325" s="16">
        <f>base!W7325</f>
        <v>0</v>
      </c>
      <c r="G7325" s="11" t="e">
        <f t="shared" si="1140"/>
        <v>#DIV/0!</v>
      </c>
      <c r="H7325" s="11" t="e">
        <f t="shared" si="1141"/>
        <v>#N/A</v>
      </c>
      <c r="I7325" s="11" t="e">
        <f t="shared" si="1142"/>
        <v>#N/A</v>
      </c>
      <c r="J7325" s="12" t="e">
        <f t="shared" si="1143"/>
        <v>#N/A</v>
      </c>
      <c r="K7325" s="17" t="e">
        <f t="shared" si="1148"/>
        <v>#N/A</v>
      </c>
      <c r="L7325" s="16">
        <f>base!X7325</f>
        <v>0</v>
      </c>
      <c r="M7325" s="11" t="e">
        <f t="shared" si="1144"/>
        <v>#DIV/0!</v>
      </c>
      <c r="N7325" s="11" t="e">
        <f t="shared" si="1145"/>
        <v>#N/A</v>
      </c>
      <c r="O7325" s="11" t="e">
        <f t="shared" si="1146"/>
        <v>#N/A</v>
      </c>
      <c r="P7325" s="12" t="e">
        <f t="shared" si="1147"/>
        <v>#N/A</v>
      </c>
      <c r="Q7325" s="17" t="e">
        <f t="shared" si="1149"/>
        <v>#N/A</v>
      </c>
    </row>
    <row r="7326" spans="1:17" x14ac:dyDescent="0.3">
      <c r="A7326" s="34">
        <f>base!J7326</f>
        <v>0</v>
      </c>
      <c r="B7326" s="34">
        <f>base!V7326</f>
        <v>0</v>
      </c>
      <c r="C7326" s="40" t="s">
        <v>11</v>
      </c>
      <c r="D7326" s="36">
        <f>base!H7326</f>
        <v>0</v>
      </c>
      <c r="E7326" s="44"/>
      <c r="F7326" s="16">
        <f>base!W7326</f>
        <v>0</v>
      </c>
      <c r="G7326" s="11" t="e">
        <f t="shared" si="1140"/>
        <v>#DIV/0!</v>
      </c>
      <c r="H7326" s="11" t="e">
        <f t="shared" si="1141"/>
        <v>#N/A</v>
      </c>
      <c r="I7326" s="11" t="e">
        <f t="shared" si="1142"/>
        <v>#N/A</v>
      </c>
      <c r="J7326" s="12" t="e">
        <f t="shared" si="1143"/>
        <v>#N/A</v>
      </c>
      <c r="K7326" s="17" t="e">
        <f t="shared" si="1148"/>
        <v>#N/A</v>
      </c>
      <c r="L7326" s="16">
        <f>base!X7326</f>
        <v>0</v>
      </c>
      <c r="M7326" s="11" t="e">
        <f t="shared" si="1144"/>
        <v>#DIV/0!</v>
      </c>
      <c r="N7326" s="11" t="e">
        <f t="shared" si="1145"/>
        <v>#N/A</v>
      </c>
      <c r="O7326" s="11" t="e">
        <f t="shared" si="1146"/>
        <v>#N/A</v>
      </c>
      <c r="P7326" s="12" t="e">
        <f t="shared" si="1147"/>
        <v>#N/A</v>
      </c>
      <c r="Q7326" s="17" t="e">
        <f t="shared" si="1149"/>
        <v>#N/A</v>
      </c>
    </row>
    <row r="7327" spans="1:17" x14ac:dyDescent="0.3">
      <c r="A7327" s="34">
        <f>base!J7327</f>
        <v>0</v>
      </c>
      <c r="B7327" s="34">
        <f>base!V7327</f>
        <v>0</v>
      </c>
      <c r="C7327" s="40" t="s">
        <v>11</v>
      </c>
      <c r="D7327" s="36">
        <f>base!H7327</f>
        <v>0</v>
      </c>
      <c r="E7327" s="44"/>
      <c r="F7327" s="16">
        <f>base!W7327</f>
        <v>0</v>
      </c>
      <c r="G7327" s="11" t="e">
        <f t="shared" si="1140"/>
        <v>#DIV/0!</v>
      </c>
      <c r="H7327" s="11" t="e">
        <f t="shared" si="1141"/>
        <v>#N/A</v>
      </c>
      <c r="I7327" s="11" t="e">
        <f t="shared" si="1142"/>
        <v>#N/A</v>
      </c>
      <c r="J7327" s="12" t="e">
        <f t="shared" si="1143"/>
        <v>#N/A</v>
      </c>
      <c r="K7327" s="17" t="e">
        <f t="shared" si="1148"/>
        <v>#N/A</v>
      </c>
      <c r="L7327" s="16">
        <f>base!X7327</f>
        <v>0</v>
      </c>
      <c r="M7327" s="11" t="e">
        <f t="shared" si="1144"/>
        <v>#DIV/0!</v>
      </c>
      <c r="N7327" s="11" t="e">
        <f t="shared" si="1145"/>
        <v>#N/A</v>
      </c>
      <c r="O7327" s="11" t="e">
        <f t="shared" si="1146"/>
        <v>#N/A</v>
      </c>
      <c r="P7327" s="12" t="e">
        <f t="shared" si="1147"/>
        <v>#N/A</v>
      </c>
      <c r="Q7327" s="17" t="e">
        <f t="shared" si="1149"/>
        <v>#N/A</v>
      </c>
    </row>
    <row r="7328" spans="1:17" x14ac:dyDescent="0.3">
      <c r="A7328" s="34">
        <f>base!J7328</f>
        <v>0</v>
      </c>
      <c r="B7328" s="34">
        <f>base!V7328</f>
        <v>0</v>
      </c>
      <c r="C7328" s="40" t="s">
        <v>11</v>
      </c>
      <c r="D7328" s="36">
        <f>base!H7328</f>
        <v>0</v>
      </c>
      <c r="E7328" s="44"/>
      <c r="F7328" s="16">
        <f>base!W7328</f>
        <v>0</v>
      </c>
      <c r="G7328" s="11" t="e">
        <f t="shared" si="1140"/>
        <v>#DIV/0!</v>
      </c>
      <c r="H7328" s="11" t="e">
        <f t="shared" si="1141"/>
        <v>#N/A</v>
      </c>
      <c r="I7328" s="11" t="e">
        <f t="shared" si="1142"/>
        <v>#N/A</v>
      </c>
      <c r="J7328" s="12" t="e">
        <f t="shared" si="1143"/>
        <v>#N/A</v>
      </c>
      <c r="K7328" s="17" t="e">
        <f t="shared" si="1148"/>
        <v>#N/A</v>
      </c>
      <c r="L7328" s="16">
        <f>base!X7328</f>
        <v>0</v>
      </c>
      <c r="M7328" s="11" t="e">
        <f t="shared" si="1144"/>
        <v>#DIV/0!</v>
      </c>
      <c r="N7328" s="11" t="e">
        <f t="shared" si="1145"/>
        <v>#N/A</v>
      </c>
      <c r="O7328" s="11" t="e">
        <f t="shared" si="1146"/>
        <v>#N/A</v>
      </c>
      <c r="P7328" s="12" t="e">
        <f t="shared" si="1147"/>
        <v>#N/A</v>
      </c>
      <c r="Q7328" s="17" t="e">
        <f t="shared" si="1149"/>
        <v>#N/A</v>
      </c>
    </row>
    <row r="7329" spans="1:17" x14ac:dyDescent="0.3">
      <c r="A7329" s="34">
        <f>base!J7329</f>
        <v>0</v>
      </c>
      <c r="B7329" s="34">
        <f>base!V7329</f>
        <v>0</v>
      </c>
      <c r="C7329" s="40" t="s">
        <v>11</v>
      </c>
      <c r="D7329" s="36">
        <f>base!H7329</f>
        <v>0</v>
      </c>
      <c r="E7329" s="44"/>
      <c r="F7329" s="16">
        <f>base!W7329</f>
        <v>0</v>
      </c>
      <c r="G7329" s="11" t="e">
        <f t="shared" si="1140"/>
        <v>#DIV/0!</v>
      </c>
      <c r="H7329" s="11" t="e">
        <f t="shared" si="1141"/>
        <v>#N/A</v>
      </c>
      <c r="I7329" s="11" t="e">
        <f t="shared" si="1142"/>
        <v>#N/A</v>
      </c>
      <c r="J7329" s="12" t="e">
        <f t="shared" si="1143"/>
        <v>#N/A</v>
      </c>
      <c r="K7329" s="17" t="e">
        <f t="shared" si="1148"/>
        <v>#N/A</v>
      </c>
      <c r="L7329" s="16">
        <f>base!X7329</f>
        <v>0</v>
      </c>
      <c r="M7329" s="11" t="e">
        <f t="shared" si="1144"/>
        <v>#DIV/0!</v>
      </c>
      <c r="N7329" s="11" t="e">
        <f t="shared" si="1145"/>
        <v>#N/A</v>
      </c>
      <c r="O7329" s="11" t="e">
        <f t="shared" si="1146"/>
        <v>#N/A</v>
      </c>
      <c r="P7329" s="12" t="e">
        <f t="shared" si="1147"/>
        <v>#N/A</v>
      </c>
      <c r="Q7329" s="17" t="e">
        <f t="shared" si="1149"/>
        <v>#N/A</v>
      </c>
    </row>
    <row r="7330" spans="1:17" x14ac:dyDescent="0.3">
      <c r="A7330" s="34">
        <f>base!J7330</f>
        <v>0</v>
      </c>
      <c r="B7330" s="34">
        <f>base!V7330</f>
        <v>0</v>
      </c>
      <c r="C7330" s="40" t="s">
        <v>11</v>
      </c>
      <c r="D7330" s="36">
        <f>base!H7330</f>
        <v>0</v>
      </c>
      <c r="E7330" s="44"/>
      <c r="F7330" s="16">
        <f>base!W7330</f>
        <v>0</v>
      </c>
      <c r="G7330" s="11" t="e">
        <f t="shared" si="1140"/>
        <v>#DIV/0!</v>
      </c>
      <c r="H7330" s="11" t="e">
        <f t="shared" si="1141"/>
        <v>#N/A</v>
      </c>
      <c r="I7330" s="11" t="e">
        <f t="shared" si="1142"/>
        <v>#N/A</v>
      </c>
      <c r="J7330" s="12" t="e">
        <f t="shared" si="1143"/>
        <v>#N/A</v>
      </c>
      <c r="K7330" s="17" t="e">
        <f t="shared" si="1148"/>
        <v>#N/A</v>
      </c>
      <c r="L7330" s="16">
        <f>base!X7330</f>
        <v>0</v>
      </c>
      <c r="M7330" s="11" t="e">
        <f t="shared" si="1144"/>
        <v>#DIV/0!</v>
      </c>
      <c r="N7330" s="11" t="e">
        <f t="shared" si="1145"/>
        <v>#N/A</v>
      </c>
      <c r="O7330" s="11" t="e">
        <f t="shared" si="1146"/>
        <v>#N/A</v>
      </c>
      <c r="P7330" s="12" t="e">
        <f t="shared" si="1147"/>
        <v>#N/A</v>
      </c>
      <c r="Q7330" s="17" t="e">
        <f t="shared" si="1149"/>
        <v>#N/A</v>
      </c>
    </row>
    <row r="7331" spans="1:17" x14ac:dyDescent="0.3">
      <c r="A7331" s="34">
        <f>base!J7331</f>
        <v>0</v>
      </c>
      <c r="B7331" s="34">
        <f>base!V7331</f>
        <v>0</v>
      </c>
      <c r="C7331" s="40" t="s">
        <v>11</v>
      </c>
      <c r="D7331" s="36">
        <f>base!H7331</f>
        <v>0</v>
      </c>
      <c r="E7331" s="44"/>
      <c r="F7331" s="16">
        <f>base!W7331</f>
        <v>0</v>
      </c>
      <c r="G7331" s="11" t="e">
        <f t="shared" si="1140"/>
        <v>#DIV/0!</v>
      </c>
      <c r="H7331" s="11" t="e">
        <f t="shared" si="1141"/>
        <v>#N/A</v>
      </c>
      <c r="I7331" s="11" t="e">
        <f t="shared" si="1142"/>
        <v>#N/A</v>
      </c>
      <c r="J7331" s="12" t="e">
        <f t="shared" si="1143"/>
        <v>#N/A</v>
      </c>
      <c r="K7331" s="17" t="e">
        <f t="shared" si="1148"/>
        <v>#N/A</v>
      </c>
      <c r="L7331" s="16">
        <f>base!X7331</f>
        <v>0</v>
      </c>
      <c r="M7331" s="11" t="e">
        <f t="shared" si="1144"/>
        <v>#DIV/0!</v>
      </c>
      <c r="N7331" s="11" t="e">
        <f t="shared" si="1145"/>
        <v>#N/A</v>
      </c>
      <c r="O7331" s="11" t="e">
        <f t="shared" si="1146"/>
        <v>#N/A</v>
      </c>
      <c r="P7331" s="12" t="e">
        <f t="shared" si="1147"/>
        <v>#N/A</v>
      </c>
      <c r="Q7331" s="17" t="e">
        <f t="shared" si="1149"/>
        <v>#N/A</v>
      </c>
    </row>
    <row r="7332" spans="1:17" x14ac:dyDescent="0.3">
      <c r="A7332" s="34">
        <f>base!J7332</f>
        <v>0</v>
      </c>
      <c r="B7332" s="34">
        <f>base!V7332</f>
        <v>0</v>
      </c>
      <c r="C7332" s="40" t="s">
        <v>11</v>
      </c>
      <c r="D7332" s="36">
        <f>base!H7332</f>
        <v>0</v>
      </c>
      <c r="E7332" s="44"/>
      <c r="F7332" s="16">
        <f>base!W7332</f>
        <v>0</v>
      </c>
      <c r="G7332" s="11" t="e">
        <f t="shared" si="1140"/>
        <v>#DIV/0!</v>
      </c>
      <c r="H7332" s="11" t="e">
        <f t="shared" si="1141"/>
        <v>#N/A</v>
      </c>
      <c r="I7332" s="11" t="e">
        <f t="shared" si="1142"/>
        <v>#N/A</v>
      </c>
      <c r="J7332" s="12" t="e">
        <f t="shared" si="1143"/>
        <v>#N/A</v>
      </c>
      <c r="K7332" s="17" t="e">
        <f t="shared" si="1148"/>
        <v>#N/A</v>
      </c>
      <c r="L7332" s="16">
        <f>base!X7332</f>
        <v>0</v>
      </c>
      <c r="M7332" s="11" t="e">
        <f t="shared" si="1144"/>
        <v>#DIV/0!</v>
      </c>
      <c r="N7332" s="11" t="e">
        <f t="shared" si="1145"/>
        <v>#N/A</v>
      </c>
      <c r="O7332" s="11" t="e">
        <f t="shared" si="1146"/>
        <v>#N/A</v>
      </c>
      <c r="P7332" s="12" t="e">
        <f t="shared" si="1147"/>
        <v>#N/A</v>
      </c>
      <c r="Q7332" s="17" t="e">
        <f t="shared" si="1149"/>
        <v>#N/A</v>
      </c>
    </row>
    <row r="7333" spans="1:17" x14ac:dyDescent="0.3">
      <c r="A7333" s="34">
        <f>base!J7333</f>
        <v>0</v>
      </c>
      <c r="B7333" s="34">
        <f>base!V7333</f>
        <v>0</v>
      </c>
      <c r="C7333" s="40" t="s">
        <v>11</v>
      </c>
      <c r="D7333" s="36">
        <f>base!H7333</f>
        <v>0</v>
      </c>
      <c r="E7333" s="44"/>
      <c r="F7333" s="16">
        <f>base!W7333</f>
        <v>0</v>
      </c>
      <c r="G7333" s="11" t="e">
        <f t="shared" si="1140"/>
        <v>#DIV/0!</v>
      </c>
      <c r="H7333" s="11" t="e">
        <f t="shared" si="1141"/>
        <v>#N/A</v>
      </c>
      <c r="I7333" s="11" t="e">
        <f t="shared" si="1142"/>
        <v>#N/A</v>
      </c>
      <c r="J7333" s="12" t="e">
        <f t="shared" si="1143"/>
        <v>#N/A</v>
      </c>
      <c r="K7333" s="17" t="e">
        <f t="shared" si="1148"/>
        <v>#N/A</v>
      </c>
      <c r="L7333" s="16">
        <f>base!X7333</f>
        <v>0</v>
      </c>
      <c r="M7333" s="11" t="e">
        <f t="shared" si="1144"/>
        <v>#DIV/0!</v>
      </c>
      <c r="N7333" s="11" t="e">
        <f t="shared" si="1145"/>
        <v>#N/A</v>
      </c>
      <c r="O7333" s="11" t="e">
        <f t="shared" si="1146"/>
        <v>#N/A</v>
      </c>
      <c r="P7333" s="12" t="e">
        <f t="shared" si="1147"/>
        <v>#N/A</v>
      </c>
      <c r="Q7333" s="17" t="e">
        <f t="shared" si="1149"/>
        <v>#N/A</v>
      </c>
    </row>
    <row r="7334" spans="1:17" x14ac:dyDescent="0.3">
      <c r="A7334" s="34">
        <f>base!J7334</f>
        <v>0</v>
      </c>
      <c r="B7334" s="34">
        <f>base!V7334</f>
        <v>0</v>
      </c>
      <c r="C7334" s="40" t="s">
        <v>11</v>
      </c>
      <c r="D7334" s="36">
        <f>base!H7334</f>
        <v>0</v>
      </c>
      <c r="E7334" s="44"/>
      <c r="F7334" s="16">
        <f>base!W7334</f>
        <v>0</v>
      </c>
      <c r="G7334" s="11" t="e">
        <f t="shared" si="1140"/>
        <v>#DIV/0!</v>
      </c>
      <c r="H7334" s="11" t="e">
        <f t="shared" si="1141"/>
        <v>#N/A</v>
      </c>
      <c r="I7334" s="11" t="e">
        <f t="shared" si="1142"/>
        <v>#N/A</v>
      </c>
      <c r="J7334" s="12" t="e">
        <f t="shared" si="1143"/>
        <v>#N/A</v>
      </c>
      <c r="K7334" s="17" t="e">
        <f t="shared" si="1148"/>
        <v>#N/A</v>
      </c>
      <c r="L7334" s="16">
        <f>base!X7334</f>
        <v>0</v>
      </c>
      <c r="M7334" s="11" t="e">
        <f t="shared" si="1144"/>
        <v>#DIV/0!</v>
      </c>
      <c r="N7334" s="11" t="e">
        <f t="shared" si="1145"/>
        <v>#N/A</v>
      </c>
      <c r="O7334" s="11" t="e">
        <f t="shared" si="1146"/>
        <v>#N/A</v>
      </c>
      <c r="P7334" s="12" t="e">
        <f t="shared" si="1147"/>
        <v>#N/A</v>
      </c>
      <c r="Q7334" s="17" t="e">
        <f t="shared" si="1149"/>
        <v>#N/A</v>
      </c>
    </row>
    <row r="7335" spans="1:17" x14ac:dyDescent="0.3">
      <c r="A7335" s="34">
        <f>base!J7335</f>
        <v>0</v>
      </c>
      <c r="B7335" s="34">
        <f>base!V7335</f>
        <v>0</v>
      </c>
      <c r="C7335" s="40" t="s">
        <v>11</v>
      </c>
      <c r="D7335" s="36">
        <f>base!H7335</f>
        <v>0</v>
      </c>
      <c r="E7335" s="44"/>
      <c r="F7335" s="16">
        <f>base!W7335</f>
        <v>0</v>
      </c>
      <c r="G7335" s="11" t="e">
        <f t="shared" si="1140"/>
        <v>#DIV/0!</v>
      </c>
      <c r="H7335" s="11" t="e">
        <f t="shared" si="1141"/>
        <v>#N/A</v>
      </c>
      <c r="I7335" s="11" t="e">
        <f t="shared" si="1142"/>
        <v>#N/A</v>
      </c>
      <c r="J7335" s="12" t="e">
        <f t="shared" si="1143"/>
        <v>#N/A</v>
      </c>
      <c r="K7335" s="17" t="e">
        <f t="shared" si="1148"/>
        <v>#N/A</v>
      </c>
      <c r="L7335" s="16">
        <f>base!X7335</f>
        <v>0</v>
      </c>
      <c r="M7335" s="11" t="e">
        <f t="shared" si="1144"/>
        <v>#DIV/0!</v>
      </c>
      <c r="N7335" s="11" t="e">
        <f t="shared" si="1145"/>
        <v>#N/A</v>
      </c>
      <c r="O7335" s="11" t="e">
        <f t="shared" si="1146"/>
        <v>#N/A</v>
      </c>
      <c r="P7335" s="12" t="e">
        <f t="shared" si="1147"/>
        <v>#N/A</v>
      </c>
      <c r="Q7335" s="17" t="e">
        <f t="shared" si="1149"/>
        <v>#N/A</v>
      </c>
    </row>
    <row r="7336" spans="1:17" x14ac:dyDescent="0.3">
      <c r="A7336" s="34">
        <f>base!J7336</f>
        <v>0</v>
      </c>
      <c r="B7336" s="34">
        <f>base!V7336</f>
        <v>0</v>
      </c>
      <c r="C7336" s="40" t="s">
        <v>11</v>
      </c>
      <c r="D7336" s="36">
        <f>base!H7336</f>
        <v>0</v>
      </c>
      <c r="E7336" s="44"/>
      <c r="F7336" s="16">
        <f>base!W7336</f>
        <v>0</v>
      </c>
      <c r="G7336" s="11" t="e">
        <f t="shared" si="1140"/>
        <v>#DIV/0!</v>
      </c>
      <c r="H7336" s="11" t="e">
        <f t="shared" si="1141"/>
        <v>#N/A</v>
      </c>
      <c r="I7336" s="11" t="e">
        <f t="shared" si="1142"/>
        <v>#N/A</v>
      </c>
      <c r="J7336" s="12" t="e">
        <f t="shared" si="1143"/>
        <v>#N/A</v>
      </c>
      <c r="K7336" s="17" t="e">
        <f t="shared" si="1148"/>
        <v>#N/A</v>
      </c>
      <c r="L7336" s="16">
        <f>base!X7336</f>
        <v>0</v>
      </c>
      <c r="M7336" s="11" t="e">
        <f t="shared" si="1144"/>
        <v>#DIV/0!</v>
      </c>
      <c r="N7336" s="11" t="e">
        <f t="shared" si="1145"/>
        <v>#N/A</v>
      </c>
      <c r="O7336" s="11" t="e">
        <f t="shared" si="1146"/>
        <v>#N/A</v>
      </c>
      <c r="P7336" s="12" t="e">
        <f t="shared" si="1147"/>
        <v>#N/A</v>
      </c>
      <c r="Q7336" s="17" t="e">
        <f t="shared" si="1149"/>
        <v>#N/A</v>
      </c>
    </row>
    <row r="7337" spans="1:17" x14ac:dyDescent="0.3">
      <c r="A7337" s="34">
        <f>base!J7337</f>
        <v>0</v>
      </c>
      <c r="B7337" s="34">
        <f>base!V7337</f>
        <v>0</v>
      </c>
      <c r="C7337" s="40" t="s">
        <v>11</v>
      </c>
      <c r="D7337" s="36">
        <f>base!H7337</f>
        <v>0</v>
      </c>
      <c r="E7337" s="44"/>
      <c r="F7337" s="16">
        <f>base!W7337</f>
        <v>0</v>
      </c>
      <c r="G7337" s="11" t="e">
        <f t="shared" si="1140"/>
        <v>#DIV/0!</v>
      </c>
      <c r="H7337" s="11" t="e">
        <f t="shared" si="1141"/>
        <v>#N/A</v>
      </c>
      <c r="I7337" s="11" t="e">
        <f t="shared" si="1142"/>
        <v>#N/A</v>
      </c>
      <c r="J7337" s="12" t="e">
        <f t="shared" si="1143"/>
        <v>#N/A</v>
      </c>
      <c r="K7337" s="17" t="e">
        <f t="shared" si="1148"/>
        <v>#N/A</v>
      </c>
      <c r="L7337" s="16">
        <f>base!X7337</f>
        <v>0</v>
      </c>
      <c r="M7337" s="11" t="e">
        <f t="shared" si="1144"/>
        <v>#DIV/0!</v>
      </c>
      <c r="N7337" s="11" t="e">
        <f t="shared" si="1145"/>
        <v>#N/A</v>
      </c>
      <c r="O7337" s="11" t="e">
        <f t="shared" si="1146"/>
        <v>#N/A</v>
      </c>
      <c r="P7337" s="12" t="e">
        <f t="shared" si="1147"/>
        <v>#N/A</v>
      </c>
      <c r="Q7337" s="17" t="e">
        <f t="shared" si="1149"/>
        <v>#N/A</v>
      </c>
    </row>
    <row r="7338" spans="1:17" x14ac:dyDescent="0.3">
      <c r="A7338" s="34">
        <f>base!J7338</f>
        <v>0</v>
      </c>
      <c r="B7338" s="34">
        <f>base!V7338</f>
        <v>0</v>
      </c>
      <c r="C7338" s="40" t="s">
        <v>11</v>
      </c>
      <c r="D7338" s="36">
        <f>base!H7338</f>
        <v>0</v>
      </c>
      <c r="E7338" s="44"/>
      <c r="F7338" s="16">
        <f>base!W7338</f>
        <v>0</v>
      </c>
      <c r="G7338" s="11" t="e">
        <f t="shared" si="1140"/>
        <v>#DIV/0!</v>
      </c>
      <c r="H7338" s="11" t="e">
        <f t="shared" si="1141"/>
        <v>#N/A</v>
      </c>
      <c r="I7338" s="11" t="e">
        <f t="shared" si="1142"/>
        <v>#N/A</v>
      </c>
      <c r="J7338" s="12" t="e">
        <f t="shared" si="1143"/>
        <v>#N/A</v>
      </c>
      <c r="K7338" s="17" t="e">
        <f t="shared" si="1148"/>
        <v>#N/A</v>
      </c>
      <c r="L7338" s="16">
        <f>base!X7338</f>
        <v>0</v>
      </c>
      <c r="M7338" s="11" t="e">
        <f t="shared" si="1144"/>
        <v>#DIV/0!</v>
      </c>
      <c r="N7338" s="11" t="e">
        <f t="shared" si="1145"/>
        <v>#N/A</v>
      </c>
      <c r="O7338" s="11" t="e">
        <f t="shared" si="1146"/>
        <v>#N/A</v>
      </c>
      <c r="P7338" s="12" t="e">
        <f t="shared" si="1147"/>
        <v>#N/A</v>
      </c>
      <c r="Q7338" s="17" t="e">
        <f t="shared" si="1149"/>
        <v>#N/A</v>
      </c>
    </row>
    <row r="7339" spans="1:17" x14ac:dyDescent="0.3">
      <c r="A7339" s="34">
        <f>base!J7339</f>
        <v>0</v>
      </c>
      <c r="B7339" s="34">
        <f>base!V7339</f>
        <v>0</v>
      </c>
      <c r="C7339" s="40" t="s">
        <v>11</v>
      </c>
      <c r="D7339" s="36">
        <f>base!H7339</f>
        <v>0</v>
      </c>
      <c r="E7339" s="44"/>
      <c r="F7339" s="16">
        <f>base!W7339</f>
        <v>0</v>
      </c>
      <c r="G7339" s="11" t="e">
        <f t="shared" si="1140"/>
        <v>#DIV/0!</v>
      </c>
      <c r="H7339" s="11" t="e">
        <f t="shared" si="1141"/>
        <v>#N/A</v>
      </c>
      <c r="I7339" s="11" t="e">
        <f t="shared" si="1142"/>
        <v>#N/A</v>
      </c>
      <c r="J7339" s="12" t="e">
        <f t="shared" si="1143"/>
        <v>#N/A</v>
      </c>
      <c r="K7339" s="17" t="e">
        <f t="shared" si="1148"/>
        <v>#N/A</v>
      </c>
      <c r="L7339" s="16">
        <f>base!X7339</f>
        <v>0</v>
      </c>
      <c r="M7339" s="11" t="e">
        <f t="shared" si="1144"/>
        <v>#DIV/0!</v>
      </c>
      <c r="N7339" s="11" t="e">
        <f t="shared" si="1145"/>
        <v>#N/A</v>
      </c>
      <c r="O7339" s="11" t="e">
        <f t="shared" si="1146"/>
        <v>#N/A</v>
      </c>
      <c r="P7339" s="12" t="e">
        <f t="shared" si="1147"/>
        <v>#N/A</v>
      </c>
      <c r="Q7339" s="17" t="e">
        <f t="shared" si="1149"/>
        <v>#N/A</v>
      </c>
    </row>
    <row r="7340" spans="1:17" x14ac:dyDescent="0.3">
      <c r="A7340" s="34">
        <f>base!J7340</f>
        <v>0</v>
      </c>
      <c r="B7340" s="34">
        <f>base!V7340</f>
        <v>0</v>
      </c>
      <c r="C7340" s="40" t="s">
        <v>11</v>
      </c>
      <c r="D7340" s="36">
        <f>base!H7340</f>
        <v>0</v>
      </c>
      <c r="E7340" s="44"/>
      <c r="F7340" s="16">
        <f>base!W7340</f>
        <v>0</v>
      </c>
      <c r="G7340" s="11" t="e">
        <f t="shared" si="1140"/>
        <v>#DIV/0!</v>
      </c>
      <c r="H7340" s="11" t="e">
        <f t="shared" si="1141"/>
        <v>#N/A</v>
      </c>
      <c r="I7340" s="11" t="e">
        <f t="shared" si="1142"/>
        <v>#N/A</v>
      </c>
      <c r="J7340" s="12" t="e">
        <f t="shared" si="1143"/>
        <v>#N/A</v>
      </c>
      <c r="K7340" s="17" t="e">
        <f t="shared" si="1148"/>
        <v>#N/A</v>
      </c>
      <c r="L7340" s="16">
        <f>base!X7340</f>
        <v>0</v>
      </c>
      <c r="M7340" s="11" t="e">
        <f t="shared" si="1144"/>
        <v>#DIV/0!</v>
      </c>
      <c r="N7340" s="11" t="e">
        <f t="shared" si="1145"/>
        <v>#N/A</v>
      </c>
      <c r="O7340" s="11" t="e">
        <f t="shared" si="1146"/>
        <v>#N/A</v>
      </c>
      <c r="P7340" s="12" t="e">
        <f t="shared" si="1147"/>
        <v>#N/A</v>
      </c>
      <c r="Q7340" s="17" t="e">
        <f t="shared" si="1149"/>
        <v>#N/A</v>
      </c>
    </row>
    <row r="7341" spans="1:17" x14ac:dyDescent="0.3">
      <c r="A7341" s="34">
        <f>base!J7341</f>
        <v>0</v>
      </c>
      <c r="B7341" s="34">
        <f>base!V7341</f>
        <v>0</v>
      </c>
      <c r="C7341" s="40" t="s">
        <v>11</v>
      </c>
      <c r="D7341" s="36">
        <f>base!H7341</f>
        <v>0</v>
      </c>
      <c r="E7341" s="44"/>
      <c r="F7341" s="16">
        <f>base!W7341</f>
        <v>0</v>
      </c>
      <c r="G7341" s="11" t="e">
        <f t="shared" si="1140"/>
        <v>#DIV/0!</v>
      </c>
      <c r="H7341" s="11" t="e">
        <f t="shared" si="1141"/>
        <v>#N/A</v>
      </c>
      <c r="I7341" s="11" t="e">
        <f t="shared" si="1142"/>
        <v>#N/A</v>
      </c>
      <c r="J7341" s="12" t="e">
        <f t="shared" si="1143"/>
        <v>#N/A</v>
      </c>
      <c r="K7341" s="17" t="e">
        <f t="shared" si="1148"/>
        <v>#N/A</v>
      </c>
      <c r="L7341" s="16">
        <f>base!X7341</f>
        <v>0</v>
      </c>
      <c r="M7341" s="11" t="e">
        <f t="shared" si="1144"/>
        <v>#DIV/0!</v>
      </c>
      <c r="N7341" s="11" t="e">
        <f t="shared" si="1145"/>
        <v>#N/A</v>
      </c>
      <c r="O7341" s="11" t="e">
        <f t="shared" si="1146"/>
        <v>#N/A</v>
      </c>
      <c r="P7341" s="12" t="e">
        <f t="shared" si="1147"/>
        <v>#N/A</v>
      </c>
      <c r="Q7341" s="17" t="e">
        <f t="shared" si="1149"/>
        <v>#N/A</v>
      </c>
    </row>
    <row r="7342" spans="1:17" x14ac:dyDescent="0.3">
      <c r="A7342" s="34">
        <f>base!J7342</f>
        <v>0</v>
      </c>
      <c r="B7342" s="34">
        <f>base!V7342</f>
        <v>0</v>
      </c>
      <c r="C7342" s="40" t="s">
        <v>11</v>
      </c>
      <c r="D7342" s="36">
        <f>base!H7342</f>
        <v>0</v>
      </c>
      <c r="E7342" s="44"/>
      <c r="F7342" s="16">
        <f>base!W7342</f>
        <v>0</v>
      </c>
      <c r="G7342" s="11" t="e">
        <f t="shared" si="1140"/>
        <v>#DIV/0!</v>
      </c>
      <c r="H7342" s="11" t="e">
        <f t="shared" si="1141"/>
        <v>#N/A</v>
      </c>
      <c r="I7342" s="11" t="e">
        <f t="shared" si="1142"/>
        <v>#N/A</v>
      </c>
      <c r="J7342" s="12" t="e">
        <f t="shared" si="1143"/>
        <v>#N/A</v>
      </c>
      <c r="K7342" s="17" t="e">
        <f t="shared" si="1148"/>
        <v>#N/A</v>
      </c>
      <c r="L7342" s="16">
        <f>base!X7342</f>
        <v>0</v>
      </c>
      <c r="M7342" s="11" t="e">
        <f t="shared" si="1144"/>
        <v>#DIV/0!</v>
      </c>
      <c r="N7342" s="11" t="e">
        <f t="shared" si="1145"/>
        <v>#N/A</v>
      </c>
      <c r="O7342" s="11" t="e">
        <f t="shared" si="1146"/>
        <v>#N/A</v>
      </c>
      <c r="P7342" s="12" t="e">
        <f t="shared" si="1147"/>
        <v>#N/A</v>
      </c>
      <c r="Q7342" s="17" t="e">
        <f t="shared" si="1149"/>
        <v>#N/A</v>
      </c>
    </row>
    <row r="7343" spans="1:17" x14ac:dyDescent="0.3">
      <c r="A7343" s="34">
        <f>base!J7343</f>
        <v>0</v>
      </c>
      <c r="B7343" s="34">
        <f>base!V7343</f>
        <v>0</v>
      </c>
      <c r="C7343" s="40" t="s">
        <v>11</v>
      </c>
      <c r="D7343" s="36">
        <f>base!H7343</f>
        <v>0</v>
      </c>
      <c r="E7343" s="44"/>
      <c r="F7343" s="16">
        <f>base!W7343</f>
        <v>0</v>
      </c>
      <c r="G7343" s="11" t="e">
        <f t="shared" si="1140"/>
        <v>#DIV/0!</v>
      </c>
      <c r="H7343" s="11" t="e">
        <f t="shared" si="1141"/>
        <v>#N/A</v>
      </c>
      <c r="I7343" s="11" t="e">
        <f t="shared" si="1142"/>
        <v>#N/A</v>
      </c>
      <c r="J7343" s="12" t="e">
        <f t="shared" si="1143"/>
        <v>#N/A</v>
      </c>
      <c r="K7343" s="17" t="e">
        <f t="shared" si="1148"/>
        <v>#N/A</v>
      </c>
      <c r="L7343" s="16">
        <f>base!X7343</f>
        <v>0</v>
      </c>
      <c r="M7343" s="11" t="e">
        <f t="shared" si="1144"/>
        <v>#DIV/0!</v>
      </c>
      <c r="N7343" s="11" t="e">
        <f t="shared" si="1145"/>
        <v>#N/A</v>
      </c>
      <c r="O7343" s="11" t="e">
        <f t="shared" si="1146"/>
        <v>#N/A</v>
      </c>
      <c r="P7343" s="12" t="e">
        <f t="shared" si="1147"/>
        <v>#N/A</v>
      </c>
      <c r="Q7343" s="17" t="e">
        <f t="shared" si="1149"/>
        <v>#N/A</v>
      </c>
    </row>
    <row r="7344" spans="1:17" x14ac:dyDescent="0.3">
      <c r="A7344" s="34">
        <f>base!J7344</f>
        <v>0</v>
      </c>
      <c r="B7344" s="34">
        <f>base!V7344</f>
        <v>0</v>
      </c>
      <c r="C7344" s="40" t="s">
        <v>11</v>
      </c>
      <c r="D7344" s="36">
        <f>base!H7344</f>
        <v>0</v>
      </c>
      <c r="E7344" s="44"/>
      <c r="F7344" s="16">
        <f>base!W7344</f>
        <v>0</v>
      </c>
      <c r="G7344" s="11" t="e">
        <f t="shared" si="1140"/>
        <v>#DIV/0!</v>
      </c>
      <c r="H7344" s="11" t="e">
        <f t="shared" si="1141"/>
        <v>#N/A</v>
      </c>
      <c r="I7344" s="11" t="e">
        <f t="shared" si="1142"/>
        <v>#N/A</v>
      </c>
      <c r="J7344" s="12" t="e">
        <f t="shared" si="1143"/>
        <v>#N/A</v>
      </c>
      <c r="K7344" s="17" t="e">
        <f t="shared" si="1148"/>
        <v>#N/A</v>
      </c>
      <c r="L7344" s="16">
        <f>base!X7344</f>
        <v>0</v>
      </c>
      <c r="M7344" s="11" t="e">
        <f t="shared" si="1144"/>
        <v>#DIV/0!</v>
      </c>
      <c r="N7344" s="11" t="e">
        <f t="shared" si="1145"/>
        <v>#N/A</v>
      </c>
      <c r="O7344" s="11" t="e">
        <f t="shared" si="1146"/>
        <v>#N/A</v>
      </c>
      <c r="P7344" s="12" t="e">
        <f t="shared" si="1147"/>
        <v>#N/A</v>
      </c>
      <c r="Q7344" s="17" t="e">
        <f t="shared" si="1149"/>
        <v>#N/A</v>
      </c>
    </row>
    <row r="7345" spans="1:17" x14ac:dyDescent="0.3">
      <c r="A7345" s="34">
        <f>base!J7345</f>
        <v>0</v>
      </c>
      <c r="B7345" s="34">
        <f>base!V7345</f>
        <v>0</v>
      </c>
      <c r="C7345" s="40" t="s">
        <v>11</v>
      </c>
      <c r="D7345" s="36">
        <f>base!H7345</f>
        <v>0</v>
      </c>
      <c r="E7345" s="44"/>
      <c r="F7345" s="16">
        <f>base!W7345</f>
        <v>0</v>
      </c>
      <c r="G7345" s="11" t="e">
        <f t="shared" si="1140"/>
        <v>#DIV/0!</v>
      </c>
      <c r="H7345" s="11" t="e">
        <f t="shared" si="1141"/>
        <v>#N/A</v>
      </c>
      <c r="I7345" s="11" t="e">
        <f t="shared" si="1142"/>
        <v>#N/A</v>
      </c>
      <c r="J7345" s="12" t="e">
        <f t="shared" si="1143"/>
        <v>#N/A</v>
      </c>
      <c r="K7345" s="17" t="e">
        <f t="shared" si="1148"/>
        <v>#N/A</v>
      </c>
      <c r="L7345" s="16">
        <f>base!X7345</f>
        <v>0</v>
      </c>
      <c r="M7345" s="11" t="e">
        <f t="shared" si="1144"/>
        <v>#DIV/0!</v>
      </c>
      <c r="N7345" s="11" t="e">
        <f t="shared" si="1145"/>
        <v>#N/A</v>
      </c>
      <c r="O7345" s="11" t="e">
        <f t="shared" si="1146"/>
        <v>#N/A</v>
      </c>
      <c r="P7345" s="12" t="e">
        <f t="shared" si="1147"/>
        <v>#N/A</v>
      </c>
      <c r="Q7345" s="17" t="e">
        <f t="shared" si="1149"/>
        <v>#N/A</v>
      </c>
    </row>
    <row r="7346" spans="1:17" x14ac:dyDescent="0.3">
      <c r="A7346" s="34">
        <f>base!J7346</f>
        <v>0</v>
      </c>
      <c r="B7346" s="34">
        <f>base!V7346</f>
        <v>0</v>
      </c>
      <c r="C7346" s="40" t="s">
        <v>11</v>
      </c>
      <c r="D7346" s="36">
        <f>base!H7346</f>
        <v>0</v>
      </c>
      <c r="E7346" s="44"/>
      <c r="F7346" s="16">
        <f>base!W7346</f>
        <v>0</v>
      </c>
      <c r="G7346" s="11" t="e">
        <f t="shared" si="1140"/>
        <v>#DIV/0!</v>
      </c>
      <c r="H7346" s="11" t="e">
        <f t="shared" si="1141"/>
        <v>#N/A</v>
      </c>
      <c r="I7346" s="11" t="e">
        <f t="shared" si="1142"/>
        <v>#N/A</v>
      </c>
      <c r="J7346" s="12" t="e">
        <f t="shared" si="1143"/>
        <v>#N/A</v>
      </c>
      <c r="K7346" s="17" t="e">
        <f t="shared" si="1148"/>
        <v>#N/A</v>
      </c>
      <c r="L7346" s="16">
        <f>base!X7346</f>
        <v>0</v>
      </c>
      <c r="M7346" s="11" t="e">
        <f t="shared" si="1144"/>
        <v>#DIV/0!</v>
      </c>
      <c r="N7346" s="11" t="e">
        <f t="shared" si="1145"/>
        <v>#N/A</v>
      </c>
      <c r="O7346" s="11" t="e">
        <f t="shared" si="1146"/>
        <v>#N/A</v>
      </c>
      <c r="P7346" s="12" t="e">
        <f t="shared" si="1147"/>
        <v>#N/A</v>
      </c>
      <c r="Q7346" s="17" t="e">
        <f t="shared" si="1149"/>
        <v>#N/A</v>
      </c>
    </row>
    <row r="7347" spans="1:17" x14ac:dyDescent="0.3">
      <c r="A7347" s="34">
        <f>base!J7347</f>
        <v>0</v>
      </c>
      <c r="B7347" s="34">
        <f>base!V7347</f>
        <v>0</v>
      </c>
      <c r="C7347" s="40" t="s">
        <v>11</v>
      </c>
      <c r="D7347" s="36">
        <f>base!H7347</f>
        <v>0</v>
      </c>
      <c r="E7347" s="44"/>
      <c r="F7347" s="16">
        <f>base!W7347</f>
        <v>0</v>
      </c>
      <c r="G7347" s="11" t="e">
        <f t="shared" si="1140"/>
        <v>#DIV/0!</v>
      </c>
      <c r="H7347" s="11" t="e">
        <f t="shared" si="1141"/>
        <v>#N/A</v>
      </c>
      <c r="I7347" s="11" t="e">
        <f t="shared" si="1142"/>
        <v>#N/A</v>
      </c>
      <c r="J7347" s="12" t="e">
        <f t="shared" si="1143"/>
        <v>#N/A</v>
      </c>
      <c r="K7347" s="17" t="e">
        <f t="shared" si="1148"/>
        <v>#N/A</v>
      </c>
      <c r="L7347" s="16">
        <f>base!X7347</f>
        <v>0</v>
      </c>
      <c r="M7347" s="11" t="e">
        <f t="shared" si="1144"/>
        <v>#DIV/0!</v>
      </c>
      <c r="N7347" s="11" t="e">
        <f t="shared" si="1145"/>
        <v>#N/A</v>
      </c>
      <c r="O7347" s="11" t="e">
        <f t="shared" si="1146"/>
        <v>#N/A</v>
      </c>
      <c r="P7347" s="12" t="e">
        <f t="shared" si="1147"/>
        <v>#N/A</v>
      </c>
      <c r="Q7347" s="17" t="e">
        <f t="shared" si="1149"/>
        <v>#N/A</v>
      </c>
    </row>
    <row r="7348" spans="1:17" x14ac:dyDescent="0.3">
      <c r="A7348" s="34">
        <f>base!J7348</f>
        <v>0</v>
      </c>
      <c r="B7348" s="34">
        <f>base!V7348</f>
        <v>0</v>
      </c>
      <c r="C7348" s="40" t="s">
        <v>11</v>
      </c>
      <c r="D7348" s="36">
        <f>base!H7348</f>
        <v>0</v>
      </c>
      <c r="E7348" s="44"/>
      <c r="F7348" s="16">
        <f>base!W7348</f>
        <v>0</v>
      </c>
      <c r="G7348" s="11" t="e">
        <f t="shared" si="1140"/>
        <v>#DIV/0!</v>
      </c>
      <c r="H7348" s="11" t="e">
        <f t="shared" si="1141"/>
        <v>#N/A</v>
      </c>
      <c r="I7348" s="11" t="e">
        <f t="shared" si="1142"/>
        <v>#N/A</v>
      </c>
      <c r="J7348" s="12" t="e">
        <f t="shared" si="1143"/>
        <v>#N/A</v>
      </c>
      <c r="K7348" s="17" t="e">
        <f t="shared" si="1148"/>
        <v>#N/A</v>
      </c>
      <c r="L7348" s="16">
        <f>base!X7348</f>
        <v>0</v>
      </c>
      <c r="M7348" s="11" t="e">
        <f t="shared" si="1144"/>
        <v>#DIV/0!</v>
      </c>
      <c r="N7348" s="11" t="e">
        <f t="shared" si="1145"/>
        <v>#N/A</v>
      </c>
      <c r="O7348" s="11" t="e">
        <f t="shared" si="1146"/>
        <v>#N/A</v>
      </c>
      <c r="P7348" s="12" t="e">
        <f t="shared" si="1147"/>
        <v>#N/A</v>
      </c>
      <c r="Q7348" s="17" t="e">
        <f t="shared" si="1149"/>
        <v>#N/A</v>
      </c>
    </row>
    <row r="7349" spans="1:17" x14ac:dyDescent="0.3">
      <c r="A7349" s="34">
        <f>base!J7349</f>
        <v>0</v>
      </c>
      <c r="B7349" s="34">
        <f>base!V7349</f>
        <v>0</v>
      </c>
      <c r="C7349" s="40" t="s">
        <v>11</v>
      </c>
      <c r="D7349" s="36">
        <f>base!H7349</f>
        <v>0</v>
      </c>
      <c r="E7349" s="44"/>
      <c r="F7349" s="16">
        <f>base!W7349</f>
        <v>0</v>
      </c>
      <c r="G7349" s="11" t="e">
        <f t="shared" si="1140"/>
        <v>#DIV/0!</v>
      </c>
      <c r="H7349" s="11" t="e">
        <f t="shared" si="1141"/>
        <v>#N/A</v>
      </c>
      <c r="I7349" s="11" t="e">
        <f t="shared" si="1142"/>
        <v>#N/A</v>
      </c>
      <c r="J7349" s="12" t="e">
        <f t="shared" si="1143"/>
        <v>#N/A</v>
      </c>
      <c r="K7349" s="17" t="e">
        <f t="shared" si="1148"/>
        <v>#N/A</v>
      </c>
      <c r="L7349" s="16">
        <f>base!X7349</f>
        <v>0</v>
      </c>
      <c r="M7349" s="11" t="e">
        <f t="shared" si="1144"/>
        <v>#DIV/0!</v>
      </c>
      <c r="N7349" s="11" t="e">
        <f t="shared" si="1145"/>
        <v>#N/A</v>
      </c>
      <c r="O7349" s="11" t="e">
        <f t="shared" si="1146"/>
        <v>#N/A</v>
      </c>
      <c r="P7349" s="12" t="e">
        <f t="shared" si="1147"/>
        <v>#N/A</v>
      </c>
      <c r="Q7349" s="17" t="e">
        <f t="shared" si="1149"/>
        <v>#N/A</v>
      </c>
    </row>
    <row r="7350" spans="1:17" x14ac:dyDescent="0.3">
      <c r="A7350" s="34">
        <f>base!J7350</f>
        <v>0</v>
      </c>
      <c r="B7350" s="34">
        <f>base!V7350</f>
        <v>0</v>
      </c>
      <c r="C7350" s="40" t="s">
        <v>11</v>
      </c>
      <c r="D7350" s="36">
        <f>base!H7350</f>
        <v>0</v>
      </c>
      <c r="E7350" s="44"/>
      <c r="F7350" s="16">
        <f>base!W7350</f>
        <v>0</v>
      </c>
      <c r="G7350" s="11" t="e">
        <f t="shared" si="1140"/>
        <v>#DIV/0!</v>
      </c>
      <c r="H7350" s="11" t="e">
        <f t="shared" si="1141"/>
        <v>#N/A</v>
      </c>
      <c r="I7350" s="11" t="e">
        <f t="shared" si="1142"/>
        <v>#N/A</v>
      </c>
      <c r="J7350" s="12" t="e">
        <f t="shared" si="1143"/>
        <v>#N/A</v>
      </c>
      <c r="K7350" s="17" t="e">
        <f t="shared" si="1148"/>
        <v>#N/A</v>
      </c>
      <c r="L7350" s="16">
        <f>base!X7350</f>
        <v>0</v>
      </c>
      <c r="M7350" s="11" t="e">
        <f t="shared" si="1144"/>
        <v>#DIV/0!</v>
      </c>
      <c r="N7350" s="11" t="e">
        <f t="shared" si="1145"/>
        <v>#N/A</v>
      </c>
      <c r="O7350" s="11" t="e">
        <f t="shared" si="1146"/>
        <v>#N/A</v>
      </c>
      <c r="P7350" s="12" t="e">
        <f t="shared" si="1147"/>
        <v>#N/A</v>
      </c>
      <c r="Q7350" s="17" t="e">
        <f t="shared" si="1149"/>
        <v>#N/A</v>
      </c>
    </row>
    <row r="7351" spans="1:17" x14ac:dyDescent="0.3">
      <c r="A7351" s="34">
        <f>base!J7351</f>
        <v>0</v>
      </c>
      <c r="B7351" s="34">
        <f>base!V7351</f>
        <v>0</v>
      </c>
      <c r="C7351" s="40" t="s">
        <v>11</v>
      </c>
      <c r="D7351" s="36">
        <f>base!H7351</f>
        <v>0</v>
      </c>
      <c r="E7351" s="44"/>
      <c r="F7351" s="16">
        <f>base!W7351</f>
        <v>0</v>
      </c>
      <c r="G7351" s="11" t="e">
        <f t="shared" si="1140"/>
        <v>#DIV/0!</v>
      </c>
      <c r="H7351" s="11" t="e">
        <f t="shared" si="1141"/>
        <v>#N/A</v>
      </c>
      <c r="I7351" s="11" t="e">
        <f t="shared" si="1142"/>
        <v>#N/A</v>
      </c>
      <c r="J7351" s="12" t="e">
        <f t="shared" si="1143"/>
        <v>#N/A</v>
      </c>
      <c r="K7351" s="17" t="e">
        <f t="shared" si="1148"/>
        <v>#N/A</v>
      </c>
      <c r="L7351" s="16">
        <f>base!X7351</f>
        <v>0</v>
      </c>
      <c r="M7351" s="11" t="e">
        <f t="shared" si="1144"/>
        <v>#DIV/0!</v>
      </c>
      <c r="N7351" s="11" t="e">
        <f t="shared" si="1145"/>
        <v>#N/A</v>
      </c>
      <c r="O7351" s="11" t="e">
        <f t="shared" si="1146"/>
        <v>#N/A</v>
      </c>
      <c r="P7351" s="12" t="e">
        <f t="shared" si="1147"/>
        <v>#N/A</v>
      </c>
      <c r="Q7351" s="17" t="e">
        <f t="shared" si="1149"/>
        <v>#N/A</v>
      </c>
    </row>
    <row r="7352" spans="1:17" x14ac:dyDescent="0.3">
      <c r="A7352" s="34">
        <f>base!J7352</f>
        <v>0</v>
      </c>
      <c r="B7352" s="34">
        <f>base!V7352</f>
        <v>0</v>
      </c>
      <c r="C7352" s="40" t="s">
        <v>11</v>
      </c>
      <c r="D7352" s="36">
        <f>base!H7352</f>
        <v>0</v>
      </c>
      <c r="E7352" s="44"/>
      <c r="F7352" s="16">
        <f>base!W7352</f>
        <v>0</v>
      </c>
      <c r="G7352" s="11" t="e">
        <f t="shared" si="1140"/>
        <v>#DIV/0!</v>
      </c>
      <c r="H7352" s="11" t="e">
        <f t="shared" si="1141"/>
        <v>#N/A</v>
      </c>
      <c r="I7352" s="11" t="e">
        <f t="shared" si="1142"/>
        <v>#N/A</v>
      </c>
      <c r="J7352" s="12" t="e">
        <f t="shared" si="1143"/>
        <v>#N/A</v>
      </c>
      <c r="K7352" s="17" t="e">
        <f t="shared" si="1148"/>
        <v>#N/A</v>
      </c>
      <c r="L7352" s="16">
        <f>base!X7352</f>
        <v>0</v>
      </c>
      <c r="M7352" s="11" t="e">
        <f t="shared" si="1144"/>
        <v>#DIV/0!</v>
      </c>
      <c r="N7352" s="11" t="e">
        <f t="shared" si="1145"/>
        <v>#N/A</v>
      </c>
      <c r="O7352" s="11" t="e">
        <f t="shared" si="1146"/>
        <v>#N/A</v>
      </c>
      <c r="P7352" s="12" t="e">
        <f t="shared" si="1147"/>
        <v>#N/A</v>
      </c>
      <c r="Q7352" s="17" t="e">
        <f t="shared" si="1149"/>
        <v>#N/A</v>
      </c>
    </row>
    <row r="7353" spans="1:17" x14ac:dyDescent="0.3">
      <c r="A7353" s="34">
        <f>base!J7353</f>
        <v>0</v>
      </c>
      <c r="B7353" s="34">
        <f>base!V7353</f>
        <v>0</v>
      </c>
      <c r="C7353" s="40" t="s">
        <v>11</v>
      </c>
      <c r="D7353" s="36">
        <f>base!H7353</f>
        <v>0</v>
      </c>
      <c r="E7353" s="44"/>
      <c r="F7353" s="16">
        <f>base!W7353</f>
        <v>0</v>
      </c>
      <c r="G7353" s="11" t="e">
        <f t="shared" si="1140"/>
        <v>#DIV/0!</v>
      </c>
      <c r="H7353" s="11" t="e">
        <f t="shared" si="1141"/>
        <v>#N/A</v>
      </c>
      <c r="I7353" s="11" t="e">
        <f t="shared" si="1142"/>
        <v>#N/A</v>
      </c>
      <c r="J7353" s="12" t="e">
        <f t="shared" si="1143"/>
        <v>#N/A</v>
      </c>
      <c r="K7353" s="17" t="e">
        <f t="shared" si="1148"/>
        <v>#N/A</v>
      </c>
      <c r="L7353" s="16">
        <f>base!X7353</f>
        <v>0</v>
      </c>
      <c r="M7353" s="11" t="e">
        <f t="shared" si="1144"/>
        <v>#DIV/0!</v>
      </c>
      <c r="N7353" s="11" t="e">
        <f t="shared" si="1145"/>
        <v>#N/A</v>
      </c>
      <c r="O7353" s="11" t="e">
        <f t="shared" si="1146"/>
        <v>#N/A</v>
      </c>
      <c r="P7353" s="12" t="e">
        <f t="shared" si="1147"/>
        <v>#N/A</v>
      </c>
      <c r="Q7353" s="17" t="e">
        <f t="shared" si="1149"/>
        <v>#N/A</v>
      </c>
    </row>
    <row r="7354" spans="1:17" x14ac:dyDescent="0.3">
      <c r="A7354" s="34">
        <f>base!J7354</f>
        <v>0</v>
      </c>
      <c r="B7354" s="34">
        <f>base!V7354</f>
        <v>0</v>
      </c>
      <c r="C7354" s="40" t="s">
        <v>11</v>
      </c>
      <c r="D7354" s="36">
        <f>base!H7354</f>
        <v>0</v>
      </c>
      <c r="E7354" s="44"/>
      <c r="F7354" s="16">
        <f>base!W7354</f>
        <v>0</v>
      </c>
      <c r="G7354" s="11" t="e">
        <f t="shared" si="1140"/>
        <v>#DIV/0!</v>
      </c>
      <c r="H7354" s="11" t="e">
        <f t="shared" si="1141"/>
        <v>#N/A</v>
      </c>
      <c r="I7354" s="11" t="e">
        <f t="shared" si="1142"/>
        <v>#N/A</v>
      </c>
      <c r="J7354" s="12" t="e">
        <f t="shared" si="1143"/>
        <v>#N/A</v>
      </c>
      <c r="K7354" s="17" t="e">
        <f t="shared" si="1148"/>
        <v>#N/A</v>
      </c>
      <c r="L7354" s="16">
        <f>base!X7354</f>
        <v>0</v>
      </c>
      <c r="M7354" s="11" t="e">
        <f t="shared" si="1144"/>
        <v>#DIV/0!</v>
      </c>
      <c r="N7354" s="11" t="e">
        <f t="shared" si="1145"/>
        <v>#N/A</v>
      </c>
      <c r="O7354" s="11" t="e">
        <f t="shared" si="1146"/>
        <v>#N/A</v>
      </c>
      <c r="P7354" s="12" t="e">
        <f t="shared" si="1147"/>
        <v>#N/A</v>
      </c>
      <c r="Q7354" s="17" t="e">
        <f t="shared" si="1149"/>
        <v>#N/A</v>
      </c>
    </row>
    <row r="7355" spans="1:17" x14ac:dyDescent="0.3">
      <c r="A7355" s="34">
        <f>base!J7355</f>
        <v>0</v>
      </c>
      <c r="B7355" s="34">
        <f>base!V7355</f>
        <v>0</v>
      </c>
      <c r="C7355" s="40" t="s">
        <v>11</v>
      </c>
      <c r="D7355" s="36">
        <f>base!H7355</f>
        <v>0</v>
      </c>
      <c r="E7355" s="44"/>
      <c r="F7355" s="16">
        <f>base!W7355</f>
        <v>0</v>
      </c>
      <c r="G7355" s="11" t="e">
        <f t="shared" si="1140"/>
        <v>#DIV/0!</v>
      </c>
      <c r="H7355" s="11" t="e">
        <f t="shared" si="1141"/>
        <v>#N/A</v>
      </c>
      <c r="I7355" s="11" t="e">
        <f t="shared" si="1142"/>
        <v>#N/A</v>
      </c>
      <c r="J7355" s="12" t="e">
        <f t="shared" si="1143"/>
        <v>#N/A</v>
      </c>
      <c r="K7355" s="17" t="e">
        <f t="shared" si="1148"/>
        <v>#N/A</v>
      </c>
      <c r="L7355" s="16">
        <f>base!X7355</f>
        <v>0</v>
      </c>
      <c r="M7355" s="11" t="e">
        <f t="shared" si="1144"/>
        <v>#DIV/0!</v>
      </c>
      <c r="N7355" s="11" t="e">
        <f t="shared" si="1145"/>
        <v>#N/A</v>
      </c>
      <c r="O7355" s="11" t="e">
        <f t="shared" si="1146"/>
        <v>#N/A</v>
      </c>
      <c r="P7355" s="12" t="e">
        <f t="shared" si="1147"/>
        <v>#N/A</v>
      </c>
      <c r="Q7355" s="17" t="e">
        <f t="shared" si="1149"/>
        <v>#N/A</v>
      </c>
    </row>
    <row r="7356" spans="1:17" x14ac:dyDescent="0.3">
      <c r="A7356" s="34">
        <f>base!J7356</f>
        <v>0</v>
      </c>
      <c r="B7356" s="34">
        <f>base!V7356</f>
        <v>0</v>
      </c>
      <c r="C7356" s="40" t="s">
        <v>11</v>
      </c>
      <c r="D7356" s="36">
        <f>base!H7356</f>
        <v>0</v>
      </c>
      <c r="E7356" s="44"/>
      <c r="F7356" s="16">
        <f>base!W7356</f>
        <v>0</v>
      </c>
      <c r="G7356" s="11" t="e">
        <f t="shared" si="1140"/>
        <v>#DIV/0!</v>
      </c>
      <c r="H7356" s="11" t="e">
        <f t="shared" si="1141"/>
        <v>#N/A</v>
      </c>
      <c r="I7356" s="11" t="e">
        <f t="shared" si="1142"/>
        <v>#N/A</v>
      </c>
      <c r="J7356" s="12" t="e">
        <f t="shared" si="1143"/>
        <v>#N/A</v>
      </c>
      <c r="K7356" s="17" t="e">
        <f t="shared" si="1148"/>
        <v>#N/A</v>
      </c>
      <c r="L7356" s="16">
        <f>base!X7356</f>
        <v>0</v>
      </c>
      <c r="M7356" s="11" t="e">
        <f t="shared" si="1144"/>
        <v>#DIV/0!</v>
      </c>
      <c r="N7356" s="11" t="e">
        <f t="shared" si="1145"/>
        <v>#N/A</v>
      </c>
      <c r="O7356" s="11" t="e">
        <f t="shared" si="1146"/>
        <v>#N/A</v>
      </c>
      <c r="P7356" s="12" t="e">
        <f t="shared" si="1147"/>
        <v>#N/A</v>
      </c>
      <c r="Q7356" s="17" t="e">
        <f t="shared" si="1149"/>
        <v>#N/A</v>
      </c>
    </row>
    <row r="7357" spans="1:17" x14ac:dyDescent="0.3">
      <c r="A7357" s="34">
        <f>base!J7357</f>
        <v>0</v>
      </c>
      <c r="B7357" s="34">
        <f>base!V7357</f>
        <v>0</v>
      </c>
      <c r="C7357" s="40" t="s">
        <v>11</v>
      </c>
      <c r="D7357" s="36">
        <f>base!H7357</f>
        <v>0</v>
      </c>
      <c r="E7357" s="44"/>
      <c r="F7357" s="16">
        <f>base!W7357</f>
        <v>0</v>
      </c>
      <c r="G7357" s="11" t="e">
        <f t="shared" si="1140"/>
        <v>#DIV/0!</v>
      </c>
      <c r="H7357" s="11" t="e">
        <f t="shared" si="1141"/>
        <v>#N/A</v>
      </c>
      <c r="I7357" s="11" t="e">
        <f t="shared" si="1142"/>
        <v>#N/A</v>
      </c>
      <c r="J7357" s="12" t="e">
        <f t="shared" si="1143"/>
        <v>#N/A</v>
      </c>
      <c r="K7357" s="17" t="e">
        <f t="shared" si="1148"/>
        <v>#N/A</v>
      </c>
      <c r="L7357" s="16">
        <f>base!X7357</f>
        <v>0</v>
      </c>
      <c r="M7357" s="11" t="e">
        <f t="shared" si="1144"/>
        <v>#DIV/0!</v>
      </c>
      <c r="N7357" s="11" t="e">
        <f t="shared" si="1145"/>
        <v>#N/A</v>
      </c>
      <c r="O7357" s="11" t="e">
        <f t="shared" si="1146"/>
        <v>#N/A</v>
      </c>
      <c r="P7357" s="12" t="e">
        <f t="shared" si="1147"/>
        <v>#N/A</v>
      </c>
      <c r="Q7357" s="17" t="e">
        <f t="shared" si="1149"/>
        <v>#N/A</v>
      </c>
    </row>
    <row r="7358" spans="1:17" x14ac:dyDescent="0.3">
      <c r="A7358" s="34">
        <f>base!J7358</f>
        <v>0</v>
      </c>
      <c r="B7358" s="34">
        <f>base!V7358</f>
        <v>0</v>
      </c>
      <c r="C7358" s="40" t="s">
        <v>11</v>
      </c>
      <c r="D7358" s="36">
        <f>base!H7358</f>
        <v>0</v>
      </c>
      <c r="E7358" s="44"/>
      <c r="F7358" s="16">
        <f>base!W7358</f>
        <v>0</v>
      </c>
      <c r="G7358" s="11" t="e">
        <f t="shared" si="1140"/>
        <v>#DIV/0!</v>
      </c>
      <c r="H7358" s="11" t="e">
        <f t="shared" si="1141"/>
        <v>#N/A</v>
      </c>
      <c r="I7358" s="11" t="e">
        <f t="shared" si="1142"/>
        <v>#N/A</v>
      </c>
      <c r="J7358" s="12" t="e">
        <f t="shared" si="1143"/>
        <v>#N/A</v>
      </c>
      <c r="K7358" s="17" t="e">
        <f t="shared" si="1148"/>
        <v>#N/A</v>
      </c>
      <c r="L7358" s="16">
        <f>base!X7358</f>
        <v>0</v>
      </c>
      <c r="M7358" s="11" t="e">
        <f t="shared" si="1144"/>
        <v>#DIV/0!</v>
      </c>
      <c r="N7358" s="11" t="e">
        <f t="shared" si="1145"/>
        <v>#N/A</v>
      </c>
      <c r="O7358" s="11" t="e">
        <f t="shared" si="1146"/>
        <v>#N/A</v>
      </c>
      <c r="P7358" s="12" t="e">
        <f t="shared" si="1147"/>
        <v>#N/A</v>
      </c>
      <c r="Q7358" s="17" t="e">
        <f t="shared" si="1149"/>
        <v>#N/A</v>
      </c>
    </row>
    <row r="7359" spans="1:17" x14ac:dyDescent="0.3">
      <c r="A7359" s="34">
        <f>base!J7359</f>
        <v>0</v>
      </c>
      <c r="B7359" s="34">
        <f>base!V7359</f>
        <v>0</v>
      </c>
      <c r="C7359" s="40" t="s">
        <v>11</v>
      </c>
      <c r="D7359" s="36">
        <f>base!H7359</f>
        <v>0</v>
      </c>
      <c r="E7359" s="44"/>
      <c r="F7359" s="16">
        <f>base!W7359</f>
        <v>0</v>
      </c>
      <c r="G7359" s="11" t="e">
        <f t="shared" si="1140"/>
        <v>#DIV/0!</v>
      </c>
      <c r="H7359" s="11" t="e">
        <f t="shared" si="1141"/>
        <v>#N/A</v>
      </c>
      <c r="I7359" s="11" t="e">
        <f t="shared" si="1142"/>
        <v>#N/A</v>
      </c>
      <c r="J7359" s="12" t="e">
        <f t="shared" si="1143"/>
        <v>#N/A</v>
      </c>
      <c r="K7359" s="17" t="e">
        <f t="shared" si="1148"/>
        <v>#N/A</v>
      </c>
      <c r="L7359" s="16">
        <f>base!X7359</f>
        <v>0</v>
      </c>
      <c r="M7359" s="11" t="e">
        <f t="shared" si="1144"/>
        <v>#DIV/0!</v>
      </c>
      <c r="N7359" s="11" t="e">
        <f t="shared" si="1145"/>
        <v>#N/A</v>
      </c>
      <c r="O7359" s="11" t="e">
        <f t="shared" si="1146"/>
        <v>#N/A</v>
      </c>
      <c r="P7359" s="12" t="e">
        <f t="shared" si="1147"/>
        <v>#N/A</v>
      </c>
      <c r="Q7359" s="17" t="e">
        <f t="shared" si="1149"/>
        <v>#N/A</v>
      </c>
    </row>
    <row r="7360" spans="1:17" x14ac:dyDescent="0.3">
      <c r="A7360" s="34">
        <f>base!J7360</f>
        <v>0</v>
      </c>
      <c r="B7360" s="34">
        <f>base!V7360</f>
        <v>0</v>
      </c>
      <c r="C7360" s="40" t="s">
        <v>11</v>
      </c>
      <c r="D7360" s="36">
        <f>base!H7360</f>
        <v>0</v>
      </c>
      <c r="E7360" s="44"/>
      <c r="F7360" s="16">
        <f>base!W7360</f>
        <v>0</v>
      </c>
      <c r="G7360" s="11" t="e">
        <f t="shared" si="1140"/>
        <v>#DIV/0!</v>
      </c>
      <c r="H7360" s="11" t="e">
        <f t="shared" si="1141"/>
        <v>#N/A</v>
      </c>
      <c r="I7360" s="11" t="e">
        <f t="shared" si="1142"/>
        <v>#N/A</v>
      </c>
      <c r="J7360" s="12" t="e">
        <f t="shared" si="1143"/>
        <v>#N/A</v>
      </c>
      <c r="K7360" s="17" t="e">
        <f t="shared" si="1148"/>
        <v>#N/A</v>
      </c>
      <c r="L7360" s="16">
        <f>base!X7360</f>
        <v>0</v>
      </c>
      <c r="M7360" s="11" t="e">
        <f t="shared" si="1144"/>
        <v>#DIV/0!</v>
      </c>
      <c r="N7360" s="11" t="e">
        <f t="shared" si="1145"/>
        <v>#N/A</v>
      </c>
      <c r="O7360" s="11" t="e">
        <f t="shared" si="1146"/>
        <v>#N/A</v>
      </c>
      <c r="P7360" s="12" t="e">
        <f t="shared" si="1147"/>
        <v>#N/A</v>
      </c>
      <c r="Q7360" s="17" t="e">
        <f t="shared" si="1149"/>
        <v>#N/A</v>
      </c>
    </row>
    <row r="7361" spans="1:17" x14ac:dyDescent="0.3">
      <c r="A7361" s="34">
        <f>base!J7361</f>
        <v>0</v>
      </c>
      <c r="B7361" s="34">
        <f>base!V7361</f>
        <v>0</v>
      </c>
      <c r="C7361" s="40" t="s">
        <v>11</v>
      </c>
      <c r="D7361" s="36">
        <f>base!H7361</f>
        <v>0</v>
      </c>
      <c r="E7361" s="44"/>
      <c r="F7361" s="16">
        <f>base!W7361</f>
        <v>0</v>
      </c>
      <c r="G7361" s="11" t="e">
        <f t="shared" si="1140"/>
        <v>#DIV/0!</v>
      </c>
      <c r="H7361" s="11" t="e">
        <f t="shared" si="1141"/>
        <v>#N/A</v>
      </c>
      <c r="I7361" s="11" t="e">
        <f t="shared" si="1142"/>
        <v>#N/A</v>
      </c>
      <c r="J7361" s="12" t="e">
        <f t="shared" si="1143"/>
        <v>#N/A</v>
      </c>
      <c r="K7361" s="17" t="e">
        <f t="shared" si="1148"/>
        <v>#N/A</v>
      </c>
      <c r="L7361" s="16">
        <f>base!X7361</f>
        <v>0</v>
      </c>
      <c r="M7361" s="11" t="e">
        <f t="shared" si="1144"/>
        <v>#DIV/0!</v>
      </c>
      <c r="N7361" s="11" t="e">
        <f t="shared" si="1145"/>
        <v>#N/A</v>
      </c>
      <c r="O7361" s="11" t="e">
        <f t="shared" si="1146"/>
        <v>#N/A</v>
      </c>
      <c r="P7361" s="12" t="e">
        <f t="shared" si="1147"/>
        <v>#N/A</v>
      </c>
      <c r="Q7361" s="17" t="e">
        <f t="shared" si="1149"/>
        <v>#N/A</v>
      </c>
    </row>
    <row r="7362" spans="1:17" x14ac:dyDescent="0.3">
      <c r="A7362" s="34">
        <f>base!J7362</f>
        <v>0</v>
      </c>
      <c r="B7362" s="34">
        <f>base!V7362</f>
        <v>0</v>
      </c>
      <c r="C7362" s="40" t="s">
        <v>11</v>
      </c>
      <c r="D7362" s="36">
        <f>base!H7362</f>
        <v>0</v>
      </c>
      <c r="E7362" s="44"/>
      <c r="F7362" s="16">
        <f>base!W7362</f>
        <v>0</v>
      </c>
      <c r="G7362" s="11" t="e">
        <f t="shared" ref="G7362:G7425" si="1150">F7362/D7362</f>
        <v>#DIV/0!</v>
      </c>
      <c r="H7362" s="11" t="e">
        <f t="shared" ref="H7362:H7425" si="1151">VLOOKUP(C7362,tout_cout_traction,2,FALSE)*D7362</f>
        <v>#N/A</v>
      </c>
      <c r="I7362" s="11" t="e">
        <f t="shared" ref="I7362:I7425" si="1152">H7362/D7362</f>
        <v>#N/A</v>
      </c>
      <c r="J7362" s="12" t="e">
        <f t="shared" ref="J7362:J7425" si="1153">F7362-H7362</f>
        <v>#N/A</v>
      </c>
      <c r="K7362" s="17" t="e">
        <f t="shared" si="1148"/>
        <v>#N/A</v>
      </c>
      <c r="L7362" s="16">
        <f>base!X7362</f>
        <v>0</v>
      </c>
      <c r="M7362" s="11" t="e">
        <f t="shared" ref="M7362:M7425" si="1154">L7362/D7362</f>
        <v>#DIV/0!</v>
      </c>
      <c r="N7362" s="11" t="e">
        <f t="shared" ref="N7362:N7425" si="1155">VLOOKUP(C7362,tout_cout_traction,3,FALSE)*D7362</f>
        <v>#N/A</v>
      </c>
      <c r="O7362" s="11" t="e">
        <f t="shared" ref="O7362:O7425" si="1156">N7362/D7362</f>
        <v>#N/A</v>
      </c>
      <c r="P7362" s="12" t="e">
        <f t="shared" ref="P7362:P7425" si="1157">L7362-N7362</f>
        <v>#N/A</v>
      </c>
      <c r="Q7362" s="17" t="e">
        <f t="shared" si="1149"/>
        <v>#N/A</v>
      </c>
    </row>
    <row r="7363" spans="1:17" x14ac:dyDescent="0.3">
      <c r="A7363" s="34">
        <f>base!J7363</f>
        <v>0</v>
      </c>
      <c r="B7363" s="34">
        <f>base!V7363</f>
        <v>0</v>
      </c>
      <c r="C7363" s="40" t="s">
        <v>11</v>
      </c>
      <c r="D7363" s="36">
        <f>base!H7363</f>
        <v>0</v>
      </c>
      <c r="E7363" s="44"/>
      <c r="F7363" s="16">
        <f>base!W7363</f>
        <v>0</v>
      </c>
      <c r="G7363" s="11" t="e">
        <f t="shared" si="1150"/>
        <v>#DIV/0!</v>
      </c>
      <c r="H7363" s="11" t="e">
        <f t="shared" si="1151"/>
        <v>#N/A</v>
      </c>
      <c r="I7363" s="11" t="e">
        <f t="shared" si="1152"/>
        <v>#N/A</v>
      </c>
      <c r="J7363" s="12" t="e">
        <f t="shared" si="1153"/>
        <v>#N/A</v>
      </c>
      <c r="K7363" s="17" t="e">
        <f t="shared" ref="K7363:K7426" si="1158">IF(H7363=F7363,"Pas d'écart",IF(H7363&lt;F7363,"Ecart positif",IF(H7363&gt;F7363,"Ecart négatif")))</f>
        <v>#N/A</v>
      </c>
      <c r="L7363" s="16">
        <f>base!X7363</f>
        <v>0</v>
      </c>
      <c r="M7363" s="11" t="e">
        <f t="shared" si="1154"/>
        <v>#DIV/0!</v>
      </c>
      <c r="N7363" s="11" t="e">
        <f t="shared" si="1155"/>
        <v>#N/A</v>
      </c>
      <c r="O7363" s="11" t="e">
        <f t="shared" si="1156"/>
        <v>#N/A</v>
      </c>
      <c r="P7363" s="12" t="e">
        <f t="shared" si="1157"/>
        <v>#N/A</v>
      </c>
      <c r="Q7363" s="17" t="e">
        <f t="shared" ref="Q7363:Q7426" si="1159">IF(N7363=L7363,"Pas d'écart",IF(N7363&lt;L7363,"Ecart positif",IF(N7363&gt;L7363,"Ecart négatif")))</f>
        <v>#N/A</v>
      </c>
    </row>
    <row r="7364" spans="1:17" x14ac:dyDescent="0.3">
      <c r="A7364" s="34">
        <f>base!J7364</f>
        <v>0</v>
      </c>
      <c r="B7364" s="34">
        <f>base!V7364</f>
        <v>0</v>
      </c>
      <c r="C7364" s="40" t="s">
        <v>11</v>
      </c>
      <c r="D7364" s="36">
        <f>base!H7364</f>
        <v>0</v>
      </c>
      <c r="E7364" s="44"/>
      <c r="F7364" s="16">
        <f>base!W7364</f>
        <v>0</v>
      </c>
      <c r="G7364" s="11" t="e">
        <f t="shared" si="1150"/>
        <v>#DIV/0!</v>
      </c>
      <c r="H7364" s="11" t="e">
        <f t="shared" si="1151"/>
        <v>#N/A</v>
      </c>
      <c r="I7364" s="11" t="e">
        <f t="shared" si="1152"/>
        <v>#N/A</v>
      </c>
      <c r="J7364" s="12" t="e">
        <f t="shared" si="1153"/>
        <v>#N/A</v>
      </c>
      <c r="K7364" s="17" t="e">
        <f t="shared" si="1158"/>
        <v>#N/A</v>
      </c>
      <c r="L7364" s="16">
        <f>base!X7364</f>
        <v>0</v>
      </c>
      <c r="M7364" s="11" t="e">
        <f t="shared" si="1154"/>
        <v>#DIV/0!</v>
      </c>
      <c r="N7364" s="11" t="e">
        <f t="shared" si="1155"/>
        <v>#N/A</v>
      </c>
      <c r="O7364" s="11" t="e">
        <f t="shared" si="1156"/>
        <v>#N/A</v>
      </c>
      <c r="P7364" s="12" t="e">
        <f t="shared" si="1157"/>
        <v>#N/A</v>
      </c>
      <c r="Q7364" s="17" t="e">
        <f t="shared" si="1159"/>
        <v>#N/A</v>
      </c>
    </row>
    <row r="7365" spans="1:17" x14ac:dyDescent="0.3">
      <c r="A7365" s="34">
        <f>base!J7365</f>
        <v>0</v>
      </c>
      <c r="B7365" s="34">
        <f>base!V7365</f>
        <v>0</v>
      </c>
      <c r="C7365" s="40" t="s">
        <v>11</v>
      </c>
      <c r="D7365" s="36">
        <f>base!H7365</f>
        <v>0</v>
      </c>
      <c r="E7365" s="44"/>
      <c r="F7365" s="16">
        <f>base!W7365</f>
        <v>0</v>
      </c>
      <c r="G7365" s="11" t="e">
        <f t="shared" si="1150"/>
        <v>#DIV/0!</v>
      </c>
      <c r="H7365" s="11" t="e">
        <f t="shared" si="1151"/>
        <v>#N/A</v>
      </c>
      <c r="I7365" s="11" t="e">
        <f t="shared" si="1152"/>
        <v>#N/A</v>
      </c>
      <c r="J7365" s="12" t="e">
        <f t="shared" si="1153"/>
        <v>#N/A</v>
      </c>
      <c r="K7365" s="17" t="e">
        <f t="shared" si="1158"/>
        <v>#N/A</v>
      </c>
      <c r="L7365" s="16">
        <f>base!X7365</f>
        <v>0</v>
      </c>
      <c r="M7365" s="11" t="e">
        <f t="shared" si="1154"/>
        <v>#DIV/0!</v>
      </c>
      <c r="N7365" s="11" t="e">
        <f t="shared" si="1155"/>
        <v>#N/A</v>
      </c>
      <c r="O7365" s="11" t="e">
        <f t="shared" si="1156"/>
        <v>#N/A</v>
      </c>
      <c r="P7365" s="12" t="e">
        <f t="shared" si="1157"/>
        <v>#N/A</v>
      </c>
      <c r="Q7365" s="17" t="e">
        <f t="shared" si="1159"/>
        <v>#N/A</v>
      </c>
    </row>
    <row r="7366" spans="1:17" x14ac:dyDescent="0.3">
      <c r="A7366" s="34">
        <f>base!J7366</f>
        <v>0</v>
      </c>
      <c r="B7366" s="34">
        <f>base!V7366</f>
        <v>0</v>
      </c>
      <c r="C7366" s="40" t="s">
        <v>11</v>
      </c>
      <c r="D7366" s="36">
        <f>base!H7366</f>
        <v>0</v>
      </c>
      <c r="E7366" s="44"/>
      <c r="F7366" s="16">
        <f>base!W7366</f>
        <v>0</v>
      </c>
      <c r="G7366" s="11" t="e">
        <f t="shared" si="1150"/>
        <v>#DIV/0!</v>
      </c>
      <c r="H7366" s="11" t="e">
        <f t="shared" si="1151"/>
        <v>#N/A</v>
      </c>
      <c r="I7366" s="11" t="e">
        <f t="shared" si="1152"/>
        <v>#N/A</v>
      </c>
      <c r="J7366" s="12" t="e">
        <f t="shared" si="1153"/>
        <v>#N/A</v>
      </c>
      <c r="K7366" s="17" t="e">
        <f t="shared" si="1158"/>
        <v>#N/A</v>
      </c>
      <c r="L7366" s="16">
        <f>base!X7366</f>
        <v>0</v>
      </c>
      <c r="M7366" s="11" t="e">
        <f t="shared" si="1154"/>
        <v>#DIV/0!</v>
      </c>
      <c r="N7366" s="11" t="e">
        <f t="shared" si="1155"/>
        <v>#N/A</v>
      </c>
      <c r="O7366" s="11" t="e">
        <f t="shared" si="1156"/>
        <v>#N/A</v>
      </c>
      <c r="P7366" s="12" t="e">
        <f t="shared" si="1157"/>
        <v>#N/A</v>
      </c>
      <c r="Q7366" s="17" t="e">
        <f t="shared" si="1159"/>
        <v>#N/A</v>
      </c>
    </row>
    <row r="7367" spans="1:17" x14ac:dyDescent="0.3">
      <c r="A7367" s="34">
        <f>base!J7367</f>
        <v>0</v>
      </c>
      <c r="B7367" s="34">
        <f>base!V7367</f>
        <v>0</v>
      </c>
      <c r="C7367" s="40" t="s">
        <v>11</v>
      </c>
      <c r="D7367" s="36">
        <f>base!H7367</f>
        <v>0</v>
      </c>
      <c r="E7367" s="44"/>
      <c r="F7367" s="16">
        <f>base!W7367</f>
        <v>0</v>
      </c>
      <c r="G7367" s="11" t="e">
        <f t="shared" si="1150"/>
        <v>#DIV/0!</v>
      </c>
      <c r="H7367" s="11" t="e">
        <f t="shared" si="1151"/>
        <v>#N/A</v>
      </c>
      <c r="I7367" s="11" t="e">
        <f t="shared" si="1152"/>
        <v>#N/A</v>
      </c>
      <c r="J7367" s="12" t="e">
        <f t="shared" si="1153"/>
        <v>#N/A</v>
      </c>
      <c r="K7367" s="17" t="e">
        <f t="shared" si="1158"/>
        <v>#N/A</v>
      </c>
      <c r="L7367" s="16">
        <f>base!X7367</f>
        <v>0</v>
      </c>
      <c r="M7367" s="11" t="e">
        <f t="shared" si="1154"/>
        <v>#DIV/0!</v>
      </c>
      <c r="N7367" s="11" t="e">
        <f t="shared" si="1155"/>
        <v>#N/A</v>
      </c>
      <c r="O7367" s="11" t="e">
        <f t="shared" si="1156"/>
        <v>#N/A</v>
      </c>
      <c r="P7367" s="12" t="e">
        <f t="shared" si="1157"/>
        <v>#N/A</v>
      </c>
      <c r="Q7367" s="17" t="e">
        <f t="shared" si="1159"/>
        <v>#N/A</v>
      </c>
    </row>
    <row r="7368" spans="1:17" x14ac:dyDescent="0.3">
      <c r="A7368" s="34">
        <f>base!J7368</f>
        <v>0</v>
      </c>
      <c r="B7368" s="34">
        <f>base!V7368</f>
        <v>0</v>
      </c>
      <c r="C7368" s="40" t="s">
        <v>11</v>
      </c>
      <c r="D7368" s="36">
        <f>base!H7368</f>
        <v>0</v>
      </c>
      <c r="E7368" s="44"/>
      <c r="F7368" s="16">
        <f>base!W7368</f>
        <v>0</v>
      </c>
      <c r="G7368" s="11" t="e">
        <f t="shared" si="1150"/>
        <v>#DIV/0!</v>
      </c>
      <c r="H7368" s="11" t="e">
        <f t="shared" si="1151"/>
        <v>#N/A</v>
      </c>
      <c r="I7368" s="11" t="e">
        <f t="shared" si="1152"/>
        <v>#N/A</v>
      </c>
      <c r="J7368" s="12" t="e">
        <f t="shared" si="1153"/>
        <v>#N/A</v>
      </c>
      <c r="K7368" s="17" t="e">
        <f t="shared" si="1158"/>
        <v>#N/A</v>
      </c>
      <c r="L7368" s="16">
        <f>base!X7368</f>
        <v>0</v>
      </c>
      <c r="M7368" s="11" t="e">
        <f t="shared" si="1154"/>
        <v>#DIV/0!</v>
      </c>
      <c r="N7368" s="11" t="e">
        <f t="shared" si="1155"/>
        <v>#N/A</v>
      </c>
      <c r="O7368" s="11" t="e">
        <f t="shared" si="1156"/>
        <v>#N/A</v>
      </c>
      <c r="P7368" s="12" t="e">
        <f t="shared" si="1157"/>
        <v>#N/A</v>
      </c>
      <c r="Q7368" s="17" t="e">
        <f t="shared" si="1159"/>
        <v>#N/A</v>
      </c>
    </row>
    <row r="7369" spans="1:17" x14ac:dyDescent="0.3">
      <c r="A7369" s="34">
        <f>base!J7369</f>
        <v>0</v>
      </c>
      <c r="B7369" s="34">
        <f>base!V7369</f>
        <v>0</v>
      </c>
      <c r="C7369" s="40" t="s">
        <v>11</v>
      </c>
      <c r="D7369" s="36">
        <f>base!H7369</f>
        <v>0</v>
      </c>
      <c r="E7369" s="44"/>
      <c r="F7369" s="16">
        <f>base!W7369</f>
        <v>0</v>
      </c>
      <c r="G7369" s="11" t="e">
        <f t="shared" si="1150"/>
        <v>#DIV/0!</v>
      </c>
      <c r="H7369" s="11" t="e">
        <f t="shared" si="1151"/>
        <v>#N/A</v>
      </c>
      <c r="I7369" s="11" t="e">
        <f t="shared" si="1152"/>
        <v>#N/A</v>
      </c>
      <c r="J7369" s="12" t="e">
        <f t="shared" si="1153"/>
        <v>#N/A</v>
      </c>
      <c r="K7369" s="17" t="e">
        <f t="shared" si="1158"/>
        <v>#N/A</v>
      </c>
      <c r="L7369" s="16">
        <f>base!X7369</f>
        <v>0</v>
      </c>
      <c r="M7369" s="11" t="e">
        <f t="shared" si="1154"/>
        <v>#DIV/0!</v>
      </c>
      <c r="N7369" s="11" t="e">
        <f t="shared" si="1155"/>
        <v>#N/A</v>
      </c>
      <c r="O7369" s="11" t="e">
        <f t="shared" si="1156"/>
        <v>#N/A</v>
      </c>
      <c r="P7369" s="12" t="e">
        <f t="shared" si="1157"/>
        <v>#N/A</v>
      </c>
      <c r="Q7369" s="17" t="e">
        <f t="shared" si="1159"/>
        <v>#N/A</v>
      </c>
    </row>
    <row r="7370" spans="1:17" x14ac:dyDescent="0.3">
      <c r="A7370" s="34">
        <f>base!J7370</f>
        <v>0</v>
      </c>
      <c r="B7370" s="34">
        <f>base!V7370</f>
        <v>0</v>
      </c>
      <c r="C7370" s="40" t="s">
        <v>11</v>
      </c>
      <c r="D7370" s="36">
        <f>base!H7370</f>
        <v>0</v>
      </c>
      <c r="E7370" s="44"/>
      <c r="F7370" s="16">
        <f>base!W7370</f>
        <v>0</v>
      </c>
      <c r="G7370" s="11" t="e">
        <f t="shared" si="1150"/>
        <v>#DIV/0!</v>
      </c>
      <c r="H7370" s="11" t="e">
        <f t="shared" si="1151"/>
        <v>#N/A</v>
      </c>
      <c r="I7370" s="11" t="e">
        <f t="shared" si="1152"/>
        <v>#N/A</v>
      </c>
      <c r="J7370" s="12" t="e">
        <f t="shared" si="1153"/>
        <v>#N/A</v>
      </c>
      <c r="K7370" s="17" t="e">
        <f t="shared" si="1158"/>
        <v>#N/A</v>
      </c>
      <c r="L7370" s="16">
        <f>base!X7370</f>
        <v>0</v>
      </c>
      <c r="M7370" s="11" t="e">
        <f t="shared" si="1154"/>
        <v>#DIV/0!</v>
      </c>
      <c r="N7370" s="11" t="e">
        <f t="shared" si="1155"/>
        <v>#N/A</v>
      </c>
      <c r="O7370" s="11" t="e">
        <f t="shared" si="1156"/>
        <v>#N/A</v>
      </c>
      <c r="P7370" s="12" t="e">
        <f t="shared" si="1157"/>
        <v>#N/A</v>
      </c>
      <c r="Q7370" s="17" t="e">
        <f t="shared" si="1159"/>
        <v>#N/A</v>
      </c>
    </row>
    <row r="7371" spans="1:17" x14ac:dyDescent="0.3">
      <c r="A7371" s="34">
        <f>base!J7371</f>
        <v>0</v>
      </c>
      <c r="B7371" s="34">
        <f>base!V7371</f>
        <v>0</v>
      </c>
      <c r="C7371" s="40" t="s">
        <v>11</v>
      </c>
      <c r="D7371" s="36">
        <f>base!H7371</f>
        <v>0</v>
      </c>
      <c r="E7371" s="44"/>
      <c r="F7371" s="16">
        <f>base!W7371</f>
        <v>0</v>
      </c>
      <c r="G7371" s="11" t="e">
        <f t="shared" si="1150"/>
        <v>#DIV/0!</v>
      </c>
      <c r="H7371" s="11" t="e">
        <f t="shared" si="1151"/>
        <v>#N/A</v>
      </c>
      <c r="I7371" s="11" t="e">
        <f t="shared" si="1152"/>
        <v>#N/A</v>
      </c>
      <c r="J7371" s="12" t="e">
        <f t="shared" si="1153"/>
        <v>#N/A</v>
      </c>
      <c r="K7371" s="17" t="e">
        <f t="shared" si="1158"/>
        <v>#N/A</v>
      </c>
      <c r="L7371" s="16">
        <f>base!X7371</f>
        <v>0</v>
      </c>
      <c r="M7371" s="11" t="e">
        <f t="shared" si="1154"/>
        <v>#DIV/0!</v>
      </c>
      <c r="N7371" s="11" t="e">
        <f t="shared" si="1155"/>
        <v>#N/A</v>
      </c>
      <c r="O7371" s="11" t="e">
        <f t="shared" si="1156"/>
        <v>#N/A</v>
      </c>
      <c r="P7371" s="12" t="e">
        <f t="shared" si="1157"/>
        <v>#N/A</v>
      </c>
      <c r="Q7371" s="17" t="e">
        <f t="shared" si="1159"/>
        <v>#N/A</v>
      </c>
    </row>
    <row r="7372" spans="1:17" x14ac:dyDescent="0.3">
      <c r="A7372" s="34">
        <f>base!J7372</f>
        <v>0</v>
      </c>
      <c r="B7372" s="34">
        <f>base!V7372</f>
        <v>0</v>
      </c>
      <c r="C7372" s="40" t="s">
        <v>11</v>
      </c>
      <c r="D7372" s="36">
        <f>base!H7372</f>
        <v>0</v>
      </c>
      <c r="E7372" s="44"/>
      <c r="F7372" s="16">
        <f>base!W7372</f>
        <v>0</v>
      </c>
      <c r="G7372" s="11" t="e">
        <f t="shared" si="1150"/>
        <v>#DIV/0!</v>
      </c>
      <c r="H7372" s="11" t="e">
        <f t="shared" si="1151"/>
        <v>#N/A</v>
      </c>
      <c r="I7372" s="11" t="e">
        <f t="shared" si="1152"/>
        <v>#N/A</v>
      </c>
      <c r="J7372" s="12" t="e">
        <f t="shared" si="1153"/>
        <v>#N/A</v>
      </c>
      <c r="K7372" s="17" t="e">
        <f t="shared" si="1158"/>
        <v>#N/A</v>
      </c>
      <c r="L7372" s="16">
        <f>base!X7372</f>
        <v>0</v>
      </c>
      <c r="M7372" s="11" t="e">
        <f t="shared" si="1154"/>
        <v>#DIV/0!</v>
      </c>
      <c r="N7372" s="11" t="e">
        <f t="shared" si="1155"/>
        <v>#N/A</v>
      </c>
      <c r="O7372" s="11" t="e">
        <f t="shared" si="1156"/>
        <v>#N/A</v>
      </c>
      <c r="P7372" s="12" t="e">
        <f t="shared" si="1157"/>
        <v>#N/A</v>
      </c>
      <c r="Q7372" s="17" t="e">
        <f t="shared" si="1159"/>
        <v>#N/A</v>
      </c>
    </row>
    <row r="7373" spans="1:17" x14ac:dyDescent="0.3">
      <c r="A7373" s="34">
        <f>base!J7373</f>
        <v>0</v>
      </c>
      <c r="B7373" s="34">
        <f>base!V7373</f>
        <v>0</v>
      </c>
      <c r="C7373" s="40" t="s">
        <v>11</v>
      </c>
      <c r="D7373" s="36">
        <f>base!H7373</f>
        <v>0</v>
      </c>
      <c r="E7373" s="44"/>
      <c r="F7373" s="16">
        <f>base!W7373</f>
        <v>0</v>
      </c>
      <c r="G7373" s="11" t="e">
        <f t="shared" si="1150"/>
        <v>#DIV/0!</v>
      </c>
      <c r="H7373" s="11" t="e">
        <f t="shared" si="1151"/>
        <v>#N/A</v>
      </c>
      <c r="I7373" s="11" t="e">
        <f t="shared" si="1152"/>
        <v>#N/A</v>
      </c>
      <c r="J7373" s="12" t="e">
        <f t="shared" si="1153"/>
        <v>#N/A</v>
      </c>
      <c r="K7373" s="17" t="e">
        <f t="shared" si="1158"/>
        <v>#N/A</v>
      </c>
      <c r="L7373" s="16">
        <f>base!X7373</f>
        <v>0</v>
      </c>
      <c r="M7373" s="11" t="e">
        <f t="shared" si="1154"/>
        <v>#DIV/0!</v>
      </c>
      <c r="N7373" s="11" t="e">
        <f t="shared" si="1155"/>
        <v>#N/A</v>
      </c>
      <c r="O7373" s="11" t="e">
        <f t="shared" si="1156"/>
        <v>#N/A</v>
      </c>
      <c r="P7373" s="12" t="e">
        <f t="shared" si="1157"/>
        <v>#N/A</v>
      </c>
      <c r="Q7373" s="17" t="e">
        <f t="shared" si="1159"/>
        <v>#N/A</v>
      </c>
    </row>
    <row r="7374" spans="1:17" x14ac:dyDescent="0.3">
      <c r="A7374" s="34">
        <f>base!J7374</f>
        <v>0</v>
      </c>
      <c r="B7374" s="34">
        <f>base!V7374</f>
        <v>0</v>
      </c>
      <c r="C7374" s="40" t="s">
        <v>11</v>
      </c>
      <c r="D7374" s="36">
        <f>base!H7374</f>
        <v>0</v>
      </c>
      <c r="E7374" s="44"/>
      <c r="F7374" s="16">
        <f>base!W7374</f>
        <v>0</v>
      </c>
      <c r="G7374" s="11" t="e">
        <f t="shared" si="1150"/>
        <v>#DIV/0!</v>
      </c>
      <c r="H7374" s="11" t="e">
        <f t="shared" si="1151"/>
        <v>#N/A</v>
      </c>
      <c r="I7374" s="11" t="e">
        <f t="shared" si="1152"/>
        <v>#N/A</v>
      </c>
      <c r="J7374" s="12" t="e">
        <f t="shared" si="1153"/>
        <v>#N/A</v>
      </c>
      <c r="K7374" s="17" t="e">
        <f t="shared" si="1158"/>
        <v>#N/A</v>
      </c>
      <c r="L7374" s="16">
        <f>base!X7374</f>
        <v>0</v>
      </c>
      <c r="M7374" s="11" t="e">
        <f t="shared" si="1154"/>
        <v>#DIV/0!</v>
      </c>
      <c r="N7374" s="11" t="e">
        <f t="shared" si="1155"/>
        <v>#N/A</v>
      </c>
      <c r="O7374" s="11" t="e">
        <f t="shared" si="1156"/>
        <v>#N/A</v>
      </c>
      <c r="P7374" s="12" t="e">
        <f t="shared" si="1157"/>
        <v>#N/A</v>
      </c>
      <c r="Q7374" s="17" t="e">
        <f t="shared" si="1159"/>
        <v>#N/A</v>
      </c>
    </row>
    <row r="7375" spans="1:17" x14ac:dyDescent="0.3">
      <c r="A7375" s="34">
        <f>base!J7375</f>
        <v>0</v>
      </c>
      <c r="B7375" s="34">
        <f>base!V7375</f>
        <v>0</v>
      </c>
      <c r="C7375" s="40" t="s">
        <v>11</v>
      </c>
      <c r="D7375" s="36">
        <f>base!H7375</f>
        <v>0</v>
      </c>
      <c r="E7375" s="44"/>
      <c r="F7375" s="16">
        <f>base!W7375</f>
        <v>0</v>
      </c>
      <c r="G7375" s="11" t="e">
        <f t="shared" si="1150"/>
        <v>#DIV/0!</v>
      </c>
      <c r="H7375" s="11" t="e">
        <f t="shared" si="1151"/>
        <v>#N/A</v>
      </c>
      <c r="I7375" s="11" t="e">
        <f t="shared" si="1152"/>
        <v>#N/A</v>
      </c>
      <c r="J7375" s="12" t="e">
        <f t="shared" si="1153"/>
        <v>#N/A</v>
      </c>
      <c r="K7375" s="17" t="e">
        <f t="shared" si="1158"/>
        <v>#N/A</v>
      </c>
      <c r="L7375" s="16">
        <f>base!X7375</f>
        <v>0</v>
      </c>
      <c r="M7375" s="11" t="e">
        <f t="shared" si="1154"/>
        <v>#DIV/0!</v>
      </c>
      <c r="N7375" s="11" t="e">
        <f t="shared" si="1155"/>
        <v>#N/A</v>
      </c>
      <c r="O7375" s="11" t="e">
        <f t="shared" si="1156"/>
        <v>#N/A</v>
      </c>
      <c r="P7375" s="12" t="e">
        <f t="shared" si="1157"/>
        <v>#N/A</v>
      </c>
      <c r="Q7375" s="17" t="e">
        <f t="shared" si="1159"/>
        <v>#N/A</v>
      </c>
    </row>
    <row r="7376" spans="1:17" x14ac:dyDescent="0.3">
      <c r="A7376" s="34">
        <f>base!J7376</f>
        <v>0</v>
      </c>
      <c r="B7376" s="34">
        <f>base!V7376</f>
        <v>0</v>
      </c>
      <c r="C7376" s="40" t="s">
        <v>11</v>
      </c>
      <c r="D7376" s="36">
        <f>base!H7376</f>
        <v>0</v>
      </c>
      <c r="E7376" s="44"/>
      <c r="F7376" s="16">
        <f>base!W7376</f>
        <v>0</v>
      </c>
      <c r="G7376" s="11" t="e">
        <f t="shared" si="1150"/>
        <v>#DIV/0!</v>
      </c>
      <c r="H7376" s="11" t="e">
        <f t="shared" si="1151"/>
        <v>#N/A</v>
      </c>
      <c r="I7376" s="11" t="e">
        <f t="shared" si="1152"/>
        <v>#N/A</v>
      </c>
      <c r="J7376" s="12" t="e">
        <f t="shared" si="1153"/>
        <v>#N/A</v>
      </c>
      <c r="K7376" s="17" t="e">
        <f t="shared" si="1158"/>
        <v>#N/A</v>
      </c>
      <c r="L7376" s="16">
        <f>base!X7376</f>
        <v>0</v>
      </c>
      <c r="M7376" s="11" t="e">
        <f t="shared" si="1154"/>
        <v>#DIV/0!</v>
      </c>
      <c r="N7376" s="11" t="e">
        <f t="shared" si="1155"/>
        <v>#N/A</v>
      </c>
      <c r="O7376" s="11" t="e">
        <f t="shared" si="1156"/>
        <v>#N/A</v>
      </c>
      <c r="P7376" s="12" t="e">
        <f t="shared" si="1157"/>
        <v>#N/A</v>
      </c>
      <c r="Q7376" s="17" t="e">
        <f t="shared" si="1159"/>
        <v>#N/A</v>
      </c>
    </row>
    <row r="7377" spans="1:17" x14ac:dyDescent="0.3">
      <c r="A7377" s="34">
        <f>base!J7377</f>
        <v>0</v>
      </c>
      <c r="B7377" s="34">
        <f>base!V7377</f>
        <v>0</v>
      </c>
      <c r="C7377" s="40" t="s">
        <v>11</v>
      </c>
      <c r="D7377" s="36">
        <f>base!H7377</f>
        <v>0</v>
      </c>
      <c r="E7377" s="44"/>
      <c r="F7377" s="16">
        <f>base!W7377</f>
        <v>0</v>
      </c>
      <c r="G7377" s="11" t="e">
        <f t="shared" si="1150"/>
        <v>#DIV/0!</v>
      </c>
      <c r="H7377" s="11" t="e">
        <f t="shared" si="1151"/>
        <v>#N/A</v>
      </c>
      <c r="I7377" s="11" t="e">
        <f t="shared" si="1152"/>
        <v>#N/A</v>
      </c>
      <c r="J7377" s="12" t="e">
        <f t="shared" si="1153"/>
        <v>#N/A</v>
      </c>
      <c r="K7377" s="17" t="e">
        <f t="shared" si="1158"/>
        <v>#N/A</v>
      </c>
      <c r="L7377" s="16">
        <f>base!X7377</f>
        <v>0</v>
      </c>
      <c r="M7377" s="11" t="e">
        <f t="shared" si="1154"/>
        <v>#DIV/0!</v>
      </c>
      <c r="N7377" s="11" t="e">
        <f t="shared" si="1155"/>
        <v>#N/A</v>
      </c>
      <c r="O7377" s="11" t="e">
        <f t="shared" si="1156"/>
        <v>#N/A</v>
      </c>
      <c r="P7377" s="12" t="e">
        <f t="shared" si="1157"/>
        <v>#N/A</v>
      </c>
      <c r="Q7377" s="17" t="e">
        <f t="shared" si="1159"/>
        <v>#N/A</v>
      </c>
    </row>
    <row r="7378" spans="1:17" x14ac:dyDescent="0.3">
      <c r="A7378" s="34">
        <f>base!J7378</f>
        <v>0</v>
      </c>
      <c r="B7378" s="34">
        <f>base!V7378</f>
        <v>0</v>
      </c>
      <c r="C7378" s="40" t="s">
        <v>11</v>
      </c>
      <c r="D7378" s="36">
        <f>base!H7378</f>
        <v>0</v>
      </c>
      <c r="E7378" s="44"/>
      <c r="F7378" s="16">
        <f>base!W7378</f>
        <v>0</v>
      </c>
      <c r="G7378" s="11" t="e">
        <f t="shared" si="1150"/>
        <v>#DIV/0!</v>
      </c>
      <c r="H7378" s="11" t="e">
        <f t="shared" si="1151"/>
        <v>#N/A</v>
      </c>
      <c r="I7378" s="11" t="e">
        <f t="shared" si="1152"/>
        <v>#N/A</v>
      </c>
      <c r="J7378" s="12" t="e">
        <f t="shared" si="1153"/>
        <v>#N/A</v>
      </c>
      <c r="K7378" s="17" t="e">
        <f t="shared" si="1158"/>
        <v>#N/A</v>
      </c>
      <c r="L7378" s="16">
        <f>base!X7378</f>
        <v>0</v>
      </c>
      <c r="M7378" s="11" t="e">
        <f t="shared" si="1154"/>
        <v>#DIV/0!</v>
      </c>
      <c r="N7378" s="11" t="e">
        <f t="shared" si="1155"/>
        <v>#N/A</v>
      </c>
      <c r="O7378" s="11" t="e">
        <f t="shared" si="1156"/>
        <v>#N/A</v>
      </c>
      <c r="P7378" s="12" t="e">
        <f t="shared" si="1157"/>
        <v>#N/A</v>
      </c>
      <c r="Q7378" s="17" t="e">
        <f t="shared" si="1159"/>
        <v>#N/A</v>
      </c>
    </row>
    <row r="7379" spans="1:17" x14ac:dyDescent="0.3">
      <c r="A7379" s="34">
        <f>base!J7379</f>
        <v>0</v>
      </c>
      <c r="B7379" s="34">
        <f>base!V7379</f>
        <v>0</v>
      </c>
      <c r="C7379" s="40" t="s">
        <v>11</v>
      </c>
      <c r="D7379" s="36">
        <f>base!H7379</f>
        <v>0</v>
      </c>
      <c r="E7379" s="44"/>
      <c r="F7379" s="16">
        <f>base!W7379</f>
        <v>0</v>
      </c>
      <c r="G7379" s="11" t="e">
        <f t="shared" si="1150"/>
        <v>#DIV/0!</v>
      </c>
      <c r="H7379" s="11" t="e">
        <f t="shared" si="1151"/>
        <v>#N/A</v>
      </c>
      <c r="I7379" s="11" t="e">
        <f t="shared" si="1152"/>
        <v>#N/A</v>
      </c>
      <c r="J7379" s="12" t="e">
        <f t="shared" si="1153"/>
        <v>#N/A</v>
      </c>
      <c r="K7379" s="17" t="e">
        <f t="shared" si="1158"/>
        <v>#N/A</v>
      </c>
      <c r="L7379" s="16">
        <f>base!X7379</f>
        <v>0</v>
      </c>
      <c r="M7379" s="11" t="e">
        <f t="shared" si="1154"/>
        <v>#DIV/0!</v>
      </c>
      <c r="N7379" s="11" t="e">
        <f t="shared" si="1155"/>
        <v>#N/A</v>
      </c>
      <c r="O7379" s="11" t="e">
        <f t="shared" si="1156"/>
        <v>#N/A</v>
      </c>
      <c r="P7379" s="12" t="e">
        <f t="shared" si="1157"/>
        <v>#N/A</v>
      </c>
      <c r="Q7379" s="17" t="e">
        <f t="shared" si="1159"/>
        <v>#N/A</v>
      </c>
    </row>
    <row r="7380" spans="1:17" x14ac:dyDescent="0.3">
      <c r="A7380" s="34">
        <f>base!J7380</f>
        <v>0</v>
      </c>
      <c r="B7380" s="34">
        <f>base!V7380</f>
        <v>0</v>
      </c>
      <c r="C7380" s="40" t="s">
        <v>11</v>
      </c>
      <c r="D7380" s="36">
        <f>base!H7380</f>
        <v>0</v>
      </c>
      <c r="E7380" s="44"/>
      <c r="F7380" s="16">
        <f>base!W7380</f>
        <v>0</v>
      </c>
      <c r="G7380" s="11" t="e">
        <f t="shared" si="1150"/>
        <v>#DIV/0!</v>
      </c>
      <c r="H7380" s="11" t="e">
        <f t="shared" si="1151"/>
        <v>#N/A</v>
      </c>
      <c r="I7380" s="11" t="e">
        <f t="shared" si="1152"/>
        <v>#N/A</v>
      </c>
      <c r="J7380" s="12" t="e">
        <f t="shared" si="1153"/>
        <v>#N/A</v>
      </c>
      <c r="K7380" s="17" t="e">
        <f t="shared" si="1158"/>
        <v>#N/A</v>
      </c>
      <c r="L7380" s="16">
        <f>base!X7380</f>
        <v>0</v>
      </c>
      <c r="M7380" s="11" t="e">
        <f t="shared" si="1154"/>
        <v>#DIV/0!</v>
      </c>
      <c r="N7380" s="11" t="e">
        <f t="shared" si="1155"/>
        <v>#N/A</v>
      </c>
      <c r="O7380" s="11" t="e">
        <f t="shared" si="1156"/>
        <v>#N/A</v>
      </c>
      <c r="P7380" s="12" t="e">
        <f t="shared" si="1157"/>
        <v>#N/A</v>
      </c>
      <c r="Q7380" s="17" t="e">
        <f t="shared" si="1159"/>
        <v>#N/A</v>
      </c>
    </row>
    <row r="7381" spans="1:17" x14ac:dyDescent="0.3">
      <c r="A7381" s="34">
        <f>base!J7381</f>
        <v>0</v>
      </c>
      <c r="B7381" s="34">
        <f>base!V7381</f>
        <v>0</v>
      </c>
      <c r="C7381" s="40" t="s">
        <v>11</v>
      </c>
      <c r="D7381" s="36">
        <f>base!H7381</f>
        <v>0</v>
      </c>
      <c r="E7381" s="44"/>
      <c r="F7381" s="16">
        <f>base!W7381</f>
        <v>0</v>
      </c>
      <c r="G7381" s="11" t="e">
        <f t="shared" si="1150"/>
        <v>#DIV/0!</v>
      </c>
      <c r="H7381" s="11" t="e">
        <f t="shared" si="1151"/>
        <v>#N/A</v>
      </c>
      <c r="I7381" s="11" t="e">
        <f t="shared" si="1152"/>
        <v>#N/A</v>
      </c>
      <c r="J7381" s="12" t="e">
        <f t="shared" si="1153"/>
        <v>#N/A</v>
      </c>
      <c r="K7381" s="17" t="e">
        <f t="shared" si="1158"/>
        <v>#N/A</v>
      </c>
      <c r="L7381" s="16">
        <f>base!X7381</f>
        <v>0</v>
      </c>
      <c r="M7381" s="11" t="e">
        <f t="shared" si="1154"/>
        <v>#DIV/0!</v>
      </c>
      <c r="N7381" s="11" t="e">
        <f t="shared" si="1155"/>
        <v>#N/A</v>
      </c>
      <c r="O7381" s="11" t="e">
        <f t="shared" si="1156"/>
        <v>#N/A</v>
      </c>
      <c r="P7381" s="12" t="e">
        <f t="shared" si="1157"/>
        <v>#N/A</v>
      </c>
      <c r="Q7381" s="17" t="e">
        <f t="shared" si="1159"/>
        <v>#N/A</v>
      </c>
    </row>
    <row r="7382" spans="1:17" x14ac:dyDescent="0.3">
      <c r="A7382" s="34">
        <f>base!J7382</f>
        <v>0</v>
      </c>
      <c r="B7382" s="34">
        <f>base!V7382</f>
        <v>0</v>
      </c>
      <c r="C7382" s="40" t="s">
        <v>11</v>
      </c>
      <c r="D7382" s="36">
        <f>base!H7382</f>
        <v>0</v>
      </c>
      <c r="E7382" s="44"/>
      <c r="F7382" s="16">
        <f>base!W7382</f>
        <v>0</v>
      </c>
      <c r="G7382" s="11" t="e">
        <f t="shared" si="1150"/>
        <v>#DIV/0!</v>
      </c>
      <c r="H7382" s="11" t="e">
        <f t="shared" si="1151"/>
        <v>#N/A</v>
      </c>
      <c r="I7382" s="11" t="e">
        <f t="shared" si="1152"/>
        <v>#N/A</v>
      </c>
      <c r="J7382" s="12" t="e">
        <f t="shared" si="1153"/>
        <v>#N/A</v>
      </c>
      <c r="K7382" s="17" t="e">
        <f t="shared" si="1158"/>
        <v>#N/A</v>
      </c>
      <c r="L7382" s="16">
        <f>base!X7382</f>
        <v>0</v>
      </c>
      <c r="M7382" s="11" t="e">
        <f t="shared" si="1154"/>
        <v>#DIV/0!</v>
      </c>
      <c r="N7382" s="11" t="e">
        <f t="shared" si="1155"/>
        <v>#N/A</v>
      </c>
      <c r="O7382" s="11" t="e">
        <f t="shared" si="1156"/>
        <v>#N/A</v>
      </c>
      <c r="P7382" s="12" t="e">
        <f t="shared" si="1157"/>
        <v>#N/A</v>
      </c>
      <c r="Q7382" s="17" t="e">
        <f t="shared" si="1159"/>
        <v>#N/A</v>
      </c>
    </row>
    <row r="7383" spans="1:17" x14ac:dyDescent="0.3">
      <c r="A7383" s="34">
        <f>base!J7383</f>
        <v>0</v>
      </c>
      <c r="B7383" s="34">
        <f>base!V7383</f>
        <v>0</v>
      </c>
      <c r="C7383" s="40" t="s">
        <v>11</v>
      </c>
      <c r="D7383" s="36">
        <f>base!H7383</f>
        <v>0</v>
      </c>
      <c r="E7383" s="44"/>
      <c r="F7383" s="16">
        <f>base!W7383</f>
        <v>0</v>
      </c>
      <c r="G7383" s="11" t="e">
        <f t="shared" si="1150"/>
        <v>#DIV/0!</v>
      </c>
      <c r="H7383" s="11" t="e">
        <f t="shared" si="1151"/>
        <v>#N/A</v>
      </c>
      <c r="I7383" s="11" t="e">
        <f t="shared" si="1152"/>
        <v>#N/A</v>
      </c>
      <c r="J7383" s="12" t="e">
        <f t="shared" si="1153"/>
        <v>#N/A</v>
      </c>
      <c r="K7383" s="17" t="e">
        <f t="shared" si="1158"/>
        <v>#N/A</v>
      </c>
      <c r="L7383" s="16">
        <f>base!X7383</f>
        <v>0</v>
      </c>
      <c r="M7383" s="11" t="e">
        <f t="shared" si="1154"/>
        <v>#DIV/0!</v>
      </c>
      <c r="N7383" s="11" t="e">
        <f t="shared" si="1155"/>
        <v>#N/A</v>
      </c>
      <c r="O7383" s="11" t="e">
        <f t="shared" si="1156"/>
        <v>#N/A</v>
      </c>
      <c r="P7383" s="12" t="e">
        <f t="shared" si="1157"/>
        <v>#N/A</v>
      </c>
      <c r="Q7383" s="17" t="e">
        <f t="shared" si="1159"/>
        <v>#N/A</v>
      </c>
    </row>
    <row r="7384" spans="1:17" x14ac:dyDescent="0.3">
      <c r="A7384" s="34">
        <f>base!J7384</f>
        <v>0</v>
      </c>
      <c r="B7384" s="34">
        <f>base!V7384</f>
        <v>0</v>
      </c>
      <c r="C7384" s="40" t="s">
        <v>11</v>
      </c>
      <c r="D7384" s="36">
        <f>base!H7384</f>
        <v>0</v>
      </c>
      <c r="E7384" s="44"/>
      <c r="F7384" s="16">
        <f>base!W7384</f>
        <v>0</v>
      </c>
      <c r="G7384" s="11" t="e">
        <f t="shared" si="1150"/>
        <v>#DIV/0!</v>
      </c>
      <c r="H7384" s="11" t="e">
        <f t="shared" si="1151"/>
        <v>#N/A</v>
      </c>
      <c r="I7384" s="11" t="e">
        <f t="shared" si="1152"/>
        <v>#N/A</v>
      </c>
      <c r="J7384" s="12" t="e">
        <f t="shared" si="1153"/>
        <v>#N/A</v>
      </c>
      <c r="K7384" s="17" t="e">
        <f t="shared" si="1158"/>
        <v>#N/A</v>
      </c>
      <c r="L7384" s="16">
        <f>base!X7384</f>
        <v>0</v>
      </c>
      <c r="M7384" s="11" t="e">
        <f t="shared" si="1154"/>
        <v>#DIV/0!</v>
      </c>
      <c r="N7384" s="11" t="e">
        <f t="shared" si="1155"/>
        <v>#N/A</v>
      </c>
      <c r="O7384" s="11" t="e">
        <f t="shared" si="1156"/>
        <v>#N/A</v>
      </c>
      <c r="P7384" s="12" t="e">
        <f t="shared" si="1157"/>
        <v>#N/A</v>
      </c>
      <c r="Q7384" s="17" t="e">
        <f t="shared" si="1159"/>
        <v>#N/A</v>
      </c>
    </row>
    <row r="7385" spans="1:17" x14ac:dyDescent="0.3">
      <c r="A7385" s="34">
        <f>base!J7385</f>
        <v>0</v>
      </c>
      <c r="B7385" s="34">
        <f>base!V7385</f>
        <v>0</v>
      </c>
      <c r="C7385" s="40" t="s">
        <v>11</v>
      </c>
      <c r="D7385" s="36">
        <f>base!H7385</f>
        <v>0</v>
      </c>
      <c r="E7385" s="44"/>
      <c r="F7385" s="16">
        <f>base!W7385</f>
        <v>0</v>
      </c>
      <c r="G7385" s="11" t="e">
        <f t="shared" si="1150"/>
        <v>#DIV/0!</v>
      </c>
      <c r="H7385" s="11" t="e">
        <f t="shared" si="1151"/>
        <v>#N/A</v>
      </c>
      <c r="I7385" s="11" t="e">
        <f t="shared" si="1152"/>
        <v>#N/A</v>
      </c>
      <c r="J7385" s="12" t="e">
        <f t="shared" si="1153"/>
        <v>#N/A</v>
      </c>
      <c r="K7385" s="17" t="e">
        <f t="shared" si="1158"/>
        <v>#N/A</v>
      </c>
      <c r="L7385" s="16">
        <f>base!X7385</f>
        <v>0</v>
      </c>
      <c r="M7385" s="11" t="e">
        <f t="shared" si="1154"/>
        <v>#DIV/0!</v>
      </c>
      <c r="N7385" s="11" t="e">
        <f t="shared" si="1155"/>
        <v>#N/A</v>
      </c>
      <c r="O7385" s="11" t="e">
        <f t="shared" si="1156"/>
        <v>#N/A</v>
      </c>
      <c r="P7385" s="12" t="e">
        <f t="shared" si="1157"/>
        <v>#N/A</v>
      </c>
      <c r="Q7385" s="17" t="e">
        <f t="shared" si="1159"/>
        <v>#N/A</v>
      </c>
    </row>
    <row r="7386" spans="1:17" x14ac:dyDescent="0.3">
      <c r="A7386" s="34">
        <f>base!J7386</f>
        <v>0</v>
      </c>
      <c r="B7386" s="34">
        <f>base!V7386</f>
        <v>0</v>
      </c>
      <c r="C7386" s="40" t="s">
        <v>11</v>
      </c>
      <c r="D7386" s="36">
        <f>base!H7386</f>
        <v>0</v>
      </c>
      <c r="E7386" s="44"/>
      <c r="F7386" s="16">
        <f>base!W7386</f>
        <v>0</v>
      </c>
      <c r="G7386" s="11" t="e">
        <f t="shared" si="1150"/>
        <v>#DIV/0!</v>
      </c>
      <c r="H7386" s="11" t="e">
        <f t="shared" si="1151"/>
        <v>#N/A</v>
      </c>
      <c r="I7386" s="11" t="e">
        <f t="shared" si="1152"/>
        <v>#N/A</v>
      </c>
      <c r="J7386" s="12" t="e">
        <f t="shared" si="1153"/>
        <v>#N/A</v>
      </c>
      <c r="K7386" s="17" t="e">
        <f t="shared" si="1158"/>
        <v>#N/A</v>
      </c>
      <c r="L7386" s="16">
        <f>base!X7386</f>
        <v>0</v>
      </c>
      <c r="M7386" s="11" t="e">
        <f t="shared" si="1154"/>
        <v>#DIV/0!</v>
      </c>
      <c r="N7386" s="11" t="e">
        <f t="shared" si="1155"/>
        <v>#N/A</v>
      </c>
      <c r="O7386" s="11" t="e">
        <f t="shared" si="1156"/>
        <v>#N/A</v>
      </c>
      <c r="P7386" s="12" t="e">
        <f t="shared" si="1157"/>
        <v>#N/A</v>
      </c>
      <c r="Q7386" s="17" t="e">
        <f t="shared" si="1159"/>
        <v>#N/A</v>
      </c>
    </row>
    <row r="7387" spans="1:17" x14ac:dyDescent="0.3">
      <c r="A7387" s="34">
        <f>base!J7387</f>
        <v>0</v>
      </c>
      <c r="B7387" s="34">
        <f>base!V7387</f>
        <v>0</v>
      </c>
      <c r="C7387" s="40" t="s">
        <v>11</v>
      </c>
      <c r="D7387" s="36">
        <f>base!H7387</f>
        <v>0</v>
      </c>
      <c r="E7387" s="44"/>
      <c r="F7387" s="16">
        <f>base!W7387</f>
        <v>0</v>
      </c>
      <c r="G7387" s="11" t="e">
        <f t="shared" si="1150"/>
        <v>#DIV/0!</v>
      </c>
      <c r="H7387" s="11" t="e">
        <f t="shared" si="1151"/>
        <v>#N/A</v>
      </c>
      <c r="I7387" s="11" t="e">
        <f t="shared" si="1152"/>
        <v>#N/A</v>
      </c>
      <c r="J7387" s="12" t="e">
        <f t="shared" si="1153"/>
        <v>#N/A</v>
      </c>
      <c r="K7387" s="17" t="e">
        <f t="shared" si="1158"/>
        <v>#N/A</v>
      </c>
      <c r="L7387" s="16">
        <f>base!X7387</f>
        <v>0</v>
      </c>
      <c r="M7387" s="11" t="e">
        <f t="shared" si="1154"/>
        <v>#DIV/0!</v>
      </c>
      <c r="N7387" s="11" t="e">
        <f t="shared" si="1155"/>
        <v>#N/A</v>
      </c>
      <c r="O7387" s="11" t="e">
        <f t="shared" si="1156"/>
        <v>#N/A</v>
      </c>
      <c r="P7387" s="12" t="e">
        <f t="shared" si="1157"/>
        <v>#N/A</v>
      </c>
      <c r="Q7387" s="17" t="e">
        <f t="shared" si="1159"/>
        <v>#N/A</v>
      </c>
    </row>
    <row r="7388" spans="1:17" x14ac:dyDescent="0.3">
      <c r="A7388" s="34">
        <f>base!J7388</f>
        <v>0</v>
      </c>
      <c r="B7388" s="34">
        <f>base!V7388</f>
        <v>0</v>
      </c>
      <c r="C7388" s="40" t="s">
        <v>11</v>
      </c>
      <c r="D7388" s="36">
        <f>base!H7388</f>
        <v>0</v>
      </c>
      <c r="E7388" s="44"/>
      <c r="F7388" s="16">
        <f>base!W7388</f>
        <v>0</v>
      </c>
      <c r="G7388" s="11" t="e">
        <f t="shared" si="1150"/>
        <v>#DIV/0!</v>
      </c>
      <c r="H7388" s="11" t="e">
        <f t="shared" si="1151"/>
        <v>#N/A</v>
      </c>
      <c r="I7388" s="11" t="e">
        <f t="shared" si="1152"/>
        <v>#N/A</v>
      </c>
      <c r="J7388" s="12" t="e">
        <f t="shared" si="1153"/>
        <v>#N/A</v>
      </c>
      <c r="K7388" s="17" t="e">
        <f t="shared" si="1158"/>
        <v>#N/A</v>
      </c>
      <c r="L7388" s="16">
        <f>base!X7388</f>
        <v>0</v>
      </c>
      <c r="M7388" s="11" t="e">
        <f t="shared" si="1154"/>
        <v>#DIV/0!</v>
      </c>
      <c r="N7388" s="11" t="e">
        <f t="shared" si="1155"/>
        <v>#N/A</v>
      </c>
      <c r="O7388" s="11" t="e">
        <f t="shared" si="1156"/>
        <v>#N/A</v>
      </c>
      <c r="P7388" s="12" t="e">
        <f t="shared" si="1157"/>
        <v>#N/A</v>
      </c>
      <c r="Q7388" s="17" t="e">
        <f t="shared" si="1159"/>
        <v>#N/A</v>
      </c>
    </row>
    <row r="7389" spans="1:17" x14ac:dyDescent="0.3">
      <c r="A7389" s="34">
        <f>base!J7389</f>
        <v>0</v>
      </c>
      <c r="B7389" s="34">
        <f>base!V7389</f>
        <v>0</v>
      </c>
      <c r="C7389" s="40" t="s">
        <v>11</v>
      </c>
      <c r="D7389" s="36">
        <f>base!H7389</f>
        <v>0</v>
      </c>
      <c r="E7389" s="44"/>
      <c r="F7389" s="16">
        <f>base!W7389</f>
        <v>0</v>
      </c>
      <c r="G7389" s="11" t="e">
        <f t="shared" si="1150"/>
        <v>#DIV/0!</v>
      </c>
      <c r="H7389" s="11" t="e">
        <f t="shared" si="1151"/>
        <v>#N/A</v>
      </c>
      <c r="I7389" s="11" t="e">
        <f t="shared" si="1152"/>
        <v>#N/A</v>
      </c>
      <c r="J7389" s="12" t="e">
        <f t="shared" si="1153"/>
        <v>#N/A</v>
      </c>
      <c r="K7389" s="17" t="e">
        <f t="shared" si="1158"/>
        <v>#N/A</v>
      </c>
      <c r="L7389" s="16">
        <f>base!X7389</f>
        <v>0</v>
      </c>
      <c r="M7389" s="11" t="e">
        <f t="shared" si="1154"/>
        <v>#DIV/0!</v>
      </c>
      <c r="N7389" s="11" t="e">
        <f t="shared" si="1155"/>
        <v>#N/A</v>
      </c>
      <c r="O7389" s="11" t="e">
        <f t="shared" si="1156"/>
        <v>#N/A</v>
      </c>
      <c r="P7389" s="12" t="e">
        <f t="shared" si="1157"/>
        <v>#N/A</v>
      </c>
      <c r="Q7389" s="17" t="e">
        <f t="shared" si="1159"/>
        <v>#N/A</v>
      </c>
    </row>
    <row r="7390" spans="1:17" x14ac:dyDescent="0.3">
      <c r="A7390" s="34">
        <f>base!J7390</f>
        <v>0</v>
      </c>
      <c r="B7390" s="34">
        <f>base!V7390</f>
        <v>0</v>
      </c>
      <c r="C7390" s="40" t="s">
        <v>11</v>
      </c>
      <c r="D7390" s="36">
        <f>base!H7390</f>
        <v>0</v>
      </c>
      <c r="E7390" s="44"/>
      <c r="F7390" s="16">
        <f>base!W7390</f>
        <v>0</v>
      </c>
      <c r="G7390" s="11" t="e">
        <f t="shared" si="1150"/>
        <v>#DIV/0!</v>
      </c>
      <c r="H7390" s="11" t="e">
        <f t="shared" si="1151"/>
        <v>#N/A</v>
      </c>
      <c r="I7390" s="11" t="e">
        <f t="shared" si="1152"/>
        <v>#N/A</v>
      </c>
      <c r="J7390" s="12" t="e">
        <f t="shared" si="1153"/>
        <v>#N/A</v>
      </c>
      <c r="K7390" s="17" t="e">
        <f t="shared" si="1158"/>
        <v>#N/A</v>
      </c>
      <c r="L7390" s="16">
        <f>base!X7390</f>
        <v>0</v>
      </c>
      <c r="M7390" s="11" t="e">
        <f t="shared" si="1154"/>
        <v>#DIV/0!</v>
      </c>
      <c r="N7390" s="11" t="e">
        <f t="shared" si="1155"/>
        <v>#N/A</v>
      </c>
      <c r="O7390" s="11" t="e">
        <f t="shared" si="1156"/>
        <v>#N/A</v>
      </c>
      <c r="P7390" s="12" t="e">
        <f t="shared" si="1157"/>
        <v>#N/A</v>
      </c>
      <c r="Q7390" s="17" t="e">
        <f t="shared" si="1159"/>
        <v>#N/A</v>
      </c>
    </row>
    <row r="7391" spans="1:17" x14ac:dyDescent="0.3">
      <c r="A7391" s="34">
        <f>base!J7391</f>
        <v>0</v>
      </c>
      <c r="B7391" s="34">
        <f>base!V7391</f>
        <v>0</v>
      </c>
      <c r="C7391" s="40" t="s">
        <v>11</v>
      </c>
      <c r="D7391" s="36">
        <f>base!H7391</f>
        <v>0</v>
      </c>
      <c r="E7391" s="44"/>
      <c r="F7391" s="16">
        <f>base!W7391</f>
        <v>0</v>
      </c>
      <c r="G7391" s="11" t="e">
        <f t="shared" si="1150"/>
        <v>#DIV/0!</v>
      </c>
      <c r="H7391" s="11" t="e">
        <f t="shared" si="1151"/>
        <v>#N/A</v>
      </c>
      <c r="I7391" s="11" t="e">
        <f t="shared" si="1152"/>
        <v>#N/A</v>
      </c>
      <c r="J7391" s="12" t="e">
        <f t="shared" si="1153"/>
        <v>#N/A</v>
      </c>
      <c r="K7391" s="17" t="e">
        <f t="shared" si="1158"/>
        <v>#N/A</v>
      </c>
      <c r="L7391" s="16">
        <f>base!X7391</f>
        <v>0</v>
      </c>
      <c r="M7391" s="11" t="e">
        <f t="shared" si="1154"/>
        <v>#DIV/0!</v>
      </c>
      <c r="N7391" s="11" t="e">
        <f t="shared" si="1155"/>
        <v>#N/A</v>
      </c>
      <c r="O7391" s="11" t="e">
        <f t="shared" si="1156"/>
        <v>#N/A</v>
      </c>
      <c r="P7391" s="12" t="e">
        <f t="shared" si="1157"/>
        <v>#N/A</v>
      </c>
      <c r="Q7391" s="17" t="e">
        <f t="shared" si="1159"/>
        <v>#N/A</v>
      </c>
    </row>
    <row r="7392" spans="1:17" x14ac:dyDescent="0.3">
      <c r="A7392" s="34">
        <f>base!J7392</f>
        <v>0</v>
      </c>
      <c r="B7392" s="34">
        <f>base!V7392</f>
        <v>0</v>
      </c>
      <c r="C7392" s="40" t="s">
        <v>11</v>
      </c>
      <c r="D7392" s="36">
        <f>base!H7392</f>
        <v>0</v>
      </c>
      <c r="E7392" s="44"/>
      <c r="F7392" s="16">
        <f>base!W7392</f>
        <v>0</v>
      </c>
      <c r="G7392" s="11" t="e">
        <f t="shared" si="1150"/>
        <v>#DIV/0!</v>
      </c>
      <c r="H7392" s="11" t="e">
        <f t="shared" si="1151"/>
        <v>#N/A</v>
      </c>
      <c r="I7392" s="11" t="e">
        <f t="shared" si="1152"/>
        <v>#N/A</v>
      </c>
      <c r="J7392" s="12" t="e">
        <f t="shared" si="1153"/>
        <v>#N/A</v>
      </c>
      <c r="K7392" s="17" t="e">
        <f t="shared" si="1158"/>
        <v>#N/A</v>
      </c>
      <c r="L7392" s="16">
        <f>base!X7392</f>
        <v>0</v>
      </c>
      <c r="M7392" s="11" t="e">
        <f t="shared" si="1154"/>
        <v>#DIV/0!</v>
      </c>
      <c r="N7392" s="11" t="e">
        <f t="shared" si="1155"/>
        <v>#N/A</v>
      </c>
      <c r="O7392" s="11" t="e">
        <f t="shared" si="1156"/>
        <v>#N/A</v>
      </c>
      <c r="P7392" s="12" t="e">
        <f t="shared" si="1157"/>
        <v>#N/A</v>
      </c>
      <c r="Q7392" s="17" t="e">
        <f t="shared" si="1159"/>
        <v>#N/A</v>
      </c>
    </row>
    <row r="7393" spans="1:17" x14ac:dyDescent="0.3">
      <c r="A7393" s="34">
        <f>base!J7393</f>
        <v>0</v>
      </c>
      <c r="B7393" s="34">
        <f>base!V7393</f>
        <v>0</v>
      </c>
      <c r="C7393" s="40" t="s">
        <v>11</v>
      </c>
      <c r="D7393" s="36">
        <f>base!H7393</f>
        <v>0</v>
      </c>
      <c r="E7393" s="44"/>
      <c r="F7393" s="16">
        <f>base!W7393</f>
        <v>0</v>
      </c>
      <c r="G7393" s="11" t="e">
        <f t="shared" si="1150"/>
        <v>#DIV/0!</v>
      </c>
      <c r="H7393" s="11" t="e">
        <f t="shared" si="1151"/>
        <v>#N/A</v>
      </c>
      <c r="I7393" s="11" t="e">
        <f t="shared" si="1152"/>
        <v>#N/A</v>
      </c>
      <c r="J7393" s="12" t="e">
        <f t="shared" si="1153"/>
        <v>#N/A</v>
      </c>
      <c r="K7393" s="17" t="e">
        <f t="shared" si="1158"/>
        <v>#N/A</v>
      </c>
      <c r="L7393" s="16">
        <f>base!X7393</f>
        <v>0</v>
      </c>
      <c r="M7393" s="11" t="e">
        <f t="shared" si="1154"/>
        <v>#DIV/0!</v>
      </c>
      <c r="N7393" s="11" t="e">
        <f t="shared" si="1155"/>
        <v>#N/A</v>
      </c>
      <c r="O7393" s="11" t="e">
        <f t="shared" si="1156"/>
        <v>#N/A</v>
      </c>
      <c r="P7393" s="12" t="e">
        <f t="shared" si="1157"/>
        <v>#N/A</v>
      </c>
      <c r="Q7393" s="17" t="e">
        <f t="shared" si="1159"/>
        <v>#N/A</v>
      </c>
    </row>
    <row r="7394" spans="1:17" x14ac:dyDescent="0.3">
      <c r="A7394" s="34">
        <f>base!J7394</f>
        <v>0</v>
      </c>
      <c r="B7394" s="34">
        <f>base!V7394</f>
        <v>0</v>
      </c>
      <c r="C7394" s="40" t="s">
        <v>11</v>
      </c>
      <c r="D7394" s="36">
        <f>base!H7394</f>
        <v>0</v>
      </c>
      <c r="E7394" s="44"/>
      <c r="F7394" s="16">
        <f>base!W7394</f>
        <v>0</v>
      </c>
      <c r="G7394" s="11" t="e">
        <f t="shared" si="1150"/>
        <v>#DIV/0!</v>
      </c>
      <c r="H7394" s="11" t="e">
        <f t="shared" si="1151"/>
        <v>#N/A</v>
      </c>
      <c r="I7394" s="11" t="e">
        <f t="shared" si="1152"/>
        <v>#N/A</v>
      </c>
      <c r="J7394" s="12" t="e">
        <f t="shared" si="1153"/>
        <v>#N/A</v>
      </c>
      <c r="K7394" s="17" t="e">
        <f t="shared" si="1158"/>
        <v>#N/A</v>
      </c>
      <c r="L7394" s="16">
        <f>base!X7394</f>
        <v>0</v>
      </c>
      <c r="M7394" s="11" t="e">
        <f t="shared" si="1154"/>
        <v>#DIV/0!</v>
      </c>
      <c r="N7394" s="11" t="e">
        <f t="shared" si="1155"/>
        <v>#N/A</v>
      </c>
      <c r="O7394" s="11" t="e">
        <f t="shared" si="1156"/>
        <v>#N/A</v>
      </c>
      <c r="P7394" s="12" t="e">
        <f t="shared" si="1157"/>
        <v>#N/A</v>
      </c>
      <c r="Q7394" s="17" t="e">
        <f t="shared" si="1159"/>
        <v>#N/A</v>
      </c>
    </row>
    <row r="7395" spans="1:17" x14ac:dyDescent="0.3">
      <c r="A7395" s="34">
        <f>base!J7395</f>
        <v>0</v>
      </c>
      <c r="B7395" s="34">
        <f>base!V7395</f>
        <v>0</v>
      </c>
      <c r="C7395" s="40" t="s">
        <v>11</v>
      </c>
      <c r="D7395" s="36">
        <f>base!H7395</f>
        <v>0</v>
      </c>
      <c r="E7395" s="44"/>
      <c r="F7395" s="16">
        <f>base!W7395</f>
        <v>0</v>
      </c>
      <c r="G7395" s="11" t="e">
        <f t="shared" si="1150"/>
        <v>#DIV/0!</v>
      </c>
      <c r="H7395" s="11" t="e">
        <f t="shared" si="1151"/>
        <v>#N/A</v>
      </c>
      <c r="I7395" s="11" t="e">
        <f t="shared" si="1152"/>
        <v>#N/A</v>
      </c>
      <c r="J7395" s="12" t="e">
        <f t="shared" si="1153"/>
        <v>#N/A</v>
      </c>
      <c r="K7395" s="17" t="e">
        <f t="shared" si="1158"/>
        <v>#N/A</v>
      </c>
      <c r="L7395" s="16">
        <f>base!X7395</f>
        <v>0</v>
      </c>
      <c r="M7395" s="11" t="e">
        <f t="shared" si="1154"/>
        <v>#DIV/0!</v>
      </c>
      <c r="N7395" s="11" t="e">
        <f t="shared" si="1155"/>
        <v>#N/A</v>
      </c>
      <c r="O7395" s="11" t="e">
        <f t="shared" si="1156"/>
        <v>#N/A</v>
      </c>
      <c r="P7395" s="12" t="e">
        <f t="shared" si="1157"/>
        <v>#N/A</v>
      </c>
      <c r="Q7395" s="17" t="e">
        <f t="shared" si="1159"/>
        <v>#N/A</v>
      </c>
    </row>
    <row r="7396" spans="1:17" x14ac:dyDescent="0.3">
      <c r="A7396" s="34">
        <f>base!J7396</f>
        <v>0</v>
      </c>
      <c r="B7396" s="34">
        <f>base!V7396</f>
        <v>0</v>
      </c>
      <c r="C7396" s="40" t="s">
        <v>11</v>
      </c>
      <c r="D7396" s="36">
        <f>base!H7396</f>
        <v>0</v>
      </c>
      <c r="E7396" s="44"/>
      <c r="F7396" s="16">
        <f>base!W7396</f>
        <v>0</v>
      </c>
      <c r="G7396" s="11" t="e">
        <f t="shared" si="1150"/>
        <v>#DIV/0!</v>
      </c>
      <c r="H7396" s="11" t="e">
        <f t="shared" si="1151"/>
        <v>#N/A</v>
      </c>
      <c r="I7396" s="11" t="e">
        <f t="shared" si="1152"/>
        <v>#N/A</v>
      </c>
      <c r="J7396" s="12" t="e">
        <f t="shared" si="1153"/>
        <v>#N/A</v>
      </c>
      <c r="K7396" s="17" t="e">
        <f t="shared" si="1158"/>
        <v>#N/A</v>
      </c>
      <c r="L7396" s="16">
        <f>base!X7396</f>
        <v>0</v>
      </c>
      <c r="M7396" s="11" t="e">
        <f t="shared" si="1154"/>
        <v>#DIV/0!</v>
      </c>
      <c r="N7396" s="11" t="e">
        <f t="shared" si="1155"/>
        <v>#N/A</v>
      </c>
      <c r="O7396" s="11" t="e">
        <f t="shared" si="1156"/>
        <v>#N/A</v>
      </c>
      <c r="P7396" s="12" t="e">
        <f t="shared" si="1157"/>
        <v>#N/A</v>
      </c>
      <c r="Q7396" s="17" t="e">
        <f t="shared" si="1159"/>
        <v>#N/A</v>
      </c>
    </row>
    <row r="7397" spans="1:17" x14ac:dyDescent="0.3">
      <c r="A7397" s="34">
        <f>base!J7397</f>
        <v>0</v>
      </c>
      <c r="B7397" s="34">
        <f>base!V7397</f>
        <v>0</v>
      </c>
      <c r="C7397" s="40" t="s">
        <v>11</v>
      </c>
      <c r="D7397" s="36">
        <f>base!H7397</f>
        <v>0</v>
      </c>
      <c r="E7397" s="44"/>
      <c r="F7397" s="16">
        <f>base!W7397</f>
        <v>0</v>
      </c>
      <c r="G7397" s="11" t="e">
        <f t="shared" si="1150"/>
        <v>#DIV/0!</v>
      </c>
      <c r="H7397" s="11" t="e">
        <f t="shared" si="1151"/>
        <v>#N/A</v>
      </c>
      <c r="I7397" s="11" t="e">
        <f t="shared" si="1152"/>
        <v>#N/A</v>
      </c>
      <c r="J7397" s="12" t="e">
        <f t="shared" si="1153"/>
        <v>#N/A</v>
      </c>
      <c r="K7397" s="17" t="e">
        <f t="shared" si="1158"/>
        <v>#N/A</v>
      </c>
      <c r="L7397" s="16">
        <f>base!X7397</f>
        <v>0</v>
      </c>
      <c r="M7397" s="11" t="e">
        <f t="shared" si="1154"/>
        <v>#DIV/0!</v>
      </c>
      <c r="N7397" s="11" t="e">
        <f t="shared" si="1155"/>
        <v>#N/A</v>
      </c>
      <c r="O7397" s="11" t="e">
        <f t="shared" si="1156"/>
        <v>#N/A</v>
      </c>
      <c r="P7397" s="12" t="e">
        <f t="shared" si="1157"/>
        <v>#N/A</v>
      </c>
      <c r="Q7397" s="17" t="e">
        <f t="shared" si="1159"/>
        <v>#N/A</v>
      </c>
    </row>
    <row r="7398" spans="1:17" x14ac:dyDescent="0.3">
      <c r="A7398" s="34">
        <f>base!J7398</f>
        <v>0</v>
      </c>
      <c r="B7398" s="34">
        <f>base!V7398</f>
        <v>0</v>
      </c>
      <c r="C7398" s="40" t="s">
        <v>11</v>
      </c>
      <c r="D7398" s="36">
        <f>base!H7398</f>
        <v>0</v>
      </c>
      <c r="E7398" s="44"/>
      <c r="F7398" s="16">
        <f>base!W7398</f>
        <v>0</v>
      </c>
      <c r="G7398" s="11" t="e">
        <f t="shared" si="1150"/>
        <v>#DIV/0!</v>
      </c>
      <c r="H7398" s="11" t="e">
        <f t="shared" si="1151"/>
        <v>#N/A</v>
      </c>
      <c r="I7398" s="11" t="e">
        <f t="shared" si="1152"/>
        <v>#N/A</v>
      </c>
      <c r="J7398" s="12" t="e">
        <f t="shared" si="1153"/>
        <v>#N/A</v>
      </c>
      <c r="K7398" s="17" t="e">
        <f t="shared" si="1158"/>
        <v>#N/A</v>
      </c>
      <c r="L7398" s="16">
        <f>base!X7398</f>
        <v>0</v>
      </c>
      <c r="M7398" s="11" t="e">
        <f t="shared" si="1154"/>
        <v>#DIV/0!</v>
      </c>
      <c r="N7398" s="11" t="e">
        <f t="shared" si="1155"/>
        <v>#N/A</v>
      </c>
      <c r="O7398" s="11" t="e">
        <f t="shared" si="1156"/>
        <v>#N/A</v>
      </c>
      <c r="P7398" s="12" t="e">
        <f t="shared" si="1157"/>
        <v>#N/A</v>
      </c>
      <c r="Q7398" s="17" t="e">
        <f t="shared" si="1159"/>
        <v>#N/A</v>
      </c>
    </row>
    <row r="7399" spans="1:17" x14ac:dyDescent="0.3">
      <c r="A7399" s="34">
        <f>base!J7399</f>
        <v>0</v>
      </c>
      <c r="B7399" s="34">
        <f>base!V7399</f>
        <v>0</v>
      </c>
      <c r="C7399" s="40" t="s">
        <v>11</v>
      </c>
      <c r="D7399" s="36">
        <f>base!H7399</f>
        <v>0</v>
      </c>
      <c r="E7399" s="44"/>
      <c r="F7399" s="16">
        <f>base!W7399</f>
        <v>0</v>
      </c>
      <c r="G7399" s="11" t="e">
        <f t="shared" si="1150"/>
        <v>#DIV/0!</v>
      </c>
      <c r="H7399" s="11" t="e">
        <f t="shared" si="1151"/>
        <v>#N/A</v>
      </c>
      <c r="I7399" s="11" t="e">
        <f t="shared" si="1152"/>
        <v>#N/A</v>
      </c>
      <c r="J7399" s="12" t="e">
        <f t="shared" si="1153"/>
        <v>#N/A</v>
      </c>
      <c r="K7399" s="17" t="e">
        <f t="shared" si="1158"/>
        <v>#N/A</v>
      </c>
      <c r="L7399" s="16">
        <f>base!X7399</f>
        <v>0</v>
      </c>
      <c r="M7399" s="11" t="e">
        <f t="shared" si="1154"/>
        <v>#DIV/0!</v>
      </c>
      <c r="N7399" s="11" t="e">
        <f t="shared" si="1155"/>
        <v>#N/A</v>
      </c>
      <c r="O7399" s="11" t="e">
        <f t="shared" si="1156"/>
        <v>#N/A</v>
      </c>
      <c r="P7399" s="12" t="e">
        <f t="shared" si="1157"/>
        <v>#N/A</v>
      </c>
      <c r="Q7399" s="17" t="e">
        <f t="shared" si="1159"/>
        <v>#N/A</v>
      </c>
    </row>
    <row r="7400" spans="1:17" x14ac:dyDescent="0.3">
      <c r="A7400" s="34">
        <f>base!J7400</f>
        <v>0</v>
      </c>
      <c r="B7400" s="34">
        <f>base!V7400</f>
        <v>0</v>
      </c>
      <c r="C7400" s="40" t="s">
        <v>11</v>
      </c>
      <c r="D7400" s="36">
        <f>base!H7400</f>
        <v>0</v>
      </c>
      <c r="E7400" s="44"/>
      <c r="F7400" s="16">
        <f>base!W7400</f>
        <v>0</v>
      </c>
      <c r="G7400" s="11" t="e">
        <f t="shared" si="1150"/>
        <v>#DIV/0!</v>
      </c>
      <c r="H7400" s="11" t="e">
        <f t="shared" si="1151"/>
        <v>#N/A</v>
      </c>
      <c r="I7400" s="11" t="e">
        <f t="shared" si="1152"/>
        <v>#N/A</v>
      </c>
      <c r="J7400" s="12" t="e">
        <f t="shared" si="1153"/>
        <v>#N/A</v>
      </c>
      <c r="K7400" s="17" t="e">
        <f t="shared" si="1158"/>
        <v>#N/A</v>
      </c>
      <c r="L7400" s="16">
        <f>base!X7400</f>
        <v>0</v>
      </c>
      <c r="M7400" s="11" t="e">
        <f t="shared" si="1154"/>
        <v>#DIV/0!</v>
      </c>
      <c r="N7400" s="11" t="e">
        <f t="shared" si="1155"/>
        <v>#N/A</v>
      </c>
      <c r="O7400" s="11" t="e">
        <f t="shared" si="1156"/>
        <v>#N/A</v>
      </c>
      <c r="P7400" s="12" t="e">
        <f t="shared" si="1157"/>
        <v>#N/A</v>
      </c>
      <c r="Q7400" s="17" t="e">
        <f t="shared" si="1159"/>
        <v>#N/A</v>
      </c>
    </row>
    <row r="7401" spans="1:17" x14ac:dyDescent="0.3">
      <c r="A7401" s="34">
        <f>base!J7401</f>
        <v>0</v>
      </c>
      <c r="B7401" s="34">
        <f>base!V7401</f>
        <v>0</v>
      </c>
      <c r="C7401" s="40" t="s">
        <v>11</v>
      </c>
      <c r="D7401" s="36">
        <f>base!H7401</f>
        <v>0</v>
      </c>
      <c r="E7401" s="44"/>
      <c r="F7401" s="16">
        <f>base!W7401</f>
        <v>0</v>
      </c>
      <c r="G7401" s="11" t="e">
        <f t="shared" si="1150"/>
        <v>#DIV/0!</v>
      </c>
      <c r="H7401" s="11" t="e">
        <f t="shared" si="1151"/>
        <v>#N/A</v>
      </c>
      <c r="I7401" s="11" t="e">
        <f t="shared" si="1152"/>
        <v>#N/A</v>
      </c>
      <c r="J7401" s="12" t="e">
        <f t="shared" si="1153"/>
        <v>#N/A</v>
      </c>
      <c r="K7401" s="17" t="e">
        <f t="shared" si="1158"/>
        <v>#N/A</v>
      </c>
      <c r="L7401" s="16">
        <f>base!X7401</f>
        <v>0</v>
      </c>
      <c r="M7401" s="11" t="e">
        <f t="shared" si="1154"/>
        <v>#DIV/0!</v>
      </c>
      <c r="N7401" s="11" t="e">
        <f t="shared" si="1155"/>
        <v>#N/A</v>
      </c>
      <c r="O7401" s="11" t="e">
        <f t="shared" si="1156"/>
        <v>#N/A</v>
      </c>
      <c r="P7401" s="12" t="e">
        <f t="shared" si="1157"/>
        <v>#N/A</v>
      </c>
      <c r="Q7401" s="17" t="e">
        <f t="shared" si="1159"/>
        <v>#N/A</v>
      </c>
    </row>
    <row r="7402" spans="1:17" x14ac:dyDescent="0.3">
      <c r="A7402" s="34">
        <f>base!J7402</f>
        <v>0</v>
      </c>
      <c r="B7402" s="34">
        <f>base!V7402</f>
        <v>0</v>
      </c>
      <c r="C7402" s="40" t="s">
        <v>11</v>
      </c>
      <c r="D7402" s="36">
        <f>base!H7402</f>
        <v>0</v>
      </c>
      <c r="E7402" s="44"/>
      <c r="F7402" s="16">
        <f>base!W7402</f>
        <v>0</v>
      </c>
      <c r="G7402" s="11" t="e">
        <f t="shared" si="1150"/>
        <v>#DIV/0!</v>
      </c>
      <c r="H7402" s="11" t="e">
        <f t="shared" si="1151"/>
        <v>#N/A</v>
      </c>
      <c r="I7402" s="11" t="e">
        <f t="shared" si="1152"/>
        <v>#N/A</v>
      </c>
      <c r="J7402" s="12" t="e">
        <f t="shared" si="1153"/>
        <v>#N/A</v>
      </c>
      <c r="K7402" s="17" t="e">
        <f t="shared" si="1158"/>
        <v>#N/A</v>
      </c>
      <c r="L7402" s="16">
        <f>base!X7402</f>
        <v>0</v>
      </c>
      <c r="M7402" s="11" t="e">
        <f t="shared" si="1154"/>
        <v>#DIV/0!</v>
      </c>
      <c r="N7402" s="11" t="e">
        <f t="shared" si="1155"/>
        <v>#N/A</v>
      </c>
      <c r="O7402" s="11" t="e">
        <f t="shared" si="1156"/>
        <v>#N/A</v>
      </c>
      <c r="P7402" s="12" t="e">
        <f t="shared" si="1157"/>
        <v>#N/A</v>
      </c>
      <c r="Q7402" s="17" t="e">
        <f t="shared" si="1159"/>
        <v>#N/A</v>
      </c>
    </row>
    <row r="7403" spans="1:17" x14ac:dyDescent="0.3">
      <c r="A7403" s="34">
        <f>base!J7403</f>
        <v>0</v>
      </c>
      <c r="B7403" s="34">
        <f>base!V7403</f>
        <v>0</v>
      </c>
      <c r="C7403" s="40" t="s">
        <v>11</v>
      </c>
      <c r="D7403" s="36">
        <f>base!H7403</f>
        <v>0</v>
      </c>
      <c r="E7403" s="44"/>
      <c r="F7403" s="16">
        <f>base!W7403</f>
        <v>0</v>
      </c>
      <c r="G7403" s="11" t="e">
        <f t="shared" si="1150"/>
        <v>#DIV/0!</v>
      </c>
      <c r="H7403" s="11" t="e">
        <f t="shared" si="1151"/>
        <v>#N/A</v>
      </c>
      <c r="I7403" s="11" t="e">
        <f t="shared" si="1152"/>
        <v>#N/A</v>
      </c>
      <c r="J7403" s="12" t="e">
        <f t="shared" si="1153"/>
        <v>#N/A</v>
      </c>
      <c r="K7403" s="17" t="e">
        <f t="shared" si="1158"/>
        <v>#N/A</v>
      </c>
      <c r="L7403" s="16">
        <f>base!X7403</f>
        <v>0</v>
      </c>
      <c r="M7403" s="11" t="e">
        <f t="shared" si="1154"/>
        <v>#DIV/0!</v>
      </c>
      <c r="N7403" s="11" t="e">
        <f t="shared" si="1155"/>
        <v>#N/A</v>
      </c>
      <c r="O7403" s="11" t="e">
        <f t="shared" si="1156"/>
        <v>#N/A</v>
      </c>
      <c r="P7403" s="12" t="e">
        <f t="shared" si="1157"/>
        <v>#N/A</v>
      </c>
      <c r="Q7403" s="17" t="e">
        <f t="shared" si="1159"/>
        <v>#N/A</v>
      </c>
    </row>
    <row r="7404" spans="1:17" x14ac:dyDescent="0.3">
      <c r="A7404" s="34">
        <f>base!J7404</f>
        <v>0</v>
      </c>
      <c r="B7404" s="34">
        <f>base!V7404</f>
        <v>0</v>
      </c>
      <c r="C7404" s="40" t="s">
        <v>11</v>
      </c>
      <c r="D7404" s="36">
        <f>base!H7404</f>
        <v>0</v>
      </c>
      <c r="E7404" s="44"/>
      <c r="F7404" s="16">
        <f>base!W7404</f>
        <v>0</v>
      </c>
      <c r="G7404" s="11" t="e">
        <f t="shared" si="1150"/>
        <v>#DIV/0!</v>
      </c>
      <c r="H7404" s="11" t="e">
        <f t="shared" si="1151"/>
        <v>#N/A</v>
      </c>
      <c r="I7404" s="11" t="e">
        <f t="shared" si="1152"/>
        <v>#N/A</v>
      </c>
      <c r="J7404" s="12" t="e">
        <f t="shared" si="1153"/>
        <v>#N/A</v>
      </c>
      <c r="K7404" s="17" t="e">
        <f t="shared" si="1158"/>
        <v>#N/A</v>
      </c>
      <c r="L7404" s="16">
        <f>base!X7404</f>
        <v>0</v>
      </c>
      <c r="M7404" s="11" t="e">
        <f t="shared" si="1154"/>
        <v>#DIV/0!</v>
      </c>
      <c r="N7404" s="11" t="e">
        <f t="shared" si="1155"/>
        <v>#N/A</v>
      </c>
      <c r="O7404" s="11" t="e">
        <f t="shared" si="1156"/>
        <v>#N/A</v>
      </c>
      <c r="P7404" s="12" t="e">
        <f t="shared" si="1157"/>
        <v>#N/A</v>
      </c>
      <c r="Q7404" s="17" t="e">
        <f t="shared" si="1159"/>
        <v>#N/A</v>
      </c>
    </row>
    <row r="7405" spans="1:17" x14ac:dyDescent="0.3">
      <c r="A7405" s="34">
        <f>base!J7405</f>
        <v>0</v>
      </c>
      <c r="B7405" s="34">
        <f>base!V7405</f>
        <v>0</v>
      </c>
      <c r="C7405" s="40" t="s">
        <v>11</v>
      </c>
      <c r="D7405" s="36">
        <f>base!H7405</f>
        <v>0</v>
      </c>
      <c r="E7405" s="44"/>
      <c r="F7405" s="16">
        <f>base!W7405</f>
        <v>0</v>
      </c>
      <c r="G7405" s="11" t="e">
        <f t="shared" si="1150"/>
        <v>#DIV/0!</v>
      </c>
      <c r="H7405" s="11" t="e">
        <f t="shared" si="1151"/>
        <v>#N/A</v>
      </c>
      <c r="I7405" s="11" t="e">
        <f t="shared" si="1152"/>
        <v>#N/A</v>
      </c>
      <c r="J7405" s="12" t="e">
        <f t="shared" si="1153"/>
        <v>#N/A</v>
      </c>
      <c r="K7405" s="17" t="e">
        <f t="shared" si="1158"/>
        <v>#N/A</v>
      </c>
      <c r="L7405" s="16">
        <f>base!X7405</f>
        <v>0</v>
      </c>
      <c r="M7405" s="11" t="e">
        <f t="shared" si="1154"/>
        <v>#DIV/0!</v>
      </c>
      <c r="N7405" s="11" t="e">
        <f t="shared" si="1155"/>
        <v>#N/A</v>
      </c>
      <c r="O7405" s="11" t="e">
        <f t="shared" si="1156"/>
        <v>#N/A</v>
      </c>
      <c r="P7405" s="12" t="e">
        <f t="shared" si="1157"/>
        <v>#N/A</v>
      </c>
      <c r="Q7405" s="17" t="e">
        <f t="shared" si="1159"/>
        <v>#N/A</v>
      </c>
    </row>
    <row r="7406" spans="1:17" x14ac:dyDescent="0.3">
      <c r="A7406" s="34">
        <f>base!J7406</f>
        <v>0</v>
      </c>
      <c r="B7406" s="34">
        <f>base!V7406</f>
        <v>0</v>
      </c>
      <c r="C7406" s="40" t="s">
        <v>11</v>
      </c>
      <c r="D7406" s="36">
        <f>base!H7406</f>
        <v>0</v>
      </c>
      <c r="E7406" s="44"/>
      <c r="F7406" s="16">
        <f>base!W7406</f>
        <v>0</v>
      </c>
      <c r="G7406" s="11" t="e">
        <f t="shared" si="1150"/>
        <v>#DIV/0!</v>
      </c>
      <c r="H7406" s="11" t="e">
        <f t="shared" si="1151"/>
        <v>#N/A</v>
      </c>
      <c r="I7406" s="11" t="e">
        <f t="shared" si="1152"/>
        <v>#N/A</v>
      </c>
      <c r="J7406" s="12" t="e">
        <f t="shared" si="1153"/>
        <v>#N/A</v>
      </c>
      <c r="K7406" s="17" t="e">
        <f t="shared" si="1158"/>
        <v>#N/A</v>
      </c>
      <c r="L7406" s="16">
        <f>base!X7406</f>
        <v>0</v>
      </c>
      <c r="M7406" s="11" t="e">
        <f t="shared" si="1154"/>
        <v>#DIV/0!</v>
      </c>
      <c r="N7406" s="11" t="e">
        <f t="shared" si="1155"/>
        <v>#N/A</v>
      </c>
      <c r="O7406" s="11" t="e">
        <f t="shared" si="1156"/>
        <v>#N/A</v>
      </c>
      <c r="P7406" s="12" t="e">
        <f t="shared" si="1157"/>
        <v>#N/A</v>
      </c>
      <c r="Q7406" s="17" t="e">
        <f t="shared" si="1159"/>
        <v>#N/A</v>
      </c>
    </row>
    <row r="7407" spans="1:17" x14ac:dyDescent="0.3">
      <c r="A7407" s="34">
        <f>base!J7407</f>
        <v>0</v>
      </c>
      <c r="B7407" s="34">
        <f>base!V7407</f>
        <v>0</v>
      </c>
      <c r="C7407" s="40" t="s">
        <v>11</v>
      </c>
      <c r="D7407" s="36">
        <f>base!H7407</f>
        <v>0</v>
      </c>
      <c r="E7407" s="44"/>
      <c r="F7407" s="16">
        <f>base!W7407</f>
        <v>0</v>
      </c>
      <c r="G7407" s="11" t="e">
        <f t="shared" si="1150"/>
        <v>#DIV/0!</v>
      </c>
      <c r="H7407" s="11" t="e">
        <f t="shared" si="1151"/>
        <v>#N/A</v>
      </c>
      <c r="I7407" s="11" t="e">
        <f t="shared" si="1152"/>
        <v>#N/A</v>
      </c>
      <c r="J7407" s="12" t="e">
        <f t="shared" si="1153"/>
        <v>#N/A</v>
      </c>
      <c r="K7407" s="17" t="e">
        <f t="shared" si="1158"/>
        <v>#N/A</v>
      </c>
      <c r="L7407" s="16">
        <f>base!X7407</f>
        <v>0</v>
      </c>
      <c r="M7407" s="11" t="e">
        <f t="shared" si="1154"/>
        <v>#DIV/0!</v>
      </c>
      <c r="N7407" s="11" t="e">
        <f t="shared" si="1155"/>
        <v>#N/A</v>
      </c>
      <c r="O7407" s="11" t="e">
        <f t="shared" si="1156"/>
        <v>#N/A</v>
      </c>
      <c r="P7407" s="12" t="e">
        <f t="shared" si="1157"/>
        <v>#N/A</v>
      </c>
      <c r="Q7407" s="17" t="e">
        <f t="shared" si="1159"/>
        <v>#N/A</v>
      </c>
    </row>
    <row r="7408" spans="1:17" x14ac:dyDescent="0.3">
      <c r="A7408" s="34">
        <f>base!J7408</f>
        <v>0</v>
      </c>
      <c r="B7408" s="34">
        <f>base!V7408</f>
        <v>0</v>
      </c>
      <c r="C7408" s="40" t="s">
        <v>11</v>
      </c>
      <c r="D7408" s="36">
        <f>base!H7408</f>
        <v>0</v>
      </c>
      <c r="E7408" s="44"/>
      <c r="F7408" s="16">
        <f>base!W7408</f>
        <v>0</v>
      </c>
      <c r="G7408" s="11" t="e">
        <f t="shared" si="1150"/>
        <v>#DIV/0!</v>
      </c>
      <c r="H7408" s="11" t="e">
        <f t="shared" si="1151"/>
        <v>#N/A</v>
      </c>
      <c r="I7408" s="11" t="e">
        <f t="shared" si="1152"/>
        <v>#N/A</v>
      </c>
      <c r="J7408" s="12" t="e">
        <f t="shared" si="1153"/>
        <v>#N/A</v>
      </c>
      <c r="K7408" s="17" t="e">
        <f t="shared" si="1158"/>
        <v>#N/A</v>
      </c>
      <c r="L7408" s="16">
        <f>base!X7408</f>
        <v>0</v>
      </c>
      <c r="M7408" s="11" t="e">
        <f t="shared" si="1154"/>
        <v>#DIV/0!</v>
      </c>
      <c r="N7408" s="11" t="e">
        <f t="shared" si="1155"/>
        <v>#N/A</v>
      </c>
      <c r="O7408" s="11" t="e">
        <f t="shared" si="1156"/>
        <v>#N/A</v>
      </c>
      <c r="P7408" s="12" t="e">
        <f t="shared" si="1157"/>
        <v>#N/A</v>
      </c>
      <c r="Q7408" s="17" t="e">
        <f t="shared" si="1159"/>
        <v>#N/A</v>
      </c>
    </row>
    <row r="7409" spans="1:17" x14ac:dyDescent="0.3">
      <c r="A7409" s="34">
        <f>base!J7409</f>
        <v>0</v>
      </c>
      <c r="B7409" s="34">
        <f>base!V7409</f>
        <v>0</v>
      </c>
      <c r="C7409" s="40" t="s">
        <v>11</v>
      </c>
      <c r="D7409" s="36">
        <f>base!H7409</f>
        <v>0</v>
      </c>
      <c r="E7409" s="44"/>
      <c r="F7409" s="16">
        <f>base!W7409</f>
        <v>0</v>
      </c>
      <c r="G7409" s="11" t="e">
        <f t="shared" si="1150"/>
        <v>#DIV/0!</v>
      </c>
      <c r="H7409" s="11" t="e">
        <f t="shared" si="1151"/>
        <v>#N/A</v>
      </c>
      <c r="I7409" s="11" t="e">
        <f t="shared" si="1152"/>
        <v>#N/A</v>
      </c>
      <c r="J7409" s="12" t="e">
        <f t="shared" si="1153"/>
        <v>#N/A</v>
      </c>
      <c r="K7409" s="17" t="e">
        <f t="shared" si="1158"/>
        <v>#N/A</v>
      </c>
      <c r="L7409" s="16">
        <f>base!X7409</f>
        <v>0</v>
      </c>
      <c r="M7409" s="11" t="e">
        <f t="shared" si="1154"/>
        <v>#DIV/0!</v>
      </c>
      <c r="N7409" s="11" t="e">
        <f t="shared" si="1155"/>
        <v>#N/A</v>
      </c>
      <c r="O7409" s="11" t="e">
        <f t="shared" si="1156"/>
        <v>#N/A</v>
      </c>
      <c r="P7409" s="12" t="e">
        <f t="shared" si="1157"/>
        <v>#N/A</v>
      </c>
      <c r="Q7409" s="17" t="e">
        <f t="shared" si="1159"/>
        <v>#N/A</v>
      </c>
    </row>
    <row r="7410" spans="1:17" x14ac:dyDescent="0.3">
      <c r="A7410" s="34">
        <f>base!J7410</f>
        <v>0</v>
      </c>
      <c r="B7410" s="34">
        <f>base!V7410</f>
        <v>0</v>
      </c>
      <c r="C7410" s="40" t="s">
        <v>11</v>
      </c>
      <c r="D7410" s="36">
        <f>base!H7410</f>
        <v>0</v>
      </c>
      <c r="E7410" s="44"/>
      <c r="F7410" s="16">
        <f>base!W7410</f>
        <v>0</v>
      </c>
      <c r="G7410" s="11" t="e">
        <f t="shared" si="1150"/>
        <v>#DIV/0!</v>
      </c>
      <c r="H7410" s="11" t="e">
        <f t="shared" si="1151"/>
        <v>#N/A</v>
      </c>
      <c r="I7410" s="11" t="e">
        <f t="shared" si="1152"/>
        <v>#N/A</v>
      </c>
      <c r="J7410" s="12" t="e">
        <f t="shared" si="1153"/>
        <v>#N/A</v>
      </c>
      <c r="K7410" s="17" t="e">
        <f t="shared" si="1158"/>
        <v>#N/A</v>
      </c>
      <c r="L7410" s="16">
        <f>base!X7410</f>
        <v>0</v>
      </c>
      <c r="M7410" s="11" t="e">
        <f t="shared" si="1154"/>
        <v>#DIV/0!</v>
      </c>
      <c r="N7410" s="11" t="e">
        <f t="shared" si="1155"/>
        <v>#N/A</v>
      </c>
      <c r="O7410" s="11" t="e">
        <f t="shared" si="1156"/>
        <v>#N/A</v>
      </c>
      <c r="P7410" s="12" t="e">
        <f t="shared" si="1157"/>
        <v>#N/A</v>
      </c>
      <c r="Q7410" s="17" t="e">
        <f t="shared" si="1159"/>
        <v>#N/A</v>
      </c>
    </row>
    <row r="7411" spans="1:17" x14ac:dyDescent="0.3">
      <c r="A7411" s="34">
        <f>base!J7411</f>
        <v>0</v>
      </c>
      <c r="B7411" s="34">
        <f>base!V7411</f>
        <v>0</v>
      </c>
      <c r="C7411" s="40" t="s">
        <v>11</v>
      </c>
      <c r="D7411" s="36">
        <f>base!H7411</f>
        <v>0</v>
      </c>
      <c r="E7411" s="44"/>
      <c r="F7411" s="16">
        <f>base!W7411</f>
        <v>0</v>
      </c>
      <c r="G7411" s="11" t="e">
        <f t="shared" si="1150"/>
        <v>#DIV/0!</v>
      </c>
      <c r="H7411" s="11" t="e">
        <f t="shared" si="1151"/>
        <v>#N/A</v>
      </c>
      <c r="I7411" s="11" t="e">
        <f t="shared" si="1152"/>
        <v>#N/A</v>
      </c>
      <c r="J7411" s="12" t="e">
        <f t="shared" si="1153"/>
        <v>#N/A</v>
      </c>
      <c r="K7411" s="17" t="e">
        <f t="shared" si="1158"/>
        <v>#N/A</v>
      </c>
      <c r="L7411" s="16">
        <f>base!X7411</f>
        <v>0</v>
      </c>
      <c r="M7411" s="11" t="e">
        <f t="shared" si="1154"/>
        <v>#DIV/0!</v>
      </c>
      <c r="N7411" s="11" t="e">
        <f t="shared" si="1155"/>
        <v>#N/A</v>
      </c>
      <c r="O7411" s="11" t="e">
        <f t="shared" si="1156"/>
        <v>#N/A</v>
      </c>
      <c r="P7411" s="12" t="e">
        <f t="shared" si="1157"/>
        <v>#N/A</v>
      </c>
      <c r="Q7411" s="17" t="e">
        <f t="shared" si="1159"/>
        <v>#N/A</v>
      </c>
    </row>
    <row r="7412" spans="1:17" x14ac:dyDescent="0.3">
      <c r="A7412" s="34">
        <f>base!J7412</f>
        <v>0</v>
      </c>
      <c r="B7412" s="34">
        <f>base!V7412</f>
        <v>0</v>
      </c>
      <c r="C7412" s="40" t="s">
        <v>11</v>
      </c>
      <c r="D7412" s="36">
        <f>base!H7412</f>
        <v>0</v>
      </c>
      <c r="E7412" s="44"/>
      <c r="F7412" s="16">
        <f>base!W7412</f>
        <v>0</v>
      </c>
      <c r="G7412" s="11" t="e">
        <f t="shared" si="1150"/>
        <v>#DIV/0!</v>
      </c>
      <c r="H7412" s="11" t="e">
        <f t="shared" si="1151"/>
        <v>#N/A</v>
      </c>
      <c r="I7412" s="11" t="e">
        <f t="shared" si="1152"/>
        <v>#N/A</v>
      </c>
      <c r="J7412" s="12" t="e">
        <f t="shared" si="1153"/>
        <v>#N/A</v>
      </c>
      <c r="K7412" s="17" t="e">
        <f t="shared" si="1158"/>
        <v>#N/A</v>
      </c>
      <c r="L7412" s="16">
        <f>base!X7412</f>
        <v>0</v>
      </c>
      <c r="M7412" s="11" t="e">
        <f t="shared" si="1154"/>
        <v>#DIV/0!</v>
      </c>
      <c r="N7412" s="11" t="e">
        <f t="shared" si="1155"/>
        <v>#N/A</v>
      </c>
      <c r="O7412" s="11" t="e">
        <f t="shared" si="1156"/>
        <v>#N/A</v>
      </c>
      <c r="P7412" s="12" t="e">
        <f t="shared" si="1157"/>
        <v>#N/A</v>
      </c>
      <c r="Q7412" s="17" t="e">
        <f t="shared" si="1159"/>
        <v>#N/A</v>
      </c>
    </row>
    <row r="7413" spans="1:17" x14ac:dyDescent="0.3">
      <c r="A7413" s="34">
        <f>base!J7413</f>
        <v>0</v>
      </c>
      <c r="B7413" s="34">
        <f>base!V7413</f>
        <v>0</v>
      </c>
      <c r="C7413" s="40" t="s">
        <v>11</v>
      </c>
      <c r="D7413" s="36">
        <f>base!H7413</f>
        <v>0</v>
      </c>
      <c r="E7413" s="44"/>
      <c r="F7413" s="16">
        <f>base!W7413</f>
        <v>0</v>
      </c>
      <c r="G7413" s="11" t="e">
        <f t="shared" si="1150"/>
        <v>#DIV/0!</v>
      </c>
      <c r="H7413" s="11" t="e">
        <f t="shared" si="1151"/>
        <v>#N/A</v>
      </c>
      <c r="I7413" s="11" t="e">
        <f t="shared" si="1152"/>
        <v>#N/A</v>
      </c>
      <c r="J7413" s="12" t="e">
        <f t="shared" si="1153"/>
        <v>#N/A</v>
      </c>
      <c r="K7413" s="17" t="e">
        <f t="shared" si="1158"/>
        <v>#N/A</v>
      </c>
      <c r="L7413" s="16">
        <f>base!X7413</f>
        <v>0</v>
      </c>
      <c r="M7413" s="11" t="e">
        <f t="shared" si="1154"/>
        <v>#DIV/0!</v>
      </c>
      <c r="N7413" s="11" t="e">
        <f t="shared" si="1155"/>
        <v>#N/A</v>
      </c>
      <c r="O7413" s="11" t="e">
        <f t="shared" si="1156"/>
        <v>#N/A</v>
      </c>
      <c r="P7413" s="12" t="e">
        <f t="shared" si="1157"/>
        <v>#N/A</v>
      </c>
      <c r="Q7413" s="17" t="e">
        <f t="shared" si="1159"/>
        <v>#N/A</v>
      </c>
    </row>
    <row r="7414" spans="1:17" x14ac:dyDescent="0.3">
      <c r="A7414" s="34">
        <f>base!J7414</f>
        <v>0</v>
      </c>
      <c r="B7414" s="34">
        <f>base!V7414</f>
        <v>0</v>
      </c>
      <c r="C7414" s="40" t="s">
        <v>11</v>
      </c>
      <c r="D7414" s="36">
        <f>base!H7414</f>
        <v>0</v>
      </c>
      <c r="E7414" s="44"/>
      <c r="F7414" s="16">
        <f>base!W7414</f>
        <v>0</v>
      </c>
      <c r="G7414" s="11" t="e">
        <f t="shared" si="1150"/>
        <v>#DIV/0!</v>
      </c>
      <c r="H7414" s="11" t="e">
        <f t="shared" si="1151"/>
        <v>#N/A</v>
      </c>
      <c r="I7414" s="11" t="e">
        <f t="shared" si="1152"/>
        <v>#N/A</v>
      </c>
      <c r="J7414" s="12" t="e">
        <f t="shared" si="1153"/>
        <v>#N/A</v>
      </c>
      <c r="K7414" s="17" t="e">
        <f t="shared" si="1158"/>
        <v>#N/A</v>
      </c>
      <c r="L7414" s="16">
        <f>base!X7414</f>
        <v>0</v>
      </c>
      <c r="M7414" s="11" t="e">
        <f t="shared" si="1154"/>
        <v>#DIV/0!</v>
      </c>
      <c r="N7414" s="11" t="e">
        <f t="shared" si="1155"/>
        <v>#N/A</v>
      </c>
      <c r="O7414" s="11" t="e">
        <f t="shared" si="1156"/>
        <v>#N/A</v>
      </c>
      <c r="P7414" s="12" t="e">
        <f t="shared" si="1157"/>
        <v>#N/A</v>
      </c>
      <c r="Q7414" s="17" t="e">
        <f t="shared" si="1159"/>
        <v>#N/A</v>
      </c>
    </row>
    <row r="7415" spans="1:17" x14ac:dyDescent="0.3">
      <c r="A7415" s="34">
        <f>base!J7415</f>
        <v>0</v>
      </c>
      <c r="B7415" s="34">
        <f>base!V7415</f>
        <v>0</v>
      </c>
      <c r="C7415" s="40" t="s">
        <v>11</v>
      </c>
      <c r="D7415" s="36">
        <f>base!H7415</f>
        <v>0</v>
      </c>
      <c r="E7415" s="44"/>
      <c r="F7415" s="16">
        <f>base!W7415</f>
        <v>0</v>
      </c>
      <c r="G7415" s="11" t="e">
        <f t="shared" si="1150"/>
        <v>#DIV/0!</v>
      </c>
      <c r="H7415" s="11" t="e">
        <f t="shared" si="1151"/>
        <v>#N/A</v>
      </c>
      <c r="I7415" s="11" t="e">
        <f t="shared" si="1152"/>
        <v>#N/A</v>
      </c>
      <c r="J7415" s="12" t="e">
        <f t="shared" si="1153"/>
        <v>#N/A</v>
      </c>
      <c r="K7415" s="17" t="e">
        <f t="shared" si="1158"/>
        <v>#N/A</v>
      </c>
      <c r="L7415" s="16">
        <f>base!X7415</f>
        <v>0</v>
      </c>
      <c r="M7415" s="11" t="e">
        <f t="shared" si="1154"/>
        <v>#DIV/0!</v>
      </c>
      <c r="N7415" s="11" t="e">
        <f t="shared" si="1155"/>
        <v>#N/A</v>
      </c>
      <c r="O7415" s="11" t="e">
        <f t="shared" si="1156"/>
        <v>#N/A</v>
      </c>
      <c r="P7415" s="12" t="e">
        <f t="shared" si="1157"/>
        <v>#N/A</v>
      </c>
      <c r="Q7415" s="17" t="e">
        <f t="shared" si="1159"/>
        <v>#N/A</v>
      </c>
    </row>
    <row r="7416" spans="1:17" x14ac:dyDescent="0.3">
      <c r="A7416" s="34">
        <f>base!J7416</f>
        <v>0</v>
      </c>
      <c r="B7416" s="34">
        <f>base!V7416</f>
        <v>0</v>
      </c>
      <c r="C7416" s="40" t="s">
        <v>11</v>
      </c>
      <c r="D7416" s="36">
        <f>base!H7416</f>
        <v>0</v>
      </c>
      <c r="E7416" s="44"/>
      <c r="F7416" s="16">
        <f>base!W7416</f>
        <v>0</v>
      </c>
      <c r="G7416" s="11" t="e">
        <f t="shared" si="1150"/>
        <v>#DIV/0!</v>
      </c>
      <c r="H7416" s="11" t="e">
        <f t="shared" si="1151"/>
        <v>#N/A</v>
      </c>
      <c r="I7416" s="11" t="e">
        <f t="shared" si="1152"/>
        <v>#N/A</v>
      </c>
      <c r="J7416" s="12" t="e">
        <f t="shared" si="1153"/>
        <v>#N/A</v>
      </c>
      <c r="K7416" s="17" t="e">
        <f t="shared" si="1158"/>
        <v>#N/A</v>
      </c>
      <c r="L7416" s="16">
        <f>base!X7416</f>
        <v>0</v>
      </c>
      <c r="M7416" s="11" t="e">
        <f t="shared" si="1154"/>
        <v>#DIV/0!</v>
      </c>
      <c r="N7416" s="11" t="e">
        <f t="shared" si="1155"/>
        <v>#N/A</v>
      </c>
      <c r="O7416" s="11" t="e">
        <f t="shared" si="1156"/>
        <v>#N/A</v>
      </c>
      <c r="P7416" s="12" t="e">
        <f t="shared" si="1157"/>
        <v>#N/A</v>
      </c>
      <c r="Q7416" s="17" t="e">
        <f t="shared" si="1159"/>
        <v>#N/A</v>
      </c>
    </row>
    <row r="7417" spans="1:17" x14ac:dyDescent="0.3">
      <c r="A7417" s="34">
        <f>base!J7417</f>
        <v>0</v>
      </c>
      <c r="B7417" s="34">
        <f>base!V7417</f>
        <v>0</v>
      </c>
      <c r="C7417" s="40" t="s">
        <v>11</v>
      </c>
      <c r="D7417" s="36">
        <f>base!H7417</f>
        <v>0</v>
      </c>
      <c r="E7417" s="44"/>
      <c r="F7417" s="16">
        <f>base!W7417</f>
        <v>0</v>
      </c>
      <c r="G7417" s="11" t="e">
        <f t="shared" si="1150"/>
        <v>#DIV/0!</v>
      </c>
      <c r="H7417" s="11" t="e">
        <f t="shared" si="1151"/>
        <v>#N/A</v>
      </c>
      <c r="I7417" s="11" t="e">
        <f t="shared" si="1152"/>
        <v>#N/A</v>
      </c>
      <c r="J7417" s="12" t="e">
        <f t="shared" si="1153"/>
        <v>#N/A</v>
      </c>
      <c r="K7417" s="17" t="e">
        <f t="shared" si="1158"/>
        <v>#N/A</v>
      </c>
      <c r="L7417" s="16">
        <f>base!X7417</f>
        <v>0</v>
      </c>
      <c r="M7417" s="11" t="e">
        <f t="shared" si="1154"/>
        <v>#DIV/0!</v>
      </c>
      <c r="N7417" s="11" t="e">
        <f t="shared" si="1155"/>
        <v>#N/A</v>
      </c>
      <c r="O7417" s="11" t="e">
        <f t="shared" si="1156"/>
        <v>#N/A</v>
      </c>
      <c r="P7417" s="12" t="e">
        <f t="shared" si="1157"/>
        <v>#N/A</v>
      </c>
      <c r="Q7417" s="17" t="e">
        <f t="shared" si="1159"/>
        <v>#N/A</v>
      </c>
    </row>
    <row r="7418" spans="1:17" x14ac:dyDescent="0.3">
      <c r="A7418" s="34">
        <f>base!J7418</f>
        <v>0</v>
      </c>
      <c r="B7418" s="34">
        <f>base!V7418</f>
        <v>0</v>
      </c>
      <c r="C7418" s="40" t="s">
        <v>11</v>
      </c>
      <c r="D7418" s="36">
        <f>base!H7418</f>
        <v>0</v>
      </c>
      <c r="E7418" s="44"/>
      <c r="F7418" s="16">
        <f>base!W7418</f>
        <v>0</v>
      </c>
      <c r="G7418" s="11" t="e">
        <f t="shared" si="1150"/>
        <v>#DIV/0!</v>
      </c>
      <c r="H7418" s="11" t="e">
        <f t="shared" si="1151"/>
        <v>#N/A</v>
      </c>
      <c r="I7418" s="11" t="e">
        <f t="shared" si="1152"/>
        <v>#N/A</v>
      </c>
      <c r="J7418" s="12" t="e">
        <f t="shared" si="1153"/>
        <v>#N/A</v>
      </c>
      <c r="K7418" s="17" t="e">
        <f t="shared" si="1158"/>
        <v>#N/A</v>
      </c>
      <c r="L7418" s="16">
        <f>base!X7418</f>
        <v>0</v>
      </c>
      <c r="M7418" s="11" t="e">
        <f t="shared" si="1154"/>
        <v>#DIV/0!</v>
      </c>
      <c r="N7418" s="11" t="e">
        <f t="shared" si="1155"/>
        <v>#N/A</v>
      </c>
      <c r="O7418" s="11" t="e">
        <f t="shared" si="1156"/>
        <v>#N/A</v>
      </c>
      <c r="P7418" s="12" t="e">
        <f t="shared" si="1157"/>
        <v>#N/A</v>
      </c>
      <c r="Q7418" s="17" t="e">
        <f t="shared" si="1159"/>
        <v>#N/A</v>
      </c>
    </row>
    <row r="7419" spans="1:17" x14ac:dyDescent="0.3">
      <c r="A7419" s="34">
        <f>base!J7419</f>
        <v>0</v>
      </c>
      <c r="B7419" s="34">
        <f>base!V7419</f>
        <v>0</v>
      </c>
      <c r="C7419" s="40" t="s">
        <v>11</v>
      </c>
      <c r="D7419" s="36">
        <f>base!H7419</f>
        <v>0</v>
      </c>
      <c r="E7419" s="44"/>
      <c r="F7419" s="16">
        <f>base!W7419</f>
        <v>0</v>
      </c>
      <c r="G7419" s="11" t="e">
        <f t="shared" si="1150"/>
        <v>#DIV/0!</v>
      </c>
      <c r="H7419" s="11" t="e">
        <f t="shared" si="1151"/>
        <v>#N/A</v>
      </c>
      <c r="I7419" s="11" t="e">
        <f t="shared" si="1152"/>
        <v>#N/A</v>
      </c>
      <c r="J7419" s="12" t="e">
        <f t="shared" si="1153"/>
        <v>#N/A</v>
      </c>
      <c r="K7419" s="17" t="e">
        <f t="shared" si="1158"/>
        <v>#N/A</v>
      </c>
      <c r="L7419" s="16">
        <f>base!X7419</f>
        <v>0</v>
      </c>
      <c r="M7419" s="11" t="e">
        <f t="shared" si="1154"/>
        <v>#DIV/0!</v>
      </c>
      <c r="N7419" s="11" t="e">
        <f t="shared" si="1155"/>
        <v>#N/A</v>
      </c>
      <c r="O7419" s="11" t="e">
        <f t="shared" si="1156"/>
        <v>#N/A</v>
      </c>
      <c r="P7419" s="12" t="e">
        <f t="shared" si="1157"/>
        <v>#N/A</v>
      </c>
      <c r="Q7419" s="17" t="e">
        <f t="shared" si="1159"/>
        <v>#N/A</v>
      </c>
    </row>
    <row r="7420" spans="1:17" x14ac:dyDescent="0.3">
      <c r="A7420" s="34">
        <f>base!J7420</f>
        <v>0</v>
      </c>
      <c r="B7420" s="34">
        <f>base!V7420</f>
        <v>0</v>
      </c>
      <c r="C7420" s="40" t="s">
        <v>11</v>
      </c>
      <c r="D7420" s="36">
        <f>base!H7420</f>
        <v>0</v>
      </c>
      <c r="E7420" s="44"/>
      <c r="F7420" s="16">
        <f>base!W7420</f>
        <v>0</v>
      </c>
      <c r="G7420" s="11" t="e">
        <f t="shared" si="1150"/>
        <v>#DIV/0!</v>
      </c>
      <c r="H7420" s="11" t="e">
        <f t="shared" si="1151"/>
        <v>#N/A</v>
      </c>
      <c r="I7420" s="11" t="e">
        <f t="shared" si="1152"/>
        <v>#N/A</v>
      </c>
      <c r="J7420" s="12" t="e">
        <f t="shared" si="1153"/>
        <v>#N/A</v>
      </c>
      <c r="K7420" s="17" t="e">
        <f t="shared" si="1158"/>
        <v>#N/A</v>
      </c>
      <c r="L7420" s="16">
        <f>base!X7420</f>
        <v>0</v>
      </c>
      <c r="M7420" s="11" t="e">
        <f t="shared" si="1154"/>
        <v>#DIV/0!</v>
      </c>
      <c r="N7420" s="11" t="e">
        <f t="shared" si="1155"/>
        <v>#N/A</v>
      </c>
      <c r="O7420" s="11" t="e">
        <f t="shared" si="1156"/>
        <v>#N/A</v>
      </c>
      <c r="P7420" s="12" t="e">
        <f t="shared" si="1157"/>
        <v>#N/A</v>
      </c>
      <c r="Q7420" s="17" t="e">
        <f t="shared" si="1159"/>
        <v>#N/A</v>
      </c>
    </row>
    <row r="7421" spans="1:17" x14ac:dyDescent="0.3">
      <c r="A7421" s="34">
        <f>base!J7421</f>
        <v>0</v>
      </c>
      <c r="B7421" s="34">
        <f>base!V7421</f>
        <v>0</v>
      </c>
      <c r="C7421" s="40" t="s">
        <v>11</v>
      </c>
      <c r="D7421" s="36">
        <f>base!H7421</f>
        <v>0</v>
      </c>
      <c r="E7421" s="44"/>
      <c r="F7421" s="16">
        <f>base!W7421</f>
        <v>0</v>
      </c>
      <c r="G7421" s="11" t="e">
        <f t="shared" si="1150"/>
        <v>#DIV/0!</v>
      </c>
      <c r="H7421" s="11" t="e">
        <f t="shared" si="1151"/>
        <v>#N/A</v>
      </c>
      <c r="I7421" s="11" t="e">
        <f t="shared" si="1152"/>
        <v>#N/A</v>
      </c>
      <c r="J7421" s="12" t="e">
        <f t="shared" si="1153"/>
        <v>#N/A</v>
      </c>
      <c r="K7421" s="17" t="e">
        <f t="shared" si="1158"/>
        <v>#N/A</v>
      </c>
      <c r="L7421" s="16">
        <f>base!X7421</f>
        <v>0</v>
      </c>
      <c r="M7421" s="11" t="e">
        <f t="shared" si="1154"/>
        <v>#DIV/0!</v>
      </c>
      <c r="N7421" s="11" t="e">
        <f t="shared" si="1155"/>
        <v>#N/A</v>
      </c>
      <c r="O7421" s="11" t="e">
        <f t="shared" si="1156"/>
        <v>#N/A</v>
      </c>
      <c r="P7421" s="12" t="e">
        <f t="shared" si="1157"/>
        <v>#N/A</v>
      </c>
      <c r="Q7421" s="17" t="e">
        <f t="shared" si="1159"/>
        <v>#N/A</v>
      </c>
    </row>
    <row r="7422" spans="1:17" x14ac:dyDescent="0.3">
      <c r="A7422" s="34">
        <f>base!J7422</f>
        <v>0</v>
      </c>
      <c r="B7422" s="34">
        <f>base!V7422</f>
        <v>0</v>
      </c>
      <c r="C7422" s="40" t="s">
        <v>11</v>
      </c>
      <c r="D7422" s="36">
        <f>base!H7422</f>
        <v>0</v>
      </c>
      <c r="E7422" s="44"/>
      <c r="F7422" s="16">
        <f>base!W7422</f>
        <v>0</v>
      </c>
      <c r="G7422" s="11" t="e">
        <f t="shared" si="1150"/>
        <v>#DIV/0!</v>
      </c>
      <c r="H7422" s="11" t="e">
        <f t="shared" si="1151"/>
        <v>#N/A</v>
      </c>
      <c r="I7422" s="11" t="e">
        <f t="shared" si="1152"/>
        <v>#N/A</v>
      </c>
      <c r="J7422" s="12" t="e">
        <f t="shared" si="1153"/>
        <v>#N/A</v>
      </c>
      <c r="K7422" s="17" t="e">
        <f t="shared" si="1158"/>
        <v>#N/A</v>
      </c>
      <c r="L7422" s="16">
        <f>base!X7422</f>
        <v>0</v>
      </c>
      <c r="M7422" s="11" t="e">
        <f t="shared" si="1154"/>
        <v>#DIV/0!</v>
      </c>
      <c r="N7422" s="11" t="e">
        <f t="shared" si="1155"/>
        <v>#N/A</v>
      </c>
      <c r="O7422" s="11" t="e">
        <f t="shared" si="1156"/>
        <v>#N/A</v>
      </c>
      <c r="P7422" s="12" t="e">
        <f t="shared" si="1157"/>
        <v>#N/A</v>
      </c>
      <c r="Q7422" s="17" t="e">
        <f t="shared" si="1159"/>
        <v>#N/A</v>
      </c>
    </row>
    <row r="7423" spans="1:17" x14ac:dyDescent="0.3">
      <c r="A7423" s="34">
        <f>base!J7423</f>
        <v>0</v>
      </c>
      <c r="B7423" s="34">
        <f>base!V7423</f>
        <v>0</v>
      </c>
      <c r="C7423" s="40" t="s">
        <v>11</v>
      </c>
      <c r="D7423" s="36">
        <f>base!H7423</f>
        <v>0</v>
      </c>
      <c r="E7423" s="44"/>
      <c r="F7423" s="16">
        <f>base!W7423</f>
        <v>0</v>
      </c>
      <c r="G7423" s="11" t="e">
        <f t="shared" si="1150"/>
        <v>#DIV/0!</v>
      </c>
      <c r="H7423" s="11" t="e">
        <f t="shared" si="1151"/>
        <v>#N/A</v>
      </c>
      <c r="I7423" s="11" t="e">
        <f t="shared" si="1152"/>
        <v>#N/A</v>
      </c>
      <c r="J7423" s="12" t="e">
        <f t="shared" si="1153"/>
        <v>#N/A</v>
      </c>
      <c r="K7423" s="17" t="e">
        <f t="shared" si="1158"/>
        <v>#N/A</v>
      </c>
      <c r="L7423" s="16">
        <f>base!X7423</f>
        <v>0</v>
      </c>
      <c r="M7423" s="11" t="e">
        <f t="shared" si="1154"/>
        <v>#DIV/0!</v>
      </c>
      <c r="N7423" s="11" t="e">
        <f t="shared" si="1155"/>
        <v>#N/A</v>
      </c>
      <c r="O7423" s="11" t="e">
        <f t="shared" si="1156"/>
        <v>#N/A</v>
      </c>
      <c r="P7423" s="12" t="e">
        <f t="shared" si="1157"/>
        <v>#N/A</v>
      </c>
      <c r="Q7423" s="17" t="e">
        <f t="shared" si="1159"/>
        <v>#N/A</v>
      </c>
    </row>
    <row r="7424" spans="1:17" x14ac:dyDescent="0.3">
      <c r="A7424" s="34">
        <f>base!J7424</f>
        <v>0</v>
      </c>
      <c r="B7424" s="34">
        <f>base!V7424</f>
        <v>0</v>
      </c>
      <c r="C7424" s="40" t="s">
        <v>11</v>
      </c>
      <c r="D7424" s="36">
        <f>base!H7424</f>
        <v>0</v>
      </c>
      <c r="E7424" s="44"/>
      <c r="F7424" s="16">
        <f>base!W7424</f>
        <v>0</v>
      </c>
      <c r="G7424" s="11" t="e">
        <f t="shared" si="1150"/>
        <v>#DIV/0!</v>
      </c>
      <c r="H7424" s="11" t="e">
        <f t="shared" si="1151"/>
        <v>#N/A</v>
      </c>
      <c r="I7424" s="11" t="e">
        <f t="shared" si="1152"/>
        <v>#N/A</v>
      </c>
      <c r="J7424" s="12" t="e">
        <f t="shared" si="1153"/>
        <v>#N/A</v>
      </c>
      <c r="K7424" s="17" t="e">
        <f t="shared" si="1158"/>
        <v>#N/A</v>
      </c>
      <c r="L7424" s="16">
        <f>base!X7424</f>
        <v>0</v>
      </c>
      <c r="M7424" s="11" t="e">
        <f t="shared" si="1154"/>
        <v>#DIV/0!</v>
      </c>
      <c r="N7424" s="11" t="e">
        <f t="shared" si="1155"/>
        <v>#N/A</v>
      </c>
      <c r="O7424" s="11" t="e">
        <f t="shared" si="1156"/>
        <v>#N/A</v>
      </c>
      <c r="P7424" s="12" t="e">
        <f t="shared" si="1157"/>
        <v>#N/A</v>
      </c>
      <c r="Q7424" s="17" t="e">
        <f t="shared" si="1159"/>
        <v>#N/A</v>
      </c>
    </row>
    <row r="7425" spans="1:17" x14ac:dyDescent="0.3">
      <c r="A7425" s="34">
        <f>base!J7425</f>
        <v>0</v>
      </c>
      <c r="B7425" s="34">
        <f>base!V7425</f>
        <v>0</v>
      </c>
      <c r="C7425" s="40" t="s">
        <v>11</v>
      </c>
      <c r="D7425" s="36">
        <f>base!H7425</f>
        <v>0</v>
      </c>
      <c r="E7425" s="44"/>
      <c r="F7425" s="16">
        <f>base!W7425</f>
        <v>0</v>
      </c>
      <c r="G7425" s="11" t="e">
        <f t="shared" si="1150"/>
        <v>#DIV/0!</v>
      </c>
      <c r="H7425" s="11" t="e">
        <f t="shared" si="1151"/>
        <v>#N/A</v>
      </c>
      <c r="I7425" s="11" t="e">
        <f t="shared" si="1152"/>
        <v>#N/A</v>
      </c>
      <c r="J7425" s="12" t="e">
        <f t="shared" si="1153"/>
        <v>#N/A</v>
      </c>
      <c r="K7425" s="17" t="e">
        <f t="shared" si="1158"/>
        <v>#N/A</v>
      </c>
      <c r="L7425" s="16">
        <f>base!X7425</f>
        <v>0</v>
      </c>
      <c r="M7425" s="11" t="e">
        <f t="shared" si="1154"/>
        <v>#DIV/0!</v>
      </c>
      <c r="N7425" s="11" t="e">
        <f t="shared" si="1155"/>
        <v>#N/A</v>
      </c>
      <c r="O7425" s="11" t="e">
        <f t="shared" si="1156"/>
        <v>#N/A</v>
      </c>
      <c r="P7425" s="12" t="e">
        <f t="shared" si="1157"/>
        <v>#N/A</v>
      </c>
      <c r="Q7425" s="17" t="e">
        <f t="shared" si="1159"/>
        <v>#N/A</v>
      </c>
    </row>
    <row r="7426" spans="1:17" x14ac:dyDescent="0.3">
      <c r="A7426" s="34">
        <f>base!J7426</f>
        <v>0</v>
      </c>
      <c r="B7426" s="34">
        <f>base!V7426</f>
        <v>0</v>
      </c>
      <c r="C7426" s="40" t="s">
        <v>11</v>
      </c>
      <c r="D7426" s="36">
        <f>base!H7426</f>
        <v>0</v>
      </c>
      <c r="E7426" s="44"/>
      <c r="F7426" s="16">
        <f>base!W7426</f>
        <v>0</v>
      </c>
      <c r="G7426" s="11" t="e">
        <f t="shared" ref="G7426:G7489" si="1160">F7426/D7426</f>
        <v>#DIV/0!</v>
      </c>
      <c r="H7426" s="11" t="e">
        <f t="shared" ref="H7426:H7489" si="1161">VLOOKUP(C7426,tout_cout_traction,2,FALSE)*D7426</f>
        <v>#N/A</v>
      </c>
      <c r="I7426" s="11" t="e">
        <f t="shared" ref="I7426:I7489" si="1162">H7426/D7426</f>
        <v>#N/A</v>
      </c>
      <c r="J7426" s="12" t="e">
        <f t="shared" ref="J7426:J7489" si="1163">F7426-H7426</f>
        <v>#N/A</v>
      </c>
      <c r="K7426" s="17" t="e">
        <f t="shared" si="1158"/>
        <v>#N/A</v>
      </c>
      <c r="L7426" s="16">
        <f>base!X7426</f>
        <v>0</v>
      </c>
      <c r="M7426" s="11" t="e">
        <f t="shared" ref="M7426:M7489" si="1164">L7426/D7426</f>
        <v>#DIV/0!</v>
      </c>
      <c r="N7426" s="11" t="e">
        <f t="shared" ref="N7426:N7489" si="1165">VLOOKUP(C7426,tout_cout_traction,3,FALSE)*D7426</f>
        <v>#N/A</v>
      </c>
      <c r="O7426" s="11" t="e">
        <f t="shared" ref="O7426:O7489" si="1166">N7426/D7426</f>
        <v>#N/A</v>
      </c>
      <c r="P7426" s="12" t="e">
        <f t="shared" ref="P7426:P7489" si="1167">L7426-N7426</f>
        <v>#N/A</v>
      </c>
      <c r="Q7426" s="17" t="e">
        <f t="shared" si="1159"/>
        <v>#N/A</v>
      </c>
    </row>
    <row r="7427" spans="1:17" x14ac:dyDescent="0.3">
      <c r="A7427" s="34">
        <f>base!J7427</f>
        <v>0</v>
      </c>
      <c r="B7427" s="34">
        <f>base!V7427</f>
        <v>0</v>
      </c>
      <c r="C7427" s="40" t="s">
        <v>11</v>
      </c>
      <c r="D7427" s="36">
        <f>base!H7427</f>
        <v>0</v>
      </c>
      <c r="E7427" s="44"/>
      <c r="F7427" s="16">
        <f>base!W7427</f>
        <v>0</v>
      </c>
      <c r="G7427" s="11" t="e">
        <f t="shared" si="1160"/>
        <v>#DIV/0!</v>
      </c>
      <c r="H7427" s="11" t="e">
        <f t="shared" si="1161"/>
        <v>#N/A</v>
      </c>
      <c r="I7427" s="11" t="e">
        <f t="shared" si="1162"/>
        <v>#N/A</v>
      </c>
      <c r="J7427" s="12" t="e">
        <f t="shared" si="1163"/>
        <v>#N/A</v>
      </c>
      <c r="K7427" s="17" t="e">
        <f t="shared" ref="K7427:K7490" si="1168">IF(H7427=F7427,"Pas d'écart",IF(H7427&lt;F7427,"Ecart positif",IF(H7427&gt;F7427,"Ecart négatif")))</f>
        <v>#N/A</v>
      </c>
      <c r="L7427" s="16">
        <f>base!X7427</f>
        <v>0</v>
      </c>
      <c r="M7427" s="11" t="e">
        <f t="shared" si="1164"/>
        <v>#DIV/0!</v>
      </c>
      <c r="N7427" s="11" t="e">
        <f t="shared" si="1165"/>
        <v>#N/A</v>
      </c>
      <c r="O7427" s="11" t="e">
        <f t="shared" si="1166"/>
        <v>#N/A</v>
      </c>
      <c r="P7427" s="12" t="e">
        <f t="shared" si="1167"/>
        <v>#N/A</v>
      </c>
      <c r="Q7427" s="17" t="e">
        <f t="shared" ref="Q7427:Q7490" si="1169">IF(N7427=L7427,"Pas d'écart",IF(N7427&lt;L7427,"Ecart positif",IF(N7427&gt;L7427,"Ecart négatif")))</f>
        <v>#N/A</v>
      </c>
    </row>
    <row r="7428" spans="1:17" x14ac:dyDescent="0.3">
      <c r="A7428" s="34">
        <f>base!J7428</f>
        <v>0</v>
      </c>
      <c r="B7428" s="34">
        <f>base!V7428</f>
        <v>0</v>
      </c>
      <c r="C7428" s="40" t="s">
        <v>11</v>
      </c>
      <c r="D7428" s="36">
        <f>base!H7428</f>
        <v>0</v>
      </c>
      <c r="E7428" s="44"/>
      <c r="F7428" s="16">
        <f>base!W7428</f>
        <v>0</v>
      </c>
      <c r="G7428" s="11" t="e">
        <f t="shared" si="1160"/>
        <v>#DIV/0!</v>
      </c>
      <c r="H7428" s="11" t="e">
        <f t="shared" si="1161"/>
        <v>#N/A</v>
      </c>
      <c r="I7428" s="11" t="e">
        <f t="shared" si="1162"/>
        <v>#N/A</v>
      </c>
      <c r="J7428" s="12" t="e">
        <f t="shared" si="1163"/>
        <v>#N/A</v>
      </c>
      <c r="K7428" s="17" t="e">
        <f t="shared" si="1168"/>
        <v>#N/A</v>
      </c>
      <c r="L7428" s="16">
        <f>base!X7428</f>
        <v>0</v>
      </c>
      <c r="M7428" s="11" t="e">
        <f t="shared" si="1164"/>
        <v>#DIV/0!</v>
      </c>
      <c r="N7428" s="11" t="e">
        <f t="shared" si="1165"/>
        <v>#N/A</v>
      </c>
      <c r="O7428" s="11" t="e">
        <f t="shared" si="1166"/>
        <v>#N/A</v>
      </c>
      <c r="P7428" s="12" t="e">
        <f t="shared" si="1167"/>
        <v>#N/A</v>
      </c>
      <c r="Q7428" s="17" t="e">
        <f t="shared" si="1169"/>
        <v>#N/A</v>
      </c>
    </row>
    <row r="7429" spans="1:17" x14ac:dyDescent="0.3">
      <c r="A7429" s="34">
        <f>base!J7429</f>
        <v>0</v>
      </c>
      <c r="B7429" s="34">
        <f>base!V7429</f>
        <v>0</v>
      </c>
      <c r="C7429" s="40" t="s">
        <v>11</v>
      </c>
      <c r="D7429" s="36">
        <f>base!H7429</f>
        <v>0</v>
      </c>
      <c r="E7429" s="44"/>
      <c r="F7429" s="16">
        <f>base!W7429</f>
        <v>0</v>
      </c>
      <c r="G7429" s="11" t="e">
        <f t="shared" si="1160"/>
        <v>#DIV/0!</v>
      </c>
      <c r="H7429" s="11" t="e">
        <f t="shared" si="1161"/>
        <v>#N/A</v>
      </c>
      <c r="I7429" s="11" t="e">
        <f t="shared" si="1162"/>
        <v>#N/A</v>
      </c>
      <c r="J7429" s="12" t="e">
        <f t="shared" si="1163"/>
        <v>#N/A</v>
      </c>
      <c r="K7429" s="17" t="e">
        <f t="shared" si="1168"/>
        <v>#N/A</v>
      </c>
      <c r="L7429" s="16">
        <f>base!X7429</f>
        <v>0</v>
      </c>
      <c r="M7429" s="11" t="e">
        <f t="shared" si="1164"/>
        <v>#DIV/0!</v>
      </c>
      <c r="N7429" s="11" t="e">
        <f t="shared" si="1165"/>
        <v>#N/A</v>
      </c>
      <c r="O7429" s="11" t="e">
        <f t="shared" si="1166"/>
        <v>#N/A</v>
      </c>
      <c r="P7429" s="12" t="e">
        <f t="shared" si="1167"/>
        <v>#N/A</v>
      </c>
      <c r="Q7429" s="17" t="e">
        <f t="shared" si="1169"/>
        <v>#N/A</v>
      </c>
    </row>
    <row r="7430" spans="1:17" x14ac:dyDescent="0.3">
      <c r="A7430" s="34">
        <f>base!J7430</f>
        <v>0</v>
      </c>
      <c r="B7430" s="34">
        <f>base!V7430</f>
        <v>0</v>
      </c>
      <c r="C7430" s="40" t="s">
        <v>11</v>
      </c>
      <c r="D7430" s="36">
        <f>base!H7430</f>
        <v>0</v>
      </c>
      <c r="E7430" s="44"/>
      <c r="F7430" s="16">
        <f>base!W7430</f>
        <v>0</v>
      </c>
      <c r="G7430" s="11" t="e">
        <f t="shared" si="1160"/>
        <v>#DIV/0!</v>
      </c>
      <c r="H7430" s="11" t="e">
        <f t="shared" si="1161"/>
        <v>#N/A</v>
      </c>
      <c r="I7430" s="11" t="e">
        <f t="shared" si="1162"/>
        <v>#N/A</v>
      </c>
      <c r="J7430" s="12" t="e">
        <f t="shared" si="1163"/>
        <v>#N/A</v>
      </c>
      <c r="K7430" s="17" t="e">
        <f t="shared" si="1168"/>
        <v>#N/A</v>
      </c>
      <c r="L7430" s="16">
        <f>base!X7430</f>
        <v>0</v>
      </c>
      <c r="M7430" s="11" t="e">
        <f t="shared" si="1164"/>
        <v>#DIV/0!</v>
      </c>
      <c r="N7430" s="11" t="e">
        <f t="shared" si="1165"/>
        <v>#N/A</v>
      </c>
      <c r="O7430" s="11" t="e">
        <f t="shared" si="1166"/>
        <v>#N/A</v>
      </c>
      <c r="P7430" s="12" t="e">
        <f t="shared" si="1167"/>
        <v>#N/A</v>
      </c>
      <c r="Q7430" s="17" t="e">
        <f t="shared" si="1169"/>
        <v>#N/A</v>
      </c>
    </row>
    <row r="7431" spans="1:17" x14ac:dyDescent="0.3">
      <c r="A7431" s="34">
        <f>base!J7431</f>
        <v>0</v>
      </c>
      <c r="B7431" s="34">
        <f>base!V7431</f>
        <v>0</v>
      </c>
      <c r="C7431" s="40" t="s">
        <v>11</v>
      </c>
      <c r="D7431" s="36">
        <f>base!H7431</f>
        <v>0</v>
      </c>
      <c r="E7431" s="44"/>
      <c r="F7431" s="16">
        <f>base!W7431</f>
        <v>0</v>
      </c>
      <c r="G7431" s="11" t="e">
        <f t="shared" si="1160"/>
        <v>#DIV/0!</v>
      </c>
      <c r="H7431" s="11" t="e">
        <f t="shared" si="1161"/>
        <v>#N/A</v>
      </c>
      <c r="I7431" s="11" t="e">
        <f t="shared" si="1162"/>
        <v>#N/A</v>
      </c>
      <c r="J7431" s="12" t="e">
        <f t="shared" si="1163"/>
        <v>#N/A</v>
      </c>
      <c r="K7431" s="17" t="e">
        <f t="shared" si="1168"/>
        <v>#N/A</v>
      </c>
      <c r="L7431" s="16">
        <f>base!X7431</f>
        <v>0</v>
      </c>
      <c r="M7431" s="11" t="e">
        <f t="shared" si="1164"/>
        <v>#DIV/0!</v>
      </c>
      <c r="N7431" s="11" t="e">
        <f t="shared" si="1165"/>
        <v>#N/A</v>
      </c>
      <c r="O7431" s="11" t="e">
        <f t="shared" si="1166"/>
        <v>#N/A</v>
      </c>
      <c r="P7431" s="12" t="e">
        <f t="shared" si="1167"/>
        <v>#N/A</v>
      </c>
      <c r="Q7431" s="17" t="e">
        <f t="shared" si="1169"/>
        <v>#N/A</v>
      </c>
    </row>
    <row r="7432" spans="1:17" x14ac:dyDescent="0.3">
      <c r="A7432" s="34">
        <f>base!J7432</f>
        <v>0</v>
      </c>
      <c r="B7432" s="34">
        <f>base!V7432</f>
        <v>0</v>
      </c>
      <c r="C7432" s="40" t="s">
        <v>11</v>
      </c>
      <c r="D7432" s="36">
        <f>base!H7432</f>
        <v>0</v>
      </c>
      <c r="E7432" s="44"/>
      <c r="F7432" s="16">
        <f>base!W7432</f>
        <v>0</v>
      </c>
      <c r="G7432" s="11" t="e">
        <f t="shared" si="1160"/>
        <v>#DIV/0!</v>
      </c>
      <c r="H7432" s="11" t="e">
        <f t="shared" si="1161"/>
        <v>#N/A</v>
      </c>
      <c r="I7432" s="11" t="e">
        <f t="shared" si="1162"/>
        <v>#N/A</v>
      </c>
      <c r="J7432" s="12" t="e">
        <f t="shared" si="1163"/>
        <v>#N/A</v>
      </c>
      <c r="K7432" s="17" t="e">
        <f t="shared" si="1168"/>
        <v>#N/A</v>
      </c>
      <c r="L7432" s="16">
        <f>base!X7432</f>
        <v>0</v>
      </c>
      <c r="M7432" s="11" t="e">
        <f t="shared" si="1164"/>
        <v>#DIV/0!</v>
      </c>
      <c r="N7432" s="11" t="e">
        <f t="shared" si="1165"/>
        <v>#N/A</v>
      </c>
      <c r="O7432" s="11" t="e">
        <f t="shared" si="1166"/>
        <v>#N/A</v>
      </c>
      <c r="P7432" s="12" t="e">
        <f t="shared" si="1167"/>
        <v>#N/A</v>
      </c>
      <c r="Q7432" s="17" t="e">
        <f t="shared" si="1169"/>
        <v>#N/A</v>
      </c>
    </row>
    <row r="7433" spans="1:17" x14ac:dyDescent="0.3">
      <c r="A7433" s="34">
        <f>base!J7433</f>
        <v>0</v>
      </c>
      <c r="B7433" s="34">
        <f>base!V7433</f>
        <v>0</v>
      </c>
      <c r="C7433" s="40" t="s">
        <v>11</v>
      </c>
      <c r="D7433" s="36">
        <f>base!H7433</f>
        <v>0</v>
      </c>
      <c r="E7433" s="44"/>
      <c r="F7433" s="16">
        <f>base!W7433</f>
        <v>0</v>
      </c>
      <c r="G7433" s="11" t="e">
        <f t="shared" si="1160"/>
        <v>#DIV/0!</v>
      </c>
      <c r="H7433" s="11" t="e">
        <f t="shared" si="1161"/>
        <v>#N/A</v>
      </c>
      <c r="I7433" s="11" t="e">
        <f t="shared" si="1162"/>
        <v>#N/A</v>
      </c>
      <c r="J7433" s="12" t="e">
        <f t="shared" si="1163"/>
        <v>#N/A</v>
      </c>
      <c r="K7433" s="17" t="e">
        <f t="shared" si="1168"/>
        <v>#N/A</v>
      </c>
      <c r="L7433" s="16">
        <f>base!X7433</f>
        <v>0</v>
      </c>
      <c r="M7433" s="11" t="e">
        <f t="shared" si="1164"/>
        <v>#DIV/0!</v>
      </c>
      <c r="N7433" s="11" t="e">
        <f t="shared" si="1165"/>
        <v>#N/A</v>
      </c>
      <c r="O7433" s="11" t="e">
        <f t="shared" si="1166"/>
        <v>#N/A</v>
      </c>
      <c r="P7433" s="12" t="e">
        <f t="shared" si="1167"/>
        <v>#N/A</v>
      </c>
      <c r="Q7433" s="17" t="e">
        <f t="shared" si="1169"/>
        <v>#N/A</v>
      </c>
    </row>
    <row r="7434" spans="1:17" x14ac:dyDescent="0.3">
      <c r="A7434" s="34">
        <f>base!J7434</f>
        <v>0</v>
      </c>
      <c r="B7434" s="34">
        <f>base!V7434</f>
        <v>0</v>
      </c>
      <c r="C7434" s="40" t="s">
        <v>11</v>
      </c>
      <c r="D7434" s="36">
        <f>base!H7434</f>
        <v>0</v>
      </c>
      <c r="E7434" s="44"/>
      <c r="F7434" s="16">
        <f>base!W7434</f>
        <v>0</v>
      </c>
      <c r="G7434" s="11" t="e">
        <f t="shared" si="1160"/>
        <v>#DIV/0!</v>
      </c>
      <c r="H7434" s="11" t="e">
        <f t="shared" si="1161"/>
        <v>#N/A</v>
      </c>
      <c r="I7434" s="11" t="e">
        <f t="shared" si="1162"/>
        <v>#N/A</v>
      </c>
      <c r="J7434" s="12" t="e">
        <f t="shared" si="1163"/>
        <v>#N/A</v>
      </c>
      <c r="K7434" s="17" t="e">
        <f t="shared" si="1168"/>
        <v>#N/A</v>
      </c>
      <c r="L7434" s="16">
        <f>base!X7434</f>
        <v>0</v>
      </c>
      <c r="M7434" s="11" t="e">
        <f t="shared" si="1164"/>
        <v>#DIV/0!</v>
      </c>
      <c r="N7434" s="11" t="e">
        <f t="shared" si="1165"/>
        <v>#N/A</v>
      </c>
      <c r="O7434" s="11" t="e">
        <f t="shared" si="1166"/>
        <v>#N/A</v>
      </c>
      <c r="P7434" s="12" t="e">
        <f t="shared" si="1167"/>
        <v>#N/A</v>
      </c>
      <c r="Q7434" s="17" t="e">
        <f t="shared" si="1169"/>
        <v>#N/A</v>
      </c>
    </row>
    <row r="7435" spans="1:17" x14ac:dyDescent="0.3">
      <c r="A7435" s="34">
        <f>base!J7435</f>
        <v>0</v>
      </c>
      <c r="B7435" s="34">
        <f>base!V7435</f>
        <v>0</v>
      </c>
      <c r="C7435" s="40" t="s">
        <v>11</v>
      </c>
      <c r="D7435" s="36">
        <f>base!H7435</f>
        <v>0</v>
      </c>
      <c r="E7435" s="44"/>
      <c r="F7435" s="16">
        <f>base!W7435</f>
        <v>0</v>
      </c>
      <c r="G7435" s="11" t="e">
        <f t="shared" si="1160"/>
        <v>#DIV/0!</v>
      </c>
      <c r="H7435" s="11" t="e">
        <f t="shared" si="1161"/>
        <v>#N/A</v>
      </c>
      <c r="I7435" s="11" t="e">
        <f t="shared" si="1162"/>
        <v>#N/A</v>
      </c>
      <c r="J7435" s="12" t="e">
        <f t="shared" si="1163"/>
        <v>#N/A</v>
      </c>
      <c r="K7435" s="17" t="e">
        <f t="shared" si="1168"/>
        <v>#N/A</v>
      </c>
      <c r="L7435" s="16">
        <f>base!X7435</f>
        <v>0</v>
      </c>
      <c r="M7435" s="11" t="e">
        <f t="shared" si="1164"/>
        <v>#DIV/0!</v>
      </c>
      <c r="N7435" s="11" t="e">
        <f t="shared" si="1165"/>
        <v>#N/A</v>
      </c>
      <c r="O7435" s="11" t="e">
        <f t="shared" si="1166"/>
        <v>#N/A</v>
      </c>
      <c r="P7435" s="12" t="e">
        <f t="shared" si="1167"/>
        <v>#N/A</v>
      </c>
      <c r="Q7435" s="17" t="e">
        <f t="shared" si="1169"/>
        <v>#N/A</v>
      </c>
    </row>
    <row r="7436" spans="1:17" x14ac:dyDescent="0.3">
      <c r="A7436" s="34">
        <f>base!J7436</f>
        <v>0</v>
      </c>
      <c r="B7436" s="34">
        <f>base!V7436</f>
        <v>0</v>
      </c>
      <c r="C7436" s="40" t="s">
        <v>11</v>
      </c>
      <c r="D7436" s="36">
        <f>base!H7436</f>
        <v>0</v>
      </c>
      <c r="E7436" s="44"/>
      <c r="F7436" s="16">
        <f>base!W7436</f>
        <v>0</v>
      </c>
      <c r="G7436" s="11" t="e">
        <f t="shared" si="1160"/>
        <v>#DIV/0!</v>
      </c>
      <c r="H7436" s="11" t="e">
        <f t="shared" si="1161"/>
        <v>#N/A</v>
      </c>
      <c r="I7436" s="11" t="e">
        <f t="shared" si="1162"/>
        <v>#N/A</v>
      </c>
      <c r="J7436" s="12" t="e">
        <f t="shared" si="1163"/>
        <v>#N/A</v>
      </c>
      <c r="K7436" s="17" t="e">
        <f t="shared" si="1168"/>
        <v>#N/A</v>
      </c>
      <c r="L7436" s="16">
        <f>base!X7436</f>
        <v>0</v>
      </c>
      <c r="M7436" s="11" t="e">
        <f t="shared" si="1164"/>
        <v>#DIV/0!</v>
      </c>
      <c r="N7436" s="11" t="e">
        <f t="shared" si="1165"/>
        <v>#N/A</v>
      </c>
      <c r="O7436" s="11" t="e">
        <f t="shared" si="1166"/>
        <v>#N/A</v>
      </c>
      <c r="P7436" s="12" t="e">
        <f t="shared" si="1167"/>
        <v>#N/A</v>
      </c>
      <c r="Q7436" s="17" t="e">
        <f t="shared" si="1169"/>
        <v>#N/A</v>
      </c>
    </row>
    <row r="7437" spans="1:17" x14ac:dyDescent="0.3">
      <c r="A7437" s="34">
        <f>base!J7437</f>
        <v>0</v>
      </c>
      <c r="B7437" s="34">
        <f>base!V7437</f>
        <v>0</v>
      </c>
      <c r="C7437" s="40" t="s">
        <v>11</v>
      </c>
      <c r="D7437" s="36">
        <f>base!H7437</f>
        <v>0</v>
      </c>
      <c r="E7437" s="44"/>
      <c r="F7437" s="16">
        <f>base!W7437</f>
        <v>0</v>
      </c>
      <c r="G7437" s="11" t="e">
        <f t="shared" si="1160"/>
        <v>#DIV/0!</v>
      </c>
      <c r="H7437" s="11" t="e">
        <f t="shared" si="1161"/>
        <v>#N/A</v>
      </c>
      <c r="I7437" s="11" t="e">
        <f t="shared" si="1162"/>
        <v>#N/A</v>
      </c>
      <c r="J7437" s="12" t="e">
        <f t="shared" si="1163"/>
        <v>#N/A</v>
      </c>
      <c r="K7437" s="17" t="e">
        <f t="shared" si="1168"/>
        <v>#N/A</v>
      </c>
      <c r="L7437" s="16">
        <f>base!X7437</f>
        <v>0</v>
      </c>
      <c r="M7437" s="11" t="e">
        <f t="shared" si="1164"/>
        <v>#DIV/0!</v>
      </c>
      <c r="N7437" s="11" t="e">
        <f t="shared" si="1165"/>
        <v>#N/A</v>
      </c>
      <c r="O7437" s="11" t="e">
        <f t="shared" si="1166"/>
        <v>#N/A</v>
      </c>
      <c r="P7437" s="12" t="e">
        <f t="shared" si="1167"/>
        <v>#N/A</v>
      </c>
      <c r="Q7437" s="17" t="e">
        <f t="shared" si="1169"/>
        <v>#N/A</v>
      </c>
    </row>
    <row r="7438" spans="1:17" x14ac:dyDescent="0.3">
      <c r="A7438" s="34">
        <f>base!J7438</f>
        <v>0</v>
      </c>
      <c r="B7438" s="34">
        <f>base!V7438</f>
        <v>0</v>
      </c>
      <c r="C7438" s="40" t="s">
        <v>11</v>
      </c>
      <c r="D7438" s="36">
        <f>base!H7438</f>
        <v>0</v>
      </c>
      <c r="E7438" s="44"/>
      <c r="F7438" s="16">
        <f>base!W7438</f>
        <v>0</v>
      </c>
      <c r="G7438" s="11" t="e">
        <f t="shared" si="1160"/>
        <v>#DIV/0!</v>
      </c>
      <c r="H7438" s="11" t="e">
        <f t="shared" si="1161"/>
        <v>#N/A</v>
      </c>
      <c r="I7438" s="11" t="e">
        <f t="shared" si="1162"/>
        <v>#N/A</v>
      </c>
      <c r="J7438" s="12" t="e">
        <f t="shared" si="1163"/>
        <v>#N/A</v>
      </c>
      <c r="K7438" s="17" t="e">
        <f t="shared" si="1168"/>
        <v>#N/A</v>
      </c>
      <c r="L7438" s="16">
        <f>base!X7438</f>
        <v>0</v>
      </c>
      <c r="M7438" s="11" t="e">
        <f t="shared" si="1164"/>
        <v>#DIV/0!</v>
      </c>
      <c r="N7438" s="11" t="e">
        <f t="shared" si="1165"/>
        <v>#N/A</v>
      </c>
      <c r="O7438" s="11" t="e">
        <f t="shared" si="1166"/>
        <v>#N/A</v>
      </c>
      <c r="P7438" s="12" t="e">
        <f t="shared" si="1167"/>
        <v>#N/A</v>
      </c>
      <c r="Q7438" s="17" t="e">
        <f t="shared" si="1169"/>
        <v>#N/A</v>
      </c>
    </row>
    <row r="7439" spans="1:17" x14ac:dyDescent="0.3">
      <c r="A7439" s="34">
        <f>base!J7439</f>
        <v>0</v>
      </c>
      <c r="B7439" s="34">
        <f>base!V7439</f>
        <v>0</v>
      </c>
      <c r="C7439" s="40" t="s">
        <v>11</v>
      </c>
      <c r="D7439" s="36">
        <f>base!H7439</f>
        <v>0</v>
      </c>
      <c r="E7439" s="44"/>
      <c r="F7439" s="16">
        <f>base!W7439</f>
        <v>0</v>
      </c>
      <c r="G7439" s="11" t="e">
        <f t="shared" si="1160"/>
        <v>#DIV/0!</v>
      </c>
      <c r="H7439" s="11" t="e">
        <f t="shared" si="1161"/>
        <v>#N/A</v>
      </c>
      <c r="I7439" s="11" t="e">
        <f t="shared" si="1162"/>
        <v>#N/A</v>
      </c>
      <c r="J7439" s="12" t="e">
        <f t="shared" si="1163"/>
        <v>#N/A</v>
      </c>
      <c r="K7439" s="17" t="e">
        <f t="shared" si="1168"/>
        <v>#N/A</v>
      </c>
      <c r="L7439" s="16">
        <f>base!X7439</f>
        <v>0</v>
      </c>
      <c r="M7439" s="11" t="e">
        <f t="shared" si="1164"/>
        <v>#DIV/0!</v>
      </c>
      <c r="N7439" s="11" t="e">
        <f t="shared" si="1165"/>
        <v>#N/A</v>
      </c>
      <c r="O7439" s="11" t="e">
        <f t="shared" si="1166"/>
        <v>#N/A</v>
      </c>
      <c r="P7439" s="12" t="e">
        <f t="shared" si="1167"/>
        <v>#N/A</v>
      </c>
      <c r="Q7439" s="17" t="e">
        <f t="shared" si="1169"/>
        <v>#N/A</v>
      </c>
    </row>
    <row r="7440" spans="1:17" x14ac:dyDescent="0.3">
      <c r="A7440" s="34">
        <f>base!J7440</f>
        <v>0</v>
      </c>
      <c r="B7440" s="34">
        <f>base!V7440</f>
        <v>0</v>
      </c>
      <c r="C7440" s="40" t="s">
        <v>11</v>
      </c>
      <c r="D7440" s="36">
        <f>base!H7440</f>
        <v>0</v>
      </c>
      <c r="E7440" s="44"/>
      <c r="F7440" s="16">
        <f>base!W7440</f>
        <v>0</v>
      </c>
      <c r="G7440" s="11" t="e">
        <f t="shared" si="1160"/>
        <v>#DIV/0!</v>
      </c>
      <c r="H7440" s="11" t="e">
        <f t="shared" si="1161"/>
        <v>#N/A</v>
      </c>
      <c r="I7440" s="11" t="e">
        <f t="shared" si="1162"/>
        <v>#N/A</v>
      </c>
      <c r="J7440" s="12" t="e">
        <f t="shared" si="1163"/>
        <v>#N/A</v>
      </c>
      <c r="K7440" s="17" t="e">
        <f t="shared" si="1168"/>
        <v>#N/A</v>
      </c>
      <c r="L7440" s="16">
        <f>base!X7440</f>
        <v>0</v>
      </c>
      <c r="M7440" s="11" t="e">
        <f t="shared" si="1164"/>
        <v>#DIV/0!</v>
      </c>
      <c r="N7440" s="11" t="e">
        <f t="shared" si="1165"/>
        <v>#N/A</v>
      </c>
      <c r="O7440" s="11" t="e">
        <f t="shared" si="1166"/>
        <v>#N/A</v>
      </c>
      <c r="P7440" s="12" t="e">
        <f t="shared" si="1167"/>
        <v>#N/A</v>
      </c>
      <c r="Q7440" s="17" t="e">
        <f t="shared" si="1169"/>
        <v>#N/A</v>
      </c>
    </row>
    <row r="7441" spans="1:17" x14ac:dyDescent="0.3">
      <c r="A7441" s="34">
        <f>base!J7441</f>
        <v>0</v>
      </c>
      <c r="B7441" s="34">
        <f>base!V7441</f>
        <v>0</v>
      </c>
      <c r="C7441" s="40" t="s">
        <v>11</v>
      </c>
      <c r="D7441" s="36">
        <f>base!H7441</f>
        <v>0</v>
      </c>
      <c r="E7441" s="44"/>
      <c r="F7441" s="16">
        <f>base!W7441</f>
        <v>0</v>
      </c>
      <c r="G7441" s="11" t="e">
        <f t="shared" si="1160"/>
        <v>#DIV/0!</v>
      </c>
      <c r="H7441" s="11" t="e">
        <f t="shared" si="1161"/>
        <v>#N/A</v>
      </c>
      <c r="I7441" s="11" t="e">
        <f t="shared" si="1162"/>
        <v>#N/A</v>
      </c>
      <c r="J7441" s="12" t="e">
        <f t="shared" si="1163"/>
        <v>#N/A</v>
      </c>
      <c r="K7441" s="17" t="e">
        <f t="shared" si="1168"/>
        <v>#N/A</v>
      </c>
      <c r="L7441" s="16">
        <f>base!X7441</f>
        <v>0</v>
      </c>
      <c r="M7441" s="11" t="e">
        <f t="shared" si="1164"/>
        <v>#DIV/0!</v>
      </c>
      <c r="N7441" s="11" t="e">
        <f t="shared" si="1165"/>
        <v>#N/A</v>
      </c>
      <c r="O7441" s="11" t="e">
        <f t="shared" si="1166"/>
        <v>#N/A</v>
      </c>
      <c r="P7441" s="12" t="e">
        <f t="shared" si="1167"/>
        <v>#N/A</v>
      </c>
      <c r="Q7441" s="17" t="e">
        <f t="shared" si="1169"/>
        <v>#N/A</v>
      </c>
    </row>
    <row r="7442" spans="1:17" x14ac:dyDescent="0.3">
      <c r="A7442" s="34">
        <f>base!J7442</f>
        <v>0</v>
      </c>
      <c r="B7442" s="34">
        <f>base!V7442</f>
        <v>0</v>
      </c>
      <c r="C7442" s="40" t="s">
        <v>11</v>
      </c>
      <c r="D7442" s="36">
        <f>base!H7442</f>
        <v>0</v>
      </c>
      <c r="E7442" s="44"/>
      <c r="F7442" s="16">
        <f>base!W7442</f>
        <v>0</v>
      </c>
      <c r="G7442" s="11" t="e">
        <f t="shared" si="1160"/>
        <v>#DIV/0!</v>
      </c>
      <c r="H7442" s="11" t="e">
        <f t="shared" si="1161"/>
        <v>#N/A</v>
      </c>
      <c r="I7442" s="11" t="e">
        <f t="shared" si="1162"/>
        <v>#N/A</v>
      </c>
      <c r="J7442" s="12" t="e">
        <f t="shared" si="1163"/>
        <v>#N/A</v>
      </c>
      <c r="K7442" s="17" t="e">
        <f t="shared" si="1168"/>
        <v>#N/A</v>
      </c>
      <c r="L7442" s="16">
        <f>base!X7442</f>
        <v>0</v>
      </c>
      <c r="M7442" s="11" t="e">
        <f t="shared" si="1164"/>
        <v>#DIV/0!</v>
      </c>
      <c r="N7442" s="11" t="e">
        <f t="shared" si="1165"/>
        <v>#N/A</v>
      </c>
      <c r="O7442" s="11" t="e">
        <f t="shared" si="1166"/>
        <v>#N/A</v>
      </c>
      <c r="P7442" s="12" t="e">
        <f t="shared" si="1167"/>
        <v>#N/A</v>
      </c>
      <c r="Q7442" s="17" t="e">
        <f t="shared" si="1169"/>
        <v>#N/A</v>
      </c>
    </row>
    <row r="7443" spans="1:17" x14ac:dyDescent="0.3">
      <c r="A7443" s="34">
        <f>base!J7443</f>
        <v>0</v>
      </c>
      <c r="B7443" s="34">
        <f>base!V7443</f>
        <v>0</v>
      </c>
      <c r="C7443" s="40" t="s">
        <v>11</v>
      </c>
      <c r="D7443" s="36">
        <f>base!H7443</f>
        <v>0</v>
      </c>
      <c r="E7443" s="44"/>
      <c r="F7443" s="16">
        <f>base!W7443</f>
        <v>0</v>
      </c>
      <c r="G7443" s="11" t="e">
        <f t="shared" si="1160"/>
        <v>#DIV/0!</v>
      </c>
      <c r="H7443" s="11" t="e">
        <f t="shared" si="1161"/>
        <v>#N/A</v>
      </c>
      <c r="I7443" s="11" t="e">
        <f t="shared" si="1162"/>
        <v>#N/A</v>
      </c>
      <c r="J7443" s="12" t="e">
        <f t="shared" si="1163"/>
        <v>#N/A</v>
      </c>
      <c r="K7443" s="17" t="e">
        <f t="shared" si="1168"/>
        <v>#N/A</v>
      </c>
      <c r="L7443" s="16">
        <f>base!X7443</f>
        <v>0</v>
      </c>
      <c r="M7443" s="11" t="e">
        <f t="shared" si="1164"/>
        <v>#DIV/0!</v>
      </c>
      <c r="N7443" s="11" t="e">
        <f t="shared" si="1165"/>
        <v>#N/A</v>
      </c>
      <c r="O7443" s="11" t="e">
        <f t="shared" si="1166"/>
        <v>#N/A</v>
      </c>
      <c r="P7443" s="12" t="e">
        <f t="shared" si="1167"/>
        <v>#N/A</v>
      </c>
      <c r="Q7443" s="17" t="e">
        <f t="shared" si="1169"/>
        <v>#N/A</v>
      </c>
    </row>
    <row r="7444" spans="1:17" x14ac:dyDescent="0.3">
      <c r="A7444" s="34">
        <f>base!J7444</f>
        <v>0</v>
      </c>
      <c r="B7444" s="34">
        <f>base!V7444</f>
        <v>0</v>
      </c>
      <c r="C7444" s="40" t="s">
        <v>11</v>
      </c>
      <c r="D7444" s="36">
        <f>base!H7444</f>
        <v>0</v>
      </c>
      <c r="E7444" s="44"/>
      <c r="F7444" s="16">
        <f>base!W7444</f>
        <v>0</v>
      </c>
      <c r="G7444" s="11" t="e">
        <f t="shared" si="1160"/>
        <v>#DIV/0!</v>
      </c>
      <c r="H7444" s="11" t="e">
        <f t="shared" si="1161"/>
        <v>#N/A</v>
      </c>
      <c r="I7444" s="11" t="e">
        <f t="shared" si="1162"/>
        <v>#N/A</v>
      </c>
      <c r="J7444" s="12" t="e">
        <f t="shared" si="1163"/>
        <v>#N/A</v>
      </c>
      <c r="K7444" s="17" t="e">
        <f t="shared" si="1168"/>
        <v>#N/A</v>
      </c>
      <c r="L7444" s="16">
        <f>base!X7444</f>
        <v>0</v>
      </c>
      <c r="M7444" s="11" t="e">
        <f t="shared" si="1164"/>
        <v>#DIV/0!</v>
      </c>
      <c r="N7444" s="11" t="e">
        <f t="shared" si="1165"/>
        <v>#N/A</v>
      </c>
      <c r="O7444" s="11" t="e">
        <f t="shared" si="1166"/>
        <v>#N/A</v>
      </c>
      <c r="P7444" s="12" t="e">
        <f t="shared" si="1167"/>
        <v>#N/A</v>
      </c>
      <c r="Q7444" s="17" t="e">
        <f t="shared" si="1169"/>
        <v>#N/A</v>
      </c>
    </row>
    <row r="7445" spans="1:17" x14ac:dyDescent="0.3">
      <c r="A7445" s="34">
        <f>base!J7445</f>
        <v>0</v>
      </c>
      <c r="B7445" s="34">
        <f>base!V7445</f>
        <v>0</v>
      </c>
      <c r="C7445" s="40" t="s">
        <v>11</v>
      </c>
      <c r="D7445" s="36">
        <f>base!H7445</f>
        <v>0</v>
      </c>
      <c r="E7445" s="44"/>
      <c r="F7445" s="16">
        <f>base!W7445</f>
        <v>0</v>
      </c>
      <c r="G7445" s="11" t="e">
        <f t="shared" si="1160"/>
        <v>#DIV/0!</v>
      </c>
      <c r="H7445" s="11" t="e">
        <f t="shared" si="1161"/>
        <v>#N/A</v>
      </c>
      <c r="I7445" s="11" t="e">
        <f t="shared" si="1162"/>
        <v>#N/A</v>
      </c>
      <c r="J7445" s="12" t="e">
        <f t="shared" si="1163"/>
        <v>#N/A</v>
      </c>
      <c r="K7445" s="17" t="e">
        <f t="shared" si="1168"/>
        <v>#N/A</v>
      </c>
      <c r="L7445" s="16">
        <f>base!X7445</f>
        <v>0</v>
      </c>
      <c r="M7445" s="11" t="e">
        <f t="shared" si="1164"/>
        <v>#DIV/0!</v>
      </c>
      <c r="N7445" s="11" t="e">
        <f t="shared" si="1165"/>
        <v>#N/A</v>
      </c>
      <c r="O7445" s="11" t="e">
        <f t="shared" si="1166"/>
        <v>#N/A</v>
      </c>
      <c r="P7445" s="12" t="e">
        <f t="shared" si="1167"/>
        <v>#N/A</v>
      </c>
      <c r="Q7445" s="17" t="e">
        <f t="shared" si="1169"/>
        <v>#N/A</v>
      </c>
    </row>
    <row r="7446" spans="1:17" x14ac:dyDescent="0.3">
      <c r="A7446" s="34">
        <f>base!J7446</f>
        <v>0</v>
      </c>
      <c r="B7446" s="34">
        <f>base!V7446</f>
        <v>0</v>
      </c>
      <c r="C7446" s="40" t="s">
        <v>11</v>
      </c>
      <c r="D7446" s="36">
        <f>base!H7446</f>
        <v>0</v>
      </c>
      <c r="E7446" s="44"/>
      <c r="F7446" s="16">
        <f>base!W7446</f>
        <v>0</v>
      </c>
      <c r="G7446" s="11" t="e">
        <f t="shared" si="1160"/>
        <v>#DIV/0!</v>
      </c>
      <c r="H7446" s="11" t="e">
        <f t="shared" si="1161"/>
        <v>#N/A</v>
      </c>
      <c r="I7446" s="11" t="e">
        <f t="shared" si="1162"/>
        <v>#N/A</v>
      </c>
      <c r="J7446" s="12" t="e">
        <f t="shared" si="1163"/>
        <v>#N/A</v>
      </c>
      <c r="K7446" s="17" t="e">
        <f t="shared" si="1168"/>
        <v>#N/A</v>
      </c>
      <c r="L7446" s="16">
        <f>base!X7446</f>
        <v>0</v>
      </c>
      <c r="M7446" s="11" t="e">
        <f t="shared" si="1164"/>
        <v>#DIV/0!</v>
      </c>
      <c r="N7446" s="11" t="e">
        <f t="shared" si="1165"/>
        <v>#N/A</v>
      </c>
      <c r="O7446" s="11" t="e">
        <f t="shared" si="1166"/>
        <v>#N/A</v>
      </c>
      <c r="P7446" s="12" t="e">
        <f t="shared" si="1167"/>
        <v>#N/A</v>
      </c>
      <c r="Q7446" s="17" t="e">
        <f t="shared" si="1169"/>
        <v>#N/A</v>
      </c>
    </row>
    <row r="7447" spans="1:17" x14ac:dyDescent="0.3">
      <c r="A7447" s="34">
        <f>base!J7447</f>
        <v>0</v>
      </c>
      <c r="B7447" s="34">
        <f>base!V7447</f>
        <v>0</v>
      </c>
      <c r="C7447" s="40" t="s">
        <v>11</v>
      </c>
      <c r="D7447" s="36">
        <f>base!H7447</f>
        <v>0</v>
      </c>
      <c r="E7447" s="44"/>
      <c r="F7447" s="16">
        <f>base!W7447</f>
        <v>0</v>
      </c>
      <c r="G7447" s="11" t="e">
        <f t="shared" si="1160"/>
        <v>#DIV/0!</v>
      </c>
      <c r="H7447" s="11" t="e">
        <f t="shared" si="1161"/>
        <v>#N/A</v>
      </c>
      <c r="I7447" s="11" t="e">
        <f t="shared" si="1162"/>
        <v>#N/A</v>
      </c>
      <c r="J7447" s="12" t="e">
        <f t="shared" si="1163"/>
        <v>#N/A</v>
      </c>
      <c r="K7447" s="17" t="e">
        <f t="shared" si="1168"/>
        <v>#N/A</v>
      </c>
      <c r="L7447" s="16">
        <f>base!X7447</f>
        <v>0</v>
      </c>
      <c r="M7447" s="11" t="e">
        <f t="shared" si="1164"/>
        <v>#DIV/0!</v>
      </c>
      <c r="N7447" s="11" t="e">
        <f t="shared" si="1165"/>
        <v>#N/A</v>
      </c>
      <c r="O7447" s="11" t="e">
        <f t="shared" si="1166"/>
        <v>#N/A</v>
      </c>
      <c r="P7447" s="12" t="e">
        <f t="shared" si="1167"/>
        <v>#N/A</v>
      </c>
      <c r="Q7447" s="17" t="e">
        <f t="shared" si="1169"/>
        <v>#N/A</v>
      </c>
    </row>
    <row r="7448" spans="1:17" x14ac:dyDescent="0.3">
      <c r="A7448" s="34">
        <f>base!J7448</f>
        <v>0</v>
      </c>
      <c r="B7448" s="34">
        <f>base!V7448</f>
        <v>0</v>
      </c>
      <c r="C7448" s="40" t="s">
        <v>11</v>
      </c>
      <c r="D7448" s="36">
        <f>base!H7448</f>
        <v>0</v>
      </c>
      <c r="E7448" s="44"/>
      <c r="F7448" s="16">
        <f>base!W7448</f>
        <v>0</v>
      </c>
      <c r="G7448" s="11" t="e">
        <f t="shared" si="1160"/>
        <v>#DIV/0!</v>
      </c>
      <c r="H7448" s="11" t="e">
        <f t="shared" si="1161"/>
        <v>#N/A</v>
      </c>
      <c r="I7448" s="11" t="e">
        <f t="shared" si="1162"/>
        <v>#N/A</v>
      </c>
      <c r="J7448" s="12" t="e">
        <f t="shared" si="1163"/>
        <v>#N/A</v>
      </c>
      <c r="K7448" s="17" t="e">
        <f t="shared" si="1168"/>
        <v>#N/A</v>
      </c>
      <c r="L7448" s="16">
        <f>base!X7448</f>
        <v>0</v>
      </c>
      <c r="M7448" s="11" t="e">
        <f t="shared" si="1164"/>
        <v>#DIV/0!</v>
      </c>
      <c r="N7448" s="11" t="e">
        <f t="shared" si="1165"/>
        <v>#N/A</v>
      </c>
      <c r="O7448" s="11" t="e">
        <f t="shared" si="1166"/>
        <v>#N/A</v>
      </c>
      <c r="P7448" s="12" t="e">
        <f t="shared" si="1167"/>
        <v>#N/A</v>
      </c>
      <c r="Q7448" s="17" t="e">
        <f t="shared" si="1169"/>
        <v>#N/A</v>
      </c>
    </row>
    <row r="7449" spans="1:17" x14ac:dyDescent="0.3">
      <c r="A7449" s="34">
        <f>base!J7449</f>
        <v>0</v>
      </c>
      <c r="B7449" s="34">
        <f>base!V7449</f>
        <v>0</v>
      </c>
      <c r="C7449" s="40" t="s">
        <v>11</v>
      </c>
      <c r="D7449" s="36">
        <f>base!H7449</f>
        <v>0</v>
      </c>
      <c r="E7449" s="44"/>
      <c r="F7449" s="16">
        <f>base!W7449</f>
        <v>0</v>
      </c>
      <c r="G7449" s="11" t="e">
        <f t="shared" si="1160"/>
        <v>#DIV/0!</v>
      </c>
      <c r="H7449" s="11" t="e">
        <f t="shared" si="1161"/>
        <v>#N/A</v>
      </c>
      <c r="I7449" s="11" t="e">
        <f t="shared" si="1162"/>
        <v>#N/A</v>
      </c>
      <c r="J7449" s="12" t="e">
        <f t="shared" si="1163"/>
        <v>#N/A</v>
      </c>
      <c r="K7449" s="17" t="e">
        <f t="shared" si="1168"/>
        <v>#N/A</v>
      </c>
      <c r="L7449" s="16">
        <f>base!X7449</f>
        <v>0</v>
      </c>
      <c r="M7449" s="11" t="e">
        <f t="shared" si="1164"/>
        <v>#DIV/0!</v>
      </c>
      <c r="N7449" s="11" t="e">
        <f t="shared" si="1165"/>
        <v>#N/A</v>
      </c>
      <c r="O7449" s="11" t="e">
        <f t="shared" si="1166"/>
        <v>#N/A</v>
      </c>
      <c r="P7449" s="12" t="e">
        <f t="shared" si="1167"/>
        <v>#N/A</v>
      </c>
      <c r="Q7449" s="17" t="e">
        <f t="shared" si="1169"/>
        <v>#N/A</v>
      </c>
    </row>
    <row r="7450" spans="1:17" x14ac:dyDescent="0.3">
      <c r="A7450" s="34">
        <f>base!J7450</f>
        <v>0</v>
      </c>
      <c r="B7450" s="34">
        <f>base!V7450</f>
        <v>0</v>
      </c>
      <c r="C7450" s="40" t="s">
        <v>11</v>
      </c>
      <c r="D7450" s="36">
        <f>base!H7450</f>
        <v>0</v>
      </c>
      <c r="E7450" s="44"/>
      <c r="F7450" s="16">
        <f>base!W7450</f>
        <v>0</v>
      </c>
      <c r="G7450" s="11" t="e">
        <f t="shared" si="1160"/>
        <v>#DIV/0!</v>
      </c>
      <c r="H7450" s="11" t="e">
        <f t="shared" si="1161"/>
        <v>#N/A</v>
      </c>
      <c r="I7450" s="11" t="e">
        <f t="shared" si="1162"/>
        <v>#N/A</v>
      </c>
      <c r="J7450" s="12" t="e">
        <f t="shared" si="1163"/>
        <v>#N/A</v>
      </c>
      <c r="K7450" s="17" t="e">
        <f t="shared" si="1168"/>
        <v>#N/A</v>
      </c>
      <c r="L7450" s="16">
        <f>base!X7450</f>
        <v>0</v>
      </c>
      <c r="M7450" s="11" t="e">
        <f t="shared" si="1164"/>
        <v>#DIV/0!</v>
      </c>
      <c r="N7450" s="11" t="e">
        <f t="shared" si="1165"/>
        <v>#N/A</v>
      </c>
      <c r="O7450" s="11" t="e">
        <f t="shared" si="1166"/>
        <v>#N/A</v>
      </c>
      <c r="P7450" s="12" t="e">
        <f t="shared" si="1167"/>
        <v>#N/A</v>
      </c>
      <c r="Q7450" s="17" t="e">
        <f t="shared" si="1169"/>
        <v>#N/A</v>
      </c>
    </row>
    <row r="7451" spans="1:17" x14ac:dyDescent="0.3">
      <c r="A7451" s="34">
        <f>base!J7451</f>
        <v>0</v>
      </c>
      <c r="B7451" s="34">
        <f>base!V7451</f>
        <v>0</v>
      </c>
      <c r="C7451" s="40" t="s">
        <v>11</v>
      </c>
      <c r="D7451" s="36">
        <f>base!H7451</f>
        <v>0</v>
      </c>
      <c r="E7451" s="44"/>
      <c r="F7451" s="16">
        <f>base!W7451</f>
        <v>0</v>
      </c>
      <c r="G7451" s="11" t="e">
        <f t="shared" si="1160"/>
        <v>#DIV/0!</v>
      </c>
      <c r="H7451" s="11" t="e">
        <f t="shared" si="1161"/>
        <v>#N/A</v>
      </c>
      <c r="I7451" s="11" t="e">
        <f t="shared" si="1162"/>
        <v>#N/A</v>
      </c>
      <c r="J7451" s="12" t="e">
        <f t="shared" si="1163"/>
        <v>#N/A</v>
      </c>
      <c r="K7451" s="17" t="e">
        <f t="shared" si="1168"/>
        <v>#N/A</v>
      </c>
      <c r="L7451" s="16">
        <f>base!X7451</f>
        <v>0</v>
      </c>
      <c r="M7451" s="11" t="e">
        <f t="shared" si="1164"/>
        <v>#DIV/0!</v>
      </c>
      <c r="N7451" s="11" t="e">
        <f t="shared" si="1165"/>
        <v>#N/A</v>
      </c>
      <c r="O7451" s="11" t="e">
        <f t="shared" si="1166"/>
        <v>#N/A</v>
      </c>
      <c r="P7451" s="12" t="e">
        <f t="shared" si="1167"/>
        <v>#N/A</v>
      </c>
      <c r="Q7451" s="17" t="e">
        <f t="shared" si="1169"/>
        <v>#N/A</v>
      </c>
    </row>
    <row r="7452" spans="1:17" x14ac:dyDescent="0.3">
      <c r="A7452" s="34">
        <f>base!J7452</f>
        <v>0</v>
      </c>
      <c r="B7452" s="34">
        <f>base!V7452</f>
        <v>0</v>
      </c>
      <c r="C7452" s="40" t="s">
        <v>11</v>
      </c>
      <c r="D7452" s="36">
        <f>base!H7452</f>
        <v>0</v>
      </c>
      <c r="E7452" s="44"/>
      <c r="F7452" s="16">
        <f>base!W7452</f>
        <v>0</v>
      </c>
      <c r="G7452" s="11" t="e">
        <f t="shared" si="1160"/>
        <v>#DIV/0!</v>
      </c>
      <c r="H7452" s="11" t="e">
        <f t="shared" si="1161"/>
        <v>#N/A</v>
      </c>
      <c r="I7452" s="11" t="e">
        <f t="shared" si="1162"/>
        <v>#N/A</v>
      </c>
      <c r="J7452" s="12" t="e">
        <f t="shared" si="1163"/>
        <v>#N/A</v>
      </c>
      <c r="K7452" s="17" t="e">
        <f t="shared" si="1168"/>
        <v>#N/A</v>
      </c>
      <c r="L7452" s="16">
        <f>base!X7452</f>
        <v>0</v>
      </c>
      <c r="M7452" s="11" t="e">
        <f t="shared" si="1164"/>
        <v>#DIV/0!</v>
      </c>
      <c r="N7452" s="11" t="e">
        <f t="shared" si="1165"/>
        <v>#N/A</v>
      </c>
      <c r="O7452" s="11" t="e">
        <f t="shared" si="1166"/>
        <v>#N/A</v>
      </c>
      <c r="P7452" s="12" t="e">
        <f t="shared" si="1167"/>
        <v>#N/A</v>
      </c>
      <c r="Q7452" s="17" t="e">
        <f t="shared" si="1169"/>
        <v>#N/A</v>
      </c>
    </row>
    <row r="7453" spans="1:17" x14ac:dyDescent="0.3">
      <c r="A7453" s="34">
        <f>base!J7453</f>
        <v>0</v>
      </c>
      <c r="B7453" s="34">
        <f>base!V7453</f>
        <v>0</v>
      </c>
      <c r="C7453" s="40" t="s">
        <v>11</v>
      </c>
      <c r="D7453" s="36">
        <f>base!H7453</f>
        <v>0</v>
      </c>
      <c r="E7453" s="44"/>
      <c r="F7453" s="16">
        <f>base!W7453</f>
        <v>0</v>
      </c>
      <c r="G7453" s="11" t="e">
        <f t="shared" si="1160"/>
        <v>#DIV/0!</v>
      </c>
      <c r="H7453" s="11" t="e">
        <f t="shared" si="1161"/>
        <v>#N/A</v>
      </c>
      <c r="I7453" s="11" t="e">
        <f t="shared" si="1162"/>
        <v>#N/A</v>
      </c>
      <c r="J7453" s="12" t="e">
        <f t="shared" si="1163"/>
        <v>#N/A</v>
      </c>
      <c r="K7453" s="17" t="e">
        <f t="shared" si="1168"/>
        <v>#N/A</v>
      </c>
      <c r="L7453" s="16">
        <f>base!X7453</f>
        <v>0</v>
      </c>
      <c r="M7453" s="11" t="e">
        <f t="shared" si="1164"/>
        <v>#DIV/0!</v>
      </c>
      <c r="N7453" s="11" t="e">
        <f t="shared" si="1165"/>
        <v>#N/A</v>
      </c>
      <c r="O7453" s="11" t="e">
        <f t="shared" si="1166"/>
        <v>#N/A</v>
      </c>
      <c r="P7453" s="12" t="e">
        <f t="shared" si="1167"/>
        <v>#N/A</v>
      </c>
      <c r="Q7453" s="17" t="e">
        <f t="shared" si="1169"/>
        <v>#N/A</v>
      </c>
    </row>
    <row r="7454" spans="1:17" x14ac:dyDescent="0.3">
      <c r="A7454" s="34">
        <f>base!J7454</f>
        <v>0</v>
      </c>
      <c r="B7454" s="34">
        <f>base!V7454</f>
        <v>0</v>
      </c>
      <c r="C7454" s="40" t="s">
        <v>11</v>
      </c>
      <c r="D7454" s="36">
        <f>base!H7454</f>
        <v>0</v>
      </c>
      <c r="E7454" s="44"/>
      <c r="F7454" s="16">
        <f>base!W7454</f>
        <v>0</v>
      </c>
      <c r="G7454" s="11" t="e">
        <f t="shared" si="1160"/>
        <v>#DIV/0!</v>
      </c>
      <c r="H7454" s="11" t="e">
        <f t="shared" si="1161"/>
        <v>#N/A</v>
      </c>
      <c r="I7454" s="11" t="e">
        <f t="shared" si="1162"/>
        <v>#N/A</v>
      </c>
      <c r="J7454" s="12" t="e">
        <f t="shared" si="1163"/>
        <v>#N/A</v>
      </c>
      <c r="K7454" s="17" t="e">
        <f t="shared" si="1168"/>
        <v>#N/A</v>
      </c>
      <c r="L7454" s="16">
        <f>base!X7454</f>
        <v>0</v>
      </c>
      <c r="M7454" s="11" t="e">
        <f t="shared" si="1164"/>
        <v>#DIV/0!</v>
      </c>
      <c r="N7454" s="11" t="e">
        <f t="shared" si="1165"/>
        <v>#N/A</v>
      </c>
      <c r="O7454" s="11" t="e">
        <f t="shared" si="1166"/>
        <v>#N/A</v>
      </c>
      <c r="P7454" s="12" t="e">
        <f t="shared" si="1167"/>
        <v>#N/A</v>
      </c>
      <c r="Q7454" s="17" t="e">
        <f t="shared" si="1169"/>
        <v>#N/A</v>
      </c>
    </row>
    <row r="7455" spans="1:17" x14ac:dyDescent="0.3">
      <c r="A7455" s="34">
        <f>base!J7455</f>
        <v>0</v>
      </c>
      <c r="B7455" s="34">
        <f>base!V7455</f>
        <v>0</v>
      </c>
      <c r="C7455" s="40" t="s">
        <v>11</v>
      </c>
      <c r="D7455" s="36">
        <f>base!H7455</f>
        <v>0</v>
      </c>
      <c r="E7455" s="44"/>
      <c r="F7455" s="16">
        <f>base!W7455</f>
        <v>0</v>
      </c>
      <c r="G7455" s="11" t="e">
        <f t="shared" si="1160"/>
        <v>#DIV/0!</v>
      </c>
      <c r="H7455" s="11" t="e">
        <f t="shared" si="1161"/>
        <v>#N/A</v>
      </c>
      <c r="I7455" s="11" t="e">
        <f t="shared" si="1162"/>
        <v>#N/A</v>
      </c>
      <c r="J7455" s="12" t="e">
        <f t="shared" si="1163"/>
        <v>#N/A</v>
      </c>
      <c r="K7455" s="17" t="e">
        <f t="shared" si="1168"/>
        <v>#N/A</v>
      </c>
      <c r="L7455" s="16">
        <f>base!X7455</f>
        <v>0</v>
      </c>
      <c r="M7455" s="11" t="e">
        <f t="shared" si="1164"/>
        <v>#DIV/0!</v>
      </c>
      <c r="N7455" s="11" t="e">
        <f t="shared" si="1165"/>
        <v>#N/A</v>
      </c>
      <c r="O7455" s="11" t="e">
        <f t="shared" si="1166"/>
        <v>#N/A</v>
      </c>
      <c r="P7455" s="12" t="e">
        <f t="shared" si="1167"/>
        <v>#N/A</v>
      </c>
      <c r="Q7455" s="17" t="e">
        <f t="shared" si="1169"/>
        <v>#N/A</v>
      </c>
    </row>
    <row r="7456" spans="1:17" x14ac:dyDescent="0.3">
      <c r="A7456" s="34">
        <f>base!J7456</f>
        <v>0</v>
      </c>
      <c r="B7456" s="34">
        <f>base!V7456</f>
        <v>0</v>
      </c>
      <c r="C7456" s="40" t="s">
        <v>11</v>
      </c>
      <c r="D7456" s="36">
        <f>base!H7456</f>
        <v>0</v>
      </c>
      <c r="E7456" s="44"/>
      <c r="F7456" s="16">
        <f>base!W7456</f>
        <v>0</v>
      </c>
      <c r="G7456" s="11" t="e">
        <f t="shared" si="1160"/>
        <v>#DIV/0!</v>
      </c>
      <c r="H7456" s="11" t="e">
        <f t="shared" si="1161"/>
        <v>#N/A</v>
      </c>
      <c r="I7456" s="11" t="e">
        <f t="shared" si="1162"/>
        <v>#N/A</v>
      </c>
      <c r="J7456" s="12" t="e">
        <f t="shared" si="1163"/>
        <v>#N/A</v>
      </c>
      <c r="K7456" s="17" t="e">
        <f t="shared" si="1168"/>
        <v>#N/A</v>
      </c>
      <c r="L7456" s="16">
        <f>base!X7456</f>
        <v>0</v>
      </c>
      <c r="M7456" s="11" t="e">
        <f t="shared" si="1164"/>
        <v>#DIV/0!</v>
      </c>
      <c r="N7456" s="11" t="e">
        <f t="shared" si="1165"/>
        <v>#N/A</v>
      </c>
      <c r="O7456" s="11" t="e">
        <f t="shared" si="1166"/>
        <v>#N/A</v>
      </c>
      <c r="P7456" s="12" t="e">
        <f t="shared" si="1167"/>
        <v>#N/A</v>
      </c>
      <c r="Q7456" s="17" t="e">
        <f t="shared" si="1169"/>
        <v>#N/A</v>
      </c>
    </row>
    <row r="7457" spans="1:17" x14ac:dyDescent="0.3">
      <c r="A7457" s="34">
        <f>base!J7457</f>
        <v>0</v>
      </c>
      <c r="B7457" s="34">
        <f>base!V7457</f>
        <v>0</v>
      </c>
      <c r="C7457" s="40" t="s">
        <v>11</v>
      </c>
      <c r="D7457" s="36">
        <f>base!H7457</f>
        <v>0</v>
      </c>
      <c r="E7457" s="44"/>
      <c r="F7457" s="16">
        <f>base!W7457</f>
        <v>0</v>
      </c>
      <c r="G7457" s="11" t="e">
        <f t="shared" si="1160"/>
        <v>#DIV/0!</v>
      </c>
      <c r="H7457" s="11" t="e">
        <f t="shared" si="1161"/>
        <v>#N/A</v>
      </c>
      <c r="I7457" s="11" t="e">
        <f t="shared" si="1162"/>
        <v>#N/A</v>
      </c>
      <c r="J7457" s="12" t="e">
        <f t="shared" si="1163"/>
        <v>#N/A</v>
      </c>
      <c r="K7457" s="17" t="e">
        <f t="shared" si="1168"/>
        <v>#N/A</v>
      </c>
      <c r="L7457" s="16">
        <f>base!X7457</f>
        <v>0</v>
      </c>
      <c r="M7457" s="11" t="e">
        <f t="shared" si="1164"/>
        <v>#DIV/0!</v>
      </c>
      <c r="N7457" s="11" t="e">
        <f t="shared" si="1165"/>
        <v>#N/A</v>
      </c>
      <c r="O7457" s="11" t="e">
        <f t="shared" si="1166"/>
        <v>#N/A</v>
      </c>
      <c r="P7457" s="12" t="e">
        <f t="shared" si="1167"/>
        <v>#N/A</v>
      </c>
      <c r="Q7457" s="17" t="e">
        <f t="shared" si="1169"/>
        <v>#N/A</v>
      </c>
    </row>
    <row r="7458" spans="1:17" x14ac:dyDescent="0.3">
      <c r="A7458" s="34">
        <f>base!J7458</f>
        <v>0</v>
      </c>
      <c r="B7458" s="34">
        <f>base!V7458</f>
        <v>0</v>
      </c>
      <c r="C7458" s="40" t="s">
        <v>11</v>
      </c>
      <c r="D7458" s="36">
        <f>base!H7458</f>
        <v>0</v>
      </c>
      <c r="E7458" s="44"/>
      <c r="F7458" s="16">
        <f>base!W7458</f>
        <v>0</v>
      </c>
      <c r="G7458" s="11" t="e">
        <f t="shared" si="1160"/>
        <v>#DIV/0!</v>
      </c>
      <c r="H7458" s="11" t="e">
        <f t="shared" si="1161"/>
        <v>#N/A</v>
      </c>
      <c r="I7458" s="11" t="e">
        <f t="shared" si="1162"/>
        <v>#N/A</v>
      </c>
      <c r="J7458" s="12" t="e">
        <f t="shared" si="1163"/>
        <v>#N/A</v>
      </c>
      <c r="K7458" s="17" t="e">
        <f t="shared" si="1168"/>
        <v>#N/A</v>
      </c>
      <c r="L7458" s="16">
        <f>base!X7458</f>
        <v>0</v>
      </c>
      <c r="M7458" s="11" t="e">
        <f t="shared" si="1164"/>
        <v>#DIV/0!</v>
      </c>
      <c r="N7458" s="11" t="e">
        <f t="shared" si="1165"/>
        <v>#N/A</v>
      </c>
      <c r="O7458" s="11" t="e">
        <f t="shared" si="1166"/>
        <v>#N/A</v>
      </c>
      <c r="P7458" s="12" t="e">
        <f t="shared" si="1167"/>
        <v>#N/A</v>
      </c>
      <c r="Q7458" s="17" t="e">
        <f t="shared" si="1169"/>
        <v>#N/A</v>
      </c>
    </row>
    <row r="7459" spans="1:17" x14ac:dyDescent="0.3">
      <c r="A7459" s="34">
        <f>base!J7459</f>
        <v>0</v>
      </c>
      <c r="B7459" s="34">
        <f>base!V7459</f>
        <v>0</v>
      </c>
      <c r="C7459" s="40" t="s">
        <v>11</v>
      </c>
      <c r="D7459" s="36">
        <f>base!H7459</f>
        <v>0</v>
      </c>
      <c r="E7459" s="44"/>
      <c r="F7459" s="16">
        <f>base!W7459</f>
        <v>0</v>
      </c>
      <c r="G7459" s="11" t="e">
        <f t="shared" si="1160"/>
        <v>#DIV/0!</v>
      </c>
      <c r="H7459" s="11" t="e">
        <f t="shared" si="1161"/>
        <v>#N/A</v>
      </c>
      <c r="I7459" s="11" t="e">
        <f t="shared" si="1162"/>
        <v>#N/A</v>
      </c>
      <c r="J7459" s="12" t="e">
        <f t="shared" si="1163"/>
        <v>#N/A</v>
      </c>
      <c r="K7459" s="17" t="e">
        <f t="shared" si="1168"/>
        <v>#N/A</v>
      </c>
      <c r="L7459" s="16">
        <f>base!X7459</f>
        <v>0</v>
      </c>
      <c r="M7459" s="11" t="e">
        <f t="shared" si="1164"/>
        <v>#DIV/0!</v>
      </c>
      <c r="N7459" s="11" t="e">
        <f t="shared" si="1165"/>
        <v>#N/A</v>
      </c>
      <c r="O7459" s="11" t="e">
        <f t="shared" si="1166"/>
        <v>#N/A</v>
      </c>
      <c r="P7459" s="12" t="e">
        <f t="shared" si="1167"/>
        <v>#N/A</v>
      </c>
      <c r="Q7459" s="17" t="e">
        <f t="shared" si="1169"/>
        <v>#N/A</v>
      </c>
    </row>
    <row r="7460" spans="1:17" x14ac:dyDescent="0.3">
      <c r="A7460" s="34">
        <f>base!J7460</f>
        <v>0</v>
      </c>
      <c r="B7460" s="34">
        <f>base!V7460</f>
        <v>0</v>
      </c>
      <c r="C7460" s="40" t="s">
        <v>11</v>
      </c>
      <c r="D7460" s="36">
        <f>base!H7460</f>
        <v>0</v>
      </c>
      <c r="E7460" s="44"/>
      <c r="F7460" s="16">
        <f>base!W7460</f>
        <v>0</v>
      </c>
      <c r="G7460" s="11" t="e">
        <f t="shared" si="1160"/>
        <v>#DIV/0!</v>
      </c>
      <c r="H7460" s="11" t="e">
        <f t="shared" si="1161"/>
        <v>#N/A</v>
      </c>
      <c r="I7460" s="11" t="e">
        <f t="shared" si="1162"/>
        <v>#N/A</v>
      </c>
      <c r="J7460" s="12" t="e">
        <f t="shared" si="1163"/>
        <v>#N/A</v>
      </c>
      <c r="K7460" s="17" t="e">
        <f t="shared" si="1168"/>
        <v>#N/A</v>
      </c>
      <c r="L7460" s="16">
        <f>base!X7460</f>
        <v>0</v>
      </c>
      <c r="M7460" s="11" t="e">
        <f t="shared" si="1164"/>
        <v>#DIV/0!</v>
      </c>
      <c r="N7460" s="11" t="e">
        <f t="shared" si="1165"/>
        <v>#N/A</v>
      </c>
      <c r="O7460" s="11" t="e">
        <f t="shared" si="1166"/>
        <v>#N/A</v>
      </c>
      <c r="P7460" s="12" t="e">
        <f t="shared" si="1167"/>
        <v>#N/A</v>
      </c>
      <c r="Q7460" s="17" t="e">
        <f t="shared" si="1169"/>
        <v>#N/A</v>
      </c>
    </row>
    <row r="7461" spans="1:17" x14ac:dyDescent="0.3">
      <c r="A7461" s="34">
        <f>base!J7461</f>
        <v>0</v>
      </c>
      <c r="B7461" s="34">
        <f>base!V7461</f>
        <v>0</v>
      </c>
      <c r="C7461" s="40" t="s">
        <v>11</v>
      </c>
      <c r="D7461" s="36">
        <f>base!H7461</f>
        <v>0</v>
      </c>
      <c r="E7461" s="44"/>
      <c r="F7461" s="16">
        <f>base!W7461</f>
        <v>0</v>
      </c>
      <c r="G7461" s="11" t="e">
        <f t="shared" si="1160"/>
        <v>#DIV/0!</v>
      </c>
      <c r="H7461" s="11" t="e">
        <f t="shared" si="1161"/>
        <v>#N/A</v>
      </c>
      <c r="I7461" s="11" t="e">
        <f t="shared" si="1162"/>
        <v>#N/A</v>
      </c>
      <c r="J7461" s="12" t="e">
        <f t="shared" si="1163"/>
        <v>#N/A</v>
      </c>
      <c r="K7461" s="17" t="e">
        <f t="shared" si="1168"/>
        <v>#N/A</v>
      </c>
      <c r="L7461" s="16">
        <f>base!X7461</f>
        <v>0</v>
      </c>
      <c r="M7461" s="11" t="e">
        <f t="shared" si="1164"/>
        <v>#DIV/0!</v>
      </c>
      <c r="N7461" s="11" t="e">
        <f t="shared" si="1165"/>
        <v>#N/A</v>
      </c>
      <c r="O7461" s="11" t="e">
        <f t="shared" si="1166"/>
        <v>#N/A</v>
      </c>
      <c r="P7461" s="12" t="e">
        <f t="shared" si="1167"/>
        <v>#N/A</v>
      </c>
      <c r="Q7461" s="17" t="e">
        <f t="shared" si="1169"/>
        <v>#N/A</v>
      </c>
    </row>
    <row r="7462" spans="1:17" x14ac:dyDescent="0.3">
      <c r="A7462" s="34">
        <f>base!J7462</f>
        <v>0</v>
      </c>
      <c r="B7462" s="34">
        <f>base!V7462</f>
        <v>0</v>
      </c>
      <c r="C7462" s="40" t="s">
        <v>11</v>
      </c>
      <c r="D7462" s="36">
        <f>base!H7462</f>
        <v>0</v>
      </c>
      <c r="E7462" s="44"/>
      <c r="F7462" s="16">
        <f>base!W7462</f>
        <v>0</v>
      </c>
      <c r="G7462" s="11" t="e">
        <f t="shared" si="1160"/>
        <v>#DIV/0!</v>
      </c>
      <c r="H7462" s="11" t="e">
        <f t="shared" si="1161"/>
        <v>#N/A</v>
      </c>
      <c r="I7462" s="11" t="e">
        <f t="shared" si="1162"/>
        <v>#N/A</v>
      </c>
      <c r="J7462" s="12" t="e">
        <f t="shared" si="1163"/>
        <v>#N/A</v>
      </c>
      <c r="K7462" s="17" t="e">
        <f t="shared" si="1168"/>
        <v>#N/A</v>
      </c>
      <c r="L7462" s="16">
        <f>base!X7462</f>
        <v>0</v>
      </c>
      <c r="M7462" s="11" t="e">
        <f t="shared" si="1164"/>
        <v>#DIV/0!</v>
      </c>
      <c r="N7462" s="11" t="e">
        <f t="shared" si="1165"/>
        <v>#N/A</v>
      </c>
      <c r="O7462" s="11" t="e">
        <f t="shared" si="1166"/>
        <v>#N/A</v>
      </c>
      <c r="P7462" s="12" t="e">
        <f t="shared" si="1167"/>
        <v>#N/A</v>
      </c>
      <c r="Q7462" s="17" t="e">
        <f t="shared" si="1169"/>
        <v>#N/A</v>
      </c>
    </row>
    <row r="7463" spans="1:17" x14ac:dyDescent="0.3">
      <c r="A7463" s="34">
        <f>base!J7463</f>
        <v>0</v>
      </c>
      <c r="B7463" s="34">
        <f>base!V7463</f>
        <v>0</v>
      </c>
      <c r="C7463" s="40" t="s">
        <v>11</v>
      </c>
      <c r="D7463" s="36">
        <f>base!H7463</f>
        <v>0</v>
      </c>
      <c r="E7463" s="44"/>
      <c r="F7463" s="16">
        <f>base!W7463</f>
        <v>0</v>
      </c>
      <c r="G7463" s="11" t="e">
        <f t="shared" si="1160"/>
        <v>#DIV/0!</v>
      </c>
      <c r="H7463" s="11" t="e">
        <f t="shared" si="1161"/>
        <v>#N/A</v>
      </c>
      <c r="I7463" s="11" t="e">
        <f t="shared" si="1162"/>
        <v>#N/A</v>
      </c>
      <c r="J7463" s="12" t="e">
        <f t="shared" si="1163"/>
        <v>#N/A</v>
      </c>
      <c r="K7463" s="17" t="e">
        <f t="shared" si="1168"/>
        <v>#N/A</v>
      </c>
      <c r="L7463" s="16">
        <f>base!X7463</f>
        <v>0</v>
      </c>
      <c r="M7463" s="11" t="e">
        <f t="shared" si="1164"/>
        <v>#DIV/0!</v>
      </c>
      <c r="N7463" s="11" t="e">
        <f t="shared" si="1165"/>
        <v>#N/A</v>
      </c>
      <c r="O7463" s="11" t="e">
        <f t="shared" si="1166"/>
        <v>#N/A</v>
      </c>
      <c r="P7463" s="12" t="e">
        <f t="shared" si="1167"/>
        <v>#N/A</v>
      </c>
      <c r="Q7463" s="17" t="e">
        <f t="shared" si="1169"/>
        <v>#N/A</v>
      </c>
    </row>
    <row r="7464" spans="1:17" x14ac:dyDescent="0.3">
      <c r="A7464" s="34">
        <f>base!J7464</f>
        <v>0</v>
      </c>
      <c r="B7464" s="34">
        <f>base!V7464</f>
        <v>0</v>
      </c>
      <c r="C7464" s="40" t="s">
        <v>11</v>
      </c>
      <c r="D7464" s="36">
        <f>base!H7464</f>
        <v>0</v>
      </c>
      <c r="E7464" s="44"/>
      <c r="F7464" s="16">
        <f>base!W7464</f>
        <v>0</v>
      </c>
      <c r="G7464" s="11" t="e">
        <f t="shared" si="1160"/>
        <v>#DIV/0!</v>
      </c>
      <c r="H7464" s="11" t="e">
        <f t="shared" si="1161"/>
        <v>#N/A</v>
      </c>
      <c r="I7464" s="11" t="e">
        <f t="shared" si="1162"/>
        <v>#N/A</v>
      </c>
      <c r="J7464" s="12" t="e">
        <f t="shared" si="1163"/>
        <v>#N/A</v>
      </c>
      <c r="K7464" s="17" t="e">
        <f t="shared" si="1168"/>
        <v>#N/A</v>
      </c>
      <c r="L7464" s="16">
        <f>base!X7464</f>
        <v>0</v>
      </c>
      <c r="M7464" s="11" t="e">
        <f t="shared" si="1164"/>
        <v>#DIV/0!</v>
      </c>
      <c r="N7464" s="11" t="e">
        <f t="shared" si="1165"/>
        <v>#N/A</v>
      </c>
      <c r="O7464" s="11" t="e">
        <f t="shared" si="1166"/>
        <v>#N/A</v>
      </c>
      <c r="P7464" s="12" t="e">
        <f t="shared" si="1167"/>
        <v>#N/A</v>
      </c>
      <c r="Q7464" s="17" t="e">
        <f t="shared" si="1169"/>
        <v>#N/A</v>
      </c>
    </row>
    <row r="7465" spans="1:17" x14ac:dyDescent="0.3">
      <c r="A7465" s="34">
        <f>base!J7465</f>
        <v>0</v>
      </c>
      <c r="B7465" s="34">
        <f>base!V7465</f>
        <v>0</v>
      </c>
      <c r="C7465" s="40" t="s">
        <v>11</v>
      </c>
      <c r="D7465" s="36">
        <f>base!H7465</f>
        <v>0</v>
      </c>
      <c r="E7465" s="44"/>
      <c r="F7465" s="16">
        <f>base!W7465</f>
        <v>0</v>
      </c>
      <c r="G7465" s="11" t="e">
        <f t="shared" si="1160"/>
        <v>#DIV/0!</v>
      </c>
      <c r="H7465" s="11" t="e">
        <f t="shared" si="1161"/>
        <v>#N/A</v>
      </c>
      <c r="I7465" s="11" t="e">
        <f t="shared" si="1162"/>
        <v>#N/A</v>
      </c>
      <c r="J7465" s="12" t="e">
        <f t="shared" si="1163"/>
        <v>#N/A</v>
      </c>
      <c r="K7465" s="17" t="e">
        <f t="shared" si="1168"/>
        <v>#N/A</v>
      </c>
      <c r="L7465" s="16">
        <f>base!X7465</f>
        <v>0</v>
      </c>
      <c r="M7465" s="11" t="e">
        <f t="shared" si="1164"/>
        <v>#DIV/0!</v>
      </c>
      <c r="N7465" s="11" t="e">
        <f t="shared" si="1165"/>
        <v>#N/A</v>
      </c>
      <c r="O7465" s="11" t="e">
        <f t="shared" si="1166"/>
        <v>#N/A</v>
      </c>
      <c r="P7465" s="12" t="e">
        <f t="shared" si="1167"/>
        <v>#N/A</v>
      </c>
      <c r="Q7465" s="17" t="e">
        <f t="shared" si="1169"/>
        <v>#N/A</v>
      </c>
    </row>
    <row r="7466" spans="1:17" x14ac:dyDescent="0.3">
      <c r="A7466" s="34">
        <f>base!J7466</f>
        <v>0</v>
      </c>
      <c r="B7466" s="34">
        <f>base!V7466</f>
        <v>0</v>
      </c>
      <c r="C7466" s="40" t="s">
        <v>11</v>
      </c>
      <c r="D7466" s="36">
        <f>base!H7466</f>
        <v>0</v>
      </c>
      <c r="E7466" s="44"/>
      <c r="F7466" s="16">
        <f>base!W7466</f>
        <v>0</v>
      </c>
      <c r="G7466" s="11" t="e">
        <f t="shared" si="1160"/>
        <v>#DIV/0!</v>
      </c>
      <c r="H7466" s="11" t="e">
        <f t="shared" si="1161"/>
        <v>#N/A</v>
      </c>
      <c r="I7466" s="11" t="e">
        <f t="shared" si="1162"/>
        <v>#N/A</v>
      </c>
      <c r="J7466" s="12" t="e">
        <f t="shared" si="1163"/>
        <v>#N/A</v>
      </c>
      <c r="K7466" s="17" t="e">
        <f t="shared" si="1168"/>
        <v>#N/A</v>
      </c>
      <c r="L7466" s="16">
        <f>base!X7466</f>
        <v>0</v>
      </c>
      <c r="M7466" s="11" t="e">
        <f t="shared" si="1164"/>
        <v>#DIV/0!</v>
      </c>
      <c r="N7466" s="11" t="e">
        <f t="shared" si="1165"/>
        <v>#N/A</v>
      </c>
      <c r="O7466" s="11" t="e">
        <f t="shared" si="1166"/>
        <v>#N/A</v>
      </c>
      <c r="P7466" s="12" t="e">
        <f t="shared" si="1167"/>
        <v>#N/A</v>
      </c>
      <c r="Q7466" s="17" t="e">
        <f t="shared" si="1169"/>
        <v>#N/A</v>
      </c>
    </row>
    <row r="7467" spans="1:17" x14ac:dyDescent="0.3">
      <c r="A7467" s="34">
        <f>base!J7467</f>
        <v>0</v>
      </c>
      <c r="B7467" s="34">
        <f>base!V7467</f>
        <v>0</v>
      </c>
      <c r="C7467" s="40" t="s">
        <v>11</v>
      </c>
      <c r="D7467" s="36">
        <f>base!H7467</f>
        <v>0</v>
      </c>
      <c r="E7467" s="44"/>
      <c r="F7467" s="16">
        <f>base!W7467</f>
        <v>0</v>
      </c>
      <c r="G7467" s="11" t="e">
        <f t="shared" si="1160"/>
        <v>#DIV/0!</v>
      </c>
      <c r="H7467" s="11" t="e">
        <f t="shared" si="1161"/>
        <v>#N/A</v>
      </c>
      <c r="I7467" s="11" t="e">
        <f t="shared" si="1162"/>
        <v>#N/A</v>
      </c>
      <c r="J7467" s="12" t="e">
        <f t="shared" si="1163"/>
        <v>#N/A</v>
      </c>
      <c r="K7467" s="17" t="e">
        <f t="shared" si="1168"/>
        <v>#N/A</v>
      </c>
      <c r="L7467" s="16">
        <f>base!X7467</f>
        <v>0</v>
      </c>
      <c r="M7467" s="11" t="e">
        <f t="shared" si="1164"/>
        <v>#DIV/0!</v>
      </c>
      <c r="N7467" s="11" t="e">
        <f t="shared" si="1165"/>
        <v>#N/A</v>
      </c>
      <c r="O7467" s="11" t="e">
        <f t="shared" si="1166"/>
        <v>#N/A</v>
      </c>
      <c r="P7467" s="12" t="e">
        <f t="shared" si="1167"/>
        <v>#N/A</v>
      </c>
      <c r="Q7467" s="17" t="e">
        <f t="shared" si="1169"/>
        <v>#N/A</v>
      </c>
    </row>
    <row r="7468" spans="1:17" x14ac:dyDescent="0.3">
      <c r="A7468" s="34">
        <f>base!J7468</f>
        <v>0</v>
      </c>
      <c r="B7468" s="34">
        <f>base!V7468</f>
        <v>0</v>
      </c>
      <c r="C7468" s="40" t="s">
        <v>11</v>
      </c>
      <c r="D7468" s="36">
        <f>base!H7468</f>
        <v>0</v>
      </c>
      <c r="E7468" s="44"/>
      <c r="F7468" s="16">
        <f>base!W7468</f>
        <v>0</v>
      </c>
      <c r="G7468" s="11" t="e">
        <f t="shared" si="1160"/>
        <v>#DIV/0!</v>
      </c>
      <c r="H7468" s="11" t="e">
        <f t="shared" si="1161"/>
        <v>#N/A</v>
      </c>
      <c r="I7468" s="11" t="e">
        <f t="shared" si="1162"/>
        <v>#N/A</v>
      </c>
      <c r="J7468" s="12" t="e">
        <f t="shared" si="1163"/>
        <v>#N/A</v>
      </c>
      <c r="K7468" s="17" t="e">
        <f t="shared" si="1168"/>
        <v>#N/A</v>
      </c>
      <c r="L7468" s="16">
        <f>base!X7468</f>
        <v>0</v>
      </c>
      <c r="M7468" s="11" t="e">
        <f t="shared" si="1164"/>
        <v>#DIV/0!</v>
      </c>
      <c r="N7468" s="11" t="e">
        <f t="shared" si="1165"/>
        <v>#N/A</v>
      </c>
      <c r="O7468" s="11" t="e">
        <f t="shared" si="1166"/>
        <v>#N/A</v>
      </c>
      <c r="P7468" s="12" t="e">
        <f t="shared" si="1167"/>
        <v>#N/A</v>
      </c>
      <c r="Q7468" s="17" t="e">
        <f t="shared" si="1169"/>
        <v>#N/A</v>
      </c>
    </row>
    <row r="7469" spans="1:17" x14ac:dyDescent="0.3">
      <c r="A7469" s="34">
        <f>base!J7469</f>
        <v>0</v>
      </c>
      <c r="B7469" s="34">
        <f>base!V7469</f>
        <v>0</v>
      </c>
      <c r="C7469" s="40" t="s">
        <v>11</v>
      </c>
      <c r="D7469" s="36">
        <f>base!H7469</f>
        <v>0</v>
      </c>
      <c r="E7469" s="44"/>
      <c r="F7469" s="16">
        <f>base!W7469</f>
        <v>0</v>
      </c>
      <c r="G7469" s="11" t="e">
        <f t="shared" si="1160"/>
        <v>#DIV/0!</v>
      </c>
      <c r="H7469" s="11" t="e">
        <f t="shared" si="1161"/>
        <v>#N/A</v>
      </c>
      <c r="I7469" s="11" t="e">
        <f t="shared" si="1162"/>
        <v>#N/A</v>
      </c>
      <c r="J7469" s="12" t="e">
        <f t="shared" si="1163"/>
        <v>#N/A</v>
      </c>
      <c r="K7469" s="17" t="e">
        <f t="shared" si="1168"/>
        <v>#N/A</v>
      </c>
      <c r="L7469" s="16">
        <f>base!X7469</f>
        <v>0</v>
      </c>
      <c r="M7469" s="11" t="e">
        <f t="shared" si="1164"/>
        <v>#DIV/0!</v>
      </c>
      <c r="N7469" s="11" t="e">
        <f t="shared" si="1165"/>
        <v>#N/A</v>
      </c>
      <c r="O7469" s="11" t="e">
        <f t="shared" si="1166"/>
        <v>#N/A</v>
      </c>
      <c r="P7469" s="12" t="e">
        <f t="shared" si="1167"/>
        <v>#N/A</v>
      </c>
      <c r="Q7469" s="17" t="e">
        <f t="shared" si="1169"/>
        <v>#N/A</v>
      </c>
    </row>
    <row r="7470" spans="1:17" x14ac:dyDescent="0.3">
      <c r="A7470" s="34">
        <f>base!J7470</f>
        <v>0</v>
      </c>
      <c r="B7470" s="34">
        <f>base!V7470</f>
        <v>0</v>
      </c>
      <c r="C7470" s="40" t="s">
        <v>11</v>
      </c>
      <c r="D7470" s="36">
        <f>base!H7470</f>
        <v>0</v>
      </c>
      <c r="E7470" s="44"/>
      <c r="F7470" s="16">
        <f>base!W7470</f>
        <v>0</v>
      </c>
      <c r="G7470" s="11" t="e">
        <f t="shared" si="1160"/>
        <v>#DIV/0!</v>
      </c>
      <c r="H7470" s="11" t="e">
        <f t="shared" si="1161"/>
        <v>#N/A</v>
      </c>
      <c r="I7470" s="11" t="e">
        <f t="shared" si="1162"/>
        <v>#N/A</v>
      </c>
      <c r="J7470" s="12" t="e">
        <f t="shared" si="1163"/>
        <v>#N/A</v>
      </c>
      <c r="K7470" s="17" t="e">
        <f t="shared" si="1168"/>
        <v>#N/A</v>
      </c>
      <c r="L7470" s="16">
        <f>base!X7470</f>
        <v>0</v>
      </c>
      <c r="M7470" s="11" t="e">
        <f t="shared" si="1164"/>
        <v>#DIV/0!</v>
      </c>
      <c r="N7470" s="11" t="e">
        <f t="shared" si="1165"/>
        <v>#N/A</v>
      </c>
      <c r="O7470" s="11" t="e">
        <f t="shared" si="1166"/>
        <v>#N/A</v>
      </c>
      <c r="P7470" s="12" t="e">
        <f t="shared" si="1167"/>
        <v>#N/A</v>
      </c>
      <c r="Q7470" s="17" t="e">
        <f t="shared" si="1169"/>
        <v>#N/A</v>
      </c>
    </row>
    <row r="7471" spans="1:17" x14ac:dyDescent="0.3">
      <c r="A7471" s="34">
        <f>base!J7471</f>
        <v>0</v>
      </c>
      <c r="B7471" s="34">
        <f>base!V7471</f>
        <v>0</v>
      </c>
      <c r="C7471" s="40" t="s">
        <v>11</v>
      </c>
      <c r="D7471" s="36">
        <f>base!H7471</f>
        <v>0</v>
      </c>
      <c r="E7471" s="44"/>
      <c r="F7471" s="16">
        <f>base!W7471</f>
        <v>0</v>
      </c>
      <c r="G7471" s="11" t="e">
        <f t="shared" si="1160"/>
        <v>#DIV/0!</v>
      </c>
      <c r="H7471" s="11" t="e">
        <f t="shared" si="1161"/>
        <v>#N/A</v>
      </c>
      <c r="I7471" s="11" t="e">
        <f t="shared" si="1162"/>
        <v>#N/A</v>
      </c>
      <c r="J7471" s="12" t="e">
        <f t="shared" si="1163"/>
        <v>#N/A</v>
      </c>
      <c r="K7471" s="17" t="e">
        <f t="shared" si="1168"/>
        <v>#N/A</v>
      </c>
      <c r="L7471" s="16">
        <f>base!X7471</f>
        <v>0</v>
      </c>
      <c r="M7471" s="11" t="e">
        <f t="shared" si="1164"/>
        <v>#DIV/0!</v>
      </c>
      <c r="N7471" s="11" t="e">
        <f t="shared" si="1165"/>
        <v>#N/A</v>
      </c>
      <c r="O7471" s="11" t="e">
        <f t="shared" si="1166"/>
        <v>#N/A</v>
      </c>
      <c r="P7471" s="12" t="e">
        <f t="shared" si="1167"/>
        <v>#N/A</v>
      </c>
      <c r="Q7471" s="17" t="e">
        <f t="shared" si="1169"/>
        <v>#N/A</v>
      </c>
    </row>
    <row r="7472" spans="1:17" x14ac:dyDescent="0.3">
      <c r="A7472" s="34">
        <f>base!J7472</f>
        <v>0</v>
      </c>
      <c r="B7472" s="34">
        <f>base!V7472</f>
        <v>0</v>
      </c>
      <c r="C7472" s="40" t="s">
        <v>11</v>
      </c>
      <c r="D7472" s="36">
        <f>base!H7472</f>
        <v>0</v>
      </c>
      <c r="E7472" s="44"/>
      <c r="F7472" s="16">
        <f>base!W7472</f>
        <v>0</v>
      </c>
      <c r="G7472" s="11" t="e">
        <f t="shared" si="1160"/>
        <v>#DIV/0!</v>
      </c>
      <c r="H7472" s="11" t="e">
        <f t="shared" si="1161"/>
        <v>#N/A</v>
      </c>
      <c r="I7472" s="11" t="e">
        <f t="shared" si="1162"/>
        <v>#N/A</v>
      </c>
      <c r="J7472" s="12" t="e">
        <f t="shared" si="1163"/>
        <v>#N/A</v>
      </c>
      <c r="K7472" s="17" t="e">
        <f t="shared" si="1168"/>
        <v>#N/A</v>
      </c>
      <c r="L7472" s="16">
        <f>base!X7472</f>
        <v>0</v>
      </c>
      <c r="M7472" s="11" t="e">
        <f t="shared" si="1164"/>
        <v>#DIV/0!</v>
      </c>
      <c r="N7472" s="11" t="e">
        <f t="shared" si="1165"/>
        <v>#N/A</v>
      </c>
      <c r="O7472" s="11" t="e">
        <f t="shared" si="1166"/>
        <v>#N/A</v>
      </c>
      <c r="P7472" s="12" t="e">
        <f t="shared" si="1167"/>
        <v>#N/A</v>
      </c>
      <c r="Q7472" s="17" t="e">
        <f t="shared" si="1169"/>
        <v>#N/A</v>
      </c>
    </row>
    <row r="7473" spans="1:17" x14ac:dyDescent="0.3">
      <c r="A7473" s="34">
        <f>base!J7473</f>
        <v>0</v>
      </c>
      <c r="B7473" s="34">
        <f>base!V7473</f>
        <v>0</v>
      </c>
      <c r="C7473" s="40" t="s">
        <v>11</v>
      </c>
      <c r="D7473" s="36">
        <f>base!H7473</f>
        <v>0</v>
      </c>
      <c r="E7473" s="44"/>
      <c r="F7473" s="16">
        <f>base!W7473</f>
        <v>0</v>
      </c>
      <c r="G7473" s="11" t="e">
        <f t="shared" si="1160"/>
        <v>#DIV/0!</v>
      </c>
      <c r="H7473" s="11" t="e">
        <f t="shared" si="1161"/>
        <v>#N/A</v>
      </c>
      <c r="I7473" s="11" t="e">
        <f t="shared" si="1162"/>
        <v>#N/A</v>
      </c>
      <c r="J7473" s="12" t="e">
        <f t="shared" si="1163"/>
        <v>#N/A</v>
      </c>
      <c r="K7473" s="17" t="e">
        <f t="shared" si="1168"/>
        <v>#N/A</v>
      </c>
      <c r="L7473" s="16">
        <f>base!X7473</f>
        <v>0</v>
      </c>
      <c r="M7473" s="11" t="e">
        <f t="shared" si="1164"/>
        <v>#DIV/0!</v>
      </c>
      <c r="N7473" s="11" t="e">
        <f t="shared" si="1165"/>
        <v>#N/A</v>
      </c>
      <c r="O7473" s="11" t="e">
        <f t="shared" si="1166"/>
        <v>#N/A</v>
      </c>
      <c r="P7473" s="12" t="e">
        <f t="shared" si="1167"/>
        <v>#N/A</v>
      </c>
      <c r="Q7473" s="17" t="e">
        <f t="shared" si="1169"/>
        <v>#N/A</v>
      </c>
    </row>
    <row r="7474" spans="1:17" x14ac:dyDescent="0.3">
      <c r="A7474" s="34">
        <f>base!J7474</f>
        <v>0</v>
      </c>
      <c r="B7474" s="34">
        <f>base!V7474</f>
        <v>0</v>
      </c>
      <c r="C7474" s="40" t="s">
        <v>11</v>
      </c>
      <c r="D7474" s="36">
        <f>base!H7474</f>
        <v>0</v>
      </c>
      <c r="E7474" s="44"/>
      <c r="F7474" s="16">
        <f>base!W7474</f>
        <v>0</v>
      </c>
      <c r="G7474" s="11" t="e">
        <f t="shared" si="1160"/>
        <v>#DIV/0!</v>
      </c>
      <c r="H7474" s="11" t="e">
        <f t="shared" si="1161"/>
        <v>#N/A</v>
      </c>
      <c r="I7474" s="11" t="e">
        <f t="shared" si="1162"/>
        <v>#N/A</v>
      </c>
      <c r="J7474" s="12" t="e">
        <f t="shared" si="1163"/>
        <v>#N/A</v>
      </c>
      <c r="K7474" s="17" t="e">
        <f t="shared" si="1168"/>
        <v>#N/A</v>
      </c>
      <c r="L7474" s="16">
        <f>base!X7474</f>
        <v>0</v>
      </c>
      <c r="M7474" s="11" t="e">
        <f t="shared" si="1164"/>
        <v>#DIV/0!</v>
      </c>
      <c r="N7474" s="11" t="e">
        <f t="shared" si="1165"/>
        <v>#N/A</v>
      </c>
      <c r="O7474" s="11" t="e">
        <f t="shared" si="1166"/>
        <v>#N/A</v>
      </c>
      <c r="P7474" s="12" t="e">
        <f t="shared" si="1167"/>
        <v>#N/A</v>
      </c>
      <c r="Q7474" s="17" t="e">
        <f t="shared" si="1169"/>
        <v>#N/A</v>
      </c>
    </row>
    <row r="7475" spans="1:17" x14ac:dyDescent="0.3">
      <c r="A7475" s="34">
        <f>base!J7475</f>
        <v>0</v>
      </c>
      <c r="B7475" s="34">
        <f>base!V7475</f>
        <v>0</v>
      </c>
      <c r="C7475" s="40" t="s">
        <v>11</v>
      </c>
      <c r="D7475" s="36">
        <f>base!H7475</f>
        <v>0</v>
      </c>
      <c r="E7475" s="44"/>
      <c r="F7475" s="16">
        <f>base!W7475</f>
        <v>0</v>
      </c>
      <c r="G7475" s="11" t="e">
        <f t="shared" si="1160"/>
        <v>#DIV/0!</v>
      </c>
      <c r="H7475" s="11" t="e">
        <f t="shared" si="1161"/>
        <v>#N/A</v>
      </c>
      <c r="I7475" s="11" t="e">
        <f t="shared" si="1162"/>
        <v>#N/A</v>
      </c>
      <c r="J7475" s="12" t="e">
        <f t="shared" si="1163"/>
        <v>#N/A</v>
      </c>
      <c r="K7475" s="17" t="e">
        <f t="shared" si="1168"/>
        <v>#N/A</v>
      </c>
      <c r="L7475" s="16">
        <f>base!X7475</f>
        <v>0</v>
      </c>
      <c r="M7475" s="11" t="e">
        <f t="shared" si="1164"/>
        <v>#DIV/0!</v>
      </c>
      <c r="N7475" s="11" t="e">
        <f t="shared" si="1165"/>
        <v>#N/A</v>
      </c>
      <c r="O7475" s="11" t="e">
        <f t="shared" si="1166"/>
        <v>#N/A</v>
      </c>
      <c r="P7475" s="12" t="e">
        <f t="shared" si="1167"/>
        <v>#N/A</v>
      </c>
      <c r="Q7475" s="17" t="e">
        <f t="shared" si="1169"/>
        <v>#N/A</v>
      </c>
    </row>
    <row r="7476" spans="1:17" x14ac:dyDescent="0.3">
      <c r="A7476" s="34">
        <f>base!J7476</f>
        <v>0</v>
      </c>
      <c r="B7476" s="34">
        <f>base!V7476</f>
        <v>0</v>
      </c>
      <c r="C7476" s="40" t="s">
        <v>11</v>
      </c>
      <c r="D7476" s="36">
        <f>base!H7476</f>
        <v>0</v>
      </c>
      <c r="E7476" s="44"/>
      <c r="F7476" s="16">
        <f>base!W7476</f>
        <v>0</v>
      </c>
      <c r="G7476" s="11" t="e">
        <f t="shared" si="1160"/>
        <v>#DIV/0!</v>
      </c>
      <c r="H7476" s="11" t="e">
        <f t="shared" si="1161"/>
        <v>#N/A</v>
      </c>
      <c r="I7476" s="11" t="e">
        <f t="shared" si="1162"/>
        <v>#N/A</v>
      </c>
      <c r="J7476" s="12" t="e">
        <f t="shared" si="1163"/>
        <v>#N/A</v>
      </c>
      <c r="K7476" s="17" t="e">
        <f t="shared" si="1168"/>
        <v>#N/A</v>
      </c>
      <c r="L7476" s="16">
        <f>base!X7476</f>
        <v>0</v>
      </c>
      <c r="M7476" s="11" t="e">
        <f t="shared" si="1164"/>
        <v>#DIV/0!</v>
      </c>
      <c r="N7476" s="11" t="e">
        <f t="shared" si="1165"/>
        <v>#N/A</v>
      </c>
      <c r="O7476" s="11" t="e">
        <f t="shared" si="1166"/>
        <v>#N/A</v>
      </c>
      <c r="P7476" s="12" t="e">
        <f t="shared" si="1167"/>
        <v>#N/A</v>
      </c>
      <c r="Q7476" s="17" t="e">
        <f t="shared" si="1169"/>
        <v>#N/A</v>
      </c>
    </row>
    <row r="7477" spans="1:17" x14ac:dyDescent="0.3">
      <c r="A7477" s="34">
        <f>base!J7477</f>
        <v>0</v>
      </c>
      <c r="B7477" s="34">
        <f>base!V7477</f>
        <v>0</v>
      </c>
      <c r="C7477" s="40" t="s">
        <v>11</v>
      </c>
      <c r="D7477" s="36">
        <f>base!H7477</f>
        <v>0</v>
      </c>
      <c r="E7477" s="44"/>
      <c r="F7477" s="16">
        <f>base!W7477</f>
        <v>0</v>
      </c>
      <c r="G7477" s="11" t="e">
        <f t="shared" si="1160"/>
        <v>#DIV/0!</v>
      </c>
      <c r="H7477" s="11" t="e">
        <f t="shared" si="1161"/>
        <v>#N/A</v>
      </c>
      <c r="I7477" s="11" t="e">
        <f t="shared" si="1162"/>
        <v>#N/A</v>
      </c>
      <c r="J7477" s="12" t="e">
        <f t="shared" si="1163"/>
        <v>#N/A</v>
      </c>
      <c r="K7477" s="17" t="e">
        <f t="shared" si="1168"/>
        <v>#N/A</v>
      </c>
      <c r="L7477" s="16">
        <f>base!X7477</f>
        <v>0</v>
      </c>
      <c r="M7477" s="11" t="e">
        <f t="shared" si="1164"/>
        <v>#DIV/0!</v>
      </c>
      <c r="N7477" s="11" t="e">
        <f t="shared" si="1165"/>
        <v>#N/A</v>
      </c>
      <c r="O7477" s="11" t="e">
        <f t="shared" si="1166"/>
        <v>#N/A</v>
      </c>
      <c r="P7477" s="12" t="e">
        <f t="shared" si="1167"/>
        <v>#N/A</v>
      </c>
      <c r="Q7477" s="17" t="e">
        <f t="shared" si="1169"/>
        <v>#N/A</v>
      </c>
    </row>
    <row r="7478" spans="1:17" x14ac:dyDescent="0.3">
      <c r="A7478" s="34">
        <f>base!J7478</f>
        <v>0</v>
      </c>
      <c r="B7478" s="34">
        <f>base!V7478</f>
        <v>0</v>
      </c>
      <c r="C7478" s="40" t="s">
        <v>11</v>
      </c>
      <c r="D7478" s="36">
        <f>base!H7478</f>
        <v>0</v>
      </c>
      <c r="E7478" s="44"/>
      <c r="F7478" s="16">
        <f>base!W7478</f>
        <v>0</v>
      </c>
      <c r="G7478" s="11" t="e">
        <f t="shared" si="1160"/>
        <v>#DIV/0!</v>
      </c>
      <c r="H7478" s="11" t="e">
        <f t="shared" si="1161"/>
        <v>#N/A</v>
      </c>
      <c r="I7478" s="11" t="e">
        <f t="shared" si="1162"/>
        <v>#N/A</v>
      </c>
      <c r="J7478" s="12" t="e">
        <f t="shared" si="1163"/>
        <v>#N/A</v>
      </c>
      <c r="K7478" s="17" t="e">
        <f t="shared" si="1168"/>
        <v>#N/A</v>
      </c>
      <c r="L7478" s="16">
        <f>base!X7478</f>
        <v>0</v>
      </c>
      <c r="M7478" s="11" t="e">
        <f t="shared" si="1164"/>
        <v>#DIV/0!</v>
      </c>
      <c r="N7478" s="11" t="e">
        <f t="shared" si="1165"/>
        <v>#N/A</v>
      </c>
      <c r="O7478" s="11" t="e">
        <f t="shared" si="1166"/>
        <v>#N/A</v>
      </c>
      <c r="P7478" s="12" t="e">
        <f t="shared" si="1167"/>
        <v>#N/A</v>
      </c>
      <c r="Q7478" s="17" t="e">
        <f t="shared" si="1169"/>
        <v>#N/A</v>
      </c>
    </row>
    <row r="7479" spans="1:17" x14ac:dyDescent="0.3">
      <c r="A7479" s="34">
        <f>base!J7479</f>
        <v>0</v>
      </c>
      <c r="B7479" s="34">
        <f>base!V7479</f>
        <v>0</v>
      </c>
      <c r="C7479" s="40" t="s">
        <v>11</v>
      </c>
      <c r="D7479" s="36">
        <f>base!H7479</f>
        <v>0</v>
      </c>
      <c r="E7479" s="44"/>
      <c r="F7479" s="16">
        <f>base!W7479</f>
        <v>0</v>
      </c>
      <c r="G7479" s="11" t="e">
        <f t="shared" si="1160"/>
        <v>#DIV/0!</v>
      </c>
      <c r="H7479" s="11" t="e">
        <f t="shared" si="1161"/>
        <v>#N/A</v>
      </c>
      <c r="I7479" s="11" t="e">
        <f t="shared" si="1162"/>
        <v>#N/A</v>
      </c>
      <c r="J7479" s="12" t="e">
        <f t="shared" si="1163"/>
        <v>#N/A</v>
      </c>
      <c r="K7479" s="17" t="e">
        <f t="shared" si="1168"/>
        <v>#N/A</v>
      </c>
      <c r="L7479" s="16">
        <f>base!X7479</f>
        <v>0</v>
      </c>
      <c r="M7479" s="11" t="e">
        <f t="shared" si="1164"/>
        <v>#DIV/0!</v>
      </c>
      <c r="N7479" s="11" t="e">
        <f t="shared" si="1165"/>
        <v>#N/A</v>
      </c>
      <c r="O7479" s="11" t="e">
        <f t="shared" si="1166"/>
        <v>#N/A</v>
      </c>
      <c r="P7479" s="12" t="e">
        <f t="shared" si="1167"/>
        <v>#N/A</v>
      </c>
      <c r="Q7479" s="17" t="e">
        <f t="shared" si="1169"/>
        <v>#N/A</v>
      </c>
    </row>
    <row r="7480" spans="1:17" x14ac:dyDescent="0.3">
      <c r="A7480" s="34">
        <f>base!J7480</f>
        <v>0</v>
      </c>
      <c r="B7480" s="34">
        <f>base!V7480</f>
        <v>0</v>
      </c>
      <c r="C7480" s="40" t="s">
        <v>11</v>
      </c>
      <c r="D7480" s="36">
        <f>base!H7480</f>
        <v>0</v>
      </c>
      <c r="E7480" s="44"/>
      <c r="F7480" s="16">
        <f>base!W7480</f>
        <v>0</v>
      </c>
      <c r="G7480" s="11" t="e">
        <f t="shared" si="1160"/>
        <v>#DIV/0!</v>
      </c>
      <c r="H7480" s="11" t="e">
        <f t="shared" si="1161"/>
        <v>#N/A</v>
      </c>
      <c r="I7480" s="11" t="e">
        <f t="shared" si="1162"/>
        <v>#N/A</v>
      </c>
      <c r="J7480" s="12" t="e">
        <f t="shared" si="1163"/>
        <v>#N/A</v>
      </c>
      <c r="K7480" s="17" t="e">
        <f t="shared" si="1168"/>
        <v>#N/A</v>
      </c>
      <c r="L7480" s="16">
        <f>base!X7480</f>
        <v>0</v>
      </c>
      <c r="M7480" s="11" t="e">
        <f t="shared" si="1164"/>
        <v>#DIV/0!</v>
      </c>
      <c r="N7480" s="11" t="e">
        <f t="shared" si="1165"/>
        <v>#N/A</v>
      </c>
      <c r="O7480" s="11" t="e">
        <f t="shared" si="1166"/>
        <v>#N/A</v>
      </c>
      <c r="P7480" s="12" t="e">
        <f t="shared" si="1167"/>
        <v>#N/A</v>
      </c>
      <c r="Q7480" s="17" t="e">
        <f t="shared" si="1169"/>
        <v>#N/A</v>
      </c>
    </row>
    <row r="7481" spans="1:17" x14ac:dyDescent="0.3">
      <c r="A7481" s="34">
        <f>base!J7481</f>
        <v>0</v>
      </c>
      <c r="B7481" s="34">
        <f>base!V7481</f>
        <v>0</v>
      </c>
      <c r="C7481" s="40" t="s">
        <v>11</v>
      </c>
      <c r="D7481" s="36">
        <f>base!H7481</f>
        <v>0</v>
      </c>
      <c r="E7481" s="44"/>
      <c r="F7481" s="16">
        <f>base!W7481</f>
        <v>0</v>
      </c>
      <c r="G7481" s="11" t="e">
        <f t="shared" si="1160"/>
        <v>#DIV/0!</v>
      </c>
      <c r="H7481" s="11" t="e">
        <f t="shared" si="1161"/>
        <v>#N/A</v>
      </c>
      <c r="I7481" s="11" t="e">
        <f t="shared" si="1162"/>
        <v>#N/A</v>
      </c>
      <c r="J7481" s="12" t="e">
        <f t="shared" si="1163"/>
        <v>#N/A</v>
      </c>
      <c r="K7481" s="17" t="e">
        <f t="shared" si="1168"/>
        <v>#N/A</v>
      </c>
      <c r="L7481" s="16">
        <f>base!X7481</f>
        <v>0</v>
      </c>
      <c r="M7481" s="11" t="e">
        <f t="shared" si="1164"/>
        <v>#DIV/0!</v>
      </c>
      <c r="N7481" s="11" t="e">
        <f t="shared" si="1165"/>
        <v>#N/A</v>
      </c>
      <c r="O7481" s="11" t="e">
        <f t="shared" si="1166"/>
        <v>#N/A</v>
      </c>
      <c r="P7481" s="12" t="e">
        <f t="shared" si="1167"/>
        <v>#N/A</v>
      </c>
      <c r="Q7481" s="17" t="e">
        <f t="shared" si="1169"/>
        <v>#N/A</v>
      </c>
    </row>
    <row r="7482" spans="1:17" x14ac:dyDescent="0.3">
      <c r="A7482" s="34">
        <f>base!J7482</f>
        <v>0</v>
      </c>
      <c r="B7482" s="34">
        <f>base!V7482</f>
        <v>0</v>
      </c>
      <c r="C7482" s="40" t="s">
        <v>11</v>
      </c>
      <c r="D7482" s="36">
        <f>base!H7482</f>
        <v>0</v>
      </c>
      <c r="E7482" s="44"/>
      <c r="F7482" s="16">
        <f>base!W7482</f>
        <v>0</v>
      </c>
      <c r="G7482" s="11" t="e">
        <f t="shared" si="1160"/>
        <v>#DIV/0!</v>
      </c>
      <c r="H7482" s="11" t="e">
        <f t="shared" si="1161"/>
        <v>#N/A</v>
      </c>
      <c r="I7482" s="11" t="e">
        <f t="shared" si="1162"/>
        <v>#N/A</v>
      </c>
      <c r="J7482" s="12" t="e">
        <f t="shared" si="1163"/>
        <v>#N/A</v>
      </c>
      <c r="K7482" s="17" t="e">
        <f t="shared" si="1168"/>
        <v>#N/A</v>
      </c>
      <c r="L7482" s="16">
        <f>base!X7482</f>
        <v>0</v>
      </c>
      <c r="M7482" s="11" t="e">
        <f t="shared" si="1164"/>
        <v>#DIV/0!</v>
      </c>
      <c r="N7482" s="11" t="e">
        <f t="shared" si="1165"/>
        <v>#N/A</v>
      </c>
      <c r="O7482" s="11" t="e">
        <f t="shared" si="1166"/>
        <v>#N/A</v>
      </c>
      <c r="P7482" s="12" t="e">
        <f t="shared" si="1167"/>
        <v>#N/A</v>
      </c>
      <c r="Q7482" s="17" t="e">
        <f t="shared" si="1169"/>
        <v>#N/A</v>
      </c>
    </row>
    <row r="7483" spans="1:17" x14ac:dyDescent="0.3">
      <c r="A7483" s="34">
        <f>base!J7483</f>
        <v>0</v>
      </c>
      <c r="B7483" s="34">
        <f>base!V7483</f>
        <v>0</v>
      </c>
      <c r="C7483" s="40" t="s">
        <v>11</v>
      </c>
      <c r="D7483" s="36">
        <f>base!H7483</f>
        <v>0</v>
      </c>
      <c r="E7483" s="44"/>
      <c r="F7483" s="16">
        <f>base!W7483</f>
        <v>0</v>
      </c>
      <c r="G7483" s="11" t="e">
        <f t="shared" si="1160"/>
        <v>#DIV/0!</v>
      </c>
      <c r="H7483" s="11" t="e">
        <f t="shared" si="1161"/>
        <v>#N/A</v>
      </c>
      <c r="I7483" s="11" t="e">
        <f t="shared" si="1162"/>
        <v>#N/A</v>
      </c>
      <c r="J7483" s="12" t="e">
        <f t="shared" si="1163"/>
        <v>#N/A</v>
      </c>
      <c r="K7483" s="17" t="e">
        <f t="shared" si="1168"/>
        <v>#N/A</v>
      </c>
      <c r="L7483" s="16">
        <f>base!X7483</f>
        <v>0</v>
      </c>
      <c r="M7483" s="11" t="e">
        <f t="shared" si="1164"/>
        <v>#DIV/0!</v>
      </c>
      <c r="N7483" s="11" t="e">
        <f t="shared" si="1165"/>
        <v>#N/A</v>
      </c>
      <c r="O7483" s="11" t="e">
        <f t="shared" si="1166"/>
        <v>#N/A</v>
      </c>
      <c r="P7483" s="12" t="e">
        <f t="shared" si="1167"/>
        <v>#N/A</v>
      </c>
      <c r="Q7483" s="17" t="e">
        <f t="shared" si="1169"/>
        <v>#N/A</v>
      </c>
    </row>
    <row r="7484" spans="1:17" x14ac:dyDescent="0.3">
      <c r="A7484" s="34">
        <f>base!J7484</f>
        <v>0</v>
      </c>
      <c r="B7484" s="34">
        <f>base!V7484</f>
        <v>0</v>
      </c>
      <c r="C7484" s="40" t="s">
        <v>11</v>
      </c>
      <c r="D7484" s="36">
        <f>base!H7484</f>
        <v>0</v>
      </c>
      <c r="E7484" s="44"/>
      <c r="F7484" s="16">
        <f>base!W7484</f>
        <v>0</v>
      </c>
      <c r="G7484" s="11" t="e">
        <f t="shared" si="1160"/>
        <v>#DIV/0!</v>
      </c>
      <c r="H7484" s="11" t="e">
        <f t="shared" si="1161"/>
        <v>#N/A</v>
      </c>
      <c r="I7484" s="11" t="e">
        <f t="shared" si="1162"/>
        <v>#N/A</v>
      </c>
      <c r="J7484" s="12" t="e">
        <f t="shared" si="1163"/>
        <v>#N/A</v>
      </c>
      <c r="K7484" s="17" t="e">
        <f t="shared" si="1168"/>
        <v>#N/A</v>
      </c>
      <c r="L7484" s="16">
        <f>base!X7484</f>
        <v>0</v>
      </c>
      <c r="M7484" s="11" t="e">
        <f t="shared" si="1164"/>
        <v>#DIV/0!</v>
      </c>
      <c r="N7484" s="11" t="e">
        <f t="shared" si="1165"/>
        <v>#N/A</v>
      </c>
      <c r="O7484" s="11" t="e">
        <f t="shared" si="1166"/>
        <v>#N/A</v>
      </c>
      <c r="P7484" s="12" t="e">
        <f t="shared" si="1167"/>
        <v>#N/A</v>
      </c>
      <c r="Q7484" s="17" t="e">
        <f t="shared" si="1169"/>
        <v>#N/A</v>
      </c>
    </row>
    <row r="7485" spans="1:17" x14ac:dyDescent="0.3">
      <c r="A7485" s="34">
        <f>base!J7485</f>
        <v>0</v>
      </c>
      <c r="B7485" s="34">
        <f>base!V7485</f>
        <v>0</v>
      </c>
      <c r="C7485" s="40" t="s">
        <v>11</v>
      </c>
      <c r="D7485" s="36">
        <f>base!H7485</f>
        <v>0</v>
      </c>
      <c r="E7485" s="44"/>
      <c r="F7485" s="16">
        <f>base!W7485</f>
        <v>0</v>
      </c>
      <c r="G7485" s="11" t="e">
        <f t="shared" si="1160"/>
        <v>#DIV/0!</v>
      </c>
      <c r="H7485" s="11" t="e">
        <f t="shared" si="1161"/>
        <v>#N/A</v>
      </c>
      <c r="I7485" s="11" t="e">
        <f t="shared" si="1162"/>
        <v>#N/A</v>
      </c>
      <c r="J7485" s="12" t="e">
        <f t="shared" si="1163"/>
        <v>#N/A</v>
      </c>
      <c r="K7485" s="17" t="e">
        <f t="shared" si="1168"/>
        <v>#N/A</v>
      </c>
      <c r="L7485" s="16">
        <f>base!X7485</f>
        <v>0</v>
      </c>
      <c r="M7485" s="11" t="e">
        <f t="shared" si="1164"/>
        <v>#DIV/0!</v>
      </c>
      <c r="N7485" s="11" t="e">
        <f t="shared" si="1165"/>
        <v>#N/A</v>
      </c>
      <c r="O7485" s="11" t="e">
        <f t="shared" si="1166"/>
        <v>#N/A</v>
      </c>
      <c r="P7485" s="12" t="e">
        <f t="shared" si="1167"/>
        <v>#N/A</v>
      </c>
      <c r="Q7485" s="17" t="e">
        <f t="shared" si="1169"/>
        <v>#N/A</v>
      </c>
    </row>
    <row r="7486" spans="1:17" x14ac:dyDescent="0.3">
      <c r="A7486" s="34">
        <f>base!J7486</f>
        <v>0</v>
      </c>
      <c r="B7486" s="34">
        <f>base!V7486</f>
        <v>0</v>
      </c>
      <c r="C7486" s="40" t="s">
        <v>11</v>
      </c>
      <c r="D7486" s="36">
        <f>base!H7486</f>
        <v>0</v>
      </c>
      <c r="E7486" s="44"/>
      <c r="F7486" s="16">
        <f>base!W7486</f>
        <v>0</v>
      </c>
      <c r="G7486" s="11" t="e">
        <f t="shared" si="1160"/>
        <v>#DIV/0!</v>
      </c>
      <c r="H7486" s="11" t="e">
        <f t="shared" si="1161"/>
        <v>#N/A</v>
      </c>
      <c r="I7486" s="11" t="e">
        <f t="shared" si="1162"/>
        <v>#N/A</v>
      </c>
      <c r="J7486" s="12" t="e">
        <f t="shared" si="1163"/>
        <v>#N/A</v>
      </c>
      <c r="K7486" s="17" t="e">
        <f t="shared" si="1168"/>
        <v>#N/A</v>
      </c>
      <c r="L7486" s="16">
        <f>base!X7486</f>
        <v>0</v>
      </c>
      <c r="M7486" s="11" t="e">
        <f t="shared" si="1164"/>
        <v>#DIV/0!</v>
      </c>
      <c r="N7486" s="11" t="e">
        <f t="shared" si="1165"/>
        <v>#N/A</v>
      </c>
      <c r="O7486" s="11" t="e">
        <f t="shared" si="1166"/>
        <v>#N/A</v>
      </c>
      <c r="P7486" s="12" t="e">
        <f t="shared" si="1167"/>
        <v>#N/A</v>
      </c>
      <c r="Q7486" s="17" t="e">
        <f t="shared" si="1169"/>
        <v>#N/A</v>
      </c>
    </row>
    <row r="7487" spans="1:17" x14ac:dyDescent="0.3">
      <c r="A7487" s="34">
        <f>base!J7487</f>
        <v>0</v>
      </c>
      <c r="B7487" s="34">
        <f>base!V7487</f>
        <v>0</v>
      </c>
      <c r="C7487" s="40" t="s">
        <v>11</v>
      </c>
      <c r="D7487" s="36">
        <f>base!H7487</f>
        <v>0</v>
      </c>
      <c r="E7487" s="44"/>
      <c r="F7487" s="16">
        <f>base!W7487</f>
        <v>0</v>
      </c>
      <c r="G7487" s="11" t="e">
        <f t="shared" si="1160"/>
        <v>#DIV/0!</v>
      </c>
      <c r="H7487" s="11" t="e">
        <f t="shared" si="1161"/>
        <v>#N/A</v>
      </c>
      <c r="I7487" s="11" t="e">
        <f t="shared" si="1162"/>
        <v>#N/A</v>
      </c>
      <c r="J7487" s="12" t="e">
        <f t="shared" si="1163"/>
        <v>#N/A</v>
      </c>
      <c r="K7487" s="17" t="e">
        <f t="shared" si="1168"/>
        <v>#N/A</v>
      </c>
      <c r="L7487" s="16">
        <f>base!X7487</f>
        <v>0</v>
      </c>
      <c r="M7487" s="11" t="e">
        <f t="shared" si="1164"/>
        <v>#DIV/0!</v>
      </c>
      <c r="N7487" s="11" t="e">
        <f t="shared" si="1165"/>
        <v>#N/A</v>
      </c>
      <c r="O7487" s="11" t="e">
        <f t="shared" si="1166"/>
        <v>#N/A</v>
      </c>
      <c r="P7487" s="12" t="e">
        <f t="shared" si="1167"/>
        <v>#N/A</v>
      </c>
      <c r="Q7487" s="17" t="e">
        <f t="shared" si="1169"/>
        <v>#N/A</v>
      </c>
    </row>
    <row r="7488" spans="1:17" x14ac:dyDescent="0.3">
      <c r="A7488" s="34">
        <f>base!J7488</f>
        <v>0</v>
      </c>
      <c r="B7488" s="34">
        <f>base!V7488</f>
        <v>0</v>
      </c>
      <c r="C7488" s="40" t="s">
        <v>11</v>
      </c>
      <c r="D7488" s="36">
        <f>base!H7488</f>
        <v>0</v>
      </c>
      <c r="E7488" s="44"/>
      <c r="F7488" s="16">
        <f>base!W7488</f>
        <v>0</v>
      </c>
      <c r="G7488" s="11" t="e">
        <f t="shared" si="1160"/>
        <v>#DIV/0!</v>
      </c>
      <c r="H7488" s="11" t="e">
        <f t="shared" si="1161"/>
        <v>#N/A</v>
      </c>
      <c r="I7488" s="11" t="e">
        <f t="shared" si="1162"/>
        <v>#N/A</v>
      </c>
      <c r="J7488" s="12" t="e">
        <f t="shared" si="1163"/>
        <v>#N/A</v>
      </c>
      <c r="K7488" s="17" t="e">
        <f t="shared" si="1168"/>
        <v>#N/A</v>
      </c>
      <c r="L7488" s="16">
        <f>base!X7488</f>
        <v>0</v>
      </c>
      <c r="M7488" s="11" t="e">
        <f t="shared" si="1164"/>
        <v>#DIV/0!</v>
      </c>
      <c r="N7488" s="11" t="e">
        <f t="shared" si="1165"/>
        <v>#N/A</v>
      </c>
      <c r="O7488" s="11" t="e">
        <f t="shared" si="1166"/>
        <v>#N/A</v>
      </c>
      <c r="P7488" s="12" t="e">
        <f t="shared" si="1167"/>
        <v>#N/A</v>
      </c>
      <c r="Q7488" s="17" t="e">
        <f t="shared" si="1169"/>
        <v>#N/A</v>
      </c>
    </row>
    <row r="7489" spans="1:17" x14ac:dyDescent="0.3">
      <c r="A7489" s="34">
        <f>base!J7489</f>
        <v>0</v>
      </c>
      <c r="B7489" s="34">
        <f>base!V7489</f>
        <v>0</v>
      </c>
      <c r="C7489" s="40" t="s">
        <v>11</v>
      </c>
      <c r="D7489" s="36">
        <f>base!H7489</f>
        <v>0</v>
      </c>
      <c r="E7489" s="44"/>
      <c r="F7489" s="16">
        <f>base!W7489</f>
        <v>0</v>
      </c>
      <c r="G7489" s="11" t="e">
        <f t="shared" si="1160"/>
        <v>#DIV/0!</v>
      </c>
      <c r="H7489" s="11" t="e">
        <f t="shared" si="1161"/>
        <v>#N/A</v>
      </c>
      <c r="I7489" s="11" t="e">
        <f t="shared" si="1162"/>
        <v>#N/A</v>
      </c>
      <c r="J7489" s="12" t="e">
        <f t="shared" si="1163"/>
        <v>#N/A</v>
      </c>
      <c r="K7489" s="17" t="e">
        <f t="shared" si="1168"/>
        <v>#N/A</v>
      </c>
      <c r="L7489" s="16">
        <f>base!X7489</f>
        <v>0</v>
      </c>
      <c r="M7489" s="11" t="e">
        <f t="shared" si="1164"/>
        <v>#DIV/0!</v>
      </c>
      <c r="N7489" s="11" t="e">
        <f t="shared" si="1165"/>
        <v>#N/A</v>
      </c>
      <c r="O7489" s="11" t="e">
        <f t="shared" si="1166"/>
        <v>#N/A</v>
      </c>
      <c r="P7489" s="12" t="e">
        <f t="shared" si="1167"/>
        <v>#N/A</v>
      </c>
      <c r="Q7489" s="17" t="e">
        <f t="shared" si="1169"/>
        <v>#N/A</v>
      </c>
    </row>
    <row r="7490" spans="1:17" x14ac:dyDescent="0.3">
      <c r="A7490" s="34">
        <f>base!J7490</f>
        <v>0</v>
      </c>
      <c r="B7490" s="34">
        <f>base!V7490</f>
        <v>0</v>
      </c>
      <c r="C7490" s="40" t="s">
        <v>11</v>
      </c>
      <c r="D7490" s="36">
        <f>base!H7490</f>
        <v>0</v>
      </c>
      <c r="E7490" s="44"/>
      <c r="F7490" s="16">
        <f>base!W7490</f>
        <v>0</v>
      </c>
      <c r="G7490" s="11" t="e">
        <f t="shared" ref="G7490:G7553" si="1170">F7490/D7490</f>
        <v>#DIV/0!</v>
      </c>
      <c r="H7490" s="11" t="e">
        <f t="shared" ref="H7490:H7553" si="1171">VLOOKUP(C7490,tout_cout_traction,2,FALSE)*D7490</f>
        <v>#N/A</v>
      </c>
      <c r="I7490" s="11" t="e">
        <f t="shared" ref="I7490:I7553" si="1172">H7490/D7490</f>
        <v>#N/A</v>
      </c>
      <c r="J7490" s="12" t="e">
        <f t="shared" ref="J7490:J7553" si="1173">F7490-H7490</f>
        <v>#N/A</v>
      </c>
      <c r="K7490" s="17" t="e">
        <f t="shared" si="1168"/>
        <v>#N/A</v>
      </c>
      <c r="L7490" s="16">
        <f>base!X7490</f>
        <v>0</v>
      </c>
      <c r="M7490" s="11" t="e">
        <f t="shared" ref="M7490:M7553" si="1174">L7490/D7490</f>
        <v>#DIV/0!</v>
      </c>
      <c r="N7490" s="11" t="e">
        <f t="shared" ref="N7490:N7553" si="1175">VLOOKUP(C7490,tout_cout_traction,3,FALSE)*D7490</f>
        <v>#N/A</v>
      </c>
      <c r="O7490" s="11" t="e">
        <f t="shared" ref="O7490:O7553" si="1176">N7490/D7490</f>
        <v>#N/A</v>
      </c>
      <c r="P7490" s="12" t="e">
        <f t="shared" ref="P7490:P7553" si="1177">L7490-N7490</f>
        <v>#N/A</v>
      </c>
      <c r="Q7490" s="17" t="e">
        <f t="shared" si="1169"/>
        <v>#N/A</v>
      </c>
    </row>
    <row r="7491" spans="1:17" x14ac:dyDescent="0.3">
      <c r="A7491" s="34">
        <f>base!J7491</f>
        <v>0</v>
      </c>
      <c r="B7491" s="34">
        <f>base!V7491</f>
        <v>0</v>
      </c>
      <c r="C7491" s="40" t="s">
        <v>11</v>
      </c>
      <c r="D7491" s="36">
        <f>base!H7491</f>
        <v>0</v>
      </c>
      <c r="E7491" s="44"/>
      <c r="F7491" s="16">
        <f>base!W7491</f>
        <v>0</v>
      </c>
      <c r="G7491" s="11" t="e">
        <f t="shared" si="1170"/>
        <v>#DIV/0!</v>
      </c>
      <c r="H7491" s="11" t="e">
        <f t="shared" si="1171"/>
        <v>#N/A</v>
      </c>
      <c r="I7491" s="11" t="e">
        <f t="shared" si="1172"/>
        <v>#N/A</v>
      </c>
      <c r="J7491" s="12" t="e">
        <f t="shared" si="1173"/>
        <v>#N/A</v>
      </c>
      <c r="K7491" s="17" t="e">
        <f t="shared" ref="K7491:K7554" si="1178">IF(H7491=F7491,"Pas d'écart",IF(H7491&lt;F7491,"Ecart positif",IF(H7491&gt;F7491,"Ecart négatif")))</f>
        <v>#N/A</v>
      </c>
      <c r="L7491" s="16">
        <f>base!X7491</f>
        <v>0</v>
      </c>
      <c r="M7491" s="11" t="e">
        <f t="shared" si="1174"/>
        <v>#DIV/0!</v>
      </c>
      <c r="N7491" s="11" t="e">
        <f t="shared" si="1175"/>
        <v>#N/A</v>
      </c>
      <c r="O7491" s="11" t="e">
        <f t="shared" si="1176"/>
        <v>#N/A</v>
      </c>
      <c r="P7491" s="12" t="e">
        <f t="shared" si="1177"/>
        <v>#N/A</v>
      </c>
      <c r="Q7491" s="17" t="e">
        <f t="shared" ref="Q7491:Q7554" si="1179">IF(N7491=L7491,"Pas d'écart",IF(N7491&lt;L7491,"Ecart positif",IF(N7491&gt;L7491,"Ecart négatif")))</f>
        <v>#N/A</v>
      </c>
    </row>
    <row r="7492" spans="1:17" x14ac:dyDescent="0.3">
      <c r="A7492" s="34">
        <f>base!J7492</f>
        <v>0</v>
      </c>
      <c r="B7492" s="34">
        <f>base!V7492</f>
        <v>0</v>
      </c>
      <c r="C7492" s="40" t="s">
        <v>11</v>
      </c>
      <c r="D7492" s="36">
        <f>base!H7492</f>
        <v>0</v>
      </c>
      <c r="E7492" s="44"/>
      <c r="F7492" s="16">
        <f>base!W7492</f>
        <v>0</v>
      </c>
      <c r="G7492" s="11" t="e">
        <f t="shared" si="1170"/>
        <v>#DIV/0!</v>
      </c>
      <c r="H7492" s="11" t="e">
        <f t="shared" si="1171"/>
        <v>#N/A</v>
      </c>
      <c r="I7492" s="11" t="e">
        <f t="shared" si="1172"/>
        <v>#N/A</v>
      </c>
      <c r="J7492" s="12" t="e">
        <f t="shared" si="1173"/>
        <v>#N/A</v>
      </c>
      <c r="K7492" s="17" t="e">
        <f t="shared" si="1178"/>
        <v>#N/A</v>
      </c>
      <c r="L7492" s="16">
        <f>base!X7492</f>
        <v>0</v>
      </c>
      <c r="M7492" s="11" t="e">
        <f t="shared" si="1174"/>
        <v>#DIV/0!</v>
      </c>
      <c r="N7492" s="11" t="e">
        <f t="shared" si="1175"/>
        <v>#N/A</v>
      </c>
      <c r="O7492" s="11" t="e">
        <f t="shared" si="1176"/>
        <v>#N/A</v>
      </c>
      <c r="P7492" s="12" t="e">
        <f t="shared" si="1177"/>
        <v>#N/A</v>
      </c>
      <c r="Q7492" s="17" t="e">
        <f t="shared" si="1179"/>
        <v>#N/A</v>
      </c>
    </row>
    <row r="7493" spans="1:17" x14ac:dyDescent="0.3">
      <c r="A7493" s="34">
        <f>base!J7493</f>
        <v>0</v>
      </c>
      <c r="B7493" s="34">
        <f>base!V7493</f>
        <v>0</v>
      </c>
      <c r="C7493" s="40" t="s">
        <v>11</v>
      </c>
      <c r="D7493" s="36">
        <f>base!H7493</f>
        <v>0</v>
      </c>
      <c r="E7493" s="44"/>
      <c r="F7493" s="16">
        <f>base!W7493</f>
        <v>0</v>
      </c>
      <c r="G7493" s="11" t="e">
        <f t="shared" si="1170"/>
        <v>#DIV/0!</v>
      </c>
      <c r="H7493" s="11" t="e">
        <f t="shared" si="1171"/>
        <v>#N/A</v>
      </c>
      <c r="I7493" s="11" t="e">
        <f t="shared" si="1172"/>
        <v>#N/A</v>
      </c>
      <c r="J7493" s="12" t="e">
        <f t="shared" si="1173"/>
        <v>#N/A</v>
      </c>
      <c r="K7493" s="17" t="e">
        <f t="shared" si="1178"/>
        <v>#N/A</v>
      </c>
      <c r="L7493" s="16">
        <f>base!X7493</f>
        <v>0</v>
      </c>
      <c r="M7493" s="11" t="e">
        <f t="shared" si="1174"/>
        <v>#DIV/0!</v>
      </c>
      <c r="N7493" s="11" t="e">
        <f t="shared" si="1175"/>
        <v>#N/A</v>
      </c>
      <c r="O7493" s="11" t="e">
        <f t="shared" si="1176"/>
        <v>#N/A</v>
      </c>
      <c r="P7493" s="12" t="e">
        <f t="shared" si="1177"/>
        <v>#N/A</v>
      </c>
      <c r="Q7493" s="17" t="e">
        <f t="shared" si="1179"/>
        <v>#N/A</v>
      </c>
    </row>
    <row r="7494" spans="1:17" x14ac:dyDescent="0.3">
      <c r="A7494" s="34">
        <f>base!J7494</f>
        <v>0</v>
      </c>
      <c r="B7494" s="34">
        <f>base!V7494</f>
        <v>0</v>
      </c>
      <c r="C7494" s="40" t="s">
        <v>11</v>
      </c>
      <c r="D7494" s="36">
        <f>base!H7494</f>
        <v>0</v>
      </c>
      <c r="E7494" s="44"/>
      <c r="F7494" s="16">
        <f>base!W7494</f>
        <v>0</v>
      </c>
      <c r="G7494" s="11" t="e">
        <f t="shared" si="1170"/>
        <v>#DIV/0!</v>
      </c>
      <c r="H7494" s="11" t="e">
        <f t="shared" si="1171"/>
        <v>#N/A</v>
      </c>
      <c r="I7494" s="11" t="e">
        <f t="shared" si="1172"/>
        <v>#N/A</v>
      </c>
      <c r="J7494" s="12" t="e">
        <f t="shared" si="1173"/>
        <v>#N/A</v>
      </c>
      <c r="K7494" s="17" t="e">
        <f t="shared" si="1178"/>
        <v>#N/A</v>
      </c>
      <c r="L7494" s="16">
        <f>base!X7494</f>
        <v>0</v>
      </c>
      <c r="M7494" s="11" t="e">
        <f t="shared" si="1174"/>
        <v>#DIV/0!</v>
      </c>
      <c r="N7494" s="11" t="e">
        <f t="shared" si="1175"/>
        <v>#N/A</v>
      </c>
      <c r="O7494" s="11" t="e">
        <f t="shared" si="1176"/>
        <v>#N/A</v>
      </c>
      <c r="P7494" s="12" t="e">
        <f t="shared" si="1177"/>
        <v>#N/A</v>
      </c>
      <c r="Q7494" s="17" t="e">
        <f t="shared" si="1179"/>
        <v>#N/A</v>
      </c>
    </row>
    <row r="7495" spans="1:17" x14ac:dyDescent="0.3">
      <c r="A7495" s="34">
        <f>base!J7495</f>
        <v>0</v>
      </c>
      <c r="B7495" s="34">
        <f>base!V7495</f>
        <v>0</v>
      </c>
      <c r="C7495" s="40" t="s">
        <v>11</v>
      </c>
      <c r="D7495" s="36">
        <f>base!H7495</f>
        <v>0</v>
      </c>
      <c r="E7495" s="44"/>
      <c r="F7495" s="16">
        <f>base!W7495</f>
        <v>0</v>
      </c>
      <c r="G7495" s="11" t="e">
        <f t="shared" si="1170"/>
        <v>#DIV/0!</v>
      </c>
      <c r="H7495" s="11" t="e">
        <f t="shared" si="1171"/>
        <v>#N/A</v>
      </c>
      <c r="I7495" s="11" t="e">
        <f t="shared" si="1172"/>
        <v>#N/A</v>
      </c>
      <c r="J7495" s="12" t="e">
        <f t="shared" si="1173"/>
        <v>#N/A</v>
      </c>
      <c r="K7495" s="17" t="e">
        <f t="shared" si="1178"/>
        <v>#N/A</v>
      </c>
      <c r="L7495" s="16">
        <f>base!X7495</f>
        <v>0</v>
      </c>
      <c r="M7495" s="11" t="e">
        <f t="shared" si="1174"/>
        <v>#DIV/0!</v>
      </c>
      <c r="N7495" s="11" t="e">
        <f t="shared" si="1175"/>
        <v>#N/A</v>
      </c>
      <c r="O7495" s="11" t="e">
        <f t="shared" si="1176"/>
        <v>#N/A</v>
      </c>
      <c r="P7495" s="12" t="e">
        <f t="shared" si="1177"/>
        <v>#N/A</v>
      </c>
      <c r="Q7495" s="17" t="e">
        <f t="shared" si="1179"/>
        <v>#N/A</v>
      </c>
    </row>
    <row r="7496" spans="1:17" x14ac:dyDescent="0.3">
      <c r="A7496" s="34">
        <f>base!J7496</f>
        <v>0</v>
      </c>
      <c r="B7496" s="34">
        <f>base!V7496</f>
        <v>0</v>
      </c>
      <c r="C7496" s="40" t="s">
        <v>11</v>
      </c>
      <c r="D7496" s="36">
        <f>base!H7496</f>
        <v>0</v>
      </c>
      <c r="E7496" s="44"/>
      <c r="F7496" s="16">
        <f>base!W7496</f>
        <v>0</v>
      </c>
      <c r="G7496" s="11" t="e">
        <f t="shared" si="1170"/>
        <v>#DIV/0!</v>
      </c>
      <c r="H7496" s="11" t="e">
        <f t="shared" si="1171"/>
        <v>#N/A</v>
      </c>
      <c r="I7496" s="11" t="e">
        <f t="shared" si="1172"/>
        <v>#N/A</v>
      </c>
      <c r="J7496" s="12" t="e">
        <f t="shared" si="1173"/>
        <v>#N/A</v>
      </c>
      <c r="K7496" s="17" t="e">
        <f t="shared" si="1178"/>
        <v>#N/A</v>
      </c>
      <c r="L7496" s="16">
        <f>base!X7496</f>
        <v>0</v>
      </c>
      <c r="M7496" s="11" t="e">
        <f t="shared" si="1174"/>
        <v>#DIV/0!</v>
      </c>
      <c r="N7496" s="11" t="e">
        <f t="shared" si="1175"/>
        <v>#N/A</v>
      </c>
      <c r="O7496" s="11" t="e">
        <f t="shared" si="1176"/>
        <v>#N/A</v>
      </c>
      <c r="P7496" s="12" t="e">
        <f t="shared" si="1177"/>
        <v>#N/A</v>
      </c>
      <c r="Q7496" s="17" t="e">
        <f t="shared" si="1179"/>
        <v>#N/A</v>
      </c>
    </row>
    <row r="7497" spans="1:17" x14ac:dyDescent="0.3">
      <c r="A7497" s="34">
        <f>base!J7497</f>
        <v>0</v>
      </c>
      <c r="B7497" s="34">
        <f>base!V7497</f>
        <v>0</v>
      </c>
      <c r="C7497" s="40" t="s">
        <v>11</v>
      </c>
      <c r="D7497" s="36">
        <f>base!H7497</f>
        <v>0</v>
      </c>
      <c r="E7497" s="44"/>
      <c r="F7497" s="16">
        <f>base!W7497</f>
        <v>0</v>
      </c>
      <c r="G7497" s="11" t="e">
        <f t="shared" si="1170"/>
        <v>#DIV/0!</v>
      </c>
      <c r="H7497" s="11" t="e">
        <f t="shared" si="1171"/>
        <v>#N/A</v>
      </c>
      <c r="I7497" s="11" t="e">
        <f t="shared" si="1172"/>
        <v>#N/A</v>
      </c>
      <c r="J7497" s="12" t="e">
        <f t="shared" si="1173"/>
        <v>#N/A</v>
      </c>
      <c r="K7497" s="17" t="e">
        <f t="shared" si="1178"/>
        <v>#N/A</v>
      </c>
      <c r="L7497" s="16">
        <f>base!X7497</f>
        <v>0</v>
      </c>
      <c r="M7497" s="11" t="e">
        <f t="shared" si="1174"/>
        <v>#DIV/0!</v>
      </c>
      <c r="N7497" s="11" t="e">
        <f t="shared" si="1175"/>
        <v>#N/A</v>
      </c>
      <c r="O7497" s="11" t="e">
        <f t="shared" si="1176"/>
        <v>#N/A</v>
      </c>
      <c r="P7497" s="12" t="e">
        <f t="shared" si="1177"/>
        <v>#N/A</v>
      </c>
      <c r="Q7497" s="17" t="e">
        <f t="shared" si="1179"/>
        <v>#N/A</v>
      </c>
    </row>
    <row r="7498" spans="1:17" x14ac:dyDescent="0.3">
      <c r="A7498" s="34">
        <f>base!J7498</f>
        <v>0</v>
      </c>
      <c r="B7498" s="34">
        <f>base!V7498</f>
        <v>0</v>
      </c>
      <c r="C7498" s="40" t="s">
        <v>11</v>
      </c>
      <c r="D7498" s="36">
        <f>base!H7498</f>
        <v>0</v>
      </c>
      <c r="E7498" s="44"/>
      <c r="F7498" s="16">
        <f>base!W7498</f>
        <v>0</v>
      </c>
      <c r="G7498" s="11" t="e">
        <f t="shared" si="1170"/>
        <v>#DIV/0!</v>
      </c>
      <c r="H7498" s="11" t="e">
        <f t="shared" si="1171"/>
        <v>#N/A</v>
      </c>
      <c r="I7498" s="11" t="e">
        <f t="shared" si="1172"/>
        <v>#N/A</v>
      </c>
      <c r="J7498" s="12" t="e">
        <f t="shared" si="1173"/>
        <v>#N/A</v>
      </c>
      <c r="K7498" s="17" t="e">
        <f t="shared" si="1178"/>
        <v>#N/A</v>
      </c>
      <c r="L7498" s="16">
        <f>base!X7498</f>
        <v>0</v>
      </c>
      <c r="M7498" s="11" t="e">
        <f t="shared" si="1174"/>
        <v>#DIV/0!</v>
      </c>
      <c r="N7498" s="11" t="e">
        <f t="shared" si="1175"/>
        <v>#N/A</v>
      </c>
      <c r="O7498" s="11" t="e">
        <f t="shared" si="1176"/>
        <v>#N/A</v>
      </c>
      <c r="P7498" s="12" t="e">
        <f t="shared" si="1177"/>
        <v>#N/A</v>
      </c>
      <c r="Q7498" s="17" t="e">
        <f t="shared" si="1179"/>
        <v>#N/A</v>
      </c>
    </row>
    <row r="7499" spans="1:17" x14ac:dyDescent="0.3">
      <c r="A7499" s="34">
        <f>base!J7499</f>
        <v>0</v>
      </c>
      <c r="B7499" s="34">
        <f>base!V7499</f>
        <v>0</v>
      </c>
      <c r="C7499" s="40" t="s">
        <v>11</v>
      </c>
      <c r="D7499" s="36">
        <f>base!H7499</f>
        <v>0</v>
      </c>
      <c r="E7499" s="44"/>
      <c r="F7499" s="16">
        <f>base!W7499</f>
        <v>0</v>
      </c>
      <c r="G7499" s="11" t="e">
        <f t="shared" si="1170"/>
        <v>#DIV/0!</v>
      </c>
      <c r="H7499" s="11" t="e">
        <f t="shared" si="1171"/>
        <v>#N/A</v>
      </c>
      <c r="I7499" s="11" t="e">
        <f t="shared" si="1172"/>
        <v>#N/A</v>
      </c>
      <c r="J7499" s="12" t="e">
        <f t="shared" si="1173"/>
        <v>#N/A</v>
      </c>
      <c r="K7499" s="17" t="e">
        <f t="shared" si="1178"/>
        <v>#N/A</v>
      </c>
      <c r="L7499" s="16">
        <f>base!X7499</f>
        <v>0</v>
      </c>
      <c r="M7499" s="11" t="e">
        <f t="shared" si="1174"/>
        <v>#DIV/0!</v>
      </c>
      <c r="N7499" s="11" t="e">
        <f t="shared" si="1175"/>
        <v>#N/A</v>
      </c>
      <c r="O7499" s="11" t="e">
        <f t="shared" si="1176"/>
        <v>#N/A</v>
      </c>
      <c r="P7499" s="12" t="e">
        <f t="shared" si="1177"/>
        <v>#N/A</v>
      </c>
      <c r="Q7499" s="17" t="e">
        <f t="shared" si="1179"/>
        <v>#N/A</v>
      </c>
    </row>
    <row r="7500" spans="1:17" x14ac:dyDescent="0.3">
      <c r="A7500" s="34">
        <f>base!J7500</f>
        <v>0</v>
      </c>
      <c r="B7500" s="34">
        <f>base!V7500</f>
        <v>0</v>
      </c>
      <c r="C7500" s="40" t="s">
        <v>11</v>
      </c>
      <c r="D7500" s="36">
        <f>base!H7500</f>
        <v>0</v>
      </c>
      <c r="E7500" s="44"/>
      <c r="F7500" s="16">
        <f>base!W7500</f>
        <v>0</v>
      </c>
      <c r="G7500" s="11" t="e">
        <f t="shared" si="1170"/>
        <v>#DIV/0!</v>
      </c>
      <c r="H7500" s="11" t="e">
        <f t="shared" si="1171"/>
        <v>#N/A</v>
      </c>
      <c r="I7500" s="11" t="e">
        <f t="shared" si="1172"/>
        <v>#N/A</v>
      </c>
      <c r="J7500" s="12" t="e">
        <f t="shared" si="1173"/>
        <v>#N/A</v>
      </c>
      <c r="K7500" s="17" t="e">
        <f t="shared" si="1178"/>
        <v>#N/A</v>
      </c>
      <c r="L7500" s="16">
        <f>base!X7500</f>
        <v>0</v>
      </c>
      <c r="M7500" s="11" t="e">
        <f t="shared" si="1174"/>
        <v>#DIV/0!</v>
      </c>
      <c r="N7500" s="11" t="e">
        <f t="shared" si="1175"/>
        <v>#N/A</v>
      </c>
      <c r="O7500" s="11" t="e">
        <f t="shared" si="1176"/>
        <v>#N/A</v>
      </c>
      <c r="P7500" s="12" t="e">
        <f t="shared" si="1177"/>
        <v>#N/A</v>
      </c>
      <c r="Q7500" s="17" t="e">
        <f t="shared" si="1179"/>
        <v>#N/A</v>
      </c>
    </row>
    <row r="7501" spans="1:17" x14ac:dyDescent="0.3">
      <c r="A7501" s="34">
        <f>base!J7501</f>
        <v>0</v>
      </c>
      <c r="B7501" s="34">
        <f>base!V7501</f>
        <v>0</v>
      </c>
      <c r="C7501" s="40" t="s">
        <v>11</v>
      </c>
      <c r="D7501" s="36">
        <f>base!H7501</f>
        <v>0</v>
      </c>
      <c r="E7501" s="44"/>
      <c r="F7501" s="16">
        <f>base!W7501</f>
        <v>0</v>
      </c>
      <c r="G7501" s="11" t="e">
        <f t="shared" si="1170"/>
        <v>#DIV/0!</v>
      </c>
      <c r="H7501" s="11" t="e">
        <f t="shared" si="1171"/>
        <v>#N/A</v>
      </c>
      <c r="I7501" s="11" t="e">
        <f t="shared" si="1172"/>
        <v>#N/A</v>
      </c>
      <c r="J7501" s="12" t="e">
        <f t="shared" si="1173"/>
        <v>#N/A</v>
      </c>
      <c r="K7501" s="17" t="e">
        <f t="shared" si="1178"/>
        <v>#N/A</v>
      </c>
      <c r="L7501" s="16">
        <f>base!X7501</f>
        <v>0</v>
      </c>
      <c r="M7501" s="11" t="e">
        <f t="shared" si="1174"/>
        <v>#DIV/0!</v>
      </c>
      <c r="N7501" s="11" t="e">
        <f t="shared" si="1175"/>
        <v>#N/A</v>
      </c>
      <c r="O7501" s="11" t="e">
        <f t="shared" si="1176"/>
        <v>#N/A</v>
      </c>
      <c r="P7501" s="12" t="e">
        <f t="shared" si="1177"/>
        <v>#N/A</v>
      </c>
      <c r="Q7501" s="17" t="e">
        <f t="shared" si="1179"/>
        <v>#N/A</v>
      </c>
    </row>
    <row r="7502" spans="1:17" x14ac:dyDescent="0.3">
      <c r="A7502" s="34">
        <f>base!J7502</f>
        <v>0</v>
      </c>
      <c r="B7502" s="34">
        <f>base!V7502</f>
        <v>0</v>
      </c>
      <c r="C7502" s="40" t="s">
        <v>11</v>
      </c>
      <c r="D7502" s="36">
        <f>base!H7502</f>
        <v>0</v>
      </c>
      <c r="E7502" s="44"/>
      <c r="F7502" s="16">
        <f>base!W7502</f>
        <v>0</v>
      </c>
      <c r="G7502" s="11" t="e">
        <f t="shared" si="1170"/>
        <v>#DIV/0!</v>
      </c>
      <c r="H7502" s="11" t="e">
        <f t="shared" si="1171"/>
        <v>#N/A</v>
      </c>
      <c r="I7502" s="11" t="e">
        <f t="shared" si="1172"/>
        <v>#N/A</v>
      </c>
      <c r="J7502" s="12" t="e">
        <f t="shared" si="1173"/>
        <v>#N/A</v>
      </c>
      <c r="K7502" s="17" t="e">
        <f t="shared" si="1178"/>
        <v>#N/A</v>
      </c>
      <c r="L7502" s="16">
        <f>base!X7502</f>
        <v>0</v>
      </c>
      <c r="M7502" s="11" t="e">
        <f t="shared" si="1174"/>
        <v>#DIV/0!</v>
      </c>
      <c r="N7502" s="11" t="e">
        <f t="shared" si="1175"/>
        <v>#N/A</v>
      </c>
      <c r="O7502" s="11" t="e">
        <f t="shared" si="1176"/>
        <v>#N/A</v>
      </c>
      <c r="P7502" s="12" t="e">
        <f t="shared" si="1177"/>
        <v>#N/A</v>
      </c>
      <c r="Q7502" s="17" t="e">
        <f t="shared" si="1179"/>
        <v>#N/A</v>
      </c>
    </row>
    <row r="7503" spans="1:17" x14ac:dyDescent="0.3">
      <c r="A7503" s="34">
        <f>base!J7503</f>
        <v>0</v>
      </c>
      <c r="B7503" s="34">
        <f>base!V7503</f>
        <v>0</v>
      </c>
      <c r="C7503" s="40" t="s">
        <v>11</v>
      </c>
      <c r="D7503" s="36">
        <f>base!H7503</f>
        <v>0</v>
      </c>
      <c r="E7503" s="44"/>
      <c r="F7503" s="16">
        <f>base!W7503</f>
        <v>0</v>
      </c>
      <c r="G7503" s="11" t="e">
        <f t="shared" si="1170"/>
        <v>#DIV/0!</v>
      </c>
      <c r="H7503" s="11" t="e">
        <f t="shared" si="1171"/>
        <v>#N/A</v>
      </c>
      <c r="I7503" s="11" t="e">
        <f t="shared" si="1172"/>
        <v>#N/A</v>
      </c>
      <c r="J7503" s="12" t="e">
        <f t="shared" si="1173"/>
        <v>#N/A</v>
      </c>
      <c r="K7503" s="17" t="e">
        <f t="shared" si="1178"/>
        <v>#N/A</v>
      </c>
      <c r="L7503" s="16">
        <f>base!X7503</f>
        <v>0</v>
      </c>
      <c r="M7503" s="11" t="e">
        <f t="shared" si="1174"/>
        <v>#DIV/0!</v>
      </c>
      <c r="N7503" s="11" t="e">
        <f t="shared" si="1175"/>
        <v>#N/A</v>
      </c>
      <c r="O7503" s="11" t="e">
        <f t="shared" si="1176"/>
        <v>#N/A</v>
      </c>
      <c r="P7503" s="12" t="e">
        <f t="shared" si="1177"/>
        <v>#N/A</v>
      </c>
      <c r="Q7503" s="17" t="e">
        <f t="shared" si="1179"/>
        <v>#N/A</v>
      </c>
    </row>
    <row r="7504" spans="1:17" x14ac:dyDescent="0.3">
      <c r="A7504" s="34">
        <f>base!J7504</f>
        <v>0</v>
      </c>
      <c r="B7504" s="34">
        <f>base!V7504</f>
        <v>0</v>
      </c>
      <c r="C7504" s="40" t="s">
        <v>11</v>
      </c>
      <c r="D7504" s="36">
        <f>base!H7504</f>
        <v>0</v>
      </c>
      <c r="E7504" s="44"/>
      <c r="F7504" s="16">
        <f>base!W7504</f>
        <v>0</v>
      </c>
      <c r="G7504" s="11" t="e">
        <f t="shared" si="1170"/>
        <v>#DIV/0!</v>
      </c>
      <c r="H7504" s="11" t="e">
        <f t="shared" si="1171"/>
        <v>#N/A</v>
      </c>
      <c r="I7504" s="11" t="e">
        <f t="shared" si="1172"/>
        <v>#N/A</v>
      </c>
      <c r="J7504" s="12" t="e">
        <f t="shared" si="1173"/>
        <v>#N/A</v>
      </c>
      <c r="K7504" s="17" t="e">
        <f t="shared" si="1178"/>
        <v>#N/A</v>
      </c>
      <c r="L7504" s="16">
        <f>base!X7504</f>
        <v>0</v>
      </c>
      <c r="M7504" s="11" t="e">
        <f t="shared" si="1174"/>
        <v>#DIV/0!</v>
      </c>
      <c r="N7504" s="11" t="e">
        <f t="shared" si="1175"/>
        <v>#N/A</v>
      </c>
      <c r="O7504" s="11" t="e">
        <f t="shared" si="1176"/>
        <v>#N/A</v>
      </c>
      <c r="P7504" s="12" t="e">
        <f t="shared" si="1177"/>
        <v>#N/A</v>
      </c>
      <c r="Q7504" s="17" t="e">
        <f t="shared" si="1179"/>
        <v>#N/A</v>
      </c>
    </row>
    <row r="7505" spans="1:17" x14ac:dyDescent="0.3">
      <c r="A7505" s="34">
        <f>base!J7505</f>
        <v>0</v>
      </c>
      <c r="B7505" s="34">
        <f>base!V7505</f>
        <v>0</v>
      </c>
      <c r="C7505" s="40" t="s">
        <v>11</v>
      </c>
      <c r="D7505" s="36">
        <f>base!H7505</f>
        <v>0</v>
      </c>
      <c r="E7505" s="44"/>
      <c r="F7505" s="16">
        <f>base!W7505</f>
        <v>0</v>
      </c>
      <c r="G7505" s="11" t="e">
        <f t="shared" si="1170"/>
        <v>#DIV/0!</v>
      </c>
      <c r="H7505" s="11" t="e">
        <f t="shared" si="1171"/>
        <v>#N/A</v>
      </c>
      <c r="I7505" s="11" t="e">
        <f t="shared" si="1172"/>
        <v>#N/A</v>
      </c>
      <c r="J7505" s="12" t="e">
        <f t="shared" si="1173"/>
        <v>#N/A</v>
      </c>
      <c r="K7505" s="17" t="e">
        <f t="shared" si="1178"/>
        <v>#N/A</v>
      </c>
      <c r="L7505" s="16">
        <f>base!X7505</f>
        <v>0</v>
      </c>
      <c r="M7505" s="11" t="e">
        <f t="shared" si="1174"/>
        <v>#DIV/0!</v>
      </c>
      <c r="N7505" s="11" t="e">
        <f t="shared" si="1175"/>
        <v>#N/A</v>
      </c>
      <c r="O7505" s="11" t="e">
        <f t="shared" si="1176"/>
        <v>#N/A</v>
      </c>
      <c r="P7505" s="12" t="e">
        <f t="shared" si="1177"/>
        <v>#N/A</v>
      </c>
      <c r="Q7505" s="17" t="e">
        <f t="shared" si="1179"/>
        <v>#N/A</v>
      </c>
    </row>
    <row r="7506" spans="1:17" x14ac:dyDescent="0.3">
      <c r="A7506" s="34">
        <f>base!J7506</f>
        <v>0</v>
      </c>
      <c r="B7506" s="34">
        <f>base!V7506</f>
        <v>0</v>
      </c>
      <c r="C7506" s="40" t="s">
        <v>11</v>
      </c>
      <c r="D7506" s="36">
        <f>base!H7506</f>
        <v>0</v>
      </c>
      <c r="E7506" s="44"/>
      <c r="F7506" s="16">
        <f>base!W7506</f>
        <v>0</v>
      </c>
      <c r="G7506" s="11" t="e">
        <f t="shared" si="1170"/>
        <v>#DIV/0!</v>
      </c>
      <c r="H7506" s="11" t="e">
        <f t="shared" si="1171"/>
        <v>#N/A</v>
      </c>
      <c r="I7506" s="11" t="e">
        <f t="shared" si="1172"/>
        <v>#N/A</v>
      </c>
      <c r="J7506" s="12" t="e">
        <f t="shared" si="1173"/>
        <v>#N/A</v>
      </c>
      <c r="K7506" s="17" t="e">
        <f t="shared" si="1178"/>
        <v>#N/A</v>
      </c>
      <c r="L7506" s="16">
        <f>base!X7506</f>
        <v>0</v>
      </c>
      <c r="M7506" s="11" t="e">
        <f t="shared" si="1174"/>
        <v>#DIV/0!</v>
      </c>
      <c r="N7506" s="11" t="e">
        <f t="shared" si="1175"/>
        <v>#N/A</v>
      </c>
      <c r="O7506" s="11" t="e">
        <f t="shared" si="1176"/>
        <v>#N/A</v>
      </c>
      <c r="P7506" s="12" t="e">
        <f t="shared" si="1177"/>
        <v>#N/A</v>
      </c>
      <c r="Q7506" s="17" t="e">
        <f t="shared" si="1179"/>
        <v>#N/A</v>
      </c>
    </row>
    <row r="7507" spans="1:17" x14ac:dyDescent="0.3">
      <c r="A7507" s="34">
        <f>base!J7507</f>
        <v>0</v>
      </c>
      <c r="B7507" s="34">
        <f>base!V7507</f>
        <v>0</v>
      </c>
      <c r="C7507" s="40" t="s">
        <v>11</v>
      </c>
      <c r="D7507" s="36">
        <f>base!H7507</f>
        <v>0</v>
      </c>
      <c r="E7507" s="44"/>
      <c r="F7507" s="16">
        <f>base!W7507</f>
        <v>0</v>
      </c>
      <c r="G7507" s="11" t="e">
        <f t="shared" si="1170"/>
        <v>#DIV/0!</v>
      </c>
      <c r="H7507" s="11" t="e">
        <f t="shared" si="1171"/>
        <v>#N/A</v>
      </c>
      <c r="I7507" s="11" t="e">
        <f t="shared" si="1172"/>
        <v>#N/A</v>
      </c>
      <c r="J7507" s="12" t="e">
        <f t="shared" si="1173"/>
        <v>#N/A</v>
      </c>
      <c r="K7507" s="17" t="e">
        <f t="shared" si="1178"/>
        <v>#N/A</v>
      </c>
      <c r="L7507" s="16">
        <f>base!X7507</f>
        <v>0</v>
      </c>
      <c r="M7507" s="11" t="e">
        <f t="shared" si="1174"/>
        <v>#DIV/0!</v>
      </c>
      <c r="N7507" s="11" t="e">
        <f t="shared" si="1175"/>
        <v>#N/A</v>
      </c>
      <c r="O7507" s="11" t="e">
        <f t="shared" si="1176"/>
        <v>#N/A</v>
      </c>
      <c r="P7507" s="12" t="e">
        <f t="shared" si="1177"/>
        <v>#N/A</v>
      </c>
      <c r="Q7507" s="17" t="e">
        <f t="shared" si="1179"/>
        <v>#N/A</v>
      </c>
    </row>
    <row r="7508" spans="1:17" x14ac:dyDescent="0.3">
      <c r="A7508" s="34">
        <f>base!J7508</f>
        <v>0</v>
      </c>
      <c r="B7508" s="34">
        <f>base!V7508</f>
        <v>0</v>
      </c>
      <c r="C7508" s="40" t="s">
        <v>11</v>
      </c>
      <c r="D7508" s="36">
        <f>base!H7508</f>
        <v>0</v>
      </c>
      <c r="E7508" s="44"/>
      <c r="F7508" s="16">
        <f>base!W7508</f>
        <v>0</v>
      </c>
      <c r="G7508" s="11" t="e">
        <f t="shared" si="1170"/>
        <v>#DIV/0!</v>
      </c>
      <c r="H7508" s="11" t="e">
        <f t="shared" si="1171"/>
        <v>#N/A</v>
      </c>
      <c r="I7508" s="11" t="e">
        <f t="shared" si="1172"/>
        <v>#N/A</v>
      </c>
      <c r="J7508" s="12" t="e">
        <f t="shared" si="1173"/>
        <v>#N/A</v>
      </c>
      <c r="K7508" s="17" t="e">
        <f t="shared" si="1178"/>
        <v>#N/A</v>
      </c>
      <c r="L7508" s="16">
        <f>base!X7508</f>
        <v>0</v>
      </c>
      <c r="M7508" s="11" t="e">
        <f t="shared" si="1174"/>
        <v>#DIV/0!</v>
      </c>
      <c r="N7508" s="11" t="e">
        <f t="shared" si="1175"/>
        <v>#N/A</v>
      </c>
      <c r="O7508" s="11" t="e">
        <f t="shared" si="1176"/>
        <v>#N/A</v>
      </c>
      <c r="P7508" s="12" t="e">
        <f t="shared" si="1177"/>
        <v>#N/A</v>
      </c>
      <c r="Q7508" s="17" t="e">
        <f t="shared" si="1179"/>
        <v>#N/A</v>
      </c>
    </row>
    <row r="7509" spans="1:17" x14ac:dyDescent="0.3">
      <c r="A7509" s="34">
        <f>base!J7509</f>
        <v>0</v>
      </c>
      <c r="B7509" s="34">
        <f>base!V7509</f>
        <v>0</v>
      </c>
      <c r="C7509" s="40" t="s">
        <v>11</v>
      </c>
      <c r="D7509" s="36">
        <f>base!H7509</f>
        <v>0</v>
      </c>
      <c r="E7509" s="44"/>
      <c r="F7509" s="16">
        <f>base!W7509</f>
        <v>0</v>
      </c>
      <c r="G7509" s="11" t="e">
        <f t="shared" si="1170"/>
        <v>#DIV/0!</v>
      </c>
      <c r="H7509" s="11" t="e">
        <f t="shared" si="1171"/>
        <v>#N/A</v>
      </c>
      <c r="I7509" s="11" t="e">
        <f t="shared" si="1172"/>
        <v>#N/A</v>
      </c>
      <c r="J7509" s="12" t="e">
        <f t="shared" si="1173"/>
        <v>#N/A</v>
      </c>
      <c r="K7509" s="17" t="e">
        <f t="shared" si="1178"/>
        <v>#N/A</v>
      </c>
      <c r="L7509" s="16">
        <f>base!X7509</f>
        <v>0</v>
      </c>
      <c r="M7509" s="11" t="e">
        <f t="shared" si="1174"/>
        <v>#DIV/0!</v>
      </c>
      <c r="N7509" s="11" t="e">
        <f t="shared" si="1175"/>
        <v>#N/A</v>
      </c>
      <c r="O7509" s="11" t="e">
        <f t="shared" si="1176"/>
        <v>#N/A</v>
      </c>
      <c r="P7509" s="12" t="e">
        <f t="shared" si="1177"/>
        <v>#N/A</v>
      </c>
      <c r="Q7509" s="17" t="e">
        <f t="shared" si="1179"/>
        <v>#N/A</v>
      </c>
    </row>
    <row r="7510" spans="1:17" x14ac:dyDescent="0.3">
      <c r="A7510" s="34">
        <f>base!J7510</f>
        <v>0</v>
      </c>
      <c r="B7510" s="34">
        <f>base!V7510</f>
        <v>0</v>
      </c>
      <c r="C7510" s="40" t="s">
        <v>11</v>
      </c>
      <c r="D7510" s="36">
        <f>base!H7510</f>
        <v>0</v>
      </c>
      <c r="E7510" s="44"/>
      <c r="F7510" s="16">
        <f>base!W7510</f>
        <v>0</v>
      </c>
      <c r="G7510" s="11" t="e">
        <f t="shared" si="1170"/>
        <v>#DIV/0!</v>
      </c>
      <c r="H7510" s="11" t="e">
        <f t="shared" si="1171"/>
        <v>#N/A</v>
      </c>
      <c r="I7510" s="11" t="e">
        <f t="shared" si="1172"/>
        <v>#N/A</v>
      </c>
      <c r="J7510" s="12" t="e">
        <f t="shared" si="1173"/>
        <v>#N/A</v>
      </c>
      <c r="K7510" s="17" t="e">
        <f t="shared" si="1178"/>
        <v>#N/A</v>
      </c>
      <c r="L7510" s="16">
        <f>base!X7510</f>
        <v>0</v>
      </c>
      <c r="M7510" s="11" t="e">
        <f t="shared" si="1174"/>
        <v>#DIV/0!</v>
      </c>
      <c r="N7510" s="11" t="e">
        <f t="shared" si="1175"/>
        <v>#N/A</v>
      </c>
      <c r="O7510" s="11" t="e">
        <f t="shared" si="1176"/>
        <v>#N/A</v>
      </c>
      <c r="P7510" s="12" t="e">
        <f t="shared" si="1177"/>
        <v>#N/A</v>
      </c>
      <c r="Q7510" s="17" t="e">
        <f t="shared" si="1179"/>
        <v>#N/A</v>
      </c>
    </row>
    <row r="7511" spans="1:17" x14ac:dyDescent="0.3">
      <c r="A7511" s="34">
        <f>base!J7511</f>
        <v>0</v>
      </c>
      <c r="B7511" s="34">
        <f>base!V7511</f>
        <v>0</v>
      </c>
      <c r="C7511" s="40" t="s">
        <v>11</v>
      </c>
      <c r="D7511" s="36">
        <f>base!H7511</f>
        <v>0</v>
      </c>
      <c r="E7511" s="44"/>
      <c r="F7511" s="16">
        <f>base!W7511</f>
        <v>0</v>
      </c>
      <c r="G7511" s="11" t="e">
        <f t="shared" si="1170"/>
        <v>#DIV/0!</v>
      </c>
      <c r="H7511" s="11" t="e">
        <f t="shared" si="1171"/>
        <v>#N/A</v>
      </c>
      <c r="I7511" s="11" t="e">
        <f t="shared" si="1172"/>
        <v>#N/A</v>
      </c>
      <c r="J7511" s="12" t="e">
        <f t="shared" si="1173"/>
        <v>#N/A</v>
      </c>
      <c r="K7511" s="17" t="e">
        <f t="shared" si="1178"/>
        <v>#N/A</v>
      </c>
      <c r="L7511" s="16">
        <f>base!X7511</f>
        <v>0</v>
      </c>
      <c r="M7511" s="11" t="e">
        <f t="shared" si="1174"/>
        <v>#DIV/0!</v>
      </c>
      <c r="N7511" s="11" t="e">
        <f t="shared" si="1175"/>
        <v>#N/A</v>
      </c>
      <c r="O7511" s="11" t="e">
        <f t="shared" si="1176"/>
        <v>#N/A</v>
      </c>
      <c r="P7511" s="12" t="e">
        <f t="shared" si="1177"/>
        <v>#N/A</v>
      </c>
      <c r="Q7511" s="17" t="e">
        <f t="shared" si="1179"/>
        <v>#N/A</v>
      </c>
    </row>
    <row r="7512" spans="1:17" x14ac:dyDescent="0.3">
      <c r="A7512" s="34">
        <f>base!J7512</f>
        <v>0</v>
      </c>
      <c r="B7512" s="34">
        <f>base!V7512</f>
        <v>0</v>
      </c>
      <c r="C7512" s="40" t="s">
        <v>11</v>
      </c>
      <c r="D7512" s="36">
        <f>base!H7512</f>
        <v>0</v>
      </c>
      <c r="E7512" s="44"/>
      <c r="F7512" s="16">
        <f>base!W7512</f>
        <v>0</v>
      </c>
      <c r="G7512" s="11" t="e">
        <f t="shared" si="1170"/>
        <v>#DIV/0!</v>
      </c>
      <c r="H7512" s="11" t="e">
        <f t="shared" si="1171"/>
        <v>#N/A</v>
      </c>
      <c r="I7512" s="11" t="e">
        <f t="shared" si="1172"/>
        <v>#N/A</v>
      </c>
      <c r="J7512" s="12" t="e">
        <f t="shared" si="1173"/>
        <v>#N/A</v>
      </c>
      <c r="K7512" s="17" t="e">
        <f t="shared" si="1178"/>
        <v>#N/A</v>
      </c>
      <c r="L7512" s="16">
        <f>base!X7512</f>
        <v>0</v>
      </c>
      <c r="M7512" s="11" t="e">
        <f t="shared" si="1174"/>
        <v>#DIV/0!</v>
      </c>
      <c r="N7512" s="11" t="e">
        <f t="shared" si="1175"/>
        <v>#N/A</v>
      </c>
      <c r="O7512" s="11" t="e">
        <f t="shared" si="1176"/>
        <v>#N/A</v>
      </c>
      <c r="P7512" s="12" t="e">
        <f t="shared" si="1177"/>
        <v>#N/A</v>
      </c>
      <c r="Q7512" s="17" t="e">
        <f t="shared" si="1179"/>
        <v>#N/A</v>
      </c>
    </row>
    <row r="7513" spans="1:17" x14ac:dyDescent="0.3">
      <c r="A7513" s="34">
        <f>base!J7513</f>
        <v>0</v>
      </c>
      <c r="B7513" s="34">
        <f>base!V7513</f>
        <v>0</v>
      </c>
      <c r="C7513" s="40" t="s">
        <v>11</v>
      </c>
      <c r="D7513" s="36">
        <f>base!H7513</f>
        <v>0</v>
      </c>
      <c r="E7513" s="44"/>
      <c r="F7513" s="16">
        <f>base!W7513</f>
        <v>0</v>
      </c>
      <c r="G7513" s="11" t="e">
        <f t="shared" si="1170"/>
        <v>#DIV/0!</v>
      </c>
      <c r="H7513" s="11" t="e">
        <f t="shared" si="1171"/>
        <v>#N/A</v>
      </c>
      <c r="I7513" s="11" t="e">
        <f t="shared" si="1172"/>
        <v>#N/A</v>
      </c>
      <c r="J7513" s="12" t="e">
        <f t="shared" si="1173"/>
        <v>#N/A</v>
      </c>
      <c r="K7513" s="17" t="e">
        <f t="shared" si="1178"/>
        <v>#N/A</v>
      </c>
      <c r="L7513" s="16">
        <f>base!X7513</f>
        <v>0</v>
      </c>
      <c r="M7513" s="11" t="e">
        <f t="shared" si="1174"/>
        <v>#DIV/0!</v>
      </c>
      <c r="N7513" s="11" t="e">
        <f t="shared" si="1175"/>
        <v>#N/A</v>
      </c>
      <c r="O7513" s="11" t="e">
        <f t="shared" si="1176"/>
        <v>#N/A</v>
      </c>
      <c r="P7513" s="12" t="e">
        <f t="shared" si="1177"/>
        <v>#N/A</v>
      </c>
      <c r="Q7513" s="17" t="e">
        <f t="shared" si="1179"/>
        <v>#N/A</v>
      </c>
    </row>
    <row r="7514" spans="1:17" x14ac:dyDescent="0.3">
      <c r="A7514" s="34">
        <f>base!J7514</f>
        <v>0</v>
      </c>
      <c r="B7514" s="34">
        <f>base!V7514</f>
        <v>0</v>
      </c>
      <c r="C7514" s="40" t="s">
        <v>11</v>
      </c>
      <c r="D7514" s="36">
        <f>base!H7514</f>
        <v>0</v>
      </c>
      <c r="E7514" s="44"/>
      <c r="F7514" s="16">
        <f>base!W7514</f>
        <v>0</v>
      </c>
      <c r="G7514" s="11" t="e">
        <f t="shared" si="1170"/>
        <v>#DIV/0!</v>
      </c>
      <c r="H7514" s="11" t="e">
        <f t="shared" si="1171"/>
        <v>#N/A</v>
      </c>
      <c r="I7514" s="11" t="e">
        <f t="shared" si="1172"/>
        <v>#N/A</v>
      </c>
      <c r="J7514" s="12" t="e">
        <f t="shared" si="1173"/>
        <v>#N/A</v>
      </c>
      <c r="K7514" s="17" t="e">
        <f t="shared" si="1178"/>
        <v>#N/A</v>
      </c>
      <c r="L7514" s="16">
        <f>base!X7514</f>
        <v>0</v>
      </c>
      <c r="M7514" s="11" t="e">
        <f t="shared" si="1174"/>
        <v>#DIV/0!</v>
      </c>
      <c r="N7514" s="11" t="e">
        <f t="shared" si="1175"/>
        <v>#N/A</v>
      </c>
      <c r="O7514" s="11" t="e">
        <f t="shared" si="1176"/>
        <v>#N/A</v>
      </c>
      <c r="P7514" s="12" t="e">
        <f t="shared" si="1177"/>
        <v>#N/A</v>
      </c>
      <c r="Q7514" s="17" t="e">
        <f t="shared" si="1179"/>
        <v>#N/A</v>
      </c>
    </row>
    <row r="7515" spans="1:17" x14ac:dyDescent="0.3">
      <c r="A7515" s="34">
        <f>base!J7515</f>
        <v>0</v>
      </c>
      <c r="B7515" s="34">
        <f>base!V7515</f>
        <v>0</v>
      </c>
      <c r="C7515" s="40" t="s">
        <v>11</v>
      </c>
      <c r="D7515" s="36">
        <f>base!H7515</f>
        <v>0</v>
      </c>
      <c r="E7515" s="44"/>
      <c r="F7515" s="16">
        <f>base!W7515</f>
        <v>0</v>
      </c>
      <c r="G7515" s="11" t="e">
        <f t="shared" si="1170"/>
        <v>#DIV/0!</v>
      </c>
      <c r="H7515" s="11" t="e">
        <f t="shared" si="1171"/>
        <v>#N/A</v>
      </c>
      <c r="I7515" s="11" t="e">
        <f t="shared" si="1172"/>
        <v>#N/A</v>
      </c>
      <c r="J7515" s="12" t="e">
        <f t="shared" si="1173"/>
        <v>#N/A</v>
      </c>
      <c r="K7515" s="17" t="e">
        <f t="shared" si="1178"/>
        <v>#N/A</v>
      </c>
      <c r="L7515" s="16">
        <f>base!X7515</f>
        <v>0</v>
      </c>
      <c r="M7515" s="11" t="e">
        <f t="shared" si="1174"/>
        <v>#DIV/0!</v>
      </c>
      <c r="N7515" s="11" t="e">
        <f t="shared" si="1175"/>
        <v>#N/A</v>
      </c>
      <c r="O7515" s="11" t="e">
        <f t="shared" si="1176"/>
        <v>#N/A</v>
      </c>
      <c r="P7515" s="12" t="e">
        <f t="shared" si="1177"/>
        <v>#N/A</v>
      </c>
      <c r="Q7515" s="17" t="e">
        <f t="shared" si="1179"/>
        <v>#N/A</v>
      </c>
    </row>
    <row r="7516" spans="1:17" x14ac:dyDescent="0.3">
      <c r="A7516" s="34">
        <f>base!J7516</f>
        <v>0</v>
      </c>
      <c r="B7516" s="34">
        <f>base!V7516</f>
        <v>0</v>
      </c>
      <c r="C7516" s="40" t="s">
        <v>11</v>
      </c>
      <c r="D7516" s="36">
        <f>base!H7516</f>
        <v>0</v>
      </c>
      <c r="E7516" s="44"/>
      <c r="F7516" s="16">
        <f>base!W7516</f>
        <v>0</v>
      </c>
      <c r="G7516" s="11" t="e">
        <f t="shared" si="1170"/>
        <v>#DIV/0!</v>
      </c>
      <c r="H7516" s="11" t="e">
        <f t="shared" si="1171"/>
        <v>#N/A</v>
      </c>
      <c r="I7516" s="11" t="e">
        <f t="shared" si="1172"/>
        <v>#N/A</v>
      </c>
      <c r="J7516" s="12" t="e">
        <f t="shared" si="1173"/>
        <v>#N/A</v>
      </c>
      <c r="K7516" s="17" t="e">
        <f t="shared" si="1178"/>
        <v>#N/A</v>
      </c>
      <c r="L7516" s="16">
        <f>base!X7516</f>
        <v>0</v>
      </c>
      <c r="M7516" s="11" t="e">
        <f t="shared" si="1174"/>
        <v>#DIV/0!</v>
      </c>
      <c r="N7516" s="11" t="e">
        <f t="shared" si="1175"/>
        <v>#N/A</v>
      </c>
      <c r="O7516" s="11" t="e">
        <f t="shared" si="1176"/>
        <v>#N/A</v>
      </c>
      <c r="P7516" s="12" t="e">
        <f t="shared" si="1177"/>
        <v>#N/A</v>
      </c>
      <c r="Q7516" s="17" t="e">
        <f t="shared" si="1179"/>
        <v>#N/A</v>
      </c>
    </row>
    <row r="7517" spans="1:17" x14ac:dyDescent="0.3">
      <c r="A7517" s="34">
        <f>base!J7517</f>
        <v>0</v>
      </c>
      <c r="B7517" s="34">
        <f>base!V7517</f>
        <v>0</v>
      </c>
      <c r="C7517" s="40" t="s">
        <v>11</v>
      </c>
      <c r="D7517" s="36">
        <f>base!H7517</f>
        <v>0</v>
      </c>
      <c r="E7517" s="44"/>
      <c r="F7517" s="16">
        <f>base!W7517</f>
        <v>0</v>
      </c>
      <c r="G7517" s="11" t="e">
        <f t="shared" si="1170"/>
        <v>#DIV/0!</v>
      </c>
      <c r="H7517" s="11" t="e">
        <f t="shared" si="1171"/>
        <v>#N/A</v>
      </c>
      <c r="I7517" s="11" t="e">
        <f t="shared" si="1172"/>
        <v>#N/A</v>
      </c>
      <c r="J7517" s="12" t="e">
        <f t="shared" si="1173"/>
        <v>#N/A</v>
      </c>
      <c r="K7517" s="17" t="e">
        <f t="shared" si="1178"/>
        <v>#N/A</v>
      </c>
      <c r="L7517" s="16">
        <f>base!X7517</f>
        <v>0</v>
      </c>
      <c r="M7517" s="11" t="e">
        <f t="shared" si="1174"/>
        <v>#DIV/0!</v>
      </c>
      <c r="N7517" s="11" t="e">
        <f t="shared" si="1175"/>
        <v>#N/A</v>
      </c>
      <c r="O7517" s="11" t="e">
        <f t="shared" si="1176"/>
        <v>#N/A</v>
      </c>
      <c r="P7517" s="12" t="e">
        <f t="shared" si="1177"/>
        <v>#N/A</v>
      </c>
      <c r="Q7517" s="17" t="e">
        <f t="shared" si="1179"/>
        <v>#N/A</v>
      </c>
    </row>
    <row r="7518" spans="1:17" x14ac:dyDescent="0.3">
      <c r="A7518" s="34">
        <f>base!J7518</f>
        <v>0</v>
      </c>
      <c r="B7518" s="34">
        <f>base!V7518</f>
        <v>0</v>
      </c>
      <c r="C7518" s="40" t="s">
        <v>11</v>
      </c>
      <c r="D7518" s="36">
        <f>base!H7518</f>
        <v>0</v>
      </c>
      <c r="E7518" s="44"/>
      <c r="F7518" s="16">
        <f>base!W7518</f>
        <v>0</v>
      </c>
      <c r="G7518" s="11" t="e">
        <f t="shared" si="1170"/>
        <v>#DIV/0!</v>
      </c>
      <c r="H7518" s="11" t="e">
        <f t="shared" si="1171"/>
        <v>#N/A</v>
      </c>
      <c r="I7518" s="11" t="e">
        <f t="shared" si="1172"/>
        <v>#N/A</v>
      </c>
      <c r="J7518" s="12" t="e">
        <f t="shared" si="1173"/>
        <v>#N/A</v>
      </c>
      <c r="K7518" s="17" t="e">
        <f t="shared" si="1178"/>
        <v>#N/A</v>
      </c>
      <c r="L7518" s="16">
        <f>base!X7518</f>
        <v>0</v>
      </c>
      <c r="M7518" s="11" t="e">
        <f t="shared" si="1174"/>
        <v>#DIV/0!</v>
      </c>
      <c r="N7518" s="11" t="e">
        <f t="shared" si="1175"/>
        <v>#N/A</v>
      </c>
      <c r="O7518" s="11" t="e">
        <f t="shared" si="1176"/>
        <v>#N/A</v>
      </c>
      <c r="P7518" s="12" t="e">
        <f t="shared" si="1177"/>
        <v>#N/A</v>
      </c>
      <c r="Q7518" s="17" t="e">
        <f t="shared" si="1179"/>
        <v>#N/A</v>
      </c>
    </row>
    <row r="7519" spans="1:17" x14ac:dyDescent="0.3">
      <c r="A7519" s="34">
        <f>base!J7519</f>
        <v>0</v>
      </c>
      <c r="B7519" s="34">
        <f>base!V7519</f>
        <v>0</v>
      </c>
      <c r="C7519" s="40" t="s">
        <v>11</v>
      </c>
      <c r="D7519" s="36">
        <f>base!H7519</f>
        <v>0</v>
      </c>
      <c r="E7519" s="44"/>
      <c r="F7519" s="16">
        <f>base!W7519</f>
        <v>0</v>
      </c>
      <c r="G7519" s="11" t="e">
        <f t="shared" si="1170"/>
        <v>#DIV/0!</v>
      </c>
      <c r="H7519" s="11" t="e">
        <f t="shared" si="1171"/>
        <v>#N/A</v>
      </c>
      <c r="I7519" s="11" t="e">
        <f t="shared" si="1172"/>
        <v>#N/A</v>
      </c>
      <c r="J7519" s="12" t="e">
        <f t="shared" si="1173"/>
        <v>#N/A</v>
      </c>
      <c r="K7519" s="17" t="e">
        <f t="shared" si="1178"/>
        <v>#N/A</v>
      </c>
      <c r="L7519" s="16">
        <f>base!X7519</f>
        <v>0</v>
      </c>
      <c r="M7519" s="11" t="e">
        <f t="shared" si="1174"/>
        <v>#DIV/0!</v>
      </c>
      <c r="N7519" s="11" t="e">
        <f t="shared" si="1175"/>
        <v>#N/A</v>
      </c>
      <c r="O7519" s="11" t="e">
        <f t="shared" si="1176"/>
        <v>#N/A</v>
      </c>
      <c r="P7519" s="12" t="e">
        <f t="shared" si="1177"/>
        <v>#N/A</v>
      </c>
      <c r="Q7519" s="17" t="e">
        <f t="shared" si="1179"/>
        <v>#N/A</v>
      </c>
    </row>
    <row r="7520" spans="1:17" x14ac:dyDescent="0.3">
      <c r="A7520" s="34">
        <f>base!J7520</f>
        <v>0</v>
      </c>
      <c r="B7520" s="34">
        <f>base!V7520</f>
        <v>0</v>
      </c>
      <c r="C7520" s="40" t="s">
        <v>11</v>
      </c>
      <c r="D7520" s="36">
        <f>base!H7520</f>
        <v>0</v>
      </c>
      <c r="E7520" s="44"/>
      <c r="F7520" s="16">
        <f>base!W7520</f>
        <v>0</v>
      </c>
      <c r="G7520" s="11" t="e">
        <f t="shared" si="1170"/>
        <v>#DIV/0!</v>
      </c>
      <c r="H7520" s="11" t="e">
        <f t="shared" si="1171"/>
        <v>#N/A</v>
      </c>
      <c r="I7520" s="11" t="e">
        <f t="shared" si="1172"/>
        <v>#N/A</v>
      </c>
      <c r="J7520" s="12" t="e">
        <f t="shared" si="1173"/>
        <v>#N/A</v>
      </c>
      <c r="K7520" s="17" t="e">
        <f t="shared" si="1178"/>
        <v>#N/A</v>
      </c>
      <c r="L7520" s="16">
        <f>base!X7520</f>
        <v>0</v>
      </c>
      <c r="M7520" s="11" t="e">
        <f t="shared" si="1174"/>
        <v>#DIV/0!</v>
      </c>
      <c r="N7520" s="11" t="e">
        <f t="shared" si="1175"/>
        <v>#N/A</v>
      </c>
      <c r="O7520" s="11" t="e">
        <f t="shared" si="1176"/>
        <v>#N/A</v>
      </c>
      <c r="P7520" s="12" t="e">
        <f t="shared" si="1177"/>
        <v>#N/A</v>
      </c>
      <c r="Q7520" s="17" t="e">
        <f t="shared" si="1179"/>
        <v>#N/A</v>
      </c>
    </row>
    <row r="7521" spans="1:17" x14ac:dyDescent="0.3">
      <c r="A7521" s="34">
        <f>base!J7521</f>
        <v>0</v>
      </c>
      <c r="B7521" s="34">
        <f>base!V7521</f>
        <v>0</v>
      </c>
      <c r="C7521" s="40" t="s">
        <v>11</v>
      </c>
      <c r="D7521" s="36">
        <f>base!H7521</f>
        <v>0</v>
      </c>
      <c r="E7521" s="44"/>
      <c r="F7521" s="16">
        <f>base!W7521</f>
        <v>0</v>
      </c>
      <c r="G7521" s="11" t="e">
        <f t="shared" si="1170"/>
        <v>#DIV/0!</v>
      </c>
      <c r="H7521" s="11" t="e">
        <f t="shared" si="1171"/>
        <v>#N/A</v>
      </c>
      <c r="I7521" s="11" t="e">
        <f t="shared" si="1172"/>
        <v>#N/A</v>
      </c>
      <c r="J7521" s="12" t="e">
        <f t="shared" si="1173"/>
        <v>#N/A</v>
      </c>
      <c r="K7521" s="17" t="e">
        <f t="shared" si="1178"/>
        <v>#N/A</v>
      </c>
      <c r="L7521" s="16">
        <f>base!X7521</f>
        <v>0</v>
      </c>
      <c r="M7521" s="11" t="e">
        <f t="shared" si="1174"/>
        <v>#DIV/0!</v>
      </c>
      <c r="N7521" s="11" t="e">
        <f t="shared" si="1175"/>
        <v>#N/A</v>
      </c>
      <c r="O7521" s="11" t="e">
        <f t="shared" si="1176"/>
        <v>#N/A</v>
      </c>
      <c r="P7521" s="12" t="e">
        <f t="shared" si="1177"/>
        <v>#N/A</v>
      </c>
      <c r="Q7521" s="17" t="e">
        <f t="shared" si="1179"/>
        <v>#N/A</v>
      </c>
    </row>
    <row r="7522" spans="1:17" x14ac:dyDescent="0.3">
      <c r="A7522" s="34">
        <f>base!J7522</f>
        <v>0</v>
      </c>
      <c r="B7522" s="34">
        <f>base!V7522</f>
        <v>0</v>
      </c>
      <c r="C7522" s="40" t="s">
        <v>11</v>
      </c>
      <c r="D7522" s="36">
        <f>base!H7522</f>
        <v>0</v>
      </c>
      <c r="E7522" s="44"/>
      <c r="F7522" s="16">
        <f>base!W7522</f>
        <v>0</v>
      </c>
      <c r="G7522" s="11" t="e">
        <f t="shared" si="1170"/>
        <v>#DIV/0!</v>
      </c>
      <c r="H7522" s="11" t="e">
        <f t="shared" si="1171"/>
        <v>#N/A</v>
      </c>
      <c r="I7522" s="11" t="e">
        <f t="shared" si="1172"/>
        <v>#N/A</v>
      </c>
      <c r="J7522" s="12" t="e">
        <f t="shared" si="1173"/>
        <v>#N/A</v>
      </c>
      <c r="K7522" s="17" t="e">
        <f t="shared" si="1178"/>
        <v>#N/A</v>
      </c>
      <c r="L7522" s="16">
        <f>base!X7522</f>
        <v>0</v>
      </c>
      <c r="M7522" s="11" t="e">
        <f t="shared" si="1174"/>
        <v>#DIV/0!</v>
      </c>
      <c r="N7522" s="11" t="e">
        <f t="shared" si="1175"/>
        <v>#N/A</v>
      </c>
      <c r="O7522" s="11" t="e">
        <f t="shared" si="1176"/>
        <v>#N/A</v>
      </c>
      <c r="P7522" s="12" t="e">
        <f t="shared" si="1177"/>
        <v>#N/A</v>
      </c>
      <c r="Q7522" s="17" t="e">
        <f t="shared" si="1179"/>
        <v>#N/A</v>
      </c>
    </row>
    <row r="7523" spans="1:17" x14ac:dyDescent="0.3">
      <c r="A7523" s="34">
        <f>base!J7523</f>
        <v>0</v>
      </c>
      <c r="B7523" s="34">
        <f>base!V7523</f>
        <v>0</v>
      </c>
      <c r="C7523" s="40" t="s">
        <v>11</v>
      </c>
      <c r="D7523" s="36">
        <f>base!H7523</f>
        <v>0</v>
      </c>
      <c r="E7523" s="44"/>
      <c r="F7523" s="16">
        <f>base!W7523</f>
        <v>0</v>
      </c>
      <c r="G7523" s="11" t="e">
        <f t="shared" si="1170"/>
        <v>#DIV/0!</v>
      </c>
      <c r="H7523" s="11" t="e">
        <f t="shared" si="1171"/>
        <v>#N/A</v>
      </c>
      <c r="I7523" s="11" t="e">
        <f t="shared" si="1172"/>
        <v>#N/A</v>
      </c>
      <c r="J7523" s="12" t="e">
        <f t="shared" si="1173"/>
        <v>#N/A</v>
      </c>
      <c r="K7523" s="17" t="e">
        <f t="shared" si="1178"/>
        <v>#N/A</v>
      </c>
      <c r="L7523" s="16">
        <f>base!X7523</f>
        <v>0</v>
      </c>
      <c r="M7523" s="11" t="e">
        <f t="shared" si="1174"/>
        <v>#DIV/0!</v>
      </c>
      <c r="N7523" s="11" t="e">
        <f t="shared" si="1175"/>
        <v>#N/A</v>
      </c>
      <c r="O7523" s="11" t="e">
        <f t="shared" si="1176"/>
        <v>#N/A</v>
      </c>
      <c r="P7523" s="12" t="e">
        <f t="shared" si="1177"/>
        <v>#N/A</v>
      </c>
      <c r="Q7523" s="17" t="e">
        <f t="shared" si="1179"/>
        <v>#N/A</v>
      </c>
    </row>
    <row r="7524" spans="1:17" x14ac:dyDescent="0.3">
      <c r="A7524" s="34">
        <f>base!J7524</f>
        <v>0</v>
      </c>
      <c r="B7524" s="34">
        <f>base!V7524</f>
        <v>0</v>
      </c>
      <c r="C7524" s="40" t="s">
        <v>11</v>
      </c>
      <c r="D7524" s="36">
        <f>base!H7524</f>
        <v>0</v>
      </c>
      <c r="E7524" s="44"/>
      <c r="F7524" s="16">
        <f>base!W7524</f>
        <v>0</v>
      </c>
      <c r="G7524" s="11" t="e">
        <f t="shared" si="1170"/>
        <v>#DIV/0!</v>
      </c>
      <c r="H7524" s="11" t="e">
        <f t="shared" si="1171"/>
        <v>#N/A</v>
      </c>
      <c r="I7524" s="11" t="e">
        <f t="shared" si="1172"/>
        <v>#N/A</v>
      </c>
      <c r="J7524" s="12" t="e">
        <f t="shared" si="1173"/>
        <v>#N/A</v>
      </c>
      <c r="K7524" s="17" t="e">
        <f t="shared" si="1178"/>
        <v>#N/A</v>
      </c>
      <c r="L7524" s="16">
        <f>base!X7524</f>
        <v>0</v>
      </c>
      <c r="M7524" s="11" t="e">
        <f t="shared" si="1174"/>
        <v>#DIV/0!</v>
      </c>
      <c r="N7524" s="11" t="e">
        <f t="shared" si="1175"/>
        <v>#N/A</v>
      </c>
      <c r="O7524" s="11" t="e">
        <f t="shared" si="1176"/>
        <v>#N/A</v>
      </c>
      <c r="P7524" s="12" t="e">
        <f t="shared" si="1177"/>
        <v>#N/A</v>
      </c>
      <c r="Q7524" s="17" t="e">
        <f t="shared" si="1179"/>
        <v>#N/A</v>
      </c>
    </row>
    <row r="7525" spans="1:17" x14ac:dyDescent="0.3">
      <c r="A7525" s="34">
        <f>base!J7525</f>
        <v>0</v>
      </c>
      <c r="B7525" s="34">
        <f>base!V7525</f>
        <v>0</v>
      </c>
      <c r="C7525" s="40" t="s">
        <v>11</v>
      </c>
      <c r="D7525" s="36">
        <f>base!H7525</f>
        <v>0</v>
      </c>
      <c r="E7525" s="44"/>
      <c r="F7525" s="16">
        <f>base!W7525</f>
        <v>0</v>
      </c>
      <c r="G7525" s="11" t="e">
        <f t="shared" si="1170"/>
        <v>#DIV/0!</v>
      </c>
      <c r="H7525" s="11" t="e">
        <f t="shared" si="1171"/>
        <v>#N/A</v>
      </c>
      <c r="I7525" s="11" t="e">
        <f t="shared" si="1172"/>
        <v>#N/A</v>
      </c>
      <c r="J7525" s="12" t="e">
        <f t="shared" si="1173"/>
        <v>#N/A</v>
      </c>
      <c r="K7525" s="17" t="e">
        <f t="shared" si="1178"/>
        <v>#N/A</v>
      </c>
      <c r="L7525" s="16">
        <f>base!X7525</f>
        <v>0</v>
      </c>
      <c r="M7525" s="11" t="e">
        <f t="shared" si="1174"/>
        <v>#DIV/0!</v>
      </c>
      <c r="N7525" s="11" t="e">
        <f t="shared" si="1175"/>
        <v>#N/A</v>
      </c>
      <c r="O7525" s="11" t="e">
        <f t="shared" si="1176"/>
        <v>#N/A</v>
      </c>
      <c r="P7525" s="12" t="e">
        <f t="shared" si="1177"/>
        <v>#N/A</v>
      </c>
      <c r="Q7525" s="17" t="e">
        <f t="shared" si="1179"/>
        <v>#N/A</v>
      </c>
    </row>
    <row r="7526" spans="1:17" x14ac:dyDescent="0.3">
      <c r="A7526" s="34">
        <f>base!J7526</f>
        <v>0</v>
      </c>
      <c r="B7526" s="34">
        <f>base!V7526</f>
        <v>0</v>
      </c>
      <c r="C7526" s="40" t="s">
        <v>11</v>
      </c>
      <c r="D7526" s="36">
        <f>base!H7526</f>
        <v>0</v>
      </c>
      <c r="E7526" s="44"/>
      <c r="F7526" s="16">
        <f>base!W7526</f>
        <v>0</v>
      </c>
      <c r="G7526" s="11" t="e">
        <f t="shared" si="1170"/>
        <v>#DIV/0!</v>
      </c>
      <c r="H7526" s="11" t="e">
        <f t="shared" si="1171"/>
        <v>#N/A</v>
      </c>
      <c r="I7526" s="11" t="e">
        <f t="shared" si="1172"/>
        <v>#N/A</v>
      </c>
      <c r="J7526" s="12" t="e">
        <f t="shared" si="1173"/>
        <v>#N/A</v>
      </c>
      <c r="K7526" s="17" t="e">
        <f t="shared" si="1178"/>
        <v>#N/A</v>
      </c>
      <c r="L7526" s="16">
        <f>base!X7526</f>
        <v>0</v>
      </c>
      <c r="M7526" s="11" t="e">
        <f t="shared" si="1174"/>
        <v>#DIV/0!</v>
      </c>
      <c r="N7526" s="11" t="e">
        <f t="shared" si="1175"/>
        <v>#N/A</v>
      </c>
      <c r="O7526" s="11" t="e">
        <f t="shared" si="1176"/>
        <v>#N/A</v>
      </c>
      <c r="P7526" s="12" t="e">
        <f t="shared" si="1177"/>
        <v>#N/A</v>
      </c>
      <c r="Q7526" s="17" t="e">
        <f t="shared" si="1179"/>
        <v>#N/A</v>
      </c>
    </row>
    <row r="7527" spans="1:17" x14ac:dyDescent="0.3">
      <c r="A7527" s="34">
        <f>base!J7527</f>
        <v>0</v>
      </c>
      <c r="B7527" s="34">
        <f>base!V7527</f>
        <v>0</v>
      </c>
      <c r="C7527" s="40" t="s">
        <v>11</v>
      </c>
      <c r="D7527" s="36">
        <f>base!H7527</f>
        <v>0</v>
      </c>
      <c r="E7527" s="44"/>
      <c r="F7527" s="16">
        <f>base!W7527</f>
        <v>0</v>
      </c>
      <c r="G7527" s="11" t="e">
        <f t="shared" si="1170"/>
        <v>#DIV/0!</v>
      </c>
      <c r="H7527" s="11" t="e">
        <f t="shared" si="1171"/>
        <v>#N/A</v>
      </c>
      <c r="I7527" s="11" t="e">
        <f t="shared" si="1172"/>
        <v>#N/A</v>
      </c>
      <c r="J7527" s="12" t="e">
        <f t="shared" si="1173"/>
        <v>#N/A</v>
      </c>
      <c r="K7527" s="17" t="e">
        <f t="shared" si="1178"/>
        <v>#N/A</v>
      </c>
      <c r="L7527" s="16">
        <f>base!X7527</f>
        <v>0</v>
      </c>
      <c r="M7527" s="11" t="e">
        <f t="shared" si="1174"/>
        <v>#DIV/0!</v>
      </c>
      <c r="N7527" s="11" t="e">
        <f t="shared" si="1175"/>
        <v>#N/A</v>
      </c>
      <c r="O7527" s="11" t="e">
        <f t="shared" si="1176"/>
        <v>#N/A</v>
      </c>
      <c r="P7527" s="12" t="e">
        <f t="shared" si="1177"/>
        <v>#N/A</v>
      </c>
      <c r="Q7527" s="17" t="e">
        <f t="shared" si="1179"/>
        <v>#N/A</v>
      </c>
    </row>
    <row r="7528" spans="1:17" x14ac:dyDescent="0.3">
      <c r="A7528" s="34">
        <f>base!J7528</f>
        <v>0</v>
      </c>
      <c r="B7528" s="34">
        <f>base!V7528</f>
        <v>0</v>
      </c>
      <c r="C7528" s="40" t="s">
        <v>11</v>
      </c>
      <c r="D7528" s="36">
        <f>base!H7528</f>
        <v>0</v>
      </c>
      <c r="E7528" s="44"/>
      <c r="F7528" s="16">
        <f>base!W7528</f>
        <v>0</v>
      </c>
      <c r="G7528" s="11" t="e">
        <f t="shared" si="1170"/>
        <v>#DIV/0!</v>
      </c>
      <c r="H7528" s="11" t="e">
        <f t="shared" si="1171"/>
        <v>#N/A</v>
      </c>
      <c r="I7528" s="11" t="e">
        <f t="shared" si="1172"/>
        <v>#N/A</v>
      </c>
      <c r="J7528" s="12" t="e">
        <f t="shared" si="1173"/>
        <v>#N/A</v>
      </c>
      <c r="K7528" s="17" t="e">
        <f t="shared" si="1178"/>
        <v>#N/A</v>
      </c>
      <c r="L7528" s="16">
        <f>base!X7528</f>
        <v>0</v>
      </c>
      <c r="M7528" s="11" t="e">
        <f t="shared" si="1174"/>
        <v>#DIV/0!</v>
      </c>
      <c r="N7528" s="11" t="e">
        <f t="shared" si="1175"/>
        <v>#N/A</v>
      </c>
      <c r="O7528" s="11" t="e">
        <f t="shared" si="1176"/>
        <v>#N/A</v>
      </c>
      <c r="P7528" s="12" t="e">
        <f t="shared" si="1177"/>
        <v>#N/A</v>
      </c>
      <c r="Q7528" s="17" t="e">
        <f t="shared" si="1179"/>
        <v>#N/A</v>
      </c>
    </row>
    <row r="7529" spans="1:17" x14ac:dyDescent="0.3">
      <c r="A7529" s="34">
        <f>base!J7529</f>
        <v>0</v>
      </c>
      <c r="B7529" s="34">
        <f>base!V7529</f>
        <v>0</v>
      </c>
      <c r="C7529" s="40" t="s">
        <v>11</v>
      </c>
      <c r="D7529" s="36">
        <f>base!H7529</f>
        <v>0</v>
      </c>
      <c r="E7529" s="44"/>
      <c r="F7529" s="16">
        <f>base!W7529</f>
        <v>0</v>
      </c>
      <c r="G7529" s="11" t="e">
        <f t="shared" si="1170"/>
        <v>#DIV/0!</v>
      </c>
      <c r="H7529" s="11" t="e">
        <f t="shared" si="1171"/>
        <v>#N/A</v>
      </c>
      <c r="I7529" s="11" t="e">
        <f t="shared" si="1172"/>
        <v>#N/A</v>
      </c>
      <c r="J7529" s="12" t="e">
        <f t="shared" si="1173"/>
        <v>#N/A</v>
      </c>
      <c r="K7529" s="17" t="e">
        <f t="shared" si="1178"/>
        <v>#N/A</v>
      </c>
      <c r="L7529" s="16">
        <f>base!X7529</f>
        <v>0</v>
      </c>
      <c r="M7529" s="11" t="e">
        <f t="shared" si="1174"/>
        <v>#DIV/0!</v>
      </c>
      <c r="N7529" s="11" t="e">
        <f t="shared" si="1175"/>
        <v>#N/A</v>
      </c>
      <c r="O7529" s="11" t="e">
        <f t="shared" si="1176"/>
        <v>#N/A</v>
      </c>
      <c r="P7529" s="12" t="e">
        <f t="shared" si="1177"/>
        <v>#N/A</v>
      </c>
      <c r="Q7529" s="17" t="e">
        <f t="shared" si="1179"/>
        <v>#N/A</v>
      </c>
    </row>
    <row r="7530" spans="1:17" x14ac:dyDescent="0.3">
      <c r="A7530" s="34">
        <f>base!J7530</f>
        <v>0</v>
      </c>
      <c r="B7530" s="34">
        <f>base!V7530</f>
        <v>0</v>
      </c>
      <c r="C7530" s="40" t="s">
        <v>11</v>
      </c>
      <c r="D7530" s="36">
        <f>base!H7530</f>
        <v>0</v>
      </c>
      <c r="E7530" s="44"/>
      <c r="F7530" s="16">
        <f>base!W7530</f>
        <v>0</v>
      </c>
      <c r="G7530" s="11" t="e">
        <f t="shared" si="1170"/>
        <v>#DIV/0!</v>
      </c>
      <c r="H7530" s="11" t="e">
        <f t="shared" si="1171"/>
        <v>#N/A</v>
      </c>
      <c r="I7530" s="11" t="e">
        <f t="shared" si="1172"/>
        <v>#N/A</v>
      </c>
      <c r="J7530" s="12" t="e">
        <f t="shared" si="1173"/>
        <v>#N/A</v>
      </c>
      <c r="K7530" s="17" t="e">
        <f t="shared" si="1178"/>
        <v>#N/A</v>
      </c>
      <c r="L7530" s="16">
        <f>base!X7530</f>
        <v>0</v>
      </c>
      <c r="M7530" s="11" t="e">
        <f t="shared" si="1174"/>
        <v>#DIV/0!</v>
      </c>
      <c r="N7530" s="11" t="e">
        <f t="shared" si="1175"/>
        <v>#N/A</v>
      </c>
      <c r="O7530" s="11" t="e">
        <f t="shared" si="1176"/>
        <v>#N/A</v>
      </c>
      <c r="P7530" s="12" t="e">
        <f t="shared" si="1177"/>
        <v>#N/A</v>
      </c>
      <c r="Q7530" s="17" t="e">
        <f t="shared" si="1179"/>
        <v>#N/A</v>
      </c>
    </row>
    <row r="7531" spans="1:17" x14ac:dyDescent="0.3">
      <c r="A7531" s="34">
        <f>base!J7531</f>
        <v>0</v>
      </c>
      <c r="B7531" s="34">
        <f>base!V7531</f>
        <v>0</v>
      </c>
      <c r="C7531" s="40" t="s">
        <v>11</v>
      </c>
      <c r="D7531" s="36">
        <f>base!H7531</f>
        <v>0</v>
      </c>
      <c r="E7531" s="44"/>
      <c r="F7531" s="16">
        <f>base!W7531</f>
        <v>0</v>
      </c>
      <c r="G7531" s="11" t="e">
        <f t="shared" si="1170"/>
        <v>#DIV/0!</v>
      </c>
      <c r="H7531" s="11" t="e">
        <f t="shared" si="1171"/>
        <v>#N/A</v>
      </c>
      <c r="I7531" s="11" t="e">
        <f t="shared" si="1172"/>
        <v>#N/A</v>
      </c>
      <c r="J7531" s="12" t="e">
        <f t="shared" si="1173"/>
        <v>#N/A</v>
      </c>
      <c r="K7531" s="17" t="e">
        <f t="shared" si="1178"/>
        <v>#N/A</v>
      </c>
      <c r="L7531" s="16">
        <f>base!X7531</f>
        <v>0</v>
      </c>
      <c r="M7531" s="11" t="e">
        <f t="shared" si="1174"/>
        <v>#DIV/0!</v>
      </c>
      <c r="N7531" s="11" t="e">
        <f t="shared" si="1175"/>
        <v>#N/A</v>
      </c>
      <c r="O7531" s="11" t="e">
        <f t="shared" si="1176"/>
        <v>#N/A</v>
      </c>
      <c r="P7531" s="12" t="e">
        <f t="shared" si="1177"/>
        <v>#N/A</v>
      </c>
      <c r="Q7531" s="17" t="e">
        <f t="shared" si="1179"/>
        <v>#N/A</v>
      </c>
    </row>
    <row r="7532" spans="1:17" x14ac:dyDescent="0.3">
      <c r="A7532" s="34">
        <f>base!J7532</f>
        <v>0</v>
      </c>
      <c r="B7532" s="34">
        <f>base!V7532</f>
        <v>0</v>
      </c>
      <c r="C7532" s="40" t="s">
        <v>11</v>
      </c>
      <c r="D7532" s="36">
        <f>base!H7532</f>
        <v>0</v>
      </c>
      <c r="E7532" s="44"/>
      <c r="F7532" s="16">
        <f>base!W7532</f>
        <v>0</v>
      </c>
      <c r="G7532" s="11" t="e">
        <f t="shared" si="1170"/>
        <v>#DIV/0!</v>
      </c>
      <c r="H7532" s="11" t="e">
        <f t="shared" si="1171"/>
        <v>#N/A</v>
      </c>
      <c r="I7532" s="11" t="e">
        <f t="shared" si="1172"/>
        <v>#N/A</v>
      </c>
      <c r="J7532" s="12" t="e">
        <f t="shared" si="1173"/>
        <v>#N/A</v>
      </c>
      <c r="K7532" s="17" t="e">
        <f t="shared" si="1178"/>
        <v>#N/A</v>
      </c>
      <c r="L7532" s="16">
        <f>base!X7532</f>
        <v>0</v>
      </c>
      <c r="M7532" s="11" t="e">
        <f t="shared" si="1174"/>
        <v>#DIV/0!</v>
      </c>
      <c r="N7532" s="11" t="e">
        <f t="shared" si="1175"/>
        <v>#N/A</v>
      </c>
      <c r="O7532" s="11" t="e">
        <f t="shared" si="1176"/>
        <v>#N/A</v>
      </c>
      <c r="P7532" s="12" t="e">
        <f t="shared" si="1177"/>
        <v>#N/A</v>
      </c>
      <c r="Q7532" s="17" t="e">
        <f t="shared" si="1179"/>
        <v>#N/A</v>
      </c>
    </row>
    <row r="7533" spans="1:17" x14ac:dyDescent="0.3">
      <c r="A7533" s="34">
        <f>base!J7533</f>
        <v>0</v>
      </c>
      <c r="B7533" s="34">
        <f>base!V7533</f>
        <v>0</v>
      </c>
      <c r="C7533" s="40" t="s">
        <v>11</v>
      </c>
      <c r="D7533" s="36">
        <f>base!H7533</f>
        <v>0</v>
      </c>
      <c r="E7533" s="44"/>
      <c r="F7533" s="16">
        <f>base!W7533</f>
        <v>0</v>
      </c>
      <c r="G7533" s="11" t="e">
        <f t="shared" si="1170"/>
        <v>#DIV/0!</v>
      </c>
      <c r="H7533" s="11" t="e">
        <f t="shared" si="1171"/>
        <v>#N/A</v>
      </c>
      <c r="I7533" s="11" t="e">
        <f t="shared" si="1172"/>
        <v>#N/A</v>
      </c>
      <c r="J7533" s="12" t="e">
        <f t="shared" si="1173"/>
        <v>#N/A</v>
      </c>
      <c r="K7533" s="17" t="e">
        <f t="shared" si="1178"/>
        <v>#N/A</v>
      </c>
      <c r="L7533" s="16">
        <f>base!X7533</f>
        <v>0</v>
      </c>
      <c r="M7533" s="11" t="e">
        <f t="shared" si="1174"/>
        <v>#DIV/0!</v>
      </c>
      <c r="N7533" s="11" t="e">
        <f t="shared" si="1175"/>
        <v>#N/A</v>
      </c>
      <c r="O7533" s="11" t="e">
        <f t="shared" si="1176"/>
        <v>#N/A</v>
      </c>
      <c r="P7533" s="12" t="e">
        <f t="shared" si="1177"/>
        <v>#N/A</v>
      </c>
      <c r="Q7533" s="17" t="e">
        <f t="shared" si="1179"/>
        <v>#N/A</v>
      </c>
    </row>
    <row r="7534" spans="1:17" x14ac:dyDescent="0.3">
      <c r="A7534" s="34">
        <f>base!J7534</f>
        <v>0</v>
      </c>
      <c r="B7534" s="34">
        <f>base!V7534</f>
        <v>0</v>
      </c>
      <c r="C7534" s="40" t="s">
        <v>11</v>
      </c>
      <c r="D7534" s="36">
        <f>base!H7534</f>
        <v>0</v>
      </c>
      <c r="E7534" s="44"/>
      <c r="F7534" s="16">
        <f>base!W7534</f>
        <v>0</v>
      </c>
      <c r="G7534" s="11" t="e">
        <f t="shared" si="1170"/>
        <v>#DIV/0!</v>
      </c>
      <c r="H7534" s="11" t="e">
        <f t="shared" si="1171"/>
        <v>#N/A</v>
      </c>
      <c r="I7534" s="11" t="e">
        <f t="shared" si="1172"/>
        <v>#N/A</v>
      </c>
      <c r="J7534" s="12" t="e">
        <f t="shared" si="1173"/>
        <v>#N/A</v>
      </c>
      <c r="K7534" s="17" t="e">
        <f t="shared" si="1178"/>
        <v>#N/A</v>
      </c>
      <c r="L7534" s="16">
        <f>base!X7534</f>
        <v>0</v>
      </c>
      <c r="M7534" s="11" t="e">
        <f t="shared" si="1174"/>
        <v>#DIV/0!</v>
      </c>
      <c r="N7534" s="11" t="e">
        <f t="shared" si="1175"/>
        <v>#N/A</v>
      </c>
      <c r="O7534" s="11" t="e">
        <f t="shared" si="1176"/>
        <v>#N/A</v>
      </c>
      <c r="P7534" s="12" t="e">
        <f t="shared" si="1177"/>
        <v>#N/A</v>
      </c>
      <c r="Q7534" s="17" t="e">
        <f t="shared" si="1179"/>
        <v>#N/A</v>
      </c>
    </row>
    <row r="7535" spans="1:17" x14ac:dyDescent="0.3">
      <c r="A7535" s="34">
        <f>base!J7535</f>
        <v>0</v>
      </c>
      <c r="B7535" s="34">
        <f>base!V7535</f>
        <v>0</v>
      </c>
      <c r="C7535" s="40" t="s">
        <v>11</v>
      </c>
      <c r="D7535" s="36">
        <f>base!H7535</f>
        <v>0</v>
      </c>
      <c r="E7535" s="44"/>
      <c r="F7535" s="16">
        <f>base!W7535</f>
        <v>0</v>
      </c>
      <c r="G7535" s="11" t="e">
        <f t="shared" si="1170"/>
        <v>#DIV/0!</v>
      </c>
      <c r="H7535" s="11" t="e">
        <f t="shared" si="1171"/>
        <v>#N/A</v>
      </c>
      <c r="I7535" s="11" t="e">
        <f t="shared" si="1172"/>
        <v>#N/A</v>
      </c>
      <c r="J7535" s="12" t="e">
        <f t="shared" si="1173"/>
        <v>#N/A</v>
      </c>
      <c r="K7535" s="17" t="e">
        <f t="shared" si="1178"/>
        <v>#N/A</v>
      </c>
      <c r="L7535" s="16">
        <f>base!X7535</f>
        <v>0</v>
      </c>
      <c r="M7535" s="11" t="e">
        <f t="shared" si="1174"/>
        <v>#DIV/0!</v>
      </c>
      <c r="N7535" s="11" t="e">
        <f t="shared" si="1175"/>
        <v>#N/A</v>
      </c>
      <c r="O7535" s="11" t="e">
        <f t="shared" si="1176"/>
        <v>#N/A</v>
      </c>
      <c r="P7535" s="12" t="e">
        <f t="shared" si="1177"/>
        <v>#N/A</v>
      </c>
      <c r="Q7535" s="17" t="e">
        <f t="shared" si="1179"/>
        <v>#N/A</v>
      </c>
    </row>
    <row r="7536" spans="1:17" x14ac:dyDescent="0.3">
      <c r="A7536" s="34">
        <f>base!J7536</f>
        <v>0</v>
      </c>
      <c r="B7536" s="34">
        <f>base!V7536</f>
        <v>0</v>
      </c>
      <c r="C7536" s="40" t="s">
        <v>11</v>
      </c>
      <c r="D7536" s="36">
        <f>base!H7536</f>
        <v>0</v>
      </c>
      <c r="E7536" s="44"/>
      <c r="F7536" s="16">
        <f>base!W7536</f>
        <v>0</v>
      </c>
      <c r="G7536" s="11" t="e">
        <f t="shared" si="1170"/>
        <v>#DIV/0!</v>
      </c>
      <c r="H7536" s="11" t="e">
        <f t="shared" si="1171"/>
        <v>#N/A</v>
      </c>
      <c r="I7536" s="11" t="e">
        <f t="shared" si="1172"/>
        <v>#N/A</v>
      </c>
      <c r="J7536" s="12" t="e">
        <f t="shared" si="1173"/>
        <v>#N/A</v>
      </c>
      <c r="K7536" s="17" t="e">
        <f t="shared" si="1178"/>
        <v>#N/A</v>
      </c>
      <c r="L7536" s="16">
        <f>base!X7536</f>
        <v>0</v>
      </c>
      <c r="M7536" s="11" t="e">
        <f t="shared" si="1174"/>
        <v>#DIV/0!</v>
      </c>
      <c r="N7536" s="11" t="e">
        <f t="shared" si="1175"/>
        <v>#N/A</v>
      </c>
      <c r="O7536" s="11" t="e">
        <f t="shared" si="1176"/>
        <v>#N/A</v>
      </c>
      <c r="P7536" s="12" t="e">
        <f t="shared" si="1177"/>
        <v>#N/A</v>
      </c>
      <c r="Q7536" s="17" t="e">
        <f t="shared" si="1179"/>
        <v>#N/A</v>
      </c>
    </row>
    <row r="7537" spans="1:17" x14ac:dyDescent="0.3">
      <c r="A7537" s="34">
        <f>base!J7537</f>
        <v>0</v>
      </c>
      <c r="B7537" s="34">
        <f>base!V7537</f>
        <v>0</v>
      </c>
      <c r="C7537" s="40" t="s">
        <v>11</v>
      </c>
      <c r="D7537" s="36">
        <f>base!H7537</f>
        <v>0</v>
      </c>
      <c r="E7537" s="44"/>
      <c r="F7537" s="16">
        <f>base!W7537</f>
        <v>0</v>
      </c>
      <c r="G7537" s="11" t="e">
        <f t="shared" si="1170"/>
        <v>#DIV/0!</v>
      </c>
      <c r="H7537" s="11" t="e">
        <f t="shared" si="1171"/>
        <v>#N/A</v>
      </c>
      <c r="I7537" s="11" t="e">
        <f t="shared" si="1172"/>
        <v>#N/A</v>
      </c>
      <c r="J7537" s="12" t="e">
        <f t="shared" si="1173"/>
        <v>#N/A</v>
      </c>
      <c r="K7537" s="17" t="e">
        <f t="shared" si="1178"/>
        <v>#N/A</v>
      </c>
      <c r="L7537" s="16">
        <f>base!X7537</f>
        <v>0</v>
      </c>
      <c r="M7537" s="11" t="e">
        <f t="shared" si="1174"/>
        <v>#DIV/0!</v>
      </c>
      <c r="N7537" s="11" t="e">
        <f t="shared" si="1175"/>
        <v>#N/A</v>
      </c>
      <c r="O7537" s="11" t="e">
        <f t="shared" si="1176"/>
        <v>#N/A</v>
      </c>
      <c r="P7537" s="12" t="e">
        <f t="shared" si="1177"/>
        <v>#N/A</v>
      </c>
      <c r="Q7537" s="17" t="e">
        <f t="shared" si="1179"/>
        <v>#N/A</v>
      </c>
    </row>
    <row r="7538" spans="1:17" x14ac:dyDescent="0.3">
      <c r="A7538" s="34">
        <f>base!J7538</f>
        <v>0</v>
      </c>
      <c r="B7538" s="34">
        <f>base!V7538</f>
        <v>0</v>
      </c>
      <c r="C7538" s="40" t="s">
        <v>11</v>
      </c>
      <c r="D7538" s="36">
        <f>base!H7538</f>
        <v>0</v>
      </c>
      <c r="E7538" s="44"/>
      <c r="F7538" s="16">
        <f>base!W7538</f>
        <v>0</v>
      </c>
      <c r="G7538" s="11" t="e">
        <f t="shared" si="1170"/>
        <v>#DIV/0!</v>
      </c>
      <c r="H7538" s="11" t="e">
        <f t="shared" si="1171"/>
        <v>#N/A</v>
      </c>
      <c r="I7538" s="11" t="e">
        <f t="shared" si="1172"/>
        <v>#N/A</v>
      </c>
      <c r="J7538" s="12" t="e">
        <f t="shared" si="1173"/>
        <v>#N/A</v>
      </c>
      <c r="K7538" s="17" t="e">
        <f t="shared" si="1178"/>
        <v>#N/A</v>
      </c>
      <c r="L7538" s="16">
        <f>base!X7538</f>
        <v>0</v>
      </c>
      <c r="M7538" s="11" t="e">
        <f t="shared" si="1174"/>
        <v>#DIV/0!</v>
      </c>
      <c r="N7538" s="11" t="e">
        <f t="shared" si="1175"/>
        <v>#N/A</v>
      </c>
      <c r="O7538" s="11" t="e">
        <f t="shared" si="1176"/>
        <v>#N/A</v>
      </c>
      <c r="P7538" s="12" t="e">
        <f t="shared" si="1177"/>
        <v>#N/A</v>
      </c>
      <c r="Q7538" s="17" t="e">
        <f t="shared" si="1179"/>
        <v>#N/A</v>
      </c>
    </row>
    <row r="7539" spans="1:17" x14ac:dyDescent="0.3">
      <c r="A7539" s="34">
        <f>base!J7539</f>
        <v>0</v>
      </c>
      <c r="B7539" s="34">
        <f>base!V7539</f>
        <v>0</v>
      </c>
      <c r="C7539" s="40" t="s">
        <v>11</v>
      </c>
      <c r="D7539" s="36">
        <f>base!H7539</f>
        <v>0</v>
      </c>
      <c r="E7539" s="44"/>
      <c r="F7539" s="16">
        <f>base!W7539</f>
        <v>0</v>
      </c>
      <c r="G7539" s="11" t="e">
        <f t="shared" si="1170"/>
        <v>#DIV/0!</v>
      </c>
      <c r="H7539" s="11" t="e">
        <f t="shared" si="1171"/>
        <v>#N/A</v>
      </c>
      <c r="I7539" s="11" t="e">
        <f t="shared" si="1172"/>
        <v>#N/A</v>
      </c>
      <c r="J7539" s="12" t="e">
        <f t="shared" si="1173"/>
        <v>#N/A</v>
      </c>
      <c r="K7539" s="17" t="e">
        <f t="shared" si="1178"/>
        <v>#N/A</v>
      </c>
      <c r="L7539" s="16">
        <f>base!X7539</f>
        <v>0</v>
      </c>
      <c r="M7539" s="11" t="e">
        <f t="shared" si="1174"/>
        <v>#DIV/0!</v>
      </c>
      <c r="N7539" s="11" t="e">
        <f t="shared" si="1175"/>
        <v>#N/A</v>
      </c>
      <c r="O7539" s="11" t="e">
        <f t="shared" si="1176"/>
        <v>#N/A</v>
      </c>
      <c r="P7539" s="12" t="e">
        <f t="shared" si="1177"/>
        <v>#N/A</v>
      </c>
      <c r="Q7539" s="17" t="e">
        <f t="shared" si="1179"/>
        <v>#N/A</v>
      </c>
    </row>
    <row r="7540" spans="1:17" x14ac:dyDescent="0.3">
      <c r="A7540" s="34">
        <f>base!J7540</f>
        <v>0</v>
      </c>
      <c r="B7540" s="34">
        <f>base!V7540</f>
        <v>0</v>
      </c>
      <c r="C7540" s="40" t="s">
        <v>11</v>
      </c>
      <c r="D7540" s="36">
        <f>base!H7540</f>
        <v>0</v>
      </c>
      <c r="E7540" s="44"/>
      <c r="F7540" s="16">
        <f>base!W7540</f>
        <v>0</v>
      </c>
      <c r="G7540" s="11" t="e">
        <f t="shared" si="1170"/>
        <v>#DIV/0!</v>
      </c>
      <c r="H7540" s="11" t="e">
        <f t="shared" si="1171"/>
        <v>#N/A</v>
      </c>
      <c r="I7540" s="11" t="e">
        <f t="shared" si="1172"/>
        <v>#N/A</v>
      </c>
      <c r="J7540" s="12" t="e">
        <f t="shared" si="1173"/>
        <v>#N/A</v>
      </c>
      <c r="K7540" s="17" t="e">
        <f t="shared" si="1178"/>
        <v>#N/A</v>
      </c>
      <c r="L7540" s="16">
        <f>base!X7540</f>
        <v>0</v>
      </c>
      <c r="M7540" s="11" t="e">
        <f t="shared" si="1174"/>
        <v>#DIV/0!</v>
      </c>
      <c r="N7540" s="11" t="e">
        <f t="shared" si="1175"/>
        <v>#N/A</v>
      </c>
      <c r="O7540" s="11" t="e">
        <f t="shared" si="1176"/>
        <v>#N/A</v>
      </c>
      <c r="P7540" s="12" t="e">
        <f t="shared" si="1177"/>
        <v>#N/A</v>
      </c>
      <c r="Q7540" s="17" t="e">
        <f t="shared" si="1179"/>
        <v>#N/A</v>
      </c>
    </row>
    <row r="7541" spans="1:17" x14ac:dyDescent="0.3">
      <c r="A7541" s="34">
        <f>base!J7541</f>
        <v>0</v>
      </c>
      <c r="B7541" s="34">
        <f>base!V7541</f>
        <v>0</v>
      </c>
      <c r="C7541" s="40" t="s">
        <v>11</v>
      </c>
      <c r="D7541" s="36">
        <f>base!H7541</f>
        <v>0</v>
      </c>
      <c r="E7541" s="44"/>
      <c r="F7541" s="16">
        <f>base!W7541</f>
        <v>0</v>
      </c>
      <c r="G7541" s="11" t="e">
        <f t="shared" si="1170"/>
        <v>#DIV/0!</v>
      </c>
      <c r="H7541" s="11" t="e">
        <f t="shared" si="1171"/>
        <v>#N/A</v>
      </c>
      <c r="I7541" s="11" t="e">
        <f t="shared" si="1172"/>
        <v>#N/A</v>
      </c>
      <c r="J7541" s="12" t="e">
        <f t="shared" si="1173"/>
        <v>#N/A</v>
      </c>
      <c r="K7541" s="17" t="e">
        <f t="shared" si="1178"/>
        <v>#N/A</v>
      </c>
      <c r="L7541" s="16">
        <f>base!X7541</f>
        <v>0</v>
      </c>
      <c r="M7541" s="11" t="e">
        <f t="shared" si="1174"/>
        <v>#DIV/0!</v>
      </c>
      <c r="N7541" s="11" t="e">
        <f t="shared" si="1175"/>
        <v>#N/A</v>
      </c>
      <c r="O7541" s="11" t="e">
        <f t="shared" si="1176"/>
        <v>#N/A</v>
      </c>
      <c r="P7541" s="12" t="e">
        <f t="shared" si="1177"/>
        <v>#N/A</v>
      </c>
      <c r="Q7541" s="17" t="e">
        <f t="shared" si="1179"/>
        <v>#N/A</v>
      </c>
    </row>
    <row r="7542" spans="1:17" x14ac:dyDescent="0.3">
      <c r="A7542" s="34">
        <f>base!J7542</f>
        <v>0</v>
      </c>
      <c r="B7542" s="34">
        <f>base!V7542</f>
        <v>0</v>
      </c>
      <c r="C7542" s="40" t="s">
        <v>11</v>
      </c>
      <c r="D7542" s="36">
        <f>base!H7542</f>
        <v>0</v>
      </c>
      <c r="E7542" s="44"/>
      <c r="F7542" s="16">
        <f>base!W7542</f>
        <v>0</v>
      </c>
      <c r="G7542" s="11" t="e">
        <f t="shared" si="1170"/>
        <v>#DIV/0!</v>
      </c>
      <c r="H7542" s="11" t="e">
        <f t="shared" si="1171"/>
        <v>#N/A</v>
      </c>
      <c r="I7542" s="11" t="e">
        <f t="shared" si="1172"/>
        <v>#N/A</v>
      </c>
      <c r="J7542" s="12" t="e">
        <f t="shared" si="1173"/>
        <v>#N/A</v>
      </c>
      <c r="K7542" s="17" t="e">
        <f t="shared" si="1178"/>
        <v>#N/A</v>
      </c>
      <c r="L7542" s="16">
        <f>base!X7542</f>
        <v>0</v>
      </c>
      <c r="M7542" s="11" t="e">
        <f t="shared" si="1174"/>
        <v>#DIV/0!</v>
      </c>
      <c r="N7542" s="11" t="e">
        <f t="shared" si="1175"/>
        <v>#N/A</v>
      </c>
      <c r="O7542" s="11" t="e">
        <f t="shared" si="1176"/>
        <v>#N/A</v>
      </c>
      <c r="P7542" s="12" t="e">
        <f t="shared" si="1177"/>
        <v>#N/A</v>
      </c>
      <c r="Q7542" s="17" t="e">
        <f t="shared" si="1179"/>
        <v>#N/A</v>
      </c>
    </row>
    <row r="7543" spans="1:17" x14ac:dyDescent="0.3">
      <c r="A7543" s="34">
        <f>base!J7543</f>
        <v>0</v>
      </c>
      <c r="B7543" s="34">
        <f>base!V7543</f>
        <v>0</v>
      </c>
      <c r="C7543" s="40" t="s">
        <v>11</v>
      </c>
      <c r="D7543" s="36">
        <f>base!H7543</f>
        <v>0</v>
      </c>
      <c r="E7543" s="44"/>
      <c r="F7543" s="16">
        <f>base!W7543</f>
        <v>0</v>
      </c>
      <c r="G7543" s="11" t="e">
        <f t="shared" si="1170"/>
        <v>#DIV/0!</v>
      </c>
      <c r="H7543" s="11" t="e">
        <f t="shared" si="1171"/>
        <v>#N/A</v>
      </c>
      <c r="I7543" s="11" t="e">
        <f t="shared" si="1172"/>
        <v>#N/A</v>
      </c>
      <c r="J7543" s="12" t="e">
        <f t="shared" si="1173"/>
        <v>#N/A</v>
      </c>
      <c r="K7543" s="17" t="e">
        <f t="shared" si="1178"/>
        <v>#N/A</v>
      </c>
      <c r="L7543" s="16">
        <f>base!X7543</f>
        <v>0</v>
      </c>
      <c r="M7543" s="11" t="e">
        <f t="shared" si="1174"/>
        <v>#DIV/0!</v>
      </c>
      <c r="N7543" s="11" t="e">
        <f t="shared" si="1175"/>
        <v>#N/A</v>
      </c>
      <c r="O7543" s="11" t="e">
        <f t="shared" si="1176"/>
        <v>#N/A</v>
      </c>
      <c r="P7543" s="12" t="e">
        <f t="shared" si="1177"/>
        <v>#N/A</v>
      </c>
      <c r="Q7543" s="17" t="e">
        <f t="shared" si="1179"/>
        <v>#N/A</v>
      </c>
    </row>
    <row r="7544" spans="1:17" x14ac:dyDescent="0.3">
      <c r="A7544" s="34">
        <f>base!J7544</f>
        <v>0</v>
      </c>
      <c r="B7544" s="34">
        <f>base!V7544</f>
        <v>0</v>
      </c>
      <c r="C7544" s="40" t="s">
        <v>11</v>
      </c>
      <c r="D7544" s="36">
        <f>base!H7544</f>
        <v>0</v>
      </c>
      <c r="E7544" s="44"/>
      <c r="F7544" s="16">
        <f>base!W7544</f>
        <v>0</v>
      </c>
      <c r="G7544" s="11" t="e">
        <f t="shared" si="1170"/>
        <v>#DIV/0!</v>
      </c>
      <c r="H7544" s="11" t="e">
        <f t="shared" si="1171"/>
        <v>#N/A</v>
      </c>
      <c r="I7544" s="11" t="e">
        <f t="shared" si="1172"/>
        <v>#N/A</v>
      </c>
      <c r="J7544" s="12" t="e">
        <f t="shared" si="1173"/>
        <v>#N/A</v>
      </c>
      <c r="K7544" s="17" t="e">
        <f t="shared" si="1178"/>
        <v>#N/A</v>
      </c>
      <c r="L7544" s="16">
        <f>base!X7544</f>
        <v>0</v>
      </c>
      <c r="M7544" s="11" t="e">
        <f t="shared" si="1174"/>
        <v>#DIV/0!</v>
      </c>
      <c r="N7544" s="11" t="e">
        <f t="shared" si="1175"/>
        <v>#N/A</v>
      </c>
      <c r="O7544" s="11" t="e">
        <f t="shared" si="1176"/>
        <v>#N/A</v>
      </c>
      <c r="P7544" s="12" t="e">
        <f t="shared" si="1177"/>
        <v>#N/A</v>
      </c>
      <c r="Q7544" s="17" t="e">
        <f t="shared" si="1179"/>
        <v>#N/A</v>
      </c>
    </row>
    <row r="7545" spans="1:17" x14ac:dyDescent="0.3">
      <c r="A7545" s="34">
        <f>base!J7545</f>
        <v>0</v>
      </c>
      <c r="B7545" s="34">
        <f>base!V7545</f>
        <v>0</v>
      </c>
      <c r="C7545" s="40" t="s">
        <v>11</v>
      </c>
      <c r="D7545" s="36">
        <f>base!H7545</f>
        <v>0</v>
      </c>
      <c r="E7545" s="44"/>
      <c r="F7545" s="16">
        <f>base!W7545</f>
        <v>0</v>
      </c>
      <c r="G7545" s="11" t="e">
        <f t="shared" si="1170"/>
        <v>#DIV/0!</v>
      </c>
      <c r="H7545" s="11" t="e">
        <f t="shared" si="1171"/>
        <v>#N/A</v>
      </c>
      <c r="I7545" s="11" t="e">
        <f t="shared" si="1172"/>
        <v>#N/A</v>
      </c>
      <c r="J7545" s="12" t="e">
        <f t="shared" si="1173"/>
        <v>#N/A</v>
      </c>
      <c r="K7545" s="17" t="e">
        <f t="shared" si="1178"/>
        <v>#N/A</v>
      </c>
      <c r="L7545" s="16">
        <f>base!X7545</f>
        <v>0</v>
      </c>
      <c r="M7545" s="11" t="e">
        <f t="shared" si="1174"/>
        <v>#DIV/0!</v>
      </c>
      <c r="N7545" s="11" t="e">
        <f t="shared" si="1175"/>
        <v>#N/A</v>
      </c>
      <c r="O7545" s="11" t="e">
        <f t="shared" si="1176"/>
        <v>#N/A</v>
      </c>
      <c r="P7545" s="12" t="e">
        <f t="shared" si="1177"/>
        <v>#N/A</v>
      </c>
      <c r="Q7545" s="17" t="e">
        <f t="shared" si="1179"/>
        <v>#N/A</v>
      </c>
    </row>
    <row r="7546" spans="1:17" x14ac:dyDescent="0.3">
      <c r="A7546" s="34">
        <f>base!J7546</f>
        <v>0</v>
      </c>
      <c r="B7546" s="34">
        <f>base!V7546</f>
        <v>0</v>
      </c>
      <c r="C7546" s="40" t="s">
        <v>11</v>
      </c>
      <c r="D7546" s="36">
        <f>base!H7546</f>
        <v>0</v>
      </c>
      <c r="E7546" s="44"/>
      <c r="F7546" s="16">
        <f>base!W7546</f>
        <v>0</v>
      </c>
      <c r="G7546" s="11" t="e">
        <f t="shared" si="1170"/>
        <v>#DIV/0!</v>
      </c>
      <c r="H7546" s="11" t="e">
        <f t="shared" si="1171"/>
        <v>#N/A</v>
      </c>
      <c r="I7546" s="11" t="e">
        <f t="shared" si="1172"/>
        <v>#N/A</v>
      </c>
      <c r="J7546" s="12" t="e">
        <f t="shared" si="1173"/>
        <v>#N/A</v>
      </c>
      <c r="K7546" s="17" t="e">
        <f t="shared" si="1178"/>
        <v>#N/A</v>
      </c>
      <c r="L7546" s="16">
        <f>base!X7546</f>
        <v>0</v>
      </c>
      <c r="M7546" s="11" t="e">
        <f t="shared" si="1174"/>
        <v>#DIV/0!</v>
      </c>
      <c r="N7546" s="11" t="e">
        <f t="shared" si="1175"/>
        <v>#N/A</v>
      </c>
      <c r="O7546" s="11" t="e">
        <f t="shared" si="1176"/>
        <v>#N/A</v>
      </c>
      <c r="P7546" s="12" t="e">
        <f t="shared" si="1177"/>
        <v>#N/A</v>
      </c>
      <c r="Q7546" s="17" t="e">
        <f t="shared" si="1179"/>
        <v>#N/A</v>
      </c>
    </row>
    <row r="7547" spans="1:17" x14ac:dyDescent="0.3">
      <c r="A7547" s="34">
        <f>base!J7547</f>
        <v>0</v>
      </c>
      <c r="B7547" s="34">
        <f>base!V7547</f>
        <v>0</v>
      </c>
      <c r="C7547" s="40" t="s">
        <v>11</v>
      </c>
      <c r="D7547" s="36">
        <f>base!H7547</f>
        <v>0</v>
      </c>
      <c r="E7547" s="44"/>
      <c r="F7547" s="16">
        <f>base!W7547</f>
        <v>0</v>
      </c>
      <c r="G7547" s="11" t="e">
        <f t="shared" si="1170"/>
        <v>#DIV/0!</v>
      </c>
      <c r="H7547" s="11" t="e">
        <f t="shared" si="1171"/>
        <v>#N/A</v>
      </c>
      <c r="I7547" s="11" t="e">
        <f t="shared" si="1172"/>
        <v>#N/A</v>
      </c>
      <c r="J7547" s="12" t="e">
        <f t="shared" si="1173"/>
        <v>#N/A</v>
      </c>
      <c r="K7547" s="17" t="e">
        <f t="shared" si="1178"/>
        <v>#N/A</v>
      </c>
      <c r="L7547" s="16">
        <f>base!X7547</f>
        <v>0</v>
      </c>
      <c r="M7547" s="11" t="e">
        <f t="shared" si="1174"/>
        <v>#DIV/0!</v>
      </c>
      <c r="N7547" s="11" t="e">
        <f t="shared" si="1175"/>
        <v>#N/A</v>
      </c>
      <c r="O7547" s="11" t="e">
        <f t="shared" si="1176"/>
        <v>#N/A</v>
      </c>
      <c r="P7547" s="12" t="e">
        <f t="shared" si="1177"/>
        <v>#N/A</v>
      </c>
      <c r="Q7547" s="17" t="e">
        <f t="shared" si="1179"/>
        <v>#N/A</v>
      </c>
    </row>
    <row r="7548" spans="1:17" x14ac:dyDescent="0.3">
      <c r="A7548" s="34">
        <f>base!J7548</f>
        <v>0</v>
      </c>
      <c r="B7548" s="34">
        <f>base!V7548</f>
        <v>0</v>
      </c>
      <c r="C7548" s="40" t="s">
        <v>11</v>
      </c>
      <c r="D7548" s="36">
        <f>base!H7548</f>
        <v>0</v>
      </c>
      <c r="E7548" s="44"/>
      <c r="F7548" s="16">
        <f>base!W7548</f>
        <v>0</v>
      </c>
      <c r="G7548" s="11" t="e">
        <f t="shared" si="1170"/>
        <v>#DIV/0!</v>
      </c>
      <c r="H7548" s="11" t="e">
        <f t="shared" si="1171"/>
        <v>#N/A</v>
      </c>
      <c r="I7548" s="11" t="e">
        <f t="shared" si="1172"/>
        <v>#N/A</v>
      </c>
      <c r="J7548" s="12" t="e">
        <f t="shared" si="1173"/>
        <v>#N/A</v>
      </c>
      <c r="K7548" s="17" t="e">
        <f t="shared" si="1178"/>
        <v>#N/A</v>
      </c>
      <c r="L7548" s="16">
        <f>base!X7548</f>
        <v>0</v>
      </c>
      <c r="M7548" s="11" t="e">
        <f t="shared" si="1174"/>
        <v>#DIV/0!</v>
      </c>
      <c r="N7548" s="11" t="e">
        <f t="shared" si="1175"/>
        <v>#N/A</v>
      </c>
      <c r="O7548" s="11" t="e">
        <f t="shared" si="1176"/>
        <v>#N/A</v>
      </c>
      <c r="P7548" s="12" t="e">
        <f t="shared" si="1177"/>
        <v>#N/A</v>
      </c>
      <c r="Q7548" s="17" t="e">
        <f t="shared" si="1179"/>
        <v>#N/A</v>
      </c>
    </row>
    <row r="7549" spans="1:17" x14ac:dyDescent="0.3">
      <c r="A7549" s="34">
        <f>base!J7549</f>
        <v>0</v>
      </c>
      <c r="B7549" s="34">
        <f>base!V7549</f>
        <v>0</v>
      </c>
      <c r="C7549" s="40" t="s">
        <v>11</v>
      </c>
      <c r="D7549" s="36">
        <f>base!H7549</f>
        <v>0</v>
      </c>
      <c r="E7549" s="44"/>
      <c r="F7549" s="16">
        <f>base!W7549</f>
        <v>0</v>
      </c>
      <c r="G7549" s="11" t="e">
        <f t="shared" si="1170"/>
        <v>#DIV/0!</v>
      </c>
      <c r="H7549" s="11" t="e">
        <f t="shared" si="1171"/>
        <v>#N/A</v>
      </c>
      <c r="I7549" s="11" t="e">
        <f t="shared" si="1172"/>
        <v>#N/A</v>
      </c>
      <c r="J7549" s="12" t="e">
        <f t="shared" si="1173"/>
        <v>#N/A</v>
      </c>
      <c r="K7549" s="17" t="e">
        <f t="shared" si="1178"/>
        <v>#N/A</v>
      </c>
      <c r="L7549" s="16">
        <f>base!X7549</f>
        <v>0</v>
      </c>
      <c r="M7549" s="11" t="e">
        <f t="shared" si="1174"/>
        <v>#DIV/0!</v>
      </c>
      <c r="N7549" s="11" t="e">
        <f t="shared" si="1175"/>
        <v>#N/A</v>
      </c>
      <c r="O7549" s="11" t="e">
        <f t="shared" si="1176"/>
        <v>#N/A</v>
      </c>
      <c r="P7549" s="12" t="e">
        <f t="shared" si="1177"/>
        <v>#N/A</v>
      </c>
      <c r="Q7549" s="17" t="e">
        <f t="shared" si="1179"/>
        <v>#N/A</v>
      </c>
    </row>
    <row r="7550" spans="1:17" x14ac:dyDescent="0.3">
      <c r="A7550" s="34">
        <f>base!J7550</f>
        <v>0</v>
      </c>
      <c r="B7550" s="34">
        <f>base!V7550</f>
        <v>0</v>
      </c>
      <c r="C7550" s="40" t="s">
        <v>11</v>
      </c>
      <c r="D7550" s="36">
        <f>base!H7550</f>
        <v>0</v>
      </c>
      <c r="E7550" s="44"/>
      <c r="F7550" s="16">
        <f>base!W7550</f>
        <v>0</v>
      </c>
      <c r="G7550" s="11" t="e">
        <f t="shared" si="1170"/>
        <v>#DIV/0!</v>
      </c>
      <c r="H7550" s="11" t="e">
        <f t="shared" si="1171"/>
        <v>#N/A</v>
      </c>
      <c r="I7550" s="11" t="e">
        <f t="shared" si="1172"/>
        <v>#N/A</v>
      </c>
      <c r="J7550" s="12" t="e">
        <f t="shared" si="1173"/>
        <v>#N/A</v>
      </c>
      <c r="K7550" s="17" t="e">
        <f t="shared" si="1178"/>
        <v>#N/A</v>
      </c>
      <c r="L7550" s="16">
        <f>base!X7550</f>
        <v>0</v>
      </c>
      <c r="M7550" s="11" t="e">
        <f t="shared" si="1174"/>
        <v>#DIV/0!</v>
      </c>
      <c r="N7550" s="11" t="e">
        <f t="shared" si="1175"/>
        <v>#N/A</v>
      </c>
      <c r="O7550" s="11" t="e">
        <f t="shared" si="1176"/>
        <v>#N/A</v>
      </c>
      <c r="P7550" s="12" t="e">
        <f t="shared" si="1177"/>
        <v>#N/A</v>
      </c>
      <c r="Q7550" s="17" t="e">
        <f t="shared" si="1179"/>
        <v>#N/A</v>
      </c>
    </row>
    <row r="7551" spans="1:17" x14ac:dyDescent="0.3">
      <c r="A7551" s="34">
        <f>base!J7551</f>
        <v>0</v>
      </c>
      <c r="B7551" s="34">
        <f>base!V7551</f>
        <v>0</v>
      </c>
      <c r="C7551" s="40" t="s">
        <v>11</v>
      </c>
      <c r="D7551" s="36">
        <f>base!H7551</f>
        <v>0</v>
      </c>
      <c r="E7551" s="44"/>
      <c r="F7551" s="16">
        <f>base!W7551</f>
        <v>0</v>
      </c>
      <c r="G7551" s="11" t="e">
        <f t="shared" si="1170"/>
        <v>#DIV/0!</v>
      </c>
      <c r="H7551" s="11" t="e">
        <f t="shared" si="1171"/>
        <v>#N/A</v>
      </c>
      <c r="I7551" s="11" t="e">
        <f t="shared" si="1172"/>
        <v>#N/A</v>
      </c>
      <c r="J7551" s="12" t="e">
        <f t="shared" si="1173"/>
        <v>#N/A</v>
      </c>
      <c r="K7551" s="17" t="e">
        <f t="shared" si="1178"/>
        <v>#N/A</v>
      </c>
      <c r="L7551" s="16">
        <f>base!X7551</f>
        <v>0</v>
      </c>
      <c r="M7551" s="11" t="e">
        <f t="shared" si="1174"/>
        <v>#DIV/0!</v>
      </c>
      <c r="N7551" s="11" t="e">
        <f t="shared" si="1175"/>
        <v>#N/A</v>
      </c>
      <c r="O7551" s="11" t="e">
        <f t="shared" si="1176"/>
        <v>#N/A</v>
      </c>
      <c r="P7551" s="12" t="e">
        <f t="shared" si="1177"/>
        <v>#N/A</v>
      </c>
      <c r="Q7551" s="17" t="e">
        <f t="shared" si="1179"/>
        <v>#N/A</v>
      </c>
    </row>
    <row r="7552" spans="1:17" x14ac:dyDescent="0.3">
      <c r="A7552" s="34">
        <f>base!J7552</f>
        <v>0</v>
      </c>
      <c r="B7552" s="34">
        <f>base!V7552</f>
        <v>0</v>
      </c>
      <c r="C7552" s="40" t="s">
        <v>11</v>
      </c>
      <c r="D7552" s="36">
        <f>base!H7552</f>
        <v>0</v>
      </c>
      <c r="E7552" s="44"/>
      <c r="F7552" s="16">
        <f>base!W7552</f>
        <v>0</v>
      </c>
      <c r="G7552" s="11" t="e">
        <f t="shared" si="1170"/>
        <v>#DIV/0!</v>
      </c>
      <c r="H7552" s="11" t="e">
        <f t="shared" si="1171"/>
        <v>#N/A</v>
      </c>
      <c r="I7552" s="11" t="e">
        <f t="shared" si="1172"/>
        <v>#N/A</v>
      </c>
      <c r="J7552" s="12" t="e">
        <f t="shared" si="1173"/>
        <v>#N/A</v>
      </c>
      <c r="K7552" s="17" t="e">
        <f t="shared" si="1178"/>
        <v>#N/A</v>
      </c>
      <c r="L7552" s="16">
        <f>base!X7552</f>
        <v>0</v>
      </c>
      <c r="M7552" s="11" t="e">
        <f t="shared" si="1174"/>
        <v>#DIV/0!</v>
      </c>
      <c r="N7552" s="11" t="e">
        <f t="shared" si="1175"/>
        <v>#N/A</v>
      </c>
      <c r="O7552" s="11" t="e">
        <f t="shared" si="1176"/>
        <v>#N/A</v>
      </c>
      <c r="P7552" s="12" t="e">
        <f t="shared" si="1177"/>
        <v>#N/A</v>
      </c>
      <c r="Q7552" s="17" t="e">
        <f t="shared" si="1179"/>
        <v>#N/A</v>
      </c>
    </row>
    <row r="7553" spans="1:17" x14ac:dyDescent="0.3">
      <c r="A7553" s="34">
        <f>base!J7553</f>
        <v>0</v>
      </c>
      <c r="B7553" s="34">
        <f>base!V7553</f>
        <v>0</v>
      </c>
      <c r="C7553" s="40" t="s">
        <v>11</v>
      </c>
      <c r="D7553" s="36">
        <f>base!H7553</f>
        <v>0</v>
      </c>
      <c r="E7553" s="44"/>
      <c r="F7553" s="16">
        <f>base!W7553</f>
        <v>0</v>
      </c>
      <c r="G7553" s="11" t="e">
        <f t="shared" si="1170"/>
        <v>#DIV/0!</v>
      </c>
      <c r="H7553" s="11" t="e">
        <f t="shared" si="1171"/>
        <v>#N/A</v>
      </c>
      <c r="I7553" s="11" t="e">
        <f t="shared" si="1172"/>
        <v>#N/A</v>
      </c>
      <c r="J7553" s="12" t="e">
        <f t="shared" si="1173"/>
        <v>#N/A</v>
      </c>
      <c r="K7553" s="17" t="e">
        <f t="shared" si="1178"/>
        <v>#N/A</v>
      </c>
      <c r="L7553" s="16">
        <f>base!X7553</f>
        <v>0</v>
      </c>
      <c r="M7553" s="11" t="e">
        <f t="shared" si="1174"/>
        <v>#DIV/0!</v>
      </c>
      <c r="N7553" s="11" t="e">
        <f t="shared" si="1175"/>
        <v>#N/A</v>
      </c>
      <c r="O7553" s="11" t="e">
        <f t="shared" si="1176"/>
        <v>#N/A</v>
      </c>
      <c r="P7553" s="12" t="e">
        <f t="shared" si="1177"/>
        <v>#N/A</v>
      </c>
      <c r="Q7553" s="17" t="e">
        <f t="shared" si="1179"/>
        <v>#N/A</v>
      </c>
    </row>
    <row r="7554" spans="1:17" x14ac:dyDescent="0.3">
      <c r="A7554" s="34">
        <f>base!J7554</f>
        <v>0</v>
      </c>
      <c r="B7554" s="34">
        <f>base!V7554</f>
        <v>0</v>
      </c>
      <c r="C7554" s="40" t="s">
        <v>11</v>
      </c>
      <c r="D7554" s="36">
        <f>base!H7554</f>
        <v>0</v>
      </c>
      <c r="E7554" s="44"/>
      <c r="F7554" s="16">
        <f>base!W7554</f>
        <v>0</v>
      </c>
      <c r="G7554" s="11" t="e">
        <f t="shared" ref="G7554:G7617" si="1180">F7554/D7554</f>
        <v>#DIV/0!</v>
      </c>
      <c r="H7554" s="11" t="e">
        <f t="shared" ref="H7554:H7617" si="1181">VLOOKUP(C7554,tout_cout_traction,2,FALSE)*D7554</f>
        <v>#N/A</v>
      </c>
      <c r="I7554" s="11" t="e">
        <f t="shared" ref="I7554:I7617" si="1182">H7554/D7554</f>
        <v>#N/A</v>
      </c>
      <c r="J7554" s="12" t="e">
        <f t="shared" ref="J7554:J7617" si="1183">F7554-H7554</f>
        <v>#N/A</v>
      </c>
      <c r="K7554" s="17" t="e">
        <f t="shared" si="1178"/>
        <v>#N/A</v>
      </c>
      <c r="L7554" s="16">
        <f>base!X7554</f>
        <v>0</v>
      </c>
      <c r="M7554" s="11" t="e">
        <f t="shared" ref="M7554:M7617" si="1184">L7554/D7554</f>
        <v>#DIV/0!</v>
      </c>
      <c r="N7554" s="11" t="e">
        <f t="shared" ref="N7554:N7617" si="1185">VLOOKUP(C7554,tout_cout_traction,3,FALSE)*D7554</f>
        <v>#N/A</v>
      </c>
      <c r="O7554" s="11" t="e">
        <f t="shared" ref="O7554:O7617" si="1186">N7554/D7554</f>
        <v>#N/A</v>
      </c>
      <c r="P7554" s="12" t="e">
        <f t="shared" ref="P7554:P7617" si="1187">L7554-N7554</f>
        <v>#N/A</v>
      </c>
      <c r="Q7554" s="17" t="e">
        <f t="shared" si="1179"/>
        <v>#N/A</v>
      </c>
    </row>
    <row r="7555" spans="1:17" x14ac:dyDescent="0.3">
      <c r="A7555" s="34">
        <f>base!J7555</f>
        <v>0</v>
      </c>
      <c r="B7555" s="34">
        <f>base!V7555</f>
        <v>0</v>
      </c>
      <c r="C7555" s="40" t="s">
        <v>11</v>
      </c>
      <c r="D7555" s="36">
        <f>base!H7555</f>
        <v>0</v>
      </c>
      <c r="E7555" s="44"/>
      <c r="F7555" s="16">
        <f>base!W7555</f>
        <v>0</v>
      </c>
      <c r="G7555" s="11" t="e">
        <f t="shared" si="1180"/>
        <v>#DIV/0!</v>
      </c>
      <c r="H7555" s="11" t="e">
        <f t="shared" si="1181"/>
        <v>#N/A</v>
      </c>
      <c r="I7555" s="11" t="e">
        <f t="shared" si="1182"/>
        <v>#N/A</v>
      </c>
      <c r="J7555" s="12" t="e">
        <f t="shared" si="1183"/>
        <v>#N/A</v>
      </c>
      <c r="K7555" s="17" t="e">
        <f t="shared" ref="K7555:K7618" si="1188">IF(H7555=F7555,"Pas d'écart",IF(H7555&lt;F7555,"Ecart positif",IF(H7555&gt;F7555,"Ecart négatif")))</f>
        <v>#N/A</v>
      </c>
      <c r="L7555" s="16">
        <f>base!X7555</f>
        <v>0</v>
      </c>
      <c r="M7555" s="11" t="e">
        <f t="shared" si="1184"/>
        <v>#DIV/0!</v>
      </c>
      <c r="N7555" s="11" t="e">
        <f t="shared" si="1185"/>
        <v>#N/A</v>
      </c>
      <c r="O7555" s="11" t="e">
        <f t="shared" si="1186"/>
        <v>#N/A</v>
      </c>
      <c r="P7555" s="12" t="e">
        <f t="shared" si="1187"/>
        <v>#N/A</v>
      </c>
      <c r="Q7555" s="17" t="e">
        <f t="shared" ref="Q7555:Q7618" si="1189">IF(N7555=L7555,"Pas d'écart",IF(N7555&lt;L7555,"Ecart positif",IF(N7555&gt;L7555,"Ecart négatif")))</f>
        <v>#N/A</v>
      </c>
    </row>
    <row r="7556" spans="1:17" x14ac:dyDescent="0.3">
      <c r="A7556" s="34">
        <f>base!J7556</f>
        <v>0</v>
      </c>
      <c r="B7556" s="34">
        <f>base!V7556</f>
        <v>0</v>
      </c>
      <c r="C7556" s="40" t="s">
        <v>11</v>
      </c>
      <c r="D7556" s="36">
        <f>base!H7556</f>
        <v>0</v>
      </c>
      <c r="E7556" s="44"/>
      <c r="F7556" s="16">
        <f>base!W7556</f>
        <v>0</v>
      </c>
      <c r="G7556" s="11" t="e">
        <f t="shared" si="1180"/>
        <v>#DIV/0!</v>
      </c>
      <c r="H7556" s="11" t="e">
        <f t="shared" si="1181"/>
        <v>#N/A</v>
      </c>
      <c r="I7556" s="11" t="e">
        <f t="shared" si="1182"/>
        <v>#N/A</v>
      </c>
      <c r="J7556" s="12" t="e">
        <f t="shared" si="1183"/>
        <v>#N/A</v>
      </c>
      <c r="K7556" s="17" t="e">
        <f t="shared" si="1188"/>
        <v>#N/A</v>
      </c>
      <c r="L7556" s="16">
        <f>base!X7556</f>
        <v>0</v>
      </c>
      <c r="M7556" s="11" t="e">
        <f t="shared" si="1184"/>
        <v>#DIV/0!</v>
      </c>
      <c r="N7556" s="11" t="e">
        <f t="shared" si="1185"/>
        <v>#N/A</v>
      </c>
      <c r="O7556" s="11" t="e">
        <f t="shared" si="1186"/>
        <v>#N/A</v>
      </c>
      <c r="P7556" s="12" t="e">
        <f t="shared" si="1187"/>
        <v>#N/A</v>
      </c>
      <c r="Q7556" s="17" t="e">
        <f t="shared" si="1189"/>
        <v>#N/A</v>
      </c>
    </row>
    <row r="7557" spans="1:17" x14ac:dyDescent="0.3">
      <c r="A7557" s="34">
        <f>base!J7557</f>
        <v>0</v>
      </c>
      <c r="B7557" s="34">
        <f>base!V7557</f>
        <v>0</v>
      </c>
      <c r="C7557" s="40" t="s">
        <v>11</v>
      </c>
      <c r="D7557" s="36">
        <f>base!H7557</f>
        <v>0</v>
      </c>
      <c r="E7557" s="44"/>
      <c r="F7557" s="16">
        <f>base!W7557</f>
        <v>0</v>
      </c>
      <c r="G7557" s="11" t="e">
        <f t="shared" si="1180"/>
        <v>#DIV/0!</v>
      </c>
      <c r="H7557" s="11" t="e">
        <f t="shared" si="1181"/>
        <v>#N/A</v>
      </c>
      <c r="I7557" s="11" t="e">
        <f t="shared" si="1182"/>
        <v>#N/A</v>
      </c>
      <c r="J7557" s="12" t="e">
        <f t="shared" si="1183"/>
        <v>#N/A</v>
      </c>
      <c r="K7557" s="17" t="e">
        <f t="shared" si="1188"/>
        <v>#N/A</v>
      </c>
      <c r="L7557" s="16">
        <f>base!X7557</f>
        <v>0</v>
      </c>
      <c r="M7557" s="11" t="e">
        <f t="shared" si="1184"/>
        <v>#DIV/0!</v>
      </c>
      <c r="N7557" s="11" t="e">
        <f t="shared" si="1185"/>
        <v>#N/A</v>
      </c>
      <c r="O7557" s="11" t="e">
        <f t="shared" si="1186"/>
        <v>#N/A</v>
      </c>
      <c r="P7557" s="12" t="e">
        <f t="shared" si="1187"/>
        <v>#N/A</v>
      </c>
      <c r="Q7557" s="17" t="e">
        <f t="shared" si="1189"/>
        <v>#N/A</v>
      </c>
    </row>
    <row r="7558" spans="1:17" x14ac:dyDescent="0.3">
      <c r="A7558" s="34">
        <f>base!J7558</f>
        <v>0</v>
      </c>
      <c r="B7558" s="34">
        <f>base!V7558</f>
        <v>0</v>
      </c>
      <c r="C7558" s="40" t="s">
        <v>11</v>
      </c>
      <c r="D7558" s="36">
        <f>base!H7558</f>
        <v>0</v>
      </c>
      <c r="E7558" s="44"/>
      <c r="F7558" s="16">
        <f>base!W7558</f>
        <v>0</v>
      </c>
      <c r="G7558" s="11" t="e">
        <f t="shared" si="1180"/>
        <v>#DIV/0!</v>
      </c>
      <c r="H7558" s="11" t="e">
        <f t="shared" si="1181"/>
        <v>#N/A</v>
      </c>
      <c r="I7558" s="11" t="e">
        <f t="shared" si="1182"/>
        <v>#N/A</v>
      </c>
      <c r="J7558" s="12" t="e">
        <f t="shared" si="1183"/>
        <v>#N/A</v>
      </c>
      <c r="K7558" s="17" t="e">
        <f t="shared" si="1188"/>
        <v>#N/A</v>
      </c>
      <c r="L7558" s="16">
        <f>base!X7558</f>
        <v>0</v>
      </c>
      <c r="M7558" s="11" t="e">
        <f t="shared" si="1184"/>
        <v>#DIV/0!</v>
      </c>
      <c r="N7558" s="11" t="e">
        <f t="shared" si="1185"/>
        <v>#N/A</v>
      </c>
      <c r="O7558" s="11" t="e">
        <f t="shared" si="1186"/>
        <v>#N/A</v>
      </c>
      <c r="P7558" s="12" t="e">
        <f t="shared" si="1187"/>
        <v>#N/A</v>
      </c>
      <c r="Q7558" s="17" t="e">
        <f t="shared" si="1189"/>
        <v>#N/A</v>
      </c>
    </row>
    <row r="7559" spans="1:17" x14ac:dyDescent="0.3">
      <c r="A7559" s="34">
        <f>base!J7559</f>
        <v>0</v>
      </c>
      <c r="B7559" s="34">
        <f>base!V7559</f>
        <v>0</v>
      </c>
      <c r="C7559" s="40" t="s">
        <v>11</v>
      </c>
      <c r="D7559" s="36">
        <f>base!H7559</f>
        <v>0</v>
      </c>
      <c r="E7559" s="44"/>
      <c r="F7559" s="16">
        <f>base!W7559</f>
        <v>0</v>
      </c>
      <c r="G7559" s="11" t="e">
        <f t="shared" si="1180"/>
        <v>#DIV/0!</v>
      </c>
      <c r="H7559" s="11" t="e">
        <f t="shared" si="1181"/>
        <v>#N/A</v>
      </c>
      <c r="I7559" s="11" t="e">
        <f t="shared" si="1182"/>
        <v>#N/A</v>
      </c>
      <c r="J7559" s="12" t="e">
        <f t="shared" si="1183"/>
        <v>#N/A</v>
      </c>
      <c r="K7559" s="17" t="e">
        <f t="shared" si="1188"/>
        <v>#N/A</v>
      </c>
      <c r="L7559" s="16">
        <f>base!X7559</f>
        <v>0</v>
      </c>
      <c r="M7559" s="11" t="e">
        <f t="shared" si="1184"/>
        <v>#DIV/0!</v>
      </c>
      <c r="N7559" s="11" t="e">
        <f t="shared" si="1185"/>
        <v>#N/A</v>
      </c>
      <c r="O7559" s="11" t="e">
        <f t="shared" si="1186"/>
        <v>#N/A</v>
      </c>
      <c r="P7559" s="12" t="e">
        <f t="shared" si="1187"/>
        <v>#N/A</v>
      </c>
      <c r="Q7559" s="17" t="e">
        <f t="shared" si="1189"/>
        <v>#N/A</v>
      </c>
    </row>
    <row r="7560" spans="1:17" x14ac:dyDescent="0.3">
      <c r="A7560" s="34">
        <f>base!J7560</f>
        <v>0</v>
      </c>
      <c r="B7560" s="34">
        <f>base!V7560</f>
        <v>0</v>
      </c>
      <c r="C7560" s="40" t="s">
        <v>11</v>
      </c>
      <c r="D7560" s="36">
        <f>base!H7560</f>
        <v>0</v>
      </c>
      <c r="E7560" s="44"/>
      <c r="F7560" s="16">
        <f>base!W7560</f>
        <v>0</v>
      </c>
      <c r="G7560" s="11" t="e">
        <f t="shared" si="1180"/>
        <v>#DIV/0!</v>
      </c>
      <c r="H7560" s="11" t="e">
        <f t="shared" si="1181"/>
        <v>#N/A</v>
      </c>
      <c r="I7560" s="11" t="e">
        <f t="shared" si="1182"/>
        <v>#N/A</v>
      </c>
      <c r="J7560" s="12" t="e">
        <f t="shared" si="1183"/>
        <v>#N/A</v>
      </c>
      <c r="K7560" s="17" t="e">
        <f t="shared" si="1188"/>
        <v>#N/A</v>
      </c>
      <c r="L7560" s="16">
        <f>base!X7560</f>
        <v>0</v>
      </c>
      <c r="M7560" s="11" t="e">
        <f t="shared" si="1184"/>
        <v>#DIV/0!</v>
      </c>
      <c r="N7560" s="11" t="e">
        <f t="shared" si="1185"/>
        <v>#N/A</v>
      </c>
      <c r="O7560" s="11" t="e">
        <f t="shared" si="1186"/>
        <v>#N/A</v>
      </c>
      <c r="P7560" s="12" t="e">
        <f t="shared" si="1187"/>
        <v>#N/A</v>
      </c>
      <c r="Q7560" s="17" t="e">
        <f t="shared" si="1189"/>
        <v>#N/A</v>
      </c>
    </row>
    <row r="7561" spans="1:17" x14ac:dyDescent="0.3">
      <c r="A7561" s="34">
        <f>base!J7561</f>
        <v>0</v>
      </c>
      <c r="B7561" s="34">
        <f>base!V7561</f>
        <v>0</v>
      </c>
      <c r="C7561" s="40" t="s">
        <v>11</v>
      </c>
      <c r="D7561" s="36">
        <f>base!H7561</f>
        <v>0</v>
      </c>
      <c r="E7561" s="44"/>
      <c r="F7561" s="16">
        <f>base!W7561</f>
        <v>0</v>
      </c>
      <c r="G7561" s="11" t="e">
        <f t="shared" si="1180"/>
        <v>#DIV/0!</v>
      </c>
      <c r="H7561" s="11" t="e">
        <f t="shared" si="1181"/>
        <v>#N/A</v>
      </c>
      <c r="I7561" s="11" t="e">
        <f t="shared" si="1182"/>
        <v>#N/A</v>
      </c>
      <c r="J7561" s="12" t="e">
        <f t="shared" si="1183"/>
        <v>#N/A</v>
      </c>
      <c r="K7561" s="17" t="e">
        <f t="shared" si="1188"/>
        <v>#N/A</v>
      </c>
      <c r="L7561" s="16">
        <f>base!X7561</f>
        <v>0</v>
      </c>
      <c r="M7561" s="11" t="e">
        <f t="shared" si="1184"/>
        <v>#DIV/0!</v>
      </c>
      <c r="N7561" s="11" t="e">
        <f t="shared" si="1185"/>
        <v>#N/A</v>
      </c>
      <c r="O7561" s="11" t="e">
        <f t="shared" si="1186"/>
        <v>#N/A</v>
      </c>
      <c r="P7561" s="12" t="e">
        <f t="shared" si="1187"/>
        <v>#N/A</v>
      </c>
      <c r="Q7561" s="17" t="e">
        <f t="shared" si="1189"/>
        <v>#N/A</v>
      </c>
    </row>
    <row r="7562" spans="1:17" x14ac:dyDescent="0.3">
      <c r="A7562" s="34">
        <f>base!J7562</f>
        <v>0</v>
      </c>
      <c r="B7562" s="34">
        <f>base!V7562</f>
        <v>0</v>
      </c>
      <c r="C7562" s="40" t="s">
        <v>11</v>
      </c>
      <c r="D7562" s="36">
        <f>base!H7562</f>
        <v>0</v>
      </c>
      <c r="E7562" s="44"/>
      <c r="F7562" s="16">
        <f>base!W7562</f>
        <v>0</v>
      </c>
      <c r="G7562" s="11" t="e">
        <f t="shared" si="1180"/>
        <v>#DIV/0!</v>
      </c>
      <c r="H7562" s="11" t="e">
        <f t="shared" si="1181"/>
        <v>#N/A</v>
      </c>
      <c r="I7562" s="11" t="e">
        <f t="shared" si="1182"/>
        <v>#N/A</v>
      </c>
      <c r="J7562" s="12" t="e">
        <f t="shared" si="1183"/>
        <v>#N/A</v>
      </c>
      <c r="K7562" s="17" t="e">
        <f t="shared" si="1188"/>
        <v>#N/A</v>
      </c>
      <c r="L7562" s="16">
        <f>base!X7562</f>
        <v>0</v>
      </c>
      <c r="M7562" s="11" t="e">
        <f t="shared" si="1184"/>
        <v>#DIV/0!</v>
      </c>
      <c r="N7562" s="11" t="e">
        <f t="shared" si="1185"/>
        <v>#N/A</v>
      </c>
      <c r="O7562" s="11" t="e">
        <f t="shared" si="1186"/>
        <v>#N/A</v>
      </c>
      <c r="P7562" s="12" t="e">
        <f t="shared" si="1187"/>
        <v>#N/A</v>
      </c>
      <c r="Q7562" s="17" t="e">
        <f t="shared" si="1189"/>
        <v>#N/A</v>
      </c>
    </row>
    <row r="7563" spans="1:17" x14ac:dyDescent="0.3">
      <c r="A7563" s="34">
        <f>base!J7563</f>
        <v>0</v>
      </c>
      <c r="B7563" s="34">
        <f>base!V7563</f>
        <v>0</v>
      </c>
      <c r="C7563" s="40" t="s">
        <v>11</v>
      </c>
      <c r="D7563" s="36">
        <f>base!H7563</f>
        <v>0</v>
      </c>
      <c r="E7563" s="44"/>
      <c r="F7563" s="16">
        <f>base!W7563</f>
        <v>0</v>
      </c>
      <c r="G7563" s="11" t="e">
        <f t="shared" si="1180"/>
        <v>#DIV/0!</v>
      </c>
      <c r="H7563" s="11" t="e">
        <f t="shared" si="1181"/>
        <v>#N/A</v>
      </c>
      <c r="I7563" s="11" t="e">
        <f t="shared" si="1182"/>
        <v>#N/A</v>
      </c>
      <c r="J7563" s="12" t="e">
        <f t="shared" si="1183"/>
        <v>#N/A</v>
      </c>
      <c r="K7563" s="17" t="e">
        <f t="shared" si="1188"/>
        <v>#N/A</v>
      </c>
      <c r="L7563" s="16">
        <f>base!X7563</f>
        <v>0</v>
      </c>
      <c r="M7563" s="11" t="e">
        <f t="shared" si="1184"/>
        <v>#DIV/0!</v>
      </c>
      <c r="N7563" s="11" t="e">
        <f t="shared" si="1185"/>
        <v>#N/A</v>
      </c>
      <c r="O7563" s="11" t="e">
        <f t="shared" si="1186"/>
        <v>#N/A</v>
      </c>
      <c r="P7563" s="12" t="e">
        <f t="shared" si="1187"/>
        <v>#N/A</v>
      </c>
      <c r="Q7563" s="17" t="e">
        <f t="shared" si="1189"/>
        <v>#N/A</v>
      </c>
    </row>
    <row r="7564" spans="1:17" x14ac:dyDescent="0.3">
      <c r="A7564" s="34">
        <f>base!J7564</f>
        <v>0</v>
      </c>
      <c r="B7564" s="34">
        <f>base!V7564</f>
        <v>0</v>
      </c>
      <c r="C7564" s="40" t="s">
        <v>11</v>
      </c>
      <c r="D7564" s="36">
        <f>base!H7564</f>
        <v>0</v>
      </c>
      <c r="E7564" s="44"/>
      <c r="F7564" s="16">
        <f>base!W7564</f>
        <v>0</v>
      </c>
      <c r="G7564" s="11" t="e">
        <f t="shared" si="1180"/>
        <v>#DIV/0!</v>
      </c>
      <c r="H7564" s="11" t="e">
        <f t="shared" si="1181"/>
        <v>#N/A</v>
      </c>
      <c r="I7564" s="11" t="e">
        <f t="shared" si="1182"/>
        <v>#N/A</v>
      </c>
      <c r="J7564" s="12" t="e">
        <f t="shared" si="1183"/>
        <v>#N/A</v>
      </c>
      <c r="K7564" s="17" t="e">
        <f t="shared" si="1188"/>
        <v>#N/A</v>
      </c>
      <c r="L7564" s="16">
        <f>base!X7564</f>
        <v>0</v>
      </c>
      <c r="M7564" s="11" t="e">
        <f t="shared" si="1184"/>
        <v>#DIV/0!</v>
      </c>
      <c r="N7564" s="11" t="e">
        <f t="shared" si="1185"/>
        <v>#N/A</v>
      </c>
      <c r="O7564" s="11" t="e">
        <f t="shared" si="1186"/>
        <v>#N/A</v>
      </c>
      <c r="P7564" s="12" t="e">
        <f t="shared" si="1187"/>
        <v>#N/A</v>
      </c>
      <c r="Q7564" s="17" t="e">
        <f t="shared" si="1189"/>
        <v>#N/A</v>
      </c>
    </row>
    <row r="7565" spans="1:17" x14ac:dyDescent="0.3">
      <c r="A7565" s="34">
        <f>base!J7565</f>
        <v>0</v>
      </c>
      <c r="B7565" s="34">
        <f>base!V7565</f>
        <v>0</v>
      </c>
      <c r="C7565" s="40" t="s">
        <v>11</v>
      </c>
      <c r="D7565" s="36">
        <f>base!H7565</f>
        <v>0</v>
      </c>
      <c r="E7565" s="44"/>
      <c r="F7565" s="16">
        <f>base!W7565</f>
        <v>0</v>
      </c>
      <c r="G7565" s="11" t="e">
        <f t="shared" si="1180"/>
        <v>#DIV/0!</v>
      </c>
      <c r="H7565" s="11" t="e">
        <f t="shared" si="1181"/>
        <v>#N/A</v>
      </c>
      <c r="I7565" s="11" t="e">
        <f t="shared" si="1182"/>
        <v>#N/A</v>
      </c>
      <c r="J7565" s="12" t="e">
        <f t="shared" si="1183"/>
        <v>#N/A</v>
      </c>
      <c r="K7565" s="17" t="e">
        <f t="shared" si="1188"/>
        <v>#N/A</v>
      </c>
      <c r="L7565" s="16">
        <f>base!X7565</f>
        <v>0</v>
      </c>
      <c r="M7565" s="11" t="e">
        <f t="shared" si="1184"/>
        <v>#DIV/0!</v>
      </c>
      <c r="N7565" s="11" t="e">
        <f t="shared" si="1185"/>
        <v>#N/A</v>
      </c>
      <c r="O7565" s="11" t="e">
        <f t="shared" si="1186"/>
        <v>#N/A</v>
      </c>
      <c r="P7565" s="12" t="e">
        <f t="shared" si="1187"/>
        <v>#N/A</v>
      </c>
      <c r="Q7565" s="17" t="e">
        <f t="shared" si="1189"/>
        <v>#N/A</v>
      </c>
    </row>
    <row r="7566" spans="1:17" x14ac:dyDescent="0.3">
      <c r="A7566" s="34">
        <f>base!J7566</f>
        <v>0</v>
      </c>
      <c r="B7566" s="34">
        <f>base!V7566</f>
        <v>0</v>
      </c>
      <c r="C7566" s="40" t="s">
        <v>11</v>
      </c>
      <c r="D7566" s="36">
        <f>base!H7566</f>
        <v>0</v>
      </c>
      <c r="E7566" s="44"/>
      <c r="F7566" s="16">
        <f>base!W7566</f>
        <v>0</v>
      </c>
      <c r="G7566" s="11" t="e">
        <f t="shared" si="1180"/>
        <v>#DIV/0!</v>
      </c>
      <c r="H7566" s="11" t="e">
        <f t="shared" si="1181"/>
        <v>#N/A</v>
      </c>
      <c r="I7566" s="11" t="e">
        <f t="shared" si="1182"/>
        <v>#N/A</v>
      </c>
      <c r="J7566" s="12" t="e">
        <f t="shared" si="1183"/>
        <v>#N/A</v>
      </c>
      <c r="K7566" s="17" t="e">
        <f t="shared" si="1188"/>
        <v>#N/A</v>
      </c>
      <c r="L7566" s="16">
        <f>base!X7566</f>
        <v>0</v>
      </c>
      <c r="M7566" s="11" t="e">
        <f t="shared" si="1184"/>
        <v>#DIV/0!</v>
      </c>
      <c r="N7566" s="11" t="e">
        <f t="shared" si="1185"/>
        <v>#N/A</v>
      </c>
      <c r="O7566" s="11" t="e">
        <f t="shared" si="1186"/>
        <v>#N/A</v>
      </c>
      <c r="P7566" s="12" t="e">
        <f t="shared" si="1187"/>
        <v>#N/A</v>
      </c>
      <c r="Q7566" s="17" t="e">
        <f t="shared" si="1189"/>
        <v>#N/A</v>
      </c>
    </row>
    <row r="7567" spans="1:17" x14ac:dyDescent="0.3">
      <c r="A7567" s="34">
        <f>base!J7567</f>
        <v>0</v>
      </c>
      <c r="B7567" s="34">
        <f>base!V7567</f>
        <v>0</v>
      </c>
      <c r="C7567" s="40" t="s">
        <v>11</v>
      </c>
      <c r="D7567" s="36">
        <f>base!H7567</f>
        <v>0</v>
      </c>
      <c r="E7567" s="44"/>
      <c r="F7567" s="16">
        <f>base!W7567</f>
        <v>0</v>
      </c>
      <c r="G7567" s="11" t="e">
        <f t="shared" si="1180"/>
        <v>#DIV/0!</v>
      </c>
      <c r="H7567" s="11" t="e">
        <f t="shared" si="1181"/>
        <v>#N/A</v>
      </c>
      <c r="I7567" s="11" t="e">
        <f t="shared" si="1182"/>
        <v>#N/A</v>
      </c>
      <c r="J7567" s="12" t="e">
        <f t="shared" si="1183"/>
        <v>#N/A</v>
      </c>
      <c r="K7567" s="17" t="e">
        <f t="shared" si="1188"/>
        <v>#N/A</v>
      </c>
      <c r="L7567" s="16">
        <f>base!X7567</f>
        <v>0</v>
      </c>
      <c r="M7567" s="11" t="e">
        <f t="shared" si="1184"/>
        <v>#DIV/0!</v>
      </c>
      <c r="N7567" s="11" t="e">
        <f t="shared" si="1185"/>
        <v>#N/A</v>
      </c>
      <c r="O7567" s="11" t="e">
        <f t="shared" si="1186"/>
        <v>#N/A</v>
      </c>
      <c r="P7567" s="12" t="e">
        <f t="shared" si="1187"/>
        <v>#N/A</v>
      </c>
      <c r="Q7567" s="17" t="e">
        <f t="shared" si="1189"/>
        <v>#N/A</v>
      </c>
    </row>
    <row r="7568" spans="1:17" x14ac:dyDescent="0.3">
      <c r="A7568" s="34">
        <f>base!J7568</f>
        <v>0</v>
      </c>
      <c r="B7568" s="34">
        <f>base!V7568</f>
        <v>0</v>
      </c>
      <c r="C7568" s="40" t="s">
        <v>11</v>
      </c>
      <c r="D7568" s="36">
        <f>base!H7568</f>
        <v>0</v>
      </c>
      <c r="E7568" s="44"/>
      <c r="F7568" s="16">
        <f>base!W7568</f>
        <v>0</v>
      </c>
      <c r="G7568" s="11" t="e">
        <f t="shared" si="1180"/>
        <v>#DIV/0!</v>
      </c>
      <c r="H7568" s="11" t="e">
        <f t="shared" si="1181"/>
        <v>#N/A</v>
      </c>
      <c r="I7568" s="11" t="e">
        <f t="shared" si="1182"/>
        <v>#N/A</v>
      </c>
      <c r="J7568" s="12" t="e">
        <f t="shared" si="1183"/>
        <v>#N/A</v>
      </c>
      <c r="K7568" s="17" t="e">
        <f t="shared" si="1188"/>
        <v>#N/A</v>
      </c>
      <c r="L7568" s="16">
        <f>base!X7568</f>
        <v>0</v>
      </c>
      <c r="M7568" s="11" t="e">
        <f t="shared" si="1184"/>
        <v>#DIV/0!</v>
      </c>
      <c r="N7568" s="11" t="e">
        <f t="shared" si="1185"/>
        <v>#N/A</v>
      </c>
      <c r="O7568" s="11" t="e">
        <f t="shared" si="1186"/>
        <v>#N/A</v>
      </c>
      <c r="P7568" s="12" t="e">
        <f t="shared" si="1187"/>
        <v>#N/A</v>
      </c>
      <c r="Q7568" s="17" t="e">
        <f t="shared" si="1189"/>
        <v>#N/A</v>
      </c>
    </row>
    <row r="7569" spans="1:17" x14ac:dyDescent="0.3">
      <c r="A7569" s="34">
        <f>base!J7569</f>
        <v>0</v>
      </c>
      <c r="B7569" s="34">
        <f>base!V7569</f>
        <v>0</v>
      </c>
      <c r="C7569" s="40" t="s">
        <v>11</v>
      </c>
      <c r="D7569" s="36">
        <f>base!H7569</f>
        <v>0</v>
      </c>
      <c r="E7569" s="44"/>
      <c r="F7569" s="16">
        <f>base!W7569</f>
        <v>0</v>
      </c>
      <c r="G7569" s="11" t="e">
        <f t="shared" si="1180"/>
        <v>#DIV/0!</v>
      </c>
      <c r="H7569" s="11" t="e">
        <f t="shared" si="1181"/>
        <v>#N/A</v>
      </c>
      <c r="I7569" s="11" t="e">
        <f t="shared" si="1182"/>
        <v>#N/A</v>
      </c>
      <c r="J7569" s="12" t="e">
        <f t="shared" si="1183"/>
        <v>#N/A</v>
      </c>
      <c r="K7569" s="17" t="e">
        <f t="shared" si="1188"/>
        <v>#N/A</v>
      </c>
      <c r="L7569" s="16">
        <f>base!X7569</f>
        <v>0</v>
      </c>
      <c r="M7569" s="11" t="e">
        <f t="shared" si="1184"/>
        <v>#DIV/0!</v>
      </c>
      <c r="N7569" s="11" t="e">
        <f t="shared" si="1185"/>
        <v>#N/A</v>
      </c>
      <c r="O7569" s="11" t="e">
        <f t="shared" si="1186"/>
        <v>#N/A</v>
      </c>
      <c r="P7569" s="12" t="e">
        <f t="shared" si="1187"/>
        <v>#N/A</v>
      </c>
      <c r="Q7569" s="17" t="e">
        <f t="shared" si="1189"/>
        <v>#N/A</v>
      </c>
    </row>
    <row r="7570" spans="1:17" x14ac:dyDescent="0.3">
      <c r="A7570" s="34">
        <f>base!J7570</f>
        <v>0</v>
      </c>
      <c r="B7570" s="34">
        <f>base!V7570</f>
        <v>0</v>
      </c>
      <c r="C7570" s="40" t="s">
        <v>11</v>
      </c>
      <c r="D7570" s="36">
        <f>base!H7570</f>
        <v>0</v>
      </c>
      <c r="E7570" s="44"/>
      <c r="F7570" s="16">
        <f>base!W7570</f>
        <v>0</v>
      </c>
      <c r="G7570" s="11" t="e">
        <f t="shared" si="1180"/>
        <v>#DIV/0!</v>
      </c>
      <c r="H7570" s="11" t="e">
        <f t="shared" si="1181"/>
        <v>#N/A</v>
      </c>
      <c r="I7570" s="11" t="e">
        <f t="shared" si="1182"/>
        <v>#N/A</v>
      </c>
      <c r="J7570" s="12" t="e">
        <f t="shared" si="1183"/>
        <v>#N/A</v>
      </c>
      <c r="K7570" s="17" t="e">
        <f t="shared" si="1188"/>
        <v>#N/A</v>
      </c>
      <c r="L7570" s="16">
        <f>base!X7570</f>
        <v>0</v>
      </c>
      <c r="M7570" s="11" t="e">
        <f t="shared" si="1184"/>
        <v>#DIV/0!</v>
      </c>
      <c r="N7570" s="11" t="e">
        <f t="shared" si="1185"/>
        <v>#N/A</v>
      </c>
      <c r="O7570" s="11" t="e">
        <f t="shared" si="1186"/>
        <v>#N/A</v>
      </c>
      <c r="P7570" s="12" t="e">
        <f t="shared" si="1187"/>
        <v>#N/A</v>
      </c>
      <c r="Q7570" s="17" t="e">
        <f t="shared" si="1189"/>
        <v>#N/A</v>
      </c>
    </row>
    <row r="7571" spans="1:17" x14ac:dyDescent="0.3">
      <c r="A7571" s="34">
        <f>base!J7571</f>
        <v>0</v>
      </c>
      <c r="B7571" s="34">
        <f>base!V7571</f>
        <v>0</v>
      </c>
      <c r="C7571" s="40" t="s">
        <v>11</v>
      </c>
      <c r="D7571" s="36">
        <f>base!H7571</f>
        <v>0</v>
      </c>
      <c r="E7571" s="44"/>
      <c r="F7571" s="16">
        <f>base!W7571</f>
        <v>0</v>
      </c>
      <c r="G7571" s="11" t="e">
        <f t="shared" si="1180"/>
        <v>#DIV/0!</v>
      </c>
      <c r="H7571" s="11" t="e">
        <f t="shared" si="1181"/>
        <v>#N/A</v>
      </c>
      <c r="I7571" s="11" t="e">
        <f t="shared" si="1182"/>
        <v>#N/A</v>
      </c>
      <c r="J7571" s="12" t="e">
        <f t="shared" si="1183"/>
        <v>#N/A</v>
      </c>
      <c r="K7571" s="17" t="e">
        <f t="shared" si="1188"/>
        <v>#N/A</v>
      </c>
      <c r="L7571" s="16">
        <f>base!X7571</f>
        <v>0</v>
      </c>
      <c r="M7571" s="11" t="e">
        <f t="shared" si="1184"/>
        <v>#DIV/0!</v>
      </c>
      <c r="N7571" s="11" t="e">
        <f t="shared" si="1185"/>
        <v>#N/A</v>
      </c>
      <c r="O7571" s="11" t="e">
        <f t="shared" si="1186"/>
        <v>#N/A</v>
      </c>
      <c r="P7571" s="12" t="e">
        <f t="shared" si="1187"/>
        <v>#N/A</v>
      </c>
      <c r="Q7571" s="17" t="e">
        <f t="shared" si="1189"/>
        <v>#N/A</v>
      </c>
    </row>
    <row r="7572" spans="1:17" x14ac:dyDescent="0.3">
      <c r="A7572" s="34">
        <f>base!J7572</f>
        <v>0</v>
      </c>
      <c r="B7572" s="34">
        <f>base!V7572</f>
        <v>0</v>
      </c>
      <c r="C7572" s="40" t="s">
        <v>11</v>
      </c>
      <c r="D7572" s="36">
        <f>base!H7572</f>
        <v>0</v>
      </c>
      <c r="E7572" s="44"/>
      <c r="F7572" s="16">
        <f>base!W7572</f>
        <v>0</v>
      </c>
      <c r="G7572" s="11" t="e">
        <f t="shared" si="1180"/>
        <v>#DIV/0!</v>
      </c>
      <c r="H7572" s="11" t="e">
        <f t="shared" si="1181"/>
        <v>#N/A</v>
      </c>
      <c r="I7572" s="11" t="e">
        <f t="shared" si="1182"/>
        <v>#N/A</v>
      </c>
      <c r="J7572" s="12" t="e">
        <f t="shared" si="1183"/>
        <v>#N/A</v>
      </c>
      <c r="K7572" s="17" t="e">
        <f t="shared" si="1188"/>
        <v>#N/A</v>
      </c>
      <c r="L7572" s="16">
        <f>base!X7572</f>
        <v>0</v>
      </c>
      <c r="M7572" s="11" t="e">
        <f t="shared" si="1184"/>
        <v>#DIV/0!</v>
      </c>
      <c r="N7572" s="11" t="e">
        <f t="shared" si="1185"/>
        <v>#N/A</v>
      </c>
      <c r="O7572" s="11" t="e">
        <f t="shared" si="1186"/>
        <v>#N/A</v>
      </c>
      <c r="P7572" s="12" t="e">
        <f t="shared" si="1187"/>
        <v>#N/A</v>
      </c>
      <c r="Q7572" s="17" t="e">
        <f t="shared" si="1189"/>
        <v>#N/A</v>
      </c>
    </row>
    <row r="7573" spans="1:17" x14ac:dyDescent="0.3">
      <c r="A7573" s="34">
        <f>base!J7573</f>
        <v>0</v>
      </c>
      <c r="B7573" s="34">
        <f>base!V7573</f>
        <v>0</v>
      </c>
      <c r="C7573" s="40" t="s">
        <v>11</v>
      </c>
      <c r="D7573" s="36">
        <f>base!H7573</f>
        <v>0</v>
      </c>
      <c r="E7573" s="44"/>
      <c r="F7573" s="16">
        <f>base!W7573</f>
        <v>0</v>
      </c>
      <c r="G7573" s="11" t="e">
        <f t="shared" si="1180"/>
        <v>#DIV/0!</v>
      </c>
      <c r="H7573" s="11" t="e">
        <f t="shared" si="1181"/>
        <v>#N/A</v>
      </c>
      <c r="I7573" s="11" t="e">
        <f t="shared" si="1182"/>
        <v>#N/A</v>
      </c>
      <c r="J7573" s="12" t="e">
        <f t="shared" si="1183"/>
        <v>#N/A</v>
      </c>
      <c r="K7573" s="17" t="e">
        <f t="shared" si="1188"/>
        <v>#N/A</v>
      </c>
      <c r="L7573" s="16">
        <f>base!X7573</f>
        <v>0</v>
      </c>
      <c r="M7573" s="11" t="e">
        <f t="shared" si="1184"/>
        <v>#DIV/0!</v>
      </c>
      <c r="N7573" s="11" t="e">
        <f t="shared" si="1185"/>
        <v>#N/A</v>
      </c>
      <c r="O7573" s="11" t="e">
        <f t="shared" si="1186"/>
        <v>#N/A</v>
      </c>
      <c r="P7573" s="12" t="e">
        <f t="shared" si="1187"/>
        <v>#N/A</v>
      </c>
      <c r="Q7573" s="17" t="e">
        <f t="shared" si="1189"/>
        <v>#N/A</v>
      </c>
    </row>
    <row r="7574" spans="1:17" x14ac:dyDescent="0.3">
      <c r="A7574" s="34">
        <f>base!J7574</f>
        <v>0</v>
      </c>
      <c r="B7574" s="34">
        <f>base!V7574</f>
        <v>0</v>
      </c>
      <c r="C7574" s="40" t="s">
        <v>11</v>
      </c>
      <c r="D7574" s="36">
        <f>base!H7574</f>
        <v>0</v>
      </c>
      <c r="E7574" s="44"/>
      <c r="F7574" s="16">
        <f>base!W7574</f>
        <v>0</v>
      </c>
      <c r="G7574" s="11" t="e">
        <f t="shared" si="1180"/>
        <v>#DIV/0!</v>
      </c>
      <c r="H7574" s="11" t="e">
        <f t="shared" si="1181"/>
        <v>#N/A</v>
      </c>
      <c r="I7574" s="11" t="e">
        <f t="shared" si="1182"/>
        <v>#N/A</v>
      </c>
      <c r="J7574" s="12" t="e">
        <f t="shared" si="1183"/>
        <v>#N/A</v>
      </c>
      <c r="K7574" s="17" t="e">
        <f t="shared" si="1188"/>
        <v>#N/A</v>
      </c>
      <c r="L7574" s="16">
        <f>base!X7574</f>
        <v>0</v>
      </c>
      <c r="M7574" s="11" t="e">
        <f t="shared" si="1184"/>
        <v>#DIV/0!</v>
      </c>
      <c r="N7574" s="11" t="e">
        <f t="shared" si="1185"/>
        <v>#N/A</v>
      </c>
      <c r="O7574" s="11" t="e">
        <f t="shared" si="1186"/>
        <v>#N/A</v>
      </c>
      <c r="P7574" s="12" t="e">
        <f t="shared" si="1187"/>
        <v>#N/A</v>
      </c>
      <c r="Q7574" s="17" t="e">
        <f t="shared" si="1189"/>
        <v>#N/A</v>
      </c>
    </row>
    <row r="7575" spans="1:17" x14ac:dyDescent="0.3">
      <c r="A7575" s="34">
        <f>base!J7575</f>
        <v>0</v>
      </c>
      <c r="B7575" s="34">
        <f>base!V7575</f>
        <v>0</v>
      </c>
      <c r="C7575" s="40" t="s">
        <v>11</v>
      </c>
      <c r="D7575" s="36">
        <f>base!H7575</f>
        <v>0</v>
      </c>
      <c r="E7575" s="44"/>
      <c r="F7575" s="16">
        <f>base!W7575</f>
        <v>0</v>
      </c>
      <c r="G7575" s="11" t="e">
        <f t="shared" si="1180"/>
        <v>#DIV/0!</v>
      </c>
      <c r="H7575" s="11" t="e">
        <f t="shared" si="1181"/>
        <v>#N/A</v>
      </c>
      <c r="I7575" s="11" t="e">
        <f t="shared" si="1182"/>
        <v>#N/A</v>
      </c>
      <c r="J7575" s="12" t="e">
        <f t="shared" si="1183"/>
        <v>#N/A</v>
      </c>
      <c r="K7575" s="17" t="e">
        <f t="shared" si="1188"/>
        <v>#N/A</v>
      </c>
      <c r="L7575" s="16">
        <f>base!X7575</f>
        <v>0</v>
      </c>
      <c r="M7575" s="11" t="e">
        <f t="shared" si="1184"/>
        <v>#DIV/0!</v>
      </c>
      <c r="N7575" s="11" t="e">
        <f t="shared" si="1185"/>
        <v>#N/A</v>
      </c>
      <c r="O7575" s="11" t="e">
        <f t="shared" si="1186"/>
        <v>#N/A</v>
      </c>
      <c r="P7575" s="12" t="e">
        <f t="shared" si="1187"/>
        <v>#N/A</v>
      </c>
      <c r="Q7575" s="17" t="e">
        <f t="shared" si="1189"/>
        <v>#N/A</v>
      </c>
    </row>
    <row r="7576" spans="1:17" x14ac:dyDescent="0.3">
      <c r="A7576" s="34">
        <f>base!J7576</f>
        <v>0</v>
      </c>
      <c r="B7576" s="34">
        <f>base!V7576</f>
        <v>0</v>
      </c>
      <c r="C7576" s="40" t="s">
        <v>11</v>
      </c>
      <c r="D7576" s="36">
        <f>base!H7576</f>
        <v>0</v>
      </c>
      <c r="E7576" s="44"/>
      <c r="F7576" s="16">
        <f>base!W7576</f>
        <v>0</v>
      </c>
      <c r="G7576" s="11" t="e">
        <f t="shared" si="1180"/>
        <v>#DIV/0!</v>
      </c>
      <c r="H7576" s="11" t="e">
        <f t="shared" si="1181"/>
        <v>#N/A</v>
      </c>
      <c r="I7576" s="11" t="e">
        <f t="shared" si="1182"/>
        <v>#N/A</v>
      </c>
      <c r="J7576" s="12" t="e">
        <f t="shared" si="1183"/>
        <v>#N/A</v>
      </c>
      <c r="K7576" s="17" t="e">
        <f t="shared" si="1188"/>
        <v>#N/A</v>
      </c>
      <c r="L7576" s="16">
        <f>base!X7576</f>
        <v>0</v>
      </c>
      <c r="M7576" s="11" t="e">
        <f t="shared" si="1184"/>
        <v>#DIV/0!</v>
      </c>
      <c r="N7576" s="11" t="e">
        <f t="shared" si="1185"/>
        <v>#N/A</v>
      </c>
      <c r="O7576" s="11" t="e">
        <f t="shared" si="1186"/>
        <v>#N/A</v>
      </c>
      <c r="P7576" s="12" t="e">
        <f t="shared" si="1187"/>
        <v>#N/A</v>
      </c>
      <c r="Q7576" s="17" t="e">
        <f t="shared" si="1189"/>
        <v>#N/A</v>
      </c>
    </row>
    <row r="7577" spans="1:17" x14ac:dyDescent="0.3">
      <c r="A7577" s="34">
        <f>base!J7577</f>
        <v>0</v>
      </c>
      <c r="B7577" s="34">
        <f>base!V7577</f>
        <v>0</v>
      </c>
      <c r="C7577" s="40" t="s">
        <v>11</v>
      </c>
      <c r="D7577" s="36">
        <f>base!H7577</f>
        <v>0</v>
      </c>
      <c r="E7577" s="44"/>
      <c r="F7577" s="16">
        <f>base!W7577</f>
        <v>0</v>
      </c>
      <c r="G7577" s="11" t="e">
        <f t="shared" si="1180"/>
        <v>#DIV/0!</v>
      </c>
      <c r="H7577" s="11" t="e">
        <f t="shared" si="1181"/>
        <v>#N/A</v>
      </c>
      <c r="I7577" s="11" t="e">
        <f t="shared" si="1182"/>
        <v>#N/A</v>
      </c>
      <c r="J7577" s="12" t="e">
        <f t="shared" si="1183"/>
        <v>#N/A</v>
      </c>
      <c r="K7577" s="17" t="e">
        <f t="shared" si="1188"/>
        <v>#N/A</v>
      </c>
      <c r="L7577" s="16">
        <f>base!X7577</f>
        <v>0</v>
      </c>
      <c r="M7577" s="11" t="e">
        <f t="shared" si="1184"/>
        <v>#DIV/0!</v>
      </c>
      <c r="N7577" s="11" t="e">
        <f t="shared" si="1185"/>
        <v>#N/A</v>
      </c>
      <c r="O7577" s="11" t="e">
        <f t="shared" si="1186"/>
        <v>#N/A</v>
      </c>
      <c r="P7577" s="12" t="e">
        <f t="shared" si="1187"/>
        <v>#N/A</v>
      </c>
      <c r="Q7577" s="17" t="e">
        <f t="shared" si="1189"/>
        <v>#N/A</v>
      </c>
    </row>
    <row r="7578" spans="1:17" x14ac:dyDescent="0.3">
      <c r="A7578" s="34">
        <f>base!J7578</f>
        <v>0</v>
      </c>
      <c r="B7578" s="34">
        <f>base!V7578</f>
        <v>0</v>
      </c>
      <c r="C7578" s="40" t="s">
        <v>11</v>
      </c>
      <c r="D7578" s="36">
        <f>base!H7578</f>
        <v>0</v>
      </c>
      <c r="E7578" s="44"/>
      <c r="F7578" s="16">
        <f>base!W7578</f>
        <v>0</v>
      </c>
      <c r="G7578" s="11" t="e">
        <f t="shared" si="1180"/>
        <v>#DIV/0!</v>
      </c>
      <c r="H7578" s="11" t="e">
        <f t="shared" si="1181"/>
        <v>#N/A</v>
      </c>
      <c r="I7578" s="11" t="e">
        <f t="shared" si="1182"/>
        <v>#N/A</v>
      </c>
      <c r="J7578" s="12" t="e">
        <f t="shared" si="1183"/>
        <v>#N/A</v>
      </c>
      <c r="K7578" s="17" t="e">
        <f t="shared" si="1188"/>
        <v>#N/A</v>
      </c>
      <c r="L7578" s="16">
        <f>base!X7578</f>
        <v>0</v>
      </c>
      <c r="M7578" s="11" t="e">
        <f t="shared" si="1184"/>
        <v>#DIV/0!</v>
      </c>
      <c r="N7578" s="11" t="e">
        <f t="shared" si="1185"/>
        <v>#N/A</v>
      </c>
      <c r="O7578" s="11" t="e">
        <f t="shared" si="1186"/>
        <v>#N/A</v>
      </c>
      <c r="P7578" s="12" t="e">
        <f t="shared" si="1187"/>
        <v>#N/A</v>
      </c>
      <c r="Q7578" s="17" t="e">
        <f t="shared" si="1189"/>
        <v>#N/A</v>
      </c>
    </row>
    <row r="7579" spans="1:17" x14ac:dyDescent="0.3">
      <c r="A7579" s="34">
        <f>base!J7579</f>
        <v>0</v>
      </c>
      <c r="B7579" s="34">
        <f>base!V7579</f>
        <v>0</v>
      </c>
      <c r="C7579" s="40" t="s">
        <v>11</v>
      </c>
      <c r="D7579" s="36">
        <f>base!H7579</f>
        <v>0</v>
      </c>
      <c r="E7579" s="44"/>
      <c r="F7579" s="16">
        <f>base!W7579</f>
        <v>0</v>
      </c>
      <c r="G7579" s="11" t="e">
        <f t="shared" si="1180"/>
        <v>#DIV/0!</v>
      </c>
      <c r="H7579" s="11" t="e">
        <f t="shared" si="1181"/>
        <v>#N/A</v>
      </c>
      <c r="I7579" s="11" t="e">
        <f t="shared" si="1182"/>
        <v>#N/A</v>
      </c>
      <c r="J7579" s="12" t="e">
        <f t="shared" si="1183"/>
        <v>#N/A</v>
      </c>
      <c r="K7579" s="17" t="e">
        <f t="shared" si="1188"/>
        <v>#N/A</v>
      </c>
      <c r="L7579" s="16">
        <f>base!X7579</f>
        <v>0</v>
      </c>
      <c r="M7579" s="11" t="e">
        <f t="shared" si="1184"/>
        <v>#DIV/0!</v>
      </c>
      <c r="N7579" s="11" t="e">
        <f t="shared" si="1185"/>
        <v>#N/A</v>
      </c>
      <c r="O7579" s="11" t="e">
        <f t="shared" si="1186"/>
        <v>#N/A</v>
      </c>
      <c r="P7579" s="12" t="e">
        <f t="shared" si="1187"/>
        <v>#N/A</v>
      </c>
      <c r="Q7579" s="17" t="e">
        <f t="shared" si="1189"/>
        <v>#N/A</v>
      </c>
    </row>
    <row r="7580" spans="1:17" x14ac:dyDescent="0.3">
      <c r="A7580" s="34">
        <f>base!J7580</f>
        <v>0</v>
      </c>
      <c r="B7580" s="34">
        <f>base!V7580</f>
        <v>0</v>
      </c>
      <c r="C7580" s="40" t="s">
        <v>11</v>
      </c>
      <c r="D7580" s="36">
        <f>base!H7580</f>
        <v>0</v>
      </c>
      <c r="E7580" s="44"/>
      <c r="F7580" s="16">
        <f>base!W7580</f>
        <v>0</v>
      </c>
      <c r="G7580" s="11" t="e">
        <f t="shared" si="1180"/>
        <v>#DIV/0!</v>
      </c>
      <c r="H7580" s="11" t="e">
        <f t="shared" si="1181"/>
        <v>#N/A</v>
      </c>
      <c r="I7580" s="11" t="e">
        <f t="shared" si="1182"/>
        <v>#N/A</v>
      </c>
      <c r="J7580" s="12" t="e">
        <f t="shared" si="1183"/>
        <v>#N/A</v>
      </c>
      <c r="K7580" s="17" t="e">
        <f t="shared" si="1188"/>
        <v>#N/A</v>
      </c>
      <c r="L7580" s="16">
        <f>base!X7580</f>
        <v>0</v>
      </c>
      <c r="M7580" s="11" t="e">
        <f t="shared" si="1184"/>
        <v>#DIV/0!</v>
      </c>
      <c r="N7580" s="11" t="e">
        <f t="shared" si="1185"/>
        <v>#N/A</v>
      </c>
      <c r="O7580" s="11" t="e">
        <f t="shared" si="1186"/>
        <v>#N/A</v>
      </c>
      <c r="P7580" s="12" t="e">
        <f t="shared" si="1187"/>
        <v>#N/A</v>
      </c>
      <c r="Q7580" s="17" t="e">
        <f t="shared" si="1189"/>
        <v>#N/A</v>
      </c>
    </row>
    <row r="7581" spans="1:17" x14ac:dyDescent="0.3">
      <c r="A7581" s="34">
        <f>base!J7581</f>
        <v>0</v>
      </c>
      <c r="B7581" s="34">
        <f>base!V7581</f>
        <v>0</v>
      </c>
      <c r="C7581" s="40" t="s">
        <v>11</v>
      </c>
      <c r="D7581" s="36">
        <f>base!H7581</f>
        <v>0</v>
      </c>
      <c r="E7581" s="44"/>
      <c r="F7581" s="16">
        <f>base!W7581</f>
        <v>0</v>
      </c>
      <c r="G7581" s="11" t="e">
        <f t="shared" si="1180"/>
        <v>#DIV/0!</v>
      </c>
      <c r="H7581" s="11" t="e">
        <f t="shared" si="1181"/>
        <v>#N/A</v>
      </c>
      <c r="I7581" s="11" t="e">
        <f t="shared" si="1182"/>
        <v>#N/A</v>
      </c>
      <c r="J7581" s="12" t="e">
        <f t="shared" si="1183"/>
        <v>#N/A</v>
      </c>
      <c r="K7581" s="17" t="e">
        <f t="shared" si="1188"/>
        <v>#N/A</v>
      </c>
      <c r="L7581" s="16">
        <f>base!X7581</f>
        <v>0</v>
      </c>
      <c r="M7581" s="11" t="e">
        <f t="shared" si="1184"/>
        <v>#DIV/0!</v>
      </c>
      <c r="N7581" s="11" t="e">
        <f t="shared" si="1185"/>
        <v>#N/A</v>
      </c>
      <c r="O7581" s="11" t="e">
        <f t="shared" si="1186"/>
        <v>#N/A</v>
      </c>
      <c r="P7581" s="12" t="e">
        <f t="shared" si="1187"/>
        <v>#N/A</v>
      </c>
      <c r="Q7581" s="17" t="e">
        <f t="shared" si="1189"/>
        <v>#N/A</v>
      </c>
    </row>
    <row r="7582" spans="1:17" x14ac:dyDescent="0.3">
      <c r="A7582" s="34">
        <f>base!J7582</f>
        <v>0</v>
      </c>
      <c r="B7582" s="34">
        <f>base!V7582</f>
        <v>0</v>
      </c>
      <c r="C7582" s="40" t="s">
        <v>11</v>
      </c>
      <c r="D7582" s="36">
        <f>base!H7582</f>
        <v>0</v>
      </c>
      <c r="E7582" s="44"/>
      <c r="F7582" s="16">
        <f>base!W7582</f>
        <v>0</v>
      </c>
      <c r="G7582" s="11" t="e">
        <f t="shared" si="1180"/>
        <v>#DIV/0!</v>
      </c>
      <c r="H7582" s="11" t="e">
        <f t="shared" si="1181"/>
        <v>#N/A</v>
      </c>
      <c r="I7582" s="11" t="e">
        <f t="shared" si="1182"/>
        <v>#N/A</v>
      </c>
      <c r="J7582" s="12" t="e">
        <f t="shared" si="1183"/>
        <v>#N/A</v>
      </c>
      <c r="K7582" s="17" t="e">
        <f t="shared" si="1188"/>
        <v>#N/A</v>
      </c>
      <c r="L7582" s="16">
        <f>base!X7582</f>
        <v>0</v>
      </c>
      <c r="M7582" s="11" t="e">
        <f t="shared" si="1184"/>
        <v>#DIV/0!</v>
      </c>
      <c r="N7582" s="11" t="e">
        <f t="shared" si="1185"/>
        <v>#N/A</v>
      </c>
      <c r="O7582" s="11" t="e">
        <f t="shared" si="1186"/>
        <v>#N/A</v>
      </c>
      <c r="P7582" s="12" t="e">
        <f t="shared" si="1187"/>
        <v>#N/A</v>
      </c>
      <c r="Q7582" s="17" t="e">
        <f t="shared" si="1189"/>
        <v>#N/A</v>
      </c>
    </row>
    <row r="7583" spans="1:17" x14ac:dyDescent="0.3">
      <c r="A7583" s="34">
        <f>base!J7583</f>
        <v>0</v>
      </c>
      <c r="B7583" s="34">
        <f>base!V7583</f>
        <v>0</v>
      </c>
      <c r="C7583" s="40" t="s">
        <v>11</v>
      </c>
      <c r="D7583" s="36">
        <f>base!H7583</f>
        <v>0</v>
      </c>
      <c r="E7583" s="44"/>
      <c r="F7583" s="16">
        <f>base!W7583</f>
        <v>0</v>
      </c>
      <c r="G7583" s="11" t="e">
        <f t="shared" si="1180"/>
        <v>#DIV/0!</v>
      </c>
      <c r="H7583" s="11" t="e">
        <f t="shared" si="1181"/>
        <v>#N/A</v>
      </c>
      <c r="I7583" s="11" t="e">
        <f t="shared" si="1182"/>
        <v>#N/A</v>
      </c>
      <c r="J7583" s="12" t="e">
        <f t="shared" si="1183"/>
        <v>#N/A</v>
      </c>
      <c r="K7583" s="17" t="e">
        <f t="shared" si="1188"/>
        <v>#N/A</v>
      </c>
      <c r="L7583" s="16">
        <f>base!X7583</f>
        <v>0</v>
      </c>
      <c r="M7583" s="11" t="e">
        <f t="shared" si="1184"/>
        <v>#DIV/0!</v>
      </c>
      <c r="N7583" s="11" t="e">
        <f t="shared" si="1185"/>
        <v>#N/A</v>
      </c>
      <c r="O7583" s="11" t="e">
        <f t="shared" si="1186"/>
        <v>#N/A</v>
      </c>
      <c r="P7583" s="12" t="e">
        <f t="shared" si="1187"/>
        <v>#N/A</v>
      </c>
      <c r="Q7583" s="17" t="e">
        <f t="shared" si="1189"/>
        <v>#N/A</v>
      </c>
    </row>
    <row r="7584" spans="1:17" x14ac:dyDescent="0.3">
      <c r="A7584" s="34">
        <f>base!J7584</f>
        <v>0</v>
      </c>
      <c r="B7584" s="34">
        <f>base!V7584</f>
        <v>0</v>
      </c>
      <c r="C7584" s="40" t="s">
        <v>11</v>
      </c>
      <c r="D7584" s="36">
        <f>base!H7584</f>
        <v>0</v>
      </c>
      <c r="E7584" s="44"/>
      <c r="F7584" s="16">
        <f>base!W7584</f>
        <v>0</v>
      </c>
      <c r="G7584" s="11" t="e">
        <f t="shared" si="1180"/>
        <v>#DIV/0!</v>
      </c>
      <c r="H7584" s="11" t="e">
        <f t="shared" si="1181"/>
        <v>#N/A</v>
      </c>
      <c r="I7584" s="11" t="e">
        <f t="shared" si="1182"/>
        <v>#N/A</v>
      </c>
      <c r="J7584" s="12" t="e">
        <f t="shared" si="1183"/>
        <v>#N/A</v>
      </c>
      <c r="K7584" s="17" t="e">
        <f t="shared" si="1188"/>
        <v>#N/A</v>
      </c>
      <c r="L7584" s="16">
        <f>base!X7584</f>
        <v>0</v>
      </c>
      <c r="M7584" s="11" t="e">
        <f t="shared" si="1184"/>
        <v>#DIV/0!</v>
      </c>
      <c r="N7584" s="11" t="e">
        <f t="shared" si="1185"/>
        <v>#N/A</v>
      </c>
      <c r="O7584" s="11" t="e">
        <f t="shared" si="1186"/>
        <v>#N/A</v>
      </c>
      <c r="P7584" s="12" t="e">
        <f t="shared" si="1187"/>
        <v>#N/A</v>
      </c>
      <c r="Q7584" s="17" t="e">
        <f t="shared" si="1189"/>
        <v>#N/A</v>
      </c>
    </row>
    <row r="7585" spans="1:17" x14ac:dyDescent="0.3">
      <c r="A7585" s="34">
        <f>base!J7585</f>
        <v>0</v>
      </c>
      <c r="B7585" s="34">
        <f>base!V7585</f>
        <v>0</v>
      </c>
      <c r="C7585" s="40" t="s">
        <v>11</v>
      </c>
      <c r="D7585" s="36">
        <f>base!H7585</f>
        <v>0</v>
      </c>
      <c r="E7585" s="44"/>
      <c r="F7585" s="16">
        <f>base!W7585</f>
        <v>0</v>
      </c>
      <c r="G7585" s="11" t="e">
        <f t="shared" si="1180"/>
        <v>#DIV/0!</v>
      </c>
      <c r="H7585" s="11" t="e">
        <f t="shared" si="1181"/>
        <v>#N/A</v>
      </c>
      <c r="I7585" s="11" t="e">
        <f t="shared" si="1182"/>
        <v>#N/A</v>
      </c>
      <c r="J7585" s="12" t="e">
        <f t="shared" si="1183"/>
        <v>#N/A</v>
      </c>
      <c r="K7585" s="17" t="e">
        <f t="shared" si="1188"/>
        <v>#N/A</v>
      </c>
      <c r="L7585" s="16">
        <f>base!X7585</f>
        <v>0</v>
      </c>
      <c r="M7585" s="11" t="e">
        <f t="shared" si="1184"/>
        <v>#DIV/0!</v>
      </c>
      <c r="N7585" s="11" t="e">
        <f t="shared" si="1185"/>
        <v>#N/A</v>
      </c>
      <c r="O7585" s="11" t="e">
        <f t="shared" si="1186"/>
        <v>#N/A</v>
      </c>
      <c r="P7585" s="12" t="e">
        <f t="shared" si="1187"/>
        <v>#N/A</v>
      </c>
      <c r="Q7585" s="17" t="e">
        <f t="shared" si="1189"/>
        <v>#N/A</v>
      </c>
    </row>
    <row r="7586" spans="1:17" x14ac:dyDescent="0.3">
      <c r="A7586" s="34">
        <f>base!J7586</f>
        <v>0</v>
      </c>
      <c r="B7586" s="34">
        <f>base!V7586</f>
        <v>0</v>
      </c>
      <c r="C7586" s="40" t="s">
        <v>11</v>
      </c>
      <c r="D7586" s="36">
        <f>base!H7586</f>
        <v>0</v>
      </c>
      <c r="E7586" s="44"/>
      <c r="F7586" s="16">
        <f>base!W7586</f>
        <v>0</v>
      </c>
      <c r="G7586" s="11" t="e">
        <f t="shared" si="1180"/>
        <v>#DIV/0!</v>
      </c>
      <c r="H7586" s="11" t="e">
        <f t="shared" si="1181"/>
        <v>#N/A</v>
      </c>
      <c r="I7586" s="11" t="e">
        <f t="shared" si="1182"/>
        <v>#N/A</v>
      </c>
      <c r="J7586" s="12" t="e">
        <f t="shared" si="1183"/>
        <v>#N/A</v>
      </c>
      <c r="K7586" s="17" t="e">
        <f t="shared" si="1188"/>
        <v>#N/A</v>
      </c>
      <c r="L7586" s="16">
        <f>base!X7586</f>
        <v>0</v>
      </c>
      <c r="M7586" s="11" t="e">
        <f t="shared" si="1184"/>
        <v>#DIV/0!</v>
      </c>
      <c r="N7586" s="11" t="e">
        <f t="shared" si="1185"/>
        <v>#N/A</v>
      </c>
      <c r="O7586" s="11" t="e">
        <f t="shared" si="1186"/>
        <v>#N/A</v>
      </c>
      <c r="P7586" s="12" t="e">
        <f t="shared" si="1187"/>
        <v>#N/A</v>
      </c>
      <c r="Q7586" s="17" t="e">
        <f t="shared" si="1189"/>
        <v>#N/A</v>
      </c>
    </row>
    <row r="7587" spans="1:17" x14ac:dyDescent="0.3">
      <c r="A7587" s="34">
        <f>base!J7587</f>
        <v>0</v>
      </c>
      <c r="B7587" s="34">
        <f>base!V7587</f>
        <v>0</v>
      </c>
      <c r="C7587" s="40" t="s">
        <v>11</v>
      </c>
      <c r="D7587" s="36">
        <f>base!H7587</f>
        <v>0</v>
      </c>
      <c r="E7587" s="44"/>
      <c r="F7587" s="16">
        <f>base!W7587</f>
        <v>0</v>
      </c>
      <c r="G7587" s="11" t="e">
        <f t="shared" si="1180"/>
        <v>#DIV/0!</v>
      </c>
      <c r="H7587" s="11" t="e">
        <f t="shared" si="1181"/>
        <v>#N/A</v>
      </c>
      <c r="I7587" s="11" t="e">
        <f t="shared" si="1182"/>
        <v>#N/A</v>
      </c>
      <c r="J7587" s="12" t="e">
        <f t="shared" si="1183"/>
        <v>#N/A</v>
      </c>
      <c r="K7587" s="17" t="e">
        <f t="shared" si="1188"/>
        <v>#N/A</v>
      </c>
      <c r="L7587" s="16">
        <f>base!X7587</f>
        <v>0</v>
      </c>
      <c r="M7587" s="11" t="e">
        <f t="shared" si="1184"/>
        <v>#DIV/0!</v>
      </c>
      <c r="N7587" s="11" t="e">
        <f t="shared" si="1185"/>
        <v>#N/A</v>
      </c>
      <c r="O7587" s="11" t="e">
        <f t="shared" si="1186"/>
        <v>#N/A</v>
      </c>
      <c r="P7587" s="12" t="e">
        <f t="shared" si="1187"/>
        <v>#N/A</v>
      </c>
      <c r="Q7587" s="17" t="e">
        <f t="shared" si="1189"/>
        <v>#N/A</v>
      </c>
    </row>
    <row r="7588" spans="1:17" x14ac:dyDescent="0.3">
      <c r="A7588" s="34">
        <f>base!J7588</f>
        <v>0</v>
      </c>
      <c r="B7588" s="34">
        <f>base!V7588</f>
        <v>0</v>
      </c>
      <c r="C7588" s="40" t="s">
        <v>11</v>
      </c>
      <c r="D7588" s="36">
        <f>base!H7588</f>
        <v>0</v>
      </c>
      <c r="E7588" s="44"/>
      <c r="F7588" s="16">
        <f>base!W7588</f>
        <v>0</v>
      </c>
      <c r="G7588" s="11" t="e">
        <f t="shared" si="1180"/>
        <v>#DIV/0!</v>
      </c>
      <c r="H7588" s="11" t="e">
        <f t="shared" si="1181"/>
        <v>#N/A</v>
      </c>
      <c r="I7588" s="11" t="e">
        <f t="shared" si="1182"/>
        <v>#N/A</v>
      </c>
      <c r="J7588" s="12" t="e">
        <f t="shared" si="1183"/>
        <v>#N/A</v>
      </c>
      <c r="K7588" s="17" t="e">
        <f t="shared" si="1188"/>
        <v>#N/A</v>
      </c>
      <c r="L7588" s="16">
        <f>base!X7588</f>
        <v>0</v>
      </c>
      <c r="M7588" s="11" t="e">
        <f t="shared" si="1184"/>
        <v>#DIV/0!</v>
      </c>
      <c r="N7588" s="11" t="e">
        <f t="shared" si="1185"/>
        <v>#N/A</v>
      </c>
      <c r="O7588" s="11" t="e">
        <f t="shared" si="1186"/>
        <v>#N/A</v>
      </c>
      <c r="P7588" s="12" t="e">
        <f t="shared" si="1187"/>
        <v>#N/A</v>
      </c>
      <c r="Q7588" s="17" t="e">
        <f t="shared" si="1189"/>
        <v>#N/A</v>
      </c>
    </row>
    <row r="7589" spans="1:17" x14ac:dyDescent="0.3">
      <c r="A7589" s="34">
        <f>base!J7589</f>
        <v>0</v>
      </c>
      <c r="B7589" s="34">
        <f>base!V7589</f>
        <v>0</v>
      </c>
      <c r="C7589" s="40" t="s">
        <v>11</v>
      </c>
      <c r="D7589" s="36">
        <f>base!H7589</f>
        <v>0</v>
      </c>
      <c r="E7589" s="44"/>
      <c r="F7589" s="16">
        <f>base!W7589</f>
        <v>0</v>
      </c>
      <c r="G7589" s="11" t="e">
        <f t="shared" si="1180"/>
        <v>#DIV/0!</v>
      </c>
      <c r="H7589" s="11" t="e">
        <f t="shared" si="1181"/>
        <v>#N/A</v>
      </c>
      <c r="I7589" s="11" t="e">
        <f t="shared" si="1182"/>
        <v>#N/A</v>
      </c>
      <c r="J7589" s="12" t="e">
        <f t="shared" si="1183"/>
        <v>#N/A</v>
      </c>
      <c r="K7589" s="17" t="e">
        <f t="shared" si="1188"/>
        <v>#N/A</v>
      </c>
      <c r="L7589" s="16">
        <f>base!X7589</f>
        <v>0</v>
      </c>
      <c r="M7589" s="11" t="e">
        <f t="shared" si="1184"/>
        <v>#DIV/0!</v>
      </c>
      <c r="N7589" s="11" t="e">
        <f t="shared" si="1185"/>
        <v>#N/A</v>
      </c>
      <c r="O7589" s="11" t="e">
        <f t="shared" si="1186"/>
        <v>#N/A</v>
      </c>
      <c r="P7589" s="12" t="e">
        <f t="shared" si="1187"/>
        <v>#N/A</v>
      </c>
      <c r="Q7589" s="17" t="e">
        <f t="shared" si="1189"/>
        <v>#N/A</v>
      </c>
    </row>
    <row r="7590" spans="1:17" x14ac:dyDescent="0.3">
      <c r="A7590" s="34">
        <f>base!J7590</f>
        <v>0</v>
      </c>
      <c r="B7590" s="34">
        <f>base!V7590</f>
        <v>0</v>
      </c>
      <c r="C7590" s="40" t="s">
        <v>11</v>
      </c>
      <c r="D7590" s="36">
        <f>base!H7590</f>
        <v>0</v>
      </c>
      <c r="E7590" s="44"/>
      <c r="F7590" s="16">
        <f>base!W7590</f>
        <v>0</v>
      </c>
      <c r="G7590" s="11" t="e">
        <f t="shared" si="1180"/>
        <v>#DIV/0!</v>
      </c>
      <c r="H7590" s="11" t="e">
        <f t="shared" si="1181"/>
        <v>#N/A</v>
      </c>
      <c r="I7590" s="11" t="e">
        <f t="shared" si="1182"/>
        <v>#N/A</v>
      </c>
      <c r="J7590" s="12" t="e">
        <f t="shared" si="1183"/>
        <v>#N/A</v>
      </c>
      <c r="K7590" s="17" t="e">
        <f t="shared" si="1188"/>
        <v>#N/A</v>
      </c>
      <c r="L7590" s="16">
        <f>base!X7590</f>
        <v>0</v>
      </c>
      <c r="M7590" s="11" t="e">
        <f t="shared" si="1184"/>
        <v>#DIV/0!</v>
      </c>
      <c r="N7590" s="11" t="e">
        <f t="shared" si="1185"/>
        <v>#N/A</v>
      </c>
      <c r="O7590" s="11" t="e">
        <f t="shared" si="1186"/>
        <v>#N/A</v>
      </c>
      <c r="P7590" s="12" t="e">
        <f t="shared" si="1187"/>
        <v>#N/A</v>
      </c>
      <c r="Q7590" s="17" t="e">
        <f t="shared" si="1189"/>
        <v>#N/A</v>
      </c>
    </row>
    <row r="7591" spans="1:17" x14ac:dyDescent="0.3">
      <c r="A7591" s="34">
        <f>base!J7591</f>
        <v>0</v>
      </c>
      <c r="B7591" s="34">
        <f>base!V7591</f>
        <v>0</v>
      </c>
      <c r="C7591" s="40" t="s">
        <v>11</v>
      </c>
      <c r="D7591" s="36">
        <f>base!H7591</f>
        <v>0</v>
      </c>
      <c r="E7591" s="44"/>
      <c r="F7591" s="16">
        <f>base!W7591</f>
        <v>0</v>
      </c>
      <c r="G7591" s="11" t="e">
        <f t="shared" si="1180"/>
        <v>#DIV/0!</v>
      </c>
      <c r="H7591" s="11" t="e">
        <f t="shared" si="1181"/>
        <v>#N/A</v>
      </c>
      <c r="I7591" s="11" t="e">
        <f t="shared" si="1182"/>
        <v>#N/A</v>
      </c>
      <c r="J7591" s="12" t="e">
        <f t="shared" si="1183"/>
        <v>#N/A</v>
      </c>
      <c r="K7591" s="17" t="e">
        <f t="shared" si="1188"/>
        <v>#N/A</v>
      </c>
      <c r="L7591" s="16">
        <f>base!X7591</f>
        <v>0</v>
      </c>
      <c r="M7591" s="11" t="e">
        <f t="shared" si="1184"/>
        <v>#DIV/0!</v>
      </c>
      <c r="N7591" s="11" t="e">
        <f t="shared" si="1185"/>
        <v>#N/A</v>
      </c>
      <c r="O7591" s="11" t="e">
        <f t="shared" si="1186"/>
        <v>#N/A</v>
      </c>
      <c r="P7591" s="12" t="e">
        <f t="shared" si="1187"/>
        <v>#N/A</v>
      </c>
      <c r="Q7591" s="17" t="e">
        <f t="shared" si="1189"/>
        <v>#N/A</v>
      </c>
    </row>
    <row r="7592" spans="1:17" x14ac:dyDescent="0.3">
      <c r="A7592" s="34">
        <f>base!J7592</f>
        <v>0</v>
      </c>
      <c r="B7592" s="34">
        <f>base!V7592</f>
        <v>0</v>
      </c>
      <c r="C7592" s="40" t="s">
        <v>11</v>
      </c>
      <c r="D7592" s="36">
        <f>base!H7592</f>
        <v>0</v>
      </c>
      <c r="E7592" s="44"/>
      <c r="F7592" s="16">
        <f>base!W7592</f>
        <v>0</v>
      </c>
      <c r="G7592" s="11" t="e">
        <f t="shared" si="1180"/>
        <v>#DIV/0!</v>
      </c>
      <c r="H7592" s="11" t="e">
        <f t="shared" si="1181"/>
        <v>#N/A</v>
      </c>
      <c r="I7592" s="11" t="e">
        <f t="shared" si="1182"/>
        <v>#N/A</v>
      </c>
      <c r="J7592" s="12" t="e">
        <f t="shared" si="1183"/>
        <v>#N/A</v>
      </c>
      <c r="K7592" s="17" t="e">
        <f t="shared" si="1188"/>
        <v>#N/A</v>
      </c>
      <c r="L7592" s="16">
        <f>base!X7592</f>
        <v>0</v>
      </c>
      <c r="M7592" s="11" t="e">
        <f t="shared" si="1184"/>
        <v>#DIV/0!</v>
      </c>
      <c r="N7592" s="11" t="e">
        <f t="shared" si="1185"/>
        <v>#N/A</v>
      </c>
      <c r="O7592" s="11" t="e">
        <f t="shared" si="1186"/>
        <v>#N/A</v>
      </c>
      <c r="P7592" s="12" t="e">
        <f t="shared" si="1187"/>
        <v>#N/A</v>
      </c>
      <c r="Q7592" s="17" t="e">
        <f t="shared" si="1189"/>
        <v>#N/A</v>
      </c>
    </row>
    <row r="7593" spans="1:17" x14ac:dyDescent="0.3">
      <c r="A7593" s="34">
        <f>base!J7593</f>
        <v>0</v>
      </c>
      <c r="B7593" s="34">
        <f>base!V7593</f>
        <v>0</v>
      </c>
      <c r="C7593" s="40" t="s">
        <v>11</v>
      </c>
      <c r="D7593" s="36">
        <f>base!H7593</f>
        <v>0</v>
      </c>
      <c r="E7593" s="44"/>
      <c r="F7593" s="16">
        <f>base!W7593</f>
        <v>0</v>
      </c>
      <c r="G7593" s="11" t="e">
        <f t="shared" si="1180"/>
        <v>#DIV/0!</v>
      </c>
      <c r="H7593" s="11" t="e">
        <f t="shared" si="1181"/>
        <v>#N/A</v>
      </c>
      <c r="I7593" s="11" t="e">
        <f t="shared" si="1182"/>
        <v>#N/A</v>
      </c>
      <c r="J7593" s="12" t="e">
        <f t="shared" si="1183"/>
        <v>#N/A</v>
      </c>
      <c r="K7593" s="17" t="e">
        <f t="shared" si="1188"/>
        <v>#N/A</v>
      </c>
      <c r="L7593" s="16">
        <f>base!X7593</f>
        <v>0</v>
      </c>
      <c r="M7593" s="11" t="e">
        <f t="shared" si="1184"/>
        <v>#DIV/0!</v>
      </c>
      <c r="N7593" s="11" t="e">
        <f t="shared" si="1185"/>
        <v>#N/A</v>
      </c>
      <c r="O7593" s="11" t="e">
        <f t="shared" si="1186"/>
        <v>#N/A</v>
      </c>
      <c r="P7593" s="12" t="e">
        <f t="shared" si="1187"/>
        <v>#N/A</v>
      </c>
      <c r="Q7593" s="17" t="e">
        <f t="shared" si="1189"/>
        <v>#N/A</v>
      </c>
    </row>
    <row r="7594" spans="1:17" x14ac:dyDescent="0.3">
      <c r="A7594" s="34">
        <f>base!J7594</f>
        <v>0</v>
      </c>
      <c r="B7594" s="34">
        <f>base!V7594</f>
        <v>0</v>
      </c>
      <c r="C7594" s="40" t="s">
        <v>11</v>
      </c>
      <c r="D7594" s="36">
        <f>base!H7594</f>
        <v>0</v>
      </c>
      <c r="E7594" s="44"/>
      <c r="F7594" s="16">
        <f>base!W7594</f>
        <v>0</v>
      </c>
      <c r="G7594" s="11" t="e">
        <f t="shared" si="1180"/>
        <v>#DIV/0!</v>
      </c>
      <c r="H7594" s="11" t="e">
        <f t="shared" si="1181"/>
        <v>#N/A</v>
      </c>
      <c r="I7594" s="11" t="e">
        <f t="shared" si="1182"/>
        <v>#N/A</v>
      </c>
      <c r="J7594" s="12" t="e">
        <f t="shared" si="1183"/>
        <v>#N/A</v>
      </c>
      <c r="K7594" s="17" t="e">
        <f t="shared" si="1188"/>
        <v>#N/A</v>
      </c>
      <c r="L7594" s="16">
        <f>base!X7594</f>
        <v>0</v>
      </c>
      <c r="M7594" s="11" t="e">
        <f t="shared" si="1184"/>
        <v>#DIV/0!</v>
      </c>
      <c r="N7594" s="11" t="e">
        <f t="shared" si="1185"/>
        <v>#N/A</v>
      </c>
      <c r="O7594" s="11" t="e">
        <f t="shared" si="1186"/>
        <v>#N/A</v>
      </c>
      <c r="P7594" s="12" t="e">
        <f t="shared" si="1187"/>
        <v>#N/A</v>
      </c>
      <c r="Q7594" s="17" t="e">
        <f t="shared" si="1189"/>
        <v>#N/A</v>
      </c>
    </row>
    <row r="7595" spans="1:17" x14ac:dyDescent="0.3">
      <c r="A7595" s="34">
        <f>base!J7595</f>
        <v>0</v>
      </c>
      <c r="B7595" s="34">
        <f>base!V7595</f>
        <v>0</v>
      </c>
      <c r="C7595" s="40" t="s">
        <v>11</v>
      </c>
      <c r="D7595" s="36">
        <f>base!H7595</f>
        <v>0</v>
      </c>
      <c r="E7595" s="44"/>
      <c r="F7595" s="16">
        <f>base!W7595</f>
        <v>0</v>
      </c>
      <c r="G7595" s="11" t="e">
        <f t="shared" si="1180"/>
        <v>#DIV/0!</v>
      </c>
      <c r="H7595" s="11" t="e">
        <f t="shared" si="1181"/>
        <v>#N/A</v>
      </c>
      <c r="I7595" s="11" t="e">
        <f t="shared" si="1182"/>
        <v>#N/A</v>
      </c>
      <c r="J7595" s="12" t="e">
        <f t="shared" si="1183"/>
        <v>#N/A</v>
      </c>
      <c r="K7595" s="17" t="e">
        <f t="shared" si="1188"/>
        <v>#N/A</v>
      </c>
      <c r="L7595" s="16">
        <f>base!X7595</f>
        <v>0</v>
      </c>
      <c r="M7595" s="11" t="e">
        <f t="shared" si="1184"/>
        <v>#DIV/0!</v>
      </c>
      <c r="N7595" s="11" t="e">
        <f t="shared" si="1185"/>
        <v>#N/A</v>
      </c>
      <c r="O7595" s="11" t="e">
        <f t="shared" si="1186"/>
        <v>#N/A</v>
      </c>
      <c r="P7595" s="12" t="e">
        <f t="shared" si="1187"/>
        <v>#N/A</v>
      </c>
      <c r="Q7595" s="17" t="e">
        <f t="shared" si="1189"/>
        <v>#N/A</v>
      </c>
    </row>
    <row r="7596" spans="1:17" x14ac:dyDescent="0.3">
      <c r="A7596" s="34">
        <f>base!J7596</f>
        <v>0</v>
      </c>
      <c r="B7596" s="34">
        <f>base!V7596</f>
        <v>0</v>
      </c>
      <c r="C7596" s="40" t="s">
        <v>11</v>
      </c>
      <c r="D7596" s="36">
        <f>base!H7596</f>
        <v>0</v>
      </c>
      <c r="E7596" s="44"/>
      <c r="F7596" s="16">
        <f>base!W7596</f>
        <v>0</v>
      </c>
      <c r="G7596" s="11" t="e">
        <f t="shared" si="1180"/>
        <v>#DIV/0!</v>
      </c>
      <c r="H7596" s="11" t="e">
        <f t="shared" si="1181"/>
        <v>#N/A</v>
      </c>
      <c r="I7596" s="11" t="e">
        <f t="shared" si="1182"/>
        <v>#N/A</v>
      </c>
      <c r="J7596" s="12" t="e">
        <f t="shared" si="1183"/>
        <v>#N/A</v>
      </c>
      <c r="K7596" s="17" t="e">
        <f t="shared" si="1188"/>
        <v>#N/A</v>
      </c>
      <c r="L7596" s="16">
        <f>base!X7596</f>
        <v>0</v>
      </c>
      <c r="M7596" s="11" t="e">
        <f t="shared" si="1184"/>
        <v>#DIV/0!</v>
      </c>
      <c r="N7596" s="11" t="e">
        <f t="shared" si="1185"/>
        <v>#N/A</v>
      </c>
      <c r="O7596" s="11" t="e">
        <f t="shared" si="1186"/>
        <v>#N/A</v>
      </c>
      <c r="P7596" s="12" t="e">
        <f t="shared" si="1187"/>
        <v>#N/A</v>
      </c>
      <c r="Q7596" s="17" t="e">
        <f t="shared" si="1189"/>
        <v>#N/A</v>
      </c>
    </row>
    <row r="7597" spans="1:17" x14ac:dyDescent="0.3">
      <c r="A7597" s="34">
        <f>base!J7597</f>
        <v>0</v>
      </c>
      <c r="B7597" s="34">
        <f>base!V7597</f>
        <v>0</v>
      </c>
      <c r="C7597" s="40" t="s">
        <v>11</v>
      </c>
      <c r="D7597" s="36">
        <f>base!H7597</f>
        <v>0</v>
      </c>
      <c r="E7597" s="44"/>
      <c r="F7597" s="16">
        <f>base!W7597</f>
        <v>0</v>
      </c>
      <c r="G7597" s="11" t="e">
        <f t="shared" si="1180"/>
        <v>#DIV/0!</v>
      </c>
      <c r="H7597" s="11" t="e">
        <f t="shared" si="1181"/>
        <v>#N/A</v>
      </c>
      <c r="I7597" s="11" t="e">
        <f t="shared" si="1182"/>
        <v>#N/A</v>
      </c>
      <c r="J7597" s="12" t="e">
        <f t="shared" si="1183"/>
        <v>#N/A</v>
      </c>
      <c r="K7597" s="17" t="e">
        <f t="shared" si="1188"/>
        <v>#N/A</v>
      </c>
      <c r="L7597" s="16">
        <f>base!X7597</f>
        <v>0</v>
      </c>
      <c r="M7597" s="11" t="e">
        <f t="shared" si="1184"/>
        <v>#DIV/0!</v>
      </c>
      <c r="N7597" s="11" t="e">
        <f t="shared" si="1185"/>
        <v>#N/A</v>
      </c>
      <c r="O7597" s="11" t="e">
        <f t="shared" si="1186"/>
        <v>#N/A</v>
      </c>
      <c r="P7597" s="12" t="e">
        <f t="shared" si="1187"/>
        <v>#N/A</v>
      </c>
      <c r="Q7597" s="17" t="e">
        <f t="shared" si="1189"/>
        <v>#N/A</v>
      </c>
    </row>
    <row r="7598" spans="1:17" x14ac:dyDescent="0.3">
      <c r="A7598" s="34">
        <f>base!J7598</f>
        <v>0</v>
      </c>
      <c r="B7598" s="34">
        <f>base!V7598</f>
        <v>0</v>
      </c>
      <c r="C7598" s="40" t="s">
        <v>11</v>
      </c>
      <c r="D7598" s="36">
        <f>base!H7598</f>
        <v>0</v>
      </c>
      <c r="E7598" s="44"/>
      <c r="F7598" s="16">
        <f>base!W7598</f>
        <v>0</v>
      </c>
      <c r="G7598" s="11" t="e">
        <f t="shared" si="1180"/>
        <v>#DIV/0!</v>
      </c>
      <c r="H7598" s="11" t="e">
        <f t="shared" si="1181"/>
        <v>#N/A</v>
      </c>
      <c r="I7598" s="11" t="e">
        <f t="shared" si="1182"/>
        <v>#N/A</v>
      </c>
      <c r="J7598" s="12" t="e">
        <f t="shared" si="1183"/>
        <v>#N/A</v>
      </c>
      <c r="K7598" s="17" t="e">
        <f t="shared" si="1188"/>
        <v>#N/A</v>
      </c>
      <c r="L7598" s="16">
        <f>base!X7598</f>
        <v>0</v>
      </c>
      <c r="M7598" s="11" t="e">
        <f t="shared" si="1184"/>
        <v>#DIV/0!</v>
      </c>
      <c r="N7598" s="11" t="e">
        <f t="shared" si="1185"/>
        <v>#N/A</v>
      </c>
      <c r="O7598" s="11" t="e">
        <f t="shared" si="1186"/>
        <v>#N/A</v>
      </c>
      <c r="P7598" s="12" t="e">
        <f t="shared" si="1187"/>
        <v>#N/A</v>
      </c>
      <c r="Q7598" s="17" t="e">
        <f t="shared" si="1189"/>
        <v>#N/A</v>
      </c>
    </row>
    <row r="7599" spans="1:17" x14ac:dyDescent="0.3">
      <c r="A7599" s="34">
        <f>base!J7599</f>
        <v>0</v>
      </c>
      <c r="B7599" s="34">
        <f>base!V7599</f>
        <v>0</v>
      </c>
      <c r="C7599" s="40" t="s">
        <v>11</v>
      </c>
      <c r="D7599" s="36">
        <f>base!H7599</f>
        <v>0</v>
      </c>
      <c r="E7599" s="44"/>
      <c r="F7599" s="16">
        <f>base!W7599</f>
        <v>0</v>
      </c>
      <c r="G7599" s="11" t="e">
        <f t="shared" si="1180"/>
        <v>#DIV/0!</v>
      </c>
      <c r="H7599" s="11" t="e">
        <f t="shared" si="1181"/>
        <v>#N/A</v>
      </c>
      <c r="I7599" s="11" t="e">
        <f t="shared" si="1182"/>
        <v>#N/A</v>
      </c>
      <c r="J7599" s="12" t="e">
        <f t="shared" si="1183"/>
        <v>#N/A</v>
      </c>
      <c r="K7599" s="17" t="e">
        <f t="shared" si="1188"/>
        <v>#N/A</v>
      </c>
      <c r="L7599" s="16">
        <f>base!X7599</f>
        <v>0</v>
      </c>
      <c r="M7599" s="11" t="e">
        <f t="shared" si="1184"/>
        <v>#DIV/0!</v>
      </c>
      <c r="N7599" s="11" t="e">
        <f t="shared" si="1185"/>
        <v>#N/A</v>
      </c>
      <c r="O7599" s="11" t="e">
        <f t="shared" si="1186"/>
        <v>#N/A</v>
      </c>
      <c r="P7599" s="12" t="e">
        <f t="shared" si="1187"/>
        <v>#N/A</v>
      </c>
      <c r="Q7599" s="17" t="e">
        <f t="shared" si="1189"/>
        <v>#N/A</v>
      </c>
    </row>
    <row r="7600" spans="1:17" x14ac:dyDescent="0.3">
      <c r="A7600" s="34">
        <f>base!J7600</f>
        <v>0</v>
      </c>
      <c r="B7600" s="34">
        <f>base!V7600</f>
        <v>0</v>
      </c>
      <c r="C7600" s="40" t="s">
        <v>11</v>
      </c>
      <c r="D7600" s="36">
        <f>base!H7600</f>
        <v>0</v>
      </c>
      <c r="E7600" s="44"/>
      <c r="F7600" s="16">
        <f>base!W7600</f>
        <v>0</v>
      </c>
      <c r="G7600" s="11" t="e">
        <f t="shared" si="1180"/>
        <v>#DIV/0!</v>
      </c>
      <c r="H7600" s="11" t="e">
        <f t="shared" si="1181"/>
        <v>#N/A</v>
      </c>
      <c r="I7600" s="11" t="e">
        <f t="shared" si="1182"/>
        <v>#N/A</v>
      </c>
      <c r="J7600" s="12" t="e">
        <f t="shared" si="1183"/>
        <v>#N/A</v>
      </c>
      <c r="K7600" s="17" t="e">
        <f t="shared" si="1188"/>
        <v>#N/A</v>
      </c>
      <c r="L7600" s="16">
        <f>base!X7600</f>
        <v>0</v>
      </c>
      <c r="M7600" s="11" t="e">
        <f t="shared" si="1184"/>
        <v>#DIV/0!</v>
      </c>
      <c r="N7600" s="11" t="e">
        <f t="shared" si="1185"/>
        <v>#N/A</v>
      </c>
      <c r="O7600" s="11" t="e">
        <f t="shared" si="1186"/>
        <v>#N/A</v>
      </c>
      <c r="P7600" s="12" t="e">
        <f t="shared" si="1187"/>
        <v>#N/A</v>
      </c>
      <c r="Q7600" s="17" t="e">
        <f t="shared" si="1189"/>
        <v>#N/A</v>
      </c>
    </row>
    <row r="7601" spans="1:17" x14ac:dyDescent="0.3">
      <c r="A7601" s="34">
        <f>base!J7601</f>
        <v>0</v>
      </c>
      <c r="B7601" s="34">
        <f>base!V7601</f>
        <v>0</v>
      </c>
      <c r="C7601" s="40" t="s">
        <v>11</v>
      </c>
      <c r="D7601" s="36">
        <f>base!H7601</f>
        <v>0</v>
      </c>
      <c r="E7601" s="44"/>
      <c r="F7601" s="16">
        <f>base!W7601</f>
        <v>0</v>
      </c>
      <c r="G7601" s="11" t="e">
        <f t="shared" si="1180"/>
        <v>#DIV/0!</v>
      </c>
      <c r="H7601" s="11" t="e">
        <f t="shared" si="1181"/>
        <v>#N/A</v>
      </c>
      <c r="I7601" s="11" t="e">
        <f t="shared" si="1182"/>
        <v>#N/A</v>
      </c>
      <c r="J7601" s="12" t="e">
        <f t="shared" si="1183"/>
        <v>#N/A</v>
      </c>
      <c r="K7601" s="17" t="e">
        <f t="shared" si="1188"/>
        <v>#N/A</v>
      </c>
      <c r="L7601" s="16">
        <f>base!X7601</f>
        <v>0</v>
      </c>
      <c r="M7601" s="11" t="e">
        <f t="shared" si="1184"/>
        <v>#DIV/0!</v>
      </c>
      <c r="N7601" s="11" t="e">
        <f t="shared" si="1185"/>
        <v>#N/A</v>
      </c>
      <c r="O7601" s="11" t="e">
        <f t="shared" si="1186"/>
        <v>#N/A</v>
      </c>
      <c r="P7601" s="12" t="e">
        <f t="shared" si="1187"/>
        <v>#N/A</v>
      </c>
      <c r="Q7601" s="17" t="e">
        <f t="shared" si="1189"/>
        <v>#N/A</v>
      </c>
    </row>
    <row r="7602" spans="1:17" x14ac:dyDescent="0.3">
      <c r="A7602" s="34">
        <f>base!J7602</f>
        <v>0</v>
      </c>
      <c r="B7602" s="34">
        <f>base!V7602</f>
        <v>0</v>
      </c>
      <c r="C7602" s="40" t="s">
        <v>11</v>
      </c>
      <c r="D7602" s="36">
        <f>base!H7602</f>
        <v>0</v>
      </c>
      <c r="E7602" s="44"/>
      <c r="F7602" s="16">
        <f>base!W7602</f>
        <v>0</v>
      </c>
      <c r="G7602" s="11" t="e">
        <f t="shared" si="1180"/>
        <v>#DIV/0!</v>
      </c>
      <c r="H7602" s="11" t="e">
        <f t="shared" si="1181"/>
        <v>#N/A</v>
      </c>
      <c r="I7602" s="11" t="e">
        <f t="shared" si="1182"/>
        <v>#N/A</v>
      </c>
      <c r="J7602" s="12" t="e">
        <f t="shared" si="1183"/>
        <v>#N/A</v>
      </c>
      <c r="K7602" s="17" t="e">
        <f t="shared" si="1188"/>
        <v>#N/A</v>
      </c>
      <c r="L7602" s="16">
        <f>base!X7602</f>
        <v>0</v>
      </c>
      <c r="M7602" s="11" t="e">
        <f t="shared" si="1184"/>
        <v>#DIV/0!</v>
      </c>
      <c r="N7602" s="11" t="e">
        <f t="shared" si="1185"/>
        <v>#N/A</v>
      </c>
      <c r="O7602" s="11" t="e">
        <f t="shared" si="1186"/>
        <v>#N/A</v>
      </c>
      <c r="P7602" s="12" t="e">
        <f t="shared" si="1187"/>
        <v>#N/A</v>
      </c>
      <c r="Q7602" s="17" t="e">
        <f t="shared" si="1189"/>
        <v>#N/A</v>
      </c>
    </row>
    <row r="7603" spans="1:17" x14ac:dyDescent="0.3">
      <c r="A7603" s="34">
        <f>base!J7603</f>
        <v>0</v>
      </c>
      <c r="B7603" s="34">
        <f>base!V7603</f>
        <v>0</v>
      </c>
      <c r="C7603" s="40" t="s">
        <v>11</v>
      </c>
      <c r="D7603" s="36">
        <f>base!H7603</f>
        <v>0</v>
      </c>
      <c r="E7603" s="44"/>
      <c r="F7603" s="16">
        <f>base!W7603</f>
        <v>0</v>
      </c>
      <c r="G7603" s="11" t="e">
        <f t="shared" si="1180"/>
        <v>#DIV/0!</v>
      </c>
      <c r="H7603" s="11" t="e">
        <f t="shared" si="1181"/>
        <v>#N/A</v>
      </c>
      <c r="I7603" s="11" t="e">
        <f t="shared" si="1182"/>
        <v>#N/A</v>
      </c>
      <c r="J7603" s="12" t="e">
        <f t="shared" si="1183"/>
        <v>#N/A</v>
      </c>
      <c r="K7603" s="17" t="e">
        <f t="shared" si="1188"/>
        <v>#N/A</v>
      </c>
      <c r="L7603" s="16">
        <f>base!X7603</f>
        <v>0</v>
      </c>
      <c r="M7603" s="11" t="e">
        <f t="shared" si="1184"/>
        <v>#DIV/0!</v>
      </c>
      <c r="N7603" s="11" t="e">
        <f t="shared" si="1185"/>
        <v>#N/A</v>
      </c>
      <c r="O7603" s="11" t="e">
        <f t="shared" si="1186"/>
        <v>#N/A</v>
      </c>
      <c r="P7603" s="12" t="e">
        <f t="shared" si="1187"/>
        <v>#N/A</v>
      </c>
      <c r="Q7603" s="17" t="e">
        <f t="shared" si="1189"/>
        <v>#N/A</v>
      </c>
    </row>
    <row r="7604" spans="1:17" x14ac:dyDescent="0.3">
      <c r="A7604" s="34">
        <f>base!J7604</f>
        <v>0</v>
      </c>
      <c r="B7604" s="34">
        <f>base!V7604</f>
        <v>0</v>
      </c>
      <c r="C7604" s="40" t="s">
        <v>11</v>
      </c>
      <c r="D7604" s="36">
        <f>base!H7604</f>
        <v>0</v>
      </c>
      <c r="E7604" s="44"/>
      <c r="F7604" s="16">
        <f>base!W7604</f>
        <v>0</v>
      </c>
      <c r="G7604" s="11" t="e">
        <f t="shared" si="1180"/>
        <v>#DIV/0!</v>
      </c>
      <c r="H7604" s="11" t="e">
        <f t="shared" si="1181"/>
        <v>#N/A</v>
      </c>
      <c r="I7604" s="11" t="e">
        <f t="shared" si="1182"/>
        <v>#N/A</v>
      </c>
      <c r="J7604" s="12" t="e">
        <f t="shared" si="1183"/>
        <v>#N/A</v>
      </c>
      <c r="K7604" s="17" t="e">
        <f t="shared" si="1188"/>
        <v>#N/A</v>
      </c>
      <c r="L7604" s="16">
        <f>base!X7604</f>
        <v>0</v>
      </c>
      <c r="M7604" s="11" t="e">
        <f t="shared" si="1184"/>
        <v>#DIV/0!</v>
      </c>
      <c r="N7604" s="11" t="e">
        <f t="shared" si="1185"/>
        <v>#N/A</v>
      </c>
      <c r="O7604" s="11" t="e">
        <f t="shared" si="1186"/>
        <v>#N/A</v>
      </c>
      <c r="P7604" s="12" t="e">
        <f t="shared" si="1187"/>
        <v>#N/A</v>
      </c>
      <c r="Q7604" s="17" t="e">
        <f t="shared" si="1189"/>
        <v>#N/A</v>
      </c>
    </row>
    <row r="7605" spans="1:17" x14ac:dyDescent="0.3">
      <c r="A7605" s="34">
        <f>base!J7605</f>
        <v>0</v>
      </c>
      <c r="B7605" s="34">
        <f>base!V7605</f>
        <v>0</v>
      </c>
      <c r="C7605" s="40" t="s">
        <v>11</v>
      </c>
      <c r="D7605" s="36">
        <f>base!H7605</f>
        <v>0</v>
      </c>
      <c r="E7605" s="44"/>
      <c r="F7605" s="16">
        <f>base!W7605</f>
        <v>0</v>
      </c>
      <c r="G7605" s="11" t="e">
        <f t="shared" si="1180"/>
        <v>#DIV/0!</v>
      </c>
      <c r="H7605" s="11" t="e">
        <f t="shared" si="1181"/>
        <v>#N/A</v>
      </c>
      <c r="I7605" s="11" t="e">
        <f t="shared" si="1182"/>
        <v>#N/A</v>
      </c>
      <c r="J7605" s="12" t="e">
        <f t="shared" si="1183"/>
        <v>#N/A</v>
      </c>
      <c r="K7605" s="17" t="e">
        <f t="shared" si="1188"/>
        <v>#N/A</v>
      </c>
      <c r="L7605" s="16">
        <f>base!X7605</f>
        <v>0</v>
      </c>
      <c r="M7605" s="11" t="e">
        <f t="shared" si="1184"/>
        <v>#DIV/0!</v>
      </c>
      <c r="N7605" s="11" t="e">
        <f t="shared" si="1185"/>
        <v>#N/A</v>
      </c>
      <c r="O7605" s="11" t="e">
        <f t="shared" si="1186"/>
        <v>#N/A</v>
      </c>
      <c r="P7605" s="12" t="e">
        <f t="shared" si="1187"/>
        <v>#N/A</v>
      </c>
      <c r="Q7605" s="17" t="e">
        <f t="shared" si="1189"/>
        <v>#N/A</v>
      </c>
    </row>
    <row r="7606" spans="1:17" x14ac:dyDescent="0.3">
      <c r="A7606" s="34">
        <f>base!J7606</f>
        <v>0</v>
      </c>
      <c r="B7606" s="34">
        <f>base!V7606</f>
        <v>0</v>
      </c>
      <c r="C7606" s="40" t="s">
        <v>11</v>
      </c>
      <c r="D7606" s="36">
        <f>base!H7606</f>
        <v>0</v>
      </c>
      <c r="E7606" s="44"/>
      <c r="F7606" s="16">
        <f>base!W7606</f>
        <v>0</v>
      </c>
      <c r="G7606" s="11" t="e">
        <f t="shared" si="1180"/>
        <v>#DIV/0!</v>
      </c>
      <c r="H7606" s="11" t="e">
        <f t="shared" si="1181"/>
        <v>#N/A</v>
      </c>
      <c r="I7606" s="11" t="e">
        <f t="shared" si="1182"/>
        <v>#N/A</v>
      </c>
      <c r="J7606" s="12" t="e">
        <f t="shared" si="1183"/>
        <v>#N/A</v>
      </c>
      <c r="K7606" s="17" t="e">
        <f t="shared" si="1188"/>
        <v>#N/A</v>
      </c>
      <c r="L7606" s="16">
        <f>base!X7606</f>
        <v>0</v>
      </c>
      <c r="M7606" s="11" t="e">
        <f t="shared" si="1184"/>
        <v>#DIV/0!</v>
      </c>
      <c r="N7606" s="11" t="e">
        <f t="shared" si="1185"/>
        <v>#N/A</v>
      </c>
      <c r="O7606" s="11" t="e">
        <f t="shared" si="1186"/>
        <v>#N/A</v>
      </c>
      <c r="P7606" s="12" t="e">
        <f t="shared" si="1187"/>
        <v>#N/A</v>
      </c>
      <c r="Q7606" s="17" t="e">
        <f t="shared" si="1189"/>
        <v>#N/A</v>
      </c>
    </row>
    <row r="7607" spans="1:17" x14ac:dyDescent="0.3">
      <c r="A7607" s="34">
        <f>base!J7607</f>
        <v>0</v>
      </c>
      <c r="B7607" s="34">
        <f>base!V7607</f>
        <v>0</v>
      </c>
      <c r="C7607" s="40" t="s">
        <v>11</v>
      </c>
      <c r="D7607" s="36">
        <f>base!H7607</f>
        <v>0</v>
      </c>
      <c r="E7607" s="44"/>
      <c r="F7607" s="16">
        <f>base!W7607</f>
        <v>0</v>
      </c>
      <c r="G7607" s="11" t="e">
        <f t="shared" si="1180"/>
        <v>#DIV/0!</v>
      </c>
      <c r="H7607" s="11" t="e">
        <f t="shared" si="1181"/>
        <v>#N/A</v>
      </c>
      <c r="I7607" s="11" t="e">
        <f t="shared" si="1182"/>
        <v>#N/A</v>
      </c>
      <c r="J7607" s="12" t="e">
        <f t="shared" si="1183"/>
        <v>#N/A</v>
      </c>
      <c r="K7607" s="17" t="e">
        <f t="shared" si="1188"/>
        <v>#N/A</v>
      </c>
      <c r="L7607" s="16">
        <f>base!X7607</f>
        <v>0</v>
      </c>
      <c r="M7607" s="11" t="e">
        <f t="shared" si="1184"/>
        <v>#DIV/0!</v>
      </c>
      <c r="N7607" s="11" t="e">
        <f t="shared" si="1185"/>
        <v>#N/A</v>
      </c>
      <c r="O7607" s="11" t="e">
        <f t="shared" si="1186"/>
        <v>#N/A</v>
      </c>
      <c r="P7607" s="12" t="e">
        <f t="shared" si="1187"/>
        <v>#N/A</v>
      </c>
      <c r="Q7607" s="17" t="e">
        <f t="shared" si="1189"/>
        <v>#N/A</v>
      </c>
    </row>
    <row r="7608" spans="1:17" x14ac:dyDescent="0.3">
      <c r="A7608" s="34">
        <f>base!J7608</f>
        <v>0</v>
      </c>
      <c r="B7608" s="34">
        <f>base!V7608</f>
        <v>0</v>
      </c>
      <c r="C7608" s="40" t="s">
        <v>11</v>
      </c>
      <c r="D7608" s="36">
        <f>base!H7608</f>
        <v>0</v>
      </c>
      <c r="E7608" s="44"/>
      <c r="F7608" s="16">
        <f>base!W7608</f>
        <v>0</v>
      </c>
      <c r="G7608" s="11" t="e">
        <f t="shared" si="1180"/>
        <v>#DIV/0!</v>
      </c>
      <c r="H7608" s="11" t="e">
        <f t="shared" si="1181"/>
        <v>#N/A</v>
      </c>
      <c r="I7608" s="11" t="e">
        <f t="shared" si="1182"/>
        <v>#N/A</v>
      </c>
      <c r="J7608" s="12" t="e">
        <f t="shared" si="1183"/>
        <v>#N/A</v>
      </c>
      <c r="K7608" s="17" t="e">
        <f t="shared" si="1188"/>
        <v>#N/A</v>
      </c>
      <c r="L7608" s="16">
        <f>base!X7608</f>
        <v>0</v>
      </c>
      <c r="M7608" s="11" t="e">
        <f t="shared" si="1184"/>
        <v>#DIV/0!</v>
      </c>
      <c r="N7608" s="11" t="e">
        <f t="shared" si="1185"/>
        <v>#N/A</v>
      </c>
      <c r="O7608" s="11" t="e">
        <f t="shared" si="1186"/>
        <v>#N/A</v>
      </c>
      <c r="P7608" s="12" t="e">
        <f t="shared" si="1187"/>
        <v>#N/A</v>
      </c>
      <c r="Q7608" s="17" t="e">
        <f t="shared" si="1189"/>
        <v>#N/A</v>
      </c>
    </row>
    <row r="7609" spans="1:17" x14ac:dyDescent="0.3">
      <c r="A7609" s="34">
        <f>base!J7609</f>
        <v>0</v>
      </c>
      <c r="B7609" s="34">
        <f>base!V7609</f>
        <v>0</v>
      </c>
      <c r="C7609" s="40" t="s">
        <v>11</v>
      </c>
      <c r="D7609" s="36">
        <f>base!H7609</f>
        <v>0</v>
      </c>
      <c r="E7609" s="44"/>
      <c r="F7609" s="16">
        <f>base!W7609</f>
        <v>0</v>
      </c>
      <c r="G7609" s="11" t="e">
        <f t="shared" si="1180"/>
        <v>#DIV/0!</v>
      </c>
      <c r="H7609" s="11" t="e">
        <f t="shared" si="1181"/>
        <v>#N/A</v>
      </c>
      <c r="I7609" s="11" t="e">
        <f t="shared" si="1182"/>
        <v>#N/A</v>
      </c>
      <c r="J7609" s="12" t="e">
        <f t="shared" si="1183"/>
        <v>#N/A</v>
      </c>
      <c r="K7609" s="17" t="e">
        <f t="shared" si="1188"/>
        <v>#N/A</v>
      </c>
      <c r="L7609" s="16">
        <f>base!X7609</f>
        <v>0</v>
      </c>
      <c r="M7609" s="11" t="e">
        <f t="shared" si="1184"/>
        <v>#DIV/0!</v>
      </c>
      <c r="N7609" s="11" t="e">
        <f t="shared" si="1185"/>
        <v>#N/A</v>
      </c>
      <c r="O7609" s="11" t="e">
        <f t="shared" si="1186"/>
        <v>#N/A</v>
      </c>
      <c r="P7609" s="12" t="e">
        <f t="shared" si="1187"/>
        <v>#N/A</v>
      </c>
      <c r="Q7609" s="17" t="e">
        <f t="shared" si="1189"/>
        <v>#N/A</v>
      </c>
    </row>
    <row r="7610" spans="1:17" x14ac:dyDescent="0.3">
      <c r="A7610" s="34">
        <f>base!J7610</f>
        <v>0</v>
      </c>
      <c r="B7610" s="34">
        <f>base!V7610</f>
        <v>0</v>
      </c>
      <c r="C7610" s="40" t="s">
        <v>11</v>
      </c>
      <c r="D7610" s="36">
        <f>base!H7610</f>
        <v>0</v>
      </c>
      <c r="E7610" s="44"/>
      <c r="F7610" s="16">
        <f>base!W7610</f>
        <v>0</v>
      </c>
      <c r="G7610" s="11" t="e">
        <f t="shared" si="1180"/>
        <v>#DIV/0!</v>
      </c>
      <c r="H7610" s="11" t="e">
        <f t="shared" si="1181"/>
        <v>#N/A</v>
      </c>
      <c r="I7610" s="11" t="e">
        <f t="shared" si="1182"/>
        <v>#N/A</v>
      </c>
      <c r="J7610" s="12" t="e">
        <f t="shared" si="1183"/>
        <v>#N/A</v>
      </c>
      <c r="K7610" s="17" t="e">
        <f t="shared" si="1188"/>
        <v>#N/A</v>
      </c>
      <c r="L7610" s="16">
        <f>base!X7610</f>
        <v>0</v>
      </c>
      <c r="M7610" s="11" t="e">
        <f t="shared" si="1184"/>
        <v>#DIV/0!</v>
      </c>
      <c r="N7610" s="11" t="e">
        <f t="shared" si="1185"/>
        <v>#N/A</v>
      </c>
      <c r="O7610" s="11" t="e">
        <f t="shared" si="1186"/>
        <v>#N/A</v>
      </c>
      <c r="P7610" s="12" t="e">
        <f t="shared" si="1187"/>
        <v>#N/A</v>
      </c>
      <c r="Q7610" s="17" t="e">
        <f t="shared" si="1189"/>
        <v>#N/A</v>
      </c>
    </row>
    <row r="7611" spans="1:17" x14ac:dyDescent="0.3">
      <c r="A7611" s="34">
        <f>base!J7611</f>
        <v>0</v>
      </c>
      <c r="B7611" s="34">
        <f>base!V7611</f>
        <v>0</v>
      </c>
      <c r="C7611" s="40" t="s">
        <v>11</v>
      </c>
      <c r="D7611" s="36">
        <f>base!H7611</f>
        <v>0</v>
      </c>
      <c r="E7611" s="44"/>
      <c r="F7611" s="16">
        <f>base!W7611</f>
        <v>0</v>
      </c>
      <c r="G7611" s="11" t="e">
        <f t="shared" si="1180"/>
        <v>#DIV/0!</v>
      </c>
      <c r="H7611" s="11" t="e">
        <f t="shared" si="1181"/>
        <v>#N/A</v>
      </c>
      <c r="I7611" s="11" t="e">
        <f t="shared" si="1182"/>
        <v>#N/A</v>
      </c>
      <c r="J7611" s="12" t="e">
        <f t="shared" si="1183"/>
        <v>#N/A</v>
      </c>
      <c r="K7611" s="17" t="e">
        <f t="shared" si="1188"/>
        <v>#N/A</v>
      </c>
      <c r="L7611" s="16">
        <f>base!X7611</f>
        <v>0</v>
      </c>
      <c r="M7611" s="11" t="e">
        <f t="shared" si="1184"/>
        <v>#DIV/0!</v>
      </c>
      <c r="N7611" s="11" t="e">
        <f t="shared" si="1185"/>
        <v>#N/A</v>
      </c>
      <c r="O7611" s="11" t="e">
        <f t="shared" si="1186"/>
        <v>#N/A</v>
      </c>
      <c r="P7611" s="12" t="e">
        <f t="shared" si="1187"/>
        <v>#N/A</v>
      </c>
      <c r="Q7611" s="17" t="e">
        <f t="shared" si="1189"/>
        <v>#N/A</v>
      </c>
    </row>
    <row r="7612" spans="1:17" x14ac:dyDescent="0.3">
      <c r="A7612" s="34">
        <f>base!J7612</f>
        <v>0</v>
      </c>
      <c r="B7612" s="34">
        <f>base!V7612</f>
        <v>0</v>
      </c>
      <c r="C7612" s="40" t="s">
        <v>11</v>
      </c>
      <c r="D7612" s="36">
        <f>base!H7612</f>
        <v>0</v>
      </c>
      <c r="E7612" s="44"/>
      <c r="F7612" s="16">
        <f>base!W7612</f>
        <v>0</v>
      </c>
      <c r="G7612" s="11" t="e">
        <f t="shared" si="1180"/>
        <v>#DIV/0!</v>
      </c>
      <c r="H7612" s="11" t="e">
        <f t="shared" si="1181"/>
        <v>#N/A</v>
      </c>
      <c r="I7612" s="11" t="e">
        <f t="shared" si="1182"/>
        <v>#N/A</v>
      </c>
      <c r="J7612" s="12" t="e">
        <f t="shared" si="1183"/>
        <v>#N/A</v>
      </c>
      <c r="K7612" s="17" t="e">
        <f t="shared" si="1188"/>
        <v>#N/A</v>
      </c>
      <c r="L7612" s="16">
        <f>base!X7612</f>
        <v>0</v>
      </c>
      <c r="M7612" s="11" t="e">
        <f t="shared" si="1184"/>
        <v>#DIV/0!</v>
      </c>
      <c r="N7612" s="11" t="e">
        <f t="shared" si="1185"/>
        <v>#N/A</v>
      </c>
      <c r="O7612" s="11" t="e">
        <f t="shared" si="1186"/>
        <v>#N/A</v>
      </c>
      <c r="P7612" s="12" t="e">
        <f t="shared" si="1187"/>
        <v>#N/A</v>
      </c>
      <c r="Q7612" s="17" t="e">
        <f t="shared" si="1189"/>
        <v>#N/A</v>
      </c>
    </row>
    <row r="7613" spans="1:17" x14ac:dyDescent="0.3">
      <c r="A7613" s="34">
        <f>base!J7613</f>
        <v>0</v>
      </c>
      <c r="B7613" s="34">
        <f>base!V7613</f>
        <v>0</v>
      </c>
      <c r="C7613" s="40" t="s">
        <v>11</v>
      </c>
      <c r="D7613" s="36">
        <f>base!H7613</f>
        <v>0</v>
      </c>
      <c r="E7613" s="44"/>
      <c r="F7613" s="16">
        <f>base!W7613</f>
        <v>0</v>
      </c>
      <c r="G7613" s="11" t="e">
        <f t="shared" si="1180"/>
        <v>#DIV/0!</v>
      </c>
      <c r="H7613" s="11" t="e">
        <f t="shared" si="1181"/>
        <v>#N/A</v>
      </c>
      <c r="I7613" s="11" t="e">
        <f t="shared" si="1182"/>
        <v>#N/A</v>
      </c>
      <c r="J7613" s="12" t="e">
        <f t="shared" si="1183"/>
        <v>#N/A</v>
      </c>
      <c r="K7613" s="17" t="e">
        <f t="shared" si="1188"/>
        <v>#N/A</v>
      </c>
      <c r="L7613" s="16">
        <f>base!X7613</f>
        <v>0</v>
      </c>
      <c r="M7613" s="11" t="e">
        <f t="shared" si="1184"/>
        <v>#DIV/0!</v>
      </c>
      <c r="N7613" s="11" t="e">
        <f t="shared" si="1185"/>
        <v>#N/A</v>
      </c>
      <c r="O7613" s="11" t="e">
        <f t="shared" si="1186"/>
        <v>#N/A</v>
      </c>
      <c r="P7613" s="12" t="e">
        <f t="shared" si="1187"/>
        <v>#N/A</v>
      </c>
      <c r="Q7613" s="17" t="e">
        <f t="shared" si="1189"/>
        <v>#N/A</v>
      </c>
    </row>
    <row r="7614" spans="1:17" x14ac:dyDescent="0.3">
      <c r="A7614" s="34">
        <f>base!J7614</f>
        <v>0</v>
      </c>
      <c r="B7614" s="34">
        <f>base!V7614</f>
        <v>0</v>
      </c>
      <c r="C7614" s="40" t="s">
        <v>11</v>
      </c>
      <c r="D7614" s="36">
        <f>base!H7614</f>
        <v>0</v>
      </c>
      <c r="E7614" s="44"/>
      <c r="F7614" s="16">
        <f>base!W7614</f>
        <v>0</v>
      </c>
      <c r="G7614" s="11" t="e">
        <f t="shared" si="1180"/>
        <v>#DIV/0!</v>
      </c>
      <c r="H7614" s="11" t="e">
        <f t="shared" si="1181"/>
        <v>#N/A</v>
      </c>
      <c r="I7614" s="11" t="e">
        <f t="shared" si="1182"/>
        <v>#N/A</v>
      </c>
      <c r="J7614" s="12" t="e">
        <f t="shared" si="1183"/>
        <v>#N/A</v>
      </c>
      <c r="K7614" s="17" t="e">
        <f t="shared" si="1188"/>
        <v>#N/A</v>
      </c>
      <c r="L7614" s="16">
        <f>base!X7614</f>
        <v>0</v>
      </c>
      <c r="M7614" s="11" t="e">
        <f t="shared" si="1184"/>
        <v>#DIV/0!</v>
      </c>
      <c r="N7614" s="11" t="e">
        <f t="shared" si="1185"/>
        <v>#N/A</v>
      </c>
      <c r="O7614" s="11" t="e">
        <f t="shared" si="1186"/>
        <v>#N/A</v>
      </c>
      <c r="P7614" s="12" t="e">
        <f t="shared" si="1187"/>
        <v>#N/A</v>
      </c>
      <c r="Q7614" s="17" t="e">
        <f t="shared" si="1189"/>
        <v>#N/A</v>
      </c>
    </row>
    <row r="7615" spans="1:17" x14ac:dyDescent="0.3">
      <c r="A7615" s="34">
        <f>base!J7615</f>
        <v>0</v>
      </c>
      <c r="B7615" s="34">
        <f>base!V7615</f>
        <v>0</v>
      </c>
      <c r="C7615" s="40" t="s">
        <v>11</v>
      </c>
      <c r="D7615" s="36">
        <f>base!H7615</f>
        <v>0</v>
      </c>
      <c r="E7615" s="44"/>
      <c r="F7615" s="16">
        <f>base!W7615</f>
        <v>0</v>
      </c>
      <c r="G7615" s="11" t="e">
        <f t="shared" si="1180"/>
        <v>#DIV/0!</v>
      </c>
      <c r="H7615" s="11" t="e">
        <f t="shared" si="1181"/>
        <v>#N/A</v>
      </c>
      <c r="I7615" s="11" t="e">
        <f t="shared" si="1182"/>
        <v>#N/A</v>
      </c>
      <c r="J7615" s="12" t="e">
        <f t="shared" si="1183"/>
        <v>#N/A</v>
      </c>
      <c r="K7615" s="17" t="e">
        <f t="shared" si="1188"/>
        <v>#N/A</v>
      </c>
      <c r="L7615" s="16">
        <f>base!X7615</f>
        <v>0</v>
      </c>
      <c r="M7615" s="11" t="e">
        <f t="shared" si="1184"/>
        <v>#DIV/0!</v>
      </c>
      <c r="N7615" s="11" t="e">
        <f t="shared" si="1185"/>
        <v>#N/A</v>
      </c>
      <c r="O7615" s="11" t="e">
        <f t="shared" si="1186"/>
        <v>#N/A</v>
      </c>
      <c r="P7615" s="12" t="e">
        <f t="shared" si="1187"/>
        <v>#N/A</v>
      </c>
      <c r="Q7615" s="17" t="e">
        <f t="shared" si="1189"/>
        <v>#N/A</v>
      </c>
    </row>
    <row r="7616" spans="1:17" x14ac:dyDescent="0.3">
      <c r="A7616" s="34">
        <f>base!J7616</f>
        <v>0</v>
      </c>
      <c r="B7616" s="34">
        <f>base!V7616</f>
        <v>0</v>
      </c>
      <c r="C7616" s="40" t="s">
        <v>11</v>
      </c>
      <c r="D7616" s="36">
        <f>base!H7616</f>
        <v>0</v>
      </c>
      <c r="E7616" s="44"/>
      <c r="F7616" s="16">
        <f>base!W7616</f>
        <v>0</v>
      </c>
      <c r="G7616" s="11" t="e">
        <f t="shared" si="1180"/>
        <v>#DIV/0!</v>
      </c>
      <c r="H7616" s="11" t="e">
        <f t="shared" si="1181"/>
        <v>#N/A</v>
      </c>
      <c r="I7616" s="11" t="e">
        <f t="shared" si="1182"/>
        <v>#N/A</v>
      </c>
      <c r="J7616" s="12" t="e">
        <f t="shared" si="1183"/>
        <v>#N/A</v>
      </c>
      <c r="K7616" s="17" t="e">
        <f t="shared" si="1188"/>
        <v>#N/A</v>
      </c>
      <c r="L7616" s="16">
        <f>base!X7616</f>
        <v>0</v>
      </c>
      <c r="M7616" s="11" t="e">
        <f t="shared" si="1184"/>
        <v>#DIV/0!</v>
      </c>
      <c r="N7616" s="11" t="e">
        <f t="shared" si="1185"/>
        <v>#N/A</v>
      </c>
      <c r="O7616" s="11" t="e">
        <f t="shared" si="1186"/>
        <v>#N/A</v>
      </c>
      <c r="P7616" s="12" t="e">
        <f t="shared" si="1187"/>
        <v>#N/A</v>
      </c>
      <c r="Q7616" s="17" t="e">
        <f t="shared" si="1189"/>
        <v>#N/A</v>
      </c>
    </row>
    <row r="7617" spans="1:17" x14ac:dyDescent="0.3">
      <c r="A7617" s="34">
        <f>base!J7617</f>
        <v>0</v>
      </c>
      <c r="B7617" s="34">
        <f>base!V7617</f>
        <v>0</v>
      </c>
      <c r="C7617" s="40" t="s">
        <v>11</v>
      </c>
      <c r="D7617" s="36">
        <f>base!H7617</f>
        <v>0</v>
      </c>
      <c r="E7617" s="44"/>
      <c r="F7617" s="16">
        <f>base!W7617</f>
        <v>0</v>
      </c>
      <c r="G7617" s="11" t="e">
        <f t="shared" si="1180"/>
        <v>#DIV/0!</v>
      </c>
      <c r="H7617" s="11" t="e">
        <f t="shared" si="1181"/>
        <v>#N/A</v>
      </c>
      <c r="I7617" s="11" t="e">
        <f t="shared" si="1182"/>
        <v>#N/A</v>
      </c>
      <c r="J7617" s="12" t="e">
        <f t="shared" si="1183"/>
        <v>#N/A</v>
      </c>
      <c r="K7617" s="17" t="e">
        <f t="shared" si="1188"/>
        <v>#N/A</v>
      </c>
      <c r="L7617" s="16">
        <f>base!X7617</f>
        <v>0</v>
      </c>
      <c r="M7617" s="11" t="e">
        <f t="shared" si="1184"/>
        <v>#DIV/0!</v>
      </c>
      <c r="N7617" s="11" t="e">
        <f t="shared" si="1185"/>
        <v>#N/A</v>
      </c>
      <c r="O7617" s="11" t="e">
        <f t="shared" si="1186"/>
        <v>#N/A</v>
      </c>
      <c r="P7617" s="12" t="e">
        <f t="shared" si="1187"/>
        <v>#N/A</v>
      </c>
      <c r="Q7617" s="17" t="e">
        <f t="shared" si="1189"/>
        <v>#N/A</v>
      </c>
    </row>
    <row r="7618" spans="1:17" x14ac:dyDescent="0.3">
      <c r="A7618" s="34">
        <f>base!J7618</f>
        <v>0</v>
      </c>
      <c r="B7618" s="34">
        <f>base!V7618</f>
        <v>0</v>
      </c>
      <c r="C7618" s="40" t="s">
        <v>11</v>
      </c>
      <c r="D7618" s="36">
        <f>base!H7618</f>
        <v>0</v>
      </c>
      <c r="E7618" s="44"/>
      <c r="F7618" s="16">
        <f>base!W7618</f>
        <v>0</v>
      </c>
      <c r="G7618" s="11" t="e">
        <f t="shared" ref="G7618:G7681" si="1190">F7618/D7618</f>
        <v>#DIV/0!</v>
      </c>
      <c r="H7618" s="11" t="e">
        <f t="shared" ref="H7618:H7681" si="1191">VLOOKUP(C7618,tout_cout_traction,2,FALSE)*D7618</f>
        <v>#N/A</v>
      </c>
      <c r="I7618" s="11" t="e">
        <f t="shared" ref="I7618:I7681" si="1192">H7618/D7618</f>
        <v>#N/A</v>
      </c>
      <c r="J7618" s="12" t="e">
        <f t="shared" ref="J7618:J7681" si="1193">F7618-H7618</f>
        <v>#N/A</v>
      </c>
      <c r="K7618" s="17" t="e">
        <f t="shared" si="1188"/>
        <v>#N/A</v>
      </c>
      <c r="L7618" s="16">
        <f>base!X7618</f>
        <v>0</v>
      </c>
      <c r="M7618" s="11" t="e">
        <f t="shared" ref="M7618:M7681" si="1194">L7618/D7618</f>
        <v>#DIV/0!</v>
      </c>
      <c r="N7618" s="11" t="e">
        <f t="shared" ref="N7618:N7681" si="1195">VLOOKUP(C7618,tout_cout_traction,3,FALSE)*D7618</f>
        <v>#N/A</v>
      </c>
      <c r="O7618" s="11" t="e">
        <f t="shared" ref="O7618:O7681" si="1196">N7618/D7618</f>
        <v>#N/A</v>
      </c>
      <c r="P7618" s="12" t="e">
        <f t="shared" ref="P7618:P7681" si="1197">L7618-N7618</f>
        <v>#N/A</v>
      </c>
      <c r="Q7618" s="17" t="e">
        <f t="shared" si="1189"/>
        <v>#N/A</v>
      </c>
    </row>
    <row r="7619" spans="1:17" x14ac:dyDescent="0.3">
      <c r="A7619" s="34">
        <f>base!J7619</f>
        <v>0</v>
      </c>
      <c r="B7619" s="34">
        <f>base!V7619</f>
        <v>0</v>
      </c>
      <c r="C7619" s="40" t="s">
        <v>11</v>
      </c>
      <c r="D7619" s="36">
        <f>base!H7619</f>
        <v>0</v>
      </c>
      <c r="E7619" s="44"/>
      <c r="F7619" s="16">
        <f>base!W7619</f>
        <v>0</v>
      </c>
      <c r="G7619" s="11" t="e">
        <f t="shared" si="1190"/>
        <v>#DIV/0!</v>
      </c>
      <c r="H7619" s="11" t="e">
        <f t="shared" si="1191"/>
        <v>#N/A</v>
      </c>
      <c r="I7619" s="11" t="e">
        <f t="shared" si="1192"/>
        <v>#N/A</v>
      </c>
      <c r="J7619" s="12" t="e">
        <f t="shared" si="1193"/>
        <v>#N/A</v>
      </c>
      <c r="K7619" s="17" t="e">
        <f t="shared" ref="K7619:K7682" si="1198">IF(H7619=F7619,"Pas d'écart",IF(H7619&lt;F7619,"Ecart positif",IF(H7619&gt;F7619,"Ecart négatif")))</f>
        <v>#N/A</v>
      </c>
      <c r="L7619" s="16">
        <f>base!X7619</f>
        <v>0</v>
      </c>
      <c r="M7619" s="11" t="e">
        <f t="shared" si="1194"/>
        <v>#DIV/0!</v>
      </c>
      <c r="N7619" s="11" t="e">
        <f t="shared" si="1195"/>
        <v>#N/A</v>
      </c>
      <c r="O7619" s="11" t="e">
        <f t="shared" si="1196"/>
        <v>#N/A</v>
      </c>
      <c r="P7619" s="12" t="e">
        <f t="shared" si="1197"/>
        <v>#N/A</v>
      </c>
      <c r="Q7619" s="17" t="e">
        <f t="shared" ref="Q7619:Q7682" si="1199">IF(N7619=L7619,"Pas d'écart",IF(N7619&lt;L7619,"Ecart positif",IF(N7619&gt;L7619,"Ecart négatif")))</f>
        <v>#N/A</v>
      </c>
    </row>
    <row r="7620" spans="1:17" x14ac:dyDescent="0.3">
      <c r="A7620" s="34">
        <f>base!J7620</f>
        <v>0</v>
      </c>
      <c r="B7620" s="34">
        <f>base!V7620</f>
        <v>0</v>
      </c>
      <c r="C7620" s="40" t="s">
        <v>11</v>
      </c>
      <c r="D7620" s="36">
        <f>base!H7620</f>
        <v>0</v>
      </c>
      <c r="E7620" s="44"/>
      <c r="F7620" s="16">
        <f>base!W7620</f>
        <v>0</v>
      </c>
      <c r="G7620" s="11" t="e">
        <f t="shared" si="1190"/>
        <v>#DIV/0!</v>
      </c>
      <c r="H7620" s="11" t="e">
        <f t="shared" si="1191"/>
        <v>#N/A</v>
      </c>
      <c r="I7620" s="11" t="e">
        <f t="shared" si="1192"/>
        <v>#N/A</v>
      </c>
      <c r="J7620" s="12" t="e">
        <f t="shared" si="1193"/>
        <v>#N/A</v>
      </c>
      <c r="K7620" s="17" t="e">
        <f t="shared" si="1198"/>
        <v>#N/A</v>
      </c>
      <c r="L7620" s="16">
        <f>base!X7620</f>
        <v>0</v>
      </c>
      <c r="M7620" s="11" t="e">
        <f t="shared" si="1194"/>
        <v>#DIV/0!</v>
      </c>
      <c r="N7620" s="11" t="e">
        <f t="shared" si="1195"/>
        <v>#N/A</v>
      </c>
      <c r="O7620" s="11" t="e">
        <f t="shared" si="1196"/>
        <v>#N/A</v>
      </c>
      <c r="P7620" s="12" t="e">
        <f t="shared" si="1197"/>
        <v>#N/A</v>
      </c>
      <c r="Q7620" s="17" t="e">
        <f t="shared" si="1199"/>
        <v>#N/A</v>
      </c>
    </row>
    <row r="7621" spans="1:17" x14ac:dyDescent="0.3">
      <c r="A7621" s="34">
        <f>base!J7621</f>
        <v>0</v>
      </c>
      <c r="B7621" s="34">
        <f>base!V7621</f>
        <v>0</v>
      </c>
      <c r="C7621" s="40" t="s">
        <v>11</v>
      </c>
      <c r="D7621" s="36">
        <f>base!H7621</f>
        <v>0</v>
      </c>
      <c r="E7621" s="44"/>
      <c r="F7621" s="16">
        <f>base!W7621</f>
        <v>0</v>
      </c>
      <c r="G7621" s="11" t="e">
        <f t="shared" si="1190"/>
        <v>#DIV/0!</v>
      </c>
      <c r="H7621" s="11" t="e">
        <f t="shared" si="1191"/>
        <v>#N/A</v>
      </c>
      <c r="I7621" s="11" t="e">
        <f t="shared" si="1192"/>
        <v>#N/A</v>
      </c>
      <c r="J7621" s="12" t="e">
        <f t="shared" si="1193"/>
        <v>#N/A</v>
      </c>
      <c r="K7621" s="17" t="e">
        <f t="shared" si="1198"/>
        <v>#N/A</v>
      </c>
      <c r="L7621" s="16">
        <f>base!X7621</f>
        <v>0</v>
      </c>
      <c r="M7621" s="11" t="e">
        <f t="shared" si="1194"/>
        <v>#DIV/0!</v>
      </c>
      <c r="N7621" s="11" t="e">
        <f t="shared" si="1195"/>
        <v>#N/A</v>
      </c>
      <c r="O7621" s="11" t="e">
        <f t="shared" si="1196"/>
        <v>#N/A</v>
      </c>
      <c r="P7621" s="12" t="e">
        <f t="shared" si="1197"/>
        <v>#N/A</v>
      </c>
      <c r="Q7621" s="17" t="e">
        <f t="shared" si="1199"/>
        <v>#N/A</v>
      </c>
    </row>
    <row r="7622" spans="1:17" x14ac:dyDescent="0.3">
      <c r="A7622" s="34">
        <f>base!J7622</f>
        <v>0</v>
      </c>
      <c r="B7622" s="34">
        <f>base!V7622</f>
        <v>0</v>
      </c>
      <c r="C7622" s="40" t="s">
        <v>11</v>
      </c>
      <c r="D7622" s="36">
        <f>base!H7622</f>
        <v>0</v>
      </c>
      <c r="E7622" s="44"/>
      <c r="F7622" s="16">
        <f>base!W7622</f>
        <v>0</v>
      </c>
      <c r="G7622" s="11" t="e">
        <f t="shared" si="1190"/>
        <v>#DIV/0!</v>
      </c>
      <c r="H7622" s="11" t="e">
        <f t="shared" si="1191"/>
        <v>#N/A</v>
      </c>
      <c r="I7622" s="11" t="e">
        <f t="shared" si="1192"/>
        <v>#N/A</v>
      </c>
      <c r="J7622" s="12" t="e">
        <f t="shared" si="1193"/>
        <v>#N/A</v>
      </c>
      <c r="K7622" s="17" t="e">
        <f t="shared" si="1198"/>
        <v>#N/A</v>
      </c>
      <c r="L7622" s="16">
        <f>base!X7622</f>
        <v>0</v>
      </c>
      <c r="M7622" s="11" t="e">
        <f t="shared" si="1194"/>
        <v>#DIV/0!</v>
      </c>
      <c r="N7622" s="11" t="e">
        <f t="shared" si="1195"/>
        <v>#N/A</v>
      </c>
      <c r="O7622" s="11" t="e">
        <f t="shared" si="1196"/>
        <v>#N/A</v>
      </c>
      <c r="P7622" s="12" t="e">
        <f t="shared" si="1197"/>
        <v>#N/A</v>
      </c>
      <c r="Q7622" s="17" t="e">
        <f t="shared" si="1199"/>
        <v>#N/A</v>
      </c>
    </row>
    <row r="7623" spans="1:17" x14ac:dyDescent="0.3">
      <c r="A7623" s="34">
        <f>base!J7623</f>
        <v>0</v>
      </c>
      <c r="B7623" s="34">
        <f>base!V7623</f>
        <v>0</v>
      </c>
      <c r="C7623" s="40" t="s">
        <v>11</v>
      </c>
      <c r="D7623" s="36">
        <f>base!H7623</f>
        <v>0</v>
      </c>
      <c r="E7623" s="44"/>
      <c r="F7623" s="16">
        <f>base!W7623</f>
        <v>0</v>
      </c>
      <c r="G7623" s="11" t="e">
        <f t="shared" si="1190"/>
        <v>#DIV/0!</v>
      </c>
      <c r="H7623" s="11" t="e">
        <f t="shared" si="1191"/>
        <v>#N/A</v>
      </c>
      <c r="I7623" s="11" t="e">
        <f t="shared" si="1192"/>
        <v>#N/A</v>
      </c>
      <c r="J7623" s="12" t="e">
        <f t="shared" si="1193"/>
        <v>#N/A</v>
      </c>
      <c r="K7623" s="17" t="e">
        <f t="shared" si="1198"/>
        <v>#N/A</v>
      </c>
      <c r="L7623" s="16">
        <f>base!X7623</f>
        <v>0</v>
      </c>
      <c r="M7623" s="11" t="e">
        <f t="shared" si="1194"/>
        <v>#DIV/0!</v>
      </c>
      <c r="N7623" s="11" t="e">
        <f t="shared" si="1195"/>
        <v>#N/A</v>
      </c>
      <c r="O7623" s="11" t="e">
        <f t="shared" si="1196"/>
        <v>#N/A</v>
      </c>
      <c r="P7623" s="12" t="e">
        <f t="shared" si="1197"/>
        <v>#N/A</v>
      </c>
      <c r="Q7623" s="17" t="e">
        <f t="shared" si="1199"/>
        <v>#N/A</v>
      </c>
    </row>
    <row r="7624" spans="1:17" x14ac:dyDescent="0.3">
      <c r="A7624" s="34">
        <f>base!J7624</f>
        <v>0</v>
      </c>
      <c r="B7624" s="34">
        <f>base!V7624</f>
        <v>0</v>
      </c>
      <c r="C7624" s="40" t="s">
        <v>11</v>
      </c>
      <c r="D7624" s="36">
        <f>base!H7624</f>
        <v>0</v>
      </c>
      <c r="E7624" s="44"/>
      <c r="F7624" s="16">
        <f>base!W7624</f>
        <v>0</v>
      </c>
      <c r="G7624" s="11" t="e">
        <f t="shared" si="1190"/>
        <v>#DIV/0!</v>
      </c>
      <c r="H7624" s="11" t="e">
        <f t="shared" si="1191"/>
        <v>#N/A</v>
      </c>
      <c r="I7624" s="11" t="e">
        <f t="shared" si="1192"/>
        <v>#N/A</v>
      </c>
      <c r="J7624" s="12" t="e">
        <f t="shared" si="1193"/>
        <v>#N/A</v>
      </c>
      <c r="K7624" s="17" t="e">
        <f t="shared" si="1198"/>
        <v>#N/A</v>
      </c>
      <c r="L7624" s="16">
        <f>base!X7624</f>
        <v>0</v>
      </c>
      <c r="M7624" s="11" t="e">
        <f t="shared" si="1194"/>
        <v>#DIV/0!</v>
      </c>
      <c r="N7624" s="11" t="e">
        <f t="shared" si="1195"/>
        <v>#N/A</v>
      </c>
      <c r="O7624" s="11" t="e">
        <f t="shared" si="1196"/>
        <v>#N/A</v>
      </c>
      <c r="P7624" s="12" t="e">
        <f t="shared" si="1197"/>
        <v>#N/A</v>
      </c>
      <c r="Q7624" s="17" t="e">
        <f t="shared" si="1199"/>
        <v>#N/A</v>
      </c>
    </row>
    <row r="7625" spans="1:17" x14ac:dyDescent="0.3">
      <c r="A7625" s="34">
        <f>base!J7625</f>
        <v>0</v>
      </c>
      <c r="B7625" s="34">
        <f>base!V7625</f>
        <v>0</v>
      </c>
      <c r="C7625" s="40" t="s">
        <v>11</v>
      </c>
      <c r="D7625" s="36">
        <f>base!H7625</f>
        <v>0</v>
      </c>
      <c r="E7625" s="44"/>
      <c r="F7625" s="16">
        <f>base!W7625</f>
        <v>0</v>
      </c>
      <c r="G7625" s="11" t="e">
        <f t="shared" si="1190"/>
        <v>#DIV/0!</v>
      </c>
      <c r="H7625" s="11" t="e">
        <f t="shared" si="1191"/>
        <v>#N/A</v>
      </c>
      <c r="I7625" s="11" t="e">
        <f t="shared" si="1192"/>
        <v>#N/A</v>
      </c>
      <c r="J7625" s="12" t="e">
        <f t="shared" si="1193"/>
        <v>#N/A</v>
      </c>
      <c r="K7625" s="17" t="e">
        <f t="shared" si="1198"/>
        <v>#N/A</v>
      </c>
      <c r="L7625" s="16">
        <f>base!X7625</f>
        <v>0</v>
      </c>
      <c r="M7625" s="11" t="e">
        <f t="shared" si="1194"/>
        <v>#DIV/0!</v>
      </c>
      <c r="N7625" s="11" t="e">
        <f t="shared" si="1195"/>
        <v>#N/A</v>
      </c>
      <c r="O7625" s="11" t="e">
        <f t="shared" si="1196"/>
        <v>#N/A</v>
      </c>
      <c r="P7625" s="12" t="e">
        <f t="shared" si="1197"/>
        <v>#N/A</v>
      </c>
      <c r="Q7625" s="17" t="e">
        <f t="shared" si="1199"/>
        <v>#N/A</v>
      </c>
    </row>
    <row r="7626" spans="1:17" x14ac:dyDescent="0.3">
      <c r="A7626" s="34">
        <f>base!J7626</f>
        <v>0</v>
      </c>
      <c r="B7626" s="34">
        <f>base!V7626</f>
        <v>0</v>
      </c>
      <c r="C7626" s="40" t="s">
        <v>11</v>
      </c>
      <c r="D7626" s="36">
        <f>base!H7626</f>
        <v>0</v>
      </c>
      <c r="E7626" s="44"/>
      <c r="F7626" s="16">
        <f>base!W7626</f>
        <v>0</v>
      </c>
      <c r="G7626" s="11" t="e">
        <f t="shared" si="1190"/>
        <v>#DIV/0!</v>
      </c>
      <c r="H7626" s="11" t="e">
        <f t="shared" si="1191"/>
        <v>#N/A</v>
      </c>
      <c r="I7626" s="11" t="e">
        <f t="shared" si="1192"/>
        <v>#N/A</v>
      </c>
      <c r="J7626" s="12" t="e">
        <f t="shared" si="1193"/>
        <v>#N/A</v>
      </c>
      <c r="K7626" s="17" t="e">
        <f t="shared" si="1198"/>
        <v>#N/A</v>
      </c>
      <c r="L7626" s="16">
        <f>base!X7626</f>
        <v>0</v>
      </c>
      <c r="M7626" s="11" t="e">
        <f t="shared" si="1194"/>
        <v>#DIV/0!</v>
      </c>
      <c r="N7626" s="11" t="e">
        <f t="shared" si="1195"/>
        <v>#N/A</v>
      </c>
      <c r="O7626" s="11" t="e">
        <f t="shared" si="1196"/>
        <v>#N/A</v>
      </c>
      <c r="P7626" s="12" t="e">
        <f t="shared" si="1197"/>
        <v>#N/A</v>
      </c>
      <c r="Q7626" s="17" t="e">
        <f t="shared" si="1199"/>
        <v>#N/A</v>
      </c>
    </row>
    <row r="7627" spans="1:17" x14ac:dyDescent="0.3">
      <c r="A7627" s="34">
        <f>base!J7627</f>
        <v>0</v>
      </c>
      <c r="B7627" s="34">
        <f>base!V7627</f>
        <v>0</v>
      </c>
      <c r="C7627" s="40" t="s">
        <v>11</v>
      </c>
      <c r="D7627" s="36">
        <f>base!H7627</f>
        <v>0</v>
      </c>
      <c r="E7627" s="44"/>
      <c r="F7627" s="16">
        <f>base!W7627</f>
        <v>0</v>
      </c>
      <c r="G7627" s="11" t="e">
        <f t="shared" si="1190"/>
        <v>#DIV/0!</v>
      </c>
      <c r="H7627" s="11" t="e">
        <f t="shared" si="1191"/>
        <v>#N/A</v>
      </c>
      <c r="I7627" s="11" t="e">
        <f t="shared" si="1192"/>
        <v>#N/A</v>
      </c>
      <c r="J7627" s="12" t="e">
        <f t="shared" si="1193"/>
        <v>#N/A</v>
      </c>
      <c r="K7627" s="17" t="e">
        <f t="shared" si="1198"/>
        <v>#N/A</v>
      </c>
      <c r="L7627" s="16">
        <f>base!X7627</f>
        <v>0</v>
      </c>
      <c r="M7627" s="11" t="e">
        <f t="shared" si="1194"/>
        <v>#DIV/0!</v>
      </c>
      <c r="N7627" s="11" t="e">
        <f t="shared" si="1195"/>
        <v>#N/A</v>
      </c>
      <c r="O7627" s="11" t="e">
        <f t="shared" si="1196"/>
        <v>#N/A</v>
      </c>
      <c r="P7627" s="12" t="e">
        <f t="shared" si="1197"/>
        <v>#N/A</v>
      </c>
      <c r="Q7627" s="17" t="e">
        <f t="shared" si="1199"/>
        <v>#N/A</v>
      </c>
    </row>
    <row r="7628" spans="1:17" x14ac:dyDescent="0.3">
      <c r="A7628" s="34">
        <f>base!J7628</f>
        <v>0</v>
      </c>
      <c r="B7628" s="34">
        <f>base!V7628</f>
        <v>0</v>
      </c>
      <c r="C7628" s="40" t="s">
        <v>11</v>
      </c>
      <c r="D7628" s="36">
        <f>base!H7628</f>
        <v>0</v>
      </c>
      <c r="E7628" s="44"/>
      <c r="F7628" s="16">
        <f>base!W7628</f>
        <v>0</v>
      </c>
      <c r="G7628" s="11" t="e">
        <f t="shared" si="1190"/>
        <v>#DIV/0!</v>
      </c>
      <c r="H7628" s="11" t="e">
        <f t="shared" si="1191"/>
        <v>#N/A</v>
      </c>
      <c r="I7628" s="11" t="e">
        <f t="shared" si="1192"/>
        <v>#N/A</v>
      </c>
      <c r="J7628" s="12" t="e">
        <f t="shared" si="1193"/>
        <v>#N/A</v>
      </c>
      <c r="K7628" s="17" t="e">
        <f t="shared" si="1198"/>
        <v>#N/A</v>
      </c>
      <c r="L7628" s="16">
        <f>base!X7628</f>
        <v>0</v>
      </c>
      <c r="M7628" s="11" t="e">
        <f t="shared" si="1194"/>
        <v>#DIV/0!</v>
      </c>
      <c r="N7628" s="11" t="e">
        <f t="shared" si="1195"/>
        <v>#N/A</v>
      </c>
      <c r="O7628" s="11" t="e">
        <f t="shared" si="1196"/>
        <v>#N/A</v>
      </c>
      <c r="P7628" s="12" t="e">
        <f t="shared" si="1197"/>
        <v>#N/A</v>
      </c>
      <c r="Q7628" s="17" t="e">
        <f t="shared" si="1199"/>
        <v>#N/A</v>
      </c>
    </row>
    <row r="7629" spans="1:17" x14ac:dyDescent="0.3">
      <c r="A7629" s="34">
        <f>base!J7629</f>
        <v>0</v>
      </c>
      <c r="B7629" s="34">
        <f>base!V7629</f>
        <v>0</v>
      </c>
      <c r="C7629" s="40" t="s">
        <v>11</v>
      </c>
      <c r="D7629" s="36">
        <f>base!H7629</f>
        <v>0</v>
      </c>
      <c r="E7629" s="44"/>
      <c r="F7629" s="16">
        <f>base!W7629</f>
        <v>0</v>
      </c>
      <c r="G7629" s="11" t="e">
        <f t="shared" si="1190"/>
        <v>#DIV/0!</v>
      </c>
      <c r="H7629" s="11" t="e">
        <f t="shared" si="1191"/>
        <v>#N/A</v>
      </c>
      <c r="I7629" s="11" t="e">
        <f t="shared" si="1192"/>
        <v>#N/A</v>
      </c>
      <c r="J7629" s="12" t="e">
        <f t="shared" si="1193"/>
        <v>#N/A</v>
      </c>
      <c r="K7629" s="17" t="e">
        <f t="shared" si="1198"/>
        <v>#N/A</v>
      </c>
      <c r="L7629" s="16">
        <f>base!X7629</f>
        <v>0</v>
      </c>
      <c r="M7629" s="11" t="e">
        <f t="shared" si="1194"/>
        <v>#DIV/0!</v>
      </c>
      <c r="N7629" s="11" t="e">
        <f t="shared" si="1195"/>
        <v>#N/A</v>
      </c>
      <c r="O7629" s="11" t="e">
        <f t="shared" si="1196"/>
        <v>#N/A</v>
      </c>
      <c r="P7629" s="12" t="e">
        <f t="shared" si="1197"/>
        <v>#N/A</v>
      </c>
      <c r="Q7629" s="17" t="e">
        <f t="shared" si="1199"/>
        <v>#N/A</v>
      </c>
    </row>
    <row r="7630" spans="1:17" x14ac:dyDescent="0.3">
      <c r="A7630" s="34">
        <f>base!J7630</f>
        <v>0</v>
      </c>
      <c r="B7630" s="34">
        <f>base!V7630</f>
        <v>0</v>
      </c>
      <c r="C7630" s="40" t="s">
        <v>11</v>
      </c>
      <c r="D7630" s="36">
        <f>base!H7630</f>
        <v>0</v>
      </c>
      <c r="E7630" s="44"/>
      <c r="F7630" s="16">
        <f>base!W7630</f>
        <v>0</v>
      </c>
      <c r="G7630" s="11" t="e">
        <f t="shared" si="1190"/>
        <v>#DIV/0!</v>
      </c>
      <c r="H7630" s="11" t="e">
        <f t="shared" si="1191"/>
        <v>#N/A</v>
      </c>
      <c r="I7630" s="11" t="e">
        <f t="shared" si="1192"/>
        <v>#N/A</v>
      </c>
      <c r="J7630" s="12" t="e">
        <f t="shared" si="1193"/>
        <v>#N/A</v>
      </c>
      <c r="K7630" s="17" t="e">
        <f t="shared" si="1198"/>
        <v>#N/A</v>
      </c>
      <c r="L7630" s="16">
        <f>base!X7630</f>
        <v>0</v>
      </c>
      <c r="M7630" s="11" t="e">
        <f t="shared" si="1194"/>
        <v>#DIV/0!</v>
      </c>
      <c r="N7630" s="11" t="e">
        <f t="shared" si="1195"/>
        <v>#N/A</v>
      </c>
      <c r="O7630" s="11" t="e">
        <f t="shared" si="1196"/>
        <v>#N/A</v>
      </c>
      <c r="P7630" s="12" t="e">
        <f t="shared" si="1197"/>
        <v>#N/A</v>
      </c>
      <c r="Q7630" s="17" t="e">
        <f t="shared" si="1199"/>
        <v>#N/A</v>
      </c>
    </row>
    <row r="7631" spans="1:17" x14ac:dyDescent="0.3">
      <c r="A7631" s="34">
        <f>base!J7631</f>
        <v>0</v>
      </c>
      <c r="B7631" s="34">
        <f>base!V7631</f>
        <v>0</v>
      </c>
      <c r="C7631" s="40" t="s">
        <v>11</v>
      </c>
      <c r="D7631" s="36">
        <f>base!H7631</f>
        <v>0</v>
      </c>
      <c r="E7631" s="44"/>
      <c r="F7631" s="16">
        <f>base!W7631</f>
        <v>0</v>
      </c>
      <c r="G7631" s="11" t="e">
        <f t="shared" si="1190"/>
        <v>#DIV/0!</v>
      </c>
      <c r="H7631" s="11" t="e">
        <f t="shared" si="1191"/>
        <v>#N/A</v>
      </c>
      <c r="I7631" s="11" t="e">
        <f t="shared" si="1192"/>
        <v>#N/A</v>
      </c>
      <c r="J7631" s="12" t="e">
        <f t="shared" si="1193"/>
        <v>#N/A</v>
      </c>
      <c r="K7631" s="17" t="e">
        <f t="shared" si="1198"/>
        <v>#N/A</v>
      </c>
      <c r="L7631" s="16">
        <f>base!X7631</f>
        <v>0</v>
      </c>
      <c r="M7631" s="11" t="e">
        <f t="shared" si="1194"/>
        <v>#DIV/0!</v>
      </c>
      <c r="N7631" s="11" t="e">
        <f t="shared" si="1195"/>
        <v>#N/A</v>
      </c>
      <c r="O7631" s="11" t="e">
        <f t="shared" si="1196"/>
        <v>#N/A</v>
      </c>
      <c r="P7631" s="12" t="e">
        <f t="shared" si="1197"/>
        <v>#N/A</v>
      </c>
      <c r="Q7631" s="17" t="e">
        <f t="shared" si="1199"/>
        <v>#N/A</v>
      </c>
    </row>
    <row r="7632" spans="1:17" x14ac:dyDescent="0.3">
      <c r="A7632" s="34">
        <f>base!J7632</f>
        <v>0</v>
      </c>
      <c r="B7632" s="34">
        <f>base!V7632</f>
        <v>0</v>
      </c>
      <c r="C7632" s="40" t="s">
        <v>11</v>
      </c>
      <c r="D7632" s="36">
        <f>base!H7632</f>
        <v>0</v>
      </c>
      <c r="E7632" s="44"/>
      <c r="F7632" s="16">
        <f>base!W7632</f>
        <v>0</v>
      </c>
      <c r="G7632" s="11" t="e">
        <f t="shared" si="1190"/>
        <v>#DIV/0!</v>
      </c>
      <c r="H7632" s="11" t="e">
        <f t="shared" si="1191"/>
        <v>#N/A</v>
      </c>
      <c r="I7632" s="11" t="e">
        <f t="shared" si="1192"/>
        <v>#N/A</v>
      </c>
      <c r="J7632" s="12" t="e">
        <f t="shared" si="1193"/>
        <v>#N/A</v>
      </c>
      <c r="K7632" s="17" t="e">
        <f t="shared" si="1198"/>
        <v>#N/A</v>
      </c>
      <c r="L7632" s="16">
        <f>base!X7632</f>
        <v>0</v>
      </c>
      <c r="M7632" s="11" t="e">
        <f t="shared" si="1194"/>
        <v>#DIV/0!</v>
      </c>
      <c r="N7632" s="11" t="e">
        <f t="shared" si="1195"/>
        <v>#N/A</v>
      </c>
      <c r="O7632" s="11" t="e">
        <f t="shared" si="1196"/>
        <v>#N/A</v>
      </c>
      <c r="P7632" s="12" t="e">
        <f t="shared" si="1197"/>
        <v>#N/A</v>
      </c>
      <c r="Q7632" s="17" t="e">
        <f t="shared" si="1199"/>
        <v>#N/A</v>
      </c>
    </row>
    <row r="7633" spans="1:17" x14ac:dyDescent="0.3">
      <c r="A7633" s="34">
        <f>base!J7633</f>
        <v>0</v>
      </c>
      <c r="B7633" s="34">
        <f>base!V7633</f>
        <v>0</v>
      </c>
      <c r="C7633" s="40" t="s">
        <v>11</v>
      </c>
      <c r="D7633" s="36">
        <f>base!H7633</f>
        <v>0</v>
      </c>
      <c r="E7633" s="44"/>
      <c r="F7633" s="16">
        <f>base!W7633</f>
        <v>0</v>
      </c>
      <c r="G7633" s="11" t="e">
        <f t="shared" si="1190"/>
        <v>#DIV/0!</v>
      </c>
      <c r="H7633" s="11" t="e">
        <f t="shared" si="1191"/>
        <v>#N/A</v>
      </c>
      <c r="I7633" s="11" t="e">
        <f t="shared" si="1192"/>
        <v>#N/A</v>
      </c>
      <c r="J7633" s="12" t="e">
        <f t="shared" si="1193"/>
        <v>#N/A</v>
      </c>
      <c r="K7633" s="17" t="e">
        <f t="shared" si="1198"/>
        <v>#N/A</v>
      </c>
      <c r="L7633" s="16">
        <f>base!X7633</f>
        <v>0</v>
      </c>
      <c r="M7633" s="11" t="e">
        <f t="shared" si="1194"/>
        <v>#DIV/0!</v>
      </c>
      <c r="N7633" s="11" t="e">
        <f t="shared" si="1195"/>
        <v>#N/A</v>
      </c>
      <c r="O7633" s="11" t="e">
        <f t="shared" si="1196"/>
        <v>#N/A</v>
      </c>
      <c r="P7633" s="12" t="e">
        <f t="shared" si="1197"/>
        <v>#N/A</v>
      </c>
      <c r="Q7633" s="17" t="e">
        <f t="shared" si="1199"/>
        <v>#N/A</v>
      </c>
    </row>
    <row r="7634" spans="1:17" x14ac:dyDescent="0.3">
      <c r="A7634" s="34">
        <f>base!J7634</f>
        <v>0</v>
      </c>
      <c r="B7634" s="34">
        <f>base!V7634</f>
        <v>0</v>
      </c>
      <c r="C7634" s="40" t="s">
        <v>11</v>
      </c>
      <c r="D7634" s="36">
        <f>base!H7634</f>
        <v>0</v>
      </c>
      <c r="E7634" s="44"/>
      <c r="F7634" s="16">
        <f>base!W7634</f>
        <v>0</v>
      </c>
      <c r="G7634" s="11" t="e">
        <f t="shared" si="1190"/>
        <v>#DIV/0!</v>
      </c>
      <c r="H7634" s="11" t="e">
        <f t="shared" si="1191"/>
        <v>#N/A</v>
      </c>
      <c r="I7634" s="11" t="e">
        <f t="shared" si="1192"/>
        <v>#N/A</v>
      </c>
      <c r="J7634" s="12" t="e">
        <f t="shared" si="1193"/>
        <v>#N/A</v>
      </c>
      <c r="K7634" s="17" t="e">
        <f t="shared" si="1198"/>
        <v>#N/A</v>
      </c>
      <c r="L7634" s="16">
        <f>base!X7634</f>
        <v>0</v>
      </c>
      <c r="M7634" s="11" t="e">
        <f t="shared" si="1194"/>
        <v>#DIV/0!</v>
      </c>
      <c r="N7634" s="11" t="e">
        <f t="shared" si="1195"/>
        <v>#N/A</v>
      </c>
      <c r="O7634" s="11" t="e">
        <f t="shared" si="1196"/>
        <v>#N/A</v>
      </c>
      <c r="P7634" s="12" t="e">
        <f t="shared" si="1197"/>
        <v>#N/A</v>
      </c>
      <c r="Q7634" s="17" t="e">
        <f t="shared" si="1199"/>
        <v>#N/A</v>
      </c>
    </row>
    <row r="7635" spans="1:17" x14ac:dyDescent="0.3">
      <c r="A7635" s="34">
        <f>base!J7635</f>
        <v>0</v>
      </c>
      <c r="B7635" s="34">
        <f>base!V7635</f>
        <v>0</v>
      </c>
      <c r="C7635" s="40" t="s">
        <v>11</v>
      </c>
      <c r="D7635" s="36">
        <f>base!H7635</f>
        <v>0</v>
      </c>
      <c r="E7635" s="44"/>
      <c r="F7635" s="16">
        <f>base!W7635</f>
        <v>0</v>
      </c>
      <c r="G7635" s="11" t="e">
        <f t="shared" si="1190"/>
        <v>#DIV/0!</v>
      </c>
      <c r="H7635" s="11" t="e">
        <f t="shared" si="1191"/>
        <v>#N/A</v>
      </c>
      <c r="I7635" s="11" t="e">
        <f t="shared" si="1192"/>
        <v>#N/A</v>
      </c>
      <c r="J7635" s="12" t="e">
        <f t="shared" si="1193"/>
        <v>#N/A</v>
      </c>
      <c r="K7635" s="17" t="e">
        <f t="shared" si="1198"/>
        <v>#N/A</v>
      </c>
      <c r="L7635" s="16">
        <f>base!X7635</f>
        <v>0</v>
      </c>
      <c r="M7635" s="11" t="e">
        <f t="shared" si="1194"/>
        <v>#DIV/0!</v>
      </c>
      <c r="N7635" s="11" t="e">
        <f t="shared" si="1195"/>
        <v>#N/A</v>
      </c>
      <c r="O7635" s="11" t="e">
        <f t="shared" si="1196"/>
        <v>#N/A</v>
      </c>
      <c r="P7635" s="12" t="e">
        <f t="shared" si="1197"/>
        <v>#N/A</v>
      </c>
      <c r="Q7635" s="17" t="e">
        <f t="shared" si="1199"/>
        <v>#N/A</v>
      </c>
    </row>
    <row r="7636" spans="1:17" x14ac:dyDescent="0.3">
      <c r="A7636" s="34">
        <f>base!J7636</f>
        <v>0</v>
      </c>
      <c r="B7636" s="34">
        <f>base!V7636</f>
        <v>0</v>
      </c>
      <c r="C7636" s="40" t="s">
        <v>11</v>
      </c>
      <c r="D7636" s="36">
        <f>base!H7636</f>
        <v>0</v>
      </c>
      <c r="E7636" s="44"/>
      <c r="F7636" s="16">
        <f>base!W7636</f>
        <v>0</v>
      </c>
      <c r="G7636" s="11" t="e">
        <f t="shared" si="1190"/>
        <v>#DIV/0!</v>
      </c>
      <c r="H7636" s="11" t="e">
        <f t="shared" si="1191"/>
        <v>#N/A</v>
      </c>
      <c r="I7636" s="11" t="e">
        <f t="shared" si="1192"/>
        <v>#N/A</v>
      </c>
      <c r="J7636" s="12" t="e">
        <f t="shared" si="1193"/>
        <v>#N/A</v>
      </c>
      <c r="K7636" s="17" t="e">
        <f t="shared" si="1198"/>
        <v>#N/A</v>
      </c>
      <c r="L7636" s="16">
        <f>base!X7636</f>
        <v>0</v>
      </c>
      <c r="M7636" s="11" t="e">
        <f t="shared" si="1194"/>
        <v>#DIV/0!</v>
      </c>
      <c r="N7636" s="11" t="e">
        <f t="shared" si="1195"/>
        <v>#N/A</v>
      </c>
      <c r="O7636" s="11" t="e">
        <f t="shared" si="1196"/>
        <v>#N/A</v>
      </c>
      <c r="P7636" s="12" t="e">
        <f t="shared" si="1197"/>
        <v>#N/A</v>
      </c>
      <c r="Q7636" s="17" t="e">
        <f t="shared" si="1199"/>
        <v>#N/A</v>
      </c>
    </row>
    <row r="7637" spans="1:17" x14ac:dyDescent="0.3">
      <c r="A7637" s="34">
        <f>base!J7637</f>
        <v>0</v>
      </c>
      <c r="B7637" s="34">
        <f>base!V7637</f>
        <v>0</v>
      </c>
      <c r="C7637" s="40" t="s">
        <v>11</v>
      </c>
      <c r="D7637" s="36">
        <f>base!H7637</f>
        <v>0</v>
      </c>
      <c r="E7637" s="44"/>
      <c r="F7637" s="16">
        <f>base!W7637</f>
        <v>0</v>
      </c>
      <c r="G7637" s="11" t="e">
        <f t="shared" si="1190"/>
        <v>#DIV/0!</v>
      </c>
      <c r="H7637" s="11" t="e">
        <f t="shared" si="1191"/>
        <v>#N/A</v>
      </c>
      <c r="I7637" s="11" t="e">
        <f t="shared" si="1192"/>
        <v>#N/A</v>
      </c>
      <c r="J7637" s="12" t="e">
        <f t="shared" si="1193"/>
        <v>#N/A</v>
      </c>
      <c r="K7637" s="17" t="e">
        <f t="shared" si="1198"/>
        <v>#N/A</v>
      </c>
      <c r="L7637" s="16">
        <f>base!X7637</f>
        <v>0</v>
      </c>
      <c r="M7637" s="11" t="e">
        <f t="shared" si="1194"/>
        <v>#DIV/0!</v>
      </c>
      <c r="N7637" s="11" t="e">
        <f t="shared" si="1195"/>
        <v>#N/A</v>
      </c>
      <c r="O7637" s="11" t="e">
        <f t="shared" si="1196"/>
        <v>#N/A</v>
      </c>
      <c r="P7637" s="12" t="e">
        <f t="shared" si="1197"/>
        <v>#N/A</v>
      </c>
      <c r="Q7637" s="17" t="e">
        <f t="shared" si="1199"/>
        <v>#N/A</v>
      </c>
    </row>
    <row r="7638" spans="1:17" x14ac:dyDescent="0.3">
      <c r="A7638" s="34">
        <f>base!J7638</f>
        <v>0</v>
      </c>
      <c r="B7638" s="34">
        <f>base!V7638</f>
        <v>0</v>
      </c>
      <c r="C7638" s="40" t="s">
        <v>11</v>
      </c>
      <c r="D7638" s="36">
        <f>base!H7638</f>
        <v>0</v>
      </c>
      <c r="E7638" s="44"/>
      <c r="F7638" s="16">
        <f>base!W7638</f>
        <v>0</v>
      </c>
      <c r="G7638" s="11" t="e">
        <f t="shared" si="1190"/>
        <v>#DIV/0!</v>
      </c>
      <c r="H7638" s="11" t="e">
        <f t="shared" si="1191"/>
        <v>#N/A</v>
      </c>
      <c r="I7638" s="11" t="e">
        <f t="shared" si="1192"/>
        <v>#N/A</v>
      </c>
      <c r="J7638" s="12" t="e">
        <f t="shared" si="1193"/>
        <v>#N/A</v>
      </c>
      <c r="K7638" s="17" t="e">
        <f t="shared" si="1198"/>
        <v>#N/A</v>
      </c>
      <c r="L7638" s="16">
        <f>base!X7638</f>
        <v>0</v>
      </c>
      <c r="M7638" s="11" t="e">
        <f t="shared" si="1194"/>
        <v>#DIV/0!</v>
      </c>
      <c r="N7638" s="11" t="e">
        <f t="shared" si="1195"/>
        <v>#N/A</v>
      </c>
      <c r="O7638" s="11" t="e">
        <f t="shared" si="1196"/>
        <v>#N/A</v>
      </c>
      <c r="P7638" s="12" t="e">
        <f t="shared" si="1197"/>
        <v>#N/A</v>
      </c>
      <c r="Q7638" s="17" t="e">
        <f t="shared" si="1199"/>
        <v>#N/A</v>
      </c>
    </row>
    <row r="7639" spans="1:17" x14ac:dyDescent="0.3">
      <c r="A7639" s="34">
        <f>base!J7639</f>
        <v>0</v>
      </c>
      <c r="B7639" s="34">
        <f>base!V7639</f>
        <v>0</v>
      </c>
      <c r="C7639" s="40" t="s">
        <v>11</v>
      </c>
      <c r="D7639" s="36">
        <f>base!H7639</f>
        <v>0</v>
      </c>
      <c r="E7639" s="44"/>
      <c r="F7639" s="16">
        <f>base!W7639</f>
        <v>0</v>
      </c>
      <c r="G7639" s="11" t="e">
        <f t="shared" si="1190"/>
        <v>#DIV/0!</v>
      </c>
      <c r="H7639" s="11" t="e">
        <f t="shared" si="1191"/>
        <v>#N/A</v>
      </c>
      <c r="I7639" s="11" t="e">
        <f t="shared" si="1192"/>
        <v>#N/A</v>
      </c>
      <c r="J7639" s="12" t="e">
        <f t="shared" si="1193"/>
        <v>#N/A</v>
      </c>
      <c r="K7639" s="17" t="e">
        <f t="shared" si="1198"/>
        <v>#N/A</v>
      </c>
      <c r="L7639" s="16">
        <f>base!X7639</f>
        <v>0</v>
      </c>
      <c r="M7639" s="11" t="e">
        <f t="shared" si="1194"/>
        <v>#DIV/0!</v>
      </c>
      <c r="N7639" s="11" t="e">
        <f t="shared" si="1195"/>
        <v>#N/A</v>
      </c>
      <c r="O7639" s="11" t="e">
        <f t="shared" si="1196"/>
        <v>#N/A</v>
      </c>
      <c r="P7639" s="12" t="e">
        <f t="shared" si="1197"/>
        <v>#N/A</v>
      </c>
      <c r="Q7639" s="17" t="e">
        <f t="shared" si="1199"/>
        <v>#N/A</v>
      </c>
    </row>
    <row r="7640" spans="1:17" x14ac:dyDescent="0.3">
      <c r="A7640" s="34">
        <f>base!J7640</f>
        <v>0</v>
      </c>
      <c r="B7640" s="34">
        <f>base!V7640</f>
        <v>0</v>
      </c>
      <c r="C7640" s="40" t="s">
        <v>11</v>
      </c>
      <c r="D7640" s="36">
        <f>base!H7640</f>
        <v>0</v>
      </c>
      <c r="E7640" s="44"/>
      <c r="F7640" s="16">
        <f>base!W7640</f>
        <v>0</v>
      </c>
      <c r="G7640" s="11" t="e">
        <f t="shared" si="1190"/>
        <v>#DIV/0!</v>
      </c>
      <c r="H7640" s="11" t="e">
        <f t="shared" si="1191"/>
        <v>#N/A</v>
      </c>
      <c r="I7640" s="11" t="e">
        <f t="shared" si="1192"/>
        <v>#N/A</v>
      </c>
      <c r="J7640" s="12" t="e">
        <f t="shared" si="1193"/>
        <v>#N/A</v>
      </c>
      <c r="K7640" s="17" t="e">
        <f t="shared" si="1198"/>
        <v>#N/A</v>
      </c>
      <c r="L7640" s="16">
        <f>base!X7640</f>
        <v>0</v>
      </c>
      <c r="M7640" s="11" t="e">
        <f t="shared" si="1194"/>
        <v>#DIV/0!</v>
      </c>
      <c r="N7640" s="11" t="e">
        <f t="shared" si="1195"/>
        <v>#N/A</v>
      </c>
      <c r="O7640" s="11" t="e">
        <f t="shared" si="1196"/>
        <v>#N/A</v>
      </c>
      <c r="P7640" s="12" t="e">
        <f t="shared" si="1197"/>
        <v>#N/A</v>
      </c>
      <c r="Q7640" s="17" t="e">
        <f t="shared" si="1199"/>
        <v>#N/A</v>
      </c>
    </row>
    <row r="7641" spans="1:17" x14ac:dyDescent="0.3">
      <c r="A7641" s="34">
        <f>base!J7641</f>
        <v>0</v>
      </c>
      <c r="B7641" s="34">
        <f>base!V7641</f>
        <v>0</v>
      </c>
      <c r="C7641" s="40" t="s">
        <v>11</v>
      </c>
      <c r="D7641" s="36">
        <f>base!H7641</f>
        <v>0</v>
      </c>
      <c r="E7641" s="44"/>
      <c r="F7641" s="16">
        <f>base!W7641</f>
        <v>0</v>
      </c>
      <c r="G7641" s="11" t="e">
        <f t="shared" si="1190"/>
        <v>#DIV/0!</v>
      </c>
      <c r="H7641" s="11" t="e">
        <f t="shared" si="1191"/>
        <v>#N/A</v>
      </c>
      <c r="I7641" s="11" t="e">
        <f t="shared" si="1192"/>
        <v>#N/A</v>
      </c>
      <c r="J7641" s="12" t="e">
        <f t="shared" si="1193"/>
        <v>#N/A</v>
      </c>
      <c r="K7641" s="17" t="e">
        <f t="shared" si="1198"/>
        <v>#N/A</v>
      </c>
      <c r="L7641" s="16">
        <f>base!X7641</f>
        <v>0</v>
      </c>
      <c r="M7641" s="11" t="e">
        <f t="shared" si="1194"/>
        <v>#DIV/0!</v>
      </c>
      <c r="N7641" s="11" t="e">
        <f t="shared" si="1195"/>
        <v>#N/A</v>
      </c>
      <c r="O7641" s="11" t="e">
        <f t="shared" si="1196"/>
        <v>#N/A</v>
      </c>
      <c r="P7641" s="12" t="e">
        <f t="shared" si="1197"/>
        <v>#N/A</v>
      </c>
      <c r="Q7641" s="17" t="e">
        <f t="shared" si="1199"/>
        <v>#N/A</v>
      </c>
    </row>
    <row r="7642" spans="1:17" x14ac:dyDescent="0.3">
      <c r="A7642" s="34">
        <f>base!J7642</f>
        <v>0</v>
      </c>
      <c r="B7642" s="34">
        <f>base!V7642</f>
        <v>0</v>
      </c>
      <c r="C7642" s="40" t="s">
        <v>11</v>
      </c>
      <c r="D7642" s="36">
        <f>base!H7642</f>
        <v>0</v>
      </c>
      <c r="E7642" s="44"/>
      <c r="F7642" s="16">
        <f>base!W7642</f>
        <v>0</v>
      </c>
      <c r="G7642" s="11" t="e">
        <f t="shared" si="1190"/>
        <v>#DIV/0!</v>
      </c>
      <c r="H7642" s="11" t="e">
        <f t="shared" si="1191"/>
        <v>#N/A</v>
      </c>
      <c r="I7642" s="11" t="e">
        <f t="shared" si="1192"/>
        <v>#N/A</v>
      </c>
      <c r="J7642" s="12" t="e">
        <f t="shared" si="1193"/>
        <v>#N/A</v>
      </c>
      <c r="K7642" s="17" t="e">
        <f t="shared" si="1198"/>
        <v>#N/A</v>
      </c>
      <c r="L7642" s="16">
        <f>base!X7642</f>
        <v>0</v>
      </c>
      <c r="M7642" s="11" t="e">
        <f t="shared" si="1194"/>
        <v>#DIV/0!</v>
      </c>
      <c r="N7642" s="11" t="e">
        <f t="shared" si="1195"/>
        <v>#N/A</v>
      </c>
      <c r="O7642" s="11" t="e">
        <f t="shared" si="1196"/>
        <v>#N/A</v>
      </c>
      <c r="P7642" s="12" t="e">
        <f t="shared" si="1197"/>
        <v>#N/A</v>
      </c>
      <c r="Q7642" s="17" t="e">
        <f t="shared" si="1199"/>
        <v>#N/A</v>
      </c>
    </row>
    <row r="7643" spans="1:17" x14ac:dyDescent="0.3">
      <c r="A7643" s="34">
        <f>base!J7643</f>
        <v>0</v>
      </c>
      <c r="B7643" s="34">
        <f>base!V7643</f>
        <v>0</v>
      </c>
      <c r="C7643" s="40" t="s">
        <v>11</v>
      </c>
      <c r="D7643" s="36">
        <f>base!H7643</f>
        <v>0</v>
      </c>
      <c r="E7643" s="44"/>
      <c r="F7643" s="16">
        <f>base!W7643</f>
        <v>0</v>
      </c>
      <c r="G7643" s="11" t="e">
        <f t="shared" si="1190"/>
        <v>#DIV/0!</v>
      </c>
      <c r="H7643" s="11" t="e">
        <f t="shared" si="1191"/>
        <v>#N/A</v>
      </c>
      <c r="I7643" s="11" t="e">
        <f t="shared" si="1192"/>
        <v>#N/A</v>
      </c>
      <c r="J7643" s="12" t="e">
        <f t="shared" si="1193"/>
        <v>#N/A</v>
      </c>
      <c r="K7643" s="17" t="e">
        <f t="shared" si="1198"/>
        <v>#N/A</v>
      </c>
      <c r="L7643" s="16">
        <f>base!X7643</f>
        <v>0</v>
      </c>
      <c r="M7643" s="11" t="e">
        <f t="shared" si="1194"/>
        <v>#DIV/0!</v>
      </c>
      <c r="N7643" s="11" t="e">
        <f t="shared" si="1195"/>
        <v>#N/A</v>
      </c>
      <c r="O7643" s="11" t="e">
        <f t="shared" si="1196"/>
        <v>#N/A</v>
      </c>
      <c r="P7643" s="12" t="e">
        <f t="shared" si="1197"/>
        <v>#N/A</v>
      </c>
      <c r="Q7643" s="17" t="e">
        <f t="shared" si="1199"/>
        <v>#N/A</v>
      </c>
    </row>
    <row r="7644" spans="1:17" x14ac:dyDescent="0.3">
      <c r="A7644" s="34">
        <f>base!J7644</f>
        <v>0</v>
      </c>
      <c r="B7644" s="34">
        <f>base!V7644</f>
        <v>0</v>
      </c>
      <c r="C7644" s="40" t="s">
        <v>11</v>
      </c>
      <c r="D7644" s="36">
        <f>base!H7644</f>
        <v>0</v>
      </c>
      <c r="E7644" s="44"/>
      <c r="F7644" s="16">
        <f>base!W7644</f>
        <v>0</v>
      </c>
      <c r="G7644" s="11" t="e">
        <f t="shared" si="1190"/>
        <v>#DIV/0!</v>
      </c>
      <c r="H7644" s="11" t="e">
        <f t="shared" si="1191"/>
        <v>#N/A</v>
      </c>
      <c r="I7644" s="11" t="e">
        <f t="shared" si="1192"/>
        <v>#N/A</v>
      </c>
      <c r="J7644" s="12" t="e">
        <f t="shared" si="1193"/>
        <v>#N/A</v>
      </c>
      <c r="K7644" s="17" t="e">
        <f t="shared" si="1198"/>
        <v>#N/A</v>
      </c>
      <c r="L7644" s="16">
        <f>base!X7644</f>
        <v>0</v>
      </c>
      <c r="M7644" s="11" t="e">
        <f t="shared" si="1194"/>
        <v>#DIV/0!</v>
      </c>
      <c r="N7644" s="11" t="e">
        <f t="shared" si="1195"/>
        <v>#N/A</v>
      </c>
      <c r="O7644" s="11" t="e">
        <f t="shared" si="1196"/>
        <v>#N/A</v>
      </c>
      <c r="P7644" s="12" t="e">
        <f t="shared" si="1197"/>
        <v>#N/A</v>
      </c>
      <c r="Q7644" s="17" t="e">
        <f t="shared" si="1199"/>
        <v>#N/A</v>
      </c>
    </row>
    <row r="7645" spans="1:17" x14ac:dyDescent="0.3">
      <c r="A7645" s="34">
        <f>base!J7645</f>
        <v>0</v>
      </c>
      <c r="B7645" s="34">
        <f>base!V7645</f>
        <v>0</v>
      </c>
      <c r="C7645" s="40" t="s">
        <v>11</v>
      </c>
      <c r="D7645" s="36">
        <f>base!H7645</f>
        <v>0</v>
      </c>
      <c r="E7645" s="44"/>
      <c r="F7645" s="16">
        <f>base!W7645</f>
        <v>0</v>
      </c>
      <c r="G7645" s="11" t="e">
        <f t="shared" si="1190"/>
        <v>#DIV/0!</v>
      </c>
      <c r="H7645" s="11" t="e">
        <f t="shared" si="1191"/>
        <v>#N/A</v>
      </c>
      <c r="I7645" s="11" t="e">
        <f t="shared" si="1192"/>
        <v>#N/A</v>
      </c>
      <c r="J7645" s="12" t="e">
        <f t="shared" si="1193"/>
        <v>#N/A</v>
      </c>
      <c r="K7645" s="17" t="e">
        <f t="shared" si="1198"/>
        <v>#N/A</v>
      </c>
      <c r="L7645" s="16">
        <f>base!X7645</f>
        <v>0</v>
      </c>
      <c r="M7645" s="11" t="e">
        <f t="shared" si="1194"/>
        <v>#DIV/0!</v>
      </c>
      <c r="N7645" s="11" t="e">
        <f t="shared" si="1195"/>
        <v>#N/A</v>
      </c>
      <c r="O7645" s="11" t="e">
        <f t="shared" si="1196"/>
        <v>#N/A</v>
      </c>
      <c r="P7645" s="12" t="e">
        <f t="shared" si="1197"/>
        <v>#N/A</v>
      </c>
      <c r="Q7645" s="17" t="e">
        <f t="shared" si="1199"/>
        <v>#N/A</v>
      </c>
    </row>
    <row r="7646" spans="1:17" x14ac:dyDescent="0.3">
      <c r="A7646" s="34">
        <f>base!J7646</f>
        <v>0</v>
      </c>
      <c r="B7646" s="34">
        <f>base!V7646</f>
        <v>0</v>
      </c>
      <c r="C7646" s="40" t="s">
        <v>11</v>
      </c>
      <c r="D7646" s="36">
        <f>base!H7646</f>
        <v>0</v>
      </c>
      <c r="E7646" s="44"/>
      <c r="F7646" s="16">
        <f>base!W7646</f>
        <v>0</v>
      </c>
      <c r="G7646" s="11" t="e">
        <f t="shared" si="1190"/>
        <v>#DIV/0!</v>
      </c>
      <c r="H7646" s="11" t="e">
        <f t="shared" si="1191"/>
        <v>#N/A</v>
      </c>
      <c r="I7646" s="11" t="e">
        <f t="shared" si="1192"/>
        <v>#N/A</v>
      </c>
      <c r="J7646" s="12" t="e">
        <f t="shared" si="1193"/>
        <v>#N/A</v>
      </c>
      <c r="K7646" s="17" t="e">
        <f t="shared" si="1198"/>
        <v>#N/A</v>
      </c>
      <c r="L7646" s="16">
        <f>base!X7646</f>
        <v>0</v>
      </c>
      <c r="M7646" s="11" t="e">
        <f t="shared" si="1194"/>
        <v>#DIV/0!</v>
      </c>
      <c r="N7646" s="11" t="e">
        <f t="shared" si="1195"/>
        <v>#N/A</v>
      </c>
      <c r="O7646" s="11" t="e">
        <f t="shared" si="1196"/>
        <v>#N/A</v>
      </c>
      <c r="P7646" s="12" t="e">
        <f t="shared" si="1197"/>
        <v>#N/A</v>
      </c>
      <c r="Q7646" s="17" t="e">
        <f t="shared" si="1199"/>
        <v>#N/A</v>
      </c>
    </row>
    <row r="7647" spans="1:17" x14ac:dyDescent="0.3">
      <c r="A7647" s="34">
        <f>base!J7647</f>
        <v>0</v>
      </c>
      <c r="B7647" s="34">
        <f>base!V7647</f>
        <v>0</v>
      </c>
      <c r="C7647" s="40" t="s">
        <v>11</v>
      </c>
      <c r="D7647" s="36">
        <f>base!H7647</f>
        <v>0</v>
      </c>
      <c r="E7647" s="44"/>
      <c r="F7647" s="16">
        <f>base!W7647</f>
        <v>0</v>
      </c>
      <c r="G7647" s="11" t="e">
        <f t="shared" si="1190"/>
        <v>#DIV/0!</v>
      </c>
      <c r="H7647" s="11" t="e">
        <f t="shared" si="1191"/>
        <v>#N/A</v>
      </c>
      <c r="I7647" s="11" t="e">
        <f t="shared" si="1192"/>
        <v>#N/A</v>
      </c>
      <c r="J7647" s="12" t="e">
        <f t="shared" si="1193"/>
        <v>#N/A</v>
      </c>
      <c r="K7647" s="17" t="e">
        <f t="shared" si="1198"/>
        <v>#N/A</v>
      </c>
      <c r="L7647" s="16">
        <f>base!X7647</f>
        <v>0</v>
      </c>
      <c r="M7647" s="11" t="e">
        <f t="shared" si="1194"/>
        <v>#DIV/0!</v>
      </c>
      <c r="N7647" s="11" t="e">
        <f t="shared" si="1195"/>
        <v>#N/A</v>
      </c>
      <c r="O7647" s="11" t="e">
        <f t="shared" si="1196"/>
        <v>#N/A</v>
      </c>
      <c r="P7647" s="12" t="e">
        <f t="shared" si="1197"/>
        <v>#N/A</v>
      </c>
      <c r="Q7647" s="17" t="e">
        <f t="shared" si="1199"/>
        <v>#N/A</v>
      </c>
    </row>
    <row r="7648" spans="1:17" x14ac:dyDescent="0.3">
      <c r="A7648" s="34">
        <f>base!J7648</f>
        <v>0</v>
      </c>
      <c r="B7648" s="34">
        <f>base!V7648</f>
        <v>0</v>
      </c>
      <c r="C7648" s="40" t="s">
        <v>11</v>
      </c>
      <c r="D7648" s="36">
        <f>base!H7648</f>
        <v>0</v>
      </c>
      <c r="E7648" s="44"/>
      <c r="F7648" s="16">
        <f>base!W7648</f>
        <v>0</v>
      </c>
      <c r="G7648" s="11" t="e">
        <f t="shared" si="1190"/>
        <v>#DIV/0!</v>
      </c>
      <c r="H7648" s="11" t="e">
        <f t="shared" si="1191"/>
        <v>#N/A</v>
      </c>
      <c r="I7648" s="11" t="e">
        <f t="shared" si="1192"/>
        <v>#N/A</v>
      </c>
      <c r="J7648" s="12" t="e">
        <f t="shared" si="1193"/>
        <v>#N/A</v>
      </c>
      <c r="K7648" s="17" t="e">
        <f t="shared" si="1198"/>
        <v>#N/A</v>
      </c>
      <c r="L7648" s="16">
        <f>base!X7648</f>
        <v>0</v>
      </c>
      <c r="M7648" s="11" t="e">
        <f t="shared" si="1194"/>
        <v>#DIV/0!</v>
      </c>
      <c r="N7648" s="11" t="e">
        <f t="shared" si="1195"/>
        <v>#N/A</v>
      </c>
      <c r="O7648" s="11" t="e">
        <f t="shared" si="1196"/>
        <v>#N/A</v>
      </c>
      <c r="P7648" s="12" t="e">
        <f t="shared" si="1197"/>
        <v>#N/A</v>
      </c>
      <c r="Q7648" s="17" t="e">
        <f t="shared" si="1199"/>
        <v>#N/A</v>
      </c>
    </row>
    <row r="7649" spans="1:17" x14ac:dyDescent="0.3">
      <c r="A7649" s="34">
        <f>base!J7649</f>
        <v>0</v>
      </c>
      <c r="B7649" s="34">
        <f>base!V7649</f>
        <v>0</v>
      </c>
      <c r="C7649" s="40" t="s">
        <v>11</v>
      </c>
      <c r="D7649" s="36">
        <f>base!H7649</f>
        <v>0</v>
      </c>
      <c r="E7649" s="44"/>
      <c r="F7649" s="16">
        <f>base!W7649</f>
        <v>0</v>
      </c>
      <c r="G7649" s="11" t="e">
        <f t="shared" si="1190"/>
        <v>#DIV/0!</v>
      </c>
      <c r="H7649" s="11" t="e">
        <f t="shared" si="1191"/>
        <v>#N/A</v>
      </c>
      <c r="I7649" s="11" t="e">
        <f t="shared" si="1192"/>
        <v>#N/A</v>
      </c>
      <c r="J7649" s="12" t="e">
        <f t="shared" si="1193"/>
        <v>#N/A</v>
      </c>
      <c r="K7649" s="17" t="e">
        <f t="shared" si="1198"/>
        <v>#N/A</v>
      </c>
      <c r="L7649" s="16">
        <f>base!X7649</f>
        <v>0</v>
      </c>
      <c r="M7649" s="11" t="e">
        <f t="shared" si="1194"/>
        <v>#DIV/0!</v>
      </c>
      <c r="N7649" s="11" t="e">
        <f t="shared" si="1195"/>
        <v>#N/A</v>
      </c>
      <c r="O7649" s="11" t="e">
        <f t="shared" si="1196"/>
        <v>#N/A</v>
      </c>
      <c r="P7649" s="12" t="e">
        <f t="shared" si="1197"/>
        <v>#N/A</v>
      </c>
      <c r="Q7649" s="17" t="e">
        <f t="shared" si="1199"/>
        <v>#N/A</v>
      </c>
    </row>
    <row r="7650" spans="1:17" x14ac:dyDescent="0.3">
      <c r="A7650" s="34">
        <f>base!J7650</f>
        <v>0</v>
      </c>
      <c r="B7650" s="34">
        <f>base!V7650</f>
        <v>0</v>
      </c>
      <c r="C7650" s="40" t="s">
        <v>11</v>
      </c>
      <c r="D7650" s="36">
        <f>base!H7650</f>
        <v>0</v>
      </c>
      <c r="E7650" s="44"/>
      <c r="F7650" s="16">
        <f>base!W7650</f>
        <v>0</v>
      </c>
      <c r="G7650" s="11" t="e">
        <f t="shared" si="1190"/>
        <v>#DIV/0!</v>
      </c>
      <c r="H7650" s="11" t="e">
        <f t="shared" si="1191"/>
        <v>#N/A</v>
      </c>
      <c r="I7650" s="11" t="e">
        <f t="shared" si="1192"/>
        <v>#N/A</v>
      </c>
      <c r="J7650" s="12" t="e">
        <f t="shared" si="1193"/>
        <v>#N/A</v>
      </c>
      <c r="K7650" s="17" t="e">
        <f t="shared" si="1198"/>
        <v>#N/A</v>
      </c>
      <c r="L7650" s="16">
        <f>base!X7650</f>
        <v>0</v>
      </c>
      <c r="M7650" s="11" t="e">
        <f t="shared" si="1194"/>
        <v>#DIV/0!</v>
      </c>
      <c r="N7650" s="11" t="e">
        <f t="shared" si="1195"/>
        <v>#N/A</v>
      </c>
      <c r="O7650" s="11" t="e">
        <f t="shared" si="1196"/>
        <v>#N/A</v>
      </c>
      <c r="P7650" s="12" t="e">
        <f t="shared" si="1197"/>
        <v>#N/A</v>
      </c>
      <c r="Q7650" s="17" t="e">
        <f t="shared" si="1199"/>
        <v>#N/A</v>
      </c>
    </row>
    <row r="7651" spans="1:17" x14ac:dyDescent="0.3">
      <c r="A7651" s="34">
        <f>base!J7651</f>
        <v>0</v>
      </c>
      <c r="B7651" s="34">
        <f>base!V7651</f>
        <v>0</v>
      </c>
      <c r="C7651" s="40" t="s">
        <v>11</v>
      </c>
      <c r="D7651" s="36">
        <f>base!H7651</f>
        <v>0</v>
      </c>
      <c r="E7651" s="44"/>
      <c r="F7651" s="16">
        <f>base!W7651</f>
        <v>0</v>
      </c>
      <c r="G7651" s="11" t="e">
        <f t="shared" si="1190"/>
        <v>#DIV/0!</v>
      </c>
      <c r="H7651" s="11" t="e">
        <f t="shared" si="1191"/>
        <v>#N/A</v>
      </c>
      <c r="I7651" s="11" t="e">
        <f t="shared" si="1192"/>
        <v>#N/A</v>
      </c>
      <c r="J7651" s="12" t="e">
        <f t="shared" si="1193"/>
        <v>#N/A</v>
      </c>
      <c r="K7651" s="17" t="e">
        <f t="shared" si="1198"/>
        <v>#N/A</v>
      </c>
      <c r="L7651" s="16">
        <f>base!X7651</f>
        <v>0</v>
      </c>
      <c r="M7651" s="11" t="e">
        <f t="shared" si="1194"/>
        <v>#DIV/0!</v>
      </c>
      <c r="N7651" s="11" t="e">
        <f t="shared" si="1195"/>
        <v>#N/A</v>
      </c>
      <c r="O7651" s="11" t="e">
        <f t="shared" si="1196"/>
        <v>#N/A</v>
      </c>
      <c r="P7651" s="12" t="e">
        <f t="shared" si="1197"/>
        <v>#N/A</v>
      </c>
      <c r="Q7651" s="17" t="e">
        <f t="shared" si="1199"/>
        <v>#N/A</v>
      </c>
    </row>
    <row r="7652" spans="1:17" x14ac:dyDescent="0.3">
      <c r="A7652" s="34">
        <f>base!J7652</f>
        <v>0</v>
      </c>
      <c r="B7652" s="34">
        <f>base!V7652</f>
        <v>0</v>
      </c>
      <c r="C7652" s="40" t="s">
        <v>11</v>
      </c>
      <c r="D7652" s="36">
        <f>base!H7652</f>
        <v>0</v>
      </c>
      <c r="E7652" s="44"/>
      <c r="F7652" s="16">
        <f>base!W7652</f>
        <v>0</v>
      </c>
      <c r="G7652" s="11" t="e">
        <f t="shared" si="1190"/>
        <v>#DIV/0!</v>
      </c>
      <c r="H7652" s="11" t="e">
        <f t="shared" si="1191"/>
        <v>#N/A</v>
      </c>
      <c r="I7652" s="11" t="e">
        <f t="shared" si="1192"/>
        <v>#N/A</v>
      </c>
      <c r="J7652" s="12" t="e">
        <f t="shared" si="1193"/>
        <v>#N/A</v>
      </c>
      <c r="K7652" s="17" t="e">
        <f t="shared" si="1198"/>
        <v>#N/A</v>
      </c>
      <c r="L7652" s="16">
        <f>base!X7652</f>
        <v>0</v>
      </c>
      <c r="M7652" s="11" t="e">
        <f t="shared" si="1194"/>
        <v>#DIV/0!</v>
      </c>
      <c r="N7652" s="11" t="e">
        <f t="shared" si="1195"/>
        <v>#N/A</v>
      </c>
      <c r="O7652" s="11" t="e">
        <f t="shared" si="1196"/>
        <v>#N/A</v>
      </c>
      <c r="P7652" s="12" t="e">
        <f t="shared" si="1197"/>
        <v>#N/A</v>
      </c>
      <c r="Q7652" s="17" t="e">
        <f t="shared" si="1199"/>
        <v>#N/A</v>
      </c>
    </row>
    <row r="7653" spans="1:17" x14ac:dyDescent="0.3">
      <c r="A7653" s="34">
        <f>base!J7653</f>
        <v>0</v>
      </c>
      <c r="B7653" s="34">
        <f>base!V7653</f>
        <v>0</v>
      </c>
      <c r="C7653" s="40" t="s">
        <v>11</v>
      </c>
      <c r="D7653" s="36">
        <f>base!H7653</f>
        <v>0</v>
      </c>
      <c r="E7653" s="44"/>
      <c r="F7653" s="16">
        <f>base!W7653</f>
        <v>0</v>
      </c>
      <c r="G7653" s="11" t="e">
        <f t="shared" si="1190"/>
        <v>#DIV/0!</v>
      </c>
      <c r="H7653" s="11" t="e">
        <f t="shared" si="1191"/>
        <v>#N/A</v>
      </c>
      <c r="I7653" s="11" t="e">
        <f t="shared" si="1192"/>
        <v>#N/A</v>
      </c>
      <c r="J7653" s="12" t="e">
        <f t="shared" si="1193"/>
        <v>#N/A</v>
      </c>
      <c r="K7653" s="17" t="e">
        <f t="shared" si="1198"/>
        <v>#N/A</v>
      </c>
      <c r="L7653" s="16">
        <f>base!X7653</f>
        <v>0</v>
      </c>
      <c r="M7653" s="11" t="e">
        <f t="shared" si="1194"/>
        <v>#DIV/0!</v>
      </c>
      <c r="N7653" s="11" t="e">
        <f t="shared" si="1195"/>
        <v>#N/A</v>
      </c>
      <c r="O7653" s="11" t="e">
        <f t="shared" si="1196"/>
        <v>#N/A</v>
      </c>
      <c r="P7653" s="12" t="e">
        <f t="shared" si="1197"/>
        <v>#N/A</v>
      </c>
      <c r="Q7653" s="17" t="e">
        <f t="shared" si="1199"/>
        <v>#N/A</v>
      </c>
    </row>
    <row r="7654" spans="1:17" x14ac:dyDescent="0.3">
      <c r="A7654" s="34">
        <f>base!J7654</f>
        <v>0</v>
      </c>
      <c r="B7654" s="34">
        <f>base!V7654</f>
        <v>0</v>
      </c>
      <c r="C7654" s="40" t="s">
        <v>11</v>
      </c>
      <c r="D7654" s="36">
        <f>base!H7654</f>
        <v>0</v>
      </c>
      <c r="E7654" s="44"/>
      <c r="F7654" s="16">
        <f>base!W7654</f>
        <v>0</v>
      </c>
      <c r="G7654" s="11" t="e">
        <f t="shared" si="1190"/>
        <v>#DIV/0!</v>
      </c>
      <c r="H7654" s="11" t="e">
        <f t="shared" si="1191"/>
        <v>#N/A</v>
      </c>
      <c r="I7654" s="11" t="e">
        <f t="shared" si="1192"/>
        <v>#N/A</v>
      </c>
      <c r="J7654" s="12" t="e">
        <f t="shared" si="1193"/>
        <v>#N/A</v>
      </c>
      <c r="K7654" s="17" t="e">
        <f t="shared" si="1198"/>
        <v>#N/A</v>
      </c>
      <c r="L7654" s="16">
        <f>base!X7654</f>
        <v>0</v>
      </c>
      <c r="M7654" s="11" t="e">
        <f t="shared" si="1194"/>
        <v>#DIV/0!</v>
      </c>
      <c r="N7654" s="11" t="e">
        <f t="shared" si="1195"/>
        <v>#N/A</v>
      </c>
      <c r="O7654" s="11" t="e">
        <f t="shared" si="1196"/>
        <v>#N/A</v>
      </c>
      <c r="P7654" s="12" t="e">
        <f t="shared" si="1197"/>
        <v>#N/A</v>
      </c>
      <c r="Q7654" s="17" t="e">
        <f t="shared" si="1199"/>
        <v>#N/A</v>
      </c>
    </row>
    <row r="7655" spans="1:17" x14ac:dyDescent="0.3">
      <c r="A7655" s="34">
        <f>base!J7655</f>
        <v>0</v>
      </c>
      <c r="B7655" s="34">
        <f>base!V7655</f>
        <v>0</v>
      </c>
      <c r="C7655" s="40" t="s">
        <v>11</v>
      </c>
      <c r="D7655" s="36">
        <f>base!H7655</f>
        <v>0</v>
      </c>
      <c r="E7655" s="44"/>
      <c r="F7655" s="16">
        <f>base!W7655</f>
        <v>0</v>
      </c>
      <c r="G7655" s="11" t="e">
        <f t="shared" si="1190"/>
        <v>#DIV/0!</v>
      </c>
      <c r="H7655" s="11" t="e">
        <f t="shared" si="1191"/>
        <v>#N/A</v>
      </c>
      <c r="I7655" s="11" t="e">
        <f t="shared" si="1192"/>
        <v>#N/A</v>
      </c>
      <c r="J7655" s="12" t="e">
        <f t="shared" si="1193"/>
        <v>#N/A</v>
      </c>
      <c r="K7655" s="17" t="e">
        <f t="shared" si="1198"/>
        <v>#N/A</v>
      </c>
      <c r="L7655" s="16">
        <f>base!X7655</f>
        <v>0</v>
      </c>
      <c r="M7655" s="11" t="e">
        <f t="shared" si="1194"/>
        <v>#DIV/0!</v>
      </c>
      <c r="N7655" s="11" t="e">
        <f t="shared" si="1195"/>
        <v>#N/A</v>
      </c>
      <c r="O7655" s="11" t="e">
        <f t="shared" si="1196"/>
        <v>#N/A</v>
      </c>
      <c r="P7655" s="12" t="e">
        <f t="shared" si="1197"/>
        <v>#N/A</v>
      </c>
      <c r="Q7655" s="17" t="e">
        <f t="shared" si="1199"/>
        <v>#N/A</v>
      </c>
    </row>
    <row r="7656" spans="1:17" x14ac:dyDescent="0.3">
      <c r="A7656" s="34">
        <f>base!J7656</f>
        <v>0</v>
      </c>
      <c r="B7656" s="34">
        <f>base!V7656</f>
        <v>0</v>
      </c>
      <c r="C7656" s="40" t="s">
        <v>11</v>
      </c>
      <c r="D7656" s="36">
        <f>base!H7656</f>
        <v>0</v>
      </c>
      <c r="E7656" s="44"/>
      <c r="F7656" s="16">
        <f>base!W7656</f>
        <v>0</v>
      </c>
      <c r="G7656" s="11" t="e">
        <f t="shared" si="1190"/>
        <v>#DIV/0!</v>
      </c>
      <c r="H7656" s="11" t="e">
        <f t="shared" si="1191"/>
        <v>#N/A</v>
      </c>
      <c r="I7656" s="11" t="e">
        <f t="shared" si="1192"/>
        <v>#N/A</v>
      </c>
      <c r="J7656" s="12" t="e">
        <f t="shared" si="1193"/>
        <v>#N/A</v>
      </c>
      <c r="K7656" s="17" t="e">
        <f t="shared" si="1198"/>
        <v>#N/A</v>
      </c>
      <c r="L7656" s="16">
        <f>base!X7656</f>
        <v>0</v>
      </c>
      <c r="M7656" s="11" t="e">
        <f t="shared" si="1194"/>
        <v>#DIV/0!</v>
      </c>
      <c r="N7656" s="11" t="e">
        <f t="shared" si="1195"/>
        <v>#N/A</v>
      </c>
      <c r="O7656" s="11" t="e">
        <f t="shared" si="1196"/>
        <v>#N/A</v>
      </c>
      <c r="P7656" s="12" t="e">
        <f t="shared" si="1197"/>
        <v>#N/A</v>
      </c>
      <c r="Q7656" s="17" t="e">
        <f t="shared" si="1199"/>
        <v>#N/A</v>
      </c>
    </row>
    <row r="7657" spans="1:17" x14ac:dyDescent="0.3">
      <c r="A7657" s="34">
        <f>base!J7657</f>
        <v>0</v>
      </c>
      <c r="B7657" s="34">
        <f>base!V7657</f>
        <v>0</v>
      </c>
      <c r="C7657" s="40" t="s">
        <v>11</v>
      </c>
      <c r="D7657" s="36">
        <f>base!H7657</f>
        <v>0</v>
      </c>
      <c r="E7657" s="44"/>
      <c r="F7657" s="16">
        <f>base!W7657</f>
        <v>0</v>
      </c>
      <c r="G7657" s="11" t="e">
        <f t="shared" si="1190"/>
        <v>#DIV/0!</v>
      </c>
      <c r="H7657" s="11" t="e">
        <f t="shared" si="1191"/>
        <v>#N/A</v>
      </c>
      <c r="I7657" s="11" t="e">
        <f t="shared" si="1192"/>
        <v>#N/A</v>
      </c>
      <c r="J7657" s="12" t="e">
        <f t="shared" si="1193"/>
        <v>#N/A</v>
      </c>
      <c r="K7657" s="17" t="e">
        <f t="shared" si="1198"/>
        <v>#N/A</v>
      </c>
      <c r="L7657" s="16">
        <f>base!X7657</f>
        <v>0</v>
      </c>
      <c r="M7657" s="11" t="e">
        <f t="shared" si="1194"/>
        <v>#DIV/0!</v>
      </c>
      <c r="N7657" s="11" t="e">
        <f t="shared" si="1195"/>
        <v>#N/A</v>
      </c>
      <c r="O7657" s="11" t="e">
        <f t="shared" si="1196"/>
        <v>#N/A</v>
      </c>
      <c r="P7657" s="12" t="e">
        <f t="shared" si="1197"/>
        <v>#N/A</v>
      </c>
      <c r="Q7657" s="17" t="e">
        <f t="shared" si="1199"/>
        <v>#N/A</v>
      </c>
    </row>
    <row r="7658" spans="1:17" x14ac:dyDescent="0.3">
      <c r="A7658" s="34">
        <f>base!J7658</f>
        <v>0</v>
      </c>
      <c r="B7658" s="34">
        <f>base!V7658</f>
        <v>0</v>
      </c>
      <c r="C7658" s="40" t="s">
        <v>11</v>
      </c>
      <c r="D7658" s="36">
        <f>base!H7658</f>
        <v>0</v>
      </c>
      <c r="E7658" s="44"/>
      <c r="F7658" s="16">
        <f>base!W7658</f>
        <v>0</v>
      </c>
      <c r="G7658" s="11" t="e">
        <f t="shared" si="1190"/>
        <v>#DIV/0!</v>
      </c>
      <c r="H7658" s="11" t="e">
        <f t="shared" si="1191"/>
        <v>#N/A</v>
      </c>
      <c r="I7658" s="11" t="e">
        <f t="shared" si="1192"/>
        <v>#N/A</v>
      </c>
      <c r="J7658" s="12" t="e">
        <f t="shared" si="1193"/>
        <v>#N/A</v>
      </c>
      <c r="K7658" s="17" t="e">
        <f t="shared" si="1198"/>
        <v>#N/A</v>
      </c>
      <c r="L7658" s="16">
        <f>base!X7658</f>
        <v>0</v>
      </c>
      <c r="M7658" s="11" t="e">
        <f t="shared" si="1194"/>
        <v>#DIV/0!</v>
      </c>
      <c r="N7658" s="11" t="e">
        <f t="shared" si="1195"/>
        <v>#N/A</v>
      </c>
      <c r="O7658" s="11" t="e">
        <f t="shared" si="1196"/>
        <v>#N/A</v>
      </c>
      <c r="P7658" s="12" t="e">
        <f t="shared" si="1197"/>
        <v>#N/A</v>
      </c>
      <c r="Q7658" s="17" t="e">
        <f t="shared" si="1199"/>
        <v>#N/A</v>
      </c>
    </row>
    <row r="7659" spans="1:17" x14ac:dyDescent="0.3">
      <c r="A7659" s="34">
        <f>base!J7659</f>
        <v>0</v>
      </c>
      <c r="B7659" s="34">
        <f>base!V7659</f>
        <v>0</v>
      </c>
      <c r="C7659" s="40" t="s">
        <v>11</v>
      </c>
      <c r="D7659" s="36">
        <f>base!H7659</f>
        <v>0</v>
      </c>
      <c r="E7659" s="44"/>
      <c r="F7659" s="16">
        <f>base!W7659</f>
        <v>0</v>
      </c>
      <c r="G7659" s="11" t="e">
        <f t="shared" si="1190"/>
        <v>#DIV/0!</v>
      </c>
      <c r="H7659" s="11" t="e">
        <f t="shared" si="1191"/>
        <v>#N/A</v>
      </c>
      <c r="I7659" s="11" t="e">
        <f t="shared" si="1192"/>
        <v>#N/A</v>
      </c>
      <c r="J7659" s="12" t="e">
        <f t="shared" si="1193"/>
        <v>#N/A</v>
      </c>
      <c r="K7659" s="17" t="e">
        <f t="shared" si="1198"/>
        <v>#N/A</v>
      </c>
      <c r="L7659" s="16">
        <f>base!X7659</f>
        <v>0</v>
      </c>
      <c r="M7659" s="11" t="e">
        <f t="shared" si="1194"/>
        <v>#DIV/0!</v>
      </c>
      <c r="N7659" s="11" t="e">
        <f t="shared" si="1195"/>
        <v>#N/A</v>
      </c>
      <c r="O7659" s="11" t="e">
        <f t="shared" si="1196"/>
        <v>#N/A</v>
      </c>
      <c r="P7659" s="12" t="e">
        <f t="shared" si="1197"/>
        <v>#N/A</v>
      </c>
      <c r="Q7659" s="17" t="e">
        <f t="shared" si="1199"/>
        <v>#N/A</v>
      </c>
    </row>
    <row r="7660" spans="1:17" x14ac:dyDescent="0.3">
      <c r="A7660" s="34">
        <f>base!J7660</f>
        <v>0</v>
      </c>
      <c r="B7660" s="34">
        <f>base!V7660</f>
        <v>0</v>
      </c>
      <c r="C7660" s="40" t="s">
        <v>11</v>
      </c>
      <c r="D7660" s="36">
        <f>base!H7660</f>
        <v>0</v>
      </c>
      <c r="E7660" s="44"/>
      <c r="F7660" s="16">
        <f>base!W7660</f>
        <v>0</v>
      </c>
      <c r="G7660" s="11" t="e">
        <f t="shared" si="1190"/>
        <v>#DIV/0!</v>
      </c>
      <c r="H7660" s="11" t="e">
        <f t="shared" si="1191"/>
        <v>#N/A</v>
      </c>
      <c r="I7660" s="11" t="e">
        <f t="shared" si="1192"/>
        <v>#N/A</v>
      </c>
      <c r="J7660" s="12" t="e">
        <f t="shared" si="1193"/>
        <v>#N/A</v>
      </c>
      <c r="K7660" s="17" t="e">
        <f t="shared" si="1198"/>
        <v>#N/A</v>
      </c>
      <c r="L7660" s="16">
        <f>base!X7660</f>
        <v>0</v>
      </c>
      <c r="M7660" s="11" t="e">
        <f t="shared" si="1194"/>
        <v>#DIV/0!</v>
      </c>
      <c r="N7660" s="11" t="e">
        <f t="shared" si="1195"/>
        <v>#N/A</v>
      </c>
      <c r="O7660" s="11" t="e">
        <f t="shared" si="1196"/>
        <v>#N/A</v>
      </c>
      <c r="P7660" s="12" t="e">
        <f t="shared" si="1197"/>
        <v>#N/A</v>
      </c>
      <c r="Q7660" s="17" t="e">
        <f t="shared" si="1199"/>
        <v>#N/A</v>
      </c>
    </row>
    <row r="7661" spans="1:17" x14ac:dyDescent="0.3">
      <c r="A7661" s="34">
        <f>base!J7661</f>
        <v>0</v>
      </c>
      <c r="B7661" s="34">
        <f>base!V7661</f>
        <v>0</v>
      </c>
      <c r="C7661" s="40" t="s">
        <v>11</v>
      </c>
      <c r="D7661" s="36">
        <f>base!H7661</f>
        <v>0</v>
      </c>
      <c r="E7661" s="44"/>
      <c r="F7661" s="16">
        <f>base!W7661</f>
        <v>0</v>
      </c>
      <c r="G7661" s="11" t="e">
        <f t="shared" si="1190"/>
        <v>#DIV/0!</v>
      </c>
      <c r="H7661" s="11" t="e">
        <f t="shared" si="1191"/>
        <v>#N/A</v>
      </c>
      <c r="I7661" s="11" t="e">
        <f t="shared" si="1192"/>
        <v>#N/A</v>
      </c>
      <c r="J7661" s="12" t="e">
        <f t="shared" si="1193"/>
        <v>#N/A</v>
      </c>
      <c r="K7661" s="17" t="e">
        <f t="shared" si="1198"/>
        <v>#N/A</v>
      </c>
      <c r="L7661" s="16">
        <f>base!X7661</f>
        <v>0</v>
      </c>
      <c r="M7661" s="11" t="e">
        <f t="shared" si="1194"/>
        <v>#DIV/0!</v>
      </c>
      <c r="N7661" s="11" t="e">
        <f t="shared" si="1195"/>
        <v>#N/A</v>
      </c>
      <c r="O7661" s="11" t="e">
        <f t="shared" si="1196"/>
        <v>#N/A</v>
      </c>
      <c r="P7661" s="12" t="e">
        <f t="shared" si="1197"/>
        <v>#N/A</v>
      </c>
      <c r="Q7661" s="17" t="e">
        <f t="shared" si="1199"/>
        <v>#N/A</v>
      </c>
    </row>
    <row r="7662" spans="1:17" x14ac:dyDescent="0.3">
      <c r="A7662" s="34">
        <f>base!J7662</f>
        <v>0</v>
      </c>
      <c r="B7662" s="34">
        <f>base!V7662</f>
        <v>0</v>
      </c>
      <c r="C7662" s="40" t="s">
        <v>11</v>
      </c>
      <c r="D7662" s="36">
        <f>base!H7662</f>
        <v>0</v>
      </c>
      <c r="E7662" s="44"/>
      <c r="F7662" s="16">
        <f>base!W7662</f>
        <v>0</v>
      </c>
      <c r="G7662" s="11" t="e">
        <f t="shared" si="1190"/>
        <v>#DIV/0!</v>
      </c>
      <c r="H7662" s="11" t="e">
        <f t="shared" si="1191"/>
        <v>#N/A</v>
      </c>
      <c r="I7662" s="11" t="e">
        <f t="shared" si="1192"/>
        <v>#N/A</v>
      </c>
      <c r="J7662" s="12" t="e">
        <f t="shared" si="1193"/>
        <v>#N/A</v>
      </c>
      <c r="K7662" s="17" t="e">
        <f t="shared" si="1198"/>
        <v>#N/A</v>
      </c>
      <c r="L7662" s="16">
        <f>base!X7662</f>
        <v>0</v>
      </c>
      <c r="M7662" s="11" t="e">
        <f t="shared" si="1194"/>
        <v>#DIV/0!</v>
      </c>
      <c r="N7662" s="11" t="e">
        <f t="shared" si="1195"/>
        <v>#N/A</v>
      </c>
      <c r="O7662" s="11" t="e">
        <f t="shared" si="1196"/>
        <v>#N/A</v>
      </c>
      <c r="P7662" s="12" t="e">
        <f t="shared" si="1197"/>
        <v>#N/A</v>
      </c>
      <c r="Q7662" s="17" t="e">
        <f t="shared" si="1199"/>
        <v>#N/A</v>
      </c>
    </row>
    <row r="7663" spans="1:17" x14ac:dyDescent="0.3">
      <c r="A7663" s="34">
        <f>base!J7663</f>
        <v>0</v>
      </c>
      <c r="B7663" s="34">
        <f>base!V7663</f>
        <v>0</v>
      </c>
      <c r="C7663" s="40" t="s">
        <v>11</v>
      </c>
      <c r="D7663" s="36">
        <f>base!H7663</f>
        <v>0</v>
      </c>
      <c r="E7663" s="44"/>
      <c r="F7663" s="16">
        <f>base!W7663</f>
        <v>0</v>
      </c>
      <c r="G7663" s="11" t="e">
        <f t="shared" si="1190"/>
        <v>#DIV/0!</v>
      </c>
      <c r="H7663" s="11" t="e">
        <f t="shared" si="1191"/>
        <v>#N/A</v>
      </c>
      <c r="I7663" s="11" t="e">
        <f t="shared" si="1192"/>
        <v>#N/A</v>
      </c>
      <c r="J7663" s="12" t="e">
        <f t="shared" si="1193"/>
        <v>#N/A</v>
      </c>
      <c r="K7663" s="17" t="e">
        <f t="shared" si="1198"/>
        <v>#N/A</v>
      </c>
      <c r="L7663" s="16">
        <f>base!X7663</f>
        <v>0</v>
      </c>
      <c r="M7663" s="11" t="e">
        <f t="shared" si="1194"/>
        <v>#DIV/0!</v>
      </c>
      <c r="N7663" s="11" t="e">
        <f t="shared" si="1195"/>
        <v>#N/A</v>
      </c>
      <c r="O7663" s="11" t="e">
        <f t="shared" si="1196"/>
        <v>#N/A</v>
      </c>
      <c r="P7663" s="12" t="e">
        <f t="shared" si="1197"/>
        <v>#N/A</v>
      </c>
      <c r="Q7663" s="17" t="e">
        <f t="shared" si="1199"/>
        <v>#N/A</v>
      </c>
    </row>
    <row r="7664" spans="1:17" x14ac:dyDescent="0.3">
      <c r="A7664" s="34">
        <f>base!J7664</f>
        <v>0</v>
      </c>
      <c r="B7664" s="34">
        <f>base!V7664</f>
        <v>0</v>
      </c>
      <c r="C7664" s="40" t="s">
        <v>11</v>
      </c>
      <c r="D7664" s="36">
        <f>base!H7664</f>
        <v>0</v>
      </c>
      <c r="E7664" s="44"/>
      <c r="F7664" s="16">
        <f>base!W7664</f>
        <v>0</v>
      </c>
      <c r="G7664" s="11" t="e">
        <f t="shared" si="1190"/>
        <v>#DIV/0!</v>
      </c>
      <c r="H7664" s="11" t="e">
        <f t="shared" si="1191"/>
        <v>#N/A</v>
      </c>
      <c r="I7664" s="11" t="e">
        <f t="shared" si="1192"/>
        <v>#N/A</v>
      </c>
      <c r="J7664" s="12" t="e">
        <f t="shared" si="1193"/>
        <v>#N/A</v>
      </c>
      <c r="K7664" s="17" t="e">
        <f t="shared" si="1198"/>
        <v>#N/A</v>
      </c>
      <c r="L7664" s="16">
        <f>base!X7664</f>
        <v>0</v>
      </c>
      <c r="M7664" s="11" t="e">
        <f t="shared" si="1194"/>
        <v>#DIV/0!</v>
      </c>
      <c r="N7664" s="11" t="e">
        <f t="shared" si="1195"/>
        <v>#N/A</v>
      </c>
      <c r="O7664" s="11" t="e">
        <f t="shared" si="1196"/>
        <v>#N/A</v>
      </c>
      <c r="P7664" s="12" t="e">
        <f t="shared" si="1197"/>
        <v>#N/A</v>
      </c>
      <c r="Q7664" s="17" t="e">
        <f t="shared" si="1199"/>
        <v>#N/A</v>
      </c>
    </row>
    <row r="7665" spans="1:17" x14ac:dyDescent="0.3">
      <c r="A7665" s="34">
        <f>base!J7665</f>
        <v>0</v>
      </c>
      <c r="B7665" s="34">
        <f>base!V7665</f>
        <v>0</v>
      </c>
      <c r="C7665" s="40" t="s">
        <v>11</v>
      </c>
      <c r="D7665" s="36">
        <f>base!H7665</f>
        <v>0</v>
      </c>
      <c r="E7665" s="44"/>
      <c r="F7665" s="16">
        <f>base!W7665</f>
        <v>0</v>
      </c>
      <c r="G7665" s="11" t="e">
        <f t="shared" si="1190"/>
        <v>#DIV/0!</v>
      </c>
      <c r="H7665" s="11" t="e">
        <f t="shared" si="1191"/>
        <v>#N/A</v>
      </c>
      <c r="I7665" s="11" t="e">
        <f t="shared" si="1192"/>
        <v>#N/A</v>
      </c>
      <c r="J7665" s="12" t="e">
        <f t="shared" si="1193"/>
        <v>#N/A</v>
      </c>
      <c r="K7665" s="17" t="e">
        <f t="shared" si="1198"/>
        <v>#N/A</v>
      </c>
      <c r="L7665" s="16">
        <f>base!X7665</f>
        <v>0</v>
      </c>
      <c r="M7665" s="11" t="e">
        <f t="shared" si="1194"/>
        <v>#DIV/0!</v>
      </c>
      <c r="N7665" s="11" t="e">
        <f t="shared" si="1195"/>
        <v>#N/A</v>
      </c>
      <c r="O7665" s="11" t="e">
        <f t="shared" si="1196"/>
        <v>#N/A</v>
      </c>
      <c r="P7665" s="12" t="e">
        <f t="shared" si="1197"/>
        <v>#N/A</v>
      </c>
      <c r="Q7665" s="17" t="e">
        <f t="shared" si="1199"/>
        <v>#N/A</v>
      </c>
    </row>
    <row r="7666" spans="1:17" x14ac:dyDescent="0.3">
      <c r="A7666" s="34">
        <f>base!J7666</f>
        <v>0</v>
      </c>
      <c r="B7666" s="34">
        <f>base!V7666</f>
        <v>0</v>
      </c>
      <c r="C7666" s="40" t="s">
        <v>11</v>
      </c>
      <c r="D7666" s="36">
        <f>base!H7666</f>
        <v>0</v>
      </c>
      <c r="E7666" s="44"/>
      <c r="F7666" s="16">
        <f>base!W7666</f>
        <v>0</v>
      </c>
      <c r="G7666" s="11" t="e">
        <f t="shared" si="1190"/>
        <v>#DIV/0!</v>
      </c>
      <c r="H7666" s="11" t="e">
        <f t="shared" si="1191"/>
        <v>#N/A</v>
      </c>
      <c r="I7666" s="11" t="e">
        <f t="shared" si="1192"/>
        <v>#N/A</v>
      </c>
      <c r="J7666" s="12" t="e">
        <f t="shared" si="1193"/>
        <v>#N/A</v>
      </c>
      <c r="K7666" s="17" t="e">
        <f t="shared" si="1198"/>
        <v>#N/A</v>
      </c>
      <c r="L7666" s="16">
        <f>base!X7666</f>
        <v>0</v>
      </c>
      <c r="M7666" s="11" t="e">
        <f t="shared" si="1194"/>
        <v>#DIV/0!</v>
      </c>
      <c r="N7666" s="11" t="e">
        <f t="shared" si="1195"/>
        <v>#N/A</v>
      </c>
      <c r="O7666" s="11" t="e">
        <f t="shared" si="1196"/>
        <v>#N/A</v>
      </c>
      <c r="P7666" s="12" t="e">
        <f t="shared" si="1197"/>
        <v>#N/A</v>
      </c>
      <c r="Q7666" s="17" t="e">
        <f t="shared" si="1199"/>
        <v>#N/A</v>
      </c>
    </row>
    <row r="7667" spans="1:17" x14ac:dyDescent="0.3">
      <c r="A7667" s="34">
        <f>base!J7667</f>
        <v>0</v>
      </c>
      <c r="B7667" s="34">
        <f>base!V7667</f>
        <v>0</v>
      </c>
      <c r="C7667" s="40" t="s">
        <v>11</v>
      </c>
      <c r="D7667" s="36">
        <f>base!H7667</f>
        <v>0</v>
      </c>
      <c r="E7667" s="44"/>
      <c r="F7667" s="16">
        <f>base!W7667</f>
        <v>0</v>
      </c>
      <c r="G7667" s="11" t="e">
        <f t="shared" si="1190"/>
        <v>#DIV/0!</v>
      </c>
      <c r="H7667" s="11" t="e">
        <f t="shared" si="1191"/>
        <v>#N/A</v>
      </c>
      <c r="I7667" s="11" t="e">
        <f t="shared" si="1192"/>
        <v>#N/A</v>
      </c>
      <c r="J7667" s="12" t="e">
        <f t="shared" si="1193"/>
        <v>#N/A</v>
      </c>
      <c r="K7667" s="17" t="e">
        <f t="shared" si="1198"/>
        <v>#N/A</v>
      </c>
      <c r="L7667" s="16">
        <f>base!X7667</f>
        <v>0</v>
      </c>
      <c r="M7667" s="11" t="e">
        <f t="shared" si="1194"/>
        <v>#DIV/0!</v>
      </c>
      <c r="N7667" s="11" t="e">
        <f t="shared" si="1195"/>
        <v>#N/A</v>
      </c>
      <c r="O7667" s="11" t="e">
        <f t="shared" si="1196"/>
        <v>#N/A</v>
      </c>
      <c r="P7667" s="12" t="e">
        <f t="shared" si="1197"/>
        <v>#N/A</v>
      </c>
      <c r="Q7667" s="17" t="e">
        <f t="shared" si="1199"/>
        <v>#N/A</v>
      </c>
    </row>
    <row r="7668" spans="1:17" x14ac:dyDescent="0.3">
      <c r="A7668" s="34">
        <f>base!J7668</f>
        <v>0</v>
      </c>
      <c r="B7668" s="34">
        <f>base!V7668</f>
        <v>0</v>
      </c>
      <c r="C7668" s="40" t="s">
        <v>11</v>
      </c>
      <c r="D7668" s="36">
        <f>base!H7668</f>
        <v>0</v>
      </c>
      <c r="E7668" s="44"/>
      <c r="F7668" s="16">
        <f>base!W7668</f>
        <v>0</v>
      </c>
      <c r="G7668" s="11" t="e">
        <f t="shared" si="1190"/>
        <v>#DIV/0!</v>
      </c>
      <c r="H7668" s="11" t="e">
        <f t="shared" si="1191"/>
        <v>#N/A</v>
      </c>
      <c r="I7668" s="11" t="e">
        <f t="shared" si="1192"/>
        <v>#N/A</v>
      </c>
      <c r="J7668" s="12" t="e">
        <f t="shared" si="1193"/>
        <v>#N/A</v>
      </c>
      <c r="K7668" s="17" t="e">
        <f t="shared" si="1198"/>
        <v>#N/A</v>
      </c>
      <c r="L7668" s="16">
        <f>base!X7668</f>
        <v>0</v>
      </c>
      <c r="M7668" s="11" t="e">
        <f t="shared" si="1194"/>
        <v>#DIV/0!</v>
      </c>
      <c r="N7668" s="11" t="e">
        <f t="shared" si="1195"/>
        <v>#N/A</v>
      </c>
      <c r="O7668" s="11" t="e">
        <f t="shared" si="1196"/>
        <v>#N/A</v>
      </c>
      <c r="P7668" s="12" t="e">
        <f t="shared" si="1197"/>
        <v>#N/A</v>
      </c>
      <c r="Q7668" s="17" t="e">
        <f t="shared" si="1199"/>
        <v>#N/A</v>
      </c>
    </row>
    <row r="7669" spans="1:17" x14ac:dyDescent="0.3">
      <c r="A7669" s="34">
        <f>base!J7669</f>
        <v>0</v>
      </c>
      <c r="B7669" s="34">
        <f>base!V7669</f>
        <v>0</v>
      </c>
      <c r="C7669" s="40" t="s">
        <v>11</v>
      </c>
      <c r="D7669" s="36">
        <f>base!H7669</f>
        <v>0</v>
      </c>
      <c r="E7669" s="44"/>
      <c r="F7669" s="16">
        <f>base!W7669</f>
        <v>0</v>
      </c>
      <c r="G7669" s="11" t="e">
        <f t="shared" si="1190"/>
        <v>#DIV/0!</v>
      </c>
      <c r="H7669" s="11" t="e">
        <f t="shared" si="1191"/>
        <v>#N/A</v>
      </c>
      <c r="I7669" s="11" t="e">
        <f t="shared" si="1192"/>
        <v>#N/A</v>
      </c>
      <c r="J7669" s="12" t="e">
        <f t="shared" si="1193"/>
        <v>#N/A</v>
      </c>
      <c r="K7669" s="17" t="e">
        <f t="shared" si="1198"/>
        <v>#N/A</v>
      </c>
      <c r="L7669" s="16">
        <f>base!X7669</f>
        <v>0</v>
      </c>
      <c r="M7669" s="11" t="e">
        <f t="shared" si="1194"/>
        <v>#DIV/0!</v>
      </c>
      <c r="N7669" s="11" t="e">
        <f t="shared" si="1195"/>
        <v>#N/A</v>
      </c>
      <c r="O7669" s="11" t="e">
        <f t="shared" si="1196"/>
        <v>#N/A</v>
      </c>
      <c r="P7669" s="12" t="e">
        <f t="shared" si="1197"/>
        <v>#N/A</v>
      </c>
      <c r="Q7669" s="17" t="e">
        <f t="shared" si="1199"/>
        <v>#N/A</v>
      </c>
    </row>
    <row r="7670" spans="1:17" x14ac:dyDescent="0.3">
      <c r="A7670" s="34">
        <f>base!J7670</f>
        <v>0</v>
      </c>
      <c r="B7670" s="34">
        <f>base!V7670</f>
        <v>0</v>
      </c>
      <c r="C7670" s="40" t="s">
        <v>11</v>
      </c>
      <c r="D7670" s="36">
        <f>base!H7670</f>
        <v>0</v>
      </c>
      <c r="E7670" s="44"/>
      <c r="F7670" s="16">
        <f>base!W7670</f>
        <v>0</v>
      </c>
      <c r="G7670" s="11" t="e">
        <f t="shared" si="1190"/>
        <v>#DIV/0!</v>
      </c>
      <c r="H7670" s="11" t="e">
        <f t="shared" si="1191"/>
        <v>#N/A</v>
      </c>
      <c r="I7670" s="11" t="e">
        <f t="shared" si="1192"/>
        <v>#N/A</v>
      </c>
      <c r="J7670" s="12" t="e">
        <f t="shared" si="1193"/>
        <v>#N/A</v>
      </c>
      <c r="K7670" s="17" t="e">
        <f t="shared" si="1198"/>
        <v>#N/A</v>
      </c>
      <c r="L7670" s="16">
        <f>base!X7670</f>
        <v>0</v>
      </c>
      <c r="M7670" s="11" t="e">
        <f t="shared" si="1194"/>
        <v>#DIV/0!</v>
      </c>
      <c r="N7670" s="11" t="e">
        <f t="shared" si="1195"/>
        <v>#N/A</v>
      </c>
      <c r="O7670" s="11" t="e">
        <f t="shared" si="1196"/>
        <v>#N/A</v>
      </c>
      <c r="P7670" s="12" t="e">
        <f t="shared" si="1197"/>
        <v>#N/A</v>
      </c>
      <c r="Q7670" s="17" t="e">
        <f t="shared" si="1199"/>
        <v>#N/A</v>
      </c>
    </row>
    <row r="7671" spans="1:17" x14ac:dyDescent="0.3">
      <c r="A7671" s="34">
        <f>base!J7671</f>
        <v>0</v>
      </c>
      <c r="B7671" s="34">
        <f>base!V7671</f>
        <v>0</v>
      </c>
      <c r="C7671" s="40" t="s">
        <v>11</v>
      </c>
      <c r="D7671" s="36">
        <f>base!H7671</f>
        <v>0</v>
      </c>
      <c r="E7671" s="44"/>
      <c r="F7671" s="16">
        <f>base!W7671</f>
        <v>0</v>
      </c>
      <c r="G7671" s="11" t="e">
        <f t="shared" si="1190"/>
        <v>#DIV/0!</v>
      </c>
      <c r="H7671" s="11" t="e">
        <f t="shared" si="1191"/>
        <v>#N/A</v>
      </c>
      <c r="I7671" s="11" t="e">
        <f t="shared" si="1192"/>
        <v>#N/A</v>
      </c>
      <c r="J7671" s="12" t="e">
        <f t="shared" si="1193"/>
        <v>#N/A</v>
      </c>
      <c r="K7671" s="17" t="e">
        <f t="shared" si="1198"/>
        <v>#N/A</v>
      </c>
      <c r="L7671" s="16">
        <f>base!X7671</f>
        <v>0</v>
      </c>
      <c r="M7671" s="11" t="e">
        <f t="shared" si="1194"/>
        <v>#DIV/0!</v>
      </c>
      <c r="N7671" s="11" t="e">
        <f t="shared" si="1195"/>
        <v>#N/A</v>
      </c>
      <c r="O7671" s="11" t="e">
        <f t="shared" si="1196"/>
        <v>#N/A</v>
      </c>
      <c r="P7671" s="12" t="e">
        <f t="shared" si="1197"/>
        <v>#N/A</v>
      </c>
      <c r="Q7671" s="17" t="e">
        <f t="shared" si="1199"/>
        <v>#N/A</v>
      </c>
    </row>
    <row r="7672" spans="1:17" x14ac:dyDescent="0.3">
      <c r="A7672" s="34">
        <f>base!J7672</f>
        <v>0</v>
      </c>
      <c r="B7672" s="34">
        <f>base!V7672</f>
        <v>0</v>
      </c>
      <c r="C7672" s="40" t="s">
        <v>11</v>
      </c>
      <c r="D7672" s="36">
        <f>base!H7672</f>
        <v>0</v>
      </c>
      <c r="E7672" s="44"/>
      <c r="F7672" s="16">
        <f>base!W7672</f>
        <v>0</v>
      </c>
      <c r="G7672" s="11" t="e">
        <f t="shared" si="1190"/>
        <v>#DIV/0!</v>
      </c>
      <c r="H7672" s="11" t="e">
        <f t="shared" si="1191"/>
        <v>#N/A</v>
      </c>
      <c r="I7672" s="11" t="e">
        <f t="shared" si="1192"/>
        <v>#N/A</v>
      </c>
      <c r="J7672" s="12" t="e">
        <f t="shared" si="1193"/>
        <v>#N/A</v>
      </c>
      <c r="K7672" s="17" t="e">
        <f t="shared" si="1198"/>
        <v>#N/A</v>
      </c>
      <c r="L7672" s="16">
        <f>base!X7672</f>
        <v>0</v>
      </c>
      <c r="M7672" s="11" t="e">
        <f t="shared" si="1194"/>
        <v>#DIV/0!</v>
      </c>
      <c r="N7672" s="11" t="e">
        <f t="shared" si="1195"/>
        <v>#N/A</v>
      </c>
      <c r="O7672" s="11" t="e">
        <f t="shared" si="1196"/>
        <v>#N/A</v>
      </c>
      <c r="P7672" s="12" t="e">
        <f t="shared" si="1197"/>
        <v>#N/A</v>
      </c>
      <c r="Q7672" s="17" t="e">
        <f t="shared" si="1199"/>
        <v>#N/A</v>
      </c>
    </row>
    <row r="7673" spans="1:17" x14ac:dyDescent="0.3">
      <c r="A7673" s="34">
        <f>base!J7673</f>
        <v>0</v>
      </c>
      <c r="B7673" s="34">
        <f>base!V7673</f>
        <v>0</v>
      </c>
      <c r="C7673" s="40" t="s">
        <v>11</v>
      </c>
      <c r="D7673" s="36">
        <f>base!H7673</f>
        <v>0</v>
      </c>
      <c r="E7673" s="44"/>
      <c r="F7673" s="16">
        <f>base!W7673</f>
        <v>0</v>
      </c>
      <c r="G7673" s="11" t="e">
        <f t="shared" si="1190"/>
        <v>#DIV/0!</v>
      </c>
      <c r="H7673" s="11" t="e">
        <f t="shared" si="1191"/>
        <v>#N/A</v>
      </c>
      <c r="I7673" s="11" t="e">
        <f t="shared" si="1192"/>
        <v>#N/A</v>
      </c>
      <c r="J7673" s="12" t="e">
        <f t="shared" si="1193"/>
        <v>#N/A</v>
      </c>
      <c r="K7673" s="17" t="e">
        <f t="shared" si="1198"/>
        <v>#N/A</v>
      </c>
      <c r="L7673" s="16">
        <f>base!X7673</f>
        <v>0</v>
      </c>
      <c r="M7673" s="11" t="e">
        <f t="shared" si="1194"/>
        <v>#DIV/0!</v>
      </c>
      <c r="N7673" s="11" t="e">
        <f t="shared" si="1195"/>
        <v>#N/A</v>
      </c>
      <c r="O7673" s="11" t="e">
        <f t="shared" si="1196"/>
        <v>#N/A</v>
      </c>
      <c r="P7673" s="12" t="e">
        <f t="shared" si="1197"/>
        <v>#N/A</v>
      </c>
      <c r="Q7673" s="17" t="e">
        <f t="shared" si="1199"/>
        <v>#N/A</v>
      </c>
    </row>
    <row r="7674" spans="1:17" x14ac:dyDescent="0.3">
      <c r="A7674" s="34">
        <f>base!J7674</f>
        <v>0</v>
      </c>
      <c r="B7674" s="34">
        <f>base!V7674</f>
        <v>0</v>
      </c>
      <c r="C7674" s="40" t="s">
        <v>11</v>
      </c>
      <c r="D7674" s="36">
        <f>base!H7674</f>
        <v>0</v>
      </c>
      <c r="E7674" s="44"/>
      <c r="F7674" s="16">
        <f>base!W7674</f>
        <v>0</v>
      </c>
      <c r="G7674" s="11" t="e">
        <f t="shared" si="1190"/>
        <v>#DIV/0!</v>
      </c>
      <c r="H7674" s="11" t="e">
        <f t="shared" si="1191"/>
        <v>#N/A</v>
      </c>
      <c r="I7674" s="11" t="e">
        <f t="shared" si="1192"/>
        <v>#N/A</v>
      </c>
      <c r="J7674" s="12" t="e">
        <f t="shared" si="1193"/>
        <v>#N/A</v>
      </c>
      <c r="K7674" s="17" t="e">
        <f t="shared" si="1198"/>
        <v>#N/A</v>
      </c>
      <c r="L7674" s="16">
        <f>base!X7674</f>
        <v>0</v>
      </c>
      <c r="M7674" s="11" t="e">
        <f t="shared" si="1194"/>
        <v>#DIV/0!</v>
      </c>
      <c r="N7674" s="11" t="e">
        <f t="shared" si="1195"/>
        <v>#N/A</v>
      </c>
      <c r="O7674" s="11" t="e">
        <f t="shared" si="1196"/>
        <v>#N/A</v>
      </c>
      <c r="P7674" s="12" t="e">
        <f t="shared" si="1197"/>
        <v>#N/A</v>
      </c>
      <c r="Q7674" s="17" t="e">
        <f t="shared" si="1199"/>
        <v>#N/A</v>
      </c>
    </row>
    <row r="7675" spans="1:17" x14ac:dyDescent="0.3">
      <c r="A7675" s="34">
        <f>base!J7675</f>
        <v>0</v>
      </c>
      <c r="B7675" s="34">
        <f>base!V7675</f>
        <v>0</v>
      </c>
      <c r="C7675" s="40" t="s">
        <v>11</v>
      </c>
      <c r="D7675" s="36">
        <f>base!H7675</f>
        <v>0</v>
      </c>
      <c r="E7675" s="44"/>
      <c r="F7675" s="16">
        <f>base!W7675</f>
        <v>0</v>
      </c>
      <c r="G7675" s="11" t="e">
        <f t="shared" si="1190"/>
        <v>#DIV/0!</v>
      </c>
      <c r="H7675" s="11" t="e">
        <f t="shared" si="1191"/>
        <v>#N/A</v>
      </c>
      <c r="I7675" s="11" t="e">
        <f t="shared" si="1192"/>
        <v>#N/A</v>
      </c>
      <c r="J7675" s="12" t="e">
        <f t="shared" si="1193"/>
        <v>#N/A</v>
      </c>
      <c r="K7675" s="17" t="e">
        <f t="shared" si="1198"/>
        <v>#N/A</v>
      </c>
      <c r="L7675" s="16">
        <f>base!X7675</f>
        <v>0</v>
      </c>
      <c r="M7675" s="11" t="e">
        <f t="shared" si="1194"/>
        <v>#DIV/0!</v>
      </c>
      <c r="N7675" s="11" t="e">
        <f t="shared" si="1195"/>
        <v>#N/A</v>
      </c>
      <c r="O7675" s="11" t="e">
        <f t="shared" si="1196"/>
        <v>#N/A</v>
      </c>
      <c r="P7675" s="12" t="e">
        <f t="shared" si="1197"/>
        <v>#N/A</v>
      </c>
      <c r="Q7675" s="17" t="e">
        <f t="shared" si="1199"/>
        <v>#N/A</v>
      </c>
    </row>
    <row r="7676" spans="1:17" x14ac:dyDescent="0.3">
      <c r="A7676" s="34">
        <f>base!J7676</f>
        <v>0</v>
      </c>
      <c r="B7676" s="34">
        <f>base!V7676</f>
        <v>0</v>
      </c>
      <c r="C7676" s="40" t="s">
        <v>11</v>
      </c>
      <c r="D7676" s="36">
        <f>base!H7676</f>
        <v>0</v>
      </c>
      <c r="E7676" s="44"/>
      <c r="F7676" s="16">
        <f>base!W7676</f>
        <v>0</v>
      </c>
      <c r="G7676" s="11" t="e">
        <f t="shared" si="1190"/>
        <v>#DIV/0!</v>
      </c>
      <c r="H7676" s="11" t="e">
        <f t="shared" si="1191"/>
        <v>#N/A</v>
      </c>
      <c r="I7676" s="11" t="e">
        <f t="shared" si="1192"/>
        <v>#N/A</v>
      </c>
      <c r="J7676" s="12" t="e">
        <f t="shared" si="1193"/>
        <v>#N/A</v>
      </c>
      <c r="K7676" s="17" t="e">
        <f t="shared" si="1198"/>
        <v>#N/A</v>
      </c>
      <c r="L7676" s="16">
        <f>base!X7676</f>
        <v>0</v>
      </c>
      <c r="M7676" s="11" t="e">
        <f t="shared" si="1194"/>
        <v>#DIV/0!</v>
      </c>
      <c r="N7676" s="11" t="e">
        <f t="shared" si="1195"/>
        <v>#N/A</v>
      </c>
      <c r="O7676" s="11" t="e">
        <f t="shared" si="1196"/>
        <v>#N/A</v>
      </c>
      <c r="P7676" s="12" t="e">
        <f t="shared" si="1197"/>
        <v>#N/A</v>
      </c>
      <c r="Q7676" s="17" t="e">
        <f t="shared" si="1199"/>
        <v>#N/A</v>
      </c>
    </row>
    <row r="7677" spans="1:17" x14ac:dyDescent="0.3">
      <c r="A7677" s="34">
        <f>base!J7677</f>
        <v>0</v>
      </c>
      <c r="B7677" s="34">
        <f>base!V7677</f>
        <v>0</v>
      </c>
      <c r="C7677" s="40" t="s">
        <v>11</v>
      </c>
      <c r="D7677" s="36">
        <f>base!H7677</f>
        <v>0</v>
      </c>
      <c r="E7677" s="44"/>
      <c r="F7677" s="16">
        <f>base!W7677</f>
        <v>0</v>
      </c>
      <c r="G7677" s="11" t="e">
        <f t="shared" si="1190"/>
        <v>#DIV/0!</v>
      </c>
      <c r="H7677" s="11" t="e">
        <f t="shared" si="1191"/>
        <v>#N/A</v>
      </c>
      <c r="I7677" s="11" t="e">
        <f t="shared" si="1192"/>
        <v>#N/A</v>
      </c>
      <c r="J7677" s="12" t="e">
        <f t="shared" si="1193"/>
        <v>#N/A</v>
      </c>
      <c r="K7677" s="17" t="e">
        <f t="shared" si="1198"/>
        <v>#N/A</v>
      </c>
      <c r="L7677" s="16">
        <f>base!X7677</f>
        <v>0</v>
      </c>
      <c r="M7677" s="11" t="e">
        <f t="shared" si="1194"/>
        <v>#DIV/0!</v>
      </c>
      <c r="N7677" s="11" t="e">
        <f t="shared" si="1195"/>
        <v>#N/A</v>
      </c>
      <c r="O7677" s="11" t="e">
        <f t="shared" si="1196"/>
        <v>#N/A</v>
      </c>
      <c r="P7677" s="12" t="e">
        <f t="shared" si="1197"/>
        <v>#N/A</v>
      </c>
      <c r="Q7677" s="17" t="e">
        <f t="shared" si="1199"/>
        <v>#N/A</v>
      </c>
    </row>
    <row r="7678" spans="1:17" x14ac:dyDescent="0.3">
      <c r="A7678" s="34">
        <f>base!J7678</f>
        <v>0</v>
      </c>
      <c r="B7678" s="34">
        <f>base!V7678</f>
        <v>0</v>
      </c>
      <c r="C7678" s="40" t="s">
        <v>11</v>
      </c>
      <c r="D7678" s="36">
        <f>base!H7678</f>
        <v>0</v>
      </c>
      <c r="E7678" s="44"/>
      <c r="F7678" s="16">
        <f>base!W7678</f>
        <v>0</v>
      </c>
      <c r="G7678" s="11" t="e">
        <f t="shared" si="1190"/>
        <v>#DIV/0!</v>
      </c>
      <c r="H7678" s="11" t="e">
        <f t="shared" si="1191"/>
        <v>#N/A</v>
      </c>
      <c r="I7678" s="11" t="e">
        <f t="shared" si="1192"/>
        <v>#N/A</v>
      </c>
      <c r="J7678" s="12" t="e">
        <f t="shared" si="1193"/>
        <v>#N/A</v>
      </c>
      <c r="K7678" s="17" t="e">
        <f t="shared" si="1198"/>
        <v>#N/A</v>
      </c>
      <c r="L7678" s="16">
        <f>base!X7678</f>
        <v>0</v>
      </c>
      <c r="M7678" s="11" t="e">
        <f t="shared" si="1194"/>
        <v>#DIV/0!</v>
      </c>
      <c r="N7678" s="11" t="e">
        <f t="shared" si="1195"/>
        <v>#N/A</v>
      </c>
      <c r="O7678" s="11" t="e">
        <f t="shared" si="1196"/>
        <v>#N/A</v>
      </c>
      <c r="P7678" s="12" t="e">
        <f t="shared" si="1197"/>
        <v>#N/A</v>
      </c>
      <c r="Q7678" s="17" t="e">
        <f t="shared" si="1199"/>
        <v>#N/A</v>
      </c>
    </row>
    <row r="7679" spans="1:17" x14ac:dyDescent="0.3">
      <c r="A7679" s="34">
        <f>base!J7679</f>
        <v>0</v>
      </c>
      <c r="B7679" s="34">
        <f>base!V7679</f>
        <v>0</v>
      </c>
      <c r="C7679" s="40" t="s">
        <v>11</v>
      </c>
      <c r="D7679" s="36">
        <f>base!H7679</f>
        <v>0</v>
      </c>
      <c r="E7679" s="44"/>
      <c r="F7679" s="16">
        <f>base!W7679</f>
        <v>0</v>
      </c>
      <c r="G7679" s="11" t="e">
        <f t="shared" si="1190"/>
        <v>#DIV/0!</v>
      </c>
      <c r="H7679" s="11" t="e">
        <f t="shared" si="1191"/>
        <v>#N/A</v>
      </c>
      <c r="I7679" s="11" t="e">
        <f t="shared" si="1192"/>
        <v>#N/A</v>
      </c>
      <c r="J7679" s="12" t="e">
        <f t="shared" si="1193"/>
        <v>#N/A</v>
      </c>
      <c r="K7679" s="17" t="e">
        <f t="shared" si="1198"/>
        <v>#N/A</v>
      </c>
      <c r="L7679" s="16">
        <f>base!X7679</f>
        <v>0</v>
      </c>
      <c r="M7679" s="11" t="e">
        <f t="shared" si="1194"/>
        <v>#DIV/0!</v>
      </c>
      <c r="N7679" s="11" t="e">
        <f t="shared" si="1195"/>
        <v>#N/A</v>
      </c>
      <c r="O7679" s="11" t="e">
        <f t="shared" si="1196"/>
        <v>#N/A</v>
      </c>
      <c r="P7679" s="12" t="e">
        <f t="shared" si="1197"/>
        <v>#N/A</v>
      </c>
      <c r="Q7679" s="17" t="e">
        <f t="shared" si="1199"/>
        <v>#N/A</v>
      </c>
    </row>
    <row r="7680" spans="1:17" x14ac:dyDescent="0.3">
      <c r="A7680" s="34">
        <f>base!J7680</f>
        <v>0</v>
      </c>
      <c r="B7680" s="34">
        <f>base!V7680</f>
        <v>0</v>
      </c>
      <c r="C7680" s="40" t="s">
        <v>11</v>
      </c>
      <c r="D7680" s="36">
        <f>base!H7680</f>
        <v>0</v>
      </c>
      <c r="E7680" s="44"/>
      <c r="F7680" s="16">
        <f>base!W7680</f>
        <v>0</v>
      </c>
      <c r="G7680" s="11" t="e">
        <f t="shared" si="1190"/>
        <v>#DIV/0!</v>
      </c>
      <c r="H7680" s="11" t="e">
        <f t="shared" si="1191"/>
        <v>#N/A</v>
      </c>
      <c r="I7680" s="11" t="e">
        <f t="shared" si="1192"/>
        <v>#N/A</v>
      </c>
      <c r="J7680" s="12" t="e">
        <f t="shared" si="1193"/>
        <v>#N/A</v>
      </c>
      <c r="K7680" s="17" t="e">
        <f t="shared" si="1198"/>
        <v>#N/A</v>
      </c>
      <c r="L7680" s="16">
        <f>base!X7680</f>
        <v>0</v>
      </c>
      <c r="M7680" s="11" t="e">
        <f t="shared" si="1194"/>
        <v>#DIV/0!</v>
      </c>
      <c r="N7680" s="11" t="e">
        <f t="shared" si="1195"/>
        <v>#N/A</v>
      </c>
      <c r="O7680" s="11" t="e">
        <f t="shared" si="1196"/>
        <v>#N/A</v>
      </c>
      <c r="P7680" s="12" t="e">
        <f t="shared" si="1197"/>
        <v>#N/A</v>
      </c>
      <c r="Q7680" s="17" t="e">
        <f t="shared" si="1199"/>
        <v>#N/A</v>
      </c>
    </row>
    <row r="7681" spans="1:17" x14ac:dyDescent="0.3">
      <c r="A7681" s="34">
        <f>base!J7681</f>
        <v>0</v>
      </c>
      <c r="B7681" s="34">
        <f>base!V7681</f>
        <v>0</v>
      </c>
      <c r="C7681" s="40" t="s">
        <v>11</v>
      </c>
      <c r="D7681" s="36">
        <f>base!H7681</f>
        <v>0</v>
      </c>
      <c r="E7681" s="44"/>
      <c r="F7681" s="16">
        <f>base!W7681</f>
        <v>0</v>
      </c>
      <c r="G7681" s="11" t="e">
        <f t="shared" si="1190"/>
        <v>#DIV/0!</v>
      </c>
      <c r="H7681" s="11" t="e">
        <f t="shared" si="1191"/>
        <v>#N/A</v>
      </c>
      <c r="I7681" s="11" t="e">
        <f t="shared" si="1192"/>
        <v>#N/A</v>
      </c>
      <c r="J7681" s="12" t="e">
        <f t="shared" si="1193"/>
        <v>#N/A</v>
      </c>
      <c r="K7681" s="17" t="e">
        <f t="shared" si="1198"/>
        <v>#N/A</v>
      </c>
      <c r="L7681" s="16">
        <f>base!X7681</f>
        <v>0</v>
      </c>
      <c r="M7681" s="11" t="e">
        <f t="shared" si="1194"/>
        <v>#DIV/0!</v>
      </c>
      <c r="N7681" s="11" t="e">
        <f t="shared" si="1195"/>
        <v>#N/A</v>
      </c>
      <c r="O7681" s="11" t="e">
        <f t="shared" si="1196"/>
        <v>#N/A</v>
      </c>
      <c r="P7681" s="12" t="e">
        <f t="shared" si="1197"/>
        <v>#N/A</v>
      </c>
      <c r="Q7681" s="17" t="e">
        <f t="shared" si="1199"/>
        <v>#N/A</v>
      </c>
    </row>
    <row r="7682" spans="1:17" x14ac:dyDescent="0.3">
      <c r="A7682" s="34">
        <f>base!J7682</f>
        <v>0</v>
      </c>
      <c r="B7682" s="34">
        <f>base!V7682</f>
        <v>0</v>
      </c>
      <c r="C7682" s="40" t="s">
        <v>11</v>
      </c>
      <c r="D7682" s="36">
        <f>base!H7682</f>
        <v>0</v>
      </c>
      <c r="E7682" s="44"/>
      <c r="F7682" s="16">
        <f>base!W7682</f>
        <v>0</v>
      </c>
      <c r="G7682" s="11" t="e">
        <f t="shared" ref="G7682:G7745" si="1200">F7682/D7682</f>
        <v>#DIV/0!</v>
      </c>
      <c r="H7682" s="11" t="e">
        <f t="shared" ref="H7682:H7745" si="1201">VLOOKUP(C7682,tout_cout_traction,2,FALSE)*D7682</f>
        <v>#N/A</v>
      </c>
      <c r="I7682" s="11" t="e">
        <f t="shared" ref="I7682:I7745" si="1202">H7682/D7682</f>
        <v>#N/A</v>
      </c>
      <c r="J7682" s="12" t="e">
        <f t="shared" ref="J7682:J7745" si="1203">F7682-H7682</f>
        <v>#N/A</v>
      </c>
      <c r="K7682" s="17" t="e">
        <f t="shared" si="1198"/>
        <v>#N/A</v>
      </c>
      <c r="L7682" s="16">
        <f>base!X7682</f>
        <v>0</v>
      </c>
      <c r="M7682" s="11" t="e">
        <f t="shared" ref="M7682:M7745" si="1204">L7682/D7682</f>
        <v>#DIV/0!</v>
      </c>
      <c r="N7682" s="11" t="e">
        <f t="shared" ref="N7682:N7745" si="1205">VLOOKUP(C7682,tout_cout_traction,3,FALSE)*D7682</f>
        <v>#N/A</v>
      </c>
      <c r="O7682" s="11" t="e">
        <f t="shared" ref="O7682:O7745" si="1206">N7682/D7682</f>
        <v>#N/A</v>
      </c>
      <c r="P7682" s="12" t="e">
        <f t="shared" ref="P7682:P7745" si="1207">L7682-N7682</f>
        <v>#N/A</v>
      </c>
      <c r="Q7682" s="17" t="e">
        <f t="shared" si="1199"/>
        <v>#N/A</v>
      </c>
    </row>
    <row r="7683" spans="1:17" x14ac:dyDescent="0.3">
      <c r="A7683" s="34">
        <f>base!J7683</f>
        <v>0</v>
      </c>
      <c r="B7683" s="34">
        <f>base!V7683</f>
        <v>0</v>
      </c>
      <c r="C7683" s="40" t="s">
        <v>11</v>
      </c>
      <c r="D7683" s="36">
        <f>base!H7683</f>
        <v>0</v>
      </c>
      <c r="E7683" s="44"/>
      <c r="F7683" s="16">
        <f>base!W7683</f>
        <v>0</v>
      </c>
      <c r="G7683" s="11" t="e">
        <f t="shared" si="1200"/>
        <v>#DIV/0!</v>
      </c>
      <c r="H7683" s="11" t="e">
        <f t="shared" si="1201"/>
        <v>#N/A</v>
      </c>
      <c r="I7683" s="11" t="e">
        <f t="shared" si="1202"/>
        <v>#N/A</v>
      </c>
      <c r="J7683" s="12" t="e">
        <f t="shared" si="1203"/>
        <v>#N/A</v>
      </c>
      <c r="K7683" s="17" t="e">
        <f t="shared" ref="K7683:K7746" si="1208">IF(H7683=F7683,"Pas d'écart",IF(H7683&lt;F7683,"Ecart positif",IF(H7683&gt;F7683,"Ecart négatif")))</f>
        <v>#N/A</v>
      </c>
      <c r="L7683" s="16">
        <f>base!X7683</f>
        <v>0</v>
      </c>
      <c r="M7683" s="11" t="e">
        <f t="shared" si="1204"/>
        <v>#DIV/0!</v>
      </c>
      <c r="N7683" s="11" t="e">
        <f t="shared" si="1205"/>
        <v>#N/A</v>
      </c>
      <c r="O7683" s="11" t="e">
        <f t="shared" si="1206"/>
        <v>#N/A</v>
      </c>
      <c r="P7683" s="12" t="e">
        <f t="shared" si="1207"/>
        <v>#N/A</v>
      </c>
      <c r="Q7683" s="17" t="e">
        <f t="shared" ref="Q7683:Q7746" si="1209">IF(N7683=L7683,"Pas d'écart",IF(N7683&lt;L7683,"Ecart positif",IF(N7683&gt;L7683,"Ecart négatif")))</f>
        <v>#N/A</v>
      </c>
    </row>
    <row r="7684" spans="1:17" x14ac:dyDescent="0.3">
      <c r="A7684" s="34">
        <f>base!J7684</f>
        <v>0</v>
      </c>
      <c r="B7684" s="34">
        <f>base!V7684</f>
        <v>0</v>
      </c>
      <c r="C7684" s="40" t="s">
        <v>11</v>
      </c>
      <c r="D7684" s="36">
        <f>base!H7684</f>
        <v>0</v>
      </c>
      <c r="E7684" s="44"/>
      <c r="F7684" s="16">
        <f>base!W7684</f>
        <v>0</v>
      </c>
      <c r="G7684" s="11" t="e">
        <f t="shared" si="1200"/>
        <v>#DIV/0!</v>
      </c>
      <c r="H7684" s="11" t="e">
        <f t="shared" si="1201"/>
        <v>#N/A</v>
      </c>
      <c r="I7684" s="11" t="e">
        <f t="shared" si="1202"/>
        <v>#N/A</v>
      </c>
      <c r="J7684" s="12" t="e">
        <f t="shared" si="1203"/>
        <v>#N/A</v>
      </c>
      <c r="K7684" s="17" t="e">
        <f t="shared" si="1208"/>
        <v>#N/A</v>
      </c>
      <c r="L7684" s="16">
        <f>base!X7684</f>
        <v>0</v>
      </c>
      <c r="M7684" s="11" t="e">
        <f t="shared" si="1204"/>
        <v>#DIV/0!</v>
      </c>
      <c r="N7684" s="11" t="e">
        <f t="shared" si="1205"/>
        <v>#N/A</v>
      </c>
      <c r="O7684" s="11" t="e">
        <f t="shared" si="1206"/>
        <v>#N/A</v>
      </c>
      <c r="P7684" s="12" t="e">
        <f t="shared" si="1207"/>
        <v>#N/A</v>
      </c>
      <c r="Q7684" s="17" t="e">
        <f t="shared" si="1209"/>
        <v>#N/A</v>
      </c>
    </row>
    <row r="7685" spans="1:17" x14ac:dyDescent="0.3">
      <c r="A7685" s="34">
        <f>base!J7685</f>
        <v>0</v>
      </c>
      <c r="B7685" s="34">
        <f>base!V7685</f>
        <v>0</v>
      </c>
      <c r="C7685" s="40" t="s">
        <v>11</v>
      </c>
      <c r="D7685" s="36">
        <f>base!H7685</f>
        <v>0</v>
      </c>
      <c r="E7685" s="44"/>
      <c r="F7685" s="16">
        <f>base!W7685</f>
        <v>0</v>
      </c>
      <c r="G7685" s="11" t="e">
        <f t="shared" si="1200"/>
        <v>#DIV/0!</v>
      </c>
      <c r="H7685" s="11" t="e">
        <f t="shared" si="1201"/>
        <v>#N/A</v>
      </c>
      <c r="I7685" s="11" t="e">
        <f t="shared" si="1202"/>
        <v>#N/A</v>
      </c>
      <c r="J7685" s="12" t="e">
        <f t="shared" si="1203"/>
        <v>#N/A</v>
      </c>
      <c r="K7685" s="17" t="e">
        <f t="shared" si="1208"/>
        <v>#N/A</v>
      </c>
      <c r="L7685" s="16">
        <f>base!X7685</f>
        <v>0</v>
      </c>
      <c r="M7685" s="11" t="e">
        <f t="shared" si="1204"/>
        <v>#DIV/0!</v>
      </c>
      <c r="N7685" s="11" t="e">
        <f t="shared" si="1205"/>
        <v>#N/A</v>
      </c>
      <c r="O7685" s="11" t="e">
        <f t="shared" si="1206"/>
        <v>#N/A</v>
      </c>
      <c r="P7685" s="12" t="e">
        <f t="shared" si="1207"/>
        <v>#N/A</v>
      </c>
      <c r="Q7685" s="17" t="e">
        <f t="shared" si="1209"/>
        <v>#N/A</v>
      </c>
    </row>
    <row r="7686" spans="1:17" x14ac:dyDescent="0.3">
      <c r="A7686" s="34">
        <f>base!J7686</f>
        <v>0</v>
      </c>
      <c r="B7686" s="34">
        <f>base!V7686</f>
        <v>0</v>
      </c>
      <c r="C7686" s="40" t="s">
        <v>11</v>
      </c>
      <c r="D7686" s="36">
        <f>base!H7686</f>
        <v>0</v>
      </c>
      <c r="E7686" s="44"/>
      <c r="F7686" s="16">
        <f>base!W7686</f>
        <v>0</v>
      </c>
      <c r="G7686" s="11" t="e">
        <f t="shared" si="1200"/>
        <v>#DIV/0!</v>
      </c>
      <c r="H7686" s="11" t="e">
        <f t="shared" si="1201"/>
        <v>#N/A</v>
      </c>
      <c r="I7686" s="11" t="e">
        <f t="shared" si="1202"/>
        <v>#N/A</v>
      </c>
      <c r="J7686" s="12" t="e">
        <f t="shared" si="1203"/>
        <v>#N/A</v>
      </c>
      <c r="K7686" s="17" t="e">
        <f t="shared" si="1208"/>
        <v>#N/A</v>
      </c>
      <c r="L7686" s="16">
        <f>base!X7686</f>
        <v>0</v>
      </c>
      <c r="M7686" s="11" t="e">
        <f t="shared" si="1204"/>
        <v>#DIV/0!</v>
      </c>
      <c r="N7686" s="11" t="e">
        <f t="shared" si="1205"/>
        <v>#N/A</v>
      </c>
      <c r="O7686" s="11" t="e">
        <f t="shared" si="1206"/>
        <v>#N/A</v>
      </c>
      <c r="P7686" s="12" t="e">
        <f t="shared" si="1207"/>
        <v>#N/A</v>
      </c>
      <c r="Q7686" s="17" t="e">
        <f t="shared" si="1209"/>
        <v>#N/A</v>
      </c>
    </row>
    <row r="7687" spans="1:17" x14ac:dyDescent="0.3">
      <c r="A7687" s="34">
        <f>base!J7687</f>
        <v>0</v>
      </c>
      <c r="B7687" s="34">
        <f>base!V7687</f>
        <v>0</v>
      </c>
      <c r="C7687" s="40" t="s">
        <v>11</v>
      </c>
      <c r="D7687" s="36">
        <f>base!H7687</f>
        <v>0</v>
      </c>
      <c r="E7687" s="44"/>
      <c r="F7687" s="16">
        <f>base!W7687</f>
        <v>0</v>
      </c>
      <c r="G7687" s="11" t="e">
        <f t="shared" si="1200"/>
        <v>#DIV/0!</v>
      </c>
      <c r="H7687" s="11" t="e">
        <f t="shared" si="1201"/>
        <v>#N/A</v>
      </c>
      <c r="I7687" s="11" t="e">
        <f t="shared" si="1202"/>
        <v>#N/A</v>
      </c>
      <c r="J7687" s="12" t="e">
        <f t="shared" si="1203"/>
        <v>#N/A</v>
      </c>
      <c r="K7687" s="17" t="e">
        <f t="shared" si="1208"/>
        <v>#N/A</v>
      </c>
      <c r="L7687" s="16">
        <f>base!X7687</f>
        <v>0</v>
      </c>
      <c r="M7687" s="11" t="e">
        <f t="shared" si="1204"/>
        <v>#DIV/0!</v>
      </c>
      <c r="N7687" s="11" t="e">
        <f t="shared" si="1205"/>
        <v>#N/A</v>
      </c>
      <c r="O7687" s="11" t="e">
        <f t="shared" si="1206"/>
        <v>#N/A</v>
      </c>
      <c r="P7687" s="12" t="e">
        <f t="shared" si="1207"/>
        <v>#N/A</v>
      </c>
      <c r="Q7687" s="17" t="e">
        <f t="shared" si="1209"/>
        <v>#N/A</v>
      </c>
    </row>
    <row r="7688" spans="1:17" x14ac:dyDescent="0.3">
      <c r="A7688" s="34">
        <f>base!J7688</f>
        <v>0</v>
      </c>
      <c r="B7688" s="34">
        <f>base!V7688</f>
        <v>0</v>
      </c>
      <c r="C7688" s="40" t="s">
        <v>11</v>
      </c>
      <c r="D7688" s="36">
        <f>base!H7688</f>
        <v>0</v>
      </c>
      <c r="E7688" s="44"/>
      <c r="F7688" s="16">
        <f>base!W7688</f>
        <v>0</v>
      </c>
      <c r="G7688" s="11" t="e">
        <f t="shared" si="1200"/>
        <v>#DIV/0!</v>
      </c>
      <c r="H7688" s="11" t="e">
        <f t="shared" si="1201"/>
        <v>#N/A</v>
      </c>
      <c r="I7688" s="11" t="e">
        <f t="shared" si="1202"/>
        <v>#N/A</v>
      </c>
      <c r="J7688" s="12" t="e">
        <f t="shared" si="1203"/>
        <v>#N/A</v>
      </c>
      <c r="K7688" s="17" t="e">
        <f t="shared" si="1208"/>
        <v>#N/A</v>
      </c>
      <c r="L7688" s="16">
        <f>base!X7688</f>
        <v>0</v>
      </c>
      <c r="M7688" s="11" t="e">
        <f t="shared" si="1204"/>
        <v>#DIV/0!</v>
      </c>
      <c r="N7688" s="11" t="e">
        <f t="shared" si="1205"/>
        <v>#N/A</v>
      </c>
      <c r="O7688" s="11" t="e">
        <f t="shared" si="1206"/>
        <v>#N/A</v>
      </c>
      <c r="P7688" s="12" t="e">
        <f t="shared" si="1207"/>
        <v>#N/A</v>
      </c>
      <c r="Q7688" s="17" t="e">
        <f t="shared" si="1209"/>
        <v>#N/A</v>
      </c>
    </row>
    <row r="7689" spans="1:17" x14ac:dyDescent="0.3">
      <c r="A7689" s="34">
        <f>base!J7689</f>
        <v>0</v>
      </c>
      <c r="B7689" s="34">
        <f>base!V7689</f>
        <v>0</v>
      </c>
      <c r="C7689" s="40" t="s">
        <v>11</v>
      </c>
      <c r="D7689" s="36">
        <f>base!H7689</f>
        <v>0</v>
      </c>
      <c r="E7689" s="44"/>
      <c r="F7689" s="16">
        <f>base!W7689</f>
        <v>0</v>
      </c>
      <c r="G7689" s="11" t="e">
        <f t="shared" si="1200"/>
        <v>#DIV/0!</v>
      </c>
      <c r="H7689" s="11" t="e">
        <f t="shared" si="1201"/>
        <v>#N/A</v>
      </c>
      <c r="I7689" s="11" t="e">
        <f t="shared" si="1202"/>
        <v>#N/A</v>
      </c>
      <c r="J7689" s="12" t="e">
        <f t="shared" si="1203"/>
        <v>#N/A</v>
      </c>
      <c r="K7689" s="17" t="e">
        <f t="shared" si="1208"/>
        <v>#N/A</v>
      </c>
      <c r="L7689" s="16">
        <f>base!X7689</f>
        <v>0</v>
      </c>
      <c r="M7689" s="11" t="e">
        <f t="shared" si="1204"/>
        <v>#DIV/0!</v>
      </c>
      <c r="N7689" s="11" t="e">
        <f t="shared" si="1205"/>
        <v>#N/A</v>
      </c>
      <c r="O7689" s="11" t="e">
        <f t="shared" si="1206"/>
        <v>#N/A</v>
      </c>
      <c r="P7689" s="12" t="e">
        <f t="shared" si="1207"/>
        <v>#N/A</v>
      </c>
      <c r="Q7689" s="17" t="e">
        <f t="shared" si="1209"/>
        <v>#N/A</v>
      </c>
    </row>
    <row r="7690" spans="1:17" x14ac:dyDescent="0.3">
      <c r="A7690" s="34">
        <f>base!J7690</f>
        <v>0</v>
      </c>
      <c r="B7690" s="34">
        <f>base!V7690</f>
        <v>0</v>
      </c>
      <c r="C7690" s="40" t="s">
        <v>11</v>
      </c>
      <c r="D7690" s="36">
        <f>base!H7690</f>
        <v>0</v>
      </c>
      <c r="E7690" s="44"/>
      <c r="F7690" s="16">
        <f>base!W7690</f>
        <v>0</v>
      </c>
      <c r="G7690" s="11" t="e">
        <f t="shared" si="1200"/>
        <v>#DIV/0!</v>
      </c>
      <c r="H7690" s="11" t="e">
        <f t="shared" si="1201"/>
        <v>#N/A</v>
      </c>
      <c r="I7690" s="11" t="e">
        <f t="shared" si="1202"/>
        <v>#N/A</v>
      </c>
      <c r="J7690" s="12" t="e">
        <f t="shared" si="1203"/>
        <v>#N/A</v>
      </c>
      <c r="K7690" s="17" t="e">
        <f t="shared" si="1208"/>
        <v>#N/A</v>
      </c>
      <c r="L7690" s="16">
        <f>base!X7690</f>
        <v>0</v>
      </c>
      <c r="M7690" s="11" t="e">
        <f t="shared" si="1204"/>
        <v>#DIV/0!</v>
      </c>
      <c r="N7690" s="11" t="e">
        <f t="shared" si="1205"/>
        <v>#N/A</v>
      </c>
      <c r="O7690" s="11" t="e">
        <f t="shared" si="1206"/>
        <v>#N/A</v>
      </c>
      <c r="P7690" s="12" t="e">
        <f t="shared" si="1207"/>
        <v>#N/A</v>
      </c>
      <c r="Q7690" s="17" t="e">
        <f t="shared" si="1209"/>
        <v>#N/A</v>
      </c>
    </row>
    <row r="7691" spans="1:17" x14ac:dyDescent="0.3">
      <c r="A7691" s="34">
        <f>base!J7691</f>
        <v>0</v>
      </c>
      <c r="B7691" s="34">
        <f>base!V7691</f>
        <v>0</v>
      </c>
      <c r="C7691" s="40" t="s">
        <v>11</v>
      </c>
      <c r="D7691" s="36">
        <f>base!H7691</f>
        <v>0</v>
      </c>
      <c r="E7691" s="44"/>
      <c r="F7691" s="16">
        <f>base!W7691</f>
        <v>0</v>
      </c>
      <c r="G7691" s="11" t="e">
        <f t="shared" si="1200"/>
        <v>#DIV/0!</v>
      </c>
      <c r="H7691" s="11" t="e">
        <f t="shared" si="1201"/>
        <v>#N/A</v>
      </c>
      <c r="I7691" s="11" t="e">
        <f t="shared" si="1202"/>
        <v>#N/A</v>
      </c>
      <c r="J7691" s="12" t="e">
        <f t="shared" si="1203"/>
        <v>#N/A</v>
      </c>
      <c r="K7691" s="17" t="e">
        <f t="shared" si="1208"/>
        <v>#N/A</v>
      </c>
      <c r="L7691" s="16">
        <f>base!X7691</f>
        <v>0</v>
      </c>
      <c r="M7691" s="11" t="e">
        <f t="shared" si="1204"/>
        <v>#DIV/0!</v>
      </c>
      <c r="N7691" s="11" t="e">
        <f t="shared" si="1205"/>
        <v>#N/A</v>
      </c>
      <c r="O7691" s="11" t="e">
        <f t="shared" si="1206"/>
        <v>#N/A</v>
      </c>
      <c r="P7691" s="12" t="e">
        <f t="shared" si="1207"/>
        <v>#N/A</v>
      </c>
      <c r="Q7691" s="17" t="e">
        <f t="shared" si="1209"/>
        <v>#N/A</v>
      </c>
    </row>
    <row r="7692" spans="1:17" x14ac:dyDescent="0.3">
      <c r="A7692" s="34">
        <f>base!J7692</f>
        <v>0</v>
      </c>
      <c r="B7692" s="34">
        <f>base!V7692</f>
        <v>0</v>
      </c>
      <c r="C7692" s="40" t="s">
        <v>11</v>
      </c>
      <c r="D7692" s="36">
        <f>base!H7692</f>
        <v>0</v>
      </c>
      <c r="E7692" s="44"/>
      <c r="F7692" s="16">
        <f>base!W7692</f>
        <v>0</v>
      </c>
      <c r="G7692" s="11" t="e">
        <f t="shared" si="1200"/>
        <v>#DIV/0!</v>
      </c>
      <c r="H7692" s="11" t="e">
        <f t="shared" si="1201"/>
        <v>#N/A</v>
      </c>
      <c r="I7692" s="11" t="e">
        <f t="shared" si="1202"/>
        <v>#N/A</v>
      </c>
      <c r="J7692" s="12" t="e">
        <f t="shared" si="1203"/>
        <v>#N/A</v>
      </c>
      <c r="K7692" s="17" t="e">
        <f t="shared" si="1208"/>
        <v>#N/A</v>
      </c>
      <c r="L7692" s="16">
        <f>base!X7692</f>
        <v>0</v>
      </c>
      <c r="M7692" s="11" t="e">
        <f t="shared" si="1204"/>
        <v>#DIV/0!</v>
      </c>
      <c r="N7692" s="11" t="e">
        <f t="shared" si="1205"/>
        <v>#N/A</v>
      </c>
      <c r="O7692" s="11" t="e">
        <f t="shared" si="1206"/>
        <v>#N/A</v>
      </c>
      <c r="P7692" s="12" t="e">
        <f t="shared" si="1207"/>
        <v>#N/A</v>
      </c>
      <c r="Q7692" s="17" t="e">
        <f t="shared" si="1209"/>
        <v>#N/A</v>
      </c>
    </row>
    <row r="7693" spans="1:17" x14ac:dyDescent="0.3">
      <c r="A7693" s="34">
        <f>base!J7693</f>
        <v>0</v>
      </c>
      <c r="B7693" s="34">
        <f>base!V7693</f>
        <v>0</v>
      </c>
      <c r="C7693" s="40" t="s">
        <v>11</v>
      </c>
      <c r="D7693" s="36">
        <f>base!H7693</f>
        <v>0</v>
      </c>
      <c r="E7693" s="44"/>
      <c r="F7693" s="16">
        <f>base!W7693</f>
        <v>0</v>
      </c>
      <c r="G7693" s="11" t="e">
        <f t="shared" si="1200"/>
        <v>#DIV/0!</v>
      </c>
      <c r="H7693" s="11" t="e">
        <f t="shared" si="1201"/>
        <v>#N/A</v>
      </c>
      <c r="I7693" s="11" t="e">
        <f t="shared" si="1202"/>
        <v>#N/A</v>
      </c>
      <c r="J7693" s="12" t="e">
        <f t="shared" si="1203"/>
        <v>#N/A</v>
      </c>
      <c r="K7693" s="17" t="e">
        <f t="shared" si="1208"/>
        <v>#N/A</v>
      </c>
      <c r="L7693" s="16">
        <f>base!X7693</f>
        <v>0</v>
      </c>
      <c r="M7693" s="11" t="e">
        <f t="shared" si="1204"/>
        <v>#DIV/0!</v>
      </c>
      <c r="N7693" s="11" t="e">
        <f t="shared" si="1205"/>
        <v>#N/A</v>
      </c>
      <c r="O7693" s="11" t="e">
        <f t="shared" si="1206"/>
        <v>#N/A</v>
      </c>
      <c r="P7693" s="12" t="e">
        <f t="shared" si="1207"/>
        <v>#N/A</v>
      </c>
      <c r="Q7693" s="17" t="e">
        <f t="shared" si="1209"/>
        <v>#N/A</v>
      </c>
    </row>
    <row r="7694" spans="1:17" x14ac:dyDescent="0.3">
      <c r="A7694" s="34">
        <f>base!J7694</f>
        <v>0</v>
      </c>
      <c r="B7694" s="34">
        <f>base!V7694</f>
        <v>0</v>
      </c>
      <c r="C7694" s="40" t="s">
        <v>11</v>
      </c>
      <c r="D7694" s="36">
        <f>base!H7694</f>
        <v>0</v>
      </c>
      <c r="E7694" s="44"/>
      <c r="F7694" s="16">
        <f>base!W7694</f>
        <v>0</v>
      </c>
      <c r="G7694" s="11" t="e">
        <f t="shared" si="1200"/>
        <v>#DIV/0!</v>
      </c>
      <c r="H7694" s="11" t="e">
        <f t="shared" si="1201"/>
        <v>#N/A</v>
      </c>
      <c r="I7694" s="11" t="e">
        <f t="shared" si="1202"/>
        <v>#N/A</v>
      </c>
      <c r="J7694" s="12" t="e">
        <f t="shared" si="1203"/>
        <v>#N/A</v>
      </c>
      <c r="K7694" s="17" t="e">
        <f t="shared" si="1208"/>
        <v>#N/A</v>
      </c>
      <c r="L7694" s="16">
        <f>base!X7694</f>
        <v>0</v>
      </c>
      <c r="M7694" s="11" t="e">
        <f t="shared" si="1204"/>
        <v>#DIV/0!</v>
      </c>
      <c r="N7694" s="11" t="e">
        <f t="shared" si="1205"/>
        <v>#N/A</v>
      </c>
      <c r="O7694" s="11" t="e">
        <f t="shared" si="1206"/>
        <v>#N/A</v>
      </c>
      <c r="P7694" s="12" t="e">
        <f t="shared" si="1207"/>
        <v>#N/A</v>
      </c>
      <c r="Q7694" s="17" t="e">
        <f t="shared" si="1209"/>
        <v>#N/A</v>
      </c>
    </row>
    <row r="7695" spans="1:17" x14ac:dyDescent="0.3">
      <c r="A7695" s="34">
        <f>base!J7695</f>
        <v>0</v>
      </c>
      <c r="B7695" s="34">
        <f>base!V7695</f>
        <v>0</v>
      </c>
      <c r="C7695" s="40" t="s">
        <v>11</v>
      </c>
      <c r="D7695" s="36">
        <f>base!H7695</f>
        <v>0</v>
      </c>
      <c r="E7695" s="44"/>
      <c r="F7695" s="16">
        <f>base!W7695</f>
        <v>0</v>
      </c>
      <c r="G7695" s="11" t="e">
        <f t="shared" si="1200"/>
        <v>#DIV/0!</v>
      </c>
      <c r="H7695" s="11" t="e">
        <f t="shared" si="1201"/>
        <v>#N/A</v>
      </c>
      <c r="I7695" s="11" t="e">
        <f t="shared" si="1202"/>
        <v>#N/A</v>
      </c>
      <c r="J7695" s="12" t="e">
        <f t="shared" si="1203"/>
        <v>#N/A</v>
      </c>
      <c r="K7695" s="17" t="e">
        <f t="shared" si="1208"/>
        <v>#N/A</v>
      </c>
      <c r="L7695" s="16">
        <f>base!X7695</f>
        <v>0</v>
      </c>
      <c r="M7695" s="11" t="e">
        <f t="shared" si="1204"/>
        <v>#DIV/0!</v>
      </c>
      <c r="N7695" s="11" t="e">
        <f t="shared" si="1205"/>
        <v>#N/A</v>
      </c>
      <c r="O7695" s="11" t="e">
        <f t="shared" si="1206"/>
        <v>#N/A</v>
      </c>
      <c r="P7695" s="12" t="e">
        <f t="shared" si="1207"/>
        <v>#N/A</v>
      </c>
      <c r="Q7695" s="17" t="e">
        <f t="shared" si="1209"/>
        <v>#N/A</v>
      </c>
    </row>
    <row r="7696" spans="1:17" x14ac:dyDescent="0.3">
      <c r="A7696" s="34">
        <f>base!J7696</f>
        <v>0</v>
      </c>
      <c r="B7696" s="34">
        <f>base!V7696</f>
        <v>0</v>
      </c>
      <c r="C7696" s="40" t="s">
        <v>11</v>
      </c>
      <c r="D7696" s="36">
        <f>base!H7696</f>
        <v>0</v>
      </c>
      <c r="E7696" s="44"/>
      <c r="F7696" s="16">
        <f>base!W7696</f>
        <v>0</v>
      </c>
      <c r="G7696" s="11" t="e">
        <f t="shared" si="1200"/>
        <v>#DIV/0!</v>
      </c>
      <c r="H7696" s="11" t="e">
        <f t="shared" si="1201"/>
        <v>#N/A</v>
      </c>
      <c r="I7696" s="11" t="e">
        <f t="shared" si="1202"/>
        <v>#N/A</v>
      </c>
      <c r="J7696" s="12" t="e">
        <f t="shared" si="1203"/>
        <v>#N/A</v>
      </c>
      <c r="K7696" s="17" t="e">
        <f t="shared" si="1208"/>
        <v>#N/A</v>
      </c>
      <c r="L7696" s="16">
        <f>base!X7696</f>
        <v>0</v>
      </c>
      <c r="M7696" s="11" t="e">
        <f t="shared" si="1204"/>
        <v>#DIV/0!</v>
      </c>
      <c r="N7696" s="11" t="e">
        <f t="shared" si="1205"/>
        <v>#N/A</v>
      </c>
      <c r="O7696" s="11" t="e">
        <f t="shared" si="1206"/>
        <v>#N/A</v>
      </c>
      <c r="P7696" s="12" t="e">
        <f t="shared" si="1207"/>
        <v>#N/A</v>
      </c>
      <c r="Q7696" s="17" t="e">
        <f t="shared" si="1209"/>
        <v>#N/A</v>
      </c>
    </row>
    <row r="7697" spans="1:17" x14ac:dyDescent="0.3">
      <c r="A7697" s="34">
        <f>base!J7697</f>
        <v>0</v>
      </c>
      <c r="B7697" s="34">
        <f>base!V7697</f>
        <v>0</v>
      </c>
      <c r="C7697" s="40" t="s">
        <v>11</v>
      </c>
      <c r="D7697" s="36">
        <f>base!H7697</f>
        <v>0</v>
      </c>
      <c r="E7697" s="44"/>
      <c r="F7697" s="16">
        <f>base!W7697</f>
        <v>0</v>
      </c>
      <c r="G7697" s="11" t="e">
        <f t="shared" si="1200"/>
        <v>#DIV/0!</v>
      </c>
      <c r="H7697" s="11" t="e">
        <f t="shared" si="1201"/>
        <v>#N/A</v>
      </c>
      <c r="I7697" s="11" t="e">
        <f t="shared" si="1202"/>
        <v>#N/A</v>
      </c>
      <c r="J7697" s="12" t="e">
        <f t="shared" si="1203"/>
        <v>#N/A</v>
      </c>
      <c r="K7697" s="17" t="e">
        <f t="shared" si="1208"/>
        <v>#N/A</v>
      </c>
      <c r="L7697" s="16">
        <f>base!X7697</f>
        <v>0</v>
      </c>
      <c r="M7697" s="11" t="e">
        <f t="shared" si="1204"/>
        <v>#DIV/0!</v>
      </c>
      <c r="N7697" s="11" t="e">
        <f t="shared" si="1205"/>
        <v>#N/A</v>
      </c>
      <c r="O7697" s="11" t="e">
        <f t="shared" si="1206"/>
        <v>#N/A</v>
      </c>
      <c r="P7697" s="12" t="e">
        <f t="shared" si="1207"/>
        <v>#N/A</v>
      </c>
      <c r="Q7697" s="17" t="e">
        <f t="shared" si="1209"/>
        <v>#N/A</v>
      </c>
    </row>
    <row r="7698" spans="1:17" x14ac:dyDescent="0.3">
      <c r="A7698" s="34">
        <f>base!J7698</f>
        <v>0</v>
      </c>
      <c r="B7698" s="34">
        <f>base!V7698</f>
        <v>0</v>
      </c>
      <c r="C7698" s="40" t="s">
        <v>11</v>
      </c>
      <c r="D7698" s="36">
        <f>base!H7698</f>
        <v>0</v>
      </c>
      <c r="E7698" s="44"/>
      <c r="F7698" s="16">
        <f>base!W7698</f>
        <v>0</v>
      </c>
      <c r="G7698" s="11" t="e">
        <f t="shared" si="1200"/>
        <v>#DIV/0!</v>
      </c>
      <c r="H7698" s="11" t="e">
        <f t="shared" si="1201"/>
        <v>#N/A</v>
      </c>
      <c r="I7698" s="11" t="e">
        <f t="shared" si="1202"/>
        <v>#N/A</v>
      </c>
      <c r="J7698" s="12" t="e">
        <f t="shared" si="1203"/>
        <v>#N/A</v>
      </c>
      <c r="K7698" s="17" t="e">
        <f t="shared" si="1208"/>
        <v>#N/A</v>
      </c>
      <c r="L7698" s="16">
        <f>base!X7698</f>
        <v>0</v>
      </c>
      <c r="M7698" s="11" t="e">
        <f t="shared" si="1204"/>
        <v>#DIV/0!</v>
      </c>
      <c r="N7698" s="11" t="e">
        <f t="shared" si="1205"/>
        <v>#N/A</v>
      </c>
      <c r="O7698" s="11" t="e">
        <f t="shared" si="1206"/>
        <v>#N/A</v>
      </c>
      <c r="P7698" s="12" t="e">
        <f t="shared" si="1207"/>
        <v>#N/A</v>
      </c>
      <c r="Q7698" s="17" t="e">
        <f t="shared" si="1209"/>
        <v>#N/A</v>
      </c>
    </row>
    <row r="7699" spans="1:17" x14ac:dyDescent="0.3">
      <c r="A7699" s="34">
        <f>base!J7699</f>
        <v>0</v>
      </c>
      <c r="B7699" s="34">
        <f>base!V7699</f>
        <v>0</v>
      </c>
      <c r="C7699" s="40" t="s">
        <v>11</v>
      </c>
      <c r="D7699" s="36">
        <f>base!H7699</f>
        <v>0</v>
      </c>
      <c r="E7699" s="44"/>
      <c r="F7699" s="16">
        <f>base!W7699</f>
        <v>0</v>
      </c>
      <c r="G7699" s="11" t="e">
        <f t="shared" si="1200"/>
        <v>#DIV/0!</v>
      </c>
      <c r="H7699" s="11" t="e">
        <f t="shared" si="1201"/>
        <v>#N/A</v>
      </c>
      <c r="I7699" s="11" t="e">
        <f t="shared" si="1202"/>
        <v>#N/A</v>
      </c>
      <c r="J7699" s="12" t="e">
        <f t="shared" si="1203"/>
        <v>#N/A</v>
      </c>
      <c r="K7699" s="17" t="e">
        <f t="shared" si="1208"/>
        <v>#N/A</v>
      </c>
      <c r="L7699" s="16">
        <f>base!X7699</f>
        <v>0</v>
      </c>
      <c r="M7699" s="11" t="e">
        <f t="shared" si="1204"/>
        <v>#DIV/0!</v>
      </c>
      <c r="N7699" s="11" t="e">
        <f t="shared" si="1205"/>
        <v>#N/A</v>
      </c>
      <c r="O7699" s="11" t="e">
        <f t="shared" si="1206"/>
        <v>#N/A</v>
      </c>
      <c r="P7699" s="12" t="e">
        <f t="shared" si="1207"/>
        <v>#N/A</v>
      </c>
      <c r="Q7699" s="17" t="e">
        <f t="shared" si="1209"/>
        <v>#N/A</v>
      </c>
    </row>
    <row r="7700" spans="1:17" x14ac:dyDescent="0.3">
      <c r="A7700" s="34">
        <f>base!J7700</f>
        <v>0</v>
      </c>
      <c r="B7700" s="34">
        <f>base!V7700</f>
        <v>0</v>
      </c>
      <c r="C7700" s="40" t="s">
        <v>11</v>
      </c>
      <c r="D7700" s="36">
        <f>base!H7700</f>
        <v>0</v>
      </c>
      <c r="E7700" s="44"/>
      <c r="F7700" s="16">
        <f>base!W7700</f>
        <v>0</v>
      </c>
      <c r="G7700" s="11" t="e">
        <f t="shared" si="1200"/>
        <v>#DIV/0!</v>
      </c>
      <c r="H7700" s="11" t="e">
        <f t="shared" si="1201"/>
        <v>#N/A</v>
      </c>
      <c r="I7700" s="11" t="e">
        <f t="shared" si="1202"/>
        <v>#N/A</v>
      </c>
      <c r="J7700" s="12" t="e">
        <f t="shared" si="1203"/>
        <v>#N/A</v>
      </c>
      <c r="K7700" s="17" t="e">
        <f t="shared" si="1208"/>
        <v>#N/A</v>
      </c>
      <c r="L7700" s="16">
        <f>base!X7700</f>
        <v>0</v>
      </c>
      <c r="M7700" s="11" t="e">
        <f t="shared" si="1204"/>
        <v>#DIV/0!</v>
      </c>
      <c r="N7700" s="11" t="e">
        <f t="shared" si="1205"/>
        <v>#N/A</v>
      </c>
      <c r="O7700" s="11" t="e">
        <f t="shared" si="1206"/>
        <v>#N/A</v>
      </c>
      <c r="P7700" s="12" t="e">
        <f t="shared" si="1207"/>
        <v>#N/A</v>
      </c>
      <c r="Q7700" s="17" t="e">
        <f t="shared" si="1209"/>
        <v>#N/A</v>
      </c>
    </row>
    <row r="7701" spans="1:17" x14ac:dyDescent="0.3">
      <c r="A7701" s="34">
        <f>base!J7701</f>
        <v>0</v>
      </c>
      <c r="B7701" s="34">
        <f>base!V7701</f>
        <v>0</v>
      </c>
      <c r="C7701" s="40" t="s">
        <v>11</v>
      </c>
      <c r="D7701" s="36">
        <f>base!H7701</f>
        <v>0</v>
      </c>
      <c r="E7701" s="44"/>
      <c r="F7701" s="16">
        <f>base!W7701</f>
        <v>0</v>
      </c>
      <c r="G7701" s="11" t="e">
        <f t="shared" si="1200"/>
        <v>#DIV/0!</v>
      </c>
      <c r="H7701" s="11" t="e">
        <f t="shared" si="1201"/>
        <v>#N/A</v>
      </c>
      <c r="I7701" s="11" t="e">
        <f t="shared" si="1202"/>
        <v>#N/A</v>
      </c>
      <c r="J7701" s="12" t="e">
        <f t="shared" si="1203"/>
        <v>#N/A</v>
      </c>
      <c r="K7701" s="17" t="e">
        <f t="shared" si="1208"/>
        <v>#N/A</v>
      </c>
      <c r="L7701" s="16">
        <f>base!X7701</f>
        <v>0</v>
      </c>
      <c r="M7701" s="11" t="e">
        <f t="shared" si="1204"/>
        <v>#DIV/0!</v>
      </c>
      <c r="N7701" s="11" t="e">
        <f t="shared" si="1205"/>
        <v>#N/A</v>
      </c>
      <c r="O7701" s="11" t="e">
        <f t="shared" si="1206"/>
        <v>#N/A</v>
      </c>
      <c r="P7701" s="12" t="e">
        <f t="shared" si="1207"/>
        <v>#N/A</v>
      </c>
      <c r="Q7701" s="17" t="e">
        <f t="shared" si="1209"/>
        <v>#N/A</v>
      </c>
    </row>
    <row r="7702" spans="1:17" x14ac:dyDescent="0.3">
      <c r="A7702" s="34">
        <f>base!J7702</f>
        <v>0</v>
      </c>
      <c r="B7702" s="34">
        <f>base!V7702</f>
        <v>0</v>
      </c>
      <c r="C7702" s="40" t="s">
        <v>11</v>
      </c>
      <c r="D7702" s="36">
        <f>base!H7702</f>
        <v>0</v>
      </c>
      <c r="E7702" s="44"/>
      <c r="F7702" s="16">
        <f>base!W7702</f>
        <v>0</v>
      </c>
      <c r="G7702" s="11" t="e">
        <f t="shared" si="1200"/>
        <v>#DIV/0!</v>
      </c>
      <c r="H7702" s="11" t="e">
        <f t="shared" si="1201"/>
        <v>#N/A</v>
      </c>
      <c r="I7702" s="11" t="e">
        <f t="shared" si="1202"/>
        <v>#N/A</v>
      </c>
      <c r="J7702" s="12" t="e">
        <f t="shared" si="1203"/>
        <v>#N/A</v>
      </c>
      <c r="K7702" s="17" t="e">
        <f t="shared" si="1208"/>
        <v>#N/A</v>
      </c>
      <c r="L7702" s="16">
        <f>base!X7702</f>
        <v>0</v>
      </c>
      <c r="M7702" s="11" t="e">
        <f t="shared" si="1204"/>
        <v>#DIV/0!</v>
      </c>
      <c r="N7702" s="11" t="e">
        <f t="shared" si="1205"/>
        <v>#N/A</v>
      </c>
      <c r="O7702" s="11" t="e">
        <f t="shared" si="1206"/>
        <v>#N/A</v>
      </c>
      <c r="P7702" s="12" t="e">
        <f t="shared" si="1207"/>
        <v>#N/A</v>
      </c>
      <c r="Q7702" s="17" t="e">
        <f t="shared" si="1209"/>
        <v>#N/A</v>
      </c>
    </row>
    <row r="7703" spans="1:17" x14ac:dyDescent="0.3">
      <c r="A7703" s="34">
        <f>base!J7703</f>
        <v>0</v>
      </c>
      <c r="B7703" s="34">
        <f>base!V7703</f>
        <v>0</v>
      </c>
      <c r="C7703" s="40" t="s">
        <v>11</v>
      </c>
      <c r="D7703" s="36">
        <f>base!H7703</f>
        <v>0</v>
      </c>
      <c r="E7703" s="44"/>
      <c r="F7703" s="16">
        <f>base!W7703</f>
        <v>0</v>
      </c>
      <c r="G7703" s="11" t="e">
        <f t="shared" si="1200"/>
        <v>#DIV/0!</v>
      </c>
      <c r="H7703" s="11" t="e">
        <f t="shared" si="1201"/>
        <v>#N/A</v>
      </c>
      <c r="I7703" s="11" t="e">
        <f t="shared" si="1202"/>
        <v>#N/A</v>
      </c>
      <c r="J7703" s="12" t="e">
        <f t="shared" si="1203"/>
        <v>#N/A</v>
      </c>
      <c r="K7703" s="17" t="e">
        <f t="shared" si="1208"/>
        <v>#N/A</v>
      </c>
      <c r="L7703" s="16">
        <f>base!X7703</f>
        <v>0</v>
      </c>
      <c r="M7703" s="11" t="e">
        <f t="shared" si="1204"/>
        <v>#DIV/0!</v>
      </c>
      <c r="N7703" s="11" t="e">
        <f t="shared" si="1205"/>
        <v>#N/A</v>
      </c>
      <c r="O7703" s="11" t="e">
        <f t="shared" si="1206"/>
        <v>#N/A</v>
      </c>
      <c r="P7703" s="12" t="e">
        <f t="shared" si="1207"/>
        <v>#N/A</v>
      </c>
      <c r="Q7703" s="17" t="e">
        <f t="shared" si="1209"/>
        <v>#N/A</v>
      </c>
    </row>
    <row r="7704" spans="1:17" x14ac:dyDescent="0.3">
      <c r="A7704" s="34">
        <f>base!J7704</f>
        <v>0</v>
      </c>
      <c r="B7704" s="34">
        <f>base!V7704</f>
        <v>0</v>
      </c>
      <c r="C7704" s="40" t="s">
        <v>11</v>
      </c>
      <c r="D7704" s="36">
        <f>base!H7704</f>
        <v>0</v>
      </c>
      <c r="E7704" s="44"/>
      <c r="F7704" s="16">
        <f>base!W7704</f>
        <v>0</v>
      </c>
      <c r="G7704" s="11" t="e">
        <f t="shared" si="1200"/>
        <v>#DIV/0!</v>
      </c>
      <c r="H7704" s="11" t="e">
        <f t="shared" si="1201"/>
        <v>#N/A</v>
      </c>
      <c r="I7704" s="11" t="e">
        <f t="shared" si="1202"/>
        <v>#N/A</v>
      </c>
      <c r="J7704" s="12" t="e">
        <f t="shared" si="1203"/>
        <v>#N/A</v>
      </c>
      <c r="K7704" s="17" t="e">
        <f t="shared" si="1208"/>
        <v>#N/A</v>
      </c>
      <c r="L7704" s="16">
        <f>base!X7704</f>
        <v>0</v>
      </c>
      <c r="M7704" s="11" t="e">
        <f t="shared" si="1204"/>
        <v>#DIV/0!</v>
      </c>
      <c r="N7704" s="11" t="e">
        <f t="shared" si="1205"/>
        <v>#N/A</v>
      </c>
      <c r="O7704" s="11" t="e">
        <f t="shared" si="1206"/>
        <v>#N/A</v>
      </c>
      <c r="P7704" s="12" t="e">
        <f t="shared" si="1207"/>
        <v>#N/A</v>
      </c>
      <c r="Q7704" s="17" t="e">
        <f t="shared" si="1209"/>
        <v>#N/A</v>
      </c>
    </row>
    <row r="7705" spans="1:17" x14ac:dyDescent="0.3">
      <c r="A7705" s="34">
        <f>base!J7705</f>
        <v>0</v>
      </c>
      <c r="B7705" s="34">
        <f>base!V7705</f>
        <v>0</v>
      </c>
      <c r="C7705" s="40" t="s">
        <v>11</v>
      </c>
      <c r="D7705" s="36">
        <f>base!H7705</f>
        <v>0</v>
      </c>
      <c r="E7705" s="44"/>
      <c r="F7705" s="16">
        <f>base!W7705</f>
        <v>0</v>
      </c>
      <c r="G7705" s="11" t="e">
        <f t="shared" si="1200"/>
        <v>#DIV/0!</v>
      </c>
      <c r="H7705" s="11" t="e">
        <f t="shared" si="1201"/>
        <v>#N/A</v>
      </c>
      <c r="I7705" s="11" t="e">
        <f t="shared" si="1202"/>
        <v>#N/A</v>
      </c>
      <c r="J7705" s="12" t="e">
        <f t="shared" si="1203"/>
        <v>#N/A</v>
      </c>
      <c r="K7705" s="17" t="e">
        <f t="shared" si="1208"/>
        <v>#N/A</v>
      </c>
      <c r="L7705" s="16">
        <f>base!X7705</f>
        <v>0</v>
      </c>
      <c r="M7705" s="11" t="e">
        <f t="shared" si="1204"/>
        <v>#DIV/0!</v>
      </c>
      <c r="N7705" s="11" t="e">
        <f t="shared" si="1205"/>
        <v>#N/A</v>
      </c>
      <c r="O7705" s="11" t="e">
        <f t="shared" si="1206"/>
        <v>#N/A</v>
      </c>
      <c r="P7705" s="12" t="e">
        <f t="shared" si="1207"/>
        <v>#N/A</v>
      </c>
      <c r="Q7705" s="17" t="e">
        <f t="shared" si="1209"/>
        <v>#N/A</v>
      </c>
    </row>
    <row r="7706" spans="1:17" x14ac:dyDescent="0.3">
      <c r="A7706" s="34">
        <f>base!J7706</f>
        <v>0</v>
      </c>
      <c r="B7706" s="34">
        <f>base!V7706</f>
        <v>0</v>
      </c>
      <c r="C7706" s="40" t="s">
        <v>11</v>
      </c>
      <c r="D7706" s="36">
        <f>base!H7706</f>
        <v>0</v>
      </c>
      <c r="E7706" s="44"/>
      <c r="F7706" s="16">
        <f>base!W7706</f>
        <v>0</v>
      </c>
      <c r="G7706" s="11" t="e">
        <f t="shared" si="1200"/>
        <v>#DIV/0!</v>
      </c>
      <c r="H7706" s="11" t="e">
        <f t="shared" si="1201"/>
        <v>#N/A</v>
      </c>
      <c r="I7706" s="11" t="e">
        <f t="shared" si="1202"/>
        <v>#N/A</v>
      </c>
      <c r="J7706" s="12" t="e">
        <f t="shared" si="1203"/>
        <v>#N/A</v>
      </c>
      <c r="K7706" s="17" t="e">
        <f t="shared" si="1208"/>
        <v>#N/A</v>
      </c>
      <c r="L7706" s="16">
        <f>base!X7706</f>
        <v>0</v>
      </c>
      <c r="M7706" s="11" t="e">
        <f t="shared" si="1204"/>
        <v>#DIV/0!</v>
      </c>
      <c r="N7706" s="11" t="e">
        <f t="shared" si="1205"/>
        <v>#N/A</v>
      </c>
      <c r="O7706" s="11" t="e">
        <f t="shared" si="1206"/>
        <v>#N/A</v>
      </c>
      <c r="P7706" s="12" t="e">
        <f t="shared" si="1207"/>
        <v>#N/A</v>
      </c>
      <c r="Q7706" s="17" t="e">
        <f t="shared" si="1209"/>
        <v>#N/A</v>
      </c>
    </row>
    <row r="7707" spans="1:17" x14ac:dyDescent="0.3">
      <c r="A7707" s="34">
        <f>base!J7707</f>
        <v>0</v>
      </c>
      <c r="B7707" s="34">
        <f>base!V7707</f>
        <v>0</v>
      </c>
      <c r="C7707" s="40" t="s">
        <v>11</v>
      </c>
      <c r="D7707" s="36">
        <f>base!H7707</f>
        <v>0</v>
      </c>
      <c r="E7707" s="44"/>
      <c r="F7707" s="16">
        <f>base!W7707</f>
        <v>0</v>
      </c>
      <c r="G7707" s="11" t="e">
        <f t="shared" si="1200"/>
        <v>#DIV/0!</v>
      </c>
      <c r="H7707" s="11" t="e">
        <f t="shared" si="1201"/>
        <v>#N/A</v>
      </c>
      <c r="I7707" s="11" t="e">
        <f t="shared" si="1202"/>
        <v>#N/A</v>
      </c>
      <c r="J7707" s="12" t="e">
        <f t="shared" si="1203"/>
        <v>#N/A</v>
      </c>
      <c r="K7707" s="17" t="e">
        <f t="shared" si="1208"/>
        <v>#N/A</v>
      </c>
      <c r="L7707" s="16">
        <f>base!X7707</f>
        <v>0</v>
      </c>
      <c r="M7707" s="11" t="e">
        <f t="shared" si="1204"/>
        <v>#DIV/0!</v>
      </c>
      <c r="N7707" s="11" t="e">
        <f t="shared" si="1205"/>
        <v>#N/A</v>
      </c>
      <c r="O7707" s="11" t="e">
        <f t="shared" si="1206"/>
        <v>#N/A</v>
      </c>
      <c r="P7707" s="12" t="e">
        <f t="shared" si="1207"/>
        <v>#N/A</v>
      </c>
      <c r="Q7707" s="17" t="e">
        <f t="shared" si="1209"/>
        <v>#N/A</v>
      </c>
    </row>
    <row r="7708" spans="1:17" x14ac:dyDescent="0.3">
      <c r="A7708" s="34">
        <f>base!J7708</f>
        <v>0</v>
      </c>
      <c r="B7708" s="34">
        <f>base!V7708</f>
        <v>0</v>
      </c>
      <c r="C7708" s="40" t="s">
        <v>11</v>
      </c>
      <c r="D7708" s="36">
        <f>base!H7708</f>
        <v>0</v>
      </c>
      <c r="E7708" s="44"/>
      <c r="F7708" s="16">
        <f>base!W7708</f>
        <v>0</v>
      </c>
      <c r="G7708" s="11" t="e">
        <f t="shared" si="1200"/>
        <v>#DIV/0!</v>
      </c>
      <c r="H7708" s="11" t="e">
        <f t="shared" si="1201"/>
        <v>#N/A</v>
      </c>
      <c r="I7708" s="11" t="e">
        <f t="shared" si="1202"/>
        <v>#N/A</v>
      </c>
      <c r="J7708" s="12" t="e">
        <f t="shared" si="1203"/>
        <v>#N/A</v>
      </c>
      <c r="K7708" s="17" t="e">
        <f t="shared" si="1208"/>
        <v>#N/A</v>
      </c>
      <c r="L7708" s="16">
        <f>base!X7708</f>
        <v>0</v>
      </c>
      <c r="M7708" s="11" t="e">
        <f t="shared" si="1204"/>
        <v>#DIV/0!</v>
      </c>
      <c r="N7708" s="11" t="e">
        <f t="shared" si="1205"/>
        <v>#N/A</v>
      </c>
      <c r="O7708" s="11" t="e">
        <f t="shared" si="1206"/>
        <v>#N/A</v>
      </c>
      <c r="P7708" s="12" t="e">
        <f t="shared" si="1207"/>
        <v>#N/A</v>
      </c>
      <c r="Q7708" s="17" t="e">
        <f t="shared" si="1209"/>
        <v>#N/A</v>
      </c>
    </row>
    <row r="7709" spans="1:17" x14ac:dyDescent="0.3">
      <c r="A7709" s="34">
        <f>base!J7709</f>
        <v>0</v>
      </c>
      <c r="B7709" s="34">
        <f>base!V7709</f>
        <v>0</v>
      </c>
      <c r="C7709" s="40" t="s">
        <v>11</v>
      </c>
      <c r="D7709" s="36">
        <f>base!H7709</f>
        <v>0</v>
      </c>
      <c r="E7709" s="44"/>
      <c r="F7709" s="16">
        <f>base!W7709</f>
        <v>0</v>
      </c>
      <c r="G7709" s="11" t="e">
        <f t="shared" si="1200"/>
        <v>#DIV/0!</v>
      </c>
      <c r="H7709" s="11" t="e">
        <f t="shared" si="1201"/>
        <v>#N/A</v>
      </c>
      <c r="I7709" s="11" t="e">
        <f t="shared" si="1202"/>
        <v>#N/A</v>
      </c>
      <c r="J7709" s="12" t="e">
        <f t="shared" si="1203"/>
        <v>#N/A</v>
      </c>
      <c r="K7709" s="17" t="e">
        <f t="shared" si="1208"/>
        <v>#N/A</v>
      </c>
      <c r="L7709" s="16">
        <f>base!X7709</f>
        <v>0</v>
      </c>
      <c r="M7709" s="11" t="e">
        <f t="shared" si="1204"/>
        <v>#DIV/0!</v>
      </c>
      <c r="N7709" s="11" t="e">
        <f t="shared" si="1205"/>
        <v>#N/A</v>
      </c>
      <c r="O7709" s="11" t="e">
        <f t="shared" si="1206"/>
        <v>#N/A</v>
      </c>
      <c r="P7709" s="12" t="e">
        <f t="shared" si="1207"/>
        <v>#N/A</v>
      </c>
      <c r="Q7709" s="17" t="e">
        <f t="shared" si="1209"/>
        <v>#N/A</v>
      </c>
    </row>
    <row r="7710" spans="1:17" x14ac:dyDescent="0.3">
      <c r="A7710" s="34">
        <f>base!J7710</f>
        <v>0</v>
      </c>
      <c r="B7710" s="34">
        <f>base!V7710</f>
        <v>0</v>
      </c>
      <c r="C7710" s="40" t="s">
        <v>11</v>
      </c>
      <c r="D7710" s="36">
        <f>base!H7710</f>
        <v>0</v>
      </c>
      <c r="E7710" s="44"/>
      <c r="F7710" s="16">
        <f>base!W7710</f>
        <v>0</v>
      </c>
      <c r="G7710" s="11" t="e">
        <f t="shared" si="1200"/>
        <v>#DIV/0!</v>
      </c>
      <c r="H7710" s="11" t="e">
        <f t="shared" si="1201"/>
        <v>#N/A</v>
      </c>
      <c r="I7710" s="11" t="e">
        <f t="shared" si="1202"/>
        <v>#N/A</v>
      </c>
      <c r="J7710" s="12" t="e">
        <f t="shared" si="1203"/>
        <v>#N/A</v>
      </c>
      <c r="K7710" s="17" t="e">
        <f t="shared" si="1208"/>
        <v>#N/A</v>
      </c>
      <c r="L7710" s="16">
        <f>base!X7710</f>
        <v>0</v>
      </c>
      <c r="M7710" s="11" t="e">
        <f t="shared" si="1204"/>
        <v>#DIV/0!</v>
      </c>
      <c r="N7710" s="11" t="e">
        <f t="shared" si="1205"/>
        <v>#N/A</v>
      </c>
      <c r="O7710" s="11" t="e">
        <f t="shared" si="1206"/>
        <v>#N/A</v>
      </c>
      <c r="P7710" s="12" t="e">
        <f t="shared" si="1207"/>
        <v>#N/A</v>
      </c>
      <c r="Q7710" s="17" t="e">
        <f t="shared" si="1209"/>
        <v>#N/A</v>
      </c>
    </row>
    <row r="7711" spans="1:17" x14ac:dyDescent="0.3">
      <c r="A7711" s="34">
        <f>base!J7711</f>
        <v>0</v>
      </c>
      <c r="B7711" s="34">
        <f>base!V7711</f>
        <v>0</v>
      </c>
      <c r="C7711" s="40" t="s">
        <v>11</v>
      </c>
      <c r="D7711" s="36">
        <f>base!H7711</f>
        <v>0</v>
      </c>
      <c r="E7711" s="44"/>
      <c r="F7711" s="16">
        <f>base!W7711</f>
        <v>0</v>
      </c>
      <c r="G7711" s="11" t="e">
        <f t="shared" si="1200"/>
        <v>#DIV/0!</v>
      </c>
      <c r="H7711" s="11" t="e">
        <f t="shared" si="1201"/>
        <v>#N/A</v>
      </c>
      <c r="I7711" s="11" t="e">
        <f t="shared" si="1202"/>
        <v>#N/A</v>
      </c>
      <c r="J7711" s="12" t="e">
        <f t="shared" si="1203"/>
        <v>#N/A</v>
      </c>
      <c r="K7711" s="17" t="e">
        <f t="shared" si="1208"/>
        <v>#N/A</v>
      </c>
      <c r="L7711" s="16">
        <f>base!X7711</f>
        <v>0</v>
      </c>
      <c r="M7711" s="11" t="e">
        <f t="shared" si="1204"/>
        <v>#DIV/0!</v>
      </c>
      <c r="N7711" s="11" t="e">
        <f t="shared" si="1205"/>
        <v>#N/A</v>
      </c>
      <c r="O7711" s="11" t="e">
        <f t="shared" si="1206"/>
        <v>#N/A</v>
      </c>
      <c r="P7711" s="12" t="e">
        <f t="shared" si="1207"/>
        <v>#N/A</v>
      </c>
      <c r="Q7711" s="17" t="e">
        <f t="shared" si="1209"/>
        <v>#N/A</v>
      </c>
    </row>
    <row r="7712" spans="1:17" x14ac:dyDescent="0.3">
      <c r="A7712" s="34">
        <f>base!J7712</f>
        <v>0</v>
      </c>
      <c r="B7712" s="34">
        <f>base!V7712</f>
        <v>0</v>
      </c>
      <c r="C7712" s="40" t="s">
        <v>11</v>
      </c>
      <c r="D7712" s="36">
        <f>base!H7712</f>
        <v>0</v>
      </c>
      <c r="E7712" s="44"/>
      <c r="F7712" s="16">
        <f>base!W7712</f>
        <v>0</v>
      </c>
      <c r="G7712" s="11" t="e">
        <f t="shared" si="1200"/>
        <v>#DIV/0!</v>
      </c>
      <c r="H7712" s="11" t="e">
        <f t="shared" si="1201"/>
        <v>#N/A</v>
      </c>
      <c r="I7712" s="11" t="e">
        <f t="shared" si="1202"/>
        <v>#N/A</v>
      </c>
      <c r="J7712" s="12" t="e">
        <f t="shared" si="1203"/>
        <v>#N/A</v>
      </c>
      <c r="K7712" s="17" t="e">
        <f t="shared" si="1208"/>
        <v>#N/A</v>
      </c>
      <c r="L7712" s="16">
        <f>base!X7712</f>
        <v>0</v>
      </c>
      <c r="M7712" s="11" t="e">
        <f t="shared" si="1204"/>
        <v>#DIV/0!</v>
      </c>
      <c r="N7712" s="11" t="e">
        <f t="shared" si="1205"/>
        <v>#N/A</v>
      </c>
      <c r="O7712" s="11" t="e">
        <f t="shared" si="1206"/>
        <v>#N/A</v>
      </c>
      <c r="P7712" s="12" t="e">
        <f t="shared" si="1207"/>
        <v>#N/A</v>
      </c>
      <c r="Q7712" s="17" t="e">
        <f t="shared" si="1209"/>
        <v>#N/A</v>
      </c>
    </row>
    <row r="7713" spans="1:17" x14ac:dyDescent="0.3">
      <c r="A7713" s="34">
        <f>base!J7713</f>
        <v>0</v>
      </c>
      <c r="B7713" s="34">
        <f>base!V7713</f>
        <v>0</v>
      </c>
      <c r="C7713" s="40" t="s">
        <v>11</v>
      </c>
      <c r="D7713" s="36">
        <f>base!H7713</f>
        <v>0</v>
      </c>
      <c r="E7713" s="44"/>
      <c r="F7713" s="16">
        <f>base!W7713</f>
        <v>0</v>
      </c>
      <c r="G7713" s="11" t="e">
        <f t="shared" si="1200"/>
        <v>#DIV/0!</v>
      </c>
      <c r="H7713" s="11" t="e">
        <f t="shared" si="1201"/>
        <v>#N/A</v>
      </c>
      <c r="I7713" s="11" t="e">
        <f t="shared" si="1202"/>
        <v>#N/A</v>
      </c>
      <c r="J7713" s="12" t="e">
        <f t="shared" si="1203"/>
        <v>#N/A</v>
      </c>
      <c r="K7713" s="17" t="e">
        <f t="shared" si="1208"/>
        <v>#N/A</v>
      </c>
      <c r="L7713" s="16">
        <f>base!X7713</f>
        <v>0</v>
      </c>
      <c r="M7713" s="11" t="e">
        <f t="shared" si="1204"/>
        <v>#DIV/0!</v>
      </c>
      <c r="N7713" s="11" t="e">
        <f t="shared" si="1205"/>
        <v>#N/A</v>
      </c>
      <c r="O7713" s="11" t="e">
        <f t="shared" si="1206"/>
        <v>#N/A</v>
      </c>
      <c r="P7713" s="12" t="e">
        <f t="shared" si="1207"/>
        <v>#N/A</v>
      </c>
      <c r="Q7713" s="17" t="e">
        <f t="shared" si="1209"/>
        <v>#N/A</v>
      </c>
    </row>
    <row r="7714" spans="1:17" x14ac:dyDescent="0.3">
      <c r="A7714" s="34">
        <f>base!J7714</f>
        <v>0</v>
      </c>
      <c r="B7714" s="34">
        <f>base!V7714</f>
        <v>0</v>
      </c>
      <c r="C7714" s="40" t="s">
        <v>11</v>
      </c>
      <c r="D7714" s="36">
        <f>base!H7714</f>
        <v>0</v>
      </c>
      <c r="E7714" s="44"/>
      <c r="F7714" s="16">
        <f>base!W7714</f>
        <v>0</v>
      </c>
      <c r="G7714" s="11" t="e">
        <f t="shared" si="1200"/>
        <v>#DIV/0!</v>
      </c>
      <c r="H7714" s="11" t="e">
        <f t="shared" si="1201"/>
        <v>#N/A</v>
      </c>
      <c r="I7714" s="11" t="e">
        <f t="shared" si="1202"/>
        <v>#N/A</v>
      </c>
      <c r="J7714" s="12" t="e">
        <f t="shared" si="1203"/>
        <v>#N/A</v>
      </c>
      <c r="K7714" s="17" t="e">
        <f t="shared" si="1208"/>
        <v>#N/A</v>
      </c>
      <c r="L7714" s="16">
        <f>base!X7714</f>
        <v>0</v>
      </c>
      <c r="M7714" s="11" t="e">
        <f t="shared" si="1204"/>
        <v>#DIV/0!</v>
      </c>
      <c r="N7714" s="11" t="e">
        <f t="shared" si="1205"/>
        <v>#N/A</v>
      </c>
      <c r="O7714" s="11" t="e">
        <f t="shared" si="1206"/>
        <v>#N/A</v>
      </c>
      <c r="P7714" s="12" t="e">
        <f t="shared" si="1207"/>
        <v>#N/A</v>
      </c>
      <c r="Q7714" s="17" t="e">
        <f t="shared" si="1209"/>
        <v>#N/A</v>
      </c>
    </row>
    <row r="7715" spans="1:17" x14ac:dyDescent="0.3">
      <c r="A7715" s="34">
        <f>base!J7715</f>
        <v>0</v>
      </c>
      <c r="B7715" s="34">
        <f>base!V7715</f>
        <v>0</v>
      </c>
      <c r="C7715" s="40" t="s">
        <v>11</v>
      </c>
      <c r="D7715" s="36">
        <f>base!H7715</f>
        <v>0</v>
      </c>
      <c r="E7715" s="44"/>
      <c r="F7715" s="16">
        <f>base!W7715</f>
        <v>0</v>
      </c>
      <c r="G7715" s="11" t="e">
        <f t="shared" si="1200"/>
        <v>#DIV/0!</v>
      </c>
      <c r="H7715" s="11" t="e">
        <f t="shared" si="1201"/>
        <v>#N/A</v>
      </c>
      <c r="I7715" s="11" t="e">
        <f t="shared" si="1202"/>
        <v>#N/A</v>
      </c>
      <c r="J7715" s="12" t="e">
        <f t="shared" si="1203"/>
        <v>#N/A</v>
      </c>
      <c r="K7715" s="17" t="e">
        <f t="shared" si="1208"/>
        <v>#N/A</v>
      </c>
      <c r="L7715" s="16">
        <f>base!X7715</f>
        <v>0</v>
      </c>
      <c r="M7715" s="11" t="e">
        <f t="shared" si="1204"/>
        <v>#DIV/0!</v>
      </c>
      <c r="N7715" s="11" t="e">
        <f t="shared" si="1205"/>
        <v>#N/A</v>
      </c>
      <c r="O7715" s="11" t="e">
        <f t="shared" si="1206"/>
        <v>#N/A</v>
      </c>
      <c r="P7715" s="12" t="e">
        <f t="shared" si="1207"/>
        <v>#N/A</v>
      </c>
      <c r="Q7715" s="17" t="e">
        <f t="shared" si="1209"/>
        <v>#N/A</v>
      </c>
    </row>
    <row r="7716" spans="1:17" x14ac:dyDescent="0.3">
      <c r="A7716" s="34">
        <f>base!J7716</f>
        <v>0</v>
      </c>
      <c r="B7716" s="34">
        <f>base!V7716</f>
        <v>0</v>
      </c>
      <c r="C7716" s="40" t="s">
        <v>11</v>
      </c>
      <c r="D7716" s="36">
        <f>base!H7716</f>
        <v>0</v>
      </c>
      <c r="E7716" s="44"/>
      <c r="F7716" s="16">
        <f>base!W7716</f>
        <v>0</v>
      </c>
      <c r="G7716" s="11" t="e">
        <f t="shared" si="1200"/>
        <v>#DIV/0!</v>
      </c>
      <c r="H7716" s="11" t="e">
        <f t="shared" si="1201"/>
        <v>#N/A</v>
      </c>
      <c r="I7716" s="11" t="e">
        <f t="shared" si="1202"/>
        <v>#N/A</v>
      </c>
      <c r="J7716" s="12" t="e">
        <f t="shared" si="1203"/>
        <v>#N/A</v>
      </c>
      <c r="K7716" s="17" t="e">
        <f t="shared" si="1208"/>
        <v>#N/A</v>
      </c>
      <c r="L7716" s="16">
        <f>base!X7716</f>
        <v>0</v>
      </c>
      <c r="M7716" s="11" t="e">
        <f t="shared" si="1204"/>
        <v>#DIV/0!</v>
      </c>
      <c r="N7716" s="11" t="e">
        <f t="shared" si="1205"/>
        <v>#N/A</v>
      </c>
      <c r="O7716" s="11" t="e">
        <f t="shared" si="1206"/>
        <v>#N/A</v>
      </c>
      <c r="P7716" s="12" t="e">
        <f t="shared" si="1207"/>
        <v>#N/A</v>
      </c>
      <c r="Q7716" s="17" t="e">
        <f t="shared" si="1209"/>
        <v>#N/A</v>
      </c>
    </row>
    <row r="7717" spans="1:17" x14ac:dyDescent="0.3">
      <c r="A7717" s="34">
        <f>base!J7717</f>
        <v>0</v>
      </c>
      <c r="B7717" s="34">
        <f>base!V7717</f>
        <v>0</v>
      </c>
      <c r="C7717" s="40" t="s">
        <v>11</v>
      </c>
      <c r="D7717" s="36">
        <f>base!H7717</f>
        <v>0</v>
      </c>
      <c r="E7717" s="44"/>
      <c r="F7717" s="16">
        <f>base!W7717</f>
        <v>0</v>
      </c>
      <c r="G7717" s="11" t="e">
        <f t="shared" si="1200"/>
        <v>#DIV/0!</v>
      </c>
      <c r="H7717" s="11" t="e">
        <f t="shared" si="1201"/>
        <v>#N/A</v>
      </c>
      <c r="I7717" s="11" t="e">
        <f t="shared" si="1202"/>
        <v>#N/A</v>
      </c>
      <c r="J7717" s="12" t="e">
        <f t="shared" si="1203"/>
        <v>#N/A</v>
      </c>
      <c r="K7717" s="17" t="e">
        <f t="shared" si="1208"/>
        <v>#N/A</v>
      </c>
      <c r="L7717" s="16">
        <f>base!X7717</f>
        <v>0</v>
      </c>
      <c r="M7717" s="11" t="e">
        <f t="shared" si="1204"/>
        <v>#DIV/0!</v>
      </c>
      <c r="N7717" s="11" t="e">
        <f t="shared" si="1205"/>
        <v>#N/A</v>
      </c>
      <c r="O7717" s="11" t="e">
        <f t="shared" si="1206"/>
        <v>#N/A</v>
      </c>
      <c r="P7717" s="12" t="e">
        <f t="shared" si="1207"/>
        <v>#N/A</v>
      </c>
      <c r="Q7717" s="17" t="e">
        <f t="shared" si="1209"/>
        <v>#N/A</v>
      </c>
    </row>
    <row r="7718" spans="1:17" x14ac:dyDescent="0.3">
      <c r="A7718" s="34">
        <f>base!J7718</f>
        <v>0</v>
      </c>
      <c r="B7718" s="34">
        <f>base!V7718</f>
        <v>0</v>
      </c>
      <c r="C7718" s="40" t="s">
        <v>11</v>
      </c>
      <c r="D7718" s="36">
        <f>base!H7718</f>
        <v>0</v>
      </c>
      <c r="E7718" s="44"/>
      <c r="F7718" s="16">
        <f>base!W7718</f>
        <v>0</v>
      </c>
      <c r="G7718" s="11" t="e">
        <f t="shared" si="1200"/>
        <v>#DIV/0!</v>
      </c>
      <c r="H7718" s="11" t="e">
        <f t="shared" si="1201"/>
        <v>#N/A</v>
      </c>
      <c r="I7718" s="11" t="e">
        <f t="shared" si="1202"/>
        <v>#N/A</v>
      </c>
      <c r="J7718" s="12" t="e">
        <f t="shared" si="1203"/>
        <v>#N/A</v>
      </c>
      <c r="K7718" s="17" t="e">
        <f t="shared" si="1208"/>
        <v>#N/A</v>
      </c>
      <c r="L7718" s="16">
        <f>base!X7718</f>
        <v>0</v>
      </c>
      <c r="M7718" s="11" t="e">
        <f t="shared" si="1204"/>
        <v>#DIV/0!</v>
      </c>
      <c r="N7718" s="11" t="e">
        <f t="shared" si="1205"/>
        <v>#N/A</v>
      </c>
      <c r="O7718" s="11" t="e">
        <f t="shared" si="1206"/>
        <v>#N/A</v>
      </c>
      <c r="P7718" s="12" t="e">
        <f t="shared" si="1207"/>
        <v>#N/A</v>
      </c>
      <c r="Q7718" s="17" t="e">
        <f t="shared" si="1209"/>
        <v>#N/A</v>
      </c>
    </row>
    <row r="7719" spans="1:17" x14ac:dyDescent="0.3">
      <c r="A7719" s="34">
        <f>base!J7719</f>
        <v>0</v>
      </c>
      <c r="B7719" s="34">
        <f>base!V7719</f>
        <v>0</v>
      </c>
      <c r="C7719" s="40" t="s">
        <v>11</v>
      </c>
      <c r="D7719" s="36">
        <f>base!H7719</f>
        <v>0</v>
      </c>
      <c r="E7719" s="44"/>
      <c r="F7719" s="16">
        <f>base!W7719</f>
        <v>0</v>
      </c>
      <c r="G7719" s="11" t="e">
        <f t="shared" si="1200"/>
        <v>#DIV/0!</v>
      </c>
      <c r="H7719" s="11" t="e">
        <f t="shared" si="1201"/>
        <v>#N/A</v>
      </c>
      <c r="I7719" s="11" t="e">
        <f t="shared" si="1202"/>
        <v>#N/A</v>
      </c>
      <c r="J7719" s="12" t="e">
        <f t="shared" si="1203"/>
        <v>#N/A</v>
      </c>
      <c r="K7719" s="17" t="e">
        <f t="shared" si="1208"/>
        <v>#N/A</v>
      </c>
      <c r="L7719" s="16">
        <f>base!X7719</f>
        <v>0</v>
      </c>
      <c r="M7719" s="11" t="e">
        <f t="shared" si="1204"/>
        <v>#DIV/0!</v>
      </c>
      <c r="N7719" s="11" t="e">
        <f t="shared" si="1205"/>
        <v>#N/A</v>
      </c>
      <c r="O7719" s="11" t="e">
        <f t="shared" si="1206"/>
        <v>#N/A</v>
      </c>
      <c r="P7719" s="12" t="e">
        <f t="shared" si="1207"/>
        <v>#N/A</v>
      </c>
      <c r="Q7719" s="17" t="e">
        <f t="shared" si="1209"/>
        <v>#N/A</v>
      </c>
    </row>
    <row r="7720" spans="1:17" x14ac:dyDescent="0.3">
      <c r="A7720" s="34">
        <f>base!J7720</f>
        <v>0</v>
      </c>
      <c r="B7720" s="34">
        <f>base!V7720</f>
        <v>0</v>
      </c>
      <c r="C7720" s="40" t="s">
        <v>11</v>
      </c>
      <c r="D7720" s="36">
        <f>base!H7720</f>
        <v>0</v>
      </c>
      <c r="E7720" s="44"/>
      <c r="F7720" s="16">
        <f>base!W7720</f>
        <v>0</v>
      </c>
      <c r="G7720" s="11" t="e">
        <f t="shared" si="1200"/>
        <v>#DIV/0!</v>
      </c>
      <c r="H7720" s="11" t="e">
        <f t="shared" si="1201"/>
        <v>#N/A</v>
      </c>
      <c r="I7720" s="11" t="e">
        <f t="shared" si="1202"/>
        <v>#N/A</v>
      </c>
      <c r="J7720" s="12" t="e">
        <f t="shared" si="1203"/>
        <v>#N/A</v>
      </c>
      <c r="K7720" s="17" t="e">
        <f t="shared" si="1208"/>
        <v>#N/A</v>
      </c>
      <c r="L7720" s="16">
        <f>base!X7720</f>
        <v>0</v>
      </c>
      <c r="M7720" s="11" t="e">
        <f t="shared" si="1204"/>
        <v>#DIV/0!</v>
      </c>
      <c r="N7720" s="11" t="e">
        <f t="shared" si="1205"/>
        <v>#N/A</v>
      </c>
      <c r="O7720" s="11" t="e">
        <f t="shared" si="1206"/>
        <v>#N/A</v>
      </c>
      <c r="P7720" s="12" t="e">
        <f t="shared" si="1207"/>
        <v>#N/A</v>
      </c>
      <c r="Q7720" s="17" t="e">
        <f t="shared" si="1209"/>
        <v>#N/A</v>
      </c>
    </row>
    <row r="7721" spans="1:17" x14ac:dyDescent="0.3">
      <c r="A7721" s="34">
        <f>base!J7721</f>
        <v>0</v>
      </c>
      <c r="B7721" s="34">
        <f>base!V7721</f>
        <v>0</v>
      </c>
      <c r="C7721" s="40" t="s">
        <v>11</v>
      </c>
      <c r="D7721" s="36">
        <f>base!H7721</f>
        <v>0</v>
      </c>
      <c r="E7721" s="44"/>
      <c r="F7721" s="16">
        <f>base!W7721</f>
        <v>0</v>
      </c>
      <c r="G7721" s="11" t="e">
        <f t="shared" si="1200"/>
        <v>#DIV/0!</v>
      </c>
      <c r="H7721" s="11" t="e">
        <f t="shared" si="1201"/>
        <v>#N/A</v>
      </c>
      <c r="I7721" s="11" t="e">
        <f t="shared" si="1202"/>
        <v>#N/A</v>
      </c>
      <c r="J7721" s="12" t="e">
        <f t="shared" si="1203"/>
        <v>#N/A</v>
      </c>
      <c r="K7721" s="17" t="e">
        <f t="shared" si="1208"/>
        <v>#N/A</v>
      </c>
      <c r="L7721" s="16">
        <f>base!X7721</f>
        <v>0</v>
      </c>
      <c r="M7721" s="11" t="e">
        <f t="shared" si="1204"/>
        <v>#DIV/0!</v>
      </c>
      <c r="N7721" s="11" t="e">
        <f t="shared" si="1205"/>
        <v>#N/A</v>
      </c>
      <c r="O7721" s="11" t="e">
        <f t="shared" si="1206"/>
        <v>#N/A</v>
      </c>
      <c r="P7721" s="12" t="e">
        <f t="shared" si="1207"/>
        <v>#N/A</v>
      </c>
      <c r="Q7721" s="17" t="e">
        <f t="shared" si="1209"/>
        <v>#N/A</v>
      </c>
    </row>
    <row r="7722" spans="1:17" x14ac:dyDescent="0.3">
      <c r="A7722" s="34">
        <f>base!J7722</f>
        <v>0</v>
      </c>
      <c r="B7722" s="34">
        <f>base!V7722</f>
        <v>0</v>
      </c>
      <c r="C7722" s="40" t="s">
        <v>11</v>
      </c>
      <c r="D7722" s="36">
        <f>base!H7722</f>
        <v>0</v>
      </c>
      <c r="E7722" s="44"/>
      <c r="F7722" s="16">
        <f>base!W7722</f>
        <v>0</v>
      </c>
      <c r="G7722" s="11" t="e">
        <f t="shared" si="1200"/>
        <v>#DIV/0!</v>
      </c>
      <c r="H7722" s="11" t="e">
        <f t="shared" si="1201"/>
        <v>#N/A</v>
      </c>
      <c r="I7722" s="11" t="e">
        <f t="shared" si="1202"/>
        <v>#N/A</v>
      </c>
      <c r="J7722" s="12" t="e">
        <f t="shared" si="1203"/>
        <v>#N/A</v>
      </c>
      <c r="K7722" s="17" t="e">
        <f t="shared" si="1208"/>
        <v>#N/A</v>
      </c>
      <c r="L7722" s="16">
        <f>base!X7722</f>
        <v>0</v>
      </c>
      <c r="M7722" s="11" t="e">
        <f t="shared" si="1204"/>
        <v>#DIV/0!</v>
      </c>
      <c r="N7722" s="11" t="e">
        <f t="shared" si="1205"/>
        <v>#N/A</v>
      </c>
      <c r="O7722" s="11" t="e">
        <f t="shared" si="1206"/>
        <v>#N/A</v>
      </c>
      <c r="P7722" s="12" t="e">
        <f t="shared" si="1207"/>
        <v>#N/A</v>
      </c>
      <c r="Q7722" s="17" t="e">
        <f t="shared" si="1209"/>
        <v>#N/A</v>
      </c>
    </row>
    <row r="7723" spans="1:17" x14ac:dyDescent="0.3">
      <c r="A7723" s="34">
        <f>base!J7723</f>
        <v>0</v>
      </c>
      <c r="B7723" s="34">
        <f>base!V7723</f>
        <v>0</v>
      </c>
      <c r="C7723" s="40" t="s">
        <v>11</v>
      </c>
      <c r="D7723" s="36">
        <f>base!H7723</f>
        <v>0</v>
      </c>
      <c r="E7723" s="44"/>
      <c r="F7723" s="16">
        <f>base!W7723</f>
        <v>0</v>
      </c>
      <c r="G7723" s="11" t="e">
        <f t="shared" si="1200"/>
        <v>#DIV/0!</v>
      </c>
      <c r="H7723" s="11" t="e">
        <f t="shared" si="1201"/>
        <v>#N/A</v>
      </c>
      <c r="I7723" s="11" t="e">
        <f t="shared" si="1202"/>
        <v>#N/A</v>
      </c>
      <c r="J7723" s="12" t="e">
        <f t="shared" si="1203"/>
        <v>#N/A</v>
      </c>
      <c r="K7723" s="17" t="e">
        <f t="shared" si="1208"/>
        <v>#N/A</v>
      </c>
      <c r="L7723" s="16">
        <f>base!X7723</f>
        <v>0</v>
      </c>
      <c r="M7723" s="11" t="e">
        <f t="shared" si="1204"/>
        <v>#DIV/0!</v>
      </c>
      <c r="N7723" s="11" t="e">
        <f t="shared" si="1205"/>
        <v>#N/A</v>
      </c>
      <c r="O7723" s="11" t="e">
        <f t="shared" si="1206"/>
        <v>#N/A</v>
      </c>
      <c r="P7723" s="12" t="e">
        <f t="shared" si="1207"/>
        <v>#N/A</v>
      </c>
      <c r="Q7723" s="17" t="e">
        <f t="shared" si="1209"/>
        <v>#N/A</v>
      </c>
    </row>
    <row r="7724" spans="1:17" x14ac:dyDescent="0.3">
      <c r="A7724" s="34">
        <f>base!J7724</f>
        <v>0</v>
      </c>
      <c r="B7724" s="34">
        <f>base!V7724</f>
        <v>0</v>
      </c>
      <c r="C7724" s="40" t="s">
        <v>11</v>
      </c>
      <c r="D7724" s="36">
        <f>base!H7724</f>
        <v>0</v>
      </c>
      <c r="E7724" s="44"/>
      <c r="F7724" s="16">
        <f>base!W7724</f>
        <v>0</v>
      </c>
      <c r="G7724" s="11" t="e">
        <f t="shared" si="1200"/>
        <v>#DIV/0!</v>
      </c>
      <c r="H7724" s="11" t="e">
        <f t="shared" si="1201"/>
        <v>#N/A</v>
      </c>
      <c r="I7724" s="11" t="e">
        <f t="shared" si="1202"/>
        <v>#N/A</v>
      </c>
      <c r="J7724" s="12" t="e">
        <f t="shared" si="1203"/>
        <v>#N/A</v>
      </c>
      <c r="K7724" s="17" t="e">
        <f t="shared" si="1208"/>
        <v>#N/A</v>
      </c>
      <c r="L7724" s="16">
        <f>base!X7724</f>
        <v>0</v>
      </c>
      <c r="M7724" s="11" t="e">
        <f t="shared" si="1204"/>
        <v>#DIV/0!</v>
      </c>
      <c r="N7724" s="11" t="e">
        <f t="shared" si="1205"/>
        <v>#N/A</v>
      </c>
      <c r="O7724" s="11" t="e">
        <f t="shared" si="1206"/>
        <v>#N/A</v>
      </c>
      <c r="P7724" s="12" t="e">
        <f t="shared" si="1207"/>
        <v>#N/A</v>
      </c>
      <c r="Q7724" s="17" t="e">
        <f t="shared" si="1209"/>
        <v>#N/A</v>
      </c>
    </row>
    <row r="7725" spans="1:17" x14ac:dyDescent="0.3">
      <c r="A7725" s="34">
        <f>base!J7725</f>
        <v>0</v>
      </c>
      <c r="B7725" s="34">
        <f>base!V7725</f>
        <v>0</v>
      </c>
      <c r="C7725" s="40" t="s">
        <v>11</v>
      </c>
      <c r="D7725" s="36">
        <f>base!H7725</f>
        <v>0</v>
      </c>
      <c r="E7725" s="44"/>
      <c r="F7725" s="16">
        <f>base!W7725</f>
        <v>0</v>
      </c>
      <c r="G7725" s="11" t="e">
        <f t="shared" si="1200"/>
        <v>#DIV/0!</v>
      </c>
      <c r="H7725" s="11" t="e">
        <f t="shared" si="1201"/>
        <v>#N/A</v>
      </c>
      <c r="I7725" s="11" t="e">
        <f t="shared" si="1202"/>
        <v>#N/A</v>
      </c>
      <c r="J7725" s="12" t="e">
        <f t="shared" si="1203"/>
        <v>#N/A</v>
      </c>
      <c r="K7725" s="17" t="e">
        <f t="shared" si="1208"/>
        <v>#N/A</v>
      </c>
      <c r="L7725" s="16">
        <f>base!X7725</f>
        <v>0</v>
      </c>
      <c r="M7725" s="11" t="e">
        <f t="shared" si="1204"/>
        <v>#DIV/0!</v>
      </c>
      <c r="N7725" s="11" t="e">
        <f t="shared" si="1205"/>
        <v>#N/A</v>
      </c>
      <c r="O7725" s="11" t="e">
        <f t="shared" si="1206"/>
        <v>#N/A</v>
      </c>
      <c r="P7725" s="12" t="e">
        <f t="shared" si="1207"/>
        <v>#N/A</v>
      </c>
      <c r="Q7725" s="17" t="e">
        <f t="shared" si="1209"/>
        <v>#N/A</v>
      </c>
    </row>
    <row r="7726" spans="1:17" x14ac:dyDescent="0.3">
      <c r="A7726" s="34">
        <f>base!J7726</f>
        <v>0</v>
      </c>
      <c r="B7726" s="34">
        <f>base!V7726</f>
        <v>0</v>
      </c>
      <c r="C7726" s="40" t="s">
        <v>11</v>
      </c>
      <c r="D7726" s="36">
        <f>base!H7726</f>
        <v>0</v>
      </c>
      <c r="E7726" s="44"/>
      <c r="F7726" s="16">
        <f>base!W7726</f>
        <v>0</v>
      </c>
      <c r="G7726" s="11" t="e">
        <f t="shared" si="1200"/>
        <v>#DIV/0!</v>
      </c>
      <c r="H7726" s="11" t="e">
        <f t="shared" si="1201"/>
        <v>#N/A</v>
      </c>
      <c r="I7726" s="11" t="e">
        <f t="shared" si="1202"/>
        <v>#N/A</v>
      </c>
      <c r="J7726" s="12" t="e">
        <f t="shared" si="1203"/>
        <v>#N/A</v>
      </c>
      <c r="K7726" s="17" t="e">
        <f t="shared" si="1208"/>
        <v>#N/A</v>
      </c>
      <c r="L7726" s="16">
        <f>base!X7726</f>
        <v>0</v>
      </c>
      <c r="M7726" s="11" t="e">
        <f t="shared" si="1204"/>
        <v>#DIV/0!</v>
      </c>
      <c r="N7726" s="11" t="e">
        <f t="shared" si="1205"/>
        <v>#N/A</v>
      </c>
      <c r="O7726" s="11" t="e">
        <f t="shared" si="1206"/>
        <v>#N/A</v>
      </c>
      <c r="P7726" s="12" t="e">
        <f t="shared" si="1207"/>
        <v>#N/A</v>
      </c>
      <c r="Q7726" s="17" t="e">
        <f t="shared" si="1209"/>
        <v>#N/A</v>
      </c>
    </row>
    <row r="7727" spans="1:17" x14ac:dyDescent="0.3">
      <c r="A7727" s="34">
        <f>base!J7727</f>
        <v>0</v>
      </c>
      <c r="B7727" s="34">
        <f>base!V7727</f>
        <v>0</v>
      </c>
      <c r="C7727" s="40" t="s">
        <v>11</v>
      </c>
      <c r="D7727" s="36">
        <f>base!H7727</f>
        <v>0</v>
      </c>
      <c r="E7727" s="44"/>
      <c r="F7727" s="16">
        <f>base!W7727</f>
        <v>0</v>
      </c>
      <c r="G7727" s="11" t="e">
        <f t="shared" si="1200"/>
        <v>#DIV/0!</v>
      </c>
      <c r="H7727" s="11" t="e">
        <f t="shared" si="1201"/>
        <v>#N/A</v>
      </c>
      <c r="I7727" s="11" t="e">
        <f t="shared" si="1202"/>
        <v>#N/A</v>
      </c>
      <c r="J7727" s="12" t="e">
        <f t="shared" si="1203"/>
        <v>#N/A</v>
      </c>
      <c r="K7727" s="17" t="e">
        <f t="shared" si="1208"/>
        <v>#N/A</v>
      </c>
      <c r="L7727" s="16">
        <f>base!X7727</f>
        <v>0</v>
      </c>
      <c r="M7727" s="11" t="e">
        <f t="shared" si="1204"/>
        <v>#DIV/0!</v>
      </c>
      <c r="N7727" s="11" t="e">
        <f t="shared" si="1205"/>
        <v>#N/A</v>
      </c>
      <c r="O7727" s="11" t="e">
        <f t="shared" si="1206"/>
        <v>#N/A</v>
      </c>
      <c r="P7727" s="12" t="e">
        <f t="shared" si="1207"/>
        <v>#N/A</v>
      </c>
      <c r="Q7727" s="17" t="e">
        <f t="shared" si="1209"/>
        <v>#N/A</v>
      </c>
    </row>
    <row r="7728" spans="1:17" x14ac:dyDescent="0.3">
      <c r="A7728" s="34">
        <f>base!J7728</f>
        <v>0</v>
      </c>
      <c r="B7728" s="34">
        <f>base!V7728</f>
        <v>0</v>
      </c>
      <c r="C7728" s="40" t="s">
        <v>11</v>
      </c>
      <c r="D7728" s="36">
        <f>base!H7728</f>
        <v>0</v>
      </c>
      <c r="E7728" s="44"/>
      <c r="F7728" s="16">
        <f>base!W7728</f>
        <v>0</v>
      </c>
      <c r="G7728" s="11" t="e">
        <f t="shared" si="1200"/>
        <v>#DIV/0!</v>
      </c>
      <c r="H7728" s="11" t="e">
        <f t="shared" si="1201"/>
        <v>#N/A</v>
      </c>
      <c r="I7728" s="11" t="e">
        <f t="shared" si="1202"/>
        <v>#N/A</v>
      </c>
      <c r="J7728" s="12" t="e">
        <f t="shared" si="1203"/>
        <v>#N/A</v>
      </c>
      <c r="K7728" s="17" t="e">
        <f t="shared" si="1208"/>
        <v>#N/A</v>
      </c>
      <c r="L7728" s="16">
        <f>base!X7728</f>
        <v>0</v>
      </c>
      <c r="M7728" s="11" t="e">
        <f t="shared" si="1204"/>
        <v>#DIV/0!</v>
      </c>
      <c r="N7728" s="11" t="e">
        <f t="shared" si="1205"/>
        <v>#N/A</v>
      </c>
      <c r="O7728" s="11" t="e">
        <f t="shared" si="1206"/>
        <v>#N/A</v>
      </c>
      <c r="P7728" s="12" t="e">
        <f t="shared" si="1207"/>
        <v>#N/A</v>
      </c>
      <c r="Q7728" s="17" t="e">
        <f t="shared" si="1209"/>
        <v>#N/A</v>
      </c>
    </row>
    <row r="7729" spans="1:17" x14ac:dyDescent="0.3">
      <c r="A7729" s="34">
        <f>base!J7729</f>
        <v>0</v>
      </c>
      <c r="B7729" s="34">
        <f>base!V7729</f>
        <v>0</v>
      </c>
      <c r="C7729" s="40" t="s">
        <v>11</v>
      </c>
      <c r="D7729" s="36">
        <f>base!H7729</f>
        <v>0</v>
      </c>
      <c r="E7729" s="44"/>
      <c r="F7729" s="16">
        <f>base!W7729</f>
        <v>0</v>
      </c>
      <c r="G7729" s="11" t="e">
        <f t="shared" si="1200"/>
        <v>#DIV/0!</v>
      </c>
      <c r="H7729" s="11" t="e">
        <f t="shared" si="1201"/>
        <v>#N/A</v>
      </c>
      <c r="I7729" s="11" t="e">
        <f t="shared" si="1202"/>
        <v>#N/A</v>
      </c>
      <c r="J7729" s="12" t="e">
        <f t="shared" si="1203"/>
        <v>#N/A</v>
      </c>
      <c r="K7729" s="17" t="e">
        <f t="shared" si="1208"/>
        <v>#N/A</v>
      </c>
      <c r="L7729" s="16">
        <f>base!X7729</f>
        <v>0</v>
      </c>
      <c r="M7729" s="11" t="e">
        <f t="shared" si="1204"/>
        <v>#DIV/0!</v>
      </c>
      <c r="N7729" s="11" t="e">
        <f t="shared" si="1205"/>
        <v>#N/A</v>
      </c>
      <c r="O7729" s="11" t="e">
        <f t="shared" si="1206"/>
        <v>#N/A</v>
      </c>
      <c r="P7729" s="12" t="e">
        <f t="shared" si="1207"/>
        <v>#N/A</v>
      </c>
      <c r="Q7729" s="17" t="e">
        <f t="shared" si="1209"/>
        <v>#N/A</v>
      </c>
    </row>
    <row r="7730" spans="1:17" x14ac:dyDescent="0.3">
      <c r="A7730" s="34">
        <f>base!J7730</f>
        <v>0</v>
      </c>
      <c r="B7730" s="34">
        <f>base!V7730</f>
        <v>0</v>
      </c>
      <c r="C7730" s="40" t="s">
        <v>11</v>
      </c>
      <c r="D7730" s="36">
        <f>base!H7730</f>
        <v>0</v>
      </c>
      <c r="E7730" s="44"/>
      <c r="F7730" s="16">
        <f>base!W7730</f>
        <v>0</v>
      </c>
      <c r="G7730" s="11" t="e">
        <f t="shared" si="1200"/>
        <v>#DIV/0!</v>
      </c>
      <c r="H7730" s="11" t="e">
        <f t="shared" si="1201"/>
        <v>#N/A</v>
      </c>
      <c r="I7730" s="11" t="e">
        <f t="shared" si="1202"/>
        <v>#N/A</v>
      </c>
      <c r="J7730" s="12" t="e">
        <f t="shared" si="1203"/>
        <v>#N/A</v>
      </c>
      <c r="K7730" s="17" t="e">
        <f t="shared" si="1208"/>
        <v>#N/A</v>
      </c>
      <c r="L7730" s="16">
        <f>base!X7730</f>
        <v>0</v>
      </c>
      <c r="M7730" s="11" t="e">
        <f t="shared" si="1204"/>
        <v>#DIV/0!</v>
      </c>
      <c r="N7730" s="11" t="e">
        <f t="shared" si="1205"/>
        <v>#N/A</v>
      </c>
      <c r="O7730" s="11" t="e">
        <f t="shared" si="1206"/>
        <v>#N/A</v>
      </c>
      <c r="P7730" s="12" t="e">
        <f t="shared" si="1207"/>
        <v>#N/A</v>
      </c>
      <c r="Q7730" s="17" t="e">
        <f t="shared" si="1209"/>
        <v>#N/A</v>
      </c>
    </row>
    <row r="7731" spans="1:17" x14ac:dyDescent="0.3">
      <c r="A7731" s="34">
        <f>base!J7731</f>
        <v>0</v>
      </c>
      <c r="B7731" s="34">
        <f>base!V7731</f>
        <v>0</v>
      </c>
      <c r="C7731" s="40" t="s">
        <v>11</v>
      </c>
      <c r="D7731" s="36">
        <f>base!H7731</f>
        <v>0</v>
      </c>
      <c r="E7731" s="44"/>
      <c r="F7731" s="16">
        <f>base!W7731</f>
        <v>0</v>
      </c>
      <c r="G7731" s="11" t="e">
        <f t="shared" si="1200"/>
        <v>#DIV/0!</v>
      </c>
      <c r="H7731" s="11" t="e">
        <f t="shared" si="1201"/>
        <v>#N/A</v>
      </c>
      <c r="I7731" s="11" t="e">
        <f t="shared" si="1202"/>
        <v>#N/A</v>
      </c>
      <c r="J7731" s="12" t="e">
        <f t="shared" si="1203"/>
        <v>#N/A</v>
      </c>
      <c r="K7731" s="17" t="e">
        <f t="shared" si="1208"/>
        <v>#N/A</v>
      </c>
      <c r="L7731" s="16">
        <f>base!X7731</f>
        <v>0</v>
      </c>
      <c r="M7731" s="11" t="e">
        <f t="shared" si="1204"/>
        <v>#DIV/0!</v>
      </c>
      <c r="N7731" s="11" t="e">
        <f t="shared" si="1205"/>
        <v>#N/A</v>
      </c>
      <c r="O7731" s="11" t="e">
        <f t="shared" si="1206"/>
        <v>#N/A</v>
      </c>
      <c r="P7731" s="12" t="e">
        <f t="shared" si="1207"/>
        <v>#N/A</v>
      </c>
      <c r="Q7731" s="17" t="e">
        <f t="shared" si="1209"/>
        <v>#N/A</v>
      </c>
    </row>
    <row r="7732" spans="1:17" x14ac:dyDescent="0.3">
      <c r="A7732" s="34">
        <f>base!J7732</f>
        <v>0</v>
      </c>
      <c r="B7732" s="34">
        <f>base!V7732</f>
        <v>0</v>
      </c>
      <c r="C7732" s="40" t="s">
        <v>11</v>
      </c>
      <c r="D7732" s="36">
        <f>base!H7732</f>
        <v>0</v>
      </c>
      <c r="E7732" s="44"/>
      <c r="F7732" s="16">
        <f>base!W7732</f>
        <v>0</v>
      </c>
      <c r="G7732" s="11" t="e">
        <f t="shared" si="1200"/>
        <v>#DIV/0!</v>
      </c>
      <c r="H7732" s="11" t="e">
        <f t="shared" si="1201"/>
        <v>#N/A</v>
      </c>
      <c r="I7732" s="11" t="e">
        <f t="shared" si="1202"/>
        <v>#N/A</v>
      </c>
      <c r="J7732" s="12" t="e">
        <f t="shared" si="1203"/>
        <v>#N/A</v>
      </c>
      <c r="K7732" s="17" t="e">
        <f t="shared" si="1208"/>
        <v>#N/A</v>
      </c>
      <c r="L7732" s="16">
        <f>base!X7732</f>
        <v>0</v>
      </c>
      <c r="M7732" s="11" t="e">
        <f t="shared" si="1204"/>
        <v>#DIV/0!</v>
      </c>
      <c r="N7732" s="11" t="e">
        <f t="shared" si="1205"/>
        <v>#N/A</v>
      </c>
      <c r="O7732" s="11" t="e">
        <f t="shared" si="1206"/>
        <v>#N/A</v>
      </c>
      <c r="P7732" s="12" t="e">
        <f t="shared" si="1207"/>
        <v>#N/A</v>
      </c>
      <c r="Q7732" s="17" t="e">
        <f t="shared" si="1209"/>
        <v>#N/A</v>
      </c>
    </row>
    <row r="7733" spans="1:17" x14ac:dyDescent="0.3">
      <c r="A7733" s="34">
        <f>base!J7733</f>
        <v>0</v>
      </c>
      <c r="B7733" s="34">
        <f>base!V7733</f>
        <v>0</v>
      </c>
      <c r="C7733" s="40" t="s">
        <v>11</v>
      </c>
      <c r="D7733" s="36">
        <f>base!H7733</f>
        <v>0</v>
      </c>
      <c r="E7733" s="44"/>
      <c r="F7733" s="16">
        <f>base!W7733</f>
        <v>0</v>
      </c>
      <c r="G7733" s="11" t="e">
        <f t="shared" si="1200"/>
        <v>#DIV/0!</v>
      </c>
      <c r="H7733" s="11" t="e">
        <f t="shared" si="1201"/>
        <v>#N/A</v>
      </c>
      <c r="I7733" s="11" t="e">
        <f t="shared" si="1202"/>
        <v>#N/A</v>
      </c>
      <c r="J7733" s="12" t="e">
        <f t="shared" si="1203"/>
        <v>#N/A</v>
      </c>
      <c r="K7733" s="17" t="e">
        <f t="shared" si="1208"/>
        <v>#N/A</v>
      </c>
      <c r="L7733" s="16">
        <f>base!X7733</f>
        <v>0</v>
      </c>
      <c r="M7733" s="11" t="e">
        <f t="shared" si="1204"/>
        <v>#DIV/0!</v>
      </c>
      <c r="N7733" s="11" t="e">
        <f t="shared" si="1205"/>
        <v>#N/A</v>
      </c>
      <c r="O7733" s="11" t="e">
        <f t="shared" si="1206"/>
        <v>#N/A</v>
      </c>
      <c r="P7733" s="12" t="e">
        <f t="shared" si="1207"/>
        <v>#N/A</v>
      </c>
      <c r="Q7733" s="17" t="e">
        <f t="shared" si="1209"/>
        <v>#N/A</v>
      </c>
    </row>
    <row r="7734" spans="1:17" x14ac:dyDescent="0.3">
      <c r="A7734" s="34">
        <f>base!J7734</f>
        <v>0</v>
      </c>
      <c r="B7734" s="34">
        <f>base!V7734</f>
        <v>0</v>
      </c>
      <c r="C7734" s="40" t="s">
        <v>11</v>
      </c>
      <c r="D7734" s="36">
        <f>base!H7734</f>
        <v>0</v>
      </c>
      <c r="E7734" s="44"/>
      <c r="F7734" s="16">
        <f>base!W7734</f>
        <v>0</v>
      </c>
      <c r="G7734" s="11" t="e">
        <f t="shared" si="1200"/>
        <v>#DIV/0!</v>
      </c>
      <c r="H7734" s="11" t="e">
        <f t="shared" si="1201"/>
        <v>#N/A</v>
      </c>
      <c r="I7734" s="11" t="e">
        <f t="shared" si="1202"/>
        <v>#N/A</v>
      </c>
      <c r="J7734" s="12" t="e">
        <f t="shared" si="1203"/>
        <v>#N/A</v>
      </c>
      <c r="K7734" s="17" t="e">
        <f t="shared" si="1208"/>
        <v>#N/A</v>
      </c>
      <c r="L7734" s="16">
        <f>base!X7734</f>
        <v>0</v>
      </c>
      <c r="M7734" s="11" t="e">
        <f t="shared" si="1204"/>
        <v>#DIV/0!</v>
      </c>
      <c r="N7734" s="11" t="e">
        <f t="shared" si="1205"/>
        <v>#N/A</v>
      </c>
      <c r="O7734" s="11" t="e">
        <f t="shared" si="1206"/>
        <v>#N/A</v>
      </c>
      <c r="P7734" s="12" t="e">
        <f t="shared" si="1207"/>
        <v>#N/A</v>
      </c>
      <c r="Q7734" s="17" t="e">
        <f t="shared" si="1209"/>
        <v>#N/A</v>
      </c>
    </row>
    <row r="7735" spans="1:17" x14ac:dyDescent="0.3">
      <c r="A7735" s="34">
        <f>base!J7735</f>
        <v>0</v>
      </c>
      <c r="B7735" s="34">
        <f>base!V7735</f>
        <v>0</v>
      </c>
      <c r="C7735" s="40" t="s">
        <v>11</v>
      </c>
      <c r="D7735" s="36">
        <f>base!H7735</f>
        <v>0</v>
      </c>
      <c r="E7735" s="44"/>
      <c r="F7735" s="16">
        <f>base!W7735</f>
        <v>0</v>
      </c>
      <c r="G7735" s="11" t="e">
        <f t="shared" si="1200"/>
        <v>#DIV/0!</v>
      </c>
      <c r="H7735" s="11" t="e">
        <f t="shared" si="1201"/>
        <v>#N/A</v>
      </c>
      <c r="I7735" s="11" t="e">
        <f t="shared" si="1202"/>
        <v>#N/A</v>
      </c>
      <c r="J7735" s="12" t="e">
        <f t="shared" si="1203"/>
        <v>#N/A</v>
      </c>
      <c r="K7735" s="17" t="e">
        <f t="shared" si="1208"/>
        <v>#N/A</v>
      </c>
      <c r="L7735" s="16">
        <f>base!X7735</f>
        <v>0</v>
      </c>
      <c r="M7735" s="11" t="e">
        <f t="shared" si="1204"/>
        <v>#DIV/0!</v>
      </c>
      <c r="N7735" s="11" t="e">
        <f t="shared" si="1205"/>
        <v>#N/A</v>
      </c>
      <c r="O7735" s="11" t="e">
        <f t="shared" si="1206"/>
        <v>#N/A</v>
      </c>
      <c r="P7735" s="12" t="e">
        <f t="shared" si="1207"/>
        <v>#N/A</v>
      </c>
      <c r="Q7735" s="17" t="e">
        <f t="shared" si="1209"/>
        <v>#N/A</v>
      </c>
    </row>
    <row r="7736" spans="1:17" x14ac:dyDescent="0.3">
      <c r="A7736" s="34">
        <f>base!J7736</f>
        <v>0</v>
      </c>
      <c r="B7736" s="34">
        <f>base!V7736</f>
        <v>0</v>
      </c>
      <c r="C7736" s="40" t="s">
        <v>11</v>
      </c>
      <c r="D7736" s="36">
        <f>base!H7736</f>
        <v>0</v>
      </c>
      <c r="E7736" s="44"/>
      <c r="F7736" s="16">
        <f>base!W7736</f>
        <v>0</v>
      </c>
      <c r="G7736" s="11" t="e">
        <f t="shared" si="1200"/>
        <v>#DIV/0!</v>
      </c>
      <c r="H7736" s="11" t="e">
        <f t="shared" si="1201"/>
        <v>#N/A</v>
      </c>
      <c r="I7736" s="11" t="e">
        <f t="shared" si="1202"/>
        <v>#N/A</v>
      </c>
      <c r="J7736" s="12" t="e">
        <f t="shared" si="1203"/>
        <v>#N/A</v>
      </c>
      <c r="K7736" s="17" t="e">
        <f t="shared" si="1208"/>
        <v>#N/A</v>
      </c>
      <c r="L7736" s="16">
        <f>base!X7736</f>
        <v>0</v>
      </c>
      <c r="M7736" s="11" t="e">
        <f t="shared" si="1204"/>
        <v>#DIV/0!</v>
      </c>
      <c r="N7736" s="11" t="e">
        <f t="shared" si="1205"/>
        <v>#N/A</v>
      </c>
      <c r="O7736" s="11" t="e">
        <f t="shared" si="1206"/>
        <v>#N/A</v>
      </c>
      <c r="P7736" s="12" t="e">
        <f t="shared" si="1207"/>
        <v>#N/A</v>
      </c>
      <c r="Q7736" s="17" t="e">
        <f t="shared" si="1209"/>
        <v>#N/A</v>
      </c>
    </row>
    <row r="7737" spans="1:17" x14ac:dyDescent="0.3">
      <c r="A7737" s="34">
        <f>base!J7737</f>
        <v>0</v>
      </c>
      <c r="B7737" s="34">
        <f>base!V7737</f>
        <v>0</v>
      </c>
      <c r="C7737" s="40" t="s">
        <v>11</v>
      </c>
      <c r="D7737" s="36">
        <f>base!H7737</f>
        <v>0</v>
      </c>
      <c r="E7737" s="44"/>
      <c r="F7737" s="16">
        <f>base!W7737</f>
        <v>0</v>
      </c>
      <c r="G7737" s="11" t="e">
        <f t="shared" si="1200"/>
        <v>#DIV/0!</v>
      </c>
      <c r="H7737" s="11" t="e">
        <f t="shared" si="1201"/>
        <v>#N/A</v>
      </c>
      <c r="I7737" s="11" t="e">
        <f t="shared" si="1202"/>
        <v>#N/A</v>
      </c>
      <c r="J7737" s="12" t="e">
        <f t="shared" si="1203"/>
        <v>#N/A</v>
      </c>
      <c r="K7737" s="17" t="e">
        <f t="shared" si="1208"/>
        <v>#N/A</v>
      </c>
      <c r="L7737" s="16">
        <f>base!X7737</f>
        <v>0</v>
      </c>
      <c r="M7737" s="11" t="e">
        <f t="shared" si="1204"/>
        <v>#DIV/0!</v>
      </c>
      <c r="N7737" s="11" t="e">
        <f t="shared" si="1205"/>
        <v>#N/A</v>
      </c>
      <c r="O7737" s="11" t="e">
        <f t="shared" si="1206"/>
        <v>#N/A</v>
      </c>
      <c r="P7737" s="12" t="e">
        <f t="shared" si="1207"/>
        <v>#N/A</v>
      </c>
      <c r="Q7737" s="17" t="e">
        <f t="shared" si="1209"/>
        <v>#N/A</v>
      </c>
    </row>
    <row r="7738" spans="1:17" x14ac:dyDescent="0.3">
      <c r="A7738" s="34">
        <f>base!J7738</f>
        <v>0</v>
      </c>
      <c r="B7738" s="34">
        <f>base!V7738</f>
        <v>0</v>
      </c>
      <c r="C7738" s="40" t="s">
        <v>11</v>
      </c>
      <c r="D7738" s="36">
        <f>base!H7738</f>
        <v>0</v>
      </c>
      <c r="E7738" s="44"/>
      <c r="F7738" s="16">
        <f>base!W7738</f>
        <v>0</v>
      </c>
      <c r="G7738" s="11" t="e">
        <f t="shared" si="1200"/>
        <v>#DIV/0!</v>
      </c>
      <c r="H7738" s="11" t="e">
        <f t="shared" si="1201"/>
        <v>#N/A</v>
      </c>
      <c r="I7738" s="11" t="e">
        <f t="shared" si="1202"/>
        <v>#N/A</v>
      </c>
      <c r="J7738" s="12" t="e">
        <f t="shared" si="1203"/>
        <v>#N/A</v>
      </c>
      <c r="K7738" s="17" t="e">
        <f t="shared" si="1208"/>
        <v>#N/A</v>
      </c>
      <c r="L7738" s="16">
        <f>base!X7738</f>
        <v>0</v>
      </c>
      <c r="M7738" s="11" t="e">
        <f t="shared" si="1204"/>
        <v>#DIV/0!</v>
      </c>
      <c r="N7738" s="11" t="e">
        <f t="shared" si="1205"/>
        <v>#N/A</v>
      </c>
      <c r="O7738" s="11" t="e">
        <f t="shared" si="1206"/>
        <v>#N/A</v>
      </c>
      <c r="P7738" s="12" t="e">
        <f t="shared" si="1207"/>
        <v>#N/A</v>
      </c>
      <c r="Q7738" s="17" t="e">
        <f t="shared" si="1209"/>
        <v>#N/A</v>
      </c>
    </row>
    <row r="7739" spans="1:17" x14ac:dyDescent="0.3">
      <c r="A7739" s="34">
        <f>base!J7739</f>
        <v>0</v>
      </c>
      <c r="B7739" s="34">
        <f>base!V7739</f>
        <v>0</v>
      </c>
      <c r="C7739" s="40" t="s">
        <v>11</v>
      </c>
      <c r="D7739" s="36">
        <f>base!H7739</f>
        <v>0</v>
      </c>
      <c r="E7739" s="44"/>
      <c r="F7739" s="16">
        <f>base!W7739</f>
        <v>0</v>
      </c>
      <c r="G7739" s="11" t="e">
        <f t="shared" si="1200"/>
        <v>#DIV/0!</v>
      </c>
      <c r="H7739" s="11" t="e">
        <f t="shared" si="1201"/>
        <v>#N/A</v>
      </c>
      <c r="I7739" s="11" t="e">
        <f t="shared" si="1202"/>
        <v>#N/A</v>
      </c>
      <c r="J7739" s="12" t="e">
        <f t="shared" si="1203"/>
        <v>#N/A</v>
      </c>
      <c r="K7739" s="17" t="e">
        <f t="shared" si="1208"/>
        <v>#N/A</v>
      </c>
      <c r="L7739" s="16">
        <f>base!X7739</f>
        <v>0</v>
      </c>
      <c r="M7739" s="11" t="e">
        <f t="shared" si="1204"/>
        <v>#DIV/0!</v>
      </c>
      <c r="N7739" s="11" t="e">
        <f t="shared" si="1205"/>
        <v>#N/A</v>
      </c>
      <c r="O7739" s="11" t="e">
        <f t="shared" si="1206"/>
        <v>#N/A</v>
      </c>
      <c r="P7739" s="12" t="e">
        <f t="shared" si="1207"/>
        <v>#N/A</v>
      </c>
      <c r="Q7739" s="17" t="e">
        <f t="shared" si="1209"/>
        <v>#N/A</v>
      </c>
    </row>
    <row r="7740" spans="1:17" x14ac:dyDescent="0.3">
      <c r="A7740" s="34">
        <f>base!J7740</f>
        <v>0</v>
      </c>
      <c r="B7740" s="34">
        <f>base!V7740</f>
        <v>0</v>
      </c>
      <c r="C7740" s="40" t="s">
        <v>11</v>
      </c>
      <c r="D7740" s="36">
        <f>base!H7740</f>
        <v>0</v>
      </c>
      <c r="E7740" s="44"/>
      <c r="F7740" s="16">
        <f>base!W7740</f>
        <v>0</v>
      </c>
      <c r="G7740" s="11" t="e">
        <f t="shared" si="1200"/>
        <v>#DIV/0!</v>
      </c>
      <c r="H7740" s="11" t="e">
        <f t="shared" si="1201"/>
        <v>#N/A</v>
      </c>
      <c r="I7740" s="11" t="e">
        <f t="shared" si="1202"/>
        <v>#N/A</v>
      </c>
      <c r="J7740" s="12" t="e">
        <f t="shared" si="1203"/>
        <v>#N/A</v>
      </c>
      <c r="K7740" s="17" t="e">
        <f t="shared" si="1208"/>
        <v>#N/A</v>
      </c>
      <c r="L7740" s="16">
        <f>base!X7740</f>
        <v>0</v>
      </c>
      <c r="M7740" s="11" t="e">
        <f t="shared" si="1204"/>
        <v>#DIV/0!</v>
      </c>
      <c r="N7740" s="11" t="e">
        <f t="shared" si="1205"/>
        <v>#N/A</v>
      </c>
      <c r="O7740" s="11" t="e">
        <f t="shared" si="1206"/>
        <v>#N/A</v>
      </c>
      <c r="P7740" s="12" t="e">
        <f t="shared" si="1207"/>
        <v>#N/A</v>
      </c>
      <c r="Q7740" s="17" t="e">
        <f t="shared" si="1209"/>
        <v>#N/A</v>
      </c>
    </row>
    <row r="7741" spans="1:17" x14ac:dyDescent="0.3">
      <c r="A7741" s="34">
        <f>base!J7741</f>
        <v>0</v>
      </c>
      <c r="B7741" s="34">
        <f>base!V7741</f>
        <v>0</v>
      </c>
      <c r="C7741" s="40" t="s">
        <v>11</v>
      </c>
      <c r="D7741" s="36">
        <f>base!H7741</f>
        <v>0</v>
      </c>
      <c r="E7741" s="44"/>
      <c r="F7741" s="16">
        <f>base!W7741</f>
        <v>0</v>
      </c>
      <c r="G7741" s="11" t="e">
        <f t="shared" si="1200"/>
        <v>#DIV/0!</v>
      </c>
      <c r="H7741" s="11" t="e">
        <f t="shared" si="1201"/>
        <v>#N/A</v>
      </c>
      <c r="I7741" s="11" t="e">
        <f t="shared" si="1202"/>
        <v>#N/A</v>
      </c>
      <c r="J7741" s="12" t="e">
        <f t="shared" si="1203"/>
        <v>#N/A</v>
      </c>
      <c r="K7741" s="17" t="e">
        <f t="shared" si="1208"/>
        <v>#N/A</v>
      </c>
      <c r="L7741" s="16">
        <f>base!X7741</f>
        <v>0</v>
      </c>
      <c r="M7741" s="11" t="e">
        <f t="shared" si="1204"/>
        <v>#DIV/0!</v>
      </c>
      <c r="N7741" s="11" t="e">
        <f t="shared" si="1205"/>
        <v>#N/A</v>
      </c>
      <c r="O7741" s="11" t="e">
        <f t="shared" si="1206"/>
        <v>#N/A</v>
      </c>
      <c r="P7741" s="12" t="e">
        <f t="shared" si="1207"/>
        <v>#N/A</v>
      </c>
      <c r="Q7741" s="17" t="e">
        <f t="shared" si="1209"/>
        <v>#N/A</v>
      </c>
    </row>
    <row r="7742" spans="1:17" x14ac:dyDescent="0.3">
      <c r="A7742" s="34">
        <f>base!J7742</f>
        <v>0</v>
      </c>
      <c r="B7742" s="34">
        <f>base!V7742</f>
        <v>0</v>
      </c>
      <c r="C7742" s="40" t="s">
        <v>11</v>
      </c>
      <c r="D7742" s="36">
        <f>base!H7742</f>
        <v>0</v>
      </c>
      <c r="E7742" s="44"/>
      <c r="F7742" s="16">
        <f>base!W7742</f>
        <v>0</v>
      </c>
      <c r="G7742" s="11" t="e">
        <f t="shared" si="1200"/>
        <v>#DIV/0!</v>
      </c>
      <c r="H7742" s="11" t="e">
        <f t="shared" si="1201"/>
        <v>#N/A</v>
      </c>
      <c r="I7742" s="11" t="e">
        <f t="shared" si="1202"/>
        <v>#N/A</v>
      </c>
      <c r="J7742" s="12" t="e">
        <f t="shared" si="1203"/>
        <v>#N/A</v>
      </c>
      <c r="K7742" s="17" t="e">
        <f t="shared" si="1208"/>
        <v>#N/A</v>
      </c>
      <c r="L7742" s="16">
        <f>base!X7742</f>
        <v>0</v>
      </c>
      <c r="M7742" s="11" t="e">
        <f t="shared" si="1204"/>
        <v>#DIV/0!</v>
      </c>
      <c r="N7742" s="11" t="e">
        <f t="shared" si="1205"/>
        <v>#N/A</v>
      </c>
      <c r="O7742" s="11" t="e">
        <f t="shared" si="1206"/>
        <v>#N/A</v>
      </c>
      <c r="P7742" s="12" t="e">
        <f t="shared" si="1207"/>
        <v>#N/A</v>
      </c>
      <c r="Q7742" s="17" t="e">
        <f t="shared" si="1209"/>
        <v>#N/A</v>
      </c>
    </row>
    <row r="7743" spans="1:17" x14ac:dyDescent="0.3">
      <c r="A7743" s="34">
        <f>base!J7743</f>
        <v>0</v>
      </c>
      <c r="B7743" s="34">
        <f>base!V7743</f>
        <v>0</v>
      </c>
      <c r="C7743" s="40" t="s">
        <v>11</v>
      </c>
      <c r="D7743" s="36">
        <f>base!H7743</f>
        <v>0</v>
      </c>
      <c r="E7743" s="44"/>
      <c r="F7743" s="16">
        <f>base!W7743</f>
        <v>0</v>
      </c>
      <c r="G7743" s="11" t="e">
        <f t="shared" si="1200"/>
        <v>#DIV/0!</v>
      </c>
      <c r="H7743" s="11" t="e">
        <f t="shared" si="1201"/>
        <v>#N/A</v>
      </c>
      <c r="I7743" s="11" t="e">
        <f t="shared" si="1202"/>
        <v>#N/A</v>
      </c>
      <c r="J7743" s="12" t="e">
        <f t="shared" si="1203"/>
        <v>#N/A</v>
      </c>
      <c r="K7743" s="17" t="e">
        <f t="shared" si="1208"/>
        <v>#N/A</v>
      </c>
      <c r="L7743" s="16">
        <f>base!X7743</f>
        <v>0</v>
      </c>
      <c r="M7743" s="11" t="e">
        <f t="shared" si="1204"/>
        <v>#DIV/0!</v>
      </c>
      <c r="N7743" s="11" t="e">
        <f t="shared" si="1205"/>
        <v>#N/A</v>
      </c>
      <c r="O7743" s="11" t="e">
        <f t="shared" si="1206"/>
        <v>#N/A</v>
      </c>
      <c r="P7743" s="12" t="e">
        <f t="shared" si="1207"/>
        <v>#N/A</v>
      </c>
      <c r="Q7743" s="17" t="e">
        <f t="shared" si="1209"/>
        <v>#N/A</v>
      </c>
    </row>
    <row r="7744" spans="1:17" x14ac:dyDescent="0.3">
      <c r="A7744" s="34">
        <f>base!J7744</f>
        <v>0</v>
      </c>
      <c r="B7744" s="34">
        <f>base!V7744</f>
        <v>0</v>
      </c>
      <c r="C7744" s="40" t="s">
        <v>11</v>
      </c>
      <c r="D7744" s="36">
        <f>base!H7744</f>
        <v>0</v>
      </c>
      <c r="E7744" s="44"/>
      <c r="F7744" s="16">
        <f>base!W7744</f>
        <v>0</v>
      </c>
      <c r="G7744" s="11" t="e">
        <f t="shared" si="1200"/>
        <v>#DIV/0!</v>
      </c>
      <c r="H7744" s="11" t="e">
        <f t="shared" si="1201"/>
        <v>#N/A</v>
      </c>
      <c r="I7744" s="11" t="e">
        <f t="shared" si="1202"/>
        <v>#N/A</v>
      </c>
      <c r="J7744" s="12" t="e">
        <f t="shared" si="1203"/>
        <v>#N/A</v>
      </c>
      <c r="K7744" s="17" t="e">
        <f t="shared" si="1208"/>
        <v>#N/A</v>
      </c>
      <c r="L7744" s="16">
        <f>base!X7744</f>
        <v>0</v>
      </c>
      <c r="M7744" s="11" t="e">
        <f t="shared" si="1204"/>
        <v>#DIV/0!</v>
      </c>
      <c r="N7744" s="11" t="e">
        <f t="shared" si="1205"/>
        <v>#N/A</v>
      </c>
      <c r="O7744" s="11" t="e">
        <f t="shared" si="1206"/>
        <v>#N/A</v>
      </c>
      <c r="P7744" s="12" t="e">
        <f t="shared" si="1207"/>
        <v>#N/A</v>
      </c>
      <c r="Q7744" s="17" t="e">
        <f t="shared" si="1209"/>
        <v>#N/A</v>
      </c>
    </row>
    <row r="7745" spans="1:17" x14ac:dyDescent="0.3">
      <c r="A7745" s="34">
        <f>base!J7745</f>
        <v>0</v>
      </c>
      <c r="B7745" s="34">
        <f>base!V7745</f>
        <v>0</v>
      </c>
      <c r="C7745" s="40" t="s">
        <v>11</v>
      </c>
      <c r="D7745" s="36">
        <f>base!H7745</f>
        <v>0</v>
      </c>
      <c r="E7745" s="44"/>
      <c r="F7745" s="16">
        <f>base!W7745</f>
        <v>0</v>
      </c>
      <c r="G7745" s="11" t="e">
        <f t="shared" si="1200"/>
        <v>#DIV/0!</v>
      </c>
      <c r="H7745" s="11" t="e">
        <f t="shared" si="1201"/>
        <v>#N/A</v>
      </c>
      <c r="I7745" s="11" t="e">
        <f t="shared" si="1202"/>
        <v>#N/A</v>
      </c>
      <c r="J7745" s="12" t="e">
        <f t="shared" si="1203"/>
        <v>#N/A</v>
      </c>
      <c r="K7745" s="17" t="e">
        <f t="shared" si="1208"/>
        <v>#N/A</v>
      </c>
      <c r="L7745" s="16">
        <f>base!X7745</f>
        <v>0</v>
      </c>
      <c r="M7745" s="11" t="e">
        <f t="shared" si="1204"/>
        <v>#DIV/0!</v>
      </c>
      <c r="N7745" s="11" t="e">
        <f t="shared" si="1205"/>
        <v>#N/A</v>
      </c>
      <c r="O7745" s="11" t="e">
        <f t="shared" si="1206"/>
        <v>#N/A</v>
      </c>
      <c r="P7745" s="12" t="e">
        <f t="shared" si="1207"/>
        <v>#N/A</v>
      </c>
      <c r="Q7745" s="17" t="e">
        <f t="shared" si="1209"/>
        <v>#N/A</v>
      </c>
    </row>
    <row r="7746" spans="1:17" x14ac:dyDescent="0.3">
      <c r="A7746" s="34">
        <f>base!J7746</f>
        <v>0</v>
      </c>
      <c r="B7746" s="34">
        <f>base!V7746</f>
        <v>0</v>
      </c>
      <c r="C7746" s="40" t="s">
        <v>11</v>
      </c>
      <c r="D7746" s="36">
        <f>base!H7746</f>
        <v>0</v>
      </c>
      <c r="E7746" s="44"/>
      <c r="F7746" s="16">
        <f>base!W7746</f>
        <v>0</v>
      </c>
      <c r="G7746" s="11" t="e">
        <f t="shared" ref="G7746:G7809" si="1210">F7746/D7746</f>
        <v>#DIV/0!</v>
      </c>
      <c r="H7746" s="11" t="e">
        <f t="shared" ref="H7746:H7809" si="1211">VLOOKUP(C7746,tout_cout_traction,2,FALSE)*D7746</f>
        <v>#N/A</v>
      </c>
      <c r="I7746" s="11" t="e">
        <f t="shared" ref="I7746:I7809" si="1212">H7746/D7746</f>
        <v>#N/A</v>
      </c>
      <c r="J7746" s="12" t="e">
        <f t="shared" ref="J7746:J7809" si="1213">F7746-H7746</f>
        <v>#N/A</v>
      </c>
      <c r="K7746" s="17" t="e">
        <f t="shared" si="1208"/>
        <v>#N/A</v>
      </c>
      <c r="L7746" s="16">
        <f>base!X7746</f>
        <v>0</v>
      </c>
      <c r="M7746" s="11" t="e">
        <f t="shared" ref="M7746:M7809" si="1214">L7746/D7746</f>
        <v>#DIV/0!</v>
      </c>
      <c r="N7746" s="11" t="e">
        <f t="shared" ref="N7746:N7809" si="1215">VLOOKUP(C7746,tout_cout_traction,3,FALSE)*D7746</f>
        <v>#N/A</v>
      </c>
      <c r="O7746" s="11" t="e">
        <f t="shared" ref="O7746:O7809" si="1216">N7746/D7746</f>
        <v>#N/A</v>
      </c>
      <c r="P7746" s="12" t="e">
        <f t="shared" ref="P7746:P7809" si="1217">L7746-N7746</f>
        <v>#N/A</v>
      </c>
      <c r="Q7746" s="17" t="e">
        <f t="shared" si="1209"/>
        <v>#N/A</v>
      </c>
    </row>
    <row r="7747" spans="1:17" x14ac:dyDescent="0.3">
      <c r="A7747" s="34">
        <f>base!J7747</f>
        <v>0</v>
      </c>
      <c r="B7747" s="34">
        <f>base!V7747</f>
        <v>0</v>
      </c>
      <c r="C7747" s="40" t="s">
        <v>11</v>
      </c>
      <c r="D7747" s="36">
        <f>base!H7747</f>
        <v>0</v>
      </c>
      <c r="E7747" s="44"/>
      <c r="F7747" s="16">
        <f>base!W7747</f>
        <v>0</v>
      </c>
      <c r="G7747" s="11" t="e">
        <f t="shared" si="1210"/>
        <v>#DIV/0!</v>
      </c>
      <c r="H7747" s="11" t="e">
        <f t="shared" si="1211"/>
        <v>#N/A</v>
      </c>
      <c r="I7747" s="11" t="e">
        <f t="shared" si="1212"/>
        <v>#N/A</v>
      </c>
      <c r="J7747" s="12" t="e">
        <f t="shared" si="1213"/>
        <v>#N/A</v>
      </c>
      <c r="K7747" s="17" t="e">
        <f t="shared" ref="K7747:K7810" si="1218">IF(H7747=F7747,"Pas d'écart",IF(H7747&lt;F7747,"Ecart positif",IF(H7747&gt;F7747,"Ecart négatif")))</f>
        <v>#N/A</v>
      </c>
      <c r="L7747" s="16">
        <f>base!X7747</f>
        <v>0</v>
      </c>
      <c r="M7747" s="11" t="e">
        <f t="shared" si="1214"/>
        <v>#DIV/0!</v>
      </c>
      <c r="N7747" s="11" t="e">
        <f t="shared" si="1215"/>
        <v>#N/A</v>
      </c>
      <c r="O7747" s="11" t="e">
        <f t="shared" si="1216"/>
        <v>#N/A</v>
      </c>
      <c r="P7747" s="12" t="e">
        <f t="shared" si="1217"/>
        <v>#N/A</v>
      </c>
      <c r="Q7747" s="17" t="e">
        <f t="shared" ref="Q7747:Q7810" si="1219">IF(N7747=L7747,"Pas d'écart",IF(N7747&lt;L7747,"Ecart positif",IF(N7747&gt;L7747,"Ecart négatif")))</f>
        <v>#N/A</v>
      </c>
    </row>
    <row r="7748" spans="1:17" x14ac:dyDescent="0.3">
      <c r="A7748" s="34">
        <f>base!J7748</f>
        <v>0</v>
      </c>
      <c r="B7748" s="34">
        <f>base!V7748</f>
        <v>0</v>
      </c>
      <c r="C7748" s="40" t="s">
        <v>11</v>
      </c>
      <c r="D7748" s="36">
        <f>base!H7748</f>
        <v>0</v>
      </c>
      <c r="E7748" s="44"/>
      <c r="F7748" s="16">
        <f>base!W7748</f>
        <v>0</v>
      </c>
      <c r="G7748" s="11" t="e">
        <f t="shared" si="1210"/>
        <v>#DIV/0!</v>
      </c>
      <c r="H7748" s="11" t="e">
        <f t="shared" si="1211"/>
        <v>#N/A</v>
      </c>
      <c r="I7748" s="11" t="e">
        <f t="shared" si="1212"/>
        <v>#N/A</v>
      </c>
      <c r="J7748" s="12" t="e">
        <f t="shared" si="1213"/>
        <v>#N/A</v>
      </c>
      <c r="K7748" s="17" t="e">
        <f t="shared" si="1218"/>
        <v>#N/A</v>
      </c>
      <c r="L7748" s="16">
        <f>base!X7748</f>
        <v>0</v>
      </c>
      <c r="M7748" s="11" t="e">
        <f t="shared" si="1214"/>
        <v>#DIV/0!</v>
      </c>
      <c r="N7748" s="11" t="e">
        <f t="shared" si="1215"/>
        <v>#N/A</v>
      </c>
      <c r="O7748" s="11" t="e">
        <f t="shared" si="1216"/>
        <v>#N/A</v>
      </c>
      <c r="P7748" s="12" t="e">
        <f t="shared" si="1217"/>
        <v>#N/A</v>
      </c>
      <c r="Q7748" s="17" t="e">
        <f t="shared" si="1219"/>
        <v>#N/A</v>
      </c>
    </row>
    <row r="7749" spans="1:17" x14ac:dyDescent="0.3">
      <c r="A7749" s="34">
        <f>base!J7749</f>
        <v>0</v>
      </c>
      <c r="B7749" s="34">
        <f>base!V7749</f>
        <v>0</v>
      </c>
      <c r="C7749" s="40" t="s">
        <v>11</v>
      </c>
      <c r="D7749" s="36">
        <f>base!H7749</f>
        <v>0</v>
      </c>
      <c r="E7749" s="44"/>
      <c r="F7749" s="16">
        <f>base!W7749</f>
        <v>0</v>
      </c>
      <c r="G7749" s="11" t="e">
        <f t="shared" si="1210"/>
        <v>#DIV/0!</v>
      </c>
      <c r="H7749" s="11" t="e">
        <f t="shared" si="1211"/>
        <v>#N/A</v>
      </c>
      <c r="I7749" s="11" t="e">
        <f t="shared" si="1212"/>
        <v>#N/A</v>
      </c>
      <c r="J7749" s="12" t="e">
        <f t="shared" si="1213"/>
        <v>#N/A</v>
      </c>
      <c r="K7749" s="17" t="e">
        <f t="shared" si="1218"/>
        <v>#N/A</v>
      </c>
      <c r="L7749" s="16">
        <f>base!X7749</f>
        <v>0</v>
      </c>
      <c r="M7749" s="11" t="e">
        <f t="shared" si="1214"/>
        <v>#DIV/0!</v>
      </c>
      <c r="N7749" s="11" t="e">
        <f t="shared" si="1215"/>
        <v>#N/A</v>
      </c>
      <c r="O7749" s="11" t="e">
        <f t="shared" si="1216"/>
        <v>#N/A</v>
      </c>
      <c r="P7749" s="12" t="e">
        <f t="shared" si="1217"/>
        <v>#N/A</v>
      </c>
      <c r="Q7749" s="17" t="e">
        <f t="shared" si="1219"/>
        <v>#N/A</v>
      </c>
    </row>
    <row r="7750" spans="1:17" x14ac:dyDescent="0.3">
      <c r="A7750" s="34">
        <f>base!J7750</f>
        <v>0</v>
      </c>
      <c r="B7750" s="34">
        <f>base!V7750</f>
        <v>0</v>
      </c>
      <c r="C7750" s="40" t="s">
        <v>11</v>
      </c>
      <c r="D7750" s="36">
        <f>base!H7750</f>
        <v>0</v>
      </c>
      <c r="E7750" s="44"/>
      <c r="F7750" s="16">
        <f>base!W7750</f>
        <v>0</v>
      </c>
      <c r="G7750" s="11" t="e">
        <f t="shared" si="1210"/>
        <v>#DIV/0!</v>
      </c>
      <c r="H7750" s="11" t="e">
        <f t="shared" si="1211"/>
        <v>#N/A</v>
      </c>
      <c r="I7750" s="11" t="e">
        <f t="shared" si="1212"/>
        <v>#N/A</v>
      </c>
      <c r="J7750" s="12" t="e">
        <f t="shared" si="1213"/>
        <v>#N/A</v>
      </c>
      <c r="K7750" s="17" t="e">
        <f t="shared" si="1218"/>
        <v>#N/A</v>
      </c>
      <c r="L7750" s="16">
        <f>base!X7750</f>
        <v>0</v>
      </c>
      <c r="M7750" s="11" t="e">
        <f t="shared" si="1214"/>
        <v>#DIV/0!</v>
      </c>
      <c r="N7750" s="11" t="e">
        <f t="shared" si="1215"/>
        <v>#N/A</v>
      </c>
      <c r="O7750" s="11" t="e">
        <f t="shared" si="1216"/>
        <v>#N/A</v>
      </c>
      <c r="P7750" s="12" t="e">
        <f t="shared" si="1217"/>
        <v>#N/A</v>
      </c>
      <c r="Q7750" s="17" t="e">
        <f t="shared" si="1219"/>
        <v>#N/A</v>
      </c>
    </row>
    <row r="7751" spans="1:17" x14ac:dyDescent="0.3">
      <c r="A7751" s="34">
        <f>base!J7751</f>
        <v>0</v>
      </c>
      <c r="B7751" s="34">
        <f>base!V7751</f>
        <v>0</v>
      </c>
      <c r="C7751" s="40" t="s">
        <v>11</v>
      </c>
      <c r="D7751" s="36">
        <f>base!H7751</f>
        <v>0</v>
      </c>
      <c r="E7751" s="44"/>
      <c r="F7751" s="16">
        <f>base!W7751</f>
        <v>0</v>
      </c>
      <c r="G7751" s="11" t="e">
        <f t="shared" si="1210"/>
        <v>#DIV/0!</v>
      </c>
      <c r="H7751" s="11" t="e">
        <f t="shared" si="1211"/>
        <v>#N/A</v>
      </c>
      <c r="I7751" s="11" t="e">
        <f t="shared" si="1212"/>
        <v>#N/A</v>
      </c>
      <c r="J7751" s="12" t="e">
        <f t="shared" si="1213"/>
        <v>#N/A</v>
      </c>
      <c r="K7751" s="17" t="e">
        <f t="shared" si="1218"/>
        <v>#N/A</v>
      </c>
      <c r="L7751" s="16">
        <f>base!X7751</f>
        <v>0</v>
      </c>
      <c r="M7751" s="11" t="e">
        <f t="shared" si="1214"/>
        <v>#DIV/0!</v>
      </c>
      <c r="N7751" s="11" t="e">
        <f t="shared" si="1215"/>
        <v>#N/A</v>
      </c>
      <c r="O7751" s="11" t="e">
        <f t="shared" si="1216"/>
        <v>#N/A</v>
      </c>
      <c r="P7751" s="12" t="e">
        <f t="shared" si="1217"/>
        <v>#N/A</v>
      </c>
      <c r="Q7751" s="17" t="e">
        <f t="shared" si="1219"/>
        <v>#N/A</v>
      </c>
    </row>
    <row r="7752" spans="1:17" x14ac:dyDescent="0.3">
      <c r="A7752" s="34">
        <f>base!J7752</f>
        <v>0</v>
      </c>
      <c r="B7752" s="34">
        <f>base!V7752</f>
        <v>0</v>
      </c>
      <c r="C7752" s="40" t="s">
        <v>11</v>
      </c>
      <c r="D7752" s="36">
        <f>base!H7752</f>
        <v>0</v>
      </c>
      <c r="E7752" s="44"/>
      <c r="F7752" s="16">
        <f>base!W7752</f>
        <v>0</v>
      </c>
      <c r="G7752" s="11" t="e">
        <f t="shared" si="1210"/>
        <v>#DIV/0!</v>
      </c>
      <c r="H7752" s="11" t="e">
        <f t="shared" si="1211"/>
        <v>#N/A</v>
      </c>
      <c r="I7752" s="11" t="e">
        <f t="shared" si="1212"/>
        <v>#N/A</v>
      </c>
      <c r="J7752" s="12" t="e">
        <f t="shared" si="1213"/>
        <v>#N/A</v>
      </c>
      <c r="K7752" s="17" t="e">
        <f t="shared" si="1218"/>
        <v>#N/A</v>
      </c>
      <c r="L7752" s="16">
        <f>base!X7752</f>
        <v>0</v>
      </c>
      <c r="M7752" s="11" t="e">
        <f t="shared" si="1214"/>
        <v>#DIV/0!</v>
      </c>
      <c r="N7752" s="11" t="e">
        <f t="shared" si="1215"/>
        <v>#N/A</v>
      </c>
      <c r="O7752" s="11" t="e">
        <f t="shared" si="1216"/>
        <v>#N/A</v>
      </c>
      <c r="P7752" s="12" t="e">
        <f t="shared" si="1217"/>
        <v>#N/A</v>
      </c>
      <c r="Q7752" s="17" t="e">
        <f t="shared" si="1219"/>
        <v>#N/A</v>
      </c>
    </row>
    <row r="7753" spans="1:17" x14ac:dyDescent="0.3">
      <c r="A7753" s="34">
        <f>base!J7753</f>
        <v>0</v>
      </c>
      <c r="B7753" s="34">
        <f>base!V7753</f>
        <v>0</v>
      </c>
      <c r="C7753" s="40" t="s">
        <v>11</v>
      </c>
      <c r="D7753" s="36">
        <f>base!H7753</f>
        <v>0</v>
      </c>
      <c r="E7753" s="44"/>
      <c r="F7753" s="16">
        <f>base!W7753</f>
        <v>0</v>
      </c>
      <c r="G7753" s="11" t="e">
        <f t="shared" si="1210"/>
        <v>#DIV/0!</v>
      </c>
      <c r="H7753" s="11" t="e">
        <f t="shared" si="1211"/>
        <v>#N/A</v>
      </c>
      <c r="I7753" s="11" t="e">
        <f t="shared" si="1212"/>
        <v>#N/A</v>
      </c>
      <c r="J7753" s="12" t="e">
        <f t="shared" si="1213"/>
        <v>#N/A</v>
      </c>
      <c r="K7753" s="17" t="e">
        <f t="shared" si="1218"/>
        <v>#N/A</v>
      </c>
      <c r="L7753" s="16">
        <f>base!X7753</f>
        <v>0</v>
      </c>
      <c r="M7753" s="11" t="e">
        <f t="shared" si="1214"/>
        <v>#DIV/0!</v>
      </c>
      <c r="N7753" s="11" t="e">
        <f t="shared" si="1215"/>
        <v>#N/A</v>
      </c>
      <c r="O7753" s="11" t="e">
        <f t="shared" si="1216"/>
        <v>#N/A</v>
      </c>
      <c r="P7753" s="12" t="e">
        <f t="shared" si="1217"/>
        <v>#N/A</v>
      </c>
      <c r="Q7753" s="17" t="e">
        <f t="shared" si="1219"/>
        <v>#N/A</v>
      </c>
    </row>
    <row r="7754" spans="1:17" x14ac:dyDescent="0.3">
      <c r="A7754" s="34">
        <f>base!J7754</f>
        <v>0</v>
      </c>
      <c r="B7754" s="34">
        <f>base!V7754</f>
        <v>0</v>
      </c>
      <c r="C7754" s="40" t="s">
        <v>11</v>
      </c>
      <c r="D7754" s="36">
        <f>base!H7754</f>
        <v>0</v>
      </c>
      <c r="E7754" s="44"/>
      <c r="F7754" s="16">
        <f>base!W7754</f>
        <v>0</v>
      </c>
      <c r="G7754" s="11" t="e">
        <f t="shared" si="1210"/>
        <v>#DIV/0!</v>
      </c>
      <c r="H7754" s="11" t="e">
        <f t="shared" si="1211"/>
        <v>#N/A</v>
      </c>
      <c r="I7754" s="11" t="e">
        <f t="shared" si="1212"/>
        <v>#N/A</v>
      </c>
      <c r="J7754" s="12" t="e">
        <f t="shared" si="1213"/>
        <v>#N/A</v>
      </c>
      <c r="K7754" s="17" t="e">
        <f t="shared" si="1218"/>
        <v>#N/A</v>
      </c>
      <c r="L7754" s="16">
        <f>base!X7754</f>
        <v>0</v>
      </c>
      <c r="M7754" s="11" t="e">
        <f t="shared" si="1214"/>
        <v>#DIV/0!</v>
      </c>
      <c r="N7754" s="11" t="e">
        <f t="shared" si="1215"/>
        <v>#N/A</v>
      </c>
      <c r="O7754" s="11" t="e">
        <f t="shared" si="1216"/>
        <v>#N/A</v>
      </c>
      <c r="P7754" s="12" t="e">
        <f t="shared" si="1217"/>
        <v>#N/A</v>
      </c>
      <c r="Q7754" s="17" t="e">
        <f t="shared" si="1219"/>
        <v>#N/A</v>
      </c>
    </row>
    <row r="7755" spans="1:17" x14ac:dyDescent="0.3">
      <c r="A7755" s="34">
        <f>base!J7755</f>
        <v>0</v>
      </c>
      <c r="B7755" s="34">
        <f>base!V7755</f>
        <v>0</v>
      </c>
      <c r="C7755" s="40" t="s">
        <v>11</v>
      </c>
      <c r="D7755" s="36">
        <f>base!H7755</f>
        <v>0</v>
      </c>
      <c r="E7755" s="44"/>
      <c r="F7755" s="16">
        <f>base!W7755</f>
        <v>0</v>
      </c>
      <c r="G7755" s="11" t="e">
        <f t="shared" si="1210"/>
        <v>#DIV/0!</v>
      </c>
      <c r="H7755" s="11" t="e">
        <f t="shared" si="1211"/>
        <v>#N/A</v>
      </c>
      <c r="I7755" s="11" t="e">
        <f t="shared" si="1212"/>
        <v>#N/A</v>
      </c>
      <c r="J7755" s="12" t="e">
        <f t="shared" si="1213"/>
        <v>#N/A</v>
      </c>
      <c r="K7755" s="17" t="e">
        <f t="shared" si="1218"/>
        <v>#N/A</v>
      </c>
      <c r="L7755" s="16">
        <f>base!X7755</f>
        <v>0</v>
      </c>
      <c r="M7755" s="11" t="e">
        <f t="shared" si="1214"/>
        <v>#DIV/0!</v>
      </c>
      <c r="N7755" s="11" t="e">
        <f t="shared" si="1215"/>
        <v>#N/A</v>
      </c>
      <c r="O7755" s="11" t="e">
        <f t="shared" si="1216"/>
        <v>#N/A</v>
      </c>
      <c r="P7755" s="12" t="e">
        <f t="shared" si="1217"/>
        <v>#N/A</v>
      </c>
      <c r="Q7755" s="17" t="e">
        <f t="shared" si="1219"/>
        <v>#N/A</v>
      </c>
    </row>
    <row r="7756" spans="1:17" x14ac:dyDescent="0.3">
      <c r="A7756" s="34">
        <f>base!J7756</f>
        <v>0</v>
      </c>
      <c r="B7756" s="34">
        <f>base!V7756</f>
        <v>0</v>
      </c>
      <c r="C7756" s="40" t="s">
        <v>11</v>
      </c>
      <c r="D7756" s="36">
        <f>base!H7756</f>
        <v>0</v>
      </c>
      <c r="E7756" s="44"/>
      <c r="F7756" s="16">
        <f>base!W7756</f>
        <v>0</v>
      </c>
      <c r="G7756" s="11" t="e">
        <f t="shared" si="1210"/>
        <v>#DIV/0!</v>
      </c>
      <c r="H7756" s="11" t="e">
        <f t="shared" si="1211"/>
        <v>#N/A</v>
      </c>
      <c r="I7756" s="11" t="e">
        <f t="shared" si="1212"/>
        <v>#N/A</v>
      </c>
      <c r="J7756" s="12" t="e">
        <f t="shared" si="1213"/>
        <v>#N/A</v>
      </c>
      <c r="K7756" s="17" t="e">
        <f t="shared" si="1218"/>
        <v>#N/A</v>
      </c>
      <c r="L7756" s="16">
        <f>base!X7756</f>
        <v>0</v>
      </c>
      <c r="M7756" s="11" t="e">
        <f t="shared" si="1214"/>
        <v>#DIV/0!</v>
      </c>
      <c r="N7756" s="11" t="e">
        <f t="shared" si="1215"/>
        <v>#N/A</v>
      </c>
      <c r="O7756" s="11" t="e">
        <f t="shared" si="1216"/>
        <v>#N/A</v>
      </c>
      <c r="P7756" s="12" t="e">
        <f t="shared" si="1217"/>
        <v>#N/A</v>
      </c>
      <c r="Q7756" s="17" t="e">
        <f t="shared" si="1219"/>
        <v>#N/A</v>
      </c>
    </row>
    <row r="7757" spans="1:17" x14ac:dyDescent="0.3">
      <c r="A7757" s="34">
        <f>base!J7757</f>
        <v>0</v>
      </c>
      <c r="B7757" s="34">
        <f>base!V7757</f>
        <v>0</v>
      </c>
      <c r="C7757" s="40" t="s">
        <v>11</v>
      </c>
      <c r="D7757" s="36">
        <f>base!H7757</f>
        <v>0</v>
      </c>
      <c r="E7757" s="44"/>
      <c r="F7757" s="16">
        <f>base!W7757</f>
        <v>0</v>
      </c>
      <c r="G7757" s="11" t="e">
        <f t="shared" si="1210"/>
        <v>#DIV/0!</v>
      </c>
      <c r="H7757" s="11" t="e">
        <f t="shared" si="1211"/>
        <v>#N/A</v>
      </c>
      <c r="I7757" s="11" t="e">
        <f t="shared" si="1212"/>
        <v>#N/A</v>
      </c>
      <c r="J7757" s="12" t="e">
        <f t="shared" si="1213"/>
        <v>#N/A</v>
      </c>
      <c r="K7757" s="17" t="e">
        <f t="shared" si="1218"/>
        <v>#N/A</v>
      </c>
      <c r="L7757" s="16">
        <f>base!X7757</f>
        <v>0</v>
      </c>
      <c r="M7757" s="11" t="e">
        <f t="shared" si="1214"/>
        <v>#DIV/0!</v>
      </c>
      <c r="N7757" s="11" t="e">
        <f t="shared" si="1215"/>
        <v>#N/A</v>
      </c>
      <c r="O7757" s="11" t="e">
        <f t="shared" si="1216"/>
        <v>#N/A</v>
      </c>
      <c r="P7757" s="12" t="e">
        <f t="shared" si="1217"/>
        <v>#N/A</v>
      </c>
      <c r="Q7757" s="17" t="e">
        <f t="shared" si="1219"/>
        <v>#N/A</v>
      </c>
    </row>
    <row r="7758" spans="1:17" x14ac:dyDescent="0.3">
      <c r="A7758" s="34">
        <f>base!J7758</f>
        <v>0</v>
      </c>
      <c r="B7758" s="34">
        <f>base!V7758</f>
        <v>0</v>
      </c>
      <c r="C7758" s="40" t="s">
        <v>11</v>
      </c>
      <c r="D7758" s="36">
        <f>base!H7758</f>
        <v>0</v>
      </c>
      <c r="E7758" s="44"/>
      <c r="F7758" s="16">
        <f>base!W7758</f>
        <v>0</v>
      </c>
      <c r="G7758" s="11" t="e">
        <f t="shared" si="1210"/>
        <v>#DIV/0!</v>
      </c>
      <c r="H7758" s="11" t="e">
        <f t="shared" si="1211"/>
        <v>#N/A</v>
      </c>
      <c r="I7758" s="11" t="e">
        <f t="shared" si="1212"/>
        <v>#N/A</v>
      </c>
      <c r="J7758" s="12" t="e">
        <f t="shared" si="1213"/>
        <v>#N/A</v>
      </c>
      <c r="K7758" s="17" t="e">
        <f t="shared" si="1218"/>
        <v>#N/A</v>
      </c>
      <c r="L7758" s="16">
        <f>base!X7758</f>
        <v>0</v>
      </c>
      <c r="M7758" s="11" t="e">
        <f t="shared" si="1214"/>
        <v>#DIV/0!</v>
      </c>
      <c r="N7758" s="11" t="e">
        <f t="shared" si="1215"/>
        <v>#N/A</v>
      </c>
      <c r="O7758" s="11" t="e">
        <f t="shared" si="1216"/>
        <v>#N/A</v>
      </c>
      <c r="P7758" s="12" t="e">
        <f t="shared" si="1217"/>
        <v>#N/A</v>
      </c>
      <c r="Q7758" s="17" t="e">
        <f t="shared" si="1219"/>
        <v>#N/A</v>
      </c>
    </row>
    <row r="7759" spans="1:17" x14ac:dyDescent="0.3">
      <c r="A7759" s="34">
        <f>base!J7759</f>
        <v>0</v>
      </c>
      <c r="B7759" s="34">
        <f>base!V7759</f>
        <v>0</v>
      </c>
      <c r="C7759" s="40" t="s">
        <v>11</v>
      </c>
      <c r="D7759" s="36">
        <f>base!H7759</f>
        <v>0</v>
      </c>
      <c r="E7759" s="44"/>
      <c r="F7759" s="16">
        <f>base!W7759</f>
        <v>0</v>
      </c>
      <c r="G7759" s="11" t="e">
        <f t="shared" si="1210"/>
        <v>#DIV/0!</v>
      </c>
      <c r="H7759" s="11" t="e">
        <f t="shared" si="1211"/>
        <v>#N/A</v>
      </c>
      <c r="I7759" s="11" t="e">
        <f t="shared" si="1212"/>
        <v>#N/A</v>
      </c>
      <c r="J7759" s="12" t="e">
        <f t="shared" si="1213"/>
        <v>#N/A</v>
      </c>
      <c r="K7759" s="17" t="e">
        <f t="shared" si="1218"/>
        <v>#N/A</v>
      </c>
      <c r="L7759" s="16">
        <f>base!X7759</f>
        <v>0</v>
      </c>
      <c r="M7759" s="11" t="e">
        <f t="shared" si="1214"/>
        <v>#DIV/0!</v>
      </c>
      <c r="N7759" s="11" t="e">
        <f t="shared" si="1215"/>
        <v>#N/A</v>
      </c>
      <c r="O7759" s="11" t="e">
        <f t="shared" si="1216"/>
        <v>#N/A</v>
      </c>
      <c r="P7759" s="12" t="e">
        <f t="shared" si="1217"/>
        <v>#N/A</v>
      </c>
      <c r="Q7759" s="17" t="e">
        <f t="shared" si="1219"/>
        <v>#N/A</v>
      </c>
    </row>
    <row r="7760" spans="1:17" x14ac:dyDescent="0.3">
      <c r="A7760" s="34">
        <f>base!J7760</f>
        <v>0</v>
      </c>
      <c r="B7760" s="34">
        <f>base!V7760</f>
        <v>0</v>
      </c>
      <c r="C7760" s="40" t="s">
        <v>11</v>
      </c>
      <c r="D7760" s="36">
        <f>base!H7760</f>
        <v>0</v>
      </c>
      <c r="E7760" s="44"/>
      <c r="F7760" s="16">
        <f>base!W7760</f>
        <v>0</v>
      </c>
      <c r="G7760" s="11" t="e">
        <f t="shared" si="1210"/>
        <v>#DIV/0!</v>
      </c>
      <c r="H7760" s="11" t="e">
        <f t="shared" si="1211"/>
        <v>#N/A</v>
      </c>
      <c r="I7760" s="11" t="e">
        <f t="shared" si="1212"/>
        <v>#N/A</v>
      </c>
      <c r="J7760" s="12" t="e">
        <f t="shared" si="1213"/>
        <v>#N/A</v>
      </c>
      <c r="K7760" s="17" t="e">
        <f t="shared" si="1218"/>
        <v>#N/A</v>
      </c>
      <c r="L7760" s="16">
        <f>base!X7760</f>
        <v>0</v>
      </c>
      <c r="M7760" s="11" t="e">
        <f t="shared" si="1214"/>
        <v>#DIV/0!</v>
      </c>
      <c r="N7760" s="11" t="e">
        <f t="shared" si="1215"/>
        <v>#N/A</v>
      </c>
      <c r="O7760" s="11" t="e">
        <f t="shared" si="1216"/>
        <v>#N/A</v>
      </c>
      <c r="P7760" s="12" t="e">
        <f t="shared" si="1217"/>
        <v>#N/A</v>
      </c>
      <c r="Q7760" s="17" t="e">
        <f t="shared" si="1219"/>
        <v>#N/A</v>
      </c>
    </row>
    <row r="7761" spans="1:17" x14ac:dyDescent="0.3">
      <c r="A7761" s="34">
        <f>base!J7761</f>
        <v>0</v>
      </c>
      <c r="B7761" s="34">
        <f>base!V7761</f>
        <v>0</v>
      </c>
      <c r="C7761" s="40" t="s">
        <v>11</v>
      </c>
      <c r="D7761" s="36">
        <f>base!H7761</f>
        <v>0</v>
      </c>
      <c r="E7761" s="44"/>
      <c r="F7761" s="16">
        <f>base!W7761</f>
        <v>0</v>
      </c>
      <c r="G7761" s="11" t="e">
        <f t="shared" si="1210"/>
        <v>#DIV/0!</v>
      </c>
      <c r="H7761" s="11" t="e">
        <f t="shared" si="1211"/>
        <v>#N/A</v>
      </c>
      <c r="I7761" s="11" t="e">
        <f t="shared" si="1212"/>
        <v>#N/A</v>
      </c>
      <c r="J7761" s="12" t="e">
        <f t="shared" si="1213"/>
        <v>#N/A</v>
      </c>
      <c r="K7761" s="17" t="e">
        <f t="shared" si="1218"/>
        <v>#N/A</v>
      </c>
      <c r="L7761" s="16">
        <f>base!X7761</f>
        <v>0</v>
      </c>
      <c r="M7761" s="11" t="e">
        <f t="shared" si="1214"/>
        <v>#DIV/0!</v>
      </c>
      <c r="N7761" s="11" t="e">
        <f t="shared" si="1215"/>
        <v>#N/A</v>
      </c>
      <c r="O7761" s="11" t="e">
        <f t="shared" si="1216"/>
        <v>#N/A</v>
      </c>
      <c r="P7761" s="12" t="e">
        <f t="shared" si="1217"/>
        <v>#N/A</v>
      </c>
      <c r="Q7761" s="17" t="e">
        <f t="shared" si="1219"/>
        <v>#N/A</v>
      </c>
    </row>
    <row r="7762" spans="1:17" x14ac:dyDescent="0.3">
      <c r="A7762" s="34">
        <f>base!J7762</f>
        <v>0</v>
      </c>
      <c r="B7762" s="34">
        <f>base!V7762</f>
        <v>0</v>
      </c>
      <c r="C7762" s="40" t="s">
        <v>11</v>
      </c>
      <c r="D7762" s="36">
        <f>base!H7762</f>
        <v>0</v>
      </c>
      <c r="E7762" s="44"/>
      <c r="F7762" s="16">
        <f>base!W7762</f>
        <v>0</v>
      </c>
      <c r="G7762" s="11" t="e">
        <f t="shared" si="1210"/>
        <v>#DIV/0!</v>
      </c>
      <c r="H7762" s="11" t="e">
        <f t="shared" si="1211"/>
        <v>#N/A</v>
      </c>
      <c r="I7762" s="11" t="e">
        <f t="shared" si="1212"/>
        <v>#N/A</v>
      </c>
      <c r="J7762" s="12" t="e">
        <f t="shared" si="1213"/>
        <v>#N/A</v>
      </c>
      <c r="K7762" s="17" t="e">
        <f t="shared" si="1218"/>
        <v>#N/A</v>
      </c>
      <c r="L7762" s="16">
        <f>base!X7762</f>
        <v>0</v>
      </c>
      <c r="M7762" s="11" t="e">
        <f t="shared" si="1214"/>
        <v>#DIV/0!</v>
      </c>
      <c r="N7762" s="11" t="e">
        <f t="shared" si="1215"/>
        <v>#N/A</v>
      </c>
      <c r="O7762" s="11" t="e">
        <f t="shared" si="1216"/>
        <v>#N/A</v>
      </c>
      <c r="P7762" s="12" t="e">
        <f t="shared" si="1217"/>
        <v>#N/A</v>
      </c>
      <c r="Q7762" s="17" t="e">
        <f t="shared" si="1219"/>
        <v>#N/A</v>
      </c>
    </row>
    <row r="7763" spans="1:17" x14ac:dyDescent="0.3">
      <c r="A7763" s="34">
        <f>base!J7763</f>
        <v>0</v>
      </c>
      <c r="B7763" s="34">
        <f>base!V7763</f>
        <v>0</v>
      </c>
      <c r="C7763" s="40" t="s">
        <v>11</v>
      </c>
      <c r="D7763" s="36">
        <f>base!H7763</f>
        <v>0</v>
      </c>
      <c r="E7763" s="44"/>
      <c r="F7763" s="16">
        <f>base!W7763</f>
        <v>0</v>
      </c>
      <c r="G7763" s="11" t="e">
        <f t="shared" si="1210"/>
        <v>#DIV/0!</v>
      </c>
      <c r="H7763" s="11" t="e">
        <f t="shared" si="1211"/>
        <v>#N/A</v>
      </c>
      <c r="I7763" s="11" t="e">
        <f t="shared" si="1212"/>
        <v>#N/A</v>
      </c>
      <c r="J7763" s="12" t="e">
        <f t="shared" si="1213"/>
        <v>#N/A</v>
      </c>
      <c r="K7763" s="17" t="e">
        <f t="shared" si="1218"/>
        <v>#N/A</v>
      </c>
      <c r="L7763" s="16">
        <f>base!X7763</f>
        <v>0</v>
      </c>
      <c r="M7763" s="11" t="e">
        <f t="shared" si="1214"/>
        <v>#DIV/0!</v>
      </c>
      <c r="N7763" s="11" t="e">
        <f t="shared" si="1215"/>
        <v>#N/A</v>
      </c>
      <c r="O7763" s="11" t="e">
        <f t="shared" si="1216"/>
        <v>#N/A</v>
      </c>
      <c r="P7763" s="12" t="e">
        <f t="shared" si="1217"/>
        <v>#N/A</v>
      </c>
      <c r="Q7763" s="17" t="e">
        <f t="shared" si="1219"/>
        <v>#N/A</v>
      </c>
    </row>
    <row r="7764" spans="1:17" x14ac:dyDescent="0.3">
      <c r="A7764" s="34">
        <f>base!J7764</f>
        <v>0</v>
      </c>
      <c r="B7764" s="34">
        <f>base!V7764</f>
        <v>0</v>
      </c>
      <c r="C7764" s="40" t="s">
        <v>11</v>
      </c>
      <c r="D7764" s="36">
        <f>base!H7764</f>
        <v>0</v>
      </c>
      <c r="E7764" s="44"/>
      <c r="F7764" s="16">
        <f>base!W7764</f>
        <v>0</v>
      </c>
      <c r="G7764" s="11" t="e">
        <f t="shared" si="1210"/>
        <v>#DIV/0!</v>
      </c>
      <c r="H7764" s="11" t="e">
        <f t="shared" si="1211"/>
        <v>#N/A</v>
      </c>
      <c r="I7764" s="11" t="e">
        <f t="shared" si="1212"/>
        <v>#N/A</v>
      </c>
      <c r="J7764" s="12" t="e">
        <f t="shared" si="1213"/>
        <v>#N/A</v>
      </c>
      <c r="K7764" s="17" t="e">
        <f t="shared" si="1218"/>
        <v>#N/A</v>
      </c>
      <c r="L7764" s="16">
        <f>base!X7764</f>
        <v>0</v>
      </c>
      <c r="M7764" s="11" t="e">
        <f t="shared" si="1214"/>
        <v>#DIV/0!</v>
      </c>
      <c r="N7764" s="11" t="e">
        <f t="shared" si="1215"/>
        <v>#N/A</v>
      </c>
      <c r="O7764" s="11" t="e">
        <f t="shared" si="1216"/>
        <v>#N/A</v>
      </c>
      <c r="P7764" s="12" t="e">
        <f t="shared" si="1217"/>
        <v>#N/A</v>
      </c>
      <c r="Q7764" s="17" t="e">
        <f t="shared" si="1219"/>
        <v>#N/A</v>
      </c>
    </row>
    <row r="7765" spans="1:17" x14ac:dyDescent="0.3">
      <c r="A7765" s="34">
        <f>base!J7765</f>
        <v>0</v>
      </c>
      <c r="B7765" s="34">
        <f>base!V7765</f>
        <v>0</v>
      </c>
      <c r="C7765" s="40" t="s">
        <v>11</v>
      </c>
      <c r="D7765" s="36">
        <f>base!H7765</f>
        <v>0</v>
      </c>
      <c r="E7765" s="44"/>
      <c r="F7765" s="16">
        <f>base!W7765</f>
        <v>0</v>
      </c>
      <c r="G7765" s="11" t="e">
        <f t="shared" si="1210"/>
        <v>#DIV/0!</v>
      </c>
      <c r="H7765" s="11" t="e">
        <f t="shared" si="1211"/>
        <v>#N/A</v>
      </c>
      <c r="I7765" s="11" t="e">
        <f t="shared" si="1212"/>
        <v>#N/A</v>
      </c>
      <c r="J7765" s="12" t="e">
        <f t="shared" si="1213"/>
        <v>#N/A</v>
      </c>
      <c r="K7765" s="17" t="e">
        <f t="shared" si="1218"/>
        <v>#N/A</v>
      </c>
      <c r="L7765" s="16">
        <f>base!X7765</f>
        <v>0</v>
      </c>
      <c r="M7765" s="11" t="e">
        <f t="shared" si="1214"/>
        <v>#DIV/0!</v>
      </c>
      <c r="N7765" s="11" t="e">
        <f t="shared" si="1215"/>
        <v>#N/A</v>
      </c>
      <c r="O7765" s="11" t="e">
        <f t="shared" si="1216"/>
        <v>#N/A</v>
      </c>
      <c r="P7765" s="12" t="e">
        <f t="shared" si="1217"/>
        <v>#N/A</v>
      </c>
      <c r="Q7765" s="17" t="e">
        <f t="shared" si="1219"/>
        <v>#N/A</v>
      </c>
    </row>
    <row r="7766" spans="1:17" x14ac:dyDescent="0.3">
      <c r="A7766" s="34">
        <f>base!J7766</f>
        <v>0</v>
      </c>
      <c r="B7766" s="34">
        <f>base!V7766</f>
        <v>0</v>
      </c>
      <c r="C7766" s="40" t="s">
        <v>11</v>
      </c>
      <c r="D7766" s="36">
        <f>base!H7766</f>
        <v>0</v>
      </c>
      <c r="E7766" s="44"/>
      <c r="F7766" s="16">
        <f>base!W7766</f>
        <v>0</v>
      </c>
      <c r="G7766" s="11" t="e">
        <f t="shared" si="1210"/>
        <v>#DIV/0!</v>
      </c>
      <c r="H7766" s="11" t="e">
        <f t="shared" si="1211"/>
        <v>#N/A</v>
      </c>
      <c r="I7766" s="11" t="e">
        <f t="shared" si="1212"/>
        <v>#N/A</v>
      </c>
      <c r="J7766" s="12" t="e">
        <f t="shared" si="1213"/>
        <v>#N/A</v>
      </c>
      <c r="K7766" s="17" t="e">
        <f t="shared" si="1218"/>
        <v>#N/A</v>
      </c>
      <c r="L7766" s="16">
        <f>base!X7766</f>
        <v>0</v>
      </c>
      <c r="M7766" s="11" t="e">
        <f t="shared" si="1214"/>
        <v>#DIV/0!</v>
      </c>
      <c r="N7766" s="11" t="e">
        <f t="shared" si="1215"/>
        <v>#N/A</v>
      </c>
      <c r="O7766" s="11" t="e">
        <f t="shared" si="1216"/>
        <v>#N/A</v>
      </c>
      <c r="P7766" s="12" t="e">
        <f t="shared" si="1217"/>
        <v>#N/A</v>
      </c>
      <c r="Q7766" s="17" t="e">
        <f t="shared" si="1219"/>
        <v>#N/A</v>
      </c>
    </row>
    <row r="7767" spans="1:17" x14ac:dyDescent="0.3">
      <c r="A7767" s="34">
        <f>base!J7767</f>
        <v>0</v>
      </c>
      <c r="B7767" s="34">
        <f>base!V7767</f>
        <v>0</v>
      </c>
      <c r="C7767" s="40" t="s">
        <v>11</v>
      </c>
      <c r="D7767" s="36">
        <f>base!H7767</f>
        <v>0</v>
      </c>
      <c r="E7767" s="44"/>
      <c r="F7767" s="16">
        <f>base!W7767</f>
        <v>0</v>
      </c>
      <c r="G7767" s="11" t="e">
        <f t="shared" si="1210"/>
        <v>#DIV/0!</v>
      </c>
      <c r="H7767" s="11" t="e">
        <f t="shared" si="1211"/>
        <v>#N/A</v>
      </c>
      <c r="I7767" s="11" t="e">
        <f t="shared" si="1212"/>
        <v>#N/A</v>
      </c>
      <c r="J7767" s="12" t="e">
        <f t="shared" si="1213"/>
        <v>#N/A</v>
      </c>
      <c r="K7767" s="17" t="e">
        <f t="shared" si="1218"/>
        <v>#N/A</v>
      </c>
      <c r="L7767" s="16">
        <f>base!X7767</f>
        <v>0</v>
      </c>
      <c r="M7767" s="11" t="e">
        <f t="shared" si="1214"/>
        <v>#DIV/0!</v>
      </c>
      <c r="N7767" s="11" t="e">
        <f t="shared" si="1215"/>
        <v>#N/A</v>
      </c>
      <c r="O7767" s="11" t="e">
        <f t="shared" si="1216"/>
        <v>#N/A</v>
      </c>
      <c r="P7767" s="12" t="e">
        <f t="shared" si="1217"/>
        <v>#N/A</v>
      </c>
      <c r="Q7767" s="17" t="e">
        <f t="shared" si="1219"/>
        <v>#N/A</v>
      </c>
    </row>
    <row r="7768" spans="1:17" x14ac:dyDescent="0.3">
      <c r="A7768" s="34">
        <f>base!J7768</f>
        <v>0</v>
      </c>
      <c r="B7768" s="34">
        <f>base!V7768</f>
        <v>0</v>
      </c>
      <c r="C7768" s="40" t="s">
        <v>11</v>
      </c>
      <c r="D7768" s="36">
        <f>base!H7768</f>
        <v>0</v>
      </c>
      <c r="E7768" s="44"/>
      <c r="F7768" s="16">
        <f>base!W7768</f>
        <v>0</v>
      </c>
      <c r="G7768" s="11" t="e">
        <f t="shared" si="1210"/>
        <v>#DIV/0!</v>
      </c>
      <c r="H7768" s="11" t="e">
        <f t="shared" si="1211"/>
        <v>#N/A</v>
      </c>
      <c r="I7768" s="11" t="e">
        <f t="shared" si="1212"/>
        <v>#N/A</v>
      </c>
      <c r="J7768" s="12" t="e">
        <f t="shared" si="1213"/>
        <v>#N/A</v>
      </c>
      <c r="K7768" s="17" t="e">
        <f t="shared" si="1218"/>
        <v>#N/A</v>
      </c>
      <c r="L7768" s="16">
        <f>base!X7768</f>
        <v>0</v>
      </c>
      <c r="M7768" s="11" t="e">
        <f t="shared" si="1214"/>
        <v>#DIV/0!</v>
      </c>
      <c r="N7768" s="11" t="e">
        <f t="shared" si="1215"/>
        <v>#N/A</v>
      </c>
      <c r="O7768" s="11" t="e">
        <f t="shared" si="1216"/>
        <v>#N/A</v>
      </c>
      <c r="P7768" s="12" t="e">
        <f t="shared" si="1217"/>
        <v>#N/A</v>
      </c>
      <c r="Q7768" s="17" t="e">
        <f t="shared" si="1219"/>
        <v>#N/A</v>
      </c>
    </row>
    <row r="7769" spans="1:17" x14ac:dyDescent="0.3">
      <c r="A7769" s="34">
        <f>base!J7769</f>
        <v>0</v>
      </c>
      <c r="B7769" s="34">
        <f>base!V7769</f>
        <v>0</v>
      </c>
      <c r="C7769" s="40" t="s">
        <v>11</v>
      </c>
      <c r="D7769" s="36">
        <f>base!H7769</f>
        <v>0</v>
      </c>
      <c r="E7769" s="44"/>
      <c r="F7769" s="16">
        <f>base!W7769</f>
        <v>0</v>
      </c>
      <c r="G7769" s="11" t="e">
        <f t="shared" si="1210"/>
        <v>#DIV/0!</v>
      </c>
      <c r="H7769" s="11" t="e">
        <f t="shared" si="1211"/>
        <v>#N/A</v>
      </c>
      <c r="I7769" s="11" t="e">
        <f t="shared" si="1212"/>
        <v>#N/A</v>
      </c>
      <c r="J7769" s="12" t="e">
        <f t="shared" si="1213"/>
        <v>#N/A</v>
      </c>
      <c r="K7769" s="17" t="e">
        <f t="shared" si="1218"/>
        <v>#N/A</v>
      </c>
      <c r="L7769" s="16">
        <f>base!X7769</f>
        <v>0</v>
      </c>
      <c r="M7769" s="11" t="e">
        <f t="shared" si="1214"/>
        <v>#DIV/0!</v>
      </c>
      <c r="N7769" s="11" t="e">
        <f t="shared" si="1215"/>
        <v>#N/A</v>
      </c>
      <c r="O7769" s="11" t="e">
        <f t="shared" si="1216"/>
        <v>#N/A</v>
      </c>
      <c r="P7769" s="12" t="e">
        <f t="shared" si="1217"/>
        <v>#N/A</v>
      </c>
      <c r="Q7769" s="17" t="e">
        <f t="shared" si="1219"/>
        <v>#N/A</v>
      </c>
    </row>
    <row r="7770" spans="1:17" x14ac:dyDescent="0.3">
      <c r="A7770" s="34">
        <f>base!J7770</f>
        <v>0</v>
      </c>
      <c r="B7770" s="34">
        <f>base!V7770</f>
        <v>0</v>
      </c>
      <c r="C7770" s="40" t="s">
        <v>11</v>
      </c>
      <c r="D7770" s="36">
        <f>base!H7770</f>
        <v>0</v>
      </c>
      <c r="E7770" s="44"/>
      <c r="F7770" s="16">
        <f>base!W7770</f>
        <v>0</v>
      </c>
      <c r="G7770" s="11" t="e">
        <f t="shared" si="1210"/>
        <v>#DIV/0!</v>
      </c>
      <c r="H7770" s="11" t="e">
        <f t="shared" si="1211"/>
        <v>#N/A</v>
      </c>
      <c r="I7770" s="11" t="e">
        <f t="shared" si="1212"/>
        <v>#N/A</v>
      </c>
      <c r="J7770" s="12" t="e">
        <f t="shared" si="1213"/>
        <v>#N/A</v>
      </c>
      <c r="K7770" s="17" t="e">
        <f t="shared" si="1218"/>
        <v>#N/A</v>
      </c>
      <c r="L7770" s="16">
        <f>base!X7770</f>
        <v>0</v>
      </c>
      <c r="M7770" s="11" t="e">
        <f t="shared" si="1214"/>
        <v>#DIV/0!</v>
      </c>
      <c r="N7770" s="11" t="e">
        <f t="shared" si="1215"/>
        <v>#N/A</v>
      </c>
      <c r="O7770" s="11" t="e">
        <f t="shared" si="1216"/>
        <v>#N/A</v>
      </c>
      <c r="P7770" s="12" t="e">
        <f t="shared" si="1217"/>
        <v>#N/A</v>
      </c>
      <c r="Q7770" s="17" t="e">
        <f t="shared" si="1219"/>
        <v>#N/A</v>
      </c>
    </row>
    <row r="7771" spans="1:17" x14ac:dyDescent="0.3">
      <c r="A7771" s="34">
        <f>base!J7771</f>
        <v>0</v>
      </c>
      <c r="B7771" s="34">
        <f>base!V7771</f>
        <v>0</v>
      </c>
      <c r="C7771" s="40" t="s">
        <v>11</v>
      </c>
      <c r="D7771" s="36">
        <f>base!H7771</f>
        <v>0</v>
      </c>
      <c r="E7771" s="44"/>
      <c r="F7771" s="16">
        <f>base!W7771</f>
        <v>0</v>
      </c>
      <c r="G7771" s="11" t="e">
        <f t="shared" si="1210"/>
        <v>#DIV/0!</v>
      </c>
      <c r="H7771" s="11" t="e">
        <f t="shared" si="1211"/>
        <v>#N/A</v>
      </c>
      <c r="I7771" s="11" t="e">
        <f t="shared" si="1212"/>
        <v>#N/A</v>
      </c>
      <c r="J7771" s="12" t="e">
        <f t="shared" si="1213"/>
        <v>#N/A</v>
      </c>
      <c r="K7771" s="17" t="e">
        <f t="shared" si="1218"/>
        <v>#N/A</v>
      </c>
      <c r="L7771" s="16">
        <f>base!X7771</f>
        <v>0</v>
      </c>
      <c r="M7771" s="11" t="e">
        <f t="shared" si="1214"/>
        <v>#DIV/0!</v>
      </c>
      <c r="N7771" s="11" t="e">
        <f t="shared" si="1215"/>
        <v>#N/A</v>
      </c>
      <c r="O7771" s="11" t="e">
        <f t="shared" si="1216"/>
        <v>#N/A</v>
      </c>
      <c r="P7771" s="12" t="e">
        <f t="shared" si="1217"/>
        <v>#N/A</v>
      </c>
      <c r="Q7771" s="17" t="e">
        <f t="shared" si="1219"/>
        <v>#N/A</v>
      </c>
    </row>
    <row r="7772" spans="1:17" x14ac:dyDescent="0.3">
      <c r="A7772" s="34">
        <f>base!J7772</f>
        <v>0</v>
      </c>
      <c r="B7772" s="34">
        <f>base!V7772</f>
        <v>0</v>
      </c>
      <c r="C7772" s="40" t="s">
        <v>11</v>
      </c>
      <c r="D7772" s="36">
        <f>base!H7772</f>
        <v>0</v>
      </c>
      <c r="E7772" s="44"/>
      <c r="F7772" s="16">
        <f>base!W7772</f>
        <v>0</v>
      </c>
      <c r="G7772" s="11" t="e">
        <f t="shared" si="1210"/>
        <v>#DIV/0!</v>
      </c>
      <c r="H7772" s="11" t="e">
        <f t="shared" si="1211"/>
        <v>#N/A</v>
      </c>
      <c r="I7772" s="11" t="e">
        <f t="shared" si="1212"/>
        <v>#N/A</v>
      </c>
      <c r="J7772" s="12" t="e">
        <f t="shared" si="1213"/>
        <v>#N/A</v>
      </c>
      <c r="K7772" s="17" t="e">
        <f t="shared" si="1218"/>
        <v>#N/A</v>
      </c>
      <c r="L7772" s="16">
        <f>base!X7772</f>
        <v>0</v>
      </c>
      <c r="M7772" s="11" t="e">
        <f t="shared" si="1214"/>
        <v>#DIV/0!</v>
      </c>
      <c r="N7772" s="11" t="e">
        <f t="shared" si="1215"/>
        <v>#N/A</v>
      </c>
      <c r="O7772" s="11" t="e">
        <f t="shared" si="1216"/>
        <v>#N/A</v>
      </c>
      <c r="P7772" s="12" t="e">
        <f t="shared" si="1217"/>
        <v>#N/A</v>
      </c>
      <c r="Q7772" s="17" t="e">
        <f t="shared" si="1219"/>
        <v>#N/A</v>
      </c>
    </row>
    <row r="7773" spans="1:17" x14ac:dyDescent="0.3">
      <c r="A7773" s="34">
        <f>base!J7773</f>
        <v>0</v>
      </c>
      <c r="B7773" s="34">
        <f>base!V7773</f>
        <v>0</v>
      </c>
      <c r="C7773" s="40" t="s">
        <v>11</v>
      </c>
      <c r="D7773" s="36">
        <f>base!H7773</f>
        <v>0</v>
      </c>
      <c r="E7773" s="44"/>
      <c r="F7773" s="16">
        <f>base!W7773</f>
        <v>0</v>
      </c>
      <c r="G7773" s="11" t="e">
        <f t="shared" si="1210"/>
        <v>#DIV/0!</v>
      </c>
      <c r="H7773" s="11" t="e">
        <f t="shared" si="1211"/>
        <v>#N/A</v>
      </c>
      <c r="I7773" s="11" t="e">
        <f t="shared" si="1212"/>
        <v>#N/A</v>
      </c>
      <c r="J7773" s="12" t="e">
        <f t="shared" si="1213"/>
        <v>#N/A</v>
      </c>
      <c r="K7773" s="17" t="e">
        <f t="shared" si="1218"/>
        <v>#N/A</v>
      </c>
      <c r="L7773" s="16">
        <f>base!X7773</f>
        <v>0</v>
      </c>
      <c r="M7773" s="11" t="e">
        <f t="shared" si="1214"/>
        <v>#DIV/0!</v>
      </c>
      <c r="N7773" s="11" t="e">
        <f t="shared" si="1215"/>
        <v>#N/A</v>
      </c>
      <c r="O7773" s="11" t="e">
        <f t="shared" si="1216"/>
        <v>#N/A</v>
      </c>
      <c r="P7773" s="12" t="e">
        <f t="shared" si="1217"/>
        <v>#N/A</v>
      </c>
      <c r="Q7773" s="17" t="e">
        <f t="shared" si="1219"/>
        <v>#N/A</v>
      </c>
    </row>
    <row r="7774" spans="1:17" x14ac:dyDescent="0.3">
      <c r="A7774" s="34">
        <f>base!J7774</f>
        <v>0</v>
      </c>
      <c r="B7774" s="34">
        <f>base!V7774</f>
        <v>0</v>
      </c>
      <c r="C7774" s="40" t="s">
        <v>11</v>
      </c>
      <c r="D7774" s="36">
        <f>base!H7774</f>
        <v>0</v>
      </c>
      <c r="E7774" s="44"/>
      <c r="F7774" s="16">
        <f>base!W7774</f>
        <v>0</v>
      </c>
      <c r="G7774" s="11" t="e">
        <f t="shared" si="1210"/>
        <v>#DIV/0!</v>
      </c>
      <c r="H7774" s="11" t="e">
        <f t="shared" si="1211"/>
        <v>#N/A</v>
      </c>
      <c r="I7774" s="11" t="e">
        <f t="shared" si="1212"/>
        <v>#N/A</v>
      </c>
      <c r="J7774" s="12" t="e">
        <f t="shared" si="1213"/>
        <v>#N/A</v>
      </c>
      <c r="K7774" s="17" t="e">
        <f t="shared" si="1218"/>
        <v>#N/A</v>
      </c>
      <c r="L7774" s="16">
        <f>base!X7774</f>
        <v>0</v>
      </c>
      <c r="M7774" s="11" t="e">
        <f t="shared" si="1214"/>
        <v>#DIV/0!</v>
      </c>
      <c r="N7774" s="11" t="e">
        <f t="shared" si="1215"/>
        <v>#N/A</v>
      </c>
      <c r="O7774" s="11" t="e">
        <f t="shared" si="1216"/>
        <v>#N/A</v>
      </c>
      <c r="P7774" s="12" t="e">
        <f t="shared" si="1217"/>
        <v>#N/A</v>
      </c>
      <c r="Q7774" s="17" t="e">
        <f t="shared" si="1219"/>
        <v>#N/A</v>
      </c>
    </row>
    <row r="7775" spans="1:17" x14ac:dyDescent="0.3">
      <c r="A7775" s="34">
        <f>base!J7775</f>
        <v>0</v>
      </c>
      <c r="B7775" s="34">
        <f>base!V7775</f>
        <v>0</v>
      </c>
      <c r="C7775" s="40" t="s">
        <v>11</v>
      </c>
      <c r="D7775" s="36">
        <f>base!H7775</f>
        <v>0</v>
      </c>
      <c r="E7775" s="44"/>
      <c r="F7775" s="16">
        <f>base!W7775</f>
        <v>0</v>
      </c>
      <c r="G7775" s="11" t="e">
        <f t="shared" si="1210"/>
        <v>#DIV/0!</v>
      </c>
      <c r="H7775" s="11" t="e">
        <f t="shared" si="1211"/>
        <v>#N/A</v>
      </c>
      <c r="I7775" s="11" t="e">
        <f t="shared" si="1212"/>
        <v>#N/A</v>
      </c>
      <c r="J7775" s="12" t="e">
        <f t="shared" si="1213"/>
        <v>#N/A</v>
      </c>
      <c r="K7775" s="17" t="e">
        <f t="shared" si="1218"/>
        <v>#N/A</v>
      </c>
      <c r="L7775" s="16">
        <f>base!X7775</f>
        <v>0</v>
      </c>
      <c r="M7775" s="11" t="e">
        <f t="shared" si="1214"/>
        <v>#DIV/0!</v>
      </c>
      <c r="N7775" s="11" t="e">
        <f t="shared" si="1215"/>
        <v>#N/A</v>
      </c>
      <c r="O7775" s="11" t="e">
        <f t="shared" si="1216"/>
        <v>#N/A</v>
      </c>
      <c r="P7775" s="12" t="e">
        <f t="shared" si="1217"/>
        <v>#N/A</v>
      </c>
      <c r="Q7775" s="17" t="e">
        <f t="shared" si="1219"/>
        <v>#N/A</v>
      </c>
    </row>
    <row r="7776" spans="1:17" x14ac:dyDescent="0.3">
      <c r="A7776" s="34">
        <f>base!J7776</f>
        <v>0</v>
      </c>
      <c r="B7776" s="34">
        <f>base!V7776</f>
        <v>0</v>
      </c>
      <c r="C7776" s="40" t="s">
        <v>11</v>
      </c>
      <c r="D7776" s="36">
        <f>base!H7776</f>
        <v>0</v>
      </c>
      <c r="E7776" s="44"/>
      <c r="F7776" s="16">
        <f>base!W7776</f>
        <v>0</v>
      </c>
      <c r="G7776" s="11" t="e">
        <f t="shared" si="1210"/>
        <v>#DIV/0!</v>
      </c>
      <c r="H7776" s="11" t="e">
        <f t="shared" si="1211"/>
        <v>#N/A</v>
      </c>
      <c r="I7776" s="11" t="e">
        <f t="shared" si="1212"/>
        <v>#N/A</v>
      </c>
      <c r="J7776" s="12" t="e">
        <f t="shared" si="1213"/>
        <v>#N/A</v>
      </c>
      <c r="K7776" s="17" t="e">
        <f t="shared" si="1218"/>
        <v>#N/A</v>
      </c>
      <c r="L7776" s="16">
        <f>base!X7776</f>
        <v>0</v>
      </c>
      <c r="M7776" s="11" t="e">
        <f t="shared" si="1214"/>
        <v>#DIV/0!</v>
      </c>
      <c r="N7776" s="11" t="e">
        <f t="shared" si="1215"/>
        <v>#N/A</v>
      </c>
      <c r="O7776" s="11" t="e">
        <f t="shared" si="1216"/>
        <v>#N/A</v>
      </c>
      <c r="P7776" s="12" t="e">
        <f t="shared" si="1217"/>
        <v>#N/A</v>
      </c>
      <c r="Q7776" s="17" t="e">
        <f t="shared" si="1219"/>
        <v>#N/A</v>
      </c>
    </row>
    <row r="7777" spans="1:17" x14ac:dyDescent="0.3">
      <c r="A7777" s="34">
        <f>base!J7777</f>
        <v>0</v>
      </c>
      <c r="B7777" s="34">
        <f>base!V7777</f>
        <v>0</v>
      </c>
      <c r="C7777" s="40" t="s">
        <v>11</v>
      </c>
      <c r="D7777" s="36">
        <f>base!H7777</f>
        <v>0</v>
      </c>
      <c r="E7777" s="44"/>
      <c r="F7777" s="16">
        <f>base!W7777</f>
        <v>0</v>
      </c>
      <c r="G7777" s="11" t="e">
        <f t="shared" si="1210"/>
        <v>#DIV/0!</v>
      </c>
      <c r="H7777" s="11" t="e">
        <f t="shared" si="1211"/>
        <v>#N/A</v>
      </c>
      <c r="I7777" s="11" t="e">
        <f t="shared" si="1212"/>
        <v>#N/A</v>
      </c>
      <c r="J7777" s="12" t="e">
        <f t="shared" si="1213"/>
        <v>#N/A</v>
      </c>
      <c r="K7777" s="17" t="e">
        <f t="shared" si="1218"/>
        <v>#N/A</v>
      </c>
      <c r="L7777" s="16">
        <f>base!X7777</f>
        <v>0</v>
      </c>
      <c r="M7777" s="11" t="e">
        <f t="shared" si="1214"/>
        <v>#DIV/0!</v>
      </c>
      <c r="N7777" s="11" t="e">
        <f t="shared" si="1215"/>
        <v>#N/A</v>
      </c>
      <c r="O7777" s="11" t="e">
        <f t="shared" si="1216"/>
        <v>#N/A</v>
      </c>
      <c r="P7777" s="12" t="e">
        <f t="shared" si="1217"/>
        <v>#N/A</v>
      </c>
      <c r="Q7777" s="17" t="e">
        <f t="shared" si="1219"/>
        <v>#N/A</v>
      </c>
    </row>
    <row r="7778" spans="1:17" x14ac:dyDescent="0.3">
      <c r="A7778" s="34">
        <f>base!J7778</f>
        <v>0</v>
      </c>
      <c r="B7778" s="34">
        <f>base!V7778</f>
        <v>0</v>
      </c>
      <c r="C7778" s="40" t="s">
        <v>11</v>
      </c>
      <c r="D7778" s="36">
        <f>base!H7778</f>
        <v>0</v>
      </c>
      <c r="E7778" s="44"/>
      <c r="F7778" s="16">
        <f>base!W7778</f>
        <v>0</v>
      </c>
      <c r="G7778" s="11" t="e">
        <f t="shared" si="1210"/>
        <v>#DIV/0!</v>
      </c>
      <c r="H7778" s="11" t="e">
        <f t="shared" si="1211"/>
        <v>#N/A</v>
      </c>
      <c r="I7778" s="11" t="e">
        <f t="shared" si="1212"/>
        <v>#N/A</v>
      </c>
      <c r="J7778" s="12" t="e">
        <f t="shared" si="1213"/>
        <v>#N/A</v>
      </c>
      <c r="K7778" s="17" t="e">
        <f t="shared" si="1218"/>
        <v>#N/A</v>
      </c>
      <c r="L7778" s="16">
        <f>base!X7778</f>
        <v>0</v>
      </c>
      <c r="M7778" s="11" t="e">
        <f t="shared" si="1214"/>
        <v>#DIV/0!</v>
      </c>
      <c r="N7778" s="11" t="e">
        <f t="shared" si="1215"/>
        <v>#N/A</v>
      </c>
      <c r="O7778" s="11" t="e">
        <f t="shared" si="1216"/>
        <v>#N/A</v>
      </c>
      <c r="P7778" s="12" t="e">
        <f t="shared" si="1217"/>
        <v>#N/A</v>
      </c>
      <c r="Q7778" s="17" t="e">
        <f t="shared" si="1219"/>
        <v>#N/A</v>
      </c>
    </row>
    <row r="7779" spans="1:17" x14ac:dyDescent="0.3">
      <c r="A7779" s="34">
        <f>base!J7779</f>
        <v>0</v>
      </c>
      <c r="B7779" s="34">
        <f>base!V7779</f>
        <v>0</v>
      </c>
      <c r="C7779" s="40" t="s">
        <v>11</v>
      </c>
      <c r="D7779" s="36">
        <f>base!H7779</f>
        <v>0</v>
      </c>
      <c r="E7779" s="44"/>
      <c r="F7779" s="16">
        <f>base!W7779</f>
        <v>0</v>
      </c>
      <c r="G7779" s="11" t="e">
        <f t="shared" si="1210"/>
        <v>#DIV/0!</v>
      </c>
      <c r="H7779" s="11" t="e">
        <f t="shared" si="1211"/>
        <v>#N/A</v>
      </c>
      <c r="I7779" s="11" t="e">
        <f t="shared" si="1212"/>
        <v>#N/A</v>
      </c>
      <c r="J7779" s="12" t="e">
        <f t="shared" si="1213"/>
        <v>#N/A</v>
      </c>
      <c r="K7779" s="17" t="e">
        <f t="shared" si="1218"/>
        <v>#N/A</v>
      </c>
      <c r="L7779" s="16">
        <f>base!X7779</f>
        <v>0</v>
      </c>
      <c r="M7779" s="11" t="e">
        <f t="shared" si="1214"/>
        <v>#DIV/0!</v>
      </c>
      <c r="N7779" s="11" t="e">
        <f t="shared" si="1215"/>
        <v>#N/A</v>
      </c>
      <c r="O7779" s="11" t="e">
        <f t="shared" si="1216"/>
        <v>#N/A</v>
      </c>
      <c r="P7779" s="12" t="e">
        <f t="shared" si="1217"/>
        <v>#N/A</v>
      </c>
      <c r="Q7779" s="17" t="e">
        <f t="shared" si="1219"/>
        <v>#N/A</v>
      </c>
    </row>
    <row r="7780" spans="1:17" x14ac:dyDescent="0.3">
      <c r="A7780" s="34">
        <f>base!J7780</f>
        <v>0</v>
      </c>
      <c r="B7780" s="34">
        <f>base!V7780</f>
        <v>0</v>
      </c>
      <c r="C7780" s="40" t="s">
        <v>11</v>
      </c>
      <c r="D7780" s="36">
        <f>base!H7780</f>
        <v>0</v>
      </c>
      <c r="E7780" s="44"/>
      <c r="F7780" s="16">
        <f>base!W7780</f>
        <v>0</v>
      </c>
      <c r="G7780" s="11" t="e">
        <f t="shared" si="1210"/>
        <v>#DIV/0!</v>
      </c>
      <c r="H7780" s="11" t="e">
        <f t="shared" si="1211"/>
        <v>#N/A</v>
      </c>
      <c r="I7780" s="11" t="e">
        <f t="shared" si="1212"/>
        <v>#N/A</v>
      </c>
      <c r="J7780" s="12" t="e">
        <f t="shared" si="1213"/>
        <v>#N/A</v>
      </c>
      <c r="K7780" s="17" t="e">
        <f t="shared" si="1218"/>
        <v>#N/A</v>
      </c>
      <c r="L7780" s="16">
        <f>base!X7780</f>
        <v>0</v>
      </c>
      <c r="M7780" s="11" t="e">
        <f t="shared" si="1214"/>
        <v>#DIV/0!</v>
      </c>
      <c r="N7780" s="11" t="e">
        <f t="shared" si="1215"/>
        <v>#N/A</v>
      </c>
      <c r="O7780" s="11" t="e">
        <f t="shared" si="1216"/>
        <v>#N/A</v>
      </c>
      <c r="P7780" s="12" t="e">
        <f t="shared" si="1217"/>
        <v>#N/A</v>
      </c>
      <c r="Q7780" s="17" t="e">
        <f t="shared" si="1219"/>
        <v>#N/A</v>
      </c>
    </row>
    <row r="7781" spans="1:17" x14ac:dyDescent="0.3">
      <c r="A7781" s="34">
        <f>base!J7781</f>
        <v>0</v>
      </c>
      <c r="B7781" s="34">
        <f>base!V7781</f>
        <v>0</v>
      </c>
      <c r="C7781" s="40" t="s">
        <v>11</v>
      </c>
      <c r="D7781" s="36">
        <f>base!H7781</f>
        <v>0</v>
      </c>
      <c r="E7781" s="44"/>
      <c r="F7781" s="16">
        <f>base!W7781</f>
        <v>0</v>
      </c>
      <c r="G7781" s="11" t="e">
        <f t="shared" si="1210"/>
        <v>#DIV/0!</v>
      </c>
      <c r="H7781" s="11" t="e">
        <f t="shared" si="1211"/>
        <v>#N/A</v>
      </c>
      <c r="I7781" s="11" t="e">
        <f t="shared" si="1212"/>
        <v>#N/A</v>
      </c>
      <c r="J7781" s="12" t="e">
        <f t="shared" si="1213"/>
        <v>#N/A</v>
      </c>
      <c r="K7781" s="17" t="e">
        <f t="shared" si="1218"/>
        <v>#N/A</v>
      </c>
      <c r="L7781" s="16">
        <f>base!X7781</f>
        <v>0</v>
      </c>
      <c r="M7781" s="11" t="e">
        <f t="shared" si="1214"/>
        <v>#DIV/0!</v>
      </c>
      <c r="N7781" s="11" t="e">
        <f t="shared" si="1215"/>
        <v>#N/A</v>
      </c>
      <c r="O7781" s="11" t="e">
        <f t="shared" si="1216"/>
        <v>#N/A</v>
      </c>
      <c r="P7781" s="12" t="e">
        <f t="shared" si="1217"/>
        <v>#N/A</v>
      </c>
      <c r="Q7781" s="17" t="e">
        <f t="shared" si="1219"/>
        <v>#N/A</v>
      </c>
    </row>
    <row r="7782" spans="1:17" x14ac:dyDescent="0.3">
      <c r="A7782" s="34">
        <f>base!J7782</f>
        <v>0</v>
      </c>
      <c r="B7782" s="34">
        <f>base!V7782</f>
        <v>0</v>
      </c>
      <c r="C7782" s="40" t="s">
        <v>11</v>
      </c>
      <c r="D7782" s="36">
        <f>base!H7782</f>
        <v>0</v>
      </c>
      <c r="E7782" s="44"/>
      <c r="F7782" s="16">
        <f>base!W7782</f>
        <v>0</v>
      </c>
      <c r="G7782" s="11" t="e">
        <f t="shared" si="1210"/>
        <v>#DIV/0!</v>
      </c>
      <c r="H7782" s="11" t="e">
        <f t="shared" si="1211"/>
        <v>#N/A</v>
      </c>
      <c r="I7782" s="11" t="e">
        <f t="shared" si="1212"/>
        <v>#N/A</v>
      </c>
      <c r="J7782" s="12" t="e">
        <f t="shared" si="1213"/>
        <v>#N/A</v>
      </c>
      <c r="K7782" s="17" t="e">
        <f t="shared" si="1218"/>
        <v>#N/A</v>
      </c>
      <c r="L7782" s="16">
        <f>base!X7782</f>
        <v>0</v>
      </c>
      <c r="M7782" s="11" t="e">
        <f t="shared" si="1214"/>
        <v>#DIV/0!</v>
      </c>
      <c r="N7782" s="11" t="e">
        <f t="shared" si="1215"/>
        <v>#N/A</v>
      </c>
      <c r="O7782" s="11" t="e">
        <f t="shared" si="1216"/>
        <v>#N/A</v>
      </c>
      <c r="P7782" s="12" t="e">
        <f t="shared" si="1217"/>
        <v>#N/A</v>
      </c>
      <c r="Q7782" s="17" t="e">
        <f t="shared" si="1219"/>
        <v>#N/A</v>
      </c>
    </row>
    <row r="7783" spans="1:17" x14ac:dyDescent="0.3">
      <c r="A7783" s="34">
        <f>base!J7783</f>
        <v>0</v>
      </c>
      <c r="B7783" s="34">
        <f>base!V7783</f>
        <v>0</v>
      </c>
      <c r="C7783" s="40" t="s">
        <v>11</v>
      </c>
      <c r="D7783" s="36">
        <f>base!H7783</f>
        <v>0</v>
      </c>
      <c r="E7783" s="44"/>
      <c r="F7783" s="16">
        <f>base!W7783</f>
        <v>0</v>
      </c>
      <c r="G7783" s="11" t="e">
        <f t="shared" si="1210"/>
        <v>#DIV/0!</v>
      </c>
      <c r="H7783" s="11" t="e">
        <f t="shared" si="1211"/>
        <v>#N/A</v>
      </c>
      <c r="I7783" s="11" t="e">
        <f t="shared" si="1212"/>
        <v>#N/A</v>
      </c>
      <c r="J7783" s="12" t="e">
        <f t="shared" si="1213"/>
        <v>#N/A</v>
      </c>
      <c r="K7783" s="17" t="e">
        <f t="shared" si="1218"/>
        <v>#N/A</v>
      </c>
      <c r="L7783" s="16">
        <f>base!X7783</f>
        <v>0</v>
      </c>
      <c r="M7783" s="11" t="e">
        <f t="shared" si="1214"/>
        <v>#DIV/0!</v>
      </c>
      <c r="N7783" s="11" t="e">
        <f t="shared" si="1215"/>
        <v>#N/A</v>
      </c>
      <c r="O7783" s="11" t="e">
        <f t="shared" si="1216"/>
        <v>#N/A</v>
      </c>
      <c r="P7783" s="12" t="e">
        <f t="shared" si="1217"/>
        <v>#N/A</v>
      </c>
      <c r="Q7783" s="17" t="e">
        <f t="shared" si="1219"/>
        <v>#N/A</v>
      </c>
    </row>
    <row r="7784" spans="1:17" x14ac:dyDescent="0.3">
      <c r="A7784" s="34">
        <f>base!J7784</f>
        <v>0</v>
      </c>
      <c r="B7784" s="34">
        <f>base!V7784</f>
        <v>0</v>
      </c>
      <c r="C7784" s="40" t="s">
        <v>11</v>
      </c>
      <c r="D7784" s="36">
        <f>base!H7784</f>
        <v>0</v>
      </c>
      <c r="E7784" s="44"/>
      <c r="F7784" s="16">
        <f>base!W7784</f>
        <v>0</v>
      </c>
      <c r="G7784" s="11" t="e">
        <f t="shared" si="1210"/>
        <v>#DIV/0!</v>
      </c>
      <c r="H7784" s="11" t="e">
        <f t="shared" si="1211"/>
        <v>#N/A</v>
      </c>
      <c r="I7784" s="11" t="e">
        <f t="shared" si="1212"/>
        <v>#N/A</v>
      </c>
      <c r="J7784" s="12" t="e">
        <f t="shared" si="1213"/>
        <v>#N/A</v>
      </c>
      <c r="K7784" s="17" t="e">
        <f t="shared" si="1218"/>
        <v>#N/A</v>
      </c>
      <c r="L7784" s="16">
        <f>base!X7784</f>
        <v>0</v>
      </c>
      <c r="M7784" s="11" t="e">
        <f t="shared" si="1214"/>
        <v>#DIV/0!</v>
      </c>
      <c r="N7784" s="11" t="e">
        <f t="shared" si="1215"/>
        <v>#N/A</v>
      </c>
      <c r="O7784" s="11" t="e">
        <f t="shared" si="1216"/>
        <v>#N/A</v>
      </c>
      <c r="P7784" s="12" t="e">
        <f t="shared" si="1217"/>
        <v>#N/A</v>
      </c>
      <c r="Q7784" s="17" t="e">
        <f t="shared" si="1219"/>
        <v>#N/A</v>
      </c>
    </row>
    <row r="7785" spans="1:17" x14ac:dyDescent="0.3">
      <c r="A7785" s="34">
        <f>base!J7785</f>
        <v>0</v>
      </c>
      <c r="B7785" s="34">
        <f>base!V7785</f>
        <v>0</v>
      </c>
      <c r="C7785" s="40" t="s">
        <v>11</v>
      </c>
      <c r="D7785" s="36">
        <f>base!H7785</f>
        <v>0</v>
      </c>
      <c r="E7785" s="44"/>
      <c r="F7785" s="16">
        <f>base!W7785</f>
        <v>0</v>
      </c>
      <c r="G7785" s="11" t="e">
        <f t="shared" si="1210"/>
        <v>#DIV/0!</v>
      </c>
      <c r="H7785" s="11" t="e">
        <f t="shared" si="1211"/>
        <v>#N/A</v>
      </c>
      <c r="I7785" s="11" t="e">
        <f t="shared" si="1212"/>
        <v>#N/A</v>
      </c>
      <c r="J7785" s="12" t="e">
        <f t="shared" si="1213"/>
        <v>#N/A</v>
      </c>
      <c r="K7785" s="17" t="e">
        <f t="shared" si="1218"/>
        <v>#N/A</v>
      </c>
      <c r="L7785" s="16">
        <f>base!X7785</f>
        <v>0</v>
      </c>
      <c r="M7785" s="11" t="e">
        <f t="shared" si="1214"/>
        <v>#DIV/0!</v>
      </c>
      <c r="N7785" s="11" t="e">
        <f t="shared" si="1215"/>
        <v>#N/A</v>
      </c>
      <c r="O7785" s="11" t="e">
        <f t="shared" si="1216"/>
        <v>#N/A</v>
      </c>
      <c r="P7785" s="12" t="e">
        <f t="shared" si="1217"/>
        <v>#N/A</v>
      </c>
      <c r="Q7785" s="17" t="e">
        <f t="shared" si="1219"/>
        <v>#N/A</v>
      </c>
    </row>
    <row r="7786" spans="1:17" x14ac:dyDescent="0.3">
      <c r="A7786" s="34">
        <f>base!J7786</f>
        <v>0</v>
      </c>
      <c r="B7786" s="34">
        <f>base!V7786</f>
        <v>0</v>
      </c>
      <c r="C7786" s="40" t="s">
        <v>11</v>
      </c>
      <c r="D7786" s="36">
        <f>base!H7786</f>
        <v>0</v>
      </c>
      <c r="E7786" s="44"/>
      <c r="F7786" s="16">
        <f>base!W7786</f>
        <v>0</v>
      </c>
      <c r="G7786" s="11" t="e">
        <f t="shared" si="1210"/>
        <v>#DIV/0!</v>
      </c>
      <c r="H7786" s="11" t="e">
        <f t="shared" si="1211"/>
        <v>#N/A</v>
      </c>
      <c r="I7786" s="11" t="e">
        <f t="shared" si="1212"/>
        <v>#N/A</v>
      </c>
      <c r="J7786" s="12" t="e">
        <f t="shared" si="1213"/>
        <v>#N/A</v>
      </c>
      <c r="K7786" s="17" t="e">
        <f t="shared" si="1218"/>
        <v>#N/A</v>
      </c>
      <c r="L7786" s="16">
        <f>base!X7786</f>
        <v>0</v>
      </c>
      <c r="M7786" s="11" t="e">
        <f t="shared" si="1214"/>
        <v>#DIV/0!</v>
      </c>
      <c r="N7786" s="11" t="e">
        <f t="shared" si="1215"/>
        <v>#N/A</v>
      </c>
      <c r="O7786" s="11" t="e">
        <f t="shared" si="1216"/>
        <v>#N/A</v>
      </c>
      <c r="P7786" s="12" t="e">
        <f t="shared" si="1217"/>
        <v>#N/A</v>
      </c>
      <c r="Q7786" s="17" t="e">
        <f t="shared" si="1219"/>
        <v>#N/A</v>
      </c>
    </row>
    <row r="7787" spans="1:17" x14ac:dyDescent="0.3">
      <c r="A7787" s="34">
        <f>base!J7787</f>
        <v>0</v>
      </c>
      <c r="B7787" s="34">
        <f>base!V7787</f>
        <v>0</v>
      </c>
      <c r="C7787" s="40" t="s">
        <v>11</v>
      </c>
      <c r="D7787" s="36">
        <f>base!H7787</f>
        <v>0</v>
      </c>
      <c r="E7787" s="44"/>
      <c r="F7787" s="16">
        <f>base!W7787</f>
        <v>0</v>
      </c>
      <c r="G7787" s="11" t="e">
        <f t="shared" si="1210"/>
        <v>#DIV/0!</v>
      </c>
      <c r="H7787" s="11" t="e">
        <f t="shared" si="1211"/>
        <v>#N/A</v>
      </c>
      <c r="I7787" s="11" t="e">
        <f t="shared" si="1212"/>
        <v>#N/A</v>
      </c>
      <c r="J7787" s="12" t="e">
        <f t="shared" si="1213"/>
        <v>#N/A</v>
      </c>
      <c r="K7787" s="17" t="e">
        <f t="shared" si="1218"/>
        <v>#N/A</v>
      </c>
      <c r="L7787" s="16">
        <f>base!X7787</f>
        <v>0</v>
      </c>
      <c r="M7787" s="11" t="e">
        <f t="shared" si="1214"/>
        <v>#DIV/0!</v>
      </c>
      <c r="N7787" s="11" t="e">
        <f t="shared" si="1215"/>
        <v>#N/A</v>
      </c>
      <c r="O7787" s="11" t="e">
        <f t="shared" si="1216"/>
        <v>#N/A</v>
      </c>
      <c r="P7787" s="12" t="e">
        <f t="shared" si="1217"/>
        <v>#N/A</v>
      </c>
      <c r="Q7787" s="17" t="e">
        <f t="shared" si="1219"/>
        <v>#N/A</v>
      </c>
    </row>
    <row r="7788" spans="1:17" x14ac:dyDescent="0.3">
      <c r="A7788" s="34">
        <f>base!J7788</f>
        <v>0</v>
      </c>
      <c r="B7788" s="34">
        <f>base!V7788</f>
        <v>0</v>
      </c>
      <c r="C7788" s="40" t="s">
        <v>11</v>
      </c>
      <c r="D7788" s="36">
        <f>base!H7788</f>
        <v>0</v>
      </c>
      <c r="E7788" s="44"/>
      <c r="F7788" s="16">
        <f>base!W7788</f>
        <v>0</v>
      </c>
      <c r="G7788" s="11" t="e">
        <f t="shared" si="1210"/>
        <v>#DIV/0!</v>
      </c>
      <c r="H7788" s="11" t="e">
        <f t="shared" si="1211"/>
        <v>#N/A</v>
      </c>
      <c r="I7788" s="11" t="e">
        <f t="shared" si="1212"/>
        <v>#N/A</v>
      </c>
      <c r="J7788" s="12" t="e">
        <f t="shared" si="1213"/>
        <v>#N/A</v>
      </c>
      <c r="K7788" s="17" t="e">
        <f t="shared" si="1218"/>
        <v>#N/A</v>
      </c>
      <c r="L7788" s="16">
        <f>base!X7788</f>
        <v>0</v>
      </c>
      <c r="M7788" s="11" t="e">
        <f t="shared" si="1214"/>
        <v>#DIV/0!</v>
      </c>
      <c r="N7788" s="11" t="e">
        <f t="shared" si="1215"/>
        <v>#N/A</v>
      </c>
      <c r="O7788" s="11" t="e">
        <f t="shared" si="1216"/>
        <v>#N/A</v>
      </c>
      <c r="P7788" s="12" t="e">
        <f t="shared" si="1217"/>
        <v>#N/A</v>
      </c>
      <c r="Q7788" s="17" t="e">
        <f t="shared" si="1219"/>
        <v>#N/A</v>
      </c>
    </row>
    <row r="7789" spans="1:17" x14ac:dyDescent="0.3">
      <c r="A7789" s="34">
        <f>base!J7789</f>
        <v>0</v>
      </c>
      <c r="B7789" s="34">
        <f>base!V7789</f>
        <v>0</v>
      </c>
      <c r="C7789" s="40" t="s">
        <v>11</v>
      </c>
      <c r="D7789" s="36">
        <f>base!H7789</f>
        <v>0</v>
      </c>
      <c r="E7789" s="44"/>
      <c r="F7789" s="16">
        <f>base!W7789</f>
        <v>0</v>
      </c>
      <c r="G7789" s="11" t="e">
        <f t="shared" si="1210"/>
        <v>#DIV/0!</v>
      </c>
      <c r="H7789" s="11" t="e">
        <f t="shared" si="1211"/>
        <v>#N/A</v>
      </c>
      <c r="I7789" s="11" t="e">
        <f t="shared" si="1212"/>
        <v>#N/A</v>
      </c>
      <c r="J7789" s="12" t="e">
        <f t="shared" si="1213"/>
        <v>#N/A</v>
      </c>
      <c r="K7789" s="17" t="e">
        <f t="shared" si="1218"/>
        <v>#N/A</v>
      </c>
      <c r="L7789" s="16">
        <f>base!X7789</f>
        <v>0</v>
      </c>
      <c r="M7789" s="11" t="e">
        <f t="shared" si="1214"/>
        <v>#DIV/0!</v>
      </c>
      <c r="N7789" s="11" t="e">
        <f t="shared" si="1215"/>
        <v>#N/A</v>
      </c>
      <c r="O7789" s="11" t="e">
        <f t="shared" si="1216"/>
        <v>#N/A</v>
      </c>
      <c r="P7789" s="12" t="e">
        <f t="shared" si="1217"/>
        <v>#N/A</v>
      </c>
      <c r="Q7789" s="17" t="e">
        <f t="shared" si="1219"/>
        <v>#N/A</v>
      </c>
    </row>
    <row r="7790" spans="1:17" x14ac:dyDescent="0.3">
      <c r="A7790" s="34">
        <f>base!J7790</f>
        <v>0</v>
      </c>
      <c r="B7790" s="34">
        <f>base!V7790</f>
        <v>0</v>
      </c>
      <c r="C7790" s="40" t="s">
        <v>11</v>
      </c>
      <c r="D7790" s="36">
        <f>base!H7790</f>
        <v>0</v>
      </c>
      <c r="E7790" s="44"/>
      <c r="F7790" s="16">
        <f>base!W7790</f>
        <v>0</v>
      </c>
      <c r="G7790" s="11" t="e">
        <f t="shared" si="1210"/>
        <v>#DIV/0!</v>
      </c>
      <c r="H7790" s="11" t="e">
        <f t="shared" si="1211"/>
        <v>#N/A</v>
      </c>
      <c r="I7790" s="11" t="e">
        <f t="shared" si="1212"/>
        <v>#N/A</v>
      </c>
      <c r="J7790" s="12" t="e">
        <f t="shared" si="1213"/>
        <v>#N/A</v>
      </c>
      <c r="K7790" s="17" t="e">
        <f t="shared" si="1218"/>
        <v>#N/A</v>
      </c>
      <c r="L7790" s="16">
        <f>base!X7790</f>
        <v>0</v>
      </c>
      <c r="M7790" s="11" t="e">
        <f t="shared" si="1214"/>
        <v>#DIV/0!</v>
      </c>
      <c r="N7790" s="11" t="e">
        <f t="shared" si="1215"/>
        <v>#N/A</v>
      </c>
      <c r="O7790" s="11" t="e">
        <f t="shared" si="1216"/>
        <v>#N/A</v>
      </c>
      <c r="P7790" s="12" t="e">
        <f t="shared" si="1217"/>
        <v>#N/A</v>
      </c>
      <c r="Q7790" s="17" t="e">
        <f t="shared" si="1219"/>
        <v>#N/A</v>
      </c>
    </row>
    <row r="7791" spans="1:17" x14ac:dyDescent="0.3">
      <c r="A7791" s="34">
        <f>base!J7791</f>
        <v>0</v>
      </c>
      <c r="B7791" s="34">
        <f>base!V7791</f>
        <v>0</v>
      </c>
      <c r="C7791" s="40" t="s">
        <v>11</v>
      </c>
      <c r="D7791" s="36">
        <f>base!H7791</f>
        <v>0</v>
      </c>
      <c r="E7791" s="44"/>
      <c r="F7791" s="16">
        <f>base!W7791</f>
        <v>0</v>
      </c>
      <c r="G7791" s="11" t="e">
        <f t="shared" si="1210"/>
        <v>#DIV/0!</v>
      </c>
      <c r="H7791" s="11" t="e">
        <f t="shared" si="1211"/>
        <v>#N/A</v>
      </c>
      <c r="I7791" s="11" t="e">
        <f t="shared" si="1212"/>
        <v>#N/A</v>
      </c>
      <c r="J7791" s="12" t="e">
        <f t="shared" si="1213"/>
        <v>#N/A</v>
      </c>
      <c r="K7791" s="17" t="e">
        <f t="shared" si="1218"/>
        <v>#N/A</v>
      </c>
      <c r="L7791" s="16">
        <f>base!X7791</f>
        <v>0</v>
      </c>
      <c r="M7791" s="11" t="e">
        <f t="shared" si="1214"/>
        <v>#DIV/0!</v>
      </c>
      <c r="N7791" s="11" t="e">
        <f t="shared" si="1215"/>
        <v>#N/A</v>
      </c>
      <c r="O7791" s="11" t="e">
        <f t="shared" si="1216"/>
        <v>#N/A</v>
      </c>
      <c r="P7791" s="12" t="e">
        <f t="shared" si="1217"/>
        <v>#N/A</v>
      </c>
      <c r="Q7791" s="17" t="e">
        <f t="shared" si="1219"/>
        <v>#N/A</v>
      </c>
    </row>
    <row r="7792" spans="1:17" x14ac:dyDescent="0.3">
      <c r="A7792" s="34">
        <f>base!J7792</f>
        <v>0</v>
      </c>
      <c r="B7792" s="34">
        <f>base!V7792</f>
        <v>0</v>
      </c>
      <c r="C7792" s="40" t="s">
        <v>11</v>
      </c>
      <c r="D7792" s="36">
        <f>base!H7792</f>
        <v>0</v>
      </c>
      <c r="E7792" s="44"/>
      <c r="F7792" s="16">
        <f>base!W7792</f>
        <v>0</v>
      </c>
      <c r="G7792" s="11" t="e">
        <f t="shared" si="1210"/>
        <v>#DIV/0!</v>
      </c>
      <c r="H7792" s="11" t="e">
        <f t="shared" si="1211"/>
        <v>#N/A</v>
      </c>
      <c r="I7792" s="11" t="e">
        <f t="shared" si="1212"/>
        <v>#N/A</v>
      </c>
      <c r="J7792" s="12" t="e">
        <f t="shared" si="1213"/>
        <v>#N/A</v>
      </c>
      <c r="K7792" s="17" t="e">
        <f t="shared" si="1218"/>
        <v>#N/A</v>
      </c>
      <c r="L7792" s="16">
        <f>base!X7792</f>
        <v>0</v>
      </c>
      <c r="M7792" s="11" t="e">
        <f t="shared" si="1214"/>
        <v>#DIV/0!</v>
      </c>
      <c r="N7792" s="11" t="e">
        <f t="shared" si="1215"/>
        <v>#N/A</v>
      </c>
      <c r="O7792" s="11" t="e">
        <f t="shared" si="1216"/>
        <v>#N/A</v>
      </c>
      <c r="P7792" s="12" t="e">
        <f t="shared" si="1217"/>
        <v>#N/A</v>
      </c>
      <c r="Q7792" s="17" t="e">
        <f t="shared" si="1219"/>
        <v>#N/A</v>
      </c>
    </row>
    <row r="7793" spans="1:17" x14ac:dyDescent="0.3">
      <c r="A7793" s="34">
        <f>base!J7793</f>
        <v>0</v>
      </c>
      <c r="B7793" s="34">
        <f>base!V7793</f>
        <v>0</v>
      </c>
      <c r="C7793" s="40" t="s">
        <v>11</v>
      </c>
      <c r="D7793" s="36">
        <f>base!H7793</f>
        <v>0</v>
      </c>
      <c r="E7793" s="44"/>
      <c r="F7793" s="16">
        <f>base!W7793</f>
        <v>0</v>
      </c>
      <c r="G7793" s="11" t="e">
        <f t="shared" si="1210"/>
        <v>#DIV/0!</v>
      </c>
      <c r="H7793" s="11" t="e">
        <f t="shared" si="1211"/>
        <v>#N/A</v>
      </c>
      <c r="I7793" s="11" t="e">
        <f t="shared" si="1212"/>
        <v>#N/A</v>
      </c>
      <c r="J7793" s="12" t="e">
        <f t="shared" si="1213"/>
        <v>#N/A</v>
      </c>
      <c r="K7793" s="17" t="e">
        <f t="shared" si="1218"/>
        <v>#N/A</v>
      </c>
      <c r="L7793" s="16">
        <f>base!X7793</f>
        <v>0</v>
      </c>
      <c r="M7793" s="11" t="e">
        <f t="shared" si="1214"/>
        <v>#DIV/0!</v>
      </c>
      <c r="N7793" s="11" t="e">
        <f t="shared" si="1215"/>
        <v>#N/A</v>
      </c>
      <c r="O7793" s="11" t="e">
        <f t="shared" si="1216"/>
        <v>#N/A</v>
      </c>
      <c r="P7793" s="12" t="e">
        <f t="shared" si="1217"/>
        <v>#N/A</v>
      </c>
      <c r="Q7793" s="17" t="e">
        <f t="shared" si="1219"/>
        <v>#N/A</v>
      </c>
    </row>
    <row r="7794" spans="1:17" x14ac:dyDescent="0.3">
      <c r="A7794" s="34">
        <f>base!J7794</f>
        <v>0</v>
      </c>
      <c r="B7794" s="34">
        <f>base!V7794</f>
        <v>0</v>
      </c>
      <c r="C7794" s="40" t="s">
        <v>11</v>
      </c>
      <c r="D7794" s="36">
        <f>base!H7794</f>
        <v>0</v>
      </c>
      <c r="E7794" s="44"/>
      <c r="F7794" s="16">
        <f>base!W7794</f>
        <v>0</v>
      </c>
      <c r="G7794" s="11" t="e">
        <f t="shared" si="1210"/>
        <v>#DIV/0!</v>
      </c>
      <c r="H7794" s="11" t="e">
        <f t="shared" si="1211"/>
        <v>#N/A</v>
      </c>
      <c r="I7794" s="11" t="e">
        <f t="shared" si="1212"/>
        <v>#N/A</v>
      </c>
      <c r="J7794" s="12" t="e">
        <f t="shared" si="1213"/>
        <v>#N/A</v>
      </c>
      <c r="K7794" s="17" t="e">
        <f t="shared" si="1218"/>
        <v>#N/A</v>
      </c>
      <c r="L7794" s="16">
        <f>base!X7794</f>
        <v>0</v>
      </c>
      <c r="M7794" s="11" t="e">
        <f t="shared" si="1214"/>
        <v>#DIV/0!</v>
      </c>
      <c r="N7794" s="11" t="e">
        <f t="shared" si="1215"/>
        <v>#N/A</v>
      </c>
      <c r="O7794" s="11" t="e">
        <f t="shared" si="1216"/>
        <v>#N/A</v>
      </c>
      <c r="P7794" s="12" t="e">
        <f t="shared" si="1217"/>
        <v>#N/A</v>
      </c>
      <c r="Q7794" s="17" t="e">
        <f t="shared" si="1219"/>
        <v>#N/A</v>
      </c>
    </row>
    <row r="7795" spans="1:17" x14ac:dyDescent="0.3">
      <c r="A7795" s="34">
        <f>base!J7795</f>
        <v>0</v>
      </c>
      <c r="B7795" s="34">
        <f>base!V7795</f>
        <v>0</v>
      </c>
      <c r="C7795" s="40" t="s">
        <v>11</v>
      </c>
      <c r="D7795" s="36">
        <f>base!H7795</f>
        <v>0</v>
      </c>
      <c r="E7795" s="44"/>
      <c r="F7795" s="16">
        <f>base!W7795</f>
        <v>0</v>
      </c>
      <c r="G7795" s="11" t="e">
        <f t="shared" si="1210"/>
        <v>#DIV/0!</v>
      </c>
      <c r="H7795" s="11" t="e">
        <f t="shared" si="1211"/>
        <v>#N/A</v>
      </c>
      <c r="I7795" s="11" t="e">
        <f t="shared" si="1212"/>
        <v>#N/A</v>
      </c>
      <c r="J7795" s="12" t="e">
        <f t="shared" si="1213"/>
        <v>#N/A</v>
      </c>
      <c r="K7795" s="17" t="e">
        <f t="shared" si="1218"/>
        <v>#N/A</v>
      </c>
      <c r="L7795" s="16">
        <f>base!X7795</f>
        <v>0</v>
      </c>
      <c r="M7795" s="11" t="e">
        <f t="shared" si="1214"/>
        <v>#DIV/0!</v>
      </c>
      <c r="N7795" s="11" t="e">
        <f t="shared" si="1215"/>
        <v>#N/A</v>
      </c>
      <c r="O7795" s="11" t="e">
        <f t="shared" si="1216"/>
        <v>#N/A</v>
      </c>
      <c r="P7795" s="12" t="e">
        <f t="shared" si="1217"/>
        <v>#N/A</v>
      </c>
      <c r="Q7795" s="17" t="e">
        <f t="shared" si="1219"/>
        <v>#N/A</v>
      </c>
    </row>
    <row r="7796" spans="1:17" x14ac:dyDescent="0.3">
      <c r="A7796" s="34">
        <f>base!J7796</f>
        <v>0</v>
      </c>
      <c r="B7796" s="34">
        <f>base!V7796</f>
        <v>0</v>
      </c>
      <c r="C7796" s="40" t="s">
        <v>11</v>
      </c>
      <c r="D7796" s="36">
        <f>base!H7796</f>
        <v>0</v>
      </c>
      <c r="E7796" s="44"/>
      <c r="F7796" s="16">
        <f>base!W7796</f>
        <v>0</v>
      </c>
      <c r="G7796" s="11" t="e">
        <f t="shared" si="1210"/>
        <v>#DIV/0!</v>
      </c>
      <c r="H7796" s="11" t="e">
        <f t="shared" si="1211"/>
        <v>#N/A</v>
      </c>
      <c r="I7796" s="11" t="e">
        <f t="shared" si="1212"/>
        <v>#N/A</v>
      </c>
      <c r="J7796" s="12" t="e">
        <f t="shared" si="1213"/>
        <v>#N/A</v>
      </c>
      <c r="K7796" s="17" t="e">
        <f t="shared" si="1218"/>
        <v>#N/A</v>
      </c>
      <c r="L7796" s="16">
        <f>base!X7796</f>
        <v>0</v>
      </c>
      <c r="M7796" s="11" t="e">
        <f t="shared" si="1214"/>
        <v>#DIV/0!</v>
      </c>
      <c r="N7796" s="11" t="e">
        <f t="shared" si="1215"/>
        <v>#N/A</v>
      </c>
      <c r="O7796" s="11" t="e">
        <f t="shared" si="1216"/>
        <v>#N/A</v>
      </c>
      <c r="P7796" s="12" t="e">
        <f t="shared" si="1217"/>
        <v>#N/A</v>
      </c>
      <c r="Q7796" s="17" t="e">
        <f t="shared" si="1219"/>
        <v>#N/A</v>
      </c>
    </row>
    <row r="7797" spans="1:17" x14ac:dyDescent="0.3">
      <c r="A7797" s="34">
        <f>base!J7797</f>
        <v>0</v>
      </c>
      <c r="B7797" s="34">
        <f>base!V7797</f>
        <v>0</v>
      </c>
      <c r="C7797" s="40" t="s">
        <v>11</v>
      </c>
      <c r="D7797" s="36">
        <f>base!H7797</f>
        <v>0</v>
      </c>
      <c r="E7797" s="44"/>
      <c r="F7797" s="16">
        <f>base!W7797</f>
        <v>0</v>
      </c>
      <c r="G7797" s="11" t="e">
        <f t="shared" si="1210"/>
        <v>#DIV/0!</v>
      </c>
      <c r="H7797" s="11" t="e">
        <f t="shared" si="1211"/>
        <v>#N/A</v>
      </c>
      <c r="I7797" s="11" t="e">
        <f t="shared" si="1212"/>
        <v>#N/A</v>
      </c>
      <c r="J7797" s="12" t="e">
        <f t="shared" si="1213"/>
        <v>#N/A</v>
      </c>
      <c r="K7797" s="17" t="e">
        <f t="shared" si="1218"/>
        <v>#N/A</v>
      </c>
      <c r="L7797" s="16">
        <f>base!X7797</f>
        <v>0</v>
      </c>
      <c r="M7797" s="11" t="e">
        <f t="shared" si="1214"/>
        <v>#DIV/0!</v>
      </c>
      <c r="N7797" s="11" t="e">
        <f t="shared" si="1215"/>
        <v>#N/A</v>
      </c>
      <c r="O7797" s="11" t="e">
        <f t="shared" si="1216"/>
        <v>#N/A</v>
      </c>
      <c r="P7797" s="12" t="e">
        <f t="shared" si="1217"/>
        <v>#N/A</v>
      </c>
      <c r="Q7797" s="17" t="e">
        <f t="shared" si="1219"/>
        <v>#N/A</v>
      </c>
    </row>
    <row r="7798" spans="1:17" x14ac:dyDescent="0.3">
      <c r="A7798" s="34">
        <f>base!J7798</f>
        <v>0</v>
      </c>
      <c r="B7798" s="34">
        <f>base!V7798</f>
        <v>0</v>
      </c>
      <c r="C7798" s="40" t="s">
        <v>11</v>
      </c>
      <c r="D7798" s="36">
        <f>base!H7798</f>
        <v>0</v>
      </c>
      <c r="E7798" s="44"/>
      <c r="F7798" s="16">
        <f>base!W7798</f>
        <v>0</v>
      </c>
      <c r="G7798" s="11" t="e">
        <f t="shared" si="1210"/>
        <v>#DIV/0!</v>
      </c>
      <c r="H7798" s="11" t="e">
        <f t="shared" si="1211"/>
        <v>#N/A</v>
      </c>
      <c r="I7798" s="11" t="e">
        <f t="shared" si="1212"/>
        <v>#N/A</v>
      </c>
      <c r="J7798" s="12" t="e">
        <f t="shared" si="1213"/>
        <v>#N/A</v>
      </c>
      <c r="K7798" s="17" t="e">
        <f t="shared" si="1218"/>
        <v>#N/A</v>
      </c>
      <c r="L7798" s="16">
        <f>base!X7798</f>
        <v>0</v>
      </c>
      <c r="M7798" s="11" t="e">
        <f t="shared" si="1214"/>
        <v>#DIV/0!</v>
      </c>
      <c r="N7798" s="11" t="e">
        <f t="shared" si="1215"/>
        <v>#N/A</v>
      </c>
      <c r="O7798" s="11" t="e">
        <f t="shared" si="1216"/>
        <v>#N/A</v>
      </c>
      <c r="P7798" s="12" t="e">
        <f t="shared" si="1217"/>
        <v>#N/A</v>
      </c>
      <c r="Q7798" s="17" t="e">
        <f t="shared" si="1219"/>
        <v>#N/A</v>
      </c>
    </row>
    <row r="7799" spans="1:17" x14ac:dyDescent="0.3">
      <c r="A7799" s="34">
        <f>base!J7799</f>
        <v>0</v>
      </c>
      <c r="B7799" s="34">
        <f>base!V7799</f>
        <v>0</v>
      </c>
      <c r="C7799" s="40" t="s">
        <v>11</v>
      </c>
      <c r="D7799" s="36">
        <f>base!H7799</f>
        <v>0</v>
      </c>
      <c r="E7799" s="44"/>
      <c r="F7799" s="16">
        <f>base!W7799</f>
        <v>0</v>
      </c>
      <c r="G7799" s="11" t="e">
        <f t="shared" si="1210"/>
        <v>#DIV/0!</v>
      </c>
      <c r="H7799" s="11" t="e">
        <f t="shared" si="1211"/>
        <v>#N/A</v>
      </c>
      <c r="I7799" s="11" t="e">
        <f t="shared" si="1212"/>
        <v>#N/A</v>
      </c>
      <c r="J7799" s="12" t="e">
        <f t="shared" si="1213"/>
        <v>#N/A</v>
      </c>
      <c r="K7799" s="17" t="e">
        <f t="shared" si="1218"/>
        <v>#N/A</v>
      </c>
      <c r="L7799" s="16">
        <f>base!X7799</f>
        <v>0</v>
      </c>
      <c r="M7799" s="11" t="e">
        <f t="shared" si="1214"/>
        <v>#DIV/0!</v>
      </c>
      <c r="N7799" s="11" t="e">
        <f t="shared" si="1215"/>
        <v>#N/A</v>
      </c>
      <c r="O7799" s="11" t="e">
        <f t="shared" si="1216"/>
        <v>#N/A</v>
      </c>
      <c r="P7799" s="12" t="e">
        <f t="shared" si="1217"/>
        <v>#N/A</v>
      </c>
      <c r="Q7799" s="17" t="e">
        <f t="shared" si="1219"/>
        <v>#N/A</v>
      </c>
    </row>
    <row r="7800" spans="1:17" x14ac:dyDescent="0.3">
      <c r="A7800" s="34">
        <f>base!J7800</f>
        <v>0</v>
      </c>
      <c r="B7800" s="34">
        <f>base!V7800</f>
        <v>0</v>
      </c>
      <c r="C7800" s="40" t="s">
        <v>11</v>
      </c>
      <c r="D7800" s="36">
        <f>base!H7800</f>
        <v>0</v>
      </c>
      <c r="E7800" s="44"/>
      <c r="F7800" s="16">
        <f>base!W7800</f>
        <v>0</v>
      </c>
      <c r="G7800" s="11" t="e">
        <f t="shared" si="1210"/>
        <v>#DIV/0!</v>
      </c>
      <c r="H7800" s="11" t="e">
        <f t="shared" si="1211"/>
        <v>#N/A</v>
      </c>
      <c r="I7800" s="11" t="e">
        <f t="shared" si="1212"/>
        <v>#N/A</v>
      </c>
      <c r="J7800" s="12" t="e">
        <f t="shared" si="1213"/>
        <v>#N/A</v>
      </c>
      <c r="K7800" s="17" t="e">
        <f t="shared" si="1218"/>
        <v>#N/A</v>
      </c>
      <c r="L7800" s="16">
        <f>base!X7800</f>
        <v>0</v>
      </c>
      <c r="M7800" s="11" t="e">
        <f t="shared" si="1214"/>
        <v>#DIV/0!</v>
      </c>
      <c r="N7800" s="11" t="e">
        <f t="shared" si="1215"/>
        <v>#N/A</v>
      </c>
      <c r="O7800" s="11" t="e">
        <f t="shared" si="1216"/>
        <v>#N/A</v>
      </c>
      <c r="P7800" s="12" t="e">
        <f t="shared" si="1217"/>
        <v>#N/A</v>
      </c>
      <c r="Q7800" s="17" t="e">
        <f t="shared" si="1219"/>
        <v>#N/A</v>
      </c>
    </row>
    <row r="7801" spans="1:17" x14ac:dyDescent="0.3">
      <c r="A7801" s="34">
        <f>base!J7801</f>
        <v>0</v>
      </c>
      <c r="B7801" s="34">
        <f>base!V7801</f>
        <v>0</v>
      </c>
      <c r="C7801" s="40" t="s">
        <v>11</v>
      </c>
      <c r="D7801" s="36">
        <f>base!H7801</f>
        <v>0</v>
      </c>
      <c r="E7801" s="44"/>
      <c r="F7801" s="16">
        <f>base!W7801</f>
        <v>0</v>
      </c>
      <c r="G7801" s="11" t="e">
        <f t="shared" si="1210"/>
        <v>#DIV/0!</v>
      </c>
      <c r="H7801" s="11" t="e">
        <f t="shared" si="1211"/>
        <v>#N/A</v>
      </c>
      <c r="I7801" s="11" t="e">
        <f t="shared" si="1212"/>
        <v>#N/A</v>
      </c>
      <c r="J7801" s="12" t="e">
        <f t="shared" si="1213"/>
        <v>#N/A</v>
      </c>
      <c r="K7801" s="17" t="e">
        <f t="shared" si="1218"/>
        <v>#N/A</v>
      </c>
      <c r="L7801" s="16">
        <f>base!X7801</f>
        <v>0</v>
      </c>
      <c r="M7801" s="11" t="e">
        <f t="shared" si="1214"/>
        <v>#DIV/0!</v>
      </c>
      <c r="N7801" s="11" t="e">
        <f t="shared" si="1215"/>
        <v>#N/A</v>
      </c>
      <c r="O7801" s="11" t="e">
        <f t="shared" si="1216"/>
        <v>#N/A</v>
      </c>
      <c r="P7801" s="12" t="e">
        <f t="shared" si="1217"/>
        <v>#N/A</v>
      </c>
      <c r="Q7801" s="17" t="e">
        <f t="shared" si="1219"/>
        <v>#N/A</v>
      </c>
    </row>
    <row r="7802" spans="1:17" x14ac:dyDescent="0.3">
      <c r="A7802" s="34">
        <f>base!J7802</f>
        <v>0</v>
      </c>
      <c r="B7802" s="34">
        <f>base!V7802</f>
        <v>0</v>
      </c>
      <c r="C7802" s="40" t="s">
        <v>11</v>
      </c>
      <c r="D7802" s="36">
        <f>base!H7802</f>
        <v>0</v>
      </c>
      <c r="E7802" s="44"/>
      <c r="F7802" s="16">
        <f>base!W7802</f>
        <v>0</v>
      </c>
      <c r="G7802" s="11" t="e">
        <f t="shared" si="1210"/>
        <v>#DIV/0!</v>
      </c>
      <c r="H7802" s="11" t="e">
        <f t="shared" si="1211"/>
        <v>#N/A</v>
      </c>
      <c r="I7802" s="11" t="e">
        <f t="shared" si="1212"/>
        <v>#N/A</v>
      </c>
      <c r="J7802" s="12" t="e">
        <f t="shared" si="1213"/>
        <v>#N/A</v>
      </c>
      <c r="K7802" s="17" t="e">
        <f t="shared" si="1218"/>
        <v>#N/A</v>
      </c>
      <c r="L7802" s="16">
        <f>base!X7802</f>
        <v>0</v>
      </c>
      <c r="M7802" s="11" t="e">
        <f t="shared" si="1214"/>
        <v>#DIV/0!</v>
      </c>
      <c r="N7802" s="11" t="e">
        <f t="shared" si="1215"/>
        <v>#N/A</v>
      </c>
      <c r="O7802" s="11" t="e">
        <f t="shared" si="1216"/>
        <v>#N/A</v>
      </c>
      <c r="P7802" s="12" t="e">
        <f t="shared" si="1217"/>
        <v>#N/A</v>
      </c>
      <c r="Q7802" s="17" t="e">
        <f t="shared" si="1219"/>
        <v>#N/A</v>
      </c>
    </row>
    <row r="7803" spans="1:17" x14ac:dyDescent="0.3">
      <c r="A7803" s="34">
        <f>base!J7803</f>
        <v>0</v>
      </c>
      <c r="B7803" s="34">
        <f>base!V7803</f>
        <v>0</v>
      </c>
      <c r="C7803" s="40" t="s">
        <v>11</v>
      </c>
      <c r="D7803" s="36">
        <f>base!H7803</f>
        <v>0</v>
      </c>
      <c r="E7803" s="44"/>
      <c r="F7803" s="16">
        <f>base!W7803</f>
        <v>0</v>
      </c>
      <c r="G7803" s="11" t="e">
        <f t="shared" si="1210"/>
        <v>#DIV/0!</v>
      </c>
      <c r="H7803" s="11" t="e">
        <f t="shared" si="1211"/>
        <v>#N/A</v>
      </c>
      <c r="I7803" s="11" t="e">
        <f t="shared" si="1212"/>
        <v>#N/A</v>
      </c>
      <c r="J7803" s="12" t="e">
        <f t="shared" si="1213"/>
        <v>#N/A</v>
      </c>
      <c r="K7803" s="17" t="e">
        <f t="shared" si="1218"/>
        <v>#N/A</v>
      </c>
      <c r="L7803" s="16">
        <f>base!X7803</f>
        <v>0</v>
      </c>
      <c r="M7803" s="11" t="e">
        <f t="shared" si="1214"/>
        <v>#DIV/0!</v>
      </c>
      <c r="N7803" s="11" t="e">
        <f t="shared" si="1215"/>
        <v>#N/A</v>
      </c>
      <c r="O7803" s="11" t="e">
        <f t="shared" si="1216"/>
        <v>#N/A</v>
      </c>
      <c r="P7803" s="12" t="e">
        <f t="shared" si="1217"/>
        <v>#N/A</v>
      </c>
      <c r="Q7803" s="17" t="e">
        <f t="shared" si="1219"/>
        <v>#N/A</v>
      </c>
    </row>
    <row r="7804" spans="1:17" x14ac:dyDescent="0.3">
      <c r="A7804" s="34">
        <f>base!J7804</f>
        <v>0</v>
      </c>
      <c r="B7804" s="34">
        <f>base!V7804</f>
        <v>0</v>
      </c>
      <c r="C7804" s="40" t="s">
        <v>11</v>
      </c>
      <c r="D7804" s="36">
        <f>base!H7804</f>
        <v>0</v>
      </c>
      <c r="E7804" s="44"/>
      <c r="F7804" s="16">
        <f>base!W7804</f>
        <v>0</v>
      </c>
      <c r="G7804" s="11" t="e">
        <f t="shared" si="1210"/>
        <v>#DIV/0!</v>
      </c>
      <c r="H7804" s="11" t="e">
        <f t="shared" si="1211"/>
        <v>#N/A</v>
      </c>
      <c r="I7804" s="11" t="e">
        <f t="shared" si="1212"/>
        <v>#N/A</v>
      </c>
      <c r="J7804" s="12" t="e">
        <f t="shared" si="1213"/>
        <v>#N/A</v>
      </c>
      <c r="K7804" s="17" t="e">
        <f t="shared" si="1218"/>
        <v>#N/A</v>
      </c>
      <c r="L7804" s="16">
        <f>base!X7804</f>
        <v>0</v>
      </c>
      <c r="M7804" s="11" t="e">
        <f t="shared" si="1214"/>
        <v>#DIV/0!</v>
      </c>
      <c r="N7804" s="11" t="e">
        <f t="shared" si="1215"/>
        <v>#N/A</v>
      </c>
      <c r="O7804" s="11" t="e">
        <f t="shared" si="1216"/>
        <v>#N/A</v>
      </c>
      <c r="P7804" s="12" t="e">
        <f t="shared" si="1217"/>
        <v>#N/A</v>
      </c>
      <c r="Q7804" s="17" t="e">
        <f t="shared" si="1219"/>
        <v>#N/A</v>
      </c>
    </row>
    <row r="7805" spans="1:17" x14ac:dyDescent="0.3">
      <c r="A7805" s="34">
        <f>base!J7805</f>
        <v>0</v>
      </c>
      <c r="B7805" s="34">
        <f>base!V7805</f>
        <v>0</v>
      </c>
      <c r="C7805" s="40" t="s">
        <v>11</v>
      </c>
      <c r="D7805" s="36">
        <f>base!H7805</f>
        <v>0</v>
      </c>
      <c r="E7805" s="44"/>
      <c r="F7805" s="16">
        <f>base!W7805</f>
        <v>0</v>
      </c>
      <c r="G7805" s="11" t="e">
        <f t="shared" si="1210"/>
        <v>#DIV/0!</v>
      </c>
      <c r="H7805" s="11" t="e">
        <f t="shared" si="1211"/>
        <v>#N/A</v>
      </c>
      <c r="I7805" s="11" t="e">
        <f t="shared" si="1212"/>
        <v>#N/A</v>
      </c>
      <c r="J7805" s="12" t="e">
        <f t="shared" si="1213"/>
        <v>#N/A</v>
      </c>
      <c r="K7805" s="17" t="e">
        <f t="shared" si="1218"/>
        <v>#N/A</v>
      </c>
      <c r="L7805" s="16">
        <f>base!X7805</f>
        <v>0</v>
      </c>
      <c r="M7805" s="11" t="e">
        <f t="shared" si="1214"/>
        <v>#DIV/0!</v>
      </c>
      <c r="N7805" s="11" t="e">
        <f t="shared" si="1215"/>
        <v>#N/A</v>
      </c>
      <c r="O7805" s="11" t="e">
        <f t="shared" si="1216"/>
        <v>#N/A</v>
      </c>
      <c r="P7805" s="12" t="e">
        <f t="shared" si="1217"/>
        <v>#N/A</v>
      </c>
      <c r="Q7805" s="17" t="e">
        <f t="shared" si="1219"/>
        <v>#N/A</v>
      </c>
    </row>
    <row r="7806" spans="1:17" x14ac:dyDescent="0.3">
      <c r="A7806" s="34">
        <f>base!J7806</f>
        <v>0</v>
      </c>
      <c r="B7806" s="34">
        <f>base!V7806</f>
        <v>0</v>
      </c>
      <c r="C7806" s="40" t="s">
        <v>11</v>
      </c>
      <c r="D7806" s="36">
        <f>base!H7806</f>
        <v>0</v>
      </c>
      <c r="E7806" s="44"/>
      <c r="F7806" s="16">
        <f>base!W7806</f>
        <v>0</v>
      </c>
      <c r="G7806" s="11" t="e">
        <f t="shared" si="1210"/>
        <v>#DIV/0!</v>
      </c>
      <c r="H7806" s="11" t="e">
        <f t="shared" si="1211"/>
        <v>#N/A</v>
      </c>
      <c r="I7806" s="11" t="e">
        <f t="shared" si="1212"/>
        <v>#N/A</v>
      </c>
      <c r="J7806" s="12" t="e">
        <f t="shared" si="1213"/>
        <v>#N/A</v>
      </c>
      <c r="K7806" s="17" t="e">
        <f t="shared" si="1218"/>
        <v>#N/A</v>
      </c>
      <c r="L7806" s="16">
        <f>base!X7806</f>
        <v>0</v>
      </c>
      <c r="M7806" s="11" t="e">
        <f t="shared" si="1214"/>
        <v>#DIV/0!</v>
      </c>
      <c r="N7806" s="11" t="e">
        <f t="shared" si="1215"/>
        <v>#N/A</v>
      </c>
      <c r="O7806" s="11" t="e">
        <f t="shared" si="1216"/>
        <v>#N/A</v>
      </c>
      <c r="P7806" s="12" t="e">
        <f t="shared" si="1217"/>
        <v>#N/A</v>
      </c>
      <c r="Q7806" s="17" t="e">
        <f t="shared" si="1219"/>
        <v>#N/A</v>
      </c>
    </row>
    <row r="7807" spans="1:17" x14ac:dyDescent="0.3">
      <c r="A7807" s="34">
        <f>base!J7807</f>
        <v>0</v>
      </c>
      <c r="B7807" s="34">
        <f>base!V7807</f>
        <v>0</v>
      </c>
      <c r="C7807" s="40" t="s">
        <v>11</v>
      </c>
      <c r="D7807" s="36">
        <f>base!H7807</f>
        <v>0</v>
      </c>
      <c r="E7807" s="44"/>
      <c r="F7807" s="16">
        <f>base!W7807</f>
        <v>0</v>
      </c>
      <c r="G7807" s="11" t="e">
        <f t="shared" si="1210"/>
        <v>#DIV/0!</v>
      </c>
      <c r="H7807" s="11" t="e">
        <f t="shared" si="1211"/>
        <v>#N/A</v>
      </c>
      <c r="I7807" s="11" t="e">
        <f t="shared" si="1212"/>
        <v>#N/A</v>
      </c>
      <c r="J7807" s="12" t="e">
        <f t="shared" si="1213"/>
        <v>#N/A</v>
      </c>
      <c r="K7807" s="17" t="e">
        <f t="shared" si="1218"/>
        <v>#N/A</v>
      </c>
      <c r="L7807" s="16">
        <f>base!X7807</f>
        <v>0</v>
      </c>
      <c r="M7807" s="11" t="e">
        <f t="shared" si="1214"/>
        <v>#DIV/0!</v>
      </c>
      <c r="N7807" s="11" t="e">
        <f t="shared" si="1215"/>
        <v>#N/A</v>
      </c>
      <c r="O7807" s="11" t="e">
        <f t="shared" si="1216"/>
        <v>#N/A</v>
      </c>
      <c r="P7807" s="12" t="e">
        <f t="shared" si="1217"/>
        <v>#N/A</v>
      </c>
      <c r="Q7807" s="17" t="e">
        <f t="shared" si="1219"/>
        <v>#N/A</v>
      </c>
    </row>
    <row r="7808" spans="1:17" x14ac:dyDescent="0.3">
      <c r="A7808" s="34">
        <f>base!J7808</f>
        <v>0</v>
      </c>
      <c r="B7808" s="34">
        <f>base!V7808</f>
        <v>0</v>
      </c>
      <c r="C7808" s="40" t="s">
        <v>11</v>
      </c>
      <c r="D7808" s="36">
        <f>base!H7808</f>
        <v>0</v>
      </c>
      <c r="E7808" s="44"/>
      <c r="F7808" s="16">
        <f>base!W7808</f>
        <v>0</v>
      </c>
      <c r="G7808" s="11" t="e">
        <f t="shared" si="1210"/>
        <v>#DIV/0!</v>
      </c>
      <c r="H7808" s="11" t="e">
        <f t="shared" si="1211"/>
        <v>#N/A</v>
      </c>
      <c r="I7808" s="11" t="e">
        <f t="shared" si="1212"/>
        <v>#N/A</v>
      </c>
      <c r="J7808" s="12" t="e">
        <f t="shared" si="1213"/>
        <v>#N/A</v>
      </c>
      <c r="K7808" s="17" t="e">
        <f t="shared" si="1218"/>
        <v>#N/A</v>
      </c>
      <c r="L7808" s="16">
        <f>base!X7808</f>
        <v>0</v>
      </c>
      <c r="M7808" s="11" t="e">
        <f t="shared" si="1214"/>
        <v>#DIV/0!</v>
      </c>
      <c r="N7808" s="11" t="e">
        <f t="shared" si="1215"/>
        <v>#N/A</v>
      </c>
      <c r="O7808" s="11" t="e">
        <f t="shared" si="1216"/>
        <v>#N/A</v>
      </c>
      <c r="P7808" s="12" t="e">
        <f t="shared" si="1217"/>
        <v>#N/A</v>
      </c>
      <c r="Q7808" s="17" t="e">
        <f t="shared" si="1219"/>
        <v>#N/A</v>
      </c>
    </row>
    <row r="7809" spans="1:17" x14ac:dyDescent="0.3">
      <c r="A7809" s="34">
        <f>base!J7809</f>
        <v>0</v>
      </c>
      <c r="B7809" s="34">
        <f>base!V7809</f>
        <v>0</v>
      </c>
      <c r="C7809" s="40" t="s">
        <v>11</v>
      </c>
      <c r="D7809" s="36">
        <f>base!H7809</f>
        <v>0</v>
      </c>
      <c r="E7809" s="44"/>
      <c r="F7809" s="16">
        <f>base!W7809</f>
        <v>0</v>
      </c>
      <c r="G7809" s="11" t="e">
        <f t="shared" si="1210"/>
        <v>#DIV/0!</v>
      </c>
      <c r="H7809" s="11" t="e">
        <f t="shared" si="1211"/>
        <v>#N/A</v>
      </c>
      <c r="I7809" s="11" t="e">
        <f t="shared" si="1212"/>
        <v>#N/A</v>
      </c>
      <c r="J7809" s="12" t="e">
        <f t="shared" si="1213"/>
        <v>#N/A</v>
      </c>
      <c r="K7809" s="17" t="e">
        <f t="shared" si="1218"/>
        <v>#N/A</v>
      </c>
      <c r="L7809" s="16">
        <f>base!X7809</f>
        <v>0</v>
      </c>
      <c r="M7809" s="11" t="e">
        <f t="shared" si="1214"/>
        <v>#DIV/0!</v>
      </c>
      <c r="N7809" s="11" t="e">
        <f t="shared" si="1215"/>
        <v>#N/A</v>
      </c>
      <c r="O7809" s="11" t="e">
        <f t="shared" si="1216"/>
        <v>#N/A</v>
      </c>
      <c r="P7809" s="12" t="e">
        <f t="shared" si="1217"/>
        <v>#N/A</v>
      </c>
      <c r="Q7809" s="17" t="e">
        <f t="shared" si="1219"/>
        <v>#N/A</v>
      </c>
    </row>
    <row r="7810" spans="1:17" x14ac:dyDescent="0.3">
      <c r="A7810" s="34">
        <f>base!J7810</f>
        <v>0</v>
      </c>
      <c r="B7810" s="34">
        <f>base!V7810</f>
        <v>0</v>
      </c>
      <c r="C7810" s="40" t="s">
        <v>11</v>
      </c>
      <c r="D7810" s="36">
        <f>base!H7810</f>
        <v>0</v>
      </c>
      <c r="E7810" s="44"/>
      <c r="F7810" s="16">
        <f>base!W7810</f>
        <v>0</v>
      </c>
      <c r="G7810" s="11" t="e">
        <f t="shared" ref="G7810:G7873" si="1220">F7810/D7810</f>
        <v>#DIV/0!</v>
      </c>
      <c r="H7810" s="11" t="e">
        <f t="shared" ref="H7810:H7873" si="1221">VLOOKUP(C7810,tout_cout_traction,2,FALSE)*D7810</f>
        <v>#N/A</v>
      </c>
      <c r="I7810" s="11" t="e">
        <f t="shared" ref="I7810:I7873" si="1222">H7810/D7810</f>
        <v>#N/A</v>
      </c>
      <c r="J7810" s="12" t="e">
        <f t="shared" ref="J7810:J7873" si="1223">F7810-H7810</f>
        <v>#N/A</v>
      </c>
      <c r="K7810" s="17" t="e">
        <f t="shared" si="1218"/>
        <v>#N/A</v>
      </c>
      <c r="L7810" s="16">
        <f>base!X7810</f>
        <v>0</v>
      </c>
      <c r="M7810" s="11" t="e">
        <f t="shared" ref="M7810:M7873" si="1224">L7810/D7810</f>
        <v>#DIV/0!</v>
      </c>
      <c r="N7810" s="11" t="e">
        <f t="shared" ref="N7810:N7873" si="1225">VLOOKUP(C7810,tout_cout_traction,3,FALSE)*D7810</f>
        <v>#N/A</v>
      </c>
      <c r="O7810" s="11" t="e">
        <f t="shared" ref="O7810:O7873" si="1226">N7810/D7810</f>
        <v>#N/A</v>
      </c>
      <c r="P7810" s="12" t="e">
        <f t="shared" ref="P7810:P7873" si="1227">L7810-N7810</f>
        <v>#N/A</v>
      </c>
      <c r="Q7810" s="17" t="e">
        <f t="shared" si="1219"/>
        <v>#N/A</v>
      </c>
    </row>
    <row r="7811" spans="1:17" x14ac:dyDescent="0.3">
      <c r="A7811" s="34">
        <f>base!J7811</f>
        <v>0</v>
      </c>
      <c r="B7811" s="34">
        <f>base!V7811</f>
        <v>0</v>
      </c>
      <c r="C7811" s="40" t="s">
        <v>11</v>
      </c>
      <c r="D7811" s="36">
        <f>base!H7811</f>
        <v>0</v>
      </c>
      <c r="E7811" s="44"/>
      <c r="F7811" s="16">
        <f>base!W7811</f>
        <v>0</v>
      </c>
      <c r="G7811" s="11" t="e">
        <f t="shared" si="1220"/>
        <v>#DIV/0!</v>
      </c>
      <c r="H7811" s="11" t="e">
        <f t="shared" si="1221"/>
        <v>#N/A</v>
      </c>
      <c r="I7811" s="11" t="e">
        <f t="shared" si="1222"/>
        <v>#N/A</v>
      </c>
      <c r="J7811" s="12" t="e">
        <f t="shared" si="1223"/>
        <v>#N/A</v>
      </c>
      <c r="K7811" s="17" t="e">
        <f t="shared" ref="K7811:K7874" si="1228">IF(H7811=F7811,"Pas d'écart",IF(H7811&lt;F7811,"Ecart positif",IF(H7811&gt;F7811,"Ecart négatif")))</f>
        <v>#N/A</v>
      </c>
      <c r="L7811" s="16">
        <f>base!X7811</f>
        <v>0</v>
      </c>
      <c r="M7811" s="11" t="e">
        <f t="shared" si="1224"/>
        <v>#DIV/0!</v>
      </c>
      <c r="N7811" s="11" t="e">
        <f t="shared" si="1225"/>
        <v>#N/A</v>
      </c>
      <c r="O7811" s="11" t="e">
        <f t="shared" si="1226"/>
        <v>#N/A</v>
      </c>
      <c r="P7811" s="12" t="e">
        <f t="shared" si="1227"/>
        <v>#N/A</v>
      </c>
      <c r="Q7811" s="17" t="e">
        <f t="shared" ref="Q7811:Q7874" si="1229">IF(N7811=L7811,"Pas d'écart",IF(N7811&lt;L7811,"Ecart positif",IF(N7811&gt;L7811,"Ecart négatif")))</f>
        <v>#N/A</v>
      </c>
    </row>
    <row r="7812" spans="1:17" x14ac:dyDescent="0.3">
      <c r="A7812" s="34">
        <f>base!J7812</f>
        <v>0</v>
      </c>
      <c r="B7812" s="34">
        <f>base!V7812</f>
        <v>0</v>
      </c>
      <c r="C7812" s="40" t="s">
        <v>11</v>
      </c>
      <c r="D7812" s="36">
        <f>base!H7812</f>
        <v>0</v>
      </c>
      <c r="E7812" s="44"/>
      <c r="F7812" s="16">
        <f>base!W7812</f>
        <v>0</v>
      </c>
      <c r="G7812" s="11" t="e">
        <f t="shared" si="1220"/>
        <v>#DIV/0!</v>
      </c>
      <c r="H7812" s="11" t="e">
        <f t="shared" si="1221"/>
        <v>#N/A</v>
      </c>
      <c r="I7812" s="11" t="e">
        <f t="shared" si="1222"/>
        <v>#N/A</v>
      </c>
      <c r="J7812" s="12" t="e">
        <f t="shared" si="1223"/>
        <v>#N/A</v>
      </c>
      <c r="K7812" s="17" t="e">
        <f t="shared" si="1228"/>
        <v>#N/A</v>
      </c>
      <c r="L7812" s="16">
        <f>base!X7812</f>
        <v>0</v>
      </c>
      <c r="M7812" s="11" t="e">
        <f t="shared" si="1224"/>
        <v>#DIV/0!</v>
      </c>
      <c r="N7812" s="11" t="e">
        <f t="shared" si="1225"/>
        <v>#N/A</v>
      </c>
      <c r="O7812" s="11" t="e">
        <f t="shared" si="1226"/>
        <v>#N/A</v>
      </c>
      <c r="P7812" s="12" t="e">
        <f t="shared" si="1227"/>
        <v>#N/A</v>
      </c>
      <c r="Q7812" s="17" t="e">
        <f t="shared" si="1229"/>
        <v>#N/A</v>
      </c>
    </row>
    <row r="7813" spans="1:17" x14ac:dyDescent="0.3">
      <c r="A7813" s="34">
        <f>base!J7813</f>
        <v>0</v>
      </c>
      <c r="B7813" s="34">
        <f>base!V7813</f>
        <v>0</v>
      </c>
      <c r="C7813" s="40" t="s">
        <v>11</v>
      </c>
      <c r="D7813" s="36">
        <f>base!H7813</f>
        <v>0</v>
      </c>
      <c r="E7813" s="44"/>
      <c r="F7813" s="16">
        <f>base!W7813</f>
        <v>0</v>
      </c>
      <c r="G7813" s="11" t="e">
        <f t="shared" si="1220"/>
        <v>#DIV/0!</v>
      </c>
      <c r="H7813" s="11" t="e">
        <f t="shared" si="1221"/>
        <v>#N/A</v>
      </c>
      <c r="I7813" s="11" t="e">
        <f t="shared" si="1222"/>
        <v>#N/A</v>
      </c>
      <c r="J7813" s="12" t="e">
        <f t="shared" si="1223"/>
        <v>#N/A</v>
      </c>
      <c r="K7813" s="17" t="e">
        <f t="shared" si="1228"/>
        <v>#N/A</v>
      </c>
      <c r="L7813" s="16">
        <f>base!X7813</f>
        <v>0</v>
      </c>
      <c r="M7813" s="11" t="e">
        <f t="shared" si="1224"/>
        <v>#DIV/0!</v>
      </c>
      <c r="N7813" s="11" t="e">
        <f t="shared" si="1225"/>
        <v>#N/A</v>
      </c>
      <c r="O7813" s="11" t="e">
        <f t="shared" si="1226"/>
        <v>#N/A</v>
      </c>
      <c r="P7813" s="12" t="e">
        <f t="shared" si="1227"/>
        <v>#N/A</v>
      </c>
      <c r="Q7813" s="17" t="e">
        <f t="shared" si="1229"/>
        <v>#N/A</v>
      </c>
    </row>
    <row r="7814" spans="1:17" x14ac:dyDescent="0.3">
      <c r="A7814" s="34">
        <f>base!J7814</f>
        <v>0</v>
      </c>
      <c r="B7814" s="34">
        <f>base!V7814</f>
        <v>0</v>
      </c>
      <c r="C7814" s="40" t="s">
        <v>11</v>
      </c>
      <c r="D7814" s="36">
        <f>base!H7814</f>
        <v>0</v>
      </c>
      <c r="E7814" s="44"/>
      <c r="F7814" s="16">
        <f>base!W7814</f>
        <v>0</v>
      </c>
      <c r="G7814" s="11" t="e">
        <f t="shared" si="1220"/>
        <v>#DIV/0!</v>
      </c>
      <c r="H7814" s="11" t="e">
        <f t="shared" si="1221"/>
        <v>#N/A</v>
      </c>
      <c r="I7814" s="11" t="e">
        <f t="shared" si="1222"/>
        <v>#N/A</v>
      </c>
      <c r="J7814" s="12" t="e">
        <f t="shared" si="1223"/>
        <v>#N/A</v>
      </c>
      <c r="K7814" s="17" t="e">
        <f t="shared" si="1228"/>
        <v>#N/A</v>
      </c>
      <c r="L7814" s="16">
        <f>base!X7814</f>
        <v>0</v>
      </c>
      <c r="M7814" s="11" t="e">
        <f t="shared" si="1224"/>
        <v>#DIV/0!</v>
      </c>
      <c r="N7814" s="11" t="e">
        <f t="shared" si="1225"/>
        <v>#N/A</v>
      </c>
      <c r="O7814" s="11" t="e">
        <f t="shared" si="1226"/>
        <v>#N/A</v>
      </c>
      <c r="P7814" s="12" t="e">
        <f t="shared" si="1227"/>
        <v>#N/A</v>
      </c>
      <c r="Q7814" s="17" t="e">
        <f t="shared" si="1229"/>
        <v>#N/A</v>
      </c>
    </row>
    <row r="7815" spans="1:17" x14ac:dyDescent="0.3">
      <c r="A7815" s="34">
        <f>base!J7815</f>
        <v>0</v>
      </c>
      <c r="B7815" s="34">
        <f>base!V7815</f>
        <v>0</v>
      </c>
      <c r="C7815" s="40" t="s">
        <v>11</v>
      </c>
      <c r="D7815" s="36">
        <f>base!H7815</f>
        <v>0</v>
      </c>
      <c r="E7815" s="44"/>
      <c r="F7815" s="16">
        <f>base!W7815</f>
        <v>0</v>
      </c>
      <c r="G7815" s="11" t="e">
        <f t="shared" si="1220"/>
        <v>#DIV/0!</v>
      </c>
      <c r="H7815" s="11" t="e">
        <f t="shared" si="1221"/>
        <v>#N/A</v>
      </c>
      <c r="I7815" s="11" t="e">
        <f t="shared" si="1222"/>
        <v>#N/A</v>
      </c>
      <c r="J7815" s="12" t="e">
        <f t="shared" si="1223"/>
        <v>#N/A</v>
      </c>
      <c r="K7815" s="17" t="e">
        <f t="shared" si="1228"/>
        <v>#N/A</v>
      </c>
      <c r="L7815" s="16">
        <f>base!X7815</f>
        <v>0</v>
      </c>
      <c r="M7815" s="11" t="e">
        <f t="shared" si="1224"/>
        <v>#DIV/0!</v>
      </c>
      <c r="N7815" s="11" t="e">
        <f t="shared" si="1225"/>
        <v>#N/A</v>
      </c>
      <c r="O7815" s="11" t="e">
        <f t="shared" si="1226"/>
        <v>#N/A</v>
      </c>
      <c r="P7815" s="12" t="e">
        <f t="shared" si="1227"/>
        <v>#N/A</v>
      </c>
      <c r="Q7815" s="17" t="e">
        <f t="shared" si="1229"/>
        <v>#N/A</v>
      </c>
    </row>
    <row r="7816" spans="1:17" x14ac:dyDescent="0.3">
      <c r="A7816" s="34">
        <f>base!J7816</f>
        <v>0</v>
      </c>
      <c r="B7816" s="34">
        <f>base!V7816</f>
        <v>0</v>
      </c>
      <c r="C7816" s="40" t="s">
        <v>11</v>
      </c>
      <c r="D7816" s="36">
        <f>base!H7816</f>
        <v>0</v>
      </c>
      <c r="E7816" s="44"/>
      <c r="F7816" s="16">
        <f>base!W7816</f>
        <v>0</v>
      </c>
      <c r="G7816" s="11" t="e">
        <f t="shared" si="1220"/>
        <v>#DIV/0!</v>
      </c>
      <c r="H7816" s="11" t="e">
        <f t="shared" si="1221"/>
        <v>#N/A</v>
      </c>
      <c r="I7816" s="11" t="e">
        <f t="shared" si="1222"/>
        <v>#N/A</v>
      </c>
      <c r="J7816" s="12" t="e">
        <f t="shared" si="1223"/>
        <v>#N/A</v>
      </c>
      <c r="K7816" s="17" t="e">
        <f t="shared" si="1228"/>
        <v>#N/A</v>
      </c>
      <c r="L7816" s="16">
        <f>base!X7816</f>
        <v>0</v>
      </c>
      <c r="M7816" s="11" t="e">
        <f t="shared" si="1224"/>
        <v>#DIV/0!</v>
      </c>
      <c r="N7816" s="11" t="e">
        <f t="shared" si="1225"/>
        <v>#N/A</v>
      </c>
      <c r="O7816" s="11" t="e">
        <f t="shared" si="1226"/>
        <v>#N/A</v>
      </c>
      <c r="P7816" s="12" t="e">
        <f t="shared" si="1227"/>
        <v>#N/A</v>
      </c>
      <c r="Q7816" s="17" t="e">
        <f t="shared" si="1229"/>
        <v>#N/A</v>
      </c>
    </row>
    <row r="7817" spans="1:17" x14ac:dyDescent="0.3">
      <c r="A7817" s="34">
        <f>base!J7817</f>
        <v>0</v>
      </c>
      <c r="B7817" s="34">
        <f>base!V7817</f>
        <v>0</v>
      </c>
      <c r="C7817" s="40" t="s">
        <v>11</v>
      </c>
      <c r="D7817" s="36">
        <f>base!H7817</f>
        <v>0</v>
      </c>
      <c r="E7817" s="44"/>
      <c r="F7817" s="16">
        <f>base!W7817</f>
        <v>0</v>
      </c>
      <c r="G7817" s="11" t="e">
        <f t="shared" si="1220"/>
        <v>#DIV/0!</v>
      </c>
      <c r="H7817" s="11" t="e">
        <f t="shared" si="1221"/>
        <v>#N/A</v>
      </c>
      <c r="I7817" s="11" t="e">
        <f t="shared" si="1222"/>
        <v>#N/A</v>
      </c>
      <c r="J7817" s="12" t="e">
        <f t="shared" si="1223"/>
        <v>#N/A</v>
      </c>
      <c r="K7817" s="17" t="e">
        <f t="shared" si="1228"/>
        <v>#N/A</v>
      </c>
      <c r="L7817" s="16">
        <f>base!X7817</f>
        <v>0</v>
      </c>
      <c r="M7817" s="11" t="e">
        <f t="shared" si="1224"/>
        <v>#DIV/0!</v>
      </c>
      <c r="N7817" s="11" t="e">
        <f t="shared" si="1225"/>
        <v>#N/A</v>
      </c>
      <c r="O7817" s="11" t="e">
        <f t="shared" si="1226"/>
        <v>#N/A</v>
      </c>
      <c r="P7817" s="12" t="e">
        <f t="shared" si="1227"/>
        <v>#N/A</v>
      </c>
      <c r="Q7817" s="17" t="e">
        <f t="shared" si="1229"/>
        <v>#N/A</v>
      </c>
    </row>
    <row r="7818" spans="1:17" x14ac:dyDescent="0.3">
      <c r="A7818" s="34">
        <f>base!J7818</f>
        <v>0</v>
      </c>
      <c r="B7818" s="34">
        <f>base!V7818</f>
        <v>0</v>
      </c>
      <c r="C7818" s="40" t="s">
        <v>11</v>
      </c>
      <c r="D7818" s="36">
        <f>base!H7818</f>
        <v>0</v>
      </c>
      <c r="E7818" s="44"/>
      <c r="F7818" s="16">
        <f>base!W7818</f>
        <v>0</v>
      </c>
      <c r="G7818" s="11" t="e">
        <f t="shared" si="1220"/>
        <v>#DIV/0!</v>
      </c>
      <c r="H7818" s="11" t="e">
        <f t="shared" si="1221"/>
        <v>#N/A</v>
      </c>
      <c r="I7818" s="11" t="e">
        <f t="shared" si="1222"/>
        <v>#N/A</v>
      </c>
      <c r="J7818" s="12" t="e">
        <f t="shared" si="1223"/>
        <v>#N/A</v>
      </c>
      <c r="K7818" s="17" t="e">
        <f t="shared" si="1228"/>
        <v>#N/A</v>
      </c>
      <c r="L7818" s="16">
        <f>base!X7818</f>
        <v>0</v>
      </c>
      <c r="M7818" s="11" t="e">
        <f t="shared" si="1224"/>
        <v>#DIV/0!</v>
      </c>
      <c r="N7818" s="11" t="e">
        <f t="shared" si="1225"/>
        <v>#N/A</v>
      </c>
      <c r="O7818" s="11" t="e">
        <f t="shared" si="1226"/>
        <v>#N/A</v>
      </c>
      <c r="P7818" s="12" t="e">
        <f t="shared" si="1227"/>
        <v>#N/A</v>
      </c>
      <c r="Q7818" s="17" t="e">
        <f t="shared" si="1229"/>
        <v>#N/A</v>
      </c>
    </row>
    <row r="7819" spans="1:17" x14ac:dyDescent="0.3">
      <c r="A7819" s="34">
        <f>base!J7819</f>
        <v>0</v>
      </c>
      <c r="B7819" s="34">
        <f>base!V7819</f>
        <v>0</v>
      </c>
      <c r="C7819" s="40" t="s">
        <v>11</v>
      </c>
      <c r="D7819" s="36">
        <f>base!H7819</f>
        <v>0</v>
      </c>
      <c r="E7819" s="44"/>
      <c r="F7819" s="16">
        <f>base!W7819</f>
        <v>0</v>
      </c>
      <c r="G7819" s="11" t="e">
        <f t="shared" si="1220"/>
        <v>#DIV/0!</v>
      </c>
      <c r="H7819" s="11" t="e">
        <f t="shared" si="1221"/>
        <v>#N/A</v>
      </c>
      <c r="I7819" s="11" t="e">
        <f t="shared" si="1222"/>
        <v>#N/A</v>
      </c>
      <c r="J7819" s="12" t="e">
        <f t="shared" si="1223"/>
        <v>#N/A</v>
      </c>
      <c r="K7819" s="17" t="e">
        <f t="shared" si="1228"/>
        <v>#N/A</v>
      </c>
      <c r="L7819" s="16">
        <f>base!X7819</f>
        <v>0</v>
      </c>
      <c r="M7819" s="11" t="e">
        <f t="shared" si="1224"/>
        <v>#DIV/0!</v>
      </c>
      <c r="N7819" s="11" t="e">
        <f t="shared" si="1225"/>
        <v>#N/A</v>
      </c>
      <c r="O7819" s="11" t="e">
        <f t="shared" si="1226"/>
        <v>#N/A</v>
      </c>
      <c r="P7819" s="12" t="e">
        <f t="shared" si="1227"/>
        <v>#N/A</v>
      </c>
      <c r="Q7819" s="17" t="e">
        <f t="shared" si="1229"/>
        <v>#N/A</v>
      </c>
    </row>
    <row r="7820" spans="1:17" x14ac:dyDescent="0.3">
      <c r="A7820" s="34">
        <f>base!J7820</f>
        <v>0</v>
      </c>
      <c r="B7820" s="34">
        <f>base!V7820</f>
        <v>0</v>
      </c>
      <c r="C7820" s="40" t="s">
        <v>11</v>
      </c>
      <c r="D7820" s="36">
        <f>base!H7820</f>
        <v>0</v>
      </c>
      <c r="E7820" s="44"/>
      <c r="F7820" s="16">
        <f>base!W7820</f>
        <v>0</v>
      </c>
      <c r="G7820" s="11" t="e">
        <f t="shared" si="1220"/>
        <v>#DIV/0!</v>
      </c>
      <c r="H7820" s="11" t="e">
        <f t="shared" si="1221"/>
        <v>#N/A</v>
      </c>
      <c r="I7820" s="11" t="e">
        <f t="shared" si="1222"/>
        <v>#N/A</v>
      </c>
      <c r="J7820" s="12" t="e">
        <f t="shared" si="1223"/>
        <v>#N/A</v>
      </c>
      <c r="K7820" s="17" t="e">
        <f t="shared" si="1228"/>
        <v>#N/A</v>
      </c>
      <c r="L7820" s="16">
        <f>base!X7820</f>
        <v>0</v>
      </c>
      <c r="M7820" s="11" t="e">
        <f t="shared" si="1224"/>
        <v>#DIV/0!</v>
      </c>
      <c r="N7820" s="11" t="e">
        <f t="shared" si="1225"/>
        <v>#N/A</v>
      </c>
      <c r="O7820" s="11" t="e">
        <f t="shared" si="1226"/>
        <v>#N/A</v>
      </c>
      <c r="P7820" s="12" t="e">
        <f t="shared" si="1227"/>
        <v>#N/A</v>
      </c>
      <c r="Q7820" s="17" t="e">
        <f t="shared" si="1229"/>
        <v>#N/A</v>
      </c>
    </row>
    <row r="7821" spans="1:17" x14ac:dyDescent="0.3">
      <c r="A7821" s="34">
        <f>base!J7821</f>
        <v>0</v>
      </c>
      <c r="B7821" s="34">
        <f>base!V7821</f>
        <v>0</v>
      </c>
      <c r="C7821" s="40" t="s">
        <v>11</v>
      </c>
      <c r="D7821" s="36">
        <f>base!H7821</f>
        <v>0</v>
      </c>
      <c r="E7821" s="44"/>
      <c r="F7821" s="16">
        <f>base!W7821</f>
        <v>0</v>
      </c>
      <c r="G7821" s="11" t="e">
        <f t="shared" si="1220"/>
        <v>#DIV/0!</v>
      </c>
      <c r="H7821" s="11" t="e">
        <f t="shared" si="1221"/>
        <v>#N/A</v>
      </c>
      <c r="I7821" s="11" t="e">
        <f t="shared" si="1222"/>
        <v>#N/A</v>
      </c>
      <c r="J7821" s="12" t="e">
        <f t="shared" si="1223"/>
        <v>#N/A</v>
      </c>
      <c r="K7821" s="17" t="e">
        <f t="shared" si="1228"/>
        <v>#N/A</v>
      </c>
      <c r="L7821" s="16">
        <f>base!X7821</f>
        <v>0</v>
      </c>
      <c r="M7821" s="11" t="e">
        <f t="shared" si="1224"/>
        <v>#DIV/0!</v>
      </c>
      <c r="N7821" s="11" t="e">
        <f t="shared" si="1225"/>
        <v>#N/A</v>
      </c>
      <c r="O7821" s="11" t="e">
        <f t="shared" si="1226"/>
        <v>#N/A</v>
      </c>
      <c r="P7821" s="12" t="e">
        <f t="shared" si="1227"/>
        <v>#N/A</v>
      </c>
      <c r="Q7821" s="17" t="e">
        <f t="shared" si="1229"/>
        <v>#N/A</v>
      </c>
    </row>
    <row r="7822" spans="1:17" x14ac:dyDescent="0.3">
      <c r="A7822" s="34">
        <f>base!J7822</f>
        <v>0</v>
      </c>
      <c r="B7822" s="34">
        <f>base!V7822</f>
        <v>0</v>
      </c>
      <c r="C7822" s="40" t="s">
        <v>11</v>
      </c>
      <c r="D7822" s="36">
        <f>base!H7822</f>
        <v>0</v>
      </c>
      <c r="E7822" s="44"/>
      <c r="F7822" s="16">
        <f>base!W7822</f>
        <v>0</v>
      </c>
      <c r="G7822" s="11" t="e">
        <f t="shared" si="1220"/>
        <v>#DIV/0!</v>
      </c>
      <c r="H7822" s="11" t="e">
        <f t="shared" si="1221"/>
        <v>#N/A</v>
      </c>
      <c r="I7822" s="11" t="e">
        <f t="shared" si="1222"/>
        <v>#N/A</v>
      </c>
      <c r="J7822" s="12" t="e">
        <f t="shared" si="1223"/>
        <v>#N/A</v>
      </c>
      <c r="K7822" s="17" t="e">
        <f t="shared" si="1228"/>
        <v>#N/A</v>
      </c>
      <c r="L7822" s="16">
        <f>base!X7822</f>
        <v>0</v>
      </c>
      <c r="M7822" s="11" t="e">
        <f t="shared" si="1224"/>
        <v>#DIV/0!</v>
      </c>
      <c r="N7822" s="11" t="e">
        <f t="shared" si="1225"/>
        <v>#N/A</v>
      </c>
      <c r="O7822" s="11" t="e">
        <f t="shared" si="1226"/>
        <v>#N/A</v>
      </c>
      <c r="P7822" s="12" t="e">
        <f t="shared" si="1227"/>
        <v>#N/A</v>
      </c>
      <c r="Q7822" s="17" t="e">
        <f t="shared" si="1229"/>
        <v>#N/A</v>
      </c>
    </row>
    <row r="7823" spans="1:17" x14ac:dyDescent="0.3">
      <c r="A7823" s="34">
        <f>base!J7823</f>
        <v>0</v>
      </c>
      <c r="B7823" s="34">
        <f>base!V7823</f>
        <v>0</v>
      </c>
      <c r="C7823" s="40" t="s">
        <v>11</v>
      </c>
      <c r="D7823" s="36">
        <f>base!H7823</f>
        <v>0</v>
      </c>
      <c r="E7823" s="44"/>
      <c r="F7823" s="16">
        <f>base!W7823</f>
        <v>0</v>
      </c>
      <c r="G7823" s="11" t="e">
        <f t="shared" si="1220"/>
        <v>#DIV/0!</v>
      </c>
      <c r="H7823" s="11" t="e">
        <f t="shared" si="1221"/>
        <v>#N/A</v>
      </c>
      <c r="I7823" s="11" t="e">
        <f t="shared" si="1222"/>
        <v>#N/A</v>
      </c>
      <c r="J7823" s="12" t="e">
        <f t="shared" si="1223"/>
        <v>#N/A</v>
      </c>
      <c r="K7823" s="17" t="e">
        <f t="shared" si="1228"/>
        <v>#N/A</v>
      </c>
      <c r="L7823" s="16">
        <f>base!X7823</f>
        <v>0</v>
      </c>
      <c r="M7823" s="11" t="e">
        <f t="shared" si="1224"/>
        <v>#DIV/0!</v>
      </c>
      <c r="N7823" s="11" t="e">
        <f t="shared" si="1225"/>
        <v>#N/A</v>
      </c>
      <c r="O7823" s="11" t="e">
        <f t="shared" si="1226"/>
        <v>#N/A</v>
      </c>
      <c r="P7823" s="12" t="e">
        <f t="shared" si="1227"/>
        <v>#N/A</v>
      </c>
      <c r="Q7823" s="17" t="e">
        <f t="shared" si="1229"/>
        <v>#N/A</v>
      </c>
    </row>
    <row r="7824" spans="1:17" x14ac:dyDescent="0.3">
      <c r="A7824" s="34">
        <f>base!J7824</f>
        <v>0</v>
      </c>
      <c r="B7824" s="34">
        <f>base!V7824</f>
        <v>0</v>
      </c>
      <c r="C7824" s="40" t="s">
        <v>11</v>
      </c>
      <c r="D7824" s="36">
        <f>base!H7824</f>
        <v>0</v>
      </c>
      <c r="E7824" s="44"/>
      <c r="F7824" s="16">
        <f>base!W7824</f>
        <v>0</v>
      </c>
      <c r="G7824" s="11" t="e">
        <f t="shared" si="1220"/>
        <v>#DIV/0!</v>
      </c>
      <c r="H7824" s="11" t="e">
        <f t="shared" si="1221"/>
        <v>#N/A</v>
      </c>
      <c r="I7824" s="11" t="e">
        <f t="shared" si="1222"/>
        <v>#N/A</v>
      </c>
      <c r="J7824" s="12" t="e">
        <f t="shared" si="1223"/>
        <v>#N/A</v>
      </c>
      <c r="K7824" s="17" t="e">
        <f t="shared" si="1228"/>
        <v>#N/A</v>
      </c>
      <c r="L7824" s="16">
        <f>base!X7824</f>
        <v>0</v>
      </c>
      <c r="M7824" s="11" t="e">
        <f t="shared" si="1224"/>
        <v>#DIV/0!</v>
      </c>
      <c r="N7824" s="11" t="e">
        <f t="shared" si="1225"/>
        <v>#N/A</v>
      </c>
      <c r="O7824" s="11" t="e">
        <f t="shared" si="1226"/>
        <v>#N/A</v>
      </c>
      <c r="P7824" s="12" t="e">
        <f t="shared" si="1227"/>
        <v>#N/A</v>
      </c>
      <c r="Q7824" s="17" t="e">
        <f t="shared" si="1229"/>
        <v>#N/A</v>
      </c>
    </row>
    <row r="7825" spans="1:17" x14ac:dyDescent="0.3">
      <c r="A7825" s="34">
        <f>base!J7825</f>
        <v>0</v>
      </c>
      <c r="B7825" s="34">
        <f>base!V7825</f>
        <v>0</v>
      </c>
      <c r="C7825" s="40" t="s">
        <v>11</v>
      </c>
      <c r="D7825" s="36">
        <f>base!H7825</f>
        <v>0</v>
      </c>
      <c r="E7825" s="44"/>
      <c r="F7825" s="16">
        <f>base!W7825</f>
        <v>0</v>
      </c>
      <c r="G7825" s="11" t="e">
        <f t="shared" si="1220"/>
        <v>#DIV/0!</v>
      </c>
      <c r="H7825" s="11" t="e">
        <f t="shared" si="1221"/>
        <v>#N/A</v>
      </c>
      <c r="I7825" s="11" t="e">
        <f t="shared" si="1222"/>
        <v>#N/A</v>
      </c>
      <c r="J7825" s="12" t="e">
        <f t="shared" si="1223"/>
        <v>#N/A</v>
      </c>
      <c r="K7825" s="17" t="e">
        <f t="shared" si="1228"/>
        <v>#N/A</v>
      </c>
      <c r="L7825" s="16">
        <f>base!X7825</f>
        <v>0</v>
      </c>
      <c r="M7825" s="11" t="e">
        <f t="shared" si="1224"/>
        <v>#DIV/0!</v>
      </c>
      <c r="N7825" s="11" t="e">
        <f t="shared" si="1225"/>
        <v>#N/A</v>
      </c>
      <c r="O7825" s="11" t="e">
        <f t="shared" si="1226"/>
        <v>#N/A</v>
      </c>
      <c r="P7825" s="12" t="e">
        <f t="shared" si="1227"/>
        <v>#N/A</v>
      </c>
      <c r="Q7825" s="17" t="e">
        <f t="shared" si="1229"/>
        <v>#N/A</v>
      </c>
    </row>
    <row r="7826" spans="1:17" x14ac:dyDescent="0.3">
      <c r="A7826" s="34">
        <f>base!J7826</f>
        <v>0</v>
      </c>
      <c r="B7826" s="34">
        <f>base!V7826</f>
        <v>0</v>
      </c>
      <c r="C7826" s="40" t="s">
        <v>11</v>
      </c>
      <c r="D7826" s="36">
        <f>base!H7826</f>
        <v>0</v>
      </c>
      <c r="E7826" s="44"/>
      <c r="F7826" s="16">
        <f>base!W7826</f>
        <v>0</v>
      </c>
      <c r="G7826" s="11" t="e">
        <f t="shared" si="1220"/>
        <v>#DIV/0!</v>
      </c>
      <c r="H7826" s="11" t="e">
        <f t="shared" si="1221"/>
        <v>#N/A</v>
      </c>
      <c r="I7826" s="11" t="e">
        <f t="shared" si="1222"/>
        <v>#N/A</v>
      </c>
      <c r="J7826" s="12" t="e">
        <f t="shared" si="1223"/>
        <v>#N/A</v>
      </c>
      <c r="K7826" s="17" t="e">
        <f t="shared" si="1228"/>
        <v>#N/A</v>
      </c>
      <c r="L7826" s="16">
        <f>base!X7826</f>
        <v>0</v>
      </c>
      <c r="M7826" s="11" t="e">
        <f t="shared" si="1224"/>
        <v>#DIV/0!</v>
      </c>
      <c r="N7826" s="11" t="e">
        <f t="shared" si="1225"/>
        <v>#N/A</v>
      </c>
      <c r="O7826" s="11" t="e">
        <f t="shared" si="1226"/>
        <v>#N/A</v>
      </c>
      <c r="P7826" s="12" t="e">
        <f t="shared" si="1227"/>
        <v>#N/A</v>
      </c>
      <c r="Q7826" s="17" t="e">
        <f t="shared" si="1229"/>
        <v>#N/A</v>
      </c>
    </row>
    <row r="7827" spans="1:17" x14ac:dyDescent="0.3">
      <c r="A7827" s="34">
        <f>base!J7827</f>
        <v>0</v>
      </c>
      <c r="B7827" s="34">
        <f>base!V7827</f>
        <v>0</v>
      </c>
      <c r="C7827" s="40" t="s">
        <v>11</v>
      </c>
      <c r="D7827" s="36">
        <f>base!H7827</f>
        <v>0</v>
      </c>
      <c r="E7827" s="44"/>
      <c r="F7827" s="16">
        <f>base!W7827</f>
        <v>0</v>
      </c>
      <c r="G7827" s="11" t="e">
        <f t="shared" si="1220"/>
        <v>#DIV/0!</v>
      </c>
      <c r="H7827" s="11" t="e">
        <f t="shared" si="1221"/>
        <v>#N/A</v>
      </c>
      <c r="I7827" s="11" t="e">
        <f t="shared" si="1222"/>
        <v>#N/A</v>
      </c>
      <c r="J7827" s="12" t="e">
        <f t="shared" si="1223"/>
        <v>#N/A</v>
      </c>
      <c r="K7827" s="17" t="e">
        <f t="shared" si="1228"/>
        <v>#N/A</v>
      </c>
      <c r="L7827" s="16">
        <f>base!X7827</f>
        <v>0</v>
      </c>
      <c r="M7827" s="11" t="e">
        <f t="shared" si="1224"/>
        <v>#DIV/0!</v>
      </c>
      <c r="N7827" s="11" t="e">
        <f t="shared" si="1225"/>
        <v>#N/A</v>
      </c>
      <c r="O7827" s="11" t="e">
        <f t="shared" si="1226"/>
        <v>#N/A</v>
      </c>
      <c r="P7827" s="12" t="e">
        <f t="shared" si="1227"/>
        <v>#N/A</v>
      </c>
      <c r="Q7827" s="17" t="e">
        <f t="shared" si="1229"/>
        <v>#N/A</v>
      </c>
    </row>
    <row r="7828" spans="1:17" x14ac:dyDescent="0.3">
      <c r="A7828" s="34">
        <f>base!J7828</f>
        <v>0</v>
      </c>
      <c r="B7828" s="34">
        <f>base!V7828</f>
        <v>0</v>
      </c>
      <c r="C7828" s="40" t="s">
        <v>11</v>
      </c>
      <c r="D7828" s="36">
        <f>base!H7828</f>
        <v>0</v>
      </c>
      <c r="E7828" s="44"/>
      <c r="F7828" s="16">
        <f>base!W7828</f>
        <v>0</v>
      </c>
      <c r="G7828" s="11" t="e">
        <f t="shared" si="1220"/>
        <v>#DIV/0!</v>
      </c>
      <c r="H7828" s="11" t="e">
        <f t="shared" si="1221"/>
        <v>#N/A</v>
      </c>
      <c r="I7828" s="11" t="e">
        <f t="shared" si="1222"/>
        <v>#N/A</v>
      </c>
      <c r="J7828" s="12" t="e">
        <f t="shared" si="1223"/>
        <v>#N/A</v>
      </c>
      <c r="K7828" s="17" t="e">
        <f t="shared" si="1228"/>
        <v>#N/A</v>
      </c>
      <c r="L7828" s="16">
        <f>base!X7828</f>
        <v>0</v>
      </c>
      <c r="M7828" s="11" t="e">
        <f t="shared" si="1224"/>
        <v>#DIV/0!</v>
      </c>
      <c r="N7828" s="11" t="e">
        <f t="shared" si="1225"/>
        <v>#N/A</v>
      </c>
      <c r="O7828" s="11" t="e">
        <f t="shared" si="1226"/>
        <v>#N/A</v>
      </c>
      <c r="P7828" s="12" t="e">
        <f t="shared" si="1227"/>
        <v>#N/A</v>
      </c>
      <c r="Q7828" s="17" t="e">
        <f t="shared" si="1229"/>
        <v>#N/A</v>
      </c>
    </row>
    <row r="7829" spans="1:17" x14ac:dyDescent="0.3">
      <c r="A7829" s="34">
        <f>base!J7829</f>
        <v>0</v>
      </c>
      <c r="B7829" s="34">
        <f>base!V7829</f>
        <v>0</v>
      </c>
      <c r="C7829" s="40" t="s">
        <v>11</v>
      </c>
      <c r="D7829" s="36">
        <f>base!H7829</f>
        <v>0</v>
      </c>
      <c r="E7829" s="44"/>
      <c r="F7829" s="16">
        <f>base!W7829</f>
        <v>0</v>
      </c>
      <c r="G7829" s="11" t="e">
        <f t="shared" si="1220"/>
        <v>#DIV/0!</v>
      </c>
      <c r="H7829" s="11" t="e">
        <f t="shared" si="1221"/>
        <v>#N/A</v>
      </c>
      <c r="I7829" s="11" t="e">
        <f t="shared" si="1222"/>
        <v>#N/A</v>
      </c>
      <c r="J7829" s="12" t="e">
        <f t="shared" si="1223"/>
        <v>#N/A</v>
      </c>
      <c r="K7829" s="17" t="e">
        <f t="shared" si="1228"/>
        <v>#N/A</v>
      </c>
      <c r="L7829" s="16">
        <f>base!X7829</f>
        <v>0</v>
      </c>
      <c r="M7829" s="11" t="e">
        <f t="shared" si="1224"/>
        <v>#DIV/0!</v>
      </c>
      <c r="N7829" s="11" t="e">
        <f t="shared" si="1225"/>
        <v>#N/A</v>
      </c>
      <c r="O7829" s="11" t="e">
        <f t="shared" si="1226"/>
        <v>#N/A</v>
      </c>
      <c r="P7829" s="12" t="e">
        <f t="shared" si="1227"/>
        <v>#N/A</v>
      </c>
      <c r="Q7829" s="17" t="e">
        <f t="shared" si="1229"/>
        <v>#N/A</v>
      </c>
    </row>
    <row r="7830" spans="1:17" x14ac:dyDescent="0.3">
      <c r="A7830" s="34">
        <f>base!J7830</f>
        <v>0</v>
      </c>
      <c r="B7830" s="34">
        <f>base!V7830</f>
        <v>0</v>
      </c>
      <c r="C7830" s="40" t="s">
        <v>11</v>
      </c>
      <c r="D7830" s="36">
        <f>base!H7830</f>
        <v>0</v>
      </c>
      <c r="E7830" s="44"/>
      <c r="F7830" s="16">
        <f>base!W7830</f>
        <v>0</v>
      </c>
      <c r="G7830" s="11" t="e">
        <f t="shared" si="1220"/>
        <v>#DIV/0!</v>
      </c>
      <c r="H7830" s="11" t="e">
        <f t="shared" si="1221"/>
        <v>#N/A</v>
      </c>
      <c r="I7830" s="11" t="e">
        <f t="shared" si="1222"/>
        <v>#N/A</v>
      </c>
      <c r="J7830" s="12" t="e">
        <f t="shared" si="1223"/>
        <v>#N/A</v>
      </c>
      <c r="K7830" s="17" t="e">
        <f t="shared" si="1228"/>
        <v>#N/A</v>
      </c>
      <c r="L7830" s="16">
        <f>base!X7830</f>
        <v>0</v>
      </c>
      <c r="M7830" s="11" t="e">
        <f t="shared" si="1224"/>
        <v>#DIV/0!</v>
      </c>
      <c r="N7830" s="11" t="e">
        <f t="shared" si="1225"/>
        <v>#N/A</v>
      </c>
      <c r="O7830" s="11" t="e">
        <f t="shared" si="1226"/>
        <v>#N/A</v>
      </c>
      <c r="P7830" s="12" t="e">
        <f t="shared" si="1227"/>
        <v>#N/A</v>
      </c>
      <c r="Q7830" s="17" t="e">
        <f t="shared" si="1229"/>
        <v>#N/A</v>
      </c>
    </row>
    <row r="7831" spans="1:17" x14ac:dyDescent="0.3">
      <c r="A7831" s="34">
        <f>base!J7831</f>
        <v>0</v>
      </c>
      <c r="B7831" s="34">
        <f>base!V7831</f>
        <v>0</v>
      </c>
      <c r="C7831" s="40" t="s">
        <v>11</v>
      </c>
      <c r="D7831" s="36">
        <f>base!H7831</f>
        <v>0</v>
      </c>
      <c r="E7831" s="44"/>
      <c r="F7831" s="16">
        <f>base!W7831</f>
        <v>0</v>
      </c>
      <c r="G7831" s="11" t="e">
        <f t="shared" si="1220"/>
        <v>#DIV/0!</v>
      </c>
      <c r="H7831" s="11" t="e">
        <f t="shared" si="1221"/>
        <v>#N/A</v>
      </c>
      <c r="I7831" s="11" t="e">
        <f t="shared" si="1222"/>
        <v>#N/A</v>
      </c>
      <c r="J7831" s="12" t="e">
        <f t="shared" si="1223"/>
        <v>#N/A</v>
      </c>
      <c r="K7831" s="17" t="e">
        <f t="shared" si="1228"/>
        <v>#N/A</v>
      </c>
      <c r="L7831" s="16">
        <f>base!X7831</f>
        <v>0</v>
      </c>
      <c r="M7831" s="11" t="e">
        <f t="shared" si="1224"/>
        <v>#DIV/0!</v>
      </c>
      <c r="N7831" s="11" t="e">
        <f t="shared" si="1225"/>
        <v>#N/A</v>
      </c>
      <c r="O7831" s="11" t="e">
        <f t="shared" si="1226"/>
        <v>#N/A</v>
      </c>
      <c r="P7831" s="12" t="e">
        <f t="shared" si="1227"/>
        <v>#N/A</v>
      </c>
      <c r="Q7831" s="17" t="e">
        <f t="shared" si="1229"/>
        <v>#N/A</v>
      </c>
    </row>
    <row r="7832" spans="1:17" x14ac:dyDescent="0.3">
      <c r="A7832" s="34">
        <f>base!J7832</f>
        <v>0</v>
      </c>
      <c r="B7832" s="34">
        <f>base!V7832</f>
        <v>0</v>
      </c>
      <c r="C7832" s="40" t="s">
        <v>11</v>
      </c>
      <c r="D7832" s="36">
        <f>base!H7832</f>
        <v>0</v>
      </c>
      <c r="E7832" s="44"/>
      <c r="F7832" s="16">
        <f>base!W7832</f>
        <v>0</v>
      </c>
      <c r="G7832" s="11" t="e">
        <f t="shared" si="1220"/>
        <v>#DIV/0!</v>
      </c>
      <c r="H7832" s="11" t="e">
        <f t="shared" si="1221"/>
        <v>#N/A</v>
      </c>
      <c r="I7832" s="11" t="e">
        <f t="shared" si="1222"/>
        <v>#N/A</v>
      </c>
      <c r="J7832" s="12" t="e">
        <f t="shared" si="1223"/>
        <v>#N/A</v>
      </c>
      <c r="K7832" s="17" t="e">
        <f t="shared" si="1228"/>
        <v>#N/A</v>
      </c>
      <c r="L7832" s="16">
        <f>base!X7832</f>
        <v>0</v>
      </c>
      <c r="M7832" s="11" t="e">
        <f t="shared" si="1224"/>
        <v>#DIV/0!</v>
      </c>
      <c r="N7832" s="11" t="e">
        <f t="shared" si="1225"/>
        <v>#N/A</v>
      </c>
      <c r="O7832" s="11" t="e">
        <f t="shared" si="1226"/>
        <v>#N/A</v>
      </c>
      <c r="P7832" s="12" t="e">
        <f t="shared" si="1227"/>
        <v>#N/A</v>
      </c>
      <c r="Q7832" s="17" t="e">
        <f t="shared" si="1229"/>
        <v>#N/A</v>
      </c>
    </row>
    <row r="7833" spans="1:17" x14ac:dyDescent="0.3">
      <c r="A7833" s="34">
        <f>base!J7833</f>
        <v>0</v>
      </c>
      <c r="B7833" s="34">
        <f>base!V7833</f>
        <v>0</v>
      </c>
      <c r="C7833" s="40" t="s">
        <v>11</v>
      </c>
      <c r="D7833" s="36">
        <f>base!H7833</f>
        <v>0</v>
      </c>
      <c r="E7833" s="44"/>
      <c r="F7833" s="16">
        <f>base!W7833</f>
        <v>0</v>
      </c>
      <c r="G7833" s="11" t="e">
        <f t="shared" si="1220"/>
        <v>#DIV/0!</v>
      </c>
      <c r="H7833" s="11" t="e">
        <f t="shared" si="1221"/>
        <v>#N/A</v>
      </c>
      <c r="I7833" s="11" t="e">
        <f t="shared" si="1222"/>
        <v>#N/A</v>
      </c>
      <c r="J7833" s="12" t="e">
        <f t="shared" si="1223"/>
        <v>#N/A</v>
      </c>
      <c r="K7833" s="17" t="e">
        <f t="shared" si="1228"/>
        <v>#N/A</v>
      </c>
      <c r="L7833" s="16">
        <f>base!X7833</f>
        <v>0</v>
      </c>
      <c r="M7833" s="11" t="e">
        <f t="shared" si="1224"/>
        <v>#DIV/0!</v>
      </c>
      <c r="N7833" s="11" t="e">
        <f t="shared" si="1225"/>
        <v>#N/A</v>
      </c>
      <c r="O7833" s="11" t="e">
        <f t="shared" si="1226"/>
        <v>#N/A</v>
      </c>
      <c r="P7833" s="12" t="e">
        <f t="shared" si="1227"/>
        <v>#N/A</v>
      </c>
      <c r="Q7833" s="17" t="e">
        <f t="shared" si="1229"/>
        <v>#N/A</v>
      </c>
    </row>
    <row r="7834" spans="1:17" x14ac:dyDescent="0.3">
      <c r="A7834" s="34">
        <f>base!J7834</f>
        <v>0</v>
      </c>
      <c r="B7834" s="34">
        <f>base!V7834</f>
        <v>0</v>
      </c>
      <c r="C7834" s="40" t="s">
        <v>11</v>
      </c>
      <c r="D7834" s="36">
        <f>base!H7834</f>
        <v>0</v>
      </c>
      <c r="E7834" s="44"/>
      <c r="F7834" s="16">
        <f>base!W7834</f>
        <v>0</v>
      </c>
      <c r="G7834" s="11" t="e">
        <f t="shared" si="1220"/>
        <v>#DIV/0!</v>
      </c>
      <c r="H7834" s="11" t="e">
        <f t="shared" si="1221"/>
        <v>#N/A</v>
      </c>
      <c r="I7834" s="11" t="e">
        <f t="shared" si="1222"/>
        <v>#N/A</v>
      </c>
      <c r="J7834" s="12" t="e">
        <f t="shared" si="1223"/>
        <v>#N/A</v>
      </c>
      <c r="K7834" s="17" t="e">
        <f t="shared" si="1228"/>
        <v>#N/A</v>
      </c>
      <c r="L7834" s="16">
        <f>base!X7834</f>
        <v>0</v>
      </c>
      <c r="M7834" s="11" t="e">
        <f t="shared" si="1224"/>
        <v>#DIV/0!</v>
      </c>
      <c r="N7834" s="11" t="e">
        <f t="shared" si="1225"/>
        <v>#N/A</v>
      </c>
      <c r="O7834" s="11" t="e">
        <f t="shared" si="1226"/>
        <v>#N/A</v>
      </c>
      <c r="P7834" s="12" t="e">
        <f t="shared" si="1227"/>
        <v>#N/A</v>
      </c>
      <c r="Q7834" s="17" t="e">
        <f t="shared" si="1229"/>
        <v>#N/A</v>
      </c>
    </row>
    <row r="7835" spans="1:17" x14ac:dyDescent="0.3">
      <c r="A7835" s="34">
        <f>base!J7835</f>
        <v>0</v>
      </c>
      <c r="B7835" s="34">
        <f>base!V7835</f>
        <v>0</v>
      </c>
      <c r="C7835" s="40" t="s">
        <v>11</v>
      </c>
      <c r="D7835" s="36">
        <f>base!H7835</f>
        <v>0</v>
      </c>
      <c r="E7835" s="44"/>
      <c r="F7835" s="16">
        <f>base!W7835</f>
        <v>0</v>
      </c>
      <c r="G7835" s="11" t="e">
        <f t="shared" si="1220"/>
        <v>#DIV/0!</v>
      </c>
      <c r="H7835" s="11" t="e">
        <f t="shared" si="1221"/>
        <v>#N/A</v>
      </c>
      <c r="I7835" s="11" t="e">
        <f t="shared" si="1222"/>
        <v>#N/A</v>
      </c>
      <c r="J7835" s="12" t="e">
        <f t="shared" si="1223"/>
        <v>#N/A</v>
      </c>
      <c r="K7835" s="17" t="e">
        <f t="shared" si="1228"/>
        <v>#N/A</v>
      </c>
      <c r="L7835" s="16">
        <f>base!X7835</f>
        <v>0</v>
      </c>
      <c r="M7835" s="11" t="e">
        <f t="shared" si="1224"/>
        <v>#DIV/0!</v>
      </c>
      <c r="N7835" s="11" t="e">
        <f t="shared" si="1225"/>
        <v>#N/A</v>
      </c>
      <c r="O7835" s="11" t="e">
        <f t="shared" si="1226"/>
        <v>#N/A</v>
      </c>
      <c r="P7835" s="12" t="e">
        <f t="shared" si="1227"/>
        <v>#N/A</v>
      </c>
      <c r="Q7835" s="17" t="e">
        <f t="shared" si="1229"/>
        <v>#N/A</v>
      </c>
    </row>
    <row r="7836" spans="1:17" x14ac:dyDescent="0.3">
      <c r="A7836" s="34">
        <f>base!J7836</f>
        <v>0</v>
      </c>
      <c r="B7836" s="34">
        <f>base!V7836</f>
        <v>0</v>
      </c>
      <c r="C7836" s="40" t="s">
        <v>11</v>
      </c>
      <c r="D7836" s="36">
        <f>base!H7836</f>
        <v>0</v>
      </c>
      <c r="E7836" s="44"/>
      <c r="F7836" s="16">
        <f>base!W7836</f>
        <v>0</v>
      </c>
      <c r="G7836" s="11" t="e">
        <f t="shared" si="1220"/>
        <v>#DIV/0!</v>
      </c>
      <c r="H7836" s="11" t="e">
        <f t="shared" si="1221"/>
        <v>#N/A</v>
      </c>
      <c r="I7836" s="11" t="e">
        <f t="shared" si="1222"/>
        <v>#N/A</v>
      </c>
      <c r="J7836" s="12" t="e">
        <f t="shared" si="1223"/>
        <v>#N/A</v>
      </c>
      <c r="K7836" s="17" t="e">
        <f t="shared" si="1228"/>
        <v>#N/A</v>
      </c>
      <c r="L7836" s="16">
        <f>base!X7836</f>
        <v>0</v>
      </c>
      <c r="M7836" s="11" t="e">
        <f t="shared" si="1224"/>
        <v>#DIV/0!</v>
      </c>
      <c r="N7836" s="11" t="e">
        <f t="shared" si="1225"/>
        <v>#N/A</v>
      </c>
      <c r="O7836" s="11" t="e">
        <f t="shared" si="1226"/>
        <v>#N/A</v>
      </c>
      <c r="P7836" s="12" t="e">
        <f t="shared" si="1227"/>
        <v>#N/A</v>
      </c>
      <c r="Q7836" s="17" t="e">
        <f t="shared" si="1229"/>
        <v>#N/A</v>
      </c>
    </row>
    <row r="7837" spans="1:17" x14ac:dyDescent="0.3">
      <c r="A7837" s="34">
        <f>base!J7837</f>
        <v>0</v>
      </c>
      <c r="B7837" s="34">
        <f>base!V7837</f>
        <v>0</v>
      </c>
      <c r="C7837" s="40" t="s">
        <v>11</v>
      </c>
      <c r="D7837" s="36">
        <f>base!H7837</f>
        <v>0</v>
      </c>
      <c r="E7837" s="44"/>
      <c r="F7837" s="16">
        <f>base!W7837</f>
        <v>0</v>
      </c>
      <c r="G7837" s="11" t="e">
        <f t="shared" si="1220"/>
        <v>#DIV/0!</v>
      </c>
      <c r="H7837" s="11" t="e">
        <f t="shared" si="1221"/>
        <v>#N/A</v>
      </c>
      <c r="I7837" s="11" t="e">
        <f t="shared" si="1222"/>
        <v>#N/A</v>
      </c>
      <c r="J7837" s="12" t="e">
        <f t="shared" si="1223"/>
        <v>#N/A</v>
      </c>
      <c r="K7837" s="17" t="e">
        <f t="shared" si="1228"/>
        <v>#N/A</v>
      </c>
      <c r="L7837" s="16">
        <f>base!X7837</f>
        <v>0</v>
      </c>
      <c r="M7837" s="11" t="e">
        <f t="shared" si="1224"/>
        <v>#DIV/0!</v>
      </c>
      <c r="N7837" s="11" t="e">
        <f t="shared" si="1225"/>
        <v>#N/A</v>
      </c>
      <c r="O7837" s="11" t="e">
        <f t="shared" si="1226"/>
        <v>#N/A</v>
      </c>
      <c r="P7837" s="12" t="e">
        <f t="shared" si="1227"/>
        <v>#N/A</v>
      </c>
      <c r="Q7837" s="17" t="e">
        <f t="shared" si="1229"/>
        <v>#N/A</v>
      </c>
    </row>
    <row r="7838" spans="1:17" x14ac:dyDescent="0.3">
      <c r="A7838" s="34">
        <f>base!J7838</f>
        <v>0</v>
      </c>
      <c r="B7838" s="34">
        <f>base!V7838</f>
        <v>0</v>
      </c>
      <c r="C7838" s="40" t="s">
        <v>11</v>
      </c>
      <c r="D7838" s="36">
        <f>base!H7838</f>
        <v>0</v>
      </c>
      <c r="E7838" s="44"/>
      <c r="F7838" s="16">
        <f>base!W7838</f>
        <v>0</v>
      </c>
      <c r="G7838" s="11" t="e">
        <f t="shared" si="1220"/>
        <v>#DIV/0!</v>
      </c>
      <c r="H7838" s="11" t="e">
        <f t="shared" si="1221"/>
        <v>#N/A</v>
      </c>
      <c r="I7838" s="11" t="e">
        <f t="shared" si="1222"/>
        <v>#N/A</v>
      </c>
      <c r="J7838" s="12" t="e">
        <f t="shared" si="1223"/>
        <v>#N/A</v>
      </c>
      <c r="K7838" s="17" t="e">
        <f t="shared" si="1228"/>
        <v>#N/A</v>
      </c>
      <c r="L7838" s="16">
        <f>base!X7838</f>
        <v>0</v>
      </c>
      <c r="M7838" s="11" t="e">
        <f t="shared" si="1224"/>
        <v>#DIV/0!</v>
      </c>
      <c r="N7838" s="11" t="e">
        <f t="shared" si="1225"/>
        <v>#N/A</v>
      </c>
      <c r="O7838" s="11" t="e">
        <f t="shared" si="1226"/>
        <v>#N/A</v>
      </c>
      <c r="P7838" s="12" t="e">
        <f t="shared" si="1227"/>
        <v>#N/A</v>
      </c>
      <c r="Q7838" s="17" t="e">
        <f t="shared" si="1229"/>
        <v>#N/A</v>
      </c>
    </row>
    <row r="7839" spans="1:17" x14ac:dyDescent="0.3">
      <c r="A7839" s="34">
        <f>base!J7839</f>
        <v>0</v>
      </c>
      <c r="B7839" s="34">
        <f>base!V7839</f>
        <v>0</v>
      </c>
      <c r="C7839" s="40" t="s">
        <v>11</v>
      </c>
      <c r="D7839" s="36">
        <f>base!H7839</f>
        <v>0</v>
      </c>
      <c r="E7839" s="44"/>
      <c r="F7839" s="16">
        <f>base!W7839</f>
        <v>0</v>
      </c>
      <c r="G7839" s="11" t="e">
        <f t="shared" si="1220"/>
        <v>#DIV/0!</v>
      </c>
      <c r="H7839" s="11" t="e">
        <f t="shared" si="1221"/>
        <v>#N/A</v>
      </c>
      <c r="I7839" s="11" t="e">
        <f t="shared" si="1222"/>
        <v>#N/A</v>
      </c>
      <c r="J7839" s="12" t="e">
        <f t="shared" si="1223"/>
        <v>#N/A</v>
      </c>
      <c r="K7839" s="17" t="e">
        <f t="shared" si="1228"/>
        <v>#N/A</v>
      </c>
      <c r="L7839" s="16">
        <f>base!X7839</f>
        <v>0</v>
      </c>
      <c r="M7839" s="11" t="e">
        <f t="shared" si="1224"/>
        <v>#DIV/0!</v>
      </c>
      <c r="N7839" s="11" t="e">
        <f t="shared" si="1225"/>
        <v>#N/A</v>
      </c>
      <c r="O7839" s="11" t="e">
        <f t="shared" si="1226"/>
        <v>#N/A</v>
      </c>
      <c r="P7839" s="12" t="e">
        <f t="shared" si="1227"/>
        <v>#N/A</v>
      </c>
      <c r="Q7839" s="17" t="e">
        <f t="shared" si="1229"/>
        <v>#N/A</v>
      </c>
    </row>
    <row r="7840" spans="1:17" x14ac:dyDescent="0.3">
      <c r="A7840" s="34">
        <f>base!J7840</f>
        <v>0</v>
      </c>
      <c r="B7840" s="34">
        <f>base!V7840</f>
        <v>0</v>
      </c>
      <c r="C7840" s="40" t="s">
        <v>11</v>
      </c>
      <c r="D7840" s="36">
        <f>base!H7840</f>
        <v>0</v>
      </c>
      <c r="E7840" s="44"/>
      <c r="F7840" s="16">
        <f>base!W7840</f>
        <v>0</v>
      </c>
      <c r="G7840" s="11" t="e">
        <f t="shared" si="1220"/>
        <v>#DIV/0!</v>
      </c>
      <c r="H7840" s="11" t="e">
        <f t="shared" si="1221"/>
        <v>#N/A</v>
      </c>
      <c r="I7840" s="11" t="e">
        <f t="shared" si="1222"/>
        <v>#N/A</v>
      </c>
      <c r="J7840" s="12" t="e">
        <f t="shared" si="1223"/>
        <v>#N/A</v>
      </c>
      <c r="K7840" s="17" t="e">
        <f t="shared" si="1228"/>
        <v>#N/A</v>
      </c>
      <c r="L7840" s="16">
        <f>base!X7840</f>
        <v>0</v>
      </c>
      <c r="M7840" s="11" t="e">
        <f t="shared" si="1224"/>
        <v>#DIV/0!</v>
      </c>
      <c r="N7840" s="11" t="e">
        <f t="shared" si="1225"/>
        <v>#N/A</v>
      </c>
      <c r="O7840" s="11" t="e">
        <f t="shared" si="1226"/>
        <v>#N/A</v>
      </c>
      <c r="P7840" s="12" t="e">
        <f t="shared" si="1227"/>
        <v>#N/A</v>
      </c>
      <c r="Q7840" s="17" t="e">
        <f t="shared" si="1229"/>
        <v>#N/A</v>
      </c>
    </row>
    <row r="7841" spans="1:17" x14ac:dyDescent="0.3">
      <c r="A7841" s="34">
        <f>base!J7841</f>
        <v>0</v>
      </c>
      <c r="B7841" s="34">
        <f>base!V7841</f>
        <v>0</v>
      </c>
      <c r="C7841" s="40" t="s">
        <v>11</v>
      </c>
      <c r="D7841" s="36">
        <f>base!H7841</f>
        <v>0</v>
      </c>
      <c r="E7841" s="44"/>
      <c r="F7841" s="16">
        <f>base!W7841</f>
        <v>0</v>
      </c>
      <c r="G7841" s="11" t="e">
        <f t="shared" si="1220"/>
        <v>#DIV/0!</v>
      </c>
      <c r="H7841" s="11" t="e">
        <f t="shared" si="1221"/>
        <v>#N/A</v>
      </c>
      <c r="I7841" s="11" t="e">
        <f t="shared" si="1222"/>
        <v>#N/A</v>
      </c>
      <c r="J7841" s="12" t="e">
        <f t="shared" si="1223"/>
        <v>#N/A</v>
      </c>
      <c r="K7841" s="17" t="e">
        <f t="shared" si="1228"/>
        <v>#N/A</v>
      </c>
      <c r="L7841" s="16">
        <f>base!X7841</f>
        <v>0</v>
      </c>
      <c r="M7841" s="11" t="e">
        <f t="shared" si="1224"/>
        <v>#DIV/0!</v>
      </c>
      <c r="N7841" s="11" t="e">
        <f t="shared" si="1225"/>
        <v>#N/A</v>
      </c>
      <c r="O7841" s="11" t="e">
        <f t="shared" si="1226"/>
        <v>#N/A</v>
      </c>
      <c r="P7841" s="12" t="e">
        <f t="shared" si="1227"/>
        <v>#N/A</v>
      </c>
      <c r="Q7841" s="17" t="e">
        <f t="shared" si="1229"/>
        <v>#N/A</v>
      </c>
    </row>
    <row r="7842" spans="1:17" x14ac:dyDescent="0.3">
      <c r="A7842" s="34">
        <f>base!J7842</f>
        <v>0</v>
      </c>
      <c r="B7842" s="34">
        <f>base!V7842</f>
        <v>0</v>
      </c>
      <c r="C7842" s="40" t="s">
        <v>11</v>
      </c>
      <c r="D7842" s="36">
        <f>base!H7842</f>
        <v>0</v>
      </c>
      <c r="E7842" s="44"/>
      <c r="F7842" s="16">
        <f>base!W7842</f>
        <v>0</v>
      </c>
      <c r="G7842" s="11" t="e">
        <f t="shared" si="1220"/>
        <v>#DIV/0!</v>
      </c>
      <c r="H7842" s="11" t="e">
        <f t="shared" si="1221"/>
        <v>#N/A</v>
      </c>
      <c r="I7842" s="11" t="e">
        <f t="shared" si="1222"/>
        <v>#N/A</v>
      </c>
      <c r="J7842" s="12" t="e">
        <f t="shared" si="1223"/>
        <v>#N/A</v>
      </c>
      <c r="K7842" s="17" t="e">
        <f t="shared" si="1228"/>
        <v>#N/A</v>
      </c>
      <c r="L7842" s="16">
        <f>base!X7842</f>
        <v>0</v>
      </c>
      <c r="M7842" s="11" t="e">
        <f t="shared" si="1224"/>
        <v>#DIV/0!</v>
      </c>
      <c r="N7842" s="11" t="e">
        <f t="shared" si="1225"/>
        <v>#N/A</v>
      </c>
      <c r="O7842" s="11" t="e">
        <f t="shared" si="1226"/>
        <v>#N/A</v>
      </c>
      <c r="P7842" s="12" t="e">
        <f t="shared" si="1227"/>
        <v>#N/A</v>
      </c>
      <c r="Q7842" s="17" t="e">
        <f t="shared" si="1229"/>
        <v>#N/A</v>
      </c>
    </row>
    <row r="7843" spans="1:17" x14ac:dyDescent="0.3">
      <c r="A7843" s="34">
        <f>base!J7843</f>
        <v>0</v>
      </c>
      <c r="B7843" s="34">
        <f>base!V7843</f>
        <v>0</v>
      </c>
      <c r="C7843" s="40" t="s">
        <v>11</v>
      </c>
      <c r="D7843" s="36">
        <f>base!H7843</f>
        <v>0</v>
      </c>
      <c r="E7843" s="44"/>
      <c r="F7843" s="16">
        <f>base!W7843</f>
        <v>0</v>
      </c>
      <c r="G7843" s="11" t="e">
        <f t="shared" si="1220"/>
        <v>#DIV/0!</v>
      </c>
      <c r="H7843" s="11" t="e">
        <f t="shared" si="1221"/>
        <v>#N/A</v>
      </c>
      <c r="I7843" s="11" t="e">
        <f t="shared" si="1222"/>
        <v>#N/A</v>
      </c>
      <c r="J7843" s="12" t="e">
        <f t="shared" si="1223"/>
        <v>#N/A</v>
      </c>
      <c r="K7843" s="17" t="e">
        <f t="shared" si="1228"/>
        <v>#N/A</v>
      </c>
      <c r="L7843" s="16">
        <f>base!X7843</f>
        <v>0</v>
      </c>
      <c r="M7843" s="11" t="e">
        <f t="shared" si="1224"/>
        <v>#DIV/0!</v>
      </c>
      <c r="N7843" s="11" t="e">
        <f t="shared" si="1225"/>
        <v>#N/A</v>
      </c>
      <c r="O7843" s="11" t="e">
        <f t="shared" si="1226"/>
        <v>#N/A</v>
      </c>
      <c r="P7843" s="12" t="e">
        <f t="shared" si="1227"/>
        <v>#N/A</v>
      </c>
      <c r="Q7843" s="17" t="e">
        <f t="shared" si="1229"/>
        <v>#N/A</v>
      </c>
    </row>
    <row r="7844" spans="1:17" x14ac:dyDescent="0.3">
      <c r="A7844" s="34">
        <f>base!J7844</f>
        <v>0</v>
      </c>
      <c r="B7844" s="34">
        <f>base!V7844</f>
        <v>0</v>
      </c>
      <c r="C7844" s="40" t="s">
        <v>11</v>
      </c>
      <c r="D7844" s="36">
        <f>base!H7844</f>
        <v>0</v>
      </c>
      <c r="E7844" s="44"/>
      <c r="F7844" s="16">
        <f>base!W7844</f>
        <v>0</v>
      </c>
      <c r="G7844" s="11" t="e">
        <f t="shared" si="1220"/>
        <v>#DIV/0!</v>
      </c>
      <c r="H7844" s="11" t="e">
        <f t="shared" si="1221"/>
        <v>#N/A</v>
      </c>
      <c r="I7844" s="11" t="e">
        <f t="shared" si="1222"/>
        <v>#N/A</v>
      </c>
      <c r="J7844" s="12" t="e">
        <f t="shared" si="1223"/>
        <v>#N/A</v>
      </c>
      <c r="K7844" s="17" t="e">
        <f t="shared" si="1228"/>
        <v>#N/A</v>
      </c>
      <c r="L7844" s="16">
        <f>base!X7844</f>
        <v>0</v>
      </c>
      <c r="M7844" s="11" t="e">
        <f t="shared" si="1224"/>
        <v>#DIV/0!</v>
      </c>
      <c r="N7844" s="11" t="e">
        <f t="shared" si="1225"/>
        <v>#N/A</v>
      </c>
      <c r="O7844" s="11" t="e">
        <f t="shared" si="1226"/>
        <v>#N/A</v>
      </c>
      <c r="P7844" s="12" t="e">
        <f t="shared" si="1227"/>
        <v>#N/A</v>
      </c>
      <c r="Q7844" s="17" t="e">
        <f t="shared" si="1229"/>
        <v>#N/A</v>
      </c>
    </row>
    <row r="7845" spans="1:17" x14ac:dyDescent="0.3">
      <c r="A7845" s="34">
        <f>base!J7845</f>
        <v>0</v>
      </c>
      <c r="B7845" s="34">
        <f>base!V7845</f>
        <v>0</v>
      </c>
      <c r="C7845" s="40" t="s">
        <v>11</v>
      </c>
      <c r="D7845" s="36">
        <f>base!H7845</f>
        <v>0</v>
      </c>
      <c r="E7845" s="44"/>
      <c r="F7845" s="16">
        <f>base!W7845</f>
        <v>0</v>
      </c>
      <c r="G7845" s="11" t="e">
        <f t="shared" si="1220"/>
        <v>#DIV/0!</v>
      </c>
      <c r="H7845" s="11" t="e">
        <f t="shared" si="1221"/>
        <v>#N/A</v>
      </c>
      <c r="I7845" s="11" t="e">
        <f t="shared" si="1222"/>
        <v>#N/A</v>
      </c>
      <c r="J7845" s="12" t="e">
        <f t="shared" si="1223"/>
        <v>#N/A</v>
      </c>
      <c r="K7845" s="17" t="e">
        <f t="shared" si="1228"/>
        <v>#N/A</v>
      </c>
      <c r="L7845" s="16">
        <f>base!X7845</f>
        <v>0</v>
      </c>
      <c r="M7845" s="11" t="e">
        <f t="shared" si="1224"/>
        <v>#DIV/0!</v>
      </c>
      <c r="N7845" s="11" t="e">
        <f t="shared" si="1225"/>
        <v>#N/A</v>
      </c>
      <c r="O7845" s="11" t="e">
        <f t="shared" si="1226"/>
        <v>#N/A</v>
      </c>
      <c r="P7845" s="12" t="e">
        <f t="shared" si="1227"/>
        <v>#N/A</v>
      </c>
      <c r="Q7845" s="17" t="e">
        <f t="shared" si="1229"/>
        <v>#N/A</v>
      </c>
    </row>
    <row r="7846" spans="1:17" x14ac:dyDescent="0.3">
      <c r="A7846" s="34">
        <f>base!J7846</f>
        <v>0</v>
      </c>
      <c r="B7846" s="34">
        <f>base!V7846</f>
        <v>0</v>
      </c>
      <c r="C7846" s="40" t="s">
        <v>11</v>
      </c>
      <c r="D7846" s="36">
        <f>base!H7846</f>
        <v>0</v>
      </c>
      <c r="E7846" s="44"/>
      <c r="F7846" s="16">
        <f>base!W7846</f>
        <v>0</v>
      </c>
      <c r="G7846" s="11" t="e">
        <f t="shared" si="1220"/>
        <v>#DIV/0!</v>
      </c>
      <c r="H7846" s="11" t="e">
        <f t="shared" si="1221"/>
        <v>#N/A</v>
      </c>
      <c r="I7846" s="11" t="e">
        <f t="shared" si="1222"/>
        <v>#N/A</v>
      </c>
      <c r="J7846" s="12" t="e">
        <f t="shared" si="1223"/>
        <v>#N/A</v>
      </c>
      <c r="K7846" s="17" t="e">
        <f t="shared" si="1228"/>
        <v>#N/A</v>
      </c>
      <c r="L7846" s="16">
        <f>base!X7846</f>
        <v>0</v>
      </c>
      <c r="M7846" s="11" t="e">
        <f t="shared" si="1224"/>
        <v>#DIV/0!</v>
      </c>
      <c r="N7846" s="11" t="e">
        <f t="shared" si="1225"/>
        <v>#N/A</v>
      </c>
      <c r="O7846" s="11" t="e">
        <f t="shared" si="1226"/>
        <v>#N/A</v>
      </c>
      <c r="P7846" s="12" t="e">
        <f t="shared" si="1227"/>
        <v>#N/A</v>
      </c>
      <c r="Q7846" s="17" t="e">
        <f t="shared" si="1229"/>
        <v>#N/A</v>
      </c>
    </row>
    <row r="7847" spans="1:17" x14ac:dyDescent="0.3">
      <c r="A7847" s="34">
        <f>base!J7847</f>
        <v>0</v>
      </c>
      <c r="B7847" s="34">
        <f>base!V7847</f>
        <v>0</v>
      </c>
      <c r="C7847" s="40" t="s">
        <v>11</v>
      </c>
      <c r="D7847" s="36">
        <f>base!H7847</f>
        <v>0</v>
      </c>
      <c r="E7847" s="44"/>
      <c r="F7847" s="16">
        <f>base!W7847</f>
        <v>0</v>
      </c>
      <c r="G7847" s="11" t="e">
        <f t="shared" si="1220"/>
        <v>#DIV/0!</v>
      </c>
      <c r="H7847" s="11" t="e">
        <f t="shared" si="1221"/>
        <v>#N/A</v>
      </c>
      <c r="I7847" s="11" t="e">
        <f t="shared" si="1222"/>
        <v>#N/A</v>
      </c>
      <c r="J7847" s="12" t="e">
        <f t="shared" si="1223"/>
        <v>#N/A</v>
      </c>
      <c r="K7847" s="17" t="e">
        <f t="shared" si="1228"/>
        <v>#N/A</v>
      </c>
      <c r="L7847" s="16">
        <f>base!X7847</f>
        <v>0</v>
      </c>
      <c r="M7847" s="11" t="e">
        <f t="shared" si="1224"/>
        <v>#DIV/0!</v>
      </c>
      <c r="N7847" s="11" t="e">
        <f t="shared" si="1225"/>
        <v>#N/A</v>
      </c>
      <c r="O7847" s="11" t="e">
        <f t="shared" si="1226"/>
        <v>#N/A</v>
      </c>
      <c r="P7847" s="12" t="e">
        <f t="shared" si="1227"/>
        <v>#N/A</v>
      </c>
      <c r="Q7847" s="17" t="e">
        <f t="shared" si="1229"/>
        <v>#N/A</v>
      </c>
    </row>
    <row r="7848" spans="1:17" x14ac:dyDescent="0.3">
      <c r="A7848" s="34">
        <f>base!J7848</f>
        <v>0</v>
      </c>
      <c r="B7848" s="34">
        <f>base!V7848</f>
        <v>0</v>
      </c>
      <c r="C7848" s="40" t="s">
        <v>11</v>
      </c>
      <c r="D7848" s="36">
        <f>base!H7848</f>
        <v>0</v>
      </c>
      <c r="E7848" s="44"/>
      <c r="F7848" s="16">
        <f>base!W7848</f>
        <v>0</v>
      </c>
      <c r="G7848" s="11" t="e">
        <f t="shared" si="1220"/>
        <v>#DIV/0!</v>
      </c>
      <c r="H7848" s="11" t="e">
        <f t="shared" si="1221"/>
        <v>#N/A</v>
      </c>
      <c r="I7848" s="11" t="e">
        <f t="shared" si="1222"/>
        <v>#N/A</v>
      </c>
      <c r="J7848" s="12" t="e">
        <f t="shared" si="1223"/>
        <v>#N/A</v>
      </c>
      <c r="K7848" s="17" t="e">
        <f t="shared" si="1228"/>
        <v>#N/A</v>
      </c>
      <c r="L7848" s="16">
        <f>base!X7848</f>
        <v>0</v>
      </c>
      <c r="M7848" s="11" t="e">
        <f t="shared" si="1224"/>
        <v>#DIV/0!</v>
      </c>
      <c r="N7848" s="11" t="e">
        <f t="shared" si="1225"/>
        <v>#N/A</v>
      </c>
      <c r="O7848" s="11" t="e">
        <f t="shared" si="1226"/>
        <v>#N/A</v>
      </c>
      <c r="P7848" s="12" t="e">
        <f t="shared" si="1227"/>
        <v>#N/A</v>
      </c>
      <c r="Q7848" s="17" t="e">
        <f t="shared" si="1229"/>
        <v>#N/A</v>
      </c>
    </row>
    <row r="7849" spans="1:17" x14ac:dyDescent="0.3">
      <c r="A7849" s="34">
        <f>base!J7849</f>
        <v>0</v>
      </c>
      <c r="B7849" s="34">
        <f>base!V7849</f>
        <v>0</v>
      </c>
      <c r="C7849" s="40" t="s">
        <v>11</v>
      </c>
      <c r="D7849" s="36">
        <f>base!H7849</f>
        <v>0</v>
      </c>
      <c r="E7849" s="44"/>
      <c r="F7849" s="16">
        <f>base!W7849</f>
        <v>0</v>
      </c>
      <c r="G7849" s="11" t="e">
        <f t="shared" si="1220"/>
        <v>#DIV/0!</v>
      </c>
      <c r="H7849" s="11" t="e">
        <f t="shared" si="1221"/>
        <v>#N/A</v>
      </c>
      <c r="I7849" s="11" t="e">
        <f t="shared" si="1222"/>
        <v>#N/A</v>
      </c>
      <c r="J7849" s="12" t="e">
        <f t="shared" si="1223"/>
        <v>#N/A</v>
      </c>
      <c r="K7849" s="17" t="e">
        <f t="shared" si="1228"/>
        <v>#N/A</v>
      </c>
      <c r="L7849" s="16">
        <f>base!X7849</f>
        <v>0</v>
      </c>
      <c r="M7849" s="11" t="e">
        <f t="shared" si="1224"/>
        <v>#DIV/0!</v>
      </c>
      <c r="N7849" s="11" t="e">
        <f t="shared" si="1225"/>
        <v>#N/A</v>
      </c>
      <c r="O7849" s="11" t="e">
        <f t="shared" si="1226"/>
        <v>#N/A</v>
      </c>
      <c r="P7849" s="12" t="e">
        <f t="shared" si="1227"/>
        <v>#N/A</v>
      </c>
      <c r="Q7849" s="17" t="e">
        <f t="shared" si="1229"/>
        <v>#N/A</v>
      </c>
    </row>
    <row r="7850" spans="1:17" x14ac:dyDescent="0.3">
      <c r="A7850" s="34">
        <f>base!J7850</f>
        <v>0</v>
      </c>
      <c r="B7850" s="34">
        <f>base!V7850</f>
        <v>0</v>
      </c>
      <c r="C7850" s="40" t="s">
        <v>11</v>
      </c>
      <c r="D7850" s="36">
        <f>base!H7850</f>
        <v>0</v>
      </c>
      <c r="E7850" s="44"/>
      <c r="F7850" s="16">
        <f>base!W7850</f>
        <v>0</v>
      </c>
      <c r="G7850" s="11" t="e">
        <f t="shared" si="1220"/>
        <v>#DIV/0!</v>
      </c>
      <c r="H7850" s="11" t="e">
        <f t="shared" si="1221"/>
        <v>#N/A</v>
      </c>
      <c r="I7850" s="11" t="e">
        <f t="shared" si="1222"/>
        <v>#N/A</v>
      </c>
      <c r="J7850" s="12" t="e">
        <f t="shared" si="1223"/>
        <v>#N/A</v>
      </c>
      <c r="K7850" s="17" t="e">
        <f t="shared" si="1228"/>
        <v>#N/A</v>
      </c>
      <c r="L7850" s="16">
        <f>base!X7850</f>
        <v>0</v>
      </c>
      <c r="M7850" s="11" t="e">
        <f t="shared" si="1224"/>
        <v>#DIV/0!</v>
      </c>
      <c r="N7850" s="11" t="e">
        <f t="shared" si="1225"/>
        <v>#N/A</v>
      </c>
      <c r="O7850" s="11" t="e">
        <f t="shared" si="1226"/>
        <v>#N/A</v>
      </c>
      <c r="P7850" s="12" t="e">
        <f t="shared" si="1227"/>
        <v>#N/A</v>
      </c>
      <c r="Q7850" s="17" t="e">
        <f t="shared" si="1229"/>
        <v>#N/A</v>
      </c>
    </row>
    <row r="7851" spans="1:17" x14ac:dyDescent="0.3">
      <c r="A7851" s="34">
        <f>base!J7851</f>
        <v>0</v>
      </c>
      <c r="B7851" s="34">
        <f>base!V7851</f>
        <v>0</v>
      </c>
      <c r="C7851" s="40" t="s">
        <v>11</v>
      </c>
      <c r="D7851" s="36">
        <f>base!H7851</f>
        <v>0</v>
      </c>
      <c r="E7851" s="44"/>
      <c r="F7851" s="16">
        <f>base!W7851</f>
        <v>0</v>
      </c>
      <c r="G7851" s="11" t="e">
        <f t="shared" si="1220"/>
        <v>#DIV/0!</v>
      </c>
      <c r="H7851" s="11" t="e">
        <f t="shared" si="1221"/>
        <v>#N/A</v>
      </c>
      <c r="I7851" s="11" t="e">
        <f t="shared" si="1222"/>
        <v>#N/A</v>
      </c>
      <c r="J7851" s="12" t="e">
        <f t="shared" si="1223"/>
        <v>#N/A</v>
      </c>
      <c r="K7851" s="17" t="e">
        <f t="shared" si="1228"/>
        <v>#N/A</v>
      </c>
      <c r="L7851" s="16">
        <f>base!X7851</f>
        <v>0</v>
      </c>
      <c r="M7851" s="11" t="e">
        <f t="shared" si="1224"/>
        <v>#DIV/0!</v>
      </c>
      <c r="N7851" s="11" t="e">
        <f t="shared" si="1225"/>
        <v>#N/A</v>
      </c>
      <c r="O7851" s="11" t="e">
        <f t="shared" si="1226"/>
        <v>#N/A</v>
      </c>
      <c r="P7851" s="12" t="e">
        <f t="shared" si="1227"/>
        <v>#N/A</v>
      </c>
      <c r="Q7851" s="17" t="e">
        <f t="shared" si="1229"/>
        <v>#N/A</v>
      </c>
    </row>
    <row r="7852" spans="1:17" x14ac:dyDescent="0.3">
      <c r="A7852" s="34">
        <f>base!J7852</f>
        <v>0</v>
      </c>
      <c r="B7852" s="34">
        <f>base!V7852</f>
        <v>0</v>
      </c>
      <c r="C7852" s="40" t="s">
        <v>11</v>
      </c>
      <c r="D7852" s="36">
        <f>base!H7852</f>
        <v>0</v>
      </c>
      <c r="E7852" s="44"/>
      <c r="F7852" s="16">
        <f>base!W7852</f>
        <v>0</v>
      </c>
      <c r="G7852" s="11" t="e">
        <f t="shared" si="1220"/>
        <v>#DIV/0!</v>
      </c>
      <c r="H7852" s="11" t="e">
        <f t="shared" si="1221"/>
        <v>#N/A</v>
      </c>
      <c r="I7852" s="11" t="e">
        <f t="shared" si="1222"/>
        <v>#N/A</v>
      </c>
      <c r="J7852" s="12" t="e">
        <f t="shared" si="1223"/>
        <v>#N/A</v>
      </c>
      <c r="K7852" s="17" t="e">
        <f t="shared" si="1228"/>
        <v>#N/A</v>
      </c>
      <c r="L7852" s="16">
        <f>base!X7852</f>
        <v>0</v>
      </c>
      <c r="M7852" s="11" t="e">
        <f t="shared" si="1224"/>
        <v>#DIV/0!</v>
      </c>
      <c r="N7852" s="11" t="e">
        <f t="shared" si="1225"/>
        <v>#N/A</v>
      </c>
      <c r="O7852" s="11" t="e">
        <f t="shared" si="1226"/>
        <v>#N/A</v>
      </c>
      <c r="P7852" s="12" t="e">
        <f t="shared" si="1227"/>
        <v>#N/A</v>
      </c>
      <c r="Q7852" s="17" t="e">
        <f t="shared" si="1229"/>
        <v>#N/A</v>
      </c>
    </row>
    <row r="7853" spans="1:17" x14ac:dyDescent="0.3">
      <c r="A7853" s="34">
        <f>base!J7853</f>
        <v>0</v>
      </c>
      <c r="B7853" s="34">
        <f>base!V7853</f>
        <v>0</v>
      </c>
      <c r="C7853" s="40" t="s">
        <v>11</v>
      </c>
      <c r="D7853" s="36">
        <f>base!H7853</f>
        <v>0</v>
      </c>
      <c r="E7853" s="44"/>
      <c r="F7853" s="16">
        <f>base!W7853</f>
        <v>0</v>
      </c>
      <c r="G7853" s="11" t="e">
        <f t="shared" si="1220"/>
        <v>#DIV/0!</v>
      </c>
      <c r="H7853" s="11" t="e">
        <f t="shared" si="1221"/>
        <v>#N/A</v>
      </c>
      <c r="I7853" s="11" t="e">
        <f t="shared" si="1222"/>
        <v>#N/A</v>
      </c>
      <c r="J7853" s="12" t="e">
        <f t="shared" si="1223"/>
        <v>#N/A</v>
      </c>
      <c r="K7853" s="17" t="e">
        <f t="shared" si="1228"/>
        <v>#N/A</v>
      </c>
      <c r="L7853" s="16">
        <f>base!X7853</f>
        <v>0</v>
      </c>
      <c r="M7853" s="11" t="e">
        <f t="shared" si="1224"/>
        <v>#DIV/0!</v>
      </c>
      <c r="N7853" s="11" t="e">
        <f t="shared" si="1225"/>
        <v>#N/A</v>
      </c>
      <c r="O7853" s="11" t="e">
        <f t="shared" si="1226"/>
        <v>#N/A</v>
      </c>
      <c r="P7853" s="12" t="e">
        <f t="shared" si="1227"/>
        <v>#N/A</v>
      </c>
      <c r="Q7853" s="17" t="e">
        <f t="shared" si="1229"/>
        <v>#N/A</v>
      </c>
    </row>
    <row r="7854" spans="1:17" x14ac:dyDescent="0.3">
      <c r="A7854" s="34">
        <f>base!J7854</f>
        <v>0</v>
      </c>
      <c r="B7854" s="34">
        <f>base!V7854</f>
        <v>0</v>
      </c>
      <c r="C7854" s="40" t="s">
        <v>11</v>
      </c>
      <c r="D7854" s="36">
        <f>base!H7854</f>
        <v>0</v>
      </c>
      <c r="E7854" s="44"/>
      <c r="F7854" s="16">
        <f>base!W7854</f>
        <v>0</v>
      </c>
      <c r="G7854" s="11" t="e">
        <f t="shared" si="1220"/>
        <v>#DIV/0!</v>
      </c>
      <c r="H7854" s="11" t="e">
        <f t="shared" si="1221"/>
        <v>#N/A</v>
      </c>
      <c r="I7854" s="11" t="e">
        <f t="shared" si="1222"/>
        <v>#N/A</v>
      </c>
      <c r="J7854" s="12" t="e">
        <f t="shared" si="1223"/>
        <v>#N/A</v>
      </c>
      <c r="K7854" s="17" t="e">
        <f t="shared" si="1228"/>
        <v>#N/A</v>
      </c>
      <c r="L7854" s="16">
        <f>base!X7854</f>
        <v>0</v>
      </c>
      <c r="M7854" s="11" t="e">
        <f t="shared" si="1224"/>
        <v>#DIV/0!</v>
      </c>
      <c r="N7854" s="11" t="e">
        <f t="shared" si="1225"/>
        <v>#N/A</v>
      </c>
      <c r="O7854" s="11" t="e">
        <f t="shared" si="1226"/>
        <v>#N/A</v>
      </c>
      <c r="P7854" s="12" t="e">
        <f t="shared" si="1227"/>
        <v>#N/A</v>
      </c>
      <c r="Q7854" s="17" t="e">
        <f t="shared" si="1229"/>
        <v>#N/A</v>
      </c>
    </row>
    <row r="7855" spans="1:17" x14ac:dyDescent="0.3">
      <c r="A7855" s="34">
        <f>base!J7855</f>
        <v>0</v>
      </c>
      <c r="B7855" s="34">
        <f>base!V7855</f>
        <v>0</v>
      </c>
      <c r="C7855" s="40" t="s">
        <v>11</v>
      </c>
      <c r="D7855" s="36">
        <f>base!H7855</f>
        <v>0</v>
      </c>
      <c r="E7855" s="44"/>
      <c r="F7855" s="16">
        <f>base!W7855</f>
        <v>0</v>
      </c>
      <c r="G7855" s="11" t="e">
        <f t="shared" si="1220"/>
        <v>#DIV/0!</v>
      </c>
      <c r="H7855" s="11" t="e">
        <f t="shared" si="1221"/>
        <v>#N/A</v>
      </c>
      <c r="I7855" s="11" t="e">
        <f t="shared" si="1222"/>
        <v>#N/A</v>
      </c>
      <c r="J7855" s="12" t="e">
        <f t="shared" si="1223"/>
        <v>#N/A</v>
      </c>
      <c r="K7855" s="17" t="e">
        <f t="shared" si="1228"/>
        <v>#N/A</v>
      </c>
      <c r="L7855" s="16">
        <f>base!X7855</f>
        <v>0</v>
      </c>
      <c r="M7855" s="11" t="e">
        <f t="shared" si="1224"/>
        <v>#DIV/0!</v>
      </c>
      <c r="N7855" s="11" t="e">
        <f t="shared" si="1225"/>
        <v>#N/A</v>
      </c>
      <c r="O7855" s="11" t="e">
        <f t="shared" si="1226"/>
        <v>#N/A</v>
      </c>
      <c r="P7855" s="12" t="e">
        <f t="shared" si="1227"/>
        <v>#N/A</v>
      </c>
      <c r="Q7855" s="17" t="e">
        <f t="shared" si="1229"/>
        <v>#N/A</v>
      </c>
    </row>
    <row r="7856" spans="1:17" x14ac:dyDescent="0.3">
      <c r="A7856" s="34">
        <f>base!J7856</f>
        <v>0</v>
      </c>
      <c r="B7856" s="34">
        <f>base!V7856</f>
        <v>0</v>
      </c>
      <c r="C7856" s="40" t="s">
        <v>11</v>
      </c>
      <c r="D7856" s="36">
        <f>base!H7856</f>
        <v>0</v>
      </c>
      <c r="E7856" s="44"/>
      <c r="F7856" s="16">
        <f>base!W7856</f>
        <v>0</v>
      </c>
      <c r="G7856" s="11" t="e">
        <f t="shared" si="1220"/>
        <v>#DIV/0!</v>
      </c>
      <c r="H7856" s="11" t="e">
        <f t="shared" si="1221"/>
        <v>#N/A</v>
      </c>
      <c r="I7856" s="11" t="e">
        <f t="shared" si="1222"/>
        <v>#N/A</v>
      </c>
      <c r="J7856" s="12" t="e">
        <f t="shared" si="1223"/>
        <v>#N/A</v>
      </c>
      <c r="K7856" s="17" t="e">
        <f t="shared" si="1228"/>
        <v>#N/A</v>
      </c>
      <c r="L7856" s="16">
        <f>base!X7856</f>
        <v>0</v>
      </c>
      <c r="M7856" s="11" t="e">
        <f t="shared" si="1224"/>
        <v>#DIV/0!</v>
      </c>
      <c r="N7856" s="11" t="e">
        <f t="shared" si="1225"/>
        <v>#N/A</v>
      </c>
      <c r="O7856" s="11" t="e">
        <f t="shared" si="1226"/>
        <v>#N/A</v>
      </c>
      <c r="P7856" s="12" t="e">
        <f t="shared" si="1227"/>
        <v>#N/A</v>
      </c>
      <c r="Q7856" s="17" t="e">
        <f t="shared" si="1229"/>
        <v>#N/A</v>
      </c>
    </row>
    <row r="7857" spans="1:17" x14ac:dyDescent="0.3">
      <c r="A7857" s="34">
        <f>base!J7857</f>
        <v>0</v>
      </c>
      <c r="B7857" s="34">
        <f>base!V7857</f>
        <v>0</v>
      </c>
      <c r="C7857" s="40" t="s">
        <v>11</v>
      </c>
      <c r="D7857" s="36">
        <f>base!H7857</f>
        <v>0</v>
      </c>
      <c r="E7857" s="44"/>
      <c r="F7857" s="16">
        <f>base!W7857</f>
        <v>0</v>
      </c>
      <c r="G7857" s="11" t="e">
        <f t="shared" si="1220"/>
        <v>#DIV/0!</v>
      </c>
      <c r="H7857" s="11" t="e">
        <f t="shared" si="1221"/>
        <v>#N/A</v>
      </c>
      <c r="I7857" s="11" t="e">
        <f t="shared" si="1222"/>
        <v>#N/A</v>
      </c>
      <c r="J7857" s="12" t="e">
        <f t="shared" si="1223"/>
        <v>#N/A</v>
      </c>
      <c r="K7857" s="17" t="e">
        <f t="shared" si="1228"/>
        <v>#N/A</v>
      </c>
      <c r="L7857" s="16">
        <f>base!X7857</f>
        <v>0</v>
      </c>
      <c r="M7857" s="11" t="e">
        <f t="shared" si="1224"/>
        <v>#DIV/0!</v>
      </c>
      <c r="N7857" s="11" t="e">
        <f t="shared" si="1225"/>
        <v>#N/A</v>
      </c>
      <c r="O7857" s="11" t="e">
        <f t="shared" si="1226"/>
        <v>#N/A</v>
      </c>
      <c r="P7857" s="12" t="e">
        <f t="shared" si="1227"/>
        <v>#N/A</v>
      </c>
      <c r="Q7857" s="17" t="e">
        <f t="shared" si="1229"/>
        <v>#N/A</v>
      </c>
    </row>
    <row r="7858" spans="1:17" x14ac:dyDescent="0.3">
      <c r="A7858" s="34">
        <f>base!J7858</f>
        <v>0</v>
      </c>
      <c r="B7858" s="34">
        <f>base!V7858</f>
        <v>0</v>
      </c>
      <c r="C7858" s="40" t="s">
        <v>11</v>
      </c>
      <c r="D7858" s="36">
        <f>base!H7858</f>
        <v>0</v>
      </c>
      <c r="E7858" s="44"/>
      <c r="F7858" s="16">
        <f>base!W7858</f>
        <v>0</v>
      </c>
      <c r="G7858" s="11" t="e">
        <f t="shared" si="1220"/>
        <v>#DIV/0!</v>
      </c>
      <c r="H7858" s="11" t="e">
        <f t="shared" si="1221"/>
        <v>#N/A</v>
      </c>
      <c r="I7858" s="11" t="e">
        <f t="shared" si="1222"/>
        <v>#N/A</v>
      </c>
      <c r="J7858" s="12" t="e">
        <f t="shared" si="1223"/>
        <v>#N/A</v>
      </c>
      <c r="K7858" s="17" t="e">
        <f t="shared" si="1228"/>
        <v>#N/A</v>
      </c>
      <c r="L7858" s="16">
        <f>base!X7858</f>
        <v>0</v>
      </c>
      <c r="M7858" s="11" t="e">
        <f t="shared" si="1224"/>
        <v>#DIV/0!</v>
      </c>
      <c r="N7858" s="11" t="e">
        <f t="shared" si="1225"/>
        <v>#N/A</v>
      </c>
      <c r="O7858" s="11" t="e">
        <f t="shared" si="1226"/>
        <v>#N/A</v>
      </c>
      <c r="P7858" s="12" t="e">
        <f t="shared" si="1227"/>
        <v>#N/A</v>
      </c>
      <c r="Q7858" s="17" t="e">
        <f t="shared" si="1229"/>
        <v>#N/A</v>
      </c>
    </row>
    <row r="7859" spans="1:17" x14ac:dyDescent="0.3">
      <c r="A7859" s="34">
        <f>base!J7859</f>
        <v>0</v>
      </c>
      <c r="B7859" s="34">
        <f>base!V7859</f>
        <v>0</v>
      </c>
      <c r="C7859" s="40" t="s">
        <v>11</v>
      </c>
      <c r="D7859" s="36">
        <f>base!H7859</f>
        <v>0</v>
      </c>
      <c r="E7859" s="44"/>
      <c r="F7859" s="16">
        <f>base!W7859</f>
        <v>0</v>
      </c>
      <c r="G7859" s="11" t="e">
        <f t="shared" si="1220"/>
        <v>#DIV/0!</v>
      </c>
      <c r="H7859" s="11" t="e">
        <f t="shared" si="1221"/>
        <v>#N/A</v>
      </c>
      <c r="I7859" s="11" t="e">
        <f t="shared" si="1222"/>
        <v>#N/A</v>
      </c>
      <c r="J7859" s="12" t="e">
        <f t="shared" si="1223"/>
        <v>#N/A</v>
      </c>
      <c r="K7859" s="17" t="e">
        <f t="shared" si="1228"/>
        <v>#N/A</v>
      </c>
      <c r="L7859" s="16">
        <f>base!X7859</f>
        <v>0</v>
      </c>
      <c r="M7859" s="11" t="e">
        <f t="shared" si="1224"/>
        <v>#DIV/0!</v>
      </c>
      <c r="N7859" s="11" t="e">
        <f t="shared" si="1225"/>
        <v>#N/A</v>
      </c>
      <c r="O7859" s="11" t="e">
        <f t="shared" si="1226"/>
        <v>#N/A</v>
      </c>
      <c r="P7859" s="12" t="e">
        <f t="shared" si="1227"/>
        <v>#N/A</v>
      </c>
      <c r="Q7859" s="17" t="e">
        <f t="shared" si="1229"/>
        <v>#N/A</v>
      </c>
    </row>
    <row r="7860" spans="1:17" x14ac:dyDescent="0.3">
      <c r="A7860" s="34">
        <f>base!J7860</f>
        <v>0</v>
      </c>
      <c r="B7860" s="34">
        <f>base!V7860</f>
        <v>0</v>
      </c>
      <c r="C7860" s="40" t="s">
        <v>11</v>
      </c>
      <c r="D7860" s="36">
        <f>base!H7860</f>
        <v>0</v>
      </c>
      <c r="E7860" s="44"/>
      <c r="F7860" s="16">
        <f>base!W7860</f>
        <v>0</v>
      </c>
      <c r="G7860" s="11" t="e">
        <f t="shared" si="1220"/>
        <v>#DIV/0!</v>
      </c>
      <c r="H7860" s="11" t="e">
        <f t="shared" si="1221"/>
        <v>#N/A</v>
      </c>
      <c r="I7860" s="11" t="e">
        <f t="shared" si="1222"/>
        <v>#N/A</v>
      </c>
      <c r="J7860" s="12" t="e">
        <f t="shared" si="1223"/>
        <v>#N/A</v>
      </c>
      <c r="K7860" s="17" t="e">
        <f t="shared" si="1228"/>
        <v>#N/A</v>
      </c>
      <c r="L7860" s="16">
        <f>base!X7860</f>
        <v>0</v>
      </c>
      <c r="M7860" s="11" t="e">
        <f t="shared" si="1224"/>
        <v>#DIV/0!</v>
      </c>
      <c r="N7860" s="11" t="e">
        <f t="shared" si="1225"/>
        <v>#N/A</v>
      </c>
      <c r="O7860" s="11" t="e">
        <f t="shared" si="1226"/>
        <v>#N/A</v>
      </c>
      <c r="P7860" s="12" t="e">
        <f t="shared" si="1227"/>
        <v>#N/A</v>
      </c>
      <c r="Q7860" s="17" t="e">
        <f t="shared" si="1229"/>
        <v>#N/A</v>
      </c>
    </row>
    <row r="7861" spans="1:17" x14ac:dyDescent="0.3">
      <c r="A7861" s="34">
        <f>base!J7861</f>
        <v>0</v>
      </c>
      <c r="B7861" s="34">
        <f>base!V7861</f>
        <v>0</v>
      </c>
      <c r="C7861" s="40" t="s">
        <v>11</v>
      </c>
      <c r="D7861" s="36">
        <f>base!H7861</f>
        <v>0</v>
      </c>
      <c r="E7861" s="44"/>
      <c r="F7861" s="16">
        <f>base!W7861</f>
        <v>0</v>
      </c>
      <c r="G7861" s="11" t="e">
        <f t="shared" si="1220"/>
        <v>#DIV/0!</v>
      </c>
      <c r="H7861" s="11" t="e">
        <f t="shared" si="1221"/>
        <v>#N/A</v>
      </c>
      <c r="I7861" s="11" t="e">
        <f t="shared" si="1222"/>
        <v>#N/A</v>
      </c>
      <c r="J7861" s="12" t="e">
        <f t="shared" si="1223"/>
        <v>#N/A</v>
      </c>
      <c r="K7861" s="17" t="e">
        <f t="shared" si="1228"/>
        <v>#N/A</v>
      </c>
      <c r="L7861" s="16">
        <f>base!X7861</f>
        <v>0</v>
      </c>
      <c r="M7861" s="11" t="e">
        <f t="shared" si="1224"/>
        <v>#DIV/0!</v>
      </c>
      <c r="N7861" s="11" t="e">
        <f t="shared" si="1225"/>
        <v>#N/A</v>
      </c>
      <c r="O7861" s="11" t="e">
        <f t="shared" si="1226"/>
        <v>#N/A</v>
      </c>
      <c r="P7861" s="12" t="e">
        <f t="shared" si="1227"/>
        <v>#N/A</v>
      </c>
      <c r="Q7861" s="17" t="e">
        <f t="shared" si="1229"/>
        <v>#N/A</v>
      </c>
    </row>
    <row r="7862" spans="1:17" x14ac:dyDescent="0.3">
      <c r="A7862" s="34">
        <f>base!J7862</f>
        <v>0</v>
      </c>
      <c r="B7862" s="34">
        <f>base!V7862</f>
        <v>0</v>
      </c>
      <c r="C7862" s="40" t="s">
        <v>11</v>
      </c>
      <c r="D7862" s="36">
        <f>base!H7862</f>
        <v>0</v>
      </c>
      <c r="E7862" s="44"/>
      <c r="F7862" s="16">
        <f>base!W7862</f>
        <v>0</v>
      </c>
      <c r="G7862" s="11" t="e">
        <f t="shared" si="1220"/>
        <v>#DIV/0!</v>
      </c>
      <c r="H7862" s="11" t="e">
        <f t="shared" si="1221"/>
        <v>#N/A</v>
      </c>
      <c r="I7862" s="11" t="e">
        <f t="shared" si="1222"/>
        <v>#N/A</v>
      </c>
      <c r="J7862" s="12" t="e">
        <f t="shared" si="1223"/>
        <v>#N/A</v>
      </c>
      <c r="K7862" s="17" t="e">
        <f t="shared" si="1228"/>
        <v>#N/A</v>
      </c>
      <c r="L7862" s="16">
        <f>base!X7862</f>
        <v>0</v>
      </c>
      <c r="M7862" s="11" t="e">
        <f t="shared" si="1224"/>
        <v>#DIV/0!</v>
      </c>
      <c r="N7862" s="11" t="e">
        <f t="shared" si="1225"/>
        <v>#N/A</v>
      </c>
      <c r="O7862" s="11" t="e">
        <f t="shared" si="1226"/>
        <v>#N/A</v>
      </c>
      <c r="P7862" s="12" t="e">
        <f t="shared" si="1227"/>
        <v>#N/A</v>
      </c>
      <c r="Q7862" s="17" t="e">
        <f t="shared" si="1229"/>
        <v>#N/A</v>
      </c>
    </row>
    <row r="7863" spans="1:17" x14ac:dyDescent="0.3">
      <c r="A7863" s="34">
        <f>base!J7863</f>
        <v>0</v>
      </c>
      <c r="B7863" s="34">
        <f>base!V7863</f>
        <v>0</v>
      </c>
      <c r="C7863" s="40" t="s">
        <v>11</v>
      </c>
      <c r="D7863" s="36">
        <f>base!H7863</f>
        <v>0</v>
      </c>
      <c r="E7863" s="44"/>
      <c r="F7863" s="16">
        <f>base!W7863</f>
        <v>0</v>
      </c>
      <c r="G7863" s="11" t="e">
        <f t="shared" si="1220"/>
        <v>#DIV/0!</v>
      </c>
      <c r="H7863" s="11" t="e">
        <f t="shared" si="1221"/>
        <v>#N/A</v>
      </c>
      <c r="I7863" s="11" t="e">
        <f t="shared" si="1222"/>
        <v>#N/A</v>
      </c>
      <c r="J7863" s="12" t="e">
        <f t="shared" si="1223"/>
        <v>#N/A</v>
      </c>
      <c r="K7863" s="17" t="e">
        <f t="shared" si="1228"/>
        <v>#N/A</v>
      </c>
      <c r="L7863" s="16">
        <f>base!X7863</f>
        <v>0</v>
      </c>
      <c r="M7863" s="11" t="e">
        <f t="shared" si="1224"/>
        <v>#DIV/0!</v>
      </c>
      <c r="N7863" s="11" t="e">
        <f t="shared" si="1225"/>
        <v>#N/A</v>
      </c>
      <c r="O7863" s="11" t="e">
        <f t="shared" si="1226"/>
        <v>#N/A</v>
      </c>
      <c r="P7863" s="12" t="e">
        <f t="shared" si="1227"/>
        <v>#N/A</v>
      </c>
      <c r="Q7863" s="17" t="e">
        <f t="shared" si="1229"/>
        <v>#N/A</v>
      </c>
    </row>
    <row r="7864" spans="1:17" x14ac:dyDescent="0.3">
      <c r="A7864" s="34">
        <f>base!J7864</f>
        <v>0</v>
      </c>
      <c r="B7864" s="34">
        <f>base!V7864</f>
        <v>0</v>
      </c>
      <c r="C7864" s="40" t="s">
        <v>11</v>
      </c>
      <c r="D7864" s="36">
        <f>base!H7864</f>
        <v>0</v>
      </c>
      <c r="E7864" s="44"/>
      <c r="F7864" s="16">
        <f>base!W7864</f>
        <v>0</v>
      </c>
      <c r="G7864" s="11" t="e">
        <f t="shared" si="1220"/>
        <v>#DIV/0!</v>
      </c>
      <c r="H7864" s="11" t="e">
        <f t="shared" si="1221"/>
        <v>#N/A</v>
      </c>
      <c r="I7864" s="11" t="e">
        <f t="shared" si="1222"/>
        <v>#N/A</v>
      </c>
      <c r="J7864" s="12" t="e">
        <f t="shared" si="1223"/>
        <v>#N/A</v>
      </c>
      <c r="K7864" s="17" t="e">
        <f t="shared" si="1228"/>
        <v>#N/A</v>
      </c>
      <c r="L7864" s="16">
        <f>base!X7864</f>
        <v>0</v>
      </c>
      <c r="M7864" s="11" t="e">
        <f t="shared" si="1224"/>
        <v>#DIV/0!</v>
      </c>
      <c r="N7864" s="11" t="e">
        <f t="shared" si="1225"/>
        <v>#N/A</v>
      </c>
      <c r="O7864" s="11" t="e">
        <f t="shared" si="1226"/>
        <v>#N/A</v>
      </c>
      <c r="P7864" s="12" t="e">
        <f t="shared" si="1227"/>
        <v>#N/A</v>
      </c>
      <c r="Q7864" s="17" t="e">
        <f t="shared" si="1229"/>
        <v>#N/A</v>
      </c>
    </row>
    <row r="7865" spans="1:17" x14ac:dyDescent="0.3">
      <c r="A7865" s="34">
        <f>base!J7865</f>
        <v>0</v>
      </c>
      <c r="B7865" s="34">
        <f>base!V7865</f>
        <v>0</v>
      </c>
      <c r="C7865" s="40" t="s">
        <v>11</v>
      </c>
      <c r="D7865" s="36">
        <f>base!H7865</f>
        <v>0</v>
      </c>
      <c r="E7865" s="44"/>
      <c r="F7865" s="16">
        <f>base!W7865</f>
        <v>0</v>
      </c>
      <c r="G7865" s="11" t="e">
        <f t="shared" si="1220"/>
        <v>#DIV/0!</v>
      </c>
      <c r="H7865" s="11" t="e">
        <f t="shared" si="1221"/>
        <v>#N/A</v>
      </c>
      <c r="I7865" s="11" t="e">
        <f t="shared" si="1222"/>
        <v>#N/A</v>
      </c>
      <c r="J7865" s="12" t="e">
        <f t="shared" si="1223"/>
        <v>#N/A</v>
      </c>
      <c r="K7865" s="17" t="e">
        <f t="shared" si="1228"/>
        <v>#N/A</v>
      </c>
      <c r="L7865" s="16">
        <f>base!X7865</f>
        <v>0</v>
      </c>
      <c r="M7865" s="11" t="e">
        <f t="shared" si="1224"/>
        <v>#DIV/0!</v>
      </c>
      <c r="N7865" s="11" t="e">
        <f t="shared" si="1225"/>
        <v>#N/A</v>
      </c>
      <c r="O7865" s="11" t="e">
        <f t="shared" si="1226"/>
        <v>#N/A</v>
      </c>
      <c r="P7865" s="12" t="e">
        <f t="shared" si="1227"/>
        <v>#N/A</v>
      </c>
      <c r="Q7865" s="17" t="e">
        <f t="shared" si="1229"/>
        <v>#N/A</v>
      </c>
    </row>
    <row r="7866" spans="1:17" x14ac:dyDescent="0.3">
      <c r="A7866" s="34">
        <f>base!J7866</f>
        <v>0</v>
      </c>
      <c r="B7866" s="34">
        <f>base!V7866</f>
        <v>0</v>
      </c>
      <c r="C7866" s="40" t="s">
        <v>11</v>
      </c>
      <c r="D7866" s="36">
        <f>base!H7866</f>
        <v>0</v>
      </c>
      <c r="E7866" s="44"/>
      <c r="F7866" s="16">
        <f>base!W7866</f>
        <v>0</v>
      </c>
      <c r="G7866" s="11" t="e">
        <f t="shared" si="1220"/>
        <v>#DIV/0!</v>
      </c>
      <c r="H7866" s="11" t="e">
        <f t="shared" si="1221"/>
        <v>#N/A</v>
      </c>
      <c r="I7866" s="11" t="e">
        <f t="shared" si="1222"/>
        <v>#N/A</v>
      </c>
      <c r="J7866" s="12" t="e">
        <f t="shared" si="1223"/>
        <v>#N/A</v>
      </c>
      <c r="K7866" s="17" t="e">
        <f t="shared" si="1228"/>
        <v>#N/A</v>
      </c>
      <c r="L7866" s="16">
        <f>base!X7866</f>
        <v>0</v>
      </c>
      <c r="M7866" s="11" t="e">
        <f t="shared" si="1224"/>
        <v>#DIV/0!</v>
      </c>
      <c r="N7866" s="11" t="e">
        <f t="shared" si="1225"/>
        <v>#N/A</v>
      </c>
      <c r="O7866" s="11" t="e">
        <f t="shared" si="1226"/>
        <v>#N/A</v>
      </c>
      <c r="P7866" s="12" t="e">
        <f t="shared" si="1227"/>
        <v>#N/A</v>
      </c>
      <c r="Q7866" s="17" t="e">
        <f t="shared" si="1229"/>
        <v>#N/A</v>
      </c>
    </row>
    <row r="7867" spans="1:17" x14ac:dyDescent="0.3">
      <c r="A7867" s="34">
        <f>base!J7867</f>
        <v>0</v>
      </c>
      <c r="B7867" s="34">
        <f>base!V7867</f>
        <v>0</v>
      </c>
      <c r="C7867" s="40" t="s">
        <v>11</v>
      </c>
      <c r="D7867" s="36">
        <f>base!H7867</f>
        <v>0</v>
      </c>
      <c r="E7867" s="44"/>
      <c r="F7867" s="16">
        <f>base!W7867</f>
        <v>0</v>
      </c>
      <c r="G7867" s="11" t="e">
        <f t="shared" si="1220"/>
        <v>#DIV/0!</v>
      </c>
      <c r="H7867" s="11" t="e">
        <f t="shared" si="1221"/>
        <v>#N/A</v>
      </c>
      <c r="I7867" s="11" t="e">
        <f t="shared" si="1222"/>
        <v>#N/A</v>
      </c>
      <c r="J7867" s="12" t="e">
        <f t="shared" si="1223"/>
        <v>#N/A</v>
      </c>
      <c r="K7867" s="17" t="e">
        <f t="shared" si="1228"/>
        <v>#N/A</v>
      </c>
      <c r="L7867" s="16">
        <f>base!X7867</f>
        <v>0</v>
      </c>
      <c r="M7867" s="11" t="e">
        <f t="shared" si="1224"/>
        <v>#DIV/0!</v>
      </c>
      <c r="N7867" s="11" t="e">
        <f t="shared" si="1225"/>
        <v>#N/A</v>
      </c>
      <c r="O7867" s="11" t="e">
        <f t="shared" si="1226"/>
        <v>#N/A</v>
      </c>
      <c r="P7867" s="12" t="e">
        <f t="shared" si="1227"/>
        <v>#N/A</v>
      </c>
      <c r="Q7867" s="17" t="e">
        <f t="shared" si="1229"/>
        <v>#N/A</v>
      </c>
    </row>
    <row r="7868" spans="1:17" x14ac:dyDescent="0.3">
      <c r="A7868" s="34">
        <f>base!J7868</f>
        <v>0</v>
      </c>
      <c r="B7868" s="34">
        <f>base!V7868</f>
        <v>0</v>
      </c>
      <c r="C7868" s="40" t="s">
        <v>11</v>
      </c>
      <c r="D7868" s="36">
        <f>base!H7868</f>
        <v>0</v>
      </c>
      <c r="E7868" s="44"/>
      <c r="F7868" s="16">
        <f>base!W7868</f>
        <v>0</v>
      </c>
      <c r="G7868" s="11" t="e">
        <f t="shared" si="1220"/>
        <v>#DIV/0!</v>
      </c>
      <c r="H7868" s="11" t="e">
        <f t="shared" si="1221"/>
        <v>#N/A</v>
      </c>
      <c r="I7868" s="11" t="e">
        <f t="shared" si="1222"/>
        <v>#N/A</v>
      </c>
      <c r="J7868" s="12" t="e">
        <f t="shared" si="1223"/>
        <v>#N/A</v>
      </c>
      <c r="K7868" s="17" t="e">
        <f t="shared" si="1228"/>
        <v>#N/A</v>
      </c>
      <c r="L7868" s="16">
        <f>base!X7868</f>
        <v>0</v>
      </c>
      <c r="M7868" s="11" t="e">
        <f t="shared" si="1224"/>
        <v>#DIV/0!</v>
      </c>
      <c r="N7868" s="11" t="e">
        <f t="shared" si="1225"/>
        <v>#N/A</v>
      </c>
      <c r="O7868" s="11" t="e">
        <f t="shared" si="1226"/>
        <v>#N/A</v>
      </c>
      <c r="P7868" s="12" t="e">
        <f t="shared" si="1227"/>
        <v>#N/A</v>
      </c>
      <c r="Q7868" s="17" t="e">
        <f t="shared" si="1229"/>
        <v>#N/A</v>
      </c>
    </row>
    <row r="7869" spans="1:17" x14ac:dyDescent="0.3">
      <c r="A7869" s="34">
        <f>base!J7869</f>
        <v>0</v>
      </c>
      <c r="B7869" s="34">
        <f>base!V7869</f>
        <v>0</v>
      </c>
      <c r="C7869" s="40" t="s">
        <v>11</v>
      </c>
      <c r="D7869" s="36">
        <f>base!H7869</f>
        <v>0</v>
      </c>
      <c r="E7869" s="44"/>
      <c r="F7869" s="16">
        <f>base!W7869</f>
        <v>0</v>
      </c>
      <c r="G7869" s="11" t="e">
        <f t="shared" si="1220"/>
        <v>#DIV/0!</v>
      </c>
      <c r="H7869" s="11" t="e">
        <f t="shared" si="1221"/>
        <v>#N/A</v>
      </c>
      <c r="I7869" s="11" t="e">
        <f t="shared" si="1222"/>
        <v>#N/A</v>
      </c>
      <c r="J7869" s="12" t="e">
        <f t="shared" si="1223"/>
        <v>#N/A</v>
      </c>
      <c r="K7869" s="17" t="e">
        <f t="shared" si="1228"/>
        <v>#N/A</v>
      </c>
      <c r="L7869" s="16">
        <f>base!X7869</f>
        <v>0</v>
      </c>
      <c r="M7869" s="11" t="e">
        <f t="shared" si="1224"/>
        <v>#DIV/0!</v>
      </c>
      <c r="N7869" s="11" t="e">
        <f t="shared" si="1225"/>
        <v>#N/A</v>
      </c>
      <c r="O7869" s="11" t="e">
        <f t="shared" si="1226"/>
        <v>#N/A</v>
      </c>
      <c r="P7869" s="12" t="e">
        <f t="shared" si="1227"/>
        <v>#N/A</v>
      </c>
      <c r="Q7869" s="17" t="e">
        <f t="shared" si="1229"/>
        <v>#N/A</v>
      </c>
    </row>
    <row r="7870" spans="1:17" x14ac:dyDescent="0.3">
      <c r="A7870" s="34">
        <f>base!J7870</f>
        <v>0</v>
      </c>
      <c r="B7870" s="34">
        <f>base!V7870</f>
        <v>0</v>
      </c>
      <c r="C7870" s="40" t="s">
        <v>11</v>
      </c>
      <c r="D7870" s="36">
        <f>base!H7870</f>
        <v>0</v>
      </c>
      <c r="E7870" s="44"/>
      <c r="F7870" s="16">
        <f>base!W7870</f>
        <v>0</v>
      </c>
      <c r="G7870" s="11" t="e">
        <f t="shared" si="1220"/>
        <v>#DIV/0!</v>
      </c>
      <c r="H7870" s="11" t="e">
        <f t="shared" si="1221"/>
        <v>#N/A</v>
      </c>
      <c r="I7870" s="11" t="e">
        <f t="shared" si="1222"/>
        <v>#N/A</v>
      </c>
      <c r="J7870" s="12" t="e">
        <f t="shared" si="1223"/>
        <v>#N/A</v>
      </c>
      <c r="K7870" s="17" t="e">
        <f t="shared" si="1228"/>
        <v>#N/A</v>
      </c>
      <c r="L7870" s="16">
        <f>base!X7870</f>
        <v>0</v>
      </c>
      <c r="M7870" s="11" t="e">
        <f t="shared" si="1224"/>
        <v>#DIV/0!</v>
      </c>
      <c r="N7870" s="11" t="e">
        <f t="shared" si="1225"/>
        <v>#N/A</v>
      </c>
      <c r="O7870" s="11" t="e">
        <f t="shared" si="1226"/>
        <v>#N/A</v>
      </c>
      <c r="P7870" s="12" t="e">
        <f t="shared" si="1227"/>
        <v>#N/A</v>
      </c>
      <c r="Q7870" s="17" t="e">
        <f t="shared" si="1229"/>
        <v>#N/A</v>
      </c>
    </row>
    <row r="7871" spans="1:17" x14ac:dyDescent="0.3">
      <c r="A7871" s="34">
        <f>base!J7871</f>
        <v>0</v>
      </c>
      <c r="B7871" s="34">
        <f>base!V7871</f>
        <v>0</v>
      </c>
      <c r="C7871" s="40" t="s">
        <v>11</v>
      </c>
      <c r="D7871" s="36">
        <f>base!H7871</f>
        <v>0</v>
      </c>
      <c r="E7871" s="44"/>
      <c r="F7871" s="16">
        <f>base!W7871</f>
        <v>0</v>
      </c>
      <c r="G7871" s="11" t="e">
        <f t="shared" si="1220"/>
        <v>#DIV/0!</v>
      </c>
      <c r="H7871" s="11" t="e">
        <f t="shared" si="1221"/>
        <v>#N/A</v>
      </c>
      <c r="I7871" s="11" t="e">
        <f t="shared" si="1222"/>
        <v>#N/A</v>
      </c>
      <c r="J7871" s="12" t="e">
        <f t="shared" si="1223"/>
        <v>#N/A</v>
      </c>
      <c r="K7871" s="17" t="e">
        <f t="shared" si="1228"/>
        <v>#N/A</v>
      </c>
      <c r="L7871" s="16">
        <f>base!X7871</f>
        <v>0</v>
      </c>
      <c r="M7871" s="11" t="e">
        <f t="shared" si="1224"/>
        <v>#DIV/0!</v>
      </c>
      <c r="N7871" s="11" t="e">
        <f t="shared" si="1225"/>
        <v>#N/A</v>
      </c>
      <c r="O7871" s="11" t="e">
        <f t="shared" si="1226"/>
        <v>#N/A</v>
      </c>
      <c r="P7871" s="12" t="e">
        <f t="shared" si="1227"/>
        <v>#N/A</v>
      </c>
      <c r="Q7871" s="17" t="e">
        <f t="shared" si="1229"/>
        <v>#N/A</v>
      </c>
    </row>
    <row r="7872" spans="1:17" x14ac:dyDescent="0.3">
      <c r="A7872" s="34">
        <f>base!J7872</f>
        <v>0</v>
      </c>
      <c r="B7872" s="34">
        <f>base!V7872</f>
        <v>0</v>
      </c>
      <c r="C7872" s="40" t="s">
        <v>11</v>
      </c>
      <c r="D7872" s="36">
        <f>base!H7872</f>
        <v>0</v>
      </c>
      <c r="E7872" s="44"/>
      <c r="F7872" s="16">
        <f>base!W7872</f>
        <v>0</v>
      </c>
      <c r="G7872" s="11" t="e">
        <f t="shared" si="1220"/>
        <v>#DIV/0!</v>
      </c>
      <c r="H7872" s="11" t="e">
        <f t="shared" si="1221"/>
        <v>#N/A</v>
      </c>
      <c r="I7872" s="11" t="e">
        <f t="shared" si="1222"/>
        <v>#N/A</v>
      </c>
      <c r="J7872" s="12" t="e">
        <f t="shared" si="1223"/>
        <v>#N/A</v>
      </c>
      <c r="K7872" s="17" t="e">
        <f t="shared" si="1228"/>
        <v>#N/A</v>
      </c>
      <c r="L7872" s="16">
        <f>base!X7872</f>
        <v>0</v>
      </c>
      <c r="M7872" s="11" t="e">
        <f t="shared" si="1224"/>
        <v>#DIV/0!</v>
      </c>
      <c r="N7872" s="11" t="e">
        <f t="shared" si="1225"/>
        <v>#N/A</v>
      </c>
      <c r="O7872" s="11" t="e">
        <f t="shared" si="1226"/>
        <v>#N/A</v>
      </c>
      <c r="P7872" s="12" t="e">
        <f t="shared" si="1227"/>
        <v>#N/A</v>
      </c>
      <c r="Q7872" s="17" t="e">
        <f t="shared" si="1229"/>
        <v>#N/A</v>
      </c>
    </row>
    <row r="7873" spans="1:17" x14ac:dyDescent="0.3">
      <c r="A7873" s="34">
        <f>base!J7873</f>
        <v>0</v>
      </c>
      <c r="B7873" s="34">
        <f>base!V7873</f>
        <v>0</v>
      </c>
      <c r="C7873" s="40" t="s">
        <v>11</v>
      </c>
      <c r="D7873" s="36">
        <f>base!H7873</f>
        <v>0</v>
      </c>
      <c r="E7873" s="44"/>
      <c r="F7873" s="16">
        <f>base!W7873</f>
        <v>0</v>
      </c>
      <c r="G7873" s="11" t="e">
        <f t="shared" si="1220"/>
        <v>#DIV/0!</v>
      </c>
      <c r="H7873" s="11" t="e">
        <f t="shared" si="1221"/>
        <v>#N/A</v>
      </c>
      <c r="I7873" s="11" t="e">
        <f t="shared" si="1222"/>
        <v>#N/A</v>
      </c>
      <c r="J7873" s="12" t="e">
        <f t="shared" si="1223"/>
        <v>#N/A</v>
      </c>
      <c r="K7873" s="17" t="e">
        <f t="shared" si="1228"/>
        <v>#N/A</v>
      </c>
      <c r="L7873" s="16">
        <f>base!X7873</f>
        <v>0</v>
      </c>
      <c r="M7873" s="11" t="e">
        <f t="shared" si="1224"/>
        <v>#DIV/0!</v>
      </c>
      <c r="N7873" s="11" t="e">
        <f t="shared" si="1225"/>
        <v>#N/A</v>
      </c>
      <c r="O7873" s="11" t="e">
        <f t="shared" si="1226"/>
        <v>#N/A</v>
      </c>
      <c r="P7873" s="12" t="e">
        <f t="shared" si="1227"/>
        <v>#N/A</v>
      </c>
      <c r="Q7873" s="17" t="e">
        <f t="shared" si="1229"/>
        <v>#N/A</v>
      </c>
    </row>
    <row r="7874" spans="1:17" x14ac:dyDescent="0.3">
      <c r="A7874" s="34">
        <f>base!J7874</f>
        <v>0</v>
      </c>
      <c r="B7874" s="34">
        <f>base!V7874</f>
        <v>0</v>
      </c>
      <c r="C7874" s="40" t="s">
        <v>11</v>
      </c>
      <c r="D7874" s="36">
        <f>base!H7874</f>
        <v>0</v>
      </c>
      <c r="E7874" s="44"/>
      <c r="F7874" s="16">
        <f>base!W7874</f>
        <v>0</v>
      </c>
      <c r="G7874" s="11" t="e">
        <f t="shared" ref="G7874:G7937" si="1230">F7874/D7874</f>
        <v>#DIV/0!</v>
      </c>
      <c r="H7874" s="11" t="e">
        <f t="shared" ref="H7874:H7937" si="1231">VLOOKUP(C7874,tout_cout_traction,2,FALSE)*D7874</f>
        <v>#N/A</v>
      </c>
      <c r="I7874" s="11" t="e">
        <f t="shared" ref="I7874:I7937" si="1232">H7874/D7874</f>
        <v>#N/A</v>
      </c>
      <c r="J7874" s="12" t="e">
        <f t="shared" ref="J7874:J7937" si="1233">F7874-H7874</f>
        <v>#N/A</v>
      </c>
      <c r="K7874" s="17" t="e">
        <f t="shared" si="1228"/>
        <v>#N/A</v>
      </c>
      <c r="L7874" s="16">
        <f>base!X7874</f>
        <v>0</v>
      </c>
      <c r="M7874" s="11" t="e">
        <f t="shared" ref="M7874:M7937" si="1234">L7874/D7874</f>
        <v>#DIV/0!</v>
      </c>
      <c r="N7874" s="11" t="e">
        <f t="shared" ref="N7874:N7937" si="1235">VLOOKUP(C7874,tout_cout_traction,3,FALSE)*D7874</f>
        <v>#N/A</v>
      </c>
      <c r="O7874" s="11" t="e">
        <f t="shared" ref="O7874:O7937" si="1236">N7874/D7874</f>
        <v>#N/A</v>
      </c>
      <c r="P7874" s="12" t="e">
        <f t="shared" ref="P7874:P7937" si="1237">L7874-N7874</f>
        <v>#N/A</v>
      </c>
      <c r="Q7874" s="17" t="e">
        <f t="shared" si="1229"/>
        <v>#N/A</v>
      </c>
    </row>
    <row r="7875" spans="1:17" x14ac:dyDescent="0.3">
      <c r="A7875" s="34">
        <f>base!J7875</f>
        <v>0</v>
      </c>
      <c r="B7875" s="34">
        <f>base!V7875</f>
        <v>0</v>
      </c>
      <c r="C7875" s="40" t="s">
        <v>11</v>
      </c>
      <c r="D7875" s="36">
        <f>base!H7875</f>
        <v>0</v>
      </c>
      <c r="E7875" s="44"/>
      <c r="F7875" s="16">
        <f>base!W7875</f>
        <v>0</v>
      </c>
      <c r="G7875" s="11" t="e">
        <f t="shared" si="1230"/>
        <v>#DIV/0!</v>
      </c>
      <c r="H7875" s="11" t="e">
        <f t="shared" si="1231"/>
        <v>#N/A</v>
      </c>
      <c r="I7875" s="11" t="e">
        <f t="shared" si="1232"/>
        <v>#N/A</v>
      </c>
      <c r="J7875" s="12" t="e">
        <f t="shared" si="1233"/>
        <v>#N/A</v>
      </c>
      <c r="K7875" s="17" t="e">
        <f t="shared" ref="K7875:K7938" si="1238">IF(H7875=F7875,"Pas d'écart",IF(H7875&lt;F7875,"Ecart positif",IF(H7875&gt;F7875,"Ecart négatif")))</f>
        <v>#N/A</v>
      </c>
      <c r="L7875" s="16">
        <f>base!X7875</f>
        <v>0</v>
      </c>
      <c r="M7875" s="11" t="e">
        <f t="shared" si="1234"/>
        <v>#DIV/0!</v>
      </c>
      <c r="N7875" s="11" t="e">
        <f t="shared" si="1235"/>
        <v>#N/A</v>
      </c>
      <c r="O7875" s="11" t="e">
        <f t="shared" si="1236"/>
        <v>#N/A</v>
      </c>
      <c r="P7875" s="12" t="e">
        <f t="shared" si="1237"/>
        <v>#N/A</v>
      </c>
      <c r="Q7875" s="17" t="e">
        <f t="shared" ref="Q7875:Q7938" si="1239">IF(N7875=L7875,"Pas d'écart",IF(N7875&lt;L7875,"Ecart positif",IF(N7875&gt;L7875,"Ecart négatif")))</f>
        <v>#N/A</v>
      </c>
    </row>
    <row r="7876" spans="1:17" x14ac:dyDescent="0.3">
      <c r="A7876" s="34">
        <f>base!J7876</f>
        <v>0</v>
      </c>
      <c r="B7876" s="34">
        <f>base!V7876</f>
        <v>0</v>
      </c>
      <c r="C7876" s="40" t="s">
        <v>11</v>
      </c>
      <c r="D7876" s="36">
        <f>base!H7876</f>
        <v>0</v>
      </c>
      <c r="E7876" s="44"/>
      <c r="F7876" s="16">
        <f>base!W7876</f>
        <v>0</v>
      </c>
      <c r="G7876" s="11" t="e">
        <f t="shared" si="1230"/>
        <v>#DIV/0!</v>
      </c>
      <c r="H7876" s="11" t="e">
        <f t="shared" si="1231"/>
        <v>#N/A</v>
      </c>
      <c r="I7876" s="11" t="e">
        <f t="shared" si="1232"/>
        <v>#N/A</v>
      </c>
      <c r="J7876" s="12" t="e">
        <f t="shared" si="1233"/>
        <v>#N/A</v>
      </c>
      <c r="K7876" s="17" t="e">
        <f t="shared" si="1238"/>
        <v>#N/A</v>
      </c>
      <c r="L7876" s="16">
        <f>base!X7876</f>
        <v>0</v>
      </c>
      <c r="M7876" s="11" t="e">
        <f t="shared" si="1234"/>
        <v>#DIV/0!</v>
      </c>
      <c r="N7876" s="11" t="e">
        <f t="shared" si="1235"/>
        <v>#N/A</v>
      </c>
      <c r="O7876" s="11" t="e">
        <f t="shared" si="1236"/>
        <v>#N/A</v>
      </c>
      <c r="P7876" s="12" t="e">
        <f t="shared" si="1237"/>
        <v>#N/A</v>
      </c>
      <c r="Q7876" s="17" t="e">
        <f t="shared" si="1239"/>
        <v>#N/A</v>
      </c>
    </row>
    <row r="7877" spans="1:17" x14ac:dyDescent="0.3">
      <c r="A7877" s="34">
        <f>base!J7877</f>
        <v>0</v>
      </c>
      <c r="B7877" s="34">
        <f>base!V7877</f>
        <v>0</v>
      </c>
      <c r="C7877" s="40" t="s">
        <v>11</v>
      </c>
      <c r="D7877" s="36">
        <f>base!H7877</f>
        <v>0</v>
      </c>
      <c r="E7877" s="44"/>
      <c r="F7877" s="16">
        <f>base!W7877</f>
        <v>0</v>
      </c>
      <c r="G7877" s="11" t="e">
        <f t="shared" si="1230"/>
        <v>#DIV/0!</v>
      </c>
      <c r="H7877" s="11" t="e">
        <f t="shared" si="1231"/>
        <v>#N/A</v>
      </c>
      <c r="I7877" s="11" t="e">
        <f t="shared" si="1232"/>
        <v>#N/A</v>
      </c>
      <c r="J7877" s="12" t="e">
        <f t="shared" si="1233"/>
        <v>#N/A</v>
      </c>
      <c r="K7877" s="17" t="e">
        <f t="shared" si="1238"/>
        <v>#N/A</v>
      </c>
      <c r="L7877" s="16">
        <f>base!X7877</f>
        <v>0</v>
      </c>
      <c r="M7877" s="11" t="e">
        <f t="shared" si="1234"/>
        <v>#DIV/0!</v>
      </c>
      <c r="N7877" s="11" t="e">
        <f t="shared" si="1235"/>
        <v>#N/A</v>
      </c>
      <c r="O7877" s="11" t="e">
        <f t="shared" si="1236"/>
        <v>#N/A</v>
      </c>
      <c r="P7877" s="12" t="e">
        <f t="shared" si="1237"/>
        <v>#N/A</v>
      </c>
      <c r="Q7877" s="17" t="e">
        <f t="shared" si="1239"/>
        <v>#N/A</v>
      </c>
    </row>
    <row r="7878" spans="1:17" x14ac:dyDescent="0.3">
      <c r="A7878" s="34">
        <f>base!J7878</f>
        <v>0</v>
      </c>
      <c r="B7878" s="34">
        <f>base!V7878</f>
        <v>0</v>
      </c>
      <c r="C7878" s="40" t="s">
        <v>11</v>
      </c>
      <c r="D7878" s="36">
        <f>base!H7878</f>
        <v>0</v>
      </c>
      <c r="E7878" s="44"/>
      <c r="F7878" s="16">
        <f>base!W7878</f>
        <v>0</v>
      </c>
      <c r="G7878" s="11" t="e">
        <f t="shared" si="1230"/>
        <v>#DIV/0!</v>
      </c>
      <c r="H7878" s="11" t="e">
        <f t="shared" si="1231"/>
        <v>#N/A</v>
      </c>
      <c r="I7878" s="11" t="e">
        <f t="shared" si="1232"/>
        <v>#N/A</v>
      </c>
      <c r="J7878" s="12" t="e">
        <f t="shared" si="1233"/>
        <v>#N/A</v>
      </c>
      <c r="K7878" s="17" t="e">
        <f t="shared" si="1238"/>
        <v>#N/A</v>
      </c>
      <c r="L7878" s="16">
        <f>base!X7878</f>
        <v>0</v>
      </c>
      <c r="M7878" s="11" t="e">
        <f t="shared" si="1234"/>
        <v>#DIV/0!</v>
      </c>
      <c r="N7878" s="11" t="e">
        <f t="shared" si="1235"/>
        <v>#N/A</v>
      </c>
      <c r="O7878" s="11" t="e">
        <f t="shared" si="1236"/>
        <v>#N/A</v>
      </c>
      <c r="P7878" s="12" t="e">
        <f t="shared" si="1237"/>
        <v>#N/A</v>
      </c>
      <c r="Q7878" s="17" t="e">
        <f t="shared" si="1239"/>
        <v>#N/A</v>
      </c>
    </row>
    <row r="7879" spans="1:17" x14ac:dyDescent="0.3">
      <c r="A7879" s="34">
        <f>base!J7879</f>
        <v>0</v>
      </c>
      <c r="B7879" s="34">
        <f>base!V7879</f>
        <v>0</v>
      </c>
      <c r="C7879" s="40" t="s">
        <v>11</v>
      </c>
      <c r="D7879" s="36">
        <f>base!H7879</f>
        <v>0</v>
      </c>
      <c r="E7879" s="44"/>
      <c r="F7879" s="16">
        <f>base!W7879</f>
        <v>0</v>
      </c>
      <c r="G7879" s="11" t="e">
        <f t="shared" si="1230"/>
        <v>#DIV/0!</v>
      </c>
      <c r="H7879" s="11" t="e">
        <f t="shared" si="1231"/>
        <v>#N/A</v>
      </c>
      <c r="I7879" s="11" t="e">
        <f t="shared" si="1232"/>
        <v>#N/A</v>
      </c>
      <c r="J7879" s="12" t="e">
        <f t="shared" si="1233"/>
        <v>#N/A</v>
      </c>
      <c r="K7879" s="17" t="e">
        <f t="shared" si="1238"/>
        <v>#N/A</v>
      </c>
      <c r="L7879" s="16">
        <f>base!X7879</f>
        <v>0</v>
      </c>
      <c r="M7879" s="11" t="e">
        <f t="shared" si="1234"/>
        <v>#DIV/0!</v>
      </c>
      <c r="N7879" s="11" t="e">
        <f t="shared" si="1235"/>
        <v>#N/A</v>
      </c>
      <c r="O7879" s="11" t="e">
        <f t="shared" si="1236"/>
        <v>#N/A</v>
      </c>
      <c r="P7879" s="12" t="e">
        <f t="shared" si="1237"/>
        <v>#N/A</v>
      </c>
      <c r="Q7879" s="17" t="e">
        <f t="shared" si="1239"/>
        <v>#N/A</v>
      </c>
    </row>
    <row r="7880" spans="1:17" x14ac:dyDescent="0.3">
      <c r="A7880" s="34">
        <f>base!J7880</f>
        <v>0</v>
      </c>
      <c r="B7880" s="34">
        <f>base!V7880</f>
        <v>0</v>
      </c>
      <c r="C7880" s="40" t="s">
        <v>11</v>
      </c>
      <c r="D7880" s="36">
        <f>base!H7880</f>
        <v>0</v>
      </c>
      <c r="E7880" s="44"/>
      <c r="F7880" s="16">
        <f>base!W7880</f>
        <v>0</v>
      </c>
      <c r="G7880" s="11" t="e">
        <f t="shared" si="1230"/>
        <v>#DIV/0!</v>
      </c>
      <c r="H7880" s="11" t="e">
        <f t="shared" si="1231"/>
        <v>#N/A</v>
      </c>
      <c r="I7880" s="11" t="e">
        <f t="shared" si="1232"/>
        <v>#N/A</v>
      </c>
      <c r="J7880" s="12" t="e">
        <f t="shared" si="1233"/>
        <v>#N/A</v>
      </c>
      <c r="K7880" s="17" t="e">
        <f t="shared" si="1238"/>
        <v>#N/A</v>
      </c>
      <c r="L7880" s="16">
        <f>base!X7880</f>
        <v>0</v>
      </c>
      <c r="M7880" s="11" t="e">
        <f t="shared" si="1234"/>
        <v>#DIV/0!</v>
      </c>
      <c r="N7880" s="11" t="e">
        <f t="shared" si="1235"/>
        <v>#N/A</v>
      </c>
      <c r="O7880" s="11" t="e">
        <f t="shared" si="1236"/>
        <v>#N/A</v>
      </c>
      <c r="P7880" s="12" t="e">
        <f t="shared" si="1237"/>
        <v>#N/A</v>
      </c>
      <c r="Q7880" s="17" t="e">
        <f t="shared" si="1239"/>
        <v>#N/A</v>
      </c>
    </row>
    <row r="7881" spans="1:17" x14ac:dyDescent="0.3">
      <c r="A7881" s="34">
        <f>base!J7881</f>
        <v>0</v>
      </c>
      <c r="B7881" s="34">
        <f>base!V7881</f>
        <v>0</v>
      </c>
      <c r="C7881" s="40" t="s">
        <v>11</v>
      </c>
      <c r="D7881" s="36">
        <f>base!H7881</f>
        <v>0</v>
      </c>
      <c r="E7881" s="44"/>
      <c r="F7881" s="16">
        <f>base!W7881</f>
        <v>0</v>
      </c>
      <c r="G7881" s="11" t="e">
        <f t="shared" si="1230"/>
        <v>#DIV/0!</v>
      </c>
      <c r="H7881" s="11" t="e">
        <f t="shared" si="1231"/>
        <v>#N/A</v>
      </c>
      <c r="I7881" s="11" t="e">
        <f t="shared" si="1232"/>
        <v>#N/A</v>
      </c>
      <c r="J7881" s="12" t="e">
        <f t="shared" si="1233"/>
        <v>#N/A</v>
      </c>
      <c r="K7881" s="17" t="e">
        <f t="shared" si="1238"/>
        <v>#N/A</v>
      </c>
      <c r="L7881" s="16">
        <f>base!X7881</f>
        <v>0</v>
      </c>
      <c r="M7881" s="11" t="e">
        <f t="shared" si="1234"/>
        <v>#DIV/0!</v>
      </c>
      <c r="N7881" s="11" t="e">
        <f t="shared" si="1235"/>
        <v>#N/A</v>
      </c>
      <c r="O7881" s="11" t="e">
        <f t="shared" si="1236"/>
        <v>#N/A</v>
      </c>
      <c r="P7881" s="12" t="e">
        <f t="shared" si="1237"/>
        <v>#N/A</v>
      </c>
      <c r="Q7881" s="17" t="e">
        <f t="shared" si="1239"/>
        <v>#N/A</v>
      </c>
    </row>
    <row r="7882" spans="1:17" x14ac:dyDescent="0.3">
      <c r="A7882" s="34">
        <f>base!J7882</f>
        <v>0</v>
      </c>
      <c r="B7882" s="34">
        <f>base!V7882</f>
        <v>0</v>
      </c>
      <c r="C7882" s="40" t="s">
        <v>11</v>
      </c>
      <c r="D7882" s="36">
        <f>base!H7882</f>
        <v>0</v>
      </c>
      <c r="E7882" s="44"/>
      <c r="F7882" s="16">
        <f>base!W7882</f>
        <v>0</v>
      </c>
      <c r="G7882" s="11" t="e">
        <f t="shared" si="1230"/>
        <v>#DIV/0!</v>
      </c>
      <c r="H7882" s="11" t="e">
        <f t="shared" si="1231"/>
        <v>#N/A</v>
      </c>
      <c r="I7882" s="11" t="e">
        <f t="shared" si="1232"/>
        <v>#N/A</v>
      </c>
      <c r="J7882" s="12" t="e">
        <f t="shared" si="1233"/>
        <v>#N/A</v>
      </c>
      <c r="K7882" s="17" t="e">
        <f t="shared" si="1238"/>
        <v>#N/A</v>
      </c>
      <c r="L7882" s="16">
        <f>base!X7882</f>
        <v>0</v>
      </c>
      <c r="M7882" s="11" t="e">
        <f t="shared" si="1234"/>
        <v>#DIV/0!</v>
      </c>
      <c r="N7882" s="11" t="e">
        <f t="shared" si="1235"/>
        <v>#N/A</v>
      </c>
      <c r="O7882" s="11" t="e">
        <f t="shared" si="1236"/>
        <v>#N/A</v>
      </c>
      <c r="P7882" s="12" t="e">
        <f t="shared" si="1237"/>
        <v>#N/A</v>
      </c>
      <c r="Q7882" s="17" t="e">
        <f t="shared" si="1239"/>
        <v>#N/A</v>
      </c>
    </row>
    <row r="7883" spans="1:17" x14ac:dyDescent="0.3">
      <c r="A7883" s="34">
        <f>base!J7883</f>
        <v>0</v>
      </c>
      <c r="B7883" s="34">
        <f>base!V7883</f>
        <v>0</v>
      </c>
      <c r="C7883" s="40" t="s">
        <v>11</v>
      </c>
      <c r="D7883" s="36">
        <f>base!H7883</f>
        <v>0</v>
      </c>
      <c r="E7883" s="44"/>
      <c r="F7883" s="16">
        <f>base!W7883</f>
        <v>0</v>
      </c>
      <c r="G7883" s="11" t="e">
        <f t="shared" si="1230"/>
        <v>#DIV/0!</v>
      </c>
      <c r="H7883" s="11" t="e">
        <f t="shared" si="1231"/>
        <v>#N/A</v>
      </c>
      <c r="I7883" s="11" t="e">
        <f t="shared" si="1232"/>
        <v>#N/A</v>
      </c>
      <c r="J7883" s="12" t="e">
        <f t="shared" si="1233"/>
        <v>#N/A</v>
      </c>
      <c r="K7883" s="17" t="e">
        <f t="shared" si="1238"/>
        <v>#N/A</v>
      </c>
      <c r="L7883" s="16">
        <f>base!X7883</f>
        <v>0</v>
      </c>
      <c r="M7883" s="11" t="e">
        <f t="shared" si="1234"/>
        <v>#DIV/0!</v>
      </c>
      <c r="N7883" s="11" t="e">
        <f t="shared" si="1235"/>
        <v>#N/A</v>
      </c>
      <c r="O7883" s="11" t="e">
        <f t="shared" si="1236"/>
        <v>#N/A</v>
      </c>
      <c r="P7883" s="12" t="e">
        <f t="shared" si="1237"/>
        <v>#N/A</v>
      </c>
      <c r="Q7883" s="17" t="e">
        <f t="shared" si="1239"/>
        <v>#N/A</v>
      </c>
    </row>
    <row r="7884" spans="1:17" x14ac:dyDescent="0.3">
      <c r="A7884" s="34">
        <f>base!J7884</f>
        <v>0</v>
      </c>
      <c r="B7884" s="34">
        <f>base!V7884</f>
        <v>0</v>
      </c>
      <c r="C7884" s="40" t="s">
        <v>11</v>
      </c>
      <c r="D7884" s="36">
        <f>base!H7884</f>
        <v>0</v>
      </c>
      <c r="E7884" s="44"/>
      <c r="F7884" s="16">
        <f>base!W7884</f>
        <v>0</v>
      </c>
      <c r="G7884" s="11" t="e">
        <f t="shared" si="1230"/>
        <v>#DIV/0!</v>
      </c>
      <c r="H7884" s="11" t="e">
        <f t="shared" si="1231"/>
        <v>#N/A</v>
      </c>
      <c r="I7884" s="11" t="e">
        <f t="shared" si="1232"/>
        <v>#N/A</v>
      </c>
      <c r="J7884" s="12" t="e">
        <f t="shared" si="1233"/>
        <v>#N/A</v>
      </c>
      <c r="K7884" s="17" t="e">
        <f t="shared" si="1238"/>
        <v>#N/A</v>
      </c>
      <c r="L7884" s="16">
        <f>base!X7884</f>
        <v>0</v>
      </c>
      <c r="M7884" s="11" t="e">
        <f t="shared" si="1234"/>
        <v>#DIV/0!</v>
      </c>
      <c r="N7884" s="11" t="e">
        <f t="shared" si="1235"/>
        <v>#N/A</v>
      </c>
      <c r="O7884" s="11" t="e">
        <f t="shared" si="1236"/>
        <v>#N/A</v>
      </c>
      <c r="P7884" s="12" t="e">
        <f t="shared" si="1237"/>
        <v>#N/A</v>
      </c>
      <c r="Q7884" s="17" t="e">
        <f t="shared" si="1239"/>
        <v>#N/A</v>
      </c>
    </row>
    <row r="7885" spans="1:17" x14ac:dyDescent="0.3">
      <c r="A7885" s="34">
        <f>base!J7885</f>
        <v>0</v>
      </c>
      <c r="B7885" s="34">
        <f>base!V7885</f>
        <v>0</v>
      </c>
      <c r="C7885" s="40" t="s">
        <v>11</v>
      </c>
      <c r="D7885" s="36">
        <f>base!H7885</f>
        <v>0</v>
      </c>
      <c r="E7885" s="44"/>
      <c r="F7885" s="16">
        <f>base!W7885</f>
        <v>0</v>
      </c>
      <c r="G7885" s="11" t="e">
        <f t="shared" si="1230"/>
        <v>#DIV/0!</v>
      </c>
      <c r="H7885" s="11" t="e">
        <f t="shared" si="1231"/>
        <v>#N/A</v>
      </c>
      <c r="I7885" s="11" t="e">
        <f t="shared" si="1232"/>
        <v>#N/A</v>
      </c>
      <c r="J7885" s="12" t="e">
        <f t="shared" si="1233"/>
        <v>#N/A</v>
      </c>
      <c r="K7885" s="17" t="e">
        <f t="shared" si="1238"/>
        <v>#N/A</v>
      </c>
      <c r="L7885" s="16">
        <f>base!X7885</f>
        <v>0</v>
      </c>
      <c r="M7885" s="11" t="e">
        <f t="shared" si="1234"/>
        <v>#DIV/0!</v>
      </c>
      <c r="N7885" s="11" t="e">
        <f t="shared" si="1235"/>
        <v>#N/A</v>
      </c>
      <c r="O7885" s="11" t="e">
        <f t="shared" si="1236"/>
        <v>#N/A</v>
      </c>
      <c r="P7885" s="12" t="e">
        <f t="shared" si="1237"/>
        <v>#N/A</v>
      </c>
      <c r="Q7885" s="17" t="e">
        <f t="shared" si="1239"/>
        <v>#N/A</v>
      </c>
    </row>
    <row r="7886" spans="1:17" x14ac:dyDescent="0.3">
      <c r="A7886" s="34">
        <f>base!J7886</f>
        <v>0</v>
      </c>
      <c r="B7886" s="34">
        <f>base!V7886</f>
        <v>0</v>
      </c>
      <c r="C7886" s="40" t="s">
        <v>11</v>
      </c>
      <c r="D7886" s="36">
        <f>base!H7886</f>
        <v>0</v>
      </c>
      <c r="E7886" s="44"/>
      <c r="F7886" s="16">
        <f>base!W7886</f>
        <v>0</v>
      </c>
      <c r="G7886" s="11" t="e">
        <f t="shared" si="1230"/>
        <v>#DIV/0!</v>
      </c>
      <c r="H7886" s="11" t="e">
        <f t="shared" si="1231"/>
        <v>#N/A</v>
      </c>
      <c r="I7886" s="11" t="e">
        <f t="shared" si="1232"/>
        <v>#N/A</v>
      </c>
      <c r="J7886" s="12" t="e">
        <f t="shared" si="1233"/>
        <v>#N/A</v>
      </c>
      <c r="K7886" s="17" t="e">
        <f t="shared" si="1238"/>
        <v>#N/A</v>
      </c>
      <c r="L7886" s="16">
        <f>base!X7886</f>
        <v>0</v>
      </c>
      <c r="M7886" s="11" t="e">
        <f t="shared" si="1234"/>
        <v>#DIV/0!</v>
      </c>
      <c r="N7886" s="11" t="e">
        <f t="shared" si="1235"/>
        <v>#N/A</v>
      </c>
      <c r="O7886" s="11" t="e">
        <f t="shared" si="1236"/>
        <v>#N/A</v>
      </c>
      <c r="P7886" s="12" t="e">
        <f t="shared" si="1237"/>
        <v>#N/A</v>
      </c>
      <c r="Q7886" s="17" t="e">
        <f t="shared" si="1239"/>
        <v>#N/A</v>
      </c>
    </row>
    <row r="7887" spans="1:17" x14ac:dyDescent="0.3">
      <c r="A7887" s="34">
        <f>base!J7887</f>
        <v>0</v>
      </c>
      <c r="B7887" s="34">
        <f>base!V7887</f>
        <v>0</v>
      </c>
      <c r="C7887" s="40" t="s">
        <v>11</v>
      </c>
      <c r="D7887" s="36">
        <f>base!H7887</f>
        <v>0</v>
      </c>
      <c r="E7887" s="44"/>
      <c r="F7887" s="16">
        <f>base!W7887</f>
        <v>0</v>
      </c>
      <c r="G7887" s="11" t="e">
        <f t="shared" si="1230"/>
        <v>#DIV/0!</v>
      </c>
      <c r="H7887" s="11" t="e">
        <f t="shared" si="1231"/>
        <v>#N/A</v>
      </c>
      <c r="I7887" s="11" t="e">
        <f t="shared" si="1232"/>
        <v>#N/A</v>
      </c>
      <c r="J7887" s="12" t="e">
        <f t="shared" si="1233"/>
        <v>#N/A</v>
      </c>
      <c r="K7887" s="17" t="e">
        <f t="shared" si="1238"/>
        <v>#N/A</v>
      </c>
      <c r="L7887" s="16">
        <f>base!X7887</f>
        <v>0</v>
      </c>
      <c r="M7887" s="11" t="e">
        <f t="shared" si="1234"/>
        <v>#DIV/0!</v>
      </c>
      <c r="N7887" s="11" t="e">
        <f t="shared" si="1235"/>
        <v>#N/A</v>
      </c>
      <c r="O7887" s="11" t="e">
        <f t="shared" si="1236"/>
        <v>#N/A</v>
      </c>
      <c r="P7887" s="12" t="e">
        <f t="shared" si="1237"/>
        <v>#N/A</v>
      </c>
      <c r="Q7887" s="17" t="e">
        <f t="shared" si="1239"/>
        <v>#N/A</v>
      </c>
    </row>
    <row r="7888" spans="1:17" x14ac:dyDescent="0.3">
      <c r="A7888" s="34">
        <f>base!J7888</f>
        <v>0</v>
      </c>
      <c r="B7888" s="34">
        <f>base!V7888</f>
        <v>0</v>
      </c>
      <c r="C7888" s="40" t="s">
        <v>11</v>
      </c>
      <c r="D7888" s="36">
        <f>base!H7888</f>
        <v>0</v>
      </c>
      <c r="E7888" s="44"/>
      <c r="F7888" s="16">
        <f>base!W7888</f>
        <v>0</v>
      </c>
      <c r="G7888" s="11" t="e">
        <f t="shared" si="1230"/>
        <v>#DIV/0!</v>
      </c>
      <c r="H7888" s="11" t="e">
        <f t="shared" si="1231"/>
        <v>#N/A</v>
      </c>
      <c r="I7888" s="11" t="e">
        <f t="shared" si="1232"/>
        <v>#N/A</v>
      </c>
      <c r="J7888" s="12" t="e">
        <f t="shared" si="1233"/>
        <v>#N/A</v>
      </c>
      <c r="K7888" s="17" t="e">
        <f t="shared" si="1238"/>
        <v>#N/A</v>
      </c>
      <c r="L7888" s="16">
        <f>base!X7888</f>
        <v>0</v>
      </c>
      <c r="M7888" s="11" t="e">
        <f t="shared" si="1234"/>
        <v>#DIV/0!</v>
      </c>
      <c r="N7888" s="11" t="e">
        <f t="shared" si="1235"/>
        <v>#N/A</v>
      </c>
      <c r="O7888" s="11" t="e">
        <f t="shared" si="1236"/>
        <v>#N/A</v>
      </c>
      <c r="P7888" s="12" t="e">
        <f t="shared" si="1237"/>
        <v>#N/A</v>
      </c>
      <c r="Q7888" s="17" t="e">
        <f t="shared" si="1239"/>
        <v>#N/A</v>
      </c>
    </row>
    <row r="7889" spans="1:17" x14ac:dyDescent="0.3">
      <c r="A7889" s="34">
        <f>base!J7889</f>
        <v>0</v>
      </c>
      <c r="B7889" s="34">
        <f>base!V7889</f>
        <v>0</v>
      </c>
      <c r="C7889" s="40" t="s">
        <v>11</v>
      </c>
      <c r="D7889" s="36">
        <f>base!H7889</f>
        <v>0</v>
      </c>
      <c r="E7889" s="44"/>
      <c r="F7889" s="16">
        <f>base!W7889</f>
        <v>0</v>
      </c>
      <c r="G7889" s="11" t="e">
        <f t="shared" si="1230"/>
        <v>#DIV/0!</v>
      </c>
      <c r="H7889" s="11" t="e">
        <f t="shared" si="1231"/>
        <v>#N/A</v>
      </c>
      <c r="I7889" s="11" t="e">
        <f t="shared" si="1232"/>
        <v>#N/A</v>
      </c>
      <c r="J7889" s="12" t="e">
        <f t="shared" si="1233"/>
        <v>#N/A</v>
      </c>
      <c r="K7889" s="17" t="e">
        <f t="shared" si="1238"/>
        <v>#N/A</v>
      </c>
      <c r="L7889" s="16">
        <f>base!X7889</f>
        <v>0</v>
      </c>
      <c r="M7889" s="11" t="e">
        <f t="shared" si="1234"/>
        <v>#DIV/0!</v>
      </c>
      <c r="N7889" s="11" t="e">
        <f t="shared" si="1235"/>
        <v>#N/A</v>
      </c>
      <c r="O7889" s="11" t="e">
        <f t="shared" si="1236"/>
        <v>#N/A</v>
      </c>
      <c r="P7889" s="12" t="e">
        <f t="shared" si="1237"/>
        <v>#N/A</v>
      </c>
      <c r="Q7889" s="17" t="e">
        <f t="shared" si="1239"/>
        <v>#N/A</v>
      </c>
    </row>
    <row r="7890" spans="1:17" x14ac:dyDescent="0.3">
      <c r="A7890" s="34">
        <f>base!J7890</f>
        <v>0</v>
      </c>
      <c r="B7890" s="34">
        <f>base!V7890</f>
        <v>0</v>
      </c>
      <c r="C7890" s="40" t="s">
        <v>11</v>
      </c>
      <c r="D7890" s="36">
        <f>base!H7890</f>
        <v>0</v>
      </c>
      <c r="E7890" s="44"/>
      <c r="F7890" s="16">
        <f>base!W7890</f>
        <v>0</v>
      </c>
      <c r="G7890" s="11" t="e">
        <f t="shared" si="1230"/>
        <v>#DIV/0!</v>
      </c>
      <c r="H7890" s="11" t="e">
        <f t="shared" si="1231"/>
        <v>#N/A</v>
      </c>
      <c r="I7890" s="11" t="e">
        <f t="shared" si="1232"/>
        <v>#N/A</v>
      </c>
      <c r="J7890" s="12" t="e">
        <f t="shared" si="1233"/>
        <v>#N/A</v>
      </c>
      <c r="K7890" s="17" t="e">
        <f t="shared" si="1238"/>
        <v>#N/A</v>
      </c>
      <c r="L7890" s="16">
        <f>base!X7890</f>
        <v>0</v>
      </c>
      <c r="M7890" s="11" t="e">
        <f t="shared" si="1234"/>
        <v>#DIV/0!</v>
      </c>
      <c r="N7890" s="11" t="e">
        <f t="shared" si="1235"/>
        <v>#N/A</v>
      </c>
      <c r="O7890" s="11" t="e">
        <f t="shared" si="1236"/>
        <v>#N/A</v>
      </c>
      <c r="P7890" s="12" t="e">
        <f t="shared" si="1237"/>
        <v>#N/A</v>
      </c>
      <c r="Q7890" s="17" t="e">
        <f t="shared" si="1239"/>
        <v>#N/A</v>
      </c>
    </row>
    <row r="7891" spans="1:17" x14ac:dyDescent="0.3">
      <c r="A7891" s="34">
        <f>base!J7891</f>
        <v>0</v>
      </c>
      <c r="B7891" s="34">
        <f>base!V7891</f>
        <v>0</v>
      </c>
      <c r="C7891" s="40" t="s">
        <v>11</v>
      </c>
      <c r="D7891" s="36">
        <f>base!H7891</f>
        <v>0</v>
      </c>
      <c r="E7891" s="44"/>
      <c r="F7891" s="16">
        <f>base!W7891</f>
        <v>0</v>
      </c>
      <c r="G7891" s="11" t="e">
        <f t="shared" si="1230"/>
        <v>#DIV/0!</v>
      </c>
      <c r="H7891" s="11" t="e">
        <f t="shared" si="1231"/>
        <v>#N/A</v>
      </c>
      <c r="I7891" s="11" t="e">
        <f t="shared" si="1232"/>
        <v>#N/A</v>
      </c>
      <c r="J7891" s="12" t="e">
        <f t="shared" si="1233"/>
        <v>#N/A</v>
      </c>
      <c r="K7891" s="17" t="e">
        <f t="shared" si="1238"/>
        <v>#N/A</v>
      </c>
      <c r="L7891" s="16">
        <f>base!X7891</f>
        <v>0</v>
      </c>
      <c r="M7891" s="11" t="e">
        <f t="shared" si="1234"/>
        <v>#DIV/0!</v>
      </c>
      <c r="N7891" s="11" t="e">
        <f t="shared" si="1235"/>
        <v>#N/A</v>
      </c>
      <c r="O7891" s="11" t="e">
        <f t="shared" si="1236"/>
        <v>#N/A</v>
      </c>
      <c r="P7891" s="12" t="e">
        <f t="shared" si="1237"/>
        <v>#N/A</v>
      </c>
      <c r="Q7891" s="17" t="e">
        <f t="shared" si="1239"/>
        <v>#N/A</v>
      </c>
    </row>
    <row r="7892" spans="1:17" x14ac:dyDescent="0.3">
      <c r="A7892" s="34">
        <f>base!J7892</f>
        <v>0</v>
      </c>
      <c r="B7892" s="34">
        <f>base!V7892</f>
        <v>0</v>
      </c>
      <c r="C7892" s="40" t="s">
        <v>11</v>
      </c>
      <c r="D7892" s="36">
        <f>base!H7892</f>
        <v>0</v>
      </c>
      <c r="E7892" s="44"/>
      <c r="F7892" s="16">
        <f>base!W7892</f>
        <v>0</v>
      </c>
      <c r="G7892" s="11" t="e">
        <f t="shared" si="1230"/>
        <v>#DIV/0!</v>
      </c>
      <c r="H7892" s="11" t="e">
        <f t="shared" si="1231"/>
        <v>#N/A</v>
      </c>
      <c r="I7892" s="11" t="e">
        <f t="shared" si="1232"/>
        <v>#N/A</v>
      </c>
      <c r="J7892" s="12" t="e">
        <f t="shared" si="1233"/>
        <v>#N/A</v>
      </c>
      <c r="K7892" s="17" t="e">
        <f t="shared" si="1238"/>
        <v>#N/A</v>
      </c>
      <c r="L7892" s="16">
        <f>base!X7892</f>
        <v>0</v>
      </c>
      <c r="M7892" s="11" t="e">
        <f t="shared" si="1234"/>
        <v>#DIV/0!</v>
      </c>
      <c r="N7892" s="11" t="e">
        <f t="shared" si="1235"/>
        <v>#N/A</v>
      </c>
      <c r="O7892" s="11" t="e">
        <f t="shared" si="1236"/>
        <v>#N/A</v>
      </c>
      <c r="P7892" s="12" t="e">
        <f t="shared" si="1237"/>
        <v>#N/A</v>
      </c>
      <c r="Q7892" s="17" t="e">
        <f t="shared" si="1239"/>
        <v>#N/A</v>
      </c>
    </row>
    <row r="7893" spans="1:17" x14ac:dyDescent="0.3">
      <c r="A7893" s="34">
        <f>base!J7893</f>
        <v>0</v>
      </c>
      <c r="B7893" s="34">
        <f>base!V7893</f>
        <v>0</v>
      </c>
      <c r="C7893" s="40" t="s">
        <v>11</v>
      </c>
      <c r="D7893" s="36">
        <f>base!H7893</f>
        <v>0</v>
      </c>
      <c r="E7893" s="44"/>
      <c r="F7893" s="16">
        <f>base!W7893</f>
        <v>0</v>
      </c>
      <c r="G7893" s="11" t="e">
        <f t="shared" si="1230"/>
        <v>#DIV/0!</v>
      </c>
      <c r="H7893" s="11" t="e">
        <f t="shared" si="1231"/>
        <v>#N/A</v>
      </c>
      <c r="I7893" s="11" t="e">
        <f t="shared" si="1232"/>
        <v>#N/A</v>
      </c>
      <c r="J7893" s="12" t="e">
        <f t="shared" si="1233"/>
        <v>#N/A</v>
      </c>
      <c r="K7893" s="17" t="e">
        <f t="shared" si="1238"/>
        <v>#N/A</v>
      </c>
      <c r="L7893" s="16">
        <f>base!X7893</f>
        <v>0</v>
      </c>
      <c r="M7893" s="11" t="e">
        <f t="shared" si="1234"/>
        <v>#DIV/0!</v>
      </c>
      <c r="N7893" s="11" t="e">
        <f t="shared" si="1235"/>
        <v>#N/A</v>
      </c>
      <c r="O7893" s="11" t="e">
        <f t="shared" si="1236"/>
        <v>#N/A</v>
      </c>
      <c r="P7893" s="12" t="e">
        <f t="shared" si="1237"/>
        <v>#N/A</v>
      </c>
      <c r="Q7893" s="17" t="e">
        <f t="shared" si="1239"/>
        <v>#N/A</v>
      </c>
    </row>
    <row r="7894" spans="1:17" x14ac:dyDescent="0.3">
      <c r="A7894" s="34">
        <f>base!J7894</f>
        <v>0</v>
      </c>
      <c r="B7894" s="34">
        <f>base!V7894</f>
        <v>0</v>
      </c>
      <c r="C7894" s="40" t="s">
        <v>11</v>
      </c>
      <c r="D7894" s="36">
        <f>base!H7894</f>
        <v>0</v>
      </c>
      <c r="E7894" s="44"/>
      <c r="F7894" s="16">
        <f>base!W7894</f>
        <v>0</v>
      </c>
      <c r="G7894" s="11" t="e">
        <f t="shared" si="1230"/>
        <v>#DIV/0!</v>
      </c>
      <c r="H7894" s="11" t="e">
        <f t="shared" si="1231"/>
        <v>#N/A</v>
      </c>
      <c r="I7894" s="11" t="e">
        <f t="shared" si="1232"/>
        <v>#N/A</v>
      </c>
      <c r="J7894" s="12" t="e">
        <f t="shared" si="1233"/>
        <v>#N/A</v>
      </c>
      <c r="K7894" s="17" t="e">
        <f t="shared" si="1238"/>
        <v>#N/A</v>
      </c>
      <c r="L7894" s="16">
        <f>base!X7894</f>
        <v>0</v>
      </c>
      <c r="M7894" s="11" t="e">
        <f t="shared" si="1234"/>
        <v>#DIV/0!</v>
      </c>
      <c r="N7894" s="11" t="e">
        <f t="shared" si="1235"/>
        <v>#N/A</v>
      </c>
      <c r="O7894" s="11" t="e">
        <f t="shared" si="1236"/>
        <v>#N/A</v>
      </c>
      <c r="P7894" s="12" t="e">
        <f t="shared" si="1237"/>
        <v>#N/A</v>
      </c>
      <c r="Q7894" s="17" t="e">
        <f t="shared" si="1239"/>
        <v>#N/A</v>
      </c>
    </row>
    <row r="7895" spans="1:17" x14ac:dyDescent="0.3">
      <c r="A7895" s="34">
        <f>base!J7895</f>
        <v>0</v>
      </c>
      <c r="B7895" s="34">
        <f>base!V7895</f>
        <v>0</v>
      </c>
      <c r="C7895" s="40" t="s">
        <v>11</v>
      </c>
      <c r="D7895" s="36">
        <f>base!H7895</f>
        <v>0</v>
      </c>
      <c r="E7895" s="44"/>
      <c r="F7895" s="16">
        <f>base!W7895</f>
        <v>0</v>
      </c>
      <c r="G7895" s="11" t="e">
        <f t="shared" si="1230"/>
        <v>#DIV/0!</v>
      </c>
      <c r="H7895" s="11" t="e">
        <f t="shared" si="1231"/>
        <v>#N/A</v>
      </c>
      <c r="I7895" s="11" t="e">
        <f t="shared" si="1232"/>
        <v>#N/A</v>
      </c>
      <c r="J7895" s="12" t="e">
        <f t="shared" si="1233"/>
        <v>#N/A</v>
      </c>
      <c r="K7895" s="17" t="e">
        <f t="shared" si="1238"/>
        <v>#N/A</v>
      </c>
      <c r="L7895" s="16">
        <f>base!X7895</f>
        <v>0</v>
      </c>
      <c r="M7895" s="11" t="e">
        <f t="shared" si="1234"/>
        <v>#DIV/0!</v>
      </c>
      <c r="N7895" s="11" t="e">
        <f t="shared" si="1235"/>
        <v>#N/A</v>
      </c>
      <c r="O7895" s="11" t="e">
        <f t="shared" si="1236"/>
        <v>#N/A</v>
      </c>
      <c r="P7895" s="12" t="e">
        <f t="shared" si="1237"/>
        <v>#N/A</v>
      </c>
      <c r="Q7895" s="17" t="e">
        <f t="shared" si="1239"/>
        <v>#N/A</v>
      </c>
    </row>
    <row r="7896" spans="1:17" x14ac:dyDescent="0.3">
      <c r="A7896" s="34">
        <f>base!J7896</f>
        <v>0</v>
      </c>
      <c r="B7896" s="34">
        <f>base!V7896</f>
        <v>0</v>
      </c>
      <c r="C7896" s="40" t="s">
        <v>11</v>
      </c>
      <c r="D7896" s="36">
        <f>base!H7896</f>
        <v>0</v>
      </c>
      <c r="E7896" s="44"/>
      <c r="F7896" s="16">
        <f>base!W7896</f>
        <v>0</v>
      </c>
      <c r="G7896" s="11" t="e">
        <f t="shared" si="1230"/>
        <v>#DIV/0!</v>
      </c>
      <c r="H7896" s="11" t="e">
        <f t="shared" si="1231"/>
        <v>#N/A</v>
      </c>
      <c r="I7896" s="11" t="e">
        <f t="shared" si="1232"/>
        <v>#N/A</v>
      </c>
      <c r="J7896" s="12" t="e">
        <f t="shared" si="1233"/>
        <v>#N/A</v>
      </c>
      <c r="K7896" s="17" t="e">
        <f t="shared" si="1238"/>
        <v>#N/A</v>
      </c>
      <c r="L7896" s="16">
        <f>base!X7896</f>
        <v>0</v>
      </c>
      <c r="M7896" s="11" t="e">
        <f t="shared" si="1234"/>
        <v>#DIV/0!</v>
      </c>
      <c r="N7896" s="11" t="e">
        <f t="shared" si="1235"/>
        <v>#N/A</v>
      </c>
      <c r="O7896" s="11" t="e">
        <f t="shared" si="1236"/>
        <v>#N/A</v>
      </c>
      <c r="P7896" s="12" t="e">
        <f t="shared" si="1237"/>
        <v>#N/A</v>
      </c>
      <c r="Q7896" s="17" t="e">
        <f t="shared" si="1239"/>
        <v>#N/A</v>
      </c>
    </row>
    <row r="7897" spans="1:17" x14ac:dyDescent="0.3">
      <c r="A7897" s="34">
        <f>base!J7897</f>
        <v>0</v>
      </c>
      <c r="B7897" s="34">
        <f>base!V7897</f>
        <v>0</v>
      </c>
      <c r="C7897" s="40" t="s">
        <v>11</v>
      </c>
      <c r="D7897" s="36">
        <f>base!H7897</f>
        <v>0</v>
      </c>
      <c r="E7897" s="44"/>
      <c r="F7897" s="16">
        <f>base!W7897</f>
        <v>0</v>
      </c>
      <c r="G7897" s="11" t="e">
        <f t="shared" si="1230"/>
        <v>#DIV/0!</v>
      </c>
      <c r="H7897" s="11" t="e">
        <f t="shared" si="1231"/>
        <v>#N/A</v>
      </c>
      <c r="I7897" s="11" t="e">
        <f t="shared" si="1232"/>
        <v>#N/A</v>
      </c>
      <c r="J7897" s="12" t="e">
        <f t="shared" si="1233"/>
        <v>#N/A</v>
      </c>
      <c r="K7897" s="17" t="e">
        <f t="shared" si="1238"/>
        <v>#N/A</v>
      </c>
      <c r="L7897" s="16">
        <f>base!X7897</f>
        <v>0</v>
      </c>
      <c r="M7897" s="11" t="e">
        <f t="shared" si="1234"/>
        <v>#DIV/0!</v>
      </c>
      <c r="N7897" s="11" t="e">
        <f t="shared" si="1235"/>
        <v>#N/A</v>
      </c>
      <c r="O7897" s="11" t="e">
        <f t="shared" si="1236"/>
        <v>#N/A</v>
      </c>
      <c r="P7897" s="12" t="e">
        <f t="shared" si="1237"/>
        <v>#N/A</v>
      </c>
      <c r="Q7897" s="17" t="e">
        <f t="shared" si="1239"/>
        <v>#N/A</v>
      </c>
    </row>
    <row r="7898" spans="1:17" x14ac:dyDescent="0.3">
      <c r="A7898" s="34">
        <f>base!J7898</f>
        <v>0</v>
      </c>
      <c r="B7898" s="34">
        <f>base!V7898</f>
        <v>0</v>
      </c>
      <c r="C7898" s="40" t="s">
        <v>11</v>
      </c>
      <c r="D7898" s="36">
        <f>base!H7898</f>
        <v>0</v>
      </c>
      <c r="E7898" s="44"/>
      <c r="F7898" s="16">
        <f>base!W7898</f>
        <v>0</v>
      </c>
      <c r="G7898" s="11" t="e">
        <f t="shared" si="1230"/>
        <v>#DIV/0!</v>
      </c>
      <c r="H7898" s="11" t="e">
        <f t="shared" si="1231"/>
        <v>#N/A</v>
      </c>
      <c r="I7898" s="11" t="e">
        <f t="shared" si="1232"/>
        <v>#N/A</v>
      </c>
      <c r="J7898" s="12" t="e">
        <f t="shared" si="1233"/>
        <v>#N/A</v>
      </c>
      <c r="K7898" s="17" t="e">
        <f t="shared" si="1238"/>
        <v>#N/A</v>
      </c>
      <c r="L7898" s="16">
        <f>base!X7898</f>
        <v>0</v>
      </c>
      <c r="M7898" s="11" t="e">
        <f t="shared" si="1234"/>
        <v>#DIV/0!</v>
      </c>
      <c r="N7898" s="11" t="e">
        <f t="shared" si="1235"/>
        <v>#N/A</v>
      </c>
      <c r="O7898" s="11" t="e">
        <f t="shared" si="1236"/>
        <v>#N/A</v>
      </c>
      <c r="P7898" s="12" t="e">
        <f t="shared" si="1237"/>
        <v>#N/A</v>
      </c>
      <c r="Q7898" s="17" t="e">
        <f t="shared" si="1239"/>
        <v>#N/A</v>
      </c>
    </row>
    <row r="7899" spans="1:17" x14ac:dyDescent="0.3">
      <c r="A7899" s="34">
        <f>base!J7899</f>
        <v>0</v>
      </c>
      <c r="B7899" s="34">
        <f>base!V7899</f>
        <v>0</v>
      </c>
      <c r="C7899" s="40" t="s">
        <v>11</v>
      </c>
      <c r="D7899" s="36">
        <f>base!H7899</f>
        <v>0</v>
      </c>
      <c r="E7899" s="44"/>
      <c r="F7899" s="16">
        <f>base!W7899</f>
        <v>0</v>
      </c>
      <c r="G7899" s="11" t="e">
        <f t="shared" si="1230"/>
        <v>#DIV/0!</v>
      </c>
      <c r="H7899" s="11" t="e">
        <f t="shared" si="1231"/>
        <v>#N/A</v>
      </c>
      <c r="I7899" s="11" t="e">
        <f t="shared" si="1232"/>
        <v>#N/A</v>
      </c>
      <c r="J7899" s="12" t="e">
        <f t="shared" si="1233"/>
        <v>#N/A</v>
      </c>
      <c r="K7899" s="17" t="e">
        <f t="shared" si="1238"/>
        <v>#N/A</v>
      </c>
      <c r="L7899" s="16">
        <f>base!X7899</f>
        <v>0</v>
      </c>
      <c r="M7899" s="11" t="e">
        <f t="shared" si="1234"/>
        <v>#DIV/0!</v>
      </c>
      <c r="N7899" s="11" t="e">
        <f t="shared" si="1235"/>
        <v>#N/A</v>
      </c>
      <c r="O7899" s="11" t="e">
        <f t="shared" si="1236"/>
        <v>#N/A</v>
      </c>
      <c r="P7899" s="12" t="e">
        <f t="shared" si="1237"/>
        <v>#N/A</v>
      </c>
      <c r="Q7899" s="17" t="e">
        <f t="shared" si="1239"/>
        <v>#N/A</v>
      </c>
    </row>
    <row r="7900" spans="1:17" x14ac:dyDescent="0.3">
      <c r="A7900" s="34">
        <f>base!J7900</f>
        <v>0</v>
      </c>
      <c r="B7900" s="34">
        <f>base!V7900</f>
        <v>0</v>
      </c>
      <c r="C7900" s="40" t="s">
        <v>11</v>
      </c>
      <c r="D7900" s="36">
        <f>base!H7900</f>
        <v>0</v>
      </c>
      <c r="E7900" s="44"/>
      <c r="F7900" s="16">
        <f>base!W7900</f>
        <v>0</v>
      </c>
      <c r="G7900" s="11" t="e">
        <f t="shared" si="1230"/>
        <v>#DIV/0!</v>
      </c>
      <c r="H7900" s="11" t="e">
        <f t="shared" si="1231"/>
        <v>#N/A</v>
      </c>
      <c r="I7900" s="11" t="e">
        <f t="shared" si="1232"/>
        <v>#N/A</v>
      </c>
      <c r="J7900" s="12" t="e">
        <f t="shared" si="1233"/>
        <v>#N/A</v>
      </c>
      <c r="K7900" s="17" t="e">
        <f t="shared" si="1238"/>
        <v>#N/A</v>
      </c>
      <c r="L7900" s="16">
        <f>base!X7900</f>
        <v>0</v>
      </c>
      <c r="M7900" s="11" t="e">
        <f t="shared" si="1234"/>
        <v>#DIV/0!</v>
      </c>
      <c r="N7900" s="11" t="e">
        <f t="shared" si="1235"/>
        <v>#N/A</v>
      </c>
      <c r="O7900" s="11" t="e">
        <f t="shared" si="1236"/>
        <v>#N/A</v>
      </c>
      <c r="P7900" s="12" t="e">
        <f t="shared" si="1237"/>
        <v>#N/A</v>
      </c>
      <c r="Q7900" s="17" t="e">
        <f t="shared" si="1239"/>
        <v>#N/A</v>
      </c>
    </row>
    <row r="7901" spans="1:17" x14ac:dyDescent="0.3">
      <c r="A7901" s="34">
        <f>base!J7901</f>
        <v>0</v>
      </c>
      <c r="B7901" s="34">
        <f>base!V7901</f>
        <v>0</v>
      </c>
      <c r="C7901" s="40" t="s">
        <v>11</v>
      </c>
      <c r="D7901" s="36">
        <f>base!H7901</f>
        <v>0</v>
      </c>
      <c r="E7901" s="44"/>
      <c r="F7901" s="16">
        <f>base!W7901</f>
        <v>0</v>
      </c>
      <c r="G7901" s="11" t="e">
        <f t="shared" si="1230"/>
        <v>#DIV/0!</v>
      </c>
      <c r="H7901" s="11" t="e">
        <f t="shared" si="1231"/>
        <v>#N/A</v>
      </c>
      <c r="I7901" s="11" t="e">
        <f t="shared" si="1232"/>
        <v>#N/A</v>
      </c>
      <c r="J7901" s="12" t="e">
        <f t="shared" si="1233"/>
        <v>#N/A</v>
      </c>
      <c r="K7901" s="17" t="e">
        <f t="shared" si="1238"/>
        <v>#N/A</v>
      </c>
      <c r="L7901" s="16">
        <f>base!X7901</f>
        <v>0</v>
      </c>
      <c r="M7901" s="11" t="e">
        <f t="shared" si="1234"/>
        <v>#DIV/0!</v>
      </c>
      <c r="N7901" s="11" t="e">
        <f t="shared" si="1235"/>
        <v>#N/A</v>
      </c>
      <c r="O7901" s="11" t="e">
        <f t="shared" si="1236"/>
        <v>#N/A</v>
      </c>
      <c r="P7901" s="12" t="e">
        <f t="shared" si="1237"/>
        <v>#N/A</v>
      </c>
      <c r="Q7901" s="17" t="e">
        <f t="shared" si="1239"/>
        <v>#N/A</v>
      </c>
    </row>
    <row r="7902" spans="1:17" x14ac:dyDescent="0.3">
      <c r="A7902" s="34">
        <f>base!J7902</f>
        <v>0</v>
      </c>
      <c r="B7902" s="34">
        <f>base!V7902</f>
        <v>0</v>
      </c>
      <c r="C7902" s="40" t="s">
        <v>11</v>
      </c>
      <c r="D7902" s="36">
        <f>base!H7902</f>
        <v>0</v>
      </c>
      <c r="E7902" s="44"/>
      <c r="F7902" s="16">
        <f>base!W7902</f>
        <v>0</v>
      </c>
      <c r="G7902" s="11" t="e">
        <f t="shared" si="1230"/>
        <v>#DIV/0!</v>
      </c>
      <c r="H7902" s="11" t="e">
        <f t="shared" si="1231"/>
        <v>#N/A</v>
      </c>
      <c r="I7902" s="11" t="e">
        <f t="shared" si="1232"/>
        <v>#N/A</v>
      </c>
      <c r="J7902" s="12" t="e">
        <f t="shared" si="1233"/>
        <v>#N/A</v>
      </c>
      <c r="K7902" s="17" t="e">
        <f t="shared" si="1238"/>
        <v>#N/A</v>
      </c>
      <c r="L7902" s="16">
        <f>base!X7902</f>
        <v>0</v>
      </c>
      <c r="M7902" s="11" t="e">
        <f t="shared" si="1234"/>
        <v>#DIV/0!</v>
      </c>
      <c r="N7902" s="11" t="e">
        <f t="shared" si="1235"/>
        <v>#N/A</v>
      </c>
      <c r="O7902" s="11" t="e">
        <f t="shared" si="1236"/>
        <v>#N/A</v>
      </c>
      <c r="P7902" s="12" t="e">
        <f t="shared" si="1237"/>
        <v>#N/A</v>
      </c>
      <c r="Q7902" s="17" t="e">
        <f t="shared" si="1239"/>
        <v>#N/A</v>
      </c>
    </row>
    <row r="7903" spans="1:17" x14ac:dyDescent="0.3">
      <c r="A7903" s="34">
        <f>base!J7903</f>
        <v>0</v>
      </c>
      <c r="B7903" s="34">
        <f>base!V7903</f>
        <v>0</v>
      </c>
      <c r="C7903" s="40" t="s">
        <v>11</v>
      </c>
      <c r="D7903" s="36">
        <f>base!H7903</f>
        <v>0</v>
      </c>
      <c r="E7903" s="44"/>
      <c r="F7903" s="16">
        <f>base!W7903</f>
        <v>0</v>
      </c>
      <c r="G7903" s="11" t="e">
        <f t="shared" si="1230"/>
        <v>#DIV/0!</v>
      </c>
      <c r="H7903" s="11" t="e">
        <f t="shared" si="1231"/>
        <v>#N/A</v>
      </c>
      <c r="I7903" s="11" t="e">
        <f t="shared" si="1232"/>
        <v>#N/A</v>
      </c>
      <c r="J7903" s="12" t="e">
        <f t="shared" si="1233"/>
        <v>#N/A</v>
      </c>
      <c r="K7903" s="17" t="e">
        <f t="shared" si="1238"/>
        <v>#N/A</v>
      </c>
      <c r="L7903" s="16">
        <f>base!X7903</f>
        <v>0</v>
      </c>
      <c r="M7903" s="11" t="e">
        <f t="shared" si="1234"/>
        <v>#DIV/0!</v>
      </c>
      <c r="N7903" s="11" t="e">
        <f t="shared" si="1235"/>
        <v>#N/A</v>
      </c>
      <c r="O7903" s="11" t="e">
        <f t="shared" si="1236"/>
        <v>#N/A</v>
      </c>
      <c r="P7903" s="12" t="e">
        <f t="shared" si="1237"/>
        <v>#N/A</v>
      </c>
      <c r="Q7903" s="17" t="e">
        <f t="shared" si="1239"/>
        <v>#N/A</v>
      </c>
    </row>
    <row r="7904" spans="1:17" x14ac:dyDescent="0.3">
      <c r="A7904" s="34">
        <f>base!J7904</f>
        <v>0</v>
      </c>
      <c r="B7904" s="34">
        <f>base!V7904</f>
        <v>0</v>
      </c>
      <c r="C7904" s="40" t="s">
        <v>11</v>
      </c>
      <c r="D7904" s="36">
        <f>base!H7904</f>
        <v>0</v>
      </c>
      <c r="E7904" s="44"/>
      <c r="F7904" s="16">
        <f>base!W7904</f>
        <v>0</v>
      </c>
      <c r="G7904" s="11" t="e">
        <f t="shared" si="1230"/>
        <v>#DIV/0!</v>
      </c>
      <c r="H7904" s="11" t="e">
        <f t="shared" si="1231"/>
        <v>#N/A</v>
      </c>
      <c r="I7904" s="11" t="e">
        <f t="shared" si="1232"/>
        <v>#N/A</v>
      </c>
      <c r="J7904" s="12" t="e">
        <f t="shared" si="1233"/>
        <v>#N/A</v>
      </c>
      <c r="K7904" s="17" t="e">
        <f t="shared" si="1238"/>
        <v>#N/A</v>
      </c>
      <c r="L7904" s="16">
        <f>base!X7904</f>
        <v>0</v>
      </c>
      <c r="M7904" s="11" t="e">
        <f t="shared" si="1234"/>
        <v>#DIV/0!</v>
      </c>
      <c r="N7904" s="11" t="e">
        <f t="shared" si="1235"/>
        <v>#N/A</v>
      </c>
      <c r="O7904" s="11" t="e">
        <f t="shared" si="1236"/>
        <v>#N/A</v>
      </c>
      <c r="P7904" s="12" t="e">
        <f t="shared" si="1237"/>
        <v>#N/A</v>
      </c>
      <c r="Q7904" s="17" t="e">
        <f t="shared" si="1239"/>
        <v>#N/A</v>
      </c>
    </row>
    <row r="7905" spans="1:17" x14ac:dyDescent="0.3">
      <c r="A7905" s="34">
        <f>base!J7905</f>
        <v>0</v>
      </c>
      <c r="B7905" s="34">
        <f>base!V7905</f>
        <v>0</v>
      </c>
      <c r="C7905" s="40" t="s">
        <v>11</v>
      </c>
      <c r="D7905" s="36">
        <f>base!H7905</f>
        <v>0</v>
      </c>
      <c r="E7905" s="44"/>
      <c r="F7905" s="16">
        <f>base!W7905</f>
        <v>0</v>
      </c>
      <c r="G7905" s="11" t="e">
        <f t="shared" si="1230"/>
        <v>#DIV/0!</v>
      </c>
      <c r="H7905" s="11" t="e">
        <f t="shared" si="1231"/>
        <v>#N/A</v>
      </c>
      <c r="I7905" s="11" t="e">
        <f t="shared" si="1232"/>
        <v>#N/A</v>
      </c>
      <c r="J7905" s="12" t="e">
        <f t="shared" si="1233"/>
        <v>#N/A</v>
      </c>
      <c r="K7905" s="17" t="e">
        <f t="shared" si="1238"/>
        <v>#N/A</v>
      </c>
      <c r="L7905" s="16">
        <f>base!X7905</f>
        <v>0</v>
      </c>
      <c r="M7905" s="11" t="e">
        <f t="shared" si="1234"/>
        <v>#DIV/0!</v>
      </c>
      <c r="N7905" s="11" t="e">
        <f t="shared" si="1235"/>
        <v>#N/A</v>
      </c>
      <c r="O7905" s="11" t="e">
        <f t="shared" si="1236"/>
        <v>#N/A</v>
      </c>
      <c r="P7905" s="12" t="e">
        <f t="shared" si="1237"/>
        <v>#N/A</v>
      </c>
      <c r="Q7905" s="17" t="e">
        <f t="shared" si="1239"/>
        <v>#N/A</v>
      </c>
    </row>
    <row r="7906" spans="1:17" x14ac:dyDescent="0.3">
      <c r="A7906" s="34">
        <f>base!J7906</f>
        <v>0</v>
      </c>
      <c r="B7906" s="34">
        <f>base!V7906</f>
        <v>0</v>
      </c>
      <c r="C7906" s="40" t="s">
        <v>11</v>
      </c>
      <c r="D7906" s="36">
        <f>base!H7906</f>
        <v>0</v>
      </c>
      <c r="E7906" s="44"/>
      <c r="F7906" s="16">
        <f>base!W7906</f>
        <v>0</v>
      </c>
      <c r="G7906" s="11" t="e">
        <f t="shared" si="1230"/>
        <v>#DIV/0!</v>
      </c>
      <c r="H7906" s="11" t="e">
        <f t="shared" si="1231"/>
        <v>#N/A</v>
      </c>
      <c r="I7906" s="11" t="e">
        <f t="shared" si="1232"/>
        <v>#N/A</v>
      </c>
      <c r="J7906" s="12" t="e">
        <f t="shared" si="1233"/>
        <v>#N/A</v>
      </c>
      <c r="K7906" s="17" t="e">
        <f t="shared" si="1238"/>
        <v>#N/A</v>
      </c>
      <c r="L7906" s="16">
        <f>base!X7906</f>
        <v>0</v>
      </c>
      <c r="M7906" s="11" t="e">
        <f t="shared" si="1234"/>
        <v>#DIV/0!</v>
      </c>
      <c r="N7906" s="11" t="e">
        <f t="shared" si="1235"/>
        <v>#N/A</v>
      </c>
      <c r="O7906" s="11" t="e">
        <f t="shared" si="1236"/>
        <v>#N/A</v>
      </c>
      <c r="P7906" s="12" t="e">
        <f t="shared" si="1237"/>
        <v>#N/A</v>
      </c>
      <c r="Q7906" s="17" t="e">
        <f t="shared" si="1239"/>
        <v>#N/A</v>
      </c>
    </row>
    <row r="7907" spans="1:17" x14ac:dyDescent="0.3">
      <c r="A7907" s="34">
        <f>base!J7907</f>
        <v>0</v>
      </c>
      <c r="B7907" s="34">
        <f>base!V7907</f>
        <v>0</v>
      </c>
      <c r="C7907" s="40" t="s">
        <v>11</v>
      </c>
      <c r="D7907" s="36">
        <f>base!H7907</f>
        <v>0</v>
      </c>
      <c r="E7907" s="44"/>
      <c r="F7907" s="16">
        <f>base!W7907</f>
        <v>0</v>
      </c>
      <c r="G7907" s="11" t="e">
        <f t="shared" si="1230"/>
        <v>#DIV/0!</v>
      </c>
      <c r="H7907" s="11" t="e">
        <f t="shared" si="1231"/>
        <v>#N/A</v>
      </c>
      <c r="I7907" s="11" t="e">
        <f t="shared" si="1232"/>
        <v>#N/A</v>
      </c>
      <c r="J7907" s="12" t="e">
        <f t="shared" si="1233"/>
        <v>#N/A</v>
      </c>
      <c r="K7907" s="17" t="e">
        <f t="shared" si="1238"/>
        <v>#N/A</v>
      </c>
      <c r="L7907" s="16">
        <f>base!X7907</f>
        <v>0</v>
      </c>
      <c r="M7907" s="11" t="e">
        <f t="shared" si="1234"/>
        <v>#DIV/0!</v>
      </c>
      <c r="N7907" s="11" t="e">
        <f t="shared" si="1235"/>
        <v>#N/A</v>
      </c>
      <c r="O7907" s="11" t="e">
        <f t="shared" si="1236"/>
        <v>#N/A</v>
      </c>
      <c r="P7907" s="12" t="e">
        <f t="shared" si="1237"/>
        <v>#N/A</v>
      </c>
      <c r="Q7907" s="17" t="e">
        <f t="shared" si="1239"/>
        <v>#N/A</v>
      </c>
    </row>
    <row r="7908" spans="1:17" x14ac:dyDescent="0.3">
      <c r="A7908" s="34">
        <f>base!J7908</f>
        <v>0</v>
      </c>
      <c r="B7908" s="34">
        <f>base!V7908</f>
        <v>0</v>
      </c>
      <c r="C7908" s="40" t="s">
        <v>11</v>
      </c>
      <c r="D7908" s="36">
        <f>base!H7908</f>
        <v>0</v>
      </c>
      <c r="E7908" s="44"/>
      <c r="F7908" s="16">
        <f>base!W7908</f>
        <v>0</v>
      </c>
      <c r="G7908" s="11" t="e">
        <f t="shared" si="1230"/>
        <v>#DIV/0!</v>
      </c>
      <c r="H7908" s="11" t="e">
        <f t="shared" si="1231"/>
        <v>#N/A</v>
      </c>
      <c r="I7908" s="11" t="e">
        <f t="shared" si="1232"/>
        <v>#N/A</v>
      </c>
      <c r="J7908" s="12" t="e">
        <f t="shared" si="1233"/>
        <v>#N/A</v>
      </c>
      <c r="K7908" s="17" t="e">
        <f t="shared" si="1238"/>
        <v>#N/A</v>
      </c>
      <c r="L7908" s="16">
        <f>base!X7908</f>
        <v>0</v>
      </c>
      <c r="M7908" s="11" t="e">
        <f t="shared" si="1234"/>
        <v>#DIV/0!</v>
      </c>
      <c r="N7908" s="11" t="e">
        <f t="shared" si="1235"/>
        <v>#N/A</v>
      </c>
      <c r="O7908" s="11" t="e">
        <f t="shared" si="1236"/>
        <v>#N/A</v>
      </c>
      <c r="P7908" s="12" t="e">
        <f t="shared" si="1237"/>
        <v>#N/A</v>
      </c>
      <c r="Q7908" s="17" t="e">
        <f t="shared" si="1239"/>
        <v>#N/A</v>
      </c>
    </row>
    <row r="7909" spans="1:17" x14ac:dyDescent="0.3">
      <c r="A7909" s="34">
        <f>base!J7909</f>
        <v>0</v>
      </c>
      <c r="B7909" s="34">
        <f>base!V7909</f>
        <v>0</v>
      </c>
      <c r="C7909" s="40" t="s">
        <v>11</v>
      </c>
      <c r="D7909" s="36">
        <f>base!H7909</f>
        <v>0</v>
      </c>
      <c r="E7909" s="44"/>
      <c r="F7909" s="16">
        <f>base!W7909</f>
        <v>0</v>
      </c>
      <c r="G7909" s="11" t="e">
        <f t="shared" si="1230"/>
        <v>#DIV/0!</v>
      </c>
      <c r="H7909" s="11" t="e">
        <f t="shared" si="1231"/>
        <v>#N/A</v>
      </c>
      <c r="I7909" s="11" t="e">
        <f t="shared" si="1232"/>
        <v>#N/A</v>
      </c>
      <c r="J7909" s="12" t="e">
        <f t="shared" si="1233"/>
        <v>#N/A</v>
      </c>
      <c r="K7909" s="17" t="e">
        <f t="shared" si="1238"/>
        <v>#N/A</v>
      </c>
      <c r="L7909" s="16">
        <f>base!X7909</f>
        <v>0</v>
      </c>
      <c r="M7909" s="11" t="e">
        <f t="shared" si="1234"/>
        <v>#DIV/0!</v>
      </c>
      <c r="N7909" s="11" t="e">
        <f t="shared" si="1235"/>
        <v>#N/A</v>
      </c>
      <c r="O7909" s="11" t="e">
        <f t="shared" si="1236"/>
        <v>#N/A</v>
      </c>
      <c r="P7909" s="12" t="e">
        <f t="shared" si="1237"/>
        <v>#N/A</v>
      </c>
      <c r="Q7909" s="17" t="e">
        <f t="shared" si="1239"/>
        <v>#N/A</v>
      </c>
    </row>
    <row r="7910" spans="1:17" x14ac:dyDescent="0.3">
      <c r="A7910" s="34">
        <f>base!J7910</f>
        <v>0</v>
      </c>
      <c r="B7910" s="34">
        <f>base!V7910</f>
        <v>0</v>
      </c>
      <c r="C7910" s="40" t="s">
        <v>11</v>
      </c>
      <c r="D7910" s="36">
        <f>base!H7910</f>
        <v>0</v>
      </c>
      <c r="E7910" s="44"/>
      <c r="F7910" s="16">
        <f>base!W7910</f>
        <v>0</v>
      </c>
      <c r="G7910" s="11" t="e">
        <f t="shared" si="1230"/>
        <v>#DIV/0!</v>
      </c>
      <c r="H7910" s="11" t="e">
        <f t="shared" si="1231"/>
        <v>#N/A</v>
      </c>
      <c r="I7910" s="11" t="e">
        <f t="shared" si="1232"/>
        <v>#N/A</v>
      </c>
      <c r="J7910" s="12" t="e">
        <f t="shared" si="1233"/>
        <v>#N/A</v>
      </c>
      <c r="K7910" s="17" t="e">
        <f t="shared" si="1238"/>
        <v>#N/A</v>
      </c>
      <c r="L7910" s="16">
        <f>base!X7910</f>
        <v>0</v>
      </c>
      <c r="M7910" s="11" t="e">
        <f t="shared" si="1234"/>
        <v>#DIV/0!</v>
      </c>
      <c r="N7910" s="11" t="e">
        <f t="shared" si="1235"/>
        <v>#N/A</v>
      </c>
      <c r="O7910" s="11" t="e">
        <f t="shared" si="1236"/>
        <v>#N/A</v>
      </c>
      <c r="P7910" s="12" t="e">
        <f t="shared" si="1237"/>
        <v>#N/A</v>
      </c>
      <c r="Q7910" s="17" t="e">
        <f t="shared" si="1239"/>
        <v>#N/A</v>
      </c>
    </row>
    <row r="7911" spans="1:17" x14ac:dyDescent="0.3">
      <c r="A7911" s="34">
        <f>base!J7911</f>
        <v>0</v>
      </c>
      <c r="B7911" s="34">
        <f>base!V7911</f>
        <v>0</v>
      </c>
      <c r="C7911" s="40" t="s">
        <v>11</v>
      </c>
      <c r="D7911" s="36">
        <f>base!H7911</f>
        <v>0</v>
      </c>
      <c r="E7911" s="44"/>
      <c r="F7911" s="16">
        <f>base!W7911</f>
        <v>0</v>
      </c>
      <c r="G7911" s="11" t="e">
        <f t="shared" si="1230"/>
        <v>#DIV/0!</v>
      </c>
      <c r="H7911" s="11" t="e">
        <f t="shared" si="1231"/>
        <v>#N/A</v>
      </c>
      <c r="I7911" s="11" t="e">
        <f t="shared" si="1232"/>
        <v>#N/A</v>
      </c>
      <c r="J7911" s="12" t="e">
        <f t="shared" si="1233"/>
        <v>#N/A</v>
      </c>
      <c r="K7911" s="17" t="e">
        <f t="shared" si="1238"/>
        <v>#N/A</v>
      </c>
      <c r="L7911" s="16">
        <f>base!X7911</f>
        <v>0</v>
      </c>
      <c r="M7911" s="11" t="e">
        <f t="shared" si="1234"/>
        <v>#DIV/0!</v>
      </c>
      <c r="N7911" s="11" t="e">
        <f t="shared" si="1235"/>
        <v>#N/A</v>
      </c>
      <c r="O7911" s="11" t="e">
        <f t="shared" si="1236"/>
        <v>#N/A</v>
      </c>
      <c r="P7911" s="12" t="e">
        <f t="shared" si="1237"/>
        <v>#N/A</v>
      </c>
      <c r="Q7911" s="17" t="e">
        <f t="shared" si="1239"/>
        <v>#N/A</v>
      </c>
    </row>
    <row r="7912" spans="1:17" x14ac:dyDescent="0.3">
      <c r="A7912" s="34">
        <f>base!J7912</f>
        <v>0</v>
      </c>
      <c r="B7912" s="34">
        <f>base!V7912</f>
        <v>0</v>
      </c>
      <c r="C7912" s="40" t="s">
        <v>11</v>
      </c>
      <c r="D7912" s="36">
        <f>base!H7912</f>
        <v>0</v>
      </c>
      <c r="E7912" s="44"/>
      <c r="F7912" s="16">
        <f>base!W7912</f>
        <v>0</v>
      </c>
      <c r="G7912" s="11" t="e">
        <f t="shared" si="1230"/>
        <v>#DIV/0!</v>
      </c>
      <c r="H7912" s="11" t="e">
        <f t="shared" si="1231"/>
        <v>#N/A</v>
      </c>
      <c r="I7912" s="11" t="e">
        <f t="shared" si="1232"/>
        <v>#N/A</v>
      </c>
      <c r="J7912" s="12" t="e">
        <f t="shared" si="1233"/>
        <v>#N/A</v>
      </c>
      <c r="K7912" s="17" t="e">
        <f t="shared" si="1238"/>
        <v>#N/A</v>
      </c>
      <c r="L7912" s="16">
        <f>base!X7912</f>
        <v>0</v>
      </c>
      <c r="M7912" s="11" t="e">
        <f t="shared" si="1234"/>
        <v>#DIV/0!</v>
      </c>
      <c r="N7912" s="11" t="e">
        <f t="shared" si="1235"/>
        <v>#N/A</v>
      </c>
      <c r="O7912" s="11" t="e">
        <f t="shared" si="1236"/>
        <v>#N/A</v>
      </c>
      <c r="P7912" s="12" t="e">
        <f t="shared" si="1237"/>
        <v>#N/A</v>
      </c>
      <c r="Q7912" s="17" t="e">
        <f t="shared" si="1239"/>
        <v>#N/A</v>
      </c>
    </row>
    <row r="7913" spans="1:17" x14ac:dyDescent="0.3">
      <c r="A7913" s="34">
        <f>base!J7913</f>
        <v>0</v>
      </c>
      <c r="B7913" s="34">
        <f>base!V7913</f>
        <v>0</v>
      </c>
      <c r="C7913" s="40" t="s">
        <v>11</v>
      </c>
      <c r="D7913" s="36">
        <f>base!H7913</f>
        <v>0</v>
      </c>
      <c r="E7913" s="44"/>
      <c r="F7913" s="16">
        <f>base!W7913</f>
        <v>0</v>
      </c>
      <c r="G7913" s="11" t="e">
        <f t="shared" si="1230"/>
        <v>#DIV/0!</v>
      </c>
      <c r="H7913" s="11" t="e">
        <f t="shared" si="1231"/>
        <v>#N/A</v>
      </c>
      <c r="I7913" s="11" t="e">
        <f t="shared" si="1232"/>
        <v>#N/A</v>
      </c>
      <c r="J7913" s="12" t="e">
        <f t="shared" si="1233"/>
        <v>#N/A</v>
      </c>
      <c r="K7913" s="17" t="e">
        <f t="shared" si="1238"/>
        <v>#N/A</v>
      </c>
      <c r="L7913" s="16">
        <f>base!X7913</f>
        <v>0</v>
      </c>
      <c r="M7913" s="11" t="e">
        <f t="shared" si="1234"/>
        <v>#DIV/0!</v>
      </c>
      <c r="N7913" s="11" t="e">
        <f t="shared" si="1235"/>
        <v>#N/A</v>
      </c>
      <c r="O7913" s="11" t="e">
        <f t="shared" si="1236"/>
        <v>#N/A</v>
      </c>
      <c r="P7913" s="12" t="e">
        <f t="shared" si="1237"/>
        <v>#N/A</v>
      </c>
      <c r="Q7913" s="17" t="e">
        <f t="shared" si="1239"/>
        <v>#N/A</v>
      </c>
    </row>
    <row r="7914" spans="1:17" x14ac:dyDescent="0.3">
      <c r="A7914" s="34">
        <f>base!J7914</f>
        <v>0</v>
      </c>
      <c r="B7914" s="34">
        <f>base!V7914</f>
        <v>0</v>
      </c>
      <c r="C7914" s="40" t="s">
        <v>11</v>
      </c>
      <c r="D7914" s="36">
        <f>base!H7914</f>
        <v>0</v>
      </c>
      <c r="E7914" s="44"/>
      <c r="F7914" s="16">
        <f>base!W7914</f>
        <v>0</v>
      </c>
      <c r="G7914" s="11" t="e">
        <f t="shared" si="1230"/>
        <v>#DIV/0!</v>
      </c>
      <c r="H7914" s="11" t="e">
        <f t="shared" si="1231"/>
        <v>#N/A</v>
      </c>
      <c r="I7914" s="11" t="e">
        <f t="shared" si="1232"/>
        <v>#N/A</v>
      </c>
      <c r="J7914" s="12" t="e">
        <f t="shared" si="1233"/>
        <v>#N/A</v>
      </c>
      <c r="K7914" s="17" t="e">
        <f t="shared" si="1238"/>
        <v>#N/A</v>
      </c>
      <c r="L7914" s="16">
        <f>base!X7914</f>
        <v>0</v>
      </c>
      <c r="M7914" s="11" t="e">
        <f t="shared" si="1234"/>
        <v>#DIV/0!</v>
      </c>
      <c r="N7914" s="11" t="e">
        <f t="shared" si="1235"/>
        <v>#N/A</v>
      </c>
      <c r="O7914" s="11" t="e">
        <f t="shared" si="1236"/>
        <v>#N/A</v>
      </c>
      <c r="P7914" s="12" t="e">
        <f t="shared" si="1237"/>
        <v>#N/A</v>
      </c>
      <c r="Q7914" s="17" t="e">
        <f t="shared" si="1239"/>
        <v>#N/A</v>
      </c>
    </row>
    <row r="7915" spans="1:17" x14ac:dyDescent="0.3">
      <c r="A7915" s="34">
        <f>base!J7915</f>
        <v>0</v>
      </c>
      <c r="B7915" s="34">
        <f>base!V7915</f>
        <v>0</v>
      </c>
      <c r="C7915" s="40" t="s">
        <v>11</v>
      </c>
      <c r="D7915" s="36">
        <f>base!H7915</f>
        <v>0</v>
      </c>
      <c r="E7915" s="44"/>
      <c r="F7915" s="16">
        <f>base!W7915</f>
        <v>0</v>
      </c>
      <c r="G7915" s="11" t="e">
        <f t="shared" si="1230"/>
        <v>#DIV/0!</v>
      </c>
      <c r="H7915" s="11" t="e">
        <f t="shared" si="1231"/>
        <v>#N/A</v>
      </c>
      <c r="I7915" s="11" t="e">
        <f t="shared" si="1232"/>
        <v>#N/A</v>
      </c>
      <c r="J7915" s="12" t="e">
        <f t="shared" si="1233"/>
        <v>#N/A</v>
      </c>
      <c r="K7915" s="17" t="e">
        <f t="shared" si="1238"/>
        <v>#N/A</v>
      </c>
      <c r="L7915" s="16">
        <f>base!X7915</f>
        <v>0</v>
      </c>
      <c r="M7915" s="11" t="e">
        <f t="shared" si="1234"/>
        <v>#DIV/0!</v>
      </c>
      <c r="N7915" s="11" t="e">
        <f t="shared" si="1235"/>
        <v>#N/A</v>
      </c>
      <c r="O7915" s="11" t="e">
        <f t="shared" si="1236"/>
        <v>#N/A</v>
      </c>
      <c r="P7915" s="12" t="e">
        <f t="shared" si="1237"/>
        <v>#N/A</v>
      </c>
      <c r="Q7915" s="17" t="e">
        <f t="shared" si="1239"/>
        <v>#N/A</v>
      </c>
    </row>
    <row r="7916" spans="1:17" x14ac:dyDescent="0.3">
      <c r="A7916" s="34">
        <f>base!J7916</f>
        <v>0</v>
      </c>
      <c r="B7916" s="34">
        <f>base!V7916</f>
        <v>0</v>
      </c>
      <c r="C7916" s="40" t="s">
        <v>11</v>
      </c>
      <c r="D7916" s="36">
        <f>base!H7916</f>
        <v>0</v>
      </c>
      <c r="E7916" s="44"/>
      <c r="F7916" s="16">
        <f>base!W7916</f>
        <v>0</v>
      </c>
      <c r="G7916" s="11" t="e">
        <f t="shared" si="1230"/>
        <v>#DIV/0!</v>
      </c>
      <c r="H7916" s="11" t="e">
        <f t="shared" si="1231"/>
        <v>#N/A</v>
      </c>
      <c r="I7916" s="11" t="e">
        <f t="shared" si="1232"/>
        <v>#N/A</v>
      </c>
      <c r="J7916" s="12" t="e">
        <f t="shared" si="1233"/>
        <v>#N/A</v>
      </c>
      <c r="K7916" s="17" t="e">
        <f t="shared" si="1238"/>
        <v>#N/A</v>
      </c>
      <c r="L7916" s="16">
        <f>base!X7916</f>
        <v>0</v>
      </c>
      <c r="M7916" s="11" t="e">
        <f t="shared" si="1234"/>
        <v>#DIV/0!</v>
      </c>
      <c r="N7916" s="11" t="e">
        <f t="shared" si="1235"/>
        <v>#N/A</v>
      </c>
      <c r="O7916" s="11" t="e">
        <f t="shared" si="1236"/>
        <v>#N/A</v>
      </c>
      <c r="P7916" s="12" t="e">
        <f t="shared" si="1237"/>
        <v>#N/A</v>
      </c>
      <c r="Q7916" s="17" t="e">
        <f t="shared" si="1239"/>
        <v>#N/A</v>
      </c>
    </row>
    <row r="7917" spans="1:17" x14ac:dyDescent="0.3">
      <c r="A7917" s="34">
        <f>base!J7917</f>
        <v>0</v>
      </c>
      <c r="B7917" s="34">
        <f>base!V7917</f>
        <v>0</v>
      </c>
      <c r="C7917" s="40" t="s">
        <v>11</v>
      </c>
      <c r="D7917" s="36">
        <f>base!H7917</f>
        <v>0</v>
      </c>
      <c r="E7917" s="44"/>
      <c r="F7917" s="16">
        <f>base!W7917</f>
        <v>0</v>
      </c>
      <c r="G7917" s="11" t="e">
        <f t="shared" si="1230"/>
        <v>#DIV/0!</v>
      </c>
      <c r="H7917" s="11" t="e">
        <f t="shared" si="1231"/>
        <v>#N/A</v>
      </c>
      <c r="I7917" s="11" t="e">
        <f t="shared" si="1232"/>
        <v>#N/A</v>
      </c>
      <c r="J7917" s="12" t="e">
        <f t="shared" si="1233"/>
        <v>#N/A</v>
      </c>
      <c r="K7917" s="17" t="e">
        <f t="shared" si="1238"/>
        <v>#N/A</v>
      </c>
      <c r="L7917" s="16">
        <f>base!X7917</f>
        <v>0</v>
      </c>
      <c r="M7917" s="11" t="e">
        <f t="shared" si="1234"/>
        <v>#DIV/0!</v>
      </c>
      <c r="N7917" s="11" t="e">
        <f t="shared" si="1235"/>
        <v>#N/A</v>
      </c>
      <c r="O7917" s="11" t="e">
        <f t="shared" si="1236"/>
        <v>#N/A</v>
      </c>
      <c r="P7917" s="12" t="e">
        <f t="shared" si="1237"/>
        <v>#N/A</v>
      </c>
      <c r="Q7917" s="17" t="e">
        <f t="shared" si="1239"/>
        <v>#N/A</v>
      </c>
    </row>
    <row r="7918" spans="1:17" x14ac:dyDescent="0.3">
      <c r="A7918" s="34">
        <f>base!J7918</f>
        <v>0</v>
      </c>
      <c r="B7918" s="34">
        <f>base!V7918</f>
        <v>0</v>
      </c>
      <c r="C7918" s="40" t="s">
        <v>11</v>
      </c>
      <c r="D7918" s="36">
        <f>base!H7918</f>
        <v>0</v>
      </c>
      <c r="E7918" s="44"/>
      <c r="F7918" s="16">
        <f>base!W7918</f>
        <v>0</v>
      </c>
      <c r="G7918" s="11" t="e">
        <f t="shared" si="1230"/>
        <v>#DIV/0!</v>
      </c>
      <c r="H7918" s="11" t="e">
        <f t="shared" si="1231"/>
        <v>#N/A</v>
      </c>
      <c r="I7918" s="11" t="e">
        <f t="shared" si="1232"/>
        <v>#N/A</v>
      </c>
      <c r="J7918" s="12" t="e">
        <f t="shared" si="1233"/>
        <v>#N/A</v>
      </c>
      <c r="K7918" s="17" t="e">
        <f t="shared" si="1238"/>
        <v>#N/A</v>
      </c>
      <c r="L7918" s="16">
        <f>base!X7918</f>
        <v>0</v>
      </c>
      <c r="M7918" s="11" t="e">
        <f t="shared" si="1234"/>
        <v>#DIV/0!</v>
      </c>
      <c r="N7918" s="11" t="e">
        <f t="shared" si="1235"/>
        <v>#N/A</v>
      </c>
      <c r="O7918" s="11" t="e">
        <f t="shared" si="1236"/>
        <v>#N/A</v>
      </c>
      <c r="P7918" s="12" t="e">
        <f t="shared" si="1237"/>
        <v>#N/A</v>
      </c>
      <c r="Q7918" s="17" t="e">
        <f t="shared" si="1239"/>
        <v>#N/A</v>
      </c>
    </row>
    <row r="7919" spans="1:17" x14ac:dyDescent="0.3">
      <c r="A7919" s="34">
        <f>base!J7919</f>
        <v>0</v>
      </c>
      <c r="B7919" s="34">
        <f>base!V7919</f>
        <v>0</v>
      </c>
      <c r="C7919" s="40" t="s">
        <v>11</v>
      </c>
      <c r="D7919" s="36">
        <f>base!H7919</f>
        <v>0</v>
      </c>
      <c r="E7919" s="44"/>
      <c r="F7919" s="16">
        <f>base!W7919</f>
        <v>0</v>
      </c>
      <c r="G7919" s="11" t="e">
        <f t="shared" si="1230"/>
        <v>#DIV/0!</v>
      </c>
      <c r="H7919" s="11" t="e">
        <f t="shared" si="1231"/>
        <v>#N/A</v>
      </c>
      <c r="I7919" s="11" t="e">
        <f t="shared" si="1232"/>
        <v>#N/A</v>
      </c>
      <c r="J7919" s="12" t="e">
        <f t="shared" si="1233"/>
        <v>#N/A</v>
      </c>
      <c r="K7919" s="17" t="e">
        <f t="shared" si="1238"/>
        <v>#N/A</v>
      </c>
      <c r="L7919" s="16">
        <f>base!X7919</f>
        <v>0</v>
      </c>
      <c r="M7919" s="11" t="e">
        <f t="shared" si="1234"/>
        <v>#DIV/0!</v>
      </c>
      <c r="N7919" s="11" t="e">
        <f t="shared" si="1235"/>
        <v>#N/A</v>
      </c>
      <c r="O7919" s="11" t="e">
        <f t="shared" si="1236"/>
        <v>#N/A</v>
      </c>
      <c r="P7919" s="12" t="e">
        <f t="shared" si="1237"/>
        <v>#N/A</v>
      </c>
      <c r="Q7919" s="17" t="e">
        <f t="shared" si="1239"/>
        <v>#N/A</v>
      </c>
    </row>
    <row r="7920" spans="1:17" x14ac:dyDescent="0.3">
      <c r="A7920" s="34">
        <f>base!J7920</f>
        <v>0</v>
      </c>
      <c r="B7920" s="34">
        <f>base!V7920</f>
        <v>0</v>
      </c>
      <c r="C7920" s="40" t="s">
        <v>11</v>
      </c>
      <c r="D7920" s="36">
        <f>base!H7920</f>
        <v>0</v>
      </c>
      <c r="E7920" s="44"/>
      <c r="F7920" s="16">
        <f>base!W7920</f>
        <v>0</v>
      </c>
      <c r="G7920" s="11" t="e">
        <f t="shared" si="1230"/>
        <v>#DIV/0!</v>
      </c>
      <c r="H7920" s="11" t="e">
        <f t="shared" si="1231"/>
        <v>#N/A</v>
      </c>
      <c r="I7920" s="11" t="e">
        <f t="shared" si="1232"/>
        <v>#N/A</v>
      </c>
      <c r="J7920" s="12" t="e">
        <f t="shared" si="1233"/>
        <v>#N/A</v>
      </c>
      <c r="K7920" s="17" t="e">
        <f t="shared" si="1238"/>
        <v>#N/A</v>
      </c>
      <c r="L7920" s="16">
        <f>base!X7920</f>
        <v>0</v>
      </c>
      <c r="M7920" s="11" t="e">
        <f t="shared" si="1234"/>
        <v>#DIV/0!</v>
      </c>
      <c r="N7920" s="11" t="e">
        <f t="shared" si="1235"/>
        <v>#N/A</v>
      </c>
      <c r="O7920" s="11" t="e">
        <f t="shared" si="1236"/>
        <v>#N/A</v>
      </c>
      <c r="P7920" s="12" t="e">
        <f t="shared" si="1237"/>
        <v>#N/A</v>
      </c>
      <c r="Q7920" s="17" t="e">
        <f t="shared" si="1239"/>
        <v>#N/A</v>
      </c>
    </row>
    <row r="7921" spans="1:17" x14ac:dyDescent="0.3">
      <c r="A7921" s="34">
        <f>base!J7921</f>
        <v>0</v>
      </c>
      <c r="B7921" s="34">
        <f>base!V7921</f>
        <v>0</v>
      </c>
      <c r="C7921" s="40" t="s">
        <v>11</v>
      </c>
      <c r="D7921" s="36">
        <f>base!H7921</f>
        <v>0</v>
      </c>
      <c r="E7921" s="44"/>
      <c r="F7921" s="16">
        <f>base!W7921</f>
        <v>0</v>
      </c>
      <c r="G7921" s="11" t="e">
        <f t="shared" si="1230"/>
        <v>#DIV/0!</v>
      </c>
      <c r="H7921" s="11" t="e">
        <f t="shared" si="1231"/>
        <v>#N/A</v>
      </c>
      <c r="I7921" s="11" t="e">
        <f t="shared" si="1232"/>
        <v>#N/A</v>
      </c>
      <c r="J7921" s="12" t="e">
        <f t="shared" si="1233"/>
        <v>#N/A</v>
      </c>
      <c r="K7921" s="17" t="e">
        <f t="shared" si="1238"/>
        <v>#N/A</v>
      </c>
      <c r="L7921" s="16">
        <f>base!X7921</f>
        <v>0</v>
      </c>
      <c r="M7921" s="11" t="e">
        <f t="shared" si="1234"/>
        <v>#DIV/0!</v>
      </c>
      <c r="N7921" s="11" t="e">
        <f t="shared" si="1235"/>
        <v>#N/A</v>
      </c>
      <c r="O7921" s="11" t="e">
        <f t="shared" si="1236"/>
        <v>#N/A</v>
      </c>
      <c r="P7921" s="12" t="e">
        <f t="shared" si="1237"/>
        <v>#N/A</v>
      </c>
      <c r="Q7921" s="17" t="e">
        <f t="shared" si="1239"/>
        <v>#N/A</v>
      </c>
    </row>
    <row r="7922" spans="1:17" x14ac:dyDescent="0.3">
      <c r="A7922" s="34">
        <f>base!J7922</f>
        <v>0</v>
      </c>
      <c r="B7922" s="34">
        <f>base!V7922</f>
        <v>0</v>
      </c>
      <c r="C7922" s="40" t="s">
        <v>11</v>
      </c>
      <c r="D7922" s="36">
        <f>base!H7922</f>
        <v>0</v>
      </c>
      <c r="E7922" s="44"/>
      <c r="F7922" s="16">
        <f>base!W7922</f>
        <v>0</v>
      </c>
      <c r="G7922" s="11" t="e">
        <f t="shared" si="1230"/>
        <v>#DIV/0!</v>
      </c>
      <c r="H7922" s="11" t="e">
        <f t="shared" si="1231"/>
        <v>#N/A</v>
      </c>
      <c r="I7922" s="11" t="e">
        <f t="shared" si="1232"/>
        <v>#N/A</v>
      </c>
      <c r="J7922" s="12" t="e">
        <f t="shared" si="1233"/>
        <v>#N/A</v>
      </c>
      <c r="K7922" s="17" t="e">
        <f t="shared" si="1238"/>
        <v>#N/A</v>
      </c>
      <c r="L7922" s="16">
        <f>base!X7922</f>
        <v>0</v>
      </c>
      <c r="M7922" s="11" t="e">
        <f t="shared" si="1234"/>
        <v>#DIV/0!</v>
      </c>
      <c r="N7922" s="11" t="e">
        <f t="shared" si="1235"/>
        <v>#N/A</v>
      </c>
      <c r="O7922" s="11" t="e">
        <f t="shared" si="1236"/>
        <v>#N/A</v>
      </c>
      <c r="P7922" s="12" t="e">
        <f t="shared" si="1237"/>
        <v>#N/A</v>
      </c>
      <c r="Q7922" s="17" t="e">
        <f t="shared" si="1239"/>
        <v>#N/A</v>
      </c>
    </row>
    <row r="7923" spans="1:17" x14ac:dyDescent="0.3">
      <c r="A7923" s="34">
        <f>base!J7923</f>
        <v>0</v>
      </c>
      <c r="B7923" s="34">
        <f>base!V7923</f>
        <v>0</v>
      </c>
      <c r="C7923" s="40" t="s">
        <v>11</v>
      </c>
      <c r="D7923" s="36">
        <f>base!H7923</f>
        <v>0</v>
      </c>
      <c r="E7923" s="44"/>
      <c r="F7923" s="16">
        <f>base!W7923</f>
        <v>0</v>
      </c>
      <c r="G7923" s="11" t="e">
        <f t="shared" si="1230"/>
        <v>#DIV/0!</v>
      </c>
      <c r="H7923" s="11" t="e">
        <f t="shared" si="1231"/>
        <v>#N/A</v>
      </c>
      <c r="I7923" s="11" t="e">
        <f t="shared" si="1232"/>
        <v>#N/A</v>
      </c>
      <c r="J7923" s="12" t="e">
        <f t="shared" si="1233"/>
        <v>#N/A</v>
      </c>
      <c r="K7923" s="17" t="e">
        <f t="shared" si="1238"/>
        <v>#N/A</v>
      </c>
      <c r="L7923" s="16">
        <f>base!X7923</f>
        <v>0</v>
      </c>
      <c r="M7923" s="11" t="e">
        <f t="shared" si="1234"/>
        <v>#DIV/0!</v>
      </c>
      <c r="N7923" s="11" t="e">
        <f t="shared" si="1235"/>
        <v>#N/A</v>
      </c>
      <c r="O7923" s="11" t="e">
        <f t="shared" si="1236"/>
        <v>#N/A</v>
      </c>
      <c r="P7923" s="12" t="e">
        <f t="shared" si="1237"/>
        <v>#N/A</v>
      </c>
      <c r="Q7923" s="17" t="e">
        <f t="shared" si="1239"/>
        <v>#N/A</v>
      </c>
    </row>
    <row r="7924" spans="1:17" x14ac:dyDescent="0.3">
      <c r="A7924" s="34">
        <f>base!J7924</f>
        <v>0</v>
      </c>
      <c r="B7924" s="34">
        <f>base!V7924</f>
        <v>0</v>
      </c>
      <c r="C7924" s="40" t="s">
        <v>11</v>
      </c>
      <c r="D7924" s="36">
        <f>base!H7924</f>
        <v>0</v>
      </c>
      <c r="E7924" s="44"/>
      <c r="F7924" s="16">
        <f>base!W7924</f>
        <v>0</v>
      </c>
      <c r="G7924" s="11" t="e">
        <f t="shared" si="1230"/>
        <v>#DIV/0!</v>
      </c>
      <c r="H7924" s="11" t="e">
        <f t="shared" si="1231"/>
        <v>#N/A</v>
      </c>
      <c r="I7924" s="11" t="e">
        <f t="shared" si="1232"/>
        <v>#N/A</v>
      </c>
      <c r="J7924" s="12" t="e">
        <f t="shared" si="1233"/>
        <v>#N/A</v>
      </c>
      <c r="K7924" s="17" t="e">
        <f t="shared" si="1238"/>
        <v>#N/A</v>
      </c>
      <c r="L7924" s="16">
        <f>base!X7924</f>
        <v>0</v>
      </c>
      <c r="M7924" s="11" t="e">
        <f t="shared" si="1234"/>
        <v>#DIV/0!</v>
      </c>
      <c r="N7924" s="11" t="e">
        <f t="shared" si="1235"/>
        <v>#N/A</v>
      </c>
      <c r="O7924" s="11" t="e">
        <f t="shared" si="1236"/>
        <v>#N/A</v>
      </c>
      <c r="P7924" s="12" t="e">
        <f t="shared" si="1237"/>
        <v>#N/A</v>
      </c>
      <c r="Q7924" s="17" t="e">
        <f t="shared" si="1239"/>
        <v>#N/A</v>
      </c>
    </row>
    <row r="7925" spans="1:17" x14ac:dyDescent="0.3">
      <c r="A7925" s="34">
        <f>base!J7925</f>
        <v>0</v>
      </c>
      <c r="B7925" s="34">
        <f>base!V7925</f>
        <v>0</v>
      </c>
      <c r="C7925" s="40" t="s">
        <v>11</v>
      </c>
      <c r="D7925" s="36">
        <f>base!H7925</f>
        <v>0</v>
      </c>
      <c r="E7925" s="44"/>
      <c r="F7925" s="16">
        <f>base!W7925</f>
        <v>0</v>
      </c>
      <c r="G7925" s="11" t="e">
        <f t="shared" si="1230"/>
        <v>#DIV/0!</v>
      </c>
      <c r="H7925" s="11" t="e">
        <f t="shared" si="1231"/>
        <v>#N/A</v>
      </c>
      <c r="I7925" s="11" t="e">
        <f t="shared" si="1232"/>
        <v>#N/A</v>
      </c>
      <c r="J7925" s="12" t="e">
        <f t="shared" si="1233"/>
        <v>#N/A</v>
      </c>
      <c r="K7925" s="17" t="e">
        <f t="shared" si="1238"/>
        <v>#N/A</v>
      </c>
      <c r="L7925" s="16">
        <f>base!X7925</f>
        <v>0</v>
      </c>
      <c r="M7925" s="11" t="e">
        <f t="shared" si="1234"/>
        <v>#DIV/0!</v>
      </c>
      <c r="N7925" s="11" t="e">
        <f t="shared" si="1235"/>
        <v>#N/A</v>
      </c>
      <c r="O7925" s="11" t="e">
        <f t="shared" si="1236"/>
        <v>#N/A</v>
      </c>
      <c r="P7925" s="12" t="e">
        <f t="shared" si="1237"/>
        <v>#N/A</v>
      </c>
      <c r="Q7925" s="17" t="e">
        <f t="shared" si="1239"/>
        <v>#N/A</v>
      </c>
    </row>
    <row r="7926" spans="1:17" x14ac:dyDescent="0.3">
      <c r="A7926" s="34">
        <f>base!J7926</f>
        <v>0</v>
      </c>
      <c r="B7926" s="34">
        <f>base!V7926</f>
        <v>0</v>
      </c>
      <c r="C7926" s="40" t="s">
        <v>11</v>
      </c>
      <c r="D7926" s="36">
        <f>base!H7926</f>
        <v>0</v>
      </c>
      <c r="E7926" s="44"/>
      <c r="F7926" s="16">
        <f>base!W7926</f>
        <v>0</v>
      </c>
      <c r="G7926" s="11" t="e">
        <f t="shared" si="1230"/>
        <v>#DIV/0!</v>
      </c>
      <c r="H7926" s="11" t="e">
        <f t="shared" si="1231"/>
        <v>#N/A</v>
      </c>
      <c r="I7926" s="11" t="e">
        <f t="shared" si="1232"/>
        <v>#N/A</v>
      </c>
      <c r="J7926" s="12" t="e">
        <f t="shared" si="1233"/>
        <v>#N/A</v>
      </c>
      <c r="K7926" s="17" t="e">
        <f t="shared" si="1238"/>
        <v>#N/A</v>
      </c>
      <c r="L7926" s="16">
        <f>base!X7926</f>
        <v>0</v>
      </c>
      <c r="M7926" s="11" t="e">
        <f t="shared" si="1234"/>
        <v>#DIV/0!</v>
      </c>
      <c r="N7926" s="11" t="e">
        <f t="shared" si="1235"/>
        <v>#N/A</v>
      </c>
      <c r="O7926" s="11" t="e">
        <f t="shared" si="1236"/>
        <v>#N/A</v>
      </c>
      <c r="P7926" s="12" t="e">
        <f t="shared" si="1237"/>
        <v>#N/A</v>
      </c>
      <c r="Q7926" s="17" t="e">
        <f t="shared" si="1239"/>
        <v>#N/A</v>
      </c>
    </row>
    <row r="7927" spans="1:17" x14ac:dyDescent="0.3">
      <c r="A7927" s="34">
        <f>base!J7927</f>
        <v>0</v>
      </c>
      <c r="B7927" s="34">
        <f>base!V7927</f>
        <v>0</v>
      </c>
      <c r="C7927" s="40" t="s">
        <v>11</v>
      </c>
      <c r="D7927" s="36">
        <f>base!H7927</f>
        <v>0</v>
      </c>
      <c r="E7927" s="44"/>
      <c r="F7927" s="16">
        <f>base!W7927</f>
        <v>0</v>
      </c>
      <c r="G7927" s="11" t="e">
        <f t="shared" si="1230"/>
        <v>#DIV/0!</v>
      </c>
      <c r="H7927" s="11" t="e">
        <f t="shared" si="1231"/>
        <v>#N/A</v>
      </c>
      <c r="I7927" s="11" t="e">
        <f t="shared" si="1232"/>
        <v>#N/A</v>
      </c>
      <c r="J7927" s="12" t="e">
        <f t="shared" si="1233"/>
        <v>#N/A</v>
      </c>
      <c r="K7927" s="17" t="e">
        <f t="shared" si="1238"/>
        <v>#N/A</v>
      </c>
      <c r="L7927" s="16">
        <f>base!X7927</f>
        <v>0</v>
      </c>
      <c r="M7927" s="11" t="e">
        <f t="shared" si="1234"/>
        <v>#DIV/0!</v>
      </c>
      <c r="N7927" s="11" t="e">
        <f t="shared" si="1235"/>
        <v>#N/A</v>
      </c>
      <c r="O7927" s="11" t="e">
        <f t="shared" si="1236"/>
        <v>#N/A</v>
      </c>
      <c r="P7927" s="12" t="e">
        <f t="shared" si="1237"/>
        <v>#N/A</v>
      </c>
      <c r="Q7927" s="17" t="e">
        <f t="shared" si="1239"/>
        <v>#N/A</v>
      </c>
    </row>
    <row r="7928" spans="1:17" x14ac:dyDescent="0.3">
      <c r="A7928" s="34">
        <f>base!J7928</f>
        <v>0</v>
      </c>
      <c r="B7928" s="34">
        <f>base!V7928</f>
        <v>0</v>
      </c>
      <c r="C7928" s="40" t="s">
        <v>11</v>
      </c>
      <c r="D7928" s="36">
        <f>base!H7928</f>
        <v>0</v>
      </c>
      <c r="E7928" s="44"/>
      <c r="F7928" s="16">
        <f>base!W7928</f>
        <v>0</v>
      </c>
      <c r="G7928" s="11" t="e">
        <f t="shared" si="1230"/>
        <v>#DIV/0!</v>
      </c>
      <c r="H7928" s="11" t="e">
        <f t="shared" si="1231"/>
        <v>#N/A</v>
      </c>
      <c r="I7928" s="11" t="e">
        <f t="shared" si="1232"/>
        <v>#N/A</v>
      </c>
      <c r="J7928" s="12" t="e">
        <f t="shared" si="1233"/>
        <v>#N/A</v>
      </c>
      <c r="K7928" s="17" t="e">
        <f t="shared" si="1238"/>
        <v>#N/A</v>
      </c>
      <c r="L7928" s="16">
        <f>base!X7928</f>
        <v>0</v>
      </c>
      <c r="M7928" s="11" t="e">
        <f t="shared" si="1234"/>
        <v>#DIV/0!</v>
      </c>
      <c r="N7928" s="11" t="e">
        <f t="shared" si="1235"/>
        <v>#N/A</v>
      </c>
      <c r="O7928" s="11" t="e">
        <f t="shared" si="1236"/>
        <v>#N/A</v>
      </c>
      <c r="P7928" s="12" t="e">
        <f t="shared" si="1237"/>
        <v>#N/A</v>
      </c>
      <c r="Q7928" s="17" t="e">
        <f t="shared" si="1239"/>
        <v>#N/A</v>
      </c>
    </row>
    <row r="7929" spans="1:17" x14ac:dyDescent="0.3">
      <c r="A7929" s="34">
        <f>base!J7929</f>
        <v>0</v>
      </c>
      <c r="B7929" s="34">
        <f>base!V7929</f>
        <v>0</v>
      </c>
      <c r="C7929" s="40" t="s">
        <v>11</v>
      </c>
      <c r="D7929" s="36">
        <f>base!H7929</f>
        <v>0</v>
      </c>
      <c r="E7929" s="44"/>
      <c r="F7929" s="16">
        <f>base!W7929</f>
        <v>0</v>
      </c>
      <c r="G7929" s="11" t="e">
        <f t="shared" si="1230"/>
        <v>#DIV/0!</v>
      </c>
      <c r="H7929" s="11" t="e">
        <f t="shared" si="1231"/>
        <v>#N/A</v>
      </c>
      <c r="I7929" s="11" t="e">
        <f t="shared" si="1232"/>
        <v>#N/A</v>
      </c>
      <c r="J7929" s="12" t="e">
        <f t="shared" si="1233"/>
        <v>#N/A</v>
      </c>
      <c r="K7929" s="17" t="e">
        <f t="shared" si="1238"/>
        <v>#N/A</v>
      </c>
      <c r="L7929" s="16">
        <f>base!X7929</f>
        <v>0</v>
      </c>
      <c r="M7929" s="11" t="e">
        <f t="shared" si="1234"/>
        <v>#DIV/0!</v>
      </c>
      <c r="N7929" s="11" t="e">
        <f t="shared" si="1235"/>
        <v>#N/A</v>
      </c>
      <c r="O7929" s="11" t="e">
        <f t="shared" si="1236"/>
        <v>#N/A</v>
      </c>
      <c r="P7929" s="12" t="e">
        <f t="shared" si="1237"/>
        <v>#N/A</v>
      </c>
      <c r="Q7929" s="17" t="e">
        <f t="shared" si="1239"/>
        <v>#N/A</v>
      </c>
    </row>
    <row r="7930" spans="1:17" x14ac:dyDescent="0.3">
      <c r="A7930" s="34">
        <f>base!J7930</f>
        <v>0</v>
      </c>
      <c r="B7930" s="34">
        <f>base!V7930</f>
        <v>0</v>
      </c>
      <c r="C7930" s="40" t="s">
        <v>11</v>
      </c>
      <c r="D7930" s="36">
        <f>base!H7930</f>
        <v>0</v>
      </c>
      <c r="E7930" s="44"/>
      <c r="F7930" s="16">
        <f>base!W7930</f>
        <v>0</v>
      </c>
      <c r="G7930" s="11" t="e">
        <f t="shared" si="1230"/>
        <v>#DIV/0!</v>
      </c>
      <c r="H7930" s="11" t="e">
        <f t="shared" si="1231"/>
        <v>#N/A</v>
      </c>
      <c r="I7930" s="11" t="e">
        <f t="shared" si="1232"/>
        <v>#N/A</v>
      </c>
      <c r="J7930" s="12" t="e">
        <f t="shared" si="1233"/>
        <v>#N/A</v>
      </c>
      <c r="K7930" s="17" t="e">
        <f t="shared" si="1238"/>
        <v>#N/A</v>
      </c>
      <c r="L7930" s="16">
        <f>base!X7930</f>
        <v>0</v>
      </c>
      <c r="M7930" s="11" t="e">
        <f t="shared" si="1234"/>
        <v>#DIV/0!</v>
      </c>
      <c r="N7930" s="11" t="e">
        <f t="shared" si="1235"/>
        <v>#N/A</v>
      </c>
      <c r="O7930" s="11" t="e">
        <f t="shared" si="1236"/>
        <v>#N/A</v>
      </c>
      <c r="P7930" s="12" t="e">
        <f t="shared" si="1237"/>
        <v>#N/A</v>
      </c>
      <c r="Q7930" s="17" t="e">
        <f t="shared" si="1239"/>
        <v>#N/A</v>
      </c>
    </row>
    <row r="7931" spans="1:17" x14ac:dyDescent="0.3">
      <c r="A7931" s="34">
        <f>base!J7931</f>
        <v>0</v>
      </c>
      <c r="B7931" s="34">
        <f>base!V7931</f>
        <v>0</v>
      </c>
      <c r="C7931" s="40" t="s">
        <v>11</v>
      </c>
      <c r="D7931" s="36">
        <f>base!H7931</f>
        <v>0</v>
      </c>
      <c r="E7931" s="44"/>
      <c r="F7931" s="16">
        <f>base!W7931</f>
        <v>0</v>
      </c>
      <c r="G7931" s="11" t="e">
        <f t="shared" si="1230"/>
        <v>#DIV/0!</v>
      </c>
      <c r="H7931" s="11" t="e">
        <f t="shared" si="1231"/>
        <v>#N/A</v>
      </c>
      <c r="I7931" s="11" t="e">
        <f t="shared" si="1232"/>
        <v>#N/A</v>
      </c>
      <c r="J7931" s="12" t="e">
        <f t="shared" si="1233"/>
        <v>#N/A</v>
      </c>
      <c r="K7931" s="17" t="e">
        <f t="shared" si="1238"/>
        <v>#N/A</v>
      </c>
      <c r="L7931" s="16">
        <f>base!X7931</f>
        <v>0</v>
      </c>
      <c r="M7931" s="11" t="e">
        <f t="shared" si="1234"/>
        <v>#DIV/0!</v>
      </c>
      <c r="N7931" s="11" t="e">
        <f t="shared" si="1235"/>
        <v>#N/A</v>
      </c>
      <c r="O7931" s="11" t="e">
        <f t="shared" si="1236"/>
        <v>#N/A</v>
      </c>
      <c r="P7931" s="12" t="e">
        <f t="shared" si="1237"/>
        <v>#N/A</v>
      </c>
      <c r="Q7931" s="17" t="e">
        <f t="shared" si="1239"/>
        <v>#N/A</v>
      </c>
    </row>
    <row r="7932" spans="1:17" x14ac:dyDescent="0.3">
      <c r="A7932" s="34">
        <f>base!J7932</f>
        <v>0</v>
      </c>
      <c r="B7932" s="34">
        <f>base!V7932</f>
        <v>0</v>
      </c>
      <c r="C7932" s="40" t="s">
        <v>11</v>
      </c>
      <c r="D7932" s="36">
        <f>base!H7932</f>
        <v>0</v>
      </c>
      <c r="E7932" s="44"/>
      <c r="F7932" s="16">
        <f>base!W7932</f>
        <v>0</v>
      </c>
      <c r="G7932" s="11" t="e">
        <f t="shared" si="1230"/>
        <v>#DIV/0!</v>
      </c>
      <c r="H7932" s="11" t="e">
        <f t="shared" si="1231"/>
        <v>#N/A</v>
      </c>
      <c r="I7932" s="11" t="e">
        <f t="shared" si="1232"/>
        <v>#N/A</v>
      </c>
      <c r="J7932" s="12" t="e">
        <f t="shared" si="1233"/>
        <v>#N/A</v>
      </c>
      <c r="K7932" s="17" t="e">
        <f t="shared" si="1238"/>
        <v>#N/A</v>
      </c>
      <c r="L7932" s="16">
        <f>base!X7932</f>
        <v>0</v>
      </c>
      <c r="M7932" s="11" t="e">
        <f t="shared" si="1234"/>
        <v>#DIV/0!</v>
      </c>
      <c r="N7932" s="11" t="e">
        <f t="shared" si="1235"/>
        <v>#N/A</v>
      </c>
      <c r="O7932" s="11" t="e">
        <f t="shared" si="1236"/>
        <v>#N/A</v>
      </c>
      <c r="P7932" s="12" t="e">
        <f t="shared" si="1237"/>
        <v>#N/A</v>
      </c>
      <c r="Q7932" s="17" t="e">
        <f t="shared" si="1239"/>
        <v>#N/A</v>
      </c>
    </row>
    <row r="7933" spans="1:17" x14ac:dyDescent="0.3">
      <c r="A7933" s="34">
        <f>base!J7933</f>
        <v>0</v>
      </c>
      <c r="B7933" s="34">
        <f>base!V7933</f>
        <v>0</v>
      </c>
      <c r="C7933" s="40" t="s">
        <v>11</v>
      </c>
      <c r="D7933" s="36">
        <f>base!H7933</f>
        <v>0</v>
      </c>
      <c r="E7933" s="44"/>
      <c r="F7933" s="16">
        <f>base!W7933</f>
        <v>0</v>
      </c>
      <c r="G7933" s="11" t="e">
        <f t="shared" si="1230"/>
        <v>#DIV/0!</v>
      </c>
      <c r="H7933" s="11" t="e">
        <f t="shared" si="1231"/>
        <v>#N/A</v>
      </c>
      <c r="I7933" s="11" t="e">
        <f t="shared" si="1232"/>
        <v>#N/A</v>
      </c>
      <c r="J7933" s="12" t="e">
        <f t="shared" si="1233"/>
        <v>#N/A</v>
      </c>
      <c r="K7933" s="17" t="e">
        <f t="shared" si="1238"/>
        <v>#N/A</v>
      </c>
      <c r="L7933" s="16">
        <f>base!X7933</f>
        <v>0</v>
      </c>
      <c r="M7933" s="11" t="e">
        <f t="shared" si="1234"/>
        <v>#DIV/0!</v>
      </c>
      <c r="N7933" s="11" t="e">
        <f t="shared" si="1235"/>
        <v>#N/A</v>
      </c>
      <c r="O7933" s="11" t="e">
        <f t="shared" si="1236"/>
        <v>#N/A</v>
      </c>
      <c r="P7933" s="12" t="e">
        <f t="shared" si="1237"/>
        <v>#N/A</v>
      </c>
      <c r="Q7933" s="17" t="e">
        <f t="shared" si="1239"/>
        <v>#N/A</v>
      </c>
    </row>
    <row r="7934" spans="1:17" x14ac:dyDescent="0.3">
      <c r="A7934" s="34">
        <f>base!J7934</f>
        <v>0</v>
      </c>
      <c r="B7934" s="34">
        <f>base!V7934</f>
        <v>0</v>
      </c>
      <c r="C7934" s="40" t="s">
        <v>11</v>
      </c>
      <c r="D7934" s="36">
        <f>base!H7934</f>
        <v>0</v>
      </c>
      <c r="E7934" s="44"/>
      <c r="F7934" s="16">
        <f>base!W7934</f>
        <v>0</v>
      </c>
      <c r="G7934" s="11" t="e">
        <f t="shared" si="1230"/>
        <v>#DIV/0!</v>
      </c>
      <c r="H7934" s="11" t="e">
        <f t="shared" si="1231"/>
        <v>#N/A</v>
      </c>
      <c r="I7934" s="11" t="e">
        <f t="shared" si="1232"/>
        <v>#N/A</v>
      </c>
      <c r="J7934" s="12" t="e">
        <f t="shared" si="1233"/>
        <v>#N/A</v>
      </c>
      <c r="K7934" s="17" t="e">
        <f t="shared" si="1238"/>
        <v>#N/A</v>
      </c>
      <c r="L7934" s="16">
        <f>base!X7934</f>
        <v>0</v>
      </c>
      <c r="M7934" s="11" t="e">
        <f t="shared" si="1234"/>
        <v>#DIV/0!</v>
      </c>
      <c r="N7934" s="11" t="e">
        <f t="shared" si="1235"/>
        <v>#N/A</v>
      </c>
      <c r="O7934" s="11" t="e">
        <f t="shared" si="1236"/>
        <v>#N/A</v>
      </c>
      <c r="P7934" s="12" t="e">
        <f t="shared" si="1237"/>
        <v>#N/A</v>
      </c>
      <c r="Q7934" s="17" t="e">
        <f t="shared" si="1239"/>
        <v>#N/A</v>
      </c>
    </row>
    <row r="7935" spans="1:17" x14ac:dyDescent="0.3">
      <c r="A7935" s="34">
        <f>base!J7935</f>
        <v>0</v>
      </c>
      <c r="B7935" s="34">
        <f>base!V7935</f>
        <v>0</v>
      </c>
      <c r="C7935" s="40" t="s">
        <v>11</v>
      </c>
      <c r="D7935" s="36">
        <f>base!H7935</f>
        <v>0</v>
      </c>
      <c r="E7935" s="44"/>
      <c r="F7935" s="16">
        <f>base!W7935</f>
        <v>0</v>
      </c>
      <c r="G7935" s="11" t="e">
        <f t="shared" si="1230"/>
        <v>#DIV/0!</v>
      </c>
      <c r="H7935" s="11" t="e">
        <f t="shared" si="1231"/>
        <v>#N/A</v>
      </c>
      <c r="I7935" s="11" t="e">
        <f t="shared" si="1232"/>
        <v>#N/A</v>
      </c>
      <c r="J7935" s="12" t="e">
        <f t="shared" si="1233"/>
        <v>#N/A</v>
      </c>
      <c r="K7935" s="17" t="e">
        <f t="shared" si="1238"/>
        <v>#N/A</v>
      </c>
      <c r="L7935" s="16">
        <f>base!X7935</f>
        <v>0</v>
      </c>
      <c r="M7935" s="11" t="e">
        <f t="shared" si="1234"/>
        <v>#DIV/0!</v>
      </c>
      <c r="N7935" s="11" t="e">
        <f t="shared" si="1235"/>
        <v>#N/A</v>
      </c>
      <c r="O7935" s="11" t="e">
        <f t="shared" si="1236"/>
        <v>#N/A</v>
      </c>
      <c r="P7935" s="12" t="e">
        <f t="shared" si="1237"/>
        <v>#N/A</v>
      </c>
      <c r="Q7935" s="17" t="e">
        <f t="shared" si="1239"/>
        <v>#N/A</v>
      </c>
    </row>
    <row r="7936" spans="1:17" x14ac:dyDescent="0.3">
      <c r="A7936" s="34">
        <f>base!J7936</f>
        <v>0</v>
      </c>
      <c r="B7936" s="34">
        <f>base!V7936</f>
        <v>0</v>
      </c>
      <c r="C7936" s="40" t="s">
        <v>11</v>
      </c>
      <c r="D7936" s="36">
        <f>base!H7936</f>
        <v>0</v>
      </c>
      <c r="E7936" s="44"/>
      <c r="F7936" s="16">
        <f>base!W7936</f>
        <v>0</v>
      </c>
      <c r="G7936" s="11" t="e">
        <f t="shared" si="1230"/>
        <v>#DIV/0!</v>
      </c>
      <c r="H7936" s="11" t="e">
        <f t="shared" si="1231"/>
        <v>#N/A</v>
      </c>
      <c r="I7936" s="11" t="e">
        <f t="shared" si="1232"/>
        <v>#N/A</v>
      </c>
      <c r="J7936" s="12" t="e">
        <f t="shared" si="1233"/>
        <v>#N/A</v>
      </c>
      <c r="K7936" s="17" t="e">
        <f t="shared" si="1238"/>
        <v>#N/A</v>
      </c>
      <c r="L7936" s="16">
        <f>base!X7936</f>
        <v>0</v>
      </c>
      <c r="M7936" s="11" t="e">
        <f t="shared" si="1234"/>
        <v>#DIV/0!</v>
      </c>
      <c r="N7936" s="11" t="e">
        <f t="shared" si="1235"/>
        <v>#N/A</v>
      </c>
      <c r="O7936" s="11" t="e">
        <f t="shared" si="1236"/>
        <v>#N/A</v>
      </c>
      <c r="P7936" s="12" t="e">
        <f t="shared" si="1237"/>
        <v>#N/A</v>
      </c>
      <c r="Q7936" s="17" t="e">
        <f t="shared" si="1239"/>
        <v>#N/A</v>
      </c>
    </row>
    <row r="7937" spans="1:17" x14ac:dyDescent="0.3">
      <c r="A7937" s="34">
        <f>base!J7937</f>
        <v>0</v>
      </c>
      <c r="B7937" s="34">
        <f>base!V7937</f>
        <v>0</v>
      </c>
      <c r="C7937" s="40" t="s">
        <v>11</v>
      </c>
      <c r="D7937" s="36">
        <f>base!H7937</f>
        <v>0</v>
      </c>
      <c r="E7937" s="44"/>
      <c r="F7937" s="16">
        <f>base!W7937</f>
        <v>0</v>
      </c>
      <c r="G7937" s="11" t="e">
        <f t="shared" si="1230"/>
        <v>#DIV/0!</v>
      </c>
      <c r="H7937" s="11" t="e">
        <f t="shared" si="1231"/>
        <v>#N/A</v>
      </c>
      <c r="I7937" s="11" t="e">
        <f t="shared" si="1232"/>
        <v>#N/A</v>
      </c>
      <c r="J7937" s="12" t="e">
        <f t="shared" si="1233"/>
        <v>#N/A</v>
      </c>
      <c r="K7937" s="17" t="e">
        <f t="shared" si="1238"/>
        <v>#N/A</v>
      </c>
      <c r="L7937" s="16">
        <f>base!X7937</f>
        <v>0</v>
      </c>
      <c r="M7937" s="11" t="e">
        <f t="shared" si="1234"/>
        <v>#DIV/0!</v>
      </c>
      <c r="N7937" s="11" t="e">
        <f t="shared" si="1235"/>
        <v>#N/A</v>
      </c>
      <c r="O7937" s="11" t="e">
        <f t="shared" si="1236"/>
        <v>#N/A</v>
      </c>
      <c r="P7937" s="12" t="e">
        <f t="shared" si="1237"/>
        <v>#N/A</v>
      </c>
      <c r="Q7937" s="17" t="e">
        <f t="shared" si="1239"/>
        <v>#N/A</v>
      </c>
    </row>
    <row r="7938" spans="1:17" x14ac:dyDescent="0.3">
      <c r="A7938" s="34">
        <f>base!J7938</f>
        <v>0</v>
      </c>
      <c r="B7938" s="34">
        <f>base!V7938</f>
        <v>0</v>
      </c>
      <c r="C7938" s="40" t="s">
        <v>11</v>
      </c>
      <c r="D7938" s="36">
        <f>base!H7938</f>
        <v>0</v>
      </c>
      <c r="E7938" s="44"/>
      <c r="F7938" s="16">
        <f>base!W7938</f>
        <v>0</v>
      </c>
      <c r="G7938" s="11" t="e">
        <f t="shared" ref="G7938:G8001" si="1240">F7938/D7938</f>
        <v>#DIV/0!</v>
      </c>
      <c r="H7938" s="11" t="e">
        <f t="shared" ref="H7938:H8001" si="1241">VLOOKUP(C7938,tout_cout_traction,2,FALSE)*D7938</f>
        <v>#N/A</v>
      </c>
      <c r="I7938" s="11" t="e">
        <f t="shared" ref="I7938:I8001" si="1242">H7938/D7938</f>
        <v>#N/A</v>
      </c>
      <c r="J7938" s="12" t="e">
        <f t="shared" ref="J7938:J8001" si="1243">F7938-H7938</f>
        <v>#N/A</v>
      </c>
      <c r="K7938" s="17" t="e">
        <f t="shared" si="1238"/>
        <v>#N/A</v>
      </c>
      <c r="L7938" s="16">
        <f>base!X7938</f>
        <v>0</v>
      </c>
      <c r="M7938" s="11" t="e">
        <f t="shared" ref="M7938:M8001" si="1244">L7938/D7938</f>
        <v>#DIV/0!</v>
      </c>
      <c r="N7938" s="11" t="e">
        <f t="shared" ref="N7938:N8001" si="1245">VLOOKUP(C7938,tout_cout_traction,3,FALSE)*D7938</f>
        <v>#N/A</v>
      </c>
      <c r="O7938" s="11" t="e">
        <f t="shared" ref="O7938:O8001" si="1246">N7938/D7938</f>
        <v>#N/A</v>
      </c>
      <c r="P7938" s="12" t="e">
        <f t="shared" ref="P7938:P8001" si="1247">L7938-N7938</f>
        <v>#N/A</v>
      </c>
      <c r="Q7938" s="17" t="e">
        <f t="shared" si="1239"/>
        <v>#N/A</v>
      </c>
    </row>
    <row r="7939" spans="1:17" x14ac:dyDescent="0.3">
      <c r="A7939" s="34">
        <f>base!J7939</f>
        <v>0</v>
      </c>
      <c r="B7939" s="34">
        <f>base!V7939</f>
        <v>0</v>
      </c>
      <c r="C7939" s="40" t="s">
        <v>11</v>
      </c>
      <c r="D7939" s="36">
        <f>base!H7939</f>
        <v>0</v>
      </c>
      <c r="E7939" s="44"/>
      <c r="F7939" s="16">
        <f>base!W7939</f>
        <v>0</v>
      </c>
      <c r="G7939" s="11" t="e">
        <f t="shared" si="1240"/>
        <v>#DIV/0!</v>
      </c>
      <c r="H7939" s="11" t="e">
        <f t="shared" si="1241"/>
        <v>#N/A</v>
      </c>
      <c r="I7939" s="11" t="e">
        <f t="shared" si="1242"/>
        <v>#N/A</v>
      </c>
      <c r="J7939" s="12" t="e">
        <f t="shared" si="1243"/>
        <v>#N/A</v>
      </c>
      <c r="K7939" s="17" t="e">
        <f t="shared" ref="K7939:K8002" si="1248">IF(H7939=F7939,"Pas d'écart",IF(H7939&lt;F7939,"Ecart positif",IF(H7939&gt;F7939,"Ecart négatif")))</f>
        <v>#N/A</v>
      </c>
      <c r="L7939" s="16">
        <f>base!X7939</f>
        <v>0</v>
      </c>
      <c r="M7939" s="11" t="e">
        <f t="shared" si="1244"/>
        <v>#DIV/0!</v>
      </c>
      <c r="N7939" s="11" t="e">
        <f t="shared" si="1245"/>
        <v>#N/A</v>
      </c>
      <c r="O7939" s="11" t="e">
        <f t="shared" si="1246"/>
        <v>#N/A</v>
      </c>
      <c r="P7939" s="12" t="e">
        <f t="shared" si="1247"/>
        <v>#N/A</v>
      </c>
      <c r="Q7939" s="17" t="e">
        <f t="shared" ref="Q7939:Q8002" si="1249">IF(N7939=L7939,"Pas d'écart",IF(N7939&lt;L7939,"Ecart positif",IF(N7939&gt;L7939,"Ecart négatif")))</f>
        <v>#N/A</v>
      </c>
    </row>
    <row r="7940" spans="1:17" x14ac:dyDescent="0.3">
      <c r="A7940" s="34">
        <f>base!J7940</f>
        <v>0</v>
      </c>
      <c r="B7940" s="34">
        <f>base!V7940</f>
        <v>0</v>
      </c>
      <c r="C7940" s="40" t="s">
        <v>11</v>
      </c>
      <c r="D7940" s="36">
        <f>base!H7940</f>
        <v>0</v>
      </c>
      <c r="E7940" s="44"/>
      <c r="F7940" s="16">
        <f>base!W7940</f>
        <v>0</v>
      </c>
      <c r="G7940" s="11" t="e">
        <f t="shared" si="1240"/>
        <v>#DIV/0!</v>
      </c>
      <c r="H7940" s="11" t="e">
        <f t="shared" si="1241"/>
        <v>#N/A</v>
      </c>
      <c r="I7940" s="11" t="e">
        <f t="shared" si="1242"/>
        <v>#N/A</v>
      </c>
      <c r="J7940" s="12" t="e">
        <f t="shared" si="1243"/>
        <v>#N/A</v>
      </c>
      <c r="K7940" s="17" t="e">
        <f t="shared" si="1248"/>
        <v>#N/A</v>
      </c>
      <c r="L7940" s="16">
        <f>base!X7940</f>
        <v>0</v>
      </c>
      <c r="M7940" s="11" t="e">
        <f t="shared" si="1244"/>
        <v>#DIV/0!</v>
      </c>
      <c r="N7940" s="11" t="e">
        <f t="shared" si="1245"/>
        <v>#N/A</v>
      </c>
      <c r="O7940" s="11" t="e">
        <f t="shared" si="1246"/>
        <v>#N/A</v>
      </c>
      <c r="P7940" s="12" t="e">
        <f t="shared" si="1247"/>
        <v>#N/A</v>
      </c>
      <c r="Q7940" s="17" t="e">
        <f t="shared" si="1249"/>
        <v>#N/A</v>
      </c>
    </row>
    <row r="7941" spans="1:17" x14ac:dyDescent="0.3">
      <c r="A7941" s="34">
        <f>base!J7941</f>
        <v>0</v>
      </c>
      <c r="B7941" s="34">
        <f>base!V7941</f>
        <v>0</v>
      </c>
      <c r="C7941" s="40" t="s">
        <v>11</v>
      </c>
      <c r="D7941" s="36">
        <f>base!H7941</f>
        <v>0</v>
      </c>
      <c r="E7941" s="44"/>
      <c r="F7941" s="16">
        <f>base!W7941</f>
        <v>0</v>
      </c>
      <c r="G7941" s="11" t="e">
        <f t="shared" si="1240"/>
        <v>#DIV/0!</v>
      </c>
      <c r="H7941" s="11" t="e">
        <f t="shared" si="1241"/>
        <v>#N/A</v>
      </c>
      <c r="I7941" s="11" t="e">
        <f t="shared" si="1242"/>
        <v>#N/A</v>
      </c>
      <c r="J7941" s="12" t="e">
        <f t="shared" si="1243"/>
        <v>#N/A</v>
      </c>
      <c r="K7941" s="17" t="e">
        <f t="shared" si="1248"/>
        <v>#N/A</v>
      </c>
      <c r="L7941" s="16">
        <f>base!X7941</f>
        <v>0</v>
      </c>
      <c r="M7941" s="11" t="e">
        <f t="shared" si="1244"/>
        <v>#DIV/0!</v>
      </c>
      <c r="N7941" s="11" t="e">
        <f t="shared" si="1245"/>
        <v>#N/A</v>
      </c>
      <c r="O7941" s="11" t="e">
        <f t="shared" si="1246"/>
        <v>#N/A</v>
      </c>
      <c r="P7941" s="12" t="e">
        <f t="shared" si="1247"/>
        <v>#N/A</v>
      </c>
      <c r="Q7941" s="17" t="e">
        <f t="shared" si="1249"/>
        <v>#N/A</v>
      </c>
    </row>
    <row r="7942" spans="1:17" x14ac:dyDescent="0.3">
      <c r="A7942" s="34">
        <f>base!J7942</f>
        <v>0</v>
      </c>
      <c r="B7942" s="34">
        <f>base!V7942</f>
        <v>0</v>
      </c>
      <c r="C7942" s="40" t="s">
        <v>11</v>
      </c>
      <c r="D7942" s="36">
        <f>base!H7942</f>
        <v>0</v>
      </c>
      <c r="E7942" s="44"/>
      <c r="F7942" s="16">
        <f>base!W7942</f>
        <v>0</v>
      </c>
      <c r="G7942" s="11" t="e">
        <f t="shared" si="1240"/>
        <v>#DIV/0!</v>
      </c>
      <c r="H7942" s="11" t="e">
        <f t="shared" si="1241"/>
        <v>#N/A</v>
      </c>
      <c r="I7942" s="11" t="e">
        <f t="shared" si="1242"/>
        <v>#N/A</v>
      </c>
      <c r="J7942" s="12" t="e">
        <f t="shared" si="1243"/>
        <v>#N/A</v>
      </c>
      <c r="K7942" s="17" t="e">
        <f t="shared" si="1248"/>
        <v>#N/A</v>
      </c>
      <c r="L7942" s="16">
        <f>base!X7942</f>
        <v>0</v>
      </c>
      <c r="M7942" s="11" t="e">
        <f t="shared" si="1244"/>
        <v>#DIV/0!</v>
      </c>
      <c r="N7942" s="11" t="e">
        <f t="shared" si="1245"/>
        <v>#N/A</v>
      </c>
      <c r="O7942" s="11" t="e">
        <f t="shared" si="1246"/>
        <v>#N/A</v>
      </c>
      <c r="P7942" s="12" t="e">
        <f t="shared" si="1247"/>
        <v>#N/A</v>
      </c>
      <c r="Q7942" s="17" t="e">
        <f t="shared" si="1249"/>
        <v>#N/A</v>
      </c>
    </row>
    <row r="7943" spans="1:17" x14ac:dyDescent="0.3">
      <c r="A7943" s="34">
        <f>base!J7943</f>
        <v>0</v>
      </c>
      <c r="B7943" s="34">
        <f>base!V7943</f>
        <v>0</v>
      </c>
      <c r="C7943" s="40" t="s">
        <v>11</v>
      </c>
      <c r="D7943" s="36">
        <f>base!H7943</f>
        <v>0</v>
      </c>
      <c r="E7943" s="44"/>
      <c r="F7943" s="16">
        <f>base!W7943</f>
        <v>0</v>
      </c>
      <c r="G7943" s="11" t="e">
        <f t="shared" si="1240"/>
        <v>#DIV/0!</v>
      </c>
      <c r="H7943" s="11" t="e">
        <f t="shared" si="1241"/>
        <v>#N/A</v>
      </c>
      <c r="I7943" s="11" t="e">
        <f t="shared" si="1242"/>
        <v>#N/A</v>
      </c>
      <c r="J7943" s="12" t="e">
        <f t="shared" si="1243"/>
        <v>#N/A</v>
      </c>
      <c r="K7943" s="17" t="e">
        <f t="shared" si="1248"/>
        <v>#N/A</v>
      </c>
      <c r="L7943" s="16">
        <f>base!X7943</f>
        <v>0</v>
      </c>
      <c r="M7943" s="11" t="e">
        <f t="shared" si="1244"/>
        <v>#DIV/0!</v>
      </c>
      <c r="N7943" s="11" t="e">
        <f t="shared" si="1245"/>
        <v>#N/A</v>
      </c>
      <c r="O7943" s="11" t="e">
        <f t="shared" si="1246"/>
        <v>#N/A</v>
      </c>
      <c r="P7943" s="12" t="e">
        <f t="shared" si="1247"/>
        <v>#N/A</v>
      </c>
      <c r="Q7943" s="17" t="e">
        <f t="shared" si="1249"/>
        <v>#N/A</v>
      </c>
    </row>
    <row r="7944" spans="1:17" x14ac:dyDescent="0.3">
      <c r="A7944" s="34">
        <f>base!J7944</f>
        <v>0</v>
      </c>
      <c r="B7944" s="34">
        <f>base!V7944</f>
        <v>0</v>
      </c>
      <c r="C7944" s="40" t="s">
        <v>11</v>
      </c>
      <c r="D7944" s="36">
        <f>base!H7944</f>
        <v>0</v>
      </c>
      <c r="E7944" s="44"/>
      <c r="F7944" s="16">
        <f>base!W7944</f>
        <v>0</v>
      </c>
      <c r="G7944" s="11" t="e">
        <f t="shared" si="1240"/>
        <v>#DIV/0!</v>
      </c>
      <c r="H7944" s="11" t="e">
        <f t="shared" si="1241"/>
        <v>#N/A</v>
      </c>
      <c r="I7944" s="11" t="e">
        <f t="shared" si="1242"/>
        <v>#N/A</v>
      </c>
      <c r="J7944" s="12" t="e">
        <f t="shared" si="1243"/>
        <v>#N/A</v>
      </c>
      <c r="K7944" s="17" t="e">
        <f t="shared" si="1248"/>
        <v>#N/A</v>
      </c>
      <c r="L7944" s="16">
        <f>base!X7944</f>
        <v>0</v>
      </c>
      <c r="M7944" s="11" t="e">
        <f t="shared" si="1244"/>
        <v>#DIV/0!</v>
      </c>
      <c r="N7944" s="11" t="e">
        <f t="shared" si="1245"/>
        <v>#N/A</v>
      </c>
      <c r="O7944" s="11" t="e">
        <f t="shared" si="1246"/>
        <v>#N/A</v>
      </c>
      <c r="P7944" s="12" t="e">
        <f t="shared" si="1247"/>
        <v>#N/A</v>
      </c>
      <c r="Q7944" s="17" t="e">
        <f t="shared" si="1249"/>
        <v>#N/A</v>
      </c>
    </row>
    <row r="7945" spans="1:17" x14ac:dyDescent="0.3">
      <c r="A7945" s="34">
        <f>base!J7945</f>
        <v>0</v>
      </c>
      <c r="B7945" s="34">
        <f>base!V7945</f>
        <v>0</v>
      </c>
      <c r="C7945" s="40" t="s">
        <v>11</v>
      </c>
      <c r="D7945" s="36">
        <f>base!H7945</f>
        <v>0</v>
      </c>
      <c r="E7945" s="44"/>
      <c r="F7945" s="16">
        <f>base!W7945</f>
        <v>0</v>
      </c>
      <c r="G7945" s="11" t="e">
        <f t="shared" si="1240"/>
        <v>#DIV/0!</v>
      </c>
      <c r="H7945" s="11" t="e">
        <f t="shared" si="1241"/>
        <v>#N/A</v>
      </c>
      <c r="I7945" s="11" t="e">
        <f t="shared" si="1242"/>
        <v>#N/A</v>
      </c>
      <c r="J7945" s="12" t="e">
        <f t="shared" si="1243"/>
        <v>#N/A</v>
      </c>
      <c r="K7945" s="17" t="e">
        <f t="shared" si="1248"/>
        <v>#N/A</v>
      </c>
      <c r="L7945" s="16">
        <f>base!X7945</f>
        <v>0</v>
      </c>
      <c r="M7945" s="11" t="e">
        <f t="shared" si="1244"/>
        <v>#DIV/0!</v>
      </c>
      <c r="N7945" s="11" t="e">
        <f t="shared" si="1245"/>
        <v>#N/A</v>
      </c>
      <c r="O7945" s="11" t="e">
        <f t="shared" si="1246"/>
        <v>#N/A</v>
      </c>
      <c r="P7945" s="12" t="e">
        <f t="shared" si="1247"/>
        <v>#N/A</v>
      </c>
      <c r="Q7945" s="17" t="e">
        <f t="shared" si="1249"/>
        <v>#N/A</v>
      </c>
    </row>
    <row r="7946" spans="1:17" x14ac:dyDescent="0.3">
      <c r="A7946" s="34">
        <f>base!J7946</f>
        <v>0</v>
      </c>
      <c r="B7946" s="34">
        <f>base!V7946</f>
        <v>0</v>
      </c>
      <c r="C7946" s="40" t="s">
        <v>11</v>
      </c>
      <c r="D7946" s="36">
        <f>base!H7946</f>
        <v>0</v>
      </c>
      <c r="E7946" s="44"/>
      <c r="F7946" s="16">
        <f>base!W7946</f>
        <v>0</v>
      </c>
      <c r="G7946" s="11" t="e">
        <f t="shared" si="1240"/>
        <v>#DIV/0!</v>
      </c>
      <c r="H7946" s="11" t="e">
        <f t="shared" si="1241"/>
        <v>#N/A</v>
      </c>
      <c r="I7946" s="11" t="e">
        <f t="shared" si="1242"/>
        <v>#N/A</v>
      </c>
      <c r="J7946" s="12" t="e">
        <f t="shared" si="1243"/>
        <v>#N/A</v>
      </c>
      <c r="K7946" s="17" t="e">
        <f t="shared" si="1248"/>
        <v>#N/A</v>
      </c>
      <c r="L7946" s="16">
        <f>base!X7946</f>
        <v>0</v>
      </c>
      <c r="M7946" s="11" t="e">
        <f t="shared" si="1244"/>
        <v>#DIV/0!</v>
      </c>
      <c r="N7946" s="11" t="e">
        <f t="shared" si="1245"/>
        <v>#N/A</v>
      </c>
      <c r="O7946" s="11" t="e">
        <f t="shared" si="1246"/>
        <v>#N/A</v>
      </c>
      <c r="P7946" s="12" t="e">
        <f t="shared" si="1247"/>
        <v>#N/A</v>
      </c>
      <c r="Q7946" s="17" t="e">
        <f t="shared" si="1249"/>
        <v>#N/A</v>
      </c>
    </row>
    <row r="7947" spans="1:17" x14ac:dyDescent="0.3">
      <c r="A7947" s="34">
        <f>base!J7947</f>
        <v>0</v>
      </c>
      <c r="B7947" s="34">
        <f>base!V7947</f>
        <v>0</v>
      </c>
      <c r="C7947" s="40" t="s">
        <v>11</v>
      </c>
      <c r="D7947" s="36">
        <f>base!H7947</f>
        <v>0</v>
      </c>
      <c r="E7947" s="44"/>
      <c r="F7947" s="16">
        <f>base!W7947</f>
        <v>0</v>
      </c>
      <c r="G7947" s="11" t="e">
        <f t="shared" si="1240"/>
        <v>#DIV/0!</v>
      </c>
      <c r="H7947" s="11" t="e">
        <f t="shared" si="1241"/>
        <v>#N/A</v>
      </c>
      <c r="I7947" s="11" t="e">
        <f t="shared" si="1242"/>
        <v>#N/A</v>
      </c>
      <c r="J7947" s="12" t="e">
        <f t="shared" si="1243"/>
        <v>#N/A</v>
      </c>
      <c r="K7947" s="17" t="e">
        <f t="shared" si="1248"/>
        <v>#N/A</v>
      </c>
      <c r="L7947" s="16">
        <f>base!X7947</f>
        <v>0</v>
      </c>
      <c r="M7947" s="11" t="e">
        <f t="shared" si="1244"/>
        <v>#DIV/0!</v>
      </c>
      <c r="N7947" s="11" t="e">
        <f t="shared" si="1245"/>
        <v>#N/A</v>
      </c>
      <c r="O7947" s="11" t="e">
        <f t="shared" si="1246"/>
        <v>#N/A</v>
      </c>
      <c r="P7947" s="12" t="e">
        <f t="shared" si="1247"/>
        <v>#N/A</v>
      </c>
      <c r="Q7947" s="17" t="e">
        <f t="shared" si="1249"/>
        <v>#N/A</v>
      </c>
    </row>
    <row r="7948" spans="1:17" x14ac:dyDescent="0.3">
      <c r="A7948" s="34">
        <f>base!J7948</f>
        <v>0</v>
      </c>
      <c r="B7948" s="34">
        <f>base!V7948</f>
        <v>0</v>
      </c>
      <c r="C7948" s="40" t="s">
        <v>11</v>
      </c>
      <c r="D7948" s="36">
        <f>base!H7948</f>
        <v>0</v>
      </c>
      <c r="E7948" s="44"/>
      <c r="F7948" s="16">
        <f>base!W7948</f>
        <v>0</v>
      </c>
      <c r="G7948" s="11" t="e">
        <f t="shared" si="1240"/>
        <v>#DIV/0!</v>
      </c>
      <c r="H7948" s="11" t="e">
        <f t="shared" si="1241"/>
        <v>#N/A</v>
      </c>
      <c r="I7948" s="11" t="e">
        <f t="shared" si="1242"/>
        <v>#N/A</v>
      </c>
      <c r="J7948" s="12" t="e">
        <f t="shared" si="1243"/>
        <v>#N/A</v>
      </c>
      <c r="K7948" s="17" t="e">
        <f t="shared" si="1248"/>
        <v>#N/A</v>
      </c>
      <c r="L7948" s="16">
        <f>base!X7948</f>
        <v>0</v>
      </c>
      <c r="M7948" s="11" t="e">
        <f t="shared" si="1244"/>
        <v>#DIV/0!</v>
      </c>
      <c r="N7948" s="11" t="e">
        <f t="shared" si="1245"/>
        <v>#N/A</v>
      </c>
      <c r="O7948" s="11" t="e">
        <f t="shared" si="1246"/>
        <v>#N/A</v>
      </c>
      <c r="P7948" s="12" t="e">
        <f t="shared" si="1247"/>
        <v>#N/A</v>
      </c>
      <c r="Q7948" s="17" t="e">
        <f t="shared" si="1249"/>
        <v>#N/A</v>
      </c>
    </row>
    <row r="7949" spans="1:17" x14ac:dyDescent="0.3">
      <c r="A7949" s="34">
        <f>base!J7949</f>
        <v>0</v>
      </c>
      <c r="B7949" s="34">
        <f>base!V7949</f>
        <v>0</v>
      </c>
      <c r="C7949" s="40" t="s">
        <v>11</v>
      </c>
      <c r="D7949" s="36">
        <f>base!H7949</f>
        <v>0</v>
      </c>
      <c r="E7949" s="44"/>
      <c r="F7949" s="16">
        <f>base!W7949</f>
        <v>0</v>
      </c>
      <c r="G7949" s="11" t="e">
        <f t="shared" si="1240"/>
        <v>#DIV/0!</v>
      </c>
      <c r="H7949" s="11" t="e">
        <f t="shared" si="1241"/>
        <v>#N/A</v>
      </c>
      <c r="I7949" s="11" t="e">
        <f t="shared" si="1242"/>
        <v>#N/A</v>
      </c>
      <c r="J7949" s="12" t="e">
        <f t="shared" si="1243"/>
        <v>#N/A</v>
      </c>
      <c r="K7949" s="17" t="e">
        <f t="shared" si="1248"/>
        <v>#N/A</v>
      </c>
      <c r="L7949" s="16">
        <f>base!X7949</f>
        <v>0</v>
      </c>
      <c r="M7949" s="11" t="e">
        <f t="shared" si="1244"/>
        <v>#DIV/0!</v>
      </c>
      <c r="N7949" s="11" t="e">
        <f t="shared" si="1245"/>
        <v>#N/A</v>
      </c>
      <c r="O7949" s="11" t="e">
        <f t="shared" si="1246"/>
        <v>#N/A</v>
      </c>
      <c r="P7949" s="12" t="e">
        <f t="shared" si="1247"/>
        <v>#N/A</v>
      </c>
      <c r="Q7949" s="17" t="e">
        <f t="shared" si="1249"/>
        <v>#N/A</v>
      </c>
    </row>
    <row r="7950" spans="1:17" x14ac:dyDescent="0.3">
      <c r="A7950" s="34">
        <f>base!J7950</f>
        <v>0</v>
      </c>
      <c r="B7950" s="34">
        <f>base!V7950</f>
        <v>0</v>
      </c>
      <c r="C7950" s="40" t="s">
        <v>11</v>
      </c>
      <c r="D7950" s="36">
        <f>base!H7950</f>
        <v>0</v>
      </c>
      <c r="E7950" s="44"/>
      <c r="F7950" s="16">
        <f>base!W7950</f>
        <v>0</v>
      </c>
      <c r="G7950" s="11" t="e">
        <f t="shared" si="1240"/>
        <v>#DIV/0!</v>
      </c>
      <c r="H7950" s="11" t="e">
        <f t="shared" si="1241"/>
        <v>#N/A</v>
      </c>
      <c r="I7950" s="11" t="e">
        <f t="shared" si="1242"/>
        <v>#N/A</v>
      </c>
      <c r="J7950" s="12" t="e">
        <f t="shared" si="1243"/>
        <v>#N/A</v>
      </c>
      <c r="K7950" s="17" t="e">
        <f t="shared" si="1248"/>
        <v>#N/A</v>
      </c>
      <c r="L7950" s="16">
        <f>base!X7950</f>
        <v>0</v>
      </c>
      <c r="M7950" s="11" t="e">
        <f t="shared" si="1244"/>
        <v>#DIV/0!</v>
      </c>
      <c r="N7950" s="11" t="e">
        <f t="shared" si="1245"/>
        <v>#N/A</v>
      </c>
      <c r="O7950" s="11" t="e">
        <f t="shared" si="1246"/>
        <v>#N/A</v>
      </c>
      <c r="P7950" s="12" t="e">
        <f t="shared" si="1247"/>
        <v>#N/A</v>
      </c>
      <c r="Q7950" s="17" t="e">
        <f t="shared" si="1249"/>
        <v>#N/A</v>
      </c>
    </row>
    <row r="7951" spans="1:17" x14ac:dyDescent="0.3">
      <c r="A7951" s="34">
        <f>base!J7951</f>
        <v>0</v>
      </c>
      <c r="B7951" s="34">
        <f>base!V7951</f>
        <v>0</v>
      </c>
      <c r="C7951" s="40" t="s">
        <v>11</v>
      </c>
      <c r="D7951" s="36">
        <f>base!H7951</f>
        <v>0</v>
      </c>
      <c r="E7951" s="44"/>
      <c r="F7951" s="16">
        <f>base!W7951</f>
        <v>0</v>
      </c>
      <c r="G7951" s="11" t="e">
        <f t="shared" si="1240"/>
        <v>#DIV/0!</v>
      </c>
      <c r="H7951" s="11" t="e">
        <f t="shared" si="1241"/>
        <v>#N/A</v>
      </c>
      <c r="I7951" s="11" t="e">
        <f t="shared" si="1242"/>
        <v>#N/A</v>
      </c>
      <c r="J7951" s="12" t="e">
        <f t="shared" si="1243"/>
        <v>#N/A</v>
      </c>
      <c r="K7951" s="17" t="e">
        <f t="shared" si="1248"/>
        <v>#N/A</v>
      </c>
      <c r="L7951" s="16">
        <f>base!X7951</f>
        <v>0</v>
      </c>
      <c r="M7951" s="11" t="e">
        <f t="shared" si="1244"/>
        <v>#DIV/0!</v>
      </c>
      <c r="N7951" s="11" t="e">
        <f t="shared" si="1245"/>
        <v>#N/A</v>
      </c>
      <c r="O7951" s="11" t="e">
        <f t="shared" si="1246"/>
        <v>#N/A</v>
      </c>
      <c r="P7951" s="12" t="e">
        <f t="shared" si="1247"/>
        <v>#N/A</v>
      </c>
      <c r="Q7951" s="17" t="e">
        <f t="shared" si="1249"/>
        <v>#N/A</v>
      </c>
    </row>
    <row r="7952" spans="1:17" x14ac:dyDescent="0.3">
      <c r="A7952" s="34">
        <f>base!J7952</f>
        <v>0</v>
      </c>
      <c r="B7952" s="34">
        <f>base!V7952</f>
        <v>0</v>
      </c>
      <c r="C7952" s="40" t="s">
        <v>11</v>
      </c>
      <c r="D7952" s="36">
        <f>base!H7952</f>
        <v>0</v>
      </c>
      <c r="E7952" s="44"/>
      <c r="F7952" s="16">
        <f>base!W7952</f>
        <v>0</v>
      </c>
      <c r="G7952" s="11" t="e">
        <f t="shared" si="1240"/>
        <v>#DIV/0!</v>
      </c>
      <c r="H7952" s="11" t="e">
        <f t="shared" si="1241"/>
        <v>#N/A</v>
      </c>
      <c r="I7952" s="11" t="e">
        <f t="shared" si="1242"/>
        <v>#N/A</v>
      </c>
      <c r="J7952" s="12" t="e">
        <f t="shared" si="1243"/>
        <v>#N/A</v>
      </c>
      <c r="K7952" s="17" t="e">
        <f t="shared" si="1248"/>
        <v>#N/A</v>
      </c>
      <c r="L7952" s="16">
        <f>base!X7952</f>
        <v>0</v>
      </c>
      <c r="M7952" s="11" t="e">
        <f t="shared" si="1244"/>
        <v>#DIV/0!</v>
      </c>
      <c r="N7952" s="11" t="e">
        <f t="shared" si="1245"/>
        <v>#N/A</v>
      </c>
      <c r="O7952" s="11" t="e">
        <f t="shared" si="1246"/>
        <v>#N/A</v>
      </c>
      <c r="P7952" s="12" t="e">
        <f t="shared" si="1247"/>
        <v>#N/A</v>
      </c>
      <c r="Q7952" s="17" t="e">
        <f t="shared" si="1249"/>
        <v>#N/A</v>
      </c>
    </row>
    <row r="7953" spans="1:17" x14ac:dyDescent="0.3">
      <c r="A7953" s="34">
        <f>base!J7953</f>
        <v>0</v>
      </c>
      <c r="B7953" s="34">
        <f>base!V7953</f>
        <v>0</v>
      </c>
      <c r="C7953" s="40" t="s">
        <v>11</v>
      </c>
      <c r="D7953" s="36">
        <f>base!H7953</f>
        <v>0</v>
      </c>
      <c r="E7953" s="44"/>
      <c r="F7953" s="16">
        <f>base!W7953</f>
        <v>0</v>
      </c>
      <c r="G7953" s="11" t="e">
        <f t="shared" si="1240"/>
        <v>#DIV/0!</v>
      </c>
      <c r="H7953" s="11" t="e">
        <f t="shared" si="1241"/>
        <v>#N/A</v>
      </c>
      <c r="I7953" s="11" t="e">
        <f t="shared" si="1242"/>
        <v>#N/A</v>
      </c>
      <c r="J7953" s="12" t="e">
        <f t="shared" si="1243"/>
        <v>#N/A</v>
      </c>
      <c r="K7953" s="17" t="e">
        <f t="shared" si="1248"/>
        <v>#N/A</v>
      </c>
      <c r="L7953" s="16">
        <f>base!X7953</f>
        <v>0</v>
      </c>
      <c r="M7953" s="11" t="e">
        <f t="shared" si="1244"/>
        <v>#DIV/0!</v>
      </c>
      <c r="N7953" s="11" t="e">
        <f t="shared" si="1245"/>
        <v>#N/A</v>
      </c>
      <c r="O7953" s="11" t="e">
        <f t="shared" si="1246"/>
        <v>#N/A</v>
      </c>
      <c r="P7953" s="12" t="e">
        <f t="shared" si="1247"/>
        <v>#N/A</v>
      </c>
      <c r="Q7953" s="17" t="e">
        <f t="shared" si="1249"/>
        <v>#N/A</v>
      </c>
    </row>
    <row r="7954" spans="1:17" x14ac:dyDescent="0.3">
      <c r="A7954" s="34">
        <f>base!J7954</f>
        <v>0</v>
      </c>
      <c r="B7954" s="34">
        <f>base!V7954</f>
        <v>0</v>
      </c>
      <c r="C7954" s="40" t="s">
        <v>11</v>
      </c>
      <c r="D7954" s="36">
        <f>base!H7954</f>
        <v>0</v>
      </c>
      <c r="E7954" s="44"/>
      <c r="F7954" s="16">
        <f>base!W7954</f>
        <v>0</v>
      </c>
      <c r="G7954" s="11" t="e">
        <f t="shared" si="1240"/>
        <v>#DIV/0!</v>
      </c>
      <c r="H7954" s="11" t="e">
        <f t="shared" si="1241"/>
        <v>#N/A</v>
      </c>
      <c r="I7954" s="11" t="e">
        <f t="shared" si="1242"/>
        <v>#N/A</v>
      </c>
      <c r="J7954" s="12" t="e">
        <f t="shared" si="1243"/>
        <v>#N/A</v>
      </c>
      <c r="K7954" s="17" t="e">
        <f t="shared" si="1248"/>
        <v>#N/A</v>
      </c>
      <c r="L7954" s="16">
        <f>base!X7954</f>
        <v>0</v>
      </c>
      <c r="M7954" s="11" t="e">
        <f t="shared" si="1244"/>
        <v>#DIV/0!</v>
      </c>
      <c r="N7954" s="11" t="e">
        <f t="shared" si="1245"/>
        <v>#N/A</v>
      </c>
      <c r="O7954" s="11" t="e">
        <f t="shared" si="1246"/>
        <v>#N/A</v>
      </c>
      <c r="P7954" s="12" t="e">
        <f t="shared" si="1247"/>
        <v>#N/A</v>
      </c>
      <c r="Q7954" s="17" t="e">
        <f t="shared" si="1249"/>
        <v>#N/A</v>
      </c>
    </row>
    <row r="7955" spans="1:17" x14ac:dyDescent="0.3">
      <c r="A7955" s="34">
        <f>base!J7955</f>
        <v>0</v>
      </c>
      <c r="B7955" s="34">
        <f>base!V7955</f>
        <v>0</v>
      </c>
      <c r="C7955" s="40" t="s">
        <v>11</v>
      </c>
      <c r="D7955" s="36">
        <f>base!H7955</f>
        <v>0</v>
      </c>
      <c r="E7955" s="44"/>
      <c r="F7955" s="16">
        <f>base!W7955</f>
        <v>0</v>
      </c>
      <c r="G7955" s="11" t="e">
        <f t="shared" si="1240"/>
        <v>#DIV/0!</v>
      </c>
      <c r="H7955" s="11" t="e">
        <f t="shared" si="1241"/>
        <v>#N/A</v>
      </c>
      <c r="I7955" s="11" t="e">
        <f t="shared" si="1242"/>
        <v>#N/A</v>
      </c>
      <c r="J7955" s="12" t="e">
        <f t="shared" si="1243"/>
        <v>#N/A</v>
      </c>
      <c r="K7955" s="17" t="e">
        <f t="shared" si="1248"/>
        <v>#N/A</v>
      </c>
      <c r="L7955" s="16">
        <f>base!X7955</f>
        <v>0</v>
      </c>
      <c r="M7955" s="11" t="e">
        <f t="shared" si="1244"/>
        <v>#DIV/0!</v>
      </c>
      <c r="N7955" s="11" t="e">
        <f t="shared" si="1245"/>
        <v>#N/A</v>
      </c>
      <c r="O7955" s="11" t="e">
        <f t="shared" si="1246"/>
        <v>#N/A</v>
      </c>
      <c r="P7955" s="12" t="e">
        <f t="shared" si="1247"/>
        <v>#N/A</v>
      </c>
      <c r="Q7955" s="17" t="e">
        <f t="shared" si="1249"/>
        <v>#N/A</v>
      </c>
    </row>
    <row r="7956" spans="1:17" x14ac:dyDescent="0.3">
      <c r="A7956" s="34">
        <f>base!J7956</f>
        <v>0</v>
      </c>
      <c r="B7956" s="34">
        <f>base!V7956</f>
        <v>0</v>
      </c>
      <c r="C7956" s="40" t="s">
        <v>11</v>
      </c>
      <c r="D7956" s="36">
        <f>base!H7956</f>
        <v>0</v>
      </c>
      <c r="E7956" s="44"/>
      <c r="F7956" s="16">
        <f>base!W7956</f>
        <v>0</v>
      </c>
      <c r="G7956" s="11" t="e">
        <f t="shared" si="1240"/>
        <v>#DIV/0!</v>
      </c>
      <c r="H7956" s="11" t="e">
        <f t="shared" si="1241"/>
        <v>#N/A</v>
      </c>
      <c r="I7956" s="11" t="e">
        <f t="shared" si="1242"/>
        <v>#N/A</v>
      </c>
      <c r="J7956" s="12" t="e">
        <f t="shared" si="1243"/>
        <v>#N/A</v>
      </c>
      <c r="K7956" s="17" t="e">
        <f t="shared" si="1248"/>
        <v>#N/A</v>
      </c>
      <c r="L7956" s="16">
        <f>base!X7956</f>
        <v>0</v>
      </c>
      <c r="M7956" s="11" t="e">
        <f t="shared" si="1244"/>
        <v>#DIV/0!</v>
      </c>
      <c r="N7956" s="11" t="e">
        <f t="shared" si="1245"/>
        <v>#N/A</v>
      </c>
      <c r="O7956" s="11" t="e">
        <f t="shared" si="1246"/>
        <v>#N/A</v>
      </c>
      <c r="P7956" s="12" t="e">
        <f t="shared" si="1247"/>
        <v>#N/A</v>
      </c>
      <c r="Q7956" s="17" t="e">
        <f t="shared" si="1249"/>
        <v>#N/A</v>
      </c>
    </row>
    <row r="7957" spans="1:17" x14ac:dyDescent="0.3">
      <c r="A7957" s="34">
        <f>base!J7957</f>
        <v>0</v>
      </c>
      <c r="B7957" s="34">
        <f>base!V7957</f>
        <v>0</v>
      </c>
      <c r="C7957" s="40" t="s">
        <v>11</v>
      </c>
      <c r="D7957" s="36">
        <f>base!H7957</f>
        <v>0</v>
      </c>
      <c r="E7957" s="44"/>
      <c r="F7957" s="16">
        <f>base!W7957</f>
        <v>0</v>
      </c>
      <c r="G7957" s="11" t="e">
        <f t="shared" si="1240"/>
        <v>#DIV/0!</v>
      </c>
      <c r="H7957" s="11" t="e">
        <f t="shared" si="1241"/>
        <v>#N/A</v>
      </c>
      <c r="I7957" s="11" t="e">
        <f t="shared" si="1242"/>
        <v>#N/A</v>
      </c>
      <c r="J7957" s="12" t="e">
        <f t="shared" si="1243"/>
        <v>#N/A</v>
      </c>
      <c r="K7957" s="17" t="e">
        <f t="shared" si="1248"/>
        <v>#N/A</v>
      </c>
      <c r="L7957" s="16">
        <f>base!X7957</f>
        <v>0</v>
      </c>
      <c r="M7957" s="11" t="e">
        <f t="shared" si="1244"/>
        <v>#DIV/0!</v>
      </c>
      <c r="N7957" s="11" t="e">
        <f t="shared" si="1245"/>
        <v>#N/A</v>
      </c>
      <c r="O7957" s="11" t="e">
        <f t="shared" si="1246"/>
        <v>#N/A</v>
      </c>
      <c r="P7957" s="12" t="e">
        <f t="shared" si="1247"/>
        <v>#N/A</v>
      </c>
      <c r="Q7957" s="17" t="e">
        <f t="shared" si="1249"/>
        <v>#N/A</v>
      </c>
    </row>
    <row r="7958" spans="1:17" x14ac:dyDescent="0.3">
      <c r="A7958" s="34">
        <f>base!J7958</f>
        <v>0</v>
      </c>
      <c r="B7958" s="34">
        <f>base!V7958</f>
        <v>0</v>
      </c>
      <c r="C7958" s="40" t="s">
        <v>11</v>
      </c>
      <c r="D7958" s="36">
        <f>base!H7958</f>
        <v>0</v>
      </c>
      <c r="E7958" s="44"/>
      <c r="F7958" s="16">
        <f>base!W7958</f>
        <v>0</v>
      </c>
      <c r="G7958" s="11" t="e">
        <f t="shared" si="1240"/>
        <v>#DIV/0!</v>
      </c>
      <c r="H7958" s="11" t="e">
        <f t="shared" si="1241"/>
        <v>#N/A</v>
      </c>
      <c r="I7958" s="11" t="e">
        <f t="shared" si="1242"/>
        <v>#N/A</v>
      </c>
      <c r="J7958" s="12" t="e">
        <f t="shared" si="1243"/>
        <v>#N/A</v>
      </c>
      <c r="K7958" s="17" t="e">
        <f t="shared" si="1248"/>
        <v>#N/A</v>
      </c>
      <c r="L7958" s="16">
        <f>base!X7958</f>
        <v>0</v>
      </c>
      <c r="M7958" s="11" t="e">
        <f t="shared" si="1244"/>
        <v>#DIV/0!</v>
      </c>
      <c r="N7958" s="11" t="e">
        <f t="shared" si="1245"/>
        <v>#N/A</v>
      </c>
      <c r="O7958" s="11" t="e">
        <f t="shared" si="1246"/>
        <v>#N/A</v>
      </c>
      <c r="P7958" s="12" t="e">
        <f t="shared" si="1247"/>
        <v>#N/A</v>
      </c>
      <c r="Q7958" s="17" t="e">
        <f t="shared" si="1249"/>
        <v>#N/A</v>
      </c>
    </row>
    <row r="7959" spans="1:17" x14ac:dyDescent="0.3">
      <c r="A7959" s="34">
        <f>base!J7959</f>
        <v>0</v>
      </c>
      <c r="B7959" s="34">
        <f>base!V7959</f>
        <v>0</v>
      </c>
      <c r="C7959" s="40" t="s">
        <v>11</v>
      </c>
      <c r="D7959" s="36">
        <f>base!H7959</f>
        <v>0</v>
      </c>
      <c r="E7959" s="44"/>
      <c r="F7959" s="16">
        <f>base!W7959</f>
        <v>0</v>
      </c>
      <c r="G7959" s="11" t="e">
        <f t="shared" si="1240"/>
        <v>#DIV/0!</v>
      </c>
      <c r="H7959" s="11" t="e">
        <f t="shared" si="1241"/>
        <v>#N/A</v>
      </c>
      <c r="I7959" s="11" t="e">
        <f t="shared" si="1242"/>
        <v>#N/A</v>
      </c>
      <c r="J7959" s="12" t="e">
        <f t="shared" si="1243"/>
        <v>#N/A</v>
      </c>
      <c r="K7959" s="17" t="e">
        <f t="shared" si="1248"/>
        <v>#N/A</v>
      </c>
      <c r="L7959" s="16">
        <f>base!X7959</f>
        <v>0</v>
      </c>
      <c r="M7959" s="11" t="e">
        <f t="shared" si="1244"/>
        <v>#DIV/0!</v>
      </c>
      <c r="N7959" s="11" t="e">
        <f t="shared" si="1245"/>
        <v>#N/A</v>
      </c>
      <c r="O7959" s="11" t="e">
        <f t="shared" si="1246"/>
        <v>#N/A</v>
      </c>
      <c r="P7959" s="12" t="e">
        <f t="shared" si="1247"/>
        <v>#N/A</v>
      </c>
      <c r="Q7959" s="17" t="e">
        <f t="shared" si="1249"/>
        <v>#N/A</v>
      </c>
    </row>
    <row r="7960" spans="1:17" x14ac:dyDescent="0.3">
      <c r="A7960" s="34">
        <f>base!J7960</f>
        <v>0</v>
      </c>
      <c r="B7960" s="34">
        <f>base!V7960</f>
        <v>0</v>
      </c>
      <c r="C7960" s="40" t="s">
        <v>11</v>
      </c>
      <c r="D7960" s="36">
        <f>base!H7960</f>
        <v>0</v>
      </c>
      <c r="E7960" s="44"/>
      <c r="F7960" s="16">
        <f>base!W7960</f>
        <v>0</v>
      </c>
      <c r="G7960" s="11" t="e">
        <f t="shared" si="1240"/>
        <v>#DIV/0!</v>
      </c>
      <c r="H7960" s="11" t="e">
        <f t="shared" si="1241"/>
        <v>#N/A</v>
      </c>
      <c r="I7960" s="11" t="e">
        <f t="shared" si="1242"/>
        <v>#N/A</v>
      </c>
      <c r="J7960" s="12" t="e">
        <f t="shared" si="1243"/>
        <v>#N/A</v>
      </c>
      <c r="K7960" s="17" t="e">
        <f t="shared" si="1248"/>
        <v>#N/A</v>
      </c>
      <c r="L7960" s="16">
        <f>base!X7960</f>
        <v>0</v>
      </c>
      <c r="M7960" s="11" t="e">
        <f t="shared" si="1244"/>
        <v>#DIV/0!</v>
      </c>
      <c r="N7960" s="11" t="e">
        <f t="shared" si="1245"/>
        <v>#N/A</v>
      </c>
      <c r="O7960" s="11" t="e">
        <f t="shared" si="1246"/>
        <v>#N/A</v>
      </c>
      <c r="P7960" s="12" t="e">
        <f t="shared" si="1247"/>
        <v>#N/A</v>
      </c>
      <c r="Q7960" s="17" t="e">
        <f t="shared" si="1249"/>
        <v>#N/A</v>
      </c>
    </row>
    <row r="7961" spans="1:17" x14ac:dyDescent="0.3">
      <c r="A7961" s="34">
        <f>base!J7961</f>
        <v>0</v>
      </c>
      <c r="B7961" s="34">
        <f>base!V7961</f>
        <v>0</v>
      </c>
      <c r="C7961" s="40" t="s">
        <v>11</v>
      </c>
      <c r="D7961" s="36">
        <f>base!H7961</f>
        <v>0</v>
      </c>
      <c r="E7961" s="44"/>
      <c r="F7961" s="16">
        <f>base!W7961</f>
        <v>0</v>
      </c>
      <c r="G7961" s="11" t="e">
        <f t="shared" si="1240"/>
        <v>#DIV/0!</v>
      </c>
      <c r="H7961" s="11" t="e">
        <f t="shared" si="1241"/>
        <v>#N/A</v>
      </c>
      <c r="I7961" s="11" t="e">
        <f t="shared" si="1242"/>
        <v>#N/A</v>
      </c>
      <c r="J7961" s="12" t="e">
        <f t="shared" si="1243"/>
        <v>#N/A</v>
      </c>
      <c r="K7961" s="17" t="e">
        <f t="shared" si="1248"/>
        <v>#N/A</v>
      </c>
      <c r="L7961" s="16">
        <f>base!X7961</f>
        <v>0</v>
      </c>
      <c r="M7961" s="11" t="e">
        <f t="shared" si="1244"/>
        <v>#DIV/0!</v>
      </c>
      <c r="N7961" s="11" t="e">
        <f t="shared" si="1245"/>
        <v>#N/A</v>
      </c>
      <c r="O7961" s="11" t="e">
        <f t="shared" si="1246"/>
        <v>#N/A</v>
      </c>
      <c r="P7961" s="12" t="e">
        <f t="shared" si="1247"/>
        <v>#N/A</v>
      </c>
      <c r="Q7961" s="17" t="e">
        <f t="shared" si="1249"/>
        <v>#N/A</v>
      </c>
    </row>
    <row r="7962" spans="1:17" x14ac:dyDescent="0.3">
      <c r="A7962" s="34">
        <f>base!J7962</f>
        <v>0</v>
      </c>
      <c r="B7962" s="34">
        <f>base!V7962</f>
        <v>0</v>
      </c>
      <c r="C7962" s="40" t="s">
        <v>11</v>
      </c>
      <c r="D7962" s="36">
        <f>base!H7962</f>
        <v>0</v>
      </c>
      <c r="E7962" s="44"/>
      <c r="F7962" s="16">
        <f>base!W7962</f>
        <v>0</v>
      </c>
      <c r="G7962" s="11" t="e">
        <f t="shared" si="1240"/>
        <v>#DIV/0!</v>
      </c>
      <c r="H7962" s="11" t="e">
        <f t="shared" si="1241"/>
        <v>#N/A</v>
      </c>
      <c r="I7962" s="11" t="e">
        <f t="shared" si="1242"/>
        <v>#N/A</v>
      </c>
      <c r="J7962" s="12" t="e">
        <f t="shared" si="1243"/>
        <v>#N/A</v>
      </c>
      <c r="K7962" s="17" t="e">
        <f t="shared" si="1248"/>
        <v>#N/A</v>
      </c>
      <c r="L7962" s="16">
        <f>base!X7962</f>
        <v>0</v>
      </c>
      <c r="M7962" s="11" t="e">
        <f t="shared" si="1244"/>
        <v>#DIV/0!</v>
      </c>
      <c r="N7962" s="11" t="e">
        <f t="shared" si="1245"/>
        <v>#N/A</v>
      </c>
      <c r="O7962" s="11" t="e">
        <f t="shared" si="1246"/>
        <v>#N/A</v>
      </c>
      <c r="P7962" s="12" t="e">
        <f t="shared" si="1247"/>
        <v>#N/A</v>
      </c>
      <c r="Q7962" s="17" t="e">
        <f t="shared" si="1249"/>
        <v>#N/A</v>
      </c>
    </row>
    <row r="7963" spans="1:17" x14ac:dyDescent="0.3">
      <c r="A7963" s="34">
        <f>base!J7963</f>
        <v>0</v>
      </c>
      <c r="B7963" s="34">
        <f>base!V7963</f>
        <v>0</v>
      </c>
      <c r="C7963" s="40" t="s">
        <v>11</v>
      </c>
      <c r="D7963" s="36">
        <f>base!H7963</f>
        <v>0</v>
      </c>
      <c r="E7963" s="44"/>
      <c r="F7963" s="16">
        <f>base!W7963</f>
        <v>0</v>
      </c>
      <c r="G7963" s="11" t="e">
        <f t="shared" si="1240"/>
        <v>#DIV/0!</v>
      </c>
      <c r="H7963" s="11" t="e">
        <f t="shared" si="1241"/>
        <v>#N/A</v>
      </c>
      <c r="I7963" s="11" t="e">
        <f t="shared" si="1242"/>
        <v>#N/A</v>
      </c>
      <c r="J7963" s="12" t="e">
        <f t="shared" si="1243"/>
        <v>#N/A</v>
      </c>
      <c r="K7963" s="17" t="e">
        <f t="shared" si="1248"/>
        <v>#N/A</v>
      </c>
      <c r="L7963" s="16">
        <f>base!X7963</f>
        <v>0</v>
      </c>
      <c r="M7963" s="11" t="e">
        <f t="shared" si="1244"/>
        <v>#DIV/0!</v>
      </c>
      <c r="N7963" s="11" t="e">
        <f t="shared" si="1245"/>
        <v>#N/A</v>
      </c>
      <c r="O7963" s="11" t="e">
        <f t="shared" si="1246"/>
        <v>#N/A</v>
      </c>
      <c r="P7963" s="12" t="e">
        <f t="shared" si="1247"/>
        <v>#N/A</v>
      </c>
      <c r="Q7963" s="17" t="e">
        <f t="shared" si="1249"/>
        <v>#N/A</v>
      </c>
    </row>
    <row r="7964" spans="1:17" x14ac:dyDescent="0.3">
      <c r="A7964" s="34">
        <f>base!J7964</f>
        <v>0</v>
      </c>
      <c r="B7964" s="34">
        <f>base!V7964</f>
        <v>0</v>
      </c>
      <c r="C7964" s="40" t="s">
        <v>11</v>
      </c>
      <c r="D7964" s="36">
        <f>base!H7964</f>
        <v>0</v>
      </c>
      <c r="E7964" s="44"/>
      <c r="F7964" s="16">
        <f>base!W7964</f>
        <v>0</v>
      </c>
      <c r="G7964" s="11" t="e">
        <f t="shared" si="1240"/>
        <v>#DIV/0!</v>
      </c>
      <c r="H7964" s="11" t="e">
        <f t="shared" si="1241"/>
        <v>#N/A</v>
      </c>
      <c r="I7964" s="11" t="e">
        <f t="shared" si="1242"/>
        <v>#N/A</v>
      </c>
      <c r="J7964" s="12" t="e">
        <f t="shared" si="1243"/>
        <v>#N/A</v>
      </c>
      <c r="K7964" s="17" t="e">
        <f t="shared" si="1248"/>
        <v>#N/A</v>
      </c>
      <c r="L7964" s="16">
        <f>base!X7964</f>
        <v>0</v>
      </c>
      <c r="M7964" s="11" t="e">
        <f t="shared" si="1244"/>
        <v>#DIV/0!</v>
      </c>
      <c r="N7964" s="11" t="e">
        <f t="shared" si="1245"/>
        <v>#N/A</v>
      </c>
      <c r="O7964" s="11" t="e">
        <f t="shared" si="1246"/>
        <v>#N/A</v>
      </c>
      <c r="P7964" s="12" t="e">
        <f t="shared" si="1247"/>
        <v>#N/A</v>
      </c>
      <c r="Q7964" s="17" t="e">
        <f t="shared" si="1249"/>
        <v>#N/A</v>
      </c>
    </row>
    <row r="7965" spans="1:17" x14ac:dyDescent="0.3">
      <c r="A7965" s="34">
        <f>base!J7965</f>
        <v>0</v>
      </c>
      <c r="B7965" s="34">
        <f>base!V7965</f>
        <v>0</v>
      </c>
      <c r="C7965" s="40" t="s">
        <v>11</v>
      </c>
      <c r="D7965" s="36">
        <f>base!H7965</f>
        <v>0</v>
      </c>
      <c r="E7965" s="44"/>
      <c r="F7965" s="16">
        <f>base!W7965</f>
        <v>0</v>
      </c>
      <c r="G7965" s="11" t="e">
        <f t="shared" si="1240"/>
        <v>#DIV/0!</v>
      </c>
      <c r="H7965" s="11" t="e">
        <f t="shared" si="1241"/>
        <v>#N/A</v>
      </c>
      <c r="I7965" s="11" t="e">
        <f t="shared" si="1242"/>
        <v>#N/A</v>
      </c>
      <c r="J7965" s="12" t="e">
        <f t="shared" si="1243"/>
        <v>#N/A</v>
      </c>
      <c r="K7965" s="17" t="e">
        <f t="shared" si="1248"/>
        <v>#N/A</v>
      </c>
      <c r="L7965" s="16">
        <f>base!X7965</f>
        <v>0</v>
      </c>
      <c r="M7965" s="11" t="e">
        <f t="shared" si="1244"/>
        <v>#DIV/0!</v>
      </c>
      <c r="N7965" s="11" t="e">
        <f t="shared" si="1245"/>
        <v>#N/A</v>
      </c>
      <c r="O7965" s="11" t="e">
        <f t="shared" si="1246"/>
        <v>#N/A</v>
      </c>
      <c r="P7965" s="12" t="e">
        <f t="shared" si="1247"/>
        <v>#N/A</v>
      </c>
      <c r="Q7965" s="17" t="e">
        <f t="shared" si="1249"/>
        <v>#N/A</v>
      </c>
    </row>
    <row r="7966" spans="1:17" x14ac:dyDescent="0.3">
      <c r="A7966" s="34">
        <f>base!J7966</f>
        <v>0</v>
      </c>
      <c r="B7966" s="34">
        <f>base!V7966</f>
        <v>0</v>
      </c>
      <c r="C7966" s="40" t="s">
        <v>11</v>
      </c>
      <c r="D7966" s="36">
        <f>base!H7966</f>
        <v>0</v>
      </c>
      <c r="E7966" s="44"/>
      <c r="F7966" s="16">
        <f>base!W7966</f>
        <v>0</v>
      </c>
      <c r="G7966" s="11" t="e">
        <f t="shared" si="1240"/>
        <v>#DIV/0!</v>
      </c>
      <c r="H7966" s="11" t="e">
        <f t="shared" si="1241"/>
        <v>#N/A</v>
      </c>
      <c r="I7966" s="11" t="e">
        <f t="shared" si="1242"/>
        <v>#N/A</v>
      </c>
      <c r="J7966" s="12" t="e">
        <f t="shared" si="1243"/>
        <v>#N/A</v>
      </c>
      <c r="K7966" s="17" t="e">
        <f t="shared" si="1248"/>
        <v>#N/A</v>
      </c>
      <c r="L7966" s="16">
        <f>base!X7966</f>
        <v>0</v>
      </c>
      <c r="M7966" s="11" t="e">
        <f t="shared" si="1244"/>
        <v>#DIV/0!</v>
      </c>
      <c r="N7966" s="11" t="e">
        <f t="shared" si="1245"/>
        <v>#N/A</v>
      </c>
      <c r="O7966" s="11" t="e">
        <f t="shared" si="1246"/>
        <v>#N/A</v>
      </c>
      <c r="P7966" s="12" t="e">
        <f t="shared" si="1247"/>
        <v>#N/A</v>
      </c>
      <c r="Q7966" s="17" t="e">
        <f t="shared" si="1249"/>
        <v>#N/A</v>
      </c>
    </row>
    <row r="7967" spans="1:17" x14ac:dyDescent="0.3">
      <c r="A7967" s="34">
        <f>base!J7967</f>
        <v>0</v>
      </c>
      <c r="B7967" s="34">
        <f>base!V7967</f>
        <v>0</v>
      </c>
      <c r="C7967" s="40" t="s">
        <v>11</v>
      </c>
      <c r="D7967" s="36">
        <f>base!H7967</f>
        <v>0</v>
      </c>
      <c r="E7967" s="44"/>
      <c r="F7967" s="16">
        <f>base!W7967</f>
        <v>0</v>
      </c>
      <c r="G7967" s="11" t="e">
        <f t="shared" si="1240"/>
        <v>#DIV/0!</v>
      </c>
      <c r="H7967" s="11" t="e">
        <f t="shared" si="1241"/>
        <v>#N/A</v>
      </c>
      <c r="I7967" s="11" t="e">
        <f t="shared" si="1242"/>
        <v>#N/A</v>
      </c>
      <c r="J7967" s="12" t="e">
        <f t="shared" si="1243"/>
        <v>#N/A</v>
      </c>
      <c r="K7967" s="17" t="e">
        <f t="shared" si="1248"/>
        <v>#N/A</v>
      </c>
      <c r="L7967" s="16">
        <f>base!X7967</f>
        <v>0</v>
      </c>
      <c r="M7967" s="11" t="e">
        <f t="shared" si="1244"/>
        <v>#DIV/0!</v>
      </c>
      <c r="N7967" s="11" t="e">
        <f t="shared" si="1245"/>
        <v>#N/A</v>
      </c>
      <c r="O7967" s="11" t="e">
        <f t="shared" si="1246"/>
        <v>#N/A</v>
      </c>
      <c r="P7967" s="12" t="e">
        <f t="shared" si="1247"/>
        <v>#N/A</v>
      </c>
      <c r="Q7967" s="17" t="e">
        <f t="shared" si="1249"/>
        <v>#N/A</v>
      </c>
    </row>
    <row r="7968" spans="1:17" x14ac:dyDescent="0.3">
      <c r="A7968" s="34">
        <f>base!J7968</f>
        <v>0</v>
      </c>
      <c r="B7968" s="34">
        <f>base!V7968</f>
        <v>0</v>
      </c>
      <c r="C7968" s="40" t="s">
        <v>11</v>
      </c>
      <c r="D7968" s="36">
        <f>base!H7968</f>
        <v>0</v>
      </c>
      <c r="E7968" s="44"/>
      <c r="F7968" s="16">
        <f>base!W7968</f>
        <v>0</v>
      </c>
      <c r="G7968" s="11" t="e">
        <f t="shared" si="1240"/>
        <v>#DIV/0!</v>
      </c>
      <c r="H7968" s="11" t="e">
        <f t="shared" si="1241"/>
        <v>#N/A</v>
      </c>
      <c r="I7968" s="11" t="e">
        <f t="shared" si="1242"/>
        <v>#N/A</v>
      </c>
      <c r="J7968" s="12" t="e">
        <f t="shared" si="1243"/>
        <v>#N/A</v>
      </c>
      <c r="K7968" s="17" t="e">
        <f t="shared" si="1248"/>
        <v>#N/A</v>
      </c>
      <c r="L7968" s="16">
        <f>base!X7968</f>
        <v>0</v>
      </c>
      <c r="M7968" s="11" t="e">
        <f t="shared" si="1244"/>
        <v>#DIV/0!</v>
      </c>
      <c r="N7968" s="11" t="e">
        <f t="shared" si="1245"/>
        <v>#N/A</v>
      </c>
      <c r="O7968" s="11" t="e">
        <f t="shared" si="1246"/>
        <v>#N/A</v>
      </c>
      <c r="P7968" s="12" t="e">
        <f t="shared" si="1247"/>
        <v>#N/A</v>
      </c>
      <c r="Q7968" s="17" t="e">
        <f t="shared" si="1249"/>
        <v>#N/A</v>
      </c>
    </row>
    <row r="7969" spans="1:17" x14ac:dyDescent="0.3">
      <c r="A7969" s="34">
        <f>base!J7969</f>
        <v>0</v>
      </c>
      <c r="B7969" s="34">
        <f>base!V7969</f>
        <v>0</v>
      </c>
      <c r="C7969" s="40" t="s">
        <v>11</v>
      </c>
      <c r="D7969" s="36">
        <f>base!H7969</f>
        <v>0</v>
      </c>
      <c r="E7969" s="44"/>
      <c r="F7969" s="16">
        <f>base!W7969</f>
        <v>0</v>
      </c>
      <c r="G7969" s="11" t="e">
        <f t="shared" si="1240"/>
        <v>#DIV/0!</v>
      </c>
      <c r="H7969" s="11" t="e">
        <f t="shared" si="1241"/>
        <v>#N/A</v>
      </c>
      <c r="I7969" s="11" t="e">
        <f t="shared" si="1242"/>
        <v>#N/A</v>
      </c>
      <c r="J7969" s="12" t="e">
        <f t="shared" si="1243"/>
        <v>#N/A</v>
      </c>
      <c r="K7969" s="17" t="e">
        <f t="shared" si="1248"/>
        <v>#N/A</v>
      </c>
      <c r="L7969" s="16">
        <f>base!X7969</f>
        <v>0</v>
      </c>
      <c r="M7969" s="11" t="e">
        <f t="shared" si="1244"/>
        <v>#DIV/0!</v>
      </c>
      <c r="N7969" s="11" t="e">
        <f t="shared" si="1245"/>
        <v>#N/A</v>
      </c>
      <c r="O7969" s="11" t="e">
        <f t="shared" si="1246"/>
        <v>#N/A</v>
      </c>
      <c r="P7969" s="12" t="e">
        <f t="shared" si="1247"/>
        <v>#N/A</v>
      </c>
      <c r="Q7969" s="17" t="e">
        <f t="shared" si="1249"/>
        <v>#N/A</v>
      </c>
    </row>
    <row r="7970" spans="1:17" x14ac:dyDescent="0.3">
      <c r="A7970" s="34">
        <f>base!J7970</f>
        <v>0</v>
      </c>
      <c r="B7970" s="34">
        <f>base!V7970</f>
        <v>0</v>
      </c>
      <c r="C7970" s="40" t="s">
        <v>11</v>
      </c>
      <c r="D7970" s="36">
        <f>base!H7970</f>
        <v>0</v>
      </c>
      <c r="E7970" s="44"/>
      <c r="F7970" s="16">
        <f>base!W7970</f>
        <v>0</v>
      </c>
      <c r="G7970" s="11" t="e">
        <f t="shared" si="1240"/>
        <v>#DIV/0!</v>
      </c>
      <c r="H7970" s="11" t="e">
        <f t="shared" si="1241"/>
        <v>#N/A</v>
      </c>
      <c r="I7970" s="11" t="e">
        <f t="shared" si="1242"/>
        <v>#N/A</v>
      </c>
      <c r="J7970" s="12" t="e">
        <f t="shared" si="1243"/>
        <v>#N/A</v>
      </c>
      <c r="K7970" s="17" t="e">
        <f t="shared" si="1248"/>
        <v>#N/A</v>
      </c>
      <c r="L7970" s="16">
        <f>base!X7970</f>
        <v>0</v>
      </c>
      <c r="M7970" s="11" t="e">
        <f t="shared" si="1244"/>
        <v>#DIV/0!</v>
      </c>
      <c r="N7970" s="11" t="e">
        <f t="shared" si="1245"/>
        <v>#N/A</v>
      </c>
      <c r="O7970" s="11" t="e">
        <f t="shared" si="1246"/>
        <v>#N/A</v>
      </c>
      <c r="P7970" s="12" t="e">
        <f t="shared" si="1247"/>
        <v>#N/A</v>
      </c>
      <c r="Q7970" s="17" t="e">
        <f t="shared" si="1249"/>
        <v>#N/A</v>
      </c>
    </row>
    <row r="7971" spans="1:17" x14ac:dyDescent="0.3">
      <c r="A7971" s="34">
        <f>base!J7971</f>
        <v>0</v>
      </c>
      <c r="B7971" s="34">
        <f>base!V7971</f>
        <v>0</v>
      </c>
      <c r="C7971" s="40" t="s">
        <v>11</v>
      </c>
      <c r="D7971" s="36">
        <f>base!H7971</f>
        <v>0</v>
      </c>
      <c r="E7971" s="44"/>
      <c r="F7971" s="16">
        <f>base!W7971</f>
        <v>0</v>
      </c>
      <c r="G7971" s="11" t="e">
        <f t="shared" si="1240"/>
        <v>#DIV/0!</v>
      </c>
      <c r="H7971" s="11" t="e">
        <f t="shared" si="1241"/>
        <v>#N/A</v>
      </c>
      <c r="I7971" s="11" t="e">
        <f t="shared" si="1242"/>
        <v>#N/A</v>
      </c>
      <c r="J7971" s="12" t="e">
        <f t="shared" si="1243"/>
        <v>#N/A</v>
      </c>
      <c r="K7971" s="17" t="e">
        <f t="shared" si="1248"/>
        <v>#N/A</v>
      </c>
      <c r="L7971" s="16">
        <f>base!X7971</f>
        <v>0</v>
      </c>
      <c r="M7971" s="11" t="e">
        <f t="shared" si="1244"/>
        <v>#DIV/0!</v>
      </c>
      <c r="N7971" s="11" t="e">
        <f t="shared" si="1245"/>
        <v>#N/A</v>
      </c>
      <c r="O7971" s="11" t="e">
        <f t="shared" si="1246"/>
        <v>#N/A</v>
      </c>
      <c r="P7971" s="12" t="e">
        <f t="shared" si="1247"/>
        <v>#N/A</v>
      </c>
      <c r="Q7971" s="17" t="e">
        <f t="shared" si="1249"/>
        <v>#N/A</v>
      </c>
    </row>
    <row r="7972" spans="1:17" x14ac:dyDescent="0.3">
      <c r="A7972" s="34">
        <f>base!J7972</f>
        <v>0</v>
      </c>
      <c r="B7972" s="34">
        <f>base!V7972</f>
        <v>0</v>
      </c>
      <c r="C7972" s="40" t="s">
        <v>11</v>
      </c>
      <c r="D7972" s="36">
        <f>base!H7972</f>
        <v>0</v>
      </c>
      <c r="E7972" s="44"/>
      <c r="F7972" s="16">
        <f>base!W7972</f>
        <v>0</v>
      </c>
      <c r="G7972" s="11" t="e">
        <f t="shared" si="1240"/>
        <v>#DIV/0!</v>
      </c>
      <c r="H7972" s="11" t="e">
        <f t="shared" si="1241"/>
        <v>#N/A</v>
      </c>
      <c r="I7972" s="11" t="e">
        <f t="shared" si="1242"/>
        <v>#N/A</v>
      </c>
      <c r="J7972" s="12" t="e">
        <f t="shared" si="1243"/>
        <v>#N/A</v>
      </c>
      <c r="K7972" s="17" t="e">
        <f t="shared" si="1248"/>
        <v>#N/A</v>
      </c>
      <c r="L7972" s="16">
        <f>base!X7972</f>
        <v>0</v>
      </c>
      <c r="M7972" s="11" t="e">
        <f t="shared" si="1244"/>
        <v>#DIV/0!</v>
      </c>
      <c r="N7972" s="11" t="e">
        <f t="shared" si="1245"/>
        <v>#N/A</v>
      </c>
      <c r="O7972" s="11" t="e">
        <f t="shared" si="1246"/>
        <v>#N/A</v>
      </c>
      <c r="P7972" s="12" t="e">
        <f t="shared" si="1247"/>
        <v>#N/A</v>
      </c>
      <c r="Q7972" s="17" t="e">
        <f t="shared" si="1249"/>
        <v>#N/A</v>
      </c>
    </row>
    <row r="7973" spans="1:17" x14ac:dyDescent="0.3">
      <c r="A7973" s="34">
        <f>base!J7973</f>
        <v>0</v>
      </c>
      <c r="B7973" s="34">
        <f>base!V7973</f>
        <v>0</v>
      </c>
      <c r="C7973" s="40" t="s">
        <v>11</v>
      </c>
      <c r="D7973" s="36">
        <f>base!H7973</f>
        <v>0</v>
      </c>
      <c r="E7973" s="44"/>
      <c r="F7973" s="16">
        <f>base!W7973</f>
        <v>0</v>
      </c>
      <c r="G7973" s="11" t="e">
        <f t="shared" si="1240"/>
        <v>#DIV/0!</v>
      </c>
      <c r="H7973" s="11" t="e">
        <f t="shared" si="1241"/>
        <v>#N/A</v>
      </c>
      <c r="I7973" s="11" t="e">
        <f t="shared" si="1242"/>
        <v>#N/A</v>
      </c>
      <c r="J7973" s="12" t="e">
        <f t="shared" si="1243"/>
        <v>#N/A</v>
      </c>
      <c r="K7973" s="17" t="e">
        <f t="shared" si="1248"/>
        <v>#N/A</v>
      </c>
      <c r="L7973" s="16">
        <f>base!X7973</f>
        <v>0</v>
      </c>
      <c r="M7973" s="11" t="e">
        <f t="shared" si="1244"/>
        <v>#DIV/0!</v>
      </c>
      <c r="N7973" s="11" t="e">
        <f t="shared" si="1245"/>
        <v>#N/A</v>
      </c>
      <c r="O7973" s="11" t="e">
        <f t="shared" si="1246"/>
        <v>#N/A</v>
      </c>
      <c r="P7973" s="12" t="e">
        <f t="shared" si="1247"/>
        <v>#N/A</v>
      </c>
      <c r="Q7973" s="17" t="e">
        <f t="shared" si="1249"/>
        <v>#N/A</v>
      </c>
    </row>
    <row r="7974" spans="1:17" x14ac:dyDescent="0.3">
      <c r="A7974" s="34">
        <f>base!J7974</f>
        <v>0</v>
      </c>
      <c r="B7974" s="34">
        <f>base!V7974</f>
        <v>0</v>
      </c>
      <c r="C7974" s="40" t="s">
        <v>11</v>
      </c>
      <c r="D7974" s="36">
        <f>base!H7974</f>
        <v>0</v>
      </c>
      <c r="E7974" s="44"/>
      <c r="F7974" s="16">
        <f>base!W7974</f>
        <v>0</v>
      </c>
      <c r="G7974" s="11" t="e">
        <f t="shared" si="1240"/>
        <v>#DIV/0!</v>
      </c>
      <c r="H7974" s="11" t="e">
        <f t="shared" si="1241"/>
        <v>#N/A</v>
      </c>
      <c r="I7974" s="11" t="e">
        <f t="shared" si="1242"/>
        <v>#N/A</v>
      </c>
      <c r="J7974" s="12" t="e">
        <f t="shared" si="1243"/>
        <v>#N/A</v>
      </c>
      <c r="K7974" s="17" t="e">
        <f t="shared" si="1248"/>
        <v>#N/A</v>
      </c>
      <c r="L7974" s="16">
        <f>base!X7974</f>
        <v>0</v>
      </c>
      <c r="M7974" s="11" t="e">
        <f t="shared" si="1244"/>
        <v>#DIV/0!</v>
      </c>
      <c r="N7974" s="11" t="e">
        <f t="shared" si="1245"/>
        <v>#N/A</v>
      </c>
      <c r="O7974" s="11" t="e">
        <f t="shared" si="1246"/>
        <v>#N/A</v>
      </c>
      <c r="P7974" s="12" t="e">
        <f t="shared" si="1247"/>
        <v>#N/A</v>
      </c>
      <c r="Q7974" s="17" t="e">
        <f t="shared" si="1249"/>
        <v>#N/A</v>
      </c>
    </row>
    <row r="7975" spans="1:17" x14ac:dyDescent="0.3">
      <c r="A7975" s="34">
        <f>base!J7975</f>
        <v>0</v>
      </c>
      <c r="B7975" s="34">
        <f>base!V7975</f>
        <v>0</v>
      </c>
      <c r="C7975" s="40" t="s">
        <v>11</v>
      </c>
      <c r="D7975" s="36">
        <f>base!H7975</f>
        <v>0</v>
      </c>
      <c r="E7975" s="44"/>
      <c r="F7975" s="16">
        <f>base!W7975</f>
        <v>0</v>
      </c>
      <c r="G7975" s="11" t="e">
        <f t="shared" si="1240"/>
        <v>#DIV/0!</v>
      </c>
      <c r="H7975" s="11" t="e">
        <f t="shared" si="1241"/>
        <v>#N/A</v>
      </c>
      <c r="I7975" s="11" t="e">
        <f t="shared" si="1242"/>
        <v>#N/A</v>
      </c>
      <c r="J7975" s="12" t="e">
        <f t="shared" si="1243"/>
        <v>#N/A</v>
      </c>
      <c r="K7975" s="17" t="e">
        <f t="shared" si="1248"/>
        <v>#N/A</v>
      </c>
      <c r="L7975" s="16">
        <f>base!X7975</f>
        <v>0</v>
      </c>
      <c r="M7975" s="11" t="e">
        <f t="shared" si="1244"/>
        <v>#DIV/0!</v>
      </c>
      <c r="N7975" s="11" t="e">
        <f t="shared" si="1245"/>
        <v>#N/A</v>
      </c>
      <c r="O7975" s="11" t="e">
        <f t="shared" si="1246"/>
        <v>#N/A</v>
      </c>
      <c r="P7975" s="12" t="e">
        <f t="shared" si="1247"/>
        <v>#N/A</v>
      </c>
      <c r="Q7975" s="17" t="e">
        <f t="shared" si="1249"/>
        <v>#N/A</v>
      </c>
    </row>
    <row r="7976" spans="1:17" x14ac:dyDescent="0.3">
      <c r="A7976" s="34">
        <f>base!J7976</f>
        <v>0</v>
      </c>
      <c r="B7976" s="34">
        <f>base!V7976</f>
        <v>0</v>
      </c>
      <c r="C7976" s="40" t="s">
        <v>11</v>
      </c>
      <c r="D7976" s="36">
        <f>base!H7976</f>
        <v>0</v>
      </c>
      <c r="E7976" s="44"/>
      <c r="F7976" s="16">
        <f>base!W7976</f>
        <v>0</v>
      </c>
      <c r="G7976" s="11" t="e">
        <f t="shared" si="1240"/>
        <v>#DIV/0!</v>
      </c>
      <c r="H7976" s="11" t="e">
        <f t="shared" si="1241"/>
        <v>#N/A</v>
      </c>
      <c r="I7976" s="11" t="e">
        <f t="shared" si="1242"/>
        <v>#N/A</v>
      </c>
      <c r="J7976" s="12" t="e">
        <f t="shared" si="1243"/>
        <v>#N/A</v>
      </c>
      <c r="K7976" s="17" t="e">
        <f t="shared" si="1248"/>
        <v>#N/A</v>
      </c>
      <c r="L7976" s="16">
        <f>base!X7976</f>
        <v>0</v>
      </c>
      <c r="M7976" s="11" t="e">
        <f t="shared" si="1244"/>
        <v>#DIV/0!</v>
      </c>
      <c r="N7976" s="11" t="e">
        <f t="shared" si="1245"/>
        <v>#N/A</v>
      </c>
      <c r="O7976" s="11" t="e">
        <f t="shared" si="1246"/>
        <v>#N/A</v>
      </c>
      <c r="P7976" s="12" t="e">
        <f t="shared" si="1247"/>
        <v>#N/A</v>
      </c>
      <c r="Q7976" s="17" t="e">
        <f t="shared" si="1249"/>
        <v>#N/A</v>
      </c>
    </row>
    <row r="7977" spans="1:17" x14ac:dyDescent="0.3">
      <c r="A7977" s="34">
        <f>base!J7977</f>
        <v>0</v>
      </c>
      <c r="B7977" s="34">
        <f>base!V7977</f>
        <v>0</v>
      </c>
      <c r="C7977" s="40" t="s">
        <v>11</v>
      </c>
      <c r="D7977" s="36">
        <f>base!H7977</f>
        <v>0</v>
      </c>
      <c r="E7977" s="44"/>
      <c r="F7977" s="16">
        <f>base!W7977</f>
        <v>0</v>
      </c>
      <c r="G7977" s="11" t="e">
        <f t="shared" si="1240"/>
        <v>#DIV/0!</v>
      </c>
      <c r="H7977" s="11" t="e">
        <f t="shared" si="1241"/>
        <v>#N/A</v>
      </c>
      <c r="I7977" s="11" t="e">
        <f t="shared" si="1242"/>
        <v>#N/A</v>
      </c>
      <c r="J7977" s="12" t="e">
        <f t="shared" si="1243"/>
        <v>#N/A</v>
      </c>
      <c r="K7977" s="17" t="e">
        <f t="shared" si="1248"/>
        <v>#N/A</v>
      </c>
      <c r="L7977" s="16">
        <f>base!X7977</f>
        <v>0</v>
      </c>
      <c r="M7977" s="11" t="e">
        <f t="shared" si="1244"/>
        <v>#DIV/0!</v>
      </c>
      <c r="N7977" s="11" t="e">
        <f t="shared" si="1245"/>
        <v>#N/A</v>
      </c>
      <c r="O7977" s="11" t="e">
        <f t="shared" si="1246"/>
        <v>#N/A</v>
      </c>
      <c r="P7977" s="12" t="e">
        <f t="shared" si="1247"/>
        <v>#N/A</v>
      </c>
      <c r="Q7977" s="17" t="e">
        <f t="shared" si="1249"/>
        <v>#N/A</v>
      </c>
    </row>
    <row r="7978" spans="1:17" x14ac:dyDescent="0.3">
      <c r="A7978" s="34">
        <f>base!J7978</f>
        <v>0</v>
      </c>
      <c r="B7978" s="34">
        <f>base!V7978</f>
        <v>0</v>
      </c>
      <c r="C7978" s="40" t="s">
        <v>11</v>
      </c>
      <c r="D7978" s="36">
        <f>base!H7978</f>
        <v>0</v>
      </c>
      <c r="E7978" s="44"/>
      <c r="F7978" s="16">
        <f>base!W7978</f>
        <v>0</v>
      </c>
      <c r="G7978" s="11" t="e">
        <f t="shared" si="1240"/>
        <v>#DIV/0!</v>
      </c>
      <c r="H7978" s="11" t="e">
        <f t="shared" si="1241"/>
        <v>#N/A</v>
      </c>
      <c r="I7978" s="11" t="e">
        <f t="shared" si="1242"/>
        <v>#N/A</v>
      </c>
      <c r="J7978" s="12" t="e">
        <f t="shared" si="1243"/>
        <v>#N/A</v>
      </c>
      <c r="K7978" s="17" t="e">
        <f t="shared" si="1248"/>
        <v>#N/A</v>
      </c>
      <c r="L7978" s="16">
        <f>base!X7978</f>
        <v>0</v>
      </c>
      <c r="M7978" s="11" t="e">
        <f t="shared" si="1244"/>
        <v>#DIV/0!</v>
      </c>
      <c r="N7978" s="11" t="e">
        <f t="shared" si="1245"/>
        <v>#N/A</v>
      </c>
      <c r="O7978" s="11" t="e">
        <f t="shared" si="1246"/>
        <v>#N/A</v>
      </c>
      <c r="P7978" s="12" t="e">
        <f t="shared" si="1247"/>
        <v>#N/A</v>
      </c>
      <c r="Q7978" s="17" t="e">
        <f t="shared" si="1249"/>
        <v>#N/A</v>
      </c>
    </row>
    <row r="7979" spans="1:17" x14ac:dyDescent="0.3">
      <c r="A7979" s="34">
        <f>base!J7979</f>
        <v>0</v>
      </c>
      <c r="B7979" s="34">
        <f>base!V7979</f>
        <v>0</v>
      </c>
      <c r="C7979" s="40" t="s">
        <v>11</v>
      </c>
      <c r="D7979" s="36">
        <f>base!H7979</f>
        <v>0</v>
      </c>
      <c r="E7979" s="44"/>
      <c r="F7979" s="16">
        <f>base!W7979</f>
        <v>0</v>
      </c>
      <c r="G7979" s="11" t="e">
        <f t="shared" si="1240"/>
        <v>#DIV/0!</v>
      </c>
      <c r="H7979" s="11" t="e">
        <f t="shared" si="1241"/>
        <v>#N/A</v>
      </c>
      <c r="I7979" s="11" t="e">
        <f t="shared" si="1242"/>
        <v>#N/A</v>
      </c>
      <c r="J7979" s="12" t="e">
        <f t="shared" si="1243"/>
        <v>#N/A</v>
      </c>
      <c r="K7979" s="17" t="e">
        <f t="shared" si="1248"/>
        <v>#N/A</v>
      </c>
      <c r="L7979" s="16">
        <f>base!X7979</f>
        <v>0</v>
      </c>
      <c r="M7979" s="11" t="e">
        <f t="shared" si="1244"/>
        <v>#DIV/0!</v>
      </c>
      <c r="N7979" s="11" t="e">
        <f t="shared" si="1245"/>
        <v>#N/A</v>
      </c>
      <c r="O7979" s="11" t="e">
        <f t="shared" si="1246"/>
        <v>#N/A</v>
      </c>
      <c r="P7979" s="12" t="e">
        <f t="shared" si="1247"/>
        <v>#N/A</v>
      </c>
      <c r="Q7979" s="17" t="e">
        <f t="shared" si="1249"/>
        <v>#N/A</v>
      </c>
    </row>
    <row r="7980" spans="1:17" x14ac:dyDescent="0.3">
      <c r="A7980" s="34">
        <f>base!J7980</f>
        <v>0</v>
      </c>
      <c r="B7980" s="34">
        <f>base!V7980</f>
        <v>0</v>
      </c>
      <c r="C7980" s="40" t="s">
        <v>11</v>
      </c>
      <c r="D7980" s="36">
        <f>base!H7980</f>
        <v>0</v>
      </c>
      <c r="E7980" s="44"/>
      <c r="F7980" s="16">
        <f>base!W7980</f>
        <v>0</v>
      </c>
      <c r="G7980" s="11" t="e">
        <f t="shared" si="1240"/>
        <v>#DIV/0!</v>
      </c>
      <c r="H7980" s="11" t="e">
        <f t="shared" si="1241"/>
        <v>#N/A</v>
      </c>
      <c r="I7980" s="11" t="e">
        <f t="shared" si="1242"/>
        <v>#N/A</v>
      </c>
      <c r="J7980" s="12" t="e">
        <f t="shared" si="1243"/>
        <v>#N/A</v>
      </c>
      <c r="K7980" s="17" t="e">
        <f t="shared" si="1248"/>
        <v>#N/A</v>
      </c>
      <c r="L7980" s="16">
        <f>base!X7980</f>
        <v>0</v>
      </c>
      <c r="M7980" s="11" t="e">
        <f t="shared" si="1244"/>
        <v>#DIV/0!</v>
      </c>
      <c r="N7980" s="11" t="e">
        <f t="shared" si="1245"/>
        <v>#N/A</v>
      </c>
      <c r="O7980" s="11" t="e">
        <f t="shared" si="1246"/>
        <v>#N/A</v>
      </c>
      <c r="P7980" s="12" t="e">
        <f t="shared" si="1247"/>
        <v>#N/A</v>
      </c>
      <c r="Q7980" s="17" t="e">
        <f t="shared" si="1249"/>
        <v>#N/A</v>
      </c>
    </row>
    <row r="7981" spans="1:17" x14ac:dyDescent="0.3">
      <c r="A7981" s="34">
        <f>base!J7981</f>
        <v>0</v>
      </c>
      <c r="B7981" s="34">
        <f>base!V7981</f>
        <v>0</v>
      </c>
      <c r="C7981" s="40" t="s">
        <v>11</v>
      </c>
      <c r="D7981" s="36">
        <f>base!H7981</f>
        <v>0</v>
      </c>
      <c r="E7981" s="44"/>
      <c r="F7981" s="16">
        <f>base!W7981</f>
        <v>0</v>
      </c>
      <c r="G7981" s="11" t="e">
        <f t="shared" si="1240"/>
        <v>#DIV/0!</v>
      </c>
      <c r="H7981" s="11" t="e">
        <f t="shared" si="1241"/>
        <v>#N/A</v>
      </c>
      <c r="I7981" s="11" t="e">
        <f t="shared" si="1242"/>
        <v>#N/A</v>
      </c>
      <c r="J7981" s="12" t="e">
        <f t="shared" si="1243"/>
        <v>#N/A</v>
      </c>
      <c r="K7981" s="17" t="e">
        <f t="shared" si="1248"/>
        <v>#N/A</v>
      </c>
      <c r="L7981" s="16">
        <f>base!X7981</f>
        <v>0</v>
      </c>
      <c r="M7981" s="11" t="e">
        <f t="shared" si="1244"/>
        <v>#DIV/0!</v>
      </c>
      <c r="N7981" s="11" t="e">
        <f t="shared" si="1245"/>
        <v>#N/A</v>
      </c>
      <c r="O7981" s="11" t="e">
        <f t="shared" si="1246"/>
        <v>#N/A</v>
      </c>
      <c r="P7981" s="12" t="e">
        <f t="shared" si="1247"/>
        <v>#N/A</v>
      </c>
      <c r="Q7981" s="17" t="e">
        <f t="shared" si="1249"/>
        <v>#N/A</v>
      </c>
    </row>
    <row r="7982" spans="1:17" x14ac:dyDescent="0.3">
      <c r="A7982" s="34">
        <f>base!J7982</f>
        <v>0</v>
      </c>
      <c r="B7982" s="34">
        <f>base!V7982</f>
        <v>0</v>
      </c>
      <c r="C7982" s="40" t="s">
        <v>11</v>
      </c>
      <c r="D7982" s="36">
        <f>base!H7982</f>
        <v>0</v>
      </c>
      <c r="E7982" s="44"/>
      <c r="F7982" s="16">
        <f>base!W7982</f>
        <v>0</v>
      </c>
      <c r="G7982" s="11" t="e">
        <f t="shared" si="1240"/>
        <v>#DIV/0!</v>
      </c>
      <c r="H7982" s="11" t="e">
        <f t="shared" si="1241"/>
        <v>#N/A</v>
      </c>
      <c r="I7982" s="11" t="e">
        <f t="shared" si="1242"/>
        <v>#N/A</v>
      </c>
      <c r="J7982" s="12" t="e">
        <f t="shared" si="1243"/>
        <v>#N/A</v>
      </c>
      <c r="K7982" s="17" t="e">
        <f t="shared" si="1248"/>
        <v>#N/A</v>
      </c>
      <c r="L7982" s="16">
        <f>base!X7982</f>
        <v>0</v>
      </c>
      <c r="M7982" s="11" t="e">
        <f t="shared" si="1244"/>
        <v>#DIV/0!</v>
      </c>
      <c r="N7982" s="11" t="e">
        <f t="shared" si="1245"/>
        <v>#N/A</v>
      </c>
      <c r="O7982" s="11" t="e">
        <f t="shared" si="1246"/>
        <v>#N/A</v>
      </c>
      <c r="P7982" s="12" t="e">
        <f t="shared" si="1247"/>
        <v>#N/A</v>
      </c>
      <c r="Q7982" s="17" t="e">
        <f t="shared" si="1249"/>
        <v>#N/A</v>
      </c>
    </row>
    <row r="7983" spans="1:17" x14ac:dyDescent="0.3">
      <c r="A7983" s="34">
        <f>base!J7983</f>
        <v>0</v>
      </c>
      <c r="B7983" s="34">
        <f>base!V7983</f>
        <v>0</v>
      </c>
      <c r="C7983" s="40" t="s">
        <v>11</v>
      </c>
      <c r="D7983" s="36">
        <f>base!H7983</f>
        <v>0</v>
      </c>
      <c r="E7983" s="44"/>
      <c r="F7983" s="16">
        <f>base!W7983</f>
        <v>0</v>
      </c>
      <c r="G7983" s="11" t="e">
        <f t="shared" si="1240"/>
        <v>#DIV/0!</v>
      </c>
      <c r="H7983" s="11" t="e">
        <f t="shared" si="1241"/>
        <v>#N/A</v>
      </c>
      <c r="I7983" s="11" t="e">
        <f t="shared" si="1242"/>
        <v>#N/A</v>
      </c>
      <c r="J7983" s="12" t="e">
        <f t="shared" si="1243"/>
        <v>#N/A</v>
      </c>
      <c r="K7983" s="17" t="e">
        <f t="shared" si="1248"/>
        <v>#N/A</v>
      </c>
      <c r="L7983" s="16">
        <f>base!X7983</f>
        <v>0</v>
      </c>
      <c r="M7983" s="11" t="e">
        <f t="shared" si="1244"/>
        <v>#DIV/0!</v>
      </c>
      <c r="N7983" s="11" t="e">
        <f t="shared" si="1245"/>
        <v>#N/A</v>
      </c>
      <c r="O7983" s="11" t="e">
        <f t="shared" si="1246"/>
        <v>#N/A</v>
      </c>
      <c r="P7983" s="12" t="e">
        <f t="shared" si="1247"/>
        <v>#N/A</v>
      </c>
      <c r="Q7983" s="17" t="e">
        <f t="shared" si="1249"/>
        <v>#N/A</v>
      </c>
    </row>
    <row r="7984" spans="1:17" x14ac:dyDescent="0.3">
      <c r="A7984" s="34">
        <f>base!J7984</f>
        <v>0</v>
      </c>
      <c r="B7984" s="34">
        <f>base!V7984</f>
        <v>0</v>
      </c>
      <c r="C7984" s="40" t="s">
        <v>11</v>
      </c>
      <c r="D7984" s="36">
        <f>base!H7984</f>
        <v>0</v>
      </c>
      <c r="E7984" s="44"/>
      <c r="F7984" s="16">
        <f>base!W7984</f>
        <v>0</v>
      </c>
      <c r="G7984" s="11" t="e">
        <f t="shared" si="1240"/>
        <v>#DIV/0!</v>
      </c>
      <c r="H7984" s="11" t="e">
        <f t="shared" si="1241"/>
        <v>#N/A</v>
      </c>
      <c r="I7984" s="11" t="e">
        <f t="shared" si="1242"/>
        <v>#N/A</v>
      </c>
      <c r="J7984" s="12" t="e">
        <f t="shared" si="1243"/>
        <v>#N/A</v>
      </c>
      <c r="K7984" s="17" t="e">
        <f t="shared" si="1248"/>
        <v>#N/A</v>
      </c>
      <c r="L7984" s="16">
        <f>base!X7984</f>
        <v>0</v>
      </c>
      <c r="M7984" s="11" t="e">
        <f t="shared" si="1244"/>
        <v>#DIV/0!</v>
      </c>
      <c r="N7984" s="11" t="e">
        <f t="shared" si="1245"/>
        <v>#N/A</v>
      </c>
      <c r="O7984" s="11" t="e">
        <f t="shared" si="1246"/>
        <v>#N/A</v>
      </c>
      <c r="P7984" s="12" t="e">
        <f t="shared" si="1247"/>
        <v>#N/A</v>
      </c>
      <c r="Q7984" s="17" t="e">
        <f t="shared" si="1249"/>
        <v>#N/A</v>
      </c>
    </row>
    <row r="7985" spans="1:17" x14ac:dyDescent="0.3">
      <c r="A7985" s="34">
        <f>base!J7985</f>
        <v>0</v>
      </c>
      <c r="B7985" s="34">
        <f>base!V7985</f>
        <v>0</v>
      </c>
      <c r="C7985" s="40" t="s">
        <v>11</v>
      </c>
      <c r="D7985" s="36">
        <f>base!H7985</f>
        <v>0</v>
      </c>
      <c r="E7985" s="44"/>
      <c r="F7985" s="16">
        <f>base!W7985</f>
        <v>0</v>
      </c>
      <c r="G7985" s="11" t="e">
        <f t="shared" si="1240"/>
        <v>#DIV/0!</v>
      </c>
      <c r="H7985" s="11" t="e">
        <f t="shared" si="1241"/>
        <v>#N/A</v>
      </c>
      <c r="I7985" s="11" t="e">
        <f t="shared" si="1242"/>
        <v>#N/A</v>
      </c>
      <c r="J7985" s="12" t="e">
        <f t="shared" si="1243"/>
        <v>#N/A</v>
      </c>
      <c r="K7985" s="17" t="e">
        <f t="shared" si="1248"/>
        <v>#N/A</v>
      </c>
      <c r="L7985" s="16">
        <f>base!X7985</f>
        <v>0</v>
      </c>
      <c r="M7985" s="11" t="e">
        <f t="shared" si="1244"/>
        <v>#DIV/0!</v>
      </c>
      <c r="N7985" s="11" t="e">
        <f t="shared" si="1245"/>
        <v>#N/A</v>
      </c>
      <c r="O7985" s="11" t="e">
        <f t="shared" si="1246"/>
        <v>#N/A</v>
      </c>
      <c r="P7985" s="12" t="e">
        <f t="shared" si="1247"/>
        <v>#N/A</v>
      </c>
      <c r="Q7985" s="17" t="e">
        <f t="shared" si="1249"/>
        <v>#N/A</v>
      </c>
    </row>
    <row r="7986" spans="1:17" x14ac:dyDescent="0.3">
      <c r="A7986" s="34">
        <f>base!J7986</f>
        <v>0</v>
      </c>
      <c r="B7986" s="34">
        <f>base!V7986</f>
        <v>0</v>
      </c>
      <c r="C7986" s="40" t="s">
        <v>11</v>
      </c>
      <c r="D7986" s="36">
        <f>base!H7986</f>
        <v>0</v>
      </c>
      <c r="E7986" s="44"/>
      <c r="F7986" s="16">
        <f>base!W7986</f>
        <v>0</v>
      </c>
      <c r="G7986" s="11" t="e">
        <f t="shared" si="1240"/>
        <v>#DIV/0!</v>
      </c>
      <c r="H7986" s="11" t="e">
        <f t="shared" si="1241"/>
        <v>#N/A</v>
      </c>
      <c r="I7986" s="11" t="e">
        <f t="shared" si="1242"/>
        <v>#N/A</v>
      </c>
      <c r="J7986" s="12" t="e">
        <f t="shared" si="1243"/>
        <v>#N/A</v>
      </c>
      <c r="K7986" s="17" t="e">
        <f t="shared" si="1248"/>
        <v>#N/A</v>
      </c>
      <c r="L7986" s="16">
        <f>base!X7986</f>
        <v>0</v>
      </c>
      <c r="M7986" s="11" t="e">
        <f t="shared" si="1244"/>
        <v>#DIV/0!</v>
      </c>
      <c r="N7986" s="11" t="e">
        <f t="shared" si="1245"/>
        <v>#N/A</v>
      </c>
      <c r="O7986" s="11" t="e">
        <f t="shared" si="1246"/>
        <v>#N/A</v>
      </c>
      <c r="P7986" s="12" t="e">
        <f t="shared" si="1247"/>
        <v>#N/A</v>
      </c>
      <c r="Q7986" s="17" t="e">
        <f t="shared" si="1249"/>
        <v>#N/A</v>
      </c>
    </row>
    <row r="7987" spans="1:17" x14ac:dyDescent="0.3">
      <c r="A7987" s="34">
        <f>base!J7987</f>
        <v>0</v>
      </c>
      <c r="B7987" s="34">
        <f>base!V7987</f>
        <v>0</v>
      </c>
      <c r="C7987" s="40" t="s">
        <v>11</v>
      </c>
      <c r="D7987" s="36">
        <f>base!H7987</f>
        <v>0</v>
      </c>
      <c r="E7987" s="44"/>
      <c r="F7987" s="16">
        <f>base!W7987</f>
        <v>0</v>
      </c>
      <c r="G7987" s="11" t="e">
        <f t="shared" si="1240"/>
        <v>#DIV/0!</v>
      </c>
      <c r="H7987" s="11" t="e">
        <f t="shared" si="1241"/>
        <v>#N/A</v>
      </c>
      <c r="I7987" s="11" t="e">
        <f t="shared" si="1242"/>
        <v>#N/A</v>
      </c>
      <c r="J7987" s="12" t="e">
        <f t="shared" si="1243"/>
        <v>#N/A</v>
      </c>
      <c r="K7987" s="17" t="e">
        <f t="shared" si="1248"/>
        <v>#N/A</v>
      </c>
      <c r="L7987" s="16">
        <f>base!X7987</f>
        <v>0</v>
      </c>
      <c r="M7987" s="11" t="e">
        <f t="shared" si="1244"/>
        <v>#DIV/0!</v>
      </c>
      <c r="N7987" s="11" t="e">
        <f t="shared" si="1245"/>
        <v>#N/A</v>
      </c>
      <c r="O7987" s="11" t="e">
        <f t="shared" si="1246"/>
        <v>#N/A</v>
      </c>
      <c r="P7987" s="12" t="e">
        <f t="shared" si="1247"/>
        <v>#N/A</v>
      </c>
      <c r="Q7987" s="17" t="e">
        <f t="shared" si="1249"/>
        <v>#N/A</v>
      </c>
    </row>
    <row r="7988" spans="1:17" x14ac:dyDescent="0.3">
      <c r="A7988" s="34">
        <f>base!J7988</f>
        <v>0</v>
      </c>
      <c r="B7988" s="34">
        <f>base!V7988</f>
        <v>0</v>
      </c>
      <c r="C7988" s="40" t="s">
        <v>11</v>
      </c>
      <c r="D7988" s="36">
        <f>base!H7988</f>
        <v>0</v>
      </c>
      <c r="E7988" s="44"/>
      <c r="F7988" s="16">
        <f>base!W7988</f>
        <v>0</v>
      </c>
      <c r="G7988" s="11" t="e">
        <f t="shared" si="1240"/>
        <v>#DIV/0!</v>
      </c>
      <c r="H7988" s="11" t="e">
        <f t="shared" si="1241"/>
        <v>#N/A</v>
      </c>
      <c r="I7988" s="11" t="e">
        <f t="shared" si="1242"/>
        <v>#N/A</v>
      </c>
      <c r="J7988" s="12" t="e">
        <f t="shared" si="1243"/>
        <v>#N/A</v>
      </c>
      <c r="K7988" s="17" t="e">
        <f t="shared" si="1248"/>
        <v>#N/A</v>
      </c>
      <c r="L7988" s="16">
        <f>base!X7988</f>
        <v>0</v>
      </c>
      <c r="M7988" s="11" t="e">
        <f t="shared" si="1244"/>
        <v>#DIV/0!</v>
      </c>
      <c r="N7988" s="11" t="e">
        <f t="shared" si="1245"/>
        <v>#N/A</v>
      </c>
      <c r="O7988" s="11" t="e">
        <f t="shared" si="1246"/>
        <v>#N/A</v>
      </c>
      <c r="P7988" s="12" t="e">
        <f t="shared" si="1247"/>
        <v>#N/A</v>
      </c>
      <c r="Q7988" s="17" t="e">
        <f t="shared" si="1249"/>
        <v>#N/A</v>
      </c>
    </row>
    <row r="7989" spans="1:17" x14ac:dyDescent="0.3">
      <c r="A7989" s="34">
        <f>base!J7989</f>
        <v>0</v>
      </c>
      <c r="B7989" s="34">
        <f>base!V7989</f>
        <v>0</v>
      </c>
      <c r="C7989" s="40" t="s">
        <v>11</v>
      </c>
      <c r="D7989" s="36">
        <f>base!H7989</f>
        <v>0</v>
      </c>
      <c r="E7989" s="44"/>
      <c r="F7989" s="16">
        <f>base!W7989</f>
        <v>0</v>
      </c>
      <c r="G7989" s="11" t="e">
        <f t="shared" si="1240"/>
        <v>#DIV/0!</v>
      </c>
      <c r="H7989" s="11" t="e">
        <f t="shared" si="1241"/>
        <v>#N/A</v>
      </c>
      <c r="I7989" s="11" t="e">
        <f t="shared" si="1242"/>
        <v>#N/A</v>
      </c>
      <c r="J7989" s="12" t="e">
        <f t="shared" si="1243"/>
        <v>#N/A</v>
      </c>
      <c r="K7989" s="17" t="e">
        <f t="shared" si="1248"/>
        <v>#N/A</v>
      </c>
      <c r="L7989" s="16">
        <f>base!X7989</f>
        <v>0</v>
      </c>
      <c r="M7989" s="11" t="e">
        <f t="shared" si="1244"/>
        <v>#DIV/0!</v>
      </c>
      <c r="N7989" s="11" t="e">
        <f t="shared" si="1245"/>
        <v>#N/A</v>
      </c>
      <c r="O7989" s="11" t="e">
        <f t="shared" si="1246"/>
        <v>#N/A</v>
      </c>
      <c r="P7989" s="12" t="e">
        <f t="shared" si="1247"/>
        <v>#N/A</v>
      </c>
      <c r="Q7989" s="17" t="e">
        <f t="shared" si="1249"/>
        <v>#N/A</v>
      </c>
    </row>
    <row r="7990" spans="1:17" x14ac:dyDescent="0.3">
      <c r="A7990" s="34">
        <f>base!J7990</f>
        <v>0</v>
      </c>
      <c r="B7990" s="34">
        <f>base!V7990</f>
        <v>0</v>
      </c>
      <c r="C7990" s="40" t="s">
        <v>11</v>
      </c>
      <c r="D7990" s="36">
        <f>base!H7990</f>
        <v>0</v>
      </c>
      <c r="E7990" s="44"/>
      <c r="F7990" s="16">
        <f>base!W7990</f>
        <v>0</v>
      </c>
      <c r="G7990" s="11" t="e">
        <f t="shared" si="1240"/>
        <v>#DIV/0!</v>
      </c>
      <c r="H7990" s="11" t="e">
        <f t="shared" si="1241"/>
        <v>#N/A</v>
      </c>
      <c r="I7990" s="11" t="e">
        <f t="shared" si="1242"/>
        <v>#N/A</v>
      </c>
      <c r="J7990" s="12" t="e">
        <f t="shared" si="1243"/>
        <v>#N/A</v>
      </c>
      <c r="K7990" s="17" t="e">
        <f t="shared" si="1248"/>
        <v>#N/A</v>
      </c>
      <c r="L7990" s="16">
        <f>base!X7990</f>
        <v>0</v>
      </c>
      <c r="M7990" s="11" t="e">
        <f t="shared" si="1244"/>
        <v>#DIV/0!</v>
      </c>
      <c r="N7990" s="11" t="e">
        <f t="shared" si="1245"/>
        <v>#N/A</v>
      </c>
      <c r="O7990" s="11" t="e">
        <f t="shared" si="1246"/>
        <v>#N/A</v>
      </c>
      <c r="P7990" s="12" t="e">
        <f t="shared" si="1247"/>
        <v>#N/A</v>
      </c>
      <c r="Q7990" s="17" t="e">
        <f t="shared" si="1249"/>
        <v>#N/A</v>
      </c>
    </row>
    <row r="7991" spans="1:17" x14ac:dyDescent="0.3">
      <c r="A7991" s="34">
        <f>base!J7991</f>
        <v>0</v>
      </c>
      <c r="B7991" s="34">
        <f>base!V7991</f>
        <v>0</v>
      </c>
      <c r="C7991" s="40" t="s">
        <v>11</v>
      </c>
      <c r="D7991" s="36">
        <f>base!H7991</f>
        <v>0</v>
      </c>
      <c r="E7991" s="44"/>
      <c r="F7991" s="16">
        <f>base!W7991</f>
        <v>0</v>
      </c>
      <c r="G7991" s="11" t="e">
        <f t="shared" si="1240"/>
        <v>#DIV/0!</v>
      </c>
      <c r="H7991" s="11" t="e">
        <f t="shared" si="1241"/>
        <v>#N/A</v>
      </c>
      <c r="I7991" s="11" t="e">
        <f t="shared" si="1242"/>
        <v>#N/A</v>
      </c>
      <c r="J7991" s="12" t="e">
        <f t="shared" si="1243"/>
        <v>#N/A</v>
      </c>
      <c r="K7991" s="17" t="e">
        <f t="shared" si="1248"/>
        <v>#N/A</v>
      </c>
      <c r="L7991" s="16">
        <f>base!X7991</f>
        <v>0</v>
      </c>
      <c r="M7991" s="11" t="e">
        <f t="shared" si="1244"/>
        <v>#DIV/0!</v>
      </c>
      <c r="N7991" s="11" t="e">
        <f t="shared" si="1245"/>
        <v>#N/A</v>
      </c>
      <c r="O7991" s="11" t="e">
        <f t="shared" si="1246"/>
        <v>#N/A</v>
      </c>
      <c r="P7991" s="12" t="e">
        <f t="shared" si="1247"/>
        <v>#N/A</v>
      </c>
      <c r="Q7991" s="17" t="e">
        <f t="shared" si="1249"/>
        <v>#N/A</v>
      </c>
    </row>
    <row r="7992" spans="1:17" x14ac:dyDescent="0.3">
      <c r="A7992" s="34">
        <f>base!J7992</f>
        <v>0</v>
      </c>
      <c r="B7992" s="34">
        <f>base!V7992</f>
        <v>0</v>
      </c>
      <c r="C7992" s="40" t="s">
        <v>11</v>
      </c>
      <c r="D7992" s="36">
        <f>base!H7992</f>
        <v>0</v>
      </c>
      <c r="E7992" s="44"/>
      <c r="F7992" s="16">
        <f>base!W7992</f>
        <v>0</v>
      </c>
      <c r="G7992" s="11" t="e">
        <f t="shared" si="1240"/>
        <v>#DIV/0!</v>
      </c>
      <c r="H7992" s="11" t="e">
        <f t="shared" si="1241"/>
        <v>#N/A</v>
      </c>
      <c r="I7992" s="11" t="e">
        <f t="shared" si="1242"/>
        <v>#N/A</v>
      </c>
      <c r="J7992" s="12" t="e">
        <f t="shared" si="1243"/>
        <v>#N/A</v>
      </c>
      <c r="K7992" s="17" t="e">
        <f t="shared" si="1248"/>
        <v>#N/A</v>
      </c>
      <c r="L7992" s="16">
        <f>base!X7992</f>
        <v>0</v>
      </c>
      <c r="M7992" s="11" t="e">
        <f t="shared" si="1244"/>
        <v>#DIV/0!</v>
      </c>
      <c r="N7992" s="11" t="e">
        <f t="shared" si="1245"/>
        <v>#N/A</v>
      </c>
      <c r="O7992" s="11" t="e">
        <f t="shared" si="1246"/>
        <v>#N/A</v>
      </c>
      <c r="P7992" s="12" t="e">
        <f t="shared" si="1247"/>
        <v>#N/A</v>
      </c>
      <c r="Q7992" s="17" t="e">
        <f t="shared" si="1249"/>
        <v>#N/A</v>
      </c>
    </row>
    <row r="7993" spans="1:17" x14ac:dyDescent="0.3">
      <c r="A7993" s="34">
        <f>base!J7993</f>
        <v>0</v>
      </c>
      <c r="B7993" s="34">
        <f>base!V7993</f>
        <v>0</v>
      </c>
      <c r="C7993" s="40" t="s">
        <v>11</v>
      </c>
      <c r="D7993" s="36">
        <f>base!H7993</f>
        <v>0</v>
      </c>
      <c r="E7993" s="44"/>
      <c r="F7993" s="16">
        <f>base!W7993</f>
        <v>0</v>
      </c>
      <c r="G7993" s="11" t="e">
        <f t="shared" si="1240"/>
        <v>#DIV/0!</v>
      </c>
      <c r="H7993" s="11" t="e">
        <f t="shared" si="1241"/>
        <v>#N/A</v>
      </c>
      <c r="I7993" s="11" t="e">
        <f t="shared" si="1242"/>
        <v>#N/A</v>
      </c>
      <c r="J7993" s="12" t="e">
        <f t="shared" si="1243"/>
        <v>#N/A</v>
      </c>
      <c r="K7993" s="17" t="e">
        <f t="shared" si="1248"/>
        <v>#N/A</v>
      </c>
      <c r="L7993" s="16">
        <f>base!X7993</f>
        <v>0</v>
      </c>
      <c r="M7993" s="11" t="e">
        <f t="shared" si="1244"/>
        <v>#DIV/0!</v>
      </c>
      <c r="N7993" s="11" t="e">
        <f t="shared" si="1245"/>
        <v>#N/A</v>
      </c>
      <c r="O7993" s="11" t="e">
        <f t="shared" si="1246"/>
        <v>#N/A</v>
      </c>
      <c r="P7993" s="12" t="e">
        <f t="shared" si="1247"/>
        <v>#N/A</v>
      </c>
      <c r="Q7993" s="17" t="e">
        <f t="shared" si="1249"/>
        <v>#N/A</v>
      </c>
    </row>
    <row r="7994" spans="1:17" x14ac:dyDescent="0.3">
      <c r="A7994" s="34">
        <f>base!J7994</f>
        <v>0</v>
      </c>
      <c r="B7994" s="34">
        <f>base!V7994</f>
        <v>0</v>
      </c>
      <c r="C7994" s="40" t="s">
        <v>11</v>
      </c>
      <c r="D7994" s="36">
        <f>base!H7994</f>
        <v>0</v>
      </c>
      <c r="E7994" s="44"/>
      <c r="F7994" s="16">
        <f>base!W7994</f>
        <v>0</v>
      </c>
      <c r="G7994" s="11" t="e">
        <f t="shared" si="1240"/>
        <v>#DIV/0!</v>
      </c>
      <c r="H7994" s="11" t="e">
        <f t="shared" si="1241"/>
        <v>#N/A</v>
      </c>
      <c r="I7994" s="11" t="e">
        <f t="shared" si="1242"/>
        <v>#N/A</v>
      </c>
      <c r="J7994" s="12" t="e">
        <f t="shared" si="1243"/>
        <v>#N/A</v>
      </c>
      <c r="K7994" s="17" t="e">
        <f t="shared" si="1248"/>
        <v>#N/A</v>
      </c>
      <c r="L7994" s="16">
        <f>base!X7994</f>
        <v>0</v>
      </c>
      <c r="M7994" s="11" t="e">
        <f t="shared" si="1244"/>
        <v>#DIV/0!</v>
      </c>
      <c r="N7994" s="11" t="e">
        <f t="shared" si="1245"/>
        <v>#N/A</v>
      </c>
      <c r="O7994" s="11" t="e">
        <f t="shared" si="1246"/>
        <v>#N/A</v>
      </c>
      <c r="P7994" s="12" t="e">
        <f t="shared" si="1247"/>
        <v>#N/A</v>
      </c>
      <c r="Q7994" s="17" t="e">
        <f t="shared" si="1249"/>
        <v>#N/A</v>
      </c>
    </row>
    <row r="7995" spans="1:17" x14ac:dyDescent="0.3">
      <c r="A7995" s="34">
        <f>base!J7995</f>
        <v>0</v>
      </c>
      <c r="B7995" s="34">
        <f>base!V7995</f>
        <v>0</v>
      </c>
      <c r="C7995" s="40" t="s">
        <v>11</v>
      </c>
      <c r="D7995" s="36">
        <f>base!H7995</f>
        <v>0</v>
      </c>
      <c r="E7995" s="44"/>
      <c r="F7995" s="16">
        <f>base!W7995</f>
        <v>0</v>
      </c>
      <c r="G7995" s="11" t="e">
        <f t="shared" si="1240"/>
        <v>#DIV/0!</v>
      </c>
      <c r="H7995" s="11" t="e">
        <f t="shared" si="1241"/>
        <v>#N/A</v>
      </c>
      <c r="I7995" s="11" t="e">
        <f t="shared" si="1242"/>
        <v>#N/A</v>
      </c>
      <c r="J7995" s="12" t="e">
        <f t="shared" si="1243"/>
        <v>#N/A</v>
      </c>
      <c r="K7995" s="17" t="e">
        <f t="shared" si="1248"/>
        <v>#N/A</v>
      </c>
      <c r="L7995" s="16">
        <f>base!X7995</f>
        <v>0</v>
      </c>
      <c r="M7995" s="11" t="e">
        <f t="shared" si="1244"/>
        <v>#DIV/0!</v>
      </c>
      <c r="N7995" s="11" t="e">
        <f t="shared" si="1245"/>
        <v>#N/A</v>
      </c>
      <c r="O7995" s="11" t="e">
        <f t="shared" si="1246"/>
        <v>#N/A</v>
      </c>
      <c r="P7995" s="12" t="e">
        <f t="shared" si="1247"/>
        <v>#N/A</v>
      </c>
      <c r="Q7995" s="17" t="e">
        <f t="shared" si="1249"/>
        <v>#N/A</v>
      </c>
    </row>
    <row r="7996" spans="1:17" x14ac:dyDescent="0.3">
      <c r="A7996" s="34">
        <f>base!J7996</f>
        <v>0</v>
      </c>
      <c r="B7996" s="34">
        <f>base!V7996</f>
        <v>0</v>
      </c>
      <c r="C7996" s="40" t="s">
        <v>11</v>
      </c>
      <c r="D7996" s="36">
        <f>base!H7996</f>
        <v>0</v>
      </c>
      <c r="E7996" s="44"/>
      <c r="F7996" s="16">
        <f>base!W7996</f>
        <v>0</v>
      </c>
      <c r="G7996" s="11" t="e">
        <f t="shared" si="1240"/>
        <v>#DIV/0!</v>
      </c>
      <c r="H7996" s="11" t="e">
        <f t="shared" si="1241"/>
        <v>#N/A</v>
      </c>
      <c r="I7996" s="11" t="e">
        <f t="shared" si="1242"/>
        <v>#N/A</v>
      </c>
      <c r="J7996" s="12" t="e">
        <f t="shared" si="1243"/>
        <v>#N/A</v>
      </c>
      <c r="K7996" s="17" t="e">
        <f t="shared" si="1248"/>
        <v>#N/A</v>
      </c>
      <c r="L7996" s="16">
        <f>base!X7996</f>
        <v>0</v>
      </c>
      <c r="M7996" s="11" t="e">
        <f t="shared" si="1244"/>
        <v>#DIV/0!</v>
      </c>
      <c r="N7996" s="11" t="e">
        <f t="shared" si="1245"/>
        <v>#N/A</v>
      </c>
      <c r="O7996" s="11" t="e">
        <f t="shared" si="1246"/>
        <v>#N/A</v>
      </c>
      <c r="P7996" s="12" t="e">
        <f t="shared" si="1247"/>
        <v>#N/A</v>
      </c>
      <c r="Q7996" s="17" t="e">
        <f t="shared" si="1249"/>
        <v>#N/A</v>
      </c>
    </row>
    <row r="7997" spans="1:17" x14ac:dyDescent="0.3">
      <c r="A7997" s="34">
        <f>base!J7997</f>
        <v>0</v>
      </c>
      <c r="B7997" s="34">
        <f>base!V7997</f>
        <v>0</v>
      </c>
      <c r="C7997" s="40" t="s">
        <v>11</v>
      </c>
      <c r="D7997" s="36">
        <f>base!H7997</f>
        <v>0</v>
      </c>
      <c r="E7997" s="44"/>
      <c r="F7997" s="16">
        <f>base!W7997</f>
        <v>0</v>
      </c>
      <c r="G7997" s="11" t="e">
        <f t="shared" si="1240"/>
        <v>#DIV/0!</v>
      </c>
      <c r="H7997" s="11" t="e">
        <f t="shared" si="1241"/>
        <v>#N/A</v>
      </c>
      <c r="I7997" s="11" t="e">
        <f t="shared" si="1242"/>
        <v>#N/A</v>
      </c>
      <c r="J7997" s="12" t="e">
        <f t="shared" si="1243"/>
        <v>#N/A</v>
      </c>
      <c r="K7997" s="17" t="e">
        <f t="shared" si="1248"/>
        <v>#N/A</v>
      </c>
      <c r="L7997" s="16">
        <f>base!X7997</f>
        <v>0</v>
      </c>
      <c r="M7997" s="11" t="e">
        <f t="shared" si="1244"/>
        <v>#DIV/0!</v>
      </c>
      <c r="N7997" s="11" t="e">
        <f t="shared" si="1245"/>
        <v>#N/A</v>
      </c>
      <c r="O7997" s="11" t="e">
        <f t="shared" si="1246"/>
        <v>#N/A</v>
      </c>
      <c r="P7997" s="12" t="e">
        <f t="shared" si="1247"/>
        <v>#N/A</v>
      </c>
      <c r="Q7997" s="17" t="e">
        <f t="shared" si="1249"/>
        <v>#N/A</v>
      </c>
    </row>
    <row r="7998" spans="1:17" x14ac:dyDescent="0.3">
      <c r="A7998" s="34">
        <f>base!J7998</f>
        <v>0</v>
      </c>
      <c r="B7998" s="34">
        <f>base!V7998</f>
        <v>0</v>
      </c>
      <c r="C7998" s="40" t="s">
        <v>11</v>
      </c>
      <c r="D7998" s="36">
        <f>base!H7998</f>
        <v>0</v>
      </c>
      <c r="E7998" s="44"/>
      <c r="F7998" s="16">
        <f>base!W7998</f>
        <v>0</v>
      </c>
      <c r="G7998" s="11" t="e">
        <f t="shared" si="1240"/>
        <v>#DIV/0!</v>
      </c>
      <c r="H7998" s="11" t="e">
        <f t="shared" si="1241"/>
        <v>#N/A</v>
      </c>
      <c r="I7998" s="11" t="e">
        <f t="shared" si="1242"/>
        <v>#N/A</v>
      </c>
      <c r="J7998" s="12" t="e">
        <f t="shared" si="1243"/>
        <v>#N/A</v>
      </c>
      <c r="K7998" s="17" t="e">
        <f t="shared" si="1248"/>
        <v>#N/A</v>
      </c>
      <c r="L7998" s="16">
        <f>base!X7998</f>
        <v>0</v>
      </c>
      <c r="M7998" s="11" t="e">
        <f t="shared" si="1244"/>
        <v>#DIV/0!</v>
      </c>
      <c r="N7998" s="11" t="e">
        <f t="shared" si="1245"/>
        <v>#N/A</v>
      </c>
      <c r="O7998" s="11" t="e">
        <f t="shared" si="1246"/>
        <v>#N/A</v>
      </c>
      <c r="P7998" s="12" t="e">
        <f t="shared" si="1247"/>
        <v>#N/A</v>
      </c>
      <c r="Q7998" s="17" t="e">
        <f t="shared" si="1249"/>
        <v>#N/A</v>
      </c>
    </row>
    <row r="7999" spans="1:17" x14ac:dyDescent="0.3">
      <c r="A7999" s="34">
        <f>base!J7999</f>
        <v>0</v>
      </c>
      <c r="B7999" s="34">
        <f>base!V7999</f>
        <v>0</v>
      </c>
      <c r="C7999" s="40" t="s">
        <v>11</v>
      </c>
      <c r="D7999" s="36">
        <f>base!H7999</f>
        <v>0</v>
      </c>
      <c r="E7999" s="44"/>
      <c r="F7999" s="16">
        <f>base!W7999</f>
        <v>0</v>
      </c>
      <c r="G7999" s="11" t="e">
        <f t="shared" si="1240"/>
        <v>#DIV/0!</v>
      </c>
      <c r="H7999" s="11" t="e">
        <f t="shared" si="1241"/>
        <v>#N/A</v>
      </c>
      <c r="I7999" s="11" t="e">
        <f t="shared" si="1242"/>
        <v>#N/A</v>
      </c>
      <c r="J7999" s="12" t="e">
        <f t="shared" si="1243"/>
        <v>#N/A</v>
      </c>
      <c r="K7999" s="17" t="e">
        <f t="shared" si="1248"/>
        <v>#N/A</v>
      </c>
      <c r="L7999" s="16">
        <f>base!X7999</f>
        <v>0</v>
      </c>
      <c r="M7999" s="11" t="e">
        <f t="shared" si="1244"/>
        <v>#DIV/0!</v>
      </c>
      <c r="N7999" s="11" t="e">
        <f t="shared" si="1245"/>
        <v>#N/A</v>
      </c>
      <c r="O7999" s="11" t="e">
        <f t="shared" si="1246"/>
        <v>#N/A</v>
      </c>
      <c r="P7999" s="12" t="e">
        <f t="shared" si="1247"/>
        <v>#N/A</v>
      </c>
      <c r="Q7999" s="17" t="e">
        <f t="shared" si="1249"/>
        <v>#N/A</v>
      </c>
    </row>
    <row r="8000" spans="1:17" x14ac:dyDescent="0.3">
      <c r="A8000" s="34">
        <f>base!J8000</f>
        <v>0</v>
      </c>
      <c r="B8000" s="34">
        <f>base!V8000</f>
        <v>0</v>
      </c>
      <c r="C8000" s="40" t="s">
        <v>11</v>
      </c>
      <c r="D8000" s="36">
        <f>base!H8000</f>
        <v>0</v>
      </c>
      <c r="E8000" s="44"/>
      <c r="F8000" s="16">
        <f>base!W8000</f>
        <v>0</v>
      </c>
      <c r="G8000" s="11" t="e">
        <f t="shared" si="1240"/>
        <v>#DIV/0!</v>
      </c>
      <c r="H8000" s="11" t="e">
        <f t="shared" si="1241"/>
        <v>#N/A</v>
      </c>
      <c r="I8000" s="11" t="e">
        <f t="shared" si="1242"/>
        <v>#N/A</v>
      </c>
      <c r="J8000" s="12" t="e">
        <f t="shared" si="1243"/>
        <v>#N/A</v>
      </c>
      <c r="K8000" s="17" t="e">
        <f t="shared" si="1248"/>
        <v>#N/A</v>
      </c>
      <c r="L8000" s="16">
        <f>base!X8000</f>
        <v>0</v>
      </c>
      <c r="M8000" s="11" t="e">
        <f t="shared" si="1244"/>
        <v>#DIV/0!</v>
      </c>
      <c r="N8000" s="11" t="e">
        <f t="shared" si="1245"/>
        <v>#N/A</v>
      </c>
      <c r="O8000" s="11" t="e">
        <f t="shared" si="1246"/>
        <v>#N/A</v>
      </c>
      <c r="P8000" s="12" t="e">
        <f t="shared" si="1247"/>
        <v>#N/A</v>
      </c>
      <c r="Q8000" s="17" t="e">
        <f t="shared" si="1249"/>
        <v>#N/A</v>
      </c>
    </row>
    <row r="8001" spans="1:17" x14ac:dyDescent="0.3">
      <c r="A8001" s="34">
        <f>base!J8001</f>
        <v>0</v>
      </c>
      <c r="B8001" s="34">
        <f>base!V8001</f>
        <v>0</v>
      </c>
      <c r="C8001" s="40" t="s">
        <v>11</v>
      </c>
      <c r="D8001" s="36">
        <f>base!H8001</f>
        <v>0</v>
      </c>
      <c r="E8001" s="44"/>
      <c r="F8001" s="16">
        <f>base!W8001</f>
        <v>0</v>
      </c>
      <c r="G8001" s="11" t="e">
        <f t="shared" si="1240"/>
        <v>#DIV/0!</v>
      </c>
      <c r="H8001" s="11" t="e">
        <f t="shared" si="1241"/>
        <v>#N/A</v>
      </c>
      <c r="I8001" s="11" t="e">
        <f t="shared" si="1242"/>
        <v>#N/A</v>
      </c>
      <c r="J8001" s="12" t="e">
        <f t="shared" si="1243"/>
        <v>#N/A</v>
      </c>
      <c r="K8001" s="17" t="e">
        <f t="shared" si="1248"/>
        <v>#N/A</v>
      </c>
      <c r="L8001" s="16">
        <f>base!X8001</f>
        <v>0</v>
      </c>
      <c r="M8001" s="11" t="e">
        <f t="shared" si="1244"/>
        <v>#DIV/0!</v>
      </c>
      <c r="N8001" s="11" t="e">
        <f t="shared" si="1245"/>
        <v>#N/A</v>
      </c>
      <c r="O8001" s="11" t="e">
        <f t="shared" si="1246"/>
        <v>#N/A</v>
      </c>
      <c r="P8001" s="12" t="e">
        <f t="shared" si="1247"/>
        <v>#N/A</v>
      </c>
      <c r="Q8001" s="17" t="e">
        <f t="shared" si="1249"/>
        <v>#N/A</v>
      </c>
    </row>
    <row r="8002" spans="1:17" x14ac:dyDescent="0.3">
      <c r="A8002" s="34">
        <f>base!J8002</f>
        <v>0</v>
      </c>
      <c r="B8002" s="34">
        <f>base!V8002</f>
        <v>0</v>
      </c>
      <c r="C8002" s="40" t="s">
        <v>11</v>
      </c>
      <c r="D8002" s="36">
        <f>base!H8002</f>
        <v>0</v>
      </c>
      <c r="E8002" s="44"/>
      <c r="F8002" s="16">
        <f>base!W8002</f>
        <v>0</v>
      </c>
      <c r="G8002" s="11" t="e">
        <f t="shared" ref="G8002:G8065" si="1250">F8002/D8002</f>
        <v>#DIV/0!</v>
      </c>
      <c r="H8002" s="11" t="e">
        <f t="shared" ref="H8002:H8065" si="1251">VLOOKUP(C8002,tout_cout_traction,2,FALSE)*D8002</f>
        <v>#N/A</v>
      </c>
      <c r="I8002" s="11" t="e">
        <f t="shared" ref="I8002:I8065" si="1252">H8002/D8002</f>
        <v>#N/A</v>
      </c>
      <c r="J8002" s="12" t="e">
        <f t="shared" ref="J8002:J8065" si="1253">F8002-H8002</f>
        <v>#N/A</v>
      </c>
      <c r="K8002" s="17" t="e">
        <f t="shared" si="1248"/>
        <v>#N/A</v>
      </c>
      <c r="L8002" s="16">
        <f>base!X8002</f>
        <v>0</v>
      </c>
      <c r="M8002" s="11" t="e">
        <f t="shared" ref="M8002:M8065" si="1254">L8002/D8002</f>
        <v>#DIV/0!</v>
      </c>
      <c r="N8002" s="11" t="e">
        <f t="shared" ref="N8002:N8065" si="1255">VLOOKUP(C8002,tout_cout_traction,3,FALSE)*D8002</f>
        <v>#N/A</v>
      </c>
      <c r="O8002" s="11" t="e">
        <f t="shared" ref="O8002:O8065" si="1256">N8002/D8002</f>
        <v>#N/A</v>
      </c>
      <c r="P8002" s="12" t="e">
        <f t="shared" ref="P8002:P8065" si="1257">L8002-N8002</f>
        <v>#N/A</v>
      </c>
      <c r="Q8002" s="17" t="e">
        <f t="shared" si="1249"/>
        <v>#N/A</v>
      </c>
    </row>
    <row r="8003" spans="1:17" x14ac:dyDescent="0.3">
      <c r="A8003" s="34">
        <f>base!J8003</f>
        <v>0</v>
      </c>
      <c r="B8003" s="34">
        <f>base!V8003</f>
        <v>0</v>
      </c>
      <c r="C8003" s="40" t="s">
        <v>11</v>
      </c>
      <c r="D8003" s="36">
        <f>base!H8003</f>
        <v>0</v>
      </c>
      <c r="E8003" s="44"/>
      <c r="F8003" s="16">
        <f>base!W8003</f>
        <v>0</v>
      </c>
      <c r="G8003" s="11" t="e">
        <f t="shared" si="1250"/>
        <v>#DIV/0!</v>
      </c>
      <c r="H8003" s="11" t="e">
        <f t="shared" si="1251"/>
        <v>#N/A</v>
      </c>
      <c r="I8003" s="11" t="e">
        <f t="shared" si="1252"/>
        <v>#N/A</v>
      </c>
      <c r="J8003" s="12" t="e">
        <f t="shared" si="1253"/>
        <v>#N/A</v>
      </c>
      <c r="K8003" s="17" t="e">
        <f t="shared" ref="K8003:K8066" si="1258">IF(H8003=F8003,"Pas d'écart",IF(H8003&lt;F8003,"Ecart positif",IF(H8003&gt;F8003,"Ecart négatif")))</f>
        <v>#N/A</v>
      </c>
      <c r="L8003" s="16">
        <f>base!X8003</f>
        <v>0</v>
      </c>
      <c r="M8003" s="11" t="e">
        <f t="shared" si="1254"/>
        <v>#DIV/0!</v>
      </c>
      <c r="N8003" s="11" t="e">
        <f t="shared" si="1255"/>
        <v>#N/A</v>
      </c>
      <c r="O8003" s="11" t="e">
        <f t="shared" si="1256"/>
        <v>#N/A</v>
      </c>
      <c r="P8003" s="12" t="e">
        <f t="shared" si="1257"/>
        <v>#N/A</v>
      </c>
      <c r="Q8003" s="17" t="e">
        <f t="shared" ref="Q8003:Q8066" si="1259">IF(N8003=L8003,"Pas d'écart",IF(N8003&lt;L8003,"Ecart positif",IF(N8003&gt;L8003,"Ecart négatif")))</f>
        <v>#N/A</v>
      </c>
    </row>
    <row r="8004" spans="1:17" x14ac:dyDescent="0.3">
      <c r="A8004" s="34">
        <f>base!J8004</f>
        <v>0</v>
      </c>
      <c r="B8004" s="34">
        <f>base!V8004</f>
        <v>0</v>
      </c>
      <c r="C8004" s="40" t="s">
        <v>11</v>
      </c>
      <c r="D8004" s="36">
        <f>base!H8004</f>
        <v>0</v>
      </c>
      <c r="E8004" s="44"/>
      <c r="F8004" s="16">
        <f>base!W8004</f>
        <v>0</v>
      </c>
      <c r="G8004" s="11" t="e">
        <f t="shared" si="1250"/>
        <v>#DIV/0!</v>
      </c>
      <c r="H8004" s="11" t="e">
        <f t="shared" si="1251"/>
        <v>#N/A</v>
      </c>
      <c r="I8004" s="11" t="e">
        <f t="shared" si="1252"/>
        <v>#N/A</v>
      </c>
      <c r="J8004" s="12" t="e">
        <f t="shared" si="1253"/>
        <v>#N/A</v>
      </c>
      <c r="K8004" s="17" t="e">
        <f t="shared" si="1258"/>
        <v>#N/A</v>
      </c>
      <c r="L8004" s="16">
        <f>base!X8004</f>
        <v>0</v>
      </c>
      <c r="M8004" s="11" t="e">
        <f t="shared" si="1254"/>
        <v>#DIV/0!</v>
      </c>
      <c r="N8004" s="11" t="e">
        <f t="shared" si="1255"/>
        <v>#N/A</v>
      </c>
      <c r="O8004" s="11" t="e">
        <f t="shared" si="1256"/>
        <v>#N/A</v>
      </c>
      <c r="P8004" s="12" t="e">
        <f t="shared" si="1257"/>
        <v>#N/A</v>
      </c>
      <c r="Q8004" s="17" t="e">
        <f t="shared" si="1259"/>
        <v>#N/A</v>
      </c>
    </row>
    <row r="8005" spans="1:17" x14ac:dyDescent="0.3">
      <c r="A8005" s="34">
        <f>base!J8005</f>
        <v>0</v>
      </c>
      <c r="B8005" s="34">
        <f>base!V8005</f>
        <v>0</v>
      </c>
      <c r="C8005" s="40" t="s">
        <v>11</v>
      </c>
      <c r="D8005" s="36">
        <f>base!H8005</f>
        <v>0</v>
      </c>
      <c r="E8005" s="44"/>
      <c r="F8005" s="16">
        <f>base!W8005</f>
        <v>0</v>
      </c>
      <c r="G8005" s="11" t="e">
        <f t="shared" si="1250"/>
        <v>#DIV/0!</v>
      </c>
      <c r="H8005" s="11" t="e">
        <f t="shared" si="1251"/>
        <v>#N/A</v>
      </c>
      <c r="I8005" s="11" t="e">
        <f t="shared" si="1252"/>
        <v>#N/A</v>
      </c>
      <c r="J8005" s="12" t="e">
        <f t="shared" si="1253"/>
        <v>#N/A</v>
      </c>
      <c r="K8005" s="17" t="e">
        <f t="shared" si="1258"/>
        <v>#N/A</v>
      </c>
      <c r="L8005" s="16">
        <f>base!X8005</f>
        <v>0</v>
      </c>
      <c r="M8005" s="11" t="e">
        <f t="shared" si="1254"/>
        <v>#DIV/0!</v>
      </c>
      <c r="N8005" s="11" t="e">
        <f t="shared" si="1255"/>
        <v>#N/A</v>
      </c>
      <c r="O8005" s="11" t="e">
        <f t="shared" si="1256"/>
        <v>#N/A</v>
      </c>
      <c r="P8005" s="12" t="e">
        <f t="shared" si="1257"/>
        <v>#N/A</v>
      </c>
      <c r="Q8005" s="17" t="e">
        <f t="shared" si="1259"/>
        <v>#N/A</v>
      </c>
    </row>
    <row r="8006" spans="1:17" x14ac:dyDescent="0.3">
      <c r="A8006" s="34">
        <f>base!J8006</f>
        <v>0</v>
      </c>
      <c r="B8006" s="34">
        <f>base!V8006</f>
        <v>0</v>
      </c>
      <c r="C8006" s="40" t="s">
        <v>11</v>
      </c>
      <c r="D8006" s="36">
        <f>base!H8006</f>
        <v>0</v>
      </c>
      <c r="E8006" s="44"/>
      <c r="F8006" s="16">
        <f>base!W8006</f>
        <v>0</v>
      </c>
      <c r="G8006" s="11" t="e">
        <f t="shared" si="1250"/>
        <v>#DIV/0!</v>
      </c>
      <c r="H8006" s="11" t="e">
        <f t="shared" si="1251"/>
        <v>#N/A</v>
      </c>
      <c r="I8006" s="11" t="e">
        <f t="shared" si="1252"/>
        <v>#N/A</v>
      </c>
      <c r="J8006" s="12" t="e">
        <f t="shared" si="1253"/>
        <v>#N/A</v>
      </c>
      <c r="K8006" s="17" t="e">
        <f t="shared" si="1258"/>
        <v>#N/A</v>
      </c>
      <c r="L8006" s="16">
        <f>base!X8006</f>
        <v>0</v>
      </c>
      <c r="M8006" s="11" t="e">
        <f t="shared" si="1254"/>
        <v>#DIV/0!</v>
      </c>
      <c r="N8006" s="11" t="e">
        <f t="shared" si="1255"/>
        <v>#N/A</v>
      </c>
      <c r="O8006" s="11" t="e">
        <f t="shared" si="1256"/>
        <v>#N/A</v>
      </c>
      <c r="P8006" s="12" t="e">
        <f t="shared" si="1257"/>
        <v>#N/A</v>
      </c>
      <c r="Q8006" s="17" t="e">
        <f t="shared" si="1259"/>
        <v>#N/A</v>
      </c>
    </row>
    <row r="8007" spans="1:17" x14ac:dyDescent="0.3">
      <c r="A8007" s="34">
        <f>base!J8007</f>
        <v>0</v>
      </c>
      <c r="B8007" s="34">
        <f>base!V8007</f>
        <v>0</v>
      </c>
      <c r="C8007" s="40" t="s">
        <v>11</v>
      </c>
      <c r="D8007" s="36">
        <f>base!H8007</f>
        <v>0</v>
      </c>
      <c r="E8007" s="44"/>
      <c r="F8007" s="16">
        <f>base!W8007</f>
        <v>0</v>
      </c>
      <c r="G8007" s="11" t="e">
        <f t="shared" si="1250"/>
        <v>#DIV/0!</v>
      </c>
      <c r="H8007" s="11" t="e">
        <f t="shared" si="1251"/>
        <v>#N/A</v>
      </c>
      <c r="I8007" s="11" t="e">
        <f t="shared" si="1252"/>
        <v>#N/A</v>
      </c>
      <c r="J8007" s="12" t="e">
        <f t="shared" si="1253"/>
        <v>#N/A</v>
      </c>
      <c r="K8007" s="17" t="e">
        <f t="shared" si="1258"/>
        <v>#N/A</v>
      </c>
      <c r="L8007" s="16">
        <f>base!X8007</f>
        <v>0</v>
      </c>
      <c r="M8007" s="11" t="e">
        <f t="shared" si="1254"/>
        <v>#DIV/0!</v>
      </c>
      <c r="N8007" s="11" t="e">
        <f t="shared" si="1255"/>
        <v>#N/A</v>
      </c>
      <c r="O8007" s="11" t="e">
        <f t="shared" si="1256"/>
        <v>#N/A</v>
      </c>
      <c r="P8007" s="12" t="e">
        <f t="shared" si="1257"/>
        <v>#N/A</v>
      </c>
      <c r="Q8007" s="17" t="e">
        <f t="shared" si="1259"/>
        <v>#N/A</v>
      </c>
    </row>
    <row r="8008" spans="1:17" x14ac:dyDescent="0.3">
      <c r="A8008" s="34">
        <f>base!J8008</f>
        <v>0</v>
      </c>
      <c r="B8008" s="34">
        <f>base!V8008</f>
        <v>0</v>
      </c>
      <c r="C8008" s="40" t="s">
        <v>11</v>
      </c>
      <c r="D8008" s="36">
        <f>base!H8008</f>
        <v>0</v>
      </c>
      <c r="E8008" s="44"/>
      <c r="F8008" s="16">
        <f>base!W8008</f>
        <v>0</v>
      </c>
      <c r="G8008" s="11" t="e">
        <f t="shared" si="1250"/>
        <v>#DIV/0!</v>
      </c>
      <c r="H8008" s="11" t="e">
        <f t="shared" si="1251"/>
        <v>#N/A</v>
      </c>
      <c r="I8008" s="11" t="e">
        <f t="shared" si="1252"/>
        <v>#N/A</v>
      </c>
      <c r="J8008" s="12" t="e">
        <f t="shared" si="1253"/>
        <v>#N/A</v>
      </c>
      <c r="K8008" s="17" t="e">
        <f t="shared" si="1258"/>
        <v>#N/A</v>
      </c>
      <c r="L8008" s="16">
        <f>base!X8008</f>
        <v>0</v>
      </c>
      <c r="M8008" s="11" t="e">
        <f t="shared" si="1254"/>
        <v>#DIV/0!</v>
      </c>
      <c r="N8008" s="11" t="e">
        <f t="shared" si="1255"/>
        <v>#N/A</v>
      </c>
      <c r="O8008" s="11" t="e">
        <f t="shared" si="1256"/>
        <v>#N/A</v>
      </c>
      <c r="P8008" s="12" t="e">
        <f t="shared" si="1257"/>
        <v>#N/A</v>
      </c>
      <c r="Q8008" s="17" t="e">
        <f t="shared" si="1259"/>
        <v>#N/A</v>
      </c>
    </row>
    <row r="8009" spans="1:17" x14ac:dyDescent="0.3">
      <c r="A8009" s="34">
        <f>base!J8009</f>
        <v>0</v>
      </c>
      <c r="B8009" s="34">
        <f>base!V8009</f>
        <v>0</v>
      </c>
      <c r="C8009" s="40" t="s">
        <v>11</v>
      </c>
      <c r="D8009" s="36">
        <f>base!H8009</f>
        <v>0</v>
      </c>
      <c r="E8009" s="44"/>
      <c r="F8009" s="16">
        <f>base!W8009</f>
        <v>0</v>
      </c>
      <c r="G8009" s="11" t="e">
        <f t="shared" si="1250"/>
        <v>#DIV/0!</v>
      </c>
      <c r="H8009" s="11" t="e">
        <f t="shared" si="1251"/>
        <v>#N/A</v>
      </c>
      <c r="I8009" s="11" t="e">
        <f t="shared" si="1252"/>
        <v>#N/A</v>
      </c>
      <c r="J8009" s="12" t="e">
        <f t="shared" si="1253"/>
        <v>#N/A</v>
      </c>
      <c r="K8009" s="17" t="e">
        <f t="shared" si="1258"/>
        <v>#N/A</v>
      </c>
      <c r="L8009" s="16">
        <f>base!X8009</f>
        <v>0</v>
      </c>
      <c r="M8009" s="11" t="e">
        <f t="shared" si="1254"/>
        <v>#DIV/0!</v>
      </c>
      <c r="N8009" s="11" t="e">
        <f t="shared" si="1255"/>
        <v>#N/A</v>
      </c>
      <c r="O8009" s="11" t="e">
        <f t="shared" si="1256"/>
        <v>#N/A</v>
      </c>
      <c r="P8009" s="12" t="e">
        <f t="shared" si="1257"/>
        <v>#N/A</v>
      </c>
      <c r="Q8009" s="17" t="e">
        <f t="shared" si="1259"/>
        <v>#N/A</v>
      </c>
    </row>
    <row r="8010" spans="1:17" x14ac:dyDescent="0.3">
      <c r="A8010" s="34">
        <f>base!J8010</f>
        <v>0</v>
      </c>
      <c r="B8010" s="34">
        <f>base!V8010</f>
        <v>0</v>
      </c>
      <c r="C8010" s="40" t="s">
        <v>11</v>
      </c>
      <c r="D8010" s="36">
        <f>base!H8010</f>
        <v>0</v>
      </c>
      <c r="E8010" s="44"/>
      <c r="F8010" s="16">
        <f>base!W8010</f>
        <v>0</v>
      </c>
      <c r="G8010" s="11" t="e">
        <f t="shared" si="1250"/>
        <v>#DIV/0!</v>
      </c>
      <c r="H8010" s="11" t="e">
        <f t="shared" si="1251"/>
        <v>#N/A</v>
      </c>
      <c r="I8010" s="11" t="e">
        <f t="shared" si="1252"/>
        <v>#N/A</v>
      </c>
      <c r="J8010" s="12" t="e">
        <f t="shared" si="1253"/>
        <v>#N/A</v>
      </c>
      <c r="K8010" s="17" t="e">
        <f t="shared" si="1258"/>
        <v>#N/A</v>
      </c>
      <c r="L8010" s="16">
        <f>base!X8010</f>
        <v>0</v>
      </c>
      <c r="M8010" s="11" t="e">
        <f t="shared" si="1254"/>
        <v>#DIV/0!</v>
      </c>
      <c r="N8010" s="11" t="e">
        <f t="shared" si="1255"/>
        <v>#N/A</v>
      </c>
      <c r="O8010" s="11" t="e">
        <f t="shared" si="1256"/>
        <v>#N/A</v>
      </c>
      <c r="P8010" s="12" t="e">
        <f t="shared" si="1257"/>
        <v>#N/A</v>
      </c>
      <c r="Q8010" s="17" t="e">
        <f t="shared" si="1259"/>
        <v>#N/A</v>
      </c>
    </row>
    <row r="8011" spans="1:17" x14ac:dyDescent="0.3">
      <c r="A8011" s="34">
        <f>base!J8011</f>
        <v>0</v>
      </c>
      <c r="B8011" s="34">
        <f>base!V8011</f>
        <v>0</v>
      </c>
      <c r="C8011" s="40" t="s">
        <v>11</v>
      </c>
      <c r="D8011" s="36">
        <f>base!H8011</f>
        <v>0</v>
      </c>
      <c r="E8011" s="44"/>
      <c r="F8011" s="16">
        <f>base!W8011</f>
        <v>0</v>
      </c>
      <c r="G8011" s="11" t="e">
        <f t="shared" si="1250"/>
        <v>#DIV/0!</v>
      </c>
      <c r="H8011" s="11" t="e">
        <f t="shared" si="1251"/>
        <v>#N/A</v>
      </c>
      <c r="I8011" s="11" t="e">
        <f t="shared" si="1252"/>
        <v>#N/A</v>
      </c>
      <c r="J8011" s="12" t="e">
        <f t="shared" si="1253"/>
        <v>#N/A</v>
      </c>
      <c r="K8011" s="17" t="e">
        <f t="shared" si="1258"/>
        <v>#N/A</v>
      </c>
      <c r="L8011" s="16">
        <f>base!X8011</f>
        <v>0</v>
      </c>
      <c r="M8011" s="11" t="e">
        <f t="shared" si="1254"/>
        <v>#DIV/0!</v>
      </c>
      <c r="N8011" s="11" t="e">
        <f t="shared" si="1255"/>
        <v>#N/A</v>
      </c>
      <c r="O8011" s="11" t="e">
        <f t="shared" si="1256"/>
        <v>#N/A</v>
      </c>
      <c r="P8011" s="12" t="e">
        <f t="shared" si="1257"/>
        <v>#N/A</v>
      </c>
      <c r="Q8011" s="17" t="e">
        <f t="shared" si="1259"/>
        <v>#N/A</v>
      </c>
    </row>
    <row r="8012" spans="1:17" x14ac:dyDescent="0.3">
      <c r="A8012" s="34">
        <f>base!J8012</f>
        <v>0</v>
      </c>
      <c r="B8012" s="34">
        <f>base!V8012</f>
        <v>0</v>
      </c>
      <c r="C8012" s="40" t="s">
        <v>11</v>
      </c>
      <c r="D8012" s="36">
        <f>base!H8012</f>
        <v>0</v>
      </c>
      <c r="E8012" s="44"/>
      <c r="F8012" s="16">
        <f>base!W8012</f>
        <v>0</v>
      </c>
      <c r="G8012" s="11" t="e">
        <f t="shared" si="1250"/>
        <v>#DIV/0!</v>
      </c>
      <c r="H8012" s="11" t="e">
        <f t="shared" si="1251"/>
        <v>#N/A</v>
      </c>
      <c r="I8012" s="11" t="e">
        <f t="shared" si="1252"/>
        <v>#N/A</v>
      </c>
      <c r="J8012" s="12" t="e">
        <f t="shared" si="1253"/>
        <v>#N/A</v>
      </c>
      <c r="K8012" s="17" t="e">
        <f t="shared" si="1258"/>
        <v>#N/A</v>
      </c>
      <c r="L8012" s="16">
        <f>base!X8012</f>
        <v>0</v>
      </c>
      <c r="M8012" s="11" t="e">
        <f t="shared" si="1254"/>
        <v>#DIV/0!</v>
      </c>
      <c r="N8012" s="11" t="e">
        <f t="shared" si="1255"/>
        <v>#N/A</v>
      </c>
      <c r="O8012" s="11" t="e">
        <f t="shared" si="1256"/>
        <v>#N/A</v>
      </c>
      <c r="P8012" s="12" t="e">
        <f t="shared" si="1257"/>
        <v>#N/A</v>
      </c>
      <c r="Q8012" s="17" t="e">
        <f t="shared" si="1259"/>
        <v>#N/A</v>
      </c>
    </row>
    <row r="8013" spans="1:17" x14ac:dyDescent="0.3">
      <c r="A8013" s="34">
        <f>base!J8013</f>
        <v>0</v>
      </c>
      <c r="B8013" s="34">
        <f>base!V8013</f>
        <v>0</v>
      </c>
      <c r="C8013" s="40" t="s">
        <v>11</v>
      </c>
      <c r="D8013" s="36">
        <f>base!H8013</f>
        <v>0</v>
      </c>
      <c r="E8013" s="44"/>
      <c r="F8013" s="16">
        <f>base!W8013</f>
        <v>0</v>
      </c>
      <c r="G8013" s="11" t="e">
        <f t="shared" si="1250"/>
        <v>#DIV/0!</v>
      </c>
      <c r="H8013" s="11" t="e">
        <f t="shared" si="1251"/>
        <v>#N/A</v>
      </c>
      <c r="I8013" s="11" t="e">
        <f t="shared" si="1252"/>
        <v>#N/A</v>
      </c>
      <c r="J8013" s="12" t="e">
        <f t="shared" si="1253"/>
        <v>#N/A</v>
      </c>
      <c r="K8013" s="17" t="e">
        <f t="shared" si="1258"/>
        <v>#N/A</v>
      </c>
      <c r="L8013" s="16">
        <f>base!X8013</f>
        <v>0</v>
      </c>
      <c r="M8013" s="11" t="e">
        <f t="shared" si="1254"/>
        <v>#DIV/0!</v>
      </c>
      <c r="N8013" s="11" t="e">
        <f t="shared" si="1255"/>
        <v>#N/A</v>
      </c>
      <c r="O8013" s="11" t="e">
        <f t="shared" si="1256"/>
        <v>#N/A</v>
      </c>
      <c r="P8013" s="12" t="e">
        <f t="shared" si="1257"/>
        <v>#N/A</v>
      </c>
      <c r="Q8013" s="17" t="e">
        <f t="shared" si="1259"/>
        <v>#N/A</v>
      </c>
    </row>
    <row r="8014" spans="1:17" x14ac:dyDescent="0.3">
      <c r="A8014" s="34">
        <f>base!J8014</f>
        <v>0</v>
      </c>
      <c r="B8014" s="34">
        <f>base!V8014</f>
        <v>0</v>
      </c>
      <c r="C8014" s="40" t="s">
        <v>11</v>
      </c>
      <c r="D8014" s="36">
        <f>base!H8014</f>
        <v>0</v>
      </c>
      <c r="E8014" s="44"/>
      <c r="F8014" s="16">
        <f>base!W8014</f>
        <v>0</v>
      </c>
      <c r="G8014" s="11" t="e">
        <f t="shared" si="1250"/>
        <v>#DIV/0!</v>
      </c>
      <c r="H8014" s="11" t="e">
        <f t="shared" si="1251"/>
        <v>#N/A</v>
      </c>
      <c r="I8014" s="11" t="e">
        <f t="shared" si="1252"/>
        <v>#N/A</v>
      </c>
      <c r="J8014" s="12" t="e">
        <f t="shared" si="1253"/>
        <v>#N/A</v>
      </c>
      <c r="K8014" s="17" t="e">
        <f t="shared" si="1258"/>
        <v>#N/A</v>
      </c>
      <c r="L8014" s="16">
        <f>base!X8014</f>
        <v>0</v>
      </c>
      <c r="M8014" s="11" t="e">
        <f t="shared" si="1254"/>
        <v>#DIV/0!</v>
      </c>
      <c r="N8014" s="11" t="e">
        <f t="shared" si="1255"/>
        <v>#N/A</v>
      </c>
      <c r="O8014" s="11" t="e">
        <f t="shared" si="1256"/>
        <v>#N/A</v>
      </c>
      <c r="P8014" s="12" t="e">
        <f t="shared" si="1257"/>
        <v>#N/A</v>
      </c>
      <c r="Q8014" s="17" t="e">
        <f t="shared" si="1259"/>
        <v>#N/A</v>
      </c>
    </row>
    <row r="8015" spans="1:17" x14ac:dyDescent="0.3">
      <c r="A8015" s="34">
        <f>base!J8015</f>
        <v>0</v>
      </c>
      <c r="B8015" s="34">
        <f>base!V8015</f>
        <v>0</v>
      </c>
      <c r="C8015" s="40" t="s">
        <v>11</v>
      </c>
      <c r="D8015" s="36">
        <f>base!H8015</f>
        <v>0</v>
      </c>
      <c r="E8015" s="44"/>
      <c r="F8015" s="16">
        <f>base!W8015</f>
        <v>0</v>
      </c>
      <c r="G8015" s="11" t="e">
        <f t="shared" si="1250"/>
        <v>#DIV/0!</v>
      </c>
      <c r="H8015" s="11" t="e">
        <f t="shared" si="1251"/>
        <v>#N/A</v>
      </c>
      <c r="I8015" s="11" t="e">
        <f t="shared" si="1252"/>
        <v>#N/A</v>
      </c>
      <c r="J8015" s="12" t="e">
        <f t="shared" si="1253"/>
        <v>#N/A</v>
      </c>
      <c r="K8015" s="17" t="e">
        <f t="shared" si="1258"/>
        <v>#N/A</v>
      </c>
      <c r="L8015" s="16">
        <f>base!X8015</f>
        <v>0</v>
      </c>
      <c r="M8015" s="11" t="e">
        <f t="shared" si="1254"/>
        <v>#DIV/0!</v>
      </c>
      <c r="N8015" s="11" t="e">
        <f t="shared" si="1255"/>
        <v>#N/A</v>
      </c>
      <c r="O8015" s="11" t="e">
        <f t="shared" si="1256"/>
        <v>#N/A</v>
      </c>
      <c r="P8015" s="12" t="e">
        <f t="shared" si="1257"/>
        <v>#N/A</v>
      </c>
      <c r="Q8015" s="17" t="e">
        <f t="shared" si="1259"/>
        <v>#N/A</v>
      </c>
    </row>
    <row r="8016" spans="1:17" x14ac:dyDescent="0.3">
      <c r="A8016" s="34">
        <f>base!J8016</f>
        <v>0</v>
      </c>
      <c r="B8016" s="34">
        <f>base!V8016</f>
        <v>0</v>
      </c>
      <c r="C8016" s="40" t="s">
        <v>11</v>
      </c>
      <c r="D8016" s="36">
        <f>base!H8016</f>
        <v>0</v>
      </c>
      <c r="E8016" s="44"/>
      <c r="F8016" s="16">
        <f>base!W8016</f>
        <v>0</v>
      </c>
      <c r="G8016" s="11" t="e">
        <f t="shared" si="1250"/>
        <v>#DIV/0!</v>
      </c>
      <c r="H8016" s="11" t="e">
        <f t="shared" si="1251"/>
        <v>#N/A</v>
      </c>
      <c r="I8016" s="11" t="e">
        <f t="shared" si="1252"/>
        <v>#N/A</v>
      </c>
      <c r="J8016" s="12" t="e">
        <f t="shared" si="1253"/>
        <v>#N/A</v>
      </c>
      <c r="K8016" s="17" t="e">
        <f t="shared" si="1258"/>
        <v>#N/A</v>
      </c>
      <c r="L8016" s="16">
        <f>base!X8016</f>
        <v>0</v>
      </c>
      <c r="M8016" s="11" t="e">
        <f t="shared" si="1254"/>
        <v>#DIV/0!</v>
      </c>
      <c r="N8016" s="11" t="e">
        <f t="shared" si="1255"/>
        <v>#N/A</v>
      </c>
      <c r="O8016" s="11" t="e">
        <f t="shared" si="1256"/>
        <v>#N/A</v>
      </c>
      <c r="P8016" s="12" t="e">
        <f t="shared" si="1257"/>
        <v>#N/A</v>
      </c>
      <c r="Q8016" s="17" t="e">
        <f t="shared" si="1259"/>
        <v>#N/A</v>
      </c>
    </row>
    <row r="8017" spans="1:17" x14ac:dyDescent="0.3">
      <c r="A8017" s="34">
        <f>base!J8017</f>
        <v>0</v>
      </c>
      <c r="B8017" s="34">
        <f>base!V8017</f>
        <v>0</v>
      </c>
      <c r="C8017" s="40" t="s">
        <v>11</v>
      </c>
      <c r="D8017" s="36">
        <f>base!H8017</f>
        <v>0</v>
      </c>
      <c r="E8017" s="44"/>
      <c r="F8017" s="16">
        <f>base!W8017</f>
        <v>0</v>
      </c>
      <c r="G8017" s="11" t="e">
        <f t="shared" si="1250"/>
        <v>#DIV/0!</v>
      </c>
      <c r="H8017" s="11" t="e">
        <f t="shared" si="1251"/>
        <v>#N/A</v>
      </c>
      <c r="I8017" s="11" t="e">
        <f t="shared" si="1252"/>
        <v>#N/A</v>
      </c>
      <c r="J8017" s="12" t="e">
        <f t="shared" si="1253"/>
        <v>#N/A</v>
      </c>
      <c r="K8017" s="17" t="e">
        <f t="shared" si="1258"/>
        <v>#N/A</v>
      </c>
      <c r="L8017" s="16">
        <f>base!X8017</f>
        <v>0</v>
      </c>
      <c r="M8017" s="11" t="e">
        <f t="shared" si="1254"/>
        <v>#DIV/0!</v>
      </c>
      <c r="N8017" s="11" t="e">
        <f t="shared" si="1255"/>
        <v>#N/A</v>
      </c>
      <c r="O8017" s="11" t="e">
        <f t="shared" si="1256"/>
        <v>#N/A</v>
      </c>
      <c r="P8017" s="12" t="e">
        <f t="shared" si="1257"/>
        <v>#N/A</v>
      </c>
      <c r="Q8017" s="17" t="e">
        <f t="shared" si="1259"/>
        <v>#N/A</v>
      </c>
    </row>
    <row r="8018" spans="1:17" x14ac:dyDescent="0.3">
      <c r="A8018" s="34">
        <f>base!J8018</f>
        <v>0</v>
      </c>
      <c r="B8018" s="34">
        <f>base!V8018</f>
        <v>0</v>
      </c>
      <c r="C8018" s="40" t="s">
        <v>11</v>
      </c>
      <c r="D8018" s="36">
        <f>base!H8018</f>
        <v>0</v>
      </c>
      <c r="E8018" s="44"/>
      <c r="F8018" s="16">
        <f>base!W8018</f>
        <v>0</v>
      </c>
      <c r="G8018" s="11" t="e">
        <f t="shared" si="1250"/>
        <v>#DIV/0!</v>
      </c>
      <c r="H8018" s="11" t="e">
        <f t="shared" si="1251"/>
        <v>#N/A</v>
      </c>
      <c r="I8018" s="11" t="e">
        <f t="shared" si="1252"/>
        <v>#N/A</v>
      </c>
      <c r="J8018" s="12" t="e">
        <f t="shared" si="1253"/>
        <v>#N/A</v>
      </c>
      <c r="K8018" s="17" t="e">
        <f t="shared" si="1258"/>
        <v>#N/A</v>
      </c>
      <c r="L8018" s="16">
        <f>base!X8018</f>
        <v>0</v>
      </c>
      <c r="M8018" s="11" t="e">
        <f t="shared" si="1254"/>
        <v>#DIV/0!</v>
      </c>
      <c r="N8018" s="11" t="e">
        <f t="shared" si="1255"/>
        <v>#N/A</v>
      </c>
      <c r="O8018" s="11" t="e">
        <f t="shared" si="1256"/>
        <v>#N/A</v>
      </c>
      <c r="P8018" s="12" t="e">
        <f t="shared" si="1257"/>
        <v>#N/A</v>
      </c>
      <c r="Q8018" s="17" t="e">
        <f t="shared" si="1259"/>
        <v>#N/A</v>
      </c>
    </row>
    <row r="8019" spans="1:17" x14ac:dyDescent="0.3">
      <c r="A8019" s="34">
        <f>base!J8019</f>
        <v>0</v>
      </c>
      <c r="B8019" s="34">
        <f>base!V8019</f>
        <v>0</v>
      </c>
      <c r="C8019" s="40" t="s">
        <v>11</v>
      </c>
      <c r="D8019" s="36">
        <f>base!H8019</f>
        <v>0</v>
      </c>
      <c r="E8019" s="44"/>
      <c r="F8019" s="16">
        <f>base!W8019</f>
        <v>0</v>
      </c>
      <c r="G8019" s="11" t="e">
        <f t="shared" si="1250"/>
        <v>#DIV/0!</v>
      </c>
      <c r="H8019" s="11" t="e">
        <f t="shared" si="1251"/>
        <v>#N/A</v>
      </c>
      <c r="I8019" s="11" t="e">
        <f t="shared" si="1252"/>
        <v>#N/A</v>
      </c>
      <c r="J8019" s="12" t="e">
        <f t="shared" si="1253"/>
        <v>#N/A</v>
      </c>
      <c r="K8019" s="17" t="e">
        <f t="shared" si="1258"/>
        <v>#N/A</v>
      </c>
      <c r="L8019" s="16">
        <f>base!X8019</f>
        <v>0</v>
      </c>
      <c r="M8019" s="11" t="e">
        <f t="shared" si="1254"/>
        <v>#DIV/0!</v>
      </c>
      <c r="N8019" s="11" t="e">
        <f t="shared" si="1255"/>
        <v>#N/A</v>
      </c>
      <c r="O8019" s="11" t="e">
        <f t="shared" si="1256"/>
        <v>#N/A</v>
      </c>
      <c r="P8019" s="12" t="e">
        <f t="shared" si="1257"/>
        <v>#N/A</v>
      </c>
      <c r="Q8019" s="17" t="e">
        <f t="shared" si="1259"/>
        <v>#N/A</v>
      </c>
    </row>
    <row r="8020" spans="1:17" x14ac:dyDescent="0.3">
      <c r="A8020" s="34">
        <f>base!J8020</f>
        <v>0</v>
      </c>
      <c r="B8020" s="34">
        <f>base!V8020</f>
        <v>0</v>
      </c>
      <c r="C8020" s="40" t="s">
        <v>11</v>
      </c>
      <c r="D8020" s="36">
        <f>base!H8020</f>
        <v>0</v>
      </c>
      <c r="E8020" s="44"/>
      <c r="F8020" s="16">
        <f>base!W8020</f>
        <v>0</v>
      </c>
      <c r="G8020" s="11" t="e">
        <f t="shared" si="1250"/>
        <v>#DIV/0!</v>
      </c>
      <c r="H8020" s="11" t="e">
        <f t="shared" si="1251"/>
        <v>#N/A</v>
      </c>
      <c r="I8020" s="11" t="e">
        <f t="shared" si="1252"/>
        <v>#N/A</v>
      </c>
      <c r="J8020" s="12" t="e">
        <f t="shared" si="1253"/>
        <v>#N/A</v>
      </c>
      <c r="K8020" s="17" t="e">
        <f t="shared" si="1258"/>
        <v>#N/A</v>
      </c>
      <c r="L8020" s="16">
        <f>base!X8020</f>
        <v>0</v>
      </c>
      <c r="M8020" s="11" t="e">
        <f t="shared" si="1254"/>
        <v>#DIV/0!</v>
      </c>
      <c r="N8020" s="11" t="e">
        <f t="shared" si="1255"/>
        <v>#N/A</v>
      </c>
      <c r="O8020" s="11" t="e">
        <f t="shared" si="1256"/>
        <v>#N/A</v>
      </c>
      <c r="P8020" s="12" t="e">
        <f t="shared" si="1257"/>
        <v>#N/A</v>
      </c>
      <c r="Q8020" s="17" t="e">
        <f t="shared" si="1259"/>
        <v>#N/A</v>
      </c>
    </row>
    <row r="8021" spans="1:17" x14ac:dyDescent="0.3">
      <c r="A8021" s="34">
        <f>base!J8021</f>
        <v>0</v>
      </c>
      <c r="B8021" s="34">
        <f>base!V8021</f>
        <v>0</v>
      </c>
      <c r="C8021" s="40" t="s">
        <v>11</v>
      </c>
      <c r="D8021" s="36">
        <f>base!H8021</f>
        <v>0</v>
      </c>
      <c r="E8021" s="44"/>
      <c r="F8021" s="16">
        <f>base!W8021</f>
        <v>0</v>
      </c>
      <c r="G8021" s="11" t="e">
        <f t="shared" si="1250"/>
        <v>#DIV/0!</v>
      </c>
      <c r="H8021" s="11" t="e">
        <f t="shared" si="1251"/>
        <v>#N/A</v>
      </c>
      <c r="I8021" s="11" t="e">
        <f t="shared" si="1252"/>
        <v>#N/A</v>
      </c>
      <c r="J8021" s="12" t="e">
        <f t="shared" si="1253"/>
        <v>#N/A</v>
      </c>
      <c r="K8021" s="17" t="e">
        <f t="shared" si="1258"/>
        <v>#N/A</v>
      </c>
      <c r="L8021" s="16">
        <f>base!X8021</f>
        <v>0</v>
      </c>
      <c r="M8021" s="11" t="e">
        <f t="shared" si="1254"/>
        <v>#DIV/0!</v>
      </c>
      <c r="N8021" s="11" t="e">
        <f t="shared" si="1255"/>
        <v>#N/A</v>
      </c>
      <c r="O8021" s="11" t="e">
        <f t="shared" si="1256"/>
        <v>#N/A</v>
      </c>
      <c r="P8021" s="12" t="e">
        <f t="shared" si="1257"/>
        <v>#N/A</v>
      </c>
      <c r="Q8021" s="17" t="e">
        <f t="shared" si="1259"/>
        <v>#N/A</v>
      </c>
    </row>
    <row r="8022" spans="1:17" x14ac:dyDescent="0.3">
      <c r="A8022" s="34">
        <f>base!J8022</f>
        <v>0</v>
      </c>
      <c r="B8022" s="34">
        <f>base!V8022</f>
        <v>0</v>
      </c>
      <c r="C8022" s="40" t="s">
        <v>11</v>
      </c>
      <c r="D8022" s="36">
        <f>base!H8022</f>
        <v>0</v>
      </c>
      <c r="E8022" s="44"/>
      <c r="F8022" s="16">
        <f>base!W8022</f>
        <v>0</v>
      </c>
      <c r="G8022" s="11" t="e">
        <f t="shared" si="1250"/>
        <v>#DIV/0!</v>
      </c>
      <c r="H8022" s="11" t="e">
        <f t="shared" si="1251"/>
        <v>#N/A</v>
      </c>
      <c r="I8022" s="11" t="e">
        <f t="shared" si="1252"/>
        <v>#N/A</v>
      </c>
      <c r="J8022" s="12" t="e">
        <f t="shared" si="1253"/>
        <v>#N/A</v>
      </c>
      <c r="K8022" s="17" t="e">
        <f t="shared" si="1258"/>
        <v>#N/A</v>
      </c>
      <c r="L8022" s="16">
        <f>base!X8022</f>
        <v>0</v>
      </c>
      <c r="M8022" s="11" t="e">
        <f t="shared" si="1254"/>
        <v>#DIV/0!</v>
      </c>
      <c r="N8022" s="11" t="e">
        <f t="shared" si="1255"/>
        <v>#N/A</v>
      </c>
      <c r="O8022" s="11" t="e">
        <f t="shared" si="1256"/>
        <v>#N/A</v>
      </c>
      <c r="P8022" s="12" t="e">
        <f t="shared" si="1257"/>
        <v>#N/A</v>
      </c>
      <c r="Q8022" s="17" t="e">
        <f t="shared" si="1259"/>
        <v>#N/A</v>
      </c>
    </row>
    <row r="8023" spans="1:17" x14ac:dyDescent="0.3">
      <c r="A8023" s="34">
        <f>base!J8023</f>
        <v>0</v>
      </c>
      <c r="B8023" s="34">
        <f>base!V8023</f>
        <v>0</v>
      </c>
      <c r="C8023" s="40" t="s">
        <v>11</v>
      </c>
      <c r="D8023" s="36">
        <f>base!H8023</f>
        <v>0</v>
      </c>
      <c r="E8023" s="44"/>
      <c r="F8023" s="16">
        <f>base!W8023</f>
        <v>0</v>
      </c>
      <c r="G8023" s="11" t="e">
        <f t="shared" si="1250"/>
        <v>#DIV/0!</v>
      </c>
      <c r="H8023" s="11" t="e">
        <f t="shared" si="1251"/>
        <v>#N/A</v>
      </c>
      <c r="I8023" s="11" t="e">
        <f t="shared" si="1252"/>
        <v>#N/A</v>
      </c>
      <c r="J8023" s="12" t="e">
        <f t="shared" si="1253"/>
        <v>#N/A</v>
      </c>
      <c r="K8023" s="17" t="e">
        <f t="shared" si="1258"/>
        <v>#N/A</v>
      </c>
      <c r="L8023" s="16">
        <f>base!X8023</f>
        <v>0</v>
      </c>
      <c r="M8023" s="11" t="e">
        <f t="shared" si="1254"/>
        <v>#DIV/0!</v>
      </c>
      <c r="N8023" s="11" t="e">
        <f t="shared" si="1255"/>
        <v>#N/A</v>
      </c>
      <c r="O8023" s="11" t="e">
        <f t="shared" si="1256"/>
        <v>#N/A</v>
      </c>
      <c r="P8023" s="12" t="e">
        <f t="shared" si="1257"/>
        <v>#N/A</v>
      </c>
      <c r="Q8023" s="17" t="e">
        <f t="shared" si="1259"/>
        <v>#N/A</v>
      </c>
    </row>
    <row r="8024" spans="1:17" x14ac:dyDescent="0.3">
      <c r="A8024" s="34">
        <f>base!J8024</f>
        <v>0</v>
      </c>
      <c r="B8024" s="34">
        <f>base!V8024</f>
        <v>0</v>
      </c>
      <c r="C8024" s="40" t="s">
        <v>11</v>
      </c>
      <c r="D8024" s="36">
        <f>base!H8024</f>
        <v>0</v>
      </c>
      <c r="E8024" s="44"/>
      <c r="F8024" s="16">
        <f>base!W8024</f>
        <v>0</v>
      </c>
      <c r="G8024" s="11" t="e">
        <f t="shared" si="1250"/>
        <v>#DIV/0!</v>
      </c>
      <c r="H8024" s="11" t="e">
        <f t="shared" si="1251"/>
        <v>#N/A</v>
      </c>
      <c r="I8024" s="11" t="e">
        <f t="shared" si="1252"/>
        <v>#N/A</v>
      </c>
      <c r="J8024" s="12" t="e">
        <f t="shared" si="1253"/>
        <v>#N/A</v>
      </c>
      <c r="K8024" s="17" t="e">
        <f t="shared" si="1258"/>
        <v>#N/A</v>
      </c>
      <c r="L8024" s="16">
        <f>base!X8024</f>
        <v>0</v>
      </c>
      <c r="M8024" s="11" t="e">
        <f t="shared" si="1254"/>
        <v>#DIV/0!</v>
      </c>
      <c r="N8024" s="11" t="e">
        <f t="shared" si="1255"/>
        <v>#N/A</v>
      </c>
      <c r="O8024" s="11" t="e">
        <f t="shared" si="1256"/>
        <v>#N/A</v>
      </c>
      <c r="P8024" s="12" t="e">
        <f t="shared" si="1257"/>
        <v>#N/A</v>
      </c>
      <c r="Q8024" s="17" t="e">
        <f t="shared" si="1259"/>
        <v>#N/A</v>
      </c>
    </row>
    <row r="8025" spans="1:17" x14ac:dyDescent="0.3">
      <c r="A8025" s="34">
        <f>base!J8025</f>
        <v>0</v>
      </c>
      <c r="B8025" s="34">
        <f>base!V8025</f>
        <v>0</v>
      </c>
      <c r="C8025" s="40" t="s">
        <v>11</v>
      </c>
      <c r="D8025" s="36">
        <f>base!H8025</f>
        <v>0</v>
      </c>
      <c r="E8025" s="44"/>
      <c r="F8025" s="16">
        <f>base!W8025</f>
        <v>0</v>
      </c>
      <c r="G8025" s="11" t="e">
        <f t="shared" si="1250"/>
        <v>#DIV/0!</v>
      </c>
      <c r="H8025" s="11" t="e">
        <f t="shared" si="1251"/>
        <v>#N/A</v>
      </c>
      <c r="I8025" s="11" t="e">
        <f t="shared" si="1252"/>
        <v>#N/A</v>
      </c>
      <c r="J8025" s="12" t="e">
        <f t="shared" si="1253"/>
        <v>#N/A</v>
      </c>
      <c r="K8025" s="17" t="e">
        <f t="shared" si="1258"/>
        <v>#N/A</v>
      </c>
      <c r="L8025" s="16">
        <f>base!X8025</f>
        <v>0</v>
      </c>
      <c r="M8025" s="11" t="e">
        <f t="shared" si="1254"/>
        <v>#DIV/0!</v>
      </c>
      <c r="N8025" s="11" t="e">
        <f t="shared" si="1255"/>
        <v>#N/A</v>
      </c>
      <c r="O8025" s="11" t="e">
        <f t="shared" si="1256"/>
        <v>#N/A</v>
      </c>
      <c r="P8025" s="12" t="e">
        <f t="shared" si="1257"/>
        <v>#N/A</v>
      </c>
      <c r="Q8025" s="17" t="e">
        <f t="shared" si="1259"/>
        <v>#N/A</v>
      </c>
    </row>
    <row r="8026" spans="1:17" x14ac:dyDescent="0.3">
      <c r="A8026" s="34">
        <f>base!J8026</f>
        <v>0</v>
      </c>
      <c r="B8026" s="34">
        <f>base!V8026</f>
        <v>0</v>
      </c>
      <c r="C8026" s="40" t="s">
        <v>11</v>
      </c>
      <c r="D8026" s="36">
        <f>base!H8026</f>
        <v>0</v>
      </c>
      <c r="E8026" s="44"/>
      <c r="F8026" s="16">
        <f>base!W8026</f>
        <v>0</v>
      </c>
      <c r="G8026" s="11" t="e">
        <f t="shared" si="1250"/>
        <v>#DIV/0!</v>
      </c>
      <c r="H8026" s="11" t="e">
        <f t="shared" si="1251"/>
        <v>#N/A</v>
      </c>
      <c r="I8026" s="11" t="e">
        <f t="shared" si="1252"/>
        <v>#N/A</v>
      </c>
      <c r="J8026" s="12" t="e">
        <f t="shared" si="1253"/>
        <v>#N/A</v>
      </c>
      <c r="K8026" s="17" t="e">
        <f t="shared" si="1258"/>
        <v>#N/A</v>
      </c>
      <c r="L8026" s="16">
        <f>base!X8026</f>
        <v>0</v>
      </c>
      <c r="M8026" s="11" t="e">
        <f t="shared" si="1254"/>
        <v>#DIV/0!</v>
      </c>
      <c r="N8026" s="11" t="e">
        <f t="shared" si="1255"/>
        <v>#N/A</v>
      </c>
      <c r="O8026" s="11" t="e">
        <f t="shared" si="1256"/>
        <v>#N/A</v>
      </c>
      <c r="P8026" s="12" t="e">
        <f t="shared" si="1257"/>
        <v>#N/A</v>
      </c>
      <c r="Q8026" s="17" t="e">
        <f t="shared" si="1259"/>
        <v>#N/A</v>
      </c>
    </row>
    <row r="8027" spans="1:17" x14ac:dyDescent="0.3">
      <c r="A8027" s="34">
        <f>base!J8027</f>
        <v>0</v>
      </c>
      <c r="B8027" s="34">
        <f>base!V8027</f>
        <v>0</v>
      </c>
      <c r="C8027" s="40" t="s">
        <v>11</v>
      </c>
      <c r="D8027" s="36">
        <f>base!H8027</f>
        <v>0</v>
      </c>
      <c r="E8027" s="44"/>
      <c r="F8027" s="16">
        <f>base!W8027</f>
        <v>0</v>
      </c>
      <c r="G8027" s="11" t="e">
        <f t="shared" si="1250"/>
        <v>#DIV/0!</v>
      </c>
      <c r="H8027" s="11" t="e">
        <f t="shared" si="1251"/>
        <v>#N/A</v>
      </c>
      <c r="I8027" s="11" t="e">
        <f t="shared" si="1252"/>
        <v>#N/A</v>
      </c>
      <c r="J8027" s="12" t="e">
        <f t="shared" si="1253"/>
        <v>#N/A</v>
      </c>
      <c r="K8027" s="17" t="e">
        <f t="shared" si="1258"/>
        <v>#N/A</v>
      </c>
      <c r="L8027" s="16">
        <f>base!X8027</f>
        <v>0</v>
      </c>
      <c r="M8027" s="11" t="e">
        <f t="shared" si="1254"/>
        <v>#DIV/0!</v>
      </c>
      <c r="N8027" s="11" t="e">
        <f t="shared" si="1255"/>
        <v>#N/A</v>
      </c>
      <c r="O8027" s="11" t="e">
        <f t="shared" si="1256"/>
        <v>#N/A</v>
      </c>
      <c r="P8027" s="12" t="e">
        <f t="shared" si="1257"/>
        <v>#N/A</v>
      </c>
      <c r="Q8027" s="17" t="e">
        <f t="shared" si="1259"/>
        <v>#N/A</v>
      </c>
    </row>
    <row r="8028" spans="1:17" x14ac:dyDescent="0.3">
      <c r="A8028" s="34">
        <f>base!J8028</f>
        <v>0</v>
      </c>
      <c r="B8028" s="34">
        <f>base!V8028</f>
        <v>0</v>
      </c>
      <c r="C8028" s="40" t="s">
        <v>11</v>
      </c>
      <c r="D8028" s="36">
        <f>base!H8028</f>
        <v>0</v>
      </c>
      <c r="E8028" s="44"/>
      <c r="F8028" s="16">
        <f>base!W8028</f>
        <v>0</v>
      </c>
      <c r="G8028" s="11" t="e">
        <f t="shared" si="1250"/>
        <v>#DIV/0!</v>
      </c>
      <c r="H8028" s="11" t="e">
        <f t="shared" si="1251"/>
        <v>#N/A</v>
      </c>
      <c r="I8028" s="11" t="e">
        <f t="shared" si="1252"/>
        <v>#N/A</v>
      </c>
      <c r="J8028" s="12" t="e">
        <f t="shared" si="1253"/>
        <v>#N/A</v>
      </c>
      <c r="K8028" s="17" t="e">
        <f t="shared" si="1258"/>
        <v>#N/A</v>
      </c>
      <c r="L8028" s="16">
        <f>base!X8028</f>
        <v>0</v>
      </c>
      <c r="M8028" s="11" t="e">
        <f t="shared" si="1254"/>
        <v>#DIV/0!</v>
      </c>
      <c r="N8028" s="11" t="e">
        <f t="shared" si="1255"/>
        <v>#N/A</v>
      </c>
      <c r="O8028" s="11" t="e">
        <f t="shared" si="1256"/>
        <v>#N/A</v>
      </c>
      <c r="P8028" s="12" t="e">
        <f t="shared" si="1257"/>
        <v>#N/A</v>
      </c>
      <c r="Q8028" s="17" t="e">
        <f t="shared" si="1259"/>
        <v>#N/A</v>
      </c>
    </row>
    <row r="8029" spans="1:17" x14ac:dyDescent="0.3">
      <c r="A8029" s="34">
        <f>base!J8029</f>
        <v>0</v>
      </c>
      <c r="B8029" s="34">
        <f>base!V8029</f>
        <v>0</v>
      </c>
      <c r="C8029" s="40" t="s">
        <v>11</v>
      </c>
      <c r="D8029" s="36">
        <f>base!H8029</f>
        <v>0</v>
      </c>
      <c r="E8029" s="44"/>
      <c r="F8029" s="16">
        <f>base!W8029</f>
        <v>0</v>
      </c>
      <c r="G8029" s="11" t="e">
        <f t="shared" si="1250"/>
        <v>#DIV/0!</v>
      </c>
      <c r="H8029" s="11" t="e">
        <f t="shared" si="1251"/>
        <v>#N/A</v>
      </c>
      <c r="I8029" s="11" t="e">
        <f t="shared" si="1252"/>
        <v>#N/A</v>
      </c>
      <c r="J8029" s="12" t="e">
        <f t="shared" si="1253"/>
        <v>#N/A</v>
      </c>
      <c r="K8029" s="17" t="e">
        <f t="shared" si="1258"/>
        <v>#N/A</v>
      </c>
      <c r="L8029" s="16">
        <f>base!X8029</f>
        <v>0</v>
      </c>
      <c r="M8029" s="11" t="e">
        <f t="shared" si="1254"/>
        <v>#DIV/0!</v>
      </c>
      <c r="N8029" s="11" t="e">
        <f t="shared" si="1255"/>
        <v>#N/A</v>
      </c>
      <c r="O8029" s="11" t="e">
        <f t="shared" si="1256"/>
        <v>#N/A</v>
      </c>
      <c r="P8029" s="12" t="e">
        <f t="shared" si="1257"/>
        <v>#N/A</v>
      </c>
      <c r="Q8029" s="17" t="e">
        <f t="shared" si="1259"/>
        <v>#N/A</v>
      </c>
    </row>
    <row r="8030" spans="1:17" x14ac:dyDescent="0.3">
      <c r="A8030" s="34">
        <f>base!J8030</f>
        <v>0</v>
      </c>
      <c r="B8030" s="34">
        <f>base!V8030</f>
        <v>0</v>
      </c>
      <c r="C8030" s="40" t="s">
        <v>11</v>
      </c>
      <c r="D8030" s="36">
        <f>base!H8030</f>
        <v>0</v>
      </c>
      <c r="E8030" s="44"/>
      <c r="F8030" s="16">
        <f>base!W8030</f>
        <v>0</v>
      </c>
      <c r="G8030" s="11" t="e">
        <f t="shared" si="1250"/>
        <v>#DIV/0!</v>
      </c>
      <c r="H8030" s="11" t="e">
        <f t="shared" si="1251"/>
        <v>#N/A</v>
      </c>
      <c r="I8030" s="11" t="e">
        <f t="shared" si="1252"/>
        <v>#N/A</v>
      </c>
      <c r="J8030" s="12" t="e">
        <f t="shared" si="1253"/>
        <v>#N/A</v>
      </c>
      <c r="K8030" s="17" t="e">
        <f t="shared" si="1258"/>
        <v>#N/A</v>
      </c>
      <c r="L8030" s="16">
        <f>base!X8030</f>
        <v>0</v>
      </c>
      <c r="M8030" s="11" t="e">
        <f t="shared" si="1254"/>
        <v>#DIV/0!</v>
      </c>
      <c r="N8030" s="11" t="e">
        <f t="shared" si="1255"/>
        <v>#N/A</v>
      </c>
      <c r="O8030" s="11" t="e">
        <f t="shared" si="1256"/>
        <v>#N/A</v>
      </c>
      <c r="P8030" s="12" t="e">
        <f t="shared" si="1257"/>
        <v>#N/A</v>
      </c>
      <c r="Q8030" s="17" t="e">
        <f t="shared" si="1259"/>
        <v>#N/A</v>
      </c>
    </row>
    <row r="8031" spans="1:17" x14ac:dyDescent="0.3">
      <c r="A8031" s="34">
        <f>base!J8031</f>
        <v>0</v>
      </c>
      <c r="B8031" s="34">
        <f>base!V8031</f>
        <v>0</v>
      </c>
      <c r="C8031" s="40" t="s">
        <v>11</v>
      </c>
      <c r="D8031" s="36">
        <f>base!H8031</f>
        <v>0</v>
      </c>
      <c r="E8031" s="44"/>
      <c r="F8031" s="16">
        <f>base!W8031</f>
        <v>0</v>
      </c>
      <c r="G8031" s="11" t="e">
        <f t="shared" si="1250"/>
        <v>#DIV/0!</v>
      </c>
      <c r="H8031" s="11" t="e">
        <f t="shared" si="1251"/>
        <v>#N/A</v>
      </c>
      <c r="I8031" s="11" t="e">
        <f t="shared" si="1252"/>
        <v>#N/A</v>
      </c>
      <c r="J8031" s="12" t="e">
        <f t="shared" si="1253"/>
        <v>#N/A</v>
      </c>
      <c r="K8031" s="17" t="e">
        <f t="shared" si="1258"/>
        <v>#N/A</v>
      </c>
      <c r="L8031" s="16">
        <f>base!X8031</f>
        <v>0</v>
      </c>
      <c r="M8031" s="11" t="e">
        <f t="shared" si="1254"/>
        <v>#DIV/0!</v>
      </c>
      <c r="N8031" s="11" t="e">
        <f t="shared" si="1255"/>
        <v>#N/A</v>
      </c>
      <c r="O8031" s="11" t="e">
        <f t="shared" si="1256"/>
        <v>#N/A</v>
      </c>
      <c r="P8031" s="12" t="e">
        <f t="shared" si="1257"/>
        <v>#N/A</v>
      </c>
      <c r="Q8031" s="17" t="e">
        <f t="shared" si="1259"/>
        <v>#N/A</v>
      </c>
    </row>
    <row r="8032" spans="1:17" x14ac:dyDescent="0.3">
      <c r="A8032" s="34">
        <f>base!J8032</f>
        <v>0</v>
      </c>
      <c r="B8032" s="34">
        <f>base!V8032</f>
        <v>0</v>
      </c>
      <c r="C8032" s="40" t="s">
        <v>11</v>
      </c>
      <c r="D8032" s="36">
        <f>base!H8032</f>
        <v>0</v>
      </c>
      <c r="E8032" s="44"/>
      <c r="F8032" s="16">
        <f>base!W8032</f>
        <v>0</v>
      </c>
      <c r="G8032" s="11" t="e">
        <f t="shared" si="1250"/>
        <v>#DIV/0!</v>
      </c>
      <c r="H8032" s="11" t="e">
        <f t="shared" si="1251"/>
        <v>#N/A</v>
      </c>
      <c r="I8032" s="11" t="e">
        <f t="shared" si="1252"/>
        <v>#N/A</v>
      </c>
      <c r="J8032" s="12" t="e">
        <f t="shared" si="1253"/>
        <v>#N/A</v>
      </c>
      <c r="K8032" s="17" t="e">
        <f t="shared" si="1258"/>
        <v>#N/A</v>
      </c>
      <c r="L8032" s="16">
        <f>base!X8032</f>
        <v>0</v>
      </c>
      <c r="M8032" s="11" t="e">
        <f t="shared" si="1254"/>
        <v>#DIV/0!</v>
      </c>
      <c r="N8032" s="11" t="e">
        <f t="shared" si="1255"/>
        <v>#N/A</v>
      </c>
      <c r="O8032" s="11" t="e">
        <f t="shared" si="1256"/>
        <v>#N/A</v>
      </c>
      <c r="P8032" s="12" t="e">
        <f t="shared" si="1257"/>
        <v>#N/A</v>
      </c>
      <c r="Q8032" s="17" t="e">
        <f t="shared" si="1259"/>
        <v>#N/A</v>
      </c>
    </row>
    <row r="8033" spans="1:17" x14ac:dyDescent="0.3">
      <c r="A8033" s="34">
        <f>base!J8033</f>
        <v>0</v>
      </c>
      <c r="B8033" s="34">
        <f>base!V8033</f>
        <v>0</v>
      </c>
      <c r="C8033" s="40" t="s">
        <v>11</v>
      </c>
      <c r="D8033" s="36">
        <f>base!H8033</f>
        <v>0</v>
      </c>
      <c r="E8033" s="44"/>
      <c r="F8033" s="16">
        <f>base!W8033</f>
        <v>0</v>
      </c>
      <c r="G8033" s="11" t="e">
        <f t="shared" si="1250"/>
        <v>#DIV/0!</v>
      </c>
      <c r="H8033" s="11" t="e">
        <f t="shared" si="1251"/>
        <v>#N/A</v>
      </c>
      <c r="I8033" s="11" t="e">
        <f t="shared" si="1252"/>
        <v>#N/A</v>
      </c>
      <c r="J8033" s="12" t="e">
        <f t="shared" si="1253"/>
        <v>#N/A</v>
      </c>
      <c r="K8033" s="17" t="e">
        <f t="shared" si="1258"/>
        <v>#N/A</v>
      </c>
      <c r="L8033" s="16">
        <f>base!X8033</f>
        <v>0</v>
      </c>
      <c r="M8033" s="11" t="e">
        <f t="shared" si="1254"/>
        <v>#DIV/0!</v>
      </c>
      <c r="N8033" s="11" t="e">
        <f t="shared" si="1255"/>
        <v>#N/A</v>
      </c>
      <c r="O8033" s="11" t="e">
        <f t="shared" si="1256"/>
        <v>#N/A</v>
      </c>
      <c r="P8033" s="12" t="e">
        <f t="shared" si="1257"/>
        <v>#N/A</v>
      </c>
      <c r="Q8033" s="17" t="e">
        <f t="shared" si="1259"/>
        <v>#N/A</v>
      </c>
    </row>
    <row r="8034" spans="1:17" x14ac:dyDescent="0.3">
      <c r="A8034" s="34">
        <f>base!J8034</f>
        <v>0</v>
      </c>
      <c r="B8034" s="34">
        <f>base!V8034</f>
        <v>0</v>
      </c>
      <c r="C8034" s="40" t="s">
        <v>11</v>
      </c>
      <c r="D8034" s="36">
        <f>base!H8034</f>
        <v>0</v>
      </c>
      <c r="E8034" s="44"/>
      <c r="F8034" s="16">
        <f>base!W8034</f>
        <v>0</v>
      </c>
      <c r="G8034" s="11" t="e">
        <f t="shared" si="1250"/>
        <v>#DIV/0!</v>
      </c>
      <c r="H8034" s="11" t="e">
        <f t="shared" si="1251"/>
        <v>#N/A</v>
      </c>
      <c r="I8034" s="11" t="e">
        <f t="shared" si="1252"/>
        <v>#N/A</v>
      </c>
      <c r="J8034" s="12" t="e">
        <f t="shared" si="1253"/>
        <v>#N/A</v>
      </c>
      <c r="K8034" s="17" t="e">
        <f t="shared" si="1258"/>
        <v>#N/A</v>
      </c>
      <c r="L8034" s="16">
        <f>base!X8034</f>
        <v>0</v>
      </c>
      <c r="M8034" s="11" t="e">
        <f t="shared" si="1254"/>
        <v>#DIV/0!</v>
      </c>
      <c r="N8034" s="11" t="e">
        <f t="shared" si="1255"/>
        <v>#N/A</v>
      </c>
      <c r="O8034" s="11" t="e">
        <f t="shared" si="1256"/>
        <v>#N/A</v>
      </c>
      <c r="P8034" s="12" t="e">
        <f t="shared" si="1257"/>
        <v>#N/A</v>
      </c>
      <c r="Q8034" s="17" t="e">
        <f t="shared" si="1259"/>
        <v>#N/A</v>
      </c>
    </row>
    <row r="8035" spans="1:17" x14ac:dyDescent="0.3">
      <c r="A8035" s="34">
        <f>base!J8035</f>
        <v>0</v>
      </c>
      <c r="B8035" s="34">
        <f>base!V8035</f>
        <v>0</v>
      </c>
      <c r="C8035" s="40" t="s">
        <v>11</v>
      </c>
      <c r="D8035" s="36">
        <f>base!H8035</f>
        <v>0</v>
      </c>
      <c r="E8035" s="44"/>
      <c r="F8035" s="16">
        <f>base!W8035</f>
        <v>0</v>
      </c>
      <c r="G8035" s="11" t="e">
        <f t="shared" si="1250"/>
        <v>#DIV/0!</v>
      </c>
      <c r="H8035" s="11" t="e">
        <f t="shared" si="1251"/>
        <v>#N/A</v>
      </c>
      <c r="I8035" s="11" t="e">
        <f t="shared" si="1252"/>
        <v>#N/A</v>
      </c>
      <c r="J8035" s="12" t="e">
        <f t="shared" si="1253"/>
        <v>#N/A</v>
      </c>
      <c r="K8035" s="17" t="e">
        <f t="shared" si="1258"/>
        <v>#N/A</v>
      </c>
      <c r="L8035" s="16">
        <f>base!X8035</f>
        <v>0</v>
      </c>
      <c r="M8035" s="11" t="e">
        <f t="shared" si="1254"/>
        <v>#DIV/0!</v>
      </c>
      <c r="N8035" s="11" t="e">
        <f t="shared" si="1255"/>
        <v>#N/A</v>
      </c>
      <c r="O8035" s="11" t="e">
        <f t="shared" si="1256"/>
        <v>#N/A</v>
      </c>
      <c r="P8035" s="12" t="e">
        <f t="shared" si="1257"/>
        <v>#N/A</v>
      </c>
      <c r="Q8035" s="17" t="e">
        <f t="shared" si="1259"/>
        <v>#N/A</v>
      </c>
    </row>
    <row r="8036" spans="1:17" x14ac:dyDescent="0.3">
      <c r="A8036" s="34">
        <f>base!J8036</f>
        <v>0</v>
      </c>
      <c r="B8036" s="34">
        <f>base!V8036</f>
        <v>0</v>
      </c>
      <c r="C8036" s="40" t="s">
        <v>11</v>
      </c>
      <c r="D8036" s="36">
        <f>base!H8036</f>
        <v>0</v>
      </c>
      <c r="E8036" s="44"/>
      <c r="F8036" s="16">
        <f>base!W8036</f>
        <v>0</v>
      </c>
      <c r="G8036" s="11" t="e">
        <f t="shared" si="1250"/>
        <v>#DIV/0!</v>
      </c>
      <c r="H8036" s="11" t="e">
        <f t="shared" si="1251"/>
        <v>#N/A</v>
      </c>
      <c r="I8036" s="11" t="e">
        <f t="shared" si="1252"/>
        <v>#N/A</v>
      </c>
      <c r="J8036" s="12" t="e">
        <f t="shared" si="1253"/>
        <v>#N/A</v>
      </c>
      <c r="K8036" s="17" t="e">
        <f t="shared" si="1258"/>
        <v>#N/A</v>
      </c>
      <c r="L8036" s="16">
        <f>base!X8036</f>
        <v>0</v>
      </c>
      <c r="M8036" s="11" t="e">
        <f t="shared" si="1254"/>
        <v>#DIV/0!</v>
      </c>
      <c r="N8036" s="11" t="e">
        <f t="shared" si="1255"/>
        <v>#N/A</v>
      </c>
      <c r="O8036" s="11" t="e">
        <f t="shared" si="1256"/>
        <v>#N/A</v>
      </c>
      <c r="P8036" s="12" t="e">
        <f t="shared" si="1257"/>
        <v>#N/A</v>
      </c>
      <c r="Q8036" s="17" t="e">
        <f t="shared" si="1259"/>
        <v>#N/A</v>
      </c>
    </row>
    <row r="8037" spans="1:17" x14ac:dyDescent="0.3">
      <c r="A8037" s="34">
        <f>base!J8037</f>
        <v>0</v>
      </c>
      <c r="B8037" s="34">
        <f>base!V8037</f>
        <v>0</v>
      </c>
      <c r="C8037" s="40" t="s">
        <v>11</v>
      </c>
      <c r="D8037" s="36">
        <f>base!H8037</f>
        <v>0</v>
      </c>
      <c r="E8037" s="44"/>
      <c r="F8037" s="16">
        <f>base!W8037</f>
        <v>0</v>
      </c>
      <c r="G8037" s="11" t="e">
        <f t="shared" si="1250"/>
        <v>#DIV/0!</v>
      </c>
      <c r="H8037" s="11" t="e">
        <f t="shared" si="1251"/>
        <v>#N/A</v>
      </c>
      <c r="I8037" s="11" t="e">
        <f t="shared" si="1252"/>
        <v>#N/A</v>
      </c>
      <c r="J8037" s="12" t="e">
        <f t="shared" si="1253"/>
        <v>#N/A</v>
      </c>
      <c r="K8037" s="17" t="e">
        <f t="shared" si="1258"/>
        <v>#N/A</v>
      </c>
      <c r="L8037" s="16">
        <f>base!X8037</f>
        <v>0</v>
      </c>
      <c r="M8037" s="11" t="e">
        <f t="shared" si="1254"/>
        <v>#DIV/0!</v>
      </c>
      <c r="N8037" s="11" t="e">
        <f t="shared" si="1255"/>
        <v>#N/A</v>
      </c>
      <c r="O8037" s="11" t="e">
        <f t="shared" si="1256"/>
        <v>#N/A</v>
      </c>
      <c r="P8037" s="12" t="e">
        <f t="shared" si="1257"/>
        <v>#N/A</v>
      </c>
      <c r="Q8037" s="17" t="e">
        <f t="shared" si="1259"/>
        <v>#N/A</v>
      </c>
    </row>
    <row r="8038" spans="1:17" x14ac:dyDescent="0.3">
      <c r="A8038" s="34">
        <f>base!J8038</f>
        <v>0</v>
      </c>
      <c r="B8038" s="34">
        <f>base!V8038</f>
        <v>0</v>
      </c>
      <c r="C8038" s="40" t="s">
        <v>11</v>
      </c>
      <c r="D8038" s="36">
        <f>base!H8038</f>
        <v>0</v>
      </c>
      <c r="E8038" s="44"/>
      <c r="F8038" s="16">
        <f>base!W8038</f>
        <v>0</v>
      </c>
      <c r="G8038" s="11" t="e">
        <f t="shared" si="1250"/>
        <v>#DIV/0!</v>
      </c>
      <c r="H8038" s="11" t="e">
        <f t="shared" si="1251"/>
        <v>#N/A</v>
      </c>
      <c r="I8038" s="11" t="e">
        <f t="shared" si="1252"/>
        <v>#N/A</v>
      </c>
      <c r="J8038" s="12" t="e">
        <f t="shared" si="1253"/>
        <v>#N/A</v>
      </c>
      <c r="K8038" s="17" t="e">
        <f t="shared" si="1258"/>
        <v>#N/A</v>
      </c>
      <c r="L8038" s="16">
        <f>base!X8038</f>
        <v>0</v>
      </c>
      <c r="M8038" s="11" t="e">
        <f t="shared" si="1254"/>
        <v>#DIV/0!</v>
      </c>
      <c r="N8038" s="11" t="e">
        <f t="shared" si="1255"/>
        <v>#N/A</v>
      </c>
      <c r="O8038" s="11" t="e">
        <f t="shared" si="1256"/>
        <v>#N/A</v>
      </c>
      <c r="P8038" s="12" t="e">
        <f t="shared" si="1257"/>
        <v>#N/A</v>
      </c>
      <c r="Q8038" s="17" t="e">
        <f t="shared" si="1259"/>
        <v>#N/A</v>
      </c>
    </row>
    <row r="8039" spans="1:17" x14ac:dyDescent="0.3">
      <c r="A8039" s="34">
        <f>base!J8039</f>
        <v>0</v>
      </c>
      <c r="B8039" s="34">
        <f>base!V8039</f>
        <v>0</v>
      </c>
      <c r="C8039" s="40" t="s">
        <v>11</v>
      </c>
      <c r="D8039" s="36">
        <f>base!H8039</f>
        <v>0</v>
      </c>
      <c r="E8039" s="44"/>
      <c r="F8039" s="16">
        <f>base!W8039</f>
        <v>0</v>
      </c>
      <c r="G8039" s="11" t="e">
        <f t="shared" si="1250"/>
        <v>#DIV/0!</v>
      </c>
      <c r="H8039" s="11" t="e">
        <f t="shared" si="1251"/>
        <v>#N/A</v>
      </c>
      <c r="I8039" s="11" t="e">
        <f t="shared" si="1252"/>
        <v>#N/A</v>
      </c>
      <c r="J8039" s="12" t="e">
        <f t="shared" si="1253"/>
        <v>#N/A</v>
      </c>
      <c r="K8039" s="17" t="e">
        <f t="shared" si="1258"/>
        <v>#N/A</v>
      </c>
      <c r="L8039" s="16">
        <f>base!X8039</f>
        <v>0</v>
      </c>
      <c r="M8039" s="11" t="e">
        <f t="shared" si="1254"/>
        <v>#DIV/0!</v>
      </c>
      <c r="N8039" s="11" t="e">
        <f t="shared" si="1255"/>
        <v>#N/A</v>
      </c>
      <c r="O8039" s="11" t="e">
        <f t="shared" si="1256"/>
        <v>#N/A</v>
      </c>
      <c r="P8039" s="12" t="e">
        <f t="shared" si="1257"/>
        <v>#N/A</v>
      </c>
      <c r="Q8039" s="17" t="e">
        <f t="shared" si="1259"/>
        <v>#N/A</v>
      </c>
    </row>
    <row r="8040" spans="1:17" x14ac:dyDescent="0.3">
      <c r="A8040" s="34">
        <f>base!J8040</f>
        <v>0</v>
      </c>
      <c r="B8040" s="34">
        <f>base!V8040</f>
        <v>0</v>
      </c>
      <c r="C8040" s="40" t="s">
        <v>11</v>
      </c>
      <c r="D8040" s="36">
        <f>base!H8040</f>
        <v>0</v>
      </c>
      <c r="E8040" s="44"/>
      <c r="F8040" s="16">
        <f>base!W8040</f>
        <v>0</v>
      </c>
      <c r="G8040" s="11" t="e">
        <f t="shared" si="1250"/>
        <v>#DIV/0!</v>
      </c>
      <c r="H8040" s="11" t="e">
        <f t="shared" si="1251"/>
        <v>#N/A</v>
      </c>
      <c r="I8040" s="11" t="e">
        <f t="shared" si="1252"/>
        <v>#N/A</v>
      </c>
      <c r="J8040" s="12" t="e">
        <f t="shared" si="1253"/>
        <v>#N/A</v>
      </c>
      <c r="K8040" s="17" t="e">
        <f t="shared" si="1258"/>
        <v>#N/A</v>
      </c>
      <c r="L8040" s="16">
        <f>base!X8040</f>
        <v>0</v>
      </c>
      <c r="M8040" s="11" t="e">
        <f t="shared" si="1254"/>
        <v>#DIV/0!</v>
      </c>
      <c r="N8040" s="11" t="e">
        <f t="shared" si="1255"/>
        <v>#N/A</v>
      </c>
      <c r="O8040" s="11" t="e">
        <f t="shared" si="1256"/>
        <v>#N/A</v>
      </c>
      <c r="P8040" s="12" t="e">
        <f t="shared" si="1257"/>
        <v>#N/A</v>
      </c>
      <c r="Q8040" s="17" t="e">
        <f t="shared" si="1259"/>
        <v>#N/A</v>
      </c>
    </row>
    <row r="8041" spans="1:17" x14ac:dyDescent="0.3">
      <c r="A8041" s="34">
        <f>base!J8041</f>
        <v>0</v>
      </c>
      <c r="B8041" s="34">
        <f>base!V8041</f>
        <v>0</v>
      </c>
      <c r="C8041" s="40" t="s">
        <v>11</v>
      </c>
      <c r="D8041" s="36">
        <f>base!H8041</f>
        <v>0</v>
      </c>
      <c r="E8041" s="44"/>
      <c r="F8041" s="16">
        <f>base!W8041</f>
        <v>0</v>
      </c>
      <c r="G8041" s="11" t="e">
        <f t="shared" si="1250"/>
        <v>#DIV/0!</v>
      </c>
      <c r="H8041" s="11" t="e">
        <f t="shared" si="1251"/>
        <v>#N/A</v>
      </c>
      <c r="I8041" s="11" t="e">
        <f t="shared" si="1252"/>
        <v>#N/A</v>
      </c>
      <c r="J8041" s="12" t="e">
        <f t="shared" si="1253"/>
        <v>#N/A</v>
      </c>
      <c r="K8041" s="17" t="e">
        <f t="shared" si="1258"/>
        <v>#N/A</v>
      </c>
      <c r="L8041" s="16">
        <f>base!X8041</f>
        <v>0</v>
      </c>
      <c r="M8041" s="11" t="e">
        <f t="shared" si="1254"/>
        <v>#DIV/0!</v>
      </c>
      <c r="N8041" s="11" t="e">
        <f t="shared" si="1255"/>
        <v>#N/A</v>
      </c>
      <c r="O8041" s="11" t="e">
        <f t="shared" si="1256"/>
        <v>#N/A</v>
      </c>
      <c r="P8041" s="12" t="e">
        <f t="shared" si="1257"/>
        <v>#N/A</v>
      </c>
      <c r="Q8041" s="17" t="e">
        <f t="shared" si="1259"/>
        <v>#N/A</v>
      </c>
    </row>
    <row r="8042" spans="1:17" x14ac:dyDescent="0.3">
      <c r="A8042" s="34">
        <f>base!J8042</f>
        <v>0</v>
      </c>
      <c r="B8042" s="34">
        <f>base!V8042</f>
        <v>0</v>
      </c>
      <c r="C8042" s="40" t="s">
        <v>11</v>
      </c>
      <c r="D8042" s="36">
        <f>base!H8042</f>
        <v>0</v>
      </c>
      <c r="E8042" s="44"/>
      <c r="F8042" s="16">
        <f>base!W8042</f>
        <v>0</v>
      </c>
      <c r="G8042" s="11" t="e">
        <f t="shared" si="1250"/>
        <v>#DIV/0!</v>
      </c>
      <c r="H8042" s="11" t="e">
        <f t="shared" si="1251"/>
        <v>#N/A</v>
      </c>
      <c r="I8042" s="11" t="e">
        <f t="shared" si="1252"/>
        <v>#N/A</v>
      </c>
      <c r="J8042" s="12" t="e">
        <f t="shared" si="1253"/>
        <v>#N/A</v>
      </c>
      <c r="K8042" s="17" t="e">
        <f t="shared" si="1258"/>
        <v>#N/A</v>
      </c>
      <c r="L8042" s="16">
        <f>base!X8042</f>
        <v>0</v>
      </c>
      <c r="M8042" s="11" t="e">
        <f t="shared" si="1254"/>
        <v>#DIV/0!</v>
      </c>
      <c r="N8042" s="11" t="e">
        <f t="shared" si="1255"/>
        <v>#N/A</v>
      </c>
      <c r="O8042" s="11" t="e">
        <f t="shared" si="1256"/>
        <v>#N/A</v>
      </c>
      <c r="P8042" s="12" t="e">
        <f t="shared" si="1257"/>
        <v>#N/A</v>
      </c>
      <c r="Q8042" s="17" t="e">
        <f t="shared" si="1259"/>
        <v>#N/A</v>
      </c>
    </row>
    <row r="8043" spans="1:17" x14ac:dyDescent="0.3">
      <c r="A8043" s="34">
        <f>base!J8043</f>
        <v>0</v>
      </c>
      <c r="B8043" s="34">
        <f>base!V8043</f>
        <v>0</v>
      </c>
      <c r="C8043" s="40" t="s">
        <v>11</v>
      </c>
      <c r="D8043" s="36">
        <f>base!H8043</f>
        <v>0</v>
      </c>
      <c r="E8043" s="44"/>
      <c r="F8043" s="16">
        <f>base!W8043</f>
        <v>0</v>
      </c>
      <c r="G8043" s="11" t="e">
        <f t="shared" si="1250"/>
        <v>#DIV/0!</v>
      </c>
      <c r="H8043" s="11" t="e">
        <f t="shared" si="1251"/>
        <v>#N/A</v>
      </c>
      <c r="I8043" s="11" t="e">
        <f t="shared" si="1252"/>
        <v>#N/A</v>
      </c>
      <c r="J8043" s="12" t="e">
        <f t="shared" si="1253"/>
        <v>#N/A</v>
      </c>
      <c r="K8043" s="17" t="e">
        <f t="shared" si="1258"/>
        <v>#N/A</v>
      </c>
      <c r="L8043" s="16">
        <f>base!X8043</f>
        <v>0</v>
      </c>
      <c r="M8043" s="11" t="e">
        <f t="shared" si="1254"/>
        <v>#DIV/0!</v>
      </c>
      <c r="N8043" s="11" t="e">
        <f t="shared" si="1255"/>
        <v>#N/A</v>
      </c>
      <c r="O8043" s="11" t="e">
        <f t="shared" si="1256"/>
        <v>#N/A</v>
      </c>
      <c r="P8043" s="12" t="e">
        <f t="shared" si="1257"/>
        <v>#N/A</v>
      </c>
      <c r="Q8043" s="17" t="e">
        <f t="shared" si="1259"/>
        <v>#N/A</v>
      </c>
    </row>
    <row r="8044" spans="1:17" x14ac:dyDescent="0.3">
      <c r="A8044" s="34">
        <f>base!J8044</f>
        <v>0</v>
      </c>
      <c r="B8044" s="34">
        <f>base!V8044</f>
        <v>0</v>
      </c>
      <c r="C8044" s="40" t="s">
        <v>11</v>
      </c>
      <c r="D8044" s="36">
        <f>base!H8044</f>
        <v>0</v>
      </c>
      <c r="E8044" s="44"/>
      <c r="F8044" s="16">
        <f>base!W8044</f>
        <v>0</v>
      </c>
      <c r="G8044" s="11" t="e">
        <f t="shared" si="1250"/>
        <v>#DIV/0!</v>
      </c>
      <c r="H8044" s="11" t="e">
        <f t="shared" si="1251"/>
        <v>#N/A</v>
      </c>
      <c r="I8044" s="11" t="e">
        <f t="shared" si="1252"/>
        <v>#N/A</v>
      </c>
      <c r="J8044" s="12" t="e">
        <f t="shared" si="1253"/>
        <v>#N/A</v>
      </c>
      <c r="K8044" s="17" t="e">
        <f t="shared" si="1258"/>
        <v>#N/A</v>
      </c>
      <c r="L8044" s="16">
        <f>base!X8044</f>
        <v>0</v>
      </c>
      <c r="M8044" s="11" t="e">
        <f t="shared" si="1254"/>
        <v>#DIV/0!</v>
      </c>
      <c r="N8044" s="11" t="e">
        <f t="shared" si="1255"/>
        <v>#N/A</v>
      </c>
      <c r="O8044" s="11" t="e">
        <f t="shared" si="1256"/>
        <v>#N/A</v>
      </c>
      <c r="P8044" s="12" t="e">
        <f t="shared" si="1257"/>
        <v>#N/A</v>
      </c>
      <c r="Q8044" s="17" t="e">
        <f t="shared" si="1259"/>
        <v>#N/A</v>
      </c>
    </row>
    <row r="8045" spans="1:17" x14ac:dyDescent="0.3">
      <c r="A8045" s="34">
        <f>base!J8045</f>
        <v>0</v>
      </c>
      <c r="B8045" s="34">
        <f>base!V8045</f>
        <v>0</v>
      </c>
      <c r="C8045" s="40" t="s">
        <v>11</v>
      </c>
      <c r="D8045" s="36">
        <f>base!H8045</f>
        <v>0</v>
      </c>
      <c r="E8045" s="44"/>
      <c r="F8045" s="16">
        <f>base!W8045</f>
        <v>0</v>
      </c>
      <c r="G8045" s="11" t="e">
        <f t="shared" si="1250"/>
        <v>#DIV/0!</v>
      </c>
      <c r="H8045" s="11" t="e">
        <f t="shared" si="1251"/>
        <v>#N/A</v>
      </c>
      <c r="I8045" s="11" t="e">
        <f t="shared" si="1252"/>
        <v>#N/A</v>
      </c>
      <c r="J8045" s="12" t="e">
        <f t="shared" si="1253"/>
        <v>#N/A</v>
      </c>
      <c r="K8045" s="17" t="e">
        <f t="shared" si="1258"/>
        <v>#N/A</v>
      </c>
      <c r="L8045" s="16">
        <f>base!X8045</f>
        <v>0</v>
      </c>
      <c r="M8045" s="11" t="e">
        <f t="shared" si="1254"/>
        <v>#DIV/0!</v>
      </c>
      <c r="N8045" s="11" t="e">
        <f t="shared" si="1255"/>
        <v>#N/A</v>
      </c>
      <c r="O8045" s="11" t="e">
        <f t="shared" si="1256"/>
        <v>#N/A</v>
      </c>
      <c r="P8045" s="12" t="e">
        <f t="shared" si="1257"/>
        <v>#N/A</v>
      </c>
      <c r="Q8045" s="17" t="e">
        <f t="shared" si="1259"/>
        <v>#N/A</v>
      </c>
    </row>
    <row r="8046" spans="1:17" x14ac:dyDescent="0.3">
      <c r="A8046" s="34">
        <f>base!J8046</f>
        <v>0</v>
      </c>
      <c r="B8046" s="34">
        <f>base!V8046</f>
        <v>0</v>
      </c>
      <c r="C8046" s="40" t="s">
        <v>11</v>
      </c>
      <c r="D8046" s="36">
        <f>base!H8046</f>
        <v>0</v>
      </c>
      <c r="E8046" s="44"/>
      <c r="F8046" s="16">
        <f>base!W8046</f>
        <v>0</v>
      </c>
      <c r="G8046" s="11" t="e">
        <f t="shared" si="1250"/>
        <v>#DIV/0!</v>
      </c>
      <c r="H8046" s="11" t="e">
        <f t="shared" si="1251"/>
        <v>#N/A</v>
      </c>
      <c r="I8046" s="11" t="e">
        <f t="shared" si="1252"/>
        <v>#N/A</v>
      </c>
      <c r="J8046" s="12" t="e">
        <f t="shared" si="1253"/>
        <v>#N/A</v>
      </c>
      <c r="K8046" s="17" t="e">
        <f t="shared" si="1258"/>
        <v>#N/A</v>
      </c>
      <c r="L8046" s="16">
        <f>base!X8046</f>
        <v>0</v>
      </c>
      <c r="M8046" s="11" t="e">
        <f t="shared" si="1254"/>
        <v>#DIV/0!</v>
      </c>
      <c r="N8046" s="11" t="e">
        <f t="shared" si="1255"/>
        <v>#N/A</v>
      </c>
      <c r="O8046" s="11" t="e">
        <f t="shared" si="1256"/>
        <v>#N/A</v>
      </c>
      <c r="P8046" s="12" t="e">
        <f t="shared" si="1257"/>
        <v>#N/A</v>
      </c>
      <c r="Q8046" s="17" t="e">
        <f t="shared" si="1259"/>
        <v>#N/A</v>
      </c>
    </row>
    <row r="8047" spans="1:17" x14ac:dyDescent="0.3">
      <c r="A8047" s="34">
        <f>base!J8047</f>
        <v>0</v>
      </c>
      <c r="B8047" s="34">
        <f>base!V8047</f>
        <v>0</v>
      </c>
      <c r="C8047" s="40" t="s">
        <v>11</v>
      </c>
      <c r="D8047" s="36">
        <f>base!H8047</f>
        <v>0</v>
      </c>
      <c r="E8047" s="44"/>
      <c r="F8047" s="16">
        <f>base!W8047</f>
        <v>0</v>
      </c>
      <c r="G8047" s="11" t="e">
        <f t="shared" si="1250"/>
        <v>#DIV/0!</v>
      </c>
      <c r="H8047" s="11" t="e">
        <f t="shared" si="1251"/>
        <v>#N/A</v>
      </c>
      <c r="I8047" s="11" t="e">
        <f t="shared" si="1252"/>
        <v>#N/A</v>
      </c>
      <c r="J8047" s="12" t="e">
        <f t="shared" si="1253"/>
        <v>#N/A</v>
      </c>
      <c r="K8047" s="17" t="e">
        <f t="shared" si="1258"/>
        <v>#N/A</v>
      </c>
      <c r="L8047" s="16">
        <f>base!X8047</f>
        <v>0</v>
      </c>
      <c r="M8047" s="11" t="e">
        <f t="shared" si="1254"/>
        <v>#DIV/0!</v>
      </c>
      <c r="N8047" s="11" t="e">
        <f t="shared" si="1255"/>
        <v>#N/A</v>
      </c>
      <c r="O8047" s="11" t="e">
        <f t="shared" si="1256"/>
        <v>#N/A</v>
      </c>
      <c r="P8047" s="12" t="e">
        <f t="shared" si="1257"/>
        <v>#N/A</v>
      </c>
      <c r="Q8047" s="17" t="e">
        <f t="shared" si="1259"/>
        <v>#N/A</v>
      </c>
    </row>
    <row r="8048" spans="1:17" x14ac:dyDescent="0.3">
      <c r="A8048" s="34">
        <f>base!J8048</f>
        <v>0</v>
      </c>
      <c r="B8048" s="34">
        <f>base!V8048</f>
        <v>0</v>
      </c>
      <c r="C8048" s="40" t="s">
        <v>11</v>
      </c>
      <c r="D8048" s="36">
        <f>base!H8048</f>
        <v>0</v>
      </c>
      <c r="E8048" s="44"/>
      <c r="F8048" s="16">
        <f>base!W8048</f>
        <v>0</v>
      </c>
      <c r="G8048" s="11" t="e">
        <f t="shared" si="1250"/>
        <v>#DIV/0!</v>
      </c>
      <c r="H8048" s="11" t="e">
        <f t="shared" si="1251"/>
        <v>#N/A</v>
      </c>
      <c r="I8048" s="11" t="e">
        <f t="shared" si="1252"/>
        <v>#N/A</v>
      </c>
      <c r="J8048" s="12" t="e">
        <f t="shared" si="1253"/>
        <v>#N/A</v>
      </c>
      <c r="K8048" s="17" t="e">
        <f t="shared" si="1258"/>
        <v>#N/A</v>
      </c>
      <c r="L8048" s="16">
        <f>base!X8048</f>
        <v>0</v>
      </c>
      <c r="M8048" s="11" t="e">
        <f t="shared" si="1254"/>
        <v>#DIV/0!</v>
      </c>
      <c r="N8048" s="11" t="e">
        <f t="shared" si="1255"/>
        <v>#N/A</v>
      </c>
      <c r="O8048" s="11" t="e">
        <f t="shared" si="1256"/>
        <v>#N/A</v>
      </c>
      <c r="P8048" s="12" t="e">
        <f t="shared" si="1257"/>
        <v>#N/A</v>
      </c>
      <c r="Q8048" s="17" t="e">
        <f t="shared" si="1259"/>
        <v>#N/A</v>
      </c>
    </row>
    <row r="8049" spans="1:17" x14ac:dyDescent="0.3">
      <c r="A8049" s="34">
        <f>base!J8049</f>
        <v>0</v>
      </c>
      <c r="B8049" s="34">
        <f>base!V8049</f>
        <v>0</v>
      </c>
      <c r="C8049" s="40" t="s">
        <v>11</v>
      </c>
      <c r="D8049" s="36">
        <f>base!H8049</f>
        <v>0</v>
      </c>
      <c r="E8049" s="44"/>
      <c r="F8049" s="16">
        <f>base!W8049</f>
        <v>0</v>
      </c>
      <c r="G8049" s="11" t="e">
        <f t="shared" si="1250"/>
        <v>#DIV/0!</v>
      </c>
      <c r="H8049" s="11" t="e">
        <f t="shared" si="1251"/>
        <v>#N/A</v>
      </c>
      <c r="I8049" s="11" t="e">
        <f t="shared" si="1252"/>
        <v>#N/A</v>
      </c>
      <c r="J8049" s="12" t="e">
        <f t="shared" si="1253"/>
        <v>#N/A</v>
      </c>
      <c r="K8049" s="17" t="e">
        <f t="shared" si="1258"/>
        <v>#N/A</v>
      </c>
      <c r="L8049" s="16">
        <f>base!X8049</f>
        <v>0</v>
      </c>
      <c r="M8049" s="11" t="e">
        <f t="shared" si="1254"/>
        <v>#DIV/0!</v>
      </c>
      <c r="N8049" s="11" t="e">
        <f t="shared" si="1255"/>
        <v>#N/A</v>
      </c>
      <c r="O8049" s="11" t="e">
        <f t="shared" si="1256"/>
        <v>#N/A</v>
      </c>
      <c r="P8049" s="12" t="e">
        <f t="shared" si="1257"/>
        <v>#N/A</v>
      </c>
      <c r="Q8049" s="17" t="e">
        <f t="shared" si="1259"/>
        <v>#N/A</v>
      </c>
    </row>
    <row r="8050" spans="1:17" x14ac:dyDescent="0.3">
      <c r="A8050" s="34">
        <f>base!J8050</f>
        <v>0</v>
      </c>
      <c r="B8050" s="34">
        <f>base!V8050</f>
        <v>0</v>
      </c>
      <c r="C8050" s="40" t="s">
        <v>11</v>
      </c>
      <c r="D8050" s="36">
        <f>base!H8050</f>
        <v>0</v>
      </c>
      <c r="E8050" s="44"/>
      <c r="F8050" s="16">
        <f>base!W8050</f>
        <v>0</v>
      </c>
      <c r="G8050" s="11" t="e">
        <f t="shared" si="1250"/>
        <v>#DIV/0!</v>
      </c>
      <c r="H8050" s="11" t="e">
        <f t="shared" si="1251"/>
        <v>#N/A</v>
      </c>
      <c r="I8050" s="11" t="e">
        <f t="shared" si="1252"/>
        <v>#N/A</v>
      </c>
      <c r="J8050" s="12" t="e">
        <f t="shared" si="1253"/>
        <v>#N/A</v>
      </c>
      <c r="K8050" s="17" t="e">
        <f t="shared" si="1258"/>
        <v>#N/A</v>
      </c>
      <c r="L8050" s="16">
        <f>base!X8050</f>
        <v>0</v>
      </c>
      <c r="M8050" s="11" t="e">
        <f t="shared" si="1254"/>
        <v>#DIV/0!</v>
      </c>
      <c r="N8050" s="11" t="e">
        <f t="shared" si="1255"/>
        <v>#N/A</v>
      </c>
      <c r="O8050" s="11" t="e">
        <f t="shared" si="1256"/>
        <v>#N/A</v>
      </c>
      <c r="P8050" s="12" t="e">
        <f t="shared" si="1257"/>
        <v>#N/A</v>
      </c>
      <c r="Q8050" s="17" t="e">
        <f t="shared" si="1259"/>
        <v>#N/A</v>
      </c>
    </row>
    <row r="8051" spans="1:17" x14ac:dyDescent="0.3">
      <c r="A8051" s="34">
        <f>base!J8051</f>
        <v>0</v>
      </c>
      <c r="B8051" s="34">
        <f>base!V8051</f>
        <v>0</v>
      </c>
      <c r="C8051" s="40" t="s">
        <v>11</v>
      </c>
      <c r="D8051" s="36">
        <f>base!H8051</f>
        <v>0</v>
      </c>
      <c r="E8051" s="44"/>
      <c r="F8051" s="16">
        <f>base!W8051</f>
        <v>0</v>
      </c>
      <c r="G8051" s="11" t="e">
        <f t="shared" si="1250"/>
        <v>#DIV/0!</v>
      </c>
      <c r="H8051" s="11" t="e">
        <f t="shared" si="1251"/>
        <v>#N/A</v>
      </c>
      <c r="I8051" s="11" t="e">
        <f t="shared" si="1252"/>
        <v>#N/A</v>
      </c>
      <c r="J8051" s="12" t="e">
        <f t="shared" si="1253"/>
        <v>#N/A</v>
      </c>
      <c r="K8051" s="17" t="e">
        <f t="shared" si="1258"/>
        <v>#N/A</v>
      </c>
      <c r="L8051" s="16">
        <f>base!X8051</f>
        <v>0</v>
      </c>
      <c r="M8051" s="11" t="e">
        <f t="shared" si="1254"/>
        <v>#DIV/0!</v>
      </c>
      <c r="N8051" s="11" t="e">
        <f t="shared" si="1255"/>
        <v>#N/A</v>
      </c>
      <c r="O8051" s="11" t="e">
        <f t="shared" si="1256"/>
        <v>#N/A</v>
      </c>
      <c r="P8051" s="12" t="e">
        <f t="shared" si="1257"/>
        <v>#N/A</v>
      </c>
      <c r="Q8051" s="17" t="e">
        <f t="shared" si="1259"/>
        <v>#N/A</v>
      </c>
    </row>
    <row r="8052" spans="1:17" x14ac:dyDescent="0.3">
      <c r="A8052" s="34">
        <f>base!J8052</f>
        <v>0</v>
      </c>
      <c r="B8052" s="34">
        <f>base!V8052</f>
        <v>0</v>
      </c>
      <c r="C8052" s="40" t="s">
        <v>11</v>
      </c>
      <c r="D8052" s="36">
        <f>base!H8052</f>
        <v>0</v>
      </c>
      <c r="E8052" s="44"/>
      <c r="F8052" s="16">
        <f>base!W8052</f>
        <v>0</v>
      </c>
      <c r="G8052" s="11" t="e">
        <f t="shared" si="1250"/>
        <v>#DIV/0!</v>
      </c>
      <c r="H8052" s="11" t="e">
        <f t="shared" si="1251"/>
        <v>#N/A</v>
      </c>
      <c r="I8052" s="11" t="e">
        <f t="shared" si="1252"/>
        <v>#N/A</v>
      </c>
      <c r="J8052" s="12" t="e">
        <f t="shared" si="1253"/>
        <v>#N/A</v>
      </c>
      <c r="K8052" s="17" t="e">
        <f t="shared" si="1258"/>
        <v>#N/A</v>
      </c>
      <c r="L8052" s="16">
        <f>base!X8052</f>
        <v>0</v>
      </c>
      <c r="M8052" s="11" t="e">
        <f t="shared" si="1254"/>
        <v>#DIV/0!</v>
      </c>
      <c r="N8052" s="11" t="e">
        <f t="shared" si="1255"/>
        <v>#N/A</v>
      </c>
      <c r="O8052" s="11" t="e">
        <f t="shared" si="1256"/>
        <v>#N/A</v>
      </c>
      <c r="P8052" s="12" t="e">
        <f t="shared" si="1257"/>
        <v>#N/A</v>
      </c>
      <c r="Q8052" s="17" t="e">
        <f t="shared" si="1259"/>
        <v>#N/A</v>
      </c>
    </row>
    <row r="8053" spans="1:17" x14ac:dyDescent="0.3">
      <c r="A8053" s="34">
        <f>base!J8053</f>
        <v>0</v>
      </c>
      <c r="B8053" s="34">
        <f>base!V8053</f>
        <v>0</v>
      </c>
      <c r="C8053" s="40" t="s">
        <v>11</v>
      </c>
      <c r="D8053" s="36">
        <f>base!H8053</f>
        <v>0</v>
      </c>
      <c r="E8053" s="44"/>
      <c r="F8053" s="16">
        <f>base!W8053</f>
        <v>0</v>
      </c>
      <c r="G8053" s="11" t="e">
        <f t="shared" si="1250"/>
        <v>#DIV/0!</v>
      </c>
      <c r="H8053" s="11" t="e">
        <f t="shared" si="1251"/>
        <v>#N/A</v>
      </c>
      <c r="I8053" s="11" t="e">
        <f t="shared" si="1252"/>
        <v>#N/A</v>
      </c>
      <c r="J8053" s="12" t="e">
        <f t="shared" si="1253"/>
        <v>#N/A</v>
      </c>
      <c r="K8053" s="17" t="e">
        <f t="shared" si="1258"/>
        <v>#N/A</v>
      </c>
      <c r="L8053" s="16">
        <f>base!X8053</f>
        <v>0</v>
      </c>
      <c r="M8053" s="11" t="e">
        <f t="shared" si="1254"/>
        <v>#DIV/0!</v>
      </c>
      <c r="N8053" s="11" t="e">
        <f t="shared" si="1255"/>
        <v>#N/A</v>
      </c>
      <c r="O8053" s="11" t="e">
        <f t="shared" si="1256"/>
        <v>#N/A</v>
      </c>
      <c r="P8053" s="12" t="e">
        <f t="shared" si="1257"/>
        <v>#N/A</v>
      </c>
      <c r="Q8053" s="17" t="e">
        <f t="shared" si="1259"/>
        <v>#N/A</v>
      </c>
    </row>
    <row r="8054" spans="1:17" x14ac:dyDescent="0.3">
      <c r="A8054" s="34">
        <f>base!J8054</f>
        <v>0</v>
      </c>
      <c r="B8054" s="34">
        <f>base!V8054</f>
        <v>0</v>
      </c>
      <c r="C8054" s="40" t="s">
        <v>11</v>
      </c>
      <c r="D8054" s="36">
        <f>base!H8054</f>
        <v>0</v>
      </c>
      <c r="E8054" s="44"/>
      <c r="F8054" s="16">
        <f>base!W8054</f>
        <v>0</v>
      </c>
      <c r="G8054" s="11" t="e">
        <f t="shared" si="1250"/>
        <v>#DIV/0!</v>
      </c>
      <c r="H8054" s="11" t="e">
        <f t="shared" si="1251"/>
        <v>#N/A</v>
      </c>
      <c r="I8054" s="11" t="e">
        <f t="shared" si="1252"/>
        <v>#N/A</v>
      </c>
      <c r="J8054" s="12" t="e">
        <f t="shared" si="1253"/>
        <v>#N/A</v>
      </c>
      <c r="K8054" s="17" t="e">
        <f t="shared" si="1258"/>
        <v>#N/A</v>
      </c>
      <c r="L8054" s="16">
        <f>base!X8054</f>
        <v>0</v>
      </c>
      <c r="M8054" s="11" t="e">
        <f t="shared" si="1254"/>
        <v>#DIV/0!</v>
      </c>
      <c r="N8054" s="11" t="e">
        <f t="shared" si="1255"/>
        <v>#N/A</v>
      </c>
      <c r="O8054" s="11" t="e">
        <f t="shared" si="1256"/>
        <v>#N/A</v>
      </c>
      <c r="P8054" s="12" t="e">
        <f t="shared" si="1257"/>
        <v>#N/A</v>
      </c>
      <c r="Q8054" s="17" t="e">
        <f t="shared" si="1259"/>
        <v>#N/A</v>
      </c>
    </row>
    <row r="8055" spans="1:17" x14ac:dyDescent="0.3">
      <c r="A8055" s="34">
        <f>base!J8055</f>
        <v>0</v>
      </c>
      <c r="B8055" s="34">
        <f>base!V8055</f>
        <v>0</v>
      </c>
      <c r="C8055" s="40" t="s">
        <v>11</v>
      </c>
      <c r="D8055" s="36">
        <f>base!H8055</f>
        <v>0</v>
      </c>
      <c r="E8055" s="44"/>
      <c r="F8055" s="16">
        <f>base!W8055</f>
        <v>0</v>
      </c>
      <c r="G8055" s="11" t="e">
        <f t="shared" si="1250"/>
        <v>#DIV/0!</v>
      </c>
      <c r="H8055" s="11" t="e">
        <f t="shared" si="1251"/>
        <v>#N/A</v>
      </c>
      <c r="I8055" s="11" t="e">
        <f t="shared" si="1252"/>
        <v>#N/A</v>
      </c>
      <c r="J8055" s="12" t="e">
        <f t="shared" si="1253"/>
        <v>#N/A</v>
      </c>
      <c r="K8055" s="17" t="e">
        <f t="shared" si="1258"/>
        <v>#N/A</v>
      </c>
      <c r="L8055" s="16">
        <f>base!X8055</f>
        <v>0</v>
      </c>
      <c r="M8055" s="11" t="e">
        <f t="shared" si="1254"/>
        <v>#DIV/0!</v>
      </c>
      <c r="N8055" s="11" t="e">
        <f t="shared" si="1255"/>
        <v>#N/A</v>
      </c>
      <c r="O8055" s="11" t="e">
        <f t="shared" si="1256"/>
        <v>#N/A</v>
      </c>
      <c r="P8055" s="12" t="e">
        <f t="shared" si="1257"/>
        <v>#N/A</v>
      </c>
      <c r="Q8055" s="17" t="e">
        <f t="shared" si="1259"/>
        <v>#N/A</v>
      </c>
    </row>
    <row r="8056" spans="1:17" x14ac:dyDescent="0.3">
      <c r="A8056" s="34">
        <f>base!J8056</f>
        <v>0</v>
      </c>
      <c r="B8056" s="34">
        <f>base!V8056</f>
        <v>0</v>
      </c>
      <c r="C8056" s="40" t="s">
        <v>11</v>
      </c>
      <c r="D8056" s="36">
        <f>base!H8056</f>
        <v>0</v>
      </c>
      <c r="E8056" s="44"/>
      <c r="F8056" s="16">
        <f>base!W8056</f>
        <v>0</v>
      </c>
      <c r="G8056" s="11" t="e">
        <f t="shared" si="1250"/>
        <v>#DIV/0!</v>
      </c>
      <c r="H8056" s="11" t="e">
        <f t="shared" si="1251"/>
        <v>#N/A</v>
      </c>
      <c r="I8056" s="11" t="e">
        <f t="shared" si="1252"/>
        <v>#N/A</v>
      </c>
      <c r="J8056" s="12" t="e">
        <f t="shared" si="1253"/>
        <v>#N/A</v>
      </c>
      <c r="K8056" s="17" t="e">
        <f t="shared" si="1258"/>
        <v>#N/A</v>
      </c>
      <c r="L8056" s="16">
        <f>base!X8056</f>
        <v>0</v>
      </c>
      <c r="M8056" s="11" t="e">
        <f t="shared" si="1254"/>
        <v>#DIV/0!</v>
      </c>
      <c r="N8056" s="11" t="e">
        <f t="shared" si="1255"/>
        <v>#N/A</v>
      </c>
      <c r="O8056" s="11" t="e">
        <f t="shared" si="1256"/>
        <v>#N/A</v>
      </c>
      <c r="P8056" s="12" t="e">
        <f t="shared" si="1257"/>
        <v>#N/A</v>
      </c>
      <c r="Q8056" s="17" t="e">
        <f t="shared" si="1259"/>
        <v>#N/A</v>
      </c>
    </row>
    <row r="8057" spans="1:17" x14ac:dyDescent="0.3">
      <c r="A8057" s="34">
        <f>base!J8057</f>
        <v>0</v>
      </c>
      <c r="B8057" s="34">
        <f>base!V8057</f>
        <v>0</v>
      </c>
      <c r="C8057" s="40" t="s">
        <v>11</v>
      </c>
      <c r="D8057" s="36">
        <f>base!H8057</f>
        <v>0</v>
      </c>
      <c r="E8057" s="44"/>
      <c r="F8057" s="16">
        <f>base!W8057</f>
        <v>0</v>
      </c>
      <c r="G8057" s="11" t="e">
        <f t="shared" si="1250"/>
        <v>#DIV/0!</v>
      </c>
      <c r="H8057" s="11" t="e">
        <f t="shared" si="1251"/>
        <v>#N/A</v>
      </c>
      <c r="I8057" s="11" t="e">
        <f t="shared" si="1252"/>
        <v>#N/A</v>
      </c>
      <c r="J8057" s="12" t="e">
        <f t="shared" si="1253"/>
        <v>#N/A</v>
      </c>
      <c r="K8057" s="17" t="e">
        <f t="shared" si="1258"/>
        <v>#N/A</v>
      </c>
      <c r="L8057" s="16">
        <f>base!X8057</f>
        <v>0</v>
      </c>
      <c r="M8057" s="11" t="e">
        <f t="shared" si="1254"/>
        <v>#DIV/0!</v>
      </c>
      <c r="N8057" s="11" t="e">
        <f t="shared" si="1255"/>
        <v>#N/A</v>
      </c>
      <c r="O8057" s="11" t="e">
        <f t="shared" si="1256"/>
        <v>#N/A</v>
      </c>
      <c r="P8057" s="12" t="e">
        <f t="shared" si="1257"/>
        <v>#N/A</v>
      </c>
      <c r="Q8057" s="17" t="e">
        <f t="shared" si="1259"/>
        <v>#N/A</v>
      </c>
    </row>
    <row r="8058" spans="1:17" x14ac:dyDescent="0.3">
      <c r="A8058" s="34">
        <f>base!J8058</f>
        <v>0</v>
      </c>
      <c r="B8058" s="34">
        <f>base!V8058</f>
        <v>0</v>
      </c>
      <c r="C8058" s="40" t="s">
        <v>11</v>
      </c>
      <c r="D8058" s="36">
        <f>base!H8058</f>
        <v>0</v>
      </c>
      <c r="E8058" s="44"/>
      <c r="F8058" s="16">
        <f>base!W8058</f>
        <v>0</v>
      </c>
      <c r="G8058" s="11" t="e">
        <f t="shared" si="1250"/>
        <v>#DIV/0!</v>
      </c>
      <c r="H8058" s="11" t="e">
        <f t="shared" si="1251"/>
        <v>#N/A</v>
      </c>
      <c r="I8058" s="11" t="e">
        <f t="shared" si="1252"/>
        <v>#N/A</v>
      </c>
      <c r="J8058" s="12" t="e">
        <f t="shared" si="1253"/>
        <v>#N/A</v>
      </c>
      <c r="K8058" s="17" t="e">
        <f t="shared" si="1258"/>
        <v>#N/A</v>
      </c>
      <c r="L8058" s="16">
        <f>base!X8058</f>
        <v>0</v>
      </c>
      <c r="M8058" s="11" t="e">
        <f t="shared" si="1254"/>
        <v>#DIV/0!</v>
      </c>
      <c r="N8058" s="11" t="e">
        <f t="shared" si="1255"/>
        <v>#N/A</v>
      </c>
      <c r="O8058" s="11" t="e">
        <f t="shared" si="1256"/>
        <v>#N/A</v>
      </c>
      <c r="P8058" s="12" t="e">
        <f t="shared" si="1257"/>
        <v>#N/A</v>
      </c>
      <c r="Q8058" s="17" t="e">
        <f t="shared" si="1259"/>
        <v>#N/A</v>
      </c>
    </row>
    <row r="8059" spans="1:17" x14ac:dyDescent="0.3">
      <c r="A8059" s="34">
        <f>base!J8059</f>
        <v>0</v>
      </c>
      <c r="B8059" s="34">
        <f>base!V8059</f>
        <v>0</v>
      </c>
      <c r="C8059" s="40" t="s">
        <v>11</v>
      </c>
      <c r="D8059" s="36">
        <f>base!H8059</f>
        <v>0</v>
      </c>
      <c r="E8059" s="44"/>
      <c r="F8059" s="16">
        <f>base!W8059</f>
        <v>0</v>
      </c>
      <c r="G8059" s="11" t="e">
        <f t="shared" si="1250"/>
        <v>#DIV/0!</v>
      </c>
      <c r="H8059" s="11" t="e">
        <f t="shared" si="1251"/>
        <v>#N/A</v>
      </c>
      <c r="I8059" s="11" t="e">
        <f t="shared" si="1252"/>
        <v>#N/A</v>
      </c>
      <c r="J8059" s="12" t="e">
        <f t="shared" si="1253"/>
        <v>#N/A</v>
      </c>
      <c r="K8059" s="17" t="e">
        <f t="shared" si="1258"/>
        <v>#N/A</v>
      </c>
      <c r="L8059" s="16">
        <f>base!X8059</f>
        <v>0</v>
      </c>
      <c r="M8059" s="11" t="e">
        <f t="shared" si="1254"/>
        <v>#DIV/0!</v>
      </c>
      <c r="N8059" s="11" t="e">
        <f t="shared" si="1255"/>
        <v>#N/A</v>
      </c>
      <c r="O8059" s="11" t="e">
        <f t="shared" si="1256"/>
        <v>#N/A</v>
      </c>
      <c r="P8059" s="12" t="e">
        <f t="shared" si="1257"/>
        <v>#N/A</v>
      </c>
      <c r="Q8059" s="17" t="e">
        <f t="shared" si="1259"/>
        <v>#N/A</v>
      </c>
    </row>
    <row r="8060" spans="1:17" x14ac:dyDescent="0.3">
      <c r="A8060" s="34">
        <f>base!J8060</f>
        <v>0</v>
      </c>
      <c r="B8060" s="34">
        <f>base!V8060</f>
        <v>0</v>
      </c>
      <c r="C8060" s="40" t="s">
        <v>11</v>
      </c>
      <c r="D8060" s="36">
        <f>base!H8060</f>
        <v>0</v>
      </c>
      <c r="E8060" s="44"/>
      <c r="F8060" s="16">
        <f>base!W8060</f>
        <v>0</v>
      </c>
      <c r="G8060" s="11" t="e">
        <f t="shared" si="1250"/>
        <v>#DIV/0!</v>
      </c>
      <c r="H8060" s="11" t="e">
        <f t="shared" si="1251"/>
        <v>#N/A</v>
      </c>
      <c r="I8060" s="11" t="e">
        <f t="shared" si="1252"/>
        <v>#N/A</v>
      </c>
      <c r="J8060" s="12" t="e">
        <f t="shared" si="1253"/>
        <v>#N/A</v>
      </c>
      <c r="K8060" s="17" t="e">
        <f t="shared" si="1258"/>
        <v>#N/A</v>
      </c>
      <c r="L8060" s="16">
        <f>base!X8060</f>
        <v>0</v>
      </c>
      <c r="M8060" s="11" t="e">
        <f t="shared" si="1254"/>
        <v>#DIV/0!</v>
      </c>
      <c r="N8060" s="11" t="e">
        <f t="shared" si="1255"/>
        <v>#N/A</v>
      </c>
      <c r="O8060" s="11" t="e">
        <f t="shared" si="1256"/>
        <v>#N/A</v>
      </c>
      <c r="P8060" s="12" t="e">
        <f t="shared" si="1257"/>
        <v>#N/A</v>
      </c>
      <c r="Q8060" s="17" t="e">
        <f t="shared" si="1259"/>
        <v>#N/A</v>
      </c>
    </row>
    <row r="8061" spans="1:17" x14ac:dyDescent="0.3">
      <c r="A8061" s="34">
        <f>base!J8061</f>
        <v>0</v>
      </c>
      <c r="B8061" s="34">
        <f>base!V8061</f>
        <v>0</v>
      </c>
      <c r="C8061" s="40" t="s">
        <v>11</v>
      </c>
      <c r="D8061" s="36">
        <f>base!H8061</f>
        <v>0</v>
      </c>
      <c r="E8061" s="44"/>
      <c r="F8061" s="16">
        <f>base!W8061</f>
        <v>0</v>
      </c>
      <c r="G8061" s="11" t="e">
        <f t="shared" si="1250"/>
        <v>#DIV/0!</v>
      </c>
      <c r="H8061" s="11" t="e">
        <f t="shared" si="1251"/>
        <v>#N/A</v>
      </c>
      <c r="I8061" s="11" t="e">
        <f t="shared" si="1252"/>
        <v>#N/A</v>
      </c>
      <c r="J8061" s="12" t="e">
        <f t="shared" si="1253"/>
        <v>#N/A</v>
      </c>
      <c r="K8061" s="17" t="e">
        <f t="shared" si="1258"/>
        <v>#N/A</v>
      </c>
      <c r="L8061" s="16">
        <f>base!X8061</f>
        <v>0</v>
      </c>
      <c r="M8061" s="11" t="e">
        <f t="shared" si="1254"/>
        <v>#DIV/0!</v>
      </c>
      <c r="N8061" s="11" t="e">
        <f t="shared" si="1255"/>
        <v>#N/A</v>
      </c>
      <c r="O8061" s="11" t="e">
        <f t="shared" si="1256"/>
        <v>#N/A</v>
      </c>
      <c r="P8061" s="12" t="e">
        <f t="shared" si="1257"/>
        <v>#N/A</v>
      </c>
      <c r="Q8061" s="17" t="e">
        <f t="shared" si="1259"/>
        <v>#N/A</v>
      </c>
    </row>
    <row r="8062" spans="1:17" x14ac:dyDescent="0.3">
      <c r="A8062" s="34">
        <f>base!J8062</f>
        <v>0</v>
      </c>
      <c r="B8062" s="34">
        <f>base!V8062</f>
        <v>0</v>
      </c>
      <c r="C8062" s="40" t="s">
        <v>11</v>
      </c>
      <c r="D8062" s="36">
        <f>base!H8062</f>
        <v>0</v>
      </c>
      <c r="E8062" s="44"/>
      <c r="F8062" s="16">
        <f>base!W8062</f>
        <v>0</v>
      </c>
      <c r="G8062" s="11" t="e">
        <f t="shared" si="1250"/>
        <v>#DIV/0!</v>
      </c>
      <c r="H8062" s="11" t="e">
        <f t="shared" si="1251"/>
        <v>#N/A</v>
      </c>
      <c r="I8062" s="11" t="e">
        <f t="shared" si="1252"/>
        <v>#N/A</v>
      </c>
      <c r="J8062" s="12" t="e">
        <f t="shared" si="1253"/>
        <v>#N/A</v>
      </c>
      <c r="K8062" s="17" t="e">
        <f t="shared" si="1258"/>
        <v>#N/A</v>
      </c>
      <c r="L8062" s="16">
        <f>base!X8062</f>
        <v>0</v>
      </c>
      <c r="M8062" s="11" t="e">
        <f t="shared" si="1254"/>
        <v>#DIV/0!</v>
      </c>
      <c r="N8062" s="11" t="e">
        <f t="shared" si="1255"/>
        <v>#N/A</v>
      </c>
      <c r="O8062" s="11" t="e">
        <f t="shared" si="1256"/>
        <v>#N/A</v>
      </c>
      <c r="P8062" s="12" t="e">
        <f t="shared" si="1257"/>
        <v>#N/A</v>
      </c>
      <c r="Q8062" s="17" t="e">
        <f t="shared" si="1259"/>
        <v>#N/A</v>
      </c>
    </row>
    <row r="8063" spans="1:17" x14ac:dyDescent="0.3">
      <c r="A8063" s="34">
        <f>base!J8063</f>
        <v>0</v>
      </c>
      <c r="B8063" s="34">
        <f>base!V8063</f>
        <v>0</v>
      </c>
      <c r="C8063" s="40" t="s">
        <v>11</v>
      </c>
      <c r="D8063" s="36">
        <f>base!H8063</f>
        <v>0</v>
      </c>
      <c r="E8063" s="44"/>
      <c r="F8063" s="16">
        <f>base!W8063</f>
        <v>0</v>
      </c>
      <c r="G8063" s="11" t="e">
        <f t="shared" si="1250"/>
        <v>#DIV/0!</v>
      </c>
      <c r="H8063" s="11" t="e">
        <f t="shared" si="1251"/>
        <v>#N/A</v>
      </c>
      <c r="I8063" s="11" t="e">
        <f t="shared" si="1252"/>
        <v>#N/A</v>
      </c>
      <c r="J8063" s="12" t="e">
        <f t="shared" si="1253"/>
        <v>#N/A</v>
      </c>
      <c r="K8063" s="17" t="e">
        <f t="shared" si="1258"/>
        <v>#N/A</v>
      </c>
      <c r="L8063" s="16">
        <f>base!X8063</f>
        <v>0</v>
      </c>
      <c r="M8063" s="11" t="e">
        <f t="shared" si="1254"/>
        <v>#DIV/0!</v>
      </c>
      <c r="N8063" s="11" t="e">
        <f t="shared" si="1255"/>
        <v>#N/A</v>
      </c>
      <c r="O8063" s="11" t="e">
        <f t="shared" si="1256"/>
        <v>#N/A</v>
      </c>
      <c r="P8063" s="12" t="e">
        <f t="shared" si="1257"/>
        <v>#N/A</v>
      </c>
      <c r="Q8063" s="17" t="e">
        <f t="shared" si="1259"/>
        <v>#N/A</v>
      </c>
    </row>
    <row r="8064" spans="1:17" x14ac:dyDescent="0.3">
      <c r="A8064" s="34">
        <f>base!J8064</f>
        <v>0</v>
      </c>
      <c r="B8064" s="34">
        <f>base!V8064</f>
        <v>0</v>
      </c>
      <c r="C8064" s="40" t="s">
        <v>11</v>
      </c>
      <c r="D8064" s="36">
        <f>base!H8064</f>
        <v>0</v>
      </c>
      <c r="E8064" s="44"/>
      <c r="F8064" s="16">
        <f>base!W8064</f>
        <v>0</v>
      </c>
      <c r="G8064" s="11" t="e">
        <f t="shared" si="1250"/>
        <v>#DIV/0!</v>
      </c>
      <c r="H8064" s="11" t="e">
        <f t="shared" si="1251"/>
        <v>#N/A</v>
      </c>
      <c r="I8064" s="11" t="e">
        <f t="shared" si="1252"/>
        <v>#N/A</v>
      </c>
      <c r="J8064" s="12" t="e">
        <f t="shared" si="1253"/>
        <v>#N/A</v>
      </c>
      <c r="K8064" s="17" t="e">
        <f t="shared" si="1258"/>
        <v>#N/A</v>
      </c>
      <c r="L8064" s="16">
        <f>base!X8064</f>
        <v>0</v>
      </c>
      <c r="M8064" s="11" t="e">
        <f t="shared" si="1254"/>
        <v>#DIV/0!</v>
      </c>
      <c r="N8064" s="11" t="e">
        <f t="shared" si="1255"/>
        <v>#N/A</v>
      </c>
      <c r="O8064" s="11" t="e">
        <f t="shared" si="1256"/>
        <v>#N/A</v>
      </c>
      <c r="P8064" s="12" t="e">
        <f t="shared" si="1257"/>
        <v>#N/A</v>
      </c>
      <c r="Q8064" s="17" t="e">
        <f t="shared" si="1259"/>
        <v>#N/A</v>
      </c>
    </row>
    <row r="8065" spans="1:17" x14ac:dyDescent="0.3">
      <c r="A8065" s="34">
        <f>base!J8065</f>
        <v>0</v>
      </c>
      <c r="B8065" s="34">
        <f>base!V8065</f>
        <v>0</v>
      </c>
      <c r="C8065" s="40" t="s">
        <v>11</v>
      </c>
      <c r="D8065" s="36">
        <f>base!H8065</f>
        <v>0</v>
      </c>
      <c r="E8065" s="44"/>
      <c r="F8065" s="16">
        <f>base!W8065</f>
        <v>0</v>
      </c>
      <c r="G8065" s="11" t="e">
        <f t="shared" si="1250"/>
        <v>#DIV/0!</v>
      </c>
      <c r="H8065" s="11" t="e">
        <f t="shared" si="1251"/>
        <v>#N/A</v>
      </c>
      <c r="I8065" s="11" t="e">
        <f t="shared" si="1252"/>
        <v>#N/A</v>
      </c>
      <c r="J8065" s="12" t="e">
        <f t="shared" si="1253"/>
        <v>#N/A</v>
      </c>
      <c r="K8065" s="17" t="e">
        <f t="shared" si="1258"/>
        <v>#N/A</v>
      </c>
      <c r="L8065" s="16">
        <f>base!X8065</f>
        <v>0</v>
      </c>
      <c r="M8065" s="11" t="e">
        <f t="shared" si="1254"/>
        <v>#DIV/0!</v>
      </c>
      <c r="N8065" s="11" t="e">
        <f t="shared" si="1255"/>
        <v>#N/A</v>
      </c>
      <c r="O8065" s="11" t="e">
        <f t="shared" si="1256"/>
        <v>#N/A</v>
      </c>
      <c r="P8065" s="12" t="e">
        <f t="shared" si="1257"/>
        <v>#N/A</v>
      </c>
      <c r="Q8065" s="17" t="e">
        <f t="shared" si="1259"/>
        <v>#N/A</v>
      </c>
    </row>
    <row r="8066" spans="1:17" x14ac:dyDescent="0.3">
      <c r="A8066" s="34">
        <f>base!J8066</f>
        <v>0</v>
      </c>
      <c r="B8066" s="34">
        <f>base!V8066</f>
        <v>0</v>
      </c>
      <c r="C8066" s="40" t="s">
        <v>11</v>
      </c>
      <c r="D8066" s="36">
        <f>base!H8066</f>
        <v>0</v>
      </c>
      <c r="E8066" s="44"/>
      <c r="F8066" s="16">
        <f>base!W8066</f>
        <v>0</v>
      </c>
      <c r="G8066" s="11" t="e">
        <f t="shared" ref="G8066:G8129" si="1260">F8066/D8066</f>
        <v>#DIV/0!</v>
      </c>
      <c r="H8066" s="11" t="e">
        <f t="shared" ref="H8066:H8129" si="1261">VLOOKUP(C8066,tout_cout_traction,2,FALSE)*D8066</f>
        <v>#N/A</v>
      </c>
      <c r="I8066" s="11" t="e">
        <f t="shared" ref="I8066:I8129" si="1262">H8066/D8066</f>
        <v>#N/A</v>
      </c>
      <c r="J8066" s="12" t="e">
        <f t="shared" ref="J8066:J8129" si="1263">F8066-H8066</f>
        <v>#N/A</v>
      </c>
      <c r="K8066" s="17" t="e">
        <f t="shared" si="1258"/>
        <v>#N/A</v>
      </c>
      <c r="L8066" s="16">
        <f>base!X8066</f>
        <v>0</v>
      </c>
      <c r="M8066" s="11" t="e">
        <f t="shared" ref="M8066:M8129" si="1264">L8066/D8066</f>
        <v>#DIV/0!</v>
      </c>
      <c r="N8066" s="11" t="e">
        <f t="shared" ref="N8066:N8129" si="1265">VLOOKUP(C8066,tout_cout_traction,3,FALSE)*D8066</f>
        <v>#N/A</v>
      </c>
      <c r="O8066" s="11" t="e">
        <f t="shared" ref="O8066:O8129" si="1266">N8066/D8066</f>
        <v>#N/A</v>
      </c>
      <c r="P8066" s="12" t="e">
        <f t="shared" ref="P8066:P8129" si="1267">L8066-N8066</f>
        <v>#N/A</v>
      </c>
      <c r="Q8066" s="17" t="e">
        <f t="shared" si="1259"/>
        <v>#N/A</v>
      </c>
    </row>
    <row r="8067" spans="1:17" x14ac:dyDescent="0.3">
      <c r="A8067" s="34">
        <f>base!J8067</f>
        <v>0</v>
      </c>
      <c r="B8067" s="34">
        <f>base!V8067</f>
        <v>0</v>
      </c>
      <c r="C8067" s="40" t="s">
        <v>11</v>
      </c>
      <c r="D8067" s="36">
        <f>base!H8067</f>
        <v>0</v>
      </c>
      <c r="E8067" s="44"/>
      <c r="F8067" s="16">
        <f>base!W8067</f>
        <v>0</v>
      </c>
      <c r="G8067" s="11" t="e">
        <f t="shared" si="1260"/>
        <v>#DIV/0!</v>
      </c>
      <c r="H8067" s="11" t="e">
        <f t="shared" si="1261"/>
        <v>#N/A</v>
      </c>
      <c r="I8067" s="11" t="e">
        <f t="shared" si="1262"/>
        <v>#N/A</v>
      </c>
      <c r="J8067" s="12" t="e">
        <f t="shared" si="1263"/>
        <v>#N/A</v>
      </c>
      <c r="K8067" s="17" t="e">
        <f t="shared" ref="K8067:K8130" si="1268">IF(H8067=F8067,"Pas d'écart",IF(H8067&lt;F8067,"Ecart positif",IF(H8067&gt;F8067,"Ecart négatif")))</f>
        <v>#N/A</v>
      </c>
      <c r="L8067" s="16">
        <f>base!X8067</f>
        <v>0</v>
      </c>
      <c r="M8067" s="11" t="e">
        <f t="shared" si="1264"/>
        <v>#DIV/0!</v>
      </c>
      <c r="N8067" s="11" t="e">
        <f t="shared" si="1265"/>
        <v>#N/A</v>
      </c>
      <c r="O8067" s="11" t="e">
        <f t="shared" si="1266"/>
        <v>#N/A</v>
      </c>
      <c r="P8067" s="12" t="e">
        <f t="shared" si="1267"/>
        <v>#N/A</v>
      </c>
      <c r="Q8067" s="17" t="e">
        <f t="shared" ref="Q8067:Q8130" si="1269">IF(N8067=L8067,"Pas d'écart",IF(N8067&lt;L8067,"Ecart positif",IF(N8067&gt;L8067,"Ecart négatif")))</f>
        <v>#N/A</v>
      </c>
    </row>
    <row r="8068" spans="1:17" x14ac:dyDescent="0.3">
      <c r="A8068" s="34">
        <f>base!J8068</f>
        <v>0</v>
      </c>
      <c r="B8068" s="34">
        <f>base!V8068</f>
        <v>0</v>
      </c>
      <c r="C8068" s="40" t="s">
        <v>11</v>
      </c>
      <c r="D8068" s="36">
        <f>base!H8068</f>
        <v>0</v>
      </c>
      <c r="E8068" s="44"/>
      <c r="F8068" s="16">
        <f>base!W8068</f>
        <v>0</v>
      </c>
      <c r="G8068" s="11" t="e">
        <f t="shared" si="1260"/>
        <v>#DIV/0!</v>
      </c>
      <c r="H8068" s="11" t="e">
        <f t="shared" si="1261"/>
        <v>#N/A</v>
      </c>
      <c r="I8068" s="11" t="e">
        <f t="shared" si="1262"/>
        <v>#N/A</v>
      </c>
      <c r="J8068" s="12" t="e">
        <f t="shared" si="1263"/>
        <v>#N/A</v>
      </c>
      <c r="K8068" s="17" t="e">
        <f t="shared" si="1268"/>
        <v>#N/A</v>
      </c>
      <c r="L8068" s="16">
        <f>base!X8068</f>
        <v>0</v>
      </c>
      <c r="M8068" s="11" t="e">
        <f t="shared" si="1264"/>
        <v>#DIV/0!</v>
      </c>
      <c r="N8068" s="11" t="e">
        <f t="shared" si="1265"/>
        <v>#N/A</v>
      </c>
      <c r="O8068" s="11" t="e">
        <f t="shared" si="1266"/>
        <v>#N/A</v>
      </c>
      <c r="P8068" s="12" t="e">
        <f t="shared" si="1267"/>
        <v>#N/A</v>
      </c>
      <c r="Q8068" s="17" t="e">
        <f t="shared" si="1269"/>
        <v>#N/A</v>
      </c>
    </row>
    <row r="8069" spans="1:17" x14ac:dyDescent="0.3">
      <c r="A8069" s="34">
        <f>base!J8069</f>
        <v>0</v>
      </c>
      <c r="B8069" s="34">
        <f>base!V8069</f>
        <v>0</v>
      </c>
      <c r="C8069" s="40" t="s">
        <v>11</v>
      </c>
      <c r="D8069" s="36">
        <f>base!H8069</f>
        <v>0</v>
      </c>
      <c r="E8069" s="44"/>
      <c r="F8069" s="16">
        <f>base!W8069</f>
        <v>0</v>
      </c>
      <c r="G8069" s="11" t="e">
        <f t="shared" si="1260"/>
        <v>#DIV/0!</v>
      </c>
      <c r="H8069" s="11" t="e">
        <f t="shared" si="1261"/>
        <v>#N/A</v>
      </c>
      <c r="I8069" s="11" t="e">
        <f t="shared" si="1262"/>
        <v>#N/A</v>
      </c>
      <c r="J8069" s="12" t="e">
        <f t="shared" si="1263"/>
        <v>#N/A</v>
      </c>
      <c r="K8069" s="17" t="e">
        <f t="shared" si="1268"/>
        <v>#N/A</v>
      </c>
      <c r="L8069" s="16">
        <f>base!X8069</f>
        <v>0</v>
      </c>
      <c r="M8069" s="11" t="e">
        <f t="shared" si="1264"/>
        <v>#DIV/0!</v>
      </c>
      <c r="N8069" s="11" t="e">
        <f t="shared" si="1265"/>
        <v>#N/A</v>
      </c>
      <c r="O8069" s="11" t="e">
        <f t="shared" si="1266"/>
        <v>#N/A</v>
      </c>
      <c r="P8069" s="12" t="e">
        <f t="shared" si="1267"/>
        <v>#N/A</v>
      </c>
      <c r="Q8069" s="17" t="e">
        <f t="shared" si="1269"/>
        <v>#N/A</v>
      </c>
    </row>
    <row r="8070" spans="1:17" x14ac:dyDescent="0.3">
      <c r="A8070" s="34">
        <f>base!J8070</f>
        <v>0</v>
      </c>
      <c r="B8070" s="34">
        <f>base!V8070</f>
        <v>0</v>
      </c>
      <c r="C8070" s="40" t="s">
        <v>11</v>
      </c>
      <c r="D8070" s="36">
        <f>base!H8070</f>
        <v>0</v>
      </c>
      <c r="E8070" s="44"/>
      <c r="F8070" s="16">
        <f>base!W8070</f>
        <v>0</v>
      </c>
      <c r="G8070" s="11" t="e">
        <f t="shared" si="1260"/>
        <v>#DIV/0!</v>
      </c>
      <c r="H8070" s="11" t="e">
        <f t="shared" si="1261"/>
        <v>#N/A</v>
      </c>
      <c r="I8070" s="11" t="e">
        <f t="shared" si="1262"/>
        <v>#N/A</v>
      </c>
      <c r="J8070" s="12" t="e">
        <f t="shared" si="1263"/>
        <v>#N/A</v>
      </c>
      <c r="K8070" s="17" t="e">
        <f t="shared" si="1268"/>
        <v>#N/A</v>
      </c>
      <c r="L8070" s="16">
        <f>base!X8070</f>
        <v>0</v>
      </c>
      <c r="M8070" s="11" t="e">
        <f t="shared" si="1264"/>
        <v>#DIV/0!</v>
      </c>
      <c r="N8070" s="11" t="e">
        <f t="shared" si="1265"/>
        <v>#N/A</v>
      </c>
      <c r="O8070" s="11" t="e">
        <f t="shared" si="1266"/>
        <v>#N/A</v>
      </c>
      <c r="P8070" s="12" t="e">
        <f t="shared" si="1267"/>
        <v>#N/A</v>
      </c>
      <c r="Q8070" s="17" t="e">
        <f t="shared" si="1269"/>
        <v>#N/A</v>
      </c>
    </row>
    <row r="8071" spans="1:17" x14ac:dyDescent="0.3">
      <c r="A8071" s="34">
        <f>base!J8071</f>
        <v>0</v>
      </c>
      <c r="B8071" s="34">
        <f>base!V8071</f>
        <v>0</v>
      </c>
      <c r="C8071" s="40" t="s">
        <v>11</v>
      </c>
      <c r="D8071" s="36">
        <f>base!H8071</f>
        <v>0</v>
      </c>
      <c r="E8071" s="44"/>
      <c r="F8071" s="16">
        <f>base!W8071</f>
        <v>0</v>
      </c>
      <c r="G8071" s="11" t="e">
        <f t="shared" si="1260"/>
        <v>#DIV/0!</v>
      </c>
      <c r="H8071" s="11" t="e">
        <f t="shared" si="1261"/>
        <v>#N/A</v>
      </c>
      <c r="I8071" s="11" t="e">
        <f t="shared" si="1262"/>
        <v>#N/A</v>
      </c>
      <c r="J8071" s="12" t="e">
        <f t="shared" si="1263"/>
        <v>#N/A</v>
      </c>
      <c r="K8071" s="17" t="e">
        <f t="shared" si="1268"/>
        <v>#N/A</v>
      </c>
      <c r="L8071" s="16">
        <f>base!X8071</f>
        <v>0</v>
      </c>
      <c r="M8071" s="11" t="e">
        <f t="shared" si="1264"/>
        <v>#DIV/0!</v>
      </c>
      <c r="N8071" s="11" t="e">
        <f t="shared" si="1265"/>
        <v>#N/A</v>
      </c>
      <c r="O8071" s="11" t="e">
        <f t="shared" si="1266"/>
        <v>#N/A</v>
      </c>
      <c r="P8071" s="12" t="e">
        <f t="shared" si="1267"/>
        <v>#N/A</v>
      </c>
      <c r="Q8071" s="17" t="e">
        <f t="shared" si="1269"/>
        <v>#N/A</v>
      </c>
    </row>
    <row r="8072" spans="1:17" x14ac:dyDescent="0.3">
      <c r="A8072" s="34">
        <f>base!J8072</f>
        <v>0</v>
      </c>
      <c r="B8072" s="34">
        <f>base!V8072</f>
        <v>0</v>
      </c>
      <c r="C8072" s="40" t="s">
        <v>11</v>
      </c>
      <c r="D8072" s="36">
        <f>base!H8072</f>
        <v>0</v>
      </c>
      <c r="E8072" s="44"/>
      <c r="F8072" s="16">
        <f>base!W8072</f>
        <v>0</v>
      </c>
      <c r="G8072" s="11" t="e">
        <f t="shared" si="1260"/>
        <v>#DIV/0!</v>
      </c>
      <c r="H8072" s="11" t="e">
        <f t="shared" si="1261"/>
        <v>#N/A</v>
      </c>
      <c r="I8072" s="11" t="e">
        <f t="shared" si="1262"/>
        <v>#N/A</v>
      </c>
      <c r="J8072" s="12" t="e">
        <f t="shared" si="1263"/>
        <v>#N/A</v>
      </c>
      <c r="K8072" s="17" t="e">
        <f t="shared" si="1268"/>
        <v>#N/A</v>
      </c>
      <c r="L8072" s="16">
        <f>base!X8072</f>
        <v>0</v>
      </c>
      <c r="M8072" s="11" t="e">
        <f t="shared" si="1264"/>
        <v>#DIV/0!</v>
      </c>
      <c r="N8072" s="11" t="e">
        <f t="shared" si="1265"/>
        <v>#N/A</v>
      </c>
      <c r="O8072" s="11" t="e">
        <f t="shared" si="1266"/>
        <v>#N/A</v>
      </c>
      <c r="P8072" s="12" t="e">
        <f t="shared" si="1267"/>
        <v>#N/A</v>
      </c>
      <c r="Q8072" s="17" t="e">
        <f t="shared" si="1269"/>
        <v>#N/A</v>
      </c>
    </row>
    <row r="8073" spans="1:17" x14ac:dyDescent="0.3">
      <c r="A8073" s="34">
        <f>base!J8073</f>
        <v>0</v>
      </c>
      <c r="B8073" s="34">
        <f>base!V8073</f>
        <v>0</v>
      </c>
      <c r="C8073" s="40" t="s">
        <v>11</v>
      </c>
      <c r="D8073" s="36">
        <f>base!H8073</f>
        <v>0</v>
      </c>
      <c r="E8073" s="44"/>
      <c r="F8073" s="16">
        <f>base!W8073</f>
        <v>0</v>
      </c>
      <c r="G8073" s="11" t="e">
        <f t="shared" si="1260"/>
        <v>#DIV/0!</v>
      </c>
      <c r="H8073" s="11" t="e">
        <f t="shared" si="1261"/>
        <v>#N/A</v>
      </c>
      <c r="I8073" s="11" t="e">
        <f t="shared" si="1262"/>
        <v>#N/A</v>
      </c>
      <c r="J8073" s="12" t="e">
        <f t="shared" si="1263"/>
        <v>#N/A</v>
      </c>
      <c r="K8073" s="17" t="e">
        <f t="shared" si="1268"/>
        <v>#N/A</v>
      </c>
      <c r="L8073" s="16">
        <f>base!X8073</f>
        <v>0</v>
      </c>
      <c r="M8073" s="11" t="e">
        <f t="shared" si="1264"/>
        <v>#DIV/0!</v>
      </c>
      <c r="N8073" s="11" t="e">
        <f t="shared" si="1265"/>
        <v>#N/A</v>
      </c>
      <c r="O8073" s="11" t="e">
        <f t="shared" si="1266"/>
        <v>#N/A</v>
      </c>
      <c r="P8073" s="12" t="e">
        <f t="shared" si="1267"/>
        <v>#N/A</v>
      </c>
      <c r="Q8073" s="17" t="e">
        <f t="shared" si="1269"/>
        <v>#N/A</v>
      </c>
    </row>
    <row r="8074" spans="1:17" x14ac:dyDescent="0.3">
      <c r="A8074" s="34">
        <f>base!J8074</f>
        <v>0</v>
      </c>
      <c r="B8074" s="34">
        <f>base!V8074</f>
        <v>0</v>
      </c>
      <c r="C8074" s="40" t="s">
        <v>11</v>
      </c>
      <c r="D8074" s="36">
        <f>base!H8074</f>
        <v>0</v>
      </c>
      <c r="E8074" s="44"/>
      <c r="F8074" s="16">
        <f>base!W8074</f>
        <v>0</v>
      </c>
      <c r="G8074" s="11" t="e">
        <f t="shared" si="1260"/>
        <v>#DIV/0!</v>
      </c>
      <c r="H8074" s="11" t="e">
        <f t="shared" si="1261"/>
        <v>#N/A</v>
      </c>
      <c r="I8074" s="11" t="e">
        <f t="shared" si="1262"/>
        <v>#N/A</v>
      </c>
      <c r="J8074" s="12" t="e">
        <f t="shared" si="1263"/>
        <v>#N/A</v>
      </c>
      <c r="K8074" s="17" t="e">
        <f t="shared" si="1268"/>
        <v>#N/A</v>
      </c>
      <c r="L8074" s="16">
        <f>base!X8074</f>
        <v>0</v>
      </c>
      <c r="M8074" s="11" t="e">
        <f t="shared" si="1264"/>
        <v>#DIV/0!</v>
      </c>
      <c r="N8074" s="11" t="e">
        <f t="shared" si="1265"/>
        <v>#N/A</v>
      </c>
      <c r="O8074" s="11" t="e">
        <f t="shared" si="1266"/>
        <v>#N/A</v>
      </c>
      <c r="P8074" s="12" t="e">
        <f t="shared" si="1267"/>
        <v>#N/A</v>
      </c>
      <c r="Q8074" s="17" t="e">
        <f t="shared" si="1269"/>
        <v>#N/A</v>
      </c>
    </row>
    <row r="8075" spans="1:17" x14ac:dyDescent="0.3">
      <c r="A8075" s="34">
        <f>base!J8075</f>
        <v>0</v>
      </c>
      <c r="B8075" s="34">
        <f>base!V8075</f>
        <v>0</v>
      </c>
      <c r="C8075" s="40" t="s">
        <v>11</v>
      </c>
      <c r="D8075" s="36">
        <f>base!H8075</f>
        <v>0</v>
      </c>
      <c r="E8075" s="44"/>
      <c r="F8075" s="16">
        <f>base!W8075</f>
        <v>0</v>
      </c>
      <c r="G8075" s="11" t="e">
        <f t="shared" si="1260"/>
        <v>#DIV/0!</v>
      </c>
      <c r="H8075" s="11" t="e">
        <f t="shared" si="1261"/>
        <v>#N/A</v>
      </c>
      <c r="I8075" s="11" t="e">
        <f t="shared" si="1262"/>
        <v>#N/A</v>
      </c>
      <c r="J8075" s="12" t="e">
        <f t="shared" si="1263"/>
        <v>#N/A</v>
      </c>
      <c r="K8075" s="17" t="e">
        <f t="shared" si="1268"/>
        <v>#N/A</v>
      </c>
      <c r="L8075" s="16">
        <f>base!X8075</f>
        <v>0</v>
      </c>
      <c r="M8075" s="11" t="e">
        <f t="shared" si="1264"/>
        <v>#DIV/0!</v>
      </c>
      <c r="N8075" s="11" t="e">
        <f t="shared" si="1265"/>
        <v>#N/A</v>
      </c>
      <c r="O8075" s="11" t="e">
        <f t="shared" si="1266"/>
        <v>#N/A</v>
      </c>
      <c r="P8075" s="12" t="e">
        <f t="shared" si="1267"/>
        <v>#N/A</v>
      </c>
      <c r="Q8075" s="17" t="e">
        <f t="shared" si="1269"/>
        <v>#N/A</v>
      </c>
    </row>
    <row r="8076" spans="1:17" x14ac:dyDescent="0.3">
      <c r="A8076" s="34">
        <f>base!J8076</f>
        <v>0</v>
      </c>
      <c r="B8076" s="34">
        <f>base!V8076</f>
        <v>0</v>
      </c>
      <c r="C8076" s="40" t="s">
        <v>11</v>
      </c>
      <c r="D8076" s="36">
        <f>base!H8076</f>
        <v>0</v>
      </c>
      <c r="E8076" s="44"/>
      <c r="F8076" s="16">
        <f>base!W8076</f>
        <v>0</v>
      </c>
      <c r="G8076" s="11" t="e">
        <f t="shared" si="1260"/>
        <v>#DIV/0!</v>
      </c>
      <c r="H8076" s="11" t="e">
        <f t="shared" si="1261"/>
        <v>#N/A</v>
      </c>
      <c r="I8076" s="11" t="e">
        <f t="shared" si="1262"/>
        <v>#N/A</v>
      </c>
      <c r="J8076" s="12" t="e">
        <f t="shared" si="1263"/>
        <v>#N/A</v>
      </c>
      <c r="K8076" s="17" t="e">
        <f t="shared" si="1268"/>
        <v>#N/A</v>
      </c>
      <c r="L8076" s="16">
        <f>base!X8076</f>
        <v>0</v>
      </c>
      <c r="M8076" s="11" t="e">
        <f t="shared" si="1264"/>
        <v>#DIV/0!</v>
      </c>
      <c r="N8076" s="11" t="e">
        <f t="shared" si="1265"/>
        <v>#N/A</v>
      </c>
      <c r="O8076" s="11" t="e">
        <f t="shared" si="1266"/>
        <v>#N/A</v>
      </c>
      <c r="P8076" s="12" t="e">
        <f t="shared" si="1267"/>
        <v>#N/A</v>
      </c>
      <c r="Q8076" s="17" t="e">
        <f t="shared" si="1269"/>
        <v>#N/A</v>
      </c>
    </row>
    <row r="8077" spans="1:17" x14ac:dyDescent="0.3">
      <c r="A8077" s="34">
        <f>base!J8077</f>
        <v>0</v>
      </c>
      <c r="B8077" s="34">
        <f>base!V8077</f>
        <v>0</v>
      </c>
      <c r="C8077" s="40" t="s">
        <v>11</v>
      </c>
      <c r="D8077" s="36">
        <f>base!H8077</f>
        <v>0</v>
      </c>
      <c r="E8077" s="44"/>
      <c r="F8077" s="16">
        <f>base!W8077</f>
        <v>0</v>
      </c>
      <c r="G8077" s="11" t="e">
        <f t="shared" si="1260"/>
        <v>#DIV/0!</v>
      </c>
      <c r="H8077" s="11" t="e">
        <f t="shared" si="1261"/>
        <v>#N/A</v>
      </c>
      <c r="I8077" s="11" t="e">
        <f t="shared" si="1262"/>
        <v>#N/A</v>
      </c>
      <c r="J8077" s="12" t="e">
        <f t="shared" si="1263"/>
        <v>#N/A</v>
      </c>
      <c r="K8077" s="17" t="e">
        <f t="shared" si="1268"/>
        <v>#N/A</v>
      </c>
      <c r="L8077" s="16">
        <f>base!X8077</f>
        <v>0</v>
      </c>
      <c r="M8077" s="11" t="e">
        <f t="shared" si="1264"/>
        <v>#DIV/0!</v>
      </c>
      <c r="N8077" s="11" t="e">
        <f t="shared" si="1265"/>
        <v>#N/A</v>
      </c>
      <c r="O8077" s="11" t="e">
        <f t="shared" si="1266"/>
        <v>#N/A</v>
      </c>
      <c r="P8077" s="12" t="e">
        <f t="shared" si="1267"/>
        <v>#N/A</v>
      </c>
      <c r="Q8077" s="17" t="e">
        <f t="shared" si="1269"/>
        <v>#N/A</v>
      </c>
    </row>
    <row r="8078" spans="1:17" x14ac:dyDescent="0.3">
      <c r="A8078" s="34">
        <f>base!J8078</f>
        <v>0</v>
      </c>
      <c r="B8078" s="34">
        <f>base!V8078</f>
        <v>0</v>
      </c>
      <c r="C8078" s="40" t="s">
        <v>11</v>
      </c>
      <c r="D8078" s="36">
        <f>base!H8078</f>
        <v>0</v>
      </c>
      <c r="E8078" s="44"/>
      <c r="F8078" s="16">
        <f>base!W8078</f>
        <v>0</v>
      </c>
      <c r="G8078" s="11" t="e">
        <f t="shared" si="1260"/>
        <v>#DIV/0!</v>
      </c>
      <c r="H8078" s="11" t="e">
        <f t="shared" si="1261"/>
        <v>#N/A</v>
      </c>
      <c r="I8078" s="11" t="e">
        <f t="shared" si="1262"/>
        <v>#N/A</v>
      </c>
      <c r="J8078" s="12" t="e">
        <f t="shared" si="1263"/>
        <v>#N/A</v>
      </c>
      <c r="K8078" s="17" t="e">
        <f t="shared" si="1268"/>
        <v>#N/A</v>
      </c>
      <c r="L8078" s="16">
        <f>base!X8078</f>
        <v>0</v>
      </c>
      <c r="M8078" s="11" t="e">
        <f t="shared" si="1264"/>
        <v>#DIV/0!</v>
      </c>
      <c r="N8078" s="11" t="e">
        <f t="shared" si="1265"/>
        <v>#N/A</v>
      </c>
      <c r="O8078" s="11" t="e">
        <f t="shared" si="1266"/>
        <v>#N/A</v>
      </c>
      <c r="P8078" s="12" t="e">
        <f t="shared" si="1267"/>
        <v>#N/A</v>
      </c>
      <c r="Q8078" s="17" t="e">
        <f t="shared" si="1269"/>
        <v>#N/A</v>
      </c>
    </row>
    <row r="8079" spans="1:17" x14ac:dyDescent="0.3">
      <c r="A8079" s="34">
        <f>base!J8079</f>
        <v>0</v>
      </c>
      <c r="B8079" s="34">
        <f>base!V8079</f>
        <v>0</v>
      </c>
      <c r="C8079" s="40" t="s">
        <v>11</v>
      </c>
      <c r="D8079" s="36">
        <f>base!H8079</f>
        <v>0</v>
      </c>
      <c r="E8079" s="44"/>
      <c r="F8079" s="16">
        <f>base!W8079</f>
        <v>0</v>
      </c>
      <c r="G8079" s="11" t="e">
        <f t="shared" si="1260"/>
        <v>#DIV/0!</v>
      </c>
      <c r="H8079" s="11" t="e">
        <f t="shared" si="1261"/>
        <v>#N/A</v>
      </c>
      <c r="I8079" s="11" t="e">
        <f t="shared" si="1262"/>
        <v>#N/A</v>
      </c>
      <c r="J8079" s="12" t="e">
        <f t="shared" si="1263"/>
        <v>#N/A</v>
      </c>
      <c r="K8079" s="17" t="e">
        <f t="shared" si="1268"/>
        <v>#N/A</v>
      </c>
      <c r="L8079" s="16">
        <f>base!X8079</f>
        <v>0</v>
      </c>
      <c r="M8079" s="11" t="e">
        <f t="shared" si="1264"/>
        <v>#DIV/0!</v>
      </c>
      <c r="N8079" s="11" t="e">
        <f t="shared" si="1265"/>
        <v>#N/A</v>
      </c>
      <c r="O8079" s="11" t="e">
        <f t="shared" si="1266"/>
        <v>#N/A</v>
      </c>
      <c r="P8079" s="12" t="e">
        <f t="shared" si="1267"/>
        <v>#N/A</v>
      </c>
      <c r="Q8079" s="17" t="e">
        <f t="shared" si="1269"/>
        <v>#N/A</v>
      </c>
    </row>
    <row r="8080" spans="1:17" x14ac:dyDescent="0.3">
      <c r="A8080" s="34">
        <f>base!J8080</f>
        <v>0</v>
      </c>
      <c r="B8080" s="34">
        <f>base!V8080</f>
        <v>0</v>
      </c>
      <c r="C8080" s="40" t="s">
        <v>11</v>
      </c>
      <c r="D8080" s="36">
        <f>base!H8080</f>
        <v>0</v>
      </c>
      <c r="E8080" s="44"/>
      <c r="F8080" s="16">
        <f>base!W8080</f>
        <v>0</v>
      </c>
      <c r="G8080" s="11" t="e">
        <f t="shared" si="1260"/>
        <v>#DIV/0!</v>
      </c>
      <c r="H8080" s="11" t="e">
        <f t="shared" si="1261"/>
        <v>#N/A</v>
      </c>
      <c r="I8080" s="11" t="e">
        <f t="shared" si="1262"/>
        <v>#N/A</v>
      </c>
      <c r="J8080" s="12" t="e">
        <f t="shared" si="1263"/>
        <v>#N/A</v>
      </c>
      <c r="K8080" s="17" t="e">
        <f t="shared" si="1268"/>
        <v>#N/A</v>
      </c>
      <c r="L8080" s="16">
        <f>base!X8080</f>
        <v>0</v>
      </c>
      <c r="M8080" s="11" t="e">
        <f t="shared" si="1264"/>
        <v>#DIV/0!</v>
      </c>
      <c r="N8080" s="11" t="e">
        <f t="shared" si="1265"/>
        <v>#N/A</v>
      </c>
      <c r="O8080" s="11" t="e">
        <f t="shared" si="1266"/>
        <v>#N/A</v>
      </c>
      <c r="P8080" s="12" t="e">
        <f t="shared" si="1267"/>
        <v>#N/A</v>
      </c>
      <c r="Q8080" s="17" t="e">
        <f t="shared" si="1269"/>
        <v>#N/A</v>
      </c>
    </row>
    <row r="8081" spans="1:17" x14ac:dyDescent="0.3">
      <c r="A8081" s="34">
        <f>base!J8081</f>
        <v>0</v>
      </c>
      <c r="B8081" s="34">
        <f>base!V8081</f>
        <v>0</v>
      </c>
      <c r="C8081" s="40" t="s">
        <v>11</v>
      </c>
      <c r="D8081" s="36">
        <f>base!H8081</f>
        <v>0</v>
      </c>
      <c r="E8081" s="44"/>
      <c r="F8081" s="16">
        <f>base!W8081</f>
        <v>0</v>
      </c>
      <c r="G8081" s="11" t="e">
        <f t="shared" si="1260"/>
        <v>#DIV/0!</v>
      </c>
      <c r="H8081" s="11" t="e">
        <f t="shared" si="1261"/>
        <v>#N/A</v>
      </c>
      <c r="I8081" s="11" t="e">
        <f t="shared" si="1262"/>
        <v>#N/A</v>
      </c>
      <c r="J8081" s="12" t="e">
        <f t="shared" si="1263"/>
        <v>#N/A</v>
      </c>
      <c r="K8081" s="17" t="e">
        <f t="shared" si="1268"/>
        <v>#N/A</v>
      </c>
      <c r="L8081" s="16">
        <f>base!X8081</f>
        <v>0</v>
      </c>
      <c r="M8081" s="11" t="e">
        <f t="shared" si="1264"/>
        <v>#DIV/0!</v>
      </c>
      <c r="N8081" s="11" t="e">
        <f t="shared" si="1265"/>
        <v>#N/A</v>
      </c>
      <c r="O8081" s="11" t="e">
        <f t="shared" si="1266"/>
        <v>#N/A</v>
      </c>
      <c r="P8081" s="12" t="e">
        <f t="shared" si="1267"/>
        <v>#N/A</v>
      </c>
      <c r="Q8081" s="17" t="e">
        <f t="shared" si="1269"/>
        <v>#N/A</v>
      </c>
    </row>
    <row r="8082" spans="1:17" x14ac:dyDescent="0.3">
      <c r="A8082" s="34">
        <f>base!J8082</f>
        <v>0</v>
      </c>
      <c r="B8082" s="34">
        <f>base!V8082</f>
        <v>0</v>
      </c>
      <c r="C8082" s="40" t="s">
        <v>11</v>
      </c>
      <c r="D8082" s="36">
        <f>base!H8082</f>
        <v>0</v>
      </c>
      <c r="E8082" s="44"/>
      <c r="F8082" s="16">
        <f>base!W8082</f>
        <v>0</v>
      </c>
      <c r="G8082" s="11" t="e">
        <f t="shared" si="1260"/>
        <v>#DIV/0!</v>
      </c>
      <c r="H8082" s="11" t="e">
        <f t="shared" si="1261"/>
        <v>#N/A</v>
      </c>
      <c r="I8082" s="11" t="e">
        <f t="shared" si="1262"/>
        <v>#N/A</v>
      </c>
      <c r="J8082" s="12" t="e">
        <f t="shared" si="1263"/>
        <v>#N/A</v>
      </c>
      <c r="K8082" s="17" t="e">
        <f t="shared" si="1268"/>
        <v>#N/A</v>
      </c>
      <c r="L8082" s="16">
        <f>base!X8082</f>
        <v>0</v>
      </c>
      <c r="M8082" s="11" t="e">
        <f t="shared" si="1264"/>
        <v>#DIV/0!</v>
      </c>
      <c r="N8082" s="11" t="e">
        <f t="shared" si="1265"/>
        <v>#N/A</v>
      </c>
      <c r="O8082" s="11" t="e">
        <f t="shared" si="1266"/>
        <v>#N/A</v>
      </c>
      <c r="P8082" s="12" t="e">
        <f t="shared" si="1267"/>
        <v>#N/A</v>
      </c>
      <c r="Q8082" s="17" t="e">
        <f t="shared" si="1269"/>
        <v>#N/A</v>
      </c>
    </row>
    <row r="8083" spans="1:17" x14ac:dyDescent="0.3">
      <c r="A8083" s="34">
        <f>base!J8083</f>
        <v>0</v>
      </c>
      <c r="B8083" s="34">
        <f>base!V8083</f>
        <v>0</v>
      </c>
      <c r="C8083" s="40" t="s">
        <v>11</v>
      </c>
      <c r="D8083" s="36">
        <f>base!H8083</f>
        <v>0</v>
      </c>
      <c r="E8083" s="44"/>
      <c r="F8083" s="16">
        <f>base!W8083</f>
        <v>0</v>
      </c>
      <c r="G8083" s="11" t="e">
        <f t="shared" si="1260"/>
        <v>#DIV/0!</v>
      </c>
      <c r="H8083" s="11" t="e">
        <f t="shared" si="1261"/>
        <v>#N/A</v>
      </c>
      <c r="I8083" s="11" t="e">
        <f t="shared" si="1262"/>
        <v>#N/A</v>
      </c>
      <c r="J8083" s="12" t="e">
        <f t="shared" si="1263"/>
        <v>#N/A</v>
      </c>
      <c r="K8083" s="17" t="e">
        <f t="shared" si="1268"/>
        <v>#N/A</v>
      </c>
      <c r="L8083" s="16">
        <f>base!X8083</f>
        <v>0</v>
      </c>
      <c r="M8083" s="11" t="e">
        <f t="shared" si="1264"/>
        <v>#DIV/0!</v>
      </c>
      <c r="N8083" s="11" t="e">
        <f t="shared" si="1265"/>
        <v>#N/A</v>
      </c>
      <c r="O8083" s="11" t="e">
        <f t="shared" si="1266"/>
        <v>#N/A</v>
      </c>
      <c r="P8083" s="12" t="e">
        <f t="shared" si="1267"/>
        <v>#N/A</v>
      </c>
      <c r="Q8083" s="17" t="e">
        <f t="shared" si="1269"/>
        <v>#N/A</v>
      </c>
    </row>
    <row r="8084" spans="1:17" x14ac:dyDescent="0.3">
      <c r="A8084" s="34">
        <f>base!J8084</f>
        <v>0</v>
      </c>
      <c r="B8084" s="34">
        <f>base!V8084</f>
        <v>0</v>
      </c>
      <c r="C8084" s="40" t="s">
        <v>11</v>
      </c>
      <c r="D8084" s="36">
        <f>base!H8084</f>
        <v>0</v>
      </c>
      <c r="E8084" s="44"/>
      <c r="F8084" s="16">
        <f>base!W8084</f>
        <v>0</v>
      </c>
      <c r="G8084" s="11" t="e">
        <f t="shared" si="1260"/>
        <v>#DIV/0!</v>
      </c>
      <c r="H8084" s="11" t="e">
        <f t="shared" si="1261"/>
        <v>#N/A</v>
      </c>
      <c r="I8084" s="11" t="e">
        <f t="shared" si="1262"/>
        <v>#N/A</v>
      </c>
      <c r="J8084" s="12" t="e">
        <f t="shared" si="1263"/>
        <v>#N/A</v>
      </c>
      <c r="K8084" s="17" t="e">
        <f t="shared" si="1268"/>
        <v>#N/A</v>
      </c>
      <c r="L8084" s="16">
        <f>base!X8084</f>
        <v>0</v>
      </c>
      <c r="M8084" s="11" t="e">
        <f t="shared" si="1264"/>
        <v>#DIV/0!</v>
      </c>
      <c r="N8084" s="11" t="e">
        <f t="shared" si="1265"/>
        <v>#N/A</v>
      </c>
      <c r="O8084" s="11" t="e">
        <f t="shared" si="1266"/>
        <v>#N/A</v>
      </c>
      <c r="P8084" s="12" t="e">
        <f t="shared" si="1267"/>
        <v>#N/A</v>
      </c>
      <c r="Q8084" s="17" t="e">
        <f t="shared" si="1269"/>
        <v>#N/A</v>
      </c>
    </row>
    <row r="8085" spans="1:17" x14ac:dyDescent="0.3">
      <c r="A8085" s="34">
        <f>base!J8085</f>
        <v>0</v>
      </c>
      <c r="B8085" s="34">
        <f>base!V8085</f>
        <v>0</v>
      </c>
      <c r="C8085" s="40" t="s">
        <v>11</v>
      </c>
      <c r="D8085" s="36">
        <f>base!H8085</f>
        <v>0</v>
      </c>
      <c r="E8085" s="44"/>
      <c r="F8085" s="16">
        <f>base!W8085</f>
        <v>0</v>
      </c>
      <c r="G8085" s="11" t="e">
        <f t="shared" si="1260"/>
        <v>#DIV/0!</v>
      </c>
      <c r="H8085" s="11" t="e">
        <f t="shared" si="1261"/>
        <v>#N/A</v>
      </c>
      <c r="I8085" s="11" t="e">
        <f t="shared" si="1262"/>
        <v>#N/A</v>
      </c>
      <c r="J8085" s="12" t="e">
        <f t="shared" si="1263"/>
        <v>#N/A</v>
      </c>
      <c r="K8085" s="17" t="e">
        <f t="shared" si="1268"/>
        <v>#N/A</v>
      </c>
      <c r="L8085" s="16">
        <f>base!X8085</f>
        <v>0</v>
      </c>
      <c r="M8085" s="11" t="e">
        <f t="shared" si="1264"/>
        <v>#DIV/0!</v>
      </c>
      <c r="N8085" s="11" t="e">
        <f t="shared" si="1265"/>
        <v>#N/A</v>
      </c>
      <c r="O8085" s="11" t="e">
        <f t="shared" si="1266"/>
        <v>#N/A</v>
      </c>
      <c r="P8085" s="12" t="e">
        <f t="shared" si="1267"/>
        <v>#N/A</v>
      </c>
      <c r="Q8085" s="17" t="e">
        <f t="shared" si="1269"/>
        <v>#N/A</v>
      </c>
    </row>
    <row r="8086" spans="1:17" x14ac:dyDescent="0.3">
      <c r="A8086" s="34">
        <f>base!J8086</f>
        <v>0</v>
      </c>
      <c r="B8086" s="34">
        <f>base!V8086</f>
        <v>0</v>
      </c>
      <c r="C8086" s="40" t="s">
        <v>11</v>
      </c>
      <c r="D8086" s="36">
        <f>base!H8086</f>
        <v>0</v>
      </c>
      <c r="E8086" s="44"/>
      <c r="F8086" s="16">
        <f>base!W8086</f>
        <v>0</v>
      </c>
      <c r="G8086" s="11" t="e">
        <f t="shared" si="1260"/>
        <v>#DIV/0!</v>
      </c>
      <c r="H8086" s="11" t="e">
        <f t="shared" si="1261"/>
        <v>#N/A</v>
      </c>
      <c r="I8086" s="11" t="e">
        <f t="shared" si="1262"/>
        <v>#N/A</v>
      </c>
      <c r="J8086" s="12" t="e">
        <f t="shared" si="1263"/>
        <v>#N/A</v>
      </c>
      <c r="K8086" s="17" t="e">
        <f t="shared" si="1268"/>
        <v>#N/A</v>
      </c>
      <c r="L8086" s="16">
        <f>base!X8086</f>
        <v>0</v>
      </c>
      <c r="M8086" s="11" t="e">
        <f t="shared" si="1264"/>
        <v>#DIV/0!</v>
      </c>
      <c r="N8086" s="11" t="e">
        <f t="shared" si="1265"/>
        <v>#N/A</v>
      </c>
      <c r="O8086" s="11" t="e">
        <f t="shared" si="1266"/>
        <v>#N/A</v>
      </c>
      <c r="P8086" s="12" t="e">
        <f t="shared" si="1267"/>
        <v>#N/A</v>
      </c>
      <c r="Q8086" s="17" t="e">
        <f t="shared" si="1269"/>
        <v>#N/A</v>
      </c>
    </row>
    <row r="8087" spans="1:17" x14ac:dyDescent="0.3">
      <c r="A8087" s="34">
        <f>base!J8087</f>
        <v>0</v>
      </c>
      <c r="B8087" s="34">
        <f>base!V8087</f>
        <v>0</v>
      </c>
      <c r="C8087" s="40" t="s">
        <v>11</v>
      </c>
      <c r="D8087" s="36">
        <f>base!H8087</f>
        <v>0</v>
      </c>
      <c r="E8087" s="44"/>
      <c r="F8087" s="16">
        <f>base!W8087</f>
        <v>0</v>
      </c>
      <c r="G8087" s="11" t="e">
        <f t="shared" si="1260"/>
        <v>#DIV/0!</v>
      </c>
      <c r="H8087" s="11" t="e">
        <f t="shared" si="1261"/>
        <v>#N/A</v>
      </c>
      <c r="I8087" s="11" t="e">
        <f t="shared" si="1262"/>
        <v>#N/A</v>
      </c>
      <c r="J8087" s="12" t="e">
        <f t="shared" si="1263"/>
        <v>#N/A</v>
      </c>
      <c r="K8087" s="17" t="e">
        <f t="shared" si="1268"/>
        <v>#N/A</v>
      </c>
      <c r="L8087" s="16">
        <f>base!X8087</f>
        <v>0</v>
      </c>
      <c r="M8087" s="11" t="e">
        <f t="shared" si="1264"/>
        <v>#DIV/0!</v>
      </c>
      <c r="N8087" s="11" t="e">
        <f t="shared" si="1265"/>
        <v>#N/A</v>
      </c>
      <c r="O8087" s="11" t="e">
        <f t="shared" si="1266"/>
        <v>#N/A</v>
      </c>
      <c r="P8087" s="12" t="e">
        <f t="shared" si="1267"/>
        <v>#N/A</v>
      </c>
      <c r="Q8087" s="17" t="e">
        <f t="shared" si="1269"/>
        <v>#N/A</v>
      </c>
    </row>
    <row r="8088" spans="1:17" x14ac:dyDescent="0.3">
      <c r="A8088" s="34">
        <f>base!J8088</f>
        <v>0</v>
      </c>
      <c r="B8088" s="34">
        <f>base!V8088</f>
        <v>0</v>
      </c>
      <c r="C8088" s="40" t="s">
        <v>11</v>
      </c>
      <c r="D8088" s="36">
        <f>base!H8088</f>
        <v>0</v>
      </c>
      <c r="E8088" s="44"/>
      <c r="F8088" s="16">
        <f>base!W8088</f>
        <v>0</v>
      </c>
      <c r="G8088" s="11" t="e">
        <f t="shared" si="1260"/>
        <v>#DIV/0!</v>
      </c>
      <c r="H8088" s="11" t="e">
        <f t="shared" si="1261"/>
        <v>#N/A</v>
      </c>
      <c r="I8088" s="11" t="e">
        <f t="shared" si="1262"/>
        <v>#N/A</v>
      </c>
      <c r="J8088" s="12" t="e">
        <f t="shared" si="1263"/>
        <v>#N/A</v>
      </c>
      <c r="K8088" s="17" t="e">
        <f t="shared" si="1268"/>
        <v>#N/A</v>
      </c>
      <c r="L8088" s="16">
        <f>base!X8088</f>
        <v>0</v>
      </c>
      <c r="M8088" s="11" t="e">
        <f t="shared" si="1264"/>
        <v>#DIV/0!</v>
      </c>
      <c r="N8088" s="11" t="e">
        <f t="shared" si="1265"/>
        <v>#N/A</v>
      </c>
      <c r="O8088" s="11" t="e">
        <f t="shared" si="1266"/>
        <v>#N/A</v>
      </c>
      <c r="P8088" s="12" t="e">
        <f t="shared" si="1267"/>
        <v>#N/A</v>
      </c>
      <c r="Q8088" s="17" t="e">
        <f t="shared" si="1269"/>
        <v>#N/A</v>
      </c>
    </row>
    <row r="8089" spans="1:17" x14ac:dyDescent="0.3">
      <c r="A8089" s="34">
        <f>base!J8089</f>
        <v>0</v>
      </c>
      <c r="B8089" s="34">
        <f>base!V8089</f>
        <v>0</v>
      </c>
      <c r="C8089" s="40" t="s">
        <v>11</v>
      </c>
      <c r="D8089" s="36">
        <f>base!H8089</f>
        <v>0</v>
      </c>
      <c r="E8089" s="44"/>
      <c r="F8089" s="16">
        <f>base!W8089</f>
        <v>0</v>
      </c>
      <c r="G8089" s="11" t="e">
        <f t="shared" si="1260"/>
        <v>#DIV/0!</v>
      </c>
      <c r="H8089" s="11" t="e">
        <f t="shared" si="1261"/>
        <v>#N/A</v>
      </c>
      <c r="I8089" s="11" t="e">
        <f t="shared" si="1262"/>
        <v>#N/A</v>
      </c>
      <c r="J8089" s="12" t="e">
        <f t="shared" si="1263"/>
        <v>#N/A</v>
      </c>
      <c r="K8089" s="17" t="e">
        <f t="shared" si="1268"/>
        <v>#N/A</v>
      </c>
      <c r="L8089" s="16">
        <f>base!X8089</f>
        <v>0</v>
      </c>
      <c r="M8089" s="11" t="e">
        <f t="shared" si="1264"/>
        <v>#DIV/0!</v>
      </c>
      <c r="N8089" s="11" t="e">
        <f t="shared" si="1265"/>
        <v>#N/A</v>
      </c>
      <c r="O8089" s="11" t="e">
        <f t="shared" si="1266"/>
        <v>#N/A</v>
      </c>
      <c r="P8089" s="12" t="e">
        <f t="shared" si="1267"/>
        <v>#N/A</v>
      </c>
      <c r="Q8089" s="17" t="e">
        <f t="shared" si="1269"/>
        <v>#N/A</v>
      </c>
    </row>
    <row r="8090" spans="1:17" x14ac:dyDescent="0.3">
      <c r="A8090" s="34">
        <f>base!J8090</f>
        <v>0</v>
      </c>
      <c r="B8090" s="34">
        <f>base!V8090</f>
        <v>0</v>
      </c>
      <c r="C8090" s="40" t="s">
        <v>11</v>
      </c>
      <c r="D8090" s="36">
        <f>base!H8090</f>
        <v>0</v>
      </c>
      <c r="E8090" s="44"/>
      <c r="F8090" s="16">
        <f>base!W8090</f>
        <v>0</v>
      </c>
      <c r="G8090" s="11" t="e">
        <f t="shared" si="1260"/>
        <v>#DIV/0!</v>
      </c>
      <c r="H8090" s="11" t="e">
        <f t="shared" si="1261"/>
        <v>#N/A</v>
      </c>
      <c r="I8090" s="11" t="e">
        <f t="shared" si="1262"/>
        <v>#N/A</v>
      </c>
      <c r="J8090" s="12" t="e">
        <f t="shared" si="1263"/>
        <v>#N/A</v>
      </c>
      <c r="K8090" s="17" t="e">
        <f t="shared" si="1268"/>
        <v>#N/A</v>
      </c>
      <c r="L8090" s="16">
        <f>base!X8090</f>
        <v>0</v>
      </c>
      <c r="M8090" s="11" t="e">
        <f t="shared" si="1264"/>
        <v>#DIV/0!</v>
      </c>
      <c r="N8090" s="11" t="e">
        <f t="shared" si="1265"/>
        <v>#N/A</v>
      </c>
      <c r="O8090" s="11" t="e">
        <f t="shared" si="1266"/>
        <v>#N/A</v>
      </c>
      <c r="P8090" s="12" t="e">
        <f t="shared" si="1267"/>
        <v>#N/A</v>
      </c>
      <c r="Q8090" s="17" t="e">
        <f t="shared" si="1269"/>
        <v>#N/A</v>
      </c>
    </row>
    <row r="8091" spans="1:17" x14ac:dyDescent="0.3">
      <c r="A8091" s="34">
        <f>base!J8091</f>
        <v>0</v>
      </c>
      <c r="B8091" s="34">
        <f>base!V8091</f>
        <v>0</v>
      </c>
      <c r="C8091" s="40" t="s">
        <v>11</v>
      </c>
      <c r="D8091" s="36">
        <f>base!H8091</f>
        <v>0</v>
      </c>
      <c r="E8091" s="44"/>
      <c r="F8091" s="16">
        <f>base!W8091</f>
        <v>0</v>
      </c>
      <c r="G8091" s="11" t="e">
        <f t="shared" si="1260"/>
        <v>#DIV/0!</v>
      </c>
      <c r="H8091" s="11" t="e">
        <f t="shared" si="1261"/>
        <v>#N/A</v>
      </c>
      <c r="I8091" s="11" t="e">
        <f t="shared" si="1262"/>
        <v>#N/A</v>
      </c>
      <c r="J8091" s="12" t="e">
        <f t="shared" si="1263"/>
        <v>#N/A</v>
      </c>
      <c r="K8091" s="17" t="e">
        <f t="shared" si="1268"/>
        <v>#N/A</v>
      </c>
      <c r="L8091" s="16">
        <f>base!X8091</f>
        <v>0</v>
      </c>
      <c r="M8091" s="11" t="e">
        <f t="shared" si="1264"/>
        <v>#DIV/0!</v>
      </c>
      <c r="N8091" s="11" t="e">
        <f t="shared" si="1265"/>
        <v>#N/A</v>
      </c>
      <c r="O8091" s="11" t="e">
        <f t="shared" si="1266"/>
        <v>#N/A</v>
      </c>
      <c r="P8091" s="12" t="e">
        <f t="shared" si="1267"/>
        <v>#N/A</v>
      </c>
      <c r="Q8091" s="17" t="e">
        <f t="shared" si="1269"/>
        <v>#N/A</v>
      </c>
    </row>
    <row r="8092" spans="1:17" x14ac:dyDescent="0.3">
      <c r="A8092" s="34">
        <f>base!J8092</f>
        <v>0</v>
      </c>
      <c r="B8092" s="34">
        <f>base!V8092</f>
        <v>0</v>
      </c>
      <c r="C8092" s="40" t="s">
        <v>11</v>
      </c>
      <c r="D8092" s="36">
        <f>base!H8092</f>
        <v>0</v>
      </c>
      <c r="E8092" s="44"/>
      <c r="F8092" s="16">
        <f>base!W8092</f>
        <v>0</v>
      </c>
      <c r="G8092" s="11" t="e">
        <f t="shared" si="1260"/>
        <v>#DIV/0!</v>
      </c>
      <c r="H8092" s="11" t="e">
        <f t="shared" si="1261"/>
        <v>#N/A</v>
      </c>
      <c r="I8092" s="11" t="e">
        <f t="shared" si="1262"/>
        <v>#N/A</v>
      </c>
      <c r="J8092" s="12" t="e">
        <f t="shared" si="1263"/>
        <v>#N/A</v>
      </c>
      <c r="K8092" s="17" t="e">
        <f t="shared" si="1268"/>
        <v>#N/A</v>
      </c>
      <c r="L8092" s="16">
        <f>base!X8092</f>
        <v>0</v>
      </c>
      <c r="M8092" s="11" t="e">
        <f t="shared" si="1264"/>
        <v>#DIV/0!</v>
      </c>
      <c r="N8092" s="11" t="e">
        <f t="shared" si="1265"/>
        <v>#N/A</v>
      </c>
      <c r="O8092" s="11" t="e">
        <f t="shared" si="1266"/>
        <v>#N/A</v>
      </c>
      <c r="P8092" s="12" t="e">
        <f t="shared" si="1267"/>
        <v>#N/A</v>
      </c>
      <c r="Q8092" s="17" t="e">
        <f t="shared" si="1269"/>
        <v>#N/A</v>
      </c>
    </row>
    <row r="8093" spans="1:17" x14ac:dyDescent="0.3">
      <c r="A8093" s="34">
        <f>base!J8093</f>
        <v>0</v>
      </c>
      <c r="B8093" s="34">
        <f>base!V8093</f>
        <v>0</v>
      </c>
      <c r="C8093" s="40" t="s">
        <v>11</v>
      </c>
      <c r="D8093" s="36">
        <f>base!H8093</f>
        <v>0</v>
      </c>
      <c r="E8093" s="44"/>
      <c r="F8093" s="16">
        <f>base!W8093</f>
        <v>0</v>
      </c>
      <c r="G8093" s="11" t="e">
        <f t="shared" si="1260"/>
        <v>#DIV/0!</v>
      </c>
      <c r="H8093" s="11" t="e">
        <f t="shared" si="1261"/>
        <v>#N/A</v>
      </c>
      <c r="I8093" s="11" t="e">
        <f t="shared" si="1262"/>
        <v>#N/A</v>
      </c>
      <c r="J8093" s="12" t="e">
        <f t="shared" si="1263"/>
        <v>#N/A</v>
      </c>
      <c r="K8093" s="17" t="e">
        <f t="shared" si="1268"/>
        <v>#N/A</v>
      </c>
      <c r="L8093" s="16">
        <f>base!X8093</f>
        <v>0</v>
      </c>
      <c r="M8093" s="11" t="e">
        <f t="shared" si="1264"/>
        <v>#DIV/0!</v>
      </c>
      <c r="N8093" s="11" t="e">
        <f t="shared" si="1265"/>
        <v>#N/A</v>
      </c>
      <c r="O8093" s="11" t="e">
        <f t="shared" si="1266"/>
        <v>#N/A</v>
      </c>
      <c r="P8093" s="12" t="e">
        <f t="shared" si="1267"/>
        <v>#N/A</v>
      </c>
      <c r="Q8093" s="17" t="e">
        <f t="shared" si="1269"/>
        <v>#N/A</v>
      </c>
    </row>
    <row r="8094" spans="1:17" x14ac:dyDescent="0.3">
      <c r="A8094" s="34">
        <f>base!J8094</f>
        <v>0</v>
      </c>
      <c r="B8094" s="34">
        <f>base!V8094</f>
        <v>0</v>
      </c>
      <c r="C8094" s="40" t="s">
        <v>11</v>
      </c>
      <c r="D8094" s="36">
        <f>base!H8094</f>
        <v>0</v>
      </c>
      <c r="E8094" s="44"/>
      <c r="F8094" s="16">
        <f>base!W8094</f>
        <v>0</v>
      </c>
      <c r="G8094" s="11" t="e">
        <f t="shared" si="1260"/>
        <v>#DIV/0!</v>
      </c>
      <c r="H8094" s="11" t="e">
        <f t="shared" si="1261"/>
        <v>#N/A</v>
      </c>
      <c r="I8094" s="11" t="e">
        <f t="shared" si="1262"/>
        <v>#N/A</v>
      </c>
      <c r="J8094" s="12" t="e">
        <f t="shared" si="1263"/>
        <v>#N/A</v>
      </c>
      <c r="K8094" s="17" t="e">
        <f t="shared" si="1268"/>
        <v>#N/A</v>
      </c>
      <c r="L8094" s="16">
        <f>base!X8094</f>
        <v>0</v>
      </c>
      <c r="M8094" s="11" t="e">
        <f t="shared" si="1264"/>
        <v>#DIV/0!</v>
      </c>
      <c r="N8094" s="11" t="e">
        <f t="shared" si="1265"/>
        <v>#N/A</v>
      </c>
      <c r="O8094" s="11" t="e">
        <f t="shared" si="1266"/>
        <v>#N/A</v>
      </c>
      <c r="P8094" s="12" t="e">
        <f t="shared" si="1267"/>
        <v>#N/A</v>
      </c>
      <c r="Q8094" s="17" t="e">
        <f t="shared" si="1269"/>
        <v>#N/A</v>
      </c>
    </row>
    <row r="8095" spans="1:17" x14ac:dyDescent="0.3">
      <c r="A8095" s="34">
        <f>base!J8095</f>
        <v>0</v>
      </c>
      <c r="B8095" s="34">
        <f>base!V8095</f>
        <v>0</v>
      </c>
      <c r="C8095" s="40" t="s">
        <v>11</v>
      </c>
      <c r="D8095" s="36">
        <f>base!H8095</f>
        <v>0</v>
      </c>
      <c r="E8095" s="44"/>
      <c r="F8095" s="16">
        <f>base!W8095</f>
        <v>0</v>
      </c>
      <c r="G8095" s="11" t="e">
        <f t="shared" si="1260"/>
        <v>#DIV/0!</v>
      </c>
      <c r="H8095" s="11" t="e">
        <f t="shared" si="1261"/>
        <v>#N/A</v>
      </c>
      <c r="I8095" s="11" t="e">
        <f t="shared" si="1262"/>
        <v>#N/A</v>
      </c>
      <c r="J8095" s="12" t="e">
        <f t="shared" si="1263"/>
        <v>#N/A</v>
      </c>
      <c r="K8095" s="17" t="e">
        <f t="shared" si="1268"/>
        <v>#N/A</v>
      </c>
      <c r="L8095" s="16">
        <f>base!X8095</f>
        <v>0</v>
      </c>
      <c r="M8095" s="11" t="e">
        <f t="shared" si="1264"/>
        <v>#DIV/0!</v>
      </c>
      <c r="N8095" s="11" t="e">
        <f t="shared" si="1265"/>
        <v>#N/A</v>
      </c>
      <c r="O8095" s="11" t="e">
        <f t="shared" si="1266"/>
        <v>#N/A</v>
      </c>
      <c r="P8095" s="12" t="e">
        <f t="shared" si="1267"/>
        <v>#N/A</v>
      </c>
      <c r="Q8095" s="17" t="e">
        <f t="shared" si="1269"/>
        <v>#N/A</v>
      </c>
    </row>
    <row r="8096" spans="1:17" x14ac:dyDescent="0.3">
      <c r="A8096" s="34">
        <f>base!J8096</f>
        <v>0</v>
      </c>
      <c r="B8096" s="34">
        <f>base!V8096</f>
        <v>0</v>
      </c>
      <c r="C8096" s="40" t="s">
        <v>11</v>
      </c>
      <c r="D8096" s="36">
        <f>base!H8096</f>
        <v>0</v>
      </c>
      <c r="E8096" s="44"/>
      <c r="F8096" s="16">
        <f>base!W8096</f>
        <v>0</v>
      </c>
      <c r="G8096" s="11" t="e">
        <f t="shared" si="1260"/>
        <v>#DIV/0!</v>
      </c>
      <c r="H8096" s="11" t="e">
        <f t="shared" si="1261"/>
        <v>#N/A</v>
      </c>
      <c r="I8096" s="11" t="e">
        <f t="shared" si="1262"/>
        <v>#N/A</v>
      </c>
      <c r="J8096" s="12" t="e">
        <f t="shared" si="1263"/>
        <v>#N/A</v>
      </c>
      <c r="K8096" s="17" t="e">
        <f t="shared" si="1268"/>
        <v>#N/A</v>
      </c>
      <c r="L8096" s="16">
        <f>base!X8096</f>
        <v>0</v>
      </c>
      <c r="M8096" s="11" t="e">
        <f t="shared" si="1264"/>
        <v>#DIV/0!</v>
      </c>
      <c r="N8096" s="11" t="e">
        <f t="shared" si="1265"/>
        <v>#N/A</v>
      </c>
      <c r="O8096" s="11" t="e">
        <f t="shared" si="1266"/>
        <v>#N/A</v>
      </c>
      <c r="P8096" s="12" t="e">
        <f t="shared" si="1267"/>
        <v>#N/A</v>
      </c>
      <c r="Q8096" s="17" t="e">
        <f t="shared" si="1269"/>
        <v>#N/A</v>
      </c>
    </row>
    <row r="8097" spans="1:17" x14ac:dyDescent="0.3">
      <c r="A8097" s="34">
        <f>base!J8097</f>
        <v>0</v>
      </c>
      <c r="B8097" s="34">
        <f>base!V8097</f>
        <v>0</v>
      </c>
      <c r="C8097" s="40" t="s">
        <v>11</v>
      </c>
      <c r="D8097" s="36">
        <f>base!H8097</f>
        <v>0</v>
      </c>
      <c r="E8097" s="44"/>
      <c r="F8097" s="16">
        <f>base!W8097</f>
        <v>0</v>
      </c>
      <c r="G8097" s="11" t="e">
        <f t="shared" si="1260"/>
        <v>#DIV/0!</v>
      </c>
      <c r="H8097" s="11" t="e">
        <f t="shared" si="1261"/>
        <v>#N/A</v>
      </c>
      <c r="I8097" s="11" t="e">
        <f t="shared" si="1262"/>
        <v>#N/A</v>
      </c>
      <c r="J8097" s="12" t="e">
        <f t="shared" si="1263"/>
        <v>#N/A</v>
      </c>
      <c r="K8097" s="17" t="e">
        <f t="shared" si="1268"/>
        <v>#N/A</v>
      </c>
      <c r="L8097" s="16">
        <f>base!X8097</f>
        <v>0</v>
      </c>
      <c r="M8097" s="11" t="e">
        <f t="shared" si="1264"/>
        <v>#DIV/0!</v>
      </c>
      <c r="N8097" s="11" t="e">
        <f t="shared" si="1265"/>
        <v>#N/A</v>
      </c>
      <c r="O8097" s="11" t="e">
        <f t="shared" si="1266"/>
        <v>#N/A</v>
      </c>
      <c r="P8097" s="12" t="e">
        <f t="shared" si="1267"/>
        <v>#N/A</v>
      </c>
      <c r="Q8097" s="17" t="e">
        <f t="shared" si="1269"/>
        <v>#N/A</v>
      </c>
    </row>
    <row r="8098" spans="1:17" x14ac:dyDescent="0.3">
      <c r="A8098" s="34">
        <f>base!J8098</f>
        <v>0</v>
      </c>
      <c r="B8098" s="34">
        <f>base!V8098</f>
        <v>0</v>
      </c>
      <c r="C8098" s="40" t="s">
        <v>11</v>
      </c>
      <c r="D8098" s="36">
        <f>base!H8098</f>
        <v>0</v>
      </c>
      <c r="E8098" s="44"/>
      <c r="F8098" s="16">
        <f>base!W8098</f>
        <v>0</v>
      </c>
      <c r="G8098" s="11" t="e">
        <f t="shared" si="1260"/>
        <v>#DIV/0!</v>
      </c>
      <c r="H8098" s="11" t="e">
        <f t="shared" si="1261"/>
        <v>#N/A</v>
      </c>
      <c r="I8098" s="11" t="e">
        <f t="shared" si="1262"/>
        <v>#N/A</v>
      </c>
      <c r="J8098" s="12" t="e">
        <f t="shared" si="1263"/>
        <v>#N/A</v>
      </c>
      <c r="K8098" s="17" t="e">
        <f t="shared" si="1268"/>
        <v>#N/A</v>
      </c>
      <c r="L8098" s="16">
        <f>base!X8098</f>
        <v>0</v>
      </c>
      <c r="M8098" s="11" t="e">
        <f t="shared" si="1264"/>
        <v>#DIV/0!</v>
      </c>
      <c r="N8098" s="11" t="e">
        <f t="shared" si="1265"/>
        <v>#N/A</v>
      </c>
      <c r="O8098" s="11" t="e">
        <f t="shared" si="1266"/>
        <v>#N/A</v>
      </c>
      <c r="P8098" s="12" t="e">
        <f t="shared" si="1267"/>
        <v>#N/A</v>
      </c>
      <c r="Q8098" s="17" t="e">
        <f t="shared" si="1269"/>
        <v>#N/A</v>
      </c>
    </row>
    <row r="8099" spans="1:17" x14ac:dyDescent="0.3">
      <c r="A8099" s="34">
        <f>base!J8099</f>
        <v>0</v>
      </c>
      <c r="B8099" s="34">
        <f>base!V8099</f>
        <v>0</v>
      </c>
      <c r="C8099" s="40" t="s">
        <v>11</v>
      </c>
      <c r="D8099" s="36">
        <f>base!H8099</f>
        <v>0</v>
      </c>
      <c r="E8099" s="44"/>
      <c r="F8099" s="16">
        <f>base!W8099</f>
        <v>0</v>
      </c>
      <c r="G8099" s="11" t="e">
        <f t="shared" si="1260"/>
        <v>#DIV/0!</v>
      </c>
      <c r="H8099" s="11" t="e">
        <f t="shared" si="1261"/>
        <v>#N/A</v>
      </c>
      <c r="I8099" s="11" t="e">
        <f t="shared" si="1262"/>
        <v>#N/A</v>
      </c>
      <c r="J8099" s="12" t="e">
        <f t="shared" si="1263"/>
        <v>#N/A</v>
      </c>
      <c r="K8099" s="17" t="e">
        <f t="shared" si="1268"/>
        <v>#N/A</v>
      </c>
      <c r="L8099" s="16">
        <f>base!X8099</f>
        <v>0</v>
      </c>
      <c r="M8099" s="11" t="e">
        <f t="shared" si="1264"/>
        <v>#DIV/0!</v>
      </c>
      <c r="N8099" s="11" t="e">
        <f t="shared" si="1265"/>
        <v>#N/A</v>
      </c>
      <c r="O8099" s="11" t="e">
        <f t="shared" si="1266"/>
        <v>#N/A</v>
      </c>
      <c r="P8099" s="12" t="e">
        <f t="shared" si="1267"/>
        <v>#N/A</v>
      </c>
      <c r="Q8099" s="17" t="e">
        <f t="shared" si="1269"/>
        <v>#N/A</v>
      </c>
    </row>
    <row r="8100" spans="1:17" x14ac:dyDescent="0.3">
      <c r="A8100" s="34">
        <f>base!J8100</f>
        <v>0</v>
      </c>
      <c r="B8100" s="34">
        <f>base!V8100</f>
        <v>0</v>
      </c>
      <c r="C8100" s="40" t="s">
        <v>11</v>
      </c>
      <c r="D8100" s="36">
        <f>base!H8100</f>
        <v>0</v>
      </c>
      <c r="E8100" s="44"/>
      <c r="F8100" s="16">
        <f>base!W8100</f>
        <v>0</v>
      </c>
      <c r="G8100" s="11" t="e">
        <f t="shared" si="1260"/>
        <v>#DIV/0!</v>
      </c>
      <c r="H8100" s="11" t="e">
        <f t="shared" si="1261"/>
        <v>#N/A</v>
      </c>
      <c r="I8100" s="11" t="e">
        <f t="shared" si="1262"/>
        <v>#N/A</v>
      </c>
      <c r="J8100" s="12" t="e">
        <f t="shared" si="1263"/>
        <v>#N/A</v>
      </c>
      <c r="K8100" s="17" t="e">
        <f t="shared" si="1268"/>
        <v>#N/A</v>
      </c>
      <c r="L8100" s="16">
        <f>base!X8100</f>
        <v>0</v>
      </c>
      <c r="M8100" s="11" t="e">
        <f t="shared" si="1264"/>
        <v>#DIV/0!</v>
      </c>
      <c r="N8100" s="11" t="e">
        <f t="shared" si="1265"/>
        <v>#N/A</v>
      </c>
      <c r="O8100" s="11" t="e">
        <f t="shared" si="1266"/>
        <v>#N/A</v>
      </c>
      <c r="P8100" s="12" t="e">
        <f t="shared" si="1267"/>
        <v>#N/A</v>
      </c>
      <c r="Q8100" s="17" t="e">
        <f t="shared" si="1269"/>
        <v>#N/A</v>
      </c>
    </row>
    <row r="8101" spans="1:17" x14ac:dyDescent="0.3">
      <c r="A8101" s="34">
        <f>base!J8101</f>
        <v>0</v>
      </c>
      <c r="B8101" s="34">
        <f>base!V8101</f>
        <v>0</v>
      </c>
      <c r="C8101" s="40" t="s">
        <v>11</v>
      </c>
      <c r="D8101" s="36">
        <f>base!H8101</f>
        <v>0</v>
      </c>
      <c r="E8101" s="44"/>
      <c r="F8101" s="16">
        <f>base!W8101</f>
        <v>0</v>
      </c>
      <c r="G8101" s="11" t="e">
        <f t="shared" si="1260"/>
        <v>#DIV/0!</v>
      </c>
      <c r="H8101" s="11" t="e">
        <f t="shared" si="1261"/>
        <v>#N/A</v>
      </c>
      <c r="I8101" s="11" t="e">
        <f t="shared" si="1262"/>
        <v>#N/A</v>
      </c>
      <c r="J8101" s="12" t="e">
        <f t="shared" si="1263"/>
        <v>#N/A</v>
      </c>
      <c r="K8101" s="17" t="e">
        <f t="shared" si="1268"/>
        <v>#N/A</v>
      </c>
      <c r="L8101" s="16">
        <f>base!X8101</f>
        <v>0</v>
      </c>
      <c r="M8101" s="11" t="e">
        <f t="shared" si="1264"/>
        <v>#DIV/0!</v>
      </c>
      <c r="N8101" s="11" t="e">
        <f t="shared" si="1265"/>
        <v>#N/A</v>
      </c>
      <c r="O8101" s="11" t="e">
        <f t="shared" si="1266"/>
        <v>#N/A</v>
      </c>
      <c r="P8101" s="12" t="e">
        <f t="shared" si="1267"/>
        <v>#N/A</v>
      </c>
      <c r="Q8101" s="17" t="e">
        <f t="shared" si="1269"/>
        <v>#N/A</v>
      </c>
    </row>
    <row r="8102" spans="1:17" x14ac:dyDescent="0.3">
      <c r="A8102" s="34">
        <f>base!J8102</f>
        <v>0</v>
      </c>
      <c r="B8102" s="34">
        <f>base!V8102</f>
        <v>0</v>
      </c>
      <c r="C8102" s="40" t="s">
        <v>11</v>
      </c>
      <c r="D8102" s="36">
        <f>base!H8102</f>
        <v>0</v>
      </c>
      <c r="E8102" s="44"/>
      <c r="F8102" s="16">
        <f>base!W8102</f>
        <v>0</v>
      </c>
      <c r="G8102" s="11" t="e">
        <f t="shared" si="1260"/>
        <v>#DIV/0!</v>
      </c>
      <c r="H8102" s="11" t="e">
        <f t="shared" si="1261"/>
        <v>#N/A</v>
      </c>
      <c r="I8102" s="11" t="e">
        <f t="shared" si="1262"/>
        <v>#N/A</v>
      </c>
      <c r="J8102" s="12" t="e">
        <f t="shared" si="1263"/>
        <v>#N/A</v>
      </c>
      <c r="K8102" s="17" t="e">
        <f t="shared" si="1268"/>
        <v>#N/A</v>
      </c>
      <c r="L8102" s="16">
        <f>base!X8102</f>
        <v>0</v>
      </c>
      <c r="M8102" s="11" t="e">
        <f t="shared" si="1264"/>
        <v>#DIV/0!</v>
      </c>
      <c r="N8102" s="11" t="e">
        <f t="shared" si="1265"/>
        <v>#N/A</v>
      </c>
      <c r="O8102" s="11" t="e">
        <f t="shared" si="1266"/>
        <v>#N/A</v>
      </c>
      <c r="P8102" s="12" t="e">
        <f t="shared" si="1267"/>
        <v>#N/A</v>
      </c>
      <c r="Q8102" s="17" t="e">
        <f t="shared" si="1269"/>
        <v>#N/A</v>
      </c>
    </row>
    <row r="8103" spans="1:17" x14ac:dyDescent="0.3">
      <c r="A8103" s="34">
        <f>base!J8103</f>
        <v>0</v>
      </c>
      <c r="B8103" s="34">
        <f>base!V8103</f>
        <v>0</v>
      </c>
      <c r="C8103" s="40" t="s">
        <v>11</v>
      </c>
      <c r="D8103" s="36">
        <f>base!H8103</f>
        <v>0</v>
      </c>
      <c r="E8103" s="44"/>
      <c r="F8103" s="16">
        <f>base!W8103</f>
        <v>0</v>
      </c>
      <c r="G8103" s="11" t="e">
        <f t="shared" si="1260"/>
        <v>#DIV/0!</v>
      </c>
      <c r="H8103" s="11" t="e">
        <f t="shared" si="1261"/>
        <v>#N/A</v>
      </c>
      <c r="I8103" s="11" t="e">
        <f t="shared" si="1262"/>
        <v>#N/A</v>
      </c>
      <c r="J8103" s="12" t="e">
        <f t="shared" si="1263"/>
        <v>#N/A</v>
      </c>
      <c r="K8103" s="17" t="e">
        <f t="shared" si="1268"/>
        <v>#N/A</v>
      </c>
      <c r="L8103" s="16">
        <f>base!X8103</f>
        <v>0</v>
      </c>
      <c r="M8103" s="11" t="e">
        <f t="shared" si="1264"/>
        <v>#DIV/0!</v>
      </c>
      <c r="N8103" s="11" t="e">
        <f t="shared" si="1265"/>
        <v>#N/A</v>
      </c>
      <c r="O8103" s="11" t="e">
        <f t="shared" si="1266"/>
        <v>#N/A</v>
      </c>
      <c r="P8103" s="12" t="e">
        <f t="shared" si="1267"/>
        <v>#N/A</v>
      </c>
      <c r="Q8103" s="17" t="e">
        <f t="shared" si="1269"/>
        <v>#N/A</v>
      </c>
    </row>
    <row r="8104" spans="1:17" x14ac:dyDescent="0.3">
      <c r="A8104" s="34">
        <f>base!J8104</f>
        <v>0</v>
      </c>
      <c r="B8104" s="34">
        <f>base!V8104</f>
        <v>0</v>
      </c>
      <c r="C8104" s="40" t="s">
        <v>11</v>
      </c>
      <c r="D8104" s="36">
        <f>base!H8104</f>
        <v>0</v>
      </c>
      <c r="E8104" s="44"/>
      <c r="F8104" s="16">
        <f>base!W8104</f>
        <v>0</v>
      </c>
      <c r="G8104" s="11" t="e">
        <f t="shared" si="1260"/>
        <v>#DIV/0!</v>
      </c>
      <c r="H8104" s="11" t="e">
        <f t="shared" si="1261"/>
        <v>#N/A</v>
      </c>
      <c r="I8104" s="11" t="e">
        <f t="shared" si="1262"/>
        <v>#N/A</v>
      </c>
      <c r="J8104" s="12" t="e">
        <f t="shared" si="1263"/>
        <v>#N/A</v>
      </c>
      <c r="K8104" s="17" t="e">
        <f t="shared" si="1268"/>
        <v>#N/A</v>
      </c>
      <c r="L8104" s="16">
        <f>base!X8104</f>
        <v>0</v>
      </c>
      <c r="M8104" s="11" t="e">
        <f t="shared" si="1264"/>
        <v>#DIV/0!</v>
      </c>
      <c r="N8104" s="11" t="e">
        <f t="shared" si="1265"/>
        <v>#N/A</v>
      </c>
      <c r="O8104" s="11" t="e">
        <f t="shared" si="1266"/>
        <v>#N/A</v>
      </c>
      <c r="P8104" s="12" t="e">
        <f t="shared" si="1267"/>
        <v>#N/A</v>
      </c>
      <c r="Q8104" s="17" t="e">
        <f t="shared" si="1269"/>
        <v>#N/A</v>
      </c>
    </row>
    <row r="8105" spans="1:17" x14ac:dyDescent="0.3">
      <c r="A8105" s="34">
        <f>base!J8105</f>
        <v>0</v>
      </c>
      <c r="B8105" s="34">
        <f>base!V8105</f>
        <v>0</v>
      </c>
      <c r="C8105" s="40" t="s">
        <v>11</v>
      </c>
      <c r="D8105" s="36">
        <f>base!H8105</f>
        <v>0</v>
      </c>
      <c r="E8105" s="44"/>
      <c r="F8105" s="16">
        <f>base!W8105</f>
        <v>0</v>
      </c>
      <c r="G8105" s="11" t="e">
        <f t="shared" si="1260"/>
        <v>#DIV/0!</v>
      </c>
      <c r="H8105" s="11" t="e">
        <f t="shared" si="1261"/>
        <v>#N/A</v>
      </c>
      <c r="I8105" s="11" t="e">
        <f t="shared" si="1262"/>
        <v>#N/A</v>
      </c>
      <c r="J8105" s="12" t="e">
        <f t="shared" si="1263"/>
        <v>#N/A</v>
      </c>
      <c r="K8105" s="17" t="e">
        <f t="shared" si="1268"/>
        <v>#N/A</v>
      </c>
      <c r="L8105" s="16">
        <f>base!X8105</f>
        <v>0</v>
      </c>
      <c r="M8105" s="11" t="e">
        <f t="shared" si="1264"/>
        <v>#DIV/0!</v>
      </c>
      <c r="N8105" s="11" t="e">
        <f t="shared" si="1265"/>
        <v>#N/A</v>
      </c>
      <c r="O8105" s="11" t="e">
        <f t="shared" si="1266"/>
        <v>#N/A</v>
      </c>
      <c r="P8105" s="12" t="e">
        <f t="shared" si="1267"/>
        <v>#N/A</v>
      </c>
      <c r="Q8105" s="17" t="e">
        <f t="shared" si="1269"/>
        <v>#N/A</v>
      </c>
    </row>
    <row r="8106" spans="1:17" x14ac:dyDescent="0.3">
      <c r="A8106" s="34">
        <f>base!J8106</f>
        <v>0</v>
      </c>
      <c r="B8106" s="34">
        <f>base!V8106</f>
        <v>0</v>
      </c>
      <c r="C8106" s="40" t="s">
        <v>11</v>
      </c>
      <c r="D8106" s="36">
        <f>base!H8106</f>
        <v>0</v>
      </c>
      <c r="E8106" s="44"/>
      <c r="F8106" s="16">
        <f>base!W8106</f>
        <v>0</v>
      </c>
      <c r="G8106" s="11" t="e">
        <f t="shared" si="1260"/>
        <v>#DIV/0!</v>
      </c>
      <c r="H8106" s="11" t="e">
        <f t="shared" si="1261"/>
        <v>#N/A</v>
      </c>
      <c r="I8106" s="11" t="e">
        <f t="shared" si="1262"/>
        <v>#N/A</v>
      </c>
      <c r="J8106" s="12" t="e">
        <f t="shared" si="1263"/>
        <v>#N/A</v>
      </c>
      <c r="K8106" s="17" t="e">
        <f t="shared" si="1268"/>
        <v>#N/A</v>
      </c>
      <c r="L8106" s="16">
        <f>base!X8106</f>
        <v>0</v>
      </c>
      <c r="M8106" s="11" t="e">
        <f t="shared" si="1264"/>
        <v>#DIV/0!</v>
      </c>
      <c r="N8106" s="11" t="e">
        <f t="shared" si="1265"/>
        <v>#N/A</v>
      </c>
      <c r="O8106" s="11" t="e">
        <f t="shared" si="1266"/>
        <v>#N/A</v>
      </c>
      <c r="P8106" s="12" t="e">
        <f t="shared" si="1267"/>
        <v>#N/A</v>
      </c>
      <c r="Q8106" s="17" t="e">
        <f t="shared" si="1269"/>
        <v>#N/A</v>
      </c>
    </row>
    <row r="8107" spans="1:17" x14ac:dyDescent="0.3">
      <c r="A8107" s="34">
        <f>base!J8107</f>
        <v>0</v>
      </c>
      <c r="B8107" s="34">
        <f>base!V8107</f>
        <v>0</v>
      </c>
      <c r="C8107" s="40" t="s">
        <v>11</v>
      </c>
      <c r="D8107" s="36">
        <f>base!H8107</f>
        <v>0</v>
      </c>
      <c r="E8107" s="44"/>
      <c r="F8107" s="16">
        <f>base!W8107</f>
        <v>0</v>
      </c>
      <c r="G8107" s="11" t="e">
        <f t="shared" si="1260"/>
        <v>#DIV/0!</v>
      </c>
      <c r="H8107" s="11" t="e">
        <f t="shared" si="1261"/>
        <v>#N/A</v>
      </c>
      <c r="I8107" s="11" t="e">
        <f t="shared" si="1262"/>
        <v>#N/A</v>
      </c>
      <c r="J8107" s="12" t="e">
        <f t="shared" si="1263"/>
        <v>#N/A</v>
      </c>
      <c r="K8107" s="17" t="e">
        <f t="shared" si="1268"/>
        <v>#N/A</v>
      </c>
      <c r="L8107" s="16">
        <f>base!X8107</f>
        <v>0</v>
      </c>
      <c r="M8107" s="11" t="e">
        <f t="shared" si="1264"/>
        <v>#DIV/0!</v>
      </c>
      <c r="N8107" s="11" t="e">
        <f t="shared" si="1265"/>
        <v>#N/A</v>
      </c>
      <c r="O8107" s="11" t="e">
        <f t="shared" si="1266"/>
        <v>#N/A</v>
      </c>
      <c r="P8107" s="12" t="e">
        <f t="shared" si="1267"/>
        <v>#N/A</v>
      </c>
      <c r="Q8107" s="17" t="e">
        <f t="shared" si="1269"/>
        <v>#N/A</v>
      </c>
    </row>
    <row r="8108" spans="1:17" x14ac:dyDescent="0.3">
      <c r="A8108" s="34">
        <f>base!J8108</f>
        <v>0</v>
      </c>
      <c r="B8108" s="34">
        <f>base!V8108</f>
        <v>0</v>
      </c>
      <c r="C8108" s="40" t="s">
        <v>11</v>
      </c>
      <c r="D8108" s="36">
        <f>base!H8108</f>
        <v>0</v>
      </c>
      <c r="E8108" s="44"/>
      <c r="F8108" s="16">
        <f>base!W8108</f>
        <v>0</v>
      </c>
      <c r="G8108" s="11" t="e">
        <f t="shared" si="1260"/>
        <v>#DIV/0!</v>
      </c>
      <c r="H8108" s="11" t="e">
        <f t="shared" si="1261"/>
        <v>#N/A</v>
      </c>
      <c r="I8108" s="11" t="e">
        <f t="shared" si="1262"/>
        <v>#N/A</v>
      </c>
      <c r="J8108" s="12" t="e">
        <f t="shared" si="1263"/>
        <v>#N/A</v>
      </c>
      <c r="K8108" s="17" t="e">
        <f t="shared" si="1268"/>
        <v>#N/A</v>
      </c>
      <c r="L8108" s="16">
        <f>base!X8108</f>
        <v>0</v>
      </c>
      <c r="M8108" s="11" t="e">
        <f t="shared" si="1264"/>
        <v>#DIV/0!</v>
      </c>
      <c r="N8108" s="11" t="e">
        <f t="shared" si="1265"/>
        <v>#N/A</v>
      </c>
      <c r="O8108" s="11" t="e">
        <f t="shared" si="1266"/>
        <v>#N/A</v>
      </c>
      <c r="P8108" s="12" t="e">
        <f t="shared" si="1267"/>
        <v>#N/A</v>
      </c>
      <c r="Q8108" s="17" t="e">
        <f t="shared" si="1269"/>
        <v>#N/A</v>
      </c>
    </row>
    <row r="8109" spans="1:17" x14ac:dyDescent="0.3">
      <c r="A8109" s="34">
        <f>base!J8109</f>
        <v>0</v>
      </c>
      <c r="B8109" s="34">
        <f>base!V8109</f>
        <v>0</v>
      </c>
      <c r="C8109" s="40" t="s">
        <v>11</v>
      </c>
      <c r="D8109" s="36">
        <f>base!H8109</f>
        <v>0</v>
      </c>
      <c r="E8109" s="44"/>
      <c r="F8109" s="16">
        <f>base!W8109</f>
        <v>0</v>
      </c>
      <c r="G8109" s="11" t="e">
        <f t="shared" si="1260"/>
        <v>#DIV/0!</v>
      </c>
      <c r="H8109" s="11" t="e">
        <f t="shared" si="1261"/>
        <v>#N/A</v>
      </c>
      <c r="I8109" s="11" t="e">
        <f t="shared" si="1262"/>
        <v>#N/A</v>
      </c>
      <c r="J8109" s="12" t="e">
        <f t="shared" si="1263"/>
        <v>#N/A</v>
      </c>
      <c r="K8109" s="17" t="e">
        <f t="shared" si="1268"/>
        <v>#N/A</v>
      </c>
      <c r="L8109" s="16">
        <f>base!X8109</f>
        <v>0</v>
      </c>
      <c r="M8109" s="11" t="e">
        <f t="shared" si="1264"/>
        <v>#DIV/0!</v>
      </c>
      <c r="N8109" s="11" t="e">
        <f t="shared" si="1265"/>
        <v>#N/A</v>
      </c>
      <c r="O8109" s="11" t="e">
        <f t="shared" si="1266"/>
        <v>#N/A</v>
      </c>
      <c r="P8109" s="12" t="e">
        <f t="shared" si="1267"/>
        <v>#N/A</v>
      </c>
      <c r="Q8109" s="17" t="e">
        <f t="shared" si="1269"/>
        <v>#N/A</v>
      </c>
    </row>
    <row r="8110" spans="1:17" x14ac:dyDescent="0.3">
      <c r="A8110" s="34">
        <f>base!J8110</f>
        <v>0</v>
      </c>
      <c r="B8110" s="34">
        <f>base!V8110</f>
        <v>0</v>
      </c>
      <c r="C8110" s="40" t="s">
        <v>11</v>
      </c>
      <c r="D8110" s="36">
        <f>base!H8110</f>
        <v>0</v>
      </c>
      <c r="E8110" s="44"/>
      <c r="F8110" s="16">
        <f>base!W8110</f>
        <v>0</v>
      </c>
      <c r="G8110" s="11" t="e">
        <f t="shared" si="1260"/>
        <v>#DIV/0!</v>
      </c>
      <c r="H8110" s="11" t="e">
        <f t="shared" si="1261"/>
        <v>#N/A</v>
      </c>
      <c r="I8110" s="11" t="e">
        <f t="shared" si="1262"/>
        <v>#N/A</v>
      </c>
      <c r="J8110" s="12" t="e">
        <f t="shared" si="1263"/>
        <v>#N/A</v>
      </c>
      <c r="K8110" s="17" t="e">
        <f t="shared" si="1268"/>
        <v>#N/A</v>
      </c>
      <c r="L8110" s="16">
        <f>base!X8110</f>
        <v>0</v>
      </c>
      <c r="M8110" s="11" t="e">
        <f t="shared" si="1264"/>
        <v>#DIV/0!</v>
      </c>
      <c r="N8110" s="11" t="e">
        <f t="shared" si="1265"/>
        <v>#N/A</v>
      </c>
      <c r="O8110" s="11" t="e">
        <f t="shared" si="1266"/>
        <v>#N/A</v>
      </c>
      <c r="P8110" s="12" t="e">
        <f t="shared" si="1267"/>
        <v>#N/A</v>
      </c>
      <c r="Q8110" s="17" t="e">
        <f t="shared" si="1269"/>
        <v>#N/A</v>
      </c>
    </row>
    <row r="8111" spans="1:17" x14ac:dyDescent="0.3">
      <c r="A8111" s="34">
        <f>base!J8111</f>
        <v>0</v>
      </c>
      <c r="B8111" s="34">
        <f>base!V8111</f>
        <v>0</v>
      </c>
      <c r="C8111" s="40" t="s">
        <v>11</v>
      </c>
      <c r="D8111" s="36">
        <f>base!H8111</f>
        <v>0</v>
      </c>
      <c r="E8111" s="44"/>
      <c r="F8111" s="16">
        <f>base!W8111</f>
        <v>0</v>
      </c>
      <c r="G8111" s="11" t="e">
        <f t="shared" si="1260"/>
        <v>#DIV/0!</v>
      </c>
      <c r="H8111" s="11" t="e">
        <f t="shared" si="1261"/>
        <v>#N/A</v>
      </c>
      <c r="I8111" s="11" t="e">
        <f t="shared" si="1262"/>
        <v>#N/A</v>
      </c>
      <c r="J8111" s="12" t="e">
        <f t="shared" si="1263"/>
        <v>#N/A</v>
      </c>
      <c r="K8111" s="17" t="e">
        <f t="shared" si="1268"/>
        <v>#N/A</v>
      </c>
      <c r="L8111" s="16">
        <f>base!X8111</f>
        <v>0</v>
      </c>
      <c r="M8111" s="11" t="e">
        <f t="shared" si="1264"/>
        <v>#DIV/0!</v>
      </c>
      <c r="N8111" s="11" t="e">
        <f t="shared" si="1265"/>
        <v>#N/A</v>
      </c>
      <c r="O8111" s="11" t="e">
        <f t="shared" si="1266"/>
        <v>#N/A</v>
      </c>
      <c r="P8111" s="12" t="e">
        <f t="shared" si="1267"/>
        <v>#N/A</v>
      </c>
      <c r="Q8111" s="17" t="e">
        <f t="shared" si="1269"/>
        <v>#N/A</v>
      </c>
    </row>
    <row r="8112" spans="1:17" x14ac:dyDescent="0.3">
      <c r="A8112" s="34">
        <f>base!J8112</f>
        <v>0</v>
      </c>
      <c r="B8112" s="34">
        <f>base!V8112</f>
        <v>0</v>
      </c>
      <c r="C8112" s="40" t="s">
        <v>11</v>
      </c>
      <c r="D8112" s="36">
        <f>base!H8112</f>
        <v>0</v>
      </c>
      <c r="E8112" s="44"/>
      <c r="F8112" s="16">
        <f>base!W8112</f>
        <v>0</v>
      </c>
      <c r="G8112" s="11" t="e">
        <f t="shared" si="1260"/>
        <v>#DIV/0!</v>
      </c>
      <c r="H8112" s="11" t="e">
        <f t="shared" si="1261"/>
        <v>#N/A</v>
      </c>
      <c r="I8112" s="11" t="e">
        <f t="shared" si="1262"/>
        <v>#N/A</v>
      </c>
      <c r="J8112" s="12" t="e">
        <f t="shared" si="1263"/>
        <v>#N/A</v>
      </c>
      <c r="K8112" s="17" t="e">
        <f t="shared" si="1268"/>
        <v>#N/A</v>
      </c>
      <c r="L8112" s="16">
        <f>base!X8112</f>
        <v>0</v>
      </c>
      <c r="M8112" s="11" t="e">
        <f t="shared" si="1264"/>
        <v>#DIV/0!</v>
      </c>
      <c r="N8112" s="11" t="e">
        <f t="shared" si="1265"/>
        <v>#N/A</v>
      </c>
      <c r="O8112" s="11" t="e">
        <f t="shared" si="1266"/>
        <v>#N/A</v>
      </c>
      <c r="P8112" s="12" t="e">
        <f t="shared" si="1267"/>
        <v>#N/A</v>
      </c>
      <c r="Q8112" s="17" t="e">
        <f t="shared" si="1269"/>
        <v>#N/A</v>
      </c>
    </row>
    <row r="8113" spans="1:17" x14ac:dyDescent="0.3">
      <c r="A8113" s="34">
        <f>base!J8113</f>
        <v>0</v>
      </c>
      <c r="B8113" s="34">
        <f>base!V8113</f>
        <v>0</v>
      </c>
      <c r="C8113" s="40" t="s">
        <v>11</v>
      </c>
      <c r="D8113" s="36">
        <f>base!H8113</f>
        <v>0</v>
      </c>
      <c r="E8113" s="44"/>
      <c r="F8113" s="16">
        <f>base!W8113</f>
        <v>0</v>
      </c>
      <c r="G8113" s="11" t="e">
        <f t="shared" si="1260"/>
        <v>#DIV/0!</v>
      </c>
      <c r="H8113" s="11" t="e">
        <f t="shared" si="1261"/>
        <v>#N/A</v>
      </c>
      <c r="I8113" s="11" t="e">
        <f t="shared" si="1262"/>
        <v>#N/A</v>
      </c>
      <c r="J8113" s="12" t="e">
        <f t="shared" si="1263"/>
        <v>#N/A</v>
      </c>
      <c r="K8113" s="17" t="e">
        <f t="shared" si="1268"/>
        <v>#N/A</v>
      </c>
      <c r="L8113" s="16">
        <f>base!X8113</f>
        <v>0</v>
      </c>
      <c r="M8113" s="11" t="e">
        <f t="shared" si="1264"/>
        <v>#DIV/0!</v>
      </c>
      <c r="N8113" s="11" t="e">
        <f t="shared" si="1265"/>
        <v>#N/A</v>
      </c>
      <c r="O8113" s="11" t="e">
        <f t="shared" si="1266"/>
        <v>#N/A</v>
      </c>
      <c r="P8113" s="12" t="e">
        <f t="shared" si="1267"/>
        <v>#N/A</v>
      </c>
      <c r="Q8113" s="17" t="e">
        <f t="shared" si="1269"/>
        <v>#N/A</v>
      </c>
    </row>
    <row r="8114" spans="1:17" x14ac:dyDescent="0.3">
      <c r="A8114" s="34">
        <f>base!J8114</f>
        <v>0</v>
      </c>
      <c r="B8114" s="34">
        <f>base!V8114</f>
        <v>0</v>
      </c>
      <c r="C8114" s="40" t="s">
        <v>11</v>
      </c>
      <c r="D8114" s="36">
        <f>base!H8114</f>
        <v>0</v>
      </c>
      <c r="E8114" s="44"/>
      <c r="F8114" s="16">
        <f>base!W8114</f>
        <v>0</v>
      </c>
      <c r="G8114" s="11" t="e">
        <f t="shared" si="1260"/>
        <v>#DIV/0!</v>
      </c>
      <c r="H8114" s="11" t="e">
        <f t="shared" si="1261"/>
        <v>#N/A</v>
      </c>
      <c r="I8114" s="11" t="e">
        <f t="shared" si="1262"/>
        <v>#N/A</v>
      </c>
      <c r="J8114" s="12" t="e">
        <f t="shared" si="1263"/>
        <v>#N/A</v>
      </c>
      <c r="K8114" s="17" t="e">
        <f t="shared" si="1268"/>
        <v>#N/A</v>
      </c>
      <c r="L8114" s="16">
        <f>base!X8114</f>
        <v>0</v>
      </c>
      <c r="M8114" s="11" t="e">
        <f t="shared" si="1264"/>
        <v>#DIV/0!</v>
      </c>
      <c r="N8114" s="11" t="e">
        <f t="shared" si="1265"/>
        <v>#N/A</v>
      </c>
      <c r="O8114" s="11" t="e">
        <f t="shared" si="1266"/>
        <v>#N/A</v>
      </c>
      <c r="P8114" s="12" t="e">
        <f t="shared" si="1267"/>
        <v>#N/A</v>
      </c>
      <c r="Q8114" s="17" t="e">
        <f t="shared" si="1269"/>
        <v>#N/A</v>
      </c>
    </row>
    <row r="8115" spans="1:17" x14ac:dyDescent="0.3">
      <c r="A8115" s="34">
        <f>base!J8115</f>
        <v>0</v>
      </c>
      <c r="B8115" s="34">
        <f>base!V8115</f>
        <v>0</v>
      </c>
      <c r="C8115" s="40" t="s">
        <v>11</v>
      </c>
      <c r="D8115" s="36">
        <f>base!H8115</f>
        <v>0</v>
      </c>
      <c r="E8115" s="44"/>
      <c r="F8115" s="16">
        <f>base!W8115</f>
        <v>0</v>
      </c>
      <c r="G8115" s="11" t="e">
        <f t="shared" si="1260"/>
        <v>#DIV/0!</v>
      </c>
      <c r="H8115" s="11" t="e">
        <f t="shared" si="1261"/>
        <v>#N/A</v>
      </c>
      <c r="I8115" s="11" t="e">
        <f t="shared" si="1262"/>
        <v>#N/A</v>
      </c>
      <c r="J8115" s="12" t="e">
        <f t="shared" si="1263"/>
        <v>#N/A</v>
      </c>
      <c r="K8115" s="17" t="e">
        <f t="shared" si="1268"/>
        <v>#N/A</v>
      </c>
      <c r="L8115" s="16">
        <f>base!X8115</f>
        <v>0</v>
      </c>
      <c r="M8115" s="11" t="e">
        <f t="shared" si="1264"/>
        <v>#DIV/0!</v>
      </c>
      <c r="N8115" s="11" t="e">
        <f t="shared" si="1265"/>
        <v>#N/A</v>
      </c>
      <c r="O8115" s="11" t="e">
        <f t="shared" si="1266"/>
        <v>#N/A</v>
      </c>
      <c r="P8115" s="12" t="e">
        <f t="shared" si="1267"/>
        <v>#N/A</v>
      </c>
      <c r="Q8115" s="17" t="e">
        <f t="shared" si="1269"/>
        <v>#N/A</v>
      </c>
    </row>
    <row r="8116" spans="1:17" x14ac:dyDescent="0.3">
      <c r="A8116" s="34">
        <f>base!J8116</f>
        <v>0</v>
      </c>
      <c r="B8116" s="34">
        <f>base!V8116</f>
        <v>0</v>
      </c>
      <c r="C8116" s="40" t="s">
        <v>11</v>
      </c>
      <c r="D8116" s="36">
        <f>base!H8116</f>
        <v>0</v>
      </c>
      <c r="E8116" s="44"/>
      <c r="F8116" s="16">
        <f>base!W8116</f>
        <v>0</v>
      </c>
      <c r="G8116" s="11" t="e">
        <f t="shared" si="1260"/>
        <v>#DIV/0!</v>
      </c>
      <c r="H8116" s="11" t="e">
        <f t="shared" si="1261"/>
        <v>#N/A</v>
      </c>
      <c r="I8116" s="11" t="e">
        <f t="shared" si="1262"/>
        <v>#N/A</v>
      </c>
      <c r="J8116" s="12" t="e">
        <f t="shared" si="1263"/>
        <v>#N/A</v>
      </c>
      <c r="K8116" s="17" t="e">
        <f t="shared" si="1268"/>
        <v>#N/A</v>
      </c>
      <c r="L8116" s="16">
        <f>base!X8116</f>
        <v>0</v>
      </c>
      <c r="M8116" s="11" t="e">
        <f t="shared" si="1264"/>
        <v>#DIV/0!</v>
      </c>
      <c r="N8116" s="11" t="e">
        <f t="shared" si="1265"/>
        <v>#N/A</v>
      </c>
      <c r="O8116" s="11" t="e">
        <f t="shared" si="1266"/>
        <v>#N/A</v>
      </c>
      <c r="P8116" s="12" t="e">
        <f t="shared" si="1267"/>
        <v>#N/A</v>
      </c>
      <c r="Q8116" s="17" t="e">
        <f t="shared" si="1269"/>
        <v>#N/A</v>
      </c>
    </row>
    <row r="8117" spans="1:17" x14ac:dyDescent="0.3">
      <c r="A8117" s="34">
        <f>base!J8117</f>
        <v>0</v>
      </c>
      <c r="B8117" s="34">
        <f>base!V8117</f>
        <v>0</v>
      </c>
      <c r="C8117" s="40" t="s">
        <v>11</v>
      </c>
      <c r="D8117" s="36">
        <f>base!H8117</f>
        <v>0</v>
      </c>
      <c r="E8117" s="44"/>
      <c r="F8117" s="16">
        <f>base!W8117</f>
        <v>0</v>
      </c>
      <c r="G8117" s="11" t="e">
        <f t="shared" si="1260"/>
        <v>#DIV/0!</v>
      </c>
      <c r="H8117" s="11" t="e">
        <f t="shared" si="1261"/>
        <v>#N/A</v>
      </c>
      <c r="I8117" s="11" t="e">
        <f t="shared" si="1262"/>
        <v>#N/A</v>
      </c>
      <c r="J8117" s="12" t="e">
        <f t="shared" si="1263"/>
        <v>#N/A</v>
      </c>
      <c r="K8117" s="17" t="e">
        <f t="shared" si="1268"/>
        <v>#N/A</v>
      </c>
      <c r="L8117" s="16">
        <f>base!X8117</f>
        <v>0</v>
      </c>
      <c r="M8117" s="11" t="e">
        <f t="shared" si="1264"/>
        <v>#DIV/0!</v>
      </c>
      <c r="N8117" s="11" t="e">
        <f t="shared" si="1265"/>
        <v>#N/A</v>
      </c>
      <c r="O8117" s="11" t="e">
        <f t="shared" si="1266"/>
        <v>#N/A</v>
      </c>
      <c r="P8117" s="12" t="e">
        <f t="shared" si="1267"/>
        <v>#N/A</v>
      </c>
      <c r="Q8117" s="17" t="e">
        <f t="shared" si="1269"/>
        <v>#N/A</v>
      </c>
    </row>
    <row r="8118" spans="1:17" x14ac:dyDescent="0.3">
      <c r="A8118" s="34">
        <f>base!J8118</f>
        <v>0</v>
      </c>
      <c r="B8118" s="34">
        <f>base!V8118</f>
        <v>0</v>
      </c>
      <c r="C8118" s="40" t="s">
        <v>11</v>
      </c>
      <c r="D8118" s="36">
        <f>base!H8118</f>
        <v>0</v>
      </c>
      <c r="E8118" s="44"/>
      <c r="F8118" s="16">
        <f>base!W8118</f>
        <v>0</v>
      </c>
      <c r="G8118" s="11" t="e">
        <f t="shared" si="1260"/>
        <v>#DIV/0!</v>
      </c>
      <c r="H8118" s="11" t="e">
        <f t="shared" si="1261"/>
        <v>#N/A</v>
      </c>
      <c r="I8118" s="11" t="e">
        <f t="shared" si="1262"/>
        <v>#N/A</v>
      </c>
      <c r="J8118" s="12" t="e">
        <f t="shared" si="1263"/>
        <v>#N/A</v>
      </c>
      <c r="K8118" s="17" t="e">
        <f t="shared" si="1268"/>
        <v>#N/A</v>
      </c>
      <c r="L8118" s="16">
        <f>base!X8118</f>
        <v>0</v>
      </c>
      <c r="M8118" s="11" t="e">
        <f t="shared" si="1264"/>
        <v>#DIV/0!</v>
      </c>
      <c r="N8118" s="11" t="e">
        <f t="shared" si="1265"/>
        <v>#N/A</v>
      </c>
      <c r="O8118" s="11" t="e">
        <f t="shared" si="1266"/>
        <v>#N/A</v>
      </c>
      <c r="P8118" s="12" t="e">
        <f t="shared" si="1267"/>
        <v>#N/A</v>
      </c>
      <c r="Q8118" s="17" t="e">
        <f t="shared" si="1269"/>
        <v>#N/A</v>
      </c>
    </row>
    <row r="8119" spans="1:17" x14ac:dyDescent="0.3">
      <c r="A8119" s="34">
        <f>base!J8119</f>
        <v>0</v>
      </c>
      <c r="B8119" s="34">
        <f>base!V8119</f>
        <v>0</v>
      </c>
      <c r="C8119" s="40" t="s">
        <v>11</v>
      </c>
      <c r="D8119" s="36">
        <f>base!H8119</f>
        <v>0</v>
      </c>
      <c r="E8119" s="44"/>
      <c r="F8119" s="16">
        <f>base!W8119</f>
        <v>0</v>
      </c>
      <c r="G8119" s="11" t="e">
        <f t="shared" si="1260"/>
        <v>#DIV/0!</v>
      </c>
      <c r="H8119" s="11" t="e">
        <f t="shared" si="1261"/>
        <v>#N/A</v>
      </c>
      <c r="I8119" s="11" t="e">
        <f t="shared" si="1262"/>
        <v>#N/A</v>
      </c>
      <c r="J8119" s="12" t="e">
        <f t="shared" si="1263"/>
        <v>#N/A</v>
      </c>
      <c r="K8119" s="17" t="e">
        <f t="shared" si="1268"/>
        <v>#N/A</v>
      </c>
      <c r="L8119" s="16">
        <f>base!X8119</f>
        <v>0</v>
      </c>
      <c r="M8119" s="11" t="e">
        <f t="shared" si="1264"/>
        <v>#DIV/0!</v>
      </c>
      <c r="N8119" s="11" t="e">
        <f t="shared" si="1265"/>
        <v>#N/A</v>
      </c>
      <c r="O8119" s="11" t="e">
        <f t="shared" si="1266"/>
        <v>#N/A</v>
      </c>
      <c r="P8119" s="12" t="e">
        <f t="shared" si="1267"/>
        <v>#N/A</v>
      </c>
      <c r="Q8119" s="17" t="e">
        <f t="shared" si="1269"/>
        <v>#N/A</v>
      </c>
    </row>
    <row r="8120" spans="1:17" x14ac:dyDescent="0.3">
      <c r="A8120" s="34">
        <f>base!J8120</f>
        <v>0</v>
      </c>
      <c r="B8120" s="34">
        <f>base!V8120</f>
        <v>0</v>
      </c>
      <c r="C8120" s="40" t="s">
        <v>11</v>
      </c>
      <c r="D8120" s="36">
        <f>base!H8120</f>
        <v>0</v>
      </c>
      <c r="E8120" s="44"/>
      <c r="F8120" s="16">
        <f>base!W8120</f>
        <v>0</v>
      </c>
      <c r="G8120" s="11" t="e">
        <f t="shared" si="1260"/>
        <v>#DIV/0!</v>
      </c>
      <c r="H8120" s="11" t="e">
        <f t="shared" si="1261"/>
        <v>#N/A</v>
      </c>
      <c r="I8120" s="11" t="e">
        <f t="shared" si="1262"/>
        <v>#N/A</v>
      </c>
      <c r="J8120" s="12" t="e">
        <f t="shared" si="1263"/>
        <v>#N/A</v>
      </c>
      <c r="K8120" s="17" t="e">
        <f t="shared" si="1268"/>
        <v>#N/A</v>
      </c>
      <c r="L8120" s="16">
        <f>base!X8120</f>
        <v>0</v>
      </c>
      <c r="M8120" s="11" t="e">
        <f t="shared" si="1264"/>
        <v>#DIV/0!</v>
      </c>
      <c r="N8120" s="11" t="e">
        <f t="shared" si="1265"/>
        <v>#N/A</v>
      </c>
      <c r="O8120" s="11" t="e">
        <f t="shared" si="1266"/>
        <v>#N/A</v>
      </c>
      <c r="P8120" s="12" t="e">
        <f t="shared" si="1267"/>
        <v>#N/A</v>
      </c>
      <c r="Q8120" s="17" t="e">
        <f t="shared" si="1269"/>
        <v>#N/A</v>
      </c>
    </row>
    <row r="8121" spans="1:17" x14ac:dyDescent="0.3">
      <c r="A8121" s="34">
        <f>base!J8121</f>
        <v>0</v>
      </c>
      <c r="B8121" s="34">
        <f>base!V8121</f>
        <v>0</v>
      </c>
      <c r="C8121" s="40" t="s">
        <v>11</v>
      </c>
      <c r="D8121" s="36">
        <f>base!H8121</f>
        <v>0</v>
      </c>
      <c r="E8121" s="44"/>
      <c r="F8121" s="16">
        <f>base!W8121</f>
        <v>0</v>
      </c>
      <c r="G8121" s="11" t="e">
        <f t="shared" si="1260"/>
        <v>#DIV/0!</v>
      </c>
      <c r="H8121" s="11" t="e">
        <f t="shared" si="1261"/>
        <v>#N/A</v>
      </c>
      <c r="I8121" s="11" t="e">
        <f t="shared" si="1262"/>
        <v>#N/A</v>
      </c>
      <c r="J8121" s="12" t="e">
        <f t="shared" si="1263"/>
        <v>#N/A</v>
      </c>
      <c r="K8121" s="17" t="e">
        <f t="shared" si="1268"/>
        <v>#N/A</v>
      </c>
      <c r="L8121" s="16">
        <f>base!X8121</f>
        <v>0</v>
      </c>
      <c r="M8121" s="11" t="e">
        <f t="shared" si="1264"/>
        <v>#DIV/0!</v>
      </c>
      <c r="N8121" s="11" t="e">
        <f t="shared" si="1265"/>
        <v>#N/A</v>
      </c>
      <c r="O8121" s="11" t="e">
        <f t="shared" si="1266"/>
        <v>#N/A</v>
      </c>
      <c r="P8121" s="12" t="e">
        <f t="shared" si="1267"/>
        <v>#N/A</v>
      </c>
      <c r="Q8121" s="17" t="e">
        <f t="shared" si="1269"/>
        <v>#N/A</v>
      </c>
    </row>
    <row r="8122" spans="1:17" x14ac:dyDescent="0.3">
      <c r="A8122" s="34">
        <f>base!J8122</f>
        <v>0</v>
      </c>
      <c r="B8122" s="34">
        <f>base!V8122</f>
        <v>0</v>
      </c>
      <c r="C8122" s="40" t="s">
        <v>11</v>
      </c>
      <c r="D8122" s="36">
        <f>base!H8122</f>
        <v>0</v>
      </c>
      <c r="E8122" s="44"/>
      <c r="F8122" s="16">
        <f>base!W8122</f>
        <v>0</v>
      </c>
      <c r="G8122" s="11" t="e">
        <f t="shared" si="1260"/>
        <v>#DIV/0!</v>
      </c>
      <c r="H8122" s="11" t="e">
        <f t="shared" si="1261"/>
        <v>#N/A</v>
      </c>
      <c r="I8122" s="11" t="e">
        <f t="shared" si="1262"/>
        <v>#N/A</v>
      </c>
      <c r="J8122" s="12" t="e">
        <f t="shared" si="1263"/>
        <v>#N/A</v>
      </c>
      <c r="K8122" s="17" t="e">
        <f t="shared" si="1268"/>
        <v>#N/A</v>
      </c>
      <c r="L8122" s="16">
        <f>base!X8122</f>
        <v>0</v>
      </c>
      <c r="M8122" s="11" t="e">
        <f t="shared" si="1264"/>
        <v>#DIV/0!</v>
      </c>
      <c r="N8122" s="11" t="e">
        <f t="shared" si="1265"/>
        <v>#N/A</v>
      </c>
      <c r="O8122" s="11" t="e">
        <f t="shared" si="1266"/>
        <v>#N/A</v>
      </c>
      <c r="P8122" s="12" t="e">
        <f t="shared" si="1267"/>
        <v>#N/A</v>
      </c>
      <c r="Q8122" s="17" t="e">
        <f t="shared" si="1269"/>
        <v>#N/A</v>
      </c>
    </row>
    <row r="8123" spans="1:17" x14ac:dyDescent="0.3">
      <c r="A8123" s="34">
        <f>base!J8123</f>
        <v>0</v>
      </c>
      <c r="B8123" s="34">
        <f>base!V8123</f>
        <v>0</v>
      </c>
      <c r="C8123" s="40" t="s">
        <v>11</v>
      </c>
      <c r="D8123" s="36">
        <f>base!H8123</f>
        <v>0</v>
      </c>
      <c r="E8123" s="44"/>
      <c r="F8123" s="16">
        <f>base!W8123</f>
        <v>0</v>
      </c>
      <c r="G8123" s="11" t="e">
        <f t="shared" si="1260"/>
        <v>#DIV/0!</v>
      </c>
      <c r="H8123" s="11" t="e">
        <f t="shared" si="1261"/>
        <v>#N/A</v>
      </c>
      <c r="I8123" s="11" t="e">
        <f t="shared" si="1262"/>
        <v>#N/A</v>
      </c>
      <c r="J8123" s="12" t="e">
        <f t="shared" si="1263"/>
        <v>#N/A</v>
      </c>
      <c r="K8123" s="17" t="e">
        <f t="shared" si="1268"/>
        <v>#N/A</v>
      </c>
      <c r="L8123" s="16">
        <f>base!X8123</f>
        <v>0</v>
      </c>
      <c r="M8123" s="11" t="e">
        <f t="shared" si="1264"/>
        <v>#DIV/0!</v>
      </c>
      <c r="N8123" s="11" t="e">
        <f t="shared" si="1265"/>
        <v>#N/A</v>
      </c>
      <c r="O8123" s="11" t="e">
        <f t="shared" si="1266"/>
        <v>#N/A</v>
      </c>
      <c r="P8123" s="12" t="e">
        <f t="shared" si="1267"/>
        <v>#N/A</v>
      </c>
      <c r="Q8123" s="17" t="e">
        <f t="shared" si="1269"/>
        <v>#N/A</v>
      </c>
    </row>
    <row r="8124" spans="1:17" x14ac:dyDescent="0.3">
      <c r="A8124" s="34">
        <f>base!J8124</f>
        <v>0</v>
      </c>
      <c r="B8124" s="34">
        <f>base!V8124</f>
        <v>0</v>
      </c>
      <c r="C8124" s="40" t="s">
        <v>11</v>
      </c>
      <c r="D8124" s="36">
        <f>base!H8124</f>
        <v>0</v>
      </c>
      <c r="E8124" s="44"/>
      <c r="F8124" s="16">
        <f>base!W8124</f>
        <v>0</v>
      </c>
      <c r="G8124" s="11" t="e">
        <f t="shared" si="1260"/>
        <v>#DIV/0!</v>
      </c>
      <c r="H8124" s="11" t="e">
        <f t="shared" si="1261"/>
        <v>#N/A</v>
      </c>
      <c r="I8124" s="11" t="e">
        <f t="shared" si="1262"/>
        <v>#N/A</v>
      </c>
      <c r="J8124" s="12" t="e">
        <f t="shared" si="1263"/>
        <v>#N/A</v>
      </c>
      <c r="K8124" s="17" t="e">
        <f t="shared" si="1268"/>
        <v>#N/A</v>
      </c>
      <c r="L8124" s="16">
        <f>base!X8124</f>
        <v>0</v>
      </c>
      <c r="M8124" s="11" t="e">
        <f t="shared" si="1264"/>
        <v>#DIV/0!</v>
      </c>
      <c r="N8124" s="11" t="e">
        <f t="shared" si="1265"/>
        <v>#N/A</v>
      </c>
      <c r="O8124" s="11" t="e">
        <f t="shared" si="1266"/>
        <v>#N/A</v>
      </c>
      <c r="P8124" s="12" t="e">
        <f t="shared" si="1267"/>
        <v>#N/A</v>
      </c>
      <c r="Q8124" s="17" t="e">
        <f t="shared" si="1269"/>
        <v>#N/A</v>
      </c>
    </row>
    <row r="8125" spans="1:17" x14ac:dyDescent="0.3">
      <c r="A8125" s="34">
        <f>base!J8125</f>
        <v>0</v>
      </c>
      <c r="B8125" s="34">
        <f>base!V8125</f>
        <v>0</v>
      </c>
      <c r="C8125" s="40" t="s">
        <v>11</v>
      </c>
      <c r="D8125" s="36">
        <f>base!H8125</f>
        <v>0</v>
      </c>
      <c r="E8125" s="44"/>
      <c r="F8125" s="16">
        <f>base!W8125</f>
        <v>0</v>
      </c>
      <c r="G8125" s="11" t="e">
        <f t="shared" si="1260"/>
        <v>#DIV/0!</v>
      </c>
      <c r="H8125" s="11" t="e">
        <f t="shared" si="1261"/>
        <v>#N/A</v>
      </c>
      <c r="I8125" s="11" t="e">
        <f t="shared" si="1262"/>
        <v>#N/A</v>
      </c>
      <c r="J8125" s="12" t="e">
        <f t="shared" si="1263"/>
        <v>#N/A</v>
      </c>
      <c r="K8125" s="17" t="e">
        <f t="shared" si="1268"/>
        <v>#N/A</v>
      </c>
      <c r="L8125" s="16">
        <f>base!X8125</f>
        <v>0</v>
      </c>
      <c r="M8125" s="11" t="e">
        <f t="shared" si="1264"/>
        <v>#DIV/0!</v>
      </c>
      <c r="N8125" s="11" t="e">
        <f t="shared" si="1265"/>
        <v>#N/A</v>
      </c>
      <c r="O8125" s="11" t="e">
        <f t="shared" si="1266"/>
        <v>#N/A</v>
      </c>
      <c r="P8125" s="12" t="e">
        <f t="shared" si="1267"/>
        <v>#N/A</v>
      </c>
      <c r="Q8125" s="17" t="e">
        <f t="shared" si="1269"/>
        <v>#N/A</v>
      </c>
    </row>
    <row r="8126" spans="1:17" x14ac:dyDescent="0.3">
      <c r="A8126" s="34">
        <f>base!J8126</f>
        <v>0</v>
      </c>
      <c r="B8126" s="34">
        <f>base!V8126</f>
        <v>0</v>
      </c>
      <c r="C8126" s="40" t="s">
        <v>11</v>
      </c>
      <c r="D8126" s="36">
        <f>base!H8126</f>
        <v>0</v>
      </c>
      <c r="E8126" s="44"/>
      <c r="F8126" s="16">
        <f>base!W8126</f>
        <v>0</v>
      </c>
      <c r="G8126" s="11" t="e">
        <f t="shared" si="1260"/>
        <v>#DIV/0!</v>
      </c>
      <c r="H8126" s="11" t="e">
        <f t="shared" si="1261"/>
        <v>#N/A</v>
      </c>
      <c r="I8126" s="11" t="e">
        <f t="shared" si="1262"/>
        <v>#N/A</v>
      </c>
      <c r="J8126" s="12" t="e">
        <f t="shared" si="1263"/>
        <v>#N/A</v>
      </c>
      <c r="K8126" s="17" t="e">
        <f t="shared" si="1268"/>
        <v>#N/A</v>
      </c>
      <c r="L8126" s="16">
        <f>base!X8126</f>
        <v>0</v>
      </c>
      <c r="M8126" s="11" t="e">
        <f t="shared" si="1264"/>
        <v>#DIV/0!</v>
      </c>
      <c r="N8126" s="11" t="e">
        <f t="shared" si="1265"/>
        <v>#N/A</v>
      </c>
      <c r="O8126" s="11" t="e">
        <f t="shared" si="1266"/>
        <v>#N/A</v>
      </c>
      <c r="P8126" s="12" t="e">
        <f t="shared" si="1267"/>
        <v>#N/A</v>
      </c>
      <c r="Q8126" s="17" t="e">
        <f t="shared" si="1269"/>
        <v>#N/A</v>
      </c>
    </row>
    <row r="8127" spans="1:17" x14ac:dyDescent="0.3">
      <c r="A8127" s="34">
        <f>base!J8127</f>
        <v>0</v>
      </c>
      <c r="B8127" s="34">
        <f>base!V8127</f>
        <v>0</v>
      </c>
      <c r="C8127" s="40" t="s">
        <v>11</v>
      </c>
      <c r="D8127" s="36">
        <f>base!H8127</f>
        <v>0</v>
      </c>
      <c r="E8127" s="44"/>
      <c r="F8127" s="16">
        <f>base!W8127</f>
        <v>0</v>
      </c>
      <c r="G8127" s="11" t="e">
        <f t="shared" si="1260"/>
        <v>#DIV/0!</v>
      </c>
      <c r="H8127" s="11" t="e">
        <f t="shared" si="1261"/>
        <v>#N/A</v>
      </c>
      <c r="I8127" s="11" t="e">
        <f t="shared" si="1262"/>
        <v>#N/A</v>
      </c>
      <c r="J8127" s="12" t="e">
        <f t="shared" si="1263"/>
        <v>#N/A</v>
      </c>
      <c r="K8127" s="17" t="e">
        <f t="shared" si="1268"/>
        <v>#N/A</v>
      </c>
      <c r="L8127" s="16">
        <f>base!X8127</f>
        <v>0</v>
      </c>
      <c r="M8127" s="11" t="e">
        <f t="shared" si="1264"/>
        <v>#DIV/0!</v>
      </c>
      <c r="N8127" s="11" t="e">
        <f t="shared" si="1265"/>
        <v>#N/A</v>
      </c>
      <c r="O8127" s="11" t="e">
        <f t="shared" si="1266"/>
        <v>#N/A</v>
      </c>
      <c r="P8127" s="12" t="e">
        <f t="shared" si="1267"/>
        <v>#N/A</v>
      </c>
      <c r="Q8127" s="17" t="e">
        <f t="shared" si="1269"/>
        <v>#N/A</v>
      </c>
    </row>
    <row r="8128" spans="1:17" x14ac:dyDescent="0.3">
      <c r="A8128" s="34">
        <f>base!J8128</f>
        <v>0</v>
      </c>
      <c r="B8128" s="34">
        <f>base!V8128</f>
        <v>0</v>
      </c>
      <c r="C8128" s="40" t="s">
        <v>11</v>
      </c>
      <c r="D8128" s="36">
        <f>base!H8128</f>
        <v>0</v>
      </c>
      <c r="E8128" s="44"/>
      <c r="F8128" s="16">
        <f>base!W8128</f>
        <v>0</v>
      </c>
      <c r="G8128" s="11" t="e">
        <f t="shared" si="1260"/>
        <v>#DIV/0!</v>
      </c>
      <c r="H8128" s="11" t="e">
        <f t="shared" si="1261"/>
        <v>#N/A</v>
      </c>
      <c r="I8128" s="11" t="e">
        <f t="shared" si="1262"/>
        <v>#N/A</v>
      </c>
      <c r="J8128" s="12" t="e">
        <f t="shared" si="1263"/>
        <v>#N/A</v>
      </c>
      <c r="K8128" s="17" t="e">
        <f t="shared" si="1268"/>
        <v>#N/A</v>
      </c>
      <c r="L8128" s="16">
        <f>base!X8128</f>
        <v>0</v>
      </c>
      <c r="M8128" s="11" t="e">
        <f t="shared" si="1264"/>
        <v>#DIV/0!</v>
      </c>
      <c r="N8128" s="11" t="e">
        <f t="shared" si="1265"/>
        <v>#N/A</v>
      </c>
      <c r="O8128" s="11" t="e">
        <f t="shared" si="1266"/>
        <v>#N/A</v>
      </c>
      <c r="P8128" s="12" t="e">
        <f t="shared" si="1267"/>
        <v>#N/A</v>
      </c>
      <c r="Q8128" s="17" t="e">
        <f t="shared" si="1269"/>
        <v>#N/A</v>
      </c>
    </row>
    <row r="8129" spans="1:17" x14ac:dyDescent="0.3">
      <c r="A8129" s="34">
        <f>base!J8129</f>
        <v>0</v>
      </c>
      <c r="B8129" s="34">
        <f>base!V8129</f>
        <v>0</v>
      </c>
      <c r="C8129" s="40" t="s">
        <v>11</v>
      </c>
      <c r="D8129" s="36">
        <f>base!H8129</f>
        <v>0</v>
      </c>
      <c r="E8129" s="44"/>
      <c r="F8129" s="16">
        <f>base!W8129</f>
        <v>0</v>
      </c>
      <c r="G8129" s="11" t="e">
        <f t="shared" si="1260"/>
        <v>#DIV/0!</v>
      </c>
      <c r="H8129" s="11" t="e">
        <f t="shared" si="1261"/>
        <v>#N/A</v>
      </c>
      <c r="I8129" s="11" t="e">
        <f t="shared" si="1262"/>
        <v>#N/A</v>
      </c>
      <c r="J8129" s="12" t="e">
        <f t="shared" si="1263"/>
        <v>#N/A</v>
      </c>
      <c r="K8129" s="17" t="e">
        <f t="shared" si="1268"/>
        <v>#N/A</v>
      </c>
      <c r="L8129" s="16">
        <f>base!X8129</f>
        <v>0</v>
      </c>
      <c r="M8129" s="11" t="e">
        <f t="shared" si="1264"/>
        <v>#DIV/0!</v>
      </c>
      <c r="N8129" s="11" t="e">
        <f t="shared" si="1265"/>
        <v>#N/A</v>
      </c>
      <c r="O8129" s="11" t="e">
        <f t="shared" si="1266"/>
        <v>#N/A</v>
      </c>
      <c r="P8129" s="12" t="e">
        <f t="shared" si="1267"/>
        <v>#N/A</v>
      </c>
      <c r="Q8129" s="17" t="e">
        <f t="shared" si="1269"/>
        <v>#N/A</v>
      </c>
    </row>
    <row r="8130" spans="1:17" x14ac:dyDescent="0.3">
      <c r="A8130" s="34">
        <f>base!J8130</f>
        <v>0</v>
      </c>
      <c r="B8130" s="34">
        <f>base!V8130</f>
        <v>0</v>
      </c>
      <c r="C8130" s="40" t="s">
        <v>11</v>
      </c>
      <c r="D8130" s="36">
        <f>base!H8130</f>
        <v>0</v>
      </c>
      <c r="E8130" s="44"/>
      <c r="F8130" s="16">
        <f>base!W8130</f>
        <v>0</v>
      </c>
      <c r="G8130" s="11" t="e">
        <f t="shared" ref="G8130:G8193" si="1270">F8130/D8130</f>
        <v>#DIV/0!</v>
      </c>
      <c r="H8130" s="11" t="e">
        <f t="shared" ref="H8130:H8193" si="1271">VLOOKUP(C8130,tout_cout_traction,2,FALSE)*D8130</f>
        <v>#N/A</v>
      </c>
      <c r="I8130" s="11" t="e">
        <f t="shared" ref="I8130:I8193" si="1272">H8130/D8130</f>
        <v>#N/A</v>
      </c>
      <c r="J8130" s="12" t="e">
        <f t="shared" ref="J8130:J8193" si="1273">F8130-H8130</f>
        <v>#N/A</v>
      </c>
      <c r="K8130" s="17" t="e">
        <f t="shared" si="1268"/>
        <v>#N/A</v>
      </c>
      <c r="L8130" s="16">
        <f>base!X8130</f>
        <v>0</v>
      </c>
      <c r="M8130" s="11" t="e">
        <f t="shared" ref="M8130:M8193" si="1274">L8130/D8130</f>
        <v>#DIV/0!</v>
      </c>
      <c r="N8130" s="11" t="e">
        <f t="shared" ref="N8130:N8150" si="1275">VLOOKUP(C8130,tout_cout_traction,3,FALSE)*D8130</f>
        <v>#N/A</v>
      </c>
      <c r="O8130" s="11" t="e">
        <f t="shared" ref="O8130:O8193" si="1276">N8130/D8130</f>
        <v>#N/A</v>
      </c>
      <c r="P8130" s="12" t="e">
        <f t="shared" ref="P8130:P8193" si="1277">L8130-N8130</f>
        <v>#N/A</v>
      </c>
      <c r="Q8130" s="17" t="e">
        <f t="shared" si="1269"/>
        <v>#N/A</v>
      </c>
    </row>
    <row r="8131" spans="1:17" x14ac:dyDescent="0.3">
      <c r="A8131" s="34">
        <f>base!J8131</f>
        <v>0</v>
      </c>
      <c r="B8131" s="34">
        <f>base!V8131</f>
        <v>0</v>
      </c>
      <c r="C8131" s="40" t="s">
        <v>11</v>
      </c>
      <c r="D8131" s="36">
        <f>base!H8131</f>
        <v>0</v>
      </c>
      <c r="E8131" s="44"/>
      <c r="F8131" s="16">
        <f>base!W8131</f>
        <v>0</v>
      </c>
      <c r="G8131" s="11" t="e">
        <f t="shared" si="1270"/>
        <v>#DIV/0!</v>
      </c>
      <c r="H8131" s="11" t="e">
        <f t="shared" si="1271"/>
        <v>#N/A</v>
      </c>
      <c r="I8131" s="11" t="e">
        <f t="shared" si="1272"/>
        <v>#N/A</v>
      </c>
      <c r="J8131" s="12" t="e">
        <f t="shared" si="1273"/>
        <v>#N/A</v>
      </c>
      <c r="K8131" s="17" t="e">
        <f t="shared" ref="K8131:K8194" si="1278">IF(H8131=F8131,"Pas d'écart",IF(H8131&lt;F8131,"Ecart positif",IF(H8131&gt;F8131,"Ecart négatif")))</f>
        <v>#N/A</v>
      </c>
      <c r="L8131" s="16">
        <f>base!X8131</f>
        <v>0</v>
      </c>
      <c r="M8131" s="11" t="e">
        <f t="shared" si="1274"/>
        <v>#DIV/0!</v>
      </c>
      <c r="N8131" s="11" t="e">
        <f t="shared" si="1275"/>
        <v>#N/A</v>
      </c>
      <c r="O8131" s="11" t="e">
        <f t="shared" si="1276"/>
        <v>#N/A</v>
      </c>
      <c r="P8131" s="12" t="e">
        <f t="shared" si="1277"/>
        <v>#N/A</v>
      </c>
      <c r="Q8131" s="17" t="e">
        <f t="shared" ref="Q8131:Q8194" si="1279">IF(N8131=L8131,"Pas d'écart",IF(N8131&lt;L8131,"Ecart positif",IF(N8131&gt;L8131,"Ecart négatif")))</f>
        <v>#N/A</v>
      </c>
    </row>
    <row r="8132" spans="1:17" x14ac:dyDescent="0.3">
      <c r="A8132" s="34">
        <f>base!J8132</f>
        <v>0</v>
      </c>
      <c r="B8132" s="34">
        <f>base!V8132</f>
        <v>0</v>
      </c>
      <c r="C8132" s="40" t="s">
        <v>11</v>
      </c>
      <c r="D8132" s="36">
        <f>base!H8132</f>
        <v>0</v>
      </c>
      <c r="E8132" s="44"/>
      <c r="F8132" s="16">
        <f>base!W8132</f>
        <v>0</v>
      </c>
      <c r="G8132" s="11" t="e">
        <f t="shared" si="1270"/>
        <v>#DIV/0!</v>
      </c>
      <c r="H8132" s="11" t="e">
        <f t="shared" si="1271"/>
        <v>#N/A</v>
      </c>
      <c r="I8132" s="11" t="e">
        <f t="shared" si="1272"/>
        <v>#N/A</v>
      </c>
      <c r="J8132" s="12" t="e">
        <f t="shared" si="1273"/>
        <v>#N/A</v>
      </c>
      <c r="K8132" s="17" t="e">
        <f t="shared" si="1278"/>
        <v>#N/A</v>
      </c>
      <c r="L8132" s="16">
        <f>base!X8132</f>
        <v>0</v>
      </c>
      <c r="M8132" s="11" t="e">
        <f t="shared" si="1274"/>
        <v>#DIV/0!</v>
      </c>
      <c r="N8132" s="11" t="e">
        <f t="shared" si="1275"/>
        <v>#N/A</v>
      </c>
      <c r="O8132" s="11" t="e">
        <f t="shared" si="1276"/>
        <v>#N/A</v>
      </c>
      <c r="P8132" s="12" t="e">
        <f t="shared" si="1277"/>
        <v>#N/A</v>
      </c>
      <c r="Q8132" s="17" t="e">
        <f t="shared" si="1279"/>
        <v>#N/A</v>
      </c>
    </row>
    <row r="8133" spans="1:17" x14ac:dyDescent="0.3">
      <c r="A8133" s="34">
        <f>base!J8133</f>
        <v>0</v>
      </c>
      <c r="B8133" s="34">
        <f>base!V8133</f>
        <v>0</v>
      </c>
      <c r="C8133" s="40" t="s">
        <v>11</v>
      </c>
      <c r="D8133" s="36">
        <f>base!H8133</f>
        <v>0</v>
      </c>
      <c r="E8133" s="44"/>
      <c r="F8133" s="16">
        <f>base!W8133</f>
        <v>0</v>
      </c>
      <c r="G8133" s="11" t="e">
        <f t="shared" si="1270"/>
        <v>#DIV/0!</v>
      </c>
      <c r="H8133" s="11" t="e">
        <f t="shared" si="1271"/>
        <v>#N/A</v>
      </c>
      <c r="I8133" s="11" t="e">
        <f t="shared" si="1272"/>
        <v>#N/A</v>
      </c>
      <c r="J8133" s="12" t="e">
        <f t="shared" si="1273"/>
        <v>#N/A</v>
      </c>
      <c r="K8133" s="17" t="e">
        <f t="shared" si="1278"/>
        <v>#N/A</v>
      </c>
      <c r="L8133" s="16">
        <f>base!X8133</f>
        <v>0</v>
      </c>
      <c r="M8133" s="11" t="e">
        <f t="shared" si="1274"/>
        <v>#DIV/0!</v>
      </c>
      <c r="N8133" s="11" t="e">
        <f t="shared" si="1275"/>
        <v>#N/A</v>
      </c>
      <c r="O8133" s="11" t="e">
        <f t="shared" si="1276"/>
        <v>#N/A</v>
      </c>
      <c r="P8133" s="12" t="e">
        <f t="shared" si="1277"/>
        <v>#N/A</v>
      </c>
      <c r="Q8133" s="17" t="e">
        <f t="shared" si="1279"/>
        <v>#N/A</v>
      </c>
    </row>
    <row r="8134" spans="1:17" x14ac:dyDescent="0.3">
      <c r="A8134" s="34">
        <f>base!J8134</f>
        <v>0</v>
      </c>
      <c r="B8134" s="34">
        <f>base!V8134</f>
        <v>0</v>
      </c>
      <c r="C8134" s="40" t="s">
        <v>11</v>
      </c>
      <c r="D8134" s="36">
        <f>base!H8134</f>
        <v>0</v>
      </c>
      <c r="E8134" s="44"/>
      <c r="F8134" s="16">
        <f>base!W8134</f>
        <v>0</v>
      </c>
      <c r="G8134" s="11" t="e">
        <f t="shared" si="1270"/>
        <v>#DIV/0!</v>
      </c>
      <c r="H8134" s="11" t="e">
        <f t="shared" si="1271"/>
        <v>#N/A</v>
      </c>
      <c r="I8134" s="11" t="e">
        <f t="shared" si="1272"/>
        <v>#N/A</v>
      </c>
      <c r="J8134" s="12" t="e">
        <f t="shared" si="1273"/>
        <v>#N/A</v>
      </c>
      <c r="K8134" s="17" t="e">
        <f t="shared" si="1278"/>
        <v>#N/A</v>
      </c>
      <c r="L8134" s="16">
        <f>base!X8134</f>
        <v>0</v>
      </c>
      <c r="M8134" s="11" t="e">
        <f t="shared" si="1274"/>
        <v>#DIV/0!</v>
      </c>
      <c r="N8134" s="11" t="e">
        <f t="shared" si="1275"/>
        <v>#N/A</v>
      </c>
      <c r="O8134" s="11" t="e">
        <f t="shared" si="1276"/>
        <v>#N/A</v>
      </c>
      <c r="P8134" s="12" t="e">
        <f t="shared" si="1277"/>
        <v>#N/A</v>
      </c>
      <c r="Q8134" s="17" t="e">
        <f t="shared" si="1279"/>
        <v>#N/A</v>
      </c>
    </row>
    <row r="8135" spans="1:17" x14ac:dyDescent="0.3">
      <c r="A8135" s="34">
        <f>base!J8135</f>
        <v>0</v>
      </c>
      <c r="B8135" s="34">
        <f>base!V8135</f>
        <v>0</v>
      </c>
      <c r="C8135" s="40" t="s">
        <v>11</v>
      </c>
      <c r="D8135" s="36">
        <f>base!H8135</f>
        <v>0</v>
      </c>
      <c r="E8135" s="44"/>
      <c r="F8135" s="16">
        <f>base!W8135</f>
        <v>0</v>
      </c>
      <c r="G8135" s="11" t="e">
        <f t="shared" si="1270"/>
        <v>#DIV/0!</v>
      </c>
      <c r="H8135" s="11" t="e">
        <f t="shared" si="1271"/>
        <v>#N/A</v>
      </c>
      <c r="I8135" s="11" t="e">
        <f t="shared" si="1272"/>
        <v>#N/A</v>
      </c>
      <c r="J8135" s="12" t="e">
        <f t="shared" si="1273"/>
        <v>#N/A</v>
      </c>
      <c r="K8135" s="17" t="e">
        <f t="shared" si="1278"/>
        <v>#N/A</v>
      </c>
      <c r="L8135" s="16">
        <f>base!X8135</f>
        <v>0</v>
      </c>
      <c r="M8135" s="11" t="e">
        <f t="shared" si="1274"/>
        <v>#DIV/0!</v>
      </c>
      <c r="N8135" s="11" t="e">
        <f t="shared" si="1275"/>
        <v>#N/A</v>
      </c>
      <c r="O8135" s="11" t="e">
        <f t="shared" si="1276"/>
        <v>#N/A</v>
      </c>
      <c r="P8135" s="12" t="e">
        <f t="shared" si="1277"/>
        <v>#N/A</v>
      </c>
      <c r="Q8135" s="17" t="e">
        <f t="shared" si="1279"/>
        <v>#N/A</v>
      </c>
    </row>
    <row r="8136" spans="1:17" x14ac:dyDescent="0.3">
      <c r="A8136" s="34">
        <f>base!J8136</f>
        <v>0</v>
      </c>
      <c r="B8136" s="34">
        <f>base!V8136</f>
        <v>0</v>
      </c>
      <c r="C8136" s="40" t="s">
        <v>11</v>
      </c>
      <c r="D8136" s="36">
        <f>base!H8136</f>
        <v>0</v>
      </c>
      <c r="E8136" s="44"/>
      <c r="F8136" s="16">
        <f>base!W8136</f>
        <v>0</v>
      </c>
      <c r="G8136" s="11" t="e">
        <f t="shared" si="1270"/>
        <v>#DIV/0!</v>
      </c>
      <c r="H8136" s="11" t="e">
        <f t="shared" si="1271"/>
        <v>#N/A</v>
      </c>
      <c r="I8136" s="11" t="e">
        <f t="shared" si="1272"/>
        <v>#N/A</v>
      </c>
      <c r="J8136" s="12" t="e">
        <f t="shared" si="1273"/>
        <v>#N/A</v>
      </c>
      <c r="K8136" s="17" t="e">
        <f t="shared" si="1278"/>
        <v>#N/A</v>
      </c>
      <c r="L8136" s="16">
        <f>base!X8136</f>
        <v>0</v>
      </c>
      <c r="M8136" s="11" t="e">
        <f t="shared" si="1274"/>
        <v>#DIV/0!</v>
      </c>
      <c r="N8136" s="11" t="e">
        <f t="shared" si="1275"/>
        <v>#N/A</v>
      </c>
      <c r="O8136" s="11" t="e">
        <f t="shared" si="1276"/>
        <v>#N/A</v>
      </c>
      <c r="P8136" s="12" t="e">
        <f t="shared" si="1277"/>
        <v>#N/A</v>
      </c>
      <c r="Q8136" s="17" t="e">
        <f t="shared" si="1279"/>
        <v>#N/A</v>
      </c>
    </row>
    <row r="8137" spans="1:17" x14ac:dyDescent="0.3">
      <c r="A8137" s="34">
        <f>base!J8137</f>
        <v>0</v>
      </c>
      <c r="B8137" s="34">
        <f>base!V8137</f>
        <v>0</v>
      </c>
      <c r="C8137" s="40" t="s">
        <v>11</v>
      </c>
      <c r="D8137" s="36">
        <f>base!H8137</f>
        <v>0</v>
      </c>
      <c r="E8137" s="44"/>
      <c r="F8137" s="16">
        <f>base!W8137</f>
        <v>0</v>
      </c>
      <c r="G8137" s="11" t="e">
        <f t="shared" si="1270"/>
        <v>#DIV/0!</v>
      </c>
      <c r="H8137" s="11" t="e">
        <f t="shared" si="1271"/>
        <v>#N/A</v>
      </c>
      <c r="I8137" s="11" t="e">
        <f t="shared" si="1272"/>
        <v>#N/A</v>
      </c>
      <c r="J8137" s="12" t="e">
        <f t="shared" si="1273"/>
        <v>#N/A</v>
      </c>
      <c r="K8137" s="17" t="e">
        <f t="shared" si="1278"/>
        <v>#N/A</v>
      </c>
      <c r="L8137" s="16">
        <f>base!X8137</f>
        <v>0</v>
      </c>
      <c r="M8137" s="11" t="e">
        <f t="shared" si="1274"/>
        <v>#DIV/0!</v>
      </c>
      <c r="N8137" s="11" t="e">
        <f t="shared" si="1275"/>
        <v>#N/A</v>
      </c>
      <c r="O8137" s="11" t="e">
        <f t="shared" si="1276"/>
        <v>#N/A</v>
      </c>
      <c r="P8137" s="12" t="e">
        <f t="shared" si="1277"/>
        <v>#N/A</v>
      </c>
      <c r="Q8137" s="17" t="e">
        <f t="shared" si="1279"/>
        <v>#N/A</v>
      </c>
    </row>
    <row r="8138" spans="1:17" x14ac:dyDescent="0.3">
      <c r="A8138" s="34">
        <f>base!J8138</f>
        <v>0</v>
      </c>
      <c r="B8138" s="34">
        <f>base!V8138</f>
        <v>0</v>
      </c>
      <c r="C8138" s="40" t="s">
        <v>11</v>
      </c>
      <c r="D8138" s="36">
        <f>base!H8138</f>
        <v>0</v>
      </c>
      <c r="E8138" s="44"/>
      <c r="F8138" s="16">
        <f>base!W8138</f>
        <v>0</v>
      </c>
      <c r="G8138" s="11" t="e">
        <f t="shared" si="1270"/>
        <v>#DIV/0!</v>
      </c>
      <c r="H8138" s="11" t="e">
        <f t="shared" si="1271"/>
        <v>#N/A</v>
      </c>
      <c r="I8138" s="11" t="e">
        <f t="shared" si="1272"/>
        <v>#N/A</v>
      </c>
      <c r="J8138" s="12" t="e">
        <f t="shared" si="1273"/>
        <v>#N/A</v>
      </c>
      <c r="K8138" s="17" t="e">
        <f t="shared" si="1278"/>
        <v>#N/A</v>
      </c>
      <c r="L8138" s="16">
        <f>base!X8138</f>
        <v>0</v>
      </c>
      <c r="M8138" s="11" t="e">
        <f t="shared" si="1274"/>
        <v>#DIV/0!</v>
      </c>
      <c r="N8138" s="11" t="e">
        <f t="shared" si="1275"/>
        <v>#N/A</v>
      </c>
      <c r="O8138" s="11" t="e">
        <f t="shared" si="1276"/>
        <v>#N/A</v>
      </c>
      <c r="P8138" s="12" t="e">
        <f t="shared" si="1277"/>
        <v>#N/A</v>
      </c>
      <c r="Q8138" s="17" t="e">
        <f t="shared" si="1279"/>
        <v>#N/A</v>
      </c>
    </row>
    <row r="8139" spans="1:17" x14ac:dyDescent="0.3">
      <c r="A8139" s="34">
        <f>base!J8139</f>
        <v>0</v>
      </c>
      <c r="B8139" s="34">
        <f>base!V8139</f>
        <v>0</v>
      </c>
      <c r="C8139" s="40" t="s">
        <v>11</v>
      </c>
      <c r="D8139" s="36">
        <f>base!H8139</f>
        <v>0</v>
      </c>
      <c r="E8139" s="44"/>
      <c r="F8139" s="16">
        <f>base!W8139</f>
        <v>0</v>
      </c>
      <c r="G8139" s="11" t="e">
        <f t="shared" si="1270"/>
        <v>#DIV/0!</v>
      </c>
      <c r="H8139" s="11" t="e">
        <f t="shared" si="1271"/>
        <v>#N/A</v>
      </c>
      <c r="I8139" s="11" t="e">
        <f t="shared" si="1272"/>
        <v>#N/A</v>
      </c>
      <c r="J8139" s="12" t="e">
        <f t="shared" si="1273"/>
        <v>#N/A</v>
      </c>
      <c r="K8139" s="17" t="e">
        <f t="shared" si="1278"/>
        <v>#N/A</v>
      </c>
      <c r="L8139" s="16">
        <f>base!X8139</f>
        <v>0</v>
      </c>
      <c r="M8139" s="11" t="e">
        <f t="shared" si="1274"/>
        <v>#DIV/0!</v>
      </c>
      <c r="N8139" s="11" t="e">
        <f t="shared" si="1275"/>
        <v>#N/A</v>
      </c>
      <c r="O8139" s="11" t="e">
        <f t="shared" si="1276"/>
        <v>#N/A</v>
      </c>
      <c r="P8139" s="12" t="e">
        <f t="shared" si="1277"/>
        <v>#N/A</v>
      </c>
      <c r="Q8139" s="17" t="e">
        <f t="shared" si="1279"/>
        <v>#N/A</v>
      </c>
    </row>
    <row r="8140" spans="1:17" x14ac:dyDescent="0.3">
      <c r="A8140" s="34">
        <f>base!J8140</f>
        <v>0</v>
      </c>
      <c r="B8140" s="34">
        <f>base!V8140</f>
        <v>0</v>
      </c>
      <c r="C8140" s="40" t="s">
        <v>11</v>
      </c>
      <c r="D8140" s="36">
        <f>base!H8140</f>
        <v>0</v>
      </c>
      <c r="E8140" s="44"/>
      <c r="F8140" s="16">
        <f>base!W8140</f>
        <v>0</v>
      </c>
      <c r="G8140" s="11" t="e">
        <f t="shared" si="1270"/>
        <v>#DIV/0!</v>
      </c>
      <c r="H8140" s="11" t="e">
        <f t="shared" si="1271"/>
        <v>#N/A</v>
      </c>
      <c r="I8140" s="11" t="e">
        <f t="shared" si="1272"/>
        <v>#N/A</v>
      </c>
      <c r="J8140" s="12" t="e">
        <f t="shared" si="1273"/>
        <v>#N/A</v>
      </c>
      <c r="K8140" s="17" t="e">
        <f t="shared" si="1278"/>
        <v>#N/A</v>
      </c>
      <c r="L8140" s="16">
        <f>base!X8140</f>
        <v>0</v>
      </c>
      <c r="M8140" s="11" t="e">
        <f t="shared" si="1274"/>
        <v>#DIV/0!</v>
      </c>
      <c r="N8140" s="11" t="e">
        <f t="shared" si="1275"/>
        <v>#N/A</v>
      </c>
      <c r="O8140" s="11" t="e">
        <f t="shared" si="1276"/>
        <v>#N/A</v>
      </c>
      <c r="P8140" s="12" t="e">
        <f t="shared" si="1277"/>
        <v>#N/A</v>
      </c>
      <c r="Q8140" s="17" t="e">
        <f t="shared" si="1279"/>
        <v>#N/A</v>
      </c>
    </row>
    <row r="8141" spans="1:17" x14ac:dyDescent="0.3">
      <c r="A8141" s="34">
        <f>base!J8141</f>
        <v>0</v>
      </c>
      <c r="B8141" s="34">
        <f>base!V8141</f>
        <v>0</v>
      </c>
      <c r="C8141" s="40" t="s">
        <v>11</v>
      </c>
      <c r="D8141" s="36">
        <f>base!H8141</f>
        <v>0</v>
      </c>
      <c r="E8141" s="44"/>
      <c r="F8141" s="16">
        <f>base!W8141</f>
        <v>0</v>
      </c>
      <c r="G8141" s="11" t="e">
        <f t="shared" si="1270"/>
        <v>#DIV/0!</v>
      </c>
      <c r="H8141" s="11" t="e">
        <f t="shared" si="1271"/>
        <v>#N/A</v>
      </c>
      <c r="I8141" s="11" t="e">
        <f t="shared" si="1272"/>
        <v>#N/A</v>
      </c>
      <c r="J8141" s="12" t="e">
        <f t="shared" si="1273"/>
        <v>#N/A</v>
      </c>
      <c r="K8141" s="17" t="e">
        <f t="shared" si="1278"/>
        <v>#N/A</v>
      </c>
      <c r="L8141" s="16">
        <f>base!X8141</f>
        <v>0</v>
      </c>
      <c r="M8141" s="11" t="e">
        <f t="shared" si="1274"/>
        <v>#DIV/0!</v>
      </c>
      <c r="N8141" s="11" t="e">
        <f t="shared" si="1275"/>
        <v>#N/A</v>
      </c>
      <c r="O8141" s="11" t="e">
        <f t="shared" si="1276"/>
        <v>#N/A</v>
      </c>
      <c r="P8141" s="12" t="e">
        <f t="shared" si="1277"/>
        <v>#N/A</v>
      </c>
      <c r="Q8141" s="17" t="e">
        <f t="shared" si="1279"/>
        <v>#N/A</v>
      </c>
    </row>
    <row r="8142" spans="1:17" x14ac:dyDescent="0.3">
      <c r="A8142" s="34">
        <f>base!J8142</f>
        <v>0</v>
      </c>
      <c r="B8142" s="34">
        <f>base!V8142</f>
        <v>0</v>
      </c>
      <c r="C8142" s="40" t="s">
        <v>11</v>
      </c>
      <c r="D8142" s="36">
        <f>base!H8142</f>
        <v>0</v>
      </c>
      <c r="E8142" s="44"/>
      <c r="F8142" s="16">
        <f>base!W8142</f>
        <v>0</v>
      </c>
      <c r="G8142" s="11" t="e">
        <f t="shared" si="1270"/>
        <v>#DIV/0!</v>
      </c>
      <c r="H8142" s="11" t="e">
        <f t="shared" si="1271"/>
        <v>#N/A</v>
      </c>
      <c r="I8142" s="11" t="e">
        <f t="shared" si="1272"/>
        <v>#N/A</v>
      </c>
      <c r="J8142" s="12" t="e">
        <f t="shared" si="1273"/>
        <v>#N/A</v>
      </c>
      <c r="K8142" s="17" t="e">
        <f t="shared" si="1278"/>
        <v>#N/A</v>
      </c>
      <c r="L8142" s="16">
        <f>base!X8142</f>
        <v>0</v>
      </c>
      <c r="M8142" s="11" t="e">
        <f t="shared" si="1274"/>
        <v>#DIV/0!</v>
      </c>
      <c r="N8142" s="11" t="e">
        <f t="shared" si="1275"/>
        <v>#N/A</v>
      </c>
      <c r="O8142" s="11" t="e">
        <f t="shared" si="1276"/>
        <v>#N/A</v>
      </c>
      <c r="P8142" s="12" t="e">
        <f t="shared" si="1277"/>
        <v>#N/A</v>
      </c>
      <c r="Q8142" s="17" t="e">
        <f t="shared" si="1279"/>
        <v>#N/A</v>
      </c>
    </row>
    <row r="8143" spans="1:17" x14ac:dyDescent="0.3">
      <c r="A8143" s="34">
        <f>base!J8143</f>
        <v>0</v>
      </c>
      <c r="B8143" s="34">
        <f>base!V8143</f>
        <v>0</v>
      </c>
      <c r="C8143" s="40" t="s">
        <v>11</v>
      </c>
      <c r="D8143" s="36">
        <f>base!H8143</f>
        <v>0</v>
      </c>
      <c r="E8143" s="44"/>
      <c r="F8143" s="16">
        <f>base!W8143</f>
        <v>0</v>
      </c>
      <c r="G8143" s="11" t="e">
        <f t="shared" si="1270"/>
        <v>#DIV/0!</v>
      </c>
      <c r="H8143" s="11" t="e">
        <f t="shared" si="1271"/>
        <v>#N/A</v>
      </c>
      <c r="I8143" s="11" t="e">
        <f t="shared" si="1272"/>
        <v>#N/A</v>
      </c>
      <c r="J8143" s="12" t="e">
        <f t="shared" si="1273"/>
        <v>#N/A</v>
      </c>
      <c r="K8143" s="17" t="e">
        <f t="shared" si="1278"/>
        <v>#N/A</v>
      </c>
      <c r="L8143" s="16">
        <f>base!X8143</f>
        <v>0</v>
      </c>
      <c r="M8143" s="11" t="e">
        <f t="shared" si="1274"/>
        <v>#DIV/0!</v>
      </c>
      <c r="N8143" s="11" t="e">
        <f t="shared" si="1275"/>
        <v>#N/A</v>
      </c>
      <c r="O8143" s="11" t="e">
        <f t="shared" si="1276"/>
        <v>#N/A</v>
      </c>
      <c r="P8143" s="12" t="e">
        <f t="shared" si="1277"/>
        <v>#N/A</v>
      </c>
      <c r="Q8143" s="17" t="e">
        <f t="shared" si="1279"/>
        <v>#N/A</v>
      </c>
    </row>
    <row r="8144" spans="1:17" x14ac:dyDescent="0.3">
      <c r="A8144" s="34">
        <f>base!J8144</f>
        <v>0</v>
      </c>
      <c r="B8144" s="34">
        <f>base!V8144</f>
        <v>0</v>
      </c>
      <c r="C8144" s="40" t="s">
        <v>11</v>
      </c>
      <c r="D8144" s="36">
        <f>base!H8144</f>
        <v>0</v>
      </c>
      <c r="E8144" s="44"/>
      <c r="F8144" s="16">
        <f>base!W8144</f>
        <v>0</v>
      </c>
      <c r="G8144" s="11" t="e">
        <f t="shared" si="1270"/>
        <v>#DIV/0!</v>
      </c>
      <c r="H8144" s="11" t="e">
        <f t="shared" si="1271"/>
        <v>#N/A</v>
      </c>
      <c r="I8144" s="11" t="e">
        <f t="shared" si="1272"/>
        <v>#N/A</v>
      </c>
      <c r="J8144" s="12" t="e">
        <f t="shared" si="1273"/>
        <v>#N/A</v>
      </c>
      <c r="K8144" s="17" t="e">
        <f t="shared" si="1278"/>
        <v>#N/A</v>
      </c>
      <c r="L8144" s="16">
        <f>base!X8144</f>
        <v>0</v>
      </c>
      <c r="M8144" s="11" t="e">
        <f t="shared" si="1274"/>
        <v>#DIV/0!</v>
      </c>
      <c r="N8144" s="11" t="e">
        <f t="shared" si="1275"/>
        <v>#N/A</v>
      </c>
      <c r="O8144" s="11" t="e">
        <f t="shared" si="1276"/>
        <v>#N/A</v>
      </c>
      <c r="P8144" s="12" t="e">
        <f t="shared" si="1277"/>
        <v>#N/A</v>
      </c>
      <c r="Q8144" s="17" t="e">
        <f t="shared" si="1279"/>
        <v>#N/A</v>
      </c>
    </row>
    <row r="8145" spans="1:17" x14ac:dyDescent="0.3">
      <c r="A8145" s="34">
        <f>base!J8145</f>
        <v>0</v>
      </c>
      <c r="B8145" s="34">
        <f>base!V8145</f>
        <v>0</v>
      </c>
      <c r="C8145" s="40" t="s">
        <v>11</v>
      </c>
      <c r="D8145" s="36">
        <f>base!H8145</f>
        <v>0</v>
      </c>
      <c r="E8145" s="44"/>
      <c r="F8145" s="16">
        <f>base!W8145</f>
        <v>0</v>
      </c>
      <c r="G8145" s="11" t="e">
        <f t="shared" si="1270"/>
        <v>#DIV/0!</v>
      </c>
      <c r="H8145" s="11" t="e">
        <f t="shared" si="1271"/>
        <v>#N/A</v>
      </c>
      <c r="I8145" s="11" t="e">
        <f t="shared" si="1272"/>
        <v>#N/A</v>
      </c>
      <c r="J8145" s="12" t="e">
        <f t="shared" si="1273"/>
        <v>#N/A</v>
      </c>
      <c r="K8145" s="17" t="e">
        <f t="shared" si="1278"/>
        <v>#N/A</v>
      </c>
      <c r="L8145" s="16">
        <f>base!X8145</f>
        <v>0</v>
      </c>
      <c r="M8145" s="11" t="e">
        <f t="shared" si="1274"/>
        <v>#DIV/0!</v>
      </c>
      <c r="N8145" s="11" t="e">
        <f t="shared" si="1275"/>
        <v>#N/A</v>
      </c>
      <c r="O8145" s="11" t="e">
        <f t="shared" si="1276"/>
        <v>#N/A</v>
      </c>
      <c r="P8145" s="12" t="e">
        <f t="shared" si="1277"/>
        <v>#N/A</v>
      </c>
      <c r="Q8145" s="17" t="e">
        <f t="shared" si="1279"/>
        <v>#N/A</v>
      </c>
    </row>
    <row r="8146" spans="1:17" x14ac:dyDescent="0.3">
      <c r="A8146" s="34">
        <f>base!J8146</f>
        <v>0</v>
      </c>
      <c r="B8146" s="34">
        <f>base!V8146</f>
        <v>0</v>
      </c>
      <c r="C8146" s="40" t="s">
        <v>11</v>
      </c>
      <c r="D8146" s="36">
        <f>base!H8146</f>
        <v>0</v>
      </c>
      <c r="E8146" s="44"/>
      <c r="F8146" s="16">
        <f>base!W8146</f>
        <v>0</v>
      </c>
      <c r="G8146" s="11" t="e">
        <f t="shared" si="1270"/>
        <v>#DIV/0!</v>
      </c>
      <c r="H8146" s="11" t="e">
        <f t="shared" si="1271"/>
        <v>#N/A</v>
      </c>
      <c r="I8146" s="11" t="e">
        <f t="shared" si="1272"/>
        <v>#N/A</v>
      </c>
      <c r="J8146" s="12" t="e">
        <f t="shared" si="1273"/>
        <v>#N/A</v>
      </c>
      <c r="K8146" s="17" t="e">
        <f t="shared" si="1278"/>
        <v>#N/A</v>
      </c>
      <c r="L8146" s="16">
        <f>base!X8146</f>
        <v>0</v>
      </c>
      <c r="M8146" s="11" t="e">
        <f t="shared" si="1274"/>
        <v>#DIV/0!</v>
      </c>
      <c r="N8146" s="11" t="e">
        <f t="shared" si="1275"/>
        <v>#N/A</v>
      </c>
      <c r="O8146" s="11" t="e">
        <f t="shared" si="1276"/>
        <v>#N/A</v>
      </c>
      <c r="P8146" s="12" t="e">
        <f t="shared" si="1277"/>
        <v>#N/A</v>
      </c>
      <c r="Q8146" s="17" t="e">
        <f t="shared" si="1279"/>
        <v>#N/A</v>
      </c>
    </row>
    <row r="8147" spans="1:17" x14ac:dyDescent="0.3">
      <c r="A8147" s="34">
        <f>base!J8147</f>
        <v>0</v>
      </c>
      <c r="B8147" s="34">
        <f>base!V8147</f>
        <v>0</v>
      </c>
      <c r="C8147" s="40" t="s">
        <v>11</v>
      </c>
      <c r="D8147" s="36">
        <f>base!H8147</f>
        <v>0</v>
      </c>
      <c r="E8147" s="44"/>
      <c r="F8147" s="16">
        <f>base!W8147</f>
        <v>0</v>
      </c>
      <c r="G8147" s="11" t="e">
        <f t="shared" si="1270"/>
        <v>#DIV/0!</v>
      </c>
      <c r="H8147" s="11" t="e">
        <f t="shared" si="1271"/>
        <v>#N/A</v>
      </c>
      <c r="I8147" s="11" t="e">
        <f t="shared" si="1272"/>
        <v>#N/A</v>
      </c>
      <c r="J8147" s="12" t="e">
        <f t="shared" si="1273"/>
        <v>#N/A</v>
      </c>
      <c r="K8147" s="17" t="e">
        <f t="shared" si="1278"/>
        <v>#N/A</v>
      </c>
      <c r="L8147" s="16">
        <f>base!X8147</f>
        <v>0</v>
      </c>
      <c r="M8147" s="11" t="e">
        <f t="shared" si="1274"/>
        <v>#DIV/0!</v>
      </c>
      <c r="N8147" s="11" t="e">
        <f t="shared" si="1275"/>
        <v>#N/A</v>
      </c>
      <c r="O8147" s="11" t="e">
        <f t="shared" si="1276"/>
        <v>#N/A</v>
      </c>
      <c r="P8147" s="12" t="e">
        <f t="shared" si="1277"/>
        <v>#N/A</v>
      </c>
      <c r="Q8147" s="17" t="e">
        <f t="shared" si="1279"/>
        <v>#N/A</v>
      </c>
    </row>
    <row r="8148" spans="1:17" x14ac:dyDescent="0.3">
      <c r="A8148" s="34">
        <f>base!J8148</f>
        <v>0</v>
      </c>
      <c r="B8148" s="34">
        <f>base!V8148</f>
        <v>0</v>
      </c>
      <c r="C8148" s="40" t="s">
        <v>11</v>
      </c>
      <c r="D8148" s="36">
        <f>base!H8148</f>
        <v>0</v>
      </c>
      <c r="E8148" s="44"/>
      <c r="F8148" s="16">
        <f>base!W8148</f>
        <v>0</v>
      </c>
      <c r="G8148" s="11" t="e">
        <f t="shared" si="1270"/>
        <v>#DIV/0!</v>
      </c>
      <c r="H8148" s="11" t="e">
        <f t="shared" si="1271"/>
        <v>#N/A</v>
      </c>
      <c r="I8148" s="11" t="e">
        <f t="shared" si="1272"/>
        <v>#N/A</v>
      </c>
      <c r="J8148" s="12" t="e">
        <f t="shared" si="1273"/>
        <v>#N/A</v>
      </c>
      <c r="K8148" s="17" t="e">
        <f t="shared" si="1278"/>
        <v>#N/A</v>
      </c>
      <c r="L8148" s="16">
        <f>base!X8148</f>
        <v>0</v>
      </c>
      <c r="M8148" s="11" t="e">
        <f t="shared" si="1274"/>
        <v>#DIV/0!</v>
      </c>
      <c r="N8148" s="11" t="e">
        <f t="shared" si="1275"/>
        <v>#N/A</v>
      </c>
      <c r="O8148" s="11" t="e">
        <f t="shared" si="1276"/>
        <v>#N/A</v>
      </c>
      <c r="P8148" s="12" t="e">
        <f t="shared" si="1277"/>
        <v>#N/A</v>
      </c>
      <c r="Q8148" s="17" t="e">
        <f t="shared" si="1279"/>
        <v>#N/A</v>
      </c>
    </row>
    <row r="8149" spans="1:17" x14ac:dyDescent="0.3">
      <c r="A8149" s="34">
        <f>base!J8149</f>
        <v>0</v>
      </c>
      <c r="B8149" s="34">
        <f>base!V8149</f>
        <v>0</v>
      </c>
      <c r="C8149" s="40" t="s">
        <v>11</v>
      </c>
      <c r="D8149" s="36">
        <f>base!H8149</f>
        <v>0</v>
      </c>
      <c r="E8149" s="44"/>
      <c r="F8149" s="16">
        <f>base!W8149</f>
        <v>0</v>
      </c>
      <c r="G8149" s="11" t="e">
        <f t="shared" si="1270"/>
        <v>#DIV/0!</v>
      </c>
      <c r="H8149" s="11" t="e">
        <f t="shared" si="1271"/>
        <v>#N/A</v>
      </c>
      <c r="I8149" s="11" t="e">
        <f t="shared" si="1272"/>
        <v>#N/A</v>
      </c>
      <c r="J8149" s="12" t="e">
        <f t="shared" si="1273"/>
        <v>#N/A</v>
      </c>
      <c r="K8149" s="17" t="e">
        <f t="shared" si="1278"/>
        <v>#N/A</v>
      </c>
      <c r="L8149" s="16">
        <f>base!X8149</f>
        <v>0</v>
      </c>
      <c r="M8149" s="11" t="e">
        <f t="shared" si="1274"/>
        <v>#DIV/0!</v>
      </c>
      <c r="N8149" s="11" t="e">
        <f t="shared" si="1275"/>
        <v>#N/A</v>
      </c>
      <c r="O8149" s="11" t="e">
        <f t="shared" si="1276"/>
        <v>#N/A</v>
      </c>
      <c r="P8149" s="12" t="e">
        <f t="shared" si="1277"/>
        <v>#N/A</v>
      </c>
      <c r="Q8149" s="17" t="e">
        <f t="shared" si="1279"/>
        <v>#N/A</v>
      </c>
    </row>
    <row r="8150" spans="1:17" x14ac:dyDescent="0.3">
      <c r="A8150" s="34">
        <f>base!J8150</f>
        <v>0</v>
      </c>
      <c r="B8150" s="34">
        <f>base!V8150</f>
        <v>0</v>
      </c>
      <c r="C8150" s="40" t="s">
        <v>11</v>
      </c>
      <c r="D8150" s="36">
        <f>base!H8150</f>
        <v>0</v>
      </c>
      <c r="E8150" s="44"/>
      <c r="F8150" s="16">
        <f>base!W8150</f>
        <v>0</v>
      </c>
      <c r="G8150" s="11" t="e">
        <f t="shared" si="1270"/>
        <v>#DIV/0!</v>
      </c>
      <c r="H8150" s="11" t="e">
        <f t="shared" si="1271"/>
        <v>#N/A</v>
      </c>
      <c r="I8150" s="11" t="e">
        <f t="shared" si="1272"/>
        <v>#N/A</v>
      </c>
      <c r="J8150" s="12" t="e">
        <f t="shared" si="1273"/>
        <v>#N/A</v>
      </c>
      <c r="K8150" s="17" t="e">
        <f t="shared" si="1278"/>
        <v>#N/A</v>
      </c>
      <c r="L8150" s="16">
        <f>base!X8150</f>
        <v>0</v>
      </c>
      <c r="M8150" s="11" t="e">
        <f t="shared" si="1274"/>
        <v>#DIV/0!</v>
      </c>
      <c r="N8150" s="11" t="e">
        <f t="shared" si="1275"/>
        <v>#N/A</v>
      </c>
      <c r="O8150" s="11" t="e">
        <f t="shared" si="1276"/>
        <v>#N/A</v>
      </c>
      <c r="P8150" s="12" t="e">
        <f t="shared" si="1277"/>
        <v>#N/A</v>
      </c>
      <c r="Q8150" s="17" t="e">
        <f t="shared" si="1279"/>
        <v>#N/A</v>
      </c>
    </row>
    <row r="8151" spans="1:17" x14ac:dyDescent="0.3">
      <c r="A8151" s="34">
        <f>base!J8151</f>
        <v>0</v>
      </c>
      <c r="B8151" s="34">
        <f>base!V8151</f>
        <v>0</v>
      </c>
      <c r="C8151" s="40" t="s">
        <v>11</v>
      </c>
      <c r="D8151" s="36">
        <f>base!H8151</f>
        <v>0</v>
      </c>
      <c r="E8151" s="44"/>
      <c r="F8151" s="16">
        <f>base!W8151</f>
        <v>0</v>
      </c>
      <c r="G8151" s="11" t="e">
        <f t="shared" si="1270"/>
        <v>#DIV/0!</v>
      </c>
      <c r="H8151" s="11" t="e">
        <f t="shared" si="1271"/>
        <v>#N/A</v>
      </c>
      <c r="I8151" s="11" t="e">
        <f t="shared" si="1272"/>
        <v>#N/A</v>
      </c>
      <c r="J8151" s="12" t="e">
        <f t="shared" si="1273"/>
        <v>#N/A</v>
      </c>
      <c r="K8151" s="17" t="e">
        <f t="shared" si="1278"/>
        <v>#N/A</v>
      </c>
      <c r="L8151" s="16">
        <f>base!X8151</f>
        <v>0</v>
      </c>
      <c r="M8151" s="11" t="e">
        <f t="shared" si="1274"/>
        <v>#DIV/0!</v>
      </c>
      <c r="N8151" s="11"/>
      <c r="O8151" s="11" t="e">
        <f t="shared" si="1276"/>
        <v>#DIV/0!</v>
      </c>
      <c r="P8151" s="12">
        <f t="shared" si="1277"/>
        <v>0</v>
      </c>
      <c r="Q8151" s="17" t="str">
        <f t="shared" si="1279"/>
        <v>Pas d'écart</v>
      </c>
    </row>
    <row r="8152" spans="1:17" x14ac:dyDescent="0.3">
      <c r="A8152" s="34">
        <f>base!J8152</f>
        <v>0</v>
      </c>
      <c r="B8152" s="34">
        <f>base!V8152</f>
        <v>0</v>
      </c>
      <c r="C8152" s="40" t="s">
        <v>11</v>
      </c>
      <c r="D8152" s="36">
        <f>base!H8152</f>
        <v>0</v>
      </c>
      <c r="E8152" s="44"/>
      <c r="F8152" s="16">
        <f>base!W8152</f>
        <v>0</v>
      </c>
      <c r="G8152" s="11" t="e">
        <f t="shared" si="1270"/>
        <v>#DIV/0!</v>
      </c>
      <c r="H8152" s="11" t="e">
        <f t="shared" si="1271"/>
        <v>#N/A</v>
      </c>
      <c r="I8152" s="11" t="e">
        <f t="shared" si="1272"/>
        <v>#N/A</v>
      </c>
      <c r="J8152" s="12" t="e">
        <f t="shared" si="1273"/>
        <v>#N/A</v>
      </c>
      <c r="K8152" s="17" t="e">
        <f t="shared" si="1278"/>
        <v>#N/A</v>
      </c>
      <c r="L8152" s="16">
        <f>base!X8152</f>
        <v>0</v>
      </c>
      <c r="M8152" s="11" t="e">
        <f t="shared" si="1274"/>
        <v>#DIV/0!</v>
      </c>
      <c r="N8152" s="11"/>
      <c r="O8152" s="11" t="e">
        <f t="shared" si="1276"/>
        <v>#DIV/0!</v>
      </c>
      <c r="P8152" s="12">
        <f t="shared" si="1277"/>
        <v>0</v>
      </c>
      <c r="Q8152" s="17" t="str">
        <f t="shared" si="1279"/>
        <v>Pas d'écart</v>
      </c>
    </row>
    <row r="8153" spans="1:17" x14ac:dyDescent="0.3">
      <c r="A8153" s="34">
        <f>base!J8153</f>
        <v>0</v>
      </c>
      <c r="B8153" s="34">
        <f>base!V8153</f>
        <v>0</v>
      </c>
      <c r="C8153" s="40" t="s">
        <v>11</v>
      </c>
      <c r="D8153" s="36">
        <f>base!H8153</f>
        <v>0</v>
      </c>
      <c r="E8153" s="44"/>
      <c r="F8153" s="16">
        <f>base!W8153</f>
        <v>0</v>
      </c>
      <c r="G8153" s="11" t="e">
        <f t="shared" si="1270"/>
        <v>#DIV/0!</v>
      </c>
      <c r="H8153" s="11" t="e">
        <f t="shared" si="1271"/>
        <v>#N/A</v>
      </c>
      <c r="I8153" s="11" t="e">
        <f t="shared" si="1272"/>
        <v>#N/A</v>
      </c>
      <c r="J8153" s="12" t="e">
        <f t="shared" si="1273"/>
        <v>#N/A</v>
      </c>
      <c r="K8153" s="17" t="e">
        <f t="shared" si="1278"/>
        <v>#N/A</v>
      </c>
      <c r="L8153" s="16">
        <f>base!X8153</f>
        <v>0</v>
      </c>
      <c r="M8153" s="11" t="e">
        <f t="shared" si="1274"/>
        <v>#DIV/0!</v>
      </c>
      <c r="N8153" s="11"/>
      <c r="O8153" s="11" t="e">
        <f t="shared" si="1276"/>
        <v>#DIV/0!</v>
      </c>
      <c r="P8153" s="12">
        <f t="shared" si="1277"/>
        <v>0</v>
      </c>
      <c r="Q8153" s="17" t="str">
        <f t="shared" si="1279"/>
        <v>Pas d'écart</v>
      </c>
    </row>
    <row r="8154" spans="1:17" x14ac:dyDescent="0.3">
      <c r="A8154" s="34">
        <f>base!J8154</f>
        <v>0</v>
      </c>
      <c r="B8154" s="34">
        <f>base!V8154</f>
        <v>0</v>
      </c>
      <c r="C8154" s="40" t="s">
        <v>11</v>
      </c>
      <c r="D8154" s="36">
        <f>base!H8154</f>
        <v>0</v>
      </c>
      <c r="E8154" s="44"/>
      <c r="F8154" s="16">
        <f>base!W8154</f>
        <v>0</v>
      </c>
      <c r="G8154" s="11" t="e">
        <f t="shared" si="1270"/>
        <v>#DIV/0!</v>
      </c>
      <c r="H8154" s="11" t="e">
        <f t="shared" si="1271"/>
        <v>#N/A</v>
      </c>
      <c r="I8154" s="11" t="e">
        <f t="shared" si="1272"/>
        <v>#N/A</v>
      </c>
      <c r="J8154" s="12" t="e">
        <f t="shared" si="1273"/>
        <v>#N/A</v>
      </c>
      <c r="K8154" s="17" t="e">
        <f t="shared" si="1278"/>
        <v>#N/A</v>
      </c>
      <c r="L8154" s="16">
        <f>base!X8154</f>
        <v>0</v>
      </c>
      <c r="M8154" s="11" t="e">
        <f t="shared" si="1274"/>
        <v>#DIV/0!</v>
      </c>
      <c r="N8154" s="11"/>
      <c r="O8154" s="11" t="e">
        <f t="shared" si="1276"/>
        <v>#DIV/0!</v>
      </c>
      <c r="P8154" s="12">
        <f t="shared" si="1277"/>
        <v>0</v>
      </c>
      <c r="Q8154" s="17" t="str">
        <f t="shared" si="1279"/>
        <v>Pas d'écart</v>
      </c>
    </row>
    <row r="8155" spans="1:17" x14ac:dyDescent="0.3">
      <c r="A8155" s="34">
        <f>base!J8155</f>
        <v>0</v>
      </c>
      <c r="B8155" s="34">
        <f>base!V8155</f>
        <v>0</v>
      </c>
      <c r="C8155" s="40" t="s">
        <v>11</v>
      </c>
      <c r="D8155" s="36">
        <f>base!H8155</f>
        <v>0</v>
      </c>
      <c r="E8155" s="44"/>
      <c r="F8155" s="16">
        <f>base!W8155</f>
        <v>0</v>
      </c>
      <c r="G8155" s="11" t="e">
        <f t="shared" si="1270"/>
        <v>#DIV/0!</v>
      </c>
      <c r="H8155" s="11" t="e">
        <f t="shared" si="1271"/>
        <v>#N/A</v>
      </c>
      <c r="I8155" s="11" t="e">
        <f t="shared" si="1272"/>
        <v>#N/A</v>
      </c>
      <c r="J8155" s="12" t="e">
        <f t="shared" si="1273"/>
        <v>#N/A</v>
      </c>
      <c r="K8155" s="17" t="e">
        <f t="shared" si="1278"/>
        <v>#N/A</v>
      </c>
      <c r="L8155" s="16">
        <f>base!X8155</f>
        <v>0</v>
      </c>
      <c r="M8155" s="11" t="e">
        <f t="shared" si="1274"/>
        <v>#DIV/0!</v>
      </c>
      <c r="N8155" s="11"/>
      <c r="O8155" s="11" t="e">
        <f t="shared" si="1276"/>
        <v>#DIV/0!</v>
      </c>
      <c r="P8155" s="12">
        <f t="shared" si="1277"/>
        <v>0</v>
      </c>
      <c r="Q8155" s="17" t="str">
        <f t="shared" si="1279"/>
        <v>Pas d'écart</v>
      </c>
    </row>
    <row r="8156" spans="1:17" x14ac:dyDescent="0.3">
      <c r="A8156" s="34">
        <f>base!J8156</f>
        <v>0</v>
      </c>
      <c r="B8156" s="34">
        <f>base!V8156</f>
        <v>0</v>
      </c>
      <c r="C8156" s="40" t="s">
        <v>11</v>
      </c>
      <c r="D8156" s="36">
        <f>base!H8156</f>
        <v>0</v>
      </c>
      <c r="E8156" s="44"/>
      <c r="F8156" s="16">
        <f>base!W8156</f>
        <v>0</v>
      </c>
      <c r="G8156" s="11" t="e">
        <f t="shared" si="1270"/>
        <v>#DIV/0!</v>
      </c>
      <c r="H8156" s="11" t="e">
        <f t="shared" si="1271"/>
        <v>#N/A</v>
      </c>
      <c r="I8156" s="11" t="e">
        <f t="shared" si="1272"/>
        <v>#N/A</v>
      </c>
      <c r="J8156" s="12" t="e">
        <f t="shared" si="1273"/>
        <v>#N/A</v>
      </c>
      <c r="K8156" s="17" t="e">
        <f t="shared" si="1278"/>
        <v>#N/A</v>
      </c>
      <c r="L8156" s="16">
        <f>base!X8156</f>
        <v>0</v>
      </c>
      <c r="M8156" s="11" t="e">
        <f t="shared" si="1274"/>
        <v>#DIV/0!</v>
      </c>
      <c r="N8156" s="11"/>
      <c r="O8156" s="11" t="e">
        <f t="shared" si="1276"/>
        <v>#DIV/0!</v>
      </c>
      <c r="P8156" s="12">
        <f t="shared" si="1277"/>
        <v>0</v>
      </c>
      <c r="Q8156" s="17" t="str">
        <f t="shared" si="1279"/>
        <v>Pas d'écart</v>
      </c>
    </row>
    <row r="8157" spans="1:17" x14ac:dyDescent="0.3">
      <c r="A8157" s="34">
        <f>base!J8157</f>
        <v>0</v>
      </c>
      <c r="B8157" s="34">
        <f>base!V8157</f>
        <v>0</v>
      </c>
      <c r="C8157" s="40" t="s">
        <v>11</v>
      </c>
      <c r="D8157" s="36">
        <f>base!H8157</f>
        <v>0</v>
      </c>
      <c r="E8157" s="44"/>
      <c r="F8157" s="16">
        <f>base!W8157</f>
        <v>0</v>
      </c>
      <c r="G8157" s="11" t="e">
        <f t="shared" si="1270"/>
        <v>#DIV/0!</v>
      </c>
      <c r="H8157" s="11" t="e">
        <f t="shared" si="1271"/>
        <v>#N/A</v>
      </c>
      <c r="I8157" s="11" t="e">
        <f t="shared" si="1272"/>
        <v>#N/A</v>
      </c>
      <c r="J8157" s="12" t="e">
        <f t="shared" si="1273"/>
        <v>#N/A</v>
      </c>
      <c r="K8157" s="17" t="e">
        <f t="shared" si="1278"/>
        <v>#N/A</v>
      </c>
      <c r="L8157" s="16">
        <f>base!X8157</f>
        <v>0</v>
      </c>
      <c r="M8157" s="11" t="e">
        <f t="shared" si="1274"/>
        <v>#DIV/0!</v>
      </c>
      <c r="N8157" s="11"/>
      <c r="O8157" s="11" t="e">
        <f t="shared" si="1276"/>
        <v>#DIV/0!</v>
      </c>
      <c r="P8157" s="12">
        <f t="shared" si="1277"/>
        <v>0</v>
      </c>
      <c r="Q8157" s="17" t="str">
        <f t="shared" si="1279"/>
        <v>Pas d'écart</v>
      </c>
    </row>
    <row r="8158" spans="1:17" x14ac:dyDescent="0.3">
      <c r="A8158" s="34">
        <f>base!J8158</f>
        <v>0</v>
      </c>
      <c r="B8158" s="34">
        <f>base!V8158</f>
        <v>0</v>
      </c>
      <c r="C8158" s="40" t="s">
        <v>11</v>
      </c>
      <c r="D8158" s="36">
        <f>base!H8158</f>
        <v>0</v>
      </c>
      <c r="E8158" s="44"/>
      <c r="F8158" s="16">
        <f>base!W8158</f>
        <v>0</v>
      </c>
      <c r="G8158" s="11" t="e">
        <f t="shared" si="1270"/>
        <v>#DIV/0!</v>
      </c>
      <c r="H8158" s="11" t="e">
        <f t="shared" si="1271"/>
        <v>#N/A</v>
      </c>
      <c r="I8158" s="11" t="e">
        <f t="shared" si="1272"/>
        <v>#N/A</v>
      </c>
      <c r="J8158" s="12" t="e">
        <f t="shared" si="1273"/>
        <v>#N/A</v>
      </c>
      <c r="K8158" s="17" t="e">
        <f t="shared" si="1278"/>
        <v>#N/A</v>
      </c>
      <c r="L8158" s="16">
        <f>base!X8158</f>
        <v>0</v>
      </c>
      <c r="M8158" s="11" t="e">
        <f t="shared" si="1274"/>
        <v>#DIV/0!</v>
      </c>
      <c r="N8158" s="11"/>
      <c r="O8158" s="11" t="e">
        <f t="shared" si="1276"/>
        <v>#DIV/0!</v>
      </c>
      <c r="P8158" s="12">
        <f t="shared" si="1277"/>
        <v>0</v>
      </c>
      <c r="Q8158" s="17" t="str">
        <f t="shared" si="1279"/>
        <v>Pas d'écart</v>
      </c>
    </row>
    <row r="8159" spans="1:17" x14ac:dyDescent="0.3">
      <c r="A8159" s="34">
        <f>base!J8159</f>
        <v>0</v>
      </c>
      <c r="B8159" s="34">
        <f>base!V8159</f>
        <v>0</v>
      </c>
      <c r="C8159" s="40" t="s">
        <v>11</v>
      </c>
      <c r="D8159" s="36">
        <f>base!H8159</f>
        <v>0</v>
      </c>
      <c r="E8159" s="44"/>
      <c r="F8159" s="16">
        <f>base!W8159</f>
        <v>0</v>
      </c>
      <c r="G8159" s="11" t="e">
        <f t="shared" si="1270"/>
        <v>#DIV/0!</v>
      </c>
      <c r="H8159" s="11" t="e">
        <f t="shared" si="1271"/>
        <v>#N/A</v>
      </c>
      <c r="I8159" s="11" t="e">
        <f t="shared" si="1272"/>
        <v>#N/A</v>
      </c>
      <c r="J8159" s="12" t="e">
        <f t="shared" si="1273"/>
        <v>#N/A</v>
      </c>
      <c r="K8159" s="17" t="e">
        <f t="shared" si="1278"/>
        <v>#N/A</v>
      </c>
      <c r="L8159" s="16">
        <f>base!X8159</f>
        <v>0</v>
      </c>
      <c r="M8159" s="11" t="e">
        <f t="shared" si="1274"/>
        <v>#DIV/0!</v>
      </c>
      <c r="N8159" s="11"/>
      <c r="O8159" s="11" t="e">
        <f t="shared" si="1276"/>
        <v>#DIV/0!</v>
      </c>
      <c r="P8159" s="12">
        <f t="shared" si="1277"/>
        <v>0</v>
      </c>
      <c r="Q8159" s="17" t="str">
        <f t="shared" si="1279"/>
        <v>Pas d'écart</v>
      </c>
    </row>
    <row r="8160" spans="1:17" x14ac:dyDescent="0.3">
      <c r="A8160" s="34">
        <f>base!J8160</f>
        <v>0</v>
      </c>
      <c r="B8160" s="34">
        <f>base!V8160</f>
        <v>0</v>
      </c>
      <c r="C8160" s="40" t="s">
        <v>11</v>
      </c>
      <c r="D8160" s="36">
        <f>base!H8160</f>
        <v>0</v>
      </c>
      <c r="E8160" s="44"/>
      <c r="F8160" s="16">
        <f>base!W8160</f>
        <v>0</v>
      </c>
      <c r="G8160" s="11" t="e">
        <f t="shared" si="1270"/>
        <v>#DIV/0!</v>
      </c>
      <c r="H8160" s="11" t="e">
        <f t="shared" si="1271"/>
        <v>#N/A</v>
      </c>
      <c r="I8160" s="11" t="e">
        <f t="shared" si="1272"/>
        <v>#N/A</v>
      </c>
      <c r="J8160" s="12" t="e">
        <f t="shared" si="1273"/>
        <v>#N/A</v>
      </c>
      <c r="K8160" s="17" t="e">
        <f t="shared" si="1278"/>
        <v>#N/A</v>
      </c>
      <c r="L8160" s="16">
        <f>base!X8160</f>
        <v>0</v>
      </c>
      <c r="M8160" s="11" t="e">
        <f t="shared" si="1274"/>
        <v>#DIV/0!</v>
      </c>
      <c r="N8160" s="11"/>
      <c r="O8160" s="11" t="e">
        <f t="shared" si="1276"/>
        <v>#DIV/0!</v>
      </c>
      <c r="P8160" s="12">
        <f t="shared" si="1277"/>
        <v>0</v>
      </c>
      <c r="Q8160" s="17" t="str">
        <f t="shared" si="1279"/>
        <v>Pas d'écart</v>
      </c>
    </row>
    <row r="8161" spans="1:17" x14ac:dyDescent="0.3">
      <c r="A8161" s="34">
        <f>base!J8161</f>
        <v>0</v>
      </c>
      <c r="B8161" s="34">
        <f>base!V8161</f>
        <v>0</v>
      </c>
      <c r="C8161" s="40" t="s">
        <v>11</v>
      </c>
      <c r="D8161" s="36">
        <f>base!H8161</f>
        <v>0</v>
      </c>
      <c r="E8161" s="44"/>
      <c r="F8161" s="16">
        <f>base!W8161</f>
        <v>0</v>
      </c>
      <c r="G8161" s="11" t="e">
        <f t="shared" si="1270"/>
        <v>#DIV/0!</v>
      </c>
      <c r="H8161" s="11" t="e">
        <f t="shared" si="1271"/>
        <v>#N/A</v>
      </c>
      <c r="I8161" s="11" t="e">
        <f t="shared" si="1272"/>
        <v>#N/A</v>
      </c>
      <c r="J8161" s="12" t="e">
        <f t="shared" si="1273"/>
        <v>#N/A</v>
      </c>
      <c r="K8161" s="17" t="e">
        <f t="shared" si="1278"/>
        <v>#N/A</v>
      </c>
      <c r="L8161" s="16">
        <f>base!X8161</f>
        <v>0</v>
      </c>
      <c r="M8161" s="11" t="e">
        <f t="shared" si="1274"/>
        <v>#DIV/0!</v>
      </c>
      <c r="N8161" s="11"/>
      <c r="O8161" s="11" t="e">
        <f t="shared" si="1276"/>
        <v>#DIV/0!</v>
      </c>
      <c r="P8161" s="12">
        <f t="shared" si="1277"/>
        <v>0</v>
      </c>
      <c r="Q8161" s="17" t="str">
        <f t="shared" si="1279"/>
        <v>Pas d'écart</v>
      </c>
    </row>
    <row r="8162" spans="1:17" x14ac:dyDescent="0.3">
      <c r="A8162" s="34">
        <f>base!J8162</f>
        <v>0</v>
      </c>
      <c r="B8162" s="34">
        <f>base!V8162</f>
        <v>0</v>
      </c>
      <c r="C8162" s="40" t="s">
        <v>11</v>
      </c>
      <c r="D8162" s="36">
        <f>base!H8162</f>
        <v>0</v>
      </c>
      <c r="E8162" s="44"/>
      <c r="F8162" s="16">
        <f>base!W8162</f>
        <v>0</v>
      </c>
      <c r="G8162" s="11" t="e">
        <f t="shared" si="1270"/>
        <v>#DIV/0!</v>
      </c>
      <c r="H8162" s="11" t="e">
        <f t="shared" si="1271"/>
        <v>#N/A</v>
      </c>
      <c r="I8162" s="11" t="e">
        <f t="shared" si="1272"/>
        <v>#N/A</v>
      </c>
      <c r="J8162" s="12" t="e">
        <f t="shared" si="1273"/>
        <v>#N/A</v>
      </c>
      <c r="K8162" s="17" t="e">
        <f t="shared" si="1278"/>
        <v>#N/A</v>
      </c>
      <c r="L8162" s="16">
        <f>base!X8162</f>
        <v>0</v>
      </c>
      <c r="M8162" s="11" t="e">
        <f t="shared" si="1274"/>
        <v>#DIV/0!</v>
      </c>
      <c r="N8162" s="11"/>
      <c r="O8162" s="11" t="e">
        <f t="shared" si="1276"/>
        <v>#DIV/0!</v>
      </c>
      <c r="P8162" s="12">
        <f t="shared" si="1277"/>
        <v>0</v>
      </c>
      <c r="Q8162" s="17" t="str">
        <f t="shared" si="1279"/>
        <v>Pas d'écart</v>
      </c>
    </row>
    <row r="8163" spans="1:17" x14ac:dyDescent="0.3">
      <c r="A8163" s="34">
        <f>base!J8163</f>
        <v>0</v>
      </c>
      <c r="B8163" s="34">
        <f>base!V8163</f>
        <v>0</v>
      </c>
      <c r="C8163" s="40" t="s">
        <v>11</v>
      </c>
      <c r="D8163" s="36">
        <f>base!H8163</f>
        <v>0</v>
      </c>
      <c r="E8163" s="44"/>
      <c r="F8163" s="16">
        <f>base!W8163</f>
        <v>0</v>
      </c>
      <c r="G8163" s="11" t="e">
        <f t="shared" si="1270"/>
        <v>#DIV/0!</v>
      </c>
      <c r="H8163" s="11" t="e">
        <f t="shared" si="1271"/>
        <v>#N/A</v>
      </c>
      <c r="I8163" s="11" t="e">
        <f t="shared" si="1272"/>
        <v>#N/A</v>
      </c>
      <c r="J8163" s="12" t="e">
        <f t="shared" si="1273"/>
        <v>#N/A</v>
      </c>
      <c r="K8163" s="17" t="e">
        <f t="shared" si="1278"/>
        <v>#N/A</v>
      </c>
      <c r="L8163" s="16">
        <f>base!X8163</f>
        <v>0</v>
      </c>
      <c r="M8163" s="11" t="e">
        <f t="shared" si="1274"/>
        <v>#DIV/0!</v>
      </c>
      <c r="N8163" s="11"/>
      <c r="O8163" s="11" t="e">
        <f t="shared" si="1276"/>
        <v>#DIV/0!</v>
      </c>
      <c r="P8163" s="12">
        <f t="shared" si="1277"/>
        <v>0</v>
      </c>
      <c r="Q8163" s="17" t="str">
        <f t="shared" si="1279"/>
        <v>Pas d'écart</v>
      </c>
    </row>
    <row r="8164" spans="1:17" x14ac:dyDescent="0.3">
      <c r="A8164" s="34">
        <f>base!J8164</f>
        <v>0</v>
      </c>
      <c r="B8164" s="34">
        <f>base!V8164</f>
        <v>0</v>
      </c>
      <c r="C8164" s="40" t="s">
        <v>11</v>
      </c>
      <c r="D8164" s="36">
        <f>base!H8164</f>
        <v>0</v>
      </c>
      <c r="E8164" s="44"/>
      <c r="F8164" s="16">
        <f>base!W8164</f>
        <v>0</v>
      </c>
      <c r="G8164" s="11" t="e">
        <f t="shared" si="1270"/>
        <v>#DIV/0!</v>
      </c>
      <c r="H8164" s="11" t="e">
        <f t="shared" si="1271"/>
        <v>#N/A</v>
      </c>
      <c r="I8164" s="11" t="e">
        <f t="shared" si="1272"/>
        <v>#N/A</v>
      </c>
      <c r="J8164" s="12" t="e">
        <f t="shared" si="1273"/>
        <v>#N/A</v>
      </c>
      <c r="K8164" s="17" t="e">
        <f t="shared" si="1278"/>
        <v>#N/A</v>
      </c>
      <c r="L8164" s="16">
        <f>base!X8164</f>
        <v>0</v>
      </c>
      <c r="M8164" s="11" t="e">
        <f t="shared" si="1274"/>
        <v>#DIV/0!</v>
      </c>
      <c r="N8164" s="11"/>
      <c r="O8164" s="11" t="e">
        <f t="shared" si="1276"/>
        <v>#DIV/0!</v>
      </c>
      <c r="P8164" s="12">
        <f t="shared" si="1277"/>
        <v>0</v>
      </c>
      <c r="Q8164" s="17" t="str">
        <f t="shared" si="1279"/>
        <v>Pas d'écart</v>
      </c>
    </row>
    <row r="8165" spans="1:17" x14ac:dyDescent="0.3">
      <c r="A8165" s="34">
        <f>base!J8165</f>
        <v>0</v>
      </c>
      <c r="B8165" s="34">
        <f>base!V8165</f>
        <v>0</v>
      </c>
      <c r="C8165" s="40" t="s">
        <v>11</v>
      </c>
      <c r="D8165" s="36">
        <f>base!H8165</f>
        <v>0</v>
      </c>
      <c r="E8165" s="44"/>
      <c r="F8165" s="16">
        <f>base!W8165</f>
        <v>0</v>
      </c>
      <c r="G8165" s="11" t="e">
        <f t="shared" si="1270"/>
        <v>#DIV/0!</v>
      </c>
      <c r="H8165" s="11" t="e">
        <f t="shared" si="1271"/>
        <v>#N/A</v>
      </c>
      <c r="I8165" s="11" t="e">
        <f t="shared" si="1272"/>
        <v>#N/A</v>
      </c>
      <c r="J8165" s="12" t="e">
        <f t="shared" si="1273"/>
        <v>#N/A</v>
      </c>
      <c r="K8165" s="17" t="e">
        <f t="shared" si="1278"/>
        <v>#N/A</v>
      </c>
      <c r="L8165" s="16">
        <f>base!X8165</f>
        <v>0</v>
      </c>
      <c r="M8165" s="11" t="e">
        <f t="shared" si="1274"/>
        <v>#DIV/0!</v>
      </c>
      <c r="N8165" s="11"/>
      <c r="O8165" s="11" t="e">
        <f t="shared" si="1276"/>
        <v>#DIV/0!</v>
      </c>
      <c r="P8165" s="12">
        <f t="shared" si="1277"/>
        <v>0</v>
      </c>
      <c r="Q8165" s="17" t="str">
        <f t="shared" si="1279"/>
        <v>Pas d'écart</v>
      </c>
    </row>
    <row r="8166" spans="1:17" x14ac:dyDescent="0.3">
      <c r="A8166" s="34">
        <f>base!J8166</f>
        <v>0</v>
      </c>
      <c r="B8166" s="34">
        <f>base!V8166</f>
        <v>0</v>
      </c>
      <c r="C8166" s="40" t="s">
        <v>11</v>
      </c>
      <c r="D8166" s="36">
        <f>base!H8166</f>
        <v>0</v>
      </c>
      <c r="E8166" s="44"/>
      <c r="F8166" s="16">
        <f>base!W8166</f>
        <v>0</v>
      </c>
      <c r="G8166" s="11" t="e">
        <f t="shared" si="1270"/>
        <v>#DIV/0!</v>
      </c>
      <c r="H8166" s="11" t="e">
        <f t="shared" si="1271"/>
        <v>#N/A</v>
      </c>
      <c r="I8166" s="11" t="e">
        <f t="shared" si="1272"/>
        <v>#N/A</v>
      </c>
      <c r="J8166" s="12" t="e">
        <f t="shared" si="1273"/>
        <v>#N/A</v>
      </c>
      <c r="K8166" s="17" t="e">
        <f t="shared" si="1278"/>
        <v>#N/A</v>
      </c>
      <c r="L8166" s="16">
        <f>base!X8166</f>
        <v>0</v>
      </c>
      <c r="M8166" s="11" t="e">
        <f t="shared" si="1274"/>
        <v>#DIV/0!</v>
      </c>
      <c r="N8166" s="11"/>
      <c r="O8166" s="11" t="e">
        <f t="shared" si="1276"/>
        <v>#DIV/0!</v>
      </c>
      <c r="P8166" s="12">
        <f t="shared" si="1277"/>
        <v>0</v>
      </c>
      <c r="Q8166" s="17" t="str">
        <f t="shared" si="1279"/>
        <v>Pas d'écart</v>
      </c>
    </row>
    <row r="8167" spans="1:17" x14ac:dyDescent="0.3">
      <c r="A8167" s="34">
        <f>base!J8167</f>
        <v>0</v>
      </c>
      <c r="B8167" s="34">
        <f>base!V8167</f>
        <v>0</v>
      </c>
      <c r="C8167" s="40" t="s">
        <v>11</v>
      </c>
      <c r="D8167" s="36">
        <f>base!H8167</f>
        <v>0</v>
      </c>
      <c r="E8167" s="44"/>
      <c r="F8167" s="16">
        <f>base!W8167</f>
        <v>0</v>
      </c>
      <c r="G8167" s="11" t="e">
        <f t="shared" si="1270"/>
        <v>#DIV/0!</v>
      </c>
      <c r="H8167" s="11" t="e">
        <f t="shared" si="1271"/>
        <v>#N/A</v>
      </c>
      <c r="I8167" s="11" t="e">
        <f t="shared" si="1272"/>
        <v>#N/A</v>
      </c>
      <c r="J8167" s="12" t="e">
        <f t="shared" si="1273"/>
        <v>#N/A</v>
      </c>
      <c r="K8167" s="17" t="e">
        <f t="shared" si="1278"/>
        <v>#N/A</v>
      </c>
      <c r="L8167" s="16">
        <f>base!X8167</f>
        <v>0</v>
      </c>
      <c r="M8167" s="11" t="e">
        <f t="shared" si="1274"/>
        <v>#DIV/0!</v>
      </c>
      <c r="N8167" s="11"/>
      <c r="O8167" s="11" t="e">
        <f t="shared" si="1276"/>
        <v>#DIV/0!</v>
      </c>
      <c r="P8167" s="12">
        <f t="shared" si="1277"/>
        <v>0</v>
      </c>
      <c r="Q8167" s="17" t="str">
        <f t="shared" si="1279"/>
        <v>Pas d'écart</v>
      </c>
    </row>
    <row r="8168" spans="1:17" x14ac:dyDescent="0.3">
      <c r="A8168" s="34">
        <f>base!J8168</f>
        <v>0</v>
      </c>
      <c r="B8168" s="34">
        <f>base!V8168</f>
        <v>0</v>
      </c>
      <c r="C8168" s="40" t="s">
        <v>11</v>
      </c>
      <c r="D8168" s="36">
        <f>base!H8168</f>
        <v>0</v>
      </c>
      <c r="E8168" s="44"/>
      <c r="F8168" s="16">
        <f>base!W8168</f>
        <v>0</v>
      </c>
      <c r="G8168" s="11" t="e">
        <f t="shared" si="1270"/>
        <v>#DIV/0!</v>
      </c>
      <c r="H8168" s="11" t="e">
        <f t="shared" si="1271"/>
        <v>#N/A</v>
      </c>
      <c r="I8168" s="11" t="e">
        <f t="shared" si="1272"/>
        <v>#N/A</v>
      </c>
      <c r="J8168" s="12" t="e">
        <f t="shared" si="1273"/>
        <v>#N/A</v>
      </c>
      <c r="K8168" s="17" t="e">
        <f t="shared" si="1278"/>
        <v>#N/A</v>
      </c>
      <c r="L8168" s="16">
        <f>base!X8168</f>
        <v>0</v>
      </c>
      <c r="M8168" s="11" t="e">
        <f t="shared" si="1274"/>
        <v>#DIV/0!</v>
      </c>
      <c r="N8168" s="11"/>
      <c r="O8168" s="11" t="e">
        <f t="shared" si="1276"/>
        <v>#DIV/0!</v>
      </c>
      <c r="P8168" s="12">
        <f t="shared" si="1277"/>
        <v>0</v>
      </c>
      <c r="Q8168" s="17" t="str">
        <f t="shared" si="1279"/>
        <v>Pas d'écart</v>
      </c>
    </row>
    <row r="8169" spans="1:17" x14ac:dyDescent="0.3">
      <c r="A8169" s="34">
        <f>base!J8169</f>
        <v>0</v>
      </c>
      <c r="B8169" s="34">
        <f>base!V8169</f>
        <v>0</v>
      </c>
      <c r="C8169" s="40" t="s">
        <v>11</v>
      </c>
      <c r="D8169" s="36">
        <f>base!H8169</f>
        <v>0</v>
      </c>
      <c r="E8169" s="44"/>
      <c r="F8169" s="16">
        <f>base!W8169</f>
        <v>0</v>
      </c>
      <c r="G8169" s="11" t="e">
        <f t="shared" si="1270"/>
        <v>#DIV/0!</v>
      </c>
      <c r="H8169" s="11" t="e">
        <f t="shared" si="1271"/>
        <v>#N/A</v>
      </c>
      <c r="I8169" s="11" t="e">
        <f t="shared" si="1272"/>
        <v>#N/A</v>
      </c>
      <c r="J8169" s="12" t="e">
        <f t="shared" si="1273"/>
        <v>#N/A</v>
      </c>
      <c r="K8169" s="17" t="e">
        <f t="shared" si="1278"/>
        <v>#N/A</v>
      </c>
      <c r="L8169" s="16">
        <f>base!X8169</f>
        <v>0</v>
      </c>
      <c r="M8169" s="11" t="e">
        <f t="shared" si="1274"/>
        <v>#DIV/0!</v>
      </c>
      <c r="N8169" s="11"/>
      <c r="O8169" s="11" t="e">
        <f t="shared" si="1276"/>
        <v>#DIV/0!</v>
      </c>
      <c r="P8169" s="12">
        <f t="shared" si="1277"/>
        <v>0</v>
      </c>
      <c r="Q8169" s="17" t="str">
        <f t="shared" si="1279"/>
        <v>Pas d'écart</v>
      </c>
    </row>
    <row r="8170" spans="1:17" x14ac:dyDescent="0.3">
      <c r="A8170" s="34">
        <f>base!J8170</f>
        <v>0</v>
      </c>
      <c r="B8170" s="34">
        <f>base!V8170</f>
        <v>0</v>
      </c>
      <c r="C8170" s="40" t="s">
        <v>11</v>
      </c>
      <c r="D8170" s="36">
        <f>base!H8170</f>
        <v>0</v>
      </c>
      <c r="E8170" s="44"/>
      <c r="F8170" s="16">
        <f>base!W8170</f>
        <v>0</v>
      </c>
      <c r="G8170" s="11" t="e">
        <f t="shared" si="1270"/>
        <v>#DIV/0!</v>
      </c>
      <c r="H8170" s="11" t="e">
        <f t="shared" si="1271"/>
        <v>#N/A</v>
      </c>
      <c r="I8170" s="11" t="e">
        <f t="shared" si="1272"/>
        <v>#N/A</v>
      </c>
      <c r="J8170" s="12" t="e">
        <f t="shared" si="1273"/>
        <v>#N/A</v>
      </c>
      <c r="K8170" s="17" t="e">
        <f t="shared" si="1278"/>
        <v>#N/A</v>
      </c>
      <c r="L8170" s="16">
        <f>base!X8170</f>
        <v>0</v>
      </c>
      <c r="M8170" s="11" t="e">
        <f t="shared" si="1274"/>
        <v>#DIV/0!</v>
      </c>
      <c r="N8170" s="11"/>
      <c r="O8170" s="11" t="e">
        <f t="shared" si="1276"/>
        <v>#DIV/0!</v>
      </c>
      <c r="P8170" s="12">
        <f t="shared" si="1277"/>
        <v>0</v>
      </c>
      <c r="Q8170" s="17" t="str">
        <f t="shared" si="1279"/>
        <v>Pas d'écart</v>
      </c>
    </row>
    <row r="8171" spans="1:17" x14ac:dyDescent="0.3">
      <c r="A8171" s="34">
        <f>base!J8171</f>
        <v>0</v>
      </c>
      <c r="B8171" s="34">
        <f>base!V8171</f>
        <v>0</v>
      </c>
      <c r="C8171" s="40" t="s">
        <v>11</v>
      </c>
      <c r="D8171" s="36">
        <f>base!H8171</f>
        <v>0</v>
      </c>
      <c r="E8171" s="44"/>
      <c r="F8171" s="16">
        <f>base!W8171</f>
        <v>0</v>
      </c>
      <c r="G8171" s="11" t="e">
        <f t="shared" si="1270"/>
        <v>#DIV/0!</v>
      </c>
      <c r="H8171" s="11" t="e">
        <f t="shared" si="1271"/>
        <v>#N/A</v>
      </c>
      <c r="I8171" s="11" t="e">
        <f t="shared" si="1272"/>
        <v>#N/A</v>
      </c>
      <c r="J8171" s="12" t="e">
        <f t="shared" si="1273"/>
        <v>#N/A</v>
      </c>
      <c r="K8171" s="17" t="e">
        <f t="shared" si="1278"/>
        <v>#N/A</v>
      </c>
      <c r="L8171" s="16">
        <f>base!X8171</f>
        <v>0</v>
      </c>
      <c r="M8171" s="11" t="e">
        <f t="shared" si="1274"/>
        <v>#DIV/0!</v>
      </c>
      <c r="N8171" s="11"/>
      <c r="O8171" s="11" t="e">
        <f t="shared" si="1276"/>
        <v>#DIV/0!</v>
      </c>
      <c r="P8171" s="12">
        <f t="shared" si="1277"/>
        <v>0</v>
      </c>
      <c r="Q8171" s="17" t="str">
        <f t="shared" si="1279"/>
        <v>Pas d'écart</v>
      </c>
    </row>
    <row r="8172" spans="1:17" x14ac:dyDescent="0.3">
      <c r="A8172" s="34">
        <f>base!J8172</f>
        <v>0</v>
      </c>
      <c r="B8172" s="34">
        <f>base!V8172</f>
        <v>0</v>
      </c>
      <c r="C8172" s="40" t="s">
        <v>11</v>
      </c>
      <c r="D8172" s="36">
        <f>base!H8172</f>
        <v>0</v>
      </c>
      <c r="E8172" s="44"/>
      <c r="F8172" s="16">
        <f>base!W8172</f>
        <v>0</v>
      </c>
      <c r="G8172" s="11" t="e">
        <f t="shared" si="1270"/>
        <v>#DIV/0!</v>
      </c>
      <c r="H8172" s="11" t="e">
        <f t="shared" si="1271"/>
        <v>#N/A</v>
      </c>
      <c r="I8172" s="11" t="e">
        <f t="shared" si="1272"/>
        <v>#N/A</v>
      </c>
      <c r="J8172" s="12" t="e">
        <f t="shared" si="1273"/>
        <v>#N/A</v>
      </c>
      <c r="K8172" s="17" t="e">
        <f t="shared" si="1278"/>
        <v>#N/A</v>
      </c>
      <c r="L8172" s="16">
        <f>base!X8172</f>
        <v>0</v>
      </c>
      <c r="M8172" s="11" t="e">
        <f t="shared" si="1274"/>
        <v>#DIV/0!</v>
      </c>
      <c r="N8172" s="11"/>
      <c r="O8172" s="11" t="e">
        <f t="shared" si="1276"/>
        <v>#DIV/0!</v>
      </c>
      <c r="P8172" s="12">
        <f t="shared" si="1277"/>
        <v>0</v>
      </c>
      <c r="Q8172" s="17" t="str">
        <f t="shared" si="1279"/>
        <v>Pas d'écart</v>
      </c>
    </row>
    <row r="8173" spans="1:17" x14ac:dyDescent="0.3">
      <c r="A8173" s="34">
        <f>base!J8173</f>
        <v>0</v>
      </c>
      <c r="B8173" s="34">
        <f>base!V8173</f>
        <v>0</v>
      </c>
      <c r="C8173" s="40" t="s">
        <v>11</v>
      </c>
      <c r="D8173" s="36">
        <f>base!H8173</f>
        <v>0</v>
      </c>
      <c r="E8173" s="44"/>
      <c r="F8173" s="16">
        <f>base!W8173</f>
        <v>0</v>
      </c>
      <c r="G8173" s="11" t="e">
        <f t="shared" si="1270"/>
        <v>#DIV/0!</v>
      </c>
      <c r="H8173" s="11" t="e">
        <f t="shared" si="1271"/>
        <v>#N/A</v>
      </c>
      <c r="I8173" s="11" t="e">
        <f t="shared" si="1272"/>
        <v>#N/A</v>
      </c>
      <c r="J8173" s="12" t="e">
        <f t="shared" si="1273"/>
        <v>#N/A</v>
      </c>
      <c r="K8173" s="17" t="e">
        <f t="shared" si="1278"/>
        <v>#N/A</v>
      </c>
      <c r="L8173" s="16">
        <f>base!X8173</f>
        <v>0</v>
      </c>
      <c r="M8173" s="11" t="e">
        <f t="shared" si="1274"/>
        <v>#DIV/0!</v>
      </c>
      <c r="N8173" s="11"/>
      <c r="O8173" s="11" t="e">
        <f t="shared" si="1276"/>
        <v>#DIV/0!</v>
      </c>
      <c r="P8173" s="12">
        <f t="shared" si="1277"/>
        <v>0</v>
      </c>
      <c r="Q8173" s="17" t="str">
        <f t="shared" si="1279"/>
        <v>Pas d'écart</v>
      </c>
    </row>
    <row r="8174" spans="1:17" x14ac:dyDescent="0.3">
      <c r="A8174" s="34">
        <f>base!J8174</f>
        <v>0</v>
      </c>
      <c r="B8174" s="34">
        <f>base!V8174</f>
        <v>0</v>
      </c>
      <c r="C8174" s="40" t="s">
        <v>11</v>
      </c>
      <c r="D8174" s="36">
        <f>base!H8174</f>
        <v>0</v>
      </c>
      <c r="E8174" s="44"/>
      <c r="F8174" s="16">
        <f>base!W8174</f>
        <v>0</v>
      </c>
      <c r="G8174" s="11" t="e">
        <f t="shared" si="1270"/>
        <v>#DIV/0!</v>
      </c>
      <c r="H8174" s="11" t="e">
        <f t="shared" si="1271"/>
        <v>#N/A</v>
      </c>
      <c r="I8174" s="11" t="e">
        <f t="shared" si="1272"/>
        <v>#N/A</v>
      </c>
      <c r="J8174" s="12" t="e">
        <f t="shared" si="1273"/>
        <v>#N/A</v>
      </c>
      <c r="K8174" s="17" t="e">
        <f t="shared" si="1278"/>
        <v>#N/A</v>
      </c>
      <c r="L8174" s="16">
        <f>base!X8174</f>
        <v>0</v>
      </c>
      <c r="M8174" s="11" t="e">
        <f t="shared" si="1274"/>
        <v>#DIV/0!</v>
      </c>
      <c r="N8174" s="11"/>
      <c r="O8174" s="11" t="e">
        <f t="shared" si="1276"/>
        <v>#DIV/0!</v>
      </c>
      <c r="P8174" s="12">
        <f t="shared" si="1277"/>
        <v>0</v>
      </c>
      <c r="Q8174" s="17" t="str">
        <f t="shared" si="1279"/>
        <v>Pas d'écart</v>
      </c>
    </row>
    <row r="8175" spans="1:17" x14ac:dyDescent="0.3">
      <c r="A8175" s="34">
        <f>base!J8175</f>
        <v>0</v>
      </c>
      <c r="B8175" s="34">
        <f>base!V8175</f>
        <v>0</v>
      </c>
      <c r="C8175" s="40" t="s">
        <v>11</v>
      </c>
      <c r="D8175" s="36">
        <f>base!H8175</f>
        <v>0</v>
      </c>
      <c r="E8175" s="44"/>
      <c r="F8175" s="16">
        <f>base!W8175</f>
        <v>0</v>
      </c>
      <c r="G8175" s="11" t="e">
        <f t="shared" si="1270"/>
        <v>#DIV/0!</v>
      </c>
      <c r="H8175" s="11" t="e">
        <f t="shared" si="1271"/>
        <v>#N/A</v>
      </c>
      <c r="I8175" s="11" t="e">
        <f t="shared" si="1272"/>
        <v>#N/A</v>
      </c>
      <c r="J8175" s="12" t="e">
        <f t="shared" si="1273"/>
        <v>#N/A</v>
      </c>
      <c r="K8175" s="17" t="e">
        <f t="shared" si="1278"/>
        <v>#N/A</v>
      </c>
      <c r="L8175" s="16">
        <f>base!X8175</f>
        <v>0</v>
      </c>
      <c r="M8175" s="11" t="e">
        <f t="shared" si="1274"/>
        <v>#DIV/0!</v>
      </c>
      <c r="N8175" s="11"/>
      <c r="O8175" s="11" t="e">
        <f t="shared" si="1276"/>
        <v>#DIV/0!</v>
      </c>
      <c r="P8175" s="12">
        <f t="shared" si="1277"/>
        <v>0</v>
      </c>
      <c r="Q8175" s="17" t="str">
        <f t="shared" si="1279"/>
        <v>Pas d'écart</v>
      </c>
    </row>
    <row r="8176" spans="1:17" x14ac:dyDescent="0.3">
      <c r="A8176" s="34">
        <f>base!J8176</f>
        <v>0</v>
      </c>
      <c r="B8176" s="34">
        <f>base!V8176</f>
        <v>0</v>
      </c>
      <c r="C8176" s="40" t="s">
        <v>11</v>
      </c>
      <c r="D8176" s="36">
        <f>base!H8176</f>
        <v>0</v>
      </c>
      <c r="E8176" s="44"/>
      <c r="F8176" s="16">
        <f>base!W8176</f>
        <v>0</v>
      </c>
      <c r="G8176" s="11" t="e">
        <f t="shared" si="1270"/>
        <v>#DIV/0!</v>
      </c>
      <c r="H8176" s="11" t="e">
        <f t="shared" si="1271"/>
        <v>#N/A</v>
      </c>
      <c r="I8176" s="11" t="e">
        <f t="shared" si="1272"/>
        <v>#N/A</v>
      </c>
      <c r="J8176" s="12" t="e">
        <f t="shared" si="1273"/>
        <v>#N/A</v>
      </c>
      <c r="K8176" s="17" t="e">
        <f t="shared" si="1278"/>
        <v>#N/A</v>
      </c>
      <c r="L8176" s="16">
        <f>base!X8176</f>
        <v>0</v>
      </c>
      <c r="M8176" s="11" t="e">
        <f t="shared" si="1274"/>
        <v>#DIV/0!</v>
      </c>
      <c r="N8176" s="11"/>
      <c r="O8176" s="11" t="e">
        <f t="shared" si="1276"/>
        <v>#DIV/0!</v>
      </c>
      <c r="P8176" s="12">
        <f t="shared" si="1277"/>
        <v>0</v>
      </c>
      <c r="Q8176" s="17" t="str">
        <f t="shared" si="1279"/>
        <v>Pas d'écart</v>
      </c>
    </row>
    <row r="8177" spans="1:17" x14ac:dyDescent="0.3">
      <c r="A8177" s="34">
        <f>base!J8177</f>
        <v>0</v>
      </c>
      <c r="B8177" s="34">
        <f>base!V8177</f>
        <v>0</v>
      </c>
      <c r="C8177" s="40" t="s">
        <v>11</v>
      </c>
      <c r="D8177" s="36">
        <f>base!H8177</f>
        <v>0</v>
      </c>
      <c r="E8177" s="44"/>
      <c r="F8177" s="16">
        <f>base!W8177</f>
        <v>0</v>
      </c>
      <c r="G8177" s="11" t="e">
        <f t="shared" si="1270"/>
        <v>#DIV/0!</v>
      </c>
      <c r="H8177" s="11" t="e">
        <f t="shared" si="1271"/>
        <v>#N/A</v>
      </c>
      <c r="I8177" s="11" t="e">
        <f t="shared" si="1272"/>
        <v>#N/A</v>
      </c>
      <c r="J8177" s="12" t="e">
        <f t="shared" si="1273"/>
        <v>#N/A</v>
      </c>
      <c r="K8177" s="17" t="e">
        <f t="shared" si="1278"/>
        <v>#N/A</v>
      </c>
      <c r="L8177" s="16">
        <f>base!X8177</f>
        <v>0</v>
      </c>
      <c r="M8177" s="11" t="e">
        <f t="shared" si="1274"/>
        <v>#DIV/0!</v>
      </c>
      <c r="N8177" s="11"/>
      <c r="O8177" s="11" t="e">
        <f t="shared" si="1276"/>
        <v>#DIV/0!</v>
      </c>
      <c r="P8177" s="12">
        <f t="shared" si="1277"/>
        <v>0</v>
      </c>
      <c r="Q8177" s="17" t="str">
        <f t="shared" si="1279"/>
        <v>Pas d'écart</v>
      </c>
    </row>
    <row r="8178" spans="1:17" x14ac:dyDescent="0.3">
      <c r="A8178" s="34">
        <f>base!J8178</f>
        <v>0</v>
      </c>
      <c r="B8178" s="34">
        <f>base!V8178</f>
        <v>0</v>
      </c>
      <c r="C8178" s="40" t="s">
        <v>11</v>
      </c>
      <c r="D8178" s="36">
        <f>base!H8178</f>
        <v>0</v>
      </c>
      <c r="E8178" s="44"/>
      <c r="F8178" s="16">
        <f>base!W8178</f>
        <v>0</v>
      </c>
      <c r="G8178" s="11" t="e">
        <f t="shared" si="1270"/>
        <v>#DIV/0!</v>
      </c>
      <c r="H8178" s="11" t="e">
        <f t="shared" si="1271"/>
        <v>#N/A</v>
      </c>
      <c r="I8178" s="11" t="e">
        <f t="shared" si="1272"/>
        <v>#N/A</v>
      </c>
      <c r="J8178" s="12" t="e">
        <f t="shared" si="1273"/>
        <v>#N/A</v>
      </c>
      <c r="K8178" s="17" t="e">
        <f t="shared" si="1278"/>
        <v>#N/A</v>
      </c>
      <c r="L8178" s="16">
        <f>base!X8178</f>
        <v>0</v>
      </c>
      <c r="M8178" s="11" t="e">
        <f t="shared" si="1274"/>
        <v>#DIV/0!</v>
      </c>
      <c r="N8178" s="11"/>
      <c r="O8178" s="11" t="e">
        <f t="shared" si="1276"/>
        <v>#DIV/0!</v>
      </c>
      <c r="P8178" s="12">
        <f t="shared" si="1277"/>
        <v>0</v>
      </c>
      <c r="Q8178" s="17" t="str">
        <f t="shared" si="1279"/>
        <v>Pas d'écart</v>
      </c>
    </row>
    <row r="8179" spans="1:17" x14ac:dyDescent="0.3">
      <c r="A8179" s="34">
        <f>base!J8179</f>
        <v>0</v>
      </c>
      <c r="B8179" s="34">
        <f>base!V8179</f>
        <v>0</v>
      </c>
      <c r="C8179" s="40" t="s">
        <v>11</v>
      </c>
      <c r="D8179" s="36">
        <f>base!H8179</f>
        <v>0</v>
      </c>
      <c r="E8179" s="44"/>
      <c r="F8179" s="16">
        <f>base!W8179</f>
        <v>0</v>
      </c>
      <c r="G8179" s="11" t="e">
        <f t="shared" si="1270"/>
        <v>#DIV/0!</v>
      </c>
      <c r="H8179" s="11" t="e">
        <f t="shared" si="1271"/>
        <v>#N/A</v>
      </c>
      <c r="I8179" s="11" t="e">
        <f t="shared" si="1272"/>
        <v>#N/A</v>
      </c>
      <c r="J8179" s="12" t="e">
        <f t="shared" si="1273"/>
        <v>#N/A</v>
      </c>
      <c r="K8179" s="17" t="e">
        <f t="shared" si="1278"/>
        <v>#N/A</v>
      </c>
      <c r="L8179" s="16">
        <f>base!X8179</f>
        <v>0</v>
      </c>
      <c r="M8179" s="11" t="e">
        <f t="shared" si="1274"/>
        <v>#DIV/0!</v>
      </c>
      <c r="N8179" s="11"/>
      <c r="O8179" s="11" t="e">
        <f t="shared" si="1276"/>
        <v>#DIV/0!</v>
      </c>
      <c r="P8179" s="12">
        <f t="shared" si="1277"/>
        <v>0</v>
      </c>
      <c r="Q8179" s="17" t="str">
        <f t="shared" si="1279"/>
        <v>Pas d'écart</v>
      </c>
    </row>
    <row r="8180" spans="1:17" x14ac:dyDescent="0.3">
      <c r="A8180" s="34">
        <f>base!J8180</f>
        <v>0</v>
      </c>
      <c r="B8180" s="34">
        <f>base!V8180</f>
        <v>0</v>
      </c>
      <c r="C8180" s="40" t="s">
        <v>11</v>
      </c>
      <c r="D8180" s="36">
        <f>base!H8180</f>
        <v>0</v>
      </c>
      <c r="E8180" s="44"/>
      <c r="F8180" s="16">
        <f>base!W8180</f>
        <v>0</v>
      </c>
      <c r="G8180" s="11" t="e">
        <f t="shared" si="1270"/>
        <v>#DIV/0!</v>
      </c>
      <c r="H8180" s="11" t="e">
        <f t="shared" si="1271"/>
        <v>#N/A</v>
      </c>
      <c r="I8180" s="11" t="e">
        <f t="shared" si="1272"/>
        <v>#N/A</v>
      </c>
      <c r="J8180" s="12" t="e">
        <f t="shared" si="1273"/>
        <v>#N/A</v>
      </c>
      <c r="K8180" s="17" t="e">
        <f t="shared" si="1278"/>
        <v>#N/A</v>
      </c>
      <c r="L8180" s="16">
        <f>base!X8180</f>
        <v>0</v>
      </c>
      <c r="M8180" s="11" t="e">
        <f t="shared" si="1274"/>
        <v>#DIV/0!</v>
      </c>
      <c r="N8180" s="11"/>
      <c r="O8180" s="11" t="e">
        <f t="shared" si="1276"/>
        <v>#DIV/0!</v>
      </c>
      <c r="P8180" s="12">
        <f t="shared" si="1277"/>
        <v>0</v>
      </c>
      <c r="Q8180" s="17" t="str">
        <f t="shared" si="1279"/>
        <v>Pas d'écart</v>
      </c>
    </row>
    <row r="8181" spans="1:17" x14ac:dyDescent="0.3">
      <c r="A8181" s="34">
        <f>base!J8181</f>
        <v>0</v>
      </c>
      <c r="B8181" s="34">
        <f>base!V8181</f>
        <v>0</v>
      </c>
      <c r="C8181" s="40" t="s">
        <v>11</v>
      </c>
      <c r="D8181" s="36">
        <f>base!H8181</f>
        <v>0</v>
      </c>
      <c r="E8181" s="44"/>
      <c r="F8181" s="16">
        <f>base!W8181</f>
        <v>0</v>
      </c>
      <c r="G8181" s="11" t="e">
        <f t="shared" si="1270"/>
        <v>#DIV/0!</v>
      </c>
      <c r="H8181" s="11" t="e">
        <f t="shared" si="1271"/>
        <v>#N/A</v>
      </c>
      <c r="I8181" s="11" t="e">
        <f t="shared" si="1272"/>
        <v>#N/A</v>
      </c>
      <c r="J8181" s="12" t="e">
        <f t="shared" si="1273"/>
        <v>#N/A</v>
      </c>
      <c r="K8181" s="17" t="e">
        <f t="shared" si="1278"/>
        <v>#N/A</v>
      </c>
      <c r="L8181" s="16">
        <f>base!X8181</f>
        <v>0</v>
      </c>
      <c r="M8181" s="11" t="e">
        <f t="shared" si="1274"/>
        <v>#DIV/0!</v>
      </c>
      <c r="N8181" s="11"/>
      <c r="O8181" s="11" t="e">
        <f t="shared" si="1276"/>
        <v>#DIV/0!</v>
      </c>
      <c r="P8181" s="12">
        <f t="shared" si="1277"/>
        <v>0</v>
      </c>
      <c r="Q8181" s="17" t="str">
        <f t="shared" si="1279"/>
        <v>Pas d'écart</v>
      </c>
    </row>
    <row r="8182" spans="1:17" x14ac:dyDescent="0.3">
      <c r="A8182" s="34">
        <f>base!J8182</f>
        <v>0</v>
      </c>
      <c r="B8182" s="34">
        <f>base!V8182</f>
        <v>0</v>
      </c>
      <c r="C8182" s="40" t="s">
        <v>11</v>
      </c>
      <c r="D8182" s="36">
        <f>base!H8182</f>
        <v>0</v>
      </c>
      <c r="E8182" s="44"/>
      <c r="F8182" s="16">
        <f>base!W8182</f>
        <v>0</v>
      </c>
      <c r="G8182" s="11" t="e">
        <f t="shared" si="1270"/>
        <v>#DIV/0!</v>
      </c>
      <c r="H8182" s="11" t="e">
        <f t="shared" si="1271"/>
        <v>#N/A</v>
      </c>
      <c r="I8182" s="11" t="e">
        <f t="shared" si="1272"/>
        <v>#N/A</v>
      </c>
      <c r="J8182" s="12" t="e">
        <f t="shared" si="1273"/>
        <v>#N/A</v>
      </c>
      <c r="K8182" s="17" t="e">
        <f t="shared" si="1278"/>
        <v>#N/A</v>
      </c>
      <c r="L8182" s="16">
        <f>base!X8182</f>
        <v>0</v>
      </c>
      <c r="M8182" s="11" t="e">
        <f t="shared" si="1274"/>
        <v>#DIV/0!</v>
      </c>
      <c r="N8182" s="11"/>
      <c r="O8182" s="11" t="e">
        <f t="shared" si="1276"/>
        <v>#DIV/0!</v>
      </c>
      <c r="P8182" s="12">
        <f t="shared" si="1277"/>
        <v>0</v>
      </c>
      <c r="Q8182" s="17" t="str">
        <f t="shared" si="1279"/>
        <v>Pas d'écart</v>
      </c>
    </row>
    <row r="8183" spans="1:17" x14ac:dyDescent="0.3">
      <c r="A8183" s="34">
        <f>base!J8183</f>
        <v>0</v>
      </c>
      <c r="B8183" s="34">
        <f>base!V8183</f>
        <v>0</v>
      </c>
      <c r="C8183" s="40" t="s">
        <v>11</v>
      </c>
      <c r="D8183" s="36">
        <f>base!H8183</f>
        <v>0</v>
      </c>
      <c r="E8183" s="44"/>
      <c r="F8183" s="16">
        <f>base!W8183</f>
        <v>0</v>
      </c>
      <c r="G8183" s="11" t="e">
        <f t="shared" si="1270"/>
        <v>#DIV/0!</v>
      </c>
      <c r="H8183" s="11" t="e">
        <f t="shared" si="1271"/>
        <v>#N/A</v>
      </c>
      <c r="I8183" s="11" t="e">
        <f t="shared" si="1272"/>
        <v>#N/A</v>
      </c>
      <c r="J8183" s="12" t="e">
        <f t="shared" si="1273"/>
        <v>#N/A</v>
      </c>
      <c r="K8183" s="17" t="e">
        <f t="shared" si="1278"/>
        <v>#N/A</v>
      </c>
      <c r="L8183" s="16">
        <f>base!X8183</f>
        <v>0</v>
      </c>
      <c r="M8183" s="11" t="e">
        <f t="shared" si="1274"/>
        <v>#DIV/0!</v>
      </c>
      <c r="N8183" s="11"/>
      <c r="O8183" s="11" t="e">
        <f t="shared" si="1276"/>
        <v>#DIV/0!</v>
      </c>
      <c r="P8183" s="12">
        <f t="shared" si="1277"/>
        <v>0</v>
      </c>
      <c r="Q8183" s="17" t="str">
        <f t="shared" si="1279"/>
        <v>Pas d'écart</v>
      </c>
    </row>
    <row r="8184" spans="1:17" x14ac:dyDescent="0.3">
      <c r="A8184" s="34">
        <f>base!J8184</f>
        <v>0</v>
      </c>
      <c r="B8184" s="34">
        <f>base!V8184</f>
        <v>0</v>
      </c>
      <c r="C8184" s="40" t="s">
        <v>11</v>
      </c>
      <c r="D8184" s="36">
        <f>base!H8184</f>
        <v>0</v>
      </c>
      <c r="E8184" s="44"/>
      <c r="F8184" s="16">
        <f>base!W8184</f>
        <v>0</v>
      </c>
      <c r="G8184" s="11" t="e">
        <f t="shared" si="1270"/>
        <v>#DIV/0!</v>
      </c>
      <c r="H8184" s="11" t="e">
        <f t="shared" si="1271"/>
        <v>#N/A</v>
      </c>
      <c r="I8184" s="11" t="e">
        <f t="shared" si="1272"/>
        <v>#N/A</v>
      </c>
      <c r="J8184" s="12" t="e">
        <f t="shared" si="1273"/>
        <v>#N/A</v>
      </c>
      <c r="K8184" s="17" t="e">
        <f t="shared" si="1278"/>
        <v>#N/A</v>
      </c>
      <c r="L8184" s="16">
        <f>base!X8184</f>
        <v>0</v>
      </c>
      <c r="M8184" s="11" t="e">
        <f t="shared" si="1274"/>
        <v>#DIV/0!</v>
      </c>
      <c r="N8184" s="11"/>
      <c r="O8184" s="11" t="e">
        <f t="shared" si="1276"/>
        <v>#DIV/0!</v>
      </c>
      <c r="P8184" s="12">
        <f t="shared" si="1277"/>
        <v>0</v>
      </c>
      <c r="Q8184" s="17" t="str">
        <f t="shared" si="1279"/>
        <v>Pas d'écart</v>
      </c>
    </row>
    <row r="8185" spans="1:17" x14ac:dyDescent="0.3">
      <c r="A8185" s="34">
        <f>base!J8185</f>
        <v>0</v>
      </c>
      <c r="B8185" s="34">
        <f>base!V8185</f>
        <v>0</v>
      </c>
      <c r="C8185" s="40" t="s">
        <v>11</v>
      </c>
      <c r="D8185" s="36">
        <f>base!H8185</f>
        <v>0</v>
      </c>
      <c r="E8185" s="44"/>
      <c r="F8185" s="16">
        <f>base!W8185</f>
        <v>0</v>
      </c>
      <c r="G8185" s="11" t="e">
        <f t="shared" si="1270"/>
        <v>#DIV/0!</v>
      </c>
      <c r="H8185" s="11" t="e">
        <f t="shared" si="1271"/>
        <v>#N/A</v>
      </c>
      <c r="I8185" s="11" t="e">
        <f t="shared" si="1272"/>
        <v>#N/A</v>
      </c>
      <c r="J8185" s="12" t="e">
        <f t="shared" si="1273"/>
        <v>#N/A</v>
      </c>
      <c r="K8185" s="17" t="e">
        <f t="shared" si="1278"/>
        <v>#N/A</v>
      </c>
      <c r="L8185" s="16">
        <f>base!X8185</f>
        <v>0</v>
      </c>
      <c r="M8185" s="11" t="e">
        <f t="shared" si="1274"/>
        <v>#DIV/0!</v>
      </c>
      <c r="N8185" s="11"/>
      <c r="O8185" s="11" t="e">
        <f t="shared" si="1276"/>
        <v>#DIV/0!</v>
      </c>
      <c r="P8185" s="12">
        <f t="shared" si="1277"/>
        <v>0</v>
      </c>
      <c r="Q8185" s="17" t="str">
        <f t="shared" si="1279"/>
        <v>Pas d'écart</v>
      </c>
    </row>
    <row r="8186" spans="1:17" x14ac:dyDescent="0.3">
      <c r="A8186" s="34">
        <f>base!J8186</f>
        <v>0</v>
      </c>
      <c r="B8186" s="34">
        <f>base!V8186</f>
        <v>0</v>
      </c>
      <c r="C8186" s="40" t="s">
        <v>11</v>
      </c>
      <c r="D8186" s="36">
        <f>base!H8186</f>
        <v>0</v>
      </c>
      <c r="E8186" s="44"/>
      <c r="F8186" s="16">
        <f>base!W8186</f>
        <v>0</v>
      </c>
      <c r="G8186" s="11" t="e">
        <f t="shared" si="1270"/>
        <v>#DIV/0!</v>
      </c>
      <c r="H8186" s="11" t="e">
        <f t="shared" si="1271"/>
        <v>#N/A</v>
      </c>
      <c r="I8186" s="11" t="e">
        <f t="shared" si="1272"/>
        <v>#N/A</v>
      </c>
      <c r="J8186" s="12" t="e">
        <f t="shared" si="1273"/>
        <v>#N/A</v>
      </c>
      <c r="K8186" s="17" t="e">
        <f t="shared" si="1278"/>
        <v>#N/A</v>
      </c>
      <c r="L8186" s="16">
        <f>base!X8186</f>
        <v>0</v>
      </c>
      <c r="M8186" s="11" t="e">
        <f t="shared" si="1274"/>
        <v>#DIV/0!</v>
      </c>
      <c r="N8186" s="11"/>
      <c r="O8186" s="11" t="e">
        <f t="shared" si="1276"/>
        <v>#DIV/0!</v>
      </c>
      <c r="P8186" s="12">
        <f t="shared" si="1277"/>
        <v>0</v>
      </c>
      <c r="Q8186" s="17" t="str">
        <f t="shared" si="1279"/>
        <v>Pas d'écart</v>
      </c>
    </row>
    <row r="8187" spans="1:17" x14ac:dyDescent="0.3">
      <c r="A8187" s="34">
        <f>base!J8187</f>
        <v>0</v>
      </c>
      <c r="B8187" s="34">
        <f>base!V8187</f>
        <v>0</v>
      </c>
      <c r="C8187" s="40" t="s">
        <v>11</v>
      </c>
      <c r="D8187" s="36">
        <f>base!H8187</f>
        <v>0</v>
      </c>
      <c r="E8187" s="44"/>
      <c r="F8187" s="16">
        <f>base!W8187</f>
        <v>0</v>
      </c>
      <c r="G8187" s="11" t="e">
        <f t="shared" si="1270"/>
        <v>#DIV/0!</v>
      </c>
      <c r="H8187" s="11" t="e">
        <f t="shared" si="1271"/>
        <v>#N/A</v>
      </c>
      <c r="I8187" s="11" t="e">
        <f t="shared" si="1272"/>
        <v>#N/A</v>
      </c>
      <c r="J8187" s="12" t="e">
        <f t="shared" si="1273"/>
        <v>#N/A</v>
      </c>
      <c r="K8187" s="17" t="e">
        <f t="shared" si="1278"/>
        <v>#N/A</v>
      </c>
      <c r="L8187" s="16">
        <f>base!X8187</f>
        <v>0</v>
      </c>
      <c r="M8187" s="11" t="e">
        <f t="shared" si="1274"/>
        <v>#DIV/0!</v>
      </c>
      <c r="N8187" s="11"/>
      <c r="O8187" s="11" t="e">
        <f t="shared" si="1276"/>
        <v>#DIV/0!</v>
      </c>
      <c r="P8187" s="12">
        <f t="shared" si="1277"/>
        <v>0</v>
      </c>
      <c r="Q8187" s="17" t="str">
        <f t="shared" si="1279"/>
        <v>Pas d'écart</v>
      </c>
    </row>
    <row r="8188" spans="1:17" x14ac:dyDescent="0.3">
      <c r="A8188" s="34">
        <f>base!J8188</f>
        <v>0</v>
      </c>
      <c r="B8188" s="34">
        <f>base!V8188</f>
        <v>0</v>
      </c>
      <c r="C8188" s="40" t="s">
        <v>11</v>
      </c>
      <c r="D8188" s="36">
        <f>base!H8188</f>
        <v>0</v>
      </c>
      <c r="E8188" s="44"/>
      <c r="F8188" s="16">
        <f>base!W8188</f>
        <v>0</v>
      </c>
      <c r="G8188" s="11" t="e">
        <f t="shared" si="1270"/>
        <v>#DIV/0!</v>
      </c>
      <c r="H8188" s="11" t="e">
        <f t="shared" si="1271"/>
        <v>#N/A</v>
      </c>
      <c r="I8188" s="11" t="e">
        <f t="shared" si="1272"/>
        <v>#N/A</v>
      </c>
      <c r="J8188" s="12" t="e">
        <f t="shared" si="1273"/>
        <v>#N/A</v>
      </c>
      <c r="K8188" s="17" t="e">
        <f t="shared" si="1278"/>
        <v>#N/A</v>
      </c>
      <c r="L8188" s="16">
        <f>base!X8188</f>
        <v>0</v>
      </c>
      <c r="M8188" s="11" t="e">
        <f t="shared" si="1274"/>
        <v>#DIV/0!</v>
      </c>
      <c r="N8188" s="11"/>
      <c r="O8188" s="11" t="e">
        <f t="shared" si="1276"/>
        <v>#DIV/0!</v>
      </c>
      <c r="P8188" s="12">
        <f t="shared" si="1277"/>
        <v>0</v>
      </c>
      <c r="Q8188" s="17" t="str">
        <f t="shared" si="1279"/>
        <v>Pas d'écart</v>
      </c>
    </row>
    <row r="8189" spans="1:17" x14ac:dyDescent="0.3">
      <c r="A8189" s="34">
        <f>base!J8189</f>
        <v>0</v>
      </c>
      <c r="B8189" s="34">
        <f>base!V8189</f>
        <v>0</v>
      </c>
      <c r="C8189" s="40" t="s">
        <v>11</v>
      </c>
      <c r="D8189" s="36">
        <f>base!H8189</f>
        <v>0</v>
      </c>
      <c r="E8189" s="44"/>
      <c r="F8189" s="16">
        <f>base!W8189</f>
        <v>0</v>
      </c>
      <c r="G8189" s="11" t="e">
        <f t="shared" si="1270"/>
        <v>#DIV/0!</v>
      </c>
      <c r="H8189" s="11" t="e">
        <f t="shared" si="1271"/>
        <v>#N/A</v>
      </c>
      <c r="I8189" s="11" t="e">
        <f t="shared" si="1272"/>
        <v>#N/A</v>
      </c>
      <c r="J8189" s="12" t="e">
        <f t="shared" si="1273"/>
        <v>#N/A</v>
      </c>
      <c r="K8189" s="17" t="e">
        <f t="shared" si="1278"/>
        <v>#N/A</v>
      </c>
      <c r="L8189" s="16">
        <f>base!X8189</f>
        <v>0</v>
      </c>
      <c r="M8189" s="11" t="e">
        <f t="shared" si="1274"/>
        <v>#DIV/0!</v>
      </c>
      <c r="N8189" s="11"/>
      <c r="O8189" s="11" t="e">
        <f t="shared" si="1276"/>
        <v>#DIV/0!</v>
      </c>
      <c r="P8189" s="12">
        <f t="shared" si="1277"/>
        <v>0</v>
      </c>
      <c r="Q8189" s="17" t="str">
        <f t="shared" si="1279"/>
        <v>Pas d'écart</v>
      </c>
    </row>
    <row r="8190" spans="1:17" x14ac:dyDescent="0.3">
      <c r="A8190" s="34">
        <f>base!J8190</f>
        <v>0</v>
      </c>
      <c r="B8190" s="34">
        <f>base!V8190</f>
        <v>0</v>
      </c>
      <c r="C8190" s="40" t="s">
        <v>11</v>
      </c>
      <c r="D8190" s="36">
        <f>base!H8190</f>
        <v>0</v>
      </c>
      <c r="E8190" s="44"/>
      <c r="F8190" s="16">
        <f>base!W8190</f>
        <v>0</v>
      </c>
      <c r="G8190" s="11" t="e">
        <f t="shared" si="1270"/>
        <v>#DIV/0!</v>
      </c>
      <c r="H8190" s="11" t="e">
        <f t="shared" si="1271"/>
        <v>#N/A</v>
      </c>
      <c r="I8190" s="11" t="e">
        <f t="shared" si="1272"/>
        <v>#N/A</v>
      </c>
      <c r="J8190" s="12" t="e">
        <f t="shared" si="1273"/>
        <v>#N/A</v>
      </c>
      <c r="K8190" s="17" t="e">
        <f t="shared" si="1278"/>
        <v>#N/A</v>
      </c>
      <c r="L8190" s="16">
        <f>base!X8190</f>
        <v>0</v>
      </c>
      <c r="M8190" s="11" t="e">
        <f t="shared" si="1274"/>
        <v>#DIV/0!</v>
      </c>
      <c r="N8190" s="11"/>
      <c r="O8190" s="11" t="e">
        <f t="shared" si="1276"/>
        <v>#DIV/0!</v>
      </c>
      <c r="P8190" s="12">
        <f t="shared" si="1277"/>
        <v>0</v>
      </c>
      <c r="Q8190" s="17" t="str">
        <f t="shared" si="1279"/>
        <v>Pas d'écart</v>
      </c>
    </row>
    <row r="8191" spans="1:17" x14ac:dyDescent="0.3">
      <c r="A8191" s="34">
        <f>base!J8191</f>
        <v>0</v>
      </c>
      <c r="B8191" s="34">
        <f>base!V8191</f>
        <v>0</v>
      </c>
      <c r="C8191" s="40" t="s">
        <v>11</v>
      </c>
      <c r="D8191" s="36">
        <f>base!H8191</f>
        <v>0</v>
      </c>
      <c r="E8191" s="44"/>
      <c r="F8191" s="16">
        <f>base!W8191</f>
        <v>0</v>
      </c>
      <c r="G8191" s="11" t="e">
        <f t="shared" si="1270"/>
        <v>#DIV/0!</v>
      </c>
      <c r="H8191" s="11" t="e">
        <f t="shared" si="1271"/>
        <v>#N/A</v>
      </c>
      <c r="I8191" s="11" t="e">
        <f t="shared" si="1272"/>
        <v>#N/A</v>
      </c>
      <c r="J8191" s="12" t="e">
        <f t="shared" si="1273"/>
        <v>#N/A</v>
      </c>
      <c r="K8191" s="17" t="e">
        <f t="shared" si="1278"/>
        <v>#N/A</v>
      </c>
      <c r="L8191" s="16">
        <f>base!X8191</f>
        <v>0</v>
      </c>
      <c r="M8191" s="11" t="e">
        <f t="shared" si="1274"/>
        <v>#DIV/0!</v>
      </c>
      <c r="N8191" s="11"/>
      <c r="O8191" s="11" t="e">
        <f t="shared" si="1276"/>
        <v>#DIV/0!</v>
      </c>
      <c r="P8191" s="12">
        <f t="shared" si="1277"/>
        <v>0</v>
      </c>
      <c r="Q8191" s="17" t="str">
        <f t="shared" si="1279"/>
        <v>Pas d'écart</v>
      </c>
    </row>
    <row r="8192" spans="1:17" x14ac:dyDescent="0.3">
      <c r="A8192" s="34">
        <f>base!J8192</f>
        <v>0</v>
      </c>
      <c r="B8192" s="34">
        <f>base!V8192</f>
        <v>0</v>
      </c>
      <c r="C8192" s="40" t="s">
        <v>11</v>
      </c>
      <c r="D8192" s="36">
        <f>base!H8192</f>
        <v>0</v>
      </c>
      <c r="E8192" s="44"/>
      <c r="F8192" s="16">
        <f>base!W8192</f>
        <v>0</v>
      </c>
      <c r="G8192" s="11" t="e">
        <f t="shared" si="1270"/>
        <v>#DIV/0!</v>
      </c>
      <c r="H8192" s="11" t="e">
        <f t="shared" si="1271"/>
        <v>#N/A</v>
      </c>
      <c r="I8192" s="11" t="e">
        <f t="shared" si="1272"/>
        <v>#N/A</v>
      </c>
      <c r="J8192" s="12" t="e">
        <f t="shared" si="1273"/>
        <v>#N/A</v>
      </c>
      <c r="K8192" s="17" t="e">
        <f t="shared" si="1278"/>
        <v>#N/A</v>
      </c>
      <c r="L8192" s="16">
        <f>base!X8192</f>
        <v>0</v>
      </c>
      <c r="M8192" s="11" t="e">
        <f t="shared" si="1274"/>
        <v>#DIV/0!</v>
      </c>
      <c r="N8192" s="11"/>
      <c r="O8192" s="11" t="e">
        <f t="shared" si="1276"/>
        <v>#DIV/0!</v>
      </c>
      <c r="P8192" s="12">
        <f t="shared" si="1277"/>
        <v>0</v>
      </c>
      <c r="Q8192" s="17" t="str">
        <f t="shared" si="1279"/>
        <v>Pas d'écart</v>
      </c>
    </row>
    <row r="8193" spans="1:17" x14ac:dyDescent="0.3">
      <c r="A8193" s="34">
        <f>base!J8193</f>
        <v>0</v>
      </c>
      <c r="B8193" s="34">
        <f>base!V8193</f>
        <v>0</v>
      </c>
      <c r="C8193" s="40" t="s">
        <v>11</v>
      </c>
      <c r="D8193" s="36">
        <f>base!H8193</f>
        <v>0</v>
      </c>
      <c r="E8193" s="44"/>
      <c r="F8193" s="16">
        <f>base!W8193</f>
        <v>0</v>
      </c>
      <c r="G8193" s="11" t="e">
        <f t="shared" si="1270"/>
        <v>#DIV/0!</v>
      </c>
      <c r="H8193" s="11" t="e">
        <f t="shared" si="1271"/>
        <v>#N/A</v>
      </c>
      <c r="I8193" s="11" t="e">
        <f t="shared" si="1272"/>
        <v>#N/A</v>
      </c>
      <c r="J8193" s="12" t="e">
        <f t="shared" si="1273"/>
        <v>#N/A</v>
      </c>
      <c r="K8193" s="17" t="e">
        <f t="shared" si="1278"/>
        <v>#N/A</v>
      </c>
      <c r="L8193" s="16">
        <f>base!X8193</f>
        <v>0</v>
      </c>
      <c r="M8193" s="11" t="e">
        <f t="shared" si="1274"/>
        <v>#DIV/0!</v>
      </c>
      <c r="N8193" s="11"/>
      <c r="O8193" s="11" t="e">
        <f t="shared" si="1276"/>
        <v>#DIV/0!</v>
      </c>
      <c r="P8193" s="12">
        <f t="shared" si="1277"/>
        <v>0</v>
      </c>
      <c r="Q8193" s="17" t="str">
        <f t="shared" si="1279"/>
        <v>Pas d'écart</v>
      </c>
    </row>
    <row r="8194" spans="1:17" x14ac:dyDescent="0.3">
      <c r="A8194" s="34">
        <f>base!J8194</f>
        <v>0</v>
      </c>
      <c r="B8194" s="34">
        <f>base!V8194</f>
        <v>0</v>
      </c>
      <c r="C8194" s="40" t="s">
        <v>11</v>
      </c>
      <c r="D8194" s="36">
        <f>base!H8194</f>
        <v>0</v>
      </c>
      <c r="E8194" s="44"/>
      <c r="F8194" s="16">
        <f>base!W8194</f>
        <v>0</v>
      </c>
      <c r="G8194" s="11" t="e">
        <f t="shared" ref="G8194:G8257" si="1280">F8194/D8194</f>
        <v>#DIV/0!</v>
      </c>
      <c r="H8194" s="11" t="e">
        <f t="shared" ref="H8194:H8257" si="1281">VLOOKUP(C8194,tout_cout_traction,2,FALSE)*D8194</f>
        <v>#N/A</v>
      </c>
      <c r="I8194" s="11" t="e">
        <f t="shared" ref="I8194:I8257" si="1282">H8194/D8194</f>
        <v>#N/A</v>
      </c>
      <c r="J8194" s="12" t="e">
        <f t="shared" ref="J8194:J8257" si="1283">F8194-H8194</f>
        <v>#N/A</v>
      </c>
      <c r="K8194" s="17" t="e">
        <f t="shared" si="1278"/>
        <v>#N/A</v>
      </c>
      <c r="L8194" s="16">
        <f>base!X8194</f>
        <v>0</v>
      </c>
      <c r="M8194" s="11" t="e">
        <f t="shared" ref="M8194:M8257" si="1284">L8194/D8194</f>
        <v>#DIV/0!</v>
      </c>
      <c r="N8194" s="11"/>
      <c r="O8194" s="11" t="e">
        <f t="shared" ref="O8194:O8257" si="1285">N8194/D8194</f>
        <v>#DIV/0!</v>
      </c>
      <c r="P8194" s="12">
        <f t="shared" ref="P8194:P8257" si="1286">L8194-N8194</f>
        <v>0</v>
      </c>
      <c r="Q8194" s="17" t="str">
        <f t="shared" si="1279"/>
        <v>Pas d'écart</v>
      </c>
    </row>
    <row r="8195" spans="1:17" x14ac:dyDescent="0.3">
      <c r="A8195" s="34">
        <f>base!J8195</f>
        <v>0</v>
      </c>
      <c r="B8195" s="34">
        <f>base!V8195</f>
        <v>0</v>
      </c>
      <c r="C8195" s="40" t="s">
        <v>11</v>
      </c>
      <c r="D8195" s="36">
        <f>base!H8195</f>
        <v>0</v>
      </c>
      <c r="E8195" s="44"/>
      <c r="F8195" s="16">
        <f>base!W8195</f>
        <v>0</v>
      </c>
      <c r="G8195" s="11" t="e">
        <f t="shared" si="1280"/>
        <v>#DIV/0!</v>
      </c>
      <c r="H8195" s="11" t="e">
        <f t="shared" si="1281"/>
        <v>#N/A</v>
      </c>
      <c r="I8195" s="11" t="e">
        <f t="shared" si="1282"/>
        <v>#N/A</v>
      </c>
      <c r="J8195" s="12" t="e">
        <f t="shared" si="1283"/>
        <v>#N/A</v>
      </c>
      <c r="K8195" s="17" t="e">
        <f t="shared" ref="K8195:K8258" si="1287">IF(H8195=F8195,"Pas d'écart",IF(H8195&lt;F8195,"Ecart positif",IF(H8195&gt;F8195,"Ecart négatif")))</f>
        <v>#N/A</v>
      </c>
      <c r="L8195" s="16">
        <f>base!X8195</f>
        <v>0</v>
      </c>
      <c r="M8195" s="11" t="e">
        <f t="shared" si="1284"/>
        <v>#DIV/0!</v>
      </c>
      <c r="N8195" s="11"/>
      <c r="O8195" s="11" t="e">
        <f t="shared" si="1285"/>
        <v>#DIV/0!</v>
      </c>
      <c r="P8195" s="12">
        <f t="shared" si="1286"/>
        <v>0</v>
      </c>
      <c r="Q8195" s="17" t="str">
        <f t="shared" ref="Q8195:Q8258" si="1288">IF(N8195=L8195,"Pas d'écart",IF(N8195&lt;L8195,"Ecart positif",IF(N8195&gt;L8195,"Ecart négatif")))</f>
        <v>Pas d'écart</v>
      </c>
    </row>
    <row r="8196" spans="1:17" x14ac:dyDescent="0.3">
      <c r="A8196" s="34">
        <f>base!J8196</f>
        <v>0</v>
      </c>
      <c r="B8196" s="34">
        <f>base!V8196</f>
        <v>0</v>
      </c>
      <c r="C8196" s="40" t="s">
        <v>11</v>
      </c>
      <c r="D8196" s="36">
        <f>base!H8196</f>
        <v>0</v>
      </c>
      <c r="E8196" s="44"/>
      <c r="F8196" s="16">
        <f>base!W8196</f>
        <v>0</v>
      </c>
      <c r="G8196" s="11" t="e">
        <f t="shared" si="1280"/>
        <v>#DIV/0!</v>
      </c>
      <c r="H8196" s="11" t="e">
        <f t="shared" si="1281"/>
        <v>#N/A</v>
      </c>
      <c r="I8196" s="11" t="e">
        <f t="shared" si="1282"/>
        <v>#N/A</v>
      </c>
      <c r="J8196" s="12" t="e">
        <f t="shared" si="1283"/>
        <v>#N/A</v>
      </c>
      <c r="K8196" s="17" t="e">
        <f t="shared" si="1287"/>
        <v>#N/A</v>
      </c>
      <c r="L8196" s="16">
        <f>base!X8196</f>
        <v>0</v>
      </c>
      <c r="M8196" s="11" t="e">
        <f t="shared" si="1284"/>
        <v>#DIV/0!</v>
      </c>
      <c r="N8196" s="11"/>
      <c r="O8196" s="11" t="e">
        <f t="shared" si="1285"/>
        <v>#DIV/0!</v>
      </c>
      <c r="P8196" s="12">
        <f t="shared" si="1286"/>
        <v>0</v>
      </c>
      <c r="Q8196" s="17" t="str">
        <f t="shared" si="1288"/>
        <v>Pas d'écart</v>
      </c>
    </row>
    <row r="8197" spans="1:17" x14ac:dyDescent="0.3">
      <c r="A8197" s="34">
        <f>base!J8197</f>
        <v>0</v>
      </c>
      <c r="B8197" s="34">
        <f>base!V8197</f>
        <v>0</v>
      </c>
      <c r="C8197" s="40" t="s">
        <v>11</v>
      </c>
      <c r="D8197" s="36">
        <f>base!H8197</f>
        <v>0</v>
      </c>
      <c r="E8197" s="44"/>
      <c r="F8197" s="16">
        <f>base!W8197</f>
        <v>0</v>
      </c>
      <c r="G8197" s="11" t="e">
        <f t="shared" si="1280"/>
        <v>#DIV/0!</v>
      </c>
      <c r="H8197" s="11" t="e">
        <f t="shared" si="1281"/>
        <v>#N/A</v>
      </c>
      <c r="I8197" s="11" t="e">
        <f t="shared" si="1282"/>
        <v>#N/A</v>
      </c>
      <c r="J8197" s="12" t="e">
        <f t="shared" si="1283"/>
        <v>#N/A</v>
      </c>
      <c r="K8197" s="17" t="e">
        <f t="shared" si="1287"/>
        <v>#N/A</v>
      </c>
      <c r="L8197" s="16">
        <f>base!X8197</f>
        <v>0</v>
      </c>
      <c r="M8197" s="11" t="e">
        <f t="shared" si="1284"/>
        <v>#DIV/0!</v>
      </c>
      <c r="N8197" s="11"/>
      <c r="O8197" s="11" t="e">
        <f t="shared" si="1285"/>
        <v>#DIV/0!</v>
      </c>
      <c r="P8197" s="12">
        <f t="shared" si="1286"/>
        <v>0</v>
      </c>
      <c r="Q8197" s="17" t="str">
        <f t="shared" si="1288"/>
        <v>Pas d'écart</v>
      </c>
    </row>
    <row r="8198" spans="1:17" x14ac:dyDescent="0.3">
      <c r="A8198" s="34">
        <f>base!J8198</f>
        <v>0</v>
      </c>
      <c r="B8198" s="34">
        <f>base!V8198</f>
        <v>0</v>
      </c>
      <c r="C8198" s="40" t="s">
        <v>11</v>
      </c>
      <c r="D8198" s="36">
        <f>base!H8198</f>
        <v>0</v>
      </c>
      <c r="E8198" s="44"/>
      <c r="F8198" s="16">
        <f>base!W8198</f>
        <v>0</v>
      </c>
      <c r="G8198" s="11" t="e">
        <f t="shared" si="1280"/>
        <v>#DIV/0!</v>
      </c>
      <c r="H8198" s="11" t="e">
        <f t="shared" si="1281"/>
        <v>#N/A</v>
      </c>
      <c r="I8198" s="11" t="e">
        <f t="shared" si="1282"/>
        <v>#N/A</v>
      </c>
      <c r="J8198" s="12" t="e">
        <f t="shared" si="1283"/>
        <v>#N/A</v>
      </c>
      <c r="K8198" s="17" t="e">
        <f t="shared" si="1287"/>
        <v>#N/A</v>
      </c>
      <c r="L8198" s="16">
        <f>base!X8198</f>
        <v>0</v>
      </c>
      <c r="M8198" s="11" t="e">
        <f t="shared" si="1284"/>
        <v>#DIV/0!</v>
      </c>
      <c r="N8198" s="11"/>
      <c r="O8198" s="11" t="e">
        <f t="shared" si="1285"/>
        <v>#DIV/0!</v>
      </c>
      <c r="P8198" s="12">
        <f t="shared" si="1286"/>
        <v>0</v>
      </c>
      <c r="Q8198" s="17" t="str">
        <f t="shared" si="1288"/>
        <v>Pas d'écart</v>
      </c>
    </row>
    <row r="8199" spans="1:17" x14ac:dyDescent="0.3">
      <c r="A8199" s="34">
        <f>base!J8199</f>
        <v>0</v>
      </c>
      <c r="B8199" s="34">
        <f>base!V8199</f>
        <v>0</v>
      </c>
      <c r="C8199" s="40" t="s">
        <v>11</v>
      </c>
      <c r="D8199" s="36">
        <f>base!H8199</f>
        <v>0</v>
      </c>
      <c r="E8199" s="44"/>
      <c r="F8199" s="16">
        <f>base!W8199</f>
        <v>0</v>
      </c>
      <c r="G8199" s="11" t="e">
        <f t="shared" si="1280"/>
        <v>#DIV/0!</v>
      </c>
      <c r="H8199" s="11" t="e">
        <f t="shared" si="1281"/>
        <v>#N/A</v>
      </c>
      <c r="I8199" s="11" t="e">
        <f t="shared" si="1282"/>
        <v>#N/A</v>
      </c>
      <c r="J8199" s="12" t="e">
        <f t="shared" si="1283"/>
        <v>#N/A</v>
      </c>
      <c r="K8199" s="17" t="e">
        <f t="shared" si="1287"/>
        <v>#N/A</v>
      </c>
      <c r="L8199" s="16">
        <f>base!X8199</f>
        <v>0</v>
      </c>
      <c r="M8199" s="11" t="e">
        <f t="shared" si="1284"/>
        <v>#DIV/0!</v>
      </c>
      <c r="N8199" s="11"/>
      <c r="O8199" s="11" t="e">
        <f t="shared" si="1285"/>
        <v>#DIV/0!</v>
      </c>
      <c r="P8199" s="12">
        <f t="shared" si="1286"/>
        <v>0</v>
      </c>
      <c r="Q8199" s="17" t="str">
        <f t="shared" si="1288"/>
        <v>Pas d'écart</v>
      </c>
    </row>
    <row r="8200" spans="1:17" x14ac:dyDescent="0.3">
      <c r="A8200" s="34">
        <f>base!J8200</f>
        <v>0</v>
      </c>
      <c r="B8200" s="34">
        <f>base!V8200</f>
        <v>0</v>
      </c>
      <c r="C8200" s="40" t="s">
        <v>11</v>
      </c>
      <c r="D8200" s="36">
        <f>base!H8200</f>
        <v>0</v>
      </c>
      <c r="E8200" s="44"/>
      <c r="F8200" s="16">
        <f>base!W8200</f>
        <v>0</v>
      </c>
      <c r="G8200" s="11" t="e">
        <f t="shared" si="1280"/>
        <v>#DIV/0!</v>
      </c>
      <c r="H8200" s="11" t="e">
        <f t="shared" si="1281"/>
        <v>#N/A</v>
      </c>
      <c r="I8200" s="11" t="e">
        <f t="shared" si="1282"/>
        <v>#N/A</v>
      </c>
      <c r="J8200" s="12" t="e">
        <f t="shared" si="1283"/>
        <v>#N/A</v>
      </c>
      <c r="K8200" s="17" t="e">
        <f t="shared" si="1287"/>
        <v>#N/A</v>
      </c>
      <c r="L8200" s="16">
        <f>base!X8200</f>
        <v>0</v>
      </c>
      <c r="M8200" s="11" t="e">
        <f t="shared" si="1284"/>
        <v>#DIV/0!</v>
      </c>
      <c r="N8200" s="11"/>
      <c r="O8200" s="11" t="e">
        <f t="shared" si="1285"/>
        <v>#DIV/0!</v>
      </c>
      <c r="P8200" s="12">
        <f t="shared" si="1286"/>
        <v>0</v>
      </c>
      <c r="Q8200" s="17" t="str">
        <f t="shared" si="1288"/>
        <v>Pas d'écart</v>
      </c>
    </row>
    <row r="8201" spans="1:17" x14ac:dyDescent="0.3">
      <c r="A8201" s="34">
        <f>base!J8201</f>
        <v>0</v>
      </c>
      <c r="B8201" s="34">
        <f>base!V8201</f>
        <v>0</v>
      </c>
      <c r="C8201" s="40" t="s">
        <v>11</v>
      </c>
      <c r="D8201" s="36">
        <f>base!H8201</f>
        <v>0</v>
      </c>
      <c r="E8201" s="44"/>
      <c r="F8201" s="16">
        <f>base!W8201</f>
        <v>0</v>
      </c>
      <c r="G8201" s="11" t="e">
        <f t="shared" si="1280"/>
        <v>#DIV/0!</v>
      </c>
      <c r="H8201" s="11" t="e">
        <f t="shared" si="1281"/>
        <v>#N/A</v>
      </c>
      <c r="I8201" s="11" t="e">
        <f t="shared" si="1282"/>
        <v>#N/A</v>
      </c>
      <c r="J8201" s="12" t="e">
        <f t="shared" si="1283"/>
        <v>#N/A</v>
      </c>
      <c r="K8201" s="17" t="e">
        <f t="shared" si="1287"/>
        <v>#N/A</v>
      </c>
      <c r="L8201" s="16">
        <f>base!X8201</f>
        <v>0</v>
      </c>
      <c r="M8201" s="11" t="e">
        <f t="shared" si="1284"/>
        <v>#DIV/0!</v>
      </c>
      <c r="N8201" s="11"/>
      <c r="O8201" s="11" t="e">
        <f t="shared" si="1285"/>
        <v>#DIV/0!</v>
      </c>
      <c r="P8201" s="12">
        <f t="shared" si="1286"/>
        <v>0</v>
      </c>
      <c r="Q8201" s="17" t="str">
        <f t="shared" si="1288"/>
        <v>Pas d'écart</v>
      </c>
    </row>
    <row r="8202" spans="1:17" x14ac:dyDescent="0.3">
      <c r="A8202" s="34">
        <f>base!J8202</f>
        <v>0</v>
      </c>
      <c r="B8202" s="34">
        <f>base!V8202</f>
        <v>0</v>
      </c>
      <c r="C8202" s="40" t="s">
        <v>11</v>
      </c>
      <c r="D8202" s="36">
        <f>base!H8202</f>
        <v>0</v>
      </c>
      <c r="E8202" s="44"/>
      <c r="F8202" s="16">
        <f>base!W8202</f>
        <v>0</v>
      </c>
      <c r="G8202" s="11" t="e">
        <f t="shared" si="1280"/>
        <v>#DIV/0!</v>
      </c>
      <c r="H8202" s="11" t="e">
        <f t="shared" si="1281"/>
        <v>#N/A</v>
      </c>
      <c r="I8202" s="11" t="e">
        <f t="shared" si="1282"/>
        <v>#N/A</v>
      </c>
      <c r="J8202" s="12" t="e">
        <f t="shared" si="1283"/>
        <v>#N/A</v>
      </c>
      <c r="K8202" s="17" t="e">
        <f t="shared" si="1287"/>
        <v>#N/A</v>
      </c>
      <c r="L8202" s="16">
        <f>base!X8202</f>
        <v>0</v>
      </c>
      <c r="M8202" s="11" t="e">
        <f t="shared" si="1284"/>
        <v>#DIV/0!</v>
      </c>
      <c r="N8202" s="11"/>
      <c r="O8202" s="11" t="e">
        <f t="shared" si="1285"/>
        <v>#DIV/0!</v>
      </c>
      <c r="P8202" s="12">
        <f t="shared" si="1286"/>
        <v>0</v>
      </c>
      <c r="Q8202" s="17" t="str">
        <f t="shared" si="1288"/>
        <v>Pas d'écart</v>
      </c>
    </row>
    <row r="8203" spans="1:17" x14ac:dyDescent="0.3">
      <c r="A8203" s="34">
        <f>base!J8203</f>
        <v>0</v>
      </c>
      <c r="B8203" s="34">
        <f>base!V8203</f>
        <v>0</v>
      </c>
      <c r="C8203" s="40" t="s">
        <v>11</v>
      </c>
      <c r="D8203" s="36">
        <f>base!H8203</f>
        <v>0</v>
      </c>
      <c r="E8203" s="44"/>
      <c r="F8203" s="16">
        <f>base!W8203</f>
        <v>0</v>
      </c>
      <c r="G8203" s="11" t="e">
        <f t="shared" si="1280"/>
        <v>#DIV/0!</v>
      </c>
      <c r="H8203" s="11" t="e">
        <f t="shared" si="1281"/>
        <v>#N/A</v>
      </c>
      <c r="I8203" s="11" t="e">
        <f t="shared" si="1282"/>
        <v>#N/A</v>
      </c>
      <c r="J8203" s="12" t="e">
        <f t="shared" si="1283"/>
        <v>#N/A</v>
      </c>
      <c r="K8203" s="17" t="e">
        <f t="shared" si="1287"/>
        <v>#N/A</v>
      </c>
      <c r="L8203" s="16">
        <f>base!X8203</f>
        <v>0</v>
      </c>
      <c r="M8203" s="11" t="e">
        <f t="shared" si="1284"/>
        <v>#DIV/0!</v>
      </c>
      <c r="N8203" s="11"/>
      <c r="O8203" s="11" t="e">
        <f t="shared" si="1285"/>
        <v>#DIV/0!</v>
      </c>
      <c r="P8203" s="12">
        <f t="shared" si="1286"/>
        <v>0</v>
      </c>
      <c r="Q8203" s="17" t="str">
        <f t="shared" si="1288"/>
        <v>Pas d'écart</v>
      </c>
    </row>
    <row r="8204" spans="1:17" x14ac:dyDescent="0.3">
      <c r="A8204" s="34">
        <f>base!J8204</f>
        <v>0</v>
      </c>
      <c r="B8204" s="34">
        <f>base!V8204</f>
        <v>0</v>
      </c>
      <c r="C8204" s="40" t="s">
        <v>11</v>
      </c>
      <c r="D8204" s="36">
        <f>base!H8204</f>
        <v>0</v>
      </c>
      <c r="E8204" s="44"/>
      <c r="F8204" s="16">
        <f>base!W8204</f>
        <v>0</v>
      </c>
      <c r="G8204" s="11" t="e">
        <f t="shared" si="1280"/>
        <v>#DIV/0!</v>
      </c>
      <c r="H8204" s="11" t="e">
        <f t="shared" si="1281"/>
        <v>#N/A</v>
      </c>
      <c r="I8204" s="11" t="e">
        <f t="shared" si="1282"/>
        <v>#N/A</v>
      </c>
      <c r="J8204" s="12" t="e">
        <f t="shared" si="1283"/>
        <v>#N/A</v>
      </c>
      <c r="K8204" s="17" t="e">
        <f t="shared" si="1287"/>
        <v>#N/A</v>
      </c>
      <c r="L8204" s="16">
        <f>base!X8204</f>
        <v>0</v>
      </c>
      <c r="M8204" s="11" t="e">
        <f t="shared" si="1284"/>
        <v>#DIV/0!</v>
      </c>
      <c r="N8204" s="11"/>
      <c r="O8204" s="11" t="e">
        <f t="shared" si="1285"/>
        <v>#DIV/0!</v>
      </c>
      <c r="P8204" s="12">
        <f t="shared" si="1286"/>
        <v>0</v>
      </c>
      <c r="Q8204" s="17" t="str">
        <f t="shared" si="1288"/>
        <v>Pas d'écart</v>
      </c>
    </row>
    <row r="8205" spans="1:17" x14ac:dyDescent="0.3">
      <c r="A8205" s="34">
        <f>base!J8205</f>
        <v>0</v>
      </c>
      <c r="B8205" s="34">
        <f>base!V8205</f>
        <v>0</v>
      </c>
      <c r="C8205" s="40" t="s">
        <v>11</v>
      </c>
      <c r="D8205" s="36">
        <f>base!H8205</f>
        <v>0</v>
      </c>
      <c r="E8205" s="44"/>
      <c r="F8205" s="16">
        <f>base!W8205</f>
        <v>0</v>
      </c>
      <c r="G8205" s="11" t="e">
        <f t="shared" si="1280"/>
        <v>#DIV/0!</v>
      </c>
      <c r="H8205" s="11" t="e">
        <f t="shared" si="1281"/>
        <v>#N/A</v>
      </c>
      <c r="I8205" s="11" t="e">
        <f t="shared" si="1282"/>
        <v>#N/A</v>
      </c>
      <c r="J8205" s="12" t="e">
        <f t="shared" si="1283"/>
        <v>#N/A</v>
      </c>
      <c r="K8205" s="17" t="e">
        <f t="shared" si="1287"/>
        <v>#N/A</v>
      </c>
      <c r="L8205" s="16">
        <f>base!X8205</f>
        <v>0</v>
      </c>
      <c r="M8205" s="11" t="e">
        <f t="shared" si="1284"/>
        <v>#DIV/0!</v>
      </c>
      <c r="N8205" s="11"/>
      <c r="O8205" s="11" t="e">
        <f t="shared" si="1285"/>
        <v>#DIV/0!</v>
      </c>
      <c r="P8205" s="12">
        <f t="shared" si="1286"/>
        <v>0</v>
      </c>
      <c r="Q8205" s="17" t="str">
        <f t="shared" si="1288"/>
        <v>Pas d'écart</v>
      </c>
    </row>
    <row r="8206" spans="1:17" x14ac:dyDescent="0.3">
      <c r="A8206" s="34">
        <f>base!J8206</f>
        <v>0</v>
      </c>
      <c r="B8206" s="34">
        <f>base!V8206</f>
        <v>0</v>
      </c>
      <c r="C8206" s="40" t="s">
        <v>11</v>
      </c>
      <c r="D8206" s="36">
        <f>base!H8206</f>
        <v>0</v>
      </c>
      <c r="E8206" s="44"/>
      <c r="F8206" s="16">
        <f>base!W8206</f>
        <v>0</v>
      </c>
      <c r="G8206" s="11" t="e">
        <f t="shared" si="1280"/>
        <v>#DIV/0!</v>
      </c>
      <c r="H8206" s="11" t="e">
        <f t="shared" si="1281"/>
        <v>#N/A</v>
      </c>
      <c r="I8206" s="11" t="e">
        <f t="shared" si="1282"/>
        <v>#N/A</v>
      </c>
      <c r="J8206" s="12" t="e">
        <f t="shared" si="1283"/>
        <v>#N/A</v>
      </c>
      <c r="K8206" s="17" t="e">
        <f t="shared" si="1287"/>
        <v>#N/A</v>
      </c>
      <c r="L8206" s="16">
        <f>base!X8206</f>
        <v>0</v>
      </c>
      <c r="M8206" s="11" t="e">
        <f t="shared" si="1284"/>
        <v>#DIV/0!</v>
      </c>
      <c r="N8206" s="11"/>
      <c r="O8206" s="11" t="e">
        <f t="shared" si="1285"/>
        <v>#DIV/0!</v>
      </c>
      <c r="P8206" s="12">
        <f t="shared" si="1286"/>
        <v>0</v>
      </c>
      <c r="Q8206" s="17" t="str">
        <f t="shared" si="1288"/>
        <v>Pas d'écart</v>
      </c>
    </row>
    <row r="8207" spans="1:17" x14ac:dyDescent="0.3">
      <c r="A8207" s="34">
        <f>base!J8207</f>
        <v>0</v>
      </c>
      <c r="B8207" s="34">
        <f>base!V8207</f>
        <v>0</v>
      </c>
      <c r="C8207" s="40" t="s">
        <v>11</v>
      </c>
      <c r="D8207" s="36">
        <f>base!H8207</f>
        <v>0</v>
      </c>
      <c r="E8207" s="44"/>
      <c r="F8207" s="16">
        <f>base!W8207</f>
        <v>0</v>
      </c>
      <c r="G8207" s="11" t="e">
        <f t="shared" si="1280"/>
        <v>#DIV/0!</v>
      </c>
      <c r="H8207" s="11" t="e">
        <f t="shared" si="1281"/>
        <v>#N/A</v>
      </c>
      <c r="I8207" s="11" t="e">
        <f t="shared" si="1282"/>
        <v>#N/A</v>
      </c>
      <c r="J8207" s="12" t="e">
        <f t="shared" si="1283"/>
        <v>#N/A</v>
      </c>
      <c r="K8207" s="17" t="e">
        <f t="shared" si="1287"/>
        <v>#N/A</v>
      </c>
      <c r="L8207" s="16">
        <f>base!X8207</f>
        <v>0</v>
      </c>
      <c r="M8207" s="11" t="e">
        <f t="shared" si="1284"/>
        <v>#DIV/0!</v>
      </c>
      <c r="N8207" s="11"/>
      <c r="O8207" s="11" t="e">
        <f t="shared" si="1285"/>
        <v>#DIV/0!</v>
      </c>
      <c r="P8207" s="12">
        <f t="shared" si="1286"/>
        <v>0</v>
      </c>
      <c r="Q8207" s="17" t="str">
        <f t="shared" si="1288"/>
        <v>Pas d'écart</v>
      </c>
    </row>
    <row r="8208" spans="1:17" x14ac:dyDescent="0.3">
      <c r="A8208" s="34">
        <f>base!J8208</f>
        <v>0</v>
      </c>
      <c r="B8208" s="34">
        <f>base!V8208</f>
        <v>0</v>
      </c>
      <c r="C8208" s="40" t="s">
        <v>11</v>
      </c>
      <c r="D8208" s="36">
        <f>base!H8208</f>
        <v>0</v>
      </c>
      <c r="E8208" s="44"/>
      <c r="F8208" s="16">
        <f>base!W8208</f>
        <v>0</v>
      </c>
      <c r="G8208" s="11" t="e">
        <f t="shared" si="1280"/>
        <v>#DIV/0!</v>
      </c>
      <c r="H8208" s="11" t="e">
        <f t="shared" si="1281"/>
        <v>#N/A</v>
      </c>
      <c r="I8208" s="11" t="e">
        <f t="shared" si="1282"/>
        <v>#N/A</v>
      </c>
      <c r="J8208" s="12" t="e">
        <f t="shared" si="1283"/>
        <v>#N/A</v>
      </c>
      <c r="K8208" s="17" t="e">
        <f t="shared" si="1287"/>
        <v>#N/A</v>
      </c>
      <c r="L8208" s="16">
        <f>base!X8208</f>
        <v>0</v>
      </c>
      <c r="M8208" s="11" t="e">
        <f t="shared" si="1284"/>
        <v>#DIV/0!</v>
      </c>
      <c r="N8208" s="11"/>
      <c r="O8208" s="11" t="e">
        <f t="shared" si="1285"/>
        <v>#DIV/0!</v>
      </c>
      <c r="P8208" s="12">
        <f t="shared" si="1286"/>
        <v>0</v>
      </c>
      <c r="Q8208" s="17" t="str">
        <f t="shared" si="1288"/>
        <v>Pas d'écart</v>
      </c>
    </row>
    <row r="8209" spans="1:17" x14ac:dyDescent="0.3">
      <c r="A8209" s="34">
        <f>base!J8209</f>
        <v>0</v>
      </c>
      <c r="B8209" s="34">
        <f>base!V8209</f>
        <v>0</v>
      </c>
      <c r="C8209" s="40" t="s">
        <v>11</v>
      </c>
      <c r="D8209" s="36">
        <f>base!H8209</f>
        <v>0</v>
      </c>
      <c r="E8209" s="44"/>
      <c r="F8209" s="16">
        <f>base!W8209</f>
        <v>0</v>
      </c>
      <c r="G8209" s="11" t="e">
        <f t="shared" si="1280"/>
        <v>#DIV/0!</v>
      </c>
      <c r="H8209" s="11" t="e">
        <f t="shared" si="1281"/>
        <v>#N/A</v>
      </c>
      <c r="I8209" s="11" t="e">
        <f t="shared" si="1282"/>
        <v>#N/A</v>
      </c>
      <c r="J8209" s="12" t="e">
        <f t="shared" si="1283"/>
        <v>#N/A</v>
      </c>
      <c r="K8209" s="17" t="e">
        <f t="shared" si="1287"/>
        <v>#N/A</v>
      </c>
      <c r="L8209" s="16">
        <f>base!X8209</f>
        <v>0</v>
      </c>
      <c r="M8209" s="11" t="e">
        <f t="shared" si="1284"/>
        <v>#DIV/0!</v>
      </c>
      <c r="N8209" s="11"/>
      <c r="O8209" s="11" t="e">
        <f t="shared" si="1285"/>
        <v>#DIV/0!</v>
      </c>
      <c r="P8209" s="12">
        <f t="shared" si="1286"/>
        <v>0</v>
      </c>
      <c r="Q8209" s="17" t="str">
        <f t="shared" si="1288"/>
        <v>Pas d'écart</v>
      </c>
    </row>
    <row r="8210" spans="1:17" x14ac:dyDescent="0.3">
      <c r="A8210" s="34">
        <f>base!J8210</f>
        <v>0</v>
      </c>
      <c r="B8210" s="34">
        <f>base!V8210</f>
        <v>0</v>
      </c>
      <c r="C8210" s="40" t="s">
        <v>11</v>
      </c>
      <c r="D8210" s="36">
        <f>base!H8210</f>
        <v>0</v>
      </c>
      <c r="E8210" s="44"/>
      <c r="F8210" s="16">
        <f>base!W8210</f>
        <v>0</v>
      </c>
      <c r="G8210" s="11" t="e">
        <f t="shared" si="1280"/>
        <v>#DIV/0!</v>
      </c>
      <c r="H8210" s="11" t="e">
        <f t="shared" si="1281"/>
        <v>#N/A</v>
      </c>
      <c r="I8210" s="11" t="e">
        <f t="shared" si="1282"/>
        <v>#N/A</v>
      </c>
      <c r="J8210" s="12" t="e">
        <f t="shared" si="1283"/>
        <v>#N/A</v>
      </c>
      <c r="K8210" s="17" t="e">
        <f t="shared" si="1287"/>
        <v>#N/A</v>
      </c>
      <c r="L8210" s="16">
        <f>base!X8210</f>
        <v>0</v>
      </c>
      <c r="M8210" s="11" t="e">
        <f t="shared" si="1284"/>
        <v>#DIV/0!</v>
      </c>
      <c r="N8210" s="11"/>
      <c r="O8210" s="11" t="e">
        <f t="shared" si="1285"/>
        <v>#DIV/0!</v>
      </c>
      <c r="P8210" s="12">
        <f t="shared" si="1286"/>
        <v>0</v>
      </c>
      <c r="Q8210" s="17" t="str">
        <f t="shared" si="1288"/>
        <v>Pas d'écart</v>
      </c>
    </row>
    <row r="8211" spans="1:17" x14ac:dyDescent="0.3">
      <c r="A8211" s="34">
        <f>base!J8211</f>
        <v>0</v>
      </c>
      <c r="B8211" s="34">
        <f>base!V8211</f>
        <v>0</v>
      </c>
      <c r="C8211" s="40" t="s">
        <v>11</v>
      </c>
      <c r="D8211" s="36">
        <f>base!H8211</f>
        <v>0</v>
      </c>
      <c r="E8211" s="44"/>
      <c r="F8211" s="16">
        <f>base!W8211</f>
        <v>0</v>
      </c>
      <c r="G8211" s="11" t="e">
        <f t="shared" si="1280"/>
        <v>#DIV/0!</v>
      </c>
      <c r="H8211" s="11" t="e">
        <f t="shared" si="1281"/>
        <v>#N/A</v>
      </c>
      <c r="I8211" s="11" t="e">
        <f t="shared" si="1282"/>
        <v>#N/A</v>
      </c>
      <c r="J8211" s="12" t="e">
        <f t="shared" si="1283"/>
        <v>#N/A</v>
      </c>
      <c r="K8211" s="17" t="e">
        <f t="shared" si="1287"/>
        <v>#N/A</v>
      </c>
      <c r="L8211" s="16">
        <f>base!X8211</f>
        <v>0</v>
      </c>
      <c r="M8211" s="11" t="e">
        <f t="shared" si="1284"/>
        <v>#DIV/0!</v>
      </c>
      <c r="N8211" s="11"/>
      <c r="O8211" s="11" t="e">
        <f t="shared" si="1285"/>
        <v>#DIV/0!</v>
      </c>
      <c r="P8211" s="12">
        <f t="shared" si="1286"/>
        <v>0</v>
      </c>
      <c r="Q8211" s="17" t="str">
        <f t="shared" si="1288"/>
        <v>Pas d'écart</v>
      </c>
    </row>
    <row r="8212" spans="1:17" x14ac:dyDescent="0.3">
      <c r="A8212" s="34">
        <f>base!J8212</f>
        <v>0</v>
      </c>
      <c r="B8212" s="34">
        <f>base!V8212</f>
        <v>0</v>
      </c>
      <c r="C8212" s="40" t="s">
        <v>11</v>
      </c>
      <c r="D8212" s="36">
        <f>base!H8212</f>
        <v>0</v>
      </c>
      <c r="E8212" s="44"/>
      <c r="F8212" s="16">
        <f>base!W8212</f>
        <v>0</v>
      </c>
      <c r="G8212" s="11" t="e">
        <f t="shared" si="1280"/>
        <v>#DIV/0!</v>
      </c>
      <c r="H8212" s="11" t="e">
        <f t="shared" si="1281"/>
        <v>#N/A</v>
      </c>
      <c r="I8212" s="11" t="e">
        <f t="shared" si="1282"/>
        <v>#N/A</v>
      </c>
      <c r="J8212" s="12" t="e">
        <f t="shared" si="1283"/>
        <v>#N/A</v>
      </c>
      <c r="K8212" s="17" t="e">
        <f t="shared" si="1287"/>
        <v>#N/A</v>
      </c>
      <c r="L8212" s="16">
        <f>base!X8212</f>
        <v>0</v>
      </c>
      <c r="M8212" s="11" t="e">
        <f t="shared" si="1284"/>
        <v>#DIV/0!</v>
      </c>
      <c r="N8212" s="11"/>
      <c r="O8212" s="11" t="e">
        <f t="shared" si="1285"/>
        <v>#DIV/0!</v>
      </c>
      <c r="P8212" s="12">
        <f t="shared" si="1286"/>
        <v>0</v>
      </c>
      <c r="Q8212" s="17" t="str">
        <f t="shared" si="1288"/>
        <v>Pas d'écart</v>
      </c>
    </row>
    <row r="8213" spans="1:17" x14ac:dyDescent="0.3">
      <c r="A8213" s="34">
        <f>base!J8213</f>
        <v>0</v>
      </c>
      <c r="B8213" s="34">
        <f>base!V8213</f>
        <v>0</v>
      </c>
      <c r="C8213" s="40" t="s">
        <v>11</v>
      </c>
      <c r="D8213" s="36">
        <f>base!H8213</f>
        <v>0</v>
      </c>
      <c r="E8213" s="44"/>
      <c r="F8213" s="16">
        <f>base!W8213</f>
        <v>0</v>
      </c>
      <c r="G8213" s="11" t="e">
        <f t="shared" si="1280"/>
        <v>#DIV/0!</v>
      </c>
      <c r="H8213" s="11" t="e">
        <f t="shared" si="1281"/>
        <v>#N/A</v>
      </c>
      <c r="I8213" s="11" t="e">
        <f t="shared" si="1282"/>
        <v>#N/A</v>
      </c>
      <c r="J8213" s="12" t="e">
        <f t="shared" si="1283"/>
        <v>#N/A</v>
      </c>
      <c r="K8213" s="17" t="e">
        <f t="shared" si="1287"/>
        <v>#N/A</v>
      </c>
      <c r="L8213" s="16">
        <f>base!X8213</f>
        <v>0</v>
      </c>
      <c r="M8213" s="11" t="e">
        <f t="shared" si="1284"/>
        <v>#DIV/0!</v>
      </c>
      <c r="N8213" s="11"/>
      <c r="O8213" s="11" t="e">
        <f t="shared" si="1285"/>
        <v>#DIV/0!</v>
      </c>
      <c r="P8213" s="12">
        <f t="shared" si="1286"/>
        <v>0</v>
      </c>
      <c r="Q8213" s="17" t="str">
        <f t="shared" si="1288"/>
        <v>Pas d'écart</v>
      </c>
    </row>
    <row r="8214" spans="1:17" x14ac:dyDescent="0.3">
      <c r="A8214" s="34">
        <f>base!J8214</f>
        <v>0</v>
      </c>
      <c r="B8214" s="34">
        <f>base!V8214</f>
        <v>0</v>
      </c>
      <c r="C8214" s="40" t="s">
        <v>11</v>
      </c>
      <c r="D8214" s="36">
        <f>base!H8214</f>
        <v>0</v>
      </c>
      <c r="E8214" s="44"/>
      <c r="F8214" s="16">
        <f>base!W8214</f>
        <v>0</v>
      </c>
      <c r="G8214" s="11" t="e">
        <f t="shared" si="1280"/>
        <v>#DIV/0!</v>
      </c>
      <c r="H8214" s="11" t="e">
        <f t="shared" si="1281"/>
        <v>#N/A</v>
      </c>
      <c r="I8214" s="11" t="e">
        <f t="shared" si="1282"/>
        <v>#N/A</v>
      </c>
      <c r="J8214" s="12" t="e">
        <f t="shared" si="1283"/>
        <v>#N/A</v>
      </c>
      <c r="K8214" s="17" t="e">
        <f t="shared" si="1287"/>
        <v>#N/A</v>
      </c>
      <c r="L8214" s="16">
        <f>base!X8214</f>
        <v>0</v>
      </c>
      <c r="M8214" s="11" t="e">
        <f t="shared" si="1284"/>
        <v>#DIV/0!</v>
      </c>
      <c r="N8214" s="11"/>
      <c r="O8214" s="11" t="e">
        <f t="shared" si="1285"/>
        <v>#DIV/0!</v>
      </c>
      <c r="P8214" s="12">
        <f t="shared" si="1286"/>
        <v>0</v>
      </c>
      <c r="Q8214" s="17" t="str">
        <f t="shared" si="1288"/>
        <v>Pas d'écart</v>
      </c>
    </row>
    <row r="8215" spans="1:17" x14ac:dyDescent="0.3">
      <c r="A8215" s="34">
        <f>base!J8215</f>
        <v>0</v>
      </c>
      <c r="B8215" s="34">
        <f>base!V8215</f>
        <v>0</v>
      </c>
      <c r="C8215" s="40" t="s">
        <v>11</v>
      </c>
      <c r="D8215" s="36">
        <f>base!H8215</f>
        <v>0</v>
      </c>
      <c r="E8215" s="44"/>
      <c r="F8215" s="16">
        <f>base!W8215</f>
        <v>0</v>
      </c>
      <c r="G8215" s="11" t="e">
        <f t="shared" si="1280"/>
        <v>#DIV/0!</v>
      </c>
      <c r="H8215" s="11" t="e">
        <f t="shared" si="1281"/>
        <v>#N/A</v>
      </c>
      <c r="I8215" s="11" t="e">
        <f t="shared" si="1282"/>
        <v>#N/A</v>
      </c>
      <c r="J8215" s="12" t="e">
        <f t="shared" si="1283"/>
        <v>#N/A</v>
      </c>
      <c r="K8215" s="17" t="e">
        <f t="shared" si="1287"/>
        <v>#N/A</v>
      </c>
      <c r="L8215" s="16">
        <f>base!X8215</f>
        <v>0</v>
      </c>
      <c r="M8215" s="11" t="e">
        <f t="shared" si="1284"/>
        <v>#DIV/0!</v>
      </c>
      <c r="N8215" s="11"/>
      <c r="O8215" s="11" t="e">
        <f t="shared" si="1285"/>
        <v>#DIV/0!</v>
      </c>
      <c r="P8215" s="12">
        <f t="shared" si="1286"/>
        <v>0</v>
      </c>
      <c r="Q8215" s="17" t="str">
        <f t="shared" si="1288"/>
        <v>Pas d'écart</v>
      </c>
    </row>
    <row r="8216" spans="1:17" x14ac:dyDescent="0.3">
      <c r="A8216" s="34">
        <f>base!J8216</f>
        <v>0</v>
      </c>
      <c r="B8216" s="34">
        <f>base!V8216</f>
        <v>0</v>
      </c>
      <c r="C8216" s="40" t="s">
        <v>11</v>
      </c>
      <c r="D8216" s="36">
        <f>base!H8216</f>
        <v>0</v>
      </c>
      <c r="E8216" s="44"/>
      <c r="F8216" s="16">
        <f>base!W8216</f>
        <v>0</v>
      </c>
      <c r="G8216" s="11" t="e">
        <f t="shared" si="1280"/>
        <v>#DIV/0!</v>
      </c>
      <c r="H8216" s="11" t="e">
        <f t="shared" si="1281"/>
        <v>#N/A</v>
      </c>
      <c r="I8216" s="11" t="e">
        <f t="shared" si="1282"/>
        <v>#N/A</v>
      </c>
      <c r="J8216" s="12" t="e">
        <f t="shared" si="1283"/>
        <v>#N/A</v>
      </c>
      <c r="K8216" s="17" t="e">
        <f t="shared" si="1287"/>
        <v>#N/A</v>
      </c>
      <c r="L8216" s="16">
        <f>base!X8216</f>
        <v>0</v>
      </c>
      <c r="M8216" s="11" t="e">
        <f t="shared" si="1284"/>
        <v>#DIV/0!</v>
      </c>
      <c r="N8216" s="11"/>
      <c r="O8216" s="11" t="e">
        <f t="shared" si="1285"/>
        <v>#DIV/0!</v>
      </c>
      <c r="P8216" s="12">
        <f t="shared" si="1286"/>
        <v>0</v>
      </c>
      <c r="Q8216" s="17" t="str">
        <f t="shared" si="1288"/>
        <v>Pas d'écart</v>
      </c>
    </row>
    <row r="8217" spans="1:17" x14ac:dyDescent="0.3">
      <c r="A8217" s="34">
        <f>base!J8217</f>
        <v>0</v>
      </c>
      <c r="B8217" s="34">
        <f>base!V8217</f>
        <v>0</v>
      </c>
      <c r="C8217" s="40" t="s">
        <v>11</v>
      </c>
      <c r="D8217" s="36">
        <f>base!H8217</f>
        <v>0</v>
      </c>
      <c r="E8217" s="44"/>
      <c r="F8217" s="16">
        <f>base!W8217</f>
        <v>0</v>
      </c>
      <c r="G8217" s="11" t="e">
        <f t="shared" si="1280"/>
        <v>#DIV/0!</v>
      </c>
      <c r="H8217" s="11" t="e">
        <f t="shared" si="1281"/>
        <v>#N/A</v>
      </c>
      <c r="I8217" s="11" t="e">
        <f t="shared" si="1282"/>
        <v>#N/A</v>
      </c>
      <c r="J8217" s="12" t="e">
        <f t="shared" si="1283"/>
        <v>#N/A</v>
      </c>
      <c r="K8217" s="17" t="e">
        <f t="shared" si="1287"/>
        <v>#N/A</v>
      </c>
      <c r="L8217" s="16">
        <f>base!X8217</f>
        <v>0</v>
      </c>
      <c r="M8217" s="11" t="e">
        <f t="shared" si="1284"/>
        <v>#DIV/0!</v>
      </c>
      <c r="N8217" s="11"/>
      <c r="O8217" s="11" t="e">
        <f t="shared" si="1285"/>
        <v>#DIV/0!</v>
      </c>
      <c r="P8217" s="12">
        <f t="shared" si="1286"/>
        <v>0</v>
      </c>
      <c r="Q8217" s="17" t="str">
        <f t="shared" si="1288"/>
        <v>Pas d'écart</v>
      </c>
    </row>
    <row r="8218" spans="1:17" x14ac:dyDescent="0.3">
      <c r="A8218" s="34">
        <f>base!J8218</f>
        <v>0</v>
      </c>
      <c r="B8218" s="34">
        <f>base!V8218</f>
        <v>0</v>
      </c>
      <c r="C8218" s="40" t="s">
        <v>11</v>
      </c>
      <c r="D8218" s="36">
        <f>base!H8218</f>
        <v>0</v>
      </c>
      <c r="E8218" s="44"/>
      <c r="F8218" s="16">
        <f>base!W8218</f>
        <v>0</v>
      </c>
      <c r="G8218" s="11" t="e">
        <f t="shared" si="1280"/>
        <v>#DIV/0!</v>
      </c>
      <c r="H8218" s="11" t="e">
        <f t="shared" si="1281"/>
        <v>#N/A</v>
      </c>
      <c r="I8218" s="11" t="e">
        <f t="shared" si="1282"/>
        <v>#N/A</v>
      </c>
      <c r="J8218" s="12" t="e">
        <f t="shared" si="1283"/>
        <v>#N/A</v>
      </c>
      <c r="K8218" s="17" t="e">
        <f t="shared" si="1287"/>
        <v>#N/A</v>
      </c>
      <c r="L8218" s="16">
        <f>base!X8218</f>
        <v>0</v>
      </c>
      <c r="M8218" s="11" t="e">
        <f t="shared" si="1284"/>
        <v>#DIV/0!</v>
      </c>
      <c r="N8218" s="11"/>
      <c r="O8218" s="11" t="e">
        <f t="shared" si="1285"/>
        <v>#DIV/0!</v>
      </c>
      <c r="P8218" s="12">
        <f t="shared" si="1286"/>
        <v>0</v>
      </c>
      <c r="Q8218" s="17" t="str">
        <f t="shared" si="1288"/>
        <v>Pas d'écart</v>
      </c>
    </row>
    <row r="8219" spans="1:17" x14ac:dyDescent="0.3">
      <c r="A8219" s="34">
        <f>base!J8219</f>
        <v>0</v>
      </c>
      <c r="B8219" s="34">
        <f>base!V8219</f>
        <v>0</v>
      </c>
      <c r="C8219" s="40" t="s">
        <v>11</v>
      </c>
      <c r="D8219" s="36">
        <f>base!H8219</f>
        <v>0</v>
      </c>
      <c r="E8219" s="44"/>
      <c r="F8219" s="16">
        <f>base!W8219</f>
        <v>0</v>
      </c>
      <c r="G8219" s="11" t="e">
        <f t="shared" si="1280"/>
        <v>#DIV/0!</v>
      </c>
      <c r="H8219" s="11" t="e">
        <f t="shared" si="1281"/>
        <v>#N/A</v>
      </c>
      <c r="I8219" s="11" t="e">
        <f t="shared" si="1282"/>
        <v>#N/A</v>
      </c>
      <c r="J8219" s="12" t="e">
        <f t="shared" si="1283"/>
        <v>#N/A</v>
      </c>
      <c r="K8219" s="17" t="e">
        <f t="shared" si="1287"/>
        <v>#N/A</v>
      </c>
      <c r="L8219" s="16">
        <f>base!X8219</f>
        <v>0</v>
      </c>
      <c r="M8219" s="11" t="e">
        <f t="shared" si="1284"/>
        <v>#DIV/0!</v>
      </c>
      <c r="N8219" s="11"/>
      <c r="O8219" s="11" t="e">
        <f t="shared" si="1285"/>
        <v>#DIV/0!</v>
      </c>
      <c r="P8219" s="12">
        <f t="shared" si="1286"/>
        <v>0</v>
      </c>
      <c r="Q8219" s="17" t="str">
        <f t="shared" si="1288"/>
        <v>Pas d'écart</v>
      </c>
    </row>
    <row r="8220" spans="1:17" x14ac:dyDescent="0.3">
      <c r="A8220" s="34">
        <f>base!J8220</f>
        <v>0</v>
      </c>
      <c r="B8220" s="34">
        <f>base!V8220</f>
        <v>0</v>
      </c>
      <c r="C8220" s="40" t="s">
        <v>11</v>
      </c>
      <c r="D8220" s="36">
        <f>base!H8220</f>
        <v>0</v>
      </c>
      <c r="E8220" s="44"/>
      <c r="F8220" s="16">
        <f>base!W8220</f>
        <v>0</v>
      </c>
      <c r="G8220" s="11" t="e">
        <f t="shared" si="1280"/>
        <v>#DIV/0!</v>
      </c>
      <c r="H8220" s="11" t="e">
        <f t="shared" si="1281"/>
        <v>#N/A</v>
      </c>
      <c r="I8220" s="11" t="e">
        <f t="shared" si="1282"/>
        <v>#N/A</v>
      </c>
      <c r="J8220" s="12" t="e">
        <f t="shared" si="1283"/>
        <v>#N/A</v>
      </c>
      <c r="K8220" s="17" t="e">
        <f t="shared" si="1287"/>
        <v>#N/A</v>
      </c>
      <c r="L8220" s="16">
        <f>base!X8220</f>
        <v>0</v>
      </c>
      <c r="M8220" s="11" t="e">
        <f t="shared" si="1284"/>
        <v>#DIV/0!</v>
      </c>
      <c r="N8220" s="11"/>
      <c r="O8220" s="11" t="e">
        <f t="shared" si="1285"/>
        <v>#DIV/0!</v>
      </c>
      <c r="P8220" s="12">
        <f t="shared" si="1286"/>
        <v>0</v>
      </c>
      <c r="Q8220" s="17" t="str">
        <f t="shared" si="1288"/>
        <v>Pas d'écart</v>
      </c>
    </row>
    <row r="8221" spans="1:17" x14ac:dyDescent="0.3">
      <c r="A8221" s="34">
        <f>base!J8221</f>
        <v>0</v>
      </c>
      <c r="B8221" s="34">
        <f>base!V8221</f>
        <v>0</v>
      </c>
      <c r="C8221" s="40" t="s">
        <v>11</v>
      </c>
      <c r="D8221" s="36">
        <f>base!H8221</f>
        <v>0</v>
      </c>
      <c r="E8221" s="44"/>
      <c r="F8221" s="16">
        <f>base!W8221</f>
        <v>0</v>
      </c>
      <c r="G8221" s="11" t="e">
        <f t="shared" si="1280"/>
        <v>#DIV/0!</v>
      </c>
      <c r="H8221" s="11" t="e">
        <f t="shared" si="1281"/>
        <v>#N/A</v>
      </c>
      <c r="I8221" s="11" t="e">
        <f t="shared" si="1282"/>
        <v>#N/A</v>
      </c>
      <c r="J8221" s="12" t="e">
        <f t="shared" si="1283"/>
        <v>#N/A</v>
      </c>
      <c r="K8221" s="17" t="e">
        <f t="shared" si="1287"/>
        <v>#N/A</v>
      </c>
      <c r="L8221" s="16">
        <f>base!X8221</f>
        <v>0</v>
      </c>
      <c r="M8221" s="11" t="e">
        <f t="shared" si="1284"/>
        <v>#DIV/0!</v>
      </c>
      <c r="N8221" s="11"/>
      <c r="O8221" s="11" t="e">
        <f t="shared" si="1285"/>
        <v>#DIV/0!</v>
      </c>
      <c r="P8221" s="12">
        <f t="shared" si="1286"/>
        <v>0</v>
      </c>
      <c r="Q8221" s="17" t="str">
        <f t="shared" si="1288"/>
        <v>Pas d'écart</v>
      </c>
    </row>
    <row r="8222" spans="1:17" x14ac:dyDescent="0.3">
      <c r="A8222" s="34">
        <f>base!J8222</f>
        <v>0</v>
      </c>
      <c r="B8222" s="34">
        <f>base!V8222</f>
        <v>0</v>
      </c>
      <c r="C8222" s="40" t="s">
        <v>11</v>
      </c>
      <c r="D8222" s="36">
        <f>base!H8222</f>
        <v>0</v>
      </c>
      <c r="E8222" s="44"/>
      <c r="F8222" s="16">
        <f>base!W8222</f>
        <v>0</v>
      </c>
      <c r="G8222" s="11" t="e">
        <f t="shared" si="1280"/>
        <v>#DIV/0!</v>
      </c>
      <c r="H8222" s="11" t="e">
        <f t="shared" si="1281"/>
        <v>#N/A</v>
      </c>
      <c r="I8222" s="11" t="e">
        <f t="shared" si="1282"/>
        <v>#N/A</v>
      </c>
      <c r="J8222" s="12" t="e">
        <f t="shared" si="1283"/>
        <v>#N/A</v>
      </c>
      <c r="K8222" s="17" t="e">
        <f t="shared" si="1287"/>
        <v>#N/A</v>
      </c>
      <c r="L8222" s="16">
        <f>base!X8222</f>
        <v>0</v>
      </c>
      <c r="M8222" s="11" t="e">
        <f t="shared" si="1284"/>
        <v>#DIV/0!</v>
      </c>
      <c r="N8222" s="11"/>
      <c r="O8222" s="11" t="e">
        <f t="shared" si="1285"/>
        <v>#DIV/0!</v>
      </c>
      <c r="P8222" s="12">
        <f t="shared" si="1286"/>
        <v>0</v>
      </c>
      <c r="Q8222" s="17" t="str">
        <f t="shared" si="1288"/>
        <v>Pas d'écart</v>
      </c>
    </row>
    <row r="8223" spans="1:17" x14ac:dyDescent="0.3">
      <c r="A8223" s="34">
        <f>base!J8223</f>
        <v>0</v>
      </c>
      <c r="B8223" s="34">
        <f>base!V8223</f>
        <v>0</v>
      </c>
      <c r="C8223" s="40" t="s">
        <v>11</v>
      </c>
      <c r="D8223" s="36">
        <f>base!H8223</f>
        <v>0</v>
      </c>
      <c r="E8223" s="44"/>
      <c r="F8223" s="16">
        <f>base!W8223</f>
        <v>0</v>
      </c>
      <c r="G8223" s="11" t="e">
        <f t="shared" si="1280"/>
        <v>#DIV/0!</v>
      </c>
      <c r="H8223" s="11" t="e">
        <f t="shared" si="1281"/>
        <v>#N/A</v>
      </c>
      <c r="I8223" s="11" t="e">
        <f t="shared" si="1282"/>
        <v>#N/A</v>
      </c>
      <c r="J8223" s="12" t="e">
        <f t="shared" si="1283"/>
        <v>#N/A</v>
      </c>
      <c r="K8223" s="17" t="e">
        <f t="shared" si="1287"/>
        <v>#N/A</v>
      </c>
      <c r="L8223" s="16">
        <f>base!X8223</f>
        <v>0</v>
      </c>
      <c r="M8223" s="11" t="e">
        <f t="shared" si="1284"/>
        <v>#DIV/0!</v>
      </c>
      <c r="N8223" s="11"/>
      <c r="O8223" s="11" t="e">
        <f t="shared" si="1285"/>
        <v>#DIV/0!</v>
      </c>
      <c r="P8223" s="12">
        <f t="shared" si="1286"/>
        <v>0</v>
      </c>
      <c r="Q8223" s="17" t="str">
        <f t="shared" si="1288"/>
        <v>Pas d'écart</v>
      </c>
    </row>
    <row r="8224" spans="1:17" x14ac:dyDescent="0.3">
      <c r="A8224" s="34">
        <f>base!J8224</f>
        <v>0</v>
      </c>
      <c r="B8224" s="34">
        <f>base!V8224</f>
        <v>0</v>
      </c>
      <c r="C8224" s="40" t="s">
        <v>11</v>
      </c>
      <c r="D8224" s="36">
        <f>base!H8224</f>
        <v>0</v>
      </c>
      <c r="E8224" s="44"/>
      <c r="F8224" s="16">
        <f>base!W8224</f>
        <v>0</v>
      </c>
      <c r="G8224" s="11" t="e">
        <f t="shared" si="1280"/>
        <v>#DIV/0!</v>
      </c>
      <c r="H8224" s="11" t="e">
        <f t="shared" si="1281"/>
        <v>#N/A</v>
      </c>
      <c r="I8224" s="11" t="e">
        <f t="shared" si="1282"/>
        <v>#N/A</v>
      </c>
      <c r="J8224" s="12" t="e">
        <f t="shared" si="1283"/>
        <v>#N/A</v>
      </c>
      <c r="K8224" s="17" t="e">
        <f t="shared" si="1287"/>
        <v>#N/A</v>
      </c>
      <c r="L8224" s="16">
        <f>base!X8224</f>
        <v>0</v>
      </c>
      <c r="M8224" s="11" t="e">
        <f t="shared" si="1284"/>
        <v>#DIV/0!</v>
      </c>
      <c r="N8224" s="11"/>
      <c r="O8224" s="11" t="e">
        <f t="shared" si="1285"/>
        <v>#DIV/0!</v>
      </c>
      <c r="P8224" s="12">
        <f t="shared" si="1286"/>
        <v>0</v>
      </c>
      <c r="Q8224" s="17" t="str">
        <f t="shared" si="1288"/>
        <v>Pas d'écart</v>
      </c>
    </row>
    <row r="8225" spans="1:17" x14ac:dyDescent="0.3">
      <c r="A8225" s="34">
        <f>base!J8225</f>
        <v>0</v>
      </c>
      <c r="B8225" s="34">
        <f>base!V8225</f>
        <v>0</v>
      </c>
      <c r="C8225" s="40" t="s">
        <v>11</v>
      </c>
      <c r="D8225" s="36">
        <f>base!H8225</f>
        <v>0</v>
      </c>
      <c r="E8225" s="44"/>
      <c r="F8225" s="16">
        <f>base!W8225</f>
        <v>0</v>
      </c>
      <c r="G8225" s="11" t="e">
        <f t="shared" si="1280"/>
        <v>#DIV/0!</v>
      </c>
      <c r="H8225" s="11" t="e">
        <f t="shared" si="1281"/>
        <v>#N/A</v>
      </c>
      <c r="I8225" s="11" t="e">
        <f t="shared" si="1282"/>
        <v>#N/A</v>
      </c>
      <c r="J8225" s="12" t="e">
        <f t="shared" si="1283"/>
        <v>#N/A</v>
      </c>
      <c r="K8225" s="17" t="e">
        <f t="shared" si="1287"/>
        <v>#N/A</v>
      </c>
      <c r="L8225" s="16">
        <f>base!X8225</f>
        <v>0</v>
      </c>
      <c r="M8225" s="11" t="e">
        <f t="shared" si="1284"/>
        <v>#DIV/0!</v>
      </c>
      <c r="N8225" s="11"/>
      <c r="O8225" s="11" t="e">
        <f t="shared" si="1285"/>
        <v>#DIV/0!</v>
      </c>
      <c r="P8225" s="12">
        <f t="shared" si="1286"/>
        <v>0</v>
      </c>
      <c r="Q8225" s="17" t="str">
        <f t="shared" si="1288"/>
        <v>Pas d'écart</v>
      </c>
    </row>
    <row r="8226" spans="1:17" x14ac:dyDescent="0.3">
      <c r="A8226" s="34">
        <f>base!J8226</f>
        <v>0</v>
      </c>
      <c r="B8226" s="34">
        <f>base!V8226</f>
        <v>0</v>
      </c>
      <c r="C8226" s="40" t="s">
        <v>11</v>
      </c>
      <c r="D8226" s="36">
        <f>base!H8226</f>
        <v>0</v>
      </c>
      <c r="E8226" s="44"/>
      <c r="F8226" s="16">
        <f>base!W8226</f>
        <v>0</v>
      </c>
      <c r="G8226" s="11" t="e">
        <f t="shared" si="1280"/>
        <v>#DIV/0!</v>
      </c>
      <c r="H8226" s="11" t="e">
        <f t="shared" si="1281"/>
        <v>#N/A</v>
      </c>
      <c r="I8226" s="11" t="e">
        <f t="shared" si="1282"/>
        <v>#N/A</v>
      </c>
      <c r="J8226" s="12" t="e">
        <f t="shared" si="1283"/>
        <v>#N/A</v>
      </c>
      <c r="K8226" s="17" t="e">
        <f t="shared" si="1287"/>
        <v>#N/A</v>
      </c>
      <c r="L8226" s="16">
        <f>base!X8226</f>
        <v>0</v>
      </c>
      <c r="M8226" s="11" t="e">
        <f t="shared" si="1284"/>
        <v>#DIV/0!</v>
      </c>
      <c r="N8226" s="11"/>
      <c r="O8226" s="11" t="e">
        <f t="shared" si="1285"/>
        <v>#DIV/0!</v>
      </c>
      <c r="P8226" s="12">
        <f t="shared" si="1286"/>
        <v>0</v>
      </c>
      <c r="Q8226" s="17" t="str">
        <f t="shared" si="1288"/>
        <v>Pas d'écart</v>
      </c>
    </row>
    <row r="8227" spans="1:17" x14ac:dyDescent="0.3">
      <c r="A8227" s="34">
        <f>base!J8227</f>
        <v>0</v>
      </c>
      <c r="B8227" s="34">
        <f>base!V8227</f>
        <v>0</v>
      </c>
      <c r="C8227" s="40" t="s">
        <v>11</v>
      </c>
      <c r="D8227" s="36">
        <f>base!H8227</f>
        <v>0</v>
      </c>
      <c r="E8227" s="44"/>
      <c r="F8227" s="16">
        <f>base!W8227</f>
        <v>0</v>
      </c>
      <c r="G8227" s="11" t="e">
        <f t="shared" si="1280"/>
        <v>#DIV/0!</v>
      </c>
      <c r="H8227" s="11" t="e">
        <f t="shared" si="1281"/>
        <v>#N/A</v>
      </c>
      <c r="I8227" s="11" t="e">
        <f t="shared" si="1282"/>
        <v>#N/A</v>
      </c>
      <c r="J8227" s="12" t="e">
        <f t="shared" si="1283"/>
        <v>#N/A</v>
      </c>
      <c r="K8227" s="17" t="e">
        <f t="shared" si="1287"/>
        <v>#N/A</v>
      </c>
      <c r="L8227" s="16">
        <f>base!X8227</f>
        <v>0</v>
      </c>
      <c r="M8227" s="11" t="e">
        <f t="shared" si="1284"/>
        <v>#DIV/0!</v>
      </c>
      <c r="N8227" s="11"/>
      <c r="O8227" s="11" t="e">
        <f t="shared" si="1285"/>
        <v>#DIV/0!</v>
      </c>
      <c r="P8227" s="12">
        <f t="shared" si="1286"/>
        <v>0</v>
      </c>
      <c r="Q8227" s="17" t="str">
        <f t="shared" si="1288"/>
        <v>Pas d'écart</v>
      </c>
    </row>
    <row r="8228" spans="1:17" x14ac:dyDescent="0.3">
      <c r="A8228" s="34">
        <f>base!J8228</f>
        <v>0</v>
      </c>
      <c r="B8228" s="34">
        <f>base!V8228</f>
        <v>0</v>
      </c>
      <c r="C8228" s="40" t="s">
        <v>11</v>
      </c>
      <c r="D8228" s="36">
        <f>base!H8228</f>
        <v>0</v>
      </c>
      <c r="E8228" s="44"/>
      <c r="F8228" s="16">
        <f>base!W8228</f>
        <v>0</v>
      </c>
      <c r="G8228" s="11" t="e">
        <f t="shared" si="1280"/>
        <v>#DIV/0!</v>
      </c>
      <c r="H8228" s="11" t="e">
        <f t="shared" si="1281"/>
        <v>#N/A</v>
      </c>
      <c r="I8228" s="11" t="e">
        <f t="shared" si="1282"/>
        <v>#N/A</v>
      </c>
      <c r="J8228" s="12" t="e">
        <f t="shared" si="1283"/>
        <v>#N/A</v>
      </c>
      <c r="K8228" s="17" t="e">
        <f t="shared" si="1287"/>
        <v>#N/A</v>
      </c>
      <c r="L8228" s="16">
        <f>base!X8228</f>
        <v>0</v>
      </c>
      <c r="M8228" s="11" t="e">
        <f t="shared" si="1284"/>
        <v>#DIV/0!</v>
      </c>
      <c r="N8228" s="11"/>
      <c r="O8228" s="11" t="e">
        <f t="shared" si="1285"/>
        <v>#DIV/0!</v>
      </c>
      <c r="P8228" s="12">
        <f t="shared" si="1286"/>
        <v>0</v>
      </c>
      <c r="Q8228" s="17" t="str">
        <f t="shared" si="1288"/>
        <v>Pas d'écart</v>
      </c>
    </row>
    <row r="8229" spans="1:17" x14ac:dyDescent="0.3">
      <c r="A8229" s="34">
        <f>base!J8229</f>
        <v>0</v>
      </c>
      <c r="B8229" s="34">
        <f>base!V8229</f>
        <v>0</v>
      </c>
      <c r="C8229" s="40" t="s">
        <v>11</v>
      </c>
      <c r="D8229" s="36">
        <f>base!H8229</f>
        <v>0</v>
      </c>
      <c r="E8229" s="44"/>
      <c r="F8229" s="16">
        <f>base!W8229</f>
        <v>0</v>
      </c>
      <c r="G8229" s="11" t="e">
        <f t="shared" si="1280"/>
        <v>#DIV/0!</v>
      </c>
      <c r="H8229" s="11" t="e">
        <f t="shared" si="1281"/>
        <v>#N/A</v>
      </c>
      <c r="I8229" s="11" t="e">
        <f t="shared" si="1282"/>
        <v>#N/A</v>
      </c>
      <c r="J8229" s="12" t="e">
        <f t="shared" si="1283"/>
        <v>#N/A</v>
      </c>
      <c r="K8229" s="17" t="e">
        <f t="shared" si="1287"/>
        <v>#N/A</v>
      </c>
      <c r="L8229" s="16">
        <f>base!X8229</f>
        <v>0</v>
      </c>
      <c r="M8229" s="11" t="e">
        <f t="shared" si="1284"/>
        <v>#DIV/0!</v>
      </c>
      <c r="N8229" s="11"/>
      <c r="O8229" s="11" t="e">
        <f t="shared" si="1285"/>
        <v>#DIV/0!</v>
      </c>
      <c r="P8229" s="12">
        <f t="shared" si="1286"/>
        <v>0</v>
      </c>
      <c r="Q8229" s="17" t="str">
        <f t="shared" si="1288"/>
        <v>Pas d'écart</v>
      </c>
    </row>
    <row r="8230" spans="1:17" x14ac:dyDescent="0.3">
      <c r="A8230" s="34">
        <f>base!J8230</f>
        <v>0</v>
      </c>
      <c r="B8230" s="34">
        <f>base!V8230</f>
        <v>0</v>
      </c>
      <c r="C8230" s="40" t="s">
        <v>11</v>
      </c>
      <c r="D8230" s="36">
        <f>base!H8230</f>
        <v>0</v>
      </c>
      <c r="E8230" s="44"/>
      <c r="F8230" s="16">
        <f>base!W8230</f>
        <v>0</v>
      </c>
      <c r="G8230" s="11" t="e">
        <f t="shared" si="1280"/>
        <v>#DIV/0!</v>
      </c>
      <c r="H8230" s="11" t="e">
        <f t="shared" si="1281"/>
        <v>#N/A</v>
      </c>
      <c r="I8230" s="11" t="e">
        <f t="shared" si="1282"/>
        <v>#N/A</v>
      </c>
      <c r="J8230" s="12" t="e">
        <f t="shared" si="1283"/>
        <v>#N/A</v>
      </c>
      <c r="K8230" s="17" t="e">
        <f t="shared" si="1287"/>
        <v>#N/A</v>
      </c>
      <c r="L8230" s="16">
        <f>base!X8230</f>
        <v>0</v>
      </c>
      <c r="M8230" s="11" t="e">
        <f t="shared" si="1284"/>
        <v>#DIV/0!</v>
      </c>
      <c r="N8230" s="11"/>
      <c r="O8230" s="11" t="e">
        <f t="shared" si="1285"/>
        <v>#DIV/0!</v>
      </c>
      <c r="P8230" s="12">
        <f t="shared" si="1286"/>
        <v>0</v>
      </c>
      <c r="Q8230" s="17" t="str">
        <f t="shared" si="1288"/>
        <v>Pas d'écart</v>
      </c>
    </row>
    <row r="8231" spans="1:17" x14ac:dyDescent="0.3">
      <c r="A8231" s="34">
        <f>base!J8231</f>
        <v>0</v>
      </c>
      <c r="B8231" s="34">
        <f>base!V8231</f>
        <v>0</v>
      </c>
      <c r="C8231" s="40" t="s">
        <v>11</v>
      </c>
      <c r="D8231" s="36">
        <f>base!H8231</f>
        <v>0</v>
      </c>
      <c r="E8231" s="44"/>
      <c r="F8231" s="16">
        <f>base!W8231</f>
        <v>0</v>
      </c>
      <c r="G8231" s="11" t="e">
        <f t="shared" si="1280"/>
        <v>#DIV/0!</v>
      </c>
      <c r="H8231" s="11" t="e">
        <f t="shared" si="1281"/>
        <v>#N/A</v>
      </c>
      <c r="I8231" s="11" t="e">
        <f t="shared" si="1282"/>
        <v>#N/A</v>
      </c>
      <c r="J8231" s="12" t="e">
        <f t="shared" si="1283"/>
        <v>#N/A</v>
      </c>
      <c r="K8231" s="17" t="e">
        <f t="shared" si="1287"/>
        <v>#N/A</v>
      </c>
      <c r="L8231" s="16">
        <f>base!X8231</f>
        <v>0</v>
      </c>
      <c r="M8231" s="11" t="e">
        <f t="shared" si="1284"/>
        <v>#DIV/0!</v>
      </c>
      <c r="N8231" s="11"/>
      <c r="O8231" s="11" t="e">
        <f t="shared" si="1285"/>
        <v>#DIV/0!</v>
      </c>
      <c r="P8231" s="12">
        <f t="shared" si="1286"/>
        <v>0</v>
      </c>
      <c r="Q8231" s="17" t="str">
        <f t="shared" si="1288"/>
        <v>Pas d'écart</v>
      </c>
    </row>
    <row r="8232" spans="1:17" x14ac:dyDescent="0.3">
      <c r="A8232" s="34">
        <f>base!J8232</f>
        <v>0</v>
      </c>
      <c r="B8232" s="34">
        <f>base!V8232</f>
        <v>0</v>
      </c>
      <c r="C8232" s="40" t="s">
        <v>11</v>
      </c>
      <c r="D8232" s="36">
        <f>base!H8232</f>
        <v>0</v>
      </c>
      <c r="E8232" s="44"/>
      <c r="F8232" s="16">
        <f>base!W8232</f>
        <v>0</v>
      </c>
      <c r="G8232" s="11" t="e">
        <f t="shared" si="1280"/>
        <v>#DIV/0!</v>
      </c>
      <c r="H8232" s="11" t="e">
        <f t="shared" si="1281"/>
        <v>#N/A</v>
      </c>
      <c r="I8232" s="11" t="e">
        <f t="shared" si="1282"/>
        <v>#N/A</v>
      </c>
      <c r="J8232" s="12" t="e">
        <f t="shared" si="1283"/>
        <v>#N/A</v>
      </c>
      <c r="K8232" s="17" t="e">
        <f t="shared" si="1287"/>
        <v>#N/A</v>
      </c>
      <c r="L8232" s="16">
        <f>base!X8232</f>
        <v>0</v>
      </c>
      <c r="M8232" s="11" t="e">
        <f t="shared" si="1284"/>
        <v>#DIV/0!</v>
      </c>
      <c r="N8232" s="11"/>
      <c r="O8232" s="11" t="e">
        <f t="shared" si="1285"/>
        <v>#DIV/0!</v>
      </c>
      <c r="P8232" s="12">
        <f t="shared" si="1286"/>
        <v>0</v>
      </c>
      <c r="Q8232" s="17" t="str">
        <f t="shared" si="1288"/>
        <v>Pas d'écart</v>
      </c>
    </row>
    <row r="8233" spans="1:17" x14ac:dyDescent="0.3">
      <c r="A8233" s="34">
        <f>base!J8233</f>
        <v>0</v>
      </c>
      <c r="B8233" s="34">
        <f>base!V8233</f>
        <v>0</v>
      </c>
      <c r="C8233" s="40" t="s">
        <v>11</v>
      </c>
      <c r="D8233" s="36">
        <f>base!H8233</f>
        <v>0</v>
      </c>
      <c r="E8233" s="44"/>
      <c r="F8233" s="16">
        <f>base!W8233</f>
        <v>0</v>
      </c>
      <c r="G8233" s="11" t="e">
        <f t="shared" si="1280"/>
        <v>#DIV/0!</v>
      </c>
      <c r="H8233" s="11" t="e">
        <f t="shared" si="1281"/>
        <v>#N/A</v>
      </c>
      <c r="I8233" s="11" t="e">
        <f t="shared" si="1282"/>
        <v>#N/A</v>
      </c>
      <c r="J8233" s="12" t="e">
        <f t="shared" si="1283"/>
        <v>#N/A</v>
      </c>
      <c r="K8233" s="17" t="e">
        <f t="shared" si="1287"/>
        <v>#N/A</v>
      </c>
      <c r="L8233" s="16">
        <f>base!X8233</f>
        <v>0</v>
      </c>
      <c r="M8233" s="11" t="e">
        <f t="shared" si="1284"/>
        <v>#DIV/0!</v>
      </c>
      <c r="N8233" s="11"/>
      <c r="O8233" s="11" t="e">
        <f t="shared" si="1285"/>
        <v>#DIV/0!</v>
      </c>
      <c r="P8233" s="12">
        <f t="shared" si="1286"/>
        <v>0</v>
      </c>
      <c r="Q8233" s="17" t="str">
        <f t="shared" si="1288"/>
        <v>Pas d'écart</v>
      </c>
    </row>
    <row r="8234" spans="1:17" x14ac:dyDescent="0.3">
      <c r="A8234" s="34">
        <f>base!J8234</f>
        <v>0</v>
      </c>
      <c r="B8234" s="34">
        <f>base!V8234</f>
        <v>0</v>
      </c>
      <c r="C8234" s="40" t="s">
        <v>11</v>
      </c>
      <c r="D8234" s="36">
        <f>base!H8234</f>
        <v>0</v>
      </c>
      <c r="E8234" s="44"/>
      <c r="F8234" s="16">
        <f>base!W8234</f>
        <v>0</v>
      </c>
      <c r="G8234" s="11" t="e">
        <f t="shared" si="1280"/>
        <v>#DIV/0!</v>
      </c>
      <c r="H8234" s="11" t="e">
        <f t="shared" si="1281"/>
        <v>#N/A</v>
      </c>
      <c r="I8234" s="11" t="e">
        <f t="shared" si="1282"/>
        <v>#N/A</v>
      </c>
      <c r="J8234" s="12" t="e">
        <f t="shared" si="1283"/>
        <v>#N/A</v>
      </c>
      <c r="K8234" s="17" t="e">
        <f t="shared" si="1287"/>
        <v>#N/A</v>
      </c>
      <c r="L8234" s="16">
        <f>base!X8234</f>
        <v>0</v>
      </c>
      <c r="M8234" s="11" t="e">
        <f t="shared" si="1284"/>
        <v>#DIV/0!</v>
      </c>
      <c r="N8234" s="11"/>
      <c r="O8234" s="11" t="e">
        <f t="shared" si="1285"/>
        <v>#DIV/0!</v>
      </c>
      <c r="P8234" s="12">
        <f t="shared" si="1286"/>
        <v>0</v>
      </c>
      <c r="Q8234" s="17" t="str">
        <f t="shared" si="1288"/>
        <v>Pas d'écart</v>
      </c>
    </row>
    <row r="8235" spans="1:17" x14ac:dyDescent="0.3">
      <c r="A8235" s="34">
        <f>base!J8235</f>
        <v>0</v>
      </c>
      <c r="B8235" s="34">
        <f>base!V8235</f>
        <v>0</v>
      </c>
      <c r="C8235" s="40" t="s">
        <v>11</v>
      </c>
      <c r="D8235" s="36">
        <f>base!H8235</f>
        <v>0</v>
      </c>
      <c r="E8235" s="44"/>
      <c r="F8235" s="16">
        <f>base!W8235</f>
        <v>0</v>
      </c>
      <c r="G8235" s="11" t="e">
        <f t="shared" si="1280"/>
        <v>#DIV/0!</v>
      </c>
      <c r="H8235" s="11" t="e">
        <f t="shared" si="1281"/>
        <v>#N/A</v>
      </c>
      <c r="I8235" s="11" t="e">
        <f t="shared" si="1282"/>
        <v>#N/A</v>
      </c>
      <c r="J8235" s="12" t="e">
        <f t="shared" si="1283"/>
        <v>#N/A</v>
      </c>
      <c r="K8235" s="17" t="e">
        <f t="shared" si="1287"/>
        <v>#N/A</v>
      </c>
      <c r="L8235" s="16">
        <f>base!X8235</f>
        <v>0</v>
      </c>
      <c r="M8235" s="11" t="e">
        <f t="shared" si="1284"/>
        <v>#DIV/0!</v>
      </c>
      <c r="N8235" s="11"/>
      <c r="O8235" s="11" t="e">
        <f t="shared" si="1285"/>
        <v>#DIV/0!</v>
      </c>
      <c r="P8235" s="12">
        <f t="shared" si="1286"/>
        <v>0</v>
      </c>
      <c r="Q8235" s="17" t="str">
        <f t="shared" si="1288"/>
        <v>Pas d'écart</v>
      </c>
    </row>
    <row r="8236" spans="1:17" x14ac:dyDescent="0.3">
      <c r="A8236" s="34">
        <f>base!J8236</f>
        <v>0</v>
      </c>
      <c r="B8236" s="34">
        <f>base!V8236</f>
        <v>0</v>
      </c>
      <c r="C8236" s="40" t="s">
        <v>11</v>
      </c>
      <c r="D8236" s="36">
        <f>base!H8236</f>
        <v>0</v>
      </c>
      <c r="E8236" s="44"/>
      <c r="F8236" s="16">
        <f>base!W8236</f>
        <v>0</v>
      </c>
      <c r="G8236" s="11" t="e">
        <f t="shared" si="1280"/>
        <v>#DIV/0!</v>
      </c>
      <c r="H8236" s="11" t="e">
        <f t="shared" si="1281"/>
        <v>#N/A</v>
      </c>
      <c r="I8236" s="11" t="e">
        <f t="shared" si="1282"/>
        <v>#N/A</v>
      </c>
      <c r="J8236" s="12" t="e">
        <f t="shared" si="1283"/>
        <v>#N/A</v>
      </c>
      <c r="K8236" s="17" t="e">
        <f t="shared" si="1287"/>
        <v>#N/A</v>
      </c>
      <c r="L8236" s="16">
        <f>base!X8236</f>
        <v>0</v>
      </c>
      <c r="M8236" s="11" t="e">
        <f t="shared" si="1284"/>
        <v>#DIV/0!</v>
      </c>
      <c r="N8236" s="11"/>
      <c r="O8236" s="11" t="e">
        <f t="shared" si="1285"/>
        <v>#DIV/0!</v>
      </c>
      <c r="P8236" s="12">
        <f t="shared" si="1286"/>
        <v>0</v>
      </c>
      <c r="Q8236" s="17" t="str">
        <f t="shared" si="1288"/>
        <v>Pas d'écart</v>
      </c>
    </row>
    <row r="8237" spans="1:17" x14ac:dyDescent="0.3">
      <c r="A8237" s="34">
        <f>base!J8237</f>
        <v>0</v>
      </c>
      <c r="B8237" s="34">
        <f>base!V8237</f>
        <v>0</v>
      </c>
      <c r="C8237" s="40" t="s">
        <v>11</v>
      </c>
      <c r="D8237" s="36">
        <f>base!H8237</f>
        <v>0</v>
      </c>
      <c r="E8237" s="44"/>
      <c r="F8237" s="16">
        <f>base!W8237</f>
        <v>0</v>
      </c>
      <c r="G8237" s="11" t="e">
        <f t="shared" si="1280"/>
        <v>#DIV/0!</v>
      </c>
      <c r="H8237" s="11" t="e">
        <f t="shared" si="1281"/>
        <v>#N/A</v>
      </c>
      <c r="I8237" s="11" t="e">
        <f t="shared" si="1282"/>
        <v>#N/A</v>
      </c>
      <c r="J8237" s="12" t="e">
        <f t="shared" si="1283"/>
        <v>#N/A</v>
      </c>
      <c r="K8237" s="17" t="e">
        <f t="shared" si="1287"/>
        <v>#N/A</v>
      </c>
      <c r="L8237" s="16">
        <f>base!X8237</f>
        <v>0</v>
      </c>
      <c r="M8237" s="11" t="e">
        <f t="shared" si="1284"/>
        <v>#DIV/0!</v>
      </c>
      <c r="N8237" s="11"/>
      <c r="O8237" s="11" t="e">
        <f t="shared" si="1285"/>
        <v>#DIV/0!</v>
      </c>
      <c r="P8237" s="12">
        <f t="shared" si="1286"/>
        <v>0</v>
      </c>
      <c r="Q8237" s="17" t="str">
        <f t="shared" si="1288"/>
        <v>Pas d'écart</v>
      </c>
    </row>
    <row r="8238" spans="1:17" x14ac:dyDescent="0.3">
      <c r="A8238" s="34">
        <f>base!J8238</f>
        <v>0</v>
      </c>
      <c r="B8238" s="34">
        <f>base!V8238</f>
        <v>0</v>
      </c>
      <c r="C8238" s="40" t="s">
        <v>11</v>
      </c>
      <c r="D8238" s="36">
        <f>base!H8238</f>
        <v>0</v>
      </c>
      <c r="E8238" s="44"/>
      <c r="F8238" s="16">
        <f>base!W8238</f>
        <v>0</v>
      </c>
      <c r="G8238" s="11" t="e">
        <f t="shared" si="1280"/>
        <v>#DIV/0!</v>
      </c>
      <c r="H8238" s="11" t="e">
        <f t="shared" si="1281"/>
        <v>#N/A</v>
      </c>
      <c r="I8238" s="11" t="e">
        <f t="shared" si="1282"/>
        <v>#N/A</v>
      </c>
      <c r="J8238" s="12" t="e">
        <f t="shared" si="1283"/>
        <v>#N/A</v>
      </c>
      <c r="K8238" s="17" t="e">
        <f t="shared" si="1287"/>
        <v>#N/A</v>
      </c>
      <c r="L8238" s="16">
        <f>base!X8238</f>
        <v>0</v>
      </c>
      <c r="M8238" s="11" t="e">
        <f t="shared" si="1284"/>
        <v>#DIV/0!</v>
      </c>
      <c r="N8238" s="11"/>
      <c r="O8238" s="11" t="e">
        <f t="shared" si="1285"/>
        <v>#DIV/0!</v>
      </c>
      <c r="P8238" s="12">
        <f t="shared" si="1286"/>
        <v>0</v>
      </c>
      <c r="Q8238" s="17" t="str">
        <f t="shared" si="1288"/>
        <v>Pas d'écart</v>
      </c>
    </row>
    <row r="8239" spans="1:17" x14ac:dyDescent="0.3">
      <c r="A8239" s="34">
        <f>base!J8239</f>
        <v>0</v>
      </c>
      <c r="B8239" s="34">
        <f>base!V8239</f>
        <v>0</v>
      </c>
      <c r="C8239" s="40" t="s">
        <v>11</v>
      </c>
      <c r="D8239" s="36">
        <f>base!H8239</f>
        <v>0</v>
      </c>
      <c r="E8239" s="44"/>
      <c r="F8239" s="16">
        <f>base!W8239</f>
        <v>0</v>
      </c>
      <c r="G8239" s="11" t="e">
        <f t="shared" si="1280"/>
        <v>#DIV/0!</v>
      </c>
      <c r="H8239" s="11" t="e">
        <f t="shared" si="1281"/>
        <v>#N/A</v>
      </c>
      <c r="I8239" s="11" t="e">
        <f t="shared" si="1282"/>
        <v>#N/A</v>
      </c>
      <c r="J8239" s="12" t="e">
        <f t="shared" si="1283"/>
        <v>#N/A</v>
      </c>
      <c r="K8239" s="17" t="e">
        <f t="shared" si="1287"/>
        <v>#N/A</v>
      </c>
      <c r="L8239" s="16">
        <f>base!X8239</f>
        <v>0</v>
      </c>
      <c r="M8239" s="11" t="e">
        <f t="shared" si="1284"/>
        <v>#DIV/0!</v>
      </c>
      <c r="N8239" s="11"/>
      <c r="O8239" s="11" t="e">
        <f t="shared" si="1285"/>
        <v>#DIV/0!</v>
      </c>
      <c r="P8239" s="12">
        <f t="shared" si="1286"/>
        <v>0</v>
      </c>
      <c r="Q8239" s="17" t="str">
        <f t="shared" si="1288"/>
        <v>Pas d'écart</v>
      </c>
    </row>
    <row r="8240" spans="1:17" x14ac:dyDescent="0.3">
      <c r="A8240" s="34">
        <f>base!J8240</f>
        <v>0</v>
      </c>
      <c r="B8240" s="34">
        <f>base!V8240</f>
        <v>0</v>
      </c>
      <c r="C8240" s="40" t="s">
        <v>11</v>
      </c>
      <c r="D8240" s="36">
        <f>base!H8240</f>
        <v>0</v>
      </c>
      <c r="E8240" s="44"/>
      <c r="F8240" s="16">
        <f>base!W8240</f>
        <v>0</v>
      </c>
      <c r="G8240" s="11" t="e">
        <f t="shared" si="1280"/>
        <v>#DIV/0!</v>
      </c>
      <c r="H8240" s="11" t="e">
        <f t="shared" si="1281"/>
        <v>#N/A</v>
      </c>
      <c r="I8240" s="11" t="e">
        <f t="shared" si="1282"/>
        <v>#N/A</v>
      </c>
      <c r="J8240" s="12" t="e">
        <f t="shared" si="1283"/>
        <v>#N/A</v>
      </c>
      <c r="K8240" s="17" t="e">
        <f t="shared" si="1287"/>
        <v>#N/A</v>
      </c>
      <c r="L8240" s="16">
        <f>base!X8240</f>
        <v>0</v>
      </c>
      <c r="M8240" s="11" t="e">
        <f t="shared" si="1284"/>
        <v>#DIV/0!</v>
      </c>
      <c r="N8240" s="11"/>
      <c r="O8240" s="11" t="e">
        <f t="shared" si="1285"/>
        <v>#DIV/0!</v>
      </c>
      <c r="P8240" s="12">
        <f t="shared" si="1286"/>
        <v>0</v>
      </c>
      <c r="Q8240" s="17" t="str">
        <f t="shared" si="1288"/>
        <v>Pas d'écart</v>
      </c>
    </row>
    <row r="8241" spans="1:17" x14ac:dyDescent="0.3">
      <c r="A8241" s="34">
        <f>base!J8241</f>
        <v>0</v>
      </c>
      <c r="B8241" s="34">
        <f>base!V8241</f>
        <v>0</v>
      </c>
      <c r="C8241" s="40" t="s">
        <v>11</v>
      </c>
      <c r="D8241" s="36">
        <f>base!H8241</f>
        <v>0</v>
      </c>
      <c r="E8241" s="44"/>
      <c r="F8241" s="16">
        <f>base!W8241</f>
        <v>0</v>
      </c>
      <c r="G8241" s="11" t="e">
        <f t="shared" si="1280"/>
        <v>#DIV/0!</v>
      </c>
      <c r="H8241" s="11" t="e">
        <f t="shared" si="1281"/>
        <v>#N/A</v>
      </c>
      <c r="I8241" s="11" t="e">
        <f t="shared" si="1282"/>
        <v>#N/A</v>
      </c>
      <c r="J8241" s="12" t="e">
        <f t="shared" si="1283"/>
        <v>#N/A</v>
      </c>
      <c r="K8241" s="17" t="e">
        <f t="shared" si="1287"/>
        <v>#N/A</v>
      </c>
      <c r="L8241" s="16">
        <f>base!X8241</f>
        <v>0</v>
      </c>
      <c r="M8241" s="11" t="e">
        <f t="shared" si="1284"/>
        <v>#DIV/0!</v>
      </c>
      <c r="N8241" s="11"/>
      <c r="O8241" s="11" t="e">
        <f t="shared" si="1285"/>
        <v>#DIV/0!</v>
      </c>
      <c r="P8241" s="12">
        <f t="shared" si="1286"/>
        <v>0</v>
      </c>
      <c r="Q8241" s="17" t="str">
        <f t="shared" si="1288"/>
        <v>Pas d'écart</v>
      </c>
    </row>
    <row r="8242" spans="1:17" x14ac:dyDescent="0.3">
      <c r="A8242" s="34">
        <f>base!J8242</f>
        <v>0</v>
      </c>
      <c r="B8242" s="34">
        <f>base!V8242</f>
        <v>0</v>
      </c>
      <c r="C8242" s="40" t="s">
        <v>11</v>
      </c>
      <c r="D8242" s="36">
        <f>base!H8242</f>
        <v>0</v>
      </c>
      <c r="E8242" s="44"/>
      <c r="F8242" s="16">
        <f>base!W8242</f>
        <v>0</v>
      </c>
      <c r="G8242" s="11" t="e">
        <f t="shared" si="1280"/>
        <v>#DIV/0!</v>
      </c>
      <c r="H8242" s="11" t="e">
        <f t="shared" si="1281"/>
        <v>#N/A</v>
      </c>
      <c r="I8242" s="11" t="e">
        <f t="shared" si="1282"/>
        <v>#N/A</v>
      </c>
      <c r="J8242" s="12" t="e">
        <f t="shared" si="1283"/>
        <v>#N/A</v>
      </c>
      <c r="K8242" s="17" t="e">
        <f t="shared" si="1287"/>
        <v>#N/A</v>
      </c>
      <c r="L8242" s="16">
        <f>base!X8242</f>
        <v>0</v>
      </c>
      <c r="M8242" s="11" t="e">
        <f t="shared" si="1284"/>
        <v>#DIV/0!</v>
      </c>
      <c r="N8242" s="11"/>
      <c r="O8242" s="11" t="e">
        <f t="shared" si="1285"/>
        <v>#DIV/0!</v>
      </c>
      <c r="P8242" s="12">
        <f t="shared" si="1286"/>
        <v>0</v>
      </c>
      <c r="Q8242" s="17" t="str">
        <f t="shared" si="1288"/>
        <v>Pas d'écart</v>
      </c>
    </row>
    <row r="8243" spans="1:17" x14ac:dyDescent="0.3">
      <c r="A8243" s="34">
        <f>base!J8243</f>
        <v>0</v>
      </c>
      <c r="B8243" s="34">
        <f>base!V8243</f>
        <v>0</v>
      </c>
      <c r="C8243" s="40" t="s">
        <v>11</v>
      </c>
      <c r="D8243" s="36">
        <f>base!H8243</f>
        <v>0</v>
      </c>
      <c r="E8243" s="44"/>
      <c r="F8243" s="16">
        <f>base!W8243</f>
        <v>0</v>
      </c>
      <c r="G8243" s="11" t="e">
        <f t="shared" si="1280"/>
        <v>#DIV/0!</v>
      </c>
      <c r="H8243" s="11" t="e">
        <f t="shared" si="1281"/>
        <v>#N/A</v>
      </c>
      <c r="I8243" s="11" t="e">
        <f t="shared" si="1282"/>
        <v>#N/A</v>
      </c>
      <c r="J8243" s="12" t="e">
        <f t="shared" si="1283"/>
        <v>#N/A</v>
      </c>
      <c r="K8243" s="17" t="e">
        <f t="shared" si="1287"/>
        <v>#N/A</v>
      </c>
      <c r="L8243" s="16">
        <f>base!X8243</f>
        <v>0</v>
      </c>
      <c r="M8243" s="11" t="e">
        <f t="shared" si="1284"/>
        <v>#DIV/0!</v>
      </c>
      <c r="N8243" s="11"/>
      <c r="O8243" s="11" t="e">
        <f t="shared" si="1285"/>
        <v>#DIV/0!</v>
      </c>
      <c r="P8243" s="12">
        <f t="shared" si="1286"/>
        <v>0</v>
      </c>
      <c r="Q8243" s="17" t="str">
        <f t="shared" si="1288"/>
        <v>Pas d'écart</v>
      </c>
    </row>
    <row r="8244" spans="1:17" x14ac:dyDescent="0.3">
      <c r="A8244" s="34">
        <f>base!J8244</f>
        <v>0</v>
      </c>
      <c r="B8244" s="34">
        <f>base!V8244</f>
        <v>0</v>
      </c>
      <c r="C8244" s="40" t="s">
        <v>11</v>
      </c>
      <c r="D8244" s="36">
        <f>base!H8244</f>
        <v>0</v>
      </c>
      <c r="E8244" s="44"/>
      <c r="F8244" s="16">
        <f>base!W8244</f>
        <v>0</v>
      </c>
      <c r="G8244" s="11" t="e">
        <f t="shared" si="1280"/>
        <v>#DIV/0!</v>
      </c>
      <c r="H8244" s="11" t="e">
        <f t="shared" si="1281"/>
        <v>#N/A</v>
      </c>
      <c r="I8244" s="11" t="e">
        <f t="shared" si="1282"/>
        <v>#N/A</v>
      </c>
      <c r="J8244" s="12" t="e">
        <f t="shared" si="1283"/>
        <v>#N/A</v>
      </c>
      <c r="K8244" s="17" t="e">
        <f t="shared" si="1287"/>
        <v>#N/A</v>
      </c>
      <c r="L8244" s="16">
        <f>base!X8244</f>
        <v>0</v>
      </c>
      <c r="M8244" s="11" t="e">
        <f t="shared" si="1284"/>
        <v>#DIV/0!</v>
      </c>
      <c r="N8244" s="11"/>
      <c r="O8244" s="11" t="e">
        <f t="shared" si="1285"/>
        <v>#DIV/0!</v>
      </c>
      <c r="P8244" s="12">
        <f t="shared" si="1286"/>
        <v>0</v>
      </c>
      <c r="Q8244" s="17" t="str">
        <f t="shared" si="1288"/>
        <v>Pas d'écart</v>
      </c>
    </row>
    <row r="8245" spans="1:17" x14ac:dyDescent="0.3">
      <c r="A8245" s="34">
        <f>base!J8245</f>
        <v>0</v>
      </c>
      <c r="B8245" s="34">
        <f>base!V8245</f>
        <v>0</v>
      </c>
      <c r="C8245" s="40" t="s">
        <v>11</v>
      </c>
      <c r="D8245" s="36">
        <f>base!H8245</f>
        <v>0</v>
      </c>
      <c r="E8245" s="44"/>
      <c r="F8245" s="16">
        <f>base!W8245</f>
        <v>0</v>
      </c>
      <c r="G8245" s="11" t="e">
        <f t="shared" si="1280"/>
        <v>#DIV/0!</v>
      </c>
      <c r="H8245" s="11" t="e">
        <f t="shared" si="1281"/>
        <v>#N/A</v>
      </c>
      <c r="I8245" s="11" t="e">
        <f t="shared" si="1282"/>
        <v>#N/A</v>
      </c>
      <c r="J8245" s="12" t="e">
        <f t="shared" si="1283"/>
        <v>#N/A</v>
      </c>
      <c r="K8245" s="17" t="e">
        <f t="shared" si="1287"/>
        <v>#N/A</v>
      </c>
      <c r="L8245" s="16">
        <f>base!X8245</f>
        <v>0</v>
      </c>
      <c r="M8245" s="11" t="e">
        <f t="shared" si="1284"/>
        <v>#DIV/0!</v>
      </c>
      <c r="N8245" s="11"/>
      <c r="O8245" s="11" t="e">
        <f t="shared" si="1285"/>
        <v>#DIV/0!</v>
      </c>
      <c r="P8245" s="12">
        <f t="shared" si="1286"/>
        <v>0</v>
      </c>
      <c r="Q8245" s="17" t="str">
        <f t="shared" si="1288"/>
        <v>Pas d'écart</v>
      </c>
    </row>
    <row r="8246" spans="1:17" x14ac:dyDescent="0.3">
      <c r="A8246" s="34">
        <f>base!J8246</f>
        <v>0</v>
      </c>
      <c r="B8246" s="34">
        <f>base!V8246</f>
        <v>0</v>
      </c>
      <c r="C8246" s="40" t="s">
        <v>11</v>
      </c>
      <c r="D8246" s="36">
        <f>base!H8246</f>
        <v>0</v>
      </c>
      <c r="E8246" s="44"/>
      <c r="F8246" s="16">
        <f>base!W8246</f>
        <v>0</v>
      </c>
      <c r="G8246" s="11" t="e">
        <f t="shared" si="1280"/>
        <v>#DIV/0!</v>
      </c>
      <c r="H8246" s="11" t="e">
        <f t="shared" si="1281"/>
        <v>#N/A</v>
      </c>
      <c r="I8246" s="11" t="e">
        <f t="shared" si="1282"/>
        <v>#N/A</v>
      </c>
      <c r="J8246" s="12" t="e">
        <f t="shared" si="1283"/>
        <v>#N/A</v>
      </c>
      <c r="K8246" s="17" t="e">
        <f t="shared" si="1287"/>
        <v>#N/A</v>
      </c>
      <c r="L8246" s="16">
        <f>base!X8246</f>
        <v>0</v>
      </c>
      <c r="M8246" s="11" t="e">
        <f t="shared" si="1284"/>
        <v>#DIV/0!</v>
      </c>
      <c r="N8246" s="11"/>
      <c r="O8246" s="11" t="e">
        <f t="shared" si="1285"/>
        <v>#DIV/0!</v>
      </c>
      <c r="P8246" s="12">
        <f t="shared" si="1286"/>
        <v>0</v>
      </c>
      <c r="Q8246" s="17" t="str">
        <f t="shared" si="1288"/>
        <v>Pas d'écart</v>
      </c>
    </row>
    <row r="8247" spans="1:17" x14ac:dyDescent="0.3">
      <c r="A8247" s="34">
        <f>base!J8247</f>
        <v>0</v>
      </c>
      <c r="B8247" s="34">
        <f>base!V8247</f>
        <v>0</v>
      </c>
      <c r="C8247" s="40" t="s">
        <v>11</v>
      </c>
      <c r="D8247" s="36">
        <f>base!H8247</f>
        <v>0</v>
      </c>
      <c r="E8247" s="44"/>
      <c r="F8247" s="16">
        <f>base!W8247</f>
        <v>0</v>
      </c>
      <c r="G8247" s="11" t="e">
        <f t="shared" si="1280"/>
        <v>#DIV/0!</v>
      </c>
      <c r="H8247" s="11" t="e">
        <f t="shared" si="1281"/>
        <v>#N/A</v>
      </c>
      <c r="I8247" s="11" t="e">
        <f t="shared" si="1282"/>
        <v>#N/A</v>
      </c>
      <c r="J8247" s="12" t="e">
        <f t="shared" si="1283"/>
        <v>#N/A</v>
      </c>
      <c r="K8247" s="17" t="e">
        <f t="shared" si="1287"/>
        <v>#N/A</v>
      </c>
      <c r="L8247" s="16">
        <f>base!X8247</f>
        <v>0</v>
      </c>
      <c r="M8247" s="11" t="e">
        <f t="shared" si="1284"/>
        <v>#DIV/0!</v>
      </c>
      <c r="N8247" s="11"/>
      <c r="O8247" s="11" t="e">
        <f t="shared" si="1285"/>
        <v>#DIV/0!</v>
      </c>
      <c r="P8247" s="12">
        <f t="shared" si="1286"/>
        <v>0</v>
      </c>
      <c r="Q8247" s="17" t="str">
        <f t="shared" si="1288"/>
        <v>Pas d'écart</v>
      </c>
    </row>
    <row r="8248" spans="1:17" x14ac:dyDescent="0.3">
      <c r="A8248" s="34">
        <f>base!J8248</f>
        <v>0</v>
      </c>
      <c r="B8248" s="34">
        <f>base!V8248</f>
        <v>0</v>
      </c>
      <c r="C8248" s="40" t="s">
        <v>11</v>
      </c>
      <c r="D8248" s="36">
        <f>base!H8248</f>
        <v>0</v>
      </c>
      <c r="E8248" s="44"/>
      <c r="F8248" s="16">
        <f>base!W8248</f>
        <v>0</v>
      </c>
      <c r="G8248" s="11" t="e">
        <f t="shared" si="1280"/>
        <v>#DIV/0!</v>
      </c>
      <c r="H8248" s="11" t="e">
        <f t="shared" si="1281"/>
        <v>#N/A</v>
      </c>
      <c r="I8248" s="11" t="e">
        <f t="shared" si="1282"/>
        <v>#N/A</v>
      </c>
      <c r="J8248" s="12" t="e">
        <f t="shared" si="1283"/>
        <v>#N/A</v>
      </c>
      <c r="K8248" s="17" t="e">
        <f t="shared" si="1287"/>
        <v>#N/A</v>
      </c>
      <c r="L8248" s="16">
        <f>base!X8248</f>
        <v>0</v>
      </c>
      <c r="M8248" s="11" t="e">
        <f t="shared" si="1284"/>
        <v>#DIV/0!</v>
      </c>
      <c r="N8248" s="11"/>
      <c r="O8248" s="11" t="e">
        <f t="shared" si="1285"/>
        <v>#DIV/0!</v>
      </c>
      <c r="P8248" s="12">
        <f t="shared" si="1286"/>
        <v>0</v>
      </c>
      <c r="Q8248" s="17" t="str">
        <f t="shared" si="1288"/>
        <v>Pas d'écart</v>
      </c>
    </row>
    <row r="8249" spans="1:17" x14ac:dyDescent="0.3">
      <c r="A8249" s="34">
        <f>base!J8249</f>
        <v>0</v>
      </c>
      <c r="B8249" s="34">
        <f>base!V8249</f>
        <v>0</v>
      </c>
      <c r="C8249" s="40" t="s">
        <v>11</v>
      </c>
      <c r="D8249" s="36">
        <f>base!H8249</f>
        <v>0</v>
      </c>
      <c r="E8249" s="44"/>
      <c r="F8249" s="16">
        <f>base!W8249</f>
        <v>0</v>
      </c>
      <c r="G8249" s="11" t="e">
        <f t="shared" si="1280"/>
        <v>#DIV/0!</v>
      </c>
      <c r="H8249" s="11" t="e">
        <f t="shared" si="1281"/>
        <v>#N/A</v>
      </c>
      <c r="I8249" s="11" t="e">
        <f t="shared" si="1282"/>
        <v>#N/A</v>
      </c>
      <c r="J8249" s="12" t="e">
        <f t="shared" si="1283"/>
        <v>#N/A</v>
      </c>
      <c r="K8249" s="17" t="e">
        <f t="shared" si="1287"/>
        <v>#N/A</v>
      </c>
      <c r="L8249" s="16">
        <f>base!X8249</f>
        <v>0</v>
      </c>
      <c r="M8249" s="11" t="e">
        <f t="shared" si="1284"/>
        <v>#DIV/0!</v>
      </c>
      <c r="N8249" s="11"/>
      <c r="O8249" s="11" t="e">
        <f t="shared" si="1285"/>
        <v>#DIV/0!</v>
      </c>
      <c r="P8249" s="12">
        <f t="shared" si="1286"/>
        <v>0</v>
      </c>
      <c r="Q8249" s="17" t="str">
        <f t="shared" si="1288"/>
        <v>Pas d'écart</v>
      </c>
    </row>
    <row r="8250" spans="1:17" x14ac:dyDescent="0.3">
      <c r="A8250" s="34">
        <f>base!J8250</f>
        <v>0</v>
      </c>
      <c r="B8250" s="34">
        <f>base!V8250</f>
        <v>0</v>
      </c>
      <c r="C8250" s="40" t="s">
        <v>11</v>
      </c>
      <c r="D8250" s="36">
        <f>base!H8250</f>
        <v>0</v>
      </c>
      <c r="E8250" s="44"/>
      <c r="F8250" s="16">
        <f>base!W8250</f>
        <v>0</v>
      </c>
      <c r="G8250" s="11" t="e">
        <f t="shared" si="1280"/>
        <v>#DIV/0!</v>
      </c>
      <c r="H8250" s="11" t="e">
        <f t="shared" si="1281"/>
        <v>#N/A</v>
      </c>
      <c r="I8250" s="11" t="e">
        <f t="shared" si="1282"/>
        <v>#N/A</v>
      </c>
      <c r="J8250" s="12" t="e">
        <f t="shared" si="1283"/>
        <v>#N/A</v>
      </c>
      <c r="K8250" s="17" t="e">
        <f t="shared" si="1287"/>
        <v>#N/A</v>
      </c>
      <c r="L8250" s="16">
        <f>base!X8250</f>
        <v>0</v>
      </c>
      <c r="M8250" s="11" t="e">
        <f t="shared" si="1284"/>
        <v>#DIV/0!</v>
      </c>
      <c r="N8250" s="11"/>
      <c r="O8250" s="11" t="e">
        <f t="shared" si="1285"/>
        <v>#DIV/0!</v>
      </c>
      <c r="P8250" s="12">
        <f t="shared" si="1286"/>
        <v>0</v>
      </c>
      <c r="Q8250" s="17" t="str">
        <f t="shared" si="1288"/>
        <v>Pas d'écart</v>
      </c>
    </row>
    <row r="8251" spans="1:17" x14ac:dyDescent="0.3">
      <c r="A8251" s="34">
        <f>base!J8251</f>
        <v>0</v>
      </c>
      <c r="B8251" s="34">
        <f>base!V8251</f>
        <v>0</v>
      </c>
      <c r="C8251" s="40" t="s">
        <v>11</v>
      </c>
      <c r="D8251" s="36">
        <f>base!H8251</f>
        <v>0</v>
      </c>
      <c r="E8251" s="44"/>
      <c r="F8251" s="16">
        <f>base!W8251</f>
        <v>0</v>
      </c>
      <c r="G8251" s="11" t="e">
        <f t="shared" si="1280"/>
        <v>#DIV/0!</v>
      </c>
      <c r="H8251" s="11" t="e">
        <f t="shared" si="1281"/>
        <v>#N/A</v>
      </c>
      <c r="I8251" s="11" t="e">
        <f t="shared" si="1282"/>
        <v>#N/A</v>
      </c>
      <c r="J8251" s="12" t="e">
        <f t="shared" si="1283"/>
        <v>#N/A</v>
      </c>
      <c r="K8251" s="17" t="e">
        <f t="shared" si="1287"/>
        <v>#N/A</v>
      </c>
      <c r="L8251" s="16">
        <f>base!X8251</f>
        <v>0</v>
      </c>
      <c r="M8251" s="11" t="e">
        <f t="shared" si="1284"/>
        <v>#DIV/0!</v>
      </c>
      <c r="N8251" s="11"/>
      <c r="O8251" s="11" t="e">
        <f t="shared" si="1285"/>
        <v>#DIV/0!</v>
      </c>
      <c r="P8251" s="12">
        <f t="shared" si="1286"/>
        <v>0</v>
      </c>
      <c r="Q8251" s="17" t="str">
        <f t="shared" si="1288"/>
        <v>Pas d'écart</v>
      </c>
    </row>
    <row r="8252" spans="1:17" x14ac:dyDescent="0.3">
      <c r="A8252" s="34">
        <f>base!J8252</f>
        <v>0</v>
      </c>
      <c r="B8252" s="34">
        <f>base!V8252</f>
        <v>0</v>
      </c>
      <c r="C8252" s="40" t="s">
        <v>11</v>
      </c>
      <c r="D8252" s="36">
        <f>base!H8252</f>
        <v>0</v>
      </c>
      <c r="E8252" s="44"/>
      <c r="F8252" s="16">
        <f>base!W8252</f>
        <v>0</v>
      </c>
      <c r="G8252" s="11" t="e">
        <f t="shared" si="1280"/>
        <v>#DIV/0!</v>
      </c>
      <c r="H8252" s="11" t="e">
        <f t="shared" si="1281"/>
        <v>#N/A</v>
      </c>
      <c r="I8252" s="11" t="e">
        <f t="shared" si="1282"/>
        <v>#N/A</v>
      </c>
      <c r="J8252" s="12" t="e">
        <f t="shared" si="1283"/>
        <v>#N/A</v>
      </c>
      <c r="K8252" s="17" t="e">
        <f t="shared" si="1287"/>
        <v>#N/A</v>
      </c>
      <c r="L8252" s="16">
        <f>base!X8252</f>
        <v>0</v>
      </c>
      <c r="M8252" s="11" t="e">
        <f t="shared" si="1284"/>
        <v>#DIV/0!</v>
      </c>
      <c r="N8252" s="11"/>
      <c r="O8252" s="11" t="e">
        <f t="shared" si="1285"/>
        <v>#DIV/0!</v>
      </c>
      <c r="P8252" s="12">
        <f t="shared" si="1286"/>
        <v>0</v>
      </c>
      <c r="Q8252" s="17" t="str">
        <f t="shared" si="1288"/>
        <v>Pas d'écart</v>
      </c>
    </row>
    <row r="8253" spans="1:17" x14ac:dyDescent="0.3">
      <c r="A8253" s="34">
        <f>base!J8253</f>
        <v>0</v>
      </c>
      <c r="B8253" s="34">
        <f>base!V8253</f>
        <v>0</v>
      </c>
      <c r="C8253" s="40" t="s">
        <v>11</v>
      </c>
      <c r="D8253" s="36">
        <f>base!H8253</f>
        <v>0</v>
      </c>
      <c r="E8253" s="44"/>
      <c r="F8253" s="16">
        <f>base!W8253</f>
        <v>0</v>
      </c>
      <c r="G8253" s="11" t="e">
        <f t="shared" si="1280"/>
        <v>#DIV/0!</v>
      </c>
      <c r="H8253" s="11" t="e">
        <f t="shared" si="1281"/>
        <v>#N/A</v>
      </c>
      <c r="I8253" s="11" t="e">
        <f t="shared" si="1282"/>
        <v>#N/A</v>
      </c>
      <c r="J8253" s="12" t="e">
        <f t="shared" si="1283"/>
        <v>#N/A</v>
      </c>
      <c r="K8253" s="17" t="e">
        <f t="shared" si="1287"/>
        <v>#N/A</v>
      </c>
      <c r="L8253" s="16">
        <f>base!X8253</f>
        <v>0</v>
      </c>
      <c r="M8253" s="11" t="e">
        <f t="shared" si="1284"/>
        <v>#DIV/0!</v>
      </c>
      <c r="N8253" s="11"/>
      <c r="O8253" s="11" t="e">
        <f t="shared" si="1285"/>
        <v>#DIV/0!</v>
      </c>
      <c r="P8253" s="12">
        <f t="shared" si="1286"/>
        <v>0</v>
      </c>
      <c r="Q8253" s="17" t="str">
        <f t="shared" si="1288"/>
        <v>Pas d'écart</v>
      </c>
    </row>
    <row r="8254" spans="1:17" x14ac:dyDescent="0.3">
      <c r="A8254" s="34">
        <f>base!J8254</f>
        <v>0</v>
      </c>
      <c r="B8254" s="34">
        <f>base!V8254</f>
        <v>0</v>
      </c>
      <c r="C8254" s="40" t="s">
        <v>11</v>
      </c>
      <c r="D8254" s="36">
        <f>base!H8254</f>
        <v>0</v>
      </c>
      <c r="E8254" s="44"/>
      <c r="F8254" s="16">
        <f>base!W8254</f>
        <v>0</v>
      </c>
      <c r="G8254" s="11" t="e">
        <f t="shared" si="1280"/>
        <v>#DIV/0!</v>
      </c>
      <c r="H8254" s="11" t="e">
        <f t="shared" si="1281"/>
        <v>#N/A</v>
      </c>
      <c r="I8254" s="11" t="e">
        <f t="shared" si="1282"/>
        <v>#N/A</v>
      </c>
      <c r="J8254" s="12" t="e">
        <f t="shared" si="1283"/>
        <v>#N/A</v>
      </c>
      <c r="K8254" s="17" t="e">
        <f t="shared" si="1287"/>
        <v>#N/A</v>
      </c>
      <c r="L8254" s="16">
        <f>base!X8254</f>
        <v>0</v>
      </c>
      <c r="M8254" s="11" t="e">
        <f t="shared" si="1284"/>
        <v>#DIV/0!</v>
      </c>
      <c r="N8254" s="11"/>
      <c r="O8254" s="11" t="e">
        <f t="shared" si="1285"/>
        <v>#DIV/0!</v>
      </c>
      <c r="P8254" s="12">
        <f t="shared" si="1286"/>
        <v>0</v>
      </c>
      <c r="Q8254" s="17" t="str">
        <f t="shared" si="1288"/>
        <v>Pas d'écart</v>
      </c>
    </row>
    <row r="8255" spans="1:17" x14ac:dyDescent="0.3">
      <c r="A8255" s="34">
        <f>base!J8255</f>
        <v>0</v>
      </c>
      <c r="B8255" s="34">
        <f>base!V8255</f>
        <v>0</v>
      </c>
      <c r="C8255" s="40" t="s">
        <v>11</v>
      </c>
      <c r="D8255" s="36">
        <f>base!H8255</f>
        <v>0</v>
      </c>
      <c r="E8255" s="44"/>
      <c r="F8255" s="16">
        <f>base!W8255</f>
        <v>0</v>
      </c>
      <c r="G8255" s="11" t="e">
        <f t="shared" si="1280"/>
        <v>#DIV/0!</v>
      </c>
      <c r="H8255" s="11" t="e">
        <f t="shared" si="1281"/>
        <v>#N/A</v>
      </c>
      <c r="I8255" s="11" t="e">
        <f t="shared" si="1282"/>
        <v>#N/A</v>
      </c>
      <c r="J8255" s="12" t="e">
        <f t="shared" si="1283"/>
        <v>#N/A</v>
      </c>
      <c r="K8255" s="17" t="e">
        <f t="shared" si="1287"/>
        <v>#N/A</v>
      </c>
      <c r="L8255" s="16">
        <f>base!X8255</f>
        <v>0</v>
      </c>
      <c r="M8255" s="11" t="e">
        <f t="shared" si="1284"/>
        <v>#DIV/0!</v>
      </c>
      <c r="N8255" s="11"/>
      <c r="O8255" s="11" t="e">
        <f t="shared" si="1285"/>
        <v>#DIV/0!</v>
      </c>
      <c r="P8255" s="12">
        <f t="shared" si="1286"/>
        <v>0</v>
      </c>
      <c r="Q8255" s="17" t="str">
        <f t="shared" si="1288"/>
        <v>Pas d'écart</v>
      </c>
    </row>
    <row r="8256" spans="1:17" x14ac:dyDescent="0.3">
      <c r="A8256" s="34">
        <f>base!J8256</f>
        <v>0</v>
      </c>
      <c r="B8256" s="34">
        <f>base!V8256</f>
        <v>0</v>
      </c>
      <c r="C8256" s="40" t="s">
        <v>11</v>
      </c>
      <c r="D8256" s="36">
        <f>base!H8256</f>
        <v>0</v>
      </c>
      <c r="E8256" s="44"/>
      <c r="F8256" s="16">
        <f>base!W8256</f>
        <v>0</v>
      </c>
      <c r="G8256" s="11" t="e">
        <f t="shared" si="1280"/>
        <v>#DIV/0!</v>
      </c>
      <c r="H8256" s="11" t="e">
        <f t="shared" si="1281"/>
        <v>#N/A</v>
      </c>
      <c r="I8256" s="11" t="e">
        <f t="shared" si="1282"/>
        <v>#N/A</v>
      </c>
      <c r="J8256" s="12" t="e">
        <f t="shared" si="1283"/>
        <v>#N/A</v>
      </c>
      <c r="K8256" s="17" t="e">
        <f t="shared" si="1287"/>
        <v>#N/A</v>
      </c>
      <c r="L8256" s="16">
        <f>base!X8256</f>
        <v>0</v>
      </c>
      <c r="M8256" s="11" t="e">
        <f t="shared" si="1284"/>
        <v>#DIV/0!</v>
      </c>
      <c r="N8256" s="11"/>
      <c r="O8256" s="11" t="e">
        <f t="shared" si="1285"/>
        <v>#DIV/0!</v>
      </c>
      <c r="P8256" s="12">
        <f t="shared" si="1286"/>
        <v>0</v>
      </c>
      <c r="Q8256" s="17" t="str">
        <f t="shared" si="1288"/>
        <v>Pas d'écart</v>
      </c>
    </row>
    <row r="8257" spans="1:17" x14ac:dyDescent="0.3">
      <c r="A8257" s="34">
        <f>base!J8257</f>
        <v>0</v>
      </c>
      <c r="B8257" s="34">
        <f>base!V8257</f>
        <v>0</v>
      </c>
      <c r="C8257" s="40" t="s">
        <v>11</v>
      </c>
      <c r="D8257" s="36">
        <f>base!H8257</f>
        <v>0</v>
      </c>
      <c r="E8257" s="44"/>
      <c r="F8257" s="16">
        <f>base!W8257</f>
        <v>0</v>
      </c>
      <c r="G8257" s="11" t="e">
        <f t="shared" si="1280"/>
        <v>#DIV/0!</v>
      </c>
      <c r="H8257" s="11" t="e">
        <f t="shared" si="1281"/>
        <v>#N/A</v>
      </c>
      <c r="I8257" s="11" t="e">
        <f t="shared" si="1282"/>
        <v>#N/A</v>
      </c>
      <c r="J8257" s="12" t="e">
        <f t="shared" si="1283"/>
        <v>#N/A</v>
      </c>
      <c r="K8257" s="17" t="e">
        <f t="shared" si="1287"/>
        <v>#N/A</v>
      </c>
      <c r="L8257" s="16">
        <f>base!X8257</f>
        <v>0</v>
      </c>
      <c r="M8257" s="11" t="e">
        <f t="shared" si="1284"/>
        <v>#DIV/0!</v>
      </c>
      <c r="N8257" s="11"/>
      <c r="O8257" s="11" t="e">
        <f t="shared" si="1285"/>
        <v>#DIV/0!</v>
      </c>
      <c r="P8257" s="12">
        <f t="shared" si="1286"/>
        <v>0</v>
      </c>
      <c r="Q8257" s="17" t="str">
        <f t="shared" si="1288"/>
        <v>Pas d'écart</v>
      </c>
    </row>
    <row r="8258" spans="1:17" x14ac:dyDescent="0.3">
      <c r="A8258" s="34">
        <f>base!J8258</f>
        <v>0</v>
      </c>
      <c r="B8258" s="34">
        <f>base!V8258</f>
        <v>0</v>
      </c>
      <c r="C8258" s="40" t="s">
        <v>11</v>
      </c>
      <c r="D8258" s="36">
        <f>base!H8258</f>
        <v>0</v>
      </c>
      <c r="E8258" s="44"/>
      <c r="F8258" s="16">
        <f>base!W8258</f>
        <v>0</v>
      </c>
      <c r="G8258" s="11" t="e">
        <f t="shared" ref="G8258:G8321" si="1289">F8258/D8258</f>
        <v>#DIV/0!</v>
      </c>
      <c r="H8258" s="11" t="e">
        <f t="shared" ref="H8258:H8321" si="1290">VLOOKUP(C8258,tout_cout_traction,2,FALSE)*D8258</f>
        <v>#N/A</v>
      </c>
      <c r="I8258" s="11" t="e">
        <f t="shared" ref="I8258:I8321" si="1291">H8258/D8258</f>
        <v>#N/A</v>
      </c>
      <c r="J8258" s="12" t="e">
        <f t="shared" ref="J8258:J8321" si="1292">F8258-H8258</f>
        <v>#N/A</v>
      </c>
      <c r="K8258" s="17" t="e">
        <f t="shared" si="1287"/>
        <v>#N/A</v>
      </c>
      <c r="L8258" s="16">
        <f>base!X8258</f>
        <v>0</v>
      </c>
      <c r="M8258" s="11" t="e">
        <f t="shared" ref="M8258:M8321" si="1293">L8258/D8258</f>
        <v>#DIV/0!</v>
      </c>
      <c r="N8258" s="11"/>
      <c r="O8258" s="11" t="e">
        <f t="shared" ref="O8258:O8321" si="1294">N8258/D8258</f>
        <v>#DIV/0!</v>
      </c>
      <c r="P8258" s="12">
        <f t="shared" ref="P8258:P8321" si="1295">L8258-N8258</f>
        <v>0</v>
      </c>
      <c r="Q8258" s="17" t="str">
        <f t="shared" si="1288"/>
        <v>Pas d'écart</v>
      </c>
    </row>
    <row r="8259" spans="1:17" x14ac:dyDescent="0.3">
      <c r="A8259" s="34">
        <f>base!J8259</f>
        <v>0</v>
      </c>
      <c r="B8259" s="34">
        <f>base!V8259</f>
        <v>0</v>
      </c>
      <c r="C8259" s="40" t="s">
        <v>11</v>
      </c>
      <c r="D8259" s="36">
        <f>base!H8259</f>
        <v>0</v>
      </c>
      <c r="E8259" s="44"/>
      <c r="F8259" s="16">
        <f>base!W8259</f>
        <v>0</v>
      </c>
      <c r="G8259" s="11" t="e">
        <f t="shared" si="1289"/>
        <v>#DIV/0!</v>
      </c>
      <c r="H8259" s="11" t="e">
        <f t="shared" si="1290"/>
        <v>#N/A</v>
      </c>
      <c r="I8259" s="11" t="e">
        <f t="shared" si="1291"/>
        <v>#N/A</v>
      </c>
      <c r="J8259" s="12" t="e">
        <f t="shared" si="1292"/>
        <v>#N/A</v>
      </c>
      <c r="K8259" s="17" t="e">
        <f t="shared" ref="K8259:K8322" si="1296">IF(H8259=F8259,"Pas d'écart",IF(H8259&lt;F8259,"Ecart positif",IF(H8259&gt;F8259,"Ecart négatif")))</f>
        <v>#N/A</v>
      </c>
      <c r="L8259" s="16">
        <f>base!X8259</f>
        <v>0</v>
      </c>
      <c r="M8259" s="11" t="e">
        <f t="shared" si="1293"/>
        <v>#DIV/0!</v>
      </c>
      <c r="N8259" s="11"/>
      <c r="O8259" s="11" t="e">
        <f t="shared" si="1294"/>
        <v>#DIV/0!</v>
      </c>
      <c r="P8259" s="12">
        <f t="shared" si="1295"/>
        <v>0</v>
      </c>
      <c r="Q8259" s="17" t="str">
        <f t="shared" ref="Q8259:Q8322" si="1297">IF(N8259=L8259,"Pas d'écart",IF(N8259&lt;L8259,"Ecart positif",IF(N8259&gt;L8259,"Ecart négatif")))</f>
        <v>Pas d'écart</v>
      </c>
    </row>
    <row r="8260" spans="1:17" x14ac:dyDescent="0.3">
      <c r="A8260" s="34">
        <f>base!J8260</f>
        <v>0</v>
      </c>
      <c r="B8260" s="34">
        <f>base!V8260</f>
        <v>0</v>
      </c>
      <c r="C8260" s="40" t="s">
        <v>11</v>
      </c>
      <c r="D8260" s="36">
        <f>base!H8260</f>
        <v>0</v>
      </c>
      <c r="E8260" s="44"/>
      <c r="F8260" s="16">
        <f>base!W8260</f>
        <v>0</v>
      </c>
      <c r="G8260" s="11" t="e">
        <f t="shared" si="1289"/>
        <v>#DIV/0!</v>
      </c>
      <c r="H8260" s="11" t="e">
        <f t="shared" si="1290"/>
        <v>#N/A</v>
      </c>
      <c r="I8260" s="11" t="e">
        <f t="shared" si="1291"/>
        <v>#N/A</v>
      </c>
      <c r="J8260" s="12" t="e">
        <f t="shared" si="1292"/>
        <v>#N/A</v>
      </c>
      <c r="K8260" s="17" t="e">
        <f t="shared" si="1296"/>
        <v>#N/A</v>
      </c>
      <c r="L8260" s="16">
        <f>base!X8260</f>
        <v>0</v>
      </c>
      <c r="M8260" s="11" t="e">
        <f t="shared" si="1293"/>
        <v>#DIV/0!</v>
      </c>
      <c r="N8260" s="11"/>
      <c r="O8260" s="11" t="e">
        <f t="shared" si="1294"/>
        <v>#DIV/0!</v>
      </c>
      <c r="P8260" s="12">
        <f t="shared" si="1295"/>
        <v>0</v>
      </c>
      <c r="Q8260" s="17" t="str">
        <f t="shared" si="1297"/>
        <v>Pas d'écart</v>
      </c>
    </row>
    <row r="8261" spans="1:17" x14ac:dyDescent="0.3">
      <c r="A8261" s="34">
        <f>base!J8261</f>
        <v>0</v>
      </c>
      <c r="B8261" s="34">
        <f>base!V8261</f>
        <v>0</v>
      </c>
      <c r="C8261" s="40" t="s">
        <v>11</v>
      </c>
      <c r="D8261" s="36">
        <f>base!H8261</f>
        <v>0</v>
      </c>
      <c r="E8261" s="44"/>
      <c r="F8261" s="16">
        <f>base!W8261</f>
        <v>0</v>
      </c>
      <c r="G8261" s="11" t="e">
        <f t="shared" si="1289"/>
        <v>#DIV/0!</v>
      </c>
      <c r="H8261" s="11" t="e">
        <f t="shared" si="1290"/>
        <v>#N/A</v>
      </c>
      <c r="I8261" s="11" t="e">
        <f t="shared" si="1291"/>
        <v>#N/A</v>
      </c>
      <c r="J8261" s="12" t="e">
        <f t="shared" si="1292"/>
        <v>#N/A</v>
      </c>
      <c r="K8261" s="17" t="e">
        <f t="shared" si="1296"/>
        <v>#N/A</v>
      </c>
      <c r="L8261" s="16">
        <f>base!X8261</f>
        <v>0</v>
      </c>
      <c r="M8261" s="11" t="e">
        <f t="shared" si="1293"/>
        <v>#DIV/0!</v>
      </c>
      <c r="N8261" s="11"/>
      <c r="O8261" s="11" t="e">
        <f t="shared" si="1294"/>
        <v>#DIV/0!</v>
      </c>
      <c r="P8261" s="12">
        <f t="shared" si="1295"/>
        <v>0</v>
      </c>
      <c r="Q8261" s="17" t="str">
        <f t="shared" si="1297"/>
        <v>Pas d'écart</v>
      </c>
    </row>
    <row r="8262" spans="1:17" x14ac:dyDescent="0.3">
      <c r="A8262" s="34">
        <f>base!J8262</f>
        <v>0</v>
      </c>
      <c r="B8262" s="34">
        <f>base!V8262</f>
        <v>0</v>
      </c>
      <c r="C8262" s="40" t="s">
        <v>11</v>
      </c>
      <c r="D8262" s="36">
        <f>base!H8262</f>
        <v>0</v>
      </c>
      <c r="E8262" s="44"/>
      <c r="F8262" s="16">
        <f>base!W8262</f>
        <v>0</v>
      </c>
      <c r="G8262" s="11" t="e">
        <f t="shared" si="1289"/>
        <v>#DIV/0!</v>
      </c>
      <c r="H8262" s="11" t="e">
        <f t="shared" si="1290"/>
        <v>#N/A</v>
      </c>
      <c r="I8262" s="11" t="e">
        <f t="shared" si="1291"/>
        <v>#N/A</v>
      </c>
      <c r="J8262" s="12" t="e">
        <f t="shared" si="1292"/>
        <v>#N/A</v>
      </c>
      <c r="K8262" s="17" t="e">
        <f t="shared" si="1296"/>
        <v>#N/A</v>
      </c>
      <c r="L8262" s="16">
        <f>base!X8262</f>
        <v>0</v>
      </c>
      <c r="M8262" s="11" t="e">
        <f t="shared" si="1293"/>
        <v>#DIV/0!</v>
      </c>
      <c r="N8262" s="11"/>
      <c r="O8262" s="11" t="e">
        <f t="shared" si="1294"/>
        <v>#DIV/0!</v>
      </c>
      <c r="P8262" s="12">
        <f t="shared" si="1295"/>
        <v>0</v>
      </c>
      <c r="Q8262" s="17" t="str">
        <f t="shared" si="1297"/>
        <v>Pas d'écart</v>
      </c>
    </row>
    <row r="8263" spans="1:17" x14ac:dyDescent="0.3">
      <c r="A8263" s="34">
        <f>base!J8263</f>
        <v>0</v>
      </c>
      <c r="B8263" s="34">
        <f>base!V8263</f>
        <v>0</v>
      </c>
      <c r="C8263" s="40" t="s">
        <v>11</v>
      </c>
      <c r="D8263" s="36">
        <f>base!H8263</f>
        <v>0</v>
      </c>
      <c r="E8263" s="44"/>
      <c r="F8263" s="16">
        <f>base!W8263</f>
        <v>0</v>
      </c>
      <c r="G8263" s="11" t="e">
        <f t="shared" si="1289"/>
        <v>#DIV/0!</v>
      </c>
      <c r="H8263" s="11" t="e">
        <f t="shared" si="1290"/>
        <v>#N/A</v>
      </c>
      <c r="I8263" s="11" t="e">
        <f t="shared" si="1291"/>
        <v>#N/A</v>
      </c>
      <c r="J8263" s="12" t="e">
        <f t="shared" si="1292"/>
        <v>#N/A</v>
      </c>
      <c r="K8263" s="17" t="e">
        <f t="shared" si="1296"/>
        <v>#N/A</v>
      </c>
      <c r="L8263" s="16">
        <f>base!X8263</f>
        <v>0</v>
      </c>
      <c r="M8263" s="11" t="e">
        <f t="shared" si="1293"/>
        <v>#DIV/0!</v>
      </c>
      <c r="N8263" s="11"/>
      <c r="O8263" s="11" t="e">
        <f t="shared" si="1294"/>
        <v>#DIV/0!</v>
      </c>
      <c r="P8263" s="12">
        <f t="shared" si="1295"/>
        <v>0</v>
      </c>
      <c r="Q8263" s="17" t="str">
        <f t="shared" si="1297"/>
        <v>Pas d'écart</v>
      </c>
    </row>
    <row r="8264" spans="1:17" x14ac:dyDescent="0.3">
      <c r="A8264" s="34">
        <f>base!J8264</f>
        <v>0</v>
      </c>
      <c r="B8264" s="34">
        <f>base!V8264</f>
        <v>0</v>
      </c>
      <c r="C8264" s="40" t="s">
        <v>11</v>
      </c>
      <c r="D8264" s="36">
        <f>base!H8264</f>
        <v>0</v>
      </c>
      <c r="E8264" s="44"/>
      <c r="F8264" s="16">
        <f>base!W8264</f>
        <v>0</v>
      </c>
      <c r="G8264" s="11" t="e">
        <f t="shared" si="1289"/>
        <v>#DIV/0!</v>
      </c>
      <c r="H8264" s="11" t="e">
        <f t="shared" si="1290"/>
        <v>#N/A</v>
      </c>
      <c r="I8264" s="11" t="e">
        <f t="shared" si="1291"/>
        <v>#N/A</v>
      </c>
      <c r="J8264" s="12" t="e">
        <f t="shared" si="1292"/>
        <v>#N/A</v>
      </c>
      <c r="K8264" s="17" t="e">
        <f t="shared" si="1296"/>
        <v>#N/A</v>
      </c>
      <c r="L8264" s="16">
        <f>base!X8264</f>
        <v>0</v>
      </c>
      <c r="M8264" s="11" t="e">
        <f t="shared" si="1293"/>
        <v>#DIV/0!</v>
      </c>
      <c r="N8264" s="11"/>
      <c r="O8264" s="11" t="e">
        <f t="shared" si="1294"/>
        <v>#DIV/0!</v>
      </c>
      <c r="P8264" s="12">
        <f t="shared" si="1295"/>
        <v>0</v>
      </c>
      <c r="Q8264" s="17" t="str">
        <f t="shared" si="1297"/>
        <v>Pas d'écart</v>
      </c>
    </row>
    <row r="8265" spans="1:17" x14ac:dyDescent="0.3">
      <c r="A8265" s="34">
        <f>base!J8265</f>
        <v>0</v>
      </c>
      <c r="B8265" s="34">
        <f>base!V8265</f>
        <v>0</v>
      </c>
      <c r="C8265" s="40" t="s">
        <v>11</v>
      </c>
      <c r="D8265" s="36">
        <f>base!H8265</f>
        <v>0</v>
      </c>
      <c r="E8265" s="44"/>
      <c r="F8265" s="16">
        <f>base!W8265</f>
        <v>0</v>
      </c>
      <c r="G8265" s="11" t="e">
        <f t="shared" si="1289"/>
        <v>#DIV/0!</v>
      </c>
      <c r="H8265" s="11" t="e">
        <f t="shared" si="1290"/>
        <v>#N/A</v>
      </c>
      <c r="I8265" s="11" t="e">
        <f t="shared" si="1291"/>
        <v>#N/A</v>
      </c>
      <c r="J8265" s="12" t="e">
        <f t="shared" si="1292"/>
        <v>#N/A</v>
      </c>
      <c r="K8265" s="17" t="e">
        <f t="shared" si="1296"/>
        <v>#N/A</v>
      </c>
      <c r="L8265" s="16">
        <f>base!X8265</f>
        <v>0</v>
      </c>
      <c r="M8265" s="11" t="e">
        <f t="shared" si="1293"/>
        <v>#DIV/0!</v>
      </c>
      <c r="N8265" s="11"/>
      <c r="O8265" s="11" t="e">
        <f t="shared" si="1294"/>
        <v>#DIV/0!</v>
      </c>
      <c r="P8265" s="12">
        <f t="shared" si="1295"/>
        <v>0</v>
      </c>
      <c r="Q8265" s="17" t="str">
        <f t="shared" si="1297"/>
        <v>Pas d'écart</v>
      </c>
    </row>
    <row r="8266" spans="1:17" x14ac:dyDescent="0.3">
      <c r="A8266" s="34">
        <f>base!J8266</f>
        <v>0</v>
      </c>
      <c r="B8266" s="34">
        <f>base!V8266</f>
        <v>0</v>
      </c>
      <c r="C8266" s="40" t="s">
        <v>11</v>
      </c>
      <c r="D8266" s="36">
        <f>base!H8266</f>
        <v>0</v>
      </c>
      <c r="E8266" s="44"/>
      <c r="F8266" s="16">
        <f>base!W8266</f>
        <v>0</v>
      </c>
      <c r="G8266" s="11" t="e">
        <f t="shared" si="1289"/>
        <v>#DIV/0!</v>
      </c>
      <c r="H8266" s="11" t="e">
        <f t="shared" si="1290"/>
        <v>#N/A</v>
      </c>
      <c r="I8266" s="11" t="e">
        <f t="shared" si="1291"/>
        <v>#N/A</v>
      </c>
      <c r="J8266" s="12" t="e">
        <f t="shared" si="1292"/>
        <v>#N/A</v>
      </c>
      <c r="K8266" s="17" t="e">
        <f t="shared" si="1296"/>
        <v>#N/A</v>
      </c>
      <c r="L8266" s="16">
        <f>base!X8266</f>
        <v>0</v>
      </c>
      <c r="M8266" s="11" t="e">
        <f t="shared" si="1293"/>
        <v>#DIV/0!</v>
      </c>
      <c r="N8266" s="11"/>
      <c r="O8266" s="11" t="e">
        <f t="shared" si="1294"/>
        <v>#DIV/0!</v>
      </c>
      <c r="P8266" s="12">
        <f t="shared" si="1295"/>
        <v>0</v>
      </c>
      <c r="Q8266" s="17" t="str">
        <f t="shared" si="1297"/>
        <v>Pas d'écart</v>
      </c>
    </row>
    <row r="8267" spans="1:17" x14ac:dyDescent="0.3">
      <c r="A8267" s="34">
        <f>base!J8267</f>
        <v>0</v>
      </c>
      <c r="B8267" s="34">
        <f>base!V8267</f>
        <v>0</v>
      </c>
      <c r="C8267" s="40" t="s">
        <v>11</v>
      </c>
      <c r="D8267" s="36">
        <f>base!H8267</f>
        <v>0</v>
      </c>
      <c r="E8267" s="44"/>
      <c r="F8267" s="16">
        <f>base!W8267</f>
        <v>0</v>
      </c>
      <c r="G8267" s="11" t="e">
        <f t="shared" si="1289"/>
        <v>#DIV/0!</v>
      </c>
      <c r="H8267" s="11" t="e">
        <f t="shared" si="1290"/>
        <v>#N/A</v>
      </c>
      <c r="I8267" s="11" t="e">
        <f t="shared" si="1291"/>
        <v>#N/A</v>
      </c>
      <c r="J8267" s="12" t="e">
        <f t="shared" si="1292"/>
        <v>#N/A</v>
      </c>
      <c r="K8267" s="17" t="e">
        <f t="shared" si="1296"/>
        <v>#N/A</v>
      </c>
      <c r="L8267" s="16">
        <f>base!X8267</f>
        <v>0</v>
      </c>
      <c r="M8267" s="11" t="e">
        <f t="shared" si="1293"/>
        <v>#DIV/0!</v>
      </c>
      <c r="N8267" s="11"/>
      <c r="O8267" s="11" t="e">
        <f t="shared" si="1294"/>
        <v>#DIV/0!</v>
      </c>
      <c r="P8267" s="12">
        <f t="shared" si="1295"/>
        <v>0</v>
      </c>
      <c r="Q8267" s="17" t="str">
        <f t="shared" si="1297"/>
        <v>Pas d'écart</v>
      </c>
    </row>
    <row r="8268" spans="1:17" x14ac:dyDescent="0.3">
      <c r="A8268" s="34">
        <f>base!J8268</f>
        <v>0</v>
      </c>
      <c r="B8268" s="34">
        <f>base!V8268</f>
        <v>0</v>
      </c>
      <c r="C8268" s="40" t="s">
        <v>11</v>
      </c>
      <c r="D8268" s="36">
        <f>base!H8268</f>
        <v>0</v>
      </c>
      <c r="E8268" s="44"/>
      <c r="F8268" s="16">
        <f>base!W8268</f>
        <v>0</v>
      </c>
      <c r="G8268" s="11" t="e">
        <f t="shared" si="1289"/>
        <v>#DIV/0!</v>
      </c>
      <c r="H8268" s="11" t="e">
        <f t="shared" si="1290"/>
        <v>#N/A</v>
      </c>
      <c r="I8268" s="11" t="e">
        <f t="shared" si="1291"/>
        <v>#N/A</v>
      </c>
      <c r="J8268" s="12" t="e">
        <f t="shared" si="1292"/>
        <v>#N/A</v>
      </c>
      <c r="K8268" s="17" t="e">
        <f t="shared" si="1296"/>
        <v>#N/A</v>
      </c>
      <c r="L8268" s="16">
        <f>base!X8268</f>
        <v>0</v>
      </c>
      <c r="M8268" s="11" t="e">
        <f t="shared" si="1293"/>
        <v>#DIV/0!</v>
      </c>
      <c r="N8268" s="11"/>
      <c r="O8268" s="11" t="e">
        <f t="shared" si="1294"/>
        <v>#DIV/0!</v>
      </c>
      <c r="P8268" s="12">
        <f t="shared" si="1295"/>
        <v>0</v>
      </c>
      <c r="Q8268" s="17" t="str">
        <f t="shared" si="1297"/>
        <v>Pas d'écart</v>
      </c>
    </row>
    <row r="8269" spans="1:17" x14ac:dyDescent="0.3">
      <c r="A8269" s="34">
        <f>base!J8269</f>
        <v>0</v>
      </c>
      <c r="B8269" s="34">
        <f>base!V8269</f>
        <v>0</v>
      </c>
      <c r="C8269" s="40" t="s">
        <v>11</v>
      </c>
      <c r="D8269" s="36">
        <f>base!H8269</f>
        <v>0</v>
      </c>
      <c r="E8269" s="44"/>
      <c r="F8269" s="16">
        <f>base!W8269</f>
        <v>0</v>
      </c>
      <c r="G8269" s="11" t="e">
        <f t="shared" si="1289"/>
        <v>#DIV/0!</v>
      </c>
      <c r="H8269" s="11" t="e">
        <f t="shared" si="1290"/>
        <v>#N/A</v>
      </c>
      <c r="I8269" s="11" t="e">
        <f t="shared" si="1291"/>
        <v>#N/A</v>
      </c>
      <c r="J8269" s="12" t="e">
        <f t="shared" si="1292"/>
        <v>#N/A</v>
      </c>
      <c r="K8269" s="17" t="e">
        <f t="shared" si="1296"/>
        <v>#N/A</v>
      </c>
      <c r="L8269" s="16">
        <f>base!X8269</f>
        <v>0</v>
      </c>
      <c r="M8269" s="11" t="e">
        <f t="shared" si="1293"/>
        <v>#DIV/0!</v>
      </c>
      <c r="N8269" s="11"/>
      <c r="O8269" s="11" t="e">
        <f t="shared" si="1294"/>
        <v>#DIV/0!</v>
      </c>
      <c r="P8269" s="12">
        <f t="shared" si="1295"/>
        <v>0</v>
      </c>
      <c r="Q8269" s="17" t="str">
        <f t="shared" si="1297"/>
        <v>Pas d'écart</v>
      </c>
    </row>
    <row r="8270" spans="1:17" x14ac:dyDescent="0.3">
      <c r="A8270" s="34">
        <f>base!J8270</f>
        <v>0</v>
      </c>
      <c r="B8270" s="34">
        <f>base!V8270</f>
        <v>0</v>
      </c>
      <c r="C8270" s="40" t="s">
        <v>11</v>
      </c>
      <c r="D8270" s="36">
        <f>base!H8270</f>
        <v>0</v>
      </c>
      <c r="E8270" s="44"/>
      <c r="F8270" s="16">
        <f>base!W8270</f>
        <v>0</v>
      </c>
      <c r="G8270" s="11" t="e">
        <f t="shared" si="1289"/>
        <v>#DIV/0!</v>
      </c>
      <c r="H8270" s="11" t="e">
        <f t="shared" si="1290"/>
        <v>#N/A</v>
      </c>
      <c r="I8270" s="11" t="e">
        <f t="shared" si="1291"/>
        <v>#N/A</v>
      </c>
      <c r="J8270" s="12" t="e">
        <f t="shared" si="1292"/>
        <v>#N/A</v>
      </c>
      <c r="K8270" s="17" t="e">
        <f t="shared" si="1296"/>
        <v>#N/A</v>
      </c>
      <c r="L8270" s="16">
        <f>base!X8270</f>
        <v>0</v>
      </c>
      <c r="M8270" s="11" t="e">
        <f t="shared" si="1293"/>
        <v>#DIV/0!</v>
      </c>
      <c r="N8270" s="11"/>
      <c r="O8270" s="11" t="e">
        <f t="shared" si="1294"/>
        <v>#DIV/0!</v>
      </c>
      <c r="P8270" s="12">
        <f t="shared" si="1295"/>
        <v>0</v>
      </c>
      <c r="Q8270" s="17" t="str">
        <f t="shared" si="1297"/>
        <v>Pas d'écart</v>
      </c>
    </row>
    <row r="8271" spans="1:17" x14ac:dyDescent="0.3">
      <c r="A8271" s="34">
        <f>base!J8271</f>
        <v>0</v>
      </c>
      <c r="B8271" s="34">
        <f>base!V8271</f>
        <v>0</v>
      </c>
      <c r="C8271" s="40" t="s">
        <v>11</v>
      </c>
      <c r="D8271" s="36">
        <f>base!H8271</f>
        <v>0</v>
      </c>
      <c r="E8271" s="44"/>
      <c r="F8271" s="16">
        <f>base!W8271</f>
        <v>0</v>
      </c>
      <c r="G8271" s="11" t="e">
        <f t="shared" si="1289"/>
        <v>#DIV/0!</v>
      </c>
      <c r="H8271" s="11" t="e">
        <f t="shared" si="1290"/>
        <v>#N/A</v>
      </c>
      <c r="I8271" s="11" t="e">
        <f t="shared" si="1291"/>
        <v>#N/A</v>
      </c>
      <c r="J8271" s="12" t="e">
        <f t="shared" si="1292"/>
        <v>#N/A</v>
      </c>
      <c r="K8271" s="17" t="e">
        <f t="shared" si="1296"/>
        <v>#N/A</v>
      </c>
      <c r="L8271" s="16">
        <f>base!X8271</f>
        <v>0</v>
      </c>
      <c r="M8271" s="11" t="e">
        <f t="shared" si="1293"/>
        <v>#DIV/0!</v>
      </c>
      <c r="N8271" s="11"/>
      <c r="O8271" s="11" t="e">
        <f t="shared" si="1294"/>
        <v>#DIV/0!</v>
      </c>
      <c r="P8271" s="12">
        <f t="shared" si="1295"/>
        <v>0</v>
      </c>
      <c r="Q8271" s="17" t="str">
        <f t="shared" si="1297"/>
        <v>Pas d'écart</v>
      </c>
    </row>
    <row r="8272" spans="1:17" x14ac:dyDescent="0.3">
      <c r="A8272" s="34">
        <f>base!J8272</f>
        <v>0</v>
      </c>
      <c r="B8272" s="34">
        <f>base!V8272</f>
        <v>0</v>
      </c>
      <c r="C8272" s="40" t="s">
        <v>11</v>
      </c>
      <c r="D8272" s="36">
        <f>base!H8272</f>
        <v>0</v>
      </c>
      <c r="E8272" s="44"/>
      <c r="F8272" s="16">
        <f>base!W8272</f>
        <v>0</v>
      </c>
      <c r="G8272" s="11" t="e">
        <f t="shared" si="1289"/>
        <v>#DIV/0!</v>
      </c>
      <c r="H8272" s="11" t="e">
        <f t="shared" si="1290"/>
        <v>#N/A</v>
      </c>
      <c r="I8272" s="11" t="e">
        <f t="shared" si="1291"/>
        <v>#N/A</v>
      </c>
      <c r="J8272" s="12" t="e">
        <f t="shared" si="1292"/>
        <v>#N/A</v>
      </c>
      <c r="K8272" s="17" t="e">
        <f t="shared" si="1296"/>
        <v>#N/A</v>
      </c>
      <c r="L8272" s="16">
        <f>base!X8272</f>
        <v>0</v>
      </c>
      <c r="M8272" s="11" t="e">
        <f t="shared" si="1293"/>
        <v>#DIV/0!</v>
      </c>
      <c r="N8272" s="11"/>
      <c r="O8272" s="11" t="e">
        <f t="shared" si="1294"/>
        <v>#DIV/0!</v>
      </c>
      <c r="P8272" s="12">
        <f t="shared" si="1295"/>
        <v>0</v>
      </c>
      <c r="Q8272" s="17" t="str">
        <f t="shared" si="1297"/>
        <v>Pas d'écart</v>
      </c>
    </row>
    <row r="8273" spans="1:17" x14ac:dyDescent="0.3">
      <c r="A8273" s="34">
        <f>base!J8273</f>
        <v>0</v>
      </c>
      <c r="B8273" s="34">
        <f>base!V8273</f>
        <v>0</v>
      </c>
      <c r="C8273" s="40" t="s">
        <v>11</v>
      </c>
      <c r="D8273" s="36">
        <f>base!H8273</f>
        <v>0</v>
      </c>
      <c r="E8273" s="44"/>
      <c r="F8273" s="16">
        <f>base!W8273</f>
        <v>0</v>
      </c>
      <c r="G8273" s="11" t="e">
        <f t="shared" si="1289"/>
        <v>#DIV/0!</v>
      </c>
      <c r="H8273" s="11" t="e">
        <f t="shared" si="1290"/>
        <v>#N/A</v>
      </c>
      <c r="I8273" s="11" t="e">
        <f t="shared" si="1291"/>
        <v>#N/A</v>
      </c>
      <c r="J8273" s="12" t="e">
        <f t="shared" si="1292"/>
        <v>#N/A</v>
      </c>
      <c r="K8273" s="17" t="e">
        <f t="shared" si="1296"/>
        <v>#N/A</v>
      </c>
      <c r="L8273" s="16">
        <f>base!X8273</f>
        <v>0</v>
      </c>
      <c r="M8273" s="11" t="e">
        <f t="shared" si="1293"/>
        <v>#DIV/0!</v>
      </c>
      <c r="N8273" s="11"/>
      <c r="O8273" s="11" t="e">
        <f t="shared" si="1294"/>
        <v>#DIV/0!</v>
      </c>
      <c r="P8273" s="12">
        <f t="shared" si="1295"/>
        <v>0</v>
      </c>
      <c r="Q8273" s="17" t="str">
        <f t="shared" si="1297"/>
        <v>Pas d'écart</v>
      </c>
    </row>
    <row r="8274" spans="1:17" x14ac:dyDescent="0.3">
      <c r="A8274" s="34">
        <f>base!J8274</f>
        <v>0</v>
      </c>
      <c r="B8274" s="34">
        <f>base!V8274</f>
        <v>0</v>
      </c>
      <c r="C8274" s="40" t="s">
        <v>11</v>
      </c>
      <c r="D8274" s="36">
        <f>base!H8274</f>
        <v>0</v>
      </c>
      <c r="E8274" s="44"/>
      <c r="F8274" s="16">
        <f>base!W8274</f>
        <v>0</v>
      </c>
      <c r="G8274" s="11" t="e">
        <f t="shared" si="1289"/>
        <v>#DIV/0!</v>
      </c>
      <c r="H8274" s="11" t="e">
        <f t="shared" si="1290"/>
        <v>#N/A</v>
      </c>
      <c r="I8274" s="11" t="e">
        <f t="shared" si="1291"/>
        <v>#N/A</v>
      </c>
      <c r="J8274" s="12" t="e">
        <f t="shared" si="1292"/>
        <v>#N/A</v>
      </c>
      <c r="K8274" s="17" t="e">
        <f t="shared" si="1296"/>
        <v>#N/A</v>
      </c>
      <c r="L8274" s="16">
        <f>base!X8274</f>
        <v>0</v>
      </c>
      <c r="M8274" s="11" t="e">
        <f t="shared" si="1293"/>
        <v>#DIV/0!</v>
      </c>
      <c r="N8274" s="11"/>
      <c r="O8274" s="11" t="e">
        <f t="shared" si="1294"/>
        <v>#DIV/0!</v>
      </c>
      <c r="P8274" s="12">
        <f t="shared" si="1295"/>
        <v>0</v>
      </c>
      <c r="Q8274" s="17" t="str">
        <f t="shared" si="1297"/>
        <v>Pas d'écart</v>
      </c>
    </row>
    <row r="8275" spans="1:17" x14ac:dyDescent="0.3">
      <c r="A8275" s="34">
        <f>base!J8275</f>
        <v>0</v>
      </c>
      <c r="B8275" s="34">
        <f>base!V8275</f>
        <v>0</v>
      </c>
      <c r="C8275" s="40" t="s">
        <v>11</v>
      </c>
      <c r="D8275" s="36">
        <f>base!H8275</f>
        <v>0</v>
      </c>
      <c r="E8275" s="44"/>
      <c r="F8275" s="16">
        <f>base!W8275</f>
        <v>0</v>
      </c>
      <c r="G8275" s="11" t="e">
        <f t="shared" si="1289"/>
        <v>#DIV/0!</v>
      </c>
      <c r="H8275" s="11" t="e">
        <f t="shared" si="1290"/>
        <v>#N/A</v>
      </c>
      <c r="I8275" s="11" t="e">
        <f t="shared" si="1291"/>
        <v>#N/A</v>
      </c>
      <c r="J8275" s="12" t="e">
        <f t="shared" si="1292"/>
        <v>#N/A</v>
      </c>
      <c r="K8275" s="17" t="e">
        <f t="shared" si="1296"/>
        <v>#N/A</v>
      </c>
      <c r="L8275" s="16">
        <f>base!X8275</f>
        <v>0</v>
      </c>
      <c r="M8275" s="11" t="e">
        <f t="shared" si="1293"/>
        <v>#DIV/0!</v>
      </c>
      <c r="N8275" s="11"/>
      <c r="O8275" s="11" t="e">
        <f t="shared" si="1294"/>
        <v>#DIV/0!</v>
      </c>
      <c r="P8275" s="12">
        <f t="shared" si="1295"/>
        <v>0</v>
      </c>
      <c r="Q8275" s="17" t="str">
        <f t="shared" si="1297"/>
        <v>Pas d'écart</v>
      </c>
    </row>
    <row r="8276" spans="1:17" x14ac:dyDescent="0.3">
      <c r="A8276" s="34">
        <f>base!J8276</f>
        <v>0</v>
      </c>
      <c r="B8276" s="34">
        <f>base!V8276</f>
        <v>0</v>
      </c>
      <c r="C8276" s="40" t="s">
        <v>11</v>
      </c>
      <c r="D8276" s="36">
        <f>base!H8276</f>
        <v>0</v>
      </c>
      <c r="E8276" s="44"/>
      <c r="F8276" s="16">
        <f>base!W8276</f>
        <v>0</v>
      </c>
      <c r="G8276" s="11" t="e">
        <f t="shared" si="1289"/>
        <v>#DIV/0!</v>
      </c>
      <c r="H8276" s="11" t="e">
        <f t="shared" si="1290"/>
        <v>#N/A</v>
      </c>
      <c r="I8276" s="11" t="e">
        <f t="shared" si="1291"/>
        <v>#N/A</v>
      </c>
      <c r="J8276" s="12" t="e">
        <f t="shared" si="1292"/>
        <v>#N/A</v>
      </c>
      <c r="K8276" s="17" t="e">
        <f t="shared" si="1296"/>
        <v>#N/A</v>
      </c>
      <c r="L8276" s="16">
        <f>base!X8276</f>
        <v>0</v>
      </c>
      <c r="M8276" s="11" t="e">
        <f t="shared" si="1293"/>
        <v>#DIV/0!</v>
      </c>
      <c r="N8276" s="11"/>
      <c r="O8276" s="11" t="e">
        <f t="shared" si="1294"/>
        <v>#DIV/0!</v>
      </c>
      <c r="P8276" s="12">
        <f t="shared" si="1295"/>
        <v>0</v>
      </c>
      <c r="Q8276" s="17" t="str">
        <f t="shared" si="1297"/>
        <v>Pas d'écart</v>
      </c>
    </row>
    <row r="8277" spans="1:17" x14ac:dyDescent="0.3">
      <c r="A8277" s="34">
        <f>base!J8277</f>
        <v>0</v>
      </c>
      <c r="B8277" s="34">
        <f>base!V8277</f>
        <v>0</v>
      </c>
      <c r="C8277" s="40" t="s">
        <v>11</v>
      </c>
      <c r="D8277" s="36">
        <f>base!H8277</f>
        <v>0</v>
      </c>
      <c r="E8277" s="44"/>
      <c r="F8277" s="16">
        <f>base!W8277</f>
        <v>0</v>
      </c>
      <c r="G8277" s="11" t="e">
        <f t="shared" si="1289"/>
        <v>#DIV/0!</v>
      </c>
      <c r="H8277" s="11" t="e">
        <f t="shared" si="1290"/>
        <v>#N/A</v>
      </c>
      <c r="I8277" s="11" t="e">
        <f t="shared" si="1291"/>
        <v>#N/A</v>
      </c>
      <c r="J8277" s="12" t="e">
        <f t="shared" si="1292"/>
        <v>#N/A</v>
      </c>
      <c r="K8277" s="17" t="e">
        <f t="shared" si="1296"/>
        <v>#N/A</v>
      </c>
      <c r="L8277" s="16">
        <f>base!X8277</f>
        <v>0</v>
      </c>
      <c r="M8277" s="11" t="e">
        <f t="shared" si="1293"/>
        <v>#DIV/0!</v>
      </c>
      <c r="N8277" s="11"/>
      <c r="O8277" s="11" t="e">
        <f t="shared" si="1294"/>
        <v>#DIV/0!</v>
      </c>
      <c r="P8277" s="12">
        <f t="shared" si="1295"/>
        <v>0</v>
      </c>
      <c r="Q8277" s="17" t="str">
        <f t="shared" si="1297"/>
        <v>Pas d'écart</v>
      </c>
    </row>
    <row r="8278" spans="1:17" x14ac:dyDescent="0.3">
      <c r="A8278" s="34">
        <f>base!J8278</f>
        <v>0</v>
      </c>
      <c r="B8278" s="34">
        <f>base!V8278</f>
        <v>0</v>
      </c>
      <c r="C8278" s="40" t="s">
        <v>11</v>
      </c>
      <c r="D8278" s="36">
        <f>base!H8278</f>
        <v>0</v>
      </c>
      <c r="E8278" s="44"/>
      <c r="F8278" s="16">
        <f>base!W8278</f>
        <v>0</v>
      </c>
      <c r="G8278" s="11" t="e">
        <f t="shared" si="1289"/>
        <v>#DIV/0!</v>
      </c>
      <c r="H8278" s="11" t="e">
        <f t="shared" si="1290"/>
        <v>#N/A</v>
      </c>
      <c r="I8278" s="11" t="e">
        <f t="shared" si="1291"/>
        <v>#N/A</v>
      </c>
      <c r="J8278" s="12" t="e">
        <f t="shared" si="1292"/>
        <v>#N/A</v>
      </c>
      <c r="K8278" s="17" t="e">
        <f t="shared" si="1296"/>
        <v>#N/A</v>
      </c>
      <c r="L8278" s="16">
        <f>base!X8278</f>
        <v>0</v>
      </c>
      <c r="M8278" s="11" t="e">
        <f t="shared" si="1293"/>
        <v>#DIV/0!</v>
      </c>
      <c r="N8278" s="11"/>
      <c r="O8278" s="11" t="e">
        <f t="shared" si="1294"/>
        <v>#DIV/0!</v>
      </c>
      <c r="P8278" s="12">
        <f t="shared" si="1295"/>
        <v>0</v>
      </c>
      <c r="Q8278" s="17" t="str">
        <f t="shared" si="1297"/>
        <v>Pas d'écart</v>
      </c>
    </row>
    <row r="8279" spans="1:17" x14ac:dyDescent="0.3">
      <c r="A8279" s="34">
        <f>base!J8279</f>
        <v>0</v>
      </c>
      <c r="B8279" s="34">
        <f>base!V8279</f>
        <v>0</v>
      </c>
      <c r="C8279" s="40" t="s">
        <v>11</v>
      </c>
      <c r="D8279" s="36">
        <f>base!H8279</f>
        <v>0</v>
      </c>
      <c r="E8279" s="44"/>
      <c r="F8279" s="16">
        <f>base!W8279</f>
        <v>0</v>
      </c>
      <c r="G8279" s="11" t="e">
        <f t="shared" si="1289"/>
        <v>#DIV/0!</v>
      </c>
      <c r="H8279" s="11" t="e">
        <f t="shared" si="1290"/>
        <v>#N/A</v>
      </c>
      <c r="I8279" s="11" t="e">
        <f t="shared" si="1291"/>
        <v>#N/A</v>
      </c>
      <c r="J8279" s="12" t="e">
        <f t="shared" si="1292"/>
        <v>#N/A</v>
      </c>
      <c r="K8279" s="17" t="e">
        <f t="shared" si="1296"/>
        <v>#N/A</v>
      </c>
      <c r="L8279" s="16">
        <f>base!X8279</f>
        <v>0</v>
      </c>
      <c r="M8279" s="11" t="e">
        <f t="shared" si="1293"/>
        <v>#DIV/0!</v>
      </c>
      <c r="N8279" s="11"/>
      <c r="O8279" s="11" t="e">
        <f t="shared" si="1294"/>
        <v>#DIV/0!</v>
      </c>
      <c r="P8279" s="12">
        <f t="shared" si="1295"/>
        <v>0</v>
      </c>
      <c r="Q8279" s="17" t="str">
        <f t="shared" si="1297"/>
        <v>Pas d'écart</v>
      </c>
    </row>
    <row r="8280" spans="1:17" x14ac:dyDescent="0.3">
      <c r="A8280" s="34">
        <f>base!J8280</f>
        <v>0</v>
      </c>
      <c r="B8280" s="34">
        <f>base!V8280</f>
        <v>0</v>
      </c>
      <c r="C8280" s="40" t="s">
        <v>11</v>
      </c>
      <c r="D8280" s="36">
        <f>base!H8280</f>
        <v>0</v>
      </c>
      <c r="E8280" s="44"/>
      <c r="F8280" s="16">
        <f>base!W8280</f>
        <v>0</v>
      </c>
      <c r="G8280" s="11" t="e">
        <f t="shared" si="1289"/>
        <v>#DIV/0!</v>
      </c>
      <c r="H8280" s="11" t="e">
        <f t="shared" si="1290"/>
        <v>#N/A</v>
      </c>
      <c r="I8280" s="11" t="e">
        <f t="shared" si="1291"/>
        <v>#N/A</v>
      </c>
      <c r="J8280" s="12" t="e">
        <f t="shared" si="1292"/>
        <v>#N/A</v>
      </c>
      <c r="K8280" s="17" t="e">
        <f t="shared" si="1296"/>
        <v>#N/A</v>
      </c>
      <c r="L8280" s="16">
        <f>base!X8280</f>
        <v>0</v>
      </c>
      <c r="M8280" s="11" t="e">
        <f t="shared" si="1293"/>
        <v>#DIV/0!</v>
      </c>
      <c r="N8280" s="11"/>
      <c r="O8280" s="11" t="e">
        <f t="shared" si="1294"/>
        <v>#DIV/0!</v>
      </c>
      <c r="P8280" s="12">
        <f t="shared" si="1295"/>
        <v>0</v>
      </c>
      <c r="Q8280" s="17" t="str">
        <f t="shared" si="1297"/>
        <v>Pas d'écart</v>
      </c>
    </row>
    <row r="8281" spans="1:17" x14ac:dyDescent="0.3">
      <c r="A8281" s="34">
        <f>base!J8281</f>
        <v>0</v>
      </c>
      <c r="B8281" s="34">
        <f>base!V8281</f>
        <v>0</v>
      </c>
      <c r="C8281" s="40" t="s">
        <v>11</v>
      </c>
      <c r="D8281" s="36">
        <f>base!H8281</f>
        <v>0</v>
      </c>
      <c r="E8281" s="44"/>
      <c r="F8281" s="16">
        <f>base!W8281</f>
        <v>0</v>
      </c>
      <c r="G8281" s="11" t="e">
        <f t="shared" si="1289"/>
        <v>#DIV/0!</v>
      </c>
      <c r="H8281" s="11" t="e">
        <f t="shared" si="1290"/>
        <v>#N/A</v>
      </c>
      <c r="I8281" s="11" t="e">
        <f t="shared" si="1291"/>
        <v>#N/A</v>
      </c>
      <c r="J8281" s="12" t="e">
        <f t="shared" si="1292"/>
        <v>#N/A</v>
      </c>
      <c r="K8281" s="17" t="e">
        <f t="shared" si="1296"/>
        <v>#N/A</v>
      </c>
      <c r="L8281" s="16">
        <f>base!X8281</f>
        <v>0</v>
      </c>
      <c r="M8281" s="11" t="e">
        <f t="shared" si="1293"/>
        <v>#DIV/0!</v>
      </c>
      <c r="N8281" s="11"/>
      <c r="O8281" s="11" t="e">
        <f t="shared" si="1294"/>
        <v>#DIV/0!</v>
      </c>
      <c r="P8281" s="12">
        <f t="shared" si="1295"/>
        <v>0</v>
      </c>
      <c r="Q8281" s="17" t="str">
        <f t="shared" si="1297"/>
        <v>Pas d'écart</v>
      </c>
    </row>
    <row r="8282" spans="1:17" x14ac:dyDescent="0.3">
      <c r="A8282" s="34">
        <f>base!J8282</f>
        <v>0</v>
      </c>
      <c r="B8282" s="34">
        <f>base!V8282</f>
        <v>0</v>
      </c>
      <c r="C8282" s="40" t="s">
        <v>11</v>
      </c>
      <c r="D8282" s="36">
        <f>base!H8282</f>
        <v>0</v>
      </c>
      <c r="E8282" s="44"/>
      <c r="F8282" s="16">
        <f>base!W8282</f>
        <v>0</v>
      </c>
      <c r="G8282" s="11" t="e">
        <f t="shared" si="1289"/>
        <v>#DIV/0!</v>
      </c>
      <c r="H8282" s="11" t="e">
        <f t="shared" si="1290"/>
        <v>#N/A</v>
      </c>
      <c r="I8282" s="11" t="e">
        <f t="shared" si="1291"/>
        <v>#N/A</v>
      </c>
      <c r="J8282" s="12" t="e">
        <f t="shared" si="1292"/>
        <v>#N/A</v>
      </c>
      <c r="K8282" s="17" t="e">
        <f t="shared" si="1296"/>
        <v>#N/A</v>
      </c>
      <c r="L8282" s="16">
        <f>base!X8282</f>
        <v>0</v>
      </c>
      <c r="M8282" s="11" t="e">
        <f t="shared" si="1293"/>
        <v>#DIV/0!</v>
      </c>
      <c r="N8282" s="11"/>
      <c r="O8282" s="11" t="e">
        <f t="shared" si="1294"/>
        <v>#DIV/0!</v>
      </c>
      <c r="P8282" s="12">
        <f t="shared" si="1295"/>
        <v>0</v>
      </c>
      <c r="Q8282" s="17" t="str">
        <f t="shared" si="1297"/>
        <v>Pas d'écart</v>
      </c>
    </row>
    <row r="8283" spans="1:17" x14ac:dyDescent="0.3">
      <c r="A8283" s="34">
        <f>base!J8283</f>
        <v>0</v>
      </c>
      <c r="B8283" s="34">
        <f>base!V8283</f>
        <v>0</v>
      </c>
      <c r="C8283" s="40" t="s">
        <v>11</v>
      </c>
      <c r="D8283" s="36">
        <f>base!H8283</f>
        <v>0</v>
      </c>
      <c r="E8283" s="44"/>
      <c r="F8283" s="16">
        <f>base!W8283</f>
        <v>0</v>
      </c>
      <c r="G8283" s="11" t="e">
        <f t="shared" si="1289"/>
        <v>#DIV/0!</v>
      </c>
      <c r="H8283" s="11" t="e">
        <f t="shared" si="1290"/>
        <v>#N/A</v>
      </c>
      <c r="I8283" s="11" t="e">
        <f t="shared" si="1291"/>
        <v>#N/A</v>
      </c>
      <c r="J8283" s="12" t="e">
        <f t="shared" si="1292"/>
        <v>#N/A</v>
      </c>
      <c r="K8283" s="17" t="e">
        <f t="shared" si="1296"/>
        <v>#N/A</v>
      </c>
      <c r="L8283" s="16">
        <f>base!X8283</f>
        <v>0</v>
      </c>
      <c r="M8283" s="11" t="e">
        <f t="shared" si="1293"/>
        <v>#DIV/0!</v>
      </c>
      <c r="N8283" s="11"/>
      <c r="O8283" s="11" t="e">
        <f t="shared" si="1294"/>
        <v>#DIV/0!</v>
      </c>
      <c r="P8283" s="12">
        <f t="shared" si="1295"/>
        <v>0</v>
      </c>
      <c r="Q8283" s="17" t="str">
        <f t="shared" si="1297"/>
        <v>Pas d'écart</v>
      </c>
    </row>
    <row r="8284" spans="1:17" x14ac:dyDescent="0.3">
      <c r="A8284" s="34">
        <f>base!J8284</f>
        <v>0</v>
      </c>
      <c r="B8284" s="34">
        <f>base!V8284</f>
        <v>0</v>
      </c>
      <c r="C8284" s="40" t="s">
        <v>11</v>
      </c>
      <c r="D8284" s="36">
        <f>base!H8284</f>
        <v>0</v>
      </c>
      <c r="E8284" s="44"/>
      <c r="F8284" s="16">
        <f>base!W8284</f>
        <v>0</v>
      </c>
      <c r="G8284" s="11" t="e">
        <f t="shared" si="1289"/>
        <v>#DIV/0!</v>
      </c>
      <c r="H8284" s="11" t="e">
        <f t="shared" si="1290"/>
        <v>#N/A</v>
      </c>
      <c r="I8284" s="11" t="e">
        <f t="shared" si="1291"/>
        <v>#N/A</v>
      </c>
      <c r="J8284" s="12" t="e">
        <f t="shared" si="1292"/>
        <v>#N/A</v>
      </c>
      <c r="K8284" s="17" t="e">
        <f t="shared" si="1296"/>
        <v>#N/A</v>
      </c>
      <c r="L8284" s="16">
        <f>base!X8284</f>
        <v>0</v>
      </c>
      <c r="M8284" s="11" t="e">
        <f t="shared" si="1293"/>
        <v>#DIV/0!</v>
      </c>
      <c r="N8284" s="11"/>
      <c r="O8284" s="11" t="e">
        <f t="shared" si="1294"/>
        <v>#DIV/0!</v>
      </c>
      <c r="P8284" s="12">
        <f t="shared" si="1295"/>
        <v>0</v>
      </c>
      <c r="Q8284" s="17" t="str">
        <f t="shared" si="1297"/>
        <v>Pas d'écart</v>
      </c>
    </row>
    <row r="8285" spans="1:17" x14ac:dyDescent="0.3">
      <c r="A8285" s="34">
        <f>base!J8285</f>
        <v>0</v>
      </c>
      <c r="B8285" s="34">
        <f>base!V8285</f>
        <v>0</v>
      </c>
      <c r="C8285" s="40" t="s">
        <v>11</v>
      </c>
      <c r="D8285" s="36">
        <f>base!H8285</f>
        <v>0</v>
      </c>
      <c r="E8285" s="44"/>
      <c r="F8285" s="16">
        <f>base!W8285</f>
        <v>0</v>
      </c>
      <c r="G8285" s="11" t="e">
        <f t="shared" si="1289"/>
        <v>#DIV/0!</v>
      </c>
      <c r="H8285" s="11" t="e">
        <f t="shared" si="1290"/>
        <v>#N/A</v>
      </c>
      <c r="I8285" s="11" t="e">
        <f t="shared" si="1291"/>
        <v>#N/A</v>
      </c>
      <c r="J8285" s="12" t="e">
        <f t="shared" si="1292"/>
        <v>#N/A</v>
      </c>
      <c r="K8285" s="17" t="e">
        <f t="shared" si="1296"/>
        <v>#N/A</v>
      </c>
      <c r="L8285" s="16">
        <f>base!X8285</f>
        <v>0</v>
      </c>
      <c r="M8285" s="11" t="e">
        <f t="shared" si="1293"/>
        <v>#DIV/0!</v>
      </c>
      <c r="N8285" s="11"/>
      <c r="O8285" s="11" t="e">
        <f t="shared" si="1294"/>
        <v>#DIV/0!</v>
      </c>
      <c r="P8285" s="12">
        <f t="shared" si="1295"/>
        <v>0</v>
      </c>
      <c r="Q8285" s="17" t="str">
        <f t="shared" si="1297"/>
        <v>Pas d'écart</v>
      </c>
    </row>
    <row r="8286" spans="1:17" x14ac:dyDescent="0.3">
      <c r="A8286" s="34">
        <f>base!J8286</f>
        <v>0</v>
      </c>
      <c r="B8286" s="34">
        <f>base!V8286</f>
        <v>0</v>
      </c>
      <c r="C8286" s="40" t="s">
        <v>11</v>
      </c>
      <c r="D8286" s="36">
        <f>base!H8286</f>
        <v>0</v>
      </c>
      <c r="E8286" s="44"/>
      <c r="F8286" s="16">
        <f>base!W8286</f>
        <v>0</v>
      </c>
      <c r="G8286" s="11" t="e">
        <f t="shared" si="1289"/>
        <v>#DIV/0!</v>
      </c>
      <c r="H8286" s="11" t="e">
        <f t="shared" si="1290"/>
        <v>#N/A</v>
      </c>
      <c r="I8286" s="11" t="e">
        <f t="shared" si="1291"/>
        <v>#N/A</v>
      </c>
      <c r="J8286" s="12" t="e">
        <f t="shared" si="1292"/>
        <v>#N/A</v>
      </c>
      <c r="K8286" s="17" t="e">
        <f t="shared" si="1296"/>
        <v>#N/A</v>
      </c>
      <c r="L8286" s="16">
        <f>base!X8286</f>
        <v>0</v>
      </c>
      <c r="M8286" s="11" t="e">
        <f t="shared" si="1293"/>
        <v>#DIV/0!</v>
      </c>
      <c r="N8286" s="11"/>
      <c r="O8286" s="11" t="e">
        <f t="shared" si="1294"/>
        <v>#DIV/0!</v>
      </c>
      <c r="P8286" s="12">
        <f t="shared" si="1295"/>
        <v>0</v>
      </c>
      <c r="Q8286" s="17" t="str">
        <f t="shared" si="1297"/>
        <v>Pas d'écart</v>
      </c>
    </row>
    <row r="8287" spans="1:17" x14ac:dyDescent="0.3">
      <c r="A8287" s="34">
        <f>base!J8287</f>
        <v>0</v>
      </c>
      <c r="B8287" s="34">
        <f>base!V8287</f>
        <v>0</v>
      </c>
      <c r="C8287" s="40" t="s">
        <v>11</v>
      </c>
      <c r="D8287" s="36">
        <f>base!H8287</f>
        <v>0</v>
      </c>
      <c r="E8287" s="44"/>
      <c r="F8287" s="16">
        <f>base!W8287</f>
        <v>0</v>
      </c>
      <c r="G8287" s="11" t="e">
        <f t="shared" si="1289"/>
        <v>#DIV/0!</v>
      </c>
      <c r="H8287" s="11" t="e">
        <f t="shared" si="1290"/>
        <v>#N/A</v>
      </c>
      <c r="I8287" s="11" t="e">
        <f t="shared" si="1291"/>
        <v>#N/A</v>
      </c>
      <c r="J8287" s="12" t="e">
        <f t="shared" si="1292"/>
        <v>#N/A</v>
      </c>
      <c r="K8287" s="17" t="e">
        <f t="shared" si="1296"/>
        <v>#N/A</v>
      </c>
      <c r="L8287" s="16">
        <f>base!X8287</f>
        <v>0</v>
      </c>
      <c r="M8287" s="11" t="e">
        <f t="shared" si="1293"/>
        <v>#DIV/0!</v>
      </c>
      <c r="N8287" s="11"/>
      <c r="O8287" s="11" t="e">
        <f t="shared" si="1294"/>
        <v>#DIV/0!</v>
      </c>
      <c r="P8287" s="12">
        <f t="shared" si="1295"/>
        <v>0</v>
      </c>
      <c r="Q8287" s="17" t="str">
        <f t="shared" si="1297"/>
        <v>Pas d'écart</v>
      </c>
    </row>
    <row r="8288" spans="1:17" x14ac:dyDescent="0.3">
      <c r="A8288" s="34">
        <f>base!J8288</f>
        <v>0</v>
      </c>
      <c r="B8288" s="34">
        <f>base!V8288</f>
        <v>0</v>
      </c>
      <c r="C8288" s="40" t="s">
        <v>11</v>
      </c>
      <c r="D8288" s="36">
        <f>base!H8288</f>
        <v>0</v>
      </c>
      <c r="E8288" s="44"/>
      <c r="F8288" s="16">
        <f>base!W8288</f>
        <v>0</v>
      </c>
      <c r="G8288" s="11" t="e">
        <f t="shared" si="1289"/>
        <v>#DIV/0!</v>
      </c>
      <c r="H8288" s="11" t="e">
        <f t="shared" si="1290"/>
        <v>#N/A</v>
      </c>
      <c r="I8288" s="11" t="e">
        <f t="shared" si="1291"/>
        <v>#N/A</v>
      </c>
      <c r="J8288" s="12" t="e">
        <f t="shared" si="1292"/>
        <v>#N/A</v>
      </c>
      <c r="K8288" s="17" t="e">
        <f t="shared" si="1296"/>
        <v>#N/A</v>
      </c>
      <c r="L8288" s="16">
        <f>base!X8288</f>
        <v>0</v>
      </c>
      <c r="M8288" s="11" t="e">
        <f t="shared" si="1293"/>
        <v>#DIV/0!</v>
      </c>
      <c r="N8288" s="11"/>
      <c r="O8288" s="11" t="e">
        <f t="shared" si="1294"/>
        <v>#DIV/0!</v>
      </c>
      <c r="P8288" s="12">
        <f t="shared" si="1295"/>
        <v>0</v>
      </c>
      <c r="Q8288" s="17" t="str">
        <f t="shared" si="1297"/>
        <v>Pas d'écart</v>
      </c>
    </row>
    <row r="8289" spans="1:17" x14ac:dyDescent="0.3">
      <c r="A8289" s="34">
        <f>base!J8289</f>
        <v>0</v>
      </c>
      <c r="B8289" s="34">
        <f>base!V8289</f>
        <v>0</v>
      </c>
      <c r="C8289" s="40" t="s">
        <v>11</v>
      </c>
      <c r="D8289" s="36">
        <f>base!H8289</f>
        <v>0</v>
      </c>
      <c r="E8289" s="44"/>
      <c r="F8289" s="16">
        <f>base!W8289</f>
        <v>0</v>
      </c>
      <c r="G8289" s="11" t="e">
        <f t="shared" si="1289"/>
        <v>#DIV/0!</v>
      </c>
      <c r="H8289" s="11" t="e">
        <f t="shared" si="1290"/>
        <v>#N/A</v>
      </c>
      <c r="I8289" s="11" t="e">
        <f t="shared" si="1291"/>
        <v>#N/A</v>
      </c>
      <c r="J8289" s="12" t="e">
        <f t="shared" si="1292"/>
        <v>#N/A</v>
      </c>
      <c r="K8289" s="17" t="e">
        <f t="shared" si="1296"/>
        <v>#N/A</v>
      </c>
      <c r="L8289" s="16">
        <f>base!X8289</f>
        <v>0</v>
      </c>
      <c r="M8289" s="11" t="e">
        <f t="shared" si="1293"/>
        <v>#DIV/0!</v>
      </c>
      <c r="N8289" s="11"/>
      <c r="O8289" s="11" t="e">
        <f t="shared" si="1294"/>
        <v>#DIV/0!</v>
      </c>
      <c r="P8289" s="12">
        <f t="shared" si="1295"/>
        <v>0</v>
      </c>
      <c r="Q8289" s="17" t="str">
        <f t="shared" si="1297"/>
        <v>Pas d'écart</v>
      </c>
    </row>
    <row r="8290" spans="1:17" x14ac:dyDescent="0.3">
      <c r="A8290" s="34">
        <f>base!J8290</f>
        <v>0</v>
      </c>
      <c r="B8290" s="34">
        <f>base!V8290</f>
        <v>0</v>
      </c>
      <c r="C8290" s="40" t="s">
        <v>11</v>
      </c>
      <c r="D8290" s="36">
        <f>base!H8290</f>
        <v>0</v>
      </c>
      <c r="E8290" s="44"/>
      <c r="F8290" s="16">
        <f>base!W8290</f>
        <v>0</v>
      </c>
      <c r="G8290" s="11" t="e">
        <f t="shared" si="1289"/>
        <v>#DIV/0!</v>
      </c>
      <c r="H8290" s="11" t="e">
        <f t="shared" si="1290"/>
        <v>#N/A</v>
      </c>
      <c r="I8290" s="11" t="e">
        <f t="shared" si="1291"/>
        <v>#N/A</v>
      </c>
      <c r="J8290" s="12" t="e">
        <f t="shared" si="1292"/>
        <v>#N/A</v>
      </c>
      <c r="K8290" s="17" t="e">
        <f t="shared" si="1296"/>
        <v>#N/A</v>
      </c>
      <c r="L8290" s="16">
        <f>base!X8290</f>
        <v>0</v>
      </c>
      <c r="M8290" s="11" t="e">
        <f t="shared" si="1293"/>
        <v>#DIV/0!</v>
      </c>
      <c r="N8290" s="11"/>
      <c r="O8290" s="11" t="e">
        <f t="shared" si="1294"/>
        <v>#DIV/0!</v>
      </c>
      <c r="P8290" s="12">
        <f t="shared" si="1295"/>
        <v>0</v>
      </c>
      <c r="Q8290" s="17" t="str">
        <f t="shared" si="1297"/>
        <v>Pas d'écart</v>
      </c>
    </row>
    <row r="8291" spans="1:17" x14ac:dyDescent="0.3">
      <c r="A8291" s="34">
        <f>base!J8291</f>
        <v>0</v>
      </c>
      <c r="B8291" s="34">
        <f>base!V8291</f>
        <v>0</v>
      </c>
      <c r="C8291" s="40" t="s">
        <v>11</v>
      </c>
      <c r="D8291" s="36">
        <f>base!H8291</f>
        <v>0</v>
      </c>
      <c r="E8291" s="44"/>
      <c r="F8291" s="16">
        <f>base!W8291</f>
        <v>0</v>
      </c>
      <c r="G8291" s="11" t="e">
        <f t="shared" si="1289"/>
        <v>#DIV/0!</v>
      </c>
      <c r="H8291" s="11" t="e">
        <f t="shared" si="1290"/>
        <v>#N/A</v>
      </c>
      <c r="I8291" s="11" t="e">
        <f t="shared" si="1291"/>
        <v>#N/A</v>
      </c>
      <c r="J8291" s="12" t="e">
        <f t="shared" si="1292"/>
        <v>#N/A</v>
      </c>
      <c r="K8291" s="17" t="e">
        <f t="shared" si="1296"/>
        <v>#N/A</v>
      </c>
      <c r="L8291" s="16">
        <f>base!X8291</f>
        <v>0</v>
      </c>
      <c r="M8291" s="11" t="e">
        <f t="shared" si="1293"/>
        <v>#DIV/0!</v>
      </c>
      <c r="N8291" s="11"/>
      <c r="O8291" s="11" t="e">
        <f t="shared" si="1294"/>
        <v>#DIV/0!</v>
      </c>
      <c r="P8291" s="12">
        <f t="shared" si="1295"/>
        <v>0</v>
      </c>
      <c r="Q8291" s="17" t="str">
        <f t="shared" si="1297"/>
        <v>Pas d'écart</v>
      </c>
    </row>
    <row r="8292" spans="1:17" x14ac:dyDescent="0.3">
      <c r="A8292" s="34">
        <f>base!J8292</f>
        <v>0</v>
      </c>
      <c r="B8292" s="34">
        <f>base!V8292</f>
        <v>0</v>
      </c>
      <c r="C8292" s="40" t="s">
        <v>11</v>
      </c>
      <c r="D8292" s="36">
        <f>base!H8292</f>
        <v>0</v>
      </c>
      <c r="E8292" s="44"/>
      <c r="F8292" s="16">
        <f>base!W8292</f>
        <v>0</v>
      </c>
      <c r="G8292" s="11" t="e">
        <f t="shared" si="1289"/>
        <v>#DIV/0!</v>
      </c>
      <c r="H8292" s="11" t="e">
        <f t="shared" si="1290"/>
        <v>#N/A</v>
      </c>
      <c r="I8292" s="11" t="e">
        <f t="shared" si="1291"/>
        <v>#N/A</v>
      </c>
      <c r="J8292" s="12" t="e">
        <f t="shared" si="1292"/>
        <v>#N/A</v>
      </c>
      <c r="K8292" s="17" t="e">
        <f t="shared" si="1296"/>
        <v>#N/A</v>
      </c>
      <c r="L8292" s="16">
        <f>base!X8292</f>
        <v>0</v>
      </c>
      <c r="M8292" s="11" t="e">
        <f t="shared" si="1293"/>
        <v>#DIV/0!</v>
      </c>
      <c r="N8292" s="11"/>
      <c r="O8292" s="11" t="e">
        <f t="shared" si="1294"/>
        <v>#DIV/0!</v>
      </c>
      <c r="P8292" s="12">
        <f t="shared" si="1295"/>
        <v>0</v>
      </c>
      <c r="Q8292" s="17" t="str">
        <f t="shared" si="1297"/>
        <v>Pas d'écart</v>
      </c>
    </row>
    <row r="8293" spans="1:17" x14ac:dyDescent="0.3">
      <c r="A8293" s="34">
        <f>base!J8293</f>
        <v>0</v>
      </c>
      <c r="B8293" s="34">
        <f>base!V8293</f>
        <v>0</v>
      </c>
      <c r="C8293" s="40" t="s">
        <v>11</v>
      </c>
      <c r="D8293" s="36">
        <f>base!H8293</f>
        <v>0</v>
      </c>
      <c r="E8293" s="44"/>
      <c r="F8293" s="16">
        <f>base!W8293</f>
        <v>0</v>
      </c>
      <c r="G8293" s="11" t="e">
        <f t="shared" si="1289"/>
        <v>#DIV/0!</v>
      </c>
      <c r="H8293" s="11" t="e">
        <f t="shared" si="1290"/>
        <v>#N/A</v>
      </c>
      <c r="I8293" s="11" t="e">
        <f t="shared" si="1291"/>
        <v>#N/A</v>
      </c>
      <c r="J8293" s="12" t="e">
        <f t="shared" si="1292"/>
        <v>#N/A</v>
      </c>
      <c r="K8293" s="17" t="e">
        <f t="shared" si="1296"/>
        <v>#N/A</v>
      </c>
      <c r="L8293" s="16">
        <f>base!X8293</f>
        <v>0</v>
      </c>
      <c r="M8293" s="11" t="e">
        <f t="shared" si="1293"/>
        <v>#DIV/0!</v>
      </c>
      <c r="N8293" s="11"/>
      <c r="O8293" s="11" t="e">
        <f t="shared" si="1294"/>
        <v>#DIV/0!</v>
      </c>
      <c r="P8293" s="12">
        <f t="shared" si="1295"/>
        <v>0</v>
      </c>
      <c r="Q8293" s="17" t="str">
        <f t="shared" si="1297"/>
        <v>Pas d'écart</v>
      </c>
    </row>
    <row r="8294" spans="1:17" x14ac:dyDescent="0.3">
      <c r="A8294" s="34">
        <f>base!J8294</f>
        <v>0</v>
      </c>
      <c r="B8294" s="34">
        <f>base!V8294</f>
        <v>0</v>
      </c>
      <c r="C8294" s="40" t="s">
        <v>11</v>
      </c>
      <c r="D8294" s="36">
        <f>base!H8294</f>
        <v>0</v>
      </c>
      <c r="E8294" s="44"/>
      <c r="F8294" s="16">
        <f>base!W8294</f>
        <v>0</v>
      </c>
      <c r="G8294" s="11" t="e">
        <f t="shared" si="1289"/>
        <v>#DIV/0!</v>
      </c>
      <c r="H8294" s="11" t="e">
        <f t="shared" si="1290"/>
        <v>#N/A</v>
      </c>
      <c r="I8294" s="11" t="e">
        <f t="shared" si="1291"/>
        <v>#N/A</v>
      </c>
      <c r="J8294" s="12" t="e">
        <f t="shared" si="1292"/>
        <v>#N/A</v>
      </c>
      <c r="K8294" s="17" t="e">
        <f t="shared" si="1296"/>
        <v>#N/A</v>
      </c>
      <c r="L8294" s="16">
        <f>base!X8294</f>
        <v>0</v>
      </c>
      <c r="M8294" s="11" t="e">
        <f t="shared" si="1293"/>
        <v>#DIV/0!</v>
      </c>
      <c r="N8294" s="11"/>
      <c r="O8294" s="11" t="e">
        <f t="shared" si="1294"/>
        <v>#DIV/0!</v>
      </c>
      <c r="P8294" s="12">
        <f t="shared" si="1295"/>
        <v>0</v>
      </c>
      <c r="Q8294" s="17" t="str">
        <f t="shared" si="1297"/>
        <v>Pas d'écart</v>
      </c>
    </row>
    <row r="8295" spans="1:17" x14ac:dyDescent="0.3">
      <c r="A8295" s="34">
        <f>base!J8295</f>
        <v>0</v>
      </c>
      <c r="B8295" s="34">
        <f>base!V8295</f>
        <v>0</v>
      </c>
      <c r="C8295" s="40" t="s">
        <v>11</v>
      </c>
      <c r="D8295" s="36">
        <f>base!H8295</f>
        <v>0</v>
      </c>
      <c r="E8295" s="44"/>
      <c r="F8295" s="16">
        <f>base!W8295</f>
        <v>0</v>
      </c>
      <c r="G8295" s="11" t="e">
        <f t="shared" si="1289"/>
        <v>#DIV/0!</v>
      </c>
      <c r="H8295" s="11" t="e">
        <f t="shared" si="1290"/>
        <v>#N/A</v>
      </c>
      <c r="I8295" s="11" t="e">
        <f t="shared" si="1291"/>
        <v>#N/A</v>
      </c>
      <c r="J8295" s="12" t="e">
        <f t="shared" si="1292"/>
        <v>#N/A</v>
      </c>
      <c r="K8295" s="17" t="e">
        <f t="shared" si="1296"/>
        <v>#N/A</v>
      </c>
      <c r="L8295" s="16">
        <f>base!X8295</f>
        <v>0</v>
      </c>
      <c r="M8295" s="11" t="e">
        <f t="shared" si="1293"/>
        <v>#DIV/0!</v>
      </c>
      <c r="N8295" s="11"/>
      <c r="O8295" s="11" t="e">
        <f t="shared" si="1294"/>
        <v>#DIV/0!</v>
      </c>
      <c r="P8295" s="12">
        <f t="shared" si="1295"/>
        <v>0</v>
      </c>
      <c r="Q8295" s="17" t="str">
        <f t="shared" si="1297"/>
        <v>Pas d'écart</v>
      </c>
    </row>
    <row r="8296" spans="1:17" x14ac:dyDescent="0.3">
      <c r="A8296" s="34">
        <f>base!J8296</f>
        <v>0</v>
      </c>
      <c r="B8296" s="34">
        <f>base!V8296</f>
        <v>0</v>
      </c>
      <c r="C8296" s="40" t="s">
        <v>11</v>
      </c>
      <c r="D8296" s="36">
        <f>base!H8296</f>
        <v>0</v>
      </c>
      <c r="E8296" s="44"/>
      <c r="F8296" s="16">
        <f>base!W8296</f>
        <v>0</v>
      </c>
      <c r="G8296" s="11" t="e">
        <f t="shared" si="1289"/>
        <v>#DIV/0!</v>
      </c>
      <c r="H8296" s="11" t="e">
        <f t="shared" si="1290"/>
        <v>#N/A</v>
      </c>
      <c r="I8296" s="11" t="e">
        <f t="shared" si="1291"/>
        <v>#N/A</v>
      </c>
      <c r="J8296" s="12" t="e">
        <f t="shared" si="1292"/>
        <v>#N/A</v>
      </c>
      <c r="K8296" s="17" t="e">
        <f t="shared" si="1296"/>
        <v>#N/A</v>
      </c>
      <c r="L8296" s="16">
        <f>base!X8296</f>
        <v>0</v>
      </c>
      <c r="M8296" s="11" t="e">
        <f t="shared" si="1293"/>
        <v>#DIV/0!</v>
      </c>
      <c r="N8296" s="11"/>
      <c r="O8296" s="11" t="e">
        <f t="shared" si="1294"/>
        <v>#DIV/0!</v>
      </c>
      <c r="P8296" s="12">
        <f t="shared" si="1295"/>
        <v>0</v>
      </c>
      <c r="Q8296" s="17" t="str">
        <f t="shared" si="1297"/>
        <v>Pas d'écart</v>
      </c>
    </row>
    <row r="8297" spans="1:17" x14ac:dyDescent="0.3">
      <c r="A8297" s="34">
        <f>base!J8297</f>
        <v>0</v>
      </c>
      <c r="B8297" s="34">
        <f>base!V8297</f>
        <v>0</v>
      </c>
      <c r="C8297" s="40" t="s">
        <v>11</v>
      </c>
      <c r="D8297" s="36">
        <f>base!H8297</f>
        <v>0</v>
      </c>
      <c r="E8297" s="44"/>
      <c r="F8297" s="16">
        <f>base!W8297</f>
        <v>0</v>
      </c>
      <c r="G8297" s="11" t="e">
        <f t="shared" si="1289"/>
        <v>#DIV/0!</v>
      </c>
      <c r="H8297" s="11" t="e">
        <f t="shared" si="1290"/>
        <v>#N/A</v>
      </c>
      <c r="I8297" s="11" t="e">
        <f t="shared" si="1291"/>
        <v>#N/A</v>
      </c>
      <c r="J8297" s="12" t="e">
        <f t="shared" si="1292"/>
        <v>#N/A</v>
      </c>
      <c r="K8297" s="17" t="e">
        <f t="shared" si="1296"/>
        <v>#N/A</v>
      </c>
      <c r="L8297" s="16">
        <f>base!X8297</f>
        <v>0</v>
      </c>
      <c r="M8297" s="11" t="e">
        <f t="shared" si="1293"/>
        <v>#DIV/0!</v>
      </c>
      <c r="N8297" s="11"/>
      <c r="O8297" s="11" t="e">
        <f t="shared" si="1294"/>
        <v>#DIV/0!</v>
      </c>
      <c r="P8297" s="12">
        <f t="shared" si="1295"/>
        <v>0</v>
      </c>
      <c r="Q8297" s="17" t="str">
        <f t="shared" si="1297"/>
        <v>Pas d'écart</v>
      </c>
    </row>
    <row r="8298" spans="1:17" x14ac:dyDescent="0.3">
      <c r="A8298" s="34">
        <f>base!J8298</f>
        <v>0</v>
      </c>
      <c r="B8298" s="34">
        <f>base!V8298</f>
        <v>0</v>
      </c>
      <c r="C8298" s="40" t="s">
        <v>11</v>
      </c>
      <c r="D8298" s="36">
        <f>base!H8298</f>
        <v>0</v>
      </c>
      <c r="E8298" s="44"/>
      <c r="F8298" s="16">
        <f>base!W8298</f>
        <v>0</v>
      </c>
      <c r="G8298" s="11" t="e">
        <f t="shared" si="1289"/>
        <v>#DIV/0!</v>
      </c>
      <c r="H8298" s="11" t="e">
        <f t="shared" si="1290"/>
        <v>#N/A</v>
      </c>
      <c r="I8298" s="11" t="e">
        <f t="shared" si="1291"/>
        <v>#N/A</v>
      </c>
      <c r="J8298" s="12" t="e">
        <f t="shared" si="1292"/>
        <v>#N/A</v>
      </c>
      <c r="K8298" s="17" t="e">
        <f t="shared" si="1296"/>
        <v>#N/A</v>
      </c>
      <c r="L8298" s="16">
        <f>base!X8298</f>
        <v>0</v>
      </c>
      <c r="M8298" s="11" t="e">
        <f t="shared" si="1293"/>
        <v>#DIV/0!</v>
      </c>
      <c r="N8298" s="11"/>
      <c r="O8298" s="11" t="e">
        <f t="shared" si="1294"/>
        <v>#DIV/0!</v>
      </c>
      <c r="P8298" s="12">
        <f t="shared" si="1295"/>
        <v>0</v>
      </c>
      <c r="Q8298" s="17" t="str">
        <f t="shared" si="1297"/>
        <v>Pas d'écart</v>
      </c>
    </row>
    <row r="8299" spans="1:17" x14ac:dyDescent="0.3">
      <c r="A8299" s="34">
        <f>base!J8299</f>
        <v>0</v>
      </c>
      <c r="B8299" s="34">
        <f>base!V8299</f>
        <v>0</v>
      </c>
      <c r="C8299" s="40" t="s">
        <v>11</v>
      </c>
      <c r="D8299" s="36">
        <f>base!H8299</f>
        <v>0</v>
      </c>
      <c r="E8299" s="44"/>
      <c r="F8299" s="16">
        <f>base!W8299</f>
        <v>0</v>
      </c>
      <c r="G8299" s="11" t="e">
        <f t="shared" si="1289"/>
        <v>#DIV/0!</v>
      </c>
      <c r="H8299" s="11" t="e">
        <f t="shared" si="1290"/>
        <v>#N/A</v>
      </c>
      <c r="I8299" s="11" t="e">
        <f t="shared" si="1291"/>
        <v>#N/A</v>
      </c>
      <c r="J8299" s="12" t="e">
        <f t="shared" si="1292"/>
        <v>#N/A</v>
      </c>
      <c r="K8299" s="17" t="e">
        <f t="shared" si="1296"/>
        <v>#N/A</v>
      </c>
      <c r="L8299" s="16">
        <f>base!X8299</f>
        <v>0</v>
      </c>
      <c r="M8299" s="11" t="e">
        <f t="shared" si="1293"/>
        <v>#DIV/0!</v>
      </c>
      <c r="N8299" s="11"/>
      <c r="O8299" s="11" t="e">
        <f t="shared" si="1294"/>
        <v>#DIV/0!</v>
      </c>
      <c r="P8299" s="12">
        <f t="shared" si="1295"/>
        <v>0</v>
      </c>
      <c r="Q8299" s="17" t="str">
        <f t="shared" si="1297"/>
        <v>Pas d'écart</v>
      </c>
    </row>
    <row r="8300" spans="1:17" x14ac:dyDescent="0.3">
      <c r="A8300" s="34">
        <f>base!J8300</f>
        <v>0</v>
      </c>
      <c r="B8300" s="34">
        <f>base!V8300</f>
        <v>0</v>
      </c>
      <c r="C8300" s="40" t="s">
        <v>11</v>
      </c>
      <c r="D8300" s="36">
        <f>base!H8300</f>
        <v>0</v>
      </c>
      <c r="E8300" s="44"/>
      <c r="F8300" s="16">
        <f>base!W8300</f>
        <v>0</v>
      </c>
      <c r="G8300" s="11" t="e">
        <f t="shared" si="1289"/>
        <v>#DIV/0!</v>
      </c>
      <c r="H8300" s="11" t="e">
        <f t="shared" si="1290"/>
        <v>#N/A</v>
      </c>
      <c r="I8300" s="11" t="e">
        <f t="shared" si="1291"/>
        <v>#N/A</v>
      </c>
      <c r="J8300" s="12" t="e">
        <f t="shared" si="1292"/>
        <v>#N/A</v>
      </c>
      <c r="K8300" s="17" t="e">
        <f t="shared" si="1296"/>
        <v>#N/A</v>
      </c>
      <c r="L8300" s="16">
        <f>base!X8300</f>
        <v>0</v>
      </c>
      <c r="M8300" s="11" t="e">
        <f t="shared" si="1293"/>
        <v>#DIV/0!</v>
      </c>
      <c r="N8300" s="11"/>
      <c r="O8300" s="11" t="e">
        <f t="shared" si="1294"/>
        <v>#DIV/0!</v>
      </c>
      <c r="P8300" s="12">
        <f t="shared" si="1295"/>
        <v>0</v>
      </c>
      <c r="Q8300" s="17" t="str">
        <f t="shared" si="1297"/>
        <v>Pas d'écart</v>
      </c>
    </row>
    <row r="8301" spans="1:17" x14ac:dyDescent="0.3">
      <c r="A8301" s="34">
        <f>base!J8301</f>
        <v>0</v>
      </c>
      <c r="B8301" s="34">
        <f>base!V8301</f>
        <v>0</v>
      </c>
      <c r="C8301" s="40" t="s">
        <v>11</v>
      </c>
      <c r="D8301" s="36">
        <f>base!H8301</f>
        <v>0</v>
      </c>
      <c r="E8301" s="44"/>
      <c r="F8301" s="16">
        <f>base!W8301</f>
        <v>0</v>
      </c>
      <c r="G8301" s="11" t="e">
        <f t="shared" si="1289"/>
        <v>#DIV/0!</v>
      </c>
      <c r="H8301" s="11" t="e">
        <f t="shared" si="1290"/>
        <v>#N/A</v>
      </c>
      <c r="I8301" s="11" t="e">
        <f t="shared" si="1291"/>
        <v>#N/A</v>
      </c>
      <c r="J8301" s="12" t="e">
        <f t="shared" si="1292"/>
        <v>#N/A</v>
      </c>
      <c r="K8301" s="17" t="e">
        <f t="shared" si="1296"/>
        <v>#N/A</v>
      </c>
      <c r="L8301" s="16">
        <f>base!X8301</f>
        <v>0</v>
      </c>
      <c r="M8301" s="11" t="e">
        <f t="shared" si="1293"/>
        <v>#DIV/0!</v>
      </c>
      <c r="N8301" s="11"/>
      <c r="O8301" s="11" t="e">
        <f t="shared" si="1294"/>
        <v>#DIV/0!</v>
      </c>
      <c r="P8301" s="12">
        <f t="shared" si="1295"/>
        <v>0</v>
      </c>
      <c r="Q8301" s="17" t="str">
        <f t="shared" si="1297"/>
        <v>Pas d'écart</v>
      </c>
    </row>
    <row r="8302" spans="1:17" x14ac:dyDescent="0.3">
      <c r="A8302" s="34">
        <f>base!J8302</f>
        <v>0</v>
      </c>
      <c r="B8302" s="34">
        <f>base!V8302</f>
        <v>0</v>
      </c>
      <c r="C8302" s="40" t="s">
        <v>11</v>
      </c>
      <c r="D8302" s="36">
        <f>base!H8302</f>
        <v>0</v>
      </c>
      <c r="E8302" s="44"/>
      <c r="F8302" s="16">
        <f>base!W8302</f>
        <v>0</v>
      </c>
      <c r="G8302" s="11" t="e">
        <f t="shared" si="1289"/>
        <v>#DIV/0!</v>
      </c>
      <c r="H8302" s="11" t="e">
        <f t="shared" si="1290"/>
        <v>#N/A</v>
      </c>
      <c r="I8302" s="11" t="e">
        <f t="shared" si="1291"/>
        <v>#N/A</v>
      </c>
      <c r="J8302" s="12" t="e">
        <f t="shared" si="1292"/>
        <v>#N/A</v>
      </c>
      <c r="K8302" s="17" t="e">
        <f t="shared" si="1296"/>
        <v>#N/A</v>
      </c>
      <c r="L8302" s="16">
        <f>base!X8302</f>
        <v>0</v>
      </c>
      <c r="M8302" s="11" t="e">
        <f t="shared" si="1293"/>
        <v>#DIV/0!</v>
      </c>
      <c r="N8302" s="11"/>
      <c r="O8302" s="11" t="e">
        <f t="shared" si="1294"/>
        <v>#DIV/0!</v>
      </c>
      <c r="P8302" s="12">
        <f t="shared" si="1295"/>
        <v>0</v>
      </c>
      <c r="Q8302" s="17" t="str">
        <f t="shared" si="1297"/>
        <v>Pas d'écart</v>
      </c>
    </row>
    <row r="8303" spans="1:17" x14ac:dyDescent="0.3">
      <c r="A8303" s="34">
        <f>base!J8303</f>
        <v>0</v>
      </c>
      <c r="B8303" s="34">
        <f>base!V8303</f>
        <v>0</v>
      </c>
      <c r="C8303" s="40" t="s">
        <v>11</v>
      </c>
      <c r="D8303" s="36">
        <f>base!H8303</f>
        <v>0</v>
      </c>
      <c r="E8303" s="44"/>
      <c r="F8303" s="16">
        <f>base!W8303</f>
        <v>0</v>
      </c>
      <c r="G8303" s="11" t="e">
        <f t="shared" si="1289"/>
        <v>#DIV/0!</v>
      </c>
      <c r="H8303" s="11" t="e">
        <f t="shared" si="1290"/>
        <v>#N/A</v>
      </c>
      <c r="I8303" s="11" t="e">
        <f t="shared" si="1291"/>
        <v>#N/A</v>
      </c>
      <c r="J8303" s="12" t="e">
        <f t="shared" si="1292"/>
        <v>#N/A</v>
      </c>
      <c r="K8303" s="17" t="e">
        <f t="shared" si="1296"/>
        <v>#N/A</v>
      </c>
      <c r="L8303" s="16">
        <f>base!X8303</f>
        <v>0</v>
      </c>
      <c r="M8303" s="11" t="e">
        <f t="shared" si="1293"/>
        <v>#DIV/0!</v>
      </c>
      <c r="N8303" s="11"/>
      <c r="O8303" s="11" t="e">
        <f t="shared" si="1294"/>
        <v>#DIV/0!</v>
      </c>
      <c r="P8303" s="12">
        <f t="shared" si="1295"/>
        <v>0</v>
      </c>
      <c r="Q8303" s="17" t="str">
        <f t="shared" si="1297"/>
        <v>Pas d'écart</v>
      </c>
    </row>
    <row r="8304" spans="1:17" x14ac:dyDescent="0.3">
      <c r="A8304" s="34">
        <f>base!J8304</f>
        <v>0</v>
      </c>
      <c r="B8304" s="34">
        <f>base!V8304</f>
        <v>0</v>
      </c>
      <c r="C8304" s="40" t="s">
        <v>11</v>
      </c>
      <c r="D8304" s="36">
        <f>base!H8304</f>
        <v>0</v>
      </c>
      <c r="E8304" s="44"/>
      <c r="F8304" s="16">
        <f>base!W8304</f>
        <v>0</v>
      </c>
      <c r="G8304" s="11" t="e">
        <f t="shared" si="1289"/>
        <v>#DIV/0!</v>
      </c>
      <c r="H8304" s="11" t="e">
        <f t="shared" si="1290"/>
        <v>#N/A</v>
      </c>
      <c r="I8304" s="11" t="e">
        <f t="shared" si="1291"/>
        <v>#N/A</v>
      </c>
      <c r="J8304" s="12" t="e">
        <f t="shared" si="1292"/>
        <v>#N/A</v>
      </c>
      <c r="K8304" s="17" t="e">
        <f t="shared" si="1296"/>
        <v>#N/A</v>
      </c>
      <c r="L8304" s="16">
        <f>base!X8304</f>
        <v>0</v>
      </c>
      <c r="M8304" s="11" t="e">
        <f t="shared" si="1293"/>
        <v>#DIV/0!</v>
      </c>
      <c r="N8304" s="11"/>
      <c r="O8304" s="11" t="e">
        <f t="shared" si="1294"/>
        <v>#DIV/0!</v>
      </c>
      <c r="P8304" s="12">
        <f t="shared" si="1295"/>
        <v>0</v>
      </c>
      <c r="Q8304" s="17" t="str">
        <f t="shared" si="1297"/>
        <v>Pas d'écart</v>
      </c>
    </row>
    <row r="8305" spans="1:17" x14ac:dyDescent="0.3">
      <c r="A8305" s="34">
        <f>base!J8305</f>
        <v>0</v>
      </c>
      <c r="B8305" s="34">
        <f>base!V8305</f>
        <v>0</v>
      </c>
      <c r="C8305" s="40" t="s">
        <v>11</v>
      </c>
      <c r="D8305" s="36">
        <f>base!H8305</f>
        <v>0</v>
      </c>
      <c r="E8305" s="44"/>
      <c r="F8305" s="16">
        <f>base!W8305</f>
        <v>0</v>
      </c>
      <c r="G8305" s="11" t="e">
        <f t="shared" si="1289"/>
        <v>#DIV/0!</v>
      </c>
      <c r="H8305" s="11" t="e">
        <f t="shared" si="1290"/>
        <v>#N/A</v>
      </c>
      <c r="I8305" s="11" t="e">
        <f t="shared" si="1291"/>
        <v>#N/A</v>
      </c>
      <c r="J8305" s="12" t="e">
        <f t="shared" si="1292"/>
        <v>#N/A</v>
      </c>
      <c r="K8305" s="17" t="e">
        <f t="shared" si="1296"/>
        <v>#N/A</v>
      </c>
      <c r="L8305" s="16">
        <f>base!X8305</f>
        <v>0</v>
      </c>
      <c r="M8305" s="11" t="e">
        <f t="shared" si="1293"/>
        <v>#DIV/0!</v>
      </c>
      <c r="N8305" s="11"/>
      <c r="O8305" s="11" t="e">
        <f t="shared" si="1294"/>
        <v>#DIV/0!</v>
      </c>
      <c r="P8305" s="12">
        <f t="shared" si="1295"/>
        <v>0</v>
      </c>
      <c r="Q8305" s="17" t="str">
        <f t="shared" si="1297"/>
        <v>Pas d'écart</v>
      </c>
    </row>
    <row r="8306" spans="1:17" x14ac:dyDescent="0.3">
      <c r="A8306" s="34">
        <f>base!J8306</f>
        <v>0</v>
      </c>
      <c r="B8306" s="34">
        <f>base!V8306</f>
        <v>0</v>
      </c>
      <c r="C8306" s="40" t="s">
        <v>11</v>
      </c>
      <c r="D8306" s="36">
        <f>base!H8306</f>
        <v>0</v>
      </c>
      <c r="E8306" s="44"/>
      <c r="F8306" s="16">
        <f>base!W8306</f>
        <v>0</v>
      </c>
      <c r="G8306" s="11" t="e">
        <f t="shared" si="1289"/>
        <v>#DIV/0!</v>
      </c>
      <c r="H8306" s="11" t="e">
        <f t="shared" si="1290"/>
        <v>#N/A</v>
      </c>
      <c r="I8306" s="11" t="e">
        <f t="shared" si="1291"/>
        <v>#N/A</v>
      </c>
      <c r="J8306" s="12" t="e">
        <f t="shared" si="1292"/>
        <v>#N/A</v>
      </c>
      <c r="K8306" s="17" t="e">
        <f t="shared" si="1296"/>
        <v>#N/A</v>
      </c>
      <c r="L8306" s="16">
        <f>base!X8306</f>
        <v>0</v>
      </c>
      <c r="M8306" s="11" t="e">
        <f t="shared" si="1293"/>
        <v>#DIV/0!</v>
      </c>
      <c r="N8306" s="11"/>
      <c r="O8306" s="11" t="e">
        <f t="shared" si="1294"/>
        <v>#DIV/0!</v>
      </c>
      <c r="P8306" s="12">
        <f t="shared" si="1295"/>
        <v>0</v>
      </c>
      <c r="Q8306" s="17" t="str">
        <f t="shared" si="1297"/>
        <v>Pas d'écart</v>
      </c>
    </row>
    <row r="8307" spans="1:17" x14ac:dyDescent="0.3">
      <c r="A8307" s="34">
        <f>base!J8307</f>
        <v>0</v>
      </c>
      <c r="B8307" s="34">
        <f>base!V8307</f>
        <v>0</v>
      </c>
      <c r="C8307" s="40" t="s">
        <v>11</v>
      </c>
      <c r="D8307" s="36">
        <f>base!H8307</f>
        <v>0</v>
      </c>
      <c r="E8307" s="44"/>
      <c r="F8307" s="16">
        <f>base!W8307</f>
        <v>0</v>
      </c>
      <c r="G8307" s="11" t="e">
        <f t="shared" si="1289"/>
        <v>#DIV/0!</v>
      </c>
      <c r="H8307" s="11" t="e">
        <f t="shared" si="1290"/>
        <v>#N/A</v>
      </c>
      <c r="I8307" s="11" t="e">
        <f t="shared" si="1291"/>
        <v>#N/A</v>
      </c>
      <c r="J8307" s="12" t="e">
        <f t="shared" si="1292"/>
        <v>#N/A</v>
      </c>
      <c r="K8307" s="17" t="e">
        <f t="shared" si="1296"/>
        <v>#N/A</v>
      </c>
      <c r="L8307" s="16">
        <f>base!X8307</f>
        <v>0</v>
      </c>
      <c r="M8307" s="11" t="e">
        <f t="shared" si="1293"/>
        <v>#DIV/0!</v>
      </c>
      <c r="N8307" s="11"/>
      <c r="O8307" s="11" t="e">
        <f t="shared" si="1294"/>
        <v>#DIV/0!</v>
      </c>
      <c r="P8307" s="12">
        <f t="shared" si="1295"/>
        <v>0</v>
      </c>
      <c r="Q8307" s="17" t="str">
        <f t="shared" si="1297"/>
        <v>Pas d'écart</v>
      </c>
    </row>
    <row r="8308" spans="1:17" x14ac:dyDescent="0.3">
      <c r="A8308" s="34">
        <f>base!J8308</f>
        <v>0</v>
      </c>
      <c r="B8308" s="34">
        <f>base!V8308</f>
        <v>0</v>
      </c>
      <c r="C8308" s="40" t="s">
        <v>11</v>
      </c>
      <c r="D8308" s="36">
        <f>base!H8308</f>
        <v>0</v>
      </c>
      <c r="E8308" s="44"/>
      <c r="F8308" s="16">
        <f>base!W8308</f>
        <v>0</v>
      </c>
      <c r="G8308" s="11" t="e">
        <f t="shared" si="1289"/>
        <v>#DIV/0!</v>
      </c>
      <c r="H8308" s="11" t="e">
        <f t="shared" si="1290"/>
        <v>#N/A</v>
      </c>
      <c r="I8308" s="11" t="e">
        <f t="shared" si="1291"/>
        <v>#N/A</v>
      </c>
      <c r="J8308" s="12" t="e">
        <f t="shared" si="1292"/>
        <v>#N/A</v>
      </c>
      <c r="K8308" s="17" t="e">
        <f t="shared" si="1296"/>
        <v>#N/A</v>
      </c>
      <c r="L8308" s="16">
        <f>base!X8308</f>
        <v>0</v>
      </c>
      <c r="M8308" s="11" t="e">
        <f t="shared" si="1293"/>
        <v>#DIV/0!</v>
      </c>
      <c r="N8308" s="11"/>
      <c r="O8308" s="11" t="e">
        <f t="shared" si="1294"/>
        <v>#DIV/0!</v>
      </c>
      <c r="P8308" s="12">
        <f t="shared" si="1295"/>
        <v>0</v>
      </c>
      <c r="Q8308" s="17" t="str">
        <f t="shared" si="1297"/>
        <v>Pas d'écart</v>
      </c>
    </row>
    <row r="8309" spans="1:17" x14ac:dyDescent="0.3">
      <c r="A8309" s="34">
        <f>base!J8309</f>
        <v>0</v>
      </c>
      <c r="B8309" s="34">
        <f>base!V8309</f>
        <v>0</v>
      </c>
      <c r="C8309" s="40" t="s">
        <v>11</v>
      </c>
      <c r="D8309" s="36">
        <f>base!H8309</f>
        <v>0</v>
      </c>
      <c r="E8309" s="44"/>
      <c r="F8309" s="16">
        <f>base!W8309</f>
        <v>0</v>
      </c>
      <c r="G8309" s="11" t="e">
        <f t="shared" si="1289"/>
        <v>#DIV/0!</v>
      </c>
      <c r="H8309" s="11" t="e">
        <f t="shared" si="1290"/>
        <v>#N/A</v>
      </c>
      <c r="I8309" s="11" t="e">
        <f t="shared" si="1291"/>
        <v>#N/A</v>
      </c>
      <c r="J8309" s="12" t="e">
        <f t="shared" si="1292"/>
        <v>#N/A</v>
      </c>
      <c r="K8309" s="17" t="e">
        <f t="shared" si="1296"/>
        <v>#N/A</v>
      </c>
      <c r="L8309" s="16">
        <f>base!X8309</f>
        <v>0</v>
      </c>
      <c r="M8309" s="11" t="e">
        <f t="shared" si="1293"/>
        <v>#DIV/0!</v>
      </c>
      <c r="N8309" s="11"/>
      <c r="O8309" s="11" t="e">
        <f t="shared" si="1294"/>
        <v>#DIV/0!</v>
      </c>
      <c r="P8309" s="12">
        <f t="shared" si="1295"/>
        <v>0</v>
      </c>
      <c r="Q8309" s="17" t="str">
        <f t="shared" si="1297"/>
        <v>Pas d'écart</v>
      </c>
    </row>
    <row r="8310" spans="1:17" x14ac:dyDescent="0.3">
      <c r="A8310" s="34">
        <f>base!J8310</f>
        <v>0</v>
      </c>
      <c r="B8310" s="34">
        <f>base!V8310</f>
        <v>0</v>
      </c>
      <c r="C8310" s="40" t="s">
        <v>11</v>
      </c>
      <c r="D8310" s="36">
        <f>base!H8310</f>
        <v>0</v>
      </c>
      <c r="E8310" s="44"/>
      <c r="F8310" s="16">
        <f>base!W8310</f>
        <v>0</v>
      </c>
      <c r="G8310" s="11" t="e">
        <f t="shared" si="1289"/>
        <v>#DIV/0!</v>
      </c>
      <c r="H8310" s="11" t="e">
        <f t="shared" si="1290"/>
        <v>#N/A</v>
      </c>
      <c r="I8310" s="11" t="e">
        <f t="shared" si="1291"/>
        <v>#N/A</v>
      </c>
      <c r="J8310" s="12" t="e">
        <f t="shared" si="1292"/>
        <v>#N/A</v>
      </c>
      <c r="K8310" s="17" t="e">
        <f t="shared" si="1296"/>
        <v>#N/A</v>
      </c>
      <c r="L8310" s="16">
        <f>base!X8310</f>
        <v>0</v>
      </c>
      <c r="M8310" s="11" t="e">
        <f t="shared" si="1293"/>
        <v>#DIV/0!</v>
      </c>
      <c r="N8310" s="11"/>
      <c r="O8310" s="11" t="e">
        <f t="shared" si="1294"/>
        <v>#DIV/0!</v>
      </c>
      <c r="P8310" s="12">
        <f t="shared" si="1295"/>
        <v>0</v>
      </c>
      <c r="Q8310" s="17" t="str">
        <f t="shared" si="1297"/>
        <v>Pas d'écart</v>
      </c>
    </row>
    <row r="8311" spans="1:17" x14ac:dyDescent="0.3">
      <c r="A8311" s="34">
        <f>base!J8311</f>
        <v>0</v>
      </c>
      <c r="B8311" s="34">
        <f>base!V8311</f>
        <v>0</v>
      </c>
      <c r="C8311" s="40" t="s">
        <v>11</v>
      </c>
      <c r="D8311" s="36">
        <f>base!H8311</f>
        <v>0</v>
      </c>
      <c r="E8311" s="44"/>
      <c r="F8311" s="16">
        <f>base!W8311</f>
        <v>0</v>
      </c>
      <c r="G8311" s="11" t="e">
        <f t="shared" si="1289"/>
        <v>#DIV/0!</v>
      </c>
      <c r="H8311" s="11" t="e">
        <f t="shared" si="1290"/>
        <v>#N/A</v>
      </c>
      <c r="I8311" s="11" t="e">
        <f t="shared" si="1291"/>
        <v>#N/A</v>
      </c>
      <c r="J8311" s="12" t="e">
        <f t="shared" si="1292"/>
        <v>#N/A</v>
      </c>
      <c r="K8311" s="17" t="e">
        <f t="shared" si="1296"/>
        <v>#N/A</v>
      </c>
      <c r="L8311" s="16">
        <f>base!X8311</f>
        <v>0</v>
      </c>
      <c r="M8311" s="11" t="e">
        <f t="shared" si="1293"/>
        <v>#DIV/0!</v>
      </c>
      <c r="N8311" s="11"/>
      <c r="O8311" s="11" t="e">
        <f t="shared" si="1294"/>
        <v>#DIV/0!</v>
      </c>
      <c r="P8311" s="12">
        <f t="shared" si="1295"/>
        <v>0</v>
      </c>
      <c r="Q8311" s="17" t="str">
        <f t="shared" si="1297"/>
        <v>Pas d'écart</v>
      </c>
    </row>
    <row r="8312" spans="1:17" x14ac:dyDescent="0.3">
      <c r="A8312" s="34">
        <f>base!J8312</f>
        <v>0</v>
      </c>
      <c r="B8312" s="34">
        <f>base!V8312</f>
        <v>0</v>
      </c>
      <c r="C8312" s="40" t="s">
        <v>11</v>
      </c>
      <c r="D8312" s="36">
        <f>base!H8312</f>
        <v>0</v>
      </c>
      <c r="E8312" s="44"/>
      <c r="F8312" s="16">
        <f>base!W8312</f>
        <v>0</v>
      </c>
      <c r="G8312" s="11" t="e">
        <f t="shared" si="1289"/>
        <v>#DIV/0!</v>
      </c>
      <c r="H8312" s="11" t="e">
        <f t="shared" si="1290"/>
        <v>#N/A</v>
      </c>
      <c r="I8312" s="11" t="e">
        <f t="shared" si="1291"/>
        <v>#N/A</v>
      </c>
      <c r="J8312" s="12" t="e">
        <f t="shared" si="1292"/>
        <v>#N/A</v>
      </c>
      <c r="K8312" s="17" t="e">
        <f t="shared" si="1296"/>
        <v>#N/A</v>
      </c>
      <c r="L8312" s="16">
        <f>base!X8312</f>
        <v>0</v>
      </c>
      <c r="M8312" s="11" t="e">
        <f t="shared" si="1293"/>
        <v>#DIV/0!</v>
      </c>
      <c r="N8312" s="11"/>
      <c r="O8312" s="11" t="e">
        <f t="shared" si="1294"/>
        <v>#DIV/0!</v>
      </c>
      <c r="P8312" s="12">
        <f t="shared" si="1295"/>
        <v>0</v>
      </c>
      <c r="Q8312" s="17" t="str">
        <f t="shared" si="1297"/>
        <v>Pas d'écart</v>
      </c>
    </row>
    <row r="8313" spans="1:17" x14ac:dyDescent="0.3">
      <c r="A8313" s="34">
        <f>base!J8313</f>
        <v>0</v>
      </c>
      <c r="B8313" s="34">
        <f>base!V8313</f>
        <v>0</v>
      </c>
      <c r="C8313" s="40" t="s">
        <v>11</v>
      </c>
      <c r="D8313" s="36">
        <f>base!H8313</f>
        <v>0</v>
      </c>
      <c r="E8313" s="44"/>
      <c r="F8313" s="16">
        <f>base!W8313</f>
        <v>0</v>
      </c>
      <c r="G8313" s="11" t="e">
        <f t="shared" si="1289"/>
        <v>#DIV/0!</v>
      </c>
      <c r="H8313" s="11" t="e">
        <f t="shared" si="1290"/>
        <v>#N/A</v>
      </c>
      <c r="I8313" s="11" t="e">
        <f t="shared" si="1291"/>
        <v>#N/A</v>
      </c>
      <c r="J8313" s="12" t="e">
        <f t="shared" si="1292"/>
        <v>#N/A</v>
      </c>
      <c r="K8313" s="17" t="e">
        <f t="shared" si="1296"/>
        <v>#N/A</v>
      </c>
      <c r="L8313" s="16">
        <f>base!X8313</f>
        <v>0</v>
      </c>
      <c r="M8313" s="11" t="e">
        <f t="shared" si="1293"/>
        <v>#DIV/0!</v>
      </c>
      <c r="N8313" s="11"/>
      <c r="O8313" s="11" t="e">
        <f t="shared" si="1294"/>
        <v>#DIV/0!</v>
      </c>
      <c r="P8313" s="12">
        <f t="shared" si="1295"/>
        <v>0</v>
      </c>
      <c r="Q8313" s="17" t="str">
        <f t="shared" si="1297"/>
        <v>Pas d'écart</v>
      </c>
    </row>
    <row r="8314" spans="1:17" x14ac:dyDescent="0.3">
      <c r="A8314" s="34">
        <f>base!J8314</f>
        <v>0</v>
      </c>
      <c r="B8314" s="34">
        <f>base!V8314</f>
        <v>0</v>
      </c>
      <c r="C8314" s="40" t="s">
        <v>11</v>
      </c>
      <c r="D8314" s="36">
        <f>base!H8314</f>
        <v>0</v>
      </c>
      <c r="E8314" s="44"/>
      <c r="F8314" s="16">
        <f>base!W8314</f>
        <v>0</v>
      </c>
      <c r="G8314" s="11" t="e">
        <f t="shared" si="1289"/>
        <v>#DIV/0!</v>
      </c>
      <c r="H8314" s="11" t="e">
        <f t="shared" si="1290"/>
        <v>#N/A</v>
      </c>
      <c r="I8314" s="11" t="e">
        <f t="shared" si="1291"/>
        <v>#N/A</v>
      </c>
      <c r="J8314" s="12" t="e">
        <f t="shared" si="1292"/>
        <v>#N/A</v>
      </c>
      <c r="K8314" s="17" t="e">
        <f t="shared" si="1296"/>
        <v>#N/A</v>
      </c>
      <c r="L8314" s="16">
        <f>base!X8314</f>
        <v>0</v>
      </c>
      <c r="M8314" s="11" t="e">
        <f t="shared" si="1293"/>
        <v>#DIV/0!</v>
      </c>
      <c r="N8314" s="11"/>
      <c r="O8314" s="11" t="e">
        <f t="shared" si="1294"/>
        <v>#DIV/0!</v>
      </c>
      <c r="P8314" s="12">
        <f t="shared" si="1295"/>
        <v>0</v>
      </c>
      <c r="Q8314" s="17" t="str">
        <f t="shared" si="1297"/>
        <v>Pas d'écart</v>
      </c>
    </row>
    <row r="8315" spans="1:17" x14ac:dyDescent="0.3">
      <c r="A8315" s="34">
        <f>base!J8315</f>
        <v>0</v>
      </c>
      <c r="B8315" s="34">
        <f>base!V8315</f>
        <v>0</v>
      </c>
      <c r="C8315" s="40" t="s">
        <v>11</v>
      </c>
      <c r="D8315" s="36">
        <f>base!H8315</f>
        <v>0</v>
      </c>
      <c r="E8315" s="44"/>
      <c r="F8315" s="16">
        <f>base!W8315</f>
        <v>0</v>
      </c>
      <c r="G8315" s="11" t="e">
        <f t="shared" si="1289"/>
        <v>#DIV/0!</v>
      </c>
      <c r="H8315" s="11" t="e">
        <f t="shared" si="1290"/>
        <v>#N/A</v>
      </c>
      <c r="I8315" s="11" t="e">
        <f t="shared" si="1291"/>
        <v>#N/A</v>
      </c>
      <c r="J8315" s="12" t="e">
        <f t="shared" si="1292"/>
        <v>#N/A</v>
      </c>
      <c r="K8315" s="17" t="e">
        <f t="shared" si="1296"/>
        <v>#N/A</v>
      </c>
      <c r="L8315" s="16">
        <f>base!X8315</f>
        <v>0</v>
      </c>
      <c r="M8315" s="11" t="e">
        <f t="shared" si="1293"/>
        <v>#DIV/0!</v>
      </c>
      <c r="N8315" s="11"/>
      <c r="O8315" s="11" t="e">
        <f t="shared" si="1294"/>
        <v>#DIV/0!</v>
      </c>
      <c r="P8315" s="12">
        <f t="shared" si="1295"/>
        <v>0</v>
      </c>
      <c r="Q8315" s="17" t="str">
        <f t="shared" si="1297"/>
        <v>Pas d'écart</v>
      </c>
    </row>
    <row r="8316" spans="1:17" x14ac:dyDescent="0.3">
      <c r="A8316" s="34">
        <f>base!J8316</f>
        <v>0</v>
      </c>
      <c r="B8316" s="34">
        <f>base!V8316</f>
        <v>0</v>
      </c>
      <c r="C8316" s="40" t="s">
        <v>11</v>
      </c>
      <c r="D8316" s="36">
        <f>base!H8316</f>
        <v>0</v>
      </c>
      <c r="E8316" s="44"/>
      <c r="F8316" s="16">
        <f>base!W8316</f>
        <v>0</v>
      </c>
      <c r="G8316" s="11" t="e">
        <f t="shared" si="1289"/>
        <v>#DIV/0!</v>
      </c>
      <c r="H8316" s="11" t="e">
        <f t="shared" si="1290"/>
        <v>#N/A</v>
      </c>
      <c r="I8316" s="11" t="e">
        <f t="shared" si="1291"/>
        <v>#N/A</v>
      </c>
      <c r="J8316" s="12" t="e">
        <f t="shared" si="1292"/>
        <v>#N/A</v>
      </c>
      <c r="K8316" s="17" t="e">
        <f t="shared" si="1296"/>
        <v>#N/A</v>
      </c>
      <c r="L8316" s="16">
        <f>base!X8316</f>
        <v>0</v>
      </c>
      <c r="M8316" s="11" t="e">
        <f t="shared" si="1293"/>
        <v>#DIV/0!</v>
      </c>
      <c r="N8316" s="11"/>
      <c r="O8316" s="11" t="e">
        <f t="shared" si="1294"/>
        <v>#DIV/0!</v>
      </c>
      <c r="P8316" s="12">
        <f t="shared" si="1295"/>
        <v>0</v>
      </c>
      <c r="Q8316" s="17" t="str">
        <f t="shared" si="1297"/>
        <v>Pas d'écart</v>
      </c>
    </row>
    <row r="8317" spans="1:17" x14ac:dyDescent="0.3">
      <c r="A8317" s="34">
        <f>base!J8317</f>
        <v>0</v>
      </c>
      <c r="B8317" s="34">
        <f>base!V8317</f>
        <v>0</v>
      </c>
      <c r="C8317" s="40" t="s">
        <v>11</v>
      </c>
      <c r="D8317" s="36">
        <f>base!H8317</f>
        <v>0</v>
      </c>
      <c r="E8317" s="44"/>
      <c r="F8317" s="16">
        <f>base!W8317</f>
        <v>0</v>
      </c>
      <c r="G8317" s="11" t="e">
        <f t="shared" si="1289"/>
        <v>#DIV/0!</v>
      </c>
      <c r="H8317" s="11" t="e">
        <f t="shared" si="1290"/>
        <v>#N/A</v>
      </c>
      <c r="I8317" s="11" t="e">
        <f t="shared" si="1291"/>
        <v>#N/A</v>
      </c>
      <c r="J8317" s="12" t="e">
        <f t="shared" si="1292"/>
        <v>#N/A</v>
      </c>
      <c r="K8317" s="17" t="e">
        <f t="shared" si="1296"/>
        <v>#N/A</v>
      </c>
      <c r="L8317" s="16">
        <f>base!X8317</f>
        <v>0</v>
      </c>
      <c r="M8317" s="11" t="e">
        <f t="shared" si="1293"/>
        <v>#DIV/0!</v>
      </c>
      <c r="N8317" s="11"/>
      <c r="O8317" s="11" t="e">
        <f t="shared" si="1294"/>
        <v>#DIV/0!</v>
      </c>
      <c r="P8317" s="12">
        <f t="shared" si="1295"/>
        <v>0</v>
      </c>
      <c r="Q8317" s="17" t="str">
        <f t="shared" si="1297"/>
        <v>Pas d'écart</v>
      </c>
    </row>
    <row r="8318" spans="1:17" x14ac:dyDescent="0.3">
      <c r="A8318" s="34">
        <f>base!J8318</f>
        <v>0</v>
      </c>
      <c r="B8318" s="34">
        <f>base!V8318</f>
        <v>0</v>
      </c>
      <c r="C8318" s="40" t="s">
        <v>11</v>
      </c>
      <c r="D8318" s="36">
        <f>base!H8318</f>
        <v>0</v>
      </c>
      <c r="E8318" s="44"/>
      <c r="F8318" s="16">
        <f>base!W8318</f>
        <v>0</v>
      </c>
      <c r="G8318" s="11" t="e">
        <f t="shared" si="1289"/>
        <v>#DIV/0!</v>
      </c>
      <c r="H8318" s="11" t="e">
        <f t="shared" si="1290"/>
        <v>#N/A</v>
      </c>
      <c r="I8318" s="11" t="e">
        <f t="shared" si="1291"/>
        <v>#N/A</v>
      </c>
      <c r="J8318" s="12" t="e">
        <f t="shared" si="1292"/>
        <v>#N/A</v>
      </c>
      <c r="K8318" s="17" t="e">
        <f t="shared" si="1296"/>
        <v>#N/A</v>
      </c>
      <c r="L8318" s="16">
        <f>base!X8318</f>
        <v>0</v>
      </c>
      <c r="M8318" s="11" t="e">
        <f t="shared" si="1293"/>
        <v>#DIV/0!</v>
      </c>
      <c r="N8318" s="11"/>
      <c r="O8318" s="11" t="e">
        <f t="shared" si="1294"/>
        <v>#DIV/0!</v>
      </c>
      <c r="P8318" s="12">
        <f t="shared" si="1295"/>
        <v>0</v>
      </c>
      <c r="Q8318" s="17" t="str">
        <f t="shared" si="1297"/>
        <v>Pas d'écart</v>
      </c>
    </row>
    <row r="8319" spans="1:17" x14ac:dyDescent="0.3">
      <c r="A8319" s="34">
        <f>base!J8319</f>
        <v>0</v>
      </c>
      <c r="B8319" s="34">
        <f>base!V8319</f>
        <v>0</v>
      </c>
      <c r="C8319" s="40" t="s">
        <v>11</v>
      </c>
      <c r="D8319" s="36">
        <f>base!H8319</f>
        <v>0</v>
      </c>
      <c r="E8319" s="44"/>
      <c r="F8319" s="16">
        <f>base!W8319</f>
        <v>0</v>
      </c>
      <c r="G8319" s="11" t="e">
        <f t="shared" si="1289"/>
        <v>#DIV/0!</v>
      </c>
      <c r="H8319" s="11" t="e">
        <f t="shared" si="1290"/>
        <v>#N/A</v>
      </c>
      <c r="I8319" s="11" t="e">
        <f t="shared" si="1291"/>
        <v>#N/A</v>
      </c>
      <c r="J8319" s="12" t="e">
        <f t="shared" si="1292"/>
        <v>#N/A</v>
      </c>
      <c r="K8319" s="17" t="e">
        <f t="shared" si="1296"/>
        <v>#N/A</v>
      </c>
      <c r="L8319" s="16">
        <f>base!X8319</f>
        <v>0</v>
      </c>
      <c r="M8319" s="11" t="e">
        <f t="shared" si="1293"/>
        <v>#DIV/0!</v>
      </c>
      <c r="N8319" s="11"/>
      <c r="O8319" s="11" t="e">
        <f t="shared" si="1294"/>
        <v>#DIV/0!</v>
      </c>
      <c r="P8319" s="12">
        <f t="shared" si="1295"/>
        <v>0</v>
      </c>
      <c r="Q8319" s="17" t="str">
        <f t="shared" si="1297"/>
        <v>Pas d'écart</v>
      </c>
    </row>
    <row r="8320" spans="1:17" x14ac:dyDescent="0.3">
      <c r="A8320" s="34">
        <f>base!J8320</f>
        <v>0</v>
      </c>
      <c r="B8320" s="34">
        <f>base!V8320</f>
        <v>0</v>
      </c>
      <c r="C8320" s="40" t="s">
        <v>11</v>
      </c>
      <c r="D8320" s="36">
        <f>base!H8320</f>
        <v>0</v>
      </c>
      <c r="E8320" s="44"/>
      <c r="F8320" s="16">
        <f>base!W8320</f>
        <v>0</v>
      </c>
      <c r="G8320" s="11" t="e">
        <f t="shared" si="1289"/>
        <v>#DIV/0!</v>
      </c>
      <c r="H8320" s="11" t="e">
        <f t="shared" si="1290"/>
        <v>#N/A</v>
      </c>
      <c r="I8320" s="11" t="e">
        <f t="shared" si="1291"/>
        <v>#N/A</v>
      </c>
      <c r="J8320" s="12" t="e">
        <f t="shared" si="1292"/>
        <v>#N/A</v>
      </c>
      <c r="K8320" s="17" t="e">
        <f t="shared" si="1296"/>
        <v>#N/A</v>
      </c>
      <c r="L8320" s="16">
        <f>base!X8320</f>
        <v>0</v>
      </c>
      <c r="M8320" s="11" t="e">
        <f t="shared" si="1293"/>
        <v>#DIV/0!</v>
      </c>
      <c r="N8320" s="11"/>
      <c r="O8320" s="11" t="e">
        <f t="shared" si="1294"/>
        <v>#DIV/0!</v>
      </c>
      <c r="P8320" s="12">
        <f t="shared" si="1295"/>
        <v>0</v>
      </c>
      <c r="Q8320" s="17" t="str">
        <f t="shared" si="1297"/>
        <v>Pas d'écart</v>
      </c>
    </row>
    <row r="8321" spans="1:17" x14ac:dyDescent="0.3">
      <c r="A8321" s="34">
        <f>base!J8321</f>
        <v>0</v>
      </c>
      <c r="B8321" s="34">
        <f>base!V8321</f>
        <v>0</v>
      </c>
      <c r="C8321" s="40" t="s">
        <v>11</v>
      </c>
      <c r="D8321" s="36">
        <f>base!H8321</f>
        <v>0</v>
      </c>
      <c r="E8321" s="44"/>
      <c r="F8321" s="16">
        <f>base!W8321</f>
        <v>0</v>
      </c>
      <c r="G8321" s="11" t="e">
        <f t="shared" si="1289"/>
        <v>#DIV/0!</v>
      </c>
      <c r="H8321" s="11" t="e">
        <f t="shared" si="1290"/>
        <v>#N/A</v>
      </c>
      <c r="I8321" s="11" t="e">
        <f t="shared" si="1291"/>
        <v>#N/A</v>
      </c>
      <c r="J8321" s="12" t="e">
        <f t="shared" si="1292"/>
        <v>#N/A</v>
      </c>
      <c r="K8321" s="17" t="e">
        <f t="shared" si="1296"/>
        <v>#N/A</v>
      </c>
      <c r="L8321" s="16">
        <f>base!X8321</f>
        <v>0</v>
      </c>
      <c r="M8321" s="11" t="e">
        <f t="shared" si="1293"/>
        <v>#DIV/0!</v>
      </c>
      <c r="N8321" s="11"/>
      <c r="O8321" s="11" t="e">
        <f t="shared" si="1294"/>
        <v>#DIV/0!</v>
      </c>
      <c r="P8321" s="12">
        <f t="shared" si="1295"/>
        <v>0</v>
      </c>
      <c r="Q8321" s="17" t="str">
        <f t="shared" si="1297"/>
        <v>Pas d'écart</v>
      </c>
    </row>
    <row r="8322" spans="1:17" x14ac:dyDescent="0.3">
      <c r="A8322" s="34">
        <f>base!J8322</f>
        <v>0</v>
      </c>
      <c r="B8322" s="34">
        <f>base!V8322</f>
        <v>0</v>
      </c>
      <c r="C8322" s="40" t="s">
        <v>11</v>
      </c>
      <c r="D8322" s="36">
        <f>base!H8322</f>
        <v>0</v>
      </c>
      <c r="E8322" s="44"/>
      <c r="F8322" s="16">
        <f>base!W8322</f>
        <v>0</v>
      </c>
      <c r="G8322" s="11" t="e">
        <f t="shared" ref="G8322:G8385" si="1298">F8322/D8322</f>
        <v>#DIV/0!</v>
      </c>
      <c r="H8322" s="11" t="e">
        <f t="shared" ref="H8322:H8385" si="1299">VLOOKUP(C8322,tout_cout_traction,2,FALSE)*D8322</f>
        <v>#N/A</v>
      </c>
      <c r="I8322" s="11" t="e">
        <f t="shared" ref="I8322:I8385" si="1300">H8322/D8322</f>
        <v>#N/A</v>
      </c>
      <c r="J8322" s="12" t="e">
        <f t="shared" ref="J8322:J8385" si="1301">F8322-H8322</f>
        <v>#N/A</v>
      </c>
      <c r="K8322" s="17" t="e">
        <f t="shared" si="1296"/>
        <v>#N/A</v>
      </c>
      <c r="L8322" s="16">
        <f>base!X8322</f>
        <v>0</v>
      </c>
      <c r="M8322" s="11" t="e">
        <f t="shared" ref="M8322:M8385" si="1302">L8322/D8322</f>
        <v>#DIV/0!</v>
      </c>
      <c r="N8322" s="11"/>
      <c r="O8322" s="11" t="e">
        <f t="shared" ref="O8322:O8385" si="1303">N8322/D8322</f>
        <v>#DIV/0!</v>
      </c>
      <c r="P8322" s="12">
        <f t="shared" ref="P8322:P8385" si="1304">L8322-N8322</f>
        <v>0</v>
      </c>
      <c r="Q8322" s="17" t="str">
        <f t="shared" si="1297"/>
        <v>Pas d'écart</v>
      </c>
    </row>
    <row r="8323" spans="1:17" x14ac:dyDescent="0.3">
      <c r="A8323" s="34">
        <f>base!J8323</f>
        <v>0</v>
      </c>
      <c r="B8323" s="34">
        <f>base!V8323</f>
        <v>0</v>
      </c>
      <c r="C8323" s="40" t="s">
        <v>11</v>
      </c>
      <c r="D8323" s="36">
        <f>base!H8323</f>
        <v>0</v>
      </c>
      <c r="E8323" s="44"/>
      <c r="F8323" s="16">
        <f>base!W8323</f>
        <v>0</v>
      </c>
      <c r="G8323" s="11" t="e">
        <f t="shared" si="1298"/>
        <v>#DIV/0!</v>
      </c>
      <c r="H8323" s="11" t="e">
        <f t="shared" si="1299"/>
        <v>#N/A</v>
      </c>
      <c r="I8323" s="11" t="e">
        <f t="shared" si="1300"/>
        <v>#N/A</v>
      </c>
      <c r="J8323" s="12" t="e">
        <f t="shared" si="1301"/>
        <v>#N/A</v>
      </c>
      <c r="K8323" s="17" t="e">
        <f t="shared" ref="K8323:K8386" si="1305">IF(H8323=F8323,"Pas d'écart",IF(H8323&lt;F8323,"Ecart positif",IF(H8323&gt;F8323,"Ecart négatif")))</f>
        <v>#N/A</v>
      </c>
      <c r="L8323" s="16">
        <f>base!X8323</f>
        <v>0</v>
      </c>
      <c r="M8323" s="11" t="e">
        <f t="shared" si="1302"/>
        <v>#DIV/0!</v>
      </c>
      <c r="N8323" s="11"/>
      <c r="O8323" s="11" t="e">
        <f t="shared" si="1303"/>
        <v>#DIV/0!</v>
      </c>
      <c r="P8323" s="12">
        <f t="shared" si="1304"/>
        <v>0</v>
      </c>
      <c r="Q8323" s="17" t="str">
        <f t="shared" ref="Q8323:Q8386" si="1306">IF(N8323=L8323,"Pas d'écart",IF(N8323&lt;L8323,"Ecart positif",IF(N8323&gt;L8323,"Ecart négatif")))</f>
        <v>Pas d'écart</v>
      </c>
    </row>
    <row r="8324" spans="1:17" x14ac:dyDescent="0.3">
      <c r="A8324" s="34">
        <f>base!J8324</f>
        <v>0</v>
      </c>
      <c r="B8324" s="34">
        <f>base!V8324</f>
        <v>0</v>
      </c>
      <c r="C8324" s="40" t="s">
        <v>11</v>
      </c>
      <c r="D8324" s="36">
        <f>base!H8324</f>
        <v>0</v>
      </c>
      <c r="E8324" s="44"/>
      <c r="F8324" s="16">
        <f>base!W8324</f>
        <v>0</v>
      </c>
      <c r="G8324" s="11" t="e">
        <f t="shared" si="1298"/>
        <v>#DIV/0!</v>
      </c>
      <c r="H8324" s="11" t="e">
        <f t="shared" si="1299"/>
        <v>#N/A</v>
      </c>
      <c r="I8324" s="11" t="e">
        <f t="shared" si="1300"/>
        <v>#N/A</v>
      </c>
      <c r="J8324" s="12" t="e">
        <f t="shared" si="1301"/>
        <v>#N/A</v>
      </c>
      <c r="K8324" s="17" t="e">
        <f t="shared" si="1305"/>
        <v>#N/A</v>
      </c>
      <c r="L8324" s="16">
        <f>base!X8324</f>
        <v>0</v>
      </c>
      <c r="M8324" s="11" t="e">
        <f t="shared" si="1302"/>
        <v>#DIV/0!</v>
      </c>
      <c r="N8324" s="11"/>
      <c r="O8324" s="11" t="e">
        <f t="shared" si="1303"/>
        <v>#DIV/0!</v>
      </c>
      <c r="P8324" s="12">
        <f t="shared" si="1304"/>
        <v>0</v>
      </c>
      <c r="Q8324" s="17" t="str">
        <f t="shared" si="1306"/>
        <v>Pas d'écart</v>
      </c>
    </row>
    <row r="8325" spans="1:17" x14ac:dyDescent="0.3">
      <c r="A8325" s="34">
        <f>base!J8325</f>
        <v>0</v>
      </c>
      <c r="B8325" s="34">
        <f>base!V8325</f>
        <v>0</v>
      </c>
      <c r="C8325" s="40" t="s">
        <v>11</v>
      </c>
      <c r="D8325" s="36">
        <f>base!H8325</f>
        <v>0</v>
      </c>
      <c r="E8325" s="44"/>
      <c r="F8325" s="16">
        <f>base!W8325</f>
        <v>0</v>
      </c>
      <c r="G8325" s="11" t="e">
        <f t="shared" si="1298"/>
        <v>#DIV/0!</v>
      </c>
      <c r="H8325" s="11" t="e">
        <f t="shared" si="1299"/>
        <v>#N/A</v>
      </c>
      <c r="I8325" s="11" t="e">
        <f t="shared" si="1300"/>
        <v>#N/A</v>
      </c>
      <c r="J8325" s="12" t="e">
        <f t="shared" si="1301"/>
        <v>#N/A</v>
      </c>
      <c r="K8325" s="17" t="e">
        <f t="shared" si="1305"/>
        <v>#N/A</v>
      </c>
      <c r="L8325" s="16">
        <f>base!X8325</f>
        <v>0</v>
      </c>
      <c r="M8325" s="11" t="e">
        <f t="shared" si="1302"/>
        <v>#DIV/0!</v>
      </c>
      <c r="N8325" s="11"/>
      <c r="O8325" s="11" t="e">
        <f t="shared" si="1303"/>
        <v>#DIV/0!</v>
      </c>
      <c r="P8325" s="12">
        <f t="shared" si="1304"/>
        <v>0</v>
      </c>
      <c r="Q8325" s="17" t="str">
        <f t="shared" si="1306"/>
        <v>Pas d'écart</v>
      </c>
    </row>
    <row r="8326" spans="1:17" x14ac:dyDescent="0.3">
      <c r="A8326" s="34">
        <f>base!J8326</f>
        <v>0</v>
      </c>
      <c r="B8326" s="34">
        <f>base!V8326</f>
        <v>0</v>
      </c>
      <c r="C8326" s="40" t="s">
        <v>11</v>
      </c>
      <c r="D8326" s="36">
        <f>base!H8326</f>
        <v>0</v>
      </c>
      <c r="E8326" s="44"/>
      <c r="F8326" s="16">
        <f>base!W8326</f>
        <v>0</v>
      </c>
      <c r="G8326" s="11" t="e">
        <f t="shared" si="1298"/>
        <v>#DIV/0!</v>
      </c>
      <c r="H8326" s="11" t="e">
        <f t="shared" si="1299"/>
        <v>#N/A</v>
      </c>
      <c r="I8326" s="11" t="e">
        <f t="shared" si="1300"/>
        <v>#N/A</v>
      </c>
      <c r="J8326" s="12" t="e">
        <f t="shared" si="1301"/>
        <v>#N/A</v>
      </c>
      <c r="K8326" s="17" t="e">
        <f t="shared" si="1305"/>
        <v>#N/A</v>
      </c>
      <c r="L8326" s="16">
        <f>base!X8326</f>
        <v>0</v>
      </c>
      <c r="M8326" s="11" t="e">
        <f t="shared" si="1302"/>
        <v>#DIV/0!</v>
      </c>
      <c r="N8326" s="11"/>
      <c r="O8326" s="11" t="e">
        <f t="shared" si="1303"/>
        <v>#DIV/0!</v>
      </c>
      <c r="P8326" s="12">
        <f t="shared" si="1304"/>
        <v>0</v>
      </c>
      <c r="Q8326" s="17" t="str">
        <f t="shared" si="1306"/>
        <v>Pas d'écart</v>
      </c>
    </row>
    <row r="8327" spans="1:17" x14ac:dyDescent="0.3">
      <c r="A8327" s="34">
        <f>base!J8327</f>
        <v>0</v>
      </c>
      <c r="B8327" s="34">
        <f>base!V8327</f>
        <v>0</v>
      </c>
      <c r="C8327" s="40" t="s">
        <v>11</v>
      </c>
      <c r="D8327" s="36">
        <f>base!H8327</f>
        <v>0</v>
      </c>
      <c r="E8327" s="44"/>
      <c r="F8327" s="16">
        <f>base!W8327</f>
        <v>0</v>
      </c>
      <c r="G8327" s="11" t="e">
        <f t="shared" si="1298"/>
        <v>#DIV/0!</v>
      </c>
      <c r="H8327" s="11" t="e">
        <f t="shared" si="1299"/>
        <v>#N/A</v>
      </c>
      <c r="I8327" s="11" t="e">
        <f t="shared" si="1300"/>
        <v>#N/A</v>
      </c>
      <c r="J8327" s="12" t="e">
        <f t="shared" si="1301"/>
        <v>#N/A</v>
      </c>
      <c r="K8327" s="17" t="e">
        <f t="shared" si="1305"/>
        <v>#N/A</v>
      </c>
      <c r="L8327" s="16">
        <f>base!X8327</f>
        <v>0</v>
      </c>
      <c r="M8327" s="11" t="e">
        <f t="shared" si="1302"/>
        <v>#DIV/0!</v>
      </c>
      <c r="N8327" s="11"/>
      <c r="O8327" s="11" t="e">
        <f t="shared" si="1303"/>
        <v>#DIV/0!</v>
      </c>
      <c r="P8327" s="12">
        <f t="shared" si="1304"/>
        <v>0</v>
      </c>
      <c r="Q8327" s="17" t="str">
        <f t="shared" si="1306"/>
        <v>Pas d'écart</v>
      </c>
    </row>
    <row r="8328" spans="1:17" x14ac:dyDescent="0.3">
      <c r="A8328" s="34">
        <f>base!J8328</f>
        <v>0</v>
      </c>
      <c r="B8328" s="34">
        <f>base!V8328</f>
        <v>0</v>
      </c>
      <c r="C8328" s="40" t="s">
        <v>11</v>
      </c>
      <c r="D8328" s="36">
        <f>base!H8328</f>
        <v>0</v>
      </c>
      <c r="E8328" s="44"/>
      <c r="F8328" s="16">
        <f>base!W8328</f>
        <v>0</v>
      </c>
      <c r="G8328" s="11" t="e">
        <f t="shared" si="1298"/>
        <v>#DIV/0!</v>
      </c>
      <c r="H8328" s="11" t="e">
        <f t="shared" si="1299"/>
        <v>#N/A</v>
      </c>
      <c r="I8328" s="11" t="e">
        <f t="shared" si="1300"/>
        <v>#N/A</v>
      </c>
      <c r="J8328" s="12" t="e">
        <f t="shared" si="1301"/>
        <v>#N/A</v>
      </c>
      <c r="K8328" s="17" t="e">
        <f t="shared" si="1305"/>
        <v>#N/A</v>
      </c>
      <c r="L8328" s="16">
        <f>base!X8328</f>
        <v>0</v>
      </c>
      <c r="M8328" s="11" t="e">
        <f t="shared" si="1302"/>
        <v>#DIV/0!</v>
      </c>
      <c r="N8328" s="11"/>
      <c r="O8328" s="11" t="e">
        <f t="shared" si="1303"/>
        <v>#DIV/0!</v>
      </c>
      <c r="P8328" s="12">
        <f t="shared" si="1304"/>
        <v>0</v>
      </c>
      <c r="Q8328" s="17" t="str">
        <f t="shared" si="1306"/>
        <v>Pas d'écart</v>
      </c>
    </row>
    <row r="8329" spans="1:17" x14ac:dyDescent="0.3">
      <c r="A8329" s="34">
        <f>base!J8329</f>
        <v>0</v>
      </c>
      <c r="B8329" s="34">
        <f>base!V8329</f>
        <v>0</v>
      </c>
      <c r="C8329" s="40" t="s">
        <v>11</v>
      </c>
      <c r="D8329" s="36">
        <f>base!H8329</f>
        <v>0</v>
      </c>
      <c r="E8329" s="44"/>
      <c r="F8329" s="16">
        <f>base!W8329</f>
        <v>0</v>
      </c>
      <c r="G8329" s="11" t="e">
        <f t="shared" si="1298"/>
        <v>#DIV/0!</v>
      </c>
      <c r="H8329" s="11" t="e">
        <f t="shared" si="1299"/>
        <v>#N/A</v>
      </c>
      <c r="I8329" s="11" t="e">
        <f t="shared" si="1300"/>
        <v>#N/A</v>
      </c>
      <c r="J8329" s="12" t="e">
        <f t="shared" si="1301"/>
        <v>#N/A</v>
      </c>
      <c r="K8329" s="17" t="e">
        <f t="shared" si="1305"/>
        <v>#N/A</v>
      </c>
      <c r="L8329" s="16">
        <f>base!X8329</f>
        <v>0</v>
      </c>
      <c r="M8329" s="11" t="e">
        <f t="shared" si="1302"/>
        <v>#DIV/0!</v>
      </c>
      <c r="N8329" s="11"/>
      <c r="O8329" s="11" t="e">
        <f t="shared" si="1303"/>
        <v>#DIV/0!</v>
      </c>
      <c r="P8329" s="12">
        <f t="shared" si="1304"/>
        <v>0</v>
      </c>
      <c r="Q8329" s="17" t="str">
        <f t="shared" si="1306"/>
        <v>Pas d'écart</v>
      </c>
    </row>
    <row r="8330" spans="1:17" x14ac:dyDescent="0.3">
      <c r="A8330" s="34">
        <f>base!J8330</f>
        <v>0</v>
      </c>
      <c r="B8330" s="34">
        <f>base!V8330</f>
        <v>0</v>
      </c>
      <c r="C8330" s="40" t="s">
        <v>11</v>
      </c>
      <c r="D8330" s="36">
        <f>base!H8330</f>
        <v>0</v>
      </c>
      <c r="E8330" s="44"/>
      <c r="F8330" s="16">
        <f>base!W8330</f>
        <v>0</v>
      </c>
      <c r="G8330" s="11" t="e">
        <f t="shared" si="1298"/>
        <v>#DIV/0!</v>
      </c>
      <c r="H8330" s="11" t="e">
        <f t="shared" si="1299"/>
        <v>#N/A</v>
      </c>
      <c r="I8330" s="11" t="e">
        <f t="shared" si="1300"/>
        <v>#N/A</v>
      </c>
      <c r="J8330" s="12" t="e">
        <f t="shared" si="1301"/>
        <v>#N/A</v>
      </c>
      <c r="K8330" s="17" t="e">
        <f t="shared" si="1305"/>
        <v>#N/A</v>
      </c>
      <c r="L8330" s="16">
        <f>base!X8330</f>
        <v>0</v>
      </c>
      <c r="M8330" s="11" t="e">
        <f t="shared" si="1302"/>
        <v>#DIV/0!</v>
      </c>
      <c r="N8330" s="11"/>
      <c r="O8330" s="11" t="e">
        <f t="shared" si="1303"/>
        <v>#DIV/0!</v>
      </c>
      <c r="P8330" s="12">
        <f t="shared" si="1304"/>
        <v>0</v>
      </c>
      <c r="Q8330" s="17" t="str">
        <f t="shared" si="1306"/>
        <v>Pas d'écart</v>
      </c>
    </row>
    <row r="8331" spans="1:17" x14ac:dyDescent="0.3">
      <c r="A8331" s="34">
        <f>base!J8331</f>
        <v>0</v>
      </c>
      <c r="B8331" s="34">
        <f>base!V8331</f>
        <v>0</v>
      </c>
      <c r="C8331" s="40" t="s">
        <v>11</v>
      </c>
      <c r="D8331" s="36">
        <f>base!H8331</f>
        <v>0</v>
      </c>
      <c r="E8331" s="44"/>
      <c r="F8331" s="16">
        <f>base!W8331</f>
        <v>0</v>
      </c>
      <c r="G8331" s="11" t="e">
        <f t="shared" si="1298"/>
        <v>#DIV/0!</v>
      </c>
      <c r="H8331" s="11" t="e">
        <f t="shared" si="1299"/>
        <v>#N/A</v>
      </c>
      <c r="I8331" s="11" t="e">
        <f t="shared" si="1300"/>
        <v>#N/A</v>
      </c>
      <c r="J8331" s="12" t="e">
        <f t="shared" si="1301"/>
        <v>#N/A</v>
      </c>
      <c r="K8331" s="17" t="e">
        <f t="shared" si="1305"/>
        <v>#N/A</v>
      </c>
      <c r="L8331" s="16">
        <f>base!X8331</f>
        <v>0</v>
      </c>
      <c r="M8331" s="11" t="e">
        <f t="shared" si="1302"/>
        <v>#DIV/0!</v>
      </c>
      <c r="N8331" s="11"/>
      <c r="O8331" s="11" t="e">
        <f t="shared" si="1303"/>
        <v>#DIV/0!</v>
      </c>
      <c r="P8331" s="12">
        <f t="shared" si="1304"/>
        <v>0</v>
      </c>
      <c r="Q8331" s="17" t="str">
        <f t="shared" si="1306"/>
        <v>Pas d'écart</v>
      </c>
    </row>
    <row r="8332" spans="1:17" x14ac:dyDescent="0.3">
      <c r="A8332" s="34">
        <f>base!J8332</f>
        <v>0</v>
      </c>
      <c r="B8332" s="34">
        <f>base!V8332</f>
        <v>0</v>
      </c>
      <c r="C8332" s="40" t="s">
        <v>11</v>
      </c>
      <c r="D8332" s="36">
        <f>base!H8332</f>
        <v>0</v>
      </c>
      <c r="E8332" s="44"/>
      <c r="F8332" s="16">
        <f>base!W8332</f>
        <v>0</v>
      </c>
      <c r="G8332" s="11" t="e">
        <f t="shared" si="1298"/>
        <v>#DIV/0!</v>
      </c>
      <c r="H8332" s="11" t="e">
        <f t="shared" si="1299"/>
        <v>#N/A</v>
      </c>
      <c r="I8332" s="11" t="e">
        <f t="shared" si="1300"/>
        <v>#N/A</v>
      </c>
      <c r="J8332" s="12" t="e">
        <f t="shared" si="1301"/>
        <v>#N/A</v>
      </c>
      <c r="K8332" s="17" t="e">
        <f t="shared" si="1305"/>
        <v>#N/A</v>
      </c>
      <c r="L8332" s="16">
        <f>base!X8332</f>
        <v>0</v>
      </c>
      <c r="M8332" s="11" t="e">
        <f t="shared" si="1302"/>
        <v>#DIV/0!</v>
      </c>
      <c r="N8332" s="11"/>
      <c r="O8332" s="11" t="e">
        <f t="shared" si="1303"/>
        <v>#DIV/0!</v>
      </c>
      <c r="P8332" s="12">
        <f t="shared" si="1304"/>
        <v>0</v>
      </c>
      <c r="Q8332" s="17" t="str">
        <f t="shared" si="1306"/>
        <v>Pas d'écart</v>
      </c>
    </row>
    <row r="8333" spans="1:17" x14ac:dyDescent="0.3">
      <c r="A8333" s="34">
        <f>base!J8333</f>
        <v>0</v>
      </c>
      <c r="B8333" s="34">
        <f>base!V8333</f>
        <v>0</v>
      </c>
      <c r="C8333" s="40" t="s">
        <v>11</v>
      </c>
      <c r="D8333" s="36">
        <f>base!H8333</f>
        <v>0</v>
      </c>
      <c r="E8333" s="44"/>
      <c r="F8333" s="16">
        <f>base!W8333</f>
        <v>0</v>
      </c>
      <c r="G8333" s="11" t="e">
        <f t="shared" si="1298"/>
        <v>#DIV/0!</v>
      </c>
      <c r="H8333" s="11" t="e">
        <f t="shared" si="1299"/>
        <v>#N/A</v>
      </c>
      <c r="I8333" s="11" t="e">
        <f t="shared" si="1300"/>
        <v>#N/A</v>
      </c>
      <c r="J8333" s="12" t="e">
        <f t="shared" si="1301"/>
        <v>#N/A</v>
      </c>
      <c r="K8333" s="17" t="e">
        <f t="shared" si="1305"/>
        <v>#N/A</v>
      </c>
      <c r="L8333" s="16">
        <f>base!X8333</f>
        <v>0</v>
      </c>
      <c r="M8333" s="11" t="e">
        <f t="shared" si="1302"/>
        <v>#DIV/0!</v>
      </c>
      <c r="N8333" s="11"/>
      <c r="O8333" s="11" t="e">
        <f t="shared" si="1303"/>
        <v>#DIV/0!</v>
      </c>
      <c r="P8333" s="12">
        <f t="shared" si="1304"/>
        <v>0</v>
      </c>
      <c r="Q8333" s="17" t="str">
        <f t="shared" si="1306"/>
        <v>Pas d'écart</v>
      </c>
    </row>
    <row r="8334" spans="1:17" x14ac:dyDescent="0.3">
      <c r="A8334" s="34">
        <f>base!J8334</f>
        <v>0</v>
      </c>
      <c r="B8334" s="34">
        <f>base!V8334</f>
        <v>0</v>
      </c>
      <c r="C8334" s="40" t="s">
        <v>11</v>
      </c>
      <c r="D8334" s="36">
        <f>base!H8334</f>
        <v>0</v>
      </c>
      <c r="E8334" s="44"/>
      <c r="F8334" s="16">
        <f>base!W8334</f>
        <v>0</v>
      </c>
      <c r="G8334" s="11" t="e">
        <f t="shared" si="1298"/>
        <v>#DIV/0!</v>
      </c>
      <c r="H8334" s="11" t="e">
        <f t="shared" si="1299"/>
        <v>#N/A</v>
      </c>
      <c r="I8334" s="11" t="e">
        <f t="shared" si="1300"/>
        <v>#N/A</v>
      </c>
      <c r="J8334" s="12" t="e">
        <f t="shared" si="1301"/>
        <v>#N/A</v>
      </c>
      <c r="K8334" s="17" t="e">
        <f t="shared" si="1305"/>
        <v>#N/A</v>
      </c>
      <c r="L8334" s="16">
        <f>base!X8334</f>
        <v>0</v>
      </c>
      <c r="M8334" s="11" t="e">
        <f t="shared" si="1302"/>
        <v>#DIV/0!</v>
      </c>
      <c r="N8334" s="11"/>
      <c r="O8334" s="11" t="e">
        <f t="shared" si="1303"/>
        <v>#DIV/0!</v>
      </c>
      <c r="P8334" s="12">
        <f t="shared" si="1304"/>
        <v>0</v>
      </c>
      <c r="Q8334" s="17" t="str">
        <f t="shared" si="1306"/>
        <v>Pas d'écart</v>
      </c>
    </row>
    <row r="8335" spans="1:17" x14ac:dyDescent="0.3">
      <c r="A8335" s="34">
        <f>base!J8335</f>
        <v>0</v>
      </c>
      <c r="B8335" s="34">
        <f>base!V8335</f>
        <v>0</v>
      </c>
      <c r="C8335" s="40" t="s">
        <v>11</v>
      </c>
      <c r="D8335" s="36">
        <f>base!H8335</f>
        <v>0</v>
      </c>
      <c r="E8335" s="44"/>
      <c r="F8335" s="16">
        <f>base!W8335</f>
        <v>0</v>
      </c>
      <c r="G8335" s="11" t="e">
        <f t="shared" si="1298"/>
        <v>#DIV/0!</v>
      </c>
      <c r="H8335" s="11" t="e">
        <f t="shared" si="1299"/>
        <v>#N/A</v>
      </c>
      <c r="I8335" s="11" t="e">
        <f t="shared" si="1300"/>
        <v>#N/A</v>
      </c>
      <c r="J8335" s="12" t="e">
        <f t="shared" si="1301"/>
        <v>#N/A</v>
      </c>
      <c r="K8335" s="17" t="e">
        <f t="shared" si="1305"/>
        <v>#N/A</v>
      </c>
      <c r="L8335" s="16">
        <f>base!X8335</f>
        <v>0</v>
      </c>
      <c r="M8335" s="11" t="e">
        <f t="shared" si="1302"/>
        <v>#DIV/0!</v>
      </c>
      <c r="N8335" s="11"/>
      <c r="O8335" s="11" t="e">
        <f t="shared" si="1303"/>
        <v>#DIV/0!</v>
      </c>
      <c r="P8335" s="12">
        <f t="shared" si="1304"/>
        <v>0</v>
      </c>
      <c r="Q8335" s="17" t="str">
        <f t="shared" si="1306"/>
        <v>Pas d'écart</v>
      </c>
    </row>
    <row r="8336" spans="1:17" x14ac:dyDescent="0.3">
      <c r="A8336" s="34">
        <f>base!J8336</f>
        <v>0</v>
      </c>
      <c r="B8336" s="34">
        <f>base!V8336</f>
        <v>0</v>
      </c>
      <c r="C8336" s="40" t="s">
        <v>11</v>
      </c>
      <c r="D8336" s="36">
        <f>base!H8336</f>
        <v>0</v>
      </c>
      <c r="E8336" s="44"/>
      <c r="F8336" s="16">
        <f>base!W8336</f>
        <v>0</v>
      </c>
      <c r="G8336" s="11" t="e">
        <f t="shared" si="1298"/>
        <v>#DIV/0!</v>
      </c>
      <c r="H8336" s="11" t="e">
        <f t="shared" si="1299"/>
        <v>#N/A</v>
      </c>
      <c r="I8336" s="11" t="e">
        <f t="shared" si="1300"/>
        <v>#N/A</v>
      </c>
      <c r="J8336" s="12" t="e">
        <f t="shared" si="1301"/>
        <v>#N/A</v>
      </c>
      <c r="K8336" s="17" t="e">
        <f t="shared" si="1305"/>
        <v>#N/A</v>
      </c>
      <c r="L8336" s="16">
        <f>base!X8336</f>
        <v>0</v>
      </c>
      <c r="M8336" s="11" t="e">
        <f t="shared" si="1302"/>
        <v>#DIV/0!</v>
      </c>
      <c r="N8336" s="11"/>
      <c r="O8336" s="11" t="e">
        <f t="shared" si="1303"/>
        <v>#DIV/0!</v>
      </c>
      <c r="P8336" s="12">
        <f t="shared" si="1304"/>
        <v>0</v>
      </c>
      <c r="Q8336" s="17" t="str">
        <f t="shared" si="1306"/>
        <v>Pas d'écart</v>
      </c>
    </row>
    <row r="8337" spans="1:17" x14ac:dyDescent="0.3">
      <c r="A8337" s="34">
        <f>base!J8337</f>
        <v>0</v>
      </c>
      <c r="B8337" s="34">
        <f>base!V8337</f>
        <v>0</v>
      </c>
      <c r="C8337" s="40" t="s">
        <v>11</v>
      </c>
      <c r="D8337" s="36">
        <f>base!H8337</f>
        <v>0</v>
      </c>
      <c r="E8337" s="44"/>
      <c r="F8337" s="16">
        <f>base!W8337</f>
        <v>0</v>
      </c>
      <c r="G8337" s="11" t="e">
        <f t="shared" si="1298"/>
        <v>#DIV/0!</v>
      </c>
      <c r="H8337" s="11" t="e">
        <f t="shared" si="1299"/>
        <v>#N/A</v>
      </c>
      <c r="I8337" s="11" t="e">
        <f t="shared" si="1300"/>
        <v>#N/A</v>
      </c>
      <c r="J8337" s="12" t="e">
        <f t="shared" si="1301"/>
        <v>#N/A</v>
      </c>
      <c r="K8337" s="17" t="e">
        <f t="shared" si="1305"/>
        <v>#N/A</v>
      </c>
      <c r="L8337" s="16">
        <f>base!X8337</f>
        <v>0</v>
      </c>
      <c r="M8337" s="11" t="e">
        <f t="shared" si="1302"/>
        <v>#DIV/0!</v>
      </c>
      <c r="N8337" s="11"/>
      <c r="O8337" s="11" t="e">
        <f t="shared" si="1303"/>
        <v>#DIV/0!</v>
      </c>
      <c r="P8337" s="12">
        <f t="shared" si="1304"/>
        <v>0</v>
      </c>
      <c r="Q8337" s="17" t="str">
        <f t="shared" si="1306"/>
        <v>Pas d'écart</v>
      </c>
    </row>
    <row r="8338" spans="1:17" x14ac:dyDescent="0.3">
      <c r="A8338" s="34">
        <f>base!J8338</f>
        <v>0</v>
      </c>
      <c r="B8338" s="34">
        <f>base!V8338</f>
        <v>0</v>
      </c>
      <c r="C8338" s="40" t="s">
        <v>11</v>
      </c>
      <c r="D8338" s="36">
        <f>base!H8338</f>
        <v>0</v>
      </c>
      <c r="E8338" s="44"/>
      <c r="F8338" s="16">
        <f>base!W8338</f>
        <v>0</v>
      </c>
      <c r="G8338" s="11" t="e">
        <f t="shared" si="1298"/>
        <v>#DIV/0!</v>
      </c>
      <c r="H8338" s="11" t="e">
        <f t="shared" si="1299"/>
        <v>#N/A</v>
      </c>
      <c r="I8338" s="11" t="e">
        <f t="shared" si="1300"/>
        <v>#N/A</v>
      </c>
      <c r="J8338" s="12" t="e">
        <f t="shared" si="1301"/>
        <v>#N/A</v>
      </c>
      <c r="K8338" s="17" t="e">
        <f t="shared" si="1305"/>
        <v>#N/A</v>
      </c>
      <c r="L8338" s="16">
        <f>base!X8338</f>
        <v>0</v>
      </c>
      <c r="M8338" s="11" t="e">
        <f t="shared" si="1302"/>
        <v>#DIV/0!</v>
      </c>
      <c r="N8338" s="11"/>
      <c r="O8338" s="11" t="e">
        <f t="shared" si="1303"/>
        <v>#DIV/0!</v>
      </c>
      <c r="P8338" s="12">
        <f t="shared" si="1304"/>
        <v>0</v>
      </c>
      <c r="Q8338" s="17" t="str">
        <f t="shared" si="1306"/>
        <v>Pas d'écart</v>
      </c>
    </row>
    <row r="8339" spans="1:17" x14ac:dyDescent="0.3">
      <c r="A8339" s="34">
        <f>base!J8339</f>
        <v>0</v>
      </c>
      <c r="B8339" s="34">
        <f>base!V8339</f>
        <v>0</v>
      </c>
      <c r="C8339" s="40" t="s">
        <v>11</v>
      </c>
      <c r="D8339" s="36">
        <f>base!H8339</f>
        <v>0</v>
      </c>
      <c r="E8339" s="44"/>
      <c r="F8339" s="16">
        <f>base!W8339</f>
        <v>0</v>
      </c>
      <c r="G8339" s="11" t="e">
        <f t="shared" si="1298"/>
        <v>#DIV/0!</v>
      </c>
      <c r="H8339" s="11" t="e">
        <f t="shared" si="1299"/>
        <v>#N/A</v>
      </c>
      <c r="I8339" s="11" t="e">
        <f t="shared" si="1300"/>
        <v>#N/A</v>
      </c>
      <c r="J8339" s="12" t="e">
        <f t="shared" si="1301"/>
        <v>#N/A</v>
      </c>
      <c r="K8339" s="17" t="e">
        <f t="shared" si="1305"/>
        <v>#N/A</v>
      </c>
      <c r="L8339" s="16">
        <f>base!X8339</f>
        <v>0</v>
      </c>
      <c r="M8339" s="11" t="e">
        <f t="shared" si="1302"/>
        <v>#DIV/0!</v>
      </c>
      <c r="N8339" s="11"/>
      <c r="O8339" s="11" t="e">
        <f t="shared" si="1303"/>
        <v>#DIV/0!</v>
      </c>
      <c r="P8339" s="12">
        <f t="shared" si="1304"/>
        <v>0</v>
      </c>
      <c r="Q8339" s="17" t="str">
        <f t="shared" si="1306"/>
        <v>Pas d'écart</v>
      </c>
    </row>
    <row r="8340" spans="1:17" x14ac:dyDescent="0.3">
      <c r="A8340" s="34">
        <f>base!J8340</f>
        <v>0</v>
      </c>
      <c r="B8340" s="34">
        <f>base!V8340</f>
        <v>0</v>
      </c>
      <c r="C8340" s="40" t="s">
        <v>11</v>
      </c>
      <c r="D8340" s="36">
        <f>base!H8340</f>
        <v>0</v>
      </c>
      <c r="E8340" s="44"/>
      <c r="F8340" s="16">
        <f>base!W8340</f>
        <v>0</v>
      </c>
      <c r="G8340" s="11" t="e">
        <f t="shared" si="1298"/>
        <v>#DIV/0!</v>
      </c>
      <c r="H8340" s="11" t="e">
        <f t="shared" si="1299"/>
        <v>#N/A</v>
      </c>
      <c r="I8340" s="11" t="e">
        <f t="shared" si="1300"/>
        <v>#N/A</v>
      </c>
      <c r="J8340" s="12" t="e">
        <f t="shared" si="1301"/>
        <v>#N/A</v>
      </c>
      <c r="K8340" s="17" t="e">
        <f t="shared" si="1305"/>
        <v>#N/A</v>
      </c>
      <c r="L8340" s="16">
        <f>base!X8340</f>
        <v>0</v>
      </c>
      <c r="M8340" s="11" t="e">
        <f t="shared" si="1302"/>
        <v>#DIV/0!</v>
      </c>
      <c r="N8340" s="11"/>
      <c r="O8340" s="11" t="e">
        <f t="shared" si="1303"/>
        <v>#DIV/0!</v>
      </c>
      <c r="P8340" s="12">
        <f t="shared" si="1304"/>
        <v>0</v>
      </c>
      <c r="Q8340" s="17" t="str">
        <f t="shared" si="1306"/>
        <v>Pas d'écart</v>
      </c>
    </row>
    <row r="8341" spans="1:17" x14ac:dyDescent="0.3">
      <c r="A8341" s="34">
        <f>base!J8341</f>
        <v>0</v>
      </c>
      <c r="B8341" s="34">
        <f>base!V8341</f>
        <v>0</v>
      </c>
      <c r="C8341" s="40" t="s">
        <v>11</v>
      </c>
      <c r="D8341" s="36">
        <f>base!H8341</f>
        <v>0</v>
      </c>
      <c r="E8341" s="44"/>
      <c r="F8341" s="16">
        <f>base!W8341</f>
        <v>0</v>
      </c>
      <c r="G8341" s="11" t="e">
        <f t="shared" si="1298"/>
        <v>#DIV/0!</v>
      </c>
      <c r="H8341" s="11" t="e">
        <f t="shared" si="1299"/>
        <v>#N/A</v>
      </c>
      <c r="I8341" s="11" t="e">
        <f t="shared" si="1300"/>
        <v>#N/A</v>
      </c>
      <c r="J8341" s="12" t="e">
        <f t="shared" si="1301"/>
        <v>#N/A</v>
      </c>
      <c r="K8341" s="17" t="e">
        <f t="shared" si="1305"/>
        <v>#N/A</v>
      </c>
      <c r="L8341" s="16">
        <f>base!X8341</f>
        <v>0</v>
      </c>
      <c r="M8341" s="11" t="e">
        <f t="shared" si="1302"/>
        <v>#DIV/0!</v>
      </c>
      <c r="N8341" s="11"/>
      <c r="O8341" s="11" t="e">
        <f t="shared" si="1303"/>
        <v>#DIV/0!</v>
      </c>
      <c r="P8341" s="12">
        <f t="shared" si="1304"/>
        <v>0</v>
      </c>
      <c r="Q8341" s="17" t="str">
        <f t="shared" si="1306"/>
        <v>Pas d'écart</v>
      </c>
    </row>
    <row r="8342" spans="1:17" x14ac:dyDescent="0.3">
      <c r="A8342" s="34">
        <f>base!J8342</f>
        <v>0</v>
      </c>
      <c r="B8342" s="34">
        <f>base!V8342</f>
        <v>0</v>
      </c>
      <c r="C8342" s="40" t="s">
        <v>11</v>
      </c>
      <c r="D8342" s="36">
        <f>base!H8342</f>
        <v>0</v>
      </c>
      <c r="E8342" s="44"/>
      <c r="F8342" s="16">
        <f>base!W8342</f>
        <v>0</v>
      </c>
      <c r="G8342" s="11" t="e">
        <f t="shared" si="1298"/>
        <v>#DIV/0!</v>
      </c>
      <c r="H8342" s="11" t="e">
        <f t="shared" si="1299"/>
        <v>#N/A</v>
      </c>
      <c r="I8342" s="11" t="e">
        <f t="shared" si="1300"/>
        <v>#N/A</v>
      </c>
      <c r="J8342" s="12" t="e">
        <f t="shared" si="1301"/>
        <v>#N/A</v>
      </c>
      <c r="K8342" s="17" t="e">
        <f t="shared" si="1305"/>
        <v>#N/A</v>
      </c>
      <c r="L8342" s="16">
        <f>base!X8342</f>
        <v>0</v>
      </c>
      <c r="M8342" s="11" t="e">
        <f t="shared" si="1302"/>
        <v>#DIV/0!</v>
      </c>
      <c r="N8342" s="11"/>
      <c r="O8342" s="11" t="e">
        <f t="shared" si="1303"/>
        <v>#DIV/0!</v>
      </c>
      <c r="P8342" s="12">
        <f t="shared" si="1304"/>
        <v>0</v>
      </c>
      <c r="Q8342" s="17" t="str">
        <f t="shared" si="1306"/>
        <v>Pas d'écart</v>
      </c>
    </row>
    <row r="8343" spans="1:17" x14ac:dyDescent="0.3">
      <c r="A8343" s="34">
        <f>base!J8343</f>
        <v>0</v>
      </c>
      <c r="B8343" s="34">
        <f>base!V8343</f>
        <v>0</v>
      </c>
      <c r="C8343" s="40" t="s">
        <v>11</v>
      </c>
      <c r="D8343" s="36">
        <f>base!H8343</f>
        <v>0</v>
      </c>
      <c r="E8343" s="44"/>
      <c r="F8343" s="16">
        <f>base!W8343</f>
        <v>0</v>
      </c>
      <c r="G8343" s="11" t="e">
        <f t="shared" si="1298"/>
        <v>#DIV/0!</v>
      </c>
      <c r="H8343" s="11" t="e">
        <f t="shared" si="1299"/>
        <v>#N/A</v>
      </c>
      <c r="I8343" s="11" t="e">
        <f t="shared" si="1300"/>
        <v>#N/A</v>
      </c>
      <c r="J8343" s="12" t="e">
        <f t="shared" si="1301"/>
        <v>#N/A</v>
      </c>
      <c r="K8343" s="17" t="e">
        <f t="shared" si="1305"/>
        <v>#N/A</v>
      </c>
      <c r="L8343" s="16">
        <f>base!X8343</f>
        <v>0</v>
      </c>
      <c r="M8343" s="11" t="e">
        <f t="shared" si="1302"/>
        <v>#DIV/0!</v>
      </c>
      <c r="N8343" s="11"/>
      <c r="O8343" s="11" t="e">
        <f t="shared" si="1303"/>
        <v>#DIV/0!</v>
      </c>
      <c r="P8343" s="12">
        <f t="shared" si="1304"/>
        <v>0</v>
      </c>
      <c r="Q8343" s="17" t="str">
        <f t="shared" si="1306"/>
        <v>Pas d'écart</v>
      </c>
    </row>
    <row r="8344" spans="1:17" x14ac:dyDescent="0.3">
      <c r="A8344" s="34">
        <f>base!J8344</f>
        <v>0</v>
      </c>
      <c r="B8344" s="34">
        <f>base!V8344</f>
        <v>0</v>
      </c>
      <c r="C8344" s="40" t="s">
        <v>11</v>
      </c>
      <c r="D8344" s="36">
        <f>base!H8344</f>
        <v>0</v>
      </c>
      <c r="E8344" s="44"/>
      <c r="F8344" s="16">
        <f>base!W8344</f>
        <v>0</v>
      </c>
      <c r="G8344" s="11" t="e">
        <f t="shared" si="1298"/>
        <v>#DIV/0!</v>
      </c>
      <c r="H8344" s="11" t="e">
        <f t="shared" si="1299"/>
        <v>#N/A</v>
      </c>
      <c r="I8344" s="11" t="e">
        <f t="shared" si="1300"/>
        <v>#N/A</v>
      </c>
      <c r="J8344" s="12" t="e">
        <f t="shared" si="1301"/>
        <v>#N/A</v>
      </c>
      <c r="K8344" s="17" t="e">
        <f t="shared" si="1305"/>
        <v>#N/A</v>
      </c>
      <c r="L8344" s="16">
        <f>base!X8344</f>
        <v>0</v>
      </c>
      <c r="M8344" s="11" t="e">
        <f t="shared" si="1302"/>
        <v>#DIV/0!</v>
      </c>
      <c r="N8344" s="11"/>
      <c r="O8344" s="11" t="e">
        <f t="shared" si="1303"/>
        <v>#DIV/0!</v>
      </c>
      <c r="P8344" s="12">
        <f t="shared" si="1304"/>
        <v>0</v>
      </c>
      <c r="Q8344" s="17" t="str">
        <f t="shared" si="1306"/>
        <v>Pas d'écart</v>
      </c>
    </row>
    <row r="8345" spans="1:17" x14ac:dyDescent="0.3">
      <c r="A8345" s="34">
        <f>base!J8345</f>
        <v>0</v>
      </c>
      <c r="B8345" s="34">
        <f>base!V8345</f>
        <v>0</v>
      </c>
      <c r="C8345" s="40" t="s">
        <v>11</v>
      </c>
      <c r="D8345" s="36">
        <f>base!H8345</f>
        <v>0</v>
      </c>
      <c r="E8345" s="44"/>
      <c r="F8345" s="16">
        <f>base!W8345</f>
        <v>0</v>
      </c>
      <c r="G8345" s="11" t="e">
        <f t="shared" si="1298"/>
        <v>#DIV/0!</v>
      </c>
      <c r="H8345" s="11" t="e">
        <f t="shared" si="1299"/>
        <v>#N/A</v>
      </c>
      <c r="I8345" s="11" t="e">
        <f t="shared" si="1300"/>
        <v>#N/A</v>
      </c>
      <c r="J8345" s="12" t="e">
        <f t="shared" si="1301"/>
        <v>#N/A</v>
      </c>
      <c r="K8345" s="17" t="e">
        <f t="shared" si="1305"/>
        <v>#N/A</v>
      </c>
      <c r="L8345" s="16">
        <f>base!X8345</f>
        <v>0</v>
      </c>
      <c r="M8345" s="11" t="e">
        <f t="shared" si="1302"/>
        <v>#DIV/0!</v>
      </c>
      <c r="N8345" s="11"/>
      <c r="O8345" s="11" t="e">
        <f t="shared" si="1303"/>
        <v>#DIV/0!</v>
      </c>
      <c r="P8345" s="12">
        <f t="shared" si="1304"/>
        <v>0</v>
      </c>
      <c r="Q8345" s="17" t="str">
        <f t="shared" si="1306"/>
        <v>Pas d'écart</v>
      </c>
    </row>
    <row r="8346" spans="1:17" x14ac:dyDescent="0.3">
      <c r="A8346" s="34">
        <f>base!J8346</f>
        <v>0</v>
      </c>
      <c r="B8346" s="34">
        <f>base!V8346</f>
        <v>0</v>
      </c>
      <c r="C8346" s="40" t="s">
        <v>11</v>
      </c>
      <c r="D8346" s="36">
        <f>base!H8346</f>
        <v>0</v>
      </c>
      <c r="E8346" s="44"/>
      <c r="F8346" s="16">
        <f>base!W8346</f>
        <v>0</v>
      </c>
      <c r="G8346" s="11" t="e">
        <f t="shared" si="1298"/>
        <v>#DIV/0!</v>
      </c>
      <c r="H8346" s="11" t="e">
        <f t="shared" si="1299"/>
        <v>#N/A</v>
      </c>
      <c r="I8346" s="11" t="e">
        <f t="shared" si="1300"/>
        <v>#N/A</v>
      </c>
      <c r="J8346" s="12" t="e">
        <f t="shared" si="1301"/>
        <v>#N/A</v>
      </c>
      <c r="K8346" s="17" t="e">
        <f t="shared" si="1305"/>
        <v>#N/A</v>
      </c>
      <c r="L8346" s="16">
        <f>base!X8346</f>
        <v>0</v>
      </c>
      <c r="M8346" s="11" t="e">
        <f t="shared" si="1302"/>
        <v>#DIV/0!</v>
      </c>
      <c r="N8346" s="11"/>
      <c r="O8346" s="11" t="e">
        <f t="shared" si="1303"/>
        <v>#DIV/0!</v>
      </c>
      <c r="P8346" s="12">
        <f t="shared" si="1304"/>
        <v>0</v>
      </c>
      <c r="Q8346" s="17" t="str">
        <f t="shared" si="1306"/>
        <v>Pas d'écart</v>
      </c>
    </row>
    <row r="8347" spans="1:17" x14ac:dyDescent="0.3">
      <c r="A8347" s="34">
        <f>base!J8347</f>
        <v>0</v>
      </c>
      <c r="B8347" s="34">
        <f>base!V8347</f>
        <v>0</v>
      </c>
      <c r="C8347" s="40" t="s">
        <v>11</v>
      </c>
      <c r="D8347" s="36">
        <f>base!H8347</f>
        <v>0</v>
      </c>
      <c r="E8347" s="44"/>
      <c r="F8347" s="16">
        <f>base!W8347</f>
        <v>0</v>
      </c>
      <c r="G8347" s="11" t="e">
        <f t="shared" si="1298"/>
        <v>#DIV/0!</v>
      </c>
      <c r="H8347" s="11" t="e">
        <f t="shared" si="1299"/>
        <v>#N/A</v>
      </c>
      <c r="I8347" s="11" t="e">
        <f t="shared" si="1300"/>
        <v>#N/A</v>
      </c>
      <c r="J8347" s="12" t="e">
        <f t="shared" si="1301"/>
        <v>#N/A</v>
      </c>
      <c r="K8347" s="17" t="e">
        <f t="shared" si="1305"/>
        <v>#N/A</v>
      </c>
      <c r="L8347" s="16">
        <f>base!X8347</f>
        <v>0</v>
      </c>
      <c r="M8347" s="11" t="e">
        <f t="shared" si="1302"/>
        <v>#DIV/0!</v>
      </c>
      <c r="N8347" s="11"/>
      <c r="O8347" s="11" t="e">
        <f t="shared" si="1303"/>
        <v>#DIV/0!</v>
      </c>
      <c r="P8347" s="12">
        <f t="shared" si="1304"/>
        <v>0</v>
      </c>
      <c r="Q8347" s="17" t="str">
        <f t="shared" si="1306"/>
        <v>Pas d'écart</v>
      </c>
    </row>
    <row r="8348" spans="1:17" x14ac:dyDescent="0.3">
      <c r="A8348" s="34">
        <f>base!J8348</f>
        <v>0</v>
      </c>
      <c r="B8348" s="34">
        <f>base!V8348</f>
        <v>0</v>
      </c>
      <c r="C8348" s="40" t="s">
        <v>11</v>
      </c>
      <c r="D8348" s="36">
        <f>base!H8348</f>
        <v>0</v>
      </c>
      <c r="E8348" s="44"/>
      <c r="F8348" s="16">
        <f>base!W8348</f>
        <v>0</v>
      </c>
      <c r="G8348" s="11" t="e">
        <f t="shared" si="1298"/>
        <v>#DIV/0!</v>
      </c>
      <c r="H8348" s="11" t="e">
        <f t="shared" si="1299"/>
        <v>#N/A</v>
      </c>
      <c r="I8348" s="11" t="e">
        <f t="shared" si="1300"/>
        <v>#N/A</v>
      </c>
      <c r="J8348" s="12" t="e">
        <f t="shared" si="1301"/>
        <v>#N/A</v>
      </c>
      <c r="K8348" s="17" t="e">
        <f t="shared" si="1305"/>
        <v>#N/A</v>
      </c>
      <c r="L8348" s="16">
        <f>base!X8348</f>
        <v>0</v>
      </c>
      <c r="M8348" s="11" t="e">
        <f t="shared" si="1302"/>
        <v>#DIV/0!</v>
      </c>
      <c r="N8348" s="11"/>
      <c r="O8348" s="11" t="e">
        <f t="shared" si="1303"/>
        <v>#DIV/0!</v>
      </c>
      <c r="P8348" s="12">
        <f t="shared" si="1304"/>
        <v>0</v>
      </c>
      <c r="Q8348" s="17" t="str">
        <f t="shared" si="1306"/>
        <v>Pas d'écart</v>
      </c>
    </row>
    <row r="8349" spans="1:17" x14ac:dyDescent="0.3">
      <c r="A8349" s="34">
        <f>base!J8349</f>
        <v>0</v>
      </c>
      <c r="B8349" s="34">
        <f>base!V8349</f>
        <v>0</v>
      </c>
      <c r="C8349" s="40" t="s">
        <v>11</v>
      </c>
      <c r="D8349" s="36">
        <f>base!H8349</f>
        <v>0</v>
      </c>
      <c r="E8349" s="44"/>
      <c r="F8349" s="16">
        <f>base!W8349</f>
        <v>0</v>
      </c>
      <c r="G8349" s="11" t="e">
        <f t="shared" si="1298"/>
        <v>#DIV/0!</v>
      </c>
      <c r="H8349" s="11" t="e">
        <f t="shared" si="1299"/>
        <v>#N/A</v>
      </c>
      <c r="I8349" s="11" t="e">
        <f t="shared" si="1300"/>
        <v>#N/A</v>
      </c>
      <c r="J8349" s="12" t="e">
        <f t="shared" si="1301"/>
        <v>#N/A</v>
      </c>
      <c r="K8349" s="17" t="e">
        <f t="shared" si="1305"/>
        <v>#N/A</v>
      </c>
      <c r="L8349" s="16">
        <f>base!X8349</f>
        <v>0</v>
      </c>
      <c r="M8349" s="11" t="e">
        <f t="shared" si="1302"/>
        <v>#DIV/0!</v>
      </c>
      <c r="N8349" s="11"/>
      <c r="O8349" s="11" t="e">
        <f t="shared" si="1303"/>
        <v>#DIV/0!</v>
      </c>
      <c r="P8349" s="12">
        <f t="shared" si="1304"/>
        <v>0</v>
      </c>
      <c r="Q8349" s="17" t="str">
        <f t="shared" si="1306"/>
        <v>Pas d'écart</v>
      </c>
    </row>
    <row r="8350" spans="1:17" x14ac:dyDescent="0.3">
      <c r="A8350" s="34">
        <f>base!J8350</f>
        <v>0</v>
      </c>
      <c r="B8350" s="34">
        <f>base!V8350</f>
        <v>0</v>
      </c>
      <c r="C8350" s="40" t="s">
        <v>11</v>
      </c>
      <c r="D8350" s="36">
        <f>base!H8350</f>
        <v>0</v>
      </c>
      <c r="E8350" s="44"/>
      <c r="F8350" s="16">
        <f>base!W8350</f>
        <v>0</v>
      </c>
      <c r="G8350" s="11" t="e">
        <f t="shared" si="1298"/>
        <v>#DIV/0!</v>
      </c>
      <c r="H8350" s="11" t="e">
        <f t="shared" si="1299"/>
        <v>#N/A</v>
      </c>
      <c r="I8350" s="11" t="e">
        <f t="shared" si="1300"/>
        <v>#N/A</v>
      </c>
      <c r="J8350" s="12" t="e">
        <f t="shared" si="1301"/>
        <v>#N/A</v>
      </c>
      <c r="K8350" s="17" t="e">
        <f t="shared" si="1305"/>
        <v>#N/A</v>
      </c>
      <c r="L8350" s="16">
        <f>base!X8350</f>
        <v>0</v>
      </c>
      <c r="M8350" s="11" t="e">
        <f t="shared" si="1302"/>
        <v>#DIV/0!</v>
      </c>
      <c r="N8350" s="11"/>
      <c r="O8350" s="11" t="e">
        <f t="shared" si="1303"/>
        <v>#DIV/0!</v>
      </c>
      <c r="P8350" s="12">
        <f t="shared" si="1304"/>
        <v>0</v>
      </c>
      <c r="Q8350" s="17" t="str">
        <f t="shared" si="1306"/>
        <v>Pas d'écart</v>
      </c>
    </row>
    <row r="8351" spans="1:17" x14ac:dyDescent="0.3">
      <c r="A8351" s="34">
        <f>base!J8351</f>
        <v>0</v>
      </c>
      <c r="B8351" s="34">
        <f>base!V8351</f>
        <v>0</v>
      </c>
      <c r="C8351" s="40" t="s">
        <v>11</v>
      </c>
      <c r="D8351" s="36">
        <f>base!H8351</f>
        <v>0</v>
      </c>
      <c r="E8351" s="44"/>
      <c r="F8351" s="16">
        <f>base!W8351</f>
        <v>0</v>
      </c>
      <c r="G8351" s="11" t="e">
        <f t="shared" si="1298"/>
        <v>#DIV/0!</v>
      </c>
      <c r="H8351" s="11" t="e">
        <f t="shared" si="1299"/>
        <v>#N/A</v>
      </c>
      <c r="I8351" s="11" t="e">
        <f t="shared" si="1300"/>
        <v>#N/A</v>
      </c>
      <c r="J8351" s="12" t="e">
        <f t="shared" si="1301"/>
        <v>#N/A</v>
      </c>
      <c r="K8351" s="17" t="e">
        <f t="shared" si="1305"/>
        <v>#N/A</v>
      </c>
      <c r="L8351" s="16">
        <f>base!X8351</f>
        <v>0</v>
      </c>
      <c r="M8351" s="11" t="e">
        <f t="shared" si="1302"/>
        <v>#DIV/0!</v>
      </c>
      <c r="N8351" s="11"/>
      <c r="O8351" s="11" t="e">
        <f t="shared" si="1303"/>
        <v>#DIV/0!</v>
      </c>
      <c r="P8351" s="12">
        <f t="shared" si="1304"/>
        <v>0</v>
      </c>
      <c r="Q8351" s="17" t="str">
        <f t="shared" si="1306"/>
        <v>Pas d'écart</v>
      </c>
    </row>
    <row r="8352" spans="1:17" x14ac:dyDescent="0.3">
      <c r="A8352" s="34">
        <f>base!J8352</f>
        <v>0</v>
      </c>
      <c r="B8352" s="34">
        <f>base!V8352</f>
        <v>0</v>
      </c>
      <c r="C8352" s="40" t="s">
        <v>11</v>
      </c>
      <c r="D8352" s="36">
        <f>base!H8352</f>
        <v>0</v>
      </c>
      <c r="E8352" s="44"/>
      <c r="F8352" s="16">
        <f>base!W8352</f>
        <v>0</v>
      </c>
      <c r="G8352" s="11" t="e">
        <f t="shared" si="1298"/>
        <v>#DIV/0!</v>
      </c>
      <c r="H8352" s="11" t="e">
        <f t="shared" si="1299"/>
        <v>#N/A</v>
      </c>
      <c r="I8352" s="11" t="e">
        <f t="shared" si="1300"/>
        <v>#N/A</v>
      </c>
      <c r="J8352" s="12" t="e">
        <f t="shared" si="1301"/>
        <v>#N/A</v>
      </c>
      <c r="K8352" s="17" t="e">
        <f t="shared" si="1305"/>
        <v>#N/A</v>
      </c>
      <c r="L8352" s="16">
        <f>base!X8352</f>
        <v>0</v>
      </c>
      <c r="M8352" s="11" t="e">
        <f t="shared" si="1302"/>
        <v>#DIV/0!</v>
      </c>
      <c r="N8352" s="11"/>
      <c r="O8352" s="11" t="e">
        <f t="shared" si="1303"/>
        <v>#DIV/0!</v>
      </c>
      <c r="P8352" s="12">
        <f t="shared" si="1304"/>
        <v>0</v>
      </c>
      <c r="Q8352" s="17" t="str">
        <f t="shared" si="1306"/>
        <v>Pas d'écart</v>
      </c>
    </row>
    <row r="8353" spans="1:17" x14ac:dyDescent="0.3">
      <c r="A8353" s="34">
        <f>base!J8353</f>
        <v>0</v>
      </c>
      <c r="B8353" s="34">
        <f>base!V8353</f>
        <v>0</v>
      </c>
      <c r="C8353" s="40" t="s">
        <v>11</v>
      </c>
      <c r="D8353" s="36">
        <f>base!H8353</f>
        <v>0</v>
      </c>
      <c r="E8353" s="44"/>
      <c r="F8353" s="16">
        <f>base!W8353</f>
        <v>0</v>
      </c>
      <c r="G8353" s="11" t="e">
        <f t="shared" si="1298"/>
        <v>#DIV/0!</v>
      </c>
      <c r="H8353" s="11" t="e">
        <f t="shared" si="1299"/>
        <v>#N/A</v>
      </c>
      <c r="I8353" s="11" t="e">
        <f t="shared" si="1300"/>
        <v>#N/A</v>
      </c>
      <c r="J8353" s="12" t="e">
        <f t="shared" si="1301"/>
        <v>#N/A</v>
      </c>
      <c r="K8353" s="17" t="e">
        <f t="shared" si="1305"/>
        <v>#N/A</v>
      </c>
      <c r="L8353" s="16">
        <f>base!X8353</f>
        <v>0</v>
      </c>
      <c r="M8353" s="11" t="e">
        <f t="shared" si="1302"/>
        <v>#DIV/0!</v>
      </c>
      <c r="N8353" s="11"/>
      <c r="O8353" s="11" t="e">
        <f t="shared" si="1303"/>
        <v>#DIV/0!</v>
      </c>
      <c r="P8353" s="12">
        <f t="shared" si="1304"/>
        <v>0</v>
      </c>
      <c r="Q8353" s="17" t="str">
        <f t="shared" si="1306"/>
        <v>Pas d'écart</v>
      </c>
    </row>
    <row r="8354" spans="1:17" x14ac:dyDescent="0.3">
      <c r="A8354" s="34">
        <f>base!J8354</f>
        <v>0</v>
      </c>
      <c r="B8354" s="34">
        <f>base!V8354</f>
        <v>0</v>
      </c>
      <c r="C8354" s="40" t="s">
        <v>11</v>
      </c>
      <c r="D8354" s="36">
        <f>base!H8354</f>
        <v>0</v>
      </c>
      <c r="E8354" s="44"/>
      <c r="F8354" s="16">
        <f>base!W8354</f>
        <v>0</v>
      </c>
      <c r="G8354" s="11" t="e">
        <f t="shared" si="1298"/>
        <v>#DIV/0!</v>
      </c>
      <c r="H8354" s="11" t="e">
        <f t="shared" si="1299"/>
        <v>#N/A</v>
      </c>
      <c r="I8354" s="11" t="e">
        <f t="shared" si="1300"/>
        <v>#N/A</v>
      </c>
      <c r="J8354" s="12" t="e">
        <f t="shared" si="1301"/>
        <v>#N/A</v>
      </c>
      <c r="K8354" s="17" t="e">
        <f t="shared" si="1305"/>
        <v>#N/A</v>
      </c>
      <c r="L8354" s="16">
        <f>base!X8354</f>
        <v>0</v>
      </c>
      <c r="M8354" s="11" t="e">
        <f t="shared" si="1302"/>
        <v>#DIV/0!</v>
      </c>
      <c r="N8354" s="11"/>
      <c r="O8354" s="11" t="e">
        <f t="shared" si="1303"/>
        <v>#DIV/0!</v>
      </c>
      <c r="P8354" s="12">
        <f t="shared" si="1304"/>
        <v>0</v>
      </c>
      <c r="Q8354" s="17" t="str">
        <f t="shared" si="1306"/>
        <v>Pas d'écart</v>
      </c>
    </row>
    <row r="8355" spans="1:17" x14ac:dyDescent="0.3">
      <c r="A8355" s="34">
        <f>base!J8355</f>
        <v>0</v>
      </c>
      <c r="B8355" s="34">
        <f>base!V8355</f>
        <v>0</v>
      </c>
      <c r="C8355" s="40" t="s">
        <v>11</v>
      </c>
      <c r="D8355" s="36">
        <f>base!H8355</f>
        <v>0</v>
      </c>
      <c r="E8355" s="44"/>
      <c r="F8355" s="16">
        <f>base!W8355</f>
        <v>0</v>
      </c>
      <c r="G8355" s="11" t="e">
        <f t="shared" si="1298"/>
        <v>#DIV/0!</v>
      </c>
      <c r="H8355" s="11" t="e">
        <f t="shared" si="1299"/>
        <v>#N/A</v>
      </c>
      <c r="I8355" s="11" t="e">
        <f t="shared" si="1300"/>
        <v>#N/A</v>
      </c>
      <c r="J8355" s="12" t="e">
        <f t="shared" si="1301"/>
        <v>#N/A</v>
      </c>
      <c r="K8355" s="17" t="e">
        <f t="shared" si="1305"/>
        <v>#N/A</v>
      </c>
      <c r="L8355" s="16">
        <f>base!X8355</f>
        <v>0</v>
      </c>
      <c r="M8355" s="11" t="e">
        <f t="shared" si="1302"/>
        <v>#DIV/0!</v>
      </c>
      <c r="N8355" s="11"/>
      <c r="O8355" s="11" t="e">
        <f t="shared" si="1303"/>
        <v>#DIV/0!</v>
      </c>
      <c r="P8355" s="12">
        <f t="shared" si="1304"/>
        <v>0</v>
      </c>
      <c r="Q8355" s="17" t="str">
        <f t="shared" si="1306"/>
        <v>Pas d'écart</v>
      </c>
    </row>
    <row r="8356" spans="1:17" x14ac:dyDescent="0.3">
      <c r="A8356" s="34">
        <f>base!J8356</f>
        <v>0</v>
      </c>
      <c r="B8356" s="34">
        <f>base!V8356</f>
        <v>0</v>
      </c>
      <c r="C8356" s="40" t="s">
        <v>11</v>
      </c>
      <c r="D8356" s="36">
        <f>base!H8356</f>
        <v>0</v>
      </c>
      <c r="E8356" s="44"/>
      <c r="F8356" s="16">
        <f>base!W8356</f>
        <v>0</v>
      </c>
      <c r="G8356" s="11" t="e">
        <f t="shared" si="1298"/>
        <v>#DIV/0!</v>
      </c>
      <c r="H8356" s="11" t="e">
        <f t="shared" si="1299"/>
        <v>#N/A</v>
      </c>
      <c r="I8356" s="11" t="e">
        <f t="shared" si="1300"/>
        <v>#N/A</v>
      </c>
      <c r="J8356" s="12" t="e">
        <f t="shared" si="1301"/>
        <v>#N/A</v>
      </c>
      <c r="K8356" s="17" t="e">
        <f t="shared" si="1305"/>
        <v>#N/A</v>
      </c>
      <c r="L8356" s="16">
        <f>base!X8356</f>
        <v>0</v>
      </c>
      <c r="M8356" s="11" t="e">
        <f t="shared" si="1302"/>
        <v>#DIV/0!</v>
      </c>
      <c r="N8356" s="11"/>
      <c r="O8356" s="11" t="e">
        <f t="shared" si="1303"/>
        <v>#DIV/0!</v>
      </c>
      <c r="P8356" s="12">
        <f t="shared" si="1304"/>
        <v>0</v>
      </c>
      <c r="Q8356" s="17" t="str">
        <f t="shared" si="1306"/>
        <v>Pas d'écart</v>
      </c>
    </row>
    <row r="8357" spans="1:17" x14ac:dyDescent="0.3">
      <c r="A8357" s="34">
        <f>base!J8357</f>
        <v>0</v>
      </c>
      <c r="B8357" s="34">
        <f>base!V8357</f>
        <v>0</v>
      </c>
      <c r="C8357" s="40" t="s">
        <v>11</v>
      </c>
      <c r="D8357" s="36">
        <f>base!H8357</f>
        <v>0</v>
      </c>
      <c r="E8357" s="44"/>
      <c r="F8357" s="16">
        <f>base!W8357</f>
        <v>0</v>
      </c>
      <c r="G8357" s="11" t="e">
        <f t="shared" si="1298"/>
        <v>#DIV/0!</v>
      </c>
      <c r="H8357" s="11" t="e">
        <f t="shared" si="1299"/>
        <v>#N/A</v>
      </c>
      <c r="I8357" s="11" t="e">
        <f t="shared" si="1300"/>
        <v>#N/A</v>
      </c>
      <c r="J8357" s="12" t="e">
        <f t="shared" si="1301"/>
        <v>#N/A</v>
      </c>
      <c r="K8357" s="17" t="e">
        <f t="shared" si="1305"/>
        <v>#N/A</v>
      </c>
      <c r="L8357" s="16">
        <f>base!X8357</f>
        <v>0</v>
      </c>
      <c r="M8357" s="11" t="e">
        <f t="shared" si="1302"/>
        <v>#DIV/0!</v>
      </c>
      <c r="N8357" s="11"/>
      <c r="O8357" s="11" t="e">
        <f t="shared" si="1303"/>
        <v>#DIV/0!</v>
      </c>
      <c r="P8357" s="12">
        <f t="shared" si="1304"/>
        <v>0</v>
      </c>
      <c r="Q8357" s="17" t="str">
        <f t="shared" si="1306"/>
        <v>Pas d'écart</v>
      </c>
    </row>
    <row r="8358" spans="1:17" x14ac:dyDescent="0.3">
      <c r="A8358" s="34">
        <f>base!J8358</f>
        <v>0</v>
      </c>
      <c r="B8358" s="34">
        <f>base!V8358</f>
        <v>0</v>
      </c>
      <c r="C8358" s="40" t="s">
        <v>11</v>
      </c>
      <c r="D8358" s="36">
        <f>base!H8358</f>
        <v>0</v>
      </c>
      <c r="E8358" s="44"/>
      <c r="F8358" s="16">
        <f>base!W8358</f>
        <v>0</v>
      </c>
      <c r="G8358" s="11" t="e">
        <f t="shared" si="1298"/>
        <v>#DIV/0!</v>
      </c>
      <c r="H8358" s="11" t="e">
        <f t="shared" si="1299"/>
        <v>#N/A</v>
      </c>
      <c r="I8358" s="11" t="e">
        <f t="shared" si="1300"/>
        <v>#N/A</v>
      </c>
      <c r="J8358" s="12" t="e">
        <f t="shared" si="1301"/>
        <v>#N/A</v>
      </c>
      <c r="K8358" s="17" t="e">
        <f t="shared" si="1305"/>
        <v>#N/A</v>
      </c>
      <c r="L8358" s="16">
        <f>base!X8358</f>
        <v>0</v>
      </c>
      <c r="M8358" s="11" t="e">
        <f t="shared" si="1302"/>
        <v>#DIV/0!</v>
      </c>
      <c r="N8358" s="11"/>
      <c r="O8358" s="11" t="e">
        <f t="shared" si="1303"/>
        <v>#DIV/0!</v>
      </c>
      <c r="P8358" s="12">
        <f t="shared" si="1304"/>
        <v>0</v>
      </c>
      <c r="Q8358" s="17" t="str">
        <f t="shared" si="1306"/>
        <v>Pas d'écart</v>
      </c>
    </row>
    <row r="8359" spans="1:17" x14ac:dyDescent="0.3">
      <c r="A8359" s="34">
        <f>base!J8359</f>
        <v>0</v>
      </c>
      <c r="B8359" s="34">
        <f>base!V8359</f>
        <v>0</v>
      </c>
      <c r="C8359" s="40" t="s">
        <v>11</v>
      </c>
      <c r="D8359" s="36">
        <f>base!H8359</f>
        <v>0</v>
      </c>
      <c r="E8359" s="44"/>
      <c r="F8359" s="16">
        <f>base!W8359</f>
        <v>0</v>
      </c>
      <c r="G8359" s="11" t="e">
        <f t="shared" si="1298"/>
        <v>#DIV/0!</v>
      </c>
      <c r="H8359" s="11" t="e">
        <f t="shared" si="1299"/>
        <v>#N/A</v>
      </c>
      <c r="I8359" s="11" t="e">
        <f t="shared" si="1300"/>
        <v>#N/A</v>
      </c>
      <c r="J8359" s="12" t="e">
        <f t="shared" si="1301"/>
        <v>#N/A</v>
      </c>
      <c r="K8359" s="17" t="e">
        <f t="shared" si="1305"/>
        <v>#N/A</v>
      </c>
      <c r="L8359" s="16">
        <f>base!X8359</f>
        <v>0</v>
      </c>
      <c r="M8359" s="11" t="e">
        <f t="shared" si="1302"/>
        <v>#DIV/0!</v>
      </c>
      <c r="N8359" s="11"/>
      <c r="O8359" s="11" t="e">
        <f t="shared" si="1303"/>
        <v>#DIV/0!</v>
      </c>
      <c r="P8359" s="12">
        <f t="shared" si="1304"/>
        <v>0</v>
      </c>
      <c r="Q8359" s="17" t="str">
        <f t="shared" si="1306"/>
        <v>Pas d'écart</v>
      </c>
    </row>
    <row r="8360" spans="1:17" x14ac:dyDescent="0.3">
      <c r="A8360" s="34">
        <f>base!J8360</f>
        <v>0</v>
      </c>
      <c r="B8360" s="34">
        <f>base!V8360</f>
        <v>0</v>
      </c>
      <c r="C8360" s="40" t="s">
        <v>11</v>
      </c>
      <c r="D8360" s="36">
        <f>base!H8360</f>
        <v>0</v>
      </c>
      <c r="E8360" s="44"/>
      <c r="F8360" s="16">
        <f>base!W8360</f>
        <v>0</v>
      </c>
      <c r="G8360" s="11" t="e">
        <f t="shared" si="1298"/>
        <v>#DIV/0!</v>
      </c>
      <c r="H8360" s="11" t="e">
        <f t="shared" si="1299"/>
        <v>#N/A</v>
      </c>
      <c r="I8360" s="11" t="e">
        <f t="shared" si="1300"/>
        <v>#N/A</v>
      </c>
      <c r="J8360" s="12" t="e">
        <f t="shared" si="1301"/>
        <v>#N/A</v>
      </c>
      <c r="K8360" s="17" t="e">
        <f t="shared" si="1305"/>
        <v>#N/A</v>
      </c>
      <c r="L8360" s="16">
        <f>base!X8360</f>
        <v>0</v>
      </c>
      <c r="M8360" s="11" t="e">
        <f t="shared" si="1302"/>
        <v>#DIV/0!</v>
      </c>
      <c r="N8360" s="11"/>
      <c r="O8360" s="11" t="e">
        <f t="shared" si="1303"/>
        <v>#DIV/0!</v>
      </c>
      <c r="P8360" s="12">
        <f t="shared" si="1304"/>
        <v>0</v>
      </c>
      <c r="Q8360" s="17" t="str">
        <f t="shared" si="1306"/>
        <v>Pas d'écart</v>
      </c>
    </row>
    <row r="8361" spans="1:17" x14ac:dyDescent="0.3">
      <c r="A8361" s="34">
        <f>base!J8361</f>
        <v>0</v>
      </c>
      <c r="B8361" s="34">
        <f>base!V8361</f>
        <v>0</v>
      </c>
      <c r="C8361" s="40" t="s">
        <v>11</v>
      </c>
      <c r="D8361" s="36">
        <f>base!H8361</f>
        <v>0</v>
      </c>
      <c r="E8361" s="44"/>
      <c r="F8361" s="16">
        <f>base!W8361</f>
        <v>0</v>
      </c>
      <c r="G8361" s="11" t="e">
        <f t="shared" si="1298"/>
        <v>#DIV/0!</v>
      </c>
      <c r="H8361" s="11" t="e">
        <f t="shared" si="1299"/>
        <v>#N/A</v>
      </c>
      <c r="I8361" s="11" t="e">
        <f t="shared" si="1300"/>
        <v>#N/A</v>
      </c>
      <c r="J8361" s="12" t="e">
        <f t="shared" si="1301"/>
        <v>#N/A</v>
      </c>
      <c r="K8361" s="17" t="e">
        <f t="shared" si="1305"/>
        <v>#N/A</v>
      </c>
      <c r="L8361" s="16">
        <f>base!X8361</f>
        <v>0</v>
      </c>
      <c r="M8361" s="11" t="e">
        <f t="shared" si="1302"/>
        <v>#DIV/0!</v>
      </c>
      <c r="N8361" s="11"/>
      <c r="O8361" s="11" t="e">
        <f t="shared" si="1303"/>
        <v>#DIV/0!</v>
      </c>
      <c r="P8361" s="12">
        <f t="shared" si="1304"/>
        <v>0</v>
      </c>
      <c r="Q8361" s="17" t="str">
        <f t="shared" si="1306"/>
        <v>Pas d'écart</v>
      </c>
    </row>
    <row r="8362" spans="1:17" x14ac:dyDescent="0.3">
      <c r="A8362" s="34">
        <f>base!J8362</f>
        <v>0</v>
      </c>
      <c r="B8362" s="34">
        <f>base!V8362</f>
        <v>0</v>
      </c>
      <c r="C8362" s="40" t="s">
        <v>11</v>
      </c>
      <c r="D8362" s="36">
        <f>base!H8362</f>
        <v>0</v>
      </c>
      <c r="E8362" s="44"/>
      <c r="F8362" s="16">
        <f>base!W8362</f>
        <v>0</v>
      </c>
      <c r="G8362" s="11" t="e">
        <f t="shared" si="1298"/>
        <v>#DIV/0!</v>
      </c>
      <c r="H8362" s="11" t="e">
        <f t="shared" si="1299"/>
        <v>#N/A</v>
      </c>
      <c r="I8362" s="11" t="e">
        <f t="shared" si="1300"/>
        <v>#N/A</v>
      </c>
      <c r="J8362" s="12" t="e">
        <f t="shared" si="1301"/>
        <v>#N/A</v>
      </c>
      <c r="K8362" s="17" t="e">
        <f t="shared" si="1305"/>
        <v>#N/A</v>
      </c>
      <c r="L8362" s="16">
        <f>base!X8362</f>
        <v>0</v>
      </c>
      <c r="M8362" s="11" t="e">
        <f t="shared" si="1302"/>
        <v>#DIV/0!</v>
      </c>
      <c r="N8362" s="11"/>
      <c r="O8362" s="11" t="e">
        <f t="shared" si="1303"/>
        <v>#DIV/0!</v>
      </c>
      <c r="P8362" s="12">
        <f t="shared" si="1304"/>
        <v>0</v>
      </c>
      <c r="Q8362" s="17" t="str">
        <f t="shared" si="1306"/>
        <v>Pas d'écart</v>
      </c>
    </row>
    <row r="8363" spans="1:17" x14ac:dyDescent="0.3">
      <c r="A8363" s="34">
        <f>base!J8363</f>
        <v>0</v>
      </c>
      <c r="B8363" s="34">
        <f>base!V8363</f>
        <v>0</v>
      </c>
      <c r="C8363" s="40" t="s">
        <v>11</v>
      </c>
      <c r="D8363" s="36">
        <f>base!H8363</f>
        <v>0</v>
      </c>
      <c r="E8363" s="44"/>
      <c r="F8363" s="16">
        <f>base!W8363</f>
        <v>0</v>
      </c>
      <c r="G8363" s="11" t="e">
        <f t="shared" si="1298"/>
        <v>#DIV/0!</v>
      </c>
      <c r="H8363" s="11" t="e">
        <f t="shared" si="1299"/>
        <v>#N/A</v>
      </c>
      <c r="I8363" s="11" t="e">
        <f t="shared" si="1300"/>
        <v>#N/A</v>
      </c>
      <c r="J8363" s="12" t="e">
        <f t="shared" si="1301"/>
        <v>#N/A</v>
      </c>
      <c r="K8363" s="17" t="e">
        <f t="shared" si="1305"/>
        <v>#N/A</v>
      </c>
      <c r="L8363" s="16">
        <f>base!X8363</f>
        <v>0</v>
      </c>
      <c r="M8363" s="11" t="e">
        <f t="shared" si="1302"/>
        <v>#DIV/0!</v>
      </c>
      <c r="N8363" s="11"/>
      <c r="O8363" s="11" t="e">
        <f t="shared" si="1303"/>
        <v>#DIV/0!</v>
      </c>
      <c r="P8363" s="12">
        <f t="shared" si="1304"/>
        <v>0</v>
      </c>
      <c r="Q8363" s="17" t="str">
        <f t="shared" si="1306"/>
        <v>Pas d'écart</v>
      </c>
    </row>
    <row r="8364" spans="1:17" x14ac:dyDescent="0.3">
      <c r="A8364" s="34">
        <f>base!J8364</f>
        <v>0</v>
      </c>
      <c r="B8364" s="34">
        <f>base!V8364</f>
        <v>0</v>
      </c>
      <c r="C8364" s="40" t="s">
        <v>11</v>
      </c>
      <c r="D8364" s="36">
        <f>base!H8364</f>
        <v>0</v>
      </c>
      <c r="E8364" s="44"/>
      <c r="F8364" s="16">
        <f>base!W8364</f>
        <v>0</v>
      </c>
      <c r="G8364" s="11" t="e">
        <f t="shared" si="1298"/>
        <v>#DIV/0!</v>
      </c>
      <c r="H8364" s="11" t="e">
        <f t="shared" si="1299"/>
        <v>#N/A</v>
      </c>
      <c r="I8364" s="11" t="e">
        <f t="shared" si="1300"/>
        <v>#N/A</v>
      </c>
      <c r="J8364" s="12" t="e">
        <f t="shared" si="1301"/>
        <v>#N/A</v>
      </c>
      <c r="K8364" s="17" t="e">
        <f t="shared" si="1305"/>
        <v>#N/A</v>
      </c>
      <c r="L8364" s="16">
        <f>base!X8364</f>
        <v>0</v>
      </c>
      <c r="M8364" s="11" t="e">
        <f t="shared" si="1302"/>
        <v>#DIV/0!</v>
      </c>
      <c r="N8364" s="11"/>
      <c r="O8364" s="11" t="e">
        <f t="shared" si="1303"/>
        <v>#DIV/0!</v>
      </c>
      <c r="P8364" s="12">
        <f t="shared" si="1304"/>
        <v>0</v>
      </c>
      <c r="Q8364" s="17" t="str">
        <f t="shared" si="1306"/>
        <v>Pas d'écart</v>
      </c>
    </row>
    <row r="8365" spans="1:17" x14ac:dyDescent="0.3">
      <c r="A8365" s="34">
        <f>base!J8365</f>
        <v>0</v>
      </c>
      <c r="B8365" s="34">
        <f>base!V8365</f>
        <v>0</v>
      </c>
      <c r="C8365" s="40" t="s">
        <v>11</v>
      </c>
      <c r="D8365" s="36">
        <f>base!H8365</f>
        <v>0</v>
      </c>
      <c r="E8365" s="44"/>
      <c r="F8365" s="16">
        <f>base!W8365</f>
        <v>0</v>
      </c>
      <c r="G8365" s="11" t="e">
        <f t="shared" si="1298"/>
        <v>#DIV/0!</v>
      </c>
      <c r="H8365" s="11" t="e">
        <f t="shared" si="1299"/>
        <v>#N/A</v>
      </c>
      <c r="I8365" s="11" t="e">
        <f t="shared" si="1300"/>
        <v>#N/A</v>
      </c>
      <c r="J8365" s="12" t="e">
        <f t="shared" si="1301"/>
        <v>#N/A</v>
      </c>
      <c r="K8365" s="17" t="e">
        <f t="shared" si="1305"/>
        <v>#N/A</v>
      </c>
      <c r="L8365" s="16">
        <f>base!X8365</f>
        <v>0</v>
      </c>
      <c r="M8365" s="11" t="e">
        <f t="shared" si="1302"/>
        <v>#DIV/0!</v>
      </c>
      <c r="N8365" s="11"/>
      <c r="O8365" s="11" t="e">
        <f t="shared" si="1303"/>
        <v>#DIV/0!</v>
      </c>
      <c r="P8365" s="12">
        <f t="shared" si="1304"/>
        <v>0</v>
      </c>
      <c r="Q8365" s="17" t="str">
        <f t="shared" si="1306"/>
        <v>Pas d'écart</v>
      </c>
    </row>
    <row r="8366" spans="1:17" x14ac:dyDescent="0.3">
      <c r="A8366" s="34">
        <f>base!J8366</f>
        <v>0</v>
      </c>
      <c r="B8366" s="34">
        <f>base!V8366</f>
        <v>0</v>
      </c>
      <c r="C8366" s="40" t="s">
        <v>11</v>
      </c>
      <c r="D8366" s="36">
        <f>base!H8366</f>
        <v>0</v>
      </c>
      <c r="E8366" s="44"/>
      <c r="F8366" s="16">
        <f>base!W8366</f>
        <v>0</v>
      </c>
      <c r="G8366" s="11" t="e">
        <f t="shared" si="1298"/>
        <v>#DIV/0!</v>
      </c>
      <c r="H8366" s="11" t="e">
        <f t="shared" si="1299"/>
        <v>#N/A</v>
      </c>
      <c r="I8366" s="11" t="e">
        <f t="shared" si="1300"/>
        <v>#N/A</v>
      </c>
      <c r="J8366" s="12" t="e">
        <f t="shared" si="1301"/>
        <v>#N/A</v>
      </c>
      <c r="K8366" s="17" t="e">
        <f t="shared" si="1305"/>
        <v>#N/A</v>
      </c>
      <c r="L8366" s="16">
        <f>base!X8366</f>
        <v>0</v>
      </c>
      <c r="M8366" s="11" t="e">
        <f t="shared" si="1302"/>
        <v>#DIV/0!</v>
      </c>
      <c r="N8366" s="11"/>
      <c r="O8366" s="11" t="e">
        <f t="shared" si="1303"/>
        <v>#DIV/0!</v>
      </c>
      <c r="P8366" s="12">
        <f t="shared" si="1304"/>
        <v>0</v>
      </c>
      <c r="Q8366" s="17" t="str">
        <f t="shared" si="1306"/>
        <v>Pas d'écart</v>
      </c>
    </row>
    <row r="8367" spans="1:17" x14ac:dyDescent="0.3">
      <c r="A8367" s="34">
        <f>base!J8367</f>
        <v>0</v>
      </c>
      <c r="B8367" s="34">
        <f>base!V8367</f>
        <v>0</v>
      </c>
      <c r="C8367" s="40" t="s">
        <v>11</v>
      </c>
      <c r="D8367" s="36">
        <f>base!H8367</f>
        <v>0</v>
      </c>
      <c r="E8367" s="44"/>
      <c r="F8367" s="16">
        <f>base!W8367</f>
        <v>0</v>
      </c>
      <c r="G8367" s="11" t="e">
        <f t="shared" si="1298"/>
        <v>#DIV/0!</v>
      </c>
      <c r="H8367" s="11" t="e">
        <f t="shared" si="1299"/>
        <v>#N/A</v>
      </c>
      <c r="I8367" s="11" t="e">
        <f t="shared" si="1300"/>
        <v>#N/A</v>
      </c>
      <c r="J8367" s="12" t="e">
        <f t="shared" si="1301"/>
        <v>#N/A</v>
      </c>
      <c r="K8367" s="17" t="e">
        <f t="shared" si="1305"/>
        <v>#N/A</v>
      </c>
      <c r="L8367" s="16">
        <f>base!X8367</f>
        <v>0</v>
      </c>
      <c r="M8367" s="11" t="e">
        <f t="shared" si="1302"/>
        <v>#DIV/0!</v>
      </c>
      <c r="N8367" s="11"/>
      <c r="O8367" s="11" t="e">
        <f t="shared" si="1303"/>
        <v>#DIV/0!</v>
      </c>
      <c r="P8367" s="12">
        <f t="shared" si="1304"/>
        <v>0</v>
      </c>
      <c r="Q8367" s="17" t="str">
        <f t="shared" si="1306"/>
        <v>Pas d'écart</v>
      </c>
    </row>
    <row r="8368" spans="1:17" x14ac:dyDescent="0.3">
      <c r="A8368" s="34">
        <f>base!J8368</f>
        <v>0</v>
      </c>
      <c r="B8368" s="34">
        <f>base!V8368</f>
        <v>0</v>
      </c>
      <c r="C8368" s="40" t="s">
        <v>11</v>
      </c>
      <c r="D8368" s="36">
        <f>base!H8368</f>
        <v>0</v>
      </c>
      <c r="E8368" s="44"/>
      <c r="F8368" s="16">
        <f>base!W8368</f>
        <v>0</v>
      </c>
      <c r="G8368" s="11" t="e">
        <f t="shared" si="1298"/>
        <v>#DIV/0!</v>
      </c>
      <c r="H8368" s="11" t="e">
        <f t="shared" si="1299"/>
        <v>#N/A</v>
      </c>
      <c r="I8368" s="11" t="e">
        <f t="shared" si="1300"/>
        <v>#N/A</v>
      </c>
      <c r="J8368" s="12" t="e">
        <f t="shared" si="1301"/>
        <v>#N/A</v>
      </c>
      <c r="K8368" s="17" t="e">
        <f t="shared" si="1305"/>
        <v>#N/A</v>
      </c>
      <c r="L8368" s="16">
        <f>base!X8368</f>
        <v>0</v>
      </c>
      <c r="M8368" s="11" t="e">
        <f t="shared" si="1302"/>
        <v>#DIV/0!</v>
      </c>
      <c r="N8368" s="11"/>
      <c r="O8368" s="11" t="e">
        <f t="shared" si="1303"/>
        <v>#DIV/0!</v>
      </c>
      <c r="P8368" s="12">
        <f t="shared" si="1304"/>
        <v>0</v>
      </c>
      <c r="Q8368" s="17" t="str">
        <f t="shared" si="1306"/>
        <v>Pas d'écart</v>
      </c>
    </row>
    <row r="8369" spans="1:17" x14ac:dyDescent="0.3">
      <c r="A8369" s="34">
        <f>base!J8369</f>
        <v>0</v>
      </c>
      <c r="B8369" s="34">
        <f>base!V8369</f>
        <v>0</v>
      </c>
      <c r="C8369" s="40" t="s">
        <v>11</v>
      </c>
      <c r="D8369" s="36">
        <f>base!H8369</f>
        <v>0</v>
      </c>
      <c r="E8369" s="44"/>
      <c r="F8369" s="16">
        <f>base!W8369</f>
        <v>0</v>
      </c>
      <c r="G8369" s="11" t="e">
        <f t="shared" si="1298"/>
        <v>#DIV/0!</v>
      </c>
      <c r="H8369" s="11" t="e">
        <f t="shared" si="1299"/>
        <v>#N/A</v>
      </c>
      <c r="I8369" s="11" t="e">
        <f t="shared" si="1300"/>
        <v>#N/A</v>
      </c>
      <c r="J8369" s="12" t="e">
        <f t="shared" si="1301"/>
        <v>#N/A</v>
      </c>
      <c r="K8369" s="17" t="e">
        <f t="shared" si="1305"/>
        <v>#N/A</v>
      </c>
      <c r="L8369" s="16">
        <f>base!X8369</f>
        <v>0</v>
      </c>
      <c r="M8369" s="11" t="e">
        <f t="shared" si="1302"/>
        <v>#DIV/0!</v>
      </c>
      <c r="N8369" s="11"/>
      <c r="O8369" s="11" t="e">
        <f t="shared" si="1303"/>
        <v>#DIV/0!</v>
      </c>
      <c r="P8369" s="12">
        <f t="shared" si="1304"/>
        <v>0</v>
      </c>
      <c r="Q8369" s="17" t="str">
        <f t="shared" si="1306"/>
        <v>Pas d'écart</v>
      </c>
    </row>
    <row r="8370" spans="1:17" x14ac:dyDescent="0.3">
      <c r="A8370" s="34">
        <f>base!J8370</f>
        <v>0</v>
      </c>
      <c r="B8370" s="34">
        <f>base!V8370</f>
        <v>0</v>
      </c>
      <c r="C8370" s="40" t="s">
        <v>11</v>
      </c>
      <c r="D8370" s="36">
        <f>base!H8370</f>
        <v>0</v>
      </c>
      <c r="E8370" s="44"/>
      <c r="F8370" s="16">
        <f>base!W8370</f>
        <v>0</v>
      </c>
      <c r="G8370" s="11" t="e">
        <f t="shared" si="1298"/>
        <v>#DIV/0!</v>
      </c>
      <c r="H8370" s="11" t="e">
        <f t="shared" si="1299"/>
        <v>#N/A</v>
      </c>
      <c r="I8370" s="11" t="e">
        <f t="shared" si="1300"/>
        <v>#N/A</v>
      </c>
      <c r="J8370" s="12" t="e">
        <f t="shared" si="1301"/>
        <v>#N/A</v>
      </c>
      <c r="K8370" s="17" t="e">
        <f t="shared" si="1305"/>
        <v>#N/A</v>
      </c>
      <c r="L8370" s="16">
        <f>base!X8370</f>
        <v>0</v>
      </c>
      <c r="M8370" s="11" t="e">
        <f t="shared" si="1302"/>
        <v>#DIV/0!</v>
      </c>
      <c r="N8370" s="11"/>
      <c r="O8370" s="11" t="e">
        <f t="shared" si="1303"/>
        <v>#DIV/0!</v>
      </c>
      <c r="P8370" s="12">
        <f t="shared" si="1304"/>
        <v>0</v>
      </c>
      <c r="Q8370" s="17" t="str">
        <f t="shared" si="1306"/>
        <v>Pas d'écart</v>
      </c>
    </row>
    <row r="8371" spans="1:17" x14ac:dyDescent="0.3">
      <c r="A8371" s="34">
        <f>base!J8371</f>
        <v>0</v>
      </c>
      <c r="B8371" s="34">
        <f>base!V8371</f>
        <v>0</v>
      </c>
      <c r="C8371" s="40" t="s">
        <v>11</v>
      </c>
      <c r="D8371" s="36">
        <f>base!H8371</f>
        <v>0</v>
      </c>
      <c r="E8371" s="44"/>
      <c r="F8371" s="16">
        <f>base!W8371</f>
        <v>0</v>
      </c>
      <c r="G8371" s="11" t="e">
        <f t="shared" si="1298"/>
        <v>#DIV/0!</v>
      </c>
      <c r="H8371" s="11" t="e">
        <f t="shared" si="1299"/>
        <v>#N/A</v>
      </c>
      <c r="I8371" s="11" t="e">
        <f t="shared" si="1300"/>
        <v>#N/A</v>
      </c>
      <c r="J8371" s="12" t="e">
        <f t="shared" si="1301"/>
        <v>#N/A</v>
      </c>
      <c r="K8371" s="17" t="e">
        <f t="shared" si="1305"/>
        <v>#N/A</v>
      </c>
      <c r="L8371" s="16">
        <f>base!X8371</f>
        <v>0</v>
      </c>
      <c r="M8371" s="11" t="e">
        <f t="shared" si="1302"/>
        <v>#DIV/0!</v>
      </c>
      <c r="N8371" s="11"/>
      <c r="O8371" s="11" t="e">
        <f t="shared" si="1303"/>
        <v>#DIV/0!</v>
      </c>
      <c r="P8371" s="12">
        <f t="shared" si="1304"/>
        <v>0</v>
      </c>
      <c r="Q8371" s="17" t="str">
        <f t="shared" si="1306"/>
        <v>Pas d'écart</v>
      </c>
    </row>
    <row r="8372" spans="1:17" x14ac:dyDescent="0.3">
      <c r="A8372" s="34">
        <f>base!J8372</f>
        <v>0</v>
      </c>
      <c r="B8372" s="34">
        <f>base!V8372</f>
        <v>0</v>
      </c>
      <c r="C8372" s="40" t="s">
        <v>11</v>
      </c>
      <c r="D8372" s="36">
        <f>base!H8372</f>
        <v>0</v>
      </c>
      <c r="E8372" s="44"/>
      <c r="F8372" s="16">
        <f>base!W8372</f>
        <v>0</v>
      </c>
      <c r="G8372" s="11" t="e">
        <f t="shared" si="1298"/>
        <v>#DIV/0!</v>
      </c>
      <c r="H8372" s="11" t="e">
        <f t="shared" si="1299"/>
        <v>#N/A</v>
      </c>
      <c r="I8372" s="11" t="e">
        <f t="shared" si="1300"/>
        <v>#N/A</v>
      </c>
      <c r="J8372" s="12" t="e">
        <f t="shared" si="1301"/>
        <v>#N/A</v>
      </c>
      <c r="K8372" s="17" t="e">
        <f t="shared" si="1305"/>
        <v>#N/A</v>
      </c>
      <c r="L8372" s="16">
        <f>base!X8372</f>
        <v>0</v>
      </c>
      <c r="M8372" s="11" t="e">
        <f t="shared" si="1302"/>
        <v>#DIV/0!</v>
      </c>
      <c r="N8372" s="11"/>
      <c r="O8372" s="11" t="e">
        <f t="shared" si="1303"/>
        <v>#DIV/0!</v>
      </c>
      <c r="P8372" s="12">
        <f t="shared" si="1304"/>
        <v>0</v>
      </c>
      <c r="Q8372" s="17" t="str">
        <f t="shared" si="1306"/>
        <v>Pas d'écart</v>
      </c>
    </row>
    <row r="8373" spans="1:17" x14ac:dyDescent="0.3">
      <c r="A8373" s="34">
        <f>base!J8373</f>
        <v>0</v>
      </c>
      <c r="B8373" s="34">
        <f>base!V8373</f>
        <v>0</v>
      </c>
      <c r="C8373" s="40" t="s">
        <v>11</v>
      </c>
      <c r="D8373" s="36">
        <f>base!H8373</f>
        <v>0</v>
      </c>
      <c r="E8373" s="44"/>
      <c r="F8373" s="16">
        <f>base!W8373</f>
        <v>0</v>
      </c>
      <c r="G8373" s="11" t="e">
        <f t="shared" si="1298"/>
        <v>#DIV/0!</v>
      </c>
      <c r="H8373" s="11" t="e">
        <f t="shared" si="1299"/>
        <v>#N/A</v>
      </c>
      <c r="I8373" s="11" t="e">
        <f t="shared" si="1300"/>
        <v>#N/A</v>
      </c>
      <c r="J8373" s="12" t="e">
        <f t="shared" si="1301"/>
        <v>#N/A</v>
      </c>
      <c r="K8373" s="17" t="e">
        <f t="shared" si="1305"/>
        <v>#N/A</v>
      </c>
      <c r="L8373" s="16">
        <f>base!X8373</f>
        <v>0</v>
      </c>
      <c r="M8373" s="11" t="e">
        <f t="shared" si="1302"/>
        <v>#DIV/0!</v>
      </c>
      <c r="N8373" s="11"/>
      <c r="O8373" s="11" t="e">
        <f t="shared" si="1303"/>
        <v>#DIV/0!</v>
      </c>
      <c r="P8373" s="12">
        <f t="shared" si="1304"/>
        <v>0</v>
      </c>
      <c r="Q8373" s="17" t="str">
        <f t="shared" si="1306"/>
        <v>Pas d'écart</v>
      </c>
    </row>
    <row r="8374" spans="1:17" x14ac:dyDescent="0.3">
      <c r="A8374" s="34">
        <f>base!J8374</f>
        <v>0</v>
      </c>
      <c r="B8374" s="34">
        <f>base!V8374</f>
        <v>0</v>
      </c>
      <c r="C8374" s="40" t="s">
        <v>11</v>
      </c>
      <c r="D8374" s="36">
        <f>base!H8374</f>
        <v>0</v>
      </c>
      <c r="E8374" s="44"/>
      <c r="F8374" s="16">
        <f>base!W8374</f>
        <v>0</v>
      </c>
      <c r="G8374" s="11" t="e">
        <f t="shared" si="1298"/>
        <v>#DIV/0!</v>
      </c>
      <c r="H8374" s="11" t="e">
        <f t="shared" si="1299"/>
        <v>#N/A</v>
      </c>
      <c r="I8374" s="11" t="e">
        <f t="shared" si="1300"/>
        <v>#N/A</v>
      </c>
      <c r="J8374" s="12" t="e">
        <f t="shared" si="1301"/>
        <v>#N/A</v>
      </c>
      <c r="K8374" s="17" t="e">
        <f t="shared" si="1305"/>
        <v>#N/A</v>
      </c>
      <c r="L8374" s="16">
        <f>base!X8374</f>
        <v>0</v>
      </c>
      <c r="M8374" s="11" t="e">
        <f t="shared" si="1302"/>
        <v>#DIV/0!</v>
      </c>
      <c r="N8374" s="11"/>
      <c r="O8374" s="11" t="e">
        <f t="shared" si="1303"/>
        <v>#DIV/0!</v>
      </c>
      <c r="P8374" s="12">
        <f t="shared" si="1304"/>
        <v>0</v>
      </c>
      <c r="Q8374" s="17" t="str">
        <f t="shared" si="1306"/>
        <v>Pas d'écart</v>
      </c>
    </row>
    <row r="8375" spans="1:17" x14ac:dyDescent="0.3">
      <c r="A8375" s="34">
        <f>base!J8375</f>
        <v>0</v>
      </c>
      <c r="B8375" s="34">
        <f>base!V8375</f>
        <v>0</v>
      </c>
      <c r="C8375" s="40" t="s">
        <v>11</v>
      </c>
      <c r="D8375" s="36">
        <f>base!H8375</f>
        <v>0</v>
      </c>
      <c r="E8375" s="44"/>
      <c r="F8375" s="16">
        <f>base!W8375</f>
        <v>0</v>
      </c>
      <c r="G8375" s="11" t="e">
        <f t="shared" si="1298"/>
        <v>#DIV/0!</v>
      </c>
      <c r="H8375" s="11" t="e">
        <f t="shared" si="1299"/>
        <v>#N/A</v>
      </c>
      <c r="I8375" s="11" t="e">
        <f t="shared" si="1300"/>
        <v>#N/A</v>
      </c>
      <c r="J8375" s="12" t="e">
        <f t="shared" si="1301"/>
        <v>#N/A</v>
      </c>
      <c r="K8375" s="17" t="e">
        <f t="shared" si="1305"/>
        <v>#N/A</v>
      </c>
      <c r="L8375" s="16">
        <f>base!X8375</f>
        <v>0</v>
      </c>
      <c r="M8375" s="11" t="e">
        <f t="shared" si="1302"/>
        <v>#DIV/0!</v>
      </c>
      <c r="N8375" s="11"/>
      <c r="O8375" s="11" t="e">
        <f t="shared" si="1303"/>
        <v>#DIV/0!</v>
      </c>
      <c r="P8375" s="12">
        <f t="shared" si="1304"/>
        <v>0</v>
      </c>
      <c r="Q8375" s="17" t="str">
        <f t="shared" si="1306"/>
        <v>Pas d'écart</v>
      </c>
    </row>
    <row r="8376" spans="1:17" x14ac:dyDescent="0.3">
      <c r="A8376" s="34">
        <f>base!J8376</f>
        <v>0</v>
      </c>
      <c r="B8376" s="34">
        <f>base!V8376</f>
        <v>0</v>
      </c>
      <c r="C8376" s="40" t="s">
        <v>11</v>
      </c>
      <c r="D8376" s="36">
        <f>base!H8376</f>
        <v>0</v>
      </c>
      <c r="E8376" s="44"/>
      <c r="F8376" s="16">
        <f>base!W8376</f>
        <v>0</v>
      </c>
      <c r="G8376" s="11" t="e">
        <f t="shared" si="1298"/>
        <v>#DIV/0!</v>
      </c>
      <c r="H8376" s="11" t="e">
        <f t="shared" si="1299"/>
        <v>#N/A</v>
      </c>
      <c r="I8376" s="11" t="e">
        <f t="shared" si="1300"/>
        <v>#N/A</v>
      </c>
      <c r="J8376" s="12" t="e">
        <f t="shared" si="1301"/>
        <v>#N/A</v>
      </c>
      <c r="K8376" s="17" t="e">
        <f t="shared" si="1305"/>
        <v>#N/A</v>
      </c>
      <c r="L8376" s="16">
        <f>base!X8376</f>
        <v>0</v>
      </c>
      <c r="M8376" s="11" t="e">
        <f t="shared" si="1302"/>
        <v>#DIV/0!</v>
      </c>
      <c r="N8376" s="11"/>
      <c r="O8376" s="11" t="e">
        <f t="shared" si="1303"/>
        <v>#DIV/0!</v>
      </c>
      <c r="P8376" s="12">
        <f t="shared" si="1304"/>
        <v>0</v>
      </c>
      <c r="Q8376" s="17" t="str">
        <f t="shared" si="1306"/>
        <v>Pas d'écart</v>
      </c>
    </row>
    <row r="8377" spans="1:17" x14ac:dyDescent="0.3">
      <c r="A8377" s="34">
        <f>base!J8377</f>
        <v>0</v>
      </c>
      <c r="B8377" s="34">
        <f>base!V8377</f>
        <v>0</v>
      </c>
      <c r="C8377" s="40" t="s">
        <v>11</v>
      </c>
      <c r="D8377" s="36">
        <f>base!H8377</f>
        <v>0</v>
      </c>
      <c r="E8377" s="44"/>
      <c r="F8377" s="16">
        <f>base!W8377</f>
        <v>0</v>
      </c>
      <c r="G8377" s="11" t="e">
        <f t="shared" si="1298"/>
        <v>#DIV/0!</v>
      </c>
      <c r="H8377" s="11" t="e">
        <f t="shared" si="1299"/>
        <v>#N/A</v>
      </c>
      <c r="I8377" s="11" t="e">
        <f t="shared" si="1300"/>
        <v>#N/A</v>
      </c>
      <c r="J8377" s="12" t="e">
        <f t="shared" si="1301"/>
        <v>#N/A</v>
      </c>
      <c r="K8377" s="17" t="e">
        <f t="shared" si="1305"/>
        <v>#N/A</v>
      </c>
      <c r="L8377" s="16">
        <f>base!X8377</f>
        <v>0</v>
      </c>
      <c r="M8377" s="11" t="e">
        <f t="shared" si="1302"/>
        <v>#DIV/0!</v>
      </c>
      <c r="N8377" s="11"/>
      <c r="O8377" s="11" t="e">
        <f t="shared" si="1303"/>
        <v>#DIV/0!</v>
      </c>
      <c r="P8377" s="12">
        <f t="shared" si="1304"/>
        <v>0</v>
      </c>
      <c r="Q8377" s="17" t="str">
        <f t="shared" si="1306"/>
        <v>Pas d'écart</v>
      </c>
    </row>
    <row r="8378" spans="1:17" x14ac:dyDescent="0.3">
      <c r="A8378" s="34">
        <f>base!J8378</f>
        <v>0</v>
      </c>
      <c r="B8378" s="34">
        <f>base!V8378</f>
        <v>0</v>
      </c>
      <c r="C8378" s="40" t="s">
        <v>11</v>
      </c>
      <c r="D8378" s="36">
        <f>base!H8378</f>
        <v>0</v>
      </c>
      <c r="E8378" s="44"/>
      <c r="F8378" s="16">
        <f>base!W8378</f>
        <v>0</v>
      </c>
      <c r="G8378" s="11" t="e">
        <f t="shared" si="1298"/>
        <v>#DIV/0!</v>
      </c>
      <c r="H8378" s="11" t="e">
        <f t="shared" si="1299"/>
        <v>#N/A</v>
      </c>
      <c r="I8378" s="11" t="e">
        <f t="shared" si="1300"/>
        <v>#N/A</v>
      </c>
      <c r="J8378" s="12" t="e">
        <f t="shared" si="1301"/>
        <v>#N/A</v>
      </c>
      <c r="K8378" s="17" t="e">
        <f t="shared" si="1305"/>
        <v>#N/A</v>
      </c>
      <c r="L8378" s="16">
        <f>base!X8378</f>
        <v>0</v>
      </c>
      <c r="M8378" s="11" t="e">
        <f t="shared" si="1302"/>
        <v>#DIV/0!</v>
      </c>
      <c r="N8378" s="11"/>
      <c r="O8378" s="11" t="e">
        <f t="shared" si="1303"/>
        <v>#DIV/0!</v>
      </c>
      <c r="P8378" s="12">
        <f t="shared" si="1304"/>
        <v>0</v>
      </c>
      <c r="Q8378" s="17" t="str">
        <f t="shared" si="1306"/>
        <v>Pas d'écart</v>
      </c>
    </row>
    <row r="8379" spans="1:17" x14ac:dyDescent="0.3">
      <c r="A8379" s="34">
        <f>base!J8379</f>
        <v>0</v>
      </c>
      <c r="B8379" s="34">
        <f>base!V8379</f>
        <v>0</v>
      </c>
      <c r="C8379" s="40" t="s">
        <v>11</v>
      </c>
      <c r="D8379" s="36">
        <f>base!H8379</f>
        <v>0</v>
      </c>
      <c r="E8379" s="44"/>
      <c r="F8379" s="16">
        <f>base!W8379</f>
        <v>0</v>
      </c>
      <c r="G8379" s="11" t="e">
        <f t="shared" si="1298"/>
        <v>#DIV/0!</v>
      </c>
      <c r="H8379" s="11" t="e">
        <f t="shared" si="1299"/>
        <v>#N/A</v>
      </c>
      <c r="I8379" s="11" t="e">
        <f t="shared" si="1300"/>
        <v>#N/A</v>
      </c>
      <c r="J8379" s="12" t="e">
        <f t="shared" si="1301"/>
        <v>#N/A</v>
      </c>
      <c r="K8379" s="17" t="e">
        <f t="shared" si="1305"/>
        <v>#N/A</v>
      </c>
      <c r="L8379" s="16">
        <f>base!X8379</f>
        <v>0</v>
      </c>
      <c r="M8379" s="11" t="e">
        <f t="shared" si="1302"/>
        <v>#DIV/0!</v>
      </c>
      <c r="N8379" s="11"/>
      <c r="O8379" s="11" t="e">
        <f t="shared" si="1303"/>
        <v>#DIV/0!</v>
      </c>
      <c r="P8379" s="12">
        <f t="shared" si="1304"/>
        <v>0</v>
      </c>
      <c r="Q8379" s="17" t="str">
        <f t="shared" si="1306"/>
        <v>Pas d'écart</v>
      </c>
    </row>
    <row r="8380" spans="1:17" x14ac:dyDescent="0.3">
      <c r="A8380" s="34">
        <f>base!J8380</f>
        <v>0</v>
      </c>
      <c r="B8380" s="34">
        <f>base!V8380</f>
        <v>0</v>
      </c>
      <c r="C8380" s="40" t="s">
        <v>11</v>
      </c>
      <c r="D8380" s="36">
        <f>base!H8380</f>
        <v>0</v>
      </c>
      <c r="E8380" s="44"/>
      <c r="F8380" s="16">
        <f>base!W8380</f>
        <v>0</v>
      </c>
      <c r="G8380" s="11" t="e">
        <f t="shared" si="1298"/>
        <v>#DIV/0!</v>
      </c>
      <c r="H8380" s="11" t="e">
        <f t="shared" si="1299"/>
        <v>#N/A</v>
      </c>
      <c r="I8380" s="11" t="e">
        <f t="shared" si="1300"/>
        <v>#N/A</v>
      </c>
      <c r="J8380" s="12" t="e">
        <f t="shared" si="1301"/>
        <v>#N/A</v>
      </c>
      <c r="K8380" s="17" t="e">
        <f t="shared" si="1305"/>
        <v>#N/A</v>
      </c>
      <c r="L8380" s="16">
        <f>base!X8380</f>
        <v>0</v>
      </c>
      <c r="M8380" s="11" t="e">
        <f t="shared" si="1302"/>
        <v>#DIV/0!</v>
      </c>
      <c r="N8380" s="11"/>
      <c r="O8380" s="11" t="e">
        <f t="shared" si="1303"/>
        <v>#DIV/0!</v>
      </c>
      <c r="P8380" s="12">
        <f t="shared" si="1304"/>
        <v>0</v>
      </c>
      <c r="Q8380" s="17" t="str">
        <f t="shared" si="1306"/>
        <v>Pas d'écart</v>
      </c>
    </row>
    <row r="8381" spans="1:17" x14ac:dyDescent="0.3">
      <c r="A8381" s="34">
        <f>base!J8381</f>
        <v>0</v>
      </c>
      <c r="B8381" s="34">
        <f>base!V8381</f>
        <v>0</v>
      </c>
      <c r="C8381" s="40" t="s">
        <v>11</v>
      </c>
      <c r="D8381" s="36">
        <f>base!H8381</f>
        <v>0</v>
      </c>
      <c r="E8381" s="44"/>
      <c r="F8381" s="16">
        <f>base!W8381</f>
        <v>0</v>
      </c>
      <c r="G8381" s="11" t="e">
        <f t="shared" si="1298"/>
        <v>#DIV/0!</v>
      </c>
      <c r="H8381" s="11" t="e">
        <f t="shared" si="1299"/>
        <v>#N/A</v>
      </c>
      <c r="I8381" s="11" t="e">
        <f t="shared" si="1300"/>
        <v>#N/A</v>
      </c>
      <c r="J8381" s="12" t="e">
        <f t="shared" si="1301"/>
        <v>#N/A</v>
      </c>
      <c r="K8381" s="17" t="e">
        <f t="shared" si="1305"/>
        <v>#N/A</v>
      </c>
      <c r="L8381" s="16">
        <f>base!X8381</f>
        <v>0</v>
      </c>
      <c r="M8381" s="11" t="e">
        <f t="shared" si="1302"/>
        <v>#DIV/0!</v>
      </c>
      <c r="N8381" s="11"/>
      <c r="O8381" s="11" t="e">
        <f t="shared" si="1303"/>
        <v>#DIV/0!</v>
      </c>
      <c r="P8381" s="12">
        <f t="shared" si="1304"/>
        <v>0</v>
      </c>
      <c r="Q8381" s="17" t="str">
        <f t="shared" si="1306"/>
        <v>Pas d'écart</v>
      </c>
    </row>
    <row r="8382" spans="1:17" x14ac:dyDescent="0.3">
      <c r="A8382" s="34">
        <f>base!J8382</f>
        <v>0</v>
      </c>
      <c r="B8382" s="34">
        <f>base!V8382</f>
        <v>0</v>
      </c>
      <c r="C8382" s="40" t="s">
        <v>11</v>
      </c>
      <c r="D8382" s="36">
        <f>base!H8382</f>
        <v>0</v>
      </c>
      <c r="E8382" s="44"/>
      <c r="F8382" s="16">
        <f>base!W8382</f>
        <v>0</v>
      </c>
      <c r="G8382" s="11" t="e">
        <f t="shared" si="1298"/>
        <v>#DIV/0!</v>
      </c>
      <c r="H8382" s="11" t="e">
        <f t="shared" si="1299"/>
        <v>#N/A</v>
      </c>
      <c r="I8382" s="11" t="e">
        <f t="shared" si="1300"/>
        <v>#N/A</v>
      </c>
      <c r="J8382" s="12" t="e">
        <f t="shared" si="1301"/>
        <v>#N/A</v>
      </c>
      <c r="K8382" s="17" t="e">
        <f t="shared" si="1305"/>
        <v>#N/A</v>
      </c>
      <c r="L8382" s="16">
        <f>base!X8382</f>
        <v>0</v>
      </c>
      <c r="M8382" s="11" t="e">
        <f t="shared" si="1302"/>
        <v>#DIV/0!</v>
      </c>
      <c r="N8382" s="11"/>
      <c r="O8382" s="11" t="e">
        <f t="shared" si="1303"/>
        <v>#DIV/0!</v>
      </c>
      <c r="P8382" s="12">
        <f t="shared" si="1304"/>
        <v>0</v>
      </c>
      <c r="Q8382" s="17" t="str">
        <f t="shared" si="1306"/>
        <v>Pas d'écart</v>
      </c>
    </row>
    <row r="8383" spans="1:17" x14ac:dyDescent="0.3">
      <c r="A8383" s="34">
        <f>base!J8383</f>
        <v>0</v>
      </c>
      <c r="B8383" s="34">
        <f>base!V8383</f>
        <v>0</v>
      </c>
      <c r="C8383" s="40" t="s">
        <v>11</v>
      </c>
      <c r="D8383" s="36">
        <f>base!H8383</f>
        <v>0</v>
      </c>
      <c r="E8383" s="44"/>
      <c r="F8383" s="16">
        <f>base!W8383</f>
        <v>0</v>
      </c>
      <c r="G8383" s="11" t="e">
        <f t="shared" si="1298"/>
        <v>#DIV/0!</v>
      </c>
      <c r="H8383" s="11" t="e">
        <f t="shared" si="1299"/>
        <v>#N/A</v>
      </c>
      <c r="I8383" s="11" t="e">
        <f t="shared" si="1300"/>
        <v>#N/A</v>
      </c>
      <c r="J8383" s="12" t="e">
        <f t="shared" si="1301"/>
        <v>#N/A</v>
      </c>
      <c r="K8383" s="17" t="e">
        <f t="shared" si="1305"/>
        <v>#N/A</v>
      </c>
      <c r="L8383" s="16">
        <f>base!X8383</f>
        <v>0</v>
      </c>
      <c r="M8383" s="11" t="e">
        <f t="shared" si="1302"/>
        <v>#DIV/0!</v>
      </c>
      <c r="N8383" s="11"/>
      <c r="O8383" s="11" t="e">
        <f t="shared" si="1303"/>
        <v>#DIV/0!</v>
      </c>
      <c r="P8383" s="12">
        <f t="shared" si="1304"/>
        <v>0</v>
      </c>
      <c r="Q8383" s="17" t="str">
        <f t="shared" si="1306"/>
        <v>Pas d'écart</v>
      </c>
    </row>
    <row r="8384" spans="1:17" x14ac:dyDescent="0.3">
      <c r="A8384" s="34">
        <f>base!J8384</f>
        <v>0</v>
      </c>
      <c r="B8384" s="34">
        <f>base!V8384</f>
        <v>0</v>
      </c>
      <c r="C8384" s="40" t="s">
        <v>11</v>
      </c>
      <c r="D8384" s="36">
        <f>base!H8384</f>
        <v>0</v>
      </c>
      <c r="E8384" s="44"/>
      <c r="F8384" s="16">
        <f>base!W8384</f>
        <v>0</v>
      </c>
      <c r="G8384" s="11" t="e">
        <f t="shared" si="1298"/>
        <v>#DIV/0!</v>
      </c>
      <c r="H8384" s="11" t="e">
        <f t="shared" si="1299"/>
        <v>#N/A</v>
      </c>
      <c r="I8384" s="11" t="e">
        <f t="shared" si="1300"/>
        <v>#N/A</v>
      </c>
      <c r="J8384" s="12" t="e">
        <f t="shared" si="1301"/>
        <v>#N/A</v>
      </c>
      <c r="K8384" s="17" t="e">
        <f t="shared" si="1305"/>
        <v>#N/A</v>
      </c>
      <c r="L8384" s="16">
        <f>base!X8384</f>
        <v>0</v>
      </c>
      <c r="M8384" s="11" t="e">
        <f t="shared" si="1302"/>
        <v>#DIV/0!</v>
      </c>
      <c r="N8384" s="11"/>
      <c r="O8384" s="11" t="e">
        <f t="shared" si="1303"/>
        <v>#DIV/0!</v>
      </c>
      <c r="P8384" s="12">
        <f t="shared" si="1304"/>
        <v>0</v>
      </c>
      <c r="Q8384" s="17" t="str">
        <f t="shared" si="1306"/>
        <v>Pas d'écart</v>
      </c>
    </row>
    <row r="8385" spans="1:17" x14ac:dyDescent="0.3">
      <c r="A8385" s="34">
        <f>base!J8385</f>
        <v>0</v>
      </c>
      <c r="B8385" s="34">
        <f>base!V8385</f>
        <v>0</v>
      </c>
      <c r="C8385" s="40" t="s">
        <v>11</v>
      </c>
      <c r="D8385" s="36">
        <f>base!H8385</f>
        <v>0</v>
      </c>
      <c r="E8385" s="44"/>
      <c r="F8385" s="16">
        <f>base!W8385</f>
        <v>0</v>
      </c>
      <c r="G8385" s="11" t="e">
        <f t="shared" si="1298"/>
        <v>#DIV/0!</v>
      </c>
      <c r="H8385" s="11" t="e">
        <f t="shared" si="1299"/>
        <v>#N/A</v>
      </c>
      <c r="I8385" s="11" t="e">
        <f t="shared" si="1300"/>
        <v>#N/A</v>
      </c>
      <c r="J8385" s="12" t="e">
        <f t="shared" si="1301"/>
        <v>#N/A</v>
      </c>
      <c r="K8385" s="17" t="e">
        <f t="shared" si="1305"/>
        <v>#N/A</v>
      </c>
      <c r="L8385" s="16">
        <f>base!X8385</f>
        <v>0</v>
      </c>
      <c r="M8385" s="11" t="e">
        <f t="shared" si="1302"/>
        <v>#DIV/0!</v>
      </c>
      <c r="N8385" s="11"/>
      <c r="O8385" s="11" t="e">
        <f t="shared" si="1303"/>
        <v>#DIV/0!</v>
      </c>
      <c r="P8385" s="12">
        <f t="shared" si="1304"/>
        <v>0</v>
      </c>
      <c r="Q8385" s="17" t="str">
        <f t="shared" si="1306"/>
        <v>Pas d'écart</v>
      </c>
    </row>
    <row r="8386" spans="1:17" x14ac:dyDescent="0.3">
      <c r="A8386" s="34">
        <f>base!J8386</f>
        <v>0</v>
      </c>
      <c r="B8386" s="34">
        <f>base!V8386</f>
        <v>0</v>
      </c>
      <c r="C8386" s="40" t="s">
        <v>11</v>
      </c>
      <c r="D8386" s="36">
        <f>base!H8386</f>
        <v>0</v>
      </c>
      <c r="E8386" s="44"/>
      <c r="F8386" s="16">
        <f>base!W8386</f>
        <v>0</v>
      </c>
      <c r="G8386" s="11" t="e">
        <f t="shared" ref="G8386:G8449" si="1307">F8386/D8386</f>
        <v>#DIV/0!</v>
      </c>
      <c r="H8386" s="11" t="e">
        <f t="shared" ref="H8386:H8449" si="1308">VLOOKUP(C8386,tout_cout_traction,2,FALSE)*D8386</f>
        <v>#N/A</v>
      </c>
      <c r="I8386" s="11" t="e">
        <f t="shared" ref="I8386:I8449" si="1309">H8386/D8386</f>
        <v>#N/A</v>
      </c>
      <c r="J8386" s="12" t="e">
        <f t="shared" ref="J8386:J8449" si="1310">F8386-H8386</f>
        <v>#N/A</v>
      </c>
      <c r="K8386" s="17" t="e">
        <f t="shared" si="1305"/>
        <v>#N/A</v>
      </c>
      <c r="L8386" s="16">
        <f>base!X8386</f>
        <v>0</v>
      </c>
      <c r="M8386" s="11" t="e">
        <f t="shared" ref="M8386:M8449" si="1311">L8386/D8386</f>
        <v>#DIV/0!</v>
      </c>
      <c r="N8386" s="11"/>
      <c r="O8386" s="11" t="e">
        <f t="shared" ref="O8386:O8449" si="1312">N8386/D8386</f>
        <v>#DIV/0!</v>
      </c>
      <c r="P8386" s="12">
        <f t="shared" ref="P8386:P8449" si="1313">L8386-N8386</f>
        <v>0</v>
      </c>
      <c r="Q8386" s="17" t="str">
        <f t="shared" si="1306"/>
        <v>Pas d'écart</v>
      </c>
    </row>
    <row r="8387" spans="1:17" x14ac:dyDescent="0.3">
      <c r="A8387" s="34">
        <f>base!J8387</f>
        <v>0</v>
      </c>
      <c r="B8387" s="34">
        <f>base!V8387</f>
        <v>0</v>
      </c>
      <c r="C8387" s="40" t="s">
        <v>11</v>
      </c>
      <c r="D8387" s="36">
        <f>base!H8387</f>
        <v>0</v>
      </c>
      <c r="E8387" s="44"/>
      <c r="F8387" s="16">
        <f>base!W8387</f>
        <v>0</v>
      </c>
      <c r="G8387" s="11" t="e">
        <f t="shared" si="1307"/>
        <v>#DIV/0!</v>
      </c>
      <c r="H8387" s="11" t="e">
        <f t="shared" si="1308"/>
        <v>#N/A</v>
      </c>
      <c r="I8387" s="11" t="e">
        <f t="shared" si="1309"/>
        <v>#N/A</v>
      </c>
      <c r="J8387" s="12" t="e">
        <f t="shared" si="1310"/>
        <v>#N/A</v>
      </c>
      <c r="K8387" s="17" t="e">
        <f t="shared" ref="K8387:K8450" si="1314">IF(H8387=F8387,"Pas d'écart",IF(H8387&lt;F8387,"Ecart positif",IF(H8387&gt;F8387,"Ecart négatif")))</f>
        <v>#N/A</v>
      </c>
      <c r="L8387" s="16">
        <f>base!X8387</f>
        <v>0</v>
      </c>
      <c r="M8387" s="11" t="e">
        <f t="shared" si="1311"/>
        <v>#DIV/0!</v>
      </c>
      <c r="N8387" s="11"/>
      <c r="O8387" s="11" t="e">
        <f t="shared" si="1312"/>
        <v>#DIV/0!</v>
      </c>
      <c r="P8387" s="12">
        <f t="shared" si="1313"/>
        <v>0</v>
      </c>
      <c r="Q8387" s="17" t="str">
        <f t="shared" ref="Q8387:Q8450" si="1315">IF(N8387=L8387,"Pas d'écart",IF(N8387&lt;L8387,"Ecart positif",IF(N8387&gt;L8387,"Ecart négatif")))</f>
        <v>Pas d'écart</v>
      </c>
    </row>
    <row r="8388" spans="1:17" x14ac:dyDescent="0.3">
      <c r="A8388" s="34">
        <f>base!J8388</f>
        <v>0</v>
      </c>
      <c r="B8388" s="34">
        <f>base!V8388</f>
        <v>0</v>
      </c>
      <c r="C8388" s="40" t="s">
        <v>11</v>
      </c>
      <c r="D8388" s="36">
        <f>base!H8388</f>
        <v>0</v>
      </c>
      <c r="E8388" s="44"/>
      <c r="F8388" s="16">
        <f>base!W8388</f>
        <v>0</v>
      </c>
      <c r="G8388" s="11" t="e">
        <f t="shared" si="1307"/>
        <v>#DIV/0!</v>
      </c>
      <c r="H8388" s="11" t="e">
        <f t="shared" si="1308"/>
        <v>#N/A</v>
      </c>
      <c r="I8388" s="11" t="e">
        <f t="shared" si="1309"/>
        <v>#N/A</v>
      </c>
      <c r="J8388" s="12" t="e">
        <f t="shared" si="1310"/>
        <v>#N/A</v>
      </c>
      <c r="K8388" s="17" t="e">
        <f t="shared" si="1314"/>
        <v>#N/A</v>
      </c>
      <c r="L8388" s="16">
        <f>base!X8388</f>
        <v>0</v>
      </c>
      <c r="M8388" s="11" t="e">
        <f t="shared" si="1311"/>
        <v>#DIV/0!</v>
      </c>
      <c r="N8388" s="11"/>
      <c r="O8388" s="11" t="e">
        <f t="shared" si="1312"/>
        <v>#DIV/0!</v>
      </c>
      <c r="P8388" s="12">
        <f t="shared" si="1313"/>
        <v>0</v>
      </c>
      <c r="Q8388" s="17" t="str">
        <f t="shared" si="1315"/>
        <v>Pas d'écart</v>
      </c>
    </row>
    <row r="8389" spans="1:17" x14ac:dyDescent="0.3">
      <c r="A8389" s="34">
        <f>base!J8389</f>
        <v>0</v>
      </c>
      <c r="B8389" s="34">
        <f>base!V8389</f>
        <v>0</v>
      </c>
      <c r="C8389" s="40" t="s">
        <v>11</v>
      </c>
      <c r="D8389" s="36">
        <f>base!H8389</f>
        <v>0</v>
      </c>
      <c r="E8389" s="44"/>
      <c r="F8389" s="16">
        <f>base!W8389</f>
        <v>0</v>
      </c>
      <c r="G8389" s="11" t="e">
        <f t="shared" si="1307"/>
        <v>#DIV/0!</v>
      </c>
      <c r="H8389" s="11" t="e">
        <f t="shared" si="1308"/>
        <v>#N/A</v>
      </c>
      <c r="I8389" s="11" t="e">
        <f t="shared" si="1309"/>
        <v>#N/A</v>
      </c>
      <c r="J8389" s="12" t="e">
        <f t="shared" si="1310"/>
        <v>#N/A</v>
      </c>
      <c r="K8389" s="17" t="e">
        <f t="shared" si="1314"/>
        <v>#N/A</v>
      </c>
      <c r="L8389" s="16">
        <f>base!X8389</f>
        <v>0</v>
      </c>
      <c r="M8389" s="11" t="e">
        <f t="shared" si="1311"/>
        <v>#DIV/0!</v>
      </c>
      <c r="N8389" s="11"/>
      <c r="O8389" s="11" t="e">
        <f t="shared" si="1312"/>
        <v>#DIV/0!</v>
      </c>
      <c r="P8389" s="12">
        <f t="shared" si="1313"/>
        <v>0</v>
      </c>
      <c r="Q8389" s="17" t="str">
        <f t="shared" si="1315"/>
        <v>Pas d'écart</v>
      </c>
    </row>
    <row r="8390" spans="1:17" x14ac:dyDescent="0.3">
      <c r="A8390" s="34">
        <f>base!J8390</f>
        <v>0</v>
      </c>
      <c r="B8390" s="34">
        <f>base!V8390</f>
        <v>0</v>
      </c>
      <c r="C8390" s="40" t="s">
        <v>11</v>
      </c>
      <c r="D8390" s="36">
        <f>base!H8390</f>
        <v>0</v>
      </c>
      <c r="E8390" s="44"/>
      <c r="F8390" s="16">
        <f>base!W8390</f>
        <v>0</v>
      </c>
      <c r="G8390" s="11" t="e">
        <f t="shared" si="1307"/>
        <v>#DIV/0!</v>
      </c>
      <c r="H8390" s="11" t="e">
        <f t="shared" si="1308"/>
        <v>#N/A</v>
      </c>
      <c r="I8390" s="11" t="e">
        <f t="shared" si="1309"/>
        <v>#N/A</v>
      </c>
      <c r="J8390" s="12" t="e">
        <f t="shared" si="1310"/>
        <v>#N/A</v>
      </c>
      <c r="K8390" s="17" t="e">
        <f t="shared" si="1314"/>
        <v>#N/A</v>
      </c>
      <c r="L8390" s="16">
        <f>base!X8390</f>
        <v>0</v>
      </c>
      <c r="M8390" s="11" t="e">
        <f t="shared" si="1311"/>
        <v>#DIV/0!</v>
      </c>
      <c r="N8390" s="11"/>
      <c r="O8390" s="11" t="e">
        <f t="shared" si="1312"/>
        <v>#DIV/0!</v>
      </c>
      <c r="P8390" s="12">
        <f t="shared" si="1313"/>
        <v>0</v>
      </c>
      <c r="Q8390" s="17" t="str">
        <f t="shared" si="1315"/>
        <v>Pas d'écart</v>
      </c>
    </row>
    <row r="8391" spans="1:17" x14ac:dyDescent="0.3">
      <c r="A8391" s="34">
        <f>base!J8391</f>
        <v>0</v>
      </c>
      <c r="B8391" s="34">
        <f>base!V8391</f>
        <v>0</v>
      </c>
      <c r="C8391" s="40" t="s">
        <v>11</v>
      </c>
      <c r="D8391" s="36">
        <f>base!H8391</f>
        <v>0</v>
      </c>
      <c r="E8391" s="44"/>
      <c r="F8391" s="16">
        <f>base!W8391</f>
        <v>0</v>
      </c>
      <c r="G8391" s="11" t="e">
        <f t="shared" si="1307"/>
        <v>#DIV/0!</v>
      </c>
      <c r="H8391" s="11" t="e">
        <f t="shared" si="1308"/>
        <v>#N/A</v>
      </c>
      <c r="I8391" s="11" t="e">
        <f t="shared" si="1309"/>
        <v>#N/A</v>
      </c>
      <c r="J8391" s="12" t="e">
        <f t="shared" si="1310"/>
        <v>#N/A</v>
      </c>
      <c r="K8391" s="17" t="e">
        <f t="shared" si="1314"/>
        <v>#N/A</v>
      </c>
      <c r="L8391" s="16">
        <f>base!X8391</f>
        <v>0</v>
      </c>
      <c r="M8391" s="11" t="e">
        <f t="shared" si="1311"/>
        <v>#DIV/0!</v>
      </c>
      <c r="N8391" s="11"/>
      <c r="O8391" s="11" t="e">
        <f t="shared" si="1312"/>
        <v>#DIV/0!</v>
      </c>
      <c r="P8391" s="12">
        <f t="shared" si="1313"/>
        <v>0</v>
      </c>
      <c r="Q8391" s="17" t="str">
        <f t="shared" si="1315"/>
        <v>Pas d'écart</v>
      </c>
    </row>
    <row r="8392" spans="1:17" x14ac:dyDescent="0.3">
      <c r="A8392" s="34">
        <f>base!J8392</f>
        <v>0</v>
      </c>
      <c r="B8392" s="34">
        <f>base!V8392</f>
        <v>0</v>
      </c>
      <c r="C8392" s="40" t="s">
        <v>11</v>
      </c>
      <c r="D8392" s="36">
        <f>base!H8392</f>
        <v>0</v>
      </c>
      <c r="E8392" s="44"/>
      <c r="F8392" s="16">
        <f>base!W8392</f>
        <v>0</v>
      </c>
      <c r="G8392" s="11" t="e">
        <f t="shared" si="1307"/>
        <v>#DIV/0!</v>
      </c>
      <c r="H8392" s="11" t="e">
        <f t="shared" si="1308"/>
        <v>#N/A</v>
      </c>
      <c r="I8392" s="11" t="e">
        <f t="shared" si="1309"/>
        <v>#N/A</v>
      </c>
      <c r="J8392" s="12" t="e">
        <f t="shared" si="1310"/>
        <v>#N/A</v>
      </c>
      <c r="K8392" s="17" t="e">
        <f t="shared" si="1314"/>
        <v>#N/A</v>
      </c>
      <c r="L8392" s="16">
        <f>base!X8392</f>
        <v>0</v>
      </c>
      <c r="M8392" s="11" t="e">
        <f t="shared" si="1311"/>
        <v>#DIV/0!</v>
      </c>
      <c r="N8392" s="11"/>
      <c r="O8392" s="11" t="e">
        <f t="shared" si="1312"/>
        <v>#DIV/0!</v>
      </c>
      <c r="P8392" s="12">
        <f t="shared" si="1313"/>
        <v>0</v>
      </c>
      <c r="Q8392" s="17" t="str">
        <f t="shared" si="1315"/>
        <v>Pas d'écart</v>
      </c>
    </row>
    <row r="8393" spans="1:17" x14ac:dyDescent="0.3">
      <c r="A8393" s="34">
        <f>base!J8393</f>
        <v>0</v>
      </c>
      <c r="B8393" s="34">
        <f>base!V8393</f>
        <v>0</v>
      </c>
      <c r="C8393" s="40" t="s">
        <v>11</v>
      </c>
      <c r="D8393" s="36">
        <f>base!H8393</f>
        <v>0</v>
      </c>
      <c r="E8393" s="44"/>
      <c r="F8393" s="16">
        <f>base!W8393</f>
        <v>0</v>
      </c>
      <c r="G8393" s="11" t="e">
        <f t="shared" si="1307"/>
        <v>#DIV/0!</v>
      </c>
      <c r="H8393" s="11" t="e">
        <f t="shared" si="1308"/>
        <v>#N/A</v>
      </c>
      <c r="I8393" s="11" t="e">
        <f t="shared" si="1309"/>
        <v>#N/A</v>
      </c>
      <c r="J8393" s="12" t="e">
        <f t="shared" si="1310"/>
        <v>#N/A</v>
      </c>
      <c r="K8393" s="17" t="e">
        <f t="shared" si="1314"/>
        <v>#N/A</v>
      </c>
      <c r="L8393" s="16">
        <f>base!X8393</f>
        <v>0</v>
      </c>
      <c r="M8393" s="11" t="e">
        <f t="shared" si="1311"/>
        <v>#DIV/0!</v>
      </c>
      <c r="N8393" s="11"/>
      <c r="O8393" s="11" t="e">
        <f t="shared" si="1312"/>
        <v>#DIV/0!</v>
      </c>
      <c r="P8393" s="12">
        <f t="shared" si="1313"/>
        <v>0</v>
      </c>
      <c r="Q8393" s="17" t="str">
        <f t="shared" si="1315"/>
        <v>Pas d'écart</v>
      </c>
    </row>
    <row r="8394" spans="1:17" x14ac:dyDescent="0.3">
      <c r="A8394" s="34">
        <f>base!J8394</f>
        <v>0</v>
      </c>
      <c r="B8394" s="34">
        <f>base!V8394</f>
        <v>0</v>
      </c>
      <c r="C8394" s="40" t="s">
        <v>11</v>
      </c>
      <c r="D8394" s="36">
        <f>base!H8394</f>
        <v>0</v>
      </c>
      <c r="E8394" s="44"/>
      <c r="F8394" s="16">
        <f>base!W8394</f>
        <v>0</v>
      </c>
      <c r="G8394" s="11" t="e">
        <f t="shared" si="1307"/>
        <v>#DIV/0!</v>
      </c>
      <c r="H8394" s="11" t="e">
        <f t="shared" si="1308"/>
        <v>#N/A</v>
      </c>
      <c r="I8394" s="11" t="e">
        <f t="shared" si="1309"/>
        <v>#N/A</v>
      </c>
      <c r="J8394" s="12" t="e">
        <f t="shared" si="1310"/>
        <v>#N/A</v>
      </c>
      <c r="K8394" s="17" t="e">
        <f t="shared" si="1314"/>
        <v>#N/A</v>
      </c>
      <c r="L8394" s="16">
        <f>base!X8394</f>
        <v>0</v>
      </c>
      <c r="M8394" s="11" t="e">
        <f t="shared" si="1311"/>
        <v>#DIV/0!</v>
      </c>
      <c r="N8394" s="11"/>
      <c r="O8394" s="11" t="e">
        <f t="shared" si="1312"/>
        <v>#DIV/0!</v>
      </c>
      <c r="P8394" s="12">
        <f t="shared" si="1313"/>
        <v>0</v>
      </c>
      <c r="Q8394" s="17" t="str">
        <f t="shared" si="1315"/>
        <v>Pas d'écart</v>
      </c>
    </row>
    <row r="8395" spans="1:17" x14ac:dyDescent="0.3">
      <c r="A8395" s="34">
        <f>base!J8395</f>
        <v>0</v>
      </c>
      <c r="B8395" s="34">
        <f>base!V8395</f>
        <v>0</v>
      </c>
      <c r="C8395" s="40" t="s">
        <v>11</v>
      </c>
      <c r="D8395" s="36">
        <f>base!H8395</f>
        <v>0</v>
      </c>
      <c r="E8395" s="44"/>
      <c r="F8395" s="16">
        <f>base!W8395</f>
        <v>0</v>
      </c>
      <c r="G8395" s="11" t="e">
        <f t="shared" si="1307"/>
        <v>#DIV/0!</v>
      </c>
      <c r="H8395" s="11" t="e">
        <f t="shared" si="1308"/>
        <v>#N/A</v>
      </c>
      <c r="I8395" s="11" t="e">
        <f t="shared" si="1309"/>
        <v>#N/A</v>
      </c>
      <c r="J8395" s="12" t="e">
        <f t="shared" si="1310"/>
        <v>#N/A</v>
      </c>
      <c r="K8395" s="17" t="e">
        <f t="shared" si="1314"/>
        <v>#N/A</v>
      </c>
      <c r="L8395" s="16">
        <f>base!X8395</f>
        <v>0</v>
      </c>
      <c r="M8395" s="11" t="e">
        <f t="shared" si="1311"/>
        <v>#DIV/0!</v>
      </c>
      <c r="N8395" s="11"/>
      <c r="O8395" s="11" t="e">
        <f t="shared" si="1312"/>
        <v>#DIV/0!</v>
      </c>
      <c r="P8395" s="12">
        <f t="shared" si="1313"/>
        <v>0</v>
      </c>
      <c r="Q8395" s="17" t="str">
        <f t="shared" si="1315"/>
        <v>Pas d'écart</v>
      </c>
    </row>
    <row r="8396" spans="1:17" x14ac:dyDescent="0.3">
      <c r="A8396" s="34">
        <f>base!J8396</f>
        <v>0</v>
      </c>
      <c r="B8396" s="34">
        <f>base!V8396</f>
        <v>0</v>
      </c>
      <c r="C8396" s="40" t="s">
        <v>11</v>
      </c>
      <c r="D8396" s="36">
        <f>base!H8396</f>
        <v>0</v>
      </c>
      <c r="E8396" s="44"/>
      <c r="F8396" s="16">
        <f>base!W8396</f>
        <v>0</v>
      </c>
      <c r="G8396" s="11" t="e">
        <f t="shared" si="1307"/>
        <v>#DIV/0!</v>
      </c>
      <c r="H8396" s="11" t="e">
        <f t="shared" si="1308"/>
        <v>#N/A</v>
      </c>
      <c r="I8396" s="11" t="e">
        <f t="shared" si="1309"/>
        <v>#N/A</v>
      </c>
      <c r="J8396" s="12" t="e">
        <f t="shared" si="1310"/>
        <v>#N/A</v>
      </c>
      <c r="K8396" s="17" t="e">
        <f t="shared" si="1314"/>
        <v>#N/A</v>
      </c>
      <c r="L8396" s="16">
        <f>base!X8396</f>
        <v>0</v>
      </c>
      <c r="M8396" s="11" t="e">
        <f t="shared" si="1311"/>
        <v>#DIV/0!</v>
      </c>
      <c r="N8396" s="11"/>
      <c r="O8396" s="11" t="e">
        <f t="shared" si="1312"/>
        <v>#DIV/0!</v>
      </c>
      <c r="P8396" s="12">
        <f t="shared" si="1313"/>
        <v>0</v>
      </c>
      <c r="Q8396" s="17" t="str">
        <f t="shared" si="1315"/>
        <v>Pas d'écart</v>
      </c>
    </row>
    <row r="8397" spans="1:17" x14ac:dyDescent="0.3">
      <c r="A8397" s="34">
        <f>base!J8397</f>
        <v>0</v>
      </c>
      <c r="B8397" s="34">
        <f>base!V8397</f>
        <v>0</v>
      </c>
      <c r="C8397" s="40" t="s">
        <v>11</v>
      </c>
      <c r="D8397" s="36">
        <f>base!H8397</f>
        <v>0</v>
      </c>
      <c r="E8397" s="44"/>
      <c r="F8397" s="16">
        <f>base!W8397</f>
        <v>0</v>
      </c>
      <c r="G8397" s="11" t="e">
        <f t="shared" si="1307"/>
        <v>#DIV/0!</v>
      </c>
      <c r="H8397" s="11" t="e">
        <f t="shared" si="1308"/>
        <v>#N/A</v>
      </c>
      <c r="I8397" s="11" t="e">
        <f t="shared" si="1309"/>
        <v>#N/A</v>
      </c>
      <c r="J8397" s="12" t="e">
        <f t="shared" si="1310"/>
        <v>#N/A</v>
      </c>
      <c r="K8397" s="17" t="e">
        <f t="shared" si="1314"/>
        <v>#N/A</v>
      </c>
      <c r="L8397" s="16">
        <f>base!X8397</f>
        <v>0</v>
      </c>
      <c r="M8397" s="11" t="e">
        <f t="shared" si="1311"/>
        <v>#DIV/0!</v>
      </c>
      <c r="N8397" s="11"/>
      <c r="O8397" s="11" t="e">
        <f t="shared" si="1312"/>
        <v>#DIV/0!</v>
      </c>
      <c r="P8397" s="12">
        <f t="shared" si="1313"/>
        <v>0</v>
      </c>
      <c r="Q8397" s="17" t="str">
        <f t="shared" si="1315"/>
        <v>Pas d'écart</v>
      </c>
    </row>
    <row r="8398" spans="1:17" x14ac:dyDescent="0.3">
      <c r="A8398" s="34">
        <f>base!J8398</f>
        <v>0</v>
      </c>
      <c r="B8398" s="34">
        <f>base!V8398</f>
        <v>0</v>
      </c>
      <c r="C8398" s="40" t="s">
        <v>11</v>
      </c>
      <c r="D8398" s="36">
        <f>base!H8398</f>
        <v>0</v>
      </c>
      <c r="E8398" s="44"/>
      <c r="F8398" s="16">
        <f>base!W8398</f>
        <v>0</v>
      </c>
      <c r="G8398" s="11" t="e">
        <f t="shared" si="1307"/>
        <v>#DIV/0!</v>
      </c>
      <c r="H8398" s="11" t="e">
        <f t="shared" si="1308"/>
        <v>#N/A</v>
      </c>
      <c r="I8398" s="11" t="e">
        <f t="shared" si="1309"/>
        <v>#N/A</v>
      </c>
      <c r="J8398" s="12" t="e">
        <f t="shared" si="1310"/>
        <v>#N/A</v>
      </c>
      <c r="K8398" s="17" t="e">
        <f t="shared" si="1314"/>
        <v>#N/A</v>
      </c>
      <c r="L8398" s="16">
        <f>base!X8398</f>
        <v>0</v>
      </c>
      <c r="M8398" s="11" t="e">
        <f t="shared" si="1311"/>
        <v>#DIV/0!</v>
      </c>
      <c r="N8398" s="11"/>
      <c r="O8398" s="11" t="e">
        <f t="shared" si="1312"/>
        <v>#DIV/0!</v>
      </c>
      <c r="P8398" s="12">
        <f t="shared" si="1313"/>
        <v>0</v>
      </c>
      <c r="Q8398" s="17" t="str">
        <f t="shared" si="1315"/>
        <v>Pas d'écart</v>
      </c>
    </row>
    <row r="8399" spans="1:17" x14ac:dyDescent="0.3">
      <c r="A8399" s="34">
        <f>base!J8399</f>
        <v>0</v>
      </c>
      <c r="B8399" s="34">
        <f>base!V8399</f>
        <v>0</v>
      </c>
      <c r="C8399" s="40" t="s">
        <v>11</v>
      </c>
      <c r="D8399" s="36">
        <f>base!H8399</f>
        <v>0</v>
      </c>
      <c r="E8399" s="44"/>
      <c r="F8399" s="16">
        <f>base!W8399</f>
        <v>0</v>
      </c>
      <c r="G8399" s="11" t="e">
        <f t="shared" si="1307"/>
        <v>#DIV/0!</v>
      </c>
      <c r="H8399" s="11" t="e">
        <f t="shared" si="1308"/>
        <v>#N/A</v>
      </c>
      <c r="I8399" s="11" t="e">
        <f t="shared" si="1309"/>
        <v>#N/A</v>
      </c>
      <c r="J8399" s="12" t="e">
        <f t="shared" si="1310"/>
        <v>#N/A</v>
      </c>
      <c r="K8399" s="17" t="e">
        <f t="shared" si="1314"/>
        <v>#N/A</v>
      </c>
      <c r="L8399" s="16">
        <f>base!X8399</f>
        <v>0</v>
      </c>
      <c r="M8399" s="11" t="e">
        <f t="shared" si="1311"/>
        <v>#DIV/0!</v>
      </c>
      <c r="N8399" s="11"/>
      <c r="O8399" s="11" t="e">
        <f t="shared" si="1312"/>
        <v>#DIV/0!</v>
      </c>
      <c r="P8399" s="12">
        <f t="shared" si="1313"/>
        <v>0</v>
      </c>
      <c r="Q8399" s="17" t="str">
        <f t="shared" si="1315"/>
        <v>Pas d'écart</v>
      </c>
    </row>
    <row r="8400" spans="1:17" x14ac:dyDescent="0.3">
      <c r="A8400" s="34">
        <f>base!J8400</f>
        <v>0</v>
      </c>
      <c r="B8400" s="34">
        <f>base!V8400</f>
        <v>0</v>
      </c>
      <c r="C8400" s="40" t="s">
        <v>11</v>
      </c>
      <c r="D8400" s="36">
        <f>base!H8400</f>
        <v>0</v>
      </c>
      <c r="E8400" s="44"/>
      <c r="F8400" s="16">
        <f>base!W8400</f>
        <v>0</v>
      </c>
      <c r="G8400" s="11" t="e">
        <f t="shared" si="1307"/>
        <v>#DIV/0!</v>
      </c>
      <c r="H8400" s="11" t="e">
        <f t="shared" si="1308"/>
        <v>#N/A</v>
      </c>
      <c r="I8400" s="11" t="e">
        <f t="shared" si="1309"/>
        <v>#N/A</v>
      </c>
      <c r="J8400" s="12" t="e">
        <f t="shared" si="1310"/>
        <v>#N/A</v>
      </c>
      <c r="K8400" s="17" t="e">
        <f t="shared" si="1314"/>
        <v>#N/A</v>
      </c>
      <c r="L8400" s="16">
        <f>base!X8400</f>
        <v>0</v>
      </c>
      <c r="M8400" s="11" t="e">
        <f t="shared" si="1311"/>
        <v>#DIV/0!</v>
      </c>
      <c r="N8400" s="11"/>
      <c r="O8400" s="11" t="e">
        <f t="shared" si="1312"/>
        <v>#DIV/0!</v>
      </c>
      <c r="P8400" s="12">
        <f t="shared" si="1313"/>
        <v>0</v>
      </c>
      <c r="Q8400" s="17" t="str">
        <f t="shared" si="1315"/>
        <v>Pas d'écart</v>
      </c>
    </row>
    <row r="8401" spans="1:17" x14ac:dyDescent="0.3">
      <c r="A8401" s="34">
        <f>base!J8401</f>
        <v>0</v>
      </c>
      <c r="B8401" s="34">
        <f>base!V8401</f>
        <v>0</v>
      </c>
      <c r="C8401" s="40" t="s">
        <v>11</v>
      </c>
      <c r="D8401" s="36">
        <f>base!H8401</f>
        <v>0</v>
      </c>
      <c r="E8401" s="44"/>
      <c r="F8401" s="16">
        <f>base!W8401</f>
        <v>0</v>
      </c>
      <c r="G8401" s="11" t="e">
        <f t="shared" si="1307"/>
        <v>#DIV/0!</v>
      </c>
      <c r="H8401" s="11" t="e">
        <f t="shared" si="1308"/>
        <v>#N/A</v>
      </c>
      <c r="I8401" s="11" t="e">
        <f t="shared" si="1309"/>
        <v>#N/A</v>
      </c>
      <c r="J8401" s="12" t="e">
        <f t="shared" si="1310"/>
        <v>#N/A</v>
      </c>
      <c r="K8401" s="17" t="e">
        <f t="shared" si="1314"/>
        <v>#N/A</v>
      </c>
      <c r="L8401" s="16">
        <f>base!X8401</f>
        <v>0</v>
      </c>
      <c r="M8401" s="11" t="e">
        <f t="shared" si="1311"/>
        <v>#DIV/0!</v>
      </c>
      <c r="N8401" s="11"/>
      <c r="O8401" s="11" t="e">
        <f t="shared" si="1312"/>
        <v>#DIV/0!</v>
      </c>
      <c r="P8401" s="12">
        <f t="shared" si="1313"/>
        <v>0</v>
      </c>
      <c r="Q8401" s="17" t="str">
        <f t="shared" si="1315"/>
        <v>Pas d'écart</v>
      </c>
    </row>
    <row r="8402" spans="1:17" x14ac:dyDescent="0.3">
      <c r="A8402" s="34">
        <f>base!J8402</f>
        <v>0</v>
      </c>
      <c r="B8402" s="34">
        <f>base!V8402</f>
        <v>0</v>
      </c>
      <c r="C8402" s="40" t="s">
        <v>11</v>
      </c>
      <c r="D8402" s="36">
        <f>base!H8402</f>
        <v>0</v>
      </c>
      <c r="E8402" s="44"/>
      <c r="F8402" s="16">
        <f>base!W8402</f>
        <v>0</v>
      </c>
      <c r="G8402" s="11" t="e">
        <f t="shared" si="1307"/>
        <v>#DIV/0!</v>
      </c>
      <c r="H8402" s="11" t="e">
        <f t="shared" si="1308"/>
        <v>#N/A</v>
      </c>
      <c r="I8402" s="11" t="e">
        <f t="shared" si="1309"/>
        <v>#N/A</v>
      </c>
      <c r="J8402" s="12" t="e">
        <f t="shared" si="1310"/>
        <v>#N/A</v>
      </c>
      <c r="K8402" s="17" t="e">
        <f t="shared" si="1314"/>
        <v>#N/A</v>
      </c>
      <c r="L8402" s="16">
        <f>base!X8402</f>
        <v>0</v>
      </c>
      <c r="M8402" s="11" t="e">
        <f t="shared" si="1311"/>
        <v>#DIV/0!</v>
      </c>
      <c r="N8402" s="11"/>
      <c r="O8402" s="11" t="e">
        <f t="shared" si="1312"/>
        <v>#DIV/0!</v>
      </c>
      <c r="P8402" s="12">
        <f t="shared" si="1313"/>
        <v>0</v>
      </c>
      <c r="Q8402" s="17" t="str">
        <f t="shared" si="1315"/>
        <v>Pas d'écart</v>
      </c>
    </row>
    <row r="8403" spans="1:17" x14ac:dyDescent="0.3">
      <c r="A8403" s="34">
        <f>base!J8403</f>
        <v>0</v>
      </c>
      <c r="B8403" s="34">
        <f>base!V8403</f>
        <v>0</v>
      </c>
      <c r="C8403" s="40" t="s">
        <v>11</v>
      </c>
      <c r="D8403" s="36">
        <f>base!H8403</f>
        <v>0</v>
      </c>
      <c r="E8403" s="44"/>
      <c r="F8403" s="16">
        <f>base!W8403</f>
        <v>0</v>
      </c>
      <c r="G8403" s="11" t="e">
        <f t="shared" si="1307"/>
        <v>#DIV/0!</v>
      </c>
      <c r="H8403" s="11" t="e">
        <f t="shared" si="1308"/>
        <v>#N/A</v>
      </c>
      <c r="I8403" s="11" t="e">
        <f t="shared" si="1309"/>
        <v>#N/A</v>
      </c>
      <c r="J8403" s="12" t="e">
        <f t="shared" si="1310"/>
        <v>#N/A</v>
      </c>
      <c r="K8403" s="17" t="e">
        <f t="shared" si="1314"/>
        <v>#N/A</v>
      </c>
      <c r="L8403" s="16">
        <f>base!X8403</f>
        <v>0</v>
      </c>
      <c r="M8403" s="11" t="e">
        <f t="shared" si="1311"/>
        <v>#DIV/0!</v>
      </c>
      <c r="N8403" s="11"/>
      <c r="O8403" s="11" t="e">
        <f t="shared" si="1312"/>
        <v>#DIV/0!</v>
      </c>
      <c r="P8403" s="12">
        <f t="shared" si="1313"/>
        <v>0</v>
      </c>
      <c r="Q8403" s="17" t="str">
        <f t="shared" si="1315"/>
        <v>Pas d'écart</v>
      </c>
    </row>
    <row r="8404" spans="1:17" x14ac:dyDescent="0.3">
      <c r="A8404" s="34">
        <f>base!J8404</f>
        <v>0</v>
      </c>
      <c r="B8404" s="34">
        <f>base!V8404</f>
        <v>0</v>
      </c>
      <c r="C8404" s="40" t="s">
        <v>11</v>
      </c>
      <c r="D8404" s="36">
        <f>base!H8404</f>
        <v>0</v>
      </c>
      <c r="E8404" s="44"/>
      <c r="F8404" s="16">
        <f>base!W8404</f>
        <v>0</v>
      </c>
      <c r="G8404" s="11" t="e">
        <f t="shared" si="1307"/>
        <v>#DIV/0!</v>
      </c>
      <c r="H8404" s="11" t="e">
        <f t="shared" si="1308"/>
        <v>#N/A</v>
      </c>
      <c r="I8404" s="11" t="e">
        <f t="shared" si="1309"/>
        <v>#N/A</v>
      </c>
      <c r="J8404" s="12" t="e">
        <f t="shared" si="1310"/>
        <v>#N/A</v>
      </c>
      <c r="K8404" s="17" t="e">
        <f t="shared" si="1314"/>
        <v>#N/A</v>
      </c>
      <c r="L8404" s="16">
        <f>base!X8404</f>
        <v>0</v>
      </c>
      <c r="M8404" s="11" t="e">
        <f t="shared" si="1311"/>
        <v>#DIV/0!</v>
      </c>
      <c r="N8404" s="11"/>
      <c r="O8404" s="11" t="e">
        <f t="shared" si="1312"/>
        <v>#DIV/0!</v>
      </c>
      <c r="P8404" s="12">
        <f t="shared" si="1313"/>
        <v>0</v>
      </c>
      <c r="Q8404" s="17" t="str">
        <f t="shared" si="1315"/>
        <v>Pas d'écart</v>
      </c>
    </row>
    <row r="8405" spans="1:17" x14ac:dyDescent="0.3">
      <c r="A8405" s="34">
        <f>base!J8405</f>
        <v>0</v>
      </c>
      <c r="B8405" s="34">
        <f>base!V8405</f>
        <v>0</v>
      </c>
      <c r="C8405" s="40" t="s">
        <v>11</v>
      </c>
      <c r="D8405" s="36">
        <f>base!H8405</f>
        <v>0</v>
      </c>
      <c r="E8405" s="44"/>
      <c r="F8405" s="16">
        <f>base!W8405</f>
        <v>0</v>
      </c>
      <c r="G8405" s="11" t="e">
        <f t="shared" si="1307"/>
        <v>#DIV/0!</v>
      </c>
      <c r="H8405" s="11" t="e">
        <f t="shared" si="1308"/>
        <v>#N/A</v>
      </c>
      <c r="I8405" s="11" t="e">
        <f t="shared" si="1309"/>
        <v>#N/A</v>
      </c>
      <c r="J8405" s="12" t="e">
        <f t="shared" si="1310"/>
        <v>#N/A</v>
      </c>
      <c r="K8405" s="17" t="e">
        <f t="shared" si="1314"/>
        <v>#N/A</v>
      </c>
      <c r="L8405" s="16">
        <f>base!X8405</f>
        <v>0</v>
      </c>
      <c r="M8405" s="11" t="e">
        <f t="shared" si="1311"/>
        <v>#DIV/0!</v>
      </c>
      <c r="N8405" s="11"/>
      <c r="O8405" s="11" t="e">
        <f t="shared" si="1312"/>
        <v>#DIV/0!</v>
      </c>
      <c r="P8405" s="12">
        <f t="shared" si="1313"/>
        <v>0</v>
      </c>
      <c r="Q8405" s="17" t="str">
        <f t="shared" si="1315"/>
        <v>Pas d'écart</v>
      </c>
    </row>
    <row r="8406" spans="1:17" x14ac:dyDescent="0.3">
      <c r="A8406" s="34">
        <f>base!J8406</f>
        <v>0</v>
      </c>
      <c r="B8406" s="34">
        <f>base!V8406</f>
        <v>0</v>
      </c>
      <c r="C8406" s="40" t="s">
        <v>11</v>
      </c>
      <c r="D8406" s="36">
        <f>base!H8406</f>
        <v>0</v>
      </c>
      <c r="E8406" s="44"/>
      <c r="F8406" s="16">
        <f>base!W8406</f>
        <v>0</v>
      </c>
      <c r="G8406" s="11" t="e">
        <f t="shared" si="1307"/>
        <v>#DIV/0!</v>
      </c>
      <c r="H8406" s="11" t="e">
        <f t="shared" si="1308"/>
        <v>#N/A</v>
      </c>
      <c r="I8406" s="11" t="e">
        <f t="shared" si="1309"/>
        <v>#N/A</v>
      </c>
      <c r="J8406" s="12" t="e">
        <f t="shared" si="1310"/>
        <v>#N/A</v>
      </c>
      <c r="K8406" s="17" t="e">
        <f t="shared" si="1314"/>
        <v>#N/A</v>
      </c>
      <c r="L8406" s="16">
        <f>base!X8406</f>
        <v>0</v>
      </c>
      <c r="M8406" s="11" t="e">
        <f t="shared" si="1311"/>
        <v>#DIV/0!</v>
      </c>
      <c r="N8406" s="11"/>
      <c r="O8406" s="11" t="e">
        <f t="shared" si="1312"/>
        <v>#DIV/0!</v>
      </c>
      <c r="P8406" s="12">
        <f t="shared" si="1313"/>
        <v>0</v>
      </c>
      <c r="Q8406" s="17" t="str">
        <f t="shared" si="1315"/>
        <v>Pas d'écart</v>
      </c>
    </row>
    <row r="8407" spans="1:17" x14ac:dyDescent="0.3">
      <c r="A8407" s="34">
        <f>base!J8407</f>
        <v>0</v>
      </c>
      <c r="B8407" s="34">
        <f>base!V8407</f>
        <v>0</v>
      </c>
      <c r="C8407" s="40" t="s">
        <v>11</v>
      </c>
      <c r="D8407" s="36">
        <f>base!H8407</f>
        <v>0</v>
      </c>
      <c r="E8407" s="44"/>
      <c r="F8407" s="16">
        <f>base!W8407</f>
        <v>0</v>
      </c>
      <c r="G8407" s="11" t="e">
        <f t="shared" si="1307"/>
        <v>#DIV/0!</v>
      </c>
      <c r="H8407" s="11" t="e">
        <f t="shared" si="1308"/>
        <v>#N/A</v>
      </c>
      <c r="I8407" s="11" t="e">
        <f t="shared" si="1309"/>
        <v>#N/A</v>
      </c>
      <c r="J8407" s="12" t="e">
        <f t="shared" si="1310"/>
        <v>#N/A</v>
      </c>
      <c r="K8407" s="17" t="e">
        <f t="shared" si="1314"/>
        <v>#N/A</v>
      </c>
      <c r="L8407" s="16">
        <f>base!X8407</f>
        <v>0</v>
      </c>
      <c r="M8407" s="11" t="e">
        <f t="shared" si="1311"/>
        <v>#DIV/0!</v>
      </c>
      <c r="N8407" s="11"/>
      <c r="O8407" s="11" t="e">
        <f t="shared" si="1312"/>
        <v>#DIV/0!</v>
      </c>
      <c r="P8407" s="12">
        <f t="shared" si="1313"/>
        <v>0</v>
      </c>
      <c r="Q8407" s="17" t="str">
        <f t="shared" si="1315"/>
        <v>Pas d'écart</v>
      </c>
    </row>
    <row r="8408" spans="1:17" x14ac:dyDescent="0.3">
      <c r="A8408" s="34">
        <f>base!J8408</f>
        <v>0</v>
      </c>
      <c r="B8408" s="34">
        <f>base!V8408</f>
        <v>0</v>
      </c>
      <c r="C8408" s="40" t="s">
        <v>11</v>
      </c>
      <c r="D8408" s="36">
        <f>base!H8408</f>
        <v>0</v>
      </c>
      <c r="E8408" s="44"/>
      <c r="F8408" s="16">
        <f>base!W8408</f>
        <v>0</v>
      </c>
      <c r="G8408" s="11" t="e">
        <f t="shared" si="1307"/>
        <v>#DIV/0!</v>
      </c>
      <c r="H8408" s="11" t="e">
        <f t="shared" si="1308"/>
        <v>#N/A</v>
      </c>
      <c r="I8408" s="11" t="e">
        <f t="shared" si="1309"/>
        <v>#N/A</v>
      </c>
      <c r="J8408" s="12" t="e">
        <f t="shared" si="1310"/>
        <v>#N/A</v>
      </c>
      <c r="K8408" s="17" t="e">
        <f t="shared" si="1314"/>
        <v>#N/A</v>
      </c>
      <c r="L8408" s="16">
        <f>base!X8408</f>
        <v>0</v>
      </c>
      <c r="M8408" s="11" t="e">
        <f t="shared" si="1311"/>
        <v>#DIV/0!</v>
      </c>
      <c r="N8408" s="11"/>
      <c r="O8408" s="11" t="e">
        <f t="shared" si="1312"/>
        <v>#DIV/0!</v>
      </c>
      <c r="P8408" s="12">
        <f t="shared" si="1313"/>
        <v>0</v>
      </c>
      <c r="Q8408" s="17" t="str">
        <f t="shared" si="1315"/>
        <v>Pas d'écart</v>
      </c>
    </row>
    <row r="8409" spans="1:17" x14ac:dyDescent="0.3">
      <c r="A8409" s="34">
        <f>base!J8409</f>
        <v>0</v>
      </c>
      <c r="B8409" s="34">
        <f>base!V8409</f>
        <v>0</v>
      </c>
      <c r="C8409" s="40" t="s">
        <v>11</v>
      </c>
      <c r="D8409" s="36">
        <f>base!H8409</f>
        <v>0</v>
      </c>
      <c r="E8409" s="44"/>
      <c r="F8409" s="16">
        <f>base!W8409</f>
        <v>0</v>
      </c>
      <c r="G8409" s="11" t="e">
        <f t="shared" si="1307"/>
        <v>#DIV/0!</v>
      </c>
      <c r="H8409" s="11" t="e">
        <f t="shared" si="1308"/>
        <v>#N/A</v>
      </c>
      <c r="I8409" s="11" t="e">
        <f t="shared" si="1309"/>
        <v>#N/A</v>
      </c>
      <c r="J8409" s="12" t="e">
        <f t="shared" si="1310"/>
        <v>#N/A</v>
      </c>
      <c r="K8409" s="17" t="e">
        <f t="shared" si="1314"/>
        <v>#N/A</v>
      </c>
      <c r="L8409" s="16">
        <f>base!X8409</f>
        <v>0</v>
      </c>
      <c r="M8409" s="11" t="e">
        <f t="shared" si="1311"/>
        <v>#DIV/0!</v>
      </c>
      <c r="N8409" s="11"/>
      <c r="O8409" s="11" t="e">
        <f t="shared" si="1312"/>
        <v>#DIV/0!</v>
      </c>
      <c r="P8409" s="12">
        <f t="shared" si="1313"/>
        <v>0</v>
      </c>
      <c r="Q8409" s="17" t="str">
        <f t="shared" si="1315"/>
        <v>Pas d'écart</v>
      </c>
    </row>
    <row r="8410" spans="1:17" x14ac:dyDescent="0.3">
      <c r="A8410" s="34">
        <f>base!J8410</f>
        <v>0</v>
      </c>
      <c r="B8410" s="34">
        <f>base!V8410</f>
        <v>0</v>
      </c>
      <c r="C8410" s="40" t="s">
        <v>11</v>
      </c>
      <c r="D8410" s="36">
        <f>base!H8410</f>
        <v>0</v>
      </c>
      <c r="E8410" s="44"/>
      <c r="F8410" s="16">
        <f>base!W8410</f>
        <v>0</v>
      </c>
      <c r="G8410" s="11" t="e">
        <f t="shared" si="1307"/>
        <v>#DIV/0!</v>
      </c>
      <c r="H8410" s="11" t="e">
        <f t="shared" si="1308"/>
        <v>#N/A</v>
      </c>
      <c r="I8410" s="11" t="e">
        <f t="shared" si="1309"/>
        <v>#N/A</v>
      </c>
      <c r="J8410" s="12" t="e">
        <f t="shared" si="1310"/>
        <v>#N/A</v>
      </c>
      <c r="K8410" s="17" t="e">
        <f t="shared" si="1314"/>
        <v>#N/A</v>
      </c>
      <c r="L8410" s="16">
        <f>base!X8410</f>
        <v>0</v>
      </c>
      <c r="M8410" s="11" t="e">
        <f t="shared" si="1311"/>
        <v>#DIV/0!</v>
      </c>
      <c r="N8410" s="11"/>
      <c r="O8410" s="11" t="e">
        <f t="shared" si="1312"/>
        <v>#DIV/0!</v>
      </c>
      <c r="P8410" s="12">
        <f t="shared" si="1313"/>
        <v>0</v>
      </c>
      <c r="Q8410" s="17" t="str">
        <f t="shared" si="1315"/>
        <v>Pas d'écart</v>
      </c>
    </row>
    <row r="8411" spans="1:17" x14ac:dyDescent="0.3">
      <c r="A8411" s="34">
        <f>base!J8411</f>
        <v>0</v>
      </c>
      <c r="B8411" s="34">
        <f>base!V8411</f>
        <v>0</v>
      </c>
      <c r="C8411" s="40" t="s">
        <v>11</v>
      </c>
      <c r="D8411" s="36">
        <f>base!H8411</f>
        <v>0</v>
      </c>
      <c r="E8411" s="44"/>
      <c r="F8411" s="16">
        <f>base!W8411</f>
        <v>0</v>
      </c>
      <c r="G8411" s="11" t="e">
        <f t="shared" si="1307"/>
        <v>#DIV/0!</v>
      </c>
      <c r="H8411" s="11" t="e">
        <f t="shared" si="1308"/>
        <v>#N/A</v>
      </c>
      <c r="I8411" s="11" t="e">
        <f t="shared" si="1309"/>
        <v>#N/A</v>
      </c>
      <c r="J8411" s="12" t="e">
        <f t="shared" si="1310"/>
        <v>#N/A</v>
      </c>
      <c r="K8411" s="17" t="e">
        <f t="shared" si="1314"/>
        <v>#N/A</v>
      </c>
      <c r="L8411" s="16">
        <f>base!X8411</f>
        <v>0</v>
      </c>
      <c r="M8411" s="11" t="e">
        <f t="shared" si="1311"/>
        <v>#DIV/0!</v>
      </c>
      <c r="N8411" s="11"/>
      <c r="O8411" s="11" t="e">
        <f t="shared" si="1312"/>
        <v>#DIV/0!</v>
      </c>
      <c r="P8411" s="12">
        <f t="shared" si="1313"/>
        <v>0</v>
      </c>
      <c r="Q8411" s="17" t="str">
        <f t="shared" si="1315"/>
        <v>Pas d'écart</v>
      </c>
    </row>
    <row r="8412" spans="1:17" x14ac:dyDescent="0.3">
      <c r="A8412" s="34">
        <f>base!J8412</f>
        <v>0</v>
      </c>
      <c r="B8412" s="34">
        <f>base!V8412</f>
        <v>0</v>
      </c>
      <c r="C8412" s="40" t="s">
        <v>11</v>
      </c>
      <c r="D8412" s="36">
        <f>base!H8412</f>
        <v>0</v>
      </c>
      <c r="E8412" s="44"/>
      <c r="F8412" s="16">
        <f>base!W8412</f>
        <v>0</v>
      </c>
      <c r="G8412" s="11" t="e">
        <f t="shared" si="1307"/>
        <v>#DIV/0!</v>
      </c>
      <c r="H8412" s="11" t="e">
        <f t="shared" si="1308"/>
        <v>#N/A</v>
      </c>
      <c r="I8412" s="11" t="e">
        <f t="shared" si="1309"/>
        <v>#N/A</v>
      </c>
      <c r="J8412" s="12" t="e">
        <f t="shared" si="1310"/>
        <v>#N/A</v>
      </c>
      <c r="K8412" s="17" t="e">
        <f t="shared" si="1314"/>
        <v>#N/A</v>
      </c>
      <c r="L8412" s="16">
        <f>base!X8412</f>
        <v>0</v>
      </c>
      <c r="M8412" s="11" t="e">
        <f t="shared" si="1311"/>
        <v>#DIV/0!</v>
      </c>
      <c r="N8412" s="11"/>
      <c r="O8412" s="11" t="e">
        <f t="shared" si="1312"/>
        <v>#DIV/0!</v>
      </c>
      <c r="P8412" s="12">
        <f t="shared" si="1313"/>
        <v>0</v>
      </c>
      <c r="Q8412" s="17" t="str">
        <f t="shared" si="1315"/>
        <v>Pas d'écart</v>
      </c>
    </row>
    <row r="8413" spans="1:17" x14ac:dyDescent="0.3">
      <c r="A8413" s="34">
        <f>base!J8413</f>
        <v>0</v>
      </c>
      <c r="B8413" s="34">
        <f>base!V8413</f>
        <v>0</v>
      </c>
      <c r="C8413" s="40" t="s">
        <v>11</v>
      </c>
      <c r="D8413" s="36">
        <f>base!H8413</f>
        <v>0</v>
      </c>
      <c r="E8413" s="44"/>
      <c r="F8413" s="16">
        <f>base!W8413</f>
        <v>0</v>
      </c>
      <c r="G8413" s="11" t="e">
        <f t="shared" si="1307"/>
        <v>#DIV/0!</v>
      </c>
      <c r="H8413" s="11" t="e">
        <f t="shared" si="1308"/>
        <v>#N/A</v>
      </c>
      <c r="I8413" s="11" t="e">
        <f t="shared" si="1309"/>
        <v>#N/A</v>
      </c>
      <c r="J8413" s="12" t="e">
        <f t="shared" si="1310"/>
        <v>#N/A</v>
      </c>
      <c r="K8413" s="17" t="e">
        <f t="shared" si="1314"/>
        <v>#N/A</v>
      </c>
      <c r="L8413" s="16">
        <f>base!X8413</f>
        <v>0</v>
      </c>
      <c r="M8413" s="11" t="e">
        <f t="shared" si="1311"/>
        <v>#DIV/0!</v>
      </c>
      <c r="N8413" s="11"/>
      <c r="O8413" s="11" t="e">
        <f t="shared" si="1312"/>
        <v>#DIV/0!</v>
      </c>
      <c r="P8413" s="12">
        <f t="shared" si="1313"/>
        <v>0</v>
      </c>
      <c r="Q8413" s="17" t="str">
        <f t="shared" si="1315"/>
        <v>Pas d'écart</v>
      </c>
    </row>
    <row r="8414" spans="1:17" x14ac:dyDescent="0.3">
      <c r="A8414" s="34">
        <f>base!J8414</f>
        <v>0</v>
      </c>
      <c r="B8414" s="34">
        <f>base!V8414</f>
        <v>0</v>
      </c>
      <c r="C8414" s="40" t="s">
        <v>11</v>
      </c>
      <c r="D8414" s="36">
        <f>base!H8414</f>
        <v>0</v>
      </c>
      <c r="E8414" s="44"/>
      <c r="F8414" s="16">
        <f>base!W8414</f>
        <v>0</v>
      </c>
      <c r="G8414" s="11" t="e">
        <f t="shared" si="1307"/>
        <v>#DIV/0!</v>
      </c>
      <c r="H8414" s="11" t="e">
        <f t="shared" si="1308"/>
        <v>#N/A</v>
      </c>
      <c r="I8414" s="11" t="e">
        <f t="shared" si="1309"/>
        <v>#N/A</v>
      </c>
      <c r="J8414" s="12" t="e">
        <f t="shared" si="1310"/>
        <v>#N/A</v>
      </c>
      <c r="K8414" s="17" t="e">
        <f t="shared" si="1314"/>
        <v>#N/A</v>
      </c>
      <c r="L8414" s="16">
        <f>base!X8414</f>
        <v>0</v>
      </c>
      <c r="M8414" s="11" t="e">
        <f t="shared" si="1311"/>
        <v>#DIV/0!</v>
      </c>
      <c r="N8414" s="11"/>
      <c r="O8414" s="11" t="e">
        <f t="shared" si="1312"/>
        <v>#DIV/0!</v>
      </c>
      <c r="P8414" s="12">
        <f t="shared" si="1313"/>
        <v>0</v>
      </c>
      <c r="Q8414" s="17" t="str">
        <f t="shared" si="1315"/>
        <v>Pas d'écart</v>
      </c>
    </row>
    <row r="8415" spans="1:17" x14ac:dyDescent="0.3">
      <c r="A8415" s="34">
        <f>base!J8415</f>
        <v>0</v>
      </c>
      <c r="B8415" s="34">
        <f>base!V8415</f>
        <v>0</v>
      </c>
      <c r="C8415" s="40" t="s">
        <v>11</v>
      </c>
      <c r="D8415" s="36">
        <f>base!H8415</f>
        <v>0</v>
      </c>
      <c r="E8415" s="44"/>
      <c r="F8415" s="16">
        <f>base!W8415</f>
        <v>0</v>
      </c>
      <c r="G8415" s="11" t="e">
        <f t="shared" si="1307"/>
        <v>#DIV/0!</v>
      </c>
      <c r="H8415" s="11" t="e">
        <f t="shared" si="1308"/>
        <v>#N/A</v>
      </c>
      <c r="I8415" s="11" t="e">
        <f t="shared" si="1309"/>
        <v>#N/A</v>
      </c>
      <c r="J8415" s="12" t="e">
        <f t="shared" si="1310"/>
        <v>#N/A</v>
      </c>
      <c r="K8415" s="17" t="e">
        <f t="shared" si="1314"/>
        <v>#N/A</v>
      </c>
      <c r="L8415" s="16">
        <f>base!X8415</f>
        <v>0</v>
      </c>
      <c r="M8415" s="11" t="e">
        <f t="shared" si="1311"/>
        <v>#DIV/0!</v>
      </c>
      <c r="N8415" s="11"/>
      <c r="O8415" s="11" t="e">
        <f t="shared" si="1312"/>
        <v>#DIV/0!</v>
      </c>
      <c r="P8415" s="12">
        <f t="shared" si="1313"/>
        <v>0</v>
      </c>
      <c r="Q8415" s="17" t="str">
        <f t="shared" si="1315"/>
        <v>Pas d'écart</v>
      </c>
    </row>
    <row r="8416" spans="1:17" x14ac:dyDescent="0.3">
      <c r="A8416" s="34">
        <f>base!J8416</f>
        <v>0</v>
      </c>
      <c r="B8416" s="34">
        <f>base!V8416</f>
        <v>0</v>
      </c>
      <c r="C8416" s="40" t="s">
        <v>11</v>
      </c>
      <c r="D8416" s="36">
        <f>base!H8416</f>
        <v>0</v>
      </c>
      <c r="E8416" s="44"/>
      <c r="F8416" s="16">
        <f>base!W8416</f>
        <v>0</v>
      </c>
      <c r="G8416" s="11" t="e">
        <f t="shared" si="1307"/>
        <v>#DIV/0!</v>
      </c>
      <c r="H8416" s="11" t="e">
        <f t="shared" si="1308"/>
        <v>#N/A</v>
      </c>
      <c r="I8416" s="11" t="e">
        <f t="shared" si="1309"/>
        <v>#N/A</v>
      </c>
      <c r="J8416" s="12" t="e">
        <f t="shared" si="1310"/>
        <v>#N/A</v>
      </c>
      <c r="K8416" s="17" t="e">
        <f t="shared" si="1314"/>
        <v>#N/A</v>
      </c>
      <c r="L8416" s="16">
        <f>base!X8416</f>
        <v>0</v>
      </c>
      <c r="M8416" s="11" t="e">
        <f t="shared" si="1311"/>
        <v>#DIV/0!</v>
      </c>
      <c r="N8416" s="11"/>
      <c r="O8416" s="11" t="e">
        <f t="shared" si="1312"/>
        <v>#DIV/0!</v>
      </c>
      <c r="P8416" s="12">
        <f t="shared" si="1313"/>
        <v>0</v>
      </c>
      <c r="Q8416" s="17" t="str">
        <f t="shared" si="1315"/>
        <v>Pas d'écart</v>
      </c>
    </row>
    <row r="8417" spans="1:17" x14ac:dyDescent="0.3">
      <c r="A8417" s="34">
        <f>base!J8417</f>
        <v>0</v>
      </c>
      <c r="B8417" s="34">
        <f>base!V8417</f>
        <v>0</v>
      </c>
      <c r="C8417" s="40" t="s">
        <v>11</v>
      </c>
      <c r="D8417" s="36">
        <f>base!H8417</f>
        <v>0</v>
      </c>
      <c r="E8417" s="44"/>
      <c r="F8417" s="16">
        <f>base!W8417</f>
        <v>0</v>
      </c>
      <c r="G8417" s="11" t="e">
        <f t="shared" si="1307"/>
        <v>#DIV/0!</v>
      </c>
      <c r="H8417" s="11" t="e">
        <f t="shared" si="1308"/>
        <v>#N/A</v>
      </c>
      <c r="I8417" s="11" t="e">
        <f t="shared" si="1309"/>
        <v>#N/A</v>
      </c>
      <c r="J8417" s="12" t="e">
        <f t="shared" si="1310"/>
        <v>#N/A</v>
      </c>
      <c r="K8417" s="17" t="e">
        <f t="shared" si="1314"/>
        <v>#N/A</v>
      </c>
      <c r="L8417" s="16">
        <f>base!X8417</f>
        <v>0</v>
      </c>
      <c r="M8417" s="11" t="e">
        <f t="shared" si="1311"/>
        <v>#DIV/0!</v>
      </c>
      <c r="N8417" s="11"/>
      <c r="O8417" s="11" t="e">
        <f t="shared" si="1312"/>
        <v>#DIV/0!</v>
      </c>
      <c r="P8417" s="12">
        <f t="shared" si="1313"/>
        <v>0</v>
      </c>
      <c r="Q8417" s="17" t="str">
        <f t="shared" si="1315"/>
        <v>Pas d'écart</v>
      </c>
    </row>
    <row r="8418" spans="1:17" x14ac:dyDescent="0.3">
      <c r="A8418" s="34">
        <f>base!J8418</f>
        <v>0</v>
      </c>
      <c r="B8418" s="34">
        <f>base!V8418</f>
        <v>0</v>
      </c>
      <c r="C8418" s="40" t="s">
        <v>11</v>
      </c>
      <c r="D8418" s="36">
        <f>base!H8418</f>
        <v>0</v>
      </c>
      <c r="E8418" s="44"/>
      <c r="F8418" s="16">
        <f>base!W8418</f>
        <v>0</v>
      </c>
      <c r="G8418" s="11" t="e">
        <f t="shared" si="1307"/>
        <v>#DIV/0!</v>
      </c>
      <c r="H8418" s="11" t="e">
        <f t="shared" si="1308"/>
        <v>#N/A</v>
      </c>
      <c r="I8418" s="11" t="e">
        <f t="shared" si="1309"/>
        <v>#N/A</v>
      </c>
      <c r="J8418" s="12" t="e">
        <f t="shared" si="1310"/>
        <v>#N/A</v>
      </c>
      <c r="K8418" s="17" t="e">
        <f t="shared" si="1314"/>
        <v>#N/A</v>
      </c>
      <c r="L8418" s="16">
        <f>base!X8418</f>
        <v>0</v>
      </c>
      <c r="M8418" s="11" t="e">
        <f t="shared" si="1311"/>
        <v>#DIV/0!</v>
      </c>
      <c r="N8418" s="11"/>
      <c r="O8418" s="11" t="e">
        <f t="shared" si="1312"/>
        <v>#DIV/0!</v>
      </c>
      <c r="P8418" s="12">
        <f t="shared" si="1313"/>
        <v>0</v>
      </c>
      <c r="Q8418" s="17" t="str">
        <f t="shared" si="1315"/>
        <v>Pas d'écart</v>
      </c>
    </row>
    <row r="8419" spans="1:17" x14ac:dyDescent="0.3">
      <c r="A8419" s="34">
        <f>base!J8419</f>
        <v>0</v>
      </c>
      <c r="B8419" s="34">
        <f>base!V8419</f>
        <v>0</v>
      </c>
      <c r="C8419" s="40" t="s">
        <v>11</v>
      </c>
      <c r="D8419" s="36">
        <f>base!H8419</f>
        <v>0</v>
      </c>
      <c r="E8419" s="44"/>
      <c r="F8419" s="16">
        <f>base!W8419</f>
        <v>0</v>
      </c>
      <c r="G8419" s="11" t="e">
        <f t="shared" si="1307"/>
        <v>#DIV/0!</v>
      </c>
      <c r="H8419" s="11" t="e">
        <f t="shared" si="1308"/>
        <v>#N/A</v>
      </c>
      <c r="I8419" s="11" t="e">
        <f t="shared" si="1309"/>
        <v>#N/A</v>
      </c>
      <c r="J8419" s="12" t="e">
        <f t="shared" si="1310"/>
        <v>#N/A</v>
      </c>
      <c r="K8419" s="17" t="e">
        <f t="shared" si="1314"/>
        <v>#N/A</v>
      </c>
      <c r="L8419" s="16">
        <f>base!X8419</f>
        <v>0</v>
      </c>
      <c r="M8419" s="11" t="e">
        <f t="shared" si="1311"/>
        <v>#DIV/0!</v>
      </c>
      <c r="N8419" s="11"/>
      <c r="O8419" s="11" t="e">
        <f t="shared" si="1312"/>
        <v>#DIV/0!</v>
      </c>
      <c r="P8419" s="12">
        <f t="shared" si="1313"/>
        <v>0</v>
      </c>
      <c r="Q8419" s="17" t="str">
        <f t="shared" si="1315"/>
        <v>Pas d'écart</v>
      </c>
    </row>
    <row r="8420" spans="1:17" x14ac:dyDescent="0.3">
      <c r="A8420" s="34">
        <f>base!J8420</f>
        <v>0</v>
      </c>
      <c r="B8420" s="34">
        <f>base!V8420</f>
        <v>0</v>
      </c>
      <c r="C8420" s="40" t="s">
        <v>11</v>
      </c>
      <c r="D8420" s="36">
        <f>base!H8420</f>
        <v>0</v>
      </c>
      <c r="E8420" s="44"/>
      <c r="F8420" s="16">
        <f>base!W8420</f>
        <v>0</v>
      </c>
      <c r="G8420" s="11" t="e">
        <f t="shared" si="1307"/>
        <v>#DIV/0!</v>
      </c>
      <c r="H8420" s="11" t="e">
        <f t="shared" si="1308"/>
        <v>#N/A</v>
      </c>
      <c r="I8420" s="11" t="e">
        <f t="shared" si="1309"/>
        <v>#N/A</v>
      </c>
      <c r="J8420" s="12" t="e">
        <f t="shared" si="1310"/>
        <v>#N/A</v>
      </c>
      <c r="K8420" s="17" t="e">
        <f t="shared" si="1314"/>
        <v>#N/A</v>
      </c>
      <c r="L8420" s="16">
        <f>base!X8420</f>
        <v>0</v>
      </c>
      <c r="M8420" s="11" t="e">
        <f t="shared" si="1311"/>
        <v>#DIV/0!</v>
      </c>
      <c r="N8420" s="11"/>
      <c r="O8420" s="11" t="e">
        <f t="shared" si="1312"/>
        <v>#DIV/0!</v>
      </c>
      <c r="P8420" s="12">
        <f t="shared" si="1313"/>
        <v>0</v>
      </c>
      <c r="Q8420" s="17" t="str">
        <f t="shared" si="1315"/>
        <v>Pas d'écart</v>
      </c>
    </row>
    <row r="8421" spans="1:17" x14ac:dyDescent="0.3">
      <c r="A8421" s="34">
        <f>base!J8421</f>
        <v>0</v>
      </c>
      <c r="B8421" s="34">
        <f>base!V8421</f>
        <v>0</v>
      </c>
      <c r="C8421" s="40" t="s">
        <v>11</v>
      </c>
      <c r="D8421" s="36">
        <f>base!H8421</f>
        <v>0</v>
      </c>
      <c r="E8421" s="44"/>
      <c r="F8421" s="16">
        <f>base!W8421</f>
        <v>0</v>
      </c>
      <c r="G8421" s="11" t="e">
        <f t="shared" si="1307"/>
        <v>#DIV/0!</v>
      </c>
      <c r="H8421" s="11" t="e">
        <f t="shared" si="1308"/>
        <v>#N/A</v>
      </c>
      <c r="I8421" s="11" t="e">
        <f t="shared" si="1309"/>
        <v>#N/A</v>
      </c>
      <c r="J8421" s="12" t="e">
        <f t="shared" si="1310"/>
        <v>#N/A</v>
      </c>
      <c r="K8421" s="17" t="e">
        <f t="shared" si="1314"/>
        <v>#N/A</v>
      </c>
      <c r="L8421" s="16">
        <f>base!X8421</f>
        <v>0</v>
      </c>
      <c r="M8421" s="11" t="e">
        <f t="shared" si="1311"/>
        <v>#DIV/0!</v>
      </c>
      <c r="N8421" s="11"/>
      <c r="O8421" s="11" t="e">
        <f t="shared" si="1312"/>
        <v>#DIV/0!</v>
      </c>
      <c r="P8421" s="12">
        <f t="shared" si="1313"/>
        <v>0</v>
      </c>
      <c r="Q8421" s="17" t="str">
        <f t="shared" si="1315"/>
        <v>Pas d'écart</v>
      </c>
    </row>
    <row r="8422" spans="1:17" x14ac:dyDescent="0.3">
      <c r="A8422" s="34">
        <f>base!J8422</f>
        <v>0</v>
      </c>
      <c r="B8422" s="34">
        <f>base!V8422</f>
        <v>0</v>
      </c>
      <c r="C8422" s="40" t="s">
        <v>11</v>
      </c>
      <c r="D8422" s="36">
        <f>base!H8422</f>
        <v>0</v>
      </c>
      <c r="E8422" s="44"/>
      <c r="F8422" s="16">
        <f>base!W8422</f>
        <v>0</v>
      </c>
      <c r="G8422" s="11" t="e">
        <f t="shared" si="1307"/>
        <v>#DIV/0!</v>
      </c>
      <c r="H8422" s="11" t="e">
        <f t="shared" si="1308"/>
        <v>#N/A</v>
      </c>
      <c r="I8422" s="11" t="e">
        <f t="shared" si="1309"/>
        <v>#N/A</v>
      </c>
      <c r="J8422" s="12" t="e">
        <f t="shared" si="1310"/>
        <v>#N/A</v>
      </c>
      <c r="K8422" s="17" t="e">
        <f t="shared" si="1314"/>
        <v>#N/A</v>
      </c>
      <c r="L8422" s="16">
        <f>base!X8422</f>
        <v>0</v>
      </c>
      <c r="M8422" s="11" t="e">
        <f t="shared" si="1311"/>
        <v>#DIV/0!</v>
      </c>
      <c r="N8422" s="11"/>
      <c r="O8422" s="11" t="e">
        <f t="shared" si="1312"/>
        <v>#DIV/0!</v>
      </c>
      <c r="P8422" s="12">
        <f t="shared" si="1313"/>
        <v>0</v>
      </c>
      <c r="Q8422" s="17" t="str">
        <f t="shared" si="1315"/>
        <v>Pas d'écart</v>
      </c>
    </row>
    <row r="8423" spans="1:17" x14ac:dyDescent="0.3">
      <c r="A8423" s="34">
        <f>base!J8423</f>
        <v>0</v>
      </c>
      <c r="B8423" s="34">
        <f>base!V8423</f>
        <v>0</v>
      </c>
      <c r="C8423" s="40" t="s">
        <v>11</v>
      </c>
      <c r="D8423" s="36">
        <f>base!H8423</f>
        <v>0</v>
      </c>
      <c r="E8423" s="44"/>
      <c r="F8423" s="16">
        <f>base!W8423</f>
        <v>0</v>
      </c>
      <c r="G8423" s="11" t="e">
        <f t="shared" si="1307"/>
        <v>#DIV/0!</v>
      </c>
      <c r="H8423" s="11" t="e">
        <f t="shared" si="1308"/>
        <v>#N/A</v>
      </c>
      <c r="I8423" s="11" t="e">
        <f t="shared" si="1309"/>
        <v>#N/A</v>
      </c>
      <c r="J8423" s="12" t="e">
        <f t="shared" si="1310"/>
        <v>#N/A</v>
      </c>
      <c r="K8423" s="17" t="e">
        <f t="shared" si="1314"/>
        <v>#N/A</v>
      </c>
      <c r="L8423" s="16">
        <f>base!X8423</f>
        <v>0</v>
      </c>
      <c r="M8423" s="11" t="e">
        <f t="shared" si="1311"/>
        <v>#DIV/0!</v>
      </c>
      <c r="N8423" s="11"/>
      <c r="O8423" s="11" t="e">
        <f t="shared" si="1312"/>
        <v>#DIV/0!</v>
      </c>
      <c r="P8423" s="12">
        <f t="shared" si="1313"/>
        <v>0</v>
      </c>
      <c r="Q8423" s="17" t="str">
        <f t="shared" si="1315"/>
        <v>Pas d'écart</v>
      </c>
    </row>
    <row r="8424" spans="1:17" x14ac:dyDescent="0.3">
      <c r="A8424" s="34">
        <f>base!J8424</f>
        <v>0</v>
      </c>
      <c r="B8424" s="34">
        <f>base!V8424</f>
        <v>0</v>
      </c>
      <c r="C8424" s="40" t="s">
        <v>11</v>
      </c>
      <c r="D8424" s="36">
        <f>base!H8424</f>
        <v>0</v>
      </c>
      <c r="E8424" s="44"/>
      <c r="F8424" s="16">
        <f>base!W8424</f>
        <v>0</v>
      </c>
      <c r="G8424" s="11" t="e">
        <f t="shared" si="1307"/>
        <v>#DIV/0!</v>
      </c>
      <c r="H8424" s="11" t="e">
        <f t="shared" si="1308"/>
        <v>#N/A</v>
      </c>
      <c r="I8424" s="11" t="e">
        <f t="shared" si="1309"/>
        <v>#N/A</v>
      </c>
      <c r="J8424" s="12" t="e">
        <f t="shared" si="1310"/>
        <v>#N/A</v>
      </c>
      <c r="K8424" s="17" t="e">
        <f t="shared" si="1314"/>
        <v>#N/A</v>
      </c>
      <c r="L8424" s="16">
        <f>base!X8424</f>
        <v>0</v>
      </c>
      <c r="M8424" s="11" t="e">
        <f t="shared" si="1311"/>
        <v>#DIV/0!</v>
      </c>
      <c r="N8424" s="11"/>
      <c r="O8424" s="11" t="e">
        <f t="shared" si="1312"/>
        <v>#DIV/0!</v>
      </c>
      <c r="P8424" s="12">
        <f t="shared" si="1313"/>
        <v>0</v>
      </c>
      <c r="Q8424" s="17" t="str">
        <f t="shared" si="1315"/>
        <v>Pas d'écart</v>
      </c>
    </row>
    <row r="8425" spans="1:17" x14ac:dyDescent="0.3">
      <c r="A8425" s="34">
        <f>base!J8425</f>
        <v>0</v>
      </c>
      <c r="B8425" s="34">
        <f>base!V8425</f>
        <v>0</v>
      </c>
      <c r="C8425" s="40" t="s">
        <v>11</v>
      </c>
      <c r="D8425" s="36">
        <f>base!H8425</f>
        <v>0</v>
      </c>
      <c r="E8425" s="44"/>
      <c r="F8425" s="16">
        <f>base!W8425</f>
        <v>0</v>
      </c>
      <c r="G8425" s="11" t="e">
        <f t="shared" si="1307"/>
        <v>#DIV/0!</v>
      </c>
      <c r="H8425" s="11" t="e">
        <f t="shared" si="1308"/>
        <v>#N/A</v>
      </c>
      <c r="I8425" s="11" t="e">
        <f t="shared" si="1309"/>
        <v>#N/A</v>
      </c>
      <c r="J8425" s="12" t="e">
        <f t="shared" si="1310"/>
        <v>#N/A</v>
      </c>
      <c r="K8425" s="17" t="e">
        <f t="shared" si="1314"/>
        <v>#N/A</v>
      </c>
      <c r="L8425" s="16">
        <f>base!X8425</f>
        <v>0</v>
      </c>
      <c r="M8425" s="11" t="e">
        <f t="shared" si="1311"/>
        <v>#DIV/0!</v>
      </c>
      <c r="N8425" s="11"/>
      <c r="O8425" s="11" t="e">
        <f t="shared" si="1312"/>
        <v>#DIV/0!</v>
      </c>
      <c r="P8425" s="12">
        <f t="shared" si="1313"/>
        <v>0</v>
      </c>
      <c r="Q8425" s="17" t="str">
        <f t="shared" si="1315"/>
        <v>Pas d'écart</v>
      </c>
    </row>
    <row r="8426" spans="1:17" x14ac:dyDescent="0.3">
      <c r="A8426" s="34">
        <f>base!J8426</f>
        <v>0</v>
      </c>
      <c r="B8426" s="34">
        <f>base!V8426</f>
        <v>0</v>
      </c>
      <c r="C8426" s="40" t="s">
        <v>11</v>
      </c>
      <c r="D8426" s="36">
        <f>base!H8426</f>
        <v>0</v>
      </c>
      <c r="E8426" s="44"/>
      <c r="F8426" s="16">
        <f>base!W8426</f>
        <v>0</v>
      </c>
      <c r="G8426" s="11" t="e">
        <f t="shared" si="1307"/>
        <v>#DIV/0!</v>
      </c>
      <c r="H8426" s="11" t="e">
        <f t="shared" si="1308"/>
        <v>#N/A</v>
      </c>
      <c r="I8426" s="11" t="e">
        <f t="shared" si="1309"/>
        <v>#N/A</v>
      </c>
      <c r="J8426" s="12" t="e">
        <f t="shared" si="1310"/>
        <v>#N/A</v>
      </c>
      <c r="K8426" s="17" t="e">
        <f t="shared" si="1314"/>
        <v>#N/A</v>
      </c>
      <c r="L8426" s="16">
        <f>base!X8426</f>
        <v>0</v>
      </c>
      <c r="M8426" s="11" t="e">
        <f t="shared" si="1311"/>
        <v>#DIV/0!</v>
      </c>
      <c r="N8426" s="11"/>
      <c r="O8426" s="11" t="e">
        <f t="shared" si="1312"/>
        <v>#DIV/0!</v>
      </c>
      <c r="P8426" s="12">
        <f t="shared" si="1313"/>
        <v>0</v>
      </c>
      <c r="Q8426" s="17" t="str">
        <f t="shared" si="1315"/>
        <v>Pas d'écart</v>
      </c>
    </row>
    <row r="8427" spans="1:17" x14ac:dyDescent="0.3">
      <c r="A8427" s="34">
        <f>base!J8427</f>
        <v>0</v>
      </c>
      <c r="B8427" s="34">
        <f>base!V8427</f>
        <v>0</v>
      </c>
      <c r="C8427" s="40" t="s">
        <v>11</v>
      </c>
      <c r="D8427" s="36">
        <f>base!H8427</f>
        <v>0</v>
      </c>
      <c r="E8427" s="44"/>
      <c r="F8427" s="16">
        <f>base!W8427</f>
        <v>0</v>
      </c>
      <c r="G8427" s="11" t="e">
        <f t="shared" si="1307"/>
        <v>#DIV/0!</v>
      </c>
      <c r="H8427" s="11" t="e">
        <f t="shared" si="1308"/>
        <v>#N/A</v>
      </c>
      <c r="I8427" s="11" t="e">
        <f t="shared" si="1309"/>
        <v>#N/A</v>
      </c>
      <c r="J8427" s="12" t="e">
        <f t="shared" si="1310"/>
        <v>#N/A</v>
      </c>
      <c r="K8427" s="17" t="e">
        <f t="shared" si="1314"/>
        <v>#N/A</v>
      </c>
      <c r="L8427" s="16">
        <f>base!X8427</f>
        <v>0</v>
      </c>
      <c r="M8427" s="11" t="e">
        <f t="shared" si="1311"/>
        <v>#DIV/0!</v>
      </c>
      <c r="N8427" s="11"/>
      <c r="O8427" s="11" t="e">
        <f t="shared" si="1312"/>
        <v>#DIV/0!</v>
      </c>
      <c r="P8427" s="12">
        <f t="shared" si="1313"/>
        <v>0</v>
      </c>
      <c r="Q8427" s="17" t="str">
        <f t="shared" si="1315"/>
        <v>Pas d'écart</v>
      </c>
    </row>
    <row r="8428" spans="1:17" x14ac:dyDescent="0.3">
      <c r="A8428" s="34">
        <f>base!J8428</f>
        <v>0</v>
      </c>
      <c r="B8428" s="34">
        <f>base!V8428</f>
        <v>0</v>
      </c>
      <c r="C8428" s="40" t="s">
        <v>11</v>
      </c>
      <c r="D8428" s="36">
        <f>base!H8428</f>
        <v>0</v>
      </c>
      <c r="E8428" s="44"/>
      <c r="F8428" s="16">
        <f>base!W8428</f>
        <v>0</v>
      </c>
      <c r="G8428" s="11" t="e">
        <f t="shared" si="1307"/>
        <v>#DIV/0!</v>
      </c>
      <c r="H8428" s="11" t="e">
        <f t="shared" si="1308"/>
        <v>#N/A</v>
      </c>
      <c r="I8428" s="11" t="e">
        <f t="shared" si="1309"/>
        <v>#N/A</v>
      </c>
      <c r="J8428" s="12" t="e">
        <f t="shared" si="1310"/>
        <v>#N/A</v>
      </c>
      <c r="K8428" s="17" t="e">
        <f t="shared" si="1314"/>
        <v>#N/A</v>
      </c>
      <c r="L8428" s="16">
        <f>base!X8428</f>
        <v>0</v>
      </c>
      <c r="M8428" s="11" t="e">
        <f t="shared" si="1311"/>
        <v>#DIV/0!</v>
      </c>
      <c r="N8428" s="11"/>
      <c r="O8428" s="11" t="e">
        <f t="shared" si="1312"/>
        <v>#DIV/0!</v>
      </c>
      <c r="P8428" s="12">
        <f t="shared" si="1313"/>
        <v>0</v>
      </c>
      <c r="Q8428" s="17" t="str">
        <f t="shared" si="1315"/>
        <v>Pas d'écart</v>
      </c>
    </row>
    <row r="8429" spans="1:17" x14ac:dyDescent="0.3">
      <c r="A8429" s="34">
        <f>base!J8429</f>
        <v>0</v>
      </c>
      <c r="B8429" s="34">
        <f>base!V8429</f>
        <v>0</v>
      </c>
      <c r="C8429" s="40" t="s">
        <v>11</v>
      </c>
      <c r="D8429" s="36">
        <f>base!H8429</f>
        <v>0</v>
      </c>
      <c r="E8429" s="44"/>
      <c r="F8429" s="16">
        <f>base!W8429</f>
        <v>0</v>
      </c>
      <c r="G8429" s="11" t="e">
        <f t="shared" si="1307"/>
        <v>#DIV/0!</v>
      </c>
      <c r="H8429" s="11" t="e">
        <f t="shared" si="1308"/>
        <v>#N/A</v>
      </c>
      <c r="I8429" s="11" t="e">
        <f t="shared" si="1309"/>
        <v>#N/A</v>
      </c>
      <c r="J8429" s="12" t="e">
        <f t="shared" si="1310"/>
        <v>#N/A</v>
      </c>
      <c r="K8429" s="17" t="e">
        <f t="shared" si="1314"/>
        <v>#N/A</v>
      </c>
      <c r="L8429" s="16">
        <f>base!X8429</f>
        <v>0</v>
      </c>
      <c r="M8429" s="11" t="e">
        <f t="shared" si="1311"/>
        <v>#DIV/0!</v>
      </c>
      <c r="N8429" s="11"/>
      <c r="O8429" s="11" t="e">
        <f t="shared" si="1312"/>
        <v>#DIV/0!</v>
      </c>
      <c r="P8429" s="12">
        <f t="shared" si="1313"/>
        <v>0</v>
      </c>
      <c r="Q8429" s="17" t="str">
        <f t="shared" si="1315"/>
        <v>Pas d'écart</v>
      </c>
    </row>
    <row r="8430" spans="1:17" x14ac:dyDescent="0.3">
      <c r="A8430" s="34">
        <f>base!J8430</f>
        <v>0</v>
      </c>
      <c r="B8430" s="34">
        <f>base!V8430</f>
        <v>0</v>
      </c>
      <c r="C8430" s="40" t="s">
        <v>11</v>
      </c>
      <c r="D8430" s="36">
        <f>base!H8430</f>
        <v>0</v>
      </c>
      <c r="E8430" s="44"/>
      <c r="F8430" s="16">
        <f>base!W8430</f>
        <v>0</v>
      </c>
      <c r="G8430" s="11" t="e">
        <f t="shared" si="1307"/>
        <v>#DIV/0!</v>
      </c>
      <c r="H8430" s="11" t="e">
        <f t="shared" si="1308"/>
        <v>#N/A</v>
      </c>
      <c r="I8430" s="11" t="e">
        <f t="shared" si="1309"/>
        <v>#N/A</v>
      </c>
      <c r="J8430" s="12" t="e">
        <f t="shared" si="1310"/>
        <v>#N/A</v>
      </c>
      <c r="K8430" s="17" t="e">
        <f t="shared" si="1314"/>
        <v>#N/A</v>
      </c>
      <c r="L8430" s="16">
        <f>base!X8430</f>
        <v>0</v>
      </c>
      <c r="M8430" s="11" t="e">
        <f t="shared" si="1311"/>
        <v>#DIV/0!</v>
      </c>
      <c r="N8430" s="11"/>
      <c r="O8430" s="11" t="e">
        <f t="shared" si="1312"/>
        <v>#DIV/0!</v>
      </c>
      <c r="P8430" s="12">
        <f t="shared" si="1313"/>
        <v>0</v>
      </c>
      <c r="Q8430" s="17" t="str">
        <f t="shared" si="1315"/>
        <v>Pas d'écart</v>
      </c>
    </row>
    <row r="8431" spans="1:17" x14ac:dyDescent="0.3">
      <c r="A8431" s="34">
        <f>base!J8431</f>
        <v>0</v>
      </c>
      <c r="B8431" s="34">
        <f>base!V8431</f>
        <v>0</v>
      </c>
      <c r="C8431" s="40" t="s">
        <v>11</v>
      </c>
      <c r="D8431" s="36">
        <f>base!H8431</f>
        <v>0</v>
      </c>
      <c r="E8431" s="44"/>
      <c r="F8431" s="16">
        <f>base!W8431</f>
        <v>0</v>
      </c>
      <c r="G8431" s="11" t="e">
        <f t="shared" si="1307"/>
        <v>#DIV/0!</v>
      </c>
      <c r="H8431" s="11" t="e">
        <f t="shared" si="1308"/>
        <v>#N/A</v>
      </c>
      <c r="I8431" s="11" t="e">
        <f t="shared" si="1309"/>
        <v>#N/A</v>
      </c>
      <c r="J8431" s="12" t="e">
        <f t="shared" si="1310"/>
        <v>#N/A</v>
      </c>
      <c r="K8431" s="17" t="e">
        <f t="shared" si="1314"/>
        <v>#N/A</v>
      </c>
      <c r="L8431" s="16">
        <f>base!X8431</f>
        <v>0</v>
      </c>
      <c r="M8431" s="11" t="e">
        <f t="shared" si="1311"/>
        <v>#DIV/0!</v>
      </c>
      <c r="N8431" s="11"/>
      <c r="O8431" s="11" t="e">
        <f t="shared" si="1312"/>
        <v>#DIV/0!</v>
      </c>
      <c r="P8431" s="12">
        <f t="shared" si="1313"/>
        <v>0</v>
      </c>
      <c r="Q8431" s="17" t="str">
        <f t="shared" si="1315"/>
        <v>Pas d'écart</v>
      </c>
    </row>
    <row r="8432" spans="1:17" x14ac:dyDescent="0.3">
      <c r="A8432" s="34">
        <f>base!J8432</f>
        <v>0</v>
      </c>
      <c r="B8432" s="34">
        <f>base!V8432</f>
        <v>0</v>
      </c>
      <c r="C8432" s="40" t="s">
        <v>11</v>
      </c>
      <c r="D8432" s="36">
        <f>base!H8432</f>
        <v>0</v>
      </c>
      <c r="E8432" s="44"/>
      <c r="F8432" s="16">
        <f>base!W8432</f>
        <v>0</v>
      </c>
      <c r="G8432" s="11" t="e">
        <f t="shared" si="1307"/>
        <v>#DIV/0!</v>
      </c>
      <c r="H8432" s="11" t="e">
        <f t="shared" si="1308"/>
        <v>#N/A</v>
      </c>
      <c r="I8432" s="11" t="e">
        <f t="shared" si="1309"/>
        <v>#N/A</v>
      </c>
      <c r="J8432" s="12" t="e">
        <f t="shared" si="1310"/>
        <v>#N/A</v>
      </c>
      <c r="K8432" s="17" t="e">
        <f t="shared" si="1314"/>
        <v>#N/A</v>
      </c>
      <c r="L8432" s="16">
        <f>base!X8432</f>
        <v>0</v>
      </c>
      <c r="M8432" s="11" t="e">
        <f t="shared" si="1311"/>
        <v>#DIV/0!</v>
      </c>
      <c r="N8432" s="11"/>
      <c r="O8432" s="11" t="e">
        <f t="shared" si="1312"/>
        <v>#DIV/0!</v>
      </c>
      <c r="P8432" s="12">
        <f t="shared" si="1313"/>
        <v>0</v>
      </c>
      <c r="Q8432" s="17" t="str">
        <f t="shared" si="1315"/>
        <v>Pas d'écart</v>
      </c>
    </row>
    <row r="8433" spans="1:17" x14ac:dyDescent="0.3">
      <c r="A8433" s="34">
        <f>base!J8433</f>
        <v>0</v>
      </c>
      <c r="B8433" s="34">
        <f>base!V8433</f>
        <v>0</v>
      </c>
      <c r="C8433" s="40" t="s">
        <v>11</v>
      </c>
      <c r="D8433" s="36">
        <f>base!H8433</f>
        <v>0</v>
      </c>
      <c r="E8433" s="44"/>
      <c r="F8433" s="16">
        <f>base!W8433</f>
        <v>0</v>
      </c>
      <c r="G8433" s="11" t="e">
        <f t="shared" si="1307"/>
        <v>#DIV/0!</v>
      </c>
      <c r="H8433" s="11" t="e">
        <f t="shared" si="1308"/>
        <v>#N/A</v>
      </c>
      <c r="I8433" s="11" t="e">
        <f t="shared" si="1309"/>
        <v>#N/A</v>
      </c>
      <c r="J8433" s="12" t="e">
        <f t="shared" si="1310"/>
        <v>#N/A</v>
      </c>
      <c r="K8433" s="17" t="e">
        <f t="shared" si="1314"/>
        <v>#N/A</v>
      </c>
      <c r="L8433" s="16">
        <f>base!X8433</f>
        <v>0</v>
      </c>
      <c r="M8433" s="11" t="e">
        <f t="shared" si="1311"/>
        <v>#DIV/0!</v>
      </c>
      <c r="N8433" s="11"/>
      <c r="O8433" s="11" t="e">
        <f t="shared" si="1312"/>
        <v>#DIV/0!</v>
      </c>
      <c r="P8433" s="12">
        <f t="shared" si="1313"/>
        <v>0</v>
      </c>
      <c r="Q8433" s="17" t="str">
        <f t="shared" si="1315"/>
        <v>Pas d'écart</v>
      </c>
    </row>
    <row r="8434" spans="1:17" x14ac:dyDescent="0.3">
      <c r="A8434" s="34">
        <f>base!J8434</f>
        <v>0</v>
      </c>
      <c r="B8434" s="34">
        <f>base!V8434</f>
        <v>0</v>
      </c>
      <c r="C8434" s="40" t="s">
        <v>11</v>
      </c>
      <c r="D8434" s="36">
        <f>base!H8434</f>
        <v>0</v>
      </c>
      <c r="E8434" s="44"/>
      <c r="F8434" s="16">
        <f>base!W8434</f>
        <v>0</v>
      </c>
      <c r="G8434" s="11" t="e">
        <f t="shared" si="1307"/>
        <v>#DIV/0!</v>
      </c>
      <c r="H8434" s="11" t="e">
        <f t="shared" si="1308"/>
        <v>#N/A</v>
      </c>
      <c r="I8434" s="11" t="e">
        <f t="shared" si="1309"/>
        <v>#N/A</v>
      </c>
      <c r="J8434" s="12" t="e">
        <f t="shared" si="1310"/>
        <v>#N/A</v>
      </c>
      <c r="K8434" s="17" t="e">
        <f t="shared" si="1314"/>
        <v>#N/A</v>
      </c>
      <c r="L8434" s="16">
        <f>base!X8434</f>
        <v>0</v>
      </c>
      <c r="M8434" s="11" t="e">
        <f t="shared" si="1311"/>
        <v>#DIV/0!</v>
      </c>
      <c r="N8434" s="11"/>
      <c r="O8434" s="11" t="e">
        <f t="shared" si="1312"/>
        <v>#DIV/0!</v>
      </c>
      <c r="P8434" s="12">
        <f t="shared" si="1313"/>
        <v>0</v>
      </c>
      <c r="Q8434" s="17" t="str">
        <f t="shared" si="1315"/>
        <v>Pas d'écart</v>
      </c>
    </row>
    <row r="8435" spans="1:17" x14ac:dyDescent="0.3">
      <c r="A8435" s="34">
        <f>base!J8435</f>
        <v>0</v>
      </c>
      <c r="B8435" s="34">
        <f>base!V8435</f>
        <v>0</v>
      </c>
      <c r="C8435" s="40" t="s">
        <v>11</v>
      </c>
      <c r="D8435" s="36">
        <f>base!H8435</f>
        <v>0</v>
      </c>
      <c r="E8435" s="44"/>
      <c r="F8435" s="16">
        <f>base!W8435</f>
        <v>0</v>
      </c>
      <c r="G8435" s="11" t="e">
        <f t="shared" si="1307"/>
        <v>#DIV/0!</v>
      </c>
      <c r="H8435" s="11" t="e">
        <f t="shared" si="1308"/>
        <v>#N/A</v>
      </c>
      <c r="I8435" s="11" t="e">
        <f t="shared" si="1309"/>
        <v>#N/A</v>
      </c>
      <c r="J8435" s="12" t="e">
        <f t="shared" si="1310"/>
        <v>#N/A</v>
      </c>
      <c r="K8435" s="17" t="e">
        <f t="shared" si="1314"/>
        <v>#N/A</v>
      </c>
      <c r="L8435" s="16">
        <f>base!X8435</f>
        <v>0</v>
      </c>
      <c r="M8435" s="11" t="e">
        <f t="shared" si="1311"/>
        <v>#DIV/0!</v>
      </c>
      <c r="N8435" s="11"/>
      <c r="O8435" s="11" t="e">
        <f t="shared" si="1312"/>
        <v>#DIV/0!</v>
      </c>
      <c r="P8435" s="12">
        <f t="shared" si="1313"/>
        <v>0</v>
      </c>
      <c r="Q8435" s="17" t="str">
        <f t="shared" si="1315"/>
        <v>Pas d'écart</v>
      </c>
    </row>
    <row r="8436" spans="1:17" x14ac:dyDescent="0.3">
      <c r="A8436" s="34">
        <f>base!J8436</f>
        <v>0</v>
      </c>
      <c r="B8436" s="34">
        <f>base!V8436</f>
        <v>0</v>
      </c>
      <c r="C8436" s="40" t="s">
        <v>11</v>
      </c>
      <c r="D8436" s="36">
        <f>base!H8436</f>
        <v>0</v>
      </c>
      <c r="E8436" s="44"/>
      <c r="F8436" s="16">
        <f>base!W8436</f>
        <v>0</v>
      </c>
      <c r="G8436" s="11" t="e">
        <f t="shared" si="1307"/>
        <v>#DIV/0!</v>
      </c>
      <c r="H8436" s="11" t="e">
        <f t="shared" si="1308"/>
        <v>#N/A</v>
      </c>
      <c r="I8436" s="11" t="e">
        <f t="shared" si="1309"/>
        <v>#N/A</v>
      </c>
      <c r="J8436" s="12" t="e">
        <f t="shared" si="1310"/>
        <v>#N/A</v>
      </c>
      <c r="K8436" s="17" t="e">
        <f t="shared" si="1314"/>
        <v>#N/A</v>
      </c>
      <c r="L8436" s="16">
        <f>base!X8436</f>
        <v>0</v>
      </c>
      <c r="M8436" s="11" t="e">
        <f t="shared" si="1311"/>
        <v>#DIV/0!</v>
      </c>
      <c r="N8436" s="11"/>
      <c r="O8436" s="11" t="e">
        <f t="shared" si="1312"/>
        <v>#DIV/0!</v>
      </c>
      <c r="P8436" s="12">
        <f t="shared" si="1313"/>
        <v>0</v>
      </c>
      <c r="Q8436" s="17" t="str">
        <f t="shared" si="1315"/>
        <v>Pas d'écart</v>
      </c>
    </row>
    <row r="8437" spans="1:17" x14ac:dyDescent="0.3">
      <c r="A8437" s="34">
        <f>base!J8437</f>
        <v>0</v>
      </c>
      <c r="B8437" s="34">
        <f>base!V8437</f>
        <v>0</v>
      </c>
      <c r="C8437" s="40" t="s">
        <v>11</v>
      </c>
      <c r="D8437" s="36">
        <f>base!H8437</f>
        <v>0</v>
      </c>
      <c r="E8437" s="44"/>
      <c r="F8437" s="16">
        <f>base!W8437</f>
        <v>0</v>
      </c>
      <c r="G8437" s="11" t="e">
        <f t="shared" si="1307"/>
        <v>#DIV/0!</v>
      </c>
      <c r="H8437" s="11" t="e">
        <f t="shared" si="1308"/>
        <v>#N/A</v>
      </c>
      <c r="I8437" s="11" t="e">
        <f t="shared" si="1309"/>
        <v>#N/A</v>
      </c>
      <c r="J8437" s="12" t="e">
        <f t="shared" si="1310"/>
        <v>#N/A</v>
      </c>
      <c r="K8437" s="17" t="e">
        <f t="shared" si="1314"/>
        <v>#N/A</v>
      </c>
      <c r="L8437" s="16">
        <f>base!X8437</f>
        <v>0</v>
      </c>
      <c r="M8437" s="11" t="e">
        <f t="shared" si="1311"/>
        <v>#DIV/0!</v>
      </c>
      <c r="N8437" s="11"/>
      <c r="O8437" s="11" t="e">
        <f t="shared" si="1312"/>
        <v>#DIV/0!</v>
      </c>
      <c r="P8437" s="12">
        <f t="shared" si="1313"/>
        <v>0</v>
      </c>
      <c r="Q8437" s="17" t="str">
        <f t="shared" si="1315"/>
        <v>Pas d'écart</v>
      </c>
    </row>
    <row r="8438" spans="1:17" x14ac:dyDescent="0.3">
      <c r="A8438" s="34">
        <f>base!J8438</f>
        <v>0</v>
      </c>
      <c r="B8438" s="34">
        <f>base!V8438</f>
        <v>0</v>
      </c>
      <c r="C8438" s="40" t="s">
        <v>11</v>
      </c>
      <c r="D8438" s="36">
        <f>base!H8438</f>
        <v>0</v>
      </c>
      <c r="E8438" s="44"/>
      <c r="F8438" s="16">
        <f>base!W8438</f>
        <v>0</v>
      </c>
      <c r="G8438" s="11" t="e">
        <f t="shared" si="1307"/>
        <v>#DIV/0!</v>
      </c>
      <c r="H8438" s="11" t="e">
        <f t="shared" si="1308"/>
        <v>#N/A</v>
      </c>
      <c r="I8438" s="11" t="e">
        <f t="shared" si="1309"/>
        <v>#N/A</v>
      </c>
      <c r="J8438" s="12" t="e">
        <f t="shared" si="1310"/>
        <v>#N/A</v>
      </c>
      <c r="K8438" s="17" t="e">
        <f t="shared" si="1314"/>
        <v>#N/A</v>
      </c>
      <c r="L8438" s="16">
        <f>base!X8438</f>
        <v>0</v>
      </c>
      <c r="M8438" s="11" t="e">
        <f t="shared" si="1311"/>
        <v>#DIV/0!</v>
      </c>
      <c r="N8438" s="11"/>
      <c r="O8438" s="11" t="e">
        <f t="shared" si="1312"/>
        <v>#DIV/0!</v>
      </c>
      <c r="P8438" s="12">
        <f t="shared" si="1313"/>
        <v>0</v>
      </c>
      <c r="Q8438" s="17" t="str">
        <f t="shared" si="1315"/>
        <v>Pas d'écart</v>
      </c>
    </row>
    <row r="8439" spans="1:17" x14ac:dyDescent="0.3">
      <c r="A8439" s="34">
        <f>base!J8439</f>
        <v>0</v>
      </c>
      <c r="B8439" s="34">
        <f>base!V8439</f>
        <v>0</v>
      </c>
      <c r="C8439" s="40" t="s">
        <v>11</v>
      </c>
      <c r="D8439" s="36">
        <f>base!H8439</f>
        <v>0</v>
      </c>
      <c r="E8439" s="44"/>
      <c r="F8439" s="16">
        <f>base!W8439</f>
        <v>0</v>
      </c>
      <c r="G8439" s="11" t="e">
        <f t="shared" si="1307"/>
        <v>#DIV/0!</v>
      </c>
      <c r="H8439" s="11" t="e">
        <f t="shared" si="1308"/>
        <v>#N/A</v>
      </c>
      <c r="I8439" s="11" t="e">
        <f t="shared" si="1309"/>
        <v>#N/A</v>
      </c>
      <c r="J8439" s="12" t="e">
        <f t="shared" si="1310"/>
        <v>#N/A</v>
      </c>
      <c r="K8439" s="17" t="e">
        <f t="shared" si="1314"/>
        <v>#N/A</v>
      </c>
      <c r="L8439" s="16">
        <f>base!X8439</f>
        <v>0</v>
      </c>
      <c r="M8439" s="11" t="e">
        <f t="shared" si="1311"/>
        <v>#DIV/0!</v>
      </c>
      <c r="N8439" s="11"/>
      <c r="O8439" s="11" t="e">
        <f t="shared" si="1312"/>
        <v>#DIV/0!</v>
      </c>
      <c r="P8439" s="12">
        <f t="shared" si="1313"/>
        <v>0</v>
      </c>
      <c r="Q8439" s="17" t="str">
        <f t="shared" si="1315"/>
        <v>Pas d'écart</v>
      </c>
    </row>
    <row r="8440" spans="1:17" x14ac:dyDescent="0.3">
      <c r="A8440" s="34">
        <f>base!J8440</f>
        <v>0</v>
      </c>
      <c r="B8440" s="34">
        <f>base!V8440</f>
        <v>0</v>
      </c>
      <c r="C8440" s="40" t="s">
        <v>11</v>
      </c>
      <c r="D8440" s="36">
        <f>base!H8440</f>
        <v>0</v>
      </c>
      <c r="E8440" s="44"/>
      <c r="F8440" s="16">
        <f>base!W8440</f>
        <v>0</v>
      </c>
      <c r="G8440" s="11" t="e">
        <f t="shared" si="1307"/>
        <v>#DIV/0!</v>
      </c>
      <c r="H8440" s="11" t="e">
        <f t="shared" si="1308"/>
        <v>#N/A</v>
      </c>
      <c r="I8440" s="11" t="e">
        <f t="shared" si="1309"/>
        <v>#N/A</v>
      </c>
      <c r="J8440" s="12" t="e">
        <f t="shared" si="1310"/>
        <v>#N/A</v>
      </c>
      <c r="K8440" s="17" t="e">
        <f t="shared" si="1314"/>
        <v>#N/A</v>
      </c>
      <c r="L8440" s="16">
        <f>base!X8440</f>
        <v>0</v>
      </c>
      <c r="M8440" s="11" t="e">
        <f t="shared" si="1311"/>
        <v>#DIV/0!</v>
      </c>
      <c r="N8440" s="11"/>
      <c r="O8440" s="11" t="e">
        <f t="shared" si="1312"/>
        <v>#DIV/0!</v>
      </c>
      <c r="P8440" s="12">
        <f t="shared" si="1313"/>
        <v>0</v>
      </c>
      <c r="Q8440" s="17" t="str">
        <f t="shared" si="1315"/>
        <v>Pas d'écart</v>
      </c>
    </row>
    <row r="8441" spans="1:17" x14ac:dyDescent="0.3">
      <c r="A8441" s="34">
        <f>base!J8441</f>
        <v>0</v>
      </c>
      <c r="B8441" s="34">
        <f>base!V8441</f>
        <v>0</v>
      </c>
      <c r="C8441" s="40" t="s">
        <v>11</v>
      </c>
      <c r="D8441" s="36">
        <f>base!H8441</f>
        <v>0</v>
      </c>
      <c r="E8441" s="44"/>
      <c r="F8441" s="16">
        <f>base!W8441</f>
        <v>0</v>
      </c>
      <c r="G8441" s="11" t="e">
        <f t="shared" si="1307"/>
        <v>#DIV/0!</v>
      </c>
      <c r="H8441" s="11" t="e">
        <f t="shared" si="1308"/>
        <v>#N/A</v>
      </c>
      <c r="I8441" s="11" t="e">
        <f t="shared" si="1309"/>
        <v>#N/A</v>
      </c>
      <c r="J8441" s="12" t="e">
        <f t="shared" si="1310"/>
        <v>#N/A</v>
      </c>
      <c r="K8441" s="17" t="e">
        <f t="shared" si="1314"/>
        <v>#N/A</v>
      </c>
      <c r="L8441" s="16">
        <f>base!X8441</f>
        <v>0</v>
      </c>
      <c r="M8441" s="11" t="e">
        <f t="shared" si="1311"/>
        <v>#DIV/0!</v>
      </c>
      <c r="N8441" s="11"/>
      <c r="O8441" s="11" t="e">
        <f t="shared" si="1312"/>
        <v>#DIV/0!</v>
      </c>
      <c r="P8441" s="12">
        <f t="shared" si="1313"/>
        <v>0</v>
      </c>
      <c r="Q8441" s="17" t="str">
        <f t="shared" si="1315"/>
        <v>Pas d'écart</v>
      </c>
    </row>
    <row r="8442" spans="1:17" x14ac:dyDescent="0.3">
      <c r="A8442" s="34">
        <f>base!J8442</f>
        <v>0</v>
      </c>
      <c r="B8442" s="34">
        <f>base!V8442</f>
        <v>0</v>
      </c>
      <c r="C8442" s="40" t="s">
        <v>11</v>
      </c>
      <c r="D8442" s="36">
        <f>base!H8442</f>
        <v>0</v>
      </c>
      <c r="E8442" s="44"/>
      <c r="F8442" s="16">
        <f>base!W8442</f>
        <v>0</v>
      </c>
      <c r="G8442" s="11" t="e">
        <f t="shared" si="1307"/>
        <v>#DIV/0!</v>
      </c>
      <c r="H8442" s="11" t="e">
        <f t="shared" si="1308"/>
        <v>#N/A</v>
      </c>
      <c r="I8442" s="11" t="e">
        <f t="shared" si="1309"/>
        <v>#N/A</v>
      </c>
      <c r="J8442" s="12" t="e">
        <f t="shared" si="1310"/>
        <v>#N/A</v>
      </c>
      <c r="K8442" s="17" t="e">
        <f t="shared" si="1314"/>
        <v>#N/A</v>
      </c>
      <c r="L8442" s="16">
        <f>base!X8442</f>
        <v>0</v>
      </c>
      <c r="M8442" s="11" t="e">
        <f t="shared" si="1311"/>
        <v>#DIV/0!</v>
      </c>
      <c r="N8442" s="11"/>
      <c r="O8442" s="11" t="e">
        <f t="shared" si="1312"/>
        <v>#DIV/0!</v>
      </c>
      <c r="P8442" s="12">
        <f t="shared" si="1313"/>
        <v>0</v>
      </c>
      <c r="Q8442" s="17" t="str">
        <f t="shared" si="1315"/>
        <v>Pas d'écart</v>
      </c>
    </row>
    <row r="8443" spans="1:17" x14ac:dyDescent="0.3">
      <c r="A8443" s="34">
        <f>base!J8443</f>
        <v>0</v>
      </c>
      <c r="B8443" s="34">
        <f>base!V8443</f>
        <v>0</v>
      </c>
      <c r="C8443" s="40" t="s">
        <v>11</v>
      </c>
      <c r="D8443" s="36">
        <f>base!H8443</f>
        <v>0</v>
      </c>
      <c r="E8443" s="44"/>
      <c r="F8443" s="16">
        <f>base!W8443</f>
        <v>0</v>
      </c>
      <c r="G8443" s="11" t="e">
        <f t="shared" si="1307"/>
        <v>#DIV/0!</v>
      </c>
      <c r="H8443" s="11" t="e">
        <f t="shared" si="1308"/>
        <v>#N/A</v>
      </c>
      <c r="I8443" s="11" t="e">
        <f t="shared" si="1309"/>
        <v>#N/A</v>
      </c>
      <c r="J8443" s="12" t="e">
        <f t="shared" si="1310"/>
        <v>#N/A</v>
      </c>
      <c r="K8443" s="17" t="e">
        <f t="shared" si="1314"/>
        <v>#N/A</v>
      </c>
      <c r="L8443" s="16">
        <f>base!X8443</f>
        <v>0</v>
      </c>
      <c r="M8443" s="11" t="e">
        <f t="shared" si="1311"/>
        <v>#DIV/0!</v>
      </c>
      <c r="N8443" s="11"/>
      <c r="O8443" s="11" t="e">
        <f t="shared" si="1312"/>
        <v>#DIV/0!</v>
      </c>
      <c r="P8443" s="12">
        <f t="shared" si="1313"/>
        <v>0</v>
      </c>
      <c r="Q8443" s="17" t="str">
        <f t="shared" si="1315"/>
        <v>Pas d'écart</v>
      </c>
    </row>
    <row r="8444" spans="1:17" x14ac:dyDescent="0.3">
      <c r="A8444" s="34">
        <f>base!J8444</f>
        <v>0</v>
      </c>
      <c r="B8444" s="34">
        <f>base!V8444</f>
        <v>0</v>
      </c>
      <c r="C8444" s="40" t="s">
        <v>11</v>
      </c>
      <c r="D8444" s="36">
        <f>base!H8444</f>
        <v>0</v>
      </c>
      <c r="E8444" s="44"/>
      <c r="F8444" s="16">
        <f>base!W8444</f>
        <v>0</v>
      </c>
      <c r="G8444" s="11" t="e">
        <f t="shared" si="1307"/>
        <v>#DIV/0!</v>
      </c>
      <c r="H8444" s="11" t="e">
        <f t="shared" si="1308"/>
        <v>#N/A</v>
      </c>
      <c r="I8444" s="11" t="e">
        <f t="shared" si="1309"/>
        <v>#N/A</v>
      </c>
      <c r="J8444" s="12" t="e">
        <f t="shared" si="1310"/>
        <v>#N/A</v>
      </c>
      <c r="K8444" s="17" t="e">
        <f t="shared" si="1314"/>
        <v>#N/A</v>
      </c>
      <c r="L8444" s="16">
        <f>base!X8444</f>
        <v>0</v>
      </c>
      <c r="M8444" s="11" t="e">
        <f t="shared" si="1311"/>
        <v>#DIV/0!</v>
      </c>
      <c r="N8444" s="11"/>
      <c r="O8444" s="11" t="e">
        <f t="shared" si="1312"/>
        <v>#DIV/0!</v>
      </c>
      <c r="P8444" s="12">
        <f t="shared" si="1313"/>
        <v>0</v>
      </c>
      <c r="Q8444" s="17" t="str">
        <f t="shared" si="1315"/>
        <v>Pas d'écart</v>
      </c>
    </row>
    <row r="8445" spans="1:17" x14ac:dyDescent="0.3">
      <c r="A8445" s="34">
        <f>base!J8445</f>
        <v>0</v>
      </c>
      <c r="B8445" s="34">
        <f>base!V8445</f>
        <v>0</v>
      </c>
      <c r="C8445" s="40" t="s">
        <v>11</v>
      </c>
      <c r="D8445" s="36">
        <f>base!H8445</f>
        <v>0</v>
      </c>
      <c r="E8445" s="44"/>
      <c r="F8445" s="16">
        <f>base!W8445</f>
        <v>0</v>
      </c>
      <c r="G8445" s="11" t="e">
        <f t="shared" si="1307"/>
        <v>#DIV/0!</v>
      </c>
      <c r="H8445" s="11" t="e">
        <f t="shared" si="1308"/>
        <v>#N/A</v>
      </c>
      <c r="I8445" s="11" t="e">
        <f t="shared" si="1309"/>
        <v>#N/A</v>
      </c>
      <c r="J8445" s="12" t="e">
        <f t="shared" si="1310"/>
        <v>#N/A</v>
      </c>
      <c r="K8445" s="17" t="e">
        <f t="shared" si="1314"/>
        <v>#N/A</v>
      </c>
      <c r="L8445" s="16">
        <f>base!X8445</f>
        <v>0</v>
      </c>
      <c r="M8445" s="11" t="e">
        <f t="shared" si="1311"/>
        <v>#DIV/0!</v>
      </c>
      <c r="N8445" s="11"/>
      <c r="O8445" s="11" t="e">
        <f t="shared" si="1312"/>
        <v>#DIV/0!</v>
      </c>
      <c r="P8445" s="12">
        <f t="shared" si="1313"/>
        <v>0</v>
      </c>
      <c r="Q8445" s="17" t="str">
        <f t="shared" si="1315"/>
        <v>Pas d'écart</v>
      </c>
    </row>
    <row r="8446" spans="1:17" x14ac:dyDescent="0.3">
      <c r="A8446" s="34">
        <f>base!J8446</f>
        <v>0</v>
      </c>
      <c r="B8446" s="34">
        <f>base!V8446</f>
        <v>0</v>
      </c>
      <c r="C8446" s="40" t="s">
        <v>11</v>
      </c>
      <c r="D8446" s="36">
        <f>base!H8446</f>
        <v>0</v>
      </c>
      <c r="E8446" s="44"/>
      <c r="F8446" s="16">
        <f>base!W8446</f>
        <v>0</v>
      </c>
      <c r="G8446" s="11" t="e">
        <f t="shared" si="1307"/>
        <v>#DIV/0!</v>
      </c>
      <c r="H8446" s="11" t="e">
        <f t="shared" si="1308"/>
        <v>#N/A</v>
      </c>
      <c r="I8446" s="11" t="e">
        <f t="shared" si="1309"/>
        <v>#N/A</v>
      </c>
      <c r="J8446" s="12" t="e">
        <f t="shared" si="1310"/>
        <v>#N/A</v>
      </c>
      <c r="K8446" s="17" t="e">
        <f t="shared" si="1314"/>
        <v>#N/A</v>
      </c>
      <c r="L8446" s="16">
        <f>base!X8446</f>
        <v>0</v>
      </c>
      <c r="M8446" s="11" t="e">
        <f t="shared" si="1311"/>
        <v>#DIV/0!</v>
      </c>
      <c r="N8446" s="11"/>
      <c r="O8446" s="11" t="e">
        <f t="shared" si="1312"/>
        <v>#DIV/0!</v>
      </c>
      <c r="P8446" s="12">
        <f t="shared" si="1313"/>
        <v>0</v>
      </c>
      <c r="Q8446" s="17" t="str">
        <f t="shared" si="1315"/>
        <v>Pas d'écart</v>
      </c>
    </row>
    <row r="8447" spans="1:17" x14ac:dyDescent="0.3">
      <c r="A8447" s="34">
        <f>base!J8447</f>
        <v>0</v>
      </c>
      <c r="B8447" s="34">
        <f>base!V8447</f>
        <v>0</v>
      </c>
      <c r="C8447" s="40" t="s">
        <v>11</v>
      </c>
      <c r="D8447" s="36">
        <f>base!H8447</f>
        <v>0</v>
      </c>
      <c r="E8447" s="44"/>
      <c r="F8447" s="16">
        <f>base!W8447</f>
        <v>0</v>
      </c>
      <c r="G8447" s="11" t="e">
        <f t="shared" si="1307"/>
        <v>#DIV/0!</v>
      </c>
      <c r="H8447" s="11" t="e">
        <f t="shared" si="1308"/>
        <v>#N/A</v>
      </c>
      <c r="I8447" s="11" t="e">
        <f t="shared" si="1309"/>
        <v>#N/A</v>
      </c>
      <c r="J8447" s="12" t="e">
        <f t="shared" si="1310"/>
        <v>#N/A</v>
      </c>
      <c r="K8447" s="17" t="e">
        <f t="shared" si="1314"/>
        <v>#N/A</v>
      </c>
      <c r="L8447" s="16">
        <f>base!X8447</f>
        <v>0</v>
      </c>
      <c r="M8447" s="11" t="e">
        <f t="shared" si="1311"/>
        <v>#DIV/0!</v>
      </c>
      <c r="N8447" s="11"/>
      <c r="O8447" s="11" t="e">
        <f t="shared" si="1312"/>
        <v>#DIV/0!</v>
      </c>
      <c r="P8447" s="12">
        <f t="shared" si="1313"/>
        <v>0</v>
      </c>
      <c r="Q8447" s="17" t="str">
        <f t="shared" si="1315"/>
        <v>Pas d'écart</v>
      </c>
    </row>
    <row r="8448" spans="1:17" x14ac:dyDescent="0.3">
      <c r="A8448" s="34">
        <f>base!J8448</f>
        <v>0</v>
      </c>
      <c r="B8448" s="34">
        <f>base!V8448</f>
        <v>0</v>
      </c>
      <c r="C8448" s="40" t="s">
        <v>11</v>
      </c>
      <c r="D8448" s="36">
        <f>base!H8448</f>
        <v>0</v>
      </c>
      <c r="E8448" s="44"/>
      <c r="F8448" s="16">
        <f>base!W8448</f>
        <v>0</v>
      </c>
      <c r="G8448" s="11" t="e">
        <f t="shared" si="1307"/>
        <v>#DIV/0!</v>
      </c>
      <c r="H8448" s="11" t="e">
        <f t="shared" si="1308"/>
        <v>#N/A</v>
      </c>
      <c r="I8448" s="11" t="e">
        <f t="shared" si="1309"/>
        <v>#N/A</v>
      </c>
      <c r="J8448" s="12" t="e">
        <f t="shared" si="1310"/>
        <v>#N/A</v>
      </c>
      <c r="K8448" s="17" t="e">
        <f t="shared" si="1314"/>
        <v>#N/A</v>
      </c>
      <c r="L8448" s="16">
        <f>base!X8448</f>
        <v>0</v>
      </c>
      <c r="M8448" s="11" t="e">
        <f t="shared" si="1311"/>
        <v>#DIV/0!</v>
      </c>
      <c r="N8448" s="11"/>
      <c r="O8448" s="11" t="e">
        <f t="shared" si="1312"/>
        <v>#DIV/0!</v>
      </c>
      <c r="P8448" s="12">
        <f t="shared" si="1313"/>
        <v>0</v>
      </c>
      <c r="Q8448" s="17" t="str">
        <f t="shared" si="1315"/>
        <v>Pas d'écart</v>
      </c>
    </row>
    <row r="8449" spans="1:17" x14ac:dyDescent="0.3">
      <c r="A8449" s="34">
        <f>base!J8449</f>
        <v>0</v>
      </c>
      <c r="B8449" s="34">
        <f>base!V8449</f>
        <v>0</v>
      </c>
      <c r="C8449" s="40" t="s">
        <v>11</v>
      </c>
      <c r="D8449" s="36">
        <f>base!H8449</f>
        <v>0</v>
      </c>
      <c r="E8449" s="44"/>
      <c r="F8449" s="16">
        <f>base!W8449</f>
        <v>0</v>
      </c>
      <c r="G8449" s="11" t="e">
        <f t="shared" si="1307"/>
        <v>#DIV/0!</v>
      </c>
      <c r="H8449" s="11" t="e">
        <f t="shared" si="1308"/>
        <v>#N/A</v>
      </c>
      <c r="I8449" s="11" t="e">
        <f t="shared" si="1309"/>
        <v>#N/A</v>
      </c>
      <c r="J8449" s="12" t="e">
        <f t="shared" si="1310"/>
        <v>#N/A</v>
      </c>
      <c r="K8449" s="17" t="e">
        <f t="shared" si="1314"/>
        <v>#N/A</v>
      </c>
      <c r="L8449" s="16">
        <f>base!X8449</f>
        <v>0</v>
      </c>
      <c r="M8449" s="11" t="e">
        <f t="shared" si="1311"/>
        <v>#DIV/0!</v>
      </c>
      <c r="N8449" s="11"/>
      <c r="O8449" s="11" t="e">
        <f t="shared" si="1312"/>
        <v>#DIV/0!</v>
      </c>
      <c r="P8449" s="12">
        <f t="shared" si="1313"/>
        <v>0</v>
      </c>
      <c r="Q8449" s="17" t="str">
        <f t="shared" si="1315"/>
        <v>Pas d'écart</v>
      </c>
    </row>
    <row r="8450" spans="1:17" x14ac:dyDescent="0.3">
      <c r="A8450" s="34">
        <f>base!J8450</f>
        <v>0</v>
      </c>
      <c r="B8450" s="34">
        <f>base!V8450</f>
        <v>0</v>
      </c>
      <c r="C8450" s="40" t="s">
        <v>11</v>
      </c>
      <c r="D8450" s="36">
        <f>base!H8450</f>
        <v>0</v>
      </c>
      <c r="E8450" s="44"/>
      <c r="F8450" s="16">
        <f>base!W8450</f>
        <v>0</v>
      </c>
      <c r="G8450" s="11" t="e">
        <f t="shared" ref="G8450:G8513" si="1316">F8450/D8450</f>
        <v>#DIV/0!</v>
      </c>
      <c r="H8450" s="11" t="e">
        <f t="shared" ref="H8450:H8513" si="1317">VLOOKUP(C8450,tout_cout_traction,2,FALSE)*D8450</f>
        <v>#N/A</v>
      </c>
      <c r="I8450" s="11" t="e">
        <f t="shared" ref="I8450:I8513" si="1318">H8450/D8450</f>
        <v>#N/A</v>
      </c>
      <c r="J8450" s="12" t="e">
        <f t="shared" ref="J8450:J8513" si="1319">F8450-H8450</f>
        <v>#N/A</v>
      </c>
      <c r="K8450" s="17" t="e">
        <f t="shared" si="1314"/>
        <v>#N/A</v>
      </c>
      <c r="L8450" s="16">
        <f>base!X8450</f>
        <v>0</v>
      </c>
      <c r="M8450" s="11" t="e">
        <f t="shared" ref="M8450:M8513" si="1320">L8450/D8450</f>
        <v>#DIV/0!</v>
      </c>
      <c r="N8450" s="11"/>
      <c r="O8450" s="11" t="e">
        <f t="shared" ref="O8450:O8513" si="1321">N8450/D8450</f>
        <v>#DIV/0!</v>
      </c>
      <c r="P8450" s="12">
        <f t="shared" ref="P8450:P8513" si="1322">L8450-N8450</f>
        <v>0</v>
      </c>
      <c r="Q8450" s="17" t="str">
        <f t="shared" si="1315"/>
        <v>Pas d'écart</v>
      </c>
    </row>
    <row r="8451" spans="1:17" x14ac:dyDescent="0.3">
      <c r="A8451" s="34">
        <f>base!J8451</f>
        <v>0</v>
      </c>
      <c r="B8451" s="34">
        <f>base!V8451</f>
        <v>0</v>
      </c>
      <c r="C8451" s="40" t="s">
        <v>11</v>
      </c>
      <c r="D8451" s="36">
        <f>base!H8451</f>
        <v>0</v>
      </c>
      <c r="E8451" s="44"/>
      <c r="F8451" s="16">
        <f>base!W8451</f>
        <v>0</v>
      </c>
      <c r="G8451" s="11" t="e">
        <f t="shared" si="1316"/>
        <v>#DIV/0!</v>
      </c>
      <c r="H8451" s="11" t="e">
        <f t="shared" si="1317"/>
        <v>#N/A</v>
      </c>
      <c r="I8451" s="11" t="e">
        <f t="shared" si="1318"/>
        <v>#N/A</v>
      </c>
      <c r="J8451" s="12" t="e">
        <f t="shared" si="1319"/>
        <v>#N/A</v>
      </c>
      <c r="K8451" s="17" t="e">
        <f t="shared" ref="K8451:K8514" si="1323">IF(H8451=F8451,"Pas d'écart",IF(H8451&lt;F8451,"Ecart positif",IF(H8451&gt;F8451,"Ecart négatif")))</f>
        <v>#N/A</v>
      </c>
      <c r="L8451" s="16">
        <f>base!X8451</f>
        <v>0</v>
      </c>
      <c r="M8451" s="11" t="e">
        <f t="shared" si="1320"/>
        <v>#DIV/0!</v>
      </c>
      <c r="N8451" s="11"/>
      <c r="O8451" s="11" t="e">
        <f t="shared" si="1321"/>
        <v>#DIV/0!</v>
      </c>
      <c r="P8451" s="12">
        <f t="shared" si="1322"/>
        <v>0</v>
      </c>
      <c r="Q8451" s="17" t="str">
        <f t="shared" ref="Q8451:Q8514" si="1324">IF(N8451=L8451,"Pas d'écart",IF(N8451&lt;L8451,"Ecart positif",IF(N8451&gt;L8451,"Ecart négatif")))</f>
        <v>Pas d'écart</v>
      </c>
    </row>
    <row r="8452" spans="1:17" x14ac:dyDescent="0.3">
      <c r="A8452" s="34">
        <f>base!J8452</f>
        <v>0</v>
      </c>
      <c r="B8452" s="34">
        <f>base!V8452</f>
        <v>0</v>
      </c>
      <c r="C8452" s="40" t="s">
        <v>11</v>
      </c>
      <c r="D8452" s="36">
        <f>base!H8452</f>
        <v>0</v>
      </c>
      <c r="E8452" s="44"/>
      <c r="F8452" s="16">
        <f>base!W8452</f>
        <v>0</v>
      </c>
      <c r="G8452" s="11" t="e">
        <f t="shared" si="1316"/>
        <v>#DIV/0!</v>
      </c>
      <c r="H8452" s="11" t="e">
        <f t="shared" si="1317"/>
        <v>#N/A</v>
      </c>
      <c r="I8452" s="11" t="e">
        <f t="shared" si="1318"/>
        <v>#N/A</v>
      </c>
      <c r="J8452" s="12" t="e">
        <f t="shared" si="1319"/>
        <v>#N/A</v>
      </c>
      <c r="K8452" s="17" t="e">
        <f t="shared" si="1323"/>
        <v>#N/A</v>
      </c>
      <c r="L8452" s="16">
        <f>base!X8452</f>
        <v>0</v>
      </c>
      <c r="M8452" s="11" t="e">
        <f t="shared" si="1320"/>
        <v>#DIV/0!</v>
      </c>
      <c r="N8452" s="11"/>
      <c r="O8452" s="11" t="e">
        <f t="shared" si="1321"/>
        <v>#DIV/0!</v>
      </c>
      <c r="P8452" s="12">
        <f t="shared" si="1322"/>
        <v>0</v>
      </c>
      <c r="Q8452" s="17" t="str">
        <f t="shared" si="1324"/>
        <v>Pas d'écart</v>
      </c>
    </row>
    <row r="8453" spans="1:17" x14ac:dyDescent="0.3">
      <c r="A8453" s="34">
        <f>base!J8453</f>
        <v>0</v>
      </c>
      <c r="B8453" s="34">
        <f>base!V8453</f>
        <v>0</v>
      </c>
      <c r="C8453" s="40" t="s">
        <v>11</v>
      </c>
      <c r="D8453" s="36">
        <f>base!H8453</f>
        <v>0</v>
      </c>
      <c r="E8453" s="44"/>
      <c r="F8453" s="16">
        <f>base!W8453</f>
        <v>0</v>
      </c>
      <c r="G8453" s="11" t="e">
        <f t="shared" si="1316"/>
        <v>#DIV/0!</v>
      </c>
      <c r="H8453" s="11" t="e">
        <f t="shared" si="1317"/>
        <v>#N/A</v>
      </c>
      <c r="I8453" s="11" t="e">
        <f t="shared" si="1318"/>
        <v>#N/A</v>
      </c>
      <c r="J8453" s="12" t="e">
        <f t="shared" si="1319"/>
        <v>#N/A</v>
      </c>
      <c r="K8453" s="17" t="e">
        <f t="shared" si="1323"/>
        <v>#N/A</v>
      </c>
      <c r="L8453" s="16">
        <f>base!X8453</f>
        <v>0</v>
      </c>
      <c r="M8453" s="11" t="e">
        <f t="shared" si="1320"/>
        <v>#DIV/0!</v>
      </c>
      <c r="N8453" s="11"/>
      <c r="O8453" s="11" t="e">
        <f t="shared" si="1321"/>
        <v>#DIV/0!</v>
      </c>
      <c r="P8453" s="12">
        <f t="shared" si="1322"/>
        <v>0</v>
      </c>
      <c r="Q8453" s="17" t="str">
        <f t="shared" si="1324"/>
        <v>Pas d'écart</v>
      </c>
    </row>
    <row r="8454" spans="1:17" x14ac:dyDescent="0.3">
      <c r="A8454" s="34">
        <f>base!J8454</f>
        <v>0</v>
      </c>
      <c r="B8454" s="34">
        <f>base!V8454</f>
        <v>0</v>
      </c>
      <c r="C8454" s="40" t="s">
        <v>11</v>
      </c>
      <c r="D8454" s="36">
        <f>base!H8454</f>
        <v>0</v>
      </c>
      <c r="E8454" s="44"/>
      <c r="F8454" s="16">
        <f>base!W8454</f>
        <v>0</v>
      </c>
      <c r="G8454" s="11" t="e">
        <f t="shared" si="1316"/>
        <v>#DIV/0!</v>
      </c>
      <c r="H8454" s="11" t="e">
        <f t="shared" si="1317"/>
        <v>#N/A</v>
      </c>
      <c r="I8454" s="11" t="e">
        <f t="shared" si="1318"/>
        <v>#N/A</v>
      </c>
      <c r="J8454" s="12" t="e">
        <f t="shared" si="1319"/>
        <v>#N/A</v>
      </c>
      <c r="K8454" s="17" t="e">
        <f t="shared" si="1323"/>
        <v>#N/A</v>
      </c>
      <c r="L8454" s="16">
        <f>base!X8454</f>
        <v>0</v>
      </c>
      <c r="M8454" s="11" t="e">
        <f t="shared" si="1320"/>
        <v>#DIV/0!</v>
      </c>
      <c r="N8454" s="11"/>
      <c r="O8454" s="11" t="e">
        <f t="shared" si="1321"/>
        <v>#DIV/0!</v>
      </c>
      <c r="P8454" s="12">
        <f t="shared" si="1322"/>
        <v>0</v>
      </c>
      <c r="Q8454" s="17" t="str">
        <f t="shared" si="1324"/>
        <v>Pas d'écart</v>
      </c>
    </row>
    <row r="8455" spans="1:17" x14ac:dyDescent="0.3">
      <c r="A8455" s="34">
        <f>base!J8455</f>
        <v>0</v>
      </c>
      <c r="B8455" s="34">
        <f>base!V8455</f>
        <v>0</v>
      </c>
      <c r="C8455" s="40" t="s">
        <v>11</v>
      </c>
      <c r="D8455" s="36">
        <f>base!H8455</f>
        <v>0</v>
      </c>
      <c r="E8455" s="44"/>
      <c r="F8455" s="16">
        <f>base!W8455</f>
        <v>0</v>
      </c>
      <c r="G8455" s="11" t="e">
        <f t="shared" si="1316"/>
        <v>#DIV/0!</v>
      </c>
      <c r="H8455" s="11" t="e">
        <f t="shared" si="1317"/>
        <v>#N/A</v>
      </c>
      <c r="I8455" s="11" t="e">
        <f t="shared" si="1318"/>
        <v>#N/A</v>
      </c>
      <c r="J8455" s="12" t="e">
        <f t="shared" si="1319"/>
        <v>#N/A</v>
      </c>
      <c r="K8455" s="17" t="e">
        <f t="shared" si="1323"/>
        <v>#N/A</v>
      </c>
      <c r="L8455" s="16">
        <f>base!X8455</f>
        <v>0</v>
      </c>
      <c r="M8455" s="11" t="e">
        <f t="shared" si="1320"/>
        <v>#DIV/0!</v>
      </c>
      <c r="N8455" s="11"/>
      <c r="O8455" s="11" t="e">
        <f t="shared" si="1321"/>
        <v>#DIV/0!</v>
      </c>
      <c r="P8455" s="12">
        <f t="shared" si="1322"/>
        <v>0</v>
      </c>
      <c r="Q8455" s="17" t="str">
        <f t="shared" si="1324"/>
        <v>Pas d'écart</v>
      </c>
    </row>
    <row r="8456" spans="1:17" x14ac:dyDescent="0.3">
      <c r="A8456" s="34">
        <f>base!J8456</f>
        <v>0</v>
      </c>
      <c r="B8456" s="34">
        <f>base!V8456</f>
        <v>0</v>
      </c>
      <c r="C8456" s="40" t="s">
        <v>11</v>
      </c>
      <c r="D8456" s="36">
        <f>base!H8456</f>
        <v>0</v>
      </c>
      <c r="E8456" s="44"/>
      <c r="F8456" s="16">
        <f>base!W8456</f>
        <v>0</v>
      </c>
      <c r="G8456" s="11" t="e">
        <f t="shared" si="1316"/>
        <v>#DIV/0!</v>
      </c>
      <c r="H8456" s="11" t="e">
        <f t="shared" si="1317"/>
        <v>#N/A</v>
      </c>
      <c r="I8456" s="11" t="e">
        <f t="shared" si="1318"/>
        <v>#N/A</v>
      </c>
      <c r="J8456" s="12" t="e">
        <f t="shared" si="1319"/>
        <v>#N/A</v>
      </c>
      <c r="K8456" s="17" t="e">
        <f t="shared" si="1323"/>
        <v>#N/A</v>
      </c>
      <c r="L8456" s="16">
        <f>base!X8456</f>
        <v>0</v>
      </c>
      <c r="M8456" s="11" t="e">
        <f t="shared" si="1320"/>
        <v>#DIV/0!</v>
      </c>
      <c r="N8456" s="11"/>
      <c r="O8456" s="11" t="e">
        <f t="shared" si="1321"/>
        <v>#DIV/0!</v>
      </c>
      <c r="P8456" s="12">
        <f t="shared" si="1322"/>
        <v>0</v>
      </c>
      <c r="Q8456" s="17" t="str">
        <f t="shared" si="1324"/>
        <v>Pas d'écart</v>
      </c>
    </row>
    <row r="8457" spans="1:17" x14ac:dyDescent="0.3">
      <c r="A8457" s="34">
        <f>base!J8457</f>
        <v>0</v>
      </c>
      <c r="B8457" s="34">
        <f>base!V8457</f>
        <v>0</v>
      </c>
      <c r="C8457" s="40" t="s">
        <v>11</v>
      </c>
      <c r="D8457" s="36">
        <f>base!H8457</f>
        <v>0</v>
      </c>
      <c r="E8457" s="44"/>
      <c r="F8457" s="16">
        <f>base!W8457</f>
        <v>0</v>
      </c>
      <c r="G8457" s="11" t="e">
        <f t="shared" si="1316"/>
        <v>#DIV/0!</v>
      </c>
      <c r="H8457" s="11" t="e">
        <f t="shared" si="1317"/>
        <v>#N/A</v>
      </c>
      <c r="I8457" s="11" t="e">
        <f t="shared" si="1318"/>
        <v>#N/A</v>
      </c>
      <c r="J8457" s="12" t="e">
        <f t="shared" si="1319"/>
        <v>#N/A</v>
      </c>
      <c r="K8457" s="17" t="e">
        <f t="shared" si="1323"/>
        <v>#N/A</v>
      </c>
      <c r="L8457" s="16">
        <f>base!X8457</f>
        <v>0</v>
      </c>
      <c r="M8457" s="11" t="e">
        <f t="shared" si="1320"/>
        <v>#DIV/0!</v>
      </c>
      <c r="N8457" s="11"/>
      <c r="O8457" s="11" t="e">
        <f t="shared" si="1321"/>
        <v>#DIV/0!</v>
      </c>
      <c r="P8457" s="12">
        <f t="shared" si="1322"/>
        <v>0</v>
      </c>
      <c r="Q8457" s="17" t="str">
        <f t="shared" si="1324"/>
        <v>Pas d'écart</v>
      </c>
    </row>
    <row r="8458" spans="1:17" x14ac:dyDescent="0.3">
      <c r="A8458" s="34">
        <f>base!J8458</f>
        <v>0</v>
      </c>
      <c r="B8458" s="34">
        <f>base!V8458</f>
        <v>0</v>
      </c>
      <c r="C8458" s="40" t="s">
        <v>11</v>
      </c>
      <c r="D8458" s="36">
        <f>base!H8458</f>
        <v>0</v>
      </c>
      <c r="E8458" s="44"/>
      <c r="F8458" s="16">
        <f>base!W8458</f>
        <v>0</v>
      </c>
      <c r="G8458" s="11" t="e">
        <f t="shared" si="1316"/>
        <v>#DIV/0!</v>
      </c>
      <c r="H8458" s="11" t="e">
        <f t="shared" si="1317"/>
        <v>#N/A</v>
      </c>
      <c r="I8458" s="11" t="e">
        <f t="shared" si="1318"/>
        <v>#N/A</v>
      </c>
      <c r="J8458" s="12" t="e">
        <f t="shared" si="1319"/>
        <v>#N/A</v>
      </c>
      <c r="K8458" s="17" t="e">
        <f t="shared" si="1323"/>
        <v>#N/A</v>
      </c>
      <c r="L8458" s="16">
        <f>base!X8458</f>
        <v>0</v>
      </c>
      <c r="M8458" s="11" t="e">
        <f t="shared" si="1320"/>
        <v>#DIV/0!</v>
      </c>
      <c r="N8458" s="11"/>
      <c r="O8458" s="11" t="e">
        <f t="shared" si="1321"/>
        <v>#DIV/0!</v>
      </c>
      <c r="P8458" s="12">
        <f t="shared" si="1322"/>
        <v>0</v>
      </c>
      <c r="Q8458" s="17" t="str">
        <f t="shared" si="1324"/>
        <v>Pas d'écart</v>
      </c>
    </row>
    <row r="8459" spans="1:17" x14ac:dyDescent="0.3">
      <c r="A8459" s="34">
        <f>base!J8459</f>
        <v>0</v>
      </c>
      <c r="B8459" s="34">
        <f>base!V8459</f>
        <v>0</v>
      </c>
      <c r="C8459" s="40" t="s">
        <v>11</v>
      </c>
      <c r="D8459" s="36">
        <f>base!H8459</f>
        <v>0</v>
      </c>
      <c r="E8459" s="44"/>
      <c r="F8459" s="16">
        <f>base!W8459</f>
        <v>0</v>
      </c>
      <c r="G8459" s="11" t="e">
        <f t="shared" si="1316"/>
        <v>#DIV/0!</v>
      </c>
      <c r="H8459" s="11" t="e">
        <f t="shared" si="1317"/>
        <v>#N/A</v>
      </c>
      <c r="I8459" s="11" t="e">
        <f t="shared" si="1318"/>
        <v>#N/A</v>
      </c>
      <c r="J8459" s="12" t="e">
        <f t="shared" si="1319"/>
        <v>#N/A</v>
      </c>
      <c r="K8459" s="17" t="e">
        <f t="shared" si="1323"/>
        <v>#N/A</v>
      </c>
      <c r="L8459" s="16">
        <f>base!X8459</f>
        <v>0</v>
      </c>
      <c r="M8459" s="11" t="e">
        <f t="shared" si="1320"/>
        <v>#DIV/0!</v>
      </c>
      <c r="N8459" s="11"/>
      <c r="O8459" s="11" t="e">
        <f t="shared" si="1321"/>
        <v>#DIV/0!</v>
      </c>
      <c r="P8459" s="12">
        <f t="shared" si="1322"/>
        <v>0</v>
      </c>
      <c r="Q8459" s="17" t="str">
        <f t="shared" si="1324"/>
        <v>Pas d'écart</v>
      </c>
    </row>
    <row r="8460" spans="1:17" x14ac:dyDescent="0.3">
      <c r="A8460" s="34">
        <f>base!J8460</f>
        <v>0</v>
      </c>
      <c r="B8460" s="34">
        <f>base!V8460</f>
        <v>0</v>
      </c>
      <c r="C8460" s="40" t="s">
        <v>11</v>
      </c>
      <c r="D8460" s="36">
        <f>base!H8460</f>
        <v>0</v>
      </c>
      <c r="E8460" s="44"/>
      <c r="F8460" s="16">
        <f>base!W8460</f>
        <v>0</v>
      </c>
      <c r="G8460" s="11" t="e">
        <f t="shared" si="1316"/>
        <v>#DIV/0!</v>
      </c>
      <c r="H8460" s="11" t="e">
        <f t="shared" si="1317"/>
        <v>#N/A</v>
      </c>
      <c r="I8460" s="11" t="e">
        <f t="shared" si="1318"/>
        <v>#N/A</v>
      </c>
      <c r="J8460" s="12" t="e">
        <f t="shared" si="1319"/>
        <v>#N/A</v>
      </c>
      <c r="K8460" s="17" t="e">
        <f t="shared" si="1323"/>
        <v>#N/A</v>
      </c>
      <c r="L8460" s="16">
        <f>base!X8460</f>
        <v>0</v>
      </c>
      <c r="M8460" s="11" t="e">
        <f t="shared" si="1320"/>
        <v>#DIV/0!</v>
      </c>
      <c r="N8460" s="11"/>
      <c r="O8460" s="11" t="e">
        <f t="shared" si="1321"/>
        <v>#DIV/0!</v>
      </c>
      <c r="P8460" s="12">
        <f t="shared" si="1322"/>
        <v>0</v>
      </c>
      <c r="Q8460" s="17" t="str">
        <f t="shared" si="1324"/>
        <v>Pas d'écart</v>
      </c>
    </row>
    <row r="8461" spans="1:17" x14ac:dyDescent="0.3">
      <c r="A8461" s="34">
        <f>base!J8461</f>
        <v>0</v>
      </c>
      <c r="B8461" s="34">
        <f>base!V8461</f>
        <v>0</v>
      </c>
      <c r="C8461" s="40" t="s">
        <v>11</v>
      </c>
      <c r="D8461" s="36">
        <f>base!H8461</f>
        <v>0</v>
      </c>
      <c r="E8461" s="44"/>
      <c r="F8461" s="16">
        <f>base!W8461</f>
        <v>0</v>
      </c>
      <c r="G8461" s="11" t="e">
        <f t="shared" si="1316"/>
        <v>#DIV/0!</v>
      </c>
      <c r="H8461" s="11" t="e">
        <f t="shared" si="1317"/>
        <v>#N/A</v>
      </c>
      <c r="I8461" s="11" t="e">
        <f t="shared" si="1318"/>
        <v>#N/A</v>
      </c>
      <c r="J8461" s="12" t="e">
        <f t="shared" si="1319"/>
        <v>#N/A</v>
      </c>
      <c r="K8461" s="17" t="e">
        <f t="shared" si="1323"/>
        <v>#N/A</v>
      </c>
      <c r="L8461" s="16">
        <f>base!X8461</f>
        <v>0</v>
      </c>
      <c r="M8461" s="11" t="e">
        <f t="shared" si="1320"/>
        <v>#DIV/0!</v>
      </c>
      <c r="N8461" s="11"/>
      <c r="O8461" s="11" t="e">
        <f t="shared" si="1321"/>
        <v>#DIV/0!</v>
      </c>
      <c r="P8461" s="12">
        <f t="shared" si="1322"/>
        <v>0</v>
      </c>
      <c r="Q8461" s="17" t="str">
        <f t="shared" si="1324"/>
        <v>Pas d'écart</v>
      </c>
    </row>
    <row r="8462" spans="1:17" x14ac:dyDescent="0.3">
      <c r="A8462" s="34">
        <f>base!J8462</f>
        <v>0</v>
      </c>
      <c r="B8462" s="34">
        <f>base!V8462</f>
        <v>0</v>
      </c>
      <c r="C8462" s="40" t="s">
        <v>11</v>
      </c>
      <c r="D8462" s="36">
        <f>base!H8462</f>
        <v>0</v>
      </c>
      <c r="E8462" s="44"/>
      <c r="F8462" s="16">
        <f>base!W8462</f>
        <v>0</v>
      </c>
      <c r="G8462" s="11" t="e">
        <f t="shared" si="1316"/>
        <v>#DIV/0!</v>
      </c>
      <c r="H8462" s="11" t="e">
        <f t="shared" si="1317"/>
        <v>#N/A</v>
      </c>
      <c r="I8462" s="11" t="e">
        <f t="shared" si="1318"/>
        <v>#N/A</v>
      </c>
      <c r="J8462" s="12" t="e">
        <f t="shared" si="1319"/>
        <v>#N/A</v>
      </c>
      <c r="K8462" s="17" t="e">
        <f t="shared" si="1323"/>
        <v>#N/A</v>
      </c>
      <c r="L8462" s="16">
        <f>base!X8462</f>
        <v>0</v>
      </c>
      <c r="M8462" s="11" t="e">
        <f t="shared" si="1320"/>
        <v>#DIV/0!</v>
      </c>
      <c r="N8462" s="11"/>
      <c r="O8462" s="11" t="e">
        <f t="shared" si="1321"/>
        <v>#DIV/0!</v>
      </c>
      <c r="P8462" s="12">
        <f t="shared" si="1322"/>
        <v>0</v>
      </c>
      <c r="Q8462" s="17" t="str">
        <f t="shared" si="1324"/>
        <v>Pas d'écart</v>
      </c>
    </row>
    <row r="8463" spans="1:17" x14ac:dyDescent="0.3">
      <c r="A8463" s="34">
        <f>base!J8463</f>
        <v>0</v>
      </c>
      <c r="B8463" s="34">
        <f>base!V8463</f>
        <v>0</v>
      </c>
      <c r="C8463" s="40" t="s">
        <v>11</v>
      </c>
      <c r="D8463" s="36">
        <f>base!H8463</f>
        <v>0</v>
      </c>
      <c r="E8463" s="44"/>
      <c r="F8463" s="16">
        <f>base!W8463</f>
        <v>0</v>
      </c>
      <c r="G8463" s="11" t="e">
        <f t="shared" si="1316"/>
        <v>#DIV/0!</v>
      </c>
      <c r="H8463" s="11" t="e">
        <f t="shared" si="1317"/>
        <v>#N/A</v>
      </c>
      <c r="I8463" s="11" t="e">
        <f t="shared" si="1318"/>
        <v>#N/A</v>
      </c>
      <c r="J8463" s="12" t="e">
        <f t="shared" si="1319"/>
        <v>#N/A</v>
      </c>
      <c r="K8463" s="17" t="e">
        <f t="shared" si="1323"/>
        <v>#N/A</v>
      </c>
      <c r="L8463" s="16">
        <f>base!X8463</f>
        <v>0</v>
      </c>
      <c r="M8463" s="11" t="e">
        <f t="shared" si="1320"/>
        <v>#DIV/0!</v>
      </c>
      <c r="N8463" s="11"/>
      <c r="O8463" s="11" t="e">
        <f t="shared" si="1321"/>
        <v>#DIV/0!</v>
      </c>
      <c r="P8463" s="12">
        <f t="shared" si="1322"/>
        <v>0</v>
      </c>
      <c r="Q8463" s="17" t="str">
        <f t="shared" si="1324"/>
        <v>Pas d'écart</v>
      </c>
    </row>
    <row r="8464" spans="1:17" x14ac:dyDescent="0.3">
      <c r="A8464" s="34">
        <f>base!J8464</f>
        <v>0</v>
      </c>
      <c r="B8464" s="34">
        <f>base!V8464</f>
        <v>0</v>
      </c>
      <c r="C8464" s="40" t="s">
        <v>11</v>
      </c>
      <c r="D8464" s="36">
        <f>base!H8464</f>
        <v>0</v>
      </c>
      <c r="E8464" s="44"/>
      <c r="F8464" s="16">
        <f>base!W8464</f>
        <v>0</v>
      </c>
      <c r="G8464" s="11" t="e">
        <f t="shared" si="1316"/>
        <v>#DIV/0!</v>
      </c>
      <c r="H8464" s="11" t="e">
        <f t="shared" si="1317"/>
        <v>#N/A</v>
      </c>
      <c r="I8464" s="11" t="e">
        <f t="shared" si="1318"/>
        <v>#N/A</v>
      </c>
      <c r="J8464" s="12" t="e">
        <f t="shared" si="1319"/>
        <v>#N/A</v>
      </c>
      <c r="K8464" s="17" t="e">
        <f t="shared" si="1323"/>
        <v>#N/A</v>
      </c>
      <c r="L8464" s="16">
        <f>base!X8464</f>
        <v>0</v>
      </c>
      <c r="M8464" s="11" t="e">
        <f t="shared" si="1320"/>
        <v>#DIV/0!</v>
      </c>
      <c r="N8464" s="11"/>
      <c r="O8464" s="11" t="e">
        <f t="shared" si="1321"/>
        <v>#DIV/0!</v>
      </c>
      <c r="P8464" s="12">
        <f t="shared" si="1322"/>
        <v>0</v>
      </c>
      <c r="Q8464" s="17" t="str">
        <f t="shared" si="1324"/>
        <v>Pas d'écart</v>
      </c>
    </row>
    <row r="8465" spans="1:17" x14ac:dyDescent="0.3">
      <c r="A8465" s="34">
        <f>base!J8465</f>
        <v>0</v>
      </c>
      <c r="B8465" s="34">
        <f>base!V8465</f>
        <v>0</v>
      </c>
      <c r="C8465" s="40" t="s">
        <v>11</v>
      </c>
      <c r="D8465" s="36">
        <f>base!H8465</f>
        <v>0</v>
      </c>
      <c r="E8465" s="44"/>
      <c r="F8465" s="16">
        <f>base!W8465</f>
        <v>0</v>
      </c>
      <c r="G8465" s="11" t="e">
        <f t="shared" si="1316"/>
        <v>#DIV/0!</v>
      </c>
      <c r="H8465" s="11" t="e">
        <f t="shared" si="1317"/>
        <v>#N/A</v>
      </c>
      <c r="I8465" s="11" t="e">
        <f t="shared" si="1318"/>
        <v>#N/A</v>
      </c>
      <c r="J8465" s="12" t="e">
        <f t="shared" si="1319"/>
        <v>#N/A</v>
      </c>
      <c r="K8465" s="17" t="e">
        <f t="shared" si="1323"/>
        <v>#N/A</v>
      </c>
      <c r="L8465" s="16">
        <f>base!X8465</f>
        <v>0</v>
      </c>
      <c r="M8465" s="11" t="e">
        <f t="shared" si="1320"/>
        <v>#DIV/0!</v>
      </c>
      <c r="N8465" s="11"/>
      <c r="O8465" s="11" t="e">
        <f t="shared" si="1321"/>
        <v>#DIV/0!</v>
      </c>
      <c r="P8465" s="12">
        <f t="shared" si="1322"/>
        <v>0</v>
      </c>
      <c r="Q8465" s="17" t="str">
        <f t="shared" si="1324"/>
        <v>Pas d'écart</v>
      </c>
    </row>
    <row r="8466" spans="1:17" x14ac:dyDescent="0.3">
      <c r="A8466" s="34">
        <f>base!J8466</f>
        <v>0</v>
      </c>
      <c r="B8466" s="34">
        <f>base!V8466</f>
        <v>0</v>
      </c>
      <c r="C8466" s="40" t="s">
        <v>11</v>
      </c>
      <c r="D8466" s="36">
        <f>base!H8466</f>
        <v>0</v>
      </c>
      <c r="E8466" s="44"/>
      <c r="F8466" s="16">
        <f>base!W8466</f>
        <v>0</v>
      </c>
      <c r="G8466" s="11" t="e">
        <f t="shared" si="1316"/>
        <v>#DIV/0!</v>
      </c>
      <c r="H8466" s="11" t="e">
        <f t="shared" si="1317"/>
        <v>#N/A</v>
      </c>
      <c r="I8466" s="11" t="e">
        <f t="shared" si="1318"/>
        <v>#N/A</v>
      </c>
      <c r="J8466" s="12" t="e">
        <f t="shared" si="1319"/>
        <v>#N/A</v>
      </c>
      <c r="K8466" s="17" t="e">
        <f t="shared" si="1323"/>
        <v>#N/A</v>
      </c>
      <c r="L8466" s="16">
        <f>base!X8466</f>
        <v>0</v>
      </c>
      <c r="M8466" s="11" t="e">
        <f t="shared" si="1320"/>
        <v>#DIV/0!</v>
      </c>
      <c r="N8466" s="11"/>
      <c r="O8466" s="11" t="e">
        <f t="shared" si="1321"/>
        <v>#DIV/0!</v>
      </c>
      <c r="P8466" s="12">
        <f t="shared" si="1322"/>
        <v>0</v>
      </c>
      <c r="Q8466" s="17" t="str">
        <f t="shared" si="1324"/>
        <v>Pas d'écart</v>
      </c>
    </row>
    <row r="8467" spans="1:17" x14ac:dyDescent="0.3">
      <c r="A8467" s="34">
        <f>base!J8467</f>
        <v>0</v>
      </c>
      <c r="B8467" s="34">
        <f>base!V8467</f>
        <v>0</v>
      </c>
      <c r="C8467" s="40" t="s">
        <v>11</v>
      </c>
      <c r="D8467" s="36">
        <f>base!H8467</f>
        <v>0</v>
      </c>
      <c r="E8467" s="44"/>
      <c r="F8467" s="16">
        <f>base!W8467</f>
        <v>0</v>
      </c>
      <c r="G8467" s="11" t="e">
        <f t="shared" si="1316"/>
        <v>#DIV/0!</v>
      </c>
      <c r="H8467" s="11" t="e">
        <f t="shared" si="1317"/>
        <v>#N/A</v>
      </c>
      <c r="I8467" s="11" t="e">
        <f t="shared" si="1318"/>
        <v>#N/A</v>
      </c>
      <c r="J8467" s="12" t="e">
        <f t="shared" si="1319"/>
        <v>#N/A</v>
      </c>
      <c r="K8467" s="17" t="e">
        <f t="shared" si="1323"/>
        <v>#N/A</v>
      </c>
      <c r="L8467" s="16">
        <f>base!X8467</f>
        <v>0</v>
      </c>
      <c r="M8467" s="11" t="e">
        <f t="shared" si="1320"/>
        <v>#DIV/0!</v>
      </c>
      <c r="N8467" s="11"/>
      <c r="O8467" s="11" t="e">
        <f t="shared" si="1321"/>
        <v>#DIV/0!</v>
      </c>
      <c r="P8467" s="12">
        <f t="shared" si="1322"/>
        <v>0</v>
      </c>
      <c r="Q8467" s="17" t="str">
        <f t="shared" si="1324"/>
        <v>Pas d'écart</v>
      </c>
    </row>
    <row r="8468" spans="1:17" x14ac:dyDescent="0.3">
      <c r="A8468" s="34">
        <f>base!J8468</f>
        <v>0</v>
      </c>
      <c r="B8468" s="34">
        <f>base!V8468</f>
        <v>0</v>
      </c>
      <c r="C8468" s="40" t="s">
        <v>11</v>
      </c>
      <c r="D8468" s="36">
        <f>base!H8468</f>
        <v>0</v>
      </c>
      <c r="E8468" s="44"/>
      <c r="F8468" s="16">
        <f>base!W8468</f>
        <v>0</v>
      </c>
      <c r="G8468" s="11" t="e">
        <f t="shared" si="1316"/>
        <v>#DIV/0!</v>
      </c>
      <c r="H8468" s="11" t="e">
        <f t="shared" si="1317"/>
        <v>#N/A</v>
      </c>
      <c r="I8468" s="11" t="e">
        <f t="shared" si="1318"/>
        <v>#N/A</v>
      </c>
      <c r="J8468" s="12" t="e">
        <f t="shared" si="1319"/>
        <v>#N/A</v>
      </c>
      <c r="K8468" s="17" t="e">
        <f t="shared" si="1323"/>
        <v>#N/A</v>
      </c>
      <c r="L8468" s="16">
        <f>base!X8468</f>
        <v>0</v>
      </c>
      <c r="M8468" s="11" t="e">
        <f t="shared" si="1320"/>
        <v>#DIV/0!</v>
      </c>
      <c r="N8468" s="11"/>
      <c r="O8468" s="11" t="e">
        <f t="shared" si="1321"/>
        <v>#DIV/0!</v>
      </c>
      <c r="P8468" s="12">
        <f t="shared" si="1322"/>
        <v>0</v>
      </c>
      <c r="Q8468" s="17" t="str">
        <f t="shared" si="1324"/>
        <v>Pas d'écart</v>
      </c>
    </row>
    <row r="8469" spans="1:17" x14ac:dyDescent="0.3">
      <c r="A8469" s="34">
        <f>base!J8469</f>
        <v>0</v>
      </c>
      <c r="B8469" s="34">
        <f>base!V8469</f>
        <v>0</v>
      </c>
      <c r="C8469" s="40" t="s">
        <v>11</v>
      </c>
      <c r="D8469" s="36">
        <f>base!H8469</f>
        <v>0</v>
      </c>
      <c r="E8469" s="44"/>
      <c r="F8469" s="16">
        <f>base!W8469</f>
        <v>0</v>
      </c>
      <c r="G8469" s="11" t="e">
        <f t="shared" si="1316"/>
        <v>#DIV/0!</v>
      </c>
      <c r="H8469" s="11" t="e">
        <f t="shared" si="1317"/>
        <v>#N/A</v>
      </c>
      <c r="I8469" s="11" t="e">
        <f t="shared" si="1318"/>
        <v>#N/A</v>
      </c>
      <c r="J8469" s="12" t="e">
        <f t="shared" si="1319"/>
        <v>#N/A</v>
      </c>
      <c r="K8469" s="17" t="e">
        <f t="shared" si="1323"/>
        <v>#N/A</v>
      </c>
      <c r="L8469" s="16">
        <f>base!X8469</f>
        <v>0</v>
      </c>
      <c r="M8469" s="11" t="e">
        <f t="shared" si="1320"/>
        <v>#DIV/0!</v>
      </c>
      <c r="N8469" s="11"/>
      <c r="O8469" s="11" t="e">
        <f t="shared" si="1321"/>
        <v>#DIV/0!</v>
      </c>
      <c r="P8469" s="12">
        <f t="shared" si="1322"/>
        <v>0</v>
      </c>
      <c r="Q8469" s="17" t="str">
        <f t="shared" si="1324"/>
        <v>Pas d'écart</v>
      </c>
    </row>
    <row r="8470" spans="1:17" x14ac:dyDescent="0.3">
      <c r="A8470" s="34">
        <f>base!J8470</f>
        <v>0</v>
      </c>
      <c r="B8470" s="34">
        <f>base!V8470</f>
        <v>0</v>
      </c>
      <c r="C8470" s="40" t="s">
        <v>11</v>
      </c>
      <c r="D8470" s="36">
        <f>base!H8470</f>
        <v>0</v>
      </c>
      <c r="E8470" s="44"/>
      <c r="F8470" s="16">
        <f>base!W8470</f>
        <v>0</v>
      </c>
      <c r="G8470" s="11" t="e">
        <f t="shared" si="1316"/>
        <v>#DIV/0!</v>
      </c>
      <c r="H8470" s="11" t="e">
        <f t="shared" si="1317"/>
        <v>#N/A</v>
      </c>
      <c r="I8470" s="11" t="e">
        <f t="shared" si="1318"/>
        <v>#N/A</v>
      </c>
      <c r="J8470" s="12" t="e">
        <f t="shared" si="1319"/>
        <v>#N/A</v>
      </c>
      <c r="K8470" s="17" t="e">
        <f t="shared" si="1323"/>
        <v>#N/A</v>
      </c>
      <c r="L8470" s="16">
        <f>base!X8470</f>
        <v>0</v>
      </c>
      <c r="M8470" s="11" t="e">
        <f t="shared" si="1320"/>
        <v>#DIV/0!</v>
      </c>
      <c r="N8470" s="11"/>
      <c r="O8470" s="11" t="e">
        <f t="shared" si="1321"/>
        <v>#DIV/0!</v>
      </c>
      <c r="P8470" s="12">
        <f t="shared" si="1322"/>
        <v>0</v>
      </c>
      <c r="Q8470" s="17" t="str">
        <f t="shared" si="1324"/>
        <v>Pas d'écart</v>
      </c>
    </row>
    <row r="8471" spans="1:17" x14ac:dyDescent="0.3">
      <c r="A8471" s="34">
        <f>base!J8471</f>
        <v>0</v>
      </c>
      <c r="B8471" s="34">
        <f>base!V8471</f>
        <v>0</v>
      </c>
      <c r="C8471" s="40" t="s">
        <v>11</v>
      </c>
      <c r="D8471" s="36">
        <f>base!H8471</f>
        <v>0</v>
      </c>
      <c r="E8471" s="44"/>
      <c r="F8471" s="16">
        <f>base!W8471</f>
        <v>0</v>
      </c>
      <c r="G8471" s="11" t="e">
        <f t="shared" si="1316"/>
        <v>#DIV/0!</v>
      </c>
      <c r="H8471" s="11" t="e">
        <f t="shared" si="1317"/>
        <v>#N/A</v>
      </c>
      <c r="I8471" s="11" t="e">
        <f t="shared" si="1318"/>
        <v>#N/A</v>
      </c>
      <c r="J8471" s="12" t="e">
        <f t="shared" si="1319"/>
        <v>#N/A</v>
      </c>
      <c r="K8471" s="17" t="e">
        <f t="shared" si="1323"/>
        <v>#N/A</v>
      </c>
      <c r="L8471" s="16">
        <f>base!X8471</f>
        <v>0</v>
      </c>
      <c r="M8471" s="11" t="e">
        <f t="shared" si="1320"/>
        <v>#DIV/0!</v>
      </c>
      <c r="N8471" s="11"/>
      <c r="O8471" s="11" t="e">
        <f t="shared" si="1321"/>
        <v>#DIV/0!</v>
      </c>
      <c r="P8471" s="12">
        <f t="shared" si="1322"/>
        <v>0</v>
      </c>
      <c r="Q8471" s="17" t="str">
        <f t="shared" si="1324"/>
        <v>Pas d'écart</v>
      </c>
    </row>
    <row r="8472" spans="1:17" x14ac:dyDescent="0.3">
      <c r="A8472" s="34">
        <f>base!J8472</f>
        <v>0</v>
      </c>
      <c r="B8472" s="34">
        <f>base!V8472</f>
        <v>0</v>
      </c>
      <c r="C8472" s="40" t="s">
        <v>11</v>
      </c>
      <c r="D8472" s="36">
        <f>base!H8472</f>
        <v>0</v>
      </c>
      <c r="E8472" s="44"/>
      <c r="F8472" s="16">
        <f>base!W8472</f>
        <v>0</v>
      </c>
      <c r="G8472" s="11" t="e">
        <f t="shared" si="1316"/>
        <v>#DIV/0!</v>
      </c>
      <c r="H8472" s="11" t="e">
        <f t="shared" si="1317"/>
        <v>#N/A</v>
      </c>
      <c r="I8472" s="11" t="e">
        <f t="shared" si="1318"/>
        <v>#N/A</v>
      </c>
      <c r="J8472" s="12" t="e">
        <f t="shared" si="1319"/>
        <v>#N/A</v>
      </c>
      <c r="K8472" s="17" t="e">
        <f t="shared" si="1323"/>
        <v>#N/A</v>
      </c>
      <c r="L8472" s="16">
        <f>base!X8472</f>
        <v>0</v>
      </c>
      <c r="M8472" s="11" t="e">
        <f t="shared" si="1320"/>
        <v>#DIV/0!</v>
      </c>
      <c r="N8472" s="11"/>
      <c r="O8472" s="11" t="e">
        <f t="shared" si="1321"/>
        <v>#DIV/0!</v>
      </c>
      <c r="P8472" s="12">
        <f t="shared" si="1322"/>
        <v>0</v>
      </c>
      <c r="Q8472" s="17" t="str">
        <f t="shared" si="1324"/>
        <v>Pas d'écart</v>
      </c>
    </row>
    <row r="8473" spans="1:17" x14ac:dyDescent="0.3">
      <c r="A8473" s="34">
        <f>base!J8473</f>
        <v>0</v>
      </c>
      <c r="B8473" s="34">
        <f>base!V8473</f>
        <v>0</v>
      </c>
      <c r="C8473" s="40" t="s">
        <v>11</v>
      </c>
      <c r="D8473" s="36">
        <f>base!H8473</f>
        <v>0</v>
      </c>
      <c r="E8473" s="44"/>
      <c r="F8473" s="16">
        <f>base!W8473</f>
        <v>0</v>
      </c>
      <c r="G8473" s="11" t="e">
        <f t="shared" si="1316"/>
        <v>#DIV/0!</v>
      </c>
      <c r="H8473" s="11" t="e">
        <f t="shared" si="1317"/>
        <v>#N/A</v>
      </c>
      <c r="I8473" s="11" t="e">
        <f t="shared" si="1318"/>
        <v>#N/A</v>
      </c>
      <c r="J8473" s="12" t="e">
        <f t="shared" si="1319"/>
        <v>#N/A</v>
      </c>
      <c r="K8473" s="17" t="e">
        <f t="shared" si="1323"/>
        <v>#N/A</v>
      </c>
      <c r="L8473" s="16">
        <f>base!X8473</f>
        <v>0</v>
      </c>
      <c r="M8473" s="11" t="e">
        <f t="shared" si="1320"/>
        <v>#DIV/0!</v>
      </c>
      <c r="N8473" s="11"/>
      <c r="O8473" s="11" t="e">
        <f t="shared" si="1321"/>
        <v>#DIV/0!</v>
      </c>
      <c r="P8473" s="12">
        <f t="shared" si="1322"/>
        <v>0</v>
      </c>
      <c r="Q8473" s="17" t="str">
        <f t="shared" si="1324"/>
        <v>Pas d'écart</v>
      </c>
    </row>
    <row r="8474" spans="1:17" x14ac:dyDescent="0.3">
      <c r="A8474" s="34">
        <f>base!J8474</f>
        <v>0</v>
      </c>
      <c r="B8474" s="34">
        <f>base!V8474</f>
        <v>0</v>
      </c>
      <c r="C8474" s="40" t="s">
        <v>11</v>
      </c>
      <c r="D8474" s="36">
        <f>base!H8474</f>
        <v>0</v>
      </c>
      <c r="E8474" s="44"/>
      <c r="F8474" s="16">
        <f>base!W8474</f>
        <v>0</v>
      </c>
      <c r="G8474" s="11" t="e">
        <f t="shared" si="1316"/>
        <v>#DIV/0!</v>
      </c>
      <c r="H8474" s="11" t="e">
        <f t="shared" si="1317"/>
        <v>#N/A</v>
      </c>
      <c r="I8474" s="11" t="e">
        <f t="shared" si="1318"/>
        <v>#N/A</v>
      </c>
      <c r="J8474" s="12" t="e">
        <f t="shared" si="1319"/>
        <v>#N/A</v>
      </c>
      <c r="K8474" s="17" t="e">
        <f t="shared" si="1323"/>
        <v>#N/A</v>
      </c>
      <c r="L8474" s="16">
        <f>base!X8474</f>
        <v>0</v>
      </c>
      <c r="M8474" s="11" t="e">
        <f t="shared" si="1320"/>
        <v>#DIV/0!</v>
      </c>
      <c r="N8474" s="11"/>
      <c r="O8474" s="11" t="e">
        <f t="shared" si="1321"/>
        <v>#DIV/0!</v>
      </c>
      <c r="P8474" s="12">
        <f t="shared" si="1322"/>
        <v>0</v>
      </c>
      <c r="Q8474" s="17" t="str">
        <f t="shared" si="1324"/>
        <v>Pas d'écart</v>
      </c>
    </row>
    <row r="8475" spans="1:17" x14ac:dyDescent="0.3">
      <c r="A8475" s="34">
        <f>base!J8475</f>
        <v>0</v>
      </c>
      <c r="B8475" s="34">
        <f>base!V8475</f>
        <v>0</v>
      </c>
      <c r="C8475" s="40" t="s">
        <v>11</v>
      </c>
      <c r="D8475" s="36">
        <f>base!H8475</f>
        <v>0</v>
      </c>
      <c r="E8475" s="44"/>
      <c r="F8475" s="16">
        <f>base!W8475</f>
        <v>0</v>
      </c>
      <c r="G8475" s="11" t="e">
        <f t="shared" si="1316"/>
        <v>#DIV/0!</v>
      </c>
      <c r="H8475" s="11" t="e">
        <f t="shared" si="1317"/>
        <v>#N/A</v>
      </c>
      <c r="I8475" s="11" t="e">
        <f t="shared" si="1318"/>
        <v>#N/A</v>
      </c>
      <c r="J8475" s="12" t="e">
        <f t="shared" si="1319"/>
        <v>#N/A</v>
      </c>
      <c r="K8475" s="17" t="e">
        <f t="shared" si="1323"/>
        <v>#N/A</v>
      </c>
      <c r="L8475" s="16">
        <f>base!X8475</f>
        <v>0</v>
      </c>
      <c r="M8475" s="11" t="e">
        <f t="shared" si="1320"/>
        <v>#DIV/0!</v>
      </c>
      <c r="N8475" s="11"/>
      <c r="O8475" s="11" t="e">
        <f t="shared" si="1321"/>
        <v>#DIV/0!</v>
      </c>
      <c r="P8475" s="12">
        <f t="shared" si="1322"/>
        <v>0</v>
      </c>
      <c r="Q8475" s="17" t="str">
        <f t="shared" si="1324"/>
        <v>Pas d'écart</v>
      </c>
    </row>
    <row r="8476" spans="1:17" x14ac:dyDescent="0.3">
      <c r="A8476" s="34">
        <f>base!J8476</f>
        <v>0</v>
      </c>
      <c r="B8476" s="34">
        <f>base!V8476</f>
        <v>0</v>
      </c>
      <c r="C8476" s="40" t="s">
        <v>11</v>
      </c>
      <c r="D8476" s="36">
        <f>base!H8476</f>
        <v>0</v>
      </c>
      <c r="E8476" s="44"/>
      <c r="F8476" s="16">
        <f>base!W8476</f>
        <v>0</v>
      </c>
      <c r="G8476" s="11" t="e">
        <f t="shared" si="1316"/>
        <v>#DIV/0!</v>
      </c>
      <c r="H8476" s="11" t="e">
        <f t="shared" si="1317"/>
        <v>#N/A</v>
      </c>
      <c r="I8476" s="11" t="e">
        <f t="shared" si="1318"/>
        <v>#N/A</v>
      </c>
      <c r="J8476" s="12" t="e">
        <f t="shared" si="1319"/>
        <v>#N/A</v>
      </c>
      <c r="K8476" s="17" t="e">
        <f t="shared" si="1323"/>
        <v>#N/A</v>
      </c>
      <c r="L8476" s="16">
        <f>base!X8476</f>
        <v>0</v>
      </c>
      <c r="M8476" s="11" t="e">
        <f t="shared" si="1320"/>
        <v>#DIV/0!</v>
      </c>
      <c r="N8476" s="11"/>
      <c r="O8476" s="11" t="e">
        <f t="shared" si="1321"/>
        <v>#DIV/0!</v>
      </c>
      <c r="P8476" s="12">
        <f t="shared" si="1322"/>
        <v>0</v>
      </c>
      <c r="Q8476" s="17" t="str">
        <f t="shared" si="1324"/>
        <v>Pas d'écart</v>
      </c>
    </row>
    <row r="8477" spans="1:17" x14ac:dyDescent="0.3">
      <c r="A8477" s="34">
        <f>base!J8477</f>
        <v>0</v>
      </c>
      <c r="B8477" s="34">
        <f>base!V8477</f>
        <v>0</v>
      </c>
      <c r="C8477" s="40" t="s">
        <v>11</v>
      </c>
      <c r="D8477" s="36">
        <f>base!H8477</f>
        <v>0</v>
      </c>
      <c r="E8477" s="44"/>
      <c r="F8477" s="16">
        <f>base!W8477</f>
        <v>0</v>
      </c>
      <c r="G8477" s="11" t="e">
        <f t="shared" si="1316"/>
        <v>#DIV/0!</v>
      </c>
      <c r="H8477" s="11" t="e">
        <f t="shared" si="1317"/>
        <v>#N/A</v>
      </c>
      <c r="I8477" s="11" t="e">
        <f t="shared" si="1318"/>
        <v>#N/A</v>
      </c>
      <c r="J8477" s="12" t="e">
        <f t="shared" si="1319"/>
        <v>#N/A</v>
      </c>
      <c r="K8477" s="17" t="e">
        <f t="shared" si="1323"/>
        <v>#N/A</v>
      </c>
      <c r="L8477" s="16">
        <f>base!X8477</f>
        <v>0</v>
      </c>
      <c r="M8477" s="11" t="e">
        <f t="shared" si="1320"/>
        <v>#DIV/0!</v>
      </c>
      <c r="N8477" s="11"/>
      <c r="O8477" s="11" t="e">
        <f t="shared" si="1321"/>
        <v>#DIV/0!</v>
      </c>
      <c r="P8477" s="12">
        <f t="shared" si="1322"/>
        <v>0</v>
      </c>
      <c r="Q8477" s="17" t="str">
        <f t="shared" si="1324"/>
        <v>Pas d'écart</v>
      </c>
    </row>
    <row r="8478" spans="1:17" x14ac:dyDescent="0.3">
      <c r="A8478" s="34">
        <f>base!J8478</f>
        <v>0</v>
      </c>
      <c r="B8478" s="34">
        <f>base!V8478</f>
        <v>0</v>
      </c>
      <c r="C8478" s="40" t="s">
        <v>11</v>
      </c>
      <c r="D8478" s="36">
        <f>base!H8478</f>
        <v>0</v>
      </c>
      <c r="E8478" s="44"/>
      <c r="F8478" s="16">
        <f>base!W8478</f>
        <v>0</v>
      </c>
      <c r="G8478" s="11" t="e">
        <f t="shared" si="1316"/>
        <v>#DIV/0!</v>
      </c>
      <c r="H8478" s="11" t="e">
        <f t="shared" si="1317"/>
        <v>#N/A</v>
      </c>
      <c r="I8478" s="11" t="e">
        <f t="shared" si="1318"/>
        <v>#N/A</v>
      </c>
      <c r="J8478" s="12" t="e">
        <f t="shared" si="1319"/>
        <v>#N/A</v>
      </c>
      <c r="K8478" s="17" t="e">
        <f t="shared" si="1323"/>
        <v>#N/A</v>
      </c>
      <c r="L8478" s="16">
        <f>base!X8478</f>
        <v>0</v>
      </c>
      <c r="M8478" s="11" t="e">
        <f t="shared" si="1320"/>
        <v>#DIV/0!</v>
      </c>
      <c r="N8478" s="11"/>
      <c r="O8478" s="11" t="e">
        <f t="shared" si="1321"/>
        <v>#DIV/0!</v>
      </c>
      <c r="P8478" s="12">
        <f t="shared" si="1322"/>
        <v>0</v>
      </c>
      <c r="Q8478" s="17" t="str">
        <f t="shared" si="1324"/>
        <v>Pas d'écart</v>
      </c>
    </row>
    <row r="8479" spans="1:17" x14ac:dyDescent="0.3">
      <c r="A8479" s="34">
        <f>base!J8479</f>
        <v>0</v>
      </c>
      <c r="B8479" s="34">
        <f>base!V8479</f>
        <v>0</v>
      </c>
      <c r="C8479" s="40" t="s">
        <v>11</v>
      </c>
      <c r="D8479" s="36">
        <f>base!H8479</f>
        <v>0</v>
      </c>
      <c r="E8479" s="44"/>
      <c r="F8479" s="16">
        <f>base!W8479</f>
        <v>0</v>
      </c>
      <c r="G8479" s="11" t="e">
        <f t="shared" si="1316"/>
        <v>#DIV/0!</v>
      </c>
      <c r="H8479" s="11" t="e">
        <f t="shared" si="1317"/>
        <v>#N/A</v>
      </c>
      <c r="I8479" s="11" t="e">
        <f t="shared" si="1318"/>
        <v>#N/A</v>
      </c>
      <c r="J8479" s="12" t="e">
        <f t="shared" si="1319"/>
        <v>#N/A</v>
      </c>
      <c r="K8479" s="17" t="e">
        <f t="shared" si="1323"/>
        <v>#N/A</v>
      </c>
      <c r="L8479" s="16">
        <f>base!X8479</f>
        <v>0</v>
      </c>
      <c r="M8479" s="11" t="e">
        <f t="shared" si="1320"/>
        <v>#DIV/0!</v>
      </c>
      <c r="N8479" s="11"/>
      <c r="O8479" s="11" t="e">
        <f t="shared" si="1321"/>
        <v>#DIV/0!</v>
      </c>
      <c r="P8479" s="12">
        <f t="shared" si="1322"/>
        <v>0</v>
      </c>
      <c r="Q8479" s="17" t="str">
        <f t="shared" si="1324"/>
        <v>Pas d'écart</v>
      </c>
    </row>
    <row r="8480" spans="1:17" x14ac:dyDescent="0.3">
      <c r="A8480" s="34">
        <f>base!J8480</f>
        <v>0</v>
      </c>
      <c r="B8480" s="34">
        <f>base!V8480</f>
        <v>0</v>
      </c>
      <c r="C8480" s="40" t="s">
        <v>11</v>
      </c>
      <c r="D8480" s="36">
        <f>base!H8480</f>
        <v>0</v>
      </c>
      <c r="E8480" s="44"/>
      <c r="F8480" s="16">
        <f>base!W8480</f>
        <v>0</v>
      </c>
      <c r="G8480" s="11" t="e">
        <f t="shared" si="1316"/>
        <v>#DIV/0!</v>
      </c>
      <c r="H8480" s="11" t="e">
        <f t="shared" si="1317"/>
        <v>#N/A</v>
      </c>
      <c r="I8480" s="11" t="e">
        <f t="shared" si="1318"/>
        <v>#N/A</v>
      </c>
      <c r="J8480" s="12" t="e">
        <f t="shared" si="1319"/>
        <v>#N/A</v>
      </c>
      <c r="K8480" s="17" t="e">
        <f t="shared" si="1323"/>
        <v>#N/A</v>
      </c>
      <c r="L8480" s="16">
        <f>base!X8480</f>
        <v>0</v>
      </c>
      <c r="M8480" s="11" t="e">
        <f t="shared" si="1320"/>
        <v>#DIV/0!</v>
      </c>
      <c r="N8480" s="11"/>
      <c r="O8480" s="11" t="e">
        <f t="shared" si="1321"/>
        <v>#DIV/0!</v>
      </c>
      <c r="P8480" s="12">
        <f t="shared" si="1322"/>
        <v>0</v>
      </c>
      <c r="Q8480" s="17" t="str">
        <f t="shared" si="1324"/>
        <v>Pas d'écart</v>
      </c>
    </row>
    <row r="8481" spans="1:17" x14ac:dyDescent="0.3">
      <c r="A8481" s="34">
        <f>base!J8481</f>
        <v>0</v>
      </c>
      <c r="B8481" s="34">
        <f>base!V8481</f>
        <v>0</v>
      </c>
      <c r="C8481" s="40" t="s">
        <v>11</v>
      </c>
      <c r="D8481" s="36">
        <f>base!H8481</f>
        <v>0</v>
      </c>
      <c r="E8481" s="44"/>
      <c r="F8481" s="16">
        <f>base!W8481</f>
        <v>0</v>
      </c>
      <c r="G8481" s="11" t="e">
        <f t="shared" si="1316"/>
        <v>#DIV/0!</v>
      </c>
      <c r="H8481" s="11" t="e">
        <f t="shared" si="1317"/>
        <v>#N/A</v>
      </c>
      <c r="I8481" s="11" t="e">
        <f t="shared" si="1318"/>
        <v>#N/A</v>
      </c>
      <c r="J8481" s="12" t="e">
        <f t="shared" si="1319"/>
        <v>#N/A</v>
      </c>
      <c r="K8481" s="17" t="e">
        <f t="shared" si="1323"/>
        <v>#N/A</v>
      </c>
      <c r="L8481" s="16">
        <f>base!X8481</f>
        <v>0</v>
      </c>
      <c r="M8481" s="11" t="e">
        <f t="shared" si="1320"/>
        <v>#DIV/0!</v>
      </c>
      <c r="N8481" s="11"/>
      <c r="O8481" s="11" t="e">
        <f t="shared" si="1321"/>
        <v>#DIV/0!</v>
      </c>
      <c r="P8481" s="12">
        <f t="shared" si="1322"/>
        <v>0</v>
      </c>
      <c r="Q8481" s="17" t="str">
        <f t="shared" si="1324"/>
        <v>Pas d'écart</v>
      </c>
    </row>
    <row r="8482" spans="1:17" x14ac:dyDescent="0.3">
      <c r="A8482" s="34">
        <f>base!J8482</f>
        <v>0</v>
      </c>
      <c r="B8482" s="34">
        <f>base!V8482</f>
        <v>0</v>
      </c>
      <c r="C8482" s="40" t="s">
        <v>11</v>
      </c>
      <c r="D8482" s="36">
        <f>base!H8482</f>
        <v>0</v>
      </c>
      <c r="E8482" s="44"/>
      <c r="F8482" s="16">
        <f>base!W8482</f>
        <v>0</v>
      </c>
      <c r="G8482" s="11" t="e">
        <f t="shared" si="1316"/>
        <v>#DIV/0!</v>
      </c>
      <c r="H8482" s="11" t="e">
        <f t="shared" si="1317"/>
        <v>#N/A</v>
      </c>
      <c r="I8482" s="11" t="e">
        <f t="shared" si="1318"/>
        <v>#N/A</v>
      </c>
      <c r="J8482" s="12" t="e">
        <f t="shared" si="1319"/>
        <v>#N/A</v>
      </c>
      <c r="K8482" s="17" t="e">
        <f t="shared" si="1323"/>
        <v>#N/A</v>
      </c>
      <c r="L8482" s="16">
        <f>base!X8482</f>
        <v>0</v>
      </c>
      <c r="M8482" s="11" t="e">
        <f t="shared" si="1320"/>
        <v>#DIV/0!</v>
      </c>
      <c r="N8482" s="11"/>
      <c r="O8482" s="11" t="e">
        <f t="shared" si="1321"/>
        <v>#DIV/0!</v>
      </c>
      <c r="P8482" s="12">
        <f t="shared" si="1322"/>
        <v>0</v>
      </c>
      <c r="Q8482" s="17" t="str">
        <f t="shared" si="1324"/>
        <v>Pas d'écart</v>
      </c>
    </row>
    <row r="8483" spans="1:17" x14ac:dyDescent="0.3">
      <c r="A8483" s="34">
        <f>base!J8483</f>
        <v>0</v>
      </c>
      <c r="B8483" s="34">
        <f>base!V8483</f>
        <v>0</v>
      </c>
      <c r="C8483" s="40" t="s">
        <v>11</v>
      </c>
      <c r="D8483" s="36">
        <f>base!H8483</f>
        <v>0</v>
      </c>
      <c r="E8483" s="44"/>
      <c r="F8483" s="16">
        <f>base!W8483</f>
        <v>0</v>
      </c>
      <c r="G8483" s="11" t="e">
        <f t="shared" si="1316"/>
        <v>#DIV/0!</v>
      </c>
      <c r="H8483" s="11" t="e">
        <f t="shared" si="1317"/>
        <v>#N/A</v>
      </c>
      <c r="I8483" s="11" t="e">
        <f t="shared" si="1318"/>
        <v>#N/A</v>
      </c>
      <c r="J8483" s="12" t="e">
        <f t="shared" si="1319"/>
        <v>#N/A</v>
      </c>
      <c r="K8483" s="17" t="e">
        <f t="shared" si="1323"/>
        <v>#N/A</v>
      </c>
      <c r="L8483" s="16">
        <f>base!X8483</f>
        <v>0</v>
      </c>
      <c r="M8483" s="11" t="e">
        <f t="shared" si="1320"/>
        <v>#DIV/0!</v>
      </c>
      <c r="N8483" s="11"/>
      <c r="O8483" s="11" t="e">
        <f t="shared" si="1321"/>
        <v>#DIV/0!</v>
      </c>
      <c r="P8483" s="12">
        <f t="shared" si="1322"/>
        <v>0</v>
      </c>
      <c r="Q8483" s="17" t="str">
        <f t="shared" si="1324"/>
        <v>Pas d'écart</v>
      </c>
    </row>
    <row r="8484" spans="1:17" x14ac:dyDescent="0.3">
      <c r="A8484" s="34">
        <f>base!J8484</f>
        <v>0</v>
      </c>
      <c r="B8484" s="34">
        <f>base!V8484</f>
        <v>0</v>
      </c>
      <c r="C8484" s="40" t="s">
        <v>11</v>
      </c>
      <c r="D8484" s="36">
        <f>base!H8484</f>
        <v>0</v>
      </c>
      <c r="E8484" s="44"/>
      <c r="F8484" s="16">
        <f>base!W8484</f>
        <v>0</v>
      </c>
      <c r="G8484" s="11" t="e">
        <f t="shared" si="1316"/>
        <v>#DIV/0!</v>
      </c>
      <c r="H8484" s="11" t="e">
        <f t="shared" si="1317"/>
        <v>#N/A</v>
      </c>
      <c r="I8484" s="11" t="e">
        <f t="shared" si="1318"/>
        <v>#N/A</v>
      </c>
      <c r="J8484" s="12" t="e">
        <f t="shared" si="1319"/>
        <v>#N/A</v>
      </c>
      <c r="K8484" s="17" t="e">
        <f t="shared" si="1323"/>
        <v>#N/A</v>
      </c>
      <c r="L8484" s="16">
        <f>base!X8484</f>
        <v>0</v>
      </c>
      <c r="M8484" s="11" t="e">
        <f t="shared" si="1320"/>
        <v>#DIV/0!</v>
      </c>
      <c r="N8484" s="11"/>
      <c r="O8484" s="11" t="e">
        <f t="shared" si="1321"/>
        <v>#DIV/0!</v>
      </c>
      <c r="P8484" s="12">
        <f t="shared" si="1322"/>
        <v>0</v>
      </c>
      <c r="Q8484" s="17" t="str">
        <f t="shared" si="1324"/>
        <v>Pas d'écart</v>
      </c>
    </row>
    <row r="8485" spans="1:17" x14ac:dyDescent="0.3">
      <c r="A8485" s="34">
        <f>base!J8485</f>
        <v>0</v>
      </c>
      <c r="B8485" s="34">
        <f>base!V8485</f>
        <v>0</v>
      </c>
      <c r="C8485" s="40" t="s">
        <v>11</v>
      </c>
      <c r="D8485" s="36">
        <f>base!H8485</f>
        <v>0</v>
      </c>
      <c r="E8485" s="44"/>
      <c r="F8485" s="16">
        <f>base!W8485</f>
        <v>0</v>
      </c>
      <c r="G8485" s="11" t="e">
        <f t="shared" si="1316"/>
        <v>#DIV/0!</v>
      </c>
      <c r="H8485" s="11" t="e">
        <f t="shared" si="1317"/>
        <v>#N/A</v>
      </c>
      <c r="I8485" s="11" t="e">
        <f t="shared" si="1318"/>
        <v>#N/A</v>
      </c>
      <c r="J8485" s="12" t="e">
        <f t="shared" si="1319"/>
        <v>#N/A</v>
      </c>
      <c r="K8485" s="17" t="e">
        <f t="shared" si="1323"/>
        <v>#N/A</v>
      </c>
      <c r="L8485" s="16">
        <f>base!X8485</f>
        <v>0</v>
      </c>
      <c r="M8485" s="11" t="e">
        <f t="shared" si="1320"/>
        <v>#DIV/0!</v>
      </c>
      <c r="N8485" s="11"/>
      <c r="O8485" s="11" t="e">
        <f t="shared" si="1321"/>
        <v>#DIV/0!</v>
      </c>
      <c r="P8485" s="12">
        <f t="shared" si="1322"/>
        <v>0</v>
      </c>
      <c r="Q8485" s="17" t="str">
        <f t="shared" si="1324"/>
        <v>Pas d'écart</v>
      </c>
    </row>
    <row r="8486" spans="1:17" x14ac:dyDescent="0.3">
      <c r="A8486" s="34">
        <f>base!J8486</f>
        <v>0</v>
      </c>
      <c r="B8486" s="34">
        <f>base!V8486</f>
        <v>0</v>
      </c>
      <c r="C8486" s="40" t="s">
        <v>11</v>
      </c>
      <c r="D8486" s="36">
        <f>base!H8486</f>
        <v>0</v>
      </c>
      <c r="E8486" s="44"/>
      <c r="F8486" s="16">
        <f>base!W8486</f>
        <v>0</v>
      </c>
      <c r="G8486" s="11" t="e">
        <f t="shared" si="1316"/>
        <v>#DIV/0!</v>
      </c>
      <c r="H8486" s="11" t="e">
        <f t="shared" si="1317"/>
        <v>#N/A</v>
      </c>
      <c r="I8486" s="11" t="e">
        <f t="shared" si="1318"/>
        <v>#N/A</v>
      </c>
      <c r="J8486" s="12" t="e">
        <f t="shared" si="1319"/>
        <v>#N/A</v>
      </c>
      <c r="K8486" s="17" t="e">
        <f t="shared" si="1323"/>
        <v>#N/A</v>
      </c>
      <c r="L8486" s="16">
        <f>base!X8486</f>
        <v>0</v>
      </c>
      <c r="M8486" s="11" t="e">
        <f t="shared" si="1320"/>
        <v>#DIV/0!</v>
      </c>
      <c r="N8486" s="11"/>
      <c r="O8486" s="11" t="e">
        <f t="shared" si="1321"/>
        <v>#DIV/0!</v>
      </c>
      <c r="P8486" s="12">
        <f t="shared" si="1322"/>
        <v>0</v>
      </c>
      <c r="Q8486" s="17" t="str">
        <f t="shared" si="1324"/>
        <v>Pas d'écart</v>
      </c>
    </row>
    <row r="8487" spans="1:17" x14ac:dyDescent="0.3">
      <c r="A8487" s="34">
        <f>base!J8487</f>
        <v>0</v>
      </c>
      <c r="B8487" s="34">
        <f>base!V8487</f>
        <v>0</v>
      </c>
      <c r="C8487" s="40" t="s">
        <v>11</v>
      </c>
      <c r="D8487" s="36">
        <f>base!H8487</f>
        <v>0</v>
      </c>
      <c r="E8487" s="44"/>
      <c r="F8487" s="16">
        <f>base!W8487</f>
        <v>0</v>
      </c>
      <c r="G8487" s="11" t="e">
        <f t="shared" si="1316"/>
        <v>#DIV/0!</v>
      </c>
      <c r="H8487" s="11" t="e">
        <f t="shared" si="1317"/>
        <v>#N/A</v>
      </c>
      <c r="I8487" s="11" t="e">
        <f t="shared" si="1318"/>
        <v>#N/A</v>
      </c>
      <c r="J8487" s="12" t="e">
        <f t="shared" si="1319"/>
        <v>#N/A</v>
      </c>
      <c r="K8487" s="17" t="e">
        <f t="shared" si="1323"/>
        <v>#N/A</v>
      </c>
      <c r="L8487" s="16">
        <f>base!X8487</f>
        <v>0</v>
      </c>
      <c r="M8487" s="11" t="e">
        <f t="shared" si="1320"/>
        <v>#DIV/0!</v>
      </c>
      <c r="N8487" s="11"/>
      <c r="O8487" s="11" t="e">
        <f t="shared" si="1321"/>
        <v>#DIV/0!</v>
      </c>
      <c r="P8487" s="12">
        <f t="shared" si="1322"/>
        <v>0</v>
      </c>
      <c r="Q8487" s="17" t="str">
        <f t="shared" si="1324"/>
        <v>Pas d'écart</v>
      </c>
    </row>
    <row r="8488" spans="1:17" x14ac:dyDescent="0.3">
      <c r="A8488" s="34">
        <f>base!J8488</f>
        <v>0</v>
      </c>
      <c r="B8488" s="34">
        <f>base!V8488</f>
        <v>0</v>
      </c>
      <c r="C8488" s="40" t="s">
        <v>11</v>
      </c>
      <c r="D8488" s="36">
        <f>base!H8488</f>
        <v>0</v>
      </c>
      <c r="E8488" s="44"/>
      <c r="F8488" s="16">
        <f>base!W8488</f>
        <v>0</v>
      </c>
      <c r="G8488" s="11" t="e">
        <f t="shared" si="1316"/>
        <v>#DIV/0!</v>
      </c>
      <c r="H8488" s="11" t="e">
        <f t="shared" si="1317"/>
        <v>#N/A</v>
      </c>
      <c r="I8488" s="11" t="e">
        <f t="shared" si="1318"/>
        <v>#N/A</v>
      </c>
      <c r="J8488" s="12" t="e">
        <f t="shared" si="1319"/>
        <v>#N/A</v>
      </c>
      <c r="K8488" s="17" t="e">
        <f t="shared" si="1323"/>
        <v>#N/A</v>
      </c>
      <c r="L8488" s="16">
        <f>base!X8488</f>
        <v>0</v>
      </c>
      <c r="M8488" s="11" t="e">
        <f t="shared" si="1320"/>
        <v>#DIV/0!</v>
      </c>
      <c r="N8488" s="11"/>
      <c r="O8488" s="11" t="e">
        <f t="shared" si="1321"/>
        <v>#DIV/0!</v>
      </c>
      <c r="P8488" s="12">
        <f t="shared" si="1322"/>
        <v>0</v>
      </c>
      <c r="Q8488" s="17" t="str">
        <f t="shared" si="1324"/>
        <v>Pas d'écart</v>
      </c>
    </row>
    <row r="8489" spans="1:17" x14ac:dyDescent="0.3">
      <c r="A8489" s="34">
        <f>base!J8489</f>
        <v>0</v>
      </c>
      <c r="B8489" s="34">
        <f>base!V8489</f>
        <v>0</v>
      </c>
      <c r="C8489" s="40" t="s">
        <v>11</v>
      </c>
      <c r="D8489" s="36">
        <f>base!H8489</f>
        <v>0</v>
      </c>
      <c r="E8489" s="44"/>
      <c r="F8489" s="16">
        <f>base!W8489</f>
        <v>0</v>
      </c>
      <c r="G8489" s="11" t="e">
        <f t="shared" si="1316"/>
        <v>#DIV/0!</v>
      </c>
      <c r="H8489" s="11" t="e">
        <f t="shared" si="1317"/>
        <v>#N/A</v>
      </c>
      <c r="I8489" s="11" t="e">
        <f t="shared" si="1318"/>
        <v>#N/A</v>
      </c>
      <c r="J8489" s="12" t="e">
        <f t="shared" si="1319"/>
        <v>#N/A</v>
      </c>
      <c r="K8489" s="17" t="e">
        <f t="shared" si="1323"/>
        <v>#N/A</v>
      </c>
      <c r="L8489" s="16">
        <f>base!X8489</f>
        <v>0</v>
      </c>
      <c r="M8489" s="11" t="e">
        <f t="shared" si="1320"/>
        <v>#DIV/0!</v>
      </c>
      <c r="N8489" s="11"/>
      <c r="O8489" s="11" t="e">
        <f t="shared" si="1321"/>
        <v>#DIV/0!</v>
      </c>
      <c r="P8489" s="12">
        <f t="shared" si="1322"/>
        <v>0</v>
      </c>
      <c r="Q8489" s="17" t="str">
        <f t="shared" si="1324"/>
        <v>Pas d'écart</v>
      </c>
    </row>
    <row r="8490" spans="1:17" x14ac:dyDescent="0.3">
      <c r="A8490" s="34">
        <f>base!J8490</f>
        <v>0</v>
      </c>
      <c r="B8490" s="34">
        <f>base!V8490</f>
        <v>0</v>
      </c>
      <c r="C8490" s="40" t="s">
        <v>11</v>
      </c>
      <c r="D8490" s="36">
        <f>base!H8490</f>
        <v>0</v>
      </c>
      <c r="E8490" s="44"/>
      <c r="F8490" s="16">
        <f>base!W8490</f>
        <v>0</v>
      </c>
      <c r="G8490" s="11" t="e">
        <f t="shared" si="1316"/>
        <v>#DIV/0!</v>
      </c>
      <c r="H8490" s="11" t="e">
        <f t="shared" si="1317"/>
        <v>#N/A</v>
      </c>
      <c r="I8490" s="11" t="e">
        <f t="shared" si="1318"/>
        <v>#N/A</v>
      </c>
      <c r="J8490" s="12" t="e">
        <f t="shared" si="1319"/>
        <v>#N/A</v>
      </c>
      <c r="K8490" s="17" t="e">
        <f t="shared" si="1323"/>
        <v>#N/A</v>
      </c>
      <c r="L8490" s="16">
        <f>base!X8490</f>
        <v>0</v>
      </c>
      <c r="M8490" s="11" t="e">
        <f t="shared" si="1320"/>
        <v>#DIV/0!</v>
      </c>
      <c r="N8490" s="11"/>
      <c r="O8490" s="11" t="e">
        <f t="shared" si="1321"/>
        <v>#DIV/0!</v>
      </c>
      <c r="P8490" s="12">
        <f t="shared" si="1322"/>
        <v>0</v>
      </c>
      <c r="Q8490" s="17" t="str">
        <f t="shared" si="1324"/>
        <v>Pas d'écart</v>
      </c>
    </row>
    <row r="8491" spans="1:17" x14ac:dyDescent="0.3">
      <c r="A8491" s="34">
        <f>base!J8491</f>
        <v>0</v>
      </c>
      <c r="B8491" s="34">
        <f>base!V8491</f>
        <v>0</v>
      </c>
      <c r="C8491" s="40" t="s">
        <v>11</v>
      </c>
      <c r="D8491" s="36">
        <f>base!H8491</f>
        <v>0</v>
      </c>
      <c r="E8491" s="44"/>
      <c r="F8491" s="16">
        <f>base!W8491</f>
        <v>0</v>
      </c>
      <c r="G8491" s="11" t="e">
        <f t="shared" si="1316"/>
        <v>#DIV/0!</v>
      </c>
      <c r="H8491" s="11" t="e">
        <f t="shared" si="1317"/>
        <v>#N/A</v>
      </c>
      <c r="I8491" s="11" t="e">
        <f t="shared" si="1318"/>
        <v>#N/A</v>
      </c>
      <c r="J8491" s="12" t="e">
        <f t="shared" si="1319"/>
        <v>#N/A</v>
      </c>
      <c r="K8491" s="17" t="e">
        <f t="shared" si="1323"/>
        <v>#N/A</v>
      </c>
      <c r="L8491" s="16">
        <f>base!X8491</f>
        <v>0</v>
      </c>
      <c r="M8491" s="11" t="e">
        <f t="shared" si="1320"/>
        <v>#DIV/0!</v>
      </c>
      <c r="N8491" s="11"/>
      <c r="O8491" s="11" t="e">
        <f t="shared" si="1321"/>
        <v>#DIV/0!</v>
      </c>
      <c r="P8491" s="12">
        <f t="shared" si="1322"/>
        <v>0</v>
      </c>
      <c r="Q8491" s="17" t="str">
        <f t="shared" si="1324"/>
        <v>Pas d'écart</v>
      </c>
    </row>
    <row r="8492" spans="1:17" x14ac:dyDescent="0.3">
      <c r="A8492" s="34">
        <f>base!J8492</f>
        <v>0</v>
      </c>
      <c r="B8492" s="34">
        <f>base!V8492</f>
        <v>0</v>
      </c>
      <c r="C8492" s="40" t="s">
        <v>11</v>
      </c>
      <c r="D8492" s="36">
        <f>base!H8492</f>
        <v>0</v>
      </c>
      <c r="E8492" s="44"/>
      <c r="F8492" s="16">
        <f>base!W8492</f>
        <v>0</v>
      </c>
      <c r="G8492" s="11" t="e">
        <f t="shared" si="1316"/>
        <v>#DIV/0!</v>
      </c>
      <c r="H8492" s="11" t="e">
        <f t="shared" si="1317"/>
        <v>#N/A</v>
      </c>
      <c r="I8492" s="11" t="e">
        <f t="shared" si="1318"/>
        <v>#N/A</v>
      </c>
      <c r="J8492" s="12" t="e">
        <f t="shared" si="1319"/>
        <v>#N/A</v>
      </c>
      <c r="K8492" s="17" t="e">
        <f t="shared" si="1323"/>
        <v>#N/A</v>
      </c>
      <c r="L8492" s="16">
        <f>base!X8492</f>
        <v>0</v>
      </c>
      <c r="M8492" s="11" t="e">
        <f t="shared" si="1320"/>
        <v>#DIV/0!</v>
      </c>
      <c r="N8492" s="11"/>
      <c r="O8492" s="11" t="e">
        <f t="shared" si="1321"/>
        <v>#DIV/0!</v>
      </c>
      <c r="P8492" s="12">
        <f t="shared" si="1322"/>
        <v>0</v>
      </c>
      <c r="Q8492" s="17" t="str">
        <f t="shared" si="1324"/>
        <v>Pas d'écart</v>
      </c>
    </row>
    <row r="8493" spans="1:17" x14ac:dyDescent="0.3">
      <c r="A8493" s="34">
        <f>base!J8493</f>
        <v>0</v>
      </c>
      <c r="B8493" s="34">
        <f>base!V8493</f>
        <v>0</v>
      </c>
      <c r="C8493" s="40" t="s">
        <v>11</v>
      </c>
      <c r="D8493" s="36">
        <f>base!H8493</f>
        <v>0</v>
      </c>
      <c r="E8493" s="44"/>
      <c r="F8493" s="16">
        <f>base!W8493</f>
        <v>0</v>
      </c>
      <c r="G8493" s="11" t="e">
        <f t="shared" si="1316"/>
        <v>#DIV/0!</v>
      </c>
      <c r="H8493" s="11" t="e">
        <f t="shared" si="1317"/>
        <v>#N/A</v>
      </c>
      <c r="I8493" s="11" t="e">
        <f t="shared" si="1318"/>
        <v>#N/A</v>
      </c>
      <c r="J8493" s="12" t="e">
        <f t="shared" si="1319"/>
        <v>#N/A</v>
      </c>
      <c r="K8493" s="17" t="e">
        <f t="shared" si="1323"/>
        <v>#N/A</v>
      </c>
      <c r="L8493" s="16">
        <f>base!X8493</f>
        <v>0</v>
      </c>
      <c r="M8493" s="11" t="e">
        <f t="shared" si="1320"/>
        <v>#DIV/0!</v>
      </c>
      <c r="N8493" s="11"/>
      <c r="O8493" s="11" t="e">
        <f t="shared" si="1321"/>
        <v>#DIV/0!</v>
      </c>
      <c r="P8493" s="12">
        <f t="shared" si="1322"/>
        <v>0</v>
      </c>
      <c r="Q8493" s="17" t="str">
        <f t="shared" si="1324"/>
        <v>Pas d'écart</v>
      </c>
    </row>
    <row r="8494" spans="1:17" x14ac:dyDescent="0.3">
      <c r="A8494" s="34">
        <f>base!J8494</f>
        <v>0</v>
      </c>
      <c r="B8494" s="34">
        <f>base!V8494</f>
        <v>0</v>
      </c>
      <c r="C8494" s="40" t="s">
        <v>11</v>
      </c>
      <c r="D8494" s="36">
        <f>base!H8494</f>
        <v>0</v>
      </c>
      <c r="E8494" s="44"/>
      <c r="F8494" s="16">
        <f>base!W8494</f>
        <v>0</v>
      </c>
      <c r="G8494" s="11" t="e">
        <f t="shared" si="1316"/>
        <v>#DIV/0!</v>
      </c>
      <c r="H8494" s="11" t="e">
        <f t="shared" si="1317"/>
        <v>#N/A</v>
      </c>
      <c r="I8494" s="11" t="e">
        <f t="shared" si="1318"/>
        <v>#N/A</v>
      </c>
      <c r="J8494" s="12" t="e">
        <f t="shared" si="1319"/>
        <v>#N/A</v>
      </c>
      <c r="K8494" s="17" t="e">
        <f t="shared" si="1323"/>
        <v>#N/A</v>
      </c>
      <c r="L8494" s="16">
        <f>base!X8494</f>
        <v>0</v>
      </c>
      <c r="M8494" s="11" t="e">
        <f t="shared" si="1320"/>
        <v>#DIV/0!</v>
      </c>
      <c r="N8494" s="11"/>
      <c r="O8494" s="11" t="e">
        <f t="shared" si="1321"/>
        <v>#DIV/0!</v>
      </c>
      <c r="P8494" s="12">
        <f t="shared" si="1322"/>
        <v>0</v>
      </c>
      <c r="Q8494" s="17" t="str">
        <f t="shared" si="1324"/>
        <v>Pas d'écart</v>
      </c>
    </row>
    <row r="8495" spans="1:17" x14ac:dyDescent="0.3">
      <c r="A8495" s="34">
        <f>base!J8495</f>
        <v>0</v>
      </c>
      <c r="B8495" s="34">
        <f>base!V8495</f>
        <v>0</v>
      </c>
      <c r="C8495" s="40" t="s">
        <v>11</v>
      </c>
      <c r="D8495" s="36">
        <f>base!H8495</f>
        <v>0</v>
      </c>
      <c r="E8495" s="44"/>
      <c r="F8495" s="16">
        <f>base!W8495</f>
        <v>0</v>
      </c>
      <c r="G8495" s="11" t="e">
        <f t="shared" si="1316"/>
        <v>#DIV/0!</v>
      </c>
      <c r="H8495" s="11" t="e">
        <f t="shared" si="1317"/>
        <v>#N/A</v>
      </c>
      <c r="I8495" s="11" t="e">
        <f t="shared" si="1318"/>
        <v>#N/A</v>
      </c>
      <c r="J8495" s="12" t="e">
        <f t="shared" si="1319"/>
        <v>#N/A</v>
      </c>
      <c r="K8495" s="17" t="e">
        <f t="shared" si="1323"/>
        <v>#N/A</v>
      </c>
      <c r="L8495" s="16">
        <f>base!X8495</f>
        <v>0</v>
      </c>
      <c r="M8495" s="11" t="e">
        <f t="shared" si="1320"/>
        <v>#DIV/0!</v>
      </c>
      <c r="N8495" s="11"/>
      <c r="O8495" s="11" t="e">
        <f t="shared" si="1321"/>
        <v>#DIV/0!</v>
      </c>
      <c r="P8495" s="12">
        <f t="shared" si="1322"/>
        <v>0</v>
      </c>
      <c r="Q8495" s="17" t="str">
        <f t="shared" si="1324"/>
        <v>Pas d'écart</v>
      </c>
    </row>
    <row r="8496" spans="1:17" x14ac:dyDescent="0.3">
      <c r="A8496" s="34">
        <f>base!J8496</f>
        <v>0</v>
      </c>
      <c r="B8496" s="34">
        <f>base!V8496</f>
        <v>0</v>
      </c>
      <c r="C8496" s="40" t="s">
        <v>11</v>
      </c>
      <c r="D8496" s="36">
        <f>base!H8496</f>
        <v>0</v>
      </c>
      <c r="E8496" s="44"/>
      <c r="F8496" s="16">
        <f>base!W8496</f>
        <v>0</v>
      </c>
      <c r="G8496" s="11" t="e">
        <f t="shared" si="1316"/>
        <v>#DIV/0!</v>
      </c>
      <c r="H8496" s="11" t="e">
        <f t="shared" si="1317"/>
        <v>#N/A</v>
      </c>
      <c r="I8496" s="11" t="e">
        <f t="shared" si="1318"/>
        <v>#N/A</v>
      </c>
      <c r="J8496" s="12" t="e">
        <f t="shared" si="1319"/>
        <v>#N/A</v>
      </c>
      <c r="K8496" s="17" t="e">
        <f t="shared" si="1323"/>
        <v>#N/A</v>
      </c>
      <c r="L8496" s="16">
        <f>base!X8496</f>
        <v>0</v>
      </c>
      <c r="M8496" s="11" t="e">
        <f t="shared" si="1320"/>
        <v>#DIV/0!</v>
      </c>
      <c r="N8496" s="11"/>
      <c r="O8496" s="11" t="e">
        <f t="shared" si="1321"/>
        <v>#DIV/0!</v>
      </c>
      <c r="P8496" s="12">
        <f t="shared" si="1322"/>
        <v>0</v>
      </c>
      <c r="Q8496" s="17" t="str">
        <f t="shared" si="1324"/>
        <v>Pas d'écart</v>
      </c>
    </row>
    <row r="8497" spans="1:17" x14ac:dyDescent="0.3">
      <c r="A8497" s="34">
        <f>base!J8497</f>
        <v>0</v>
      </c>
      <c r="B8497" s="34">
        <f>base!V8497</f>
        <v>0</v>
      </c>
      <c r="C8497" s="40" t="s">
        <v>11</v>
      </c>
      <c r="D8497" s="36">
        <f>base!H8497</f>
        <v>0</v>
      </c>
      <c r="E8497" s="44"/>
      <c r="F8497" s="16">
        <f>base!W8497</f>
        <v>0</v>
      </c>
      <c r="G8497" s="11" t="e">
        <f t="shared" si="1316"/>
        <v>#DIV/0!</v>
      </c>
      <c r="H8497" s="11" t="e">
        <f t="shared" si="1317"/>
        <v>#N/A</v>
      </c>
      <c r="I8497" s="11" t="e">
        <f t="shared" si="1318"/>
        <v>#N/A</v>
      </c>
      <c r="J8497" s="12" t="e">
        <f t="shared" si="1319"/>
        <v>#N/A</v>
      </c>
      <c r="K8497" s="17" t="e">
        <f t="shared" si="1323"/>
        <v>#N/A</v>
      </c>
      <c r="L8497" s="16">
        <f>base!X8497</f>
        <v>0</v>
      </c>
      <c r="M8497" s="11" t="e">
        <f t="shared" si="1320"/>
        <v>#DIV/0!</v>
      </c>
      <c r="N8497" s="11"/>
      <c r="O8497" s="11" t="e">
        <f t="shared" si="1321"/>
        <v>#DIV/0!</v>
      </c>
      <c r="P8497" s="12">
        <f t="shared" si="1322"/>
        <v>0</v>
      </c>
      <c r="Q8497" s="17" t="str">
        <f t="shared" si="1324"/>
        <v>Pas d'écart</v>
      </c>
    </row>
    <row r="8498" spans="1:17" x14ac:dyDescent="0.3">
      <c r="A8498" s="34">
        <f>base!J8498</f>
        <v>0</v>
      </c>
      <c r="B8498" s="34">
        <f>base!V8498</f>
        <v>0</v>
      </c>
      <c r="C8498" s="40" t="s">
        <v>11</v>
      </c>
      <c r="D8498" s="36">
        <f>base!H8498</f>
        <v>0</v>
      </c>
      <c r="E8498" s="44"/>
      <c r="F8498" s="16">
        <f>base!W8498</f>
        <v>0</v>
      </c>
      <c r="G8498" s="11" t="e">
        <f t="shared" si="1316"/>
        <v>#DIV/0!</v>
      </c>
      <c r="H8498" s="11" t="e">
        <f t="shared" si="1317"/>
        <v>#N/A</v>
      </c>
      <c r="I8498" s="11" t="e">
        <f t="shared" si="1318"/>
        <v>#N/A</v>
      </c>
      <c r="J8498" s="12" t="e">
        <f t="shared" si="1319"/>
        <v>#N/A</v>
      </c>
      <c r="K8498" s="17" t="e">
        <f t="shared" si="1323"/>
        <v>#N/A</v>
      </c>
      <c r="L8498" s="16">
        <f>base!X8498</f>
        <v>0</v>
      </c>
      <c r="M8498" s="11" t="e">
        <f t="shared" si="1320"/>
        <v>#DIV/0!</v>
      </c>
      <c r="N8498" s="11"/>
      <c r="O8498" s="11" t="e">
        <f t="shared" si="1321"/>
        <v>#DIV/0!</v>
      </c>
      <c r="P8498" s="12">
        <f t="shared" si="1322"/>
        <v>0</v>
      </c>
      <c r="Q8498" s="17" t="str">
        <f t="shared" si="1324"/>
        <v>Pas d'écart</v>
      </c>
    </row>
    <row r="8499" spans="1:17" x14ac:dyDescent="0.3">
      <c r="A8499" s="34">
        <f>base!J8499</f>
        <v>0</v>
      </c>
      <c r="B8499" s="34">
        <f>base!V8499</f>
        <v>0</v>
      </c>
      <c r="C8499" s="40" t="s">
        <v>11</v>
      </c>
      <c r="D8499" s="36">
        <f>base!H8499</f>
        <v>0</v>
      </c>
      <c r="E8499" s="44"/>
      <c r="F8499" s="16">
        <f>base!W8499</f>
        <v>0</v>
      </c>
      <c r="G8499" s="11" t="e">
        <f t="shared" si="1316"/>
        <v>#DIV/0!</v>
      </c>
      <c r="H8499" s="11" t="e">
        <f t="shared" si="1317"/>
        <v>#N/A</v>
      </c>
      <c r="I8499" s="11" t="e">
        <f t="shared" si="1318"/>
        <v>#N/A</v>
      </c>
      <c r="J8499" s="12" t="e">
        <f t="shared" si="1319"/>
        <v>#N/A</v>
      </c>
      <c r="K8499" s="17" t="e">
        <f t="shared" si="1323"/>
        <v>#N/A</v>
      </c>
      <c r="L8499" s="16">
        <f>base!X8499</f>
        <v>0</v>
      </c>
      <c r="M8499" s="11" t="e">
        <f t="shared" si="1320"/>
        <v>#DIV/0!</v>
      </c>
      <c r="N8499" s="11"/>
      <c r="O8499" s="11" t="e">
        <f t="shared" si="1321"/>
        <v>#DIV/0!</v>
      </c>
      <c r="P8499" s="12">
        <f t="shared" si="1322"/>
        <v>0</v>
      </c>
      <c r="Q8499" s="17" t="str">
        <f t="shared" si="1324"/>
        <v>Pas d'écart</v>
      </c>
    </row>
    <row r="8500" spans="1:17" x14ac:dyDescent="0.3">
      <c r="A8500" s="34">
        <f>base!J8500</f>
        <v>0</v>
      </c>
      <c r="B8500" s="34">
        <f>base!V8500</f>
        <v>0</v>
      </c>
      <c r="C8500" s="40" t="s">
        <v>11</v>
      </c>
      <c r="D8500" s="36">
        <f>base!H8500</f>
        <v>0</v>
      </c>
      <c r="E8500" s="44"/>
      <c r="F8500" s="16">
        <f>base!W8500</f>
        <v>0</v>
      </c>
      <c r="G8500" s="11" t="e">
        <f t="shared" si="1316"/>
        <v>#DIV/0!</v>
      </c>
      <c r="H8500" s="11" t="e">
        <f t="shared" si="1317"/>
        <v>#N/A</v>
      </c>
      <c r="I8500" s="11" t="e">
        <f t="shared" si="1318"/>
        <v>#N/A</v>
      </c>
      <c r="J8500" s="12" t="e">
        <f t="shared" si="1319"/>
        <v>#N/A</v>
      </c>
      <c r="K8500" s="17" t="e">
        <f t="shared" si="1323"/>
        <v>#N/A</v>
      </c>
      <c r="L8500" s="16">
        <f>base!X8500</f>
        <v>0</v>
      </c>
      <c r="M8500" s="11" t="e">
        <f t="shared" si="1320"/>
        <v>#DIV/0!</v>
      </c>
      <c r="N8500" s="11"/>
      <c r="O8500" s="11" t="e">
        <f t="shared" si="1321"/>
        <v>#DIV/0!</v>
      </c>
      <c r="P8500" s="12">
        <f t="shared" si="1322"/>
        <v>0</v>
      </c>
      <c r="Q8500" s="17" t="str">
        <f t="shared" si="1324"/>
        <v>Pas d'écart</v>
      </c>
    </row>
    <row r="8501" spans="1:17" x14ac:dyDescent="0.3">
      <c r="A8501" s="34">
        <f>base!J8501</f>
        <v>0</v>
      </c>
      <c r="B8501" s="34">
        <f>base!V8501</f>
        <v>0</v>
      </c>
      <c r="C8501" s="40" t="s">
        <v>11</v>
      </c>
      <c r="D8501" s="36">
        <f>base!H8501</f>
        <v>0</v>
      </c>
      <c r="E8501" s="44"/>
      <c r="F8501" s="16">
        <f>base!W8501</f>
        <v>0</v>
      </c>
      <c r="G8501" s="11" t="e">
        <f t="shared" si="1316"/>
        <v>#DIV/0!</v>
      </c>
      <c r="H8501" s="11" t="e">
        <f t="shared" si="1317"/>
        <v>#N/A</v>
      </c>
      <c r="I8501" s="11" t="e">
        <f t="shared" si="1318"/>
        <v>#N/A</v>
      </c>
      <c r="J8501" s="12" t="e">
        <f t="shared" si="1319"/>
        <v>#N/A</v>
      </c>
      <c r="K8501" s="17" t="e">
        <f t="shared" si="1323"/>
        <v>#N/A</v>
      </c>
      <c r="L8501" s="16">
        <f>base!X8501</f>
        <v>0</v>
      </c>
      <c r="M8501" s="11" t="e">
        <f t="shared" si="1320"/>
        <v>#DIV/0!</v>
      </c>
      <c r="N8501" s="11"/>
      <c r="O8501" s="11" t="e">
        <f t="shared" si="1321"/>
        <v>#DIV/0!</v>
      </c>
      <c r="P8501" s="12">
        <f t="shared" si="1322"/>
        <v>0</v>
      </c>
      <c r="Q8501" s="17" t="str">
        <f t="shared" si="1324"/>
        <v>Pas d'écart</v>
      </c>
    </row>
    <row r="8502" spans="1:17" x14ac:dyDescent="0.3">
      <c r="A8502" s="34">
        <f>base!J8502</f>
        <v>0</v>
      </c>
      <c r="B8502" s="34">
        <f>base!V8502</f>
        <v>0</v>
      </c>
      <c r="C8502" s="40" t="s">
        <v>11</v>
      </c>
      <c r="D8502" s="36">
        <f>base!H8502</f>
        <v>0</v>
      </c>
      <c r="E8502" s="44"/>
      <c r="F8502" s="16">
        <f>base!W8502</f>
        <v>0</v>
      </c>
      <c r="G8502" s="11" t="e">
        <f t="shared" si="1316"/>
        <v>#DIV/0!</v>
      </c>
      <c r="H8502" s="11" t="e">
        <f t="shared" si="1317"/>
        <v>#N/A</v>
      </c>
      <c r="I8502" s="11" t="e">
        <f t="shared" si="1318"/>
        <v>#N/A</v>
      </c>
      <c r="J8502" s="12" t="e">
        <f t="shared" si="1319"/>
        <v>#N/A</v>
      </c>
      <c r="K8502" s="17" t="e">
        <f t="shared" si="1323"/>
        <v>#N/A</v>
      </c>
      <c r="L8502" s="16">
        <f>base!X8502</f>
        <v>0</v>
      </c>
      <c r="M8502" s="11" t="e">
        <f t="shared" si="1320"/>
        <v>#DIV/0!</v>
      </c>
      <c r="N8502" s="11"/>
      <c r="O8502" s="11" t="e">
        <f t="shared" si="1321"/>
        <v>#DIV/0!</v>
      </c>
      <c r="P8502" s="12">
        <f t="shared" si="1322"/>
        <v>0</v>
      </c>
      <c r="Q8502" s="17" t="str">
        <f t="shared" si="1324"/>
        <v>Pas d'écart</v>
      </c>
    </row>
    <row r="8503" spans="1:17" x14ac:dyDescent="0.3">
      <c r="A8503" s="34">
        <f>base!J8503</f>
        <v>0</v>
      </c>
      <c r="B8503" s="34">
        <f>base!V8503</f>
        <v>0</v>
      </c>
      <c r="C8503" s="40" t="s">
        <v>11</v>
      </c>
      <c r="D8503" s="36">
        <f>base!H8503</f>
        <v>0</v>
      </c>
      <c r="E8503" s="44"/>
      <c r="F8503" s="16">
        <f>base!W8503</f>
        <v>0</v>
      </c>
      <c r="G8503" s="11" t="e">
        <f t="shared" si="1316"/>
        <v>#DIV/0!</v>
      </c>
      <c r="H8503" s="11" t="e">
        <f t="shared" si="1317"/>
        <v>#N/A</v>
      </c>
      <c r="I8503" s="11" t="e">
        <f t="shared" si="1318"/>
        <v>#N/A</v>
      </c>
      <c r="J8503" s="12" t="e">
        <f t="shared" si="1319"/>
        <v>#N/A</v>
      </c>
      <c r="K8503" s="17" t="e">
        <f t="shared" si="1323"/>
        <v>#N/A</v>
      </c>
      <c r="L8503" s="16">
        <f>base!X8503</f>
        <v>0</v>
      </c>
      <c r="M8503" s="11" t="e">
        <f t="shared" si="1320"/>
        <v>#DIV/0!</v>
      </c>
      <c r="N8503" s="11"/>
      <c r="O8503" s="11" t="e">
        <f t="shared" si="1321"/>
        <v>#DIV/0!</v>
      </c>
      <c r="P8503" s="12">
        <f t="shared" si="1322"/>
        <v>0</v>
      </c>
      <c r="Q8503" s="17" t="str">
        <f t="shared" si="1324"/>
        <v>Pas d'écart</v>
      </c>
    </row>
    <row r="8504" spans="1:17" x14ac:dyDescent="0.3">
      <c r="A8504" s="34">
        <f>base!J8504</f>
        <v>0</v>
      </c>
      <c r="B8504" s="34">
        <f>base!V8504</f>
        <v>0</v>
      </c>
      <c r="C8504" s="40" t="s">
        <v>11</v>
      </c>
      <c r="D8504" s="36">
        <f>base!H8504</f>
        <v>0</v>
      </c>
      <c r="E8504" s="44"/>
      <c r="F8504" s="16">
        <f>base!W8504</f>
        <v>0</v>
      </c>
      <c r="G8504" s="11" t="e">
        <f t="shared" si="1316"/>
        <v>#DIV/0!</v>
      </c>
      <c r="H8504" s="11" t="e">
        <f t="shared" si="1317"/>
        <v>#N/A</v>
      </c>
      <c r="I8504" s="11" t="e">
        <f t="shared" si="1318"/>
        <v>#N/A</v>
      </c>
      <c r="J8504" s="12" t="e">
        <f t="shared" si="1319"/>
        <v>#N/A</v>
      </c>
      <c r="K8504" s="17" t="e">
        <f t="shared" si="1323"/>
        <v>#N/A</v>
      </c>
      <c r="L8504" s="16">
        <f>base!X8504</f>
        <v>0</v>
      </c>
      <c r="M8504" s="11" t="e">
        <f t="shared" si="1320"/>
        <v>#DIV/0!</v>
      </c>
      <c r="N8504" s="11"/>
      <c r="O8504" s="11" t="e">
        <f t="shared" si="1321"/>
        <v>#DIV/0!</v>
      </c>
      <c r="P8504" s="12">
        <f t="shared" si="1322"/>
        <v>0</v>
      </c>
      <c r="Q8504" s="17" t="str">
        <f t="shared" si="1324"/>
        <v>Pas d'écart</v>
      </c>
    </row>
    <row r="8505" spans="1:17" x14ac:dyDescent="0.3">
      <c r="A8505" s="34">
        <f>base!J8505</f>
        <v>0</v>
      </c>
      <c r="B8505" s="34">
        <f>base!V8505</f>
        <v>0</v>
      </c>
      <c r="C8505" s="40" t="s">
        <v>11</v>
      </c>
      <c r="D8505" s="36">
        <f>base!H8505</f>
        <v>0</v>
      </c>
      <c r="E8505" s="44"/>
      <c r="F8505" s="16">
        <f>base!W8505</f>
        <v>0</v>
      </c>
      <c r="G8505" s="11" t="e">
        <f t="shared" si="1316"/>
        <v>#DIV/0!</v>
      </c>
      <c r="H8505" s="11" t="e">
        <f t="shared" si="1317"/>
        <v>#N/A</v>
      </c>
      <c r="I8505" s="11" t="e">
        <f t="shared" si="1318"/>
        <v>#N/A</v>
      </c>
      <c r="J8505" s="12" t="e">
        <f t="shared" si="1319"/>
        <v>#N/A</v>
      </c>
      <c r="K8505" s="17" t="e">
        <f t="shared" si="1323"/>
        <v>#N/A</v>
      </c>
      <c r="L8505" s="16">
        <f>base!X8505</f>
        <v>0</v>
      </c>
      <c r="M8505" s="11" t="e">
        <f t="shared" si="1320"/>
        <v>#DIV/0!</v>
      </c>
      <c r="N8505" s="11"/>
      <c r="O8505" s="11" t="e">
        <f t="shared" si="1321"/>
        <v>#DIV/0!</v>
      </c>
      <c r="P8505" s="12">
        <f t="shared" si="1322"/>
        <v>0</v>
      </c>
      <c r="Q8505" s="17" t="str">
        <f t="shared" si="1324"/>
        <v>Pas d'écart</v>
      </c>
    </row>
    <row r="8506" spans="1:17" x14ac:dyDescent="0.3">
      <c r="A8506" s="34">
        <f>base!J8506</f>
        <v>0</v>
      </c>
      <c r="B8506" s="34">
        <f>base!V8506</f>
        <v>0</v>
      </c>
      <c r="C8506" s="40" t="s">
        <v>11</v>
      </c>
      <c r="D8506" s="36">
        <f>base!H8506</f>
        <v>0</v>
      </c>
      <c r="E8506" s="44"/>
      <c r="F8506" s="16">
        <f>base!W8506</f>
        <v>0</v>
      </c>
      <c r="G8506" s="11" t="e">
        <f t="shared" si="1316"/>
        <v>#DIV/0!</v>
      </c>
      <c r="H8506" s="11" t="e">
        <f t="shared" si="1317"/>
        <v>#N/A</v>
      </c>
      <c r="I8506" s="11" t="e">
        <f t="shared" si="1318"/>
        <v>#N/A</v>
      </c>
      <c r="J8506" s="12" t="e">
        <f t="shared" si="1319"/>
        <v>#N/A</v>
      </c>
      <c r="K8506" s="17" t="e">
        <f t="shared" si="1323"/>
        <v>#N/A</v>
      </c>
      <c r="L8506" s="16">
        <f>base!X8506</f>
        <v>0</v>
      </c>
      <c r="M8506" s="11" t="e">
        <f t="shared" si="1320"/>
        <v>#DIV/0!</v>
      </c>
      <c r="N8506" s="11"/>
      <c r="O8506" s="11" t="e">
        <f t="shared" si="1321"/>
        <v>#DIV/0!</v>
      </c>
      <c r="P8506" s="12">
        <f t="shared" si="1322"/>
        <v>0</v>
      </c>
      <c r="Q8506" s="17" t="str">
        <f t="shared" si="1324"/>
        <v>Pas d'écart</v>
      </c>
    </row>
    <row r="8507" spans="1:17" x14ac:dyDescent="0.3">
      <c r="A8507" s="34">
        <f>base!J8507</f>
        <v>0</v>
      </c>
      <c r="B8507" s="34">
        <f>base!V8507</f>
        <v>0</v>
      </c>
      <c r="C8507" s="40" t="s">
        <v>11</v>
      </c>
      <c r="D8507" s="36">
        <f>base!H8507</f>
        <v>0</v>
      </c>
      <c r="E8507" s="44"/>
      <c r="F8507" s="16">
        <f>base!W8507</f>
        <v>0</v>
      </c>
      <c r="G8507" s="11" t="e">
        <f t="shared" si="1316"/>
        <v>#DIV/0!</v>
      </c>
      <c r="H8507" s="11" t="e">
        <f t="shared" si="1317"/>
        <v>#N/A</v>
      </c>
      <c r="I8507" s="11" t="e">
        <f t="shared" si="1318"/>
        <v>#N/A</v>
      </c>
      <c r="J8507" s="12" t="e">
        <f t="shared" si="1319"/>
        <v>#N/A</v>
      </c>
      <c r="K8507" s="17" t="e">
        <f t="shared" si="1323"/>
        <v>#N/A</v>
      </c>
      <c r="L8507" s="16">
        <f>base!X8507</f>
        <v>0</v>
      </c>
      <c r="M8507" s="11" t="e">
        <f t="shared" si="1320"/>
        <v>#DIV/0!</v>
      </c>
      <c r="N8507" s="11"/>
      <c r="O8507" s="11" t="e">
        <f t="shared" si="1321"/>
        <v>#DIV/0!</v>
      </c>
      <c r="P8507" s="12">
        <f t="shared" si="1322"/>
        <v>0</v>
      </c>
      <c r="Q8507" s="17" t="str">
        <f t="shared" si="1324"/>
        <v>Pas d'écart</v>
      </c>
    </row>
    <row r="8508" spans="1:17" x14ac:dyDescent="0.3">
      <c r="A8508" s="34">
        <f>base!J8508</f>
        <v>0</v>
      </c>
      <c r="B8508" s="34">
        <f>base!V8508</f>
        <v>0</v>
      </c>
      <c r="C8508" s="40" t="s">
        <v>11</v>
      </c>
      <c r="D8508" s="36">
        <f>base!H8508</f>
        <v>0</v>
      </c>
      <c r="E8508" s="44"/>
      <c r="F8508" s="16">
        <f>base!W8508</f>
        <v>0</v>
      </c>
      <c r="G8508" s="11" t="e">
        <f t="shared" si="1316"/>
        <v>#DIV/0!</v>
      </c>
      <c r="H8508" s="11" t="e">
        <f t="shared" si="1317"/>
        <v>#N/A</v>
      </c>
      <c r="I8508" s="11" t="e">
        <f t="shared" si="1318"/>
        <v>#N/A</v>
      </c>
      <c r="J8508" s="12" t="e">
        <f t="shared" si="1319"/>
        <v>#N/A</v>
      </c>
      <c r="K8508" s="17" t="e">
        <f t="shared" si="1323"/>
        <v>#N/A</v>
      </c>
      <c r="L8508" s="16">
        <f>base!X8508</f>
        <v>0</v>
      </c>
      <c r="M8508" s="11" t="e">
        <f t="shared" si="1320"/>
        <v>#DIV/0!</v>
      </c>
      <c r="N8508" s="11"/>
      <c r="O8508" s="11" t="e">
        <f t="shared" si="1321"/>
        <v>#DIV/0!</v>
      </c>
      <c r="P8508" s="12">
        <f t="shared" si="1322"/>
        <v>0</v>
      </c>
      <c r="Q8508" s="17" t="str">
        <f t="shared" si="1324"/>
        <v>Pas d'écart</v>
      </c>
    </row>
    <row r="8509" spans="1:17" x14ac:dyDescent="0.3">
      <c r="A8509" s="34">
        <f>base!J8509</f>
        <v>0</v>
      </c>
      <c r="B8509" s="34">
        <f>base!V8509</f>
        <v>0</v>
      </c>
      <c r="C8509" s="40" t="s">
        <v>11</v>
      </c>
      <c r="D8509" s="36">
        <f>base!H8509</f>
        <v>0</v>
      </c>
      <c r="E8509" s="44"/>
      <c r="F8509" s="16">
        <f>base!W8509</f>
        <v>0</v>
      </c>
      <c r="G8509" s="11" t="e">
        <f t="shared" si="1316"/>
        <v>#DIV/0!</v>
      </c>
      <c r="H8509" s="11" t="e">
        <f t="shared" si="1317"/>
        <v>#N/A</v>
      </c>
      <c r="I8509" s="11" t="e">
        <f t="shared" si="1318"/>
        <v>#N/A</v>
      </c>
      <c r="J8509" s="12" t="e">
        <f t="shared" si="1319"/>
        <v>#N/A</v>
      </c>
      <c r="K8509" s="17" t="e">
        <f t="shared" si="1323"/>
        <v>#N/A</v>
      </c>
      <c r="L8509" s="16">
        <f>base!X8509</f>
        <v>0</v>
      </c>
      <c r="M8509" s="11" t="e">
        <f t="shared" si="1320"/>
        <v>#DIV/0!</v>
      </c>
      <c r="N8509" s="11"/>
      <c r="O8509" s="11" t="e">
        <f t="shared" si="1321"/>
        <v>#DIV/0!</v>
      </c>
      <c r="P8509" s="12">
        <f t="shared" si="1322"/>
        <v>0</v>
      </c>
      <c r="Q8509" s="17" t="str">
        <f t="shared" si="1324"/>
        <v>Pas d'écart</v>
      </c>
    </row>
    <row r="8510" spans="1:17" x14ac:dyDescent="0.3">
      <c r="A8510" s="34">
        <f>base!J8510</f>
        <v>0</v>
      </c>
      <c r="B8510" s="34">
        <f>base!V8510</f>
        <v>0</v>
      </c>
      <c r="C8510" s="40" t="s">
        <v>11</v>
      </c>
      <c r="D8510" s="36">
        <f>base!H8510</f>
        <v>0</v>
      </c>
      <c r="E8510" s="44"/>
      <c r="F8510" s="16">
        <f>base!W8510</f>
        <v>0</v>
      </c>
      <c r="G8510" s="11" t="e">
        <f t="shared" si="1316"/>
        <v>#DIV/0!</v>
      </c>
      <c r="H8510" s="11" t="e">
        <f t="shared" si="1317"/>
        <v>#N/A</v>
      </c>
      <c r="I8510" s="11" t="e">
        <f t="shared" si="1318"/>
        <v>#N/A</v>
      </c>
      <c r="J8510" s="12" t="e">
        <f t="shared" si="1319"/>
        <v>#N/A</v>
      </c>
      <c r="K8510" s="17" t="e">
        <f t="shared" si="1323"/>
        <v>#N/A</v>
      </c>
      <c r="L8510" s="16">
        <f>base!X8510</f>
        <v>0</v>
      </c>
      <c r="M8510" s="11" t="e">
        <f t="shared" si="1320"/>
        <v>#DIV/0!</v>
      </c>
      <c r="N8510" s="11"/>
      <c r="O8510" s="11" t="e">
        <f t="shared" si="1321"/>
        <v>#DIV/0!</v>
      </c>
      <c r="P8510" s="12">
        <f t="shared" si="1322"/>
        <v>0</v>
      </c>
      <c r="Q8510" s="17" t="str">
        <f t="shared" si="1324"/>
        <v>Pas d'écart</v>
      </c>
    </row>
    <row r="8511" spans="1:17" x14ac:dyDescent="0.3">
      <c r="A8511" s="34">
        <f>base!J8511</f>
        <v>0</v>
      </c>
      <c r="B8511" s="34">
        <f>base!V8511</f>
        <v>0</v>
      </c>
      <c r="C8511" s="40" t="s">
        <v>11</v>
      </c>
      <c r="D8511" s="36">
        <f>base!H8511</f>
        <v>0</v>
      </c>
      <c r="E8511" s="44"/>
      <c r="F8511" s="16">
        <f>base!W8511</f>
        <v>0</v>
      </c>
      <c r="G8511" s="11" t="e">
        <f t="shared" si="1316"/>
        <v>#DIV/0!</v>
      </c>
      <c r="H8511" s="11" t="e">
        <f t="shared" si="1317"/>
        <v>#N/A</v>
      </c>
      <c r="I8511" s="11" t="e">
        <f t="shared" si="1318"/>
        <v>#N/A</v>
      </c>
      <c r="J8511" s="12" t="e">
        <f t="shared" si="1319"/>
        <v>#N/A</v>
      </c>
      <c r="K8511" s="17" t="e">
        <f t="shared" si="1323"/>
        <v>#N/A</v>
      </c>
      <c r="L8511" s="16">
        <f>base!X8511</f>
        <v>0</v>
      </c>
      <c r="M8511" s="11" t="e">
        <f t="shared" si="1320"/>
        <v>#DIV/0!</v>
      </c>
      <c r="N8511" s="11"/>
      <c r="O8511" s="11" t="e">
        <f t="shared" si="1321"/>
        <v>#DIV/0!</v>
      </c>
      <c r="P8511" s="12">
        <f t="shared" si="1322"/>
        <v>0</v>
      </c>
      <c r="Q8511" s="17" t="str">
        <f t="shared" si="1324"/>
        <v>Pas d'écart</v>
      </c>
    </row>
    <row r="8512" spans="1:17" x14ac:dyDescent="0.3">
      <c r="A8512" s="34">
        <f>base!J8512</f>
        <v>0</v>
      </c>
      <c r="B8512" s="34">
        <f>base!V8512</f>
        <v>0</v>
      </c>
      <c r="C8512" s="40" t="s">
        <v>11</v>
      </c>
      <c r="D8512" s="36">
        <f>base!H8512</f>
        <v>0</v>
      </c>
      <c r="E8512" s="44"/>
      <c r="F8512" s="16">
        <f>base!W8512</f>
        <v>0</v>
      </c>
      <c r="G8512" s="11" t="e">
        <f t="shared" si="1316"/>
        <v>#DIV/0!</v>
      </c>
      <c r="H8512" s="11" t="e">
        <f t="shared" si="1317"/>
        <v>#N/A</v>
      </c>
      <c r="I8512" s="11" t="e">
        <f t="shared" si="1318"/>
        <v>#N/A</v>
      </c>
      <c r="J8512" s="12" t="e">
        <f t="shared" si="1319"/>
        <v>#N/A</v>
      </c>
      <c r="K8512" s="17" t="e">
        <f t="shared" si="1323"/>
        <v>#N/A</v>
      </c>
      <c r="L8512" s="16">
        <f>base!X8512</f>
        <v>0</v>
      </c>
      <c r="M8512" s="11" t="e">
        <f t="shared" si="1320"/>
        <v>#DIV/0!</v>
      </c>
      <c r="N8512" s="11"/>
      <c r="O8512" s="11" t="e">
        <f t="shared" si="1321"/>
        <v>#DIV/0!</v>
      </c>
      <c r="P8512" s="12">
        <f t="shared" si="1322"/>
        <v>0</v>
      </c>
      <c r="Q8512" s="17" t="str">
        <f t="shared" si="1324"/>
        <v>Pas d'écart</v>
      </c>
    </row>
    <row r="8513" spans="1:17" x14ac:dyDescent="0.3">
      <c r="A8513" s="34">
        <f>base!J8513</f>
        <v>0</v>
      </c>
      <c r="B8513" s="34">
        <f>base!V8513</f>
        <v>0</v>
      </c>
      <c r="C8513" s="40" t="s">
        <v>11</v>
      </c>
      <c r="D8513" s="36">
        <f>base!H8513</f>
        <v>0</v>
      </c>
      <c r="E8513" s="44"/>
      <c r="F8513" s="16">
        <f>base!W8513</f>
        <v>0</v>
      </c>
      <c r="G8513" s="11" t="e">
        <f t="shared" si="1316"/>
        <v>#DIV/0!</v>
      </c>
      <c r="H8513" s="11" t="e">
        <f t="shared" si="1317"/>
        <v>#N/A</v>
      </c>
      <c r="I8513" s="11" t="e">
        <f t="shared" si="1318"/>
        <v>#N/A</v>
      </c>
      <c r="J8513" s="12" t="e">
        <f t="shared" si="1319"/>
        <v>#N/A</v>
      </c>
      <c r="K8513" s="17" t="e">
        <f t="shared" si="1323"/>
        <v>#N/A</v>
      </c>
      <c r="L8513" s="16">
        <f>base!X8513</f>
        <v>0</v>
      </c>
      <c r="M8513" s="11" t="e">
        <f t="shared" si="1320"/>
        <v>#DIV/0!</v>
      </c>
      <c r="N8513" s="11"/>
      <c r="O8513" s="11" t="e">
        <f t="shared" si="1321"/>
        <v>#DIV/0!</v>
      </c>
      <c r="P8513" s="12">
        <f t="shared" si="1322"/>
        <v>0</v>
      </c>
      <c r="Q8513" s="17" t="str">
        <f t="shared" si="1324"/>
        <v>Pas d'écart</v>
      </c>
    </row>
    <row r="8514" spans="1:17" x14ac:dyDescent="0.3">
      <c r="A8514" s="34">
        <f>base!J8514</f>
        <v>0</v>
      </c>
      <c r="B8514" s="34">
        <f>base!V8514</f>
        <v>0</v>
      </c>
      <c r="C8514" s="40" t="s">
        <v>11</v>
      </c>
      <c r="D8514" s="36">
        <f>base!H8514</f>
        <v>0</v>
      </c>
      <c r="E8514" s="44"/>
      <c r="F8514" s="16">
        <f>base!W8514</f>
        <v>0</v>
      </c>
      <c r="G8514" s="11" t="e">
        <f t="shared" ref="G8514:G8577" si="1325">F8514/D8514</f>
        <v>#DIV/0!</v>
      </c>
      <c r="H8514" s="11" t="e">
        <f t="shared" ref="H8514:H8577" si="1326">VLOOKUP(C8514,tout_cout_traction,2,FALSE)*D8514</f>
        <v>#N/A</v>
      </c>
      <c r="I8514" s="11" t="e">
        <f t="shared" ref="I8514:I8577" si="1327">H8514/D8514</f>
        <v>#N/A</v>
      </c>
      <c r="J8514" s="12" t="e">
        <f t="shared" ref="J8514:J8577" si="1328">F8514-H8514</f>
        <v>#N/A</v>
      </c>
      <c r="K8514" s="17" t="e">
        <f t="shared" si="1323"/>
        <v>#N/A</v>
      </c>
      <c r="L8514" s="16">
        <f>base!X8514</f>
        <v>0</v>
      </c>
      <c r="M8514" s="11" t="e">
        <f t="shared" ref="M8514:M8577" si="1329">L8514/D8514</f>
        <v>#DIV/0!</v>
      </c>
      <c r="N8514" s="11"/>
      <c r="O8514" s="11" t="e">
        <f t="shared" ref="O8514:O8577" si="1330">N8514/D8514</f>
        <v>#DIV/0!</v>
      </c>
      <c r="P8514" s="12">
        <f t="shared" ref="P8514:P8577" si="1331">L8514-N8514</f>
        <v>0</v>
      </c>
      <c r="Q8514" s="17" t="str">
        <f t="shared" si="1324"/>
        <v>Pas d'écart</v>
      </c>
    </row>
    <row r="8515" spans="1:17" x14ac:dyDescent="0.3">
      <c r="A8515" s="34">
        <f>base!J8515</f>
        <v>0</v>
      </c>
      <c r="B8515" s="34">
        <f>base!V8515</f>
        <v>0</v>
      </c>
      <c r="C8515" s="40" t="s">
        <v>11</v>
      </c>
      <c r="D8515" s="36">
        <f>base!H8515</f>
        <v>0</v>
      </c>
      <c r="E8515" s="44"/>
      <c r="F8515" s="16">
        <f>base!W8515</f>
        <v>0</v>
      </c>
      <c r="G8515" s="11" t="e">
        <f t="shared" si="1325"/>
        <v>#DIV/0!</v>
      </c>
      <c r="H8515" s="11" t="e">
        <f t="shared" si="1326"/>
        <v>#N/A</v>
      </c>
      <c r="I8515" s="11" t="e">
        <f t="shared" si="1327"/>
        <v>#N/A</v>
      </c>
      <c r="J8515" s="12" t="e">
        <f t="shared" si="1328"/>
        <v>#N/A</v>
      </c>
      <c r="K8515" s="17" t="e">
        <f t="shared" ref="K8515:K8578" si="1332">IF(H8515=F8515,"Pas d'écart",IF(H8515&lt;F8515,"Ecart positif",IF(H8515&gt;F8515,"Ecart négatif")))</f>
        <v>#N/A</v>
      </c>
      <c r="L8515" s="16">
        <f>base!X8515</f>
        <v>0</v>
      </c>
      <c r="M8515" s="11" t="e">
        <f t="shared" si="1329"/>
        <v>#DIV/0!</v>
      </c>
      <c r="N8515" s="11"/>
      <c r="O8515" s="11" t="e">
        <f t="shared" si="1330"/>
        <v>#DIV/0!</v>
      </c>
      <c r="P8515" s="12">
        <f t="shared" si="1331"/>
        <v>0</v>
      </c>
      <c r="Q8515" s="17" t="str">
        <f t="shared" ref="Q8515:Q8578" si="1333">IF(N8515=L8515,"Pas d'écart",IF(N8515&lt;L8515,"Ecart positif",IF(N8515&gt;L8515,"Ecart négatif")))</f>
        <v>Pas d'écart</v>
      </c>
    </row>
    <row r="8516" spans="1:17" x14ac:dyDescent="0.3">
      <c r="A8516" s="34">
        <f>base!J8516</f>
        <v>0</v>
      </c>
      <c r="B8516" s="34">
        <f>base!V8516</f>
        <v>0</v>
      </c>
      <c r="C8516" s="40" t="s">
        <v>11</v>
      </c>
      <c r="D8516" s="36">
        <f>base!H8516</f>
        <v>0</v>
      </c>
      <c r="E8516" s="44"/>
      <c r="F8516" s="16">
        <f>base!W8516</f>
        <v>0</v>
      </c>
      <c r="G8516" s="11" t="e">
        <f t="shared" si="1325"/>
        <v>#DIV/0!</v>
      </c>
      <c r="H8516" s="11" t="e">
        <f t="shared" si="1326"/>
        <v>#N/A</v>
      </c>
      <c r="I8516" s="11" t="e">
        <f t="shared" si="1327"/>
        <v>#N/A</v>
      </c>
      <c r="J8516" s="12" t="e">
        <f t="shared" si="1328"/>
        <v>#N/A</v>
      </c>
      <c r="K8516" s="17" t="e">
        <f t="shared" si="1332"/>
        <v>#N/A</v>
      </c>
      <c r="L8516" s="16">
        <f>base!X8516</f>
        <v>0</v>
      </c>
      <c r="M8516" s="11" t="e">
        <f t="shared" si="1329"/>
        <v>#DIV/0!</v>
      </c>
      <c r="N8516" s="11"/>
      <c r="O8516" s="11" t="e">
        <f t="shared" si="1330"/>
        <v>#DIV/0!</v>
      </c>
      <c r="P8516" s="12">
        <f t="shared" si="1331"/>
        <v>0</v>
      </c>
      <c r="Q8516" s="17" t="str">
        <f t="shared" si="1333"/>
        <v>Pas d'écart</v>
      </c>
    </row>
    <row r="8517" spans="1:17" x14ac:dyDescent="0.3">
      <c r="A8517" s="34">
        <f>base!J8517</f>
        <v>0</v>
      </c>
      <c r="B8517" s="34">
        <f>base!V8517</f>
        <v>0</v>
      </c>
      <c r="C8517" s="40" t="s">
        <v>11</v>
      </c>
      <c r="D8517" s="36">
        <f>base!H8517</f>
        <v>0</v>
      </c>
      <c r="E8517" s="44"/>
      <c r="F8517" s="16">
        <f>base!W8517</f>
        <v>0</v>
      </c>
      <c r="G8517" s="11" t="e">
        <f t="shared" si="1325"/>
        <v>#DIV/0!</v>
      </c>
      <c r="H8517" s="11" t="e">
        <f t="shared" si="1326"/>
        <v>#N/A</v>
      </c>
      <c r="I8517" s="11" t="e">
        <f t="shared" si="1327"/>
        <v>#N/A</v>
      </c>
      <c r="J8517" s="12" t="e">
        <f t="shared" si="1328"/>
        <v>#N/A</v>
      </c>
      <c r="K8517" s="17" t="e">
        <f t="shared" si="1332"/>
        <v>#N/A</v>
      </c>
      <c r="L8517" s="16">
        <f>base!X8517</f>
        <v>0</v>
      </c>
      <c r="M8517" s="11" t="e">
        <f t="shared" si="1329"/>
        <v>#DIV/0!</v>
      </c>
      <c r="N8517" s="11"/>
      <c r="O8517" s="11" t="e">
        <f t="shared" si="1330"/>
        <v>#DIV/0!</v>
      </c>
      <c r="P8517" s="12">
        <f t="shared" si="1331"/>
        <v>0</v>
      </c>
      <c r="Q8517" s="17" t="str">
        <f t="shared" si="1333"/>
        <v>Pas d'écart</v>
      </c>
    </row>
    <row r="8518" spans="1:17" x14ac:dyDescent="0.3">
      <c r="A8518" s="34">
        <f>base!J8518</f>
        <v>0</v>
      </c>
      <c r="B8518" s="34">
        <f>base!V8518</f>
        <v>0</v>
      </c>
      <c r="C8518" s="40" t="s">
        <v>11</v>
      </c>
      <c r="D8518" s="36">
        <f>base!H8518</f>
        <v>0</v>
      </c>
      <c r="E8518" s="44"/>
      <c r="F8518" s="16">
        <f>base!W8518</f>
        <v>0</v>
      </c>
      <c r="G8518" s="11" t="e">
        <f t="shared" si="1325"/>
        <v>#DIV/0!</v>
      </c>
      <c r="H8518" s="11" t="e">
        <f t="shared" si="1326"/>
        <v>#N/A</v>
      </c>
      <c r="I8518" s="11" t="e">
        <f t="shared" si="1327"/>
        <v>#N/A</v>
      </c>
      <c r="J8518" s="12" t="e">
        <f t="shared" si="1328"/>
        <v>#N/A</v>
      </c>
      <c r="K8518" s="17" t="e">
        <f t="shared" si="1332"/>
        <v>#N/A</v>
      </c>
      <c r="L8518" s="16">
        <f>base!X8518</f>
        <v>0</v>
      </c>
      <c r="M8518" s="11" t="e">
        <f t="shared" si="1329"/>
        <v>#DIV/0!</v>
      </c>
      <c r="N8518" s="11"/>
      <c r="O8518" s="11" t="e">
        <f t="shared" si="1330"/>
        <v>#DIV/0!</v>
      </c>
      <c r="P8518" s="12">
        <f t="shared" si="1331"/>
        <v>0</v>
      </c>
      <c r="Q8518" s="17" t="str">
        <f t="shared" si="1333"/>
        <v>Pas d'écart</v>
      </c>
    </row>
    <row r="8519" spans="1:17" x14ac:dyDescent="0.3">
      <c r="A8519" s="34">
        <f>base!J8519</f>
        <v>0</v>
      </c>
      <c r="B8519" s="34">
        <f>base!V8519</f>
        <v>0</v>
      </c>
      <c r="C8519" s="40" t="s">
        <v>11</v>
      </c>
      <c r="D8519" s="36">
        <f>base!H8519</f>
        <v>0</v>
      </c>
      <c r="E8519" s="44"/>
      <c r="F8519" s="16">
        <f>base!W8519</f>
        <v>0</v>
      </c>
      <c r="G8519" s="11" t="e">
        <f t="shared" si="1325"/>
        <v>#DIV/0!</v>
      </c>
      <c r="H8519" s="11" t="e">
        <f t="shared" si="1326"/>
        <v>#N/A</v>
      </c>
      <c r="I8519" s="11" t="e">
        <f t="shared" si="1327"/>
        <v>#N/A</v>
      </c>
      <c r="J8519" s="12" t="e">
        <f t="shared" si="1328"/>
        <v>#N/A</v>
      </c>
      <c r="K8519" s="17" t="e">
        <f t="shared" si="1332"/>
        <v>#N/A</v>
      </c>
      <c r="L8519" s="16">
        <f>base!X8519</f>
        <v>0</v>
      </c>
      <c r="M8519" s="11" t="e">
        <f t="shared" si="1329"/>
        <v>#DIV/0!</v>
      </c>
      <c r="N8519" s="11"/>
      <c r="O8519" s="11" t="e">
        <f t="shared" si="1330"/>
        <v>#DIV/0!</v>
      </c>
      <c r="P8519" s="12">
        <f t="shared" si="1331"/>
        <v>0</v>
      </c>
      <c r="Q8519" s="17" t="str">
        <f t="shared" si="1333"/>
        <v>Pas d'écart</v>
      </c>
    </row>
    <row r="8520" spans="1:17" x14ac:dyDescent="0.3">
      <c r="A8520" s="34">
        <f>base!J8520</f>
        <v>0</v>
      </c>
      <c r="B8520" s="34">
        <f>base!V8520</f>
        <v>0</v>
      </c>
      <c r="C8520" s="40" t="s">
        <v>11</v>
      </c>
      <c r="D8520" s="36">
        <f>base!H8520</f>
        <v>0</v>
      </c>
      <c r="E8520" s="44"/>
      <c r="F8520" s="16">
        <f>base!W8520</f>
        <v>0</v>
      </c>
      <c r="G8520" s="11" t="e">
        <f t="shared" si="1325"/>
        <v>#DIV/0!</v>
      </c>
      <c r="H8520" s="11" t="e">
        <f t="shared" si="1326"/>
        <v>#N/A</v>
      </c>
      <c r="I8520" s="11" t="e">
        <f t="shared" si="1327"/>
        <v>#N/A</v>
      </c>
      <c r="J8520" s="12" t="e">
        <f t="shared" si="1328"/>
        <v>#N/A</v>
      </c>
      <c r="K8520" s="17" t="e">
        <f t="shared" si="1332"/>
        <v>#N/A</v>
      </c>
      <c r="L8520" s="16">
        <f>base!X8520</f>
        <v>0</v>
      </c>
      <c r="M8520" s="11" t="e">
        <f t="shared" si="1329"/>
        <v>#DIV/0!</v>
      </c>
      <c r="N8520" s="11"/>
      <c r="O8520" s="11" t="e">
        <f t="shared" si="1330"/>
        <v>#DIV/0!</v>
      </c>
      <c r="P8520" s="12">
        <f t="shared" si="1331"/>
        <v>0</v>
      </c>
      <c r="Q8520" s="17" t="str">
        <f t="shared" si="1333"/>
        <v>Pas d'écart</v>
      </c>
    </row>
    <row r="8521" spans="1:17" x14ac:dyDescent="0.3">
      <c r="A8521" s="34">
        <f>base!J8521</f>
        <v>0</v>
      </c>
      <c r="B8521" s="34">
        <f>base!V8521</f>
        <v>0</v>
      </c>
      <c r="C8521" s="40" t="s">
        <v>11</v>
      </c>
      <c r="D8521" s="36">
        <f>base!H8521</f>
        <v>0</v>
      </c>
      <c r="E8521" s="44"/>
      <c r="F8521" s="16">
        <f>base!W8521</f>
        <v>0</v>
      </c>
      <c r="G8521" s="11" t="e">
        <f t="shared" si="1325"/>
        <v>#DIV/0!</v>
      </c>
      <c r="H8521" s="11" t="e">
        <f t="shared" si="1326"/>
        <v>#N/A</v>
      </c>
      <c r="I8521" s="11" t="e">
        <f t="shared" si="1327"/>
        <v>#N/A</v>
      </c>
      <c r="J8521" s="12" t="e">
        <f t="shared" si="1328"/>
        <v>#N/A</v>
      </c>
      <c r="K8521" s="17" t="e">
        <f t="shared" si="1332"/>
        <v>#N/A</v>
      </c>
      <c r="L8521" s="16">
        <f>base!X8521</f>
        <v>0</v>
      </c>
      <c r="M8521" s="11" t="e">
        <f t="shared" si="1329"/>
        <v>#DIV/0!</v>
      </c>
      <c r="N8521" s="11"/>
      <c r="O8521" s="11" t="e">
        <f t="shared" si="1330"/>
        <v>#DIV/0!</v>
      </c>
      <c r="P8521" s="12">
        <f t="shared" si="1331"/>
        <v>0</v>
      </c>
      <c r="Q8521" s="17" t="str">
        <f t="shared" si="1333"/>
        <v>Pas d'écart</v>
      </c>
    </row>
    <row r="8522" spans="1:17" x14ac:dyDescent="0.3">
      <c r="A8522" s="34">
        <f>base!J8522</f>
        <v>0</v>
      </c>
      <c r="B8522" s="34">
        <f>base!V8522</f>
        <v>0</v>
      </c>
      <c r="C8522" s="40" t="s">
        <v>11</v>
      </c>
      <c r="D8522" s="36">
        <f>base!H8522</f>
        <v>0</v>
      </c>
      <c r="E8522" s="44"/>
      <c r="F8522" s="16">
        <f>base!W8522</f>
        <v>0</v>
      </c>
      <c r="G8522" s="11" t="e">
        <f t="shared" si="1325"/>
        <v>#DIV/0!</v>
      </c>
      <c r="H8522" s="11" t="e">
        <f t="shared" si="1326"/>
        <v>#N/A</v>
      </c>
      <c r="I8522" s="11" t="e">
        <f t="shared" si="1327"/>
        <v>#N/A</v>
      </c>
      <c r="J8522" s="12" t="e">
        <f t="shared" si="1328"/>
        <v>#N/A</v>
      </c>
      <c r="K8522" s="17" t="e">
        <f t="shared" si="1332"/>
        <v>#N/A</v>
      </c>
      <c r="L8522" s="16">
        <f>base!X8522</f>
        <v>0</v>
      </c>
      <c r="M8522" s="11" t="e">
        <f t="shared" si="1329"/>
        <v>#DIV/0!</v>
      </c>
      <c r="N8522" s="11"/>
      <c r="O8522" s="11" t="e">
        <f t="shared" si="1330"/>
        <v>#DIV/0!</v>
      </c>
      <c r="P8522" s="12">
        <f t="shared" si="1331"/>
        <v>0</v>
      </c>
      <c r="Q8522" s="17" t="str">
        <f t="shared" si="1333"/>
        <v>Pas d'écart</v>
      </c>
    </row>
    <row r="8523" spans="1:17" x14ac:dyDescent="0.3">
      <c r="A8523" s="34">
        <f>base!J8523</f>
        <v>0</v>
      </c>
      <c r="B8523" s="34">
        <f>base!V8523</f>
        <v>0</v>
      </c>
      <c r="C8523" s="40" t="s">
        <v>11</v>
      </c>
      <c r="D8523" s="36">
        <f>base!H8523</f>
        <v>0</v>
      </c>
      <c r="E8523" s="44"/>
      <c r="F8523" s="16">
        <f>base!W8523</f>
        <v>0</v>
      </c>
      <c r="G8523" s="11" t="e">
        <f t="shared" si="1325"/>
        <v>#DIV/0!</v>
      </c>
      <c r="H8523" s="11" t="e">
        <f t="shared" si="1326"/>
        <v>#N/A</v>
      </c>
      <c r="I8523" s="11" t="e">
        <f t="shared" si="1327"/>
        <v>#N/A</v>
      </c>
      <c r="J8523" s="12" t="e">
        <f t="shared" si="1328"/>
        <v>#N/A</v>
      </c>
      <c r="K8523" s="17" t="e">
        <f t="shared" si="1332"/>
        <v>#N/A</v>
      </c>
      <c r="L8523" s="16">
        <f>base!X8523</f>
        <v>0</v>
      </c>
      <c r="M8523" s="11" t="e">
        <f t="shared" si="1329"/>
        <v>#DIV/0!</v>
      </c>
      <c r="N8523" s="11"/>
      <c r="O8523" s="11" t="e">
        <f t="shared" si="1330"/>
        <v>#DIV/0!</v>
      </c>
      <c r="P8523" s="12">
        <f t="shared" si="1331"/>
        <v>0</v>
      </c>
      <c r="Q8523" s="17" t="str">
        <f t="shared" si="1333"/>
        <v>Pas d'écart</v>
      </c>
    </row>
    <row r="8524" spans="1:17" x14ac:dyDescent="0.3">
      <c r="A8524" s="34">
        <f>base!J8524</f>
        <v>0</v>
      </c>
      <c r="B8524" s="34">
        <f>base!V8524</f>
        <v>0</v>
      </c>
      <c r="C8524" s="40" t="s">
        <v>11</v>
      </c>
      <c r="D8524" s="36">
        <f>base!H8524</f>
        <v>0</v>
      </c>
      <c r="E8524" s="44"/>
      <c r="F8524" s="16">
        <f>base!W8524</f>
        <v>0</v>
      </c>
      <c r="G8524" s="11" t="e">
        <f t="shared" si="1325"/>
        <v>#DIV/0!</v>
      </c>
      <c r="H8524" s="11" t="e">
        <f t="shared" si="1326"/>
        <v>#N/A</v>
      </c>
      <c r="I8524" s="11" t="e">
        <f t="shared" si="1327"/>
        <v>#N/A</v>
      </c>
      <c r="J8524" s="12" t="e">
        <f t="shared" si="1328"/>
        <v>#N/A</v>
      </c>
      <c r="K8524" s="17" t="e">
        <f t="shared" si="1332"/>
        <v>#N/A</v>
      </c>
      <c r="L8524" s="16">
        <f>base!X8524</f>
        <v>0</v>
      </c>
      <c r="M8524" s="11" t="e">
        <f t="shared" si="1329"/>
        <v>#DIV/0!</v>
      </c>
      <c r="N8524" s="11"/>
      <c r="O8524" s="11" t="e">
        <f t="shared" si="1330"/>
        <v>#DIV/0!</v>
      </c>
      <c r="P8524" s="12">
        <f t="shared" si="1331"/>
        <v>0</v>
      </c>
      <c r="Q8524" s="17" t="str">
        <f t="shared" si="1333"/>
        <v>Pas d'écart</v>
      </c>
    </row>
    <row r="8525" spans="1:17" x14ac:dyDescent="0.3">
      <c r="A8525" s="34">
        <f>base!J8525</f>
        <v>0</v>
      </c>
      <c r="B8525" s="34">
        <f>base!V8525</f>
        <v>0</v>
      </c>
      <c r="C8525" s="40" t="s">
        <v>11</v>
      </c>
      <c r="D8525" s="36">
        <f>base!H8525</f>
        <v>0</v>
      </c>
      <c r="E8525" s="44"/>
      <c r="F8525" s="16">
        <f>base!W8525</f>
        <v>0</v>
      </c>
      <c r="G8525" s="11" t="e">
        <f t="shared" si="1325"/>
        <v>#DIV/0!</v>
      </c>
      <c r="H8525" s="11" t="e">
        <f t="shared" si="1326"/>
        <v>#N/A</v>
      </c>
      <c r="I8525" s="11" t="e">
        <f t="shared" si="1327"/>
        <v>#N/A</v>
      </c>
      <c r="J8525" s="12" t="e">
        <f t="shared" si="1328"/>
        <v>#N/A</v>
      </c>
      <c r="K8525" s="17" t="e">
        <f t="shared" si="1332"/>
        <v>#N/A</v>
      </c>
      <c r="L8525" s="16">
        <f>base!X8525</f>
        <v>0</v>
      </c>
      <c r="M8525" s="11" t="e">
        <f t="shared" si="1329"/>
        <v>#DIV/0!</v>
      </c>
      <c r="N8525" s="11"/>
      <c r="O8525" s="11" t="e">
        <f t="shared" si="1330"/>
        <v>#DIV/0!</v>
      </c>
      <c r="P8525" s="12">
        <f t="shared" si="1331"/>
        <v>0</v>
      </c>
      <c r="Q8525" s="17" t="str">
        <f t="shared" si="1333"/>
        <v>Pas d'écart</v>
      </c>
    </row>
    <row r="8526" spans="1:17" x14ac:dyDescent="0.3">
      <c r="A8526" s="34">
        <f>base!J8526</f>
        <v>0</v>
      </c>
      <c r="B8526" s="34">
        <f>base!V8526</f>
        <v>0</v>
      </c>
      <c r="C8526" s="40" t="s">
        <v>11</v>
      </c>
      <c r="D8526" s="36">
        <f>base!H8526</f>
        <v>0</v>
      </c>
      <c r="E8526" s="44"/>
      <c r="F8526" s="16">
        <f>base!W8526</f>
        <v>0</v>
      </c>
      <c r="G8526" s="11" t="e">
        <f t="shared" si="1325"/>
        <v>#DIV/0!</v>
      </c>
      <c r="H8526" s="11" t="e">
        <f t="shared" si="1326"/>
        <v>#N/A</v>
      </c>
      <c r="I8526" s="11" t="e">
        <f t="shared" si="1327"/>
        <v>#N/A</v>
      </c>
      <c r="J8526" s="12" t="e">
        <f t="shared" si="1328"/>
        <v>#N/A</v>
      </c>
      <c r="K8526" s="17" t="e">
        <f t="shared" si="1332"/>
        <v>#N/A</v>
      </c>
      <c r="L8526" s="16">
        <f>base!X8526</f>
        <v>0</v>
      </c>
      <c r="M8526" s="11" t="e">
        <f t="shared" si="1329"/>
        <v>#DIV/0!</v>
      </c>
      <c r="N8526" s="11"/>
      <c r="O8526" s="11" t="e">
        <f t="shared" si="1330"/>
        <v>#DIV/0!</v>
      </c>
      <c r="P8526" s="12">
        <f t="shared" si="1331"/>
        <v>0</v>
      </c>
      <c r="Q8526" s="17" t="str">
        <f t="shared" si="1333"/>
        <v>Pas d'écart</v>
      </c>
    </row>
    <row r="8527" spans="1:17" x14ac:dyDescent="0.3">
      <c r="A8527" s="34">
        <f>base!J8527</f>
        <v>0</v>
      </c>
      <c r="B8527" s="34">
        <f>base!V8527</f>
        <v>0</v>
      </c>
      <c r="C8527" s="40" t="s">
        <v>11</v>
      </c>
      <c r="D8527" s="36">
        <f>base!H8527</f>
        <v>0</v>
      </c>
      <c r="E8527" s="44"/>
      <c r="F8527" s="16">
        <f>base!W8527</f>
        <v>0</v>
      </c>
      <c r="G8527" s="11" t="e">
        <f t="shared" si="1325"/>
        <v>#DIV/0!</v>
      </c>
      <c r="H8527" s="11" t="e">
        <f t="shared" si="1326"/>
        <v>#N/A</v>
      </c>
      <c r="I8527" s="11" t="e">
        <f t="shared" si="1327"/>
        <v>#N/A</v>
      </c>
      <c r="J8527" s="12" t="e">
        <f t="shared" si="1328"/>
        <v>#N/A</v>
      </c>
      <c r="K8527" s="17" t="e">
        <f t="shared" si="1332"/>
        <v>#N/A</v>
      </c>
      <c r="L8527" s="16">
        <f>base!X8527</f>
        <v>0</v>
      </c>
      <c r="M8527" s="11" t="e">
        <f t="shared" si="1329"/>
        <v>#DIV/0!</v>
      </c>
      <c r="N8527" s="11"/>
      <c r="O8527" s="11" t="e">
        <f t="shared" si="1330"/>
        <v>#DIV/0!</v>
      </c>
      <c r="P8527" s="12">
        <f t="shared" si="1331"/>
        <v>0</v>
      </c>
      <c r="Q8527" s="17" t="str">
        <f t="shared" si="1333"/>
        <v>Pas d'écart</v>
      </c>
    </row>
    <row r="8528" spans="1:17" x14ac:dyDescent="0.3">
      <c r="A8528" s="34">
        <f>base!J8528</f>
        <v>0</v>
      </c>
      <c r="B8528" s="34">
        <f>base!V8528</f>
        <v>0</v>
      </c>
      <c r="C8528" s="40" t="s">
        <v>11</v>
      </c>
      <c r="D8528" s="36">
        <f>base!H8528</f>
        <v>0</v>
      </c>
      <c r="E8528" s="44"/>
      <c r="F8528" s="16">
        <f>base!W8528</f>
        <v>0</v>
      </c>
      <c r="G8528" s="11" t="e">
        <f t="shared" si="1325"/>
        <v>#DIV/0!</v>
      </c>
      <c r="H8528" s="11" t="e">
        <f t="shared" si="1326"/>
        <v>#N/A</v>
      </c>
      <c r="I8528" s="11" t="e">
        <f t="shared" si="1327"/>
        <v>#N/A</v>
      </c>
      <c r="J8528" s="12" t="e">
        <f t="shared" si="1328"/>
        <v>#N/A</v>
      </c>
      <c r="K8528" s="17" t="e">
        <f t="shared" si="1332"/>
        <v>#N/A</v>
      </c>
      <c r="L8528" s="16">
        <f>base!X8528</f>
        <v>0</v>
      </c>
      <c r="M8528" s="11" t="e">
        <f t="shared" si="1329"/>
        <v>#DIV/0!</v>
      </c>
      <c r="N8528" s="11"/>
      <c r="O8528" s="11" t="e">
        <f t="shared" si="1330"/>
        <v>#DIV/0!</v>
      </c>
      <c r="P8528" s="12">
        <f t="shared" si="1331"/>
        <v>0</v>
      </c>
      <c r="Q8528" s="17" t="str">
        <f t="shared" si="1333"/>
        <v>Pas d'écart</v>
      </c>
    </row>
    <row r="8529" spans="1:17" x14ac:dyDescent="0.3">
      <c r="A8529" s="34">
        <f>base!J8529</f>
        <v>0</v>
      </c>
      <c r="B8529" s="34">
        <f>base!V8529</f>
        <v>0</v>
      </c>
      <c r="C8529" s="40" t="s">
        <v>11</v>
      </c>
      <c r="D8529" s="36">
        <f>base!H8529</f>
        <v>0</v>
      </c>
      <c r="E8529" s="44"/>
      <c r="F8529" s="16">
        <f>base!W8529</f>
        <v>0</v>
      </c>
      <c r="G8529" s="11" t="e">
        <f t="shared" si="1325"/>
        <v>#DIV/0!</v>
      </c>
      <c r="H8529" s="11" t="e">
        <f t="shared" si="1326"/>
        <v>#N/A</v>
      </c>
      <c r="I8529" s="11" t="e">
        <f t="shared" si="1327"/>
        <v>#N/A</v>
      </c>
      <c r="J8529" s="12" t="e">
        <f t="shared" si="1328"/>
        <v>#N/A</v>
      </c>
      <c r="K8529" s="17" t="e">
        <f t="shared" si="1332"/>
        <v>#N/A</v>
      </c>
      <c r="L8529" s="16">
        <f>base!X8529</f>
        <v>0</v>
      </c>
      <c r="M8529" s="11" t="e">
        <f t="shared" si="1329"/>
        <v>#DIV/0!</v>
      </c>
      <c r="N8529" s="11"/>
      <c r="O8529" s="11" t="e">
        <f t="shared" si="1330"/>
        <v>#DIV/0!</v>
      </c>
      <c r="P8529" s="12">
        <f t="shared" si="1331"/>
        <v>0</v>
      </c>
      <c r="Q8529" s="17" t="str">
        <f t="shared" si="1333"/>
        <v>Pas d'écart</v>
      </c>
    </row>
    <row r="8530" spans="1:17" x14ac:dyDescent="0.3">
      <c r="A8530" s="34">
        <f>base!J8530</f>
        <v>0</v>
      </c>
      <c r="B8530" s="34">
        <f>base!V8530</f>
        <v>0</v>
      </c>
      <c r="C8530" s="40" t="s">
        <v>11</v>
      </c>
      <c r="D8530" s="36">
        <f>base!H8530</f>
        <v>0</v>
      </c>
      <c r="E8530" s="44"/>
      <c r="F8530" s="16">
        <f>base!W8530</f>
        <v>0</v>
      </c>
      <c r="G8530" s="11" t="e">
        <f t="shared" si="1325"/>
        <v>#DIV/0!</v>
      </c>
      <c r="H8530" s="11" t="e">
        <f t="shared" si="1326"/>
        <v>#N/A</v>
      </c>
      <c r="I8530" s="11" t="e">
        <f t="shared" si="1327"/>
        <v>#N/A</v>
      </c>
      <c r="J8530" s="12" t="e">
        <f t="shared" si="1328"/>
        <v>#N/A</v>
      </c>
      <c r="K8530" s="17" t="e">
        <f t="shared" si="1332"/>
        <v>#N/A</v>
      </c>
      <c r="L8530" s="16">
        <f>base!X8530</f>
        <v>0</v>
      </c>
      <c r="M8530" s="11" t="e">
        <f t="shared" si="1329"/>
        <v>#DIV/0!</v>
      </c>
      <c r="N8530" s="11"/>
      <c r="O8530" s="11" t="e">
        <f t="shared" si="1330"/>
        <v>#DIV/0!</v>
      </c>
      <c r="P8530" s="12">
        <f t="shared" si="1331"/>
        <v>0</v>
      </c>
      <c r="Q8530" s="17" t="str">
        <f t="shared" si="1333"/>
        <v>Pas d'écart</v>
      </c>
    </row>
    <row r="8531" spans="1:17" x14ac:dyDescent="0.3">
      <c r="A8531" s="34">
        <f>base!J8531</f>
        <v>0</v>
      </c>
      <c r="B8531" s="34">
        <f>base!V8531</f>
        <v>0</v>
      </c>
      <c r="C8531" s="40" t="s">
        <v>11</v>
      </c>
      <c r="D8531" s="36">
        <f>base!H8531</f>
        <v>0</v>
      </c>
      <c r="E8531" s="44"/>
      <c r="F8531" s="16">
        <f>base!W8531</f>
        <v>0</v>
      </c>
      <c r="G8531" s="11" t="e">
        <f t="shared" si="1325"/>
        <v>#DIV/0!</v>
      </c>
      <c r="H8531" s="11" t="e">
        <f t="shared" si="1326"/>
        <v>#N/A</v>
      </c>
      <c r="I8531" s="11" t="e">
        <f t="shared" si="1327"/>
        <v>#N/A</v>
      </c>
      <c r="J8531" s="12" t="e">
        <f t="shared" si="1328"/>
        <v>#N/A</v>
      </c>
      <c r="K8531" s="17" t="e">
        <f t="shared" si="1332"/>
        <v>#N/A</v>
      </c>
      <c r="L8531" s="16">
        <f>base!X8531</f>
        <v>0</v>
      </c>
      <c r="M8531" s="11" t="e">
        <f t="shared" si="1329"/>
        <v>#DIV/0!</v>
      </c>
      <c r="N8531" s="11"/>
      <c r="O8531" s="11" t="e">
        <f t="shared" si="1330"/>
        <v>#DIV/0!</v>
      </c>
      <c r="P8531" s="12">
        <f t="shared" si="1331"/>
        <v>0</v>
      </c>
      <c r="Q8531" s="17" t="str">
        <f t="shared" si="1333"/>
        <v>Pas d'écart</v>
      </c>
    </row>
    <row r="8532" spans="1:17" x14ac:dyDescent="0.3">
      <c r="A8532" s="34">
        <f>base!J8532</f>
        <v>0</v>
      </c>
      <c r="B8532" s="34">
        <f>base!V8532</f>
        <v>0</v>
      </c>
      <c r="C8532" s="40" t="s">
        <v>11</v>
      </c>
      <c r="D8532" s="36">
        <f>base!H8532</f>
        <v>0</v>
      </c>
      <c r="E8532" s="44"/>
      <c r="F8532" s="16">
        <f>base!W8532</f>
        <v>0</v>
      </c>
      <c r="G8532" s="11" t="e">
        <f t="shared" si="1325"/>
        <v>#DIV/0!</v>
      </c>
      <c r="H8532" s="11" t="e">
        <f t="shared" si="1326"/>
        <v>#N/A</v>
      </c>
      <c r="I8532" s="11" t="e">
        <f t="shared" si="1327"/>
        <v>#N/A</v>
      </c>
      <c r="J8532" s="12" t="e">
        <f t="shared" si="1328"/>
        <v>#N/A</v>
      </c>
      <c r="K8532" s="17" t="e">
        <f t="shared" si="1332"/>
        <v>#N/A</v>
      </c>
      <c r="L8532" s="16">
        <f>base!X8532</f>
        <v>0</v>
      </c>
      <c r="M8532" s="11" t="e">
        <f t="shared" si="1329"/>
        <v>#DIV/0!</v>
      </c>
      <c r="N8532" s="11"/>
      <c r="O8532" s="11" t="e">
        <f t="shared" si="1330"/>
        <v>#DIV/0!</v>
      </c>
      <c r="P8532" s="12">
        <f t="shared" si="1331"/>
        <v>0</v>
      </c>
      <c r="Q8532" s="17" t="str">
        <f t="shared" si="1333"/>
        <v>Pas d'écart</v>
      </c>
    </row>
    <row r="8533" spans="1:17" x14ac:dyDescent="0.3">
      <c r="A8533" s="34">
        <f>base!J8533</f>
        <v>0</v>
      </c>
      <c r="B8533" s="34">
        <f>base!V8533</f>
        <v>0</v>
      </c>
      <c r="C8533" s="40" t="s">
        <v>11</v>
      </c>
      <c r="D8533" s="36">
        <f>base!H8533</f>
        <v>0</v>
      </c>
      <c r="E8533" s="44"/>
      <c r="F8533" s="16">
        <f>base!W8533</f>
        <v>0</v>
      </c>
      <c r="G8533" s="11" t="e">
        <f t="shared" si="1325"/>
        <v>#DIV/0!</v>
      </c>
      <c r="H8533" s="11" t="e">
        <f t="shared" si="1326"/>
        <v>#N/A</v>
      </c>
      <c r="I8533" s="11" t="e">
        <f t="shared" si="1327"/>
        <v>#N/A</v>
      </c>
      <c r="J8533" s="12" t="e">
        <f t="shared" si="1328"/>
        <v>#N/A</v>
      </c>
      <c r="K8533" s="17" t="e">
        <f t="shared" si="1332"/>
        <v>#N/A</v>
      </c>
      <c r="L8533" s="16">
        <f>base!X8533</f>
        <v>0</v>
      </c>
      <c r="M8533" s="11" t="e">
        <f t="shared" si="1329"/>
        <v>#DIV/0!</v>
      </c>
      <c r="N8533" s="11"/>
      <c r="O8533" s="11" t="e">
        <f t="shared" si="1330"/>
        <v>#DIV/0!</v>
      </c>
      <c r="P8533" s="12">
        <f t="shared" si="1331"/>
        <v>0</v>
      </c>
      <c r="Q8533" s="17" t="str">
        <f t="shared" si="1333"/>
        <v>Pas d'écart</v>
      </c>
    </row>
    <row r="8534" spans="1:17" x14ac:dyDescent="0.3">
      <c r="A8534" s="34">
        <f>base!J8534</f>
        <v>0</v>
      </c>
      <c r="B8534" s="34">
        <f>base!V8534</f>
        <v>0</v>
      </c>
      <c r="C8534" s="40" t="s">
        <v>11</v>
      </c>
      <c r="D8534" s="36">
        <f>base!H8534</f>
        <v>0</v>
      </c>
      <c r="E8534" s="44"/>
      <c r="F8534" s="16">
        <f>base!W8534</f>
        <v>0</v>
      </c>
      <c r="G8534" s="11" t="e">
        <f t="shared" si="1325"/>
        <v>#DIV/0!</v>
      </c>
      <c r="H8534" s="11" t="e">
        <f t="shared" si="1326"/>
        <v>#N/A</v>
      </c>
      <c r="I8534" s="11" t="e">
        <f t="shared" si="1327"/>
        <v>#N/A</v>
      </c>
      <c r="J8534" s="12" t="e">
        <f t="shared" si="1328"/>
        <v>#N/A</v>
      </c>
      <c r="K8534" s="17" t="e">
        <f t="shared" si="1332"/>
        <v>#N/A</v>
      </c>
      <c r="L8534" s="16">
        <f>base!X8534</f>
        <v>0</v>
      </c>
      <c r="M8534" s="11" t="e">
        <f t="shared" si="1329"/>
        <v>#DIV/0!</v>
      </c>
      <c r="N8534" s="11"/>
      <c r="O8534" s="11" t="e">
        <f t="shared" si="1330"/>
        <v>#DIV/0!</v>
      </c>
      <c r="P8534" s="12">
        <f t="shared" si="1331"/>
        <v>0</v>
      </c>
      <c r="Q8534" s="17" t="str">
        <f t="shared" si="1333"/>
        <v>Pas d'écart</v>
      </c>
    </row>
    <row r="8535" spans="1:17" x14ac:dyDescent="0.3">
      <c r="A8535" s="34">
        <f>base!J8535</f>
        <v>0</v>
      </c>
      <c r="B8535" s="34">
        <f>base!V8535</f>
        <v>0</v>
      </c>
      <c r="C8535" s="40" t="s">
        <v>11</v>
      </c>
      <c r="D8535" s="36">
        <f>base!H8535</f>
        <v>0</v>
      </c>
      <c r="E8535" s="44"/>
      <c r="F8535" s="16">
        <f>base!W8535</f>
        <v>0</v>
      </c>
      <c r="G8535" s="11" t="e">
        <f t="shared" si="1325"/>
        <v>#DIV/0!</v>
      </c>
      <c r="H8535" s="11" t="e">
        <f t="shared" si="1326"/>
        <v>#N/A</v>
      </c>
      <c r="I8535" s="11" t="e">
        <f t="shared" si="1327"/>
        <v>#N/A</v>
      </c>
      <c r="J8535" s="12" t="e">
        <f t="shared" si="1328"/>
        <v>#N/A</v>
      </c>
      <c r="K8535" s="17" t="e">
        <f t="shared" si="1332"/>
        <v>#N/A</v>
      </c>
      <c r="L8535" s="16">
        <f>base!X8535</f>
        <v>0</v>
      </c>
      <c r="M8535" s="11" t="e">
        <f t="shared" si="1329"/>
        <v>#DIV/0!</v>
      </c>
      <c r="N8535" s="11"/>
      <c r="O8535" s="11" t="e">
        <f t="shared" si="1330"/>
        <v>#DIV/0!</v>
      </c>
      <c r="P8535" s="12">
        <f t="shared" si="1331"/>
        <v>0</v>
      </c>
      <c r="Q8535" s="17" t="str">
        <f t="shared" si="1333"/>
        <v>Pas d'écart</v>
      </c>
    </row>
    <row r="8536" spans="1:17" x14ac:dyDescent="0.3">
      <c r="A8536" s="34">
        <f>base!J8536</f>
        <v>0</v>
      </c>
      <c r="B8536" s="34">
        <f>base!V8536</f>
        <v>0</v>
      </c>
      <c r="C8536" s="40" t="s">
        <v>11</v>
      </c>
      <c r="D8536" s="36">
        <f>base!H8536</f>
        <v>0</v>
      </c>
      <c r="E8536" s="44"/>
      <c r="F8536" s="16">
        <f>base!W8536</f>
        <v>0</v>
      </c>
      <c r="G8536" s="11" t="e">
        <f t="shared" si="1325"/>
        <v>#DIV/0!</v>
      </c>
      <c r="H8536" s="11" t="e">
        <f t="shared" si="1326"/>
        <v>#N/A</v>
      </c>
      <c r="I8536" s="11" t="e">
        <f t="shared" si="1327"/>
        <v>#N/A</v>
      </c>
      <c r="J8536" s="12" t="e">
        <f t="shared" si="1328"/>
        <v>#N/A</v>
      </c>
      <c r="K8536" s="17" t="e">
        <f t="shared" si="1332"/>
        <v>#N/A</v>
      </c>
      <c r="L8536" s="16">
        <f>base!X8536</f>
        <v>0</v>
      </c>
      <c r="M8536" s="11" t="e">
        <f t="shared" si="1329"/>
        <v>#DIV/0!</v>
      </c>
      <c r="N8536" s="11"/>
      <c r="O8536" s="11" t="e">
        <f t="shared" si="1330"/>
        <v>#DIV/0!</v>
      </c>
      <c r="P8536" s="12">
        <f t="shared" si="1331"/>
        <v>0</v>
      </c>
      <c r="Q8536" s="17" t="str">
        <f t="shared" si="1333"/>
        <v>Pas d'écart</v>
      </c>
    </row>
    <row r="8537" spans="1:17" x14ac:dyDescent="0.3">
      <c r="A8537" s="34">
        <f>base!J8537</f>
        <v>0</v>
      </c>
      <c r="B8537" s="34">
        <f>base!V8537</f>
        <v>0</v>
      </c>
      <c r="C8537" s="40" t="s">
        <v>11</v>
      </c>
      <c r="D8537" s="36">
        <f>base!H8537</f>
        <v>0</v>
      </c>
      <c r="E8537" s="44"/>
      <c r="F8537" s="16">
        <f>base!W8537</f>
        <v>0</v>
      </c>
      <c r="G8537" s="11" t="e">
        <f t="shared" si="1325"/>
        <v>#DIV/0!</v>
      </c>
      <c r="H8537" s="11" t="e">
        <f t="shared" si="1326"/>
        <v>#N/A</v>
      </c>
      <c r="I8537" s="11" t="e">
        <f t="shared" si="1327"/>
        <v>#N/A</v>
      </c>
      <c r="J8537" s="12" t="e">
        <f t="shared" si="1328"/>
        <v>#N/A</v>
      </c>
      <c r="K8537" s="17" t="e">
        <f t="shared" si="1332"/>
        <v>#N/A</v>
      </c>
      <c r="L8537" s="16">
        <f>base!X8537</f>
        <v>0</v>
      </c>
      <c r="M8537" s="11" t="e">
        <f t="shared" si="1329"/>
        <v>#DIV/0!</v>
      </c>
      <c r="N8537" s="11"/>
      <c r="O8537" s="11" t="e">
        <f t="shared" si="1330"/>
        <v>#DIV/0!</v>
      </c>
      <c r="P8537" s="12">
        <f t="shared" si="1331"/>
        <v>0</v>
      </c>
      <c r="Q8537" s="17" t="str">
        <f t="shared" si="1333"/>
        <v>Pas d'écart</v>
      </c>
    </row>
    <row r="8538" spans="1:17" x14ac:dyDescent="0.3">
      <c r="A8538" s="34">
        <f>base!J8538</f>
        <v>0</v>
      </c>
      <c r="B8538" s="34">
        <f>base!V8538</f>
        <v>0</v>
      </c>
      <c r="C8538" s="40" t="s">
        <v>11</v>
      </c>
      <c r="D8538" s="36">
        <f>base!H8538</f>
        <v>0</v>
      </c>
      <c r="E8538" s="44"/>
      <c r="F8538" s="16">
        <f>base!W8538</f>
        <v>0</v>
      </c>
      <c r="G8538" s="11" t="e">
        <f t="shared" si="1325"/>
        <v>#DIV/0!</v>
      </c>
      <c r="H8538" s="11" t="e">
        <f t="shared" si="1326"/>
        <v>#N/A</v>
      </c>
      <c r="I8538" s="11" t="e">
        <f t="shared" si="1327"/>
        <v>#N/A</v>
      </c>
      <c r="J8538" s="12" t="e">
        <f t="shared" si="1328"/>
        <v>#N/A</v>
      </c>
      <c r="K8538" s="17" t="e">
        <f t="shared" si="1332"/>
        <v>#N/A</v>
      </c>
      <c r="L8538" s="16">
        <f>base!X8538</f>
        <v>0</v>
      </c>
      <c r="M8538" s="11" t="e">
        <f t="shared" si="1329"/>
        <v>#DIV/0!</v>
      </c>
      <c r="N8538" s="11"/>
      <c r="O8538" s="11" t="e">
        <f t="shared" si="1330"/>
        <v>#DIV/0!</v>
      </c>
      <c r="P8538" s="12">
        <f t="shared" si="1331"/>
        <v>0</v>
      </c>
      <c r="Q8538" s="17" t="str">
        <f t="shared" si="1333"/>
        <v>Pas d'écart</v>
      </c>
    </row>
    <row r="8539" spans="1:17" x14ac:dyDescent="0.3">
      <c r="A8539" s="34">
        <f>base!J8539</f>
        <v>0</v>
      </c>
      <c r="B8539" s="34">
        <f>base!V8539</f>
        <v>0</v>
      </c>
      <c r="C8539" s="40" t="s">
        <v>11</v>
      </c>
      <c r="D8539" s="36">
        <f>base!H8539</f>
        <v>0</v>
      </c>
      <c r="E8539" s="44"/>
      <c r="F8539" s="16">
        <f>base!W8539</f>
        <v>0</v>
      </c>
      <c r="G8539" s="11" t="e">
        <f t="shared" si="1325"/>
        <v>#DIV/0!</v>
      </c>
      <c r="H8539" s="11" t="e">
        <f t="shared" si="1326"/>
        <v>#N/A</v>
      </c>
      <c r="I8539" s="11" t="e">
        <f t="shared" si="1327"/>
        <v>#N/A</v>
      </c>
      <c r="J8539" s="12" t="e">
        <f t="shared" si="1328"/>
        <v>#N/A</v>
      </c>
      <c r="K8539" s="17" t="e">
        <f t="shared" si="1332"/>
        <v>#N/A</v>
      </c>
      <c r="L8539" s="16">
        <f>base!X8539</f>
        <v>0</v>
      </c>
      <c r="M8539" s="11" t="e">
        <f t="shared" si="1329"/>
        <v>#DIV/0!</v>
      </c>
      <c r="N8539" s="11"/>
      <c r="O8539" s="11" t="e">
        <f t="shared" si="1330"/>
        <v>#DIV/0!</v>
      </c>
      <c r="P8539" s="12">
        <f t="shared" si="1331"/>
        <v>0</v>
      </c>
      <c r="Q8539" s="17" t="str">
        <f t="shared" si="1333"/>
        <v>Pas d'écart</v>
      </c>
    </row>
    <row r="8540" spans="1:17" x14ac:dyDescent="0.3">
      <c r="A8540" s="34">
        <f>base!J8540</f>
        <v>0</v>
      </c>
      <c r="B8540" s="34">
        <f>base!V8540</f>
        <v>0</v>
      </c>
      <c r="C8540" s="40" t="s">
        <v>11</v>
      </c>
      <c r="D8540" s="36">
        <f>base!H8540</f>
        <v>0</v>
      </c>
      <c r="E8540" s="44"/>
      <c r="F8540" s="16">
        <f>base!W8540</f>
        <v>0</v>
      </c>
      <c r="G8540" s="11" t="e">
        <f t="shared" si="1325"/>
        <v>#DIV/0!</v>
      </c>
      <c r="H8540" s="11" t="e">
        <f t="shared" si="1326"/>
        <v>#N/A</v>
      </c>
      <c r="I8540" s="11" t="e">
        <f t="shared" si="1327"/>
        <v>#N/A</v>
      </c>
      <c r="J8540" s="12" t="e">
        <f t="shared" si="1328"/>
        <v>#N/A</v>
      </c>
      <c r="K8540" s="17" t="e">
        <f t="shared" si="1332"/>
        <v>#N/A</v>
      </c>
      <c r="L8540" s="16">
        <f>base!X8540</f>
        <v>0</v>
      </c>
      <c r="M8540" s="11" t="e">
        <f t="shared" si="1329"/>
        <v>#DIV/0!</v>
      </c>
      <c r="N8540" s="11"/>
      <c r="O8540" s="11" t="e">
        <f t="shared" si="1330"/>
        <v>#DIV/0!</v>
      </c>
      <c r="P8540" s="12">
        <f t="shared" si="1331"/>
        <v>0</v>
      </c>
      <c r="Q8540" s="17" t="str">
        <f t="shared" si="1333"/>
        <v>Pas d'écart</v>
      </c>
    </row>
    <row r="8541" spans="1:17" x14ac:dyDescent="0.3">
      <c r="A8541" s="34">
        <f>base!J8541</f>
        <v>0</v>
      </c>
      <c r="B8541" s="34">
        <f>base!V8541</f>
        <v>0</v>
      </c>
      <c r="C8541" s="40" t="s">
        <v>11</v>
      </c>
      <c r="D8541" s="36">
        <f>base!H8541</f>
        <v>0</v>
      </c>
      <c r="E8541" s="44"/>
      <c r="F8541" s="16">
        <f>base!W8541</f>
        <v>0</v>
      </c>
      <c r="G8541" s="11" t="e">
        <f t="shared" si="1325"/>
        <v>#DIV/0!</v>
      </c>
      <c r="H8541" s="11" t="e">
        <f t="shared" si="1326"/>
        <v>#N/A</v>
      </c>
      <c r="I8541" s="11" t="e">
        <f t="shared" si="1327"/>
        <v>#N/A</v>
      </c>
      <c r="J8541" s="12" t="e">
        <f t="shared" si="1328"/>
        <v>#N/A</v>
      </c>
      <c r="K8541" s="17" t="e">
        <f t="shared" si="1332"/>
        <v>#N/A</v>
      </c>
      <c r="L8541" s="16">
        <f>base!X8541</f>
        <v>0</v>
      </c>
      <c r="M8541" s="11" t="e">
        <f t="shared" si="1329"/>
        <v>#DIV/0!</v>
      </c>
      <c r="N8541" s="11"/>
      <c r="O8541" s="11" t="e">
        <f t="shared" si="1330"/>
        <v>#DIV/0!</v>
      </c>
      <c r="P8541" s="12">
        <f t="shared" si="1331"/>
        <v>0</v>
      </c>
      <c r="Q8541" s="17" t="str">
        <f t="shared" si="1333"/>
        <v>Pas d'écart</v>
      </c>
    </row>
    <row r="8542" spans="1:17" x14ac:dyDescent="0.3">
      <c r="A8542" s="34">
        <f>base!J8542</f>
        <v>0</v>
      </c>
      <c r="B8542" s="34">
        <f>base!V8542</f>
        <v>0</v>
      </c>
      <c r="C8542" s="40" t="s">
        <v>11</v>
      </c>
      <c r="D8542" s="36">
        <f>base!H8542</f>
        <v>0</v>
      </c>
      <c r="E8542" s="44"/>
      <c r="F8542" s="16">
        <f>base!W8542</f>
        <v>0</v>
      </c>
      <c r="G8542" s="11" t="e">
        <f t="shared" si="1325"/>
        <v>#DIV/0!</v>
      </c>
      <c r="H8542" s="11" t="e">
        <f t="shared" si="1326"/>
        <v>#N/A</v>
      </c>
      <c r="I8542" s="11" t="e">
        <f t="shared" si="1327"/>
        <v>#N/A</v>
      </c>
      <c r="J8542" s="12" t="e">
        <f t="shared" si="1328"/>
        <v>#N/A</v>
      </c>
      <c r="K8542" s="17" t="e">
        <f t="shared" si="1332"/>
        <v>#N/A</v>
      </c>
      <c r="L8542" s="16">
        <f>base!X8542</f>
        <v>0</v>
      </c>
      <c r="M8542" s="11" t="e">
        <f t="shared" si="1329"/>
        <v>#DIV/0!</v>
      </c>
      <c r="N8542" s="11"/>
      <c r="O8542" s="11" t="e">
        <f t="shared" si="1330"/>
        <v>#DIV/0!</v>
      </c>
      <c r="P8542" s="12">
        <f t="shared" si="1331"/>
        <v>0</v>
      </c>
      <c r="Q8542" s="17" t="str">
        <f t="shared" si="1333"/>
        <v>Pas d'écart</v>
      </c>
    </row>
    <row r="8543" spans="1:17" x14ac:dyDescent="0.3">
      <c r="A8543" s="34">
        <f>base!J8543</f>
        <v>0</v>
      </c>
      <c r="B8543" s="34">
        <f>base!V8543</f>
        <v>0</v>
      </c>
      <c r="C8543" s="40" t="s">
        <v>11</v>
      </c>
      <c r="D8543" s="36">
        <f>base!H8543</f>
        <v>0</v>
      </c>
      <c r="E8543" s="44"/>
      <c r="F8543" s="16">
        <f>base!W8543</f>
        <v>0</v>
      </c>
      <c r="G8543" s="11" t="e">
        <f t="shared" si="1325"/>
        <v>#DIV/0!</v>
      </c>
      <c r="H8543" s="11" t="e">
        <f t="shared" si="1326"/>
        <v>#N/A</v>
      </c>
      <c r="I8543" s="11" t="e">
        <f t="shared" si="1327"/>
        <v>#N/A</v>
      </c>
      <c r="J8543" s="12" t="e">
        <f t="shared" si="1328"/>
        <v>#N/A</v>
      </c>
      <c r="K8543" s="17" t="e">
        <f t="shared" si="1332"/>
        <v>#N/A</v>
      </c>
      <c r="L8543" s="16">
        <f>base!X8543</f>
        <v>0</v>
      </c>
      <c r="M8543" s="11" t="e">
        <f t="shared" si="1329"/>
        <v>#DIV/0!</v>
      </c>
      <c r="N8543" s="11"/>
      <c r="O8543" s="11" t="e">
        <f t="shared" si="1330"/>
        <v>#DIV/0!</v>
      </c>
      <c r="P8543" s="12">
        <f t="shared" si="1331"/>
        <v>0</v>
      </c>
      <c r="Q8543" s="17" t="str">
        <f t="shared" si="1333"/>
        <v>Pas d'écart</v>
      </c>
    </row>
    <row r="8544" spans="1:17" x14ac:dyDescent="0.3">
      <c r="A8544" s="34">
        <f>base!J8544</f>
        <v>0</v>
      </c>
      <c r="B8544" s="34">
        <f>base!V8544</f>
        <v>0</v>
      </c>
      <c r="C8544" s="40" t="s">
        <v>11</v>
      </c>
      <c r="D8544" s="36">
        <f>base!H8544</f>
        <v>0</v>
      </c>
      <c r="E8544" s="44"/>
      <c r="F8544" s="16">
        <f>base!W8544</f>
        <v>0</v>
      </c>
      <c r="G8544" s="11" t="e">
        <f t="shared" si="1325"/>
        <v>#DIV/0!</v>
      </c>
      <c r="H8544" s="11" t="e">
        <f t="shared" si="1326"/>
        <v>#N/A</v>
      </c>
      <c r="I8544" s="11" t="e">
        <f t="shared" si="1327"/>
        <v>#N/A</v>
      </c>
      <c r="J8544" s="12" t="e">
        <f t="shared" si="1328"/>
        <v>#N/A</v>
      </c>
      <c r="K8544" s="17" t="e">
        <f t="shared" si="1332"/>
        <v>#N/A</v>
      </c>
      <c r="L8544" s="16">
        <f>base!X8544</f>
        <v>0</v>
      </c>
      <c r="M8544" s="11" t="e">
        <f t="shared" si="1329"/>
        <v>#DIV/0!</v>
      </c>
      <c r="N8544" s="11"/>
      <c r="O8544" s="11" t="e">
        <f t="shared" si="1330"/>
        <v>#DIV/0!</v>
      </c>
      <c r="P8544" s="12">
        <f t="shared" si="1331"/>
        <v>0</v>
      </c>
      <c r="Q8544" s="17" t="str">
        <f t="shared" si="1333"/>
        <v>Pas d'écart</v>
      </c>
    </row>
    <row r="8545" spans="1:17" x14ac:dyDescent="0.3">
      <c r="A8545" s="34">
        <f>base!J8545</f>
        <v>0</v>
      </c>
      <c r="B8545" s="34">
        <f>base!V8545</f>
        <v>0</v>
      </c>
      <c r="C8545" s="40" t="s">
        <v>11</v>
      </c>
      <c r="D8545" s="36">
        <f>base!H8545</f>
        <v>0</v>
      </c>
      <c r="E8545" s="44"/>
      <c r="F8545" s="16">
        <f>base!W8545</f>
        <v>0</v>
      </c>
      <c r="G8545" s="11" t="e">
        <f t="shared" si="1325"/>
        <v>#DIV/0!</v>
      </c>
      <c r="H8545" s="11" t="e">
        <f t="shared" si="1326"/>
        <v>#N/A</v>
      </c>
      <c r="I8545" s="11" t="e">
        <f t="shared" si="1327"/>
        <v>#N/A</v>
      </c>
      <c r="J8545" s="12" t="e">
        <f t="shared" si="1328"/>
        <v>#N/A</v>
      </c>
      <c r="K8545" s="17" t="e">
        <f t="shared" si="1332"/>
        <v>#N/A</v>
      </c>
      <c r="L8545" s="16">
        <f>base!X8545</f>
        <v>0</v>
      </c>
      <c r="M8545" s="11" t="e">
        <f t="shared" si="1329"/>
        <v>#DIV/0!</v>
      </c>
      <c r="N8545" s="11"/>
      <c r="O8545" s="11" t="e">
        <f t="shared" si="1330"/>
        <v>#DIV/0!</v>
      </c>
      <c r="P8545" s="12">
        <f t="shared" si="1331"/>
        <v>0</v>
      </c>
      <c r="Q8545" s="17" t="str">
        <f t="shared" si="1333"/>
        <v>Pas d'écart</v>
      </c>
    </row>
    <row r="8546" spans="1:17" x14ac:dyDescent="0.3">
      <c r="A8546" s="34">
        <f>base!J8546</f>
        <v>0</v>
      </c>
      <c r="B8546" s="34">
        <f>base!V8546</f>
        <v>0</v>
      </c>
      <c r="C8546" s="40" t="s">
        <v>11</v>
      </c>
      <c r="D8546" s="36">
        <f>base!H8546</f>
        <v>0</v>
      </c>
      <c r="E8546" s="44"/>
      <c r="F8546" s="16">
        <f>base!W8546</f>
        <v>0</v>
      </c>
      <c r="G8546" s="11" t="e">
        <f t="shared" si="1325"/>
        <v>#DIV/0!</v>
      </c>
      <c r="H8546" s="11" t="e">
        <f t="shared" si="1326"/>
        <v>#N/A</v>
      </c>
      <c r="I8546" s="11" t="e">
        <f t="shared" si="1327"/>
        <v>#N/A</v>
      </c>
      <c r="J8546" s="12" t="e">
        <f t="shared" si="1328"/>
        <v>#N/A</v>
      </c>
      <c r="K8546" s="17" t="e">
        <f t="shared" si="1332"/>
        <v>#N/A</v>
      </c>
      <c r="L8546" s="16">
        <f>base!X8546</f>
        <v>0</v>
      </c>
      <c r="M8546" s="11" t="e">
        <f t="shared" si="1329"/>
        <v>#DIV/0!</v>
      </c>
      <c r="N8546" s="11"/>
      <c r="O8546" s="11" t="e">
        <f t="shared" si="1330"/>
        <v>#DIV/0!</v>
      </c>
      <c r="P8546" s="12">
        <f t="shared" si="1331"/>
        <v>0</v>
      </c>
      <c r="Q8546" s="17" t="str">
        <f t="shared" si="1333"/>
        <v>Pas d'écart</v>
      </c>
    </row>
    <row r="8547" spans="1:17" x14ac:dyDescent="0.3">
      <c r="A8547" s="34">
        <f>base!J8547</f>
        <v>0</v>
      </c>
      <c r="B8547" s="34">
        <f>base!V8547</f>
        <v>0</v>
      </c>
      <c r="C8547" s="40" t="s">
        <v>11</v>
      </c>
      <c r="D8547" s="36">
        <f>base!H8547</f>
        <v>0</v>
      </c>
      <c r="E8547" s="44"/>
      <c r="F8547" s="16">
        <f>base!W8547</f>
        <v>0</v>
      </c>
      <c r="G8547" s="11" t="e">
        <f t="shared" si="1325"/>
        <v>#DIV/0!</v>
      </c>
      <c r="H8547" s="11" t="e">
        <f t="shared" si="1326"/>
        <v>#N/A</v>
      </c>
      <c r="I8547" s="11" t="e">
        <f t="shared" si="1327"/>
        <v>#N/A</v>
      </c>
      <c r="J8547" s="12" t="e">
        <f t="shared" si="1328"/>
        <v>#N/A</v>
      </c>
      <c r="K8547" s="17" t="e">
        <f t="shared" si="1332"/>
        <v>#N/A</v>
      </c>
      <c r="L8547" s="16">
        <f>base!X8547</f>
        <v>0</v>
      </c>
      <c r="M8547" s="11" t="e">
        <f t="shared" si="1329"/>
        <v>#DIV/0!</v>
      </c>
      <c r="N8547" s="11"/>
      <c r="O8547" s="11" t="e">
        <f t="shared" si="1330"/>
        <v>#DIV/0!</v>
      </c>
      <c r="P8547" s="12">
        <f t="shared" si="1331"/>
        <v>0</v>
      </c>
      <c r="Q8547" s="17" t="str">
        <f t="shared" si="1333"/>
        <v>Pas d'écart</v>
      </c>
    </row>
    <row r="8548" spans="1:17" x14ac:dyDescent="0.3">
      <c r="A8548" s="34">
        <f>base!J8548</f>
        <v>0</v>
      </c>
      <c r="B8548" s="34">
        <f>base!V8548</f>
        <v>0</v>
      </c>
      <c r="C8548" s="40" t="s">
        <v>11</v>
      </c>
      <c r="D8548" s="36">
        <f>base!H8548</f>
        <v>0</v>
      </c>
      <c r="E8548" s="44"/>
      <c r="F8548" s="16">
        <f>base!W8548</f>
        <v>0</v>
      </c>
      <c r="G8548" s="11" t="e">
        <f t="shared" si="1325"/>
        <v>#DIV/0!</v>
      </c>
      <c r="H8548" s="11" t="e">
        <f t="shared" si="1326"/>
        <v>#N/A</v>
      </c>
      <c r="I8548" s="11" t="e">
        <f t="shared" si="1327"/>
        <v>#N/A</v>
      </c>
      <c r="J8548" s="12" t="e">
        <f t="shared" si="1328"/>
        <v>#N/A</v>
      </c>
      <c r="K8548" s="17" t="e">
        <f t="shared" si="1332"/>
        <v>#N/A</v>
      </c>
      <c r="L8548" s="16">
        <f>base!X8548</f>
        <v>0</v>
      </c>
      <c r="M8548" s="11" t="e">
        <f t="shared" si="1329"/>
        <v>#DIV/0!</v>
      </c>
      <c r="N8548" s="11"/>
      <c r="O8548" s="11" t="e">
        <f t="shared" si="1330"/>
        <v>#DIV/0!</v>
      </c>
      <c r="P8548" s="12">
        <f t="shared" si="1331"/>
        <v>0</v>
      </c>
      <c r="Q8548" s="17" t="str">
        <f t="shared" si="1333"/>
        <v>Pas d'écart</v>
      </c>
    </row>
    <row r="8549" spans="1:17" x14ac:dyDescent="0.3">
      <c r="A8549" s="34">
        <f>base!J8549</f>
        <v>0</v>
      </c>
      <c r="B8549" s="34">
        <f>base!V8549</f>
        <v>0</v>
      </c>
      <c r="C8549" s="40" t="s">
        <v>11</v>
      </c>
      <c r="D8549" s="36">
        <f>base!H8549</f>
        <v>0</v>
      </c>
      <c r="E8549" s="44"/>
      <c r="F8549" s="16">
        <f>base!W8549</f>
        <v>0</v>
      </c>
      <c r="G8549" s="11" t="e">
        <f t="shared" si="1325"/>
        <v>#DIV/0!</v>
      </c>
      <c r="H8549" s="11" t="e">
        <f t="shared" si="1326"/>
        <v>#N/A</v>
      </c>
      <c r="I8549" s="11" t="e">
        <f t="shared" si="1327"/>
        <v>#N/A</v>
      </c>
      <c r="J8549" s="12" t="e">
        <f t="shared" si="1328"/>
        <v>#N/A</v>
      </c>
      <c r="K8549" s="17" t="e">
        <f t="shared" si="1332"/>
        <v>#N/A</v>
      </c>
      <c r="L8549" s="16">
        <f>base!X8549</f>
        <v>0</v>
      </c>
      <c r="M8549" s="11" t="e">
        <f t="shared" si="1329"/>
        <v>#DIV/0!</v>
      </c>
      <c r="N8549" s="11"/>
      <c r="O8549" s="11" t="e">
        <f t="shared" si="1330"/>
        <v>#DIV/0!</v>
      </c>
      <c r="P8549" s="12">
        <f t="shared" si="1331"/>
        <v>0</v>
      </c>
      <c r="Q8549" s="17" t="str">
        <f t="shared" si="1333"/>
        <v>Pas d'écart</v>
      </c>
    </row>
    <row r="8550" spans="1:17" x14ac:dyDescent="0.3">
      <c r="A8550" s="34">
        <f>base!J8550</f>
        <v>0</v>
      </c>
      <c r="B8550" s="34">
        <f>base!V8550</f>
        <v>0</v>
      </c>
      <c r="C8550" s="40" t="s">
        <v>11</v>
      </c>
      <c r="D8550" s="36">
        <f>base!H8550</f>
        <v>0</v>
      </c>
      <c r="E8550" s="44"/>
      <c r="F8550" s="16">
        <f>base!W8550</f>
        <v>0</v>
      </c>
      <c r="G8550" s="11" t="e">
        <f t="shared" si="1325"/>
        <v>#DIV/0!</v>
      </c>
      <c r="H8550" s="11" t="e">
        <f t="shared" si="1326"/>
        <v>#N/A</v>
      </c>
      <c r="I8550" s="11" t="e">
        <f t="shared" si="1327"/>
        <v>#N/A</v>
      </c>
      <c r="J8550" s="12" t="e">
        <f t="shared" si="1328"/>
        <v>#N/A</v>
      </c>
      <c r="K8550" s="17" t="e">
        <f t="shared" si="1332"/>
        <v>#N/A</v>
      </c>
      <c r="L8550" s="16">
        <f>base!X8550</f>
        <v>0</v>
      </c>
      <c r="M8550" s="11" t="e">
        <f t="shared" si="1329"/>
        <v>#DIV/0!</v>
      </c>
      <c r="N8550" s="11"/>
      <c r="O8550" s="11" t="e">
        <f t="shared" si="1330"/>
        <v>#DIV/0!</v>
      </c>
      <c r="P8550" s="12">
        <f t="shared" si="1331"/>
        <v>0</v>
      </c>
      <c r="Q8550" s="17" t="str">
        <f t="shared" si="1333"/>
        <v>Pas d'écart</v>
      </c>
    </row>
    <row r="8551" spans="1:17" x14ac:dyDescent="0.3">
      <c r="A8551" s="34">
        <f>base!J8551</f>
        <v>0</v>
      </c>
      <c r="B8551" s="34">
        <f>base!V8551</f>
        <v>0</v>
      </c>
      <c r="C8551" s="40" t="s">
        <v>11</v>
      </c>
      <c r="D8551" s="36">
        <f>base!H8551</f>
        <v>0</v>
      </c>
      <c r="E8551" s="44"/>
      <c r="F8551" s="16">
        <f>base!W8551</f>
        <v>0</v>
      </c>
      <c r="G8551" s="11" t="e">
        <f t="shared" si="1325"/>
        <v>#DIV/0!</v>
      </c>
      <c r="H8551" s="11" t="e">
        <f t="shared" si="1326"/>
        <v>#N/A</v>
      </c>
      <c r="I8551" s="11" t="e">
        <f t="shared" si="1327"/>
        <v>#N/A</v>
      </c>
      <c r="J8551" s="12" t="e">
        <f t="shared" si="1328"/>
        <v>#N/A</v>
      </c>
      <c r="K8551" s="17" t="e">
        <f t="shared" si="1332"/>
        <v>#N/A</v>
      </c>
      <c r="L8551" s="16">
        <f>base!X8551</f>
        <v>0</v>
      </c>
      <c r="M8551" s="11" t="e">
        <f t="shared" si="1329"/>
        <v>#DIV/0!</v>
      </c>
      <c r="N8551" s="11"/>
      <c r="O8551" s="11" t="e">
        <f t="shared" si="1330"/>
        <v>#DIV/0!</v>
      </c>
      <c r="P8551" s="12">
        <f t="shared" si="1331"/>
        <v>0</v>
      </c>
      <c r="Q8551" s="17" t="str">
        <f t="shared" si="1333"/>
        <v>Pas d'écart</v>
      </c>
    </row>
    <row r="8552" spans="1:17" x14ac:dyDescent="0.3">
      <c r="A8552" s="34">
        <f>base!J8552</f>
        <v>0</v>
      </c>
      <c r="B8552" s="34">
        <f>base!V8552</f>
        <v>0</v>
      </c>
      <c r="C8552" s="40" t="s">
        <v>11</v>
      </c>
      <c r="D8552" s="36">
        <f>base!H8552</f>
        <v>0</v>
      </c>
      <c r="E8552" s="44"/>
      <c r="F8552" s="16">
        <f>base!W8552</f>
        <v>0</v>
      </c>
      <c r="G8552" s="11" t="e">
        <f t="shared" si="1325"/>
        <v>#DIV/0!</v>
      </c>
      <c r="H8552" s="11" t="e">
        <f t="shared" si="1326"/>
        <v>#N/A</v>
      </c>
      <c r="I8552" s="11" t="e">
        <f t="shared" si="1327"/>
        <v>#N/A</v>
      </c>
      <c r="J8552" s="12" t="e">
        <f t="shared" si="1328"/>
        <v>#N/A</v>
      </c>
      <c r="K8552" s="17" t="e">
        <f t="shared" si="1332"/>
        <v>#N/A</v>
      </c>
      <c r="L8552" s="16">
        <f>base!X8552</f>
        <v>0</v>
      </c>
      <c r="M8552" s="11" t="e">
        <f t="shared" si="1329"/>
        <v>#DIV/0!</v>
      </c>
      <c r="N8552" s="11"/>
      <c r="O8552" s="11" t="e">
        <f t="shared" si="1330"/>
        <v>#DIV/0!</v>
      </c>
      <c r="P8552" s="12">
        <f t="shared" si="1331"/>
        <v>0</v>
      </c>
      <c r="Q8552" s="17" t="str">
        <f t="shared" si="1333"/>
        <v>Pas d'écart</v>
      </c>
    </row>
    <row r="8553" spans="1:17" x14ac:dyDescent="0.3">
      <c r="A8553" s="34">
        <f>base!J8553</f>
        <v>0</v>
      </c>
      <c r="B8553" s="34">
        <f>base!V8553</f>
        <v>0</v>
      </c>
      <c r="C8553" s="40" t="s">
        <v>11</v>
      </c>
      <c r="D8553" s="36">
        <f>base!H8553</f>
        <v>0</v>
      </c>
      <c r="E8553" s="44"/>
      <c r="F8553" s="16">
        <f>base!W8553</f>
        <v>0</v>
      </c>
      <c r="G8553" s="11" t="e">
        <f t="shared" si="1325"/>
        <v>#DIV/0!</v>
      </c>
      <c r="H8553" s="11" t="e">
        <f t="shared" si="1326"/>
        <v>#N/A</v>
      </c>
      <c r="I8553" s="11" t="e">
        <f t="shared" si="1327"/>
        <v>#N/A</v>
      </c>
      <c r="J8553" s="12" t="e">
        <f t="shared" si="1328"/>
        <v>#N/A</v>
      </c>
      <c r="K8553" s="17" t="e">
        <f t="shared" si="1332"/>
        <v>#N/A</v>
      </c>
      <c r="L8553" s="16">
        <f>base!X8553</f>
        <v>0</v>
      </c>
      <c r="M8553" s="11" t="e">
        <f t="shared" si="1329"/>
        <v>#DIV/0!</v>
      </c>
      <c r="N8553" s="11"/>
      <c r="O8553" s="11" t="e">
        <f t="shared" si="1330"/>
        <v>#DIV/0!</v>
      </c>
      <c r="P8553" s="12">
        <f t="shared" si="1331"/>
        <v>0</v>
      </c>
      <c r="Q8553" s="17" t="str">
        <f t="shared" si="1333"/>
        <v>Pas d'écart</v>
      </c>
    </row>
    <row r="8554" spans="1:17" x14ac:dyDescent="0.3">
      <c r="A8554" s="34">
        <f>base!J8554</f>
        <v>0</v>
      </c>
      <c r="B8554" s="34">
        <f>base!V8554</f>
        <v>0</v>
      </c>
      <c r="C8554" s="40" t="s">
        <v>11</v>
      </c>
      <c r="D8554" s="36">
        <f>base!H8554</f>
        <v>0</v>
      </c>
      <c r="E8554" s="44"/>
      <c r="F8554" s="16">
        <f>base!W8554</f>
        <v>0</v>
      </c>
      <c r="G8554" s="11" t="e">
        <f t="shared" si="1325"/>
        <v>#DIV/0!</v>
      </c>
      <c r="H8554" s="11" t="e">
        <f t="shared" si="1326"/>
        <v>#N/A</v>
      </c>
      <c r="I8554" s="11" t="e">
        <f t="shared" si="1327"/>
        <v>#N/A</v>
      </c>
      <c r="J8554" s="12" t="e">
        <f t="shared" si="1328"/>
        <v>#N/A</v>
      </c>
      <c r="K8554" s="17" t="e">
        <f t="shared" si="1332"/>
        <v>#N/A</v>
      </c>
      <c r="L8554" s="16">
        <f>base!X8554</f>
        <v>0</v>
      </c>
      <c r="M8554" s="11" t="e">
        <f t="shared" si="1329"/>
        <v>#DIV/0!</v>
      </c>
      <c r="N8554" s="11"/>
      <c r="O8554" s="11" t="e">
        <f t="shared" si="1330"/>
        <v>#DIV/0!</v>
      </c>
      <c r="P8554" s="12">
        <f t="shared" si="1331"/>
        <v>0</v>
      </c>
      <c r="Q8554" s="17" t="str">
        <f t="shared" si="1333"/>
        <v>Pas d'écart</v>
      </c>
    </row>
    <row r="8555" spans="1:17" x14ac:dyDescent="0.3">
      <c r="A8555" s="34">
        <f>base!J8555</f>
        <v>0</v>
      </c>
      <c r="B8555" s="34">
        <f>base!V8555</f>
        <v>0</v>
      </c>
      <c r="C8555" s="40" t="s">
        <v>11</v>
      </c>
      <c r="D8555" s="36">
        <f>base!H8555</f>
        <v>0</v>
      </c>
      <c r="E8555" s="44"/>
      <c r="F8555" s="16">
        <f>base!W8555</f>
        <v>0</v>
      </c>
      <c r="G8555" s="11" t="e">
        <f t="shared" si="1325"/>
        <v>#DIV/0!</v>
      </c>
      <c r="H8555" s="11" t="e">
        <f t="shared" si="1326"/>
        <v>#N/A</v>
      </c>
      <c r="I8555" s="11" t="e">
        <f t="shared" si="1327"/>
        <v>#N/A</v>
      </c>
      <c r="J8555" s="12" t="e">
        <f t="shared" si="1328"/>
        <v>#N/A</v>
      </c>
      <c r="K8555" s="17" t="e">
        <f t="shared" si="1332"/>
        <v>#N/A</v>
      </c>
      <c r="L8555" s="16">
        <f>base!X8555</f>
        <v>0</v>
      </c>
      <c r="M8555" s="11" t="e">
        <f t="shared" si="1329"/>
        <v>#DIV/0!</v>
      </c>
      <c r="N8555" s="11"/>
      <c r="O8555" s="11" t="e">
        <f t="shared" si="1330"/>
        <v>#DIV/0!</v>
      </c>
      <c r="P8555" s="12">
        <f t="shared" si="1331"/>
        <v>0</v>
      </c>
      <c r="Q8555" s="17" t="str">
        <f t="shared" si="1333"/>
        <v>Pas d'écart</v>
      </c>
    </row>
    <row r="8556" spans="1:17" x14ac:dyDescent="0.3">
      <c r="A8556" s="34">
        <f>base!J8556</f>
        <v>0</v>
      </c>
      <c r="B8556" s="34">
        <f>base!V8556</f>
        <v>0</v>
      </c>
      <c r="C8556" s="40" t="s">
        <v>11</v>
      </c>
      <c r="D8556" s="36">
        <f>base!H8556</f>
        <v>0</v>
      </c>
      <c r="E8556" s="44"/>
      <c r="F8556" s="16">
        <f>base!W8556</f>
        <v>0</v>
      </c>
      <c r="G8556" s="11" t="e">
        <f t="shared" si="1325"/>
        <v>#DIV/0!</v>
      </c>
      <c r="H8556" s="11" t="e">
        <f t="shared" si="1326"/>
        <v>#N/A</v>
      </c>
      <c r="I8556" s="11" t="e">
        <f t="shared" si="1327"/>
        <v>#N/A</v>
      </c>
      <c r="J8556" s="12" t="e">
        <f t="shared" si="1328"/>
        <v>#N/A</v>
      </c>
      <c r="K8556" s="17" t="e">
        <f t="shared" si="1332"/>
        <v>#N/A</v>
      </c>
      <c r="L8556" s="16">
        <f>base!X8556</f>
        <v>0</v>
      </c>
      <c r="M8556" s="11" t="e">
        <f t="shared" si="1329"/>
        <v>#DIV/0!</v>
      </c>
      <c r="N8556" s="11"/>
      <c r="O8556" s="11" t="e">
        <f t="shared" si="1330"/>
        <v>#DIV/0!</v>
      </c>
      <c r="P8556" s="12">
        <f t="shared" si="1331"/>
        <v>0</v>
      </c>
      <c r="Q8556" s="17" t="str">
        <f t="shared" si="1333"/>
        <v>Pas d'écart</v>
      </c>
    </row>
    <row r="8557" spans="1:17" x14ac:dyDescent="0.3">
      <c r="A8557" s="34">
        <f>base!J8557</f>
        <v>0</v>
      </c>
      <c r="B8557" s="34">
        <f>base!V8557</f>
        <v>0</v>
      </c>
      <c r="C8557" s="40" t="s">
        <v>11</v>
      </c>
      <c r="D8557" s="36">
        <f>base!H8557</f>
        <v>0</v>
      </c>
      <c r="E8557" s="44"/>
      <c r="F8557" s="16">
        <f>base!W8557</f>
        <v>0</v>
      </c>
      <c r="G8557" s="11" t="e">
        <f t="shared" si="1325"/>
        <v>#DIV/0!</v>
      </c>
      <c r="H8557" s="11" t="e">
        <f t="shared" si="1326"/>
        <v>#N/A</v>
      </c>
      <c r="I8557" s="11" t="e">
        <f t="shared" si="1327"/>
        <v>#N/A</v>
      </c>
      <c r="J8557" s="12" t="e">
        <f t="shared" si="1328"/>
        <v>#N/A</v>
      </c>
      <c r="K8557" s="17" t="e">
        <f t="shared" si="1332"/>
        <v>#N/A</v>
      </c>
      <c r="L8557" s="16">
        <f>base!X8557</f>
        <v>0</v>
      </c>
      <c r="M8557" s="11" t="e">
        <f t="shared" si="1329"/>
        <v>#DIV/0!</v>
      </c>
      <c r="N8557" s="11"/>
      <c r="O8557" s="11" t="e">
        <f t="shared" si="1330"/>
        <v>#DIV/0!</v>
      </c>
      <c r="P8557" s="12">
        <f t="shared" si="1331"/>
        <v>0</v>
      </c>
      <c r="Q8557" s="17" t="str">
        <f t="shared" si="1333"/>
        <v>Pas d'écart</v>
      </c>
    </row>
    <row r="8558" spans="1:17" x14ac:dyDescent="0.3">
      <c r="A8558" s="34">
        <f>base!J8558</f>
        <v>0</v>
      </c>
      <c r="B8558" s="34">
        <f>base!V8558</f>
        <v>0</v>
      </c>
      <c r="C8558" s="40" t="s">
        <v>11</v>
      </c>
      <c r="D8558" s="36">
        <f>base!H8558</f>
        <v>0</v>
      </c>
      <c r="E8558" s="44"/>
      <c r="F8558" s="16">
        <f>base!W8558</f>
        <v>0</v>
      </c>
      <c r="G8558" s="11" t="e">
        <f t="shared" si="1325"/>
        <v>#DIV/0!</v>
      </c>
      <c r="H8558" s="11" t="e">
        <f t="shared" si="1326"/>
        <v>#N/A</v>
      </c>
      <c r="I8558" s="11" t="e">
        <f t="shared" si="1327"/>
        <v>#N/A</v>
      </c>
      <c r="J8558" s="12" t="e">
        <f t="shared" si="1328"/>
        <v>#N/A</v>
      </c>
      <c r="K8558" s="17" t="e">
        <f t="shared" si="1332"/>
        <v>#N/A</v>
      </c>
      <c r="L8558" s="16">
        <f>base!X8558</f>
        <v>0</v>
      </c>
      <c r="M8558" s="11" t="e">
        <f t="shared" si="1329"/>
        <v>#DIV/0!</v>
      </c>
      <c r="N8558" s="11"/>
      <c r="O8558" s="11" t="e">
        <f t="shared" si="1330"/>
        <v>#DIV/0!</v>
      </c>
      <c r="P8558" s="12">
        <f t="shared" si="1331"/>
        <v>0</v>
      </c>
      <c r="Q8558" s="17" t="str">
        <f t="shared" si="1333"/>
        <v>Pas d'écart</v>
      </c>
    </row>
    <row r="8559" spans="1:17" x14ac:dyDescent="0.3">
      <c r="A8559" s="34">
        <f>base!J8559</f>
        <v>0</v>
      </c>
      <c r="B8559" s="34">
        <f>base!V8559</f>
        <v>0</v>
      </c>
      <c r="C8559" s="40" t="s">
        <v>11</v>
      </c>
      <c r="D8559" s="36">
        <f>base!H8559</f>
        <v>0</v>
      </c>
      <c r="E8559" s="44"/>
      <c r="F8559" s="16">
        <f>base!W8559</f>
        <v>0</v>
      </c>
      <c r="G8559" s="11" t="e">
        <f t="shared" si="1325"/>
        <v>#DIV/0!</v>
      </c>
      <c r="H8559" s="11" t="e">
        <f t="shared" si="1326"/>
        <v>#N/A</v>
      </c>
      <c r="I8559" s="11" t="e">
        <f t="shared" si="1327"/>
        <v>#N/A</v>
      </c>
      <c r="J8559" s="12" t="e">
        <f t="shared" si="1328"/>
        <v>#N/A</v>
      </c>
      <c r="K8559" s="17" t="e">
        <f t="shared" si="1332"/>
        <v>#N/A</v>
      </c>
      <c r="L8559" s="16">
        <f>base!X8559</f>
        <v>0</v>
      </c>
      <c r="M8559" s="11" t="e">
        <f t="shared" si="1329"/>
        <v>#DIV/0!</v>
      </c>
      <c r="N8559" s="11"/>
      <c r="O8559" s="11" t="e">
        <f t="shared" si="1330"/>
        <v>#DIV/0!</v>
      </c>
      <c r="P8559" s="12">
        <f t="shared" si="1331"/>
        <v>0</v>
      </c>
      <c r="Q8559" s="17" t="str">
        <f t="shared" si="1333"/>
        <v>Pas d'écart</v>
      </c>
    </row>
    <row r="8560" spans="1:17" x14ac:dyDescent="0.3">
      <c r="A8560" s="34">
        <f>base!J8560</f>
        <v>0</v>
      </c>
      <c r="B8560" s="34">
        <f>base!V8560</f>
        <v>0</v>
      </c>
      <c r="C8560" s="40" t="s">
        <v>11</v>
      </c>
      <c r="D8560" s="36">
        <f>base!H8560</f>
        <v>0</v>
      </c>
      <c r="E8560" s="44"/>
      <c r="F8560" s="16">
        <f>base!W8560</f>
        <v>0</v>
      </c>
      <c r="G8560" s="11" t="e">
        <f t="shared" si="1325"/>
        <v>#DIV/0!</v>
      </c>
      <c r="H8560" s="11" t="e">
        <f t="shared" si="1326"/>
        <v>#N/A</v>
      </c>
      <c r="I8560" s="11" t="e">
        <f t="shared" si="1327"/>
        <v>#N/A</v>
      </c>
      <c r="J8560" s="12" t="e">
        <f t="shared" si="1328"/>
        <v>#N/A</v>
      </c>
      <c r="K8560" s="17" t="e">
        <f t="shared" si="1332"/>
        <v>#N/A</v>
      </c>
      <c r="L8560" s="16">
        <f>base!X8560</f>
        <v>0</v>
      </c>
      <c r="M8560" s="11" t="e">
        <f t="shared" si="1329"/>
        <v>#DIV/0!</v>
      </c>
      <c r="N8560" s="11"/>
      <c r="O8560" s="11" t="e">
        <f t="shared" si="1330"/>
        <v>#DIV/0!</v>
      </c>
      <c r="P8560" s="12">
        <f t="shared" si="1331"/>
        <v>0</v>
      </c>
      <c r="Q8560" s="17" t="str">
        <f t="shared" si="1333"/>
        <v>Pas d'écart</v>
      </c>
    </row>
    <row r="8561" spans="1:17" x14ac:dyDescent="0.3">
      <c r="A8561" s="34">
        <f>base!J8561</f>
        <v>0</v>
      </c>
      <c r="B8561" s="34">
        <f>base!V8561</f>
        <v>0</v>
      </c>
      <c r="C8561" s="40" t="s">
        <v>11</v>
      </c>
      <c r="D8561" s="36">
        <f>base!H8561</f>
        <v>0</v>
      </c>
      <c r="E8561" s="44"/>
      <c r="F8561" s="16">
        <f>base!W8561</f>
        <v>0</v>
      </c>
      <c r="G8561" s="11" t="e">
        <f t="shared" si="1325"/>
        <v>#DIV/0!</v>
      </c>
      <c r="H8561" s="11" t="e">
        <f t="shared" si="1326"/>
        <v>#N/A</v>
      </c>
      <c r="I8561" s="11" t="e">
        <f t="shared" si="1327"/>
        <v>#N/A</v>
      </c>
      <c r="J8561" s="12" t="e">
        <f t="shared" si="1328"/>
        <v>#N/A</v>
      </c>
      <c r="K8561" s="17" t="e">
        <f t="shared" si="1332"/>
        <v>#N/A</v>
      </c>
      <c r="L8561" s="16">
        <f>base!X8561</f>
        <v>0</v>
      </c>
      <c r="M8561" s="11" t="e">
        <f t="shared" si="1329"/>
        <v>#DIV/0!</v>
      </c>
      <c r="N8561" s="11"/>
      <c r="O8561" s="11" t="e">
        <f t="shared" si="1330"/>
        <v>#DIV/0!</v>
      </c>
      <c r="P8561" s="12">
        <f t="shared" si="1331"/>
        <v>0</v>
      </c>
      <c r="Q8561" s="17" t="str">
        <f t="shared" si="1333"/>
        <v>Pas d'écart</v>
      </c>
    </row>
    <row r="8562" spans="1:17" x14ac:dyDescent="0.3">
      <c r="A8562" s="34">
        <f>base!J8562</f>
        <v>0</v>
      </c>
      <c r="B8562" s="34">
        <f>base!V8562</f>
        <v>0</v>
      </c>
      <c r="C8562" s="40" t="s">
        <v>11</v>
      </c>
      <c r="D8562" s="36">
        <f>base!H8562</f>
        <v>0</v>
      </c>
      <c r="E8562" s="44"/>
      <c r="F8562" s="16">
        <f>base!W8562</f>
        <v>0</v>
      </c>
      <c r="G8562" s="11" t="e">
        <f t="shared" si="1325"/>
        <v>#DIV/0!</v>
      </c>
      <c r="H8562" s="11" t="e">
        <f t="shared" si="1326"/>
        <v>#N/A</v>
      </c>
      <c r="I8562" s="11" t="e">
        <f t="shared" si="1327"/>
        <v>#N/A</v>
      </c>
      <c r="J8562" s="12" t="e">
        <f t="shared" si="1328"/>
        <v>#N/A</v>
      </c>
      <c r="K8562" s="17" t="e">
        <f t="shared" si="1332"/>
        <v>#N/A</v>
      </c>
      <c r="L8562" s="16">
        <f>base!X8562</f>
        <v>0</v>
      </c>
      <c r="M8562" s="11" t="e">
        <f t="shared" si="1329"/>
        <v>#DIV/0!</v>
      </c>
      <c r="N8562" s="11"/>
      <c r="O8562" s="11" t="e">
        <f t="shared" si="1330"/>
        <v>#DIV/0!</v>
      </c>
      <c r="P8562" s="12">
        <f t="shared" si="1331"/>
        <v>0</v>
      </c>
      <c r="Q8562" s="17" t="str">
        <f t="shared" si="1333"/>
        <v>Pas d'écart</v>
      </c>
    </row>
    <row r="8563" spans="1:17" x14ac:dyDescent="0.3">
      <c r="A8563" s="34">
        <f>base!J8563</f>
        <v>0</v>
      </c>
      <c r="B8563" s="34">
        <f>base!V8563</f>
        <v>0</v>
      </c>
      <c r="C8563" s="40" t="s">
        <v>11</v>
      </c>
      <c r="D8563" s="36">
        <f>base!H8563</f>
        <v>0</v>
      </c>
      <c r="E8563" s="44"/>
      <c r="F8563" s="16">
        <f>base!W8563</f>
        <v>0</v>
      </c>
      <c r="G8563" s="11" t="e">
        <f t="shared" si="1325"/>
        <v>#DIV/0!</v>
      </c>
      <c r="H8563" s="11" t="e">
        <f t="shared" si="1326"/>
        <v>#N/A</v>
      </c>
      <c r="I8563" s="11" t="e">
        <f t="shared" si="1327"/>
        <v>#N/A</v>
      </c>
      <c r="J8563" s="12" t="e">
        <f t="shared" si="1328"/>
        <v>#N/A</v>
      </c>
      <c r="K8563" s="17" t="e">
        <f t="shared" si="1332"/>
        <v>#N/A</v>
      </c>
      <c r="L8563" s="16">
        <f>base!X8563</f>
        <v>0</v>
      </c>
      <c r="M8563" s="11" t="e">
        <f t="shared" si="1329"/>
        <v>#DIV/0!</v>
      </c>
      <c r="N8563" s="11"/>
      <c r="O8563" s="11" t="e">
        <f t="shared" si="1330"/>
        <v>#DIV/0!</v>
      </c>
      <c r="P8563" s="12">
        <f t="shared" si="1331"/>
        <v>0</v>
      </c>
      <c r="Q8563" s="17" t="str">
        <f t="shared" si="1333"/>
        <v>Pas d'écart</v>
      </c>
    </row>
    <row r="8564" spans="1:17" x14ac:dyDescent="0.3">
      <c r="A8564" s="34">
        <f>base!J8564</f>
        <v>0</v>
      </c>
      <c r="B8564" s="34">
        <f>base!V8564</f>
        <v>0</v>
      </c>
      <c r="C8564" s="40" t="s">
        <v>11</v>
      </c>
      <c r="D8564" s="36">
        <f>base!H8564</f>
        <v>0</v>
      </c>
      <c r="E8564" s="44"/>
      <c r="F8564" s="16">
        <f>base!W8564</f>
        <v>0</v>
      </c>
      <c r="G8564" s="11" t="e">
        <f t="shared" si="1325"/>
        <v>#DIV/0!</v>
      </c>
      <c r="H8564" s="11" t="e">
        <f t="shared" si="1326"/>
        <v>#N/A</v>
      </c>
      <c r="I8564" s="11" t="e">
        <f t="shared" si="1327"/>
        <v>#N/A</v>
      </c>
      <c r="J8564" s="12" t="e">
        <f t="shared" si="1328"/>
        <v>#N/A</v>
      </c>
      <c r="K8564" s="17" t="e">
        <f t="shared" si="1332"/>
        <v>#N/A</v>
      </c>
      <c r="L8564" s="16">
        <f>base!X8564</f>
        <v>0</v>
      </c>
      <c r="M8564" s="11" t="e">
        <f t="shared" si="1329"/>
        <v>#DIV/0!</v>
      </c>
      <c r="N8564" s="11"/>
      <c r="O8564" s="11" t="e">
        <f t="shared" si="1330"/>
        <v>#DIV/0!</v>
      </c>
      <c r="P8564" s="12">
        <f t="shared" si="1331"/>
        <v>0</v>
      </c>
      <c r="Q8564" s="17" t="str">
        <f t="shared" si="1333"/>
        <v>Pas d'écart</v>
      </c>
    </row>
    <row r="8565" spans="1:17" x14ac:dyDescent="0.3">
      <c r="A8565" s="34">
        <f>base!J8565</f>
        <v>0</v>
      </c>
      <c r="B8565" s="34">
        <f>base!V8565</f>
        <v>0</v>
      </c>
      <c r="C8565" s="40" t="s">
        <v>11</v>
      </c>
      <c r="D8565" s="36">
        <f>base!H8565</f>
        <v>0</v>
      </c>
      <c r="E8565" s="44"/>
      <c r="F8565" s="16">
        <f>base!W8565</f>
        <v>0</v>
      </c>
      <c r="G8565" s="11" t="e">
        <f t="shared" si="1325"/>
        <v>#DIV/0!</v>
      </c>
      <c r="H8565" s="11" t="e">
        <f t="shared" si="1326"/>
        <v>#N/A</v>
      </c>
      <c r="I8565" s="11" t="e">
        <f t="shared" si="1327"/>
        <v>#N/A</v>
      </c>
      <c r="J8565" s="12" t="e">
        <f t="shared" si="1328"/>
        <v>#N/A</v>
      </c>
      <c r="K8565" s="17" t="e">
        <f t="shared" si="1332"/>
        <v>#N/A</v>
      </c>
      <c r="L8565" s="16">
        <f>base!X8565</f>
        <v>0</v>
      </c>
      <c r="M8565" s="11" t="e">
        <f t="shared" si="1329"/>
        <v>#DIV/0!</v>
      </c>
      <c r="N8565" s="11"/>
      <c r="O8565" s="11" t="e">
        <f t="shared" si="1330"/>
        <v>#DIV/0!</v>
      </c>
      <c r="P8565" s="12">
        <f t="shared" si="1331"/>
        <v>0</v>
      </c>
      <c r="Q8565" s="17" t="str">
        <f t="shared" si="1333"/>
        <v>Pas d'écart</v>
      </c>
    </row>
    <row r="8566" spans="1:17" x14ac:dyDescent="0.3">
      <c r="A8566" s="34">
        <f>base!J8566</f>
        <v>0</v>
      </c>
      <c r="B8566" s="34">
        <f>base!V8566</f>
        <v>0</v>
      </c>
      <c r="C8566" s="40" t="s">
        <v>11</v>
      </c>
      <c r="D8566" s="36">
        <f>base!H8566</f>
        <v>0</v>
      </c>
      <c r="E8566" s="44"/>
      <c r="F8566" s="16">
        <f>base!W8566</f>
        <v>0</v>
      </c>
      <c r="G8566" s="11" t="e">
        <f t="shared" si="1325"/>
        <v>#DIV/0!</v>
      </c>
      <c r="H8566" s="11" t="e">
        <f t="shared" si="1326"/>
        <v>#N/A</v>
      </c>
      <c r="I8566" s="11" t="e">
        <f t="shared" si="1327"/>
        <v>#N/A</v>
      </c>
      <c r="J8566" s="12" t="e">
        <f t="shared" si="1328"/>
        <v>#N/A</v>
      </c>
      <c r="K8566" s="17" t="e">
        <f t="shared" si="1332"/>
        <v>#N/A</v>
      </c>
      <c r="L8566" s="16">
        <f>base!X8566</f>
        <v>0</v>
      </c>
      <c r="M8566" s="11" t="e">
        <f t="shared" si="1329"/>
        <v>#DIV/0!</v>
      </c>
      <c r="N8566" s="11"/>
      <c r="O8566" s="11" t="e">
        <f t="shared" si="1330"/>
        <v>#DIV/0!</v>
      </c>
      <c r="P8566" s="12">
        <f t="shared" si="1331"/>
        <v>0</v>
      </c>
      <c r="Q8566" s="17" t="str">
        <f t="shared" si="1333"/>
        <v>Pas d'écart</v>
      </c>
    </row>
    <row r="8567" spans="1:17" x14ac:dyDescent="0.3">
      <c r="A8567" s="34">
        <f>base!J8567</f>
        <v>0</v>
      </c>
      <c r="B8567" s="34">
        <f>base!V8567</f>
        <v>0</v>
      </c>
      <c r="C8567" s="40" t="s">
        <v>11</v>
      </c>
      <c r="D8567" s="36">
        <f>base!H8567</f>
        <v>0</v>
      </c>
      <c r="E8567" s="44"/>
      <c r="F8567" s="16">
        <f>base!W8567</f>
        <v>0</v>
      </c>
      <c r="G8567" s="11" t="e">
        <f t="shared" si="1325"/>
        <v>#DIV/0!</v>
      </c>
      <c r="H8567" s="11" t="e">
        <f t="shared" si="1326"/>
        <v>#N/A</v>
      </c>
      <c r="I8567" s="11" t="e">
        <f t="shared" si="1327"/>
        <v>#N/A</v>
      </c>
      <c r="J8567" s="12" t="e">
        <f t="shared" si="1328"/>
        <v>#N/A</v>
      </c>
      <c r="K8567" s="17" t="e">
        <f t="shared" si="1332"/>
        <v>#N/A</v>
      </c>
      <c r="L8567" s="16">
        <f>base!X8567</f>
        <v>0</v>
      </c>
      <c r="M8567" s="11" t="e">
        <f t="shared" si="1329"/>
        <v>#DIV/0!</v>
      </c>
      <c r="N8567" s="11"/>
      <c r="O8567" s="11" t="e">
        <f t="shared" si="1330"/>
        <v>#DIV/0!</v>
      </c>
      <c r="P8567" s="12">
        <f t="shared" si="1331"/>
        <v>0</v>
      </c>
      <c r="Q8567" s="17" t="str">
        <f t="shared" si="1333"/>
        <v>Pas d'écart</v>
      </c>
    </row>
    <row r="8568" spans="1:17" x14ac:dyDescent="0.3">
      <c r="A8568" s="34">
        <f>base!J8568</f>
        <v>0</v>
      </c>
      <c r="B8568" s="34">
        <f>base!V8568</f>
        <v>0</v>
      </c>
      <c r="C8568" s="40" t="s">
        <v>11</v>
      </c>
      <c r="D8568" s="36">
        <f>base!H8568</f>
        <v>0</v>
      </c>
      <c r="E8568" s="44"/>
      <c r="F8568" s="16">
        <f>base!W8568</f>
        <v>0</v>
      </c>
      <c r="G8568" s="11" t="e">
        <f t="shared" si="1325"/>
        <v>#DIV/0!</v>
      </c>
      <c r="H8568" s="11" t="e">
        <f t="shared" si="1326"/>
        <v>#N/A</v>
      </c>
      <c r="I8568" s="11" t="e">
        <f t="shared" si="1327"/>
        <v>#N/A</v>
      </c>
      <c r="J8568" s="12" t="e">
        <f t="shared" si="1328"/>
        <v>#N/A</v>
      </c>
      <c r="K8568" s="17" t="e">
        <f t="shared" si="1332"/>
        <v>#N/A</v>
      </c>
      <c r="L8568" s="16">
        <f>base!X8568</f>
        <v>0</v>
      </c>
      <c r="M8568" s="11" t="e">
        <f t="shared" si="1329"/>
        <v>#DIV/0!</v>
      </c>
      <c r="N8568" s="11"/>
      <c r="O8568" s="11" t="e">
        <f t="shared" si="1330"/>
        <v>#DIV/0!</v>
      </c>
      <c r="P8568" s="12">
        <f t="shared" si="1331"/>
        <v>0</v>
      </c>
      <c r="Q8568" s="17" t="str">
        <f t="shared" si="1333"/>
        <v>Pas d'écart</v>
      </c>
    </row>
    <row r="8569" spans="1:17" x14ac:dyDescent="0.3">
      <c r="A8569" s="34">
        <f>base!J8569</f>
        <v>0</v>
      </c>
      <c r="B8569" s="34">
        <f>base!V8569</f>
        <v>0</v>
      </c>
      <c r="C8569" s="40" t="s">
        <v>11</v>
      </c>
      <c r="D8569" s="36">
        <f>base!H8569</f>
        <v>0</v>
      </c>
      <c r="E8569" s="44"/>
      <c r="F8569" s="16">
        <f>base!W8569</f>
        <v>0</v>
      </c>
      <c r="G8569" s="11" t="e">
        <f t="shared" si="1325"/>
        <v>#DIV/0!</v>
      </c>
      <c r="H8569" s="11" t="e">
        <f t="shared" si="1326"/>
        <v>#N/A</v>
      </c>
      <c r="I8569" s="11" t="e">
        <f t="shared" si="1327"/>
        <v>#N/A</v>
      </c>
      <c r="J8569" s="12" t="e">
        <f t="shared" si="1328"/>
        <v>#N/A</v>
      </c>
      <c r="K8569" s="17" t="e">
        <f t="shared" si="1332"/>
        <v>#N/A</v>
      </c>
      <c r="L8569" s="16">
        <f>base!X8569</f>
        <v>0</v>
      </c>
      <c r="M8569" s="11" t="e">
        <f t="shared" si="1329"/>
        <v>#DIV/0!</v>
      </c>
      <c r="N8569" s="11"/>
      <c r="O8569" s="11" t="e">
        <f t="shared" si="1330"/>
        <v>#DIV/0!</v>
      </c>
      <c r="P8569" s="12">
        <f t="shared" si="1331"/>
        <v>0</v>
      </c>
      <c r="Q8569" s="17" t="str">
        <f t="shared" si="1333"/>
        <v>Pas d'écart</v>
      </c>
    </row>
    <row r="8570" spans="1:17" x14ac:dyDescent="0.3">
      <c r="A8570" s="34">
        <f>base!J8570</f>
        <v>0</v>
      </c>
      <c r="B8570" s="34">
        <f>base!V8570</f>
        <v>0</v>
      </c>
      <c r="C8570" s="40" t="s">
        <v>11</v>
      </c>
      <c r="D8570" s="36">
        <f>base!H8570</f>
        <v>0</v>
      </c>
      <c r="E8570" s="44"/>
      <c r="F8570" s="16">
        <f>base!W8570</f>
        <v>0</v>
      </c>
      <c r="G8570" s="11" t="e">
        <f t="shared" si="1325"/>
        <v>#DIV/0!</v>
      </c>
      <c r="H8570" s="11" t="e">
        <f t="shared" si="1326"/>
        <v>#N/A</v>
      </c>
      <c r="I8570" s="11" t="e">
        <f t="shared" si="1327"/>
        <v>#N/A</v>
      </c>
      <c r="J8570" s="12" t="e">
        <f t="shared" si="1328"/>
        <v>#N/A</v>
      </c>
      <c r="K8570" s="17" t="e">
        <f t="shared" si="1332"/>
        <v>#N/A</v>
      </c>
      <c r="L8570" s="16">
        <f>base!X8570</f>
        <v>0</v>
      </c>
      <c r="M8570" s="11" t="e">
        <f t="shared" si="1329"/>
        <v>#DIV/0!</v>
      </c>
      <c r="N8570" s="11"/>
      <c r="O8570" s="11" t="e">
        <f t="shared" si="1330"/>
        <v>#DIV/0!</v>
      </c>
      <c r="P8570" s="12">
        <f t="shared" si="1331"/>
        <v>0</v>
      </c>
      <c r="Q8570" s="17" t="str">
        <f t="shared" si="1333"/>
        <v>Pas d'écart</v>
      </c>
    </row>
    <row r="8571" spans="1:17" x14ac:dyDescent="0.3">
      <c r="A8571" s="34">
        <f>base!J8571</f>
        <v>0</v>
      </c>
      <c r="B8571" s="34">
        <f>base!V8571</f>
        <v>0</v>
      </c>
      <c r="C8571" s="40" t="s">
        <v>11</v>
      </c>
      <c r="D8571" s="36">
        <f>base!H8571</f>
        <v>0</v>
      </c>
      <c r="E8571" s="44"/>
      <c r="F8571" s="16">
        <f>base!W8571</f>
        <v>0</v>
      </c>
      <c r="G8571" s="11" t="e">
        <f t="shared" si="1325"/>
        <v>#DIV/0!</v>
      </c>
      <c r="H8571" s="11" t="e">
        <f t="shared" si="1326"/>
        <v>#N/A</v>
      </c>
      <c r="I8571" s="11" t="e">
        <f t="shared" si="1327"/>
        <v>#N/A</v>
      </c>
      <c r="J8571" s="12" t="e">
        <f t="shared" si="1328"/>
        <v>#N/A</v>
      </c>
      <c r="K8571" s="17" t="e">
        <f t="shared" si="1332"/>
        <v>#N/A</v>
      </c>
      <c r="L8571" s="16">
        <f>base!X8571</f>
        <v>0</v>
      </c>
      <c r="M8571" s="11" t="e">
        <f t="shared" si="1329"/>
        <v>#DIV/0!</v>
      </c>
      <c r="N8571" s="11"/>
      <c r="O8571" s="11" t="e">
        <f t="shared" si="1330"/>
        <v>#DIV/0!</v>
      </c>
      <c r="P8571" s="12">
        <f t="shared" si="1331"/>
        <v>0</v>
      </c>
      <c r="Q8571" s="17" t="str">
        <f t="shared" si="1333"/>
        <v>Pas d'écart</v>
      </c>
    </row>
    <row r="8572" spans="1:17" x14ac:dyDescent="0.3">
      <c r="A8572" s="34">
        <f>base!J8572</f>
        <v>0</v>
      </c>
      <c r="B8572" s="34">
        <f>base!V8572</f>
        <v>0</v>
      </c>
      <c r="C8572" s="40" t="s">
        <v>11</v>
      </c>
      <c r="D8572" s="36">
        <f>base!H8572</f>
        <v>0</v>
      </c>
      <c r="E8572" s="44"/>
      <c r="F8572" s="16">
        <f>base!W8572</f>
        <v>0</v>
      </c>
      <c r="G8572" s="11" t="e">
        <f t="shared" si="1325"/>
        <v>#DIV/0!</v>
      </c>
      <c r="H8572" s="11" t="e">
        <f t="shared" si="1326"/>
        <v>#N/A</v>
      </c>
      <c r="I8572" s="11" t="e">
        <f t="shared" si="1327"/>
        <v>#N/A</v>
      </c>
      <c r="J8572" s="12" t="e">
        <f t="shared" si="1328"/>
        <v>#N/A</v>
      </c>
      <c r="K8572" s="17" t="e">
        <f t="shared" si="1332"/>
        <v>#N/A</v>
      </c>
      <c r="L8572" s="16">
        <f>base!X8572</f>
        <v>0</v>
      </c>
      <c r="M8572" s="11" t="e">
        <f t="shared" si="1329"/>
        <v>#DIV/0!</v>
      </c>
      <c r="N8572" s="11"/>
      <c r="O8572" s="11" t="e">
        <f t="shared" si="1330"/>
        <v>#DIV/0!</v>
      </c>
      <c r="P8572" s="12">
        <f t="shared" si="1331"/>
        <v>0</v>
      </c>
      <c r="Q8572" s="17" t="str">
        <f t="shared" si="1333"/>
        <v>Pas d'écart</v>
      </c>
    </row>
    <row r="8573" spans="1:17" x14ac:dyDescent="0.3">
      <c r="A8573" s="34">
        <f>base!J8573</f>
        <v>0</v>
      </c>
      <c r="B8573" s="34">
        <f>base!V8573</f>
        <v>0</v>
      </c>
      <c r="C8573" s="40" t="s">
        <v>11</v>
      </c>
      <c r="D8573" s="36">
        <f>base!H8573</f>
        <v>0</v>
      </c>
      <c r="E8573" s="44"/>
      <c r="F8573" s="16">
        <f>base!W8573</f>
        <v>0</v>
      </c>
      <c r="G8573" s="11" t="e">
        <f t="shared" si="1325"/>
        <v>#DIV/0!</v>
      </c>
      <c r="H8573" s="11" t="e">
        <f t="shared" si="1326"/>
        <v>#N/A</v>
      </c>
      <c r="I8573" s="11" t="e">
        <f t="shared" si="1327"/>
        <v>#N/A</v>
      </c>
      <c r="J8573" s="12" t="e">
        <f t="shared" si="1328"/>
        <v>#N/A</v>
      </c>
      <c r="K8573" s="17" t="e">
        <f t="shared" si="1332"/>
        <v>#N/A</v>
      </c>
      <c r="L8573" s="16">
        <f>base!X8573</f>
        <v>0</v>
      </c>
      <c r="M8573" s="11" t="e">
        <f t="shared" si="1329"/>
        <v>#DIV/0!</v>
      </c>
      <c r="N8573" s="11"/>
      <c r="O8573" s="11" t="e">
        <f t="shared" si="1330"/>
        <v>#DIV/0!</v>
      </c>
      <c r="P8573" s="12">
        <f t="shared" si="1331"/>
        <v>0</v>
      </c>
      <c r="Q8573" s="17" t="str">
        <f t="shared" si="1333"/>
        <v>Pas d'écart</v>
      </c>
    </row>
    <row r="8574" spans="1:17" x14ac:dyDescent="0.3">
      <c r="A8574" s="34">
        <f>base!J8574</f>
        <v>0</v>
      </c>
      <c r="B8574" s="34">
        <f>base!V8574</f>
        <v>0</v>
      </c>
      <c r="C8574" s="40" t="s">
        <v>11</v>
      </c>
      <c r="D8574" s="36">
        <f>base!H8574</f>
        <v>0</v>
      </c>
      <c r="E8574" s="44"/>
      <c r="F8574" s="16">
        <f>base!W8574</f>
        <v>0</v>
      </c>
      <c r="G8574" s="11" t="e">
        <f t="shared" si="1325"/>
        <v>#DIV/0!</v>
      </c>
      <c r="H8574" s="11" t="e">
        <f t="shared" si="1326"/>
        <v>#N/A</v>
      </c>
      <c r="I8574" s="11" t="e">
        <f t="shared" si="1327"/>
        <v>#N/A</v>
      </c>
      <c r="J8574" s="12" t="e">
        <f t="shared" si="1328"/>
        <v>#N/A</v>
      </c>
      <c r="K8574" s="17" t="e">
        <f t="shared" si="1332"/>
        <v>#N/A</v>
      </c>
      <c r="L8574" s="16">
        <f>base!X8574</f>
        <v>0</v>
      </c>
      <c r="M8574" s="11" t="e">
        <f t="shared" si="1329"/>
        <v>#DIV/0!</v>
      </c>
      <c r="N8574" s="11"/>
      <c r="O8574" s="11" t="e">
        <f t="shared" si="1330"/>
        <v>#DIV/0!</v>
      </c>
      <c r="P8574" s="12">
        <f t="shared" si="1331"/>
        <v>0</v>
      </c>
      <c r="Q8574" s="17" t="str">
        <f t="shared" si="1333"/>
        <v>Pas d'écart</v>
      </c>
    </row>
    <row r="8575" spans="1:17" x14ac:dyDescent="0.3">
      <c r="A8575" s="34">
        <f>base!J8575</f>
        <v>0</v>
      </c>
      <c r="B8575" s="34">
        <f>base!V8575</f>
        <v>0</v>
      </c>
      <c r="C8575" s="40" t="s">
        <v>11</v>
      </c>
      <c r="D8575" s="36">
        <f>base!H8575</f>
        <v>0</v>
      </c>
      <c r="E8575" s="44"/>
      <c r="F8575" s="16">
        <f>base!W8575</f>
        <v>0</v>
      </c>
      <c r="G8575" s="11" t="e">
        <f t="shared" si="1325"/>
        <v>#DIV/0!</v>
      </c>
      <c r="H8575" s="11" t="e">
        <f t="shared" si="1326"/>
        <v>#N/A</v>
      </c>
      <c r="I8575" s="11" t="e">
        <f t="shared" si="1327"/>
        <v>#N/A</v>
      </c>
      <c r="J8575" s="12" t="e">
        <f t="shared" si="1328"/>
        <v>#N/A</v>
      </c>
      <c r="K8575" s="17" t="e">
        <f t="shared" si="1332"/>
        <v>#N/A</v>
      </c>
      <c r="L8575" s="16">
        <f>base!X8575</f>
        <v>0</v>
      </c>
      <c r="M8575" s="11" t="e">
        <f t="shared" si="1329"/>
        <v>#DIV/0!</v>
      </c>
      <c r="N8575" s="11"/>
      <c r="O8575" s="11" t="e">
        <f t="shared" si="1330"/>
        <v>#DIV/0!</v>
      </c>
      <c r="P8575" s="12">
        <f t="shared" si="1331"/>
        <v>0</v>
      </c>
      <c r="Q8575" s="17" t="str">
        <f t="shared" si="1333"/>
        <v>Pas d'écart</v>
      </c>
    </row>
    <row r="8576" spans="1:17" x14ac:dyDescent="0.3">
      <c r="A8576" s="34">
        <f>base!J8576</f>
        <v>0</v>
      </c>
      <c r="B8576" s="34">
        <f>base!V8576</f>
        <v>0</v>
      </c>
      <c r="C8576" s="40" t="s">
        <v>11</v>
      </c>
      <c r="D8576" s="36">
        <f>base!H8576</f>
        <v>0</v>
      </c>
      <c r="E8576" s="44"/>
      <c r="F8576" s="16">
        <f>base!W8576</f>
        <v>0</v>
      </c>
      <c r="G8576" s="11" t="e">
        <f t="shared" si="1325"/>
        <v>#DIV/0!</v>
      </c>
      <c r="H8576" s="11" t="e">
        <f t="shared" si="1326"/>
        <v>#N/A</v>
      </c>
      <c r="I8576" s="11" t="e">
        <f t="shared" si="1327"/>
        <v>#N/A</v>
      </c>
      <c r="J8576" s="12" t="e">
        <f t="shared" si="1328"/>
        <v>#N/A</v>
      </c>
      <c r="K8576" s="17" t="e">
        <f t="shared" si="1332"/>
        <v>#N/A</v>
      </c>
      <c r="L8576" s="16">
        <f>base!X8576</f>
        <v>0</v>
      </c>
      <c r="M8576" s="11" t="e">
        <f t="shared" si="1329"/>
        <v>#DIV/0!</v>
      </c>
      <c r="N8576" s="11"/>
      <c r="O8576" s="11" t="e">
        <f t="shared" si="1330"/>
        <v>#DIV/0!</v>
      </c>
      <c r="P8576" s="12">
        <f t="shared" si="1331"/>
        <v>0</v>
      </c>
      <c r="Q8576" s="17" t="str">
        <f t="shared" si="1333"/>
        <v>Pas d'écart</v>
      </c>
    </row>
    <row r="8577" spans="1:17" x14ac:dyDescent="0.3">
      <c r="A8577" s="34">
        <f>base!J8577</f>
        <v>0</v>
      </c>
      <c r="B8577" s="34">
        <f>base!V8577</f>
        <v>0</v>
      </c>
      <c r="C8577" s="40" t="s">
        <v>11</v>
      </c>
      <c r="D8577" s="36">
        <f>base!H8577</f>
        <v>0</v>
      </c>
      <c r="E8577" s="44"/>
      <c r="F8577" s="16">
        <f>base!W8577</f>
        <v>0</v>
      </c>
      <c r="G8577" s="11" t="e">
        <f t="shared" si="1325"/>
        <v>#DIV/0!</v>
      </c>
      <c r="H8577" s="11" t="e">
        <f t="shared" si="1326"/>
        <v>#N/A</v>
      </c>
      <c r="I8577" s="11" t="e">
        <f t="shared" si="1327"/>
        <v>#N/A</v>
      </c>
      <c r="J8577" s="12" t="e">
        <f t="shared" si="1328"/>
        <v>#N/A</v>
      </c>
      <c r="K8577" s="17" t="e">
        <f t="shared" si="1332"/>
        <v>#N/A</v>
      </c>
      <c r="L8577" s="16">
        <f>base!X8577</f>
        <v>0</v>
      </c>
      <c r="M8577" s="11" t="e">
        <f t="shared" si="1329"/>
        <v>#DIV/0!</v>
      </c>
      <c r="N8577" s="11"/>
      <c r="O8577" s="11" t="e">
        <f t="shared" si="1330"/>
        <v>#DIV/0!</v>
      </c>
      <c r="P8577" s="12">
        <f t="shared" si="1331"/>
        <v>0</v>
      </c>
      <c r="Q8577" s="17" t="str">
        <f t="shared" si="1333"/>
        <v>Pas d'écart</v>
      </c>
    </row>
    <row r="8578" spans="1:17" x14ac:dyDescent="0.3">
      <c r="A8578" s="34">
        <f>base!J8578</f>
        <v>0</v>
      </c>
      <c r="B8578" s="34">
        <f>base!V8578</f>
        <v>0</v>
      </c>
      <c r="C8578" s="40" t="s">
        <v>11</v>
      </c>
      <c r="D8578" s="36">
        <f>base!H8578</f>
        <v>0</v>
      </c>
      <c r="E8578" s="44"/>
      <c r="F8578" s="16">
        <f>base!W8578</f>
        <v>0</v>
      </c>
      <c r="G8578" s="11" t="e">
        <f t="shared" ref="G8578:G8641" si="1334">F8578/D8578</f>
        <v>#DIV/0!</v>
      </c>
      <c r="H8578" s="11" t="e">
        <f t="shared" ref="H8578:H8641" si="1335">VLOOKUP(C8578,tout_cout_traction,2,FALSE)*D8578</f>
        <v>#N/A</v>
      </c>
      <c r="I8578" s="11" t="e">
        <f t="shared" ref="I8578:I8641" si="1336">H8578/D8578</f>
        <v>#N/A</v>
      </c>
      <c r="J8578" s="12" t="e">
        <f t="shared" ref="J8578:J8641" si="1337">F8578-H8578</f>
        <v>#N/A</v>
      </c>
      <c r="K8578" s="17" t="e">
        <f t="shared" si="1332"/>
        <v>#N/A</v>
      </c>
      <c r="L8578" s="16">
        <f>base!X8578</f>
        <v>0</v>
      </c>
      <c r="M8578" s="11" t="e">
        <f t="shared" ref="M8578:M8641" si="1338">L8578/D8578</f>
        <v>#DIV/0!</v>
      </c>
      <c r="N8578" s="11"/>
      <c r="O8578" s="11" t="e">
        <f t="shared" ref="O8578:O8641" si="1339">N8578/D8578</f>
        <v>#DIV/0!</v>
      </c>
      <c r="P8578" s="12">
        <f t="shared" ref="P8578:P8641" si="1340">L8578-N8578</f>
        <v>0</v>
      </c>
      <c r="Q8578" s="17" t="str">
        <f t="shared" si="1333"/>
        <v>Pas d'écart</v>
      </c>
    </row>
    <row r="8579" spans="1:17" x14ac:dyDescent="0.3">
      <c r="A8579" s="34">
        <f>base!J8579</f>
        <v>0</v>
      </c>
      <c r="B8579" s="34">
        <f>base!V8579</f>
        <v>0</v>
      </c>
      <c r="C8579" s="40" t="s">
        <v>11</v>
      </c>
      <c r="D8579" s="36">
        <f>base!H8579</f>
        <v>0</v>
      </c>
      <c r="E8579" s="44"/>
      <c r="F8579" s="16">
        <f>base!W8579</f>
        <v>0</v>
      </c>
      <c r="G8579" s="11" t="e">
        <f t="shared" si="1334"/>
        <v>#DIV/0!</v>
      </c>
      <c r="H8579" s="11" t="e">
        <f t="shared" si="1335"/>
        <v>#N/A</v>
      </c>
      <c r="I8579" s="11" t="e">
        <f t="shared" si="1336"/>
        <v>#N/A</v>
      </c>
      <c r="J8579" s="12" t="e">
        <f t="shared" si="1337"/>
        <v>#N/A</v>
      </c>
      <c r="K8579" s="17" t="e">
        <f t="shared" ref="K8579:K8642" si="1341">IF(H8579=F8579,"Pas d'écart",IF(H8579&lt;F8579,"Ecart positif",IF(H8579&gt;F8579,"Ecart négatif")))</f>
        <v>#N/A</v>
      </c>
      <c r="L8579" s="16">
        <f>base!X8579</f>
        <v>0</v>
      </c>
      <c r="M8579" s="11" t="e">
        <f t="shared" si="1338"/>
        <v>#DIV/0!</v>
      </c>
      <c r="N8579" s="11"/>
      <c r="O8579" s="11" t="e">
        <f t="shared" si="1339"/>
        <v>#DIV/0!</v>
      </c>
      <c r="P8579" s="12">
        <f t="shared" si="1340"/>
        <v>0</v>
      </c>
      <c r="Q8579" s="17" t="str">
        <f t="shared" ref="Q8579:Q8642" si="1342">IF(N8579=L8579,"Pas d'écart",IF(N8579&lt;L8579,"Ecart positif",IF(N8579&gt;L8579,"Ecart négatif")))</f>
        <v>Pas d'écart</v>
      </c>
    </row>
    <row r="8580" spans="1:17" x14ac:dyDescent="0.3">
      <c r="A8580" s="34">
        <f>base!J8580</f>
        <v>0</v>
      </c>
      <c r="B8580" s="34">
        <f>base!V8580</f>
        <v>0</v>
      </c>
      <c r="C8580" s="40" t="s">
        <v>11</v>
      </c>
      <c r="D8580" s="36">
        <f>base!H8580</f>
        <v>0</v>
      </c>
      <c r="E8580" s="44"/>
      <c r="F8580" s="16">
        <f>base!W8580</f>
        <v>0</v>
      </c>
      <c r="G8580" s="11" t="e">
        <f t="shared" si="1334"/>
        <v>#DIV/0!</v>
      </c>
      <c r="H8580" s="11" t="e">
        <f t="shared" si="1335"/>
        <v>#N/A</v>
      </c>
      <c r="I8580" s="11" t="e">
        <f t="shared" si="1336"/>
        <v>#N/A</v>
      </c>
      <c r="J8580" s="12" t="e">
        <f t="shared" si="1337"/>
        <v>#N/A</v>
      </c>
      <c r="K8580" s="17" t="e">
        <f t="shared" si="1341"/>
        <v>#N/A</v>
      </c>
      <c r="L8580" s="16">
        <f>base!X8580</f>
        <v>0</v>
      </c>
      <c r="M8580" s="11" t="e">
        <f t="shared" si="1338"/>
        <v>#DIV/0!</v>
      </c>
      <c r="N8580" s="11"/>
      <c r="O8580" s="11" t="e">
        <f t="shared" si="1339"/>
        <v>#DIV/0!</v>
      </c>
      <c r="P8580" s="12">
        <f t="shared" si="1340"/>
        <v>0</v>
      </c>
      <c r="Q8580" s="17" t="str">
        <f t="shared" si="1342"/>
        <v>Pas d'écart</v>
      </c>
    </row>
    <row r="8581" spans="1:17" x14ac:dyDescent="0.3">
      <c r="A8581" s="34">
        <f>base!J8581</f>
        <v>0</v>
      </c>
      <c r="B8581" s="34">
        <f>base!V8581</f>
        <v>0</v>
      </c>
      <c r="C8581" s="40" t="s">
        <v>11</v>
      </c>
      <c r="D8581" s="36">
        <f>base!H8581</f>
        <v>0</v>
      </c>
      <c r="E8581" s="44"/>
      <c r="F8581" s="16">
        <f>base!W8581</f>
        <v>0</v>
      </c>
      <c r="G8581" s="11" t="e">
        <f t="shared" si="1334"/>
        <v>#DIV/0!</v>
      </c>
      <c r="H8581" s="11" t="e">
        <f t="shared" si="1335"/>
        <v>#N/A</v>
      </c>
      <c r="I8581" s="11" t="e">
        <f t="shared" si="1336"/>
        <v>#N/A</v>
      </c>
      <c r="J8581" s="12" t="e">
        <f t="shared" si="1337"/>
        <v>#N/A</v>
      </c>
      <c r="K8581" s="17" t="e">
        <f t="shared" si="1341"/>
        <v>#N/A</v>
      </c>
      <c r="L8581" s="16">
        <f>base!X8581</f>
        <v>0</v>
      </c>
      <c r="M8581" s="11" t="e">
        <f t="shared" si="1338"/>
        <v>#DIV/0!</v>
      </c>
      <c r="N8581" s="11"/>
      <c r="O8581" s="11" t="e">
        <f t="shared" si="1339"/>
        <v>#DIV/0!</v>
      </c>
      <c r="P8581" s="12">
        <f t="shared" si="1340"/>
        <v>0</v>
      </c>
      <c r="Q8581" s="17" t="str">
        <f t="shared" si="1342"/>
        <v>Pas d'écart</v>
      </c>
    </row>
    <row r="8582" spans="1:17" x14ac:dyDescent="0.3">
      <c r="A8582" s="34">
        <f>base!J8582</f>
        <v>0</v>
      </c>
      <c r="B8582" s="34">
        <f>base!V8582</f>
        <v>0</v>
      </c>
      <c r="C8582" s="40" t="s">
        <v>11</v>
      </c>
      <c r="D8582" s="36">
        <f>base!H8582</f>
        <v>0</v>
      </c>
      <c r="E8582" s="44"/>
      <c r="F8582" s="16">
        <f>base!W8582</f>
        <v>0</v>
      </c>
      <c r="G8582" s="11" t="e">
        <f t="shared" si="1334"/>
        <v>#DIV/0!</v>
      </c>
      <c r="H8582" s="11" t="e">
        <f t="shared" si="1335"/>
        <v>#N/A</v>
      </c>
      <c r="I8582" s="11" t="e">
        <f t="shared" si="1336"/>
        <v>#N/A</v>
      </c>
      <c r="J8582" s="12" t="e">
        <f t="shared" si="1337"/>
        <v>#N/A</v>
      </c>
      <c r="K8582" s="17" t="e">
        <f t="shared" si="1341"/>
        <v>#N/A</v>
      </c>
      <c r="L8582" s="16">
        <f>base!X8582</f>
        <v>0</v>
      </c>
      <c r="M8582" s="11" t="e">
        <f t="shared" si="1338"/>
        <v>#DIV/0!</v>
      </c>
      <c r="N8582" s="11"/>
      <c r="O8582" s="11" t="e">
        <f t="shared" si="1339"/>
        <v>#DIV/0!</v>
      </c>
      <c r="P8582" s="12">
        <f t="shared" si="1340"/>
        <v>0</v>
      </c>
      <c r="Q8582" s="17" t="str">
        <f t="shared" si="1342"/>
        <v>Pas d'écart</v>
      </c>
    </row>
    <row r="8583" spans="1:17" x14ac:dyDescent="0.3">
      <c r="A8583" s="34">
        <f>base!J8583</f>
        <v>0</v>
      </c>
      <c r="B8583" s="34">
        <f>base!V8583</f>
        <v>0</v>
      </c>
      <c r="C8583" s="40" t="s">
        <v>11</v>
      </c>
      <c r="D8583" s="36">
        <f>base!H8583</f>
        <v>0</v>
      </c>
      <c r="E8583" s="44"/>
      <c r="F8583" s="16">
        <f>base!W8583</f>
        <v>0</v>
      </c>
      <c r="G8583" s="11" t="e">
        <f t="shared" si="1334"/>
        <v>#DIV/0!</v>
      </c>
      <c r="H8583" s="11" t="e">
        <f t="shared" si="1335"/>
        <v>#N/A</v>
      </c>
      <c r="I8583" s="11" t="e">
        <f t="shared" si="1336"/>
        <v>#N/A</v>
      </c>
      <c r="J8583" s="12" t="e">
        <f t="shared" si="1337"/>
        <v>#N/A</v>
      </c>
      <c r="K8583" s="17" t="e">
        <f t="shared" si="1341"/>
        <v>#N/A</v>
      </c>
      <c r="L8583" s="16">
        <f>base!X8583</f>
        <v>0</v>
      </c>
      <c r="M8583" s="11" t="e">
        <f t="shared" si="1338"/>
        <v>#DIV/0!</v>
      </c>
      <c r="N8583" s="11"/>
      <c r="O8583" s="11" t="e">
        <f t="shared" si="1339"/>
        <v>#DIV/0!</v>
      </c>
      <c r="P8583" s="12">
        <f t="shared" si="1340"/>
        <v>0</v>
      </c>
      <c r="Q8583" s="17" t="str">
        <f t="shared" si="1342"/>
        <v>Pas d'écart</v>
      </c>
    </row>
    <row r="8584" spans="1:17" x14ac:dyDescent="0.3">
      <c r="A8584" s="34">
        <f>base!J8584</f>
        <v>0</v>
      </c>
      <c r="B8584" s="34">
        <f>base!V8584</f>
        <v>0</v>
      </c>
      <c r="C8584" s="40" t="s">
        <v>11</v>
      </c>
      <c r="D8584" s="36">
        <f>base!H8584</f>
        <v>0</v>
      </c>
      <c r="E8584" s="44"/>
      <c r="F8584" s="16">
        <f>base!W8584</f>
        <v>0</v>
      </c>
      <c r="G8584" s="11" t="e">
        <f t="shared" si="1334"/>
        <v>#DIV/0!</v>
      </c>
      <c r="H8584" s="11" t="e">
        <f t="shared" si="1335"/>
        <v>#N/A</v>
      </c>
      <c r="I8584" s="11" t="e">
        <f t="shared" si="1336"/>
        <v>#N/A</v>
      </c>
      <c r="J8584" s="12" t="e">
        <f t="shared" si="1337"/>
        <v>#N/A</v>
      </c>
      <c r="K8584" s="17" t="e">
        <f t="shared" si="1341"/>
        <v>#N/A</v>
      </c>
      <c r="L8584" s="16">
        <f>base!X8584</f>
        <v>0</v>
      </c>
      <c r="M8584" s="11" t="e">
        <f t="shared" si="1338"/>
        <v>#DIV/0!</v>
      </c>
      <c r="N8584" s="11"/>
      <c r="O8584" s="11" t="e">
        <f t="shared" si="1339"/>
        <v>#DIV/0!</v>
      </c>
      <c r="P8584" s="12">
        <f t="shared" si="1340"/>
        <v>0</v>
      </c>
      <c r="Q8584" s="17" t="str">
        <f t="shared" si="1342"/>
        <v>Pas d'écart</v>
      </c>
    </row>
    <row r="8585" spans="1:17" x14ac:dyDescent="0.3">
      <c r="A8585" s="34">
        <f>base!J8585</f>
        <v>0</v>
      </c>
      <c r="B8585" s="34">
        <f>base!V8585</f>
        <v>0</v>
      </c>
      <c r="C8585" s="40" t="s">
        <v>11</v>
      </c>
      <c r="D8585" s="36">
        <f>base!H8585</f>
        <v>0</v>
      </c>
      <c r="E8585" s="44"/>
      <c r="F8585" s="16">
        <f>base!W8585</f>
        <v>0</v>
      </c>
      <c r="G8585" s="11" t="e">
        <f t="shared" si="1334"/>
        <v>#DIV/0!</v>
      </c>
      <c r="H8585" s="11" t="e">
        <f t="shared" si="1335"/>
        <v>#N/A</v>
      </c>
      <c r="I8585" s="11" t="e">
        <f t="shared" si="1336"/>
        <v>#N/A</v>
      </c>
      <c r="J8585" s="12" t="e">
        <f t="shared" si="1337"/>
        <v>#N/A</v>
      </c>
      <c r="K8585" s="17" t="e">
        <f t="shared" si="1341"/>
        <v>#N/A</v>
      </c>
      <c r="L8585" s="16">
        <f>base!X8585</f>
        <v>0</v>
      </c>
      <c r="M8585" s="11" t="e">
        <f t="shared" si="1338"/>
        <v>#DIV/0!</v>
      </c>
      <c r="N8585" s="11"/>
      <c r="O8585" s="11" t="e">
        <f t="shared" si="1339"/>
        <v>#DIV/0!</v>
      </c>
      <c r="P8585" s="12">
        <f t="shared" si="1340"/>
        <v>0</v>
      </c>
      <c r="Q8585" s="17" t="str">
        <f t="shared" si="1342"/>
        <v>Pas d'écart</v>
      </c>
    </row>
    <row r="8586" spans="1:17" x14ac:dyDescent="0.3">
      <c r="A8586" s="34">
        <f>base!J8586</f>
        <v>0</v>
      </c>
      <c r="B8586" s="34">
        <f>base!V8586</f>
        <v>0</v>
      </c>
      <c r="C8586" s="40" t="s">
        <v>11</v>
      </c>
      <c r="D8586" s="36">
        <f>base!H8586</f>
        <v>0</v>
      </c>
      <c r="E8586" s="44"/>
      <c r="F8586" s="16">
        <f>base!W8586</f>
        <v>0</v>
      </c>
      <c r="G8586" s="11" t="e">
        <f t="shared" si="1334"/>
        <v>#DIV/0!</v>
      </c>
      <c r="H8586" s="11" t="e">
        <f t="shared" si="1335"/>
        <v>#N/A</v>
      </c>
      <c r="I8586" s="11" t="e">
        <f t="shared" si="1336"/>
        <v>#N/A</v>
      </c>
      <c r="J8586" s="12" t="e">
        <f t="shared" si="1337"/>
        <v>#N/A</v>
      </c>
      <c r="K8586" s="17" t="e">
        <f t="shared" si="1341"/>
        <v>#N/A</v>
      </c>
      <c r="L8586" s="16">
        <f>base!X8586</f>
        <v>0</v>
      </c>
      <c r="M8586" s="11" t="e">
        <f t="shared" si="1338"/>
        <v>#DIV/0!</v>
      </c>
      <c r="N8586" s="11"/>
      <c r="O8586" s="11" t="e">
        <f t="shared" si="1339"/>
        <v>#DIV/0!</v>
      </c>
      <c r="P8586" s="12">
        <f t="shared" si="1340"/>
        <v>0</v>
      </c>
      <c r="Q8586" s="17" t="str">
        <f t="shared" si="1342"/>
        <v>Pas d'écart</v>
      </c>
    </row>
    <row r="8587" spans="1:17" x14ac:dyDescent="0.3">
      <c r="A8587" s="34">
        <f>base!J8587</f>
        <v>0</v>
      </c>
      <c r="B8587" s="34">
        <f>base!V8587</f>
        <v>0</v>
      </c>
      <c r="C8587" s="40" t="s">
        <v>11</v>
      </c>
      <c r="D8587" s="36">
        <f>base!H8587</f>
        <v>0</v>
      </c>
      <c r="E8587" s="44"/>
      <c r="F8587" s="16">
        <f>base!W8587</f>
        <v>0</v>
      </c>
      <c r="G8587" s="11" t="e">
        <f t="shared" si="1334"/>
        <v>#DIV/0!</v>
      </c>
      <c r="H8587" s="11" t="e">
        <f t="shared" si="1335"/>
        <v>#N/A</v>
      </c>
      <c r="I8587" s="11" t="e">
        <f t="shared" si="1336"/>
        <v>#N/A</v>
      </c>
      <c r="J8587" s="12" t="e">
        <f t="shared" si="1337"/>
        <v>#N/A</v>
      </c>
      <c r="K8587" s="17" t="e">
        <f t="shared" si="1341"/>
        <v>#N/A</v>
      </c>
      <c r="L8587" s="16">
        <f>base!X8587</f>
        <v>0</v>
      </c>
      <c r="M8587" s="11" t="e">
        <f t="shared" si="1338"/>
        <v>#DIV/0!</v>
      </c>
      <c r="N8587" s="11"/>
      <c r="O8587" s="11" t="e">
        <f t="shared" si="1339"/>
        <v>#DIV/0!</v>
      </c>
      <c r="P8587" s="12">
        <f t="shared" si="1340"/>
        <v>0</v>
      </c>
      <c r="Q8587" s="17" t="str">
        <f t="shared" si="1342"/>
        <v>Pas d'écart</v>
      </c>
    </row>
    <row r="8588" spans="1:17" x14ac:dyDescent="0.3">
      <c r="A8588" s="34">
        <f>base!J8588</f>
        <v>0</v>
      </c>
      <c r="B8588" s="34">
        <f>base!V8588</f>
        <v>0</v>
      </c>
      <c r="C8588" s="40" t="s">
        <v>11</v>
      </c>
      <c r="D8588" s="36">
        <f>base!H8588</f>
        <v>0</v>
      </c>
      <c r="E8588" s="44"/>
      <c r="F8588" s="16">
        <f>base!W8588</f>
        <v>0</v>
      </c>
      <c r="G8588" s="11" t="e">
        <f t="shared" si="1334"/>
        <v>#DIV/0!</v>
      </c>
      <c r="H8588" s="11" t="e">
        <f t="shared" si="1335"/>
        <v>#N/A</v>
      </c>
      <c r="I8588" s="11" t="e">
        <f t="shared" si="1336"/>
        <v>#N/A</v>
      </c>
      <c r="J8588" s="12" t="e">
        <f t="shared" si="1337"/>
        <v>#N/A</v>
      </c>
      <c r="K8588" s="17" t="e">
        <f t="shared" si="1341"/>
        <v>#N/A</v>
      </c>
      <c r="L8588" s="16">
        <f>base!X8588</f>
        <v>0</v>
      </c>
      <c r="M8588" s="11" t="e">
        <f t="shared" si="1338"/>
        <v>#DIV/0!</v>
      </c>
      <c r="N8588" s="11"/>
      <c r="O8588" s="11" t="e">
        <f t="shared" si="1339"/>
        <v>#DIV/0!</v>
      </c>
      <c r="P8588" s="12">
        <f t="shared" si="1340"/>
        <v>0</v>
      </c>
      <c r="Q8588" s="17" t="str">
        <f t="shared" si="1342"/>
        <v>Pas d'écart</v>
      </c>
    </row>
    <row r="8589" spans="1:17" x14ac:dyDescent="0.3">
      <c r="A8589" s="34">
        <f>base!J8589</f>
        <v>0</v>
      </c>
      <c r="B8589" s="34">
        <f>base!V8589</f>
        <v>0</v>
      </c>
      <c r="C8589" s="40" t="s">
        <v>11</v>
      </c>
      <c r="D8589" s="36">
        <f>base!H8589</f>
        <v>0</v>
      </c>
      <c r="E8589" s="44"/>
      <c r="F8589" s="16">
        <f>base!W8589</f>
        <v>0</v>
      </c>
      <c r="G8589" s="11" t="e">
        <f t="shared" si="1334"/>
        <v>#DIV/0!</v>
      </c>
      <c r="H8589" s="11" t="e">
        <f t="shared" si="1335"/>
        <v>#N/A</v>
      </c>
      <c r="I8589" s="11" t="e">
        <f t="shared" si="1336"/>
        <v>#N/A</v>
      </c>
      <c r="J8589" s="12" t="e">
        <f t="shared" si="1337"/>
        <v>#N/A</v>
      </c>
      <c r="K8589" s="17" t="e">
        <f t="shared" si="1341"/>
        <v>#N/A</v>
      </c>
      <c r="L8589" s="16">
        <f>base!X8589</f>
        <v>0</v>
      </c>
      <c r="M8589" s="11" t="e">
        <f t="shared" si="1338"/>
        <v>#DIV/0!</v>
      </c>
      <c r="N8589" s="11"/>
      <c r="O8589" s="11" t="e">
        <f t="shared" si="1339"/>
        <v>#DIV/0!</v>
      </c>
      <c r="P8589" s="12">
        <f t="shared" si="1340"/>
        <v>0</v>
      </c>
      <c r="Q8589" s="17" t="str">
        <f t="shared" si="1342"/>
        <v>Pas d'écart</v>
      </c>
    </row>
    <row r="8590" spans="1:17" x14ac:dyDescent="0.3">
      <c r="A8590" s="34">
        <f>base!J8590</f>
        <v>0</v>
      </c>
      <c r="B8590" s="34">
        <f>base!V8590</f>
        <v>0</v>
      </c>
      <c r="C8590" s="40" t="s">
        <v>11</v>
      </c>
      <c r="D8590" s="36">
        <f>base!H8590</f>
        <v>0</v>
      </c>
      <c r="E8590" s="44"/>
      <c r="F8590" s="16">
        <f>base!W8590</f>
        <v>0</v>
      </c>
      <c r="G8590" s="11" t="e">
        <f t="shared" si="1334"/>
        <v>#DIV/0!</v>
      </c>
      <c r="H8590" s="11" t="e">
        <f t="shared" si="1335"/>
        <v>#N/A</v>
      </c>
      <c r="I8590" s="11" t="e">
        <f t="shared" si="1336"/>
        <v>#N/A</v>
      </c>
      <c r="J8590" s="12" t="e">
        <f t="shared" si="1337"/>
        <v>#N/A</v>
      </c>
      <c r="K8590" s="17" t="e">
        <f t="shared" si="1341"/>
        <v>#N/A</v>
      </c>
      <c r="L8590" s="16">
        <f>base!X8590</f>
        <v>0</v>
      </c>
      <c r="M8590" s="11" t="e">
        <f t="shared" si="1338"/>
        <v>#DIV/0!</v>
      </c>
      <c r="N8590" s="11"/>
      <c r="O8590" s="11" t="e">
        <f t="shared" si="1339"/>
        <v>#DIV/0!</v>
      </c>
      <c r="P8590" s="12">
        <f t="shared" si="1340"/>
        <v>0</v>
      </c>
      <c r="Q8590" s="17" t="str">
        <f t="shared" si="1342"/>
        <v>Pas d'écart</v>
      </c>
    </row>
    <row r="8591" spans="1:17" x14ac:dyDescent="0.3">
      <c r="A8591" s="34">
        <f>base!J8591</f>
        <v>0</v>
      </c>
      <c r="B8591" s="34">
        <f>base!V8591</f>
        <v>0</v>
      </c>
      <c r="C8591" s="40" t="s">
        <v>11</v>
      </c>
      <c r="D8591" s="36">
        <f>base!H8591</f>
        <v>0</v>
      </c>
      <c r="E8591" s="44"/>
      <c r="F8591" s="16">
        <f>base!W8591</f>
        <v>0</v>
      </c>
      <c r="G8591" s="11" t="e">
        <f t="shared" si="1334"/>
        <v>#DIV/0!</v>
      </c>
      <c r="H8591" s="11" t="e">
        <f t="shared" si="1335"/>
        <v>#N/A</v>
      </c>
      <c r="I8591" s="11" t="e">
        <f t="shared" si="1336"/>
        <v>#N/A</v>
      </c>
      <c r="J8591" s="12" t="e">
        <f t="shared" si="1337"/>
        <v>#N/A</v>
      </c>
      <c r="K8591" s="17" t="e">
        <f t="shared" si="1341"/>
        <v>#N/A</v>
      </c>
      <c r="L8591" s="16">
        <f>base!X8591</f>
        <v>0</v>
      </c>
      <c r="M8591" s="11" t="e">
        <f t="shared" si="1338"/>
        <v>#DIV/0!</v>
      </c>
      <c r="N8591" s="11"/>
      <c r="O8591" s="11" t="e">
        <f t="shared" si="1339"/>
        <v>#DIV/0!</v>
      </c>
      <c r="P8591" s="12">
        <f t="shared" si="1340"/>
        <v>0</v>
      </c>
      <c r="Q8591" s="17" t="str">
        <f t="shared" si="1342"/>
        <v>Pas d'écart</v>
      </c>
    </row>
    <row r="8592" spans="1:17" x14ac:dyDescent="0.3">
      <c r="A8592" s="34">
        <f>base!J8592</f>
        <v>0</v>
      </c>
      <c r="B8592" s="34">
        <f>base!V8592</f>
        <v>0</v>
      </c>
      <c r="C8592" s="40" t="s">
        <v>11</v>
      </c>
      <c r="D8592" s="36">
        <f>base!H8592</f>
        <v>0</v>
      </c>
      <c r="E8592" s="44"/>
      <c r="F8592" s="16">
        <f>base!W8592</f>
        <v>0</v>
      </c>
      <c r="G8592" s="11" t="e">
        <f t="shared" si="1334"/>
        <v>#DIV/0!</v>
      </c>
      <c r="H8592" s="11" t="e">
        <f t="shared" si="1335"/>
        <v>#N/A</v>
      </c>
      <c r="I8592" s="11" t="e">
        <f t="shared" si="1336"/>
        <v>#N/A</v>
      </c>
      <c r="J8592" s="12" t="e">
        <f t="shared" si="1337"/>
        <v>#N/A</v>
      </c>
      <c r="K8592" s="17" t="e">
        <f t="shared" si="1341"/>
        <v>#N/A</v>
      </c>
      <c r="L8592" s="16">
        <f>base!X8592</f>
        <v>0</v>
      </c>
      <c r="M8592" s="11" t="e">
        <f t="shared" si="1338"/>
        <v>#DIV/0!</v>
      </c>
      <c r="N8592" s="11"/>
      <c r="O8592" s="11" t="e">
        <f t="shared" si="1339"/>
        <v>#DIV/0!</v>
      </c>
      <c r="P8592" s="12">
        <f t="shared" si="1340"/>
        <v>0</v>
      </c>
      <c r="Q8592" s="17" t="str">
        <f t="shared" si="1342"/>
        <v>Pas d'écart</v>
      </c>
    </row>
    <row r="8593" spans="1:17" x14ac:dyDescent="0.3">
      <c r="A8593" s="34">
        <f>base!J8593</f>
        <v>0</v>
      </c>
      <c r="B8593" s="34">
        <f>base!V8593</f>
        <v>0</v>
      </c>
      <c r="C8593" s="40" t="s">
        <v>11</v>
      </c>
      <c r="D8593" s="36">
        <f>base!H8593</f>
        <v>0</v>
      </c>
      <c r="E8593" s="44"/>
      <c r="F8593" s="16">
        <f>base!W8593</f>
        <v>0</v>
      </c>
      <c r="G8593" s="11" t="e">
        <f t="shared" si="1334"/>
        <v>#DIV/0!</v>
      </c>
      <c r="H8593" s="11" t="e">
        <f t="shared" si="1335"/>
        <v>#N/A</v>
      </c>
      <c r="I8593" s="11" t="e">
        <f t="shared" si="1336"/>
        <v>#N/A</v>
      </c>
      <c r="J8593" s="12" t="e">
        <f t="shared" si="1337"/>
        <v>#N/A</v>
      </c>
      <c r="K8593" s="17" t="e">
        <f t="shared" si="1341"/>
        <v>#N/A</v>
      </c>
      <c r="L8593" s="16">
        <f>base!X8593</f>
        <v>0</v>
      </c>
      <c r="M8593" s="11" t="e">
        <f t="shared" si="1338"/>
        <v>#DIV/0!</v>
      </c>
      <c r="N8593" s="11"/>
      <c r="O8593" s="11" t="e">
        <f t="shared" si="1339"/>
        <v>#DIV/0!</v>
      </c>
      <c r="P8593" s="12">
        <f t="shared" si="1340"/>
        <v>0</v>
      </c>
      <c r="Q8593" s="17" t="str">
        <f t="shared" si="1342"/>
        <v>Pas d'écart</v>
      </c>
    </row>
    <row r="8594" spans="1:17" x14ac:dyDescent="0.3">
      <c r="A8594" s="34">
        <f>base!J8594</f>
        <v>0</v>
      </c>
      <c r="B8594" s="34">
        <f>base!V8594</f>
        <v>0</v>
      </c>
      <c r="C8594" s="40" t="s">
        <v>11</v>
      </c>
      <c r="D8594" s="36">
        <f>base!H8594</f>
        <v>0</v>
      </c>
      <c r="E8594" s="44"/>
      <c r="F8594" s="16">
        <f>base!W8594</f>
        <v>0</v>
      </c>
      <c r="G8594" s="11" t="e">
        <f t="shared" si="1334"/>
        <v>#DIV/0!</v>
      </c>
      <c r="H8594" s="11" t="e">
        <f t="shared" si="1335"/>
        <v>#N/A</v>
      </c>
      <c r="I8594" s="11" t="e">
        <f t="shared" si="1336"/>
        <v>#N/A</v>
      </c>
      <c r="J8594" s="12" t="e">
        <f t="shared" si="1337"/>
        <v>#N/A</v>
      </c>
      <c r="K8594" s="17" t="e">
        <f t="shared" si="1341"/>
        <v>#N/A</v>
      </c>
      <c r="L8594" s="16">
        <f>base!X8594</f>
        <v>0</v>
      </c>
      <c r="M8594" s="11" t="e">
        <f t="shared" si="1338"/>
        <v>#DIV/0!</v>
      </c>
      <c r="N8594" s="11"/>
      <c r="O8594" s="11" t="e">
        <f t="shared" si="1339"/>
        <v>#DIV/0!</v>
      </c>
      <c r="P8594" s="12">
        <f t="shared" si="1340"/>
        <v>0</v>
      </c>
      <c r="Q8594" s="17" t="str">
        <f t="shared" si="1342"/>
        <v>Pas d'écart</v>
      </c>
    </row>
    <row r="8595" spans="1:17" x14ac:dyDescent="0.3">
      <c r="A8595" s="34">
        <f>base!J8595</f>
        <v>0</v>
      </c>
      <c r="B8595" s="34">
        <f>base!V8595</f>
        <v>0</v>
      </c>
      <c r="C8595" s="40" t="s">
        <v>11</v>
      </c>
      <c r="D8595" s="36">
        <f>base!H8595</f>
        <v>0</v>
      </c>
      <c r="E8595" s="44"/>
      <c r="F8595" s="16">
        <f>base!W8595</f>
        <v>0</v>
      </c>
      <c r="G8595" s="11" t="e">
        <f t="shared" si="1334"/>
        <v>#DIV/0!</v>
      </c>
      <c r="H8595" s="11" t="e">
        <f t="shared" si="1335"/>
        <v>#N/A</v>
      </c>
      <c r="I8595" s="11" t="e">
        <f t="shared" si="1336"/>
        <v>#N/A</v>
      </c>
      <c r="J8595" s="12" t="e">
        <f t="shared" si="1337"/>
        <v>#N/A</v>
      </c>
      <c r="K8595" s="17" t="e">
        <f t="shared" si="1341"/>
        <v>#N/A</v>
      </c>
      <c r="L8595" s="16">
        <f>base!X8595</f>
        <v>0</v>
      </c>
      <c r="M8595" s="11" t="e">
        <f t="shared" si="1338"/>
        <v>#DIV/0!</v>
      </c>
      <c r="N8595" s="11"/>
      <c r="O8595" s="11" t="e">
        <f t="shared" si="1339"/>
        <v>#DIV/0!</v>
      </c>
      <c r="P8595" s="12">
        <f t="shared" si="1340"/>
        <v>0</v>
      </c>
      <c r="Q8595" s="17" t="str">
        <f t="shared" si="1342"/>
        <v>Pas d'écart</v>
      </c>
    </row>
    <row r="8596" spans="1:17" x14ac:dyDescent="0.3">
      <c r="A8596" s="34">
        <f>base!J8596</f>
        <v>0</v>
      </c>
      <c r="B8596" s="34">
        <f>base!V8596</f>
        <v>0</v>
      </c>
      <c r="C8596" s="40" t="s">
        <v>11</v>
      </c>
      <c r="D8596" s="36">
        <f>base!H8596</f>
        <v>0</v>
      </c>
      <c r="E8596" s="44"/>
      <c r="F8596" s="16">
        <f>base!W8596</f>
        <v>0</v>
      </c>
      <c r="G8596" s="11" t="e">
        <f t="shared" si="1334"/>
        <v>#DIV/0!</v>
      </c>
      <c r="H8596" s="11" t="e">
        <f t="shared" si="1335"/>
        <v>#N/A</v>
      </c>
      <c r="I8596" s="11" t="e">
        <f t="shared" si="1336"/>
        <v>#N/A</v>
      </c>
      <c r="J8596" s="12" t="e">
        <f t="shared" si="1337"/>
        <v>#N/A</v>
      </c>
      <c r="K8596" s="17" t="e">
        <f t="shared" si="1341"/>
        <v>#N/A</v>
      </c>
      <c r="L8596" s="16">
        <f>base!X8596</f>
        <v>0</v>
      </c>
      <c r="M8596" s="11" t="e">
        <f t="shared" si="1338"/>
        <v>#DIV/0!</v>
      </c>
      <c r="N8596" s="11"/>
      <c r="O8596" s="11" t="e">
        <f t="shared" si="1339"/>
        <v>#DIV/0!</v>
      </c>
      <c r="P8596" s="12">
        <f t="shared" si="1340"/>
        <v>0</v>
      </c>
      <c r="Q8596" s="17" t="str">
        <f t="shared" si="1342"/>
        <v>Pas d'écart</v>
      </c>
    </row>
    <row r="8597" spans="1:17" x14ac:dyDescent="0.3">
      <c r="A8597" s="34">
        <f>base!J8597</f>
        <v>0</v>
      </c>
      <c r="B8597" s="34">
        <f>base!V8597</f>
        <v>0</v>
      </c>
      <c r="C8597" s="40" t="s">
        <v>11</v>
      </c>
      <c r="D8597" s="36">
        <f>base!H8597</f>
        <v>0</v>
      </c>
      <c r="E8597" s="44"/>
      <c r="F8597" s="16">
        <f>base!W8597</f>
        <v>0</v>
      </c>
      <c r="G8597" s="11" t="e">
        <f t="shared" si="1334"/>
        <v>#DIV/0!</v>
      </c>
      <c r="H8597" s="11" t="e">
        <f t="shared" si="1335"/>
        <v>#N/A</v>
      </c>
      <c r="I8597" s="11" t="e">
        <f t="shared" si="1336"/>
        <v>#N/A</v>
      </c>
      <c r="J8597" s="12" t="e">
        <f t="shared" si="1337"/>
        <v>#N/A</v>
      </c>
      <c r="K8597" s="17" t="e">
        <f t="shared" si="1341"/>
        <v>#N/A</v>
      </c>
      <c r="L8597" s="16">
        <f>base!X8597</f>
        <v>0</v>
      </c>
      <c r="M8597" s="11" t="e">
        <f t="shared" si="1338"/>
        <v>#DIV/0!</v>
      </c>
      <c r="N8597" s="11"/>
      <c r="O8597" s="11" t="e">
        <f t="shared" si="1339"/>
        <v>#DIV/0!</v>
      </c>
      <c r="P8597" s="12">
        <f t="shared" si="1340"/>
        <v>0</v>
      </c>
      <c r="Q8597" s="17" t="str">
        <f t="shared" si="1342"/>
        <v>Pas d'écart</v>
      </c>
    </row>
    <row r="8598" spans="1:17" x14ac:dyDescent="0.3">
      <c r="A8598" s="34">
        <f>base!J8598</f>
        <v>0</v>
      </c>
      <c r="B8598" s="34">
        <f>base!V8598</f>
        <v>0</v>
      </c>
      <c r="C8598" s="40" t="s">
        <v>11</v>
      </c>
      <c r="D8598" s="36">
        <f>base!H8598</f>
        <v>0</v>
      </c>
      <c r="E8598" s="44"/>
      <c r="F8598" s="16">
        <f>base!W8598</f>
        <v>0</v>
      </c>
      <c r="G8598" s="11" t="e">
        <f t="shared" si="1334"/>
        <v>#DIV/0!</v>
      </c>
      <c r="H8598" s="11" t="e">
        <f t="shared" si="1335"/>
        <v>#N/A</v>
      </c>
      <c r="I8598" s="11" t="e">
        <f t="shared" si="1336"/>
        <v>#N/A</v>
      </c>
      <c r="J8598" s="12" t="e">
        <f t="shared" si="1337"/>
        <v>#N/A</v>
      </c>
      <c r="K8598" s="17" t="e">
        <f t="shared" si="1341"/>
        <v>#N/A</v>
      </c>
      <c r="L8598" s="16">
        <f>base!X8598</f>
        <v>0</v>
      </c>
      <c r="M8598" s="11" t="e">
        <f t="shared" si="1338"/>
        <v>#DIV/0!</v>
      </c>
      <c r="N8598" s="11"/>
      <c r="O8598" s="11" t="e">
        <f t="shared" si="1339"/>
        <v>#DIV/0!</v>
      </c>
      <c r="P8598" s="12">
        <f t="shared" si="1340"/>
        <v>0</v>
      </c>
      <c r="Q8598" s="17" t="str">
        <f t="shared" si="1342"/>
        <v>Pas d'écart</v>
      </c>
    </row>
    <row r="8599" spans="1:17" x14ac:dyDescent="0.3">
      <c r="A8599" s="34">
        <f>base!J8599</f>
        <v>0</v>
      </c>
      <c r="B8599" s="34">
        <f>base!V8599</f>
        <v>0</v>
      </c>
      <c r="C8599" s="40" t="s">
        <v>11</v>
      </c>
      <c r="D8599" s="36">
        <f>base!H8599</f>
        <v>0</v>
      </c>
      <c r="E8599" s="44"/>
      <c r="F8599" s="16">
        <f>base!W8599</f>
        <v>0</v>
      </c>
      <c r="G8599" s="11" t="e">
        <f t="shared" si="1334"/>
        <v>#DIV/0!</v>
      </c>
      <c r="H8599" s="11" t="e">
        <f t="shared" si="1335"/>
        <v>#N/A</v>
      </c>
      <c r="I8599" s="11" t="e">
        <f t="shared" si="1336"/>
        <v>#N/A</v>
      </c>
      <c r="J8599" s="12" t="e">
        <f t="shared" si="1337"/>
        <v>#N/A</v>
      </c>
      <c r="K8599" s="17" t="e">
        <f t="shared" si="1341"/>
        <v>#N/A</v>
      </c>
      <c r="L8599" s="16">
        <f>base!X8599</f>
        <v>0</v>
      </c>
      <c r="M8599" s="11" t="e">
        <f t="shared" si="1338"/>
        <v>#DIV/0!</v>
      </c>
      <c r="N8599" s="11"/>
      <c r="O8599" s="11" t="e">
        <f t="shared" si="1339"/>
        <v>#DIV/0!</v>
      </c>
      <c r="P8599" s="12">
        <f t="shared" si="1340"/>
        <v>0</v>
      </c>
      <c r="Q8599" s="17" t="str">
        <f t="shared" si="1342"/>
        <v>Pas d'écart</v>
      </c>
    </row>
    <row r="8600" spans="1:17" x14ac:dyDescent="0.3">
      <c r="A8600" s="34">
        <f>base!J8600</f>
        <v>0</v>
      </c>
      <c r="B8600" s="34">
        <f>base!V8600</f>
        <v>0</v>
      </c>
      <c r="C8600" s="40" t="s">
        <v>11</v>
      </c>
      <c r="D8600" s="36">
        <f>base!H8600</f>
        <v>0</v>
      </c>
      <c r="E8600" s="44"/>
      <c r="F8600" s="16">
        <f>base!W8600</f>
        <v>0</v>
      </c>
      <c r="G8600" s="11" t="e">
        <f t="shared" si="1334"/>
        <v>#DIV/0!</v>
      </c>
      <c r="H8600" s="11" t="e">
        <f t="shared" si="1335"/>
        <v>#N/A</v>
      </c>
      <c r="I8600" s="11" t="e">
        <f t="shared" si="1336"/>
        <v>#N/A</v>
      </c>
      <c r="J8600" s="12" t="e">
        <f t="shared" si="1337"/>
        <v>#N/A</v>
      </c>
      <c r="K8600" s="17" t="e">
        <f t="shared" si="1341"/>
        <v>#N/A</v>
      </c>
      <c r="L8600" s="16">
        <f>base!X8600</f>
        <v>0</v>
      </c>
      <c r="M8600" s="11" t="e">
        <f t="shared" si="1338"/>
        <v>#DIV/0!</v>
      </c>
      <c r="N8600" s="11"/>
      <c r="O8600" s="11" t="e">
        <f t="shared" si="1339"/>
        <v>#DIV/0!</v>
      </c>
      <c r="P8600" s="12">
        <f t="shared" si="1340"/>
        <v>0</v>
      </c>
      <c r="Q8600" s="17" t="str">
        <f t="shared" si="1342"/>
        <v>Pas d'écart</v>
      </c>
    </row>
    <row r="8601" spans="1:17" x14ac:dyDescent="0.3">
      <c r="A8601" s="34">
        <f>base!J8601</f>
        <v>0</v>
      </c>
      <c r="B8601" s="34">
        <f>base!V8601</f>
        <v>0</v>
      </c>
      <c r="C8601" s="40" t="s">
        <v>11</v>
      </c>
      <c r="D8601" s="36">
        <f>base!H8601</f>
        <v>0</v>
      </c>
      <c r="E8601" s="44"/>
      <c r="F8601" s="16">
        <f>base!W8601</f>
        <v>0</v>
      </c>
      <c r="G8601" s="11" t="e">
        <f t="shared" si="1334"/>
        <v>#DIV/0!</v>
      </c>
      <c r="H8601" s="11" t="e">
        <f t="shared" si="1335"/>
        <v>#N/A</v>
      </c>
      <c r="I8601" s="11" t="e">
        <f t="shared" si="1336"/>
        <v>#N/A</v>
      </c>
      <c r="J8601" s="12" t="e">
        <f t="shared" si="1337"/>
        <v>#N/A</v>
      </c>
      <c r="K8601" s="17" t="e">
        <f t="shared" si="1341"/>
        <v>#N/A</v>
      </c>
      <c r="L8601" s="16">
        <f>base!X8601</f>
        <v>0</v>
      </c>
      <c r="M8601" s="11" t="e">
        <f t="shared" si="1338"/>
        <v>#DIV/0!</v>
      </c>
      <c r="N8601" s="11"/>
      <c r="O8601" s="11" t="e">
        <f t="shared" si="1339"/>
        <v>#DIV/0!</v>
      </c>
      <c r="P8601" s="12">
        <f t="shared" si="1340"/>
        <v>0</v>
      </c>
      <c r="Q8601" s="17" t="str">
        <f t="shared" si="1342"/>
        <v>Pas d'écart</v>
      </c>
    </row>
    <row r="8602" spans="1:17" x14ac:dyDescent="0.3">
      <c r="A8602" s="34">
        <f>base!J8602</f>
        <v>0</v>
      </c>
      <c r="B8602" s="34">
        <f>base!V8602</f>
        <v>0</v>
      </c>
      <c r="C8602" s="40" t="s">
        <v>11</v>
      </c>
      <c r="D8602" s="36">
        <f>base!H8602</f>
        <v>0</v>
      </c>
      <c r="E8602" s="44"/>
      <c r="F8602" s="16">
        <f>base!W8602</f>
        <v>0</v>
      </c>
      <c r="G8602" s="11" t="e">
        <f t="shared" si="1334"/>
        <v>#DIV/0!</v>
      </c>
      <c r="H8602" s="11" t="e">
        <f t="shared" si="1335"/>
        <v>#N/A</v>
      </c>
      <c r="I8602" s="11" t="e">
        <f t="shared" si="1336"/>
        <v>#N/A</v>
      </c>
      <c r="J8602" s="12" t="e">
        <f t="shared" si="1337"/>
        <v>#N/A</v>
      </c>
      <c r="K8602" s="17" t="e">
        <f t="shared" si="1341"/>
        <v>#N/A</v>
      </c>
      <c r="L8602" s="16">
        <f>base!X8602</f>
        <v>0</v>
      </c>
      <c r="M8602" s="11" t="e">
        <f t="shared" si="1338"/>
        <v>#DIV/0!</v>
      </c>
      <c r="N8602" s="11"/>
      <c r="O8602" s="11" t="e">
        <f t="shared" si="1339"/>
        <v>#DIV/0!</v>
      </c>
      <c r="P8602" s="12">
        <f t="shared" si="1340"/>
        <v>0</v>
      </c>
      <c r="Q8602" s="17" t="str">
        <f t="shared" si="1342"/>
        <v>Pas d'écart</v>
      </c>
    </row>
    <row r="8603" spans="1:17" x14ac:dyDescent="0.3">
      <c r="A8603" s="34">
        <f>base!J8603</f>
        <v>0</v>
      </c>
      <c r="B8603" s="34">
        <f>base!V8603</f>
        <v>0</v>
      </c>
      <c r="C8603" s="40" t="s">
        <v>11</v>
      </c>
      <c r="D8603" s="36">
        <f>base!H8603</f>
        <v>0</v>
      </c>
      <c r="E8603" s="44"/>
      <c r="F8603" s="16">
        <f>base!W8603</f>
        <v>0</v>
      </c>
      <c r="G8603" s="11" t="e">
        <f t="shared" si="1334"/>
        <v>#DIV/0!</v>
      </c>
      <c r="H8603" s="11" t="e">
        <f t="shared" si="1335"/>
        <v>#N/A</v>
      </c>
      <c r="I8603" s="11" t="e">
        <f t="shared" si="1336"/>
        <v>#N/A</v>
      </c>
      <c r="J8603" s="12" t="e">
        <f t="shared" si="1337"/>
        <v>#N/A</v>
      </c>
      <c r="K8603" s="17" t="e">
        <f t="shared" si="1341"/>
        <v>#N/A</v>
      </c>
      <c r="L8603" s="16">
        <f>base!X8603</f>
        <v>0</v>
      </c>
      <c r="M8603" s="11" t="e">
        <f t="shared" si="1338"/>
        <v>#DIV/0!</v>
      </c>
      <c r="N8603" s="11"/>
      <c r="O8603" s="11" t="e">
        <f t="shared" si="1339"/>
        <v>#DIV/0!</v>
      </c>
      <c r="P8603" s="12">
        <f t="shared" si="1340"/>
        <v>0</v>
      </c>
      <c r="Q8603" s="17" t="str">
        <f t="shared" si="1342"/>
        <v>Pas d'écart</v>
      </c>
    </row>
    <row r="8604" spans="1:17" x14ac:dyDescent="0.3">
      <c r="A8604" s="34">
        <f>base!J8604</f>
        <v>0</v>
      </c>
      <c r="B8604" s="34">
        <f>base!V8604</f>
        <v>0</v>
      </c>
      <c r="C8604" s="40" t="s">
        <v>11</v>
      </c>
      <c r="D8604" s="36">
        <f>base!H8604</f>
        <v>0</v>
      </c>
      <c r="E8604" s="44"/>
      <c r="F8604" s="16">
        <f>base!W8604</f>
        <v>0</v>
      </c>
      <c r="G8604" s="11" t="e">
        <f t="shared" si="1334"/>
        <v>#DIV/0!</v>
      </c>
      <c r="H8604" s="11" t="e">
        <f t="shared" si="1335"/>
        <v>#N/A</v>
      </c>
      <c r="I8604" s="11" t="e">
        <f t="shared" si="1336"/>
        <v>#N/A</v>
      </c>
      <c r="J8604" s="12" t="e">
        <f t="shared" si="1337"/>
        <v>#N/A</v>
      </c>
      <c r="K8604" s="17" t="e">
        <f t="shared" si="1341"/>
        <v>#N/A</v>
      </c>
      <c r="L8604" s="16">
        <f>base!X8604</f>
        <v>0</v>
      </c>
      <c r="M8604" s="11" t="e">
        <f t="shared" si="1338"/>
        <v>#DIV/0!</v>
      </c>
      <c r="N8604" s="11"/>
      <c r="O8604" s="11" t="e">
        <f t="shared" si="1339"/>
        <v>#DIV/0!</v>
      </c>
      <c r="P8604" s="12">
        <f t="shared" si="1340"/>
        <v>0</v>
      </c>
      <c r="Q8604" s="17" t="str">
        <f t="shared" si="1342"/>
        <v>Pas d'écart</v>
      </c>
    </row>
    <row r="8605" spans="1:17" x14ac:dyDescent="0.3">
      <c r="A8605" s="34">
        <f>base!J8605</f>
        <v>0</v>
      </c>
      <c r="B8605" s="34">
        <f>base!V8605</f>
        <v>0</v>
      </c>
      <c r="C8605" s="40" t="s">
        <v>11</v>
      </c>
      <c r="D8605" s="36">
        <f>base!H8605</f>
        <v>0</v>
      </c>
      <c r="E8605" s="44"/>
      <c r="F8605" s="16">
        <f>base!W8605</f>
        <v>0</v>
      </c>
      <c r="G8605" s="11" t="e">
        <f t="shared" si="1334"/>
        <v>#DIV/0!</v>
      </c>
      <c r="H8605" s="11" t="e">
        <f t="shared" si="1335"/>
        <v>#N/A</v>
      </c>
      <c r="I8605" s="11" t="e">
        <f t="shared" si="1336"/>
        <v>#N/A</v>
      </c>
      <c r="J8605" s="12" t="e">
        <f t="shared" si="1337"/>
        <v>#N/A</v>
      </c>
      <c r="K8605" s="17" t="e">
        <f t="shared" si="1341"/>
        <v>#N/A</v>
      </c>
      <c r="L8605" s="16">
        <f>base!X8605</f>
        <v>0</v>
      </c>
      <c r="M8605" s="11" t="e">
        <f t="shared" si="1338"/>
        <v>#DIV/0!</v>
      </c>
      <c r="N8605" s="11"/>
      <c r="O8605" s="11" t="e">
        <f t="shared" si="1339"/>
        <v>#DIV/0!</v>
      </c>
      <c r="P8605" s="12">
        <f t="shared" si="1340"/>
        <v>0</v>
      </c>
      <c r="Q8605" s="17" t="str">
        <f t="shared" si="1342"/>
        <v>Pas d'écart</v>
      </c>
    </row>
    <row r="8606" spans="1:17" x14ac:dyDescent="0.3">
      <c r="A8606" s="34">
        <f>base!J8606</f>
        <v>0</v>
      </c>
      <c r="B8606" s="34">
        <f>base!V8606</f>
        <v>0</v>
      </c>
      <c r="C8606" s="40" t="s">
        <v>11</v>
      </c>
      <c r="D8606" s="36">
        <f>base!H8606</f>
        <v>0</v>
      </c>
      <c r="E8606" s="44"/>
      <c r="F8606" s="16">
        <f>base!W8606</f>
        <v>0</v>
      </c>
      <c r="G8606" s="11" t="e">
        <f t="shared" si="1334"/>
        <v>#DIV/0!</v>
      </c>
      <c r="H8606" s="11" t="e">
        <f t="shared" si="1335"/>
        <v>#N/A</v>
      </c>
      <c r="I8606" s="11" t="e">
        <f t="shared" si="1336"/>
        <v>#N/A</v>
      </c>
      <c r="J8606" s="12" t="e">
        <f t="shared" si="1337"/>
        <v>#N/A</v>
      </c>
      <c r="K8606" s="17" t="e">
        <f t="shared" si="1341"/>
        <v>#N/A</v>
      </c>
      <c r="L8606" s="16">
        <f>base!X8606</f>
        <v>0</v>
      </c>
      <c r="M8606" s="11" t="e">
        <f t="shared" si="1338"/>
        <v>#DIV/0!</v>
      </c>
      <c r="N8606" s="11"/>
      <c r="O8606" s="11" t="e">
        <f t="shared" si="1339"/>
        <v>#DIV/0!</v>
      </c>
      <c r="P8606" s="12">
        <f t="shared" si="1340"/>
        <v>0</v>
      </c>
      <c r="Q8606" s="17" t="str">
        <f t="shared" si="1342"/>
        <v>Pas d'écart</v>
      </c>
    </row>
    <row r="8607" spans="1:17" x14ac:dyDescent="0.3">
      <c r="A8607" s="34">
        <f>base!J8607</f>
        <v>0</v>
      </c>
      <c r="B8607" s="34">
        <f>base!V8607</f>
        <v>0</v>
      </c>
      <c r="C8607" s="40" t="s">
        <v>11</v>
      </c>
      <c r="D8607" s="36">
        <f>base!H8607</f>
        <v>0</v>
      </c>
      <c r="E8607" s="44"/>
      <c r="F8607" s="16">
        <f>base!W8607</f>
        <v>0</v>
      </c>
      <c r="G8607" s="11" t="e">
        <f t="shared" si="1334"/>
        <v>#DIV/0!</v>
      </c>
      <c r="H8607" s="11" t="e">
        <f t="shared" si="1335"/>
        <v>#N/A</v>
      </c>
      <c r="I8607" s="11" t="e">
        <f t="shared" si="1336"/>
        <v>#N/A</v>
      </c>
      <c r="J8607" s="12" t="e">
        <f t="shared" si="1337"/>
        <v>#N/A</v>
      </c>
      <c r="K8607" s="17" t="e">
        <f t="shared" si="1341"/>
        <v>#N/A</v>
      </c>
      <c r="L8607" s="16">
        <f>base!X8607</f>
        <v>0</v>
      </c>
      <c r="M8607" s="11" t="e">
        <f t="shared" si="1338"/>
        <v>#DIV/0!</v>
      </c>
      <c r="N8607" s="11"/>
      <c r="O8607" s="11" t="e">
        <f t="shared" si="1339"/>
        <v>#DIV/0!</v>
      </c>
      <c r="P8607" s="12">
        <f t="shared" si="1340"/>
        <v>0</v>
      </c>
      <c r="Q8607" s="17" t="str">
        <f t="shared" si="1342"/>
        <v>Pas d'écart</v>
      </c>
    </row>
    <row r="8608" spans="1:17" x14ac:dyDescent="0.3">
      <c r="A8608" s="34">
        <f>base!J8608</f>
        <v>0</v>
      </c>
      <c r="B8608" s="34">
        <f>base!V8608</f>
        <v>0</v>
      </c>
      <c r="C8608" s="40" t="s">
        <v>11</v>
      </c>
      <c r="D8608" s="36">
        <f>base!H8608</f>
        <v>0</v>
      </c>
      <c r="E8608" s="44"/>
      <c r="F8608" s="16">
        <f>base!W8608</f>
        <v>0</v>
      </c>
      <c r="G8608" s="11" t="e">
        <f t="shared" si="1334"/>
        <v>#DIV/0!</v>
      </c>
      <c r="H8608" s="11" t="e">
        <f t="shared" si="1335"/>
        <v>#N/A</v>
      </c>
      <c r="I8608" s="11" t="e">
        <f t="shared" si="1336"/>
        <v>#N/A</v>
      </c>
      <c r="J8608" s="12" t="e">
        <f t="shared" si="1337"/>
        <v>#N/A</v>
      </c>
      <c r="K8608" s="17" t="e">
        <f t="shared" si="1341"/>
        <v>#N/A</v>
      </c>
      <c r="L8608" s="16">
        <f>base!X8608</f>
        <v>0</v>
      </c>
      <c r="M8608" s="11" t="e">
        <f t="shared" si="1338"/>
        <v>#DIV/0!</v>
      </c>
      <c r="N8608" s="11"/>
      <c r="O8608" s="11" t="e">
        <f t="shared" si="1339"/>
        <v>#DIV/0!</v>
      </c>
      <c r="P8608" s="12">
        <f t="shared" si="1340"/>
        <v>0</v>
      </c>
      <c r="Q8608" s="17" t="str">
        <f t="shared" si="1342"/>
        <v>Pas d'écart</v>
      </c>
    </row>
    <row r="8609" spans="1:17" x14ac:dyDescent="0.3">
      <c r="A8609" s="34">
        <f>base!J8609</f>
        <v>0</v>
      </c>
      <c r="B8609" s="34">
        <f>base!V8609</f>
        <v>0</v>
      </c>
      <c r="C8609" s="40" t="s">
        <v>11</v>
      </c>
      <c r="D8609" s="36">
        <f>base!H8609</f>
        <v>0</v>
      </c>
      <c r="E8609" s="44"/>
      <c r="F8609" s="16">
        <f>base!W8609</f>
        <v>0</v>
      </c>
      <c r="G8609" s="11" t="e">
        <f t="shared" si="1334"/>
        <v>#DIV/0!</v>
      </c>
      <c r="H8609" s="11" t="e">
        <f t="shared" si="1335"/>
        <v>#N/A</v>
      </c>
      <c r="I8609" s="11" t="e">
        <f t="shared" si="1336"/>
        <v>#N/A</v>
      </c>
      <c r="J8609" s="12" t="e">
        <f t="shared" si="1337"/>
        <v>#N/A</v>
      </c>
      <c r="K8609" s="17" t="e">
        <f t="shared" si="1341"/>
        <v>#N/A</v>
      </c>
      <c r="L8609" s="16">
        <f>base!X8609</f>
        <v>0</v>
      </c>
      <c r="M8609" s="11" t="e">
        <f t="shared" si="1338"/>
        <v>#DIV/0!</v>
      </c>
      <c r="N8609" s="11"/>
      <c r="O8609" s="11" t="e">
        <f t="shared" si="1339"/>
        <v>#DIV/0!</v>
      </c>
      <c r="P8609" s="12">
        <f t="shared" si="1340"/>
        <v>0</v>
      </c>
      <c r="Q8609" s="17" t="str">
        <f t="shared" si="1342"/>
        <v>Pas d'écart</v>
      </c>
    </row>
    <row r="8610" spans="1:17" x14ac:dyDescent="0.3">
      <c r="A8610" s="34">
        <f>base!J8610</f>
        <v>0</v>
      </c>
      <c r="B8610" s="34">
        <f>base!V8610</f>
        <v>0</v>
      </c>
      <c r="C8610" s="40" t="s">
        <v>11</v>
      </c>
      <c r="D8610" s="36">
        <f>base!H8610</f>
        <v>0</v>
      </c>
      <c r="E8610" s="44"/>
      <c r="F8610" s="16">
        <f>base!W8610</f>
        <v>0</v>
      </c>
      <c r="G8610" s="11" t="e">
        <f t="shared" si="1334"/>
        <v>#DIV/0!</v>
      </c>
      <c r="H8610" s="11" t="e">
        <f t="shared" si="1335"/>
        <v>#N/A</v>
      </c>
      <c r="I8610" s="11" t="e">
        <f t="shared" si="1336"/>
        <v>#N/A</v>
      </c>
      <c r="J8610" s="12" t="e">
        <f t="shared" si="1337"/>
        <v>#N/A</v>
      </c>
      <c r="K8610" s="17" t="e">
        <f t="shared" si="1341"/>
        <v>#N/A</v>
      </c>
      <c r="L8610" s="16">
        <f>base!X8610</f>
        <v>0</v>
      </c>
      <c r="M8610" s="11" t="e">
        <f t="shared" si="1338"/>
        <v>#DIV/0!</v>
      </c>
      <c r="N8610" s="11"/>
      <c r="O8610" s="11" t="e">
        <f t="shared" si="1339"/>
        <v>#DIV/0!</v>
      </c>
      <c r="P8610" s="12">
        <f t="shared" si="1340"/>
        <v>0</v>
      </c>
      <c r="Q8610" s="17" t="str">
        <f t="shared" si="1342"/>
        <v>Pas d'écart</v>
      </c>
    </row>
    <row r="8611" spans="1:17" x14ac:dyDescent="0.3">
      <c r="A8611" s="34">
        <f>base!J8611</f>
        <v>0</v>
      </c>
      <c r="B8611" s="34">
        <f>base!V8611</f>
        <v>0</v>
      </c>
      <c r="C8611" s="40" t="s">
        <v>11</v>
      </c>
      <c r="D8611" s="36">
        <f>base!H8611</f>
        <v>0</v>
      </c>
      <c r="E8611" s="44"/>
      <c r="F8611" s="16">
        <f>base!W8611</f>
        <v>0</v>
      </c>
      <c r="G8611" s="11" t="e">
        <f t="shared" si="1334"/>
        <v>#DIV/0!</v>
      </c>
      <c r="H8611" s="11" t="e">
        <f t="shared" si="1335"/>
        <v>#N/A</v>
      </c>
      <c r="I8611" s="11" t="e">
        <f t="shared" si="1336"/>
        <v>#N/A</v>
      </c>
      <c r="J8611" s="12" t="e">
        <f t="shared" si="1337"/>
        <v>#N/A</v>
      </c>
      <c r="K8611" s="17" t="e">
        <f t="shared" si="1341"/>
        <v>#N/A</v>
      </c>
      <c r="L8611" s="16">
        <f>base!X8611</f>
        <v>0</v>
      </c>
      <c r="M8611" s="11" t="e">
        <f t="shared" si="1338"/>
        <v>#DIV/0!</v>
      </c>
      <c r="N8611" s="11"/>
      <c r="O8611" s="11" t="e">
        <f t="shared" si="1339"/>
        <v>#DIV/0!</v>
      </c>
      <c r="P8611" s="12">
        <f t="shared" si="1340"/>
        <v>0</v>
      </c>
      <c r="Q8611" s="17" t="str">
        <f t="shared" si="1342"/>
        <v>Pas d'écart</v>
      </c>
    </row>
    <row r="8612" spans="1:17" x14ac:dyDescent="0.3">
      <c r="A8612" s="34">
        <f>base!J8612</f>
        <v>0</v>
      </c>
      <c r="B8612" s="34">
        <f>base!V8612</f>
        <v>0</v>
      </c>
      <c r="C8612" s="40" t="s">
        <v>11</v>
      </c>
      <c r="D8612" s="36">
        <f>base!H8612</f>
        <v>0</v>
      </c>
      <c r="E8612" s="44"/>
      <c r="F8612" s="16">
        <f>base!W8612</f>
        <v>0</v>
      </c>
      <c r="G8612" s="11" t="e">
        <f t="shared" si="1334"/>
        <v>#DIV/0!</v>
      </c>
      <c r="H8612" s="11" t="e">
        <f t="shared" si="1335"/>
        <v>#N/A</v>
      </c>
      <c r="I8612" s="11" t="e">
        <f t="shared" si="1336"/>
        <v>#N/A</v>
      </c>
      <c r="J8612" s="12" t="e">
        <f t="shared" si="1337"/>
        <v>#N/A</v>
      </c>
      <c r="K8612" s="17" t="e">
        <f t="shared" si="1341"/>
        <v>#N/A</v>
      </c>
      <c r="L8612" s="16">
        <f>base!X8612</f>
        <v>0</v>
      </c>
      <c r="M8612" s="11" t="e">
        <f t="shared" si="1338"/>
        <v>#DIV/0!</v>
      </c>
      <c r="N8612" s="11"/>
      <c r="O8612" s="11" t="e">
        <f t="shared" si="1339"/>
        <v>#DIV/0!</v>
      </c>
      <c r="P8612" s="12">
        <f t="shared" si="1340"/>
        <v>0</v>
      </c>
      <c r="Q8612" s="17" t="str">
        <f t="shared" si="1342"/>
        <v>Pas d'écart</v>
      </c>
    </row>
    <row r="8613" spans="1:17" x14ac:dyDescent="0.3">
      <c r="A8613" s="34">
        <f>base!J8613</f>
        <v>0</v>
      </c>
      <c r="B8613" s="34">
        <f>base!V8613</f>
        <v>0</v>
      </c>
      <c r="C8613" s="40" t="s">
        <v>11</v>
      </c>
      <c r="D8613" s="36">
        <f>base!H8613</f>
        <v>0</v>
      </c>
      <c r="E8613" s="44"/>
      <c r="F8613" s="16">
        <f>base!W8613</f>
        <v>0</v>
      </c>
      <c r="G8613" s="11" t="e">
        <f t="shared" si="1334"/>
        <v>#DIV/0!</v>
      </c>
      <c r="H8613" s="11" t="e">
        <f t="shared" si="1335"/>
        <v>#N/A</v>
      </c>
      <c r="I8613" s="11" t="e">
        <f t="shared" si="1336"/>
        <v>#N/A</v>
      </c>
      <c r="J8613" s="12" t="e">
        <f t="shared" si="1337"/>
        <v>#N/A</v>
      </c>
      <c r="K8613" s="17" t="e">
        <f t="shared" si="1341"/>
        <v>#N/A</v>
      </c>
      <c r="L8613" s="16">
        <f>base!X8613</f>
        <v>0</v>
      </c>
      <c r="M8613" s="11" t="e">
        <f t="shared" si="1338"/>
        <v>#DIV/0!</v>
      </c>
      <c r="N8613" s="11"/>
      <c r="O8613" s="11" t="e">
        <f t="shared" si="1339"/>
        <v>#DIV/0!</v>
      </c>
      <c r="P8613" s="12">
        <f t="shared" si="1340"/>
        <v>0</v>
      </c>
      <c r="Q8613" s="17" t="str">
        <f t="shared" si="1342"/>
        <v>Pas d'écart</v>
      </c>
    </row>
    <row r="8614" spans="1:17" x14ac:dyDescent="0.3">
      <c r="A8614" s="34">
        <f>base!J8614</f>
        <v>0</v>
      </c>
      <c r="B8614" s="34">
        <f>base!V8614</f>
        <v>0</v>
      </c>
      <c r="C8614" s="40" t="s">
        <v>11</v>
      </c>
      <c r="D8614" s="36">
        <f>base!H8614</f>
        <v>0</v>
      </c>
      <c r="E8614" s="44"/>
      <c r="F8614" s="16">
        <f>base!W8614</f>
        <v>0</v>
      </c>
      <c r="G8614" s="11" t="e">
        <f t="shared" si="1334"/>
        <v>#DIV/0!</v>
      </c>
      <c r="H8614" s="11" t="e">
        <f t="shared" si="1335"/>
        <v>#N/A</v>
      </c>
      <c r="I8614" s="11" t="e">
        <f t="shared" si="1336"/>
        <v>#N/A</v>
      </c>
      <c r="J8614" s="12" t="e">
        <f t="shared" si="1337"/>
        <v>#N/A</v>
      </c>
      <c r="K8614" s="17" t="e">
        <f t="shared" si="1341"/>
        <v>#N/A</v>
      </c>
      <c r="L8614" s="16">
        <f>base!X8614</f>
        <v>0</v>
      </c>
      <c r="M8614" s="11" t="e">
        <f t="shared" si="1338"/>
        <v>#DIV/0!</v>
      </c>
      <c r="N8614" s="11"/>
      <c r="O8614" s="11" t="e">
        <f t="shared" si="1339"/>
        <v>#DIV/0!</v>
      </c>
      <c r="P8614" s="12">
        <f t="shared" si="1340"/>
        <v>0</v>
      </c>
      <c r="Q8614" s="17" t="str">
        <f t="shared" si="1342"/>
        <v>Pas d'écart</v>
      </c>
    </row>
    <row r="8615" spans="1:17" x14ac:dyDescent="0.3">
      <c r="A8615" s="34">
        <f>base!J8615</f>
        <v>0</v>
      </c>
      <c r="B8615" s="34">
        <f>base!V8615</f>
        <v>0</v>
      </c>
      <c r="C8615" s="40" t="s">
        <v>11</v>
      </c>
      <c r="D8615" s="36">
        <f>base!H8615</f>
        <v>0</v>
      </c>
      <c r="E8615" s="44"/>
      <c r="F8615" s="16">
        <f>base!W8615</f>
        <v>0</v>
      </c>
      <c r="G8615" s="11" t="e">
        <f t="shared" si="1334"/>
        <v>#DIV/0!</v>
      </c>
      <c r="H8615" s="11" t="e">
        <f t="shared" si="1335"/>
        <v>#N/A</v>
      </c>
      <c r="I8615" s="11" t="e">
        <f t="shared" si="1336"/>
        <v>#N/A</v>
      </c>
      <c r="J8615" s="12" t="e">
        <f t="shared" si="1337"/>
        <v>#N/A</v>
      </c>
      <c r="K8615" s="17" t="e">
        <f t="shared" si="1341"/>
        <v>#N/A</v>
      </c>
      <c r="L8615" s="16">
        <f>base!X8615</f>
        <v>0</v>
      </c>
      <c r="M8615" s="11" t="e">
        <f t="shared" si="1338"/>
        <v>#DIV/0!</v>
      </c>
      <c r="N8615" s="11"/>
      <c r="O8615" s="11" t="e">
        <f t="shared" si="1339"/>
        <v>#DIV/0!</v>
      </c>
      <c r="P8615" s="12">
        <f t="shared" si="1340"/>
        <v>0</v>
      </c>
      <c r="Q8615" s="17" t="str">
        <f t="shared" si="1342"/>
        <v>Pas d'écart</v>
      </c>
    </row>
    <row r="8616" spans="1:17" x14ac:dyDescent="0.3">
      <c r="A8616" s="34">
        <f>base!J8616</f>
        <v>0</v>
      </c>
      <c r="B8616" s="34">
        <f>base!V8616</f>
        <v>0</v>
      </c>
      <c r="C8616" s="40" t="s">
        <v>11</v>
      </c>
      <c r="D8616" s="36">
        <f>base!H8616</f>
        <v>0</v>
      </c>
      <c r="E8616" s="44"/>
      <c r="F8616" s="16">
        <f>base!W8616</f>
        <v>0</v>
      </c>
      <c r="G8616" s="11" t="e">
        <f t="shared" si="1334"/>
        <v>#DIV/0!</v>
      </c>
      <c r="H8616" s="11" t="e">
        <f t="shared" si="1335"/>
        <v>#N/A</v>
      </c>
      <c r="I8616" s="11" t="e">
        <f t="shared" si="1336"/>
        <v>#N/A</v>
      </c>
      <c r="J8616" s="12" t="e">
        <f t="shared" si="1337"/>
        <v>#N/A</v>
      </c>
      <c r="K8616" s="17" t="e">
        <f t="shared" si="1341"/>
        <v>#N/A</v>
      </c>
      <c r="L8616" s="16">
        <f>base!X8616</f>
        <v>0</v>
      </c>
      <c r="M8616" s="11" t="e">
        <f t="shared" si="1338"/>
        <v>#DIV/0!</v>
      </c>
      <c r="N8616" s="11"/>
      <c r="O8616" s="11" t="e">
        <f t="shared" si="1339"/>
        <v>#DIV/0!</v>
      </c>
      <c r="P8616" s="12">
        <f t="shared" si="1340"/>
        <v>0</v>
      </c>
      <c r="Q8616" s="17" t="str">
        <f t="shared" si="1342"/>
        <v>Pas d'écart</v>
      </c>
    </row>
    <row r="8617" spans="1:17" x14ac:dyDescent="0.3">
      <c r="A8617" s="34">
        <f>base!J8617</f>
        <v>0</v>
      </c>
      <c r="B8617" s="34">
        <f>base!V8617</f>
        <v>0</v>
      </c>
      <c r="C8617" s="40" t="s">
        <v>11</v>
      </c>
      <c r="D8617" s="36">
        <f>base!H8617</f>
        <v>0</v>
      </c>
      <c r="E8617" s="44"/>
      <c r="F8617" s="16">
        <f>base!W8617</f>
        <v>0</v>
      </c>
      <c r="G8617" s="11" t="e">
        <f t="shared" si="1334"/>
        <v>#DIV/0!</v>
      </c>
      <c r="H8617" s="11" t="e">
        <f t="shared" si="1335"/>
        <v>#N/A</v>
      </c>
      <c r="I8617" s="11" t="e">
        <f t="shared" si="1336"/>
        <v>#N/A</v>
      </c>
      <c r="J8617" s="12" t="e">
        <f t="shared" si="1337"/>
        <v>#N/A</v>
      </c>
      <c r="K8617" s="17" t="e">
        <f t="shared" si="1341"/>
        <v>#N/A</v>
      </c>
      <c r="L8617" s="16">
        <f>base!X8617</f>
        <v>0</v>
      </c>
      <c r="M8617" s="11" t="e">
        <f t="shared" si="1338"/>
        <v>#DIV/0!</v>
      </c>
      <c r="N8617" s="11"/>
      <c r="O8617" s="11" t="e">
        <f t="shared" si="1339"/>
        <v>#DIV/0!</v>
      </c>
      <c r="P8617" s="12">
        <f t="shared" si="1340"/>
        <v>0</v>
      </c>
      <c r="Q8617" s="17" t="str">
        <f t="shared" si="1342"/>
        <v>Pas d'écart</v>
      </c>
    </row>
    <row r="8618" spans="1:17" x14ac:dyDescent="0.3">
      <c r="A8618" s="34">
        <f>base!J8618</f>
        <v>0</v>
      </c>
      <c r="B8618" s="34">
        <f>base!V8618</f>
        <v>0</v>
      </c>
      <c r="C8618" s="40" t="s">
        <v>11</v>
      </c>
      <c r="D8618" s="36">
        <f>base!H8618</f>
        <v>0</v>
      </c>
      <c r="E8618" s="44"/>
      <c r="F8618" s="16">
        <f>base!W8618</f>
        <v>0</v>
      </c>
      <c r="G8618" s="11" t="e">
        <f t="shared" si="1334"/>
        <v>#DIV/0!</v>
      </c>
      <c r="H8618" s="11" t="e">
        <f t="shared" si="1335"/>
        <v>#N/A</v>
      </c>
      <c r="I8618" s="11" t="e">
        <f t="shared" si="1336"/>
        <v>#N/A</v>
      </c>
      <c r="J8618" s="12" t="e">
        <f t="shared" si="1337"/>
        <v>#N/A</v>
      </c>
      <c r="K8618" s="17" t="e">
        <f t="shared" si="1341"/>
        <v>#N/A</v>
      </c>
      <c r="L8618" s="16">
        <f>base!X8618</f>
        <v>0</v>
      </c>
      <c r="M8618" s="11" t="e">
        <f t="shared" si="1338"/>
        <v>#DIV/0!</v>
      </c>
      <c r="N8618" s="11"/>
      <c r="O8618" s="11" t="e">
        <f t="shared" si="1339"/>
        <v>#DIV/0!</v>
      </c>
      <c r="P8618" s="12">
        <f t="shared" si="1340"/>
        <v>0</v>
      </c>
      <c r="Q8618" s="17" t="str">
        <f t="shared" si="1342"/>
        <v>Pas d'écart</v>
      </c>
    </row>
    <row r="8619" spans="1:17" x14ac:dyDescent="0.3">
      <c r="A8619" s="34">
        <f>base!J8619</f>
        <v>0</v>
      </c>
      <c r="B8619" s="34">
        <f>base!V8619</f>
        <v>0</v>
      </c>
      <c r="C8619" s="40" t="s">
        <v>11</v>
      </c>
      <c r="D8619" s="36">
        <f>base!H8619</f>
        <v>0</v>
      </c>
      <c r="E8619" s="44"/>
      <c r="F8619" s="16">
        <f>base!W8619</f>
        <v>0</v>
      </c>
      <c r="G8619" s="11" t="e">
        <f t="shared" si="1334"/>
        <v>#DIV/0!</v>
      </c>
      <c r="H8619" s="11" t="e">
        <f t="shared" si="1335"/>
        <v>#N/A</v>
      </c>
      <c r="I8619" s="11" t="e">
        <f t="shared" si="1336"/>
        <v>#N/A</v>
      </c>
      <c r="J8619" s="12" t="e">
        <f t="shared" si="1337"/>
        <v>#N/A</v>
      </c>
      <c r="K8619" s="17" t="e">
        <f t="shared" si="1341"/>
        <v>#N/A</v>
      </c>
      <c r="L8619" s="16">
        <f>base!X8619</f>
        <v>0</v>
      </c>
      <c r="M8619" s="11" t="e">
        <f t="shared" si="1338"/>
        <v>#DIV/0!</v>
      </c>
      <c r="N8619" s="11"/>
      <c r="O8619" s="11" t="e">
        <f t="shared" si="1339"/>
        <v>#DIV/0!</v>
      </c>
      <c r="P8619" s="12">
        <f t="shared" si="1340"/>
        <v>0</v>
      </c>
      <c r="Q8619" s="17" t="str">
        <f t="shared" si="1342"/>
        <v>Pas d'écart</v>
      </c>
    </row>
    <row r="8620" spans="1:17" x14ac:dyDescent="0.3">
      <c r="A8620" s="34">
        <f>base!J8620</f>
        <v>0</v>
      </c>
      <c r="B8620" s="34">
        <f>base!V8620</f>
        <v>0</v>
      </c>
      <c r="C8620" s="40" t="s">
        <v>11</v>
      </c>
      <c r="D8620" s="36">
        <f>base!H8620</f>
        <v>0</v>
      </c>
      <c r="E8620" s="44"/>
      <c r="F8620" s="16">
        <f>base!W8620</f>
        <v>0</v>
      </c>
      <c r="G8620" s="11" t="e">
        <f t="shared" si="1334"/>
        <v>#DIV/0!</v>
      </c>
      <c r="H8620" s="11" t="e">
        <f t="shared" si="1335"/>
        <v>#N/A</v>
      </c>
      <c r="I8620" s="11" t="e">
        <f t="shared" si="1336"/>
        <v>#N/A</v>
      </c>
      <c r="J8620" s="12" t="e">
        <f t="shared" si="1337"/>
        <v>#N/A</v>
      </c>
      <c r="K8620" s="17" t="e">
        <f t="shared" si="1341"/>
        <v>#N/A</v>
      </c>
      <c r="L8620" s="16">
        <f>base!X8620</f>
        <v>0</v>
      </c>
      <c r="M8620" s="11" t="e">
        <f t="shared" si="1338"/>
        <v>#DIV/0!</v>
      </c>
      <c r="N8620" s="11"/>
      <c r="O8620" s="11" t="e">
        <f t="shared" si="1339"/>
        <v>#DIV/0!</v>
      </c>
      <c r="P8620" s="12">
        <f t="shared" si="1340"/>
        <v>0</v>
      </c>
      <c r="Q8620" s="17" t="str">
        <f t="shared" si="1342"/>
        <v>Pas d'écart</v>
      </c>
    </row>
    <row r="8621" spans="1:17" x14ac:dyDescent="0.3">
      <c r="A8621" s="34">
        <f>base!J8621</f>
        <v>0</v>
      </c>
      <c r="B8621" s="34">
        <f>base!V8621</f>
        <v>0</v>
      </c>
      <c r="C8621" s="40" t="s">
        <v>11</v>
      </c>
      <c r="D8621" s="36">
        <f>base!H8621</f>
        <v>0</v>
      </c>
      <c r="E8621" s="44"/>
      <c r="F8621" s="16">
        <f>base!W8621</f>
        <v>0</v>
      </c>
      <c r="G8621" s="11" t="e">
        <f t="shared" si="1334"/>
        <v>#DIV/0!</v>
      </c>
      <c r="H8621" s="11" t="e">
        <f t="shared" si="1335"/>
        <v>#N/A</v>
      </c>
      <c r="I8621" s="11" t="e">
        <f t="shared" si="1336"/>
        <v>#N/A</v>
      </c>
      <c r="J8621" s="12" t="e">
        <f t="shared" si="1337"/>
        <v>#N/A</v>
      </c>
      <c r="K8621" s="17" t="e">
        <f t="shared" si="1341"/>
        <v>#N/A</v>
      </c>
      <c r="L8621" s="16">
        <f>base!X8621</f>
        <v>0</v>
      </c>
      <c r="M8621" s="11" t="e">
        <f t="shared" si="1338"/>
        <v>#DIV/0!</v>
      </c>
      <c r="N8621" s="11"/>
      <c r="O8621" s="11" t="e">
        <f t="shared" si="1339"/>
        <v>#DIV/0!</v>
      </c>
      <c r="P8621" s="12">
        <f t="shared" si="1340"/>
        <v>0</v>
      </c>
      <c r="Q8621" s="17" t="str">
        <f t="shared" si="1342"/>
        <v>Pas d'écart</v>
      </c>
    </row>
    <row r="8622" spans="1:17" x14ac:dyDescent="0.3">
      <c r="A8622" s="34">
        <f>base!J8622</f>
        <v>0</v>
      </c>
      <c r="B8622" s="34">
        <f>base!V8622</f>
        <v>0</v>
      </c>
      <c r="C8622" s="40" t="s">
        <v>11</v>
      </c>
      <c r="D8622" s="36">
        <f>base!H8622</f>
        <v>0</v>
      </c>
      <c r="E8622" s="44"/>
      <c r="F8622" s="16">
        <f>base!W8622</f>
        <v>0</v>
      </c>
      <c r="G8622" s="11" t="e">
        <f t="shared" si="1334"/>
        <v>#DIV/0!</v>
      </c>
      <c r="H8622" s="11" t="e">
        <f t="shared" si="1335"/>
        <v>#N/A</v>
      </c>
      <c r="I8622" s="11" t="e">
        <f t="shared" si="1336"/>
        <v>#N/A</v>
      </c>
      <c r="J8622" s="12" t="e">
        <f t="shared" si="1337"/>
        <v>#N/A</v>
      </c>
      <c r="K8622" s="17" t="e">
        <f t="shared" si="1341"/>
        <v>#N/A</v>
      </c>
      <c r="L8622" s="16">
        <f>base!X8622</f>
        <v>0</v>
      </c>
      <c r="M8622" s="11" t="e">
        <f t="shared" si="1338"/>
        <v>#DIV/0!</v>
      </c>
      <c r="N8622" s="11"/>
      <c r="O8622" s="11" t="e">
        <f t="shared" si="1339"/>
        <v>#DIV/0!</v>
      </c>
      <c r="P8622" s="12">
        <f t="shared" si="1340"/>
        <v>0</v>
      </c>
      <c r="Q8622" s="17" t="str">
        <f t="shared" si="1342"/>
        <v>Pas d'écart</v>
      </c>
    </row>
    <row r="8623" spans="1:17" x14ac:dyDescent="0.3">
      <c r="A8623" s="34">
        <f>base!J8623</f>
        <v>0</v>
      </c>
      <c r="B8623" s="34">
        <f>base!V8623</f>
        <v>0</v>
      </c>
      <c r="C8623" s="40" t="s">
        <v>11</v>
      </c>
      <c r="D8623" s="36">
        <f>base!H8623</f>
        <v>0</v>
      </c>
      <c r="E8623" s="44"/>
      <c r="F8623" s="16">
        <f>base!W8623</f>
        <v>0</v>
      </c>
      <c r="G8623" s="11" t="e">
        <f t="shared" si="1334"/>
        <v>#DIV/0!</v>
      </c>
      <c r="H8623" s="11" t="e">
        <f t="shared" si="1335"/>
        <v>#N/A</v>
      </c>
      <c r="I8623" s="11" t="e">
        <f t="shared" si="1336"/>
        <v>#N/A</v>
      </c>
      <c r="J8623" s="12" t="e">
        <f t="shared" si="1337"/>
        <v>#N/A</v>
      </c>
      <c r="K8623" s="17" t="e">
        <f t="shared" si="1341"/>
        <v>#N/A</v>
      </c>
      <c r="L8623" s="16">
        <f>base!X8623</f>
        <v>0</v>
      </c>
      <c r="M8623" s="11" t="e">
        <f t="shared" si="1338"/>
        <v>#DIV/0!</v>
      </c>
      <c r="N8623" s="11"/>
      <c r="O8623" s="11" t="e">
        <f t="shared" si="1339"/>
        <v>#DIV/0!</v>
      </c>
      <c r="P8623" s="12">
        <f t="shared" si="1340"/>
        <v>0</v>
      </c>
      <c r="Q8623" s="17" t="str">
        <f t="shared" si="1342"/>
        <v>Pas d'écart</v>
      </c>
    </row>
    <row r="8624" spans="1:17" x14ac:dyDescent="0.3">
      <c r="A8624" s="34">
        <f>base!J8624</f>
        <v>0</v>
      </c>
      <c r="B8624" s="34">
        <f>base!V8624</f>
        <v>0</v>
      </c>
      <c r="C8624" s="40" t="s">
        <v>11</v>
      </c>
      <c r="D8624" s="36">
        <f>base!H8624</f>
        <v>0</v>
      </c>
      <c r="E8624" s="44"/>
      <c r="F8624" s="16">
        <f>base!W8624</f>
        <v>0</v>
      </c>
      <c r="G8624" s="11" t="e">
        <f t="shared" si="1334"/>
        <v>#DIV/0!</v>
      </c>
      <c r="H8624" s="11" t="e">
        <f t="shared" si="1335"/>
        <v>#N/A</v>
      </c>
      <c r="I8624" s="11" t="e">
        <f t="shared" si="1336"/>
        <v>#N/A</v>
      </c>
      <c r="J8624" s="12" t="e">
        <f t="shared" si="1337"/>
        <v>#N/A</v>
      </c>
      <c r="K8624" s="17" t="e">
        <f t="shared" si="1341"/>
        <v>#N/A</v>
      </c>
      <c r="L8624" s="16">
        <f>base!X8624</f>
        <v>0</v>
      </c>
      <c r="M8624" s="11" t="e">
        <f t="shared" si="1338"/>
        <v>#DIV/0!</v>
      </c>
      <c r="N8624" s="11"/>
      <c r="O8624" s="11" t="e">
        <f t="shared" si="1339"/>
        <v>#DIV/0!</v>
      </c>
      <c r="P8624" s="12">
        <f t="shared" si="1340"/>
        <v>0</v>
      </c>
      <c r="Q8624" s="17" t="str">
        <f t="shared" si="1342"/>
        <v>Pas d'écart</v>
      </c>
    </row>
    <row r="8625" spans="1:17" x14ac:dyDescent="0.3">
      <c r="A8625" s="34">
        <f>base!J8625</f>
        <v>0</v>
      </c>
      <c r="B8625" s="34">
        <f>base!V8625</f>
        <v>0</v>
      </c>
      <c r="C8625" s="40" t="s">
        <v>11</v>
      </c>
      <c r="D8625" s="36">
        <f>base!H8625</f>
        <v>0</v>
      </c>
      <c r="E8625" s="44"/>
      <c r="F8625" s="16">
        <f>base!W8625</f>
        <v>0</v>
      </c>
      <c r="G8625" s="11" t="e">
        <f t="shared" si="1334"/>
        <v>#DIV/0!</v>
      </c>
      <c r="H8625" s="11" t="e">
        <f t="shared" si="1335"/>
        <v>#N/A</v>
      </c>
      <c r="I8625" s="11" t="e">
        <f t="shared" si="1336"/>
        <v>#N/A</v>
      </c>
      <c r="J8625" s="12" t="e">
        <f t="shared" si="1337"/>
        <v>#N/A</v>
      </c>
      <c r="K8625" s="17" t="e">
        <f t="shared" si="1341"/>
        <v>#N/A</v>
      </c>
      <c r="L8625" s="16">
        <f>base!X8625</f>
        <v>0</v>
      </c>
      <c r="M8625" s="11" t="e">
        <f t="shared" si="1338"/>
        <v>#DIV/0!</v>
      </c>
      <c r="N8625" s="11"/>
      <c r="O8625" s="11" t="e">
        <f t="shared" si="1339"/>
        <v>#DIV/0!</v>
      </c>
      <c r="P8625" s="12">
        <f t="shared" si="1340"/>
        <v>0</v>
      </c>
      <c r="Q8625" s="17" t="str">
        <f t="shared" si="1342"/>
        <v>Pas d'écart</v>
      </c>
    </row>
    <row r="8626" spans="1:17" x14ac:dyDescent="0.3">
      <c r="A8626" s="34">
        <f>base!J8626</f>
        <v>0</v>
      </c>
      <c r="B8626" s="34">
        <f>base!V8626</f>
        <v>0</v>
      </c>
      <c r="C8626" s="40" t="s">
        <v>11</v>
      </c>
      <c r="D8626" s="36">
        <f>base!H8626</f>
        <v>0</v>
      </c>
      <c r="E8626" s="44"/>
      <c r="F8626" s="16">
        <f>base!W8626</f>
        <v>0</v>
      </c>
      <c r="G8626" s="11" t="e">
        <f t="shared" si="1334"/>
        <v>#DIV/0!</v>
      </c>
      <c r="H8626" s="11" t="e">
        <f t="shared" si="1335"/>
        <v>#N/A</v>
      </c>
      <c r="I8626" s="11" t="e">
        <f t="shared" si="1336"/>
        <v>#N/A</v>
      </c>
      <c r="J8626" s="12" t="e">
        <f t="shared" si="1337"/>
        <v>#N/A</v>
      </c>
      <c r="K8626" s="17" t="e">
        <f t="shared" si="1341"/>
        <v>#N/A</v>
      </c>
      <c r="L8626" s="16">
        <f>base!X8626</f>
        <v>0</v>
      </c>
      <c r="M8626" s="11" t="e">
        <f t="shared" si="1338"/>
        <v>#DIV/0!</v>
      </c>
      <c r="N8626" s="11"/>
      <c r="O8626" s="11" t="e">
        <f t="shared" si="1339"/>
        <v>#DIV/0!</v>
      </c>
      <c r="P8626" s="12">
        <f t="shared" si="1340"/>
        <v>0</v>
      </c>
      <c r="Q8626" s="17" t="str">
        <f t="shared" si="1342"/>
        <v>Pas d'écart</v>
      </c>
    </row>
    <row r="8627" spans="1:17" x14ac:dyDescent="0.3">
      <c r="A8627" s="34">
        <f>base!J8627</f>
        <v>0</v>
      </c>
      <c r="B8627" s="34">
        <f>base!V8627</f>
        <v>0</v>
      </c>
      <c r="C8627" s="40" t="s">
        <v>11</v>
      </c>
      <c r="D8627" s="36">
        <f>base!H8627</f>
        <v>0</v>
      </c>
      <c r="E8627" s="44"/>
      <c r="F8627" s="16">
        <f>base!W8627</f>
        <v>0</v>
      </c>
      <c r="G8627" s="11" t="e">
        <f t="shared" si="1334"/>
        <v>#DIV/0!</v>
      </c>
      <c r="H8627" s="11" t="e">
        <f t="shared" si="1335"/>
        <v>#N/A</v>
      </c>
      <c r="I8627" s="11" t="e">
        <f t="shared" si="1336"/>
        <v>#N/A</v>
      </c>
      <c r="J8627" s="12" t="e">
        <f t="shared" si="1337"/>
        <v>#N/A</v>
      </c>
      <c r="K8627" s="17" t="e">
        <f t="shared" si="1341"/>
        <v>#N/A</v>
      </c>
      <c r="L8627" s="16">
        <f>base!X8627</f>
        <v>0</v>
      </c>
      <c r="M8627" s="11" t="e">
        <f t="shared" si="1338"/>
        <v>#DIV/0!</v>
      </c>
      <c r="N8627" s="11"/>
      <c r="O8627" s="11" t="e">
        <f t="shared" si="1339"/>
        <v>#DIV/0!</v>
      </c>
      <c r="P8627" s="12">
        <f t="shared" si="1340"/>
        <v>0</v>
      </c>
      <c r="Q8627" s="17" t="str">
        <f t="shared" si="1342"/>
        <v>Pas d'écart</v>
      </c>
    </row>
    <row r="8628" spans="1:17" x14ac:dyDescent="0.3">
      <c r="A8628" s="34">
        <f>base!J8628</f>
        <v>0</v>
      </c>
      <c r="B8628" s="34">
        <f>base!V8628</f>
        <v>0</v>
      </c>
      <c r="C8628" s="40" t="s">
        <v>11</v>
      </c>
      <c r="D8628" s="36">
        <f>base!H8628</f>
        <v>0</v>
      </c>
      <c r="E8628" s="44"/>
      <c r="F8628" s="16">
        <f>base!W8628</f>
        <v>0</v>
      </c>
      <c r="G8628" s="11" t="e">
        <f t="shared" si="1334"/>
        <v>#DIV/0!</v>
      </c>
      <c r="H8628" s="11" t="e">
        <f t="shared" si="1335"/>
        <v>#N/A</v>
      </c>
      <c r="I8628" s="11" t="e">
        <f t="shared" si="1336"/>
        <v>#N/A</v>
      </c>
      <c r="J8628" s="12" t="e">
        <f t="shared" si="1337"/>
        <v>#N/A</v>
      </c>
      <c r="K8628" s="17" t="e">
        <f t="shared" si="1341"/>
        <v>#N/A</v>
      </c>
      <c r="L8628" s="16">
        <f>base!X8628</f>
        <v>0</v>
      </c>
      <c r="M8628" s="11" t="e">
        <f t="shared" si="1338"/>
        <v>#DIV/0!</v>
      </c>
      <c r="N8628" s="11"/>
      <c r="O8628" s="11" t="e">
        <f t="shared" si="1339"/>
        <v>#DIV/0!</v>
      </c>
      <c r="P8628" s="12">
        <f t="shared" si="1340"/>
        <v>0</v>
      </c>
      <c r="Q8628" s="17" t="str">
        <f t="shared" si="1342"/>
        <v>Pas d'écart</v>
      </c>
    </row>
    <row r="8629" spans="1:17" x14ac:dyDescent="0.3">
      <c r="A8629" s="34">
        <f>base!J8629</f>
        <v>0</v>
      </c>
      <c r="B8629" s="34">
        <f>base!V8629</f>
        <v>0</v>
      </c>
      <c r="C8629" s="40" t="s">
        <v>11</v>
      </c>
      <c r="D8629" s="36">
        <f>base!H8629</f>
        <v>0</v>
      </c>
      <c r="E8629" s="44"/>
      <c r="F8629" s="16">
        <f>base!W8629</f>
        <v>0</v>
      </c>
      <c r="G8629" s="11" t="e">
        <f t="shared" si="1334"/>
        <v>#DIV/0!</v>
      </c>
      <c r="H8629" s="11" t="e">
        <f t="shared" si="1335"/>
        <v>#N/A</v>
      </c>
      <c r="I8629" s="11" t="e">
        <f t="shared" si="1336"/>
        <v>#N/A</v>
      </c>
      <c r="J8629" s="12" t="e">
        <f t="shared" si="1337"/>
        <v>#N/A</v>
      </c>
      <c r="K8629" s="17" t="e">
        <f t="shared" si="1341"/>
        <v>#N/A</v>
      </c>
      <c r="L8629" s="16">
        <f>base!X8629</f>
        <v>0</v>
      </c>
      <c r="M8629" s="11" t="e">
        <f t="shared" si="1338"/>
        <v>#DIV/0!</v>
      </c>
      <c r="N8629" s="11"/>
      <c r="O8629" s="11" t="e">
        <f t="shared" si="1339"/>
        <v>#DIV/0!</v>
      </c>
      <c r="P8629" s="12">
        <f t="shared" si="1340"/>
        <v>0</v>
      </c>
      <c r="Q8629" s="17" t="str">
        <f t="shared" si="1342"/>
        <v>Pas d'écart</v>
      </c>
    </row>
    <row r="8630" spans="1:17" x14ac:dyDescent="0.3">
      <c r="A8630" s="34">
        <f>base!J8630</f>
        <v>0</v>
      </c>
      <c r="B8630" s="34">
        <f>base!V8630</f>
        <v>0</v>
      </c>
      <c r="C8630" s="40" t="s">
        <v>11</v>
      </c>
      <c r="D8630" s="36">
        <f>base!H8630</f>
        <v>0</v>
      </c>
      <c r="E8630" s="44"/>
      <c r="F8630" s="16">
        <f>base!W8630</f>
        <v>0</v>
      </c>
      <c r="G8630" s="11" t="e">
        <f t="shared" si="1334"/>
        <v>#DIV/0!</v>
      </c>
      <c r="H8630" s="11" t="e">
        <f t="shared" si="1335"/>
        <v>#N/A</v>
      </c>
      <c r="I8630" s="11" t="e">
        <f t="shared" si="1336"/>
        <v>#N/A</v>
      </c>
      <c r="J8630" s="12" t="e">
        <f t="shared" si="1337"/>
        <v>#N/A</v>
      </c>
      <c r="K8630" s="17" t="e">
        <f t="shared" si="1341"/>
        <v>#N/A</v>
      </c>
      <c r="L8630" s="16">
        <f>base!X8630</f>
        <v>0</v>
      </c>
      <c r="M8630" s="11" t="e">
        <f t="shared" si="1338"/>
        <v>#DIV/0!</v>
      </c>
      <c r="N8630" s="11"/>
      <c r="O8630" s="11" t="e">
        <f t="shared" si="1339"/>
        <v>#DIV/0!</v>
      </c>
      <c r="P8630" s="12">
        <f t="shared" si="1340"/>
        <v>0</v>
      </c>
      <c r="Q8630" s="17" t="str">
        <f t="shared" si="1342"/>
        <v>Pas d'écart</v>
      </c>
    </row>
    <row r="8631" spans="1:17" x14ac:dyDescent="0.3">
      <c r="A8631" s="34">
        <f>base!J8631</f>
        <v>0</v>
      </c>
      <c r="B8631" s="34">
        <f>base!V8631</f>
        <v>0</v>
      </c>
      <c r="C8631" s="40" t="s">
        <v>11</v>
      </c>
      <c r="D8631" s="36">
        <f>base!H8631</f>
        <v>0</v>
      </c>
      <c r="E8631" s="44"/>
      <c r="F8631" s="16">
        <f>base!W8631</f>
        <v>0</v>
      </c>
      <c r="G8631" s="11" t="e">
        <f t="shared" si="1334"/>
        <v>#DIV/0!</v>
      </c>
      <c r="H8631" s="11" t="e">
        <f t="shared" si="1335"/>
        <v>#N/A</v>
      </c>
      <c r="I8631" s="11" t="e">
        <f t="shared" si="1336"/>
        <v>#N/A</v>
      </c>
      <c r="J8631" s="12" t="e">
        <f t="shared" si="1337"/>
        <v>#N/A</v>
      </c>
      <c r="K8631" s="17" t="e">
        <f t="shared" si="1341"/>
        <v>#N/A</v>
      </c>
      <c r="L8631" s="16">
        <f>base!X8631</f>
        <v>0</v>
      </c>
      <c r="M8631" s="11" t="e">
        <f t="shared" si="1338"/>
        <v>#DIV/0!</v>
      </c>
      <c r="N8631" s="11"/>
      <c r="O8631" s="11" t="e">
        <f t="shared" si="1339"/>
        <v>#DIV/0!</v>
      </c>
      <c r="P8631" s="12">
        <f t="shared" si="1340"/>
        <v>0</v>
      </c>
      <c r="Q8631" s="17" t="str">
        <f t="shared" si="1342"/>
        <v>Pas d'écart</v>
      </c>
    </row>
    <row r="8632" spans="1:17" x14ac:dyDescent="0.3">
      <c r="A8632" s="34">
        <f>base!J8632</f>
        <v>0</v>
      </c>
      <c r="B8632" s="34">
        <f>base!V8632</f>
        <v>0</v>
      </c>
      <c r="C8632" s="40" t="s">
        <v>11</v>
      </c>
      <c r="D8632" s="36">
        <f>base!H8632</f>
        <v>0</v>
      </c>
      <c r="E8632" s="44"/>
      <c r="F8632" s="16">
        <f>base!W8632</f>
        <v>0</v>
      </c>
      <c r="G8632" s="11" t="e">
        <f t="shared" si="1334"/>
        <v>#DIV/0!</v>
      </c>
      <c r="H8632" s="11" t="e">
        <f t="shared" si="1335"/>
        <v>#N/A</v>
      </c>
      <c r="I8632" s="11" t="e">
        <f t="shared" si="1336"/>
        <v>#N/A</v>
      </c>
      <c r="J8632" s="12" t="e">
        <f t="shared" si="1337"/>
        <v>#N/A</v>
      </c>
      <c r="K8632" s="17" t="e">
        <f t="shared" si="1341"/>
        <v>#N/A</v>
      </c>
      <c r="L8632" s="16">
        <f>base!X8632</f>
        <v>0</v>
      </c>
      <c r="M8632" s="11" t="e">
        <f t="shared" si="1338"/>
        <v>#DIV/0!</v>
      </c>
      <c r="N8632" s="11"/>
      <c r="O8632" s="11" t="e">
        <f t="shared" si="1339"/>
        <v>#DIV/0!</v>
      </c>
      <c r="P8632" s="12">
        <f t="shared" si="1340"/>
        <v>0</v>
      </c>
      <c r="Q8632" s="17" t="str">
        <f t="shared" si="1342"/>
        <v>Pas d'écart</v>
      </c>
    </row>
    <row r="8633" spans="1:17" x14ac:dyDescent="0.3">
      <c r="A8633" s="34">
        <f>base!J8633</f>
        <v>0</v>
      </c>
      <c r="B8633" s="34">
        <f>base!V8633</f>
        <v>0</v>
      </c>
      <c r="C8633" s="40" t="s">
        <v>11</v>
      </c>
      <c r="D8633" s="36">
        <f>base!H8633</f>
        <v>0</v>
      </c>
      <c r="E8633" s="44"/>
      <c r="F8633" s="16">
        <f>base!W8633</f>
        <v>0</v>
      </c>
      <c r="G8633" s="11" t="e">
        <f t="shared" si="1334"/>
        <v>#DIV/0!</v>
      </c>
      <c r="H8633" s="11" t="e">
        <f t="shared" si="1335"/>
        <v>#N/A</v>
      </c>
      <c r="I8633" s="11" t="e">
        <f t="shared" si="1336"/>
        <v>#N/A</v>
      </c>
      <c r="J8633" s="12" t="e">
        <f t="shared" si="1337"/>
        <v>#N/A</v>
      </c>
      <c r="K8633" s="17" t="e">
        <f t="shared" si="1341"/>
        <v>#N/A</v>
      </c>
      <c r="L8633" s="16">
        <f>base!X8633</f>
        <v>0</v>
      </c>
      <c r="M8633" s="11" t="e">
        <f t="shared" si="1338"/>
        <v>#DIV/0!</v>
      </c>
      <c r="N8633" s="11"/>
      <c r="O8633" s="11" t="e">
        <f t="shared" si="1339"/>
        <v>#DIV/0!</v>
      </c>
      <c r="P8633" s="12">
        <f t="shared" si="1340"/>
        <v>0</v>
      </c>
      <c r="Q8633" s="17" t="str">
        <f t="shared" si="1342"/>
        <v>Pas d'écart</v>
      </c>
    </row>
    <row r="8634" spans="1:17" x14ac:dyDescent="0.3">
      <c r="A8634" s="34">
        <f>base!J8634</f>
        <v>0</v>
      </c>
      <c r="B8634" s="34">
        <f>base!V8634</f>
        <v>0</v>
      </c>
      <c r="C8634" s="40" t="s">
        <v>11</v>
      </c>
      <c r="D8634" s="36">
        <f>base!H8634</f>
        <v>0</v>
      </c>
      <c r="E8634" s="44"/>
      <c r="F8634" s="16">
        <f>base!W8634</f>
        <v>0</v>
      </c>
      <c r="G8634" s="11" t="e">
        <f t="shared" si="1334"/>
        <v>#DIV/0!</v>
      </c>
      <c r="H8634" s="11" t="e">
        <f t="shared" si="1335"/>
        <v>#N/A</v>
      </c>
      <c r="I8634" s="11" t="e">
        <f t="shared" si="1336"/>
        <v>#N/A</v>
      </c>
      <c r="J8634" s="12" t="e">
        <f t="shared" si="1337"/>
        <v>#N/A</v>
      </c>
      <c r="K8634" s="17" t="e">
        <f t="shared" si="1341"/>
        <v>#N/A</v>
      </c>
      <c r="L8634" s="16">
        <f>base!X8634</f>
        <v>0</v>
      </c>
      <c r="M8634" s="11" t="e">
        <f t="shared" si="1338"/>
        <v>#DIV/0!</v>
      </c>
      <c r="N8634" s="11"/>
      <c r="O8634" s="11" t="e">
        <f t="shared" si="1339"/>
        <v>#DIV/0!</v>
      </c>
      <c r="P8634" s="12">
        <f t="shared" si="1340"/>
        <v>0</v>
      </c>
      <c r="Q8634" s="17" t="str">
        <f t="shared" si="1342"/>
        <v>Pas d'écart</v>
      </c>
    </row>
    <row r="8635" spans="1:17" x14ac:dyDescent="0.3">
      <c r="A8635" s="34">
        <f>base!J8635</f>
        <v>0</v>
      </c>
      <c r="B8635" s="34">
        <f>base!V8635</f>
        <v>0</v>
      </c>
      <c r="C8635" s="40" t="s">
        <v>11</v>
      </c>
      <c r="D8635" s="36">
        <f>base!H8635</f>
        <v>0</v>
      </c>
      <c r="E8635" s="44"/>
      <c r="F8635" s="16">
        <f>base!W8635</f>
        <v>0</v>
      </c>
      <c r="G8635" s="11" t="e">
        <f t="shared" si="1334"/>
        <v>#DIV/0!</v>
      </c>
      <c r="H8635" s="11" t="e">
        <f t="shared" si="1335"/>
        <v>#N/A</v>
      </c>
      <c r="I8635" s="11" t="e">
        <f t="shared" si="1336"/>
        <v>#N/A</v>
      </c>
      <c r="J8635" s="12" t="e">
        <f t="shared" si="1337"/>
        <v>#N/A</v>
      </c>
      <c r="K8635" s="17" t="e">
        <f t="shared" si="1341"/>
        <v>#N/A</v>
      </c>
      <c r="L8635" s="16">
        <f>base!X8635</f>
        <v>0</v>
      </c>
      <c r="M8635" s="11" t="e">
        <f t="shared" si="1338"/>
        <v>#DIV/0!</v>
      </c>
      <c r="N8635" s="11"/>
      <c r="O8635" s="11" t="e">
        <f t="shared" si="1339"/>
        <v>#DIV/0!</v>
      </c>
      <c r="P8635" s="12">
        <f t="shared" si="1340"/>
        <v>0</v>
      </c>
      <c r="Q8635" s="17" t="str">
        <f t="shared" si="1342"/>
        <v>Pas d'écart</v>
      </c>
    </row>
    <row r="8636" spans="1:17" x14ac:dyDescent="0.3">
      <c r="A8636" s="34">
        <f>base!J8636</f>
        <v>0</v>
      </c>
      <c r="B8636" s="34">
        <f>base!V8636</f>
        <v>0</v>
      </c>
      <c r="C8636" s="40" t="s">
        <v>11</v>
      </c>
      <c r="D8636" s="36">
        <f>base!H8636</f>
        <v>0</v>
      </c>
      <c r="E8636" s="44"/>
      <c r="F8636" s="16">
        <f>base!W8636</f>
        <v>0</v>
      </c>
      <c r="G8636" s="11" t="e">
        <f t="shared" si="1334"/>
        <v>#DIV/0!</v>
      </c>
      <c r="H8636" s="11" t="e">
        <f t="shared" si="1335"/>
        <v>#N/A</v>
      </c>
      <c r="I8636" s="11" t="e">
        <f t="shared" si="1336"/>
        <v>#N/A</v>
      </c>
      <c r="J8636" s="12" t="e">
        <f t="shared" si="1337"/>
        <v>#N/A</v>
      </c>
      <c r="K8636" s="17" t="e">
        <f t="shared" si="1341"/>
        <v>#N/A</v>
      </c>
      <c r="L8636" s="16">
        <f>base!X8636</f>
        <v>0</v>
      </c>
      <c r="M8636" s="11" t="e">
        <f t="shared" si="1338"/>
        <v>#DIV/0!</v>
      </c>
      <c r="N8636" s="11"/>
      <c r="O8636" s="11" t="e">
        <f t="shared" si="1339"/>
        <v>#DIV/0!</v>
      </c>
      <c r="P8636" s="12">
        <f t="shared" si="1340"/>
        <v>0</v>
      </c>
      <c r="Q8636" s="17" t="str">
        <f t="shared" si="1342"/>
        <v>Pas d'écart</v>
      </c>
    </row>
    <row r="8637" spans="1:17" x14ac:dyDescent="0.3">
      <c r="A8637" s="34">
        <f>base!J8637</f>
        <v>0</v>
      </c>
      <c r="B8637" s="34">
        <f>base!V8637</f>
        <v>0</v>
      </c>
      <c r="C8637" s="40" t="s">
        <v>11</v>
      </c>
      <c r="D8637" s="36">
        <f>base!H8637</f>
        <v>0</v>
      </c>
      <c r="E8637" s="44"/>
      <c r="F8637" s="16">
        <f>base!W8637</f>
        <v>0</v>
      </c>
      <c r="G8637" s="11" t="e">
        <f t="shared" si="1334"/>
        <v>#DIV/0!</v>
      </c>
      <c r="H8637" s="11" t="e">
        <f t="shared" si="1335"/>
        <v>#N/A</v>
      </c>
      <c r="I8637" s="11" t="e">
        <f t="shared" si="1336"/>
        <v>#N/A</v>
      </c>
      <c r="J8637" s="12" t="e">
        <f t="shared" si="1337"/>
        <v>#N/A</v>
      </c>
      <c r="K8637" s="17" t="e">
        <f t="shared" si="1341"/>
        <v>#N/A</v>
      </c>
      <c r="L8637" s="16">
        <f>base!X8637</f>
        <v>0</v>
      </c>
      <c r="M8637" s="11" t="e">
        <f t="shared" si="1338"/>
        <v>#DIV/0!</v>
      </c>
      <c r="N8637" s="11"/>
      <c r="O8637" s="11" t="e">
        <f t="shared" si="1339"/>
        <v>#DIV/0!</v>
      </c>
      <c r="P8637" s="12">
        <f t="shared" si="1340"/>
        <v>0</v>
      </c>
      <c r="Q8637" s="17" t="str">
        <f t="shared" si="1342"/>
        <v>Pas d'écart</v>
      </c>
    </row>
    <row r="8638" spans="1:17" x14ac:dyDescent="0.3">
      <c r="A8638" s="34">
        <f>base!J8638</f>
        <v>0</v>
      </c>
      <c r="B8638" s="34">
        <f>base!V8638</f>
        <v>0</v>
      </c>
      <c r="C8638" s="40" t="s">
        <v>11</v>
      </c>
      <c r="D8638" s="36">
        <f>base!H8638</f>
        <v>0</v>
      </c>
      <c r="E8638" s="44"/>
      <c r="F8638" s="16">
        <f>base!W8638</f>
        <v>0</v>
      </c>
      <c r="G8638" s="11" t="e">
        <f t="shared" si="1334"/>
        <v>#DIV/0!</v>
      </c>
      <c r="H8638" s="11" t="e">
        <f t="shared" si="1335"/>
        <v>#N/A</v>
      </c>
      <c r="I8638" s="11" t="e">
        <f t="shared" si="1336"/>
        <v>#N/A</v>
      </c>
      <c r="J8638" s="12" t="e">
        <f t="shared" si="1337"/>
        <v>#N/A</v>
      </c>
      <c r="K8638" s="17" t="e">
        <f t="shared" si="1341"/>
        <v>#N/A</v>
      </c>
      <c r="L8638" s="16">
        <f>base!X8638</f>
        <v>0</v>
      </c>
      <c r="M8638" s="11" t="e">
        <f t="shared" si="1338"/>
        <v>#DIV/0!</v>
      </c>
      <c r="N8638" s="11"/>
      <c r="O8638" s="11" t="e">
        <f t="shared" si="1339"/>
        <v>#DIV/0!</v>
      </c>
      <c r="P8638" s="12">
        <f t="shared" si="1340"/>
        <v>0</v>
      </c>
      <c r="Q8638" s="17" t="str">
        <f t="shared" si="1342"/>
        <v>Pas d'écart</v>
      </c>
    </row>
    <row r="8639" spans="1:17" x14ac:dyDescent="0.3">
      <c r="A8639" s="34">
        <f>base!J8639</f>
        <v>0</v>
      </c>
      <c r="B8639" s="34">
        <f>base!V8639</f>
        <v>0</v>
      </c>
      <c r="C8639" s="40" t="s">
        <v>11</v>
      </c>
      <c r="D8639" s="36">
        <f>base!H8639</f>
        <v>0</v>
      </c>
      <c r="E8639" s="44"/>
      <c r="F8639" s="16">
        <f>base!W8639</f>
        <v>0</v>
      </c>
      <c r="G8639" s="11" t="e">
        <f t="shared" si="1334"/>
        <v>#DIV/0!</v>
      </c>
      <c r="H8639" s="11" t="e">
        <f t="shared" si="1335"/>
        <v>#N/A</v>
      </c>
      <c r="I8639" s="11" t="e">
        <f t="shared" si="1336"/>
        <v>#N/A</v>
      </c>
      <c r="J8639" s="12" t="e">
        <f t="shared" si="1337"/>
        <v>#N/A</v>
      </c>
      <c r="K8639" s="17" t="e">
        <f t="shared" si="1341"/>
        <v>#N/A</v>
      </c>
      <c r="L8639" s="16">
        <f>base!X8639</f>
        <v>0</v>
      </c>
      <c r="M8639" s="11" t="e">
        <f t="shared" si="1338"/>
        <v>#DIV/0!</v>
      </c>
      <c r="N8639" s="11"/>
      <c r="O8639" s="11" t="e">
        <f t="shared" si="1339"/>
        <v>#DIV/0!</v>
      </c>
      <c r="P8639" s="12">
        <f t="shared" si="1340"/>
        <v>0</v>
      </c>
      <c r="Q8639" s="17" t="str">
        <f t="shared" si="1342"/>
        <v>Pas d'écart</v>
      </c>
    </row>
    <row r="8640" spans="1:17" x14ac:dyDescent="0.3">
      <c r="A8640" s="34">
        <f>base!J8640</f>
        <v>0</v>
      </c>
      <c r="B8640" s="34">
        <f>base!V8640</f>
        <v>0</v>
      </c>
      <c r="C8640" s="40" t="s">
        <v>11</v>
      </c>
      <c r="D8640" s="36">
        <f>base!H8640</f>
        <v>0</v>
      </c>
      <c r="E8640" s="44"/>
      <c r="F8640" s="16">
        <f>base!W8640</f>
        <v>0</v>
      </c>
      <c r="G8640" s="11" t="e">
        <f t="shared" si="1334"/>
        <v>#DIV/0!</v>
      </c>
      <c r="H8640" s="11" t="e">
        <f t="shared" si="1335"/>
        <v>#N/A</v>
      </c>
      <c r="I8640" s="11" t="e">
        <f t="shared" si="1336"/>
        <v>#N/A</v>
      </c>
      <c r="J8640" s="12" t="e">
        <f t="shared" si="1337"/>
        <v>#N/A</v>
      </c>
      <c r="K8640" s="17" t="e">
        <f t="shared" si="1341"/>
        <v>#N/A</v>
      </c>
      <c r="L8640" s="16">
        <f>base!X8640</f>
        <v>0</v>
      </c>
      <c r="M8640" s="11" t="e">
        <f t="shared" si="1338"/>
        <v>#DIV/0!</v>
      </c>
      <c r="N8640" s="11"/>
      <c r="O8640" s="11" t="e">
        <f t="shared" si="1339"/>
        <v>#DIV/0!</v>
      </c>
      <c r="P8640" s="12">
        <f t="shared" si="1340"/>
        <v>0</v>
      </c>
      <c r="Q8640" s="17" t="str">
        <f t="shared" si="1342"/>
        <v>Pas d'écart</v>
      </c>
    </row>
    <row r="8641" spans="1:17" x14ac:dyDescent="0.3">
      <c r="A8641" s="34">
        <f>base!J8641</f>
        <v>0</v>
      </c>
      <c r="B8641" s="34">
        <f>base!V8641</f>
        <v>0</v>
      </c>
      <c r="C8641" s="40" t="s">
        <v>11</v>
      </c>
      <c r="D8641" s="36">
        <f>base!H8641</f>
        <v>0</v>
      </c>
      <c r="E8641" s="44"/>
      <c r="F8641" s="16">
        <f>base!W8641</f>
        <v>0</v>
      </c>
      <c r="G8641" s="11" t="e">
        <f t="shared" si="1334"/>
        <v>#DIV/0!</v>
      </c>
      <c r="H8641" s="11" t="e">
        <f t="shared" si="1335"/>
        <v>#N/A</v>
      </c>
      <c r="I8641" s="11" t="e">
        <f t="shared" si="1336"/>
        <v>#N/A</v>
      </c>
      <c r="J8641" s="12" t="e">
        <f t="shared" si="1337"/>
        <v>#N/A</v>
      </c>
      <c r="K8641" s="17" t="e">
        <f t="shared" si="1341"/>
        <v>#N/A</v>
      </c>
      <c r="L8641" s="16">
        <f>base!X8641</f>
        <v>0</v>
      </c>
      <c r="M8641" s="11" t="e">
        <f t="shared" si="1338"/>
        <v>#DIV/0!</v>
      </c>
      <c r="N8641" s="11"/>
      <c r="O8641" s="11" t="e">
        <f t="shared" si="1339"/>
        <v>#DIV/0!</v>
      </c>
      <c r="P8641" s="12">
        <f t="shared" si="1340"/>
        <v>0</v>
      </c>
      <c r="Q8641" s="17" t="str">
        <f t="shared" si="1342"/>
        <v>Pas d'écart</v>
      </c>
    </row>
    <row r="8642" spans="1:17" x14ac:dyDescent="0.3">
      <c r="A8642" s="34">
        <f>base!J8642</f>
        <v>0</v>
      </c>
      <c r="B8642" s="34">
        <f>base!V8642</f>
        <v>0</v>
      </c>
      <c r="C8642" s="40" t="s">
        <v>11</v>
      </c>
      <c r="D8642" s="36">
        <f>base!H8642</f>
        <v>0</v>
      </c>
      <c r="E8642" s="44"/>
      <c r="F8642" s="16">
        <f>base!W8642</f>
        <v>0</v>
      </c>
      <c r="G8642" s="11" t="e">
        <f t="shared" ref="G8642:G8705" si="1343">F8642/D8642</f>
        <v>#DIV/0!</v>
      </c>
      <c r="H8642" s="11" t="e">
        <f t="shared" ref="H8642:H8705" si="1344">VLOOKUP(C8642,tout_cout_traction,2,FALSE)*D8642</f>
        <v>#N/A</v>
      </c>
      <c r="I8642" s="11" t="e">
        <f t="shared" ref="I8642:I8705" si="1345">H8642/D8642</f>
        <v>#N/A</v>
      </c>
      <c r="J8642" s="12" t="e">
        <f t="shared" ref="J8642:J8705" si="1346">F8642-H8642</f>
        <v>#N/A</v>
      </c>
      <c r="K8642" s="17" t="e">
        <f t="shared" si="1341"/>
        <v>#N/A</v>
      </c>
      <c r="L8642" s="16">
        <f>base!X8642</f>
        <v>0</v>
      </c>
      <c r="M8642" s="11" t="e">
        <f t="shared" ref="M8642:M8705" si="1347">L8642/D8642</f>
        <v>#DIV/0!</v>
      </c>
      <c r="N8642" s="11"/>
      <c r="O8642" s="11" t="e">
        <f t="shared" ref="O8642:O8705" si="1348">N8642/D8642</f>
        <v>#DIV/0!</v>
      </c>
      <c r="P8642" s="12">
        <f t="shared" ref="P8642:P8705" si="1349">L8642-N8642</f>
        <v>0</v>
      </c>
      <c r="Q8642" s="17" t="str">
        <f t="shared" si="1342"/>
        <v>Pas d'écart</v>
      </c>
    </row>
    <row r="8643" spans="1:17" x14ac:dyDescent="0.3">
      <c r="A8643" s="34">
        <f>base!J8643</f>
        <v>0</v>
      </c>
      <c r="B8643" s="34">
        <f>base!V8643</f>
        <v>0</v>
      </c>
      <c r="C8643" s="40" t="s">
        <v>11</v>
      </c>
      <c r="D8643" s="36">
        <f>base!H8643</f>
        <v>0</v>
      </c>
      <c r="E8643" s="44"/>
      <c r="F8643" s="16">
        <f>base!W8643</f>
        <v>0</v>
      </c>
      <c r="G8643" s="11" t="e">
        <f t="shared" si="1343"/>
        <v>#DIV/0!</v>
      </c>
      <c r="H8643" s="11" t="e">
        <f t="shared" si="1344"/>
        <v>#N/A</v>
      </c>
      <c r="I8643" s="11" t="e">
        <f t="shared" si="1345"/>
        <v>#N/A</v>
      </c>
      <c r="J8643" s="12" t="e">
        <f t="shared" si="1346"/>
        <v>#N/A</v>
      </c>
      <c r="K8643" s="17" t="e">
        <f t="shared" ref="K8643:K8706" si="1350">IF(H8643=F8643,"Pas d'écart",IF(H8643&lt;F8643,"Ecart positif",IF(H8643&gt;F8643,"Ecart négatif")))</f>
        <v>#N/A</v>
      </c>
      <c r="L8643" s="16">
        <f>base!X8643</f>
        <v>0</v>
      </c>
      <c r="M8643" s="11" t="e">
        <f t="shared" si="1347"/>
        <v>#DIV/0!</v>
      </c>
      <c r="N8643" s="11"/>
      <c r="O8643" s="11" t="e">
        <f t="shared" si="1348"/>
        <v>#DIV/0!</v>
      </c>
      <c r="P8643" s="12">
        <f t="shared" si="1349"/>
        <v>0</v>
      </c>
      <c r="Q8643" s="17" t="str">
        <f t="shared" ref="Q8643:Q8706" si="1351">IF(N8643=L8643,"Pas d'écart",IF(N8643&lt;L8643,"Ecart positif",IF(N8643&gt;L8643,"Ecart négatif")))</f>
        <v>Pas d'écart</v>
      </c>
    </row>
    <row r="8644" spans="1:17" x14ac:dyDescent="0.3">
      <c r="A8644" s="34">
        <f>base!J8644</f>
        <v>0</v>
      </c>
      <c r="B8644" s="34">
        <f>base!V8644</f>
        <v>0</v>
      </c>
      <c r="C8644" s="40" t="s">
        <v>11</v>
      </c>
      <c r="D8644" s="36">
        <f>base!H8644</f>
        <v>0</v>
      </c>
      <c r="E8644" s="44"/>
      <c r="F8644" s="16">
        <f>base!W8644</f>
        <v>0</v>
      </c>
      <c r="G8644" s="11" t="e">
        <f t="shared" si="1343"/>
        <v>#DIV/0!</v>
      </c>
      <c r="H8644" s="11" t="e">
        <f t="shared" si="1344"/>
        <v>#N/A</v>
      </c>
      <c r="I8644" s="11" t="e">
        <f t="shared" si="1345"/>
        <v>#N/A</v>
      </c>
      <c r="J8644" s="12" t="e">
        <f t="shared" si="1346"/>
        <v>#N/A</v>
      </c>
      <c r="K8644" s="17" t="e">
        <f t="shared" si="1350"/>
        <v>#N/A</v>
      </c>
      <c r="L8644" s="16">
        <f>base!X8644</f>
        <v>0</v>
      </c>
      <c r="M8644" s="11" t="e">
        <f t="shared" si="1347"/>
        <v>#DIV/0!</v>
      </c>
      <c r="N8644" s="11"/>
      <c r="O8644" s="11" t="e">
        <f t="shared" si="1348"/>
        <v>#DIV/0!</v>
      </c>
      <c r="P8644" s="12">
        <f t="shared" si="1349"/>
        <v>0</v>
      </c>
      <c r="Q8644" s="17" t="str">
        <f t="shared" si="1351"/>
        <v>Pas d'écart</v>
      </c>
    </row>
    <row r="8645" spans="1:17" x14ac:dyDescent="0.3">
      <c r="A8645" s="34">
        <f>base!J8645</f>
        <v>0</v>
      </c>
      <c r="B8645" s="34">
        <f>base!V8645</f>
        <v>0</v>
      </c>
      <c r="C8645" s="40" t="s">
        <v>11</v>
      </c>
      <c r="D8645" s="36">
        <f>base!H8645</f>
        <v>0</v>
      </c>
      <c r="E8645" s="44"/>
      <c r="F8645" s="16">
        <f>base!W8645</f>
        <v>0</v>
      </c>
      <c r="G8645" s="11" t="e">
        <f t="shared" si="1343"/>
        <v>#DIV/0!</v>
      </c>
      <c r="H8645" s="11" t="e">
        <f t="shared" si="1344"/>
        <v>#N/A</v>
      </c>
      <c r="I8645" s="11" t="e">
        <f t="shared" si="1345"/>
        <v>#N/A</v>
      </c>
      <c r="J8645" s="12" t="e">
        <f t="shared" si="1346"/>
        <v>#N/A</v>
      </c>
      <c r="K8645" s="17" t="e">
        <f t="shared" si="1350"/>
        <v>#N/A</v>
      </c>
      <c r="L8645" s="16">
        <f>base!X8645</f>
        <v>0</v>
      </c>
      <c r="M8645" s="11" t="e">
        <f t="shared" si="1347"/>
        <v>#DIV/0!</v>
      </c>
      <c r="N8645" s="11"/>
      <c r="O8645" s="11" t="e">
        <f t="shared" si="1348"/>
        <v>#DIV/0!</v>
      </c>
      <c r="P8645" s="12">
        <f t="shared" si="1349"/>
        <v>0</v>
      </c>
      <c r="Q8645" s="17" t="str">
        <f t="shared" si="1351"/>
        <v>Pas d'écart</v>
      </c>
    </row>
    <row r="8646" spans="1:17" x14ac:dyDescent="0.3">
      <c r="A8646" s="34">
        <f>base!J8646</f>
        <v>0</v>
      </c>
      <c r="B8646" s="34">
        <f>base!V8646</f>
        <v>0</v>
      </c>
      <c r="C8646" s="40" t="s">
        <v>11</v>
      </c>
      <c r="D8646" s="36">
        <f>base!H8646</f>
        <v>0</v>
      </c>
      <c r="E8646" s="44"/>
      <c r="F8646" s="16">
        <f>base!W8646</f>
        <v>0</v>
      </c>
      <c r="G8646" s="11" t="e">
        <f t="shared" si="1343"/>
        <v>#DIV/0!</v>
      </c>
      <c r="H8646" s="11" t="e">
        <f t="shared" si="1344"/>
        <v>#N/A</v>
      </c>
      <c r="I8646" s="11" t="e">
        <f t="shared" si="1345"/>
        <v>#N/A</v>
      </c>
      <c r="J8646" s="12" t="e">
        <f t="shared" si="1346"/>
        <v>#N/A</v>
      </c>
      <c r="K8646" s="17" t="e">
        <f t="shared" si="1350"/>
        <v>#N/A</v>
      </c>
      <c r="L8646" s="16">
        <f>base!X8646</f>
        <v>0</v>
      </c>
      <c r="M8646" s="11" t="e">
        <f t="shared" si="1347"/>
        <v>#DIV/0!</v>
      </c>
      <c r="N8646" s="11"/>
      <c r="O8646" s="11" t="e">
        <f t="shared" si="1348"/>
        <v>#DIV/0!</v>
      </c>
      <c r="P8646" s="12">
        <f t="shared" si="1349"/>
        <v>0</v>
      </c>
      <c r="Q8646" s="17" t="str">
        <f t="shared" si="1351"/>
        <v>Pas d'écart</v>
      </c>
    </row>
    <row r="8647" spans="1:17" x14ac:dyDescent="0.3">
      <c r="A8647" s="34">
        <f>base!J8647</f>
        <v>0</v>
      </c>
      <c r="B8647" s="34">
        <f>base!V8647</f>
        <v>0</v>
      </c>
      <c r="C8647" s="40" t="s">
        <v>11</v>
      </c>
      <c r="D8647" s="36">
        <f>base!H8647</f>
        <v>0</v>
      </c>
      <c r="E8647" s="44"/>
      <c r="F8647" s="16">
        <f>base!W8647</f>
        <v>0</v>
      </c>
      <c r="G8647" s="11" t="e">
        <f t="shared" si="1343"/>
        <v>#DIV/0!</v>
      </c>
      <c r="H8647" s="11" t="e">
        <f t="shared" si="1344"/>
        <v>#N/A</v>
      </c>
      <c r="I8647" s="11" t="e">
        <f t="shared" si="1345"/>
        <v>#N/A</v>
      </c>
      <c r="J8647" s="12" t="e">
        <f t="shared" si="1346"/>
        <v>#N/A</v>
      </c>
      <c r="K8647" s="17" t="e">
        <f t="shared" si="1350"/>
        <v>#N/A</v>
      </c>
      <c r="L8647" s="16">
        <f>base!X8647</f>
        <v>0</v>
      </c>
      <c r="M8647" s="11" t="e">
        <f t="shared" si="1347"/>
        <v>#DIV/0!</v>
      </c>
      <c r="N8647" s="11"/>
      <c r="O8647" s="11" t="e">
        <f t="shared" si="1348"/>
        <v>#DIV/0!</v>
      </c>
      <c r="P8647" s="12">
        <f t="shared" si="1349"/>
        <v>0</v>
      </c>
      <c r="Q8647" s="17" t="str">
        <f t="shared" si="1351"/>
        <v>Pas d'écart</v>
      </c>
    </row>
    <row r="8648" spans="1:17" x14ac:dyDescent="0.3">
      <c r="A8648" s="34">
        <f>base!J8648</f>
        <v>0</v>
      </c>
      <c r="B8648" s="34">
        <f>base!V8648</f>
        <v>0</v>
      </c>
      <c r="C8648" s="40" t="s">
        <v>11</v>
      </c>
      <c r="D8648" s="36">
        <f>base!H8648</f>
        <v>0</v>
      </c>
      <c r="E8648" s="44"/>
      <c r="F8648" s="16">
        <f>base!W8648</f>
        <v>0</v>
      </c>
      <c r="G8648" s="11" t="e">
        <f t="shared" si="1343"/>
        <v>#DIV/0!</v>
      </c>
      <c r="H8648" s="11" t="e">
        <f t="shared" si="1344"/>
        <v>#N/A</v>
      </c>
      <c r="I8648" s="11" t="e">
        <f t="shared" si="1345"/>
        <v>#N/A</v>
      </c>
      <c r="J8648" s="12" t="e">
        <f t="shared" si="1346"/>
        <v>#N/A</v>
      </c>
      <c r="K8648" s="17" t="e">
        <f t="shared" si="1350"/>
        <v>#N/A</v>
      </c>
      <c r="L8648" s="16">
        <f>base!X8648</f>
        <v>0</v>
      </c>
      <c r="M8648" s="11" t="e">
        <f t="shared" si="1347"/>
        <v>#DIV/0!</v>
      </c>
      <c r="N8648" s="11"/>
      <c r="O8648" s="11" t="e">
        <f t="shared" si="1348"/>
        <v>#DIV/0!</v>
      </c>
      <c r="P8648" s="12">
        <f t="shared" si="1349"/>
        <v>0</v>
      </c>
      <c r="Q8648" s="17" t="str">
        <f t="shared" si="1351"/>
        <v>Pas d'écart</v>
      </c>
    </row>
    <row r="8649" spans="1:17" x14ac:dyDescent="0.3">
      <c r="A8649" s="34">
        <f>base!J8649</f>
        <v>0</v>
      </c>
      <c r="B8649" s="34">
        <f>base!V8649</f>
        <v>0</v>
      </c>
      <c r="C8649" s="40" t="s">
        <v>11</v>
      </c>
      <c r="D8649" s="36">
        <f>base!H8649</f>
        <v>0</v>
      </c>
      <c r="E8649" s="44"/>
      <c r="F8649" s="16">
        <f>base!W8649</f>
        <v>0</v>
      </c>
      <c r="G8649" s="11" t="e">
        <f t="shared" si="1343"/>
        <v>#DIV/0!</v>
      </c>
      <c r="H8649" s="11" t="e">
        <f t="shared" si="1344"/>
        <v>#N/A</v>
      </c>
      <c r="I8649" s="11" t="e">
        <f t="shared" si="1345"/>
        <v>#N/A</v>
      </c>
      <c r="J8649" s="12" t="e">
        <f t="shared" si="1346"/>
        <v>#N/A</v>
      </c>
      <c r="K8649" s="17" t="e">
        <f t="shared" si="1350"/>
        <v>#N/A</v>
      </c>
      <c r="L8649" s="16">
        <f>base!X8649</f>
        <v>0</v>
      </c>
      <c r="M8649" s="11" t="e">
        <f t="shared" si="1347"/>
        <v>#DIV/0!</v>
      </c>
      <c r="N8649" s="11"/>
      <c r="O8649" s="11" t="e">
        <f t="shared" si="1348"/>
        <v>#DIV/0!</v>
      </c>
      <c r="P8649" s="12">
        <f t="shared" si="1349"/>
        <v>0</v>
      </c>
      <c r="Q8649" s="17" t="str">
        <f t="shared" si="1351"/>
        <v>Pas d'écart</v>
      </c>
    </row>
    <row r="8650" spans="1:17" x14ac:dyDescent="0.3">
      <c r="A8650" s="34">
        <f>base!J8650</f>
        <v>0</v>
      </c>
      <c r="B8650" s="34">
        <f>base!V8650</f>
        <v>0</v>
      </c>
      <c r="C8650" s="40" t="s">
        <v>11</v>
      </c>
      <c r="D8650" s="36">
        <f>base!H8650</f>
        <v>0</v>
      </c>
      <c r="E8650" s="44"/>
      <c r="F8650" s="16">
        <f>base!W8650</f>
        <v>0</v>
      </c>
      <c r="G8650" s="11" t="e">
        <f t="shared" si="1343"/>
        <v>#DIV/0!</v>
      </c>
      <c r="H8650" s="11" t="e">
        <f t="shared" si="1344"/>
        <v>#N/A</v>
      </c>
      <c r="I8650" s="11" t="e">
        <f t="shared" si="1345"/>
        <v>#N/A</v>
      </c>
      <c r="J8650" s="12" t="e">
        <f t="shared" si="1346"/>
        <v>#N/A</v>
      </c>
      <c r="K8650" s="17" t="e">
        <f t="shared" si="1350"/>
        <v>#N/A</v>
      </c>
      <c r="L8650" s="16">
        <f>base!X8650</f>
        <v>0</v>
      </c>
      <c r="M8650" s="11" t="e">
        <f t="shared" si="1347"/>
        <v>#DIV/0!</v>
      </c>
      <c r="N8650" s="11"/>
      <c r="O8650" s="11" t="e">
        <f t="shared" si="1348"/>
        <v>#DIV/0!</v>
      </c>
      <c r="P8650" s="12">
        <f t="shared" si="1349"/>
        <v>0</v>
      </c>
      <c r="Q8650" s="17" t="str">
        <f t="shared" si="1351"/>
        <v>Pas d'écart</v>
      </c>
    </row>
    <row r="8651" spans="1:17" x14ac:dyDescent="0.3">
      <c r="A8651" s="34">
        <f>base!J8651</f>
        <v>0</v>
      </c>
      <c r="B8651" s="34">
        <f>base!V8651</f>
        <v>0</v>
      </c>
      <c r="C8651" s="40" t="s">
        <v>11</v>
      </c>
      <c r="D8651" s="36">
        <f>base!H8651</f>
        <v>0</v>
      </c>
      <c r="E8651" s="44"/>
      <c r="F8651" s="16">
        <f>base!W8651</f>
        <v>0</v>
      </c>
      <c r="G8651" s="11" t="e">
        <f t="shared" si="1343"/>
        <v>#DIV/0!</v>
      </c>
      <c r="H8651" s="11" t="e">
        <f t="shared" si="1344"/>
        <v>#N/A</v>
      </c>
      <c r="I8651" s="11" t="e">
        <f t="shared" si="1345"/>
        <v>#N/A</v>
      </c>
      <c r="J8651" s="12" t="e">
        <f t="shared" si="1346"/>
        <v>#N/A</v>
      </c>
      <c r="K8651" s="17" t="e">
        <f t="shared" si="1350"/>
        <v>#N/A</v>
      </c>
      <c r="L8651" s="16">
        <f>base!X8651</f>
        <v>0</v>
      </c>
      <c r="M8651" s="11" t="e">
        <f t="shared" si="1347"/>
        <v>#DIV/0!</v>
      </c>
      <c r="N8651" s="11"/>
      <c r="O8651" s="11" t="e">
        <f t="shared" si="1348"/>
        <v>#DIV/0!</v>
      </c>
      <c r="P8651" s="12">
        <f t="shared" si="1349"/>
        <v>0</v>
      </c>
      <c r="Q8651" s="17" t="str">
        <f t="shared" si="1351"/>
        <v>Pas d'écart</v>
      </c>
    </row>
    <row r="8652" spans="1:17" x14ac:dyDescent="0.3">
      <c r="A8652" s="34">
        <f>base!J8652</f>
        <v>0</v>
      </c>
      <c r="B8652" s="34">
        <f>base!V8652</f>
        <v>0</v>
      </c>
      <c r="C8652" s="40" t="s">
        <v>11</v>
      </c>
      <c r="D8652" s="36">
        <f>base!H8652</f>
        <v>0</v>
      </c>
      <c r="E8652" s="44"/>
      <c r="F8652" s="16">
        <f>base!W8652</f>
        <v>0</v>
      </c>
      <c r="G8652" s="11" t="e">
        <f t="shared" si="1343"/>
        <v>#DIV/0!</v>
      </c>
      <c r="H8652" s="11" t="e">
        <f t="shared" si="1344"/>
        <v>#N/A</v>
      </c>
      <c r="I8652" s="11" t="e">
        <f t="shared" si="1345"/>
        <v>#N/A</v>
      </c>
      <c r="J8652" s="12" t="e">
        <f t="shared" si="1346"/>
        <v>#N/A</v>
      </c>
      <c r="K8652" s="17" t="e">
        <f t="shared" si="1350"/>
        <v>#N/A</v>
      </c>
      <c r="L8652" s="16">
        <f>base!X8652</f>
        <v>0</v>
      </c>
      <c r="M8652" s="11" t="e">
        <f t="shared" si="1347"/>
        <v>#DIV/0!</v>
      </c>
      <c r="N8652" s="11"/>
      <c r="O8652" s="11" t="e">
        <f t="shared" si="1348"/>
        <v>#DIV/0!</v>
      </c>
      <c r="P8652" s="12">
        <f t="shared" si="1349"/>
        <v>0</v>
      </c>
      <c r="Q8652" s="17" t="str">
        <f t="shared" si="1351"/>
        <v>Pas d'écart</v>
      </c>
    </row>
    <row r="8653" spans="1:17" x14ac:dyDescent="0.3">
      <c r="A8653" s="34">
        <f>base!J8653</f>
        <v>0</v>
      </c>
      <c r="B8653" s="34">
        <f>base!V8653</f>
        <v>0</v>
      </c>
      <c r="C8653" s="40" t="s">
        <v>11</v>
      </c>
      <c r="D8653" s="36">
        <f>base!H8653</f>
        <v>0</v>
      </c>
      <c r="E8653" s="44"/>
      <c r="F8653" s="16">
        <f>base!W8653</f>
        <v>0</v>
      </c>
      <c r="G8653" s="11" t="e">
        <f t="shared" si="1343"/>
        <v>#DIV/0!</v>
      </c>
      <c r="H8653" s="11" t="e">
        <f t="shared" si="1344"/>
        <v>#N/A</v>
      </c>
      <c r="I8653" s="11" t="e">
        <f t="shared" si="1345"/>
        <v>#N/A</v>
      </c>
      <c r="J8653" s="12" t="e">
        <f t="shared" si="1346"/>
        <v>#N/A</v>
      </c>
      <c r="K8653" s="17" t="e">
        <f t="shared" si="1350"/>
        <v>#N/A</v>
      </c>
      <c r="L8653" s="16">
        <f>base!X8653</f>
        <v>0</v>
      </c>
      <c r="M8653" s="11" t="e">
        <f t="shared" si="1347"/>
        <v>#DIV/0!</v>
      </c>
      <c r="N8653" s="11"/>
      <c r="O8653" s="11" t="e">
        <f t="shared" si="1348"/>
        <v>#DIV/0!</v>
      </c>
      <c r="P8653" s="12">
        <f t="shared" si="1349"/>
        <v>0</v>
      </c>
      <c r="Q8653" s="17" t="str">
        <f t="shared" si="1351"/>
        <v>Pas d'écart</v>
      </c>
    </row>
    <row r="8654" spans="1:17" x14ac:dyDescent="0.3">
      <c r="A8654" s="34">
        <f>base!J8654</f>
        <v>0</v>
      </c>
      <c r="B8654" s="34">
        <f>base!V8654</f>
        <v>0</v>
      </c>
      <c r="C8654" s="40" t="s">
        <v>11</v>
      </c>
      <c r="D8654" s="36">
        <f>base!H8654</f>
        <v>0</v>
      </c>
      <c r="E8654" s="44"/>
      <c r="F8654" s="16">
        <f>base!W8654</f>
        <v>0</v>
      </c>
      <c r="G8654" s="11" t="e">
        <f t="shared" si="1343"/>
        <v>#DIV/0!</v>
      </c>
      <c r="H8654" s="11" t="e">
        <f t="shared" si="1344"/>
        <v>#N/A</v>
      </c>
      <c r="I8654" s="11" t="e">
        <f t="shared" si="1345"/>
        <v>#N/A</v>
      </c>
      <c r="J8654" s="12" t="e">
        <f t="shared" si="1346"/>
        <v>#N/A</v>
      </c>
      <c r="K8654" s="17" t="e">
        <f t="shared" si="1350"/>
        <v>#N/A</v>
      </c>
      <c r="L8654" s="16">
        <f>base!X8654</f>
        <v>0</v>
      </c>
      <c r="M8654" s="11" t="e">
        <f t="shared" si="1347"/>
        <v>#DIV/0!</v>
      </c>
      <c r="N8654" s="11"/>
      <c r="O8654" s="11" t="e">
        <f t="shared" si="1348"/>
        <v>#DIV/0!</v>
      </c>
      <c r="P8654" s="12">
        <f t="shared" si="1349"/>
        <v>0</v>
      </c>
      <c r="Q8654" s="17" t="str">
        <f t="shared" si="1351"/>
        <v>Pas d'écart</v>
      </c>
    </row>
    <row r="8655" spans="1:17" x14ac:dyDescent="0.3">
      <c r="A8655" s="34">
        <f>base!J8655</f>
        <v>0</v>
      </c>
      <c r="B8655" s="34">
        <f>base!V8655</f>
        <v>0</v>
      </c>
      <c r="C8655" s="40" t="s">
        <v>11</v>
      </c>
      <c r="D8655" s="36">
        <f>base!H8655</f>
        <v>0</v>
      </c>
      <c r="E8655" s="44"/>
      <c r="F8655" s="16">
        <f>base!W8655</f>
        <v>0</v>
      </c>
      <c r="G8655" s="11" t="e">
        <f t="shared" si="1343"/>
        <v>#DIV/0!</v>
      </c>
      <c r="H8655" s="11" t="e">
        <f t="shared" si="1344"/>
        <v>#N/A</v>
      </c>
      <c r="I8655" s="11" t="e">
        <f t="shared" si="1345"/>
        <v>#N/A</v>
      </c>
      <c r="J8655" s="12" t="e">
        <f t="shared" si="1346"/>
        <v>#N/A</v>
      </c>
      <c r="K8655" s="17" t="e">
        <f t="shared" si="1350"/>
        <v>#N/A</v>
      </c>
      <c r="L8655" s="16">
        <f>base!X8655</f>
        <v>0</v>
      </c>
      <c r="M8655" s="11" t="e">
        <f t="shared" si="1347"/>
        <v>#DIV/0!</v>
      </c>
      <c r="N8655" s="11"/>
      <c r="O8655" s="11" t="e">
        <f t="shared" si="1348"/>
        <v>#DIV/0!</v>
      </c>
      <c r="P8655" s="12">
        <f t="shared" si="1349"/>
        <v>0</v>
      </c>
      <c r="Q8655" s="17" t="str">
        <f t="shared" si="1351"/>
        <v>Pas d'écart</v>
      </c>
    </row>
    <row r="8656" spans="1:17" x14ac:dyDescent="0.3">
      <c r="A8656" s="34">
        <f>base!J8656</f>
        <v>0</v>
      </c>
      <c r="B8656" s="34">
        <f>base!V8656</f>
        <v>0</v>
      </c>
      <c r="C8656" s="40" t="s">
        <v>11</v>
      </c>
      <c r="D8656" s="36">
        <f>base!H8656</f>
        <v>0</v>
      </c>
      <c r="E8656" s="44"/>
      <c r="F8656" s="16">
        <f>base!W8656</f>
        <v>0</v>
      </c>
      <c r="G8656" s="11" t="e">
        <f t="shared" si="1343"/>
        <v>#DIV/0!</v>
      </c>
      <c r="H8656" s="11" t="e">
        <f t="shared" si="1344"/>
        <v>#N/A</v>
      </c>
      <c r="I8656" s="11" t="e">
        <f t="shared" si="1345"/>
        <v>#N/A</v>
      </c>
      <c r="J8656" s="12" t="e">
        <f t="shared" si="1346"/>
        <v>#N/A</v>
      </c>
      <c r="K8656" s="17" t="e">
        <f t="shared" si="1350"/>
        <v>#N/A</v>
      </c>
      <c r="L8656" s="16">
        <f>base!X8656</f>
        <v>0</v>
      </c>
      <c r="M8656" s="11" t="e">
        <f t="shared" si="1347"/>
        <v>#DIV/0!</v>
      </c>
      <c r="N8656" s="11"/>
      <c r="O8656" s="11" t="e">
        <f t="shared" si="1348"/>
        <v>#DIV/0!</v>
      </c>
      <c r="P8656" s="12">
        <f t="shared" si="1349"/>
        <v>0</v>
      </c>
      <c r="Q8656" s="17" t="str">
        <f t="shared" si="1351"/>
        <v>Pas d'écart</v>
      </c>
    </row>
    <row r="8657" spans="1:17" x14ac:dyDescent="0.3">
      <c r="A8657" s="34">
        <f>base!J8657</f>
        <v>0</v>
      </c>
      <c r="B8657" s="34">
        <f>base!V8657</f>
        <v>0</v>
      </c>
      <c r="C8657" s="40" t="s">
        <v>11</v>
      </c>
      <c r="D8657" s="36">
        <f>base!H8657</f>
        <v>0</v>
      </c>
      <c r="E8657" s="44"/>
      <c r="F8657" s="16">
        <f>base!W8657</f>
        <v>0</v>
      </c>
      <c r="G8657" s="11" t="e">
        <f t="shared" si="1343"/>
        <v>#DIV/0!</v>
      </c>
      <c r="H8657" s="11" t="e">
        <f t="shared" si="1344"/>
        <v>#N/A</v>
      </c>
      <c r="I8657" s="11" t="e">
        <f t="shared" si="1345"/>
        <v>#N/A</v>
      </c>
      <c r="J8657" s="12" t="e">
        <f t="shared" si="1346"/>
        <v>#N/A</v>
      </c>
      <c r="K8657" s="17" t="e">
        <f t="shared" si="1350"/>
        <v>#N/A</v>
      </c>
      <c r="L8657" s="16">
        <f>base!X8657</f>
        <v>0</v>
      </c>
      <c r="M8657" s="11" t="e">
        <f t="shared" si="1347"/>
        <v>#DIV/0!</v>
      </c>
      <c r="N8657" s="11"/>
      <c r="O8657" s="11" t="e">
        <f t="shared" si="1348"/>
        <v>#DIV/0!</v>
      </c>
      <c r="P8657" s="12">
        <f t="shared" si="1349"/>
        <v>0</v>
      </c>
      <c r="Q8657" s="17" t="str">
        <f t="shared" si="1351"/>
        <v>Pas d'écart</v>
      </c>
    </row>
    <row r="8658" spans="1:17" x14ac:dyDescent="0.3">
      <c r="A8658" s="34">
        <f>base!J8658</f>
        <v>0</v>
      </c>
      <c r="B8658" s="34">
        <f>base!V8658</f>
        <v>0</v>
      </c>
      <c r="C8658" s="40" t="s">
        <v>11</v>
      </c>
      <c r="D8658" s="36">
        <f>base!H8658</f>
        <v>0</v>
      </c>
      <c r="E8658" s="44"/>
      <c r="F8658" s="16">
        <f>base!W8658</f>
        <v>0</v>
      </c>
      <c r="G8658" s="11" t="e">
        <f t="shared" si="1343"/>
        <v>#DIV/0!</v>
      </c>
      <c r="H8658" s="11" t="e">
        <f t="shared" si="1344"/>
        <v>#N/A</v>
      </c>
      <c r="I8658" s="11" t="e">
        <f t="shared" si="1345"/>
        <v>#N/A</v>
      </c>
      <c r="J8658" s="12" t="e">
        <f t="shared" si="1346"/>
        <v>#N/A</v>
      </c>
      <c r="K8658" s="17" t="e">
        <f t="shared" si="1350"/>
        <v>#N/A</v>
      </c>
      <c r="L8658" s="16">
        <f>base!X8658</f>
        <v>0</v>
      </c>
      <c r="M8658" s="11" t="e">
        <f t="shared" si="1347"/>
        <v>#DIV/0!</v>
      </c>
      <c r="N8658" s="11"/>
      <c r="O8658" s="11" t="e">
        <f t="shared" si="1348"/>
        <v>#DIV/0!</v>
      </c>
      <c r="P8658" s="12">
        <f t="shared" si="1349"/>
        <v>0</v>
      </c>
      <c r="Q8658" s="17" t="str">
        <f t="shared" si="1351"/>
        <v>Pas d'écart</v>
      </c>
    </row>
    <row r="8659" spans="1:17" x14ac:dyDescent="0.3">
      <c r="A8659" s="34">
        <f>base!J8659</f>
        <v>0</v>
      </c>
      <c r="B8659" s="34">
        <f>base!V8659</f>
        <v>0</v>
      </c>
      <c r="C8659" s="40" t="s">
        <v>11</v>
      </c>
      <c r="D8659" s="36">
        <f>base!H8659</f>
        <v>0</v>
      </c>
      <c r="E8659" s="44"/>
      <c r="F8659" s="16">
        <f>base!W8659</f>
        <v>0</v>
      </c>
      <c r="G8659" s="11" t="e">
        <f t="shared" si="1343"/>
        <v>#DIV/0!</v>
      </c>
      <c r="H8659" s="11" t="e">
        <f t="shared" si="1344"/>
        <v>#N/A</v>
      </c>
      <c r="I8659" s="11" t="e">
        <f t="shared" si="1345"/>
        <v>#N/A</v>
      </c>
      <c r="J8659" s="12" t="e">
        <f t="shared" si="1346"/>
        <v>#N/A</v>
      </c>
      <c r="K8659" s="17" t="e">
        <f t="shared" si="1350"/>
        <v>#N/A</v>
      </c>
      <c r="L8659" s="16">
        <f>base!X8659</f>
        <v>0</v>
      </c>
      <c r="M8659" s="11" t="e">
        <f t="shared" si="1347"/>
        <v>#DIV/0!</v>
      </c>
      <c r="N8659" s="11"/>
      <c r="O8659" s="11" t="e">
        <f t="shared" si="1348"/>
        <v>#DIV/0!</v>
      </c>
      <c r="P8659" s="12">
        <f t="shared" si="1349"/>
        <v>0</v>
      </c>
      <c r="Q8659" s="17" t="str">
        <f t="shared" si="1351"/>
        <v>Pas d'écart</v>
      </c>
    </row>
    <row r="8660" spans="1:17" x14ac:dyDescent="0.3">
      <c r="A8660" s="34">
        <f>base!J8660</f>
        <v>0</v>
      </c>
      <c r="B8660" s="34">
        <f>base!V8660</f>
        <v>0</v>
      </c>
      <c r="C8660" s="40" t="s">
        <v>11</v>
      </c>
      <c r="D8660" s="36">
        <f>base!H8660</f>
        <v>0</v>
      </c>
      <c r="E8660" s="44"/>
      <c r="F8660" s="16">
        <f>base!W8660</f>
        <v>0</v>
      </c>
      <c r="G8660" s="11" t="e">
        <f t="shared" si="1343"/>
        <v>#DIV/0!</v>
      </c>
      <c r="H8660" s="11" t="e">
        <f t="shared" si="1344"/>
        <v>#N/A</v>
      </c>
      <c r="I8660" s="11" t="e">
        <f t="shared" si="1345"/>
        <v>#N/A</v>
      </c>
      <c r="J8660" s="12" t="e">
        <f t="shared" si="1346"/>
        <v>#N/A</v>
      </c>
      <c r="K8660" s="17" t="e">
        <f t="shared" si="1350"/>
        <v>#N/A</v>
      </c>
      <c r="L8660" s="16">
        <f>base!X8660</f>
        <v>0</v>
      </c>
      <c r="M8660" s="11" t="e">
        <f t="shared" si="1347"/>
        <v>#DIV/0!</v>
      </c>
      <c r="N8660" s="11"/>
      <c r="O8660" s="11" t="e">
        <f t="shared" si="1348"/>
        <v>#DIV/0!</v>
      </c>
      <c r="P8660" s="12">
        <f t="shared" si="1349"/>
        <v>0</v>
      </c>
      <c r="Q8660" s="17" t="str">
        <f t="shared" si="1351"/>
        <v>Pas d'écart</v>
      </c>
    </row>
    <row r="8661" spans="1:17" x14ac:dyDescent="0.3">
      <c r="A8661" s="34">
        <f>base!J8661</f>
        <v>0</v>
      </c>
      <c r="B8661" s="34">
        <f>base!V8661</f>
        <v>0</v>
      </c>
      <c r="C8661" s="40" t="s">
        <v>11</v>
      </c>
      <c r="D8661" s="36">
        <f>base!H8661</f>
        <v>0</v>
      </c>
      <c r="E8661" s="44"/>
      <c r="F8661" s="16">
        <f>base!W8661</f>
        <v>0</v>
      </c>
      <c r="G8661" s="11" t="e">
        <f t="shared" si="1343"/>
        <v>#DIV/0!</v>
      </c>
      <c r="H8661" s="11" t="e">
        <f t="shared" si="1344"/>
        <v>#N/A</v>
      </c>
      <c r="I8661" s="11" t="e">
        <f t="shared" si="1345"/>
        <v>#N/A</v>
      </c>
      <c r="J8661" s="12" t="e">
        <f t="shared" si="1346"/>
        <v>#N/A</v>
      </c>
      <c r="K8661" s="17" t="e">
        <f t="shared" si="1350"/>
        <v>#N/A</v>
      </c>
      <c r="L8661" s="16">
        <f>base!X8661</f>
        <v>0</v>
      </c>
      <c r="M8661" s="11" t="e">
        <f t="shared" si="1347"/>
        <v>#DIV/0!</v>
      </c>
      <c r="N8661" s="11"/>
      <c r="O8661" s="11" t="e">
        <f t="shared" si="1348"/>
        <v>#DIV/0!</v>
      </c>
      <c r="P8661" s="12">
        <f t="shared" si="1349"/>
        <v>0</v>
      </c>
      <c r="Q8661" s="17" t="str">
        <f t="shared" si="1351"/>
        <v>Pas d'écart</v>
      </c>
    </row>
    <row r="8662" spans="1:17" x14ac:dyDescent="0.3">
      <c r="A8662" s="34">
        <f>base!J8662</f>
        <v>0</v>
      </c>
      <c r="B8662" s="34">
        <f>base!V8662</f>
        <v>0</v>
      </c>
      <c r="C8662" s="40" t="s">
        <v>11</v>
      </c>
      <c r="D8662" s="36">
        <f>base!H8662</f>
        <v>0</v>
      </c>
      <c r="E8662" s="44"/>
      <c r="F8662" s="16">
        <f>base!W8662</f>
        <v>0</v>
      </c>
      <c r="G8662" s="11" t="e">
        <f t="shared" si="1343"/>
        <v>#DIV/0!</v>
      </c>
      <c r="H8662" s="11" t="e">
        <f t="shared" si="1344"/>
        <v>#N/A</v>
      </c>
      <c r="I8662" s="11" t="e">
        <f t="shared" si="1345"/>
        <v>#N/A</v>
      </c>
      <c r="J8662" s="12" t="e">
        <f t="shared" si="1346"/>
        <v>#N/A</v>
      </c>
      <c r="K8662" s="17" t="e">
        <f t="shared" si="1350"/>
        <v>#N/A</v>
      </c>
      <c r="L8662" s="16">
        <f>base!X8662</f>
        <v>0</v>
      </c>
      <c r="M8662" s="11" t="e">
        <f t="shared" si="1347"/>
        <v>#DIV/0!</v>
      </c>
      <c r="N8662" s="11"/>
      <c r="O8662" s="11" t="e">
        <f t="shared" si="1348"/>
        <v>#DIV/0!</v>
      </c>
      <c r="P8662" s="12">
        <f t="shared" si="1349"/>
        <v>0</v>
      </c>
      <c r="Q8662" s="17" t="str">
        <f t="shared" si="1351"/>
        <v>Pas d'écart</v>
      </c>
    </row>
    <row r="8663" spans="1:17" x14ac:dyDescent="0.3">
      <c r="A8663" s="34">
        <f>base!J8663</f>
        <v>0</v>
      </c>
      <c r="B8663" s="34">
        <f>base!V8663</f>
        <v>0</v>
      </c>
      <c r="C8663" s="40" t="s">
        <v>11</v>
      </c>
      <c r="D8663" s="36">
        <f>base!H8663</f>
        <v>0</v>
      </c>
      <c r="E8663" s="44"/>
      <c r="F8663" s="16">
        <f>base!W8663</f>
        <v>0</v>
      </c>
      <c r="G8663" s="11" t="e">
        <f t="shared" si="1343"/>
        <v>#DIV/0!</v>
      </c>
      <c r="H8663" s="11" t="e">
        <f t="shared" si="1344"/>
        <v>#N/A</v>
      </c>
      <c r="I8663" s="11" t="e">
        <f t="shared" si="1345"/>
        <v>#N/A</v>
      </c>
      <c r="J8663" s="12" t="e">
        <f t="shared" si="1346"/>
        <v>#N/A</v>
      </c>
      <c r="K8663" s="17" t="e">
        <f t="shared" si="1350"/>
        <v>#N/A</v>
      </c>
      <c r="L8663" s="16">
        <f>base!X8663</f>
        <v>0</v>
      </c>
      <c r="M8663" s="11" t="e">
        <f t="shared" si="1347"/>
        <v>#DIV/0!</v>
      </c>
      <c r="N8663" s="11"/>
      <c r="O8663" s="11" t="e">
        <f t="shared" si="1348"/>
        <v>#DIV/0!</v>
      </c>
      <c r="P8663" s="12">
        <f t="shared" si="1349"/>
        <v>0</v>
      </c>
      <c r="Q8663" s="17" t="str">
        <f t="shared" si="1351"/>
        <v>Pas d'écart</v>
      </c>
    </row>
    <row r="8664" spans="1:17" x14ac:dyDescent="0.3">
      <c r="A8664" s="34">
        <f>base!J8664</f>
        <v>0</v>
      </c>
      <c r="B8664" s="34">
        <f>base!V8664</f>
        <v>0</v>
      </c>
      <c r="C8664" s="40" t="s">
        <v>11</v>
      </c>
      <c r="D8664" s="36">
        <f>base!H8664</f>
        <v>0</v>
      </c>
      <c r="E8664" s="44"/>
      <c r="F8664" s="16">
        <f>base!W8664</f>
        <v>0</v>
      </c>
      <c r="G8664" s="11" t="e">
        <f t="shared" si="1343"/>
        <v>#DIV/0!</v>
      </c>
      <c r="H8664" s="11" t="e">
        <f t="shared" si="1344"/>
        <v>#N/A</v>
      </c>
      <c r="I8664" s="11" t="e">
        <f t="shared" si="1345"/>
        <v>#N/A</v>
      </c>
      <c r="J8664" s="12" t="e">
        <f t="shared" si="1346"/>
        <v>#N/A</v>
      </c>
      <c r="K8664" s="17" t="e">
        <f t="shared" si="1350"/>
        <v>#N/A</v>
      </c>
      <c r="L8664" s="16">
        <f>base!X8664</f>
        <v>0</v>
      </c>
      <c r="M8664" s="11" t="e">
        <f t="shared" si="1347"/>
        <v>#DIV/0!</v>
      </c>
      <c r="N8664" s="11"/>
      <c r="O8664" s="11" t="e">
        <f t="shared" si="1348"/>
        <v>#DIV/0!</v>
      </c>
      <c r="P8664" s="12">
        <f t="shared" si="1349"/>
        <v>0</v>
      </c>
      <c r="Q8664" s="17" t="str">
        <f t="shared" si="1351"/>
        <v>Pas d'écart</v>
      </c>
    </row>
    <row r="8665" spans="1:17" x14ac:dyDescent="0.3">
      <c r="A8665" s="34">
        <f>base!J8665</f>
        <v>0</v>
      </c>
      <c r="B8665" s="34">
        <f>base!V8665</f>
        <v>0</v>
      </c>
      <c r="C8665" s="40" t="s">
        <v>11</v>
      </c>
      <c r="D8665" s="36">
        <f>base!H8665</f>
        <v>0</v>
      </c>
      <c r="E8665" s="44"/>
      <c r="F8665" s="16">
        <f>base!W8665</f>
        <v>0</v>
      </c>
      <c r="G8665" s="11" t="e">
        <f t="shared" si="1343"/>
        <v>#DIV/0!</v>
      </c>
      <c r="H8665" s="11" t="e">
        <f t="shared" si="1344"/>
        <v>#N/A</v>
      </c>
      <c r="I8665" s="11" t="e">
        <f t="shared" si="1345"/>
        <v>#N/A</v>
      </c>
      <c r="J8665" s="12" t="e">
        <f t="shared" si="1346"/>
        <v>#N/A</v>
      </c>
      <c r="K8665" s="17" t="e">
        <f t="shared" si="1350"/>
        <v>#N/A</v>
      </c>
      <c r="L8665" s="16">
        <f>base!X8665</f>
        <v>0</v>
      </c>
      <c r="M8665" s="11" t="e">
        <f t="shared" si="1347"/>
        <v>#DIV/0!</v>
      </c>
      <c r="N8665" s="11"/>
      <c r="O8665" s="11" t="e">
        <f t="shared" si="1348"/>
        <v>#DIV/0!</v>
      </c>
      <c r="P8665" s="12">
        <f t="shared" si="1349"/>
        <v>0</v>
      </c>
      <c r="Q8665" s="17" t="str">
        <f t="shared" si="1351"/>
        <v>Pas d'écart</v>
      </c>
    </row>
    <row r="8666" spans="1:17" x14ac:dyDescent="0.3">
      <c r="A8666" s="34">
        <f>base!J8666</f>
        <v>0</v>
      </c>
      <c r="B8666" s="34">
        <f>base!V8666</f>
        <v>0</v>
      </c>
      <c r="C8666" s="40" t="s">
        <v>11</v>
      </c>
      <c r="D8666" s="36">
        <f>base!H8666</f>
        <v>0</v>
      </c>
      <c r="E8666" s="44"/>
      <c r="F8666" s="16">
        <f>base!W8666</f>
        <v>0</v>
      </c>
      <c r="G8666" s="11" t="e">
        <f t="shared" si="1343"/>
        <v>#DIV/0!</v>
      </c>
      <c r="H8666" s="11" t="e">
        <f t="shared" si="1344"/>
        <v>#N/A</v>
      </c>
      <c r="I8666" s="11" t="e">
        <f t="shared" si="1345"/>
        <v>#N/A</v>
      </c>
      <c r="J8666" s="12" t="e">
        <f t="shared" si="1346"/>
        <v>#N/A</v>
      </c>
      <c r="K8666" s="17" t="e">
        <f t="shared" si="1350"/>
        <v>#N/A</v>
      </c>
      <c r="L8666" s="16">
        <f>base!X8666</f>
        <v>0</v>
      </c>
      <c r="M8666" s="11" t="e">
        <f t="shared" si="1347"/>
        <v>#DIV/0!</v>
      </c>
      <c r="N8666" s="11"/>
      <c r="O8666" s="11" t="e">
        <f t="shared" si="1348"/>
        <v>#DIV/0!</v>
      </c>
      <c r="P8666" s="12">
        <f t="shared" si="1349"/>
        <v>0</v>
      </c>
      <c r="Q8666" s="17" t="str">
        <f t="shared" si="1351"/>
        <v>Pas d'écart</v>
      </c>
    </row>
    <row r="8667" spans="1:17" x14ac:dyDescent="0.3">
      <c r="A8667" s="34">
        <f>base!J8667</f>
        <v>0</v>
      </c>
      <c r="B8667" s="34">
        <f>base!V8667</f>
        <v>0</v>
      </c>
      <c r="C8667" s="40" t="s">
        <v>11</v>
      </c>
      <c r="D8667" s="36">
        <f>base!H8667</f>
        <v>0</v>
      </c>
      <c r="E8667" s="44"/>
      <c r="F8667" s="16">
        <f>base!W8667</f>
        <v>0</v>
      </c>
      <c r="G8667" s="11" t="e">
        <f t="shared" si="1343"/>
        <v>#DIV/0!</v>
      </c>
      <c r="H8667" s="11" t="e">
        <f t="shared" si="1344"/>
        <v>#N/A</v>
      </c>
      <c r="I8667" s="11" t="e">
        <f t="shared" si="1345"/>
        <v>#N/A</v>
      </c>
      <c r="J8667" s="12" t="e">
        <f t="shared" si="1346"/>
        <v>#N/A</v>
      </c>
      <c r="K8667" s="17" t="e">
        <f t="shared" si="1350"/>
        <v>#N/A</v>
      </c>
      <c r="L8667" s="16">
        <f>base!X8667</f>
        <v>0</v>
      </c>
      <c r="M8667" s="11" t="e">
        <f t="shared" si="1347"/>
        <v>#DIV/0!</v>
      </c>
      <c r="N8667" s="11"/>
      <c r="O8667" s="11" t="e">
        <f t="shared" si="1348"/>
        <v>#DIV/0!</v>
      </c>
      <c r="P8667" s="12">
        <f t="shared" si="1349"/>
        <v>0</v>
      </c>
      <c r="Q8667" s="17" t="str">
        <f t="shared" si="1351"/>
        <v>Pas d'écart</v>
      </c>
    </row>
    <row r="8668" spans="1:17" x14ac:dyDescent="0.3">
      <c r="A8668" s="34">
        <f>base!J8668</f>
        <v>0</v>
      </c>
      <c r="B8668" s="34">
        <f>base!V8668</f>
        <v>0</v>
      </c>
      <c r="C8668" s="40" t="s">
        <v>11</v>
      </c>
      <c r="D8668" s="36">
        <f>base!H8668</f>
        <v>0</v>
      </c>
      <c r="E8668" s="44"/>
      <c r="F8668" s="16">
        <f>base!W8668</f>
        <v>0</v>
      </c>
      <c r="G8668" s="11" t="e">
        <f t="shared" si="1343"/>
        <v>#DIV/0!</v>
      </c>
      <c r="H8668" s="11" t="e">
        <f t="shared" si="1344"/>
        <v>#N/A</v>
      </c>
      <c r="I8668" s="11" t="e">
        <f t="shared" si="1345"/>
        <v>#N/A</v>
      </c>
      <c r="J8668" s="12" t="e">
        <f t="shared" si="1346"/>
        <v>#N/A</v>
      </c>
      <c r="K8668" s="17" t="e">
        <f t="shared" si="1350"/>
        <v>#N/A</v>
      </c>
      <c r="L8668" s="16">
        <f>base!X8668</f>
        <v>0</v>
      </c>
      <c r="M8668" s="11" t="e">
        <f t="shared" si="1347"/>
        <v>#DIV/0!</v>
      </c>
      <c r="N8668" s="11"/>
      <c r="O8668" s="11" t="e">
        <f t="shared" si="1348"/>
        <v>#DIV/0!</v>
      </c>
      <c r="P8668" s="12">
        <f t="shared" si="1349"/>
        <v>0</v>
      </c>
      <c r="Q8668" s="17" t="str">
        <f t="shared" si="1351"/>
        <v>Pas d'écart</v>
      </c>
    </row>
    <row r="8669" spans="1:17" x14ac:dyDescent="0.3">
      <c r="A8669" s="34">
        <f>base!J8669</f>
        <v>0</v>
      </c>
      <c r="B8669" s="34">
        <f>base!V8669</f>
        <v>0</v>
      </c>
      <c r="C8669" s="40" t="s">
        <v>11</v>
      </c>
      <c r="D8669" s="36">
        <f>base!H8669</f>
        <v>0</v>
      </c>
      <c r="E8669" s="44"/>
      <c r="F8669" s="16">
        <f>base!W8669</f>
        <v>0</v>
      </c>
      <c r="G8669" s="11" t="e">
        <f t="shared" si="1343"/>
        <v>#DIV/0!</v>
      </c>
      <c r="H8669" s="11" t="e">
        <f t="shared" si="1344"/>
        <v>#N/A</v>
      </c>
      <c r="I8669" s="11" t="e">
        <f t="shared" si="1345"/>
        <v>#N/A</v>
      </c>
      <c r="J8669" s="12" t="e">
        <f t="shared" si="1346"/>
        <v>#N/A</v>
      </c>
      <c r="K8669" s="17" t="e">
        <f t="shared" si="1350"/>
        <v>#N/A</v>
      </c>
      <c r="L8669" s="16">
        <f>base!X8669</f>
        <v>0</v>
      </c>
      <c r="M8669" s="11" t="e">
        <f t="shared" si="1347"/>
        <v>#DIV/0!</v>
      </c>
      <c r="N8669" s="11"/>
      <c r="O8669" s="11" t="e">
        <f t="shared" si="1348"/>
        <v>#DIV/0!</v>
      </c>
      <c r="P8669" s="12">
        <f t="shared" si="1349"/>
        <v>0</v>
      </c>
      <c r="Q8669" s="17" t="str">
        <f t="shared" si="1351"/>
        <v>Pas d'écart</v>
      </c>
    </row>
    <row r="8670" spans="1:17" x14ac:dyDescent="0.3">
      <c r="A8670" s="34">
        <f>base!J8670</f>
        <v>0</v>
      </c>
      <c r="B8670" s="34">
        <f>base!V8670</f>
        <v>0</v>
      </c>
      <c r="C8670" s="40" t="s">
        <v>11</v>
      </c>
      <c r="D8670" s="36">
        <f>base!H8670</f>
        <v>0</v>
      </c>
      <c r="E8670" s="44"/>
      <c r="F8670" s="16">
        <f>base!W8670</f>
        <v>0</v>
      </c>
      <c r="G8670" s="11" t="e">
        <f t="shared" si="1343"/>
        <v>#DIV/0!</v>
      </c>
      <c r="H8670" s="11" t="e">
        <f t="shared" si="1344"/>
        <v>#N/A</v>
      </c>
      <c r="I8670" s="11" t="e">
        <f t="shared" si="1345"/>
        <v>#N/A</v>
      </c>
      <c r="J8670" s="12" t="e">
        <f t="shared" si="1346"/>
        <v>#N/A</v>
      </c>
      <c r="K8670" s="17" t="e">
        <f t="shared" si="1350"/>
        <v>#N/A</v>
      </c>
      <c r="L8670" s="16">
        <f>base!X8670</f>
        <v>0</v>
      </c>
      <c r="M8670" s="11" t="e">
        <f t="shared" si="1347"/>
        <v>#DIV/0!</v>
      </c>
      <c r="N8670" s="11"/>
      <c r="O8670" s="11" t="e">
        <f t="shared" si="1348"/>
        <v>#DIV/0!</v>
      </c>
      <c r="P8670" s="12">
        <f t="shared" si="1349"/>
        <v>0</v>
      </c>
      <c r="Q8670" s="17" t="str">
        <f t="shared" si="1351"/>
        <v>Pas d'écart</v>
      </c>
    </row>
    <row r="8671" spans="1:17" x14ac:dyDescent="0.3">
      <c r="A8671" s="34">
        <f>base!J8671</f>
        <v>0</v>
      </c>
      <c r="B8671" s="34">
        <f>base!V8671</f>
        <v>0</v>
      </c>
      <c r="C8671" s="40" t="s">
        <v>11</v>
      </c>
      <c r="D8671" s="36">
        <f>base!H8671</f>
        <v>0</v>
      </c>
      <c r="E8671" s="44"/>
      <c r="F8671" s="16">
        <f>base!W8671</f>
        <v>0</v>
      </c>
      <c r="G8671" s="11" t="e">
        <f t="shared" si="1343"/>
        <v>#DIV/0!</v>
      </c>
      <c r="H8671" s="11" t="e">
        <f t="shared" si="1344"/>
        <v>#N/A</v>
      </c>
      <c r="I8671" s="11" t="e">
        <f t="shared" si="1345"/>
        <v>#N/A</v>
      </c>
      <c r="J8671" s="12" t="e">
        <f t="shared" si="1346"/>
        <v>#N/A</v>
      </c>
      <c r="K8671" s="17" t="e">
        <f t="shared" si="1350"/>
        <v>#N/A</v>
      </c>
      <c r="L8671" s="16">
        <f>base!X8671</f>
        <v>0</v>
      </c>
      <c r="M8671" s="11" t="e">
        <f t="shared" si="1347"/>
        <v>#DIV/0!</v>
      </c>
      <c r="N8671" s="11"/>
      <c r="O8671" s="11" t="e">
        <f t="shared" si="1348"/>
        <v>#DIV/0!</v>
      </c>
      <c r="P8671" s="12">
        <f t="shared" si="1349"/>
        <v>0</v>
      </c>
      <c r="Q8671" s="17" t="str">
        <f t="shared" si="1351"/>
        <v>Pas d'écart</v>
      </c>
    </row>
    <row r="8672" spans="1:17" x14ac:dyDescent="0.3">
      <c r="A8672" s="34">
        <f>base!J8672</f>
        <v>0</v>
      </c>
      <c r="B8672" s="34">
        <f>base!V8672</f>
        <v>0</v>
      </c>
      <c r="C8672" s="40" t="s">
        <v>11</v>
      </c>
      <c r="D8672" s="36">
        <f>base!H8672</f>
        <v>0</v>
      </c>
      <c r="E8672" s="44"/>
      <c r="F8672" s="16">
        <f>base!W8672</f>
        <v>0</v>
      </c>
      <c r="G8672" s="11" t="e">
        <f t="shared" si="1343"/>
        <v>#DIV/0!</v>
      </c>
      <c r="H8672" s="11" t="e">
        <f t="shared" si="1344"/>
        <v>#N/A</v>
      </c>
      <c r="I8672" s="11" t="e">
        <f t="shared" si="1345"/>
        <v>#N/A</v>
      </c>
      <c r="J8672" s="12" t="e">
        <f t="shared" si="1346"/>
        <v>#N/A</v>
      </c>
      <c r="K8672" s="17" t="e">
        <f t="shared" si="1350"/>
        <v>#N/A</v>
      </c>
      <c r="L8672" s="16">
        <f>base!X8672</f>
        <v>0</v>
      </c>
      <c r="M8672" s="11" t="e">
        <f t="shared" si="1347"/>
        <v>#DIV/0!</v>
      </c>
      <c r="N8672" s="11"/>
      <c r="O8672" s="11" t="e">
        <f t="shared" si="1348"/>
        <v>#DIV/0!</v>
      </c>
      <c r="P8672" s="12">
        <f t="shared" si="1349"/>
        <v>0</v>
      </c>
      <c r="Q8672" s="17" t="str">
        <f t="shared" si="1351"/>
        <v>Pas d'écart</v>
      </c>
    </row>
    <row r="8673" spans="1:17" x14ac:dyDescent="0.3">
      <c r="A8673" s="34">
        <f>base!J8673</f>
        <v>0</v>
      </c>
      <c r="B8673" s="34">
        <f>base!V8673</f>
        <v>0</v>
      </c>
      <c r="C8673" s="40" t="s">
        <v>11</v>
      </c>
      <c r="D8673" s="36">
        <f>base!H8673</f>
        <v>0</v>
      </c>
      <c r="E8673" s="44"/>
      <c r="F8673" s="16">
        <f>base!W8673</f>
        <v>0</v>
      </c>
      <c r="G8673" s="11" t="e">
        <f t="shared" si="1343"/>
        <v>#DIV/0!</v>
      </c>
      <c r="H8673" s="11" t="e">
        <f t="shared" si="1344"/>
        <v>#N/A</v>
      </c>
      <c r="I8673" s="11" t="e">
        <f t="shared" si="1345"/>
        <v>#N/A</v>
      </c>
      <c r="J8673" s="12" t="e">
        <f t="shared" si="1346"/>
        <v>#N/A</v>
      </c>
      <c r="K8673" s="17" t="e">
        <f t="shared" si="1350"/>
        <v>#N/A</v>
      </c>
      <c r="L8673" s="16">
        <f>base!X8673</f>
        <v>0</v>
      </c>
      <c r="M8673" s="11" t="e">
        <f t="shared" si="1347"/>
        <v>#DIV/0!</v>
      </c>
      <c r="N8673" s="11"/>
      <c r="O8673" s="11" t="e">
        <f t="shared" si="1348"/>
        <v>#DIV/0!</v>
      </c>
      <c r="P8673" s="12">
        <f t="shared" si="1349"/>
        <v>0</v>
      </c>
      <c r="Q8673" s="17" t="str">
        <f t="shared" si="1351"/>
        <v>Pas d'écart</v>
      </c>
    </row>
    <row r="8674" spans="1:17" x14ac:dyDescent="0.3">
      <c r="A8674" s="34">
        <f>base!J8674</f>
        <v>0</v>
      </c>
      <c r="B8674" s="34">
        <f>base!V8674</f>
        <v>0</v>
      </c>
      <c r="C8674" s="40" t="s">
        <v>11</v>
      </c>
      <c r="D8674" s="36">
        <f>base!H8674</f>
        <v>0</v>
      </c>
      <c r="E8674" s="44"/>
      <c r="F8674" s="16">
        <f>base!W8674</f>
        <v>0</v>
      </c>
      <c r="G8674" s="11" t="e">
        <f t="shared" si="1343"/>
        <v>#DIV/0!</v>
      </c>
      <c r="H8674" s="11" t="e">
        <f t="shared" si="1344"/>
        <v>#N/A</v>
      </c>
      <c r="I8674" s="11" t="e">
        <f t="shared" si="1345"/>
        <v>#N/A</v>
      </c>
      <c r="J8674" s="12" t="e">
        <f t="shared" si="1346"/>
        <v>#N/A</v>
      </c>
      <c r="K8674" s="17" t="e">
        <f t="shared" si="1350"/>
        <v>#N/A</v>
      </c>
      <c r="L8674" s="16">
        <f>base!X8674</f>
        <v>0</v>
      </c>
      <c r="M8674" s="11" t="e">
        <f t="shared" si="1347"/>
        <v>#DIV/0!</v>
      </c>
      <c r="N8674" s="11"/>
      <c r="O8674" s="11" t="e">
        <f t="shared" si="1348"/>
        <v>#DIV/0!</v>
      </c>
      <c r="P8674" s="12">
        <f t="shared" si="1349"/>
        <v>0</v>
      </c>
      <c r="Q8674" s="17" t="str">
        <f t="shared" si="1351"/>
        <v>Pas d'écart</v>
      </c>
    </row>
    <row r="8675" spans="1:17" x14ac:dyDescent="0.3">
      <c r="A8675" s="34">
        <f>base!J8675</f>
        <v>0</v>
      </c>
      <c r="B8675" s="34">
        <f>base!V8675</f>
        <v>0</v>
      </c>
      <c r="C8675" s="40" t="s">
        <v>11</v>
      </c>
      <c r="D8675" s="36">
        <f>base!H8675</f>
        <v>0</v>
      </c>
      <c r="E8675" s="44"/>
      <c r="F8675" s="16">
        <f>base!W8675</f>
        <v>0</v>
      </c>
      <c r="G8675" s="11" t="e">
        <f t="shared" si="1343"/>
        <v>#DIV/0!</v>
      </c>
      <c r="H8675" s="11" t="e">
        <f t="shared" si="1344"/>
        <v>#N/A</v>
      </c>
      <c r="I8675" s="11" t="e">
        <f t="shared" si="1345"/>
        <v>#N/A</v>
      </c>
      <c r="J8675" s="12" t="e">
        <f t="shared" si="1346"/>
        <v>#N/A</v>
      </c>
      <c r="K8675" s="17" t="e">
        <f t="shared" si="1350"/>
        <v>#N/A</v>
      </c>
      <c r="L8675" s="16">
        <f>base!X8675</f>
        <v>0</v>
      </c>
      <c r="M8675" s="11" t="e">
        <f t="shared" si="1347"/>
        <v>#DIV/0!</v>
      </c>
      <c r="N8675" s="11"/>
      <c r="O8675" s="11" t="e">
        <f t="shared" si="1348"/>
        <v>#DIV/0!</v>
      </c>
      <c r="P8675" s="12">
        <f t="shared" si="1349"/>
        <v>0</v>
      </c>
      <c r="Q8675" s="17" t="str">
        <f t="shared" si="1351"/>
        <v>Pas d'écart</v>
      </c>
    </row>
    <row r="8676" spans="1:17" x14ac:dyDescent="0.3">
      <c r="A8676" s="34">
        <f>base!J8676</f>
        <v>0</v>
      </c>
      <c r="B8676" s="34">
        <f>base!V8676</f>
        <v>0</v>
      </c>
      <c r="C8676" s="40" t="s">
        <v>11</v>
      </c>
      <c r="D8676" s="36">
        <f>base!H8676</f>
        <v>0</v>
      </c>
      <c r="E8676" s="44"/>
      <c r="F8676" s="16">
        <f>base!W8676</f>
        <v>0</v>
      </c>
      <c r="G8676" s="11" t="e">
        <f t="shared" si="1343"/>
        <v>#DIV/0!</v>
      </c>
      <c r="H8676" s="11" t="e">
        <f t="shared" si="1344"/>
        <v>#N/A</v>
      </c>
      <c r="I8676" s="11" t="e">
        <f t="shared" si="1345"/>
        <v>#N/A</v>
      </c>
      <c r="J8676" s="12" t="e">
        <f t="shared" si="1346"/>
        <v>#N/A</v>
      </c>
      <c r="K8676" s="17" t="e">
        <f t="shared" si="1350"/>
        <v>#N/A</v>
      </c>
      <c r="L8676" s="16">
        <f>base!X8676</f>
        <v>0</v>
      </c>
      <c r="M8676" s="11" t="e">
        <f t="shared" si="1347"/>
        <v>#DIV/0!</v>
      </c>
      <c r="N8676" s="11"/>
      <c r="O8676" s="11" t="e">
        <f t="shared" si="1348"/>
        <v>#DIV/0!</v>
      </c>
      <c r="P8676" s="12">
        <f t="shared" si="1349"/>
        <v>0</v>
      </c>
      <c r="Q8676" s="17" t="str">
        <f t="shared" si="1351"/>
        <v>Pas d'écart</v>
      </c>
    </row>
    <row r="8677" spans="1:17" x14ac:dyDescent="0.3">
      <c r="A8677" s="34">
        <f>base!J8677</f>
        <v>0</v>
      </c>
      <c r="B8677" s="34">
        <f>base!V8677</f>
        <v>0</v>
      </c>
      <c r="C8677" s="40" t="s">
        <v>11</v>
      </c>
      <c r="D8677" s="36">
        <f>base!H8677</f>
        <v>0</v>
      </c>
      <c r="E8677" s="44"/>
      <c r="F8677" s="16">
        <f>base!W8677</f>
        <v>0</v>
      </c>
      <c r="G8677" s="11" t="e">
        <f t="shared" si="1343"/>
        <v>#DIV/0!</v>
      </c>
      <c r="H8677" s="11" t="e">
        <f t="shared" si="1344"/>
        <v>#N/A</v>
      </c>
      <c r="I8677" s="11" t="e">
        <f t="shared" si="1345"/>
        <v>#N/A</v>
      </c>
      <c r="J8677" s="12" t="e">
        <f t="shared" si="1346"/>
        <v>#N/A</v>
      </c>
      <c r="K8677" s="17" t="e">
        <f t="shared" si="1350"/>
        <v>#N/A</v>
      </c>
      <c r="L8677" s="16">
        <f>base!X8677</f>
        <v>0</v>
      </c>
      <c r="M8677" s="11" t="e">
        <f t="shared" si="1347"/>
        <v>#DIV/0!</v>
      </c>
      <c r="N8677" s="11"/>
      <c r="O8677" s="11" t="e">
        <f t="shared" si="1348"/>
        <v>#DIV/0!</v>
      </c>
      <c r="P8677" s="12">
        <f t="shared" si="1349"/>
        <v>0</v>
      </c>
      <c r="Q8677" s="17" t="str">
        <f t="shared" si="1351"/>
        <v>Pas d'écart</v>
      </c>
    </row>
    <row r="8678" spans="1:17" x14ac:dyDescent="0.3">
      <c r="A8678" s="34">
        <f>base!J8678</f>
        <v>0</v>
      </c>
      <c r="B8678" s="34">
        <f>base!V8678</f>
        <v>0</v>
      </c>
      <c r="C8678" s="40" t="s">
        <v>11</v>
      </c>
      <c r="D8678" s="36">
        <f>base!H8678</f>
        <v>0</v>
      </c>
      <c r="E8678" s="44"/>
      <c r="F8678" s="16">
        <f>base!W8678</f>
        <v>0</v>
      </c>
      <c r="G8678" s="11" t="e">
        <f t="shared" si="1343"/>
        <v>#DIV/0!</v>
      </c>
      <c r="H8678" s="11" t="e">
        <f t="shared" si="1344"/>
        <v>#N/A</v>
      </c>
      <c r="I8678" s="11" t="e">
        <f t="shared" si="1345"/>
        <v>#N/A</v>
      </c>
      <c r="J8678" s="12" t="e">
        <f t="shared" si="1346"/>
        <v>#N/A</v>
      </c>
      <c r="K8678" s="17" t="e">
        <f t="shared" si="1350"/>
        <v>#N/A</v>
      </c>
      <c r="L8678" s="16">
        <f>base!X8678</f>
        <v>0</v>
      </c>
      <c r="M8678" s="11" t="e">
        <f t="shared" si="1347"/>
        <v>#DIV/0!</v>
      </c>
      <c r="N8678" s="11"/>
      <c r="O8678" s="11" t="e">
        <f t="shared" si="1348"/>
        <v>#DIV/0!</v>
      </c>
      <c r="P8678" s="12">
        <f t="shared" si="1349"/>
        <v>0</v>
      </c>
      <c r="Q8678" s="17" t="str">
        <f t="shared" si="1351"/>
        <v>Pas d'écart</v>
      </c>
    </row>
    <row r="8679" spans="1:17" x14ac:dyDescent="0.3">
      <c r="A8679" s="34">
        <f>base!J8679</f>
        <v>0</v>
      </c>
      <c r="B8679" s="34">
        <f>base!V8679</f>
        <v>0</v>
      </c>
      <c r="C8679" s="40" t="s">
        <v>11</v>
      </c>
      <c r="D8679" s="36">
        <f>base!H8679</f>
        <v>0</v>
      </c>
      <c r="E8679" s="44"/>
      <c r="F8679" s="16">
        <f>base!W8679</f>
        <v>0</v>
      </c>
      <c r="G8679" s="11" t="e">
        <f t="shared" si="1343"/>
        <v>#DIV/0!</v>
      </c>
      <c r="H8679" s="11" t="e">
        <f t="shared" si="1344"/>
        <v>#N/A</v>
      </c>
      <c r="I8679" s="11" t="e">
        <f t="shared" si="1345"/>
        <v>#N/A</v>
      </c>
      <c r="J8679" s="12" t="e">
        <f t="shared" si="1346"/>
        <v>#N/A</v>
      </c>
      <c r="K8679" s="17" t="e">
        <f t="shared" si="1350"/>
        <v>#N/A</v>
      </c>
      <c r="L8679" s="16">
        <f>base!X8679</f>
        <v>0</v>
      </c>
      <c r="M8679" s="11" t="e">
        <f t="shared" si="1347"/>
        <v>#DIV/0!</v>
      </c>
      <c r="N8679" s="11"/>
      <c r="O8679" s="11" t="e">
        <f t="shared" si="1348"/>
        <v>#DIV/0!</v>
      </c>
      <c r="P8679" s="12">
        <f t="shared" si="1349"/>
        <v>0</v>
      </c>
      <c r="Q8679" s="17" t="str">
        <f t="shared" si="1351"/>
        <v>Pas d'écart</v>
      </c>
    </row>
    <row r="8680" spans="1:17" x14ac:dyDescent="0.3">
      <c r="A8680" s="34">
        <f>base!J8680</f>
        <v>0</v>
      </c>
      <c r="B8680" s="34">
        <f>base!V8680</f>
        <v>0</v>
      </c>
      <c r="C8680" s="40" t="s">
        <v>11</v>
      </c>
      <c r="D8680" s="36">
        <f>base!H8680</f>
        <v>0</v>
      </c>
      <c r="E8680" s="44"/>
      <c r="F8680" s="16">
        <f>base!W8680</f>
        <v>0</v>
      </c>
      <c r="G8680" s="11" t="e">
        <f t="shared" si="1343"/>
        <v>#DIV/0!</v>
      </c>
      <c r="H8680" s="11" t="e">
        <f t="shared" si="1344"/>
        <v>#N/A</v>
      </c>
      <c r="I8680" s="11" t="e">
        <f t="shared" si="1345"/>
        <v>#N/A</v>
      </c>
      <c r="J8680" s="12" t="e">
        <f t="shared" si="1346"/>
        <v>#N/A</v>
      </c>
      <c r="K8680" s="17" t="e">
        <f t="shared" si="1350"/>
        <v>#N/A</v>
      </c>
      <c r="L8680" s="16">
        <f>base!X8680</f>
        <v>0</v>
      </c>
      <c r="M8680" s="11" t="e">
        <f t="shared" si="1347"/>
        <v>#DIV/0!</v>
      </c>
      <c r="N8680" s="11"/>
      <c r="O8680" s="11" t="e">
        <f t="shared" si="1348"/>
        <v>#DIV/0!</v>
      </c>
      <c r="P8680" s="12">
        <f t="shared" si="1349"/>
        <v>0</v>
      </c>
      <c r="Q8680" s="17" t="str">
        <f t="shared" si="1351"/>
        <v>Pas d'écart</v>
      </c>
    </row>
    <row r="8681" spans="1:17" x14ac:dyDescent="0.3">
      <c r="A8681" s="34">
        <f>base!J8681</f>
        <v>0</v>
      </c>
      <c r="B8681" s="34">
        <f>base!V8681</f>
        <v>0</v>
      </c>
      <c r="C8681" s="40" t="s">
        <v>11</v>
      </c>
      <c r="D8681" s="36">
        <f>base!H8681</f>
        <v>0</v>
      </c>
      <c r="E8681" s="44"/>
      <c r="F8681" s="16">
        <f>base!W8681</f>
        <v>0</v>
      </c>
      <c r="G8681" s="11" t="e">
        <f t="shared" si="1343"/>
        <v>#DIV/0!</v>
      </c>
      <c r="H8681" s="11" t="e">
        <f t="shared" si="1344"/>
        <v>#N/A</v>
      </c>
      <c r="I8681" s="11" t="e">
        <f t="shared" si="1345"/>
        <v>#N/A</v>
      </c>
      <c r="J8681" s="12" t="e">
        <f t="shared" si="1346"/>
        <v>#N/A</v>
      </c>
      <c r="K8681" s="17" t="e">
        <f t="shared" si="1350"/>
        <v>#N/A</v>
      </c>
      <c r="L8681" s="16">
        <f>base!X8681</f>
        <v>0</v>
      </c>
      <c r="M8681" s="11" t="e">
        <f t="shared" si="1347"/>
        <v>#DIV/0!</v>
      </c>
      <c r="N8681" s="11"/>
      <c r="O8681" s="11" t="e">
        <f t="shared" si="1348"/>
        <v>#DIV/0!</v>
      </c>
      <c r="P8681" s="12">
        <f t="shared" si="1349"/>
        <v>0</v>
      </c>
      <c r="Q8681" s="17" t="str">
        <f t="shared" si="1351"/>
        <v>Pas d'écart</v>
      </c>
    </row>
    <row r="8682" spans="1:17" x14ac:dyDescent="0.3">
      <c r="A8682" s="34">
        <f>base!J8682</f>
        <v>0</v>
      </c>
      <c r="B8682" s="34">
        <f>base!V8682</f>
        <v>0</v>
      </c>
      <c r="C8682" s="40" t="s">
        <v>11</v>
      </c>
      <c r="D8682" s="36">
        <f>base!H8682</f>
        <v>0</v>
      </c>
      <c r="E8682" s="44"/>
      <c r="F8682" s="16">
        <f>base!W8682</f>
        <v>0</v>
      </c>
      <c r="G8682" s="11" t="e">
        <f t="shared" si="1343"/>
        <v>#DIV/0!</v>
      </c>
      <c r="H8682" s="11" t="e">
        <f t="shared" si="1344"/>
        <v>#N/A</v>
      </c>
      <c r="I8682" s="11" t="e">
        <f t="shared" si="1345"/>
        <v>#N/A</v>
      </c>
      <c r="J8682" s="12" t="e">
        <f t="shared" si="1346"/>
        <v>#N/A</v>
      </c>
      <c r="K8682" s="17" t="e">
        <f t="shared" si="1350"/>
        <v>#N/A</v>
      </c>
      <c r="L8682" s="16">
        <f>base!X8682</f>
        <v>0</v>
      </c>
      <c r="M8682" s="11" t="e">
        <f t="shared" si="1347"/>
        <v>#DIV/0!</v>
      </c>
      <c r="N8682" s="11"/>
      <c r="O8682" s="11" t="e">
        <f t="shared" si="1348"/>
        <v>#DIV/0!</v>
      </c>
      <c r="P8682" s="12">
        <f t="shared" si="1349"/>
        <v>0</v>
      </c>
      <c r="Q8682" s="17" t="str">
        <f t="shared" si="1351"/>
        <v>Pas d'écart</v>
      </c>
    </row>
    <row r="8683" spans="1:17" x14ac:dyDescent="0.3">
      <c r="A8683" s="34">
        <f>base!J8683</f>
        <v>0</v>
      </c>
      <c r="B8683" s="34">
        <f>base!V8683</f>
        <v>0</v>
      </c>
      <c r="C8683" s="40" t="s">
        <v>11</v>
      </c>
      <c r="D8683" s="36">
        <f>base!H8683</f>
        <v>0</v>
      </c>
      <c r="E8683" s="44"/>
      <c r="F8683" s="16">
        <f>base!W8683</f>
        <v>0</v>
      </c>
      <c r="G8683" s="11" t="e">
        <f t="shared" si="1343"/>
        <v>#DIV/0!</v>
      </c>
      <c r="H8683" s="11" t="e">
        <f t="shared" si="1344"/>
        <v>#N/A</v>
      </c>
      <c r="I8683" s="11" t="e">
        <f t="shared" si="1345"/>
        <v>#N/A</v>
      </c>
      <c r="J8683" s="12" t="e">
        <f t="shared" si="1346"/>
        <v>#N/A</v>
      </c>
      <c r="K8683" s="17" t="e">
        <f t="shared" si="1350"/>
        <v>#N/A</v>
      </c>
      <c r="L8683" s="16">
        <f>base!X8683</f>
        <v>0</v>
      </c>
      <c r="M8683" s="11" t="e">
        <f t="shared" si="1347"/>
        <v>#DIV/0!</v>
      </c>
      <c r="N8683" s="11"/>
      <c r="O8683" s="11" t="e">
        <f t="shared" si="1348"/>
        <v>#DIV/0!</v>
      </c>
      <c r="P8683" s="12">
        <f t="shared" si="1349"/>
        <v>0</v>
      </c>
      <c r="Q8683" s="17" t="str">
        <f t="shared" si="1351"/>
        <v>Pas d'écart</v>
      </c>
    </row>
    <row r="8684" spans="1:17" x14ac:dyDescent="0.3">
      <c r="A8684" s="34">
        <f>base!J8684</f>
        <v>0</v>
      </c>
      <c r="B8684" s="34">
        <f>base!V8684</f>
        <v>0</v>
      </c>
      <c r="C8684" s="40" t="s">
        <v>11</v>
      </c>
      <c r="D8684" s="36">
        <f>base!H8684</f>
        <v>0</v>
      </c>
      <c r="E8684" s="44"/>
      <c r="F8684" s="16">
        <f>base!W8684</f>
        <v>0</v>
      </c>
      <c r="G8684" s="11" t="e">
        <f t="shared" si="1343"/>
        <v>#DIV/0!</v>
      </c>
      <c r="H8684" s="11" t="e">
        <f t="shared" si="1344"/>
        <v>#N/A</v>
      </c>
      <c r="I8684" s="11" t="e">
        <f t="shared" si="1345"/>
        <v>#N/A</v>
      </c>
      <c r="J8684" s="12" t="e">
        <f t="shared" si="1346"/>
        <v>#N/A</v>
      </c>
      <c r="K8684" s="17" t="e">
        <f t="shared" si="1350"/>
        <v>#N/A</v>
      </c>
      <c r="L8684" s="16">
        <f>base!X8684</f>
        <v>0</v>
      </c>
      <c r="M8684" s="11" t="e">
        <f t="shared" si="1347"/>
        <v>#DIV/0!</v>
      </c>
      <c r="N8684" s="11"/>
      <c r="O8684" s="11" t="e">
        <f t="shared" si="1348"/>
        <v>#DIV/0!</v>
      </c>
      <c r="P8684" s="12">
        <f t="shared" si="1349"/>
        <v>0</v>
      </c>
      <c r="Q8684" s="17" t="str">
        <f t="shared" si="1351"/>
        <v>Pas d'écart</v>
      </c>
    </row>
    <row r="8685" spans="1:17" x14ac:dyDescent="0.3">
      <c r="A8685" s="34">
        <f>base!J8685</f>
        <v>0</v>
      </c>
      <c r="B8685" s="34">
        <f>base!V8685</f>
        <v>0</v>
      </c>
      <c r="C8685" s="40" t="s">
        <v>11</v>
      </c>
      <c r="D8685" s="36">
        <f>base!H8685</f>
        <v>0</v>
      </c>
      <c r="E8685" s="44"/>
      <c r="F8685" s="16">
        <f>base!W8685</f>
        <v>0</v>
      </c>
      <c r="G8685" s="11" t="e">
        <f t="shared" si="1343"/>
        <v>#DIV/0!</v>
      </c>
      <c r="H8685" s="11" t="e">
        <f t="shared" si="1344"/>
        <v>#N/A</v>
      </c>
      <c r="I8685" s="11" t="e">
        <f t="shared" si="1345"/>
        <v>#N/A</v>
      </c>
      <c r="J8685" s="12" t="e">
        <f t="shared" si="1346"/>
        <v>#N/A</v>
      </c>
      <c r="K8685" s="17" t="e">
        <f t="shared" si="1350"/>
        <v>#N/A</v>
      </c>
      <c r="L8685" s="16">
        <f>base!X8685</f>
        <v>0</v>
      </c>
      <c r="M8685" s="11" t="e">
        <f t="shared" si="1347"/>
        <v>#DIV/0!</v>
      </c>
      <c r="N8685" s="11"/>
      <c r="O8685" s="11" t="e">
        <f t="shared" si="1348"/>
        <v>#DIV/0!</v>
      </c>
      <c r="P8685" s="12">
        <f t="shared" si="1349"/>
        <v>0</v>
      </c>
      <c r="Q8685" s="17" t="str">
        <f t="shared" si="1351"/>
        <v>Pas d'écart</v>
      </c>
    </row>
    <row r="8686" spans="1:17" x14ac:dyDescent="0.3">
      <c r="A8686" s="34">
        <f>base!J8686</f>
        <v>0</v>
      </c>
      <c r="B8686" s="34">
        <f>base!V8686</f>
        <v>0</v>
      </c>
      <c r="C8686" s="40" t="s">
        <v>11</v>
      </c>
      <c r="D8686" s="36">
        <f>base!H8686</f>
        <v>0</v>
      </c>
      <c r="E8686" s="44"/>
      <c r="F8686" s="16">
        <f>base!W8686</f>
        <v>0</v>
      </c>
      <c r="G8686" s="11" t="e">
        <f t="shared" si="1343"/>
        <v>#DIV/0!</v>
      </c>
      <c r="H8686" s="11" t="e">
        <f t="shared" si="1344"/>
        <v>#N/A</v>
      </c>
      <c r="I8686" s="11" t="e">
        <f t="shared" si="1345"/>
        <v>#N/A</v>
      </c>
      <c r="J8686" s="12" t="e">
        <f t="shared" si="1346"/>
        <v>#N/A</v>
      </c>
      <c r="K8686" s="17" t="e">
        <f t="shared" si="1350"/>
        <v>#N/A</v>
      </c>
      <c r="L8686" s="16">
        <f>base!X8686</f>
        <v>0</v>
      </c>
      <c r="M8686" s="11" t="e">
        <f t="shared" si="1347"/>
        <v>#DIV/0!</v>
      </c>
      <c r="N8686" s="11"/>
      <c r="O8686" s="11" t="e">
        <f t="shared" si="1348"/>
        <v>#DIV/0!</v>
      </c>
      <c r="P8686" s="12">
        <f t="shared" si="1349"/>
        <v>0</v>
      </c>
      <c r="Q8686" s="17" t="str">
        <f t="shared" si="1351"/>
        <v>Pas d'écart</v>
      </c>
    </row>
    <row r="8687" spans="1:17" x14ac:dyDescent="0.3">
      <c r="A8687" s="34">
        <f>base!J8687</f>
        <v>0</v>
      </c>
      <c r="B8687" s="34">
        <f>base!V8687</f>
        <v>0</v>
      </c>
      <c r="C8687" s="40" t="s">
        <v>11</v>
      </c>
      <c r="D8687" s="36">
        <f>base!H8687</f>
        <v>0</v>
      </c>
      <c r="E8687" s="44"/>
      <c r="F8687" s="16">
        <f>base!W8687</f>
        <v>0</v>
      </c>
      <c r="G8687" s="11" t="e">
        <f t="shared" si="1343"/>
        <v>#DIV/0!</v>
      </c>
      <c r="H8687" s="11" t="e">
        <f t="shared" si="1344"/>
        <v>#N/A</v>
      </c>
      <c r="I8687" s="11" t="e">
        <f t="shared" si="1345"/>
        <v>#N/A</v>
      </c>
      <c r="J8687" s="12" t="e">
        <f t="shared" si="1346"/>
        <v>#N/A</v>
      </c>
      <c r="K8687" s="17" t="e">
        <f t="shared" si="1350"/>
        <v>#N/A</v>
      </c>
      <c r="L8687" s="16">
        <f>base!X8687</f>
        <v>0</v>
      </c>
      <c r="M8687" s="11" t="e">
        <f t="shared" si="1347"/>
        <v>#DIV/0!</v>
      </c>
      <c r="N8687" s="11"/>
      <c r="O8687" s="11" t="e">
        <f t="shared" si="1348"/>
        <v>#DIV/0!</v>
      </c>
      <c r="P8687" s="12">
        <f t="shared" si="1349"/>
        <v>0</v>
      </c>
      <c r="Q8687" s="17" t="str">
        <f t="shared" si="1351"/>
        <v>Pas d'écart</v>
      </c>
    </row>
    <row r="8688" spans="1:17" x14ac:dyDescent="0.3">
      <c r="A8688" s="34">
        <f>base!J8688</f>
        <v>0</v>
      </c>
      <c r="B8688" s="34">
        <f>base!V8688</f>
        <v>0</v>
      </c>
      <c r="C8688" s="40" t="s">
        <v>11</v>
      </c>
      <c r="D8688" s="36">
        <f>base!H8688</f>
        <v>0</v>
      </c>
      <c r="E8688" s="44"/>
      <c r="F8688" s="16">
        <f>base!W8688</f>
        <v>0</v>
      </c>
      <c r="G8688" s="11" t="e">
        <f t="shared" si="1343"/>
        <v>#DIV/0!</v>
      </c>
      <c r="H8688" s="11" t="e">
        <f t="shared" si="1344"/>
        <v>#N/A</v>
      </c>
      <c r="I8688" s="11" t="e">
        <f t="shared" si="1345"/>
        <v>#N/A</v>
      </c>
      <c r="J8688" s="12" t="e">
        <f t="shared" si="1346"/>
        <v>#N/A</v>
      </c>
      <c r="K8688" s="17" t="e">
        <f t="shared" si="1350"/>
        <v>#N/A</v>
      </c>
      <c r="L8688" s="16">
        <f>base!X8688</f>
        <v>0</v>
      </c>
      <c r="M8688" s="11" t="e">
        <f t="shared" si="1347"/>
        <v>#DIV/0!</v>
      </c>
      <c r="N8688" s="11"/>
      <c r="O8688" s="11" t="e">
        <f t="shared" si="1348"/>
        <v>#DIV/0!</v>
      </c>
      <c r="P8688" s="12">
        <f t="shared" si="1349"/>
        <v>0</v>
      </c>
      <c r="Q8688" s="17" t="str">
        <f t="shared" si="1351"/>
        <v>Pas d'écart</v>
      </c>
    </row>
    <row r="8689" spans="1:17" x14ac:dyDescent="0.3">
      <c r="A8689" s="34">
        <f>base!J8689</f>
        <v>0</v>
      </c>
      <c r="B8689" s="34">
        <f>base!V8689</f>
        <v>0</v>
      </c>
      <c r="C8689" s="40" t="s">
        <v>11</v>
      </c>
      <c r="D8689" s="36">
        <f>base!H8689</f>
        <v>0</v>
      </c>
      <c r="E8689" s="44"/>
      <c r="F8689" s="16">
        <f>base!W8689</f>
        <v>0</v>
      </c>
      <c r="G8689" s="11" t="e">
        <f t="shared" si="1343"/>
        <v>#DIV/0!</v>
      </c>
      <c r="H8689" s="11" t="e">
        <f t="shared" si="1344"/>
        <v>#N/A</v>
      </c>
      <c r="I8689" s="11" t="e">
        <f t="shared" si="1345"/>
        <v>#N/A</v>
      </c>
      <c r="J8689" s="12" t="e">
        <f t="shared" si="1346"/>
        <v>#N/A</v>
      </c>
      <c r="K8689" s="17" t="e">
        <f t="shared" si="1350"/>
        <v>#N/A</v>
      </c>
      <c r="L8689" s="16">
        <f>base!X8689</f>
        <v>0</v>
      </c>
      <c r="M8689" s="11" t="e">
        <f t="shared" si="1347"/>
        <v>#DIV/0!</v>
      </c>
      <c r="N8689" s="11"/>
      <c r="O8689" s="11" t="e">
        <f t="shared" si="1348"/>
        <v>#DIV/0!</v>
      </c>
      <c r="P8689" s="12">
        <f t="shared" si="1349"/>
        <v>0</v>
      </c>
      <c r="Q8689" s="17" t="str">
        <f t="shared" si="1351"/>
        <v>Pas d'écart</v>
      </c>
    </row>
    <row r="8690" spans="1:17" x14ac:dyDescent="0.3">
      <c r="A8690" s="34">
        <f>base!J8690</f>
        <v>0</v>
      </c>
      <c r="B8690" s="34">
        <f>base!V8690</f>
        <v>0</v>
      </c>
      <c r="C8690" s="40" t="s">
        <v>11</v>
      </c>
      <c r="D8690" s="36">
        <f>base!H8690</f>
        <v>0</v>
      </c>
      <c r="E8690" s="44"/>
      <c r="F8690" s="16">
        <f>base!W8690</f>
        <v>0</v>
      </c>
      <c r="G8690" s="11" t="e">
        <f t="shared" si="1343"/>
        <v>#DIV/0!</v>
      </c>
      <c r="H8690" s="11" t="e">
        <f t="shared" si="1344"/>
        <v>#N/A</v>
      </c>
      <c r="I8690" s="11" t="e">
        <f t="shared" si="1345"/>
        <v>#N/A</v>
      </c>
      <c r="J8690" s="12" t="e">
        <f t="shared" si="1346"/>
        <v>#N/A</v>
      </c>
      <c r="K8690" s="17" t="e">
        <f t="shared" si="1350"/>
        <v>#N/A</v>
      </c>
      <c r="L8690" s="16">
        <f>base!X8690</f>
        <v>0</v>
      </c>
      <c r="M8690" s="11" t="e">
        <f t="shared" si="1347"/>
        <v>#DIV/0!</v>
      </c>
      <c r="N8690" s="11"/>
      <c r="O8690" s="11" t="e">
        <f t="shared" si="1348"/>
        <v>#DIV/0!</v>
      </c>
      <c r="P8690" s="12">
        <f t="shared" si="1349"/>
        <v>0</v>
      </c>
      <c r="Q8690" s="17" t="str">
        <f t="shared" si="1351"/>
        <v>Pas d'écart</v>
      </c>
    </row>
    <row r="8691" spans="1:17" x14ac:dyDescent="0.3">
      <c r="A8691" s="34">
        <f>base!J8691</f>
        <v>0</v>
      </c>
      <c r="B8691" s="34">
        <f>base!V8691</f>
        <v>0</v>
      </c>
      <c r="C8691" s="40" t="s">
        <v>11</v>
      </c>
      <c r="D8691" s="36">
        <f>base!H8691</f>
        <v>0</v>
      </c>
      <c r="E8691" s="44"/>
      <c r="F8691" s="16">
        <f>base!W8691</f>
        <v>0</v>
      </c>
      <c r="G8691" s="11" t="e">
        <f t="shared" si="1343"/>
        <v>#DIV/0!</v>
      </c>
      <c r="H8691" s="11" t="e">
        <f t="shared" si="1344"/>
        <v>#N/A</v>
      </c>
      <c r="I8691" s="11" t="e">
        <f t="shared" si="1345"/>
        <v>#N/A</v>
      </c>
      <c r="J8691" s="12" t="e">
        <f t="shared" si="1346"/>
        <v>#N/A</v>
      </c>
      <c r="K8691" s="17" t="e">
        <f t="shared" si="1350"/>
        <v>#N/A</v>
      </c>
      <c r="L8691" s="16">
        <f>base!X8691</f>
        <v>0</v>
      </c>
      <c r="M8691" s="11" t="e">
        <f t="shared" si="1347"/>
        <v>#DIV/0!</v>
      </c>
      <c r="N8691" s="11"/>
      <c r="O8691" s="11" t="e">
        <f t="shared" si="1348"/>
        <v>#DIV/0!</v>
      </c>
      <c r="P8691" s="12">
        <f t="shared" si="1349"/>
        <v>0</v>
      </c>
      <c r="Q8691" s="17" t="str">
        <f t="shared" si="1351"/>
        <v>Pas d'écart</v>
      </c>
    </row>
    <row r="8692" spans="1:17" x14ac:dyDescent="0.3">
      <c r="A8692" s="34">
        <f>base!J8692</f>
        <v>0</v>
      </c>
      <c r="B8692" s="34">
        <f>base!V8692</f>
        <v>0</v>
      </c>
      <c r="C8692" s="40" t="s">
        <v>11</v>
      </c>
      <c r="D8692" s="36">
        <f>base!H8692</f>
        <v>0</v>
      </c>
      <c r="E8692" s="44"/>
      <c r="F8692" s="16">
        <f>base!W8692</f>
        <v>0</v>
      </c>
      <c r="G8692" s="11" t="e">
        <f t="shared" si="1343"/>
        <v>#DIV/0!</v>
      </c>
      <c r="H8692" s="11" t="e">
        <f t="shared" si="1344"/>
        <v>#N/A</v>
      </c>
      <c r="I8692" s="11" t="e">
        <f t="shared" si="1345"/>
        <v>#N/A</v>
      </c>
      <c r="J8692" s="12" t="e">
        <f t="shared" si="1346"/>
        <v>#N/A</v>
      </c>
      <c r="K8692" s="17" t="e">
        <f t="shared" si="1350"/>
        <v>#N/A</v>
      </c>
      <c r="L8692" s="16">
        <f>base!X8692</f>
        <v>0</v>
      </c>
      <c r="M8692" s="11" t="e">
        <f t="shared" si="1347"/>
        <v>#DIV/0!</v>
      </c>
      <c r="N8692" s="11"/>
      <c r="O8692" s="11" t="e">
        <f t="shared" si="1348"/>
        <v>#DIV/0!</v>
      </c>
      <c r="P8692" s="12">
        <f t="shared" si="1349"/>
        <v>0</v>
      </c>
      <c r="Q8692" s="17" t="str">
        <f t="shared" si="1351"/>
        <v>Pas d'écart</v>
      </c>
    </row>
    <row r="8693" spans="1:17" x14ac:dyDescent="0.3">
      <c r="A8693" s="34">
        <f>base!J8693</f>
        <v>0</v>
      </c>
      <c r="B8693" s="34">
        <f>base!V8693</f>
        <v>0</v>
      </c>
      <c r="C8693" s="40" t="s">
        <v>11</v>
      </c>
      <c r="D8693" s="36">
        <f>base!H8693</f>
        <v>0</v>
      </c>
      <c r="E8693" s="44"/>
      <c r="F8693" s="16">
        <f>base!W8693</f>
        <v>0</v>
      </c>
      <c r="G8693" s="11" t="e">
        <f t="shared" si="1343"/>
        <v>#DIV/0!</v>
      </c>
      <c r="H8693" s="11" t="e">
        <f t="shared" si="1344"/>
        <v>#N/A</v>
      </c>
      <c r="I8693" s="11" t="e">
        <f t="shared" si="1345"/>
        <v>#N/A</v>
      </c>
      <c r="J8693" s="12" t="e">
        <f t="shared" si="1346"/>
        <v>#N/A</v>
      </c>
      <c r="K8693" s="17" t="e">
        <f t="shared" si="1350"/>
        <v>#N/A</v>
      </c>
      <c r="L8693" s="16">
        <f>base!X8693</f>
        <v>0</v>
      </c>
      <c r="M8693" s="11" t="e">
        <f t="shared" si="1347"/>
        <v>#DIV/0!</v>
      </c>
      <c r="N8693" s="11"/>
      <c r="O8693" s="11" t="e">
        <f t="shared" si="1348"/>
        <v>#DIV/0!</v>
      </c>
      <c r="P8693" s="12">
        <f t="shared" si="1349"/>
        <v>0</v>
      </c>
      <c r="Q8693" s="17" t="str">
        <f t="shared" si="1351"/>
        <v>Pas d'écart</v>
      </c>
    </row>
    <row r="8694" spans="1:17" x14ac:dyDescent="0.3">
      <c r="A8694" s="34">
        <f>base!J8694</f>
        <v>0</v>
      </c>
      <c r="B8694" s="34">
        <f>base!V8694</f>
        <v>0</v>
      </c>
      <c r="C8694" s="40" t="s">
        <v>11</v>
      </c>
      <c r="D8694" s="36">
        <f>base!H8694</f>
        <v>0</v>
      </c>
      <c r="E8694" s="44"/>
      <c r="F8694" s="16">
        <f>base!W8694</f>
        <v>0</v>
      </c>
      <c r="G8694" s="11" t="e">
        <f t="shared" si="1343"/>
        <v>#DIV/0!</v>
      </c>
      <c r="H8694" s="11" t="e">
        <f t="shared" si="1344"/>
        <v>#N/A</v>
      </c>
      <c r="I8694" s="11" t="e">
        <f t="shared" si="1345"/>
        <v>#N/A</v>
      </c>
      <c r="J8694" s="12" t="e">
        <f t="shared" si="1346"/>
        <v>#N/A</v>
      </c>
      <c r="K8694" s="17" t="e">
        <f t="shared" si="1350"/>
        <v>#N/A</v>
      </c>
      <c r="L8694" s="16">
        <f>base!X8694</f>
        <v>0</v>
      </c>
      <c r="M8694" s="11" t="e">
        <f t="shared" si="1347"/>
        <v>#DIV/0!</v>
      </c>
      <c r="N8694" s="11"/>
      <c r="O8694" s="11" t="e">
        <f t="shared" si="1348"/>
        <v>#DIV/0!</v>
      </c>
      <c r="P8694" s="12">
        <f t="shared" si="1349"/>
        <v>0</v>
      </c>
      <c r="Q8694" s="17" t="str">
        <f t="shared" si="1351"/>
        <v>Pas d'écart</v>
      </c>
    </row>
    <row r="8695" spans="1:17" x14ac:dyDescent="0.3">
      <c r="A8695" s="34">
        <f>base!J8695</f>
        <v>0</v>
      </c>
      <c r="B8695" s="34">
        <f>base!V8695</f>
        <v>0</v>
      </c>
      <c r="C8695" s="40" t="s">
        <v>11</v>
      </c>
      <c r="D8695" s="36">
        <f>base!H8695</f>
        <v>0</v>
      </c>
      <c r="E8695" s="44"/>
      <c r="F8695" s="16">
        <f>base!W8695</f>
        <v>0</v>
      </c>
      <c r="G8695" s="11" t="e">
        <f t="shared" si="1343"/>
        <v>#DIV/0!</v>
      </c>
      <c r="H8695" s="11" t="e">
        <f t="shared" si="1344"/>
        <v>#N/A</v>
      </c>
      <c r="I8695" s="11" t="e">
        <f t="shared" si="1345"/>
        <v>#N/A</v>
      </c>
      <c r="J8695" s="12" t="e">
        <f t="shared" si="1346"/>
        <v>#N/A</v>
      </c>
      <c r="K8695" s="17" t="e">
        <f t="shared" si="1350"/>
        <v>#N/A</v>
      </c>
      <c r="L8695" s="16">
        <f>base!X8695</f>
        <v>0</v>
      </c>
      <c r="M8695" s="11" t="e">
        <f t="shared" si="1347"/>
        <v>#DIV/0!</v>
      </c>
      <c r="N8695" s="11"/>
      <c r="O8695" s="11" t="e">
        <f t="shared" si="1348"/>
        <v>#DIV/0!</v>
      </c>
      <c r="P8695" s="12">
        <f t="shared" si="1349"/>
        <v>0</v>
      </c>
      <c r="Q8695" s="17" t="str">
        <f t="shared" si="1351"/>
        <v>Pas d'écart</v>
      </c>
    </row>
    <row r="8696" spans="1:17" x14ac:dyDescent="0.3">
      <c r="A8696" s="34">
        <f>base!J8696</f>
        <v>0</v>
      </c>
      <c r="B8696" s="34">
        <f>base!V8696</f>
        <v>0</v>
      </c>
      <c r="C8696" s="40" t="s">
        <v>11</v>
      </c>
      <c r="D8696" s="36">
        <f>base!H8696</f>
        <v>0</v>
      </c>
      <c r="E8696" s="44"/>
      <c r="F8696" s="16">
        <f>base!W8696</f>
        <v>0</v>
      </c>
      <c r="G8696" s="11" t="e">
        <f t="shared" si="1343"/>
        <v>#DIV/0!</v>
      </c>
      <c r="H8696" s="11" t="e">
        <f t="shared" si="1344"/>
        <v>#N/A</v>
      </c>
      <c r="I8696" s="11" t="e">
        <f t="shared" si="1345"/>
        <v>#N/A</v>
      </c>
      <c r="J8696" s="12" t="e">
        <f t="shared" si="1346"/>
        <v>#N/A</v>
      </c>
      <c r="K8696" s="17" t="e">
        <f t="shared" si="1350"/>
        <v>#N/A</v>
      </c>
      <c r="L8696" s="16">
        <f>base!X8696</f>
        <v>0</v>
      </c>
      <c r="M8696" s="11" t="e">
        <f t="shared" si="1347"/>
        <v>#DIV/0!</v>
      </c>
      <c r="N8696" s="11"/>
      <c r="O8696" s="11" t="e">
        <f t="shared" si="1348"/>
        <v>#DIV/0!</v>
      </c>
      <c r="P8696" s="12">
        <f t="shared" si="1349"/>
        <v>0</v>
      </c>
      <c r="Q8696" s="17" t="str">
        <f t="shared" si="1351"/>
        <v>Pas d'écart</v>
      </c>
    </row>
    <row r="8697" spans="1:17" x14ac:dyDescent="0.3">
      <c r="A8697" s="34">
        <f>base!J8697</f>
        <v>0</v>
      </c>
      <c r="B8697" s="34">
        <f>base!V8697</f>
        <v>0</v>
      </c>
      <c r="C8697" s="40" t="s">
        <v>11</v>
      </c>
      <c r="D8697" s="36">
        <f>base!H8697</f>
        <v>0</v>
      </c>
      <c r="E8697" s="44"/>
      <c r="F8697" s="16">
        <f>base!W8697</f>
        <v>0</v>
      </c>
      <c r="G8697" s="11" t="e">
        <f t="shared" si="1343"/>
        <v>#DIV/0!</v>
      </c>
      <c r="H8697" s="11" t="e">
        <f t="shared" si="1344"/>
        <v>#N/A</v>
      </c>
      <c r="I8697" s="11" t="e">
        <f t="shared" si="1345"/>
        <v>#N/A</v>
      </c>
      <c r="J8697" s="12" t="e">
        <f t="shared" si="1346"/>
        <v>#N/A</v>
      </c>
      <c r="K8697" s="17" t="e">
        <f t="shared" si="1350"/>
        <v>#N/A</v>
      </c>
      <c r="L8697" s="16">
        <f>base!X8697</f>
        <v>0</v>
      </c>
      <c r="M8697" s="11" t="e">
        <f t="shared" si="1347"/>
        <v>#DIV/0!</v>
      </c>
      <c r="N8697" s="11"/>
      <c r="O8697" s="11" t="e">
        <f t="shared" si="1348"/>
        <v>#DIV/0!</v>
      </c>
      <c r="P8697" s="12">
        <f t="shared" si="1349"/>
        <v>0</v>
      </c>
      <c r="Q8697" s="17" t="str">
        <f t="shared" si="1351"/>
        <v>Pas d'écart</v>
      </c>
    </row>
    <row r="8698" spans="1:17" x14ac:dyDescent="0.3">
      <c r="A8698" s="34">
        <f>base!J8698</f>
        <v>0</v>
      </c>
      <c r="B8698" s="34">
        <f>base!V8698</f>
        <v>0</v>
      </c>
      <c r="C8698" s="40" t="s">
        <v>11</v>
      </c>
      <c r="D8698" s="36">
        <f>base!H8698</f>
        <v>0</v>
      </c>
      <c r="E8698" s="44"/>
      <c r="F8698" s="16">
        <f>base!W8698</f>
        <v>0</v>
      </c>
      <c r="G8698" s="11" t="e">
        <f t="shared" si="1343"/>
        <v>#DIV/0!</v>
      </c>
      <c r="H8698" s="11" t="e">
        <f t="shared" si="1344"/>
        <v>#N/A</v>
      </c>
      <c r="I8698" s="11" t="e">
        <f t="shared" si="1345"/>
        <v>#N/A</v>
      </c>
      <c r="J8698" s="12" t="e">
        <f t="shared" si="1346"/>
        <v>#N/A</v>
      </c>
      <c r="K8698" s="17" t="e">
        <f t="shared" si="1350"/>
        <v>#N/A</v>
      </c>
      <c r="L8698" s="16">
        <f>base!X8698</f>
        <v>0</v>
      </c>
      <c r="M8698" s="11" t="e">
        <f t="shared" si="1347"/>
        <v>#DIV/0!</v>
      </c>
      <c r="N8698" s="11"/>
      <c r="O8698" s="11" t="e">
        <f t="shared" si="1348"/>
        <v>#DIV/0!</v>
      </c>
      <c r="P8698" s="12">
        <f t="shared" si="1349"/>
        <v>0</v>
      </c>
      <c r="Q8698" s="17" t="str">
        <f t="shared" si="1351"/>
        <v>Pas d'écart</v>
      </c>
    </row>
    <row r="8699" spans="1:17" x14ac:dyDescent="0.3">
      <c r="A8699" s="34">
        <f>base!J8699</f>
        <v>0</v>
      </c>
      <c r="B8699" s="34">
        <f>base!V8699</f>
        <v>0</v>
      </c>
      <c r="C8699" s="40" t="s">
        <v>11</v>
      </c>
      <c r="D8699" s="36">
        <f>base!H8699</f>
        <v>0</v>
      </c>
      <c r="E8699" s="44"/>
      <c r="F8699" s="16">
        <f>base!W8699</f>
        <v>0</v>
      </c>
      <c r="G8699" s="11" t="e">
        <f t="shared" si="1343"/>
        <v>#DIV/0!</v>
      </c>
      <c r="H8699" s="11" t="e">
        <f t="shared" si="1344"/>
        <v>#N/A</v>
      </c>
      <c r="I8699" s="11" t="e">
        <f t="shared" si="1345"/>
        <v>#N/A</v>
      </c>
      <c r="J8699" s="12" t="e">
        <f t="shared" si="1346"/>
        <v>#N/A</v>
      </c>
      <c r="K8699" s="17" t="e">
        <f t="shared" si="1350"/>
        <v>#N/A</v>
      </c>
      <c r="L8699" s="16">
        <f>base!X8699</f>
        <v>0</v>
      </c>
      <c r="M8699" s="11" t="e">
        <f t="shared" si="1347"/>
        <v>#DIV/0!</v>
      </c>
      <c r="N8699" s="11"/>
      <c r="O8699" s="11" t="e">
        <f t="shared" si="1348"/>
        <v>#DIV/0!</v>
      </c>
      <c r="P8699" s="12">
        <f t="shared" si="1349"/>
        <v>0</v>
      </c>
      <c r="Q8699" s="17" t="str">
        <f t="shared" si="1351"/>
        <v>Pas d'écart</v>
      </c>
    </row>
    <row r="8700" spans="1:17" x14ac:dyDescent="0.3">
      <c r="A8700" s="34">
        <f>base!J8700</f>
        <v>0</v>
      </c>
      <c r="B8700" s="34">
        <f>base!V8700</f>
        <v>0</v>
      </c>
      <c r="C8700" s="40" t="s">
        <v>11</v>
      </c>
      <c r="D8700" s="36">
        <f>base!H8700</f>
        <v>0</v>
      </c>
      <c r="E8700" s="44"/>
      <c r="F8700" s="16">
        <f>base!W8700</f>
        <v>0</v>
      </c>
      <c r="G8700" s="11" t="e">
        <f t="shared" si="1343"/>
        <v>#DIV/0!</v>
      </c>
      <c r="H8700" s="11" t="e">
        <f t="shared" si="1344"/>
        <v>#N/A</v>
      </c>
      <c r="I8700" s="11" t="e">
        <f t="shared" si="1345"/>
        <v>#N/A</v>
      </c>
      <c r="J8700" s="12" t="e">
        <f t="shared" si="1346"/>
        <v>#N/A</v>
      </c>
      <c r="K8700" s="17" t="e">
        <f t="shared" si="1350"/>
        <v>#N/A</v>
      </c>
      <c r="L8700" s="16">
        <f>base!X8700</f>
        <v>0</v>
      </c>
      <c r="M8700" s="11" t="e">
        <f t="shared" si="1347"/>
        <v>#DIV/0!</v>
      </c>
      <c r="N8700" s="11"/>
      <c r="O8700" s="11" t="e">
        <f t="shared" si="1348"/>
        <v>#DIV/0!</v>
      </c>
      <c r="P8700" s="12">
        <f t="shared" si="1349"/>
        <v>0</v>
      </c>
      <c r="Q8700" s="17" t="str">
        <f t="shared" si="1351"/>
        <v>Pas d'écart</v>
      </c>
    </row>
    <row r="8701" spans="1:17" x14ac:dyDescent="0.3">
      <c r="A8701" s="34">
        <f>base!J8701</f>
        <v>0</v>
      </c>
      <c r="B8701" s="34">
        <f>base!V8701</f>
        <v>0</v>
      </c>
      <c r="C8701" s="40" t="s">
        <v>11</v>
      </c>
      <c r="D8701" s="36">
        <f>base!H8701</f>
        <v>0</v>
      </c>
      <c r="E8701" s="44"/>
      <c r="F8701" s="16">
        <f>base!W8701</f>
        <v>0</v>
      </c>
      <c r="G8701" s="11" t="e">
        <f t="shared" si="1343"/>
        <v>#DIV/0!</v>
      </c>
      <c r="H8701" s="11" t="e">
        <f t="shared" si="1344"/>
        <v>#N/A</v>
      </c>
      <c r="I8701" s="11" t="e">
        <f t="shared" si="1345"/>
        <v>#N/A</v>
      </c>
      <c r="J8701" s="12" t="e">
        <f t="shared" si="1346"/>
        <v>#N/A</v>
      </c>
      <c r="K8701" s="17" t="e">
        <f t="shared" si="1350"/>
        <v>#N/A</v>
      </c>
      <c r="L8701" s="16">
        <f>base!X8701</f>
        <v>0</v>
      </c>
      <c r="M8701" s="11" t="e">
        <f t="shared" si="1347"/>
        <v>#DIV/0!</v>
      </c>
      <c r="N8701" s="11"/>
      <c r="O8701" s="11" t="e">
        <f t="shared" si="1348"/>
        <v>#DIV/0!</v>
      </c>
      <c r="P8701" s="12">
        <f t="shared" si="1349"/>
        <v>0</v>
      </c>
      <c r="Q8701" s="17" t="str">
        <f t="shared" si="1351"/>
        <v>Pas d'écart</v>
      </c>
    </row>
    <row r="8702" spans="1:17" x14ac:dyDescent="0.3">
      <c r="A8702" s="34">
        <f>base!J8702</f>
        <v>0</v>
      </c>
      <c r="B8702" s="34">
        <f>base!V8702</f>
        <v>0</v>
      </c>
      <c r="C8702" s="40" t="s">
        <v>11</v>
      </c>
      <c r="D8702" s="36">
        <f>base!H8702</f>
        <v>0</v>
      </c>
      <c r="E8702" s="44"/>
      <c r="F8702" s="16">
        <f>base!W8702</f>
        <v>0</v>
      </c>
      <c r="G8702" s="11" t="e">
        <f t="shared" si="1343"/>
        <v>#DIV/0!</v>
      </c>
      <c r="H8702" s="11" t="e">
        <f t="shared" si="1344"/>
        <v>#N/A</v>
      </c>
      <c r="I8702" s="11" t="e">
        <f t="shared" si="1345"/>
        <v>#N/A</v>
      </c>
      <c r="J8702" s="12" t="e">
        <f t="shared" si="1346"/>
        <v>#N/A</v>
      </c>
      <c r="K8702" s="17" t="e">
        <f t="shared" si="1350"/>
        <v>#N/A</v>
      </c>
      <c r="L8702" s="16">
        <f>base!X8702</f>
        <v>0</v>
      </c>
      <c r="M8702" s="11" t="e">
        <f t="shared" si="1347"/>
        <v>#DIV/0!</v>
      </c>
      <c r="N8702" s="11"/>
      <c r="O8702" s="11" t="e">
        <f t="shared" si="1348"/>
        <v>#DIV/0!</v>
      </c>
      <c r="P8702" s="12">
        <f t="shared" si="1349"/>
        <v>0</v>
      </c>
      <c r="Q8702" s="17" t="str">
        <f t="shared" si="1351"/>
        <v>Pas d'écart</v>
      </c>
    </row>
    <row r="8703" spans="1:17" x14ac:dyDescent="0.3">
      <c r="A8703" s="34">
        <f>base!J8703</f>
        <v>0</v>
      </c>
      <c r="B8703" s="34">
        <f>base!V8703</f>
        <v>0</v>
      </c>
      <c r="C8703" s="40" t="s">
        <v>11</v>
      </c>
      <c r="D8703" s="36">
        <f>base!H8703</f>
        <v>0</v>
      </c>
      <c r="E8703" s="44"/>
      <c r="F8703" s="16">
        <f>base!W8703</f>
        <v>0</v>
      </c>
      <c r="G8703" s="11" t="e">
        <f t="shared" si="1343"/>
        <v>#DIV/0!</v>
      </c>
      <c r="H8703" s="11" t="e">
        <f t="shared" si="1344"/>
        <v>#N/A</v>
      </c>
      <c r="I8703" s="11" t="e">
        <f t="shared" si="1345"/>
        <v>#N/A</v>
      </c>
      <c r="J8703" s="12" t="e">
        <f t="shared" si="1346"/>
        <v>#N/A</v>
      </c>
      <c r="K8703" s="17" t="e">
        <f t="shared" si="1350"/>
        <v>#N/A</v>
      </c>
      <c r="L8703" s="16">
        <f>base!X8703</f>
        <v>0</v>
      </c>
      <c r="M8703" s="11" t="e">
        <f t="shared" si="1347"/>
        <v>#DIV/0!</v>
      </c>
      <c r="N8703" s="11"/>
      <c r="O8703" s="11" t="e">
        <f t="shared" si="1348"/>
        <v>#DIV/0!</v>
      </c>
      <c r="P8703" s="12">
        <f t="shared" si="1349"/>
        <v>0</v>
      </c>
      <c r="Q8703" s="17" t="str">
        <f t="shared" si="1351"/>
        <v>Pas d'écart</v>
      </c>
    </row>
    <row r="8704" spans="1:17" x14ac:dyDescent="0.3">
      <c r="A8704" s="34">
        <f>base!J8704</f>
        <v>0</v>
      </c>
      <c r="B8704" s="34">
        <f>base!V8704</f>
        <v>0</v>
      </c>
      <c r="C8704" s="40" t="s">
        <v>11</v>
      </c>
      <c r="D8704" s="36">
        <f>base!H8704</f>
        <v>0</v>
      </c>
      <c r="E8704" s="44"/>
      <c r="F8704" s="16">
        <f>base!W8704</f>
        <v>0</v>
      </c>
      <c r="G8704" s="11" t="e">
        <f t="shared" si="1343"/>
        <v>#DIV/0!</v>
      </c>
      <c r="H8704" s="11" t="e">
        <f t="shared" si="1344"/>
        <v>#N/A</v>
      </c>
      <c r="I8704" s="11" t="e">
        <f t="shared" si="1345"/>
        <v>#N/A</v>
      </c>
      <c r="J8704" s="12" t="e">
        <f t="shared" si="1346"/>
        <v>#N/A</v>
      </c>
      <c r="K8704" s="17" t="e">
        <f t="shared" si="1350"/>
        <v>#N/A</v>
      </c>
      <c r="L8704" s="16">
        <f>base!X8704</f>
        <v>0</v>
      </c>
      <c r="M8704" s="11" t="e">
        <f t="shared" si="1347"/>
        <v>#DIV/0!</v>
      </c>
      <c r="N8704" s="11"/>
      <c r="O8704" s="11" t="e">
        <f t="shared" si="1348"/>
        <v>#DIV/0!</v>
      </c>
      <c r="P8704" s="12">
        <f t="shared" si="1349"/>
        <v>0</v>
      </c>
      <c r="Q8704" s="17" t="str">
        <f t="shared" si="1351"/>
        <v>Pas d'écart</v>
      </c>
    </row>
    <row r="8705" spans="1:17" x14ac:dyDescent="0.3">
      <c r="A8705" s="34">
        <f>base!J8705</f>
        <v>0</v>
      </c>
      <c r="B8705" s="34">
        <f>base!V8705</f>
        <v>0</v>
      </c>
      <c r="C8705" s="40" t="s">
        <v>11</v>
      </c>
      <c r="D8705" s="36">
        <f>base!H8705</f>
        <v>0</v>
      </c>
      <c r="E8705" s="44"/>
      <c r="F8705" s="16">
        <f>base!W8705</f>
        <v>0</v>
      </c>
      <c r="G8705" s="11" t="e">
        <f t="shared" si="1343"/>
        <v>#DIV/0!</v>
      </c>
      <c r="H8705" s="11" t="e">
        <f t="shared" si="1344"/>
        <v>#N/A</v>
      </c>
      <c r="I8705" s="11" t="e">
        <f t="shared" si="1345"/>
        <v>#N/A</v>
      </c>
      <c r="J8705" s="12" t="e">
        <f t="shared" si="1346"/>
        <v>#N/A</v>
      </c>
      <c r="K8705" s="17" t="e">
        <f t="shared" si="1350"/>
        <v>#N/A</v>
      </c>
      <c r="L8705" s="16">
        <f>base!X8705</f>
        <v>0</v>
      </c>
      <c r="M8705" s="11" t="e">
        <f t="shared" si="1347"/>
        <v>#DIV/0!</v>
      </c>
      <c r="N8705" s="11"/>
      <c r="O8705" s="11" t="e">
        <f t="shared" si="1348"/>
        <v>#DIV/0!</v>
      </c>
      <c r="P8705" s="12">
        <f t="shared" si="1349"/>
        <v>0</v>
      </c>
      <c r="Q8705" s="17" t="str">
        <f t="shared" si="1351"/>
        <v>Pas d'écart</v>
      </c>
    </row>
    <row r="8706" spans="1:17" x14ac:dyDescent="0.3">
      <c r="A8706" s="34">
        <f>base!J8706</f>
        <v>0</v>
      </c>
      <c r="B8706" s="34">
        <f>base!V8706</f>
        <v>0</v>
      </c>
      <c r="C8706" s="40" t="s">
        <v>11</v>
      </c>
      <c r="D8706" s="36">
        <f>base!H8706</f>
        <v>0</v>
      </c>
      <c r="E8706" s="44"/>
      <c r="F8706" s="16">
        <f>base!W8706</f>
        <v>0</v>
      </c>
      <c r="G8706" s="11" t="e">
        <f t="shared" ref="G8706:G8769" si="1352">F8706/D8706</f>
        <v>#DIV/0!</v>
      </c>
      <c r="H8706" s="11" t="e">
        <f t="shared" ref="H8706:H8769" si="1353">VLOOKUP(C8706,tout_cout_traction,2,FALSE)*D8706</f>
        <v>#N/A</v>
      </c>
      <c r="I8706" s="11" t="e">
        <f t="shared" ref="I8706:I8769" si="1354">H8706/D8706</f>
        <v>#N/A</v>
      </c>
      <c r="J8706" s="12" t="e">
        <f t="shared" ref="J8706:J8769" si="1355">F8706-H8706</f>
        <v>#N/A</v>
      </c>
      <c r="K8706" s="17" t="e">
        <f t="shared" si="1350"/>
        <v>#N/A</v>
      </c>
      <c r="L8706" s="16">
        <f>base!X8706</f>
        <v>0</v>
      </c>
      <c r="M8706" s="11" t="e">
        <f t="shared" ref="M8706:M8769" si="1356">L8706/D8706</f>
        <v>#DIV/0!</v>
      </c>
      <c r="N8706" s="11"/>
      <c r="O8706" s="11" t="e">
        <f t="shared" ref="O8706:O8769" si="1357">N8706/D8706</f>
        <v>#DIV/0!</v>
      </c>
      <c r="P8706" s="12">
        <f t="shared" ref="P8706:P8769" si="1358">L8706-N8706</f>
        <v>0</v>
      </c>
      <c r="Q8706" s="17" t="str">
        <f t="shared" si="1351"/>
        <v>Pas d'écart</v>
      </c>
    </row>
    <row r="8707" spans="1:17" x14ac:dyDescent="0.3">
      <c r="A8707" s="34">
        <f>base!J8707</f>
        <v>0</v>
      </c>
      <c r="B8707" s="34">
        <f>base!V8707</f>
        <v>0</v>
      </c>
      <c r="C8707" s="40" t="s">
        <v>11</v>
      </c>
      <c r="D8707" s="36">
        <f>base!H8707</f>
        <v>0</v>
      </c>
      <c r="E8707" s="44"/>
      <c r="F8707" s="16">
        <f>base!W8707</f>
        <v>0</v>
      </c>
      <c r="G8707" s="11" t="e">
        <f t="shared" si="1352"/>
        <v>#DIV/0!</v>
      </c>
      <c r="H8707" s="11" t="e">
        <f t="shared" si="1353"/>
        <v>#N/A</v>
      </c>
      <c r="I8707" s="11" t="e">
        <f t="shared" si="1354"/>
        <v>#N/A</v>
      </c>
      <c r="J8707" s="12" t="e">
        <f t="shared" si="1355"/>
        <v>#N/A</v>
      </c>
      <c r="K8707" s="17" t="e">
        <f t="shared" ref="K8707:K8770" si="1359">IF(H8707=F8707,"Pas d'écart",IF(H8707&lt;F8707,"Ecart positif",IF(H8707&gt;F8707,"Ecart négatif")))</f>
        <v>#N/A</v>
      </c>
      <c r="L8707" s="16">
        <f>base!X8707</f>
        <v>0</v>
      </c>
      <c r="M8707" s="11" t="e">
        <f t="shared" si="1356"/>
        <v>#DIV/0!</v>
      </c>
      <c r="N8707" s="11"/>
      <c r="O8707" s="11" t="e">
        <f t="shared" si="1357"/>
        <v>#DIV/0!</v>
      </c>
      <c r="P8707" s="12">
        <f t="shared" si="1358"/>
        <v>0</v>
      </c>
      <c r="Q8707" s="17" t="str">
        <f t="shared" ref="Q8707:Q8770" si="1360">IF(N8707=L8707,"Pas d'écart",IF(N8707&lt;L8707,"Ecart positif",IF(N8707&gt;L8707,"Ecart négatif")))</f>
        <v>Pas d'écart</v>
      </c>
    </row>
    <row r="8708" spans="1:17" x14ac:dyDescent="0.3">
      <c r="A8708" s="34">
        <f>base!J8708</f>
        <v>0</v>
      </c>
      <c r="B8708" s="34">
        <f>base!V8708</f>
        <v>0</v>
      </c>
      <c r="C8708" s="40" t="s">
        <v>11</v>
      </c>
      <c r="D8708" s="36">
        <f>base!H8708</f>
        <v>0</v>
      </c>
      <c r="E8708" s="44"/>
      <c r="F8708" s="16">
        <f>base!W8708</f>
        <v>0</v>
      </c>
      <c r="G8708" s="11" t="e">
        <f t="shared" si="1352"/>
        <v>#DIV/0!</v>
      </c>
      <c r="H8708" s="11" t="e">
        <f t="shared" si="1353"/>
        <v>#N/A</v>
      </c>
      <c r="I8708" s="11" t="e">
        <f t="shared" si="1354"/>
        <v>#N/A</v>
      </c>
      <c r="J8708" s="12" t="e">
        <f t="shared" si="1355"/>
        <v>#N/A</v>
      </c>
      <c r="K8708" s="17" t="e">
        <f t="shared" si="1359"/>
        <v>#N/A</v>
      </c>
      <c r="L8708" s="16">
        <f>base!X8708</f>
        <v>0</v>
      </c>
      <c r="M8708" s="11" t="e">
        <f t="shared" si="1356"/>
        <v>#DIV/0!</v>
      </c>
      <c r="N8708" s="11"/>
      <c r="O8708" s="11" t="e">
        <f t="shared" si="1357"/>
        <v>#DIV/0!</v>
      </c>
      <c r="P8708" s="12">
        <f t="shared" si="1358"/>
        <v>0</v>
      </c>
      <c r="Q8708" s="17" t="str">
        <f t="shared" si="1360"/>
        <v>Pas d'écart</v>
      </c>
    </row>
    <row r="8709" spans="1:17" x14ac:dyDescent="0.3">
      <c r="A8709" s="34">
        <f>base!J8709</f>
        <v>0</v>
      </c>
      <c r="B8709" s="34">
        <f>base!V8709</f>
        <v>0</v>
      </c>
      <c r="C8709" s="40" t="s">
        <v>11</v>
      </c>
      <c r="D8709" s="36">
        <f>base!H8709</f>
        <v>0</v>
      </c>
      <c r="E8709" s="44"/>
      <c r="F8709" s="16">
        <f>base!W8709</f>
        <v>0</v>
      </c>
      <c r="G8709" s="11" t="e">
        <f t="shared" si="1352"/>
        <v>#DIV/0!</v>
      </c>
      <c r="H8709" s="11" t="e">
        <f t="shared" si="1353"/>
        <v>#N/A</v>
      </c>
      <c r="I8709" s="11" t="e">
        <f t="shared" si="1354"/>
        <v>#N/A</v>
      </c>
      <c r="J8709" s="12" t="e">
        <f t="shared" si="1355"/>
        <v>#N/A</v>
      </c>
      <c r="K8709" s="17" t="e">
        <f t="shared" si="1359"/>
        <v>#N/A</v>
      </c>
      <c r="L8709" s="16">
        <f>base!X8709</f>
        <v>0</v>
      </c>
      <c r="M8709" s="11" t="e">
        <f t="shared" si="1356"/>
        <v>#DIV/0!</v>
      </c>
      <c r="N8709" s="11"/>
      <c r="O8709" s="11" t="e">
        <f t="shared" si="1357"/>
        <v>#DIV/0!</v>
      </c>
      <c r="P8709" s="12">
        <f t="shared" si="1358"/>
        <v>0</v>
      </c>
      <c r="Q8709" s="17" t="str">
        <f t="shared" si="1360"/>
        <v>Pas d'écart</v>
      </c>
    </row>
    <row r="8710" spans="1:17" x14ac:dyDescent="0.3">
      <c r="A8710" s="34">
        <f>base!J8710</f>
        <v>0</v>
      </c>
      <c r="B8710" s="34">
        <f>base!V8710</f>
        <v>0</v>
      </c>
      <c r="C8710" s="40" t="s">
        <v>11</v>
      </c>
      <c r="D8710" s="36">
        <f>base!H8710</f>
        <v>0</v>
      </c>
      <c r="E8710" s="44"/>
      <c r="F8710" s="16">
        <f>base!W8710</f>
        <v>0</v>
      </c>
      <c r="G8710" s="11" t="e">
        <f t="shared" si="1352"/>
        <v>#DIV/0!</v>
      </c>
      <c r="H8710" s="11" t="e">
        <f t="shared" si="1353"/>
        <v>#N/A</v>
      </c>
      <c r="I8710" s="11" t="e">
        <f t="shared" si="1354"/>
        <v>#N/A</v>
      </c>
      <c r="J8710" s="12" t="e">
        <f t="shared" si="1355"/>
        <v>#N/A</v>
      </c>
      <c r="K8710" s="17" t="e">
        <f t="shared" si="1359"/>
        <v>#N/A</v>
      </c>
      <c r="L8710" s="16">
        <f>base!X8710</f>
        <v>0</v>
      </c>
      <c r="M8710" s="11" t="e">
        <f t="shared" si="1356"/>
        <v>#DIV/0!</v>
      </c>
      <c r="N8710" s="11"/>
      <c r="O8710" s="11" t="e">
        <f t="shared" si="1357"/>
        <v>#DIV/0!</v>
      </c>
      <c r="P8710" s="12">
        <f t="shared" si="1358"/>
        <v>0</v>
      </c>
      <c r="Q8710" s="17" t="str">
        <f t="shared" si="1360"/>
        <v>Pas d'écart</v>
      </c>
    </row>
    <row r="8711" spans="1:17" x14ac:dyDescent="0.3">
      <c r="A8711" s="34">
        <f>base!J8711</f>
        <v>0</v>
      </c>
      <c r="B8711" s="34">
        <f>base!V8711</f>
        <v>0</v>
      </c>
      <c r="C8711" s="40" t="s">
        <v>11</v>
      </c>
      <c r="D8711" s="36">
        <f>base!H8711</f>
        <v>0</v>
      </c>
      <c r="E8711" s="44"/>
      <c r="F8711" s="16">
        <f>base!W8711</f>
        <v>0</v>
      </c>
      <c r="G8711" s="11" t="e">
        <f t="shared" si="1352"/>
        <v>#DIV/0!</v>
      </c>
      <c r="H8711" s="11" t="e">
        <f t="shared" si="1353"/>
        <v>#N/A</v>
      </c>
      <c r="I8711" s="11" t="e">
        <f t="shared" si="1354"/>
        <v>#N/A</v>
      </c>
      <c r="J8711" s="12" t="e">
        <f t="shared" si="1355"/>
        <v>#N/A</v>
      </c>
      <c r="K8711" s="17" t="e">
        <f t="shared" si="1359"/>
        <v>#N/A</v>
      </c>
      <c r="L8711" s="16">
        <f>base!X8711</f>
        <v>0</v>
      </c>
      <c r="M8711" s="11" t="e">
        <f t="shared" si="1356"/>
        <v>#DIV/0!</v>
      </c>
      <c r="N8711" s="11"/>
      <c r="O8711" s="11" t="e">
        <f t="shared" si="1357"/>
        <v>#DIV/0!</v>
      </c>
      <c r="P8711" s="12">
        <f t="shared" si="1358"/>
        <v>0</v>
      </c>
      <c r="Q8711" s="17" t="str">
        <f t="shared" si="1360"/>
        <v>Pas d'écart</v>
      </c>
    </row>
    <row r="8712" spans="1:17" x14ac:dyDescent="0.3">
      <c r="A8712" s="34">
        <f>base!J8712</f>
        <v>0</v>
      </c>
      <c r="B8712" s="34">
        <f>base!V8712</f>
        <v>0</v>
      </c>
      <c r="C8712" s="40" t="s">
        <v>11</v>
      </c>
      <c r="D8712" s="36">
        <f>base!H8712</f>
        <v>0</v>
      </c>
      <c r="E8712" s="44"/>
      <c r="F8712" s="16">
        <f>base!W8712</f>
        <v>0</v>
      </c>
      <c r="G8712" s="11" t="e">
        <f t="shared" si="1352"/>
        <v>#DIV/0!</v>
      </c>
      <c r="H8712" s="11" t="e">
        <f t="shared" si="1353"/>
        <v>#N/A</v>
      </c>
      <c r="I8712" s="11" t="e">
        <f t="shared" si="1354"/>
        <v>#N/A</v>
      </c>
      <c r="J8712" s="12" t="e">
        <f t="shared" si="1355"/>
        <v>#N/A</v>
      </c>
      <c r="K8712" s="17" t="e">
        <f t="shared" si="1359"/>
        <v>#N/A</v>
      </c>
      <c r="L8712" s="16">
        <f>base!X8712</f>
        <v>0</v>
      </c>
      <c r="M8712" s="11" t="e">
        <f t="shared" si="1356"/>
        <v>#DIV/0!</v>
      </c>
      <c r="N8712" s="11"/>
      <c r="O8712" s="11" t="e">
        <f t="shared" si="1357"/>
        <v>#DIV/0!</v>
      </c>
      <c r="P8712" s="12">
        <f t="shared" si="1358"/>
        <v>0</v>
      </c>
      <c r="Q8712" s="17" t="str">
        <f t="shared" si="1360"/>
        <v>Pas d'écart</v>
      </c>
    </row>
    <row r="8713" spans="1:17" x14ac:dyDescent="0.3">
      <c r="A8713" s="34">
        <f>base!J8713</f>
        <v>0</v>
      </c>
      <c r="B8713" s="34">
        <f>base!V8713</f>
        <v>0</v>
      </c>
      <c r="C8713" s="40" t="s">
        <v>11</v>
      </c>
      <c r="D8713" s="36">
        <f>base!H8713</f>
        <v>0</v>
      </c>
      <c r="E8713" s="44"/>
      <c r="F8713" s="16">
        <f>base!W8713</f>
        <v>0</v>
      </c>
      <c r="G8713" s="11" t="e">
        <f t="shared" si="1352"/>
        <v>#DIV/0!</v>
      </c>
      <c r="H8713" s="11" t="e">
        <f t="shared" si="1353"/>
        <v>#N/A</v>
      </c>
      <c r="I8713" s="11" t="e">
        <f t="shared" si="1354"/>
        <v>#N/A</v>
      </c>
      <c r="J8713" s="12" t="e">
        <f t="shared" si="1355"/>
        <v>#N/A</v>
      </c>
      <c r="K8713" s="17" t="e">
        <f t="shared" si="1359"/>
        <v>#N/A</v>
      </c>
      <c r="L8713" s="16">
        <f>base!X8713</f>
        <v>0</v>
      </c>
      <c r="M8713" s="11" t="e">
        <f t="shared" si="1356"/>
        <v>#DIV/0!</v>
      </c>
      <c r="N8713" s="11"/>
      <c r="O8713" s="11" t="e">
        <f t="shared" si="1357"/>
        <v>#DIV/0!</v>
      </c>
      <c r="P8713" s="12">
        <f t="shared" si="1358"/>
        <v>0</v>
      </c>
      <c r="Q8713" s="17" t="str">
        <f t="shared" si="1360"/>
        <v>Pas d'écart</v>
      </c>
    </row>
    <row r="8714" spans="1:17" x14ac:dyDescent="0.3">
      <c r="A8714" s="34">
        <f>base!J8714</f>
        <v>0</v>
      </c>
      <c r="B8714" s="34">
        <f>base!V8714</f>
        <v>0</v>
      </c>
      <c r="C8714" s="40" t="s">
        <v>11</v>
      </c>
      <c r="D8714" s="36">
        <f>base!H8714</f>
        <v>0</v>
      </c>
      <c r="E8714" s="44"/>
      <c r="F8714" s="16">
        <f>base!W8714</f>
        <v>0</v>
      </c>
      <c r="G8714" s="11" t="e">
        <f t="shared" si="1352"/>
        <v>#DIV/0!</v>
      </c>
      <c r="H8714" s="11" t="e">
        <f t="shared" si="1353"/>
        <v>#N/A</v>
      </c>
      <c r="I8714" s="11" t="e">
        <f t="shared" si="1354"/>
        <v>#N/A</v>
      </c>
      <c r="J8714" s="12" t="e">
        <f t="shared" si="1355"/>
        <v>#N/A</v>
      </c>
      <c r="K8714" s="17" t="e">
        <f t="shared" si="1359"/>
        <v>#N/A</v>
      </c>
      <c r="L8714" s="16">
        <f>base!X8714</f>
        <v>0</v>
      </c>
      <c r="M8714" s="11" t="e">
        <f t="shared" si="1356"/>
        <v>#DIV/0!</v>
      </c>
      <c r="N8714" s="11"/>
      <c r="O8714" s="11" t="e">
        <f t="shared" si="1357"/>
        <v>#DIV/0!</v>
      </c>
      <c r="P8714" s="12">
        <f t="shared" si="1358"/>
        <v>0</v>
      </c>
      <c r="Q8714" s="17" t="str">
        <f t="shared" si="1360"/>
        <v>Pas d'écart</v>
      </c>
    </row>
    <row r="8715" spans="1:17" x14ac:dyDescent="0.3">
      <c r="A8715" s="34">
        <f>base!J8715</f>
        <v>0</v>
      </c>
      <c r="B8715" s="34">
        <f>base!V8715</f>
        <v>0</v>
      </c>
      <c r="C8715" s="40" t="s">
        <v>11</v>
      </c>
      <c r="D8715" s="36">
        <f>base!H8715</f>
        <v>0</v>
      </c>
      <c r="E8715" s="44"/>
      <c r="F8715" s="16">
        <f>base!W8715</f>
        <v>0</v>
      </c>
      <c r="G8715" s="11" t="e">
        <f t="shared" si="1352"/>
        <v>#DIV/0!</v>
      </c>
      <c r="H8715" s="11" t="e">
        <f t="shared" si="1353"/>
        <v>#N/A</v>
      </c>
      <c r="I8715" s="11" t="e">
        <f t="shared" si="1354"/>
        <v>#N/A</v>
      </c>
      <c r="J8715" s="12" t="e">
        <f t="shared" si="1355"/>
        <v>#N/A</v>
      </c>
      <c r="K8715" s="17" t="e">
        <f t="shared" si="1359"/>
        <v>#N/A</v>
      </c>
      <c r="L8715" s="16">
        <f>base!X8715</f>
        <v>0</v>
      </c>
      <c r="M8715" s="11" t="e">
        <f t="shared" si="1356"/>
        <v>#DIV/0!</v>
      </c>
      <c r="N8715" s="11"/>
      <c r="O8715" s="11" t="e">
        <f t="shared" si="1357"/>
        <v>#DIV/0!</v>
      </c>
      <c r="P8715" s="12">
        <f t="shared" si="1358"/>
        <v>0</v>
      </c>
      <c r="Q8715" s="17" t="str">
        <f t="shared" si="1360"/>
        <v>Pas d'écart</v>
      </c>
    </row>
    <row r="8716" spans="1:17" x14ac:dyDescent="0.3">
      <c r="A8716" s="34">
        <f>base!J8716</f>
        <v>0</v>
      </c>
      <c r="B8716" s="34">
        <f>base!V8716</f>
        <v>0</v>
      </c>
      <c r="C8716" s="40" t="s">
        <v>11</v>
      </c>
      <c r="D8716" s="36">
        <f>base!H8716</f>
        <v>0</v>
      </c>
      <c r="E8716" s="44"/>
      <c r="F8716" s="16">
        <f>base!W8716</f>
        <v>0</v>
      </c>
      <c r="G8716" s="11" t="e">
        <f t="shared" si="1352"/>
        <v>#DIV/0!</v>
      </c>
      <c r="H8716" s="11" t="e">
        <f t="shared" si="1353"/>
        <v>#N/A</v>
      </c>
      <c r="I8716" s="11" t="e">
        <f t="shared" si="1354"/>
        <v>#N/A</v>
      </c>
      <c r="J8716" s="12" t="e">
        <f t="shared" si="1355"/>
        <v>#N/A</v>
      </c>
      <c r="K8716" s="17" t="e">
        <f t="shared" si="1359"/>
        <v>#N/A</v>
      </c>
      <c r="L8716" s="16">
        <f>base!X8716</f>
        <v>0</v>
      </c>
      <c r="M8716" s="11" t="e">
        <f t="shared" si="1356"/>
        <v>#DIV/0!</v>
      </c>
      <c r="N8716" s="11"/>
      <c r="O8716" s="11" t="e">
        <f t="shared" si="1357"/>
        <v>#DIV/0!</v>
      </c>
      <c r="P8716" s="12">
        <f t="shared" si="1358"/>
        <v>0</v>
      </c>
      <c r="Q8716" s="17" t="str">
        <f t="shared" si="1360"/>
        <v>Pas d'écart</v>
      </c>
    </row>
    <row r="8717" spans="1:17" x14ac:dyDescent="0.3">
      <c r="A8717" s="34">
        <f>base!J8717</f>
        <v>0</v>
      </c>
      <c r="B8717" s="34">
        <f>base!V8717</f>
        <v>0</v>
      </c>
      <c r="C8717" s="40" t="s">
        <v>11</v>
      </c>
      <c r="D8717" s="36">
        <f>base!H8717</f>
        <v>0</v>
      </c>
      <c r="E8717" s="44"/>
      <c r="F8717" s="16">
        <f>base!W8717</f>
        <v>0</v>
      </c>
      <c r="G8717" s="11" t="e">
        <f t="shared" si="1352"/>
        <v>#DIV/0!</v>
      </c>
      <c r="H8717" s="11" t="e">
        <f t="shared" si="1353"/>
        <v>#N/A</v>
      </c>
      <c r="I8717" s="11" t="e">
        <f t="shared" si="1354"/>
        <v>#N/A</v>
      </c>
      <c r="J8717" s="12" t="e">
        <f t="shared" si="1355"/>
        <v>#N/A</v>
      </c>
      <c r="K8717" s="17" t="e">
        <f t="shared" si="1359"/>
        <v>#N/A</v>
      </c>
      <c r="L8717" s="16">
        <f>base!X8717</f>
        <v>0</v>
      </c>
      <c r="M8717" s="11" t="e">
        <f t="shared" si="1356"/>
        <v>#DIV/0!</v>
      </c>
      <c r="N8717" s="11"/>
      <c r="O8717" s="11" t="e">
        <f t="shared" si="1357"/>
        <v>#DIV/0!</v>
      </c>
      <c r="P8717" s="12">
        <f t="shared" si="1358"/>
        <v>0</v>
      </c>
      <c r="Q8717" s="17" t="str">
        <f t="shared" si="1360"/>
        <v>Pas d'écart</v>
      </c>
    </row>
    <row r="8718" spans="1:17" x14ac:dyDescent="0.3">
      <c r="A8718" s="34">
        <f>base!J8718</f>
        <v>0</v>
      </c>
      <c r="B8718" s="34">
        <f>base!V8718</f>
        <v>0</v>
      </c>
      <c r="C8718" s="40" t="s">
        <v>11</v>
      </c>
      <c r="D8718" s="36">
        <f>base!H8718</f>
        <v>0</v>
      </c>
      <c r="E8718" s="44"/>
      <c r="F8718" s="16">
        <f>base!W8718</f>
        <v>0</v>
      </c>
      <c r="G8718" s="11" t="e">
        <f t="shared" si="1352"/>
        <v>#DIV/0!</v>
      </c>
      <c r="H8718" s="11" t="e">
        <f t="shared" si="1353"/>
        <v>#N/A</v>
      </c>
      <c r="I8718" s="11" t="e">
        <f t="shared" si="1354"/>
        <v>#N/A</v>
      </c>
      <c r="J8718" s="12" t="e">
        <f t="shared" si="1355"/>
        <v>#N/A</v>
      </c>
      <c r="K8718" s="17" t="e">
        <f t="shared" si="1359"/>
        <v>#N/A</v>
      </c>
      <c r="L8718" s="16">
        <f>base!X8718</f>
        <v>0</v>
      </c>
      <c r="M8718" s="11" t="e">
        <f t="shared" si="1356"/>
        <v>#DIV/0!</v>
      </c>
      <c r="N8718" s="11"/>
      <c r="O8718" s="11" t="e">
        <f t="shared" si="1357"/>
        <v>#DIV/0!</v>
      </c>
      <c r="P8718" s="12">
        <f t="shared" si="1358"/>
        <v>0</v>
      </c>
      <c r="Q8718" s="17" t="str">
        <f t="shared" si="1360"/>
        <v>Pas d'écart</v>
      </c>
    </row>
    <row r="8719" spans="1:17" x14ac:dyDescent="0.3">
      <c r="A8719" s="34">
        <f>base!J8719</f>
        <v>0</v>
      </c>
      <c r="B8719" s="34">
        <f>base!V8719</f>
        <v>0</v>
      </c>
      <c r="C8719" s="40" t="s">
        <v>11</v>
      </c>
      <c r="D8719" s="36">
        <f>base!H8719</f>
        <v>0</v>
      </c>
      <c r="E8719" s="44"/>
      <c r="F8719" s="16">
        <f>base!W8719</f>
        <v>0</v>
      </c>
      <c r="G8719" s="11" t="e">
        <f t="shared" si="1352"/>
        <v>#DIV/0!</v>
      </c>
      <c r="H8719" s="11" t="e">
        <f t="shared" si="1353"/>
        <v>#N/A</v>
      </c>
      <c r="I8719" s="11" t="e">
        <f t="shared" si="1354"/>
        <v>#N/A</v>
      </c>
      <c r="J8719" s="12" t="e">
        <f t="shared" si="1355"/>
        <v>#N/A</v>
      </c>
      <c r="K8719" s="17" t="e">
        <f t="shared" si="1359"/>
        <v>#N/A</v>
      </c>
      <c r="L8719" s="16">
        <f>base!X8719</f>
        <v>0</v>
      </c>
      <c r="M8719" s="11" t="e">
        <f t="shared" si="1356"/>
        <v>#DIV/0!</v>
      </c>
      <c r="N8719" s="11"/>
      <c r="O8719" s="11" t="e">
        <f t="shared" si="1357"/>
        <v>#DIV/0!</v>
      </c>
      <c r="P8719" s="12">
        <f t="shared" si="1358"/>
        <v>0</v>
      </c>
      <c r="Q8719" s="17" t="str">
        <f t="shared" si="1360"/>
        <v>Pas d'écart</v>
      </c>
    </row>
    <row r="8720" spans="1:17" x14ac:dyDescent="0.3">
      <c r="A8720" s="34">
        <f>base!J8720</f>
        <v>0</v>
      </c>
      <c r="B8720" s="34">
        <f>base!V8720</f>
        <v>0</v>
      </c>
      <c r="C8720" s="40" t="s">
        <v>11</v>
      </c>
      <c r="D8720" s="36">
        <f>base!H8720</f>
        <v>0</v>
      </c>
      <c r="E8720" s="44"/>
      <c r="F8720" s="16">
        <f>base!W8720</f>
        <v>0</v>
      </c>
      <c r="G8720" s="11" t="e">
        <f t="shared" si="1352"/>
        <v>#DIV/0!</v>
      </c>
      <c r="H8720" s="11" t="e">
        <f t="shared" si="1353"/>
        <v>#N/A</v>
      </c>
      <c r="I8720" s="11" t="e">
        <f t="shared" si="1354"/>
        <v>#N/A</v>
      </c>
      <c r="J8720" s="12" t="e">
        <f t="shared" si="1355"/>
        <v>#N/A</v>
      </c>
      <c r="K8720" s="17" t="e">
        <f t="shared" si="1359"/>
        <v>#N/A</v>
      </c>
      <c r="L8720" s="16">
        <f>base!X8720</f>
        <v>0</v>
      </c>
      <c r="M8720" s="11" t="e">
        <f t="shared" si="1356"/>
        <v>#DIV/0!</v>
      </c>
      <c r="N8720" s="11"/>
      <c r="O8720" s="11" t="e">
        <f t="shared" si="1357"/>
        <v>#DIV/0!</v>
      </c>
      <c r="P8720" s="12">
        <f t="shared" si="1358"/>
        <v>0</v>
      </c>
      <c r="Q8720" s="17" t="str">
        <f t="shared" si="1360"/>
        <v>Pas d'écart</v>
      </c>
    </row>
    <row r="8721" spans="1:17" x14ac:dyDescent="0.3">
      <c r="A8721" s="34">
        <f>base!J8721</f>
        <v>0</v>
      </c>
      <c r="B8721" s="34">
        <f>base!V8721</f>
        <v>0</v>
      </c>
      <c r="C8721" s="40" t="s">
        <v>11</v>
      </c>
      <c r="D8721" s="36">
        <f>base!H8721</f>
        <v>0</v>
      </c>
      <c r="E8721" s="44"/>
      <c r="F8721" s="16">
        <f>base!W8721</f>
        <v>0</v>
      </c>
      <c r="G8721" s="11" t="e">
        <f t="shared" si="1352"/>
        <v>#DIV/0!</v>
      </c>
      <c r="H8721" s="11" t="e">
        <f t="shared" si="1353"/>
        <v>#N/A</v>
      </c>
      <c r="I8721" s="11" t="e">
        <f t="shared" si="1354"/>
        <v>#N/A</v>
      </c>
      <c r="J8721" s="12" t="e">
        <f t="shared" si="1355"/>
        <v>#N/A</v>
      </c>
      <c r="K8721" s="17" t="e">
        <f t="shared" si="1359"/>
        <v>#N/A</v>
      </c>
      <c r="L8721" s="16">
        <f>base!X8721</f>
        <v>0</v>
      </c>
      <c r="M8721" s="11" t="e">
        <f t="shared" si="1356"/>
        <v>#DIV/0!</v>
      </c>
      <c r="N8721" s="11"/>
      <c r="O8721" s="11" t="e">
        <f t="shared" si="1357"/>
        <v>#DIV/0!</v>
      </c>
      <c r="P8721" s="12">
        <f t="shared" si="1358"/>
        <v>0</v>
      </c>
      <c r="Q8721" s="17" t="str">
        <f t="shared" si="1360"/>
        <v>Pas d'écart</v>
      </c>
    </row>
    <row r="8722" spans="1:17" x14ac:dyDescent="0.3">
      <c r="A8722" s="34">
        <f>base!J8722</f>
        <v>0</v>
      </c>
      <c r="B8722" s="34">
        <f>base!V8722</f>
        <v>0</v>
      </c>
      <c r="C8722" s="40" t="s">
        <v>11</v>
      </c>
      <c r="D8722" s="36">
        <f>base!H8722</f>
        <v>0</v>
      </c>
      <c r="E8722" s="44"/>
      <c r="F8722" s="16">
        <f>base!W8722</f>
        <v>0</v>
      </c>
      <c r="G8722" s="11" t="e">
        <f t="shared" si="1352"/>
        <v>#DIV/0!</v>
      </c>
      <c r="H8722" s="11" t="e">
        <f t="shared" si="1353"/>
        <v>#N/A</v>
      </c>
      <c r="I8722" s="11" t="e">
        <f t="shared" si="1354"/>
        <v>#N/A</v>
      </c>
      <c r="J8722" s="12" t="e">
        <f t="shared" si="1355"/>
        <v>#N/A</v>
      </c>
      <c r="K8722" s="17" t="e">
        <f t="shared" si="1359"/>
        <v>#N/A</v>
      </c>
      <c r="L8722" s="16">
        <f>base!X8722</f>
        <v>0</v>
      </c>
      <c r="M8722" s="11" t="e">
        <f t="shared" si="1356"/>
        <v>#DIV/0!</v>
      </c>
      <c r="N8722" s="11"/>
      <c r="O8722" s="11" t="e">
        <f t="shared" si="1357"/>
        <v>#DIV/0!</v>
      </c>
      <c r="P8722" s="12">
        <f t="shared" si="1358"/>
        <v>0</v>
      </c>
      <c r="Q8722" s="17" t="str">
        <f t="shared" si="1360"/>
        <v>Pas d'écart</v>
      </c>
    </row>
    <row r="8723" spans="1:17" x14ac:dyDescent="0.3">
      <c r="A8723" s="34">
        <f>base!J8723</f>
        <v>0</v>
      </c>
      <c r="B8723" s="34">
        <f>base!V8723</f>
        <v>0</v>
      </c>
      <c r="C8723" s="40" t="s">
        <v>11</v>
      </c>
      <c r="D8723" s="36">
        <f>base!H8723</f>
        <v>0</v>
      </c>
      <c r="E8723" s="44"/>
      <c r="F8723" s="16">
        <f>base!W8723</f>
        <v>0</v>
      </c>
      <c r="G8723" s="11" t="e">
        <f t="shared" si="1352"/>
        <v>#DIV/0!</v>
      </c>
      <c r="H8723" s="11" t="e">
        <f t="shared" si="1353"/>
        <v>#N/A</v>
      </c>
      <c r="I8723" s="11" t="e">
        <f t="shared" si="1354"/>
        <v>#N/A</v>
      </c>
      <c r="J8723" s="12" t="e">
        <f t="shared" si="1355"/>
        <v>#N/A</v>
      </c>
      <c r="K8723" s="17" t="e">
        <f t="shared" si="1359"/>
        <v>#N/A</v>
      </c>
      <c r="L8723" s="16">
        <f>base!X8723</f>
        <v>0</v>
      </c>
      <c r="M8723" s="11" t="e">
        <f t="shared" si="1356"/>
        <v>#DIV/0!</v>
      </c>
      <c r="N8723" s="11"/>
      <c r="O8723" s="11" t="e">
        <f t="shared" si="1357"/>
        <v>#DIV/0!</v>
      </c>
      <c r="P8723" s="12">
        <f t="shared" si="1358"/>
        <v>0</v>
      </c>
      <c r="Q8723" s="17" t="str">
        <f t="shared" si="1360"/>
        <v>Pas d'écart</v>
      </c>
    </row>
    <row r="8724" spans="1:17" x14ac:dyDescent="0.3">
      <c r="A8724" s="34">
        <f>base!J8724</f>
        <v>0</v>
      </c>
      <c r="B8724" s="34">
        <f>base!V8724</f>
        <v>0</v>
      </c>
      <c r="C8724" s="40" t="s">
        <v>11</v>
      </c>
      <c r="D8724" s="36">
        <f>base!H8724</f>
        <v>0</v>
      </c>
      <c r="E8724" s="44"/>
      <c r="F8724" s="16">
        <f>base!W8724</f>
        <v>0</v>
      </c>
      <c r="G8724" s="11" t="e">
        <f t="shared" si="1352"/>
        <v>#DIV/0!</v>
      </c>
      <c r="H8724" s="11" t="e">
        <f t="shared" si="1353"/>
        <v>#N/A</v>
      </c>
      <c r="I8724" s="11" t="e">
        <f t="shared" si="1354"/>
        <v>#N/A</v>
      </c>
      <c r="J8724" s="12" t="e">
        <f t="shared" si="1355"/>
        <v>#N/A</v>
      </c>
      <c r="K8724" s="17" t="e">
        <f t="shared" si="1359"/>
        <v>#N/A</v>
      </c>
      <c r="L8724" s="16">
        <f>base!X8724</f>
        <v>0</v>
      </c>
      <c r="M8724" s="11" t="e">
        <f t="shared" si="1356"/>
        <v>#DIV/0!</v>
      </c>
      <c r="N8724" s="11"/>
      <c r="O8724" s="11" t="e">
        <f t="shared" si="1357"/>
        <v>#DIV/0!</v>
      </c>
      <c r="P8724" s="12">
        <f t="shared" si="1358"/>
        <v>0</v>
      </c>
      <c r="Q8724" s="17" t="str">
        <f t="shared" si="1360"/>
        <v>Pas d'écart</v>
      </c>
    </row>
    <row r="8725" spans="1:17" x14ac:dyDescent="0.3">
      <c r="A8725" s="34">
        <f>base!J8725</f>
        <v>0</v>
      </c>
      <c r="B8725" s="34">
        <f>base!V8725</f>
        <v>0</v>
      </c>
      <c r="C8725" s="40" t="s">
        <v>11</v>
      </c>
      <c r="D8725" s="36">
        <f>base!H8725</f>
        <v>0</v>
      </c>
      <c r="E8725" s="44"/>
      <c r="F8725" s="16">
        <f>base!W8725</f>
        <v>0</v>
      </c>
      <c r="G8725" s="11" t="e">
        <f t="shared" si="1352"/>
        <v>#DIV/0!</v>
      </c>
      <c r="H8725" s="11" t="e">
        <f t="shared" si="1353"/>
        <v>#N/A</v>
      </c>
      <c r="I8725" s="11" t="e">
        <f t="shared" si="1354"/>
        <v>#N/A</v>
      </c>
      <c r="J8725" s="12" t="e">
        <f t="shared" si="1355"/>
        <v>#N/A</v>
      </c>
      <c r="K8725" s="17" t="e">
        <f t="shared" si="1359"/>
        <v>#N/A</v>
      </c>
      <c r="L8725" s="16">
        <f>base!X8725</f>
        <v>0</v>
      </c>
      <c r="M8725" s="11" t="e">
        <f t="shared" si="1356"/>
        <v>#DIV/0!</v>
      </c>
      <c r="N8725" s="11"/>
      <c r="O8725" s="11" t="e">
        <f t="shared" si="1357"/>
        <v>#DIV/0!</v>
      </c>
      <c r="P8725" s="12">
        <f t="shared" si="1358"/>
        <v>0</v>
      </c>
      <c r="Q8725" s="17" t="str">
        <f t="shared" si="1360"/>
        <v>Pas d'écart</v>
      </c>
    </row>
    <row r="8726" spans="1:17" x14ac:dyDescent="0.3">
      <c r="A8726" s="34">
        <f>base!J8726</f>
        <v>0</v>
      </c>
      <c r="B8726" s="34">
        <f>base!V8726</f>
        <v>0</v>
      </c>
      <c r="C8726" s="40" t="s">
        <v>11</v>
      </c>
      <c r="D8726" s="36">
        <f>base!H8726</f>
        <v>0</v>
      </c>
      <c r="E8726" s="44"/>
      <c r="F8726" s="16">
        <f>base!W8726</f>
        <v>0</v>
      </c>
      <c r="G8726" s="11" t="e">
        <f t="shared" si="1352"/>
        <v>#DIV/0!</v>
      </c>
      <c r="H8726" s="11" t="e">
        <f t="shared" si="1353"/>
        <v>#N/A</v>
      </c>
      <c r="I8726" s="11" t="e">
        <f t="shared" si="1354"/>
        <v>#N/A</v>
      </c>
      <c r="J8726" s="12" t="e">
        <f t="shared" si="1355"/>
        <v>#N/A</v>
      </c>
      <c r="K8726" s="17" t="e">
        <f t="shared" si="1359"/>
        <v>#N/A</v>
      </c>
      <c r="L8726" s="16">
        <f>base!X8726</f>
        <v>0</v>
      </c>
      <c r="M8726" s="11" t="e">
        <f t="shared" si="1356"/>
        <v>#DIV/0!</v>
      </c>
      <c r="N8726" s="11"/>
      <c r="O8726" s="11" t="e">
        <f t="shared" si="1357"/>
        <v>#DIV/0!</v>
      </c>
      <c r="P8726" s="12">
        <f t="shared" si="1358"/>
        <v>0</v>
      </c>
      <c r="Q8726" s="17" t="str">
        <f t="shared" si="1360"/>
        <v>Pas d'écart</v>
      </c>
    </row>
    <row r="8727" spans="1:17" x14ac:dyDescent="0.3">
      <c r="A8727" s="34">
        <f>base!J8727</f>
        <v>0</v>
      </c>
      <c r="B8727" s="34">
        <f>base!V8727</f>
        <v>0</v>
      </c>
      <c r="C8727" s="40" t="s">
        <v>11</v>
      </c>
      <c r="D8727" s="36">
        <f>base!H8727</f>
        <v>0</v>
      </c>
      <c r="E8727" s="44"/>
      <c r="F8727" s="16">
        <f>base!W8727</f>
        <v>0</v>
      </c>
      <c r="G8727" s="11" t="e">
        <f t="shared" si="1352"/>
        <v>#DIV/0!</v>
      </c>
      <c r="H8727" s="11" t="e">
        <f t="shared" si="1353"/>
        <v>#N/A</v>
      </c>
      <c r="I8727" s="11" t="e">
        <f t="shared" si="1354"/>
        <v>#N/A</v>
      </c>
      <c r="J8727" s="12" t="e">
        <f t="shared" si="1355"/>
        <v>#N/A</v>
      </c>
      <c r="K8727" s="17" t="e">
        <f t="shared" si="1359"/>
        <v>#N/A</v>
      </c>
      <c r="L8727" s="16">
        <f>base!X8727</f>
        <v>0</v>
      </c>
      <c r="M8727" s="11" t="e">
        <f t="shared" si="1356"/>
        <v>#DIV/0!</v>
      </c>
      <c r="N8727" s="11"/>
      <c r="O8727" s="11" t="e">
        <f t="shared" si="1357"/>
        <v>#DIV/0!</v>
      </c>
      <c r="P8727" s="12">
        <f t="shared" si="1358"/>
        <v>0</v>
      </c>
      <c r="Q8727" s="17" t="str">
        <f t="shared" si="1360"/>
        <v>Pas d'écart</v>
      </c>
    </row>
    <row r="8728" spans="1:17" x14ac:dyDescent="0.3">
      <c r="A8728" s="34">
        <f>base!J8728</f>
        <v>0</v>
      </c>
      <c r="B8728" s="34">
        <f>base!V8728</f>
        <v>0</v>
      </c>
      <c r="C8728" s="40" t="s">
        <v>11</v>
      </c>
      <c r="D8728" s="36">
        <f>base!H8728</f>
        <v>0</v>
      </c>
      <c r="E8728" s="44"/>
      <c r="F8728" s="16">
        <f>base!W8728</f>
        <v>0</v>
      </c>
      <c r="G8728" s="11" t="e">
        <f t="shared" si="1352"/>
        <v>#DIV/0!</v>
      </c>
      <c r="H8728" s="11" t="e">
        <f t="shared" si="1353"/>
        <v>#N/A</v>
      </c>
      <c r="I8728" s="11" t="e">
        <f t="shared" si="1354"/>
        <v>#N/A</v>
      </c>
      <c r="J8728" s="12" t="e">
        <f t="shared" si="1355"/>
        <v>#N/A</v>
      </c>
      <c r="K8728" s="17" t="e">
        <f t="shared" si="1359"/>
        <v>#N/A</v>
      </c>
      <c r="L8728" s="16">
        <f>base!X8728</f>
        <v>0</v>
      </c>
      <c r="M8728" s="11" t="e">
        <f t="shared" si="1356"/>
        <v>#DIV/0!</v>
      </c>
      <c r="N8728" s="11"/>
      <c r="O8728" s="11" t="e">
        <f t="shared" si="1357"/>
        <v>#DIV/0!</v>
      </c>
      <c r="P8728" s="12">
        <f t="shared" si="1358"/>
        <v>0</v>
      </c>
      <c r="Q8728" s="17" t="str">
        <f t="shared" si="1360"/>
        <v>Pas d'écart</v>
      </c>
    </row>
    <row r="8729" spans="1:17" x14ac:dyDescent="0.3">
      <c r="A8729" s="34">
        <f>base!J8729</f>
        <v>0</v>
      </c>
      <c r="B8729" s="34">
        <f>base!V8729</f>
        <v>0</v>
      </c>
      <c r="C8729" s="40" t="s">
        <v>11</v>
      </c>
      <c r="D8729" s="36">
        <f>base!H8729</f>
        <v>0</v>
      </c>
      <c r="E8729" s="44"/>
      <c r="F8729" s="16">
        <f>base!W8729</f>
        <v>0</v>
      </c>
      <c r="G8729" s="11" t="e">
        <f t="shared" si="1352"/>
        <v>#DIV/0!</v>
      </c>
      <c r="H8729" s="11" t="e">
        <f t="shared" si="1353"/>
        <v>#N/A</v>
      </c>
      <c r="I8729" s="11" t="e">
        <f t="shared" si="1354"/>
        <v>#N/A</v>
      </c>
      <c r="J8729" s="12" t="e">
        <f t="shared" si="1355"/>
        <v>#N/A</v>
      </c>
      <c r="K8729" s="17" t="e">
        <f t="shared" si="1359"/>
        <v>#N/A</v>
      </c>
      <c r="L8729" s="16">
        <f>base!X8729</f>
        <v>0</v>
      </c>
      <c r="M8729" s="11" t="e">
        <f t="shared" si="1356"/>
        <v>#DIV/0!</v>
      </c>
      <c r="N8729" s="11"/>
      <c r="O8729" s="11" t="e">
        <f t="shared" si="1357"/>
        <v>#DIV/0!</v>
      </c>
      <c r="P8729" s="12">
        <f t="shared" si="1358"/>
        <v>0</v>
      </c>
      <c r="Q8729" s="17" t="str">
        <f t="shared" si="1360"/>
        <v>Pas d'écart</v>
      </c>
    </row>
    <row r="8730" spans="1:17" x14ac:dyDescent="0.3">
      <c r="A8730" s="34">
        <f>base!J8730</f>
        <v>0</v>
      </c>
      <c r="B8730" s="34">
        <f>base!V8730</f>
        <v>0</v>
      </c>
      <c r="C8730" s="40" t="s">
        <v>11</v>
      </c>
      <c r="D8730" s="36">
        <f>base!H8730</f>
        <v>0</v>
      </c>
      <c r="E8730" s="44"/>
      <c r="F8730" s="16">
        <f>base!W8730</f>
        <v>0</v>
      </c>
      <c r="G8730" s="11" t="e">
        <f t="shared" si="1352"/>
        <v>#DIV/0!</v>
      </c>
      <c r="H8730" s="11" t="e">
        <f t="shared" si="1353"/>
        <v>#N/A</v>
      </c>
      <c r="I8730" s="11" t="e">
        <f t="shared" si="1354"/>
        <v>#N/A</v>
      </c>
      <c r="J8730" s="12" t="e">
        <f t="shared" si="1355"/>
        <v>#N/A</v>
      </c>
      <c r="K8730" s="17" t="e">
        <f t="shared" si="1359"/>
        <v>#N/A</v>
      </c>
      <c r="L8730" s="16">
        <f>base!X8730</f>
        <v>0</v>
      </c>
      <c r="M8730" s="11" t="e">
        <f t="shared" si="1356"/>
        <v>#DIV/0!</v>
      </c>
      <c r="N8730" s="11"/>
      <c r="O8730" s="11" t="e">
        <f t="shared" si="1357"/>
        <v>#DIV/0!</v>
      </c>
      <c r="P8730" s="12">
        <f t="shared" si="1358"/>
        <v>0</v>
      </c>
      <c r="Q8730" s="17" t="str">
        <f t="shared" si="1360"/>
        <v>Pas d'écart</v>
      </c>
    </row>
    <row r="8731" spans="1:17" x14ac:dyDescent="0.3">
      <c r="A8731" s="34">
        <f>base!J8731</f>
        <v>0</v>
      </c>
      <c r="B8731" s="34">
        <f>base!V8731</f>
        <v>0</v>
      </c>
      <c r="C8731" s="40" t="s">
        <v>11</v>
      </c>
      <c r="D8731" s="36">
        <f>base!H8731</f>
        <v>0</v>
      </c>
      <c r="E8731" s="44"/>
      <c r="F8731" s="16">
        <f>base!W8731</f>
        <v>0</v>
      </c>
      <c r="G8731" s="11" t="e">
        <f t="shared" si="1352"/>
        <v>#DIV/0!</v>
      </c>
      <c r="H8731" s="11" t="e">
        <f t="shared" si="1353"/>
        <v>#N/A</v>
      </c>
      <c r="I8731" s="11" t="e">
        <f t="shared" si="1354"/>
        <v>#N/A</v>
      </c>
      <c r="J8731" s="12" t="e">
        <f t="shared" si="1355"/>
        <v>#N/A</v>
      </c>
      <c r="K8731" s="17" t="e">
        <f t="shared" si="1359"/>
        <v>#N/A</v>
      </c>
      <c r="L8731" s="16">
        <f>base!X8731</f>
        <v>0</v>
      </c>
      <c r="M8731" s="11" t="e">
        <f t="shared" si="1356"/>
        <v>#DIV/0!</v>
      </c>
      <c r="N8731" s="11"/>
      <c r="O8731" s="11" t="e">
        <f t="shared" si="1357"/>
        <v>#DIV/0!</v>
      </c>
      <c r="P8731" s="12">
        <f t="shared" si="1358"/>
        <v>0</v>
      </c>
      <c r="Q8731" s="17" t="str">
        <f t="shared" si="1360"/>
        <v>Pas d'écart</v>
      </c>
    </row>
    <row r="8732" spans="1:17" x14ac:dyDescent="0.3">
      <c r="A8732" s="34">
        <f>base!J8732</f>
        <v>0</v>
      </c>
      <c r="B8732" s="34">
        <f>base!V8732</f>
        <v>0</v>
      </c>
      <c r="C8732" s="40" t="s">
        <v>11</v>
      </c>
      <c r="D8732" s="36">
        <f>base!H8732</f>
        <v>0</v>
      </c>
      <c r="E8732" s="44"/>
      <c r="F8732" s="16">
        <f>base!W8732</f>
        <v>0</v>
      </c>
      <c r="G8732" s="11" t="e">
        <f t="shared" si="1352"/>
        <v>#DIV/0!</v>
      </c>
      <c r="H8732" s="11" t="e">
        <f t="shared" si="1353"/>
        <v>#N/A</v>
      </c>
      <c r="I8732" s="11" t="e">
        <f t="shared" si="1354"/>
        <v>#N/A</v>
      </c>
      <c r="J8732" s="12" t="e">
        <f t="shared" si="1355"/>
        <v>#N/A</v>
      </c>
      <c r="K8732" s="17" t="e">
        <f t="shared" si="1359"/>
        <v>#N/A</v>
      </c>
      <c r="L8732" s="16">
        <f>base!X8732</f>
        <v>0</v>
      </c>
      <c r="M8732" s="11" t="e">
        <f t="shared" si="1356"/>
        <v>#DIV/0!</v>
      </c>
      <c r="N8732" s="11"/>
      <c r="O8732" s="11" t="e">
        <f t="shared" si="1357"/>
        <v>#DIV/0!</v>
      </c>
      <c r="P8732" s="12">
        <f t="shared" si="1358"/>
        <v>0</v>
      </c>
      <c r="Q8732" s="17" t="str">
        <f t="shared" si="1360"/>
        <v>Pas d'écart</v>
      </c>
    </row>
    <row r="8733" spans="1:17" x14ac:dyDescent="0.3">
      <c r="A8733" s="34">
        <f>base!J8733</f>
        <v>0</v>
      </c>
      <c r="B8733" s="34">
        <f>base!V8733</f>
        <v>0</v>
      </c>
      <c r="C8733" s="40" t="s">
        <v>11</v>
      </c>
      <c r="D8733" s="36">
        <f>base!H8733</f>
        <v>0</v>
      </c>
      <c r="E8733" s="44"/>
      <c r="F8733" s="16">
        <f>base!W8733</f>
        <v>0</v>
      </c>
      <c r="G8733" s="11" t="e">
        <f t="shared" si="1352"/>
        <v>#DIV/0!</v>
      </c>
      <c r="H8733" s="11" t="e">
        <f t="shared" si="1353"/>
        <v>#N/A</v>
      </c>
      <c r="I8733" s="11" t="e">
        <f t="shared" si="1354"/>
        <v>#N/A</v>
      </c>
      <c r="J8733" s="12" t="e">
        <f t="shared" si="1355"/>
        <v>#N/A</v>
      </c>
      <c r="K8733" s="17" t="e">
        <f t="shared" si="1359"/>
        <v>#N/A</v>
      </c>
      <c r="L8733" s="16">
        <f>base!X8733</f>
        <v>0</v>
      </c>
      <c r="M8733" s="11" t="e">
        <f t="shared" si="1356"/>
        <v>#DIV/0!</v>
      </c>
      <c r="N8733" s="11"/>
      <c r="O8733" s="11" t="e">
        <f t="shared" si="1357"/>
        <v>#DIV/0!</v>
      </c>
      <c r="P8733" s="12">
        <f t="shared" si="1358"/>
        <v>0</v>
      </c>
      <c r="Q8733" s="17" t="str">
        <f t="shared" si="1360"/>
        <v>Pas d'écart</v>
      </c>
    </row>
    <row r="8734" spans="1:17" x14ac:dyDescent="0.3">
      <c r="A8734" s="34">
        <f>base!J8734</f>
        <v>0</v>
      </c>
      <c r="B8734" s="34">
        <f>base!V8734</f>
        <v>0</v>
      </c>
      <c r="C8734" s="40" t="s">
        <v>11</v>
      </c>
      <c r="D8734" s="36">
        <f>base!H8734</f>
        <v>0</v>
      </c>
      <c r="E8734" s="44"/>
      <c r="F8734" s="16">
        <f>base!W8734</f>
        <v>0</v>
      </c>
      <c r="G8734" s="11" t="e">
        <f t="shared" si="1352"/>
        <v>#DIV/0!</v>
      </c>
      <c r="H8734" s="11" t="e">
        <f t="shared" si="1353"/>
        <v>#N/A</v>
      </c>
      <c r="I8734" s="11" t="e">
        <f t="shared" si="1354"/>
        <v>#N/A</v>
      </c>
      <c r="J8734" s="12" t="e">
        <f t="shared" si="1355"/>
        <v>#N/A</v>
      </c>
      <c r="K8734" s="17" t="e">
        <f t="shared" si="1359"/>
        <v>#N/A</v>
      </c>
      <c r="L8734" s="16">
        <f>base!X8734</f>
        <v>0</v>
      </c>
      <c r="M8734" s="11" t="e">
        <f t="shared" si="1356"/>
        <v>#DIV/0!</v>
      </c>
      <c r="N8734" s="11"/>
      <c r="O8734" s="11" t="e">
        <f t="shared" si="1357"/>
        <v>#DIV/0!</v>
      </c>
      <c r="P8734" s="12">
        <f t="shared" si="1358"/>
        <v>0</v>
      </c>
      <c r="Q8734" s="17" t="str">
        <f t="shared" si="1360"/>
        <v>Pas d'écart</v>
      </c>
    </row>
    <row r="8735" spans="1:17" x14ac:dyDescent="0.3">
      <c r="A8735" s="34">
        <f>base!J8735</f>
        <v>0</v>
      </c>
      <c r="B8735" s="34">
        <f>base!V8735</f>
        <v>0</v>
      </c>
      <c r="C8735" s="40" t="s">
        <v>11</v>
      </c>
      <c r="D8735" s="36">
        <f>base!H8735</f>
        <v>0</v>
      </c>
      <c r="E8735" s="44"/>
      <c r="F8735" s="16">
        <f>base!W8735</f>
        <v>0</v>
      </c>
      <c r="G8735" s="11" t="e">
        <f t="shared" si="1352"/>
        <v>#DIV/0!</v>
      </c>
      <c r="H8735" s="11" t="e">
        <f t="shared" si="1353"/>
        <v>#N/A</v>
      </c>
      <c r="I8735" s="11" t="e">
        <f t="shared" si="1354"/>
        <v>#N/A</v>
      </c>
      <c r="J8735" s="12" t="e">
        <f t="shared" si="1355"/>
        <v>#N/A</v>
      </c>
      <c r="K8735" s="17" t="e">
        <f t="shared" si="1359"/>
        <v>#N/A</v>
      </c>
      <c r="L8735" s="16">
        <f>base!X8735</f>
        <v>0</v>
      </c>
      <c r="M8735" s="11" t="e">
        <f t="shared" si="1356"/>
        <v>#DIV/0!</v>
      </c>
      <c r="N8735" s="11"/>
      <c r="O8735" s="11" t="e">
        <f t="shared" si="1357"/>
        <v>#DIV/0!</v>
      </c>
      <c r="P8735" s="12">
        <f t="shared" si="1358"/>
        <v>0</v>
      </c>
      <c r="Q8735" s="17" t="str">
        <f t="shared" si="1360"/>
        <v>Pas d'écart</v>
      </c>
    </row>
    <row r="8736" spans="1:17" x14ac:dyDescent="0.3">
      <c r="A8736" s="34">
        <f>base!J8736</f>
        <v>0</v>
      </c>
      <c r="B8736" s="34">
        <f>base!V8736</f>
        <v>0</v>
      </c>
      <c r="C8736" s="40" t="s">
        <v>11</v>
      </c>
      <c r="D8736" s="36">
        <f>base!H8736</f>
        <v>0</v>
      </c>
      <c r="E8736" s="44"/>
      <c r="F8736" s="16">
        <f>base!W8736</f>
        <v>0</v>
      </c>
      <c r="G8736" s="11" t="e">
        <f t="shared" si="1352"/>
        <v>#DIV/0!</v>
      </c>
      <c r="H8736" s="11" t="e">
        <f t="shared" si="1353"/>
        <v>#N/A</v>
      </c>
      <c r="I8736" s="11" t="e">
        <f t="shared" si="1354"/>
        <v>#N/A</v>
      </c>
      <c r="J8736" s="12" t="e">
        <f t="shared" si="1355"/>
        <v>#N/A</v>
      </c>
      <c r="K8736" s="17" t="e">
        <f t="shared" si="1359"/>
        <v>#N/A</v>
      </c>
      <c r="L8736" s="16">
        <f>base!X8736</f>
        <v>0</v>
      </c>
      <c r="M8736" s="11" t="e">
        <f t="shared" si="1356"/>
        <v>#DIV/0!</v>
      </c>
      <c r="N8736" s="11"/>
      <c r="O8736" s="11" t="e">
        <f t="shared" si="1357"/>
        <v>#DIV/0!</v>
      </c>
      <c r="P8736" s="12">
        <f t="shared" si="1358"/>
        <v>0</v>
      </c>
      <c r="Q8736" s="17" t="str">
        <f t="shared" si="1360"/>
        <v>Pas d'écart</v>
      </c>
    </row>
    <row r="8737" spans="1:17" x14ac:dyDescent="0.3">
      <c r="A8737" s="34">
        <f>base!J8737</f>
        <v>0</v>
      </c>
      <c r="B8737" s="34">
        <f>base!V8737</f>
        <v>0</v>
      </c>
      <c r="C8737" s="40" t="s">
        <v>11</v>
      </c>
      <c r="D8737" s="36">
        <f>base!H8737</f>
        <v>0</v>
      </c>
      <c r="E8737" s="44"/>
      <c r="F8737" s="16">
        <f>base!W8737</f>
        <v>0</v>
      </c>
      <c r="G8737" s="11" t="e">
        <f t="shared" si="1352"/>
        <v>#DIV/0!</v>
      </c>
      <c r="H8737" s="11" t="e">
        <f t="shared" si="1353"/>
        <v>#N/A</v>
      </c>
      <c r="I8737" s="11" t="e">
        <f t="shared" si="1354"/>
        <v>#N/A</v>
      </c>
      <c r="J8737" s="12" t="e">
        <f t="shared" si="1355"/>
        <v>#N/A</v>
      </c>
      <c r="K8737" s="17" t="e">
        <f t="shared" si="1359"/>
        <v>#N/A</v>
      </c>
      <c r="L8737" s="16">
        <f>base!X8737</f>
        <v>0</v>
      </c>
      <c r="M8737" s="11" t="e">
        <f t="shared" si="1356"/>
        <v>#DIV/0!</v>
      </c>
      <c r="N8737" s="11"/>
      <c r="O8737" s="11" t="e">
        <f t="shared" si="1357"/>
        <v>#DIV/0!</v>
      </c>
      <c r="P8737" s="12">
        <f t="shared" si="1358"/>
        <v>0</v>
      </c>
      <c r="Q8737" s="17" t="str">
        <f t="shared" si="1360"/>
        <v>Pas d'écart</v>
      </c>
    </row>
    <row r="8738" spans="1:17" x14ac:dyDescent="0.3">
      <c r="A8738" s="34">
        <f>base!J8738</f>
        <v>0</v>
      </c>
      <c r="B8738" s="34">
        <f>base!V8738</f>
        <v>0</v>
      </c>
      <c r="C8738" s="40" t="s">
        <v>11</v>
      </c>
      <c r="D8738" s="36">
        <f>base!H8738</f>
        <v>0</v>
      </c>
      <c r="E8738" s="44"/>
      <c r="F8738" s="16">
        <f>base!W8738</f>
        <v>0</v>
      </c>
      <c r="G8738" s="11" t="e">
        <f t="shared" si="1352"/>
        <v>#DIV/0!</v>
      </c>
      <c r="H8738" s="11" t="e">
        <f t="shared" si="1353"/>
        <v>#N/A</v>
      </c>
      <c r="I8738" s="11" t="e">
        <f t="shared" si="1354"/>
        <v>#N/A</v>
      </c>
      <c r="J8738" s="12" t="e">
        <f t="shared" si="1355"/>
        <v>#N/A</v>
      </c>
      <c r="K8738" s="17" t="e">
        <f t="shared" si="1359"/>
        <v>#N/A</v>
      </c>
      <c r="L8738" s="16">
        <f>base!X8738</f>
        <v>0</v>
      </c>
      <c r="M8738" s="11" t="e">
        <f t="shared" si="1356"/>
        <v>#DIV/0!</v>
      </c>
      <c r="N8738" s="11"/>
      <c r="O8738" s="11" t="e">
        <f t="shared" si="1357"/>
        <v>#DIV/0!</v>
      </c>
      <c r="P8738" s="12">
        <f t="shared" si="1358"/>
        <v>0</v>
      </c>
      <c r="Q8738" s="17" t="str">
        <f t="shared" si="1360"/>
        <v>Pas d'écart</v>
      </c>
    </row>
    <row r="8739" spans="1:17" x14ac:dyDescent="0.3">
      <c r="A8739" s="34">
        <f>base!J8739</f>
        <v>0</v>
      </c>
      <c r="B8739" s="34">
        <f>base!V8739</f>
        <v>0</v>
      </c>
      <c r="C8739" s="40" t="s">
        <v>11</v>
      </c>
      <c r="D8739" s="36">
        <f>base!H8739</f>
        <v>0</v>
      </c>
      <c r="E8739" s="44"/>
      <c r="F8739" s="16">
        <f>base!W8739</f>
        <v>0</v>
      </c>
      <c r="G8739" s="11" t="e">
        <f t="shared" si="1352"/>
        <v>#DIV/0!</v>
      </c>
      <c r="H8739" s="11" t="e">
        <f t="shared" si="1353"/>
        <v>#N/A</v>
      </c>
      <c r="I8739" s="11" t="e">
        <f t="shared" si="1354"/>
        <v>#N/A</v>
      </c>
      <c r="J8739" s="12" t="e">
        <f t="shared" si="1355"/>
        <v>#N/A</v>
      </c>
      <c r="K8739" s="17" t="e">
        <f t="shared" si="1359"/>
        <v>#N/A</v>
      </c>
      <c r="L8739" s="16">
        <f>base!X8739</f>
        <v>0</v>
      </c>
      <c r="M8739" s="11" t="e">
        <f t="shared" si="1356"/>
        <v>#DIV/0!</v>
      </c>
      <c r="N8739" s="11"/>
      <c r="O8739" s="11" t="e">
        <f t="shared" si="1357"/>
        <v>#DIV/0!</v>
      </c>
      <c r="P8739" s="12">
        <f t="shared" si="1358"/>
        <v>0</v>
      </c>
      <c r="Q8739" s="17" t="str">
        <f t="shared" si="1360"/>
        <v>Pas d'écart</v>
      </c>
    </row>
    <row r="8740" spans="1:17" x14ac:dyDescent="0.3">
      <c r="A8740" s="34">
        <f>base!J8740</f>
        <v>0</v>
      </c>
      <c r="B8740" s="34">
        <f>base!V8740</f>
        <v>0</v>
      </c>
      <c r="C8740" s="40" t="s">
        <v>11</v>
      </c>
      <c r="D8740" s="36">
        <f>base!H8740</f>
        <v>0</v>
      </c>
      <c r="E8740" s="44"/>
      <c r="F8740" s="16">
        <f>base!W8740</f>
        <v>0</v>
      </c>
      <c r="G8740" s="11" t="e">
        <f t="shared" si="1352"/>
        <v>#DIV/0!</v>
      </c>
      <c r="H8740" s="11" t="e">
        <f t="shared" si="1353"/>
        <v>#N/A</v>
      </c>
      <c r="I8740" s="11" t="e">
        <f t="shared" si="1354"/>
        <v>#N/A</v>
      </c>
      <c r="J8740" s="12" t="e">
        <f t="shared" si="1355"/>
        <v>#N/A</v>
      </c>
      <c r="K8740" s="17" t="e">
        <f t="shared" si="1359"/>
        <v>#N/A</v>
      </c>
      <c r="L8740" s="16">
        <f>base!X8740</f>
        <v>0</v>
      </c>
      <c r="M8740" s="11" t="e">
        <f t="shared" si="1356"/>
        <v>#DIV/0!</v>
      </c>
      <c r="N8740" s="11"/>
      <c r="O8740" s="11" t="e">
        <f t="shared" si="1357"/>
        <v>#DIV/0!</v>
      </c>
      <c r="P8740" s="12">
        <f t="shared" si="1358"/>
        <v>0</v>
      </c>
      <c r="Q8740" s="17" t="str">
        <f t="shared" si="1360"/>
        <v>Pas d'écart</v>
      </c>
    </row>
    <row r="8741" spans="1:17" x14ac:dyDescent="0.3">
      <c r="A8741" s="34">
        <f>base!J8741</f>
        <v>0</v>
      </c>
      <c r="B8741" s="34">
        <f>base!V8741</f>
        <v>0</v>
      </c>
      <c r="C8741" s="40" t="s">
        <v>11</v>
      </c>
      <c r="D8741" s="36">
        <f>base!H8741</f>
        <v>0</v>
      </c>
      <c r="E8741" s="44"/>
      <c r="F8741" s="16">
        <f>base!W8741</f>
        <v>0</v>
      </c>
      <c r="G8741" s="11" t="e">
        <f t="shared" si="1352"/>
        <v>#DIV/0!</v>
      </c>
      <c r="H8741" s="11" t="e">
        <f t="shared" si="1353"/>
        <v>#N/A</v>
      </c>
      <c r="I8741" s="11" t="e">
        <f t="shared" si="1354"/>
        <v>#N/A</v>
      </c>
      <c r="J8741" s="12" t="e">
        <f t="shared" si="1355"/>
        <v>#N/A</v>
      </c>
      <c r="K8741" s="17" t="e">
        <f t="shared" si="1359"/>
        <v>#N/A</v>
      </c>
      <c r="L8741" s="16">
        <f>base!X8741</f>
        <v>0</v>
      </c>
      <c r="M8741" s="11" t="e">
        <f t="shared" si="1356"/>
        <v>#DIV/0!</v>
      </c>
      <c r="N8741" s="11"/>
      <c r="O8741" s="11" t="e">
        <f t="shared" si="1357"/>
        <v>#DIV/0!</v>
      </c>
      <c r="P8741" s="12">
        <f t="shared" si="1358"/>
        <v>0</v>
      </c>
      <c r="Q8741" s="17" t="str">
        <f t="shared" si="1360"/>
        <v>Pas d'écart</v>
      </c>
    </row>
    <row r="8742" spans="1:17" x14ac:dyDescent="0.3">
      <c r="A8742" s="34">
        <f>base!J8742</f>
        <v>0</v>
      </c>
      <c r="B8742" s="34">
        <f>base!V8742</f>
        <v>0</v>
      </c>
      <c r="C8742" s="40" t="s">
        <v>11</v>
      </c>
      <c r="D8742" s="36">
        <f>base!H8742</f>
        <v>0</v>
      </c>
      <c r="E8742" s="44"/>
      <c r="F8742" s="16">
        <f>base!W8742</f>
        <v>0</v>
      </c>
      <c r="G8742" s="11" t="e">
        <f t="shared" si="1352"/>
        <v>#DIV/0!</v>
      </c>
      <c r="H8742" s="11" t="e">
        <f t="shared" si="1353"/>
        <v>#N/A</v>
      </c>
      <c r="I8742" s="11" t="e">
        <f t="shared" si="1354"/>
        <v>#N/A</v>
      </c>
      <c r="J8742" s="12" t="e">
        <f t="shared" si="1355"/>
        <v>#N/A</v>
      </c>
      <c r="K8742" s="17" t="e">
        <f t="shared" si="1359"/>
        <v>#N/A</v>
      </c>
      <c r="L8742" s="16">
        <f>base!X8742</f>
        <v>0</v>
      </c>
      <c r="M8742" s="11" t="e">
        <f t="shared" si="1356"/>
        <v>#DIV/0!</v>
      </c>
      <c r="N8742" s="11"/>
      <c r="O8742" s="11" t="e">
        <f t="shared" si="1357"/>
        <v>#DIV/0!</v>
      </c>
      <c r="P8742" s="12">
        <f t="shared" si="1358"/>
        <v>0</v>
      </c>
      <c r="Q8742" s="17" t="str">
        <f t="shared" si="1360"/>
        <v>Pas d'écart</v>
      </c>
    </row>
    <row r="8743" spans="1:17" x14ac:dyDescent="0.3">
      <c r="A8743" s="34">
        <f>base!J8743</f>
        <v>0</v>
      </c>
      <c r="B8743" s="34">
        <f>base!V8743</f>
        <v>0</v>
      </c>
      <c r="C8743" s="40" t="s">
        <v>11</v>
      </c>
      <c r="D8743" s="36">
        <f>base!H8743</f>
        <v>0</v>
      </c>
      <c r="E8743" s="44"/>
      <c r="F8743" s="16">
        <f>base!W8743</f>
        <v>0</v>
      </c>
      <c r="G8743" s="11" t="e">
        <f t="shared" si="1352"/>
        <v>#DIV/0!</v>
      </c>
      <c r="H8743" s="11" t="e">
        <f t="shared" si="1353"/>
        <v>#N/A</v>
      </c>
      <c r="I8743" s="11" t="e">
        <f t="shared" si="1354"/>
        <v>#N/A</v>
      </c>
      <c r="J8743" s="12" t="e">
        <f t="shared" si="1355"/>
        <v>#N/A</v>
      </c>
      <c r="K8743" s="17" t="e">
        <f t="shared" si="1359"/>
        <v>#N/A</v>
      </c>
      <c r="L8743" s="16">
        <f>base!X8743</f>
        <v>0</v>
      </c>
      <c r="M8743" s="11" t="e">
        <f t="shared" si="1356"/>
        <v>#DIV/0!</v>
      </c>
      <c r="N8743" s="11"/>
      <c r="O8743" s="11" t="e">
        <f t="shared" si="1357"/>
        <v>#DIV/0!</v>
      </c>
      <c r="P8743" s="12">
        <f t="shared" si="1358"/>
        <v>0</v>
      </c>
      <c r="Q8743" s="17" t="str">
        <f t="shared" si="1360"/>
        <v>Pas d'écart</v>
      </c>
    </row>
    <row r="8744" spans="1:17" x14ac:dyDescent="0.3">
      <c r="A8744" s="34">
        <f>base!J8744</f>
        <v>0</v>
      </c>
      <c r="B8744" s="34">
        <f>base!V8744</f>
        <v>0</v>
      </c>
      <c r="C8744" s="40" t="s">
        <v>11</v>
      </c>
      <c r="D8744" s="36">
        <f>base!H8744</f>
        <v>0</v>
      </c>
      <c r="E8744" s="44"/>
      <c r="F8744" s="16">
        <f>base!W8744</f>
        <v>0</v>
      </c>
      <c r="G8744" s="11" t="e">
        <f t="shared" si="1352"/>
        <v>#DIV/0!</v>
      </c>
      <c r="H8744" s="11" t="e">
        <f t="shared" si="1353"/>
        <v>#N/A</v>
      </c>
      <c r="I8744" s="11" t="e">
        <f t="shared" si="1354"/>
        <v>#N/A</v>
      </c>
      <c r="J8744" s="12" t="e">
        <f t="shared" si="1355"/>
        <v>#N/A</v>
      </c>
      <c r="K8744" s="17" t="e">
        <f t="shared" si="1359"/>
        <v>#N/A</v>
      </c>
      <c r="L8744" s="16">
        <f>base!X8744</f>
        <v>0</v>
      </c>
      <c r="M8744" s="11" t="e">
        <f t="shared" si="1356"/>
        <v>#DIV/0!</v>
      </c>
      <c r="N8744" s="11"/>
      <c r="O8744" s="11" t="e">
        <f t="shared" si="1357"/>
        <v>#DIV/0!</v>
      </c>
      <c r="P8744" s="12">
        <f t="shared" si="1358"/>
        <v>0</v>
      </c>
      <c r="Q8744" s="17" t="str">
        <f t="shared" si="1360"/>
        <v>Pas d'écart</v>
      </c>
    </row>
    <row r="8745" spans="1:17" x14ac:dyDescent="0.3">
      <c r="A8745" s="34">
        <f>base!J8745</f>
        <v>0</v>
      </c>
      <c r="B8745" s="34">
        <f>base!V8745</f>
        <v>0</v>
      </c>
      <c r="C8745" s="40" t="s">
        <v>11</v>
      </c>
      <c r="D8745" s="36">
        <f>base!H8745</f>
        <v>0</v>
      </c>
      <c r="E8745" s="44"/>
      <c r="F8745" s="16">
        <f>base!W8745</f>
        <v>0</v>
      </c>
      <c r="G8745" s="11" t="e">
        <f t="shared" si="1352"/>
        <v>#DIV/0!</v>
      </c>
      <c r="H8745" s="11" t="e">
        <f t="shared" si="1353"/>
        <v>#N/A</v>
      </c>
      <c r="I8745" s="11" t="e">
        <f t="shared" si="1354"/>
        <v>#N/A</v>
      </c>
      <c r="J8745" s="12" t="e">
        <f t="shared" si="1355"/>
        <v>#N/A</v>
      </c>
      <c r="K8745" s="17" t="e">
        <f t="shared" si="1359"/>
        <v>#N/A</v>
      </c>
      <c r="L8745" s="16">
        <f>base!X8745</f>
        <v>0</v>
      </c>
      <c r="M8745" s="11" t="e">
        <f t="shared" si="1356"/>
        <v>#DIV/0!</v>
      </c>
      <c r="N8745" s="11"/>
      <c r="O8745" s="11" t="e">
        <f t="shared" si="1357"/>
        <v>#DIV/0!</v>
      </c>
      <c r="P8745" s="12">
        <f t="shared" si="1358"/>
        <v>0</v>
      </c>
      <c r="Q8745" s="17" t="str">
        <f t="shared" si="1360"/>
        <v>Pas d'écart</v>
      </c>
    </row>
    <row r="8746" spans="1:17" x14ac:dyDescent="0.3">
      <c r="A8746" s="34">
        <f>base!J8746</f>
        <v>0</v>
      </c>
      <c r="B8746" s="34">
        <f>base!V8746</f>
        <v>0</v>
      </c>
      <c r="C8746" s="40" t="s">
        <v>11</v>
      </c>
      <c r="D8746" s="36">
        <f>base!H8746</f>
        <v>0</v>
      </c>
      <c r="E8746" s="44"/>
      <c r="F8746" s="16">
        <f>base!W8746</f>
        <v>0</v>
      </c>
      <c r="G8746" s="11" t="e">
        <f t="shared" si="1352"/>
        <v>#DIV/0!</v>
      </c>
      <c r="H8746" s="11" t="e">
        <f t="shared" si="1353"/>
        <v>#N/A</v>
      </c>
      <c r="I8746" s="11" t="e">
        <f t="shared" si="1354"/>
        <v>#N/A</v>
      </c>
      <c r="J8746" s="12" t="e">
        <f t="shared" si="1355"/>
        <v>#N/A</v>
      </c>
      <c r="K8746" s="17" t="e">
        <f t="shared" si="1359"/>
        <v>#N/A</v>
      </c>
      <c r="L8746" s="16">
        <f>base!X8746</f>
        <v>0</v>
      </c>
      <c r="M8746" s="11" t="e">
        <f t="shared" si="1356"/>
        <v>#DIV/0!</v>
      </c>
      <c r="N8746" s="11"/>
      <c r="O8746" s="11" t="e">
        <f t="shared" si="1357"/>
        <v>#DIV/0!</v>
      </c>
      <c r="P8746" s="12">
        <f t="shared" si="1358"/>
        <v>0</v>
      </c>
      <c r="Q8746" s="17" t="str">
        <f t="shared" si="1360"/>
        <v>Pas d'écart</v>
      </c>
    </row>
    <row r="8747" spans="1:17" x14ac:dyDescent="0.3">
      <c r="A8747" s="34">
        <f>base!J8747</f>
        <v>0</v>
      </c>
      <c r="B8747" s="34">
        <f>base!V8747</f>
        <v>0</v>
      </c>
      <c r="C8747" s="40" t="s">
        <v>11</v>
      </c>
      <c r="D8747" s="36">
        <f>base!H8747</f>
        <v>0</v>
      </c>
      <c r="E8747" s="44"/>
      <c r="F8747" s="16">
        <f>base!W8747</f>
        <v>0</v>
      </c>
      <c r="G8747" s="11" t="e">
        <f t="shared" si="1352"/>
        <v>#DIV/0!</v>
      </c>
      <c r="H8747" s="11" t="e">
        <f t="shared" si="1353"/>
        <v>#N/A</v>
      </c>
      <c r="I8747" s="11" t="e">
        <f t="shared" si="1354"/>
        <v>#N/A</v>
      </c>
      <c r="J8747" s="12" t="e">
        <f t="shared" si="1355"/>
        <v>#N/A</v>
      </c>
      <c r="K8747" s="17" t="e">
        <f t="shared" si="1359"/>
        <v>#N/A</v>
      </c>
      <c r="L8747" s="16">
        <f>base!X8747</f>
        <v>0</v>
      </c>
      <c r="M8747" s="11" t="e">
        <f t="shared" si="1356"/>
        <v>#DIV/0!</v>
      </c>
      <c r="N8747" s="11"/>
      <c r="O8747" s="11" t="e">
        <f t="shared" si="1357"/>
        <v>#DIV/0!</v>
      </c>
      <c r="P8747" s="12">
        <f t="shared" si="1358"/>
        <v>0</v>
      </c>
      <c r="Q8747" s="17" t="str">
        <f t="shared" si="1360"/>
        <v>Pas d'écart</v>
      </c>
    </row>
    <row r="8748" spans="1:17" x14ac:dyDescent="0.3">
      <c r="A8748" s="34">
        <f>base!J8748</f>
        <v>0</v>
      </c>
      <c r="B8748" s="34">
        <f>base!V8748</f>
        <v>0</v>
      </c>
      <c r="C8748" s="40" t="s">
        <v>11</v>
      </c>
      <c r="D8748" s="36">
        <f>base!H8748</f>
        <v>0</v>
      </c>
      <c r="E8748" s="44"/>
      <c r="F8748" s="16">
        <f>base!W8748</f>
        <v>0</v>
      </c>
      <c r="G8748" s="11" t="e">
        <f t="shared" si="1352"/>
        <v>#DIV/0!</v>
      </c>
      <c r="H8748" s="11" t="e">
        <f t="shared" si="1353"/>
        <v>#N/A</v>
      </c>
      <c r="I8748" s="11" t="e">
        <f t="shared" si="1354"/>
        <v>#N/A</v>
      </c>
      <c r="J8748" s="12" t="e">
        <f t="shared" si="1355"/>
        <v>#N/A</v>
      </c>
      <c r="K8748" s="17" t="e">
        <f t="shared" si="1359"/>
        <v>#N/A</v>
      </c>
      <c r="L8748" s="16">
        <f>base!X8748</f>
        <v>0</v>
      </c>
      <c r="M8748" s="11" t="e">
        <f t="shared" si="1356"/>
        <v>#DIV/0!</v>
      </c>
      <c r="N8748" s="11"/>
      <c r="O8748" s="11" t="e">
        <f t="shared" si="1357"/>
        <v>#DIV/0!</v>
      </c>
      <c r="P8748" s="12">
        <f t="shared" si="1358"/>
        <v>0</v>
      </c>
      <c r="Q8748" s="17" t="str">
        <f t="shared" si="1360"/>
        <v>Pas d'écart</v>
      </c>
    </row>
    <row r="8749" spans="1:17" x14ac:dyDescent="0.3">
      <c r="A8749" s="34">
        <f>base!J8749</f>
        <v>0</v>
      </c>
      <c r="B8749" s="34">
        <f>base!V8749</f>
        <v>0</v>
      </c>
      <c r="C8749" s="40" t="s">
        <v>11</v>
      </c>
      <c r="D8749" s="36">
        <f>base!H8749</f>
        <v>0</v>
      </c>
      <c r="E8749" s="44"/>
      <c r="F8749" s="16">
        <f>base!W8749</f>
        <v>0</v>
      </c>
      <c r="G8749" s="11" t="e">
        <f t="shared" si="1352"/>
        <v>#DIV/0!</v>
      </c>
      <c r="H8749" s="11" t="e">
        <f t="shared" si="1353"/>
        <v>#N/A</v>
      </c>
      <c r="I8749" s="11" t="e">
        <f t="shared" si="1354"/>
        <v>#N/A</v>
      </c>
      <c r="J8749" s="12" t="e">
        <f t="shared" si="1355"/>
        <v>#N/A</v>
      </c>
      <c r="K8749" s="17" t="e">
        <f t="shared" si="1359"/>
        <v>#N/A</v>
      </c>
      <c r="L8749" s="16">
        <f>base!X8749</f>
        <v>0</v>
      </c>
      <c r="M8749" s="11" t="e">
        <f t="shared" si="1356"/>
        <v>#DIV/0!</v>
      </c>
      <c r="N8749" s="11"/>
      <c r="O8749" s="11" t="e">
        <f t="shared" si="1357"/>
        <v>#DIV/0!</v>
      </c>
      <c r="P8749" s="12">
        <f t="shared" si="1358"/>
        <v>0</v>
      </c>
      <c r="Q8749" s="17" t="str">
        <f t="shared" si="1360"/>
        <v>Pas d'écart</v>
      </c>
    </row>
    <row r="8750" spans="1:17" x14ac:dyDescent="0.3">
      <c r="A8750" s="34">
        <f>base!J8750</f>
        <v>0</v>
      </c>
      <c r="B8750" s="34">
        <f>base!V8750</f>
        <v>0</v>
      </c>
      <c r="C8750" s="40" t="s">
        <v>11</v>
      </c>
      <c r="D8750" s="36">
        <f>base!H8750</f>
        <v>0</v>
      </c>
      <c r="E8750" s="44"/>
      <c r="F8750" s="16">
        <f>base!W8750</f>
        <v>0</v>
      </c>
      <c r="G8750" s="11" t="e">
        <f t="shared" si="1352"/>
        <v>#DIV/0!</v>
      </c>
      <c r="H8750" s="11" t="e">
        <f t="shared" si="1353"/>
        <v>#N/A</v>
      </c>
      <c r="I8750" s="11" t="e">
        <f t="shared" si="1354"/>
        <v>#N/A</v>
      </c>
      <c r="J8750" s="12" t="e">
        <f t="shared" si="1355"/>
        <v>#N/A</v>
      </c>
      <c r="K8750" s="17" t="e">
        <f t="shared" si="1359"/>
        <v>#N/A</v>
      </c>
      <c r="L8750" s="16">
        <f>base!X8750</f>
        <v>0</v>
      </c>
      <c r="M8750" s="11" t="e">
        <f t="shared" si="1356"/>
        <v>#DIV/0!</v>
      </c>
      <c r="N8750" s="11"/>
      <c r="O8750" s="11" t="e">
        <f t="shared" si="1357"/>
        <v>#DIV/0!</v>
      </c>
      <c r="P8750" s="12">
        <f t="shared" si="1358"/>
        <v>0</v>
      </c>
      <c r="Q8750" s="17" t="str">
        <f t="shared" si="1360"/>
        <v>Pas d'écart</v>
      </c>
    </row>
    <row r="8751" spans="1:17" x14ac:dyDescent="0.3">
      <c r="A8751" s="34">
        <f>base!J8751</f>
        <v>0</v>
      </c>
      <c r="B8751" s="34">
        <f>base!V8751</f>
        <v>0</v>
      </c>
      <c r="C8751" s="40" t="s">
        <v>11</v>
      </c>
      <c r="D8751" s="36">
        <f>base!H8751</f>
        <v>0</v>
      </c>
      <c r="E8751" s="44"/>
      <c r="F8751" s="16">
        <f>base!W8751</f>
        <v>0</v>
      </c>
      <c r="G8751" s="11" t="e">
        <f t="shared" si="1352"/>
        <v>#DIV/0!</v>
      </c>
      <c r="H8751" s="11" t="e">
        <f t="shared" si="1353"/>
        <v>#N/A</v>
      </c>
      <c r="I8751" s="11" t="e">
        <f t="shared" si="1354"/>
        <v>#N/A</v>
      </c>
      <c r="J8751" s="12" t="e">
        <f t="shared" si="1355"/>
        <v>#N/A</v>
      </c>
      <c r="K8751" s="17" t="e">
        <f t="shared" si="1359"/>
        <v>#N/A</v>
      </c>
      <c r="L8751" s="16">
        <f>base!X8751</f>
        <v>0</v>
      </c>
      <c r="M8751" s="11" t="e">
        <f t="shared" si="1356"/>
        <v>#DIV/0!</v>
      </c>
      <c r="N8751" s="11"/>
      <c r="O8751" s="11" t="e">
        <f t="shared" si="1357"/>
        <v>#DIV/0!</v>
      </c>
      <c r="P8751" s="12">
        <f t="shared" si="1358"/>
        <v>0</v>
      </c>
      <c r="Q8751" s="17" t="str">
        <f t="shared" si="1360"/>
        <v>Pas d'écart</v>
      </c>
    </row>
    <row r="8752" spans="1:17" x14ac:dyDescent="0.3">
      <c r="A8752" s="34">
        <f>base!J8752</f>
        <v>0</v>
      </c>
      <c r="B8752" s="34">
        <f>base!V8752</f>
        <v>0</v>
      </c>
      <c r="C8752" s="40" t="s">
        <v>11</v>
      </c>
      <c r="D8752" s="36">
        <f>base!H8752</f>
        <v>0</v>
      </c>
      <c r="E8752" s="44"/>
      <c r="F8752" s="16">
        <f>base!W8752</f>
        <v>0</v>
      </c>
      <c r="G8752" s="11" t="e">
        <f t="shared" si="1352"/>
        <v>#DIV/0!</v>
      </c>
      <c r="H8752" s="11" t="e">
        <f t="shared" si="1353"/>
        <v>#N/A</v>
      </c>
      <c r="I8752" s="11" t="e">
        <f t="shared" si="1354"/>
        <v>#N/A</v>
      </c>
      <c r="J8752" s="12" t="e">
        <f t="shared" si="1355"/>
        <v>#N/A</v>
      </c>
      <c r="K8752" s="17" t="e">
        <f t="shared" si="1359"/>
        <v>#N/A</v>
      </c>
      <c r="L8752" s="16">
        <f>base!X8752</f>
        <v>0</v>
      </c>
      <c r="M8752" s="11" t="e">
        <f t="shared" si="1356"/>
        <v>#DIV/0!</v>
      </c>
      <c r="N8752" s="11"/>
      <c r="O8752" s="11" t="e">
        <f t="shared" si="1357"/>
        <v>#DIV/0!</v>
      </c>
      <c r="P8752" s="12">
        <f t="shared" si="1358"/>
        <v>0</v>
      </c>
      <c r="Q8752" s="17" t="str">
        <f t="shared" si="1360"/>
        <v>Pas d'écart</v>
      </c>
    </row>
    <row r="8753" spans="1:17" x14ac:dyDescent="0.3">
      <c r="A8753" s="34">
        <f>base!J8753</f>
        <v>0</v>
      </c>
      <c r="B8753" s="34">
        <f>base!V8753</f>
        <v>0</v>
      </c>
      <c r="C8753" s="40" t="s">
        <v>11</v>
      </c>
      <c r="D8753" s="36">
        <f>base!H8753</f>
        <v>0</v>
      </c>
      <c r="E8753" s="44"/>
      <c r="F8753" s="16">
        <f>base!W8753</f>
        <v>0</v>
      </c>
      <c r="G8753" s="11" t="e">
        <f t="shared" si="1352"/>
        <v>#DIV/0!</v>
      </c>
      <c r="H8753" s="11" t="e">
        <f t="shared" si="1353"/>
        <v>#N/A</v>
      </c>
      <c r="I8753" s="11" t="e">
        <f t="shared" si="1354"/>
        <v>#N/A</v>
      </c>
      <c r="J8753" s="12" t="e">
        <f t="shared" si="1355"/>
        <v>#N/A</v>
      </c>
      <c r="K8753" s="17" t="e">
        <f t="shared" si="1359"/>
        <v>#N/A</v>
      </c>
      <c r="L8753" s="16">
        <f>base!X8753</f>
        <v>0</v>
      </c>
      <c r="M8753" s="11" t="e">
        <f t="shared" si="1356"/>
        <v>#DIV/0!</v>
      </c>
      <c r="N8753" s="11"/>
      <c r="O8753" s="11" t="e">
        <f t="shared" si="1357"/>
        <v>#DIV/0!</v>
      </c>
      <c r="P8753" s="12">
        <f t="shared" si="1358"/>
        <v>0</v>
      </c>
      <c r="Q8753" s="17" t="str">
        <f t="shared" si="1360"/>
        <v>Pas d'écart</v>
      </c>
    </row>
    <row r="8754" spans="1:17" x14ac:dyDescent="0.3">
      <c r="A8754" s="34">
        <f>base!J8754</f>
        <v>0</v>
      </c>
      <c r="B8754" s="34">
        <f>base!V8754</f>
        <v>0</v>
      </c>
      <c r="C8754" s="40" t="s">
        <v>11</v>
      </c>
      <c r="D8754" s="36">
        <f>base!H8754</f>
        <v>0</v>
      </c>
      <c r="E8754" s="44"/>
      <c r="F8754" s="16">
        <f>base!W8754</f>
        <v>0</v>
      </c>
      <c r="G8754" s="11" t="e">
        <f t="shared" si="1352"/>
        <v>#DIV/0!</v>
      </c>
      <c r="H8754" s="11" t="e">
        <f t="shared" si="1353"/>
        <v>#N/A</v>
      </c>
      <c r="I8754" s="11" t="e">
        <f t="shared" si="1354"/>
        <v>#N/A</v>
      </c>
      <c r="J8754" s="12" t="e">
        <f t="shared" si="1355"/>
        <v>#N/A</v>
      </c>
      <c r="K8754" s="17" t="e">
        <f t="shared" si="1359"/>
        <v>#N/A</v>
      </c>
      <c r="L8754" s="16">
        <f>base!X8754</f>
        <v>0</v>
      </c>
      <c r="M8754" s="11" t="e">
        <f t="shared" si="1356"/>
        <v>#DIV/0!</v>
      </c>
      <c r="N8754" s="11"/>
      <c r="O8754" s="11" t="e">
        <f t="shared" si="1357"/>
        <v>#DIV/0!</v>
      </c>
      <c r="P8754" s="12">
        <f t="shared" si="1358"/>
        <v>0</v>
      </c>
      <c r="Q8754" s="17" t="str">
        <f t="shared" si="1360"/>
        <v>Pas d'écart</v>
      </c>
    </row>
    <row r="8755" spans="1:17" x14ac:dyDescent="0.3">
      <c r="A8755" s="34">
        <f>base!J8755</f>
        <v>0</v>
      </c>
      <c r="B8755" s="34">
        <f>base!V8755</f>
        <v>0</v>
      </c>
      <c r="C8755" s="40" t="s">
        <v>11</v>
      </c>
      <c r="D8755" s="36">
        <f>base!H8755</f>
        <v>0</v>
      </c>
      <c r="E8755" s="44"/>
      <c r="F8755" s="16">
        <f>base!W8755</f>
        <v>0</v>
      </c>
      <c r="G8755" s="11" t="e">
        <f t="shared" si="1352"/>
        <v>#DIV/0!</v>
      </c>
      <c r="H8755" s="11" t="e">
        <f t="shared" si="1353"/>
        <v>#N/A</v>
      </c>
      <c r="I8755" s="11" t="e">
        <f t="shared" si="1354"/>
        <v>#N/A</v>
      </c>
      <c r="J8755" s="12" t="e">
        <f t="shared" si="1355"/>
        <v>#N/A</v>
      </c>
      <c r="K8755" s="17" t="e">
        <f t="shared" si="1359"/>
        <v>#N/A</v>
      </c>
      <c r="L8755" s="16">
        <f>base!X8755</f>
        <v>0</v>
      </c>
      <c r="M8755" s="11" t="e">
        <f t="shared" si="1356"/>
        <v>#DIV/0!</v>
      </c>
      <c r="N8755" s="11"/>
      <c r="O8755" s="11" t="e">
        <f t="shared" si="1357"/>
        <v>#DIV/0!</v>
      </c>
      <c r="P8755" s="12">
        <f t="shared" si="1358"/>
        <v>0</v>
      </c>
      <c r="Q8755" s="17" t="str">
        <f t="shared" si="1360"/>
        <v>Pas d'écart</v>
      </c>
    </row>
    <row r="8756" spans="1:17" x14ac:dyDescent="0.3">
      <c r="A8756" s="34">
        <f>base!J8756</f>
        <v>0</v>
      </c>
      <c r="B8756" s="34">
        <f>base!V8756</f>
        <v>0</v>
      </c>
      <c r="C8756" s="40" t="s">
        <v>11</v>
      </c>
      <c r="D8756" s="36">
        <f>base!H8756</f>
        <v>0</v>
      </c>
      <c r="E8756" s="44"/>
      <c r="F8756" s="16">
        <f>base!W8756</f>
        <v>0</v>
      </c>
      <c r="G8756" s="11" t="e">
        <f t="shared" si="1352"/>
        <v>#DIV/0!</v>
      </c>
      <c r="H8756" s="11" t="e">
        <f t="shared" si="1353"/>
        <v>#N/A</v>
      </c>
      <c r="I8756" s="11" t="e">
        <f t="shared" si="1354"/>
        <v>#N/A</v>
      </c>
      <c r="J8756" s="12" t="e">
        <f t="shared" si="1355"/>
        <v>#N/A</v>
      </c>
      <c r="K8756" s="17" t="e">
        <f t="shared" si="1359"/>
        <v>#N/A</v>
      </c>
      <c r="L8756" s="16">
        <f>base!X8756</f>
        <v>0</v>
      </c>
      <c r="M8756" s="11" t="e">
        <f t="shared" si="1356"/>
        <v>#DIV/0!</v>
      </c>
      <c r="N8756" s="11"/>
      <c r="O8756" s="11" t="e">
        <f t="shared" si="1357"/>
        <v>#DIV/0!</v>
      </c>
      <c r="P8756" s="12">
        <f t="shared" si="1358"/>
        <v>0</v>
      </c>
      <c r="Q8756" s="17" t="str">
        <f t="shared" si="1360"/>
        <v>Pas d'écart</v>
      </c>
    </row>
    <row r="8757" spans="1:17" x14ac:dyDescent="0.3">
      <c r="A8757" s="34">
        <f>base!J8757</f>
        <v>0</v>
      </c>
      <c r="B8757" s="34">
        <f>base!V8757</f>
        <v>0</v>
      </c>
      <c r="C8757" s="40" t="s">
        <v>11</v>
      </c>
      <c r="D8757" s="36">
        <f>base!H8757</f>
        <v>0</v>
      </c>
      <c r="E8757" s="44"/>
      <c r="F8757" s="16">
        <f>base!W8757</f>
        <v>0</v>
      </c>
      <c r="G8757" s="11" t="e">
        <f t="shared" si="1352"/>
        <v>#DIV/0!</v>
      </c>
      <c r="H8757" s="11" t="e">
        <f t="shared" si="1353"/>
        <v>#N/A</v>
      </c>
      <c r="I8757" s="11" t="e">
        <f t="shared" si="1354"/>
        <v>#N/A</v>
      </c>
      <c r="J8757" s="12" t="e">
        <f t="shared" si="1355"/>
        <v>#N/A</v>
      </c>
      <c r="K8757" s="17" t="e">
        <f t="shared" si="1359"/>
        <v>#N/A</v>
      </c>
      <c r="L8757" s="16">
        <f>base!X8757</f>
        <v>0</v>
      </c>
      <c r="M8757" s="11" t="e">
        <f t="shared" si="1356"/>
        <v>#DIV/0!</v>
      </c>
      <c r="N8757" s="11"/>
      <c r="O8757" s="11" t="e">
        <f t="shared" si="1357"/>
        <v>#DIV/0!</v>
      </c>
      <c r="P8757" s="12">
        <f t="shared" si="1358"/>
        <v>0</v>
      </c>
      <c r="Q8757" s="17" t="str">
        <f t="shared" si="1360"/>
        <v>Pas d'écart</v>
      </c>
    </row>
    <row r="8758" spans="1:17" x14ac:dyDescent="0.3">
      <c r="A8758" s="34">
        <f>base!J8758</f>
        <v>0</v>
      </c>
      <c r="B8758" s="34">
        <f>base!V8758</f>
        <v>0</v>
      </c>
      <c r="C8758" s="40" t="s">
        <v>11</v>
      </c>
      <c r="D8758" s="36">
        <f>base!H8758</f>
        <v>0</v>
      </c>
      <c r="E8758" s="44"/>
      <c r="F8758" s="16">
        <f>base!W8758</f>
        <v>0</v>
      </c>
      <c r="G8758" s="11" t="e">
        <f t="shared" si="1352"/>
        <v>#DIV/0!</v>
      </c>
      <c r="H8758" s="11" t="e">
        <f t="shared" si="1353"/>
        <v>#N/A</v>
      </c>
      <c r="I8758" s="11" t="e">
        <f t="shared" si="1354"/>
        <v>#N/A</v>
      </c>
      <c r="J8758" s="12" t="e">
        <f t="shared" si="1355"/>
        <v>#N/A</v>
      </c>
      <c r="K8758" s="17" t="e">
        <f t="shared" si="1359"/>
        <v>#N/A</v>
      </c>
      <c r="L8758" s="16">
        <f>base!X8758</f>
        <v>0</v>
      </c>
      <c r="M8758" s="11" t="e">
        <f t="shared" si="1356"/>
        <v>#DIV/0!</v>
      </c>
      <c r="N8758" s="11"/>
      <c r="O8758" s="11" t="e">
        <f t="shared" si="1357"/>
        <v>#DIV/0!</v>
      </c>
      <c r="P8758" s="12">
        <f t="shared" si="1358"/>
        <v>0</v>
      </c>
      <c r="Q8758" s="17" t="str">
        <f t="shared" si="1360"/>
        <v>Pas d'écart</v>
      </c>
    </row>
    <row r="8759" spans="1:17" x14ac:dyDescent="0.3">
      <c r="A8759" s="34">
        <f>base!J8759</f>
        <v>0</v>
      </c>
      <c r="B8759" s="34">
        <f>base!V8759</f>
        <v>0</v>
      </c>
      <c r="C8759" s="40" t="s">
        <v>11</v>
      </c>
      <c r="D8759" s="36">
        <f>base!H8759</f>
        <v>0</v>
      </c>
      <c r="E8759" s="44"/>
      <c r="F8759" s="16">
        <f>base!W8759</f>
        <v>0</v>
      </c>
      <c r="G8759" s="11" t="e">
        <f t="shared" si="1352"/>
        <v>#DIV/0!</v>
      </c>
      <c r="H8759" s="11" t="e">
        <f t="shared" si="1353"/>
        <v>#N/A</v>
      </c>
      <c r="I8759" s="11" t="e">
        <f t="shared" si="1354"/>
        <v>#N/A</v>
      </c>
      <c r="J8759" s="12" t="e">
        <f t="shared" si="1355"/>
        <v>#N/A</v>
      </c>
      <c r="K8759" s="17" t="e">
        <f t="shared" si="1359"/>
        <v>#N/A</v>
      </c>
      <c r="L8759" s="16">
        <f>base!X8759</f>
        <v>0</v>
      </c>
      <c r="M8759" s="11" t="e">
        <f t="shared" si="1356"/>
        <v>#DIV/0!</v>
      </c>
      <c r="N8759" s="11"/>
      <c r="O8759" s="11" t="e">
        <f t="shared" si="1357"/>
        <v>#DIV/0!</v>
      </c>
      <c r="P8759" s="12">
        <f t="shared" si="1358"/>
        <v>0</v>
      </c>
      <c r="Q8759" s="17" t="str">
        <f t="shared" si="1360"/>
        <v>Pas d'écart</v>
      </c>
    </row>
    <row r="8760" spans="1:17" x14ac:dyDescent="0.3">
      <c r="A8760" s="34">
        <f>base!J8760</f>
        <v>0</v>
      </c>
      <c r="B8760" s="34">
        <f>base!V8760</f>
        <v>0</v>
      </c>
      <c r="C8760" s="40" t="s">
        <v>11</v>
      </c>
      <c r="D8760" s="36">
        <f>base!H8760</f>
        <v>0</v>
      </c>
      <c r="E8760" s="44"/>
      <c r="F8760" s="16">
        <f>base!W8760</f>
        <v>0</v>
      </c>
      <c r="G8760" s="11" t="e">
        <f t="shared" si="1352"/>
        <v>#DIV/0!</v>
      </c>
      <c r="H8760" s="11" t="e">
        <f t="shared" si="1353"/>
        <v>#N/A</v>
      </c>
      <c r="I8760" s="11" t="e">
        <f t="shared" si="1354"/>
        <v>#N/A</v>
      </c>
      <c r="J8760" s="12" t="e">
        <f t="shared" si="1355"/>
        <v>#N/A</v>
      </c>
      <c r="K8760" s="17" t="e">
        <f t="shared" si="1359"/>
        <v>#N/A</v>
      </c>
      <c r="L8760" s="16">
        <f>base!X8760</f>
        <v>0</v>
      </c>
      <c r="M8760" s="11" t="e">
        <f t="shared" si="1356"/>
        <v>#DIV/0!</v>
      </c>
      <c r="N8760" s="11"/>
      <c r="O8760" s="11" t="e">
        <f t="shared" si="1357"/>
        <v>#DIV/0!</v>
      </c>
      <c r="P8760" s="12">
        <f t="shared" si="1358"/>
        <v>0</v>
      </c>
      <c r="Q8760" s="17" t="str">
        <f t="shared" si="1360"/>
        <v>Pas d'écart</v>
      </c>
    </row>
    <row r="8761" spans="1:17" x14ac:dyDescent="0.3">
      <c r="A8761" s="34">
        <f>base!J8761</f>
        <v>0</v>
      </c>
      <c r="B8761" s="34">
        <f>base!V8761</f>
        <v>0</v>
      </c>
      <c r="C8761" s="40" t="s">
        <v>11</v>
      </c>
      <c r="D8761" s="36">
        <f>base!H8761</f>
        <v>0</v>
      </c>
      <c r="E8761" s="44"/>
      <c r="F8761" s="16">
        <f>base!W8761</f>
        <v>0</v>
      </c>
      <c r="G8761" s="11" t="e">
        <f t="shared" si="1352"/>
        <v>#DIV/0!</v>
      </c>
      <c r="H8761" s="11" t="e">
        <f t="shared" si="1353"/>
        <v>#N/A</v>
      </c>
      <c r="I8761" s="11" t="e">
        <f t="shared" si="1354"/>
        <v>#N/A</v>
      </c>
      <c r="J8761" s="12" t="e">
        <f t="shared" si="1355"/>
        <v>#N/A</v>
      </c>
      <c r="K8761" s="17" t="e">
        <f t="shared" si="1359"/>
        <v>#N/A</v>
      </c>
      <c r="L8761" s="16">
        <f>base!X8761</f>
        <v>0</v>
      </c>
      <c r="M8761" s="11" t="e">
        <f t="shared" si="1356"/>
        <v>#DIV/0!</v>
      </c>
      <c r="N8761" s="11"/>
      <c r="O8761" s="11" t="e">
        <f t="shared" si="1357"/>
        <v>#DIV/0!</v>
      </c>
      <c r="P8761" s="12">
        <f t="shared" si="1358"/>
        <v>0</v>
      </c>
      <c r="Q8761" s="17" t="str">
        <f t="shared" si="1360"/>
        <v>Pas d'écart</v>
      </c>
    </row>
    <row r="8762" spans="1:17" x14ac:dyDescent="0.3">
      <c r="A8762" s="34">
        <f>base!J8762</f>
        <v>0</v>
      </c>
      <c r="B8762" s="34">
        <f>base!V8762</f>
        <v>0</v>
      </c>
      <c r="C8762" s="40" t="s">
        <v>11</v>
      </c>
      <c r="D8762" s="36">
        <f>base!H8762</f>
        <v>0</v>
      </c>
      <c r="E8762" s="44"/>
      <c r="F8762" s="16">
        <f>base!W8762</f>
        <v>0</v>
      </c>
      <c r="G8762" s="11" t="e">
        <f t="shared" si="1352"/>
        <v>#DIV/0!</v>
      </c>
      <c r="H8762" s="11" t="e">
        <f t="shared" si="1353"/>
        <v>#N/A</v>
      </c>
      <c r="I8762" s="11" t="e">
        <f t="shared" si="1354"/>
        <v>#N/A</v>
      </c>
      <c r="J8762" s="12" t="e">
        <f t="shared" si="1355"/>
        <v>#N/A</v>
      </c>
      <c r="K8762" s="17" t="e">
        <f t="shared" si="1359"/>
        <v>#N/A</v>
      </c>
      <c r="L8762" s="16">
        <f>base!X8762</f>
        <v>0</v>
      </c>
      <c r="M8762" s="11" t="e">
        <f t="shared" si="1356"/>
        <v>#DIV/0!</v>
      </c>
      <c r="N8762" s="11"/>
      <c r="O8762" s="11" t="e">
        <f t="shared" si="1357"/>
        <v>#DIV/0!</v>
      </c>
      <c r="P8762" s="12">
        <f t="shared" si="1358"/>
        <v>0</v>
      </c>
      <c r="Q8762" s="17" t="str">
        <f t="shared" si="1360"/>
        <v>Pas d'écart</v>
      </c>
    </row>
    <row r="8763" spans="1:17" x14ac:dyDescent="0.3">
      <c r="A8763" s="34">
        <f>base!J8763</f>
        <v>0</v>
      </c>
      <c r="B8763" s="34">
        <f>base!V8763</f>
        <v>0</v>
      </c>
      <c r="C8763" s="40" t="s">
        <v>11</v>
      </c>
      <c r="D8763" s="36">
        <f>base!H8763</f>
        <v>0</v>
      </c>
      <c r="E8763" s="44"/>
      <c r="F8763" s="16">
        <f>base!W8763</f>
        <v>0</v>
      </c>
      <c r="G8763" s="11" t="e">
        <f t="shared" si="1352"/>
        <v>#DIV/0!</v>
      </c>
      <c r="H8763" s="11" t="e">
        <f t="shared" si="1353"/>
        <v>#N/A</v>
      </c>
      <c r="I8763" s="11" t="e">
        <f t="shared" si="1354"/>
        <v>#N/A</v>
      </c>
      <c r="J8763" s="12" t="e">
        <f t="shared" si="1355"/>
        <v>#N/A</v>
      </c>
      <c r="K8763" s="17" t="e">
        <f t="shared" si="1359"/>
        <v>#N/A</v>
      </c>
      <c r="L8763" s="16">
        <f>base!X8763</f>
        <v>0</v>
      </c>
      <c r="M8763" s="11" t="e">
        <f t="shared" si="1356"/>
        <v>#DIV/0!</v>
      </c>
      <c r="N8763" s="11"/>
      <c r="O8763" s="11" t="e">
        <f t="shared" si="1357"/>
        <v>#DIV/0!</v>
      </c>
      <c r="P8763" s="12">
        <f t="shared" si="1358"/>
        <v>0</v>
      </c>
      <c r="Q8763" s="17" t="str">
        <f t="shared" si="1360"/>
        <v>Pas d'écart</v>
      </c>
    </row>
    <row r="8764" spans="1:17" x14ac:dyDescent="0.3">
      <c r="A8764" s="34">
        <f>base!J8764</f>
        <v>0</v>
      </c>
      <c r="B8764" s="34">
        <f>base!V8764</f>
        <v>0</v>
      </c>
      <c r="C8764" s="40" t="s">
        <v>11</v>
      </c>
      <c r="D8764" s="36">
        <f>base!H8764</f>
        <v>0</v>
      </c>
      <c r="E8764" s="44"/>
      <c r="F8764" s="16">
        <f>base!W8764</f>
        <v>0</v>
      </c>
      <c r="G8764" s="11" t="e">
        <f t="shared" si="1352"/>
        <v>#DIV/0!</v>
      </c>
      <c r="H8764" s="11" t="e">
        <f t="shared" si="1353"/>
        <v>#N/A</v>
      </c>
      <c r="I8764" s="11" t="e">
        <f t="shared" si="1354"/>
        <v>#N/A</v>
      </c>
      <c r="J8764" s="12" t="e">
        <f t="shared" si="1355"/>
        <v>#N/A</v>
      </c>
      <c r="K8764" s="17" t="e">
        <f t="shared" si="1359"/>
        <v>#N/A</v>
      </c>
      <c r="L8764" s="16">
        <f>base!X8764</f>
        <v>0</v>
      </c>
      <c r="M8764" s="11" t="e">
        <f t="shared" si="1356"/>
        <v>#DIV/0!</v>
      </c>
      <c r="N8764" s="11"/>
      <c r="O8764" s="11" t="e">
        <f t="shared" si="1357"/>
        <v>#DIV/0!</v>
      </c>
      <c r="P8764" s="12">
        <f t="shared" si="1358"/>
        <v>0</v>
      </c>
      <c r="Q8764" s="17" t="str">
        <f t="shared" si="1360"/>
        <v>Pas d'écart</v>
      </c>
    </row>
    <row r="8765" spans="1:17" x14ac:dyDescent="0.3">
      <c r="A8765" s="34">
        <f>base!J8765</f>
        <v>0</v>
      </c>
      <c r="B8765" s="34">
        <f>base!V8765</f>
        <v>0</v>
      </c>
      <c r="C8765" s="40" t="s">
        <v>11</v>
      </c>
      <c r="D8765" s="36">
        <f>base!H8765</f>
        <v>0</v>
      </c>
      <c r="E8765" s="44"/>
      <c r="F8765" s="16">
        <f>base!W8765</f>
        <v>0</v>
      </c>
      <c r="G8765" s="11" t="e">
        <f t="shared" si="1352"/>
        <v>#DIV/0!</v>
      </c>
      <c r="H8765" s="11" t="e">
        <f t="shared" si="1353"/>
        <v>#N/A</v>
      </c>
      <c r="I8765" s="11" t="e">
        <f t="shared" si="1354"/>
        <v>#N/A</v>
      </c>
      <c r="J8765" s="12" t="e">
        <f t="shared" si="1355"/>
        <v>#N/A</v>
      </c>
      <c r="K8765" s="17" t="e">
        <f t="shared" si="1359"/>
        <v>#N/A</v>
      </c>
      <c r="L8765" s="16">
        <f>base!X8765</f>
        <v>0</v>
      </c>
      <c r="M8765" s="11" t="e">
        <f t="shared" si="1356"/>
        <v>#DIV/0!</v>
      </c>
      <c r="N8765" s="11"/>
      <c r="O8765" s="11" t="e">
        <f t="shared" si="1357"/>
        <v>#DIV/0!</v>
      </c>
      <c r="P8765" s="12">
        <f t="shared" si="1358"/>
        <v>0</v>
      </c>
      <c r="Q8765" s="17" t="str">
        <f t="shared" si="1360"/>
        <v>Pas d'écart</v>
      </c>
    </row>
    <row r="8766" spans="1:17" x14ac:dyDescent="0.3">
      <c r="A8766" s="34">
        <f>base!J8766</f>
        <v>0</v>
      </c>
      <c r="B8766" s="34">
        <f>base!V8766</f>
        <v>0</v>
      </c>
      <c r="C8766" s="40" t="s">
        <v>11</v>
      </c>
      <c r="D8766" s="36">
        <f>base!H8766</f>
        <v>0</v>
      </c>
      <c r="E8766" s="44"/>
      <c r="F8766" s="16">
        <f>base!W8766</f>
        <v>0</v>
      </c>
      <c r="G8766" s="11" t="e">
        <f t="shared" si="1352"/>
        <v>#DIV/0!</v>
      </c>
      <c r="H8766" s="11" t="e">
        <f t="shared" si="1353"/>
        <v>#N/A</v>
      </c>
      <c r="I8766" s="11" t="e">
        <f t="shared" si="1354"/>
        <v>#N/A</v>
      </c>
      <c r="J8766" s="12" t="e">
        <f t="shared" si="1355"/>
        <v>#N/A</v>
      </c>
      <c r="K8766" s="17" t="e">
        <f t="shared" si="1359"/>
        <v>#N/A</v>
      </c>
      <c r="L8766" s="16">
        <f>base!X8766</f>
        <v>0</v>
      </c>
      <c r="M8766" s="11" t="e">
        <f t="shared" si="1356"/>
        <v>#DIV/0!</v>
      </c>
      <c r="N8766" s="11"/>
      <c r="O8766" s="11" t="e">
        <f t="shared" si="1357"/>
        <v>#DIV/0!</v>
      </c>
      <c r="P8766" s="12">
        <f t="shared" si="1358"/>
        <v>0</v>
      </c>
      <c r="Q8766" s="17" t="str">
        <f t="shared" si="1360"/>
        <v>Pas d'écart</v>
      </c>
    </row>
    <row r="8767" spans="1:17" x14ac:dyDescent="0.3">
      <c r="A8767" s="34">
        <f>base!J8767</f>
        <v>0</v>
      </c>
      <c r="B8767" s="34">
        <f>base!V8767</f>
        <v>0</v>
      </c>
      <c r="C8767" s="40" t="s">
        <v>11</v>
      </c>
      <c r="D8767" s="36">
        <f>base!H8767</f>
        <v>0</v>
      </c>
      <c r="E8767" s="44"/>
      <c r="F8767" s="16">
        <f>base!W8767</f>
        <v>0</v>
      </c>
      <c r="G8767" s="11" t="e">
        <f t="shared" si="1352"/>
        <v>#DIV/0!</v>
      </c>
      <c r="H8767" s="11" t="e">
        <f t="shared" si="1353"/>
        <v>#N/A</v>
      </c>
      <c r="I8767" s="11" t="e">
        <f t="shared" si="1354"/>
        <v>#N/A</v>
      </c>
      <c r="J8767" s="12" t="e">
        <f t="shared" si="1355"/>
        <v>#N/A</v>
      </c>
      <c r="K8767" s="17" t="e">
        <f t="shared" si="1359"/>
        <v>#N/A</v>
      </c>
      <c r="L8767" s="16">
        <f>base!X8767</f>
        <v>0</v>
      </c>
      <c r="M8767" s="11" t="e">
        <f t="shared" si="1356"/>
        <v>#DIV/0!</v>
      </c>
      <c r="N8767" s="11"/>
      <c r="O8767" s="11" t="e">
        <f t="shared" si="1357"/>
        <v>#DIV/0!</v>
      </c>
      <c r="P8767" s="12">
        <f t="shared" si="1358"/>
        <v>0</v>
      </c>
      <c r="Q8767" s="17" t="str">
        <f t="shared" si="1360"/>
        <v>Pas d'écart</v>
      </c>
    </row>
    <row r="8768" spans="1:17" x14ac:dyDescent="0.3">
      <c r="A8768" s="34">
        <f>base!J8768</f>
        <v>0</v>
      </c>
      <c r="B8768" s="34">
        <f>base!V8768</f>
        <v>0</v>
      </c>
      <c r="C8768" s="40" t="s">
        <v>11</v>
      </c>
      <c r="D8768" s="36">
        <f>base!H8768</f>
        <v>0</v>
      </c>
      <c r="E8768" s="44"/>
      <c r="F8768" s="16">
        <f>base!W8768</f>
        <v>0</v>
      </c>
      <c r="G8768" s="11" t="e">
        <f t="shared" si="1352"/>
        <v>#DIV/0!</v>
      </c>
      <c r="H8768" s="11" t="e">
        <f t="shared" si="1353"/>
        <v>#N/A</v>
      </c>
      <c r="I8768" s="11" t="e">
        <f t="shared" si="1354"/>
        <v>#N/A</v>
      </c>
      <c r="J8768" s="12" t="e">
        <f t="shared" si="1355"/>
        <v>#N/A</v>
      </c>
      <c r="K8768" s="17" t="e">
        <f t="shared" si="1359"/>
        <v>#N/A</v>
      </c>
      <c r="L8768" s="16">
        <f>base!X8768</f>
        <v>0</v>
      </c>
      <c r="M8768" s="11" t="e">
        <f t="shared" si="1356"/>
        <v>#DIV/0!</v>
      </c>
      <c r="N8768" s="11"/>
      <c r="O8768" s="11" t="e">
        <f t="shared" si="1357"/>
        <v>#DIV/0!</v>
      </c>
      <c r="P8768" s="12">
        <f t="shared" si="1358"/>
        <v>0</v>
      </c>
      <c r="Q8768" s="17" t="str">
        <f t="shared" si="1360"/>
        <v>Pas d'écart</v>
      </c>
    </row>
    <row r="8769" spans="1:17" x14ac:dyDescent="0.3">
      <c r="A8769" s="34">
        <f>base!J8769</f>
        <v>0</v>
      </c>
      <c r="B8769" s="34">
        <f>base!V8769</f>
        <v>0</v>
      </c>
      <c r="C8769" s="40" t="s">
        <v>11</v>
      </c>
      <c r="D8769" s="36">
        <f>base!H8769</f>
        <v>0</v>
      </c>
      <c r="E8769" s="44"/>
      <c r="F8769" s="16">
        <f>base!W8769</f>
        <v>0</v>
      </c>
      <c r="G8769" s="11" t="e">
        <f t="shared" si="1352"/>
        <v>#DIV/0!</v>
      </c>
      <c r="H8769" s="11" t="e">
        <f t="shared" si="1353"/>
        <v>#N/A</v>
      </c>
      <c r="I8769" s="11" t="e">
        <f t="shared" si="1354"/>
        <v>#N/A</v>
      </c>
      <c r="J8769" s="12" t="e">
        <f t="shared" si="1355"/>
        <v>#N/A</v>
      </c>
      <c r="K8769" s="17" t="e">
        <f t="shared" si="1359"/>
        <v>#N/A</v>
      </c>
      <c r="L8769" s="16">
        <f>base!X8769</f>
        <v>0</v>
      </c>
      <c r="M8769" s="11" t="e">
        <f t="shared" si="1356"/>
        <v>#DIV/0!</v>
      </c>
      <c r="N8769" s="11"/>
      <c r="O8769" s="11" t="e">
        <f t="shared" si="1357"/>
        <v>#DIV/0!</v>
      </c>
      <c r="P8769" s="12">
        <f t="shared" si="1358"/>
        <v>0</v>
      </c>
      <c r="Q8769" s="17" t="str">
        <f t="shared" si="1360"/>
        <v>Pas d'écart</v>
      </c>
    </row>
    <row r="8770" spans="1:17" x14ac:dyDescent="0.3">
      <c r="A8770" s="34">
        <f>base!J8770</f>
        <v>0</v>
      </c>
      <c r="B8770" s="34">
        <f>base!V8770</f>
        <v>0</v>
      </c>
      <c r="C8770" s="40" t="s">
        <v>11</v>
      </c>
      <c r="D8770" s="36">
        <f>base!H8770</f>
        <v>0</v>
      </c>
      <c r="E8770" s="44"/>
      <c r="F8770" s="16">
        <f>base!W8770</f>
        <v>0</v>
      </c>
      <c r="G8770" s="11" t="e">
        <f t="shared" ref="G8770:G8833" si="1361">F8770/D8770</f>
        <v>#DIV/0!</v>
      </c>
      <c r="H8770" s="11" t="e">
        <f t="shared" ref="H8770:H8833" si="1362">VLOOKUP(C8770,tout_cout_traction,2,FALSE)*D8770</f>
        <v>#N/A</v>
      </c>
      <c r="I8770" s="11" t="e">
        <f t="shared" ref="I8770:I8833" si="1363">H8770/D8770</f>
        <v>#N/A</v>
      </c>
      <c r="J8770" s="12" t="e">
        <f t="shared" ref="J8770:J8833" si="1364">F8770-H8770</f>
        <v>#N/A</v>
      </c>
      <c r="K8770" s="17" t="e">
        <f t="shared" si="1359"/>
        <v>#N/A</v>
      </c>
      <c r="L8770" s="16">
        <f>base!X8770</f>
        <v>0</v>
      </c>
      <c r="M8770" s="11" t="e">
        <f t="shared" ref="M8770:M8833" si="1365">L8770/D8770</f>
        <v>#DIV/0!</v>
      </c>
      <c r="N8770" s="11"/>
      <c r="O8770" s="11" t="e">
        <f t="shared" ref="O8770:O8833" si="1366">N8770/D8770</f>
        <v>#DIV/0!</v>
      </c>
      <c r="P8770" s="12">
        <f t="shared" ref="P8770:P8833" si="1367">L8770-N8770</f>
        <v>0</v>
      </c>
      <c r="Q8770" s="17" t="str">
        <f t="shared" si="1360"/>
        <v>Pas d'écart</v>
      </c>
    </row>
    <row r="8771" spans="1:17" x14ac:dyDescent="0.3">
      <c r="A8771" s="34">
        <f>base!J8771</f>
        <v>0</v>
      </c>
      <c r="B8771" s="34">
        <f>base!V8771</f>
        <v>0</v>
      </c>
      <c r="C8771" s="40" t="s">
        <v>11</v>
      </c>
      <c r="D8771" s="36">
        <f>base!H8771</f>
        <v>0</v>
      </c>
      <c r="E8771" s="44"/>
      <c r="F8771" s="16">
        <f>base!W8771</f>
        <v>0</v>
      </c>
      <c r="G8771" s="11" t="e">
        <f t="shared" si="1361"/>
        <v>#DIV/0!</v>
      </c>
      <c r="H8771" s="11" t="e">
        <f t="shared" si="1362"/>
        <v>#N/A</v>
      </c>
      <c r="I8771" s="11" t="e">
        <f t="shared" si="1363"/>
        <v>#N/A</v>
      </c>
      <c r="J8771" s="12" t="e">
        <f t="shared" si="1364"/>
        <v>#N/A</v>
      </c>
      <c r="K8771" s="17" t="e">
        <f t="shared" ref="K8771:K8834" si="1368">IF(H8771=F8771,"Pas d'écart",IF(H8771&lt;F8771,"Ecart positif",IF(H8771&gt;F8771,"Ecart négatif")))</f>
        <v>#N/A</v>
      </c>
      <c r="L8771" s="16">
        <f>base!X8771</f>
        <v>0</v>
      </c>
      <c r="M8771" s="11" t="e">
        <f t="shared" si="1365"/>
        <v>#DIV/0!</v>
      </c>
      <c r="N8771" s="11"/>
      <c r="O8771" s="11" t="e">
        <f t="shared" si="1366"/>
        <v>#DIV/0!</v>
      </c>
      <c r="P8771" s="12">
        <f t="shared" si="1367"/>
        <v>0</v>
      </c>
      <c r="Q8771" s="17" t="str">
        <f t="shared" ref="Q8771:Q8834" si="1369">IF(N8771=L8771,"Pas d'écart",IF(N8771&lt;L8771,"Ecart positif",IF(N8771&gt;L8771,"Ecart négatif")))</f>
        <v>Pas d'écart</v>
      </c>
    </row>
    <row r="8772" spans="1:17" x14ac:dyDescent="0.3">
      <c r="A8772" s="34">
        <f>base!J8772</f>
        <v>0</v>
      </c>
      <c r="B8772" s="34">
        <f>base!V8772</f>
        <v>0</v>
      </c>
      <c r="C8772" s="40" t="s">
        <v>11</v>
      </c>
      <c r="D8772" s="36">
        <f>base!H8772</f>
        <v>0</v>
      </c>
      <c r="E8772" s="44"/>
      <c r="F8772" s="16">
        <f>base!W8772</f>
        <v>0</v>
      </c>
      <c r="G8772" s="11" t="e">
        <f t="shared" si="1361"/>
        <v>#DIV/0!</v>
      </c>
      <c r="H8772" s="11" t="e">
        <f t="shared" si="1362"/>
        <v>#N/A</v>
      </c>
      <c r="I8772" s="11" t="e">
        <f t="shared" si="1363"/>
        <v>#N/A</v>
      </c>
      <c r="J8772" s="12" t="e">
        <f t="shared" si="1364"/>
        <v>#N/A</v>
      </c>
      <c r="K8772" s="17" t="e">
        <f t="shared" si="1368"/>
        <v>#N/A</v>
      </c>
      <c r="L8772" s="16">
        <f>base!X8772</f>
        <v>0</v>
      </c>
      <c r="M8772" s="11" t="e">
        <f t="shared" si="1365"/>
        <v>#DIV/0!</v>
      </c>
      <c r="N8772" s="11"/>
      <c r="O8772" s="11" t="e">
        <f t="shared" si="1366"/>
        <v>#DIV/0!</v>
      </c>
      <c r="P8772" s="12">
        <f t="shared" si="1367"/>
        <v>0</v>
      </c>
      <c r="Q8772" s="17" t="str">
        <f t="shared" si="1369"/>
        <v>Pas d'écart</v>
      </c>
    </row>
    <row r="8773" spans="1:17" x14ac:dyDescent="0.3">
      <c r="A8773" s="34">
        <f>base!J8773</f>
        <v>0</v>
      </c>
      <c r="B8773" s="34">
        <f>base!V8773</f>
        <v>0</v>
      </c>
      <c r="C8773" s="40" t="s">
        <v>11</v>
      </c>
      <c r="D8773" s="36">
        <f>base!H8773</f>
        <v>0</v>
      </c>
      <c r="E8773" s="44"/>
      <c r="F8773" s="16">
        <f>base!W8773</f>
        <v>0</v>
      </c>
      <c r="G8773" s="11" t="e">
        <f t="shared" si="1361"/>
        <v>#DIV/0!</v>
      </c>
      <c r="H8773" s="11" t="e">
        <f t="shared" si="1362"/>
        <v>#N/A</v>
      </c>
      <c r="I8773" s="11" t="e">
        <f t="shared" si="1363"/>
        <v>#N/A</v>
      </c>
      <c r="J8773" s="12" t="e">
        <f t="shared" si="1364"/>
        <v>#N/A</v>
      </c>
      <c r="K8773" s="17" t="e">
        <f t="shared" si="1368"/>
        <v>#N/A</v>
      </c>
      <c r="L8773" s="16">
        <f>base!X8773</f>
        <v>0</v>
      </c>
      <c r="M8773" s="11" t="e">
        <f t="shared" si="1365"/>
        <v>#DIV/0!</v>
      </c>
      <c r="N8773" s="11"/>
      <c r="O8773" s="11" t="e">
        <f t="shared" si="1366"/>
        <v>#DIV/0!</v>
      </c>
      <c r="P8773" s="12">
        <f t="shared" si="1367"/>
        <v>0</v>
      </c>
      <c r="Q8773" s="17" t="str">
        <f t="shared" si="1369"/>
        <v>Pas d'écart</v>
      </c>
    </row>
    <row r="8774" spans="1:17" x14ac:dyDescent="0.3">
      <c r="A8774" s="34">
        <f>base!J8774</f>
        <v>0</v>
      </c>
      <c r="B8774" s="34">
        <f>base!V8774</f>
        <v>0</v>
      </c>
      <c r="C8774" s="40" t="s">
        <v>11</v>
      </c>
      <c r="D8774" s="36">
        <f>base!H8774</f>
        <v>0</v>
      </c>
      <c r="E8774" s="44"/>
      <c r="F8774" s="16">
        <f>base!W8774</f>
        <v>0</v>
      </c>
      <c r="G8774" s="11" t="e">
        <f t="shared" si="1361"/>
        <v>#DIV/0!</v>
      </c>
      <c r="H8774" s="11" t="e">
        <f t="shared" si="1362"/>
        <v>#N/A</v>
      </c>
      <c r="I8774" s="11" t="e">
        <f t="shared" si="1363"/>
        <v>#N/A</v>
      </c>
      <c r="J8774" s="12" t="e">
        <f t="shared" si="1364"/>
        <v>#N/A</v>
      </c>
      <c r="K8774" s="17" t="e">
        <f t="shared" si="1368"/>
        <v>#N/A</v>
      </c>
      <c r="L8774" s="16">
        <f>base!X8774</f>
        <v>0</v>
      </c>
      <c r="M8774" s="11" t="e">
        <f t="shared" si="1365"/>
        <v>#DIV/0!</v>
      </c>
      <c r="N8774" s="11"/>
      <c r="O8774" s="11" t="e">
        <f t="shared" si="1366"/>
        <v>#DIV/0!</v>
      </c>
      <c r="P8774" s="12">
        <f t="shared" si="1367"/>
        <v>0</v>
      </c>
      <c r="Q8774" s="17" t="str">
        <f t="shared" si="1369"/>
        <v>Pas d'écart</v>
      </c>
    </row>
    <row r="8775" spans="1:17" x14ac:dyDescent="0.3">
      <c r="A8775" s="34">
        <f>base!J8775</f>
        <v>0</v>
      </c>
      <c r="B8775" s="34">
        <f>base!V8775</f>
        <v>0</v>
      </c>
      <c r="C8775" s="40" t="s">
        <v>11</v>
      </c>
      <c r="D8775" s="36">
        <f>base!H8775</f>
        <v>0</v>
      </c>
      <c r="E8775" s="44"/>
      <c r="F8775" s="16">
        <f>base!W8775</f>
        <v>0</v>
      </c>
      <c r="G8775" s="11" t="e">
        <f t="shared" si="1361"/>
        <v>#DIV/0!</v>
      </c>
      <c r="H8775" s="11" t="e">
        <f t="shared" si="1362"/>
        <v>#N/A</v>
      </c>
      <c r="I8775" s="11" t="e">
        <f t="shared" si="1363"/>
        <v>#N/A</v>
      </c>
      <c r="J8775" s="12" t="e">
        <f t="shared" si="1364"/>
        <v>#N/A</v>
      </c>
      <c r="K8775" s="17" t="e">
        <f t="shared" si="1368"/>
        <v>#N/A</v>
      </c>
      <c r="L8775" s="16">
        <f>base!X8775</f>
        <v>0</v>
      </c>
      <c r="M8775" s="11" t="e">
        <f t="shared" si="1365"/>
        <v>#DIV/0!</v>
      </c>
      <c r="N8775" s="11"/>
      <c r="O8775" s="11" t="e">
        <f t="shared" si="1366"/>
        <v>#DIV/0!</v>
      </c>
      <c r="P8775" s="12">
        <f t="shared" si="1367"/>
        <v>0</v>
      </c>
      <c r="Q8775" s="17" t="str">
        <f t="shared" si="1369"/>
        <v>Pas d'écart</v>
      </c>
    </row>
    <row r="8776" spans="1:17" x14ac:dyDescent="0.3">
      <c r="A8776" s="34">
        <f>base!J8776</f>
        <v>0</v>
      </c>
      <c r="B8776" s="34">
        <f>base!V8776</f>
        <v>0</v>
      </c>
      <c r="C8776" s="40" t="s">
        <v>11</v>
      </c>
      <c r="D8776" s="36">
        <f>base!H8776</f>
        <v>0</v>
      </c>
      <c r="E8776" s="44"/>
      <c r="F8776" s="16">
        <f>base!W8776</f>
        <v>0</v>
      </c>
      <c r="G8776" s="11" t="e">
        <f t="shared" si="1361"/>
        <v>#DIV/0!</v>
      </c>
      <c r="H8776" s="11" t="e">
        <f t="shared" si="1362"/>
        <v>#N/A</v>
      </c>
      <c r="I8776" s="11" t="e">
        <f t="shared" si="1363"/>
        <v>#N/A</v>
      </c>
      <c r="J8776" s="12" t="e">
        <f t="shared" si="1364"/>
        <v>#N/A</v>
      </c>
      <c r="K8776" s="17" t="e">
        <f t="shared" si="1368"/>
        <v>#N/A</v>
      </c>
      <c r="L8776" s="16">
        <f>base!X8776</f>
        <v>0</v>
      </c>
      <c r="M8776" s="11" t="e">
        <f t="shared" si="1365"/>
        <v>#DIV/0!</v>
      </c>
      <c r="N8776" s="11"/>
      <c r="O8776" s="11" t="e">
        <f t="shared" si="1366"/>
        <v>#DIV/0!</v>
      </c>
      <c r="P8776" s="12">
        <f t="shared" si="1367"/>
        <v>0</v>
      </c>
      <c r="Q8776" s="17" t="str">
        <f t="shared" si="1369"/>
        <v>Pas d'écart</v>
      </c>
    </row>
    <row r="8777" spans="1:17" x14ac:dyDescent="0.3">
      <c r="A8777" s="34">
        <f>base!J8777</f>
        <v>0</v>
      </c>
      <c r="B8777" s="34">
        <f>base!V8777</f>
        <v>0</v>
      </c>
      <c r="C8777" s="40" t="s">
        <v>11</v>
      </c>
      <c r="D8777" s="36">
        <f>base!H8777</f>
        <v>0</v>
      </c>
      <c r="E8777" s="44"/>
      <c r="F8777" s="16">
        <f>base!W8777</f>
        <v>0</v>
      </c>
      <c r="G8777" s="11" t="e">
        <f t="shared" si="1361"/>
        <v>#DIV/0!</v>
      </c>
      <c r="H8777" s="11" t="e">
        <f t="shared" si="1362"/>
        <v>#N/A</v>
      </c>
      <c r="I8777" s="11" t="e">
        <f t="shared" si="1363"/>
        <v>#N/A</v>
      </c>
      <c r="J8777" s="12" t="e">
        <f t="shared" si="1364"/>
        <v>#N/A</v>
      </c>
      <c r="K8777" s="17" t="e">
        <f t="shared" si="1368"/>
        <v>#N/A</v>
      </c>
      <c r="L8777" s="16">
        <f>base!X8777</f>
        <v>0</v>
      </c>
      <c r="M8777" s="11" t="e">
        <f t="shared" si="1365"/>
        <v>#DIV/0!</v>
      </c>
      <c r="N8777" s="11"/>
      <c r="O8777" s="11" t="e">
        <f t="shared" si="1366"/>
        <v>#DIV/0!</v>
      </c>
      <c r="P8777" s="12">
        <f t="shared" si="1367"/>
        <v>0</v>
      </c>
      <c r="Q8777" s="17" t="str">
        <f t="shared" si="1369"/>
        <v>Pas d'écart</v>
      </c>
    </row>
    <row r="8778" spans="1:17" x14ac:dyDescent="0.3">
      <c r="A8778" s="34">
        <f>base!J8778</f>
        <v>0</v>
      </c>
      <c r="B8778" s="34">
        <f>base!V8778</f>
        <v>0</v>
      </c>
      <c r="C8778" s="40" t="s">
        <v>11</v>
      </c>
      <c r="D8778" s="36">
        <f>base!H8778</f>
        <v>0</v>
      </c>
      <c r="E8778" s="44"/>
      <c r="F8778" s="16">
        <f>base!W8778</f>
        <v>0</v>
      </c>
      <c r="G8778" s="11" t="e">
        <f t="shared" si="1361"/>
        <v>#DIV/0!</v>
      </c>
      <c r="H8778" s="11" t="e">
        <f t="shared" si="1362"/>
        <v>#N/A</v>
      </c>
      <c r="I8778" s="11" t="e">
        <f t="shared" si="1363"/>
        <v>#N/A</v>
      </c>
      <c r="J8778" s="12" t="e">
        <f t="shared" si="1364"/>
        <v>#N/A</v>
      </c>
      <c r="K8778" s="17" t="e">
        <f t="shared" si="1368"/>
        <v>#N/A</v>
      </c>
      <c r="L8778" s="16">
        <f>base!X8778</f>
        <v>0</v>
      </c>
      <c r="M8778" s="11" t="e">
        <f t="shared" si="1365"/>
        <v>#DIV/0!</v>
      </c>
      <c r="N8778" s="11"/>
      <c r="O8778" s="11" t="e">
        <f t="shared" si="1366"/>
        <v>#DIV/0!</v>
      </c>
      <c r="P8778" s="12">
        <f t="shared" si="1367"/>
        <v>0</v>
      </c>
      <c r="Q8778" s="17" t="str">
        <f t="shared" si="1369"/>
        <v>Pas d'écart</v>
      </c>
    </row>
    <row r="8779" spans="1:17" x14ac:dyDescent="0.3">
      <c r="A8779" s="34">
        <f>base!J8779</f>
        <v>0</v>
      </c>
      <c r="B8779" s="34">
        <f>base!V8779</f>
        <v>0</v>
      </c>
      <c r="C8779" s="40" t="s">
        <v>11</v>
      </c>
      <c r="D8779" s="36">
        <f>base!H8779</f>
        <v>0</v>
      </c>
      <c r="E8779" s="44"/>
      <c r="F8779" s="16">
        <f>base!W8779</f>
        <v>0</v>
      </c>
      <c r="G8779" s="11" t="e">
        <f t="shared" si="1361"/>
        <v>#DIV/0!</v>
      </c>
      <c r="H8779" s="11" t="e">
        <f t="shared" si="1362"/>
        <v>#N/A</v>
      </c>
      <c r="I8779" s="11" t="e">
        <f t="shared" si="1363"/>
        <v>#N/A</v>
      </c>
      <c r="J8779" s="12" t="e">
        <f t="shared" si="1364"/>
        <v>#N/A</v>
      </c>
      <c r="K8779" s="17" t="e">
        <f t="shared" si="1368"/>
        <v>#N/A</v>
      </c>
      <c r="L8779" s="16">
        <f>base!X8779</f>
        <v>0</v>
      </c>
      <c r="M8779" s="11" t="e">
        <f t="shared" si="1365"/>
        <v>#DIV/0!</v>
      </c>
      <c r="N8779" s="11"/>
      <c r="O8779" s="11" t="e">
        <f t="shared" si="1366"/>
        <v>#DIV/0!</v>
      </c>
      <c r="P8779" s="12">
        <f t="shared" si="1367"/>
        <v>0</v>
      </c>
      <c r="Q8779" s="17" t="str">
        <f t="shared" si="1369"/>
        <v>Pas d'écart</v>
      </c>
    </row>
    <row r="8780" spans="1:17" x14ac:dyDescent="0.3">
      <c r="A8780" s="34">
        <f>base!J8780</f>
        <v>0</v>
      </c>
      <c r="B8780" s="34">
        <f>base!V8780</f>
        <v>0</v>
      </c>
      <c r="C8780" s="40" t="s">
        <v>11</v>
      </c>
      <c r="D8780" s="36">
        <f>base!H8780</f>
        <v>0</v>
      </c>
      <c r="E8780" s="44"/>
      <c r="F8780" s="16">
        <f>base!W8780</f>
        <v>0</v>
      </c>
      <c r="G8780" s="11" t="e">
        <f t="shared" si="1361"/>
        <v>#DIV/0!</v>
      </c>
      <c r="H8780" s="11" t="e">
        <f t="shared" si="1362"/>
        <v>#N/A</v>
      </c>
      <c r="I8780" s="11" t="e">
        <f t="shared" si="1363"/>
        <v>#N/A</v>
      </c>
      <c r="J8780" s="12" t="e">
        <f t="shared" si="1364"/>
        <v>#N/A</v>
      </c>
      <c r="K8780" s="17" t="e">
        <f t="shared" si="1368"/>
        <v>#N/A</v>
      </c>
      <c r="L8780" s="16">
        <f>base!X8780</f>
        <v>0</v>
      </c>
      <c r="M8780" s="11" t="e">
        <f t="shared" si="1365"/>
        <v>#DIV/0!</v>
      </c>
      <c r="N8780" s="11"/>
      <c r="O8780" s="11" t="e">
        <f t="shared" si="1366"/>
        <v>#DIV/0!</v>
      </c>
      <c r="P8780" s="12">
        <f t="shared" si="1367"/>
        <v>0</v>
      </c>
      <c r="Q8780" s="17" t="str">
        <f t="shared" si="1369"/>
        <v>Pas d'écart</v>
      </c>
    </row>
    <row r="8781" spans="1:17" x14ac:dyDescent="0.3">
      <c r="A8781" s="34">
        <f>base!J8781</f>
        <v>0</v>
      </c>
      <c r="B8781" s="34">
        <f>base!V8781</f>
        <v>0</v>
      </c>
      <c r="C8781" s="40" t="s">
        <v>11</v>
      </c>
      <c r="D8781" s="36">
        <f>base!H8781</f>
        <v>0</v>
      </c>
      <c r="E8781" s="44"/>
      <c r="F8781" s="16">
        <f>base!W8781</f>
        <v>0</v>
      </c>
      <c r="G8781" s="11" t="e">
        <f t="shared" si="1361"/>
        <v>#DIV/0!</v>
      </c>
      <c r="H8781" s="11" t="e">
        <f t="shared" si="1362"/>
        <v>#N/A</v>
      </c>
      <c r="I8781" s="11" t="e">
        <f t="shared" si="1363"/>
        <v>#N/A</v>
      </c>
      <c r="J8781" s="12" t="e">
        <f t="shared" si="1364"/>
        <v>#N/A</v>
      </c>
      <c r="K8781" s="17" t="e">
        <f t="shared" si="1368"/>
        <v>#N/A</v>
      </c>
      <c r="L8781" s="16">
        <f>base!X8781</f>
        <v>0</v>
      </c>
      <c r="M8781" s="11" t="e">
        <f t="shared" si="1365"/>
        <v>#DIV/0!</v>
      </c>
      <c r="N8781" s="11"/>
      <c r="O8781" s="11" t="e">
        <f t="shared" si="1366"/>
        <v>#DIV/0!</v>
      </c>
      <c r="P8781" s="12">
        <f t="shared" si="1367"/>
        <v>0</v>
      </c>
      <c r="Q8781" s="17" t="str">
        <f t="shared" si="1369"/>
        <v>Pas d'écart</v>
      </c>
    </row>
    <row r="8782" spans="1:17" x14ac:dyDescent="0.3">
      <c r="A8782" s="34">
        <f>base!J8782</f>
        <v>0</v>
      </c>
      <c r="B8782" s="34">
        <f>base!V8782</f>
        <v>0</v>
      </c>
      <c r="C8782" s="40" t="s">
        <v>11</v>
      </c>
      <c r="D8782" s="36">
        <f>base!H8782</f>
        <v>0</v>
      </c>
      <c r="E8782" s="44"/>
      <c r="F8782" s="16">
        <f>base!W8782</f>
        <v>0</v>
      </c>
      <c r="G8782" s="11" t="e">
        <f t="shared" si="1361"/>
        <v>#DIV/0!</v>
      </c>
      <c r="H8782" s="11" t="e">
        <f t="shared" si="1362"/>
        <v>#N/A</v>
      </c>
      <c r="I8782" s="11" t="e">
        <f t="shared" si="1363"/>
        <v>#N/A</v>
      </c>
      <c r="J8782" s="12" t="e">
        <f t="shared" si="1364"/>
        <v>#N/A</v>
      </c>
      <c r="K8782" s="17" t="e">
        <f t="shared" si="1368"/>
        <v>#N/A</v>
      </c>
      <c r="L8782" s="16">
        <f>base!X8782</f>
        <v>0</v>
      </c>
      <c r="M8782" s="11" t="e">
        <f t="shared" si="1365"/>
        <v>#DIV/0!</v>
      </c>
      <c r="N8782" s="11"/>
      <c r="O8782" s="11" t="e">
        <f t="shared" si="1366"/>
        <v>#DIV/0!</v>
      </c>
      <c r="P8782" s="12">
        <f t="shared" si="1367"/>
        <v>0</v>
      </c>
      <c r="Q8782" s="17" t="str">
        <f t="shared" si="1369"/>
        <v>Pas d'écart</v>
      </c>
    </row>
    <row r="8783" spans="1:17" x14ac:dyDescent="0.3">
      <c r="A8783" s="34">
        <f>base!J8783</f>
        <v>0</v>
      </c>
      <c r="B8783" s="34">
        <f>base!V8783</f>
        <v>0</v>
      </c>
      <c r="C8783" s="40" t="s">
        <v>11</v>
      </c>
      <c r="D8783" s="36">
        <f>base!H8783</f>
        <v>0</v>
      </c>
      <c r="E8783" s="44"/>
      <c r="F8783" s="16">
        <f>base!W8783</f>
        <v>0</v>
      </c>
      <c r="G8783" s="11" t="e">
        <f t="shared" si="1361"/>
        <v>#DIV/0!</v>
      </c>
      <c r="H8783" s="11" t="e">
        <f t="shared" si="1362"/>
        <v>#N/A</v>
      </c>
      <c r="I8783" s="11" t="e">
        <f t="shared" si="1363"/>
        <v>#N/A</v>
      </c>
      <c r="J8783" s="12" t="e">
        <f t="shared" si="1364"/>
        <v>#N/A</v>
      </c>
      <c r="K8783" s="17" t="e">
        <f t="shared" si="1368"/>
        <v>#N/A</v>
      </c>
      <c r="L8783" s="16">
        <f>base!X8783</f>
        <v>0</v>
      </c>
      <c r="M8783" s="11" t="e">
        <f t="shared" si="1365"/>
        <v>#DIV/0!</v>
      </c>
      <c r="N8783" s="11"/>
      <c r="O8783" s="11" t="e">
        <f t="shared" si="1366"/>
        <v>#DIV/0!</v>
      </c>
      <c r="P8783" s="12">
        <f t="shared" si="1367"/>
        <v>0</v>
      </c>
      <c r="Q8783" s="17" t="str">
        <f t="shared" si="1369"/>
        <v>Pas d'écart</v>
      </c>
    </row>
    <row r="8784" spans="1:17" x14ac:dyDescent="0.3">
      <c r="A8784" s="34">
        <f>base!J8784</f>
        <v>0</v>
      </c>
      <c r="B8784" s="34">
        <f>base!V8784</f>
        <v>0</v>
      </c>
      <c r="C8784" s="40" t="s">
        <v>11</v>
      </c>
      <c r="D8784" s="36">
        <f>base!H8784</f>
        <v>0</v>
      </c>
      <c r="E8784" s="44"/>
      <c r="F8784" s="16">
        <f>base!W8784</f>
        <v>0</v>
      </c>
      <c r="G8784" s="11" t="e">
        <f t="shared" si="1361"/>
        <v>#DIV/0!</v>
      </c>
      <c r="H8784" s="11" t="e">
        <f t="shared" si="1362"/>
        <v>#N/A</v>
      </c>
      <c r="I8784" s="11" t="e">
        <f t="shared" si="1363"/>
        <v>#N/A</v>
      </c>
      <c r="J8784" s="12" t="e">
        <f t="shared" si="1364"/>
        <v>#N/A</v>
      </c>
      <c r="K8784" s="17" t="e">
        <f t="shared" si="1368"/>
        <v>#N/A</v>
      </c>
      <c r="L8784" s="16">
        <f>base!X8784</f>
        <v>0</v>
      </c>
      <c r="M8784" s="11" t="e">
        <f t="shared" si="1365"/>
        <v>#DIV/0!</v>
      </c>
      <c r="N8784" s="11"/>
      <c r="O8784" s="11" t="e">
        <f t="shared" si="1366"/>
        <v>#DIV/0!</v>
      </c>
      <c r="P8784" s="12">
        <f t="shared" si="1367"/>
        <v>0</v>
      </c>
      <c r="Q8784" s="17" t="str">
        <f t="shared" si="1369"/>
        <v>Pas d'écart</v>
      </c>
    </row>
    <row r="8785" spans="1:17" x14ac:dyDescent="0.3">
      <c r="A8785" s="34">
        <f>base!J8785</f>
        <v>0</v>
      </c>
      <c r="B8785" s="34">
        <f>base!V8785</f>
        <v>0</v>
      </c>
      <c r="C8785" s="40" t="s">
        <v>11</v>
      </c>
      <c r="D8785" s="36">
        <f>base!H8785</f>
        <v>0</v>
      </c>
      <c r="E8785" s="44"/>
      <c r="F8785" s="16">
        <f>base!W8785</f>
        <v>0</v>
      </c>
      <c r="G8785" s="11" t="e">
        <f t="shared" si="1361"/>
        <v>#DIV/0!</v>
      </c>
      <c r="H8785" s="11" t="e">
        <f t="shared" si="1362"/>
        <v>#N/A</v>
      </c>
      <c r="I8785" s="11" t="e">
        <f t="shared" si="1363"/>
        <v>#N/A</v>
      </c>
      <c r="J8785" s="12" t="e">
        <f t="shared" si="1364"/>
        <v>#N/A</v>
      </c>
      <c r="K8785" s="17" t="e">
        <f t="shared" si="1368"/>
        <v>#N/A</v>
      </c>
      <c r="L8785" s="16">
        <f>base!X8785</f>
        <v>0</v>
      </c>
      <c r="M8785" s="11" t="e">
        <f t="shared" si="1365"/>
        <v>#DIV/0!</v>
      </c>
      <c r="N8785" s="11"/>
      <c r="O8785" s="11" t="e">
        <f t="shared" si="1366"/>
        <v>#DIV/0!</v>
      </c>
      <c r="P8785" s="12">
        <f t="shared" si="1367"/>
        <v>0</v>
      </c>
      <c r="Q8785" s="17" t="str">
        <f t="shared" si="1369"/>
        <v>Pas d'écart</v>
      </c>
    </row>
    <row r="8786" spans="1:17" x14ac:dyDescent="0.3">
      <c r="A8786" s="34">
        <f>base!J8786</f>
        <v>0</v>
      </c>
      <c r="B8786" s="34">
        <f>base!V8786</f>
        <v>0</v>
      </c>
      <c r="C8786" s="40" t="s">
        <v>11</v>
      </c>
      <c r="D8786" s="36">
        <f>base!H8786</f>
        <v>0</v>
      </c>
      <c r="E8786" s="44"/>
      <c r="F8786" s="16">
        <f>base!W8786</f>
        <v>0</v>
      </c>
      <c r="G8786" s="11" t="e">
        <f t="shared" si="1361"/>
        <v>#DIV/0!</v>
      </c>
      <c r="H8786" s="11" t="e">
        <f t="shared" si="1362"/>
        <v>#N/A</v>
      </c>
      <c r="I8786" s="11" t="e">
        <f t="shared" si="1363"/>
        <v>#N/A</v>
      </c>
      <c r="J8786" s="12" t="e">
        <f t="shared" si="1364"/>
        <v>#N/A</v>
      </c>
      <c r="K8786" s="17" t="e">
        <f t="shared" si="1368"/>
        <v>#N/A</v>
      </c>
      <c r="L8786" s="16">
        <f>base!X8786</f>
        <v>0</v>
      </c>
      <c r="M8786" s="11" t="e">
        <f t="shared" si="1365"/>
        <v>#DIV/0!</v>
      </c>
      <c r="N8786" s="11"/>
      <c r="O8786" s="11" t="e">
        <f t="shared" si="1366"/>
        <v>#DIV/0!</v>
      </c>
      <c r="P8786" s="12">
        <f t="shared" si="1367"/>
        <v>0</v>
      </c>
      <c r="Q8786" s="17" t="str">
        <f t="shared" si="1369"/>
        <v>Pas d'écart</v>
      </c>
    </row>
    <row r="8787" spans="1:17" x14ac:dyDescent="0.3">
      <c r="A8787" s="34">
        <f>base!J8787</f>
        <v>0</v>
      </c>
      <c r="B8787" s="34">
        <f>base!V8787</f>
        <v>0</v>
      </c>
      <c r="C8787" s="40" t="s">
        <v>11</v>
      </c>
      <c r="D8787" s="36">
        <f>base!H8787</f>
        <v>0</v>
      </c>
      <c r="E8787" s="44"/>
      <c r="F8787" s="16">
        <f>base!W8787</f>
        <v>0</v>
      </c>
      <c r="G8787" s="11" t="e">
        <f t="shared" si="1361"/>
        <v>#DIV/0!</v>
      </c>
      <c r="H8787" s="11" t="e">
        <f t="shared" si="1362"/>
        <v>#N/A</v>
      </c>
      <c r="I8787" s="11" t="e">
        <f t="shared" si="1363"/>
        <v>#N/A</v>
      </c>
      <c r="J8787" s="12" t="e">
        <f t="shared" si="1364"/>
        <v>#N/A</v>
      </c>
      <c r="K8787" s="17" t="e">
        <f t="shared" si="1368"/>
        <v>#N/A</v>
      </c>
      <c r="L8787" s="16">
        <f>base!X8787</f>
        <v>0</v>
      </c>
      <c r="M8787" s="11" t="e">
        <f t="shared" si="1365"/>
        <v>#DIV/0!</v>
      </c>
      <c r="N8787" s="11"/>
      <c r="O8787" s="11" t="e">
        <f t="shared" si="1366"/>
        <v>#DIV/0!</v>
      </c>
      <c r="P8787" s="12">
        <f t="shared" si="1367"/>
        <v>0</v>
      </c>
      <c r="Q8787" s="17" t="str">
        <f t="shared" si="1369"/>
        <v>Pas d'écart</v>
      </c>
    </row>
    <row r="8788" spans="1:17" x14ac:dyDescent="0.3">
      <c r="A8788" s="34">
        <f>base!J8788</f>
        <v>0</v>
      </c>
      <c r="B8788" s="34">
        <f>base!V8788</f>
        <v>0</v>
      </c>
      <c r="C8788" s="40" t="s">
        <v>11</v>
      </c>
      <c r="D8788" s="36">
        <f>base!H8788</f>
        <v>0</v>
      </c>
      <c r="E8788" s="44"/>
      <c r="F8788" s="16">
        <f>base!W8788</f>
        <v>0</v>
      </c>
      <c r="G8788" s="11" t="e">
        <f t="shared" si="1361"/>
        <v>#DIV/0!</v>
      </c>
      <c r="H8788" s="11" t="e">
        <f t="shared" si="1362"/>
        <v>#N/A</v>
      </c>
      <c r="I8788" s="11" t="e">
        <f t="shared" si="1363"/>
        <v>#N/A</v>
      </c>
      <c r="J8788" s="12" t="e">
        <f t="shared" si="1364"/>
        <v>#N/A</v>
      </c>
      <c r="K8788" s="17" t="e">
        <f t="shared" si="1368"/>
        <v>#N/A</v>
      </c>
      <c r="L8788" s="16">
        <f>base!X8788</f>
        <v>0</v>
      </c>
      <c r="M8788" s="11" t="e">
        <f t="shared" si="1365"/>
        <v>#DIV/0!</v>
      </c>
      <c r="N8788" s="11"/>
      <c r="O8788" s="11" t="e">
        <f t="shared" si="1366"/>
        <v>#DIV/0!</v>
      </c>
      <c r="P8788" s="12">
        <f t="shared" si="1367"/>
        <v>0</v>
      </c>
      <c r="Q8788" s="17" t="str">
        <f t="shared" si="1369"/>
        <v>Pas d'écart</v>
      </c>
    </row>
    <row r="8789" spans="1:17" x14ac:dyDescent="0.3">
      <c r="A8789" s="34">
        <f>base!J8789</f>
        <v>0</v>
      </c>
      <c r="B8789" s="34">
        <f>base!V8789</f>
        <v>0</v>
      </c>
      <c r="C8789" s="40" t="s">
        <v>11</v>
      </c>
      <c r="D8789" s="36">
        <f>base!H8789</f>
        <v>0</v>
      </c>
      <c r="E8789" s="44"/>
      <c r="F8789" s="16">
        <f>base!W8789</f>
        <v>0</v>
      </c>
      <c r="G8789" s="11" t="e">
        <f t="shared" si="1361"/>
        <v>#DIV/0!</v>
      </c>
      <c r="H8789" s="11" t="e">
        <f t="shared" si="1362"/>
        <v>#N/A</v>
      </c>
      <c r="I8789" s="11" t="e">
        <f t="shared" si="1363"/>
        <v>#N/A</v>
      </c>
      <c r="J8789" s="12" t="e">
        <f t="shared" si="1364"/>
        <v>#N/A</v>
      </c>
      <c r="K8789" s="17" t="e">
        <f t="shared" si="1368"/>
        <v>#N/A</v>
      </c>
      <c r="L8789" s="16">
        <f>base!X8789</f>
        <v>0</v>
      </c>
      <c r="M8789" s="11" t="e">
        <f t="shared" si="1365"/>
        <v>#DIV/0!</v>
      </c>
      <c r="N8789" s="11"/>
      <c r="O8789" s="11" t="e">
        <f t="shared" si="1366"/>
        <v>#DIV/0!</v>
      </c>
      <c r="P8789" s="12">
        <f t="shared" si="1367"/>
        <v>0</v>
      </c>
      <c r="Q8789" s="17" t="str">
        <f t="shared" si="1369"/>
        <v>Pas d'écart</v>
      </c>
    </row>
    <row r="8790" spans="1:17" x14ac:dyDescent="0.3">
      <c r="A8790" s="34">
        <f>base!J8790</f>
        <v>0</v>
      </c>
      <c r="B8790" s="34">
        <f>base!V8790</f>
        <v>0</v>
      </c>
      <c r="C8790" s="40" t="s">
        <v>11</v>
      </c>
      <c r="D8790" s="36">
        <f>base!H8790</f>
        <v>0</v>
      </c>
      <c r="E8790" s="44"/>
      <c r="F8790" s="16">
        <f>base!W8790</f>
        <v>0</v>
      </c>
      <c r="G8790" s="11" t="e">
        <f t="shared" si="1361"/>
        <v>#DIV/0!</v>
      </c>
      <c r="H8790" s="11" t="e">
        <f t="shared" si="1362"/>
        <v>#N/A</v>
      </c>
      <c r="I8790" s="11" t="e">
        <f t="shared" si="1363"/>
        <v>#N/A</v>
      </c>
      <c r="J8790" s="12" t="e">
        <f t="shared" si="1364"/>
        <v>#N/A</v>
      </c>
      <c r="K8790" s="17" t="e">
        <f t="shared" si="1368"/>
        <v>#N/A</v>
      </c>
      <c r="L8790" s="16">
        <f>base!X8790</f>
        <v>0</v>
      </c>
      <c r="M8790" s="11" t="e">
        <f t="shared" si="1365"/>
        <v>#DIV/0!</v>
      </c>
      <c r="N8790" s="11"/>
      <c r="O8790" s="11" t="e">
        <f t="shared" si="1366"/>
        <v>#DIV/0!</v>
      </c>
      <c r="P8790" s="12">
        <f t="shared" si="1367"/>
        <v>0</v>
      </c>
      <c r="Q8790" s="17" t="str">
        <f t="shared" si="1369"/>
        <v>Pas d'écart</v>
      </c>
    </row>
    <row r="8791" spans="1:17" x14ac:dyDescent="0.3">
      <c r="A8791" s="34">
        <f>base!J8791</f>
        <v>0</v>
      </c>
      <c r="B8791" s="34">
        <f>base!V8791</f>
        <v>0</v>
      </c>
      <c r="C8791" s="40" t="s">
        <v>11</v>
      </c>
      <c r="D8791" s="36">
        <f>base!H8791</f>
        <v>0</v>
      </c>
      <c r="E8791" s="44"/>
      <c r="F8791" s="16">
        <f>base!W8791</f>
        <v>0</v>
      </c>
      <c r="G8791" s="11" t="e">
        <f t="shared" si="1361"/>
        <v>#DIV/0!</v>
      </c>
      <c r="H8791" s="11" t="e">
        <f t="shared" si="1362"/>
        <v>#N/A</v>
      </c>
      <c r="I8791" s="11" t="e">
        <f t="shared" si="1363"/>
        <v>#N/A</v>
      </c>
      <c r="J8791" s="12" t="e">
        <f t="shared" si="1364"/>
        <v>#N/A</v>
      </c>
      <c r="K8791" s="17" t="e">
        <f t="shared" si="1368"/>
        <v>#N/A</v>
      </c>
      <c r="L8791" s="16">
        <f>base!X8791</f>
        <v>0</v>
      </c>
      <c r="M8791" s="11" t="e">
        <f t="shared" si="1365"/>
        <v>#DIV/0!</v>
      </c>
      <c r="N8791" s="11"/>
      <c r="O8791" s="11" t="e">
        <f t="shared" si="1366"/>
        <v>#DIV/0!</v>
      </c>
      <c r="P8791" s="12">
        <f t="shared" si="1367"/>
        <v>0</v>
      </c>
      <c r="Q8791" s="17" t="str">
        <f t="shared" si="1369"/>
        <v>Pas d'écart</v>
      </c>
    </row>
    <row r="8792" spans="1:17" x14ac:dyDescent="0.3">
      <c r="A8792" s="34">
        <f>base!J8792</f>
        <v>0</v>
      </c>
      <c r="B8792" s="34">
        <f>base!V8792</f>
        <v>0</v>
      </c>
      <c r="C8792" s="40" t="s">
        <v>11</v>
      </c>
      <c r="D8792" s="36">
        <f>base!H8792</f>
        <v>0</v>
      </c>
      <c r="E8792" s="44"/>
      <c r="F8792" s="16">
        <f>base!W8792</f>
        <v>0</v>
      </c>
      <c r="G8792" s="11" t="e">
        <f t="shared" si="1361"/>
        <v>#DIV/0!</v>
      </c>
      <c r="H8792" s="11" t="e">
        <f t="shared" si="1362"/>
        <v>#N/A</v>
      </c>
      <c r="I8792" s="11" t="e">
        <f t="shared" si="1363"/>
        <v>#N/A</v>
      </c>
      <c r="J8792" s="12" t="e">
        <f t="shared" si="1364"/>
        <v>#N/A</v>
      </c>
      <c r="K8792" s="17" t="e">
        <f t="shared" si="1368"/>
        <v>#N/A</v>
      </c>
      <c r="L8792" s="16">
        <f>base!X8792</f>
        <v>0</v>
      </c>
      <c r="M8792" s="11" t="e">
        <f t="shared" si="1365"/>
        <v>#DIV/0!</v>
      </c>
      <c r="N8792" s="11"/>
      <c r="O8792" s="11" t="e">
        <f t="shared" si="1366"/>
        <v>#DIV/0!</v>
      </c>
      <c r="P8792" s="12">
        <f t="shared" si="1367"/>
        <v>0</v>
      </c>
      <c r="Q8792" s="17" t="str">
        <f t="shared" si="1369"/>
        <v>Pas d'écart</v>
      </c>
    </row>
    <row r="8793" spans="1:17" x14ac:dyDescent="0.3">
      <c r="A8793" s="34">
        <f>base!J8793</f>
        <v>0</v>
      </c>
      <c r="B8793" s="34">
        <f>base!V8793</f>
        <v>0</v>
      </c>
      <c r="C8793" s="40" t="s">
        <v>11</v>
      </c>
      <c r="D8793" s="36">
        <f>base!H8793</f>
        <v>0</v>
      </c>
      <c r="E8793" s="44"/>
      <c r="F8793" s="16">
        <f>base!W8793</f>
        <v>0</v>
      </c>
      <c r="G8793" s="11" t="e">
        <f t="shared" si="1361"/>
        <v>#DIV/0!</v>
      </c>
      <c r="H8793" s="11" t="e">
        <f t="shared" si="1362"/>
        <v>#N/A</v>
      </c>
      <c r="I8793" s="11" t="e">
        <f t="shared" si="1363"/>
        <v>#N/A</v>
      </c>
      <c r="J8793" s="12" t="e">
        <f t="shared" si="1364"/>
        <v>#N/A</v>
      </c>
      <c r="K8793" s="17" t="e">
        <f t="shared" si="1368"/>
        <v>#N/A</v>
      </c>
      <c r="L8793" s="16">
        <f>base!X8793</f>
        <v>0</v>
      </c>
      <c r="M8793" s="11" t="e">
        <f t="shared" si="1365"/>
        <v>#DIV/0!</v>
      </c>
      <c r="N8793" s="11"/>
      <c r="O8793" s="11" t="e">
        <f t="shared" si="1366"/>
        <v>#DIV/0!</v>
      </c>
      <c r="P8793" s="12">
        <f t="shared" si="1367"/>
        <v>0</v>
      </c>
      <c r="Q8793" s="17" t="str">
        <f t="shared" si="1369"/>
        <v>Pas d'écart</v>
      </c>
    </row>
    <row r="8794" spans="1:17" x14ac:dyDescent="0.3">
      <c r="A8794" s="34">
        <f>base!J8794</f>
        <v>0</v>
      </c>
      <c r="B8794" s="34">
        <f>base!V8794</f>
        <v>0</v>
      </c>
      <c r="C8794" s="40" t="s">
        <v>11</v>
      </c>
      <c r="D8794" s="36">
        <f>base!H8794</f>
        <v>0</v>
      </c>
      <c r="E8794" s="44"/>
      <c r="F8794" s="16">
        <f>base!W8794</f>
        <v>0</v>
      </c>
      <c r="G8794" s="11" t="e">
        <f t="shared" si="1361"/>
        <v>#DIV/0!</v>
      </c>
      <c r="H8794" s="11" t="e">
        <f t="shared" si="1362"/>
        <v>#N/A</v>
      </c>
      <c r="I8794" s="11" t="e">
        <f t="shared" si="1363"/>
        <v>#N/A</v>
      </c>
      <c r="J8794" s="12" t="e">
        <f t="shared" si="1364"/>
        <v>#N/A</v>
      </c>
      <c r="K8794" s="17" t="e">
        <f t="shared" si="1368"/>
        <v>#N/A</v>
      </c>
      <c r="L8794" s="16">
        <f>base!X8794</f>
        <v>0</v>
      </c>
      <c r="M8794" s="11" t="e">
        <f t="shared" si="1365"/>
        <v>#DIV/0!</v>
      </c>
      <c r="N8794" s="11"/>
      <c r="O8794" s="11" t="e">
        <f t="shared" si="1366"/>
        <v>#DIV/0!</v>
      </c>
      <c r="P8794" s="12">
        <f t="shared" si="1367"/>
        <v>0</v>
      </c>
      <c r="Q8794" s="17" t="str">
        <f t="shared" si="1369"/>
        <v>Pas d'écart</v>
      </c>
    </row>
    <row r="8795" spans="1:17" x14ac:dyDescent="0.3">
      <c r="A8795" s="34">
        <f>base!J8795</f>
        <v>0</v>
      </c>
      <c r="B8795" s="34">
        <f>base!V8795</f>
        <v>0</v>
      </c>
      <c r="C8795" s="40" t="s">
        <v>11</v>
      </c>
      <c r="D8795" s="36">
        <f>base!H8795</f>
        <v>0</v>
      </c>
      <c r="E8795" s="44"/>
      <c r="F8795" s="16">
        <f>base!W8795</f>
        <v>0</v>
      </c>
      <c r="G8795" s="11" t="e">
        <f t="shared" si="1361"/>
        <v>#DIV/0!</v>
      </c>
      <c r="H8795" s="11" t="e">
        <f t="shared" si="1362"/>
        <v>#N/A</v>
      </c>
      <c r="I8795" s="11" t="e">
        <f t="shared" si="1363"/>
        <v>#N/A</v>
      </c>
      <c r="J8795" s="12" t="e">
        <f t="shared" si="1364"/>
        <v>#N/A</v>
      </c>
      <c r="K8795" s="17" t="e">
        <f t="shared" si="1368"/>
        <v>#N/A</v>
      </c>
      <c r="L8795" s="16">
        <f>base!X8795</f>
        <v>0</v>
      </c>
      <c r="M8795" s="11" t="e">
        <f t="shared" si="1365"/>
        <v>#DIV/0!</v>
      </c>
      <c r="N8795" s="11"/>
      <c r="O8795" s="11" t="e">
        <f t="shared" si="1366"/>
        <v>#DIV/0!</v>
      </c>
      <c r="P8795" s="12">
        <f t="shared" si="1367"/>
        <v>0</v>
      </c>
      <c r="Q8795" s="17" t="str">
        <f t="shared" si="1369"/>
        <v>Pas d'écart</v>
      </c>
    </row>
    <row r="8796" spans="1:17" x14ac:dyDescent="0.3">
      <c r="A8796" s="34">
        <f>base!J8796</f>
        <v>0</v>
      </c>
      <c r="B8796" s="34">
        <f>base!V8796</f>
        <v>0</v>
      </c>
      <c r="C8796" s="40" t="s">
        <v>11</v>
      </c>
      <c r="D8796" s="36">
        <f>base!H8796</f>
        <v>0</v>
      </c>
      <c r="E8796" s="44"/>
      <c r="F8796" s="16">
        <f>base!W8796</f>
        <v>0</v>
      </c>
      <c r="G8796" s="11" t="e">
        <f t="shared" si="1361"/>
        <v>#DIV/0!</v>
      </c>
      <c r="H8796" s="11" t="e">
        <f t="shared" si="1362"/>
        <v>#N/A</v>
      </c>
      <c r="I8796" s="11" t="e">
        <f t="shared" si="1363"/>
        <v>#N/A</v>
      </c>
      <c r="J8796" s="12" t="e">
        <f t="shared" si="1364"/>
        <v>#N/A</v>
      </c>
      <c r="K8796" s="17" t="e">
        <f t="shared" si="1368"/>
        <v>#N/A</v>
      </c>
      <c r="L8796" s="16">
        <f>base!X8796</f>
        <v>0</v>
      </c>
      <c r="M8796" s="11" t="e">
        <f t="shared" si="1365"/>
        <v>#DIV/0!</v>
      </c>
      <c r="N8796" s="11"/>
      <c r="O8796" s="11" t="e">
        <f t="shared" si="1366"/>
        <v>#DIV/0!</v>
      </c>
      <c r="P8796" s="12">
        <f t="shared" si="1367"/>
        <v>0</v>
      </c>
      <c r="Q8796" s="17" t="str">
        <f t="shared" si="1369"/>
        <v>Pas d'écart</v>
      </c>
    </row>
    <row r="8797" spans="1:17" x14ac:dyDescent="0.3">
      <c r="A8797" s="34">
        <f>base!J8797</f>
        <v>0</v>
      </c>
      <c r="B8797" s="34">
        <f>base!V8797</f>
        <v>0</v>
      </c>
      <c r="C8797" s="40" t="s">
        <v>11</v>
      </c>
      <c r="D8797" s="36">
        <f>base!H8797</f>
        <v>0</v>
      </c>
      <c r="E8797" s="44"/>
      <c r="F8797" s="16">
        <f>base!W8797</f>
        <v>0</v>
      </c>
      <c r="G8797" s="11" t="e">
        <f t="shared" si="1361"/>
        <v>#DIV/0!</v>
      </c>
      <c r="H8797" s="11" t="e">
        <f t="shared" si="1362"/>
        <v>#N/A</v>
      </c>
      <c r="I8797" s="11" t="e">
        <f t="shared" si="1363"/>
        <v>#N/A</v>
      </c>
      <c r="J8797" s="12" t="e">
        <f t="shared" si="1364"/>
        <v>#N/A</v>
      </c>
      <c r="K8797" s="17" t="e">
        <f t="shared" si="1368"/>
        <v>#N/A</v>
      </c>
      <c r="L8797" s="16">
        <f>base!X8797</f>
        <v>0</v>
      </c>
      <c r="M8797" s="11" t="e">
        <f t="shared" si="1365"/>
        <v>#DIV/0!</v>
      </c>
      <c r="N8797" s="11"/>
      <c r="O8797" s="11" t="e">
        <f t="shared" si="1366"/>
        <v>#DIV/0!</v>
      </c>
      <c r="P8797" s="12">
        <f t="shared" si="1367"/>
        <v>0</v>
      </c>
      <c r="Q8797" s="17" t="str">
        <f t="shared" si="1369"/>
        <v>Pas d'écart</v>
      </c>
    </row>
    <row r="8798" spans="1:17" x14ac:dyDescent="0.3">
      <c r="A8798" s="34">
        <f>base!J8798</f>
        <v>0</v>
      </c>
      <c r="B8798" s="34">
        <f>base!V8798</f>
        <v>0</v>
      </c>
      <c r="C8798" s="40" t="s">
        <v>11</v>
      </c>
      <c r="D8798" s="36">
        <f>base!H8798</f>
        <v>0</v>
      </c>
      <c r="E8798" s="44"/>
      <c r="F8798" s="16">
        <f>base!W8798</f>
        <v>0</v>
      </c>
      <c r="G8798" s="11" t="e">
        <f t="shared" si="1361"/>
        <v>#DIV/0!</v>
      </c>
      <c r="H8798" s="11" t="e">
        <f t="shared" si="1362"/>
        <v>#N/A</v>
      </c>
      <c r="I8798" s="11" t="e">
        <f t="shared" si="1363"/>
        <v>#N/A</v>
      </c>
      <c r="J8798" s="12" t="e">
        <f t="shared" si="1364"/>
        <v>#N/A</v>
      </c>
      <c r="K8798" s="17" t="e">
        <f t="shared" si="1368"/>
        <v>#N/A</v>
      </c>
      <c r="L8798" s="16">
        <f>base!X8798</f>
        <v>0</v>
      </c>
      <c r="M8798" s="11" t="e">
        <f t="shared" si="1365"/>
        <v>#DIV/0!</v>
      </c>
      <c r="N8798" s="11"/>
      <c r="O8798" s="11" t="e">
        <f t="shared" si="1366"/>
        <v>#DIV/0!</v>
      </c>
      <c r="P8798" s="12">
        <f t="shared" si="1367"/>
        <v>0</v>
      </c>
      <c r="Q8798" s="17" t="str">
        <f t="shared" si="1369"/>
        <v>Pas d'écart</v>
      </c>
    </row>
    <row r="8799" spans="1:17" x14ac:dyDescent="0.3">
      <c r="A8799" s="34">
        <f>base!J8799</f>
        <v>0</v>
      </c>
      <c r="B8799" s="34">
        <f>base!V8799</f>
        <v>0</v>
      </c>
      <c r="C8799" s="40" t="s">
        <v>11</v>
      </c>
      <c r="D8799" s="36">
        <f>base!H8799</f>
        <v>0</v>
      </c>
      <c r="E8799" s="44"/>
      <c r="F8799" s="16">
        <f>base!W8799</f>
        <v>0</v>
      </c>
      <c r="G8799" s="11" t="e">
        <f t="shared" si="1361"/>
        <v>#DIV/0!</v>
      </c>
      <c r="H8799" s="11" t="e">
        <f t="shared" si="1362"/>
        <v>#N/A</v>
      </c>
      <c r="I8799" s="11" t="e">
        <f t="shared" si="1363"/>
        <v>#N/A</v>
      </c>
      <c r="J8799" s="12" t="e">
        <f t="shared" si="1364"/>
        <v>#N/A</v>
      </c>
      <c r="K8799" s="17" t="e">
        <f t="shared" si="1368"/>
        <v>#N/A</v>
      </c>
      <c r="L8799" s="16">
        <f>base!X8799</f>
        <v>0</v>
      </c>
      <c r="M8799" s="11" t="e">
        <f t="shared" si="1365"/>
        <v>#DIV/0!</v>
      </c>
      <c r="N8799" s="11"/>
      <c r="O8799" s="11" t="e">
        <f t="shared" si="1366"/>
        <v>#DIV/0!</v>
      </c>
      <c r="P8799" s="12">
        <f t="shared" si="1367"/>
        <v>0</v>
      </c>
      <c r="Q8799" s="17" t="str">
        <f t="shared" si="1369"/>
        <v>Pas d'écart</v>
      </c>
    </row>
    <row r="8800" spans="1:17" x14ac:dyDescent="0.3">
      <c r="A8800" s="34">
        <f>base!J8800</f>
        <v>0</v>
      </c>
      <c r="B8800" s="34">
        <f>base!V8800</f>
        <v>0</v>
      </c>
      <c r="C8800" s="40" t="s">
        <v>11</v>
      </c>
      <c r="D8800" s="36">
        <f>base!H8800</f>
        <v>0</v>
      </c>
      <c r="E8800" s="44"/>
      <c r="F8800" s="16">
        <f>base!W8800</f>
        <v>0</v>
      </c>
      <c r="G8800" s="11" t="e">
        <f t="shared" si="1361"/>
        <v>#DIV/0!</v>
      </c>
      <c r="H8800" s="11" t="e">
        <f t="shared" si="1362"/>
        <v>#N/A</v>
      </c>
      <c r="I8800" s="11" t="e">
        <f t="shared" si="1363"/>
        <v>#N/A</v>
      </c>
      <c r="J8800" s="12" t="e">
        <f t="shared" si="1364"/>
        <v>#N/A</v>
      </c>
      <c r="K8800" s="17" t="e">
        <f t="shared" si="1368"/>
        <v>#N/A</v>
      </c>
      <c r="L8800" s="16">
        <f>base!X8800</f>
        <v>0</v>
      </c>
      <c r="M8800" s="11" t="e">
        <f t="shared" si="1365"/>
        <v>#DIV/0!</v>
      </c>
      <c r="N8800" s="11"/>
      <c r="O8800" s="11" t="e">
        <f t="shared" si="1366"/>
        <v>#DIV/0!</v>
      </c>
      <c r="P8800" s="12">
        <f t="shared" si="1367"/>
        <v>0</v>
      </c>
      <c r="Q8800" s="17" t="str">
        <f t="shared" si="1369"/>
        <v>Pas d'écart</v>
      </c>
    </row>
    <row r="8801" spans="1:17" x14ac:dyDescent="0.3">
      <c r="A8801" s="34">
        <f>base!J8801</f>
        <v>0</v>
      </c>
      <c r="B8801" s="34">
        <f>base!V8801</f>
        <v>0</v>
      </c>
      <c r="C8801" s="40" t="s">
        <v>11</v>
      </c>
      <c r="D8801" s="36">
        <f>base!H8801</f>
        <v>0</v>
      </c>
      <c r="E8801" s="44"/>
      <c r="F8801" s="16">
        <f>base!W8801</f>
        <v>0</v>
      </c>
      <c r="G8801" s="11" t="e">
        <f t="shared" si="1361"/>
        <v>#DIV/0!</v>
      </c>
      <c r="H8801" s="11" t="e">
        <f t="shared" si="1362"/>
        <v>#N/A</v>
      </c>
      <c r="I8801" s="11" t="e">
        <f t="shared" si="1363"/>
        <v>#N/A</v>
      </c>
      <c r="J8801" s="12" t="e">
        <f t="shared" si="1364"/>
        <v>#N/A</v>
      </c>
      <c r="K8801" s="17" t="e">
        <f t="shared" si="1368"/>
        <v>#N/A</v>
      </c>
      <c r="L8801" s="16">
        <f>base!X8801</f>
        <v>0</v>
      </c>
      <c r="M8801" s="11" t="e">
        <f t="shared" si="1365"/>
        <v>#DIV/0!</v>
      </c>
      <c r="N8801" s="11"/>
      <c r="O8801" s="11" t="e">
        <f t="shared" si="1366"/>
        <v>#DIV/0!</v>
      </c>
      <c r="P8801" s="12">
        <f t="shared" si="1367"/>
        <v>0</v>
      </c>
      <c r="Q8801" s="17" t="str">
        <f t="shared" si="1369"/>
        <v>Pas d'écart</v>
      </c>
    </row>
    <row r="8802" spans="1:17" x14ac:dyDescent="0.3">
      <c r="A8802" s="34">
        <f>base!J8802</f>
        <v>0</v>
      </c>
      <c r="B8802" s="34">
        <f>base!V8802</f>
        <v>0</v>
      </c>
      <c r="C8802" s="40" t="s">
        <v>11</v>
      </c>
      <c r="D8802" s="36">
        <f>base!H8802</f>
        <v>0</v>
      </c>
      <c r="E8802" s="44"/>
      <c r="F8802" s="16">
        <f>base!W8802</f>
        <v>0</v>
      </c>
      <c r="G8802" s="11" t="e">
        <f t="shared" si="1361"/>
        <v>#DIV/0!</v>
      </c>
      <c r="H8802" s="11" t="e">
        <f t="shared" si="1362"/>
        <v>#N/A</v>
      </c>
      <c r="I8802" s="11" t="e">
        <f t="shared" si="1363"/>
        <v>#N/A</v>
      </c>
      <c r="J8802" s="12" t="e">
        <f t="shared" si="1364"/>
        <v>#N/A</v>
      </c>
      <c r="K8802" s="17" t="e">
        <f t="shared" si="1368"/>
        <v>#N/A</v>
      </c>
      <c r="L8802" s="16">
        <f>base!X8802</f>
        <v>0</v>
      </c>
      <c r="M8802" s="11" t="e">
        <f t="shared" si="1365"/>
        <v>#DIV/0!</v>
      </c>
      <c r="N8802" s="11"/>
      <c r="O8802" s="11" t="e">
        <f t="shared" si="1366"/>
        <v>#DIV/0!</v>
      </c>
      <c r="P8802" s="12">
        <f t="shared" si="1367"/>
        <v>0</v>
      </c>
      <c r="Q8802" s="17" t="str">
        <f t="shared" si="1369"/>
        <v>Pas d'écart</v>
      </c>
    </row>
    <row r="8803" spans="1:17" x14ac:dyDescent="0.3">
      <c r="A8803" s="34">
        <f>base!J8803</f>
        <v>0</v>
      </c>
      <c r="B8803" s="34">
        <f>base!V8803</f>
        <v>0</v>
      </c>
      <c r="C8803" s="40" t="s">
        <v>11</v>
      </c>
      <c r="D8803" s="36">
        <f>base!H8803</f>
        <v>0</v>
      </c>
      <c r="E8803" s="44"/>
      <c r="F8803" s="16">
        <f>base!W8803</f>
        <v>0</v>
      </c>
      <c r="G8803" s="11" t="e">
        <f t="shared" si="1361"/>
        <v>#DIV/0!</v>
      </c>
      <c r="H8803" s="11" t="e">
        <f t="shared" si="1362"/>
        <v>#N/A</v>
      </c>
      <c r="I8803" s="11" t="e">
        <f t="shared" si="1363"/>
        <v>#N/A</v>
      </c>
      <c r="J8803" s="12" t="e">
        <f t="shared" si="1364"/>
        <v>#N/A</v>
      </c>
      <c r="K8803" s="17" t="e">
        <f t="shared" si="1368"/>
        <v>#N/A</v>
      </c>
      <c r="L8803" s="16">
        <f>base!X8803</f>
        <v>0</v>
      </c>
      <c r="M8803" s="11" t="e">
        <f t="shared" si="1365"/>
        <v>#DIV/0!</v>
      </c>
      <c r="N8803" s="11"/>
      <c r="O8803" s="11" t="e">
        <f t="shared" si="1366"/>
        <v>#DIV/0!</v>
      </c>
      <c r="P8803" s="12">
        <f t="shared" si="1367"/>
        <v>0</v>
      </c>
      <c r="Q8803" s="17" t="str">
        <f t="shared" si="1369"/>
        <v>Pas d'écart</v>
      </c>
    </row>
    <row r="8804" spans="1:17" x14ac:dyDescent="0.3">
      <c r="A8804" s="34">
        <f>base!J8804</f>
        <v>0</v>
      </c>
      <c r="B8804" s="34">
        <f>base!V8804</f>
        <v>0</v>
      </c>
      <c r="C8804" s="40" t="s">
        <v>11</v>
      </c>
      <c r="D8804" s="36">
        <f>base!H8804</f>
        <v>0</v>
      </c>
      <c r="E8804" s="44"/>
      <c r="F8804" s="16">
        <f>base!W8804</f>
        <v>0</v>
      </c>
      <c r="G8804" s="11" t="e">
        <f t="shared" si="1361"/>
        <v>#DIV/0!</v>
      </c>
      <c r="H8804" s="11" t="e">
        <f t="shared" si="1362"/>
        <v>#N/A</v>
      </c>
      <c r="I8804" s="11" t="e">
        <f t="shared" si="1363"/>
        <v>#N/A</v>
      </c>
      <c r="J8804" s="12" t="e">
        <f t="shared" si="1364"/>
        <v>#N/A</v>
      </c>
      <c r="K8804" s="17" t="e">
        <f t="shared" si="1368"/>
        <v>#N/A</v>
      </c>
      <c r="L8804" s="16">
        <f>base!X8804</f>
        <v>0</v>
      </c>
      <c r="M8804" s="11" t="e">
        <f t="shared" si="1365"/>
        <v>#DIV/0!</v>
      </c>
      <c r="N8804" s="11"/>
      <c r="O8804" s="11" t="e">
        <f t="shared" si="1366"/>
        <v>#DIV/0!</v>
      </c>
      <c r="P8804" s="12">
        <f t="shared" si="1367"/>
        <v>0</v>
      </c>
      <c r="Q8804" s="17" t="str">
        <f t="shared" si="1369"/>
        <v>Pas d'écart</v>
      </c>
    </row>
    <row r="8805" spans="1:17" x14ac:dyDescent="0.3">
      <c r="A8805" s="34">
        <f>base!J8805</f>
        <v>0</v>
      </c>
      <c r="B8805" s="34">
        <f>base!V8805</f>
        <v>0</v>
      </c>
      <c r="C8805" s="40" t="s">
        <v>11</v>
      </c>
      <c r="D8805" s="36">
        <f>base!H8805</f>
        <v>0</v>
      </c>
      <c r="E8805" s="44"/>
      <c r="F8805" s="16">
        <f>base!W8805</f>
        <v>0</v>
      </c>
      <c r="G8805" s="11" t="e">
        <f t="shared" si="1361"/>
        <v>#DIV/0!</v>
      </c>
      <c r="H8805" s="11" t="e">
        <f t="shared" si="1362"/>
        <v>#N/A</v>
      </c>
      <c r="I8805" s="11" t="e">
        <f t="shared" si="1363"/>
        <v>#N/A</v>
      </c>
      <c r="J8805" s="12" t="e">
        <f t="shared" si="1364"/>
        <v>#N/A</v>
      </c>
      <c r="K8805" s="17" t="e">
        <f t="shared" si="1368"/>
        <v>#N/A</v>
      </c>
      <c r="L8805" s="16">
        <f>base!X8805</f>
        <v>0</v>
      </c>
      <c r="M8805" s="11" t="e">
        <f t="shared" si="1365"/>
        <v>#DIV/0!</v>
      </c>
      <c r="N8805" s="11"/>
      <c r="O8805" s="11" t="e">
        <f t="shared" si="1366"/>
        <v>#DIV/0!</v>
      </c>
      <c r="P8805" s="12">
        <f t="shared" si="1367"/>
        <v>0</v>
      </c>
      <c r="Q8805" s="17" t="str">
        <f t="shared" si="1369"/>
        <v>Pas d'écart</v>
      </c>
    </row>
    <row r="8806" spans="1:17" x14ac:dyDescent="0.3">
      <c r="A8806" s="34">
        <f>base!J8806</f>
        <v>0</v>
      </c>
      <c r="B8806" s="34">
        <f>base!V8806</f>
        <v>0</v>
      </c>
      <c r="C8806" s="40" t="s">
        <v>11</v>
      </c>
      <c r="D8806" s="36">
        <f>base!H8806</f>
        <v>0</v>
      </c>
      <c r="E8806" s="44"/>
      <c r="F8806" s="16">
        <f>base!W8806</f>
        <v>0</v>
      </c>
      <c r="G8806" s="11" t="e">
        <f t="shared" si="1361"/>
        <v>#DIV/0!</v>
      </c>
      <c r="H8806" s="11" t="e">
        <f t="shared" si="1362"/>
        <v>#N/A</v>
      </c>
      <c r="I8806" s="11" t="e">
        <f t="shared" si="1363"/>
        <v>#N/A</v>
      </c>
      <c r="J8806" s="12" t="e">
        <f t="shared" si="1364"/>
        <v>#N/A</v>
      </c>
      <c r="K8806" s="17" t="e">
        <f t="shared" si="1368"/>
        <v>#N/A</v>
      </c>
      <c r="L8806" s="16">
        <f>base!X8806</f>
        <v>0</v>
      </c>
      <c r="M8806" s="11" t="e">
        <f t="shared" si="1365"/>
        <v>#DIV/0!</v>
      </c>
      <c r="N8806" s="11"/>
      <c r="O8806" s="11" t="e">
        <f t="shared" si="1366"/>
        <v>#DIV/0!</v>
      </c>
      <c r="P8806" s="12">
        <f t="shared" si="1367"/>
        <v>0</v>
      </c>
      <c r="Q8806" s="17" t="str">
        <f t="shared" si="1369"/>
        <v>Pas d'écart</v>
      </c>
    </row>
    <row r="8807" spans="1:17" x14ac:dyDescent="0.3">
      <c r="A8807" s="34">
        <f>base!J8807</f>
        <v>0</v>
      </c>
      <c r="B8807" s="34">
        <f>base!V8807</f>
        <v>0</v>
      </c>
      <c r="C8807" s="40" t="s">
        <v>11</v>
      </c>
      <c r="D8807" s="36">
        <f>base!H8807</f>
        <v>0</v>
      </c>
      <c r="E8807" s="44"/>
      <c r="F8807" s="16">
        <f>base!W8807</f>
        <v>0</v>
      </c>
      <c r="G8807" s="11" t="e">
        <f t="shared" si="1361"/>
        <v>#DIV/0!</v>
      </c>
      <c r="H8807" s="11" t="e">
        <f t="shared" si="1362"/>
        <v>#N/A</v>
      </c>
      <c r="I8807" s="11" t="e">
        <f t="shared" si="1363"/>
        <v>#N/A</v>
      </c>
      <c r="J8807" s="12" t="e">
        <f t="shared" si="1364"/>
        <v>#N/A</v>
      </c>
      <c r="K8807" s="17" t="e">
        <f t="shared" si="1368"/>
        <v>#N/A</v>
      </c>
      <c r="L8807" s="16">
        <f>base!X8807</f>
        <v>0</v>
      </c>
      <c r="M8807" s="11" t="e">
        <f t="shared" si="1365"/>
        <v>#DIV/0!</v>
      </c>
      <c r="N8807" s="11"/>
      <c r="O8807" s="11" t="e">
        <f t="shared" si="1366"/>
        <v>#DIV/0!</v>
      </c>
      <c r="P8807" s="12">
        <f t="shared" si="1367"/>
        <v>0</v>
      </c>
      <c r="Q8807" s="17" t="str">
        <f t="shared" si="1369"/>
        <v>Pas d'écart</v>
      </c>
    </row>
    <row r="8808" spans="1:17" x14ac:dyDescent="0.3">
      <c r="A8808" s="34">
        <f>base!J8808</f>
        <v>0</v>
      </c>
      <c r="B8808" s="34">
        <f>base!V8808</f>
        <v>0</v>
      </c>
      <c r="C8808" s="40" t="s">
        <v>11</v>
      </c>
      <c r="D8808" s="36">
        <f>base!H8808</f>
        <v>0</v>
      </c>
      <c r="E8808" s="44"/>
      <c r="F8808" s="16">
        <f>base!W8808</f>
        <v>0</v>
      </c>
      <c r="G8808" s="11" t="e">
        <f t="shared" si="1361"/>
        <v>#DIV/0!</v>
      </c>
      <c r="H8808" s="11" t="e">
        <f t="shared" si="1362"/>
        <v>#N/A</v>
      </c>
      <c r="I8808" s="11" t="e">
        <f t="shared" si="1363"/>
        <v>#N/A</v>
      </c>
      <c r="J8808" s="12" t="e">
        <f t="shared" si="1364"/>
        <v>#N/A</v>
      </c>
      <c r="K8808" s="17" t="e">
        <f t="shared" si="1368"/>
        <v>#N/A</v>
      </c>
      <c r="L8808" s="16">
        <f>base!X8808</f>
        <v>0</v>
      </c>
      <c r="M8808" s="11" t="e">
        <f t="shared" si="1365"/>
        <v>#DIV/0!</v>
      </c>
      <c r="N8808" s="11"/>
      <c r="O8808" s="11" t="e">
        <f t="shared" si="1366"/>
        <v>#DIV/0!</v>
      </c>
      <c r="P8808" s="12">
        <f t="shared" si="1367"/>
        <v>0</v>
      </c>
      <c r="Q8808" s="17" t="str">
        <f t="shared" si="1369"/>
        <v>Pas d'écart</v>
      </c>
    </row>
    <row r="8809" spans="1:17" x14ac:dyDescent="0.3">
      <c r="A8809" s="34">
        <f>base!J8809</f>
        <v>0</v>
      </c>
      <c r="B8809" s="34">
        <f>base!V8809</f>
        <v>0</v>
      </c>
      <c r="C8809" s="40" t="s">
        <v>11</v>
      </c>
      <c r="D8809" s="36">
        <f>base!H8809</f>
        <v>0</v>
      </c>
      <c r="E8809" s="44"/>
      <c r="F8809" s="16">
        <f>base!W8809</f>
        <v>0</v>
      </c>
      <c r="G8809" s="11" t="e">
        <f t="shared" si="1361"/>
        <v>#DIV/0!</v>
      </c>
      <c r="H8809" s="11" t="e">
        <f t="shared" si="1362"/>
        <v>#N/A</v>
      </c>
      <c r="I8809" s="11" t="e">
        <f t="shared" si="1363"/>
        <v>#N/A</v>
      </c>
      <c r="J8809" s="12" t="e">
        <f t="shared" si="1364"/>
        <v>#N/A</v>
      </c>
      <c r="K8809" s="17" t="e">
        <f t="shared" si="1368"/>
        <v>#N/A</v>
      </c>
      <c r="L8809" s="16">
        <f>base!X8809</f>
        <v>0</v>
      </c>
      <c r="M8809" s="11" t="e">
        <f t="shared" si="1365"/>
        <v>#DIV/0!</v>
      </c>
      <c r="N8809" s="11"/>
      <c r="O8809" s="11" t="e">
        <f t="shared" si="1366"/>
        <v>#DIV/0!</v>
      </c>
      <c r="P8809" s="12">
        <f t="shared" si="1367"/>
        <v>0</v>
      </c>
      <c r="Q8809" s="17" t="str">
        <f t="shared" si="1369"/>
        <v>Pas d'écart</v>
      </c>
    </row>
    <row r="8810" spans="1:17" x14ac:dyDescent="0.3">
      <c r="A8810" s="34">
        <f>base!J8810</f>
        <v>0</v>
      </c>
      <c r="B8810" s="34">
        <f>base!V8810</f>
        <v>0</v>
      </c>
      <c r="C8810" s="40" t="s">
        <v>11</v>
      </c>
      <c r="D8810" s="36">
        <f>base!H8810</f>
        <v>0</v>
      </c>
      <c r="E8810" s="44"/>
      <c r="F8810" s="16">
        <f>base!W8810</f>
        <v>0</v>
      </c>
      <c r="G8810" s="11" t="e">
        <f t="shared" si="1361"/>
        <v>#DIV/0!</v>
      </c>
      <c r="H8810" s="11" t="e">
        <f t="shared" si="1362"/>
        <v>#N/A</v>
      </c>
      <c r="I8810" s="11" t="e">
        <f t="shared" si="1363"/>
        <v>#N/A</v>
      </c>
      <c r="J8810" s="12" t="e">
        <f t="shared" si="1364"/>
        <v>#N/A</v>
      </c>
      <c r="K8810" s="17" t="e">
        <f t="shared" si="1368"/>
        <v>#N/A</v>
      </c>
      <c r="L8810" s="16">
        <f>base!X8810</f>
        <v>0</v>
      </c>
      <c r="M8810" s="11" t="e">
        <f t="shared" si="1365"/>
        <v>#DIV/0!</v>
      </c>
      <c r="N8810" s="11"/>
      <c r="O8810" s="11" t="e">
        <f t="shared" si="1366"/>
        <v>#DIV/0!</v>
      </c>
      <c r="P8810" s="12">
        <f t="shared" si="1367"/>
        <v>0</v>
      </c>
      <c r="Q8810" s="17" t="str">
        <f t="shared" si="1369"/>
        <v>Pas d'écart</v>
      </c>
    </row>
    <row r="8811" spans="1:17" x14ac:dyDescent="0.3">
      <c r="A8811" s="34">
        <f>base!J8811</f>
        <v>0</v>
      </c>
      <c r="B8811" s="34">
        <f>base!V8811</f>
        <v>0</v>
      </c>
      <c r="C8811" s="40" t="s">
        <v>11</v>
      </c>
      <c r="D8811" s="36">
        <f>base!H8811</f>
        <v>0</v>
      </c>
      <c r="E8811" s="44"/>
      <c r="F8811" s="16">
        <f>base!W8811</f>
        <v>0</v>
      </c>
      <c r="G8811" s="11" t="e">
        <f t="shared" si="1361"/>
        <v>#DIV/0!</v>
      </c>
      <c r="H8811" s="11" t="e">
        <f t="shared" si="1362"/>
        <v>#N/A</v>
      </c>
      <c r="I8811" s="11" t="e">
        <f t="shared" si="1363"/>
        <v>#N/A</v>
      </c>
      <c r="J8811" s="12" t="e">
        <f t="shared" si="1364"/>
        <v>#N/A</v>
      </c>
      <c r="K8811" s="17" t="e">
        <f t="shared" si="1368"/>
        <v>#N/A</v>
      </c>
      <c r="L8811" s="16">
        <f>base!X8811</f>
        <v>0</v>
      </c>
      <c r="M8811" s="11" t="e">
        <f t="shared" si="1365"/>
        <v>#DIV/0!</v>
      </c>
      <c r="N8811" s="11"/>
      <c r="O8811" s="11" t="e">
        <f t="shared" si="1366"/>
        <v>#DIV/0!</v>
      </c>
      <c r="P8811" s="12">
        <f t="shared" si="1367"/>
        <v>0</v>
      </c>
      <c r="Q8811" s="17" t="str">
        <f t="shared" si="1369"/>
        <v>Pas d'écart</v>
      </c>
    </row>
    <row r="8812" spans="1:17" x14ac:dyDescent="0.3">
      <c r="A8812" s="34">
        <f>base!J8812</f>
        <v>0</v>
      </c>
      <c r="B8812" s="34">
        <f>base!V8812</f>
        <v>0</v>
      </c>
      <c r="C8812" s="40" t="s">
        <v>11</v>
      </c>
      <c r="D8812" s="36">
        <f>base!H8812</f>
        <v>0</v>
      </c>
      <c r="E8812" s="44"/>
      <c r="F8812" s="16">
        <f>base!W8812</f>
        <v>0</v>
      </c>
      <c r="G8812" s="11" t="e">
        <f t="shared" si="1361"/>
        <v>#DIV/0!</v>
      </c>
      <c r="H8812" s="11" t="e">
        <f t="shared" si="1362"/>
        <v>#N/A</v>
      </c>
      <c r="I8812" s="11" t="e">
        <f t="shared" si="1363"/>
        <v>#N/A</v>
      </c>
      <c r="J8812" s="12" t="e">
        <f t="shared" si="1364"/>
        <v>#N/A</v>
      </c>
      <c r="K8812" s="17" t="e">
        <f t="shared" si="1368"/>
        <v>#N/A</v>
      </c>
      <c r="L8812" s="16">
        <f>base!X8812</f>
        <v>0</v>
      </c>
      <c r="M8812" s="11" t="e">
        <f t="shared" si="1365"/>
        <v>#DIV/0!</v>
      </c>
      <c r="N8812" s="11"/>
      <c r="O8812" s="11" t="e">
        <f t="shared" si="1366"/>
        <v>#DIV/0!</v>
      </c>
      <c r="P8812" s="12">
        <f t="shared" si="1367"/>
        <v>0</v>
      </c>
      <c r="Q8812" s="17" t="str">
        <f t="shared" si="1369"/>
        <v>Pas d'écart</v>
      </c>
    </row>
    <row r="8813" spans="1:17" x14ac:dyDescent="0.3">
      <c r="A8813" s="34">
        <f>base!J8813</f>
        <v>0</v>
      </c>
      <c r="B8813" s="34">
        <f>base!V8813</f>
        <v>0</v>
      </c>
      <c r="C8813" s="40" t="s">
        <v>11</v>
      </c>
      <c r="D8813" s="36">
        <f>base!H8813</f>
        <v>0</v>
      </c>
      <c r="E8813" s="44"/>
      <c r="F8813" s="16">
        <f>base!W8813</f>
        <v>0</v>
      </c>
      <c r="G8813" s="11" t="e">
        <f t="shared" si="1361"/>
        <v>#DIV/0!</v>
      </c>
      <c r="H8813" s="11" t="e">
        <f t="shared" si="1362"/>
        <v>#N/A</v>
      </c>
      <c r="I8813" s="11" t="e">
        <f t="shared" si="1363"/>
        <v>#N/A</v>
      </c>
      <c r="J8813" s="12" t="e">
        <f t="shared" si="1364"/>
        <v>#N/A</v>
      </c>
      <c r="K8813" s="17" t="e">
        <f t="shared" si="1368"/>
        <v>#N/A</v>
      </c>
      <c r="L8813" s="16">
        <f>base!X8813</f>
        <v>0</v>
      </c>
      <c r="M8813" s="11" t="e">
        <f t="shared" si="1365"/>
        <v>#DIV/0!</v>
      </c>
      <c r="N8813" s="11"/>
      <c r="O8813" s="11" t="e">
        <f t="shared" si="1366"/>
        <v>#DIV/0!</v>
      </c>
      <c r="P8813" s="12">
        <f t="shared" si="1367"/>
        <v>0</v>
      </c>
      <c r="Q8813" s="17" t="str">
        <f t="shared" si="1369"/>
        <v>Pas d'écart</v>
      </c>
    </row>
    <row r="8814" spans="1:17" x14ac:dyDescent="0.3">
      <c r="A8814" s="34">
        <f>base!J8814</f>
        <v>0</v>
      </c>
      <c r="B8814" s="34">
        <f>base!V8814</f>
        <v>0</v>
      </c>
      <c r="C8814" s="40" t="s">
        <v>11</v>
      </c>
      <c r="D8814" s="36">
        <f>base!H8814</f>
        <v>0</v>
      </c>
      <c r="E8814" s="44"/>
      <c r="F8814" s="16">
        <f>base!W8814</f>
        <v>0</v>
      </c>
      <c r="G8814" s="11" t="e">
        <f t="shared" si="1361"/>
        <v>#DIV/0!</v>
      </c>
      <c r="H8814" s="11" t="e">
        <f t="shared" si="1362"/>
        <v>#N/A</v>
      </c>
      <c r="I8814" s="11" t="e">
        <f t="shared" si="1363"/>
        <v>#N/A</v>
      </c>
      <c r="J8814" s="12" t="e">
        <f t="shared" si="1364"/>
        <v>#N/A</v>
      </c>
      <c r="K8814" s="17" t="e">
        <f t="shared" si="1368"/>
        <v>#N/A</v>
      </c>
      <c r="L8814" s="16">
        <f>base!X8814</f>
        <v>0</v>
      </c>
      <c r="M8814" s="11" t="e">
        <f t="shared" si="1365"/>
        <v>#DIV/0!</v>
      </c>
      <c r="N8814" s="11"/>
      <c r="O8814" s="11" t="e">
        <f t="shared" si="1366"/>
        <v>#DIV/0!</v>
      </c>
      <c r="P8814" s="12">
        <f t="shared" si="1367"/>
        <v>0</v>
      </c>
      <c r="Q8814" s="17" t="str">
        <f t="shared" si="1369"/>
        <v>Pas d'écart</v>
      </c>
    </row>
    <row r="8815" spans="1:17" x14ac:dyDescent="0.3">
      <c r="A8815" s="34">
        <f>base!J8815</f>
        <v>0</v>
      </c>
      <c r="B8815" s="34">
        <f>base!V8815</f>
        <v>0</v>
      </c>
      <c r="C8815" s="40" t="s">
        <v>11</v>
      </c>
      <c r="D8815" s="36">
        <f>base!H8815</f>
        <v>0</v>
      </c>
      <c r="E8815" s="44"/>
      <c r="F8815" s="16">
        <f>base!W8815</f>
        <v>0</v>
      </c>
      <c r="G8815" s="11" t="e">
        <f t="shared" si="1361"/>
        <v>#DIV/0!</v>
      </c>
      <c r="H8815" s="11" t="e">
        <f t="shared" si="1362"/>
        <v>#N/A</v>
      </c>
      <c r="I8815" s="11" t="e">
        <f t="shared" si="1363"/>
        <v>#N/A</v>
      </c>
      <c r="J8815" s="12" t="e">
        <f t="shared" si="1364"/>
        <v>#N/A</v>
      </c>
      <c r="K8815" s="17" t="e">
        <f t="shared" si="1368"/>
        <v>#N/A</v>
      </c>
      <c r="L8815" s="16">
        <f>base!X8815</f>
        <v>0</v>
      </c>
      <c r="M8815" s="11" t="e">
        <f t="shared" si="1365"/>
        <v>#DIV/0!</v>
      </c>
      <c r="N8815" s="11"/>
      <c r="O8815" s="11" t="e">
        <f t="shared" si="1366"/>
        <v>#DIV/0!</v>
      </c>
      <c r="P8815" s="12">
        <f t="shared" si="1367"/>
        <v>0</v>
      </c>
      <c r="Q8815" s="17" t="str">
        <f t="shared" si="1369"/>
        <v>Pas d'écart</v>
      </c>
    </row>
    <row r="8816" spans="1:17" x14ac:dyDescent="0.3">
      <c r="A8816" s="34">
        <f>base!J8816</f>
        <v>0</v>
      </c>
      <c r="B8816" s="34">
        <f>base!V8816</f>
        <v>0</v>
      </c>
      <c r="C8816" s="40" t="s">
        <v>11</v>
      </c>
      <c r="D8816" s="36">
        <f>base!H8816</f>
        <v>0</v>
      </c>
      <c r="E8816" s="44"/>
      <c r="F8816" s="16">
        <f>base!W8816</f>
        <v>0</v>
      </c>
      <c r="G8816" s="11" t="e">
        <f t="shared" si="1361"/>
        <v>#DIV/0!</v>
      </c>
      <c r="H8816" s="11" t="e">
        <f t="shared" si="1362"/>
        <v>#N/A</v>
      </c>
      <c r="I8816" s="11" t="e">
        <f t="shared" si="1363"/>
        <v>#N/A</v>
      </c>
      <c r="J8816" s="12" t="e">
        <f t="shared" si="1364"/>
        <v>#N/A</v>
      </c>
      <c r="K8816" s="17" t="e">
        <f t="shared" si="1368"/>
        <v>#N/A</v>
      </c>
      <c r="L8816" s="16">
        <f>base!X8816</f>
        <v>0</v>
      </c>
      <c r="M8816" s="11" t="e">
        <f t="shared" si="1365"/>
        <v>#DIV/0!</v>
      </c>
      <c r="N8816" s="11"/>
      <c r="O8816" s="11" t="e">
        <f t="shared" si="1366"/>
        <v>#DIV/0!</v>
      </c>
      <c r="P8816" s="12">
        <f t="shared" si="1367"/>
        <v>0</v>
      </c>
      <c r="Q8816" s="17" t="str">
        <f t="shared" si="1369"/>
        <v>Pas d'écart</v>
      </c>
    </row>
    <row r="8817" spans="1:17" x14ac:dyDescent="0.3">
      <c r="A8817" s="34">
        <f>base!J8817</f>
        <v>0</v>
      </c>
      <c r="B8817" s="34">
        <f>base!V8817</f>
        <v>0</v>
      </c>
      <c r="C8817" s="40" t="s">
        <v>11</v>
      </c>
      <c r="D8817" s="36">
        <f>base!H8817</f>
        <v>0</v>
      </c>
      <c r="E8817" s="44"/>
      <c r="F8817" s="16">
        <f>base!W8817</f>
        <v>0</v>
      </c>
      <c r="G8817" s="11" t="e">
        <f t="shared" si="1361"/>
        <v>#DIV/0!</v>
      </c>
      <c r="H8817" s="11" t="e">
        <f t="shared" si="1362"/>
        <v>#N/A</v>
      </c>
      <c r="I8817" s="11" t="e">
        <f t="shared" si="1363"/>
        <v>#N/A</v>
      </c>
      <c r="J8817" s="12" t="e">
        <f t="shared" si="1364"/>
        <v>#N/A</v>
      </c>
      <c r="K8817" s="17" t="e">
        <f t="shared" si="1368"/>
        <v>#N/A</v>
      </c>
      <c r="L8817" s="16">
        <f>base!X8817</f>
        <v>0</v>
      </c>
      <c r="M8817" s="11" t="e">
        <f t="shared" si="1365"/>
        <v>#DIV/0!</v>
      </c>
      <c r="N8817" s="11"/>
      <c r="O8817" s="11" t="e">
        <f t="shared" si="1366"/>
        <v>#DIV/0!</v>
      </c>
      <c r="P8817" s="12">
        <f t="shared" si="1367"/>
        <v>0</v>
      </c>
      <c r="Q8817" s="17" t="str">
        <f t="shared" si="1369"/>
        <v>Pas d'écart</v>
      </c>
    </row>
    <row r="8818" spans="1:17" x14ac:dyDescent="0.3">
      <c r="A8818" s="34">
        <f>base!J8818</f>
        <v>0</v>
      </c>
      <c r="B8818" s="34">
        <f>base!V8818</f>
        <v>0</v>
      </c>
      <c r="C8818" s="40" t="s">
        <v>11</v>
      </c>
      <c r="D8818" s="36">
        <f>base!H8818</f>
        <v>0</v>
      </c>
      <c r="E8818" s="44"/>
      <c r="F8818" s="16">
        <f>base!W8818</f>
        <v>0</v>
      </c>
      <c r="G8818" s="11" t="e">
        <f t="shared" si="1361"/>
        <v>#DIV/0!</v>
      </c>
      <c r="H8818" s="11" t="e">
        <f t="shared" si="1362"/>
        <v>#N/A</v>
      </c>
      <c r="I8818" s="11" t="e">
        <f t="shared" si="1363"/>
        <v>#N/A</v>
      </c>
      <c r="J8818" s="12" t="e">
        <f t="shared" si="1364"/>
        <v>#N/A</v>
      </c>
      <c r="K8818" s="17" t="e">
        <f t="shared" si="1368"/>
        <v>#N/A</v>
      </c>
      <c r="L8818" s="16">
        <f>base!X8818</f>
        <v>0</v>
      </c>
      <c r="M8818" s="11" t="e">
        <f t="shared" si="1365"/>
        <v>#DIV/0!</v>
      </c>
      <c r="N8818" s="11"/>
      <c r="O8818" s="11" t="e">
        <f t="shared" si="1366"/>
        <v>#DIV/0!</v>
      </c>
      <c r="P8818" s="12">
        <f t="shared" si="1367"/>
        <v>0</v>
      </c>
      <c r="Q8818" s="17" t="str">
        <f t="shared" si="1369"/>
        <v>Pas d'écart</v>
      </c>
    </row>
    <row r="8819" spans="1:17" x14ac:dyDescent="0.3">
      <c r="A8819" s="34">
        <f>base!J8819</f>
        <v>0</v>
      </c>
      <c r="B8819" s="34">
        <f>base!V8819</f>
        <v>0</v>
      </c>
      <c r="C8819" s="40" t="s">
        <v>11</v>
      </c>
      <c r="D8819" s="36">
        <f>base!H8819</f>
        <v>0</v>
      </c>
      <c r="E8819" s="44"/>
      <c r="F8819" s="16">
        <f>base!W8819</f>
        <v>0</v>
      </c>
      <c r="G8819" s="11" t="e">
        <f t="shared" si="1361"/>
        <v>#DIV/0!</v>
      </c>
      <c r="H8819" s="11" t="e">
        <f t="shared" si="1362"/>
        <v>#N/A</v>
      </c>
      <c r="I8819" s="11" t="e">
        <f t="shared" si="1363"/>
        <v>#N/A</v>
      </c>
      <c r="J8819" s="12" t="e">
        <f t="shared" si="1364"/>
        <v>#N/A</v>
      </c>
      <c r="K8819" s="17" t="e">
        <f t="shared" si="1368"/>
        <v>#N/A</v>
      </c>
      <c r="L8819" s="16">
        <f>base!X8819</f>
        <v>0</v>
      </c>
      <c r="M8819" s="11" t="e">
        <f t="shared" si="1365"/>
        <v>#DIV/0!</v>
      </c>
      <c r="N8819" s="11"/>
      <c r="O8819" s="11" t="e">
        <f t="shared" si="1366"/>
        <v>#DIV/0!</v>
      </c>
      <c r="P8819" s="12">
        <f t="shared" si="1367"/>
        <v>0</v>
      </c>
      <c r="Q8819" s="17" t="str">
        <f t="shared" si="1369"/>
        <v>Pas d'écart</v>
      </c>
    </row>
    <row r="8820" spans="1:17" x14ac:dyDescent="0.3">
      <c r="A8820" s="34">
        <f>base!J8820</f>
        <v>0</v>
      </c>
      <c r="B8820" s="34">
        <f>base!V8820</f>
        <v>0</v>
      </c>
      <c r="C8820" s="40" t="s">
        <v>11</v>
      </c>
      <c r="D8820" s="36">
        <f>base!H8820</f>
        <v>0</v>
      </c>
      <c r="E8820" s="44"/>
      <c r="F8820" s="16">
        <f>base!W8820</f>
        <v>0</v>
      </c>
      <c r="G8820" s="11" t="e">
        <f t="shared" si="1361"/>
        <v>#DIV/0!</v>
      </c>
      <c r="H8820" s="11" t="e">
        <f t="shared" si="1362"/>
        <v>#N/A</v>
      </c>
      <c r="I8820" s="11" t="e">
        <f t="shared" si="1363"/>
        <v>#N/A</v>
      </c>
      <c r="J8820" s="12" t="e">
        <f t="shared" si="1364"/>
        <v>#N/A</v>
      </c>
      <c r="K8820" s="17" t="e">
        <f t="shared" si="1368"/>
        <v>#N/A</v>
      </c>
      <c r="L8820" s="16">
        <f>base!X8820</f>
        <v>0</v>
      </c>
      <c r="M8820" s="11" t="e">
        <f t="shared" si="1365"/>
        <v>#DIV/0!</v>
      </c>
      <c r="N8820" s="11"/>
      <c r="O8820" s="11" t="e">
        <f t="shared" si="1366"/>
        <v>#DIV/0!</v>
      </c>
      <c r="P8820" s="12">
        <f t="shared" si="1367"/>
        <v>0</v>
      </c>
      <c r="Q8820" s="17" t="str">
        <f t="shared" si="1369"/>
        <v>Pas d'écart</v>
      </c>
    </row>
    <row r="8821" spans="1:17" x14ac:dyDescent="0.3">
      <c r="A8821" s="34">
        <f>base!J8821</f>
        <v>0</v>
      </c>
      <c r="B8821" s="34">
        <f>base!V8821</f>
        <v>0</v>
      </c>
      <c r="C8821" s="40" t="s">
        <v>11</v>
      </c>
      <c r="D8821" s="36">
        <f>base!H8821</f>
        <v>0</v>
      </c>
      <c r="E8821" s="44"/>
      <c r="F8821" s="16">
        <f>base!W8821</f>
        <v>0</v>
      </c>
      <c r="G8821" s="11" t="e">
        <f t="shared" si="1361"/>
        <v>#DIV/0!</v>
      </c>
      <c r="H8821" s="11" t="e">
        <f t="shared" si="1362"/>
        <v>#N/A</v>
      </c>
      <c r="I8821" s="11" t="e">
        <f t="shared" si="1363"/>
        <v>#N/A</v>
      </c>
      <c r="J8821" s="12" t="e">
        <f t="shared" si="1364"/>
        <v>#N/A</v>
      </c>
      <c r="K8821" s="17" t="e">
        <f t="shared" si="1368"/>
        <v>#N/A</v>
      </c>
      <c r="L8821" s="16">
        <f>base!X8821</f>
        <v>0</v>
      </c>
      <c r="M8821" s="11" t="e">
        <f t="shared" si="1365"/>
        <v>#DIV/0!</v>
      </c>
      <c r="N8821" s="11"/>
      <c r="O8821" s="11" t="e">
        <f t="shared" si="1366"/>
        <v>#DIV/0!</v>
      </c>
      <c r="P8821" s="12">
        <f t="shared" si="1367"/>
        <v>0</v>
      </c>
      <c r="Q8821" s="17" t="str">
        <f t="shared" si="1369"/>
        <v>Pas d'écart</v>
      </c>
    </row>
    <row r="8822" spans="1:17" x14ac:dyDescent="0.3">
      <c r="A8822" s="34">
        <f>base!J8822</f>
        <v>0</v>
      </c>
      <c r="B8822" s="34">
        <f>base!V8822</f>
        <v>0</v>
      </c>
      <c r="C8822" s="40" t="s">
        <v>11</v>
      </c>
      <c r="D8822" s="36">
        <f>base!H8822</f>
        <v>0</v>
      </c>
      <c r="E8822" s="44"/>
      <c r="F8822" s="16">
        <f>base!W8822</f>
        <v>0</v>
      </c>
      <c r="G8822" s="11" t="e">
        <f t="shared" si="1361"/>
        <v>#DIV/0!</v>
      </c>
      <c r="H8822" s="11" t="e">
        <f t="shared" si="1362"/>
        <v>#N/A</v>
      </c>
      <c r="I8822" s="11" t="e">
        <f t="shared" si="1363"/>
        <v>#N/A</v>
      </c>
      <c r="J8822" s="12" t="e">
        <f t="shared" si="1364"/>
        <v>#N/A</v>
      </c>
      <c r="K8822" s="17" t="e">
        <f t="shared" si="1368"/>
        <v>#N/A</v>
      </c>
      <c r="L8822" s="16">
        <f>base!X8822</f>
        <v>0</v>
      </c>
      <c r="M8822" s="11" t="e">
        <f t="shared" si="1365"/>
        <v>#DIV/0!</v>
      </c>
      <c r="N8822" s="11"/>
      <c r="O8822" s="11" t="e">
        <f t="shared" si="1366"/>
        <v>#DIV/0!</v>
      </c>
      <c r="P8822" s="12">
        <f t="shared" si="1367"/>
        <v>0</v>
      </c>
      <c r="Q8822" s="17" t="str">
        <f t="shared" si="1369"/>
        <v>Pas d'écart</v>
      </c>
    </row>
    <row r="8823" spans="1:17" x14ac:dyDescent="0.3">
      <c r="A8823" s="34">
        <f>base!J8823</f>
        <v>0</v>
      </c>
      <c r="B8823" s="34">
        <f>base!V8823</f>
        <v>0</v>
      </c>
      <c r="C8823" s="40" t="s">
        <v>11</v>
      </c>
      <c r="D8823" s="36">
        <f>base!H8823</f>
        <v>0</v>
      </c>
      <c r="E8823" s="44"/>
      <c r="F8823" s="16">
        <f>base!W8823</f>
        <v>0</v>
      </c>
      <c r="G8823" s="11" t="e">
        <f t="shared" si="1361"/>
        <v>#DIV/0!</v>
      </c>
      <c r="H8823" s="11" t="e">
        <f t="shared" si="1362"/>
        <v>#N/A</v>
      </c>
      <c r="I8823" s="11" t="e">
        <f t="shared" si="1363"/>
        <v>#N/A</v>
      </c>
      <c r="J8823" s="12" t="e">
        <f t="shared" si="1364"/>
        <v>#N/A</v>
      </c>
      <c r="K8823" s="17" t="e">
        <f t="shared" si="1368"/>
        <v>#N/A</v>
      </c>
      <c r="L8823" s="16">
        <f>base!X8823</f>
        <v>0</v>
      </c>
      <c r="M8823" s="11" t="e">
        <f t="shared" si="1365"/>
        <v>#DIV/0!</v>
      </c>
      <c r="N8823" s="11"/>
      <c r="O8823" s="11" t="e">
        <f t="shared" si="1366"/>
        <v>#DIV/0!</v>
      </c>
      <c r="P8823" s="12">
        <f t="shared" si="1367"/>
        <v>0</v>
      </c>
      <c r="Q8823" s="17" t="str">
        <f t="shared" si="1369"/>
        <v>Pas d'écart</v>
      </c>
    </row>
    <row r="8824" spans="1:17" x14ac:dyDescent="0.3">
      <c r="A8824" s="34">
        <f>base!J8824</f>
        <v>0</v>
      </c>
      <c r="B8824" s="34">
        <f>base!V8824</f>
        <v>0</v>
      </c>
      <c r="C8824" s="40" t="s">
        <v>11</v>
      </c>
      <c r="D8824" s="36">
        <f>base!H8824</f>
        <v>0</v>
      </c>
      <c r="E8824" s="44"/>
      <c r="F8824" s="16">
        <f>base!W8824</f>
        <v>0</v>
      </c>
      <c r="G8824" s="11" t="e">
        <f t="shared" si="1361"/>
        <v>#DIV/0!</v>
      </c>
      <c r="H8824" s="11" t="e">
        <f t="shared" si="1362"/>
        <v>#N/A</v>
      </c>
      <c r="I8824" s="11" t="e">
        <f t="shared" si="1363"/>
        <v>#N/A</v>
      </c>
      <c r="J8824" s="12" t="e">
        <f t="shared" si="1364"/>
        <v>#N/A</v>
      </c>
      <c r="K8824" s="17" t="e">
        <f t="shared" si="1368"/>
        <v>#N/A</v>
      </c>
      <c r="L8824" s="16">
        <f>base!X8824</f>
        <v>0</v>
      </c>
      <c r="M8824" s="11" t="e">
        <f t="shared" si="1365"/>
        <v>#DIV/0!</v>
      </c>
      <c r="N8824" s="11"/>
      <c r="O8824" s="11" t="e">
        <f t="shared" si="1366"/>
        <v>#DIV/0!</v>
      </c>
      <c r="P8824" s="12">
        <f t="shared" si="1367"/>
        <v>0</v>
      </c>
      <c r="Q8824" s="17" t="str">
        <f t="shared" si="1369"/>
        <v>Pas d'écart</v>
      </c>
    </row>
    <row r="8825" spans="1:17" x14ac:dyDescent="0.3">
      <c r="A8825" s="34">
        <f>base!J8825</f>
        <v>0</v>
      </c>
      <c r="B8825" s="34">
        <f>base!V8825</f>
        <v>0</v>
      </c>
      <c r="C8825" s="40" t="s">
        <v>11</v>
      </c>
      <c r="D8825" s="36">
        <f>base!H8825</f>
        <v>0</v>
      </c>
      <c r="E8825" s="44"/>
      <c r="F8825" s="16">
        <f>base!W8825</f>
        <v>0</v>
      </c>
      <c r="G8825" s="11" t="e">
        <f t="shared" si="1361"/>
        <v>#DIV/0!</v>
      </c>
      <c r="H8825" s="11" t="e">
        <f t="shared" si="1362"/>
        <v>#N/A</v>
      </c>
      <c r="I8825" s="11" t="e">
        <f t="shared" si="1363"/>
        <v>#N/A</v>
      </c>
      <c r="J8825" s="12" t="e">
        <f t="shared" si="1364"/>
        <v>#N/A</v>
      </c>
      <c r="K8825" s="17" t="e">
        <f t="shared" si="1368"/>
        <v>#N/A</v>
      </c>
      <c r="L8825" s="16">
        <f>base!X8825</f>
        <v>0</v>
      </c>
      <c r="M8825" s="11" t="e">
        <f t="shared" si="1365"/>
        <v>#DIV/0!</v>
      </c>
      <c r="N8825" s="11"/>
      <c r="O8825" s="11" t="e">
        <f t="shared" si="1366"/>
        <v>#DIV/0!</v>
      </c>
      <c r="P8825" s="12">
        <f t="shared" si="1367"/>
        <v>0</v>
      </c>
      <c r="Q8825" s="17" t="str">
        <f t="shared" si="1369"/>
        <v>Pas d'écart</v>
      </c>
    </row>
    <row r="8826" spans="1:17" x14ac:dyDescent="0.3">
      <c r="A8826" s="34">
        <f>base!J8826</f>
        <v>0</v>
      </c>
      <c r="B8826" s="34">
        <f>base!V8826</f>
        <v>0</v>
      </c>
      <c r="C8826" s="40" t="s">
        <v>11</v>
      </c>
      <c r="D8826" s="36">
        <f>base!H8826</f>
        <v>0</v>
      </c>
      <c r="E8826" s="44"/>
      <c r="F8826" s="16">
        <f>base!W8826</f>
        <v>0</v>
      </c>
      <c r="G8826" s="11" t="e">
        <f t="shared" si="1361"/>
        <v>#DIV/0!</v>
      </c>
      <c r="H8826" s="11" t="e">
        <f t="shared" si="1362"/>
        <v>#N/A</v>
      </c>
      <c r="I8826" s="11" t="e">
        <f t="shared" si="1363"/>
        <v>#N/A</v>
      </c>
      <c r="J8826" s="12" t="e">
        <f t="shared" si="1364"/>
        <v>#N/A</v>
      </c>
      <c r="K8826" s="17" t="e">
        <f t="shared" si="1368"/>
        <v>#N/A</v>
      </c>
      <c r="L8826" s="16">
        <f>base!X8826</f>
        <v>0</v>
      </c>
      <c r="M8826" s="11" t="e">
        <f t="shared" si="1365"/>
        <v>#DIV/0!</v>
      </c>
      <c r="N8826" s="11"/>
      <c r="O8826" s="11" t="e">
        <f t="shared" si="1366"/>
        <v>#DIV/0!</v>
      </c>
      <c r="P8826" s="12">
        <f t="shared" si="1367"/>
        <v>0</v>
      </c>
      <c r="Q8826" s="17" t="str">
        <f t="shared" si="1369"/>
        <v>Pas d'écart</v>
      </c>
    </row>
    <row r="8827" spans="1:17" x14ac:dyDescent="0.3">
      <c r="A8827" s="34">
        <f>base!J8827</f>
        <v>0</v>
      </c>
      <c r="B8827" s="34">
        <f>base!V8827</f>
        <v>0</v>
      </c>
      <c r="C8827" s="40" t="s">
        <v>11</v>
      </c>
      <c r="D8827" s="36">
        <f>base!H8827</f>
        <v>0</v>
      </c>
      <c r="E8827" s="44"/>
      <c r="F8827" s="16">
        <f>base!W8827</f>
        <v>0</v>
      </c>
      <c r="G8827" s="11" t="e">
        <f t="shared" si="1361"/>
        <v>#DIV/0!</v>
      </c>
      <c r="H8827" s="11" t="e">
        <f t="shared" si="1362"/>
        <v>#N/A</v>
      </c>
      <c r="I8827" s="11" t="e">
        <f t="shared" si="1363"/>
        <v>#N/A</v>
      </c>
      <c r="J8827" s="12" t="e">
        <f t="shared" si="1364"/>
        <v>#N/A</v>
      </c>
      <c r="K8827" s="17" t="e">
        <f t="shared" si="1368"/>
        <v>#N/A</v>
      </c>
      <c r="L8827" s="16">
        <f>base!X8827</f>
        <v>0</v>
      </c>
      <c r="M8827" s="11" t="e">
        <f t="shared" si="1365"/>
        <v>#DIV/0!</v>
      </c>
      <c r="N8827" s="11"/>
      <c r="O8827" s="11" t="e">
        <f t="shared" si="1366"/>
        <v>#DIV/0!</v>
      </c>
      <c r="P8827" s="12">
        <f t="shared" si="1367"/>
        <v>0</v>
      </c>
      <c r="Q8827" s="17" t="str">
        <f t="shared" si="1369"/>
        <v>Pas d'écart</v>
      </c>
    </row>
    <row r="8828" spans="1:17" x14ac:dyDescent="0.3">
      <c r="A8828" s="34">
        <f>base!J8828</f>
        <v>0</v>
      </c>
      <c r="B8828" s="34">
        <f>base!V8828</f>
        <v>0</v>
      </c>
      <c r="C8828" s="40" t="s">
        <v>11</v>
      </c>
      <c r="D8828" s="36">
        <f>base!H8828</f>
        <v>0</v>
      </c>
      <c r="E8828" s="44"/>
      <c r="F8828" s="16">
        <f>base!W8828</f>
        <v>0</v>
      </c>
      <c r="G8828" s="11" t="e">
        <f t="shared" si="1361"/>
        <v>#DIV/0!</v>
      </c>
      <c r="H8828" s="11" t="e">
        <f t="shared" si="1362"/>
        <v>#N/A</v>
      </c>
      <c r="I8828" s="11" t="e">
        <f t="shared" si="1363"/>
        <v>#N/A</v>
      </c>
      <c r="J8828" s="12" t="e">
        <f t="shared" si="1364"/>
        <v>#N/A</v>
      </c>
      <c r="K8828" s="17" t="e">
        <f t="shared" si="1368"/>
        <v>#N/A</v>
      </c>
      <c r="L8828" s="16">
        <f>base!X8828</f>
        <v>0</v>
      </c>
      <c r="M8828" s="11" t="e">
        <f t="shared" si="1365"/>
        <v>#DIV/0!</v>
      </c>
      <c r="N8828" s="11"/>
      <c r="O8828" s="11" t="e">
        <f t="shared" si="1366"/>
        <v>#DIV/0!</v>
      </c>
      <c r="P8828" s="12">
        <f t="shared" si="1367"/>
        <v>0</v>
      </c>
      <c r="Q8828" s="17" t="str">
        <f t="shared" si="1369"/>
        <v>Pas d'écart</v>
      </c>
    </row>
    <row r="8829" spans="1:17" x14ac:dyDescent="0.3">
      <c r="A8829" s="34">
        <f>base!J8829</f>
        <v>0</v>
      </c>
      <c r="B8829" s="34">
        <f>base!V8829</f>
        <v>0</v>
      </c>
      <c r="C8829" s="40" t="s">
        <v>11</v>
      </c>
      <c r="D8829" s="36">
        <f>base!H8829</f>
        <v>0</v>
      </c>
      <c r="E8829" s="44"/>
      <c r="F8829" s="16">
        <f>base!W8829</f>
        <v>0</v>
      </c>
      <c r="G8829" s="11" t="e">
        <f t="shared" si="1361"/>
        <v>#DIV/0!</v>
      </c>
      <c r="H8829" s="11" t="e">
        <f t="shared" si="1362"/>
        <v>#N/A</v>
      </c>
      <c r="I8829" s="11" t="e">
        <f t="shared" si="1363"/>
        <v>#N/A</v>
      </c>
      <c r="J8829" s="12" t="e">
        <f t="shared" si="1364"/>
        <v>#N/A</v>
      </c>
      <c r="K8829" s="17" t="e">
        <f t="shared" si="1368"/>
        <v>#N/A</v>
      </c>
      <c r="L8829" s="16">
        <f>base!X8829</f>
        <v>0</v>
      </c>
      <c r="M8829" s="11" t="e">
        <f t="shared" si="1365"/>
        <v>#DIV/0!</v>
      </c>
      <c r="N8829" s="11"/>
      <c r="O8829" s="11" t="e">
        <f t="shared" si="1366"/>
        <v>#DIV/0!</v>
      </c>
      <c r="P8829" s="12">
        <f t="shared" si="1367"/>
        <v>0</v>
      </c>
      <c r="Q8829" s="17" t="str">
        <f t="shared" si="1369"/>
        <v>Pas d'écart</v>
      </c>
    </row>
    <row r="8830" spans="1:17" x14ac:dyDescent="0.3">
      <c r="A8830" s="34">
        <f>base!J8830</f>
        <v>0</v>
      </c>
      <c r="B8830" s="34">
        <f>base!V8830</f>
        <v>0</v>
      </c>
      <c r="C8830" s="40" t="s">
        <v>11</v>
      </c>
      <c r="D8830" s="36">
        <f>base!H8830</f>
        <v>0</v>
      </c>
      <c r="E8830" s="44"/>
      <c r="F8830" s="16">
        <f>base!W8830</f>
        <v>0</v>
      </c>
      <c r="G8830" s="11" t="e">
        <f t="shared" si="1361"/>
        <v>#DIV/0!</v>
      </c>
      <c r="H8830" s="11" t="e">
        <f t="shared" si="1362"/>
        <v>#N/A</v>
      </c>
      <c r="I8830" s="11" t="e">
        <f t="shared" si="1363"/>
        <v>#N/A</v>
      </c>
      <c r="J8830" s="12" t="e">
        <f t="shared" si="1364"/>
        <v>#N/A</v>
      </c>
      <c r="K8830" s="17" t="e">
        <f t="shared" si="1368"/>
        <v>#N/A</v>
      </c>
      <c r="L8830" s="16">
        <f>base!X8830</f>
        <v>0</v>
      </c>
      <c r="M8830" s="11" t="e">
        <f t="shared" si="1365"/>
        <v>#DIV/0!</v>
      </c>
      <c r="N8830" s="11"/>
      <c r="O8830" s="11" t="e">
        <f t="shared" si="1366"/>
        <v>#DIV/0!</v>
      </c>
      <c r="P8830" s="12">
        <f t="shared" si="1367"/>
        <v>0</v>
      </c>
      <c r="Q8830" s="17" t="str">
        <f t="shared" si="1369"/>
        <v>Pas d'écart</v>
      </c>
    </row>
    <row r="8831" spans="1:17" x14ac:dyDescent="0.3">
      <c r="A8831" s="34">
        <f>base!J8831</f>
        <v>0</v>
      </c>
      <c r="B8831" s="34">
        <f>base!V8831</f>
        <v>0</v>
      </c>
      <c r="C8831" s="40" t="s">
        <v>11</v>
      </c>
      <c r="D8831" s="36">
        <f>base!H8831</f>
        <v>0</v>
      </c>
      <c r="E8831" s="44"/>
      <c r="F8831" s="16">
        <f>base!W8831</f>
        <v>0</v>
      </c>
      <c r="G8831" s="11" t="e">
        <f t="shared" si="1361"/>
        <v>#DIV/0!</v>
      </c>
      <c r="H8831" s="11" t="e">
        <f t="shared" si="1362"/>
        <v>#N/A</v>
      </c>
      <c r="I8831" s="11" t="e">
        <f t="shared" si="1363"/>
        <v>#N/A</v>
      </c>
      <c r="J8831" s="12" t="e">
        <f t="shared" si="1364"/>
        <v>#N/A</v>
      </c>
      <c r="K8831" s="17" t="e">
        <f t="shared" si="1368"/>
        <v>#N/A</v>
      </c>
      <c r="L8831" s="16">
        <f>base!X8831</f>
        <v>0</v>
      </c>
      <c r="M8831" s="11" t="e">
        <f t="shared" si="1365"/>
        <v>#DIV/0!</v>
      </c>
      <c r="N8831" s="11"/>
      <c r="O8831" s="11" t="e">
        <f t="shared" si="1366"/>
        <v>#DIV/0!</v>
      </c>
      <c r="P8831" s="12">
        <f t="shared" si="1367"/>
        <v>0</v>
      </c>
      <c r="Q8831" s="17" t="str">
        <f t="shared" si="1369"/>
        <v>Pas d'écart</v>
      </c>
    </row>
    <row r="8832" spans="1:17" x14ac:dyDescent="0.3">
      <c r="A8832" s="34">
        <f>base!J8832</f>
        <v>0</v>
      </c>
      <c r="B8832" s="34">
        <f>base!V8832</f>
        <v>0</v>
      </c>
      <c r="C8832" s="40" t="s">
        <v>11</v>
      </c>
      <c r="D8832" s="36">
        <f>base!H8832</f>
        <v>0</v>
      </c>
      <c r="E8832" s="44"/>
      <c r="F8832" s="16">
        <f>base!W8832</f>
        <v>0</v>
      </c>
      <c r="G8832" s="11" t="e">
        <f t="shared" si="1361"/>
        <v>#DIV/0!</v>
      </c>
      <c r="H8832" s="11" t="e">
        <f t="shared" si="1362"/>
        <v>#N/A</v>
      </c>
      <c r="I8832" s="11" t="e">
        <f t="shared" si="1363"/>
        <v>#N/A</v>
      </c>
      <c r="J8832" s="12" t="e">
        <f t="shared" si="1364"/>
        <v>#N/A</v>
      </c>
      <c r="K8832" s="17" t="e">
        <f t="shared" si="1368"/>
        <v>#N/A</v>
      </c>
      <c r="L8832" s="16">
        <f>base!X8832</f>
        <v>0</v>
      </c>
      <c r="M8832" s="11" t="e">
        <f t="shared" si="1365"/>
        <v>#DIV/0!</v>
      </c>
      <c r="N8832" s="11"/>
      <c r="O8832" s="11" t="e">
        <f t="shared" si="1366"/>
        <v>#DIV/0!</v>
      </c>
      <c r="P8832" s="12">
        <f t="shared" si="1367"/>
        <v>0</v>
      </c>
      <c r="Q8832" s="17" t="str">
        <f t="shared" si="1369"/>
        <v>Pas d'écart</v>
      </c>
    </row>
    <row r="8833" spans="1:17" x14ac:dyDescent="0.3">
      <c r="A8833" s="34">
        <f>base!J8833</f>
        <v>0</v>
      </c>
      <c r="B8833" s="34">
        <f>base!V8833</f>
        <v>0</v>
      </c>
      <c r="C8833" s="40" t="s">
        <v>11</v>
      </c>
      <c r="D8833" s="36">
        <f>base!H8833</f>
        <v>0</v>
      </c>
      <c r="E8833" s="44"/>
      <c r="F8833" s="16">
        <f>base!W8833</f>
        <v>0</v>
      </c>
      <c r="G8833" s="11" t="e">
        <f t="shared" si="1361"/>
        <v>#DIV/0!</v>
      </c>
      <c r="H8833" s="11" t="e">
        <f t="shared" si="1362"/>
        <v>#N/A</v>
      </c>
      <c r="I8833" s="11" t="e">
        <f t="shared" si="1363"/>
        <v>#N/A</v>
      </c>
      <c r="J8833" s="12" t="e">
        <f t="shared" si="1364"/>
        <v>#N/A</v>
      </c>
      <c r="K8833" s="17" t="e">
        <f t="shared" si="1368"/>
        <v>#N/A</v>
      </c>
      <c r="L8833" s="16">
        <f>base!X8833</f>
        <v>0</v>
      </c>
      <c r="M8833" s="11" t="e">
        <f t="shared" si="1365"/>
        <v>#DIV/0!</v>
      </c>
      <c r="N8833" s="11"/>
      <c r="O8833" s="11" t="e">
        <f t="shared" si="1366"/>
        <v>#DIV/0!</v>
      </c>
      <c r="P8833" s="12">
        <f t="shared" si="1367"/>
        <v>0</v>
      </c>
      <c r="Q8833" s="17" t="str">
        <f t="shared" si="1369"/>
        <v>Pas d'écart</v>
      </c>
    </row>
    <row r="8834" spans="1:17" x14ac:dyDescent="0.3">
      <c r="A8834" s="34">
        <f>base!J8834</f>
        <v>0</v>
      </c>
      <c r="B8834" s="34">
        <f>base!V8834</f>
        <v>0</v>
      </c>
      <c r="C8834" s="40" t="s">
        <v>11</v>
      </c>
      <c r="D8834" s="36">
        <f>base!H8834</f>
        <v>0</v>
      </c>
      <c r="E8834" s="44"/>
      <c r="F8834" s="16">
        <f>base!W8834</f>
        <v>0</v>
      </c>
      <c r="G8834" s="11" t="e">
        <f t="shared" ref="G8834:G8897" si="1370">F8834/D8834</f>
        <v>#DIV/0!</v>
      </c>
      <c r="H8834" s="11" t="e">
        <f t="shared" ref="H8834:H8897" si="1371">VLOOKUP(C8834,tout_cout_traction,2,FALSE)*D8834</f>
        <v>#N/A</v>
      </c>
      <c r="I8834" s="11" t="e">
        <f t="shared" ref="I8834:I8897" si="1372">H8834/D8834</f>
        <v>#N/A</v>
      </c>
      <c r="J8834" s="12" t="e">
        <f t="shared" ref="J8834:J8897" si="1373">F8834-H8834</f>
        <v>#N/A</v>
      </c>
      <c r="K8834" s="17" t="e">
        <f t="shared" si="1368"/>
        <v>#N/A</v>
      </c>
      <c r="L8834" s="16">
        <f>base!X8834</f>
        <v>0</v>
      </c>
      <c r="M8834" s="11" t="e">
        <f t="shared" ref="M8834:M8897" si="1374">L8834/D8834</f>
        <v>#DIV/0!</v>
      </c>
      <c r="N8834" s="11"/>
      <c r="O8834" s="11" t="e">
        <f t="shared" ref="O8834:O8897" si="1375">N8834/D8834</f>
        <v>#DIV/0!</v>
      </c>
      <c r="P8834" s="12">
        <f t="shared" ref="P8834:P8897" si="1376">L8834-N8834</f>
        <v>0</v>
      </c>
      <c r="Q8834" s="17" t="str">
        <f t="shared" si="1369"/>
        <v>Pas d'écart</v>
      </c>
    </row>
    <row r="8835" spans="1:17" x14ac:dyDescent="0.3">
      <c r="A8835" s="34">
        <f>base!J8835</f>
        <v>0</v>
      </c>
      <c r="B8835" s="34">
        <f>base!V8835</f>
        <v>0</v>
      </c>
      <c r="C8835" s="40" t="s">
        <v>11</v>
      </c>
      <c r="D8835" s="36">
        <f>base!H8835</f>
        <v>0</v>
      </c>
      <c r="E8835" s="44"/>
      <c r="F8835" s="16">
        <f>base!W8835</f>
        <v>0</v>
      </c>
      <c r="G8835" s="11" t="e">
        <f t="shared" si="1370"/>
        <v>#DIV/0!</v>
      </c>
      <c r="H8835" s="11" t="e">
        <f t="shared" si="1371"/>
        <v>#N/A</v>
      </c>
      <c r="I8835" s="11" t="e">
        <f t="shared" si="1372"/>
        <v>#N/A</v>
      </c>
      <c r="J8835" s="12" t="e">
        <f t="shared" si="1373"/>
        <v>#N/A</v>
      </c>
      <c r="K8835" s="17" t="e">
        <f t="shared" ref="K8835:K8898" si="1377">IF(H8835=F8835,"Pas d'écart",IF(H8835&lt;F8835,"Ecart positif",IF(H8835&gt;F8835,"Ecart négatif")))</f>
        <v>#N/A</v>
      </c>
      <c r="L8835" s="16">
        <f>base!X8835</f>
        <v>0</v>
      </c>
      <c r="M8835" s="11" t="e">
        <f t="shared" si="1374"/>
        <v>#DIV/0!</v>
      </c>
      <c r="N8835" s="11"/>
      <c r="O8835" s="11" t="e">
        <f t="shared" si="1375"/>
        <v>#DIV/0!</v>
      </c>
      <c r="P8835" s="12">
        <f t="shared" si="1376"/>
        <v>0</v>
      </c>
      <c r="Q8835" s="17" t="str">
        <f t="shared" ref="Q8835:Q8898" si="1378">IF(N8835=L8835,"Pas d'écart",IF(N8835&lt;L8835,"Ecart positif",IF(N8835&gt;L8835,"Ecart négatif")))</f>
        <v>Pas d'écart</v>
      </c>
    </row>
    <row r="8836" spans="1:17" x14ac:dyDescent="0.3">
      <c r="A8836" s="34">
        <f>base!J8836</f>
        <v>0</v>
      </c>
      <c r="B8836" s="34">
        <f>base!V8836</f>
        <v>0</v>
      </c>
      <c r="C8836" s="40" t="s">
        <v>11</v>
      </c>
      <c r="D8836" s="36">
        <f>base!H8836</f>
        <v>0</v>
      </c>
      <c r="E8836" s="44"/>
      <c r="F8836" s="16">
        <f>base!W8836</f>
        <v>0</v>
      </c>
      <c r="G8836" s="11" t="e">
        <f t="shared" si="1370"/>
        <v>#DIV/0!</v>
      </c>
      <c r="H8836" s="11" t="e">
        <f t="shared" si="1371"/>
        <v>#N/A</v>
      </c>
      <c r="I8836" s="11" t="e">
        <f t="shared" si="1372"/>
        <v>#N/A</v>
      </c>
      <c r="J8836" s="12" t="e">
        <f t="shared" si="1373"/>
        <v>#N/A</v>
      </c>
      <c r="K8836" s="17" t="e">
        <f t="shared" si="1377"/>
        <v>#N/A</v>
      </c>
      <c r="L8836" s="16">
        <f>base!X8836</f>
        <v>0</v>
      </c>
      <c r="M8836" s="11" t="e">
        <f t="shared" si="1374"/>
        <v>#DIV/0!</v>
      </c>
      <c r="N8836" s="11"/>
      <c r="O8836" s="11" t="e">
        <f t="shared" si="1375"/>
        <v>#DIV/0!</v>
      </c>
      <c r="P8836" s="12">
        <f t="shared" si="1376"/>
        <v>0</v>
      </c>
      <c r="Q8836" s="17" t="str">
        <f t="shared" si="1378"/>
        <v>Pas d'écart</v>
      </c>
    </row>
    <row r="8837" spans="1:17" x14ac:dyDescent="0.3">
      <c r="A8837" s="34">
        <f>base!J8837</f>
        <v>0</v>
      </c>
      <c r="B8837" s="34">
        <f>base!V8837</f>
        <v>0</v>
      </c>
      <c r="C8837" s="40" t="s">
        <v>11</v>
      </c>
      <c r="D8837" s="36">
        <f>base!H8837</f>
        <v>0</v>
      </c>
      <c r="E8837" s="44"/>
      <c r="F8837" s="16">
        <f>base!W8837</f>
        <v>0</v>
      </c>
      <c r="G8837" s="11" t="e">
        <f t="shared" si="1370"/>
        <v>#DIV/0!</v>
      </c>
      <c r="H8837" s="11" t="e">
        <f t="shared" si="1371"/>
        <v>#N/A</v>
      </c>
      <c r="I8837" s="11" t="e">
        <f t="shared" si="1372"/>
        <v>#N/A</v>
      </c>
      <c r="J8837" s="12" t="e">
        <f t="shared" si="1373"/>
        <v>#N/A</v>
      </c>
      <c r="K8837" s="17" t="e">
        <f t="shared" si="1377"/>
        <v>#N/A</v>
      </c>
      <c r="L8837" s="16">
        <f>base!X8837</f>
        <v>0</v>
      </c>
      <c r="M8837" s="11" t="e">
        <f t="shared" si="1374"/>
        <v>#DIV/0!</v>
      </c>
      <c r="N8837" s="11"/>
      <c r="O8837" s="11" t="e">
        <f t="shared" si="1375"/>
        <v>#DIV/0!</v>
      </c>
      <c r="P8837" s="12">
        <f t="shared" si="1376"/>
        <v>0</v>
      </c>
      <c r="Q8837" s="17" t="str">
        <f t="shared" si="1378"/>
        <v>Pas d'écart</v>
      </c>
    </row>
    <row r="8838" spans="1:17" x14ac:dyDescent="0.3">
      <c r="A8838" s="34">
        <f>base!J8838</f>
        <v>0</v>
      </c>
      <c r="B8838" s="34">
        <f>base!V8838</f>
        <v>0</v>
      </c>
      <c r="C8838" s="40" t="s">
        <v>11</v>
      </c>
      <c r="D8838" s="36">
        <f>base!H8838</f>
        <v>0</v>
      </c>
      <c r="E8838" s="44"/>
      <c r="F8838" s="16">
        <f>base!W8838</f>
        <v>0</v>
      </c>
      <c r="G8838" s="11" t="e">
        <f t="shared" si="1370"/>
        <v>#DIV/0!</v>
      </c>
      <c r="H8838" s="11" t="e">
        <f t="shared" si="1371"/>
        <v>#N/A</v>
      </c>
      <c r="I8838" s="11" t="e">
        <f t="shared" si="1372"/>
        <v>#N/A</v>
      </c>
      <c r="J8838" s="12" t="e">
        <f t="shared" si="1373"/>
        <v>#N/A</v>
      </c>
      <c r="K8838" s="17" t="e">
        <f t="shared" si="1377"/>
        <v>#N/A</v>
      </c>
      <c r="L8838" s="16">
        <f>base!X8838</f>
        <v>0</v>
      </c>
      <c r="M8838" s="11" t="e">
        <f t="shared" si="1374"/>
        <v>#DIV/0!</v>
      </c>
      <c r="N8838" s="11"/>
      <c r="O8838" s="11" t="e">
        <f t="shared" si="1375"/>
        <v>#DIV/0!</v>
      </c>
      <c r="P8838" s="12">
        <f t="shared" si="1376"/>
        <v>0</v>
      </c>
      <c r="Q8838" s="17" t="str">
        <f t="shared" si="1378"/>
        <v>Pas d'écart</v>
      </c>
    </row>
    <row r="8839" spans="1:17" x14ac:dyDescent="0.3">
      <c r="A8839" s="34">
        <f>base!J8839</f>
        <v>0</v>
      </c>
      <c r="B8839" s="34">
        <f>base!V8839</f>
        <v>0</v>
      </c>
      <c r="C8839" s="40" t="s">
        <v>11</v>
      </c>
      <c r="D8839" s="36">
        <f>base!H8839</f>
        <v>0</v>
      </c>
      <c r="E8839" s="44"/>
      <c r="F8839" s="16">
        <f>base!W8839</f>
        <v>0</v>
      </c>
      <c r="G8839" s="11" t="e">
        <f t="shared" si="1370"/>
        <v>#DIV/0!</v>
      </c>
      <c r="H8839" s="11" t="e">
        <f t="shared" si="1371"/>
        <v>#N/A</v>
      </c>
      <c r="I8839" s="11" t="e">
        <f t="shared" si="1372"/>
        <v>#N/A</v>
      </c>
      <c r="J8839" s="12" t="e">
        <f t="shared" si="1373"/>
        <v>#N/A</v>
      </c>
      <c r="K8839" s="17" t="e">
        <f t="shared" si="1377"/>
        <v>#N/A</v>
      </c>
      <c r="L8839" s="16">
        <f>base!X8839</f>
        <v>0</v>
      </c>
      <c r="M8839" s="11" t="e">
        <f t="shared" si="1374"/>
        <v>#DIV/0!</v>
      </c>
      <c r="N8839" s="11"/>
      <c r="O8839" s="11" t="e">
        <f t="shared" si="1375"/>
        <v>#DIV/0!</v>
      </c>
      <c r="P8839" s="12">
        <f t="shared" si="1376"/>
        <v>0</v>
      </c>
      <c r="Q8839" s="17" t="str">
        <f t="shared" si="1378"/>
        <v>Pas d'écart</v>
      </c>
    </row>
    <row r="8840" spans="1:17" x14ac:dyDescent="0.3">
      <c r="A8840" s="34">
        <f>base!J8840</f>
        <v>0</v>
      </c>
      <c r="B8840" s="34">
        <f>base!V8840</f>
        <v>0</v>
      </c>
      <c r="C8840" s="40" t="s">
        <v>11</v>
      </c>
      <c r="D8840" s="36">
        <f>base!H8840</f>
        <v>0</v>
      </c>
      <c r="E8840" s="44"/>
      <c r="F8840" s="16">
        <f>base!W8840</f>
        <v>0</v>
      </c>
      <c r="G8840" s="11" t="e">
        <f t="shared" si="1370"/>
        <v>#DIV/0!</v>
      </c>
      <c r="H8840" s="11" t="e">
        <f t="shared" si="1371"/>
        <v>#N/A</v>
      </c>
      <c r="I8840" s="11" t="e">
        <f t="shared" si="1372"/>
        <v>#N/A</v>
      </c>
      <c r="J8840" s="12" t="e">
        <f t="shared" si="1373"/>
        <v>#N/A</v>
      </c>
      <c r="K8840" s="17" t="e">
        <f t="shared" si="1377"/>
        <v>#N/A</v>
      </c>
      <c r="L8840" s="16">
        <f>base!X8840</f>
        <v>0</v>
      </c>
      <c r="M8840" s="11" t="e">
        <f t="shared" si="1374"/>
        <v>#DIV/0!</v>
      </c>
      <c r="N8840" s="11"/>
      <c r="O8840" s="11" t="e">
        <f t="shared" si="1375"/>
        <v>#DIV/0!</v>
      </c>
      <c r="P8840" s="12">
        <f t="shared" si="1376"/>
        <v>0</v>
      </c>
      <c r="Q8840" s="17" t="str">
        <f t="shared" si="1378"/>
        <v>Pas d'écart</v>
      </c>
    </row>
    <row r="8841" spans="1:17" x14ac:dyDescent="0.3">
      <c r="A8841" s="34">
        <f>base!J8841</f>
        <v>0</v>
      </c>
      <c r="B8841" s="34">
        <f>base!V8841</f>
        <v>0</v>
      </c>
      <c r="C8841" s="40" t="s">
        <v>11</v>
      </c>
      <c r="D8841" s="36">
        <f>base!H8841</f>
        <v>0</v>
      </c>
      <c r="E8841" s="44"/>
      <c r="F8841" s="16">
        <f>base!W8841</f>
        <v>0</v>
      </c>
      <c r="G8841" s="11" t="e">
        <f t="shared" si="1370"/>
        <v>#DIV/0!</v>
      </c>
      <c r="H8841" s="11" t="e">
        <f t="shared" si="1371"/>
        <v>#N/A</v>
      </c>
      <c r="I8841" s="11" t="e">
        <f t="shared" si="1372"/>
        <v>#N/A</v>
      </c>
      <c r="J8841" s="12" t="e">
        <f t="shared" si="1373"/>
        <v>#N/A</v>
      </c>
      <c r="K8841" s="17" t="e">
        <f t="shared" si="1377"/>
        <v>#N/A</v>
      </c>
      <c r="L8841" s="16">
        <f>base!X8841</f>
        <v>0</v>
      </c>
      <c r="M8841" s="11" t="e">
        <f t="shared" si="1374"/>
        <v>#DIV/0!</v>
      </c>
      <c r="N8841" s="11"/>
      <c r="O8841" s="11" t="e">
        <f t="shared" si="1375"/>
        <v>#DIV/0!</v>
      </c>
      <c r="P8841" s="12">
        <f t="shared" si="1376"/>
        <v>0</v>
      </c>
      <c r="Q8841" s="17" t="str">
        <f t="shared" si="1378"/>
        <v>Pas d'écart</v>
      </c>
    </row>
    <row r="8842" spans="1:17" x14ac:dyDescent="0.3">
      <c r="A8842" s="34">
        <f>base!J8842</f>
        <v>0</v>
      </c>
      <c r="B8842" s="34">
        <f>base!V8842</f>
        <v>0</v>
      </c>
      <c r="C8842" s="40" t="s">
        <v>11</v>
      </c>
      <c r="D8842" s="36">
        <f>base!H8842</f>
        <v>0</v>
      </c>
      <c r="E8842" s="44"/>
      <c r="F8842" s="16">
        <f>base!W8842</f>
        <v>0</v>
      </c>
      <c r="G8842" s="11" t="e">
        <f t="shared" si="1370"/>
        <v>#DIV/0!</v>
      </c>
      <c r="H8842" s="11" t="e">
        <f t="shared" si="1371"/>
        <v>#N/A</v>
      </c>
      <c r="I8842" s="11" t="e">
        <f t="shared" si="1372"/>
        <v>#N/A</v>
      </c>
      <c r="J8842" s="12" t="e">
        <f t="shared" si="1373"/>
        <v>#N/A</v>
      </c>
      <c r="K8842" s="17" t="e">
        <f t="shared" si="1377"/>
        <v>#N/A</v>
      </c>
      <c r="L8842" s="16">
        <f>base!X8842</f>
        <v>0</v>
      </c>
      <c r="M8842" s="11" t="e">
        <f t="shared" si="1374"/>
        <v>#DIV/0!</v>
      </c>
      <c r="N8842" s="11"/>
      <c r="O8842" s="11" t="e">
        <f t="shared" si="1375"/>
        <v>#DIV/0!</v>
      </c>
      <c r="P8842" s="12">
        <f t="shared" si="1376"/>
        <v>0</v>
      </c>
      <c r="Q8842" s="17" t="str">
        <f t="shared" si="1378"/>
        <v>Pas d'écart</v>
      </c>
    </row>
    <row r="8843" spans="1:17" x14ac:dyDescent="0.3">
      <c r="A8843" s="34">
        <f>base!J8843</f>
        <v>0</v>
      </c>
      <c r="B8843" s="34">
        <f>base!V8843</f>
        <v>0</v>
      </c>
      <c r="C8843" s="40" t="s">
        <v>11</v>
      </c>
      <c r="D8843" s="36">
        <f>base!H8843</f>
        <v>0</v>
      </c>
      <c r="E8843" s="44"/>
      <c r="F8843" s="16">
        <f>base!W8843</f>
        <v>0</v>
      </c>
      <c r="G8843" s="11" t="e">
        <f t="shared" si="1370"/>
        <v>#DIV/0!</v>
      </c>
      <c r="H8843" s="11" t="e">
        <f t="shared" si="1371"/>
        <v>#N/A</v>
      </c>
      <c r="I8843" s="11" t="e">
        <f t="shared" si="1372"/>
        <v>#N/A</v>
      </c>
      <c r="J8843" s="12" t="e">
        <f t="shared" si="1373"/>
        <v>#N/A</v>
      </c>
      <c r="K8843" s="17" t="e">
        <f t="shared" si="1377"/>
        <v>#N/A</v>
      </c>
      <c r="L8843" s="16">
        <f>base!X8843</f>
        <v>0</v>
      </c>
      <c r="M8843" s="11" t="e">
        <f t="shared" si="1374"/>
        <v>#DIV/0!</v>
      </c>
      <c r="N8843" s="11"/>
      <c r="O8843" s="11" t="e">
        <f t="shared" si="1375"/>
        <v>#DIV/0!</v>
      </c>
      <c r="P8843" s="12">
        <f t="shared" si="1376"/>
        <v>0</v>
      </c>
      <c r="Q8843" s="17" t="str">
        <f t="shared" si="1378"/>
        <v>Pas d'écart</v>
      </c>
    </row>
    <row r="8844" spans="1:17" x14ac:dyDescent="0.3">
      <c r="A8844" s="34">
        <f>base!J8844</f>
        <v>0</v>
      </c>
      <c r="B8844" s="34">
        <f>base!V8844</f>
        <v>0</v>
      </c>
      <c r="C8844" s="40" t="s">
        <v>11</v>
      </c>
      <c r="D8844" s="36">
        <f>base!H8844</f>
        <v>0</v>
      </c>
      <c r="E8844" s="44"/>
      <c r="F8844" s="16">
        <f>base!W8844</f>
        <v>0</v>
      </c>
      <c r="G8844" s="11" t="e">
        <f t="shared" si="1370"/>
        <v>#DIV/0!</v>
      </c>
      <c r="H8844" s="11" t="e">
        <f t="shared" si="1371"/>
        <v>#N/A</v>
      </c>
      <c r="I8844" s="11" t="e">
        <f t="shared" si="1372"/>
        <v>#N/A</v>
      </c>
      <c r="J8844" s="12" t="e">
        <f t="shared" si="1373"/>
        <v>#N/A</v>
      </c>
      <c r="K8844" s="17" t="e">
        <f t="shared" si="1377"/>
        <v>#N/A</v>
      </c>
      <c r="L8844" s="16">
        <f>base!X8844</f>
        <v>0</v>
      </c>
      <c r="M8844" s="11" t="e">
        <f t="shared" si="1374"/>
        <v>#DIV/0!</v>
      </c>
      <c r="N8844" s="11"/>
      <c r="O8844" s="11" t="e">
        <f t="shared" si="1375"/>
        <v>#DIV/0!</v>
      </c>
      <c r="P8844" s="12">
        <f t="shared" si="1376"/>
        <v>0</v>
      </c>
      <c r="Q8844" s="17" t="str">
        <f t="shared" si="1378"/>
        <v>Pas d'écart</v>
      </c>
    </row>
    <row r="8845" spans="1:17" x14ac:dyDescent="0.3">
      <c r="A8845" s="34">
        <f>base!J8845</f>
        <v>0</v>
      </c>
      <c r="B8845" s="34">
        <f>base!V8845</f>
        <v>0</v>
      </c>
      <c r="C8845" s="40" t="s">
        <v>11</v>
      </c>
      <c r="D8845" s="36">
        <f>base!H8845</f>
        <v>0</v>
      </c>
      <c r="E8845" s="44"/>
      <c r="F8845" s="16">
        <f>base!W8845</f>
        <v>0</v>
      </c>
      <c r="G8845" s="11" t="e">
        <f t="shared" si="1370"/>
        <v>#DIV/0!</v>
      </c>
      <c r="H8845" s="11" t="e">
        <f t="shared" si="1371"/>
        <v>#N/A</v>
      </c>
      <c r="I8845" s="11" t="e">
        <f t="shared" si="1372"/>
        <v>#N/A</v>
      </c>
      <c r="J8845" s="12" t="e">
        <f t="shared" si="1373"/>
        <v>#N/A</v>
      </c>
      <c r="K8845" s="17" t="e">
        <f t="shared" si="1377"/>
        <v>#N/A</v>
      </c>
      <c r="L8845" s="16">
        <f>base!X8845</f>
        <v>0</v>
      </c>
      <c r="M8845" s="11" t="e">
        <f t="shared" si="1374"/>
        <v>#DIV/0!</v>
      </c>
      <c r="N8845" s="11"/>
      <c r="O8845" s="11" t="e">
        <f t="shared" si="1375"/>
        <v>#DIV/0!</v>
      </c>
      <c r="P8845" s="12">
        <f t="shared" si="1376"/>
        <v>0</v>
      </c>
      <c r="Q8845" s="17" t="str">
        <f t="shared" si="1378"/>
        <v>Pas d'écart</v>
      </c>
    </row>
    <row r="8846" spans="1:17" x14ac:dyDescent="0.3">
      <c r="A8846" s="34">
        <f>base!J8846</f>
        <v>0</v>
      </c>
      <c r="B8846" s="34">
        <f>base!V8846</f>
        <v>0</v>
      </c>
      <c r="C8846" s="40" t="s">
        <v>11</v>
      </c>
      <c r="D8846" s="36">
        <f>base!H8846</f>
        <v>0</v>
      </c>
      <c r="E8846" s="44"/>
      <c r="F8846" s="16">
        <f>base!W8846</f>
        <v>0</v>
      </c>
      <c r="G8846" s="11" t="e">
        <f t="shared" si="1370"/>
        <v>#DIV/0!</v>
      </c>
      <c r="H8846" s="11" t="e">
        <f t="shared" si="1371"/>
        <v>#N/A</v>
      </c>
      <c r="I8846" s="11" t="e">
        <f t="shared" si="1372"/>
        <v>#N/A</v>
      </c>
      <c r="J8846" s="12" t="e">
        <f t="shared" si="1373"/>
        <v>#N/A</v>
      </c>
      <c r="K8846" s="17" t="e">
        <f t="shared" si="1377"/>
        <v>#N/A</v>
      </c>
      <c r="L8846" s="16">
        <f>base!X8846</f>
        <v>0</v>
      </c>
      <c r="M8846" s="11" t="e">
        <f t="shared" si="1374"/>
        <v>#DIV/0!</v>
      </c>
      <c r="N8846" s="11"/>
      <c r="O8846" s="11" t="e">
        <f t="shared" si="1375"/>
        <v>#DIV/0!</v>
      </c>
      <c r="P8846" s="12">
        <f t="shared" si="1376"/>
        <v>0</v>
      </c>
      <c r="Q8846" s="17" t="str">
        <f t="shared" si="1378"/>
        <v>Pas d'écart</v>
      </c>
    </row>
    <row r="8847" spans="1:17" x14ac:dyDescent="0.3">
      <c r="A8847" s="34">
        <f>base!J8847</f>
        <v>0</v>
      </c>
      <c r="B8847" s="34">
        <f>base!V8847</f>
        <v>0</v>
      </c>
      <c r="C8847" s="40" t="s">
        <v>11</v>
      </c>
      <c r="D8847" s="36">
        <f>base!H8847</f>
        <v>0</v>
      </c>
      <c r="E8847" s="44"/>
      <c r="F8847" s="16">
        <f>base!W8847</f>
        <v>0</v>
      </c>
      <c r="G8847" s="11" t="e">
        <f t="shared" si="1370"/>
        <v>#DIV/0!</v>
      </c>
      <c r="H8847" s="11" t="e">
        <f t="shared" si="1371"/>
        <v>#N/A</v>
      </c>
      <c r="I8847" s="11" t="e">
        <f t="shared" si="1372"/>
        <v>#N/A</v>
      </c>
      <c r="J8847" s="12" t="e">
        <f t="shared" si="1373"/>
        <v>#N/A</v>
      </c>
      <c r="K8847" s="17" t="e">
        <f t="shared" si="1377"/>
        <v>#N/A</v>
      </c>
      <c r="L8847" s="16">
        <f>base!X8847</f>
        <v>0</v>
      </c>
      <c r="M8847" s="11" t="e">
        <f t="shared" si="1374"/>
        <v>#DIV/0!</v>
      </c>
      <c r="N8847" s="11"/>
      <c r="O8847" s="11" t="e">
        <f t="shared" si="1375"/>
        <v>#DIV/0!</v>
      </c>
      <c r="P8847" s="12">
        <f t="shared" si="1376"/>
        <v>0</v>
      </c>
      <c r="Q8847" s="17" t="str">
        <f t="shared" si="1378"/>
        <v>Pas d'écart</v>
      </c>
    </row>
    <row r="8848" spans="1:17" x14ac:dyDescent="0.3">
      <c r="A8848" s="34">
        <f>base!J8848</f>
        <v>0</v>
      </c>
      <c r="B8848" s="34">
        <f>base!V8848</f>
        <v>0</v>
      </c>
      <c r="C8848" s="40" t="s">
        <v>11</v>
      </c>
      <c r="D8848" s="36">
        <f>base!H8848</f>
        <v>0</v>
      </c>
      <c r="E8848" s="44"/>
      <c r="F8848" s="16">
        <f>base!W8848</f>
        <v>0</v>
      </c>
      <c r="G8848" s="11" t="e">
        <f t="shared" si="1370"/>
        <v>#DIV/0!</v>
      </c>
      <c r="H8848" s="11" t="e">
        <f t="shared" si="1371"/>
        <v>#N/A</v>
      </c>
      <c r="I8848" s="11" t="e">
        <f t="shared" si="1372"/>
        <v>#N/A</v>
      </c>
      <c r="J8848" s="12" t="e">
        <f t="shared" si="1373"/>
        <v>#N/A</v>
      </c>
      <c r="K8848" s="17" t="e">
        <f t="shared" si="1377"/>
        <v>#N/A</v>
      </c>
      <c r="L8848" s="16">
        <f>base!X8848</f>
        <v>0</v>
      </c>
      <c r="M8848" s="11" t="e">
        <f t="shared" si="1374"/>
        <v>#DIV/0!</v>
      </c>
      <c r="N8848" s="11"/>
      <c r="O8848" s="11" t="e">
        <f t="shared" si="1375"/>
        <v>#DIV/0!</v>
      </c>
      <c r="P8848" s="12">
        <f t="shared" si="1376"/>
        <v>0</v>
      </c>
      <c r="Q8848" s="17" t="str">
        <f t="shared" si="1378"/>
        <v>Pas d'écart</v>
      </c>
    </row>
    <row r="8849" spans="1:17" x14ac:dyDescent="0.3">
      <c r="A8849" s="34">
        <f>base!J8849</f>
        <v>0</v>
      </c>
      <c r="B8849" s="34">
        <f>base!V8849</f>
        <v>0</v>
      </c>
      <c r="C8849" s="40" t="s">
        <v>11</v>
      </c>
      <c r="D8849" s="36">
        <f>base!H8849</f>
        <v>0</v>
      </c>
      <c r="E8849" s="44"/>
      <c r="F8849" s="16">
        <f>base!W8849</f>
        <v>0</v>
      </c>
      <c r="G8849" s="11" t="e">
        <f t="shared" si="1370"/>
        <v>#DIV/0!</v>
      </c>
      <c r="H8849" s="11" t="e">
        <f t="shared" si="1371"/>
        <v>#N/A</v>
      </c>
      <c r="I8849" s="11" t="e">
        <f t="shared" si="1372"/>
        <v>#N/A</v>
      </c>
      <c r="J8849" s="12" t="e">
        <f t="shared" si="1373"/>
        <v>#N/A</v>
      </c>
      <c r="K8849" s="17" t="e">
        <f t="shared" si="1377"/>
        <v>#N/A</v>
      </c>
      <c r="L8849" s="16">
        <f>base!X8849</f>
        <v>0</v>
      </c>
      <c r="M8849" s="11" t="e">
        <f t="shared" si="1374"/>
        <v>#DIV/0!</v>
      </c>
      <c r="N8849" s="11"/>
      <c r="O8849" s="11" t="e">
        <f t="shared" si="1375"/>
        <v>#DIV/0!</v>
      </c>
      <c r="P8849" s="12">
        <f t="shared" si="1376"/>
        <v>0</v>
      </c>
      <c r="Q8849" s="17" t="str">
        <f t="shared" si="1378"/>
        <v>Pas d'écart</v>
      </c>
    </row>
    <row r="8850" spans="1:17" x14ac:dyDescent="0.3">
      <c r="A8850" s="34">
        <f>base!J8850</f>
        <v>0</v>
      </c>
      <c r="B8850" s="34">
        <f>base!V8850</f>
        <v>0</v>
      </c>
      <c r="C8850" s="40" t="s">
        <v>11</v>
      </c>
      <c r="D8850" s="36">
        <f>base!H8850</f>
        <v>0</v>
      </c>
      <c r="E8850" s="44"/>
      <c r="F8850" s="16">
        <f>base!W8850</f>
        <v>0</v>
      </c>
      <c r="G8850" s="11" t="e">
        <f t="shared" si="1370"/>
        <v>#DIV/0!</v>
      </c>
      <c r="H8850" s="11" t="e">
        <f t="shared" si="1371"/>
        <v>#N/A</v>
      </c>
      <c r="I8850" s="11" t="e">
        <f t="shared" si="1372"/>
        <v>#N/A</v>
      </c>
      <c r="J8850" s="12" t="e">
        <f t="shared" si="1373"/>
        <v>#N/A</v>
      </c>
      <c r="K8850" s="17" t="e">
        <f t="shared" si="1377"/>
        <v>#N/A</v>
      </c>
      <c r="L8850" s="16">
        <f>base!X8850</f>
        <v>0</v>
      </c>
      <c r="M8850" s="11" t="e">
        <f t="shared" si="1374"/>
        <v>#DIV/0!</v>
      </c>
      <c r="N8850" s="11"/>
      <c r="O8850" s="11" t="e">
        <f t="shared" si="1375"/>
        <v>#DIV/0!</v>
      </c>
      <c r="P8850" s="12">
        <f t="shared" si="1376"/>
        <v>0</v>
      </c>
      <c r="Q8850" s="17" t="str">
        <f t="shared" si="1378"/>
        <v>Pas d'écart</v>
      </c>
    </row>
    <row r="8851" spans="1:17" x14ac:dyDescent="0.3">
      <c r="A8851" s="34">
        <f>base!J8851</f>
        <v>0</v>
      </c>
      <c r="B8851" s="34">
        <f>base!V8851</f>
        <v>0</v>
      </c>
      <c r="C8851" s="40" t="s">
        <v>11</v>
      </c>
      <c r="D8851" s="36">
        <f>base!H8851</f>
        <v>0</v>
      </c>
      <c r="E8851" s="44"/>
      <c r="F8851" s="16">
        <f>base!W8851</f>
        <v>0</v>
      </c>
      <c r="G8851" s="11" t="e">
        <f t="shared" si="1370"/>
        <v>#DIV/0!</v>
      </c>
      <c r="H8851" s="11" t="e">
        <f t="shared" si="1371"/>
        <v>#N/A</v>
      </c>
      <c r="I8851" s="11" t="e">
        <f t="shared" si="1372"/>
        <v>#N/A</v>
      </c>
      <c r="J8851" s="12" t="e">
        <f t="shared" si="1373"/>
        <v>#N/A</v>
      </c>
      <c r="K8851" s="17" t="e">
        <f t="shared" si="1377"/>
        <v>#N/A</v>
      </c>
      <c r="L8851" s="16">
        <f>base!X8851</f>
        <v>0</v>
      </c>
      <c r="M8851" s="11" t="e">
        <f t="shared" si="1374"/>
        <v>#DIV/0!</v>
      </c>
      <c r="N8851" s="11"/>
      <c r="O8851" s="11" t="e">
        <f t="shared" si="1375"/>
        <v>#DIV/0!</v>
      </c>
      <c r="P8851" s="12">
        <f t="shared" si="1376"/>
        <v>0</v>
      </c>
      <c r="Q8851" s="17" t="str">
        <f t="shared" si="1378"/>
        <v>Pas d'écart</v>
      </c>
    </row>
    <row r="8852" spans="1:17" x14ac:dyDescent="0.3">
      <c r="A8852" s="34">
        <f>base!J8852</f>
        <v>0</v>
      </c>
      <c r="B8852" s="34">
        <f>base!V8852</f>
        <v>0</v>
      </c>
      <c r="C8852" s="40" t="s">
        <v>11</v>
      </c>
      <c r="D8852" s="36">
        <f>base!H8852</f>
        <v>0</v>
      </c>
      <c r="E8852" s="44"/>
      <c r="F8852" s="16">
        <f>base!W8852</f>
        <v>0</v>
      </c>
      <c r="G8852" s="11" t="e">
        <f t="shared" si="1370"/>
        <v>#DIV/0!</v>
      </c>
      <c r="H8852" s="11" t="e">
        <f t="shared" si="1371"/>
        <v>#N/A</v>
      </c>
      <c r="I8852" s="11" t="e">
        <f t="shared" si="1372"/>
        <v>#N/A</v>
      </c>
      <c r="J8852" s="12" t="e">
        <f t="shared" si="1373"/>
        <v>#N/A</v>
      </c>
      <c r="K8852" s="17" t="e">
        <f t="shared" si="1377"/>
        <v>#N/A</v>
      </c>
      <c r="L8852" s="16">
        <f>base!X8852</f>
        <v>0</v>
      </c>
      <c r="M8852" s="11" t="e">
        <f t="shared" si="1374"/>
        <v>#DIV/0!</v>
      </c>
      <c r="N8852" s="11"/>
      <c r="O8852" s="11" t="e">
        <f t="shared" si="1375"/>
        <v>#DIV/0!</v>
      </c>
      <c r="P8852" s="12">
        <f t="shared" si="1376"/>
        <v>0</v>
      </c>
      <c r="Q8852" s="17" t="str">
        <f t="shared" si="1378"/>
        <v>Pas d'écart</v>
      </c>
    </row>
    <row r="8853" spans="1:17" x14ac:dyDescent="0.3">
      <c r="A8853" s="34">
        <f>base!J8853</f>
        <v>0</v>
      </c>
      <c r="B8853" s="34">
        <f>base!V8853</f>
        <v>0</v>
      </c>
      <c r="C8853" s="40" t="s">
        <v>11</v>
      </c>
      <c r="D8853" s="36">
        <f>base!H8853</f>
        <v>0</v>
      </c>
      <c r="E8853" s="44"/>
      <c r="F8853" s="16">
        <f>base!W8853</f>
        <v>0</v>
      </c>
      <c r="G8853" s="11" t="e">
        <f t="shared" si="1370"/>
        <v>#DIV/0!</v>
      </c>
      <c r="H8853" s="11" t="e">
        <f t="shared" si="1371"/>
        <v>#N/A</v>
      </c>
      <c r="I8853" s="11" t="e">
        <f t="shared" si="1372"/>
        <v>#N/A</v>
      </c>
      <c r="J8853" s="12" t="e">
        <f t="shared" si="1373"/>
        <v>#N/A</v>
      </c>
      <c r="K8853" s="17" t="e">
        <f t="shared" si="1377"/>
        <v>#N/A</v>
      </c>
      <c r="L8853" s="16">
        <f>base!X8853</f>
        <v>0</v>
      </c>
      <c r="M8853" s="11" t="e">
        <f t="shared" si="1374"/>
        <v>#DIV/0!</v>
      </c>
      <c r="N8853" s="11"/>
      <c r="O8853" s="11" t="e">
        <f t="shared" si="1375"/>
        <v>#DIV/0!</v>
      </c>
      <c r="P8853" s="12">
        <f t="shared" si="1376"/>
        <v>0</v>
      </c>
      <c r="Q8853" s="17" t="str">
        <f t="shared" si="1378"/>
        <v>Pas d'écart</v>
      </c>
    </row>
    <row r="8854" spans="1:17" x14ac:dyDescent="0.3">
      <c r="A8854" s="34">
        <f>base!J8854</f>
        <v>0</v>
      </c>
      <c r="B8854" s="34">
        <f>base!V8854</f>
        <v>0</v>
      </c>
      <c r="C8854" s="40" t="s">
        <v>11</v>
      </c>
      <c r="D8854" s="36">
        <f>base!H8854</f>
        <v>0</v>
      </c>
      <c r="E8854" s="44"/>
      <c r="F8854" s="16">
        <f>base!W8854</f>
        <v>0</v>
      </c>
      <c r="G8854" s="11" t="e">
        <f t="shared" si="1370"/>
        <v>#DIV/0!</v>
      </c>
      <c r="H8854" s="11" t="e">
        <f t="shared" si="1371"/>
        <v>#N/A</v>
      </c>
      <c r="I8854" s="11" t="e">
        <f t="shared" si="1372"/>
        <v>#N/A</v>
      </c>
      <c r="J8854" s="12" t="e">
        <f t="shared" si="1373"/>
        <v>#N/A</v>
      </c>
      <c r="K8854" s="17" t="e">
        <f t="shared" si="1377"/>
        <v>#N/A</v>
      </c>
      <c r="L8854" s="16">
        <f>base!X8854</f>
        <v>0</v>
      </c>
      <c r="M8854" s="11" t="e">
        <f t="shared" si="1374"/>
        <v>#DIV/0!</v>
      </c>
      <c r="N8854" s="11"/>
      <c r="O8854" s="11" t="e">
        <f t="shared" si="1375"/>
        <v>#DIV/0!</v>
      </c>
      <c r="P8854" s="12">
        <f t="shared" si="1376"/>
        <v>0</v>
      </c>
      <c r="Q8854" s="17" t="str">
        <f t="shared" si="1378"/>
        <v>Pas d'écart</v>
      </c>
    </row>
    <row r="8855" spans="1:17" x14ac:dyDescent="0.3">
      <c r="A8855" s="34">
        <f>base!J8855</f>
        <v>0</v>
      </c>
      <c r="B8855" s="34">
        <f>base!V8855</f>
        <v>0</v>
      </c>
      <c r="C8855" s="40" t="s">
        <v>11</v>
      </c>
      <c r="D8855" s="36">
        <f>base!H8855</f>
        <v>0</v>
      </c>
      <c r="E8855" s="44"/>
      <c r="F8855" s="16">
        <f>base!W8855</f>
        <v>0</v>
      </c>
      <c r="G8855" s="11" t="e">
        <f t="shared" si="1370"/>
        <v>#DIV/0!</v>
      </c>
      <c r="H8855" s="11" t="e">
        <f t="shared" si="1371"/>
        <v>#N/A</v>
      </c>
      <c r="I8855" s="11" t="e">
        <f t="shared" si="1372"/>
        <v>#N/A</v>
      </c>
      <c r="J8855" s="12" t="e">
        <f t="shared" si="1373"/>
        <v>#N/A</v>
      </c>
      <c r="K8855" s="17" t="e">
        <f t="shared" si="1377"/>
        <v>#N/A</v>
      </c>
      <c r="L8855" s="16">
        <f>base!X8855</f>
        <v>0</v>
      </c>
      <c r="M8855" s="11" t="e">
        <f t="shared" si="1374"/>
        <v>#DIV/0!</v>
      </c>
      <c r="N8855" s="11"/>
      <c r="O8855" s="11" t="e">
        <f t="shared" si="1375"/>
        <v>#DIV/0!</v>
      </c>
      <c r="P8855" s="12">
        <f t="shared" si="1376"/>
        <v>0</v>
      </c>
      <c r="Q8855" s="17" t="str">
        <f t="shared" si="1378"/>
        <v>Pas d'écart</v>
      </c>
    </row>
    <row r="8856" spans="1:17" x14ac:dyDescent="0.3">
      <c r="A8856" s="34">
        <f>base!J8856</f>
        <v>0</v>
      </c>
      <c r="B8856" s="34">
        <f>base!V8856</f>
        <v>0</v>
      </c>
      <c r="C8856" s="40" t="s">
        <v>11</v>
      </c>
      <c r="D8856" s="36">
        <f>base!H8856</f>
        <v>0</v>
      </c>
      <c r="E8856" s="44"/>
      <c r="F8856" s="16">
        <f>base!W8856</f>
        <v>0</v>
      </c>
      <c r="G8856" s="11" t="e">
        <f t="shared" si="1370"/>
        <v>#DIV/0!</v>
      </c>
      <c r="H8856" s="11" t="e">
        <f t="shared" si="1371"/>
        <v>#N/A</v>
      </c>
      <c r="I8856" s="11" t="e">
        <f t="shared" si="1372"/>
        <v>#N/A</v>
      </c>
      <c r="J8856" s="12" t="e">
        <f t="shared" si="1373"/>
        <v>#N/A</v>
      </c>
      <c r="K8856" s="17" t="e">
        <f t="shared" si="1377"/>
        <v>#N/A</v>
      </c>
      <c r="L8856" s="16">
        <f>base!X8856</f>
        <v>0</v>
      </c>
      <c r="M8856" s="11" t="e">
        <f t="shared" si="1374"/>
        <v>#DIV/0!</v>
      </c>
      <c r="N8856" s="11"/>
      <c r="O8856" s="11" t="e">
        <f t="shared" si="1375"/>
        <v>#DIV/0!</v>
      </c>
      <c r="P8856" s="12">
        <f t="shared" si="1376"/>
        <v>0</v>
      </c>
      <c r="Q8856" s="17" t="str">
        <f t="shared" si="1378"/>
        <v>Pas d'écart</v>
      </c>
    </row>
    <row r="8857" spans="1:17" x14ac:dyDescent="0.3">
      <c r="A8857" s="34">
        <f>base!J8857</f>
        <v>0</v>
      </c>
      <c r="B8857" s="34">
        <f>base!V8857</f>
        <v>0</v>
      </c>
      <c r="C8857" s="40" t="s">
        <v>11</v>
      </c>
      <c r="D8857" s="36">
        <f>base!H8857</f>
        <v>0</v>
      </c>
      <c r="E8857" s="44"/>
      <c r="F8857" s="16">
        <f>base!W8857</f>
        <v>0</v>
      </c>
      <c r="G8857" s="11" t="e">
        <f t="shared" si="1370"/>
        <v>#DIV/0!</v>
      </c>
      <c r="H8857" s="11" t="e">
        <f t="shared" si="1371"/>
        <v>#N/A</v>
      </c>
      <c r="I8857" s="11" t="e">
        <f t="shared" si="1372"/>
        <v>#N/A</v>
      </c>
      <c r="J8857" s="12" t="e">
        <f t="shared" si="1373"/>
        <v>#N/A</v>
      </c>
      <c r="K8857" s="17" t="e">
        <f t="shared" si="1377"/>
        <v>#N/A</v>
      </c>
      <c r="L8857" s="16">
        <f>base!X8857</f>
        <v>0</v>
      </c>
      <c r="M8857" s="11" t="e">
        <f t="shared" si="1374"/>
        <v>#DIV/0!</v>
      </c>
      <c r="N8857" s="11"/>
      <c r="O8857" s="11" t="e">
        <f t="shared" si="1375"/>
        <v>#DIV/0!</v>
      </c>
      <c r="P8857" s="12">
        <f t="shared" si="1376"/>
        <v>0</v>
      </c>
      <c r="Q8857" s="17" t="str">
        <f t="shared" si="1378"/>
        <v>Pas d'écart</v>
      </c>
    </row>
    <row r="8858" spans="1:17" x14ac:dyDescent="0.3">
      <c r="A8858" s="34">
        <f>base!J8858</f>
        <v>0</v>
      </c>
      <c r="B8858" s="34">
        <f>base!V8858</f>
        <v>0</v>
      </c>
      <c r="C8858" s="40" t="s">
        <v>11</v>
      </c>
      <c r="D8858" s="36">
        <f>base!H8858</f>
        <v>0</v>
      </c>
      <c r="E8858" s="44"/>
      <c r="F8858" s="16">
        <f>base!W8858</f>
        <v>0</v>
      </c>
      <c r="G8858" s="11" t="e">
        <f t="shared" si="1370"/>
        <v>#DIV/0!</v>
      </c>
      <c r="H8858" s="11" t="e">
        <f t="shared" si="1371"/>
        <v>#N/A</v>
      </c>
      <c r="I8858" s="11" t="e">
        <f t="shared" si="1372"/>
        <v>#N/A</v>
      </c>
      <c r="J8858" s="12" t="e">
        <f t="shared" si="1373"/>
        <v>#N/A</v>
      </c>
      <c r="K8858" s="17" t="e">
        <f t="shared" si="1377"/>
        <v>#N/A</v>
      </c>
      <c r="L8858" s="16">
        <f>base!X8858</f>
        <v>0</v>
      </c>
      <c r="M8858" s="11" t="e">
        <f t="shared" si="1374"/>
        <v>#DIV/0!</v>
      </c>
      <c r="N8858" s="11"/>
      <c r="O8858" s="11" t="e">
        <f t="shared" si="1375"/>
        <v>#DIV/0!</v>
      </c>
      <c r="P8858" s="12">
        <f t="shared" si="1376"/>
        <v>0</v>
      </c>
      <c r="Q8858" s="17" t="str">
        <f t="shared" si="1378"/>
        <v>Pas d'écart</v>
      </c>
    </row>
    <row r="8859" spans="1:17" x14ac:dyDescent="0.3">
      <c r="A8859" s="34">
        <f>base!J8859</f>
        <v>0</v>
      </c>
      <c r="B8859" s="34">
        <f>base!V8859</f>
        <v>0</v>
      </c>
      <c r="C8859" s="40" t="s">
        <v>11</v>
      </c>
      <c r="D8859" s="36">
        <f>base!H8859</f>
        <v>0</v>
      </c>
      <c r="E8859" s="44"/>
      <c r="F8859" s="16">
        <f>base!W8859</f>
        <v>0</v>
      </c>
      <c r="G8859" s="11" t="e">
        <f t="shared" si="1370"/>
        <v>#DIV/0!</v>
      </c>
      <c r="H8859" s="11" t="e">
        <f t="shared" si="1371"/>
        <v>#N/A</v>
      </c>
      <c r="I8859" s="11" t="e">
        <f t="shared" si="1372"/>
        <v>#N/A</v>
      </c>
      <c r="J8859" s="12" t="e">
        <f t="shared" si="1373"/>
        <v>#N/A</v>
      </c>
      <c r="K8859" s="17" t="e">
        <f t="shared" si="1377"/>
        <v>#N/A</v>
      </c>
      <c r="L8859" s="16">
        <f>base!X8859</f>
        <v>0</v>
      </c>
      <c r="M8859" s="11" t="e">
        <f t="shared" si="1374"/>
        <v>#DIV/0!</v>
      </c>
      <c r="N8859" s="11"/>
      <c r="O8859" s="11" t="e">
        <f t="shared" si="1375"/>
        <v>#DIV/0!</v>
      </c>
      <c r="P8859" s="12">
        <f t="shared" si="1376"/>
        <v>0</v>
      </c>
      <c r="Q8859" s="17" t="str">
        <f t="shared" si="1378"/>
        <v>Pas d'écart</v>
      </c>
    </row>
    <row r="8860" spans="1:17" x14ac:dyDescent="0.3">
      <c r="A8860" s="34">
        <f>base!J8860</f>
        <v>0</v>
      </c>
      <c r="B8860" s="34">
        <f>base!V8860</f>
        <v>0</v>
      </c>
      <c r="C8860" s="40" t="s">
        <v>11</v>
      </c>
      <c r="D8860" s="36">
        <f>base!H8860</f>
        <v>0</v>
      </c>
      <c r="E8860" s="44"/>
      <c r="F8860" s="16">
        <f>base!W8860</f>
        <v>0</v>
      </c>
      <c r="G8860" s="11" t="e">
        <f t="shared" si="1370"/>
        <v>#DIV/0!</v>
      </c>
      <c r="H8860" s="11" t="e">
        <f t="shared" si="1371"/>
        <v>#N/A</v>
      </c>
      <c r="I8860" s="11" t="e">
        <f t="shared" si="1372"/>
        <v>#N/A</v>
      </c>
      <c r="J8860" s="12" t="e">
        <f t="shared" si="1373"/>
        <v>#N/A</v>
      </c>
      <c r="K8860" s="17" t="e">
        <f t="shared" si="1377"/>
        <v>#N/A</v>
      </c>
      <c r="L8860" s="16">
        <f>base!X8860</f>
        <v>0</v>
      </c>
      <c r="M8860" s="11" t="e">
        <f t="shared" si="1374"/>
        <v>#DIV/0!</v>
      </c>
      <c r="N8860" s="11"/>
      <c r="O8860" s="11" t="e">
        <f t="shared" si="1375"/>
        <v>#DIV/0!</v>
      </c>
      <c r="P8860" s="12">
        <f t="shared" si="1376"/>
        <v>0</v>
      </c>
      <c r="Q8860" s="17" t="str">
        <f t="shared" si="1378"/>
        <v>Pas d'écart</v>
      </c>
    </row>
    <row r="8861" spans="1:17" x14ac:dyDescent="0.3">
      <c r="A8861" s="34">
        <f>base!J8861</f>
        <v>0</v>
      </c>
      <c r="B8861" s="34">
        <f>base!V8861</f>
        <v>0</v>
      </c>
      <c r="C8861" s="40" t="s">
        <v>11</v>
      </c>
      <c r="D8861" s="36">
        <f>base!H8861</f>
        <v>0</v>
      </c>
      <c r="E8861" s="44"/>
      <c r="F8861" s="16">
        <f>base!W8861</f>
        <v>0</v>
      </c>
      <c r="G8861" s="11" t="e">
        <f t="shared" si="1370"/>
        <v>#DIV/0!</v>
      </c>
      <c r="H8861" s="11" t="e">
        <f t="shared" si="1371"/>
        <v>#N/A</v>
      </c>
      <c r="I8861" s="11" t="e">
        <f t="shared" si="1372"/>
        <v>#N/A</v>
      </c>
      <c r="J8861" s="12" t="e">
        <f t="shared" si="1373"/>
        <v>#N/A</v>
      </c>
      <c r="K8861" s="17" t="e">
        <f t="shared" si="1377"/>
        <v>#N/A</v>
      </c>
      <c r="L8861" s="16">
        <f>base!X8861</f>
        <v>0</v>
      </c>
      <c r="M8861" s="11" t="e">
        <f t="shared" si="1374"/>
        <v>#DIV/0!</v>
      </c>
      <c r="N8861" s="11"/>
      <c r="O8861" s="11" t="e">
        <f t="shared" si="1375"/>
        <v>#DIV/0!</v>
      </c>
      <c r="P8861" s="12">
        <f t="shared" si="1376"/>
        <v>0</v>
      </c>
      <c r="Q8861" s="17" t="str">
        <f t="shared" si="1378"/>
        <v>Pas d'écart</v>
      </c>
    </row>
    <row r="8862" spans="1:17" x14ac:dyDescent="0.3">
      <c r="A8862" s="34">
        <f>base!J8862</f>
        <v>0</v>
      </c>
      <c r="B8862" s="34">
        <f>base!V8862</f>
        <v>0</v>
      </c>
      <c r="C8862" s="40" t="s">
        <v>11</v>
      </c>
      <c r="D8862" s="36">
        <f>base!H8862</f>
        <v>0</v>
      </c>
      <c r="E8862" s="44"/>
      <c r="F8862" s="16">
        <f>base!W8862</f>
        <v>0</v>
      </c>
      <c r="G8862" s="11" t="e">
        <f t="shared" si="1370"/>
        <v>#DIV/0!</v>
      </c>
      <c r="H8862" s="11" t="e">
        <f t="shared" si="1371"/>
        <v>#N/A</v>
      </c>
      <c r="I8862" s="11" t="e">
        <f t="shared" si="1372"/>
        <v>#N/A</v>
      </c>
      <c r="J8862" s="12" t="e">
        <f t="shared" si="1373"/>
        <v>#N/A</v>
      </c>
      <c r="K8862" s="17" t="e">
        <f t="shared" si="1377"/>
        <v>#N/A</v>
      </c>
      <c r="L8862" s="16">
        <f>base!X8862</f>
        <v>0</v>
      </c>
      <c r="M8862" s="11" t="e">
        <f t="shared" si="1374"/>
        <v>#DIV/0!</v>
      </c>
      <c r="N8862" s="11"/>
      <c r="O8862" s="11" t="e">
        <f t="shared" si="1375"/>
        <v>#DIV/0!</v>
      </c>
      <c r="P8862" s="12">
        <f t="shared" si="1376"/>
        <v>0</v>
      </c>
      <c r="Q8862" s="17" t="str">
        <f t="shared" si="1378"/>
        <v>Pas d'écart</v>
      </c>
    </row>
    <row r="8863" spans="1:17" x14ac:dyDescent="0.3">
      <c r="A8863" s="34">
        <f>base!J8863</f>
        <v>0</v>
      </c>
      <c r="B8863" s="34">
        <f>base!V8863</f>
        <v>0</v>
      </c>
      <c r="C8863" s="40" t="s">
        <v>11</v>
      </c>
      <c r="D8863" s="36">
        <f>base!H8863</f>
        <v>0</v>
      </c>
      <c r="E8863" s="44"/>
      <c r="F8863" s="16">
        <f>base!W8863</f>
        <v>0</v>
      </c>
      <c r="G8863" s="11" t="e">
        <f t="shared" si="1370"/>
        <v>#DIV/0!</v>
      </c>
      <c r="H8863" s="11" t="e">
        <f t="shared" si="1371"/>
        <v>#N/A</v>
      </c>
      <c r="I8863" s="11" t="e">
        <f t="shared" si="1372"/>
        <v>#N/A</v>
      </c>
      <c r="J8863" s="12" t="e">
        <f t="shared" si="1373"/>
        <v>#N/A</v>
      </c>
      <c r="K8863" s="17" t="e">
        <f t="shared" si="1377"/>
        <v>#N/A</v>
      </c>
      <c r="L8863" s="16">
        <f>base!X8863</f>
        <v>0</v>
      </c>
      <c r="M8863" s="11" t="e">
        <f t="shared" si="1374"/>
        <v>#DIV/0!</v>
      </c>
      <c r="N8863" s="11"/>
      <c r="O8863" s="11" t="e">
        <f t="shared" si="1375"/>
        <v>#DIV/0!</v>
      </c>
      <c r="P8863" s="12">
        <f t="shared" si="1376"/>
        <v>0</v>
      </c>
      <c r="Q8863" s="17" t="str">
        <f t="shared" si="1378"/>
        <v>Pas d'écart</v>
      </c>
    </row>
    <row r="8864" spans="1:17" x14ac:dyDescent="0.3">
      <c r="A8864" s="34">
        <f>base!J8864</f>
        <v>0</v>
      </c>
      <c r="B8864" s="34">
        <f>base!V8864</f>
        <v>0</v>
      </c>
      <c r="C8864" s="40" t="s">
        <v>11</v>
      </c>
      <c r="D8864" s="36">
        <f>base!H8864</f>
        <v>0</v>
      </c>
      <c r="E8864" s="44"/>
      <c r="F8864" s="16">
        <f>base!W8864</f>
        <v>0</v>
      </c>
      <c r="G8864" s="11" t="e">
        <f t="shared" si="1370"/>
        <v>#DIV/0!</v>
      </c>
      <c r="H8864" s="11" t="e">
        <f t="shared" si="1371"/>
        <v>#N/A</v>
      </c>
      <c r="I8864" s="11" t="e">
        <f t="shared" si="1372"/>
        <v>#N/A</v>
      </c>
      <c r="J8864" s="12" t="e">
        <f t="shared" si="1373"/>
        <v>#N/A</v>
      </c>
      <c r="K8864" s="17" t="e">
        <f t="shared" si="1377"/>
        <v>#N/A</v>
      </c>
      <c r="L8864" s="16">
        <f>base!X8864</f>
        <v>0</v>
      </c>
      <c r="M8864" s="11" t="e">
        <f t="shared" si="1374"/>
        <v>#DIV/0!</v>
      </c>
      <c r="N8864" s="11"/>
      <c r="O8864" s="11" t="e">
        <f t="shared" si="1375"/>
        <v>#DIV/0!</v>
      </c>
      <c r="P8864" s="12">
        <f t="shared" si="1376"/>
        <v>0</v>
      </c>
      <c r="Q8864" s="17" t="str">
        <f t="shared" si="1378"/>
        <v>Pas d'écart</v>
      </c>
    </row>
    <row r="8865" spans="1:17" x14ac:dyDescent="0.3">
      <c r="A8865" s="34">
        <f>base!J8865</f>
        <v>0</v>
      </c>
      <c r="B8865" s="34">
        <f>base!V8865</f>
        <v>0</v>
      </c>
      <c r="C8865" s="40" t="s">
        <v>11</v>
      </c>
      <c r="D8865" s="36">
        <f>base!H8865</f>
        <v>0</v>
      </c>
      <c r="E8865" s="44"/>
      <c r="F8865" s="16">
        <f>base!W8865</f>
        <v>0</v>
      </c>
      <c r="G8865" s="11" t="e">
        <f t="shared" si="1370"/>
        <v>#DIV/0!</v>
      </c>
      <c r="H8865" s="11" t="e">
        <f t="shared" si="1371"/>
        <v>#N/A</v>
      </c>
      <c r="I8865" s="11" t="e">
        <f t="shared" si="1372"/>
        <v>#N/A</v>
      </c>
      <c r="J8865" s="12" t="e">
        <f t="shared" si="1373"/>
        <v>#N/A</v>
      </c>
      <c r="K8865" s="17" t="e">
        <f t="shared" si="1377"/>
        <v>#N/A</v>
      </c>
      <c r="L8865" s="16">
        <f>base!X8865</f>
        <v>0</v>
      </c>
      <c r="M8865" s="11" t="e">
        <f t="shared" si="1374"/>
        <v>#DIV/0!</v>
      </c>
      <c r="N8865" s="11"/>
      <c r="O8865" s="11" t="e">
        <f t="shared" si="1375"/>
        <v>#DIV/0!</v>
      </c>
      <c r="P8865" s="12">
        <f t="shared" si="1376"/>
        <v>0</v>
      </c>
      <c r="Q8865" s="17" t="str">
        <f t="shared" si="1378"/>
        <v>Pas d'écart</v>
      </c>
    </row>
    <row r="8866" spans="1:17" x14ac:dyDescent="0.3">
      <c r="A8866" s="34">
        <f>base!J8866</f>
        <v>0</v>
      </c>
      <c r="B8866" s="34">
        <f>base!V8866</f>
        <v>0</v>
      </c>
      <c r="C8866" s="40" t="s">
        <v>11</v>
      </c>
      <c r="D8866" s="36">
        <f>base!H8866</f>
        <v>0</v>
      </c>
      <c r="E8866" s="44"/>
      <c r="F8866" s="16">
        <f>base!W8866</f>
        <v>0</v>
      </c>
      <c r="G8866" s="11" t="e">
        <f t="shared" si="1370"/>
        <v>#DIV/0!</v>
      </c>
      <c r="H8866" s="11" t="e">
        <f t="shared" si="1371"/>
        <v>#N/A</v>
      </c>
      <c r="I8866" s="11" t="e">
        <f t="shared" si="1372"/>
        <v>#N/A</v>
      </c>
      <c r="J8866" s="12" t="e">
        <f t="shared" si="1373"/>
        <v>#N/A</v>
      </c>
      <c r="K8866" s="17" t="e">
        <f t="shared" si="1377"/>
        <v>#N/A</v>
      </c>
      <c r="L8866" s="16">
        <f>base!X8866</f>
        <v>0</v>
      </c>
      <c r="M8866" s="11" t="e">
        <f t="shared" si="1374"/>
        <v>#DIV/0!</v>
      </c>
      <c r="N8866" s="11"/>
      <c r="O8866" s="11" t="e">
        <f t="shared" si="1375"/>
        <v>#DIV/0!</v>
      </c>
      <c r="P8866" s="12">
        <f t="shared" si="1376"/>
        <v>0</v>
      </c>
      <c r="Q8866" s="17" t="str">
        <f t="shared" si="1378"/>
        <v>Pas d'écart</v>
      </c>
    </row>
    <row r="8867" spans="1:17" x14ac:dyDescent="0.3">
      <c r="A8867" s="34">
        <f>base!J8867</f>
        <v>0</v>
      </c>
      <c r="B8867" s="34">
        <f>base!V8867</f>
        <v>0</v>
      </c>
      <c r="C8867" s="40" t="s">
        <v>11</v>
      </c>
      <c r="D8867" s="36">
        <f>base!H8867</f>
        <v>0</v>
      </c>
      <c r="E8867" s="44"/>
      <c r="F8867" s="16">
        <f>base!W8867</f>
        <v>0</v>
      </c>
      <c r="G8867" s="11" t="e">
        <f t="shared" si="1370"/>
        <v>#DIV/0!</v>
      </c>
      <c r="H8867" s="11" t="e">
        <f t="shared" si="1371"/>
        <v>#N/A</v>
      </c>
      <c r="I8867" s="11" t="e">
        <f t="shared" si="1372"/>
        <v>#N/A</v>
      </c>
      <c r="J8867" s="12" t="e">
        <f t="shared" si="1373"/>
        <v>#N/A</v>
      </c>
      <c r="K8867" s="17" t="e">
        <f t="shared" si="1377"/>
        <v>#N/A</v>
      </c>
      <c r="L8867" s="16">
        <f>base!X8867</f>
        <v>0</v>
      </c>
      <c r="M8867" s="11" t="e">
        <f t="shared" si="1374"/>
        <v>#DIV/0!</v>
      </c>
      <c r="N8867" s="11"/>
      <c r="O8867" s="11" t="e">
        <f t="shared" si="1375"/>
        <v>#DIV/0!</v>
      </c>
      <c r="P8867" s="12">
        <f t="shared" si="1376"/>
        <v>0</v>
      </c>
      <c r="Q8867" s="17" t="str">
        <f t="shared" si="1378"/>
        <v>Pas d'écart</v>
      </c>
    </row>
    <row r="8868" spans="1:17" x14ac:dyDescent="0.3">
      <c r="A8868" s="34">
        <f>base!J8868</f>
        <v>0</v>
      </c>
      <c r="B8868" s="34">
        <f>base!V8868</f>
        <v>0</v>
      </c>
      <c r="C8868" s="40" t="s">
        <v>11</v>
      </c>
      <c r="D8868" s="36">
        <f>base!H8868</f>
        <v>0</v>
      </c>
      <c r="E8868" s="44"/>
      <c r="F8868" s="16">
        <f>base!W8868</f>
        <v>0</v>
      </c>
      <c r="G8868" s="11" t="e">
        <f t="shared" si="1370"/>
        <v>#DIV/0!</v>
      </c>
      <c r="H8868" s="11" t="e">
        <f t="shared" si="1371"/>
        <v>#N/A</v>
      </c>
      <c r="I8868" s="11" t="e">
        <f t="shared" si="1372"/>
        <v>#N/A</v>
      </c>
      <c r="J8868" s="12" t="e">
        <f t="shared" si="1373"/>
        <v>#N/A</v>
      </c>
      <c r="K8868" s="17" t="e">
        <f t="shared" si="1377"/>
        <v>#N/A</v>
      </c>
      <c r="L8868" s="16">
        <f>base!X8868</f>
        <v>0</v>
      </c>
      <c r="M8868" s="11" t="e">
        <f t="shared" si="1374"/>
        <v>#DIV/0!</v>
      </c>
      <c r="N8868" s="11"/>
      <c r="O8868" s="11" t="e">
        <f t="shared" si="1375"/>
        <v>#DIV/0!</v>
      </c>
      <c r="P8868" s="12">
        <f t="shared" si="1376"/>
        <v>0</v>
      </c>
      <c r="Q8868" s="17" t="str">
        <f t="shared" si="1378"/>
        <v>Pas d'écart</v>
      </c>
    </row>
    <row r="8869" spans="1:17" x14ac:dyDescent="0.3">
      <c r="A8869" s="34">
        <f>base!J8869</f>
        <v>0</v>
      </c>
      <c r="B8869" s="34">
        <f>base!V8869</f>
        <v>0</v>
      </c>
      <c r="C8869" s="40" t="s">
        <v>11</v>
      </c>
      <c r="D8869" s="36">
        <f>base!H8869</f>
        <v>0</v>
      </c>
      <c r="E8869" s="44"/>
      <c r="F8869" s="16">
        <f>base!W8869</f>
        <v>0</v>
      </c>
      <c r="G8869" s="11" t="e">
        <f t="shared" si="1370"/>
        <v>#DIV/0!</v>
      </c>
      <c r="H8869" s="11" t="e">
        <f t="shared" si="1371"/>
        <v>#N/A</v>
      </c>
      <c r="I8869" s="11" t="e">
        <f t="shared" si="1372"/>
        <v>#N/A</v>
      </c>
      <c r="J8869" s="12" t="e">
        <f t="shared" si="1373"/>
        <v>#N/A</v>
      </c>
      <c r="K8869" s="17" t="e">
        <f t="shared" si="1377"/>
        <v>#N/A</v>
      </c>
      <c r="L8869" s="16">
        <f>base!X8869</f>
        <v>0</v>
      </c>
      <c r="M8869" s="11" t="e">
        <f t="shared" si="1374"/>
        <v>#DIV/0!</v>
      </c>
      <c r="N8869" s="11"/>
      <c r="O8869" s="11" t="e">
        <f t="shared" si="1375"/>
        <v>#DIV/0!</v>
      </c>
      <c r="P8869" s="12">
        <f t="shared" si="1376"/>
        <v>0</v>
      </c>
      <c r="Q8869" s="17" t="str">
        <f t="shared" si="1378"/>
        <v>Pas d'écart</v>
      </c>
    </row>
    <row r="8870" spans="1:17" x14ac:dyDescent="0.3">
      <c r="A8870" s="34">
        <f>base!J8870</f>
        <v>0</v>
      </c>
      <c r="B8870" s="34">
        <f>base!V8870</f>
        <v>0</v>
      </c>
      <c r="C8870" s="40" t="s">
        <v>11</v>
      </c>
      <c r="D8870" s="36">
        <f>base!H8870</f>
        <v>0</v>
      </c>
      <c r="E8870" s="44"/>
      <c r="F8870" s="16">
        <f>base!W8870</f>
        <v>0</v>
      </c>
      <c r="G8870" s="11" t="e">
        <f t="shared" si="1370"/>
        <v>#DIV/0!</v>
      </c>
      <c r="H8870" s="11" t="e">
        <f t="shared" si="1371"/>
        <v>#N/A</v>
      </c>
      <c r="I8870" s="11" t="e">
        <f t="shared" si="1372"/>
        <v>#N/A</v>
      </c>
      <c r="J8870" s="12" t="e">
        <f t="shared" si="1373"/>
        <v>#N/A</v>
      </c>
      <c r="K8870" s="17" t="e">
        <f t="shared" si="1377"/>
        <v>#N/A</v>
      </c>
      <c r="L8870" s="16">
        <f>base!X8870</f>
        <v>0</v>
      </c>
      <c r="M8870" s="11" t="e">
        <f t="shared" si="1374"/>
        <v>#DIV/0!</v>
      </c>
      <c r="N8870" s="11"/>
      <c r="O8870" s="11" t="e">
        <f t="shared" si="1375"/>
        <v>#DIV/0!</v>
      </c>
      <c r="P8870" s="12">
        <f t="shared" si="1376"/>
        <v>0</v>
      </c>
      <c r="Q8870" s="17" t="str">
        <f t="shared" si="1378"/>
        <v>Pas d'écart</v>
      </c>
    </row>
    <row r="8871" spans="1:17" x14ac:dyDescent="0.3">
      <c r="A8871" s="34">
        <f>base!J8871</f>
        <v>0</v>
      </c>
      <c r="B8871" s="34">
        <f>base!V8871</f>
        <v>0</v>
      </c>
      <c r="C8871" s="40" t="s">
        <v>11</v>
      </c>
      <c r="D8871" s="36">
        <f>base!H8871</f>
        <v>0</v>
      </c>
      <c r="E8871" s="44"/>
      <c r="F8871" s="16">
        <f>base!W8871</f>
        <v>0</v>
      </c>
      <c r="G8871" s="11" t="e">
        <f t="shared" si="1370"/>
        <v>#DIV/0!</v>
      </c>
      <c r="H8871" s="11" t="e">
        <f t="shared" si="1371"/>
        <v>#N/A</v>
      </c>
      <c r="I8871" s="11" t="e">
        <f t="shared" si="1372"/>
        <v>#N/A</v>
      </c>
      <c r="J8871" s="12" t="e">
        <f t="shared" si="1373"/>
        <v>#N/A</v>
      </c>
      <c r="K8871" s="17" t="e">
        <f t="shared" si="1377"/>
        <v>#N/A</v>
      </c>
      <c r="L8871" s="16">
        <f>base!X8871</f>
        <v>0</v>
      </c>
      <c r="M8871" s="11" t="e">
        <f t="shared" si="1374"/>
        <v>#DIV/0!</v>
      </c>
      <c r="N8871" s="11"/>
      <c r="O8871" s="11" t="e">
        <f t="shared" si="1375"/>
        <v>#DIV/0!</v>
      </c>
      <c r="P8871" s="12">
        <f t="shared" si="1376"/>
        <v>0</v>
      </c>
      <c r="Q8871" s="17" t="str">
        <f t="shared" si="1378"/>
        <v>Pas d'écart</v>
      </c>
    </row>
    <row r="8872" spans="1:17" x14ac:dyDescent="0.3">
      <c r="A8872" s="34">
        <f>base!J8872</f>
        <v>0</v>
      </c>
      <c r="B8872" s="34">
        <f>base!V8872</f>
        <v>0</v>
      </c>
      <c r="C8872" s="40" t="s">
        <v>11</v>
      </c>
      <c r="D8872" s="36">
        <f>base!H8872</f>
        <v>0</v>
      </c>
      <c r="E8872" s="44"/>
      <c r="F8872" s="16">
        <f>base!W8872</f>
        <v>0</v>
      </c>
      <c r="G8872" s="11" t="e">
        <f t="shared" si="1370"/>
        <v>#DIV/0!</v>
      </c>
      <c r="H8872" s="11" t="e">
        <f t="shared" si="1371"/>
        <v>#N/A</v>
      </c>
      <c r="I8872" s="11" t="e">
        <f t="shared" si="1372"/>
        <v>#N/A</v>
      </c>
      <c r="J8872" s="12" t="e">
        <f t="shared" si="1373"/>
        <v>#N/A</v>
      </c>
      <c r="K8872" s="17" t="e">
        <f t="shared" si="1377"/>
        <v>#N/A</v>
      </c>
      <c r="L8872" s="16">
        <f>base!X8872</f>
        <v>0</v>
      </c>
      <c r="M8872" s="11" t="e">
        <f t="shared" si="1374"/>
        <v>#DIV/0!</v>
      </c>
      <c r="N8872" s="11"/>
      <c r="O8872" s="11" t="e">
        <f t="shared" si="1375"/>
        <v>#DIV/0!</v>
      </c>
      <c r="P8872" s="12">
        <f t="shared" si="1376"/>
        <v>0</v>
      </c>
      <c r="Q8872" s="17" t="str">
        <f t="shared" si="1378"/>
        <v>Pas d'écart</v>
      </c>
    </row>
    <row r="8873" spans="1:17" x14ac:dyDescent="0.3">
      <c r="A8873" s="34">
        <f>base!J8873</f>
        <v>0</v>
      </c>
      <c r="B8873" s="34">
        <f>base!V8873</f>
        <v>0</v>
      </c>
      <c r="C8873" s="40" t="s">
        <v>11</v>
      </c>
      <c r="D8873" s="36">
        <f>base!H8873</f>
        <v>0</v>
      </c>
      <c r="E8873" s="44"/>
      <c r="F8873" s="16">
        <f>base!W8873</f>
        <v>0</v>
      </c>
      <c r="G8873" s="11" t="e">
        <f t="shared" si="1370"/>
        <v>#DIV/0!</v>
      </c>
      <c r="H8873" s="11" t="e">
        <f t="shared" si="1371"/>
        <v>#N/A</v>
      </c>
      <c r="I8873" s="11" t="e">
        <f t="shared" si="1372"/>
        <v>#N/A</v>
      </c>
      <c r="J8873" s="12" t="e">
        <f t="shared" si="1373"/>
        <v>#N/A</v>
      </c>
      <c r="K8873" s="17" t="e">
        <f t="shared" si="1377"/>
        <v>#N/A</v>
      </c>
      <c r="L8873" s="16">
        <f>base!X8873</f>
        <v>0</v>
      </c>
      <c r="M8873" s="11" t="e">
        <f t="shared" si="1374"/>
        <v>#DIV/0!</v>
      </c>
      <c r="N8873" s="11"/>
      <c r="O8873" s="11" t="e">
        <f t="shared" si="1375"/>
        <v>#DIV/0!</v>
      </c>
      <c r="P8873" s="12">
        <f t="shared" si="1376"/>
        <v>0</v>
      </c>
      <c r="Q8873" s="17" t="str">
        <f t="shared" si="1378"/>
        <v>Pas d'écart</v>
      </c>
    </row>
    <row r="8874" spans="1:17" x14ac:dyDescent="0.3">
      <c r="A8874" s="34">
        <f>base!J8874</f>
        <v>0</v>
      </c>
      <c r="B8874" s="34">
        <f>base!V8874</f>
        <v>0</v>
      </c>
      <c r="C8874" s="40" t="s">
        <v>11</v>
      </c>
      <c r="D8874" s="36">
        <f>base!H8874</f>
        <v>0</v>
      </c>
      <c r="E8874" s="44"/>
      <c r="F8874" s="16">
        <f>base!W8874</f>
        <v>0</v>
      </c>
      <c r="G8874" s="11" t="e">
        <f t="shared" si="1370"/>
        <v>#DIV/0!</v>
      </c>
      <c r="H8874" s="11" t="e">
        <f t="shared" si="1371"/>
        <v>#N/A</v>
      </c>
      <c r="I8874" s="11" t="e">
        <f t="shared" si="1372"/>
        <v>#N/A</v>
      </c>
      <c r="J8874" s="12" t="e">
        <f t="shared" si="1373"/>
        <v>#N/A</v>
      </c>
      <c r="K8874" s="17" t="e">
        <f t="shared" si="1377"/>
        <v>#N/A</v>
      </c>
      <c r="L8874" s="16">
        <f>base!X8874</f>
        <v>0</v>
      </c>
      <c r="M8874" s="11" t="e">
        <f t="shared" si="1374"/>
        <v>#DIV/0!</v>
      </c>
      <c r="N8874" s="11"/>
      <c r="O8874" s="11" t="e">
        <f t="shared" si="1375"/>
        <v>#DIV/0!</v>
      </c>
      <c r="P8874" s="12">
        <f t="shared" si="1376"/>
        <v>0</v>
      </c>
      <c r="Q8874" s="17" t="str">
        <f t="shared" si="1378"/>
        <v>Pas d'écart</v>
      </c>
    </row>
    <row r="8875" spans="1:17" x14ac:dyDescent="0.3">
      <c r="A8875" s="34">
        <f>base!J8875</f>
        <v>0</v>
      </c>
      <c r="B8875" s="34">
        <f>base!V8875</f>
        <v>0</v>
      </c>
      <c r="C8875" s="40" t="s">
        <v>11</v>
      </c>
      <c r="D8875" s="36">
        <f>base!H8875</f>
        <v>0</v>
      </c>
      <c r="E8875" s="44"/>
      <c r="F8875" s="16">
        <f>base!W8875</f>
        <v>0</v>
      </c>
      <c r="G8875" s="11" t="e">
        <f t="shared" si="1370"/>
        <v>#DIV/0!</v>
      </c>
      <c r="H8875" s="11" t="e">
        <f t="shared" si="1371"/>
        <v>#N/A</v>
      </c>
      <c r="I8875" s="11" t="e">
        <f t="shared" si="1372"/>
        <v>#N/A</v>
      </c>
      <c r="J8875" s="12" t="e">
        <f t="shared" si="1373"/>
        <v>#N/A</v>
      </c>
      <c r="K8875" s="17" t="e">
        <f t="shared" si="1377"/>
        <v>#N/A</v>
      </c>
      <c r="L8875" s="16">
        <f>base!X8875</f>
        <v>0</v>
      </c>
      <c r="M8875" s="11" t="e">
        <f t="shared" si="1374"/>
        <v>#DIV/0!</v>
      </c>
      <c r="N8875" s="11"/>
      <c r="O8875" s="11" t="e">
        <f t="shared" si="1375"/>
        <v>#DIV/0!</v>
      </c>
      <c r="P8875" s="12">
        <f t="shared" si="1376"/>
        <v>0</v>
      </c>
      <c r="Q8875" s="17" t="str">
        <f t="shared" si="1378"/>
        <v>Pas d'écart</v>
      </c>
    </row>
    <row r="8876" spans="1:17" x14ac:dyDescent="0.3">
      <c r="A8876" s="34">
        <f>base!J8876</f>
        <v>0</v>
      </c>
      <c r="B8876" s="34">
        <f>base!V8876</f>
        <v>0</v>
      </c>
      <c r="C8876" s="40" t="s">
        <v>11</v>
      </c>
      <c r="D8876" s="36">
        <f>base!H8876</f>
        <v>0</v>
      </c>
      <c r="E8876" s="44"/>
      <c r="F8876" s="16">
        <f>base!W8876</f>
        <v>0</v>
      </c>
      <c r="G8876" s="11" t="e">
        <f t="shared" si="1370"/>
        <v>#DIV/0!</v>
      </c>
      <c r="H8876" s="11" t="e">
        <f t="shared" si="1371"/>
        <v>#N/A</v>
      </c>
      <c r="I8876" s="11" t="e">
        <f t="shared" si="1372"/>
        <v>#N/A</v>
      </c>
      <c r="J8876" s="12" t="e">
        <f t="shared" si="1373"/>
        <v>#N/A</v>
      </c>
      <c r="K8876" s="17" t="e">
        <f t="shared" si="1377"/>
        <v>#N/A</v>
      </c>
      <c r="L8876" s="16">
        <f>base!X8876</f>
        <v>0</v>
      </c>
      <c r="M8876" s="11" t="e">
        <f t="shared" si="1374"/>
        <v>#DIV/0!</v>
      </c>
      <c r="N8876" s="11"/>
      <c r="O8876" s="11" t="e">
        <f t="shared" si="1375"/>
        <v>#DIV/0!</v>
      </c>
      <c r="P8876" s="12">
        <f t="shared" si="1376"/>
        <v>0</v>
      </c>
      <c r="Q8876" s="17" t="str">
        <f t="shared" si="1378"/>
        <v>Pas d'écart</v>
      </c>
    </row>
    <row r="8877" spans="1:17" x14ac:dyDescent="0.3">
      <c r="A8877" s="34">
        <f>base!J8877</f>
        <v>0</v>
      </c>
      <c r="B8877" s="34">
        <f>base!V8877</f>
        <v>0</v>
      </c>
      <c r="C8877" s="40" t="s">
        <v>11</v>
      </c>
      <c r="D8877" s="36">
        <f>base!H8877</f>
        <v>0</v>
      </c>
      <c r="E8877" s="44"/>
      <c r="F8877" s="16">
        <f>base!W8877</f>
        <v>0</v>
      </c>
      <c r="G8877" s="11" t="e">
        <f t="shared" si="1370"/>
        <v>#DIV/0!</v>
      </c>
      <c r="H8877" s="11" t="e">
        <f t="shared" si="1371"/>
        <v>#N/A</v>
      </c>
      <c r="I8877" s="11" t="e">
        <f t="shared" si="1372"/>
        <v>#N/A</v>
      </c>
      <c r="J8877" s="12" t="e">
        <f t="shared" si="1373"/>
        <v>#N/A</v>
      </c>
      <c r="K8877" s="17" t="e">
        <f t="shared" si="1377"/>
        <v>#N/A</v>
      </c>
      <c r="L8877" s="16">
        <f>base!X8877</f>
        <v>0</v>
      </c>
      <c r="M8877" s="11" t="e">
        <f t="shared" si="1374"/>
        <v>#DIV/0!</v>
      </c>
      <c r="N8877" s="11"/>
      <c r="O8877" s="11" t="e">
        <f t="shared" si="1375"/>
        <v>#DIV/0!</v>
      </c>
      <c r="P8877" s="12">
        <f t="shared" si="1376"/>
        <v>0</v>
      </c>
      <c r="Q8877" s="17" t="str">
        <f t="shared" si="1378"/>
        <v>Pas d'écart</v>
      </c>
    </row>
    <row r="8878" spans="1:17" x14ac:dyDescent="0.3">
      <c r="A8878" s="34">
        <f>base!J8878</f>
        <v>0</v>
      </c>
      <c r="B8878" s="34">
        <f>base!V8878</f>
        <v>0</v>
      </c>
      <c r="C8878" s="40" t="s">
        <v>11</v>
      </c>
      <c r="D8878" s="36">
        <f>base!H8878</f>
        <v>0</v>
      </c>
      <c r="E8878" s="44"/>
      <c r="F8878" s="16">
        <f>base!W8878</f>
        <v>0</v>
      </c>
      <c r="G8878" s="11" t="e">
        <f t="shared" si="1370"/>
        <v>#DIV/0!</v>
      </c>
      <c r="H8878" s="11" t="e">
        <f t="shared" si="1371"/>
        <v>#N/A</v>
      </c>
      <c r="I8878" s="11" t="e">
        <f t="shared" si="1372"/>
        <v>#N/A</v>
      </c>
      <c r="J8878" s="12" t="e">
        <f t="shared" si="1373"/>
        <v>#N/A</v>
      </c>
      <c r="K8878" s="17" t="e">
        <f t="shared" si="1377"/>
        <v>#N/A</v>
      </c>
      <c r="L8878" s="16">
        <f>base!X8878</f>
        <v>0</v>
      </c>
      <c r="M8878" s="11" t="e">
        <f t="shared" si="1374"/>
        <v>#DIV/0!</v>
      </c>
      <c r="N8878" s="11"/>
      <c r="O8878" s="11" t="e">
        <f t="shared" si="1375"/>
        <v>#DIV/0!</v>
      </c>
      <c r="P8878" s="12">
        <f t="shared" si="1376"/>
        <v>0</v>
      </c>
      <c r="Q8878" s="17" t="str">
        <f t="shared" si="1378"/>
        <v>Pas d'écart</v>
      </c>
    </row>
    <row r="8879" spans="1:17" x14ac:dyDescent="0.3">
      <c r="A8879" s="34">
        <f>base!J8879</f>
        <v>0</v>
      </c>
      <c r="B8879" s="34">
        <f>base!V8879</f>
        <v>0</v>
      </c>
      <c r="C8879" s="40" t="s">
        <v>11</v>
      </c>
      <c r="D8879" s="36">
        <f>base!H8879</f>
        <v>0</v>
      </c>
      <c r="E8879" s="44"/>
      <c r="F8879" s="16">
        <f>base!W8879</f>
        <v>0</v>
      </c>
      <c r="G8879" s="11" t="e">
        <f t="shared" si="1370"/>
        <v>#DIV/0!</v>
      </c>
      <c r="H8879" s="11" t="e">
        <f t="shared" si="1371"/>
        <v>#N/A</v>
      </c>
      <c r="I8879" s="11" t="e">
        <f t="shared" si="1372"/>
        <v>#N/A</v>
      </c>
      <c r="J8879" s="12" t="e">
        <f t="shared" si="1373"/>
        <v>#N/A</v>
      </c>
      <c r="K8879" s="17" t="e">
        <f t="shared" si="1377"/>
        <v>#N/A</v>
      </c>
      <c r="L8879" s="16">
        <f>base!X8879</f>
        <v>0</v>
      </c>
      <c r="M8879" s="11" t="e">
        <f t="shared" si="1374"/>
        <v>#DIV/0!</v>
      </c>
      <c r="N8879" s="11"/>
      <c r="O8879" s="11" t="e">
        <f t="shared" si="1375"/>
        <v>#DIV/0!</v>
      </c>
      <c r="P8879" s="12">
        <f t="shared" si="1376"/>
        <v>0</v>
      </c>
      <c r="Q8879" s="17" t="str">
        <f t="shared" si="1378"/>
        <v>Pas d'écart</v>
      </c>
    </row>
    <row r="8880" spans="1:17" x14ac:dyDescent="0.3">
      <c r="A8880" s="34">
        <f>base!J8880</f>
        <v>0</v>
      </c>
      <c r="B8880" s="34">
        <f>base!V8880</f>
        <v>0</v>
      </c>
      <c r="C8880" s="40" t="s">
        <v>11</v>
      </c>
      <c r="D8880" s="36">
        <f>base!H8880</f>
        <v>0</v>
      </c>
      <c r="E8880" s="44"/>
      <c r="F8880" s="16">
        <f>base!W8880</f>
        <v>0</v>
      </c>
      <c r="G8880" s="11" t="e">
        <f t="shared" si="1370"/>
        <v>#DIV/0!</v>
      </c>
      <c r="H8880" s="11" t="e">
        <f t="shared" si="1371"/>
        <v>#N/A</v>
      </c>
      <c r="I8880" s="11" t="e">
        <f t="shared" si="1372"/>
        <v>#N/A</v>
      </c>
      <c r="J8880" s="12" t="e">
        <f t="shared" si="1373"/>
        <v>#N/A</v>
      </c>
      <c r="K8880" s="17" t="e">
        <f t="shared" si="1377"/>
        <v>#N/A</v>
      </c>
      <c r="L8880" s="16">
        <f>base!X8880</f>
        <v>0</v>
      </c>
      <c r="M8880" s="11" t="e">
        <f t="shared" si="1374"/>
        <v>#DIV/0!</v>
      </c>
      <c r="N8880" s="11"/>
      <c r="O8880" s="11" t="e">
        <f t="shared" si="1375"/>
        <v>#DIV/0!</v>
      </c>
      <c r="P8880" s="12">
        <f t="shared" si="1376"/>
        <v>0</v>
      </c>
      <c r="Q8880" s="17" t="str">
        <f t="shared" si="1378"/>
        <v>Pas d'écart</v>
      </c>
    </row>
    <row r="8881" spans="1:17" x14ac:dyDescent="0.3">
      <c r="A8881" s="34">
        <f>base!J8881</f>
        <v>0</v>
      </c>
      <c r="B8881" s="34">
        <f>base!V8881</f>
        <v>0</v>
      </c>
      <c r="C8881" s="40" t="s">
        <v>11</v>
      </c>
      <c r="D8881" s="36">
        <f>base!H8881</f>
        <v>0</v>
      </c>
      <c r="E8881" s="44"/>
      <c r="F8881" s="16">
        <f>base!W8881</f>
        <v>0</v>
      </c>
      <c r="G8881" s="11" t="e">
        <f t="shared" si="1370"/>
        <v>#DIV/0!</v>
      </c>
      <c r="H8881" s="11" t="e">
        <f t="shared" si="1371"/>
        <v>#N/A</v>
      </c>
      <c r="I8881" s="11" t="e">
        <f t="shared" si="1372"/>
        <v>#N/A</v>
      </c>
      <c r="J8881" s="12" t="e">
        <f t="shared" si="1373"/>
        <v>#N/A</v>
      </c>
      <c r="K8881" s="17" t="e">
        <f t="shared" si="1377"/>
        <v>#N/A</v>
      </c>
      <c r="L8881" s="16">
        <f>base!X8881</f>
        <v>0</v>
      </c>
      <c r="M8881" s="11" t="e">
        <f t="shared" si="1374"/>
        <v>#DIV/0!</v>
      </c>
      <c r="N8881" s="11"/>
      <c r="O8881" s="11" t="e">
        <f t="shared" si="1375"/>
        <v>#DIV/0!</v>
      </c>
      <c r="P8881" s="12">
        <f t="shared" si="1376"/>
        <v>0</v>
      </c>
      <c r="Q8881" s="17" t="str">
        <f t="shared" si="1378"/>
        <v>Pas d'écart</v>
      </c>
    </row>
    <row r="8882" spans="1:17" x14ac:dyDescent="0.3">
      <c r="A8882" s="34">
        <f>base!J8882</f>
        <v>0</v>
      </c>
      <c r="B8882" s="34">
        <f>base!V8882</f>
        <v>0</v>
      </c>
      <c r="C8882" s="40" t="s">
        <v>11</v>
      </c>
      <c r="D8882" s="36">
        <f>base!H8882</f>
        <v>0</v>
      </c>
      <c r="E8882" s="44"/>
      <c r="F8882" s="16">
        <f>base!W8882</f>
        <v>0</v>
      </c>
      <c r="G8882" s="11" t="e">
        <f t="shared" si="1370"/>
        <v>#DIV/0!</v>
      </c>
      <c r="H8882" s="11" t="e">
        <f t="shared" si="1371"/>
        <v>#N/A</v>
      </c>
      <c r="I8882" s="11" t="e">
        <f t="shared" si="1372"/>
        <v>#N/A</v>
      </c>
      <c r="J8882" s="12" t="e">
        <f t="shared" si="1373"/>
        <v>#N/A</v>
      </c>
      <c r="K8882" s="17" t="e">
        <f t="shared" si="1377"/>
        <v>#N/A</v>
      </c>
      <c r="L8882" s="16">
        <f>base!X8882</f>
        <v>0</v>
      </c>
      <c r="M8882" s="11" t="e">
        <f t="shared" si="1374"/>
        <v>#DIV/0!</v>
      </c>
      <c r="N8882" s="11"/>
      <c r="O8882" s="11" t="e">
        <f t="shared" si="1375"/>
        <v>#DIV/0!</v>
      </c>
      <c r="P8882" s="12">
        <f t="shared" si="1376"/>
        <v>0</v>
      </c>
      <c r="Q8882" s="17" t="str">
        <f t="shared" si="1378"/>
        <v>Pas d'écart</v>
      </c>
    </row>
    <row r="8883" spans="1:17" x14ac:dyDescent="0.3">
      <c r="A8883" s="34">
        <f>base!J8883</f>
        <v>0</v>
      </c>
      <c r="B8883" s="34">
        <f>base!V8883</f>
        <v>0</v>
      </c>
      <c r="C8883" s="40" t="s">
        <v>11</v>
      </c>
      <c r="D8883" s="36">
        <f>base!H8883</f>
        <v>0</v>
      </c>
      <c r="E8883" s="44"/>
      <c r="F8883" s="16">
        <f>base!W8883</f>
        <v>0</v>
      </c>
      <c r="G8883" s="11" t="e">
        <f t="shared" si="1370"/>
        <v>#DIV/0!</v>
      </c>
      <c r="H8883" s="11" t="e">
        <f t="shared" si="1371"/>
        <v>#N/A</v>
      </c>
      <c r="I8883" s="11" t="e">
        <f t="shared" si="1372"/>
        <v>#N/A</v>
      </c>
      <c r="J8883" s="12" t="e">
        <f t="shared" si="1373"/>
        <v>#N/A</v>
      </c>
      <c r="K8883" s="17" t="e">
        <f t="shared" si="1377"/>
        <v>#N/A</v>
      </c>
      <c r="L8883" s="16">
        <f>base!X8883</f>
        <v>0</v>
      </c>
      <c r="M8883" s="11" t="e">
        <f t="shared" si="1374"/>
        <v>#DIV/0!</v>
      </c>
      <c r="N8883" s="11"/>
      <c r="O8883" s="11" t="e">
        <f t="shared" si="1375"/>
        <v>#DIV/0!</v>
      </c>
      <c r="P8883" s="12">
        <f t="shared" si="1376"/>
        <v>0</v>
      </c>
      <c r="Q8883" s="17" t="str">
        <f t="shared" si="1378"/>
        <v>Pas d'écart</v>
      </c>
    </row>
    <row r="8884" spans="1:17" x14ac:dyDescent="0.3">
      <c r="A8884" s="34">
        <f>base!J8884</f>
        <v>0</v>
      </c>
      <c r="B8884" s="34">
        <f>base!V8884</f>
        <v>0</v>
      </c>
      <c r="C8884" s="40" t="s">
        <v>11</v>
      </c>
      <c r="D8884" s="36">
        <f>base!H8884</f>
        <v>0</v>
      </c>
      <c r="E8884" s="44"/>
      <c r="F8884" s="16">
        <f>base!W8884</f>
        <v>0</v>
      </c>
      <c r="G8884" s="11" t="e">
        <f t="shared" si="1370"/>
        <v>#DIV/0!</v>
      </c>
      <c r="H8884" s="11" t="e">
        <f t="shared" si="1371"/>
        <v>#N/A</v>
      </c>
      <c r="I8884" s="11" t="e">
        <f t="shared" si="1372"/>
        <v>#N/A</v>
      </c>
      <c r="J8884" s="12" t="e">
        <f t="shared" si="1373"/>
        <v>#N/A</v>
      </c>
      <c r="K8884" s="17" t="e">
        <f t="shared" si="1377"/>
        <v>#N/A</v>
      </c>
      <c r="L8884" s="16">
        <f>base!X8884</f>
        <v>0</v>
      </c>
      <c r="M8884" s="11" t="e">
        <f t="shared" si="1374"/>
        <v>#DIV/0!</v>
      </c>
      <c r="N8884" s="11"/>
      <c r="O8884" s="11" t="e">
        <f t="shared" si="1375"/>
        <v>#DIV/0!</v>
      </c>
      <c r="P8884" s="12">
        <f t="shared" si="1376"/>
        <v>0</v>
      </c>
      <c r="Q8884" s="17" t="str">
        <f t="shared" si="1378"/>
        <v>Pas d'écart</v>
      </c>
    </row>
    <row r="8885" spans="1:17" x14ac:dyDescent="0.3">
      <c r="A8885" s="34">
        <f>base!J8885</f>
        <v>0</v>
      </c>
      <c r="B8885" s="34">
        <f>base!V8885</f>
        <v>0</v>
      </c>
      <c r="C8885" s="40" t="s">
        <v>11</v>
      </c>
      <c r="D8885" s="36">
        <f>base!H8885</f>
        <v>0</v>
      </c>
      <c r="E8885" s="44"/>
      <c r="F8885" s="16">
        <f>base!W8885</f>
        <v>0</v>
      </c>
      <c r="G8885" s="11" t="e">
        <f t="shared" si="1370"/>
        <v>#DIV/0!</v>
      </c>
      <c r="H8885" s="11" t="e">
        <f t="shared" si="1371"/>
        <v>#N/A</v>
      </c>
      <c r="I8885" s="11" t="e">
        <f t="shared" si="1372"/>
        <v>#N/A</v>
      </c>
      <c r="J8885" s="12" t="e">
        <f t="shared" si="1373"/>
        <v>#N/A</v>
      </c>
      <c r="K8885" s="17" t="e">
        <f t="shared" si="1377"/>
        <v>#N/A</v>
      </c>
      <c r="L8885" s="16">
        <f>base!X8885</f>
        <v>0</v>
      </c>
      <c r="M8885" s="11" t="e">
        <f t="shared" si="1374"/>
        <v>#DIV/0!</v>
      </c>
      <c r="N8885" s="11"/>
      <c r="O8885" s="11" t="e">
        <f t="shared" si="1375"/>
        <v>#DIV/0!</v>
      </c>
      <c r="P8885" s="12">
        <f t="shared" si="1376"/>
        <v>0</v>
      </c>
      <c r="Q8885" s="17" t="str">
        <f t="shared" si="1378"/>
        <v>Pas d'écart</v>
      </c>
    </row>
    <row r="8886" spans="1:17" x14ac:dyDescent="0.3">
      <c r="A8886" s="34">
        <f>base!J8886</f>
        <v>0</v>
      </c>
      <c r="B8886" s="34">
        <f>base!V8886</f>
        <v>0</v>
      </c>
      <c r="C8886" s="40" t="s">
        <v>11</v>
      </c>
      <c r="D8886" s="36">
        <f>base!H8886</f>
        <v>0</v>
      </c>
      <c r="E8886" s="44"/>
      <c r="F8886" s="16">
        <f>base!W8886</f>
        <v>0</v>
      </c>
      <c r="G8886" s="11" t="e">
        <f t="shared" si="1370"/>
        <v>#DIV/0!</v>
      </c>
      <c r="H8886" s="11" t="e">
        <f t="shared" si="1371"/>
        <v>#N/A</v>
      </c>
      <c r="I8886" s="11" t="e">
        <f t="shared" si="1372"/>
        <v>#N/A</v>
      </c>
      <c r="J8886" s="12" t="e">
        <f t="shared" si="1373"/>
        <v>#N/A</v>
      </c>
      <c r="K8886" s="17" t="e">
        <f t="shared" si="1377"/>
        <v>#N/A</v>
      </c>
      <c r="L8886" s="16">
        <f>base!X8886</f>
        <v>0</v>
      </c>
      <c r="M8886" s="11" t="e">
        <f t="shared" si="1374"/>
        <v>#DIV/0!</v>
      </c>
      <c r="N8886" s="11"/>
      <c r="O8886" s="11" t="e">
        <f t="shared" si="1375"/>
        <v>#DIV/0!</v>
      </c>
      <c r="P8886" s="12">
        <f t="shared" si="1376"/>
        <v>0</v>
      </c>
      <c r="Q8886" s="17" t="str">
        <f t="shared" si="1378"/>
        <v>Pas d'écart</v>
      </c>
    </row>
    <row r="8887" spans="1:17" x14ac:dyDescent="0.3">
      <c r="A8887" s="34">
        <f>base!J8887</f>
        <v>0</v>
      </c>
      <c r="B8887" s="34">
        <f>base!V8887</f>
        <v>0</v>
      </c>
      <c r="C8887" s="40" t="s">
        <v>11</v>
      </c>
      <c r="D8887" s="36">
        <f>base!H8887</f>
        <v>0</v>
      </c>
      <c r="E8887" s="44"/>
      <c r="F8887" s="16">
        <f>base!W8887</f>
        <v>0</v>
      </c>
      <c r="G8887" s="11" t="e">
        <f t="shared" si="1370"/>
        <v>#DIV/0!</v>
      </c>
      <c r="H8887" s="11" t="e">
        <f t="shared" si="1371"/>
        <v>#N/A</v>
      </c>
      <c r="I8887" s="11" t="e">
        <f t="shared" si="1372"/>
        <v>#N/A</v>
      </c>
      <c r="J8887" s="12" t="e">
        <f t="shared" si="1373"/>
        <v>#N/A</v>
      </c>
      <c r="K8887" s="17" t="e">
        <f t="shared" si="1377"/>
        <v>#N/A</v>
      </c>
      <c r="L8887" s="16">
        <f>base!X8887</f>
        <v>0</v>
      </c>
      <c r="M8887" s="11" t="e">
        <f t="shared" si="1374"/>
        <v>#DIV/0!</v>
      </c>
      <c r="N8887" s="11"/>
      <c r="O8887" s="11" t="e">
        <f t="shared" si="1375"/>
        <v>#DIV/0!</v>
      </c>
      <c r="P8887" s="12">
        <f t="shared" si="1376"/>
        <v>0</v>
      </c>
      <c r="Q8887" s="17" t="str">
        <f t="shared" si="1378"/>
        <v>Pas d'écart</v>
      </c>
    </row>
    <row r="8888" spans="1:17" x14ac:dyDescent="0.3">
      <c r="A8888" s="34">
        <f>base!J8888</f>
        <v>0</v>
      </c>
      <c r="B8888" s="34">
        <f>base!V8888</f>
        <v>0</v>
      </c>
      <c r="C8888" s="40" t="s">
        <v>11</v>
      </c>
      <c r="D8888" s="36">
        <f>base!H8888</f>
        <v>0</v>
      </c>
      <c r="E8888" s="44"/>
      <c r="F8888" s="16">
        <f>base!W8888</f>
        <v>0</v>
      </c>
      <c r="G8888" s="11" t="e">
        <f t="shared" si="1370"/>
        <v>#DIV/0!</v>
      </c>
      <c r="H8888" s="11" t="e">
        <f t="shared" si="1371"/>
        <v>#N/A</v>
      </c>
      <c r="I8888" s="11" t="e">
        <f t="shared" si="1372"/>
        <v>#N/A</v>
      </c>
      <c r="J8888" s="12" t="e">
        <f t="shared" si="1373"/>
        <v>#N/A</v>
      </c>
      <c r="K8888" s="17" t="e">
        <f t="shared" si="1377"/>
        <v>#N/A</v>
      </c>
      <c r="L8888" s="16">
        <f>base!X8888</f>
        <v>0</v>
      </c>
      <c r="M8888" s="11" t="e">
        <f t="shared" si="1374"/>
        <v>#DIV/0!</v>
      </c>
      <c r="N8888" s="11"/>
      <c r="O8888" s="11" t="e">
        <f t="shared" si="1375"/>
        <v>#DIV/0!</v>
      </c>
      <c r="P8888" s="12">
        <f t="shared" si="1376"/>
        <v>0</v>
      </c>
      <c r="Q8888" s="17" t="str">
        <f t="shared" si="1378"/>
        <v>Pas d'écart</v>
      </c>
    </row>
    <row r="8889" spans="1:17" x14ac:dyDescent="0.3">
      <c r="A8889" s="34">
        <f>base!J8889</f>
        <v>0</v>
      </c>
      <c r="B8889" s="34">
        <f>base!V8889</f>
        <v>0</v>
      </c>
      <c r="C8889" s="40" t="s">
        <v>11</v>
      </c>
      <c r="D8889" s="36">
        <f>base!H8889</f>
        <v>0</v>
      </c>
      <c r="E8889" s="44"/>
      <c r="F8889" s="16">
        <f>base!W8889</f>
        <v>0</v>
      </c>
      <c r="G8889" s="11" t="e">
        <f t="shared" si="1370"/>
        <v>#DIV/0!</v>
      </c>
      <c r="H8889" s="11" t="e">
        <f t="shared" si="1371"/>
        <v>#N/A</v>
      </c>
      <c r="I8889" s="11" t="e">
        <f t="shared" si="1372"/>
        <v>#N/A</v>
      </c>
      <c r="J8889" s="12" t="e">
        <f t="shared" si="1373"/>
        <v>#N/A</v>
      </c>
      <c r="K8889" s="17" t="e">
        <f t="shared" si="1377"/>
        <v>#N/A</v>
      </c>
      <c r="L8889" s="16">
        <f>base!X8889</f>
        <v>0</v>
      </c>
      <c r="M8889" s="11" t="e">
        <f t="shared" si="1374"/>
        <v>#DIV/0!</v>
      </c>
      <c r="N8889" s="11"/>
      <c r="O8889" s="11" t="e">
        <f t="shared" si="1375"/>
        <v>#DIV/0!</v>
      </c>
      <c r="P8889" s="12">
        <f t="shared" si="1376"/>
        <v>0</v>
      </c>
      <c r="Q8889" s="17" t="str">
        <f t="shared" si="1378"/>
        <v>Pas d'écart</v>
      </c>
    </row>
    <row r="8890" spans="1:17" x14ac:dyDescent="0.3">
      <c r="A8890" s="34">
        <f>base!J8890</f>
        <v>0</v>
      </c>
      <c r="B8890" s="34">
        <f>base!V8890</f>
        <v>0</v>
      </c>
      <c r="C8890" s="40" t="s">
        <v>11</v>
      </c>
      <c r="D8890" s="36">
        <f>base!H8890</f>
        <v>0</v>
      </c>
      <c r="E8890" s="44"/>
      <c r="F8890" s="16">
        <f>base!W8890</f>
        <v>0</v>
      </c>
      <c r="G8890" s="11" t="e">
        <f t="shared" si="1370"/>
        <v>#DIV/0!</v>
      </c>
      <c r="H8890" s="11" t="e">
        <f t="shared" si="1371"/>
        <v>#N/A</v>
      </c>
      <c r="I8890" s="11" t="e">
        <f t="shared" si="1372"/>
        <v>#N/A</v>
      </c>
      <c r="J8890" s="12" t="e">
        <f t="shared" si="1373"/>
        <v>#N/A</v>
      </c>
      <c r="K8890" s="17" t="e">
        <f t="shared" si="1377"/>
        <v>#N/A</v>
      </c>
      <c r="L8890" s="16">
        <f>base!X8890</f>
        <v>0</v>
      </c>
      <c r="M8890" s="11" t="e">
        <f t="shared" si="1374"/>
        <v>#DIV/0!</v>
      </c>
      <c r="N8890" s="11"/>
      <c r="O8890" s="11" t="e">
        <f t="shared" si="1375"/>
        <v>#DIV/0!</v>
      </c>
      <c r="P8890" s="12">
        <f t="shared" si="1376"/>
        <v>0</v>
      </c>
      <c r="Q8890" s="17" t="str">
        <f t="shared" si="1378"/>
        <v>Pas d'écart</v>
      </c>
    </row>
    <row r="8891" spans="1:17" x14ac:dyDescent="0.3">
      <c r="A8891" s="34">
        <f>base!J8891</f>
        <v>0</v>
      </c>
      <c r="B8891" s="34">
        <f>base!V8891</f>
        <v>0</v>
      </c>
      <c r="C8891" s="40" t="s">
        <v>11</v>
      </c>
      <c r="D8891" s="36">
        <f>base!H8891</f>
        <v>0</v>
      </c>
      <c r="E8891" s="44"/>
      <c r="F8891" s="16">
        <f>base!W8891</f>
        <v>0</v>
      </c>
      <c r="G8891" s="11" t="e">
        <f t="shared" si="1370"/>
        <v>#DIV/0!</v>
      </c>
      <c r="H8891" s="11" t="e">
        <f t="shared" si="1371"/>
        <v>#N/A</v>
      </c>
      <c r="I8891" s="11" t="e">
        <f t="shared" si="1372"/>
        <v>#N/A</v>
      </c>
      <c r="J8891" s="12" t="e">
        <f t="shared" si="1373"/>
        <v>#N/A</v>
      </c>
      <c r="K8891" s="17" t="e">
        <f t="shared" si="1377"/>
        <v>#N/A</v>
      </c>
      <c r="L8891" s="16">
        <f>base!X8891</f>
        <v>0</v>
      </c>
      <c r="M8891" s="11" t="e">
        <f t="shared" si="1374"/>
        <v>#DIV/0!</v>
      </c>
      <c r="N8891" s="11"/>
      <c r="O8891" s="11" t="e">
        <f t="shared" si="1375"/>
        <v>#DIV/0!</v>
      </c>
      <c r="P8891" s="12">
        <f t="shared" si="1376"/>
        <v>0</v>
      </c>
      <c r="Q8891" s="17" t="str">
        <f t="shared" si="1378"/>
        <v>Pas d'écart</v>
      </c>
    </row>
    <row r="8892" spans="1:17" x14ac:dyDescent="0.3">
      <c r="A8892" s="34">
        <f>base!J8892</f>
        <v>0</v>
      </c>
      <c r="B8892" s="34">
        <f>base!V8892</f>
        <v>0</v>
      </c>
      <c r="C8892" s="40" t="s">
        <v>11</v>
      </c>
      <c r="D8892" s="36">
        <f>base!H8892</f>
        <v>0</v>
      </c>
      <c r="E8892" s="44"/>
      <c r="F8892" s="16">
        <f>base!W8892</f>
        <v>0</v>
      </c>
      <c r="G8892" s="11" t="e">
        <f t="shared" si="1370"/>
        <v>#DIV/0!</v>
      </c>
      <c r="H8892" s="11" t="e">
        <f t="shared" si="1371"/>
        <v>#N/A</v>
      </c>
      <c r="I8892" s="11" t="e">
        <f t="shared" si="1372"/>
        <v>#N/A</v>
      </c>
      <c r="J8892" s="12" t="e">
        <f t="shared" si="1373"/>
        <v>#N/A</v>
      </c>
      <c r="K8892" s="17" t="e">
        <f t="shared" si="1377"/>
        <v>#N/A</v>
      </c>
      <c r="L8892" s="16">
        <f>base!X8892</f>
        <v>0</v>
      </c>
      <c r="M8892" s="11" t="e">
        <f t="shared" si="1374"/>
        <v>#DIV/0!</v>
      </c>
      <c r="N8892" s="11"/>
      <c r="O8892" s="11" t="e">
        <f t="shared" si="1375"/>
        <v>#DIV/0!</v>
      </c>
      <c r="P8892" s="12">
        <f t="shared" si="1376"/>
        <v>0</v>
      </c>
      <c r="Q8892" s="17" t="str">
        <f t="shared" si="1378"/>
        <v>Pas d'écart</v>
      </c>
    </row>
    <row r="8893" spans="1:17" x14ac:dyDescent="0.3">
      <c r="A8893" s="34">
        <f>base!J8893</f>
        <v>0</v>
      </c>
      <c r="B8893" s="34">
        <f>base!V8893</f>
        <v>0</v>
      </c>
      <c r="C8893" s="40" t="s">
        <v>11</v>
      </c>
      <c r="D8893" s="36">
        <f>base!H8893</f>
        <v>0</v>
      </c>
      <c r="E8893" s="44"/>
      <c r="F8893" s="16">
        <f>base!W8893</f>
        <v>0</v>
      </c>
      <c r="G8893" s="11" t="e">
        <f t="shared" si="1370"/>
        <v>#DIV/0!</v>
      </c>
      <c r="H8893" s="11" t="e">
        <f t="shared" si="1371"/>
        <v>#N/A</v>
      </c>
      <c r="I8893" s="11" t="e">
        <f t="shared" si="1372"/>
        <v>#N/A</v>
      </c>
      <c r="J8893" s="12" t="e">
        <f t="shared" si="1373"/>
        <v>#N/A</v>
      </c>
      <c r="K8893" s="17" t="e">
        <f t="shared" si="1377"/>
        <v>#N/A</v>
      </c>
      <c r="L8893" s="16">
        <f>base!X8893</f>
        <v>0</v>
      </c>
      <c r="M8893" s="11" t="e">
        <f t="shared" si="1374"/>
        <v>#DIV/0!</v>
      </c>
      <c r="N8893" s="11"/>
      <c r="O8893" s="11" t="e">
        <f t="shared" si="1375"/>
        <v>#DIV/0!</v>
      </c>
      <c r="P8893" s="12">
        <f t="shared" si="1376"/>
        <v>0</v>
      </c>
      <c r="Q8893" s="17" t="str">
        <f t="shared" si="1378"/>
        <v>Pas d'écart</v>
      </c>
    </row>
    <row r="8894" spans="1:17" x14ac:dyDescent="0.3">
      <c r="A8894" s="34">
        <f>base!J8894</f>
        <v>0</v>
      </c>
      <c r="B8894" s="34">
        <f>base!V8894</f>
        <v>0</v>
      </c>
      <c r="C8894" s="40" t="s">
        <v>11</v>
      </c>
      <c r="D8894" s="36">
        <f>base!H8894</f>
        <v>0</v>
      </c>
      <c r="E8894" s="44"/>
      <c r="F8894" s="16">
        <f>base!W8894</f>
        <v>0</v>
      </c>
      <c r="G8894" s="11" t="e">
        <f t="shared" si="1370"/>
        <v>#DIV/0!</v>
      </c>
      <c r="H8894" s="11" t="e">
        <f t="shared" si="1371"/>
        <v>#N/A</v>
      </c>
      <c r="I8894" s="11" t="e">
        <f t="shared" si="1372"/>
        <v>#N/A</v>
      </c>
      <c r="J8894" s="12" t="e">
        <f t="shared" si="1373"/>
        <v>#N/A</v>
      </c>
      <c r="K8894" s="17" t="e">
        <f t="shared" si="1377"/>
        <v>#N/A</v>
      </c>
      <c r="L8894" s="16">
        <f>base!X8894</f>
        <v>0</v>
      </c>
      <c r="M8894" s="11" t="e">
        <f t="shared" si="1374"/>
        <v>#DIV/0!</v>
      </c>
      <c r="N8894" s="11"/>
      <c r="O8894" s="11" t="e">
        <f t="shared" si="1375"/>
        <v>#DIV/0!</v>
      </c>
      <c r="P8894" s="12">
        <f t="shared" si="1376"/>
        <v>0</v>
      </c>
      <c r="Q8894" s="17" t="str">
        <f t="shared" si="1378"/>
        <v>Pas d'écart</v>
      </c>
    </row>
    <row r="8895" spans="1:17" x14ac:dyDescent="0.3">
      <c r="A8895" s="34">
        <f>base!J8895</f>
        <v>0</v>
      </c>
      <c r="B8895" s="34">
        <f>base!V8895</f>
        <v>0</v>
      </c>
      <c r="C8895" s="40" t="s">
        <v>11</v>
      </c>
      <c r="D8895" s="36">
        <f>base!H8895</f>
        <v>0</v>
      </c>
      <c r="E8895" s="44"/>
      <c r="F8895" s="16">
        <f>base!W8895</f>
        <v>0</v>
      </c>
      <c r="G8895" s="11" t="e">
        <f t="shared" si="1370"/>
        <v>#DIV/0!</v>
      </c>
      <c r="H8895" s="11" t="e">
        <f t="shared" si="1371"/>
        <v>#N/A</v>
      </c>
      <c r="I8895" s="11" t="e">
        <f t="shared" si="1372"/>
        <v>#N/A</v>
      </c>
      <c r="J8895" s="12" t="e">
        <f t="shared" si="1373"/>
        <v>#N/A</v>
      </c>
      <c r="K8895" s="17" t="e">
        <f t="shared" si="1377"/>
        <v>#N/A</v>
      </c>
      <c r="L8895" s="16">
        <f>base!X8895</f>
        <v>0</v>
      </c>
      <c r="M8895" s="11" t="e">
        <f t="shared" si="1374"/>
        <v>#DIV/0!</v>
      </c>
      <c r="N8895" s="11"/>
      <c r="O8895" s="11" t="e">
        <f t="shared" si="1375"/>
        <v>#DIV/0!</v>
      </c>
      <c r="P8895" s="12">
        <f t="shared" si="1376"/>
        <v>0</v>
      </c>
      <c r="Q8895" s="17" t="str">
        <f t="shared" si="1378"/>
        <v>Pas d'écart</v>
      </c>
    </row>
    <row r="8896" spans="1:17" x14ac:dyDescent="0.3">
      <c r="A8896" s="34">
        <f>base!J8896</f>
        <v>0</v>
      </c>
      <c r="B8896" s="34">
        <f>base!V8896</f>
        <v>0</v>
      </c>
      <c r="C8896" s="40" t="s">
        <v>11</v>
      </c>
      <c r="D8896" s="36">
        <f>base!H8896</f>
        <v>0</v>
      </c>
      <c r="E8896" s="44"/>
      <c r="F8896" s="16">
        <f>base!W8896</f>
        <v>0</v>
      </c>
      <c r="G8896" s="11" t="e">
        <f t="shared" si="1370"/>
        <v>#DIV/0!</v>
      </c>
      <c r="H8896" s="11" t="e">
        <f t="shared" si="1371"/>
        <v>#N/A</v>
      </c>
      <c r="I8896" s="11" t="e">
        <f t="shared" si="1372"/>
        <v>#N/A</v>
      </c>
      <c r="J8896" s="12" t="e">
        <f t="shared" si="1373"/>
        <v>#N/A</v>
      </c>
      <c r="K8896" s="17" t="e">
        <f t="shared" si="1377"/>
        <v>#N/A</v>
      </c>
      <c r="L8896" s="16">
        <f>base!X8896</f>
        <v>0</v>
      </c>
      <c r="M8896" s="11" t="e">
        <f t="shared" si="1374"/>
        <v>#DIV/0!</v>
      </c>
      <c r="N8896" s="11"/>
      <c r="O8896" s="11" t="e">
        <f t="shared" si="1375"/>
        <v>#DIV/0!</v>
      </c>
      <c r="P8896" s="12">
        <f t="shared" si="1376"/>
        <v>0</v>
      </c>
      <c r="Q8896" s="17" t="str">
        <f t="shared" si="1378"/>
        <v>Pas d'écart</v>
      </c>
    </row>
    <row r="8897" spans="1:17" x14ac:dyDescent="0.3">
      <c r="A8897" s="34">
        <f>base!J8897</f>
        <v>0</v>
      </c>
      <c r="B8897" s="34">
        <f>base!V8897</f>
        <v>0</v>
      </c>
      <c r="C8897" s="40" t="s">
        <v>11</v>
      </c>
      <c r="D8897" s="36">
        <f>base!H8897</f>
        <v>0</v>
      </c>
      <c r="E8897" s="44"/>
      <c r="F8897" s="16">
        <f>base!W8897</f>
        <v>0</v>
      </c>
      <c r="G8897" s="11" t="e">
        <f t="shared" si="1370"/>
        <v>#DIV/0!</v>
      </c>
      <c r="H8897" s="11" t="e">
        <f t="shared" si="1371"/>
        <v>#N/A</v>
      </c>
      <c r="I8897" s="11" t="e">
        <f t="shared" si="1372"/>
        <v>#N/A</v>
      </c>
      <c r="J8897" s="12" t="e">
        <f t="shared" si="1373"/>
        <v>#N/A</v>
      </c>
      <c r="K8897" s="17" t="e">
        <f t="shared" si="1377"/>
        <v>#N/A</v>
      </c>
      <c r="L8897" s="16">
        <f>base!X8897</f>
        <v>0</v>
      </c>
      <c r="M8897" s="11" t="e">
        <f t="shared" si="1374"/>
        <v>#DIV/0!</v>
      </c>
      <c r="N8897" s="11"/>
      <c r="O8897" s="11" t="e">
        <f t="shared" si="1375"/>
        <v>#DIV/0!</v>
      </c>
      <c r="P8897" s="12">
        <f t="shared" si="1376"/>
        <v>0</v>
      </c>
      <c r="Q8897" s="17" t="str">
        <f t="shared" si="1378"/>
        <v>Pas d'écart</v>
      </c>
    </row>
    <row r="8898" spans="1:17" x14ac:dyDescent="0.3">
      <c r="A8898" s="34">
        <f>base!J8898</f>
        <v>0</v>
      </c>
      <c r="B8898" s="34">
        <f>base!V8898</f>
        <v>0</v>
      </c>
      <c r="C8898" s="40" t="s">
        <v>11</v>
      </c>
      <c r="D8898" s="36">
        <f>base!H8898</f>
        <v>0</v>
      </c>
      <c r="E8898" s="44"/>
      <c r="F8898" s="16">
        <f>base!W8898</f>
        <v>0</v>
      </c>
      <c r="G8898" s="11" t="e">
        <f t="shared" ref="G8898:G8961" si="1379">F8898/D8898</f>
        <v>#DIV/0!</v>
      </c>
      <c r="H8898" s="11" t="e">
        <f t="shared" ref="H8898:H8961" si="1380">VLOOKUP(C8898,tout_cout_traction,2,FALSE)*D8898</f>
        <v>#N/A</v>
      </c>
      <c r="I8898" s="11" t="e">
        <f t="shared" ref="I8898:I8961" si="1381">H8898/D8898</f>
        <v>#N/A</v>
      </c>
      <c r="J8898" s="12" t="e">
        <f t="shared" ref="J8898:J8961" si="1382">F8898-H8898</f>
        <v>#N/A</v>
      </c>
      <c r="K8898" s="17" t="e">
        <f t="shared" si="1377"/>
        <v>#N/A</v>
      </c>
      <c r="L8898" s="16">
        <f>base!X8898</f>
        <v>0</v>
      </c>
      <c r="M8898" s="11" t="e">
        <f t="shared" ref="M8898:M8961" si="1383">L8898/D8898</f>
        <v>#DIV/0!</v>
      </c>
      <c r="N8898" s="11"/>
      <c r="O8898" s="11" t="e">
        <f t="shared" ref="O8898:O8961" si="1384">N8898/D8898</f>
        <v>#DIV/0!</v>
      </c>
      <c r="P8898" s="12">
        <f t="shared" ref="P8898:P8961" si="1385">L8898-N8898</f>
        <v>0</v>
      </c>
      <c r="Q8898" s="17" t="str">
        <f t="shared" si="1378"/>
        <v>Pas d'écart</v>
      </c>
    </row>
    <row r="8899" spans="1:17" x14ac:dyDescent="0.3">
      <c r="A8899" s="34">
        <f>base!J8899</f>
        <v>0</v>
      </c>
      <c r="B8899" s="34">
        <f>base!V8899</f>
        <v>0</v>
      </c>
      <c r="C8899" s="40" t="s">
        <v>11</v>
      </c>
      <c r="D8899" s="36">
        <f>base!H8899</f>
        <v>0</v>
      </c>
      <c r="E8899" s="44"/>
      <c r="F8899" s="16">
        <f>base!W8899</f>
        <v>0</v>
      </c>
      <c r="G8899" s="11" t="e">
        <f t="shared" si="1379"/>
        <v>#DIV/0!</v>
      </c>
      <c r="H8899" s="11" t="e">
        <f t="shared" si="1380"/>
        <v>#N/A</v>
      </c>
      <c r="I8899" s="11" t="e">
        <f t="shared" si="1381"/>
        <v>#N/A</v>
      </c>
      <c r="J8899" s="12" t="e">
        <f t="shared" si="1382"/>
        <v>#N/A</v>
      </c>
      <c r="K8899" s="17" t="e">
        <f t="shared" ref="K8899:K8962" si="1386">IF(H8899=F8899,"Pas d'écart",IF(H8899&lt;F8899,"Ecart positif",IF(H8899&gt;F8899,"Ecart négatif")))</f>
        <v>#N/A</v>
      </c>
      <c r="L8899" s="16">
        <f>base!X8899</f>
        <v>0</v>
      </c>
      <c r="M8899" s="11" t="e">
        <f t="shared" si="1383"/>
        <v>#DIV/0!</v>
      </c>
      <c r="N8899" s="11"/>
      <c r="O8899" s="11" t="e">
        <f t="shared" si="1384"/>
        <v>#DIV/0!</v>
      </c>
      <c r="P8899" s="12">
        <f t="shared" si="1385"/>
        <v>0</v>
      </c>
      <c r="Q8899" s="17" t="str">
        <f t="shared" ref="Q8899:Q8962" si="1387">IF(N8899=L8899,"Pas d'écart",IF(N8899&lt;L8899,"Ecart positif",IF(N8899&gt;L8899,"Ecart négatif")))</f>
        <v>Pas d'écart</v>
      </c>
    </row>
    <row r="8900" spans="1:17" x14ac:dyDescent="0.3">
      <c r="A8900" s="34">
        <f>base!J8900</f>
        <v>0</v>
      </c>
      <c r="B8900" s="34">
        <f>base!V8900</f>
        <v>0</v>
      </c>
      <c r="C8900" s="40" t="s">
        <v>11</v>
      </c>
      <c r="D8900" s="36">
        <f>base!H8900</f>
        <v>0</v>
      </c>
      <c r="E8900" s="44"/>
      <c r="F8900" s="16">
        <f>base!W8900</f>
        <v>0</v>
      </c>
      <c r="G8900" s="11" t="e">
        <f t="shared" si="1379"/>
        <v>#DIV/0!</v>
      </c>
      <c r="H8900" s="11" t="e">
        <f t="shared" si="1380"/>
        <v>#N/A</v>
      </c>
      <c r="I8900" s="11" t="e">
        <f t="shared" si="1381"/>
        <v>#N/A</v>
      </c>
      <c r="J8900" s="12" t="e">
        <f t="shared" si="1382"/>
        <v>#N/A</v>
      </c>
      <c r="K8900" s="17" t="e">
        <f t="shared" si="1386"/>
        <v>#N/A</v>
      </c>
      <c r="L8900" s="16">
        <f>base!X8900</f>
        <v>0</v>
      </c>
      <c r="M8900" s="11" t="e">
        <f t="shared" si="1383"/>
        <v>#DIV/0!</v>
      </c>
      <c r="N8900" s="11"/>
      <c r="O8900" s="11" t="e">
        <f t="shared" si="1384"/>
        <v>#DIV/0!</v>
      </c>
      <c r="P8900" s="12">
        <f t="shared" si="1385"/>
        <v>0</v>
      </c>
      <c r="Q8900" s="17" t="str">
        <f t="shared" si="1387"/>
        <v>Pas d'écart</v>
      </c>
    </row>
    <row r="8901" spans="1:17" x14ac:dyDescent="0.3">
      <c r="A8901" s="34">
        <f>base!J8901</f>
        <v>0</v>
      </c>
      <c r="B8901" s="34">
        <f>base!V8901</f>
        <v>0</v>
      </c>
      <c r="C8901" s="40" t="s">
        <v>11</v>
      </c>
      <c r="D8901" s="36">
        <f>base!H8901</f>
        <v>0</v>
      </c>
      <c r="E8901" s="44"/>
      <c r="F8901" s="16">
        <f>base!W8901</f>
        <v>0</v>
      </c>
      <c r="G8901" s="11" t="e">
        <f t="shared" si="1379"/>
        <v>#DIV/0!</v>
      </c>
      <c r="H8901" s="11" t="e">
        <f t="shared" si="1380"/>
        <v>#N/A</v>
      </c>
      <c r="I8901" s="11" t="e">
        <f t="shared" si="1381"/>
        <v>#N/A</v>
      </c>
      <c r="J8901" s="12" t="e">
        <f t="shared" si="1382"/>
        <v>#N/A</v>
      </c>
      <c r="K8901" s="17" t="e">
        <f t="shared" si="1386"/>
        <v>#N/A</v>
      </c>
      <c r="L8901" s="16">
        <f>base!X8901</f>
        <v>0</v>
      </c>
      <c r="M8901" s="11" t="e">
        <f t="shared" si="1383"/>
        <v>#DIV/0!</v>
      </c>
      <c r="N8901" s="11"/>
      <c r="O8901" s="11" t="e">
        <f t="shared" si="1384"/>
        <v>#DIV/0!</v>
      </c>
      <c r="P8901" s="12">
        <f t="shared" si="1385"/>
        <v>0</v>
      </c>
      <c r="Q8901" s="17" t="str">
        <f t="shared" si="1387"/>
        <v>Pas d'écart</v>
      </c>
    </row>
    <row r="8902" spans="1:17" x14ac:dyDescent="0.3">
      <c r="A8902" s="34">
        <f>base!J8902</f>
        <v>0</v>
      </c>
      <c r="B8902" s="34">
        <f>base!V8902</f>
        <v>0</v>
      </c>
      <c r="C8902" s="40" t="s">
        <v>11</v>
      </c>
      <c r="D8902" s="36">
        <f>base!H8902</f>
        <v>0</v>
      </c>
      <c r="E8902" s="44"/>
      <c r="F8902" s="16">
        <f>base!W8902</f>
        <v>0</v>
      </c>
      <c r="G8902" s="11" t="e">
        <f t="shared" si="1379"/>
        <v>#DIV/0!</v>
      </c>
      <c r="H8902" s="11" t="e">
        <f t="shared" si="1380"/>
        <v>#N/A</v>
      </c>
      <c r="I8902" s="11" t="e">
        <f t="shared" si="1381"/>
        <v>#N/A</v>
      </c>
      <c r="J8902" s="12" t="e">
        <f t="shared" si="1382"/>
        <v>#N/A</v>
      </c>
      <c r="K8902" s="17" t="e">
        <f t="shared" si="1386"/>
        <v>#N/A</v>
      </c>
      <c r="L8902" s="16">
        <f>base!X8902</f>
        <v>0</v>
      </c>
      <c r="M8902" s="11" t="e">
        <f t="shared" si="1383"/>
        <v>#DIV/0!</v>
      </c>
      <c r="N8902" s="11"/>
      <c r="O8902" s="11" t="e">
        <f t="shared" si="1384"/>
        <v>#DIV/0!</v>
      </c>
      <c r="P8902" s="12">
        <f t="shared" si="1385"/>
        <v>0</v>
      </c>
      <c r="Q8902" s="17" t="str">
        <f t="shared" si="1387"/>
        <v>Pas d'écart</v>
      </c>
    </row>
    <row r="8903" spans="1:17" x14ac:dyDescent="0.3">
      <c r="A8903" s="34">
        <f>base!J8903</f>
        <v>0</v>
      </c>
      <c r="B8903" s="34">
        <f>base!V8903</f>
        <v>0</v>
      </c>
      <c r="C8903" s="40" t="s">
        <v>11</v>
      </c>
      <c r="D8903" s="36">
        <f>base!H8903</f>
        <v>0</v>
      </c>
      <c r="E8903" s="44"/>
      <c r="F8903" s="16">
        <f>base!W8903</f>
        <v>0</v>
      </c>
      <c r="G8903" s="11" t="e">
        <f t="shared" si="1379"/>
        <v>#DIV/0!</v>
      </c>
      <c r="H8903" s="11" t="e">
        <f t="shared" si="1380"/>
        <v>#N/A</v>
      </c>
      <c r="I8903" s="11" t="e">
        <f t="shared" si="1381"/>
        <v>#N/A</v>
      </c>
      <c r="J8903" s="12" t="e">
        <f t="shared" si="1382"/>
        <v>#N/A</v>
      </c>
      <c r="K8903" s="17" t="e">
        <f t="shared" si="1386"/>
        <v>#N/A</v>
      </c>
      <c r="L8903" s="16">
        <f>base!X8903</f>
        <v>0</v>
      </c>
      <c r="M8903" s="11" t="e">
        <f t="shared" si="1383"/>
        <v>#DIV/0!</v>
      </c>
      <c r="N8903" s="11"/>
      <c r="O8903" s="11" t="e">
        <f t="shared" si="1384"/>
        <v>#DIV/0!</v>
      </c>
      <c r="P8903" s="12">
        <f t="shared" si="1385"/>
        <v>0</v>
      </c>
      <c r="Q8903" s="17" t="str">
        <f t="shared" si="1387"/>
        <v>Pas d'écart</v>
      </c>
    </row>
    <row r="8904" spans="1:17" x14ac:dyDescent="0.3">
      <c r="A8904" s="34">
        <f>base!J8904</f>
        <v>0</v>
      </c>
      <c r="B8904" s="34">
        <f>base!V8904</f>
        <v>0</v>
      </c>
      <c r="C8904" s="40" t="s">
        <v>11</v>
      </c>
      <c r="D8904" s="36">
        <f>base!H8904</f>
        <v>0</v>
      </c>
      <c r="E8904" s="44"/>
      <c r="F8904" s="16">
        <f>base!W8904</f>
        <v>0</v>
      </c>
      <c r="G8904" s="11" t="e">
        <f t="shared" si="1379"/>
        <v>#DIV/0!</v>
      </c>
      <c r="H8904" s="11" t="e">
        <f t="shared" si="1380"/>
        <v>#N/A</v>
      </c>
      <c r="I8904" s="11" t="e">
        <f t="shared" si="1381"/>
        <v>#N/A</v>
      </c>
      <c r="J8904" s="12" t="e">
        <f t="shared" si="1382"/>
        <v>#N/A</v>
      </c>
      <c r="K8904" s="17" t="e">
        <f t="shared" si="1386"/>
        <v>#N/A</v>
      </c>
      <c r="L8904" s="16">
        <f>base!X8904</f>
        <v>0</v>
      </c>
      <c r="M8904" s="11" t="e">
        <f t="shared" si="1383"/>
        <v>#DIV/0!</v>
      </c>
      <c r="N8904" s="11"/>
      <c r="O8904" s="11" t="e">
        <f t="shared" si="1384"/>
        <v>#DIV/0!</v>
      </c>
      <c r="P8904" s="12">
        <f t="shared" si="1385"/>
        <v>0</v>
      </c>
      <c r="Q8904" s="17" t="str">
        <f t="shared" si="1387"/>
        <v>Pas d'écart</v>
      </c>
    </row>
    <row r="8905" spans="1:17" x14ac:dyDescent="0.3">
      <c r="A8905" s="34">
        <f>base!J8905</f>
        <v>0</v>
      </c>
      <c r="B8905" s="34">
        <f>base!V8905</f>
        <v>0</v>
      </c>
      <c r="C8905" s="40" t="s">
        <v>11</v>
      </c>
      <c r="D8905" s="36">
        <f>base!H8905</f>
        <v>0</v>
      </c>
      <c r="E8905" s="44"/>
      <c r="F8905" s="16">
        <f>base!W8905</f>
        <v>0</v>
      </c>
      <c r="G8905" s="11" t="e">
        <f t="shared" si="1379"/>
        <v>#DIV/0!</v>
      </c>
      <c r="H8905" s="11" t="e">
        <f t="shared" si="1380"/>
        <v>#N/A</v>
      </c>
      <c r="I8905" s="11" t="e">
        <f t="shared" si="1381"/>
        <v>#N/A</v>
      </c>
      <c r="J8905" s="12" t="e">
        <f t="shared" si="1382"/>
        <v>#N/A</v>
      </c>
      <c r="K8905" s="17" t="e">
        <f t="shared" si="1386"/>
        <v>#N/A</v>
      </c>
      <c r="L8905" s="16">
        <f>base!X8905</f>
        <v>0</v>
      </c>
      <c r="M8905" s="11" t="e">
        <f t="shared" si="1383"/>
        <v>#DIV/0!</v>
      </c>
      <c r="N8905" s="11"/>
      <c r="O8905" s="11" t="e">
        <f t="shared" si="1384"/>
        <v>#DIV/0!</v>
      </c>
      <c r="P8905" s="12">
        <f t="shared" si="1385"/>
        <v>0</v>
      </c>
      <c r="Q8905" s="17" t="str">
        <f t="shared" si="1387"/>
        <v>Pas d'écart</v>
      </c>
    </row>
    <row r="8906" spans="1:17" x14ac:dyDescent="0.3">
      <c r="A8906" s="34">
        <f>base!J8906</f>
        <v>0</v>
      </c>
      <c r="B8906" s="34">
        <f>base!V8906</f>
        <v>0</v>
      </c>
      <c r="C8906" s="40" t="s">
        <v>11</v>
      </c>
      <c r="D8906" s="36">
        <f>base!H8906</f>
        <v>0</v>
      </c>
      <c r="E8906" s="44"/>
      <c r="F8906" s="16">
        <f>base!W8906</f>
        <v>0</v>
      </c>
      <c r="G8906" s="11" t="e">
        <f t="shared" si="1379"/>
        <v>#DIV/0!</v>
      </c>
      <c r="H8906" s="11" t="e">
        <f t="shared" si="1380"/>
        <v>#N/A</v>
      </c>
      <c r="I8906" s="11" t="e">
        <f t="shared" si="1381"/>
        <v>#N/A</v>
      </c>
      <c r="J8906" s="12" t="e">
        <f t="shared" si="1382"/>
        <v>#N/A</v>
      </c>
      <c r="K8906" s="17" t="e">
        <f t="shared" si="1386"/>
        <v>#N/A</v>
      </c>
      <c r="L8906" s="16">
        <f>base!X8906</f>
        <v>0</v>
      </c>
      <c r="M8906" s="11" t="e">
        <f t="shared" si="1383"/>
        <v>#DIV/0!</v>
      </c>
      <c r="N8906" s="11"/>
      <c r="O8906" s="11" t="e">
        <f t="shared" si="1384"/>
        <v>#DIV/0!</v>
      </c>
      <c r="P8906" s="12">
        <f t="shared" si="1385"/>
        <v>0</v>
      </c>
      <c r="Q8906" s="17" t="str">
        <f t="shared" si="1387"/>
        <v>Pas d'écart</v>
      </c>
    </row>
    <row r="8907" spans="1:17" x14ac:dyDescent="0.3">
      <c r="A8907" s="34">
        <f>base!J8907</f>
        <v>0</v>
      </c>
      <c r="B8907" s="34">
        <f>base!V8907</f>
        <v>0</v>
      </c>
      <c r="C8907" s="40" t="s">
        <v>11</v>
      </c>
      <c r="D8907" s="36">
        <f>base!H8907</f>
        <v>0</v>
      </c>
      <c r="E8907" s="44"/>
      <c r="F8907" s="16">
        <f>base!W8907</f>
        <v>0</v>
      </c>
      <c r="G8907" s="11" t="e">
        <f t="shared" si="1379"/>
        <v>#DIV/0!</v>
      </c>
      <c r="H8907" s="11" t="e">
        <f t="shared" si="1380"/>
        <v>#N/A</v>
      </c>
      <c r="I8907" s="11" t="e">
        <f t="shared" si="1381"/>
        <v>#N/A</v>
      </c>
      <c r="J8907" s="12" t="e">
        <f t="shared" si="1382"/>
        <v>#N/A</v>
      </c>
      <c r="K8907" s="17" t="e">
        <f t="shared" si="1386"/>
        <v>#N/A</v>
      </c>
      <c r="L8907" s="16">
        <f>base!X8907</f>
        <v>0</v>
      </c>
      <c r="M8907" s="11" t="e">
        <f t="shared" si="1383"/>
        <v>#DIV/0!</v>
      </c>
      <c r="N8907" s="11"/>
      <c r="O8907" s="11" t="e">
        <f t="shared" si="1384"/>
        <v>#DIV/0!</v>
      </c>
      <c r="P8907" s="12">
        <f t="shared" si="1385"/>
        <v>0</v>
      </c>
      <c r="Q8907" s="17" t="str">
        <f t="shared" si="1387"/>
        <v>Pas d'écart</v>
      </c>
    </row>
    <row r="8908" spans="1:17" x14ac:dyDescent="0.3">
      <c r="A8908" s="34">
        <f>base!J8908</f>
        <v>0</v>
      </c>
      <c r="B8908" s="34">
        <f>base!V8908</f>
        <v>0</v>
      </c>
      <c r="C8908" s="40" t="s">
        <v>11</v>
      </c>
      <c r="D8908" s="36">
        <f>base!H8908</f>
        <v>0</v>
      </c>
      <c r="E8908" s="44"/>
      <c r="F8908" s="16">
        <f>base!W8908</f>
        <v>0</v>
      </c>
      <c r="G8908" s="11" t="e">
        <f t="shared" si="1379"/>
        <v>#DIV/0!</v>
      </c>
      <c r="H8908" s="11" t="e">
        <f t="shared" si="1380"/>
        <v>#N/A</v>
      </c>
      <c r="I8908" s="11" t="e">
        <f t="shared" si="1381"/>
        <v>#N/A</v>
      </c>
      <c r="J8908" s="12" t="e">
        <f t="shared" si="1382"/>
        <v>#N/A</v>
      </c>
      <c r="K8908" s="17" t="e">
        <f t="shared" si="1386"/>
        <v>#N/A</v>
      </c>
      <c r="L8908" s="16">
        <f>base!X8908</f>
        <v>0</v>
      </c>
      <c r="M8908" s="11" t="e">
        <f t="shared" si="1383"/>
        <v>#DIV/0!</v>
      </c>
      <c r="N8908" s="11"/>
      <c r="O8908" s="11" t="e">
        <f t="shared" si="1384"/>
        <v>#DIV/0!</v>
      </c>
      <c r="P8908" s="12">
        <f t="shared" si="1385"/>
        <v>0</v>
      </c>
      <c r="Q8908" s="17" t="str">
        <f t="shared" si="1387"/>
        <v>Pas d'écart</v>
      </c>
    </row>
    <row r="8909" spans="1:17" x14ac:dyDescent="0.3">
      <c r="A8909" s="34">
        <f>base!J8909</f>
        <v>0</v>
      </c>
      <c r="B8909" s="34">
        <f>base!V8909</f>
        <v>0</v>
      </c>
      <c r="C8909" s="40" t="s">
        <v>11</v>
      </c>
      <c r="D8909" s="36">
        <f>base!H8909</f>
        <v>0</v>
      </c>
      <c r="E8909" s="44"/>
      <c r="F8909" s="16">
        <f>base!W8909</f>
        <v>0</v>
      </c>
      <c r="G8909" s="11" t="e">
        <f t="shared" si="1379"/>
        <v>#DIV/0!</v>
      </c>
      <c r="H8909" s="11" t="e">
        <f t="shared" si="1380"/>
        <v>#N/A</v>
      </c>
      <c r="I8909" s="11" t="e">
        <f t="shared" si="1381"/>
        <v>#N/A</v>
      </c>
      <c r="J8909" s="12" t="e">
        <f t="shared" si="1382"/>
        <v>#N/A</v>
      </c>
      <c r="K8909" s="17" t="e">
        <f t="shared" si="1386"/>
        <v>#N/A</v>
      </c>
      <c r="L8909" s="16">
        <f>base!X8909</f>
        <v>0</v>
      </c>
      <c r="M8909" s="11" t="e">
        <f t="shared" si="1383"/>
        <v>#DIV/0!</v>
      </c>
      <c r="N8909" s="11"/>
      <c r="O8909" s="11" t="e">
        <f t="shared" si="1384"/>
        <v>#DIV/0!</v>
      </c>
      <c r="P8909" s="12">
        <f t="shared" si="1385"/>
        <v>0</v>
      </c>
      <c r="Q8909" s="17" t="str">
        <f t="shared" si="1387"/>
        <v>Pas d'écart</v>
      </c>
    </row>
    <row r="8910" spans="1:17" x14ac:dyDescent="0.3">
      <c r="A8910" s="34">
        <f>base!J8910</f>
        <v>0</v>
      </c>
      <c r="B8910" s="34">
        <f>base!V8910</f>
        <v>0</v>
      </c>
      <c r="C8910" s="40" t="s">
        <v>11</v>
      </c>
      <c r="D8910" s="36">
        <f>base!H8910</f>
        <v>0</v>
      </c>
      <c r="E8910" s="44"/>
      <c r="F8910" s="16">
        <f>base!W8910</f>
        <v>0</v>
      </c>
      <c r="G8910" s="11" t="e">
        <f t="shared" si="1379"/>
        <v>#DIV/0!</v>
      </c>
      <c r="H8910" s="11" t="e">
        <f t="shared" si="1380"/>
        <v>#N/A</v>
      </c>
      <c r="I8910" s="11" t="e">
        <f t="shared" si="1381"/>
        <v>#N/A</v>
      </c>
      <c r="J8910" s="12" t="e">
        <f t="shared" si="1382"/>
        <v>#N/A</v>
      </c>
      <c r="K8910" s="17" t="e">
        <f t="shared" si="1386"/>
        <v>#N/A</v>
      </c>
      <c r="L8910" s="16">
        <f>base!X8910</f>
        <v>0</v>
      </c>
      <c r="M8910" s="11" t="e">
        <f t="shared" si="1383"/>
        <v>#DIV/0!</v>
      </c>
      <c r="N8910" s="11"/>
      <c r="O8910" s="11" t="e">
        <f t="shared" si="1384"/>
        <v>#DIV/0!</v>
      </c>
      <c r="P8910" s="12">
        <f t="shared" si="1385"/>
        <v>0</v>
      </c>
      <c r="Q8910" s="17" t="str">
        <f t="shared" si="1387"/>
        <v>Pas d'écart</v>
      </c>
    </row>
    <row r="8911" spans="1:17" x14ac:dyDescent="0.3">
      <c r="A8911" s="34">
        <f>base!J8911</f>
        <v>0</v>
      </c>
      <c r="B8911" s="34">
        <f>base!V8911</f>
        <v>0</v>
      </c>
      <c r="C8911" s="40" t="s">
        <v>11</v>
      </c>
      <c r="D8911" s="36">
        <f>base!H8911</f>
        <v>0</v>
      </c>
      <c r="E8911" s="44"/>
      <c r="F8911" s="16">
        <f>base!W8911</f>
        <v>0</v>
      </c>
      <c r="G8911" s="11" t="e">
        <f t="shared" si="1379"/>
        <v>#DIV/0!</v>
      </c>
      <c r="H8911" s="11" t="e">
        <f t="shared" si="1380"/>
        <v>#N/A</v>
      </c>
      <c r="I8911" s="11" t="e">
        <f t="shared" si="1381"/>
        <v>#N/A</v>
      </c>
      <c r="J8911" s="12" t="e">
        <f t="shared" si="1382"/>
        <v>#N/A</v>
      </c>
      <c r="K8911" s="17" t="e">
        <f t="shared" si="1386"/>
        <v>#N/A</v>
      </c>
      <c r="L8911" s="16">
        <f>base!X8911</f>
        <v>0</v>
      </c>
      <c r="M8911" s="11" t="e">
        <f t="shared" si="1383"/>
        <v>#DIV/0!</v>
      </c>
      <c r="N8911" s="11"/>
      <c r="O8911" s="11" t="e">
        <f t="shared" si="1384"/>
        <v>#DIV/0!</v>
      </c>
      <c r="P8911" s="12">
        <f t="shared" si="1385"/>
        <v>0</v>
      </c>
      <c r="Q8911" s="17" t="str">
        <f t="shared" si="1387"/>
        <v>Pas d'écart</v>
      </c>
    </row>
    <row r="8912" spans="1:17" x14ac:dyDescent="0.3">
      <c r="A8912" s="34">
        <f>base!J8912</f>
        <v>0</v>
      </c>
      <c r="B8912" s="34">
        <f>base!V8912</f>
        <v>0</v>
      </c>
      <c r="C8912" s="40" t="s">
        <v>11</v>
      </c>
      <c r="D8912" s="36">
        <f>base!H8912</f>
        <v>0</v>
      </c>
      <c r="E8912" s="44"/>
      <c r="F8912" s="16">
        <f>base!W8912</f>
        <v>0</v>
      </c>
      <c r="G8912" s="11" t="e">
        <f t="shared" si="1379"/>
        <v>#DIV/0!</v>
      </c>
      <c r="H8912" s="11" t="e">
        <f t="shared" si="1380"/>
        <v>#N/A</v>
      </c>
      <c r="I8912" s="11" t="e">
        <f t="shared" si="1381"/>
        <v>#N/A</v>
      </c>
      <c r="J8912" s="12" t="e">
        <f t="shared" si="1382"/>
        <v>#N/A</v>
      </c>
      <c r="K8912" s="17" t="e">
        <f t="shared" si="1386"/>
        <v>#N/A</v>
      </c>
      <c r="L8912" s="16">
        <f>base!X8912</f>
        <v>0</v>
      </c>
      <c r="M8912" s="11" t="e">
        <f t="shared" si="1383"/>
        <v>#DIV/0!</v>
      </c>
      <c r="N8912" s="11"/>
      <c r="O8912" s="11" t="e">
        <f t="shared" si="1384"/>
        <v>#DIV/0!</v>
      </c>
      <c r="P8912" s="12">
        <f t="shared" si="1385"/>
        <v>0</v>
      </c>
      <c r="Q8912" s="17" t="str">
        <f t="shared" si="1387"/>
        <v>Pas d'écart</v>
      </c>
    </row>
    <row r="8913" spans="1:17" x14ac:dyDescent="0.3">
      <c r="A8913" s="34">
        <f>base!J8913</f>
        <v>0</v>
      </c>
      <c r="B8913" s="34">
        <f>base!V8913</f>
        <v>0</v>
      </c>
      <c r="C8913" s="40" t="s">
        <v>11</v>
      </c>
      <c r="D8913" s="36">
        <f>base!H8913</f>
        <v>0</v>
      </c>
      <c r="E8913" s="44"/>
      <c r="F8913" s="16">
        <f>base!W8913</f>
        <v>0</v>
      </c>
      <c r="G8913" s="11" t="e">
        <f t="shared" si="1379"/>
        <v>#DIV/0!</v>
      </c>
      <c r="H8913" s="11" t="e">
        <f t="shared" si="1380"/>
        <v>#N/A</v>
      </c>
      <c r="I8913" s="11" t="e">
        <f t="shared" si="1381"/>
        <v>#N/A</v>
      </c>
      <c r="J8913" s="12" t="e">
        <f t="shared" si="1382"/>
        <v>#N/A</v>
      </c>
      <c r="K8913" s="17" t="e">
        <f t="shared" si="1386"/>
        <v>#N/A</v>
      </c>
      <c r="L8913" s="16">
        <f>base!X8913</f>
        <v>0</v>
      </c>
      <c r="M8913" s="11" t="e">
        <f t="shared" si="1383"/>
        <v>#DIV/0!</v>
      </c>
      <c r="N8913" s="11"/>
      <c r="O8913" s="11" t="e">
        <f t="shared" si="1384"/>
        <v>#DIV/0!</v>
      </c>
      <c r="P8913" s="12">
        <f t="shared" si="1385"/>
        <v>0</v>
      </c>
      <c r="Q8913" s="17" t="str">
        <f t="shared" si="1387"/>
        <v>Pas d'écart</v>
      </c>
    </row>
    <row r="8914" spans="1:17" x14ac:dyDescent="0.3">
      <c r="A8914" s="34">
        <f>base!J8914</f>
        <v>0</v>
      </c>
      <c r="B8914" s="34">
        <f>base!V8914</f>
        <v>0</v>
      </c>
      <c r="C8914" s="40" t="s">
        <v>11</v>
      </c>
      <c r="D8914" s="36">
        <f>base!H8914</f>
        <v>0</v>
      </c>
      <c r="E8914" s="44"/>
      <c r="F8914" s="16">
        <f>base!W8914</f>
        <v>0</v>
      </c>
      <c r="G8914" s="11" t="e">
        <f t="shared" si="1379"/>
        <v>#DIV/0!</v>
      </c>
      <c r="H8914" s="11" t="e">
        <f t="shared" si="1380"/>
        <v>#N/A</v>
      </c>
      <c r="I8914" s="11" t="e">
        <f t="shared" si="1381"/>
        <v>#N/A</v>
      </c>
      <c r="J8914" s="12" t="e">
        <f t="shared" si="1382"/>
        <v>#N/A</v>
      </c>
      <c r="K8914" s="17" t="e">
        <f t="shared" si="1386"/>
        <v>#N/A</v>
      </c>
      <c r="L8914" s="16">
        <f>base!X8914</f>
        <v>0</v>
      </c>
      <c r="M8914" s="11" t="e">
        <f t="shared" si="1383"/>
        <v>#DIV/0!</v>
      </c>
      <c r="N8914" s="11"/>
      <c r="O8914" s="11" t="e">
        <f t="shared" si="1384"/>
        <v>#DIV/0!</v>
      </c>
      <c r="P8914" s="12">
        <f t="shared" si="1385"/>
        <v>0</v>
      </c>
      <c r="Q8914" s="17" t="str">
        <f t="shared" si="1387"/>
        <v>Pas d'écart</v>
      </c>
    </row>
    <row r="8915" spans="1:17" x14ac:dyDescent="0.3">
      <c r="A8915" s="34">
        <f>base!J8915</f>
        <v>0</v>
      </c>
      <c r="B8915" s="34">
        <f>base!V8915</f>
        <v>0</v>
      </c>
      <c r="C8915" s="40" t="s">
        <v>11</v>
      </c>
      <c r="D8915" s="36">
        <f>base!H8915</f>
        <v>0</v>
      </c>
      <c r="E8915" s="44"/>
      <c r="F8915" s="16">
        <f>base!W8915</f>
        <v>0</v>
      </c>
      <c r="G8915" s="11" t="e">
        <f t="shared" si="1379"/>
        <v>#DIV/0!</v>
      </c>
      <c r="H8915" s="11" t="e">
        <f t="shared" si="1380"/>
        <v>#N/A</v>
      </c>
      <c r="I8915" s="11" t="e">
        <f t="shared" si="1381"/>
        <v>#N/A</v>
      </c>
      <c r="J8915" s="12" t="e">
        <f t="shared" si="1382"/>
        <v>#N/A</v>
      </c>
      <c r="K8915" s="17" t="e">
        <f t="shared" si="1386"/>
        <v>#N/A</v>
      </c>
      <c r="L8915" s="16">
        <f>base!X8915</f>
        <v>0</v>
      </c>
      <c r="M8915" s="11" t="e">
        <f t="shared" si="1383"/>
        <v>#DIV/0!</v>
      </c>
      <c r="N8915" s="11"/>
      <c r="O8915" s="11" t="e">
        <f t="shared" si="1384"/>
        <v>#DIV/0!</v>
      </c>
      <c r="P8915" s="12">
        <f t="shared" si="1385"/>
        <v>0</v>
      </c>
      <c r="Q8915" s="17" t="str">
        <f t="shared" si="1387"/>
        <v>Pas d'écart</v>
      </c>
    </row>
    <row r="8916" spans="1:17" x14ac:dyDescent="0.3">
      <c r="A8916" s="34">
        <f>base!J8916</f>
        <v>0</v>
      </c>
      <c r="B8916" s="34">
        <f>base!V8916</f>
        <v>0</v>
      </c>
      <c r="C8916" s="40" t="s">
        <v>11</v>
      </c>
      <c r="D8916" s="36">
        <f>base!H8916</f>
        <v>0</v>
      </c>
      <c r="E8916" s="44"/>
      <c r="F8916" s="16">
        <f>base!W8916</f>
        <v>0</v>
      </c>
      <c r="G8916" s="11" t="e">
        <f t="shared" si="1379"/>
        <v>#DIV/0!</v>
      </c>
      <c r="H8916" s="11" t="e">
        <f t="shared" si="1380"/>
        <v>#N/A</v>
      </c>
      <c r="I8916" s="11" t="e">
        <f t="shared" si="1381"/>
        <v>#N/A</v>
      </c>
      <c r="J8916" s="12" t="e">
        <f t="shared" si="1382"/>
        <v>#N/A</v>
      </c>
      <c r="K8916" s="17" t="e">
        <f t="shared" si="1386"/>
        <v>#N/A</v>
      </c>
      <c r="L8916" s="16">
        <f>base!X8916</f>
        <v>0</v>
      </c>
      <c r="M8916" s="11" t="e">
        <f t="shared" si="1383"/>
        <v>#DIV/0!</v>
      </c>
      <c r="N8916" s="11"/>
      <c r="O8916" s="11" t="e">
        <f t="shared" si="1384"/>
        <v>#DIV/0!</v>
      </c>
      <c r="P8916" s="12">
        <f t="shared" si="1385"/>
        <v>0</v>
      </c>
      <c r="Q8916" s="17" t="str">
        <f t="shared" si="1387"/>
        <v>Pas d'écart</v>
      </c>
    </row>
    <row r="8917" spans="1:17" x14ac:dyDescent="0.3">
      <c r="A8917" s="34">
        <f>base!J8917</f>
        <v>0</v>
      </c>
      <c r="B8917" s="34">
        <f>base!V8917</f>
        <v>0</v>
      </c>
      <c r="C8917" s="40" t="s">
        <v>11</v>
      </c>
      <c r="D8917" s="36">
        <f>base!H8917</f>
        <v>0</v>
      </c>
      <c r="E8917" s="44"/>
      <c r="F8917" s="16">
        <f>base!W8917</f>
        <v>0</v>
      </c>
      <c r="G8917" s="11" t="e">
        <f t="shared" si="1379"/>
        <v>#DIV/0!</v>
      </c>
      <c r="H8917" s="11" t="e">
        <f t="shared" si="1380"/>
        <v>#N/A</v>
      </c>
      <c r="I8917" s="11" t="e">
        <f t="shared" si="1381"/>
        <v>#N/A</v>
      </c>
      <c r="J8917" s="12" t="e">
        <f t="shared" si="1382"/>
        <v>#N/A</v>
      </c>
      <c r="K8917" s="17" t="e">
        <f t="shared" si="1386"/>
        <v>#N/A</v>
      </c>
      <c r="L8917" s="16">
        <f>base!X8917</f>
        <v>0</v>
      </c>
      <c r="M8917" s="11" t="e">
        <f t="shared" si="1383"/>
        <v>#DIV/0!</v>
      </c>
      <c r="N8917" s="11"/>
      <c r="O8917" s="11" t="e">
        <f t="shared" si="1384"/>
        <v>#DIV/0!</v>
      </c>
      <c r="P8917" s="12">
        <f t="shared" si="1385"/>
        <v>0</v>
      </c>
      <c r="Q8917" s="17" t="str">
        <f t="shared" si="1387"/>
        <v>Pas d'écart</v>
      </c>
    </row>
    <row r="8918" spans="1:17" x14ac:dyDescent="0.3">
      <c r="A8918" s="34">
        <f>base!J8918</f>
        <v>0</v>
      </c>
      <c r="B8918" s="34">
        <f>base!V8918</f>
        <v>0</v>
      </c>
      <c r="C8918" s="40" t="s">
        <v>11</v>
      </c>
      <c r="D8918" s="36">
        <f>base!H8918</f>
        <v>0</v>
      </c>
      <c r="E8918" s="44"/>
      <c r="F8918" s="16">
        <f>base!W8918</f>
        <v>0</v>
      </c>
      <c r="G8918" s="11" t="e">
        <f t="shared" si="1379"/>
        <v>#DIV/0!</v>
      </c>
      <c r="H8918" s="11" t="e">
        <f t="shared" si="1380"/>
        <v>#N/A</v>
      </c>
      <c r="I8918" s="11" t="e">
        <f t="shared" si="1381"/>
        <v>#N/A</v>
      </c>
      <c r="J8918" s="12" t="e">
        <f t="shared" si="1382"/>
        <v>#N/A</v>
      </c>
      <c r="K8918" s="17" t="e">
        <f t="shared" si="1386"/>
        <v>#N/A</v>
      </c>
      <c r="L8918" s="16">
        <f>base!X8918</f>
        <v>0</v>
      </c>
      <c r="M8918" s="11" t="e">
        <f t="shared" si="1383"/>
        <v>#DIV/0!</v>
      </c>
      <c r="N8918" s="11"/>
      <c r="O8918" s="11" t="e">
        <f t="shared" si="1384"/>
        <v>#DIV/0!</v>
      </c>
      <c r="P8918" s="12">
        <f t="shared" si="1385"/>
        <v>0</v>
      </c>
      <c r="Q8918" s="17" t="str">
        <f t="shared" si="1387"/>
        <v>Pas d'écart</v>
      </c>
    </row>
    <row r="8919" spans="1:17" x14ac:dyDescent="0.3">
      <c r="A8919" s="34">
        <f>base!J8919</f>
        <v>0</v>
      </c>
      <c r="B8919" s="34">
        <f>base!V8919</f>
        <v>0</v>
      </c>
      <c r="C8919" s="40" t="s">
        <v>11</v>
      </c>
      <c r="D8919" s="36">
        <f>base!H8919</f>
        <v>0</v>
      </c>
      <c r="E8919" s="44"/>
      <c r="F8919" s="16">
        <f>base!W8919</f>
        <v>0</v>
      </c>
      <c r="G8919" s="11" t="e">
        <f t="shared" si="1379"/>
        <v>#DIV/0!</v>
      </c>
      <c r="H8919" s="11" t="e">
        <f t="shared" si="1380"/>
        <v>#N/A</v>
      </c>
      <c r="I8919" s="11" t="e">
        <f t="shared" si="1381"/>
        <v>#N/A</v>
      </c>
      <c r="J8919" s="12" t="e">
        <f t="shared" si="1382"/>
        <v>#N/A</v>
      </c>
      <c r="K8919" s="17" t="e">
        <f t="shared" si="1386"/>
        <v>#N/A</v>
      </c>
      <c r="L8919" s="16">
        <f>base!X8919</f>
        <v>0</v>
      </c>
      <c r="M8919" s="11" t="e">
        <f t="shared" si="1383"/>
        <v>#DIV/0!</v>
      </c>
      <c r="N8919" s="11"/>
      <c r="O8919" s="11" t="e">
        <f t="shared" si="1384"/>
        <v>#DIV/0!</v>
      </c>
      <c r="P8919" s="12">
        <f t="shared" si="1385"/>
        <v>0</v>
      </c>
      <c r="Q8919" s="17" t="str">
        <f t="shared" si="1387"/>
        <v>Pas d'écart</v>
      </c>
    </row>
    <row r="8920" spans="1:17" x14ac:dyDescent="0.3">
      <c r="A8920" s="34">
        <f>base!J8920</f>
        <v>0</v>
      </c>
      <c r="B8920" s="34">
        <f>base!V8920</f>
        <v>0</v>
      </c>
      <c r="C8920" s="40" t="s">
        <v>11</v>
      </c>
      <c r="D8920" s="36">
        <f>base!H8920</f>
        <v>0</v>
      </c>
      <c r="E8920" s="44"/>
      <c r="F8920" s="16">
        <f>base!W8920</f>
        <v>0</v>
      </c>
      <c r="G8920" s="11" t="e">
        <f t="shared" si="1379"/>
        <v>#DIV/0!</v>
      </c>
      <c r="H8920" s="11" t="e">
        <f t="shared" si="1380"/>
        <v>#N/A</v>
      </c>
      <c r="I8920" s="11" t="e">
        <f t="shared" si="1381"/>
        <v>#N/A</v>
      </c>
      <c r="J8920" s="12" t="e">
        <f t="shared" si="1382"/>
        <v>#N/A</v>
      </c>
      <c r="K8920" s="17" t="e">
        <f t="shared" si="1386"/>
        <v>#N/A</v>
      </c>
      <c r="L8920" s="16">
        <f>base!X8920</f>
        <v>0</v>
      </c>
      <c r="M8920" s="11" t="e">
        <f t="shared" si="1383"/>
        <v>#DIV/0!</v>
      </c>
      <c r="N8920" s="11"/>
      <c r="O8920" s="11" t="e">
        <f t="shared" si="1384"/>
        <v>#DIV/0!</v>
      </c>
      <c r="P8920" s="12">
        <f t="shared" si="1385"/>
        <v>0</v>
      </c>
      <c r="Q8920" s="17" t="str">
        <f t="shared" si="1387"/>
        <v>Pas d'écart</v>
      </c>
    </row>
    <row r="8921" spans="1:17" x14ac:dyDescent="0.3">
      <c r="A8921" s="34">
        <f>base!J8921</f>
        <v>0</v>
      </c>
      <c r="B8921" s="34">
        <f>base!V8921</f>
        <v>0</v>
      </c>
      <c r="C8921" s="40" t="s">
        <v>11</v>
      </c>
      <c r="D8921" s="36">
        <f>base!H8921</f>
        <v>0</v>
      </c>
      <c r="E8921" s="44"/>
      <c r="F8921" s="16">
        <f>base!W8921</f>
        <v>0</v>
      </c>
      <c r="G8921" s="11" t="e">
        <f t="shared" si="1379"/>
        <v>#DIV/0!</v>
      </c>
      <c r="H8921" s="11" t="e">
        <f t="shared" si="1380"/>
        <v>#N/A</v>
      </c>
      <c r="I8921" s="11" t="e">
        <f t="shared" si="1381"/>
        <v>#N/A</v>
      </c>
      <c r="J8921" s="12" t="e">
        <f t="shared" si="1382"/>
        <v>#N/A</v>
      </c>
      <c r="K8921" s="17" t="e">
        <f t="shared" si="1386"/>
        <v>#N/A</v>
      </c>
      <c r="L8921" s="16">
        <f>base!X8921</f>
        <v>0</v>
      </c>
      <c r="M8921" s="11" t="e">
        <f t="shared" si="1383"/>
        <v>#DIV/0!</v>
      </c>
      <c r="N8921" s="11"/>
      <c r="O8921" s="11" t="e">
        <f t="shared" si="1384"/>
        <v>#DIV/0!</v>
      </c>
      <c r="P8921" s="12">
        <f t="shared" si="1385"/>
        <v>0</v>
      </c>
      <c r="Q8921" s="17" t="str">
        <f t="shared" si="1387"/>
        <v>Pas d'écart</v>
      </c>
    </row>
    <row r="8922" spans="1:17" x14ac:dyDescent="0.3">
      <c r="A8922" s="34">
        <f>base!J8922</f>
        <v>0</v>
      </c>
      <c r="B8922" s="34">
        <f>base!V8922</f>
        <v>0</v>
      </c>
      <c r="C8922" s="40" t="s">
        <v>11</v>
      </c>
      <c r="D8922" s="36">
        <f>base!H8922</f>
        <v>0</v>
      </c>
      <c r="E8922" s="44"/>
      <c r="F8922" s="16">
        <f>base!W8922</f>
        <v>0</v>
      </c>
      <c r="G8922" s="11" t="e">
        <f t="shared" si="1379"/>
        <v>#DIV/0!</v>
      </c>
      <c r="H8922" s="11" t="e">
        <f t="shared" si="1380"/>
        <v>#N/A</v>
      </c>
      <c r="I8922" s="11" t="e">
        <f t="shared" si="1381"/>
        <v>#N/A</v>
      </c>
      <c r="J8922" s="12" t="e">
        <f t="shared" si="1382"/>
        <v>#N/A</v>
      </c>
      <c r="K8922" s="17" t="e">
        <f t="shared" si="1386"/>
        <v>#N/A</v>
      </c>
      <c r="L8922" s="16">
        <f>base!X8922</f>
        <v>0</v>
      </c>
      <c r="M8922" s="11" t="e">
        <f t="shared" si="1383"/>
        <v>#DIV/0!</v>
      </c>
      <c r="N8922" s="11"/>
      <c r="O8922" s="11" t="e">
        <f t="shared" si="1384"/>
        <v>#DIV/0!</v>
      </c>
      <c r="P8922" s="12">
        <f t="shared" si="1385"/>
        <v>0</v>
      </c>
      <c r="Q8922" s="17" t="str">
        <f t="shared" si="1387"/>
        <v>Pas d'écart</v>
      </c>
    </row>
    <row r="8923" spans="1:17" x14ac:dyDescent="0.3">
      <c r="A8923" s="34">
        <f>base!J8923</f>
        <v>0</v>
      </c>
      <c r="B8923" s="34">
        <f>base!V8923</f>
        <v>0</v>
      </c>
      <c r="C8923" s="40" t="s">
        <v>11</v>
      </c>
      <c r="D8923" s="36">
        <f>base!H8923</f>
        <v>0</v>
      </c>
      <c r="E8923" s="44"/>
      <c r="F8923" s="16">
        <f>base!W8923</f>
        <v>0</v>
      </c>
      <c r="G8923" s="11" t="e">
        <f t="shared" si="1379"/>
        <v>#DIV/0!</v>
      </c>
      <c r="H8923" s="11" t="e">
        <f t="shared" si="1380"/>
        <v>#N/A</v>
      </c>
      <c r="I8923" s="11" t="e">
        <f t="shared" si="1381"/>
        <v>#N/A</v>
      </c>
      <c r="J8923" s="12" t="e">
        <f t="shared" si="1382"/>
        <v>#N/A</v>
      </c>
      <c r="K8923" s="17" t="e">
        <f t="shared" si="1386"/>
        <v>#N/A</v>
      </c>
      <c r="L8923" s="16">
        <f>base!X8923</f>
        <v>0</v>
      </c>
      <c r="M8923" s="11" t="e">
        <f t="shared" si="1383"/>
        <v>#DIV/0!</v>
      </c>
      <c r="N8923" s="11"/>
      <c r="O8923" s="11" t="e">
        <f t="shared" si="1384"/>
        <v>#DIV/0!</v>
      </c>
      <c r="P8923" s="12">
        <f t="shared" si="1385"/>
        <v>0</v>
      </c>
      <c r="Q8923" s="17" t="str">
        <f t="shared" si="1387"/>
        <v>Pas d'écart</v>
      </c>
    </row>
    <row r="8924" spans="1:17" x14ac:dyDescent="0.3">
      <c r="A8924" s="34">
        <f>base!J8924</f>
        <v>0</v>
      </c>
      <c r="B8924" s="34">
        <f>base!V8924</f>
        <v>0</v>
      </c>
      <c r="C8924" s="40" t="s">
        <v>11</v>
      </c>
      <c r="D8924" s="36">
        <f>base!H8924</f>
        <v>0</v>
      </c>
      <c r="E8924" s="44"/>
      <c r="F8924" s="16">
        <f>base!W8924</f>
        <v>0</v>
      </c>
      <c r="G8924" s="11" t="e">
        <f t="shared" si="1379"/>
        <v>#DIV/0!</v>
      </c>
      <c r="H8924" s="11" t="e">
        <f t="shared" si="1380"/>
        <v>#N/A</v>
      </c>
      <c r="I8924" s="11" t="e">
        <f t="shared" si="1381"/>
        <v>#N/A</v>
      </c>
      <c r="J8924" s="12" t="e">
        <f t="shared" si="1382"/>
        <v>#N/A</v>
      </c>
      <c r="K8924" s="17" t="e">
        <f t="shared" si="1386"/>
        <v>#N/A</v>
      </c>
      <c r="L8924" s="16">
        <f>base!X8924</f>
        <v>0</v>
      </c>
      <c r="M8924" s="11" t="e">
        <f t="shared" si="1383"/>
        <v>#DIV/0!</v>
      </c>
      <c r="N8924" s="11"/>
      <c r="O8924" s="11" t="e">
        <f t="shared" si="1384"/>
        <v>#DIV/0!</v>
      </c>
      <c r="P8924" s="12">
        <f t="shared" si="1385"/>
        <v>0</v>
      </c>
      <c r="Q8924" s="17" t="str">
        <f t="shared" si="1387"/>
        <v>Pas d'écart</v>
      </c>
    </row>
    <row r="8925" spans="1:17" x14ac:dyDescent="0.3">
      <c r="A8925" s="34">
        <f>base!J8925</f>
        <v>0</v>
      </c>
      <c r="B8925" s="34">
        <f>base!V8925</f>
        <v>0</v>
      </c>
      <c r="C8925" s="40" t="s">
        <v>11</v>
      </c>
      <c r="D8925" s="36">
        <f>base!H8925</f>
        <v>0</v>
      </c>
      <c r="E8925" s="44"/>
      <c r="F8925" s="16">
        <f>base!W8925</f>
        <v>0</v>
      </c>
      <c r="G8925" s="11" t="e">
        <f t="shared" si="1379"/>
        <v>#DIV/0!</v>
      </c>
      <c r="H8925" s="11" t="e">
        <f t="shared" si="1380"/>
        <v>#N/A</v>
      </c>
      <c r="I8925" s="11" t="e">
        <f t="shared" si="1381"/>
        <v>#N/A</v>
      </c>
      <c r="J8925" s="12" t="e">
        <f t="shared" si="1382"/>
        <v>#N/A</v>
      </c>
      <c r="K8925" s="17" t="e">
        <f t="shared" si="1386"/>
        <v>#N/A</v>
      </c>
      <c r="L8925" s="16">
        <f>base!X8925</f>
        <v>0</v>
      </c>
      <c r="M8925" s="11" t="e">
        <f t="shared" si="1383"/>
        <v>#DIV/0!</v>
      </c>
      <c r="N8925" s="11"/>
      <c r="O8925" s="11" t="e">
        <f t="shared" si="1384"/>
        <v>#DIV/0!</v>
      </c>
      <c r="P8925" s="12">
        <f t="shared" si="1385"/>
        <v>0</v>
      </c>
      <c r="Q8925" s="17" t="str">
        <f t="shared" si="1387"/>
        <v>Pas d'écart</v>
      </c>
    </row>
    <row r="8926" spans="1:17" x14ac:dyDescent="0.3">
      <c r="A8926" s="34">
        <f>base!J8926</f>
        <v>0</v>
      </c>
      <c r="B8926" s="34">
        <f>base!V8926</f>
        <v>0</v>
      </c>
      <c r="C8926" s="40" t="s">
        <v>11</v>
      </c>
      <c r="D8926" s="36">
        <f>base!H8926</f>
        <v>0</v>
      </c>
      <c r="E8926" s="44"/>
      <c r="F8926" s="16">
        <f>base!W8926</f>
        <v>0</v>
      </c>
      <c r="G8926" s="11" t="e">
        <f t="shared" si="1379"/>
        <v>#DIV/0!</v>
      </c>
      <c r="H8926" s="11" t="e">
        <f t="shared" si="1380"/>
        <v>#N/A</v>
      </c>
      <c r="I8926" s="11" t="e">
        <f t="shared" si="1381"/>
        <v>#N/A</v>
      </c>
      <c r="J8926" s="12" t="e">
        <f t="shared" si="1382"/>
        <v>#N/A</v>
      </c>
      <c r="K8926" s="17" t="e">
        <f t="shared" si="1386"/>
        <v>#N/A</v>
      </c>
      <c r="L8926" s="16">
        <f>base!X8926</f>
        <v>0</v>
      </c>
      <c r="M8926" s="11" t="e">
        <f t="shared" si="1383"/>
        <v>#DIV/0!</v>
      </c>
      <c r="N8926" s="11"/>
      <c r="O8926" s="11" t="e">
        <f t="shared" si="1384"/>
        <v>#DIV/0!</v>
      </c>
      <c r="P8926" s="12">
        <f t="shared" si="1385"/>
        <v>0</v>
      </c>
      <c r="Q8926" s="17" t="str">
        <f t="shared" si="1387"/>
        <v>Pas d'écart</v>
      </c>
    </row>
    <row r="8927" spans="1:17" x14ac:dyDescent="0.3">
      <c r="A8927" s="34">
        <f>base!J8927</f>
        <v>0</v>
      </c>
      <c r="B8927" s="34">
        <f>base!V8927</f>
        <v>0</v>
      </c>
      <c r="C8927" s="40" t="s">
        <v>11</v>
      </c>
      <c r="D8927" s="36">
        <f>base!H8927</f>
        <v>0</v>
      </c>
      <c r="E8927" s="44"/>
      <c r="F8927" s="16">
        <f>base!W8927</f>
        <v>0</v>
      </c>
      <c r="G8927" s="11" t="e">
        <f t="shared" si="1379"/>
        <v>#DIV/0!</v>
      </c>
      <c r="H8927" s="11" t="e">
        <f t="shared" si="1380"/>
        <v>#N/A</v>
      </c>
      <c r="I8927" s="11" t="e">
        <f t="shared" si="1381"/>
        <v>#N/A</v>
      </c>
      <c r="J8927" s="12" t="e">
        <f t="shared" si="1382"/>
        <v>#N/A</v>
      </c>
      <c r="K8927" s="17" t="e">
        <f t="shared" si="1386"/>
        <v>#N/A</v>
      </c>
      <c r="L8927" s="16">
        <f>base!X8927</f>
        <v>0</v>
      </c>
      <c r="M8927" s="11" t="e">
        <f t="shared" si="1383"/>
        <v>#DIV/0!</v>
      </c>
      <c r="N8927" s="11"/>
      <c r="O8927" s="11" t="e">
        <f t="shared" si="1384"/>
        <v>#DIV/0!</v>
      </c>
      <c r="P8927" s="12">
        <f t="shared" si="1385"/>
        <v>0</v>
      </c>
      <c r="Q8927" s="17" t="str">
        <f t="shared" si="1387"/>
        <v>Pas d'écart</v>
      </c>
    </row>
    <row r="8928" spans="1:17" x14ac:dyDescent="0.3">
      <c r="A8928" s="34">
        <f>base!J8928</f>
        <v>0</v>
      </c>
      <c r="B8928" s="34">
        <f>base!V8928</f>
        <v>0</v>
      </c>
      <c r="C8928" s="40" t="s">
        <v>11</v>
      </c>
      <c r="D8928" s="36">
        <f>base!H8928</f>
        <v>0</v>
      </c>
      <c r="E8928" s="44"/>
      <c r="F8928" s="16">
        <f>base!W8928</f>
        <v>0</v>
      </c>
      <c r="G8928" s="11" t="e">
        <f t="shared" si="1379"/>
        <v>#DIV/0!</v>
      </c>
      <c r="H8928" s="11" t="e">
        <f t="shared" si="1380"/>
        <v>#N/A</v>
      </c>
      <c r="I8928" s="11" t="e">
        <f t="shared" si="1381"/>
        <v>#N/A</v>
      </c>
      <c r="J8928" s="12" t="e">
        <f t="shared" si="1382"/>
        <v>#N/A</v>
      </c>
      <c r="K8928" s="17" t="e">
        <f t="shared" si="1386"/>
        <v>#N/A</v>
      </c>
      <c r="L8928" s="16">
        <f>base!X8928</f>
        <v>0</v>
      </c>
      <c r="M8928" s="11" t="e">
        <f t="shared" si="1383"/>
        <v>#DIV/0!</v>
      </c>
      <c r="N8928" s="11"/>
      <c r="O8928" s="11" t="e">
        <f t="shared" si="1384"/>
        <v>#DIV/0!</v>
      </c>
      <c r="P8928" s="12">
        <f t="shared" si="1385"/>
        <v>0</v>
      </c>
      <c r="Q8928" s="17" t="str">
        <f t="shared" si="1387"/>
        <v>Pas d'écart</v>
      </c>
    </row>
    <row r="8929" spans="1:17" x14ac:dyDescent="0.3">
      <c r="A8929" s="34">
        <f>base!J8929</f>
        <v>0</v>
      </c>
      <c r="B8929" s="34">
        <f>base!V8929</f>
        <v>0</v>
      </c>
      <c r="C8929" s="40" t="s">
        <v>11</v>
      </c>
      <c r="D8929" s="36">
        <f>base!H8929</f>
        <v>0</v>
      </c>
      <c r="E8929" s="44"/>
      <c r="F8929" s="16">
        <f>base!W8929</f>
        <v>0</v>
      </c>
      <c r="G8929" s="11" t="e">
        <f t="shared" si="1379"/>
        <v>#DIV/0!</v>
      </c>
      <c r="H8929" s="11" t="e">
        <f t="shared" si="1380"/>
        <v>#N/A</v>
      </c>
      <c r="I8929" s="11" t="e">
        <f t="shared" si="1381"/>
        <v>#N/A</v>
      </c>
      <c r="J8929" s="12" t="e">
        <f t="shared" si="1382"/>
        <v>#N/A</v>
      </c>
      <c r="K8929" s="17" t="e">
        <f t="shared" si="1386"/>
        <v>#N/A</v>
      </c>
      <c r="L8929" s="16">
        <f>base!X8929</f>
        <v>0</v>
      </c>
      <c r="M8929" s="11" t="e">
        <f t="shared" si="1383"/>
        <v>#DIV/0!</v>
      </c>
      <c r="N8929" s="11"/>
      <c r="O8929" s="11" t="e">
        <f t="shared" si="1384"/>
        <v>#DIV/0!</v>
      </c>
      <c r="P8929" s="12">
        <f t="shared" si="1385"/>
        <v>0</v>
      </c>
      <c r="Q8929" s="17" t="str">
        <f t="shared" si="1387"/>
        <v>Pas d'écart</v>
      </c>
    </row>
    <row r="8930" spans="1:17" x14ac:dyDescent="0.3">
      <c r="A8930" s="34">
        <f>base!J8930</f>
        <v>0</v>
      </c>
      <c r="B8930" s="34">
        <f>base!V8930</f>
        <v>0</v>
      </c>
      <c r="C8930" s="40" t="s">
        <v>11</v>
      </c>
      <c r="D8930" s="36">
        <f>base!H8930</f>
        <v>0</v>
      </c>
      <c r="E8930" s="44"/>
      <c r="F8930" s="16">
        <f>base!W8930</f>
        <v>0</v>
      </c>
      <c r="G8930" s="11" t="e">
        <f t="shared" si="1379"/>
        <v>#DIV/0!</v>
      </c>
      <c r="H8930" s="11" t="e">
        <f t="shared" si="1380"/>
        <v>#N/A</v>
      </c>
      <c r="I8930" s="11" t="e">
        <f t="shared" si="1381"/>
        <v>#N/A</v>
      </c>
      <c r="J8930" s="12" t="e">
        <f t="shared" si="1382"/>
        <v>#N/A</v>
      </c>
      <c r="K8930" s="17" t="e">
        <f t="shared" si="1386"/>
        <v>#N/A</v>
      </c>
      <c r="L8930" s="16">
        <f>base!X8930</f>
        <v>0</v>
      </c>
      <c r="M8930" s="11" t="e">
        <f t="shared" si="1383"/>
        <v>#DIV/0!</v>
      </c>
      <c r="N8930" s="11"/>
      <c r="O8930" s="11" t="e">
        <f t="shared" si="1384"/>
        <v>#DIV/0!</v>
      </c>
      <c r="P8930" s="12">
        <f t="shared" si="1385"/>
        <v>0</v>
      </c>
      <c r="Q8930" s="17" t="str">
        <f t="shared" si="1387"/>
        <v>Pas d'écart</v>
      </c>
    </row>
    <row r="8931" spans="1:17" x14ac:dyDescent="0.3">
      <c r="A8931" s="34">
        <f>base!J8931</f>
        <v>0</v>
      </c>
      <c r="B8931" s="34">
        <f>base!V8931</f>
        <v>0</v>
      </c>
      <c r="C8931" s="40" t="s">
        <v>11</v>
      </c>
      <c r="D8931" s="36">
        <f>base!H8931</f>
        <v>0</v>
      </c>
      <c r="E8931" s="44"/>
      <c r="F8931" s="16">
        <f>base!W8931</f>
        <v>0</v>
      </c>
      <c r="G8931" s="11" t="e">
        <f t="shared" si="1379"/>
        <v>#DIV/0!</v>
      </c>
      <c r="H8931" s="11" t="e">
        <f t="shared" si="1380"/>
        <v>#N/A</v>
      </c>
      <c r="I8931" s="11" t="e">
        <f t="shared" si="1381"/>
        <v>#N/A</v>
      </c>
      <c r="J8931" s="12" t="e">
        <f t="shared" si="1382"/>
        <v>#N/A</v>
      </c>
      <c r="K8931" s="17" t="e">
        <f t="shared" si="1386"/>
        <v>#N/A</v>
      </c>
      <c r="L8931" s="16">
        <f>base!X8931</f>
        <v>0</v>
      </c>
      <c r="M8931" s="11" t="e">
        <f t="shared" si="1383"/>
        <v>#DIV/0!</v>
      </c>
      <c r="N8931" s="11"/>
      <c r="O8931" s="11" t="e">
        <f t="shared" si="1384"/>
        <v>#DIV/0!</v>
      </c>
      <c r="P8931" s="12">
        <f t="shared" si="1385"/>
        <v>0</v>
      </c>
      <c r="Q8931" s="17" t="str">
        <f t="shared" si="1387"/>
        <v>Pas d'écart</v>
      </c>
    </row>
    <row r="8932" spans="1:17" x14ac:dyDescent="0.3">
      <c r="A8932" s="34">
        <f>base!J8932</f>
        <v>0</v>
      </c>
      <c r="B8932" s="34">
        <f>base!V8932</f>
        <v>0</v>
      </c>
      <c r="C8932" s="40" t="s">
        <v>11</v>
      </c>
      <c r="D8932" s="36">
        <f>base!H8932</f>
        <v>0</v>
      </c>
      <c r="E8932" s="44"/>
      <c r="F8932" s="16">
        <f>base!W8932</f>
        <v>0</v>
      </c>
      <c r="G8932" s="11" t="e">
        <f t="shared" si="1379"/>
        <v>#DIV/0!</v>
      </c>
      <c r="H8932" s="11" t="e">
        <f t="shared" si="1380"/>
        <v>#N/A</v>
      </c>
      <c r="I8932" s="11" t="e">
        <f t="shared" si="1381"/>
        <v>#N/A</v>
      </c>
      <c r="J8932" s="12" t="e">
        <f t="shared" si="1382"/>
        <v>#N/A</v>
      </c>
      <c r="K8932" s="17" t="e">
        <f t="shared" si="1386"/>
        <v>#N/A</v>
      </c>
      <c r="L8932" s="16">
        <f>base!X8932</f>
        <v>0</v>
      </c>
      <c r="M8932" s="11" t="e">
        <f t="shared" si="1383"/>
        <v>#DIV/0!</v>
      </c>
      <c r="N8932" s="11"/>
      <c r="O8932" s="11" t="e">
        <f t="shared" si="1384"/>
        <v>#DIV/0!</v>
      </c>
      <c r="P8932" s="12">
        <f t="shared" si="1385"/>
        <v>0</v>
      </c>
      <c r="Q8932" s="17" t="str">
        <f t="shared" si="1387"/>
        <v>Pas d'écart</v>
      </c>
    </row>
    <row r="8933" spans="1:17" x14ac:dyDescent="0.3">
      <c r="A8933" s="34">
        <f>base!J8933</f>
        <v>0</v>
      </c>
      <c r="B8933" s="34">
        <f>base!V8933</f>
        <v>0</v>
      </c>
      <c r="C8933" s="40" t="s">
        <v>11</v>
      </c>
      <c r="D8933" s="36">
        <f>base!H8933</f>
        <v>0</v>
      </c>
      <c r="E8933" s="44"/>
      <c r="F8933" s="16">
        <f>base!W8933</f>
        <v>0</v>
      </c>
      <c r="G8933" s="11" t="e">
        <f t="shared" si="1379"/>
        <v>#DIV/0!</v>
      </c>
      <c r="H8933" s="11" t="e">
        <f t="shared" si="1380"/>
        <v>#N/A</v>
      </c>
      <c r="I8933" s="11" t="e">
        <f t="shared" si="1381"/>
        <v>#N/A</v>
      </c>
      <c r="J8933" s="12" t="e">
        <f t="shared" si="1382"/>
        <v>#N/A</v>
      </c>
      <c r="K8933" s="17" t="e">
        <f t="shared" si="1386"/>
        <v>#N/A</v>
      </c>
      <c r="L8933" s="16">
        <f>base!X8933</f>
        <v>0</v>
      </c>
      <c r="M8933" s="11" t="e">
        <f t="shared" si="1383"/>
        <v>#DIV/0!</v>
      </c>
      <c r="N8933" s="11"/>
      <c r="O8933" s="11" t="e">
        <f t="shared" si="1384"/>
        <v>#DIV/0!</v>
      </c>
      <c r="P8933" s="12">
        <f t="shared" si="1385"/>
        <v>0</v>
      </c>
      <c r="Q8933" s="17" t="str">
        <f t="shared" si="1387"/>
        <v>Pas d'écart</v>
      </c>
    </row>
    <row r="8934" spans="1:17" x14ac:dyDescent="0.3">
      <c r="A8934" s="34">
        <f>base!J8934</f>
        <v>0</v>
      </c>
      <c r="B8934" s="34">
        <f>base!V8934</f>
        <v>0</v>
      </c>
      <c r="C8934" s="40" t="s">
        <v>11</v>
      </c>
      <c r="D8934" s="36">
        <f>base!H8934</f>
        <v>0</v>
      </c>
      <c r="E8934" s="44"/>
      <c r="F8934" s="16">
        <f>base!W8934</f>
        <v>0</v>
      </c>
      <c r="G8934" s="11" t="e">
        <f t="shared" si="1379"/>
        <v>#DIV/0!</v>
      </c>
      <c r="H8934" s="11" t="e">
        <f t="shared" si="1380"/>
        <v>#N/A</v>
      </c>
      <c r="I8934" s="11" t="e">
        <f t="shared" si="1381"/>
        <v>#N/A</v>
      </c>
      <c r="J8934" s="12" t="e">
        <f t="shared" si="1382"/>
        <v>#N/A</v>
      </c>
      <c r="K8934" s="17" t="e">
        <f t="shared" si="1386"/>
        <v>#N/A</v>
      </c>
      <c r="L8934" s="16">
        <f>base!X8934</f>
        <v>0</v>
      </c>
      <c r="M8934" s="11" t="e">
        <f t="shared" si="1383"/>
        <v>#DIV/0!</v>
      </c>
      <c r="N8934" s="11"/>
      <c r="O8934" s="11" t="e">
        <f t="shared" si="1384"/>
        <v>#DIV/0!</v>
      </c>
      <c r="P8934" s="12">
        <f t="shared" si="1385"/>
        <v>0</v>
      </c>
      <c r="Q8934" s="17" t="str">
        <f t="shared" si="1387"/>
        <v>Pas d'écart</v>
      </c>
    </row>
    <row r="8935" spans="1:17" x14ac:dyDescent="0.3">
      <c r="A8935" s="34">
        <f>base!J8935</f>
        <v>0</v>
      </c>
      <c r="B8935" s="34">
        <f>base!V8935</f>
        <v>0</v>
      </c>
      <c r="C8935" s="40" t="s">
        <v>11</v>
      </c>
      <c r="D8935" s="36">
        <f>base!H8935</f>
        <v>0</v>
      </c>
      <c r="E8935" s="44"/>
      <c r="F8935" s="16">
        <f>base!W8935</f>
        <v>0</v>
      </c>
      <c r="G8935" s="11" t="e">
        <f t="shared" si="1379"/>
        <v>#DIV/0!</v>
      </c>
      <c r="H8935" s="11" t="e">
        <f t="shared" si="1380"/>
        <v>#N/A</v>
      </c>
      <c r="I8935" s="11" t="e">
        <f t="shared" si="1381"/>
        <v>#N/A</v>
      </c>
      <c r="J8935" s="12" t="e">
        <f t="shared" si="1382"/>
        <v>#N/A</v>
      </c>
      <c r="K8935" s="17" t="e">
        <f t="shared" si="1386"/>
        <v>#N/A</v>
      </c>
      <c r="L8935" s="16">
        <f>base!X8935</f>
        <v>0</v>
      </c>
      <c r="M8935" s="11" t="e">
        <f t="shared" si="1383"/>
        <v>#DIV/0!</v>
      </c>
      <c r="N8935" s="11"/>
      <c r="O8935" s="11" t="e">
        <f t="shared" si="1384"/>
        <v>#DIV/0!</v>
      </c>
      <c r="P8935" s="12">
        <f t="shared" si="1385"/>
        <v>0</v>
      </c>
      <c r="Q8935" s="17" t="str">
        <f t="shared" si="1387"/>
        <v>Pas d'écart</v>
      </c>
    </row>
    <row r="8936" spans="1:17" x14ac:dyDescent="0.3">
      <c r="A8936" s="34">
        <f>base!J8936</f>
        <v>0</v>
      </c>
      <c r="B8936" s="34">
        <f>base!V8936</f>
        <v>0</v>
      </c>
      <c r="C8936" s="40" t="s">
        <v>11</v>
      </c>
      <c r="D8936" s="36">
        <f>base!H8936</f>
        <v>0</v>
      </c>
      <c r="E8936" s="44"/>
      <c r="F8936" s="16">
        <f>base!W8936</f>
        <v>0</v>
      </c>
      <c r="G8936" s="11" t="e">
        <f t="shared" si="1379"/>
        <v>#DIV/0!</v>
      </c>
      <c r="H8936" s="11" t="e">
        <f t="shared" si="1380"/>
        <v>#N/A</v>
      </c>
      <c r="I8936" s="11" t="e">
        <f t="shared" si="1381"/>
        <v>#N/A</v>
      </c>
      <c r="J8936" s="12" t="e">
        <f t="shared" si="1382"/>
        <v>#N/A</v>
      </c>
      <c r="K8936" s="17" t="e">
        <f t="shared" si="1386"/>
        <v>#N/A</v>
      </c>
      <c r="L8936" s="16">
        <f>base!X8936</f>
        <v>0</v>
      </c>
      <c r="M8936" s="11" t="e">
        <f t="shared" si="1383"/>
        <v>#DIV/0!</v>
      </c>
      <c r="N8936" s="11"/>
      <c r="O8936" s="11" t="e">
        <f t="shared" si="1384"/>
        <v>#DIV/0!</v>
      </c>
      <c r="P8936" s="12">
        <f t="shared" si="1385"/>
        <v>0</v>
      </c>
      <c r="Q8936" s="17" t="str">
        <f t="shared" si="1387"/>
        <v>Pas d'écart</v>
      </c>
    </row>
    <row r="8937" spans="1:17" x14ac:dyDescent="0.3">
      <c r="A8937" s="34">
        <f>base!J8937</f>
        <v>0</v>
      </c>
      <c r="B8937" s="34">
        <f>base!V8937</f>
        <v>0</v>
      </c>
      <c r="C8937" s="40" t="s">
        <v>11</v>
      </c>
      <c r="D8937" s="36">
        <f>base!H8937</f>
        <v>0</v>
      </c>
      <c r="E8937" s="44"/>
      <c r="F8937" s="16">
        <f>base!W8937</f>
        <v>0</v>
      </c>
      <c r="G8937" s="11" t="e">
        <f t="shared" si="1379"/>
        <v>#DIV/0!</v>
      </c>
      <c r="H8937" s="11" t="e">
        <f t="shared" si="1380"/>
        <v>#N/A</v>
      </c>
      <c r="I8937" s="11" t="e">
        <f t="shared" si="1381"/>
        <v>#N/A</v>
      </c>
      <c r="J8937" s="12" t="e">
        <f t="shared" si="1382"/>
        <v>#N/A</v>
      </c>
      <c r="K8937" s="17" t="e">
        <f t="shared" si="1386"/>
        <v>#N/A</v>
      </c>
      <c r="L8937" s="16">
        <f>base!X8937</f>
        <v>0</v>
      </c>
      <c r="M8937" s="11" t="e">
        <f t="shared" si="1383"/>
        <v>#DIV/0!</v>
      </c>
      <c r="N8937" s="11"/>
      <c r="O8937" s="11" t="e">
        <f t="shared" si="1384"/>
        <v>#DIV/0!</v>
      </c>
      <c r="P8937" s="12">
        <f t="shared" si="1385"/>
        <v>0</v>
      </c>
      <c r="Q8937" s="17" t="str">
        <f t="shared" si="1387"/>
        <v>Pas d'écart</v>
      </c>
    </row>
    <row r="8938" spans="1:17" x14ac:dyDescent="0.3">
      <c r="A8938" s="34">
        <f>base!J8938</f>
        <v>0</v>
      </c>
      <c r="B8938" s="34">
        <f>base!V8938</f>
        <v>0</v>
      </c>
      <c r="C8938" s="40" t="s">
        <v>11</v>
      </c>
      <c r="D8938" s="36">
        <f>base!H8938</f>
        <v>0</v>
      </c>
      <c r="E8938" s="44"/>
      <c r="F8938" s="16">
        <f>base!W8938</f>
        <v>0</v>
      </c>
      <c r="G8938" s="11" t="e">
        <f t="shared" si="1379"/>
        <v>#DIV/0!</v>
      </c>
      <c r="H8938" s="11" t="e">
        <f t="shared" si="1380"/>
        <v>#N/A</v>
      </c>
      <c r="I8938" s="11" t="e">
        <f t="shared" si="1381"/>
        <v>#N/A</v>
      </c>
      <c r="J8938" s="12" t="e">
        <f t="shared" si="1382"/>
        <v>#N/A</v>
      </c>
      <c r="K8938" s="17" t="e">
        <f t="shared" si="1386"/>
        <v>#N/A</v>
      </c>
      <c r="L8938" s="16">
        <f>base!X8938</f>
        <v>0</v>
      </c>
      <c r="M8938" s="11" t="e">
        <f t="shared" si="1383"/>
        <v>#DIV/0!</v>
      </c>
      <c r="N8938" s="11"/>
      <c r="O8938" s="11" t="e">
        <f t="shared" si="1384"/>
        <v>#DIV/0!</v>
      </c>
      <c r="P8938" s="12">
        <f t="shared" si="1385"/>
        <v>0</v>
      </c>
      <c r="Q8938" s="17" t="str">
        <f t="shared" si="1387"/>
        <v>Pas d'écart</v>
      </c>
    </row>
    <row r="8939" spans="1:17" x14ac:dyDescent="0.3">
      <c r="A8939" s="34">
        <f>base!J8939</f>
        <v>0</v>
      </c>
      <c r="B8939" s="34">
        <f>base!V8939</f>
        <v>0</v>
      </c>
      <c r="C8939" s="40" t="s">
        <v>11</v>
      </c>
      <c r="D8939" s="36">
        <f>base!H8939</f>
        <v>0</v>
      </c>
      <c r="E8939" s="44"/>
      <c r="F8939" s="16">
        <f>base!W8939</f>
        <v>0</v>
      </c>
      <c r="G8939" s="11" t="e">
        <f t="shared" si="1379"/>
        <v>#DIV/0!</v>
      </c>
      <c r="H8939" s="11" t="e">
        <f t="shared" si="1380"/>
        <v>#N/A</v>
      </c>
      <c r="I8939" s="11" t="e">
        <f t="shared" si="1381"/>
        <v>#N/A</v>
      </c>
      <c r="J8939" s="12" t="e">
        <f t="shared" si="1382"/>
        <v>#N/A</v>
      </c>
      <c r="K8939" s="17" t="e">
        <f t="shared" si="1386"/>
        <v>#N/A</v>
      </c>
      <c r="L8939" s="16">
        <f>base!X8939</f>
        <v>0</v>
      </c>
      <c r="M8939" s="11" t="e">
        <f t="shared" si="1383"/>
        <v>#DIV/0!</v>
      </c>
      <c r="N8939" s="11"/>
      <c r="O8939" s="11" t="e">
        <f t="shared" si="1384"/>
        <v>#DIV/0!</v>
      </c>
      <c r="P8939" s="12">
        <f t="shared" si="1385"/>
        <v>0</v>
      </c>
      <c r="Q8939" s="17" t="str">
        <f t="shared" si="1387"/>
        <v>Pas d'écart</v>
      </c>
    </row>
    <row r="8940" spans="1:17" x14ac:dyDescent="0.3">
      <c r="A8940" s="34">
        <f>base!J8940</f>
        <v>0</v>
      </c>
      <c r="B8940" s="34">
        <f>base!V8940</f>
        <v>0</v>
      </c>
      <c r="C8940" s="40" t="s">
        <v>11</v>
      </c>
      <c r="D8940" s="36">
        <f>base!H8940</f>
        <v>0</v>
      </c>
      <c r="E8940" s="44"/>
      <c r="F8940" s="16">
        <f>base!W8940</f>
        <v>0</v>
      </c>
      <c r="G8940" s="11" t="e">
        <f t="shared" si="1379"/>
        <v>#DIV/0!</v>
      </c>
      <c r="H8940" s="11" t="e">
        <f t="shared" si="1380"/>
        <v>#N/A</v>
      </c>
      <c r="I8940" s="11" t="e">
        <f t="shared" si="1381"/>
        <v>#N/A</v>
      </c>
      <c r="J8940" s="12" t="e">
        <f t="shared" si="1382"/>
        <v>#N/A</v>
      </c>
      <c r="K8940" s="17" t="e">
        <f t="shared" si="1386"/>
        <v>#N/A</v>
      </c>
      <c r="L8940" s="16">
        <f>base!X8940</f>
        <v>0</v>
      </c>
      <c r="M8940" s="11" t="e">
        <f t="shared" si="1383"/>
        <v>#DIV/0!</v>
      </c>
      <c r="N8940" s="11"/>
      <c r="O8940" s="11" t="e">
        <f t="shared" si="1384"/>
        <v>#DIV/0!</v>
      </c>
      <c r="P8940" s="12">
        <f t="shared" si="1385"/>
        <v>0</v>
      </c>
      <c r="Q8940" s="17" t="str">
        <f t="shared" si="1387"/>
        <v>Pas d'écart</v>
      </c>
    </row>
    <row r="8941" spans="1:17" x14ac:dyDescent="0.3">
      <c r="A8941" s="34">
        <f>base!J8941</f>
        <v>0</v>
      </c>
      <c r="B8941" s="34">
        <f>base!V8941</f>
        <v>0</v>
      </c>
      <c r="C8941" s="40" t="s">
        <v>11</v>
      </c>
      <c r="D8941" s="36">
        <f>base!H8941</f>
        <v>0</v>
      </c>
      <c r="E8941" s="44"/>
      <c r="F8941" s="16">
        <f>base!W8941</f>
        <v>0</v>
      </c>
      <c r="G8941" s="11" t="e">
        <f t="shared" si="1379"/>
        <v>#DIV/0!</v>
      </c>
      <c r="H8941" s="11" t="e">
        <f t="shared" si="1380"/>
        <v>#N/A</v>
      </c>
      <c r="I8941" s="11" t="e">
        <f t="shared" si="1381"/>
        <v>#N/A</v>
      </c>
      <c r="J8941" s="12" t="e">
        <f t="shared" si="1382"/>
        <v>#N/A</v>
      </c>
      <c r="K8941" s="17" t="e">
        <f t="shared" si="1386"/>
        <v>#N/A</v>
      </c>
      <c r="L8941" s="16">
        <f>base!X8941</f>
        <v>0</v>
      </c>
      <c r="M8941" s="11" t="e">
        <f t="shared" si="1383"/>
        <v>#DIV/0!</v>
      </c>
      <c r="N8941" s="11"/>
      <c r="O8941" s="11" t="e">
        <f t="shared" si="1384"/>
        <v>#DIV/0!</v>
      </c>
      <c r="P8941" s="12">
        <f t="shared" si="1385"/>
        <v>0</v>
      </c>
      <c r="Q8941" s="17" t="str">
        <f t="shared" si="1387"/>
        <v>Pas d'écart</v>
      </c>
    </row>
    <row r="8942" spans="1:17" x14ac:dyDescent="0.3">
      <c r="A8942" s="34">
        <f>base!J8942</f>
        <v>0</v>
      </c>
      <c r="B8942" s="34">
        <f>base!V8942</f>
        <v>0</v>
      </c>
      <c r="C8942" s="40" t="s">
        <v>11</v>
      </c>
      <c r="D8942" s="36">
        <f>base!H8942</f>
        <v>0</v>
      </c>
      <c r="E8942" s="44"/>
      <c r="F8942" s="16">
        <f>base!W8942</f>
        <v>0</v>
      </c>
      <c r="G8942" s="11" t="e">
        <f t="shared" si="1379"/>
        <v>#DIV/0!</v>
      </c>
      <c r="H8942" s="11" t="e">
        <f t="shared" si="1380"/>
        <v>#N/A</v>
      </c>
      <c r="I8942" s="11" t="e">
        <f t="shared" si="1381"/>
        <v>#N/A</v>
      </c>
      <c r="J8942" s="12" t="e">
        <f t="shared" si="1382"/>
        <v>#N/A</v>
      </c>
      <c r="K8942" s="17" t="e">
        <f t="shared" si="1386"/>
        <v>#N/A</v>
      </c>
      <c r="L8942" s="16">
        <f>base!X8942</f>
        <v>0</v>
      </c>
      <c r="M8942" s="11" t="e">
        <f t="shared" si="1383"/>
        <v>#DIV/0!</v>
      </c>
      <c r="N8942" s="11"/>
      <c r="O8942" s="11" t="e">
        <f t="shared" si="1384"/>
        <v>#DIV/0!</v>
      </c>
      <c r="P8942" s="12">
        <f t="shared" si="1385"/>
        <v>0</v>
      </c>
      <c r="Q8942" s="17" t="str">
        <f t="shared" si="1387"/>
        <v>Pas d'écart</v>
      </c>
    </row>
    <row r="8943" spans="1:17" x14ac:dyDescent="0.3">
      <c r="A8943" s="34">
        <f>base!J8943</f>
        <v>0</v>
      </c>
      <c r="B8943" s="34">
        <f>base!V8943</f>
        <v>0</v>
      </c>
      <c r="C8943" s="40" t="s">
        <v>11</v>
      </c>
      <c r="D8943" s="36">
        <f>base!H8943</f>
        <v>0</v>
      </c>
      <c r="E8943" s="44"/>
      <c r="F8943" s="16">
        <f>base!W8943</f>
        <v>0</v>
      </c>
      <c r="G8943" s="11" t="e">
        <f t="shared" si="1379"/>
        <v>#DIV/0!</v>
      </c>
      <c r="H8943" s="11" t="e">
        <f t="shared" si="1380"/>
        <v>#N/A</v>
      </c>
      <c r="I8943" s="11" t="e">
        <f t="shared" si="1381"/>
        <v>#N/A</v>
      </c>
      <c r="J8943" s="12" t="e">
        <f t="shared" si="1382"/>
        <v>#N/A</v>
      </c>
      <c r="K8943" s="17" t="e">
        <f t="shared" si="1386"/>
        <v>#N/A</v>
      </c>
      <c r="L8943" s="16">
        <f>base!X8943</f>
        <v>0</v>
      </c>
      <c r="M8943" s="11" t="e">
        <f t="shared" si="1383"/>
        <v>#DIV/0!</v>
      </c>
      <c r="N8943" s="11"/>
      <c r="O8943" s="11" t="e">
        <f t="shared" si="1384"/>
        <v>#DIV/0!</v>
      </c>
      <c r="P8943" s="12">
        <f t="shared" si="1385"/>
        <v>0</v>
      </c>
      <c r="Q8943" s="17" t="str">
        <f t="shared" si="1387"/>
        <v>Pas d'écart</v>
      </c>
    </row>
    <row r="8944" spans="1:17" x14ac:dyDescent="0.3">
      <c r="A8944" s="34">
        <f>base!J8944</f>
        <v>0</v>
      </c>
      <c r="B8944" s="34">
        <f>base!V8944</f>
        <v>0</v>
      </c>
      <c r="C8944" s="40" t="s">
        <v>11</v>
      </c>
      <c r="D8944" s="36">
        <f>base!H8944</f>
        <v>0</v>
      </c>
      <c r="E8944" s="44"/>
      <c r="F8944" s="16">
        <f>base!W8944</f>
        <v>0</v>
      </c>
      <c r="G8944" s="11" t="e">
        <f t="shared" si="1379"/>
        <v>#DIV/0!</v>
      </c>
      <c r="H8944" s="11" t="e">
        <f t="shared" si="1380"/>
        <v>#N/A</v>
      </c>
      <c r="I8944" s="11" t="e">
        <f t="shared" si="1381"/>
        <v>#N/A</v>
      </c>
      <c r="J8944" s="12" t="e">
        <f t="shared" si="1382"/>
        <v>#N/A</v>
      </c>
      <c r="K8944" s="17" t="e">
        <f t="shared" si="1386"/>
        <v>#N/A</v>
      </c>
      <c r="L8944" s="16">
        <f>base!X8944</f>
        <v>0</v>
      </c>
      <c r="M8944" s="11" t="e">
        <f t="shared" si="1383"/>
        <v>#DIV/0!</v>
      </c>
      <c r="N8944" s="11"/>
      <c r="O8944" s="11" t="e">
        <f t="shared" si="1384"/>
        <v>#DIV/0!</v>
      </c>
      <c r="P8944" s="12">
        <f t="shared" si="1385"/>
        <v>0</v>
      </c>
      <c r="Q8944" s="17" t="str">
        <f t="shared" si="1387"/>
        <v>Pas d'écart</v>
      </c>
    </row>
    <row r="8945" spans="1:17" x14ac:dyDescent="0.3">
      <c r="A8945" s="34">
        <f>base!J8945</f>
        <v>0</v>
      </c>
      <c r="B8945" s="34">
        <f>base!V8945</f>
        <v>0</v>
      </c>
      <c r="C8945" s="40" t="s">
        <v>11</v>
      </c>
      <c r="D8945" s="36">
        <f>base!H8945</f>
        <v>0</v>
      </c>
      <c r="E8945" s="44"/>
      <c r="F8945" s="16">
        <f>base!W8945</f>
        <v>0</v>
      </c>
      <c r="G8945" s="11" t="e">
        <f t="shared" si="1379"/>
        <v>#DIV/0!</v>
      </c>
      <c r="H8945" s="11" t="e">
        <f t="shared" si="1380"/>
        <v>#N/A</v>
      </c>
      <c r="I8945" s="11" t="e">
        <f t="shared" si="1381"/>
        <v>#N/A</v>
      </c>
      <c r="J8945" s="12" t="e">
        <f t="shared" si="1382"/>
        <v>#N/A</v>
      </c>
      <c r="K8945" s="17" t="e">
        <f t="shared" si="1386"/>
        <v>#N/A</v>
      </c>
      <c r="L8945" s="16">
        <f>base!X8945</f>
        <v>0</v>
      </c>
      <c r="M8945" s="11" t="e">
        <f t="shared" si="1383"/>
        <v>#DIV/0!</v>
      </c>
      <c r="N8945" s="11"/>
      <c r="O8945" s="11" t="e">
        <f t="shared" si="1384"/>
        <v>#DIV/0!</v>
      </c>
      <c r="P8945" s="12">
        <f t="shared" si="1385"/>
        <v>0</v>
      </c>
      <c r="Q8945" s="17" t="str">
        <f t="shared" si="1387"/>
        <v>Pas d'écart</v>
      </c>
    </row>
    <row r="8946" spans="1:17" x14ac:dyDescent="0.3">
      <c r="A8946" s="34">
        <f>base!J8946</f>
        <v>0</v>
      </c>
      <c r="B8946" s="34">
        <f>base!V8946</f>
        <v>0</v>
      </c>
      <c r="C8946" s="40" t="s">
        <v>11</v>
      </c>
      <c r="D8946" s="36">
        <f>base!H8946</f>
        <v>0</v>
      </c>
      <c r="E8946" s="44"/>
      <c r="F8946" s="16">
        <f>base!W8946</f>
        <v>0</v>
      </c>
      <c r="G8946" s="11" t="e">
        <f t="shared" si="1379"/>
        <v>#DIV/0!</v>
      </c>
      <c r="H8946" s="11" t="e">
        <f t="shared" si="1380"/>
        <v>#N/A</v>
      </c>
      <c r="I8946" s="11" t="e">
        <f t="shared" si="1381"/>
        <v>#N/A</v>
      </c>
      <c r="J8946" s="12" t="e">
        <f t="shared" si="1382"/>
        <v>#N/A</v>
      </c>
      <c r="K8946" s="17" t="e">
        <f t="shared" si="1386"/>
        <v>#N/A</v>
      </c>
      <c r="L8946" s="16">
        <f>base!X8946</f>
        <v>0</v>
      </c>
      <c r="M8946" s="11" t="e">
        <f t="shared" si="1383"/>
        <v>#DIV/0!</v>
      </c>
      <c r="N8946" s="11"/>
      <c r="O8946" s="11" t="e">
        <f t="shared" si="1384"/>
        <v>#DIV/0!</v>
      </c>
      <c r="P8946" s="12">
        <f t="shared" si="1385"/>
        <v>0</v>
      </c>
      <c r="Q8946" s="17" t="str">
        <f t="shared" si="1387"/>
        <v>Pas d'écart</v>
      </c>
    </row>
    <row r="8947" spans="1:17" x14ac:dyDescent="0.3">
      <c r="A8947" s="34">
        <f>base!J8947</f>
        <v>0</v>
      </c>
      <c r="B8947" s="34">
        <f>base!V8947</f>
        <v>0</v>
      </c>
      <c r="C8947" s="40" t="s">
        <v>11</v>
      </c>
      <c r="D8947" s="36">
        <f>base!H8947</f>
        <v>0</v>
      </c>
      <c r="E8947" s="44"/>
      <c r="F8947" s="16">
        <f>base!W8947</f>
        <v>0</v>
      </c>
      <c r="G8947" s="11" t="e">
        <f t="shared" si="1379"/>
        <v>#DIV/0!</v>
      </c>
      <c r="H8947" s="11" t="e">
        <f t="shared" si="1380"/>
        <v>#N/A</v>
      </c>
      <c r="I8947" s="11" t="e">
        <f t="shared" si="1381"/>
        <v>#N/A</v>
      </c>
      <c r="J8947" s="12" t="e">
        <f t="shared" si="1382"/>
        <v>#N/A</v>
      </c>
      <c r="K8947" s="17" t="e">
        <f t="shared" si="1386"/>
        <v>#N/A</v>
      </c>
      <c r="L8947" s="16">
        <f>base!X8947</f>
        <v>0</v>
      </c>
      <c r="M8947" s="11" t="e">
        <f t="shared" si="1383"/>
        <v>#DIV/0!</v>
      </c>
      <c r="N8947" s="11"/>
      <c r="O8947" s="11" t="e">
        <f t="shared" si="1384"/>
        <v>#DIV/0!</v>
      </c>
      <c r="P8947" s="12">
        <f t="shared" si="1385"/>
        <v>0</v>
      </c>
      <c r="Q8947" s="17" t="str">
        <f t="shared" si="1387"/>
        <v>Pas d'écart</v>
      </c>
    </row>
    <row r="8948" spans="1:17" x14ac:dyDescent="0.3">
      <c r="A8948" s="34">
        <f>base!J8948</f>
        <v>0</v>
      </c>
      <c r="B8948" s="34">
        <f>base!V8948</f>
        <v>0</v>
      </c>
      <c r="C8948" s="40" t="s">
        <v>11</v>
      </c>
      <c r="D8948" s="36">
        <f>base!H8948</f>
        <v>0</v>
      </c>
      <c r="E8948" s="44"/>
      <c r="F8948" s="16">
        <f>base!W8948</f>
        <v>0</v>
      </c>
      <c r="G8948" s="11" t="e">
        <f t="shared" si="1379"/>
        <v>#DIV/0!</v>
      </c>
      <c r="H8948" s="11" t="e">
        <f t="shared" si="1380"/>
        <v>#N/A</v>
      </c>
      <c r="I8948" s="11" t="e">
        <f t="shared" si="1381"/>
        <v>#N/A</v>
      </c>
      <c r="J8948" s="12" t="e">
        <f t="shared" si="1382"/>
        <v>#N/A</v>
      </c>
      <c r="K8948" s="17" t="e">
        <f t="shared" si="1386"/>
        <v>#N/A</v>
      </c>
      <c r="L8948" s="16">
        <f>base!X8948</f>
        <v>0</v>
      </c>
      <c r="M8948" s="11" t="e">
        <f t="shared" si="1383"/>
        <v>#DIV/0!</v>
      </c>
      <c r="N8948" s="11"/>
      <c r="O8948" s="11" t="e">
        <f t="shared" si="1384"/>
        <v>#DIV/0!</v>
      </c>
      <c r="P8948" s="12">
        <f t="shared" si="1385"/>
        <v>0</v>
      </c>
      <c r="Q8948" s="17" t="str">
        <f t="shared" si="1387"/>
        <v>Pas d'écart</v>
      </c>
    </row>
    <row r="8949" spans="1:17" x14ac:dyDescent="0.3">
      <c r="A8949" s="34">
        <f>base!J8949</f>
        <v>0</v>
      </c>
      <c r="B8949" s="34">
        <f>base!V8949</f>
        <v>0</v>
      </c>
      <c r="C8949" s="40" t="s">
        <v>11</v>
      </c>
      <c r="D8949" s="36">
        <f>base!H8949</f>
        <v>0</v>
      </c>
      <c r="E8949" s="44"/>
      <c r="F8949" s="16">
        <f>base!W8949</f>
        <v>0</v>
      </c>
      <c r="G8949" s="11" t="e">
        <f t="shared" si="1379"/>
        <v>#DIV/0!</v>
      </c>
      <c r="H8949" s="11" t="e">
        <f t="shared" si="1380"/>
        <v>#N/A</v>
      </c>
      <c r="I8949" s="11" t="e">
        <f t="shared" si="1381"/>
        <v>#N/A</v>
      </c>
      <c r="J8949" s="12" t="e">
        <f t="shared" si="1382"/>
        <v>#N/A</v>
      </c>
      <c r="K8949" s="17" t="e">
        <f t="shared" si="1386"/>
        <v>#N/A</v>
      </c>
      <c r="L8949" s="16">
        <f>base!X8949</f>
        <v>0</v>
      </c>
      <c r="M8949" s="11" t="e">
        <f t="shared" si="1383"/>
        <v>#DIV/0!</v>
      </c>
      <c r="N8949" s="11"/>
      <c r="O8949" s="11" t="e">
        <f t="shared" si="1384"/>
        <v>#DIV/0!</v>
      </c>
      <c r="P8949" s="12">
        <f t="shared" si="1385"/>
        <v>0</v>
      </c>
      <c r="Q8949" s="17" t="str">
        <f t="shared" si="1387"/>
        <v>Pas d'écart</v>
      </c>
    </row>
    <row r="8950" spans="1:17" x14ac:dyDescent="0.3">
      <c r="A8950" s="34">
        <f>base!J8950</f>
        <v>0</v>
      </c>
      <c r="B8950" s="34">
        <f>base!V8950</f>
        <v>0</v>
      </c>
      <c r="C8950" s="40" t="s">
        <v>11</v>
      </c>
      <c r="D8950" s="36">
        <f>base!H8950</f>
        <v>0</v>
      </c>
      <c r="E8950" s="44"/>
      <c r="F8950" s="16">
        <f>base!W8950</f>
        <v>0</v>
      </c>
      <c r="G8950" s="11" t="e">
        <f t="shared" si="1379"/>
        <v>#DIV/0!</v>
      </c>
      <c r="H8950" s="11" t="e">
        <f t="shared" si="1380"/>
        <v>#N/A</v>
      </c>
      <c r="I8950" s="11" t="e">
        <f t="shared" si="1381"/>
        <v>#N/A</v>
      </c>
      <c r="J8950" s="12" t="e">
        <f t="shared" si="1382"/>
        <v>#N/A</v>
      </c>
      <c r="K8950" s="17" t="e">
        <f t="shared" si="1386"/>
        <v>#N/A</v>
      </c>
      <c r="L8950" s="16">
        <f>base!X8950</f>
        <v>0</v>
      </c>
      <c r="M8950" s="11" t="e">
        <f t="shared" si="1383"/>
        <v>#DIV/0!</v>
      </c>
      <c r="N8950" s="11"/>
      <c r="O8950" s="11" t="e">
        <f t="shared" si="1384"/>
        <v>#DIV/0!</v>
      </c>
      <c r="P8950" s="12">
        <f t="shared" si="1385"/>
        <v>0</v>
      </c>
      <c r="Q8950" s="17" t="str">
        <f t="shared" si="1387"/>
        <v>Pas d'écart</v>
      </c>
    </row>
    <row r="8951" spans="1:17" x14ac:dyDescent="0.3">
      <c r="A8951" s="34">
        <f>base!J8951</f>
        <v>0</v>
      </c>
      <c r="B8951" s="34">
        <f>base!V8951</f>
        <v>0</v>
      </c>
      <c r="C8951" s="40" t="s">
        <v>11</v>
      </c>
      <c r="D8951" s="36">
        <f>base!H8951</f>
        <v>0</v>
      </c>
      <c r="E8951" s="44"/>
      <c r="F8951" s="16">
        <f>base!W8951</f>
        <v>0</v>
      </c>
      <c r="G8951" s="11" t="e">
        <f t="shared" si="1379"/>
        <v>#DIV/0!</v>
      </c>
      <c r="H8951" s="11" t="e">
        <f t="shared" si="1380"/>
        <v>#N/A</v>
      </c>
      <c r="I8951" s="11" t="e">
        <f t="shared" si="1381"/>
        <v>#N/A</v>
      </c>
      <c r="J8951" s="12" t="e">
        <f t="shared" si="1382"/>
        <v>#N/A</v>
      </c>
      <c r="K8951" s="17" t="e">
        <f t="shared" si="1386"/>
        <v>#N/A</v>
      </c>
      <c r="L8951" s="16">
        <f>base!X8951</f>
        <v>0</v>
      </c>
      <c r="M8951" s="11" t="e">
        <f t="shared" si="1383"/>
        <v>#DIV/0!</v>
      </c>
      <c r="N8951" s="11"/>
      <c r="O8951" s="11" t="e">
        <f t="shared" si="1384"/>
        <v>#DIV/0!</v>
      </c>
      <c r="P8951" s="12">
        <f t="shared" si="1385"/>
        <v>0</v>
      </c>
      <c r="Q8951" s="17" t="str">
        <f t="shared" si="1387"/>
        <v>Pas d'écart</v>
      </c>
    </row>
    <row r="8952" spans="1:17" x14ac:dyDescent="0.3">
      <c r="A8952" s="34">
        <f>base!J8952</f>
        <v>0</v>
      </c>
      <c r="B8952" s="34">
        <f>base!V8952</f>
        <v>0</v>
      </c>
      <c r="C8952" s="40" t="s">
        <v>11</v>
      </c>
      <c r="D8952" s="36">
        <f>base!H8952</f>
        <v>0</v>
      </c>
      <c r="E8952" s="44"/>
      <c r="F8952" s="16">
        <f>base!W8952</f>
        <v>0</v>
      </c>
      <c r="G8952" s="11" t="e">
        <f t="shared" si="1379"/>
        <v>#DIV/0!</v>
      </c>
      <c r="H8952" s="11" t="e">
        <f t="shared" si="1380"/>
        <v>#N/A</v>
      </c>
      <c r="I8952" s="11" t="e">
        <f t="shared" si="1381"/>
        <v>#N/A</v>
      </c>
      <c r="J8952" s="12" t="e">
        <f t="shared" si="1382"/>
        <v>#N/A</v>
      </c>
      <c r="K8952" s="17" t="e">
        <f t="shared" si="1386"/>
        <v>#N/A</v>
      </c>
      <c r="L8952" s="16">
        <f>base!X8952</f>
        <v>0</v>
      </c>
      <c r="M8952" s="11" t="e">
        <f t="shared" si="1383"/>
        <v>#DIV/0!</v>
      </c>
      <c r="N8952" s="11"/>
      <c r="O8952" s="11" t="e">
        <f t="shared" si="1384"/>
        <v>#DIV/0!</v>
      </c>
      <c r="P8952" s="12">
        <f t="shared" si="1385"/>
        <v>0</v>
      </c>
      <c r="Q8952" s="17" t="str">
        <f t="shared" si="1387"/>
        <v>Pas d'écart</v>
      </c>
    </row>
    <row r="8953" spans="1:17" x14ac:dyDescent="0.3">
      <c r="A8953" s="34">
        <f>base!J8953</f>
        <v>0</v>
      </c>
      <c r="B8953" s="34">
        <f>base!V8953</f>
        <v>0</v>
      </c>
      <c r="C8953" s="40" t="s">
        <v>11</v>
      </c>
      <c r="D8953" s="36">
        <f>base!H8953</f>
        <v>0</v>
      </c>
      <c r="E8953" s="44"/>
      <c r="F8953" s="16">
        <f>base!W8953</f>
        <v>0</v>
      </c>
      <c r="G8953" s="11" t="e">
        <f t="shared" si="1379"/>
        <v>#DIV/0!</v>
      </c>
      <c r="H8953" s="11" t="e">
        <f t="shared" si="1380"/>
        <v>#N/A</v>
      </c>
      <c r="I8953" s="11" t="e">
        <f t="shared" si="1381"/>
        <v>#N/A</v>
      </c>
      <c r="J8953" s="12" t="e">
        <f t="shared" si="1382"/>
        <v>#N/A</v>
      </c>
      <c r="K8953" s="17" t="e">
        <f t="shared" si="1386"/>
        <v>#N/A</v>
      </c>
      <c r="L8953" s="16">
        <f>base!X8953</f>
        <v>0</v>
      </c>
      <c r="M8953" s="11" t="e">
        <f t="shared" si="1383"/>
        <v>#DIV/0!</v>
      </c>
      <c r="N8953" s="11"/>
      <c r="O8953" s="11" t="e">
        <f t="shared" si="1384"/>
        <v>#DIV/0!</v>
      </c>
      <c r="P8953" s="12">
        <f t="shared" si="1385"/>
        <v>0</v>
      </c>
      <c r="Q8953" s="17" t="str">
        <f t="shared" si="1387"/>
        <v>Pas d'écart</v>
      </c>
    </row>
    <row r="8954" spans="1:17" x14ac:dyDescent="0.3">
      <c r="A8954" s="34">
        <f>base!J8954</f>
        <v>0</v>
      </c>
      <c r="B8954" s="34">
        <f>base!V8954</f>
        <v>0</v>
      </c>
      <c r="C8954" s="40" t="s">
        <v>11</v>
      </c>
      <c r="D8954" s="36">
        <f>base!H8954</f>
        <v>0</v>
      </c>
      <c r="E8954" s="44"/>
      <c r="F8954" s="16">
        <f>base!W8954</f>
        <v>0</v>
      </c>
      <c r="G8954" s="11" t="e">
        <f t="shared" si="1379"/>
        <v>#DIV/0!</v>
      </c>
      <c r="H8954" s="11" t="e">
        <f t="shared" si="1380"/>
        <v>#N/A</v>
      </c>
      <c r="I8954" s="11" t="e">
        <f t="shared" si="1381"/>
        <v>#N/A</v>
      </c>
      <c r="J8954" s="12" t="e">
        <f t="shared" si="1382"/>
        <v>#N/A</v>
      </c>
      <c r="K8954" s="17" t="e">
        <f t="shared" si="1386"/>
        <v>#N/A</v>
      </c>
      <c r="L8954" s="16">
        <f>base!X8954</f>
        <v>0</v>
      </c>
      <c r="M8954" s="11" t="e">
        <f t="shared" si="1383"/>
        <v>#DIV/0!</v>
      </c>
      <c r="N8954" s="11"/>
      <c r="O8954" s="11" t="e">
        <f t="shared" si="1384"/>
        <v>#DIV/0!</v>
      </c>
      <c r="P8954" s="12">
        <f t="shared" si="1385"/>
        <v>0</v>
      </c>
      <c r="Q8954" s="17" t="str">
        <f t="shared" si="1387"/>
        <v>Pas d'écart</v>
      </c>
    </row>
    <row r="8955" spans="1:17" x14ac:dyDescent="0.3">
      <c r="A8955" s="34">
        <f>base!J8955</f>
        <v>0</v>
      </c>
      <c r="B8955" s="34">
        <f>base!V8955</f>
        <v>0</v>
      </c>
      <c r="C8955" s="40" t="s">
        <v>11</v>
      </c>
      <c r="D8955" s="36">
        <f>base!H8955</f>
        <v>0</v>
      </c>
      <c r="E8955" s="44"/>
      <c r="F8955" s="16">
        <f>base!W8955</f>
        <v>0</v>
      </c>
      <c r="G8955" s="11" t="e">
        <f t="shared" si="1379"/>
        <v>#DIV/0!</v>
      </c>
      <c r="H8955" s="11" t="e">
        <f t="shared" si="1380"/>
        <v>#N/A</v>
      </c>
      <c r="I8955" s="11" t="e">
        <f t="shared" si="1381"/>
        <v>#N/A</v>
      </c>
      <c r="J8955" s="12" t="e">
        <f t="shared" si="1382"/>
        <v>#N/A</v>
      </c>
      <c r="K8955" s="17" t="e">
        <f t="shared" si="1386"/>
        <v>#N/A</v>
      </c>
      <c r="L8955" s="16">
        <f>base!X8955</f>
        <v>0</v>
      </c>
      <c r="M8955" s="11" t="e">
        <f t="shared" si="1383"/>
        <v>#DIV/0!</v>
      </c>
      <c r="N8955" s="11"/>
      <c r="O8955" s="11" t="e">
        <f t="shared" si="1384"/>
        <v>#DIV/0!</v>
      </c>
      <c r="P8955" s="12">
        <f t="shared" si="1385"/>
        <v>0</v>
      </c>
      <c r="Q8955" s="17" t="str">
        <f t="shared" si="1387"/>
        <v>Pas d'écart</v>
      </c>
    </row>
    <row r="8956" spans="1:17" x14ac:dyDescent="0.3">
      <c r="A8956" s="34">
        <f>base!J8956</f>
        <v>0</v>
      </c>
      <c r="B8956" s="34">
        <f>base!V8956</f>
        <v>0</v>
      </c>
      <c r="C8956" s="40" t="s">
        <v>11</v>
      </c>
      <c r="D8956" s="36">
        <f>base!H8956</f>
        <v>0</v>
      </c>
      <c r="E8956" s="44"/>
      <c r="F8956" s="16">
        <f>base!W8956</f>
        <v>0</v>
      </c>
      <c r="G8956" s="11" t="e">
        <f t="shared" si="1379"/>
        <v>#DIV/0!</v>
      </c>
      <c r="H8956" s="11" t="e">
        <f t="shared" si="1380"/>
        <v>#N/A</v>
      </c>
      <c r="I8956" s="11" t="e">
        <f t="shared" si="1381"/>
        <v>#N/A</v>
      </c>
      <c r="J8956" s="12" t="e">
        <f t="shared" si="1382"/>
        <v>#N/A</v>
      </c>
      <c r="K8956" s="17" t="e">
        <f t="shared" si="1386"/>
        <v>#N/A</v>
      </c>
      <c r="L8956" s="16">
        <f>base!X8956</f>
        <v>0</v>
      </c>
      <c r="M8956" s="11" t="e">
        <f t="shared" si="1383"/>
        <v>#DIV/0!</v>
      </c>
      <c r="N8956" s="11"/>
      <c r="O8956" s="11" t="e">
        <f t="shared" si="1384"/>
        <v>#DIV/0!</v>
      </c>
      <c r="P8956" s="12">
        <f t="shared" si="1385"/>
        <v>0</v>
      </c>
      <c r="Q8956" s="17" t="str">
        <f t="shared" si="1387"/>
        <v>Pas d'écart</v>
      </c>
    </row>
    <row r="8957" spans="1:17" x14ac:dyDescent="0.3">
      <c r="A8957" s="34">
        <f>base!J8957</f>
        <v>0</v>
      </c>
      <c r="B8957" s="34">
        <f>base!V8957</f>
        <v>0</v>
      </c>
      <c r="C8957" s="40" t="s">
        <v>11</v>
      </c>
      <c r="D8957" s="36">
        <f>base!H8957</f>
        <v>0</v>
      </c>
      <c r="E8957" s="44"/>
      <c r="F8957" s="16">
        <f>base!W8957</f>
        <v>0</v>
      </c>
      <c r="G8957" s="11" t="e">
        <f t="shared" si="1379"/>
        <v>#DIV/0!</v>
      </c>
      <c r="H8957" s="11" t="e">
        <f t="shared" si="1380"/>
        <v>#N/A</v>
      </c>
      <c r="I8957" s="11" t="e">
        <f t="shared" si="1381"/>
        <v>#N/A</v>
      </c>
      <c r="J8957" s="12" t="e">
        <f t="shared" si="1382"/>
        <v>#N/A</v>
      </c>
      <c r="K8957" s="17" t="e">
        <f t="shared" si="1386"/>
        <v>#N/A</v>
      </c>
      <c r="L8957" s="16">
        <f>base!X8957</f>
        <v>0</v>
      </c>
      <c r="M8957" s="11" t="e">
        <f t="shared" si="1383"/>
        <v>#DIV/0!</v>
      </c>
      <c r="N8957" s="11"/>
      <c r="O8957" s="11" t="e">
        <f t="shared" si="1384"/>
        <v>#DIV/0!</v>
      </c>
      <c r="P8957" s="12">
        <f t="shared" si="1385"/>
        <v>0</v>
      </c>
      <c r="Q8957" s="17" t="str">
        <f t="shared" si="1387"/>
        <v>Pas d'écart</v>
      </c>
    </row>
    <row r="8958" spans="1:17" x14ac:dyDescent="0.3">
      <c r="A8958" s="34">
        <f>base!J8958</f>
        <v>0</v>
      </c>
      <c r="B8958" s="34">
        <f>base!V8958</f>
        <v>0</v>
      </c>
      <c r="C8958" s="40" t="s">
        <v>11</v>
      </c>
      <c r="D8958" s="36">
        <f>base!H8958</f>
        <v>0</v>
      </c>
      <c r="E8958" s="44"/>
      <c r="F8958" s="16">
        <f>base!W8958</f>
        <v>0</v>
      </c>
      <c r="G8958" s="11" t="e">
        <f t="shared" si="1379"/>
        <v>#DIV/0!</v>
      </c>
      <c r="H8958" s="11" t="e">
        <f t="shared" si="1380"/>
        <v>#N/A</v>
      </c>
      <c r="I8958" s="11" t="e">
        <f t="shared" si="1381"/>
        <v>#N/A</v>
      </c>
      <c r="J8958" s="12" t="e">
        <f t="shared" si="1382"/>
        <v>#N/A</v>
      </c>
      <c r="K8958" s="17" t="e">
        <f t="shared" si="1386"/>
        <v>#N/A</v>
      </c>
      <c r="L8958" s="16">
        <f>base!X8958</f>
        <v>0</v>
      </c>
      <c r="M8958" s="11" t="e">
        <f t="shared" si="1383"/>
        <v>#DIV/0!</v>
      </c>
      <c r="N8958" s="11"/>
      <c r="O8958" s="11" t="e">
        <f t="shared" si="1384"/>
        <v>#DIV/0!</v>
      </c>
      <c r="P8958" s="12">
        <f t="shared" si="1385"/>
        <v>0</v>
      </c>
      <c r="Q8958" s="17" t="str">
        <f t="shared" si="1387"/>
        <v>Pas d'écart</v>
      </c>
    </row>
    <row r="8959" spans="1:17" x14ac:dyDescent="0.3">
      <c r="A8959" s="34">
        <f>base!J8959</f>
        <v>0</v>
      </c>
      <c r="B8959" s="34">
        <f>base!V8959</f>
        <v>0</v>
      </c>
      <c r="C8959" s="40" t="s">
        <v>11</v>
      </c>
      <c r="D8959" s="36">
        <f>base!H8959</f>
        <v>0</v>
      </c>
      <c r="E8959" s="44"/>
      <c r="F8959" s="16">
        <f>base!W8959</f>
        <v>0</v>
      </c>
      <c r="G8959" s="11" t="e">
        <f t="shared" si="1379"/>
        <v>#DIV/0!</v>
      </c>
      <c r="H8959" s="11" t="e">
        <f t="shared" si="1380"/>
        <v>#N/A</v>
      </c>
      <c r="I8959" s="11" t="e">
        <f t="shared" si="1381"/>
        <v>#N/A</v>
      </c>
      <c r="J8959" s="12" t="e">
        <f t="shared" si="1382"/>
        <v>#N/A</v>
      </c>
      <c r="K8959" s="17" t="e">
        <f t="shared" si="1386"/>
        <v>#N/A</v>
      </c>
      <c r="L8959" s="16">
        <f>base!X8959</f>
        <v>0</v>
      </c>
      <c r="M8959" s="11" t="e">
        <f t="shared" si="1383"/>
        <v>#DIV/0!</v>
      </c>
      <c r="N8959" s="11"/>
      <c r="O8959" s="11" t="e">
        <f t="shared" si="1384"/>
        <v>#DIV/0!</v>
      </c>
      <c r="P8959" s="12">
        <f t="shared" si="1385"/>
        <v>0</v>
      </c>
      <c r="Q8959" s="17" t="str">
        <f t="shared" si="1387"/>
        <v>Pas d'écart</v>
      </c>
    </row>
    <row r="8960" spans="1:17" x14ac:dyDescent="0.3">
      <c r="A8960" s="34">
        <f>base!J8960</f>
        <v>0</v>
      </c>
      <c r="B8960" s="34">
        <f>base!V8960</f>
        <v>0</v>
      </c>
      <c r="C8960" s="40" t="s">
        <v>11</v>
      </c>
      <c r="D8960" s="36">
        <f>base!H8960</f>
        <v>0</v>
      </c>
      <c r="E8960" s="44"/>
      <c r="F8960" s="16">
        <f>base!W8960</f>
        <v>0</v>
      </c>
      <c r="G8960" s="11" t="e">
        <f t="shared" si="1379"/>
        <v>#DIV/0!</v>
      </c>
      <c r="H8960" s="11" t="e">
        <f t="shared" si="1380"/>
        <v>#N/A</v>
      </c>
      <c r="I8960" s="11" t="e">
        <f t="shared" si="1381"/>
        <v>#N/A</v>
      </c>
      <c r="J8960" s="12" t="e">
        <f t="shared" si="1382"/>
        <v>#N/A</v>
      </c>
      <c r="K8960" s="17" t="e">
        <f t="shared" si="1386"/>
        <v>#N/A</v>
      </c>
      <c r="L8960" s="16">
        <f>base!X8960</f>
        <v>0</v>
      </c>
      <c r="M8960" s="11" t="e">
        <f t="shared" si="1383"/>
        <v>#DIV/0!</v>
      </c>
      <c r="N8960" s="11"/>
      <c r="O8960" s="11" t="e">
        <f t="shared" si="1384"/>
        <v>#DIV/0!</v>
      </c>
      <c r="P8960" s="12">
        <f t="shared" si="1385"/>
        <v>0</v>
      </c>
      <c r="Q8960" s="17" t="str">
        <f t="shared" si="1387"/>
        <v>Pas d'écart</v>
      </c>
    </row>
    <row r="8961" spans="1:17" x14ac:dyDescent="0.3">
      <c r="A8961" s="34">
        <f>base!J8961</f>
        <v>0</v>
      </c>
      <c r="B8961" s="34">
        <f>base!V8961</f>
        <v>0</v>
      </c>
      <c r="C8961" s="40" t="s">
        <v>11</v>
      </c>
      <c r="D8961" s="36">
        <f>base!H8961</f>
        <v>0</v>
      </c>
      <c r="E8961" s="44"/>
      <c r="F8961" s="16">
        <f>base!W8961</f>
        <v>0</v>
      </c>
      <c r="G8961" s="11" t="e">
        <f t="shared" si="1379"/>
        <v>#DIV/0!</v>
      </c>
      <c r="H8961" s="11" t="e">
        <f t="shared" si="1380"/>
        <v>#N/A</v>
      </c>
      <c r="I8961" s="11" t="e">
        <f t="shared" si="1381"/>
        <v>#N/A</v>
      </c>
      <c r="J8961" s="12" t="e">
        <f t="shared" si="1382"/>
        <v>#N/A</v>
      </c>
      <c r="K8961" s="17" t="e">
        <f t="shared" si="1386"/>
        <v>#N/A</v>
      </c>
      <c r="L8961" s="16">
        <f>base!X8961</f>
        <v>0</v>
      </c>
      <c r="M8961" s="11" t="e">
        <f t="shared" si="1383"/>
        <v>#DIV/0!</v>
      </c>
      <c r="N8961" s="11"/>
      <c r="O8961" s="11" t="e">
        <f t="shared" si="1384"/>
        <v>#DIV/0!</v>
      </c>
      <c r="P8961" s="12">
        <f t="shared" si="1385"/>
        <v>0</v>
      </c>
      <c r="Q8961" s="17" t="str">
        <f t="shared" si="1387"/>
        <v>Pas d'écart</v>
      </c>
    </row>
    <row r="8962" spans="1:17" x14ac:dyDescent="0.3">
      <c r="A8962" s="34">
        <f>base!J8962</f>
        <v>0</v>
      </c>
      <c r="B8962" s="34">
        <f>base!V8962</f>
        <v>0</v>
      </c>
      <c r="C8962" s="40" t="s">
        <v>11</v>
      </c>
      <c r="D8962" s="36">
        <f>base!H8962</f>
        <v>0</v>
      </c>
      <c r="E8962" s="44"/>
      <c r="F8962" s="16">
        <f>base!W8962</f>
        <v>0</v>
      </c>
      <c r="G8962" s="11" t="e">
        <f t="shared" ref="G8962:G9025" si="1388">F8962/D8962</f>
        <v>#DIV/0!</v>
      </c>
      <c r="H8962" s="11" t="e">
        <f t="shared" ref="H8962:H9025" si="1389">VLOOKUP(C8962,tout_cout_traction,2,FALSE)*D8962</f>
        <v>#N/A</v>
      </c>
      <c r="I8962" s="11" t="e">
        <f t="shared" ref="I8962:I9025" si="1390">H8962/D8962</f>
        <v>#N/A</v>
      </c>
      <c r="J8962" s="12" t="e">
        <f t="shared" ref="J8962:J9025" si="1391">F8962-H8962</f>
        <v>#N/A</v>
      </c>
      <c r="K8962" s="17" t="e">
        <f t="shared" si="1386"/>
        <v>#N/A</v>
      </c>
      <c r="L8962" s="16">
        <f>base!X8962</f>
        <v>0</v>
      </c>
      <c r="M8962" s="11" t="e">
        <f t="shared" ref="M8962:M9025" si="1392">L8962/D8962</f>
        <v>#DIV/0!</v>
      </c>
      <c r="N8962" s="11"/>
      <c r="O8962" s="11" t="e">
        <f t="shared" ref="O8962:O9025" si="1393">N8962/D8962</f>
        <v>#DIV/0!</v>
      </c>
      <c r="P8962" s="12">
        <f t="shared" ref="P8962:P9025" si="1394">L8962-N8962</f>
        <v>0</v>
      </c>
      <c r="Q8962" s="17" t="str">
        <f t="shared" si="1387"/>
        <v>Pas d'écart</v>
      </c>
    </row>
    <row r="8963" spans="1:17" x14ac:dyDescent="0.3">
      <c r="A8963" s="34">
        <f>base!J8963</f>
        <v>0</v>
      </c>
      <c r="B8963" s="34">
        <f>base!V8963</f>
        <v>0</v>
      </c>
      <c r="C8963" s="40" t="s">
        <v>11</v>
      </c>
      <c r="D8963" s="36">
        <f>base!H8963</f>
        <v>0</v>
      </c>
      <c r="E8963" s="44"/>
      <c r="F8963" s="16">
        <f>base!W8963</f>
        <v>0</v>
      </c>
      <c r="G8963" s="11" t="e">
        <f t="shared" si="1388"/>
        <v>#DIV/0!</v>
      </c>
      <c r="H8963" s="11" t="e">
        <f t="shared" si="1389"/>
        <v>#N/A</v>
      </c>
      <c r="I8963" s="11" t="e">
        <f t="shared" si="1390"/>
        <v>#N/A</v>
      </c>
      <c r="J8963" s="12" t="e">
        <f t="shared" si="1391"/>
        <v>#N/A</v>
      </c>
      <c r="K8963" s="17" t="e">
        <f t="shared" ref="K8963:K9026" si="1395">IF(H8963=F8963,"Pas d'écart",IF(H8963&lt;F8963,"Ecart positif",IF(H8963&gt;F8963,"Ecart négatif")))</f>
        <v>#N/A</v>
      </c>
      <c r="L8963" s="16">
        <f>base!X8963</f>
        <v>0</v>
      </c>
      <c r="M8963" s="11" t="e">
        <f t="shared" si="1392"/>
        <v>#DIV/0!</v>
      </c>
      <c r="N8963" s="11"/>
      <c r="O8963" s="11" t="e">
        <f t="shared" si="1393"/>
        <v>#DIV/0!</v>
      </c>
      <c r="P8963" s="12">
        <f t="shared" si="1394"/>
        <v>0</v>
      </c>
      <c r="Q8963" s="17" t="str">
        <f t="shared" ref="Q8963:Q9026" si="1396">IF(N8963=L8963,"Pas d'écart",IF(N8963&lt;L8963,"Ecart positif",IF(N8963&gt;L8963,"Ecart négatif")))</f>
        <v>Pas d'écart</v>
      </c>
    </row>
    <row r="8964" spans="1:17" x14ac:dyDescent="0.3">
      <c r="A8964" s="34">
        <f>base!J8964</f>
        <v>0</v>
      </c>
      <c r="B8964" s="34">
        <f>base!V8964</f>
        <v>0</v>
      </c>
      <c r="C8964" s="40" t="s">
        <v>11</v>
      </c>
      <c r="D8964" s="36">
        <f>base!H8964</f>
        <v>0</v>
      </c>
      <c r="E8964" s="44"/>
      <c r="F8964" s="16">
        <f>base!W8964</f>
        <v>0</v>
      </c>
      <c r="G8964" s="11" t="e">
        <f t="shared" si="1388"/>
        <v>#DIV/0!</v>
      </c>
      <c r="H8964" s="11" t="e">
        <f t="shared" si="1389"/>
        <v>#N/A</v>
      </c>
      <c r="I8964" s="11" t="e">
        <f t="shared" si="1390"/>
        <v>#N/A</v>
      </c>
      <c r="J8964" s="12" t="e">
        <f t="shared" si="1391"/>
        <v>#N/A</v>
      </c>
      <c r="K8964" s="17" t="e">
        <f t="shared" si="1395"/>
        <v>#N/A</v>
      </c>
      <c r="L8964" s="16">
        <f>base!X8964</f>
        <v>0</v>
      </c>
      <c r="M8964" s="11" t="e">
        <f t="shared" si="1392"/>
        <v>#DIV/0!</v>
      </c>
      <c r="N8964" s="11"/>
      <c r="O8964" s="11" t="e">
        <f t="shared" si="1393"/>
        <v>#DIV/0!</v>
      </c>
      <c r="P8964" s="12">
        <f t="shared" si="1394"/>
        <v>0</v>
      </c>
      <c r="Q8964" s="17" t="str">
        <f t="shared" si="1396"/>
        <v>Pas d'écart</v>
      </c>
    </row>
    <row r="8965" spans="1:17" x14ac:dyDescent="0.3">
      <c r="A8965" s="34">
        <f>base!J8965</f>
        <v>0</v>
      </c>
      <c r="B8965" s="34">
        <f>base!V8965</f>
        <v>0</v>
      </c>
      <c r="C8965" s="40" t="s">
        <v>11</v>
      </c>
      <c r="D8965" s="36">
        <f>base!H8965</f>
        <v>0</v>
      </c>
      <c r="E8965" s="44"/>
      <c r="F8965" s="16">
        <f>base!W8965</f>
        <v>0</v>
      </c>
      <c r="G8965" s="11" t="e">
        <f t="shared" si="1388"/>
        <v>#DIV/0!</v>
      </c>
      <c r="H8965" s="11" t="e">
        <f t="shared" si="1389"/>
        <v>#N/A</v>
      </c>
      <c r="I8965" s="11" t="e">
        <f t="shared" si="1390"/>
        <v>#N/A</v>
      </c>
      <c r="J8965" s="12" t="e">
        <f t="shared" si="1391"/>
        <v>#N/A</v>
      </c>
      <c r="K8965" s="17" t="e">
        <f t="shared" si="1395"/>
        <v>#N/A</v>
      </c>
      <c r="L8965" s="16">
        <f>base!X8965</f>
        <v>0</v>
      </c>
      <c r="M8965" s="11" t="e">
        <f t="shared" si="1392"/>
        <v>#DIV/0!</v>
      </c>
      <c r="N8965" s="11"/>
      <c r="O8965" s="11" t="e">
        <f t="shared" si="1393"/>
        <v>#DIV/0!</v>
      </c>
      <c r="P8965" s="12">
        <f t="shared" si="1394"/>
        <v>0</v>
      </c>
      <c r="Q8965" s="17" t="str">
        <f t="shared" si="1396"/>
        <v>Pas d'écart</v>
      </c>
    </row>
    <row r="8966" spans="1:17" x14ac:dyDescent="0.3">
      <c r="A8966" s="34">
        <f>base!J8966</f>
        <v>0</v>
      </c>
      <c r="B8966" s="34">
        <f>base!V8966</f>
        <v>0</v>
      </c>
      <c r="C8966" s="40" t="s">
        <v>11</v>
      </c>
      <c r="D8966" s="36">
        <f>base!H8966</f>
        <v>0</v>
      </c>
      <c r="E8966" s="44"/>
      <c r="F8966" s="16">
        <f>base!W8966</f>
        <v>0</v>
      </c>
      <c r="G8966" s="11" t="e">
        <f t="shared" si="1388"/>
        <v>#DIV/0!</v>
      </c>
      <c r="H8966" s="11" t="e">
        <f t="shared" si="1389"/>
        <v>#N/A</v>
      </c>
      <c r="I8966" s="11" t="e">
        <f t="shared" si="1390"/>
        <v>#N/A</v>
      </c>
      <c r="J8966" s="12" t="e">
        <f t="shared" si="1391"/>
        <v>#N/A</v>
      </c>
      <c r="K8966" s="17" t="e">
        <f t="shared" si="1395"/>
        <v>#N/A</v>
      </c>
      <c r="L8966" s="16">
        <f>base!X8966</f>
        <v>0</v>
      </c>
      <c r="M8966" s="11" t="e">
        <f t="shared" si="1392"/>
        <v>#DIV/0!</v>
      </c>
      <c r="N8966" s="11"/>
      <c r="O8966" s="11" t="e">
        <f t="shared" si="1393"/>
        <v>#DIV/0!</v>
      </c>
      <c r="P8966" s="12">
        <f t="shared" si="1394"/>
        <v>0</v>
      </c>
      <c r="Q8966" s="17" t="str">
        <f t="shared" si="1396"/>
        <v>Pas d'écart</v>
      </c>
    </row>
    <row r="8967" spans="1:17" x14ac:dyDescent="0.3">
      <c r="A8967" s="34">
        <f>base!J8967</f>
        <v>0</v>
      </c>
      <c r="B8967" s="34">
        <f>base!V8967</f>
        <v>0</v>
      </c>
      <c r="C8967" s="40" t="s">
        <v>11</v>
      </c>
      <c r="D8967" s="36">
        <f>base!H8967</f>
        <v>0</v>
      </c>
      <c r="E8967" s="44"/>
      <c r="F8967" s="16">
        <f>base!W8967</f>
        <v>0</v>
      </c>
      <c r="G8967" s="11" t="e">
        <f t="shared" si="1388"/>
        <v>#DIV/0!</v>
      </c>
      <c r="H8967" s="11" t="e">
        <f t="shared" si="1389"/>
        <v>#N/A</v>
      </c>
      <c r="I8967" s="11" t="e">
        <f t="shared" si="1390"/>
        <v>#N/A</v>
      </c>
      <c r="J8967" s="12" t="e">
        <f t="shared" si="1391"/>
        <v>#N/A</v>
      </c>
      <c r="K8967" s="17" t="e">
        <f t="shared" si="1395"/>
        <v>#N/A</v>
      </c>
      <c r="L8967" s="16">
        <f>base!X8967</f>
        <v>0</v>
      </c>
      <c r="M8967" s="11" t="e">
        <f t="shared" si="1392"/>
        <v>#DIV/0!</v>
      </c>
      <c r="N8967" s="11"/>
      <c r="O8967" s="11" t="e">
        <f t="shared" si="1393"/>
        <v>#DIV/0!</v>
      </c>
      <c r="P8967" s="12">
        <f t="shared" si="1394"/>
        <v>0</v>
      </c>
      <c r="Q8967" s="17" t="str">
        <f t="shared" si="1396"/>
        <v>Pas d'écart</v>
      </c>
    </row>
    <row r="8968" spans="1:17" x14ac:dyDescent="0.3">
      <c r="A8968" s="34">
        <f>base!J8968</f>
        <v>0</v>
      </c>
      <c r="B8968" s="34">
        <f>base!V8968</f>
        <v>0</v>
      </c>
      <c r="C8968" s="40" t="s">
        <v>11</v>
      </c>
      <c r="D8968" s="36">
        <f>base!H8968</f>
        <v>0</v>
      </c>
      <c r="E8968" s="44"/>
      <c r="F8968" s="16">
        <f>base!W8968</f>
        <v>0</v>
      </c>
      <c r="G8968" s="11" t="e">
        <f t="shared" si="1388"/>
        <v>#DIV/0!</v>
      </c>
      <c r="H8968" s="11" t="e">
        <f t="shared" si="1389"/>
        <v>#N/A</v>
      </c>
      <c r="I8968" s="11" t="e">
        <f t="shared" si="1390"/>
        <v>#N/A</v>
      </c>
      <c r="J8968" s="12" t="e">
        <f t="shared" si="1391"/>
        <v>#N/A</v>
      </c>
      <c r="K8968" s="17" t="e">
        <f t="shared" si="1395"/>
        <v>#N/A</v>
      </c>
      <c r="L8968" s="16">
        <f>base!X8968</f>
        <v>0</v>
      </c>
      <c r="M8968" s="11" t="e">
        <f t="shared" si="1392"/>
        <v>#DIV/0!</v>
      </c>
      <c r="N8968" s="11"/>
      <c r="O8968" s="11" t="e">
        <f t="shared" si="1393"/>
        <v>#DIV/0!</v>
      </c>
      <c r="P8968" s="12">
        <f t="shared" si="1394"/>
        <v>0</v>
      </c>
      <c r="Q8968" s="17" t="str">
        <f t="shared" si="1396"/>
        <v>Pas d'écart</v>
      </c>
    </row>
    <row r="8969" spans="1:17" x14ac:dyDescent="0.3">
      <c r="A8969" s="34">
        <f>base!J8969</f>
        <v>0</v>
      </c>
      <c r="B8969" s="34">
        <f>base!V8969</f>
        <v>0</v>
      </c>
      <c r="C8969" s="40" t="s">
        <v>11</v>
      </c>
      <c r="D8969" s="36">
        <f>base!H8969</f>
        <v>0</v>
      </c>
      <c r="E8969" s="44"/>
      <c r="F8969" s="16">
        <f>base!W8969</f>
        <v>0</v>
      </c>
      <c r="G8969" s="11" t="e">
        <f t="shared" si="1388"/>
        <v>#DIV/0!</v>
      </c>
      <c r="H8969" s="11" t="e">
        <f t="shared" si="1389"/>
        <v>#N/A</v>
      </c>
      <c r="I8969" s="11" t="e">
        <f t="shared" si="1390"/>
        <v>#N/A</v>
      </c>
      <c r="J8969" s="12" t="e">
        <f t="shared" si="1391"/>
        <v>#N/A</v>
      </c>
      <c r="K8969" s="17" t="e">
        <f t="shared" si="1395"/>
        <v>#N/A</v>
      </c>
      <c r="L8969" s="16">
        <f>base!X8969</f>
        <v>0</v>
      </c>
      <c r="M8969" s="11" t="e">
        <f t="shared" si="1392"/>
        <v>#DIV/0!</v>
      </c>
      <c r="N8969" s="11"/>
      <c r="O8969" s="11" t="e">
        <f t="shared" si="1393"/>
        <v>#DIV/0!</v>
      </c>
      <c r="P8969" s="12">
        <f t="shared" si="1394"/>
        <v>0</v>
      </c>
      <c r="Q8969" s="17" t="str">
        <f t="shared" si="1396"/>
        <v>Pas d'écart</v>
      </c>
    </row>
    <row r="8970" spans="1:17" x14ac:dyDescent="0.3">
      <c r="A8970" s="34">
        <f>base!J8970</f>
        <v>0</v>
      </c>
      <c r="B8970" s="34">
        <f>base!V8970</f>
        <v>0</v>
      </c>
      <c r="C8970" s="40" t="s">
        <v>11</v>
      </c>
      <c r="D8970" s="36">
        <f>base!H8970</f>
        <v>0</v>
      </c>
      <c r="E8970" s="44"/>
      <c r="F8970" s="16">
        <f>base!W8970</f>
        <v>0</v>
      </c>
      <c r="G8970" s="11" t="e">
        <f t="shared" si="1388"/>
        <v>#DIV/0!</v>
      </c>
      <c r="H8970" s="11" t="e">
        <f t="shared" si="1389"/>
        <v>#N/A</v>
      </c>
      <c r="I8970" s="11" t="e">
        <f t="shared" si="1390"/>
        <v>#N/A</v>
      </c>
      <c r="J8970" s="12" t="e">
        <f t="shared" si="1391"/>
        <v>#N/A</v>
      </c>
      <c r="K8970" s="17" t="e">
        <f t="shared" si="1395"/>
        <v>#N/A</v>
      </c>
      <c r="L8970" s="16">
        <f>base!X8970</f>
        <v>0</v>
      </c>
      <c r="M8970" s="11" t="e">
        <f t="shared" si="1392"/>
        <v>#DIV/0!</v>
      </c>
      <c r="N8970" s="11"/>
      <c r="O8970" s="11" t="e">
        <f t="shared" si="1393"/>
        <v>#DIV/0!</v>
      </c>
      <c r="P8970" s="12">
        <f t="shared" si="1394"/>
        <v>0</v>
      </c>
      <c r="Q8970" s="17" t="str">
        <f t="shared" si="1396"/>
        <v>Pas d'écart</v>
      </c>
    </row>
    <row r="8971" spans="1:17" x14ac:dyDescent="0.3">
      <c r="A8971" s="34">
        <f>base!J8971</f>
        <v>0</v>
      </c>
      <c r="B8971" s="34">
        <f>base!V8971</f>
        <v>0</v>
      </c>
      <c r="C8971" s="40" t="s">
        <v>11</v>
      </c>
      <c r="D8971" s="36">
        <f>base!H8971</f>
        <v>0</v>
      </c>
      <c r="E8971" s="44"/>
      <c r="F8971" s="16">
        <f>base!W8971</f>
        <v>0</v>
      </c>
      <c r="G8971" s="11" t="e">
        <f t="shared" si="1388"/>
        <v>#DIV/0!</v>
      </c>
      <c r="H8971" s="11" t="e">
        <f t="shared" si="1389"/>
        <v>#N/A</v>
      </c>
      <c r="I8971" s="11" t="e">
        <f t="shared" si="1390"/>
        <v>#N/A</v>
      </c>
      <c r="J8971" s="12" t="e">
        <f t="shared" si="1391"/>
        <v>#N/A</v>
      </c>
      <c r="K8971" s="17" t="e">
        <f t="shared" si="1395"/>
        <v>#N/A</v>
      </c>
      <c r="L8971" s="16">
        <f>base!X8971</f>
        <v>0</v>
      </c>
      <c r="M8971" s="11" t="e">
        <f t="shared" si="1392"/>
        <v>#DIV/0!</v>
      </c>
      <c r="N8971" s="11"/>
      <c r="O8971" s="11" t="e">
        <f t="shared" si="1393"/>
        <v>#DIV/0!</v>
      </c>
      <c r="P8971" s="12">
        <f t="shared" si="1394"/>
        <v>0</v>
      </c>
      <c r="Q8971" s="17" t="str">
        <f t="shared" si="1396"/>
        <v>Pas d'écart</v>
      </c>
    </row>
    <row r="8972" spans="1:17" x14ac:dyDescent="0.3">
      <c r="A8972" s="34">
        <f>base!J8972</f>
        <v>0</v>
      </c>
      <c r="B8972" s="34">
        <f>base!V8972</f>
        <v>0</v>
      </c>
      <c r="C8972" s="40" t="s">
        <v>11</v>
      </c>
      <c r="D8972" s="36">
        <f>base!H8972</f>
        <v>0</v>
      </c>
      <c r="E8972" s="44"/>
      <c r="F8972" s="16">
        <f>base!W8972</f>
        <v>0</v>
      </c>
      <c r="G8972" s="11" t="e">
        <f t="shared" si="1388"/>
        <v>#DIV/0!</v>
      </c>
      <c r="H8972" s="11" t="e">
        <f t="shared" si="1389"/>
        <v>#N/A</v>
      </c>
      <c r="I8972" s="11" t="e">
        <f t="shared" si="1390"/>
        <v>#N/A</v>
      </c>
      <c r="J8972" s="12" t="e">
        <f t="shared" si="1391"/>
        <v>#N/A</v>
      </c>
      <c r="K8972" s="17" t="e">
        <f t="shared" si="1395"/>
        <v>#N/A</v>
      </c>
      <c r="L8972" s="16">
        <f>base!X8972</f>
        <v>0</v>
      </c>
      <c r="M8972" s="11" t="e">
        <f t="shared" si="1392"/>
        <v>#DIV/0!</v>
      </c>
      <c r="N8972" s="11"/>
      <c r="O8972" s="11" t="e">
        <f t="shared" si="1393"/>
        <v>#DIV/0!</v>
      </c>
      <c r="P8972" s="12">
        <f t="shared" si="1394"/>
        <v>0</v>
      </c>
      <c r="Q8972" s="17" t="str">
        <f t="shared" si="1396"/>
        <v>Pas d'écart</v>
      </c>
    </row>
    <row r="8973" spans="1:17" x14ac:dyDescent="0.3">
      <c r="A8973" s="34">
        <f>base!J8973</f>
        <v>0</v>
      </c>
      <c r="B8973" s="34">
        <f>base!V8973</f>
        <v>0</v>
      </c>
      <c r="C8973" s="40" t="s">
        <v>11</v>
      </c>
      <c r="D8973" s="36">
        <f>base!H8973</f>
        <v>0</v>
      </c>
      <c r="E8973" s="44"/>
      <c r="F8973" s="16">
        <f>base!W8973</f>
        <v>0</v>
      </c>
      <c r="G8973" s="11" t="e">
        <f t="shared" si="1388"/>
        <v>#DIV/0!</v>
      </c>
      <c r="H8973" s="11" t="e">
        <f t="shared" si="1389"/>
        <v>#N/A</v>
      </c>
      <c r="I8973" s="11" t="e">
        <f t="shared" si="1390"/>
        <v>#N/A</v>
      </c>
      <c r="J8973" s="12" t="e">
        <f t="shared" si="1391"/>
        <v>#N/A</v>
      </c>
      <c r="K8973" s="17" t="e">
        <f t="shared" si="1395"/>
        <v>#N/A</v>
      </c>
      <c r="L8973" s="16">
        <f>base!X8973</f>
        <v>0</v>
      </c>
      <c r="M8973" s="11" t="e">
        <f t="shared" si="1392"/>
        <v>#DIV/0!</v>
      </c>
      <c r="N8973" s="11"/>
      <c r="O8973" s="11" t="e">
        <f t="shared" si="1393"/>
        <v>#DIV/0!</v>
      </c>
      <c r="P8973" s="12">
        <f t="shared" si="1394"/>
        <v>0</v>
      </c>
      <c r="Q8973" s="17" t="str">
        <f t="shared" si="1396"/>
        <v>Pas d'écart</v>
      </c>
    </row>
    <row r="8974" spans="1:17" x14ac:dyDescent="0.3">
      <c r="A8974" s="34">
        <f>base!J8974</f>
        <v>0</v>
      </c>
      <c r="B8974" s="34">
        <f>base!V8974</f>
        <v>0</v>
      </c>
      <c r="C8974" s="40" t="s">
        <v>11</v>
      </c>
      <c r="D8974" s="36">
        <f>base!H8974</f>
        <v>0</v>
      </c>
      <c r="E8974" s="44"/>
      <c r="F8974" s="16">
        <f>base!W8974</f>
        <v>0</v>
      </c>
      <c r="G8974" s="11" t="e">
        <f t="shared" si="1388"/>
        <v>#DIV/0!</v>
      </c>
      <c r="H8974" s="11" t="e">
        <f t="shared" si="1389"/>
        <v>#N/A</v>
      </c>
      <c r="I8974" s="11" t="e">
        <f t="shared" si="1390"/>
        <v>#N/A</v>
      </c>
      <c r="J8974" s="12" t="e">
        <f t="shared" si="1391"/>
        <v>#N/A</v>
      </c>
      <c r="K8974" s="17" t="e">
        <f t="shared" si="1395"/>
        <v>#N/A</v>
      </c>
      <c r="L8974" s="16">
        <f>base!X8974</f>
        <v>0</v>
      </c>
      <c r="M8974" s="11" t="e">
        <f t="shared" si="1392"/>
        <v>#DIV/0!</v>
      </c>
      <c r="N8974" s="11"/>
      <c r="O8974" s="11" t="e">
        <f t="shared" si="1393"/>
        <v>#DIV/0!</v>
      </c>
      <c r="P8974" s="12">
        <f t="shared" si="1394"/>
        <v>0</v>
      </c>
      <c r="Q8974" s="17" t="str">
        <f t="shared" si="1396"/>
        <v>Pas d'écart</v>
      </c>
    </row>
    <row r="8975" spans="1:17" x14ac:dyDescent="0.3">
      <c r="A8975" s="34">
        <f>base!J8975</f>
        <v>0</v>
      </c>
      <c r="B8975" s="34">
        <f>base!V8975</f>
        <v>0</v>
      </c>
      <c r="C8975" s="40" t="s">
        <v>11</v>
      </c>
      <c r="D8975" s="36">
        <f>base!H8975</f>
        <v>0</v>
      </c>
      <c r="E8975" s="44"/>
      <c r="F8975" s="16">
        <f>base!W8975</f>
        <v>0</v>
      </c>
      <c r="G8975" s="11" t="e">
        <f t="shared" si="1388"/>
        <v>#DIV/0!</v>
      </c>
      <c r="H8975" s="11" t="e">
        <f t="shared" si="1389"/>
        <v>#N/A</v>
      </c>
      <c r="I8975" s="11" t="e">
        <f t="shared" si="1390"/>
        <v>#N/A</v>
      </c>
      <c r="J8975" s="12" t="e">
        <f t="shared" si="1391"/>
        <v>#N/A</v>
      </c>
      <c r="K8975" s="17" t="e">
        <f t="shared" si="1395"/>
        <v>#N/A</v>
      </c>
      <c r="L8975" s="16">
        <f>base!X8975</f>
        <v>0</v>
      </c>
      <c r="M8975" s="11" t="e">
        <f t="shared" si="1392"/>
        <v>#DIV/0!</v>
      </c>
      <c r="N8975" s="11"/>
      <c r="O8975" s="11" t="e">
        <f t="shared" si="1393"/>
        <v>#DIV/0!</v>
      </c>
      <c r="P8975" s="12">
        <f t="shared" si="1394"/>
        <v>0</v>
      </c>
      <c r="Q8975" s="17" t="str">
        <f t="shared" si="1396"/>
        <v>Pas d'écart</v>
      </c>
    </row>
    <row r="8976" spans="1:17" x14ac:dyDescent="0.3">
      <c r="A8976" s="34">
        <f>base!J8976</f>
        <v>0</v>
      </c>
      <c r="B8976" s="34">
        <f>base!V8976</f>
        <v>0</v>
      </c>
      <c r="C8976" s="40" t="s">
        <v>11</v>
      </c>
      <c r="D8976" s="36">
        <f>base!H8976</f>
        <v>0</v>
      </c>
      <c r="E8976" s="44"/>
      <c r="F8976" s="16">
        <f>base!W8976</f>
        <v>0</v>
      </c>
      <c r="G8976" s="11" t="e">
        <f t="shared" si="1388"/>
        <v>#DIV/0!</v>
      </c>
      <c r="H8976" s="11" t="e">
        <f t="shared" si="1389"/>
        <v>#N/A</v>
      </c>
      <c r="I8976" s="11" t="e">
        <f t="shared" si="1390"/>
        <v>#N/A</v>
      </c>
      <c r="J8976" s="12" t="e">
        <f t="shared" si="1391"/>
        <v>#N/A</v>
      </c>
      <c r="K8976" s="17" t="e">
        <f t="shared" si="1395"/>
        <v>#N/A</v>
      </c>
      <c r="L8976" s="16">
        <f>base!X8976</f>
        <v>0</v>
      </c>
      <c r="M8976" s="11" t="e">
        <f t="shared" si="1392"/>
        <v>#DIV/0!</v>
      </c>
      <c r="N8976" s="11"/>
      <c r="O8976" s="11" t="e">
        <f t="shared" si="1393"/>
        <v>#DIV/0!</v>
      </c>
      <c r="P8976" s="12">
        <f t="shared" si="1394"/>
        <v>0</v>
      </c>
      <c r="Q8976" s="17" t="str">
        <f t="shared" si="1396"/>
        <v>Pas d'écart</v>
      </c>
    </row>
    <row r="8977" spans="1:17" x14ac:dyDescent="0.3">
      <c r="A8977" s="34">
        <f>base!J8977</f>
        <v>0</v>
      </c>
      <c r="B8977" s="34">
        <f>base!V8977</f>
        <v>0</v>
      </c>
      <c r="C8977" s="40" t="s">
        <v>11</v>
      </c>
      <c r="D8977" s="36">
        <f>base!H8977</f>
        <v>0</v>
      </c>
      <c r="E8977" s="44"/>
      <c r="F8977" s="16">
        <f>base!W8977</f>
        <v>0</v>
      </c>
      <c r="G8977" s="11" t="e">
        <f t="shared" si="1388"/>
        <v>#DIV/0!</v>
      </c>
      <c r="H8977" s="11" t="e">
        <f t="shared" si="1389"/>
        <v>#N/A</v>
      </c>
      <c r="I8977" s="11" t="e">
        <f t="shared" si="1390"/>
        <v>#N/A</v>
      </c>
      <c r="J8977" s="12" t="e">
        <f t="shared" si="1391"/>
        <v>#N/A</v>
      </c>
      <c r="K8977" s="17" t="e">
        <f t="shared" si="1395"/>
        <v>#N/A</v>
      </c>
      <c r="L8977" s="16">
        <f>base!X8977</f>
        <v>0</v>
      </c>
      <c r="M8977" s="11" t="e">
        <f t="shared" si="1392"/>
        <v>#DIV/0!</v>
      </c>
      <c r="N8977" s="11"/>
      <c r="O8977" s="11" t="e">
        <f t="shared" si="1393"/>
        <v>#DIV/0!</v>
      </c>
      <c r="P8977" s="12">
        <f t="shared" si="1394"/>
        <v>0</v>
      </c>
      <c r="Q8977" s="17" t="str">
        <f t="shared" si="1396"/>
        <v>Pas d'écart</v>
      </c>
    </row>
    <row r="8978" spans="1:17" x14ac:dyDescent="0.3">
      <c r="A8978" s="34">
        <f>base!J8978</f>
        <v>0</v>
      </c>
      <c r="B8978" s="34">
        <f>base!V8978</f>
        <v>0</v>
      </c>
      <c r="C8978" s="40" t="s">
        <v>11</v>
      </c>
      <c r="D8978" s="36">
        <f>base!H8978</f>
        <v>0</v>
      </c>
      <c r="E8978" s="44"/>
      <c r="F8978" s="16">
        <f>base!W8978</f>
        <v>0</v>
      </c>
      <c r="G8978" s="11" t="e">
        <f t="shared" si="1388"/>
        <v>#DIV/0!</v>
      </c>
      <c r="H8978" s="11" t="e">
        <f t="shared" si="1389"/>
        <v>#N/A</v>
      </c>
      <c r="I8978" s="11" t="e">
        <f t="shared" si="1390"/>
        <v>#N/A</v>
      </c>
      <c r="J8978" s="12" t="e">
        <f t="shared" si="1391"/>
        <v>#N/A</v>
      </c>
      <c r="K8978" s="17" t="e">
        <f t="shared" si="1395"/>
        <v>#N/A</v>
      </c>
      <c r="L8978" s="16">
        <f>base!X8978</f>
        <v>0</v>
      </c>
      <c r="M8978" s="11" t="e">
        <f t="shared" si="1392"/>
        <v>#DIV/0!</v>
      </c>
      <c r="N8978" s="11"/>
      <c r="O8978" s="11" t="e">
        <f t="shared" si="1393"/>
        <v>#DIV/0!</v>
      </c>
      <c r="P8978" s="12">
        <f t="shared" si="1394"/>
        <v>0</v>
      </c>
      <c r="Q8978" s="17" t="str">
        <f t="shared" si="1396"/>
        <v>Pas d'écart</v>
      </c>
    </row>
    <row r="8979" spans="1:17" x14ac:dyDescent="0.3">
      <c r="A8979" s="34">
        <f>base!J8979</f>
        <v>0</v>
      </c>
      <c r="B8979" s="34">
        <f>base!V8979</f>
        <v>0</v>
      </c>
      <c r="C8979" s="40" t="s">
        <v>11</v>
      </c>
      <c r="D8979" s="36">
        <f>base!H8979</f>
        <v>0</v>
      </c>
      <c r="E8979" s="44"/>
      <c r="F8979" s="16">
        <f>base!W8979</f>
        <v>0</v>
      </c>
      <c r="G8979" s="11" t="e">
        <f t="shared" si="1388"/>
        <v>#DIV/0!</v>
      </c>
      <c r="H8979" s="11" t="e">
        <f t="shared" si="1389"/>
        <v>#N/A</v>
      </c>
      <c r="I8979" s="11" t="e">
        <f t="shared" si="1390"/>
        <v>#N/A</v>
      </c>
      <c r="J8979" s="12" t="e">
        <f t="shared" si="1391"/>
        <v>#N/A</v>
      </c>
      <c r="K8979" s="17" t="e">
        <f t="shared" si="1395"/>
        <v>#N/A</v>
      </c>
      <c r="L8979" s="16">
        <f>base!X8979</f>
        <v>0</v>
      </c>
      <c r="M8979" s="11" t="e">
        <f t="shared" si="1392"/>
        <v>#DIV/0!</v>
      </c>
      <c r="N8979" s="11"/>
      <c r="O8979" s="11" t="e">
        <f t="shared" si="1393"/>
        <v>#DIV/0!</v>
      </c>
      <c r="P8979" s="12">
        <f t="shared" si="1394"/>
        <v>0</v>
      </c>
      <c r="Q8979" s="17" t="str">
        <f t="shared" si="1396"/>
        <v>Pas d'écart</v>
      </c>
    </row>
    <row r="8980" spans="1:17" x14ac:dyDescent="0.3">
      <c r="A8980" s="34">
        <f>base!J8980</f>
        <v>0</v>
      </c>
      <c r="B8980" s="34">
        <f>base!V8980</f>
        <v>0</v>
      </c>
      <c r="C8980" s="40" t="s">
        <v>11</v>
      </c>
      <c r="D8980" s="36">
        <f>base!H8980</f>
        <v>0</v>
      </c>
      <c r="E8980" s="44"/>
      <c r="F8980" s="16">
        <f>base!W8980</f>
        <v>0</v>
      </c>
      <c r="G8980" s="11" t="e">
        <f t="shared" si="1388"/>
        <v>#DIV/0!</v>
      </c>
      <c r="H8980" s="11" t="e">
        <f t="shared" si="1389"/>
        <v>#N/A</v>
      </c>
      <c r="I8980" s="11" t="e">
        <f t="shared" si="1390"/>
        <v>#N/A</v>
      </c>
      <c r="J8980" s="12" t="e">
        <f t="shared" si="1391"/>
        <v>#N/A</v>
      </c>
      <c r="K8980" s="17" t="e">
        <f t="shared" si="1395"/>
        <v>#N/A</v>
      </c>
      <c r="L8980" s="16">
        <f>base!X8980</f>
        <v>0</v>
      </c>
      <c r="M8980" s="11" t="e">
        <f t="shared" si="1392"/>
        <v>#DIV/0!</v>
      </c>
      <c r="N8980" s="11"/>
      <c r="O8980" s="11" t="e">
        <f t="shared" si="1393"/>
        <v>#DIV/0!</v>
      </c>
      <c r="P8980" s="12">
        <f t="shared" si="1394"/>
        <v>0</v>
      </c>
      <c r="Q8980" s="17" t="str">
        <f t="shared" si="1396"/>
        <v>Pas d'écart</v>
      </c>
    </row>
    <row r="8981" spans="1:17" x14ac:dyDescent="0.3">
      <c r="A8981" s="34">
        <f>base!J8981</f>
        <v>0</v>
      </c>
      <c r="B8981" s="34">
        <f>base!V8981</f>
        <v>0</v>
      </c>
      <c r="C8981" s="40" t="s">
        <v>11</v>
      </c>
      <c r="D8981" s="36">
        <f>base!H8981</f>
        <v>0</v>
      </c>
      <c r="E8981" s="44"/>
      <c r="F8981" s="16">
        <f>base!W8981</f>
        <v>0</v>
      </c>
      <c r="G8981" s="11" t="e">
        <f t="shared" si="1388"/>
        <v>#DIV/0!</v>
      </c>
      <c r="H8981" s="11" t="e">
        <f t="shared" si="1389"/>
        <v>#N/A</v>
      </c>
      <c r="I8981" s="11" t="e">
        <f t="shared" si="1390"/>
        <v>#N/A</v>
      </c>
      <c r="J8981" s="12" t="e">
        <f t="shared" si="1391"/>
        <v>#N/A</v>
      </c>
      <c r="K8981" s="17" t="e">
        <f t="shared" si="1395"/>
        <v>#N/A</v>
      </c>
      <c r="L8981" s="16">
        <f>base!X8981</f>
        <v>0</v>
      </c>
      <c r="M8981" s="11" t="e">
        <f t="shared" si="1392"/>
        <v>#DIV/0!</v>
      </c>
      <c r="N8981" s="11"/>
      <c r="O8981" s="11" t="e">
        <f t="shared" si="1393"/>
        <v>#DIV/0!</v>
      </c>
      <c r="P8981" s="12">
        <f t="shared" si="1394"/>
        <v>0</v>
      </c>
      <c r="Q8981" s="17" t="str">
        <f t="shared" si="1396"/>
        <v>Pas d'écart</v>
      </c>
    </row>
    <row r="8982" spans="1:17" x14ac:dyDescent="0.3">
      <c r="A8982" s="34">
        <f>base!J8982</f>
        <v>0</v>
      </c>
      <c r="B8982" s="34">
        <f>base!V8982</f>
        <v>0</v>
      </c>
      <c r="C8982" s="40" t="s">
        <v>11</v>
      </c>
      <c r="D8982" s="36">
        <f>base!H8982</f>
        <v>0</v>
      </c>
      <c r="E8982" s="44"/>
      <c r="F8982" s="16">
        <f>base!W8982</f>
        <v>0</v>
      </c>
      <c r="G8982" s="11" t="e">
        <f t="shared" si="1388"/>
        <v>#DIV/0!</v>
      </c>
      <c r="H8982" s="11" t="e">
        <f t="shared" si="1389"/>
        <v>#N/A</v>
      </c>
      <c r="I8982" s="11" t="e">
        <f t="shared" si="1390"/>
        <v>#N/A</v>
      </c>
      <c r="J8982" s="12" t="e">
        <f t="shared" si="1391"/>
        <v>#N/A</v>
      </c>
      <c r="K8982" s="17" t="e">
        <f t="shared" si="1395"/>
        <v>#N/A</v>
      </c>
      <c r="L8982" s="16">
        <f>base!X8982</f>
        <v>0</v>
      </c>
      <c r="M8982" s="11" t="e">
        <f t="shared" si="1392"/>
        <v>#DIV/0!</v>
      </c>
      <c r="N8982" s="11"/>
      <c r="O8982" s="11" t="e">
        <f t="shared" si="1393"/>
        <v>#DIV/0!</v>
      </c>
      <c r="P8982" s="12">
        <f t="shared" si="1394"/>
        <v>0</v>
      </c>
      <c r="Q8982" s="17" t="str">
        <f t="shared" si="1396"/>
        <v>Pas d'écart</v>
      </c>
    </row>
    <row r="8983" spans="1:17" x14ac:dyDescent="0.3">
      <c r="A8983" s="34">
        <f>base!J8983</f>
        <v>0</v>
      </c>
      <c r="B8983" s="34">
        <f>base!V8983</f>
        <v>0</v>
      </c>
      <c r="C8983" s="40" t="s">
        <v>11</v>
      </c>
      <c r="D8983" s="36">
        <f>base!H8983</f>
        <v>0</v>
      </c>
      <c r="E8983" s="44"/>
      <c r="F8983" s="16">
        <f>base!W8983</f>
        <v>0</v>
      </c>
      <c r="G8983" s="11" t="e">
        <f t="shared" si="1388"/>
        <v>#DIV/0!</v>
      </c>
      <c r="H8983" s="11" t="e">
        <f t="shared" si="1389"/>
        <v>#N/A</v>
      </c>
      <c r="I8983" s="11" t="e">
        <f t="shared" si="1390"/>
        <v>#N/A</v>
      </c>
      <c r="J8983" s="12" t="e">
        <f t="shared" si="1391"/>
        <v>#N/A</v>
      </c>
      <c r="K8983" s="17" t="e">
        <f t="shared" si="1395"/>
        <v>#N/A</v>
      </c>
      <c r="L8983" s="16">
        <f>base!X8983</f>
        <v>0</v>
      </c>
      <c r="M8983" s="11" t="e">
        <f t="shared" si="1392"/>
        <v>#DIV/0!</v>
      </c>
      <c r="N8983" s="11"/>
      <c r="O8983" s="11" t="e">
        <f t="shared" si="1393"/>
        <v>#DIV/0!</v>
      </c>
      <c r="P8983" s="12">
        <f t="shared" si="1394"/>
        <v>0</v>
      </c>
      <c r="Q8983" s="17" t="str">
        <f t="shared" si="1396"/>
        <v>Pas d'écart</v>
      </c>
    </row>
    <row r="8984" spans="1:17" x14ac:dyDescent="0.3">
      <c r="A8984" s="34">
        <f>base!J8984</f>
        <v>0</v>
      </c>
      <c r="B8984" s="34">
        <f>base!V8984</f>
        <v>0</v>
      </c>
      <c r="C8984" s="40" t="s">
        <v>11</v>
      </c>
      <c r="D8984" s="36">
        <f>base!H8984</f>
        <v>0</v>
      </c>
      <c r="E8984" s="44"/>
      <c r="F8984" s="16">
        <f>base!W8984</f>
        <v>0</v>
      </c>
      <c r="G8984" s="11" t="e">
        <f t="shared" si="1388"/>
        <v>#DIV/0!</v>
      </c>
      <c r="H8984" s="11" t="e">
        <f t="shared" si="1389"/>
        <v>#N/A</v>
      </c>
      <c r="I8984" s="11" t="e">
        <f t="shared" si="1390"/>
        <v>#N/A</v>
      </c>
      <c r="J8984" s="12" t="e">
        <f t="shared" si="1391"/>
        <v>#N/A</v>
      </c>
      <c r="K8984" s="17" t="e">
        <f t="shared" si="1395"/>
        <v>#N/A</v>
      </c>
      <c r="L8984" s="16">
        <f>base!X8984</f>
        <v>0</v>
      </c>
      <c r="M8984" s="11" t="e">
        <f t="shared" si="1392"/>
        <v>#DIV/0!</v>
      </c>
      <c r="N8984" s="11"/>
      <c r="O8984" s="11" t="e">
        <f t="shared" si="1393"/>
        <v>#DIV/0!</v>
      </c>
      <c r="P8984" s="12">
        <f t="shared" si="1394"/>
        <v>0</v>
      </c>
      <c r="Q8984" s="17" t="str">
        <f t="shared" si="1396"/>
        <v>Pas d'écart</v>
      </c>
    </row>
    <row r="8985" spans="1:17" x14ac:dyDescent="0.3">
      <c r="A8985" s="34">
        <f>base!J8985</f>
        <v>0</v>
      </c>
      <c r="B8985" s="34">
        <f>base!V8985</f>
        <v>0</v>
      </c>
      <c r="C8985" s="40" t="s">
        <v>11</v>
      </c>
      <c r="D8985" s="36">
        <f>base!H8985</f>
        <v>0</v>
      </c>
      <c r="E8985" s="44"/>
      <c r="F8985" s="16">
        <f>base!W8985</f>
        <v>0</v>
      </c>
      <c r="G8985" s="11" t="e">
        <f t="shared" si="1388"/>
        <v>#DIV/0!</v>
      </c>
      <c r="H8985" s="11" t="e">
        <f t="shared" si="1389"/>
        <v>#N/A</v>
      </c>
      <c r="I8985" s="11" t="e">
        <f t="shared" si="1390"/>
        <v>#N/A</v>
      </c>
      <c r="J8985" s="12" t="e">
        <f t="shared" si="1391"/>
        <v>#N/A</v>
      </c>
      <c r="K8985" s="17" t="e">
        <f t="shared" si="1395"/>
        <v>#N/A</v>
      </c>
      <c r="L8985" s="16">
        <f>base!X8985</f>
        <v>0</v>
      </c>
      <c r="M8985" s="11" t="e">
        <f t="shared" si="1392"/>
        <v>#DIV/0!</v>
      </c>
      <c r="N8985" s="11"/>
      <c r="O8985" s="11" t="e">
        <f t="shared" si="1393"/>
        <v>#DIV/0!</v>
      </c>
      <c r="P8985" s="12">
        <f t="shared" si="1394"/>
        <v>0</v>
      </c>
      <c r="Q8985" s="17" t="str">
        <f t="shared" si="1396"/>
        <v>Pas d'écart</v>
      </c>
    </row>
    <row r="8986" spans="1:17" x14ac:dyDescent="0.3">
      <c r="A8986" s="34">
        <f>base!J8986</f>
        <v>0</v>
      </c>
      <c r="B8986" s="34">
        <f>base!V8986</f>
        <v>0</v>
      </c>
      <c r="C8986" s="40" t="s">
        <v>11</v>
      </c>
      <c r="D8986" s="36">
        <f>base!H8986</f>
        <v>0</v>
      </c>
      <c r="E8986" s="44"/>
      <c r="F8986" s="16">
        <f>base!W8986</f>
        <v>0</v>
      </c>
      <c r="G8986" s="11" t="e">
        <f t="shared" si="1388"/>
        <v>#DIV/0!</v>
      </c>
      <c r="H8986" s="11" t="e">
        <f t="shared" si="1389"/>
        <v>#N/A</v>
      </c>
      <c r="I8986" s="11" t="e">
        <f t="shared" si="1390"/>
        <v>#N/A</v>
      </c>
      <c r="J8986" s="12" t="e">
        <f t="shared" si="1391"/>
        <v>#N/A</v>
      </c>
      <c r="K8986" s="17" t="e">
        <f t="shared" si="1395"/>
        <v>#N/A</v>
      </c>
      <c r="L8986" s="16">
        <f>base!X8986</f>
        <v>0</v>
      </c>
      <c r="M8986" s="11" t="e">
        <f t="shared" si="1392"/>
        <v>#DIV/0!</v>
      </c>
      <c r="N8986" s="11"/>
      <c r="O8986" s="11" t="e">
        <f t="shared" si="1393"/>
        <v>#DIV/0!</v>
      </c>
      <c r="P8986" s="12">
        <f t="shared" si="1394"/>
        <v>0</v>
      </c>
      <c r="Q8986" s="17" t="str">
        <f t="shared" si="1396"/>
        <v>Pas d'écart</v>
      </c>
    </row>
    <row r="8987" spans="1:17" x14ac:dyDescent="0.3">
      <c r="A8987" s="34">
        <f>base!J8987</f>
        <v>0</v>
      </c>
      <c r="B8987" s="34">
        <f>base!V8987</f>
        <v>0</v>
      </c>
      <c r="C8987" s="40" t="s">
        <v>11</v>
      </c>
      <c r="D8987" s="36">
        <f>base!H8987</f>
        <v>0</v>
      </c>
      <c r="E8987" s="44"/>
      <c r="F8987" s="16">
        <f>base!W8987</f>
        <v>0</v>
      </c>
      <c r="G8987" s="11" t="e">
        <f t="shared" si="1388"/>
        <v>#DIV/0!</v>
      </c>
      <c r="H8987" s="11" t="e">
        <f t="shared" si="1389"/>
        <v>#N/A</v>
      </c>
      <c r="I8987" s="11" t="e">
        <f t="shared" si="1390"/>
        <v>#N/A</v>
      </c>
      <c r="J8987" s="12" t="e">
        <f t="shared" si="1391"/>
        <v>#N/A</v>
      </c>
      <c r="K8987" s="17" t="e">
        <f t="shared" si="1395"/>
        <v>#N/A</v>
      </c>
      <c r="L8987" s="16">
        <f>base!X8987</f>
        <v>0</v>
      </c>
      <c r="M8987" s="11" t="e">
        <f t="shared" si="1392"/>
        <v>#DIV/0!</v>
      </c>
      <c r="N8987" s="11"/>
      <c r="O8987" s="11" t="e">
        <f t="shared" si="1393"/>
        <v>#DIV/0!</v>
      </c>
      <c r="P8987" s="12">
        <f t="shared" si="1394"/>
        <v>0</v>
      </c>
      <c r="Q8987" s="17" t="str">
        <f t="shared" si="1396"/>
        <v>Pas d'écart</v>
      </c>
    </row>
    <row r="8988" spans="1:17" x14ac:dyDescent="0.3">
      <c r="A8988" s="34">
        <f>base!J8988</f>
        <v>0</v>
      </c>
      <c r="B8988" s="34">
        <f>base!V8988</f>
        <v>0</v>
      </c>
      <c r="C8988" s="40" t="s">
        <v>11</v>
      </c>
      <c r="D8988" s="36">
        <f>base!H8988</f>
        <v>0</v>
      </c>
      <c r="E8988" s="44"/>
      <c r="F8988" s="16">
        <f>base!W8988</f>
        <v>0</v>
      </c>
      <c r="G8988" s="11" t="e">
        <f t="shared" si="1388"/>
        <v>#DIV/0!</v>
      </c>
      <c r="H8988" s="11" t="e">
        <f t="shared" si="1389"/>
        <v>#N/A</v>
      </c>
      <c r="I8988" s="11" t="e">
        <f t="shared" si="1390"/>
        <v>#N/A</v>
      </c>
      <c r="J8988" s="12" t="e">
        <f t="shared" si="1391"/>
        <v>#N/A</v>
      </c>
      <c r="K8988" s="17" t="e">
        <f t="shared" si="1395"/>
        <v>#N/A</v>
      </c>
      <c r="L8988" s="16">
        <f>base!X8988</f>
        <v>0</v>
      </c>
      <c r="M8988" s="11" t="e">
        <f t="shared" si="1392"/>
        <v>#DIV/0!</v>
      </c>
      <c r="N8988" s="11"/>
      <c r="O8988" s="11" t="e">
        <f t="shared" si="1393"/>
        <v>#DIV/0!</v>
      </c>
      <c r="P8988" s="12">
        <f t="shared" si="1394"/>
        <v>0</v>
      </c>
      <c r="Q8988" s="17" t="str">
        <f t="shared" si="1396"/>
        <v>Pas d'écart</v>
      </c>
    </row>
    <row r="8989" spans="1:17" x14ac:dyDescent="0.3">
      <c r="A8989" s="34">
        <f>base!J8989</f>
        <v>0</v>
      </c>
      <c r="B8989" s="34">
        <f>base!V8989</f>
        <v>0</v>
      </c>
      <c r="C8989" s="40" t="s">
        <v>11</v>
      </c>
      <c r="D8989" s="36">
        <f>base!H8989</f>
        <v>0</v>
      </c>
      <c r="E8989" s="44"/>
      <c r="F8989" s="16">
        <f>base!W8989</f>
        <v>0</v>
      </c>
      <c r="G8989" s="11" t="e">
        <f t="shared" si="1388"/>
        <v>#DIV/0!</v>
      </c>
      <c r="H8989" s="11" t="e">
        <f t="shared" si="1389"/>
        <v>#N/A</v>
      </c>
      <c r="I8989" s="11" t="e">
        <f t="shared" si="1390"/>
        <v>#N/A</v>
      </c>
      <c r="J8989" s="12" t="e">
        <f t="shared" si="1391"/>
        <v>#N/A</v>
      </c>
      <c r="K8989" s="17" t="e">
        <f t="shared" si="1395"/>
        <v>#N/A</v>
      </c>
      <c r="L8989" s="16">
        <f>base!X8989</f>
        <v>0</v>
      </c>
      <c r="M8989" s="11" t="e">
        <f t="shared" si="1392"/>
        <v>#DIV/0!</v>
      </c>
      <c r="N8989" s="11"/>
      <c r="O8989" s="11" t="e">
        <f t="shared" si="1393"/>
        <v>#DIV/0!</v>
      </c>
      <c r="P8989" s="12">
        <f t="shared" si="1394"/>
        <v>0</v>
      </c>
      <c r="Q8989" s="17" t="str">
        <f t="shared" si="1396"/>
        <v>Pas d'écart</v>
      </c>
    </row>
    <row r="8990" spans="1:17" x14ac:dyDescent="0.3">
      <c r="A8990" s="34">
        <f>base!J8990</f>
        <v>0</v>
      </c>
      <c r="B8990" s="34">
        <f>base!V8990</f>
        <v>0</v>
      </c>
      <c r="C8990" s="40" t="s">
        <v>11</v>
      </c>
      <c r="D8990" s="36">
        <f>base!H8990</f>
        <v>0</v>
      </c>
      <c r="E8990" s="44"/>
      <c r="F8990" s="16">
        <f>base!W8990</f>
        <v>0</v>
      </c>
      <c r="G8990" s="11" t="e">
        <f t="shared" si="1388"/>
        <v>#DIV/0!</v>
      </c>
      <c r="H8990" s="11" t="e">
        <f t="shared" si="1389"/>
        <v>#N/A</v>
      </c>
      <c r="I8990" s="11" t="e">
        <f t="shared" si="1390"/>
        <v>#N/A</v>
      </c>
      <c r="J8990" s="12" t="e">
        <f t="shared" si="1391"/>
        <v>#N/A</v>
      </c>
      <c r="K8990" s="17" t="e">
        <f t="shared" si="1395"/>
        <v>#N/A</v>
      </c>
      <c r="L8990" s="16">
        <f>base!X8990</f>
        <v>0</v>
      </c>
      <c r="M8990" s="11" t="e">
        <f t="shared" si="1392"/>
        <v>#DIV/0!</v>
      </c>
      <c r="N8990" s="11"/>
      <c r="O8990" s="11" t="e">
        <f t="shared" si="1393"/>
        <v>#DIV/0!</v>
      </c>
      <c r="P8990" s="12">
        <f t="shared" si="1394"/>
        <v>0</v>
      </c>
      <c r="Q8990" s="17" t="str">
        <f t="shared" si="1396"/>
        <v>Pas d'écart</v>
      </c>
    </row>
    <row r="8991" spans="1:17" x14ac:dyDescent="0.3">
      <c r="A8991" s="34">
        <f>base!J8991</f>
        <v>0</v>
      </c>
      <c r="B8991" s="34">
        <f>base!V8991</f>
        <v>0</v>
      </c>
      <c r="C8991" s="40" t="s">
        <v>11</v>
      </c>
      <c r="D8991" s="36">
        <f>base!H8991</f>
        <v>0</v>
      </c>
      <c r="E8991" s="44"/>
      <c r="F8991" s="16">
        <f>base!W8991</f>
        <v>0</v>
      </c>
      <c r="G8991" s="11" t="e">
        <f t="shared" si="1388"/>
        <v>#DIV/0!</v>
      </c>
      <c r="H8991" s="11" t="e">
        <f t="shared" si="1389"/>
        <v>#N/A</v>
      </c>
      <c r="I8991" s="11" t="e">
        <f t="shared" si="1390"/>
        <v>#N/A</v>
      </c>
      <c r="J8991" s="12" t="e">
        <f t="shared" si="1391"/>
        <v>#N/A</v>
      </c>
      <c r="K8991" s="17" t="e">
        <f t="shared" si="1395"/>
        <v>#N/A</v>
      </c>
      <c r="L8991" s="16">
        <f>base!X8991</f>
        <v>0</v>
      </c>
      <c r="M8991" s="11" t="e">
        <f t="shared" si="1392"/>
        <v>#DIV/0!</v>
      </c>
      <c r="N8991" s="11"/>
      <c r="O8991" s="11" t="e">
        <f t="shared" si="1393"/>
        <v>#DIV/0!</v>
      </c>
      <c r="P8991" s="12">
        <f t="shared" si="1394"/>
        <v>0</v>
      </c>
      <c r="Q8991" s="17" t="str">
        <f t="shared" si="1396"/>
        <v>Pas d'écart</v>
      </c>
    </row>
    <row r="8992" spans="1:17" x14ac:dyDescent="0.3">
      <c r="A8992" s="34">
        <f>base!J8992</f>
        <v>0</v>
      </c>
      <c r="B8992" s="34">
        <f>base!V8992</f>
        <v>0</v>
      </c>
      <c r="C8992" s="40" t="s">
        <v>11</v>
      </c>
      <c r="D8992" s="36">
        <f>base!H8992</f>
        <v>0</v>
      </c>
      <c r="E8992" s="44"/>
      <c r="F8992" s="16">
        <f>base!W8992</f>
        <v>0</v>
      </c>
      <c r="G8992" s="11" t="e">
        <f t="shared" si="1388"/>
        <v>#DIV/0!</v>
      </c>
      <c r="H8992" s="11" t="e">
        <f t="shared" si="1389"/>
        <v>#N/A</v>
      </c>
      <c r="I8992" s="11" t="e">
        <f t="shared" si="1390"/>
        <v>#N/A</v>
      </c>
      <c r="J8992" s="12" t="e">
        <f t="shared" si="1391"/>
        <v>#N/A</v>
      </c>
      <c r="K8992" s="17" t="e">
        <f t="shared" si="1395"/>
        <v>#N/A</v>
      </c>
      <c r="L8992" s="16">
        <f>base!X8992</f>
        <v>0</v>
      </c>
      <c r="M8992" s="11" t="e">
        <f t="shared" si="1392"/>
        <v>#DIV/0!</v>
      </c>
      <c r="N8992" s="11"/>
      <c r="O8992" s="11" t="e">
        <f t="shared" si="1393"/>
        <v>#DIV/0!</v>
      </c>
      <c r="P8992" s="12">
        <f t="shared" si="1394"/>
        <v>0</v>
      </c>
      <c r="Q8992" s="17" t="str">
        <f t="shared" si="1396"/>
        <v>Pas d'écart</v>
      </c>
    </row>
    <row r="8993" spans="1:17" x14ac:dyDescent="0.3">
      <c r="A8993" s="34">
        <f>base!J8993</f>
        <v>0</v>
      </c>
      <c r="B8993" s="34">
        <f>base!V8993</f>
        <v>0</v>
      </c>
      <c r="C8993" s="40" t="s">
        <v>11</v>
      </c>
      <c r="D8993" s="36">
        <f>base!H8993</f>
        <v>0</v>
      </c>
      <c r="E8993" s="44"/>
      <c r="F8993" s="16">
        <f>base!W8993</f>
        <v>0</v>
      </c>
      <c r="G8993" s="11" t="e">
        <f t="shared" si="1388"/>
        <v>#DIV/0!</v>
      </c>
      <c r="H8993" s="11" t="e">
        <f t="shared" si="1389"/>
        <v>#N/A</v>
      </c>
      <c r="I8993" s="11" t="e">
        <f t="shared" si="1390"/>
        <v>#N/A</v>
      </c>
      <c r="J8993" s="12" t="e">
        <f t="shared" si="1391"/>
        <v>#N/A</v>
      </c>
      <c r="K8993" s="17" t="e">
        <f t="shared" si="1395"/>
        <v>#N/A</v>
      </c>
      <c r="L8993" s="16">
        <f>base!X8993</f>
        <v>0</v>
      </c>
      <c r="M8993" s="11" t="e">
        <f t="shared" si="1392"/>
        <v>#DIV/0!</v>
      </c>
      <c r="N8993" s="11"/>
      <c r="O8993" s="11" t="e">
        <f t="shared" si="1393"/>
        <v>#DIV/0!</v>
      </c>
      <c r="P8993" s="12">
        <f t="shared" si="1394"/>
        <v>0</v>
      </c>
      <c r="Q8993" s="17" t="str">
        <f t="shared" si="1396"/>
        <v>Pas d'écart</v>
      </c>
    </row>
    <row r="8994" spans="1:17" x14ac:dyDescent="0.3">
      <c r="A8994" s="34">
        <f>base!J8994</f>
        <v>0</v>
      </c>
      <c r="B8994" s="34">
        <f>base!V8994</f>
        <v>0</v>
      </c>
      <c r="C8994" s="40" t="s">
        <v>11</v>
      </c>
      <c r="D8994" s="36">
        <f>base!H8994</f>
        <v>0</v>
      </c>
      <c r="E8994" s="44"/>
      <c r="F8994" s="16">
        <f>base!W8994</f>
        <v>0</v>
      </c>
      <c r="G8994" s="11" t="e">
        <f t="shared" si="1388"/>
        <v>#DIV/0!</v>
      </c>
      <c r="H8994" s="11" t="e">
        <f t="shared" si="1389"/>
        <v>#N/A</v>
      </c>
      <c r="I8994" s="11" t="e">
        <f t="shared" si="1390"/>
        <v>#N/A</v>
      </c>
      <c r="J8994" s="12" t="e">
        <f t="shared" si="1391"/>
        <v>#N/A</v>
      </c>
      <c r="K8994" s="17" t="e">
        <f t="shared" si="1395"/>
        <v>#N/A</v>
      </c>
      <c r="L8994" s="16">
        <f>base!X8994</f>
        <v>0</v>
      </c>
      <c r="M8994" s="11" t="e">
        <f t="shared" si="1392"/>
        <v>#DIV/0!</v>
      </c>
      <c r="N8994" s="11"/>
      <c r="O8994" s="11" t="e">
        <f t="shared" si="1393"/>
        <v>#DIV/0!</v>
      </c>
      <c r="P8994" s="12">
        <f t="shared" si="1394"/>
        <v>0</v>
      </c>
      <c r="Q8994" s="17" t="str">
        <f t="shared" si="1396"/>
        <v>Pas d'écart</v>
      </c>
    </row>
    <row r="8995" spans="1:17" x14ac:dyDescent="0.3">
      <c r="A8995" s="34">
        <f>base!J8995</f>
        <v>0</v>
      </c>
      <c r="B8995" s="34">
        <f>base!V8995</f>
        <v>0</v>
      </c>
      <c r="C8995" s="40" t="s">
        <v>11</v>
      </c>
      <c r="D8995" s="36">
        <f>base!H8995</f>
        <v>0</v>
      </c>
      <c r="E8995" s="44"/>
      <c r="F8995" s="16">
        <f>base!W8995</f>
        <v>0</v>
      </c>
      <c r="G8995" s="11" t="e">
        <f t="shared" si="1388"/>
        <v>#DIV/0!</v>
      </c>
      <c r="H8995" s="11" t="e">
        <f t="shared" si="1389"/>
        <v>#N/A</v>
      </c>
      <c r="I8995" s="11" t="e">
        <f t="shared" si="1390"/>
        <v>#N/A</v>
      </c>
      <c r="J8995" s="12" t="e">
        <f t="shared" si="1391"/>
        <v>#N/A</v>
      </c>
      <c r="K8995" s="17" t="e">
        <f t="shared" si="1395"/>
        <v>#N/A</v>
      </c>
      <c r="L8995" s="16">
        <f>base!X8995</f>
        <v>0</v>
      </c>
      <c r="M8995" s="11" t="e">
        <f t="shared" si="1392"/>
        <v>#DIV/0!</v>
      </c>
      <c r="N8995" s="11"/>
      <c r="O8995" s="11" t="e">
        <f t="shared" si="1393"/>
        <v>#DIV/0!</v>
      </c>
      <c r="P8995" s="12">
        <f t="shared" si="1394"/>
        <v>0</v>
      </c>
      <c r="Q8995" s="17" t="str">
        <f t="shared" si="1396"/>
        <v>Pas d'écart</v>
      </c>
    </row>
    <row r="8996" spans="1:17" x14ac:dyDescent="0.3">
      <c r="A8996" s="34">
        <f>base!J8996</f>
        <v>0</v>
      </c>
      <c r="B8996" s="34">
        <f>base!V8996</f>
        <v>0</v>
      </c>
      <c r="C8996" s="40" t="s">
        <v>11</v>
      </c>
      <c r="D8996" s="36">
        <f>base!H8996</f>
        <v>0</v>
      </c>
      <c r="E8996" s="44"/>
      <c r="F8996" s="16">
        <f>base!W8996</f>
        <v>0</v>
      </c>
      <c r="G8996" s="11" t="e">
        <f t="shared" si="1388"/>
        <v>#DIV/0!</v>
      </c>
      <c r="H8996" s="11" t="e">
        <f t="shared" si="1389"/>
        <v>#N/A</v>
      </c>
      <c r="I8996" s="11" t="e">
        <f t="shared" si="1390"/>
        <v>#N/A</v>
      </c>
      <c r="J8996" s="12" t="e">
        <f t="shared" si="1391"/>
        <v>#N/A</v>
      </c>
      <c r="K8996" s="17" t="e">
        <f t="shared" si="1395"/>
        <v>#N/A</v>
      </c>
      <c r="L8996" s="16">
        <f>base!X8996</f>
        <v>0</v>
      </c>
      <c r="M8996" s="11" t="e">
        <f t="shared" si="1392"/>
        <v>#DIV/0!</v>
      </c>
      <c r="N8996" s="11"/>
      <c r="O8996" s="11" t="e">
        <f t="shared" si="1393"/>
        <v>#DIV/0!</v>
      </c>
      <c r="P8996" s="12">
        <f t="shared" si="1394"/>
        <v>0</v>
      </c>
      <c r="Q8996" s="17" t="str">
        <f t="shared" si="1396"/>
        <v>Pas d'écart</v>
      </c>
    </row>
    <row r="8997" spans="1:17" x14ac:dyDescent="0.3">
      <c r="A8997" s="34">
        <f>base!J8997</f>
        <v>0</v>
      </c>
      <c r="B8997" s="34">
        <f>base!V8997</f>
        <v>0</v>
      </c>
      <c r="C8997" s="40" t="s">
        <v>11</v>
      </c>
      <c r="D8997" s="36">
        <f>base!H8997</f>
        <v>0</v>
      </c>
      <c r="E8997" s="44"/>
      <c r="F8997" s="16">
        <f>base!W8997</f>
        <v>0</v>
      </c>
      <c r="G8997" s="11" t="e">
        <f t="shared" si="1388"/>
        <v>#DIV/0!</v>
      </c>
      <c r="H8997" s="11" t="e">
        <f t="shared" si="1389"/>
        <v>#N/A</v>
      </c>
      <c r="I8997" s="11" t="e">
        <f t="shared" si="1390"/>
        <v>#N/A</v>
      </c>
      <c r="J8997" s="12" t="e">
        <f t="shared" si="1391"/>
        <v>#N/A</v>
      </c>
      <c r="K8997" s="17" t="e">
        <f t="shared" si="1395"/>
        <v>#N/A</v>
      </c>
      <c r="L8997" s="16">
        <f>base!X8997</f>
        <v>0</v>
      </c>
      <c r="M8997" s="11" t="e">
        <f t="shared" si="1392"/>
        <v>#DIV/0!</v>
      </c>
      <c r="N8997" s="11"/>
      <c r="O8997" s="11" t="e">
        <f t="shared" si="1393"/>
        <v>#DIV/0!</v>
      </c>
      <c r="P8997" s="12">
        <f t="shared" si="1394"/>
        <v>0</v>
      </c>
      <c r="Q8997" s="17" t="str">
        <f t="shared" si="1396"/>
        <v>Pas d'écart</v>
      </c>
    </row>
    <row r="8998" spans="1:17" x14ac:dyDescent="0.3">
      <c r="A8998" s="34">
        <f>base!J8998</f>
        <v>0</v>
      </c>
      <c r="B8998" s="34">
        <f>base!V8998</f>
        <v>0</v>
      </c>
      <c r="C8998" s="40" t="s">
        <v>11</v>
      </c>
      <c r="D8998" s="36">
        <f>base!H8998</f>
        <v>0</v>
      </c>
      <c r="E8998" s="44"/>
      <c r="F8998" s="16">
        <f>base!W8998</f>
        <v>0</v>
      </c>
      <c r="G8998" s="11" t="e">
        <f t="shared" si="1388"/>
        <v>#DIV/0!</v>
      </c>
      <c r="H8998" s="11" t="e">
        <f t="shared" si="1389"/>
        <v>#N/A</v>
      </c>
      <c r="I8998" s="11" t="e">
        <f t="shared" si="1390"/>
        <v>#N/A</v>
      </c>
      <c r="J8998" s="12" t="e">
        <f t="shared" si="1391"/>
        <v>#N/A</v>
      </c>
      <c r="K8998" s="17" t="e">
        <f t="shared" si="1395"/>
        <v>#N/A</v>
      </c>
      <c r="L8998" s="16">
        <f>base!X8998</f>
        <v>0</v>
      </c>
      <c r="M8998" s="11" t="e">
        <f t="shared" si="1392"/>
        <v>#DIV/0!</v>
      </c>
      <c r="N8998" s="11"/>
      <c r="O8998" s="11" t="e">
        <f t="shared" si="1393"/>
        <v>#DIV/0!</v>
      </c>
      <c r="P8998" s="12">
        <f t="shared" si="1394"/>
        <v>0</v>
      </c>
      <c r="Q8998" s="17" t="str">
        <f t="shared" si="1396"/>
        <v>Pas d'écart</v>
      </c>
    </row>
    <row r="8999" spans="1:17" x14ac:dyDescent="0.3">
      <c r="A8999" s="34">
        <f>base!J8999</f>
        <v>0</v>
      </c>
      <c r="B8999" s="34">
        <f>base!V8999</f>
        <v>0</v>
      </c>
      <c r="C8999" s="40" t="s">
        <v>11</v>
      </c>
      <c r="D8999" s="36">
        <f>base!H8999</f>
        <v>0</v>
      </c>
      <c r="E8999" s="44"/>
      <c r="F8999" s="16">
        <f>base!W8999</f>
        <v>0</v>
      </c>
      <c r="G8999" s="11" t="e">
        <f t="shared" si="1388"/>
        <v>#DIV/0!</v>
      </c>
      <c r="H8999" s="11" t="e">
        <f t="shared" si="1389"/>
        <v>#N/A</v>
      </c>
      <c r="I8999" s="11" t="e">
        <f t="shared" si="1390"/>
        <v>#N/A</v>
      </c>
      <c r="J8999" s="12" t="e">
        <f t="shared" si="1391"/>
        <v>#N/A</v>
      </c>
      <c r="K8999" s="17" t="e">
        <f t="shared" si="1395"/>
        <v>#N/A</v>
      </c>
      <c r="L8999" s="16">
        <f>base!X8999</f>
        <v>0</v>
      </c>
      <c r="M8999" s="11" t="e">
        <f t="shared" si="1392"/>
        <v>#DIV/0!</v>
      </c>
      <c r="N8999" s="11"/>
      <c r="O8999" s="11" t="e">
        <f t="shared" si="1393"/>
        <v>#DIV/0!</v>
      </c>
      <c r="P8999" s="12">
        <f t="shared" si="1394"/>
        <v>0</v>
      </c>
      <c r="Q8999" s="17" t="str">
        <f t="shared" si="1396"/>
        <v>Pas d'écart</v>
      </c>
    </row>
    <row r="9000" spans="1:17" x14ac:dyDescent="0.3">
      <c r="A9000" s="34">
        <f>base!J9000</f>
        <v>0</v>
      </c>
      <c r="B9000" s="34">
        <f>base!V9000</f>
        <v>0</v>
      </c>
      <c r="C9000" s="40" t="s">
        <v>11</v>
      </c>
      <c r="D9000" s="36">
        <f>base!H9000</f>
        <v>0</v>
      </c>
      <c r="E9000" s="44"/>
      <c r="F9000" s="16">
        <f>base!W9000</f>
        <v>0</v>
      </c>
      <c r="G9000" s="11" t="e">
        <f t="shared" si="1388"/>
        <v>#DIV/0!</v>
      </c>
      <c r="H9000" s="11" t="e">
        <f t="shared" si="1389"/>
        <v>#N/A</v>
      </c>
      <c r="I9000" s="11" t="e">
        <f t="shared" si="1390"/>
        <v>#N/A</v>
      </c>
      <c r="J9000" s="12" t="e">
        <f t="shared" si="1391"/>
        <v>#N/A</v>
      </c>
      <c r="K9000" s="17" t="e">
        <f t="shared" si="1395"/>
        <v>#N/A</v>
      </c>
      <c r="L9000" s="16">
        <f>base!X9000</f>
        <v>0</v>
      </c>
      <c r="M9000" s="11" t="e">
        <f t="shared" si="1392"/>
        <v>#DIV/0!</v>
      </c>
      <c r="N9000" s="11"/>
      <c r="O9000" s="11" t="e">
        <f t="shared" si="1393"/>
        <v>#DIV/0!</v>
      </c>
      <c r="P9000" s="12">
        <f t="shared" si="1394"/>
        <v>0</v>
      </c>
      <c r="Q9000" s="17" t="str">
        <f t="shared" si="1396"/>
        <v>Pas d'écart</v>
      </c>
    </row>
    <row r="9001" spans="1:17" x14ac:dyDescent="0.3">
      <c r="A9001" s="34">
        <f>base!J9001</f>
        <v>0</v>
      </c>
      <c r="B9001" s="34">
        <f>base!V9001</f>
        <v>0</v>
      </c>
      <c r="C9001" s="40" t="s">
        <v>11</v>
      </c>
      <c r="D9001" s="36">
        <f>base!H9001</f>
        <v>0</v>
      </c>
      <c r="E9001" s="44"/>
      <c r="F9001" s="16">
        <f>base!W9001</f>
        <v>0</v>
      </c>
      <c r="G9001" s="11" t="e">
        <f t="shared" si="1388"/>
        <v>#DIV/0!</v>
      </c>
      <c r="H9001" s="11" t="e">
        <f t="shared" si="1389"/>
        <v>#N/A</v>
      </c>
      <c r="I9001" s="11" t="e">
        <f t="shared" si="1390"/>
        <v>#N/A</v>
      </c>
      <c r="J9001" s="12" t="e">
        <f t="shared" si="1391"/>
        <v>#N/A</v>
      </c>
      <c r="K9001" s="17" t="e">
        <f t="shared" si="1395"/>
        <v>#N/A</v>
      </c>
      <c r="L9001" s="16">
        <f>base!X9001</f>
        <v>0</v>
      </c>
      <c r="M9001" s="11" t="e">
        <f t="shared" si="1392"/>
        <v>#DIV/0!</v>
      </c>
      <c r="N9001" s="11"/>
      <c r="O9001" s="11" t="e">
        <f t="shared" si="1393"/>
        <v>#DIV/0!</v>
      </c>
      <c r="P9001" s="12">
        <f t="shared" si="1394"/>
        <v>0</v>
      </c>
      <c r="Q9001" s="17" t="str">
        <f t="shared" si="1396"/>
        <v>Pas d'écart</v>
      </c>
    </row>
    <row r="9002" spans="1:17" x14ac:dyDescent="0.3">
      <c r="A9002" s="34">
        <f>base!J9002</f>
        <v>0</v>
      </c>
      <c r="B9002" s="34">
        <f>base!V9002</f>
        <v>0</v>
      </c>
      <c r="C9002" s="40" t="s">
        <v>11</v>
      </c>
      <c r="D9002" s="36">
        <f>base!H9002</f>
        <v>0</v>
      </c>
      <c r="E9002" s="44"/>
      <c r="F9002" s="16">
        <f>base!W9002</f>
        <v>0</v>
      </c>
      <c r="G9002" s="11" t="e">
        <f t="shared" si="1388"/>
        <v>#DIV/0!</v>
      </c>
      <c r="H9002" s="11" t="e">
        <f t="shared" si="1389"/>
        <v>#N/A</v>
      </c>
      <c r="I9002" s="11" t="e">
        <f t="shared" si="1390"/>
        <v>#N/A</v>
      </c>
      <c r="J9002" s="12" t="e">
        <f t="shared" si="1391"/>
        <v>#N/A</v>
      </c>
      <c r="K9002" s="17" t="e">
        <f t="shared" si="1395"/>
        <v>#N/A</v>
      </c>
      <c r="L9002" s="16">
        <f>base!X9002</f>
        <v>0</v>
      </c>
      <c r="M9002" s="11" t="e">
        <f t="shared" si="1392"/>
        <v>#DIV/0!</v>
      </c>
      <c r="N9002" s="11"/>
      <c r="O9002" s="11" t="e">
        <f t="shared" si="1393"/>
        <v>#DIV/0!</v>
      </c>
      <c r="P9002" s="12">
        <f t="shared" si="1394"/>
        <v>0</v>
      </c>
      <c r="Q9002" s="17" t="str">
        <f t="shared" si="1396"/>
        <v>Pas d'écart</v>
      </c>
    </row>
    <row r="9003" spans="1:17" x14ac:dyDescent="0.3">
      <c r="A9003" s="34">
        <f>base!J9003</f>
        <v>0</v>
      </c>
      <c r="B9003" s="34">
        <f>base!V9003</f>
        <v>0</v>
      </c>
      <c r="C9003" s="40" t="s">
        <v>11</v>
      </c>
      <c r="D9003" s="36">
        <f>base!H9003</f>
        <v>0</v>
      </c>
      <c r="E9003" s="44"/>
      <c r="F9003" s="16">
        <f>base!W9003</f>
        <v>0</v>
      </c>
      <c r="G9003" s="11" t="e">
        <f t="shared" si="1388"/>
        <v>#DIV/0!</v>
      </c>
      <c r="H9003" s="11" t="e">
        <f t="shared" si="1389"/>
        <v>#N/A</v>
      </c>
      <c r="I9003" s="11" t="e">
        <f t="shared" si="1390"/>
        <v>#N/A</v>
      </c>
      <c r="J9003" s="12" t="e">
        <f t="shared" si="1391"/>
        <v>#N/A</v>
      </c>
      <c r="K9003" s="17" t="e">
        <f t="shared" si="1395"/>
        <v>#N/A</v>
      </c>
      <c r="L9003" s="16">
        <f>base!X9003</f>
        <v>0</v>
      </c>
      <c r="M9003" s="11" t="e">
        <f t="shared" si="1392"/>
        <v>#DIV/0!</v>
      </c>
      <c r="N9003" s="11"/>
      <c r="O9003" s="11" t="e">
        <f t="shared" si="1393"/>
        <v>#DIV/0!</v>
      </c>
      <c r="P9003" s="12">
        <f t="shared" si="1394"/>
        <v>0</v>
      </c>
      <c r="Q9003" s="17" t="str">
        <f t="shared" si="1396"/>
        <v>Pas d'écart</v>
      </c>
    </row>
    <row r="9004" spans="1:17" x14ac:dyDescent="0.3">
      <c r="A9004" s="34">
        <f>base!J9004</f>
        <v>0</v>
      </c>
      <c r="B9004" s="34">
        <f>base!V9004</f>
        <v>0</v>
      </c>
      <c r="C9004" s="40" t="s">
        <v>11</v>
      </c>
      <c r="D9004" s="36">
        <f>base!H9004</f>
        <v>0</v>
      </c>
      <c r="E9004" s="44"/>
      <c r="F9004" s="16">
        <f>base!W9004</f>
        <v>0</v>
      </c>
      <c r="G9004" s="11" t="e">
        <f t="shared" si="1388"/>
        <v>#DIV/0!</v>
      </c>
      <c r="H9004" s="11" t="e">
        <f t="shared" si="1389"/>
        <v>#N/A</v>
      </c>
      <c r="I9004" s="11" t="e">
        <f t="shared" si="1390"/>
        <v>#N/A</v>
      </c>
      <c r="J9004" s="12" t="e">
        <f t="shared" si="1391"/>
        <v>#N/A</v>
      </c>
      <c r="K9004" s="17" t="e">
        <f t="shared" si="1395"/>
        <v>#N/A</v>
      </c>
      <c r="L9004" s="16">
        <f>base!X9004</f>
        <v>0</v>
      </c>
      <c r="M9004" s="11" t="e">
        <f t="shared" si="1392"/>
        <v>#DIV/0!</v>
      </c>
      <c r="N9004" s="11"/>
      <c r="O9004" s="11" t="e">
        <f t="shared" si="1393"/>
        <v>#DIV/0!</v>
      </c>
      <c r="P9004" s="12">
        <f t="shared" si="1394"/>
        <v>0</v>
      </c>
      <c r="Q9004" s="17" t="str">
        <f t="shared" si="1396"/>
        <v>Pas d'écart</v>
      </c>
    </row>
    <row r="9005" spans="1:17" x14ac:dyDescent="0.3">
      <c r="A9005" s="34">
        <f>base!J9005</f>
        <v>0</v>
      </c>
      <c r="B9005" s="34">
        <f>base!V9005</f>
        <v>0</v>
      </c>
      <c r="C9005" s="40" t="s">
        <v>11</v>
      </c>
      <c r="D9005" s="36">
        <f>base!H9005</f>
        <v>0</v>
      </c>
      <c r="E9005" s="44"/>
      <c r="F9005" s="16">
        <f>base!W9005</f>
        <v>0</v>
      </c>
      <c r="G9005" s="11" t="e">
        <f t="shared" si="1388"/>
        <v>#DIV/0!</v>
      </c>
      <c r="H9005" s="11" t="e">
        <f t="shared" si="1389"/>
        <v>#N/A</v>
      </c>
      <c r="I9005" s="11" t="e">
        <f t="shared" si="1390"/>
        <v>#N/A</v>
      </c>
      <c r="J9005" s="12" t="e">
        <f t="shared" si="1391"/>
        <v>#N/A</v>
      </c>
      <c r="K9005" s="17" t="e">
        <f t="shared" si="1395"/>
        <v>#N/A</v>
      </c>
      <c r="L9005" s="16">
        <f>base!X9005</f>
        <v>0</v>
      </c>
      <c r="M9005" s="11" t="e">
        <f t="shared" si="1392"/>
        <v>#DIV/0!</v>
      </c>
      <c r="N9005" s="11"/>
      <c r="O9005" s="11" t="e">
        <f t="shared" si="1393"/>
        <v>#DIV/0!</v>
      </c>
      <c r="P9005" s="12">
        <f t="shared" si="1394"/>
        <v>0</v>
      </c>
      <c r="Q9005" s="17" t="str">
        <f t="shared" si="1396"/>
        <v>Pas d'écart</v>
      </c>
    </row>
    <row r="9006" spans="1:17" x14ac:dyDescent="0.3">
      <c r="A9006" s="34">
        <f>base!J9006</f>
        <v>0</v>
      </c>
      <c r="B9006" s="34">
        <f>base!V9006</f>
        <v>0</v>
      </c>
      <c r="C9006" s="40" t="s">
        <v>11</v>
      </c>
      <c r="D9006" s="36">
        <f>base!H9006</f>
        <v>0</v>
      </c>
      <c r="E9006" s="44"/>
      <c r="F9006" s="16">
        <f>base!W9006</f>
        <v>0</v>
      </c>
      <c r="G9006" s="11" t="e">
        <f t="shared" si="1388"/>
        <v>#DIV/0!</v>
      </c>
      <c r="H9006" s="11" t="e">
        <f t="shared" si="1389"/>
        <v>#N/A</v>
      </c>
      <c r="I9006" s="11" t="e">
        <f t="shared" si="1390"/>
        <v>#N/A</v>
      </c>
      <c r="J9006" s="12" t="e">
        <f t="shared" si="1391"/>
        <v>#N/A</v>
      </c>
      <c r="K9006" s="17" t="e">
        <f t="shared" si="1395"/>
        <v>#N/A</v>
      </c>
      <c r="L9006" s="16">
        <f>base!X9006</f>
        <v>0</v>
      </c>
      <c r="M9006" s="11" t="e">
        <f t="shared" si="1392"/>
        <v>#DIV/0!</v>
      </c>
      <c r="N9006" s="11"/>
      <c r="O9006" s="11" t="e">
        <f t="shared" si="1393"/>
        <v>#DIV/0!</v>
      </c>
      <c r="P9006" s="12">
        <f t="shared" si="1394"/>
        <v>0</v>
      </c>
      <c r="Q9006" s="17" t="str">
        <f t="shared" si="1396"/>
        <v>Pas d'écart</v>
      </c>
    </row>
    <row r="9007" spans="1:17" x14ac:dyDescent="0.3">
      <c r="A9007" s="34">
        <f>base!J9007</f>
        <v>0</v>
      </c>
      <c r="B9007" s="34">
        <f>base!V9007</f>
        <v>0</v>
      </c>
      <c r="C9007" s="40" t="s">
        <v>11</v>
      </c>
      <c r="D9007" s="36">
        <f>base!H9007</f>
        <v>0</v>
      </c>
      <c r="E9007" s="44"/>
      <c r="F9007" s="16">
        <f>base!W9007</f>
        <v>0</v>
      </c>
      <c r="G9007" s="11" t="e">
        <f t="shared" si="1388"/>
        <v>#DIV/0!</v>
      </c>
      <c r="H9007" s="11" t="e">
        <f t="shared" si="1389"/>
        <v>#N/A</v>
      </c>
      <c r="I9007" s="11" t="e">
        <f t="shared" si="1390"/>
        <v>#N/A</v>
      </c>
      <c r="J9007" s="12" t="e">
        <f t="shared" si="1391"/>
        <v>#N/A</v>
      </c>
      <c r="K9007" s="17" t="e">
        <f t="shared" si="1395"/>
        <v>#N/A</v>
      </c>
      <c r="L9007" s="16">
        <f>base!X9007</f>
        <v>0</v>
      </c>
      <c r="M9007" s="11" t="e">
        <f t="shared" si="1392"/>
        <v>#DIV/0!</v>
      </c>
      <c r="N9007" s="11"/>
      <c r="O9007" s="11" t="e">
        <f t="shared" si="1393"/>
        <v>#DIV/0!</v>
      </c>
      <c r="P9007" s="12">
        <f t="shared" si="1394"/>
        <v>0</v>
      </c>
      <c r="Q9007" s="17" t="str">
        <f t="shared" si="1396"/>
        <v>Pas d'écart</v>
      </c>
    </row>
    <row r="9008" spans="1:17" x14ac:dyDescent="0.3">
      <c r="A9008" s="34">
        <f>base!J9008</f>
        <v>0</v>
      </c>
      <c r="B9008" s="34">
        <f>base!V9008</f>
        <v>0</v>
      </c>
      <c r="C9008" s="40" t="s">
        <v>11</v>
      </c>
      <c r="D9008" s="36">
        <f>base!H9008</f>
        <v>0</v>
      </c>
      <c r="E9008" s="44"/>
      <c r="F9008" s="16">
        <f>base!W9008</f>
        <v>0</v>
      </c>
      <c r="G9008" s="11" t="e">
        <f t="shared" si="1388"/>
        <v>#DIV/0!</v>
      </c>
      <c r="H9008" s="11" t="e">
        <f t="shared" si="1389"/>
        <v>#N/A</v>
      </c>
      <c r="I9008" s="11" t="e">
        <f t="shared" si="1390"/>
        <v>#N/A</v>
      </c>
      <c r="J9008" s="12" t="e">
        <f t="shared" si="1391"/>
        <v>#N/A</v>
      </c>
      <c r="K9008" s="17" t="e">
        <f t="shared" si="1395"/>
        <v>#N/A</v>
      </c>
      <c r="L9008" s="16">
        <f>base!X9008</f>
        <v>0</v>
      </c>
      <c r="M9008" s="11" t="e">
        <f t="shared" si="1392"/>
        <v>#DIV/0!</v>
      </c>
      <c r="N9008" s="11"/>
      <c r="O9008" s="11" t="e">
        <f t="shared" si="1393"/>
        <v>#DIV/0!</v>
      </c>
      <c r="P9008" s="12">
        <f t="shared" si="1394"/>
        <v>0</v>
      </c>
      <c r="Q9008" s="17" t="str">
        <f t="shared" si="1396"/>
        <v>Pas d'écart</v>
      </c>
    </row>
    <row r="9009" spans="1:17" x14ac:dyDescent="0.3">
      <c r="A9009" s="34">
        <f>base!J9009</f>
        <v>0</v>
      </c>
      <c r="B9009" s="34">
        <f>base!V9009</f>
        <v>0</v>
      </c>
      <c r="C9009" s="40" t="s">
        <v>11</v>
      </c>
      <c r="D9009" s="36">
        <f>base!H9009</f>
        <v>0</v>
      </c>
      <c r="E9009" s="44"/>
      <c r="F9009" s="16">
        <f>base!W9009</f>
        <v>0</v>
      </c>
      <c r="G9009" s="11" t="e">
        <f t="shared" si="1388"/>
        <v>#DIV/0!</v>
      </c>
      <c r="H9009" s="11" t="e">
        <f t="shared" si="1389"/>
        <v>#N/A</v>
      </c>
      <c r="I9009" s="11" t="e">
        <f t="shared" si="1390"/>
        <v>#N/A</v>
      </c>
      <c r="J9009" s="12" t="e">
        <f t="shared" si="1391"/>
        <v>#N/A</v>
      </c>
      <c r="K9009" s="17" t="e">
        <f t="shared" si="1395"/>
        <v>#N/A</v>
      </c>
      <c r="L9009" s="16">
        <f>base!X9009</f>
        <v>0</v>
      </c>
      <c r="M9009" s="11" t="e">
        <f t="shared" si="1392"/>
        <v>#DIV/0!</v>
      </c>
      <c r="N9009" s="11"/>
      <c r="O9009" s="11" t="e">
        <f t="shared" si="1393"/>
        <v>#DIV/0!</v>
      </c>
      <c r="P9009" s="12">
        <f t="shared" si="1394"/>
        <v>0</v>
      </c>
      <c r="Q9009" s="17" t="str">
        <f t="shared" si="1396"/>
        <v>Pas d'écart</v>
      </c>
    </row>
    <row r="9010" spans="1:17" x14ac:dyDescent="0.3">
      <c r="A9010" s="34">
        <f>base!J9010</f>
        <v>0</v>
      </c>
      <c r="B9010" s="34">
        <f>base!V9010</f>
        <v>0</v>
      </c>
      <c r="C9010" s="40" t="s">
        <v>11</v>
      </c>
      <c r="D9010" s="36">
        <f>base!H9010</f>
        <v>0</v>
      </c>
      <c r="E9010" s="44"/>
      <c r="F9010" s="16">
        <f>base!W9010</f>
        <v>0</v>
      </c>
      <c r="G9010" s="11" t="e">
        <f t="shared" si="1388"/>
        <v>#DIV/0!</v>
      </c>
      <c r="H9010" s="11" t="e">
        <f t="shared" si="1389"/>
        <v>#N/A</v>
      </c>
      <c r="I9010" s="11" t="e">
        <f t="shared" si="1390"/>
        <v>#N/A</v>
      </c>
      <c r="J9010" s="12" t="e">
        <f t="shared" si="1391"/>
        <v>#N/A</v>
      </c>
      <c r="K9010" s="17" t="e">
        <f t="shared" si="1395"/>
        <v>#N/A</v>
      </c>
      <c r="L9010" s="16">
        <f>base!X9010</f>
        <v>0</v>
      </c>
      <c r="M9010" s="11" t="e">
        <f t="shared" si="1392"/>
        <v>#DIV/0!</v>
      </c>
      <c r="N9010" s="11"/>
      <c r="O9010" s="11" t="e">
        <f t="shared" si="1393"/>
        <v>#DIV/0!</v>
      </c>
      <c r="P9010" s="12">
        <f t="shared" si="1394"/>
        <v>0</v>
      </c>
      <c r="Q9010" s="17" t="str">
        <f t="shared" si="1396"/>
        <v>Pas d'écart</v>
      </c>
    </row>
    <row r="9011" spans="1:17" x14ac:dyDescent="0.3">
      <c r="A9011" s="34">
        <f>base!J9011</f>
        <v>0</v>
      </c>
      <c r="B9011" s="34">
        <f>base!V9011</f>
        <v>0</v>
      </c>
      <c r="C9011" s="40" t="s">
        <v>11</v>
      </c>
      <c r="D9011" s="36">
        <f>base!H9011</f>
        <v>0</v>
      </c>
      <c r="E9011" s="44"/>
      <c r="F9011" s="16">
        <f>base!W9011</f>
        <v>0</v>
      </c>
      <c r="G9011" s="11" t="e">
        <f t="shared" si="1388"/>
        <v>#DIV/0!</v>
      </c>
      <c r="H9011" s="11" t="e">
        <f t="shared" si="1389"/>
        <v>#N/A</v>
      </c>
      <c r="I9011" s="11" t="e">
        <f t="shared" si="1390"/>
        <v>#N/A</v>
      </c>
      <c r="J9011" s="12" t="e">
        <f t="shared" si="1391"/>
        <v>#N/A</v>
      </c>
      <c r="K9011" s="17" t="e">
        <f t="shared" si="1395"/>
        <v>#N/A</v>
      </c>
      <c r="L9011" s="16">
        <f>base!X9011</f>
        <v>0</v>
      </c>
      <c r="M9011" s="11" t="e">
        <f t="shared" si="1392"/>
        <v>#DIV/0!</v>
      </c>
      <c r="N9011" s="11"/>
      <c r="O9011" s="11" t="e">
        <f t="shared" si="1393"/>
        <v>#DIV/0!</v>
      </c>
      <c r="P9011" s="12">
        <f t="shared" si="1394"/>
        <v>0</v>
      </c>
      <c r="Q9011" s="17" t="str">
        <f t="shared" si="1396"/>
        <v>Pas d'écart</v>
      </c>
    </row>
    <row r="9012" spans="1:17" x14ac:dyDescent="0.3">
      <c r="A9012" s="34">
        <f>base!J9012</f>
        <v>0</v>
      </c>
      <c r="B9012" s="34">
        <f>base!V9012</f>
        <v>0</v>
      </c>
      <c r="C9012" s="40" t="s">
        <v>11</v>
      </c>
      <c r="D9012" s="36">
        <f>base!H9012</f>
        <v>0</v>
      </c>
      <c r="E9012" s="44"/>
      <c r="F9012" s="16">
        <f>base!W9012</f>
        <v>0</v>
      </c>
      <c r="G9012" s="11" t="e">
        <f t="shared" si="1388"/>
        <v>#DIV/0!</v>
      </c>
      <c r="H9012" s="11" t="e">
        <f t="shared" si="1389"/>
        <v>#N/A</v>
      </c>
      <c r="I9012" s="11" t="e">
        <f t="shared" si="1390"/>
        <v>#N/A</v>
      </c>
      <c r="J9012" s="12" t="e">
        <f t="shared" si="1391"/>
        <v>#N/A</v>
      </c>
      <c r="K9012" s="17" t="e">
        <f t="shared" si="1395"/>
        <v>#N/A</v>
      </c>
      <c r="L9012" s="16">
        <f>base!X9012</f>
        <v>0</v>
      </c>
      <c r="M9012" s="11" t="e">
        <f t="shared" si="1392"/>
        <v>#DIV/0!</v>
      </c>
      <c r="N9012" s="11"/>
      <c r="O9012" s="11" t="e">
        <f t="shared" si="1393"/>
        <v>#DIV/0!</v>
      </c>
      <c r="P9012" s="12">
        <f t="shared" si="1394"/>
        <v>0</v>
      </c>
      <c r="Q9012" s="17" t="str">
        <f t="shared" si="1396"/>
        <v>Pas d'écart</v>
      </c>
    </row>
    <row r="9013" spans="1:17" x14ac:dyDescent="0.3">
      <c r="A9013" s="34">
        <f>base!J9013</f>
        <v>0</v>
      </c>
      <c r="B9013" s="34">
        <f>base!V9013</f>
        <v>0</v>
      </c>
      <c r="C9013" s="40" t="s">
        <v>11</v>
      </c>
      <c r="D9013" s="36">
        <f>base!H9013</f>
        <v>0</v>
      </c>
      <c r="E9013" s="44"/>
      <c r="F9013" s="16">
        <f>base!W9013</f>
        <v>0</v>
      </c>
      <c r="G9013" s="11" t="e">
        <f t="shared" si="1388"/>
        <v>#DIV/0!</v>
      </c>
      <c r="H9013" s="11" t="e">
        <f t="shared" si="1389"/>
        <v>#N/A</v>
      </c>
      <c r="I9013" s="11" t="e">
        <f t="shared" si="1390"/>
        <v>#N/A</v>
      </c>
      <c r="J9013" s="12" t="e">
        <f t="shared" si="1391"/>
        <v>#N/A</v>
      </c>
      <c r="K9013" s="17" t="e">
        <f t="shared" si="1395"/>
        <v>#N/A</v>
      </c>
      <c r="L9013" s="16">
        <f>base!X9013</f>
        <v>0</v>
      </c>
      <c r="M9013" s="11" t="e">
        <f t="shared" si="1392"/>
        <v>#DIV/0!</v>
      </c>
      <c r="N9013" s="11"/>
      <c r="O9013" s="11" t="e">
        <f t="shared" si="1393"/>
        <v>#DIV/0!</v>
      </c>
      <c r="P9013" s="12">
        <f t="shared" si="1394"/>
        <v>0</v>
      </c>
      <c r="Q9013" s="17" t="str">
        <f t="shared" si="1396"/>
        <v>Pas d'écart</v>
      </c>
    </row>
    <row r="9014" spans="1:17" x14ac:dyDescent="0.3">
      <c r="A9014" s="34">
        <f>base!J9014</f>
        <v>0</v>
      </c>
      <c r="B9014" s="34">
        <f>base!V9014</f>
        <v>0</v>
      </c>
      <c r="C9014" s="40" t="s">
        <v>11</v>
      </c>
      <c r="D9014" s="36">
        <f>base!H9014</f>
        <v>0</v>
      </c>
      <c r="E9014" s="44"/>
      <c r="F9014" s="16">
        <f>base!W9014</f>
        <v>0</v>
      </c>
      <c r="G9014" s="11" t="e">
        <f t="shared" si="1388"/>
        <v>#DIV/0!</v>
      </c>
      <c r="H9014" s="11" t="e">
        <f t="shared" si="1389"/>
        <v>#N/A</v>
      </c>
      <c r="I9014" s="11" t="e">
        <f t="shared" si="1390"/>
        <v>#N/A</v>
      </c>
      <c r="J9014" s="12" t="e">
        <f t="shared" si="1391"/>
        <v>#N/A</v>
      </c>
      <c r="K9014" s="17" t="e">
        <f t="shared" si="1395"/>
        <v>#N/A</v>
      </c>
      <c r="L9014" s="16">
        <f>base!X9014</f>
        <v>0</v>
      </c>
      <c r="M9014" s="11" t="e">
        <f t="shared" si="1392"/>
        <v>#DIV/0!</v>
      </c>
      <c r="N9014" s="11"/>
      <c r="O9014" s="11" t="e">
        <f t="shared" si="1393"/>
        <v>#DIV/0!</v>
      </c>
      <c r="P9014" s="12">
        <f t="shared" si="1394"/>
        <v>0</v>
      </c>
      <c r="Q9014" s="17" t="str">
        <f t="shared" si="1396"/>
        <v>Pas d'écart</v>
      </c>
    </row>
    <row r="9015" spans="1:17" x14ac:dyDescent="0.3">
      <c r="A9015" s="34">
        <f>base!J9015</f>
        <v>0</v>
      </c>
      <c r="B9015" s="34">
        <f>base!V9015</f>
        <v>0</v>
      </c>
      <c r="C9015" s="40" t="s">
        <v>11</v>
      </c>
      <c r="D9015" s="36">
        <f>base!H9015</f>
        <v>0</v>
      </c>
      <c r="E9015" s="44"/>
      <c r="F9015" s="16">
        <f>base!W9015</f>
        <v>0</v>
      </c>
      <c r="G9015" s="11" t="e">
        <f t="shared" si="1388"/>
        <v>#DIV/0!</v>
      </c>
      <c r="H9015" s="11" t="e">
        <f t="shared" si="1389"/>
        <v>#N/A</v>
      </c>
      <c r="I9015" s="11" t="e">
        <f t="shared" si="1390"/>
        <v>#N/A</v>
      </c>
      <c r="J9015" s="12" t="e">
        <f t="shared" si="1391"/>
        <v>#N/A</v>
      </c>
      <c r="K9015" s="17" t="e">
        <f t="shared" si="1395"/>
        <v>#N/A</v>
      </c>
      <c r="L9015" s="16">
        <f>base!X9015</f>
        <v>0</v>
      </c>
      <c r="M9015" s="11" t="e">
        <f t="shared" si="1392"/>
        <v>#DIV/0!</v>
      </c>
      <c r="N9015" s="11"/>
      <c r="O9015" s="11" t="e">
        <f t="shared" si="1393"/>
        <v>#DIV/0!</v>
      </c>
      <c r="P9015" s="12">
        <f t="shared" si="1394"/>
        <v>0</v>
      </c>
      <c r="Q9015" s="17" t="str">
        <f t="shared" si="1396"/>
        <v>Pas d'écart</v>
      </c>
    </row>
    <row r="9016" spans="1:17" x14ac:dyDescent="0.3">
      <c r="A9016" s="34">
        <f>base!J9016</f>
        <v>0</v>
      </c>
      <c r="B9016" s="34">
        <f>base!V9016</f>
        <v>0</v>
      </c>
      <c r="C9016" s="40" t="s">
        <v>11</v>
      </c>
      <c r="D9016" s="36">
        <f>base!H9016</f>
        <v>0</v>
      </c>
      <c r="E9016" s="44"/>
      <c r="F9016" s="16">
        <f>base!W9016</f>
        <v>0</v>
      </c>
      <c r="G9016" s="11" t="e">
        <f t="shared" si="1388"/>
        <v>#DIV/0!</v>
      </c>
      <c r="H9016" s="11" t="e">
        <f t="shared" si="1389"/>
        <v>#N/A</v>
      </c>
      <c r="I9016" s="11" t="e">
        <f t="shared" si="1390"/>
        <v>#N/A</v>
      </c>
      <c r="J9016" s="12" t="e">
        <f t="shared" si="1391"/>
        <v>#N/A</v>
      </c>
      <c r="K9016" s="17" t="e">
        <f t="shared" si="1395"/>
        <v>#N/A</v>
      </c>
      <c r="L9016" s="16">
        <f>base!X9016</f>
        <v>0</v>
      </c>
      <c r="M9016" s="11" t="e">
        <f t="shared" si="1392"/>
        <v>#DIV/0!</v>
      </c>
      <c r="N9016" s="11"/>
      <c r="O9016" s="11" t="e">
        <f t="shared" si="1393"/>
        <v>#DIV/0!</v>
      </c>
      <c r="P9016" s="12">
        <f t="shared" si="1394"/>
        <v>0</v>
      </c>
      <c r="Q9016" s="17" t="str">
        <f t="shared" si="1396"/>
        <v>Pas d'écart</v>
      </c>
    </row>
    <row r="9017" spans="1:17" x14ac:dyDescent="0.3">
      <c r="A9017" s="34">
        <f>base!J9017</f>
        <v>0</v>
      </c>
      <c r="B9017" s="34">
        <f>base!V9017</f>
        <v>0</v>
      </c>
      <c r="C9017" s="40" t="s">
        <v>11</v>
      </c>
      <c r="D9017" s="36">
        <f>base!H9017</f>
        <v>0</v>
      </c>
      <c r="E9017" s="44"/>
      <c r="F9017" s="16">
        <f>base!W9017</f>
        <v>0</v>
      </c>
      <c r="G9017" s="11" t="e">
        <f t="shared" si="1388"/>
        <v>#DIV/0!</v>
      </c>
      <c r="H9017" s="11" t="e">
        <f t="shared" si="1389"/>
        <v>#N/A</v>
      </c>
      <c r="I9017" s="11" t="e">
        <f t="shared" si="1390"/>
        <v>#N/A</v>
      </c>
      <c r="J9017" s="12" t="e">
        <f t="shared" si="1391"/>
        <v>#N/A</v>
      </c>
      <c r="K9017" s="17" t="e">
        <f t="shared" si="1395"/>
        <v>#N/A</v>
      </c>
      <c r="L9017" s="16">
        <f>base!X9017</f>
        <v>0</v>
      </c>
      <c r="M9017" s="11" t="e">
        <f t="shared" si="1392"/>
        <v>#DIV/0!</v>
      </c>
      <c r="N9017" s="11"/>
      <c r="O9017" s="11" t="e">
        <f t="shared" si="1393"/>
        <v>#DIV/0!</v>
      </c>
      <c r="P9017" s="12">
        <f t="shared" si="1394"/>
        <v>0</v>
      </c>
      <c r="Q9017" s="17" t="str">
        <f t="shared" si="1396"/>
        <v>Pas d'écart</v>
      </c>
    </row>
    <row r="9018" spans="1:17" x14ac:dyDescent="0.3">
      <c r="A9018" s="34">
        <f>base!J9018</f>
        <v>0</v>
      </c>
      <c r="B9018" s="34">
        <f>base!V9018</f>
        <v>0</v>
      </c>
      <c r="C9018" s="40" t="s">
        <v>11</v>
      </c>
      <c r="D9018" s="36">
        <f>base!H9018</f>
        <v>0</v>
      </c>
      <c r="E9018" s="44"/>
      <c r="F9018" s="16">
        <f>base!W9018</f>
        <v>0</v>
      </c>
      <c r="G9018" s="11" t="e">
        <f t="shared" si="1388"/>
        <v>#DIV/0!</v>
      </c>
      <c r="H9018" s="11" t="e">
        <f t="shared" si="1389"/>
        <v>#N/A</v>
      </c>
      <c r="I9018" s="11" t="e">
        <f t="shared" si="1390"/>
        <v>#N/A</v>
      </c>
      <c r="J9018" s="12" t="e">
        <f t="shared" si="1391"/>
        <v>#N/A</v>
      </c>
      <c r="K9018" s="17" t="e">
        <f t="shared" si="1395"/>
        <v>#N/A</v>
      </c>
      <c r="L9018" s="16">
        <f>base!X9018</f>
        <v>0</v>
      </c>
      <c r="M9018" s="11" t="e">
        <f t="shared" si="1392"/>
        <v>#DIV/0!</v>
      </c>
      <c r="N9018" s="11"/>
      <c r="O9018" s="11" t="e">
        <f t="shared" si="1393"/>
        <v>#DIV/0!</v>
      </c>
      <c r="P9018" s="12">
        <f t="shared" si="1394"/>
        <v>0</v>
      </c>
      <c r="Q9018" s="17" t="str">
        <f t="shared" si="1396"/>
        <v>Pas d'écart</v>
      </c>
    </row>
    <row r="9019" spans="1:17" x14ac:dyDescent="0.3">
      <c r="A9019" s="34">
        <f>base!J9019</f>
        <v>0</v>
      </c>
      <c r="B9019" s="34">
        <f>base!V9019</f>
        <v>0</v>
      </c>
      <c r="C9019" s="40" t="s">
        <v>11</v>
      </c>
      <c r="D9019" s="36">
        <f>base!H9019</f>
        <v>0</v>
      </c>
      <c r="E9019" s="44"/>
      <c r="F9019" s="16">
        <f>base!W9019</f>
        <v>0</v>
      </c>
      <c r="G9019" s="11" t="e">
        <f t="shared" si="1388"/>
        <v>#DIV/0!</v>
      </c>
      <c r="H9019" s="11" t="e">
        <f t="shared" si="1389"/>
        <v>#N/A</v>
      </c>
      <c r="I9019" s="11" t="e">
        <f t="shared" si="1390"/>
        <v>#N/A</v>
      </c>
      <c r="J9019" s="12" t="e">
        <f t="shared" si="1391"/>
        <v>#N/A</v>
      </c>
      <c r="K9019" s="17" t="e">
        <f t="shared" si="1395"/>
        <v>#N/A</v>
      </c>
      <c r="L9019" s="16">
        <f>base!X9019</f>
        <v>0</v>
      </c>
      <c r="M9019" s="11" t="e">
        <f t="shared" si="1392"/>
        <v>#DIV/0!</v>
      </c>
      <c r="N9019" s="11"/>
      <c r="O9019" s="11" t="e">
        <f t="shared" si="1393"/>
        <v>#DIV/0!</v>
      </c>
      <c r="P9019" s="12">
        <f t="shared" si="1394"/>
        <v>0</v>
      </c>
      <c r="Q9019" s="17" t="str">
        <f t="shared" si="1396"/>
        <v>Pas d'écart</v>
      </c>
    </row>
    <row r="9020" spans="1:17" x14ac:dyDescent="0.3">
      <c r="A9020" s="34">
        <f>base!J9020</f>
        <v>0</v>
      </c>
      <c r="B9020" s="34">
        <f>base!V9020</f>
        <v>0</v>
      </c>
      <c r="C9020" s="40" t="s">
        <v>11</v>
      </c>
      <c r="D9020" s="36">
        <f>base!H9020</f>
        <v>0</v>
      </c>
      <c r="E9020" s="44"/>
      <c r="F9020" s="16">
        <f>base!W9020</f>
        <v>0</v>
      </c>
      <c r="G9020" s="11" t="e">
        <f t="shared" si="1388"/>
        <v>#DIV/0!</v>
      </c>
      <c r="H9020" s="11" t="e">
        <f t="shared" si="1389"/>
        <v>#N/A</v>
      </c>
      <c r="I9020" s="11" t="e">
        <f t="shared" si="1390"/>
        <v>#N/A</v>
      </c>
      <c r="J9020" s="12" t="e">
        <f t="shared" si="1391"/>
        <v>#N/A</v>
      </c>
      <c r="K9020" s="17" t="e">
        <f t="shared" si="1395"/>
        <v>#N/A</v>
      </c>
      <c r="L9020" s="16">
        <f>base!X9020</f>
        <v>0</v>
      </c>
      <c r="M9020" s="11" t="e">
        <f t="shared" si="1392"/>
        <v>#DIV/0!</v>
      </c>
      <c r="N9020" s="11"/>
      <c r="O9020" s="11" t="e">
        <f t="shared" si="1393"/>
        <v>#DIV/0!</v>
      </c>
      <c r="P9020" s="12">
        <f t="shared" si="1394"/>
        <v>0</v>
      </c>
      <c r="Q9020" s="17" t="str">
        <f t="shared" si="1396"/>
        <v>Pas d'écart</v>
      </c>
    </row>
    <row r="9021" spans="1:17" x14ac:dyDescent="0.3">
      <c r="A9021" s="34">
        <f>base!J9021</f>
        <v>0</v>
      </c>
      <c r="B9021" s="34">
        <f>base!V9021</f>
        <v>0</v>
      </c>
      <c r="C9021" s="40" t="s">
        <v>11</v>
      </c>
      <c r="D9021" s="36">
        <f>base!H9021</f>
        <v>0</v>
      </c>
      <c r="E9021" s="44"/>
      <c r="F9021" s="16">
        <f>base!W9021</f>
        <v>0</v>
      </c>
      <c r="G9021" s="11" t="e">
        <f t="shared" si="1388"/>
        <v>#DIV/0!</v>
      </c>
      <c r="H9021" s="11" t="e">
        <f t="shared" si="1389"/>
        <v>#N/A</v>
      </c>
      <c r="I9021" s="11" t="e">
        <f t="shared" si="1390"/>
        <v>#N/A</v>
      </c>
      <c r="J9021" s="12" t="e">
        <f t="shared" si="1391"/>
        <v>#N/A</v>
      </c>
      <c r="K9021" s="17" t="e">
        <f t="shared" si="1395"/>
        <v>#N/A</v>
      </c>
      <c r="L9021" s="16">
        <f>base!X9021</f>
        <v>0</v>
      </c>
      <c r="M9021" s="11" t="e">
        <f t="shared" si="1392"/>
        <v>#DIV/0!</v>
      </c>
      <c r="N9021" s="11"/>
      <c r="O9021" s="11" t="e">
        <f t="shared" si="1393"/>
        <v>#DIV/0!</v>
      </c>
      <c r="P9021" s="12">
        <f t="shared" si="1394"/>
        <v>0</v>
      </c>
      <c r="Q9021" s="17" t="str">
        <f t="shared" si="1396"/>
        <v>Pas d'écart</v>
      </c>
    </row>
    <row r="9022" spans="1:17" x14ac:dyDescent="0.3">
      <c r="A9022" s="34">
        <f>base!J9022</f>
        <v>0</v>
      </c>
      <c r="B9022" s="34">
        <f>base!V9022</f>
        <v>0</v>
      </c>
      <c r="C9022" s="40" t="s">
        <v>11</v>
      </c>
      <c r="D9022" s="36">
        <f>base!H9022</f>
        <v>0</v>
      </c>
      <c r="E9022" s="44"/>
      <c r="F9022" s="16">
        <f>base!W9022</f>
        <v>0</v>
      </c>
      <c r="G9022" s="11" t="e">
        <f t="shared" si="1388"/>
        <v>#DIV/0!</v>
      </c>
      <c r="H9022" s="11" t="e">
        <f t="shared" si="1389"/>
        <v>#N/A</v>
      </c>
      <c r="I9022" s="11" t="e">
        <f t="shared" si="1390"/>
        <v>#N/A</v>
      </c>
      <c r="J9022" s="12" t="e">
        <f t="shared" si="1391"/>
        <v>#N/A</v>
      </c>
      <c r="K9022" s="17" t="e">
        <f t="shared" si="1395"/>
        <v>#N/A</v>
      </c>
      <c r="L9022" s="16">
        <f>base!X9022</f>
        <v>0</v>
      </c>
      <c r="M9022" s="11" t="e">
        <f t="shared" si="1392"/>
        <v>#DIV/0!</v>
      </c>
      <c r="N9022" s="11"/>
      <c r="O9022" s="11" t="e">
        <f t="shared" si="1393"/>
        <v>#DIV/0!</v>
      </c>
      <c r="P9022" s="12">
        <f t="shared" si="1394"/>
        <v>0</v>
      </c>
      <c r="Q9022" s="17" t="str">
        <f t="shared" si="1396"/>
        <v>Pas d'écart</v>
      </c>
    </row>
    <row r="9023" spans="1:17" x14ac:dyDescent="0.3">
      <c r="A9023" s="34">
        <f>base!J9023</f>
        <v>0</v>
      </c>
      <c r="B9023" s="34">
        <f>base!V9023</f>
        <v>0</v>
      </c>
      <c r="C9023" s="40" t="s">
        <v>11</v>
      </c>
      <c r="D9023" s="36">
        <f>base!H9023</f>
        <v>0</v>
      </c>
      <c r="E9023" s="44"/>
      <c r="F9023" s="16">
        <f>base!W9023</f>
        <v>0</v>
      </c>
      <c r="G9023" s="11" t="e">
        <f t="shared" si="1388"/>
        <v>#DIV/0!</v>
      </c>
      <c r="H9023" s="11" t="e">
        <f t="shared" si="1389"/>
        <v>#N/A</v>
      </c>
      <c r="I9023" s="11" t="e">
        <f t="shared" si="1390"/>
        <v>#N/A</v>
      </c>
      <c r="J9023" s="12" t="e">
        <f t="shared" si="1391"/>
        <v>#N/A</v>
      </c>
      <c r="K9023" s="17" t="e">
        <f t="shared" si="1395"/>
        <v>#N/A</v>
      </c>
      <c r="L9023" s="16">
        <f>base!X9023</f>
        <v>0</v>
      </c>
      <c r="M9023" s="11" t="e">
        <f t="shared" si="1392"/>
        <v>#DIV/0!</v>
      </c>
      <c r="N9023" s="11"/>
      <c r="O9023" s="11" t="e">
        <f t="shared" si="1393"/>
        <v>#DIV/0!</v>
      </c>
      <c r="P9023" s="12">
        <f t="shared" si="1394"/>
        <v>0</v>
      </c>
      <c r="Q9023" s="17" t="str">
        <f t="shared" si="1396"/>
        <v>Pas d'écart</v>
      </c>
    </row>
    <row r="9024" spans="1:17" x14ac:dyDescent="0.3">
      <c r="A9024" s="34">
        <f>base!J9024</f>
        <v>0</v>
      </c>
      <c r="B9024" s="34">
        <f>base!V9024</f>
        <v>0</v>
      </c>
      <c r="C9024" s="40" t="s">
        <v>11</v>
      </c>
      <c r="D9024" s="36">
        <f>base!H9024</f>
        <v>0</v>
      </c>
      <c r="E9024" s="44"/>
      <c r="F9024" s="16">
        <f>base!W9024</f>
        <v>0</v>
      </c>
      <c r="G9024" s="11" t="e">
        <f t="shared" si="1388"/>
        <v>#DIV/0!</v>
      </c>
      <c r="H9024" s="11" t="e">
        <f t="shared" si="1389"/>
        <v>#N/A</v>
      </c>
      <c r="I9024" s="11" t="e">
        <f t="shared" si="1390"/>
        <v>#N/A</v>
      </c>
      <c r="J9024" s="12" t="e">
        <f t="shared" si="1391"/>
        <v>#N/A</v>
      </c>
      <c r="K9024" s="17" t="e">
        <f t="shared" si="1395"/>
        <v>#N/A</v>
      </c>
      <c r="L9024" s="16">
        <f>base!X9024</f>
        <v>0</v>
      </c>
      <c r="M9024" s="11" t="e">
        <f t="shared" si="1392"/>
        <v>#DIV/0!</v>
      </c>
      <c r="N9024" s="11"/>
      <c r="O9024" s="11" t="e">
        <f t="shared" si="1393"/>
        <v>#DIV/0!</v>
      </c>
      <c r="P9024" s="12">
        <f t="shared" si="1394"/>
        <v>0</v>
      </c>
      <c r="Q9024" s="17" t="str">
        <f t="shared" si="1396"/>
        <v>Pas d'écart</v>
      </c>
    </row>
    <row r="9025" spans="1:17" x14ac:dyDescent="0.3">
      <c r="A9025" s="34">
        <f>base!J9025</f>
        <v>0</v>
      </c>
      <c r="B9025" s="34">
        <f>base!V9025</f>
        <v>0</v>
      </c>
      <c r="C9025" s="40" t="s">
        <v>11</v>
      </c>
      <c r="D9025" s="36">
        <f>base!H9025</f>
        <v>0</v>
      </c>
      <c r="E9025" s="44"/>
      <c r="F9025" s="16">
        <f>base!W9025</f>
        <v>0</v>
      </c>
      <c r="G9025" s="11" t="e">
        <f t="shared" si="1388"/>
        <v>#DIV/0!</v>
      </c>
      <c r="H9025" s="11" t="e">
        <f t="shared" si="1389"/>
        <v>#N/A</v>
      </c>
      <c r="I9025" s="11" t="e">
        <f t="shared" si="1390"/>
        <v>#N/A</v>
      </c>
      <c r="J9025" s="12" t="e">
        <f t="shared" si="1391"/>
        <v>#N/A</v>
      </c>
      <c r="K9025" s="17" t="e">
        <f t="shared" si="1395"/>
        <v>#N/A</v>
      </c>
      <c r="L9025" s="16">
        <f>base!X9025</f>
        <v>0</v>
      </c>
      <c r="M9025" s="11" t="e">
        <f t="shared" si="1392"/>
        <v>#DIV/0!</v>
      </c>
      <c r="N9025" s="11"/>
      <c r="O9025" s="11" t="e">
        <f t="shared" si="1393"/>
        <v>#DIV/0!</v>
      </c>
      <c r="P9025" s="12">
        <f t="shared" si="1394"/>
        <v>0</v>
      </c>
      <c r="Q9025" s="17" t="str">
        <f t="shared" si="1396"/>
        <v>Pas d'écart</v>
      </c>
    </row>
    <row r="9026" spans="1:17" x14ac:dyDescent="0.3">
      <c r="A9026" s="34">
        <f>base!J9026</f>
        <v>0</v>
      </c>
      <c r="B9026" s="34">
        <f>base!V9026</f>
        <v>0</v>
      </c>
      <c r="C9026" s="40" t="s">
        <v>11</v>
      </c>
      <c r="D9026" s="36">
        <f>base!H9026</f>
        <v>0</v>
      </c>
      <c r="E9026" s="44"/>
      <c r="F9026" s="16">
        <f>base!W9026</f>
        <v>0</v>
      </c>
      <c r="G9026" s="11" t="e">
        <f t="shared" ref="G9026:G9089" si="1397">F9026/D9026</f>
        <v>#DIV/0!</v>
      </c>
      <c r="H9026" s="11" t="e">
        <f t="shared" ref="H9026:H9089" si="1398">VLOOKUP(C9026,tout_cout_traction,2,FALSE)*D9026</f>
        <v>#N/A</v>
      </c>
      <c r="I9026" s="11" t="e">
        <f t="shared" ref="I9026:I9089" si="1399">H9026/D9026</f>
        <v>#N/A</v>
      </c>
      <c r="J9026" s="12" t="e">
        <f t="shared" ref="J9026:J9089" si="1400">F9026-H9026</f>
        <v>#N/A</v>
      </c>
      <c r="K9026" s="17" t="e">
        <f t="shared" si="1395"/>
        <v>#N/A</v>
      </c>
      <c r="L9026" s="16">
        <f>base!X9026</f>
        <v>0</v>
      </c>
      <c r="M9026" s="11" t="e">
        <f t="shared" ref="M9026:M9089" si="1401">L9026/D9026</f>
        <v>#DIV/0!</v>
      </c>
      <c r="N9026" s="11"/>
      <c r="O9026" s="11" t="e">
        <f t="shared" ref="O9026:O9089" si="1402">N9026/D9026</f>
        <v>#DIV/0!</v>
      </c>
      <c r="P9026" s="12">
        <f t="shared" ref="P9026:P9089" si="1403">L9026-N9026</f>
        <v>0</v>
      </c>
      <c r="Q9026" s="17" t="str">
        <f t="shared" si="1396"/>
        <v>Pas d'écart</v>
      </c>
    </row>
    <row r="9027" spans="1:17" x14ac:dyDescent="0.3">
      <c r="A9027" s="34">
        <f>base!J9027</f>
        <v>0</v>
      </c>
      <c r="B9027" s="34">
        <f>base!V9027</f>
        <v>0</v>
      </c>
      <c r="C9027" s="40" t="s">
        <v>11</v>
      </c>
      <c r="D9027" s="36">
        <f>base!H9027</f>
        <v>0</v>
      </c>
      <c r="E9027" s="44"/>
      <c r="F9027" s="16">
        <f>base!W9027</f>
        <v>0</v>
      </c>
      <c r="G9027" s="11" t="e">
        <f t="shared" si="1397"/>
        <v>#DIV/0!</v>
      </c>
      <c r="H9027" s="11" t="e">
        <f t="shared" si="1398"/>
        <v>#N/A</v>
      </c>
      <c r="I9027" s="11" t="e">
        <f t="shared" si="1399"/>
        <v>#N/A</v>
      </c>
      <c r="J9027" s="12" t="e">
        <f t="shared" si="1400"/>
        <v>#N/A</v>
      </c>
      <c r="K9027" s="17" t="e">
        <f t="shared" ref="K9027:K9090" si="1404">IF(H9027=F9027,"Pas d'écart",IF(H9027&lt;F9027,"Ecart positif",IF(H9027&gt;F9027,"Ecart négatif")))</f>
        <v>#N/A</v>
      </c>
      <c r="L9027" s="16">
        <f>base!X9027</f>
        <v>0</v>
      </c>
      <c r="M9027" s="11" t="e">
        <f t="shared" si="1401"/>
        <v>#DIV/0!</v>
      </c>
      <c r="N9027" s="11"/>
      <c r="O9027" s="11" t="e">
        <f t="shared" si="1402"/>
        <v>#DIV/0!</v>
      </c>
      <c r="P9027" s="12">
        <f t="shared" si="1403"/>
        <v>0</v>
      </c>
      <c r="Q9027" s="17" t="str">
        <f t="shared" ref="Q9027:Q9090" si="1405">IF(N9027=L9027,"Pas d'écart",IF(N9027&lt;L9027,"Ecart positif",IF(N9027&gt;L9027,"Ecart négatif")))</f>
        <v>Pas d'écart</v>
      </c>
    </row>
    <row r="9028" spans="1:17" x14ac:dyDescent="0.3">
      <c r="A9028" s="34">
        <f>base!J9028</f>
        <v>0</v>
      </c>
      <c r="B9028" s="34">
        <f>base!V9028</f>
        <v>0</v>
      </c>
      <c r="C9028" s="40" t="s">
        <v>11</v>
      </c>
      <c r="D9028" s="36">
        <f>base!H9028</f>
        <v>0</v>
      </c>
      <c r="E9028" s="44"/>
      <c r="F9028" s="16">
        <f>base!W9028</f>
        <v>0</v>
      </c>
      <c r="G9028" s="11" t="e">
        <f t="shared" si="1397"/>
        <v>#DIV/0!</v>
      </c>
      <c r="H9028" s="11" t="e">
        <f t="shared" si="1398"/>
        <v>#N/A</v>
      </c>
      <c r="I9028" s="11" t="e">
        <f t="shared" si="1399"/>
        <v>#N/A</v>
      </c>
      <c r="J9028" s="12" t="e">
        <f t="shared" si="1400"/>
        <v>#N/A</v>
      </c>
      <c r="K9028" s="17" t="e">
        <f t="shared" si="1404"/>
        <v>#N/A</v>
      </c>
      <c r="L9028" s="16">
        <f>base!X9028</f>
        <v>0</v>
      </c>
      <c r="M9028" s="11" t="e">
        <f t="shared" si="1401"/>
        <v>#DIV/0!</v>
      </c>
      <c r="N9028" s="11"/>
      <c r="O9028" s="11" t="e">
        <f t="shared" si="1402"/>
        <v>#DIV/0!</v>
      </c>
      <c r="P9028" s="12">
        <f t="shared" si="1403"/>
        <v>0</v>
      </c>
      <c r="Q9028" s="17" t="str">
        <f t="shared" si="1405"/>
        <v>Pas d'écart</v>
      </c>
    </row>
    <row r="9029" spans="1:17" x14ac:dyDescent="0.3">
      <c r="A9029" s="34">
        <f>base!J9029</f>
        <v>0</v>
      </c>
      <c r="B9029" s="34">
        <f>base!V9029</f>
        <v>0</v>
      </c>
      <c r="C9029" s="40" t="s">
        <v>11</v>
      </c>
      <c r="D9029" s="36">
        <f>base!H9029</f>
        <v>0</v>
      </c>
      <c r="E9029" s="44"/>
      <c r="F9029" s="16">
        <f>base!W9029</f>
        <v>0</v>
      </c>
      <c r="G9029" s="11" t="e">
        <f t="shared" si="1397"/>
        <v>#DIV/0!</v>
      </c>
      <c r="H9029" s="11" t="e">
        <f t="shared" si="1398"/>
        <v>#N/A</v>
      </c>
      <c r="I9029" s="11" t="e">
        <f t="shared" si="1399"/>
        <v>#N/A</v>
      </c>
      <c r="J9029" s="12" t="e">
        <f t="shared" si="1400"/>
        <v>#N/A</v>
      </c>
      <c r="K9029" s="17" t="e">
        <f t="shared" si="1404"/>
        <v>#N/A</v>
      </c>
      <c r="L9029" s="16">
        <f>base!X9029</f>
        <v>0</v>
      </c>
      <c r="M9029" s="11" t="e">
        <f t="shared" si="1401"/>
        <v>#DIV/0!</v>
      </c>
      <c r="N9029" s="11"/>
      <c r="O9029" s="11" t="e">
        <f t="shared" si="1402"/>
        <v>#DIV/0!</v>
      </c>
      <c r="P9029" s="12">
        <f t="shared" si="1403"/>
        <v>0</v>
      </c>
      <c r="Q9029" s="17" t="str">
        <f t="shared" si="1405"/>
        <v>Pas d'écart</v>
      </c>
    </row>
    <row r="9030" spans="1:17" x14ac:dyDescent="0.3">
      <c r="A9030" s="34">
        <f>base!J9030</f>
        <v>0</v>
      </c>
      <c r="B9030" s="34">
        <f>base!V9030</f>
        <v>0</v>
      </c>
      <c r="C9030" s="40" t="s">
        <v>11</v>
      </c>
      <c r="D9030" s="36">
        <f>base!H9030</f>
        <v>0</v>
      </c>
      <c r="E9030" s="44"/>
      <c r="F9030" s="16">
        <f>base!W9030</f>
        <v>0</v>
      </c>
      <c r="G9030" s="11" t="e">
        <f t="shared" si="1397"/>
        <v>#DIV/0!</v>
      </c>
      <c r="H9030" s="11" t="e">
        <f t="shared" si="1398"/>
        <v>#N/A</v>
      </c>
      <c r="I9030" s="11" t="e">
        <f t="shared" si="1399"/>
        <v>#N/A</v>
      </c>
      <c r="J9030" s="12" t="e">
        <f t="shared" si="1400"/>
        <v>#N/A</v>
      </c>
      <c r="K9030" s="17" t="e">
        <f t="shared" si="1404"/>
        <v>#N/A</v>
      </c>
      <c r="L9030" s="16">
        <f>base!X9030</f>
        <v>0</v>
      </c>
      <c r="M9030" s="11" t="e">
        <f t="shared" si="1401"/>
        <v>#DIV/0!</v>
      </c>
      <c r="N9030" s="11"/>
      <c r="O9030" s="11" t="e">
        <f t="shared" si="1402"/>
        <v>#DIV/0!</v>
      </c>
      <c r="P9030" s="12">
        <f t="shared" si="1403"/>
        <v>0</v>
      </c>
      <c r="Q9030" s="17" t="str">
        <f t="shared" si="1405"/>
        <v>Pas d'écart</v>
      </c>
    </row>
    <row r="9031" spans="1:17" x14ac:dyDescent="0.3">
      <c r="A9031" s="34">
        <f>base!J9031</f>
        <v>0</v>
      </c>
      <c r="B9031" s="34">
        <f>base!V9031</f>
        <v>0</v>
      </c>
      <c r="C9031" s="40" t="s">
        <v>11</v>
      </c>
      <c r="D9031" s="36">
        <f>base!H9031</f>
        <v>0</v>
      </c>
      <c r="E9031" s="44"/>
      <c r="F9031" s="16">
        <f>base!W9031</f>
        <v>0</v>
      </c>
      <c r="G9031" s="11" t="e">
        <f t="shared" si="1397"/>
        <v>#DIV/0!</v>
      </c>
      <c r="H9031" s="11" t="e">
        <f t="shared" si="1398"/>
        <v>#N/A</v>
      </c>
      <c r="I9031" s="11" t="e">
        <f t="shared" si="1399"/>
        <v>#N/A</v>
      </c>
      <c r="J9031" s="12" t="e">
        <f t="shared" si="1400"/>
        <v>#N/A</v>
      </c>
      <c r="K9031" s="17" t="e">
        <f t="shared" si="1404"/>
        <v>#N/A</v>
      </c>
      <c r="L9031" s="16">
        <f>base!X9031</f>
        <v>0</v>
      </c>
      <c r="M9031" s="11" t="e">
        <f t="shared" si="1401"/>
        <v>#DIV/0!</v>
      </c>
      <c r="N9031" s="11"/>
      <c r="O9031" s="11" t="e">
        <f t="shared" si="1402"/>
        <v>#DIV/0!</v>
      </c>
      <c r="P9031" s="12">
        <f t="shared" si="1403"/>
        <v>0</v>
      </c>
      <c r="Q9031" s="17" t="str">
        <f t="shared" si="1405"/>
        <v>Pas d'écart</v>
      </c>
    </row>
    <row r="9032" spans="1:17" x14ac:dyDescent="0.3">
      <c r="A9032" s="34">
        <f>base!J9032</f>
        <v>0</v>
      </c>
      <c r="B9032" s="34">
        <f>base!V9032</f>
        <v>0</v>
      </c>
      <c r="C9032" s="40" t="s">
        <v>11</v>
      </c>
      <c r="D9032" s="36">
        <f>base!H9032</f>
        <v>0</v>
      </c>
      <c r="E9032" s="44"/>
      <c r="F9032" s="16">
        <f>base!W9032</f>
        <v>0</v>
      </c>
      <c r="G9032" s="11" t="e">
        <f t="shared" si="1397"/>
        <v>#DIV/0!</v>
      </c>
      <c r="H9032" s="11" t="e">
        <f t="shared" si="1398"/>
        <v>#N/A</v>
      </c>
      <c r="I9032" s="11" t="e">
        <f t="shared" si="1399"/>
        <v>#N/A</v>
      </c>
      <c r="J9032" s="12" t="e">
        <f t="shared" si="1400"/>
        <v>#N/A</v>
      </c>
      <c r="K9032" s="17" t="e">
        <f t="shared" si="1404"/>
        <v>#N/A</v>
      </c>
      <c r="L9032" s="16">
        <f>base!X9032</f>
        <v>0</v>
      </c>
      <c r="M9032" s="11" t="e">
        <f t="shared" si="1401"/>
        <v>#DIV/0!</v>
      </c>
      <c r="N9032" s="11"/>
      <c r="O9032" s="11" t="e">
        <f t="shared" si="1402"/>
        <v>#DIV/0!</v>
      </c>
      <c r="P9032" s="12">
        <f t="shared" si="1403"/>
        <v>0</v>
      </c>
      <c r="Q9032" s="17" t="str">
        <f t="shared" si="1405"/>
        <v>Pas d'écart</v>
      </c>
    </row>
    <row r="9033" spans="1:17" x14ac:dyDescent="0.3">
      <c r="A9033" s="34">
        <f>base!J9033</f>
        <v>0</v>
      </c>
      <c r="B9033" s="34">
        <f>base!V9033</f>
        <v>0</v>
      </c>
      <c r="C9033" s="40" t="s">
        <v>11</v>
      </c>
      <c r="D9033" s="36">
        <f>base!H9033</f>
        <v>0</v>
      </c>
      <c r="E9033" s="44"/>
      <c r="F9033" s="16">
        <f>base!W9033</f>
        <v>0</v>
      </c>
      <c r="G9033" s="11" t="e">
        <f t="shared" si="1397"/>
        <v>#DIV/0!</v>
      </c>
      <c r="H9033" s="11" t="e">
        <f t="shared" si="1398"/>
        <v>#N/A</v>
      </c>
      <c r="I9033" s="11" t="e">
        <f t="shared" si="1399"/>
        <v>#N/A</v>
      </c>
      <c r="J9033" s="12" t="e">
        <f t="shared" si="1400"/>
        <v>#N/A</v>
      </c>
      <c r="K9033" s="17" t="e">
        <f t="shared" si="1404"/>
        <v>#N/A</v>
      </c>
      <c r="L9033" s="16">
        <f>base!X9033</f>
        <v>0</v>
      </c>
      <c r="M9033" s="11" t="e">
        <f t="shared" si="1401"/>
        <v>#DIV/0!</v>
      </c>
      <c r="N9033" s="11"/>
      <c r="O9033" s="11" t="e">
        <f t="shared" si="1402"/>
        <v>#DIV/0!</v>
      </c>
      <c r="P9033" s="12">
        <f t="shared" si="1403"/>
        <v>0</v>
      </c>
      <c r="Q9033" s="17" t="str">
        <f t="shared" si="1405"/>
        <v>Pas d'écart</v>
      </c>
    </row>
    <row r="9034" spans="1:17" x14ac:dyDescent="0.3">
      <c r="A9034" s="34">
        <f>base!J9034</f>
        <v>0</v>
      </c>
      <c r="B9034" s="34">
        <f>base!V9034</f>
        <v>0</v>
      </c>
      <c r="C9034" s="40" t="s">
        <v>11</v>
      </c>
      <c r="D9034" s="36">
        <f>base!H9034</f>
        <v>0</v>
      </c>
      <c r="E9034" s="44"/>
      <c r="F9034" s="16">
        <f>base!W9034</f>
        <v>0</v>
      </c>
      <c r="G9034" s="11" t="e">
        <f t="shared" si="1397"/>
        <v>#DIV/0!</v>
      </c>
      <c r="H9034" s="11" t="e">
        <f t="shared" si="1398"/>
        <v>#N/A</v>
      </c>
      <c r="I9034" s="11" t="e">
        <f t="shared" si="1399"/>
        <v>#N/A</v>
      </c>
      <c r="J9034" s="12" t="e">
        <f t="shared" si="1400"/>
        <v>#N/A</v>
      </c>
      <c r="K9034" s="17" t="e">
        <f t="shared" si="1404"/>
        <v>#N/A</v>
      </c>
      <c r="L9034" s="16">
        <f>base!X9034</f>
        <v>0</v>
      </c>
      <c r="M9034" s="11" t="e">
        <f t="shared" si="1401"/>
        <v>#DIV/0!</v>
      </c>
      <c r="N9034" s="11"/>
      <c r="O9034" s="11" t="e">
        <f t="shared" si="1402"/>
        <v>#DIV/0!</v>
      </c>
      <c r="P9034" s="12">
        <f t="shared" si="1403"/>
        <v>0</v>
      </c>
      <c r="Q9034" s="17" t="str">
        <f t="shared" si="1405"/>
        <v>Pas d'écart</v>
      </c>
    </row>
    <row r="9035" spans="1:17" x14ac:dyDescent="0.3">
      <c r="A9035" s="34">
        <f>base!J9035</f>
        <v>0</v>
      </c>
      <c r="B9035" s="34">
        <f>base!V9035</f>
        <v>0</v>
      </c>
      <c r="C9035" s="40" t="s">
        <v>11</v>
      </c>
      <c r="D9035" s="36">
        <f>base!H9035</f>
        <v>0</v>
      </c>
      <c r="E9035" s="44"/>
      <c r="F9035" s="16">
        <f>base!W9035</f>
        <v>0</v>
      </c>
      <c r="G9035" s="11" t="e">
        <f t="shared" si="1397"/>
        <v>#DIV/0!</v>
      </c>
      <c r="H9035" s="11" t="e">
        <f t="shared" si="1398"/>
        <v>#N/A</v>
      </c>
      <c r="I9035" s="11" t="e">
        <f t="shared" si="1399"/>
        <v>#N/A</v>
      </c>
      <c r="J9035" s="12" t="e">
        <f t="shared" si="1400"/>
        <v>#N/A</v>
      </c>
      <c r="K9035" s="17" t="e">
        <f t="shared" si="1404"/>
        <v>#N/A</v>
      </c>
      <c r="L9035" s="16">
        <f>base!X9035</f>
        <v>0</v>
      </c>
      <c r="M9035" s="11" t="e">
        <f t="shared" si="1401"/>
        <v>#DIV/0!</v>
      </c>
      <c r="N9035" s="11"/>
      <c r="O9035" s="11" t="e">
        <f t="shared" si="1402"/>
        <v>#DIV/0!</v>
      </c>
      <c r="P9035" s="12">
        <f t="shared" si="1403"/>
        <v>0</v>
      </c>
      <c r="Q9035" s="17" t="str">
        <f t="shared" si="1405"/>
        <v>Pas d'écart</v>
      </c>
    </row>
    <row r="9036" spans="1:17" x14ac:dyDescent="0.3">
      <c r="A9036" s="34">
        <f>base!J9036</f>
        <v>0</v>
      </c>
      <c r="B9036" s="34">
        <f>base!V9036</f>
        <v>0</v>
      </c>
      <c r="C9036" s="40" t="s">
        <v>11</v>
      </c>
      <c r="D9036" s="36">
        <f>base!H9036</f>
        <v>0</v>
      </c>
      <c r="E9036" s="44"/>
      <c r="F9036" s="16">
        <f>base!W9036</f>
        <v>0</v>
      </c>
      <c r="G9036" s="11" t="e">
        <f t="shared" si="1397"/>
        <v>#DIV/0!</v>
      </c>
      <c r="H9036" s="11" t="e">
        <f t="shared" si="1398"/>
        <v>#N/A</v>
      </c>
      <c r="I9036" s="11" t="e">
        <f t="shared" si="1399"/>
        <v>#N/A</v>
      </c>
      <c r="J9036" s="12" t="e">
        <f t="shared" si="1400"/>
        <v>#N/A</v>
      </c>
      <c r="K9036" s="17" t="e">
        <f t="shared" si="1404"/>
        <v>#N/A</v>
      </c>
      <c r="L9036" s="16">
        <f>base!X9036</f>
        <v>0</v>
      </c>
      <c r="M9036" s="11" t="e">
        <f t="shared" si="1401"/>
        <v>#DIV/0!</v>
      </c>
      <c r="N9036" s="11"/>
      <c r="O9036" s="11" t="e">
        <f t="shared" si="1402"/>
        <v>#DIV/0!</v>
      </c>
      <c r="P9036" s="12">
        <f t="shared" si="1403"/>
        <v>0</v>
      </c>
      <c r="Q9036" s="17" t="str">
        <f t="shared" si="1405"/>
        <v>Pas d'écart</v>
      </c>
    </row>
    <row r="9037" spans="1:17" x14ac:dyDescent="0.3">
      <c r="A9037" s="34">
        <f>base!J9037</f>
        <v>0</v>
      </c>
      <c r="B9037" s="34">
        <f>base!V9037</f>
        <v>0</v>
      </c>
      <c r="C9037" s="40" t="s">
        <v>11</v>
      </c>
      <c r="D9037" s="36">
        <f>base!H9037</f>
        <v>0</v>
      </c>
      <c r="E9037" s="44"/>
      <c r="F9037" s="16">
        <f>base!W9037</f>
        <v>0</v>
      </c>
      <c r="G9037" s="11" t="e">
        <f t="shared" si="1397"/>
        <v>#DIV/0!</v>
      </c>
      <c r="H9037" s="11" t="e">
        <f t="shared" si="1398"/>
        <v>#N/A</v>
      </c>
      <c r="I9037" s="11" t="e">
        <f t="shared" si="1399"/>
        <v>#N/A</v>
      </c>
      <c r="J9037" s="12" t="e">
        <f t="shared" si="1400"/>
        <v>#N/A</v>
      </c>
      <c r="K9037" s="17" t="e">
        <f t="shared" si="1404"/>
        <v>#N/A</v>
      </c>
      <c r="L9037" s="16">
        <f>base!X9037</f>
        <v>0</v>
      </c>
      <c r="M9037" s="11" t="e">
        <f t="shared" si="1401"/>
        <v>#DIV/0!</v>
      </c>
      <c r="N9037" s="11"/>
      <c r="O9037" s="11" t="e">
        <f t="shared" si="1402"/>
        <v>#DIV/0!</v>
      </c>
      <c r="P9037" s="12">
        <f t="shared" si="1403"/>
        <v>0</v>
      </c>
      <c r="Q9037" s="17" t="str">
        <f t="shared" si="1405"/>
        <v>Pas d'écart</v>
      </c>
    </row>
    <row r="9038" spans="1:17" x14ac:dyDescent="0.3">
      <c r="A9038" s="34">
        <f>base!J9038</f>
        <v>0</v>
      </c>
      <c r="B9038" s="34">
        <f>base!V9038</f>
        <v>0</v>
      </c>
      <c r="C9038" s="40" t="s">
        <v>11</v>
      </c>
      <c r="D9038" s="36">
        <f>base!H9038</f>
        <v>0</v>
      </c>
      <c r="E9038" s="44"/>
      <c r="F9038" s="16">
        <f>base!W9038</f>
        <v>0</v>
      </c>
      <c r="G9038" s="11" t="e">
        <f t="shared" si="1397"/>
        <v>#DIV/0!</v>
      </c>
      <c r="H9038" s="11" t="e">
        <f t="shared" si="1398"/>
        <v>#N/A</v>
      </c>
      <c r="I9038" s="11" t="e">
        <f t="shared" si="1399"/>
        <v>#N/A</v>
      </c>
      <c r="J9038" s="12" t="e">
        <f t="shared" si="1400"/>
        <v>#N/A</v>
      </c>
      <c r="K9038" s="17" t="e">
        <f t="shared" si="1404"/>
        <v>#N/A</v>
      </c>
      <c r="L9038" s="16">
        <f>base!X9038</f>
        <v>0</v>
      </c>
      <c r="M9038" s="11" t="e">
        <f t="shared" si="1401"/>
        <v>#DIV/0!</v>
      </c>
      <c r="N9038" s="11"/>
      <c r="O9038" s="11" t="e">
        <f t="shared" si="1402"/>
        <v>#DIV/0!</v>
      </c>
      <c r="P9038" s="12">
        <f t="shared" si="1403"/>
        <v>0</v>
      </c>
      <c r="Q9038" s="17" t="str">
        <f t="shared" si="1405"/>
        <v>Pas d'écart</v>
      </c>
    </row>
    <row r="9039" spans="1:17" x14ac:dyDescent="0.3">
      <c r="A9039" s="34">
        <f>base!J9039</f>
        <v>0</v>
      </c>
      <c r="B9039" s="34">
        <f>base!V9039</f>
        <v>0</v>
      </c>
      <c r="C9039" s="40" t="s">
        <v>11</v>
      </c>
      <c r="D9039" s="36">
        <f>base!H9039</f>
        <v>0</v>
      </c>
      <c r="E9039" s="44"/>
      <c r="F9039" s="16">
        <f>base!W9039</f>
        <v>0</v>
      </c>
      <c r="G9039" s="11" t="e">
        <f t="shared" si="1397"/>
        <v>#DIV/0!</v>
      </c>
      <c r="H9039" s="11" t="e">
        <f t="shared" si="1398"/>
        <v>#N/A</v>
      </c>
      <c r="I9039" s="11" t="e">
        <f t="shared" si="1399"/>
        <v>#N/A</v>
      </c>
      <c r="J9039" s="12" t="e">
        <f t="shared" si="1400"/>
        <v>#N/A</v>
      </c>
      <c r="K9039" s="17" t="e">
        <f t="shared" si="1404"/>
        <v>#N/A</v>
      </c>
      <c r="L9039" s="16">
        <f>base!X9039</f>
        <v>0</v>
      </c>
      <c r="M9039" s="11" t="e">
        <f t="shared" si="1401"/>
        <v>#DIV/0!</v>
      </c>
      <c r="N9039" s="11"/>
      <c r="O9039" s="11" t="e">
        <f t="shared" si="1402"/>
        <v>#DIV/0!</v>
      </c>
      <c r="P9039" s="12">
        <f t="shared" si="1403"/>
        <v>0</v>
      </c>
      <c r="Q9039" s="17" t="str">
        <f t="shared" si="1405"/>
        <v>Pas d'écart</v>
      </c>
    </row>
    <row r="9040" spans="1:17" x14ac:dyDescent="0.3">
      <c r="A9040" s="34">
        <f>base!J9040</f>
        <v>0</v>
      </c>
      <c r="B9040" s="34">
        <f>base!V9040</f>
        <v>0</v>
      </c>
      <c r="C9040" s="40" t="s">
        <v>11</v>
      </c>
      <c r="D9040" s="36">
        <f>base!H9040</f>
        <v>0</v>
      </c>
      <c r="E9040" s="44"/>
      <c r="F9040" s="16">
        <f>base!W9040</f>
        <v>0</v>
      </c>
      <c r="G9040" s="11" t="e">
        <f t="shared" si="1397"/>
        <v>#DIV/0!</v>
      </c>
      <c r="H9040" s="11" t="e">
        <f t="shared" si="1398"/>
        <v>#N/A</v>
      </c>
      <c r="I9040" s="11" t="e">
        <f t="shared" si="1399"/>
        <v>#N/A</v>
      </c>
      <c r="J9040" s="12" t="e">
        <f t="shared" si="1400"/>
        <v>#N/A</v>
      </c>
      <c r="K9040" s="17" t="e">
        <f t="shared" si="1404"/>
        <v>#N/A</v>
      </c>
      <c r="L9040" s="16">
        <f>base!X9040</f>
        <v>0</v>
      </c>
      <c r="M9040" s="11" t="e">
        <f t="shared" si="1401"/>
        <v>#DIV/0!</v>
      </c>
      <c r="N9040" s="11"/>
      <c r="O9040" s="11" t="e">
        <f t="shared" si="1402"/>
        <v>#DIV/0!</v>
      </c>
      <c r="P9040" s="12">
        <f t="shared" si="1403"/>
        <v>0</v>
      </c>
      <c r="Q9040" s="17" t="str">
        <f t="shared" si="1405"/>
        <v>Pas d'écart</v>
      </c>
    </row>
    <row r="9041" spans="1:17" x14ac:dyDescent="0.3">
      <c r="A9041" s="34">
        <f>base!J9041</f>
        <v>0</v>
      </c>
      <c r="B9041" s="34">
        <f>base!V9041</f>
        <v>0</v>
      </c>
      <c r="C9041" s="40" t="s">
        <v>11</v>
      </c>
      <c r="D9041" s="36">
        <f>base!H9041</f>
        <v>0</v>
      </c>
      <c r="E9041" s="44"/>
      <c r="F9041" s="16">
        <f>base!W9041</f>
        <v>0</v>
      </c>
      <c r="G9041" s="11" t="e">
        <f t="shared" si="1397"/>
        <v>#DIV/0!</v>
      </c>
      <c r="H9041" s="11" t="e">
        <f t="shared" si="1398"/>
        <v>#N/A</v>
      </c>
      <c r="I9041" s="11" t="e">
        <f t="shared" si="1399"/>
        <v>#N/A</v>
      </c>
      <c r="J9041" s="12" t="e">
        <f t="shared" si="1400"/>
        <v>#N/A</v>
      </c>
      <c r="K9041" s="17" t="e">
        <f t="shared" si="1404"/>
        <v>#N/A</v>
      </c>
      <c r="L9041" s="16">
        <f>base!X9041</f>
        <v>0</v>
      </c>
      <c r="M9041" s="11" t="e">
        <f t="shared" si="1401"/>
        <v>#DIV/0!</v>
      </c>
      <c r="N9041" s="11"/>
      <c r="O9041" s="11" t="e">
        <f t="shared" si="1402"/>
        <v>#DIV/0!</v>
      </c>
      <c r="P9041" s="12">
        <f t="shared" si="1403"/>
        <v>0</v>
      </c>
      <c r="Q9041" s="17" t="str">
        <f t="shared" si="1405"/>
        <v>Pas d'écart</v>
      </c>
    </row>
    <row r="9042" spans="1:17" x14ac:dyDescent="0.3">
      <c r="A9042" s="34">
        <f>base!J9042</f>
        <v>0</v>
      </c>
      <c r="B9042" s="34">
        <f>base!V9042</f>
        <v>0</v>
      </c>
      <c r="C9042" s="40" t="s">
        <v>11</v>
      </c>
      <c r="D9042" s="36">
        <f>base!H9042</f>
        <v>0</v>
      </c>
      <c r="E9042" s="44"/>
      <c r="F9042" s="16">
        <f>base!W9042</f>
        <v>0</v>
      </c>
      <c r="G9042" s="11" t="e">
        <f t="shared" si="1397"/>
        <v>#DIV/0!</v>
      </c>
      <c r="H9042" s="11" t="e">
        <f t="shared" si="1398"/>
        <v>#N/A</v>
      </c>
      <c r="I9042" s="11" t="e">
        <f t="shared" si="1399"/>
        <v>#N/A</v>
      </c>
      <c r="J9042" s="12" t="e">
        <f t="shared" si="1400"/>
        <v>#N/A</v>
      </c>
      <c r="K9042" s="17" t="e">
        <f t="shared" si="1404"/>
        <v>#N/A</v>
      </c>
      <c r="L9042" s="16">
        <f>base!X9042</f>
        <v>0</v>
      </c>
      <c r="M9042" s="11" t="e">
        <f t="shared" si="1401"/>
        <v>#DIV/0!</v>
      </c>
      <c r="N9042" s="11"/>
      <c r="O9042" s="11" t="e">
        <f t="shared" si="1402"/>
        <v>#DIV/0!</v>
      </c>
      <c r="P9042" s="12">
        <f t="shared" si="1403"/>
        <v>0</v>
      </c>
      <c r="Q9042" s="17" t="str">
        <f t="shared" si="1405"/>
        <v>Pas d'écart</v>
      </c>
    </row>
    <row r="9043" spans="1:17" x14ac:dyDescent="0.3">
      <c r="A9043" s="34">
        <f>base!J9043</f>
        <v>0</v>
      </c>
      <c r="B9043" s="34">
        <f>base!V9043</f>
        <v>0</v>
      </c>
      <c r="C9043" s="40" t="s">
        <v>11</v>
      </c>
      <c r="D9043" s="36">
        <f>base!H9043</f>
        <v>0</v>
      </c>
      <c r="E9043" s="44"/>
      <c r="F9043" s="16">
        <f>base!W9043</f>
        <v>0</v>
      </c>
      <c r="G9043" s="11" t="e">
        <f t="shared" si="1397"/>
        <v>#DIV/0!</v>
      </c>
      <c r="H9043" s="11" t="e">
        <f t="shared" si="1398"/>
        <v>#N/A</v>
      </c>
      <c r="I9043" s="11" t="e">
        <f t="shared" si="1399"/>
        <v>#N/A</v>
      </c>
      <c r="J9043" s="12" t="e">
        <f t="shared" si="1400"/>
        <v>#N/A</v>
      </c>
      <c r="K9043" s="17" t="e">
        <f t="shared" si="1404"/>
        <v>#N/A</v>
      </c>
      <c r="L9043" s="16">
        <f>base!X9043</f>
        <v>0</v>
      </c>
      <c r="M9043" s="11" t="e">
        <f t="shared" si="1401"/>
        <v>#DIV/0!</v>
      </c>
      <c r="N9043" s="11"/>
      <c r="O9043" s="11" t="e">
        <f t="shared" si="1402"/>
        <v>#DIV/0!</v>
      </c>
      <c r="P9043" s="12">
        <f t="shared" si="1403"/>
        <v>0</v>
      </c>
      <c r="Q9043" s="17" t="str">
        <f t="shared" si="1405"/>
        <v>Pas d'écart</v>
      </c>
    </row>
    <row r="9044" spans="1:17" x14ac:dyDescent="0.3">
      <c r="A9044" s="34">
        <f>base!J9044</f>
        <v>0</v>
      </c>
      <c r="B9044" s="34">
        <f>base!V9044</f>
        <v>0</v>
      </c>
      <c r="C9044" s="40" t="s">
        <v>11</v>
      </c>
      <c r="D9044" s="36">
        <f>base!H9044</f>
        <v>0</v>
      </c>
      <c r="E9044" s="44"/>
      <c r="F9044" s="16">
        <f>base!W9044</f>
        <v>0</v>
      </c>
      <c r="G9044" s="11" t="e">
        <f t="shared" si="1397"/>
        <v>#DIV/0!</v>
      </c>
      <c r="H9044" s="11" t="e">
        <f t="shared" si="1398"/>
        <v>#N/A</v>
      </c>
      <c r="I9044" s="11" t="e">
        <f t="shared" si="1399"/>
        <v>#N/A</v>
      </c>
      <c r="J9044" s="12" t="e">
        <f t="shared" si="1400"/>
        <v>#N/A</v>
      </c>
      <c r="K9044" s="17" t="e">
        <f t="shared" si="1404"/>
        <v>#N/A</v>
      </c>
      <c r="L9044" s="16">
        <f>base!X9044</f>
        <v>0</v>
      </c>
      <c r="M9044" s="11" t="e">
        <f t="shared" si="1401"/>
        <v>#DIV/0!</v>
      </c>
      <c r="N9044" s="11"/>
      <c r="O9044" s="11" t="e">
        <f t="shared" si="1402"/>
        <v>#DIV/0!</v>
      </c>
      <c r="P9044" s="12">
        <f t="shared" si="1403"/>
        <v>0</v>
      </c>
      <c r="Q9044" s="17" t="str">
        <f t="shared" si="1405"/>
        <v>Pas d'écart</v>
      </c>
    </row>
    <row r="9045" spans="1:17" x14ac:dyDescent="0.3">
      <c r="A9045" s="34">
        <f>base!J9045</f>
        <v>0</v>
      </c>
      <c r="B9045" s="34">
        <f>base!V9045</f>
        <v>0</v>
      </c>
      <c r="C9045" s="40" t="s">
        <v>11</v>
      </c>
      <c r="D9045" s="36">
        <f>base!H9045</f>
        <v>0</v>
      </c>
      <c r="E9045" s="44"/>
      <c r="F9045" s="16">
        <f>base!W9045</f>
        <v>0</v>
      </c>
      <c r="G9045" s="11" t="e">
        <f t="shared" si="1397"/>
        <v>#DIV/0!</v>
      </c>
      <c r="H9045" s="11" t="e">
        <f t="shared" si="1398"/>
        <v>#N/A</v>
      </c>
      <c r="I9045" s="11" t="e">
        <f t="shared" si="1399"/>
        <v>#N/A</v>
      </c>
      <c r="J9045" s="12" t="e">
        <f t="shared" si="1400"/>
        <v>#N/A</v>
      </c>
      <c r="K9045" s="17" t="e">
        <f t="shared" si="1404"/>
        <v>#N/A</v>
      </c>
      <c r="L9045" s="16">
        <f>base!X9045</f>
        <v>0</v>
      </c>
      <c r="M9045" s="11" t="e">
        <f t="shared" si="1401"/>
        <v>#DIV/0!</v>
      </c>
      <c r="N9045" s="11"/>
      <c r="O9045" s="11" t="e">
        <f t="shared" si="1402"/>
        <v>#DIV/0!</v>
      </c>
      <c r="P9045" s="12">
        <f t="shared" si="1403"/>
        <v>0</v>
      </c>
      <c r="Q9045" s="17" t="str">
        <f t="shared" si="1405"/>
        <v>Pas d'écart</v>
      </c>
    </row>
    <row r="9046" spans="1:17" x14ac:dyDescent="0.3">
      <c r="A9046" s="34">
        <f>base!J9046</f>
        <v>0</v>
      </c>
      <c r="B9046" s="34">
        <f>base!V9046</f>
        <v>0</v>
      </c>
      <c r="C9046" s="40" t="s">
        <v>11</v>
      </c>
      <c r="D9046" s="36">
        <f>base!H9046</f>
        <v>0</v>
      </c>
      <c r="E9046" s="44"/>
      <c r="F9046" s="16">
        <f>base!W9046</f>
        <v>0</v>
      </c>
      <c r="G9046" s="11" t="e">
        <f t="shared" si="1397"/>
        <v>#DIV/0!</v>
      </c>
      <c r="H9046" s="11" t="e">
        <f t="shared" si="1398"/>
        <v>#N/A</v>
      </c>
      <c r="I9046" s="11" t="e">
        <f t="shared" si="1399"/>
        <v>#N/A</v>
      </c>
      <c r="J9046" s="12" t="e">
        <f t="shared" si="1400"/>
        <v>#N/A</v>
      </c>
      <c r="K9046" s="17" t="e">
        <f t="shared" si="1404"/>
        <v>#N/A</v>
      </c>
      <c r="L9046" s="16">
        <f>base!X9046</f>
        <v>0</v>
      </c>
      <c r="M9046" s="11" t="e">
        <f t="shared" si="1401"/>
        <v>#DIV/0!</v>
      </c>
      <c r="N9046" s="11"/>
      <c r="O9046" s="11" t="e">
        <f t="shared" si="1402"/>
        <v>#DIV/0!</v>
      </c>
      <c r="P9046" s="12">
        <f t="shared" si="1403"/>
        <v>0</v>
      </c>
      <c r="Q9046" s="17" t="str">
        <f t="shared" si="1405"/>
        <v>Pas d'écart</v>
      </c>
    </row>
    <row r="9047" spans="1:17" x14ac:dyDescent="0.3">
      <c r="A9047" s="34">
        <f>base!J9047</f>
        <v>0</v>
      </c>
      <c r="B9047" s="34">
        <f>base!V9047</f>
        <v>0</v>
      </c>
      <c r="C9047" s="40" t="s">
        <v>11</v>
      </c>
      <c r="D9047" s="36">
        <f>base!H9047</f>
        <v>0</v>
      </c>
      <c r="E9047" s="44"/>
      <c r="F9047" s="16">
        <f>base!W9047</f>
        <v>0</v>
      </c>
      <c r="G9047" s="11" t="e">
        <f t="shared" si="1397"/>
        <v>#DIV/0!</v>
      </c>
      <c r="H9047" s="11" t="e">
        <f t="shared" si="1398"/>
        <v>#N/A</v>
      </c>
      <c r="I9047" s="11" t="e">
        <f t="shared" si="1399"/>
        <v>#N/A</v>
      </c>
      <c r="J9047" s="12" t="e">
        <f t="shared" si="1400"/>
        <v>#N/A</v>
      </c>
      <c r="K9047" s="17" t="e">
        <f t="shared" si="1404"/>
        <v>#N/A</v>
      </c>
      <c r="L9047" s="16">
        <f>base!X9047</f>
        <v>0</v>
      </c>
      <c r="M9047" s="11" t="e">
        <f t="shared" si="1401"/>
        <v>#DIV/0!</v>
      </c>
      <c r="N9047" s="11"/>
      <c r="O9047" s="11" t="e">
        <f t="shared" si="1402"/>
        <v>#DIV/0!</v>
      </c>
      <c r="P9047" s="12">
        <f t="shared" si="1403"/>
        <v>0</v>
      </c>
      <c r="Q9047" s="17" t="str">
        <f t="shared" si="1405"/>
        <v>Pas d'écart</v>
      </c>
    </row>
    <row r="9048" spans="1:17" x14ac:dyDescent="0.3">
      <c r="A9048" s="34">
        <f>base!J9048</f>
        <v>0</v>
      </c>
      <c r="B9048" s="34">
        <f>base!V9048</f>
        <v>0</v>
      </c>
      <c r="C9048" s="40" t="s">
        <v>11</v>
      </c>
      <c r="D9048" s="36">
        <f>base!H9048</f>
        <v>0</v>
      </c>
      <c r="E9048" s="44"/>
      <c r="F9048" s="16">
        <f>base!W9048</f>
        <v>0</v>
      </c>
      <c r="G9048" s="11" t="e">
        <f t="shared" si="1397"/>
        <v>#DIV/0!</v>
      </c>
      <c r="H9048" s="11" t="e">
        <f t="shared" si="1398"/>
        <v>#N/A</v>
      </c>
      <c r="I9048" s="11" t="e">
        <f t="shared" si="1399"/>
        <v>#N/A</v>
      </c>
      <c r="J9048" s="12" t="e">
        <f t="shared" si="1400"/>
        <v>#N/A</v>
      </c>
      <c r="K9048" s="17" t="e">
        <f t="shared" si="1404"/>
        <v>#N/A</v>
      </c>
      <c r="L9048" s="16">
        <f>base!X9048</f>
        <v>0</v>
      </c>
      <c r="M9048" s="11" t="e">
        <f t="shared" si="1401"/>
        <v>#DIV/0!</v>
      </c>
      <c r="N9048" s="11"/>
      <c r="O9048" s="11" t="e">
        <f t="shared" si="1402"/>
        <v>#DIV/0!</v>
      </c>
      <c r="P9048" s="12">
        <f t="shared" si="1403"/>
        <v>0</v>
      </c>
      <c r="Q9048" s="17" t="str">
        <f t="shared" si="1405"/>
        <v>Pas d'écart</v>
      </c>
    </row>
    <row r="9049" spans="1:17" x14ac:dyDescent="0.3">
      <c r="A9049" s="34">
        <f>base!J9049</f>
        <v>0</v>
      </c>
      <c r="B9049" s="34">
        <f>base!V9049</f>
        <v>0</v>
      </c>
      <c r="C9049" s="40" t="s">
        <v>11</v>
      </c>
      <c r="D9049" s="36">
        <f>base!H9049</f>
        <v>0</v>
      </c>
      <c r="E9049" s="44"/>
      <c r="F9049" s="16">
        <f>base!W9049</f>
        <v>0</v>
      </c>
      <c r="G9049" s="11" t="e">
        <f t="shared" si="1397"/>
        <v>#DIV/0!</v>
      </c>
      <c r="H9049" s="11" t="e">
        <f t="shared" si="1398"/>
        <v>#N/A</v>
      </c>
      <c r="I9049" s="11" t="e">
        <f t="shared" si="1399"/>
        <v>#N/A</v>
      </c>
      <c r="J9049" s="12" t="e">
        <f t="shared" si="1400"/>
        <v>#N/A</v>
      </c>
      <c r="K9049" s="17" t="e">
        <f t="shared" si="1404"/>
        <v>#N/A</v>
      </c>
      <c r="L9049" s="16">
        <f>base!X9049</f>
        <v>0</v>
      </c>
      <c r="M9049" s="11" t="e">
        <f t="shared" si="1401"/>
        <v>#DIV/0!</v>
      </c>
      <c r="N9049" s="11"/>
      <c r="O9049" s="11" t="e">
        <f t="shared" si="1402"/>
        <v>#DIV/0!</v>
      </c>
      <c r="P9049" s="12">
        <f t="shared" si="1403"/>
        <v>0</v>
      </c>
      <c r="Q9049" s="17" t="str">
        <f t="shared" si="1405"/>
        <v>Pas d'écart</v>
      </c>
    </row>
    <row r="9050" spans="1:17" x14ac:dyDescent="0.3">
      <c r="A9050" s="34">
        <f>base!J9050</f>
        <v>0</v>
      </c>
      <c r="B9050" s="34">
        <f>base!V9050</f>
        <v>0</v>
      </c>
      <c r="C9050" s="40" t="s">
        <v>11</v>
      </c>
      <c r="D9050" s="36">
        <f>base!H9050</f>
        <v>0</v>
      </c>
      <c r="E9050" s="44"/>
      <c r="F9050" s="16">
        <f>base!W9050</f>
        <v>0</v>
      </c>
      <c r="G9050" s="11" t="e">
        <f t="shared" si="1397"/>
        <v>#DIV/0!</v>
      </c>
      <c r="H9050" s="11" t="e">
        <f t="shared" si="1398"/>
        <v>#N/A</v>
      </c>
      <c r="I9050" s="11" t="e">
        <f t="shared" si="1399"/>
        <v>#N/A</v>
      </c>
      <c r="J9050" s="12" t="e">
        <f t="shared" si="1400"/>
        <v>#N/A</v>
      </c>
      <c r="K9050" s="17" t="e">
        <f t="shared" si="1404"/>
        <v>#N/A</v>
      </c>
      <c r="L9050" s="16">
        <f>base!X9050</f>
        <v>0</v>
      </c>
      <c r="M9050" s="11" t="e">
        <f t="shared" si="1401"/>
        <v>#DIV/0!</v>
      </c>
      <c r="N9050" s="11"/>
      <c r="O9050" s="11" t="e">
        <f t="shared" si="1402"/>
        <v>#DIV/0!</v>
      </c>
      <c r="P9050" s="12">
        <f t="shared" si="1403"/>
        <v>0</v>
      </c>
      <c r="Q9050" s="17" t="str">
        <f t="shared" si="1405"/>
        <v>Pas d'écart</v>
      </c>
    </row>
    <row r="9051" spans="1:17" x14ac:dyDescent="0.3">
      <c r="A9051" s="34">
        <f>base!J9051</f>
        <v>0</v>
      </c>
      <c r="B9051" s="34">
        <f>base!V9051</f>
        <v>0</v>
      </c>
      <c r="C9051" s="40" t="s">
        <v>11</v>
      </c>
      <c r="D9051" s="36">
        <f>base!H9051</f>
        <v>0</v>
      </c>
      <c r="E9051" s="44"/>
      <c r="F9051" s="16">
        <f>base!W9051</f>
        <v>0</v>
      </c>
      <c r="G9051" s="11" t="e">
        <f t="shared" si="1397"/>
        <v>#DIV/0!</v>
      </c>
      <c r="H9051" s="11" t="e">
        <f t="shared" si="1398"/>
        <v>#N/A</v>
      </c>
      <c r="I9051" s="11" t="e">
        <f t="shared" si="1399"/>
        <v>#N/A</v>
      </c>
      <c r="J9051" s="12" t="e">
        <f t="shared" si="1400"/>
        <v>#N/A</v>
      </c>
      <c r="K9051" s="17" t="e">
        <f t="shared" si="1404"/>
        <v>#N/A</v>
      </c>
      <c r="L9051" s="16">
        <f>base!X9051</f>
        <v>0</v>
      </c>
      <c r="M9051" s="11" t="e">
        <f t="shared" si="1401"/>
        <v>#DIV/0!</v>
      </c>
      <c r="N9051" s="11"/>
      <c r="O9051" s="11" t="e">
        <f t="shared" si="1402"/>
        <v>#DIV/0!</v>
      </c>
      <c r="P9051" s="12">
        <f t="shared" si="1403"/>
        <v>0</v>
      </c>
      <c r="Q9051" s="17" t="str">
        <f t="shared" si="1405"/>
        <v>Pas d'écart</v>
      </c>
    </row>
    <row r="9052" spans="1:17" x14ac:dyDescent="0.3">
      <c r="A9052" s="34">
        <f>base!J9052</f>
        <v>0</v>
      </c>
      <c r="B9052" s="34">
        <f>base!V9052</f>
        <v>0</v>
      </c>
      <c r="C9052" s="40" t="s">
        <v>11</v>
      </c>
      <c r="D9052" s="36">
        <f>base!H9052</f>
        <v>0</v>
      </c>
      <c r="E9052" s="44"/>
      <c r="F9052" s="16">
        <f>base!W9052</f>
        <v>0</v>
      </c>
      <c r="G9052" s="11" t="e">
        <f t="shared" si="1397"/>
        <v>#DIV/0!</v>
      </c>
      <c r="H9052" s="11" t="e">
        <f t="shared" si="1398"/>
        <v>#N/A</v>
      </c>
      <c r="I9052" s="11" t="e">
        <f t="shared" si="1399"/>
        <v>#N/A</v>
      </c>
      <c r="J9052" s="12" t="e">
        <f t="shared" si="1400"/>
        <v>#N/A</v>
      </c>
      <c r="K9052" s="17" t="e">
        <f t="shared" si="1404"/>
        <v>#N/A</v>
      </c>
      <c r="L9052" s="16">
        <f>base!X9052</f>
        <v>0</v>
      </c>
      <c r="M9052" s="11" t="e">
        <f t="shared" si="1401"/>
        <v>#DIV/0!</v>
      </c>
      <c r="N9052" s="11"/>
      <c r="O9052" s="11" t="e">
        <f t="shared" si="1402"/>
        <v>#DIV/0!</v>
      </c>
      <c r="P9052" s="12">
        <f t="shared" si="1403"/>
        <v>0</v>
      </c>
      <c r="Q9052" s="17" t="str">
        <f t="shared" si="1405"/>
        <v>Pas d'écart</v>
      </c>
    </row>
    <row r="9053" spans="1:17" x14ac:dyDescent="0.3">
      <c r="A9053" s="34">
        <f>base!J9053</f>
        <v>0</v>
      </c>
      <c r="B9053" s="34">
        <f>base!V9053</f>
        <v>0</v>
      </c>
      <c r="C9053" s="40" t="s">
        <v>11</v>
      </c>
      <c r="D9053" s="36">
        <f>base!H9053</f>
        <v>0</v>
      </c>
      <c r="E9053" s="44"/>
      <c r="F9053" s="16">
        <f>base!W9053</f>
        <v>0</v>
      </c>
      <c r="G9053" s="11" t="e">
        <f t="shared" si="1397"/>
        <v>#DIV/0!</v>
      </c>
      <c r="H9053" s="11" t="e">
        <f t="shared" si="1398"/>
        <v>#N/A</v>
      </c>
      <c r="I9053" s="11" t="e">
        <f t="shared" si="1399"/>
        <v>#N/A</v>
      </c>
      <c r="J9053" s="12" t="e">
        <f t="shared" si="1400"/>
        <v>#N/A</v>
      </c>
      <c r="K9053" s="17" t="e">
        <f t="shared" si="1404"/>
        <v>#N/A</v>
      </c>
      <c r="L9053" s="16">
        <f>base!X9053</f>
        <v>0</v>
      </c>
      <c r="M9053" s="11" t="e">
        <f t="shared" si="1401"/>
        <v>#DIV/0!</v>
      </c>
      <c r="N9053" s="11"/>
      <c r="O9053" s="11" t="e">
        <f t="shared" si="1402"/>
        <v>#DIV/0!</v>
      </c>
      <c r="P9053" s="12">
        <f t="shared" si="1403"/>
        <v>0</v>
      </c>
      <c r="Q9053" s="17" t="str">
        <f t="shared" si="1405"/>
        <v>Pas d'écart</v>
      </c>
    </row>
    <row r="9054" spans="1:17" x14ac:dyDescent="0.3">
      <c r="A9054" s="34">
        <f>base!J9054</f>
        <v>0</v>
      </c>
      <c r="B9054" s="34">
        <f>base!V9054</f>
        <v>0</v>
      </c>
      <c r="C9054" s="40" t="s">
        <v>11</v>
      </c>
      <c r="D9054" s="36">
        <f>base!H9054</f>
        <v>0</v>
      </c>
      <c r="E9054" s="44"/>
      <c r="F9054" s="16">
        <f>base!W9054</f>
        <v>0</v>
      </c>
      <c r="G9054" s="11" t="e">
        <f t="shared" si="1397"/>
        <v>#DIV/0!</v>
      </c>
      <c r="H9054" s="11" t="e">
        <f t="shared" si="1398"/>
        <v>#N/A</v>
      </c>
      <c r="I9054" s="11" t="e">
        <f t="shared" si="1399"/>
        <v>#N/A</v>
      </c>
      <c r="J9054" s="12" t="e">
        <f t="shared" si="1400"/>
        <v>#N/A</v>
      </c>
      <c r="K9054" s="17" t="e">
        <f t="shared" si="1404"/>
        <v>#N/A</v>
      </c>
      <c r="L9054" s="16">
        <f>base!X9054</f>
        <v>0</v>
      </c>
      <c r="M9054" s="11" t="e">
        <f t="shared" si="1401"/>
        <v>#DIV/0!</v>
      </c>
      <c r="N9054" s="11"/>
      <c r="O9054" s="11" t="e">
        <f t="shared" si="1402"/>
        <v>#DIV/0!</v>
      </c>
      <c r="P9054" s="12">
        <f t="shared" si="1403"/>
        <v>0</v>
      </c>
      <c r="Q9054" s="17" t="str">
        <f t="shared" si="1405"/>
        <v>Pas d'écart</v>
      </c>
    </row>
    <row r="9055" spans="1:17" x14ac:dyDescent="0.3">
      <c r="A9055" s="34">
        <f>base!J9055</f>
        <v>0</v>
      </c>
      <c r="B9055" s="34">
        <f>base!V9055</f>
        <v>0</v>
      </c>
      <c r="C9055" s="40" t="s">
        <v>11</v>
      </c>
      <c r="D9055" s="36">
        <f>base!H9055</f>
        <v>0</v>
      </c>
      <c r="E9055" s="44"/>
      <c r="F9055" s="16">
        <f>base!W9055</f>
        <v>0</v>
      </c>
      <c r="G9055" s="11" t="e">
        <f t="shared" si="1397"/>
        <v>#DIV/0!</v>
      </c>
      <c r="H9055" s="11" t="e">
        <f t="shared" si="1398"/>
        <v>#N/A</v>
      </c>
      <c r="I9055" s="11" t="e">
        <f t="shared" si="1399"/>
        <v>#N/A</v>
      </c>
      <c r="J9055" s="12" t="e">
        <f t="shared" si="1400"/>
        <v>#N/A</v>
      </c>
      <c r="K9055" s="17" t="e">
        <f t="shared" si="1404"/>
        <v>#N/A</v>
      </c>
      <c r="L9055" s="16">
        <f>base!X9055</f>
        <v>0</v>
      </c>
      <c r="M9055" s="11" t="e">
        <f t="shared" si="1401"/>
        <v>#DIV/0!</v>
      </c>
      <c r="N9055" s="11"/>
      <c r="O9055" s="11" t="e">
        <f t="shared" si="1402"/>
        <v>#DIV/0!</v>
      </c>
      <c r="P9055" s="12">
        <f t="shared" si="1403"/>
        <v>0</v>
      </c>
      <c r="Q9055" s="17" t="str">
        <f t="shared" si="1405"/>
        <v>Pas d'écart</v>
      </c>
    </row>
    <row r="9056" spans="1:17" x14ac:dyDescent="0.3">
      <c r="A9056" s="34">
        <f>base!J9056</f>
        <v>0</v>
      </c>
      <c r="B9056" s="34">
        <f>base!V9056</f>
        <v>0</v>
      </c>
      <c r="C9056" s="40" t="s">
        <v>11</v>
      </c>
      <c r="D9056" s="36">
        <f>base!H9056</f>
        <v>0</v>
      </c>
      <c r="E9056" s="44"/>
      <c r="F9056" s="16">
        <f>base!W9056</f>
        <v>0</v>
      </c>
      <c r="G9056" s="11" t="e">
        <f t="shared" si="1397"/>
        <v>#DIV/0!</v>
      </c>
      <c r="H9056" s="11" t="e">
        <f t="shared" si="1398"/>
        <v>#N/A</v>
      </c>
      <c r="I9056" s="11" t="e">
        <f t="shared" si="1399"/>
        <v>#N/A</v>
      </c>
      <c r="J9056" s="12" t="e">
        <f t="shared" si="1400"/>
        <v>#N/A</v>
      </c>
      <c r="K9056" s="17" t="e">
        <f t="shared" si="1404"/>
        <v>#N/A</v>
      </c>
      <c r="L9056" s="16">
        <f>base!X9056</f>
        <v>0</v>
      </c>
      <c r="M9056" s="11" t="e">
        <f t="shared" si="1401"/>
        <v>#DIV/0!</v>
      </c>
      <c r="N9056" s="11"/>
      <c r="O9056" s="11" t="e">
        <f t="shared" si="1402"/>
        <v>#DIV/0!</v>
      </c>
      <c r="P9056" s="12">
        <f t="shared" si="1403"/>
        <v>0</v>
      </c>
      <c r="Q9056" s="17" t="str">
        <f t="shared" si="1405"/>
        <v>Pas d'écart</v>
      </c>
    </row>
    <row r="9057" spans="1:17" x14ac:dyDescent="0.3">
      <c r="A9057" s="34">
        <f>base!J9057</f>
        <v>0</v>
      </c>
      <c r="B9057" s="34">
        <f>base!V9057</f>
        <v>0</v>
      </c>
      <c r="C9057" s="40" t="s">
        <v>11</v>
      </c>
      <c r="D9057" s="36">
        <f>base!H9057</f>
        <v>0</v>
      </c>
      <c r="E9057" s="44"/>
      <c r="F9057" s="16">
        <f>base!W9057</f>
        <v>0</v>
      </c>
      <c r="G9057" s="11" t="e">
        <f t="shared" si="1397"/>
        <v>#DIV/0!</v>
      </c>
      <c r="H9057" s="11" t="e">
        <f t="shared" si="1398"/>
        <v>#N/A</v>
      </c>
      <c r="I9057" s="11" t="e">
        <f t="shared" si="1399"/>
        <v>#N/A</v>
      </c>
      <c r="J9057" s="12" t="e">
        <f t="shared" si="1400"/>
        <v>#N/A</v>
      </c>
      <c r="K9057" s="17" t="e">
        <f t="shared" si="1404"/>
        <v>#N/A</v>
      </c>
      <c r="L9057" s="16">
        <f>base!X9057</f>
        <v>0</v>
      </c>
      <c r="M9057" s="11" t="e">
        <f t="shared" si="1401"/>
        <v>#DIV/0!</v>
      </c>
      <c r="N9057" s="11"/>
      <c r="O9057" s="11" t="e">
        <f t="shared" si="1402"/>
        <v>#DIV/0!</v>
      </c>
      <c r="P9057" s="12">
        <f t="shared" si="1403"/>
        <v>0</v>
      </c>
      <c r="Q9057" s="17" t="str">
        <f t="shared" si="1405"/>
        <v>Pas d'écart</v>
      </c>
    </row>
    <row r="9058" spans="1:17" x14ac:dyDescent="0.3">
      <c r="A9058" s="34">
        <f>base!J9058</f>
        <v>0</v>
      </c>
      <c r="B9058" s="34">
        <f>base!V9058</f>
        <v>0</v>
      </c>
      <c r="C9058" s="40" t="s">
        <v>11</v>
      </c>
      <c r="D9058" s="36">
        <f>base!H9058</f>
        <v>0</v>
      </c>
      <c r="E9058" s="44"/>
      <c r="F9058" s="16">
        <f>base!W9058</f>
        <v>0</v>
      </c>
      <c r="G9058" s="11" t="e">
        <f t="shared" si="1397"/>
        <v>#DIV/0!</v>
      </c>
      <c r="H9058" s="11" t="e">
        <f t="shared" si="1398"/>
        <v>#N/A</v>
      </c>
      <c r="I9058" s="11" t="e">
        <f t="shared" si="1399"/>
        <v>#N/A</v>
      </c>
      <c r="J9058" s="12" t="e">
        <f t="shared" si="1400"/>
        <v>#N/A</v>
      </c>
      <c r="K9058" s="17" t="e">
        <f t="shared" si="1404"/>
        <v>#N/A</v>
      </c>
      <c r="L9058" s="16">
        <f>base!X9058</f>
        <v>0</v>
      </c>
      <c r="M9058" s="11" t="e">
        <f t="shared" si="1401"/>
        <v>#DIV/0!</v>
      </c>
      <c r="N9058" s="11"/>
      <c r="O9058" s="11" t="e">
        <f t="shared" si="1402"/>
        <v>#DIV/0!</v>
      </c>
      <c r="P9058" s="12">
        <f t="shared" si="1403"/>
        <v>0</v>
      </c>
      <c r="Q9058" s="17" t="str">
        <f t="shared" si="1405"/>
        <v>Pas d'écart</v>
      </c>
    </row>
    <row r="9059" spans="1:17" x14ac:dyDescent="0.3">
      <c r="A9059" s="34">
        <f>base!J9059</f>
        <v>0</v>
      </c>
      <c r="B9059" s="34">
        <f>base!V9059</f>
        <v>0</v>
      </c>
      <c r="C9059" s="40" t="s">
        <v>11</v>
      </c>
      <c r="D9059" s="36">
        <f>base!H9059</f>
        <v>0</v>
      </c>
      <c r="E9059" s="44"/>
      <c r="F9059" s="16">
        <f>base!W9059</f>
        <v>0</v>
      </c>
      <c r="G9059" s="11" t="e">
        <f t="shared" si="1397"/>
        <v>#DIV/0!</v>
      </c>
      <c r="H9059" s="11" t="e">
        <f t="shared" si="1398"/>
        <v>#N/A</v>
      </c>
      <c r="I9059" s="11" t="e">
        <f t="shared" si="1399"/>
        <v>#N/A</v>
      </c>
      <c r="J9059" s="12" t="e">
        <f t="shared" si="1400"/>
        <v>#N/A</v>
      </c>
      <c r="K9059" s="17" t="e">
        <f t="shared" si="1404"/>
        <v>#N/A</v>
      </c>
      <c r="L9059" s="16">
        <f>base!X9059</f>
        <v>0</v>
      </c>
      <c r="M9059" s="11" t="e">
        <f t="shared" si="1401"/>
        <v>#DIV/0!</v>
      </c>
      <c r="N9059" s="11"/>
      <c r="O9059" s="11" t="e">
        <f t="shared" si="1402"/>
        <v>#DIV/0!</v>
      </c>
      <c r="P9059" s="12">
        <f t="shared" si="1403"/>
        <v>0</v>
      </c>
      <c r="Q9059" s="17" t="str">
        <f t="shared" si="1405"/>
        <v>Pas d'écart</v>
      </c>
    </row>
    <row r="9060" spans="1:17" x14ac:dyDescent="0.3">
      <c r="A9060" s="34">
        <f>base!J9060</f>
        <v>0</v>
      </c>
      <c r="B9060" s="34">
        <f>base!V9060</f>
        <v>0</v>
      </c>
      <c r="C9060" s="40" t="s">
        <v>11</v>
      </c>
      <c r="D9060" s="36">
        <f>base!H9060</f>
        <v>0</v>
      </c>
      <c r="E9060" s="44"/>
      <c r="F9060" s="16">
        <f>base!W9060</f>
        <v>0</v>
      </c>
      <c r="G9060" s="11" t="e">
        <f t="shared" si="1397"/>
        <v>#DIV/0!</v>
      </c>
      <c r="H9060" s="11" t="e">
        <f t="shared" si="1398"/>
        <v>#N/A</v>
      </c>
      <c r="I9060" s="11" t="e">
        <f t="shared" si="1399"/>
        <v>#N/A</v>
      </c>
      <c r="J9060" s="12" t="e">
        <f t="shared" si="1400"/>
        <v>#N/A</v>
      </c>
      <c r="K9060" s="17" t="e">
        <f t="shared" si="1404"/>
        <v>#N/A</v>
      </c>
      <c r="L9060" s="16">
        <f>base!X9060</f>
        <v>0</v>
      </c>
      <c r="M9060" s="11" t="e">
        <f t="shared" si="1401"/>
        <v>#DIV/0!</v>
      </c>
      <c r="N9060" s="11"/>
      <c r="O9060" s="11" t="e">
        <f t="shared" si="1402"/>
        <v>#DIV/0!</v>
      </c>
      <c r="P9060" s="12">
        <f t="shared" si="1403"/>
        <v>0</v>
      </c>
      <c r="Q9060" s="17" t="str">
        <f t="shared" si="1405"/>
        <v>Pas d'écart</v>
      </c>
    </row>
    <row r="9061" spans="1:17" x14ac:dyDescent="0.3">
      <c r="A9061" s="34">
        <f>base!J9061</f>
        <v>0</v>
      </c>
      <c r="B9061" s="34">
        <f>base!V9061</f>
        <v>0</v>
      </c>
      <c r="C9061" s="40" t="s">
        <v>11</v>
      </c>
      <c r="D9061" s="36">
        <f>base!H9061</f>
        <v>0</v>
      </c>
      <c r="E9061" s="44"/>
      <c r="F9061" s="16">
        <f>base!W9061</f>
        <v>0</v>
      </c>
      <c r="G9061" s="11" t="e">
        <f t="shared" si="1397"/>
        <v>#DIV/0!</v>
      </c>
      <c r="H9061" s="11" t="e">
        <f t="shared" si="1398"/>
        <v>#N/A</v>
      </c>
      <c r="I9061" s="11" t="e">
        <f t="shared" si="1399"/>
        <v>#N/A</v>
      </c>
      <c r="J9061" s="12" t="e">
        <f t="shared" si="1400"/>
        <v>#N/A</v>
      </c>
      <c r="K9061" s="17" t="e">
        <f t="shared" si="1404"/>
        <v>#N/A</v>
      </c>
      <c r="L9061" s="16">
        <f>base!X9061</f>
        <v>0</v>
      </c>
      <c r="M9061" s="11" t="e">
        <f t="shared" si="1401"/>
        <v>#DIV/0!</v>
      </c>
      <c r="N9061" s="11"/>
      <c r="O9061" s="11" t="e">
        <f t="shared" si="1402"/>
        <v>#DIV/0!</v>
      </c>
      <c r="P9061" s="12">
        <f t="shared" si="1403"/>
        <v>0</v>
      </c>
      <c r="Q9061" s="17" t="str">
        <f t="shared" si="1405"/>
        <v>Pas d'écart</v>
      </c>
    </row>
    <row r="9062" spans="1:17" x14ac:dyDescent="0.3">
      <c r="A9062" s="34">
        <f>base!J9062</f>
        <v>0</v>
      </c>
      <c r="B9062" s="34">
        <f>base!V9062</f>
        <v>0</v>
      </c>
      <c r="C9062" s="40" t="s">
        <v>11</v>
      </c>
      <c r="D9062" s="36">
        <f>base!H9062</f>
        <v>0</v>
      </c>
      <c r="E9062" s="44"/>
      <c r="F9062" s="16">
        <f>base!W9062</f>
        <v>0</v>
      </c>
      <c r="G9062" s="11" t="e">
        <f t="shared" si="1397"/>
        <v>#DIV/0!</v>
      </c>
      <c r="H9062" s="11" t="e">
        <f t="shared" si="1398"/>
        <v>#N/A</v>
      </c>
      <c r="I9062" s="11" t="e">
        <f t="shared" si="1399"/>
        <v>#N/A</v>
      </c>
      <c r="J9062" s="12" t="e">
        <f t="shared" si="1400"/>
        <v>#N/A</v>
      </c>
      <c r="K9062" s="17" t="e">
        <f t="shared" si="1404"/>
        <v>#N/A</v>
      </c>
      <c r="L9062" s="16">
        <f>base!X9062</f>
        <v>0</v>
      </c>
      <c r="M9062" s="11" t="e">
        <f t="shared" si="1401"/>
        <v>#DIV/0!</v>
      </c>
      <c r="N9062" s="11"/>
      <c r="O9062" s="11" t="e">
        <f t="shared" si="1402"/>
        <v>#DIV/0!</v>
      </c>
      <c r="P9062" s="12">
        <f t="shared" si="1403"/>
        <v>0</v>
      </c>
      <c r="Q9062" s="17" t="str">
        <f t="shared" si="1405"/>
        <v>Pas d'écart</v>
      </c>
    </row>
    <row r="9063" spans="1:17" x14ac:dyDescent="0.3">
      <c r="A9063" s="34">
        <f>base!J9063</f>
        <v>0</v>
      </c>
      <c r="B9063" s="34">
        <f>base!V9063</f>
        <v>0</v>
      </c>
      <c r="C9063" s="40" t="s">
        <v>11</v>
      </c>
      <c r="D9063" s="36">
        <f>base!H9063</f>
        <v>0</v>
      </c>
      <c r="E9063" s="44"/>
      <c r="F9063" s="16">
        <f>base!W9063</f>
        <v>0</v>
      </c>
      <c r="G9063" s="11" t="e">
        <f t="shared" si="1397"/>
        <v>#DIV/0!</v>
      </c>
      <c r="H9063" s="11" t="e">
        <f t="shared" si="1398"/>
        <v>#N/A</v>
      </c>
      <c r="I9063" s="11" t="e">
        <f t="shared" si="1399"/>
        <v>#N/A</v>
      </c>
      <c r="J9063" s="12" t="e">
        <f t="shared" si="1400"/>
        <v>#N/A</v>
      </c>
      <c r="K9063" s="17" t="e">
        <f t="shared" si="1404"/>
        <v>#N/A</v>
      </c>
      <c r="L9063" s="16">
        <f>base!X9063</f>
        <v>0</v>
      </c>
      <c r="M9063" s="11" t="e">
        <f t="shared" si="1401"/>
        <v>#DIV/0!</v>
      </c>
      <c r="N9063" s="11"/>
      <c r="O9063" s="11" t="e">
        <f t="shared" si="1402"/>
        <v>#DIV/0!</v>
      </c>
      <c r="P9063" s="12">
        <f t="shared" si="1403"/>
        <v>0</v>
      </c>
      <c r="Q9063" s="17" t="str">
        <f t="shared" si="1405"/>
        <v>Pas d'écart</v>
      </c>
    </row>
    <row r="9064" spans="1:17" x14ac:dyDescent="0.3">
      <c r="A9064" s="34">
        <f>base!J9064</f>
        <v>0</v>
      </c>
      <c r="B9064" s="34">
        <f>base!V9064</f>
        <v>0</v>
      </c>
      <c r="C9064" s="40" t="s">
        <v>11</v>
      </c>
      <c r="D9064" s="36">
        <f>base!H9064</f>
        <v>0</v>
      </c>
      <c r="E9064" s="44"/>
      <c r="F9064" s="16">
        <f>base!W9064</f>
        <v>0</v>
      </c>
      <c r="G9064" s="11" t="e">
        <f t="shared" si="1397"/>
        <v>#DIV/0!</v>
      </c>
      <c r="H9064" s="11" t="e">
        <f t="shared" si="1398"/>
        <v>#N/A</v>
      </c>
      <c r="I9064" s="11" t="e">
        <f t="shared" si="1399"/>
        <v>#N/A</v>
      </c>
      <c r="J9064" s="12" t="e">
        <f t="shared" si="1400"/>
        <v>#N/A</v>
      </c>
      <c r="K9064" s="17" t="e">
        <f t="shared" si="1404"/>
        <v>#N/A</v>
      </c>
      <c r="L9064" s="16">
        <f>base!X9064</f>
        <v>0</v>
      </c>
      <c r="M9064" s="11" t="e">
        <f t="shared" si="1401"/>
        <v>#DIV/0!</v>
      </c>
      <c r="N9064" s="11"/>
      <c r="O9064" s="11" t="e">
        <f t="shared" si="1402"/>
        <v>#DIV/0!</v>
      </c>
      <c r="P9064" s="12">
        <f t="shared" si="1403"/>
        <v>0</v>
      </c>
      <c r="Q9064" s="17" t="str">
        <f t="shared" si="1405"/>
        <v>Pas d'écart</v>
      </c>
    </row>
    <row r="9065" spans="1:17" x14ac:dyDescent="0.3">
      <c r="A9065" s="34">
        <f>base!J9065</f>
        <v>0</v>
      </c>
      <c r="B9065" s="34">
        <f>base!V9065</f>
        <v>0</v>
      </c>
      <c r="C9065" s="40" t="s">
        <v>11</v>
      </c>
      <c r="D9065" s="36">
        <f>base!H9065</f>
        <v>0</v>
      </c>
      <c r="E9065" s="44"/>
      <c r="F9065" s="16">
        <f>base!W9065</f>
        <v>0</v>
      </c>
      <c r="G9065" s="11" t="e">
        <f t="shared" si="1397"/>
        <v>#DIV/0!</v>
      </c>
      <c r="H9065" s="11" t="e">
        <f t="shared" si="1398"/>
        <v>#N/A</v>
      </c>
      <c r="I9065" s="11" t="e">
        <f t="shared" si="1399"/>
        <v>#N/A</v>
      </c>
      <c r="J9065" s="12" t="e">
        <f t="shared" si="1400"/>
        <v>#N/A</v>
      </c>
      <c r="K9065" s="17" t="e">
        <f t="shared" si="1404"/>
        <v>#N/A</v>
      </c>
      <c r="L9065" s="16">
        <f>base!X9065</f>
        <v>0</v>
      </c>
      <c r="M9065" s="11" t="e">
        <f t="shared" si="1401"/>
        <v>#DIV/0!</v>
      </c>
      <c r="N9065" s="11"/>
      <c r="O9065" s="11" t="e">
        <f t="shared" si="1402"/>
        <v>#DIV/0!</v>
      </c>
      <c r="P9065" s="12">
        <f t="shared" si="1403"/>
        <v>0</v>
      </c>
      <c r="Q9065" s="17" t="str">
        <f t="shared" si="1405"/>
        <v>Pas d'écart</v>
      </c>
    </row>
    <row r="9066" spans="1:17" x14ac:dyDescent="0.3">
      <c r="A9066" s="34">
        <f>base!J9066</f>
        <v>0</v>
      </c>
      <c r="B9066" s="34">
        <f>base!V9066</f>
        <v>0</v>
      </c>
      <c r="C9066" s="40" t="s">
        <v>11</v>
      </c>
      <c r="D9066" s="36">
        <f>base!H9066</f>
        <v>0</v>
      </c>
      <c r="E9066" s="44"/>
      <c r="F9066" s="16">
        <f>base!W9066</f>
        <v>0</v>
      </c>
      <c r="G9066" s="11" t="e">
        <f t="shared" si="1397"/>
        <v>#DIV/0!</v>
      </c>
      <c r="H9066" s="11" t="e">
        <f t="shared" si="1398"/>
        <v>#N/A</v>
      </c>
      <c r="I9066" s="11" t="e">
        <f t="shared" si="1399"/>
        <v>#N/A</v>
      </c>
      <c r="J9066" s="12" t="e">
        <f t="shared" si="1400"/>
        <v>#N/A</v>
      </c>
      <c r="K9066" s="17" t="e">
        <f t="shared" si="1404"/>
        <v>#N/A</v>
      </c>
      <c r="L9066" s="16">
        <f>base!X9066</f>
        <v>0</v>
      </c>
      <c r="M9066" s="11" t="e">
        <f t="shared" si="1401"/>
        <v>#DIV/0!</v>
      </c>
      <c r="N9066" s="11"/>
      <c r="O9066" s="11" t="e">
        <f t="shared" si="1402"/>
        <v>#DIV/0!</v>
      </c>
      <c r="P9066" s="12">
        <f t="shared" si="1403"/>
        <v>0</v>
      </c>
      <c r="Q9066" s="17" t="str">
        <f t="shared" si="1405"/>
        <v>Pas d'écart</v>
      </c>
    </row>
    <row r="9067" spans="1:17" x14ac:dyDescent="0.3">
      <c r="A9067" s="34">
        <f>base!J9067</f>
        <v>0</v>
      </c>
      <c r="B9067" s="34">
        <f>base!V9067</f>
        <v>0</v>
      </c>
      <c r="C9067" s="40" t="s">
        <v>11</v>
      </c>
      <c r="D9067" s="36">
        <f>base!H9067</f>
        <v>0</v>
      </c>
      <c r="E9067" s="44"/>
      <c r="F9067" s="16">
        <f>base!W9067</f>
        <v>0</v>
      </c>
      <c r="G9067" s="11" t="e">
        <f t="shared" si="1397"/>
        <v>#DIV/0!</v>
      </c>
      <c r="H9067" s="11" t="e">
        <f t="shared" si="1398"/>
        <v>#N/A</v>
      </c>
      <c r="I9067" s="11" t="e">
        <f t="shared" si="1399"/>
        <v>#N/A</v>
      </c>
      <c r="J9067" s="12" t="e">
        <f t="shared" si="1400"/>
        <v>#N/A</v>
      </c>
      <c r="K9067" s="17" t="e">
        <f t="shared" si="1404"/>
        <v>#N/A</v>
      </c>
      <c r="L9067" s="16">
        <f>base!X9067</f>
        <v>0</v>
      </c>
      <c r="M9067" s="11" t="e">
        <f t="shared" si="1401"/>
        <v>#DIV/0!</v>
      </c>
      <c r="N9067" s="11"/>
      <c r="O9067" s="11" t="e">
        <f t="shared" si="1402"/>
        <v>#DIV/0!</v>
      </c>
      <c r="P9067" s="12">
        <f t="shared" si="1403"/>
        <v>0</v>
      </c>
      <c r="Q9067" s="17" t="str">
        <f t="shared" si="1405"/>
        <v>Pas d'écart</v>
      </c>
    </row>
    <row r="9068" spans="1:17" x14ac:dyDescent="0.3">
      <c r="A9068" s="34">
        <f>base!J9068</f>
        <v>0</v>
      </c>
      <c r="B9068" s="34">
        <f>base!V9068</f>
        <v>0</v>
      </c>
      <c r="C9068" s="40" t="s">
        <v>11</v>
      </c>
      <c r="D9068" s="36">
        <f>base!H9068</f>
        <v>0</v>
      </c>
      <c r="E9068" s="44"/>
      <c r="F9068" s="16">
        <f>base!W9068</f>
        <v>0</v>
      </c>
      <c r="G9068" s="11" t="e">
        <f t="shared" si="1397"/>
        <v>#DIV/0!</v>
      </c>
      <c r="H9068" s="11" t="e">
        <f t="shared" si="1398"/>
        <v>#N/A</v>
      </c>
      <c r="I9068" s="11" t="e">
        <f t="shared" si="1399"/>
        <v>#N/A</v>
      </c>
      <c r="J9068" s="12" t="e">
        <f t="shared" si="1400"/>
        <v>#N/A</v>
      </c>
      <c r="K9068" s="17" t="e">
        <f t="shared" si="1404"/>
        <v>#N/A</v>
      </c>
      <c r="L9068" s="16">
        <f>base!X9068</f>
        <v>0</v>
      </c>
      <c r="M9068" s="11" t="e">
        <f t="shared" si="1401"/>
        <v>#DIV/0!</v>
      </c>
      <c r="N9068" s="11"/>
      <c r="O9068" s="11" t="e">
        <f t="shared" si="1402"/>
        <v>#DIV/0!</v>
      </c>
      <c r="P9068" s="12">
        <f t="shared" si="1403"/>
        <v>0</v>
      </c>
      <c r="Q9068" s="17" t="str">
        <f t="shared" si="1405"/>
        <v>Pas d'écart</v>
      </c>
    </row>
    <row r="9069" spans="1:17" x14ac:dyDescent="0.3">
      <c r="A9069" s="34">
        <f>base!J9069</f>
        <v>0</v>
      </c>
      <c r="B9069" s="34">
        <f>base!V9069</f>
        <v>0</v>
      </c>
      <c r="C9069" s="40" t="s">
        <v>11</v>
      </c>
      <c r="D9069" s="36">
        <f>base!H9069</f>
        <v>0</v>
      </c>
      <c r="E9069" s="44"/>
      <c r="F9069" s="16">
        <f>base!W9069</f>
        <v>0</v>
      </c>
      <c r="G9069" s="11" t="e">
        <f t="shared" si="1397"/>
        <v>#DIV/0!</v>
      </c>
      <c r="H9069" s="11" t="e">
        <f t="shared" si="1398"/>
        <v>#N/A</v>
      </c>
      <c r="I9069" s="11" t="e">
        <f t="shared" si="1399"/>
        <v>#N/A</v>
      </c>
      <c r="J9069" s="12" t="e">
        <f t="shared" si="1400"/>
        <v>#N/A</v>
      </c>
      <c r="K9069" s="17" t="e">
        <f t="shared" si="1404"/>
        <v>#N/A</v>
      </c>
      <c r="L9069" s="16">
        <f>base!X9069</f>
        <v>0</v>
      </c>
      <c r="M9069" s="11" t="e">
        <f t="shared" si="1401"/>
        <v>#DIV/0!</v>
      </c>
      <c r="N9069" s="11"/>
      <c r="O9069" s="11" t="e">
        <f t="shared" si="1402"/>
        <v>#DIV/0!</v>
      </c>
      <c r="P9069" s="12">
        <f t="shared" si="1403"/>
        <v>0</v>
      </c>
      <c r="Q9069" s="17" t="str">
        <f t="shared" si="1405"/>
        <v>Pas d'écart</v>
      </c>
    </row>
    <row r="9070" spans="1:17" x14ac:dyDescent="0.3">
      <c r="A9070" s="34">
        <f>base!J9070</f>
        <v>0</v>
      </c>
      <c r="B9070" s="34">
        <f>base!V9070</f>
        <v>0</v>
      </c>
      <c r="C9070" s="40" t="s">
        <v>11</v>
      </c>
      <c r="D9070" s="36">
        <f>base!H9070</f>
        <v>0</v>
      </c>
      <c r="E9070" s="44"/>
      <c r="F9070" s="16">
        <f>base!W9070</f>
        <v>0</v>
      </c>
      <c r="G9070" s="11" t="e">
        <f t="shared" si="1397"/>
        <v>#DIV/0!</v>
      </c>
      <c r="H9070" s="11" t="e">
        <f t="shared" si="1398"/>
        <v>#N/A</v>
      </c>
      <c r="I9070" s="11" t="e">
        <f t="shared" si="1399"/>
        <v>#N/A</v>
      </c>
      <c r="J9070" s="12" t="e">
        <f t="shared" si="1400"/>
        <v>#N/A</v>
      </c>
      <c r="K9070" s="17" t="e">
        <f t="shared" si="1404"/>
        <v>#N/A</v>
      </c>
      <c r="L9070" s="16">
        <f>base!X9070</f>
        <v>0</v>
      </c>
      <c r="M9070" s="11" t="e">
        <f t="shared" si="1401"/>
        <v>#DIV/0!</v>
      </c>
      <c r="N9070" s="11"/>
      <c r="O9070" s="11" t="e">
        <f t="shared" si="1402"/>
        <v>#DIV/0!</v>
      </c>
      <c r="P9070" s="12">
        <f t="shared" si="1403"/>
        <v>0</v>
      </c>
      <c r="Q9070" s="17" t="str">
        <f t="shared" si="1405"/>
        <v>Pas d'écart</v>
      </c>
    </row>
    <row r="9071" spans="1:17" x14ac:dyDescent="0.3">
      <c r="A9071" s="34">
        <f>base!J9071</f>
        <v>0</v>
      </c>
      <c r="B9071" s="34">
        <f>base!V9071</f>
        <v>0</v>
      </c>
      <c r="C9071" s="40" t="s">
        <v>11</v>
      </c>
      <c r="D9071" s="36">
        <f>base!H9071</f>
        <v>0</v>
      </c>
      <c r="E9071" s="44"/>
      <c r="F9071" s="16">
        <f>base!W9071</f>
        <v>0</v>
      </c>
      <c r="G9071" s="11" t="e">
        <f t="shared" si="1397"/>
        <v>#DIV/0!</v>
      </c>
      <c r="H9071" s="11" t="e">
        <f t="shared" si="1398"/>
        <v>#N/A</v>
      </c>
      <c r="I9071" s="11" t="e">
        <f t="shared" si="1399"/>
        <v>#N/A</v>
      </c>
      <c r="J9071" s="12" t="e">
        <f t="shared" si="1400"/>
        <v>#N/A</v>
      </c>
      <c r="K9071" s="17" t="e">
        <f t="shared" si="1404"/>
        <v>#N/A</v>
      </c>
      <c r="L9071" s="16">
        <f>base!X9071</f>
        <v>0</v>
      </c>
      <c r="M9071" s="11" t="e">
        <f t="shared" si="1401"/>
        <v>#DIV/0!</v>
      </c>
      <c r="N9071" s="11"/>
      <c r="O9071" s="11" t="e">
        <f t="shared" si="1402"/>
        <v>#DIV/0!</v>
      </c>
      <c r="P9071" s="12">
        <f t="shared" si="1403"/>
        <v>0</v>
      </c>
      <c r="Q9071" s="17" t="str">
        <f t="shared" si="1405"/>
        <v>Pas d'écart</v>
      </c>
    </row>
    <row r="9072" spans="1:17" x14ac:dyDescent="0.3">
      <c r="A9072" s="34">
        <f>base!J9072</f>
        <v>0</v>
      </c>
      <c r="B9072" s="34">
        <f>base!V9072</f>
        <v>0</v>
      </c>
      <c r="C9072" s="40" t="s">
        <v>11</v>
      </c>
      <c r="D9072" s="36">
        <f>base!H9072</f>
        <v>0</v>
      </c>
      <c r="E9072" s="44"/>
      <c r="F9072" s="16">
        <f>base!W9072</f>
        <v>0</v>
      </c>
      <c r="G9072" s="11" t="e">
        <f t="shared" si="1397"/>
        <v>#DIV/0!</v>
      </c>
      <c r="H9072" s="11" t="e">
        <f t="shared" si="1398"/>
        <v>#N/A</v>
      </c>
      <c r="I9072" s="11" t="e">
        <f t="shared" si="1399"/>
        <v>#N/A</v>
      </c>
      <c r="J9072" s="12" t="e">
        <f t="shared" si="1400"/>
        <v>#N/A</v>
      </c>
      <c r="K9072" s="17" t="e">
        <f t="shared" si="1404"/>
        <v>#N/A</v>
      </c>
      <c r="L9072" s="16">
        <f>base!X9072</f>
        <v>0</v>
      </c>
      <c r="M9072" s="11" t="e">
        <f t="shared" si="1401"/>
        <v>#DIV/0!</v>
      </c>
      <c r="N9072" s="11"/>
      <c r="O9072" s="11" t="e">
        <f t="shared" si="1402"/>
        <v>#DIV/0!</v>
      </c>
      <c r="P9072" s="12">
        <f t="shared" si="1403"/>
        <v>0</v>
      </c>
      <c r="Q9072" s="17" t="str">
        <f t="shared" si="1405"/>
        <v>Pas d'écart</v>
      </c>
    </row>
    <row r="9073" spans="1:17" x14ac:dyDescent="0.3">
      <c r="A9073" s="34">
        <f>base!J9073</f>
        <v>0</v>
      </c>
      <c r="B9073" s="34">
        <f>base!V9073</f>
        <v>0</v>
      </c>
      <c r="C9073" s="40" t="s">
        <v>11</v>
      </c>
      <c r="D9073" s="36">
        <f>base!H9073</f>
        <v>0</v>
      </c>
      <c r="E9073" s="44"/>
      <c r="F9073" s="16">
        <f>base!W9073</f>
        <v>0</v>
      </c>
      <c r="G9073" s="11" t="e">
        <f t="shared" si="1397"/>
        <v>#DIV/0!</v>
      </c>
      <c r="H9073" s="11" t="e">
        <f t="shared" si="1398"/>
        <v>#N/A</v>
      </c>
      <c r="I9073" s="11" t="e">
        <f t="shared" si="1399"/>
        <v>#N/A</v>
      </c>
      <c r="J9073" s="12" t="e">
        <f t="shared" si="1400"/>
        <v>#N/A</v>
      </c>
      <c r="K9073" s="17" t="e">
        <f t="shared" si="1404"/>
        <v>#N/A</v>
      </c>
      <c r="L9073" s="16">
        <f>base!X9073</f>
        <v>0</v>
      </c>
      <c r="M9073" s="11" t="e">
        <f t="shared" si="1401"/>
        <v>#DIV/0!</v>
      </c>
      <c r="N9073" s="11"/>
      <c r="O9073" s="11" t="e">
        <f t="shared" si="1402"/>
        <v>#DIV/0!</v>
      </c>
      <c r="P9073" s="12">
        <f t="shared" si="1403"/>
        <v>0</v>
      </c>
      <c r="Q9073" s="17" t="str">
        <f t="shared" si="1405"/>
        <v>Pas d'écart</v>
      </c>
    </row>
    <row r="9074" spans="1:17" x14ac:dyDescent="0.3">
      <c r="A9074" s="34">
        <f>base!J9074</f>
        <v>0</v>
      </c>
      <c r="B9074" s="34">
        <f>base!V9074</f>
        <v>0</v>
      </c>
      <c r="C9074" s="40" t="s">
        <v>11</v>
      </c>
      <c r="D9074" s="36">
        <f>base!H9074</f>
        <v>0</v>
      </c>
      <c r="E9074" s="44"/>
      <c r="F9074" s="16">
        <f>base!W9074</f>
        <v>0</v>
      </c>
      <c r="G9074" s="11" t="e">
        <f t="shared" si="1397"/>
        <v>#DIV/0!</v>
      </c>
      <c r="H9074" s="11" t="e">
        <f t="shared" si="1398"/>
        <v>#N/A</v>
      </c>
      <c r="I9074" s="11" t="e">
        <f t="shared" si="1399"/>
        <v>#N/A</v>
      </c>
      <c r="J9074" s="12" t="e">
        <f t="shared" si="1400"/>
        <v>#N/A</v>
      </c>
      <c r="K9074" s="17" t="e">
        <f t="shared" si="1404"/>
        <v>#N/A</v>
      </c>
      <c r="L9074" s="16">
        <f>base!X9074</f>
        <v>0</v>
      </c>
      <c r="M9074" s="11" t="e">
        <f t="shared" si="1401"/>
        <v>#DIV/0!</v>
      </c>
      <c r="N9074" s="11"/>
      <c r="O9074" s="11" t="e">
        <f t="shared" si="1402"/>
        <v>#DIV/0!</v>
      </c>
      <c r="P9074" s="12">
        <f t="shared" si="1403"/>
        <v>0</v>
      </c>
      <c r="Q9074" s="17" t="str">
        <f t="shared" si="1405"/>
        <v>Pas d'écart</v>
      </c>
    </row>
    <row r="9075" spans="1:17" x14ac:dyDescent="0.3">
      <c r="A9075" s="34">
        <f>base!J9075</f>
        <v>0</v>
      </c>
      <c r="B9075" s="34">
        <f>base!V9075</f>
        <v>0</v>
      </c>
      <c r="C9075" s="40" t="s">
        <v>11</v>
      </c>
      <c r="D9075" s="36">
        <f>base!H9075</f>
        <v>0</v>
      </c>
      <c r="E9075" s="44"/>
      <c r="F9075" s="16">
        <f>base!W9075</f>
        <v>0</v>
      </c>
      <c r="G9075" s="11" t="e">
        <f t="shared" si="1397"/>
        <v>#DIV/0!</v>
      </c>
      <c r="H9075" s="11" t="e">
        <f t="shared" si="1398"/>
        <v>#N/A</v>
      </c>
      <c r="I9075" s="11" t="e">
        <f t="shared" si="1399"/>
        <v>#N/A</v>
      </c>
      <c r="J9075" s="12" t="e">
        <f t="shared" si="1400"/>
        <v>#N/A</v>
      </c>
      <c r="K9075" s="17" t="e">
        <f t="shared" si="1404"/>
        <v>#N/A</v>
      </c>
      <c r="L9075" s="16">
        <f>base!X9075</f>
        <v>0</v>
      </c>
      <c r="M9075" s="11" t="e">
        <f t="shared" si="1401"/>
        <v>#DIV/0!</v>
      </c>
      <c r="N9075" s="11"/>
      <c r="O9075" s="11" t="e">
        <f t="shared" si="1402"/>
        <v>#DIV/0!</v>
      </c>
      <c r="P9075" s="12">
        <f t="shared" si="1403"/>
        <v>0</v>
      </c>
      <c r="Q9075" s="17" t="str">
        <f t="shared" si="1405"/>
        <v>Pas d'écart</v>
      </c>
    </row>
    <row r="9076" spans="1:17" x14ac:dyDescent="0.3">
      <c r="A9076" s="34">
        <f>base!J9076</f>
        <v>0</v>
      </c>
      <c r="B9076" s="34">
        <f>base!V9076</f>
        <v>0</v>
      </c>
      <c r="C9076" s="40" t="s">
        <v>11</v>
      </c>
      <c r="D9076" s="36">
        <f>base!H9076</f>
        <v>0</v>
      </c>
      <c r="E9076" s="44"/>
      <c r="F9076" s="16">
        <f>base!W9076</f>
        <v>0</v>
      </c>
      <c r="G9076" s="11" t="e">
        <f t="shared" si="1397"/>
        <v>#DIV/0!</v>
      </c>
      <c r="H9076" s="11" t="e">
        <f t="shared" si="1398"/>
        <v>#N/A</v>
      </c>
      <c r="I9076" s="11" t="e">
        <f t="shared" si="1399"/>
        <v>#N/A</v>
      </c>
      <c r="J9076" s="12" t="e">
        <f t="shared" si="1400"/>
        <v>#N/A</v>
      </c>
      <c r="K9076" s="17" t="e">
        <f t="shared" si="1404"/>
        <v>#N/A</v>
      </c>
      <c r="L9076" s="16">
        <f>base!X9076</f>
        <v>0</v>
      </c>
      <c r="M9076" s="11" t="e">
        <f t="shared" si="1401"/>
        <v>#DIV/0!</v>
      </c>
      <c r="N9076" s="11"/>
      <c r="O9076" s="11" t="e">
        <f t="shared" si="1402"/>
        <v>#DIV/0!</v>
      </c>
      <c r="P9076" s="12">
        <f t="shared" si="1403"/>
        <v>0</v>
      </c>
      <c r="Q9076" s="17" t="str">
        <f t="shared" si="1405"/>
        <v>Pas d'écart</v>
      </c>
    </row>
    <row r="9077" spans="1:17" x14ac:dyDescent="0.3">
      <c r="A9077" s="34">
        <f>base!J9077</f>
        <v>0</v>
      </c>
      <c r="B9077" s="34">
        <f>base!V9077</f>
        <v>0</v>
      </c>
      <c r="C9077" s="40" t="s">
        <v>11</v>
      </c>
      <c r="D9077" s="36">
        <f>base!H9077</f>
        <v>0</v>
      </c>
      <c r="E9077" s="44"/>
      <c r="F9077" s="16">
        <f>base!W9077</f>
        <v>0</v>
      </c>
      <c r="G9077" s="11" t="e">
        <f t="shared" si="1397"/>
        <v>#DIV/0!</v>
      </c>
      <c r="H9077" s="11" t="e">
        <f t="shared" si="1398"/>
        <v>#N/A</v>
      </c>
      <c r="I9077" s="11" t="e">
        <f t="shared" si="1399"/>
        <v>#N/A</v>
      </c>
      <c r="J9077" s="12" t="e">
        <f t="shared" si="1400"/>
        <v>#N/A</v>
      </c>
      <c r="K9077" s="17" t="e">
        <f t="shared" si="1404"/>
        <v>#N/A</v>
      </c>
      <c r="L9077" s="16">
        <f>base!X9077</f>
        <v>0</v>
      </c>
      <c r="M9077" s="11" t="e">
        <f t="shared" si="1401"/>
        <v>#DIV/0!</v>
      </c>
      <c r="N9077" s="11"/>
      <c r="O9077" s="11" t="e">
        <f t="shared" si="1402"/>
        <v>#DIV/0!</v>
      </c>
      <c r="P9077" s="12">
        <f t="shared" si="1403"/>
        <v>0</v>
      </c>
      <c r="Q9077" s="17" t="str">
        <f t="shared" si="1405"/>
        <v>Pas d'écart</v>
      </c>
    </row>
    <row r="9078" spans="1:17" x14ac:dyDescent="0.3">
      <c r="A9078" s="34">
        <f>base!J9078</f>
        <v>0</v>
      </c>
      <c r="B9078" s="34">
        <f>base!V9078</f>
        <v>0</v>
      </c>
      <c r="C9078" s="40" t="s">
        <v>11</v>
      </c>
      <c r="D9078" s="36">
        <f>base!H9078</f>
        <v>0</v>
      </c>
      <c r="E9078" s="44"/>
      <c r="F9078" s="16">
        <f>base!W9078</f>
        <v>0</v>
      </c>
      <c r="G9078" s="11" t="e">
        <f t="shared" si="1397"/>
        <v>#DIV/0!</v>
      </c>
      <c r="H9078" s="11" t="e">
        <f t="shared" si="1398"/>
        <v>#N/A</v>
      </c>
      <c r="I9078" s="11" t="e">
        <f t="shared" si="1399"/>
        <v>#N/A</v>
      </c>
      <c r="J9078" s="12" t="e">
        <f t="shared" si="1400"/>
        <v>#N/A</v>
      </c>
      <c r="K9078" s="17" t="e">
        <f t="shared" si="1404"/>
        <v>#N/A</v>
      </c>
      <c r="L9078" s="16">
        <f>base!X9078</f>
        <v>0</v>
      </c>
      <c r="M9078" s="11" t="e">
        <f t="shared" si="1401"/>
        <v>#DIV/0!</v>
      </c>
      <c r="N9078" s="11"/>
      <c r="O9078" s="11" t="e">
        <f t="shared" si="1402"/>
        <v>#DIV/0!</v>
      </c>
      <c r="P9078" s="12">
        <f t="shared" si="1403"/>
        <v>0</v>
      </c>
      <c r="Q9078" s="17" t="str">
        <f t="shared" si="1405"/>
        <v>Pas d'écart</v>
      </c>
    </row>
    <row r="9079" spans="1:17" x14ac:dyDescent="0.3">
      <c r="A9079" s="34">
        <f>base!J9079</f>
        <v>0</v>
      </c>
      <c r="B9079" s="34">
        <f>base!V9079</f>
        <v>0</v>
      </c>
      <c r="C9079" s="40" t="s">
        <v>11</v>
      </c>
      <c r="D9079" s="36">
        <f>base!H9079</f>
        <v>0</v>
      </c>
      <c r="E9079" s="44"/>
      <c r="F9079" s="16">
        <f>base!W9079</f>
        <v>0</v>
      </c>
      <c r="G9079" s="11" t="e">
        <f t="shared" si="1397"/>
        <v>#DIV/0!</v>
      </c>
      <c r="H9079" s="11" t="e">
        <f t="shared" si="1398"/>
        <v>#N/A</v>
      </c>
      <c r="I9079" s="11" t="e">
        <f t="shared" si="1399"/>
        <v>#N/A</v>
      </c>
      <c r="J9079" s="12" t="e">
        <f t="shared" si="1400"/>
        <v>#N/A</v>
      </c>
      <c r="K9079" s="17" t="e">
        <f t="shared" si="1404"/>
        <v>#N/A</v>
      </c>
      <c r="L9079" s="16">
        <f>base!X9079</f>
        <v>0</v>
      </c>
      <c r="M9079" s="11" t="e">
        <f t="shared" si="1401"/>
        <v>#DIV/0!</v>
      </c>
      <c r="N9079" s="11"/>
      <c r="O9079" s="11" t="e">
        <f t="shared" si="1402"/>
        <v>#DIV/0!</v>
      </c>
      <c r="P9079" s="12">
        <f t="shared" si="1403"/>
        <v>0</v>
      </c>
      <c r="Q9079" s="17" t="str">
        <f t="shared" si="1405"/>
        <v>Pas d'écart</v>
      </c>
    </row>
    <row r="9080" spans="1:17" x14ac:dyDescent="0.3">
      <c r="A9080" s="34">
        <f>base!J9080</f>
        <v>0</v>
      </c>
      <c r="B9080" s="34">
        <f>base!V9080</f>
        <v>0</v>
      </c>
      <c r="C9080" s="40" t="s">
        <v>11</v>
      </c>
      <c r="D9080" s="36">
        <f>base!H9080</f>
        <v>0</v>
      </c>
      <c r="E9080" s="44"/>
      <c r="F9080" s="16">
        <f>base!W9080</f>
        <v>0</v>
      </c>
      <c r="G9080" s="11" t="e">
        <f t="shared" si="1397"/>
        <v>#DIV/0!</v>
      </c>
      <c r="H9080" s="11" t="e">
        <f t="shared" si="1398"/>
        <v>#N/A</v>
      </c>
      <c r="I9080" s="11" t="e">
        <f t="shared" si="1399"/>
        <v>#N/A</v>
      </c>
      <c r="J9080" s="12" t="e">
        <f t="shared" si="1400"/>
        <v>#N/A</v>
      </c>
      <c r="K9080" s="17" t="e">
        <f t="shared" si="1404"/>
        <v>#N/A</v>
      </c>
      <c r="L9080" s="16">
        <f>base!X9080</f>
        <v>0</v>
      </c>
      <c r="M9080" s="11" t="e">
        <f t="shared" si="1401"/>
        <v>#DIV/0!</v>
      </c>
      <c r="N9080" s="11"/>
      <c r="O9080" s="11" t="e">
        <f t="shared" si="1402"/>
        <v>#DIV/0!</v>
      </c>
      <c r="P9080" s="12">
        <f t="shared" si="1403"/>
        <v>0</v>
      </c>
      <c r="Q9080" s="17" t="str">
        <f t="shared" si="1405"/>
        <v>Pas d'écart</v>
      </c>
    </row>
    <row r="9081" spans="1:17" x14ac:dyDescent="0.3">
      <c r="A9081" s="34">
        <f>base!J9081</f>
        <v>0</v>
      </c>
      <c r="B9081" s="34">
        <f>base!V9081</f>
        <v>0</v>
      </c>
      <c r="C9081" s="40" t="s">
        <v>11</v>
      </c>
      <c r="D9081" s="36">
        <f>base!H9081</f>
        <v>0</v>
      </c>
      <c r="E9081" s="44"/>
      <c r="F9081" s="16">
        <f>base!W9081</f>
        <v>0</v>
      </c>
      <c r="G9081" s="11" t="e">
        <f t="shared" si="1397"/>
        <v>#DIV/0!</v>
      </c>
      <c r="H9081" s="11" t="e">
        <f t="shared" si="1398"/>
        <v>#N/A</v>
      </c>
      <c r="I9081" s="11" t="e">
        <f t="shared" si="1399"/>
        <v>#N/A</v>
      </c>
      <c r="J9081" s="12" t="e">
        <f t="shared" si="1400"/>
        <v>#N/A</v>
      </c>
      <c r="K9081" s="17" t="e">
        <f t="shared" si="1404"/>
        <v>#N/A</v>
      </c>
      <c r="L9081" s="16">
        <f>base!X9081</f>
        <v>0</v>
      </c>
      <c r="M9081" s="11" t="e">
        <f t="shared" si="1401"/>
        <v>#DIV/0!</v>
      </c>
      <c r="N9081" s="11"/>
      <c r="O9081" s="11" t="e">
        <f t="shared" si="1402"/>
        <v>#DIV/0!</v>
      </c>
      <c r="P9081" s="12">
        <f t="shared" si="1403"/>
        <v>0</v>
      </c>
      <c r="Q9081" s="17" t="str">
        <f t="shared" si="1405"/>
        <v>Pas d'écart</v>
      </c>
    </row>
    <row r="9082" spans="1:17" x14ac:dyDescent="0.3">
      <c r="A9082" s="34">
        <f>base!J9082</f>
        <v>0</v>
      </c>
      <c r="B9082" s="34">
        <f>base!V9082</f>
        <v>0</v>
      </c>
      <c r="C9082" s="40" t="s">
        <v>11</v>
      </c>
      <c r="D9082" s="36">
        <f>base!H9082</f>
        <v>0</v>
      </c>
      <c r="E9082" s="44"/>
      <c r="F9082" s="16">
        <f>base!W9082</f>
        <v>0</v>
      </c>
      <c r="G9082" s="11" t="e">
        <f t="shared" si="1397"/>
        <v>#DIV/0!</v>
      </c>
      <c r="H9082" s="11" t="e">
        <f t="shared" si="1398"/>
        <v>#N/A</v>
      </c>
      <c r="I9082" s="11" t="e">
        <f t="shared" si="1399"/>
        <v>#N/A</v>
      </c>
      <c r="J9082" s="12" t="e">
        <f t="shared" si="1400"/>
        <v>#N/A</v>
      </c>
      <c r="K9082" s="17" t="e">
        <f t="shared" si="1404"/>
        <v>#N/A</v>
      </c>
      <c r="L9082" s="16">
        <f>base!X9082</f>
        <v>0</v>
      </c>
      <c r="M9082" s="11" t="e">
        <f t="shared" si="1401"/>
        <v>#DIV/0!</v>
      </c>
      <c r="N9082" s="11"/>
      <c r="O9082" s="11" t="e">
        <f t="shared" si="1402"/>
        <v>#DIV/0!</v>
      </c>
      <c r="P9082" s="12">
        <f t="shared" si="1403"/>
        <v>0</v>
      </c>
      <c r="Q9082" s="17" t="str">
        <f t="shared" si="1405"/>
        <v>Pas d'écart</v>
      </c>
    </row>
    <row r="9083" spans="1:17" x14ac:dyDescent="0.3">
      <c r="A9083" s="34">
        <f>base!J9083</f>
        <v>0</v>
      </c>
      <c r="B9083" s="34">
        <f>base!V9083</f>
        <v>0</v>
      </c>
      <c r="C9083" s="40" t="s">
        <v>11</v>
      </c>
      <c r="D9083" s="36">
        <f>base!H9083</f>
        <v>0</v>
      </c>
      <c r="E9083" s="44"/>
      <c r="F9083" s="16">
        <f>base!W9083</f>
        <v>0</v>
      </c>
      <c r="G9083" s="11" t="e">
        <f t="shared" si="1397"/>
        <v>#DIV/0!</v>
      </c>
      <c r="H9083" s="11" t="e">
        <f t="shared" si="1398"/>
        <v>#N/A</v>
      </c>
      <c r="I9083" s="11" t="e">
        <f t="shared" si="1399"/>
        <v>#N/A</v>
      </c>
      <c r="J9083" s="12" t="e">
        <f t="shared" si="1400"/>
        <v>#N/A</v>
      </c>
      <c r="K9083" s="17" t="e">
        <f t="shared" si="1404"/>
        <v>#N/A</v>
      </c>
      <c r="L9083" s="16">
        <f>base!X9083</f>
        <v>0</v>
      </c>
      <c r="M9083" s="11" t="e">
        <f t="shared" si="1401"/>
        <v>#DIV/0!</v>
      </c>
      <c r="N9083" s="11"/>
      <c r="O9083" s="11" t="e">
        <f t="shared" si="1402"/>
        <v>#DIV/0!</v>
      </c>
      <c r="P9083" s="12">
        <f t="shared" si="1403"/>
        <v>0</v>
      </c>
      <c r="Q9083" s="17" t="str">
        <f t="shared" si="1405"/>
        <v>Pas d'écart</v>
      </c>
    </row>
    <row r="9084" spans="1:17" x14ac:dyDescent="0.3">
      <c r="A9084" s="34">
        <f>base!J9084</f>
        <v>0</v>
      </c>
      <c r="B9084" s="34">
        <f>base!V9084</f>
        <v>0</v>
      </c>
      <c r="C9084" s="40" t="s">
        <v>11</v>
      </c>
      <c r="D9084" s="36">
        <f>base!H9084</f>
        <v>0</v>
      </c>
      <c r="E9084" s="44"/>
      <c r="F9084" s="16">
        <f>base!W9084</f>
        <v>0</v>
      </c>
      <c r="G9084" s="11" t="e">
        <f t="shared" si="1397"/>
        <v>#DIV/0!</v>
      </c>
      <c r="H9084" s="11" t="e">
        <f t="shared" si="1398"/>
        <v>#N/A</v>
      </c>
      <c r="I9084" s="11" t="e">
        <f t="shared" si="1399"/>
        <v>#N/A</v>
      </c>
      <c r="J9084" s="12" t="e">
        <f t="shared" si="1400"/>
        <v>#N/A</v>
      </c>
      <c r="K9084" s="17" t="e">
        <f t="shared" si="1404"/>
        <v>#N/A</v>
      </c>
      <c r="L9084" s="16">
        <f>base!X9084</f>
        <v>0</v>
      </c>
      <c r="M9084" s="11" t="e">
        <f t="shared" si="1401"/>
        <v>#DIV/0!</v>
      </c>
      <c r="N9084" s="11"/>
      <c r="O9084" s="11" t="e">
        <f t="shared" si="1402"/>
        <v>#DIV/0!</v>
      </c>
      <c r="P9084" s="12">
        <f t="shared" si="1403"/>
        <v>0</v>
      </c>
      <c r="Q9084" s="17" t="str">
        <f t="shared" si="1405"/>
        <v>Pas d'écart</v>
      </c>
    </row>
    <row r="9085" spans="1:17" x14ac:dyDescent="0.3">
      <c r="A9085" s="34">
        <f>base!J9085</f>
        <v>0</v>
      </c>
      <c r="B9085" s="34">
        <f>base!V9085</f>
        <v>0</v>
      </c>
      <c r="C9085" s="40" t="s">
        <v>11</v>
      </c>
      <c r="D9085" s="36">
        <f>base!H9085</f>
        <v>0</v>
      </c>
      <c r="E9085" s="44"/>
      <c r="F9085" s="16">
        <f>base!W9085</f>
        <v>0</v>
      </c>
      <c r="G9085" s="11" t="e">
        <f t="shared" si="1397"/>
        <v>#DIV/0!</v>
      </c>
      <c r="H9085" s="11" t="e">
        <f t="shared" si="1398"/>
        <v>#N/A</v>
      </c>
      <c r="I9085" s="11" t="e">
        <f t="shared" si="1399"/>
        <v>#N/A</v>
      </c>
      <c r="J9085" s="12" t="e">
        <f t="shared" si="1400"/>
        <v>#N/A</v>
      </c>
      <c r="K9085" s="17" t="e">
        <f t="shared" si="1404"/>
        <v>#N/A</v>
      </c>
      <c r="L9085" s="16">
        <f>base!X9085</f>
        <v>0</v>
      </c>
      <c r="M9085" s="11" t="e">
        <f t="shared" si="1401"/>
        <v>#DIV/0!</v>
      </c>
      <c r="N9085" s="11"/>
      <c r="O9085" s="11" t="e">
        <f t="shared" si="1402"/>
        <v>#DIV/0!</v>
      </c>
      <c r="P9085" s="12">
        <f t="shared" si="1403"/>
        <v>0</v>
      </c>
      <c r="Q9085" s="17" t="str">
        <f t="shared" si="1405"/>
        <v>Pas d'écart</v>
      </c>
    </row>
    <row r="9086" spans="1:17" x14ac:dyDescent="0.3">
      <c r="A9086" s="34">
        <f>base!J9086</f>
        <v>0</v>
      </c>
      <c r="B9086" s="34">
        <f>base!V9086</f>
        <v>0</v>
      </c>
      <c r="C9086" s="40" t="s">
        <v>11</v>
      </c>
      <c r="D9086" s="36">
        <f>base!H9086</f>
        <v>0</v>
      </c>
      <c r="E9086" s="44"/>
      <c r="F9086" s="16">
        <f>base!W9086</f>
        <v>0</v>
      </c>
      <c r="G9086" s="11" t="e">
        <f t="shared" si="1397"/>
        <v>#DIV/0!</v>
      </c>
      <c r="H9086" s="11" t="e">
        <f t="shared" si="1398"/>
        <v>#N/A</v>
      </c>
      <c r="I9086" s="11" t="e">
        <f t="shared" si="1399"/>
        <v>#N/A</v>
      </c>
      <c r="J9086" s="12" t="e">
        <f t="shared" si="1400"/>
        <v>#N/A</v>
      </c>
      <c r="K9086" s="17" t="e">
        <f t="shared" si="1404"/>
        <v>#N/A</v>
      </c>
      <c r="L9086" s="16">
        <f>base!X9086</f>
        <v>0</v>
      </c>
      <c r="M9086" s="11" t="e">
        <f t="shared" si="1401"/>
        <v>#DIV/0!</v>
      </c>
      <c r="N9086" s="11"/>
      <c r="O9086" s="11" t="e">
        <f t="shared" si="1402"/>
        <v>#DIV/0!</v>
      </c>
      <c r="P9086" s="12">
        <f t="shared" si="1403"/>
        <v>0</v>
      </c>
      <c r="Q9086" s="17" t="str">
        <f t="shared" si="1405"/>
        <v>Pas d'écart</v>
      </c>
    </row>
    <row r="9087" spans="1:17" x14ac:dyDescent="0.3">
      <c r="A9087" s="34">
        <f>base!J9087</f>
        <v>0</v>
      </c>
      <c r="B9087" s="34">
        <f>base!V9087</f>
        <v>0</v>
      </c>
      <c r="C9087" s="40" t="s">
        <v>11</v>
      </c>
      <c r="D9087" s="36">
        <f>base!H9087</f>
        <v>0</v>
      </c>
      <c r="E9087" s="44"/>
      <c r="F9087" s="16">
        <f>base!W9087</f>
        <v>0</v>
      </c>
      <c r="G9087" s="11" t="e">
        <f t="shared" si="1397"/>
        <v>#DIV/0!</v>
      </c>
      <c r="H9087" s="11" t="e">
        <f t="shared" si="1398"/>
        <v>#N/A</v>
      </c>
      <c r="I9087" s="11" t="e">
        <f t="shared" si="1399"/>
        <v>#N/A</v>
      </c>
      <c r="J9087" s="12" t="e">
        <f t="shared" si="1400"/>
        <v>#N/A</v>
      </c>
      <c r="K9087" s="17" t="e">
        <f t="shared" si="1404"/>
        <v>#N/A</v>
      </c>
      <c r="L9087" s="16">
        <f>base!X9087</f>
        <v>0</v>
      </c>
      <c r="M9087" s="11" t="e">
        <f t="shared" si="1401"/>
        <v>#DIV/0!</v>
      </c>
      <c r="N9087" s="11"/>
      <c r="O9087" s="11" t="e">
        <f t="shared" si="1402"/>
        <v>#DIV/0!</v>
      </c>
      <c r="P9087" s="12">
        <f t="shared" si="1403"/>
        <v>0</v>
      </c>
      <c r="Q9087" s="17" t="str">
        <f t="shared" si="1405"/>
        <v>Pas d'écart</v>
      </c>
    </row>
    <row r="9088" spans="1:17" x14ac:dyDescent="0.3">
      <c r="A9088" s="34">
        <f>base!J9088</f>
        <v>0</v>
      </c>
      <c r="B9088" s="34">
        <f>base!V9088</f>
        <v>0</v>
      </c>
      <c r="C9088" s="40" t="s">
        <v>11</v>
      </c>
      <c r="D9088" s="36">
        <f>base!H9088</f>
        <v>0</v>
      </c>
      <c r="E9088" s="44"/>
      <c r="F9088" s="16">
        <f>base!W9088</f>
        <v>0</v>
      </c>
      <c r="G9088" s="11" t="e">
        <f t="shared" si="1397"/>
        <v>#DIV/0!</v>
      </c>
      <c r="H9088" s="11" t="e">
        <f t="shared" si="1398"/>
        <v>#N/A</v>
      </c>
      <c r="I9088" s="11" t="e">
        <f t="shared" si="1399"/>
        <v>#N/A</v>
      </c>
      <c r="J9088" s="12" t="e">
        <f t="shared" si="1400"/>
        <v>#N/A</v>
      </c>
      <c r="K9088" s="17" t="e">
        <f t="shared" si="1404"/>
        <v>#N/A</v>
      </c>
      <c r="L9088" s="16">
        <f>base!X9088</f>
        <v>0</v>
      </c>
      <c r="M9088" s="11" t="e">
        <f t="shared" si="1401"/>
        <v>#DIV/0!</v>
      </c>
      <c r="N9088" s="11"/>
      <c r="O9088" s="11" t="e">
        <f t="shared" si="1402"/>
        <v>#DIV/0!</v>
      </c>
      <c r="P9088" s="12">
        <f t="shared" si="1403"/>
        <v>0</v>
      </c>
      <c r="Q9088" s="17" t="str">
        <f t="shared" si="1405"/>
        <v>Pas d'écart</v>
      </c>
    </row>
    <row r="9089" spans="1:17" x14ac:dyDescent="0.3">
      <c r="A9089" s="34">
        <f>base!J9089</f>
        <v>0</v>
      </c>
      <c r="B9089" s="34">
        <f>base!V9089</f>
        <v>0</v>
      </c>
      <c r="C9089" s="40" t="s">
        <v>11</v>
      </c>
      <c r="D9089" s="36">
        <f>base!H9089</f>
        <v>0</v>
      </c>
      <c r="E9089" s="44"/>
      <c r="F9089" s="16">
        <f>base!W9089</f>
        <v>0</v>
      </c>
      <c r="G9089" s="11" t="e">
        <f t="shared" si="1397"/>
        <v>#DIV/0!</v>
      </c>
      <c r="H9089" s="11" t="e">
        <f t="shared" si="1398"/>
        <v>#N/A</v>
      </c>
      <c r="I9089" s="11" t="e">
        <f t="shared" si="1399"/>
        <v>#N/A</v>
      </c>
      <c r="J9089" s="12" t="e">
        <f t="shared" si="1400"/>
        <v>#N/A</v>
      </c>
      <c r="K9089" s="17" t="e">
        <f t="shared" si="1404"/>
        <v>#N/A</v>
      </c>
      <c r="L9089" s="16">
        <f>base!X9089</f>
        <v>0</v>
      </c>
      <c r="M9089" s="11" t="e">
        <f t="shared" si="1401"/>
        <v>#DIV/0!</v>
      </c>
      <c r="N9089" s="11"/>
      <c r="O9089" s="11" t="e">
        <f t="shared" si="1402"/>
        <v>#DIV/0!</v>
      </c>
      <c r="P9089" s="12">
        <f t="shared" si="1403"/>
        <v>0</v>
      </c>
      <c r="Q9089" s="17" t="str">
        <f t="shared" si="1405"/>
        <v>Pas d'écart</v>
      </c>
    </row>
    <row r="9090" spans="1:17" x14ac:dyDescent="0.3">
      <c r="A9090" s="34">
        <f>base!J9090</f>
        <v>0</v>
      </c>
      <c r="B9090" s="34">
        <f>base!V9090</f>
        <v>0</v>
      </c>
      <c r="C9090" s="40" t="s">
        <v>11</v>
      </c>
      <c r="D9090" s="36">
        <f>base!H9090</f>
        <v>0</v>
      </c>
      <c r="E9090" s="44"/>
      <c r="F9090" s="16">
        <f>base!W9090</f>
        <v>0</v>
      </c>
      <c r="G9090" s="11" t="e">
        <f t="shared" ref="G9090:G9153" si="1406">F9090/D9090</f>
        <v>#DIV/0!</v>
      </c>
      <c r="H9090" s="11" t="e">
        <f t="shared" ref="H9090:H9153" si="1407">VLOOKUP(C9090,tout_cout_traction,2,FALSE)*D9090</f>
        <v>#N/A</v>
      </c>
      <c r="I9090" s="11" t="e">
        <f t="shared" ref="I9090:I9153" si="1408">H9090/D9090</f>
        <v>#N/A</v>
      </c>
      <c r="J9090" s="12" t="e">
        <f t="shared" ref="J9090:J9153" si="1409">F9090-H9090</f>
        <v>#N/A</v>
      </c>
      <c r="K9090" s="17" t="e">
        <f t="shared" si="1404"/>
        <v>#N/A</v>
      </c>
      <c r="L9090" s="16">
        <f>base!X9090</f>
        <v>0</v>
      </c>
      <c r="M9090" s="11" t="e">
        <f t="shared" ref="M9090:M9153" si="1410">L9090/D9090</f>
        <v>#DIV/0!</v>
      </c>
      <c r="N9090" s="11"/>
      <c r="O9090" s="11" t="e">
        <f t="shared" ref="O9090:O9153" si="1411">N9090/D9090</f>
        <v>#DIV/0!</v>
      </c>
      <c r="P9090" s="12">
        <f t="shared" ref="P9090:P9153" si="1412">L9090-N9090</f>
        <v>0</v>
      </c>
      <c r="Q9090" s="17" t="str">
        <f t="shared" si="1405"/>
        <v>Pas d'écart</v>
      </c>
    </row>
    <row r="9091" spans="1:17" x14ac:dyDescent="0.3">
      <c r="A9091" s="34">
        <f>base!J9091</f>
        <v>0</v>
      </c>
      <c r="B9091" s="34">
        <f>base!V9091</f>
        <v>0</v>
      </c>
      <c r="C9091" s="40" t="s">
        <v>11</v>
      </c>
      <c r="D9091" s="36">
        <f>base!H9091</f>
        <v>0</v>
      </c>
      <c r="E9091" s="44"/>
      <c r="F9091" s="16">
        <f>base!W9091</f>
        <v>0</v>
      </c>
      <c r="G9091" s="11" t="e">
        <f t="shared" si="1406"/>
        <v>#DIV/0!</v>
      </c>
      <c r="H9091" s="11" t="e">
        <f t="shared" si="1407"/>
        <v>#N/A</v>
      </c>
      <c r="I9091" s="11" t="e">
        <f t="shared" si="1408"/>
        <v>#N/A</v>
      </c>
      <c r="J9091" s="12" t="e">
        <f t="shared" si="1409"/>
        <v>#N/A</v>
      </c>
      <c r="K9091" s="17" t="e">
        <f t="shared" ref="K9091:K9154" si="1413">IF(H9091=F9091,"Pas d'écart",IF(H9091&lt;F9091,"Ecart positif",IF(H9091&gt;F9091,"Ecart négatif")))</f>
        <v>#N/A</v>
      </c>
      <c r="L9091" s="16">
        <f>base!X9091</f>
        <v>0</v>
      </c>
      <c r="M9091" s="11" t="e">
        <f t="shared" si="1410"/>
        <v>#DIV/0!</v>
      </c>
      <c r="N9091" s="11"/>
      <c r="O9091" s="11" t="e">
        <f t="shared" si="1411"/>
        <v>#DIV/0!</v>
      </c>
      <c r="P9091" s="12">
        <f t="shared" si="1412"/>
        <v>0</v>
      </c>
      <c r="Q9091" s="17" t="str">
        <f t="shared" ref="Q9091:Q9154" si="1414">IF(N9091=L9091,"Pas d'écart",IF(N9091&lt;L9091,"Ecart positif",IF(N9091&gt;L9091,"Ecart négatif")))</f>
        <v>Pas d'écart</v>
      </c>
    </row>
    <row r="9092" spans="1:17" x14ac:dyDescent="0.3">
      <c r="A9092" s="34">
        <f>base!J9092</f>
        <v>0</v>
      </c>
      <c r="B9092" s="34">
        <f>base!V9092</f>
        <v>0</v>
      </c>
      <c r="C9092" s="40" t="s">
        <v>11</v>
      </c>
      <c r="D9092" s="36">
        <f>base!H9092</f>
        <v>0</v>
      </c>
      <c r="E9092" s="44"/>
      <c r="F9092" s="16">
        <f>base!W9092</f>
        <v>0</v>
      </c>
      <c r="G9092" s="11" t="e">
        <f t="shared" si="1406"/>
        <v>#DIV/0!</v>
      </c>
      <c r="H9092" s="11" t="e">
        <f t="shared" si="1407"/>
        <v>#N/A</v>
      </c>
      <c r="I9092" s="11" t="e">
        <f t="shared" si="1408"/>
        <v>#N/A</v>
      </c>
      <c r="J9092" s="12" t="e">
        <f t="shared" si="1409"/>
        <v>#N/A</v>
      </c>
      <c r="K9092" s="17" t="e">
        <f t="shared" si="1413"/>
        <v>#N/A</v>
      </c>
      <c r="L9092" s="16">
        <f>base!X9092</f>
        <v>0</v>
      </c>
      <c r="M9092" s="11" t="e">
        <f t="shared" si="1410"/>
        <v>#DIV/0!</v>
      </c>
      <c r="N9092" s="11"/>
      <c r="O9092" s="11" t="e">
        <f t="shared" si="1411"/>
        <v>#DIV/0!</v>
      </c>
      <c r="P9092" s="12">
        <f t="shared" si="1412"/>
        <v>0</v>
      </c>
      <c r="Q9092" s="17" t="str">
        <f t="shared" si="1414"/>
        <v>Pas d'écart</v>
      </c>
    </row>
    <row r="9093" spans="1:17" x14ac:dyDescent="0.3">
      <c r="A9093" s="34">
        <f>base!J9093</f>
        <v>0</v>
      </c>
      <c r="B9093" s="34">
        <f>base!V9093</f>
        <v>0</v>
      </c>
      <c r="C9093" s="40" t="s">
        <v>11</v>
      </c>
      <c r="D9093" s="36">
        <f>base!H9093</f>
        <v>0</v>
      </c>
      <c r="E9093" s="44"/>
      <c r="F9093" s="16">
        <f>base!W9093</f>
        <v>0</v>
      </c>
      <c r="G9093" s="11" t="e">
        <f t="shared" si="1406"/>
        <v>#DIV/0!</v>
      </c>
      <c r="H9093" s="11" t="e">
        <f t="shared" si="1407"/>
        <v>#N/A</v>
      </c>
      <c r="I9093" s="11" t="e">
        <f t="shared" si="1408"/>
        <v>#N/A</v>
      </c>
      <c r="J9093" s="12" t="e">
        <f t="shared" si="1409"/>
        <v>#N/A</v>
      </c>
      <c r="K9093" s="17" t="e">
        <f t="shared" si="1413"/>
        <v>#N/A</v>
      </c>
      <c r="L9093" s="16">
        <f>base!X9093</f>
        <v>0</v>
      </c>
      <c r="M9093" s="11" t="e">
        <f t="shared" si="1410"/>
        <v>#DIV/0!</v>
      </c>
      <c r="N9093" s="11"/>
      <c r="O9093" s="11" t="e">
        <f t="shared" si="1411"/>
        <v>#DIV/0!</v>
      </c>
      <c r="P9093" s="12">
        <f t="shared" si="1412"/>
        <v>0</v>
      </c>
      <c r="Q9093" s="17" t="str">
        <f t="shared" si="1414"/>
        <v>Pas d'écart</v>
      </c>
    </row>
    <row r="9094" spans="1:17" x14ac:dyDescent="0.3">
      <c r="A9094" s="34">
        <f>base!J9094</f>
        <v>0</v>
      </c>
      <c r="B9094" s="34">
        <f>base!V9094</f>
        <v>0</v>
      </c>
      <c r="C9094" s="40" t="s">
        <v>11</v>
      </c>
      <c r="D9094" s="36">
        <f>base!H9094</f>
        <v>0</v>
      </c>
      <c r="E9094" s="44"/>
      <c r="F9094" s="16">
        <f>base!W9094</f>
        <v>0</v>
      </c>
      <c r="G9094" s="11" t="e">
        <f t="shared" si="1406"/>
        <v>#DIV/0!</v>
      </c>
      <c r="H9094" s="11" t="e">
        <f t="shared" si="1407"/>
        <v>#N/A</v>
      </c>
      <c r="I9094" s="11" t="e">
        <f t="shared" si="1408"/>
        <v>#N/A</v>
      </c>
      <c r="J9094" s="12" t="e">
        <f t="shared" si="1409"/>
        <v>#N/A</v>
      </c>
      <c r="K9094" s="17" t="e">
        <f t="shared" si="1413"/>
        <v>#N/A</v>
      </c>
      <c r="L9094" s="16">
        <f>base!X9094</f>
        <v>0</v>
      </c>
      <c r="M9094" s="11" t="e">
        <f t="shared" si="1410"/>
        <v>#DIV/0!</v>
      </c>
      <c r="N9094" s="11"/>
      <c r="O9094" s="11" t="e">
        <f t="shared" si="1411"/>
        <v>#DIV/0!</v>
      </c>
      <c r="P9094" s="12">
        <f t="shared" si="1412"/>
        <v>0</v>
      </c>
      <c r="Q9094" s="17" t="str">
        <f t="shared" si="1414"/>
        <v>Pas d'écart</v>
      </c>
    </row>
    <row r="9095" spans="1:17" x14ac:dyDescent="0.3">
      <c r="A9095" s="34">
        <f>base!J9095</f>
        <v>0</v>
      </c>
      <c r="B9095" s="34">
        <f>base!V9095</f>
        <v>0</v>
      </c>
      <c r="C9095" s="40" t="s">
        <v>11</v>
      </c>
      <c r="D9095" s="36">
        <f>base!H9095</f>
        <v>0</v>
      </c>
      <c r="E9095" s="44"/>
      <c r="F9095" s="16">
        <f>base!W9095</f>
        <v>0</v>
      </c>
      <c r="G9095" s="11" t="e">
        <f t="shared" si="1406"/>
        <v>#DIV/0!</v>
      </c>
      <c r="H9095" s="11" t="e">
        <f t="shared" si="1407"/>
        <v>#N/A</v>
      </c>
      <c r="I9095" s="11" t="e">
        <f t="shared" si="1408"/>
        <v>#N/A</v>
      </c>
      <c r="J9095" s="12" t="e">
        <f t="shared" si="1409"/>
        <v>#N/A</v>
      </c>
      <c r="K9095" s="17" t="e">
        <f t="shared" si="1413"/>
        <v>#N/A</v>
      </c>
      <c r="L9095" s="16">
        <f>base!X9095</f>
        <v>0</v>
      </c>
      <c r="M9095" s="11" t="e">
        <f t="shared" si="1410"/>
        <v>#DIV/0!</v>
      </c>
      <c r="N9095" s="11"/>
      <c r="O9095" s="11" t="e">
        <f t="shared" si="1411"/>
        <v>#DIV/0!</v>
      </c>
      <c r="P9095" s="12">
        <f t="shared" si="1412"/>
        <v>0</v>
      </c>
      <c r="Q9095" s="17" t="str">
        <f t="shared" si="1414"/>
        <v>Pas d'écart</v>
      </c>
    </row>
    <row r="9096" spans="1:17" x14ac:dyDescent="0.3">
      <c r="A9096" s="34">
        <f>base!J9096</f>
        <v>0</v>
      </c>
      <c r="B9096" s="34">
        <f>base!V9096</f>
        <v>0</v>
      </c>
      <c r="C9096" s="40" t="s">
        <v>11</v>
      </c>
      <c r="D9096" s="36">
        <f>base!H9096</f>
        <v>0</v>
      </c>
      <c r="E9096" s="44"/>
      <c r="F9096" s="16">
        <f>base!W9096</f>
        <v>0</v>
      </c>
      <c r="G9096" s="11" t="e">
        <f t="shared" si="1406"/>
        <v>#DIV/0!</v>
      </c>
      <c r="H9096" s="11" t="e">
        <f t="shared" si="1407"/>
        <v>#N/A</v>
      </c>
      <c r="I9096" s="11" t="e">
        <f t="shared" si="1408"/>
        <v>#N/A</v>
      </c>
      <c r="J9096" s="12" t="e">
        <f t="shared" si="1409"/>
        <v>#N/A</v>
      </c>
      <c r="K9096" s="17" t="e">
        <f t="shared" si="1413"/>
        <v>#N/A</v>
      </c>
      <c r="L9096" s="16">
        <f>base!X9096</f>
        <v>0</v>
      </c>
      <c r="M9096" s="11" t="e">
        <f t="shared" si="1410"/>
        <v>#DIV/0!</v>
      </c>
      <c r="N9096" s="11"/>
      <c r="O9096" s="11" t="e">
        <f t="shared" si="1411"/>
        <v>#DIV/0!</v>
      </c>
      <c r="P9096" s="12">
        <f t="shared" si="1412"/>
        <v>0</v>
      </c>
      <c r="Q9096" s="17" t="str">
        <f t="shared" si="1414"/>
        <v>Pas d'écart</v>
      </c>
    </row>
    <row r="9097" spans="1:17" x14ac:dyDescent="0.3">
      <c r="A9097" s="34">
        <f>base!J9097</f>
        <v>0</v>
      </c>
      <c r="B9097" s="34">
        <f>base!V9097</f>
        <v>0</v>
      </c>
      <c r="C9097" s="40" t="s">
        <v>11</v>
      </c>
      <c r="D9097" s="36">
        <f>base!H9097</f>
        <v>0</v>
      </c>
      <c r="E9097" s="44"/>
      <c r="F9097" s="16">
        <f>base!W9097</f>
        <v>0</v>
      </c>
      <c r="G9097" s="11" t="e">
        <f t="shared" si="1406"/>
        <v>#DIV/0!</v>
      </c>
      <c r="H9097" s="11" t="e">
        <f t="shared" si="1407"/>
        <v>#N/A</v>
      </c>
      <c r="I9097" s="11" t="e">
        <f t="shared" si="1408"/>
        <v>#N/A</v>
      </c>
      <c r="J9097" s="12" t="e">
        <f t="shared" si="1409"/>
        <v>#N/A</v>
      </c>
      <c r="K9097" s="17" t="e">
        <f t="shared" si="1413"/>
        <v>#N/A</v>
      </c>
      <c r="L9097" s="16">
        <f>base!X9097</f>
        <v>0</v>
      </c>
      <c r="M9097" s="11" t="e">
        <f t="shared" si="1410"/>
        <v>#DIV/0!</v>
      </c>
      <c r="N9097" s="11"/>
      <c r="O9097" s="11" t="e">
        <f t="shared" si="1411"/>
        <v>#DIV/0!</v>
      </c>
      <c r="P9097" s="12">
        <f t="shared" si="1412"/>
        <v>0</v>
      </c>
      <c r="Q9097" s="17" t="str">
        <f t="shared" si="1414"/>
        <v>Pas d'écart</v>
      </c>
    </row>
    <row r="9098" spans="1:17" x14ac:dyDescent="0.3">
      <c r="A9098" s="34">
        <f>base!J9098</f>
        <v>0</v>
      </c>
      <c r="B9098" s="34">
        <f>base!V9098</f>
        <v>0</v>
      </c>
      <c r="C9098" s="40" t="s">
        <v>11</v>
      </c>
      <c r="D9098" s="36">
        <f>base!H9098</f>
        <v>0</v>
      </c>
      <c r="E9098" s="44"/>
      <c r="F9098" s="16">
        <f>base!W9098</f>
        <v>0</v>
      </c>
      <c r="G9098" s="11" t="e">
        <f t="shared" si="1406"/>
        <v>#DIV/0!</v>
      </c>
      <c r="H9098" s="11" t="e">
        <f t="shared" si="1407"/>
        <v>#N/A</v>
      </c>
      <c r="I9098" s="11" t="e">
        <f t="shared" si="1408"/>
        <v>#N/A</v>
      </c>
      <c r="J9098" s="12" t="e">
        <f t="shared" si="1409"/>
        <v>#N/A</v>
      </c>
      <c r="K9098" s="17" t="e">
        <f t="shared" si="1413"/>
        <v>#N/A</v>
      </c>
      <c r="L9098" s="16">
        <f>base!X9098</f>
        <v>0</v>
      </c>
      <c r="M9098" s="11" t="e">
        <f t="shared" si="1410"/>
        <v>#DIV/0!</v>
      </c>
      <c r="N9098" s="11"/>
      <c r="O9098" s="11" t="e">
        <f t="shared" si="1411"/>
        <v>#DIV/0!</v>
      </c>
      <c r="P9098" s="12">
        <f t="shared" si="1412"/>
        <v>0</v>
      </c>
      <c r="Q9098" s="17" t="str">
        <f t="shared" si="1414"/>
        <v>Pas d'écart</v>
      </c>
    </row>
    <row r="9099" spans="1:17" x14ac:dyDescent="0.3">
      <c r="A9099" s="34">
        <f>base!J9099</f>
        <v>0</v>
      </c>
      <c r="B9099" s="34">
        <f>base!V9099</f>
        <v>0</v>
      </c>
      <c r="C9099" s="40" t="s">
        <v>11</v>
      </c>
      <c r="D9099" s="36">
        <f>base!H9099</f>
        <v>0</v>
      </c>
      <c r="E9099" s="44"/>
      <c r="F9099" s="16">
        <f>base!W9099</f>
        <v>0</v>
      </c>
      <c r="G9099" s="11" t="e">
        <f t="shared" si="1406"/>
        <v>#DIV/0!</v>
      </c>
      <c r="H9099" s="11" t="e">
        <f t="shared" si="1407"/>
        <v>#N/A</v>
      </c>
      <c r="I9099" s="11" t="e">
        <f t="shared" si="1408"/>
        <v>#N/A</v>
      </c>
      <c r="J9099" s="12" t="e">
        <f t="shared" si="1409"/>
        <v>#N/A</v>
      </c>
      <c r="K9099" s="17" t="e">
        <f t="shared" si="1413"/>
        <v>#N/A</v>
      </c>
      <c r="L9099" s="16">
        <f>base!X9099</f>
        <v>0</v>
      </c>
      <c r="M9099" s="11" t="e">
        <f t="shared" si="1410"/>
        <v>#DIV/0!</v>
      </c>
      <c r="N9099" s="11"/>
      <c r="O9099" s="11" t="e">
        <f t="shared" si="1411"/>
        <v>#DIV/0!</v>
      </c>
      <c r="P9099" s="12">
        <f t="shared" si="1412"/>
        <v>0</v>
      </c>
      <c r="Q9099" s="17" t="str">
        <f t="shared" si="1414"/>
        <v>Pas d'écart</v>
      </c>
    </row>
    <row r="9100" spans="1:17" x14ac:dyDescent="0.3">
      <c r="A9100" s="34">
        <f>base!J9100</f>
        <v>0</v>
      </c>
      <c r="B9100" s="34">
        <f>base!V9100</f>
        <v>0</v>
      </c>
      <c r="C9100" s="40" t="s">
        <v>11</v>
      </c>
      <c r="D9100" s="36">
        <f>base!H9100</f>
        <v>0</v>
      </c>
      <c r="E9100" s="44"/>
      <c r="F9100" s="16">
        <f>base!W9100</f>
        <v>0</v>
      </c>
      <c r="G9100" s="11" t="e">
        <f t="shared" si="1406"/>
        <v>#DIV/0!</v>
      </c>
      <c r="H9100" s="11" t="e">
        <f t="shared" si="1407"/>
        <v>#N/A</v>
      </c>
      <c r="I9100" s="11" t="e">
        <f t="shared" si="1408"/>
        <v>#N/A</v>
      </c>
      <c r="J9100" s="12" t="e">
        <f t="shared" si="1409"/>
        <v>#N/A</v>
      </c>
      <c r="K9100" s="17" t="e">
        <f t="shared" si="1413"/>
        <v>#N/A</v>
      </c>
      <c r="L9100" s="16">
        <f>base!X9100</f>
        <v>0</v>
      </c>
      <c r="M9100" s="11" t="e">
        <f t="shared" si="1410"/>
        <v>#DIV/0!</v>
      </c>
      <c r="N9100" s="11"/>
      <c r="O9100" s="11" t="e">
        <f t="shared" si="1411"/>
        <v>#DIV/0!</v>
      </c>
      <c r="P9100" s="12">
        <f t="shared" si="1412"/>
        <v>0</v>
      </c>
      <c r="Q9100" s="17" t="str">
        <f t="shared" si="1414"/>
        <v>Pas d'écart</v>
      </c>
    </row>
    <row r="9101" spans="1:17" x14ac:dyDescent="0.3">
      <c r="A9101" s="34">
        <f>base!J9101</f>
        <v>0</v>
      </c>
      <c r="B9101" s="34">
        <f>base!V9101</f>
        <v>0</v>
      </c>
      <c r="C9101" s="40" t="s">
        <v>11</v>
      </c>
      <c r="D9101" s="36">
        <f>base!H9101</f>
        <v>0</v>
      </c>
      <c r="E9101" s="44"/>
      <c r="F9101" s="16">
        <f>base!W9101</f>
        <v>0</v>
      </c>
      <c r="G9101" s="11" t="e">
        <f t="shared" si="1406"/>
        <v>#DIV/0!</v>
      </c>
      <c r="H9101" s="11" t="e">
        <f t="shared" si="1407"/>
        <v>#N/A</v>
      </c>
      <c r="I9101" s="11" t="e">
        <f t="shared" si="1408"/>
        <v>#N/A</v>
      </c>
      <c r="J9101" s="12" t="e">
        <f t="shared" si="1409"/>
        <v>#N/A</v>
      </c>
      <c r="K9101" s="17" t="e">
        <f t="shared" si="1413"/>
        <v>#N/A</v>
      </c>
      <c r="L9101" s="16">
        <f>base!X9101</f>
        <v>0</v>
      </c>
      <c r="M9101" s="11" t="e">
        <f t="shared" si="1410"/>
        <v>#DIV/0!</v>
      </c>
      <c r="N9101" s="11"/>
      <c r="O9101" s="11" t="e">
        <f t="shared" si="1411"/>
        <v>#DIV/0!</v>
      </c>
      <c r="P9101" s="12">
        <f t="shared" si="1412"/>
        <v>0</v>
      </c>
      <c r="Q9101" s="17" t="str">
        <f t="shared" si="1414"/>
        <v>Pas d'écart</v>
      </c>
    </row>
    <row r="9102" spans="1:17" x14ac:dyDescent="0.3">
      <c r="A9102" s="34">
        <f>base!J9102</f>
        <v>0</v>
      </c>
      <c r="B9102" s="34">
        <f>base!V9102</f>
        <v>0</v>
      </c>
      <c r="C9102" s="40" t="s">
        <v>11</v>
      </c>
      <c r="D9102" s="36">
        <f>base!H9102</f>
        <v>0</v>
      </c>
      <c r="E9102" s="44"/>
      <c r="F9102" s="16">
        <f>base!W9102</f>
        <v>0</v>
      </c>
      <c r="G9102" s="11" t="e">
        <f t="shared" si="1406"/>
        <v>#DIV/0!</v>
      </c>
      <c r="H9102" s="11" t="e">
        <f t="shared" si="1407"/>
        <v>#N/A</v>
      </c>
      <c r="I9102" s="11" t="e">
        <f t="shared" si="1408"/>
        <v>#N/A</v>
      </c>
      <c r="J9102" s="12" t="e">
        <f t="shared" si="1409"/>
        <v>#N/A</v>
      </c>
      <c r="K9102" s="17" t="e">
        <f t="shared" si="1413"/>
        <v>#N/A</v>
      </c>
      <c r="L9102" s="16">
        <f>base!X9102</f>
        <v>0</v>
      </c>
      <c r="M9102" s="11" t="e">
        <f t="shared" si="1410"/>
        <v>#DIV/0!</v>
      </c>
      <c r="N9102" s="11"/>
      <c r="O9102" s="11" t="e">
        <f t="shared" si="1411"/>
        <v>#DIV/0!</v>
      </c>
      <c r="P9102" s="12">
        <f t="shared" si="1412"/>
        <v>0</v>
      </c>
      <c r="Q9102" s="17" t="str">
        <f t="shared" si="1414"/>
        <v>Pas d'écart</v>
      </c>
    </row>
    <row r="9103" spans="1:17" x14ac:dyDescent="0.3">
      <c r="A9103" s="34">
        <f>base!J9103</f>
        <v>0</v>
      </c>
      <c r="B9103" s="34">
        <f>base!V9103</f>
        <v>0</v>
      </c>
      <c r="C9103" s="40" t="s">
        <v>11</v>
      </c>
      <c r="D9103" s="36">
        <f>base!H9103</f>
        <v>0</v>
      </c>
      <c r="E9103" s="44"/>
      <c r="F9103" s="16">
        <f>base!W9103</f>
        <v>0</v>
      </c>
      <c r="G9103" s="11" t="e">
        <f t="shared" si="1406"/>
        <v>#DIV/0!</v>
      </c>
      <c r="H9103" s="11" t="e">
        <f t="shared" si="1407"/>
        <v>#N/A</v>
      </c>
      <c r="I9103" s="11" t="e">
        <f t="shared" si="1408"/>
        <v>#N/A</v>
      </c>
      <c r="J9103" s="12" t="e">
        <f t="shared" si="1409"/>
        <v>#N/A</v>
      </c>
      <c r="K9103" s="17" t="e">
        <f t="shared" si="1413"/>
        <v>#N/A</v>
      </c>
      <c r="L9103" s="16">
        <f>base!X9103</f>
        <v>0</v>
      </c>
      <c r="M9103" s="11" t="e">
        <f t="shared" si="1410"/>
        <v>#DIV/0!</v>
      </c>
      <c r="N9103" s="11"/>
      <c r="O9103" s="11" t="e">
        <f t="shared" si="1411"/>
        <v>#DIV/0!</v>
      </c>
      <c r="P9103" s="12">
        <f t="shared" si="1412"/>
        <v>0</v>
      </c>
      <c r="Q9103" s="17" t="str">
        <f t="shared" si="1414"/>
        <v>Pas d'écart</v>
      </c>
    </row>
    <row r="9104" spans="1:17" x14ac:dyDescent="0.3">
      <c r="A9104" s="34">
        <f>base!J9104</f>
        <v>0</v>
      </c>
      <c r="B9104" s="34">
        <f>base!V9104</f>
        <v>0</v>
      </c>
      <c r="C9104" s="40" t="s">
        <v>11</v>
      </c>
      <c r="D9104" s="36">
        <f>base!H9104</f>
        <v>0</v>
      </c>
      <c r="E9104" s="44"/>
      <c r="F9104" s="16">
        <f>base!W9104</f>
        <v>0</v>
      </c>
      <c r="G9104" s="11" t="e">
        <f t="shared" si="1406"/>
        <v>#DIV/0!</v>
      </c>
      <c r="H9104" s="11" t="e">
        <f t="shared" si="1407"/>
        <v>#N/A</v>
      </c>
      <c r="I9104" s="11" t="e">
        <f t="shared" si="1408"/>
        <v>#N/A</v>
      </c>
      <c r="J9104" s="12" t="e">
        <f t="shared" si="1409"/>
        <v>#N/A</v>
      </c>
      <c r="K9104" s="17" t="e">
        <f t="shared" si="1413"/>
        <v>#N/A</v>
      </c>
      <c r="L9104" s="16">
        <f>base!X9104</f>
        <v>0</v>
      </c>
      <c r="M9104" s="11" t="e">
        <f t="shared" si="1410"/>
        <v>#DIV/0!</v>
      </c>
      <c r="N9104" s="11"/>
      <c r="O9104" s="11" t="e">
        <f t="shared" si="1411"/>
        <v>#DIV/0!</v>
      </c>
      <c r="P9104" s="12">
        <f t="shared" si="1412"/>
        <v>0</v>
      </c>
      <c r="Q9104" s="17" t="str">
        <f t="shared" si="1414"/>
        <v>Pas d'écart</v>
      </c>
    </row>
    <row r="9105" spans="1:17" x14ac:dyDescent="0.3">
      <c r="A9105" s="34">
        <f>base!J9105</f>
        <v>0</v>
      </c>
      <c r="B9105" s="34">
        <f>base!V9105</f>
        <v>0</v>
      </c>
      <c r="C9105" s="40" t="s">
        <v>11</v>
      </c>
      <c r="D9105" s="36">
        <f>base!H9105</f>
        <v>0</v>
      </c>
      <c r="E9105" s="44"/>
      <c r="F9105" s="16">
        <f>base!W9105</f>
        <v>0</v>
      </c>
      <c r="G9105" s="11" t="e">
        <f t="shared" si="1406"/>
        <v>#DIV/0!</v>
      </c>
      <c r="H9105" s="11" t="e">
        <f t="shared" si="1407"/>
        <v>#N/A</v>
      </c>
      <c r="I9105" s="11" t="e">
        <f t="shared" si="1408"/>
        <v>#N/A</v>
      </c>
      <c r="J9105" s="12" t="e">
        <f t="shared" si="1409"/>
        <v>#N/A</v>
      </c>
      <c r="K9105" s="17" t="e">
        <f t="shared" si="1413"/>
        <v>#N/A</v>
      </c>
      <c r="L9105" s="16">
        <f>base!X9105</f>
        <v>0</v>
      </c>
      <c r="M9105" s="11" t="e">
        <f t="shared" si="1410"/>
        <v>#DIV/0!</v>
      </c>
      <c r="N9105" s="11"/>
      <c r="O9105" s="11" t="e">
        <f t="shared" si="1411"/>
        <v>#DIV/0!</v>
      </c>
      <c r="P9105" s="12">
        <f t="shared" si="1412"/>
        <v>0</v>
      </c>
      <c r="Q9105" s="17" t="str">
        <f t="shared" si="1414"/>
        <v>Pas d'écart</v>
      </c>
    </row>
    <row r="9106" spans="1:17" x14ac:dyDescent="0.3">
      <c r="A9106" s="34">
        <f>base!J9106</f>
        <v>0</v>
      </c>
      <c r="B9106" s="34">
        <f>base!V9106</f>
        <v>0</v>
      </c>
      <c r="C9106" s="40" t="s">
        <v>11</v>
      </c>
      <c r="D9106" s="36">
        <f>base!H9106</f>
        <v>0</v>
      </c>
      <c r="E9106" s="44"/>
      <c r="F9106" s="16">
        <f>base!W9106</f>
        <v>0</v>
      </c>
      <c r="G9106" s="11" t="e">
        <f t="shared" si="1406"/>
        <v>#DIV/0!</v>
      </c>
      <c r="H9106" s="11" t="e">
        <f t="shared" si="1407"/>
        <v>#N/A</v>
      </c>
      <c r="I9106" s="11" t="e">
        <f t="shared" si="1408"/>
        <v>#N/A</v>
      </c>
      <c r="J9106" s="12" t="e">
        <f t="shared" si="1409"/>
        <v>#N/A</v>
      </c>
      <c r="K9106" s="17" t="e">
        <f t="shared" si="1413"/>
        <v>#N/A</v>
      </c>
      <c r="L9106" s="16">
        <f>base!X9106</f>
        <v>0</v>
      </c>
      <c r="M9106" s="11" t="e">
        <f t="shared" si="1410"/>
        <v>#DIV/0!</v>
      </c>
      <c r="N9106" s="11"/>
      <c r="O9106" s="11" t="e">
        <f t="shared" si="1411"/>
        <v>#DIV/0!</v>
      </c>
      <c r="P9106" s="12">
        <f t="shared" si="1412"/>
        <v>0</v>
      </c>
      <c r="Q9106" s="17" t="str">
        <f t="shared" si="1414"/>
        <v>Pas d'écart</v>
      </c>
    </row>
    <row r="9107" spans="1:17" x14ac:dyDescent="0.3">
      <c r="A9107" s="34">
        <f>base!J9107</f>
        <v>0</v>
      </c>
      <c r="B9107" s="34">
        <f>base!V9107</f>
        <v>0</v>
      </c>
      <c r="C9107" s="40" t="s">
        <v>11</v>
      </c>
      <c r="D9107" s="36">
        <f>base!H9107</f>
        <v>0</v>
      </c>
      <c r="E9107" s="44"/>
      <c r="F9107" s="16">
        <f>base!W9107</f>
        <v>0</v>
      </c>
      <c r="G9107" s="11" t="e">
        <f t="shared" si="1406"/>
        <v>#DIV/0!</v>
      </c>
      <c r="H9107" s="11" t="e">
        <f t="shared" si="1407"/>
        <v>#N/A</v>
      </c>
      <c r="I9107" s="11" t="e">
        <f t="shared" si="1408"/>
        <v>#N/A</v>
      </c>
      <c r="J9107" s="12" t="e">
        <f t="shared" si="1409"/>
        <v>#N/A</v>
      </c>
      <c r="K9107" s="17" t="e">
        <f t="shared" si="1413"/>
        <v>#N/A</v>
      </c>
      <c r="L9107" s="16">
        <f>base!X9107</f>
        <v>0</v>
      </c>
      <c r="M9107" s="11" t="e">
        <f t="shared" si="1410"/>
        <v>#DIV/0!</v>
      </c>
      <c r="N9107" s="11"/>
      <c r="O9107" s="11" t="e">
        <f t="shared" si="1411"/>
        <v>#DIV/0!</v>
      </c>
      <c r="P9107" s="12">
        <f t="shared" si="1412"/>
        <v>0</v>
      </c>
      <c r="Q9107" s="17" t="str">
        <f t="shared" si="1414"/>
        <v>Pas d'écart</v>
      </c>
    </row>
    <row r="9108" spans="1:17" x14ac:dyDescent="0.3">
      <c r="A9108" s="34">
        <f>base!J9108</f>
        <v>0</v>
      </c>
      <c r="B9108" s="34">
        <f>base!V9108</f>
        <v>0</v>
      </c>
      <c r="C9108" s="40" t="s">
        <v>11</v>
      </c>
      <c r="D9108" s="36">
        <f>base!H9108</f>
        <v>0</v>
      </c>
      <c r="E9108" s="44"/>
      <c r="F9108" s="16">
        <f>base!W9108</f>
        <v>0</v>
      </c>
      <c r="G9108" s="11" t="e">
        <f t="shared" si="1406"/>
        <v>#DIV/0!</v>
      </c>
      <c r="H9108" s="11" t="e">
        <f t="shared" si="1407"/>
        <v>#N/A</v>
      </c>
      <c r="I9108" s="11" t="e">
        <f t="shared" si="1408"/>
        <v>#N/A</v>
      </c>
      <c r="J9108" s="12" t="e">
        <f t="shared" si="1409"/>
        <v>#N/A</v>
      </c>
      <c r="K9108" s="17" t="e">
        <f t="shared" si="1413"/>
        <v>#N/A</v>
      </c>
      <c r="L9108" s="16">
        <f>base!X9108</f>
        <v>0</v>
      </c>
      <c r="M9108" s="11" t="e">
        <f t="shared" si="1410"/>
        <v>#DIV/0!</v>
      </c>
      <c r="N9108" s="11"/>
      <c r="O9108" s="11" t="e">
        <f t="shared" si="1411"/>
        <v>#DIV/0!</v>
      </c>
      <c r="P9108" s="12">
        <f t="shared" si="1412"/>
        <v>0</v>
      </c>
      <c r="Q9108" s="17" t="str">
        <f t="shared" si="1414"/>
        <v>Pas d'écart</v>
      </c>
    </row>
    <row r="9109" spans="1:17" x14ac:dyDescent="0.3">
      <c r="A9109" s="34">
        <f>base!J9109</f>
        <v>0</v>
      </c>
      <c r="B9109" s="34">
        <f>base!V9109</f>
        <v>0</v>
      </c>
      <c r="C9109" s="40" t="s">
        <v>11</v>
      </c>
      <c r="D9109" s="36">
        <f>base!H9109</f>
        <v>0</v>
      </c>
      <c r="E9109" s="44"/>
      <c r="F9109" s="16">
        <f>base!W9109</f>
        <v>0</v>
      </c>
      <c r="G9109" s="11" t="e">
        <f t="shared" si="1406"/>
        <v>#DIV/0!</v>
      </c>
      <c r="H9109" s="11" t="e">
        <f t="shared" si="1407"/>
        <v>#N/A</v>
      </c>
      <c r="I9109" s="11" t="e">
        <f t="shared" si="1408"/>
        <v>#N/A</v>
      </c>
      <c r="J9109" s="12" t="e">
        <f t="shared" si="1409"/>
        <v>#N/A</v>
      </c>
      <c r="K9109" s="17" t="e">
        <f t="shared" si="1413"/>
        <v>#N/A</v>
      </c>
      <c r="L9109" s="16">
        <f>base!X9109</f>
        <v>0</v>
      </c>
      <c r="M9109" s="11" t="e">
        <f t="shared" si="1410"/>
        <v>#DIV/0!</v>
      </c>
      <c r="N9109" s="11"/>
      <c r="O9109" s="11" t="e">
        <f t="shared" si="1411"/>
        <v>#DIV/0!</v>
      </c>
      <c r="P9109" s="12">
        <f t="shared" si="1412"/>
        <v>0</v>
      </c>
      <c r="Q9109" s="17" t="str">
        <f t="shared" si="1414"/>
        <v>Pas d'écart</v>
      </c>
    </row>
    <row r="9110" spans="1:17" x14ac:dyDescent="0.3">
      <c r="A9110" s="34">
        <f>base!J9110</f>
        <v>0</v>
      </c>
      <c r="B9110" s="34">
        <f>base!V9110</f>
        <v>0</v>
      </c>
      <c r="C9110" s="40" t="s">
        <v>11</v>
      </c>
      <c r="D9110" s="36">
        <f>base!H9110</f>
        <v>0</v>
      </c>
      <c r="E9110" s="44"/>
      <c r="F9110" s="16">
        <f>base!W9110</f>
        <v>0</v>
      </c>
      <c r="G9110" s="11" t="e">
        <f t="shared" si="1406"/>
        <v>#DIV/0!</v>
      </c>
      <c r="H9110" s="11" t="e">
        <f t="shared" si="1407"/>
        <v>#N/A</v>
      </c>
      <c r="I9110" s="11" t="e">
        <f t="shared" si="1408"/>
        <v>#N/A</v>
      </c>
      <c r="J9110" s="12" t="e">
        <f t="shared" si="1409"/>
        <v>#N/A</v>
      </c>
      <c r="K9110" s="17" t="e">
        <f t="shared" si="1413"/>
        <v>#N/A</v>
      </c>
      <c r="L9110" s="16">
        <f>base!X9110</f>
        <v>0</v>
      </c>
      <c r="M9110" s="11" t="e">
        <f t="shared" si="1410"/>
        <v>#DIV/0!</v>
      </c>
      <c r="N9110" s="11"/>
      <c r="O9110" s="11" t="e">
        <f t="shared" si="1411"/>
        <v>#DIV/0!</v>
      </c>
      <c r="P9110" s="12">
        <f t="shared" si="1412"/>
        <v>0</v>
      </c>
      <c r="Q9110" s="17" t="str">
        <f t="shared" si="1414"/>
        <v>Pas d'écart</v>
      </c>
    </row>
    <row r="9111" spans="1:17" x14ac:dyDescent="0.3">
      <c r="A9111" s="34">
        <f>base!J9111</f>
        <v>0</v>
      </c>
      <c r="B9111" s="34">
        <f>base!V9111</f>
        <v>0</v>
      </c>
      <c r="C9111" s="40" t="s">
        <v>11</v>
      </c>
      <c r="D9111" s="36">
        <f>base!H9111</f>
        <v>0</v>
      </c>
      <c r="E9111" s="44"/>
      <c r="F9111" s="16">
        <f>base!W9111</f>
        <v>0</v>
      </c>
      <c r="G9111" s="11" t="e">
        <f t="shared" si="1406"/>
        <v>#DIV/0!</v>
      </c>
      <c r="H9111" s="11" t="e">
        <f t="shared" si="1407"/>
        <v>#N/A</v>
      </c>
      <c r="I9111" s="11" t="e">
        <f t="shared" si="1408"/>
        <v>#N/A</v>
      </c>
      <c r="J9111" s="12" t="e">
        <f t="shared" si="1409"/>
        <v>#N/A</v>
      </c>
      <c r="K9111" s="17" t="e">
        <f t="shared" si="1413"/>
        <v>#N/A</v>
      </c>
      <c r="L9111" s="16">
        <f>base!X9111</f>
        <v>0</v>
      </c>
      <c r="M9111" s="11" t="e">
        <f t="shared" si="1410"/>
        <v>#DIV/0!</v>
      </c>
      <c r="N9111" s="11"/>
      <c r="O9111" s="11" t="e">
        <f t="shared" si="1411"/>
        <v>#DIV/0!</v>
      </c>
      <c r="P9111" s="12">
        <f t="shared" si="1412"/>
        <v>0</v>
      </c>
      <c r="Q9111" s="17" t="str">
        <f t="shared" si="1414"/>
        <v>Pas d'écart</v>
      </c>
    </row>
    <row r="9112" spans="1:17" x14ac:dyDescent="0.3">
      <c r="A9112" s="34">
        <f>base!J9112</f>
        <v>0</v>
      </c>
      <c r="B9112" s="34">
        <f>base!V9112</f>
        <v>0</v>
      </c>
      <c r="C9112" s="40" t="s">
        <v>11</v>
      </c>
      <c r="D9112" s="36">
        <f>base!H9112</f>
        <v>0</v>
      </c>
      <c r="E9112" s="44"/>
      <c r="F9112" s="16">
        <f>base!W9112</f>
        <v>0</v>
      </c>
      <c r="G9112" s="11" t="e">
        <f t="shared" si="1406"/>
        <v>#DIV/0!</v>
      </c>
      <c r="H9112" s="11" t="e">
        <f t="shared" si="1407"/>
        <v>#N/A</v>
      </c>
      <c r="I9112" s="11" t="e">
        <f t="shared" si="1408"/>
        <v>#N/A</v>
      </c>
      <c r="J9112" s="12" t="e">
        <f t="shared" si="1409"/>
        <v>#N/A</v>
      </c>
      <c r="K9112" s="17" t="e">
        <f t="shared" si="1413"/>
        <v>#N/A</v>
      </c>
      <c r="L9112" s="16">
        <f>base!X9112</f>
        <v>0</v>
      </c>
      <c r="M9112" s="11" t="e">
        <f t="shared" si="1410"/>
        <v>#DIV/0!</v>
      </c>
      <c r="N9112" s="11"/>
      <c r="O9112" s="11" t="e">
        <f t="shared" si="1411"/>
        <v>#DIV/0!</v>
      </c>
      <c r="P9112" s="12">
        <f t="shared" si="1412"/>
        <v>0</v>
      </c>
      <c r="Q9112" s="17" t="str">
        <f t="shared" si="1414"/>
        <v>Pas d'écart</v>
      </c>
    </row>
    <row r="9113" spans="1:17" x14ac:dyDescent="0.3">
      <c r="A9113" s="34">
        <f>base!J9113</f>
        <v>0</v>
      </c>
      <c r="B9113" s="34">
        <f>base!V9113</f>
        <v>0</v>
      </c>
      <c r="C9113" s="40" t="s">
        <v>11</v>
      </c>
      <c r="D9113" s="36">
        <f>base!H9113</f>
        <v>0</v>
      </c>
      <c r="E9113" s="44"/>
      <c r="F9113" s="16">
        <f>base!W9113</f>
        <v>0</v>
      </c>
      <c r="G9113" s="11" t="e">
        <f t="shared" si="1406"/>
        <v>#DIV/0!</v>
      </c>
      <c r="H9113" s="11" t="e">
        <f t="shared" si="1407"/>
        <v>#N/A</v>
      </c>
      <c r="I9113" s="11" t="e">
        <f t="shared" si="1408"/>
        <v>#N/A</v>
      </c>
      <c r="J9113" s="12" t="e">
        <f t="shared" si="1409"/>
        <v>#N/A</v>
      </c>
      <c r="K9113" s="17" t="e">
        <f t="shared" si="1413"/>
        <v>#N/A</v>
      </c>
      <c r="L9113" s="16">
        <f>base!X9113</f>
        <v>0</v>
      </c>
      <c r="M9113" s="11" t="e">
        <f t="shared" si="1410"/>
        <v>#DIV/0!</v>
      </c>
      <c r="N9113" s="11"/>
      <c r="O9113" s="11" t="e">
        <f t="shared" si="1411"/>
        <v>#DIV/0!</v>
      </c>
      <c r="P9113" s="12">
        <f t="shared" si="1412"/>
        <v>0</v>
      </c>
      <c r="Q9113" s="17" t="str">
        <f t="shared" si="1414"/>
        <v>Pas d'écart</v>
      </c>
    </row>
    <row r="9114" spans="1:17" x14ac:dyDescent="0.3">
      <c r="A9114" s="34">
        <f>base!J9114</f>
        <v>0</v>
      </c>
      <c r="B9114" s="34">
        <f>base!V9114</f>
        <v>0</v>
      </c>
      <c r="C9114" s="40" t="s">
        <v>11</v>
      </c>
      <c r="D9114" s="36">
        <f>base!H9114</f>
        <v>0</v>
      </c>
      <c r="E9114" s="44"/>
      <c r="F9114" s="16">
        <f>base!W9114</f>
        <v>0</v>
      </c>
      <c r="G9114" s="11" t="e">
        <f t="shared" si="1406"/>
        <v>#DIV/0!</v>
      </c>
      <c r="H9114" s="11" t="e">
        <f t="shared" si="1407"/>
        <v>#N/A</v>
      </c>
      <c r="I9114" s="11" t="e">
        <f t="shared" si="1408"/>
        <v>#N/A</v>
      </c>
      <c r="J9114" s="12" t="e">
        <f t="shared" si="1409"/>
        <v>#N/A</v>
      </c>
      <c r="K9114" s="17" t="e">
        <f t="shared" si="1413"/>
        <v>#N/A</v>
      </c>
      <c r="L9114" s="16">
        <f>base!X9114</f>
        <v>0</v>
      </c>
      <c r="M9114" s="11" t="e">
        <f t="shared" si="1410"/>
        <v>#DIV/0!</v>
      </c>
      <c r="N9114" s="11"/>
      <c r="O9114" s="11" t="e">
        <f t="shared" si="1411"/>
        <v>#DIV/0!</v>
      </c>
      <c r="P9114" s="12">
        <f t="shared" si="1412"/>
        <v>0</v>
      </c>
      <c r="Q9114" s="17" t="str">
        <f t="shared" si="1414"/>
        <v>Pas d'écart</v>
      </c>
    </row>
    <row r="9115" spans="1:17" x14ac:dyDescent="0.3">
      <c r="A9115" s="34">
        <f>base!J9115</f>
        <v>0</v>
      </c>
      <c r="B9115" s="34">
        <f>base!V9115</f>
        <v>0</v>
      </c>
      <c r="C9115" s="40" t="s">
        <v>11</v>
      </c>
      <c r="D9115" s="36">
        <f>base!H9115</f>
        <v>0</v>
      </c>
      <c r="E9115" s="44"/>
      <c r="F9115" s="16">
        <f>base!W9115</f>
        <v>0</v>
      </c>
      <c r="G9115" s="11" t="e">
        <f t="shared" si="1406"/>
        <v>#DIV/0!</v>
      </c>
      <c r="H9115" s="11" t="e">
        <f t="shared" si="1407"/>
        <v>#N/A</v>
      </c>
      <c r="I9115" s="11" t="e">
        <f t="shared" si="1408"/>
        <v>#N/A</v>
      </c>
      <c r="J9115" s="12" t="e">
        <f t="shared" si="1409"/>
        <v>#N/A</v>
      </c>
      <c r="K9115" s="17" t="e">
        <f t="shared" si="1413"/>
        <v>#N/A</v>
      </c>
      <c r="L9115" s="16">
        <f>base!X9115</f>
        <v>0</v>
      </c>
      <c r="M9115" s="11" t="e">
        <f t="shared" si="1410"/>
        <v>#DIV/0!</v>
      </c>
      <c r="N9115" s="11"/>
      <c r="O9115" s="11" t="e">
        <f t="shared" si="1411"/>
        <v>#DIV/0!</v>
      </c>
      <c r="P9115" s="12">
        <f t="shared" si="1412"/>
        <v>0</v>
      </c>
      <c r="Q9115" s="17" t="str">
        <f t="shared" si="1414"/>
        <v>Pas d'écart</v>
      </c>
    </row>
    <row r="9116" spans="1:17" x14ac:dyDescent="0.3">
      <c r="A9116" s="34">
        <f>base!J9116</f>
        <v>0</v>
      </c>
      <c r="B9116" s="34">
        <f>base!V9116</f>
        <v>0</v>
      </c>
      <c r="C9116" s="40" t="s">
        <v>11</v>
      </c>
      <c r="D9116" s="36">
        <f>base!H9116</f>
        <v>0</v>
      </c>
      <c r="E9116" s="44"/>
      <c r="F9116" s="16">
        <f>base!W9116</f>
        <v>0</v>
      </c>
      <c r="G9116" s="11" t="e">
        <f t="shared" si="1406"/>
        <v>#DIV/0!</v>
      </c>
      <c r="H9116" s="11" t="e">
        <f t="shared" si="1407"/>
        <v>#N/A</v>
      </c>
      <c r="I9116" s="11" t="e">
        <f t="shared" si="1408"/>
        <v>#N/A</v>
      </c>
      <c r="J9116" s="12" t="e">
        <f t="shared" si="1409"/>
        <v>#N/A</v>
      </c>
      <c r="K9116" s="17" t="e">
        <f t="shared" si="1413"/>
        <v>#N/A</v>
      </c>
      <c r="L9116" s="16">
        <f>base!X9116</f>
        <v>0</v>
      </c>
      <c r="M9116" s="11" t="e">
        <f t="shared" si="1410"/>
        <v>#DIV/0!</v>
      </c>
      <c r="N9116" s="11"/>
      <c r="O9116" s="11" t="e">
        <f t="shared" si="1411"/>
        <v>#DIV/0!</v>
      </c>
      <c r="P9116" s="12">
        <f t="shared" si="1412"/>
        <v>0</v>
      </c>
      <c r="Q9116" s="17" t="str">
        <f t="shared" si="1414"/>
        <v>Pas d'écart</v>
      </c>
    </row>
    <row r="9117" spans="1:17" x14ac:dyDescent="0.3">
      <c r="A9117" s="34">
        <f>base!J9117</f>
        <v>0</v>
      </c>
      <c r="B9117" s="34">
        <f>base!V9117</f>
        <v>0</v>
      </c>
      <c r="C9117" s="40" t="s">
        <v>11</v>
      </c>
      <c r="D9117" s="36">
        <f>base!H9117</f>
        <v>0</v>
      </c>
      <c r="E9117" s="44"/>
      <c r="F9117" s="16">
        <f>base!W9117</f>
        <v>0</v>
      </c>
      <c r="G9117" s="11" t="e">
        <f t="shared" si="1406"/>
        <v>#DIV/0!</v>
      </c>
      <c r="H9117" s="11" t="e">
        <f t="shared" si="1407"/>
        <v>#N/A</v>
      </c>
      <c r="I9117" s="11" t="e">
        <f t="shared" si="1408"/>
        <v>#N/A</v>
      </c>
      <c r="J9117" s="12" t="e">
        <f t="shared" si="1409"/>
        <v>#N/A</v>
      </c>
      <c r="K9117" s="17" t="e">
        <f t="shared" si="1413"/>
        <v>#N/A</v>
      </c>
      <c r="L9117" s="16">
        <f>base!X9117</f>
        <v>0</v>
      </c>
      <c r="M9117" s="11" t="e">
        <f t="shared" si="1410"/>
        <v>#DIV/0!</v>
      </c>
      <c r="N9117" s="11"/>
      <c r="O9117" s="11" t="e">
        <f t="shared" si="1411"/>
        <v>#DIV/0!</v>
      </c>
      <c r="P9117" s="12">
        <f t="shared" si="1412"/>
        <v>0</v>
      </c>
      <c r="Q9117" s="17" t="str">
        <f t="shared" si="1414"/>
        <v>Pas d'écart</v>
      </c>
    </row>
    <row r="9118" spans="1:17" x14ac:dyDescent="0.3">
      <c r="A9118" s="34">
        <f>base!J9118</f>
        <v>0</v>
      </c>
      <c r="B9118" s="34">
        <f>base!V9118</f>
        <v>0</v>
      </c>
      <c r="C9118" s="40" t="s">
        <v>11</v>
      </c>
      <c r="D9118" s="36">
        <f>base!H9118</f>
        <v>0</v>
      </c>
      <c r="E9118" s="44"/>
      <c r="F9118" s="16">
        <f>base!W9118</f>
        <v>0</v>
      </c>
      <c r="G9118" s="11" t="e">
        <f t="shared" si="1406"/>
        <v>#DIV/0!</v>
      </c>
      <c r="H9118" s="11" t="e">
        <f t="shared" si="1407"/>
        <v>#N/A</v>
      </c>
      <c r="I9118" s="11" t="e">
        <f t="shared" si="1408"/>
        <v>#N/A</v>
      </c>
      <c r="J9118" s="12" t="e">
        <f t="shared" si="1409"/>
        <v>#N/A</v>
      </c>
      <c r="K9118" s="17" t="e">
        <f t="shared" si="1413"/>
        <v>#N/A</v>
      </c>
      <c r="L9118" s="16">
        <f>base!X9118</f>
        <v>0</v>
      </c>
      <c r="M9118" s="11" t="e">
        <f t="shared" si="1410"/>
        <v>#DIV/0!</v>
      </c>
      <c r="N9118" s="11"/>
      <c r="O9118" s="11" t="e">
        <f t="shared" si="1411"/>
        <v>#DIV/0!</v>
      </c>
      <c r="P9118" s="12">
        <f t="shared" si="1412"/>
        <v>0</v>
      </c>
      <c r="Q9118" s="17" t="str">
        <f t="shared" si="1414"/>
        <v>Pas d'écart</v>
      </c>
    </row>
    <row r="9119" spans="1:17" x14ac:dyDescent="0.3">
      <c r="A9119" s="34">
        <f>base!J9119</f>
        <v>0</v>
      </c>
      <c r="B9119" s="34">
        <f>base!V9119</f>
        <v>0</v>
      </c>
      <c r="C9119" s="40" t="s">
        <v>11</v>
      </c>
      <c r="D9119" s="36">
        <f>base!H9119</f>
        <v>0</v>
      </c>
      <c r="E9119" s="44"/>
      <c r="F9119" s="16">
        <f>base!W9119</f>
        <v>0</v>
      </c>
      <c r="G9119" s="11" t="e">
        <f t="shared" si="1406"/>
        <v>#DIV/0!</v>
      </c>
      <c r="H9119" s="11" t="e">
        <f t="shared" si="1407"/>
        <v>#N/A</v>
      </c>
      <c r="I9119" s="11" t="e">
        <f t="shared" si="1408"/>
        <v>#N/A</v>
      </c>
      <c r="J9119" s="12" t="e">
        <f t="shared" si="1409"/>
        <v>#N/A</v>
      </c>
      <c r="K9119" s="17" t="e">
        <f t="shared" si="1413"/>
        <v>#N/A</v>
      </c>
      <c r="L9119" s="16">
        <f>base!X9119</f>
        <v>0</v>
      </c>
      <c r="M9119" s="11" t="e">
        <f t="shared" si="1410"/>
        <v>#DIV/0!</v>
      </c>
      <c r="N9119" s="11"/>
      <c r="O9119" s="11" t="e">
        <f t="shared" si="1411"/>
        <v>#DIV/0!</v>
      </c>
      <c r="P9119" s="12">
        <f t="shared" si="1412"/>
        <v>0</v>
      </c>
      <c r="Q9119" s="17" t="str">
        <f t="shared" si="1414"/>
        <v>Pas d'écart</v>
      </c>
    </row>
    <row r="9120" spans="1:17" x14ac:dyDescent="0.3">
      <c r="A9120" s="34">
        <f>base!J9120</f>
        <v>0</v>
      </c>
      <c r="B9120" s="34">
        <f>base!V9120</f>
        <v>0</v>
      </c>
      <c r="C9120" s="40" t="s">
        <v>11</v>
      </c>
      <c r="D9120" s="36">
        <f>base!H9120</f>
        <v>0</v>
      </c>
      <c r="E9120" s="44"/>
      <c r="F9120" s="16">
        <f>base!W9120</f>
        <v>0</v>
      </c>
      <c r="G9120" s="11" t="e">
        <f t="shared" si="1406"/>
        <v>#DIV/0!</v>
      </c>
      <c r="H9120" s="11" t="e">
        <f t="shared" si="1407"/>
        <v>#N/A</v>
      </c>
      <c r="I9120" s="11" t="e">
        <f t="shared" si="1408"/>
        <v>#N/A</v>
      </c>
      <c r="J9120" s="12" t="e">
        <f t="shared" si="1409"/>
        <v>#N/A</v>
      </c>
      <c r="K9120" s="17" t="e">
        <f t="shared" si="1413"/>
        <v>#N/A</v>
      </c>
      <c r="L9120" s="16">
        <f>base!X9120</f>
        <v>0</v>
      </c>
      <c r="M9120" s="11" t="e">
        <f t="shared" si="1410"/>
        <v>#DIV/0!</v>
      </c>
      <c r="N9120" s="11"/>
      <c r="O9120" s="11" t="e">
        <f t="shared" si="1411"/>
        <v>#DIV/0!</v>
      </c>
      <c r="P9120" s="12">
        <f t="shared" si="1412"/>
        <v>0</v>
      </c>
      <c r="Q9120" s="17" t="str">
        <f t="shared" si="1414"/>
        <v>Pas d'écart</v>
      </c>
    </row>
    <row r="9121" spans="1:17" x14ac:dyDescent="0.3">
      <c r="A9121" s="34">
        <f>base!J9121</f>
        <v>0</v>
      </c>
      <c r="B9121" s="34">
        <f>base!V9121</f>
        <v>0</v>
      </c>
      <c r="C9121" s="40" t="s">
        <v>11</v>
      </c>
      <c r="D9121" s="36">
        <f>base!H9121</f>
        <v>0</v>
      </c>
      <c r="E9121" s="44"/>
      <c r="F9121" s="16">
        <f>base!W9121</f>
        <v>0</v>
      </c>
      <c r="G9121" s="11" t="e">
        <f t="shared" si="1406"/>
        <v>#DIV/0!</v>
      </c>
      <c r="H9121" s="11" t="e">
        <f t="shared" si="1407"/>
        <v>#N/A</v>
      </c>
      <c r="I9121" s="11" t="e">
        <f t="shared" si="1408"/>
        <v>#N/A</v>
      </c>
      <c r="J9121" s="12" t="e">
        <f t="shared" si="1409"/>
        <v>#N/A</v>
      </c>
      <c r="K9121" s="17" t="e">
        <f t="shared" si="1413"/>
        <v>#N/A</v>
      </c>
      <c r="L9121" s="16">
        <f>base!X9121</f>
        <v>0</v>
      </c>
      <c r="M9121" s="11" t="e">
        <f t="shared" si="1410"/>
        <v>#DIV/0!</v>
      </c>
      <c r="N9121" s="11"/>
      <c r="O9121" s="11" t="e">
        <f t="shared" si="1411"/>
        <v>#DIV/0!</v>
      </c>
      <c r="P9121" s="12">
        <f t="shared" si="1412"/>
        <v>0</v>
      </c>
      <c r="Q9121" s="17" t="str">
        <f t="shared" si="1414"/>
        <v>Pas d'écart</v>
      </c>
    </row>
    <row r="9122" spans="1:17" x14ac:dyDescent="0.3">
      <c r="A9122" s="34">
        <f>base!J9122</f>
        <v>0</v>
      </c>
      <c r="B9122" s="34">
        <f>base!V9122</f>
        <v>0</v>
      </c>
      <c r="C9122" s="40" t="s">
        <v>11</v>
      </c>
      <c r="D9122" s="36">
        <f>base!H9122</f>
        <v>0</v>
      </c>
      <c r="E9122" s="44"/>
      <c r="F9122" s="16">
        <f>base!W9122</f>
        <v>0</v>
      </c>
      <c r="G9122" s="11" t="e">
        <f t="shared" si="1406"/>
        <v>#DIV/0!</v>
      </c>
      <c r="H9122" s="11" t="e">
        <f t="shared" si="1407"/>
        <v>#N/A</v>
      </c>
      <c r="I9122" s="11" t="e">
        <f t="shared" si="1408"/>
        <v>#N/A</v>
      </c>
      <c r="J9122" s="12" t="e">
        <f t="shared" si="1409"/>
        <v>#N/A</v>
      </c>
      <c r="K9122" s="17" t="e">
        <f t="shared" si="1413"/>
        <v>#N/A</v>
      </c>
      <c r="L9122" s="16">
        <f>base!X9122</f>
        <v>0</v>
      </c>
      <c r="M9122" s="11" t="e">
        <f t="shared" si="1410"/>
        <v>#DIV/0!</v>
      </c>
      <c r="N9122" s="11"/>
      <c r="O9122" s="11" t="e">
        <f t="shared" si="1411"/>
        <v>#DIV/0!</v>
      </c>
      <c r="P9122" s="12">
        <f t="shared" si="1412"/>
        <v>0</v>
      </c>
      <c r="Q9122" s="17" t="str">
        <f t="shared" si="1414"/>
        <v>Pas d'écart</v>
      </c>
    </row>
    <row r="9123" spans="1:17" x14ac:dyDescent="0.3">
      <c r="A9123" s="34">
        <f>base!J9123</f>
        <v>0</v>
      </c>
      <c r="B9123" s="34">
        <f>base!V9123</f>
        <v>0</v>
      </c>
      <c r="C9123" s="40" t="s">
        <v>11</v>
      </c>
      <c r="D9123" s="36">
        <f>base!H9123</f>
        <v>0</v>
      </c>
      <c r="E9123" s="44"/>
      <c r="F9123" s="16">
        <f>base!W9123</f>
        <v>0</v>
      </c>
      <c r="G9123" s="11" t="e">
        <f t="shared" si="1406"/>
        <v>#DIV/0!</v>
      </c>
      <c r="H9123" s="11" t="e">
        <f t="shared" si="1407"/>
        <v>#N/A</v>
      </c>
      <c r="I9123" s="11" t="e">
        <f t="shared" si="1408"/>
        <v>#N/A</v>
      </c>
      <c r="J9123" s="12" t="e">
        <f t="shared" si="1409"/>
        <v>#N/A</v>
      </c>
      <c r="K9123" s="17" t="e">
        <f t="shared" si="1413"/>
        <v>#N/A</v>
      </c>
      <c r="L9123" s="16">
        <f>base!X9123</f>
        <v>0</v>
      </c>
      <c r="M9123" s="11" t="e">
        <f t="shared" si="1410"/>
        <v>#DIV/0!</v>
      </c>
      <c r="N9123" s="11"/>
      <c r="O9123" s="11" t="e">
        <f t="shared" si="1411"/>
        <v>#DIV/0!</v>
      </c>
      <c r="P9123" s="12">
        <f t="shared" si="1412"/>
        <v>0</v>
      </c>
      <c r="Q9123" s="17" t="str">
        <f t="shared" si="1414"/>
        <v>Pas d'écart</v>
      </c>
    </row>
    <row r="9124" spans="1:17" x14ac:dyDescent="0.3">
      <c r="A9124" s="34">
        <f>base!J9124</f>
        <v>0</v>
      </c>
      <c r="B9124" s="34">
        <f>base!V9124</f>
        <v>0</v>
      </c>
      <c r="C9124" s="40" t="s">
        <v>11</v>
      </c>
      <c r="D9124" s="36">
        <f>base!H9124</f>
        <v>0</v>
      </c>
      <c r="E9124" s="44"/>
      <c r="F9124" s="16">
        <f>base!W9124</f>
        <v>0</v>
      </c>
      <c r="G9124" s="11" t="e">
        <f t="shared" si="1406"/>
        <v>#DIV/0!</v>
      </c>
      <c r="H9124" s="11" t="e">
        <f t="shared" si="1407"/>
        <v>#N/A</v>
      </c>
      <c r="I9124" s="11" t="e">
        <f t="shared" si="1408"/>
        <v>#N/A</v>
      </c>
      <c r="J9124" s="12" t="e">
        <f t="shared" si="1409"/>
        <v>#N/A</v>
      </c>
      <c r="K9124" s="17" t="e">
        <f t="shared" si="1413"/>
        <v>#N/A</v>
      </c>
      <c r="L9124" s="16">
        <f>base!X9124</f>
        <v>0</v>
      </c>
      <c r="M9124" s="11" t="e">
        <f t="shared" si="1410"/>
        <v>#DIV/0!</v>
      </c>
      <c r="N9124" s="11"/>
      <c r="O9124" s="11" t="e">
        <f t="shared" si="1411"/>
        <v>#DIV/0!</v>
      </c>
      <c r="P9124" s="12">
        <f t="shared" si="1412"/>
        <v>0</v>
      </c>
      <c r="Q9124" s="17" t="str">
        <f t="shared" si="1414"/>
        <v>Pas d'écart</v>
      </c>
    </row>
    <row r="9125" spans="1:17" x14ac:dyDescent="0.3">
      <c r="A9125" s="34">
        <f>base!J9125</f>
        <v>0</v>
      </c>
      <c r="B9125" s="34">
        <f>base!V9125</f>
        <v>0</v>
      </c>
      <c r="C9125" s="40" t="s">
        <v>11</v>
      </c>
      <c r="D9125" s="36">
        <f>base!H9125</f>
        <v>0</v>
      </c>
      <c r="E9125" s="44"/>
      <c r="F9125" s="16">
        <f>base!W9125</f>
        <v>0</v>
      </c>
      <c r="G9125" s="11" t="e">
        <f t="shared" si="1406"/>
        <v>#DIV/0!</v>
      </c>
      <c r="H9125" s="11" t="e">
        <f t="shared" si="1407"/>
        <v>#N/A</v>
      </c>
      <c r="I9125" s="11" t="e">
        <f t="shared" si="1408"/>
        <v>#N/A</v>
      </c>
      <c r="J9125" s="12" t="e">
        <f t="shared" si="1409"/>
        <v>#N/A</v>
      </c>
      <c r="K9125" s="17" t="e">
        <f t="shared" si="1413"/>
        <v>#N/A</v>
      </c>
      <c r="L9125" s="16">
        <f>base!X9125</f>
        <v>0</v>
      </c>
      <c r="M9125" s="11" t="e">
        <f t="shared" si="1410"/>
        <v>#DIV/0!</v>
      </c>
      <c r="N9125" s="11"/>
      <c r="O9125" s="11" t="e">
        <f t="shared" si="1411"/>
        <v>#DIV/0!</v>
      </c>
      <c r="P9125" s="12">
        <f t="shared" si="1412"/>
        <v>0</v>
      </c>
      <c r="Q9125" s="17" t="str">
        <f t="shared" si="1414"/>
        <v>Pas d'écart</v>
      </c>
    </row>
    <row r="9126" spans="1:17" x14ac:dyDescent="0.3">
      <c r="A9126" s="34">
        <f>base!J9126</f>
        <v>0</v>
      </c>
      <c r="B9126" s="34">
        <f>base!V9126</f>
        <v>0</v>
      </c>
      <c r="C9126" s="40" t="s">
        <v>11</v>
      </c>
      <c r="D9126" s="36">
        <f>base!H9126</f>
        <v>0</v>
      </c>
      <c r="E9126" s="44"/>
      <c r="F9126" s="16">
        <f>base!W9126</f>
        <v>0</v>
      </c>
      <c r="G9126" s="11" t="e">
        <f t="shared" si="1406"/>
        <v>#DIV/0!</v>
      </c>
      <c r="H9126" s="11" t="e">
        <f t="shared" si="1407"/>
        <v>#N/A</v>
      </c>
      <c r="I9126" s="11" t="e">
        <f t="shared" si="1408"/>
        <v>#N/A</v>
      </c>
      <c r="J9126" s="12" t="e">
        <f t="shared" si="1409"/>
        <v>#N/A</v>
      </c>
      <c r="K9126" s="17" t="e">
        <f t="shared" si="1413"/>
        <v>#N/A</v>
      </c>
      <c r="L9126" s="16">
        <f>base!X9126</f>
        <v>0</v>
      </c>
      <c r="M9126" s="11" t="e">
        <f t="shared" si="1410"/>
        <v>#DIV/0!</v>
      </c>
      <c r="N9126" s="11"/>
      <c r="O9126" s="11" t="e">
        <f t="shared" si="1411"/>
        <v>#DIV/0!</v>
      </c>
      <c r="P9126" s="12">
        <f t="shared" si="1412"/>
        <v>0</v>
      </c>
      <c r="Q9126" s="17" t="str">
        <f t="shared" si="1414"/>
        <v>Pas d'écart</v>
      </c>
    </row>
    <row r="9127" spans="1:17" x14ac:dyDescent="0.3">
      <c r="A9127" s="34">
        <f>base!J9127</f>
        <v>0</v>
      </c>
      <c r="B9127" s="34">
        <f>base!V9127</f>
        <v>0</v>
      </c>
      <c r="C9127" s="40" t="s">
        <v>11</v>
      </c>
      <c r="D9127" s="36">
        <f>base!H9127</f>
        <v>0</v>
      </c>
      <c r="E9127" s="44"/>
      <c r="F9127" s="16">
        <f>base!W9127</f>
        <v>0</v>
      </c>
      <c r="G9127" s="11" t="e">
        <f t="shared" si="1406"/>
        <v>#DIV/0!</v>
      </c>
      <c r="H9127" s="11" t="e">
        <f t="shared" si="1407"/>
        <v>#N/A</v>
      </c>
      <c r="I9127" s="11" t="e">
        <f t="shared" si="1408"/>
        <v>#N/A</v>
      </c>
      <c r="J9127" s="12" t="e">
        <f t="shared" si="1409"/>
        <v>#N/A</v>
      </c>
      <c r="K9127" s="17" t="e">
        <f t="shared" si="1413"/>
        <v>#N/A</v>
      </c>
      <c r="L9127" s="16">
        <f>base!X9127</f>
        <v>0</v>
      </c>
      <c r="M9127" s="11" t="e">
        <f t="shared" si="1410"/>
        <v>#DIV/0!</v>
      </c>
      <c r="N9127" s="11"/>
      <c r="O9127" s="11" t="e">
        <f t="shared" si="1411"/>
        <v>#DIV/0!</v>
      </c>
      <c r="P9127" s="12">
        <f t="shared" si="1412"/>
        <v>0</v>
      </c>
      <c r="Q9127" s="17" t="str">
        <f t="shared" si="1414"/>
        <v>Pas d'écart</v>
      </c>
    </row>
    <row r="9128" spans="1:17" x14ac:dyDescent="0.3">
      <c r="A9128" s="34">
        <f>base!J9128</f>
        <v>0</v>
      </c>
      <c r="B9128" s="34">
        <f>base!V9128</f>
        <v>0</v>
      </c>
      <c r="C9128" s="40" t="s">
        <v>11</v>
      </c>
      <c r="D9128" s="36">
        <f>base!H9128</f>
        <v>0</v>
      </c>
      <c r="E9128" s="44"/>
      <c r="F9128" s="16">
        <f>base!W9128</f>
        <v>0</v>
      </c>
      <c r="G9128" s="11" t="e">
        <f t="shared" si="1406"/>
        <v>#DIV/0!</v>
      </c>
      <c r="H9128" s="11" t="e">
        <f t="shared" si="1407"/>
        <v>#N/A</v>
      </c>
      <c r="I9128" s="11" t="e">
        <f t="shared" si="1408"/>
        <v>#N/A</v>
      </c>
      <c r="J9128" s="12" t="e">
        <f t="shared" si="1409"/>
        <v>#N/A</v>
      </c>
      <c r="K9128" s="17" t="e">
        <f t="shared" si="1413"/>
        <v>#N/A</v>
      </c>
      <c r="L9128" s="16">
        <f>base!X9128</f>
        <v>0</v>
      </c>
      <c r="M9128" s="11" t="e">
        <f t="shared" si="1410"/>
        <v>#DIV/0!</v>
      </c>
      <c r="N9128" s="11"/>
      <c r="O9128" s="11" t="e">
        <f t="shared" si="1411"/>
        <v>#DIV/0!</v>
      </c>
      <c r="P9128" s="12">
        <f t="shared" si="1412"/>
        <v>0</v>
      </c>
      <c r="Q9128" s="17" t="str">
        <f t="shared" si="1414"/>
        <v>Pas d'écart</v>
      </c>
    </row>
    <row r="9129" spans="1:17" x14ac:dyDescent="0.3">
      <c r="A9129" s="34">
        <f>base!J9129</f>
        <v>0</v>
      </c>
      <c r="B9129" s="34">
        <f>base!V9129</f>
        <v>0</v>
      </c>
      <c r="C9129" s="40" t="s">
        <v>11</v>
      </c>
      <c r="D9129" s="36">
        <f>base!H9129</f>
        <v>0</v>
      </c>
      <c r="E9129" s="44"/>
      <c r="F9129" s="16">
        <f>base!W9129</f>
        <v>0</v>
      </c>
      <c r="G9129" s="11" t="e">
        <f t="shared" si="1406"/>
        <v>#DIV/0!</v>
      </c>
      <c r="H9129" s="11" t="e">
        <f t="shared" si="1407"/>
        <v>#N/A</v>
      </c>
      <c r="I9129" s="11" t="e">
        <f t="shared" si="1408"/>
        <v>#N/A</v>
      </c>
      <c r="J9129" s="12" t="e">
        <f t="shared" si="1409"/>
        <v>#N/A</v>
      </c>
      <c r="K9129" s="17" t="e">
        <f t="shared" si="1413"/>
        <v>#N/A</v>
      </c>
      <c r="L9129" s="16">
        <f>base!X9129</f>
        <v>0</v>
      </c>
      <c r="M9129" s="11" t="e">
        <f t="shared" si="1410"/>
        <v>#DIV/0!</v>
      </c>
      <c r="N9129" s="11"/>
      <c r="O9129" s="11" t="e">
        <f t="shared" si="1411"/>
        <v>#DIV/0!</v>
      </c>
      <c r="P9129" s="12">
        <f t="shared" si="1412"/>
        <v>0</v>
      </c>
      <c r="Q9129" s="17" t="str">
        <f t="shared" si="1414"/>
        <v>Pas d'écart</v>
      </c>
    </row>
    <row r="9130" spans="1:17" x14ac:dyDescent="0.3">
      <c r="A9130" s="34">
        <f>base!J9130</f>
        <v>0</v>
      </c>
      <c r="B9130" s="34">
        <f>base!V9130</f>
        <v>0</v>
      </c>
      <c r="C9130" s="40" t="s">
        <v>11</v>
      </c>
      <c r="D9130" s="36">
        <f>base!H9130</f>
        <v>0</v>
      </c>
      <c r="E9130" s="44"/>
      <c r="F9130" s="16">
        <f>base!W9130</f>
        <v>0</v>
      </c>
      <c r="G9130" s="11" t="e">
        <f t="shared" si="1406"/>
        <v>#DIV/0!</v>
      </c>
      <c r="H9130" s="11" t="e">
        <f t="shared" si="1407"/>
        <v>#N/A</v>
      </c>
      <c r="I9130" s="11" t="e">
        <f t="shared" si="1408"/>
        <v>#N/A</v>
      </c>
      <c r="J9130" s="12" t="e">
        <f t="shared" si="1409"/>
        <v>#N/A</v>
      </c>
      <c r="K9130" s="17" t="e">
        <f t="shared" si="1413"/>
        <v>#N/A</v>
      </c>
      <c r="L9130" s="16">
        <f>base!X9130</f>
        <v>0</v>
      </c>
      <c r="M9130" s="11" t="e">
        <f t="shared" si="1410"/>
        <v>#DIV/0!</v>
      </c>
      <c r="N9130" s="11"/>
      <c r="O9130" s="11" t="e">
        <f t="shared" si="1411"/>
        <v>#DIV/0!</v>
      </c>
      <c r="P9130" s="12">
        <f t="shared" si="1412"/>
        <v>0</v>
      </c>
      <c r="Q9130" s="17" t="str">
        <f t="shared" si="1414"/>
        <v>Pas d'écart</v>
      </c>
    </row>
    <row r="9131" spans="1:17" x14ac:dyDescent="0.3">
      <c r="A9131" s="34">
        <f>base!J9131</f>
        <v>0</v>
      </c>
      <c r="B9131" s="34">
        <f>base!V9131</f>
        <v>0</v>
      </c>
      <c r="C9131" s="40" t="s">
        <v>11</v>
      </c>
      <c r="D9131" s="36">
        <f>base!H9131</f>
        <v>0</v>
      </c>
      <c r="E9131" s="44"/>
      <c r="F9131" s="16">
        <f>base!W9131</f>
        <v>0</v>
      </c>
      <c r="G9131" s="11" t="e">
        <f t="shared" si="1406"/>
        <v>#DIV/0!</v>
      </c>
      <c r="H9131" s="11" t="e">
        <f t="shared" si="1407"/>
        <v>#N/A</v>
      </c>
      <c r="I9131" s="11" t="e">
        <f t="shared" si="1408"/>
        <v>#N/A</v>
      </c>
      <c r="J9131" s="12" t="e">
        <f t="shared" si="1409"/>
        <v>#N/A</v>
      </c>
      <c r="K9131" s="17" t="e">
        <f t="shared" si="1413"/>
        <v>#N/A</v>
      </c>
      <c r="L9131" s="16">
        <f>base!X9131</f>
        <v>0</v>
      </c>
      <c r="M9131" s="11" t="e">
        <f t="shared" si="1410"/>
        <v>#DIV/0!</v>
      </c>
      <c r="N9131" s="11"/>
      <c r="O9131" s="11" t="e">
        <f t="shared" si="1411"/>
        <v>#DIV/0!</v>
      </c>
      <c r="P9131" s="12">
        <f t="shared" si="1412"/>
        <v>0</v>
      </c>
      <c r="Q9131" s="17" t="str">
        <f t="shared" si="1414"/>
        <v>Pas d'écart</v>
      </c>
    </row>
    <row r="9132" spans="1:17" x14ac:dyDescent="0.3">
      <c r="A9132" s="34">
        <f>base!J9132</f>
        <v>0</v>
      </c>
      <c r="B9132" s="34">
        <f>base!V9132</f>
        <v>0</v>
      </c>
      <c r="C9132" s="40" t="s">
        <v>11</v>
      </c>
      <c r="D9132" s="36">
        <f>base!H9132</f>
        <v>0</v>
      </c>
      <c r="E9132" s="44"/>
      <c r="F9132" s="16">
        <f>base!W9132</f>
        <v>0</v>
      </c>
      <c r="G9132" s="11" t="e">
        <f t="shared" si="1406"/>
        <v>#DIV/0!</v>
      </c>
      <c r="H9132" s="11" t="e">
        <f t="shared" si="1407"/>
        <v>#N/A</v>
      </c>
      <c r="I9132" s="11" t="e">
        <f t="shared" si="1408"/>
        <v>#N/A</v>
      </c>
      <c r="J9132" s="12" t="e">
        <f t="shared" si="1409"/>
        <v>#N/A</v>
      </c>
      <c r="K9132" s="17" t="e">
        <f t="shared" si="1413"/>
        <v>#N/A</v>
      </c>
      <c r="L9132" s="16">
        <f>base!X9132</f>
        <v>0</v>
      </c>
      <c r="M9132" s="11" t="e">
        <f t="shared" si="1410"/>
        <v>#DIV/0!</v>
      </c>
      <c r="N9132" s="11"/>
      <c r="O9132" s="11" t="e">
        <f t="shared" si="1411"/>
        <v>#DIV/0!</v>
      </c>
      <c r="P9132" s="12">
        <f t="shared" si="1412"/>
        <v>0</v>
      </c>
      <c r="Q9132" s="17" t="str">
        <f t="shared" si="1414"/>
        <v>Pas d'écart</v>
      </c>
    </row>
    <row r="9133" spans="1:17" x14ac:dyDescent="0.3">
      <c r="A9133" s="34">
        <f>base!J9133</f>
        <v>0</v>
      </c>
      <c r="B9133" s="34">
        <f>base!V9133</f>
        <v>0</v>
      </c>
      <c r="C9133" s="40" t="s">
        <v>11</v>
      </c>
      <c r="D9133" s="36">
        <f>base!H9133</f>
        <v>0</v>
      </c>
      <c r="E9133" s="44"/>
      <c r="F9133" s="16">
        <f>base!W9133</f>
        <v>0</v>
      </c>
      <c r="G9133" s="11" t="e">
        <f t="shared" si="1406"/>
        <v>#DIV/0!</v>
      </c>
      <c r="H9133" s="11" t="e">
        <f t="shared" si="1407"/>
        <v>#N/A</v>
      </c>
      <c r="I9133" s="11" t="e">
        <f t="shared" si="1408"/>
        <v>#N/A</v>
      </c>
      <c r="J9133" s="12" t="e">
        <f t="shared" si="1409"/>
        <v>#N/A</v>
      </c>
      <c r="K9133" s="17" t="e">
        <f t="shared" si="1413"/>
        <v>#N/A</v>
      </c>
      <c r="L9133" s="16">
        <f>base!X9133</f>
        <v>0</v>
      </c>
      <c r="M9133" s="11" t="e">
        <f t="shared" si="1410"/>
        <v>#DIV/0!</v>
      </c>
      <c r="N9133" s="11"/>
      <c r="O9133" s="11" t="e">
        <f t="shared" si="1411"/>
        <v>#DIV/0!</v>
      </c>
      <c r="P9133" s="12">
        <f t="shared" si="1412"/>
        <v>0</v>
      </c>
      <c r="Q9133" s="17" t="str">
        <f t="shared" si="1414"/>
        <v>Pas d'écart</v>
      </c>
    </row>
    <row r="9134" spans="1:17" x14ac:dyDescent="0.3">
      <c r="A9134" s="34">
        <f>base!J9134</f>
        <v>0</v>
      </c>
      <c r="B9134" s="34">
        <f>base!V9134</f>
        <v>0</v>
      </c>
      <c r="C9134" s="40" t="s">
        <v>11</v>
      </c>
      <c r="D9134" s="36">
        <f>base!H9134</f>
        <v>0</v>
      </c>
      <c r="E9134" s="44"/>
      <c r="F9134" s="16">
        <f>base!W9134</f>
        <v>0</v>
      </c>
      <c r="G9134" s="11" t="e">
        <f t="shared" si="1406"/>
        <v>#DIV/0!</v>
      </c>
      <c r="H9134" s="11" t="e">
        <f t="shared" si="1407"/>
        <v>#N/A</v>
      </c>
      <c r="I9134" s="11" t="e">
        <f t="shared" si="1408"/>
        <v>#N/A</v>
      </c>
      <c r="J9134" s="12" t="e">
        <f t="shared" si="1409"/>
        <v>#N/A</v>
      </c>
      <c r="K9134" s="17" t="e">
        <f t="shared" si="1413"/>
        <v>#N/A</v>
      </c>
      <c r="L9134" s="16">
        <f>base!X9134</f>
        <v>0</v>
      </c>
      <c r="M9134" s="11" t="e">
        <f t="shared" si="1410"/>
        <v>#DIV/0!</v>
      </c>
      <c r="N9134" s="11"/>
      <c r="O9134" s="11" t="e">
        <f t="shared" si="1411"/>
        <v>#DIV/0!</v>
      </c>
      <c r="P9134" s="12">
        <f t="shared" si="1412"/>
        <v>0</v>
      </c>
      <c r="Q9134" s="17" t="str">
        <f t="shared" si="1414"/>
        <v>Pas d'écart</v>
      </c>
    </row>
    <row r="9135" spans="1:17" x14ac:dyDescent="0.3">
      <c r="A9135" s="34">
        <f>base!J9135</f>
        <v>0</v>
      </c>
      <c r="B9135" s="34">
        <f>base!V9135</f>
        <v>0</v>
      </c>
      <c r="C9135" s="40" t="s">
        <v>11</v>
      </c>
      <c r="D9135" s="36">
        <f>base!H9135</f>
        <v>0</v>
      </c>
      <c r="E9135" s="44"/>
      <c r="F9135" s="16">
        <f>base!W9135</f>
        <v>0</v>
      </c>
      <c r="G9135" s="11" t="e">
        <f t="shared" si="1406"/>
        <v>#DIV/0!</v>
      </c>
      <c r="H9135" s="11" t="e">
        <f t="shared" si="1407"/>
        <v>#N/A</v>
      </c>
      <c r="I9135" s="11" t="e">
        <f t="shared" si="1408"/>
        <v>#N/A</v>
      </c>
      <c r="J9135" s="12" t="e">
        <f t="shared" si="1409"/>
        <v>#N/A</v>
      </c>
      <c r="K9135" s="17" t="e">
        <f t="shared" si="1413"/>
        <v>#N/A</v>
      </c>
      <c r="L9135" s="16">
        <f>base!X9135</f>
        <v>0</v>
      </c>
      <c r="M9135" s="11" t="e">
        <f t="shared" si="1410"/>
        <v>#DIV/0!</v>
      </c>
      <c r="N9135" s="11"/>
      <c r="O9135" s="11" t="e">
        <f t="shared" si="1411"/>
        <v>#DIV/0!</v>
      </c>
      <c r="P9135" s="12">
        <f t="shared" si="1412"/>
        <v>0</v>
      </c>
      <c r="Q9135" s="17" t="str">
        <f t="shared" si="1414"/>
        <v>Pas d'écart</v>
      </c>
    </row>
    <row r="9136" spans="1:17" x14ac:dyDescent="0.3">
      <c r="A9136" s="34">
        <f>base!J9136</f>
        <v>0</v>
      </c>
      <c r="B9136" s="34">
        <f>base!V9136</f>
        <v>0</v>
      </c>
      <c r="C9136" s="40" t="s">
        <v>11</v>
      </c>
      <c r="D9136" s="36">
        <f>base!H9136</f>
        <v>0</v>
      </c>
      <c r="E9136" s="44"/>
      <c r="F9136" s="16">
        <f>base!W9136</f>
        <v>0</v>
      </c>
      <c r="G9136" s="11" t="e">
        <f t="shared" si="1406"/>
        <v>#DIV/0!</v>
      </c>
      <c r="H9136" s="11" t="e">
        <f t="shared" si="1407"/>
        <v>#N/A</v>
      </c>
      <c r="I9136" s="11" t="e">
        <f t="shared" si="1408"/>
        <v>#N/A</v>
      </c>
      <c r="J9136" s="12" t="e">
        <f t="shared" si="1409"/>
        <v>#N/A</v>
      </c>
      <c r="K9136" s="17" t="e">
        <f t="shared" si="1413"/>
        <v>#N/A</v>
      </c>
      <c r="L9136" s="16">
        <f>base!X9136</f>
        <v>0</v>
      </c>
      <c r="M9136" s="11" t="e">
        <f t="shared" si="1410"/>
        <v>#DIV/0!</v>
      </c>
      <c r="N9136" s="11"/>
      <c r="O9136" s="11" t="e">
        <f t="shared" si="1411"/>
        <v>#DIV/0!</v>
      </c>
      <c r="P9136" s="12">
        <f t="shared" si="1412"/>
        <v>0</v>
      </c>
      <c r="Q9136" s="17" t="str">
        <f t="shared" si="1414"/>
        <v>Pas d'écart</v>
      </c>
    </row>
    <row r="9137" spans="1:17" x14ac:dyDescent="0.3">
      <c r="A9137" s="34">
        <f>base!J9137</f>
        <v>0</v>
      </c>
      <c r="B9137" s="34">
        <f>base!V9137</f>
        <v>0</v>
      </c>
      <c r="C9137" s="40" t="s">
        <v>11</v>
      </c>
      <c r="D9137" s="36">
        <f>base!H9137</f>
        <v>0</v>
      </c>
      <c r="E9137" s="44"/>
      <c r="F9137" s="16">
        <f>base!W9137</f>
        <v>0</v>
      </c>
      <c r="G9137" s="11" t="e">
        <f t="shared" si="1406"/>
        <v>#DIV/0!</v>
      </c>
      <c r="H9137" s="11" t="e">
        <f t="shared" si="1407"/>
        <v>#N/A</v>
      </c>
      <c r="I9137" s="11" t="e">
        <f t="shared" si="1408"/>
        <v>#N/A</v>
      </c>
      <c r="J9137" s="12" t="e">
        <f t="shared" si="1409"/>
        <v>#N/A</v>
      </c>
      <c r="K9137" s="17" t="e">
        <f t="shared" si="1413"/>
        <v>#N/A</v>
      </c>
      <c r="L9137" s="16">
        <f>base!X9137</f>
        <v>0</v>
      </c>
      <c r="M9137" s="11" t="e">
        <f t="shared" si="1410"/>
        <v>#DIV/0!</v>
      </c>
      <c r="N9137" s="11"/>
      <c r="O9137" s="11" t="e">
        <f t="shared" si="1411"/>
        <v>#DIV/0!</v>
      </c>
      <c r="P9137" s="12">
        <f t="shared" si="1412"/>
        <v>0</v>
      </c>
      <c r="Q9137" s="17" t="str">
        <f t="shared" si="1414"/>
        <v>Pas d'écart</v>
      </c>
    </row>
    <row r="9138" spans="1:17" x14ac:dyDescent="0.3">
      <c r="A9138" s="34">
        <f>base!J9138</f>
        <v>0</v>
      </c>
      <c r="B9138" s="34">
        <f>base!V9138</f>
        <v>0</v>
      </c>
      <c r="C9138" s="40" t="s">
        <v>11</v>
      </c>
      <c r="D9138" s="36">
        <f>base!H9138</f>
        <v>0</v>
      </c>
      <c r="E9138" s="44"/>
      <c r="F9138" s="16">
        <f>base!W9138</f>
        <v>0</v>
      </c>
      <c r="G9138" s="11" t="e">
        <f t="shared" si="1406"/>
        <v>#DIV/0!</v>
      </c>
      <c r="H9138" s="11" t="e">
        <f t="shared" si="1407"/>
        <v>#N/A</v>
      </c>
      <c r="I9138" s="11" t="e">
        <f t="shared" si="1408"/>
        <v>#N/A</v>
      </c>
      <c r="J9138" s="12" t="e">
        <f t="shared" si="1409"/>
        <v>#N/A</v>
      </c>
      <c r="K9138" s="17" t="e">
        <f t="shared" si="1413"/>
        <v>#N/A</v>
      </c>
      <c r="L9138" s="16">
        <f>base!X9138</f>
        <v>0</v>
      </c>
      <c r="M9138" s="11" t="e">
        <f t="shared" si="1410"/>
        <v>#DIV/0!</v>
      </c>
      <c r="N9138" s="11"/>
      <c r="O9138" s="11" t="e">
        <f t="shared" si="1411"/>
        <v>#DIV/0!</v>
      </c>
      <c r="P9138" s="12">
        <f t="shared" si="1412"/>
        <v>0</v>
      </c>
      <c r="Q9138" s="17" t="str">
        <f t="shared" si="1414"/>
        <v>Pas d'écart</v>
      </c>
    </row>
    <row r="9139" spans="1:17" x14ac:dyDescent="0.3">
      <c r="A9139" s="34">
        <f>base!J9139</f>
        <v>0</v>
      </c>
      <c r="B9139" s="34">
        <f>base!V9139</f>
        <v>0</v>
      </c>
      <c r="C9139" s="40" t="s">
        <v>11</v>
      </c>
      <c r="D9139" s="36">
        <f>base!H9139</f>
        <v>0</v>
      </c>
      <c r="E9139" s="44"/>
      <c r="F9139" s="16">
        <f>base!W9139</f>
        <v>0</v>
      </c>
      <c r="G9139" s="11" t="e">
        <f t="shared" si="1406"/>
        <v>#DIV/0!</v>
      </c>
      <c r="H9139" s="11" t="e">
        <f t="shared" si="1407"/>
        <v>#N/A</v>
      </c>
      <c r="I9139" s="11" t="e">
        <f t="shared" si="1408"/>
        <v>#N/A</v>
      </c>
      <c r="J9139" s="12" t="e">
        <f t="shared" si="1409"/>
        <v>#N/A</v>
      </c>
      <c r="K9139" s="17" t="e">
        <f t="shared" si="1413"/>
        <v>#N/A</v>
      </c>
      <c r="L9139" s="16">
        <f>base!X9139</f>
        <v>0</v>
      </c>
      <c r="M9139" s="11" t="e">
        <f t="shared" si="1410"/>
        <v>#DIV/0!</v>
      </c>
      <c r="N9139" s="11"/>
      <c r="O9139" s="11" t="e">
        <f t="shared" si="1411"/>
        <v>#DIV/0!</v>
      </c>
      <c r="P9139" s="12">
        <f t="shared" si="1412"/>
        <v>0</v>
      </c>
      <c r="Q9139" s="17" t="str">
        <f t="shared" si="1414"/>
        <v>Pas d'écart</v>
      </c>
    </row>
    <row r="9140" spans="1:17" x14ac:dyDescent="0.3">
      <c r="A9140" s="34">
        <f>base!J9140</f>
        <v>0</v>
      </c>
      <c r="B9140" s="34">
        <f>base!V9140</f>
        <v>0</v>
      </c>
      <c r="C9140" s="40" t="s">
        <v>11</v>
      </c>
      <c r="D9140" s="36">
        <f>base!H9140</f>
        <v>0</v>
      </c>
      <c r="E9140" s="44"/>
      <c r="F9140" s="16">
        <f>base!W9140</f>
        <v>0</v>
      </c>
      <c r="G9140" s="11" t="e">
        <f t="shared" si="1406"/>
        <v>#DIV/0!</v>
      </c>
      <c r="H9140" s="11" t="e">
        <f t="shared" si="1407"/>
        <v>#N/A</v>
      </c>
      <c r="I9140" s="11" t="e">
        <f t="shared" si="1408"/>
        <v>#N/A</v>
      </c>
      <c r="J9140" s="12" t="e">
        <f t="shared" si="1409"/>
        <v>#N/A</v>
      </c>
      <c r="K9140" s="17" t="e">
        <f t="shared" si="1413"/>
        <v>#N/A</v>
      </c>
      <c r="L9140" s="16">
        <f>base!X9140</f>
        <v>0</v>
      </c>
      <c r="M9140" s="11" t="e">
        <f t="shared" si="1410"/>
        <v>#DIV/0!</v>
      </c>
      <c r="N9140" s="11"/>
      <c r="O9140" s="11" t="e">
        <f t="shared" si="1411"/>
        <v>#DIV/0!</v>
      </c>
      <c r="P9140" s="12">
        <f t="shared" si="1412"/>
        <v>0</v>
      </c>
      <c r="Q9140" s="17" t="str">
        <f t="shared" si="1414"/>
        <v>Pas d'écart</v>
      </c>
    </row>
    <row r="9141" spans="1:17" x14ac:dyDescent="0.3">
      <c r="A9141" s="34">
        <f>base!J9141</f>
        <v>0</v>
      </c>
      <c r="B9141" s="34">
        <f>base!V9141</f>
        <v>0</v>
      </c>
      <c r="C9141" s="40" t="s">
        <v>11</v>
      </c>
      <c r="D9141" s="36">
        <f>base!H9141</f>
        <v>0</v>
      </c>
      <c r="E9141" s="44"/>
      <c r="F9141" s="16">
        <f>base!W9141</f>
        <v>0</v>
      </c>
      <c r="G9141" s="11" t="e">
        <f t="shared" si="1406"/>
        <v>#DIV/0!</v>
      </c>
      <c r="H9141" s="11" t="e">
        <f t="shared" si="1407"/>
        <v>#N/A</v>
      </c>
      <c r="I9141" s="11" t="e">
        <f t="shared" si="1408"/>
        <v>#N/A</v>
      </c>
      <c r="J9141" s="12" t="e">
        <f t="shared" si="1409"/>
        <v>#N/A</v>
      </c>
      <c r="K9141" s="17" t="e">
        <f t="shared" si="1413"/>
        <v>#N/A</v>
      </c>
      <c r="L9141" s="16">
        <f>base!X9141</f>
        <v>0</v>
      </c>
      <c r="M9141" s="11" t="e">
        <f t="shared" si="1410"/>
        <v>#DIV/0!</v>
      </c>
      <c r="N9141" s="11"/>
      <c r="O9141" s="11" t="e">
        <f t="shared" si="1411"/>
        <v>#DIV/0!</v>
      </c>
      <c r="P9141" s="12">
        <f t="shared" si="1412"/>
        <v>0</v>
      </c>
      <c r="Q9141" s="17" t="str">
        <f t="shared" si="1414"/>
        <v>Pas d'écart</v>
      </c>
    </row>
    <row r="9142" spans="1:17" x14ac:dyDescent="0.3">
      <c r="A9142" s="34">
        <f>base!J9142</f>
        <v>0</v>
      </c>
      <c r="B9142" s="34">
        <f>base!V9142</f>
        <v>0</v>
      </c>
      <c r="C9142" s="40" t="s">
        <v>11</v>
      </c>
      <c r="D9142" s="36">
        <f>base!H9142</f>
        <v>0</v>
      </c>
      <c r="E9142" s="44"/>
      <c r="F9142" s="16">
        <f>base!W9142</f>
        <v>0</v>
      </c>
      <c r="G9142" s="11" t="e">
        <f t="shared" si="1406"/>
        <v>#DIV/0!</v>
      </c>
      <c r="H9142" s="11" t="e">
        <f t="shared" si="1407"/>
        <v>#N/A</v>
      </c>
      <c r="I9142" s="11" t="e">
        <f t="shared" si="1408"/>
        <v>#N/A</v>
      </c>
      <c r="J9142" s="12" t="e">
        <f t="shared" si="1409"/>
        <v>#N/A</v>
      </c>
      <c r="K9142" s="17" t="e">
        <f t="shared" si="1413"/>
        <v>#N/A</v>
      </c>
      <c r="L9142" s="16">
        <f>base!X9142</f>
        <v>0</v>
      </c>
      <c r="M9142" s="11" t="e">
        <f t="shared" si="1410"/>
        <v>#DIV/0!</v>
      </c>
      <c r="N9142" s="11"/>
      <c r="O9142" s="11" t="e">
        <f t="shared" si="1411"/>
        <v>#DIV/0!</v>
      </c>
      <c r="P9142" s="12">
        <f t="shared" si="1412"/>
        <v>0</v>
      </c>
      <c r="Q9142" s="17" t="str">
        <f t="shared" si="1414"/>
        <v>Pas d'écart</v>
      </c>
    </row>
    <row r="9143" spans="1:17" x14ac:dyDescent="0.3">
      <c r="A9143" s="34">
        <f>base!J9143</f>
        <v>0</v>
      </c>
      <c r="B9143" s="34">
        <f>base!V9143</f>
        <v>0</v>
      </c>
      <c r="C9143" s="40" t="s">
        <v>11</v>
      </c>
      <c r="D9143" s="36">
        <f>base!H9143</f>
        <v>0</v>
      </c>
      <c r="E9143" s="44"/>
      <c r="F9143" s="16">
        <f>base!W9143</f>
        <v>0</v>
      </c>
      <c r="G9143" s="11" t="e">
        <f t="shared" si="1406"/>
        <v>#DIV/0!</v>
      </c>
      <c r="H9143" s="11" t="e">
        <f t="shared" si="1407"/>
        <v>#N/A</v>
      </c>
      <c r="I9143" s="11" t="e">
        <f t="shared" si="1408"/>
        <v>#N/A</v>
      </c>
      <c r="J9143" s="12" t="e">
        <f t="shared" si="1409"/>
        <v>#N/A</v>
      </c>
      <c r="K9143" s="17" t="e">
        <f t="shared" si="1413"/>
        <v>#N/A</v>
      </c>
      <c r="L9143" s="16">
        <f>base!X9143</f>
        <v>0</v>
      </c>
      <c r="M9143" s="11" t="e">
        <f t="shared" si="1410"/>
        <v>#DIV/0!</v>
      </c>
      <c r="N9143" s="11"/>
      <c r="O9143" s="11" t="e">
        <f t="shared" si="1411"/>
        <v>#DIV/0!</v>
      </c>
      <c r="P9143" s="12">
        <f t="shared" si="1412"/>
        <v>0</v>
      </c>
      <c r="Q9143" s="17" t="str">
        <f t="shared" si="1414"/>
        <v>Pas d'écart</v>
      </c>
    </row>
    <row r="9144" spans="1:17" x14ac:dyDescent="0.3">
      <c r="A9144" s="34">
        <f>base!J9144</f>
        <v>0</v>
      </c>
      <c r="B9144" s="34">
        <f>base!V9144</f>
        <v>0</v>
      </c>
      <c r="C9144" s="40" t="s">
        <v>11</v>
      </c>
      <c r="D9144" s="36">
        <f>base!H9144</f>
        <v>0</v>
      </c>
      <c r="E9144" s="44"/>
      <c r="F9144" s="16">
        <f>base!W9144</f>
        <v>0</v>
      </c>
      <c r="G9144" s="11" t="e">
        <f t="shared" si="1406"/>
        <v>#DIV/0!</v>
      </c>
      <c r="H9144" s="11" t="e">
        <f t="shared" si="1407"/>
        <v>#N/A</v>
      </c>
      <c r="I9144" s="11" t="e">
        <f t="shared" si="1408"/>
        <v>#N/A</v>
      </c>
      <c r="J9144" s="12" t="e">
        <f t="shared" si="1409"/>
        <v>#N/A</v>
      </c>
      <c r="K9144" s="17" t="e">
        <f t="shared" si="1413"/>
        <v>#N/A</v>
      </c>
      <c r="L9144" s="16">
        <f>base!X9144</f>
        <v>0</v>
      </c>
      <c r="M9144" s="11" t="e">
        <f t="shared" si="1410"/>
        <v>#DIV/0!</v>
      </c>
      <c r="N9144" s="11"/>
      <c r="O9144" s="11" t="e">
        <f t="shared" si="1411"/>
        <v>#DIV/0!</v>
      </c>
      <c r="P9144" s="12">
        <f t="shared" si="1412"/>
        <v>0</v>
      </c>
      <c r="Q9144" s="17" t="str">
        <f t="shared" si="1414"/>
        <v>Pas d'écart</v>
      </c>
    </row>
    <row r="9145" spans="1:17" x14ac:dyDescent="0.3">
      <c r="A9145" s="34">
        <f>base!J9145</f>
        <v>0</v>
      </c>
      <c r="B9145" s="34">
        <f>base!V9145</f>
        <v>0</v>
      </c>
      <c r="C9145" s="40" t="s">
        <v>11</v>
      </c>
      <c r="D9145" s="36">
        <f>base!H9145</f>
        <v>0</v>
      </c>
      <c r="E9145" s="44"/>
      <c r="F9145" s="16">
        <f>base!W9145</f>
        <v>0</v>
      </c>
      <c r="G9145" s="11" t="e">
        <f t="shared" si="1406"/>
        <v>#DIV/0!</v>
      </c>
      <c r="H9145" s="11" t="e">
        <f t="shared" si="1407"/>
        <v>#N/A</v>
      </c>
      <c r="I9145" s="11" t="e">
        <f t="shared" si="1408"/>
        <v>#N/A</v>
      </c>
      <c r="J9145" s="12" t="e">
        <f t="shared" si="1409"/>
        <v>#N/A</v>
      </c>
      <c r="K9145" s="17" t="e">
        <f t="shared" si="1413"/>
        <v>#N/A</v>
      </c>
      <c r="L9145" s="16">
        <f>base!X9145</f>
        <v>0</v>
      </c>
      <c r="M9145" s="11" t="e">
        <f t="shared" si="1410"/>
        <v>#DIV/0!</v>
      </c>
      <c r="N9145" s="11"/>
      <c r="O9145" s="11" t="e">
        <f t="shared" si="1411"/>
        <v>#DIV/0!</v>
      </c>
      <c r="P9145" s="12">
        <f t="shared" si="1412"/>
        <v>0</v>
      </c>
      <c r="Q9145" s="17" t="str">
        <f t="shared" si="1414"/>
        <v>Pas d'écart</v>
      </c>
    </row>
    <row r="9146" spans="1:17" x14ac:dyDescent="0.3">
      <c r="A9146" s="34">
        <f>base!J9146</f>
        <v>0</v>
      </c>
      <c r="B9146" s="34">
        <f>base!V9146</f>
        <v>0</v>
      </c>
      <c r="C9146" s="40" t="s">
        <v>11</v>
      </c>
      <c r="D9146" s="36">
        <f>base!H9146</f>
        <v>0</v>
      </c>
      <c r="E9146" s="44"/>
      <c r="F9146" s="16">
        <f>base!W9146</f>
        <v>0</v>
      </c>
      <c r="G9146" s="11" t="e">
        <f t="shared" si="1406"/>
        <v>#DIV/0!</v>
      </c>
      <c r="H9146" s="11" t="e">
        <f t="shared" si="1407"/>
        <v>#N/A</v>
      </c>
      <c r="I9146" s="11" t="e">
        <f t="shared" si="1408"/>
        <v>#N/A</v>
      </c>
      <c r="J9146" s="12" t="e">
        <f t="shared" si="1409"/>
        <v>#N/A</v>
      </c>
      <c r="K9146" s="17" t="e">
        <f t="shared" si="1413"/>
        <v>#N/A</v>
      </c>
      <c r="L9146" s="16">
        <f>base!X9146</f>
        <v>0</v>
      </c>
      <c r="M9146" s="11" t="e">
        <f t="shared" si="1410"/>
        <v>#DIV/0!</v>
      </c>
      <c r="N9146" s="11"/>
      <c r="O9146" s="11" t="e">
        <f t="shared" si="1411"/>
        <v>#DIV/0!</v>
      </c>
      <c r="P9146" s="12">
        <f t="shared" si="1412"/>
        <v>0</v>
      </c>
      <c r="Q9146" s="17" t="str">
        <f t="shared" si="1414"/>
        <v>Pas d'écart</v>
      </c>
    </row>
    <row r="9147" spans="1:17" x14ac:dyDescent="0.3">
      <c r="A9147" s="34">
        <f>base!J9147</f>
        <v>0</v>
      </c>
      <c r="B9147" s="34">
        <f>base!V9147</f>
        <v>0</v>
      </c>
      <c r="C9147" s="40" t="s">
        <v>11</v>
      </c>
      <c r="D9147" s="36">
        <f>base!H9147</f>
        <v>0</v>
      </c>
      <c r="E9147" s="44"/>
      <c r="F9147" s="16">
        <f>base!W9147</f>
        <v>0</v>
      </c>
      <c r="G9147" s="11" t="e">
        <f t="shared" si="1406"/>
        <v>#DIV/0!</v>
      </c>
      <c r="H9147" s="11" t="e">
        <f t="shared" si="1407"/>
        <v>#N/A</v>
      </c>
      <c r="I9147" s="11" t="e">
        <f t="shared" si="1408"/>
        <v>#N/A</v>
      </c>
      <c r="J9147" s="12" t="e">
        <f t="shared" si="1409"/>
        <v>#N/A</v>
      </c>
      <c r="K9147" s="17" t="e">
        <f t="shared" si="1413"/>
        <v>#N/A</v>
      </c>
      <c r="L9147" s="16">
        <f>base!X9147</f>
        <v>0</v>
      </c>
      <c r="M9147" s="11" t="e">
        <f t="shared" si="1410"/>
        <v>#DIV/0!</v>
      </c>
      <c r="N9147" s="11"/>
      <c r="O9147" s="11" t="e">
        <f t="shared" si="1411"/>
        <v>#DIV/0!</v>
      </c>
      <c r="P9147" s="12">
        <f t="shared" si="1412"/>
        <v>0</v>
      </c>
      <c r="Q9147" s="17" t="str">
        <f t="shared" si="1414"/>
        <v>Pas d'écart</v>
      </c>
    </row>
    <row r="9148" spans="1:17" x14ac:dyDescent="0.3">
      <c r="A9148" s="34">
        <f>base!J9148</f>
        <v>0</v>
      </c>
      <c r="B9148" s="34">
        <f>base!V9148</f>
        <v>0</v>
      </c>
      <c r="C9148" s="40" t="s">
        <v>11</v>
      </c>
      <c r="D9148" s="36">
        <f>base!H9148</f>
        <v>0</v>
      </c>
      <c r="E9148" s="44"/>
      <c r="F9148" s="16">
        <f>base!W9148</f>
        <v>0</v>
      </c>
      <c r="G9148" s="11" t="e">
        <f t="shared" si="1406"/>
        <v>#DIV/0!</v>
      </c>
      <c r="H9148" s="11" t="e">
        <f t="shared" si="1407"/>
        <v>#N/A</v>
      </c>
      <c r="I9148" s="11" t="e">
        <f t="shared" si="1408"/>
        <v>#N/A</v>
      </c>
      <c r="J9148" s="12" t="e">
        <f t="shared" si="1409"/>
        <v>#N/A</v>
      </c>
      <c r="K9148" s="17" t="e">
        <f t="shared" si="1413"/>
        <v>#N/A</v>
      </c>
      <c r="L9148" s="16">
        <f>base!X9148</f>
        <v>0</v>
      </c>
      <c r="M9148" s="11" t="e">
        <f t="shared" si="1410"/>
        <v>#DIV/0!</v>
      </c>
      <c r="N9148" s="11"/>
      <c r="O9148" s="11" t="e">
        <f t="shared" si="1411"/>
        <v>#DIV/0!</v>
      </c>
      <c r="P9148" s="12">
        <f t="shared" si="1412"/>
        <v>0</v>
      </c>
      <c r="Q9148" s="17" t="str">
        <f t="shared" si="1414"/>
        <v>Pas d'écart</v>
      </c>
    </row>
    <row r="9149" spans="1:17" x14ac:dyDescent="0.3">
      <c r="A9149" s="34">
        <f>base!J9149</f>
        <v>0</v>
      </c>
      <c r="B9149" s="34">
        <f>base!V9149</f>
        <v>0</v>
      </c>
      <c r="C9149" s="40" t="s">
        <v>11</v>
      </c>
      <c r="D9149" s="36">
        <f>base!H9149</f>
        <v>0</v>
      </c>
      <c r="E9149" s="44"/>
      <c r="F9149" s="16">
        <f>base!W9149</f>
        <v>0</v>
      </c>
      <c r="G9149" s="11" t="e">
        <f t="shared" si="1406"/>
        <v>#DIV/0!</v>
      </c>
      <c r="H9149" s="11" t="e">
        <f t="shared" si="1407"/>
        <v>#N/A</v>
      </c>
      <c r="I9149" s="11" t="e">
        <f t="shared" si="1408"/>
        <v>#N/A</v>
      </c>
      <c r="J9149" s="12" t="e">
        <f t="shared" si="1409"/>
        <v>#N/A</v>
      </c>
      <c r="K9149" s="17" t="e">
        <f t="shared" si="1413"/>
        <v>#N/A</v>
      </c>
      <c r="L9149" s="16">
        <f>base!X9149</f>
        <v>0</v>
      </c>
      <c r="M9149" s="11" t="e">
        <f t="shared" si="1410"/>
        <v>#DIV/0!</v>
      </c>
      <c r="N9149" s="11"/>
      <c r="O9149" s="11" t="e">
        <f t="shared" si="1411"/>
        <v>#DIV/0!</v>
      </c>
      <c r="P9149" s="12">
        <f t="shared" si="1412"/>
        <v>0</v>
      </c>
      <c r="Q9149" s="17" t="str">
        <f t="shared" si="1414"/>
        <v>Pas d'écart</v>
      </c>
    </row>
    <row r="9150" spans="1:17" x14ac:dyDescent="0.3">
      <c r="A9150" s="34">
        <f>base!J9150</f>
        <v>0</v>
      </c>
      <c r="B9150" s="34">
        <f>base!V9150</f>
        <v>0</v>
      </c>
      <c r="C9150" s="40" t="s">
        <v>11</v>
      </c>
      <c r="D9150" s="36">
        <f>base!H9150</f>
        <v>0</v>
      </c>
      <c r="E9150" s="44"/>
      <c r="F9150" s="16">
        <f>base!W9150</f>
        <v>0</v>
      </c>
      <c r="G9150" s="11" t="e">
        <f t="shared" si="1406"/>
        <v>#DIV/0!</v>
      </c>
      <c r="H9150" s="11" t="e">
        <f t="shared" si="1407"/>
        <v>#N/A</v>
      </c>
      <c r="I9150" s="11" t="e">
        <f t="shared" si="1408"/>
        <v>#N/A</v>
      </c>
      <c r="J9150" s="12" t="e">
        <f t="shared" si="1409"/>
        <v>#N/A</v>
      </c>
      <c r="K9150" s="17" t="e">
        <f t="shared" si="1413"/>
        <v>#N/A</v>
      </c>
      <c r="L9150" s="16">
        <f>base!X9150</f>
        <v>0</v>
      </c>
      <c r="M9150" s="11" t="e">
        <f t="shared" si="1410"/>
        <v>#DIV/0!</v>
      </c>
      <c r="N9150" s="11"/>
      <c r="O9150" s="11" t="e">
        <f t="shared" si="1411"/>
        <v>#DIV/0!</v>
      </c>
      <c r="P9150" s="12">
        <f t="shared" si="1412"/>
        <v>0</v>
      </c>
      <c r="Q9150" s="17" t="str">
        <f t="shared" si="1414"/>
        <v>Pas d'écart</v>
      </c>
    </row>
    <row r="9151" spans="1:17" x14ac:dyDescent="0.3">
      <c r="A9151" s="34">
        <f>base!J9151</f>
        <v>0</v>
      </c>
      <c r="B9151" s="34">
        <f>base!V9151</f>
        <v>0</v>
      </c>
      <c r="C9151" s="40" t="s">
        <v>11</v>
      </c>
      <c r="D9151" s="36">
        <f>base!H9151</f>
        <v>0</v>
      </c>
      <c r="E9151" s="44"/>
      <c r="F9151" s="16">
        <f>base!W9151</f>
        <v>0</v>
      </c>
      <c r="G9151" s="11" t="e">
        <f t="shared" si="1406"/>
        <v>#DIV/0!</v>
      </c>
      <c r="H9151" s="11" t="e">
        <f t="shared" si="1407"/>
        <v>#N/A</v>
      </c>
      <c r="I9151" s="11" t="e">
        <f t="shared" si="1408"/>
        <v>#N/A</v>
      </c>
      <c r="J9151" s="12" t="e">
        <f t="shared" si="1409"/>
        <v>#N/A</v>
      </c>
      <c r="K9151" s="17" t="e">
        <f t="shared" si="1413"/>
        <v>#N/A</v>
      </c>
      <c r="L9151" s="16">
        <f>base!X9151</f>
        <v>0</v>
      </c>
      <c r="M9151" s="11" t="e">
        <f t="shared" si="1410"/>
        <v>#DIV/0!</v>
      </c>
      <c r="N9151" s="11"/>
      <c r="O9151" s="11" t="e">
        <f t="shared" si="1411"/>
        <v>#DIV/0!</v>
      </c>
      <c r="P9151" s="12">
        <f t="shared" si="1412"/>
        <v>0</v>
      </c>
      <c r="Q9151" s="17" t="str">
        <f t="shared" si="1414"/>
        <v>Pas d'écart</v>
      </c>
    </row>
    <row r="9152" spans="1:17" x14ac:dyDescent="0.3">
      <c r="A9152" s="34">
        <f>base!J9152</f>
        <v>0</v>
      </c>
      <c r="B9152" s="34">
        <f>base!V9152</f>
        <v>0</v>
      </c>
      <c r="C9152" s="40" t="s">
        <v>11</v>
      </c>
      <c r="D9152" s="36">
        <f>base!H9152</f>
        <v>0</v>
      </c>
      <c r="E9152" s="44"/>
      <c r="F9152" s="16">
        <f>base!W9152</f>
        <v>0</v>
      </c>
      <c r="G9152" s="11" t="e">
        <f t="shared" si="1406"/>
        <v>#DIV/0!</v>
      </c>
      <c r="H9152" s="11" t="e">
        <f t="shared" si="1407"/>
        <v>#N/A</v>
      </c>
      <c r="I9152" s="11" t="e">
        <f t="shared" si="1408"/>
        <v>#N/A</v>
      </c>
      <c r="J9152" s="12" t="e">
        <f t="shared" si="1409"/>
        <v>#N/A</v>
      </c>
      <c r="K9152" s="17" t="e">
        <f t="shared" si="1413"/>
        <v>#N/A</v>
      </c>
      <c r="L9152" s="16">
        <f>base!X9152</f>
        <v>0</v>
      </c>
      <c r="M9152" s="11" t="e">
        <f t="shared" si="1410"/>
        <v>#DIV/0!</v>
      </c>
      <c r="N9152" s="11"/>
      <c r="O9152" s="11" t="e">
        <f t="shared" si="1411"/>
        <v>#DIV/0!</v>
      </c>
      <c r="P9152" s="12">
        <f t="shared" si="1412"/>
        <v>0</v>
      </c>
      <c r="Q9152" s="17" t="str">
        <f t="shared" si="1414"/>
        <v>Pas d'écart</v>
      </c>
    </row>
    <row r="9153" spans="1:17" x14ac:dyDescent="0.3">
      <c r="A9153" s="34">
        <f>base!J9153</f>
        <v>0</v>
      </c>
      <c r="B9153" s="34">
        <f>base!V9153</f>
        <v>0</v>
      </c>
      <c r="C9153" s="40" t="s">
        <v>11</v>
      </c>
      <c r="D9153" s="36">
        <f>base!H9153</f>
        <v>0</v>
      </c>
      <c r="E9153" s="44"/>
      <c r="F9153" s="16">
        <f>base!W9153</f>
        <v>0</v>
      </c>
      <c r="G9153" s="11" t="e">
        <f t="shared" si="1406"/>
        <v>#DIV/0!</v>
      </c>
      <c r="H9153" s="11" t="e">
        <f t="shared" si="1407"/>
        <v>#N/A</v>
      </c>
      <c r="I9153" s="11" t="e">
        <f t="shared" si="1408"/>
        <v>#N/A</v>
      </c>
      <c r="J9153" s="12" t="e">
        <f t="shared" si="1409"/>
        <v>#N/A</v>
      </c>
      <c r="K9153" s="17" t="e">
        <f t="shared" si="1413"/>
        <v>#N/A</v>
      </c>
      <c r="L9153" s="16">
        <f>base!X9153</f>
        <v>0</v>
      </c>
      <c r="M9153" s="11" t="e">
        <f t="shared" si="1410"/>
        <v>#DIV/0!</v>
      </c>
      <c r="N9153" s="11"/>
      <c r="O9153" s="11" t="e">
        <f t="shared" si="1411"/>
        <v>#DIV/0!</v>
      </c>
      <c r="P9153" s="12">
        <f t="shared" si="1412"/>
        <v>0</v>
      </c>
      <c r="Q9153" s="17" t="str">
        <f t="shared" si="1414"/>
        <v>Pas d'écart</v>
      </c>
    </row>
    <row r="9154" spans="1:17" x14ac:dyDescent="0.3">
      <c r="A9154" s="34">
        <f>base!J9154</f>
        <v>0</v>
      </c>
      <c r="B9154" s="34">
        <f>base!V9154</f>
        <v>0</v>
      </c>
      <c r="C9154" s="40" t="s">
        <v>11</v>
      </c>
      <c r="D9154" s="36">
        <f>base!H9154</f>
        <v>0</v>
      </c>
      <c r="E9154" s="44"/>
      <c r="F9154" s="16">
        <f>base!W9154</f>
        <v>0</v>
      </c>
      <c r="G9154" s="11" t="e">
        <f t="shared" ref="G9154:G9217" si="1415">F9154/D9154</f>
        <v>#DIV/0!</v>
      </c>
      <c r="H9154" s="11" t="e">
        <f t="shared" ref="H9154:H9217" si="1416">VLOOKUP(C9154,tout_cout_traction,2,FALSE)*D9154</f>
        <v>#N/A</v>
      </c>
      <c r="I9154" s="11" t="e">
        <f t="shared" ref="I9154:I9217" si="1417">H9154/D9154</f>
        <v>#N/A</v>
      </c>
      <c r="J9154" s="12" t="e">
        <f t="shared" ref="J9154:J9217" si="1418">F9154-H9154</f>
        <v>#N/A</v>
      </c>
      <c r="K9154" s="17" t="e">
        <f t="shared" si="1413"/>
        <v>#N/A</v>
      </c>
      <c r="L9154" s="16">
        <f>base!X9154</f>
        <v>0</v>
      </c>
      <c r="M9154" s="11" t="e">
        <f t="shared" ref="M9154:M9217" si="1419">L9154/D9154</f>
        <v>#DIV/0!</v>
      </c>
      <c r="N9154" s="11"/>
      <c r="O9154" s="11" t="e">
        <f t="shared" ref="O9154:O9217" si="1420">N9154/D9154</f>
        <v>#DIV/0!</v>
      </c>
      <c r="P9154" s="12">
        <f t="shared" ref="P9154:P9217" si="1421">L9154-N9154</f>
        <v>0</v>
      </c>
      <c r="Q9154" s="17" t="str">
        <f t="shared" si="1414"/>
        <v>Pas d'écart</v>
      </c>
    </row>
    <row r="9155" spans="1:17" x14ac:dyDescent="0.3">
      <c r="A9155" s="34">
        <f>base!J9155</f>
        <v>0</v>
      </c>
      <c r="B9155" s="34">
        <f>base!V9155</f>
        <v>0</v>
      </c>
      <c r="C9155" s="40" t="s">
        <v>11</v>
      </c>
      <c r="D9155" s="36">
        <f>base!H9155</f>
        <v>0</v>
      </c>
      <c r="E9155" s="44"/>
      <c r="F9155" s="16">
        <f>base!W9155</f>
        <v>0</v>
      </c>
      <c r="G9155" s="11" t="e">
        <f t="shared" si="1415"/>
        <v>#DIV/0!</v>
      </c>
      <c r="H9155" s="11" t="e">
        <f t="shared" si="1416"/>
        <v>#N/A</v>
      </c>
      <c r="I9155" s="11" t="e">
        <f t="shared" si="1417"/>
        <v>#N/A</v>
      </c>
      <c r="J9155" s="12" t="e">
        <f t="shared" si="1418"/>
        <v>#N/A</v>
      </c>
      <c r="K9155" s="17" t="e">
        <f t="shared" ref="K9155:K9218" si="1422">IF(H9155=F9155,"Pas d'écart",IF(H9155&lt;F9155,"Ecart positif",IF(H9155&gt;F9155,"Ecart négatif")))</f>
        <v>#N/A</v>
      </c>
      <c r="L9155" s="16">
        <f>base!X9155</f>
        <v>0</v>
      </c>
      <c r="M9155" s="11" t="e">
        <f t="shared" si="1419"/>
        <v>#DIV/0!</v>
      </c>
      <c r="N9155" s="11"/>
      <c r="O9155" s="11" t="e">
        <f t="shared" si="1420"/>
        <v>#DIV/0!</v>
      </c>
      <c r="P9155" s="12">
        <f t="shared" si="1421"/>
        <v>0</v>
      </c>
      <c r="Q9155" s="17" t="str">
        <f t="shared" ref="Q9155:Q9218" si="1423">IF(N9155=L9155,"Pas d'écart",IF(N9155&lt;L9155,"Ecart positif",IF(N9155&gt;L9155,"Ecart négatif")))</f>
        <v>Pas d'écart</v>
      </c>
    </row>
    <row r="9156" spans="1:17" x14ac:dyDescent="0.3">
      <c r="A9156" s="34">
        <f>base!J9156</f>
        <v>0</v>
      </c>
      <c r="B9156" s="34">
        <f>base!V9156</f>
        <v>0</v>
      </c>
      <c r="C9156" s="40" t="s">
        <v>11</v>
      </c>
      <c r="D9156" s="36">
        <f>base!H9156</f>
        <v>0</v>
      </c>
      <c r="E9156" s="44"/>
      <c r="F9156" s="16">
        <f>base!W9156</f>
        <v>0</v>
      </c>
      <c r="G9156" s="11" t="e">
        <f t="shared" si="1415"/>
        <v>#DIV/0!</v>
      </c>
      <c r="H9156" s="11" t="e">
        <f t="shared" si="1416"/>
        <v>#N/A</v>
      </c>
      <c r="I9156" s="11" t="e">
        <f t="shared" si="1417"/>
        <v>#N/A</v>
      </c>
      <c r="J9156" s="12" t="e">
        <f t="shared" si="1418"/>
        <v>#N/A</v>
      </c>
      <c r="K9156" s="17" t="e">
        <f t="shared" si="1422"/>
        <v>#N/A</v>
      </c>
      <c r="L9156" s="16">
        <f>base!X9156</f>
        <v>0</v>
      </c>
      <c r="M9156" s="11" t="e">
        <f t="shared" si="1419"/>
        <v>#DIV/0!</v>
      </c>
      <c r="N9156" s="11"/>
      <c r="O9156" s="11" t="e">
        <f t="shared" si="1420"/>
        <v>#DIV/0!</v>
      </c>
      <c r="P9156" s="12">
        <f t="shared" si="1421"/>
        <v>0</v>
      </c>
      <c r="Q9156" s="17" t="str">
        <f t="shared" si="1423"/>
        <v>Pas d'écart</v>
      </c>
    </row>
    <row r="9157" spans="1:17" x14ac:dyDescent="0.3">
      <c r="A9157" s="34">
        <f>base!J9157</f>
        <v>0</v>
      </c>
      <c r="B9157" s="34">
        <f>base!V9157</f>
        <v>0</v>
      </c>
      <c r="C9157" s="40" t="s">
        <v>11</v>
      </c>
      <c r="D9157" s="36">
        <f>base!H9157</f>
        <v>0</v>
      </c>
      <c r="E9157" s="44"/>
      <c r="F9157" s="16">
        <f>base!W9157</f>
        <v>0</v>
      </c>
      <c r="G9157" s="11" t="e">
        <f t="shared" si="1415"/>
        <v>#DIV/0!</v>
      </c>
      <c r="H9157" s="11" t="e">
        <f t="shared" si="1416"/>
        <v>#N/A</v>
      </c>
      <c r="I9157" s="11" t="e">
        <f t="shared" si="1417"/>
        <v>#N/A</v>
      </c>
      <c r="J9157" s="12" t="e">
        <f t="shared" si="1418"/>
        <v>#N/A</v>
      </c>
      <c r="K9157" s="17" t="e">
        <f t="shared" si="1422"/>
        <v>#N/A</v>
      </c>
      <c r="L9157" s="16">
        <f>base!X9157</f>
        <v>0</v>
      </c>
      <c r="M9157" s="11" t="e">
        <f t="shared" si="1419"/>
        <v>#DIV/0!</v>
      </c>
      <c r="N9157" s="11"/>
      <c r="O9157" s="11" t="e">
        <f t="shared" si="1420"/>
        <v>#DIV/0!</v>
      </c>
      <c r="P9157" s="12">
        <f t="shared" si="1421"/>
        <v>0</v>
      </c>
      <c r="Q9157" s="17" t="str">
        <f t="shared" si="1423"/>
        <v>Pas d'écart</v>
      </c>
    </row>
    <row r="9158" spans="1:17" x14ac:dyDescent="0.3">
      <c r="A9158" s="34">
        <f>base!J9158</f>
        <v>0</v>
      </c>
      <c r="B9158" s="34">
        <f>base!V9158</f>
        <v>0</v>
      </c>
      <c r="C9158" s="40" t="s">
        <v>11</v>
      </c>
      <c r="D9158" s="36">
        <f>base!H9158</f>
        <v>0</v>
      </c>
      <c r="E9158" s="44"/>
      <c r="F9158" s="16">
        <f>base!W9158</f>
        <v>0</v>
      </c>
      <c r="G9158" s="11" t="e">
        <f t="shared" si="1415"/>
        <v>#DIV/0!</v>
      </c>
      <c r="H9158" s="11" t="e">
        <f t="shared" si="1416"/>
        <v>#N/A</v>
      </c>
      <c r="I9158" s="11" t="e">
        <f t="shared" si="1417"/>
        <v>#N/A</v>
      </c>
      <c r="J9158" s="12" t="e">
        <f t="shared" si="1418"/>
        <v>#N/A</v>
      </c>
      <c r="K9158" s="17" t="e">
        <f t="shared" si="1422"/>
        <v>#N/A</v>
      </c>
      <c r="L9158" s="16">
        <f>base!X9158</f>
        <v>0</v>
      </c>
      <c r="M9158" s="11" t="e">
        <f t="shared" si="1419"/>
        <v>#DIV/0!</v>
      </c>
      <c r="N9158" s="11"/>
      <c r="O9158" s="11" t="e">
        <f t="shared" si="1420"/>
        <v>#DIV/0!</v>
      </c>
      <c r="P9158" s="12">
        <f t="shared" si="1421"/>
        <v>0</v>
      </c>
      <c r="Q9158" s="17" t="str">
        <f t="shared" si="1423"/>
        <v>Pas d'écart</v>
      </c>
    </row>
    <row r="9159" spans="1:17" x14ac:dyDescent="0.3">
      <c r="A9159" s="34">
        <f>base!J9159</f>
        <v>0</v>
      </c>
      <c r="B9159" s="34">
        <f>base!V9159</f>
        <v>0</v>
      </c>
      <c r="C9159" s="40" t="s">
        <v>11</v>
      </c>
      <c r="D9159" s="36">
        <f>base!H9159</f>
        <v>0</v>
      </c>
      <c r="E9159" s="44"/>
      <c r="F9159" s="16">
        <f>base!W9159</f>
        <v>0</v>
      </c>
      <c r="G9159" s="11" t="e">
        <f t="shared" si="1415"/>
        <v>#DIV/0!</v>
      </c>
      <c r="H9159" s="11" t="e">
        <f t="shared" si="1416"/>
        <v>#N/A</v>
      </c>
      <c r="I9159" s="11" t="e">
        <f t="shared" si="1417"/>
        <v>#N/A</v>
      </c>
      <c r="J9159" s="12" t="e">
        <f t="shared" si="1418"/>
        <v>#N/A</v>
      </c>
      <c r="K9159" s="17" t="e">
        <f t="shared" si="1422"/>
        <v>#N/A</v>
      </c>
      <c r="L9159" s="16">
        <f>base!X9159</f>
        <v>0</v>
      </c>
      <c r="M9159" s="11" t="e">
        <f t="shared" si="1419"/>
        <v>#DIV/0!</v>
      </c>
      <c r="N9159" s="11"/>
      <c r="O9159" s="11" t="e">
        <f t="shared" si="1420"/>
        <v>#DIV/0!</v>
      </c>
      <c r="P9159" s="12">
        <f t="shared" si="1421"/>
        <v>0</v>
      </c>
      <c r="Q9159" s="17" t="str">
        <f t="shared" si="1423"/>
        <v>Pas d'écart</v>
      </c>
    </row>
    <row r="9160" spans="1:17" x14ac:dyDescent="0.3">
      <c r="A9160" s="34">
        <f>base!J9160</f>
        <v>0</v>
      </c>
      <c r="B9160" s="34">
        <f>base!V9160</f>
        <v>0</v>
      </c>
      <c r="C9160" s="40" t="s">
        <v>11</v>
      </c>
      <c r="D9160" s="36">
        <f>base!H9160</f>
        <v>0</v>
      </c>
      <c r="E9160" s="44"/>
      <c r="F9160" s="16">
        <f>base!W9160</f>
        <v>0</v>
      </c>
      <c r="G9160" s="11" t="e">
        <f t="shared" si="1415"/>
        <v>#DIV/0!</v>
      </c>
      <c r="H9160" s="11" t="e">
        <f t="shared" si="1416"/>
        <v>#N/A</v>
      </c>
      <c r="I9160" s="11" t="e">
        <f t="shared" si="1417"/>
        <v>#N/A</v>
      </c>
      <c r="J9160" s="12" t="e">
        <f t="shared" si="1418"/>
        <v>#N/A</v>
      </c>
      <c r="K9160" s="17" t="e">
        <f t="shared" si="1422"/>
        <v>#N/A</v>
      </c>
      <c r="L9160" s="16">
        <f>base!X9160</f>
        <v>0</v>
      </c>
      <c r="M9160" s="11" t="e">
        <f t="shared" si="1419"/>
        <v>#DIV/0!</v>
      </c>
      <c r="N9160" s="11"/>
      <c r="O9160" s="11" t="e">
        <f t="shared" si="1420"/>
        <v>#DIV/0!</v>
      </c>
      <c r="P9160" s="12">
        <f t="shared" si="1421"/>
        <v>0</v>
      </c>
      <c r="Q9160" s="17" t="str">
        <f t="shared" si="1423"/>
        <v>Pas d'écart</v>
      </c>
    </row>
    <row r="9161" spans="1:17" x14ac:dyDescent="0.3">
      <c r="A9161" s="34">
        <f>base!J9161</f>
        <v>0</v>
      </c>
      <c r="B9161" s="34">
        <f>base!V9161</f>
        <v>0</v>
      </c>
      <c r="C9161" s="40" t="s">
        <v>11</v>
      </c>
      <c r="D9161" s="36">
        <f>base!H9161</f>
        <v>0</v>
      </c>
      <c r="E9161" s="44"/>
      <c r="F9161" s="16">
        <f>base!W9161</f>
        <v>0</v>
      </c>
      <c r="G9161" s="11" t="e">
        <f t="shared" si="1415"/>
        <v>#DIV/0!</v>
      </c>
      <c r="H9161" s="11" t="e">
        <f t="shared" si="1416"/>
        <v>#N/A</v>
      </c>
      <c r="I9161" s="11" t="e">
        <f t="shared" si="1417"/>
        <v>#N/A</v>
      </c>
      <c r="J9161" s="12" t="e">
        <f t="shared" si="1418"/>
        <v>#N/A</v>
      </c>
      <c r="K9161" s="17" t="e">
        <f t="shared" si="1422"/>
        <v>#N/A</v>
      </c>
      <c r="L9161" s="16">
        <f>base!X9161</f>
        <v>0</v>
      </c>
      <c r="M9161" s="11" t="e">
        <f t="shared" si="1419"/>
        <v>#DIV/0!</v>
      </c>
      <c r="N9161" s="11"/>
      <c r="O9161" s="11" t="e">
        <f t="shared" si="1420"/>
        <v>#DIV/0!</v>
      </c>
      <c r="P9161" s="12">
        <f t="shared" si="1421"/>
        <v>0</v>
      </c>
      <c r="Q9161" s="17" t="str">
        <f t="shared" si="1423"/>
        <v>Pas d'écart</v>
      </c>
    </row>
    <row r="9162" spans="1:17" x14ac:dyDescent="0.3">
      <c r="A9162" s="34">
        <f>base!J9162</f>
        <v>0</v>
      </c>
      <c r="B9162" s="34">
        <f>base!V9162</f>
        <v>0</v>
      </c>
      <c r="C9162" s="40" t="s">
        <v>11</v>
      </c>
      <c r="D9162" s="36">
        <f>base!H9162</f>
        <v>0</v>
      </c>
      <c r="E9162" s="44"/>
      <c r="F9162" s="16">
        <f>base!W9162</f>
        <v>0</v>
      </c>
      <c r="G9162" s="11" t="e">
        <f t="shared" si="1415"/>
        <v>#DIV/0!</v>
      </c>
      <c r="H9162" s="11" t="e">
        <f t="shared" si="1416"/>
        <v>#N/A</v>
      </c>
      <c r="I9162" s="11" t="e">
        <f t="shared" si="1417"/>
        <v>#N/A</v>
      </c>
      <c r="J9162" s="12" t="e">
        <f t="shared" si="1418"/>
        <v>#N/A</v>
      </c>
      <c r="K9162" s="17" t="e">
        <f t="shared" si="1422"/>
        <v>#N/A</v>
      </c>
      <c r="L9162" s="16">
        <f>base!X9162</f>
        <v>0</v>
      </c>
      <c r="M9162" s="11" t="e">
        <f t="shared" si="1419"/>
        <v>#DIV/0!</v>
      </c>
      <c r="N9162" s="11"/>
      <c r="O9162" s="11" t="e">
        <f t="shared" si="1420"/>
        <v>#DIV/0!</v>
      </c>
      <c r="P9162" s="12">
        <f t="shared" si="1421"/>
        <v>0</v>
      </c>
      <c r="Q9162" s="17" t="str">
        <f t="shared" si="1423"/>
        <v>Pas d'écart</v>
      </c>
    </row>
    <row r="9163" spans="1:17" x14ac:dyDescent="0.3">
      <c r="A9163" s="34">
        <f>base!J9163</f>
        <v>0</v>
      </c>
      <c r="B9163" s="34">
        <f>base!V9163</f>
        <v>0</v>
      </c>
      <c r="C9163" s="40" t="s">
        <v>11</v>
      </c>
      <c r="D9163" s="36">
        <f>base!H9163</f>
        <v>0</v>
      </c>
      <c r="E9163" s="44"/>
      <c r="F9163" s="16">
        <f>base!W9163</f>
        <v>0</v>
      </c>
      <c r="G9163" s="11" t="e">
        <f t="shared" si="1415"/>
        <v>#DIV/0!</v>
      </c>
      <c r="H9163" s="11" t="e">
        <f t="shared" si="1416"/>
        <v>#N/A</v>
      </c>
      <c r="I9163" s="11" t="e">
        <f t="shared" si="1417"/>
        <v>#N/A</v>
      </c>
      <c r="J9163" s="12" t="e">
        <f t="shared" si="1418"/>
        <v>#N/A</v>
      </c>
      <c r="K9163" s="17" t="e">
        <f t="shared" si="1422"/>
        <v>#N/A</v>
      </c>
      <c r="L9163" s="16">
        <f>base!X9163</f>
        <v>0</v>
      </c>
      <c r="M9163" s="11" t="e">
        <f t="shared" si="1419"/>
        <v>#DIV/0!</v>
      </c>
      <c r="N9163" s="11"/>
      <c r="O9163" s="11" t="e">
        <f t="shared" si="1420"/>
        <v>#DIV/0!</v>
      </c>
      <c r="P9163" s="12">
        <f t="shared" si="1421"/>
        <v>0</v>
      </c>
      <c r="Q9163" s="17" t="str">
        <f t="shared" si="1423"/>
        <v>Pas d'écart</v>
      </c>
    </row>
    <row r="9164" spans="1:17" x14ac:dyDescent="0.3">
      <c r="A9164" s="34">
        <f>base!J9164</f>
        <v>0</v>
      </c>
      <c r="B9164" s="34">
        <f>base!V9164</f>
        <v>0</v>
      </c>
      <c r="C9164" s="40" t="s">
        <v>11</v>
      </c>
      <c r="D9164" s="36">
        <f>base!H9164</f>
        <v>0</v>
      </c>
      <c r="E9164" s="44"/>
      <c r="F9164" s="16">
        <f>base!W9164</f>
        <v>0</v>
      </c>
      <c r="G9164" s="11" t="e">
        <f t="shared" si="1415"/>
        <v>#DIV/0!</v>
      </c>
      <c r="H9164" s="11" t="e">
        <f t="shared" si="1416"/>
        <v>#N/A</v>
      </c>
      <c r="I9164" s="11" t="e">
        <f t="shared" si="1417"/>
        <v>#N/A</v>
      </c>
      <c r="J9164" s="12" t="e">
        <f t="shared" si="1418"/>
        <v>#N/A</v>
      </c>
      <c r="K9164" s="17" t="e">
        <f t="shared" si="1422"/>
        <v>#N/A</v>
      </c>
      <c r="L9164" s="16">
        <f>base!X9164</f>
        <v>0</v>
      </c>
      <c r="M9164" s="11" t="e">
        <f t="shared" si="1419"/>
        <v>#DIV/0!</v>
      </c>
      <c r="N9164" s="11"/>
      <c r="O9164" s="11" t="e">
        <f t="shared" si="1420"/>
        <v>#DIV/0!</v>
      </c>
      <c r="P9164" s="12">
        <f t="shared" si="1421"/>
        <v>0</v>
      </c>
      <c r="Q9164" s="17" t="str">
        <f t="shared" si="1423"/>
        <v>Pas d'écart</v>
      </c>
    </row>
    <row r="9165" spans="1:17" x14ac:dyDescent="0.3">
      <c r="A9165" s="34">
        <f>base!J9165</f>
        <v>0</v>
      </c>
      <c r="B9165" s="34">
        <f>base!V9165</f>
        <v>0</v>
      </c>
      <c r="C9165" s="40" t="s">
        <v>11</v>
      </c>
      <c r="D9165" s="36">
        <f>base!H9165</f>
        <v>0</v>
      </c>
      <c r="E9165" s="44"/>
      <c r="F9165" s="16">
        <f>base!W9165</f>
        <v>0</v>
      </c>
      <c r="G9165" s="11" t="e">
        <f t="shared" si="1415"/>
        <v>#DIV/0!</v>
      </c>
      <c r="H9165" s="11" t="e">
        <f t="shared" si="1416"/>
        <v>#N/A</v>
      </c>
      <c r="I9165" s="11" t="e">
        <f t="shared" si="1417"/>
        <v>#N/A</v>
      </c>
      <c r="J9165" s="12" t="e">
        <f t="shared" si="1418"/>
        <v>#N/A</v>
      </c>
      <c r="K9165" s="17" t="e">
        <f t="shared" si="1422"/>
        <v>#N/A</v>
      </c>
      <c r="L9165" s="16">
        <f>base!X9165</f>
        <v>0</v>
      </c>
      <c r="M9165" s="11" t="e">
        <f t="shared" si="1419"/>
        <v>#DIV/0!</v>
      </c>
      <c r="N9165" s="11"/>
      <c r="O9165" s="11" t="e">
        <f t="shared" si="1420"/>
        <v>#DIV/0!</v>
      </c>
      <c r="P9165" s="12">
        <f t="shared" si="1421"/>
        <v>0</v>
      </c>
      <c r="Q9165" s="17" t="str">
        <f t="shared" si="1423"/>
        <v>Pas d'écart</v>
      </c>
    </row>
    <row r="9166" spans="1:17" x14ac:dyDescent="0.3">
      <c r="A9166" s="34">
        <f>base!J9166</f>
        <v>0</v>
      </c>
      <c r="B9166" s="34">
        <f>base!V9166</f>
        <v>0</v>
      </c>
      <c r="C9166" s="40" t="s">
        <v>11</v>
      </c>
      <c r="D9166" s="36">
        <f>base!H9166</f>
        <v>0</v>
      </c>
      <c r="E9166" s="44"/>
      <c r="F9166" s="16">
        <f>base!W9166</f>
        <v>0</v>
      </c>
      <c r="G9166" s="11" t="e">
        <f t="shared" si="1415"/>
        <v>#DIV/0!</v>
      </c>
      <c r="H9166" s="11" t="e">
        <f t="shared" si="1416"/>
        <v>#N/A</v>
      </c>
      <c r="I9166" s="11" t="e">
        <f t="shared" si="1417"/>
        <v>#N/A</v>
      </c>
      <c r="J9166" s="12" t="e">
        <f t="shared" si="1418"/>
        <v>#N/A</v>
      </c>
      <c r="K9166" s="17" t="e">
        <f t="shared" si="1422"/>
        <v>#N/A</v>
      </c>
      <c r="L9166" s="16">
        <f>base!X9166</f>
        <v>0</v>
      </c>
      <c r="M9166" s="11" t="e">
        <f t="shared" si="1419"/>
        <v>#DIV/0!</v>
      </c>
      <c r="N9166" s="11"/>
      <c r="O9166" s="11" t="e">
        <f t="shared" si="1420"/>
        <v>#DIV/0!</v>
      </c>
      <c r="P9166" s="12">
        <f t="shared" si="1421"/>
        <v>0</v>
      </c>
      <c r="Q9166" s="17" t="str">
        <f t="shared" si="1423"/>
        <v>Pas d'écart</v>
      </c>
    </row>
    <row r="9167" spans="1:17" x14ac:dyDescent="0.3">
      <c r="A9167" s="34">
        <f>base!J9167</f>
        <v>0</v>
      </c>
      <c r="B9167" s="34">
        <f>base!V9167</f>
        <v>0</v>
      </c>
      <c r="C9167" s="40" t="s">
        <v>11</v>
      </c>
      <c r="D9167" s="36">
        <f>base!H9167</f>
        <v>0</v>
      </c>
      <c r="E9167" s="44"/>
      <c r="F9167" s="16">
        <f>base!W9167</f>
        <v>0</v>
      </c>
      <c r="G9167" s="11" t="e">
        <f t="shared" si="1415"/>
        <v>#DIV/0!</v>
      </c>
      <c r="H9167" s="11" t="e">
        <f t="shared" si="1416"/>
        <v>#N/A</v>
      </c>
      <c r="I9167" s="11" t="e">
        <f t="shared" si="1417"/>
        <v>#N/A</v>
      </c>
      <c r="J9167" s="12" t="e">
        <f t="shared" si="1418"/>
        <v>#N/A</v>
      </c>
      <c r="K9167" s="17" t="e">
        <f t="shared" si="1422"/>
        <v>#N/A</v>
      </c>
      <c r="L9167" s="16">
        <f>base!X9167</f>
        <v>0</v>
      </c>
      <c r="M9167" s="11" t="e">
        <f t="shared" si="1419"/>
        <v>#DIV/0!</v>
      </c>
      <c r="N9167" s="11"/>
      <c r="O9167" s="11" t="e">
        <f t="shared" si="1420"/>
        <v>#DIV/0!</v>
      </c>
      <c r="P9167" s="12">
        <f t="shared" si="1421"/>
        <v>0</v>
      </c>
      <c r="Q9167" s="17" t="str">
        <f t="shared" si="1423"/>
        <v>Pas d'écart</v>
      </c>
    </row>
    <row r="9168" spans="1:17" x14ac:dyDescent="0.3">
      <c r="A9168" s="34">
        <f>base!J9168</f>
        <v>0</v>
      </c>
      <c r="B9168" s="34">
        <f>base!V9168</f>
        <v>0</v>
      </c>
      <c r="C9168" s="40" t="s">
        <v>11</v>
      </c>
      <c r="D9168" s="36">
        <f>base!H9168</f>
        <v>0</v>
      </c>
      <c r="E9168" s="44"/>
      <c r="F9168" s="16">
        <f>base!W9168</f>
        <v>0</v>
      </c>
      <c r="G9168" s="11" t="e">
        <f t="shared" si="1415"/>
        <v>#DIV/0!</v>
      </c>
      <c r="H9168" s="11" t="e">
        <f t="shared" si="1416"/>
        <v>#N/A</v>
      </c>
      <c r="I9168" s="11" t="e">
        <f t="shared" si="1417"/>
        <v>#N/A</v>
      </c>
      <c r="J9168" s="12" t="e">
        <f t="shared" si="1418"/>
        <v>#N/A</v>
      </c>
      <c r="K9168" s="17" t="e">
        <f t="shared" si="1422"/>
        <v>#N/A</v>
      </c>
      <c r="L9168" s="16">
        <f>base!X9168</f>
        <v>0</v>
      </c>
      <c r="M9168" s="11" t="e">
        <f t="shared" si="1419"/>
        <v>#DIV/0!</v>
      </c>
      <c r="N9168" s="11"/>
      <c r="O9168" s="11" t="e">
        <f t="shared" si="1420"/>
        <v>#DIV/0!</v>
      </c>
      <c r="P9168" s="12">
        <f t="shared" si="1421"/>
        <v>0</v>
      </c>
      <c r="Q9168" s="17" t="str">
        <f t="shared" si="1423"/>
        <v>Pas d'écart</v>
      </c>
    </row>
    <row r="9169" spans="1:17" x14ac:dyDescent="0.3">
      <c r="A9169" s="34">
        <f>base!J9169</f>
        <v>0</v>
      </c>
      <c r="B9169" s="34">
        <f>base!V9169</f>
        <v>0</v>
      </c>
      <c r="C9169" s="40" t="s">
        <v>11</v>
      </c>
      <c r="D9169" s="36">
        <f>base!H9169</f>
        <v>0</v>
      </c>
      <c r="E9169" s="44"/>
      <c r="F9169" s="16">
        <f>base!W9169</f>
        <v>0</v>
      </c>
      <c r="G9169" s="11" t="e">
        <f t="shared" si="1415"/>
        <v>#DIV/0!</v>
      </c>
      <c r="H9169" s="11" t="e">
        <f t="shared" si="1416"/>
        <v>#N/A</v>
      </c>
      <c r="I9169" s="11" t="e">
        <f t="shared" si="1417"/>
        <v>#N/A</v>
      </c>
      <c r="J9169" s="12" t="e">
        <f t="shared" si="1418"/>
        <v>#N/A</v>
      </c>
      <c r="K9169" s="17" t="e">
        <f t="shared" si="1422"/>
        <v>#N/A</v>
      </c>
      <c r="L9169" s="16">
        <f>base!X9169</f>
        <v>0</v>
      </c>
      <c r="M9169" s="11" t="e">
        <f t="shared" si="1419"/>
        <v>#DIV/0!</v>
      </c>
      <c r="N9169" s="11"/>
      <c r="O9169" s="11" t="e">
        <f t="shared" si="1420"/>
        <v>#DIV/0!</v>
      </c>
      <c r="P9169" s="12">
        <f t="shared" si="1421"/>
        <v>0</v>
      </c>
      <c r="Q9169" s="17" t="str">
        <f t="shared" si="1423"/>
        <v>Pas d'écart</v>
      </c>
    </row>
    <row r="9170" spans="1:17" x14ac:dyDescent="0.3">
      <c r="A9170" s="34">
        <f>base!J9170</f>
        <v>0</v>
      </c>
      <c r="B9170" s="34">
        <f>base!V9170</f>
        <v>0</v>
      </c>
      <c r="C9170" s="40" t="s">
        <v>11</v>
      </c>
      <c r="D9170" s="36">
        <f>base!H9170</f>
        <v>0</v>
      </c>
      <c r="E9170" s="44"/>
      <c r="F9170" s="16">
        <f>base!W9170</f>
        <v>0</v>
      </c>
      <c r="G9170" s="11" t="e">
        <f t="shared" si="1415"/>
        <v>#DIV/0!</v>
      </c>
      <c r="H9170" s="11" t="e">
        <f t="shared" si="1416"/>
        <v>#N/A</v>
      </c>
      <c r="I9170" s="11" t="e">
        <f t="shared" si="1417"/>
        <v>#N/A</v>
      </c>
      <c r="J9170" s="12" t="e">
        <f t="shared" si="1418"/>
        <v>#N/A</v>
      </c>
      <c r="K9170" s="17" t="e">
        <f t="shared" si="1422"/>
        <v>#N/A</v>
      </c>
      <c r="L9170" s="16">
        <f>base!X9170</f>
        <v>0</v>
      </c>
      <c r="M9170" s="11" t="e">
        <f t="shared" si="1419"/>
        <v>#DIV/0!</v>
      </c>
      <c r="N9170" s="11"/>
      <c r="O9170" s="11" t="e">
        <f t="shared" si="1420"/>
        <v>#DIV/0!</v>
      </c>
      <c r="P9170" s="12">
        <f t="shared" si="1421"/>
        <v>0</v>
      </c>
      <c r="Q9170" s="17" t="str">
        <f t="shared" si="1423"/>
        <v>Pas d'écart</v>
      </c>
    </row>
    <row r="9171" spans="1:17" x14ac:dyDescent="0.3">
      <c r="A9171" s="34">
        <f>base!J9171</f>
        <v>0</v>
      </c>
      <c r="B9171" s="34">
        <f>base!V9171</f>
        <v>0</v>
      </c>
      <c r="C9171" s="40" t="s">
        <v>11</v>
      </c>
      <c r="D9171" s="36">
        <f>base!H9171</f>
        <v>0</v>
      </c>
      <c r="E9171" s="44"/>
      <c r="F9171" s="16">
        <f>base!W9171</f>
        <v>0</v>
      </c>
      <c r="G9171" s="11" t="e">
        <f t="shared" si="1415"/>
        <v>#DIV/0!</v>
      </c>
      <c r="H9171" s="11" t="e">
        <f t="shared" si="1416"/>
        <v>#N/A</v>
      </c>
      <c r="I9171" s="11" t="e">
        <f t="shared" si="1417"/>
        <v>#N/A</v>
      </c>
      <c r="J9171" s="12" t="e">
        <f t="shared" si="1418"/>
        <v>#N/A</v>
      </c>
      <c r="K9171" s="17" t="e">
        <f t="shared" si="1422"/>
        <v>#N/A</v>
      </c>
      <c r="L9171" s="16">
        <f>base!X9171</f>
        <v>0</v>
      </c>
      <c r="M9171" s="11" t="e">
        <f t="shared" si="1419"/>
        <v>#DIV/0!</v>
      </c>
      <c r="N9171" s="11"/>
      <c r="O9171" s="11" t="e">
        <f t="shared" si="1420"/>
        <v>#DIV/0!</v>
      </c>
      <c r="P9171" s="12">
        <f t="shared" si="1421"/>
        <v>0</v>
      </c>
      <c r="Q9171" s="17" t="str">
        <f t="shared" si="1423"/>
        <v>Pas d'écart</v>
      </c>
    </row>
    <row r="9172" spans="1:17" x14ac:dyDescent="0.3">
      <c r="A9172" s="34">
        <f>base!J9172</f>
        <v>0</v>
      </c>
      <c r="B9172" s="34">
        <f>base!V9172</f>
        <v>0</v>
      </c>
      <c r="C9172" s="40" t="s">
        <v>11</v>
      </c>
      <c r="D9172" s="36">
        <f>base!H9172</f>
        <v>0</v>
      </c>
      <c r="E9172" s="44"/>
      <c r="F9172" s="16">
        <f>base!W9172</f>
        <v>0</v>
      </c>
      <c r="G9172" s="11" t="e">
        <f t="shared" si="1415"/>
        <v>#DIV/0!</v>
      </c>
      <c r="H9172" s="11" t="e">
        <f t="shared" si="1416"/>
        <v>#N/A</v>
      </c>
      <c r="I9172" s="11" t="e">
        <f t="shared" si="1417"/>
        <v>#N/A</v>
      </c>
      <c r="J9172" s="12" t="e">
        <f t="shared" si="1418"/>
        <v>#N/A</v>
      </c>
      <c r="K9172" s="17" t="e">
        <f t="shared" si="1422"/>
        <v>#N/A</v>
      </c>
      <c r="L9172" s="16">
        <f>base!X9172</f>
        <v>0</v>
      </c>
      <c r="M9172" s="11" t="e">
        <f t="shared" si="1419"/>
        <v>#DIV/0!</v>
      </c>
      <c r="N9172" s="11"/>
      <c r="O9172" s="11" t="e">
        <f t="shared" si="1420"/>
        <v>#DIV/0!</v>
      </c>
      <c r="P9172" s="12">
        <f t="shared" si="1421"/>
        <v>0</v>
      </c>
      <c r="Q9172" s="17" t="str">
        <f t="shared" si="1423"/>
        <v>Pas d'écart</v>
      </c>
    </row>
    <row r="9173" spans="1:17" x14ac:dyDescent="0.3">
      <c r="A9173" s="34">
        <f>base!J9173</f>
        <v>0</v>
      </c>
      <c r="B9173" s="34">
        <f>base!V9173</f>
        <v>0</v>
      </c>
      <c r="C9173" s="40" t="s">
        <v>11</v>
      </c>
      <c r="D9173" s="36">
        <f>base!H9173</f>
        <v>0</v>
      </c>
      <c r="E9173" s="44"/>
      <c r="F9173" s="16">
        <f>base!W9173</f>
        <v>0</v>
      </c>
      <c r="G9173" s="11" t="e">
        <f t="shared" si="1415"/>
        <v>#DIV/0!</v>
      </c>
      <c r="H9173" s="11" t="e">
        <f t="shared" si="1416"/>
        <v>#N/A</v>
      </c>
      <c r="I9173" s="11" t="e">
        <f t="shared" si="1417"/>
        <v>#N/A</v>
      </c>
      <c r="J9173" s="12" t="e">
        <f t="shared" si="1418"/>
        <v>#N/A</v>
      </c>
      <c r="K9173" s="17" t="e">
        <f t="shared" si="1422"/>
        <v>#N/A</v>
      </c>
      <c r="L9173" s="16">
        <f>base!X9173</f>
        <v>0</v>
      </c>
      <c r="M9173" s="11" t="e">
        <f t="shared" si="1419"/>
        <v>#DIV/0!</v>
      </c>
      <c r="N9173" s="11"/>
      <c r="O9173" s="11" t="e">
        <f t="shared" si="1420"/>
        <v>#DIV/0!</v>
      </c>
      <c r="P9173" s="12">
        <f t="shared" si="1421"/>
        <v>0</v>
      </c>
      <c r="Q9173" s="17" t="str">
        <f t="shared" si="1423"/>
        <v>Pas d'écart</v>
      </c>
    </row>
    <row r="9174" spans="1:17" x14ac:dyDescent="0.3">
      <c r="A9174" s="34">
        <f>base!J9174</f>
        <v>0</v>
      </c>
      <c r="B9174" s="34">
        <f>base!V9174</f>
        <v>0</v>
      </c>
      <c r="C9174" s="40" t="s">
        <v>11</v>
      </c>
      <c r="D9174" s="36">
        <f>base!H9174</f>
        <v>0</v>
      </c>
      <c r="E9174" s="44"/>
      <c r="F9174" s="16">
        <f>base!W9174</f>
        <v>0</v>
      </c>
      <c r="G9174" s="11" t="e">
        <f t="shared" si="1415"/>
        <v>#DIV/0!</v>
      </c>
      <c r="H9174" s="11" t="e">
        <f t="shared" si="1416"/>
        <v>#N/A</v>
      </c>
      <c r="I9174" s="11" t="e">
        <f t="shared" si="1417"/>
        <v>#N/A</v>
      </c>
      <c r="J9174" s="12" t="e">
        <f t="shared" si="1418"/>
        <v>#N/A</v>
      </c>
      <c r="K9174" s="17" t="e">
        <f t="shared" si="1422"/>
        <v>#N/A</v>
      </c>
      <c r="L9174" s="16">
        <f>base!X9174</f>
        <v>0</v>
      </c>
      <c r="M9174" s="11" t="e">
        <f t="shared" si="1419"/>
        <v>#DIV/0!</v>
      </c>
      <c r="N9174" s="11"/>
      <c r="O9174" s="11" t="e">
        <f t="shared" si="1420"/>
        <v>#DIV/0!</v>
      </c>
      <c r="P9174" s="12">
        <f t="shared" si="1421"/>
        <v>0</v>
      </c>
      <c r="Q9174" s="17" t="str">
        <f t="shared" si="1423"/>
        <v>Pas d'écart</v>
      </c>
    </row>
    <row r="9175" spans="1:17" x14ac:dyDescent="0.3">
      <c r="A9175" s="34">
        <f>base!J9175</f>
        <v>0</v>
      </c>
      <c r="B9175" s="34">
        <f>base!V9175</f>
        <v>0</v>
      </c>
      <c r="C9175" s="40" t="s">
        <v>11</v>
      </c>
      <c r="D9175" s="36">
        <f>base!H9175</f>
        <v>0</v>
      </c>
      <c r="E9175" s="44"/>
      <c r="F9175" s="16">
        <f>base!W9175</f>
        <v>0</v>
      </c>
      <c r="G9175" s="11" t="e">
        <f t="shared" si="1415"/>
        <v>#DIV/0!</v>
      </c>
      <c r="H9175" s="11" t="e">
        <f t="shared" si="1416"/>
        <v>#N/A</v>
      </c>
      <c r="I9175" s="11" t="e">
        <f t="shared" si="1417"/>
        <v>#N/A</v>
      </c>
      <c r="J9175" s="12" t="e">
        <f t="shared" si="1418"/>
        <v>#N/A</v>
      </c>
      <c r="K9175" s="17" t="e">
        <f t="shared" si="1422"/>
        <v>#N/A</v>
      </c>
      <c r="L9175" s="16">
        <f>base!X9175</f>
        <v>0</v>
      </c>
      <c r="M9175" s="11" t="e">
        <f t="shared" si="1419"/>
        <v>#DIV/0!</v>
      </c>
      <c r="N9175" s="11"/>
      <c r="O9175" s="11" t="e">
        <f t="shared" si="1420"/>
        <v>#DIV/0!</v>
      </c>
      <c r="P9175" s="12">
        <f t="shared" si="1421"/>
        <v>0</v>
      </c>
      <c r="Q9175" s="17" t="str">
        <f t="shared" si="1423"/>
        <v>Pas d'écart</v>
      </c>
    </row>
    <row r="9176" spans="1:17" x14ac:dyDescent="0.3">
      <c r="A9176" s="34">
        <f>base!J9176</f>
        <v>0</v>
      </c>
      <c r="B9176" s="34">
        <f>base!V9176</f>
        <v>0</v>
      </c>
      <c r="C9176" s="40" t="s">
        <v>11</v>
      </c>
      <c r="D9176" s="36">
        <f>base!H9176</f>
        <v>0</v>
      </c>
      <c r="E9176" s="44"/>
      <c r="F9176" s="16">
        <f>base!W9176</f>
        <v>0</v>
      </c>
      <c r="G9176" s="11" t="e">
        <f t="shared" si="1415"/>
        <v>#DIV/0!</v>
      </c>
      <c r="H9176" s="11" t="e">
        <f t="shared" si="1416"/>
        <v>#N/A</v>
      </c>
      <c r="I9176" s="11" t="e">
        <f t="shared" si="1417"/>
        <v>#N/A</v>
      </c>
      <c r="J9176" s="12" t="e">
        <f t="shared" si="1418"/>
        <v>#N/A</v>
      </c>
      <c r="K9176" s="17" t="e">
        <f t="shared" si="1422"/>
        <v>#N/A</v>
      </c>
      <c r="L9176" s="16">
        <f>base!X9176</f>
        <v>0</v>
      </c>
      <c r="M9176" s="11" t="e">
        <f t="shared" si="1419"/>
        <v>#DIV/0!</v>
      </c>
      <c r="N9176" s="11"/>
      <c r="O9176" s="11" t="e">
        <f t="shared" si="1420"/>
        <v>#DIV/0!</v>
      </c>
      <c r="P9176" s="12">
        <f t="shared" si="1421"/>
        <v>0</v>
      </c>
      <c r="Q9176" s="17" t="str">
        <f t="shared" si="1423"/>
        <v>Pas d'écart</v>
      </c>
    </row>
    <row r="9177" spans="1:17" x14ac:dyDescent="0.3">
      <c r="A9177" s="34">
        <f>base!J9177</f>
        <v>0</v>
      </c>
      <c r="B9177" s="34">
        <f>base!V9177</f>
        <v>0</v>
      </c>
      <c r="C9177" s="40" t="s">
        <v>11</v>
      </c>
      <c r="D9177" s="36">
        <f>base!H9177</f>
        <v>0</v>
      </c>
      <c r="E9177" s="44"/>
      <c r="F9177" s="16">
        <f>base!W9177</f>
        <v>0</v>
      </c>
      <c r="G9177" s="11" t="e">
        <f t="shared" si="1415"/>
        <v>#DIV/0!</v>
      </c>
      <c r="H9177" s="11" t="e">
        <f t="shared" si="1416"/>
        <v>#N/A</v>
      </c>
      <c r="I9177" s="11" t="e">
        <f t="shared" si="1417"/>
        <v>#N/A</v>
      </c>
      <c r="J9177" s="12" t="e">
        <f t="shared" si="1418"/>
        <v>#N/A</v>
      </c>
      <c r="K9177" s="17" t="e">
        <f t="shared" si="1422"/>
        <v>#N/A</v>
      </c>
      <c r="L9177" s="16">
        <f>base!X9177</f>
        <v>0</v>
      </c>
      <c r="M9177" s="11" t="e">
        <f t="shared" si="1419"/>
        <v>#DIV/0!</v>
      </c>
      <c r="N9177" s="11"/>
      <c r="O9177" s="11" t="e">
        <f t="shared" si="1420"/>
        <v>#DIV/0!</v>
      </c>
      <c r="P9177" s="12">
        <f t="shared" si="1421"/>
        <v>0</v>
      </c>
      <c r="Q9177" s="17" t="str">
        <f t="shared" si="1423"/>
        <v>Pas d'écart</v>
      </c>
    </row>
    <row r="9178" spans="1:17" x14ac:dyDescent="0.3">
      <c r="A9178" s="34">
        <f>base!J9178</f>
        <v>0</v>
      </c>
      <c r="B9178" s="34">
        <f>base!V9178</f>
        <v>0</v>
      </c>
      <c r="C9178" s="40" t="s">
        <v>11</v>
      </c>
      <c r="D9178" s="36">
        <f>base!H9178</f>
        <v>0</v>
      </c>
      <c r="E9178" s="44"/>
      <c r="F9178" s="16">
        <f>base!W9178</f>
        <v>0</v>
      </c>
      <c r="G9178" s="11" t="e">
        <f t="shared" si="1415"/>
        <v>#DIV/0!</v>
      </c>
      <c r="H9178" s="11" t="e">
        <f t="shared" si="1416"/>
        <v>#N/A</v>
      </c>
      <c r="I9178" s="11" t="e">
        <f t="shared" si="1417"/>
        <v>#N/A</v>
      </c>
      <c r="J9178" s="12" t="e">
        <f t="shared" si="1418"/>
        <v>#N/A</v>
      </c>
      <c r="K9178" s="17" t="e">
        <f t="shared" si="1422"/>
        <v>#N/A</v>
      </c>
      <c r="L9178" s="16">
        <f>base!X9178</f>
        <v>0</v>
      </c>
      <c r="M9178" s="11" t="e">
        <f t="shared" si="1419"/>
        <v>#DIV/0!</v>
      </c>
      <c r="N9178" s="11"/>
      <c r="O9178" s="11" t="e">
        <f t="shared" si="1420"/>
        <v>#DIV/0!</v>
      </c>
      <c r="P9178" s="12">
        <f t="shared" si="1421"/>
        <v>0</v>
      </c>
      <c r="Q9178" s="17" t="str">
        <f t="shared" si="1423"/>
        <v>Pas d'écart</v>
      </c>
    </row>
    <row r="9179" spans="1:17" x14ac:dyDescent="0.3">
      <c r="A9179" s="34">
        <f>base!J9179</f>
        <v>0</v>
      </c>
      <c r="B9179" s="34">
        <f>base!V9179</f>
        <v>0</v>
      </c>
      <c r="C9179" s="40" t="s">
        <v>11</v>
      </c>
      <c r="D9179" s="36">
        <f>base!H9179</f>
        <v>0</v>
      </c>
      <c r="E9179" s="44"/>
      <c r="F9179" s="16">
        <f>base!W9179</f>
        <v>0</v>
      </c>
      <c r="G9179" s="11" t="e">
        <f t="shared" si="1415"/>
        <v>#DIV/0!</v>
      </c>
      <c r="H9179" s="11" t="e">
        <f t="shared" si="1416"/>
        <v>#N/A</v>
      </c>
      <c r="I9179" s="11" t="e">
        <f t="shared" si="1417"/>
        <v>#N/A</v>
      </c>
      <c r="J9179" s="12" t="e">
        <f t="shared" si="1418"/>
        <v>#N/A</v>
      </c>
      <c r="K9179" s="17" t="e">
        <f t="shared" si="1422"/>
        <v>#N/A</v>
      </c>
      <c r="L9179" s="16">
        <f>base!X9179</f>
        <v>0</v>
      </c>
      <c r="M9179" s="11" t="e">
        <f t="shared" si="1419"/>
        <v>#DIV/0!</v>
      </c>
      <c r="N9179" s="11"/>
      <c r="O9179" s="11" t="e">
        <f t="shared" si="1420"/>
        <v>#DIV/0!</v>
      </c>
      <c r="P9179" s="12">
        <f t="shared" si="1421"/>
        <v>0</v>
      </c>
      <c r="Q9179" s="17" t="str">
        <f t="shared" si="1423"/>
        <v>Pas d'écart</v>
      </c>
    </row>
    <row r="9180" spans="1:17" x14ac:dyDescent="0.3">
      <c r="A9180" s="34">
        <f>base!J9180</f>
        <v>0</v>
      </c>
      <c r="B9180" s="34">
        <f>base!V9180</f>
        <v>0</v>
      </c>
      <c r="C9180" s="40" t="s">
        <v>11</v>
      </c>
      <c r="D9180" s="36">
        <f>base!H9180</f>
        <v>0</v>
      </c>
      <c r="E9180" s="44"/>
      <c r="F9180" s="16">
        <f>base!W9180</f>
        <v>0</v>
      </c>
      <c r="G9180" s="11" t="e">
        <f t="shared" si="1415"/>
        <v>#DIV/0!</v>
      </c>
      <c r="H9180" s="11" t="e">
        <f t="shared" si="1416"/>
        <v>#N/A</v>
      </c>
      <c r="I9180" s="11" t="e">
        <f t="shared" si="1417"/>
        <v>#N/A</v>
      </c>
      <c r="J9180" s="12" t="e">
        <f t="shared" si="1418"/>
        <v>#N/A</v>
      </c>
      <c r="K9180" s="17" t="e">
        <f t="shared" si="1422"/>
        <v>#N/A</v>
      </c>
      <c r="L9180" s="16">
        <f>base!X9180</f>
        <v>0</v>
      </c>
      <c r="M9180" s="11" t="e">
        <f t="shared" si="1419"/>
        <v>#DIV/0!</v>
      </c>
      <c r="N9180" s="11"/>
      <c r="O9180" s="11" t="e">
        <f t="shared" si="1420"/>
        <v>#DIV/0!</v>
      </c>
      <c r="P9180" s="12">
        <f t="shared" si="1421"/>
        <v>0</v>
      </c>
      <c r="Q9180" s="17" t="str">
        <f t="shared" si="1423"/>
        <v>Pas d'écart</v>
      </c>
    </row>
    <row r="9181" spans="1:17" x14ac:dyDescent="0.3">
      <c r="A9181" s="34">
        <f>base!J9181</f>
        <v>0</v>
      </c>
      <c r="B9181" s="34">
        <f>base!V9181</f>
        <v>0</v>
      </c>
      <c r="C9181" s="40" t="s">
        <v>11</v>
      </c>
      <c r="D9181" s="36">
        <f>base!H9181</f>
        <v>0</v>
      </c>
      <c r="E9181" s="44"/>
      <c r="F9181" s="16">
        <f>base!W9181</f>
        <v>0</v>
      </c>
      <c r="G9181" s="11" t="e">
        <f t="shared" si="1415"/>
        <v>#DIV/0!</v>
      </c>
      <c r="H9181" s="11" t="e">
        <f t="shared" si="1416"/>
        <v>#N/A</v>
      </c>
      <c r="I9181" s="11" t="e">
        <f t="shared" si="1417"/>
        <v>#N/A</v>
      </c>
      <c r="J9181" s="12" t="e">
        <f t="shared" si="1418"/>
        <v>#N/A</v>
      </c>
      <c r="K9181" s="17" t="e">
        <f t="shared" si="1422"/>
        <v>#N/A</v>
      </c>
      <c r="L9181" s="16">
        <f>base!X9181</f>
        <v>0</v>
      </c>
      <c r="M9181" s="11" t="e">
        <f t="shared" si="1419"/>
        <v>#DIV/0!</v>
      </c>
      <c r="N9181" s="11"/>
      <c r="O9181" s="11" t="e">
        <f t="shared" si="1420"/>
        <v>#DIV/0!</v>
      </c>
      <c r="P9181" s="12">
        <f t="shared" si="1421"/>
        <v>0</v>
      </c>
      <c r="Q9181" s="17" t="str">
        <f t="shared" si="1423"/>
        <v>Pas d'écart</v>
      </c>
    </row>
    <row r="9182" spans="1:17" x14ac:dyDescent="0.3">
      <c r="A9182" s="34">
        <f>base!J9182</f>
        <v>0</v>
      </c>
      <c r="B9182" s="34">
        <f>base!V9182</f>
        <v>0</v>
      </c>
      <c r="C9182" s="40" t="s">
        <v>11</v>
      </c>
      <c r="D9182" s="36">
        <f>base!H9182</f>
        <v>0</v>
      </c>
      <c r="E9182" s="44"/>
      <c r="F9182" s="16">
        <f>base!W9182</f>
        <v>0</v>
      </c>
      <c r="G9182" s="11" t="e">
        <f t="shared" si="1415"/>
        <v>#DIV/0!</v>
      </c>
      <c r="H9182" s="11" t="e">
        <f t="shared" si="1416"/>
        <v>#N/A</v>
      </c>
      <c r="I9182" s="11" t="e">
        <f t="shared" si="1417"/>
        <v>#N/A</v>
      </c>
      <c r="J9182" s="12" t="e">
        <f t="shared" si="1418"/>
        <v>#N/A</v>
      </c>
      <c r="K9182" s="17" t="e">
        <f t="shared" si="1422"/>
        <v>#N/A</v>
      </c>
      <c r="L9182" s="16">
        <f>base!X9182</f>
        <v>0</v>
      </c>
      <c r="M9182" s="11" t="e">
        <f t="shared" si="1419"/>
        <v>#DIV/0!</v>
      </c>
      <c r="N9182" s="11"/>
      <c r="O9182" s="11" t="e">
        <f t="shared" si="1420"/>
        <v>#DIV/0!</v>
      </c>
      <c r="P9182" s="12">
        <f t="shared" si="1421"/>
        <v>0</v>
      </c>
      <c r="Q9182" s="17" t="str">
        <f t="shared" si="1423"/>
        <v>Pas d'écart</v>
      </c>
    </row>
    <row r="9183" spans="1:17" x14ac:dyDescent="0.3">
      <c r="A9183" s="34">
        <f>base!J9183</f>
        <v>0</v>
      </c>
      <c r="B9183" s="34">
        <f>base!V9183</f>
        <v>0</v>
      </c>
      <c r="C9183" s="40" t="s">
        <v>11</v>
      </c>
      <c r="D9183" s="36">
        <f>base!H9183</f>
        <v>0</v>
      </c>
      <c r="E9183" s="44"/>
      <c r="F9183" s="16">
        <f>base!W9183</f>
        <v>0</v>
      </c>
      <c r="G9183" s="11" t="e">
        <f t="shared" si="1415"/>
        <v>#DIV/0!</v>
      </c>
      <c r="H9183" s="11" t="e">
        <f t="shared" si="1416"/>
        <v>#N/A</v>
      </c>
      <c r="I9183" s="11" t="e">
        <f t="shared" si="1417"/>
        <v>#N/A</v>
      </c>
      <c r="J9183" s="12" t="e">
        <f t="shared" si="1418"/>
        <v>#N/A</v>
      </c>
      <c r="K9183" s="17" t="e">
        <f t="shared" si="1422"/>
        <v>#N/A</v>
      </c>
      <c r="L9183" s="16">
        <f>base!X9183</f>
        <v>0</v>
      </c>
      <c r="M9183" s="11" t="e">
        <f t="shared" si="1419"/>
        <v>#DIV/0!</v>
      </c>
      <c r="N9183" s="11"/>
      <c r="O9183" s="11" t="e">
        <f t="shared" si="1420"/>
        <v>#DIV/0!</v>
      </c>
      <c r="P9183" s="12">
        <f t="shared" si="1421"/>
        <v>0</v>
      </c>
      <c r="Q9183" s="17" t="str">
        <f t="shared" si="1423"/>
        <v>Pas d'écart</v>
      </c>
    </row>
    <row r="9184" spans="1:17" x14ac:dyDescent="0.3">
      <c r="A9184" s="34">
        <f>base!J9184</f>
        <v>0</v>
      </c>
      <c r="B9184" s="34">
        <f>base!V9184</f>
        <v>0</v>
      </c>
      <c r="C9184" s="40" t="s">
        <v>11</v>
      </c>
      <c r="D9184" s="36">
        <f>base!H9184</f>
        <v>0</v>
      </c>
      <c r="E9184" s="44"/>
      <c r="F9184" s="16">
        <f>base!W9184</f>
        <v>0</v>
      </c>
      <c r="G9184" s="11" t="e">
        <f t="shared" si="1415"/>
        <v>#DIV/0!</v>
      </c>
      <c r="H9184" s="11" t="e">
        <f t="shared" si="1416"/>
        <v>#N/A</v>
      </c>
      <c r="I9184" s="11" t="e">
        <f t="shared" si="1417"/>
        <v>#N/A</v>
      </c>
      <c r="J9184" s="12" t="e">
        <f t="shared" si="1418"/>
        <v>#N/A</v>
      </c>
      <c r="K9184" s="17" t="e">
        <f t="shared" si="1422"/>
        <v>#N/A</v>
      </c>
      <c r="L9184" s="16">
        <f>base!X9184</f>
        <v>0</v>
      </c>
      <c r="M9184" s="11" t="e">
        <f t="shared" si="1419"/>
        <v>#DIV/0!</v>
      </c>
      <c r="N9184" s="11"/>
      <c r="O9184" s="11" t="e">
        <f t="shared" si="1420"/>
        <v>#DIV/0!</v>
      </c>
      <c r="P9184" s="12">
        <f t="shared" si="1421"/>
        <v>0</v>
      </c>
      <c r="Q9184" s="17" t="str">
        <f t="shared" si="1423"/>
        <v>Pas d'écart</v>
      </c>
    </row>
    <row r="9185" spans="1:17" x14ac:dyDescent="0.3">
      <c r="A9185" s="34">
        <f>base!J9185</f>
        <v>0</v>
      </c>
      <c r="B9185" s="34">
        <f>base!V9185</f>
        <v>0</v>
      </c>
      <c r="C9185" s="40" t="s">
        <v>11</v>
      </c>
      <c r="D9185" s="36">
        <f>base!H9185</f>
        <v>0</v>
      </c>
      <c r="E9185" s="44"/>
      <c r="F9185" s="16">
        <f>base!W9185</f>
        <v>0</v>
      </c>
      <c r="G9185" s="11" t="e">
        <f t="shared" si="1415"/>
        <v>#DIV/0!</v>
      </c>
      <c r="H9185" s="11" t="e">
        <f t="shared" si="1416"/>
        <v>#N/A</v>
      </c>
      <c r="I9185" s="11" t="e">
        <f t="shared" si="1417"/>
        <v>#N/A</v>
      </c>
      <c r="J9185" s="12" t="e">
        <f t="shared" si="1418"/>
        <v>#N/A</v>
      </c>
      <c r="K9185" s="17" t="e">
        <f t="shared" si="1422"/>
        <v>#N/A</v>
      </c>
      <c r="L9185" s="16">
        <f>base!X9185</f>
        <v>0</v>
      </c>
      <c r="M9185" s="11" t="e">
        <f t="shared" si="1419"/>
        <v>#DIV/0!</v>
      </c>
      <c r="N9185" s="11"/>
      <c r="O9185" s="11" t="e">
        <f t="shared" si="1420"/>
        <v>#DIV/0!</v>
      </c>
      <c r="P9185" s="12">
        <f t="shared" si="1421"/>
        <v>0</v>
      </c>
      <c r="Q9185" s="17" t="str">
        <f t="shared" si="1423"/>
        <v>Pas d'écart</v>
      </c>
    </row>
    <row r="9186" spans="1:17" x14ac:dyDescent="0.3">
      <c r="A9186" s="34">
        <f>base!J9186</f>
        <v>0</v>
      </c>
      <c r="B9186" s="34">
        <f>base!V9186</f>
        <v>0</v>
      </c>
      <c r="C9186" s="40" t="s">
        <v>11</v>
      </c>
      <c r="D9186" s="36">
        <f>base!H9186</f>
        <v>0</v>
      </c>
      <c r="E9186" s="44"/>
      <c r="F9186" s="16">
        <f>base!W9186</f>
        <v>0</v>
      </c>
      <c r="G9186" s="11" t="e">
        <f t="shared" si="1415"/>
        <v>#DIV/0!</v>
      </c>
      <c r="H9186" s="11" t="e">
        <f t="shared" si="1416"/>
        <v>#N/A</v>
      </c>
      <c r="I9186" s="11" t="e">
        <f t="shared" si="1417"/>
        <v>#N/A</v>
      </c>
      <c r="J9186" s="12" t="e">
        <f t="shared" si="1418"/>
        <v>#N/A</v>
      </c>
      <c r="K9186" s="17" t="e">
        <f t="shared" si="1422"/>
        <v>#N/A</v>
      </c>
      <c r="L9186" s="16">
        <f>base!X9186</f>
        <v>0</v>
      </c>
      <c r="M9186" s="11" t="e">
        <f t="shared" si="1419"/>
        <v>#DIV/0!</v>
      </c>
      <c r="N9186" s="11"/>
      <c r="O9186" s="11" t="e">
        <f t="shared" si="1420"/>
        <v>#DIV/0!</v>
      </c>
      <c r="P9186" s="12">
        <f t="shared" si="1421"/>
        <v>0</v>
      </c>
      <c r="Q9186" s="17" t="str">
        <f t="shared" si="1423"/>
        <v>Pas d'écart</v>
      </c>
    </row>
    <row r="9187" spans="1:17" x14ac:dyDescent="0.3">
      <c r="A9187" s="34">
        <f>base!J9187</f>
        <v>0</v>
      </c>
      <c r="B9187" s="34">
        <f>base!V9187</f>
        <v>0</v>
      </c>
      <c r="C9187" s="40" t="s">
        <v>11</v>
      </c>
      <c r="D9187" s="36">
        <f>base!H9187</f>
        <v>0</v>
      </c>
      <c r="E9187" s="44"/>
      <c r="F9187" s="16">
        <f>base!W9187</f>
        <v>0</v>
      </c>
      <c r="G9187" s="11" t="e">
        <f t="shared" si="1415"/>
        <v>#DIV/0!</v>
      </c>
      <c r="H9187" s="11" t="e">
        <f t="shared" si="1416"/>
        <v>#N/A</v>
      </c>
      <c r="I9187" s="11" t="e">
        <f t="shared" si="1417"/>
        <v>#N/A</v>
      </c>
      <c r="J9187" s="12" t="e">
        <f t="shared" si="1418"/>
        <v>#N/A</v>
      </c>
      <c r="K9187" s="17" t="e">
        <f t="shared" si="1422"/>
        <v>#N/A</v>
      </c>
      <c r="L9187" s="16">
        <f>base!X9187</f>
        <v>0</v>
      </c>
      <c r="M9187" s="11" t="e">
        <f t="shared" si="1419"/>
        <v>#DIV/0!</v>
      </c>
      <c r="N9187" s="11"/>
      <c r="O9187" s="11" t="e">
        <f t="shared" si="1420"/>
        <v>#DIV/0!</v>
      </c>
      <c r="P9187" s="12">
        <f t="shared" si="1421"/>
        <v>0</v>
      </c>
      <c r="Q9187" s="17" t="str">
        <f t="shared" si="1423"/>
        <v>Pas d'écart</v>
      </c>
    </row>
    <row r="9188" spans="1:17" x14ac:dyDescent="0.3">
      <c r="A9188" s="34">
        <f>base!J9188</f>
        <v>0</v>
      </c>
      <c r="B9188" s="34">
        <f>base!V9188</f>
        <v>0</v>
      </c>
      <c r="C9188" s="40" t="s">
        <v>11</v>
      </c>
      <c r="D9188" s="36">
        <f>base!H9188</f>
        <v>0</v>
      </c>
      <c r="E9188" s="44"/>
      <c r="F9188" s="16">
        <f>base!W9188</f>
        <v>0</v>
      </c>
      <c r="G9188" s="11" t="e">
        <f t="shared" si="1415"/>
        <v>#DIV/0!</v>
      </c>
      <c r="H9188" s="11" t="e">
        <f t="shared" si="1416"/>
        <v>#N/A</v>
      </c>
      <c r="I9188" s="11" t="e">
        <f t="shared" si="1417"/>
        <v>#N/A</v>
      </c>
      <c r="J9188" s="12" t="e">
        <f t="shared" si="1418"/>
        <v>#N/A</v>
      </c>
      <c r="K9188" s="17" t="e">
        <f t="shared" si="1422"/>
        <v>#N/A</v>
      </c>
      <c r="L9188" s="16">
        <f>base!X9188</f>
        <v>0</v>
      </c>
      <c r="M9188" s="11" t="e">
        <f t="shared" si="1419"/>
        <v>#DIV/0!</v>
      </c>
      <c r="N9188" s="11"/>
      <c r="O9188" s="11" t="e">
        <f t="shared" si="1420"/>
        <v>#DIV/0!</v>
      </c>
      <c r="P9188" s="12">
        <f t="shared" si="1421"/>
        <v>0</v>
      </c>
      <c r="Q9188" s="17" t="str">
        <f t="shared" si="1423"/>
        <v>Pas d'écart</v>
      </c>
    </row>
    <row r="9189" spans="1:17" x14ac:dyDescent="0.3">
      <c r="A9189" s="34">
        <f>base!J9189</f>
        <v>0</v>
      </c>
      <c r="B9189" s="34">
        <f>base!V9189</f>
        <v>0</v>
      </c>
      <c r="C9189" s="40" t="s">
        <v>11</v>
      </c>
      <c r="D9189" s="36">
        <f>base!H9189</f>
        <v>0</v>
      </c>
      <c r="E9189" s="44"/>
      <c r="F9189" s="16">
        <f>base!W9189</f>
        <v>0</v>
      </c>
      <c r="G9189" s="11" t="e">
        <f t="shared" si="1415"/>
        <v>#DIV/0!</v>
      </c>
      <c r="H9189" s="11" t="e">
        <f t="shared" si="1416"/>
        <v>#N/A</v>
      </c>
      <c r="I9189" s="11" t="e">
        <f t="shared" si="1417"/>
        <v>#N/A</v>
      </c>
      <c r="J9189" s="12" t="e">
        <f t="shared" si="1418"/>
        <v>#N/A</v>
      </c>
      <c r="K9189" s="17" t="e">
        <f t="shared" si="1422"/>
        <v>#N/A</v>
      </c>
      <c r="L9189" s="16">
        <f>base!X9189</f>
        <v>0</v>
      </c>
      <c r="M9189" s="11" t="e">
        <f t="shared" si="1419"/>
        <v>#DIV/0!</v>
      </c>
      <c r="N9189" s="11"/>
      <c r="O9189" s="11" t="e">
        <f t="shared" si="1420"/>
        <v>#DIV/0!</v>
      </c>
      <c r="P9189" s="12">
        <f t="shared" si="1421"/>
        <v>0</v>
      </c>
      <c r="Q9189" s="17" t="str">
        <f t="shared" si="1423"/>
        <v>Pas d'écart</v>
      </c>
    </row>
    <row r="9190" spans="1:17" x14ac:dyDescent="0.3">
      <c r="A9190" s="34">
        <f>base!J9190</f>
        <v>0</v>
      </c>
      <c r="B9190" s="34">
        <f>base!V9190</f>
        <v>0</v>
      </c>
      <c r="C9190" s="40" t="s">
        <v>11</v>
      </c>
      <c r="D9190" s="36">
        <f>base!H9190</f>
        <v>0</v>
      </c>
      <c r="E9190" s="44"/>
      <c r="F9190" s="16">
        <f>base!W9190</f>
        <v>0</v>
      </c>
      <c r="G9190" s="11" t="e">
        <f t="shared" si="1415"/>
        <v>#DIV/0!</v>
      </c>
      <c r="H9190" s="11" t="e">
        <f t="shared" si="1416"/>
        <v>#N/A</v>
      </c>
      <c r="I9190" s="11" t="e">
        <f t="shared" si="1417"/>
        <v>#N/A</v>
      </c>
      <c r="J9190" s="12" t="e">
        <f t="shared" si="1418"/>
        <v>#N/A</v>
      </c>
      <c r="K9190" s="17" t="e">
        <f t="shared" si="1422"/>
        <v>#N/A</v>
      </c>
      <c r="L9190" s="16">
        <f>base!X9190</f>
        <v>0</v>
      </c>
      <c r="M9190" s="11" t="e">
        <f t="shared" si="1419"/>
        <v>#DIV/0!</v>
      </c>
      <c r="N9190" s="11"/>
      <c r="O9190" s="11" t="e">
        <f t="shared" si="1420"/>
        <v>#DIV/0!</v>
      </c>
      <c r="P9190" s="12">
        <f t="shared" si="1421"/>
        <v>0</v>
      </c>
      <c r="Q9190" s="17" t="str">
        <f t="shared" si="1423"/>
        <v>Pas d'écart</v>
      </c>
    </row>
    <row r="9191" spans="1:17" x14ac:dyDescent="0.3">
      <c r="A9191" s="34">
        <f>base!J9191</f>
        <v>0</v>
      </c>
      <c r="B9191" s="34">
        <f>base!V9191</f>
        <v>0</v>
      </c>
      <c r="C9191" s="40" t="s">
        <v>11</v>
      </c>
      <c r="D9191" s="36">
        <f>base!H9191</f>
        <v>0</v>
      </c>
      <c r="E9191" s="44"/>
      <c r="F9191" s="16">
        <f>base!W9191</f>
        <v>0</v>
      </c>
      <c r="G9191" s="11" t="e">
        <f t="shared" si="1415"/>
        <v>#DIV/0!</v>
      </c>
      <c r="H9191" s="11" t="e">
        <f t="shared" si="1416"/>
        <v>#N/A</v>
      </c>
      <c r="I9191" s="11" t="e">
        <f t="shared" si="1417"/>
        <v>#N/A</v>
      </c>
      <c r="J9191" s="12" t="e">
        <f t="shared" si="1418"/>
        <v>#N/A</v>
      </c>
      <c r="K9191" s="17" t="e">
        <f t="shared" si="1422"/>
        <v>#N/A</v>
      </c>
      <c r="L9191" s="16">
        <f>base!X9191</f>
        <v>0</v>
      </c>
      <c r="M9191" s="11" t="e">
        <f t="shared" si="1419"/>
        <v>#DIV/0!</v>
      </c>
      <c r="N9191" s="11"/>
      <c r="O9191" s="11" t="e">
        <f t="shared" si="1420"/>
        <v>#DIV/0!</v>
      </c>
      <c r="P9191" s="12">
        <f t="shared" si="1421"/>
        <v>0</v>
      </c>
      <c r="Q9191" s="17" t="str">
        <f t="shared" si="1423"/>
        <v>Pas d'écart</v>
      </c>
    </row>
    <row r="9192" spans="1:17" x14ac:dyDescent="0.3">
      <c r="A9192" s="34">
        <f>base!J9192</f>
        <v>0</v>
      </c>
      <c r="B9192" s="34">
        <f>base!V9192</f>
        <v>0</v>
      </c>
      <c r="C9192" s="40" t="s">
        <v>11</v>
      </c>
      <c r="D9192" s="36">
        <f>base!H9192</f>
        <v>0</v>
      </c>
      <c r="E9192" s="44"/>
      <c r="F9192" s="16">
        <f>base!W9192</f>
        <v>0</v>
      </c>
      <c r="G9192" s="11" t="e">
        <f t="shared" si="1415"/>
        <v>#DIV/0!</v>
      </c>
      <c r="H9192" s="11" t="e">
        <f t="shared" si="1416"/>
        <v>#N/A</v>
      </c>
      <c r="I9192" s="11" t="e">
        <f t="shared" si="1417"/>
        <v>#N/A</v>
      </c>
      <c r="J9192" s="12" t="e">
        <f t="shared" si="1418"/>
        <v>#N/A</v>
      </c>
      <c r="K9192" s="17" t="e">
        <f t="shared" si="1422"/>
        <v>#N/A</v>
      </c>
      <c r="L9192" s="16">
        <f>base!X9192</f>
        <v>0</v>
      </c>
      <c r="M9192" s="11" t="e">
        <f t="shared" si="1419"/>
        <v>#DIV/0!</v>
      </c>
      <c r="N9192" s="11"/>
      <c r="O9192" s="11" t="e">
        <f t="shared" si="1420"/>
        <v>#DIV/0!</v>
      </c>
      <c r="P9192" s="12">
        <f t="shared" si="1421"/>
        <v>0</v>
      </c>
      <c r="Q9192" s="17" t="str">
        <f t="shared" si="1423"/>
        <v>Pas d'écart</v>
      </c>
    </row>
    <row r="9193" spans="1:17" x14ac:dyDescent="0.3">
      <c r="A9193" s="34">
        <f>base!J9193</f>
        <v>0</v>
      </c>
      <c r="B9193" s="34">
        <f>base!V9193</f>
        <v>0</v>
      </c>
      <c r="C9193" s="40" t="s">
        <v>11</v>
      </c>
      <c r="D9193" s="36">
        <f>base!H9193</f>
        <v>0</v>
      </c>
      <c r="E9193" s="44"/>
      <c r="F9193" s="16">
        <f>base!W9193</f>
        <v>0</v>
      </c>
      <c r="G9193" s="11" t="e">
        <f t="shared" si="1415"/>
        <v>#DIV/0!</v>
      </c>
      <c r="H9193" s="11" t="e">
        <f t="shared" si="1416"/>
        <v>#N/A</v>
      </c>
      <c r="I9193" s="11" t="e">
        <f t="shared" si="1417"/>
        <v>#N/A</v>
      </c>
      <c r="J9193" s="12" t="e">
        <f t="shared" si="1418"/>
        <v>#N/A</v>
      </c>
      <c r="K9193" s="17" t="e">
        <f t="shared" si="1422"/>
        <v>#N/A</v>
      </c>
      <c r="L9193" s="16">
        <f>base!X9193</f>
        <v>0</v>
      </c>
      <c r="M9193" s="11" t="e">
        <f t="shared" si="1419"/>
        <v>#DIV/0!</v>
      </c>
      <c r="N9193" s="11"/>
      <c r="O9193" s="11" t="e">
        <f t="shared" si="1420"/>
        <v>#DIV/0!</v>
      </c>
      <c r="P9193" s="12">
        <f t="shared" si="1421"/>
        <v>0</v>
      </c>
      <c r="Q9193" s="17" t="str">
        <f t="shared" si="1423"/>
        <v>Pas d'écart</v>
      </c>
    </row>
    <row r="9194" spans="1:17" x14ac:dyDescent="0.3">
      <c r="A9194" s="34">
        <f>base!J9194</f>
        <v>0</v>
      </c>
      <c r="B9194" s="34">
        <f>base!V9194</f>
        <v>0</v>
      </c>
      <c r="C9194" s="40" t="s">
        <v>11</v>
      </c>
      <c r="D9194" s="36">
        <f>base!H9194</f>
        <v>0</v>
      </c>
      <c r="E9194" s="44"/>
      <c r="F9194" s="16">
        <f>base!W9194</f>
        <v>0</v>
      </c>
      <c r="G9194" s="11" t="e">
        <f t="shared" si="1415"/>
        <v>#DIV/0!</v>
      </c>
      <c r="H9194" s="11" t="e">
        <f t="shared" si="1416"/>
        <v>#N/A</v>
      </c>
      <c r="I9194" s="11" t="e">
        <f t="shared" si="1417"/>
        <v>#N/A</v>
      </c>
      <c r="J9194" s="12" t="e">
        <f t="shared" si="1418"/>
        <v>#N/A</v>
      </c>
      <c r="K9194" s="17" t="e">
        <f t="shared" si="1422"/>
        <v>#N/A</v>
      </c>
      <c r="L9194" s="16">
        <f>base!X9194</f>
        <v>0</v>
      </c>
      <c r="M9194" s="11" t="e">
        <f t="shared" si="1419"/>
        <v>#DIV/0!</v>
      </c>
      <c r="N9194" s="11"/>
      <c r="O9194" s="11" t="e">
        <f t="shared" si="1420"/>
        <v>#DIV/0!</v>
      </c>
      <c r="P9194" s="12">
        <f t="shared" si="1421"/>
        <v>0</v>
      </c>
      <c r="Q9194" s="17" t="str">
        <f t="shared" si="1423"/>
        <v>Pas d'écart</v>
      </c>
    </row>
    <row r="9195" spans="1:17" x14ac:dyDescent="0.3">
      <c r="A9195" s="34">
        <f>base!J9195</f>
        <v>0</v>
      </c>
      <c r="B9195" s="34">
        <f>base!V9195</f>
        <v>0</v>
      </c>
      <c r="C9195" s="40" t="s">
        <v>11</v>
      </c>
      <c r="D9195" s="36">
        <f>base!H9195</f>
        <v>0</v>
      </c>
      <c r="E9195" s="44"/>
      <c r="F9195" s="16">
        <f>base!W9195</f>
        <v>0</v>
      </c>
      <c r="G9195" s="11" t="e">
        <f t="shared" si="1415"/>
        <v>#DIV/0!</v>
      </c>
      <c r="H9195" s="11" t="e">
        <f t="shared" si="1416"/>
        <v>#N/A</v>
      </c>
      <c r="I9195" s="11" t="e">
        <f t="shared" si="1417"/>
        <v>#N/A</v>
      </c>
      <c r="J9195" s="12" t="e">
        <f t="shared" si="1418"/>
        <v>#N/A</v>
      </c>
      <c r="K9195" s="17" t="e">
        <f t="shared" si="1422"/>
        <v>#N/A</v>
      </c>
      <c r="L9195" s="16">
        <f>base!X9195</f>
        <v>0</v>
      </c>
      <c r="M9195" s="11" t="e">
        <f t="shared" si="1419"/>
        <v>#DIV/0!</v>
      </c>
      <c r="N9195" s="11"/>
      <c r="O9195" s="11" t="e">
        <f t="shared" si="1420"/>
        <v>#DIV/0!</v>
      </c>
      <c r="P9195" s="12">
        <f t="shared" si="1421"/>
        <v>0</v>
      </c>
      <c r="Q9195" s="17" t="str">
        <f t="shared" si="1423"/>
        <v>Pas d'écart</v>
      </c>
    </row>
    <row r="9196" spans="1:17" x14ac:dyDescent="0.3">
      <c r="A9196" s="34">
        <f>base!J9196</f>
        <v>0</v>
      </c>
      <c r="B9196" s="34">
        <f>base!V9196</f>
        <v>0</v>
      </c>
      <c r="C9196" s="40" t="s">
        <v>11</v>
      </c>
      <c r="D9196" s="36">
        <f>base!H9196</f>
        <v>0</v>
      </c>
      <c r="E9196" s="44"/>
      <c r="F9196" s="16">
        <f>base!W9196</f>
        <v>0</v>
      </c>
      <c r="G9196" s="11" t="e">
        <f t="shared" si="1415"/>
        <v>#DIV/0!</v>
      </c>
      <c r="H9196" s="11" t="e">
        <f t="shared" si="1416"/>
        <v>#N/A</v>
      </c>
      <c r="I9196" s="11" t="e">
        <f t="shared" si="1417"/>
        <v>#N/A</v>
      </c>
      <c r="J9196" s="12" t="e">
        <f t="shared" si="1418"/>
        <v>#N/A</v>
      </c>
      <c r="K9196" s="17" t="e">
        <f t="shared" si="1422"/>
        <v>#N/A</v>
      </c>
      <c r="L9196" s="16">
        <f>base!X9196</f>
        <v>0</v>
      </c>
      <c r="M9196" s="11" t="e">
        <f t="shared" si="1419"/>
        <v>#DIV/0!</v>
      </c>
      <c r="N9196" s="11"/>
      <c r="O9196" s="11" t="e">
        <f t="shared" si="1420"/>
        <v>#DIV/0!</v>
      </c>
      <c r="P9196" s="12">
        <f t="shared" si="1421"/>
        <v>0</v>
      </c>
      <c r="Q9196" s="17" t="str">
        <f t="shared" si="1423"/>
        <v>Pas d'écart</v>
      </c>
    </row>
    <row r="9197" spans="1:17" x14ac:dyDescent="0.3">
      <c r="A9197" s="34">
        <f>base!J9197</f>
        <v>0</v>
      </c>
      <c r="B9197" s="34">
        <f>base!V9197</f>
        <v>0</v>
      </c>
      <c r="C9197" s="40" t="s">
        <v>11</v>
      </c>
      <c r="D9197" s="36">
        <f>base!H9197</f>
        <v>0</v>
      </c>
      <c r="E9197" s="44"/>
      <c r="F9197" s="16">
        <f>base!W9197</f>
        <v>0</v>
      </c>
      <c r="G9197" s="11" t="e">
        <f t="shared" si="1415"/>
        <v>#DIV/0!</v>
      </c>
      <c r="H9197" s="11" t="e">
        <f t="shared" si="1416"/>
        <v>#N/A</v>
      </c>
      <c r="I9197" s="11" t="e">
        <f t="shared" si="1417"/>
        <v>#N/A</v>
      </c>
      <c r="J9197" s="12" t="e">
        <f t="shared" si="1418"/>
        <v>#N/A</v>
      </c>
      <c r="K9197" s="17" t="e">
        <f t="shared" si="1422"/>
        <v>#N/A</v>
      </c>
      <c r="L9197" s="16">
        <f>base!X9197</f>
        <v>0</v>
      </c>
      <c r="M9197" s="11" t="e">
        <f t="shared" si="1419"/>
        <v>#DIV/0!</v>
      </c>
      <c r="N9197" s="11"/>
      <c r="O9197" s="11" t="e">
        <f t="shared" si="1420"/>
        <v>#DIV/0!</v>
      </c>
      <c r="P9197" s="12">
        <f t="shared" si="1421"/>
        <v>0</v>
      </c>
      <c r="Q9197" s="17" t="str">
        <f t="shared" si="1423"/>
        <v>Pas d'écart</v>
      </c>
    </row>
    <row r="9198" spans="1:17" x14ac:dyDescent="0.3">
      <c r="A9198" s="34">
        <f>base!J9198</f>
        <v>0</v>
      </c>
      <c r="B9198" s="34">
        <f>base!V9198</f>
        <v>0</v>
      </c>
      <c r="C9198" s="40" t="s">
        <v>11</v>
      </c>
      <c r="D9198" s="36">
        <f>base!H9198</f>
        <v>0</v>
      </c>
      <c r="E9198" s="44"/>
      <c r="F9198" s="16">
        <f>base!W9198</f>
        <v>0</v>
      </c>
      <c r="G9198" s="11" t="e">
        <f t="shared" si="1415"/>
        <v>#DIV/0!</v>
      </c>
      <c r="H9198" s="11" t="e">
        <f t="shared" si="1416"/>
        <v>#N/A</v>
      </c>
      <c r="I9198" s="11" t="e">
        <f t="shared" si="1417"/>
        <v>#N/A</v>
      </c>
      <c r="J9198" s="12" t="e">
        <f t="shared" si="1418"/>
        <v>#N/A</v>
      </c>
      <c r="K9198" s="17" t="e">
        <f t="shared" si="1422"/>
        <v>#N/A</v>
      </c>
      <c r="L9198" s="16">
        <f>base!X9198</f>
        <v>0</v>
      </c>
      <c r="M9198" s="11" t="e">
        <f t="shared" si="1419"/>
        <v>#DIV/0!</v>
      </c>
      <c r="N9198" s="11"/>
      <c r="O9198" s="11" t="e">
        <f t="shared" si="1420"/>
        <v>#DIV/0!</v>
      </c>
      <c r="P9198" s="12">
        <f t="shared" si="1421"/>
        <v>0</v>
      </c>
      <c r="Q9198" s="17" t="str">
        <f t="shared" si="1423"/>
        <v>Pas d'écart</v>
      </c>
    </row>
    <row r="9199" spans="1:17" x14ac:dyDescent="0.3">
      <c r="A9199" s="34">
        <f>base!J9199</f>
        <v>0</v>
      </c>
      <c r="B9199" s="34">
        <f>base!V9199</f>
        <v>0</v>
      </c>
      <c r="C9199" s="40" t="s">
        <v>11</v>
      </c>
      <c r="D9199" s="36">
        <f>base!H9199</f>
        <v>0</v>
      </c>
      <c r="E9199" s="44"/>
      <c r="F9199" s="16">
        <f>base!W9199</f>
        <v>0</v>
      </c>
      <c r="G9199" s="11" t="e">
        <f t="shared" si="1415"/>
        <v>#DIV/0!</v>
      </c>
      <c r="H9199" s="11" t="e">
        <f t="shared" si="1416"/>
        <v>#N/A</v>
      </c>
      <c r="I9199" s="11" t="e">
        <f t="shared" si="1417"/>
        <v>#N/A</v>
      </c>
      <c r="J9199" s="12" t="e">
        <f t="shared" si="1418"/>
        <v>#N/A</v>
      </c>
      <c r="K9199" s="17" t="e">
        <f t="shared" si="1422"/>
        <v>#N/A</v>
      </c>
      <c r="L9199" s="16">
        <f>base!X9199</f>
        <v>0</v>
      </c>
      <c r="M9199" s="11" t="e">
        <f t="shared" si="1419"/>
        <v>#DIV/0!</v>
      </c>
      <c r="N9199" s="11"/>
      <c r="O9199" s="11" t="e">
        <f t="shared" si="1420"/>
        <v>#DIV/0!</v>
      </c>
      <c r="P9199" s="12">
        <f t="shared" si="1421"/>
        <v>0</v>
      </c>
      <c r="Q9199" s="17" t="str">
        <f t="shared" si="1423"/>
        <v>Pas d'écart</v>
      </c>
    </row>
    <row r="9200" spans="1:17" x14ac:dyDescent="0.3">
      <c r="A9200" s="34">
        <f>base!J9200</f>
        <v>0</v>
      </c>
      <c r="B9200" s="34">
        <f>base!V9200</f>
        <v>0</v>
      </c>
      <c r="C9200" s="40" t="s">
        <v>11</v>
      </c>
      <c r="D9200" s="36">
        <f>base!H9200</f>
        <v>0</v>
      </c>
      <c r="E9200" s="44"/>
      <c r="F9200" s="16">
        <f>base!W9200</f>
        <v>0</v>
      </c>
      <c r="G9200" s="11" t="e">
        <f t="shared" si="1415"/>
        <v>#DIV/0!</v>
      </c>
      <c r="H9200" s="11" t="e">
        <f t="shared" si="1416"/>
        <v>#N/A</v>
      </c>
      <c r="I9200" s="11" t="e">
        <f t="shared" si="1417"/>
        <v>#N/A</v>
      </c>
      <c r="J9200" s="12" t="e">
        <f t="shared" si="1418"/>
        <v>#N/A</v>
      </c>
      <c r="K9200" s="17" t="e">
        <f t="shared" si="1422"/>
        <v>#N/A</v>
      </c>
      <c r="L9200" s="16">
        <f>base!X9200</f>
        <v>0</v>
      </c>
      <c r="M9200" s="11" t="e">
        <f t="shared" si="1419"/>
        <v>#DIV/0!</v>
      </c>
      <c r="N9200" s="11"/>
      <c r="O9200" s="11" t="e">
        <f t="shared" si="1420"/>
        <v>#DIV/0!</v>
      </c>
      <c r="P9200" s="12">
        <f t="shared" si="1421"/>
        <v>0</v>
      </c>
      <c r="Q9200" s="17" t="str">
        <f t="shared" si="1423"/>
        <v>Pas d'écart</v>
      </c>
    </row>
    <row r="9201" spans="1:17" x14ac:dyDescent="0.3">
      <c r="A9201" s="34">
        <f>base!J9201</f>
        <v>0</v>
      </c>
      <c r="B9201" s="34">
        <f>base!V9201</f>
        <v>0</v>
      </c>
      <c r="C9201" s="40" t="s">
        <v>11</v>
      </c>
      <c r="D9201" s="36">
        <f>base!H9201</f>
        <v>0</v>
      </c>
      <c r="E9201" s="44"/>
      <c r="F9201" s="16">
        <f>base!W9201</f>
        <v>0</v>
      </c>
      <c r="G9201" s="11" t="e">
        <f t="shared" si="1415"/>
        <v>#DIV/0!</v>
      </c>
      <c r="H9201" s="11" t="e">
        <f t="shared" si="1416"/>
        <v>#N/A</v>
      </c>
      <c r="I9201" s="11" t="e">
        <f t="shared" si="1417"/>
        <v>#N/A</v>
      </c>
      <c r="J9201" s="12" t="e">
        <f t="shared" si="1418"/>
        <v>#N/A</v>
      </c>
      <c r="K9201" s="17" t="e">
        <f t="shared" si="1422"/>
        <v>#N/A</v>
      </c>
      <c r="L9201" s="16">
        <f>base!X9201</f>
        <v>0</v>
      </c>
      <c r="M9201" s="11" t="e">
        <f t="shared" si="1419"/>
        <v>#DIV/0!</v>
      </c>
      <c r="N9201" s="11"/>
      <c r="O9201" s="11" t="e">
        <f t="shared" si="1420"/>
        <v>#DIV/0!</v>
      </c>
      <c r="P9201" s="12">
        <f t="shared" si="1421"/>
        <v>0</v>
      </c>
      <c r="Q9201" s="17" t="str">
        <f t="shared" si="1423"/>
        <v>Pas d'écart</v>
      </c>
    </row>
    <row r="9202" spans="1:17" x14ac:dyDescent="0.3">
      <c r="A9202" s="34">
        <f>base!J9202</f>
        <v>0</v>
      </c>
      <c r="B9202" s="34">
        <f>base!V9202</f>
        <v>0</v>
      </c>
      <c r="C9202" s="40" t="s">
        <v>11</v>
      </c>
      <c r="D9202" s="36">
        <f>base!H9202</f>
        <v>0</v>
      </c>
      <c r="E9202" s="44"/>
      <c r="F9202" s="16">
        <f>base!W9202</f>
        <v>0</v>
      </c>
      <c r="G9202" s="11" t="e">
        <f t="shared" si="1415"/>
        <v>#DIV/0!</v>
      </c>
      <c r="H9202" s="11" t="e">
        <f t="shared" si="1416"/>
        <v>#N/A</v>
      </c>
      <c r="I9202" s="11" t="e">
        <f t="shared" si="1417"/>
        <v>#N/A</v>
      </c>
      <c r="J9202" s="12" t="e">
        <f t="shared" si="1418"/>
        <v>#N/A</v>
      </c>
      <c r="K9202" s="17" t="e">
        <f t="shared" si="1422"/>
        <v>#N/A</v>
      </c>
      <c r="L9202" s="16">
        <f>base!X9202</f>
        <v>0</v>
      </c>
      <c r="M9202" s="11" t="e">
        <f t="shared" si="1419"/>
        <v>#DIV/0!</v>
      </c>
      <c r="N9202" s="11"/>
      <c r="O9202" s="11" t="e">
        <f t="shared" si="1420"/>
        <v>#DIV/0!</v>
      </c>
      <c r="P9202" s="12">
        <f t="shared" si="1421"/>
        <v>0</v>
      </c>
      <c r="Q9202" s="17" t="str">
        <f t="shared" si="1423"/>
        <v>Pas d'écart</v>
      </c>
    </row>
    <row r="9203" spans="1:17" x14ac:dyDescent="0.3">
      <c r="A9203" s="34">
        <f>base!J9203</f>
        <v>0</v>
      </c>
      <c r="B9203" s="34">
        <f>base!V9203</f>
        <v>0</v>
      </c>
      <c r="C9203" s="40" t="s">
        <v>11</v>
      </c>
      <c r="D9203" s="36">
        <f>base!H9203</f>
        <v>0</v>
      </c>
      <c r="E9203" s="44"/>
      <c r="F9203" s="16">
        <f>base!W9203</f>
        <v>0</v>
      </c>
      <c r="G9203" s="11" t="e">
        <f t="shared" si="1415"/>
        <v>#DIV/0!</v>
      </c>
      <c r="H9203" s="11" t="e">
        <f t="shared" si="1416"/>
        <v>#N/A</v>
      </c>
      <c r="I9203" s="11" t="e">
        <f t="shared" si="1417"/>
        <v>#N/A</v>
      </c>
      <c r="J9203" s="12" t="e">
        <f t="shared" si="1418"/>
        <v>#N/A</v>
      </c>
      <c r="K9203" s="17" t="e">
        <f t="shared" si="1422"/>
        <v>#N/A</v>
      </c>
      <c r="L9203" s="16">
        <f>base!X9203</f>
        <v>0</v>
      </c>
      <c r="M9203" s="11" t="e">
        <f t="shared" si="1419"/>
        <v>#DIV/0!</v>
      </c>
      <c r="N9203" s="11"/>
      <c r="O9203" s="11" t="e">
        <f t="shared" si="1420"/>
        <v>#DIV/0!</v>
      </c>
      <c r="P9203" s="12">
        <f t="shared" si="1421"/>
        <v>0</v>
      </c>
      <c r="Q9203" s="17" t="str">
        <f t="shared" si="1423"/>
        <v>Pas d'écart</v>
      </c>
    </row>
    <row r="9204" spans="1:17" x14ac:dyDescent="0.3">
      <c r="A9204" s="34">
        <f>base!J9204</f>
        <v>0</v>
      </c>
      <c r="B9204" s="34">
        <f>base!V9204</f>
        <v>0</v>
      </c>
      <c r="C9204" s="40" t="s">
        <v>11</v>
      </c>
      <c r="D9204" s="36">
        <f>base!H9204</f>
        <v>0</v>
      </c>
      <c r="E9204" s="44"/>
      <c r="F9204" s="16">
        <f>base!W9204</f>
        <v>0</v>
      </c>
      <c r="G9204" s="11" t="e">
        <f t="shared" si="1415"/>
        <v>#DIV/0!</v>
      </c>
      <c r="H9204" s="11" t="e">
        <f t="shared" si="1416"/>
        <v>#N/A</v>
      </c>
      <c r="I9204" s="11" t="e">
        <f t="shared" si="1417"/>
        <v>#N/A</v>
      </c>
      <c r="J9204" s="12" t="e">
        <f t="shared" si="1418"/>
        <v>#N/A</v>
      </c>
      <c r="K9204" s="17" t="e">
        <f t="shared" si="1422"/>
        <v>#N/A</v>
      </c>
      <c r="L9204" s="16">
        <f>base!X9204</f>
        <v>0</v>
      </c>
      <c r="M9204" s="11" t="e">
        <f t="shared" si="1419"/>
        <v>#DIV/0!</v>
      </c>
      <c r="N9204" s="11"/>
      <c r="O9204" s="11" t="e">
        <f t="shared" si="1420"/>
        <v>#DIV/0!</v>
      </c>
      <c r="P9204" s="12">
        <f t="shared" si="1421"/>
        <v>0</v>
      </c>
      <c r="Q9204" s="17" t="str">
        <f t="shared" si="1423"/>
        <v>Pas d'écart</v>
      </c>
    </row>
    <row r="9205" spans="1:17" x14ac:dyDescent="0.3">
      <c r="A9205" s="34">
        <f>base!J9205</f>
        <v>0</v>
      </c>
      <c r="B9205" s="34">
        <f>base!V9205</f>
        <v>0</v>
      </c>
      <c r="C9205" s="40" t="s">
        <v>11</v>
      </c>
      <c r="D9205" s="36">
        <f>base!H9205</f>
        <v>0</v>
      </c>
      <c r="E9205" s="44"/>
      <c r="F9205" s="16">
        <f>base!W9205</f>
        <v>0</v>
      </c>
      <c r="G9205" s="11" t="e">
        <f t="shared" si="1415"/>
        <v>#DIV/0!</v>
      </c>
      <c r="H9205" s="11" t="e">
        <f t="shared" si="1416"/>
        <v>#N/A</v>
      </c>
      <c r="I9205" s="11" t="e">
        <f t="shared" si="1417"/>
        <v>#N/A</v>
      </c>
      <c r="J9205" s="12" t="e">
        <f t="shared" si="1418"/>
        <v>#N/A</v>
      </c>
      <c r="K9205" s="17" t="e">
        <f t="shared" si="1422"/>
        <v>#N/A</v>
      </c>
      <c r="L9205" s="16">
        <f>base!X9205</f>
        <v>0</v>
      </c>
      <c r="M9205" s="11" t="e">
        <f t="shared" si="1419"/>
        <v>#DIV/0!</v>
      </c>
      <c r="N9205" s="11"/>
      <c r="O9205" s="11" t="e">
        <f t="shared" si="1420"/>
        <v>#DIV/0!</v>
      </c>
      <c r="P9205" s="12">
        <f t="shared" si="1421"/>
        <v>0</v>
      </c>
      <c r="Q9205" s="17" t="str">
        <f t="shared" si="1423"/>
        <v>Pas d'écart</v>
      </c>
    </row>
    <row r="9206" spans="1:17" x14ac:dyDescent="0.3">
      <c r="A9206" s="34">
        <f>base!J9206</f>
        <v>0</v>
      </c>
      <c r="B9206" s="34">
        <f>base!V9206</f>
        <v>0</v>
      </c>
      <c r="C9206" s="40" t="s">
        <v>11</v>
      </c>
      <c r="D9206" s="36">
        <f>base!H9206</f>
        <v>0</v>
      </c>
      <c r="E9206" s="44"/>
      <c r="F9206" s="16">
        <f>base!W9206</f>
        <v>0</v>
      </c>
      <c r="G9206" s="11" t="e">
        <f t="shared" si="1415"/>
        <v>#DIV/0!</v>
      </c>
      <c r="H9206" s="11" t="e">
        <f t="shared" si="1416"/>
        <v>#N/A</v>
      </c>
      <c r="I9206" s="11" t="e">
        <f t="shared" si="1417"/>
        <v>#N/A</v>
      </c>
      <c r="J9206" s="12" t="e">
        <f t="shared" si="1418"/>
        <v>#N/A</v>
      </c>
      <c r="K9206" s="17" t="e">
        <f t="shared" si="1422"/>
        <v>#N/A</v>
      </c>
      <c r="L9206" s="16">
        <f>base!X9206</f>
        <v>0</v>
      </c>
      <c r="M9206" s="11" t="e">
        <f t="shared" si="1419"/>
        <v>#DIV/0!</v>
      </c>
      <c r="N9206" s="11"/>
      <c r="O9206" s="11" t="e">
        <f t="shared" si="1420"/>
        <v>#DIV/0!</v>
      </c>
      <c r="P9206" s="12">
        <f t="shared" si="1421"/>
        <v>0</v>
      </c>
      <c r="Q9206" s="17" t="str">
        <f t="shared" si="1423"/>
        <v>Pas d'écart</v>
      </c>
    </row>
    <row r="9207" spans="1:17" x14ac:dyDescent="0.3">
      <c r="A9207" s="34">
        <f>base!J9207</f>
        <v>0</v>
      </c>
      <c r="B9207" s="34">
        <f>base!V9207</f>
        <v>0</v>
      </c>
      <c r="C9207" s="40" t="s">
        <v>11</v>
      </c>
      <c r="D9207" s="36">
        <f>base!H9207</f>
        <v>0</v>
      </c>
      <c r="E9207" s="44"/>
      <c r="F9207" s="16">
        <f>base!W9207</f>
        <v>0</v>
      </c>
      <c r="G9207" s="11" t="e">
        <f t="shared" si="1415"/>
        <v>#DIV/0!</v>
      </c>
      <c r="H9207" s="11" t="e">
        <f t="shared" si="1416"/>
        <v>#N/A</v>
      </c>
      <c r="I9207" s="11" t="e">
        <f t="shared" si="1417"/>
        <v>#N/A</v>
      </c>
      <c r="J9207" s="12" t="e">
        <f t="shared" si="1418"/>
        <v>#N/A</v>
      </c>
      <c r="K9207" s="17" t="e">
        <f t="shared" si="1422"/>
        <v>#N/A</v>
      </c>
      <c r="L9207" s="16">
        <f>base!X9207</f>
        <v>0</v>
      </c>
      <c r="M9207" s="11" t="e">
        <f t="shared" si="1419"/>
        <v>#DIV/0!</v>
      </c>
      <c r="N9207" s="11"/>
      <c r="O9207" s="11" t="e">
        <f t="shared" si="1420"/>
        <v>#DIV/0!</v>
      </c>
      <c r="P9207" s="12">
        <f t="shared" si="1421"/>
        <v>0</v>
      </c>
      <c r="Q9207" s="17" t="str">
        <f t="shared" si="1423"/>
        <v>Pas d'écart</v>
      </c>
    </row>
    <row r="9208" spans="1:17" x14ac:dyDescent="0.3">
      <c r="A9208" s="34">
        <f>base!J9208</f>
        <v>0</v>
      </c>
      <c r="B9208" s="34">
        <f>base!V9208</f>
        <v>0</v>
      </c>
      <c r="C9208" s="40" t="s">
        <v>11</v>
      </c>
      <c r="D9208" s="36">
        <f>base!H9208</f>
        <v>0</v>
      </c>
      <c r="E9208" s="44"/>
      <c r="F9208" s="16">
        <f>base!W9208</f>
        <v>0</v>
      </c>
      <c r="G9208" s="11" t="e">
        <f t="shared" si="1415"/>
        <v>#DIV/0!</v>
      </c>
      <c r="H9208" s="11" t="e">
        <f t="shared" si="1416"/>
        <v>#N/A</v>
      </c>
      <c r="I9208" s="11" t="e">
        <f t="shared" si="1417"/>
        <v>#N/A</v>
      </c>
      <c r="J9208" s="12" t="e">
        <f t="shared" si="1418"/>
        <v>#N/A</v>
      </c>
      <c r="K9208" s="17" t="e">
        <f t="shared" si="1422"/>
        <v>#N/A</v>
      </c>
      <c r="L9208" s="16">
        <f>base!X9208</f>
        <v>0</v>
      </c>
      <c r="M9208" s="11" t="e">
        <f t="shared" si="1419"/>
        <v>#DIV/0!</v>
      </c>
      <c r="N9208" s="11"/>
      <c r="O9208" s="11" t="e">
        <f t="shared" si="1420"/>
        <v>#DIV/0!</v>
      </c>
      <c r="P9208" s="12">
        <f t="shared" si="1421"/>
        <v>0</v>
      </c>
      <c r="Q9208" s="17" t="str">
        <f t="shared" si="1423"/>
        <v>Pas d'écart</v>
      </c>
    </row>
    <row r="9209" spans="1:17" x14ac:dyDescent="0.3">
      <c r="A9209" s="34">
        <f>base!J9209</f>
        <v>0</v>
      </c>
      <c r="B9209" s="34">
        <f>base!V9209</f>
        <v>0</v>
      </c>
      <c r="C9209" s="40" t="s">
        <v>11</v>
      </c>
      <c r="D9209" s="36">
        <f>base!H9209</f>
        <v>0</v>
      </c>
      <c r="E9209" s="44"/>
      <c r="F9209" s="16">
        <f>base!W9209</f>
        <v>0</v>
      </c>
      <c r="G9209" s="11" t="e">
        <f t="shared" si="1415"/>
        <v>#DIV/0!</v>
      </c>
      <c r="H9209" s="11" t="e">
        <f t="shared" si="1416"/>
        <v>#N/A</v>
      </c>
      <c r="I9209" s="11" t="e">
        <f t="shared" si="1417"/>
        <v>#N/A</v>
      </c>
      <c r="J9209" s="12" t="e">
        <f t="shared" si="1418"/>
        <v>#N/A</v>
      </c>
      <c r="K9209" s="17" t="e">
        <f t="shared" si="1422"/>
        <v>#N/A</v>
      </c>
      <c r="L9209" s="16">
        <f>base!X9209</f>
        <v>0</v>
      </c>
      <c r="M9209" s="11" t="e">
        <f t="shared" si="1419"/>
        <v>#DIV/0!</v>
      </c>
      <c r="N9209" s="11"/>
      <c r="O9209" s="11" t="e">
        <f t="shared" si="1420"/>
        <v>#DIV/0!</v>
      </c>
      <c r="P9209" s="12">
        <f t="shared" si="1421"/>
        <v>0</v>
      </c>
      <c r="Q9209" s="17" t="str">
        <f t="shared" si="1423"/>
        <v>Pas d'écart</v>
      </c>
    </row>
    <row r="9210" spans="1:17" x14ac:dyDescent="0.3">
      <c r="A9210" s="34">
        <f>base!J9210</f>
        <v>0</v>
      </c>
      <c r="B9210" s="34">
        <f>base!V9210</f>
        <v>0</v>
      </c>
      <c r="C9210" s="40" t="s">
        <v>11</v>
      </c>
      <c r="D9210" s="36">
        <f>base!H9210</f>
        <v>0</v>
      </c>
      <c r="E9210" s="44"/>
      <c r="F9210" s="16">
        <f>base!W9210</f>
        <v>0</v>
      </c>
      <c r="G9210" s="11" t="e">
        <f t="shared" si="1415"/>
        <v>#DIV/0!</v>
      </c>
      <c r="H9210" s="11" t="e">
        <f t="shared" si="1416"/>
        <v>#N/A</v>
      </c>
      <c r="I9210" s="11" t="e">
        <f t="shared" si="1417"/>
        <v>#N/A</v>
      </c>
      <c r="J9210" s="12" t="e">
        <f t="shared" si="1418"/>
        <v>#N/A</v>
      </c>
      <c r="K9210" s="17" t="e">
        <f t="shared" si="1422"/>
        <v>#N/A</v>
      </c>
      <c r="L9210" s="16">
        <f>base!X9210</f>
        <v>0</v>
      </c>
      <c r="M9210" s="11" t="e">
        <f t="shared" si="1419"/>
        <v>#DIV/0!</v>
      </c>
      <c r="N9210" s="11"/>
      <c r="O9210" s="11" t="e">
        <f t="shared" si="1420"/>
        <v>#DIV/0!</v>
      </c>
      <c r="P9210" s="12">
        <f t="shared" si="1421"/>
        <v>0</v>
      </c>
      <c r="Q9210" s="17" t="str">
        <f t="shared" si="1423"/>
        <v>Pas d'écart</v>
      </c>
    </row>
    <row r="9211" spans="1:17" x14ac:dyDescent="0.3">
      <c r="A9211" s="34">
        <f>base!J9211</f>
        <v>0</v>
      </c>
      <c r="B9211" s="34">
        <f>base!V9211</f>
        <v>0</v>
      </c>
      <c r="C9211" s="40" t="s">
        <v>11</v>
      </c>
      <c r="D9211" s="36">
        <f>base!H9211</f>
        <v>0</v>
      </c>
      <c r="E9211" s="44"/>
      <c r="F9211" s="16">
        <f>base!W9211</f>
        <v>0</v>
      </c>
      <c r="G9211" s="11" t="e">
        <f t="shared" si="1415"/>
        <v>#DIV/0!</v>
      </c>
      <c r="H9211" s="11" t="e">
        <f t="shared" si="1416"/>
        <v>#N/A</v>
      </c>
      <c r="I9211" s="11" t="e">
        <f t="shared" si="1417"/>
        <v>#N/A</v>
      </c>
      <c r="J9211" s="12" t="e">
        <f t="shared" si="1418"/>
        <v>#N/A</v>
      </c>
      <c r="K9211" s="17" t="e">
        <f t="shared" si="1422"/>
        <v>#N/A</v>
      </c>
      <c r="L9211" s="16">
        <f>base!X9211</f>
        <v>0</v>
      </c>
      <c r="M9211" s="11" t="e">
        <f t="shared" si="1419"/>
        <v>#DIV/0!</v>
      </c>
      <c r="N9211" s="11"/>
      <c r="O9211" s="11" t="e">
        <f t="shared" si="1420"/>
        <v>#DIV/0!</v>
      </c>
      <c r="P9211" s="12">
        <f t="shared" si="1421"/>
        <v>0</v>
      </c>
      <c r="Q9211" s="17" t="str">
        <f t="shared" si="1423"/>
        <v>Pas d'écart</v>
      </c>
    </row>
    <row r="9212" spans="1:17" x14ac:dyDescent="0.3">
      <c r="A9212" s="34">
        <f>base!J9212</f>
        <v>0</v>
      </c>
      <c r="B9212" s="34">
        <f>base!V9212</f>
        <v>0</v>
      </c>
      <c r="C9212" s="40" t="s">
        <v>11</v>
      </c>
      <c r="D9212" s="36">
        <f>base!H9212</f>
        <v>0</v>
      </c>
      <c r="E9212" s="44"/>
      <c r="F9212" s="16">
        <f>base!W9212</f>
        <v>0</v>
      </c>
      <c r="G9212" s="11" t="e">
        <f t="shared" si="1415"/>
        <v>#DIV/0!</v>
      </c>
      <c r="H9212" s="11" t="e">
        <f t="shared" si="1416"/>
        <v>#N/A</v>
      </c>
      <c r="I9212" s="11" t="e">
        <f t="shared" si="1417"/>
        <v>#N/A</v>
      </c>
      <c r="J9212" s="12" t="e">
        <f t="shared" si="1418"/>
        <v>#N/A</v>
      </c>
      <c r="K9212" s="17" t="e">
        <f t="shared" si="1422"/>
        <v>#N/A</v>
      </c>
      <c r="L9212" s="16">
        <f>base!X9212</f>
        <v>0</v>
      </c>
      <c r="M9212" s="11" t="e">
        <f t="shared" si="1419"/>
        <v>#DIV/0!</v>
      </c>
      <c r="N9212" s="11"/>
      <c r="O9212" s="11" t="e">
        <f t="shared" si="1420"/>
        <v>#DIV/0!</v>
      </c>
      <c r="P9212" s="12">
        <f t="shared" si="1421"/>
        <v>0</v>
      </c>
      <c r="Q9212" s="17" t="str">
        <f t="shared" si="1423"/>
        <v>Pas d'écart</v>
      </c>
    </row>
    <row r="9213" spans="1:17" x14ac:dyDescent="0.3">
      <c r="A9213" s="34">
        <f>base!J9213</f>
        <v>0</v>
      </c>
      <c r="B9213" s="34">
        <f>base!V9213</f>
        <v>0</v>
      </c>
      <c r="C9213" s="40" t="s">
        <v>11</v>
      </c>
      <c r="D9213" s="36">
        <f>base!H9213</f>
        <v>0</v>
      </c>
      <c r="E9213" s="44"/>
      <c r="F9213" s="16">
        <f>base!W9213</f>
        <v>0</v>
      </c>
      <c r="G9213" s="11" t="e">
        <f t="shared" si="1415"/>
        <v>#DIV/0!</v>
      </c>
      <c r="H9213" s="11" t="e">
        <f t="shared" si="1416"/>
        <v>#N/A</v>
      </c>
      <c r="I9213" s="11" t="e">
        <f t="shared" si="1417"/>
        <v>#N/A</v>
      </c>
      <c r="J9213" s="12" t="e">
        <f t="shared" si="1418"/>
        <v>#N/A</v>
      </c>
      <c r="K9213" s="17" t="e">
        <f t="shared" si="1422"/>
        <v>#N/A</v>
      </c>
      <c r="L9213" s="16">
        <f>base!X9213</f>
        <v>0</v>
      </c>
      <c r="M9213" s="11" t="e">
        <f t="shared" si="1419"/>
        <v>#DIV/0!</v>
      </c>
      <c r="N9213" s="11"/>
      <c r="O9213" s="11" t="e">
        <f t="shared" si="1420"/>
        <v>#DIV/0!</v>
      </c>
      <c r="P9213" s="12">
        <f t="shared" si="1421"/>
        <v>0</v>
      </c>
      <c r="Q9213" s="17" t="str">
        <f t="shared" si="1423"/>
        <v>Pas d'écart</v>
      </c>
    </row>
    <row r="9214" spans="1:17" x14ac:dyDescent="0.3">
      <c r="A9214" s="34">
        <f>base!J9214</f>
        <v>0</v>
      </c>
      <c r="B9214" s="34">
        <f>base!V9214</f>
        <v>0</v>
      </c>
      <c r="C9214" s="40" t="s">
        <v>11</v>
      </c>
      <c r="D9214" s="36">
        <f>base!H9214</f>
        <v>0</v>
      </c>
      <c r="E9214" s="44"/>
      <c r="F9214" s="16">
        <f>base!W9214</f>
        <v>0</v>
      </c>
      <c r="G9214" s="11" t="e">
        <f t="shared" si="1415"/>
        <v>#DIV/0!</v>
      </c>
      <c r="H9214" s="11" t="e">
        <f t="shared" si="1416"/>
        <v>#N/A</v>
      </c>
      <c r="I9214" s="11" t="e">
        <f t="shared" si="1417"/>
        <v>#N/A</v>
      </c>
      <c r="J9214" s="12" t="e">
        <f t="shared" si="1418"/>
        <v>#N/A</v>
      </c>
      <c r="K9214" s="17" t="e">
        <f t="shared" si="1422"/>
        <v>#N/A</v>
      </c>
      <c r="L9214" s="16">
        <f>base!X9214</f>
        <v>0</v>
      </c>
      <c r="M9214" s="11" t="e">
        <f t="shared" si="1419"/>
        <v>#DIV/0!</v>
      </c>
      <c r="N9214" s="11"/>
      <c r="O9214" s="11" t="e">
        <f t="shared" si="1420"/>
        <v>#DIV/0!</v>
      </c>
      <c r="P9214" s="12">
        <f t="shared" si="1421"/>
        <v>0</v>
      </c>
      <c r="Q9214" s="17" t="str">
        <f t="shared" si="1423"/>
        <v>Pas d'écart</v>
      </c>
    </row>
    <row r="9215" spans="1:17" x14ac:dyDescent="0.3">
      <c r="A9215" s="34">
        <f>base!J9215</f>
        <v>0</v>
      </c>
      <c r="B9215" s="34">
        <f>base!V9215</f>
        <v>0</v>
      </c>
      <c r="C9215" s="40" t="s">
        <v>11</v>
      </c>
      <c r="D9215" s="36">
        <f>base!H9215</f>
        <v>0</v>
      </c>
      <c r="E9215" s="44"/>
      <c r="F9215" s="16">
        <f>base!W9215</f>
        <v>0</v>
      </c>
      <c r="G9215" s="11" t="e">
        <f t="shared" si="1415"/>
        <v>#DIV/0!</v>
      </c>
      <c r="H9215" s="11" t="e">
        <f t="shared" si="1416"/>
        <v>#N/A</v>
      </c>
      <c r="I9215" s="11" t="e">
        <f t="shared" si="1417"/>
        <v>#N/A</v>
      </c>
      <c r="J9215" s="12" t="e">
        <f t="shared" si="1418"/>
        <v>#N/A</v>
      </c>
      <c r="K9215" s="17" t="e">
        <f t="shared" si="1422"/>
        <v>#N/A</v>
      </c>
      <c r="L9215" s="16">
        <f>base!X9215</f>
        <v>0</v>
      </c>
      <c r="M9215" s="11" t="e">
        <f t="shared" si="1419"/>
        <v>#DIV/0!</v>
      </c>
      <c r="N9215" s="11"/>
      <c r="O9215" s="11" t="e">
        <f t="shared" si="1420"/>
        <v>#DIV/0!</v>
      </c>
      <c r="P9215" s="12">
        <f t="shared" si="1421"/>
        <v>0</v>
      </c>
      <c r="Q9215" s="17" t="str">
        <f t="shared" si="1423"/>
        <v>Pas d'écart</v>
      </c>
    </row>
    <row r="9216" spans="1:17" x14ac:dyDescent="0.3">
      <c r="A9216" s="34">
        <f>base!J9216</f>
        <v>0</v>
      </c>
      <c r="B9216" s="34">
        <f>base!V9216</f>
        <v>0</v>
      </c>
      <c r="C9216" s="40" t="s">
        <v>11</v>
      </c>
      <c r="D9216" s="36">
        <f>base!H9216</f>
        <v>0</v>
      </c>
      <c r="E9216" s="44"/>
      <c r="F9216" s="16">
        <f>base!W9216</f>
        <v>0</v>
      </c>
      <c r="G9216" s="11" t="e">
        <f t="shared" si="1415"/>
        <v>#DIV/0!</v>
      </c>
      <c r="H9216" s="11" t="e">
        <f t="shared" si="1416"/>
        <v>#N/A</v>
      </c>
      <c r="I9216" s="11" t="e">
        <f t="shared" si="1417"/>
        <v>#N/A</v>
      </c>
      <c r="J9216" s="12" t="e">
        <f t="shared" si="1418"/>
        <v>#N/A</v>
      </c>
      <c r="K9216" s="17" t="e">
        <f t="shared" si="1422"/>
        <v>#N/A</v>
      </c>
      <c r="L9216" s="16">
        <f>base!X9216</f>
        <v>0</v>
      </c>
      <c r="M9216" s="11" t="e">
        <f t="shared" si="1419"/>
        <v>#DIV/0!</v>
      </c>
      <c r="N9216" s="11"/>
      <c r="O9216" s="11" t="e">
        <f t="shared" si="1420"/>
        <v>#DIV/0!</v>
      </c>
      <c r="P9216" s="12">
        <f t="shared" si="1421"/>
        <v>0</v>
      </c>
      <c r="Q9216" s="17" t="str">
        <f t="shared" si="1423"/>
        <v>Pas d'écart</v>
      </c>
    </row>
    <row r="9217" spans="1:17" x14ac:dyDescent="0.3">
      <c r="A9217" s="34">
        <f>base!J9217</f>
        <v>0</v>
      </c>
      <c r="B9217" s="34">
        <f>base!V9217</f>
        <v>0</v>
      </c>
      <c r="C9217" s="40" t="s">
        <v>11</v>
      </c>
      <c r="D9217" s="36">
        <f>base!H9217</f>
        <v>0</v>
      </c>
      <c r="E9217" s="44"/>
      <c r="F9217" s="16">
        <f>base!W9217</f>
        <v>0</v>
      </c>
      <c r="G9217" s="11" t="e">
        <f t="shared" si="1415"/>
        <v>#DIV/0!</v>
      </c>
      <c r="H9217" s="11" t="e">
        <f t="shared" si="1416"/>
        <v>#N/A</v>
      </c>
      <c r="I9217" s="11" t="e">
        <f t="shared" si="1417"/>
        <v>#N/A</v>
      </c>
      <c r="J9217" s="12" t="e">
        <f t="shared" si="1418"/>
        <v>#N/A</v>
      </c>
      <c r="K9217" s="17" t="e">
        <f t="shared" si="1422"/>
        <v>#N/A</v>
      </c>
      <c r="L9217" s="16">
        <f>base!X9217</f>
        <v>0</v>
      </c>
      <c r="M9217" s="11" t="e">
        <f t="shared" si="1419"/>
        <v>#DIV/0!</v>
      </c>
      <c r="N9217" s="11"/>
      <c r="O9217" s="11" t="e">
        <f t="shared" si="1420"/>
        <v>#DIV/0!</v>
      </c>
      <c r="P9217" s="12">
        <f t="shared" si="1421"/>
        <v>0</v>
      </c>
      <c r="Q9217" s="17" t="str">
        <f t="shared" si="1423"/>
        <v>Pas d'écart</v>
      </c>
    </row>
    <row r="9218" spans="1:17" x14ac:dyDescent="0.3">
      <c r="A9218" s="34">
        <f>base!J9218</f>
        <v>0</v>
      </c>
      <c r="B9218" s="34">
        <f>base!V9218</f>
        <v>0</v>
      </c>
      <c r="C9218" s="40" t="s">
        <v>11</v>
      </c>
      <c r="D9218" s="36">
        <f>base!H9218</f>
        <v>0</v>
      </c>
      <c r="E9218" s="44"/>
      <c r="F9218" s="16">
        <f>base!W9218</f>
        <v>0</v>
      </c>
      <c r="G9218" s="11" t="e">
        <f t="shared" ref="G9218:G9281" si="1424">F9218/D9218</f>
        <v>#DIV/0!</v>
      </c>
      <c r="H9218" s="11" t="e">
        <f t="shared" ref="H9218:H9281" si="1425">VLOOKUP(C9218,tout_cout_traction,2,FALSE)*D9218</f>
        <v>#N/A</v>
      </c>
      <c r="I9218" s="11" t="e">
        <f t="shared" ref="I9218:I9281" si="1426">H9218/D9218</f>
        <v>#N/A</v>
      </c>
      <c r="J9218" s="12" t="e">
        <f t="shared" ref="J9218:J9281" si="1427">F9218-H9218</f>
        <v>#N/A</v>
      </c>
      <c r="K9218" s="17" t="e">
        <f t="shared" si="1422"/>
        <v>#N/A</v>
      </c>
      <c r="L9218" s="16">
        <f>base!X9218</f>
        <v>0</v>
      </c>
      <c r="M9218" s="11" t="e">
        <f t="shared" ref="M9218:M9281" si="1428">L9218/D9218</f>
        <v>#DIV/0!</v>
      </c>
      <c r="N9218" s="11"/>
      <c r="O9218" s="11" t="e">
        <f t="shared" ref="O9218:O9281" si="1429">N9218/D9218</f>
        <v>#DIV/0!</v>
      </c>
      <c r="P9218" s="12">
        <f t="shared" ref="P9218:P9281" si="1430">L9218-N9218</f>
        <v>0</v>
      </c>
      <c r="Q9218" s="17" t="str">
        <f t="shared" si="1423"/>
        <v>Pas d'écart</v>
      </c>
    </row>
    <row r="9219" spans="1:17" x14ac:dyDescent="0.3">
      <c r="A9219" s="34">
        <f>base!J9219</f>
        <v>0</v>
      </c>
      <c r="B9219" s="34">
        <f>base!V9219</f>
        <v>0</v>
      </c>
      <c r="C9219" s="40" t="s">
        <v>11</v>
      </c>
      <c r="D9219" s="36">
        <f>base!H9219</f>
        <v>0</v>
      </c>
      <c r="E9219" s="44"/>
      <c r="F9219" s="16">
        <f>base!W9219</f>
        <v>0</v>
      </c>
      <c r="G9219" s="11" t="e">
        <f t="shared" si="1424"/>
        <v>#DIV/0!</v>
      </c>
      <c r="H9219" s="11" t="e">
        <f t="shared" si="1425"/>
        <v>#N/A</v>
      </c>
      <c r="I9219" s="11" t="e">
        <f t="shared" si="1426"/>
        <v>#N/A</v>
      </c>
      <c r="J9219" s="12" t="e">
        <f t="shared" si="1427"/>
        <v>#N/A</v>
      </c>
      <c r="K9219" s="17" t="e">
        <f t="shared" ref="K9219:K9282" si="1431">IF(H9219=F9219,"Pas d'écart",IF(H9219&lt;F9219,"Ecart positif",IF(H9219&gt;F9219,"Ecart négatif")))</f>
        <v>#N/A</v>
      </c>
      <c r="L9219" s="16">
        <f>base!X9219</f>
        <v>0</v>
      </c>
      <c r="M9219" s="11" t="e">
        <f t="shared" si="1428"/>
        <v>#DIV/0!</v>
      </c>
      <c r="N9219" s="11"/>
      <c r="O9219" s="11" t="e">
        <f t="shared" si="1429"/>
        <v>#DIV/0!</v>
      </c>
      <c r="P9219" s="12">
        <f t="shared" si="1430"/>
        <v>0</v>
      </c>
      <c r="Q9219" s="17" t="str">
        <f t="shared" ref="Q9219:Q9282" si="1432">IF(N9219=L9219,"Pas d'écart",IF(N9219&lt;L9219,"Ecart positif",IF(N9219&gt;L9219,"Ecart négatif")))</f>
        <v>Pas d'écart</v>
      </c>
    </row>
    <row r="9220" spans="1:17" x14ac:dyDescent="0.3">
      <c r="A9220" s="34">
        <f>base!J9220</f>
        <v>0</v>
      </c>
      <c r="B9220" s="34">
        <f>base!V9220</f>
        <v>0</v>
      </c>
      <c r="C9220" s="40" t="s">
        <v>11</v>
      </c>
      <c r="D9220" s="36">
        <f>base!H9220</f>
        <v>0</v>
      </c>
      <c r="E9220" s="44"/>
      <c r="F9220" s="16">
        <f>base!W9220</f>
        <v>0</v>
      </c>
      <c r="G9220" s="11" t="e">
        <f t="shared" si="1424"/>
        <v>#DIV/0!</v>
      </c>
      <c r="H9220" s="11" t="e">
        <f t="shared" si="1425"/>
        <v>#N/A</v>
      </c>
      <c r="I9220" s="11" t="e">
        <f t="shared" si="1426"/>
        <v>#N/A</v>
      </c>
      <c r="J9220" s="12" t="e">
        <f t="shared" si="1427"/>
        <v>#N/A</v>
      </c>
      <c r="K9220" s="17" t="e">
        <f t="shared" si="1431"/>
        <v>#N/A</v>
      </c>
      <c r="L9220" s="16">
        <f>base!X9220</f>
        <v>0</v>
      </c>
      <c r="M9220" s="11" t="e">
        <f t="shared" si="1428"/>
        <v>#DIV/0!</v>
      </c>
      <c r="N9220" s="11"/>
      <c r="O9220" s="11" t="e">
        <f t="shared" si="1429"/>
        <v>#DIV/0!</v>
      </c>
      <c r="P9220" s="12">
        <f t="shared" si="1430"/>
        <v>0</v>
      </c>
      <c r="Q9220" s="17" t="str">
        <f t="shared" si="1432"/>
        <v>Pas d'écart</v>
      </c>
    </row>
    <row r="9221" spans="1:17" x14ac:dyDescent="0.3">
      <c r="A9221" s="34">
        <f>base!J9221</f>
        <v>0</v>
      </c>
      <c r="B9221" s="34">
        <f>base!V9221</f>
        <v>0</v>
      </c>
      <c r="C9221" s="40" t="s">
        <v>11</v>
      </c>
      <c r="D9221" s="36">
        <f>base!H9221</f>
        <v>0</v>
      </c>
      <c r="E9221" s="44"/>
      <c r="F9221" s="16">
        <f>base!W9221</f>
        <v>0</v>
      </c>
      <c r="G9221" s="11" t="e">
        <f t="shared" si="1424"/>
        <v>#DIV/0!</v>
      </c>
      <c r="H9221" s="11" t="e">
        <f t="shared" si="1425"/>
        <v>#N/A</v>
      </c>
      <c r="I9221" s="11" t="e">
        <f t="shared" si="1426"/>
        <v>#N/A</v>
      </c>
      <c r="J9221" s="12" t="e">
        <f t="shared" si="1427"/>
        <v>#N/A</v>
      </c>
      <c r="K9221" s="17" t="e">
        <f t="shared" si="1431"/>
        <v>#N/A</v>
      </c>
      <c r="L9221" s="16">
        <f>base!X9221</f>
        <v>0</v>
      </c>
      <c r="M9221" s="11" t="e">
        <f t="shared" si="1428"/>
        <v>#DIV/0!</v>
      </c>
      <c r="N9221" s="11"/>
      <c r="O9221" s="11" t="e">
        <f t="shared" si="1429"/>
        <v>#DIV/0!</v>
      </c>
      <c r="P9221" s="12">
        <f t="shared" si="1430"/>
        <v>0</v>
      </c>
      <c r="Q9221" s="17" t="str">
        <f t="shared" si="1432"/>
        <v>Pas d'écart</v>
      </c>
    </row>
    <row r="9222" spans="1:17" x14ac:dyDescent="0.3">
      <c r="A9222" s="34">
        <f>base!J9222</f>
        <v>0</v>
      </c>
      <c r="B9222" s="34">
        <f>base!V9222</f>
        <v>0</v>
      </c>
      <c r="C9222" s="40" t="s">
        <v>11</v>
      </c>
      <c r="D9222" s="36">
        <f>base!H9222</f>
        <v>0</v>
      </c>
      <c r="E9222" s="44"/>
      <c r="F9222" s="16">
        <f>base!W9222</f>
        <v>0</v>
      </c>
      <c r="G9222" s="11" t="e">
        <f t="shared" si="1424"/>
        <v>#DIV/0!</v>
      </c>
      <c r="H9222" s="11" t="e">
        <f t="shared" si="1425"/>
        <v>#N/A</v>
      </c>
      <c r="I9222" s="11" t="e">
        <f t="shared" si="1426"/>
        <v>#N/A</v>
      </c>
      <c r="J9222" s="12" t="e">
        <f t="shared" si="1427"/>
        <v>#N/A</v>
      </c>
      <c r="K9222" s="17" t="e">
        <f t="shared" si="1431"/>
        <v>#N/A</v>
      </c>
      <c r="L9222" s="16">
        <f>base!X9222</f>
        <v>0</v>
      </c>
      <c r="M9222" s="11" t="e">
        <f t="shared" si="1428"/>
        <v>#DIV/0!</v>
      </c>
      <c r="N9222" s="11"/>
      <c r="O9222" s="11" t="e">
        <f t="shared" si="1429"/>
        <v>#DIV/0!</v>
      </c>
      <c r="P9222" s="12">
        <f t="shared" si="1430"/>
        <v>0</v>
      </c>
      <c r="Q9222" s="17" t="str">
        <f t="shared" si="1432"/>
        <v>Pas d'écart</v>
      </c>
    </row>
    <row r="9223" spans="1:17" x14ac:dyDescent="0.3">
      <c r="A9223" s="34">
        <f>base!J9223</f>
        <v>0</v>
      </c>
      <c r="B9223" s="34">
        <f>base!V9223</f>
        <v>0</v>
      </c>
      <c r="C9223" s="40" t="s">
        <v>11</v>
      </c>
      <c r="D9223" s="36">
        <f>base!H9223</f>
        <v>0</v>
      </c>
      <c r="E9223" s="44"/>
      <c r="F9223" s="16">
        <f>base!W9223</f>
        <v>0</v>
      </c>
      <c r="G9223" s="11" t="e">
        <f t="shared" si="1424"/>
        <v>#DIV/0!</v>
      </c>
      <c r="H9223" s="11" t="e">
        <f t="shared" si="1425"/>
        <v>#N/A</v>
      </c>
      <c r="I9223" s="11" t="e">
        <f t="shared" si="1426"/>
        <v>#N/A</v>
      </c>
      <c r="J9223" s="12" t="e">
        <f t="shared" si="1427"/>
        <v>#N/A</v>
      </c>
      <c r="K9223" s="17" t="e">
        <f t="shared" si="1431"/>
        <v>#N/A</v>
      </c>
      <c r="L9223" s="16">
        <f>base!X9223</f>
        <v>0</v>
      </c>
      <c r="M9223" s="11" t="e">
        <f t="shared" si="1428"/>
        <v>#DIV/0!</v>
      </c>
      <c r="N9223" s="11"/>
      <c r="O9223" s="11" t="e">
        <f t="shared" si="1429"/>
        <v>#DIV/0!</v>
      </c>
      <c r="P9223" s="12">
        <f t="shared" si="1430"/>
        <v>0</v>
      </c>
      <c r="Q9223" s="17" t="str">
        <f t="shared" si="1432"/>
        <v>Pas d'écart</v>
      </c>
    </row>
    <row r="9224" spans="1:17" x14ac:dyDescent="0.3">
      <c r="A9224" s="34">
        <f>base!J9224</f>
        <v>0</v>
      </c>
      <c r="B9224" s="34">
        <f>base!V9224</f>
        <v>0</v>
      </c>
      <c r="C9224" s="40" t="s">
        <v>11</v>
      </c>
      <c r="D9224" s="36">
        <f>base!H9224</f>
        <v>0</v>
      </c>
      <c r="E9224" s="44"/>
      <c r="F9224" s="16">
        <f>base!W9224</f>
        <v>0</v>
      </c>
      <c r="G9224" s="11" t="e">
        <f t="shared" si="1424"/>
        <v>#DIV/0!</v>
      </c>
      <c r="H9224" s="11" t="e">
        <f t="shared" si="1425"/>
        <v>#N/A</v>
      </c>
      <c r="I9224" s="11" t="e">
        <f t="shared" si="1426"/>
        <v>#N/A</v>
      </c>
      <c r="J9224" s="12" t="e">
        <f t="shared" si="1427"/>
        <v>#N/A</v>
      </c>
      <c r="K9224" s="17" t="e">
        <f t="shared" si="1431"/>
        <v>#N/A</v>
      </c>
      <c r="L9224" s="16">
        <f>base!X9224</f>
        <v>0</v>
      </c>
      <c r="M9224" s="11" t="e">
        <f t="shared" si="1428"/>
        <v>#DIV/0!</v>
      </c>
      <c r="N9224" s="11"/>
      <c r="O9224" s="11" t="e">
        <f t="shared" si="1429"/>
        <v>#DIV/0!</v>
      </c>
      <c r="P9224" s="12">
        <f t="shared" si="1430"/>
        <v>0</v>
      </c>
      <c r="Q9224" s="17" t="str">
        <f t="shared" si="1432"/>
        <v>Pas d'écart</v>
      </c>
    </row>
    <row r="9225" spans="1:17" x14ac:dyDescent="0.3">
      <c r="A9225" s="34">
        <f>base!J9225</f>
        <v>0</v>
      </c>
      <c r="B9225" s="34">
        <f>base!V9225</f>
        <v>0</v>
      </c>
      <c r="C9225" s="40" t="s">
        <v>11</v>
      </c>
      <c r="D9225" s="36">
        <f>base!H9225</f>
        <v>0</v>
      </c>
      <c r="E9225" s="44"/>
      <c r="F9225" s="16">
        <f>base!W9225</f>
        <v>0</v>
      </c>
      <c r="G9225" s="11" t="e">
        <f t="shared" si="1424"/>
        <v>#DIV/0!</v>
      </c>
      <c r="H9225" s="11" t="e">
        <f t="shared" si="1425"/>
        <v>#N/A</v>
      </c>
      <c r="I9225" s="11" t="e">
        <f t="shared" si="1426"/>
        <v>#N/A</v>
      </c>
      <c r="J9225" s="12" t="e">
        <f t="shared" si="1427"/>
        <v>#N/A</v>
      </c>
      <c r="K9225" s="17" t="e">
        <f t="shared" si="1431"/>
        <v>#N/A</v>
      </c>
      <c r="L9225" s="16">
        <f>base!X9225</f>
        <v>0</v>
      </c>
      <c r="M9225" s="11" t="e">
        <f t="shared" si="1428"/>
        <v>#DIV/0!</v>
      </c>
      <c r="N9225" s="11"/>
      <c r="O9225" s="11" t="e">
        <f t="shared" si="1429"/>
        <v>#DIV/0!</v>
      </c>
      <c r="P9225" s="12">
        <f t="shared" si="1430"/>
        <v>0</v>
      </c>
      <c r="Q9225" s="17" t="str">
        <f t="shared" si="1432"/>
        <v>Pas d'écart</v>
      </c>
    </row>
    <row r="9226" spans="1:17" x14ac:dyDescent="0.3">
      <c r="A9226" s="34">
        <f>base!J9226</f>
        <v>0</v>
      </c>
      <c r="B9226" s="34">
        <f>base!V9226</f>
        <v>0</v>
      </c>
      <c r="C9226" s="40" t="s">
        <v>11</v>
      </c>
      <c r="D9226" s="36">
        <f>base!H9226</f>
        <v>0</v>
      </c>
      <c r="E9226" s="44"/>
      <c r="F9226" s="16">
        <f>base!W9226</f>
        <v>0</v>
      </c>
      <c r="G9226" s="11" t="e">
        <f t="shared" si="1424"/>
        <v>#DIV/0!</v>
      </c>
      <c r="H9226" s="11" t="e">
        <f t="shared" si="1425"/>
        <v>#N/A</v>
      </c>
      <c r="I9226" s="11" t="e">
        <f t="shared" si="1426"/>
        <v>#N/A</v>
      </c>
      <c r="J9226" s="12" t="e">
        <f t="shared" si="1427"/>
        <v>#N/A</v>
      </c>
      <c r="K9226" s="17" t="e">
        <f t="shared" si="1431"/>
        <v>#N/A</v>
      </c>
      <c r="L9226" s="16">
        <f>base!X9226</f>
        <v>0</v>
      </c>
      <c r="M9226" s="11" t="e">
        <f t="shared" si="1428"/>
        <v>#DIV/0!</v>
      </c>
      <c r="N9226" s="11"/>
      <c r="O9226" s="11" t="e">
        <f t="shared" si="1429"/>
        <v>#DIV/0!</v>
      </c>
      <c r="P9226" s="12">
        <f t="shared" si="1430"/>
        <v>0</v>
      </c>
      <c r="Q9226" s="17" t="str">
        <f t="shared" si="1432"/>
        <v>Pas d'écart</v>
      </c>
    </row>
    <row r="9227" spans="1:17" x14ac:dyDescent="0.3">
      <c r="A9227" s="34">
        <f>base!J9227</f>
        <v>0</v>
      </c>
      <c r="B9227" s="34">
        <f>base!V9227</f>
        <v>0</v>
      </c>
      <c r="C9227" s="40" t="s">
        <v>11</v>
      </c>
      <c r="D9227" s="36">
        <f>base!H9227</f>
        <v>0</v>
      </c>
      <c r="E9227" s="44"/>
      <c r="F9227" s="16">
        <f>base!W9227</f>
        <v>0</v>
      </c>
      <c r="G9227" s="11" t="e">
        <f t="shared" si="1424"/>
        <v>#DIV/0!</v>
      </c>
      <c r="H9227" s="11" t="e">
        <f t="shared" si="1425"/>
        <v>#N/A</v>
      </c>
      <c r="I9227" s="11" t="e">
        <f t="shared" si="1426"/>
        <v>#N/A</v>
      </c>
      <c r="J9227" s="12" t="e">
        <f t="shared" si="1427"/>
        <v>#N/A</v>
      </c>
      <c r="K9227" s="17" t="e">
        <f t="shared" si="1431"/>
        <v>#N/A</v>
      </c>
      <c r="L9227" s="16">
        <f>base!X9227</f>
        <v>0</v>
      </c>
      <c r="M9227" s="11" t="e">
        <f t="shared" si="1428"/>
        <v>#DIV/0!</v>
      </c>
      <c r="N9227" s="11"/>
      <c r="O9227" s="11" t="e">
        <f t="shared" si="1429"/>
        <v>#DIV/0!</v>
      </c>
      <c r="P9227" s="12">
        <f t="shared" si="1430"/>
        <v>0</v>
      </c>
      <c r="Q9227" s="17" t="str">
        <f t="shared" si="1432"/>
        <v>Pas d'écart</v>
      </c>
    </row>
    <row r="9228" spans="1:17" x14ac:dyDescent="0.3">
      <c r="A9228" s="34">
        <f>base!J9228</f>
        <v>0</v>
      </c>
      <c r="B9228" s="34">
        <f>base!V9228</f>
        <v>0</v>
      </c>
      <c r="C9228" s="40" t="s">
        <v>11</v>
      </c>
      <c r="D9228" s="36">
        <f>base!H9228</f>
        <v>0</v>
      </c>
      <c r="E9228" s="44"/>
      <c r="F9228" s="16">
        <f>base!W9228</f>
        <v>0</v>
      </c>
      <c r="G9228" s="11" t="e">
        <f t="shared" si="1424"/>
        <v>#DIV/0!</v>
      </c>
      <c r="H9228" s="11" t="e">
        <f t="shared" si="1425"/>
        <v>#N/A</v>
      </c>
      <c r="I9228" s="11" t="e">
        <f t="shared" si="1426"/>
        <v>#N/A</v>
      </c>
      <c r="J9228" s="12" t="e">
        <f t="shared" si="1427"/>
        <v>#N/A</v>
      </c>
      <c r="K9228" s="17" t="e">
        <f t="shared" si="1431"/>
        <v>#N/A</v>
      </c>
      <c r="L9228" s="16">
        <f>base!X9228</f>
        <v>0</v>
      </c>
      <c r="M9228" s="11" t="e">
        <f t="shared" si="1428"/>
        <v>#DIV/0!</v>
      </c>
      <c r="N9228" s="11"/>
      <c r="O9228" s="11" t="e">
        <f t="shared" si="1429"/>
        <v>#DIV/0!</v>
      </c>
      <c r="P9228" s="12">
        <f t="shared" si="1430"/>
        <v>0</v>
      </c>
      <c r="Q9228" s="17" t="str">
        <f t="shared" si="1432"/>
        <v>Pas d'écart</v>
      </c>
    </row>
    <row r="9229" spans="1:17" x14ac:dyDescent="0.3">
      <c r="A9229" s="34">
        <f>base!J9229</f>
        <v>0</v>
      </c>
      <c r="B9229" s="34">
        <f>base!V9229</f>
        <v>0</v>
      </c>
      <c r="C9229" s="40" t="s">
        <v>11</v>
      </c>
      <c r="D9229" s="36">
        <f>base!H9229</f>
        <v>0</v>
      </c>
      <c r="E9229" s="44"/>
      <c r="F9229" s="16">
        <f>base!W9229</f>
        <v>0</v>
      </c>
      <c r="G9229" s="11" t="e">
        <f t="shared" si="1424"/>
        <v>#DIV/0!</v>
      </c>
      <c r="H9229" s="11" t="e">
        <f t="shared" si="1425"/>
        <v>#N/A</v>
      </c>
      <c r="I9229" s="11" t="e">
        <f t="shared" si="1426"/>
        <v>#N/A</v>
      </c>
      <c r="J9229" s="12" t="e">
        <f t="shared" si="1427"/>
        <v>#N/A</v>
      </c>
      <c r="K9229" s="17" t="e">
        <f t="shared" si="1431"/>
        <v>#N/A</v>
      </c>
      <c r="L9229" s="16">
        <f>base!X9229</f>
        <v>0</v>
      </c>
      <c r="M9229" s="11" t="e">
        <f t="shared" si="1428"/>
        <v>#DIV/0!</v>
      </c>
      <c r="N9229" s="11"/>
      <c r="O9229" s="11" t="e">
        <f t="shared" si="1429"/>
        <v>#DIV/0!</v>
      </c>
      <c r="P9229" s="12">
        <f t="shared" si="1430"/>
        <v>0</v>
      </c>
      <c r="Q9229" s="17" t="str">
        <f t="shared" si="1432"/>
        <v>Pas d'écart</v>
      </c>
    </row>
    <row r="9230" spans="1:17" x14ac:dyDescent="0.3">
      <c r="A9230" s="34">
        <f>base!J9230</f>
        <v>0</v>
      </c>
      <c r="B9230" s="34">
        <f>base!V9230</f>
        <v>0</v>
      </c>
      <c r="C9230" s="40" t="s">
        <v>11</v>
      </c>
      <c r="D9230" s="36">
        <f>base!H9230</f>
        <v>0</v>
      </c>
      <c r="E9230" s="44"/>
      <c r="F9230" s="16">
        <f>base!W9230</f>
        <v>0</v>
      </c>
      <c r="G9230" s="11" t="e">
        <f t="shared" si="1424"/>
        <v>#DIV/0!</v>
      </c>
      <c r="H9230" s="11" t="e">
        <f t="shared" si="1425"/>
        <v>#N/A</v>
      </c>
      <c r="I9230" s="11" t="e">
        <f t="shared" si="1426"/>
        <v>#N/A</v>
      </c>
      <c r="J9230" s="12" t="e">
        <f t="shared" si="1427"/>
        <v>#N/A</v>
      </c>
      <c r="K9230" s="17" t="e">
        <f t="shared" si="1431"/>
        <v>#N/A</v>
      </c>
      <c r="L9230" s="16">
        <f>base!X9230</f>
        <v>0</v>
      </c>
      <c r="M9230" s="11" t="e">
        <f t="shared" si="1428"/>
        <v>#DIV/0!</v>
      </c>
      <c r="N9230" s="11"/>
      <c r="O9230" s="11" t="e">
        <f t="shared" si="1429"/>
        <v>#DIV/0!</v>
      </c>
      <c r="P9230" s="12">
        <f t="shared" si="1430"/>
        <v>0</v>
      </c>
      <c r="Q9230" s="17" t="str">
        <f t="shared" si="1432"/>
        <v>Pas d'écart</v>
      </c>
    </row>
    <row r="9231" spans="1:17" x14ac:dyDescent="0.3">
      <c r="A9231" s="34">
        <f>base!J9231</f>
        <v>0</v>
      </c>
      <c r="B9231" s="34">
        <f>base!V9231</f>
        <v>0</v>
      </c>
      <c r="C9231" s="40" t="s">
        <v>11</v>
      </c>
      <c r="D9231" s="36">
        <f>base!H9231</f>
        <v>0</v>
      </c>
      <c r="E9231" s="44"/>
      <c r="F9231" s="16">
        <f>base!W9231</f>
        <v>0</v>
      </c>
      <c r="G9231" s="11" t="e">
        <f t="shared" si="1424"/>
        <v>#DIV/0!</v>
      </c>
      <c r="H9231" s="11" t="e">
        <f t="shared" si="1425"/>
        <v>#N/A</v>
      </c>
      <c r="I9231" s="11" t="e">
        <f t="shared" si="1426"/>
        <v>#N/A</v>
      </c>
      <c r="J9231" s="12" t="e">
        <f t="shared" si="1427"/>
        <v>#N/A</v>
      </c>
      <c r="K9231" s="17" t="e">
        <f t="shared" si="1431"/>
        <v>#N/A</v>
      </c>
      <c r="L9231" s="16">
        <f>base!X9231</f>
        <v>0</v>
      </c>
      <c r="M9231" s="11" t="e">
        <f t="shared" si="1428"/>
        <v>#DIV/0!</v>
      </c>
      <c r="N9231" s="11"/>
      <c r="O9231" s="11" t="e">
        <f t="shared" si="1429"/>
        <v>#DIV/0!</v>
      </c>
      <c r="P9231" s="12">
        <f t="shared" si="1430"/>
        <v>0</v>
      </c>
      <c r="Q9231" s="17" t="str">
        <f t="shared" si="1432"/>
        <v>Pas d'écart</v>
      </c>
    </row>
    <row r="9232" spans="1:17" x14ac:dyDescent="0.3">
      <c r="A9232" s="34">
        <f>base!J9232</f>
        <v>0</v>
      </c>
      <c r="B9232" s="34">
        <f>base!V9232</f>
        <v>0</v>
      </c>
      <c r="C9232" s="40" t="s">
        <v>11</v>
      </c>
      <c r="D9232" s="36">
        <f>base!H9232</f>
        <v>0</v>
      </c>
      <c r="E9232" s="44"/>
      <c r="F9232" s="16">
        <f>base!W9232</f>
        <v>0</v>
      </c>
      <c r="G9232" s="11" t="e">
        <f t="shared" si="1424"/>
        <v>#DIV/0!</v>
      </c>
      <c r="H9232" s="11" t="e">
        <f t="shared" si="1425"/>
        <v>#N/A</v>
      </c>
      <c r="I9232" s="11" t="e">
        <f t="shared" si="1426"/>
        <v>#N/A</v>
      </c>
      <c r="J9232" s="12" t="e">
        <f t="shared" si="1427"/>
        <v>#N/A</v>
      </c>
      <c r="K9232" s="17" t="e">
        <f t="shared" si="1431"/>
        <v>#N/A</v>
      </c>
      <c r="L9232" s="16">
        <f>base!X9232</f>
        <v>0</v>
      </c>
      <c r="M9232" s="11" t="e">
        <f t="shared" si="1428"/>
        <v>#DIV/0!</v>
      </c>
      <c r="N9232" s="11"/>
      <c r="O9232" s="11" t="e">
        <f t="shared" si="1429"/>
        <v>#DIV/0!</v>
      </c>
      <c r="P9232" s="12">
        <f t="shared" si="1430"/>
        <v>0</v>
      </c>
      <c r="Q9232" s="17" t="str">
        <f t="shared" si="1432"/>
        <v>Pas d'écart</v>
      </c>
    </row>
    <row r="9233" spans="1:17" x14ac:dyDescent="0.3">
      <c r="A9233" s="34">
        <f>base!J9233</f>
        <v>0</v>
      </c>
      <c r="B9233" s="34">
        <f>base!V9233</f>
        <v>0</v>
      </c>
      <c r="C9233" s="40" t="s">
        <v>11</v>
      </c>
      <c r="D9233" s="36">
        <f>base!H9233</f>
        <v>0</v>
      </c>
      <c r="E9233" s="44"/>
      <c r="F9233" s="16">
        <f>base!W9233</f>
        <v>0</v>
      </c>
      <c r="G9233" s="11" t="e">
        <f t="shared" si="1424"/>
        <v>#DIV/0!</v>
      </c>
      <c r="H9233" s="11" t="e">
        <f t="shared" si="1425"/>
        <v>#N/A</v>
      </c>
      <c r="I9233" s="11" t="e">
        <f t="shared" si="1426"/>
        <v>#N/A</v>
      </c>
      <c r="J9233" s="12" t="e">
        <f t="shared" si="1427"/>
        <v>#N/A</v>
      </c>
      <c r="K9233" s="17" t="e">
        <f t="shared" si="1431"/>
        <v>#N/A</v>
      </c>
      <c r="L9233" s="16">
        <f>base!X9233</f>
        <v>0</v>
      </c>
      <c r="M9233" s="11" t="e">
        <f t="shared" si="1428"/>
        <v>#DIV/0!</v>
      </c>
      <c r="N9233" s="11"/>
      <c r="O9233" s="11" t="e">
        <f t="shared" si="1429"/>
        <v>#DIV/0!</v>
      </c>
      <c r="P9233" s="12">
        <f t="shared" si="1430"/>
        <v>0</v>
      </c>
      <c r="Q9233" s="17" t="str">
        <f t="shared" si="1432"/>
        <v>Pas d'écart</v>
      </c>
    </row>
    <row r="9234" spans="1:17" x14ac:dyDescent="0.3">
      <c r="A9234" s="34">
        <f>base!J9234</f>
        <v>0</v>
      </c>
      <c r="B9234" s="34">
        <f>base!V9234</f>
        <v>0</v>
      </c>
      <c r="C9234" s="40" t="s">
        <v>11</v>
      </c>
      <c r="D9234" s="36">
        <f>base!H9234</f>
        <v>0</v>
      </c>
      <c r="E9234" s="44"/>
      <c r="F9234" s="16">
        <f>base!W9234</f>
        <v>0</v>
      </c>
      <c r="G9234" s="11" t="e">
        <f t="shared" si="1424"/>
        <v>#DIV/0!</v>
      </c>
      <c r="H9234" s="11" t="e">
        <f t="shared" si="1425"/>
        <v>#N/A</v>
      </c>
      <c r="I9234" s="11" t="e">
        <f t="shared" si="1426"/>
        <v>#N/A</v>
      </c>
      <c r="J9234" s="12" t="e">
        <f t="shared" si="1427"/>
        <v>#N/A</v>
      </c>
      <c r="K9234" s="17" t="e">
        <f t="shared" si="1431"/>
        <v>#N/A</v>
      </c>
      <c r="L9234" s="16">
        <f>base!X9234</f>
        <v>0</v>
      </c>
      <c r="M9234" s="11" t="e">
        <f t="shared" si="1428"/>
        <v>#DIV/0!</v>
      </c>
      <c r="N9234" s="11"/>
      <c r="O9234" s="11" t="e">
        <f t="shared" si="1429"/>
        <v>#DIV/0!</v>
      </c>
      <c r="P9234" s="12">
        <f t="shared" si="1430"/>
        <v>0</v>
      </c>
      <c r="Q9234" s="17" t="str">
        <f t="shared" si="1432"/>
        <v>Pas d'écart</v>
      </c>
    </row>
    <row r="9235" spans="1:17" x14ac:dyDescent="0.3">
      <c r="A9235" s="34">
        <f>base!J9235</f>
        <v>0</v>
      </c>
      <c r="B9235" s="34">
        <f>base!V9235</f>
        <v>0</v>
      </c>
      <c r="C9235" s="40" t="s">
        <v>11</v>
      </c>
      <c r="D9235" s="36">
        <f>base!H9235</f>
        <v>0</v>
      </c>
      <c r="E9235" s="44"/>
      <c r="F9235" s="16">
        <f>base!W9235</f>
        <v>0</v>
      </c>
      <c r="G9235" s="11" t="e">
        <f t="shared" si="1424"/>
        <v>#DIV/0!</v>
      </c>
      <c r="H9235" s="11" t="e">
        <f t="shared" si="1425"/>
        <v>#N/A</v>
      </c>
      <c r="I9235" s="11" t="e">
        <f t="shared" si="1426"/>
        <v>#N/A</v>
      </c>
      <c r="J9235" s="12" t="e">
        <f t="shared" si="1427"/>
        <v>#N/A</v>
      </c>
      <c r="K9235" s="17" t="e">
        <f t="shared" si="1431"/>
        <v>#N/A</v>
      </c>
      <c r="L9235" s="16">
        <f>base!X9235</f>
        <v>0</v>
      </c>
      <c r="M9235" s="11" t="e">
        <f t="shared" si="1428"/>
        <v>#DIV/0!</v>
      </c>
      <c r="N9235" s="11"/>
      <c r="O9235" s="11" t="e">
        <f t="shared" si="1429"/>
        <v>#DIV/0!</v>
      </c>
      <c r="P9235" s="12">
        <f t="shared" si="1430"/>
        <v>0</v>
      </c>
      <c r="Q9235" s="17" t="str">
        <f t="shared" si="1432"/>
        <v>Pas d'écart</v>
      </c>
    </row>
    <row r="9236" spans="1:17" x14ac:dyDescent="0.3">
      <c r="A9236" s="34">
        <f>base!J9236</f>
        <v>0</v>
      </c>
      <c r="B9236" s="34">
        <f>base!V9236</f>
        <v>0</v>
      </c>
      <c r="C9236" s="40" t="s">
        <v>11</v>
      </c>
      <c r="D9236" s="36">
        <f>base!H9236</f>
        <v>0</v>
      </c>
      <c r="E9236" s="44"/>
      <c r="F9236" s="16">
        <f>base!W9236</f>
        <v>0</v>
      </c>
      <c r="G9236" s="11" t="e">
        <f t="shared" si="1424"/>
        <v>#DIV/0!</v>
      </c>
      <c r="H9236" s="11" t="e">
        <f t="shared" si="1425"/>
        <v>#N/A</v>
      </c>
      <c r="I9236" s="11" t="e">
        <f t="shared" si="1426"/>
        <v>#N/A</v>
      </c>
      <c r="J9236" s="12" t="e">
        <f t="shared" si="1427"/>
        <v>#N/A</v>
      </c>
      <c r="K9236" s="17" t="e">
        <f t="shared" si="1431"/>
        <v>#N/A</v>
      </c>
      <c r="L9236" s="16">
        <f>base!X9236</f>
        <v>0</v>
      </c>
      <c r="M9236" s="11" t="e">
        <f t="shared" si="1428"/>
        <v>#DIV/0!</v>
      </c>
      <c r="N9236" s="11"/>
      <c r="O9236" s="11" t="e">
        <f t="shared" si="1429"/>
        <v>#DIV/0!</v>
      </c>
      <c r="P9236" s="12">
        <f t="shared" si="1430"/>
        <v>0</v>
      </c>
      <c r="Q9236" s="17" t="str">
        <f t="shared" si="1432"/>
        <v>Pas d'écart</v>
      </c>
    </row>
    <row r="9237" spans="1:17" x14ac:dyDescent="0.3">
      <c r="A9237" s="34">
        <f>base!J9237</f>
        <v>0</v>
      </c>
      <c r="B9237" s="34">
        <f>base!V9237</f>
        <v>0</v>
      </c>
      <c r="C9237" s="40" t="s">
        <v>11</v>
      </c>
      <c r="D9237" s="36">
        <f>base!H9237</f>
        <v>0</v>
      </c>
      <c r="E9237" s="44"/>
      <c r="F9237" s="16">
        <f>base!W9237</f>
        <v>0</v>
      </c>
      <c r="G9237" s="11" t="e">
        <f t="shared" si="1424"/>
        <v>#DIV/0!</v>
      </c>
      <c r="H9237" s="11" t="e">
        <f t="shared" si="1425"/>
        <v>#N/A</v>
      </c>
      <c r="I9237" s="11" t="e">
        <f t="shared" si="1426"/>
        <v>#N/A</v>
      </c>
      <c r="J9237" s="12" t="e">
        <f t="shared" si="1427"/>
        <v>#N/A</v>
      </c>
      <c r="K9237" s="17" t="e">
        <f t="shared" si="1431"/>
        <v>#N/A</v>
      </c>
      <c r="L9237" s="16">
        <f>base!X9237</f>
        <v>0</v>
      </c>
      <c r="M9237" s="11" t="e">
        <f t="shared" si="1428"/>
        <v>#DIV/0!</v>
      </c>
      <c r="N9237" s="11"/>
      <c r="O9237" s="11" t="e">
        <f t="shared" si="1429"/>
        <v>#DIV/0!</v>
      </c>
      <c r="P9237" s="12">
        <f t="shared" si="1430"/>
        <v>0</v>
      </c>
      <c r="Q9237" s="17" t="str">
        <f t="shared" si="1432"/>
        <v>Pas d'écart</v>
      </c>
    </row>
    <row r="9238" spans="1:17" x14ac:dyDescent="0.3">
      <c r="A9238" s="34">
        <f>base!J9238</f>
        <v>0</v>
      </c>
      <c r="B9238" s="34">
        <f>base!V9238</f>
        <v>0</v>
      </c>
      <c r="C9238" s="40" t="s">
        <v>11</v>
      </c>
      <c r="D9238" s="36">
        <f>base!H9238</f>
        <v>0</v>
      </c>
      <c r="E9238" s="44"/>
      <c r="F9238" s="16">
        <f>base!W9238</f>
        <v>0</v>
      </c>
      <c r="G9238" s="11" t="e">
        <f t="shared" si="1424"/>
        <v>#DIV/0!</v>
      </c>
      <c r="H9238" s="11" t="e">
        <f t="shared" si="1425"/>
        <v>#N/A</v>
      </c>
      <c r="I9238" s="11" t="e">
        <f t="shared" si="1426"/>
        <v>#N/A</v>
      </c>
      <c r="J9238" s="12" t="e">
        <f t="shared" si="1427"/>
        <v>#N/A</v>
      </c>
      <c r="K9238" s="17" t="e">
        <f t="shared" si="1431"/>
        <v>#N/A</v>
      </c>
      <c r="L9238" s="16">
        <f>base!X9238</f>
        <v>0</v>
      </c>
      <c r="M9238" s="11" t="e">
        <f t="shared" si="1428"/>
        <v>#DIV/0!</v>
      </c>
      <c r="N9238" s="11"/>
      <c r="O9238" s="11" t="e">
        <f t="shared" si="1429"/>
        <v>#DIV/0!</v>
      </c>
      <c r="P9238" s="12">
        <f t="shared" si="1430"/>
        <v>0</v>
      </c>
      <c r="Q9238" s="17" t="str">
        <f t="shared" si="1432"/>
        <v>Pas d'écart</v>
      </c>
    </row>
    <row r="9239" spans="1:17" x14ac:dyDescent="0.3">
      <c r="A9239" s="34">
        <f>base!J9239</f>
        <v>0</v>
      </c>
      <c r="B9239" s="34">
        <f>base!V9239</f>
        <v>0</v>
      </c>
      <c r="C9239" s="40" t="s">
        <v>11</v>
      </c>
      <c r="D9239" s="36">
        <f>base!H9239</f>
        <v>0</v>
      </c>
      <c r="E9239" s="44"/>
      <c r="F9239" s="16">
        <f>base!W9239</f>
        <v>0</v>
      </c>
      <c r="G9239" s="11" t="e">
        <f t="shared" si="1424"/>
        <v>#DIV/0!</v>
      </c>
      <c r="H9239" s="11" t="e">
        <f t="shared" si="1425"/>
        <v>#N/A</v>
      </c>
      <c r="I9239" s="11" t="e">
        <f t="shared" si="1426"/>
        <v>#N/A</v>
      </c>
      <c r="J9239" s="12" t="e">
        <f t="shared" si="1427"/>
        <v>#N/A</v>
      </c>
      <c r="K9239" s="17" t="e">
        <f t="shared" si="1431"/>
        <v>#N/A</v>
      </c>
      <c r="L9239" s="16">
        <f>base!X9239</f>
        <v>0</v>
      </c>
      <c r="M9239" s="11" t="e">
        <f t="shared" si="1428"/>
        <v>#DIV/0!</v>
      </c>
      <c r="N9239" s="11"/>
      <c r="O9239" s="11" t="e">
        <f t="shared" si="1429"/>
        <v>#DIV/0!</v>
      </c>
      <c r="P9239" s="12">
        <f t="shared" si="1430"/>
        <v>0</v>
      </c>
      <c r="Q9239" s="17" t="str">
        <f t="shared" si="1432"/>
        <v>Pas d'écart</v>
      </c>
    </row>
    <row r="9240" spans="1:17" x14ac:dyDescent="0.3">
      <c r="A9240" s="34">
        <f>base!J9240</f>
        <v>0</v>
      </c>
      <c r="B9240" s="34">
        <f>base!V9240</f>
        <v>0</v>
      </c>
      <c r="C9240" s="40" t="s">
        <v>11</v>
      </c>
      <c r="D9240" s="36">
        <f>base!H9240</f>
        <v>0</v>
      </c>
      <c r="E9240" s="44"/>
      <c r="F9240" s="16">
        <f>base!W9240</f>
        <v>0</v>
      </c>
      <c r="G9240" s="11" t="e">
        <f t="shared" si="1424"/>
        <v>#DIV/0!</v>
      </c>
      <c r="H9240" s="11" t="e">
        <f t="shared" si="1425"/>
        <v>#N/A</v>
      </c>
      <c r="I9240" s="11" t="e">
        <f t="shared" si="1426"/>
        <v>#N/A</v>
      </c>
      <c r="J9240" s="12" t="e">
        <f t="shared" si="1427"/>
        <v>#N/A</v>
      </c>
      <c r="K9240" s="17" t="e">
        <f t="shared" si="1431"/>
        <v>#N/A</v>
      </c>
      <c r="L9240" s="16">
        <f>base!X9240</f>
        <v>0</v>
      </c>
      <c r="M9240" s="11" t="e">
        <f t="shared" si="1428"/>
        <v>#DIV/0!</v>
      </c>
      <c r="N9240" s="11"/>
      <c r="O9240" s="11" t="e">
        <f t="shared" si="1429"/>
        <v>#DIV/0!</v>
      </c>
      <c r="P9240" s="12">
        <f t="shared" si="1430"/>
        <v>0</v>
      </c>
      <c r="Q9240" s="17" t="str">
        <f t="shared" si="1432"/>
        <v>Pas d'écart</v>
      </c>
    </row>
    <row r="9241" spans="1:17" x14ac:dyDescent="0.3">
      <c r="A9241" s="34">
        <f>base!J9241</f>
        <v>0</v>
      </c>
      <c r="B9241" s="34">
        <f>base!V9241</f>
        <v>0</v>
      </c>
      <c r="C9241" s="40" t="s">
        <v>11</v>
      </c>
      <c r="D9241" s="36">
        <f>base!H9241</f>
        <v>0</v>
      </c>
      <c r="E9241" s="44"/>
      <c r="F9241" s="16">
        <f>base!W9241</f>
        <v>0</v>
      </c>
      <c r="G9241" s="11" t="e">
        <f t="shared" si="1424"/>
        <v>#DIV/0!</v>
      </c>
      <c r="H9241" s="11" t="e">
        <f t="shared" si="1425"/>
        <v>#N/A</v>
      </c>
      <c r="I9241" s="11" t="e">
        <f t="shared" si="1426"/>
        <v>#N/A</v>
      </c>
      <c r="J9241" s="12" t="e">
        <f t="shared" si="1427"/>
        <v>#N/A</v>
      </c>
      <c r="K9241" s="17" t="e">
        <f t="shared" si="1431"/>
        <v>#N/A</v>
      </c>
      <c r="L9241" s="16">
        <f>base!X9241</f>
        <v>0</v>
      </c>
      <c r="M9241" s="11" t="e">
        <f t="shared" si="1428"/>
        <v>#DIV/0!</v>
      </c>
      <c r="N9241" s="11"/>
      <c r="O9241" s="11" t="e">
        <f t="shared" si="1429"/>
        <v>#DIV/0!</v>
      </c>
      <c r="P9241" s="12">
        <f t="shared" si="1430"/>
        <v>0</v>
      </c>
      <c r="Q9241" s="17" t="str">
        <f t="shared" si="1432"/>
        <v>Pas d'écart</v>
      </c>
    </row>
    <row r="9242" spans="1:17" x14ac:dyDescent="0.3">
      <c r="A9242" s="34">
        <f>base!J9242</f>
        <v>0</v>
      </c>
      <c r="B9242" s="34">
        <f>base!V9242</f>
        <v>0</v>
      </c>
      <c r="C9242" s="40" t="s">
        <v>11</v>
      </c>
      <c r="D9242" s="36">
        <f>base!H9242</f>
        <v>0</v>
      </c>
      <c r="E9242" s="44"/>
      <c r="F9242" s="16">
        <f>base!W9242</f>
        <v>0</v>
      </c>
      <c r="G9242" s="11" t="e">
        <f t="shared" si="1424"/>
        <v>#DIV/0!</v>
      </c>
      <c r="H9242" s="11" t="e">
        <f t="shared" si="1425"/>
        <v>#N/A</v>
      </c>
      <c r="I9242" s="11" t="e">
        <f t="shared" si="1426"/>
        <v>#N/A</v>
      </c>
      <c r="J9242" s="12" t="e">
        <f t="shared" si="1427"/>
        <v>#N/A</v>
      </c>
      <c r="K9242" s="17" t="e">
        <f t="shared" si="1431"/>
        <v>#N/A</v>
      </c>
      <c r="L9242" s="16">
        <f>base!X9242</f>
        <v>0</v>
      </c>
      <c r="M9242" s="11" t="e">
        <f t="shared" si="1428"/>
        <v>#DIV/0!</v>
      </c>
      <c r="N9242" s="11"/>
      <c r="O9242" s="11" t="e">
        <f t="shared" si="1429"/>
        <v>#DIV/0!</v>
      </c>
      <c r="P9242" s="12">
        <f t="shared" si="1430"/>
        <v>0</v>
      </c>
      <c r="Q9242" s="17" t="str">
        <f t="shared" si="1432"/>
        <v>Pas d'écart</v>
      </c>
    </row>
    <row r="9243" spans="1:17" x14ac:dyDescent="0.3">
      <c r="A9243" s="34">
        <f>base!J9243</f>
        <v>0</v>
      </c>
      <c r="B9243" s="34">
        <f>base!V9243</f>
        <v>0</v>
      </c>
      <c r="C9243" s="40" t="s">
        <v>11</v>
      </c>
      <c r="D9243" s="36">
        <f>base!H9243</f>
        <v>0</v>
      </c>
      <c r="E9243" s="44"/>
      <c r="F9243" s="16">
        <f>base!W9243</f>
        <v>0</v>
      </c>
      <c r="G9243" s="11" t="e">
        <f t="shared" si="1424"/>
        <v>#DIV/0!</v>
      </c>
      <c r="H9243" s="11" t="e">
        <f t="shared" si="1425"/>
        <v>#N/A</v>
      </c>
      <c r="I9243" s="11" t="e">
        <f t="shared" si="1426"/>
        <v>#N/A</v>
      </c>
      <c r="J9243" s="12" t="e">
        <f t="shared" si="1427"/>
        <v>#N/A</v>
      </c>
      <c r="K9243" s="17" t="e">
        <f t="shared" si="1431"/>
        <v>#N/A</v>
      </c>
      <c r="L9243" s="16">
        <f>base!X9243</f>
        <v>0</v>
      </c>
      <c r="M9243" s="11" t="e">
        <f t="shared" si="1428"/>
        <v>#DIV/0!</v>
      </c>
      <c r="N9243" s="11"/>
      <c r="O9243" s="11" t="e">
        <f t="shared" si="1429"/>
        <v>#DIV/0!</v>
      </c>
      <c r="P9243" s="12">
        <f t="shared" si="1430"/>
        <v>0</v>
      </c>
      <c r="Q9243" s="17" t="str">
        <f t="shared" si="1432"/>
        <v>Pas d'écart</v>
      </c>
    </row>
    <row r="9244" spans="1:17" x14ac:dyDescent="0.3">
      <c r="A9244" s="34">
        <f>base!J9244</f>
        <v>0</v>
      </c>
      <c r="B9244" s="34">
        <f>base!V9244</f>
        <v>0</v>
      </c>
      <c r="C9244" s="40" t="s">
        <v>11</v>
      </c>
      <c r="D9244" s="36">
        <f>base!H9244</f>
        <v>0</v>
      </c>
      <c r="E9244" s="44"/>
      <c r="F9244" s="16">
        <f>base!W9244</f>
        <v>0</v>
      </c>
      <c r="G9244" s="11" t="e">
        <f t="shared" si="1424"/>
        <v>#DIV/0!</v>
      </c>
      <c r="H9244" s="11" t="e">
        <f t="shared" si="1425"/>
        <v>#N/A</v>
      </c>
      <c r="I9244" s="11" t="e">
        <f t="shared" si="1426"/>
        <v>#N/A</v>
      </c>
      <c r="J9244" s="12" t="e">
        <f t="shared" si="1427"/>
        <v>#N/A</v>
      </c>
      <c r="K9244" s="17" t="e">
        <f t="shared" si="1431"/>
        <v>#N/A</v>
      </c>
      <c r="L9244" s="16">
        <f>base!X9244</f>
        <v>0</v>
      </c>
      <c r="M9244" s="11" t="e">
        <f t="shared" si="1428"/>
        <v>#DIV/0!</v>
      </c>
      <c r="N9244" s="11"/>
      <c r="O9244" s="11" t="e">
        <f t="shared" si="1429"/>
        <v>#DIV/0!</v>
      </c>
      <c r="P9244" s="12">
        <f t="shared" si="1430"/>
        <v>0</v>
      </c>
      <c r="Q9244" s="17" t="str">
        <f t="shared" si="1432"/>
        <v>Pas d'écart</v>
      </c>
    </row>
    <row r="9245" spans="1:17" x14ac:dyDescent="0.3">
      <c r="A9245" s="34">
        <f>base!J9245</f>
        <v>0</v>
      </c>
      <c r="B9245" s="34">
        <f>base!V9245</f>
        <v>0</v>
      </c>
      <c r="C9245" s="40" t="s">
        <v>11</v>
      </c>
      <c r="D9245" s="36">
        <f>base!H9245</f>
        <v>0</v>
      </c>
      <c r="E9245" s="44"/>
      <c r="F9245" s="16">
        <f>base!W9245</f>
        <v>0</v>
      </c>
      <c r="G9245" s="11" t="e">
        <f t="shared" si="1424"/>
        <v>#DIV/0!</v>
      </c>
      <c r="H9245" s="11" t="e">
        <f t="shared" si="1425"/>
        <v>#N/A</v>
      </c>
      <c r="I9245" s="11" t="e">
        <f t="shared" si="1426"/>
        <v>#N/A</v>
      </c>
      <c r="J9245" s="12" t="e">
        <f t="shared" si="1427"/>
        <v>#N/A</v>
      </c>
      <c r="K9245" s="17" t="e">
        <f t="shared" si="1431"/>
        <v>#N/A</v>
      </c>
      <c r="L9245" s="16">
        <f>base!X9245</f>
        <v>0</v>
      </c>
      <c r="M9245" s="11" t="e">
        <f t="shared" si="1428"/>
        <v>#DIV/0!</v>
      </c>
      <c r="N9245" s="11"/>
      <c r="O9245" s="11" t="e">
        <f t="shared" si="1429"/>
        <v>#DIV/0!</v>
      </c>
      <c r="P9245" s="12">
        <f t="shared" si="1430"/>
        <v>0</v>
      </c>
      <c r="Q9245" s="17" t="str">
        <f t="shared" si="1432"/>
        <v>Pas d'écart</v>
      </c>
    </row>
    <row r="9246" spans="1:17" x14ac:dyDescent="0.3">
      <c r="A9246" s="34">
        <f>base!J9246</f>
        <v>0</v>
      </c>
      <c r="B9246" s="34">
        <f>base!V9246</f>
        <v>0</v>
      </c>
      <c r="C9246" s="40" t="s">
        <v>11</v>
      </c>
      <c r="D9246" s="36">
        <f>base!H9246</f>
        <v>0</v>
      </c>
      <c r="E9246" s="44"/>
      <c r="F9246" s="16">
        <f>base!W9246</f>
        <v>0</v>
      </c>
      <c r="G9246" s="11" t="e">
        <f t="shared" si="1424"/>
        <v>#DIV/0!</v>
      </c>
      <c r="H9246" s="11" t="e">
        <f t="shared" si="1425"/>
        <v>#N/A</v>
      </c>
      <c r="I9246" s="11" t="e">
        <f t="shared" si="1426"/>
        <v>#N/A</v>
      </c>
      <c r="J9246" s="12" t="e">
        <f t="shared" si="1427"/>
        <v>#N/A</v>
      </c>
      <c r="K9246" s="17" t="e">
        <f t="shared" si="1431"/>
        <v>#N/A</v>
      </c>
      <c r="L9246" s="16">
        <f>base!X9246</f>
        <v>0</v>
      </c>
      <c r="M9246" s="11" t="e">
        <f t="shared" si="1428"/>
        <v>#DIV/0!</v>
      </c>
      <c r="N9246" s="11"/>
      <c r="O9246" s="11" t="e">
        <f t="shared" si="1429"/>
        <v>#DIV/0!</v>
      </c>
      <c r="P9246" s="12">
        <f t="shared" si="1430"/>
        <v>0</v>
      </c>
      <c r="Q9246" s="17" t="str">
        <f t="shared" si="1432"/>
        <v>Pas d'écart</v>
      </c>
    </row>
    <row r="9247" spans="1:17" x14ac:dyDescent="0.3">
      <c r="A9247" s="34">
        <f>base!J9247</f>
        <v>0</v>
      </c>
      <c r="B9247" s="34">
        <f>base!V9247</f>
        <v>0</v>
      </c>
      <c r="C9247" s="40" t="s">
        <v>11</v>
      </c>
      <c r="D9247" s="36">
        <f>base!H9247</f>
        <v>0</v>
      </c>
      <c r="E9247" s="44"/>
      <c r="F9247" s="16">
        <f>base!W9247</f>
        <v>0</v>
      </c>
      <c r="G9247" s="11" t="e">
        <f t="shared" si="1424"/>
        <v>#DIV/0!</v>
      </c>
      <c r="H9247" s="11" t="e">
        <f t="shared" si="1425"/>
        <v>#N/A</v>
      </c>
      <c r="I9247" s="11" t="e">
        <f t="shared" si="1426"/>
        <v>#N/A</v>
      </c>
      <c r="J9247" s="12" t="e">
        <f t="shared" si="1427"/>
        <v>#N/A</v>
      </c>
      <c r="K9247" s="17" t="e">
        <f t="shared" si="1431"/>
        <v>#N/A</v>
      </c>
      <c r="L9247" s="16">
        <f>base!X9247</f>
        <v>0</v>
      </c>
      <c r="M9247" s="11" t="e">
        <f t="shared" si="1428"/>
        <v>#DIV/0!</v>
      </c>
      <c r="N9247" s="11"/>
      <c r="O9247" s="11" t="e">
        <f t="shared" si="1429"/>
        <v>#DIV/0!</v>
      </c>
      <c r="P9247" s="12">
        <f t="shared" si="1430"/>
        <v>0</v>
      </c>
      <c r="Q9247" s="17" t="str">
        <f t="shared" si="1432"/>
        <v>Pas d'écart</v>
      </c>
    </row>
    <row r="9248" spans="1:17" x14ac:dyDescent="0.3">
      <c r="A9248" s="34">
        <f>base!J9248</f>
        <v>0</v>
      </c>
      <c r="B9248" s="34">
        <f>base!V9248</f>
        <v>0</v>
      </c>
      <c r="C9248" s="40" t="s">
        <v>11</v>
      </c>
      <c r="D9248" s="36">
        <f>base!H9248</f>
        <v>0</v>
      </c>
      <c r="E9248" s="44"/>
      <c r="F9248" s="16">
        <f>base!W9248</f>
        <v>0</v>
      </c>
      <c r="G9248" s="11" t="e">
        <f t="shared" si="1424"/>
        <v>#DIV/0!</v>
      </c>
      <c r="H9248" s="11" t="e">
        <f t="shared" si="1425"/>
        <v>#N/A</v>
      </c>
      <c r="I9248" s="11" t="e">
        <f t="shared" si="1426"/>
        <v>#N/A</v>
      </c>
      <c r="J9248" s="12" t="e">
        <f t="shared" si="1427"/>
        <v>#N/A</v>
      </c>
      <c r="K9248" s="17" t="e">
        <f t="shared" si="1431"/>
        <v>#N/A</v>
      </c>
      <c r="L9248" s="16">
        <f>base!X9248</f>
        <v>0</v>
      </c>
      <c r="M9248" s="11" t="e">
        <f t="shared" si="1428"/>
        <v>#DIV/0!</v>
      </c>
      <c r="N9248" s="11"/>
      <c r="O9248" s="11" t="e">
        <f t="shared" si="1429"/>
        <v>#DIV/0!</v>
      </c>
      <c r="P9248" s="12">
        <f t="shared" si="1430"/>
        <v>0</v>
      </c>
      <c r="Q9248" s="17" t="str">
        <f t="shared" si="1432"/>
        <v>Pas d'écart</v>
      </c>
    </row>
    <row r="9249" spans="1:17" x14ac:dyDescent="0.3">
      <c r="A9249" s="34">
        <f>base!J9249</f>
        <v>0</v>
      </c>
      <c r="B9249" s="34">
        <f>base!V9249</f>
        <v>0</v>
      </c>
      <c r="C9249" s="40" t="s">
        <v>11</v>
      </c>
      <c r="D9249" s="36">
        <f>base!H9249</f>
        <v>0</v>
      </c>
      <c r="E9249" s="44"/>
      <c r="F9249" s="16">
        <f>base!W9249</f>
        <v>0</v>
      </c>
      <c r="G9249" s="11" t="e">
        <f t="shared" si="1424"/>
        <v>#DIV/0!</v>
      </c>
      <c r="H9249" s="11" t="e">
        <f t="shared" si="1425"/>
        <v>#N/A</v>
      </c>
      <c r="I9249" s="11" t="e">
        <f t="shared" si="1426"/>
        <v>#N/A</v>
      </c>
      <c r="J9249" s="12" t="e">
        <f t="shared" si="1427"/>
        <v>#N/A</v>
      </c>
      <c r="K9249" s="17" t="e">
        <f t="shared" si="1431"/>
        <v>#N/A</v>
      </c>
      <c r="L9249" s="16">
        <f>base!X9249</f>
        <v>0</v>
      </c>
      <c r="M9249" s="11" t="e">
        <f t="shared" si="1428"/>
        <v>#DIV/0!</v>
      </c>
      <c r="N9249" s="11"/>
      <c r="O9249" s="11" t="e">
        <f t="shared" si="1429"/>
        <v>#DIV/0!</v>
      </c>
      <c r="P9249" s="12">
        <f t="shared" si="1430"/>
        <v>0</v>
      </c>
      <c r="Q9249" s="17" t="str">
        <f t="shared" si="1432"/>
        <v>Pas d'écart</v>
      </c>
    </row>
    <row r="9250" spans="1:17" x14ac:dyDescent="0.3">
      <c r="A9250" s="34">
        <f>base!J9250</f>
        <v>0</v>
      </c>
      <c r="B9250" s="34">
        <f>base!V9250</f>
        <v>0</v>
      </c>
      <c r="C9250" s="40" t="s">
        <v>11</v>
      </c>
      <c r="D9250" s="36">
        <f>base!H9250</f>
        <v>0</v>
      </c>
      <c r="E9250" s="44"/>
      <c r="F9250" s="16">
        <f>base!W9250</f>
        <v>0</v>
      </c>
      <c r="G9250" s="11" t="e">
        <f t="shared" si="1424"/>
        <v>#DIV/0!</v>
      </c>
      <c r="H9250" s="11" t="e">
        <f t="shared" si="1425"/>
        <v>#N/A</v>
      </c>
      <c r="I9250" s="11" t="e">
        <f t="shared" si="1426"/>
        <v>#N/A</v>
      </c>
      <c r="J9250" s="12" t="e">
        <f t="shared" si="1427"/>
        <v>#N/A</v>
      </c>
      <c r="K9250" s="17" t="e">
        <f t="shared" si="1431"/>
        <v>#N/A</v>
      </c>
      <c r="L9250" s="16">
        <f>base!X9250</f>
        <v>0</v>
      </c>
      <c r="M9250" s="11" t="e">
        <f t="shared" si="1428"/>
        <v>#DIV/0!</v>
      </c>
      <c r="N9250" s="11"/>
      <c r="O9250" s="11" t="e">
        <f t="shared" si="1429"/>
        <v>#DIV/0!</v>
      </c>
      <c r="P9250" s="12">
        <f t="shared" si="1430"/>
        <v>0</v>
      </c>
      <c r="Q9250" s="17" t="str">
        <f t="shared" si="1432"/>
        <v>Pas d'écart</v>
      </c>
    </row>
    <row r="9251" spans="1:17" x14ac:dyDescent="0.3">
      <c r="A9251" s="34">
        <f>base!J9251</f>
        <v>0</v>
      </c>
      <c r="B9251" s="34">
        <f>base!V9251</f>
        <v>0</v>
      </c>
      <c r="C9251" s="40" t="s">
        <v>11</v>
      </c>
      <c r="D9251" s="36">
        <f>base!H9251</f>
        <v>0</v>
      </c>
      <c r="E9251" s="44"/>
      <c r="F9251" s="16">
        <f>base!W9251</f>
        <v>0</v>
      </c>
      <c r="G9251" s="11" t="e">
        <f t="shared" si="1424"/>
        <v>#DIV/0!</v>
      </c>
      <c r="H9251" s="11" t="e">
        <f t="shared" si="1425"/>
        <v>#N/A</v>
      </c>
      <c r="I9251" s="11" t="e">
        <f t="shared" si="1426"/>
        <v>#N/A</v>
      </c>
      <c r="J9251" s="12" t="e">
        <f t="shared" si="1427"/>
        <v>#N/A</v>
      </c>
      <c r="K9251" s="17" t="e">
        <f t="shared" si="1431"/>
        <v>#N/A</v>
      </c>
      <c r="L9251" s="16">
        <f>base!X9251</f>
        <v>0</v>
      </c>
      <c r="M9251" s="11" t="e">
        <f t="shared" si="1428"/>
        <v>#DIV/0!</v>
      </c>
      <c r="N9251" s="11"/>
      <c r="O9251" s="11" t="e">
        <f t="shared" si="1429"/>
        <v>#DIV/0!</v>
      </c>
      <c r="P9251" s="12">
        <f t="shared" si="1430"/>
        <v>0</v>
      </c>
      <c r="Q9251" s="17" t="str">
        <f t="shared" si="1432"/>
        <v>Pas d'écart</v>
      </c>
    </row>
    <row r="9252" spans="1:17" x14ac:dyDescent="0.3">
      <c r="A9252" s="34">
        <f>base!J9252</f>
        <v>0</v>
      </c>
      <c r="B9252" s="34">
        <f>base!V9252</f>
        <v>0</v>
      </c>
      <c r="C9252" s="40" t="s">
        <v>11</v>
      </c>
      <c r="D9252" s="36">
        <f>base!H9252</f>
        <v>0</v>
      </c>
      <c r="E9252" s="44"/>
      <c r="F9252" s="16">
        <f>base!W9252</f>
        <v>0</v>
      </c>
      <c r="G9252" s="11" t="e">
        <f t="shared" si="1424"/>
        <v>#DIV/0!</v>
      </c>
      <c r="H9252" s="11" t="e">
        <f t="shared" si="1425"/>
        <v>#N/A</v>
      </c>
      <c r="I9252" s="11" t="e">
        <f t="shared" si="1426"/>
        <v>#N/A</v>
      </c>
      <c r="J9252" s="12" t="e">
        <f t="shared" si="1427"/>
        <v>#N/A</v>
      </c>
      <c r="K9252" s="17" t="e">
        <f t="shared" si="1431"/>
        <v>#N/A</v>
      </c>
      <c r="L9252" s="16">
        <f>base!X9252</f>
        <v>0</v>
      </c>
      <c r="M9252" s="11" t="e">
        <f t="shared" si="1428"/>
        <v>#DIV/0!</v>
      </c>
      <c r="N9252" s="11"/>
      <c r="O9252" s="11" t="e">
        <f t="shared" si="1429"/>
        <v>#DIV/0!</v>
      </c>
      <c r="P9252" s="12">
        <f t="shared" si="1430"/>
        <v>0</v>
      </c>
      <c r="Q9252" s="17" t="str">
        <f t="shared" si="1432"/>
        <v>Pas d'écart</v>
      </c>
    </row>
    <row r="9253" spans="1:17" x14ac:dyDescent="0.3">
      <c r="A9253" s="34">
        <f>base!J9253</f>
        <v>0</v>
      </c>
      <c r="B9253" s="34">
        <f>base!V9253</f>
        <v>0</v>
      </c>
      <c r="C9253" s="40" t="s">
        <v>11</v>
      </c>
      <c r="D9253" s="36">
        <f>base!H9253</f>
        <v>0</v>
      </c>
      <c r="E9253" s="44"/>
      <c r="F9253" s="16">
        <f>base!W9253</f>
        <v>0</v>
      </c>
      <c r="G9253" s="11" t="e">
        <f t="shared" si="1424"/>
        <v>#DIV/0!</v>
      </c>
      <c r="H9253" s="11" t="e">
        <f t="shared" si="1425"/>
        <v>#N/A</v>
      </c>
      <c r="I9253" s="11" t="e">
        <f t="shared" si="1426"/>
        <v>#N/A</v>
      </c>
      <c r="J9253" s="12" t="e">
        <f t="shared" si="1427"/>
        <v>#N/A</v>
      </c>
      <c r="K9253" s="17" t="e">
        <f t="shared" si="1431"/>
        <v>#N/A</v>
      </c>
      <c r="L9253" s="16">
        <f>base!X9253</f>
        <v>0</v>
      </c>
      <c r="M9253" s="11" t="e">
        <f t="shared" si="1428"/>
        <v>#DIV/0!</v>
      </c>
      <c r="N9253" s="11"/>
      <c r="O9253" s="11" t="e">
        <f t="shared" si="1429"/>
        <v>#DIV/0!</v>
      </c>
      <c r="P9253" s="12">
        <f t="shared" si="1430"/>
        <v>0</v>
      </c>
      <c r="Q9253" s="17" t="str">
        <f t="shared" si="1432"/>
        <v>Pas d'écart</v>
      </c>
    </row>
    <row r="9254" spans="1:17" x14ac:dyDescent="0.3">
      <c r="A9254" s="34">
        <f>base!J9254</f>
        <v>0</v>
      </c>
      <c r="B9254" s="34">
        <f>base!V9254</f>
        <v>0</v>
      </c>
      <c r="C9254" s="40" t="s">
        <v>11</v>
      </c>
      <c r="D9254" s="36">
        <f>base!H9254</f>
        <v>0</v>
      </c>
      <c r="E9254" s="44"/>
      <c r="F9254" s="16">
        <f>base!W9254</f>
        <v>0</v>
      </c>
      <c r="G9254" s="11" t="e">
        <f t="shared" si="1424"/>
        <v>#DIV/0!</v>
      </c>
      <c r="H9254" s="11" t="e">
        <f t="shared" si="1425"/>
        <v>#N/A</v>
      </c>
      <c r="I9254" s="11" t="e">
        <f t="shared" si="1426"/>
        <v>#N/A</v>
      </c>
      <c r="J9254" s="12" t="e">
        <f t="shared" si="1427"/>
        <v>#N/A</v>
      </c>
      <c r="K9254" s="17" t="e">
        <f t="shared" si="1431"/>
        <v>#N/A</v>
      </c>
      <c r="L9254" s="16">
        <f>base!X9254</f>
        <v>0</v>
      </c>
      <c r="M9254" s="11" t="e">
        <f t="shared" si="1428"/>
        <v>#DIV/0!</v>
      </c>
      <c r="N9254" s="11"/>
      <c r="O9254" s="11" t="e">
        <f t="shared" si="1429"/>
        <v>#DIV/0!</v>
      </c>
      <c r="P9254" s="12">
        <f t="shared" si="1430"/>
        <v>0</v>
      </c>
      <c r="Q9254" s="17" t="str">
        <f t="shared" si="1432"/>
        <v>Pas d'écart</v>
      </c>
    </row>
    <row r="9255" spans="1:17" x14ac:dyDescent="0.3">
      <c r="A9255" s="34">
        <f>base!J9255</f>
        <v>0</v>
      </c>
      <c r="B9255" s="34">
        <f>base!V9255</f>
        <v>0</v>
      </c>
      <c r="C9255" s="40" t="s">
        <v>11</v>
      </c>
      <c r="D9255" s="36">
        <f>base!H9255</f>
        <v>0</v>
      </c>
      <c r="E9255" s="44"/>
      <c r="F9255" s="16">
        <f>base!W9255</f>
        <v>0</v>
      </c>
      <c r="G9255" s="11" t="e">
        <f t="shared" si="1424"/>
        <v>#DIV/0!</v>
      </c>
      <c r="H9255" s="11" t="e">
        <f t="shared" si="1425"/>
        <v>#N/A</v>
      </c>
      <c r="I9255" s="11" t="e">
        <f t="shared" si="1426"/>
        <v>#N/A</v>
      </c>
      <c r="J9255" s="12" t="e">
        <f t="shared" si="1427"/>
        <v>#N/A</v>
      </c>
      <c r="K9255" s="17" t="e">
        <f t="shared" si="1431"/>
        <v>#N/A</v>
      </c>
      <c r="L9255" s="16">
        <f>base!X9255</f>
        <v>0</v>
      </c>
      <c r="M9255" s="11" t="e">
        <f t="shared" si="1428"/>
        <v>#DIV/0!</v>
      </c>
      <c r="N9255" s="11"/>
      <c r="O9255" s="11" t="e">
        <f t="shared" si="1429"/>
        <v>#DIV/0!</v>
      </c>
      <c r="P9255" s="12">
        <f t="shared" si="1430"/>
        <v>0</v>
      </c>
      <c r="Q9255" s="17" t="str">
        <f t="shared" si="1432"/>
        <v>Pas d'écart</v>
      </c>
    </row>
    <row r="9256" spans="1:17" x14ac:dyDescent="0.3">
      <c r="A9256" s="34">
        <f>base!J9256</f>
        <v>0</v>
      </c>
      <c r="B9256" s="34">
        <f>base!V9256</f>
        <v>0</v>
      </c>
      <c r="C9256" s="40" t="s">
        <v>11</v>
      </c>
      <c r="D9256" s="36">
        <f>base!H9256</f>
        <v>0</v>
      </c>
      <c r="E9256" s="44"/>
      <c r="F9256" s="16">
        <f>base!W9256</f>
        <v>0</v>
      </c>
      <c r="G9256" s="11" t="e">
        <f t="shared" si="1424"/>
        <v>#DIV/0!</v>
      </c>
      <c r="H9256" s="11" t="e">
        <f t="shared" si="1425"/>
        <v>#N/A</v>
      </c>
      <c r="I9256" s="11" t="e">
        <f t="shared" si="1426"/>
        <v>#N/A</v>
      </c>
      <c r="J9256" s="12" t="e">
        <f t="shared" si="1427"/>
        <v>#N/A</v>
      </c>
      <c r="K9256" s="17" t="e">
        <f t="shared" si="1431"/>
        <v>#N/A</v>
      </c>
      <c r="L9256" s="16">
        <f>base!X9256</f>
        <v>0</v>
      </c>
      <c r="M9256" s="11" t="e">
        <f t="shared" si="1428"/>
        <v>#DIV/0!</v>
      </c>
      <c r="N9256" s="11"/>
      <c r="O9256" s="11" t="e">
        <f t="shared" si="1429"/>
        <v>#DIV/0!</v>
      </c>
      <c r="P9256" s="12">
        <f t="shared" si="1430"/>
        <v>0</v>
      </c>
      <c r="Q9256" s="17" t="str">
        <f t="shared" si="1432"/>
        <v>Pas d'écart</v>
      </c>
    </row>
    <row r="9257" spans="1:17" x14ac:dyDescent="0.3">
      <c r="A9257" s="34">
        <f>base!J9257</f>
        <v>0</v>
      </c>
      <c r="B9257" s="34">
        <f>base!V9257</f>
        <v>0</v>
      </c>
      <c r="C9257" s="40" t="s">
        <v>11</v>
      </c>
      <c r="D9257" s="36">
        <f>base!H9257</f>
        <v>0</v>
      </c>
      <c r="E9257" s="44"/>
      <c r="F9257" s="16">
        <f>base!W9257</f>
        <v>0</v>
      </c>
      <c r="G9257" s="11" t="e">
        <f t="shared" si="1424"/>
        <v>#DIV/0!</v>
      </c>
      <c r="H9257" s="11" t="e">
        <f t="shared" si="1425"/>
        <v>#N/A</v>
      </c>
      <c r="I9257" s="11" t="e">
        <f t="shared" si="1426"/>
        <v>#N/A</v>
      </c>
      <c r="J9257" s="12" t="e">
        <f t="shared" si="1427"/>
        <v>#N/A</v>
      </c>
      <c r="K9257" s="17" t="e">
        <f t="shared" si="1431"/>
        <v>#N/A</v>
      </c>
      <c r="L9257" s="16">
        <f>base!X9257</f>
        <v>0</v>
      </c>
      <c r="M9257" s="11" t="e">
        <f t="shared" si="1428"/>
        <v>#DIV/0!</v>
      </c>
      <c r="N9257" s="11"/>
      <c r="O9257" s="11" t="e">
        <f t="shared" si="1429"/>
        <v>#DIV/0!</v>
      </c>
      <c r="P9257" s="12">
        <f t="shared" si="1430"/>
        <v>0</v>
      </c>
      <c r="Q9257" s="17" t="str">
        <f t="shared" si="1432"/>
        <v>Pas d'écart</v>
      </c>
    </row>
    <row r="9258" spans="1:17" x14ac:dyDescent="0.3">
      <c r="A9258" s="34">
        <f>base!J9258</f>
        <v>0</v>
      </c>
      <c r="B9258" s="34">
        <f>base!V9258</f>
        <v>0</v>
      </c>
      <c r="C9258" s="40" t="s">
        <v>11</v>
      </c>
      <c r="D9258" s="36">
        <f>base!H9258</f>
        <v>0</v>
      </c>
      <c r="E9258" s="44"/>
      <c r="F9258" s="16">
        <f>base!W9258</f>
        <v>0</v>
      </c>
      <c r="G9258" s="11" t="e">
        <f t="shared" si="1424"/>
        <v>#DIV/0!</v>
      </c>
      <c r="H9258" s="11" t="e">
        <f t="shared" si="1425"/>
        <v>#N/A</v>
      </c>
      <c r="I9258" s="11" t="e">
        <f t="shared" si="1426"/>
        <v>#N/A</v>
      </c>
      <c r="J9258" s="12" t="e">
        <f t="shared" si="1427"/>
        <v>#N/A</v>
      </c>
      <c r="K9258" s="17" t="e">
        <f t="shared" si="1431"/>
        <v>#N/A</v>
      </c>
      <c r="L9258" s="16">
        <f>base!X9258</f>
        <v>0</v>
      </c>
      <c r="M9258" s="11" t="e">
        <f t="shared" si="1428"/>
        <v>#DIV/0!</v>
      </c>
      <c r="N9258" s="11"/>
      <c r="O9258" s="11" t="e">
        <f t="shared" si="1429"/>
        <v>#DIV/0!</v>
      </c>
      <c r="P9258" s="12">
        <f t="shared" si="1430"/>
        <v>0</v>
      </c>
      <c r="Q9258" s="17" t="str">
        <f t="shared" si="1432"/>
        <v>Pas d'écart</v>
      </c>
    </row>
    <row r="9259" spans="1:17" x14ac:dyDescent="0.3">
      <c r="A9259" s="34">
        <f>base!J9259</f>
        <v>0</v>
      </c>
      <c r="B9259" s="34">
        <f>base!V9259</f>
        <v>0</v>
      </c>
      <c r="C9259" s="40" t="s">
        <v>11</v>
      </c>
      <c r="D9259" s="36">
        <f>base!H9259</f>
        <v>0</v>
      </c>
      <c r="E9259" s="44"/>
      <c r="F9259" s="16">
        <f>base!W9259</f>
        <v>0</v>
      </c>
      <c r="G9259" s="11" t="e">
        <f t="shared" si="1424"/>
        <v>#DIV/0!</v>
      </c>
      <c r="H9259" s="11" t="e">
        <f t="shared" si="1425"/>
        <v>#N/A</v>
      </c>
      <c r="I9259" s="11" t="e">
        <f t="shared" si="1426"/>
        <v>#N/A</v>
      </c>
      <c r="J9259" s="12" t="e">
        <f t="shared" si="1427"/>
        <v>#N/A</v>
      </c>
      <c r="K9259" s="17" t="e">
        <f t="shared" si="1431"/>
        <v>#N/A</v>
      </c>
      <c r="L9259" s="16">
        <f>base!X9259</f>
        <v>0</v>
      </c>
      <c r="M9259" s="11" t="e">
        <f t="shared" si="1428"/>
        <v>#DIV/0!</v>
      </c>
      <c r="N9259" s="11"/>
      <c r="O9259" s="11" t="e">
        <f t="shared" si="1429"/>
        <v>#DIV/0!</v>
      </c>
      <c r="P9259" s="12">
        <f t="shared" si="1430"/>
        <v>0</v>
      </c>
      <c r="Q9259" s="17" t="str">
        <f t="shared" si="1432"/>
        <v>Pas d'écart</v>
      </c>
    </row>
    <row r="9260" spans="1:17" x14ac:dyDescent="0.3">
      <c r="A9260" s="34">
        <f>base!J9260</f>
        <v>0</v>
      </c>
      <c r="B9260" s="34">
        <f>base!V9260</f>
        <v>0</v>
      </c>
      <c r="C9260" s="40" t="s">
        <v>11</v>
      </c>
      <c r="D9260" s="36">
        <f>base!H9260</f>
        <v>0</v>
      </c>
      <c r="E9260" s="44"/>
      <c r="F9260" s="16">
        <f>base!W9260</f>
        <v>0</v>
      </c>
      <c r="G9260" s="11" t="e">
        <f t="shared" si="1424"/>
        <v>#DIV/0!</v>
      </c>
      <c r="H9260" s="11" t="e">
        <f t="shared" si="1425"/>
        <v>#N/A</v>
      </c>
      <c r="I9260" s="11" t="e">
        <f t="shared" si="1426"/>
        <v>#N/A</v>
      </c>
      <c r="J9260" s="12" t="e">
        <f t="shared" si="1427"/>
        <v>#N/A</v>
      </c>
      <c r="K9260" s="17" t="e">
        <f t="shared" si="1431"/>
        <v>#N/A</v>
      </c>
      <c r="L9260" s="16">
        <f>base!X9260</f>
        <v>0</v>
      </c>
      <c r="M9260" s="11" t="e">
        <f t="shared" si="1428"/>
        <v>#DIV/0!</v>
      </c>
      <c r="N9260" s="11"/>
      <c r="O9260" s="11" t="e">
        <f t="shared" si="1429"/>
        <v>#DIV/0!</v>
      </c>
      <c r="P9260" s="12">
        <f t="shared" si="1430"/>
        <v>0</v>
      </c>
      <c r="Q9260" s="17" t="str">
        <f t="shared" si="1432"/>
        <v>Pas d'écart</v>
      </c>
    </row>
    <row r="9261" spans="1:17" x14ac:dyDescent="0.3">
      <c r="A9261" s="34">
        <f>base!J9261</f>
        <v>0</v>
      </c>
      <c r="B9261" s="34">
        <f>base!V9261</f>
        <v>0</v>
      </c>
      <c r="C9261" s="40" t="s">
        <v>11</v>
      </c>
      <c r="D9261" s="36">
        <f>base!H9261</f>
        <v>0</v>
      </c>
      <c r="E9261" s="44"/>
      <c r="F9261" s="16">
        <f>base!W9261</f>
        <v>0</v>
      </c>
      <c r="G9261" s="11" t="e">
        <f t="shared" si="1424"/>
        <v>#DIV/0!</v>
      </c>
      <c r="H9261" s="11" t="e">
        <f t="shared" si="1425"/>
        <v>#N/A</v>
      </c>
      <c r="I9261" s="11" t="e">
        <f t="shared" si="1426"/>
        <v>#N/A</v>
      </c>
      <c r="J9261" s="12" t="e">
        <f t="shared" si="1427"/>
        <v>#N/A</v>
      </c>
      <c r="K9261" s="17" t="e">
        <f t="shared" si="1431"/>
        <v>#N/A</v>
      </c>
      <c r="L9261" s="16">
        <f>base!X9261</f>
        <v>0</v>
      </c>
      <c r="M9261" s="11" t="e">
        <f t="shared" si="1428"/>
        <v>#DIV/0!</v>
      </c>
      <c r="N9261" s="11"/>
      <c r="O9261" s="11" t="e">
        <f t="shared" si="1429"/>
        <v>#DIV/0!</v>
      </c>
      <c r="P9261" s="12">
        <f t="shared" si="1430"/>
        <v>0</v>
      </c>
      <c r="Q9261" s="17" t="str">
        <f t="shared" si="1432"/>
        <v>Pas d'écart</v>
      </c>
    </row>
    <row r="9262" spans="1:17" x14ac:dyDescent="0.3">
      <c r="A9262" s="34">
        <f>base!J9262</f>
        <v>0</v>
      </c>
      <c r="B9262" s="34">
        <f>base!V9262</f>
        <v>0</v>
      </c>
      <c r="C9262" s="40" t="s">
        <v>11</v>
      </c>
      <c r="D9262" s="36">
        <f>base!H9262</f>
        <v>0</v>
      </c>
      <c r="E9262" s="44"/>
      <c r="F9262" s="16">
        <f>base!W9262</f>
        <v>0</v>
      </c>
      <c r="G9262" s="11" t="e">
        <f t="shared" si="1424"/>
        <v>#DIV/0!</v>
      </c>
      <c r="H9262" s="11" t="e">
        <f t="shared" si="1425"/>
        <v>#N/A</v>
      </c>
      <c r="I9262" s="11" t="e">
        <f t="shared" si="1426"/>
        <v>#N/A</v>
      </c>
      <c r="J9262" s="12" t="e">
        <f t="shared" si="1427"/>
        <v>#N/A</v>
      </c>
      <c r="K9262" s="17" t="e">
        <f t="shared" si="1431"/>
        <v>#N/A</v>
      </c>
      <c r="L9262" s="16">
        <f>base!X9262</f>
        <v>0</v>
      </c>
      <c r="M9262" s="11" t="e">
        <f t="shared" si="1428"/>
        <v>#DIV/0!</v>
      </c>
      <c r="N9262" s="11"/>
      <c r="O9262" s="11" t="e">
        <f t="shared" si="1429"/>
        <v>#DIV/0!</v>
      </c>
      <c r="P9262" s="12">
        <f t="shared" si="1430"/>
        <v>0</v>
      </c>
      <c r="Q9262" s="17" t="str">
        <f t="shared" si="1432"/>
        <v>Pas d'écart</v>
      </c>
    </row>
    <row r="9263" spans="1:17" x14ac:dyDescent="0.3">
      <c r="A9263" s="34">
        <f>base!J9263</f>
        <v>0</v>
      </c>
      <c r="B9263" s="34">
        <f>base!V9263</f>
        <v>0</v>
      </c>
      <c r="C9263" s="40" t="s">
        <v>11</v>
      </c>
      <c r="D9263" s="36">
        <f>base!H9263</f>
        <v>0</v>
      </c>
      <c r="E9263" s="44"/>
      <c r="F9263" s="16">
        <f>base!W9263</f>
        <v>0</v>
      </c>
      <c r="G9263" s="11" t="e">
        <f t="shared" si="1424"/>
        <v>#DIV/0!</v>
      </c>
      <c r="H9263" s="11" t="e">
        <f t="shared" si="1425"/>
        <v>#N/A</v>
      </c>
      <c r="I9263" s="11" t="e">
        <f t="shared" si="1426"/>
        <v>#N/A</v>
      </c>
      <c r="J9263" s="12" t="e">
        <f t="shared" si="1427"/>
        <v>#N/A</v>
      </c>
      <c r="K9263" s="17" t="e">
        <f t="shared" si="1431"/>
        <v>#N/A</v>
      </c>
      <c r="L9263" s="16">
        <f>base!X9263</f>
        <v>0</v>
      </c>
      <c r="M9263" s="11" t="e">
        <f t="shared" si="1428"/>
        <v>#DIV/0!</v>
      </c>
      <c r="N9263" s="11"/>
      <c r="O9263" s="11" t="e">
        <f t="shared" si="1429"/>
        <v>#DIV/0!</v>
      </c>
      <c r="P9263" s="12">
        <f t="shared" si="1430"/>
        <v>0</v>
      </c>
      <c r="Q9263" s="17" t="str">
        <f t="shared" si="1432"/>
        <v>Pas d'écart</v>
      </c>
    </row>
    <row r="9264" spans="1:17" x14ac:dyDescent="0.3">
      <c r="A9264" s="34">
        <f>base!J9264</f>
        <v>0</v>
      </c>
      <c r="B9264" s="34">
        <f>base!V9264</f>
        <v>0</v>
      </c>
      <c r="C9264" s="40" t="s">
        <v>11</v>
      </c>
      <c r="D9264" s="36">
        <f>base!H9264</f>
        <v>0</v>
      </c>
      <c r="E9264" s="44"/>
      <c r="F9264" s="16">
        <f>base!W9264</f>
        <v>0</v>
      </c>
      <c r="G9264" s="11" t="e">
        <f t="shared" si="1424"/>
        <v>#DIV/0!</v>
      </c>
      <c r="H9264" s="11" t="e">
        <f t="shared" si="1425"/>
        <v>#N/A</v>
      </c>
      <c r="I9264" s="11" t="e">
        <f t="shared" si="1426"/>
        <v>#N/A</v>
      </c>
      <c r="J9264" s="12" t="e">
        <f t="shared" si="1427"/>
        <v>#N/A</v>
      </c>
      <c r="K9264" s="17" t="e">
        <f t="shared" si="1431"/>
        <v>#N/A</v>
      </c>
      <c r="L9264" s="16">
        <f>base!X9264</f>
        <v>0</v>
      </c>
      <c r="M9264" s="11" t="e">
        <f t="shared" si="1428"/>
        <v>#DIV/0!</v>
      </c>
      <c r="N9264" s="11"/>
      <c r="O9264" s="11" t="e">
        <f t="shared" si="1429"/>
        <v>#DIV/0!</v>
      </c>
      <c r="P9264" s="12">
        <f t="shared" si="1430"/>
        <v>0</v>
      </c>
      <c r="Q9264" s="17" t="str">
        <f t="shared" si="1432"/>
        <v>Pas d'écart</v>
      </c>
    </row>
    <row r="9265" spans="1:17" x14ac:dyDescent="0.3">
      <c r="A9265" s="34">
        <f>base!J9265</f>
        <v>0</v>
      </c>
      <c r="B9265" s="34">
        <f>base!V9265</f>
        <v>0</v>
      </c>
      <c r="C9265" s="40" t="s">
        <v>11</v>
      </c>
      <c r="D9265" s="36">
        <f>base!H9265</f>
        <v>0</v>
      </c>
      <c r="E9265" s="44"/>
      <c r="F9265" s="16">
        <f>base!W9265</f>
        <v>0</v>
      </c>
      <c r="G9265" s="11" t="e">
        <f t="shared" si="1424"/>
        <v>#DIV/0!</v>
      </c>
      <c r="H9265" s="11" t="e">
        <f t="shared" si="1425"/>
        <v>#N/A</v>
      </c>
      <c r="I9265" s="11" t="e">
        <f t="shared" si="1426"/>
        <v>#N/A</v>
      </c>
      <c r="J9265" s="12" t="e">
        <f t="shared" si="1427"/>
        <v>#N/A</v>
      </c>
      <c r="K9265" s="17" t="e">
        <f t="shared" si="1431"/>
        <v>#N/A</v>
      </c>
      <c r="L9265" s="16">
        <f>base!X9265</f>
        <v>0</v>
      </c>
      <c r="M9265" s="11" t="e">
        <f t="shared" si="1428"/>
        <v>#DIV/0!</v>
      </c>
      <c r="N9265" s="11"/>
      <c r="O9265" s="11" t="e">
        <f t="shared" si="1429"/>
        <v>#DIV/0!</v>
      </c>
      <c r="P9265" s="12">
        <f t="shared" si="1430"/>
        <v>0</v>
      </c>
      <c r="Q9265" s="17" t="str">
        <f t="shared" si="1432"/>
        <v>Pas d'écart</v>
      </c>
    </row>
    <row r="9266" spans="1:17" x14ac:dyDescent="0.3">
      <c r="A9266" s="34">
        <f>base!J9266</f>
        <v>0</v>
      </c>
      <c r="B9266" s="34">
        <f>base!V9266</f>
        <v>0</v>
      </c>
      <c r="C9266" s="40" t="s">
        <v>11</v>
      </c>
      <c r="D9266" s="36">
        <f>base!H9266</f>
        <v>0</v>
      </c>
      <c r="E9266" s="44"/>
      <c r="F9266" s="16">
        <f>base!W9266</f>
        <v>0</v>
      </c>
      <c r="G9266" s="11" t="e">
        <f t="shared" si="1424"/>
        <v>#DIV/0!</v>
      </c>
      <c r="H9266" s="11" t="e">
        <f t="shared" si="1425"/>
        <v>#N/A</v>
      </c>
      <c r="I9266" s="11" t="e">
        <f t="shared" si="1426"/>
        <v>#N/A</v>
      </c>
      <c r="J9266" s="12" t="e">
        <f t="shared" si="1427"/>
        <v>#N/A</v>
      </c>
      <c r="K9266" s="17" t="e">
        <f t="shared" si="1431"/>
        <v>#N/A</v>
      </c>
      <c r="L9266" s="16">
        <f>base!X9266</f>
        <v>0</v>
      </c>
      <c r="M9266" s="11" t="e">
        <f t="shared" si="1428"/>
        <v>#DIV/0!</v>
      </c>
      <c r="N9266" s="11"/>
      <c r="O9266" s="11" t="e">
        <f t="shared" si="1429"/>
        <v>#DIV/0!</v>
      </c>
      <c r="P9266" s="12">
        <f t="shared" si="1430"/>
        <v>0</v>
      </c>
      <c r="Q9266" s="17" t="str">
        <f t="shared" si="1432"/>
        <v>Pas d'écart</v>
      </c>
    </row>
    <row r="9267" spans="1:17" x14ac:dyDescent="0.3">
      <c r="A9267" s="34">
        <f>base!J9267</f>
        <v>0</v>
      </c>
      <c r="B9267" s="34">
        <f>base!V9267</f>
        <v>0</v>
      </c>
      <c r="C9267" s="40" t="s">
        <v>11</v>
      </c>
      <c r="D9267" s="36">
        <f>base!H9267</f>
        <v>0</v>
      </c>
      <c r="E9267" s="44"/>
      <c r="F9267" s="16">
        <f>base!W9267</f>
        <v>0</v>
      </c>
      <c r="G9267" s="11" t="e">
        <f t="shared" si="1424"/>
        <v>#DIV/0!</v>
      </c>
      <c r="H9267" s="11" t="e">
        <f t="shared" si="1425"/>
        <v>#N/A</v>
      </c>
      <c r="I9267" s="11" t="e">
        <f t="shared" si="1426"/>
        <v>#N/A</v>
      </c>
      <c r="J9267" s="12" t="e">
        <f t="shared" si="1427"/>
        <v>#N/A</v>
      </c>
      <c r="K9267" s="17" t="e">
        <f t="shared" si="1431"/>
        <v>#N/A</v>
      </c>
      <c r="L9267" s="16">
        <f>base!X9267</f>
        <v>0</v>
      </c>
      <c r="M9267" s="11" t="e">
        <f t="shared" si="1428"/>
        <v>#DIV/0!</v>
      </c>
      <c r="N9267" s="11"/>
      <c r="O9267" s="11" t="e">
        <f t="shared" si="1429"/>
        <v>#DIV/0!</v>
      </c>
      <c r="P9267" s="12">
        <f t="shared" si="1430"/>
        <v>0</v>
      </c>
      <c r="Q9267" s="17" t="str">
        <f t="shared" si="1432"/>
        <v>Pas d'écart</v>
      </c>
    </row>
    <row r="9268" spans="1:17" x14ac:dyDescent="0.3">
      <c r="A9268" s="34">
        <f>base!J9268</f>
        <v>0</v>
      </c>
      <c r="B9268" s="34">
        <f>base!V9268</f>
        <v>0</v>
      </c>
      <c r="C9268" s="40" t="s">
        <v>11</v>
      </c>
      <c r="D9268" s="36">
        <f>base!H9268</f>
        <v>0</v>
      </c>
      <c r="E9268" s="44"/>
      <c r="F9268" s="16">
        <f>base!W9268</f>
        <v>0</v>
      </c>
      <c r="G9268" s="11" t="e">
        <f t="shared" si="1424"/>
        <v>#DIV/0!</v>
      </c>
      <c r="H9268" s="11" t="e">
        <f t="shared" si="1425"/>
        <v>#N/A</v>
      </c>
      <c r="I9268" s="11" t="e">
        <f t="shared" si="1426"/>
        <v>#N/A</v>
      </c>
      <c r="J9268" s="12" t="e">
        <f t="shared" si="1427"/>
        <v>#N/A</v>
      </c>
      <c r="K9268" s="17" t="e">
        <f t="shared" si="1431"/>
        <v>#N/A</v>
      </c>
      <c r="L9268" s="16">
        <f>base!X9268</f>
        <v>0</v>
      </c>
      <c r="M9268" s="11" t="e">
        <f t="shared" si="1428"/>
        <v>#DIV/0!</v>
      </c>
      <c r="N9268" s="11"/>
      <c r="O9268" s="11" t="e">
        <f t="shared" si="1429"/>
        <v>#DIV/0!</v>
      </c>
      <c r="P9268" s="12">
        <f t="shared" si="1430"/>
        <v>0</v>
      </c>
      <c r="Q9268" s="17" t="str">
        <f t="shared" si="1432"/>
        <v>Pas d'écart</v>
      </c>
    </row>
    <row r="9269" spans="1:17" x14ac:dyDescent="0.3">
      <c r="A9269" s="34">
        <f>base!J9269</f>
        <v>0</v>
      </c>
      <c r="B9269" s="34">
        <f>base!V9269</f>
        <v>0</v>
      </c>
      <c r="C9269" s="40" t="s">
        <v>11</v>
      </c>
      <c r="D9269" s="36">
        <f>base!H9269</f>
        <v>0</v>
      </c>
      <c r="E9269" s="44"/>
      <c r="F9269" s="16">
        <f>base!W9269</f>
        <v>0</v>
      </c>
      <c r="G9269" s="11" t="e">
        <f t="shared" si="1424"/>
        <v>#DIV/0!</v>
      </c>
      <c r="H9269" s="11" t="e">
        <f t="shared" si="1425"/>
        <v>#N/A</v>
      </c>
      <c r="I9269" s="11" t="e">
        <f t="shared" si="1426"/>
        <v>#N/A</v>
      </c>
      <c r="J9269" s="12" t="e">
        <f t="shared" si="1427"/>
        <v>#N/A</v>
      </c>
      <c r="K9269" s="17" t="e">
        <f t="shared" si="1431"/>
        <v>#N/A</v>
      </c>
      <c r="L9269" s="16">
        <f>base!X9269</f>
        <v>0</v>
      </c>
      <c r="M9269" s="11" t="e">
        <f t="shared" si="1428"/>
        <v>#DIV/0!</v>
      </c>
      <c r="N9269" s="11"/>
      <c r="O9269" s="11" t="e">
        <f t="shared" si="1429"/>
        <v>#DIV/0!</v>
      </c>
      <c r="P9269" s="12">
        <f t="shared" si="1430"/>
        <v>0</v>
      </c>
      <c r="Q9269" s="17" t="str">
        <f t="shared" si="1432"/>
        <v>Pas d'écart</v>
      </c>
    </row>
    <row r="9270" spans="1:17" x14ac:dyDescent="0.3">
      <c r="A9270" s="34">
        <f>base!J9270</f>
        <v>0</v>
      </c>
      <c r="B9270" s="34">
        <f>base!V9270</f>
        <v>0</v>
      </c>
      <c r="C9270" s="40" t="s">
        <v>11</v>
      </c>
      <c r="D9270" s="36">
        <f>base!H9270</f>
        <v>0</v>
      </c>
      <c r="E9270" s="44"/>
      <c r="F9270" s="16">
        <f>base!W9270</f>
        <v>0</v>
      </c>
      <c r="G9270" s="11" t="e">
        <f t="shared" si="1424"/>
        <v>#DIV/0!</v>
      </c>
      <c r="H9270" s="11" t="e">
        <f t="shared" si="1425"/>
        <v>#N/A</v>
      </c>
      <c r="I9270" s="11" t="e">
        <f t="shared" si="1426"/>
        <v>#N/A</v>
      </c>
      <c r="J9270" s="12" t="e">
        <f t="shared" si="1427"/>
        <v>#N/A</v>
      </c>
      <c r="K9270" s="17" t="e">
        <f t="shared" si="1431"/>
        <v>#N/A</v>
      </c>
      <c r="L9270" s="16">
        <f>base!X9270</f>
        <v>0</v>
      </c>
      <c r="M9270" s="11" t="e">
        <f t="shared" si="1428"/>
        <v>#DIV/0!</v>
      </c>
      <c r="N9270" s="11"/>
      <c r="O9270" s="11" t="e">
        <f t="shared" si="1429"/>
        <v>#DIV/0!</v>
      </c>
      <c r="P9270" s="12">
        <f t="shared" si="1430"/>
        <v>0</v>
      </c>
      <c r="Q9270" s="17" t="str">
        <f t="shared" si="1432"/>
        <v>Pas d'écart</v>
      </c>
    </row>
    <row r="9271" spans="1:17" x14ac:dyDescent="0.3">
      <c r="A9271" s="34">
        <f>base!J9271</f>
        <v>0</v>
      </c>
      <c r="B9271" s="34">
        <f>base!V9271</f>
        <v>0</v>
      </c>
      <c r="C9271" s="40" t="s">
        <v>11</v>
      </c>
      <c r="D9271" s="36">
        <f>base!H9271</f>
        <v>0</v>
      </c>
      <c r="E9271" s="44"/>
      <c r="F9271" s="16">
        <f>base!W9271</f>
        <v>0</v>
      </c>
      <c r="G9271" s="11" t="e">
        <f t="shared" si="1424"/>
        <v>#DIV/0!</v>
      </c>
      <c r="H9271" s="11" t="e">
        <f t="shared" si="1425"/>
        <v>#N/A</v>
      </c>
      <c r="I9271" s="11" t="e">
        <f t="shared" si="1426"/>
        <v>#N/A</v>
      </c>
      <c r="J9271" s="12" t="e">
        <f t="shared" si="1427"/>
        <v>#N/A</v>
      </c>
      <c r="K9271" s="17" t="e">
        <f t="shared" si="1431"/>
        <v>#N/A</v>
      </c>
      <c r="L9271" s="16">
        <f>base!X9271</f>
        <v>0</v>
      </c>
      <c r="M9271" s="11" t="e">
        <f t="shared" si="1428"/>
        <v>#DIV/0!</v>
      </c>
      <c r="N9271" s="11"/>
      <c r="O9271" s="11" t="e">
        <f t="shared" si="1429"/>
        <v>#DIV/0!</v>
      </c>
      <c r="P9271" s="12">
        <f t="shared" si="1430"/>
        <v>0</v>
      </c>
      <c r="Q9271" s="17" t="str">
        <f t="shared" si="1432"/>
        <v>Pas d'écart</v>
      </c>
    </row>
    <row r="9272" spans="1:17" x14ac:dyDescent="0.3">
      <c r="A9272" s="34">
        <f>base!J9272</f>
        <v>0</v>
      </c>
      <c r="B9272" s="34">
        <f>base!V9272</f>
        <v>0</v>
      </c>
      <c r="C9272" s="40" t="s">
        <v>11</v>
      </c>
      <c r="D9272" s="36">
        <f>base!H9272</f>
        <v>0</v>
      </c>
      <c r="E9272" s="44"/>
      <c r="F9272" s="16">
        <f>base!W9272</f>
        <v>0</v>
      </c>
      <c r="G9272" s="11" t="e">
        <f t="shared" si="1424"/>
        <v>#DIV/0!</v>
      </c>
      <c r="H9272" s="11" t="e">
        <f t="shared" si="1425"/>
        <v>#N/A</v>
      </c>
      <c r="I9272" s="11" t="e">
        <f t="shared" si="1426"/>
        <v>#N/A</v>
      </c>
      <c r="J9272" s="12" t="e">
        <f t="shared" si="1427"/>
        <v>#N/A</v>
      </c>
      <c r="K9272" s="17" t="e">
        <f t="shared" si="1431"/>
        <v>#N/A</v>
      </c>
      <c r="L9272" s="16">
        <f>base!X9272</f>
        <v>0</v>
      </c>
      <c r="M9272" s="11" t="e">
        <f t="shared" si="1428"/>
        <v>#DIV/0!</v>
      </c>
      <c r="N9272" s="11"/>
      <c r="O9272" s="11" t="e">
        <f t="shared" si="1429"/>
        <v>#DIV/0!</v>
      </c>
      <c r="P9272" s="12">
        <f t="shared" si="1430"/>
        <v>0</v>
      </c>
      <c r="Q9272" s="17" t="str">
        <f t="shared" si="1432"/>
        <v>Pas d'écart</v>
      </c>
    </row>
    <row r="9273" spans="1:17" x14ac:dyDescent="0.3">
      <c r="A9273" s="34">
        <f>base!J9273</f>
        <v>0</v>
      </c>
      <c r="B9273" s="34">
        <f>base!V9273</f>
        <v>0</v>
      </c>
      <c r="C9273" s="40" t="s">
        <v>11</v>
      </c>
      <c r="D9273" s="36">
        <f>base!H9273</f>
        <v>0</v>
      </c>
      <c r="E9273" s="44"/>
      <c r="F9273" s="16">
        <f>base!W9273</f>
        <v>0</v>
      </c>
      <c r="G9273" s="11" t="e">
        <f t="shared" si="1424"/>
        <v>#DIV/0!</v>
      </c>
      <c r="H9273" s="11" t="e">
        <f t="shared" si="1425"/>
        <v>#N/A</v>
      </c>
      <c r="I9273" s="11" t="e">
        <f t="shared" si="1426"/>
        <v>#N/A</v>
      </c>
      <c r="J9273" s="12" t="e">
        <f t="shared" si="1427"/>
        <v>#N/A</v>
      </c>
      <c r="K9273" s="17" t="e">
        <f t="shared" si="1431"/>
        <v>#N/A</v>
      </c>
      <c r="L9273" s="16">
        <f>base!X9273</f>
        <v>0</v>
      </c>
      <c r="M9273" s="11" t="e">
        <f t="shared" si="1428"/>
        <v>#DIV/0!</v>
      </c>
      <c r="N9273" s="11"/>
      <c r="O9273" s="11" t="e">
        <f t="shared" si="1429"/>
        <v>#DIV/0!</v>
      </c>
      <c r="P9273" s="12">
        <f t="shared" si="1430"/>
        <v>0</v>
      </c>
      <c r="Q9273" s="17" t="str">
        <f t="shared" si="1432"/>
        <v>Pas d'écart</v>
      </c>
    </row>
    <row r="9274" spans="1:17" x14ac:dyDescent="0.3">
      <c r="A9274" s="34">
        <f>base!J9274</f>
        <v>0</v>
      </c>
      <c r="B9274" s="34">
        <f>base!V9274</f>
        <v>0</v>
      </c>
      <c r="C9274" s="40" t="s">
        <v>11</v>
      </c>
      <c r="D9274" s="36">
        <f>base!H9274</f>
        <v>0</v>
      </c>
      <c r="E9274" s="44"/>
      <c r="F9274" s="16">
        <f>base!W9274</f>
        <v>0</v>
      </c>
      <c r="G9274" s="11" t="e">
        <f t="shared" si="1424"/>
        <v>#DIV/0!</v>
      </c>
      <c r="H9274" s="11" t="e">
        <f t="shared" si="1425"/>
        <v>#N/A</v>
      </c>
      <c r="I9274" s="11" t="e">
        <f t="shared" si="1426"/>
        <v>#N/A</v>
      </c>
      <c r="J9274" s="12" t="e">
        <f t="shared" si="1427"/>
        <v>#N/A</v>
      </c>
      <c r="K9274" s="17" t="e">
        <f t="shared" si="1431"/>
        <v>#N/A</v>
      </c>
      <c r="L9274" s="16">
        <f>base!X9274</f>
        <v>0</v>
      </c>
      <c r="M9274" s="11" t="e">
        <f t="shared" si="1428"/>
        <v>#DIV/0!</v>
      </c>
      <c r="N9274" s="11"/>
      <c r="O9274" s="11" t="e">
        <f t="shared" si="1429"/>
        <v>#DIV/0!</v>
      </c>
      <c r="P9274" s="12">
        <f t="shared" si="1430"/>
        <v>0</v>
      </c>
      <c r="Q9274" s="17" t="str">
        <f t="shared" si="1432"/>
        <v>Pas d'écart</v>
      </c>
    </row>
    <row r="9275" spans="1:17" x14ac:dyDescent="0.3">
      <c r="A9275" s="34">
        <f>base!J9275</f>
        <v>0</v>
      </c>
      <c r="B9275" s="34">
        <f>base!V9275</f>
        <v>0</v>
      </c>
      <c r="C9275" s="40" t="s">
        <v>11</v>
      </c>
      <c r="D9275" s="36">
        <f>base!H9275</f>
        <v>0</v>
      </c>
      <c r="E9275" s="44"/>
      <c r="F9275" s="16">
        <f>base!W9275</f>
        <v>0</v>
      </c>
      <c r="G9275" s="11" t="e">
        <f t="shared" si="1424"/>
        <v>#DIV/0!</v>
      </c>
      <c r="H9275" s="11" t="e">
        <f t="shared" si="1425"/>
        <v>#N/A</v>
      </c>
      <c r="I9275" s="11" t="e">
        <f t="shared" si="1426"/>
        <v>#N/A</v>
      </c>
      <c r="J9275" s="12" t="e">
        <f t="shared" si="1427"/>
        <v>#N/A</v>
      </c>
      <c r="K9275" s="17" t="e">
        <f t="shared" si="1431"/>
        <v>#N/A</v>
      </c>
      <c r="L9275" s="16">
        <f>base!X9275</f>
        <v>0</v>
      </c>
      <c r="M9275" s="11" t="e">
        <f t="shared" si="1428"/>
        <v>#DIV/0!</v>
      </c>
      <c r="N9275" s="11"/>
      <c r="O9275" s="11" t="e">
        <f t="shared" si="1429"/>
        <v>#DIV/0!</v>
      </c>
      <c r="P9275" s="12">
        <f t="shared" si="1430"/>
        <v>0</v>
      </c>
      <c r="Q9275" s="17" t="str">
        <f t="shared" si="1432"/>
        <v>Pas d'écart</v>
      </c>
    </row>
    <row r="9276" spans="1:17" x14ac:dyDescent="0.3">
      <c r="A9276" s="34">
        <f>base!J9276</f>
        <v>0</v>
      </c>
      <c r="B9276" s="34">
        <f>base!V9276</f>
        <v>0</v>
      </c>
      <c r="C9276" s="40" t="s">
        <v>11</v>
      </c>
      <c r="D9276" s="36">
        <f>base!H9276</f>
        <v>0</v>
      </c>
      <c r="E9276" s="44"/>
      <c r="F9276" s="16">
        <f>base!W9276</f>
        <v>0</v>
      </c>
      <c r="G9276" s="11" t="e">
        <f t="shared" si="1424"/>
        <v>#DIV/0!</v>
      </c>
      <c r="H9276" s="11" t="e">
        <f t="shared" si="1425"/>
        <v>#N/A</v>
      </c>
      <c r="I9276" s="11" t="e">
        <f t="shared" si="1426"/>
        <v>#N/A</v>
      </c>
      <c r="J9276" s="12" t="e">
        <f t="shared" si="1427"/>
        <v>#N/A</v>
      </c>
      <c r="K9276" s="17" t="e">
        <f t="shared" si="1431"/>
        <v>#N/A</v>
      </c>
      <c r="L9276" s="16">
        <f>base!X9276</f>
        <v>0</v>
      </c>
      <c r="M9276" s="11" t="e">
        <f t="shared" si="1428"/>
        <v>#DIV/0!</v>
      </c>
      <c r="N9276" s="11"/>
      <c r="O9276" s="11" t="e">
        <f t="shared" si="1429"/>
        <v>#DIV/0!</v>
      </c>
      <c r="P9276" s="12">
        <f t="shared" si="1430"/>
        <v>0</v>
      </c>
      <c r="Q9276" s="17" t="str">
        <f t="shared" si="1432"/>
        <v>Pas d'écart</v>
      </c>
    </row>
    <row r="9277" spans="1:17" x14ac:dyDescent="0.3">
      <c r="A9277" s="34">
        <f>base!J9277</f>
        <v>0</v>
      </c>
      <c r="B9277" s="34">
        <f>base!V9277</f>
        <v>0</v>
      </c>
      <c r="C9277" s="40" t="s">
        <v>11</v>
      </c>
      <c r="D9277" s="36">
        <f>base!H9277</f>
        <v>0</v>
      </c>
      <c r="E9277" s="44"/>
      <c r="F9277" s="16">
        <f>base!W9277</f>
        <v>0</v>
      </c>
      <c r="G9277" s="11" t="e">
        <f t="shared" si="1424"/>
        <v>#DIV/0!</v>
      </c>
      <c r="H9277" s="11" t="e">
        <f t="shared" si="1425"/>
        <v>#N/A</v>
      </c>
      <c r="I9277" s="11" t="e">
        <f t="shared" si="1426"/>
        <v>#N/A</v>
      </c>
      <c r="J9277" s="12" t="e">
        <f t="shared" si="1427"/>
        <v>#N/A</v>
      </c>
      <c r="K9277" s="17" t="e">
        <f t="shared" si="1431"/>
        <v>#N/A</v>
      </c>
      <c r="L9277" s="16">
        <f>base!X9277</f>
        <v>0</v>
      </c>
      <c r="M9277" s="11" t="e">
        <f t="shared" si="1428"/>
        <v>#DIV/0!</v>
      </c>
      <c r="N9277" s="11"/>
      <c r="O9277" s="11" t="e">
        <f t="shared" si="1429"/>
        <v>#DIV/0!</v>
      </c>
      <c r="P9277" s="12">
        <f t="shared" si="1430"/>
        <v>0</v>
      </c>
      <c r="Q9277" s="17" t="str">
        <f t="shared" si="1432"/>
        <v>Pas d'écart</v>
      </c>
    </row>
    <row r="9278" spans="1:17" x14ac:dyDescent="0.3">
      <c r="A9278" s="34">
        <f>base!J9278</f>
        <v>0</v>
      </c>
      <c r="B9278" s="34">
        <f>base!V9278</f>
        <v>0</v>
      </c>
      <c r="C9278" s="40" t="s">
        <v>11</v>
      </c>
      <c r="D9278" s="36">
        <f>base!H9278</f>
        <v>0</v>
      </c>
      <c r="E9278" s="44"/>
      <c r="F9278" s="16">
        <f>base!W9278</f>
        <v>0</v>
      </c>
      <c r="G9278" s="11" t="e">
        <f t="shared" si="1424"/>
        <v>#DIV/0!</v>
      </c>
      <c r="H9278" s="11" t="e">
        <f t="shared" si="1425"/>
        <v>#N/A</v>
      </c>
      <c r="I9278" s="11" t="e">
        <f t="shared" si="1426"/>
        <v>#N/A</v>
      </c>
      <c r="J9278" s="12" t="e">
        <f t="shared" si="1427"/>
        <v>#N/A</v>
      </c>
      <c r="K9278" s="17" t="e">
        <f t="shared" si="1431"/>
        <v>#N/A</v>
      </c>
      <c r="L9278" s="16">
        <f>base!X9278</f>
        <v>0</v>
      </c>
      <c r="M9278" s="11" t="e">
        <f t="shared" si="1428"/>
        <v>#DIV/0!</v>
      </c>
      <c r="N9278" s="11"/>
      <c r="O9278" s="11" t="e">
        <f t="shared" si="1429"/>
        <v>#DIV/0!</v>
      </c>
      <c r="P9278" s="12">
        <f t="shared" si="1430"/>
        <v>0</v>
      </c>
      <c r="Q9278" s="17" t="str">
        <f t="shared" si="1432"/>
        <v>Pas d'écart</v>
      </c>
    </row>
    <row r="9279" spans="1:17" x14ac:dyDescent="0.3">
      <c r="A9279" s="34">
        <f>base!J9279</f>
        <v>0</v>
      </c>
      <c r="B9279" s="34">
        <f>base!V9279</f>
        <v>0</v>
      </c>
      <c r="C9279" s="40" t="s">
        <v>11</v>
      </c>
      <c r="D9279" s="36">
        <f>base!H9279</f>
        <v>0</v>
      </c>
      <c r="E9279" s="44"/>
      <c r="F9279" s="16">
        <f>base!W9279</f>
        <v>0</v>
      </c>
      <c r="G9279" s="11" t="e">
        <f t="shared" si="1424"/>
        <v>#DIV/0!</v>
      </c>
      <c r="H9279" s="11" t="e">
        <f t="shared" si="1425"/>
        <v>#N/A</v>
      </c>
      <c r="I9279" s="11" t="e">
        <f t="shared" si="1426"/>
        <v>#N/A</v>
      </c>
      <c r="J9279" s="12" t="e">
        <f t="shared" si="1427"/>
        <v>#N/A</v>
      </c>
      <c r="K9279" s="17" t="e">
        <f t="shared" si="1431"/>
        <v>#N/A</v>
      </c>
      <c r="L9279" s="16">
        <f>base!X9279</f>
        <v>0</v>
      </c>
      <c r="M9279" s="11" t="e">
        <f t="shared" si="1428"/>
        <v>#DIV/0!</v>
      </c>
      <c r="N9279" s="11"/>
      <c r="O9279" s="11" t="e">
        <f t="shared" si="1429"/>
        <v>#DIV/0!</v>
      </c>
      <c r="P9279" s="12">
        <f t="shared" si="1430"/>
        <v>0</v>
      </c>
      <c r="Q9279" s="17" t="str">
        <f t="shared" si="1432"/>
        <v>Pas d'écart</v>
      </c>
    </row>
    <row r="9280" spans="1:17" x14ac:dyDescent="0.3">
      <c r="A9280" s="34">
        <f>base!J9280</f>
        <v>0</v>
      </c>
      <c r="B9280" s="34">
        <f>base!V9280</f>
        <v>0</v>
      </c>
      <c r="C9280" s="40" t="s">
        <v>11</v>
      </c>
      <c r="D9280" s="36">
        <f>base!H9280</f>
        <v>0</v>
      </c>
      <c r="E9280" s="44"/>
      <c r="F9280" s="16">
        <f>base!W9280</f>
        <v>0</v>
      </c>
      <c r="G9280" s="11" t="e">
        <f t="shared" si="1424"/>
        <v>#DIV/0!</v>
      </c>
      <c r="H9280" s="11" t="e">
        <f t="shared" si="1425"/>
        <v>#N/A</v>
      </c>
      <c r="I9280" s="11" t="e">
        <f t="shared" si="1426"/>
        <v>#N/A</v>
      </c>
      <c r="J9280" s="12" t="e">
        <f t="shared" si="1427"/>
        <v>#N/A</v>
      </c>
      <c r="K9280" s="17" t="e">
        <f t="shared" si="1431"/>
        <v>#N/A</v>
      </c>
      <c r="L9280" s="16">
        <f>base!X9280</f>
        <v>0</v>
      </c>
      <c r="M9280" s="11" t="e">
        <f t="shared" si="1428"/>
        <v>#DIV/0!</v>
      </c>
      <c r="N9280" s="11"/>
      <c r="O9280" s="11" t="e">
        <f t="shared" si="1429"/>
        <v>#DIV/0!</v>
      </c>
      <c r="P9280" s="12">
        <f t="shared" si="1430"/>
        <v>0</v>
      </c>
      <c r="Q9280" s="17" t="str">
        <f t="shared" si="1432"/>
        <v>Pas d'écart</v>
      </c>
    </row>
    <row r="9281" spans="1:17" x14ac:dyDescent="0.3">
      <c r="A9281" s="34">
        <f>base!J9281</f>
        <v>0</v>
      </c>
      <c r="B9281" s="34">
        <f>base!V9281</f>
        <v>0</v>
      </c>
      <c r="C9281" s="40" t="s">
        <v>11</v>
      </c>
      <c r="D9281" s="36">
        <f>base!H9281</f>
        <v>0</v>
      </c>
      <c r="E9281" s="44"/>
      <c r="F9281" s="16">
        <f>base!W9281</f>
        <v>0</v>
      </c>
      <c r="G9281" s="11" t="e">
        <f t="shared" si="1424"/>
        <v>#DIV/0!</v>
      </c>
      <c r="H9281" s="11" t="e">
        <f t="shared" si="1425"/>
        <v>#N/A</v>
      </c>
      <c r="I9281" s="11" t="e">
        <f t="shared" si="1426"/>
        <v>#N/A</v>
      </c>
      <c r="J9281" s="12" t="e">
        <f t="shared" si="1427"/>
        <v>#N/A</v>
      </c>
      <c r="K9281" s="17" t="e">
        <f t="shared" si="1431"/>
        <v>#N/A</v>
      </c>
      <c r="L9281" s="16">
        <f>base!X9281</f>
        <v>0</v>
      </c>
      <c r="M9281" s="11" t="e">
        <f t="shared" si="1428"/>
        <v>#DIV/0!</v>
      </c>
      <c r="N9281" s="11"/>
      <c r="O9281" s="11" t="e">
        <f t="shared" si="1429"/>
        <v>#DIV/0!</v>
      </c>
      <c r="P9281" s="12">
        <f t="shared" si="1430"/>
        <v>0</v>
      </c>
      <c r="Q9281" s="17" t="str">
        <f t="shared" si="1432"/>
        <v>Pas d'écart</v>
      </c>
    </row>
    <row r="9282" spans="1:17" x14ac:dyDescent="0.3">
      <c r="A9282" s="34">
        <f>base!J9282</f>
        <v>0</v>
      </c>
      <c r="B9282" s="34">
        <f>base!V9282</f>
        <v>0</v>
      </c>
      <c r="C9282" s="40" t="s">
        <v>11</v>
      </c>
      <c r="D9282" s="36">
        <f>base!H9282</f>
        <v>0</v>
      </c>
      <c r="E9282" s="44"/>
      <c r="F9282" s="16">
        <f>base!W9282</f>
        <v>0</v>
      </c>
      <c r="G9282" s="11" t="e">
        <f t="shared" ref="G9282:G9345" si="1433">F9282/D9282</f>
        <v>#DIV/0!</v>
      </c>
      <c r="H9282" s="11" t="e">
        <f t="shared" ref="H9282:H9345" si="1434">VLOOKUP(C9282,tout_cout_traction,2,FALSE)*D9282</f>
        <v>#N/A</v>
      </c>
      <c r="I9282" s="11" t="e">
        <f t="shared" ref="I9282:I9345" si="1435">H9282/D9282</f>
        <v>#N/A</v>
      </c>
      <c r="J9282" s="12" t="e">
        <f t="shared" ref="J9282:J9345" si="1436">F9282-H9282</f>
        <v>#N/A</v>
      </c>
      <c r="K9282" s="17" t="e">
        <f t="shared" si="1431"/>
        <v>#N/A</v>
      </c>
      <c r="L9282" s="16">
        <f>base!X9282</f>
        <v>0</v>
      </c>
      <c r="M9282" s="11" t="e">
        <f t="shared" ref="M9282:M9345" si="1437">L9282/D9282</f>
        <v>#DIV/0!</v>
      </c>
      <c r="N9282" s="11"/>
      <c r="O9282" s="11" t="e">
        <f t="shared" ref="O9282:O9345" si="1438">N9282/D9282</f>
        <v>#DIV/0!</v>
      </c>
      <c r="P9282" s="12">
        <f t="shared" ref="P9282:P9345" si="1439">L9282-N9282</f>
        <v>0</v>
      </c>
      <c r="Q9282" s="17" t="str">
        <f t="shared" si="1432"/>
        <v>Pas d'écart</v>
      </c>
    </row>
    <row r="9283" spans="1:17" x14ac:dyDescent="0.3">
      <c r="A9283" s="34">
        <f>base!J9283</f>
        <v>0</v>
      </c>
      <c r="B9283" s="34">
        <f>base!V9283</f>
        <v>0</v>
      </c>
      <c r="C9283" s="40" t="s">
        <v>11</v>
      </c>
      <c r="D9283" s="36">
        <f>base!H9283</f>
        <v>0</v>
      </c>
      <c r="E9283" s="44"/>
      <c r="F9283" s="16">
        <f>base!W9283</f>
        <v>0</v>
      </c>
      <c r="G9283" s="11" t="e">
        <f t="shared" si="1433"/>
        <v>#DIV/0!</v>
      </c>
      <c r="H9283" s="11" t="e">
        <f t="shared" si="1434"/>
        <v>#N/A</v>
      </c>
      <c r="I9283" s="11" t="e">
        <f t="shared" si="1435"/>
        <v>#N/A</v>
      </c>
      <c r="J9283" s="12" t="e">
        <f t="shared" si="1436"/>
        <v>#N/A</v>
      </c>
      <c r="K9283" s="17" t="e">
        <f t="shared" ref="K9283:K9346" si="1440">IF(H9283=F9283,"Pas d'écart",IF(H9283&lt;F9283,"Ecart positif",IF(H9283&gt;F9283,"Ecart négatif")))</f>
        <v>#N/A</v>
      </c>
      <c r="L9283" s="16">
        <f>base!X9283</f>
        <v>0</v>
      </c>
      <c r="M9283" s="11" t="e">
        <f t="shared" si="1437"/>
        <v>#DIV/0!</v>
      </c>
      <c r="N9283" s="11"/>
      <c r="O9283" s="11" t="e">
        <f t="shared" si="1438"/>
        <v>#DIV/0!</v>
      </c>
      <c r="P9283" s="12">
        <f t="shared" si="1439"/>
        <v>0</v>
      </c>
      <c r="Q9283" s="17" t="str">
        <f t="shared" ref="Q9283:Q9346" si="1441">IF(N9283=L9283,"Pas d'écart",IF(N9283&lt;L9283,"Ecart positif",IF(N9283&gt;L9283,"Ecart négatif")))</f>
        <v>Pas d'écart</v>
      </c>
    </row>
    <row r="9284" spans="1:17" x14ac:dyDescent="0.3">
      <c r="A9284" s="34">
        <f>base!J9284</f>
        <v>0</v>
      </c>
      <c r="B9284" s="34">
        <f>base!V9284</f>
        <v>0</v>
      </c>
      <c r="C9284" s="40" t="s">
        <v>11</v>
      </c>
      <c r="D9284" s="36">
        <f>base!H9284</f>
        <v>0</v>
      </c>
      <c r="E9284" s="44"/>
      <c r="F9284" s="16">
        <f>base!W9284</f>
        <v>0</v>
      </c>
      <c r="G9284" s="11" t="e">
        <f t="shared" si="1433"/>
        <v>#DIV/0!</v>
      </c>
      <c r="H9284" s="11" t="e">
        <f t="shared" si="1434"/>
        <v>#N/A</v>
      </c>
      <c r="I9284" s="11" t="e">
        <f t="shared" si="1435"/>
        <v>#N/A</v>
      </c>
      <c r="J9284" s="12" t="e">
        <f t="shared" si="1436"/>
        <v>#N/A</v>
      </c>
      <c r="K9284" s="17" t="e">
        <f t="shared" si="1440"/>
        <v>#N/A</v>
      </c>
      <c r="L9284" s="16">
        <f>base!X9284</f>
        <v>0</v>
      </c>
      <c r="M9284" s="11" t="e">
        <f t="shared" si="1437"/>
        <v>#DIV/0!</v>
      </c>
      <c r="N9284" s="11"/>
      <c r="O9284" s="11" t="e">
        <f t="shared" si="1438"/>
        <v>#DIV/0!</v>
      </c>
      <c r="P9284" s="12">
        <f t="shared" si="1439"/>
        <v>0</v>
      </c>
      <c r="Q9284" s="17" t="str">
        <f t="shared" si="1441"/>
        <v>Pas d'écart</v>
      </c>
    </row>
    <row r="9285" spans="1:17" x14ac:dyDescent="0.3">
      <c r="A9285" s="34">
        <f>base!J9285</f>
        <v>0</v>
      </c>
      <c r="B9285" s="34">
        <f>base!V9285</f>
        <v>0</v>
      </c>
      <c r="C9285" s="40" t="s">
        <v>11</v>
      </c>
      <c r="D9285" s="36">
        <f>base!H9285</f>
        <v>0</v>
      </c>
      <c r="E9285" s="44"/>
      <c r="F9285" s="16">
        <f>base!W9285</f>
        <v>0</v>
      </c>
      <c r="G9285" s="11" t="e">
        <f t="shared" si="1433"/>
        <v>#DIV/0!</v>
      </c>
      <c r="H9285" s="11" t="e">
        <f t="shared" si="1434"/>
        <v>#N/A</v>
      </c>
      <c r="I9285" s="11" t="e">
        <f t="shared" si="1435"/>
        <v>#N/A</v>
      </c>
      <c r="J9285" s="12" t="e">
        <f t="shared" si="1436"/>
        <v>#N/A</v>
      </c>
      <c r="K9285" s="17" t="e">
        <f t="shared" si="1440"/>
        <v>#N/A</v>
      </c>
      <c r="L9285" s="16">
        <f>base!X9285</f>
        <v>0</v>
      </c>
      <c r="M9285" s="11" t="e">
        <f t="shared" si="1437"/>
        <v>#DIV/0!</v>
      </c>
      <c r="N9285" s="11"/>
      <c r="O9285" s="11" t="e">
        <f t="shared" si="1438"/>
        <v>#DIV/0!</v>
      </c>
      <c r="P9285" s="12">
        <f t="shared" si="1439"/>
        <v>0</v>
      </c>
      <c r="Q9285" s="17" t="str">
        <f t="shared" si="1441"/>
        <v>Pas d'écart</v>
      </c>
    </row>
    <row r="9286" spans="1:17" x14ac:dyDescent="0.3">
      <c r="A9286" s="34">
        <f>base!J9286</f>
        <v>0</v>
      </c>
      <c r="B9286" s="34">
        <f>base!V9286</f>
        <v>0</v>
      </c>
      <c r="C9286" s="40" t="s">
        <v>11</v>
      </c>
      <c r="D9286" s="36">
        <f>base!H9286</f>
        <v>0</v>
      </c>
      <c r="E9286" s="44"/>
      <c r="F9286" s="16">
        <f>base!W9286</f>
        <v>0</v>
      </c>
      <c r="G9286" s="11" t="e">
        <f t="shared" si="1433"/>
        <v>#DIV/0!</v>
      </c>
      <c r="H9286" s="11" t="e">
        <f t="shared" si="1434"/>
        <v>#N/A</v>
      </c>
      <c r="I9286" s="11" t="e">
        <f t="shared" si="1435"/>
        <v>#N/A</v>
      </c>
      <c r="J9286" s="12" t="e">
        <f t="shared" si="1436"/>
        <v>#N/A</v>
      </c>
      <c r="K9286" s="17" t="e">
        <f t="shared" si="1440"/>
        <v>#N/A</v>
      </c>
      <c r="L9286" s="16">
        <f>base!X9286</f>
        <v>0</v>
      </c>
      <c r="M9286" s="11" t="e">
        <f t="shared" si="1437"/>
        <v>#DIV/0!</v>
      </c>
      <c r="N9286" s="11"/>
      <c r="O9286" s="11" t="e">
        <f t="shared" si="1438"/>
        <v>#DIV/0!</v>
      </c>
      <c r="P9286" s="12">
        <f t="shared" si="1439"/>
        <v>0</v>
      </c>
      <c r="Q9286" s="17" t="str">
        <f t="shared" si="1441"/>
        <v>Pas d'écart</v>
      </c>
    </row>
    <row r="9287" spans="1:17" x14ac:dyDescent="0.3">
      <c r="A9287" s="34">
        <f>base!J9287</f>
        <v>0</v>
      </c>
      <c r="B9287" s="34">
        <f>base!V9287</f>
        <v>0</v>
      </c>
      <c r="C9287" s="40" t="s">
        <v>11</v>
      </c>
      <c r="D9287" s="36">
        <f>base!H9287</f>
        <v>0</v>
      </c>
      <c r="E9287" s="44"/>
      <c r="F9287" s="16">
        <f>base!W9287</f>
        <v>0</v>
      </c>
      <c r="G9287" s="11" t="e">
        <f t="shared" si="1433"/>
        <v>#DIV/0!</v>
      </c>
      <c r="H9287" s="11" t="e">
        <f t="shared" si="1434"/>
        <v>#N/A</v>
      </c>
      <c r="I9287" s="11" t="e">
        <f t="shared" si="1435"/>
        <v>#N/A</v>
      </c>
      <c r="J9287" s="12" t="e">
        <f t="shared" si="1436"/>
        <v>#N/A</v>
      </c>
      <c r="K9287" s="17" t="e">
        <f t="shared" si="1440"/>
        <v>#N/A</v>
      </c>
      <c r="L9287" s="16">
        <f>base!X9287</f>
        <v>0</v>
      </c>
      <c r="M9287" s="11" t="e">
        <f t="shared" si="1437"/>
        <v>#DIV/0!</v>
      </c>
      <c r="N9287" s="11"/>
      <c r="O9287" s="11" t="e">
        <f t="shared" si="1438"/>
        <v>#DIV/0!</v>
      </c>
      <c r="P9287" s="12">
        <f t="shared" si="1439"/>
        <v>0</v>
      </c>
      <c r="Q9287" s="17" t="str">
        <f t="shared" si="1441"/>
        <v>Pas d'écart</v>
      </c>
    </row>
    <row r="9288" spans="1:17" x14ac:dyDescent="0.3">
      <c r="A9288" s="34">
        <f>base!J9288</f>
        <v>0</v>
      </c>
      <c r="B9288" s="34">
        <f>base!V9288</f>
        <v>0</v>
      </c>
      <c r="C9288" s="40" t="s">
        <v>11</v>
      </c>
      <c r="D9288" s="36">
        <f>base!H9288</f>
        <v>0</v>
      </c>
      <c r="E9288" s="44"/>
      <c r="F9288" s="16">
        <f>base!W9288</f>
        <v>0</v>
      </c>
      <c r="G9288" s="11" t="e">
        <f t="shared" si="1433"/>
        <v>#DIV/0!</v>
      </c>
      <c r="H9288" s="11" t="e">
        <f t="shared" si="1434"/>
        <v>#N/A</v>
      </c>
      <c r="I9288" s="11" t="e">
        <f t="shared" si="1435"/>
        <v>#N/A</v>
      </c>
      <c r="J9288" s="12" t="e">
        <f t="shared" si="1436"/>
        <v>#N/A</v>
      </c>
      <c r="K9288" s="17" t="e">
        <f t="shared" si="1440"/>
        <v>#N/A</v>
      </c>
      <c r="L9288" s="16">
        <f>base!X9288</f>
        <v>0</v>
      </c>
      <c r="M9288" s="11" t="e">
        <f t="shared" si="1437"/>
        <v>#DIV/0!</v>
      </c>
      <c r="N9288" s="11"/>
      <c r="O9288" s="11" t="e">
        <f t="shared" si="1438"/>
        <v>#DIV/0!</v>
      </c>
      <c r="P9288" s="12">
        <f t="shared" si="1439"/>
        <v>0</v>
      </c>
      <c r="Q9288" s="17" t="str">
        <f t="shared" si="1441"/>
        <v>Pas d'écart</v>
      </c>
    </row>
    <row r="9289" spans="1:17" x14ac:dyDescent="0.3">
      <c r="A9289" s="34">
        <f>base!J9289</f>
        <v>0</v>
      </c>
      <c r="B9289" s="34">
        <f>base!V9289</f>
        <v>0</v>
      </c>
      <c r="C9289" s="40" t="s">
        <v>11</v>
      </c>
      <c r="D9289" s="36">
        <f>base!H9289</f>
        <v>0</v>
      </c>
      <c r="E9289" s="44"/>
      <c r="F9289" s="16">
        <f>base!W9289</f>
        <v>0</v>
      </c>
      <c r="G9289" s="11" t="e">
        <f t="shared" si="1433"/>
        <v>#DIV/0!</v>
      </c>
      <c r="H9289" s="11" t="e">
        <f t="shared" si="1434"/>
        <v>#N/A</v>
      </c>
      <c r="I9289" s="11" t="e">
        <f t="shared" si="1435"/>
        <v>#N/A</v>
      </c>
      <c r="J9289" s="12" t="e">
        <f t="shared" si="1436"/>
        <v>#N/A</v>
      </c>
      <c r="K9289" s="17" t="e">
        <f t="shared" si="1440"/>
        <v>#N/A</v>
      </c>
      <c r="L9289" s="16">
        <f>base!X9289</f>
        <v>0</v>
      </c>
      <c r="M9289" s="11" t="e">
        <f t="shared" si="1437"/>
        <v>#DIV/0!</v>
      </c>
      <c r="N9289" s="11"/>
      <c r="O9289" s="11" t="e">
        <f t="shared" si="1438"/>
        <v>#DIV/0!</v>
      </c>
      <c r="P9289" s="12">
        <f t="shared" si="1439"/>
        <v>0</v>
      </c>
      <c r="Q9289" s="17" t="str">
        <f t="shared" si="1441"/>
        <v>Pas d'écart</v>
      </c>
    </row>
    <row r="9290" spans="1:17" x14ac:dyDescent="0.3">
      <c r="A9290" s="34">
        <f>base!J9290</f>
        <v>0</v>
      </c>
      <c r="B9290" s="34">
        <f>base!V9290</f>
        <v>0</v>
      </c>
      <c r="C9290" s="40" t="s">
        <v>11</v>
      </c>
      <c r="D9290" s="36">
        <f>base!H9290</f>
        <v>0</v>
      </c>
      <c r="E9290" s="44"/>
      <c r="F9290" s="16">
        <f>base!W9290</f>
        <v>0</v>
      </c>
      <c r="G9290" s="11" t="e">
        <f t="shared" si="1433"/>
        <v>#DIV/0!</v>
      </c>
      <c r="H9290" s="11" t="e">
        <f t="shared" si="1434"/>
        <v>#N/A</v>
      </c>
      <c r="I9290" s="11" t="e">
        <f t="shared" si="1435"/>
        <v>#N/A</v>
      </c>
      <c r="J9290" s="12" t="e">
        <f t="shared" si="1436"/>
        <v>#N/A</v>
      </c>
      <c r="K9290" s="17" t="e">
        <f t="shared" si="1440"/>
        <v>#N/A</v>
      </c>
      <c r="L9290" s="16">
        <f>base!X9290</f>
        <v>0</v>
      </c>
      <c r="M9290" s="11" t="e">
        <f t="shared" si="1437"/>
        <v>#DIV/0!</v>
      </c>
      <c r="N9290" s="11"/>
      <c r="O9290" s="11" t="e">
        <f t="shared" si="1438"/>
        <v>#DIV/0!</v>
      </c>
      <c r="P9290" s="12">
        <f t="shared" si="1439"/>
        <v>0</v>
      </c>
      <c r="Q9290" s="17" t="str">
        <f t="shared" si="1441"/>
        <v>Pas d'écart</v>
      </c>
    </row>
    <row r="9291" spans="1:17" x14ac:dyDescent="0.3">
      <c r="A9291" s="34">
        <f>base!J9291</f>
        <v>0</v>
      </c>
      <c r="B9291" s="34">
        <f>base!V9291</f>
        <v>0</v>
      </c>
      <c r="C9291" s="40" t="s">
        <v>11</v>
      </c>
      <c r="D9291" s="36">
        <f>base!H9291</f>
        <v>0</v>
      </c>
      <c r="E9291" s="44"/>
      <c r="F9291" s="16">
        <f>base!W9291</f>
        <v>0</v>
      </c>
      <c r="G9291" s="11" t="e">
        <f t="shared" si="1433"/>
        <v>#DIV/0!</v>
      </c>
      <c r="H9291" s="11" t="e">
        <f t="shared" si="1434"/>
        <v>#N/A</v>
      </c>
      <c r="I9291" s="11" t="e">
        <f t="shared" si="1435"/>
        <v>#N/A</v>
      </c>
      <c r="J9291" s="12" t="e">
        <f t="shared" si="1436"/>
        <v>#N/A</v>
      </c>
      <c r="K9291" s="17" t="e">
        <f t="shared" si="1440"/>
        <v>#N/A</v>
      </c>
      <c r="L9291" s="16">
        <f>base!X9291</f>
        <v>0</v>
      </c>
      <c r="M9291" s="11" t="e">
        <f t="shared" si="1437"/>
        <v>#DIV/0!</v>
      </c>
      <c r="N9291" s="11"/>
      <c r="O9291" s="11" t="e">
        <f t="shared" si="1438"/>
        <v>#DIV/0!</v>
      </c>
      <c r="P9291" s="12">
        <f t="shared" si="1439"/>
        <v>0</v>
      </c>
      <c r="Q9291" s="17" t="str">
        <f t="shared" si="1441"/>
        <v>Pas d'écart</v>
      </c>
    </row>
    <row r="9292" spans="1:17" x14ac:dyDescent="0.3">
      <c r="A9292" s="34">
        <f>base!J9292</f>
        <v>0</v>
      </c>
      <c r="B9292" s="34">
        <f>base!V9292</f>
        <v>0</v>
      </c>
      <c r="C9292" s="40" t="s">
        <v>11</v>
      </c>
      <c r="D9292" s="36">
        <f>base!H9292</f>
        <v>0</v>
      </c>
      <c r="E9292" s="44"/>
      <c r="F9292" s="16">
        <f>base!W9292</f>
        <v>0</v>
      </c>
      <c r="G9292" s="11" t="e">
        <f t="shared" si="1433"/>
        <v>#DIV/0!</v>
      </c>
      <c r="H9292" s="11" t="e">
        <f t="shared" si="1434"/>
        <v>#N/A</v>
      </c>
      <c r="I9292" s="11" t="e">
        <f t="shared" si="1435"/>
        <v>#N/A</v>
      </c>
      <c r="J9292" s="12" t="e">
        <f t="shared" si="1436"/>
        <v>#N/A</v>
      </c>
      <c r="K9292" s="17" t="e">
        <f t="shared" si="1440"/>
        <v>#N/A</v>
      </c>
      <c r="L9292" s="16">
        <f>base!X9292</f>
        <v>0</v>
      </c>
      <c r="M9292" s="11" t="e">
        <f t="shared" si="1437"/>
        <v>#DIV/0!</v>
      </c>
      <c r="N9292" s="11"/>
      <c r="O9292" s="11" t="e">
        <f t="shared" si="1438"/>
        <v>#DIV/0!</v>
      </c>
      <c r="P9292" s="12">
        <f t="shared" si="1439"/>
        <v>0</v>
      </c>
      <c r="Q9292" s="17" t="str">
        <f t="shared" si="1441"/>
        <v>Pas d'écart</v>
      </c>
    </row>
    <row r="9293" spans="1:17" x14ac:dyDescent="0.3">
      <c r="A9293" s="34">
        <f>base!J9293</f>
        <v>0</v>
      </c>
      <c r="B9293" s="34">
        <f>base!V9293</f>
        <v>0</v>
      </c>
      <c r="C9293" s="40" t="s">
        <v>11</v>
      </c>
      <c r="D9293" s="36">
        <f>base!H9293</f>
        <v>0</v>
      </c>
      <c r="E9293" s="44"/>
      <c r="F9293" s="16">
        <f>base!W9293</f>
        <v>0</v>
      </c>
      <c r="G9293" s="11" t="e">
        <f t="shared" si="1433"/>
        <v>#DIV/0!</v>
      </c>
      <c r="H9293" s="11" t="e">
        <f t="shared" si="1434"/>
        <v>#N/A</v>
      </c>
      <c r="I9293" s="11" t="e">
        <f t="shared" si="1435"/>
        <v>#N/A</v>
      </c>
      <c r="J9293" s="12" t="e">
        <f t="shared" si="1436"/>
        <v>#N/A</v>
      </c>
      <c r="K9293" s="17" t="e">
        <f t="shared" si="1440"/>
        <v>#N/A</v>
      </c>
      <c r="L9293" s="16">
        <f>base!X9293</f>
        <v>0</v>
      </c>
      <c r="M9293" s="11" t="e">
        <f t="shared" si="1437"/>
        <v>#DIV/0!</v>
      </c>
      <c r="N9293" s="11"/>
      <c r="O9293" s="11" t="e">
        <f t="shared" si="1438"/>
        <v>#DIV/0!</v>
      </c>
      <c r="P9293" s="12">
        <f t="shared" si="1439"/>
        <v>0</v>
      </c>
      <c r="Q9293" s="17" t="str">
        <f t="shared" si="1441"/>
        <v>Pas d'écart</v>
      </c>
    </row>
    <row r="9294" spans="1:17" x14ac:dyDescent="0.3">
      <c r="A9294" s="34">
        <f>base!J9294</f>
        <v>0</v>
      </c>
      <c r="B9294" s="34">
        <f>base!V9294</f>
        <v>0</v>
      </c>
      <c r="C9294" s="40" t="s">
        <v>11</v>
      </c>
      <c r="D9294" s="36">
        <f>base!H9294</f>
        <v>0</v>
      </c>
      <c r="E9294" s="44"/>
      <c r="F9294" s="16">
        <f>base!W9294</f>
        <v>0</v>
      </c>
      <c r="G9294" s="11" t="e">
        <f t="shared" si="1433"/>
        <v>#DIV/0!</v>
      </c>
      <c r="H9294" s="11" t="e">
        <f t="shared" si="1434"/>
        <v>#N/A</v>
      </c>
      <c r="I9294" s="11" t="e">
        <f t="shared" si="1435"/>
        <v>#N/A</v>
      </c>
      <c r="J9294" s="12" t="e">
        <f t="shared" si="1436"/>
        <v>#N/A</v>
      </c>
      <c r="K9294" s="17" t="e">
        <f t="shared" si="1440"/>
        <v>#N/A</v>
      </c>
      <c r="L9294" s="16">
        <f>base!X9294</f>
        <v>0</v>
      </c>
      <c r="M9294" s="11" t="e">
        <f t="shared" si="1437"/>
        <v>#DIV/0!</v>
      </c>
      <c r="N9294" s="11"/>
      <c r="O9294" s="11" t="e">
        <f t="shared" si="1438"/>
        <v>#DIV/0!</v>
      </c>
      <c r="P9294" s="12">
        <f t="shared" si="1439"/>
        <v>0</v>
      </c>
      <c r="Q9294" s="17" t="str">
        <f t="shared" si="1441"/>
        <v>Pas d'écart</v>
      </c>
    </row>
    <row r="9295" spans="1:17" x14ac:dyDescent="0.3">
      <c r="A9295" s="34">
        <f>base!J9295</f>
        <v>0</v>
      </c>
      <c r="B9295" s="34">
        <f>base!V9295</f>
        <v>0</v>
      </c>
      <c r="C9295" s="40" t="s">
        <v>11</v>
      </c>
      <c r="D9295" s="36">
        <f>base!H9295</f>
        <v>0</v>
      </c>
      <c r="E9295" s="44"/>
      <c r="F9295" s="16">
        <f>base!W9295</f>
        <v>0</v>
      </c>
      <c r="G9295" s="11" t="e">
        <f t="shared" si="1433"/>
        <v>#DIV/0!</v>
      </c>
      <c r="H9295" s="11" t="e">
        <f t="shared" si="1434"/>
        <v>#N/A</v>
      </c>
      <c r="I9295" s="11" t="e">
        <f t="shared" si="1435"/>
        <v>#N/A</v>
      </c>
      <c r="J9295" s="12" t="e">
        <f t="shared" si="1436"/>
        <v>#N/A</v>
      </c>
      <c r="K9295" s="17" t="e">
        <f t="shared" si="1440"/>
        <v>#N/A</v>
      </c>
      <c r="L9295" s="16">
        <f>base!X9295</f>
        <v>0</v>
      </c>
      <c r="M9295" s="11" t="e">
        <f t="shared" si="1437"/>
        <v>#DIV/0!</v>
      </c>
      <c r="N9295" s="11"/>
      <c r="O9295" s="11" t="e">
        <f t="shared" si="1438"/>
        <v>#DIV/0!</v>
      </c>
      <c r="P9295" s="12">
        <f t="shared" si="1439"/>
        <v>0</v>
      </c>
      <c r="Q9295" s="17" t="str">
        <f t="shared" si="1441"/>
        <v>Pas d'écart</v>
      </c>
    </row>
    <row r="9296" spans="1:17" x14ac:dyDescent="0.3">
      <c r="A9296" s="34">
        <f>base!J9296</f>
        <v>0</v>
      </c>
      <c r="B9296" s="34">
        <f>base!V9296</f>
        <v>0</v>
      </c>
      <c r="C9296" s="40" t="s">
        <v>11</v>
      </c>
      <c r="D9296" s="36">
        <f>base!H9296</f>
        <v>0</v>
      </c>
      <c r="E9296" s="44"/>
      <c r="F9296" s="16">
        <f>base!W9296</f>
        <v>0</v>
      </c>
      <c r="G9296" s="11" t="e">
        <f t="shared" si="1433"/>
        <v>#DIV/0!</v>
      </c>
      <c r="H9296" s="11" t="e">
        <f t="shared" si="1434"/>
        <v>#N/A</v>
      </c>
      <c r="I9296" s="11" t="e">
        <f t="shared" si="1435"/>
        <v>#N/A</v>
      </c>
      <c r="J9296" s="12" t="e">
        <f t="shared" si="1436"/>
        <v>#N/A</v>
      </c>
      <c r="K9296" s="17" t="e">
        <f t="shared" si="1440"/>
        <v>#N/A</v>
      </c>
      <c r="L9296" s="16">
        <f>base!X9296</f>
        <v>0</v>
      </c>
      <c r="M9296" s="11" t="e">
        <f t="shared" si="1437"/>
        <v>#DIV/0!</v>
      </c>
      <c r="N9296" s="11"/>
      <c r="O9296" s="11" t="e">
        <f t="shared" si="1438"/>
        <v>#DIV/0!</v>
      </c>
      <c r="P9296" s="12">
        <f t="shared" si="1439"/>
        <v>0</v>
      </c>
      <c r="Q9296" s="17" t="str">
        <f t="shared" si="1441"/>
        <v>Pas d'écart</v>
      </c>
    </row>
    <row r="9297" spans="1:17" x14ac:dyDescent="0.3">
      <c r="A9297" s="34">
        <f>base!J9297</f>
        <v>0</v>
      </c>
      <c r="B9297" s="34">
        <f>base!V9297</f>
        <v>0</v>
      </c>
      <c r="C9297" s="40" t="s">
        <v>11</v>
      </c>
      <c r="D9297" s="36">
        <f>base!H9297</f>
        <v>0</v>
      </c>
      <c r="E9297" s="44"/>
      <c r="F9297" s="16">
        <f>base!W9297</f>
        <v>0</v>
      </c>
      <c r="G9297" s="11" t="e">
        <f t="shared" si="1433"/>
        <v>#DIV/0!</v>
      </c>
      <c r="H9297" s="11" t="e">
        <f t="shared" si="1434"/>
        <v>#N/A</v>
      </c>
      <c r="I9297" s="11" t="e">
        <f t="shared" si="1435"/>
        <v>#N/A</v>
      </c>
      <c r="J9297" s="12" t="e">
        <f t="shared" si="1436"/>
        <v>#N/A</v>
      </c>
      <c r="K9297" s="17" t="e">
        <f t="shared" si="1440"/>
        <v>#N/A</v>
      </c>
      <c r="L9297" s="16">
        <f>base!X9297</f>
        <v>0</v>
      </c>
      <c r="M9297" s="11" t="e">
        <f t="shared" si="1437"/>
        <v>#DIV/0!</v>
      </c>
      <c r="N9297" s="11"/>
      <c r="O9297" s="11" t="e">
        <f t="shared" si="1438"/>
        <v>#DIV/0!</v>
      </c>
      <c r="P9297" s="12">
        <f t="shared" si="1439"/>
        <v>0</v>
      </c>
      <c r="Q9297" s="17" t="str">
        <f t="shared" si="1441"/>
        <v>Pas d'écart</v>
      </c>
    </row>
    <row r="9298" spans="1:17" x14ac:dyDescent="0.3">
      <c r="A9298" s="34">
        <f>base!J9298</f>
        <v>0</v>
      </c>
      <c r="B9298" s="34">
        <f>base!V9298</f>
        <v>0</v>
      </c>
      <c r="C9298" s="40" t="s">
        <v>11</v>
      </c>
      <c r="D9298" s="36">
        <f>base!H9298</f>
        <v>0</v>
      </c>
      <c r="E9298" s="44"/>
      <c r="F9298" s="16">
        <f>base!W9298</f>
        <v>0</v>
      </c>
      <c r="G9298" s="11" t="e">
        <f t="shared" si="1433"/>
        <v>#DIV/0!</v>
      </c>
      <c r="H9298" s="11" t="e">
        <f t="shared" si="1434"/>
        <v>#N/A</v>
      </c>
      <c r="I9298" s="11" t="e">
        <f t="shared" si="1435"/>
        <v>#N/A</v>
      </c>
      <c r="J9298" s="12" t="e">
        <f t="shared" si="1436"/>
        <v>#N/A</v>
      </c>
      <c r="K9298" s="17" t="e">
        <f t="shared" si="1440"/>
        <v>#N/A</v>
      </c>
      <c r="L9298" s="16">
        <f>base!X9298</f>
        <v>0</v>
      </c>
      <c r="M9298" s="11" t="e">
        <f t="shared" si="1437"/>
        <v>#DIV/0!</v>
      </c>
      <c r="N9298" s="11"/>
      <c r="O9298" s="11" t="e">
        <f t="shared" si="1438"/>
        <v>#DIV/0!</v>
      </c>
      <c r="P9298" s="12">
        <f t="shared" si="1439"/>
        <v>0</v>
      </c>
      <c r="Q9298" s="17" t="str">
        <f t="shared" si="1441"/>
        <v>Pas d'écart</v>
      </c>
    </row>
    <row r="9299" spans="1:17" x14ac:dyDescent="0.3">
      <c r="A9299" s="34">
        <f>base!J9299</f>
        <v>0</v>
      </c>
      <c r="B9299" s="34">
        <f>base!V9299</f>
        <v>0</v>
      </c>
      <c r="C9299" s="40" t="s">
        <v>11</v>
      </c>
      <c r="D9299" s="36">
        <f>base!H9299</f>
        <v>0</v>
      </c>
      <c r="E9299" s="44"/>
      <c r="F9299" s="16">
        <f>base!W9299</f>
        <v>0</v>
      </c>
      <c r="G9299" s="11" t="e">
        <f t="shared" si="1433"/>
        <v>#DIV/0!</v>
      </c>
      <c r="H9299" s="11" t="e">
        <f t="shared" si="1434"/>
        <v>#N/A</v>
      </c>
      <c r="I9299" s="11" t="e">
        <f t="shared" si="1435"/>
        <v>#N/A</v>
      </c>
      <c r="J9299" s="12" t="e">
        <f t="shared" si="1436"/>
        <v>#N/A</v>
      </c>
      <c r="K9299" s="17" t="e">
        <f t="shared" si="1440"/>
        <v>#N/A</v>
      </c>
      <c r="L9299" s="16">
        <f>base!X9299</f>
        <v>0</v>
      </c>
      <c r="M9299" s="11" t="e">
        <f t="shared" si="1437"/>
        <v>#DIV/0!</v>
      </c>
      <c r="N9299" s="11"/>
      <c r="O9299" s="11" t="e">
        <f t="shared" si="1438"/>
        <v>#DIV/0!</v>
      </c>
      <c r="P9299" s="12">
        <f t="shared" si="1439"/>
        <v>0</v>
      </c>
      <c r="Q9299" s="17" t="str">
        <f t="shared" si="1441"/>
        <v>Pas d'écart</v>
      </c>
    </row>
    <row r="9300" spans="1:17" x14ac:dyDescent="0.3">
      <c r="A9300" s="34">
        <f>base!J9300</f>
        <v>0</v>
      </c>
      <c r="B9300" s="34">
        <f>base!V9300</f>
        <v>0</v>
      </c>
      <c r="C9300" s="40" t="s">
        <v>11</v>
      </c>
      <c r="D9300" s="36">
        <f>base!H9300</f>
        <v>0</v>
      </c>
      <c r="E9300" s="44"/>
      <c r="F9300" s="16">
        <f>base!W9300</f>
        <v>0</v>
      </c>
      <c r="G9300" s="11" t="e">
        <f t="shared" si="1433"/>
        <v>#DIV/0!</v>
      </c>
      <c r="H9300" s="11" t="e">
        <f t="shared" si="1434"/>
        <v>#N/A</v>
      </c>
      <c r="I9300" s="11" t="e">
        <f t="shared" si="1435"/>
        <v>#N/A</v>
      </c>
      <c r="J9300" s="12" t="e">
        <f t="shared" si="1436"/>
        <v>#N/A</v>
      </c>
      <c r="K9300" s="17" t="e">
        <f t="shared" si="1440"/>
        <v>#N/A</v>
      </c>
      <c r="L9300" s="16">
        <f>base!X9300</f>
        <v>0</v>
      </c>
      <c r="M9300" s="11" t="e">
        <f t="shared" si="1437"/>
        <v>#DIV/0!</v>
      </c>
      <c r="N9300" s="11"/>
      <c r="O9300" s="11" t="e">
        <f t="shared" si="1438"/>
        <v>#DIV/0!</v>
      </c>
      <c r="P9300" s="12">
        <f t="shared" si="1439"/>
        <v>0</v>
      </c>
      <c r="Q9300" s="17" t="str">
        <f t="shared" si="1441"/>
        <v>Pas d'écart</v>
      </c>
    </row>
    <row r="9301" spans="1:17" x14ac:dyDescent="0.3">
      <c r="A9301" s="34">
        <f>base!J9301</f>
        <v>0</v>
      </c>
      <c r="B9301" s="34">
        <f>base!V9301</f>
        <v>0</v>
      </c>
      <c r="C9301" s="40" t="s">
        <v>11</v>
      </c>
      <c r="D9301" s="36">
        <f>base!H9301</f>
        <v>0</v>
      </c>
      <c r="E9301" s="44"/>
      <c r="F9301" s="16">
        <f>base!W9301</f>
        <v>0</v>
      </c>
      <c r="G9301" s="11" t="e">
        <f t="shared" si="1433"/>
        <v>#DIV/0!</v>
      </c>
      <c r="H9301" s="11" t="e">
        <f t="shared" si="1434"/>
        <v>#N/A</v>
      </c>
      <c r="I9301" s="11" t="e">
        <f t="shared" si="1435"/>
        <v>#N/A</v>
      </c>
      <c r="J9301" s="12" t="e">
        <f t="shared" si="1436"/>
        <v>#N/A</v>
      </c>
      <c r="K9301" s="17" t="e">
        <f t="shared" si="1440"/>
        <v>#N/A</v>
      </c>
      <c r="L9301" s="16">
        <f>base!X9301</f>
        <v>0</v>
      </c>
      <c r="M9301" s="11" t="e">
        <f t="shared" si="1437"/>
        <v>#DIV/0!</v>
      </c>
      <c r="N9301" s="11"/>
      <c r="O9301" s="11" t="e">
        <f t="shared" si="1438"/>
        <v>#DIV/0!</v>
      </c>
      <c r="P9301" s="12">
        <f t="shared" si="1439"/>
        <v>0</v>
      </c>
      <c r="Q9301" s="17" t="str">
        <f t="shared" si="1441"/>
        <v>Pas d'écart</v>
      </c>
    </row>
    <row r="9302" spans="1:17" x14ac:dyDescent="0.3">
      <c r="A9302" s="34">
        <f>base!J9302</f>
        <v>0</v>
      </c>
      <c r="B9302" s="34">
        <f>base!V9302</f>
        <v>0</v>
      </c>
      <c r="C9302" s="40" t="s">
        <v>11</v>
      </c>
      <c r="D9302" s="36">
        <f>base!H9302</f>
        <v>0</v>
      </c>
      <c r="E9302" s="44"/>
      <c r="F9302" s="16">
        <f>base!W9302</f>
        <v>0</v>
      </c>
      <c r="G9302" s="11" t="e">
        <f t="shared" si="1433"/>
        <v>#DIV/0!</v>
      </c>
      <c r="H9302" s="11" t="e">
        <f t="shared" si="1434"/>
        <v>#N/A</v>
      </c>
      <c r="I9302" s="11" t="e">
        <f t="shared" si="1435"/>
        <v>#N/A</v>
      </c>
      <c r="J9302" s="12" t="e">
        <f t="shared" si="1436"/>
        <v>#N/A</v>
      </c>
      <c r="K9302" s="17" t="e">
        <f t="shared" si="1440"/>
        <v>#N/A</v>
      </c>
      <c r="L9302" s="16">
        <f>base!X9302</f>
        <v>0</v>
      </c>
      <c r="M9302" s="11" t="e">
        <f t="shared" si="1437"/>
        <v>#DIV/0!</v>
      </c>
      <c r="N9302" s="11"/>
      <c r="O9302" s="11" t="e">
        <f t="shared" si="1438"/>
        <v>#DIV/0!</v>
      </c>
      <c r="P9302" s="12">
        <f t="shared" si="1439"/>
        <v>0</v>
      </c>
      <c r="Q9302" s="17" t="str">
        <f t="shared" si="1441"/>
        <v>Pas d'écart</v>
      </c>
    </row>
    <row r="9303" spans="1:17" x14ac:dyDescent="0.3">
      <c r="A9303" s="34">
        <f>base!J9303</f>
        <v>0</v>
      </c>
      <c r="B9303" s="34">
        <f>base!V9303</f>
        <v>0</v>
      </c>
      <c r="C9303" s="40" t="s">
        <v>11</v>
      </c>
      <c r="D9303" s="36">
        <f>base!H9303</f>
        <v>0</v>
      </c>
      <c r="E9303" s="44"/>
      <c r="F9303" s="16">
        <f>base!W9303</f>
        <v>0</v>
      </c>
      <c r="G9303" s="11" t="e">
        <f t="shared" si="1433"/>
        <v>#DIV/0!</v>
      </c>
      <c r="H9303" s="11" t="e">
        <f t="shared" si="1434"/>
        <v>#N/A</v>
      </c>
      <c r="I9303" s="11" t="e">
        <f t="shared" si="1435"/>
        <v>#N/A</v>
      </c>
      <c r="J9303" s="12" t="e">
        <f t="shared" si="1436"/>
        <v>#N/A</v>
      </c>
      <c r="K9303" s="17" t="e">
        <f t="shared" si="1440"/>
        <v>#N/A</v>
      </c>
      <c r="L9303" s="16">
        <f>base!X9303</f>
        <v>0</v>
      </c>
      <c r="M9303" s="11" t="e">
        <f t="shared" si="1437"/>
        <v>#DIV/0!</v>
      </c>
      <c r="N9303" s="11"/>
      <c r="O9303" s="11" t="e">
        <f t="shared" si="1438"/>
        <v>#DIV/0!</v>
      </c>
      <c r="P9303" s="12">
        <f t="shared" si="1439"/>
        <v>0</v>
      </c>
      <c r="Q9303" s="17" t="str">
        <f t="shared" si="1441"/>
        <v>Pas d'écart</v>
      </c>
    </row>
    <row r="9304" spans="1:17" x14ac:dyDescent="0.3">
      <c r="A9304" s="34">
        <f>base!J9304</f>
        <v>0</v>
      </c>
      <c r="B9304" s="34">
        <f>base!V9304</f>
        <v>0</v>
      </c>
      <c r="C9304" s="40" t="s">
        <v>11</v>
      </c>
      <c r="D9304" s="36">
        <f>base!H9304</f>
        <v>0</v>
      </c>
      <c r="E9304" s="44"/>
      <c r="F9304" s="16">
        <f>base!W9304</f>
        <v>0</v>
      </c>
      <c r="G9304" s="11" t="e">
        <f t="shared" si="1433"/>
        <v>#DIV/0!</v>
      </c>
      <c r="H9304" s="11" t="e">
        <f t="shared" si="1434"/>
        <v>#N/A</v>
      </c>
      <c r="I9304" s="11" t="e">
        <f t="shared" si="1435"/>
        <v>#N/A</v>
      </c>
      <c r="J9304" s="12" t="e">
        <f t="shared" si="1436"/>
        <v>#N/A</v>
      </c>
      <c r="K9304" s="17" t="e">
        <f t="shared" si="1440"/>
        <v>#N/A</v>
      </c>
      <c r="L9304" s="16">
        <f>base!X9304</f>
        <v>0</v>
      </c>
      <c r="M9304" s="11" t="e">
        <f t="shared" si="1437"/>
        <v>#DIV/0!</v>
      </c>
      <c r="N9304" s="11"/>
      <c r="O9304" s="11" t="e">
        <f t="shared" si="1438"/>
        <v>#DIV/0!</v>
      </c>
      <c r="P9304" s="12">
        <f t="shared" si="1439"/>
        <v>0</v>
      </c>
      <c r="Q9304" s="17" t="str">
        <f t="shared" si="1441"/>
        <v>Pas d'écart</v>
      </c>
    </row>
    <row r="9305" spans="1:17" x14ac:dyDescent="0.3">
      <c r="A9305" s="34">
        <f>base!J9305</f>
        <v>0</v>
      </c>
      <c r="B9305" s="34">
        <f>base!V9305</f>
        <v>0</v>
      </c>
      <c r="C9305" s="40" t="s">
        <v>11</v>
      </c>
      <c r="D9305" s="36">
        <f>base!H9305</f>
        <v>0</v>
      </c>
      <c r="E9305" s="44"/>
      <c r="F9305" s="16">
        <f>base!W9305</f>
        <v>0</v>
      </c>
      <c r="G9305" s="11" t="e">
        <f t="shared" si="1433"/>
        <v>#DIV/0!</v>
      </c>
      <c r="H9305" s="11" t="e">
        <f t="shared" si="1434"/>
        <v>#N/A</v>
      </c>
      <c r="I9305" s="11" t="e">
        <f t="shared" si="1435"/>
        <v>#N/A</v>
      </c>
      <c r="J9305" s="12" t="e">
        <f t="shared" si="1436"/>
        <v>#N/A</v>
      </c>
      <c r="K9305" s="17" t="e">
        <f t="shared" si="1440"/>
        <v>#N/A</v>
      </c>
      <c r="L9305" s="16">
        <f>base!X9305</f>
        <v>0</v>
      </c>
      <c r="M9305" s="11" t="e">
        <f t="shared" si="1437"/>
        <v>#DIV/0!</v>
      </c>
      <c r="N9305" s="11"/>
      <c r="O9305" s="11" t="e">
        <f t="shared" si="1438"/>
        <v>#DIV/0!</v>
      </c>
      <c r="P9305" s="12">
        <f t="shared" si="1439"/>
        <v>0</v>
      </c>
      <c r="Q9305" s="17" t="str">
        <f t="shared" si="1441"/>
        <v>Pas d'écart</v>
      </c>
    </row>
    <row r="9306" spans="1:17" x14ac:dyDescent="0.3">
      <c r="A9306" s="34">
        <f>base!J9306</f>
        <v>0</v>
      </c>
      <c r="B9306" s="34">
        <f>base!V9306</f>
        <v>0</v>
      </c>
      <c r="C9306" s="40" t="s">
        <v>11</v>
      </c>
      <c r="D9306" s="36">
        <f>base!H9306</f>
        <v>0</v>
      </c>
      <c r="E9306" s="44"/>
      <c r="F9306" s="16">
        <f>base!W9306</f>
        <v>0</v>
      </c>
      <c r="G9306" s="11" t="e">
        <f t="shared" si="1433"/>
        <v>#DIV/0!</v>
      </c>
      <c r="H9306" s="11" t="e">
        <f t="shared" si="1434"/>
        <v>#N/A</v>
      </c>
      <c r="I9306" s="11" t="e">
        <f t="shared" si="1435"/>
        <v>#N/A</v>
      </c>
      <c r="J9306" s="12" t="e">
        <f t="shared" si="1436"/>
        <v>#N/A</v>
      </c>
      <c r="K9306" s="17" t="e">
        <f t="shared" si="1440"/>
        <v>#N/A</v>
      </c>
      <c r="L9306" s="16">
        <f>base!X9306</f>
        <v>0</v>
      </c>
      <c r="M9306" s="11" t="e">
        <f t="shared" si="1437"/>
        <v>#DIV/0!</v>
      </c>
      <c r="N9306" s="11"/>
      <c r="O9306" s="11" t="e">
        <f t="shared" si="1438"/>
        <v>#DIV/0!</v>
      </c>
      <c r="P9306" s="12">
        <f t="shared" si="1439"/>
        <v>0</v>
      </c>
      <c r="Q9306" s="17" t="str">
        <f t="shared" si="1441"/>
        <v>Pas d'écart</v>
      </c>
    </row>
    <row r="9307" spans="1:17" x14ac:dyDescent="0.3">
      <c r="A9307" s="34">
        <f>base!J9307</f>
        <v>0</v>
      </c>
      <c r="B9307" s="34">
        <f>base!V9307</f>
        <v>0</v>
      </c>
      <c r="C9307" s="40" t="s">
        <v>11</v>
      </c>
      <c r="D9307" s="36">
        <f>base!H9307</f>
        <v>0</v>
      </c>
      <c r="E9307" s="44"/>
      <c r="F9307" s="16">
        <f>base!W9307</f>
        <v>0</v>
      </c>
      <c r="G9307" s="11" t="e">
        <f t="shared" si="1433"/>
        <v>#DIV/0!</v>
      </c>
      <c r="H9307" s="11" t="e">
        <f t="shared" si="1434"/>
        <v>#N/A</v>
      </c>
      <c r="I9307" s="11" t="e">
        <f t="shared" si="1435"/>
        <v>#N/A</v>
      </c>
      <c r="J9307" s="12" t="e">
        <f t="shared" si="1436"/>
        <v>#N/A</v>
      </c>
      <c r="K9307" s="17" t="e">
        <f t="shared" si="1440"/>
        <v>#N/A</v>
      </c>
      <c r="L9307" s="16">
        <f>base!X9307</f>
        <v>0</v>
      </c>
      <c r="M9307" s="11" t="e">
        <f t="shared" si="1437"/>
        <v>#DIV/0!</v>
      </c>
      <c r="N9307" s="11"/>
      <c r="O9307" s="11" t="e">
        <f t="shared" si="1438"/>
        <v>#DIV/0!</v>
      </c>
      <c r="P9307" s="12">
        <f t="shared" si="1439"/>
        <v>0</v>
      </c>
      <c r="Q9307" s="17" t="str">
        <f t="shared" si="1441"/>
        <v>Pas d'écart</v>
      </c>
    </row>
    <row r="9308" spans="1:17" x14ac:dyDescent="0.3">
      <c r="A9308" s="34">
        <f>base!J9308</f>
        <v>0</v>
      </c>
      <c r="B9308" s="34">
        <f>base!V9308</f>
        <v>0</v>
      </c>
      <c r="C9308" s="40" t="s">
        <v>11</v>
      </c>
      <c r="D9308" s="36">
        <f>base!H9308</f>
        <v>0</v>
      </c>
      <c r="E9308" s="44"/>
      <c r="F9308" s="16">
        <f>base!W9308</f>
        <v>0</v>
      </c>
      <c r="G9308" s="11" t="e">
        <f t="shared" si="1433"/>
        <v>#DIV/0!</v>
      </c>
      <c r="H9308" s="11" t="e">
        <f t="shared" si="1434"/>
        <v>#N/A</v>
      </c>
      <c r="I9308" s="11" t="e">
        <f t="shared" si="1435"/>
        <v>#N/A</v>
      </c>
      <c r="J9308" s="12" t="e">
        <f t="shared" si="1436"/>
        <v>#N/A</v>
      </c>
      <c r="K9308" s="17" t="e">
        <f t="shared" si="1440"/>
        <v>#N/A</v>
      </c>
      <c r="L9308" s="16">
        <f>base!X9308</f>
        <v>0</v>
      </c>
      <c r="M9308" s="11" t="e">
        <f t="shared" si="1437"/>
        <v>#DIV/0!</v>
      </c>
      <c r="N9308" s="11"/>
      <c r="O9308" s="11" t="e">
        <f t="shared" si="1438"/>
        <v>#DIV/0!</v>
      </c>
      <c r="P9308" s="12">
        <f t="shared" si="1439"/>
        <v>0</v>
      </c>
      <c r="Q9308" s="17" t="str">
        <f t="shared" si="1441"/>
        <v>Pas d'écart</v>
      </c>
    </row>
    <row r="9309" spans="1:17" x14ac:dyDescent="0.3">
      <c r="A9309" s="34">
        <f>base!J9309</f>
        <v>0</v>
      </c>
      <c r="B9309" s="34">
        <f>base!V9309</f>
        <v>0</v>
      </c>
      <c r="C9309" s="40" t="s">
        <v>11</v>
      </c>
      <c r="D9309" s="36">
        <f>base!H9309</f>
        <v>0</v>
      </c>
      <c r="E9309" s="44"/>
      <c r="F9309" s="16">
        <f>base!W9309</f>
        <v>0</v>
      </c>
      <c r="G9309" s="11" t="e">
        <f t="shared" si="1433"/>
        <v>#DIV/0!</v>
      </c>
      <c r="H9309" s="11" t="e">
        <f t="shared" si="1434"/>
        <v>#N/A</v>
      </c>
      <c r="I9309" s="11" t="e">
        <f t="shared" si="1435"/>
        <v>#N/A</v>
      </c>
      <c r="J9309" s="12" t="e">
        <f t="shared" si="1436"/>
        <v>#N/A</v>
      </c>
      <c r="K9309" s="17" t="e">
        <f t="shared" si="1440"/>
        <v>#N/A</v>
      </c>
      <c r="L9309" s="16">
        <f>base!X9309</f>
        <v>0</v>
      </c>
      <c r="M9309" s="11" t="e">
        <f t="shared" si="1437"/>
        <v>#DIV/0!</v>
      </c>
      <c r="N9309" s="11"/>
      <c r="O9309" s="11" t="e">
        <f t="shared" si="1438"/>
        <v>#DIV/0!</v>
      </c>
      <c r="P9309" s="12">
        <f t="shared" si="1439"/>
        <v>0</v>
      </c>
      <c r="Q9309" s="17" t="str">
        <f t="shared" si="1441"/>
        <v>Pas d'écart</v>
      </c>
    </row>
    <row r="9310" spans="1:17" x14ac:dyDescent="0.3">
      <c r="A9310" s="34">
        <f>base!J9310</f>
        <v>0</v>
      </c>
      <c r="B9310" s="34">
        <f>base!V9310</f>
        <v>0</v>
      </c>
      <c r="C9310" s="40" t="s">
        <v>11</v>
      </c>
      <c r="D9310" s="36">
        <f>base!H9310</f>
        <v>0</v>
      </c>
      <c r="E9310" s="44"/>
      <c r="F9310" s="16">
        <f>base!W9310</f>
        <v>0</v>
      </c>
      <c r="G9310" s="11" t="e">
        <f t="shared" si="1433"/>
        <v>#DIV/0!</v>
      </c>
      <c r="H9310" s="11" t="e">
        <f t="shared" si="1434"/>
        <v>#N/A</v>
      </c>
      <c r="I9310" s="11" t="e">
        <f t="shared" si="1435"/>
        <v>#N/A</v>
      </c>
      <c r="J9310" s="12" t="e">
        <f t="shared" si="1436"/>
        <v>#N/A</v>
      </c>
      <c r="K9310" s="17" t="e">
        <f t="shared" si="1440"/>
        <v>#N/A</v>
      </c>
      <c r="L9310" s="16">
        <f>base!X9310</f>
        <v>0</v>
      </c>
      <c r="M9310" s="11" t="e">
        <f t="shared" si="1437"/>
        <v>#DIV/0!</v>
      </c>
      <c r="N9310" s="11"/>
      <c r="O9310" s="11" t="e">
        <f t="shared" si="1438"/>
        <v>#DIV/0!</v>
      </c>
      <c r="P9310" s="12">
        <f t="shared" si="1439"/>
        <v>0</v>
      </c>
      <c r="Q9310" s="17" t="str">
        <f t="shared" si="1441"/>
        <v>Pas d'écart</v>
      </c>
    </row>
    <row r="9311" spans="1:17" x14ac:dyDescent="0.3">
      <c r="A9311" s="34">
        <f>base!J9311</f>
        <v>0</v>
      </c>
      <c r="B9311" s="34">
        <f>base!V9311</f>
        <v>0</v>
      </c>
      <c r="C9311" s="40" t="s">
        <v>11</v>
      </c>
      <c r="D9311" s="36">
        <f>base!H9311</f>
        <v>0</v>
      </c>
      <c r="E9311" s="44"/>
      <c r="F9311" s="16">
        <f>base!W9311</f>
        <v>0</v>
      </c>
      <c r="G9311" s="11" t="e">
        <f t="shared" si="1433"/>
        <v>#DIV/0!</v>
      </c>
      <c r="H9311" s="11" t="e">
        <f t="shared" si="1434"/>
        <v>#N/A</v>
      </c>
      <c r="I9311" s="11" t="e">
        <f t="shared" si="1435"/>
        <v>#N/A</v>
      </c>
      <c r="J9311" s="12" t="e">
        <f t="shared" si="1436"/>
        <v>#N/A</v>
      </c>
      <c r="K9311" s="17" t="e">
        <f t="shared" si="1440"/>
        <v>#N/A</v>
      </c>
      <c r="L9311" s="16">
        <f>base!X9311</f>
        <v>0</v>
      </c>
      <c r="M9311" s="11" t="e">
        <f t="shared" si="1437"/>
        <v>#DIV/0!</v>
      </c>
      <c r="N9311" s="11"/>
      <c r="O9311" s="11" t="e">
        <f t="shared" si="1438"/>
        <v>#DIV/0!</v>
      </c>
      <c r="P9311" s="12">
        <f t="shared" si="1439"/>
        <v>0</v>
      </c>
      <c r="Q9311" s="17" t="str">
        <f t="shared" si="1441"/>
        <v>Pas d'écart</v>
      </c>
    </row>
    <row r="9312" spans="1:17" x14ac:dyDescent="0.3">
      <c r="A9312" s="34">
        <f>base!J9312</f>
        <v>0</v>
      </c>
      <c r="B9312" s="34">
        <f>base!V9312</f>
        <v>0</v>
      </c>
      <c r="C9312" s="40" t="s">
        <v>11</v>
      </c>
      <c r="D9312" s="36">
        <f>base!H9312</f>
        <v>0</v>
      </c>
      <c r="E9312" s="44"/>
      <c r="F9312" s="16">
        <f>base!W9312</f>
        <v>0</v>
      </c>
      <c r="G9312" s="11" t="e">
        <f t="shared" si="1433"/>
        <v>#DIV/0!</v>
      </c>
      <c r="H9312" s="11" t="e">
        <f t="shared" si="1434"/>
        <v>#N/A</v>
      </c>
      <c r="I9312" s="11" t="e">
        <f t="shared" si="1435"/>
        <v>#N/A</v>
      </c>
      <c r="J9312" s="12" t="e">
        <f t="shared" si="1436"/>
        <v>#N/A</v>
      </c>
      <c r="K9312" s="17" t="e">
        <f t="shared" si="1440"/>
        <v>#N/A</v>
      </c>
      <c r="L9312" s="16">
        <f>base!X9312</f>
        <v>0</v>
      </c>
      <c r="M9312" s="11" t="e">
        <f t="shared" si="1437"/>
        <v>#DIV/0!</v>
      </c>
      <c r="N9312" s="11"/>
      <c r="O9312" s="11" t="e">
        <f t="shared" si="1438"/>
        <v>#DIV/0!</v>
      </c>
      <c r="P9312" s="12">
        <f t="shared" si="1439"/>
        <v>0</v>
      </c>
      <c r="Q9312" s="17" t="str">
        <f t="shared" si="1441"/>
        <v>Pas d'écart</v>
      </c>
    </row>
    <row r="9313" spans="1:17" x14ac:dyDescent="0.3">
      <c r="A9313" s="34">
        <f>base!J9313</f>
        <v>0</v>
      </c>
      <c r="B9313" s="34">
        <f>base!V9313</f>
        <v>0</v>
      </c>
      <c r="C9313" s="40" t="s">
        <v>11</v>
      </c>
      <c r="D9313" s="36">
        <f>base!H9313</f>
        <v>0</v>
      </c>
      <c r="E9313" s="44"/>
      <c r="F9313" s="16">
        <f>base!W9313</f>
        <v>0</v>
      </c>
      <c r="G9313" s="11" t="e">
        <f t="shared" si="1433"/>
        <v>#DIV/0!</v>
      </c>
      <c r="H9313" s="11" t="e">
        <f t="shared" si="1434"/>
        <v>#N/A</v>
      </c>
      <c r="I9313" s="11" t="e">
        <f t="shared" si="1435"/>
        <v>#N/A</v>
      </c>
      <c r="J9313" s="12" t="e">
        <f t="shared" si="1436"/>
        <v>#N/A</v>
      </c>
      <c r="K9313" s="17" t="e">
        <f t="shared" si="1440"/>
        <v>#N/A</v>
      </c>
      <c r="L9313" s="16">
        <f>base!X9313</f>
        <v>0</v>
      </c>
      <c r="M9313" s="11" t="e">
        <f t="shared" si="1437"/>
        <v>#DIV/0!</v>
      </c>
      <c r="N9313" s="11"/>
      <c r="O9313" s="11" t="e">
        <f t="shared" si="1438"/>
        <v>#DIV/0!</v>
      </c>
      <c r="P9313" s="12">
        <f t="shared" si="1439"/>
        <v>0</v>
      </c>
      <c r="Q9313" s="17" t="str">
        <f t="shared" si="1441"/>
        <v>Pas d'écart</v>
      </c>
    </row>
    <row r="9314" spans="1:17" x14ac:dyDescent="0.3">
      <c r="A9314" s="34">
        <f>base!J9314</f>
        <v>0</v>
      </c>
      <c r="B9314" s="34">
        <f>base!V9314</f>
        <v>0</v>
      </c>
      <c r="C9314" s="40" t="s">
        <v>11</v>
      </c>
      <c r="D9314" s="36">
        <f>base!H9314</f>
        <v>0</v>
      </c>
      <c r="E9314" s="44"/>
      <c r="F9314" s="16">
        <f>base!W9314</f>
        <v>0</v>
      </c>
      <c r="G9314" s="11" t="e">
        <f t="shared" si="1433"/>
        <v>#DIV/0!</v>
      </c>
      <c r="H9314" s="11" t="e">
        <f t="shared" si="1434"/>
        <v>#N/A</v>
      </c>
      <c r="I9314" s="11" t="e">
        <f t="shared" si="1435"/>
        <v>#N/A</v>
      </c>
      <c r="J9314" s="12" t="e">
        <f t="shared" si="1436"/>
        <v>#N/A</v>
      </c>
      <c r="K9314" s="17" t="e">
        <f t="shared" si="1440"/>
        <v>#N/A</v>
      </c>
      <c r="L9314" s="16">
        <f>base!X9314</f>
        <v>0</v>
      </c>
      <c r="M9314" s="11" t="e">
        <f t="shared" si="1437"/>
        <v>#DIV/0!</v>
      </c>
      <c r="N9314" s="11"/>
      <c r="O9314" s="11" t="e">
        <f t="shared" si="1438"/>
        <v>#DIV/0!</v>
      </c>
      <c r="P9314" s="12">
        <f t="shared" si="1439"/>
        <v>0</v>
      </c>
      <c r="Q9314" s="17" t="str">
        <f t="shared" si="1441"/>
        <v>Pas d'écart</v>
      </c>
    </row>
    <row r="9315" spans="1:17" x14ac:dyDescent="0.3">
      <c r="A9315" s="34">
        <f>base!J9315</f>
        <v>0</v>
      </c>
      <c r="B9315" s="34">
        <f>base!V9315</f>
        <v>0</v>
      </c>
      <c r="C9315" s="40" t="s">
        <v>11</v>
      </c>
      <c r="D9315" s="36">
        <f>base!H9315</f>
        <v>0</v>
      </c>
      <c r="E9315" s="44"/>
      <c r="F9315" s="16">
        <f>base!W9315</f>
        <v>0</v>
      </c>
      <c r="G9315" s="11" t="e">
        <f t="shared" si="1433"/>
        <v>#DIV/0!</v>
      </c>
      <c r="H9315" s="11" t="e">
        <f t="shared" si="1434"/>
        <v>#N/A</v>
      </c>
      <c r="I9315" s="11" t="e">
        <f t="shared" si="1435"/>
        <v>#N/A</v>
      </c>
      <c r="J9315" s="12" t="e">
        <f t="shared" si="1436"/>
        <v>#N/A</v>
      </c>
      <c r="K9315" s="17" t="e">
        <f t="shared" si="1440"/>
        <v>#N/A</v>
      </c>
      <c r="L9315" s="16">
        <f>base!X9315</f>
        <v>0</v>
      </c>
      <c r="M9315" s="11" t="e">
        <f t="shared" si="1437"/>
        <v>#DIV/0!</v>
      </c>
      <c r="N9315" s="11"/>
      <c r="O9315" s="11" t="e">
        <f t="shared" si="1438"/>
        <v>#DIV/0!</v>
      </c>
      <c r="P9315" s="12">
        <f t="shared" si="1439"/>
        <v>0</v>
      </c>
      <c r="Q9315" s="17" t="str">
        <f t="shared" si="1441"/>
        <v>Pas d'écart</v>
      </c>
    </row>
    <row r="9316" spans="1:17" x14ac:dyDescent="0.3">
      <c r="A9316" s="34">
        <f>base!J9316</f>
        <v>0</v>
      </c>
      <c r="B9316" s="34">
        <f>base!V9316</f>
        <v>0</v>
      </c>
      <c r="C9316" s="40" t="s">
        <v>11</v>
      </c>
      <c r="D9316" s="36">
        <f>base!H9316</f>
        <v>0</v>
      </c>
      <c r="E9316" s="44"/>
      <c r="F9316" s="16">
        <f>base!W9316</f>
        <v>0</v>
      </c>
      <c r="G9316" s="11" t="e">
        <f t="shared" si="1433"/>
        <v>#DIV/0!</v>
      </c>
      <c r="H9316" s="11" t="e">
        <f t="shared" si="1434"/>
        <v>#N/A</v>
      </c>
      <c r="I9316" s="11" t="e">
        <f t="shared" si="1435"/>
        <v>#N/A</v>
      </c>
      <c r="J9316" s="12" t="e">
        <f t="shared" si="1436"/>
        <v>#N/A</v>
      </c>
      <c r="K9316" s="17" t="e">
        <f t="shared" si="1440"/>
        <v>#N/A</v>
      </c>
      <c r="L9316" s="16">
        <f>base!X9316</f>
        <v>0</v>
      </c>
      <c r="M9316" s="11" t="e">
        <f t="shared" si="1437"/>
        <v>#DIV/0!</v>
      </c>
      <c r="N9316" s="11"/>
      <c r="O9316" s="11" t="e">
        <f t="shared" si="1438"/>
        <v>#DIV/0!</v>
      </c>
      <c r="P9316" s="12">
        <f t="shared" si="1439"/>
        <v>0</v>
      </c>
      <c r="Q9316" s="17" t="str">
        <f t="shared" si="1441"/>
        <v>Pas d'écart</v>
      </c>
    </row>
    <row r="9317" spans="1:17" x14ac:dyDescent="0.3">
      <c r="A9317" s="34">
        <f>base!J9317</f>
        <v>0</v>
      </c>
      <c r="B9317" s="34">
        <f>base!V9317</f>
        <v>0</v>
      </c>
      <c r="C9317" s="40" t="s">
        <v>11</v>
      </c>
      <c r="D9317" s="36">
        <f>base!H9317</f>
        <v>0</v>
      </c>
      <c r="E9317" s="44"/>
      <c r="F9317" s="16">
        <f>base!W9317</f>
        <v>0</v>
      </c>
      <c r="G9317" s="11" t="e">
        <f t="shared" si="1433"/>
        <v>#DIV/0!</v>
      </c>
      <c r="H9317" s="11" t="e">
        <f t="shared" si="1434"/>
        <v>#N/A</v>
      </c>
      <c r="I9317" s="11" t="e">
        <f t="shared" si="1435"/>
        <v>#N/A</v>
      </c>
      <c r="J9317" s="12" t="e">
        <f t="shared" si="1436"/>
        <v>#N/A</v>
      </c>
      <c r="K9317" s="17" t="e">
        <f t="shared" si="1440"/>
        <v>#N/A</v>
      </c>
      <c r="L9317" s="16">
        <f>base!X9317</f>
        <v>0</v>
      </c>
      <c r="M9317" s="11" t="e">
        <f t="shared" si="1437"/>
        <v>#DIV/0!</v>
      </c>
      <c r="N9317" s="11"/>
      <c r="O9317" s="11" t="e">
        <f t="shared" si="1438"/>
        <v>#DIV/0!</v>
      </c>
      <c r="P9317" s="12">
        <f t="shared" si="1439"/>
        <v>0</v>
      </c>
      <c r="Q9317" s="17" t="str">
        <f t="shared" si="1441"/>
        <v>Pas d'écart</v>
      </c>
    </row>
    <row r="9318" spans="1:17" x14ac:dyDescent="0.3">
      <c r="A9318" s="34">
        <f>base!J9318</f>
        <v>0</v>
      </c>
      <c r="B9318" s="34">
        <f>base!V9318</f>
        <v>0</v>
      </c>
      <c r="C9318" s="40" t="s">
        <v>11</v>
      </c>
      <c r="D9318" s="36">
        <f>base!H9318</f>
        <v>0</v>
      </c>
      <c r="E9318" s="44"/>
      <c r="F9318" s="16">
        <f>base!W9318</f>
        <v>0</v>
      </c>
      <c r="G9318" s="11" t="e">
        <f t="shared" si="1433"/>
        <v>#DIV/0!</v>
      </c>
      <c r="H9318" s="11" t="e">
        <f t="shared" si="1434"/>
        <v>#N/A</v>
      </c>
      <c r="I9318" s="11" t="e">
        <f t="shared" si="1435"/>
        <v>#N/A</v>
      </c>
      <c r="J9318" s="12" t="e">
        <f t="shared" si="1436"/>
        <v>#N/A</v>
      </c>
      <c r="K9318" s="17" t="e">
        <f t="shared" si="1440"/>
        <v>#N/A</v>
      </c>
      <c r="L9318" s="16">
        <f>base!X9318</f>
        <v>0</v>
      </c>
      <c r="M9318" s="11" t="e">
        <f t="shared" si="1437"/>
        <v>#DIV/0!</v>
      </c>
      <c r="N9318" s="11"/>
      <c r="O9318" s="11" t="e">
        <f t="shared" si="1438"/>
        <v>#DIV/0!</v>
      </c>
      <c r="P9318" s="12">
        <f t="shared" si="1439"/>
        <v>0</v>
      </c>
      <c r="Q9318" s="17" t="str">
        <f t="shared" si="1441"/>
        <v>Pas d'écart</v>
      </c>
    </row>
    <row r="9319" spans="1:17" x14ac:dyDescent="0.3">
      <c r="A9319" s="34">
        <f>base!J9319</f>
        <v>0</v>
      </c>
      <c r="B9319" s="34">
        <f>base!V9319</f>
        <v>0</v>
      </c>
      <c r="C9319" s="40" t="s">
        <v>11</v>
      </c>
      <c r="D9319" s="36">
        <f>base!H9319</f>
        <v>0</v>
      </c>
      <c r="E9319" s="44"/>
      <c r="F9319" s="16">
        <f>base!W9319</f>
        <v>0</v>
      </c>
      <c r="G9319" s="11" t="e">
        <f t="shared" si="1433"/>
        <v>#DIV/0!</v>
      </c>
      <c r="H9319" s="11" t="e">
        <f t="shared" si="1434"/>
        <v>#N/A</v>
      </c>
      <c r="I9319" s="11" t="e">
        <f t="shared" si="1435"/>
        <v>#N/A</v>
      </c>
      <c r="J9319" s="12" t="e">
        <f t="shared" si="1436"/>
        <v>#N/A</v>
      </c>
      <c r="K9319" s="17" t="e">
        <f t="shared" si="1440"/>
        <v>#N/A</v>
      </c>
      <c r="L9319" s="16">
        <f>base!X9319</f>
        <v>0</v>
      </c>
      <c r="M9319" s="11" t="e">
        <f t="shared" si="1437"/>
        <v>#DIV/0!</v>
      </c>
      <c r="N9319" s="11"/>
      <c r="O9319" s="11" t="e">
        <f t="shared" si="1438"/>
        <v>#DIV/0!</v>
      </c>
      <c r="P9319" s="12">
        <f t="shared" si="1439"/>
        <v>0</v>
      </c>
      <c r="Q9319" s="17" t="str">
        <f t="shared" si="1441"/>
        <v>Pas d'écart</v>
      </c>
    </row>
    <row r="9320" spans="1:17" x14ac:dyDescent="0.3">
      <c r="A9320" s="34">
        <f>base!J9320</f>
        <v>0</v>
      </c>
      <c r="B9320" s="34">
        <f>base!V9320</f>
        <v>0</v>
      </c>
      <c r="C9320" s="40" t="s">
        <v>11</v>
      </c>
      <c r="D9320" s="36">
        <f>base!H9320</f>
        <v>0</v>
      </c>
      <c r="E9320" s="44"/>
      <c r="F9320" s="16">
        <f>base!W9320</f>
        <v>0</v>
      </c>
      <c r="G9320" s="11" t="e">
        <f t="shared" si="1433"/>
        <v>#DIV/0!</v>
      </c>
      <c r="H9320" s="11" t="e">
        <f t="shared" si="1434"/>
        <v>#N/A</v>
      </c>
      <c r="I9320" s="11" t="e">
        <f t="shared" si="1435"/>
        <v>#N/A</v>
      </c>
      <c r="J9320" s="12" t="e">
        <f t="shared" si="1436"/>
        <v>#N/A</v>
      </c>
      <c r="K9320" s="17" t="e">
        <f t="shared" si="1440"/>
        <v>#N/A</v>
      </c>
      <c r="L9320" s="16">
        <f>base!X9320</f>
        <v>0</v>
      </c>
      <c r="M9320" s="11" t="e">
        <f t="shared" si="1437"/>
        <v>#DIV/0!</v>
      </c>
      <c r="N9320" s="11"/>
      <c r="O9320" s="11" t="e">
        <f t="shared" si="1438"/>
        <v>#DIV/0!</v>
      </c>
      <c r="P9320" s="12">
        <f t="shared" si="1439"/>
        <v>0</v>
      </c>
      <c r="Q9320" s="17" t="str">
        <f t="shared" si="1441"/>
        <v>Pas d'écart</v>
      </c>
    </row>
    <row r="9321" spans="1:17" x14ac:dyDescent="0.3">
      <c r="A9321" s="34">
        <f>base!J9321</f>
        <v>0</v>
      </c>
      <c r="B9321" s="34">
        <f>base!V9321</f>
        <v>0</v>
      </c>
      <c r="C9321" s="40" t="s">
        <v>11</v>
      </c>
      <c r="D9321" s="36">
        <f>base!H9321</f>
        <v>0</v>
      </c>
      <c r="E9321" s="44"/>
      <c r="F9321" s="16">
        <f>base!W9321</f>
        <v>0</v>
      </c>
      <c r="G9321" s="11" t="e">
        <f t="shared" si="1433"/>
        <v>#DIV/0!</v>
      </c>
      <c r="H9321" s="11" t="e">
        <f t="shared" si="1434"/>
        <v>#N/A</v>
      </c>
      <c r="I9321" s="11" t="e">
        <f t="shared" si="1435"/>
        <v>#N/A</v>
      </c>
      <c r="J9321" s="12" t="e">
        <f t="shared" si="1436"/>
        <v>#N/A</v>
      </c>
      <c r="K9321" s="17" t="e">
        <f t="shared" si="1440"/>
        <v>#N/A</v>
      </c>
      <c r="L9321" s="16">
        <f>base!X9321</f>
        <v>0</v>
      </c>
      <c r="M9321" s="11" t="e">
        <f t="shared" si="1437"/>
        <v>#DIV/0!</v>
      </c>
      <c r="N9321" s="11"/>
      <c r="O9321" s="11" t="e">
        <f t="shared" si="1438"/>
        <v>#DIV/0!</v>
      </c>
      <c r="P9321" s="12">
        <f t="shared" si="1439"/>
        <v>0</v>
      </c>
      <c r="Q9321" s="17" t="str">
        <f t="shared" si="1441"/>
        <v>Pas d'écart</v>
      </c>
    </row>
    <row r="9322" spans="1:17" x14ac:dyDescent="0.3">
      <c r="A9322" s="34">
        <f>base!J9322</f>
        <v>0</v>
      </c>
      <c r="B9322" s="34">
        <f>base!V9322</f>
        <v>0</v>
      </c>
      <c r="C9322" s="40" t="s">
        <v>11</v>
      </c>
      <c r="D9322" s="36">
        <f>base!H9322</f>
        <v>0</v>
      </c>
      <c r="E9322" s="44"/>
      <c r="F9322" s="16">
        <f>base!W9322</f>
        <v>0</v>
      </c>
      <c r="G9322" s="11" t="e">
        <f t="shared" si="1433"/>
        <v>#DIV/0!</v>
      </c>
      <c r="H9322" s="11" t="e">
        <f t="shared" si="1434"/>
        <v>#N/A</v>
      </c>
      <c r="I9322" s="11" t="e">
        <f t="shared" si="1435"/>
        <v>#N/A</v>
      </c>
      <c r="J9322" s="12" t="e">
        <f t="shared" si="1436"/>
        <v>#N/A</v>
      </c>
      <c r="K9322" s="17" t="e">
        <f t="shared" si="1440"/>
        <v>#N/A</v>
      </c>
      <c r="L9322" s="16">
        <f>base!X9322</f>
        <v>0</v>
      </c>
      <c r="M9322" s="11" t="e">
        <f t="shared" si="1437"/>
        <v>#DIV/0!</v>
      </c>
      <c r="N9322" s="11"/>
      <c r="O9322" s="11" t="e">
        <f t="shared" si="1438"/>
        <v>#DIV/0!</v>
      </c>
      <c r="P9322" s="12">
        <f t="shared" si="1439"/>
        <v>0</v>
      </c>
      <c r="Q9322" s="17" t="str">
        <f t="shared" si="1441"/>
        <v>Pas d'écart</v>
      </c>
    </row>
    <row r="9323" spans="1:17" x14ac:dyDescent="0.3">
      <c r="A9323" s="34">
        <f>base!J9323</f>
        <v>0</v>
      </c>
      <c r="B9323" s="34">
        <f>base!V9323</f>
        <v>0</v>
      </c>
      <c r="C9323" s="40" t="s">
        <v>11</v>
      </c>
      <c r="D9323" s="36">
        <f>base!H9323</f>
        <v>0</v>
      </c>
      <c r="E9323" s="44"/>
      <c r="F9323" s="16">
        <f>base!W9323</f>
        <v>0</v>
      </c>
      <c r="G9323" s="11" t="e">
        <f t="shared" si="1433"/>
        <v>#DIV/0!</v>
      </c>
      <c r="H9323" s="11" t="e">
        <f t="shared" si="1434"/>
        <v>#N/A</v>
      </c>
      <c r="I9323" s="11" t="e">
        <f t="shared" si="1435"/>
        <v>#N/A</v>
      </c>
      <c r="J9323" s="12" t="e">
        <f t="shared" si="1436"/>
        <v>#N/A</v>
      </c>
      <c r="K9323" s="17" t="e">
        <f t="shared" si="1440"/>
        <v>#N/A</v>
      </c>
      <c r="L9323" s="16">
        <f>base!X9323</f>
        <v>0</v>
      </c>
      <c r="M9323" s="11" t="e">
        <f t="shared" si="1437"/>
        <v>#DIV/0!</v>
      </c>
      <c r="N9323" s="11"/>
      <c r="O9323" s="11" t="e">
        <f t="shared" si="1438"/>
        <v>#DIV/0!</v>
      </c>
      <c r="P9323" s="12">
        <f t="shared" si="1439"/>
        <v>0</v>
      </c>
      <c r="Q9323" s="17" t="str">
        <f t="shared" si="1441"/>
        <v>Pas d'écart</v>
      </c>
    </row>
    <row r="9324" spans="1:17" x14ac:dyDescent="0.3">
      <c r="A9324" s="34">
        <f>base!J9324</f>
        <v>0</v>
      </c>
      <c r="B9324" s="34">
        <f>base!V9324</f>
        <v>0</v>
      </c>
      <c r="C9324" s="40" t="s">
        <v>11</v>
      </c>
      <c r="D9324" s="36">
        <f>base!H9324</f>
        <v>0</v>
      </c>
      <c r="E9324" s="44"/>
      <c r="F9324" s="16">
        <f>base!W9324</f>
        <v>0</v>
      </c>
      <c r="G9324" s="11" t="e">
        <f t="shared" si="1433"/>
        <v>#DIV/0!</v>
      </c>
      <c r="H9324" s="11" t="e">
        <f t="shared" si="1434"/>
        <v>#N/A</v>
      </c>
      <c r="I9324" s="11" t="e">
        <f t="shared" si="1435"/>
        <v>#N/A</v>
      </c>
      <c r="J9324" s="12" t="e">
        <f t="shared" si="1436"/>
        <v>#N/A</v>
      </c>
      <c r="K9324" s="17" t="e">
        <f t="shared" si="1440"/>
        <v>#N/A</v>
      </c>
      <c r="L9324" s="16">
        <f>base!X9324</f>
        <v>0</v>
      </c>
      <c r="M9324" s="11" t="e">
        <f t="shared" si="1437"/>
        <v>#DIV/0!</v>
      </c>
      <c r="N9324" s="11"/>
      <c r="O9324" s="11" t="e">
        <f t="shared" si="1438"/>
        <v>#DIV/0!</v>
      </c>
      <c r="P9324" s="12">
        <f t="shared" si="1439"/>
        <v>0</v>
      </c>
      <c r="Q9324" s="17" t="str">
        <f t="shared" si="1441"/>
        <v>Pas d'écart</v>
      </c>
    </row>
    <row r="9325" spans="1:17" x14ac:dyDescent="0.3">
      <c r="A9325" s="34">
        <f>base!J9325</f>
        <v>0</v>
      </c>
      <c r="B9325" s="34">
        <f>base!V9325</f>
        <v>0</v>
      </c>
      <c r="C9325" s="40" t="s">
        <v>11</v>
      </c>
      <c r="D9325" s="36">
        <f>base!H9325</f>
        <v>0</v>
      </c>
      <c r="E9325" s="44"/>
      <c r="F9325" s="16">
        <f>base!W9325</f>
        <v>0</v>
      </c>
      <c r="G9325" s="11" t="e">
        <f t="shared" si="1433"/>
        <v>#DIV/0!</v>
      </c>
      <c r="H9325" s="11" t="e">
        <f t="shared" si="1434"/>
        <v>#N/A</v>
      </c>
      <c r="I9325" s="11" t="e">
        <f t="shared" si="1435"/>
        <v>#N/A</v>
      </c>
      <c r="J9325" s="12" t="e">
        <f t="shared" si="1436"/>
        <v>#N/A</v>
      </c>
      <c r="K9325" s="17" t="e">
        <f t="shared" si="1440"/>
        <v>#N/A</v>
      </c>
      <c r="L9325" s="16">
        <f>base!X9325</f>
        <v>0</v>
      </c>
      <c r="M9325" s="11" t="e">
        <f t="shared" si="1437"/>
        <v>#DIV/0!</v>
      </c>
      <c r="N9325" s="11"/>
      <c r="O9325" s="11" t="e">
        <f t="shared" si="1438"/>
        <v>#DIV/0!</v>
      </c>
      <c r="P9325" s="12">
        <f t="shared" si="1439"/>
        <v>0</v>
      </c>
      <c r="Q9325" s="17" t="str">
        <f t="shared" si="1441"/>
        <v>Pas d'écart</v>
      </c>
    </row>
    <row r="9326" spans="1:17" x14ac:dyDescent="0.3">
      <c r="A9326" s="34">
        <f>base!J9326</f>
        <v>0</v>
      </c>
      <c r="B9326" s="34">
        <f>base!V9326</f>
        <v>0</v>
      </c>
      <c r="C9326" s="40" t="s">
        <v>11</v>
      </c>
      <c r="D9326" s="36">
        <f>base!H9326</f>
        <v>0</v>
      </c>
      <c r="E9326" s="44"/>
      <c r="F9326" s="16">
        <f>base!W9326</f>
        <v>0</v>
      </c>
      <c r="G9326" s="11" t="e">
        <f t="shared" si="1433"/>
        <v>#DIV/0!</v>
      </c>
      <c r="H9326" s="11" t="e">
        <f t="shared" si="1434"/>
        <v>#N/A</v>
      </c>
      <c r="I9326" s="11" t="e">
        <f t="shared" si="1435"/>
        <v>#N/A</v>
      </c>
      <c r="J9326" s="12" t="e">
        <f t="shared" si="1436"/>
        <v>#N/A</v>
      </c>
      <c r="K9326" s="17" t="e">
        <f t="shared" si="1440"/>
        <v>#N/A</v>
      </c>
      <c r="L9326" s="16">
        <f>base!X9326</f>
        <v>0</v>
      </c>
      <c r="M9326" s="11" t="e">
        <f t="shared" si="1437"/>
        <v>#DIV/0!</v>
      </c>
      <c r="N9326" s="11"/>
      <c r="O9326" s="11" t="e">
        <f t="shared" si="1438"/>
        <v>#DIV/0!</v>
      </c>
      <c r="P9326" s="12">
        <f t="shared" si="1439"/>
        <v>0</v>
      </c>
      <c r="Q9326" s="17" t="str">
        <f t="shared" si="1441"/>
        <v>Pas d'écart</v>
      </c>
    </row>
    <row r="9327" spans="1:17" x14ac:dyDescent="0.3">
      <c r="A9327" s="34">
        <f>base!J9327</f>
        <v>0</v>
      </c>
      <c r="B9327" s="34">
        <f>base!V9327</f>
        <v>0</v>
      </c>
      <c r="C9327" s="40" t="s">
        <v>11</v>
      </c>
      <c r="D9327" s="36">
        <f>base!H9327</f>
        <v>0</v>
      </c>
      <c r="E9327" s="44"/>
      <c r="F9327" s="16">
        <f>base!W9327</f>
        <v>0</v>
      </c>
      <c r="G9327" s="11" t="e">
        <f t="shared" si="1433"/>
        <v>#DIV/0!</v>
      </c>
      <c r="H9327" s="11" t="e">
        <f t="shared" si="1434"/>
        <v>#N/A</v>
      </c>
      <c r="I9327" s="11" t="e">
        <f t="shared" si="1435"/>
        <v>#N/A</v>
      </c>
      <c r="J9327" s="12" t="e">
        <f t="shared" si="1436"/>
        <v>#N/A</v>
      </c>
      <c r="K9327" s="17" t="e">
        <f t="shared" si="1440"/>
        <v>#N/A</v>
      </c>
      <c r="L9327" s="16">
        <f>base!X9327</f>
        <v>0</v>
      </c>
      <c r="M9327" s="11" t="e">
        <f t="shared" si="1437"/>
        <v>#DIV/0!</v>
      </c>
      <c r="N9327" s="11"/>
      <c r="O9327" s="11" t="e">
        <f t="shared" si="1438"/>
        <v>#DIV/0!</v>
      </c>
      <c r="P9327" s="12">
        <f t="shared" si="1439"/>
        <v>0</v>
      </c>
      <c r="Q9327" s="17" t="str">
        <f t="shared" si="1441"/>
        <v>Pas d'écart</v>
      </c>
    </row>
    <row r="9328" spans="1:17" x14ac:dyDescent="0.3">
      <c r="A9328" s="34">
        <f>base!J9328</f>
        <v>0</v>
      </c>
      <c r="B9328" s="34">
        <f>base!V9328</f>
        <v>0</v>
      </c>
      <c r="C9328" s="40" t="s">
        <v>11</v>
      </c>
      <c r="D9328" s="36">
        <f>base!H9328</f>
        <v>0</v>
      </c>
      <c r="E9328" s="44"/>
      <c r="F9328" s="16">
        <f>base!W9328</f>
        <v>0</v>
      </c>
      <c r="G9328" s="11" t="e">
        <f t="shared" si="1433"/>
        <v>#DIV/0!</v>
      </c>
      <c r="H9328" s="11" t="e">
        <f t="shared" si="1434"/>
        <v>#N/A</v>
      </c>
      <c r="I9328" s="11" t="e">
        <f t="shared" si="1435"/>
        <v>#N/A</v>
      </c>
      <c r="J9328" s="12" t="e">
        <f t="shared" si="1436"/>
        <v>#N/A</v>
      </c>
      <c r="K9328" s="17" t="e">
        <f t="shared" si="1440"/>
        <v>#N/A</v>
      </c>
      <c r="L9328" s="16">
        <f>base!X9328</f>
        <v>0</v>
      </c>
      <c r="M9328" s="11" t="e">
        <f t="shared" si="1437"/>
        <v>#DIV/0!</v>
      </c>
      <c r="N9328" s="11"/>
      <c r="O9328" s="11" t="e">
        <f t="shared" si="1438"/>
        <v>#DIV/0!</v>
      </c>
      <c r="P9328" s="12">
        <f t="shared" si="1439"/>
        <v>0</v>
      </c>
      <c r="Q9328" s="17" t="str">
        <f t="shared" si="1441"/>
        <v>Pas d'écart</v>
      </c>
    </row>
    <row r="9329" spans="1:17" x14ac:dyDescent="0.3">
      <c r="A9329" s="34">
        <f>base!J9329</f>
        <v>0</v>
      </c>
      <c r="B9329" s="34">
        <f>base!V9329</f>
        <v>0</v>
      </c>
      <c r="C9329" s="40" t="s">
        <v>11</v>
      </c>
      <c r="D9329" s="36">
        <f>base!H9329</f>
        <v>0</v>
      </c>
      <c r="E9329" s="44"/>
      <c r="F9329" s="16">
        <f>base!W9329</f>
        <v>0</v>
      </c>
      <c r="G9329" s="11" t="e">
        <f t="shared" si="1433"/>
        <v>#DIV/0!</v>
      </c>
      <c r="H9329" s="11" t="e">
        <f t="shared" si="1434"/>
        <v>#N/A</v>
      </c>
      <c r="I9329" s="11" t="e">
        <f t="shared" si="1435"/>
        <v>#N/A</v>
      </c>
      <c r="J9329" s="12" t="e">
        <f t="shared" si="1436"/>
        <v>#N/A</v>
      </c>
      <c r="K9329" s="17" t="e">
        <f t="shared" si="1440"/>
        <v>#N/A</v>
      </c>
      <c r="L9329" s="16">
        <f>base!X9329</f>
        <v>0</v>
      </c>
      <c r="M9329" s="11" t="e">
        <f t="shared" si="1437"/>
        <v>#DIV/0!</v>
      </c>
      <c r="N9329" s="11"/>
      <c r="O9329" s="11" t="e">
        <f t="shared" si="1438"/>
        <v>#DIV/0!</v>
      </c>
      <c r="P9329" s="12">
        <f t="shared" si="1439"/>
        <v>0</v>
      </c>
      <c r="Q9329" s="17" t="str">
        <f t="shared" si="1441"/>
        <v>Pas d'écart</v>
      </c>
    </row>
    <row r="9330" spans="1:17" x14ac:dyDescent="0.3">
      <c r="A9330" s="34">
        <f>base!J9330</f>
        <v>0</v>
      </c>
      <c r="B9330" s="34">
        <f>base!V9330</f>
        <v>0</v>
      </c>
      <c r="C9330" s="40" t="s">
        <v>11</v>
      </c>
      <c r="D9330" s="36">
        <f>base!H9330</f>
        <v>0</v>
      </c>
      <c r="E9330" s="44"/>
      <c r="F9330" s="16">
        <f>base!W9330</f>
        <v>0</v>
      </c>
      <c r="G9330" s="11" t="e">
        <f t="shared" si="1433"/>
        <v>#DIV/0!</v>
      </c>
      <c r="H9330" s="11" t="e">
        <f t="shared" si="1434"/>
        <v>#N/A</v>
      </c>
      <c r="I9330" s="11" t="e">
        <f t="shared" si="1435"/>
        <v>#N/A</v>
      </c>
      <c r="J9330" s="12" t="e">
        <f t="shared" si="1436"/>
        <v>#N/A</v>
      </c>
      <c r="K9330" s="17" t="e">
        <f t="shared" si="1440"/>
        <v>#N/A</v>
      </c>
      <c r="L9330" s="16">
        <f>base!X9330</f>
        <v>0</v>
      </c>
      <c r="M9330" s="11" t="e">
        <f t="shared" si="1437"/>
        <v>#DIV/0!</v>
      </c>
      <c r="N9330" s="11"/>
      <c r="O9330" s="11" t="e">
        <f t="shared" si="1438"/>
        <v>#DIV/0!</v>
      </c>
      <c r="P9330" s="12">
        <f t="shared" si="1439"/>
        <v>0</v>
      </c>
      <c r="Q9330" s="17" t="str">
        <f t="shared" si="1441"/>
        <v>Pas d'écart</v>
      </c>
    </row>
    <row r="9331" spans="1:17" x14ac:dyDescent="0.3">
      <c r="A9331" s="34">
        <f>base!J9331</f>
        <v>0</v>
      </c>
      <c r="B9331" s="34">
        <f>base!V9331</f>
        <v>0</v>
      </c>
      <c r="C9331" s="40" t="s">
        <v>11</v>
      </c>
      <c r="D9331" s="36">
        <f>base!H9331</f>
        <v>0</v>
      </c>
      <c r="E9331" s="44"/>
      <c r="F9331" s="16">
        <f>base!W9331</f>
        <v>0</v>
      </c>
      <c r="G9331" s="11" t="e">
        <f t="shared" si="1433"/>
        <v>#DIV/0!</v>
      </c>
      <c r="H9331" s="11" t="e">
        <f t="shared" si="1434"/>
        <v>#N/A</v>
      </c>
      <c r="I9331" s="11" t="e">
        <f t="shared" si="1435"/>
        <v>#N/A</v>
      </c>
      <c r="J9331" s="12" t="e">
        <f t="shared" si="1436"/>
        <v>#N/A</v>
      </c>
      <c r="K9331" s="17" t="e">
        <f t="shared" si="1440"/>
        <v>#N/A</v>
      </c>
      <c r="L9331" s="16">
        <f>base!X9331</f>
        <v>0</v>
      </c>
      <c r="M9331" s="11" t="e">
        <f t="shared" si="1437"/>
        <v>#DIV/0!</v>
      </c>
      <c r="N9331" s="11"/>
      <c r="O9331" s="11" t="e">
        <f t="shared" si="1438"/>
        <v>#DIV/0!</v>
      </c>
      <c r="P9331" s="12">
        <f t="shared" si="1439"/>
        <v>0</v>
      </c>
      <c r="Q9331" s="17" t="str">
        <f t="shared" si="1441"/>
        <v>Pas d'écart</v>
      </c>
    </row>
    <row r="9332" spans="1:17" x14ac:dyDescent="0.3">
      <c r="A9332" s="34">
        <f>base!J9332</f>
        <v>0</v>
      </c>
      <c r="B9332" s="34">
        <f>base!V9332</f>
        <v>0</v>
      </c>
      <c r="C9332" s="40" t="s">
        <v>11</v>
      </c>
      <c r="D9332" s="36">
        <f>base!H9332</f>
        <v>0</v>
      </c>
      <c r="E9332" s="44"/>
      <c r="F9332" s="16">
        <f>base!W9332</f>
        <v>0</v>
      </c>
      <c r="G9332" s="11" t="e">
        <f t="shared" si="1433"/>
        <v>#DIV/0!</v>
      </c>
      <c r="H9332" s="11" t="e">
        <f t="shared" si="1434"/>
        <v>#N/A</v>
      </c>
      <c r="I9332" s="11" t="e">
        <f t="shared" si="1435"/>
        <v>#N/A</v>
      </c>
      <c r="J9332" s="12" t="e">
        <f t="shared" si="1436"/>
        <v>#N/A</v>
      </c>
      <c r="K9332" s="17" t="e">
        <f t="shared" si="1440"/>
        <v>#N/A</v>
      </c>
      <c r="L9332" s="16">
        <f>base!X9332</f>
        <v>0</v>
      </c>
      <c r="M9332" s="11" t="e">
        <f t="shared" si="1437"/>
        <v>#DIV/0!</v>
      </c>
      <c r="N9332" s="11"/>
      <c r="O9332" s="11" t="e">
        <f t="shared" si="1438"/>
        <v>#DIV/0!</v>
      </c>
      <c r="P9332" s="12">
        <f t="shared" si="1439"/>
        <v>0</v>
      </c>
      <c r="Q9332" s="17" t="str">
        <f t="shared" si="1441"/>
        <v>Pas d'écart</v>
      </c>
    </row>
    <row r="9333" spans="1:17" x14ac:dyDescent="0.3">
      <c r="A9333" s="34">
        <f>base!J9333</f>
        <v>0</v>
      </c>
      <c r="B9333" s="34">
        <f>base!V9333</f>
        <v>0</v>
      </c>
      <c r="C9333" s="40" t="s">
        <v>11</v>
      </c>
      <c r="D9333" s="36">
        <f>base!H9333</f>
        <v>0</v>
      </c>
      <c r="E9333" s="44"/>
      <c r="F9333" s="16">
        <f>base!W9333</f>
        <v>0</v>
      </c>
      <c r="G9333" s="11" t="e">
        <f t="shared" si="1433"/>
        <v>#DIV/0!</v>
      </c>
      <c r="H9333" s="11" t="e">
        <f t="shared" si="1434"/>
        <v>#N/A</v>
      </c>
      <c r="I9333" s="11" t="e">
        <f t="shared" si="1435"/>
        <v>#N/A</v>
      </c>
      <c r="J9333" s="12" t="e">
        <f t="shared" si="1436"/>
        <v>#N/A</v>
      </c>
      <c r="K9333" s="17" t="e">
        <f t="shared" si="1440"/>
        <v>#N/A</v>
      </c>
      <c r="L9333" s="16">
        <f>base!X9333</f>
        <v>0</v>
      </c>
      <c r="M9333" s="11" t="e">
        <f t="shared" si="1437"/>
        <v>#DIV/0!</v>
      </c>
      <c r="N9333" s="11"/>
      <c r="O9333" s="11" t="e">
        <f t="shared" si="1438"/>
        <v>#DIV/0!</v>
      </c>
      <c r="P9333" s="12">
        <f t="shared" si="1439"/>
        <v>0</v>
      </c>
      <c r="Q9333" s="17" t="str">
        <f t="shared" si="1441"/>
        <v>Pas d'écart</v>
      </c>
    </row>
    <row r="9334" spans="1:17" x14ac:dyDescent="0.3">
      <c r="A9334" s="34">
        <f>base!J9334</f>
        <v>0</v>
      </c>
      <c r="B9334" s="34">
        <f>base!V9334</f>
        <v>0</v>
      </c>
      <c r="C9334" s="40" t="s">
        <v>11</v>
      </c>
      <c r="D9334" s="36">
        <f>base!H9334</f>
        <v>0</v>
      </c>
      <c r="E9334" s="44"/>
      <c r="F9334" s="16">
        <f>base!W9334</f>
        <v>0</v>
      </c>
      <c r="G9334" s="11" t="e">
        <f t="shared" si="1433"/>
        <v>#DIV/0!</v>
      </c>
      <c r="H9334" s="11" t="e">
        <f t="shared" si="1434"/>
        <v>#N/A</v>
      </c>
      <c r="I9334" s="11" t="e">
        <f t="shared" si="1435"/>
        <v>#N/A</v>
      </c>
      <c r="J9334" s="12" t="e">
        <f t="shared" si="1436"/>
        <v>#N/A</v>
      </c>
      <c r="K9334" s="17" t="e">
        <f t="shared" si="1440"/>
        <v>#N/A</v>
      </c>
      <c r="L9334" s="16">
        <f>base!X9334</f>
        <v>0</v>
      </c>
      <c r="M9334" s="11" t="e">
        <f t="shared" si="1437"/>
        <v>#DIV/0!</v>
      </c>
      <c r="N9334" s="11"/>
      <c r="O9334" s="11" t="e">
        <f t="shared" si="1438"/>
        <v>#DIV/0!</v>
      </c>
      <c r="P9334" s="12">
        <f t="shared" si="1439"/>
        <v>0</v>
      </c>
      <c r="Q9334" s="17" t="str">
        <f t="shared" si="1441"/>
        <v>Pas d'écart</v>
      </c>
    </row>
    <row r="9335" spans="1:17" x14ac:dyDescent="0.3">
      <c r="A9335" s="34">
        <f>base!J9335</f>
        <v>0</v>
      </c>
      <c r="B9335" s="34">
        <f>base!V9335</f>
        <v>0</v>
      </c>
      <c r="C9335" s="40" t="s">
        <v>11</v>
      </c>
      <c r="D9335" s="36">
        <f>base!H9335</f>
        <v>0</v>
      </c>
      <c r="E9335" s="44"/>
      <c r="F9335" s="16">
        <f>base!W9335</f>
        <v>0</v>
      </c>
      <c r="G9335" s="11" t="e">
        <f t="shared" si="1433"/>
        <v>#DIV/0!</v>
      </c>
      <c r="H9335" s="11" t="e">
        <f t="shared" si="1434"/>
        <v>#N/A</v>
      </c>
      <c r="I9335" s="11" t="e">
        <f t="shared" si="1435"/>
        <v>#N/A</v>
      </c>
      <c r="J9335" s="12" t="e">
        <f t="shared" si="1436"/>
        <v>#N/A</v>
      </c>
      <c r="K9335" s="17" t="e">
        <f t="shared" si="1440"/>
        <v>#N/A</v>
      </c>
      <c r="L9335" s="16">
        <f>base!X9335</f>
        <v>0</v>
      </c>
      <c r="M9335" s="11" t="e">
        <f t="shared" si="1437"/>
        <v>#DIV/0!</v>
      </c>
      <c r="N9335" s="11"/>
      <c r="O9335" s="11" t="e">
        <f t="shared" si="1438"/>
        <v>#DIV/0!</v>
      </c>
      <c r="P9335" s="12">
        <f t="shared" si="1439"/>
        <v>0</v>
      </c>
      <c r="Q9335" s="17" t="str">
        <f t="shared" si="1441"/>
        <v>Pas d'écart</v>
      </c>
    </row>
    <row r="9336" spans="1:17" x14ac:dyDescent="0.3">
      <c r="A9336" s="34">
        <f>base!J9336</f>
        <v>0</v>
      </c>
      <c r="B9336" s="34">
        <f>base!V9336</f>
        <v>0</v>
      </c>
      <c r="C9336" s="40" t="s">
        <v>11</v>
      </c>
      <c r="D9336" s="36">
        <f>base!H9336</f>
        <v>0</v>
      </c>
      <c r="E9336" s="44"/>
      <c r="F9336" s="16">
        <f>base!W9336</f>
        <v>0</v>
      </c>
      <c r="G9336" s="11" t="e">
        <f t="shared" si="1433"/>
        <v>#DIV/0!</v>
      </c>
      <c r="H9336" s="11" t="e">
        <f t="shared" si="1434"/>
        <v>#N/A</v>
      </c>
      <c r="I9336" s="11" t="e">
        <f t="shared" si="1435"/>
        <v>#N/A</v>
      </c>
      <c r="J9336" s="12" t="e">
        <f t="shared" si="1436"/>
        <v>#N/A</v>
      </c>
      <c r="K9336" s="17" t="e">
        <f t="shared" si="1440"/>
        <v>#N/A</v>
      </c>
      <c r="L9336" s="16">
        <f>base!X9336</f>
        <v>0</v>
      </c>
      <c r="M9336" s="11" t="e">
        <f t="shared" si="1437"/>
        <v>#DIV/0!</v>
      </c>
      <c r="N9336" s="11"/>
      <c r="O9336" s="11" t="e">
        <f t="shared" si="1438"/>
        <v>#DIV/0!</v>
      </c>
      <c r="P9336" s="12">
        <f t="shared" si="1439"/>
        <v>0</v>
      </c>
      <c r="Q9336" s="17" t="str">
        <f t="shared" si="1441"/>
        <v>Pas d'écart</v>
      </c>
    </row>
    <row r="9337" spans="1:17" x14ac:dyDescent="0.3">
      <c r="A9337" s="34">
        <f>base!J9337</f>
        <v>0</v>
      </c>
      <c r="B9337" s="34">
        <f>base!V9337</f>
        <v>0</v>
      </c>
      <c r="C9337" s="40" t="s">
        <v>11</v>
      </c>
      <c r="D9337" s="36">
        <f>base!H9337</f>
        <v>0</v>
      </c>
      <c r="E9337" s="44"/>
      <c r="F9337" s="16">
        <f>base!W9337</f>
        <v>0</v>
      </c>
      <c r="G9337" s="11" t="e">
        <f t="shared" si="1433"/>
        <v>#DIV/0!</v>
      </c>
      <c r="H9337" s="11" t="e">
        <f t="shared" si="1434"/>
        <v>#N/A</v>
      </c>
      <c r="I9337" s="11" t="e">
        <f t="shared" si="1435"/>
        <v>#N/A</v>
      </c>
      <c r="J9337" s="12" t="e">
        <f t="shared" si="1436"/>
        <v>#N/A</v>
      </c>
      <c r="K9337" s="17" t="e">
        <f t="shared" si="1440"/>
        <v>#N/A</v>
      </c>
      <c r="L9337" s="16">
        <f>base!X9337</f>
        <v>0</v>
      </c>
      <c r="M9337" s="11" t="e">
        <f t="shared" si="1437"/>
        <v>#DIV/0!</v>
      </c>
      <c r="N9337" s="11"/>
      <c r="O9337" s="11" t="e">
        <f t="shared" si="1438"/>
        <v>#DIV/0!</v>
      </c>
      <c r="P9337" s="12">
        <f t="shared" si="1439"/>
        <v>0</v>
      </c>
      <c r="Q9337" s="17" t="str">
        <f t="shared" si="1441"/>
        <v>Pas d'écart</v>
      </c>
    </row>
    <row r="9338" spans="1:17" x14ac:dyDescent="0.3">
      <c r="A9338" s="34">
        <f>base!J9338</f>
        <v>0</v>
      </c>
      <c r="B9338" s="34">
        <f>base!V9338</f>
        <v>0</v>
      </c>
      <c r="C9338" s="40" t="s">
        <v>11</v>
      </c>
      <c r="D9338" s="36">
        <f>base!H9338</f>
        <v>0</v>
      </c>
      <c r="E9338" s="44"/>
      <c r="F9338" s="16">
        <f>base!W9338</f>
        <v>0</v>
      </c>
      <c r="G9338" s="11" t="e">
        <f t="shared" si="1433"/>
        <v>#DIV/0!</v>
      </c>
      <c r="H9338" s="11" t="e">
        <f t="shared" si="1434"/>
        <v>#N/A</v>
      </c>
      <c r="I9338" s="11" t="e">
        <f t="shared" si="1435"/>
        <v>#N/A</v>
      </c>
      <c r="J9338" s="12" t="e">
        <f t="shared" si="1436"/>
        <v>#N/A</v>
      </c>
      <c r="K9338" s="17" t="e">
        <f t="shared" si="1440"/>
        <v>#N/A</v>
      </c>
      <c r="L9338" s="16">
        <f>base!X9338</f>
        <v>0</v>
      </c>
      <c r="M9338" s="11" t="e">
        <f t="shared" si="1437"/>
        <v>#DIV/0!</v>
      </c>
      <c r="N9338" s="11"/>
      <c r="O9338" s="11" t="e">
        <f t="shared" si="1438"/>
        <v>#DIV/0!</v>
      </c>
      <c r="P9338" s="12">
        <f t="shared" si="1439"/>
        <v>0</v>
      </c>
      <c r="Q9338" s="17" t="str">
        <f t="shared" si="1441"/>
        <v>Pas d'écart</v>
      </c>
    </row>
    <row r="9339" spans="1:17" x14ac:dyDescent="0.3">
      <c r="A9339" s="34">
        <f>base!J9339</f>
        <v>0</v>
      </c>
      <c r="B9339" s="34">
        <f>base!V9339</f>
        <v>0</v>
      </c>
      <c r="C9339" s="40" t="s">
        <v>11</v>
      </c>
      <c r="D9339" s="36">
        <f>base!H9339</f>
        <v>0</v>
      </c>
      <c r="E9339" s="44"/>
      <c r="F9339" s="16">
        <f>base!W9339</f>
        <v>0</v>
      </c>
      <c r="G9339" s="11" t="e">
        <f t="shared" si="1433"/>
        <v>#DIV/0!</v>
      </c>
      <c r="H9339" s="11" t="e">
        <f t="shared" si="1434"/>
        <v>#N/A</v>
      </c>
      <c r="I9339" s="11" t="e">
        <f t="shared" si="1435"/>
        <v>#N/A</v>
      </c>
      <c r="J9339" s="12" t="e">
        <f t="shared" si="1436"/>
        <v>#N/A</v>
      </c>
      <c r="K9339" s="17" t="e">
        <f t="shared" si="1440"/>
        <v>#N/A</v>
      </c>
      <c r="L9339" s="16">
        <f>base!X9339</f>
        <v>0</v>
      </c>
      <c r="M9339" s="11" t="e">
        <f t="shared" si="1437"/>
        <v>#DIV/0!</v>
      </c>
      <c r="N9339" s="11"/>
      <c r="O9339" s="11" t="e">
        <f t="shared" si="1438"/>
        <v>#DIV/0!</v>
      </c>
      <c r="P9339" s="12">
        <f t="shared" si="1439"/>
        <v>0</v>
      </c>
      <c r="Q9339" s="17" t="str">
        <f t="shared" si="1441"/>
        <v>Pas d'écart</v>
      </c>
    </row>
    <row r="9340" spans="1:17" x14ac:dyDescent="0.3">
      <c r="A9340" s="34">
        <f>base!J9340</f>
        <v>0</v>
      </c>
      <c r="B9340" s="34">
        <f>base!V9340</f>
        <v>0</v>
      </c>
      <c r="C9340" s="40" t="s">
        <v>11</v>
      </c>
      <c r="D9340" s="36">
        <f>base!H9340</f>
        <v>0</v>
      </c>
      <c r="E9340" s="44"/>
      <c r="F9340" s="16">
        <f>base!W9340</f>
        <v>0</v>
      </c>
      <c r="G9340" s="11" t="e">
        <f t="shared" si="1433"/>
        <v>#DIV/0!</v>
      </c>
      <c r="H9340" s="11" t="e">
        <f t="shared" si="1434"/>
        <v>#N/A</v>
      </c>
      <c r="I9340" s="11" t="e">
        <f t="shared" si="1435"/>
        <v>#N/A</v>
      </c>
      <c r="J9340" s="12" t="e">
        <f t="shared" si="1436"/>
        <v>#N/A</v>
      </c>
      <c r="K9340" s="17" t="e">
        <f t="shared" si="1440"/>
        <v>#N/A</v>
      </c>
      <c r="L9340" s="16">
        <f>base!X9340</f>
        <v>0</v>
      </c>
      <c r="M9340" s="11" t="e">
        <f t="shared" si="1437"/>
        <v>#DIV/0!</v>
      </c>
      <c r="N9340" s="11"/>
      <c r="O9340" s="11" t="e">
        <f t="shared" si="1438"/>
        <v>#DIV/0!</v>
      </c>
      <c r="P9340" s="12">
        <f t="shared" si="1439"/>
        <v>0</v>
      </c>
      <c r="Q9340" s="17" t="str">
        <f t="shared" si="1441"/>
        <v>Pas d'écart</v>
      </c>
    </row>
    <row r="9341" spans="1:17" x14ac:dyDescent="0.3">
      <c r="A9341" s="34">
        <f>base!J9341</f>
        <v>0</v>
      </c>
      <c r="B9341" s="34">
        <f>base!V9341</f>
        <v>0</v>
      </c>
      <c r="C9341" s="40" t="s">
        <v>11</v>
      </c>
      <c r="D9341" s="36">
        <f>base!H9341</f>
        <v>0</v>
      </c>
      <c r="E9341" s="44"/>
      <c r="F9341" s="16">
        <f>base!W9341</f>
        <v>0</v>
      </c>
      <c r="G9341" s="11" t="e">
        <f t="shared" si="1433"/>
        <v>#DIV/0!</v>
      </c>
      <c r="H9341" s="11" t="e">
        <f t="shared" si="1434"/>
        <v>#N/A</v>
      </c>
      <c r="I9341" s="11" t="e">
        <f t="shared" si="1435"/>
        <v>#N/A</v>
      </c>
      <c r="J9341" s="12" t="e">
        <f t="shared" si="1436"/>
        <v>#N/A</v>
      </c>
      <c r="K9341" s="17" t="e">
        <f t="shared" si="1440"/>
        <v>#N/A</v>
      </c>
      <c r="L9341" s="16">
        <f>base!X9341</f>
        <v>0</v>
      </c>
      <c r="M9341" s="11" t="e">
        <f t="shared" si="1437"/>
        <v>#DIV/0!</v>
      </c>
      <c r="N9341" s="11"/>
      <c r="O9341" s="11" t="e">
        <f t="shared" si="1438"/>
        <v>#DIV/0!</v>
      </c>
      <c r="P9341" s="12">
        <f t="shared" si="1439"/>
        <v>0</v>
      </c>
      <c r="Q9341" s="17" t="str">
        <f t="shared" si="1441"/>
        <v>Pas d'écart</v>
      </c>
    </row>
    <row r="9342" spans="1:17" x14ac:dyDescent="0.3">
      <c r="A9342" s="34">
        <f>base!J9342</f>
        <v>0</v>
      </c>
      <c r="B9342" s="34">
        <f>base!V9342</f>
        <v>0</v>
      </c>
      <c r="C9342" s="40" t="s">
        <v>11</v>
      </c>
      <c r="D9342" s="36">
        <f>base!H9342</f>
        <v>0</v>
      </c>
      <c r="E9342" s="44"/>
      <c r="F9342" s="16">
        <f>base!W9342</f>
        <v>0</v>
      </c>
      <c r="G9342" s="11" t="e">
        <f t="shared" si="1433"/>
        <v>#DIV/0!</v>
      </c>
      <c r="H9342" s="11" t="e">
        <f t="shared" si="1434"/>
        <v>#N/A</v>
      </c>
      <c r="I9342" s="11" t="e">
        <f t="shared" si="1435"/>
        <v>#N/A</v>
      </c>
      <c r="J9342" s="12" t="e">
        <f t="shared" si="1436"/>
        <v>#N/A</v>
      </c>
      <c r="K9342" s="17" t="e">
        <f t="shared" si="1440"/>
        <v>#N/A</v>
      </c>
      <c r="L9342" s="16">
        <f>base!X9342</f>
        <v>0</v>
      </c>
      <c r="M9342" s="11" t="e">
        <f t="shared" si="1437"/>
        <v>#DIV/0!</v>
      </c>
      <c r="N9342" s="11"/>
      <c r="O9342" s="11" t="e">
        <f t="shared" si="1438"/>
        <v>#DIV/0!</v>
      </c>
      <c r="P9342" s="12">
        <f t="shared" si="1439"/>
        <v>0</v>
      </c>
      <c r="Q9342" s="17" t="str">
        <f t="shared" si="1441"/>
        <v>Pas d'écart</v>
      </c>
    </row>
    <row r="9343" spans="1:17" x14ac:dyDescent="0.3">
      <c r="A9343" s="34">
        <f>base!J9343</f>
        <v>0</v>
      </c>
      <c r="B9343" s="34">
        <f>base!V9343</f>
        <v>0</v>
      </c>
      <c r="C9343" s="40" t="s">
        <v>11</v>
      </c>
      <c r="D9343" s="36">
        <f>base!H9343</f>
        <v>0</v>
      </c>
      <c r="E9343" s="44"/>
      <c r="F9343" s="16">
        <f>base!W9343</f>
        <v>0</v>
      </c>
      <c r="G9343" s="11" t="e">
        <f t="shared" si="1433"/>
        <v>#DIV/0!</v>
      </c>
      <c r="H9343" s="11" t="e">
        <f t="shared" si="1434"/>
        <v>#N/A</v>
      </c>
      <c r="I9343" s="11" t="e">
        <f t="shared" si="1435"/>
        <v>#N/A</v>
      </c>
      <c r="J9343" s="12" t="e">
        <f t="shared" si="1436"/>
        <v>#N/A</v>
      </c>
      <c r="K9343" s="17" t="e">
        <f t="shared" si="1440"/>
        <v>#N/A</v>
      </c>
      <c r="L9343" s="16">
        <f>base!X9343</f>
        <v>0</v>
      </c>
      <c r="M9343" s="11" t="e">
        <f t="shared" si="1437"/>
        <v>#DIV/0!</v>
      </c>
      <c r="N9343" s="11"/>
      <c r="O9343" s="11" t="e">
        <f t="shared" si="1438"/>
        <v>#DIV/0!</v>
      </c>
      <c r="P9343" s="12">
        <f t="shared" si="1439"/>
        <v>0</v>
      </c>
      <c r="Q9343" s="17" t="str">
        <f t="shared" si="1441"/>
        <v>Pas d'écart</v>
      </c>
    </row>
    <row r="9344" spans="1:17" x14ac:dyDescent="0.3">
      <c r="A9344" s="34">
        <f>base!J9344</f>
        <v>0</v>
      </c>
      <c r="B9344" s="34">
        <f>base!V9344</f>
        <v>0</v>
      </c>
      <c r="C9344" s="40" t="s">
        <v>11</v>
      </c>
      <c r="D9344" s="36">
        <f>base!H9344</f>
        <v>0</v>
      </c>
      <c r="E9344" s="44"/>
      <c r="F9344" s="16">
        <f>base!W9344</f>
        <v>0</v>
      </c>
      <c r="G9344" s="11" t="e">
        <f t="shared" si="1433"/>
        <v>#DIV/0!</v>
      </c>
      <c r="H9344" s="11" t="e">
        <f t="shared" si="1434"/>
        <v>#N/A</v>
      </c>
      <c r="I9344" s="11" t="e">
        <f t="shared" si="1435"/>
        <v>#N/A</v>
      </c>
      <c r="J9344" s="12" t="e">
        <f t="shared" si="1436"/>
        <v>#N/A</v>
      </c>
      <c r="K9344" s="17" t="e">
        <f t="shared" si="1440"/>
        <v>#N/A</v>
      </c>
      <c r="L9344" s="16">
        <f>base!X9344</f>
        <v>0</v>
      </c>
      <c r="M9344" s="11" t="e">
        <f t="shared" si="1437"/>
        <v>#DIV/0!</v>
      </c>
      <c r="N9344" s="11"/>
      <c r="O9344" s="11" t="e">
        <f t="shared" si="1438"/>
        <v>#DIV/0!</v>
      </c>
      <c r="P9344" s="12">
        <f t="shared" si="1439"/>
        <v>0</v>
      </c>
      <c r="Q9344" s="17" t="str">
        <f t="shared" si="1441"/>
        <v>Pas d'écart</v>
      </c>
    </row>
    <row r="9345" spans="1:17" x14ac:dyDescent="0.3">
      <c r="A9345" s="34">
        <f>base!J9345</f>
        <v>0</v>
      </c>
      <c r="B9345" s="34">
        <f>base!V9345</f>
        <v>0</v>
      </c>
      <c r="C9345" s="40" t="s">
        <v>11</v>
      </c>
      <c r="D9345" s="36">
        <f>base!H9345</f>
        <v>0</v>
      </c>
      <c r="E9345" s="44"/>
      <c r="F9345" s="16">
        <f>base!W9345</f>
        <v>0</v>
      </c>
      <c r="G9345" s="11" t="e">
        <f t="shared" si="1433"/>
        <v>#DIV/0!</v>
      </c>
      <c r="H9345" s="11" t="e">
        <f t="shared" si="1434"/>
        <v>#N/A</v>
      </c>
      <c r="I9345" s="11" t="e">
        <f t="shared" si="1435"/>
        <v>#N/A</v>
      </c>
      <c r="J9345" s="12" t="e">
        <f t="shared" si="1436"/>
        <v>#N/A</v>
      </c>
      <c r="K9345" s="17" t="e">
        <f t="shared" si="1440"/>
        <v>#N/A</v>
      </c>
      <c r="L9345" s="16">
        <f>base!X9345</f>
        <v>0</v>
      </c>
      <c r="M9345" s="11" t="e">
        <f t="shared" si="1437"/>
        <v>#DIV/0!</v>
      </c>
      <c r="N9345" s="11"/>
      <c r="O9345" s="11" t="e">
        <f t="shared" si="1438"/>
        <v>#DIV/0!</v>
      </c>
      <c r="P9345" s="12">
        <f t="shared" si="1439"/>
        <v>0</v>
      </c>
      <c r="Q9345" s="17" t="str">
        <f t="shared" si="1441"/>
        <v>Pas d'écart</v>
      </c>
    </row>
    <row r="9346" spans="1:17" x14ac:dyDescent="0.3">
      <c r="A9346" s="34">
        <f>base!J9346</f>
        <v>0</v>
      </c>
      <c r="B9346" s="34">
        <f>base!V9346</f>
        <v>0</v>
      </c>
      <c r="C9346" s="40" t="s">
        <v>11</v>
      </c>
      <c r="D9346" s="36">
        <f>base!H9346</f>
        <v>0</v>
      </c>
      <c r="E9346" s="44"/>
      <c r="F9346" s="16">
        <f>base!W9346</f>
        <v>0</v>
      </c>
      <c r="G9346" s="11" t="e">
        <f t="shared" ref="G9346:G9409" si="1442">F9346/D9346</f>
        <v>#DIV/0!</v>
      </c>
      <c r="H9346" s="11" t="e">
        <f t="shared" ref="H9346:H9409" si="1443">VLOOKUP(C9346,tout_cout_traction,2,FALSE)*D9346</f>
        <v>#N/A</v>
      </c>
      <c r="I9346" s="11" t="e">
        <f t="shared" ref="I9346:I9409" si="1444">H9346/D9346</f>
        <v>#N/A</v>
      </c>
      <c r="J9346" s="12" t="e">
        <f t="shared" ref="J9346:J9409" si="1445">F9346-H9346</f>
        <v>#N/A</v>
      </c>
      <c r="K9346" s="17" t="e">
        <f t="shared" si="1440"/>
        <v>#N/A</v>
      </c>
      <c r="L9346" s="16">
        <f>base!X9346</f>
        <v>0</v>
      </c>
      <c r="M9346" s="11" t="e">
        <f t="shared" ref="M9346:M9409" si="1446">L9346/D9346</f>
        <v>#DIV/0!</v>
      </c>
      <c r="N9346" s="11"/>
      <c r="O9346" s="11" t="e">
        <f t="shared" ref="O9346:O9409" si="1447">N9346/D9346</f>
        <v>#DIV/0!</v>
      </c>
      <c r="P9346" s="12">
        <f t="shared" ref="P9346:P9409" si="1448">L9346-N9346</f>
        <v>0</v>
      </c>
      <c r="Q9346" s="17" t="str">
        <f t="shared" si="1441"/>
        <v>Pas d'écart</v>
      </c>
    </row>
    <row r="9347" spans="1:17" x14ac:dyDescent="0.3">
      <c r="A9347" s="34">
        <f>base!J9347</f>
        <v>0</v>
      </c>
      <c r="B9347" s="34">
        <f>base!V9347</f>
        <v>0</v>
      </c>
      <c r="C9347" s="40" t="s">
        <v>11</v>
      </c>
      <c r="D9347" s="36">
        <f>base!H9347</f>
        <v>0</v>
      </c>
      <c r="E9347" s="44"/>
      <c r="F9347" s="16">
        <f>base!W9347</f>
        <v>0</v>
      </c>
      <c r="G9347" s="11" t="e">
        <f t="shared" si="1442"/>
        <v>#DIV/0!</v>
      </c>
      <c r="H9347" s="11" t="e">
        <f t="shared" si="1443"/>
        <v>#N/A</v>
      </c>
      <c r="I9347" s="11" t="e">
        <f t="shared" si="1444"/>
        <v>#N/A</v>
      </c>
      <c r="J9347" s="12" t="e">
        <f t="shared" si="1445"/>
        <v>#N/A</v>
      </c>
      <c r="K9347" s="17" t="e">
        <f t="shared" ref="K9347:K9410" si="1449">IF(H9347=F9347,"Pas d'écart",IF(H9347&lt;F9347,"Ecart positif",IF(H9347&gt;F9347,"Ecart négatif")))</f>
        <v>#N/A</v>
      </c>
      <c r="L9347" s="16">
        <f>base!X9347</f>
        <v>0</v>
      </c>
      <c r="M9347" s="11" t="e">
        <f t="shared" si="1446"/>
        <v>#DIV/0!</v>
      </c>
      <c r="N9347" s="11"/>
      <c r="O9347" s="11" t="e">
        <f t="shared" si="1447"/>
        <v>#DIV/0!</v>
      </c>
      <c r="P9347" s="12">
        <f t="shared" si="1448"/>
        <v>0</v>
      </c>
      <c r="Q9347" s="17" t="str">
        <f t="shared" ref="Q9347:Q9410" si="1450">IF(N9347=L9347,"Pas d'écart",IF(N9347&lt;L9347,"Ecart positif",IF(N9347&gt;L9347,"Ecart négatif")))</f>
        <v>Pas d'écart</v>
      </c>
    </row>
    <row r="9348" spans="1:17" x14ac:dyDescent="0.3">
      <c r="A9348" s="34">
        <f>base!J9348</f>
        <v>0</v>
      </c>
      <c r="B9348" s="34">
        <f>base!V9348</f>
        <v>0</v>
      </c>
      <c r="C9348" s="40" t="s">
        <v>11</v>
      </c>
      <c r="D9348" s="36">
        <f>base!H9348</f>
        <v>0</v>
      </c>
      <c r="E9348" s="44"/>
      <c r="F9348" s="16">
        <f>base!W9348</f>
        <v>0</v>
      </c>
      <c r="G9348" s="11" t="e">
        <f t="shared" si="1442"/>
        <v>#DIV/0!</v>
      </c>
      <c r="H9348" s="11" t="e">
        <f t="shared" si="1443"/>
        <v>#N/A</v>
      </c>
      <c r="I9348" s="11" t="e">
        <f t="shared" si="1444"/>
        <v>#N/A</v>
      </c>
      <c r="J9348" s="12" t="e">
        <f t="shared" si="1445"/>
        <v>#N/A</v>
      </c>
      <c r="K9348" s="17" t="e">
        <f t="shared" si="1449"/>
        <v>#N/A</v>
      </c>
      <c r="L9348" s="16">
        <f>base!X9348</f>
        <v>0</v>
      </c>
      <c r="M9348" s="11" t="e">
        <f t="shared" si="1446"/>
        <v>#DIV/0!</v>
      </c>
      <c r="N9348" s="11"/>
      <c r="O9348" s="11" t="e">
        <f t="shared" si="1447"/>
        <v>#DIV/0!</v>
      </c>
      <c r="P9348" s="12">
        <f t="shared" si="1448"/>
        <v>0</v>
      </c>
      <c r="Q9348" s="17" t="str">
        <f t="shared" si="1450"/>
        <v>Pas d'écart</v>
      </c>
    </row>
    <row r="9349" spans="1:17" x14ac:dyDescent="0.3">
      <c r="A9349" s="34">
        <f>base!J9349</f>
        <v>0</v>
      </c>
      <c r="B9349" s="34">
        <f>base!V9349</f>
        <v>0</v>
      </c>
      <c r="C9349" s="40" t="s">
        <v>11</v>
      </c>
      <c r="D9349" s="36">
        <f>base!H9349</f>
        <v>0</v>
      </c>
      <c r="E9349" s="44"/>
      <c r="F9349" s="16">
        <f>base!W9349</f>
        <v>0</v>
      </c>
      <c r="G9349" s="11" t="e">
        <f t="shared" si="1442"/>
        <v>#DIV/0!</v>
      </c>
      <c r="H9349" s="11" t="e">
        <f t="shared" si="1443"/>
        <v>#N/A</v>
      </c>
      <c r="I9349" s="11" t="e">
        <f t="shared" si="1444"/>
        <v>#N/A</v>
      </c>
      <c r="J9349" s="12" t="e">
        <f t="shared" si="1445"/>
        <v>#N/A</v>
      </c>
      <c r="K9349" s="17" t="e">
        <f t="shared" si="1449"/>
        <v>#N/A</v>
      </c>
      <c r="L9349" s="16">
        <f>base!X9349</f>
        <v>0</v>
      </c>
      <c r="M9349" s="11" t="e">
        <f t="shared" si="1446"/>
        <v>#DIV/0!</v>
      </c>
      <c r="N9349" s="11"/>
      <c r="O9349" s="11" t="e">
        <f t="shared" si="1447"/>
        <v>#DIV/0!</v>
      </c>
      <c r="P9349" s="12">
        <f t="shared" si="1448"/>
        <v>0</v>
      </c>
      <c r="Q9349" s="17" t="str">
        <f t="shared" si="1450"/>
        <v>Pas d'écart</v>
      </c>
    </row>
    <row r="9350" spans="1:17" x14ac:dyDescent="0.3">
      <c r="A9350" s="34">
        <f>base!J9350</f>
        <v>0</v>
      </c>
      <c r="B9350" s="34">
        <f>base!V9350</f>
        <v>0</v>
      </c>
      <c r="C9350" s="40" t="s">
        <v>11</v>
      </c>
      <c r="D9350" s="36">
        <f>base!H9350</f>
        <v>0</v>
      </c>
      <c r="E9350" s="44"/>
      <c r="F9350" s="16">
        <f>base!W9350</f>
        <v>0</v>
      </c>
      <c r="G9350" s="11" t="e">
        <f t="shared" si="1442"/>
        <v>#DIV/0!</v>
      </c>
      <c r="H9350" s="11" t="e">
        <f t="shared" si="1443"/>
        <v>#N/A</v>
      </c>
      <c r="I9350" s="11" t="e">
        <f t="shared" si="1444"/>
        <v>#N/A</v>
      </c>
      <c r="J9350" s="12" t="e">
        <f t="shared" si="1445"/>
        <v>#N/A</v>
      </c>
      <c r="K9350" s="17" t="e">
        <f t="shared" si="1449"/>
        <v>#N/A</v>
      </c>
      <c r="L9350" s="16">
        <f>base!X9350</f>
        <v>0</v>
      </c>
      <c r="M9350" s="11" t="e">
        <f t="shared" si="1446"/>
        <v>#DIV/0!</v>
      </c>
      <c r="N9350" s="11"/>
      <c r="O9350" s="11" t="e">
        <f t="shared" si="1447"/>
        <v>#DIV/0!</v>
      </c>
      <c r="P9350" s="12">
        <f t="shared" si="1448"/>
        <v>0</v>
      </c>
      <c r="Q9350" s="17" t="str">
        <f t="shared" si="1450"/>
        <v>Pas d'écart</v>
      </c>
    </row>
    <row r="9351" spans="1:17" x14ac:dyDescent="0.3">
      <c r="A9351" s="34">
        <f>base!J9351</f>
        <v>0</v>
      </c>
      <c r="B9351" s="34">
        <f>base!V9351</f>
        <v>0</v>
      </c>
      <c r="C9351" s="40" t="s">
        <v>11</v>
      </c>
      <c r="D9351" s="36">
        <f>base!H9351</f>
        <v>0</v>
      </c>
      <c r="E9351" s="44"/>
      <c r="F9351" s="16">
        <f>base!W9351</f>
        <v>0</v>
      </c>
      <c r="G9351" s="11" t="e">
        <f t="shared" si="1442"/>
        <v>#DIV/0!</v>
      </c>
      <c r="H9351" s="11" t="e">
        <f t="shared" si="1443"/>
        <v>#N/A</v>
      </c>
      <c r="I9351" s="11" t="e">
        <f t="shared" si="1444"/>
        <v>#N/A</v>
      </c>
      <c r="J9351" s="12" t="e">
        <f t="shared" si="1445"/>
        <v>#N/A</v>
      </c>
      <c r="K9351" s="17" t="e">
        <f t="shared" si="1449"/>
        <v>#N/A</v>
      </c>
      <c r="L9351" s="16">
        <f>base!X9351</f>
        <v>0</v>
      </c>
      <c r="M9351" s="11" t="e">
        <f t="shared" si="1446"/>
        <v>#DIV/0!</v>
      </c>
      <c r="N9351" s="11"/>
      <c r="O9351" s="11" t="e">
        <f t="shared" si="1447"/>
        <v>#DIV/0!</v>
      </c>
      <c r="P9351" s="12">
        <f t="shared" si="1448"/>
        <v>0</v>
      </c>
      <c r="Q9351" s="17" t="str">
        <f t="shared" si="1450"/>
        <v>Pas d'écart</v>
      </c>
    </row>
    <row r="9352" spans="1:17" x14ac:dyDescent="0.3">
      <c r="A9352" s="34">
        <f>base!J9352</f>
        <v>0</v>
      </c>
      <c r="B9352" s="34">
        <f>base!V9352</f>
        <v>0</v>
      </c>
      <c r="C9352" s="40" t="s">
        <v>11</v>
      </c>
      <c r="D9352" s="36">
        <f>base!H9352</f>
        <v>0</v>
      </c>
      <c r="E9352" s="44"/>
      <c r="F9352" s="16">
        <f>base!W9352</f>
        <v>0</v>
      </c>
      <c r="G9352" s="11" t="e">
        <f t="shared" si="1442"/>
        <v>#DIV/0!</v>
      </c>
      <c r="H9352" s="11" t="e">
        <f t="shared" si="1443"/>
        <v>#N/A</v>
      </c>
      <c r="I9352" s="11" t="e">
        <f t="shared" si="1444"/>
        <v>#N/A</v>
      </c>
      <c r="J9352" s="12" t="e">
        <f t="shared" si="1445"/>
        <v>#N/A</v>
      </c>
      <c r="K9352" s="17" t="e">
        <f t="shared" si="1449"/>
        <v>#N/A</v>
      </c>
      <c r="L9352" s="16">
        <f>base!X9352</f>
        <v>0</v>
      </c>
      <c r="M9352" s="11" t="e">
        <f t="shared" si="1446"/>
        <v>#DIV/0!</v>
      </c>
      <c r="N9352" s="11"/>
      <c r="O9352" s="11" t="e">
        <f t="shared" si="1447"/>
        <v>#DIV/0!</v>
      </c>
      <c r="P9352" s="12">
        <f t="shared" si="1448"/>
        <v>0</v>
      </c>
      <c r="Q9352" s="17" t="str">
        <f t="shared" si="1450"/>
        <v>Pas d'écart</v>
      </c>
    </row>
    <row r="9353" spans="1:17" x14ac:dyDescent="0.3">
      <c r="A9353" s="34">
        <f>base!J9353</f>
        <v>0</v>
      </c>
      <c r="B9353" s="34">
        <f>base!V9353</f>
        <v>0</v>
      </c>
      <c r="C9353" s="40" t="s">
        <v>11</v>
      </c>
      <c r="D9353" s="36">
        <f>base!H9353</f>
        <v>0</v>
      </c>
      <c r="E9353" s="44"/>
      <c r="F9353" s="16">
        <f>base!W9353</f>
        <v>0</v>
      </c>
      <c r="G9353" s="11" t="e">
        <f t="shared" si="1442"/>
        <v>#DIV/0!</v>
      </c>
      <c r="H9353" s="11" t="e">
        <f t="shared" si="1443"/>
        <v>#N/A</v>
      </c>
      <c r="I9353" s="11" t="e">
        <f t="shared" si="1444"/>
        <v>#N/A</v>
      </c>
      <c r="J9353" s="12" t="e">
        <f t="shared" si="1445"/>
        <v>#N/A</v>
      </c>
      <c r="K9353" s="17" t="e">
        <f t="shared" si="1449"/>
        <v>#N/A</v>
      </c>
      <c r="L9353" s="16">
        <f>base!X9353</f>
        <v>0</v>
      </c>
      <c r="M9353" s="11" t="e">
        <f t="shared" si="1446"/>
        <v>#DIV/0!</v>
      </c>
      <c r="N9353" s="11"/>
      <c r="O9353" s="11" t="e">
        <f t="shared" si="1447"/>
        <v>#DIV/0!</v>
      </c>
      <c r="P9353" s="12">
        <f t="shared" si="1448"/>
        <v>0</v>
      </c>
      <c r="Q9353" s="17" t="str">
        <f t="shared" si="1450"/>
        <v>Pas d'écart</v>
      </c>
    </row>
    <row r="9354" spans="1:17" x14ac:dyDescent="0.3">
      <c r="A9354" s="34">
        <f>base!J9354</f>
        <v>0</v>
      </c>
      <c r="B9354" s="34">
        <f>base!V9354</f>
        <v>0</v>
      </c>
      <c r="C9354" s="40" t="s">
        <v>11</v>
      </c>
      <c r="D9354" s="36">
        <f>base!H9354</f>
        <v>0</v>
      </c>
      <c r="E9354" s="44"/>
      <c r="F9354" s="16">
        <f>base!W9354</f>
        <v>0</v>
      </c>
      <c r="G9354" s="11" t="e">
        <f t="shared" si="1442"/>
        <v>#DIV/0!</v>
      </c>
      <c r="H9354" s="11" t="e">
        <f t="shared" si="1443"/>
        <v>#N/A</v>
      </c>
      <c r="I9354" s="11" t="e">
        <f t="shared" si="1444"/>
        <v>#N/A</v>
      </c>
      <c r="J9354" s="12" t="e">
        <f t="shared" si="1445"/>
        <v>#N/A</v>
      </c>
      <c r="K9354" s="17" t="e">
        <f t="shared" si="1449"/>
        <v>#N/A</v>
      </c>
      <c r="L9354" s="16">
        <f>base!X9354</f>
        <v>0</v>
      </c>
      <c r="M9354" s="11" t="e">
        <f t="shared" si="1446"/>
        <v>#DIV/0!</v>
      </c>
      <c r="N9354" s="11"/>
      <c r="O9354" s="11" t="e">
        <f t="shared" si="1447"/>
        <v>#DIV/0!</v>
      </c>
      <c r="P9354" s="12">
        <f t="shared" si="1448"/>
        <v>0</v>
      </c>
      <c r="Q9354" s="17" t="str">
        <f t="shared" si="1450"/>
        <v>Pas d'écart</v>
      </c>
    </row>
    <row r="9355" spans="1:17" x14ac:dyDescent="0.3">
      <c r="A9355" s="34">
        <f>base!J9355</f>
        <v>0</v>
      </c>
      <c r="B9355" s="34">
        <f>base!V9355</f>
        <v>0</v>
      </c>
      <c r="C9355" s="40" t="s">
        <v>11</v>
      </c>
      <c r="D9355" s="36">
        <f>base!H9355</f>
        <v>0</v>
      </c>
      <c r="E9355" s="44"/>
      <c r="F9355" s="16">
        <f>base!W9355</f>
        <v>0</v>
      </c>
      <c r="G9355" s="11" t="e">
        <f t="shared" si="1442"/>
        <v>#DIV/0!</v>
      </c>
      <c r="H9355" s="11" t="e">
        <f t="shared" si="1443"/>
        <v>#N/A</v>
      </c>
      <c r="I9355" s="11" t="e">
        <f t="shared" si="1444"/>
        <v>#N/A</v>
      </c>
      <c r="J9355" s="12" t="e">
        <f t="shared" si="1445"/>
        <v>#N/A</v>
      </c>
      <c r="K9355" s="17" t="e">
        <f t="shared" si="1449"/>
        <v>#N/A</v>
      </c>
      <c r="L9355" s="16">
        <f>base!X9355</f>
        <v>0</v>
      </c>
      <c r="M9355" s="11" t="e">
        <f t="shared" si="1446"/>
        <v>#DIV/0!</v>
      </c>
      <c r="N9355" s="11"/>
      <c r="O9355" s="11" t="e">
        <f t="shared" si="1447"/>
        <v>#DIV/0!</v>
      </c>
      <c r="P9355" s="12">
        <f t="shared" si="1448"/>
        <v>0</v>
      </c>
      <c r="Q9355" s="17" t="str">
        <f t="shared" si="1450"/>
        <v>Pas d'écart</v>
      </c>
    </row>
    <row r="9356" spans="1:17" x14ac:dyDescent="0.3">
      <c r="A9356" s="34">
        <f>base!J9356</f>
        <v>0</v>
      </c>
      <c r="B9356" s="34">
        <f>base!V9356</f>
        <v>0</v>
      </c>
      <c r="C9356" s="40" t="s">
        <v>11</v>
      </c>
      <c r="D9356" s="36">
        <f>base!H9356</f>
        <v>0</v>
      </c>
      <c r="E9356" s="44"/>
      <c r="F9356" s="16">
        <f>base!W9356</f>
        <v>0</v>
      </c>
      <c r="G9356" s="11" t="e">
        <f t="shared" si="1442"/>
        <v>#DIV/0!</v>
      </c>
      <c r="H9356" s="11" t="e">
        <f t="shared" si="1443"/>
        <v>#N/A</v>
      </c>
      <c r="I9356" s="11" t="e">
        <f t="shared" si="1444"/>
        <v>#N/A</v>
      </c>
      <c r="J9356" s="12" t="e">
        <f t="shared" si="1445"/>
        <v>#N/A</v>
      </c>
      <c r="K9356" s="17" t="e">
        <f t="shared" si="1449"/>
        <v>#N/A</v>
      </c>
      <c r="L9356" s="16">
        <f>base!X9356</f>
        <v>0</v>
      </c>
      <c r="M9356" s="11" t="e">
        <f t="shared" si="1446"/>
        <v>#DIV/0!</v>
      </c>
      <c r="N9356" s="11"/>
      <c r="O9356" s="11" t="e">
        <f t="shared" si="1447"/>
        <v>#DIV/0!</v>
      </c>
      <c r="P9356" s="12">
        <f t="shared" si="1448"/>
        <v>0</v>
      </c>
      <c r="Q9356" s="17" t="str">
        <f t="shared" si="1450"/>
        <v>Pas d'écart</v>
      </c>
    </row>
    <row r="9357" spans="1:17" x14ac:dyDescent="0.3">
      <c r="A9357" s="34">
        <f>base!J9357</f>
        <v>0</v>
      </c>
      <c r="B9357" s="34">
        <f>base!V9357</f>
        <v>0</v>
      </c>
      <c r="C9357" s="40" t="s">
        <v>11</v>
      </c>
      <c r="D9357" s="36">
        <f>base!H9357</f>
        <v>0</v>
      </c>
      <c r="E9357" s="44"/>
      <c r="F9357" s="16">
        <f>base!W9357</f>
        <v>0</v>
      </c>
      <c r="G9357" s="11" t="e">
        <f t="shared" si="1442"/>
        <v>#DIV/0!</v>
      </c>
      <c r="H9357" s="11" t="e">
        <f t="shared" si="1443"/>
        <v>#N/A</v>
      </c>
      <c r="I9357" s="11" t="e">
        <f t="shared" si="1444"/>
        <v>#N/A</v>
      </c>
      <c r="J9357" s="12" t="e">
        <f t="shared" si="1445"/>
        <v>#N/A</v>
      </c>
      <c r="K9357" s="17" t="e">
        <f t="shared" si="1449"/>
        <v>#N/A</v>
      </c>
      <c r="L9357" s="16">
        <f>base!X9357</f>
        <v>0</v>
      </c>
      <c r="M9357" s="11" t="e">
        <f t="shared" si="1446"/>
        <v>#DIV/0!</v>
      </c>
      <c r="N9357" s="11"/>
      <c r="O9357" s="11" t="e">
        <f t="shared" si="1447"/>
        <v>#DIV/0!</v>
      </c>
      <c r="P9357" s="12">
        <f t="shared" si="1448"/>
        <v>0</v>
      </c>
      <c r="Q9357" s="17" t="str">
        <f t="shared" si="1450"/>
        <v>Pas d'écart</v>
      </c>
    </row>
    <row r="9358" spans="1:17" x14ac:dyDescent="0.3">
      <c r="A9358" s="34">
        <f>base!J9358</f>
        <v>0</v>
      </c>
      <c r="B9358" s="34">
        <f>base!V9358</f>
        <v>0</v>
      </c>
      <c r="C9358" s="40" t="s">
        <v>11</v>
      </c>
      <c r="D9358" s="36">
        <f>base!H9358</f>
        <v>0</v>
      </c>
      <c r="E9358" s="44"/>
      <c r="F9358" s="16">
        <f>base!W9358</f>
        <v>0</v>
      </c>
      <c r="G9358" s="11" t="e">
        <f t="shared" si="1442"/>
        <v>#DIV/0!</v>
      </c>
      <c r="H9358" s="11" t="e">
        <f t="shared" si="1443"/>
        <v>#N/A</v>
      </c>
      <c r="I9358" s="11" t="e">
        <f t="shared" si="1444"/>
        <v>#N/A</v>
      </c>
      <c r="J9358" s="12" t="e">
        <f t="shared" si="1445"/>
        <v>#N/A</v>
      </c>
      <c r="K9358" s="17" t="e">
        <f t="shared" si="1449"/>
        <v>#N/A</v>
      </c>
      <c r="L9358" s="16">
        <f>base!X9358</f>
        <v>0</v>
      </c>
      <c r="M9358" s="11" t="e">
        <f t="shared" si="1446"/>
        <v>#DIV/0!</v>
      </c>
      <c r="N9358" s="11"/>
      <c r="O9358" s="11" t="e">
        <f t="shared" si="1447"/>
        <v>#DIV/0!</v>
      </c>
      <c r="P9358" s="12">
        <f t="shared" si="1448"/>
        <v>0</v>
      </c>
      <c r="Q9358" s="17" t="str">
        <f t="shared" si="1450"/>
        <v>Pas d'écart</v>
      </c>
    </row>
    <row r="9359" spans="1:17" x14ac:dyDescent="0.3">
      <c r="A9359" s="34">
        <f>base!J9359</f>
        <v>0</v>
      </c>
      <c r="B9359" s="34">
        <f>base!V9359</f>
        <v>0</v>
      </c>
      <c r="C9359" s="40" t="s">
        <v>11</v>
      </c>
      <c r="D9359" s="36">
        <f>base!H9359</f>
        <v>0</v>
      </c>
      <c r="E9359" s="44"/>
      <c r="F9359" s="16">
        <f>base!W9359</f>
        <v>0</v>
      </c>
      <c r="G9359" s="11" t="e">
        <f t="shared" si="1442"/>
        <v>#DIV/0!</v>
      </c>
      <c r="H9359" s="11" t="e">
        <f t="shared" si="1443"/>
        <v>#N/A</v>
      </c>
      <c r="I9359" s="11" t="e">
        <f t="shared" si="1444"/>
        <v>#N/A</v>
      </c>
      <c r="J9359" s="12" t="e">
        <f t="shared" si="1445"/>
        <v>#N/A</v>
      </c>
      <c r="K9359" s="17" t="e">
        <f t="shared" si="1449"/>
        <v>#N/A</v>
      </c>
      <c r="L9359" s="16">
        <f>base!X9359</f>
        <v>0</v>
      </c>
      <c r="M9359" s="11" t="e">
        <f t="shared" si="1446"/>
        <v>#DIV/0!</v>
      </c>
      <c r="N9359" s="11"/>
      <c r="O9359" s="11" t="e">
        <f t="shared" si="1447"/>
        <v>#DIV/0!</v>
      </c>
      <c r="P9359" s="12">
        <f t="shared" si="1448"/>
        <v>0</v>
      </c>
      <c r="Q9359" s="17" t="str">
        <f t="shared" si="1450"/>
        <v>Pas d'écart</v>
      </c>
    </row>
    <row r="9360" spans="1:17" x14ac:dyDescent="0.3">
      <c r="A9360" s="34">
        <f>base!J9360</f>
        <v>0</v>
      </c>
      <c r="B9360" s="34">
        <f>base!V9360</f>
        <v>0</v>
      </c>
      <c r="C9360" s="40" t="s">
        <v>11</v>
      </c>
      <c r="D9360" s="36">
        <f>base!H9360</f>
        <v>0</v>
      </c>
      <c r="E9360" s="44"/>
      <c r="F9360" s="16">
        <f>base!W9360</f>
        <v>0</v>
      </c>
      <c r="G9360" s="11" t="e">
        <f t="shared" si="1442"/>
        <v>#DIV/0!</v>
      </c>
      <c r="H9360" s="11" t="e">
        <f t="shared" si="1443"/>
        <v>#N/A</v>
      </c>
      <c r="I9360" s="11" t="e">
        <f t="shared" si="1444"/>
        <v>#N/A</v>
      </c>
      <c r="J9360" s="12" t="e">
        <f t="shared" si="1445"/>
        <v>#N/A</v>
      </c>
      <c r="K9360" s="17" t="e">
        <f t="shared" si="1449"/>
        <v>#N/A</v>
      </c>
      <c r="L9360" s="16">
        <f>base!X9360</f>
        <v>0</v>
      </c>
      <c r="M9360" s="11" t="e">
        <f t="shared" si="1446"/>
        <v>#DIV/0!</v>
      </c>
      <c r="N9360" s="11"/>
      <c r="O9360" s="11" t="e">
        <f t="shared" si="1447"/>
        <v>#DIV/0!</v>
      </c>
      <c r="P9360" s="12">
        <f t="shared" si="1448"/>
        <v>0</v>
      </c>
      <c r="Q9360" s="17" t="str">
        <f t="shared" si="1450"/>
        <v>Pas d'écart</v>
      </c>
    </row>
    <row r="9361" spans="1:17" x14ac:dyDescent="0.3">
      <c r="A9361" s="34">
        <f>base!J9361</f>
        <v>0</v>
      </c>
      <c r="B9361" s="34">
        <f>base!V9361</f>
        <v>0</v>
      </c>
      <c r="C9361" s="40" t="s">
        <v>11</v>
      </c>
      <c r="D9361" s="36">
        <f>base!H9361</f>
        <v>0</v>
      </c>
      <c r="E9361" s="44"/>
      <c r="F9361" s="16">
        <f>base!W9361</f>
        <v>0</v>
      </c>
      <c r="G9361" s="11" t="e">
        <f t="shared" si="1442"/>
        <v>#DIV/0!</v>
      </c>
      <c r="H9361" s="11" t="e">
        <f t="shared" si="1443"/>
        <v>#N/A</v>
      </c>
      <c r="I9361" s="11" t="e">
        <f t="shared" si="1444"/>
        <v>#N/A</v>
      </c>
      <c r="J9361" s="12" t="e">
        <f t="shared" si="1445"/>
        <v>#N/A</v>
      </c>
      <c r="K9361" s="17" t="e">
        <f t="shared" si="1449"/>
        <v>#N/A</v>
      </c>
      <c r="L9361" s="16">
        <f>base!X9361</f>
        <v>0</v>
      </c>
      <c r="M9361" s="11" t="e">
        <f t="shared" si="1446"/>
        <v>#DIV/0!</v>
      </c>
      <c r="N9361" s="11"/>
      <c r="O9361" s="11" t="e">
        <f t="shared" si="1447"/>
        <v>#DIV/0!</v>
      </c>
      <c r="P9361" s="12">
        <f t="shared" si="1448"/>
        <v>0</v>
      </c>
      <c r="Q9361" s="17" t="str">
        <f t="shared" si="1450"/>
        <v>Pas d'écart</v>
      </c>
    </row>
    <row r="9362" spans="1:17" x14ac:dyDescent="0.3">
      <c r="A9362" s="34">
        <f>base!J9362</f>
        <v>0</v>
      </c>
      <c r="B9362" s="34">
        <f>base!V9362</f>
        <v>0</v>
      </c>
      <c r="C9362" s="40" t="s">
        <v>11</v>
      </c>
      <c r="D9362" s="36">
        <f>base!H9362</f>
        <v>0</v>
      </c>
      <c r="E9362" s="44"/>
      <c r="F9362" s="16">
        <f>base!W9362</f>
        <v>0</v>
      </c>
      <c r="G9362" s="11" t="e">
        <f t="shared" si="1442"/>
        <v>#DIV/0!</v>
      </c>
      <c r="H9362" s="11" t="e">
        <f t="shared" si="1443"/>
        <v>#N/A</v>
      </c>
      <c r="I9362" s="11" t="e">
        <f t="shared" si="1444"/>
        <v>#N/A</v>
      </c>
      <c r="J9362" s="12" t="e">
        <f t="shared" si="1445"/>
        <v>#N/A</v>
      </c>
      <c r="K9362" s="17" t="e">
        <f t="shared" si="1449"/>
        <v>#N/A</v>
      </c>
      <c r="L9362" s="16">
        <f>base!X9362</f>
        <v>0</v>
      </c>
      <c r="M9362" s="11" t="e">
        <f t="shared" si="1446"/>
        <v>#DIV/0!</v>
      </c>
      <c r="N9362" s="11"/>
      <c r="O9362" s="11" t="e">
        <f t="shared" si="1447"/>
        <v>#DIV/0!</v>
      </c>
      <c r="P9362" s="12">
        <f t="shared" si="1448"/>
        <v>0</v>
      </c>
      <c r="Q9362" s="17" t="str">
        <f t="shared" si="1450"/>
        <v>Pas d'écart</v>
      </c>
    </row>
    <row r="9363" spans="1:17" x14ac:dyDescent="0.3">
      <c r="A9363" s="34">
        <f>base!J9363</f>
        <v>0</v>
      </c>
      <c r="B9363" s="34">
        <f>base!V9363</f>
        <v>0</v>
      </c>
      <c r="C9363" s="40" t="s">
        <v>11</v>
      </c>
      <c r="D9363" s="36">
        <f>base!H9363</f>
        <v>0</v>
      </c>
      <c r="E9363" s="44"/>
      <c r="F9363" s="16">
        <f>base!W9363</f>
        <v>0</v>
      </c>
      <c r="G9363" s="11" t="e">
        <f t="shared" si="1442"/>
        <v>#DIV/0!</v>
      </c>
      <c r="H9363" s="11" t="e">
        <f t="shared" si="1443"/>
        <v>#N/A</v>
      </c>
      <c r="I9363" s="11" t="e">
        <f t="shared" si="1444"/>
        <v>#N/A</v>
      </c>
      <c r="J9363" s="12" t="e">
        <f t="shared" si="1445"/>
        <v>#N/A</v>
      </c>
      <c r="K9363" s="17" t="e">
        <f t="shared" si="1449"/>
        <v>#N/A</v>
      </c>
      <c r="L9363" s="16">
        <f>base!X9363</f>
        <v>0</v>
      </c>
      <c r="M9363" s="11" t="e">
        <f t="shared" si="1446"/>
        <v>#DIV/0!</v>
      </c>
      <c r="N9363" s="11"/>
      <c r="O9363" s="11" t="e">
        <f t="shared" si="1447"/>
        <v>#DIV/0!</v>
      </c>
      <c r="P9363" s="12">
        <f t="shared" si="1448"/>
        <v>0</v>
      </c>
      <c r="Q9363" s="17" t="str">
        <f t="shared" si="1450"/>
        <v>Pas d'écart</v>
      </c>
    </row>
    <row r="9364" spans="1:17" x14ac:dyDescent="0.3">
      <c r="A9364" s="34">
        <f>base!J9364</f>
        <v>0</v>
      </c>
      <c r="B9364" s="34">
        <f>base!V9364</f>
        <v>0</v>
      </c>
      <c r="C9364" s="40" t="s">
        <v>11</v>
      </c>
      <c r="D9364" s="36">
        <f>base!H9364</f>
        <v>0</v>
      </c>
      <c r="E9364" s="44"/>
      <c r="F9364" s="16">
        <f>base!W9364</f>
        <v>0</v>
      </c>
      <c r="G9364" s="11" t="e">
        <f t="shared" si="1442"/>
        <v>#DIV/0!</v>
      </c>
      <c r="H9364" s="11" t="e">
        <f t="shared" si="1443"/>
        <v>#N/A</v>
      </c>
      <c r="I9364" s="11" t="e">
        <f t="shared" si="1444"/>
        <v>#N/A</v>
      </c>
      <c r="J9364" s="12" t="e">
        <f t="shared" si="1445"/>
        <v>#N/A</v>
      </c>
      <c r="K9364" s="17" t="e">
        <f t="shared" si="1449"/>
        <v>#N/A</v>
      </c>
      <c r="L9364" s="16">
        <f>base!X9364</f>
        <v>0</v>
      </c>
      <c r="M9364" s="11" t="e">
        <f t="shared" si="1446"/>
        <v>#DIV/0!</v>
      </c>
      <c r="N9364" s="11"/>
      <c r="O9364" s="11" t="e">
        <f t="shared" si="1447"/>
        <v>#DIV/0!</v>
      </c>
      <c r="P9364" s="12">
        <f t="shared" si="1448"/>
        <v>0</v>
      </c>
      <c r="Q9364" s="17" t="str">
        <f t="shared" si="1450"/>
        <v>Pas d'écart</v>
      </c>
    </row>
    <row r="9365" spans="1:17" x14ac:dyDescent="0.3">
      <c r="A9365" s="34">
        <f>base!J9365</f>
        <v>0</v>
      </c>
      <c r="B9365" s="34">
        <f>base!V9365</f>
        <v>0</v>
      </c>
      <c r="C9365" s="40" t="s">
        <v>11</v>
      </c>
      <c r="D9365" s="36">
        <f>base!H9365</f>
        <v>0</v>
      </c>
      <c r="E9365" s="44"/>
      <c r="F9365" s="16">
        <f>base!W9365</f>
        <v>0</v>
      </c>
      <c r="G9365" s="11" t="e">
        <f t="shared" si="1442"/>
        <v>#DIV/0!</v>
      </c>
      <c r="H9365" s="11" t="e">
        <f t="shared" si="1443"/>
        <v>#N/A</v>
      </c>
      <c r="I9365" s="11" t="e">
        <f t="shared" si="1444"/>
        <v>#N/A</v>
      </c>
      <c r="J9365" s="12" t="e">
        <f t="shared" si="1445"/>
        <v>#N/A</v>
      </c>
      <c r="K9365" s="17" t="e">
        <f t="shared" si="1449"/>
        <v>#N/A</v>
      </c>
      <c r="L9365" s="16">
        <f>base!X9365</f>
        <v>0</v>
      </c>
      <c r="M9365" s="11" t="e">
        <f t="shared" si="1446"/>
        <v>#DIV/0!</v>
      </c>
      <c r="N9365" s="11"/>
      <c r="O9365" s="11" t="e">
        <f t="shared" si="1447"/>
        <v>#DIV/0!</v>
      </c>
      <c r="P9365" s="12">
        <f t="shared" si="1448"/>
        <v>0</v>
      </c>
      <c r="Q9365" s="17" t="str">
        <f t="shared" si="1450"/>
        <v>Pas d'écart</v>
      </c>
    </row>
    <row r="9366" spans="1:17" x14ac:dyDescent="0.3">
      <c r="A9366" s="34">
        <f>base!J9366</f>
        <v>0</v>
      </c>
      <c r="B9366" s="34">
        <f>base!V9366</f>
        <v>0</v>
      </c>
      <c r="C9366" s="40" t="s">
        <v>11</v>
      </c>
      <c r="D9366" s="36">
        <f>base!H9366</f>
        <v>0</v>
      </c>
      <c r="E9366" s="44"/>
      <c r="F9366" s="16">
        <f>base!W9366</f>
        <v>0</v>
      </c>
      <c r="G9366" s="11" t="e">
        <f t="shared" si="1442"/>
        <v>#DIV/0!</v>
      </c>
      <c r="H9366" s="11" t="e">
        <f t="shared" si="1443"/>
        <v>#N/A</v>
      </c>
      <c r="I9366" s="11" t="e">
        <f t="shared" si="1444"/>
        <v>#N/A</v>
      </c>
      <c r="J9366" s="12" t="e">
        <f t="shared" si="1445"/>
        <v>#N/A</v>
      </c>
      <c r="K9366" s="17" t="e">
        <f t="shared" si="1449"/>
        <v>#N/A</v>
      </c>
      <c r="L9366" s="16">
        <f>base!X9366</f>
        <v>0</v>
      </c>
      <c r="M9366" s="11" t="e">
        <f t="shared" si="1446"/>
        <v>#DIV/0!</v>
      </c>
      <c r="N9366" s="11"/>
      <c r="O9366" s="11" t="e">
        <f t="shared" si="1447"/>
        <v>#DIV/0!</v>
      </c>
      <c r="P9366" s="12">
        <f t="shared" si="1448"/>
        <v>0</v>
      </c>
      <c r="Q9366" s="17" t="str">
        <f t="shared" si="1450"/>
        <v>Pas d'écart</v>
      </c>
    </row>
    <row r="9367" spans="1:17" x14ac:dyDescent="0.3">
      <c r="A9367" s="34">
        <f>base!J9367</f>
        <v>0</v>
      </c>
      <c r="B9367" s="34">
        <f>base!V9367</f>
        <v>0</v>
      </c>
      <c r="C9367" s="40" t="s">
        <v>11</v>
      </c>
      <c r="D9367" s="36">
        <f>base!H9367</f>
        <v>0</v>
      </c>
      <c r="E9367" s="44"/>
      <c r="F9367" s="16">
        <f>base!W9367</f>
        <v>0</v>
      </c>
      <c r="G9367" s="11" t="e">
        <f t="shared" si="1442"/>
        <v>#DIV/0!</v>
      </c>
      <c r="H9367" s="11" t="e">
        <f t="shared" si="1443"/>
        <v>#N/A</v>
      </c>
      <c r="I9367" s="11" t="e">
        <f t="shared" si="1444"/>
        <v>#N/A</v>
      </c>
      <c r="J9367" s="12" t="e">
        <f t="shared" si="1445"/>
        <v>#N/A</v>
      </c>
      <c r="K9367" s="17" t="e">
        <f t="shared" si="1449"/>
        <v>#N/A</v>
      </c>
      <c r="L9367" s="16">
        <f>base!X9367</f>
        <v>0</v>
      </c>
      <c r="M9367" s="11" t="e">
        <f t="shared" si="1446"/>
        <v>#DIV/0!</v>
      </c>
      <c r="N9367" s="11"/>
      <c r="O9367" s="11" t="e">
        <f t="shared" si="1447"/>
        <v>#DIV/0!</v>
      </c>
      <c r="P9367" s="12">
        <f t="shared" si="1448"/>
        <v>0</v>
      </c>
      <c r="Q9367" s="17" t="str">
        <f t="shared" si="1450"/>
        <v>Pas d'écart</v>
      </c>
    </row>
    <row r="9368" spans="1:17" x14ac:dyDescent="0.3">
      <c r="A9368" s="34">
        <f>base!J9368</f>
        <v>0</v>
      </c>
      <c r="B9368" s="34">
        <f>base!V9368</f>
        <v>0</v>
      </c>
      <c r="C9368" s="40" t="s">
        <v>11</v>
      </c>
      <c r="D9368" s="36">
        <f>base!H9368</f>
        <v>0</v>
      </c>
      <c r="E9368" s="44"/>
      <c r="F9368" s="16">
        <f>base!W9368</f>
        <v>0</v>
      </c>
      <c r="G9368" s="11" t="e">
        <f t="shared" si="1442"/>
        <v>#DIV/0!</v>
      </c>
      <c r="H9368" s="11" t="e">
        <f t="shared" si="1443"/>
        <v>#N/A</v>
      </c>
      <c r="I9368" s="11" t="e">
        <f t="shared" si="1444"/>
        <v>#N/A</v>
      </c>
      <c r="J9368" s="12" t="e">
        <f t="shared" si="1445"/>
        <v>#N/A</v>
      </c>
      <c r="K9368" s="17" t="e">
        <f t="shared" si="1449"/>
        <v>#N/A</v>
      </c>
      <c r="L9368" s="16">
        <f>base!X9368</f>
        <v>0</v>
      </c>
      <c r="M9368" s="11" t="e">
        <f t="shared" si="1446"/>
        <v>#DIV/0!</v>
      </c>
      <c r="N9368" s="11"/>
      <c r="O9368" s="11" t="e">
        <f t="shared" si="1447"/>
        <v>#DIV/0!</v>
      </c>
      <c r="P9368" s="12">
        <f t="shared" si="1448"/>
        <v>0</v>
      </c>
      <c r="Q9368" s="17" t="str">
        <f t="shared" si="1450"/>
        <v>Pas d'écart</v>
      </c>
    </row>
    <row r="9369" spans="1:17" x14ac:dyDescent="0.3">
      <c r="A9369" s="34">
        <f>base!J9369</f>
        <v>0</v>
      </c>
      <c r="B9369" s="34">
        <f>base!V9369</f>
        <v>0</v>
      </c>
      <c r="C9369" s="40" t="s">
        <v>11</v>
      </c>
      <c r="D9369" s="36">
        <f>base!H9369</f>
        <v>0</v>
      </c>
      <c r="E9369" s="44"/>
      <c r="F9369" s="16">
        <f>base!W9369</f>
        <v>0</v>
      </c>
      <c r="G9369" s="11" t="e">
        <f t="shared" si="1442"/>
        <v>#DIV/0!</v>
      </c>
      <c r="H9369" s="11" t="e">
        <f t="shared" si="1443"/>
        <v>#N/A</v>
      </c>
      <c r="I9369" s="11" t="e">
        <f t="shared" si="1444"/>
        <v>#N/A</v>
      </c>
      <c r="J9369" s="12" t="e">
        <f t="shared" si="1445"/>
        <v>#N/A</v>
      </c>
      <c r="K9369" s="17" t="e">
        <f t="shared" si="1449"/>
        <v>#N/A</v>
      </c>
      <c r="L9369" s="16">
        <f>base!X9369</f>
        <v>0</v>
      </c>
      <c r="M9369" s="11" t="e">
        <f t="shared" si="1446"/>
        <v>#DIV/0!</v>
      </c>
      <c r="N9369" s="11"/>
      <c r="O9369" s="11" t="e">
        <f t="shared" si="1447"/>
        <v>#DIV/0!</v>
      </c>
      <c r="P9369" s="12">
        <f t="shared" si="1448"/>
        <v>0</v>
      </c>
      <c r="Q9369" s="17" t="str">
        <f t="shared" si="1450"/>
        <v>Pas d'écart</v>
      </c>
    </row>
    <row r="9370" spans="1:17" x14ac:dyDescent="0.3">
      <c r="A9370" s="34">
        <f>base!J9370</f>
        <v>0</v>
      </c>
      <c r="B9370" s="34">
        <f>base!V9370</f>
        <v>0</v>
      </c>
      <c r="C9370" s="40" t="s">
        <v>11</v>
      </c>
      <c r="D9370" s="36">
        <f>base!H9370</f>
        <v>0</v>
      </c>
      <c r="E9370" s="44"/>
      <c r="F9370" s="16">
        <f>base!W9370</f>
        <v>0</v>
      </c>
      <c r="G9370" s="11" t="e">
        <f t="shared" si="1442"/>
        <v>#DIV/0!</v>
      </c>
      <c r="H9370" s="11" t="e">
        <f t="shared" si="1443"/>
        <v>#N/A</v>
      </c>
      <c r="I9370" s="11" t="e">
        <f t="shared" si="1444"/>
        <v>#N/A</v>
      </c>
      <c r="J9370" s="12" t="e">
        <f t="shared" si="1445"/>
        <v>#N/A</v>
      </c>
      <c r="K9370" s="17" t="e">
        <f t="shared" si="1449"/>
        <v>#N/A</v>
      </c>
      <c r="L9370" s="16">
        <f>base!X9370</f>
        <v>0</v>
      </c>
      <c r="M9370" s="11" t="e">
        <f t="shared" si="1446"/>
        <v>#DIV/0!</v>
      </c>
      <c r="N9370" s="11"/>
      <c r="O9370" s="11" t="e">
        <f t="shared" si="1447"/>
        <v>#DIV/0!</v>
      </c>
      <c r="P9370" s="12">
        <f t="shared" si="1448"/>
        <v>0</v>
      </c>
      <c r="Q9370" s="17" t="str">
        <f t="shared" si="1450"/>
        <v>Pas d'écart</v>
      </c>
    </row>
    <row r="9371" spans="1:17" x14ac:dyDescent="0.3">
      <c r="A9371" s="34">
        <f>base!J9371</f>
        <v>0</v>
      </c>
      <c r="B9371" s="34">
        <f>base!V9371</f>
        <v>0</v>
      </c>
      <c r="C9371" s="40" t="s">
        <v>11</v>
      </c>
      <c r="D9371" s="36">
        <f>base!H9371</f>
        <v>0</v>
      </c>
      <c r="E9371" s="44"/>
      <c r="F9371" s="16">
        <f>base!W9371</f>
        <v>0</v>
      </c>
      <c r="G9371" s="11" t="e">
        <f t="shared" si="1442"/>
        <v>#DIV/0!</v>
      </c>
      <c r="H9371" s="11" t="e">
        <f t="shared" si="1443"/>
        <v>#N/A</v>
      </c>
      <c r="I9371" s="11" t="e">
        <f t="shared" si="1444"/>
        <v>#N/A</v>
      </c>
      <c r="J9371" s="12" t="e">
        <f t="shared" si="1445"/>
        <v>#N/A</v>
      </c>
      <c r="K9371" s="17" t="e">
        <f t="shared" si="1449"/>
        <v>#N/A</v>
      </c>
      <c r="L9371" s="16">
        <f>base!X9371</f>
        <v>0</v>
      </c>
      <c r="M9371" s="11" t="e">
        <f t="shared" si="1446"/>
        <v>#DIV/0!</v>
      </c>
      <c r="N9371" s="11"/>
      <c r="O9371" s="11" t="e">
        <f t="shared" si="1447"/>
        <v>#DIV/0!</v>
      </c>
      <c r="P9371" s="12">
        <f t="shared" si="1448"/>
        <v>0</v>
      </c>
      <c r="Q9371" s="17" t="str">
        <f t="shared" si="1450"/>
        <v>Pas d'écart</v>
      </c>
    </row>
    <row r="9372" spans="1:17" x14ac:dyDescent="0.3">
      <c r="A9372" s="34">
        <f>base!J9372</f>
        <v>0</v>
      </c>
      <c r="B9372" s="34">
        <f>base!V9372</f>
        <v>0</v>
      </c>
      <c r="C9372" s="40" t="s">
        <v>11</v>
      </c>
      <c r="D9372" s="36">
        <f>base!H9372</f>
        <v>0</v>
      </c>
      <c r="E9372" s="44"/>
      <c r="F9372" s="16">
        <f>base!W9372</f>
        <v>0</v>
      </c>
      <c r="G9372" s="11" t="e">
        <f t="shared" si="1442"/>
        <v>#DIV/0!</v>
      </c>
      <c r="H9372" s="11" t="e">
        <f t="shared" si="1443"/>
        <v>#N/A</v>
      </c>
      <c r="I9372" s="11" t="e">
        <f t="shared" si="1444"/>
        <v>#N/A</v>
      </c>
      <c r="J9372" s="12" t="e">
        <f t="shared" si="1445"/>
        <v>#N/A</v>
      </c>
      <c r="K9372" s="17" t="e">
        <f t="shared" si="1449"/>
        <v>#N/A</v>
      </c>
      <c r="L9372" s="16">
        <f>base!X9372</f>
        <v>0</v>
      </c>
      <c r="M9372" s="11" t="e">
        <f t="shared" si="1446"/>
        <v>#DIV/0!</v>
      </c>
      <c r="N9372" s="11"/>
      <c r="O9372" s="11" t="e">
        <f t="shared" si="1447"/>
        <v>#DIV/0!</v>
      </c>
      <c r="P9372" s="12">
        <f t="shared" si="1448"/>
        <v>0</v>
      </c>
      <c r="Q9372" s="17" t="str">
        <f t="shared" si="1450"/>
        <v>Pas d'écart</v>
      </c>
    </row>
    <row r="9373" spans="1:17" x14ac:dyDescent="0.3">
      <c r="A9373" s="34">
        <f>base!J9373</f>
        <v>0</v>
      </c>
      <c r="B9373" s="34">
        <f>base!V9373</f>
        <v>0</v>
      </c>
      <c r="C9373" s="40" t="s">
        <v>11</v>
      </c>
      <c r="D9373" s="36">
        <f>base!H9373</f>
        <v>0</v>
      </c>
      <c r="E9373" s="44"/>
      <c r="F9373" s="16">
        <f>base!W9373</f>
        <v>0</v>
      </c>
      <c r="G9373" s="11" t="e">
        <f t="shared" si="1442"/>
        <v>#DIV/0!</v>
      </c>
      <c r="H9373" s="11" t="e">
        <f t="shared" si="1443"/>
        <v>#N/A</v>
      </c>
      <c r="I9373" s="11" t="e">
        <f t="shared" si="1444"/>
        <v>#N/A</v>
      </c>
      <c r="J9373" s="12" t="e">
        <f t="shared" si="1445"/>
        <v>#N/A</v>
      </c>
      <c r="K9373" s="17" t="e">
        <f t="shared" si="1449"/>
        <v>#N/A</v>
      </c>
      <c r="L9373" s="16">
        <f>base!X9373</f>
        <v>0</v>
      </c>
      <c r="M9373" s="11" t="e">
        <f t="shared" si="1446"/>
        <v>#DIV/0!</v>
      </c>
      <c r="N9373" s="11"/>
      <c r="O9373" s="11" t="e">
        <f t="shared" si="1447"/>
        <v>#DIV/0!</v>
      </c>
      <c r="P9373" s="12">
        <f t="shared" si="1448"/>
        <v>0</v>
      </c>
      <c r="Q9373" s="17" t="str">
        <f t="shared" si="1450"/>
        <v>Pas d'écart</v>
      </c>
    </row>
    <row r="9374" spans="1:17" x14ac:dyDescent="0.3">
      <c r="A9374" s="34">
        <f>base!J9374</f>
        <v>0</v>
      </c>
      <c r="B9374" s="34">
        <f>base!V9374</f>
        <v>0</v>
      </c>
      <c r="C9374" s="40" t="s">
        <v>11</v>
      </c>
      <c r="D9374" s="36">
        <f>base!H9374</f>
        <v>0</v>
      </c>
      <c r="E9374" s="44"/>
      <c r="F9374" s="16">
        <f>base!W9374</f>
        <v>0</v>
      </c>
      <c r="G9374" s="11" t="e">
        <f t="shared" si="1442"/>
        <v>#DIV/0!</v>
      </c>
      <c r="H9374" s="11" t="e">
        <f t="shared" si="1443"/>
        <v>#N/A</v>
      </c>
      <c r="I9374" s="11" t="e">
        <f t="shared" si="1444"/>
        <v>#N/A</v>
      </c>
      <c r="J9374" s="12" t="e">
        <f t="shared" si="1445"/>
        <v>#N/A</v>
      </c>
      <c r="K9374" s="17" t="e">
        <f t="shared" si="1449"/>
        <v>#N/A</v>
      </c>
      <c r="L9374" s="16">
        <f>base!X9374</f>
        <v>0</v>
      </c>
      <c r="M9374" s="11" t="e">
        <f t="shared" si="1446"/>
        <v>#DIV/0!</v>
      </c>
      <c r="N9374" s="11"/>
      <c r="O9374" s="11" t="e">
        <f t="shared" si="1447"/>
        <v>#DIV/0!</v>
      </c>
      <c r="P9374" s="12">
        <f t="shared" si="1448"/>
        <v>0</v>
      </c>
      <c r="Q9374" s="17" t="str">
        <f t="shared" si="1450"/>
        <v>Pas d'écart</v>
      </c>
    </row>
    <row r="9375" spans="1:17" x14ac:dyDescent="0.3">
      <c r="A9375" s="34">
        <f>base!J9375</f>
        <v>0</v>
      </c>
      <c r="B9375" s="34">
        <f>base!V9375</f>
        <v>0</v>
      </c>
      <c r="C9375" s="40" t="s">
        <v>11</v>
      </c>
      <c r="D9375" s="36">
        <f>base!H9375</f>
        <v>0</v>
      </c>
      <c r="E9375" s="44"/>
      <c r="F9375" s="16">
        <f>base!W9375</f>
        <v>0</v>
      </c>
      <c r="G9375" s="11" t="e">
        <f t="shared" si="1442"/>
        <v>#DIV/0!</v>
      </c>
      <c r="H9375" s="11" t="e">
        <f t="shared" si="1443"/>
        <v>#N/A</v>
      </c>
      <c r="I9375" s="11" t="e">
        <f t="shared" si="1444"/>
        <v>#N/A</v>
      </c>
      <c r="J9375" s="12" t="e">
        <f t="shared" si="1445"/>
        <v>#N/A</v>
      </c>
      <c r="K9375" s="17" t="e">
        <f t="shared" si="1449"/>
        <v>#N/A</v>
      </c>
      <c r="L9375" s="16">
        <f>base!X9375</f>
        <v>0</v>
      </c>
      <c r="M9375" s="11" t="e">
        <f t="shared" si="1446"/>
        <v>#DIV/0!</v>
      </c>
      <c r="N9375" s="11"/>
      <c r="O9375" s="11" t="e">
        <f t="shared" si="1447"/>
        <v>#DIV/0!</v>
      </c>
      <c r="P9375" s="12">
        <f t="shared" si="1448"/>
        <v>0</v>
      </c>
      <c r="Q9375" s="17" t="str">
        <f t="shared" si="1450"/>
        <v>Pas d'écart</v>
      </c>
    </row>
    <row r="9376" spans="1:17" x14ac:dyDescent="0.3">
      <c r="A9376" s="34">
        <f>base!J9376</f>
        <v>0</v>
      </c>
      <c r="B9376" s="34">
        <f>base!V9376</f>
        <v>0</v>
      </c>
      <c r="C9376" s="40" t="s">
        <v>11</v>
      </c>
      <c r="D9376" s="36">
        <f>base!H9376</f>
        <v>0</v>
      </c>
      <c r="E9376" s="44"/>
      <c r="F9376" s="16">
        <f>base!W9376</f>
        <v>0</v>
      </c>
      <c r="G9376" s="11" t="e">
        <f t="shared" si="1442"/>
        <v>#DIV/0!</v>
      </c>
      <c r="H9376" s="11" t="e">
        <f t="shared" si="1443"/>
        <v>#N/A</v>
      </c>
      <c r="I9376" s="11" t="e">
        <f t="shared" si="1444"/>
        <v>#N/A</v>
      </c>
      <c r="J9376" s="12" t="e">
        <f t="shared" si="1445"/>
        <v>#N/A</v>
      </c>
      <c r="K9376" s="17" t="e">
        <f t="shared" si="1449"/>
        <v>#N/A</v>
      </c>
      <c r="L9376" s="16">
        <f>base!X9376</f>
        <v>0</v>
      </c>
      <c r="M9376" s="11" t="e">
        <f t="shared" si="1446"/>
        <v>#DIV/0!</v>
      </c>
      <c r="N9376" s="11"/>
      <c r="O9376" s="11" t="e">
        <f t="shared" si="1447"/>
        <v>#DIV/0!</v>
      </c>
      <c r="P9376" s="12">
        <f t="shared" si="1448"/>
        <v>0</v>
      </c>
      <c r="Q9376" s="17" t="str">
        <f t="shared" si="1450"/>
        <v>Pas d'écart</v>
      </c>
    </row>
    <row r="9377" spans="1:17" x14ac:dyDescent="0.3">
      <c r="A9377" s="34">
        <f>base!J9377</f>
        <v>0</v>
      </c>
      <c r="B9377" s="34">
        <f>base!V9377</f>
        <v>0</v>
      </c>
      <c r="C9377" s="40" t="s">
        <v>11</v>
      </c>
      <c r="D9377" s="36">
        <f>base!H9377</f>
        <v>0</v>
      </c>
      <c r="E9377" s="44"/>
      <c r="F9377" s="16">
        <f>base!W9377</f>
        <v>0</v>
      </c>
      <c r="G9377" s="11" t="e">
        <f t="shared" si="1442"/>
        <v>#DIV/0!</v>
      </c>
      <c r="H9377" s="11" t="e">
        <f t="shared" si="1443"/>
        <v>#N/A</v>
      </c>
      <c r="I9377" s="11" t="e">
        <f t="shared" si="1444"/>
        <v>#N/A</v>
      </c>
      <c r="J9377" s="12" t="e">
        <f t="shared" si="1445"/>
        <v>#N/A</v>
      </c>
      <c r="K9377" s="17" t="e">
        <f t="shared" si="1449"/>
        <v>#N/A</v>
      </c>
      <c r="L9377" s="16">
        <f>base!X9377</f>
        <v>0</v>
      </c>
      <c r="M9377" s="11" t="e">
        <f t="shared" si="1446"/>
        <v>#DIV/0!</v>
      </c>
      <c r="N9377" s="11"/>
      <c r="O9377" s="11" t="e">
        <f t="shared" si="1447"/>
        <v>#DIV/0!</v>
      </c>
      <c r="P9377" s="12">
        <f t="shared" si="1448"/>
        <v>0</v>
      </c>
      <c r="Q9377" s="17" t="str">
        <f t="shared" si="1450"/>
        <v>Pas d'écart</v>
      </c>
    </row>
    <row r="9378" spans="1:17" x14ac:dyDescent="0.3">
      <c r="A9378" s="34">
        <f>base!J9378</f>
        <v>0</v>
      </c>
      <c r="B9378" s="34">
        <f>base!V9378</f>
        <v>0</v>
      </c>
      <c r="C9378" s="40" t="s">
        <v>11</v>
      </c>
      <c r="D9378" s="36">
        <f>base!H9378</f>
        <v>0</v>
      </c>
      <c r="E9378" s="44"/>
      <c r="F9378" s="16">
        <f>base!W9378</f>
        <v>0</v>
      </c>
      <c r="G9378" s="11" t="e">
        <f t="shared" si="1442"/>
        <v>#DIV/0!</v>
      </c>
      <c r="H9378" s="11" t="e">
        <f t="shared" si="1443"/>
        <v>#N/A</v>
      </c>
      <c r="I9378" s="11" t="e">
        <f t="shared" si="1444"/>
        <v>#N/A</v>
      </c>
      <c r="J9378" s="12" t="e">
        <f t="shared" si="1445"/>
        <v>#N/A</v>
      </c>
      <c r="K9378" s="17" t="e">
        <f t="shared" si="1449"/>
        <v>#N/A</v>
      </c>
      <c r="L9378" s="16">
        <f>base!X9378</f>
        <v>0</v>
      </c>
      <c r="M9378" s="11" t="e">
        <f t="shared" si="1446"/>
        <v>#DIV/0!</v>
      </c>
      <c r="N9378" s="11"/>
      <c r="O9378" s="11" t="e">
        <f t="shared" si="1447"/>
        <v>#DIV/0!</v>
      </c>
      <c r="P9378" s="12">
        <f t="shared" si="1448"/>
        <v>0</v>
      </c>
      <c r="Q9378" s="17" t="str">
        <f t="shared" si="1450"/>
        <v>Pas d'écart</v>
      </c>
    </row>
    <row r="9379" spans="1:17" x14ac:dyDescent="0.3">
      <c r="A9379" s="34">
        <f>base!J9379</f>
        <v>0</v>
      </c>
      <c r="B9379" s="34">
        <f>base!V9379</f>
        <v>0</v>
      </c>
      <c r="C9379" s="40" t="s">
        <v>11</v>
      </c>
      <c r="D9379" s="36">
        <f>base!H9379</f>
        <v>0</v>
      </c>
      <c r="E9379" s="44"/>
      <c r="F9379" s="16">
        <f>base!W9379</f>
        <v>0</v>
      </c>
      <c r="G9379" s="11" t="e">
        <f t="shared" si="1442"/>
        <v>#DIV/0!</v>
      </c>
      <c r="H9379" s="11" t="e">
        <f t="shared" si="1443"/>
        <v>#N/A</v>
      </c>
      <c r="I9379" s="11" t="e">
        <f t="shared" si="1444"/>
        <v>#N/A</v>
      </c>
      <c r="J9379" s="12" t="e">
        <f t="shared" si="1445"/>
        <v>#N/A</v>
      </c>
      <c r="K9379" s="17" t="e">
        <f t="shared" si="1449"/>
        <v>#N/A</v>
      </c>
      <c r="L9379" s="16">
        <f>base!X9379</f>
        <v>0</v>
      </c>
      <c r="M9379" s="11" t="e">
        <f t="shared" si="1446"/>
        <v>#DIV/0!</v>
      </c>
      <c r="N9379" s="11"/>
      <c r="O9379" s="11" t="e">
        <f t="shared" si="1447"/>
        <v>#DIV/0!</v>
      </c>
      <c r="P9379" s="12">
        <f t="shared" si="1448"/>
        <v>0</v>
      </c>
      <c r="Q9379" s="17" t="str">
        <f t="shared" si="1450"/>
        <v>Pas d'écart</v>
      </c>
    </row>
    <row r="9380" spans="1:17" x14ac:dyDescent="0.3">
      <c r="A9380" s="34">
        <f>base!J9380</f>
        <v>0</v>
      </c>
      <c r="B9380" s="34">
        <f>base!V9380</f>
        <v>0</v>
      </c>
      <c r="C9380" s="40" t="s">
        <v>11</v>
      </c>
      <c r="D9380" s="36">
        <f>base!H9380</f>
        <v>0</v>
      </c>
      <c r="E9380" s="44"/>
      <c r="F9380" s="16">
        <f>base!W9380</f>
        <v>0</v>
      </c>
      <c r="G9380" s="11" t="e">
        <f t="shared" si="1442"/>
        <v>#DIV/0!</v>
      </c>
      <c r="H9380" s="11" t="e">
        <f t="shared" si="1443"/>
        <v>#N/A</v>
      </c>
      <c r="I9380" s="11" t="e">
        <f t="shared" si="1444"/>
        <v>#N/A</v>
      </c>
      <c r="J9380" s="12" t="e">
        <f t="shared" si="1445"/>
        <v>#N/A</v>
      </c>
      <c r="K9380" s="17" t="e">
        <f t="shared" si="1449"/>
        <v>#N/A</v>
      </c>
      <c r="L9380" s="16">
        <f>base!X9380</f>
        <v>0</v>
      </c>
      <c r="M9380" s="11" t="e">
        <f t="shared" si="1446"/>
        <v>#DIV/0!</v>
      </c>
      <c r="N9380" s="11"/>
      <c r="O9380" s="11" t="e">
        <f t="shared" si="1447"/>
        <v>#DIV/0!</v>
      </c>
      <c r="P9380" s="12">
        <f t="shared" si="1448"/>
        <v>0</v>
      </c>
      <c r="Q9380" s="17" t="str">
        <f t="shared" si="1450"/>
        <v>Pas d'écart</v>
      </c>
    </row>
    <row r="9381" spans="1:17" x14ac:dyDescent="0.3">
      <c r="A9381" s="34">
        <f>base!J9381</f>
        <v>0</v>
      </c>
      <c r="B9381" s="34">
        <f>base!V9381</f>
        <v>0</v>
      </c>
      <c r="C9381" s="40" t="s">
        <v>11</v>
      </c>
      <c r="D9381" s="36">
        <f>base!H9381</f>
        <v>0</v>
      </c>
      <c r="E9381" s="44"/>
      <c r="F9381" s="16">
        <f>base!W9381</f>
        <v>0</v>
      </c>
      <c r="G9381" s="11" t="e">
        <f t="shared" si="1442"/>
        <v>#DIV/0!</v>
      </c>
      <c r="H9381" s="11" t="e">
        <f t="shared" si="1443"/>
        <v>#N/A</v>
      </c>
      <c r="I9381" s="11" t="e">
        <f t="shared" si="1444"/>
        <v>#N/A</v>
      </c>
      <c r="J9381" s="12" t="e">
        <f t="shared" si="1445"/>
        <v>#N/A</v>
      </c>
      <c r="K9381" s="17" t="e">
        <f t="shared" si="1449"/>
        <v>#N/A</v>
      </c>
      <c r="L9381" s="16">
        <f>base!X9381</f>
        <v>0</v>
      </c>
      <c r="M9381" s="11" t="e">
        <f t="shared" si="1446"/>
        <v>#DIV/0!</v>
      </c>
      <c r="N9381" s="11"/>
      <c r="O9381" s="11" t="e">
        <f t="shared" si="1447"/>
        <v>#DIV/0!</v>
      </c>
      <c r="P9381" s="12">
        <f t="shared" si="1448"/>
        <v>0</v>
      </c>
      <c r="Q9381" s="17" t="str">
        <f t="shared" si="1450"/>
        <v>Pas d'écart</v>
      </c>
    </row>
    <row r="9382" spans="1:17" x14ac:dyDescent="0.3">
      <c r="A9382" s="34">
        <f>base!J9382</f>
        <v>0</v>
      </c>
      <c r="B9382" s="34">
        <f>base!V9382</f>
        <v>0</v>
      </c>
      <c r="C9382" s="40" t="s">
        <v>11</v>
      </c>
      <c r="D9382" s="36">
        <f>base!H9382</f>
        <v>0</v>
      </c>
      <c r="E9382" s="44"/>
      <c r="F9382" s="16">
        <f>base!W9382</f>
        <v>0</v>
      </c>
      <c r="G9382" s="11" t="e">
        <f t="shared" si="1442"/>
        <v>#DIV/0!</v>
      </c>
      <c r="H9382" s="11" t="e">
        <f t="shared" si="1443"/>
        <v>#N/A</v>
      </c>
      <c r="I9382" s="11" t="e">
        <f t="shared" si="1444"/>
        <v>#N/A</v>
      </c>
      <c r="J9382" s="12" t="e">
        <f t="shared" si="1445"/>
        <v>#N/A</v>
      </c>
      <c r="K9382" s="17" t="e">
        <f t="shared" si="1449"/>
        <v>#N/A</v>
      </c>
      <c r="L9382" s="16">
        <f>base!X9382</f>
        <v>0</v>
      </c>
      <c r="M9382" s="11" t="e">
        <f t="shared" si="1446"/>
        <v>#DIV/0!</v>
      </c>
      <c r="N9382" s="11"/>
      <c r="O9382" s="11" t="e">
        <f t="shared" si="1447"/>
        <v>#DIV/0!</v>
      </c>
      <c r="P9382" s="12">
        <f t="shared" si="1448"/>
        <v>0</v>
      </c>
      <c r="Q9382" s="17" t="str">
        <f t="shared" si="1450"/>
        <v>Pas d'écart</v>
      </c>
    </row>
    <row r="9383" spans="1:17" x14ac:dyDescent="0.3">
      <c r="A9383" s="34">
        <f>base!J9383</f>
        <v>0</v>
      </c>
      <c r="B9383" s="34">
        <f>base!V9383</f>
        <v>0</v>
      </c>
      <c r="C9383" s="40" t="s">
        <v>11</v>
      </c>
      <c r="D9383" s="36">
        <f>base!H9383</f>
        <v>0</v>
      </c>
      <c r="E9383" s="44"/>
      <c r="F9383" s="16">
        <f>base!W9383</f>
        <v>0</v>
      </c>
      <c r="G9383" s="11" t="e">
        <f t="shared" si="1442"/>
        <v>#DIV/0!</v>
      </c>
      <c r="H9383" s="11" t="e">
        <f t="shared" si="1443"/>
        <v>#N/A</v>
      </c>
      <c r="I9383" s="11" t="e">
        <f t="shared" si="1444"/>
        <v>#N/A</v>
      </c>
      <c r="J9383" s="12" t="e">
        <f t="shared" si="1445"/>
        <v>#N/A</v>
      </c>
      <c r="K9383" s="17" t="e">
        <f t="shared" si="1449"/>
        <v>#N/A</v>
      </c>
      <c r="L9383" s="16">
        <f>base!X9383</f>
        <v>0</v>
      </c>
      <c r="M9383" s="11" t="e">
        <f t="shared" si="1446"/>
        <v>#DIV/0!</v>
      </c>
      <c r="N9383" s="11"/>
      <c r="O9383" s="11" t="e">
        <f t="shared" si="1447"/>
        <v>#DIV/0!</v>
      </c>
      <c r="P9383" s="12">
        <f t="shared" si="1448"/>
        <v>0</v>
      </c>
      <c r="Q9383" s="17" t="str">
        <f t="shared" si="1450"/>
        <v>Pas d'écart</v>
      </c>
    </row>
    <row r="9384" spans="1:17" x14ac:dyDescent="0.3">
      <c r="A9384" s="34">
        <f>base!J9384</f>
        <v>0</v>
      </c>
      <c r="B9384" s="34">
        <f>base!V9384</f>
        <v>0</v>
      </c>
      <c r="C9384" s="40" t="s">
        <v>11</v>
      </c>
      <c r="D9384" s="36">
        <f>base!H9384</f>
        <v>0</v>
      </c>
      <c r="E9384" s="44"/>
      <c r="F9384" s="16">
        <f>base!W9384</f>
        <v>0</v>
      </c>
      <c r="G9384" s="11" t="e">
        <f t="shared" si="1442"/>
        <v>#DIV/0!</v>
      </c>
      <c r="H9384" s="11" t="e">
        <f t="shared" si="1443"/>
        <v>#N/A</v>
      </c>
      <c r="I9384" s="11" t="e">
        <f t="shared" si="1444"/>
        <v>#N/A</v>
      </c>
      <c r="J9384" s="12" t="e">
        <f t="shared" si="1445"/>
        <v>#N/A</v>
      </c>
      <c r="K9384" s="17" t="e">
        <f t="shared" si="1449"/>
        <v>#N/A</v>
      </c>
      <c r="L9384" s="16">
        <f>base!X9384</f>
        <v>0</v>
      </c>
      <c r="M9384" s="11" t="e">
        <f t="shared" si="1446"/>
        <v>#DIV/0!</v>
      </c>
      <c r="N9384" s="11"/>
      <c r="O9384" s="11" t="e">
        <f t="shared" si="1447"/>
        <v>#DIV/0!</v>
      </c>
      <c r="P9384" s="12">
        <f t="shared" si="1448"/>
        <v>0</v>
      </c>
      <c r="Q9384" s="17" t="str">
        <f t="shared" si="1450"/>
        <v>Pas d'écart</v>
      </c>
    </row>
    <row r="9385" spans="1:17" x14ac:dyDescent="0.3">
      <c r="A9385" s="34">
        <f>base!J9385</f>
        <v>0</v>
      </c>
      <c r="B9385" s="34">
        <f>base!V9385</f>
        <v>0</v>
      </c>
      <c r="C9385" s="40" t="s">
        <v>11</v>
      </c>
      <c r="D9385" s="36">
        <f>base!H9385</f>
        <v>0</v>
      </c>
      <c r="E9385" s="44"/>
      <c r="F9385" s="16">
        <f>base!W9385</f>
        <v>0</v>
      </c>
      <c r="G9385" s="11" t="e">
        <f t="shared" si="1442"/>
        <v>#DIV/0!</v>
      </c>
      <c r="H9385" s="11" t="e">
        <f t="shared" si="1443"/>
        <v>#N/A</v>
      </c>
      <c r="I9385" s="11" t="e">
        <f t="shared" si="1444"/>
        <v>#N/A</v>
      </c>
      <c r="J9385" s="12" t="e">
        <f t="shared" si="1445"/>
        <v>#N/A</v>
      </c>
      <c r="K9385" s="17" t="e">
        <f t="shared" si="1449"/>
        <v>#N/A</v>
      </c>
      <c r="L9385" s="16">
        <f>base!X9385</f>
        <v>0</v>
      </c>
      <c r="M9385" s="11" t="e">
        <f t="shared" si="1446"/>
        <v>#DIV/0!</v>
      </c>
      <c r="N9385" s="11"/>
      <c r="O9385" s="11" t="e">
        <f t="shared" si="1447"/>
        <v>#DIV/0!</v>
      </c>
      <c r="P9385" s="12">
        <f t="shared" si="1448"/>
        <v>0</v>
      </c>
      <c r="Q9385" s="17" t="str">
        <f t="shared" si="1450"/>
        <v>Pas d'écart</v>
      </c>
    </row>
    <row r="9386" spans="1:17" x14ac:dyDescent="0.3">
      <c r="A9386" s="34">
        <f>base!J9386</f>
        <v>0</v>
      </c>
      <c r="B9386" s="34">
        <f>base!V9386</f>
        <v>0</v>
      </c>
      <c r="C9386" s="40" t="s">
        <v>11</v>
      </c>
      <c r="D9386" s="36">
        <f>base!H9386</f>
        <v>0</v>
      </c>
      <c r="E9386" s="44"/>
      <c r="F9386" s="16">
        <f>base!W9386</f>
        <v>0</v>
      </c>
      <c r="G9386" s="11" t="e">
        <f t="shared" si="1442"/>
        <v>#DIV/0!</v>
      </c>
      <c r="H9386" s="11" t="e">
        <f t="shared" si="1443"/>
        <v>#N/A</v>
      </c>
      <c r="I9386" s="11" t="e">
        <f t="shared" si="1444"/>
        <v>#N/A</v>
      </c>
      <c r="J9386" s="12" t="e">
        <f t="shared" si="1445"/>
        <v>#N/A</v>
      </c>
      <c r="K9386" s="17" t="e">
        <f t="shared" si="1449"/>
        <v>#N/A</v>
      </c>
      <c r="L9386" s="16">
        <f>base!X9386</f>
        <v>0</v>
      </c>
      <c r="M9386" s="11" t="e">
        <f t="shared" si="1446"/>
        <v>#DIV/0!</v>
      </c>
      <c r="N9386" s="11"/>
      <c r="O9386" s="11" t="e">
        <f t="shared" si="1447"/>
        <v>#DIV/0!</v>
      </c>
      <c r="P9386" s="12">
        <f t="shared" si="1448"/>
        <v>0</v>
      </c>
      <c r="Q9386" s="17" t="str">
        <f t="shared" si="1450"/>
        <v>Pas d'écart</v>
      </c>
    </row>
    <row r="9387" spans="1:17" x14ac:dyDescent="0.3">
      <c r="A9387" s="34">
        <f>base!J9387</f>
        <v>0</v>
      </c>
      <c r="B9387" s="34">
        <f>base!V9387</f>
        <v>0</v>
      </c>
      <c r="C9387" s="40" t="s">
        <v>11</v>
      </c>
      <c r="D9387" s="36">
        <f>base!H9387</f>
        <v>0</v>
      </c>
      <c r="E9387" s="44"/>
      <c r="F9387" s="16">
        <f>base!W9387</f>
        <v>0</v>
      </c>
      <c r="G9387" s="11" t="e">
        <f t="shared" si="1442"/>
        <v>#DIV/0!</v>
      </c>
      <c r="H9387" s="11" t="e">
        <f t="shared" si="1443"/>
        <v>#N/A</v>
      </c>
      <c r="I9387" s="11" t="e">
        <f t="shared" si="1444"/>
        <v>#N/A</v>
      </c>
      <c r="J9387" s="12" t="e">
        <f t="shared" si="1445"/>
        <v>#N/A</v>
      </c>
      <c r="K9387" s="17" t="e">
        <f t="shared" si="1449"/>
        <v>#N/A</v>
      </c>
      <c r="L9387" s="16">
        <f>base!X9387</f>
        <v>0</v>
      </c>
      <c r="M9387" s="11" t="e">
        <f t="shared" si="1446"/>
        <v>#DIV/0!</v>
      </c>
      <c r="N9387" s="11"/>
      <c r="O9387" s="11" t="e">
        <f t="shared" si="1447"/>
        <v>#DIV/0!</v>
      </c>
      <c r="P9387" s="12">
        <f t="shared" si="1448"/>
        <v>0</v>
      </c>
      <c r="Q9387" s="17" t="str">
        <f t="shared" si="1450"/>
        <v>Pas d'écart</v>
      </c>
    </row>
    <row r="9388" spans="1:17" x14ac:dyDescent="0.3">
      <c r="A9388" s="34">
        <f>base!J9388</f>
        <v>0</v>
      </c>
      <c r="B9388" s="34">
        <f>base!V9388</f>
        <v>0</v>
      </c>
      <c r="C9388" s="40" t="s">
        <v>11</v>
      </c>
      <c r="D9388" s="36">
        <f>base!H9388</f>
        <v>0</v>
      </c>
      <c r="E9388" s="44"/>
      <c r="F9388" s="16">
        <f>base!W9388</f>
        <v>0</v>
      </c>
      <c r="G9388" s="11" t="e">
        <f t="shared" si="1442"/>
        <v>#DIV/0!</v>
      </c>
      <c r="H9388" s="11" t="e">
        <f t="shared" si="1443"/>
        <v>#N/A</v>
      </c>
      <c r="I9388" s="11" t="e">
        <f t="shared" si="1444"/>
        <v>#N/A</v>
      </c>
      <c r="J9388" s="12" t="e">
        <f t="shared" si="1445"/>
        <v>#N/A</v>
      </c>
      <c r="K9388" s="17" t="e">
        <f t="shared" si="1449"/>
        <v>#N/A</v>
      </c>
      <c r="L9388" s="16">
        <f>base!X9388</f>
        <v>0</v>
      </c>
      <c r="M9388" s="11" t="e">
        <f t="shared" si="1446"/>
        <v>#DIV/0!</v>
      </c>
      <c r="N9388" s="11"/>
      <c r="O9388" s="11" t="e">
        <f t="shared" si="1447"/>
        <v>#DIV/0!</v>
      </c>
      <c r="P9388" s="12">
        <f t="shared" si="1448"/>
        <v>0</v>
      </c>
      <c r="Q9388" s="17" t="str">
        <f t="shared" si="1450"/>
        <v>Pas d'écart</v>
      </c>
    </row>
    <row r="9389" spans="1:17" x14ac:dyDescent="0.3">
      <c r="A9389" s="34">
        <f>base!J9389</f>
        <v>0</v>
      </c>
      <c r="B9389" s="34">
        <f>base!V9389</f>
        <v>0</v>
      </c>
      <c r="C9389" s="40" t="s">
        <v>11</v>
      </c>
      <c r="D9389" s="36">
        <f>base!H9389</f>
        <v>0</v>
      </c>
      <c r="E9389" s="44"/>
      <c r="F9389" s="16">
        <f>base!W9389</f>
        <v>0</v>
      </c>
      <c r="G9389" s="11" t="e">
        <f t="shared" si="1442"/>
        <v>#DIV/0!</v>
      </c>
      <c r="H9389" s="11" t="e">
        <f t="shared" si="1443"/>
        <v>#N/A</v>
      </c>
      <c r="I9389" s="11" t="e">
        <f t="shared" si="1444"/>
        <v>#N/A</v>
      </c>
      <c r="J9389" s="12" t="e">
        <f t="shared" si="1445"/>
        <v>#N/A</v>
      </c>
      <c r="K9389" s="17" t="e">
        <f t="shared" si="1449"/>
        <v>#N/A</v>
      </c>
      <c r="L9389" s="16">
        <f>base!X9389</f>
        <v>0</v>
      </c>
      <c r="M9389" s="11" t="e">
        <f t="shared" si="1446"/>
        <v>#DIV/0!</v>
      </c>
      <c r="N9389" s="11"/>
      <c r="O9389" s="11" t="e">
        <f t="shared" si="1447"/>
        <v>#DIV/0!</v>
      </c>
      <c r="P9389" s="12">
        <f t="shared" si="1448"/>
        <v>0</v>
      </c>
      <c r="Q9389" s="17" t="str">
        <f t="shared" si="1450"/>
        <v>Pas d'écart</v>
      </c>
    </row>
    <row r="9390" spans="1:17" x14ac:dyDescent="0.3">
      <c r="A9390" s="34">
        <f>base!J9390</f>
        <v>0</v>
      </c>
      <c r="B9390" s="34">
        <f>base!V9390</f>
        <v>0</v>
      </c>
      <c r="C9390" s="40" t="s">
        <v>11</v>
      </c>
      <c r="D9390" s="36">
        <f>base!H9390</f>
        <v>0</v>
      </c>
      <c r="E9390" s="44"/>
      <c r="F9390" s="16">
        <f>base!W9390</f>
        <v>0</v>
      </c>
      <c r="G9390" s="11" t="e">
        <f t="shared" si="1442"/>
        <v>#DIV/0!</v>
      </c>
      <c r="H9390" s="11" t="e">
        <f t="shared" si="1443"/>
        <v>#N/A</v>
      </c>
      <c r="I9390" s="11" t="e">
        <f t="shared" si="1444"/>
        <v>#N/A</v>
      </c>
      <c r="J9390" s="12" t="e">
        <f t="shared" si="1445"/>
        <v>#N/A</v>
      </c>
      <c r="K9390" s="17" t="e">
        <f t="shared" si="1449"/>
        <v>#N/A</v>
      </c>
      <c r="L9390" s="16">
        <f>base!X9390</f>
        <v>0</v>
      </c>
      <c r="M9390" s="11" t="e">
        <f t="shared" si="1446"/>
        <v>#DIV/0!</v>
      </c>
      <c r="N9390" s="11"/>
      <c r="O9390" s="11" t="e">
        <f t="shared" si="1447"/>
        <v>#DIV/0!</v>
      </c>
      <c r="P9390" s="12">
        <f t="shared" si="1448"/>
        <v>0</v>
      </c>
      <c r="Q9390" s="17" t="str">
        <f t="shared" si="1450"/>
        <v>Pas d'écart</v>
      </c>
    </row>
    <row r="9391" spans="1:17" x14ac:dyDescent="0.3">
      <c r="A9391" s="34">
        <f>base!J9391</f>
        <v>0</v>
      </c>
      <c r="B9391" s="34">
        <f>base!V9391</f>
        <v>0</v>
      </c>
      <c r="C9391" s="40" t="s">
        <v>11</v>
      </c>
      <c r="D9391" s="36">
        <f>base!H9391</f>
        <v>0</v>
      </c>
      <c r="E9391" s="44"/>
      <c r="F9391" s="16">
        <f>base!W9391</f>
        <v>0</v>
      </c>
      <c r="G9391" s="11" t="e">
        <f t="shared" si="1442"/>
        <v>#DIV/0!</v>
      </c>
      <c r="H9391" s="11" t="e">
        <f t="shared" si="1443"/>
        <v>#N/A</v>
      </c>
      <c r="I9391" s="11" t="e">
        <f t="shared" si="1444"/>
        <v>#N/A</v>
      </c>
      <c r="J9391" s="12" t="e">
        <f t="shared" si="1445"/>
        <v>#N/A</v>
      </c>
      <c r="K9391" s="17" t="e">
        <f t="shared" si="1449"/>
        <v>#N/A</v>
      </c>
      <c r="L9391" s="16">
        <f>base!X9391</f>
        <v>0</v>
      </c>
      <c r="M9391" s="11" t="e">
        <f t="shared" si="1446"/>
        <v>#DIV/0!</v>
      </c>
      <c r="N9391" s="11"/>
      <c r="O9391" s="11" t="e">
        <f t="shared" si="1447"/>
        <v>#DIV/0!</v>
      </c>
      <c r="P9391" s="12">
        <f t="shared" si="1448"/>
        <v>0</v>
      </c>
      <c r="Q9391" s="17" t="str">
        <f t="shared" si="1450"/>
        <v>Pas d'écart</v>
      </c>
    </row>
    <row r="9392" spans="1:17" x14ac:dyDescent="0.3">
      <c r="A9392" s="34">
        <f>base!J9392</f>
        <v>0</v>
      </c>
      <c r="B9392" s="34">
        <f>base!V9392</f>
        <v>0</v>
      </c>
      <c r="C9392" s="40" t="s">
        <v>11</v>
      </c>
      <c r="D9392" s="36">
        <f>base!H9392</f>
        <v>0</v>
      </c>
      <c r="E9392" s="44"/>
      <c r="F9392" s="16">
        <f>base!W9392</f>
        <v>0</v>
      </c>
      <c r="G9392" s="11" t="e">
        <f t="shared" si="1442"/>
        <v>#DIV/0!</v>
      </c>
      <c r="H9392" s="11" t="e">
        <f t="shared" si="1443"/>
        <v>#N/A</v>
      </c>
      <c r="I9392" s="11" t="e">
        <f t="shared" si="1444"/>
        <v>#N/A</v>
      </c>
      <c r="J9392" s="12" t="e">
        <f t="shared" si="1445"/>
        <v>#N/A</v>
      </c>
      <c r="K9392" s="17" t="e">
        <f t="shared" si="1449"/>
        <v>#N/A</v>
      </c>
      <c r="L9392" s="16">
        <f>base!X9392</f>
        <v>0</v>
      </c>
      <c r="M9392" s="11" t="e">
        <f t="shared" si="1446"/>
        <v>#DIV/0!</v>
      </c>
      <c r="N9392" s="11"/>
      <c r="O9392" s="11" t="e">
        <f t="shared" si="1447"/>
        <v>#DIV/0!</v>
      </c>
      <c r="P9392" s="12">
        <f t="shared" si="1448"/>
        <v>0</v>
      </c>
      <c r="Q9392" s="17" t="str">
        <f t="shared" si="1450"/>
        <v>Pas d'écart</v>
      </c>
    </row>
    <row r="9393" spans="1:17" x14ac:dyDescent="0.3">
      <c r="A9393" s="34">
        <f>base!J9393</f>
        <v>0</v>
      </c>
      <c r="B9393" s="34">
        <f>base!V9393</f>
        <v>0</v>
      </c>
      <c r="C9393" s="40" t="s">
        <v>11</v>
      </c>
      <c r="D9393" s="36">
        <f>base!H9393</f>
        <v>0</v>
      </c>
      <c r="E9393" s="44"/>
      <c r="F9393" s="16">
        <f>base!W9393</f>
        <v>0</v>
      </c>
      <c r="G9393" s="11" t="e">
        <f t="shared" si="1442"/>
        <v>#DIV/0!</v>
      </c>
      <c r="H9393" s="11" t="e">
        <f t="shared" si="1443"/>
        <v>#N/A</v>
      </c>
      <c r="I9393" s="11" t="e">
        <f t="shared" si="1444"/>
        <v>#N/A</v>
      </c>
      <c r="J9393" s="12" t="e">
        <f t="shared" si="1445"/>
        <v>#N/A</v>
      </c>
      <c r="K9393" s="17" t="e">
        <f t="shared" si="1449"/>
        <v>#N/A</v>
      </c>
      <c r="L9393" s="16">
        <f>base!X9393</f>
        <v>0</v>
      </c>
      <c r="M9393" s="11" t="e">
        <f t="shared" si="1446"/>
        <v>#DIV/0!</v>
      </c>
      <c r="N9393" s="11"/>
      <c r="O9393" s="11" t="e">
        <f t="shared" si="1447"/>
        <v>#DIV/0!</v>
      </c>
      <c r="P9393" s="12">
        <f t="shared" si="1448"/>
        <v>0</v>
      </c>
      <c r="Q9393" s="17" t="str">
        <f t="shared" si="1450"/>
        <v>Pas d'écart</v>
      </c>
    </row>
    <row r="9394" spans="1:17" x14ac:dyDescent="0.3">
      <c r="A9394" s="34">
        <f>base!J9394</f>
        <v>0</v>
      </c>
      <c r="B9394" s="34">
        <f>base!V9394</f>
        <v>0</v>
      </c>
      <c r="C9394" s="40" t="s">
        <v>11</v>
      </c>
      <c r="D9394" s="36">
        <f>base!H9394</f>
        <v>0</v>
      </c>
      <c r="E9394" s="44"/>
      <c r="F9394" s="16">
        <f>base!W9394</f>
        <v>0</v>
      </c>
      <c r="G9394" s="11" t="e">
        <f t="shared" si="1442"/>
        <v>#DIV/0!</v>
      </c>
      <c r="H9394" s="11" t="e">
        <f t="shared" si="1443"/>
        <v>#N/A</v>
      </c>
      <c r="I9394" s="11" t="e">
        <f t="shared" si="1444"/>
        <v>#N/A</v>
      </c>
      <c r="J9394" s="12" t="e">
        <f t="shared" si="1445"/>
        <v>#N/A</v>
      </c>
      <c r="K9394" s="17" t="e">
        <f t="shared" si="1449"/>
        <v>#N/A</v>
      </c>
      <c r="L9394" s="16">
        <f>base!X9394</f>
        <v>0</v>
      </c>
      <c r="M9394" s="11" t="e">
        <f t="shared" si="1446"/>
        <v>#DIV/0!</v>
      </c>
      <c r="N9394" s="11"/>
      <c r="O9394" s="11" t="e">
        <f t="shared" si="1447"/>
        <v>#DIV/0!</v>
      </c>
      <c r="P9394" s="12">
        <f t="shared" si="1448"/>
        <v>0</v>
      </c>
      <c r="Q9394" s="17" t="str">
        <f t="shared" si="1450"/>
        <v>Pas d'écart</v>
      </c>
    </row>
    <row r="9395" spans="1:17" x14ac:dyDescent="0.3">
      <c r="A9395" s="34">
        <f>base!J9395</f>
        <v>0</v>
      </c>
      <c r="B9395" s="34">
        <f>base!V9395</f>
        <v>0</v>
      </c>
      <c r="C9395" s="40" t="s">
        <v>11</v>
      </c>
      <c r="D9395" s="36">
        <f>base!H9395</f>
        <v>0</v>
      </c>
      <c r="E9395" s="44"/>
      <c r="F9395" s="16">
        <f>base!W9395</f>
        <v>0</v>
      </c>
      <c r="G9395" s="11" t="e">
        <f t="shared" si="1442"/>
        <v>#DIV/0!</v>
      </c>
      <c r="H9395" s="11" t="e">
        <f t="shared" si="1443"/>
        <v>#N/A</v>
      </c>
      <c r="I9395" s="11" t="e">
        <f t="shared" si="1444"/>
        <v>#N/A</v>
      </c>
      <c r="J9395" s="12" t="e">
        <f t="shared" si="1445"/>
        <v>#N/A</v>
      </c>
      <c r="K9395" s="17" t="e">
        <f t="shared" si="1449"/>
        <v>#N/A</v>
      </c>
      <c r="L9395" s="16">
        <f>base!X9395</f>
        <v>0</v>
      </c>
      <c r="M9395" s="11" t="e">
        <f t="shared" si="1446"/>
        <v>#DIV/0!</v>
      </c>
      <c r="N9395" s="11"/>
      <c r="O9395" s="11" t="e">
        <f t="shared" si="1447"/>
        <v>#DIV/0!</v>
      </c>
      <c r="P9395" s="12">
        <f t="shared" si="1448"/>
        <v>0</v>
      </c>
      <c r="Q9395" s="17" t="str">
        <f t="shared" si="1450"/>
        <v>Pas d'écart</v>
      </c>
    </row>
    <row r="9396" spans="1:17" x14ac:dyDescent="0.3">
      <c r="A9396" s="34">
        <f>base!J9396</f>
        <v>0</v>
      </c>
      <c r="B9396" s="34">
        <f>base!V9396</f>
        <v>0</v>
      </c>
      <c r="C9396" s="40" t="s">
        <v>11</v>
      </c>
      <c r="D9396" s="36">
        <f>base!H9396</f>
        <v>0</v>
      </c>
      <c r="E9396" s="44"/>
      <c r="F9396" s="16">
        <f>base!W9396</f>
        <v>0</v>
      </c>
      <c r="G9396" s="11" t="e">
        <f t="shared" si="1442"/>
        <v>#DIV/0!</v>
      </c>
      <c r="H9396" s="11" t="e">
        <f t="shared" si="1443"/>
        <v>#N/A</v>
      </c>
      <c r="I9396" s="11" t="e">
        <f t="shared" si="1444"/>
        <v>#N/A</v>
      </c>
      <c r="J9396" s="12" t="e">
        <f t="shared" si="1445"/>
        <v>#N/A</v>
      </c>
      <c r="K9396" s="17" t="e">
        <f t="shared" si="1449"/>
        <v>#N/A</v>
      </c>
      <c r="L9396" s="16">
        <f>base!X9396</f>
        <v>0</v>
      </c>
      <c r="M9396" s="11" t="e">
        <f t="shared" si="1446"/>
        <v>#DIV/0!</v>
      </c>
      <c r="N9396" s="11"/>
      <c r="O9396" s="11" t="e">
        <f t="shared" si="1447"/>
        <v>#DIV/0!</v>
      </c>
      <c r="P9396" s="12">
        <f t="shared" si="1448"/>
        <v>0</v>
      </c>
      <c r="Q9396" s="17" t="str">
        <f t="shared" si="1450"/>
        <v>Pas d'écart</v>
      </c>
    </row>
    <row r="9397" spans="1:17" x14ac:dyDescent="0.3">
      <c r="A9397" s="34">
        <f>base!J9397</f>
        <v>0</v>
      </c>
      <c r="B9397" s="34">
        <f>base!V9397</f>
        <v>0</v>
      </c>
      <c r="C9397" s="40" t="s">
        <v>11</v>
      </c>
      <c r="D9397" s="36">
        <f>base!H9397</f>
        <v>0</v>
      </c>
      <c r="E9397" s="44"/>
      <c r="F9397" s="16">
        <f>base!W9397</f>
        <v>0</v>
      </c>
      <c r="G9397" s="11" t="e">
        <f t="shared" si="1442"/>
        <v>#DIV/0!</v>
      </c>
      <c r="H9397" s="11" t="e">
        <f t="shared" si="1443"/>
        <v>#N/A</v>
      </c>
      <c r="I9397" s="11" t="e">
        <f t="shared" si="1444"/>
        <v>#N/A</v>
      </c>
      <c r="J9397" s="12" t="e">
        <f t="shared" si="1445"/>
        <v>#N/A</v>
      </c>
      <c r="K9397" s="17" t="e">
        <f t="shared" si="1449"/>
        <v>#N/A</v>
      </c>
      <c r="L9397" s="16">
        <f>base!X9397</f>
        <v>0</v>
      </c>
      <c r="M9397" s="11" t="e">
        <f t="shared" si="1446"/>
        <v>#DIV/0!</v>
      </c>
      <c r="N9397" s="11"/>
      <c r="O9397" s="11" t="e">
        <f t="shared" si="1447"/>
        <v>#DIV/0!</v>
      </c>
      <c r="P9397" s="12">
        <f t="shared" si="1448"/>
        <v>0</v>
      </c>
      <c r="Q9397" s="17" t="str">
        <f t="shared" si="1450"/>
        <v>Pas d'écart</v>
      </c>
    </row>
    <row r="9398" spans="1:17" x14ac:dyDescent="0.3">
      <c r="A9398" s="34">
        <f>base!J9398</f>
        <v>0</v>
      </c>
      <c r="B9398" s="34">
        <f>base!V9398</f>
        <v>0</v>
      </c>
      <c r="C9398" s="40" t="s">
        <v>11</v>
      </c>
      <c r="D9398" s="36">
        <f>base!H9398</f>
        <v>0</v>
      </c>
      <c r="E9398" s="44"/>
      <c r="F9398" s="16">
        <f>base!W9398</f>
        <v>0</v>
      </c>
      <c r="G9398" s="11" t="e">
        <f t="shared" si="1442"/>
        <v>#DIV/0!</v>
      </c>
      <c r="H9398" s="11" t="e">
        <f t="shared" si="1443"/>
        <v>#N/A</v>
      </c>
      <c r="I9398" s="11" t="e">
        <f t="shared" si="1444"/>
        <v>#N/A</v>
      </c>
      <c r="J9398" s="12" t="e">
        <f t="shared" si="1445"/>
        <v>#N/A</v>
      </c>
      <c r="K9398" s="17" t="e">
        <f t="shared" si="1449"/>
        <v>#N/A</v>
      </c>
      <c r="L9398" s="16">
        <f>base!X9398</f>
        <v>0</v>
      </c>
      <c r="M9398" s="11" t="e">
        <f t="shared" si="1446"/>
        <v>#DIV/0!</v>
      </c>
      <c r="N9398" s="11"/>
      <c r="O9398" s="11" t="e">
        <f t="shared" si="1447"/>
        <v>#DIV/0!</v>
      </c>
      <c r="P9398" s="12">
        <f t="shared" si="1448"/>
        <v>0</v>
      </c>
      <c r="Q9398" s="17" t="str">
        <f t="shared" si="1450"/>
        <v>Pas d'écart</v>
      </c>
    </row>
    <row r="9399" spans="1:17" x14ac:dyDescent="0.3">
      <c r="A9399" s="34">
        <f>base!J9399</f>
        <v>0</v>
      </c>
      <c r="B9399" s="34">
        <f>base!V9399</f>
        <v>0</v>
      </c>
      <c r="C9399" s="40" t="s">
        <v>11</v>
      </c>
      <c r="D9399" s="36">
        <f>base!H9399</f>
        <v>0</v>
      </c>
      <c r="E9399" s="44"/>
      <c r="F9399" s="16">
        <f>base!W9399</f>
        <v>0</v>
      </c>
      <c r="G9399" s="11" t="e">
        <f t="shared" si="1442"/>
        <v>#DIV/0!</v>
      </c>
      <c r="H9399" s="11" t="e">
        <f t="shared" si="1443"/>
        <v>#N/A</v>
      </c>
      <c r="I9399" s="11" t="e">
        <f t="shared" si="1444"/>
        <v>#N/A</v>
      </c>
      <c r="J9399" s="12" t="e">
        <f t="shared" si="1445"/>
        <v>#N/A</v>
      </c>
      <c r="K9399" s="17" t="e">
        <f t="shared" si="1449"/>
        <v>#N/A</v>
      </c>
      <c r="L9399" s="16">
        <f>base!X9399</f>
        <v>0</v>
      </c>
      <c r="M9399" s="11" t="e">
        <f t="shared" si="1446"/>
        <v>#DIV/0!</v>
      </c>
      <c r="N9399" s="11"/>
      <c r="O9399" s="11" t="e">
        <f t="shared" si="1447"/>
        <v>#DIV/0!</v>
      </c>
      <c r="P9399" s="12">
        <f t="shared" si="1448"/>
        <v>0</v>
      </c>
      <c r="Q9399" s="17" t="str">
        <f t="shared" si="1450"/>
        <v>Pas d'écart</v>
      </c>
    </row>
    <row r="9400" spans="1:17" x14ac:dyDescent="0.3">
      <c r="A9400" s="34">
        <f>base!J9400</f>
        <v>0</v>
      </c>
      <c r="B9400" s="34">
        <f>base!V9400</f>
        <v>0</v>
      </c>
      <c r="C9400" s="40" t="s">
        <v>11</v>
      </c>
      <c r="D9400" s="36">
        <f>base!H9400</f>
        <v>0</v>
      </c>
      <c r="E9400" s="44"/>
      <c r="F9400" s="16">
        <f>base!W9400</f>
        <v>0</v>
      </c>
      <c r="G9400" s="11" t="e">
        <f t="shared" si="1442"/>
        <v>#DIV/0!</v>
      </c>
      <c r="H9400" s="11" t="e">
        <f t="shared" si="1443"/>
        <v>#N/A</v>
      </c>
      <c r="I9400" s="11" t="e">
        <f t="shared" si="1444"/>
        <v>#N/A</v>
      </c>
      <c r="J9400" s="12" t="e">
        <f t="shared" si="1445"/>
        <v>#N/A</v>
      </c>
      <c r="K9400" s="17" t="e">
        <f t="shared" si="1449"/>
        <v>#N/A</v>
      </c>
      <c r="L9400" s="16">
        <f>base!X9400</f>
        <v>0</v>
      </c>
      <c r="M9400" s="11" t="e">
        <f t="shared" si="1446"/>
        <v>#DIV/0!</v>
      </c>
      <c r="N9400" s="11"/>
      <c r="O9400" s="11" t="e">
        <f t="shared" si="1447"/>
        <v>#DIV/0!</v>
      </c>
      <c r="P9400" s="12">
        <f t="shared" si="1448"/>
        <v>0</v>
      </c>
      <c r="Q9400" s="17" t="str">
        <f t="shared" si="1450"/>
        <v>Pas d'écart</v>
      </c>
    </row>
    <row r="9401" spans="1:17" x14ac:dyDescent="0.3">
      <c r="A9401" s="34">
        <f>base!J9401</f>
        <v>0</v>
      </c>
      <c r="B9401" s="34">
        <f>base!V9401</f>
        <v>0</v>
      </c>
      <c r="C9401" s="40" t="s">
        <v>11</v>
      </c>
      <c r="D9401" s="36">
        <f>base!H9401</f>
        <v>0</v>
      </c>
      <c r="E9401" s="44"/>
      <c r="F9401" s="16">
        <f>base!W9401</f>
        <v>0</v>
      </c>
      <c r="G9401" s="11" t="e">
        <f t="shared" si="1442"/>
        <v>#DIV/0!</v>
      </c>
      <c r="H9401" s="11" t="e">
        <f t="shared" si="1443"/>
        <v>#N/A</v>
      </c>
      <c r="I9401" s="11" t="e">
        <f t="shared" si="1444"/>
        <v>#N/A</v>
      </c>
      <c r="J9401" s="12" t="e">
        <f t="shared" si="1445"/>
        <v>#N/A</v>
      </c>
      <c r="K9401" s="17" t="e">
        <f t="shared" si="1449"/>
        <v>#N/A</v>
      </c>
      <c r="L9401" s="16">
        <f>base!X9401</f>
        <v>0</v>
      </c>
      <c r="M9401" s="11" t="e">
        <f t="shared" si="1446"/>
        <v>#DIV/0!</v>
      </c>
      <c r="N9401" s="11"/>
      <c r="O9401" s="11" t="e">
        <f t="shared" si="1447"/>
        <v>#DIV/0!</v>
      </c>
      <c r="P9401" s="12">
        <f t="shared" si="1448"/>
        <v>0</v>
      </c>
      <c r="Q9401" s="17" t="str">
        <f t="shared" si="1450"/>
        <v>Pas d'écart</v>
      </c>
    </row>
    <row r="9402" spans="1:17" x14ac:dyDescent="0.3">
      <c r="A9402" s="34">
        <f>base!J9402</f>
        <v>0</v>
      </c>
      <c r="B9402" s="34">
        <f>base!V9402</f>
        <v>0</v>
      </c>
      <c r="C9402" s="40" t="s">
        <v>11</v>
      </c>
      <c r="D9402" s="36">
        <f>base!H9402</f>
        <v>0</v>
      </c>
      <c r="E9402" s="44"/>
      <c r="F9402" s="16">
        <f>base!W9402</f>
        <v>0</v>
      </c>
      <c r="G9402" s="11" t="e">
        <f t="shared" si="1442"/>
        <v>#DIV/0!</v>
      </c>
      <c r="H9402" s="11" t="e">
        <f t="shared" si="1443"/>
        <v>#N/A</v>
      </c>
      <c r="I9402" s="11" t="e">
        <f t="shared" si="1444"/>
        <v>#N/A</v>
      </c>
      <c r="J9402" s="12" t="e">
        <f t="shared" si="1445"/>
        <v>#N/A</v>
      </c>
      <c r="K9402" s="17" t="e">
        <f t="shared" si="1449"/>
        <v>#N/A</v>
      </c>
      <c r="L9402" s="16">
        <f>base!X9402</f>
        <v>0</v>
      </c>
      <c r="M9402" s="11" t="e">
        <f t="shared" si="1446"/>
        <v>#DIV/0!</v>
      </c>
      <c r="N9402" s="11"/>
      <c r="O9402" s="11" t="e">
        <f t="shared" si="1447"/>
        <v>#DIV/0!</v>
      </c>
      <c r="P9402" s="12">
        <f t="shared" si="1448"/>
        <v>0</v>
      </c>
      <c r="Q9402" s="17" t="str">
        <f t="shared" si="1450"/>
        <v>Pas d'écart</v>
      </c>
    </row>
    <row r="9403" spans="1:17" x14ac:dyDescent="0.3">
      <c r="A9403" s="34">
        <f>base!J9403</f>
        <v>0</v>
      </c>
      <c r="B9403" s="34">
        <f>base!V9403</f>
        <v>0</v>
      </c>
      <c r="C9403" s="40" t="s">
        <v>11</v>
      </c>
      <c r="D9403" s="36">
        <f>base!H9403</f>
        <v>0</v>
      </c>
      <c r="E9403" s="44"/>
      <c r="F9403" s="16">
        <f>base!W9403</f>
        <v>0</v>
      </c>
      <c r="G9403" s="11" t="e">
        <f t="shared" si="1442"/>
        <v>#DIV/0!</v>
      </c>
      <c r="H9403" s="11" t="e">
        <f t="shared" si="1443"/>
        <v>#N/A</v>
      </c>
      <c r="I9403" s="11" t="e">
        <f t="shared" si="1444"/>
        <v>#N/A</v>
      </c>
      <c r="J9403" s="12" t="e">
        <f t="shared" si="1445"/>
        <v>#N/A</v>
      </c>
      <c r="K9403" s="17" t="e">
        <f t="shared" si="1449"/>
        <v>#N/A</v>
      </c>
      <c r="L9403" s="16">
        <f>base!X9403</f>
        <v>0</v>
      </c>
      <c r="M9403" s="11" t="e">
        <f t="shared" si="1446"/>
        <v>#DIV/0!</v>
      </c>
      <c r="N9403" s="11"/>
      <c r="O9403" s="11" t="e">
        <f t="shared" si="1447"/>
        <v>#DIV/0!</v>
      </c>
      <c r="P9403" s="12">
        <f t="shared" si="1448"/>
        <v>0</v>
      </c>
      <c r="Q9403" s="17" t="str">
        <f t="shared" si="1450"/>
        <v>Pas d'écart</v>
      </c>
    </row>
    <row r="9404" spans="1:17" x14ac:dyDescent="0.3">
      <c r="A9404" s="34">
        <f>base!J9404</f>
        <v>0</v>
      </c>
      <c r="B9404" s="34">
        <f>base!V9404</f>
        <v>0</v>
      </c>
      <c r="C9404" s="40" t="s">
        <v>11</v>
      </c>
      <c r="D9404" s="36">
        <f>base!H9404</f>
        <v>0</v>
      </c>
      <c r="E9404" s="44"/>
      <c r="F9404" s="16">
        <f>base!W9404</f>
        <v>0</v>
      </c>
      <c r="G9404" s="11" t="e">
        <f t="shared" si="1442"/>
        <v>#DIV/0!</v>
      </c>
      <c r="H9404" s="11" t="e">
        <f t="shared" si="1443"/>
        <v>#N/A</v>
      </c>
      <c r="I9404" s="11" t="e">
        <f t="shared" si="1444"/>
        <v>#N/A</v>
      </c>
      <c r="J9404" s="12" t="e">
        <f t="shared" si="1445"/>
        <v>#N/A</v>
      </c>
      <c r="K9404" s="17" t="e">
        <f t="shared" si="1449"/>
        <v>#N/A</v>
      </c>
      <c r="L9404" s="16">
        <f>base!X9404</f>
        <v>0</v>
      </c>
      <c r="M9404" s="11" t="e">
        <f t="shared" si="1446"/>
        <v>#DIV/0!</v>
      </c>
      <c r="N9404" s="11"/>
      <c r="O9404" s="11" t="e">
        <f t="shared" si="1447"/>
        <v>#DIV/0!</v>
      </c>
      <c r="P9404" s="12">
        <f t="shared" si="1448"/>
        <v>0</v>
      </c>
      <c r="Q9404" s="17" t="str">
        <f t="shared" si="1450"/>
        <v>Pas d'écart</v>
      </c>
    </row>
    <row r="9405" spans="1:17" x14ac:dyDescent="0.3">
      <c r="A9405" s="34">
        <f>base!J9405</f>
        <v>0</v>
      </c>
      <c r="B9405" s="34">
        <f>base!V9405</f>
        <v>0</v>
      </c>
      <c r="C9405" s="40" t="s">
        <v>11</v>
      </c>
      <c r="D9405" s="36">
        <f>base!H9405</f>
        <v>0</v>
      </c>
      <c r="E9405" s="44"/>
      <c r="F9405" s="16">
        <f>base!W9405</f>
        <v>0</v>
      </c>
      <c r="G9405" s="11" t="e">
        <f t="shared" si="1442"/>
        <v>#DIV/0!</v>
      </c>
      <c r="H9405" s="11" t="e">
        <f t="shared" si="1443"/>
        <v>#N/A</v>
      </c>
      <c r="I9405" s="11" t="e">
        <f t="shared" si="1444"/>
        <v>#N/A</v>
      </c>
      <c r="J9405" s="12" t="e">
        <f t="shared" si="1445"/>
        <v>#N/A</v>
      </c>
      <c r="K9405" s="17" t="e">
        <f t="shared" si="1449"/>
        <v>#N/A</v>
      </c>
      <c r="L9405" s="16">
        <f>base!X9405</f>
        <v>0</v>
      </c>
      <c r="M9405" s="11" t="e">
        <f t="shared" si="1446"/>
        <v>#DIV/0!</v>
      </c>
      <c r="N9405" s="11"/>
      <c r="O9405" s="11" t="e">
        <f t="shared" si="1447"/>
        <v>#DIV/0!</v>
      </c>
      <c r="P9405" s="12">
        <f t="shared" si="1448"/>
        <v>0</v>
      </c>
      <c r="Q9405" s="17" t="str">
        <f t="shared" si="1450"/>
        <v>Pas d'écart</v>
      </c>
    </row>
    <row r="9406" spans="1:17" x14ac:dyDescent="0.3">
      <c r="A9406" s="34">
        <f>base!J9406</f>
        <v>0</v>
      </c>
      <c r="B9406" s="34">
        <f>base!V9406</f>
        <v>0</v>
      </c>
      <c r="C9406" s="40" t="s">
        <v>11</v>
      </c>
      <c r="D9406" s="36">
        <f>base!H9406</f>
        <v>0</v>
      </c>
      <c r="E9406" s="44"/>
      <c r="F9406" s="16">
        <f>base!W9406</f>
        <v>0</v>
      </c>
      <c r="G9406" s="11" t="e">
        <f t="shared" si="1442"/>
        <v>#DIV/0!</v>
      </c>
      <c r="H9406" s="11" t="e">
        <f t="shared" si="1443"/>
        <v>#N/A</v>
      </c>
      <c r="I9406" s="11" t="e">
        <f t="shared" si="1444"/>
        <v>#N/A</v>
      </c>
      <c r="J9406" s="12" t="e">
        <f t="shared" si="1445"/>
        <v>#N/A</v>
      </c>
      <c r="K9406" s="17" t="e">
        <f t="shared" si="1449"/>
        <v>#N/A</v>
      </c>
      <c r="L9406" s="16">
        <f>base!X9406</f>
        <v>0</v>
      </c>
      <c r="M9406" s="11" t="e">
        <f t="shared" si="1446"/>
        <v>#DIV/0!</v>
      </c>
      <c r="N9406" s="11"/>
      <c r="O9406" s="11" t="e">
        <f t="shared" si="1447"/>
        <v>#DIV/0!</v>
      </c>
      <c r="P9406" s="12">
        <f t="shared" si="1448"/>
        <v>0</v>
      </c>
      <c r="Q9406" s="17" t="str">
        <f t="shared" si="1450"/>
        <v>Pas d'écart</v>
      </c>
    </row>
    <row r="9407" spans="1:17" x14ac:dyDescent="0.3">
      <c r="A9407" s="34">
        <f>base!J9407</f>
        <v>0</v>
      </c>
      <c r="B9407" s="34">
        <f>base!V9407</f>
        <v>0</v>
      </c>
      <c r="C9407" s="40" t="s">
        <v>11</v>
      </c>
      <c r="D9407" s="36">
        <f>base!H9407</f>
        <v>0</v>
      </c>
      <c r="E9407" s="44"/>
      <c r="F9407" s="16">
        <f>base!W9407</f>
        <v>0</v>
      </c>
      <c r="G9407" s="11" t="e">
        <f t="shared" si="1442"/>
        <v>#DIV/0!</v>
      </c>
      <c r="H9407" s="11" t="e">
        <f t="shared" si="1443"/>
        <v>#N/A</v>
      </c>
      <c r="I9407" s="11" t="e">
        <f t="shared" si="1444"/>
        <v>#N/A</v>
      </c>
      <c r="J9407" s="12" t="e">
        <f t="shared" si="1445"/>
        <v>#N/A</v>
      </c>
      <c r="K9407" s="17" t="e">
        <f t="shared" si="1449"/>
        <v>#N/A</v>
      </c>
      <c r="L9407" s="16">
        <f>base!X9407</f>
        <v>0</v>
      </c>
      <c r="M9407" s="11" t="e">
        <f t="shared" si="1446"/>
        <v>#DIV/0!</v>
      </c>
      <c r="N9407" s="11"/>
      <c r="O9407" s="11" t="e">
        <f t="shared" si="1447"/>
        <v>#DIV/0!</v>
      </c>
      <c r="P9407" s="12">
        <f t="shared" si="1448"/>
        <v>0</v>
      </c>
      <c r="Q9407" s="17" t="str">
        <f t="shared" si="1450"/>
        <v>Pas d'écart</v>
      </c>
    </row>
    <row r="9408" spans="1:17" x14ac:dyDescent="0.3">
      <c r="A9408" s="34">
        <f>base!J9408</f>
        <v>0</v>
      </c>
      <c r="B9408" s="34">
        <f>base!V9408</f>
        <v>0</v>
      </c>
      <c r="C9408" s="40" t="s">
        <v>11</v>
      </c>
      <c r="D9408" s="36">
        <f>base!H9408</f>
        <v>0</v>
      </c>
      <c r="E9408" s="44"/>
      <c r="F9408" s="16">
        <f>base!W9408</f>
        <v>0</v>
      </c>
      <c r="G9408" s="11" t="e">
        <f t="shared" si="1442"/>
        <v>#DIV/0!</v>
      </c>
      <c r="H9408" s="11" t="e">
        <f t="shared" si="1443"/>
        <v>#N/A</v>
      </c>
      <c r="I9408" s="11" t="e">
        <f t="shared" si="1444"/>
        <v>#N/A</v>
      </c>
      <c r="J9408" s="12" t="e">
        <f t="shared" si="1445"/>
        <v>#N/A</v>
      </c>
      <c r="K9408" s="17" t="e">
        <f t="shared" si="1449"/>
        <v>#N/A</v>
      </c>
      <c r="L9408" s="16">
        <f>base!X9408</f>
        <v>0</v>
      </c>
      <c r="M9408" s="11" t="e">
        <f t="shared" si="1446"/>
        <v>#DIV/0!</v>
      </c>
      <c r="N9408" s="11"/>
      <c r="O9408" s="11" t="e">
        <f t="shared" si="1447"/>
        <v>#DIV/0!</v>
      </c>
      <c r="P9408" s="12">
        <f t="shared" si="1448"/>
        <v>0</v>
      </c>
      <c r="Q9408" s="17" t="str">
        <f t="shared" si="1450"/>
        <v>Pas d'écart</v>
      </c>
    </row>
    <row r="9409" spans="1:17" x14ac:dyDescent="0.3">
      <c r="A9409" s="34">
        <f>base!J9409</f>
        <v>0</v>
      </c>
      <c r="B9409" s="34">
        <f>base!V9409</f>
        <v>0</v>
      </c>
      <c r="C9409" s="40" t="s">
        <v>11</v>
      </c>
      <c r="D9409" s="36">
        <f>base!H9409</f>
        <v>0</v>
      </c>
      <c r="E9409" s="44"/>
      <c r="F9409" s="16">
        <f>base!W9409</f>
        <v>0</v>
      </c>
      <c r="G9409" s="11" t="e">
        <f t="shared" si="1442"/>
        <v>#DIV/0!</v>
      </c>
      <c r="H9409" s="11" t="e">
        <f t="shared" si="1443"/>
        <v>#N/A</v>
      </c>
      <c r="I9409" s="11" t="e">
        <f t="shared" si="1444"/>
        <v>#N/A</v>
      </c>
      <c r="J9409" s="12" t="e">
        <f t="shared" si="1445"/>
        <v>#N/A</v>
      </c>
      <c r="K9409" s="17" t="e">
        <f t="shared" si="1449"/>
        <v>#N/A</v>
      </c>
      <c r="L9409" s="16">
        <f>base!X9409</f>
        <v>0</v>
      </c>
      <c r="M9409" s="11" t="e">
        <f t="shared" si="1446"/>
        <v>#DIV/0!</v>
      </c>
      <c r="N9409" s="11"/>
      <c r="O9409" s="11" t="e">
        <f t="shared" si="1447"/>
        <v>#DIV/0!</v>
      </c>
      <c r="P9409" s="12">
        <f t="shared" si="1448"/>
        <v>0</v>
      </c>
      <c r="Q9409" s="17" t="str">
        <f t="shared" si="1450"/>
        <v>Pas d'écart</v>
      </c>
    </row>
    <row r="9410" spans="1:17" x14ac:dyDescent="0.3">
      <c r="A9410" s="34">
        <f>base!J9410</f>
        <v>0</v>
      </c>
      <c r="B9410" s="34">
        <f>base!V9410</f>
        <v>0</v>
      </c>
      <c r="C9410" s="40" t="s">
        <v>11</v>
      </c>
      <c r="D9410" s="36">
        <f>base!H9410</f>
        <v>0</v>
      </c>
      <c r="E9410" s="44"/>
      <c r="F9410" s="16">
        <f>base!W9410</f>
        <v>0</v>
      </c>
      <c r="G9410" s="11" t="e">
        <f t="shared" ref="G9410:G9473" si="1451">F9410/D9410</f>
        <v>#DIV/0!</v>
      </c>
      <c r="H9410" s="11" t="e">
        <f t="shared" ref="H9410:H9473" si="1452">VLOOKUP(C9410,tout_cout_traction,2,FALSE)*D9410</f>
        <v>#N/A</v>
      </c>
      <c r="I9410" s="11" t="e">
        <f t="shared" ref="I9410:I9473" si="1453">H9410/D9410</f>
        <v>#N/A</v>
      </c>
      <c r="J9410" s="12" t="e">
        <f t="shared" ref="J9410:J9473" si="1454">F9410-H9410</f>
        <v>#N/A</v>
      </c>
      <c r="K9410" s="17" t="e">
        <f t="shared" si="1449"/>
        <v>#N/A</v>
      </c>
      <c r="L9410" s="16">
        <f>base!X9410</f>
        <v>0</v>
      </c>
      <c r="M9410" s="11" t="e">
        <f t="shared" ref="M9410:M9473" si="1455">L9410/D9410</f>
        <v>#DIV/0!</v>
      </c>
      <c r="N9410" s="11"/>
      <c r="O9410" s="11" t="e">
        <f t="shared" ref="O9410:O9473" si="1456">N9410/D9410</f>
        <v>#DIV/0!</v>
      </c>
      <c r="P9410" s="12">
        <f t="shared" ref="P9410:P9473" si="1457">L9410-N9410</f>
        <v>0</v>
      </c>
      <c r="Q9410" s="17" t="str">
        <f t="shared" si="1450"/>
        <v>Pas d'écart</v>
      </c>
    </row>
    <row r="9411" spans="1:17" x14ac:dyDescent="0.3">
      <c r="A9411" s="34">
        <f>base!J9411</f>
        <v>0</v>
      </c>
      <c r="B9411" s="34">
        <f>base!V9411</f>
        <v>0</v>
      </c>
      <c r="C9411" s="40" t="s">
        <v>11</v>
      </c>
      <c r="D9411" s="36">
        <f>base!H9411</f>
        <v>0</v>
      </c>
      <c r="E9411" s="44"/>
      <c r="F9411" s="16">
        <f>base!W9411</f>
        <v>0</v>
      </c>
      <c r="G9411" s="11" t="e">
        <f t="shared" si="1451"/>
        <v>#DIV/0!</v>
      </c>
      <c r="H9411" s="11" t="e">
        <f t="shared" si="1452"/>
        <v>#N/A</v>
      </c>
      <c r="I9411" s="11" t="e">
        <f t="shared" si="1453"/>
        <v>#N/A</v>
      </c>
      <c r="J9411" s="12" t="e">
        <f t="shared" si="1454"/>
        <v>#N/A</v>
      </c>
      <c r="K9411" s="17" t="e">
        <f t="shared" ref="K9411:K9474" si="1458">IF(H9411=F9411,"Pas d'écart",IF(H9411&lt;F9411,"Ecart positif",IF(H9411&gt;F9411,"Ecart négatif")))</f>
        <v>#N/A</v>
      </c>
      <c r="L9411" s="16">
        <f>base!X9411</f>
        <v>0</v>
      </c>
      <c r="M9411" s="11" t="e">
        <f t="shared" si="1455"/>
        <v>#DIV/0!</v>
      </c>
      <c r="N9411" s="11"/>
      <c r="O9411" s="11" t="e">
        <f t="shared" si="1456"/>
        <v>#DIV/0!</v>
      </c>
      <c r="P9411" s="12">
        <f t="shared" si="1457"/>
        <v>0</v>
      </c>
      <c r="Q9411" s="17" t="str">
        <f t="shared" ref="Q9411:Q9474" si="1459">IF(N9411=L9411,"Pas d'écart",IF(N9411&lt;L9411,"Ecart positif",IF(N9411&gt;L9411,"Ecart négatif")))</f>
        <v>Pas d'écart</v>
      </c>
    </row>
    <row r="9412" spans="1:17" x14ac:dyDescent="0.3">
      <c r="A9412" s="34">
        <f>base!J9412</f>
        <v>0</v>
      </c>
      <c r="B9412" s="34">
        <f>base!V9412</f>
        <v>0</v>
      </c>
      <c r="C9412" s="40" t="s">
        <v>11</v>
      </c>
      <c r="D9412" s="36">
        <f>base!H9412</f>
        <v>0</v>
      </c>
      <c r="E9412" s="44"/>
      <c r="F9412" s="16">
        <f>base!W9412</f>
        <v>0</v>
      </c>
      <c r="G9412" s="11" t="e">
        <f t="shared" si="1451"/>
        <v>#DIV/0!</v>
      </c>
      <c r="H9412" s="11" t="e">
        <f t="shared" si="1452"/>
        <v>#N/A</v>
      </c>
      <c r="I9412" s="11" t="e">
        <f t="shared" si="1453"/>
        <v>#N/A</v>
      </c>
      <c r="J9412" s="12" t="e">
        <f t="shared" si="1454"/>
        <v>#N/A</v>
      </c>
      <c r="K9412" s="17" t="e">
        <f t="shared" si="1458"/>
        <v>#N/A</v>
      </c>
      <c r="L9412" s="16">
        <f>base!X9412</f>
        <v>0</v>
      </c>
      <c r="M9412" s="11" t="e">
        <f t="shared" si="1455"/>
        <v>#DIV/0!</v>
      </c>
      <c r="N9412" s="11"/>
      <c r="O9412" s="11" t="e">
        <f t="shared" si="1456"/>
        <v>#DIV/0!</v>
      </c>
      <c r="P9412" s="12">
        <f t="shared" si="1457"/>
        <v>0</v>
      </c>
      <c r="Q9412" s="17" t="str">
        <f t="shared" si="1459"/>
        <v>Pas d'écart</v>
      </c>
    </row>
    <row r="9413" spans="1:17" x14ac:dyDescent="0.3">
      <c r="A9413" s="34">
        <f>base!J9413</f>
        <v>0</v>
      </c>
      <c r="B9413" s="34">
        <f>base!V9413</f>
        <v>0</v>
      </c>
      <c r="C9413" s="40" t="s">
        <v>11</v>
      </c>
      <c r="D9413" s="36">
        <f>base!H9413</f>
        <v>0</v>
      </c>
      <c r="E9413" s="44"/>
      <c r="F9413" s="16">
        <f>base!W9413</f>
        <v>0</v>
      </c>
      <c r="G9413" s="11" t="e">
        <f t="shared" si="1451"/>
        <v>#DIV/0!</v>
      </c>
      <c r="H9413" s="11" t="e">
        <f t="shared" si="1452"/>
        <v>#N/A</v>
      </c>
      <c r="I9413" s="11" t="e">
        <f t="shared" si="1453"/>
        <v>#N/A</v>
      </c>
      <c r="J9413" s="12" t="e">
        <f t="shared" si="1454"/>
        <v>#N/A</v>
      </c>
      <c r="K9413" s="17" t="e">
        <f t="shared" si="1458"/>
        <v>#N/A</v>
      </c>
      <c r="L9413" s="16">
        <f>base!X9413</f>
        <v>0</v>
      </c>
      <c r="M9413" s="11" t="e">
        <f t="shared" si="1455"/>
        <v>#DIV/0!</v>
      </c>
      <c r="N9413" s="11"/>
      <c r="O9413" s="11" t="e">
        <f t="shared" si="1456"/>
        <v>#DIV/0!</v>
      </c>
      <c r="P9413" s="12">
        <f t="shared" si="1457"/>
        <v>0</v>
      </c>
      <c r="Q9413" s="17" t="str">
        <f t="shared" si="1459"/>
        <v>Pas d'écart</v>
      </c>
    </row>
    <row r="9414" spans="1:17" x14ac:dyDescent="0.3">
      <c r="A9414" s="34">
        <f>base!J9414</f>
        <v>0</v>
      </c>
      <c r="B9414" s="34">
        <f>base!V9414</f>
        <v>0</v>
      </c>
      <c r="C9414" s="40" t="s">
        <v>11</v>
      </c>
      <c r="D9414" s="36">
        <f>base!H9414</f>
        <v>0</v>
      </c>
      <c r="E9414" s="44"/>
      <c r="F9414" s="16">
        <f>base!W9414</f>
        <v>0</v>
      </c>
      <c r="G9414" s="11" t="e">
        <f t="shared" si="1451"/>
        <v>#DIV/0!</v>
      </c>
      <c r="H9414" s="11" t="e">
        <f t="shared" si="1452"/>
        <v>#N/A</v>
      </c>
      <c r="I9414" s="11" t="e">
        <f t="shared" si="1453"/>
        <v>#N/A</v>
      </c>
      <c r="J9414" s="12" t="e">
        <f t="shared" si="1454"/>
        <v>#N/A</v>
      </c>
      <c r="K9414" s="17" t="e">
        <f t="shared" si="1458"/>
        <v>#N/A</v>
      </c>
      <c r="L9414" s="16">
        <f>base!X9414</f>
        <v>0</v>
      </c>
      <c r="M9414" s="11" t="e">
        <f t="shared" si="1455"/>
        <v>#DIV/0!</v>
      </c>
      <c r="N9414" s="11"/>
      <c r="O9414" s="11" t="e">
        <f t="shared" si="1456"/>
        <v>#DIV/0!</v>
      </c>
      <c r="P9414" s="12">
        <f t="shared" si="1457"/>
        <v>0</v>
      </c>
      <c r="Q9414" s="17" t="str">
        <f t="shared" si="1459"/>
        <v>Pas d'écart</v>
      </c>
    </row>
    <row r="9415" spans="1:17" x14ac:dyDescent="0.3">
      <c r="A9415" s="34">
        <f>base!J9415</f>
        <v>0</v>
      </c>
      <c r="B9415" s="34">
        <f>base!V9415</f>
        <v>0</v>
      </c>
      <c r="C9415" s="40" t="s">
        <v>11</v>
      </c>
      <c r="D9415" s="36">
        <f>base!H9415</f>
        <v>0</v>
      </c>
      <c r="E9415" s="44"/>
      <c r="F9415" s="16">
        <f>base!W9415</f>
        <v>0</v>
      </c>
      <c r="G9415" s="11" t="e">
        <f t="shared" si="1451"/>
        <v>#DIV/0!</v>
      </c>
      <c r="H9415" s="11" t="e">
        <f t="shared" si="1452"/>
        <v>#N/A</v>
      </c>
      <c r="I9415" s="11" t="e">
        <f t="shared" si="1453"/>
        <v>#N/A</v>
      </c>
      <c r="J9415" s="12" t="e">
        <f t="shared" si="1454"/>
        <v>#N/A</v>
      </c>
      <c r="K9415" s="17" t="e">
        <f t="shared" si="1458"/>
        <v>#N/A</v>
      </c>
      <c r="L9415" s="16">
        <f>base!X9415</f>
        <v>0</v>
      </c>
      <c r="M9415" s="11" t="e">
        <f t="shared" si="1455"/>
        <v>#DIV/0!</v>
      </c>
      <c r="N9415" s="11"/>
      <c r="O9415" s="11" t="e">
        <f t="shared" si="1456"/>
        <v>#DIV/0!</v>
      </c>
      <c r="P9415" s="12">
        <f t="shared" si="1457"/>
        <v>0</v>
      </c>
      <c r="Q9415" s="17" t="str">
        <f t="shared" si="1459"/>
        <v>Pas d'écart</v>
      </c>
    </row>
    <row r="9416" spans="1:17" x14ac:dyDescent="0.3">
      <c r="A9416" s="34">
        <f>base!J9416</f>
        <v>0</v>
      </c>
      <c r="B9416" s="34">
        <f>base!V9416</f>
        <v>0</v>
      </c>
      <c r="C9416" s="40" t="s">
        <v>11</v>
      </c>
      <c r="D9416" s="36">
        <f>base!H9416</f>
        <v>0</v>
      </c>
      <c r="E9416" s="44"/>
      <c r="F9416" s="16">
        <f>base!W9416</f>
        <v>0</v>
      </c>
      <c r="G9416" s="11" t="e">
        <f t="shared" si="1451"/>
        <v>#DIV/0!</v>
      </c>
      <c r="H9416" s="11" t="e">
        <f t="shared" si="1452"/>
        <v>#N/A</v>
      </c>
      <c r="I9416" s="11" t="e">
        <f t="shared" si="1453"/>
        <v>#N/A</v>
      </c>
      <c r="J9416" s="12" t="e">
        <f t="shared" si="1454"/>
        <v>#N/A</v>
      </c>
      <c r="K9416" s="17" t="e">
        <f t="shared" si="1458"/>
        <v>#N/A</v>
      </c>
      <c r="L9416" s="16">
        <f>base!X9416</f>
        <v>0</v>
      </c>
      <c r="M9416" s="11" t="e">
        <f t="shared" si="1455"/>
        <v>#DIV/0!</v>
      </c>
      <c r="N9416" s="11"/>
      <c r="O9416" s="11" t="e">
        <f t="shared" si="1456"/>
        <v>#DIV/0!</v>
      </c>
      <c r="P9416" s="12">
        <f t="shared" si="1457"/>
        <v>0</v>
      </c>
      <c r="Q9416" s="17" t="str">
        <f t="shared" si="1459"/>
        <v>Pas d'écart</v>
      </c>
    </row>
    <row r="9417" spans="1:17" x14ac:dyDescent="0.3">
      <c r="A9417" s="34">
        <f>base!J9417</f>
        <v>0</v>
      </c>
      <c r="B9417" s="34">
        <f>base!V9417</f>
        <v>0</v>
      </c>
      <c r="C9417" s="40" t="s">
        <v>11</v>
      </c>
      <c r="D9417" s="36">
        <f>base!H9417</f>
        <v>0</v>
      </c>
      <c r="E9417" s="44"/>
      <c r="F9417" s="16">
        <f>base!W9417</f>
        <v>0</v>
      </c>
      <c r="G9417" s="11" t="e">
        <f t="shared" si="1451"/>
        <v>#DIV/0!</v>
      </c>
      <c r="H9417" s="11" t="e">
        <f t="shared" si="1452"/>
        <v>#N/A</v>
      </c>
      <c r="I9417" s="11" t="e">
        <f t="shared" si="1453"/>
        <v>#N/A</v>
      </c>
      <c r="J9417" s="12" t="e">
        <f t="shared" si="1454"/>
        <v>#N/A</v>
      </c>
      <c r="K9417" s="17" t="e">
        <f t="shared" si="1458"/>
        <v>#N/A</v>
      </c>
      <c r="L9417" s="16">
        <f>base!X9417</f>
        <v>0</v>
      </c>
      <c r="M9417" s="11" t="e">
        <f t="shared" si="1455"/>
        <v>#DIV/0!</v>
      </c>
      <c r="N9417" s="11"/>
      <c r="O9417" s="11" t="e">
        <f t="shared" si="1456"/>
        <v>#DIV/0!</v>
      </c>
      <c r="P9417" s="12">
        <f t="shared" si="1457"/>
        <v>0</v>
      </c>
      <c r="Q9417" s="17" t="str">
        <f t="shared" si="1459"/>
        <v>Pas d'écart</v>
      </c>
    </row>
    <row r="9418" spans="1:17" x14ac:dyDescent="0.3">
      <c r="A9418" s="34">
        <f>base!J9418</f>
        <v>0</v>
      </c>
      <c r="B9418" s="34">
        <f>base!V9418</f>
        <v>0</v>
      </c>
      <c r="C9418" s="40" t="s">
        <v>11</v>
      </c>
      <c r="D9418" s="36">
        <f>base!H9418</f>
        <v>0</v>
      </c>
      <c r="E9418" s="44"/>
      <c r="F9418" s="16">
        <f>base!W9418</f>
        <v>0</v>
      </c>
      <c r="G9418" s="11" t="e">
        <f t="shared" si="1451"/>
        <v>#DIV/0!</v>
      </c>
      <c r="H9418" s="11" t="e">
        <f t="shared" si="1452"/>
        <v>#N/A</v>
      </c>
      <c r="I9418" s="11" t="e">
        <f t="shared" si="1453"/>
        <v>#N/A</v>
      </c>
      <c r="J9418" s="12" t="e">
        <f t="shared" si="1454"/>
        <v>#N/A</v>
      </c>
      <c r="K9418" s="17" t="e">
        <f t="shared" si="1458"/>
        <v>#N/A</v>
      </c>
      <c r="L9418" s="16">
        <f>base!X9418</f>
        <v>0</v>
      </c>
      <c r="M9418" s="11" t="e">
        <f t="shared" si="1455"/>
        <v>#DIV/0!</v>
      </c>
      <c r="N9418" s="11"/>
      <c r="O9418" s="11" t="e">
        <f t="shared" si="1456"/>
        <v>#DIV/0!</v>
      </c>
      <c r="P9418" s="12">
        <f t="shared" si="1457"/>
        <v>0</v>
      </c>
      <c r="Q9418" s="17" t="str">
        <f t="shared" si="1459"/>
        <v>Pas d'écart</v>
      </c>
    </row>
    <row r="9419" spans="1:17" x14ac:dyDescent="0.3">
      <c r="A9419" s="34">
        <f>base!J9419</f>
        <v>0</v>
      </c>
      <c r="B9419" s="34">
        <f>base!V9419</f>
        <v>0</v>
      </c>
      <c r="C9419" s="40" t="s">
        <v>11</v>
      </c>
      <c r="D9419" s="36">
        <f>base!H9419</f>
        <v>0</v>
      </c>
      <c r="E9419" s="44"/>
      <c r="F9419" s="16">
        <f>base!W9419</f>
        <v>0</v>
      </c>
      <c r="G9419" s="11" t="e">
        <f t="shared" si="1451"/>
        <v>#DIV/0!</v>
      </c>
      <c r="H9419" s="11" t="e">
        <f t="shared" si="1452"/>
        <v>#N/A</v>
      </c>
      <c r="I9419" s="11" t="e">
        <f t="shared" si="1453"/>
        <v>#N/A</v>
      </c>
      <c r="J9419" s="12" t="e">
        <f t="shared" si="1454"/>
        <v>#N/A</v>
      </c>
      <c r="K9419" s="17" t="e">
        <f t="shared" si="1458"/>
        <v>#N/A</v>
      </c>
      <c r="L9419" s="16">
        <f>base!X9419</f>
        <v>0</v>
      </c>
      <c r="M9419" s="11" t="e">
        <f t="shared" si="1455"/>
        <v>#DIV/0!</v>
      </c>
      <c r="N9419" s="11"/>
      <c r="O9419" s="11" t="e">
        <f t="shared" si="1456"/>
        <v>#DIV/0!</v>
      </c>
      <c r="P9419" s="12">
        <f t="shared" si="1457"/>
        <v>0</v>
      </c>
      <c r="Q9419" s="17" t="str">
        <f t="shared" si="1459"/>
        <v>Pas d'écart</v>
      </c>
    </row>
    <row r="9420" spans="1:17" x14ac:dyDescent="0.3">
      <c r="A9420" s="34">
        <f>base!J9420</f>
        <v>0</v>
      </c>
      <c r="B9420" s="34">
        <f>base!V9420</f>
        <v>0</v>
      </c>
      <c r="C9420" s="40" t="s">
        <v>11</v>
      </c>
      <c r="D9420" s="36">
        <f>base!H9420</f>
        <v>0</v>
      </c>
      <c r="E9420" s="44"/>
      <c r="F9420" s="16">
        <f>base!W9420</f>
        <v>0</v>
      </c>
      <c r="G9420" s="11" t="e">
        <f t="shared" si="1451"/>
        <v>#DIV/0!</v>
      </c>
      <c r="H9420" s="11" t="e">
        <f t="shared" si="1452"/>
        <v>#N/A</v>
      </c>
      <c r="I9420" s="11" t="e">
        <f t="shared" si="1453"/>
        <v>#N/A</v>
      </c>
      <c r="J9420" s="12" t="e">
        <f t="shared" si="1454"/>
        <v>#N/A</v>
      </c>
      <c r="K9420" s="17" t="e">
        <f t="shared" si="1458"/>
        <v>#N/A</v>
      </c>
      <c r="L9420" s="16">
        <f>base!X9420</f>
        <v>0</v>
      </c>
      <c r="M9420" s="11" t="e">
        <f t="shared" si="1455"/>
        <v>#DIV/0!</v>
      </c>
      <c r="N9420" s="11"/>
      <c r="O9420" s="11" t="e">
        <f t="shared" si="1456"/>
        <v>#DIV/0!</v>
      </c>
      <c r="P9420" s="12">
        <f t="shared" si="1457"/>
        <v>0</v>
      </c>
      <c r="Q9420" s="17" t="str">
        <f t="shared" si="1459"/>
        <v>Pas d'écart</v>
      </c>
    </row>
    <row r="9421" spans="1:17" x14ac:dyDescent="0.3">
      <c r="A9421" s="34">
        <f>base!J9421</f>
        <v>0</v>
      </c>
      <c r="B9421" s="34">
        <f>base!V9421</f>
        <v>0</v>
      </c>
      <c r="C9421" s="40" t="s">
        <v>11</v>
      </c>
      <c r="D9421" s="36">
        <f>base!H9421</f>
        <v>0</v>
      </c>
      <c r="E9421" s="44"/>
      <c r="F9421" s="16">
        <f>base!W9421</f>
        <v>0</v>
      </c>
      <c r="G9421" s="11" t="e">
        <f t="shared" si="1451"/>
        <v>#DIV/0!</v>
      </c>
      <c r="H9421" s="11" t="e">
        <f t="shared" si="1452"/>
        <v>#N/A</v>
      </c>
      <c r="I9421" s="11" t="e">
        <f t="shared" si="1453"/>
        <v>#N/A</v>
      </c>
      <c r="J9421" s="12" t="e">
        <f t="shared" si="1454"/>
        <v>#N/A</v>
      </c>
      <c r="K9421" s="17" t="e">
        <f t="shared" si="1458"/>
        <v>#N/A</v>
      </c>
      <c r="L9421" s="16">
        <f>base!X9421</f>
        <v>0</v>
      </c>
      <c r="M9421" s="11" t="e">
        <f t="shared" si="1455"/>
        <v>#DIV/0!</v>
      </c>
      <c r="N9421" s="11"/>
      <c r="O9421" s="11" t="e">
        <f t="shared" si="1456"/>
        <v>#DIV/0!</v>
      </c>
      <c r="P9421" s="12">
        <f t="shared" si="1457"/>
        <v>0</v>
      </c>
      <c r="Q9421" s="17" t="str">
        <f t="shared" si="1459"/>
        <v>Pas d'écart</v>
      </c>
    </row>
    <row r="9422" spans="1:17" x14ac:dyDescent="0.3">
      <c r="A9422" s="34">
        <f>base!J9422</f>
        <v>0</v>
      </c>
      <c r="B9422" s="34">
        <f>base!V9422</f>
        <v>0</v>
      </c>
      <c r="C9422" s="40" t="s">
        <v>11</v>
      </c>
      <c r="D9422" s="36">
        <f>base!H9422</f>
        <v>0</v>
      </c>
      <c r="E9422" s="44"/>
      <c r="F9422" s="16">
        <f>base!W9422</f>
        <v>0</v>
      </c>
      <c r="G9422" s="11" t="e">
        <f t="shared" si="1451"/>
        <v>#DIV/0!</v>
      </c>
      <c r="H9422" s="11" t="e">
        <f t="shared" si="1452"/>
        <v>#N/A</v>
      </c>
      <c r="I9422" s="11" t="e">
        <f t="shared" si="1453"/>
        <v>#N/A</v>
      </c>
      <c r="J9422" s="12" t="e">
        <f t="shared" si="1454"/>
        <v>#N/A</v>
      </c>
      <c r="K9422" s="17" t="e">
        <f t="shared" si="1458"/>
        <v>#N/A</v>
      </c>
      <c r="L9422" s="16">
        <f>base!X9422</f>
        <v>0</v>
      </c>
      <c r="M9422" s="11" t="e">
        <f t="shared" si="1455"/>
        <v>#DIV/0!</v>
      </c>
      <c r="N9422" s="11"/>
      <c r="O9422" s="11" t="e">
        <f t="shared" si="1456"/>
        <v>#DIV/0!</v>
      </c>
      <c r="P9422" s="12">
        <f t="shared" si="1457"/>
        <v>0</v>
      </c>
      <c r="Q9422" s="17" t="str">
        <f t="shared" si="1459"/>
        <v>Pas d'écart</v>
      </c>
    </row>
    <row r="9423" spans="1:17" x14ac:dyDescent="0.3">
      <c r="A9423" s="34">
        <f>base!J9423</f>
        <v>0</v>
      </c>
      <c r="B9423" s="34">
        <f>base!V9423</f>
        <v>0</v>
      </c>
      <c r="C9423" s="40" t="s">
        <v>11</v>
      </c>
      <c r="D9423" s="36">
        <f>base!H9423</f>
        <v>0</v>
      </c>
      <c r="E9423" s="44"/>
      <c r="F9423" s="16">
        <f>base!W9423</f>
        <v>0</v>
      </c>
      <c r="G9423" s="11" t="e">
        <f t="shared" si="1451"/>
        <v>#DIV/0!</v>
      </c>
      <c r="H9423" s="11" t="e">
        <f t="shared" si="1452"/>
        <v>#N/A</v>
      </c>
      <c r="I9423" s="11" t="e">
        <f t="shared" si="1453"/>
        <v>#N/A</v>
      </c>
      <c r="J9423" s="12" t="e">
        <f t="shared" si="1454"/>
        <v>#N/A</v>
      </c>
      <c r="K9423" s="17" t="e">
        <f t="shared" si="1458"/>
        <v>#N/A</v>
      </c>
      <c r="L9423" s="16">
        <f>base!X9423</f>
        <v>0</v>
      </c>
      <c r="M9423" s="11" t="e">
        <f t="shared" si="1455"/>
        <v>#DIV/0!</v>
      </c>
      <c r="N9423" s="11"/>
      <c r="O9423" s="11" t="e">
        <f t="shared" si="1456"/>
        <v>#DIV/0!</v>
      </c>
      <c r="P9423" s="12">
        <f t="shared" si="1457"/>
        <v>0</v>
      </c>
      <c r="Q9423" s="17" t="str">
        <f t="shared" si="1459"/>
        <v>Pas d'écart</v>
      </c>
    </row>
    <row r="9424" spans="1:17" x14ac:dyDescent="0.3">
      <c r="A9424" s="34">
        <f>base!J9424</f>
        <v>0</v>
      </c>
      <c r="B9424" s="34">
        <f>base!V9424</f>
        <v>0</v>
      </c>
      <c r="C9424" s="40" t="s">
        <v>11</v>
      </c>
      <c r="D9424" s="36">
        <f>base!H9424</f>
        <v>0</v>
      </c>
      <c r="E9424" s="44"/>
      <c r="F9424" s="16">
        <f>base!W9424</f>
        <v>0</v>
      </c>
      <c r="G9424" s="11" t="e">
        <f t="shared" si="1451"/>
        <v>#DIV/0!</v>
      </c>
      <c r="H9424" s="11" t="e">
        <f t="shared" si="1452"/>
        <v>#N/A</v>
      </c>
      <c r="I9424" s="11" t="e">
        <f t="shared" si="1453"/>
        <v>#N/A</v>
      </c>
      <c r="J9424" s="12" t="e">
        <f t="shared" si="1454"/>
        <v>#N/A</v>
      </c>
      <c r="K9424" s="17" t="e">
        <f t="shared" si="1458"/>
        <v>#N/A</v>
      </c>
      <c r="L9424" s="16">
        <f>base!X9424</f>
        <v>0</v>
      </c>
      <c r="M9424" s="11" t="e">
        <f t="shared" si="1455"/>
        <v>#DIV/0!</v>
      </c>
      <c r="N9424" s="11"/>
      <c r="O9424" s="11" t="e">
        <f t="shared" si="1456"/>
        <v>#DIV/0!</v>
      </c>
      <c r="P9424" s="12">
        <f t="shared" si="1457"/>
        <v>0</v>
      </c>
      <c r="Q9424" s="17" t="str">
        <f t="shared" si="1459"/>
        <v>Pas d'écart</v>
      </c>
    </row>
    <row r="9425" spans="1:17" x14ac:dyDescent="0.3">
      <c r="A9425" s="34">
        <f>base!J9425</f>
        <v>0</v>
      </c>
      <c r="B9425" s="34">
        <f>base!V9425</f>
        <v>0</v>
      </c>
      <c r="C9425" s="40" t="s">
        <v>11</v>
      </c>
      <c r="D9425" s="36">
        <f>base!H9425</f>
        <v>0</v>
      </c>
      <c r="E9425" s="44"/>
      <c r="F9425" s="16">
        <f>base!W9425</f>
        <v>0</v>
      </c>
      <c r="G9425" s="11" t="e">
        <f t="shared" si="1451"/>
        <v>#DIV/0!</v>
      </c>
      <c r="H9425" s="11" t="e">
        <f t="shared" si="1452"/>
        <v>#N/A</v>
      </c>
      <c r="I9425" s="11" t="e">
        <f t="shared" si="1453"/>
        <v>#N/A</v>
      </c>
      <c r="J9425" s="12" t="e">
        <f t="shared" si="1454"/>
        <v>#N/A</v>
      </c>
      <c r="K9425" s="17" t="e">
        <f t="shared" si="1458"/>
        <v>#N/A</v>
      </c>
      <c r="L9425" s="16">
        <f>base!X9425</f>
        <v>0</v>
      </c>
      <c r="M9425" s="11" t="e">
        <f t="shared" si="1455"/>
        <v>#DIV/0!</v>
      </c>
      <c r="N9425" s="11"/>
      <c r="O9425" s="11" t="e">
        <f t="shared" si="1456"/>
        <v>#DIV/0!</v>
      </c>
      <c r="P9425" s="12">
        <f t="shared" si="1457"/>
        <v>0</v>
      </c>
      <c r="Q9425" s="17" t="str">
        <f t="shared" si="1459"/>
        <v>Pas d'écart</v>
      </c>
    </row>
    <row r="9426" spans="1:17" x14ac:dyDescent="0.3">
      <c r="A9426" s="34">
        <f>base!J9426</f>
        <v>0</v>
      </c>
      <c r="B9426" s="34">
        <f>base!V9426</f>
        <v>0</v>
      </c>
      <c r="C9426" s="40" t="s">
        <v>11</v>
      </c>
      <c r="D9426" s="36">
        <f>base!H9426</f>
        <v>0</v>
      </c>
      <c r="E9426" s="44"/>
      <c r="F9426" s="16">
        <f>base!W9426</f>
        <v>0</v>
      </c>
      <c r="G9426" s="11" t="e">
        <f t="shared" si="1451"/>
        <v>#DIV/0!</v>
      </c>
      <c r="H9426" s="11" t="e">
        <f t="shared" si="1452"/>
        <v>#N/A</v>
      </c>
      <c r="I9426" s="11" t="e">
        <f t="shared" si="1453"/>
        <v>#N/A</v>
      </c>
      <c r="J9426" s="12" t="e">
        <f t="shared" si="1454"/>
        <v>#N/A</v>
      </c>
      <c r="K9426" s="17" t="e">
        <f t="shared" si="1458"/>
        <v>#N/A</v>
      </c>
      <c r="L9426" s="16">
        <f>base!X9426</f>
        <v>0</v>
      </c>
      <c r="M9426" s="11" t="e">
        <f t="shared" si="1455"/>
        <v>#DIV/0!</v>
      </c>
      <c r="N9426" s="11"/>
      <c r="O9426" s="11" t="e">
        <f t="shared" si="1456"/>
        <v>#DIV/0!</v>
      </c>
      <c r="P9426" s="12">
        <f t="shared" si="1457"/>
        <v>0</v>
      </c>
      <c r="Q9426" s="17" t="str">
        <f t="shared" si="1459"/>
        <v>Pas d'écart</v>
      </c>
    </row>
    <row r="9427" spans="1:17" x14ac:dyDescent="0.3">
      <c r="A9427" s="34">
        <f>base!J9427</f>
        <v>0</v>
      </c>
      <c r="B9427" s="34">
        <f>base!V9427</f>
        <v>0</v>
      </c>
      <c r="C9427" s="40" t="s">
        <v>11</v>
      </c>
      <c r="D9427" s="36">
        <f>base!H9427</f>
        <v>0</v>
      </c>
      <c r="E9427" s="44"/>
      <c r="F9427" s="16">
        <f>base!W9427</f>
        <v>0</v>
      </c>
      <c r="G9427" s="11" t="e">
        <f t="shared" si="1451"/>
        <v>#DIV/0!</v>
      </c>
      <c r="H9427" s="11" t="e">
        <f t="shared" si="1452"/>
        <v>#N/A</v>
      </c>
      <c r="I9427" s="11" t="e">
        <f t="shared" si="1453"/>
        <v>#N/A</v>
      </c>
      <c r="J9427" s="12" t="e">
        <f t="shared" si="1454"/>
        <v>#N/A</v>
      </c>
      <c r="K9427" s="17" t="e">
        <f t="shared" si="1458"/>
        <v>#N/A</v>
      </c>
      <c r="L9427" s="16">
        <f>base!X9427</f>
        <v>0</v>
      </c>
      <c r="M9427" s="11" t="e">
        <f t="shared" si="1455"/>
        <v>#DIV/0!</v>
      </c>
      <c r="N9427" s="11"/>
      <c r="O9427" s="11" t="e">
        <f t="shared" si="1456"/>
        <v>#DIV/0!</v>
      </c>
      <c r="P9427" s="12">
        <f t="shared" si="1457"/>
        <v>0</v>
      </c>
      <c r="Q9427" s="17" t="str">
        <f t="shared" si="1459"/>
        <v>Pas d'écart</v>
      </c>
    </row>
    <row r="9428" spans="1:17" x14ac:dyDescent="0.3">
      <c r="A9428" s="34">
        <f>base!J9428</f>
        <v>0</v>
      </c>
      <c r="B9428" s="34">
        <f>base!V9428</f>
        <v>0</v>
      </c>
      <c r="C9428" s="40" t="s">
        <v>11</v>
      </c>
      <c r="D9428" s="36">
        <f>base!H9428</f>
        <v>0</v>
      </c>
      <c r="E9428" s="44"/>
      <c r="F9428" s="16">
        <f>base!W9428</f>
        <v>0</v>
      </c>
      <c r="G9428" s="11" t="e">
        <f t="shared" si="1451"/>
        <v>#DIV/0!</v>
      </c>
      <c r="H9428" s="11" t="e">
        <f t="shared" si="1452"/>
        <v>#N/A</v>
      </c>
      <c r="I9428" s="11" t="e">
        <f t="shared" si="1453"/>
        <v>#N/A</v>
      </c>
      <c r="J9428" s="12" t="e">
        <f t="shared" si="1454"/>
        <v>#N/A</v>
      </c>
      <c r="K9428" s="17" t="e">
        <f t="shared" si="1458"/>
        <v>#N/A</v>
      </c>
      <c r="L9428" s="16">
        <f>base!X9428</f>
        <v>0</v>
      </c>
      <c r="M9428" s="11" t="e">
        <f t="shared" si="1455"/>
        <v>#DIV/0!</v>
      </c>
      <c r="N9428" s="11"/>
      <c r="O9428" s="11" t="e">
        <f t="shared" si="1456"/>
        <v>#DIV/0!</v>
      </c>
      <c r="P9428" s="12">
        <f t="shared" si="1457"/>
        <v>0</v>
      </c>
      <c r="Q9428" s="17" t="str">
        <f t="shared" si="1459"/>
        <v>Pas d'écart</v>
      </c>
    </row>
    <row r="9429" spans="1:17" x14ac:dyDescent="0.3">
      <c r="A9429" s="34">
        <f>base!J9429</f>
        <v>0</v>
      </c>
      <c r="B9429" s="34">
        <f>base!V9429</f>
        <v>0</v>
      </c>
      <c r="C9429" s="40" t="s">
        <v>11</v>
      </c>
      <c r="D9429" s="36">
        <f>base!H9429</f>
        <v>0</v>
      </c>
      <c r="E9429" s="44"/>
      <c r="F9429" s="16">
        <f>base!W9429</f>
        <v>0</v>
      </c>
      <c r="G9429" s="11" t="e">
        <f t="shared" si="1451"/>
        <v>#DIV/0!</v>
      </c>
      <c r="H9429" s="11" t="e">
        <f t="shared" si="1452"/>
        <v>#N/A</v>
      </c>
      <c r="I9429" s="11" t="e">
        <f t="shared" si="1453"/>
        <v>#N/A</v>
      </c>
      <c r="J9429" s="12" t="e">
        <f t="shared" si="1454"/>
        <v>#N/A</v>
      </c>
      <c r="K9429" s="17" t="e">
        <f t="shared" si="1458"/>
        <v>#N/A</v>
      </c>
      <c r="L9429" s="16">
        <f>base!X9429</f>
        <v>0</v>
      </c>
      <c r="M9429" s="11" t="e">
        <f t="shared" si="1455"/>
        <v>#DIV/0!</v>
      </c>
      <c r="N9429" s="11"/>
      <c r="O9429" s="11" t="e">
        <f t="shared" si="1456"/>
        <v>#DIV/0!</v>
      </c>
      <c r="P9429" s="12">
        <f t="shared" si="1457"/>
        <v>0</v>
      </c>
      <c r="Q9429" s="17" t="str">
        <f t="shared" si="1459"/>
        <v>Pas d'écart</v>
      </c>
    </row>
    <row r="9430" spans="1:17" x14ac:dyDescent="0.3">
      <c r="A9430" s="34">
        <f>base!J9430</f>
        <v>0</v>
      </c>
      <c r="B9430" s="34">
        <f>base!V9430</f>
        <v>0</v>
      </c>
      <c r="C9430" s="40" t="s">
        <v>11</v>
      </c>
      <c r="D9430" s="36">
        <f>base!H9430</f>
        <v>0</v>
      </c>
      <c r="E9430" s="44"/>
      <c r="F9430" s="16">
        <f>base!W9430</f>
        <v>0</v>
      </c>
      <c r="G9430" s="11" t="e">
        <f t="shared" si="1451"/>
        <v>#DIV/0!</v>
      </c>
      <c r="H9430" s="11" t="e">
        <f t="shared" si="1452"/>
        <v>#N/A</v>
      </c>
      <c r="I9430" s="11" t="e">
        <f t="shared" si="1453"/>
        <v>#N/A</v>
      </c>
      <c r="J9430" s="12" t="e">
        <f t="shared" si="1454"/>
        <v>#N/A</v>
      </c>
      <c r="K9430" s="17" t="e">
        <f t="shared" si="1458"/>
        <v>#N/A</v>
      </c>
      <c r="L9430" s="16">
        <f>base!X9430</f>
        <v>0</v>
      </c>
      <c r="M9430" s="11" t="e">
        <f t="shared" si="1455"/>
        <v>#DIV/0!</v>
      </c>
      <c r="N9430" s="11"/>
      <c r="O9430" s="11" t="e">
        <f t="shared" si="1456"/>
        <v>#DIV/0!</v>
      </c>
      <c r="P9430" s="12">
        <f t="shared" si="1457"/>
        <v>0</v>
      </c>
      <c r="Q9430" s="17" t="str">
        <f t="shared" si="1459"/>
        <v>Pas d'écart</v>
      </c>
    </row>
    <row r="9431" spans="1:17" x14ac:dyDescent="0.3">
      <c r="A9431" s="34">
        <f>base!J9431</f>
        <v>0</v>
      </c>
      <c r="B9431" s="34">
        <f>base!V9431</f>
        <v>0</v>
      </c>
      <c r="C9431" s="40" t="s">
        <v>11</v>
      </c>
      <c r="D9431" s="36">
        <f>base!H9431</f>
        <v>0</v>
      </c>
      <c r="E9431" s="44"/>
      <c r="F9431" s="16">
        <f>base!W9431</f>
        <v>0</v>
      </c>
      <c r="G9431" s="11" t="e">
        <f t="shared" si="1451"/>
        <v>#DIV/0!</v>
      </c>
      <c r="H9431" s="11" t="e">
        <f t="shared" si="1452"/>
        <v>#N/A</v>
      </c>
      <c r="I9431" s="11" t="e">
        <f t="shared" si="1453"/>
        <v>#N/A</v>
      </c>
      <c r="J9431" s="12" t="e">
        <f t="shared" si="1454"/>
        <v>#N/A</v>
      </c>
      <c r="K9431" s="17" t="e">
        <f t="shared" si="1458"/>
        <v>#N/A</v>
      </c>
      <c r="L9431" s="16">
        <f>base!X9431</f>
        <v>0</v>
      </c>
      <c r="M9431" s="11" t="e">
        <f t="shared" si="1455"/>
        <v>#DIV/0!</v>
      </c>
      <c r="N9431" s="11"/>
      <c r="O9431" s="11" t="e">
        <f t="shared" si="1456"/>
        <v>#DIV/0!</v>
      </c>
      <c r="P9431" s="12">
        <f t="shared" si="1457"/>
        <v>0</v>
      </c>
      <c r="Q9431" s="17" t="str">
        <f t="shared" si="1459"/>
        <v>Pas d'écart</v>
      </c>
    </row>
    <row r="9432" spans="1:17" x14ac:dyDescent="0.3">
      <c r="A9432" s="34">
        <f>base!J9432</f>
        <v>0</v>
      </c>
      <c r="B9432" s="34">
        <f>base!V9432</f>
        <v>0</v>
      </c>
      <c r="C9432" s="40" t="s">
        <v>11</v>
      </c>
      <c r="D9432" s="36">
        <f>base!H9432</f>
        <v>0</v>
      </c>
      <c r="E9432" s="44"/>
      <c r="F9432" s="16">
        <f>base!W9432</f>
        <v>0</v>
      </c>
      <c r="G9432" s="11" t="e">
        <f t="shared" si="1451"/>
        <v>#DIV/0!</v>
      </c>
      <c r="H9432" s="11" t="e">
        <f t="shared" si="1452"/>
        <v>#N/A</v>
      </c>
      <c r="I9432" s="11" t="e">
        <f t="shared" si="1453"/>
        <v>#N/A</v>
      </c>
      <c r="J9432" s="12" t="e">
        <f t="shared" si="1454"/>
        <v>#N/A</v>
      </c>
      <c r="K9432" s="17" t="e">
        <f t="shared" si="1458"/>
        <v>#N/A</v>
      </c>
      <c r="L9432" s="16">
        <f>base!X9432</f>
        <v>0</v>
      </c>
      <c r="M9432" s="11" t="e">
        <f t="shared" si="1455"/>
        <v>#DIV/0!</v>
      </c>
      <c r="N9432" s="11"/>
      <c r="O9432" s="11" t="e">
        <f t="shared" si="1456"/>
        <v>#DIV/0!</v>
      </c>
      <c r="P9432" s="12">
        <f t="shared" si="1457"/>
        <v>0</v>
      </c>
      <c r="Q9432" s="17" t="str">
        <f t="shared" si="1459"/>
        <v>Pas d'écart</v>
      </c>
    </row>
    <row r="9433" spans="1:17" x14ac:dyDescent="0.3">
      <c r="A9433" s="34">
        <f>base!J9433</f>
        <v>0</v>
      </c>
      <c r="B9433" s="34">
        <f>base!V9433</f>
        <v>0</v>
      </c>
      <c r="C9433" s="40" t="s">
        <v>11</v>
      </c>
      <c r="D9433" s="36">
        <f>base!H9433</f>
        <v>0</v>
      </c>
      <c r="E9433" s="44"/>
      <c r="F9433" s="16">
        <f>base!W9433</f>
        <v>0</v>
      </c>
      <c r="G9433" s="11" t="e">
        <f t="shared" si="1451"/>
        <v>#DIV/0!</v>
      </c>
      <c r="H9433" s="11" t="e">
        <f t="shared" si="1452"/>
        <v>#N/A</v>
      </c>
      <c r="I9433" s="11" t="e">
        <f t="shared" si="1453"/>
        <v>#N/A</v>
      </c>
      <c r="J9433" s="12" t="e">
        <f t="shared" si="1454"/>
        <v>#N/A</v>
      </c>
      <c r="K9433" s="17" t="e">
        <f t="shared" si="1458"/>
        <v>#N/A</v>
      </c>
      <c r="L9433" s="16">
        <f>base!X9433</f>
        <v>0</v>
      </c>
      <c r="M9433" s="11" t="e">
        <f t="shared" si="1455"/>
        <v>#DIV/0!</v>
      </c>
      <c r="N9433" s="11"/>
      <c r="O9433" s="11" t="e">
        <f t="shared" si="1456"/>
        <v>#DIV/0!</v>
      </c>
      <c r="P9433" s="12">
        <f t="shared" si="1457"/>
        <v>0</v>
      </c>
      <c r="Q9433" s="17" t="str">
        <f t="shared" si="1459"/>
        <v>Pas d'écart</v>
      </c>
    </row>
    <row r="9434" spans="1:17" x14ac:dyDescent="0.3">
      <c r="A9434" s="34">
        <f>base!J9434</f>
        <v>0</v>
      </c>
      <c r="B9434" s="34">
        <f>base!V9434</f>
        <v>0</v>
      </c>
      <c r="C9434" s="40" t="s">
        <v>11</v>
      </c>
      <c r="D9434" s="36">
        <f>base!H9434</f>
        <v>0</v>
      </c>
      <c r="E9434" s="44"/>
      <c r="F9434" s="16">
        <f>base!W9434</f>
        <v>0</v>
      </c>
      <c r="G9434" s="11" t="e">
        <f t="shared" si="1451"/>
        <v>#DIV/0!</v>
      </c>
      <c r="H9434" s="11" t="e">
        <f t="shared" si="1452"/>
        <v>#N/A</v>
      </c>
      <c r="I9434" s="11" t="e">
        <f t="shared" si="1453"/>
        <v>#N/A</v>
      </c>
      <c r="J9434" s="12" t="e">
        <f t="shared" si="1454"/>
        <v>#N/A</v>
      </c>
      <c r="K9434" s="17" t="e">
        <f t="shared" si="1458"/>
        <v>#N/A</v>
      </c>
      <c r="L9434" s="16">
        <f>base!X9434</f>
        <v>0</v>
      </c>
      <c r="M9434" s="11" t="e">
        <f t="shared" si="1455"/>
        <v>#DIV/0!</v>
      </c>
      <c r="N9434" s="11"/>
      <c r="O9434" s="11" t="e">
        <f t="shared" si="1456"/>
        <v>#DIV/0!</v>
      </c>
      <c r="P9434" s="12">
        <f t="shared" si="1457"/>
        <v>0</v>
      </c>
      <c r="Q9434" s="17" t="str">
        <f t="shared" si="1459"/>
        <v>Pas d'écart</v>
      </c>
    </row>
    <row r="9435" spans="1:17" x14ac:dyDescent="0.3">
      <c r="A9435" s="34">
        <f>base!J9435</f>
        <v>0</v>
      </c>
      <c r="B9435" s="34">
        <f>base!V9435</f>
        <v>0</v>
      </c>
      <c r="C9435" s="40" t="s">
        <v>11</v>
      </c>
      <c r="D9435" s="36">
        <f>base!H9435</f>
        <v>0</v>
      </c>
      <c r="E9435" s="44"/>
      <c r="F9435" s="16">
        <f>base!W9435</f>
        <v>0</v>
      </c>
      <c r="G9435" s="11" t="e">
        <f t="shared" si="1451"/>
        <v>#DIV/0!</v>
      </c>
      <c r="H9435" s="11" t="e">
        <f t="shared" si="1452"/>
        <v>#N/A</v>
      </c>
      <c r="I9435" s="11" t="e">
        <f t="shared" si="1453"/>
        <v>#N/A</v>
      </c>
      <c r="J9435" s="12" t="e">
        <f t="shared" si="1454"/>
        <v>#N/A</v>
      </c>
      <c r="K9435" s="17" t="e">
        <f t="shared" si="1458"/>
        <v>#N/A</v>
      </c>
      <c r="L9435" s="16">
        <f>base!X9435</f>
        <v>0</v>
      </c>
      <c r="M9435" s="11" t="e">
        <f t="shared" si="1455"/>
        <v>#DIV/0!</v>
      </c>
      <c r="N9435" s="11"/>
      <c r="O9435" s="11" t="e">
        <f t="shared" si="1456"/>
        <v>#DIV/0!</v>
      </c>
      <c r="P9435" s="12">
        <f t="shared" si="1457"/>
        <v>0</v>
      </c>
      <c r="Q9435" s="17" t="str">
        <f t="shared" si="1459"/>
        <v>Pas d'écart</v>
      </c>
    </row>
    <row r="9436" spans="1:17" x14ac:dyDescent="0.3">
      <c r="A9436" s="34">
        <f>base!J9436</f>
        <v>0</v>
      </c>
      <c r="B9436" s="34">
        <f>base!V9436</f>
        <v>0</v>
      </c>
      <c r="C9436" s="40" t="s">
        <v>11</v>
      </c>
      <c r="D9436" s="36">
        <f>base!H9436</f>
        <v>0</v>
      </c>
      <c r="E9436" s="44"/>
      <c r="F9436" s="16">
        <f>base!W9436</f>
        <v>0</v>
      </c>
      <c r="G9436" s="11" t="e">
        <f t="shared" si="1451"/>
        <v>#DIV/0!</v>
      </c>
      <c r="H9436" s="11" t="e">
        <f t="shared" si="1452"/>
        <v>#N/A</v>
      </c>
      <c r="I9436" s="11" t="e">
        <f t="shared" si="1453"/>
        <v>#N/A</v>
      </c>
      <c r="J9436" s="12" t="e">
        <f t="shared" si="1454"/>
        <v>#N/A</v>
      </c>
      <c r="K9436" s="17" t="e">
        <f t="shared" si="1458"/>
        <v>#N/A</v>
      </c>
      <c r="L9436" s="16">
        <f>base!X9436</f>
        <v>0</v>
      </c>
      <c r="M9436" s="11" t="e">
        <f t="shared" si="1455"/>
        <v>#DIV/0!</v>
      </c>
      <c r="N9436" s="11"/>
      <c r="O9436" s="11" t="e">
        <f t="shared" si="1456"/>
        <v>#DIV/0!</v>
      </c>
      <c r="P9436" s="12">
        <f t="shared" si="1457"/>
        <v>0</v>
      </c>
      <c r="Q9436" s="17" t="str">
        <f t="shared" si="1459"/>
        <v>Pas d'écart</v>
      </c>
    </row>
    <row r="9437" spans="1:17" x14ac:dyDescent="0.3">
      <c r="A9437" s="34">
        <f>base!J9437</f>
        <v>0</v>
      </c>
      <c r="B9437" s="34">
        <f>base!V9437</f>
        <v>0</v>
      </c>
      <c r="C9437" s="40" t="s">
        <v>11</v>
      </c>
      <c r="D9437" s="36">
        <f>base!H9437</f>
        <v>0</v>
      </c>
      <c r="E9437" s="44"/>
      <c r="F9437" s="16">
        <f>base!W9437</f>
        <v>0</v>
      </c>
      <c r="G9437" s="11" t="e">
        <f t="shared" si="1451"/>
        <v>#DIV/0!</v>
      </c>
      <c r="H9437" s="11" t="e">
        <f t="shared" si="1452"/>
        <v>#N/A</v>
      </c>
      <c r="I9437" s="11" t="e">
        <f t="shared" si="1453"/>
        <v>#N/A</v>
      </c>
      <c r="J9437" s="12" t="e">
        <f t="shared" si="1454"/>
        <v>#N/A</v>
      </c>
      <c r="K9437" s="17" t="e">
        <f t="shared" si="1458"/>
        <v>#N/A</v>
      </c>
      <c r="L9437" s="16">
        <f>base!X9437</f>
        <v>0</v>
      </c>
      <c r="M9437" s="11" t="e">
        <f t="shared" si="1455"/>
        <v>#DIV/0!</v>
      </c>
      <c r="N9437" s="11"/>
      <c r="O9437" s="11" t="e">
        <f t="shared" si="1456"/>
        <v>#DIV/0!</v>
      </c>
      <c r="P9437" s="12">
        <f t="shared" si="1457"/>
        <v>0</v>
      </c>
      <c r="Q9437" s="17" t="str">
        <f t="shared" si="1459"/>
        <v>Pas d'écart</v>
      </c>
    </row>
    <row r="9438" spans="1:17" x14ac:dyDescent="0.3">
      <c r="A9438" s="34">
        <f>base!J9438</f>
        <v>0</v>
      </c>
      <c r="B9438" s="34">
        <f>base!V9438</f>
        <v>0</v>
      </c>
      <c r="C9438" s="40" t="s">
        <v>11</v>
      </c>
      <c r="D9438" s="36">
        <f>base!H9438</f>
        <v>0</v>
      </c>
      <c r="E9438" s="44"/>
      <c r="F9438" s="16">
        <f>base!W9438</f>
        <v>0</v>
      </c>
      <c r="G9438" s="11" t="e">
        <f t="shared" si="1451"/>
        <v>#DIV/0!</v>
      </c>
      <c r="H9438" s="11" t="e">
        <f t="shared" si="1452"/>
        <v>#N/A</v>
      </c>
      <c r="I9438" s="11" t="e">
        <f t="shared" si="1453"/>
        <v>#N/A</v>
      </c>
      <c r="J9438" s="12" t="e">
        <f t="shared" si="1454"/>
        <v>#N/A</v>
      </c>
      <c r="K9438" s="17" t="e">
        <f t="shared" si="1458"/>
        <v>#N/A</v>
      </c>
      <c r="L9438" s="16">
        <f>base!X9438</f>
        <v>0</v>
      </c>
      <c r="M9438" s="11" t="e">
        <f t="shared" si="1455"/>
        <v>#DIV/0!</v>
      </c>
      <c r="N9438" s="11"/>
      <c r="O9438" s="11" t="e">
        <f t="shared" si="1456"/>
        <v>#DIV/0!</v>
      </c>
      <c r="P9438" s="12">
        <f t="shared" si="1457"/>
        <v>0</v>
      </c>
      <c r="Q9438" s="17" t="str">
        <f t="shared" si="1459"/>
        <v>Pas d'écart</v>
      </c>
    </row>
    <row r="9439" spans="1:17" x14ac:dyDescent="0.3">
      <c r="A9439" s="34">
        <f>base!J9439</f>
        <v>0</v>
      </c>
      <c r="B9439" s="34">
        <f>base!V9439</f>
        <v>0</v>
      </c>
      <c r="C9439" s="40" t="s">
        <v>11</v>
      </c>
      <c r="D9439" s="36">
        <f>base!H9439</f>
        <v>0</v>
      </c>
      <c r="E9439" s="44"/>
      <c r="F9439" s="16">
        <f>base!W9439</f>
        <v>0</v>
      </c>
      <c r="G9439" s="11" t="e">
        <f t="shared" si="1451"/>
        <v>#DIV/0!</v>
      </c>
      <c r="H9439" s="11" t="e">
        <f t="shared" si="1452"/>
        <v>#N/A</v>
      </c>
      <c r="I9439" s="11" t="e">
        <f t="shared" si="1453"/>
        <v>#N/A</v>
      </c>
      <c r="J9439" s="12" t="e">
        <f t="shared" si="1454"/>
        <v>#N/A</v>
      </c>
      <c r="K9439" s="17" t="e">
        <f t="shared" si="1458"/>
        <v>#N/A</v>
      </c>
      <c r="L9439" s="16">
        <f>base!X9439</f>
        <v>0</v>
      </c>
      <c r="M9439" s="11" t="e">
        <f t="shared" si="1455"/>
        <v>#DIV/0!</v>
      </c>
      <c r="N9439" s="11"/>
      <c r="O9439" s="11" t="e">
        <f t="shared" si="1456"/>
        <v>#DIV/0!</v>
      </c>
      <c r="P9439" s="12">
        <f t="shared" si="1457"/>
        <v>0</v>
      </c>
      <c r="Q9439" s="17" t="str">
        <f t="shared" si="1459"/>
        <v>Pas d'écart</v>
      </c>
    </row>
    <row r="9440" spans="1:17" x14ac:dyDescent="0.3">
      <c r="A9440" s="34">
        <f>base!J9440</f>
        <v>0</v>
      </c>
      <c r="B9440" s="34">
        <f>base!V9440</f>
        <v>0</v>
      </c>
      <c r="C9440" s="40" t="s">
        <v>11</v>
      </c>
      <c r="D9440" s="36">
        <f>base!H9440</f>
        <v>0</v>
      </c>
      <c r="E9440" s="44"/>
      <c r="F9440" s="16">
        <f>base!W9440</f>
        <v>0</v>
      </c>
      <c r="G9440" s="11" t="e">
        <f t="shared" si="1451"/>
        <v>#DIV/0!</v>
      </c>
      <c r="H9440" s="11" t="e">
        <f t="shared" si="1452"/>
        <v>#N/A</v>
      </c>
      <c r="I9440" s="11" t="e">
        <f t="shared" si="1453"/>
        <v>#N/A</v>
      </c>
      <c r="J9440" s="12" t="e">
        <f t="shared" si="1454"/>
        <v>#N/A</v>
      </c>
      <c r="K9440" s="17" t="e">
        <f t="shared" si="1458"/>
        <v>#N/A</v>
      </c>
      <c r="L9440" s="16">
        <f>base!X9440</f>
        <v>0</v>
      </c>
      <c r="M9440" s="11" t="e">
        <f t="shared" si="1455"/>
        <v>#DIV/0!</v>
      </c>
      <c r="N9440" s="11"/>
      <c r="O9440" s="11" t="e">
        <f t="shared" si="1456"/>
        <v>#DIV/0!</v>
      </c>
      <c r="P9440" s="12">
        <f t="shared" si="1457"/>
        <v>0</v>
      </c>
      <c r="Q9440" s="17" t="str">
        <f t="shared" si="1459"/>
        <v>Pas d'écart</v>
      </c>
    </row>
    <row r="9441" spans="1:17" x14ac:dyDescent="0.3">
      <c r="A9441" s="34">
        <f>base!J9441</f>
        <v>0</v>
      </c>
      <c r="B9441" s="34">
        <f>base!V9441</f>
        <v>0</v>
      </c>
      <c r="C9441" s="40" t="s">
        <v>11</v>
      </c>
      <c r="D9441" s="36">
        <f>base!H9441</f>
        <v>0</v>
      </c>
      <c r="E9441" s="44"/>
      <c r="F9441" s="16">
        <f>base!W9441</f>
        <v>0</v>
      </c>
      <c r="G9441" s="11" t="e">
        <f t="shared" si="1451"/>
        <v>#DIV/0!</v>
      </c>
      <c r="H9441" s="11" t="e">
        <f t="shared" si="1452"/>
        <v>#N/A</v>
      </c>
      <c r="I9441" s="11" t="e">
        <f t="shared" si="1453"/>
        <v>#N/A</v>
      </c>
      <c r="J9441" s="12" t="e">
        <f t="shared" si="1454"/>
        <v>#N/A</v>
      </c>
      <c r="K9441" s="17" t="e">
        <f t="shared" si="1458"/>
        <v>#N/A</v>
      </c>
      <c r="L9441" s="16">
        <f>base!X9441</f>
        <v>0</v>
      </c>
      <c r="M9441" s="11" t="e">
        <f t="shared" si="1455"/>
        <v>#DIV/0!</v>
      </c>
      <c r="N9441" s="11"/>
      <c r="O9441" s="11" t="e">
        <f t="shared" si="1456"/>
        <v>#DIV/0!</v>
      </c>
      <c r="P9441" s="12">
        <f t="shared" si="1457"/>
        <v>0</v>
      </c>
      <c r="Q9441" s="17" t="str">
        <f t="shared" si="1459"/>
        <v>Pas d'écart</v>
      </c>
    </row>
    <row r="9442" spans="1:17" x14ac:dyDescent="0.3">
      <c r="A9442" s="34">
        <f>base!J9442</f>
        <v>0</v>
      </c>
      <c r="B9442" s="34">
        <f>base!V9442</f>
        <v>0</v>
      </c>
      <c r="C9442" s="40" t="s">
        <v>11</v>
      </c>
      <c r="D9442" s="36">
        <f>base!H9442</f>
        <v>0</v>
      </c>
      <c r="E9442" s="44"/>
      <c r="F9442" s="16">
        <f>base!W9442</f>
        <v>0</v>
      </c>
      <c r="G9442" s="11" t="e">
        <f t="shared" si="1451"/>
        <v>#DIV/0!</v>
      </c>
      <c r="H9442" s="11" t="e">
        <f t="shared" si="1452"/>
        <v>#N/A</v>
      </c>
      <c r="I9442" s="11" t="e">
        <f t="shared" si="1453"/>
        <v>#N/A</v>
      </c>
      <c r="J9442" s="12" t="e">
        <f t="shared" si="1454"/>
        <v>#N/A</v>
      </c>
      <c r="K9442" s="17" t="e">
        <f t="shared" si="1458"/>
        <v>#N/A</v>
      </c>
      <c r="L9442" s="16">
        <f>base!X9442</f>
        <v>0</v>
      </c>
      <c r="M9442" s="11" t="e">
        <f t="shared" si="1455"/>
        <v>#DIV/0!</v>
      </c>
      <c r="N9442" s="11"/>
      <c r="O9442" s="11" t="e">
        <f t="shared" si="1456"/>
        <v>#DIV/0!</v>
      </c>
      <c r="P9442" s="12">
        <f t="shared" si="1457"/>
        <v>0</v>
      </c>
      <c r="Q9442" s="17" t="str">
        <f t="shared" si="1459"/>
        <v>Pas d'écart</v>
      </c>
    </row>
    <row r="9443" spans="1:17" x14ac:dyDescent="0.3">
      <c r="A9443" s="34">
        <f>base!J9443</f>
        <v>0</v>
      </c>
      <c r="B9443" s="34">
        <f>base!V9443</f>
        <v>0</v>
      </c>
      <c r="C9443" s="40" t="s">
        <v>11</v>
      </c>
      <c r="D9443" s="36">
        <f>base!H9443</f>
        <v>0</v>
      </c>
      <c r="E9443" s="44"/>
      <c r="F9443" s="16">
        <f>base!W9443</f>
        <v>0</v>
      </c>
      <c r="G9443" s="11" t="e">
        <f t="shared" si="1451"/>
        <v>#DIV/0!</v>
      </c>
      <c r="H9443" s="11" t="e">
        <f t="shared" si="1452"/>
        <v>#N/A</v>
      </c>
      <c r="I9443" s="11" t="e">
        <f t="shared" si="1453"/>
        <v>#N/A</v>
      </c>
      <c r="J9443" s="12" t="e">
        <f t="shared" si="1454"/>
        <v>#N/A</v>
      </c>
      <c r="K9443" s="17" t="e">
        <f t="shared" si="1458"/>
        <v>#N/A</v>
      </c>
      <c r="L9443" s="16">
        <f>base!X9443</f>
        <v>0</v>
      </c>
      <c r="M9443" s="11" t="e">
        <f t="shared" si="1455"/>
        <v>#DIV/0!</v>
      </c>
      <c r="N9443" s="11"/>
      <c r="O9443" s="11" t="e">
        <f t="shared" si="1456"/>
        <v>#DIV/0!</v>
      </c>
      <c r="P9443" s="12">
        <f t="shared" si="1457"/>
        <v>0</v>
      </c>
      <c r="Q9443" s="17" t="str">
        <f t="shared" si="1459"/>
        <v>Pas d'écart</v>
      </c>
    </row>
    <row r="9444" spans="1:17" x14ac:dyDescent="0.3">
      <c r="A9444" s="34">
        <f>base!J9444</f>
        <v>0</v>
      </c>
      <c r="B9444" s="34">
        <f>base!V9444</f>
        <v>0</v>
      </c>
      <c r="C9444" s="40" t="s">
        <v>11</v>
      </c>
      <c r="D9444" s="36">
        <f>base!H9444</f>
        <v>0</v>
      </c>
      <c r="E9444" s="44"/>
      <c r="F9444" s="16">
        <f>base!W9444</f>
        <v>0</v>
      </c>
      <c r="G9444" s="11" t="e">
        <f t="shared" si="1451"/>
        <v>#DIV/0!</v>
      </c>
      <c r="H9444" s="11" t="e">
        <f t="shared" si="1452"/>
        <v>#N/A</v>
      </c>
      <c r="I9444" s="11" t="e">
        <f t="shared" si="1453"/>
        <v>#N/A</v>
      </c>
      <c r="J9444" s="12" t="e">
        <f t="shared" si="1454"/>
        <v>#N/A</v>
      </c>
      <c r="K9444" s="17" t="e">
        <f t="shared" si="1458"/>
        <v>#N/A</v>
      </c>
      <c r="L9444" s="16">
        <f>base!X9444</f>
        <v>0</v>
      </c>
      <c r="M9444" s="11" t="e">
        <f t="shared" si="1455"/>
        <v>#DIV/0!</v>
      </c>
      <c r="N9444" s="11"/>
      <c r="O9444" s="11" t="e">
        <f t="shared" si="1456"/>
        <v>#DIV/0!</v>
      </c>
      <c r="P9444" s="12">
        <f t="shared" si="1457"/>
        <v>0</v>
      </c>
      <c r="Q9444" s="17" t="str">
        <f t="shared" si="1459"/>
        <v>Pas d'écart</v>
      </c>
    </row>
    <row r="9445" spans="1:17" x14ac:dyDescent="0.3">
      <c r="A9445" s="34">
        <f>base!J9445</f>
        <v>0</v>
      </c>
      <c r="B9445" s="34">
        <f>base!V9445</f>
        <v>0</v>
      </c>
      <c r="C9445" s="40" t="s">
        <v>11</v>
      </c>
      <c r="D9445" s="36">
        <f>base!H9445</f>
        <v>0</v>
      </c>
      <c r="E9445" s="44"/>
      <c r="F9445" s="16">
        <f>base!W9445</f>
        <v>0</v>
      </c>
      <c r="G9445" s="11" t="e">
        <f t="shared" si="1451"/>
        <v>#DIV/0!</v>
      </c>
      <c r="H9445" s="11" t="e">
        <f t="shared" si="1452"/>
        <v>#N/A</v>
      </c>
      <c r="I9445" s="11" t="e">
        <f t="shared" si="1453"/>
        <v>#N/A</v>
      </c>
      <c r="J9445" s="12" t="e">
        <f t="shared" si="1454"/>
        <v>#N/A</v>
      </c>
      <c r="K9445" s="17" t="e">
        <f t="shared" si="1458"/>
        <v>#N/A</v>
      </c>
      <c r="L9445" s="16">
        <f>base!X9445</f>
        <v>0</v>
      </c>
      <c r="M9445" s="11" t="e">
        <f t="shared" si="1455"/>
        <v>#DIV/0!</v>
      </c>
      <c r="N9445" s="11"/>
      <c r="O9445" s="11" t="e">
        <f t="shared" si="1456"/>
        <v>#DIV/0!</v>
      </c>
      <c r="P9445" s="12">
        <f t="shared" si="1457"/>
        <v>0</v>
      </c>
      <c r="Q9445" s="17" t="str">
        <f t="shared" si="1459"/>
        <v>Pas d'écart</v>
      </c>
    </row>
    <row r="9446" spans="1:17" x14ac:dyDescent="0.3">
      <c r="A9446" s="34">
        <f>base!J9446</f>
        <v>0</v>
      </c>
      <c r="B9446" s="34">
        <f>base!V9446</f>
        <v>0</v>
      </c>
      <c r="C9446" s="40" t="s">
        <v>11</v>
      </c>
      <c r="D9446" s="36">
        <f>base!H9446</f>
        <v>0</v>
      </c>
      <c r="E9446" s="44"/>
      <c r="F9446" s="16">
        <f>base!W9446</f>
        <v>0</v>
      </c>
      <c r="G9446" s="11" t="e">
        <f t="shared" si="1451"/>
        <v>#DIV/0!</v>
      </c>
      <c r="H9446" s="11" t="e">
        <f t="shared" si="1452"/>
        <v>#N/A</v>
      </c>
      <c r="I9446" s="11" t="e">
        <f t="shared" si="1453"/>
        <v>#N/A</v>
      </c>
      <c r="J9446" s="12" t="e">
        <f t="shared" si="1454"/>
        <v>#N/A</v>
      </c>
      <c r="K9446" s="17" t="e">
        <f t="shared" si="1458"/>
        <v>#N/A</v>
      </c>
      <c r="L9446" s="16">
        <f>base!X9446</f>
        <v>0</v>
      </c>
      <c r="M9446" s="11" t="e">
        <f t="shared" si="1455"/>
        <v>#DIV/0!</v>
      </c>
      <c r="N9446" s="11"/>
      <c r="O9446" s="11" t="e">
        <f t="shared" si="1456"/>
        <v>#DIV/0!</v>
      </c>
      <c r="P9446" s="12">
        <f t="shared" si="1457"/>
        <v>0</v>
      </c>
      <c r="Q9446" s="17" t="str">
        <f t="shared" si="1459"/>
        <v>Pas d'écart</v>
      </c>
    </row>
    <row r="9447" spans="1:17" x14ac:dyDescent="0.3">
      <c r="A9447" s="34">
        <f>base!J9447</f>
        <v>0</v>
      </c>
      <c r="B9447" s="34">
        <f>base!V9447</f>
        <v>0</v>
      </c>
      <c r="C9447" s="40" t="s">
        <v>11</v>
      </c>
      <c r="D9447" s="36">
        <f>base!H9447</f>
        <v>0</v>
      </c>
      <c r="E9447" s="44"/>
      <c r="F9447" s="16">
        <f>base!W9447</f>
        <v>0</v>
      </c>
      <c r="G9447" s="11" t="e">
        <f t="shared" si="1451"/>
        <v>#DIV/0!</v>
      </c>
      <c r="H9447" s="11" t="e">
        <f t="shared" si="1452"/>
        <v>#N/A</v>
      </c>
      <c r="I9447" s="11" t="e">
        <f t="shared" si="1453"/>
        <v>#N/A</v>
      </c>
      <c r="J9447" s="12" t="e">
        <f t="shared" si="1454"/>
        <v>#N/A</v>
      </c>
      <c r="K9447" s="17" t="e">
        <f t="shared" si="1458"/>
        <v>#N/A</v>
      </c>
      <c r="L9447" s="16">
        <f>base!X9447</f>
        <v>0</v>
      </c>
      <c r="M9447" s="11" t="e">
        <f t="shared" si="1455"/>
        <v>#DIV/0!</v>
      </c>
      <c r="N9447" s="11"/>
      <c r="O9447" s="11" t="e">
        <f t="shared" si="1456"/>
        <v>#DIV/0!</v>
      </c>
      <c r="P9447" s="12">
        <f t="shared" si="1457"/>
        <v>0</v>
      </c>
      <c r="Q9447" s="17" t="str">
        <f t="shared" si="1459"/>
        <v>Pas d'écart</v>
      </c>
    </row>
    <row r="9448" spans="1:17" x14ac:dyDescent="0.3">
      <c r="A9448" s="34">
        <f>base!J9448</f>
        <v>0</v>
      </c>
      <c r="B9448" s="34">
        <f>base!V9448</f>
        <v>0</v>
      </c>
      <c r="C9448" s="40" t="s">
        <v>11</v>
      </c>
      <c r="D9448" s="36">
        <f>base!H9448</f>
        <v>0</v>
      </c>
      <c r="E9448" s="44"/>
      <c r="F9448" s="16">
        <f>base!W9448</f>
        <v>0</v>
      </c>
      <c r="G9448" s="11" t="e">
        <f t="shared" si="1451"/>
        <v>#DIV/0!</v>
      </c>
      <c r="H9448" s="11" t="e">
        <f t="shared" si="1452"/>
        <v>#N/A</v>
      </c>
      <c r="I9448" s="11" t="e">
        <f t="shared" si="1453"/>
        <v>#N/A</v>
      </c>
      <c r="J9448" s="12" t="e">
        <f t="shared" si="1454"/>
        <v>#N/A</v>
      </c>
      <c r="K9448" s="17" t="e">
        <f t="shared" si="1458"/>
        <v>#N/A</v>
      </c>
      <c r="L9448" s="16">
        <f>base!X9448</f>
        <v>0</v>
      </c>
      <c r="M9448" s="11" t="e">
        <f t="shared" si="1455"/>
        <v>#DIV/0!</v>
      </c>
      <c r="N9448" s="11"/>
      <c r="O9448" s="11" t="e">
        <f t="shared" si="1456"/>
        <v>#DIV/0!</v>
      </c>
      <c r="P9448" s="12">
        <f t="shared" si="1457"/>
        <v>0</v>
      </c>
      <c r="Q9448" s="17" t="str">
        <f t="shared" si="1459"/>
        <v>Pas d'écart</v>
      </c>
    </row>
    <row r="9449" spans="1:17" x14ac:dyDescent="0.3">
      <c r="A9449" s="34">
        <f>base!J9449</f>
        <v>0</v>
      </c>
      <c r="B9449" s="34">
        <f>base!V9449</f>
        <v>0</v>
      </c>
      <c r="C9449" s="40" t="s">
        <v>11</v>
      </c>
      <c r="D9449" s="36">
        <f>base!H9449</f>
        <v>0</v>
      </c>
      <c r="E9449" s="44"/>
      <c r="F9449" s="16">
        <f>base!W9449</f>
        <v>0</v>
      </c>
      <c r="G9449" s="11" t="e">
        <f t="shared" si="1451"/>
        <v>#DIV/0!</v>
      </c>
      <c r="H9449" s="11" t="e">
        <f t="shared" si="1452"/>
        <v>#N/A</v>
      </c>
      <c r="I9449" s="11" t="e">
        <f t="shared" si="1453"/>
        <v>#N/A</v>
      </c>
      <c r="J9449" s="12" t="e">
        <f t="shared" si="1454"/>
        <v>#N/A</v>
      </c>
      <c r="K9449" s="17" t="e">
        <f t="shared" si="1458"/>
        <v>#N/A</v>
      </c>
      <c r="L9449" s="16">
        <f>base!X9449</f>
        <v>0</v>
      </c>
      <c r="M9449" s="11" t="e">
        <f t="shared" si="1455"/>
        <v>#DIV/0!</v>
      </c>
      <c r="N9449" s="11"/>
      <c r="O9449" s="11" t="e">
        <f t="shared" si="1456"/>
        <v>#DIV/0!</v>
      </c>
      <c r="P9449" s="12">
        <f t="shared" si="1457"/>
        <v>0</v>
      </c>
      <c r="Q9449" s="17" t="str">
        <f t="shared" si="1459"/>
        <v>Pas d'écart</v>
      </c>
    </row>
    <row r="9450" spans="1:17" x14ac:dyDescent="0.3">
      <c r="A9450" s="34">
        <f>base!J9450</f>
        <v>0</v>
      </c>
      <c r="B9450" s="34">
        <f>base!V9450</f>
        <v>0</v>
      </c>
      <c r="C9450" s="40" t="s">
        <v>11</v>
      </c>
      <c r="D9450" s="36">
        <f>base!H9450</f>
        <v>0</v>
      </c>
      <c r="E9450" s="44"/>
      <c r="F9450" s="16">
        <f>base!W9450</f>
        <v>0</v>
      </c>
      <c r="G9450" s="11" t="e">
        <f t="shared" si="1451"/>
        <v>#DIV/0!</v>
      </c>
      <c r="H9450" s="11" t="e">
        <f t="shared" si="1452"/>
        <v>#N/A</v>
      </c>
      <c r="I9450" s="11" t="e">
        <f t="shared" si="1453"/>
        <v>#N/A</v>
      </c>
      <c r="J9450" s="12" t="e">
        <f t="shared" si="1454"/>
        <v>#N/A</v>
      </c>
      <c r="K9450" s="17" t="e">
        <f t="shared" si="1458"/>
        <v>#N/A</v>
      </c>
      <c r="L9450" s="16">
        <f>base!X9450</f>
        <v>0</v>
      </c>
      <c r="M9450" s="11" t="e">
        <f t="shared" si="1455"/>
        <v>#DIV/0!</v>
      </c>
      <c r="N9450" s="11"/>
      <c r="O9450" s="11" t="e">
        <f t="shared" si="1456"/>
        <v>#DIV/0!</v>
      </c>
      <c r="P9450" s="12">
        <f t="shared" si="1457"/>
        <v>0</v>
      </c>
      <c r="Q9450" s="17" t="str">
        <f t="shared" si="1459"/>
        <v>Pas d'écart</v>
      </c>
    </row>
    <row r="9451" spans="1:17" x14ac:dyDescent="0.3">
      <c r="A9451" s="34">
        <f>base!J9451</f>
        <v>0</v>
      </c>
      <c r="B9451" s="34">
        <f>base!V9451</f>
        <v>0</v>
      </c>
      <c r="C9451" s="40" t="s">
        <v>11</v>
      </c>
      <c r="D9451" s="36">
        <f>base!H9451</f>
        <v>0</v>
      </c>
      <c r="E9451" s="44"/>
      <c r="F9451" s="16">
        <f>base!W9451</f>
        <v>0</v>
      </c>
      <c r="G9451" s="11" t="e">
        <f t="shared" si="1451"/>
        <v>#DIV/0!</v>
      </c>
      <c r="H9451" s="11" t="e">
        <f t="shared" si="1452"/>
        <v>#N/A</v>
      </c>
      <c r="I9451" s="11" t="e">
        <f t="shared" si="1453"/>
        <v>#N/A</v>
      </c>
      <c r="J9451" s="12" t="e">
        <f t="shared" si="1454"/>
        <v>#N/A</v>
      </c>
      <c r="K9451" s="17" t="e">
        <f t="shared" si="1458"/>
        <v>#N/A</v>
      </c>
      <c r="L9451" s="16">
        <f>base!X9451</f>
        <v>0</v>
      </c>
      <c r="M9451" s="11" t="e">
        <f t="shared" si="1455"/>
        <v>#DIV/0!</v>
      </c>
      <c r="N9451" s="11"/>
      <c r="O9451" s="11" t="e">
        <f t="shared" si="1456"/>
        <v>#DIV/0!</v>
      </c>
      <c r="P9451" s="12">
        <f t="shared" si="1457"/>
        <v>0</v>
      </c>
      <c r="Q9451" s="17" t="str">
        <f t="shared" si="1459"/>
        <v>Pas d'écart</v>
      </c>
    </row>
    <row r="9452" spans="1:17" x14ac:dyDescent="0.3">
      <c r="A9452" s="34">
        <f>base!J9452</f>
        <v>0</v>
      </c>
      <c r="B9452" s="34">
        <f>base!V9452</f>
        <v>0</v>
      </c>
      <c r="C9452" s="40" t="s">
        <v>11</v>
      </c>
      <c r="D9452" s="36">
        <f>base!H9452</f>
        <v>0</v>
      </c>
      <c r="E9452" s="44"/>
      <c r="F9452" s="16">
        <f>base!W9452</f>
        <v>0</v>
      </c>
      <c r="G9452" s="11" t="e">
        <f t="shared" si="1451"/>
        <v>#DIV/0!</v>
      </c>
      <c r="H9452" s="11" t="e">
        <f t="shared" si="1452"/>
        <v>#N/A</v>
      </c>
      <c r="I9452" s="11" t="e">
        <f t="shared" si="1453"/>
        <v>#N/A</v>
      </c>
      <c r="J9452" s="12" t="e">
        <f t="shared" si="1454"/>
        <v>#N/A</v>
      </c>
      <c r="K9452" s="17" t="e">
        <f t="shared" si="1458"/>
        <v>#N/A</v>
      </c>
      <c r="L9452" s="16">
        <f>base!X9452</f>
        <v>0</v>
      </c>
      <c r="M9452" s="11" t="e">
        <f t="shared" si="1455"/>
        <v>#DIV/0!</v>
      </c>
      <c r="N9452" s="11"/>
      <c r="O9452" s="11" t="e">
        <f t="shared" si="1456"/>
        <v>#DIV/0!</v>
      </c>
      <c r="P9452" s="12">
        <f t="shared" si="1457"/>
        <v>0</v>
      </c>
      <c r="Q9452" s="17" t="str">
        <f t="shared" si="1459"/>
        <v>Pas d'écart</v>
      </c>
    </row>
    <row r="9453" spans="1:17" x14ac:dyDescent="0.3">
      <c r="A9453" s="34">
        <f>base!J9453</f>
        <v>0</v>
      </c>
      <c r="B9453" s="34">
        <f>base!V9453</f>
        <v>0</v>
      </c>
      <c r="C9453" s="40" t="s">
        <v>11</v>
      </c>
      <c r="D9453" s="36">
        <f>base!H9453</f>
        <v>0</v>
      </c>
      <c r="E9453" s="44"/>
      <c r="F9453" s="16">
        <f>base!W9453</f>
        <v>0</v>
      </c>
      <c r="G9453" s="11" t="e">
        <f t="shared" si="1451"/>
        <v>#DIV/0!</v>
      </c>
      <c r="H9453" s="11" t="e">
        <f t="shared" si="1452"/>
        <v>#N/A</v>
      </c>
      <c r="I9453" s="11" t="e">
        <f t="shared" si="1453"/>
        <v>#N/A</v>
      </c>
      <c r="J9453" s="12" t="e">
        <f t="shared" si="1454"/>
        <v>#N/A</v>
      </c>
      <c r="K9453" s="17" t="e">
        <f t="shared" si="1458"/>
        <v>#N/A</v>
      </c>
      <c r="L9453" s="16">
        <f>base!X9453</f>
        <v>0</v>
      </c>
      <c r="M9453" s="11" t="e">
        <f t="shared" si="1455"/>
        <v>#DIV/0!</v>
      </c>
      <c r="N9453" s="11"/>
      <c r="O9453" s="11" t="e">
        <f t="shared" si="1456"/>
        <v>#DIV/0!</v>
      </c>
      <c r="P9453" s="12">
        <f t="shared" si="1457"/>
        <v>0</v>
      </c>
      <c r="Q9453" s="17" t="str">
        <f t="shared" si="1459"/>
        <v>Pas d'écart</v>
      </c>
    </row>
    <row r="9454" spans="1:17" x14ac:dyDescent="0.3">
      <c r="A9454" s="34">
        <f>base!J9454</f>
        <v>0</v>
      </c>
      <c r="B9454" s="34">
        <f>base!V9454</f>
        <v>0</v>
      </c>
      <c r="C9454" s="40" t="s">
        <v>11</v>
      </c>
      <c r="D9454" s="36">
        <f>base!H9454</f>
        <v>0</v>
      </c>
      <c r="E9454" s="44"/>
      <c r="F9454" s="16">
        <f>base!W9454</f>
        <v>0</v>
      </c>
      <c r="G9454" s="11" t="e">
        <f t="shared" si="1451"/>
        <v>#DIV/0!</v>
      </c>
      <c r="H9454" s="11" t="e">
        <f t="shared" si="1452"/>
        <v>#N/A</v>
      </c>
      <c r="I9454" s="11" t="e">
        <f t="shared" si="1453"/>
        <v>#N/A</v>
      </c>
      <c r="J9454" s="12" t="e">
        <f t="shared" si="1454"/>
        <v>#N/A</v>
      </c>
      <c r="K9454" s="17" t="e">
        <f t="shared" si="1458"/>
        <v>#N/A</v>
      </c>
      <c r="L9454" s="16">
        <f>base!X9454</f>
        <v>0</v>
      </c>
      <c r="M9454" s="11" t="e">
        <f t="shared" si="1455"/>
        <v>#DIV/0!</v>
      </c>
      <c r="N9454" s="11"/>
      <c r="O9454" s="11" t="e">
        <f t="shared" si="1456"/>
        <v>#DIV/0!</v>
      </c>
      <c r="P9454" s="12">
        <f t="shared" si="1457"/>
        <v>0</v>
      </c>
      <c r="Q9454" s="17" t="str">
        <f t="shared" si="1459"/>
        <v>Pas d'écart</v>
      </c>
    </row>
    <row r="9455" spans="1:17" x14ac:dyDescent="0.3">
      <c r="A9455" s="34">
        <f>base!J9455</f>
        <v>0</v>
      </c>
      <c r="B9455" s="34">
        <f>base!V9455</f>
        <v>0</v>
      </c>
      <c r="C9455" s="40" t="s">
        <v>11</v>
      </c>
      <c r="D9455" s="36">
        <f>base!H9455</f>
        <v>0</v>
      </c>
      <c r="E9455" s="44"/>
      <c r="F9455" s="16">
        <f>base!W9455</f>
        <v>0</v>
      </c>
      <c r="G9455" s="11" t="e">
        <f t="shared" si="1451"/>
        <v>#DIV/0!</v>
      </c>
      <c r="H9455" s="11" t="e">
        <f t="shared" si="1452"/>
        <v>#N/A</v>
      </c>
      <c r="I9455" s="11" t="e">
        <f t="shared" si="1453"/>
        <v>#N/A</v>
      </c>
      <c r="J9455" s="12" t="e">
        <f t="shared" si="1454"/>
        <v>#N/A</v>
      </c>
      <c r="K9455" s="17" t="e">
        <f t="shared" si="1458"/>
        <v>#N/A</v>
      </c>
      <c r="L9455" s="16">
        <f>base!X9455</f>
        <v>0</v>
      </c>
      <c r="M9455" s="11" t="e">
        <f t="shared" si="1455"/>
        <v>#DIV/0!</v>
      </c>
      <c r="N9455" s="11"/>
      <c r="O9455" s="11" t="e">
        <f t="shared" si="1456"/>
        <v>#DIV/0!</v>
      </c>
      <c r="P9455" s="12">
        <f t="shared" si="1457"/>
        <v>0</v>
      </c>
      <c r="Q9455" s="17" t="str">
        <f t="shared" si="1459"/>
        <v>Pas d'écart</v>
      </c>
    </row>
    <row r="9456" spans="1:17" x14ac:dyDescent="0.3">
      <c r="A9456" s="34">
        <f>base!J9456</f>
        <v>0</v>
      </c>
      <c r="B9456" s="34">
        <f>base!V9456</f>
        <v>0</v>
      </c>
      <c r="C9456" s="40" t="s">
        <v>11</v>
      </c>
      <c r="D9456" s="36">
        <f>base!H9456</f>
        <v>0</v>
      </c>
      <c r="E9456" s="44"/>
      <c r="F9456" s="16">
        <f>base!W9456</f>
        <v>0</v>
      </c>
      <c r="G9456" s="11" t="e">
        <f t="shared" si="1451"/>
        <v>#DIV/0!</v>
      </c>
      <c r="H9456" s="11" t="e">
        <f t="shared" si="1452"/>
        <v>#N/A</v>
      </c>
      <c r="I9456" s="11" t="e">
        <f t="shared" si="1453"/>
        <v>#N/A</v>
      </c>
      <c r="J9456" s="12" t="e">
        <f t="shared" si="1454"/>
        <v>#N/A</v>
      </c>
      <c r="K9456" s="17" t="e">
        <f t="shared" si="1458"/>
        <v>#N/A</v>
      </c>
      <c r="L9456" s="16">
        <f>base!X9456</f>
        <v>0</v>
      </c>
      <c r="M9456" s="11" t="e">
        <f t="shared" si="1455"/>
        <v>#DIV/0!</v>
      </c>
      <c r="N9456" s="11"/>
      <c r="O9456" s="11" t="e">
        <f t="shared" si="1456"/>
        <v>#DIV/0!</v>
      </c>
      <c r="P9456" s="12">
        <f t="shared" si="1457"/>
        <v>0</v>
      </c>
      <c r="Q9456" s="17" t="str">
        <f t="shared" si="1459"/>
        <v>Pas d'écart</v>
      </c>
    </row>
    <row r="9457" spans="1:17" x14ac:dyDescent="0.3">
      <c r="A9457" s="34">
        <f>base!J9457</f>
        <v>0</v>
      </c>
      <c r="B9457" s="34">
        <f>base!V9457</f>
        <v>0</v>
      </c>
      <c r="C9457" s="40" t="s">
        <v>11</v>
      </c>
      <c r="D9457" s="36">
        <f>base!H9457</f>
        <v>0</v>
      </c>
      <c r="E9457" s="44"/>
      <c r="F9457" s="16">
        <f>base!W9457</f>
        <v>0</v>
      </c>
      <c r="G9457" s="11" t="e">
        <f t="shared" si="1451"/>
        <v>#DIV/0!</v>
      </c>
      <c r="H9457" s="11" t="e">
        <f t="shared" si="1452"/>
        <v>#N/A</v>
      </c>
      <c r="I9457" s="11" t="e">
        <f t="shared" si="1453"/>
        <v>#N/A</v>
      </c>
      <c r="J9457" s="12" t="e">
        <f t="shared" si="1454"/>
        <v>#N/A</v>
      </c>
      <c r="K9457" s="17" t="e">
        <f t="shared" si="1458"/>
        <v>#N/A</v>
      </c>
      <c r="L9457" s="16">
        <f>base!X9457</f>
        <v>0</v>
      </c>
      <c r="M9457" s="11" t="e">
        <f t="shared" si="1455"/>
        <v>#DIV/0!</v>
      </c>
      <c r="N9457" s="11"/>
      <c r="O9457" s="11" t="e">
        <f t="shared" si="1456"/>
        <v>#DIV/0!</v>
      </c>
      <c r="P9457" s="12">
        <f t="shared" si="1457"/>
        <v>0</v>
      </c>
      <c r="Q9457" s="17" t="str">
        <f t="shared" si="1459"/>
        <v>Pas d'écart</v>
      </c>
    </row>
    <row r="9458" spans="1:17" x14ac:dyDescent="0.3">
      <c r="A9458" s="34">
        <f>base!J9458</f>
        <v>0</v>
      </c>
      <c r="B9458" s="34">
        <f>base!V9458</f>
        <v>0</v>
      </c>
      <c r="C9458" s="40" t="s">
        <v>11</v>
      </c>
      <c r="D9458" s="36">
        <f>base!H9458</f>
        <v>0</v>
      </c>
      <c r="E9458" s="44"/>
      <c r="F9458" s="16">
        <f>base!W9458</f>
        <v>0</v>
      </c>
      <c r="G9458" s="11" t="e">
        <f t="shared" si="1451"/>
        <v>#DIV/0!</v>
      </c>
      <c r="H9458" s="11" t="e">
        <f t="shared" si="1452"/>
        <v>#N/A</v>
      </c>
      <c r="I9458" s="11" t="e">
        <f t="shared" si="1453"/>
        <v>#N/A</v>
      </c>
      <c r="J9458" s="12" t="e">
        <f t="shared" si="1454"/>
        <v>#N/A</v>
      </c>
      <c r="K9458" s="17" t="e">
        <f t="shared" si="1458"/>
        <v>#N/A</v>
      </c>
      <c r="L9458" s="16">
        <f>base!X9458</f>
        <v>0</v>
      </c>
      <c r="M9458" s="11" t="e">
        <f t="shared" si="1455"/>
        <v>#DIV/0!</v>
      </c>
      <c r="N9458" s="11"/>
      <c r="O9458" s="11" t="e">
        <f t="shared" si="1456"/>
        <v>#DIV/0!</v>
      </c>
      <c r="P9458" s="12">
        <f t="shared" si="1457"/>
        <v>0</v>
      </c>
      <c r="Q9458" s="17" t="str">
        <f t="shared" si="1459"/>
        <v>Pas d'écart</v>
      </c>
    </row>
    <row r="9459" spans="1:17" x14ac:dyDescent="0.3">
      <c r="A9459" s="34">
        <f>base!J9459</f>
        <v>0</v>
      </c>
      <c r="B9459" s="34">
        <f>base!V9459</f>
        <v>0</v>
      </c>
      <c r="C9459" s="40" t="s">
        <v>11</v>
      </c>
      <c r="D9459" s="36">
        <f>base!H9459</f>
        <v>0</v>
      </c>
      <c r="E9459" s="44"/>
      <c r="F9459" s="16">
        <f>base!W9459</f>
        <v>0</v>
      </c>
      <c r="G9459" s="11" t="e">
        <f t="shared" si="1451"/>
        <v>#DIV/0!</v>
      </c>
      <c r="H9459" s="11" t="e">
        <f t="shared" si="1452"/>
        <v>#N/A</v>
      </c>
      <c r="I9459" s="11" t="e">
        <f t="shared" si="1453"/>
        <v>#N/A</v>
      </c>
      <c r="J9459" s="12" t="e">
        <f t="shared" si="1454"/>
        <v>#N/A</v>
      </c>
      <c r="K9459" s="17" t="e">
        <f t="shared" si="1458"/>
        <v>#N/A</v>
      </c>
      <c r="L9459" s="16">
        <f>base!X9459</f>
        <v>0</v>
      </c>
      <c r="M9459" s="11" t="e">
        <f t="shared" si="1455"/>
        <v>#DIV/0!</v>
      </c>
      <c r="N9459" s="11"/>
      <c r="O9459" s="11" t="e">
        <f t="shared" si="1456"/>
        <v>#DIV/0!</v>
      </c>
      <c r="P9459" s="12">
        <f t="shared" si="1457"/>
        <v>0</v>
      </c>
      <c r="Q9459" s="17" t="str">
        <f t="shared" si="1459"/>
        <v>Pas d'écart</v>
      </c>
    </row>
    <row r="9460" spans="1:17" x14ac:dyDescent="0.3">
      <c r="A9460" s="34">
        <f>base!J9460</f>
        <v>0</v>
      </c>
      <c r="B9460" s="34">
        <f>base!V9460</f>
        <v>0</v>
      </c>
      <c r="C9460" s="40" t="s">
        <v>11</v>
      </c>
      <c r="D9460" s="36">
        <f>base!H9460</f>
        <v>0</v>
      </c>
      <c r="E9460" s="44"/>
      <c r="F9460" s="16">
        <f>base!W9460</f>
        <v>0</v>
      </c>
      <c r="G9460" s="11" t="e">
        <f t="shared" si="1451"/>
        <v>#DIV/0!</v>
      </c>
      <c r="H9460" s="11" t="e">
        <f t="shared" si="1452"/>
        <v>#N/A</v>
      </c>
      <c r="I9460" s="11" t="e">
        <f t="shared" si="1453"/>
        <v>#N/A</v>
      </c>
      <c r="J9460" s="12" t="e">
        <f t="shared" si="1454"/>
        <v>#N/A</v>
      </c>
      <c r="K9460" s="17" t="e">
        <f t="shared" si="1458"/>
        <v>#N/A</v>
      </c>
      <c r="L9460" s="16">
        <f>base!X9460</f>
        <v>0</v>
      </c>
      <c r="M9460" s="11" t="e">
        <f t="shared" si="1455"/>
        <v>#DIV/0!</v>
      </c>
      <c r="N9460" s="11"/>
      <c r="O9460" s="11" t="e">
        <f t="shared" si="1456"/>
        <v>#DIV/0!</v>
      </c>
      <c r="P9460" s="12">
        <f t="shared" si="1457"/>
        <v>0</v>
      </c>
      <c r="Q9460" s="17" t="str">
        <f t="shared" si="1459"/>
        <v>Pas d'écart</v>
      </c>
    </row>
    <row r="9461" spans="1:17" x14ac:dyDescent="0.3">
      <c r="A9461" s="34">
        <f>base!J9461</f>
        <v>0</v>
      </c>
      <c r="B9461" s="34">
        <f>base!V9461</f>
        <v>0</v>
      </c>
      <c r="C9461" s="40" t="s">
        <v>11</v>
      </c>
      <c r="D9461" s="36">
        <f>base!H9461</f>
        <v>0</v>
      </c>
      <c r="E9461" s="44"/>
      <c r="F9461" s="16">
        <f>base!W9461</f>
        <v>0</v>
      </c>
      <c r="G9461" s="11" t="e">
        <f t="shared" si="1451"/>
        <v>#DIV/0!</v>
      </c>
      <c r="H9461" s="11" t="e">
        <f t="shared" si="1452"/>
        <v>#N/A</v>
      </c>
      <c r="I9461" s="11" t="e">
        <f t="shared" si="1453"/>
        <v>#N/A</v>
      </c>
      <c r="J9461" s="12" t="e">
        <f t="shared" si="1454"/>
        <v>#N/A</v>
      </c>
      <c r="K9461" s="17" t="e">
        <f t="shared" si="1458"/>
        <v>#N/A</v>
      </c>
      <c r="L9461" s="16">
        <f>base!X9461</f>
        <v>0</v>
      </c>
      <c r="M9461" s="11" t="e">
        <f t="shared" si="1455"/>
        <v>#DIV/0!</v>
      </c>
      <c r="N9461" s="11"/>
      <c r="O9461" s="11" t="e">
        <f t="shared" si="1456"/>
        <v>#DIV/0!</v>
      </c>
      <c r="P9461" s="12">
        <f t="shared" si="1457"/>
        <v>0</v>
      </c>
      <c r="Q9461" s="17" t="str">
        <f t="shared" si="1459"/>
        <v>Pas d'écart</v>
      </c>
    </row>
    <row r="9462" spans="1:17" x14ac:dyDescent="0.3">
      <c r="A9462" s="34">
        <f>base!J9462</f>
        <v>0</v>
      </c>
      <c r="B9462" s="34">
        <f>base!V9462</f>
        <v>0</v>
      </c>
      <c r="C9462" s="40" t="s">
        <v>11</v>
      </c>
      <c r="D9462" s="36">
        <f>base!H9462</f>
        <v>0</v>
      </c>
      <c r="E9462" s="44"/>
      <c r="F9462" s="16">
        <f>base!W9462</f>
        <v>0</v>
      </c>
      <c r="G9462" s="11" t="e">
        <f t="shared" si="1451"/>
        <v>#DIV/0!</v>
      </c>
      <c r="H9462" s="11" t="e">
        <f t="shared" si="1452"/>
        <v>#N/A</v>
      </c>
      <c r="I9462" s="11" t="e">
        <f t="shared" si="1453"/>
        <v>#N/A</v>
      </c>
      <c r="J9462" s="12" t="e">
        <f t="shared" si="1454"/>
        <v>#N/A</v>
      </c>
      <c r="K9462" s="17" t="e">
        <f t="shared" si="1458"/>
        <v>#N/A</v>
      </c>
      <c r="L9462" s="16">
        <f>base!X9462</f>
        <v>0</v>
      </c>
      <c r="M9462" s="11" t="e">
        <f t="shared" si="1455"/>
        <v>#DIV/0!</v>
      </c>
      <c r="N9462" s="11"/>
      <c r="O9462" s="11" t="e">
        <f t="shared" si="1456"/>
        <v>#DIV/0!</v>
      </c>
      <c r="P9462" s="12">
        <f t="shared" si="1457"/>
        <v>0</v>
      </c>
      <c r="Q9462" s="17" t="str">
        <f t="shared" si="1459"/>
        <v>Pas d'écart</v>
      </c>
    </row>
    <row r="9463" spans="1:17" x14ac:dyDescent="0.3">
      <c r="A9463" s="34">
        <f>base!J9463</f>
        <v>0</v>
      </c>
      <c r="B9463" s="34">
        <f>base!V9463</f>
        <v>0</v>
      </c>
      <c r="C9463" s="40" t="s">
        <v>11</v>
      </c>
      <c r="D9463" s="36">
        <f>base!H9463</f>
        <v>0</v>
      </c>
      <c r="E9463" s="44"/>
      <c r="F9463" s="16">
        <f>base!W9463</f>
        <v>0</v>
      </c>
      <c r="G9463" s="11" t="e">
        <f t="shared" si="1451"/>
        <v>#DIV/0!</v>
      </c>
      <c r="H9463" s="11" t="e">
        <f t="shared" si="1452"/>
        <v>#N/A</v>
      </c>
      <c r="I9463" s="11" t="e">
        <f t="shared" si="1453"/>
        <v>#N/A</v>
      </c>
      <c r="J9463" s="12" t="e">
        <f t="shared" si="1454"/>
        <v>#N/A</v>
      </c>
      <c r="K9463" s="17" t="e">
        <f t="shared" si="1458"/>
        <v>#N/A</v>
      </c>
      <c r="L9463" s="16">
        <f>base!X9463</f>
        <v>0</v>
      </c>
      <c r="M9463" s="11" t="e">
        <f t="shared" si="1455"/>
        <v>#DIV/0!</v>
      </c>
      <c r="N9463" s="11"/>
      <c r="O9463" s="11" t="e">
        <f t="shared" si="1456"/>
        <v>#DIV/0!</v>
      </c>
      <c r="P9463" s="12">
        <f t="shared" si="1457"/>
        <v>0</v>
      </c>
      <c r="Q9463" s="17" t="str">
        <f t="shared" si="1459"/>
        <v>Pas d'écart</v>
      </c>
    </row>
    <row r="9464" spans="1:17" x14ac:dyDescent="0.3">
      <c r="A9464" s="34">
        <f>base!J9464</f>
        <v>0</v>
      </c>
      <c r="B9464" s="34">
        <f>base!V9464</f>
        <v>0</v>
      </c>
      <c r="C9464" s="40" t="s">
        <v>11</v>
      </c>
      <c r="D9464" s="36">
        <f>base!H9464</f>
        <v>0</v>
      </c>
      <c r="E9464" s="44"/>
      <c r="F9464" s="16">
        <f>base!W9464</f>
        <v>0</v>
      </c>
      <c r="G9464" s="11" t="e">
        <f t="shared" si="1451"/>
        <v>#DIV/0!</v>
      </c>
      <c r="H9464" s="11" t="e">
        <f t="shared" si="1452"/>
        <v>#N/A</v>
      </c>
      <c r="I9464" s="11" t="e">
        <f t="shared" si="1453"/>
        <v>#N/A</v>
      </c>
      <c r="J9464" s="12" t="e">
        <f t="shared" si="1454"/>
        <v>#N/A</v>
      </c>
      <c r="K9464" s="17" t="e">
        <f t="shared" si="1458"/>
        <v>#N/A</v>
      </c>
      <c r="L9464" s="16">
        <f>base!X9464</f>
        <v>0</v>
      </c>
      <c r="M9464" s="11" t="e">
        <f t="shared" si="1455"/>
        <v>#DIV/0!</v>
      </c>
      <c r="N9464" s="11"/>
      <c r="O9464" s="11" t="e">
        <f t="shared" si="1456"/>
        <v>#DIV/0!</v>
      </c>
      <c r="P9464" s="12">
        <f t="shared" si="1457"/>
        <v>0</v>
      </c>
      <c r="Q9464" s="17" t="str">
        <f t="shared" si="1459"/>
        <v>Pas d'écart</v>
      </c>
    </row>
    <row r="9465" spans="1:17" x14ac:dyDescent="0.3">
      <c r="A9465" s="34">
        <f>base!J9465</f>
        <v>0</v>
      </c>
      <c r="B9465" s="34">
        <f>base!V9465</f>
        <v>0</v>
      </c>
      <c r="C9465" s="40" t="s">
        <v>11</v>
      </c>
      <c r="D9465" s="36">
        <f>base!H9465</f>
        <v>0</v>
      </c>
      <c r="E9465" s="44"/>
      <c r="F9465" s="16">
        <f>base!W9465</f>
        <v>0</v>
      </c>
      <c r="G9465" s="11" t="e">
        <f t="shared" si="1451"/>
        <v>#DIV/0!</v>
      </c>
      <c r="H9465" s="11" t="e">
        <f t="shared" si="1452"/>
        <v>#N/A</v>
      </c>
      <c r="I9465" s="11" t="e">
        <f t="shared" si="1453"/>
        <v>#N/A</v>
      </c>
      <c r="J9465" s="12" t="e">
        <f t="shared" si="1454"/>
        <v>#N/A</v>
      </c>
      <c r="K9465" s="17" t="e">
        <f t="shared" si="1458"/>
        <v>#N/A</v>
      </c>
      <c r="L9465" s="16">
        <f>base!X9465</f>
        <v>0</v>
      </c>
      <c r="M9465" s="11" t="e">
        <f t="shared" si="1455"/>
        <v>#DIV/0!</v>
      </c>
      <c r="N9465" s="11"/>
      <c r="O9465" s="11" t="e">
        <f t="shared" si="1456"/>
        <v>#DIV/0!</v>
      </c>
      <c r="P9465" s="12">
        <f t="shared" si="1457"/>
        <v>0</v>
      </c>
      <c r="Q9465" s="17" t="str">
        <f t="shared" si="1459"/>
        <v>Pas d'écart</v>
      </c>
    </row>
    <row r="9466" spans="1:17" x14ac:dyDescent="0.3">
      <c r="A9466" s="34">
        <f>base!J9466</f>
        <v>0</v>
      </c>
      <c r="B9466" s="34">
        <f>base!V9466</f>
        <v>0</v>
      </c>
      <c r="C9466" s="40" t="s">
        <v>11</v>
      </c>
      <c r="D9466" s="36">
        <f>base!H9466</f>
        <v>0</v>
      </c>
      <c r="E9466" s="44"/>
      <c r="F9466" s="16">
        <f>base!W9466</f>
        <v>0</v>
      </c>
      <c r="G9466" s="11" t="e">
        <f t="shared" si="1451"/>
        <v>#DIV/0!</v>
      </c>
      <c r="H9466" s="11" t="e">
        <f t="shared" si="1452"/>
        <v>#N/A</v>
      </c>
      <c r="I9466" s="11" t="e">
        <f t="shared" si="1453"/>
        <v>#N/A</v>
      </c>
      <c r="J9466" s="12" t="e">
        <f t="shared" si="1454"/>
        <v>#N/A</v>
      </c>
      <c r="K9466" s="17" t="e">
        <f t="shared" si="1458"/>
        <v>#N/A</v>
      </c>
      <c r="L9466" s="16">
        <f>base!X9466</f>
        <v>0</v>
      </c>
      <c r="M9466" s="11" t="e">
        <f t="shared" si="1455"/>
        <v>#DIV/0!</v>
      </c>
      <c r="N9466" s="11"/>
      <c r="O9466" s="11" t="e">
        <f t="shared" si="1456"/>
        <v>#DIV/0!</v>
      </c>
      <c r="P9466" s="12">
        <f t="shared" si="1457"/>
        <v>0</v>
      </c>
      <c r="Q9466" s="17" t="str">
        <f t="shared" si="1459"/>
        <v>Pas d'écart</v>
      </c>
    </row>
    <row r="9467" spans="1:17" x14ac:dyDescent="0.3">
      <c r="A9467" s="34">
        <f>base!J9467</f>
        <v>0</v>
      </c>
      <c r="B9467" s="34">
        <f>base!V9467</f>
        <v>0</v>
      </c>
      <c r="C9467" s="40" t="s">
        <v>11</v>
      </c>
      <c r="D9467" s="36">
        <f>base!H9467</f>
        <v>0</v>
      </c>
      <c r="E9467" s="44"/>
      <c r="F9467" s="16">
        <f>base!W9467</f>
        <v>0</v>
      </c>
      <c r="G9467" s="11" t="e">
        <f t="shared" si="1451"/>
        <v>#DIV/0!</v>
      </c>
      <c r="H9467" s="11" t="e">
        <f t="shared" si="1452"/>
        <v>#N/A</v>
      </c>
      <c r="I9467" s="11" t="e">
        <f t="shared" si="1453"/>
        <v>#N/A</v>
      </c>
      <c r="J9467" s="12" t="e">
        <f t="shared" si="1454"/>
        <v>#N/A</v>
      </c>
      <c r="K9467" s="17" t="e">
        <f t="shared" si="1458"/>
        <v>#N/A</v>
      </c>
      <c r="L9467" s="16">
        <f>base!X9467</f>
        <v>0</v>
      </c>
      <c r="M9467" s="11" t="e">
        <f t="shared" si="1455"/>
        <v>#DIV/0!</v>
      </c>
      <c r="N9467" s="11"/>
      <c r="O9467" s="11" t="e">
        <f t="shared" si="1456"/>
        <v>#DIV/0!</v>
      </c>
      <c r="P9467" s="12">
        <f t="shared" si="1457"/>
        <v>0</v>
      </c>
      <c r="Q9467" s="17" t="str">
        <f t="shared" si="1459"/>
        <v>Pas d'écart</v>
      </c>
    </row>
    <row r="9468" spans="1:17" x14ac:dyDescent="0.3">
      <c r="A9468" s="34">
        <f>base!J9468</f>
        <v>0</v>
      </c>
      <c r="B9468" s="34">
        <f>base!V9468</f>
        <v>0</v>
      </c>
      <c r="C9468" s="40" t="s">
        <v>11</v>
      </c>
      <c r="D9468" s="36">
        <f>base!H9468</f>
        <v>0</v>
      </c>
      <c r="E9468" s="44"/>
      <c r="F9468" s="16">
        <f>base!W9468</f>
        <v>0</v>
      </c>
      <c r="G9468" s="11" t="e">
        <f t="shared" si="1451"/>
        <v>#DIV/0!</v>
      </c>
      <c r="H9468" s="11" t="e">
        <f t="shared" si="1452"/>
        <v>#N/A</v>
      </c>
      <c r="I9468" s="11" t="e">
        <f t="shared" si="1453"/>
        <v>#N/A</v>
      </c>
      <c r="J9468" s="12" t="e">
        <f t="shared" si="1454"/>
        <v>#N/A</v>
      </c>
      <c r="K9468" s="17" t="e">
        <f t="shared" si="1458"/>
        <v>#N/A</v>
      </c>
      <c r="L9468" s="16">
        <f>base!X9468</f>
        <v>0</v>
      </c>
      <c r="M9468" s="11" t="e">
        <f t="shared" si="1455"/>
        <v>#DIV/0!</v>
      </c>
      <c r="N9468" s="11"/>
      <c r="O9468" s="11" t="e">
        <f t="shared" si="1456"/>
        <v>#DIV/0!</v>
      </c>
      <c r="P9468" s="12">
        <f t="shared" si="1457"/>
        <v>0</v>
      </c>
      <c r="Q9468" s="17" t="str">
        <f t="shared" si="1459"/>
        <v>Pas d'écart</v>
      </c>
    </row>
    <row r="9469" spans="1:17" x14ac:dyDescent="0.3">
      <c r="A9469" s="34">
        <f>base!J9469</f>
        <v>0</v>
      </c>
      <c r="B9469" s="34">
        <f>base!V9469</f>
        <v>0</v>
      </c>
      <c r="C9469" s="40" t="s">
        <v>11</v>
      </c>
      <c r="D9469" s="36">
        <f>base!H9469</f>
        <v>0</v>
      </c>
      <c r="E9469" s="44"/>
      <c r="F9469" s="16">
        <f>base!W9469</f>
        <v>0</v>
      </c>
      <c r="G9469" s="11" t="e">
        <f t="shared" si="1451"/>
        <v>#DIV/0!</v>
      </c>
      <c r="H9469" s="11" t="e">
        <f t="shared" si="1452"/>
        <v>#N/A</v>
      </c>
      <c r="I9469" s="11" t="e">
        <f t="shared" si="1453"/>
        <v>#N/A</v>
      </c>
      <c r="J9469" s="12" t="e">
        <f t="shared" si="1454"/>
        <v>#N/A</v>
      </c>
      <c r="K9469" s="17" t="e">
        <f t="shared" si="1458"/>
        <v>#N/A</v>
      </c>
      <c r="L9469" s="16">
        <f>base!X9469</f>
        <v>0</v>
      </c>
      <c r="M9469" s="11" t="e">
        <f t="shared" si="1455"/>
        <v>#DIV/0!</v>
      </c>
      <c r="N9469" s="11"/>
      <c r="O9469" s="11" t="e">
        <f t="shared" si="1456"/>
        <v>#DIV/0!</v>
      </c>
      <c r="P9469" s="12">
        <f t="shared" si="1457"/>
        <v>0</v>
      </c>
      <c r="Q9469" s="17" t="str">
        <f t="shared" si="1459"/>
        <v>Pas d'écart</v>
      </c>
    </row>
    <row r="9470" spans="1:17" x14ac:dyDescent="0.3">
      <c r="A9470" s="34">
        <f>base!J9470</f>
        <v>0</v>
      </c>
      <c r="B9470" s="34">
        <f>base!V9470</f>
        <v>0</v>
      </c>
      <c r="C9470" s="40" t="s">
        <v>11</v>
      </c>
      <c r="D9470" s="36">
        <f>base!H9470</f>
        <v>0</v>
      </c>
      <c r="E9470" s="44"/>
      <c r="F9470" s="16">
        <f>base!W9470</f>
        <v>0</v>
      </c>
      <c r="G9470" s="11" t="e">
        <f t="shared" si="1451"/>
        <v>#DIV/0!</v>
      </c>
      <c r="H9470" s="11" t="e">
        <f t="shared" si="1452"/>
        <v>#N/A</v>
      </c>
      <c r="I9470" s="11" t="e">
        <f t="shared" si="1453"/>
        <v>#N/A</v>
      </c>
      <c r="J9470" s="12" t="e">
        <f t="shared" si="1454"/>
        <v>#N/A</v>
      </c>
      <c r="K9470" s="17" t="e">
        <f t="shared" si="1458"/>
        <v>#N/A</v>
      </c>
      <c r="L9470" s="16">
        <f>base!X9470</f>
        <v>0</v>
      </c>
      <c r="M9470" s="11" t="e">
        <f t="shared" si="1455"/>
        <v>#DIV/0!</v>
      </c>
      <c r="N9470" s="11"/>
      <c r="O9470" s="11" t="e">
        <f t="shared" si="1456"/>
        <v>#DIV/0!</v>
      </c>
      <c r="P9470" s="12">
        <f t="shared" si="1457"/>
        <v>0</v>
      </c>
      <c r="Q9470" s="17" t="str">
        <f t="shared" si="1459"/>
        <v>Pas d'écart</v>
      </c>
    </row>
    <row r="9471" spans="1:17" x14ac:dyDescent="0.3">
      <c r="A9471" s="34">
        <f>base!J9471</f>
        <v>0</v>
      </c>
      <c r="B9471" s="34">
        <f>base!V9471</f>
        <v>0</v>
      </c>
      <c r="C9471" s="40" t="s">
        <v>11</v>
      </c>
      <c r="D9471" s="36">
        <f>base!H9471</f>
        <v>0</v>
      </c>
      <c r="E9471" s="44"/>
      <c r="F9471" s="16">
        <f>base!W9471</f>
        <v>0</v>
      </c>
      <c r="G9471" s="11" t="e">
        <f t="shared" si="1451"/>
        <v>#DIV/0!</v>
      </c>
      <c r="H9471" s="11" t="e">
        <f t="shared" si="1452"/>
        <v>#N/A</v>
      </c>
      <c r="I9471" s="11" t="e">
        <f t="shared" si="1453"/>
        <v>#N/A</v>
      </c>
      <c r="J9471" s="12" t="e">
        <f t="shared" si="1454"/>
        <v>#N/A</v>
      </c>
      <c r="K9471" s="17" t="e">
        <f t="shared" si="1458"/>
        <v>#N/A</v>
      </c>
      <c r="L9471" s="16">
        <f>base!X9471</f>
        <v>0</v>
      </c>
      <c r="M9471" s="11" t="e">
        <f t="shared" si="1455"/>
        <v>#DIV/0!</v>
      </c>
      <c r="N9471" s="11"/>
      <c r="O9471" s="11" t="e">
        <f t="shared" si="1456"/>
        <v>#DIV/0!</v>
      </c>
      <c r="P9471" s="12">
        <f t="shared" si="1457"/>
        <v>0</v>
      </c>
      <c r="Q9471" s="17" t="str">
        <f t="shared" si="1459"/>
        <v>Pas d'écart</v>
      </c>
    </row>
    <row r="9472" spans="1:17" x14ac:dyDescent="0.3">
      <c r="A9472" s="34">
        <f>base!J9472</f>
        <v>0</v>
      </c>
      <c r="B9472" s="34">
        <f>base!V9472</f>
        <v>0</v>
      </c>
      <c r="C9472" s="40" t="s">
        <v>11</v>
      </c>
      <c r="D9472" s="36">
        <f>base!H9472</f>
        <v>0</v>
      </c>
      <c r="E9472" s="44"/>
      <c r="F9472" s="16">
        <f>base!W9472</f>
        <v>0</v>
      </c>
      <c r="G9472" s="11" t="e">
        <f t="shared" si="1451"/>
        <v>#DIV/0!</v>
      </c>
      <c r="H9472" s="11" t="e">
        <f t="shared" si="1452"/>
        <v>#N/A</v>
      </c>
      <c r="I9472" s="11" t="e">
        <f t="shared" si="1453"/>
        <v>#N/A</v>
      </c>
      <c r="J9472" s="12" t="e">
        <f t="shared" si="1454"/>
        <v>#N/A</v>
      </c>
      <c r="K9472" s="17" t="e">
        <f t="shared" si="1458"/>
        <v>#N/A</v>
      </c>
      <c r="L9472" s="16">
        <f>base!X9472</f>
        <v>0</v>
      </c>
      <c r="M9472" s="11" t="e">
        <f t="shared" si="1455"/>
        <v>#DIV/0!</v>
      </c>
      <c r="N9472" s="11"/>
      <c r="O9472" s="11" t="e">
        <f t="shared" si="1456"/>
        <v>#DIV/0!</v>
      </c>
      <c r="P9472" s="12">
        <f t="shared" si="1457"/>
        <v>0</v>
      </c>
      <c r="Q9472" s="17" t="str">
        <f t="shared" si="1459"/>
        <v>Pas d'écart</v>
      </c>
    </row>
    <row r="9473" spans="1:17" x14ac:dyDescent="0.3">
      <c r="A9473" s="34">
        <f>base!J9473</f>
        <v>0</v>
      </c>
      <c r="B9473" s="34">
        <f>base!V9473</f>
        <v>0</v>
      </c>
      <c r="C9473" s="40" t="s">
        <v>11</v>
      </c>
      <c r="D9473" s="36">
        <f>base!H9473</f>
        <v>0</v>
      </c>
      <c r="E9473" s="44"/>
      <c r="F9473" s="16">
        <f>base!W9473</f>
        <v>0</v>
      </c>
      <c r="G9473" s="11" t="e">
        <f t="shared" si="1451"/>
        <v>#DIV/0!</v>
      </c>
      <c r="H9473" s="11" t="e">
        <f t="shared" si="1452"/>
        <v>#N/A</v>
      </c>
      <c r="I9473" s="11" t="e">
        <f t="shared" si="1453"/>
        <v>#N/A</v>
      </c>
      <c r="J9473" s="12" t="e">
        <f t="shared" si="1454"/>
        <v>#N/A</v>
      </c>
      <c r="K9473" s="17" t="e">
        <f t="shared" si="1458"/>
        <v>#N/A</v>
      </c>
      <c r="L9473" s="16">
        <f>base!X9473</f>
        <v>0</v>
      </c>
      <c r="M9473" s="11" t="e">
        <f t="shared" si="1455"/>
        <v>#DIV/0!</v>
      </c>
      <c r="N9473" s="11"/>
      <c r="O9473" s="11" t="e">
        <f t="shared" si="1456"/>
        <v>#DIV/0!</v>
      </c>
      <c r="P9473" s="12">
        <f t="shared" si="1457"/>
        <v>0</v>
      </c>
      <c r="Q9473" s="17" t="str">
        <f t="shared" si="1459"/>
        <v>Pas d'écart</v>
      </c>
    </row>
    <row r="9474" spans="1:17" x14ac:dyDescent="0.3">
      <c r="A9474" s="34">
        <f>base!J9474</f>
        <v>0</v>
      </c>
      <c r="B9474" s="34">
        <f>base!V9474</f>
        <v>0</v>
      </c>
      <c r="C9474" s="40" t="s">
        <v>11</v>
      </c>
      <c r="D9474" s="36">
        <f>base!H9474</f>
        <v>0</v>
      </c>
      <c r="E9474" s="44"/>
      <c r="F9474" s="16">
        <f>base!W9474</f>
        <v>0</v>
      </c>
      <c r="G9474" s="11" t="e">
        <f t="shared" ref="G9474:G9537" si="1460">F9474/D9474</f>
        <v>#DIV/0!</v>
      </c>
      <c r="H9474" s="11" t="e">
        <f t="shared" ref="H9474:H9537" si="1461">VLOOKUP(C9474,tout_cout_traction,2,FALSE)*D9474</f>
        <v>#N/A</v>
      </c>
      <c r="I9474" s="11" t="e">
        <f t="shared" ref="I9474:I9537" si="1462">H9474/D9474</f>
        <v>#N/A</v>
      </c>
      <c r="J9474" s="12" t="e">
        <f t="shared" ref="J9474:J9537" si="1463">F9474-H9474</f>
        <v>#N/A</v>
      </c>
      <c r="K9474" s="17" t="e">
        <f t="shared" si="1458"/>
        <v>#N/A</v>
      </c>
      <c r="L9474" s="16">
        <f>base!X9474</f>
        <v>0</v>
      </c>
      <c r="M9474" s="11" t="e">
        <f t="shared" ref="M9474:M9537" si="1464">L9474/D9474</f>
        <v>#DIV/0!</v>
      </c>
      <c r="N9474" s="11"/>
      <c r="O9474" s="11" t="e">
        <f t="shared" ref="O9474:O9537" si="1465">N9474/D9474</f>
        <v>#DIV/0!</v>
      </c>
      <c r="P9474" s="12">
        <f t="shared" ref="P9474:P9537" si="1466">L9474-N9474</f>
        <v>0</v>
      </c>
      <c r="Q9474" s="17" t="str">
        <f t="shared" si="1459"/>
        <v>Pas d'écart</v>
      </c>
    </row>
    <row r="9475" spans="1:17" x14ac:dyDescent="0.3">
      <c r="A9475" s="34">
        <f>base!J9475</f>
        <v>0</v>
      </c>
      <c r="B9475" s="34">
        <f>base!V9475</f>
        <v>0</v>
      </c>
      <c r="C9475" s="40" t="s">
        <v>11</v>
      </c>
      <c r="D9475" s="36">
        <f>base!H9475</f>
        <v>0</v>
      </c>
      <c r="E9475" s="44"/>
      <c r="F9475" s="16">
        <f>base!W9475</f>
        <v>0</v>
      </c>
      <c r="G9475" s="11" t="e">
        <f t="shared" si="1460"/>
        <v>#DIV/0!</v>
      </c>
      <c r="H9475" s="11" t="e">
        <f t="shared" si="1461"/>
        <v>#N/A</v>
      </c>
      <c r="I9475" s="11" t="e">
        <f t="shared" si="1462"/>
        <v>#N/A</v>
      </c>
      <c r="J9475" s="12" t="e">
        <f t="shared" si="1463"/>
        <v>#N/A</v>
      </c>
      <c r="K9475" s="17" t="e">
        <f t="shared" ref="K9475:K9538" si="1467">IF(H9475=F9475,"Pas d'écart",IF(H9475&lt;F9475,"Ecart positif",IF(H9475&gt;F9475,"Ecart négatif")))</f>
        <v>#N/A</v>
      </c>
      <c r="L9475" s="16">
        <f>base!X9475</f>
        <v>0</v>
      </c>
      <c r="M9475" s="11" t="e">
        <f t="shared" si="1464"/>
        <v>#DIV/0!</v>
      </c>
      <c r="N9475" s="11"/>
      <c r="O9475" s="11" t="e">
        <f t="shared" si="1465"/>
        <v>#DIV/0!</v>
      </c>
      <c r="P9475" s="12">
        <f t="shared" si="1466"/>
        <v>0</v>
      </c>
      <c r="Q9475" s="17" t="str">
        <f t="shared" ref="Q9475:Q9538" si="1468">IF(N9475=L9475,"Pas d'écart",IF(N9475&lt;L9475,"Ecart positif",IF(N9475&gt;L9475,"Ecart négatif")))</f>
        <v>Pas d'écart</v>
      </c>
    </row>
    <row r="9476" spans="1:17" x14ac:dyDescent="0.3">
      <c r="A9476" s="34">
        <f>base!J9476</f>
        <v>0</v>
      </c>
      <c r="B9476" s="34">
        <f>base!V9476</f>
        <v>0</v>
      </c>
      <c r="C9476" s="40" t="s">
        <v>11</v>
      </c>
      <c r="D9476" s="36">
        <f>base!H9476</f>
        <v>0</v>
      </c>
      <c r="E9476" s="44"/>
      <c r="F9476" s="16">
        <f>base!W9476</f>
        <v>0</v>
      </c>
      <c r="G9476" s="11" t="e">
        <f t="shared" si="1460"/>
        <v>#DIV/0!</v>
      </c>
      <c r="H9476" s="11" t="e">
        <f t="shared" si="1461"/>
        <v>#N/A</v>
      </c>
      <c r="I9476" s="11" t="e">
        <f t="shared" si="1462"/>
        <v>#N/A</v>
      </c>
      <c r="J9476" s="12" t="e">
        <f t="shared" si="1463"/>
        <v>#N/A</v>
      </c>
      <c r="K9476" s="17" t="e">
        <f t="shared" si="1467"/>
        <v>#N/A</v>
      </c>
      <c r="L9476" s="16">
        <f>base!X9476</f>
        <v>0</v>
      </c>
      <c r="M9476" s="11" t="e">
        <f t="shared" si="1464"/>
        <v>#DIV/0!</v>
      </c>
      <c r="N9476" s="11"/>
      <c r="O9476" s="11" t="e">
        <f t="shared" si="1465"/>
        <v>#DIV/0!</v>
      </c>
      <c r="P9476" s="12">
        <f t="shared" si="1466"/>
        <v>0</v>
      </c>
      <c r="Q9476" s="17" t="str">
        <f t="shared" si="1468"/>
        <v>Pas d'écart</v>
      </c>
    </row>
    <row r="9477" spans="1:17" x14ac:dyDescent="0.3">
      <c r="A9477" s="34">
        <f>base!J9477</f>
        <v>0</v>
      </c>
      <c r="B9477" s="34">
        <f>base!V9477</f>
        <v>0</v>
      </c>
      <c r="C9477" s="40" t="s">
        <v>11</v>
      </c>
      <c r="D9477" s="36">
        <f>base!H9477</f>
        <v>0</v>
      </c>
      <c r="E9477" s="44"/>
      <c r="F9477" s="16">
        <f>base!W9477</f>
        <v>0</v>
      </c>
      <c r="G9477" s="11" t="e">
        <f t="shared" si="1460"/>
        <v>#DIV/0!</v>
      </c>
      <c r="H9477" s="11" t="e">
        <f t="shared" si="1461"/>
        <v>#N/A</v>
      </c>
      <c r="I9477" s="11" t="e">
        <f t="shared" si="1462"/>
        <v>#N/A</v>
      </c>
      <c r="J9477" s="12" t="e">
        <f t="shared" si="1463"/>
        <v>#N/A</v>
      </c>
      <c r="K9477" s="17" t="e">
        <f t="shared" si="1467"/>
        <v>#N/A</v>
      </c>
      <c r="L9477" s="16">
        <f>base!X9477</f>
        <v>0</v>
      </c>
      <c r="M9477" s="11" t="e">
        <f t="shared" si="1464"/>
        <v>#DIV/0!</v>
      </c>
      <c r="N9477" s="11"/>
      <c r="O9477" s="11" t="e">
        <f t="shared" si="1465"/>
        <v>#DIV/0!</v>
      </c>
      <c r="P9477" s="12">
        <f t="shared" si="1466"/>
        <v>0</v>
      </c>
      <c r="Q9477" s="17" t="str">
        <f t="shared" si="1468"/>
        <v>Pas d'écart</v>
      </c>
    </row>
    <row r="9478" spans="1:17" x14ac:dyDescent="0.3">
      <c r="A9478" s="34">
        <f>base!J9478</f>
        <v>0</v>
      </c>
      <c r="B9478" s="34">
        <f>base!V9478</f>
        <v>0</v>
      </c>
      <c r="C9478" s="40" t="s">
        <v>11</v>
      </c>
      <c r="D9478" s="36">
        <f>base!H9478</f>
        <v>0</v>
      </c>
      <c r="E9478" s="44"/>
      <c r="F9478" s="16">
        <f>base!W9478</f>
        <v>0</v>
      </c>
      <c r="G9478" s="11" t="e">
        <f t="shared" si="1460"/>
        <v>#DIV/0!</v>
      </c>
      <c r="H9478" s="11" t="e">
        <f t="shared" si="1461"/>
        <v>#N/A</v>
      </c>
      <c r="I9478" s="11" t="e">
        <f t="shared" si="1462"/>
        <v>#N/A</v>
      </c>
      <c r="J9478" s="12" t="e">
        <f t="shared" si="1463"/>
        <v>#N/A</v>
      </c>
      <c r="K9478" s="17" t="e">
        <f t="shared" si="1467"/>
        <v>#N/A</v>
      </c>
      <c r="L9478" s="16">
        <f>base!X9478</f>
        <v>0</v>
      </c>
      <c r="M9478" s="11" t="e">
        <f t="shared" si="1464"/>
        <v>#DIV/0!</v>
      </c>
      <c r="N9478" s="11"/>
      <c r="O9478" s="11" t="e">
        <f t="shared" si="1465"/>
        <v>#DIV/0!</v>
      </c>
      <c r="P9478" s="12">
        <f t="shared" si="1466"/>
        <v>0</v>
      </c>
      <c r="Q9478" s="17" t="str">
        <f t="shared" si="1468"/>
        <v>Pas d'écart</v>
      </c>
    </row>
    <row r="9479" spans="1:17" x14ac:dyDescent="0.3">
      <c r="A9479" s="34">
        <f>base!J9479</f>
        <v>0</v>
      </c>
      <c r="B9479" s="34">
        <f>base!V9479</f>
        <v>0</v>
      </c>
      <c r="C9479" s="40" t="s">
        <v>11</v>
      </c>
      <c r="D9479" s="36">
        <f>base!H9479</f>
        <v>0</v>
      </c>
      <c r="E9479" s="44"/>
      <c r="F9479" s="16">
        <f>base!W9479</f>
        <v>0</v>
      </c>
      <c r="G9479" s="11" t="e">
        <f t="shared" si="1460"/>
        <v>#DIV/0!</v>
      </c>
      <c r="H9479" s="11" t="e">
        <f t="shared" si="1461"/>
        <v>#N/A</v>
      </c>
      <c r="I9479" s="11" t="e">
        <f t="shared" si="1462"/>
        <v>#N/A</v>
      </c>
      <c r="J9479" s="12" t="e">
        <f t="shared" si="1463"/>
        <v>#N/A</v>
      </c>
      <c r="K9479" s="17" t="e">
        <f t="shared" si="1467"/>
        <v>#N/A</v>
      </c>
      <c r="L9479" s="16">
        <f>base!X9479</f>
        <v>0</v>
      </c>
      <c r="M9479" s="11" t="e">
        <f t="shared" si="1464"/>
        <v>#DIV/0!</v>
      </c>
      <c r="N9479" s="11"/>
      <c r="O9479" s="11" t="e">
        <f t="shared" si="1465"/>
        <v>#DIV/0!</v>
      </c>
      <c r="P9479" s="12">
        <f t="shared" si="1466"/>
        <v>0</v>
      </c>
      <c r="Q9479" s="17" t="str">
        <f t="shared" si="1468"/>
        <v>Pas d'écart</v>
      </c>
    </row>
    <row r="9480" spans="1:17" x14ac:dyDescent="0.3">
      <c r="A9480" s="34">
        <f>base!J9480</f>
        <v>0</v>
      </c>
      <c r="B9480" s="34">
        <f>base!V9480</f>
        <v>0</v>
      </c>
      <c r="C9480" s="40" t="s">
        <v>11</v>
      </c>
      <c r="D9480" s="36">
        <f>base!H9480</f>
        <v>0</v>
      </c>
      <c r="E9480" s="44"/>
      <c r="F9480" s="16">
        <f>base!W9480</f>
        <v>0</v>
      </c>
      <c r="G9480" s="11" t="e">
        <f t="shared" si="1460"/>
        <v>#DIV/0!</v>
      </c>
      <c r="H9480" s="11" t="e">
        <f t="shared" si="1461"/>
        <v>#N/A</v>
      </c>
      <c r="I9480" s="11" t="e">
        <f t="shared" si="1462"/>
        <v>#N/A</v>
      </c>
      <c r="J9480" s="12" t="e">
        <f t="shared" si="1463"/>
        <v>#N/A</v>
      </c>
      <c r="K9480" s="17" t="e">
        <f t="shared" si="1467"/>
        <v>#N/A</v>
      </c>
      <c r="L9480" s="16">
        <f>base!X9480</f>
        <v>0</v>
      </c>
      <c r="M9480" s="11" t="e">
        <f t="shared" si="1464"/>
        <v>#DIV/0!</v>
      </c>
      <c r="N9480" s="11"/>
      <c r="O9480" s="11" t="e">
        <f t="shared" si="1465"/>
        <v>#DIV/0!</v>
      </c>
      <c r="P9480" s="12">
        <f t="shared" si="1466"/>
        <v>0</v>
      </c>
      <c r="Q9480" s="17" t="str">
        <f t="shared" si="1468"/>
        <v>Pas d'écart</v>
      </c>
    </row>
    <row r="9481" spans="1:17" x14ac:dyDescent="0.3">
      <c r="A9481" s="34">
        <f>base!J9481</f>
        <v>0</v>
      </c>
      <c r="B9481" s="34">
        <f>base!V9481</f>
        <v>0</v>
      </c>
      <c r="C9481" s="40" t="s">
        <v>11</v>
      </c>
      <c r="D9481" s="36">
        <f>base!H9481</f>
        <v>0</v>
      </c>
      <c r="E9481" s="44"/>
      <c r="F9481" s="16">
        <f>base!W9481</f>
        <v>0</v>
      </c>
      <c r="G9481" s="11" t="e">
        <f t="shared" si="1460"/>
        <v>#DIV/0!</v>
      </c>
      <c r="H9481" s="11" t="e">
        <f t="shared" si="1461"/>
        <v>#N/A</v>
      </c>
      <c r="I9481" s="11" t="e">
        <f t="shared" si="1462"/>
        <v>#N/A</v>
      </c>
      <c r="J9481" s="12" t="e">
        <f t="shared" si="1463"/>
        <v>#N/A</v>
      </c>
      <c r="K9481" s="17" t="e">
        <f t="shared" si="1467"/>
        <v>#N/A</v>
      </c>
      <c r="L9481" s="16">
        <f>base!X9481</f>
        <v>0</v>
      </c>
      <c r="M9481" s="11" t="e">
        <f t="shared" si="1464"/>
        <v>#DIV/0!</v>
      </c>
      <c r="N9481" s="11"/>
      <c r="O9481" s="11" t="e">
        <f t="shared" si="1465"/>
        <v>#DIV/0!</v>
      </c>
      <c r="P9481" s="12">
        <f t="shared" si="1466"/>
        <v>0</v>
      </c>
      <c r="Q9481" s="17" t="str">
        <f t="shared" si="1468"/>
        <v>Pas d'écart</v>
      </c>
    </row>
    <row r="9482" spans="1:17" x14ac:dyDescent="0.3">
      <c r="A9482" s="34">
        <f>base!J9482</f>
        <v>0</v>
      </c>
      <c r="B9482" s="34">
        <f>base!V9482</f>
        <v>0</v>
      </c>
      <c r="C9482" s="40" t="s">
        <v>11</v>
      </c>
      <c r="D9482" s="36">
        <f>base!H9482</f>
        <v>0</v>
      </c>
      <c r="E9482" s="44"/>
      <c r="F9482" s="16">
        <f>base!W9482</f>
        <v>0</v>
      </c>
      <c r="G9482" s="11" t="e">
        <f t="shared" si="1460"/>
        <v>#DIV/0!</v>
      </c>
      <c r="H9482" s="11" t="e">
        <f t="shared" si="1461"/>
        <v>#N/A</v>
      </c>
      <c r="I9482" s="11" t="e">
        <f t="shared" si="1462"/>
        <v>#N/A</v>
      </c>
      <c r="J9482" s="12" t="e">
        <f t="shared" si="1463"/>
        <v>#N/A</v>
      </c>
      <c r="K9482" s="17" t="e">
        <f t="shared" si="1467"/>
        <v>#N/A</v>
      </c>
      <c r="L9482" s="16">
        <f>base!X9482</f>
        <v>0</v>
      </c>
      <c r="M9482" s="11" t="e">
        <f t="shared" si="1464"/>
        <v>#DIV/0!</v>
      </c>
      <c r="N9482" s="11"/>
      <c r="O9482" s="11" t="e">
        <f t="shared" si="1465"/>
        <v>#DIV/0!</v>
      </c>
      <c r="P9482" s="12">
        <f t="shared" si="1466"/>
        <v>0</v>
      </c>
      <c r="Q9482" s="17" t="str">
        <f t="shared" si="1468"/>
        <v>Pas d'écart</v>
      </c>
    </row>
    <row r="9483" spans="1:17" x14ac:dyDescent="0.3">
      <c r="A9483" s="34">
        <f>base!J9483</f>
        <v>0</v>
      </c>
      <c r="B9483" s="34">
        <f>base!V9483</f>
        <v>0</v>
      </c>
      <c r="C9483" s="40" t="s">
        <v>11</v>
      </c>
      <c r="D9483" s="36">
        <f>base!H9483</f>
        <v>0</v>
      </c>
      <c r="E9483" s="44"/>
      <c r="F9483" s="16">
        <f>base!W9483</f>
        <v>0</v>
      </c>
      <c r="G9483" s="11" t="e">
        <f t="shared" si="1460"/>
        <v>#DIV/0!</v>
      </c>
      <c r="H9483" s="11" t="e">
        <f t="shared" si="1461"/>
        <v>#N/A</v>
      </c>
      <c r="I9483" s="11" t="e">
        <f t="shared" si="1462"/>
        <v>#N/A</v>
      </c>
      <c r="J9483" s="12" t="e">
        <f t="shared" si="1463"/>
        <v>#N/A</v>
      </c>
      <c r="K9483" s="17" t="e">
        <f t="shared" si="1467"/>
        <v>#N/A</v>
      </c>
      <c r="L9483" s="16">
        <f>base!X9483</f>
        <v>0</v>
      </c>
      <c r="M9483" s="11" t="e">
        <f t="shared" si="1464"/>
        <v>#DIV/0!</v>
      </c>
      <c r="N9483" s="11"/>
      <c r="O9483" s="11" t="e">
        <f t="shared" si="1465"/>
        <v>#DIV/0!</v>
      </c>
      <c r="P9483" s="12">
        <f t="shared" si="1466"/>
        <v>0</v>
      </c>
      <c r="Q9483" s="17" t="str">
        <f t="shared" si="1468"/>
        <v>Pas d'écart</v>
      </c>
    </row>
    <row r="9484" spans="1:17" x14ac:dyDescent="0.3">
      <c r="A9484" s="34">
        <f>base!J9484</f>
        <v>0</v>
      </c>
      <c r="B9484" s="34">
        <f>base!V9484</f>
        <v>0</v>
      </c>
      <c r="C9484" s="40" t="s">
        <v>11</v>
      </c>
      <c r="D9484" s="36">
        <f>base!H9484</f>
        <v>0</v>
      </c>
      <c r="E9484" s="44"/>
      <c r="F9484" s="16">
        <f>base!W9484</f>
        <v>0</v>
      </c>
      <c r="G9484" s="11" t="e">
        <f t="shared" si="1460"/>
        <v>#DIV/0!</v>
      </c>
      <c r="H9484" s="11" t="e">
        <f t="shared" si="1461"/>
        <v>#N/A</v>
      </c>
      <c r="I9484" s="11" t="e">
        <f t="shared" si="1462"/>
        <v>#N/A</v>
      </c>
      <c r="J9484" s="12" t="e">
        <f t="shared" si="1463"/>
        <v>#N/A</v>
      </c>
      <c r="K9484" s="17" t="e">
        <f t="shared" si="1467"/>
        <v>#N/A</v>
      </c>
      <c r="L9484" s="16">
        <f>base!X9484</f>
        <v>0</v>
      </c>
      <c r="M9484" s="11" t="e">
        <f t="shared" si="1464"/>
        <v>#DIV/0!</v>
      </c>
      <c r="N9484" s="11"/>
      <c r="O9484" s="11" t="e">
        <f t="shared" si="1465"/>
        <v>#DIV/0!</v>
      </c>
      <c r="P9484" s="12">
        <f t="shared" si="1466"/>
        <v>0</v>
      </c>
      <c r="Q9484" s="17" t="str">
        <f t="shared" si="1468"/>
        <v>Pas d'écart</v>
      </c>
    </row>
    <row r="9485" spans="1:17" x14ac:dyDescent="0.3">
      <c r="A9485" s="34">
        <f>base!J9485</f>
        <v>0</v>
      </c>
      <c r="B9485" s="34">
        <f>base!V9485</f>
        <v>0</v>
      </c>
      <c r="C9485" s="40" t="s">
        <v>11</v>
      </c>
      <c r="D9485" s="36">
        <f>base!H9485</f>
        <v>0</v>
      </c>
      <c r="E9485" s="44"/>
      <c r="F9485" s="16">
        <f>base!W9485</f>
        <v>0</v>
      </c>
      <c r="G9485" s="11" t="e">
        <f t="shared" si="1460"/>
        <v>#DIV/0!</v>
      </c>
      <c r="H9485" s="11" t="e">
        <f t="shared" si="1461"/>
        <v>#N/A</v>
      </c>
      <c r="I9485" s="11" t="e">
        <f t="shared" si="1462"/>
        <v>#N/A</v>
      </c>
      <c r="J9485" s="12" t="e">
        <f t="shared" si="1463"/>
        <v>#N/A</v>
      </c>
      <c r="K9485" s="17" t="e">
        <f t="shared" si="1467"/>
        <v>#N/A</v>
      </c>
      <c r="L9485" s="16">
        <f>base!X9485</f>
        <v>0</v>
      </c>
      <c r="M9485" s="11" t="e">
        <f t="shared" si="1464"/>
        <v>#DIV/0!</v>
      </c>
      <c r="N9485" s="11"/>
      <c r="O9485" s="11" t="e">
        <f t="shared" si="1465"/>
        <v>#DIV/0!</v>
      </c>
      <c r="P9485" s="12">
        <f t="shared" si="1466"/>
        <v>0</v>
      </c>
      <c r="Q9485" s="17" t="str">
        <f t="shared" si="1468"/>
        <v>Pas d'écart</v>
      </c>
    </row>
    <row r="9486" spans="1:17" x14ac:dyDescent="0.3">
      <c r="A9486" s="34">
        <f>base!J9486</f>
        <v>0</v>
      </c>
      <c r="B9486" s="34">
        <f>base!V9486</f>
        <v>0</v>
      </c>
      <c r="C9486" s="40" t="s">
        <v>11</v>
      </c>
      <c r="D9486" s="36">
        <f>base!H9486</f>
        <v>0</v>
      </c>
      <c r="E9486" s="44"/>
      <c r="F9486" s="16">
        <f>base!W9486</f>
        <v>0</v>
      </c>
      <c r="G9486" s="11" t="e">
        <f t="shared" si="1460"/>
        <v>#DIV/0!</v>
      </c>
      <c r="H9486" s="11" t="e">
        <f t="shared" si="1461"/>
        <v>#N/A</v>
      </c>
      <c r="I9486" s="11" t="e">
        <f t="shared" si="1462"/>
        <v>#N/A</v>
      </c>
      <c r="J9486" s="12" t="e">
        <f t="shared" si="1463"/>
        <v>#N/A</v>
      </c>
      <c r="K9486" s="17" t="e">
        <f t="shared" si="1467"/>
        <v>#N/A</v>
      </c>
      <c r="L9486" s="16">
        <f>base!X9486</f>
        <v>0</v>
      </c>
      <c r="M9486" s="11" t="e">
        <f t="shared" si="1464"/>
        <v>#DIV/0!</v>
      </c>
      <c r="N9486" s="11"/>
      <c r="O9486" s="11" t="e">
        <f t="shared" si="1465"/>
        <v>#DIV/0!</v>
      </c>
      <c r="P9486" s="12">
        <f t="shared" si="1466"/>
        <v>0</v>
      </c>
      <c r="Q9486" s="17" t="str">
        <f t="shared" si="1468"/>
        <v>Pas d'écart</v>
      </c>
    </row>
    <row r="9487" spans="1:17" x14ac:dyDescent="0.3">
      <c r="A9487" s="34">
        <f>base!J9487</f>
        <v>0</v>
      </c>
      <c r="B9487" s="34">
        <f>base!V9487</f>
        <v>0</v>
      </c>
      <c r="C9487" s="40" t="s">
        <v>11</v>
      </c>
      <c r="D9487" s="36">
        <f>base!H9487</f>
        <v>0</v>
      </c>
      <c r="E9487" s="44"/>
      <c r="F9487" s="16">
        <f>base!W9487</f>
        <v>0</v>
      </c>
      <c r="G9487" s="11" t="e">
        <f t="shared" si="1460"/>
        <v>#DIV/0!</v>
      </c>
      <c r="H9487" s="11" t="e">
        <f t="shared" si="1461"/>
        <v>#N/A</v>
      </c>
      <c r="I9487" s="11" t="e">
        <f t="shared" si="1462"/>
        <v>#N/A</v>
      </c>
      <c r="J9487" s="12" t="e">
        <f t="shared" si="1463"/>
        <v>#N/A</v>
      </c>
      <c r="K9487" s="17" t="e">
        <f t="shared" si="1467"/>
        <v>#N/A</v>
      </c>
      <c r="L9487" s="16">
        <f>base!X9487</f>
        <v>0</v>
      </c>
      <c r="M9487" s="11" t="e">
        <f t="shared" si="1464"/>
        <v>#DIV/0!</v>
      </c>
      <c r="N9487" s="11"/>
      <c r="O9487" s="11" t="e">
        <f t="shared" si="1465"/>
        <v>#DIV/0!</v>
      </c>
      <c r="P9487" s="12">
        <f t="shared" si="1466"/>
        <v>0</v>
      </c>
      <c r="Q9487" s="17" t="str">
        <f t="shared" si="1468"/>
        <v>Pas d'écart</v>
      </c>
    </row>
    <row r="9488" spans="1:17" x14ac:dyDescent="0.3">
      <c r="A9488" s="34">
        <f>base!J9488</f>
        <v>0</v>
      </c>
      <c r="B9488" s="34">
        <f>base!V9488</f>
        <v>0</v>
      </c>
      <c r="C9488" s="40" t="s">
        <v>11</v>
      </c>
      <c r="D9488" s="36">
        <f>base!H9488</f>
        <v>0</v>
      </c>
      <c r="E9488" s="44"/>
      <c r="F9488" s="16">
        <f>base!W9488</f>
        <v>0</v>
      </c>
      <c r="G9488" s="11" t="e">
        <f t="shared" si="1460"/>
        <v>#DIV/0!</v>
      </c>
      <c r="H9488" s="11" t="e">
        <f t="shared" si="1461"/>
        <v>#N/A</v>
      </c>
      <c r="I9488" s="11" t="e">
        <f t="shared" si="1462"/>
        <v>#N/A</v>
      </c>
      <c r="J9488" s="12" t="e">
        <f t="shared" si="1463"/>
        <v>#N/A</v>
      </c>
      <c r="K9488" s="17" t="e">
        <f t="shared" si="1467"/>
        <v>#N/A</v>
      </c>
      <c r="L9488" s="16">
        <f>base!X9488</f>
        <v>0</v>
      </c>
      <c r="M9488" s="11" t="e">
        <f t="shared" si="1464"/>
        <v>#DIV/0!</v>
      </c>
      <c r="N9488" s="11"/>
      <c r="O9488" s="11" t="e">
        <f t="shared" si="1465"/>
        <v>#DIV/0!</v>
      </c>
      <c r="P9488" s="12">
        <f t="shared" si="1466"/>
        <v>0</v>
      </c>
      <c r="Q9488" s="17" t="str">
        <f t="shared" si="1468"/>
        <v>Pas d'écart</v>
      </c>
    </row>
    <row r="9489" spans="1:17" x14ac:dyDescent="0.3">
      <c r="A9489" s="34">
        <f>base!J9489</f>
        <v>0</v>
      </c>
      <c r="B9489" s="34">
        <f>base!V9489</f>
        <v>0</v>
      </c>
      <c r="C9489" s="40" t="s">
        <v>11</v>
      </c>
      <c r="D9489" s="36">
        <f>base!H9489</f>
        <v>0</v>
      </c>
      <c r="E9489" s="44"/>
      <c r="F9489" s="16">
        <f>base!W9489</f>
        <v>0</v>
      </c>
      <c r="G9489" s="11" t="e">
        <f t="shared" si="1460"/>
        <v>#DIV/0!</v>
      </c>
      <c r="H9489" s="11" t="e">
        <f t="shared" si="1461"/>
        <v>#N/A</v>
      </c>
      <c r="I9489" s="11" t="e">
        <f t="shared" si="1462"/>
        <v>#N/A</v>
      </c>
      <c r="J9489" s="12" t="e">
        <f t="shared" si="1463"/>
        <v>#N/A</v>
      </c>
      <c r="K9489" s="17" t="e">
        <f t="shared" si="1467"/>
        <v>#N/A</v>
      </c>
      <c r="L9489" s="16">
        <f>base!X9489</f>
        <v>0</v>
      </c>
      <c r="M9489" s="11" t="e">
        <f t="shared" si="1464"/>
        <v>#DIV/0!</v>
      </c>
      <c r="N9489" s="11"/>
      <c r="O9489" s="11" t="e">
        <f t="shared" si="1465"/>
        <v>#DIV/0!</v>
      </c>
      <c r="P9489" s="12">
        <f t="shared" si="1466"/>
        <v>0</v>
      </c>
      <c r="Q9489" s="17" t="str">
        <f t="shared" si="1468"/>
        <v>Pas d'écart</v>
      </c>
    </row>
    <row r="9490" spans="1:17" x14ac:dyDescent="0.3">
      <c r="A9490" s="34">
        <f>base!J9490</f>
        <v>0</v>
      </c>
      <c r="B9490" s="34">
        <f>base!V9490</f>
        <v>0</v>
      </c>
      <c r="C9490" s="40" t="s">
        <v>11</v>
      </c>
      <c r="D9490" s="36">
        <f>base!H9490</f>
        <v>0</v>
      </c>
      <c r="E9490" s="44"/>
      <c r="F9490" s="16">
        <f>base!W9490</f>
        <v>0</v>
      </c>
      <c r="G9490" s="11" t="e">
        <f t="shared" si="1460"/>
        <v>#DIV/0!</v>
      </c>
      <c r="H9490" s="11" t="e">
        <f t="shared" si="1461"/>
        <v>#N/A</v>
      </c>
      <c r="I9490" s="11" t="e">
        <f t="shared" si="1462"/>
        <v>#N/A</v>
      </c>
      <c r="J9490" s="12" t="e">
        <f t="shared" si="1463"/>
        <v>#N/A</v>
      </c>
      <c r="K9490" s="17" t="e">
        <f t="shared" si="1467"/>
        <v>#N/A</v>
      </c>
      <c r="L9490" s="16">
        <f>base!X9490</f>
        <v>0</v>
      </c>
      <c r="M9490" s="11" t="e">
        <f t="shared" si="1464"/>
        <v>#DIV/0!</v>
      </c>
      <c r="N9490" s="11"/>
      <c r="O9490" s="11" t="e">
        <f t="shared" si="1465"/>
        <v>#DIV/0!</v>
      </c>
      <c r="P9490" s="12">
        <f t="shared" si="1466"/>
        <v>0</v>
      </c>
      <c r="Q9490" s="17" t="str">
        <f t="shared" si="1468"/>
        <v>Pas d'écart</v>
      </c>
    </row>
    <row r="9491" spans="1:17" x14ac:dyDescent="0.3">
      <c r="A9491" s="34">
        <f>base!J9491</f>
        <v>0</v>
      </c>
      <c r="B9491" s="34">
        <f>base!V9491</f>
        <v>0</v>
      </c>
      <c r="C9491" s="40" t="s">
        <v>11</v>
      </c>
      <c r="D9491" s="36">
        <f>base!H9491</f>
        <v>0</v>
      </c>
      <c r="E9491" s="44"/>
      <c r="F9491" s="16">
        <f>base!W9491</f>
        <v>0</v>
      </c>
      <c r="G9491" s="11" t="e">
        <f t="shared" si="1460"/>
        <v>#DIV/0!</v>
      </c>
      <c r="H9491" s="11" t="e">
        <f t="shared" si="1461"/>
        <v>#N/A</v>
      </c>
      <c r="I9491" s="11" t="e">
        <f t="shared" si="1462"/>
        <v>#N/A</v>
      </c>
      <c r="J9491" s="12" t="e">
        <f t="shared" si="1463"/>
        <v>#N/A</v>
      </c>
      <c r="K9491" s="17" t="e">
        <f t="shared" si="1467"/>
        <v>#N/A</v>
      </c>
      <c r="L9491" s="16">
        <f>base!X9491</f>
        <v>0</v>
      </c>
      <c r="M9491" s="11" t="e">
        <f t="shared" si="1464"/>
        <v>#DIV/0!</v>
      </c>
      <c r="N9491" s="11"/>
      <c r="O9491" s="11" t="e">
        <f t="shared" si="1465"/>
        <v>#DIV/0!</v>
      </c>
      <c r="P9491" s="12">
        <f t="shared" si="1466"/>
        <v>0</v>
      </c>
      <c r="Q9491" s="17" t="str">
        <f t="shared" si="1468"/>
        <v>Pas d'écart</v>
      </c>
    </row>
    <row r="9492" spans="1:17" x14ac:dyDescent="0.3">
      <c r="A9492" s="34">
        <f>base!J9492</f>
        <v>0</v>
      </c>
      <c r="B9492" s="34">
        <f>base!V9492</f>
        <v>0</v>
      </c>
      <c r="C9492" s="40" t="s">
        <v>11</v>
      </c>
      <c r="D9492" s="36">
        <f>base!H9492</f>
        <v>0</v>
      </c>
      <c r="E9492" s="44"/>
      <c r="F9492" s="16">
        <f>base!W9492</f>
        <v>0</v>
      </c>
      <c r="G9492" s="11" t="e">
        <f t="shared" si="1460"/>
        <v>#DIV/0!</v>
      </c>
      <c r="H9492" s="11" t="e">
        <f t="shared" si="1461"/>
        <v>#N/A</v>
      </c>
      <c r="I9492" s="11" t="e">
        <f t="shared" si="1462"/>
        <v>#N/A</v>
      </c>
      <c r="J9492" s="12" t="e">
        <f t="shared" si="1463"/>
        <v>#N/A</v>
      </c>
      <c r="K9492" s="17" t="e">
        <f t="shared" si="1467"/>
        <v>#N/A</v>
      </c>
      <c r="L9492" s="16">
        <f>base!X9492</f>
        <v>0</v>
      </c>
      <c r="M9492" s="11" t="e">
        <f t="shared" si="1464"/>
        <v>#DIV/0!</v>
      </c>
      <c r="N9492" s="11"/>
      <c r="O9492" s="11" t="e">
        <f t="shared" si="1465"/>
        <v>#DIV/0!</v>
      </c>
      <c r="P9492" s="12">
        <f t="shared" si="1466"/>
        <v>0</v>
      </c>
      <c r="Q9492" s="17" t="str">
        <f t="shared" si="1468"/>
        <v>Pas d'écart</v>
      </c>
    </row>
    <row r="9493" spans="1:17" x14ac:dyDescent="0.3">
      <c r="A9493" s="34">
        <f>base!J9493</f>
        <v>0</v>
      </c>
      <c r="B9493" s="34">
        <f>base!V9493</f>
        <v>0</v>
      </c>
      <c r="C9493" s="40" t="s">
        <v>11</v>
      </c>
      <c r="D9493" s="36">
        <f>base!H9493</f>
        <v>0</v>
      </c>
      <c r="E9493" s="44"/>
      <c r="F9493" s="16">
        <f>base!W9493</f>
        <v>0</v>
      </c>
      <c r="G9493" s="11" t="e">
        <f t="shared" si="1460"/>
        <v>#DIV/0!</v>
      </c>
      <c r="H9493" s="11" t="e">
        <f t="shared" si="1461"/>
        <v>#N/A</v>
      </c>
      <c r="I9493" s="11" t="e">
        <f t="shared" si="1462"/>
        <v>#N/A</v>
      </c>
      <c r="J9493" s="12" t="e">
        <f t="shared" si="1463"/>
        <v>#N/A</v>
      </c>
      <c r="K9493" s="17" t="e">
        <f t="shared" si="1467"/>
        <v>#N/A</v>
      </c>
      <c r="L9493" s="16">
        <f>base!X9493</f>
        <v>0</v>
      </c>
      <c r="M9493" s="11" t="e">
        <f t="shared" si="1464"/>
        <v>#DIV/0!</v>
      </c>
      <c r="N9493" s="11"/>
      <c r="O9493" s="11" t="e">
        <f t="shared" si="1465"/>
        <v>#DIV/0!</v>
      </c>
      <c r="P9493" s="12">
        <f t="shared" si="1466"/>
        <v>0</v>
      </c>
      <c r="Q9493" s="17" t="str">
        <f t="shared" si="1468"/>
        <v>Pas d'écart</v>
      </c>
    </row>
    <row r="9494" spans="1:17" x14ac:dyDescent="0.3">
      <c r="A9494" s="34">
        <f>base!J9494</f>
        <v>0</v>
      </c>
      <c r="B9494" s="34">
        <f>base!V9494</f>
        <v>0</v>
      </c>
      <c r="C9494" s="40" t="s">
        <v>11</v>
      </c>
      <c r="D9494" s="36">
        <f>base!H9494</f>
        <v>0</v>
      </c>
      <c r="E9494" s="44"/>
      <c r="F9494" s="16">
        <f>base!W9494</f>
        <v>0</v>
      </c>
      <c r="G9494" s="11" t="e">
        <f t="shared" si="1460"/>
        <v>#DIV/0!</v>
      </c>
      <c r="H9494" s="11" t="e">
        <f t="shared" si="1461"/>
        <v>#N/A</v>
      </c>
      <c r="I9494" s="11" t="e">
        <f t="shared" si="1462"/>
        <v>#N/A</v>
      </c>
      <c r="J9494" s="12" t="e">
        <f t="shared" si="1463"/>
        <v>#N/A</v>
      </c>
      <c r="K9494" s="17" t="e">
        <f t="shared" si="1467"/>
        <v>#N/A</v>
      </c>
      <c r="L9494" s="16">
        <f>base!X9494</f>
        <v>0</v>
      </c>
      <c r="M9494" s="11" t="e">
        <f t="shared" si="1464"/>
        <v>#DIV/0!</v>
      </c>
      <c r="N9494" s="11"/>
      <c r="O9494" s="11" t="e">
        <f t="shared" si="1465"/>
        <v>#DIV/0!</v>
      </c>
      <c r="P9494" s="12">
        <f t="shared" si="1466"/>
        <v>0</v>
      </c>
      <c r="Q9494" s="17" t="str">
        <f t="shared" si="1468"/>
        <v>Pas d'écart</v>
      </c>
    </row>
    <row r="9495" spans="1:17" x14ac:dyDescent="0.3">
      <c r="A9495" s="34">
        <f>base!J9495</f>
        <v>0</v>
      </c>
      <c r="B9495" s="34">
        <f>base!V9495</f>
        <v>0</v>
      </c>
      <c r="C9495" s="40" t="s">
        <v>11</v>
      </c>
      <c r="D9495" s="36">
        <f>base!H9495</f>
        <v>0</v>
      </c>
      <c r="E9495" s="44"/>
      <c r="F9495" s="16">
        <f>base!W9495</f>
        <v>0</v>
      </c>
      <c r="G9495" s="11" t="e">
        <f t="shared" si="1460"/>
        <v>#DIV/0!</v>
      </c>
      <c r="H9495" s="11" t="e">
        <f t="shared" si="1461"/>
        <v>#N/A</v>
      </c>
      <c r="I9495" s="11" t="e">
        <f t="shared" si="1462"/>
        <v>#N/A</v>
      </c>
      <c r="J9495" s="12" t="e">
        <f t="shared" si="1463"/>
        <v>#N/A</v>
      </c>
      <c r="K9495" s="17" t="e">
        <f t="shared" si="1467"/>
        <v>#N/A</v>
      </c>
      <c r="L9495" s="16">
        <f>base!X9495</f>
        <v>0</v>
      </c>
      <c r="M9495" s="11" t="e">
        <f t="shared" si="1464"/>
        <v>#DIV/0!</v>
      </c>
      <c r="N9495" s="11"/>
      <c r="O9495" s="11" t="e">
        <f t="shared" si="1465"/>
        <v>#DIV/0!</v>
      </c>
      <c r="P9495" s="12">
        <f t="shared" si="1466"/>
        <v>0</v>
      </c>
      <c r="Q9495" s="17" t="str">
        <f t="shared" si="1468"/>
        <v>Pas d'écart</v>
      </c>
    </row>
    <row r="9496" spans="1:17" x14ac:dyDescent="0.3">
      <c r="A9496" s="34">
        <f>base!J9496</f>
        <v>0</v>
      </c>
      <c r="B9496" s="34">
        <f>base!V9496</f>
        <v>0</v>
      </c>
      <c r="C9496" s="40" t="s">
        <v>11</v>
      </c>
      <c r="D9496" s="36">
        <f>base!H9496</f>
        <v>0</v>
      </c>
      <c r="E9496" s="44"/>
      <c r="F9496" s="16">
        <f>base!W9496</f>
        <v>0</v>
      </c>
      <c r="G9496" s="11" t="e">
        <f t="shared" si="1460"/>
        <v>#DIV/0!</v>
      </c>
      <c r="H9496" s="11" t="e">
        <f t="shared" si="1461"/>
        <v>#N/A</v>
      </c>
      <c r="I9496" s="11" t="e">
        <f t="shared" si="1462"/>
        <v>#N/A</v>
      </c>
      <c r="J9496" s="12" t="e">
        <f t="shared" si="1463"/>
        <v>#N/A</v>
      </c>
      <c r="K9496" s="17" t="e">
        <f t="shared" si="1467"/>
        <v>#N/A</v>
      </c>
      <c r="L9496" s="16">
        <f>base!X9496</f>
        <v>0</v>
      </c>
      <c r="M9496" s="11" t="e">
        <f t="shared" si="1464"/>
        <v>#DIV/0!</v>
      </c>
      <c r="N9496" s="11"/>
      <c r="O9496" s="11" t="e">
        <f t="shared" si="1465"/>
        <v>#DIV/0!</v>
      </c>
      <c r="P9496" s="12">
        <f t="shared" si="1466"/>
        <v>0</v>
      </c>
      <c r="Q9496" s="17" t="str">
        <f t="shared" si="1468"/>
        <v>Pas d'écart</v>
      </c>
    </row>
    <row r="9497" spans="1:17" x14ac:dyDescent="0.3">
      <c r="A9497" s="34">
        <f>base!J9497</f>
        <v>0</v>
      </c>
      <c r="B9497" s="34">
        <f>base!V9497</f>
        <v>0</v>
      </c>
      <c r="C9497" s="40" t="s">
        <v>11</v>
      </c>
      <c r="D9497" s="36">
        <f>base!H9497</f>
        <v>0</v>
      </c>
      <c r="E9497" s="44"/>
      <c r="F9497" s="16">
        <f>base!W9497</f>
        <v>0</v>
      </c>
      <c r="G9497" s="11" t="e">
        <f t="shared" si="1460"/>
        <v>#DIV/0!</v>
      </c>
      <c r="H9497" s="11" t="e">
        <f t="shared" si="1461"/>
        <v>#N/A</v>
      </c>
      <c r="I9497" s="11" t="e">
        <f t="shared" si="1462"/>
        <v>#N/A</v>
      </c>
      <c r="J9497" s="12" t="e">
        <f t="shared" si="1463"/>
        <v>#N/A</v>
      </c>
      <c r="K9497" s="17" t="e">
        <f t="shared" si="1467"/>
        <v>#N/A</v>
      </c>
      <c r="L9497" s="16">
        <f>base!X9497</f>
        <v>0</v>
      </c>
      <c r="M9497" s="11" t="e">
        <f t="shared" si="1464"/>
        <v>#DIV/0!</v>
      </c>
      <c r="N9497" s="11"/>
      <c r="O9497" s="11" t="e">
        <f t="shared" si="1465"/>
        <v>#DIV/0!</v>
      </c>
      <c r="P9497" s="12">
        <f t="shared" si="1466"/>
        <v>0</v>
      </c>
      <c r="Q9497" s="17" t="str">
        <f t="shared" si="1468"/>
        <v>Pas d'écart</v>
      </c>
    </row>
    <row r="9498" spans="1:17" x14ac:dyDescent="0.3">
      <c r="A9498" s="34">
        <f>base!J9498</f>
        <v>0</v>
      </c>
      <c r="B9498" s="34">
        <f>base!V9498</f>
        <v>0</v>
      </c>
      <c r="C9498" s="40" t="s">
        <v>11</v>
      </c>
      <c r="D9498" s="36">
        <f>base!H9498</f>
        <v>0</v>
      </c>
      <c r="E9498" s="44"/>
      <c r="F9498" s="16">
        <f>base!W9498</f>
        <v>0</v>
      </c>
      <c r="G9498" s="11" t="e">
        <f t="shared" si="1460"/>
        <v>#DIV/0!</v>
      </c>
      <c r="H9498" s="11" t="e">
        <f t="shared" si="1461"/>
        <v>#N/A</v>
      </c>
      <c r="I9498" s="11" t="e">
        <f t="shared" si="1462"/>
        <v>#N/A</v>
      </c>
      <c r="J9498" s="12" t="e">
        <f t="shared" si="1463"/>
        <v>#N/A</v>
      </c>
      <c r="K9498" s="17" t="e">
        <f t="shared" si="1467"/>
        <v>#N/A</v>
      </c>
      <c r="L9498" s="16">
        <f>base!X9498</f>
        <v>0</v>
      </c>
      <c r="M9498" s="11" t="e">
        <f t="shared" si="1464"/>
        <v>#DIV/0!</v>
      </c>
      <c r="N9498" s="11"/>
      <c r="O9498" s="11" t="e">
        <f t="shared" si="1465"/>
        <v>#DIV/0!</v>
      </c>
      <c r="P9498" s="12">
        <f t="shared" si="1466"/>
        <v>0</v>
      </c>
      <c r="Q9498" s="17" t="str">
        <f t="shared" si="1468"/>
        <v>Pas d'écart</v>
      </c>
    </row>
    <row r="9499" spans="1:17" x14ac:dyDescent="0.3">
      <c r="A9499" s="34">
        <f>base!J9499</f>
        <v>0</v>
      </c>
      <c r="B9499" s="34">
        <f>base!V9499</f>
        <v>0</v>
      </c>
      <c r="C9499" s="40" t="s">
        <v>11</v>
      </c>
      <c r="D9499" s="36">
        <f>base!H9499</f>
        <v>0</v>
      </c>
      <c r="E9499" s="44"/>
      <c r="F9499" s="16">
        <f>base!W9499</f>
        <v>0</v>
      </c>
      <c r="G9499" s="11" t="e">
        <f t="shared" si="1460"/>
        <v>#DIV/0!</v>
      </c>
      <c r="H9499" s="11" t="e">
        <f t="shared" si="1461"/>
        <v>#N/A</v>
      </c>
      <c r="I9499" s="11" t="e">
        <f t="shared" si="1462"/>
        <v>#N/A</v>
      </c>
      <c r="J9499" s="12" t="e">
        <f t="shared" si="1463"/>
        <v>#N/A</v>
      </c>
      <c r="K9499" s="17" t="e">
        <f t="shared" si="1467"/>
        <v>#N/A</v>
      </c>
      <c r="L9499" s="16">
        <f>base!X9499</f>
        <v>0</v>
      </c>
      <c r="M9499" s="11" t="e">
        <f t="shared" si="1464"/>
        <v>#DIV/0!</v>
      </c>
      <c r="N9499" s="11"/>
      <c r="O9499" s="11" t="e">
        <f t="shared" si="1465"/>
        <v>#DIV/0!</v>
      </c>
      <c r="P9499" s="12">
        <f t="shared" si="1466"/>
        <v>0</v>
      </c>
      <c r="Q9499" s="17" t="str">
        <f t="shared" si="1468"/>
        <v>Pas d'écart</v>
      </c>
    </row>
    <row r="9500" spans="1:17" x14ac:dyDescent="0.3">
      <c r="A9500" s="34">
        <f>base!J9500</f>
        <v>0</v>
      </c>
      <c r="B9500" s="34">
        <f>base!V9500</f>
        <v>0</v>
      </c>
      <c r="C9500" s="40" t="s">
        <v>11</v>
      </c>
      <c r="D9500" s="36">
        <f>base!H9500</f>
        <v>0</v>
      </c>
      <c r="E9500" s="44"/>
      <c r="F9500" s="16">
        <f>base!W9500</f>
        <v>0</v>
      </c>
      <c r="G9500" s="11" t="e">
        <f t="shared" si="1460"/>
        <v>#DIV/0!</v>
      </c>
      <c r="H9500" s="11" t="e">
        <f t="shared" si="1461"/>
        <v>#N/A</v>
      </c>
      <c r="I9500" s="11" t="e">
        <f t="shared" si="1462"/>
        <v>#N/A</v>
      </c>
      <c r="J9500" s="12" t="e">
        <f t="shared" si="1463"/>
        <v>#N/A</v>
      </c>
      <c r="K9500" s="17" t="e">
        <f t="shared" si="1467"/>
        <v>#N/A</v>
      </c>
      <c r="L9500" s="16">
        <f>base!X9500</f>
        <v>0</v>
      </c>
      <c r="M9500" s="11" t="e">
        <f t="shared" si="1464"/>
        <v>#DIV/0!</v>
      </c>
      <c r="N9500" s="11"/>
      <c r="O9500" s="11" t="e">
        <f t="shared" si="1465"/>
        <v>#DIV/0!</v>
      </c>
      <c r="P9500" s="12">
        <f t="shared" si="1466"/>
        <v>0</v>
      </c>
      <c r="Q9500" s="17" t="str">
        <f t="shared" si="1468"/>
        <v>Pas d'écart</v>
      </c>
    </row>
    <row r="9501" spans="1:17" x14ac:dyDescent="0.3">
      <c r="A9501" s="34">
        <f>base!J9501</f>
        <v>0</v>
      </c>
      <c r="B9501" s="34">
        <f>base!V9501</f>
        <v>0</v>
      </c>
      <c r="C9501" s="40" t="s">
        <v>11</v>
      </c>
      <c r="D9501" s="36">
        <f>base!H9501</f>
        <v>0</v>
      </c>
      <c r="E9501" s="44"/>
      <c r="F9501" s="16">
        <f>base!W9501</f>
        <v>0</v>
      </c>
      <c r="G9501" s="11" t="e">
        <f t="shared" si="1460"/>
        <v>#DIV/0!</v>
      </c>
      <c r="H9501" s="11" t="e">
        <f t="shared" si="1461"/>
        <v>#N/A</v>
      </c>
      <c r="I9501" s="11" t="e">
        <f t="shared" si="1462"/>
        <v>#N/A</v>
      </c>
      <c r="J9501" s="12" t="e">
        <f t="shared" si="1463"/>
        <v>#N/A</v>
      </c>
      <c r="K9501" s="17" t="e">
        <f t="shared" si="1467"/>
        <v>#N/A</v>
      </c>
      <c r="L9501" s="16">
        <f>base!X9501</f>
        <v>0</v>
      </c>
      <c r="M9501" s="11" t="e">
        <f t="shared" si="1464"/>
        <v>#DIV/0!</v>
      </c>
      <c r="N9501" s="11"/>
      <c r="O9501" s="11" t="e">
        <f t="shared" si="1465"/>
        <v>#DIV/0!</v>
      </c>
      <c r="P9501" s="12">
        <f t="shared" si="1466"/>
        <v>0</v>
      </c>
      <c r="Q9501" s="17" t="str">
        <f t="shared" si="1468"/>
        <v>Pas d'écart</v>
      </c>
    </row>
    <row r="9502" spans="1:17" x14ac:dyDescent="0.3">
      <c r="A9502" s="34">
        <f>base!J9502</f>
        <v>0</v>
      </c>
      <c r="B9502" s="34">
        <f>base!V9502</f>
        <v>0</v>
      </c>
      <c r="C9502" s="40" t="s">
        <v>11</v>
      </c>
      <c r="D9502" s="36">
        <f>base!H9502</f>
        <v>0</v>
      </c>
      <c r="E9502" s="44"/>
      <c r="F9502" s="16">
        <f>base!W9502</f>
        <v>0</v>
      </c>
      <c r="G9502" s="11" t="e">
        <f t="shared" si="1460"/>
        <v>#DIV/0!</v>
      </c>
      <c r="H9502" s="11" t="e">
        <f t="shared" si="1461"/>
        <v>#N/A</v>
      </c>
      <c r="I9502" s="11" t="e">
        <f t="shared" si="1462"/>
        <v>#N/A</v>
      </c>
      <c r="J9502" s="12" t="e">
        <f t="shared" si="1463"/>
        <v>#N/A</v>
      </c>
      <c r="K9502" s="17" t="e">
        <f t="shared" si="1467"/>
        <v>#N/A</v>
      </c>
      <c r="L9502" s="16">
        <f>base!X9502</f>
        <v>0</v>
      </c>
      <c r="M9502" s="11" t="e">
        <f t="shared" si="1464"/>
        <v>#DIV/0!</v>
      </c>
      <c r="N9502" s="11"/>
      <c r="O9502" s="11" t="e">
        <f t="shared" si="1465"/>
        <v>#DIV/0!</v>
      </c>
      <c r="P9502" s="12">
        <f t="shared" si="1466"/>
        <v>0</v>
      </c>
      <c r="Q9502" s="17" t="str">
        <f t="shared" si="1468"/>
        <v>Pas d'écart</v>
      </c>
    </row>
    <row r="9503" spans="1:17" x14ac:dyDescent="0.3">
      <c r="A9503" s="34">
        <f>base!J9503</f>
        <v>0</v>
      </c>
      <c r="B9503" s="34">
        <f>base!V9503</f>
        <v>0</v>
      </c>
      <c r="C9503" s="40" t="s">
        <v>11</v>
      </c>
      <c r="D9503" s="36">
        <f>base!H9503</f>
        <v>0</v>
      </c>
      <c r="E9503" s="44"/>
      <c r="F9503" s="16">
        <f>base!W9503</f>
        <v>0</v>
      </c>
      <c r="G9503" s="11" t="e">
        <f t="shared" si="1460"/>
        <v>#DIV/0!</v>
      </c>
      <c r="H9503" s="11" t="e">
        <f t="shared" si="1461"/>
        <v>#N/A</v>
      </c>
      <c r="I9503" s="11" t="e">
        <f t="shared" si="1462"/>
        <v>#N/A</v>
      </c>
      <c r="J9503" s="12" t="e">
        <f t="shared" si="1463"/>
        <v>#N/A</v>
      </c>
      <c r="K9503" s="17" t="e">
        <f t="shared" si="1467"/>
        <v>#N/A</v>
      </c>
      <c r="L9503" s="16">
        <f>base!X9503</f>
        <v>0</v>
      </c>
      <c r="M9503" s="11" t="e">
        <f t="shared" si="1464"/>
        <v>#DIV/0!</v>
      </c>
      <c r="N9503" s="11"/>
      <c r="O9503" s="11" t="e">
        <f t="shared" si="1465"/>
        <v>#DIV/0!</v>
      </c>
      <c r="P9503" s="12">
        <f t="shared" si="1466"/>
        <v>0</v>
      </c>
      <c r="Q9503" s="17" t="str">
        <f t="shared" si="1468"/>
        <v>Pas d'écart</v>
      </c>
    </row>
    <row r="9504" spans="1:17" x14ac:dyDescent="0.3">
      <c r="A9504" s="34">
        <f>base!J9504</f>
        <v>0</v>
      </c>
      <c r="B9504" s="34">
        <f>base!V9504</f>
        <v>0</v>
      </c>
      <c r="C9504" s="40" t="s">
        <v>11</v>
      </c>
      <c r="D9504" s="36">
        <f>base!H9504</f>
        <v>0</v>
      </c>
      <c r="E9504" s="44"/>
      <c r="F9504" s="16">
        <f>base!W9504</f>
        <v>0</v>
      </c>
      <c r="G9504" s="11" t="e">
        <f t="shared" si="1460"/>
        <v>#DIV/0!</v>
      </c>
      <c r="H9504" s="11" t="e">
        <f t="shared" si="1461"/>
        <v>#N/A</v>
      </c>
      <c r="I9504" s="11" t="e">
        <f t="shared" si="1462"/>
        <v>#N/A</v>
      </c>
      <c r="J9504" s="12" t="e">
        <f t="shared" si="1463"/>
        <v>#N/A</v>
      </c>
      <c r="K9504" s="17" t="e">
        <f t="shared" si="1467"/>
        <v>#N/A</v>
      </c>
      <c r="L9504" s="16">
        <f>base!X9504</f>
        <v>0</v>
      </c>
      <c r="M9504" s="11" t="e">
        <f t="shared" si="1464"/>
        <v>#DIV/0!</v>
      </c>
      <c r="N9504" s="11"/>
      <c r="O9504" s="11" t="e">
        <f t="shared" si="1465"/>
        <v>#DIV/0!</v>
      </c>
      <c r="P9504" s="12">
        <f t="shared" si="1466"/>
        <v>0</v>
      </c>
      <c r="Q9504" s="17" t="str">
        <f t="shared" si="1468"/>
        <v>Pas d'écart</v>
      </c>
    </row>
    <row r="9505" spans="1:17" x14ac:dyDescent="0.3">
      <c r="A9505" s="34">
        <f>base!J9505</f>
        <v>0</v>
      </c>
      <c r="B9505" s="34">
        <f>base!V9505</f>
        <v>0</v>
      </c>
      <c r="C9505" s="40" t="s">
        <v>11</v>
      </c>
      <c r="D9505" s="36">
        <f>base!H9505</f>
        <v>0</v>
      </c>
      <c r="E9505" s="44"/>
      <c r="F9505" s="16">
        <f>base!W9505</f>
        <v>0</v>
      </c>
      <c r="G9505" s="11" t="e">
        <f t="shared" si="1460"/>
        <v>#DIV/0!</v>
      </c>
      <c r="H9505" s="11" t="e">
        <f t="shared" si="1461"/>
        <v>#N/A</v>
      </c>
      <c r="I9505" s="11" t="e">
        <f t="shared" si="1462"/>
        <v>#N/A</v>
      </c>
      <c r="J9505" s="12" t="e">
        <f t="shared" si="1463"/>
        <v>#N/A</v>
      </c>
      <c r="K9505" s="17" t="e">
        <f t="shared" si="1467"/>
        <v>#N/A</v>
      </c>
      <c r="L9505" s="16">
        <f>base!X9505</f>
        <v>0</v>
      </c>
      <c r="M9505" s="11" t="e">
        <f t="shared" si="1464"/>
        <v>#DIV/0!</v>
      </c>
      <c r="N9505" s="11"/>
      <c r="O9505" s="11" t="e">
        <f t="shared" si="1465"/>
        <v>#DIV/0!</v>
      </c>
      <c r="P9505" s="12">
        <f t="shared" si="1466"/>
        <v>0</v>
      </c>
      <c r="Q9505" s="17" t="str">
        <f t="shared" si="1468"/>
        <v>Pas d'écart</v>
      </c>
    </row>
    <row r="9506" spans="1:17" x14ac:dyDescent="0.3">
      <c r="A9506" s="34">
        <f>base!J9506</f>
        <v>0</v>
      </c>
      <c r="B9506" s="34">
        <f>base!V9506</f>
        <v>0</v>
      </c>
      <c r="C9506" s="40" t="s">
        <v>11</v>
      </c>
      <c r="D9506" s="36">
        <f>base!H9506</f>
        <v>0</v>
      </c>
      <c r="E9506" s="44"/>
      <c r="F9506" s="16">
        <f>base!W9506</f>
        <v>0</v>
      </c>
      <c r="G9506" s="11" t="e">
        <f t="shared" si="1460"/>
        <v>#DIV/0!</v>
      </c>
      <c r="H9506" s="11" t="e">
        <f t="shared" si="1461"/>
        <v>#N/A</v>
      </c>
      <c r="I9506" s="11" t="e">
        <f t="shared" si="1462"/>
        <v>#N/A</v>
      </c>
      <c r="J9506" s="12" t="e">
        <f t="shared" si="1463"/>
        <v>#N/A</v>
      </c>
      <c r="K9506" s="17" t="e">
        <f t="shared" si="1467"/>
        <v>#N/A</v>
      </c>
      <c r="L9506" s="16">
        <f>base!X9506</f>
        <v>0</v>
      </c>
      <c r="M9506" s="11" t="e">
        <f t="shared" si="1464"/>
        <v>#DIV/0!</v>
      </c>
      <c r="N9506" s="11"/>
      <c r="O9506" s="11" t="e">
        <f t="shared" si="1465"/>
        <v>#DIV/0!</v>
      </c>
      <c r="P9506" s="12">
        <f t="shared" si="1466"/>
        <v>0</v>
      </c>
      <c r="Q9506" s="17" t="str">
        <f t="shared" si="1468"/>
        <v>Pas d'écart</v>
      </c>
    </row>
    <row r="9507" spans="1:17" x14ac:dyDescent="0.3">
      <c r="A9507" s="34">
        <f>base!J9507</f>
        <v>0</v>
      </c>
      <c r="B9507" s="34">
        <f>base!V9507</f>
        <v>0</v>
      </c>
      <c r="C9507" s="40" t="s">
        <v>11</v>
      </c>
      <c r="D9507" s="36">
        <f>base!H9507</f>
        <v>0</v>
      </c>
      <c r="E9507" s="44"/>
      <c r="F9507" s="16">
        <f>base!W9507</f>
        <v>0</v>
      </c>
      <c r="G9507" s="11" t="e">
        <f t="shared" si="1460"/>
        <v>#DIV/0!</v>
      </c>
      <c r="H9507" s="11" t="e">
        <f t="shared" si="1461"/>
        <v>#N/A</v>
      </c>
      <c r="I9507" s="11" t="e">
        <f t="shared" si="1462"/>
        <v>#N/A</v>
      </c>
      <c r="J9507" s="12" t="e">
        <f t="shared" si="1463"/>
        <v>#N/A</v>
      </c>
      <c r="K9507" s="17" t="e">
        <f t="shared" si="1467"/>
        <v>#N/A</v>
      </c>
      <c r="L9507" s="16">
        <f>base!X9507</f>
        <v>0</v>
      </c>
      <c r="M9507" s="11" t="e">
        <f t="shared" si="1464"/>
        <v>#DIV/0!</v>
      </c>
      <c r="N9507" s="11"/>
      <c r="O9507" s="11" t="e">
        <f t="shared" si="1465"/>
        <v>#DIV/0!</v>
      </c>
      <c r="P9507" s="12">
        <f t="shared" si="1466"/>
        <v>0</v>
      </c>
      <c r="Q9507" s="17" t="str">
        <f t="shared" si="1468"/>
        <v>Pas d'écart</v>
      </c>
    </row>
    <row r="9508" spans="1:17" x14ac:dyDescent="0.3">
      <c r="A9508" s="34">
        <f>base!J9508</f>
        <v>0</v>
      </c>
      <c r="B9508" s="34">
        <f>base!V9508</f>
        <v>0</v>
      </c>
      <c r="C9508" s="40" t="s">
        <v>11</v>
      </c>
      <c r="D9508" s="36">
        <f>base!H9508</f>
        <v>0</v>
      </c>
      <c r="E9508" s="44"/>
      <c r="F9508" s="16">
        <f>base!W9508</f>
        <v>0</v>
      </c>
      <c r="G9508" s="11" t="e">
        <f t="shared" si="1460"/>
        <v>#DIV/0!</v>
      </c>
      <c r="H9508" s="11" t="e">
        <f t="shared" si="1461"/>
        <v>#N/A</v>
      </c>
      <c r="I9508" s="11" t="e">
        <f t="shared" si="1462"/>
        <v>#N/A</v>
      </c>
      <c r="J9508" s="12" t="e">
        <f t="shared" si="1463"/>
        <v>#N/A</v>
      </c>
      <c r="K9508" s="17" t="e">
        <f t="shared" si="1467"/>
        <v>#N/A</v>
      </c>
      <c r="L9508" s="16">
        <f>base!X9508</f>
        <v>0</v>
      </c>
      <c r="M9508" s="11" t="e">
        <f t="shared" si="1464"/>
        <v>#DIV/0!</v>
      </c>
      <c r="N9508" s="11"/>
      <c r="O9508" s="11" t="e">
        <f t="shared" si="1465"/>
        <v>#DIV/0!</v>
      </c>
      <c r="P9508" s="12">
        <f t="shared" si="1466"/>
        <v>0</v>
      </c>
      <c r="Q9508" s="17" t="str">
        <f t="shared" si="1468"/>
        <v>Pas d'écart</v>
      </c>
    </row>
    <row r="9509" spans="1:17" x14ac:dyDescent="0.3">
      <c r="A9509" s="34">
        <f>base!J9509</f>
        <v>0</v>
      </c>
      <c r="B9509" s="34">
        <f>base!V9509</f>
        <v>0</v>
      </c>
      <c r="C9509" s="40" t="s">
        <v>11</v>
      </c>
      <c r="D9509" s="36">
        <f>base!H9509</f>
        <v>0</v>
      </c>
      <c r="E9509" s="44"/>
      <c r="F9509" s="16">
        <f>base!W9509</f>
        <v>0</v>
      </c>
      <c r="G9509" s="11" t="e">
        <f t="shared" si="1460"/>
        <v>#DIV/0!</v>
      </c>
      <c r="H9509" s="11" t="e">
        <f t="shared" si="1461"/>
        <v>#N/A</v>
      </c>
      <c r="I9509" s="11" t="e">
        <f t="shared" si="1462"/>
        <v>#N/A</v>
      </c>
      <c r="J9509" s="12" t="e">
        <f t="shared" si="1463"/>
        <v>#N/A</v>
      </c>
      <c r="K9509" s="17" t="e">
        <f t="shared" si="1467"/>
        <v>#N/A</v>
      </c>
      <c r="L9509" s="16">
        <f>base!X9509</f>
        <v>0</v>
      </c>
      <c r="M9509" s="11" t="e">
        <f t="shared" si="1464"/>
        <v>#DIV/0!</v>
      </c>
      <c r="N9509" s="11"/>
      <c r="O9509" s="11" t="e">
        <f t="shared" si="1465"/>
        <v>#DIV/0!</v>
      </c>
      <c r="P9509" s="12">
        <f t="shared" si="1466"/>
        <v>0</v>
      </c>
      <c r="Q9509" s="17" t="str">
        <f t="shared" si="1468"/>
        <v>Pas d'écart</v>
      </c>
    </row>
    <row r="9510" spans="1:17" x14ac:dyDescent="0.3">
      <c r="A9510" s="34">
        <f>base!J9510</f>
        <v>0</v>
      </c>
      <c r="B9510" s="34">
        <f>base!V9510</f>
        <v>0</v>
      </c>
      <c r="C9510" s="40" t="s">
        <v>11</v>
      </c>
      <c r="D9510" s="36">
        <f>base!H9510</f>
        <v>0</v>
      </c>
      <c r="E9510" s="44"/>
      <c r="F9510" s="16">
        <f>base!W9510</f>
        <v>0</v>
      </c>
      <c r="G9510" s="11" t="e">
        <f t="shared" si="1460"/>
        <v>#DIV/0!</v>
      </c>
      <c r="H9510" s="11" t="e">
        <f t="shared" si="1461"/>
        <v>#N/A</v>
      </c>
      <c r="I9510" s="11" t="e">
        <f t="shared" si="1462"/>
        <v>#N/A</v>
      </c>
      <c r="J9510" s="12" t="e">
        <f t="shared" si="1463"/>
        <v>#N/A</v>
      </c>
      <c r="K9510" s="17" t="e">
        <f t="shared" si="1467"/>
        <v>#N/A</v>
      </c>
      <c r="L9510" s="16">
        <f>base!X9510</f>
        <v>0</v>
      </c>
      <c r="M9510" s="11" t="e">
        <f t="shared" si="1464"/>
        <v>#DIV/0!</v>
      </c>
      <c r="N9510" s="11"/>
      <c r="O9510" s="11" t="e">
        <f t="shared" si="1465"/>
        <v>#DIV/0!</v>
      </c>
      <c r="P9510" s="12">
        <f t="shared" si="1466"/>
        <v>0</v>
      </c>
      <c r="Q9510" s="17" t="str">
        <f t="shared" si="1468"/>
        <v>Pas d'écart</v>
      </c>
    </row>
    <row r="9511" spans="1:17" x14ac:dyDescent="0.3">
      <c r="A9511" s="34">
        <f>base!J9511</f>
        <v>0</v>
      </c>
      <c r="B9511" s="34">
        <f>base!V9511</f>
        <v>0</v>
      </c>
      <c r="C9511" s="40" t="s">
        <v>11</v>
      </c>
      <c r="D9511" s="36">
        <f>base!H9511</f>
        <v>0</v>
      </c>
      <c r="E9511" s="44"/>
      <c r="F9511" s="16">
        <f>base!W9511</f>
        <v>0</v>
      </c>
      <c r="G9511" s="11" t="e">
        <f t="shared" si="1460"/>
        <v>#DIV/0!</v>
      </c>
      <c r="H9511" s="11" t="e">
        <f t="shared" si="1461"/>
        <v>#N/A</v>
      </c>
      <c r="I9511" s="11" t="e">
        <f t="shared" si="1462"/>
        <v>#N/A</v>
      </c>
      <c r="J9511" s="12" t="e">
        <f t="shared" si="1463"/>
        <v>#N/A</v>
      </c>
      <c r="K9511" s="17" t="e">
        <f t="shared" si="1467"/>
        <v>#N/A</v>
      </c>
      <c r="L9511" s="16">
        <f>base!X9511</f>
        <v>0</v>
      </c>
      <c r="M9511" s="11" t="e">
        <f t="shared" si="1464"/>
        <v>#DIV/0!</v>
      </c>
      <c r="N9511" s="11"/>
      <c r="O9511" s="11" t="e">
        <f t="shared" si="1465"/>
        <v>#DIV/0!</v>
      </c>
      <c r="P9511" s="12">
        <f t="shared" si="1466"/>
        <v>0</v>
      </c>
      <c r="Q9511" s="17" t="str">
        <f t="shared" si="1468"/>
        <v>Pas d'écart</v>
      </c>
    </row>
    <row r="9512" spans="1:17" x14ac:dyDescent="0.3">
      <c r="A9512" s="34">
        <f>base!J9512</f>
        <v>0</v>
      </c>
      <c r="B9512" s="34">
        <f>base!V9512</f>
        <v>0</v>
      </c>
      <c r="C9512" s="40" t="s">
        <v>11</v>
      </c>
      <c r="D9512" s="36">
        <f>base!H9512</f>
        <v>0</v>
      </c>
      <c r="E9512" s="44"/>
      <c r="F9512" s="16">
        <f>base!W9512</f>
        <v>0</v>
      </c>
      <c r="G9512" s="11" t="e">
        <f t="shared" si="1460"/>
        <v>#DIV/0!</v>
      </c>
      <c r="H9512" s="11" t="e">
        <f t="shared" si="1461"/>
        <v>#N/A</v>
      </c>
      <c r="I9512" s="11" t="e">
        <f t="shared" si="1462"/>
        <v>#N/A</v>
      </c>
      <c r="J9512" s="12" t="e">
        <f t="shared" si="1463"/>
        <v>#N/A</v>
      </c>
      <c r="K9512" s="17" t="e">
        <f t="shared" si="1467"/>
        <v>#N/A</v>
      </c>
      <c r="L9512" s="16">
        <f>base!X9512</f>
        <v>0</v>
      </c>
      <c r="M9512" s="11" t="e">
        <f t="shared" si="1464"/>
        <v>#DIV/0!</v>
      </c>
      <c r="N9512" s="11"/>
      <c r="O9512" s="11" t="e">
        <f t="shared" si="1465"/>
        <v>#DIV/0!</v>
      </c>
      <c r="P9512" s="12">
        <f t="shared" si="1466"/>
        <v>0</v>
      </c>
      <c r="Q9512" s="17" t="str">
        <f t="shared" si="1468"/>
        <v>Pas d'écart</v>
      </c>
    </row>
    <row r="9513" spans="1:17" x14ac:dyDescent="0.3">
      <c r="A9513" s="34">
        <f>base!J9513</f>
        <v>0</v>
      </c>
      <c r="B9513" s="34">
        <f>base!V9513</f>
        <v>0</v>
      </c>
      <c r="C9513" s="40" t="s">
        <v>11</v>
      </c>
      <c r="D9513" s="36">
        <f>base!H9513</f>
        <v>0</v>
      </c>
      <c r="E9513" s="44"/>
      <c r="F9513" s="16">
        <f>base!W9513</f>
        <v>0</v>
      </c>
      <c r="G9513" s="11" t="e">
        <f t="shared" si="1460"/>
        <v>#DIV/0!</v>
      </c>
      <c r="H9513" s="11" t="e">
        <f t="shared" si="1461"/>
        <v>#N/A</v>
      </c>
      <c r="I9513" s="11" t="e">
        <f t="shared" si="1462"/>
        <v>#N/A</v>
      </c>
      <c r="J9513" s="12" t="e">
        <f t="shared" si="1463"/>
        <v>#N/A</v>
      </c>
      <c r="K9513" s="17" t="e">
        <f t="shared" si="1467"/>
        <v>#N/A</v>
      </c>
      <c r="L9513" s="16">
        <f>base!X9513</f>
        <v>0</v>
      </c>
      <c r="M9513" s="11" t="e">
        <f t="shared" si="1464"/>
        <v>#DIV/0!</v>
      </c>
      <c r="N9513" s="11"/>
      <c r="O9513" s="11" t="e">
        <f t="shared" si="1465"/>
        <v>#DIV/0!</v>
      </c>
      <c r="P9513" s="12">
        <f t="shared" si="1466"/>
        <v>0</v>
      </c>
      <c r="Q9513" s="17" t="str">
        <f t="shared" si="1468"/>
        <v>Pas d'écart</v>
      </c>
    </row>
    <row r="9514" spans="1:17" x14ac:dyDescent="0.3">
      <c r="A9514" s="34">
        <f>base!J9514</f>
        <v>0</v>
      </c>
      <c r="B9514" s="34">
        <f>base!V9514</f>
        <v>0</v>
      </c>
      <c r="C9514" s="40" t="s">
        <v>11</v>
      </c>
      <c r="D9514" s="36">
        <f>base!H9514</f>
        <v>0</v>
      </c>
      <c r="E9514" s="44"/>
      <c r="F9514" s="16">
        <f>base!W9514</f>
        <v>0</v>
      </c>
      <c r="G9514" s="11" t="e">
        <f t="shared" si="1460"/>
        <v>#DIV/0!</v>
      </c>
      <c r="H9514" s="11" t="e">
        <f t="shared" si="1461"/>
        <v>#N/A</v>
      </c>
      <c r="I9514" s="11" t="e">
        <f t="shared" si="1462"/>
        <v>#N/A</v>
      </c>
      <c r="J9514" s="12" t="e">
        <f t="shared" si="1463"/>
        <v>#N/A</v>
      </c>
      <c r="K9514" s="17" t="e">
        <f t="shared" si="1467"/>
        <v>#N/A</v>
      </c>
      <c r="L9514" s="16">
        <f>base!X9514</f>
        <v>0</v>
      </c>
      <c r="M9514" s="11" t="e">
        <f t="shared" si="1464"/>
        <v>#DIV/0!</v>
      </c>
      <c r="N9514" s="11"/>
      <c r="O9514" s="11" t="e">
        <f t="shared" si="1465"/>
        <v>#DIV/0!</v>
      </c>
      <c r="P9514" s="12">
        <f t="shared" si="1466"/>
        <v>0</v>
      </c>
      <c r="Q9514" s="17" t="str">
        <f t="shared" si="1468"/>
        <v>Pas d'écart</v>
      </c>
    </row>
    <row r="9515" spans="1:17" x14ac:dyDescent="0.3">
      <c r="A9515" s="34">
        <f>base!J9515</f>
        <v>0</v>
      </c>
      <c r="B9515" s="34">
        <f>base!V9515</f>
        <v>0</v>
      </c>
      <c r="C9515" s="40" t="s">
        <v>11</v>
      </c>
      <c r="D9515" s="36">
        <f>base!H9515</f>
        <v>0</v>
      </c>
      <c r="E9515" s="44"/>
      <c r="F9515" s="16">
        <f>base!W9515</f>
        <v>0</v>
      </c>
      <c r="G9515" s="11" t="e">
        <f t="shared" si="1460"/>
        <v>#DIV/0!</v>
      </c>
      <c r="H9515" s="11" t="e">
        <f t="shared" si="1461"/>
        <v>#N/A</v>
      </c>
      <c r="I9515" s="11" t="e">
        <f t="shared" si="1462"/>
        <v>#N/A</v>
      </c>
      <c r="J9515" s="12" t="e">
        <f t="shared" si="1463"/>
        <v>#N/A</v>
      </c>
      <c r="K9515" s="17" t="e">
        <f t="shared" si="1467"/>
        <v>#N/A</v>
      </c>
      <c r="L9515" s="16">
        <f>base!X9515</f>
        <v>0</v>
      </c>
      <c r="M9515" s="11" t="e">
        <f t="shared" si="1464"/>
        <v>#DIV/0!</v>
      </c>
      <c r="N9515" s="11"/>
      <c r="O9515" s="11" t="e">
        <f t="shared" si="1465"/>
        <v>#DIV/0!</v>
      </c>
      <c r="P9515" s="12">
        <f t="shared" si="1466"/>
        <v>0</v>
      </c>
      <c r="Q9515" s="17" t="str">
        <f t="shared" si="1468"/>
        <v>Pas d'écart</v>
      </c>
    </row>
    <row r="9516" spans="1:17" x14ac:dyDescent="0.3">
      <c r="A9516" s="34">
        <f>base!J9516</f>
        <v>0</v>
      </c>
      <c r="B9516" s="34">
        <f>base!V9516</f>
        <v>0</v>
      </c>
      <c r="C9516" s="40" t="s">
        <v>11</v>
      </c>
      <c r="D9516" s="36">
        <f>base!H9516</f>
        <v>0</v>
      </c>
      <c r="E9516" s="44"/>
      <c r="F9516" s="16">
        <f>base!W9516</f>
        <v>0</v>
      </c>
      <c r="G9516" s="11" t="e">
        <f t="shared" si="1460"/>
        <v>#DIV/0!</v>
      </c>
      <c r="H9516" s="11" t="e">
        <f t="shared" si="1461"/>
        <v>#N/A</v>
      </c>
      <c r="I9516" s="11" t="e">
        <f t="shared" si="1462"/>
        <v>#N/A</v>
      </c>
      <c r="J9516" s="12" t="e">
        <f t="shared" si="1463"/>
        <v>#N/A</v>
      </c>
      <c r="K9516" s="17" t="e">
        <f t="shared" si="1467"/>
        <v>#N/A</v>
      </c>
      <c r="L9516" s="16">
        <f>base!X9516</f>
        <v>0</v>
      </c>
      <c r="M9516" s="11" t="e">
        <f t="shared" si="1464"/>
        <v>#DIV/0!</v>
      </c>
      <c r="N9516" s="11"/>
      <c r="O9516" s="11" t="e">
        <f t="shared" si="1465"/>
        <v>#DIV/0!</v>
      </c>
      <c r="P9516" s="12">
        <f t="shared" si="1466"/>
        <v>0</v>
      </c>
      <c r="Q9516" s="17" t="str">
        <f t="shared" si="1468"/>
        <v>Pas d'écart</v>
      </c>
    </row>
    <row r="9517" spans="1:17" x14ac:dyDescent="0.3">
      <c r="A9517" s="34">
        <f>base!J9517</f>
        <v>0</v>
      </c>
      <c r="B9517" s="34">
        <f>base!V9517</f>
        <v>0</v>
      </c>
      <c r="C9517" s="40" t="s">
        <v>11</v>
      </c>
      <c r="D9517" s="36">
        <f>base!H9517</f>
        <v>0</v>
      </c>
      <c r="E9517" s="44"/>
      <c r="F9517" s="16">
        <f>base!W9517</f>
        <v>0</v>
      </c>
      <c r="G9517" s="11" t="e">
        <f t="shared" si="1460"/>
        <v>#DIV/0!</v>
      </c>
      <c r="H9517" s="11" t="e">
        <f t="shared" si="1461"/>
        <v>#N/A</v>
      </c>
      <c r="I9517" s="11" t="e">
        <f t="shared" si="1462"/>
        <v>#N/A</v>
      </c>
      <c r="J9517" s="12" t="e">
        <f t="shared" si="1463"/>
        <v>#N/A</v>
      </c>
      <c r="K9517" s="17" t="e">
        <f t="shared" si="1467"/>
        <v>#N/A</v>
      </c>
      <c r="L9517" s="16">
        <f>base!X9517</f>
        <v>0</v>
      </c>
      <c r="M9517" s="11" t="e">
        <f t="shared" si="1464"/>
        <v>#DIV/0!</v>
      </c>
      <c r="N9517" s="11"/>
      <c r="O9517" s="11" t="e">
        <f t="shared" si="1465"/>
        <v>#DIV/0!</v>
      </c>
      <c r="P9517" s="12">
        <f t="shared" si="1466"/>
        <v>0</v>
      </c>
      <c r="Q9517" s="17" t="str">
        <f t="shared" si="1468"/>
        <v>Pas d'écart</v>
      </c>
    </row>
    <row r="9518" spans="1:17" x14ac:dyDescent="0.3">
      <c r="A9518" s="34">
        <f>base!J9518</f>
        <v>0</v>
      </c>
      <c r="B9518" s="34">
        <f>base!V9518</f>
        <v>0</v>
      </c>
      <c r="C9518" s="40" t="s">
        <v>11</v>
      </c>
      <c r="D9518" s="36">
        <f>base!H9518</f>
        <v>0</v>
      </c>
      <c r="E9518" s="44"/>
      <c r="F9518" s="16">
        <f>base!W9518</f>
        <v>0</v>
      </c>
      <c r="G9518" s="11" t="e">
        <f t="shared" si="1460"/>
        <v>#DIV/0!</v>
      </c>
      <c r="H9518" s="11" t="e">
        <f t="shared" si="1461"/>
        <v>#N/A</v>
      </c>
      <c r="I9518" s="11" t="e">
        <f t="shared" si="1462"/>
        <v>#N/A</v>
      </c>
      <c r="J9518" s="12" t="e">
        <f t="shared" si="1463"/>
        <v>#N/A</v>
      </c>
      <c r="K9518" s="17" t="e">
        <f t="shared" si="1467"/>
        <v>#N/A</v>
      </c>
      <c r="L9518" s="16">
        <f>base!X9518</f>
        <v>0</v>
      </c>
      <c r="M9518" s="11" t="e">
        <f t="shared" si="1464"/>
        <v>#DIV/0!</v>
      </c>
      <c r="N9518" s="11"/>
      <c r="O9518" s="11" t="e">
        <f t="shared" si="1465"/>
        <v>#DIV/0!</v>
      </c>
      <c r="P9518" s="12">
        <f t="shared" si="1466"/>
        <v>0</v>
      </c>
      <c r="Q9518" s="17" t="str">
        <f t="shared" si="1468"/>
        <v>Pas d'écart</v>
      </c>
    </row>
    <row r="9519" spans="1:17" x14ac:dyDescent="0.3">
      <c r="A9519" s="34">
        <f>base!J9519</f>
        <v>0</v>
      </c>
      <c r="B9519" s="34">
        <f>base!V9519</f>
        <v>0</v>
      </c>
      <c r="C9519" s="40" t="s">
        <v>11</v>
      </c>
      <c r="D9519" s="36">
        <f>base!H9519</f>
        <v>0</v>
      </c>
      <c r="E9519" s="44"/>
      <c r="F9519" s="16">
        <f>base!W9519</f>
        <v>0</v>
      </c>
      <c r="G9519" s="11" t="e">
        <f t="shared" si="1460"/>
        <v>#DIV/0!</v>
      </c>
      <c r="H9519" s="11" t="e">
        <f t="shared" si="1461"/>
        <v>#N/A</v>
      </c>
      <c r="I9519" s="11" t="e">
        <f t="shared" si="1462"/>
        <v>#N/A</v>
      </c>
      <c r="J9519" s="12" t="e">
        <f t="shared" si="1463"/>
        <v>#N/A</v>
      </c>
      <c r="K9519" s="17" t="e">
        <f t="shared" si="1467"/>
        <v>#N/A</v>
      </c>
      <c r="L9519" s="16">
        <f>base!X9519</f>
        <v>0</v>
      </c>
      <c r="M9519" s="11" t="e">
        <f t="shared" si="1464"/>
        <v>#DIV/0!</v>
      </c>
      <c r="N9519" s="11"/>
      <c r="O9519" s="11" t="e">
        <f t="shared" si="1465"/>
        <v>#DIV/0!</v>
      </c>
      <c r="P9519" s="12">
        <f t="shared" si="1466"/>
        <v>0</v>
      </c>
      <c r="Q9519" s="17" t="str">
        <f t="shared" si="1468"/>
        <v>Pas d'écart</v>
      </c>
    </row>
    <row r="9520" spans="1:17" x14ac:dyDescent="0.3">
      <c r="A9520" s="34">
        <f>base!J9520</f>
        <v>0</v>
      </c>
      <c r="B9520" s="34">
        <f>base!V9520</f>
        <v>0</v>
      </c>
      <c r="C9520" s="40" t="s">
        <v>11</v>
      </c>
      <c r="D9520" s="36">
        <f>base!H9520</f>
        <v>0</v>
      </c>
      <c r="E9520" s="44"/>
      <c r="F9520" s="16">
        <f>base!W9520</f>
        <v>0</v>
      </c>
      <c r="G9520" s="11" t="e">
        <f t="shared" si="1460"/>
        <v>#DIV/0!</v>
      </c>
      <c r="H9520" s="11" t="e">
        <f t="shared" si="1461"/>
        <v>#N/A</v>
      </c>
      <c r="I9520" s="11" t="e">
        <f t="shared" si="1462"/>
        <v>#N/A</v>
      </c>
      <c r="J9520" s="12" t="e">
        <f t="shared" si="1463"/>
        <v>#N/A</v>
      </c>
      <c r="K9520" s="17" t="e">
        <f t="shared" si="1467"/>
        <v>#N/A</v>
      </c>
      <c r="L9520" s="16">
        <f>base!X9520</f>
        <v>0</v>
      </c>
      <c r="M9520" s="11" t="e">
        <f t="shared" si="1464"/>
        <v>#DIV/0!</v>
      </c>
      <c r="N9520" s="11"/>
      <c r="O9520" s="11" t="e">
        <f t="shared" si="1465"/>
        <v>#DIV/0!</v>
      </c>
      <c r="P9520" s="12">
        <f t="shared" si="1466"/>
        <v>0</v>
      </c>
      <c r="Q9520" s="17" t="str">
        <f t="shared" si="1468"/>
        <v>Pas d'écart</v>
      </c>
    </row>
    <row r="9521" spans="1:17" x14ac:dyDescent="0.3">
      <c r="A9521" s="34">
        <f>base!J9521</f>
        <v>0</v>
      </c>
      <c r="B9521" s="34">
        <f>base!V9521</f>
        <v>0</v>
      </c>
      <c r="C9521" s="40" t="s">
        <v>11</v>
      </c>
      <c r="D9521" s="36">
        <f>base!H9521</f>
        <v>0</v>
      </c>
      <c r="E9521" s="44"/>
      <c r="F9521" s="16">
        <f>base!W9521</f>
        <v>0</v>
      </c>
      <c r="G9521" s="11" t="e">
        <f t="shared" si="1460"/>
        <v>#DIV/0!</v>
      </c>
      <c r="H9521" s="11" t="e">
        <f t="shared" si="1461"/>
        <v>#N/A</v>
      </c>
      <c r="I9521" s="11" t="e">
        <f t="shared" si="1462"/>
        <v>#N/A</v>
      </c>
      <c r="J9521" s="12" t="e">
        <f t="shared" si="1463"/>
        <v>#N/A</v>
      </c>
      <c r="K9521" s="17" t="e">
        <f t="shared" si="1467"/>
        <v>#N/A</v>
      </c>
      <c r="L9521" s="16">
        <f>base!X9521</f>
        <v>0</v>
      </c>
      <c r="M9521" s="11" t="e">
        <f t="shared" si="1464"/>
        <v>#DIV/0!</v>
      </c>
      <c r="N9521" s="11"/>
      <c r="O9521" s="11" t="e">
        <f t="shared" si="1465"/>
        <v>#DIV/0!</v>
      </c>
      <c r="P9521" s="12">
        <f t="shared" si="1466"/>
        <v>0</v>
      </c>
      <c r="Q9521" s="17" t="str">
        <f t="shared" si="1468"/>
        <v>Pas d'écart</v>
      </c>
    </row>
    <row r="9522" spans="1:17" x14ac:dyDescent="0.3">
      <c r="A9522" s="34">
        <f>base!J9522</f>
        <v>0</v>
      </c>
      <c r="B9522" s="34">
        <f>base!V9522</f>
        <v>0</v>
      </c>
      <c r="C9522" s="40" t="s">
        <v>11</v>
      </c>
      <c r="D9522" s="36">
        <f>base!H9522</f>
        <v>0</v>
      </c>
      <c r="E9522" s="44"/>
      <c r="F9522" s="16">
        <f>base!W9522</f>
        <v>0</v>
      </c>
      <c r="G9522" s="11" t="e">
        <f t="shared" si="1460"/>
        <v>#DIV/0!</v>
      </c>
      <c r="H9522" s="11" t="e">
        <f t="shared" si="1461"/>
        <v>#N/A</v>
      </c>
      <c r="I9522" s="11" t="e">
        <f t="shared" si="1462"/>
        <v>#N/A</v>
      </c>
      <c r="J9522" s="12" t="e">
        <f t="shared" si="1463"/>
        <v>#N/A</v>
      </c>
      <c r="K9522" s="17" t="e">
        <f t="shared" si="1467"/>
        <v>#N/A</v>
      </c>
      <c r="L9522" s="16">
        <f>base!X9522</f>
        <v>0</v>
      </c>
      <c r="M9522" s="11" t="e">
        <f t="shared" si="1464"/>
        <v>#DIV/0!</v>
      </c>
      <c r="N9522" s="11"/>
      <c r="O9522" s="11" t="e">
        <f t="shared" si="1465"/>
        <v>#DIV/0!</v>
      </c>
      <c r="P9522" s="12">
        <f t="shared" si="1466"/>
        <v>0</v>
      </c>
      <c r="Q9522" s="17" t="str">
        <f t="shared" si="1468"/>
        <v>Pas d'écart</v>
      </c>
    </row>
    <row r="9523" spans="1:17" x14ac:dyDescent="0.3">
      <c r="A9523" s="34">
        <f>base!J9523</f>
        <v>0</v>
      </c>
      <c r="B9523" s="34">
        <f>base!V9523</f>
        <v>0</v>
      </c>
      <c r="C9523" s="40" t="s">
        <v>11</v>
      </c>
      <c r="D9523" s="36">
        <f>base!H9523</f>
        <v>0</v>
      </c>
      <c r="E9523" s="44"/>
      <c r="F9523" s="16">
        <f>base!W9523</f>
        <v>0</v>
      </c>
      <c r="G9523" s="11" t="e">
        <f t="shared" si="1460"/>
        <v>#DIV/0!</v>
      </c>
      <c r="H9523" s="11" t="e">
        <f t="shared" si="1461"/>
        <v>#N/A</v>
      </c>
      <c r="I9523" s="11" t="e">
        <f t="shared" si="1462"/>
        <v>#N/A</v>
      </c>
      <c r="J9523" s="12" t="e">
        <f t="shared" si="1463"/>
        <v>#N/A</v>
      </c>
      <c r="K9523" s="17" t="e">
        <f t="shared" si="1467"/>
        <v>#N/A</v>
      </c>
      <c r="L9523" s="16">
        <f>base!X9523</f>
        <v>0</v>
      </c>
      <c r="M9523" s="11" t="e">
        <f t="shared" si="1464"/>
        <v>#DIV/0!</v>
      </c>
      <c r="N9523" s="11"/>
      <c r="O9523" s="11" t="e">
        <f t="shared" si="1465"/>
        <v>#DIV/0!</v>
      </c>
      <c r="P9523" s="12">
        <f t="shared" si="1466"/>
        <v>0</v>
      </c>
      <c r="Q9523" s="17" t="str">
        <f t="shared" si="1468"/>
        <v>Pas d'écart</v>
      </c>
    </row>
    <row r="9524" spans="1:17" x14ac:dyDescent="0.3">
      <c r="A9524" s="34">
        <f>base!J9524</f>
        <v>0</v>
      </c>
      <c r="B9524" s="34">
        <f>base!V9524</f>
        <v>0</v>
      </c>
      <c r="C9524" s="40" t="s">
        <v>11</v>
      </c>
      <c r="D9524" s="36">
        <f>base!H9524</f>
        <v>0</v>
      </c>
      <c r="E9524" s="44"/>
      <c r="F9524" s="16">
        <f>base!W9524</f>
        <v>0</v>
      </c>
      <c r="G9524" s="11" t="e">
        <f t="shared" si="1460"/>
        <v>#DIV/0!</v>
      </c>
      <c r="H9524" s="11" t="e">
        <f t="shared" si="1461"/>
        <v>#N/A</v>
      </c>
      <c r="I9524" s="11" t="e">
        <f t="shared" si="1462"/>
        <v>#N/A</v>
      </c>
      <c r="J9524" s="12" t="e">
        <f t="shared" si="1463"/>
        <v>#N/A</v>
      </c>
      <c r="K9524" s="17" t="e">
        <f t="shared" si="1467"/>
        <v>#N/A</v>
      </c>
      <c r="L9524" s="16">
        <f>base!X9524</f>
        <v>0</v>
      </c>
      <c r="M9524" s="11" t="e">
        <f t="shared" si="1464"/>
        <v>#DIV/0!</v>
      </c>
      <c r="N9524" s="11"/>
      <c r="O9524" s="11" t="e">
        <f t="shared" si="1465"/>
        <v>#DIV/0!</v>
      </c>
      <c r="P9524" s="12">
        <f t="shared" si="1466"/>
        <v>0</v>
      </c>
      <c r="Q9524" s="17" t="str">
        <f t="shared" si="1468"/>
        <v>Pas d'écart</v>
      </c>
    </row>
    <row r="9525" spans="1:17" x14ac:dyDescent="0.3">
      <c r="A9525" s="34">
        <f>base!J9525</f>
        <v>0</v>
      </c>
      <c r="B9525" s="34">
        <f>base!V9525</f>
        <v>0</v>
      </c>
      <c r="C9525" s="40" t="s">
        <v>11</v>
      </c>
      <c r="D9525" s="36">
        <f>base!H9525</f>
        <v>0</v>
      </c>
      <c r="E9525" s="44"/>
      <c r="F9525" s="16">
        <f>base!W9525</f>
        <v>0</v>
      </c>
      <c r="G9525" s="11" t="e">
        <f t="shared" si="1460"/>
        <v>#DIV/0!</v>
      </c>
      <c r="H9525" s="11" t="e">
        <f t="shared" si="1461"/>
        <v>#N/A</v>
      </c>
      <c r="I9525" s="11" t="e">
        <f t="shared" si="1462"/>
        <v>#N/A</v>
      </c>
      <c r="J9525" s="12" t="e">
        <f t="shared" si="1463"/>
        <v>#N/A</v>
      </c>
      <c r="K9525" s="17" t="e">
        <f t="shared" si="1467"/>
        <v>#N/A</v>
      </c>
      <c r="L9525" s="16">
        <f>base!X9525</f>
        <v>0</v>
      </c>
      <c r="M9525" s="11" t="e">
        <f t="shared" si="1464"/>
        <v>#DIV/0!</v>
      </c>
      <c r="N9525" s="11"/>
      <c r="O9525" s="11" t="e">
        <f t="shared" si="1465"/>
        <v>#DIV/0!</v>
      </c>
      <c r="P9525" s="12">
        <f t="shared" si="1466"/>
        <v>0</v>
      </c>
      <c r="Q9525" s="17" t="str">
        <f t="shared" si="1468"/>
        <v>Pas d'écart</v>
      </c>
    </row>
    <row r="9526" spans="1:17" x14ac:dyDescent="0.3">
      <c r="A9526" s="34">
        <f>base!J9526</f>
        <v>0</v>
      </c>
      <c r="B9526" s="34">
        <f>base!V9526</f>
        <v>0</v>
      </c>
      <c r="C9526" s="40" t="s">
        <v>11</v>
      </c>
      <c r="D9526" s="36">
        <f>base!H9526</f>
        <v>0</v>
      </c>
      <c r="E9526" s="44"/>
      <c r="F9526" s="16">
        <f>base!W9526</f>
        <v>0</v>
      </c>
      <c r="G9526" s="11" t="e">
        <f t="shared" si="1460"/>
        <v>#DIV/0!</v>
      </c>
      <c r="H9526" s="11" t="e">
        <f t="shared" si="1461"/>
        <v>#N/A</v>
      </c>
      <c r="I9526" s="11" t="e">
        <f t="shared" si="1462"/>
        <v>#N/A</v>
      </c>
      <c r="J9526" s="12" t="e">
        <f t="shared" si="1463"/>
        <v>#N/A</v>
      </c>
      <c r="K9526" s="17" t="e">
        <f t="shared" si="1467"/>
        <v>#N/A</v>
      </c>
      <c r="L9526" s="16">
        <f>base!X9526</f>
        <v>0</v>
      </c>
      <c r="M9526" s="11" t="e">
        <f t="shared" si="1464"/>
        <v>#DIV/0!</v>
      </c>
      <c r="N9526" s="11"/>
      <c r="O9526" s="11" t="e">
        <f t="shared" si="1465"/>
        <v>#DIV/0!</v>
      </c>
      <c r="P9526" s="12">
        <f t="shared" si="1466"/>
        <v>0</v>
      </c>
      <c r="Q9526" s="17" t="str">
        <f t="shared" si="1468"/>
        <v>Pas d'écart</v>
      </c>
    </row>
    <row r="9527" spans="1:17" x14ac:dyDescent="0.3">
      <c r="A9527" s="34">
        <f>base!J9527</f>
        <v>0</v>
      </c>
      <c r="B9527" s="34">
        <f>base!V9527</f>
        <v>0</v>
      </c>
      <c r="C9527" s="40" t="s">
        <v>11</v>
      </c>
      <c r="D9527" s="36">
        <f>base!H9527</f>
        <v>0</v>
      </c>
      <c r="E9527" s="44"/>
      <c r="F9527" s="16">
        <f>base!W9527</f>
        <v>0</v>
      </c>
      <c r="G9527" s="11" t="e">
        <f t="shared" si="1460"/>
        <v>#DIV/0!</v>
      </c>
      <c r="H9527" s="11" t="e">
        <f t="shared" si="1461"/>
        <v>#N/A</v>
      </c>
      <c r="I9527" s="11" t="e">
        <f t="shared" si="1462"/>
        <v>#N/A</v>
      </c>
      <c r="J9527" s="12" t="e">
        <f t="shared" si="1463"/>
        <v>#N/A</v>
      </c>
      <c r="K9527" s="17" t="e">
        <f t="shared" si="1467"/>
        <v>#N/A</v>
      </c>
      <c r="L9527" s="16">
        <f>base!X9527</f>
        <v>0</v>
      </c>
      <c r="M9527" s="11" t="e">
        <f t="shared" si="1464"/>
        <v>#DIV/0!</v>
      </c>
      <c r="N9527" s="11"/>
      <c r="O9527" s="11" t="e">
        <f t="shared" si="1465"/>
        <v>#DIV/0!</v>
      </c>
      <c r="P9527" s="12">
        <f t="shared" si="1466"/>
        <v>0</v>
      </c>
      <c r="Q9527" s="17" t="str">
        <f t="shared" si="1468"/>
        <v>Pas d'écart</v>
      </c>
    </row>
    <row r="9528" spans="1:17" x14ac:dyDescent="0.3">
      <c r="A9528" s="34">
        <f>base!J9528</f>
        <v>0</v>
      </c>
      <c r="B9528" s="34">
        <f>base!V9528</f>
        <v>0</v>
      </c>
      <c r="C9528" s="40" t="s">
        <v>11</v>
      </c>
      <c r="D9528" s="36">
        <f>base!H9528</f>
        <v>0</v>
      </c>
      <c r="E9528" s="44"/>
      <c r="F9528" s="16">
        <f>base!W9528</f>
        <v>0</v>
      </c>
      <c r="G9528" s="11" t="e">
        <f t="shared" si="1460"/>
        <v>#DIV/0!</v>
      </c>
      <c r="H9528" s="11" t="e">
        <f t="shared" si="1461"/>
        <v>#N/A</v>
      </c>
      <c r="I9528" s="11" t="e">
        <f t="shared" si="1462"/>
        <v>#N/A</v>
      </c>
      <c r="J9528" s="12" t="e">
        <f t="shared" si="1463"/>
        <v>#N/A</v>
      </c>
      <c r="K9528" s="17" t="e">
        <f t="shared" si="1467"/>
        <v>#N/A</v>
      </c>
      <c r="L9528" s="16">
        <f>base!X9528</f>
        <v>0</v>
      </c>
      <c r="M9528" s="11" t="e">
        <f t="shared" si="1464"/>
        <v>#DIV/0!</v>
      </c>
      <c r="N9528" s="11"/>
      <c r="O9528" s="11" t="e">
        <f t="shared" si="1465"/>
        <v>#DIV/0!</v>
      </c>
      <c r="P9528" s="12">
        <f t="shared" si="1466"/>
        <v>0</v>
      </c>
      <c r="Q9528" s="17" t="str">
        <f t="shared" si="1468"/>
        <v>Pas d'écart</v>
      </c>
    </row>
    <row r="9529" spans="1:17" x14ac:dyDescent="0.3">
      <c r="A9529" s="34">
        <f>base!J9529</f>
        <v>0</v>
      </c>
      <c r="B9529" s="34">
        <f>base!V9529</f>
        <v>0</v>
      </c>
      <c r="C9529" s="40" t="s">
        <v>11</v>
      </c>
      <c r="D9529" s="36">
        <f>base!H9529</f>
        <v>0</v>
      </c>
      <c r="E9529" s="44"/>
      <c r="F9529" s="16">
        <f>base!W9529</f>
        <v>0</v>
      </c>
      <c r="G9529" s="11" t="e">
        <f t="shared" si="1460"/>
        <v>#DIV/0!</v>
      </c>
      <c r="H9529" s="11" t="e">
        <f t="shared" si="1461"/>
        <v>#N/A</v>
      </c>
      <c r="I9529" s="11" t="e">
        <f t="shared" si="1462"/>
        <v>#N/A</v>
      </c>
      <c r="J9529" s="12" t="e">
        <f t="shared" si="1463"/>
        <v>#N/A</v>
      </c>
      <c r="K9529" s="17" t="e">
        <f t="shared" si="1467"/>
        <v>#N/A</v>
      </c>
      <c r="L9529" s="16">
        <f>base!X9529</f>
        <v>0</v>
      </c>
      <c r="M9529" s="11" t="e">
        <f t="shared" si="1464"/>
        <v>#DIV/0!</v>
      </c>
      <c r="N9529" s="11"/>
      <c r="O9529" s="11" t="e">
        <f t="shared" si="1465"/>
        <v>#DIV/0!</v>
      </c>
      <c r="P9529" s="12">
        <f t="shared" si="1466"/>
        <v>0</v>
      </c>
      <c r="Q9529" s="17" t="str">
        <f t="shared" si="1468"/>
        <v>Pas d'écart</v>
      </c>
    </row>
    <row r="9530" spans="1:17" x14ac:dyDescent="0.3">
      <c r="A9530" s="34">
        <f>base!J9530</f>
        <v>0</v>
      </c>
      <c r="B9530" s="34">
        <f>base!V9530</f>
        <v>0</v>
      </c>
      <c r="C9530" s="40" t="s">
        <v>11</v>
      </c>
      <c r="D9530" s="36">
        <f>base!H9530</f>
        <v>0</v>
      </c>
      <c r="E9530" s="44"/>
      <c r="F9530" s="16">
        <f>base!W9530</f>
        <v>0</v>
      </c>
      <c r="G9530" s="11" t="e">
        <f t="shared" si="1460"/>
        <v>#DIV/0!</v>
      </c>
      <c r="H9530" s="11" t="e">
        <f t="shared" si="1461"/>
        <v>#N/A</v>
      </c>
      <c r="I9530" s="11" t="e">
        <f t="shared" si="1462"/>
        <v>#N/A</v>
      </c>
      <c r="J9530" s="12" t="e">
        <f t="shared" si="1463"/>
        <v>#N/A</v>
      </c>
      <c r="K9530" s="17" t="e">
        <f t="shared" si="1467"/>
        <v>#N/A</v>
      </c>
      <c r="L9530" s="16">
        <f>base!X9530</f>
        <v>0</v>
      </c>
      <c r="M9530" s="11" t="e">
        <f t="shared" si="1464"/>
        <v>#DIV/0!</v>
      </c>
      <c r="N9530" s="11"/>
      <c r="O9530" s="11" t="e">
        <f t="shared" si="1465"/>
        <v>#DIV/0!</v>
      </c>
      <c r="P9530" s="12">
        <f t="shared" si="1466"/>
        <v>0</v>
      </c>
      <c r="Q9530" s="17" t="str">
        <f t="shared" si="1468"/>
        <v>Pas d'écart</v>
      </c>
    </row>
    <row r="9531" spans="1:17" x14ac:dyDescent="0.3">
      <c r="A9531" s="34">
        <f>base!J9531</f>
        <v>0</v>
      </c>
      <c r="B9531" s="34">
        <f>base!V9531</f>
        <v>0</v>
      </c>
      <c r="C9531" s="40" t="s">
        <v>11</v>
      </c>
      <c r="D9531" s="36">
        <f>base!H9531</f>
        <v>0</v>
      </c>
      <c r="E9531" s="44"/>
      <c r="F9531" s="16">
        <f>base!W9531</f>
        <v>0</v>
      </c>
      <c r="G9531" s="11" t="e">
        <f t="shared" si="1460"/>
        <v>#DIV/0!</v>
      </c>
      <c r="H9531" s="11" t="e">
        <f t="shared" si="1461"/>
        <v>#N/A</v>
      </c>
      <c r="I9531" s="11" t="e">
        <f t="shared" si="1462"/>
        <v>#N/A</v>
      </c>
      <c r="J9531" s="12" t="e">
        <f t="shared" si="1463"/>
        <v>#N/A</v>
      </c>
      <c r="K9531" s="17" t="e">
        <f t="shared" si="1467"/>
        <v>#N/A</v>
      </c>
      <c r="L9531" s="16">
        <f>base!X9531</f>
        <v>0</v>
      </c>
      <c r="M9531" s="11" t="e">
        <f t="shared" si="1464"/>
        <v>#DIV/0!</v>
      </c>
      <c r="N9531" s="11"/>
      <c r="O9531" s="11" t="e">
        <f t="shared" si="1465"/>
        <v>#DIV/0!</v>
      </c>
      <c r="P9531" s="12">
        <f t="shared" si="1466"/>
        <v>0</v>
      </c>
      <c r="Q9531" s="17" t="str">
        <f t="shared" si="1468"/>
        <v>Pas d'écart</v>
      </c>
    </row>
    <row r="9532" spans="1:17" x14ac:dyDescent="0.3">
      <c r="A9532" s="34">
        <f>base!J9532</f>
        <v>0</v>
      </c>
      <c r="B9532" s="34">
        <f>base!V9532</f>
        <v>0</v>
      </c>
      <c r="C9532" s="40" t="s">
        <v>11</v>
      </c>
      <c r="D9532" s="36">
        <f>base!H9532</f>
        <v>0</v>
      </c>
      <c r="E9532" s="44"/>
      <c r="F9532" s="16">
        <f>base!W9532</f>
        <v>0</v>
      </c>
      <c r="G9532" s="11" t="e">
        <f t="shared" si="1460"/>
        <v>#DIV/0!</v>
      </c>
      <c r="H9532" s="11" t="e">
        <f t="shared" si="1461"/>
        <v>#N/A</v>
      </c>
      <c r="I9532" s="11" t="e">
        <f t="shared" si="1462"/>
        <v>#N/A</v>
      </c>
      <c r="J9532" s="12" t="e">
        <f t="shared" si="1463"/>
        <v>#N/A</v>
      </c>
      <c r="K9532" s="17" t="e">
        <f t="shared" si="1467"/>
        <v>#N/A</v>
      </c>
      <c r="L9532" s="16">
        <f>base!X9532</f>
        <v>0</v>
      </c>
      <c r="M9532" s="11" t="e">
        <f t="shared" si="1464"/>
        <v>#DIV/0!</v>
      </c>
      <c r="N9532" s="11"/>
      <c r="O9532" s="11" t="e">
        <f t="shared" si="1465"/>
        <v>#DIV/0!</v>
      </c>
      <c r="P9532" s="12">
        <f t="shared" si="1466"/>
        <v>0</v>
      </c>
      <c r="Q9532" s="17" t="str">
        <f t="shared" si="1468"/>
        <v>Pas d'écart</v>
      </c>
    </row>
    <row r="9533" spans="1:17" x14ac:dyDescent="0.3">
      <c r="A9533" s="34">
        <f>base!J9533</f>
        <v>0</v>
      </c>
      <c r="B9533" s="34">
        <f>base!V9533</f>
        <v>0</v>
      </c>
      <c r="C9533" s="40" t="s">
        <v>11</v>
      </c>
      <c r="D9533" s="36">
        <f>base!H9533</f>
        <v>0</v>
      </c>
      <c r="E9533" s="44"/>
      <c r="F9533" s="16">
        <f>base!W9533</f>
        <v>0</v>
      </c>
      <c r="G9533" s="11" t="e">
        <f t="shared" si="1460"/>
        <v>#DIV/0!</v>
      </c>
      <c r="H9533" s="11" t="e">
        <f t="shared" si="1461"/>
        <v>#N/A</v>
      </c>
      <c r="I9533" s="11" t="e">
        <f t="shared" si="1462"/>
        <v>#N/A</v>
      </c>
      <c r="J9533" s="12" t="e">
        <f t="shared" si="1463"/>
        <v>#N/A</v>
      </c>
      <c r="K9533" s="17" t="e">
        <f t="shared" si="1467"/>
        <v>#N/A</v>
      </c>
      <c r="L9533" s="16">
        <f>base!X9533</f>
        <v>0</v>
      </c>
      <c r="M9533" s="11" t="e">
        <f t="shared" si="1464"/>
        <v>#DIV/0!</v>
      </c>
      <c r="N9533" s="11"/>
      <c r="O9533" s="11" t="e">
        <f t="shared" si="1465"/>
        <v>#DIV/0!</v>
      </c>
      <c r="P9533" s="12">
        <f t="shared" si="1466"/>
        <v>0</v>
      </c>
      <c r="Q9533" s="17" t="str">
        <f t="shared" si="1468"/>
        <v>Pas d'écart</v>
      </c>
    </row>
    <row r="9534" spans="1:17" x14ac:dyDescent="0.3">
      <c r="A9534" s="34">
        <f>base!J9534</f>
        <v>0</v>
      </c>
      <c r="B9534" s="34">
        <f>base!V9534</f>
        <v>0</v>
      </c>
      <c r="C9534" s="40" t="s">
        <v>11</v>
      </c>
      <c r="D9534" s="36">
        <f>base!H9534</f>
        <v>0</v>
      </c>
      <c r="E9534" s="44"/>
      <c r="F9534" s="16">
        <f>base!W9534</f>
        <v>0</v>
      </c>
      <c r="G9534" s="11" t="e">
        <f t="shared" si="1460"/>
        <v>#DIV/0!</v>
      </c>
      <c r="H9534" s="11" t="e">
        <f t="shared" si="1461"/>
        <v>#N/A</v>
      </c>
      <c r="I9534" s="11" t="e">
        <f t="shared" si="1462"/>
        <v>#N/A</v>
      </c>
      <c r="J9534" s="12" t="e">
        <f t="shared" si="1463"/>
        <v>#N/A</v>
      </c>
      <c r="K9534" s="17" t="e">
        <f t="shared" si="1467"/>
        <v>#N/A</v>
      </c>
      <c r="L9534" s="16">
        <f>base!X9534</f>
        <v>0</v>
      </c>
      <c r="M9534" s="11" t="e">
        <f t="shared" si="1464"/>
        <v>#DIV/0!</v>
      </c>
      <c r="N9534" s="11"/>
      <c r="O9534" s="11" t="e">
        <f t="shared" si="1465"/>
        <v>#DIV/0!</v>
      </c>
      <c r="P9534" s="12">
        <f t="shared" si="1466"/>
        <v>0</v>
      </c>
      <c r="Q9534" s="17" t="str">
        <f t="shared" si="1468"/>
        <v>Pas d'écart</v>
      </c>
    </row>
    <row r="9535" spans="1:17" x14ac:dyDescent="0.3">
      <c r="A9535" s="34">
        <f>base!J9535</f>
        <v>0</v>
      </c>
      <c r="B9535" s="34">
        <f>base!V9535</f>
        <v>0</v>
      </c>
      <c r="C9535" s="40" t="s">
        <v>11</v>
      </c>
      <c r="D9535" s="36">
        <f>base!H9535</f>
        <v>0</v>
      </c>
      <c r="E9535" s="44"/>
      <c r="F9535" s="16">
        <f>base!W9535</f>
        <v>0</v>
      </c>
      <c r="G9535" s="11" t="e">
        <f t="shared" si="1460"/>
        <v>#DIV/0!</v>
      </c>
      <c r="H9535" s="11" t="e">
        <f t="shared" si="1461"/>
        <v>#N/A</v>
      </c>
      <c r="I9535" s="11" t="e">
        <f t="shared" si="1462"/>
        <v>#N/A</v>
      </c>
      <c r="J9535" s="12" t="e">
        <f t="shared" si="1463"/>
        <v>#N/A</v>
      </c>
      <c r="K9535" s="17" t="e">
        <f t="shared" si="1467"/>
        <v>#N/A</v>
      </c>
      <c r="L9535" s="16">
        <f>base!X9535</f>
        <v>0</v>
      </c>
      <c r="M9535" s="11" t="e">
        <f t="shared" si="1464"/>
        <v>#DIV/0!</v>
      </c>
      <c r="N9535" s="11"/>
      <c r="O9535" s="11" t="e">
        <f t="shared" si="1465"/>
        <v>#DIV/0!</v>
      </c>
      <c r="P9535" s="12">
        <f t="shared" si="1466"/>
        <v>0</v>
      </c>
      <c r="Q9535" s="17" t="str">
        <f t="shared" si="1468"/>
        <v>Pas d'écart</v>
      </c>
    </row>
    <row r="9536" spans="1:17" x14ac:dyDescent="0.3">
      <c r="A9536" s="34">
        <f>base!J9536</f>
        <v>0</v>
      </c>
      <c r="B9536" s="34">
        <f>base!V9536</f>
        <v>0</v>
      </c>
      <c r="C9536" s="40" t="s">
        <v>11</v>
      </c>
      <c r="D9536" s="36">
        <f>base!H9536</f>
        <v>0</v>
      </c>
      <c r="E9536" s="44"/>
      <c r="F9536" s="16">
        <f>base!W9536</f>
        <v>0</v>
      </c>
      <c r="G9536" s="11" t="e">
        <f t="shared" si="1460"/>
        <v>#DIV/0!</v>
      </c>
      <c r="H9536" s="11" t="e">
        <f t="shared" si="1461"/>
        <v>#N/A</v>
      </c>
      <c r="I9536" s="11" t="e">
        <f t="shared" si="1462"/>
        <v>#N/A</v>
      </c>
      <c r="J9536" s="12" t="e">
        <f t="shared" si="1463"/>
        <v>#N/A</v>
      </c>
      <c r="K9536" s="17" t="e">
        <f t="shared" si="1467"/>
        <v>#N/A</v>
      </c>
      <c r="L9536" s="16">
        <f>base!X9536</f>
        <v>0</v>
      </c>
      <c r="M9536" s="11" t="e">
        <f t="shared" si="1464"/>
        <v>#DIV/0!</v>
      </c>
      <c r="N9536" s="11"/>
      <c r="O9536" s="11" t="e">
        <f t="shared" si="1465"/>
        <v>#DIV/0!</v>
      </c>
      <c r="P9536" s="12">
        <f t="shared" si="1466"/>
        <v>0</v>
      </c>
      <c r="Q9536" s="17" t="str">
        <f t="shared" si="1468"/>
        <v>Pas d'écart</v>
      </c>
    </row>
    <row r="9537" spans="1:17" x14ac:dyDescent="0.3">
      <c r="A9537" s="34">
        <f>base!J9537</f>
        <v>0</v>
      </c>
      <c r="B9537" s="34">
        <f>base!V9537</f>
        <v>0</v>
      </c>
      <c r="C9537" s="40" t="s">
        <v>11</v>
      </c>
      <c r="D9537" s="36">
        <f>base!H9537</f>
        <v>0</v>
      </c>
      <c r="E9537" s="44"/>
      <c r="F9537" s="16">
        <f>base!W9537</f>
        <v>0</v>
      </c>
      <c r="G9537" s="11" t="e">
        <f t="shared" si="1460"/>
        <v>#DIV/0!</v>
      </c>
      <c r="H9537" s="11" t="e">
        <f t="shared" si="1461"/>
        <v>#N/A</v>
      </c>
      <c r="I9537" s="11" t="e">
        <f t="shared" si="1462"/>
        <v>#N/A</v>
      </c>
      <c r="J9537" s="12" t="e">
        <f t="shared" si="1463"/>
        <v>#N/A</v>
      </c>
      <c r="K9537" s="17" t="e">
        <f t="shared" si="1467"/>
        <v>#N/A</v>
      </c>
      <c r="L9537" s="16">
        <f>base!X9537</f>
        <v>0</v>
      </c>
      <c r="M9537" s="11" t="e">
        <f t="shared" si="1464"/>
        <v>#DIV/0!</v>
      </c>
      <c r="N9537" s="11"/>
      <c r="O9537" s="11" t="e">
        <f t="shared" si="1465"/>
        <v>#DIV/0!</v>
      </c>
      <c r="P9537" s="12">
        <f t="shared" si="1466"/>
        <v>0</v>
      </c>
      <c r="Q9537" s="17" t="str">
        <f t="shared" si="1468"/>
        <v>Pas d'écart</v>
      </c>
    </row>
    <row r="9538" spans="1:17" x14ac:dyDescent="0.3">
      <c r="A9538" s="34">
        <f>base!J9538</f>
        <v>0</v>
      </c>
      <c r="B9538" s="34">
        <f>base!V9538</f>
        <v>0</v>
      </c>
      <c r="C9538" s="40" t="s">
        <v>11</v>
      </c>
      <c r="D9538" s="36">
        <f>base!H9538</f>
        <v>0</v>
      </c>
      <c r="E9538" s="44"/>
      <c r="F9538" s="16">
        <f>base!W9538</f>
        <v>0</v>
      </c>
      <c r="G9538" s="11" t="e">
        <f t="shared" ref="G9538:G9601" si="1469">F9538/D9538</f>
        <v>#DIV/0!</v>
      </c>
      <c r="H9538" s="11" t="e">
        <f t="shared" ref="H9538:H9601" si="1470">VLOOKUP(C9538,tout_cout_traction,2,FALSE)*D9538</f>
        <v>#N/A</v>
      </c>
      <c r="I9538" s="11" t="e">
        <f t="shared" ref="I9538:I9601" si="1471">H9538/D9538</f>
        <v>#N/A</v>
      </c>
      <c r="J9538" s="12" t="e">
        <f t="shared" ref="J9538:J9601" si="1472">F9538-H9538</f>
        <v>#N/A</v>
      </c>
      <c r="K9538" s="17" t="e">
        <f t="shared" si="1467"/>
        <v>#N/A</v>
      </c>
      <c r="L9538" s="16">
        <f>base!X9538</f>
        <v>0</v>
      </c>
      <c r="M9538" s="11" t="e">
        <f t="shared" ref="M9538:M9601" si="1473">L9538/D9538</f>
        <v>#DIV/0!</v>
      </c>
      <c r="N9538" s="11"/>
      <c r="O9538" s="11" t="e">
        <f t="shared" ref="O9538:O9601" si="1474">N9538/D9538</f>
        <v>#DIV/0!</v>
      </c>
      <c r="P9538" s="12">
        <f t="shared" ref="P9538:P9601" si="1475">L9538-N9538</f>
        <v>0</v>
      </c>
      <c r="Q9538" s="17" t="str">
        <f t="shared" si="1468"/>
        <v>Pas d'écart</v>
      </c>
    </row>
    <row r="9539" spans="1:17" x14ac:dyDescent="0.3">
      <c r="A9539" s="34">
        <f>base!J9539</f>
        <v>0</v>
      </c>
      <c r="B9539" s="34">
        <f>base!V9539</f>
        <v>0</v>
      </c>
      <c r="C9539" s="40" t="s">
        <v>11</v>
      </c>
      <c r="D9539" s="36">
        <f>base!H9539</f>
        <v>0</v>
      </c>
      <c r="E9539" s="44"/>
      <c r="F9539" s="16">
        <f>base!W9539</f>
        <v>0</v>
      </c>
      <c r="G9539" s="11" t="e">
        <f t="shared" si="1469"/>
        <v>#DIV/0!</v>
      </c>
      <c r="H9539" s="11" t="e">
        <f t="shared" si="1470"/>
        <v>#N/A</v>
      </c>
      <c r="I9539" s="11" t="e">
        <f t="shared" si="1471"/>
        <v>#N/A</v>
      </c>
      <c r="J9539" s="12" t="e">
        <f t="shared" si="1472"/>
        <v>#N/A</v>
      </c>
      <c r="K9539" s="17" t="e">
        <f t="shared" ref="K9539:K9602" si="1476">IF(H9539=F9539,"Pas d'écart",IF(H9539&lt;F9539,"Ecart positif",IF(H9539&gt;F9539,"Ecart négatif")))</f>
        <v>#N/A</v>
      </c>
      <c r="L9539" s="16">
        <f>base!X9539</f>
        <v>0</v>
      </c>
      <c r="M9539" s="11" t="e">
        <f t="shared" si="1473"/>
        <v>#DIV/0!</v>
      </c>
      <c r="N9539" s="11"/>
      <c r="O9539" s="11" t="e">
        <f t="shared" si="1474"/>
        <v>#DIV/0!</v>
      </c>
      <c r="P9539" s="12">
        <f t="shared" si="1475"/>
        <v>0</v>
      </c>
      <c r="Q9539" s="17" t="str">
        <f t="shared" ref="Q9539:Q9602" si="1477">IF(N9539=L9539,"Pas d'écart",IF(N9539&lt;L9539,"Ecart positif",IF(N9539&gt;L9539,"Ecart négatif")))</f>
        <v>Pas d'écart</v>
      </c>
    </row>
    <row r="9540" spans="1:17" x14ac:dyDescent="0.3">
      <c r="A9540" s="34">
        <f>base!J9540</f>
        <v>0</v>
      </c>
      <c r="B9540" s="34">
        <f>base!V9540</f>
        <v>0</v>
      </c>
      <c r="C9540" s="40" t="s">
        <v>11</v>
      </c>
      <c r="D9540" s="36">
        <f>base!H9540</f>
        <v>0</v>
      </c>
      <c r="E9540" s="44"/>
      <c r="F9540" s="16">
        <f>base!W9540</f>
        <v>0</v>
      </c>
      <c r="G9540" s="11" t="e">
        <f t="shared" si="1469"/>
        <v>#DIV/0!</v>
      </c>
      <c r="H9540" s="11" t="e">
        <f t="shared" si="1470"/>
        <v>#N/A</v>
      </c>
      <c r="I9540" s="11" t="e">
        <f t="shared" si="1471"/>
        <v>#N/A</v>
      </c>
      <c r="J9540" s="12" t="e">
        <f t="shared" si="1472"/>
        <v>#N/A</v>
      </c>
      <c r="K9540" s="17" t="e">
        <f t="shared" si="1476"/>
        <v>#N/A</v>
      </c>
      <c r="L9540" s="16">
        <f>base!X9540</f>
        <v>0</v>
      </c>
      <c r="M9540" s="11" t="e">
        <f t="shared" si="1473"/>
        <v>#DIV/0!</v>
      </c>
      <c r="N9540" s="11"/>
      <c r="O9540" s="11" t="e">
        <f t="shared" si="1474"/>
        <v>#DIV/0!</v>
      </c>
      <c r="P9540" s="12">
        <f t="shared" si="1475"/>
        <v>0</v>
      </c>
      <c r="Q9540" s="17" t="str">
        <f t="shared" si="1477"/>
        <v>Pas d'écart</v>
      </c>
    </row>
    <row r="9541" spans="1:17" x14ac:dyDescent="0.3">
      <c r="A9541" s="34">
        <f>base!J9541</f>
        <v>0</v>
      </c>
      <c r="B9541" s="34">
        <f>base!V9541</f>
        <v>0</v>
      </c>
      <c r="C9541" s="40" t="s">
        <v>11</v>
      </c>
      <c r="D9541" s="36">
        <f>base!H9541</f>
        <v>0</v>
      </c>
      <c r="E9541" s="44"/>
      <c r="F9541" s="16">
        <f>base!W9541</f>
        <v>0</v>
      </c>
      <c r="G9541" s="11" t="e">
        <f t="shared" si="1469"/>
        <v>#DIV/0!</v>
      </c>
      <c r="H9541" s="11" t="e">
        <f t="shared" si="1470"/>
        <v>#N/A</v>
      </c>
      <c r="I9541" s="11" t="e">
        <f t="shared" si="1471"/>
        <v>#N/A</v>
      </c>
      <c r="J9541" s="12" t="e">
        <f t="shared" si="1472"/>
        <v>#N/A</v>
      </c>
      <c r="K9541" s="17" t="e">
        <f t="shared" si="1476"/>
        <v>#N/A</v>
      </c>
      <c r="L9541" s="16">
        <f>base!X9541</f>
        <v>0</v>
      </c>
      <c r="M9541" s="11" t="e">
        <f t="shared" si="1473"/>
        <v>#DIV/0!</v>
      </c>
      <c r="N9541" s="11"/>
      <c r="O9541" s="11" t="e">
        <f t="shared" si="1474"/>
        <v>#DIV/0!</v>
      </c>
      <c r="P9541" s="12">
        <f t="shared" si="1475"/>
        <v>0</v>
      </c>
      <c r="Q9541" s="17" t="str">
        <f t="shared" si="1477"/>
        <v>Pas d'écart</v>
      </c>
    </row>
    <row r="9542" spans="1:17" x14ac:dyDescent="0.3">
      <c r="A9542" s="34">
        <f>base!J9542</f>
        <v>0</v>
      </c>
      <c r="B9542" s="34">
        <f>base!V9542</f>
        <v>0</v>
      </c>
      <c r="C9542" s="40" t="s">
        <v>11</v>
      </c>
      <c r="D9542" s="36">
        <f>base!H9542</f>
        <v>0</v>
      </c>
      <c r="E9542" s="44"/>
      <c r="F9542" s="16">
        <f>base!W9542</f>
        <v>0</v>
      </c>
      <c r="G9542" s="11" t="e">
        <f t="shared" si="1469"/>
        <v>#DIV/0!</v>
      </c>
      <c r="H9542" s="11" t="e">
        <f t="shared" si="1470"/>
        <v>#N/A</v>
      </c>
      <c r="I9542" s="11" t="e">
        <f t="shared" si="1471"/>
        <v>#N/A</v>
      </c>
      <c r="J9542" s="12" t="e">
        <f t="shared" si="1472"/>
        <v>#N/A</v>
      </c>
      <c r="K9542" s="17" t="e">
        <f t="shared" si="1476"/>
        <v>#N/A</v>
      </c>
      <c r="L9542" s="16">
        <f>base!X9542</f>
        <v>0</v>
      </c>
      <c r="M9542" s="11" t="e">
        <f t="shared" si="1473"/>
        <v>#DIV/0!</v>
      </c>
      <c r="N9542" s="11"/>
      <c r="O9542" s="11" t="e">
        <f t="shared" si="1474"/>
        <v>#DIV/0!</v>
      </c>
      <c r="P9542" s="12">
        <f t="shared" si="1475"/>
        <v>0</v>
      </c>
      <c r="Q9542" s="17" t="str">
        <f t="shared" si="1477"/>
        <v>Pas d'écart</v>
      </c>
    </row>
    <row r="9543" spans="1:17" x14ac:dyDescent="0.3">
      <c r="A9543" s="34">
        <f>base!J9543</f>
        <v>0</v>
      </c>
      <c r="B9543" s="34">
        <f>base!V9543</f>
        <v>0</v>
      </c>
      <c r="C9543" s="40" t="s">
        <v>11</v>
      </c>
      <c r="D9543" s="36">
        <f>base!H9543</f>
        <v>0</v>
      </c>
      <c r="E9543" s="44"/>
      <c r="F9543" s="16">
        <f>base!W9543</f>
        <v>0</v>
      </c>
      <c r="G9543" s="11" t="e">
        <f t="shared" si="1469"/>
        <v>#DIV/0!</v>
      </c>
      <c r="H9543" s="11" t="e">
        <f t="shared" si="1470"/>
        <v>#N/A</v>
      </c>
      <c r="I9543" s="11" t="e">
        <f t="shared" si="1471"/>
        <v>#N/A</v>
      </c>
      <c r="J9543" s="12" t="e">
        <f t="shared" si="1472"/>
        <v>#N/A</v>
      </c>
      <c r="K9543" s="17" t="e">
        <f t="shared" si="1476"/>
        <v>#N/A</v>
      </c>
      <c r="L9543" s="16">
        <f>base!X9543</f>
        <v>0</v>
      </c>
      <c r="M9543" s="11" t="e">
        <f t="shared" si="1473"/>
        <v>#DIV/0!</v>
      </c>
      <c r="N9543" s="11"/>
      <c r="O9543" s="11" t="e">
        <f t="shared" si="1474"/>
        <v>#DIV/0!</v>
      </c>
      <c r="P9543" s="12">
        <f t="shared" si="1475"/>
        <v>0</v>
      </c>
      <c r="Q9543" s="17" t="str">
        <f t="shared" si="1477"/>
        <v>Pas d'écart</v>
      </c>
    </row>
    <row r="9544" spans="1:17" x14ac:dyDescent="0.3">
      <c r="A9544" s="34">
        <f>base!J9544</f>
        <v>0</v>
      </c>
      <c r="B9544" s="34">
        <f>base!V9544</f>
        <v>0</v>
      </c>
      <c r="C9544" s="40" t="s">
        <v>11</v>
      </c>
      <c r="D9544" s="36">
        <f>base!H9544</f>
        <v>0</v>
      </c>
      <c r="E9544" s="44"/>
      <c r="F9544" s="16">
        <f>base!W9544</f>
        <v>0</v>
      </c>
      <c r="G9544" s="11" t="e">
        <f t="shared" si="1469"/>
        <v>#DIV/0!</v>
      </c>
      <c r="H9544" s="11" t="e">
        <f t="shared" si="1470"/>
        <v>#N/A</v>
      </c>
      <c r="I9544" s="11" t="e">
        <f t="shared" si="1471"/>
        <v>#N/A</v>
      </c>
      <c r="J9544" s="12" t="e">
        <f t="shared" si="1472"/>
        <v>#N/A</v>
      </c>
      <c r="K9544" s="17" t="e">
        <f t="shared" si="1476"/>
        <v>#N/A</v>
      </c>
      <c r="L9544" s="16">
        <f>base!X9544</f>
        <v>0</v>
      </c>
      <c r="M9544" s="11" t="e">
        <f t="shared" si="1473"/>
        <v>#DIV/0!</v>
      </c>
      <c r="N9544" s="11"/>
      <c r="O9544" s="11" t="e">
        <f t="shared" si="1474"/>
        <v>#DIV/0!</v>
      </c>
      <c r="P9544" s="12">
        <f t="shared" si="1475"/>
        <v>0</v>
      </c>
      <c r="Q9544" s="17" t="str">
        <f t="shared" si="1477"/>
        <v>Pas d'écart</v>
      </c>
    </row>
    <row r="9545" spans="1:17" x14ac:dyDescent="0.3">
      <c r="A9545" s="34">
        <f>base!J9545</f>
        <v>0</v>
      </c>
      <c r="B9545" s="34">
        <f>base!V9545</f>
        <v>0</v>
      </c>
      <c r="C9545" s="40" t="s">
        <v>11</v>
      </c>
      <c r="D9545" s="36">
        <f>base!H9545</f>
        <v>0</v>
      </c>
      <c r="E9545" s="44"/>
      <c r="F9545" s="16">
        <f>base!W9545</f>
        <v>0</v>
      </c>
      <c r="G9545" s="11" t="e">
        <f t="shared" si="1469"/>
        <v>#DIV/0!</v>
      </c>
      <c r="H9545" s="11" t="e">
        <f t="shared" si="1470"/>
        <v>#N/A</v>
      </c>
      <c r="I9545" s="11" t="e">
        <f t="shared" si="1471"/>
        <v>#N/A</v>
      </c>
      <c r="J9545" s="12" t="e">
        <f t="shared" si="1472"/>
        <v>#N/A</v>
      </c>
      <c r="K9545" s="17" t="e">
        <f t="shared" si="1476"/>
        <v>#N/A</v>
      </c>
      <c r="L9545" s="16">
        <f>base!X9545</f>
        <v>0</v>
      </c>
      <c r="M9545" s="11" t="e">
        <f t="shared" si="1473"/>
        <v>#DIV/0!</v>
      </c>
      <c r="N9545" s="11"/>
      <c r="O9545" s="11" t="e">
        <f t="shared" si="1474"/>
        <v>#DIV/0!</v>
      </c>
      <c r="P9545" s="12">
        <f t="shared" si="1475"/>
        <v>0</v>
      </c>
      <c r="Q9545" s="17" t="str">
        <f t="shared" si="1477"/>
        <v>Pas d'écart</v>
      </c>
    </row>
    <row r="9546" spans="1:17" x14ac:dyDescent="0.3">
      <c r="A9546" s="34">
        <f>base!J9546</f>
        <v>0</v>
      </c>
      <c r="B9546" s="34">
        <f>base!V9546</f>
        <v>0</v>
      </c>
      <c r="C9546" s="40" t="s">
        <v>11</v>
      </c>
      <c r="D9546" s="36">
        <f>base!H9546</f>
        <v>0</v>
      </c>
      <c r="E9546" s="44"/>
      <c r="F9546" s="16">
        <f>base!W9546</f>
        <v>0</v>
      </c>
      <c r="G9546" s="11" t="e">
        <f t="shared" si="1469"/>
        <v>#DIV/0!</v>
      </c>
      <c r="H9546" s="11" t="e">
        <f t="shared" si="1470"/>
        <v>#N/A</v>
      </c>
      <c r="I9546" s="11" t="e">
        <f t="shared" si="1471"/>
        <v>#N/A</v>
      </c>
      <c r="J9546" s="12" t="e">
        <f t="shared" si="1472"/>
        <v>#N/A</v>
      </c>
      <c r="K9546" s="17" t="e">
        <f t="shared" si="1476"/>
        <v>#N/A</v>
      </c>
      <c r="L9546" s="16">
        <f>base!X9546</f>
        <v>0</v>
      </c>
      <c r="M9546" s="11" t="e">
        <f t="shared" si="1473"/>
        <v>#DIV/0!</v>
      </c>
      <c r="N9546" s="11"/>
      <c r="O9546" s="11" t="e">
        <f t="shared" si="1474"/>
        <v>#DIV/0!</v>
      </c>
      <c r="P9546" s="12">
        <f t="shared" si="1475"/>
        <v>0</v>
      </c>
      <c r="Q9546" s="17" t="str">
        <f t="shared" si="1477"/>
        <v>Pas d'écart</v>
      </c>
    </row>
    <row r="9547" spans="1:17" x14ac:dyDescent="0.3">
      <c r="A9547" s="34">
        <f>base!J9547</f>
        <v>0</v>
      </c>
      <c r="B9547" s="34">
        <f>base!V9547</f>
        <v>0</v>
      </c>
      <c r="C9547" s="40" t="s">
        <v>11</v>
      </c>
      <c r="D9547" s="36">
        <f>base!H9547</f>
        <v>0</v>
      </c>
      <c r="E9547" s="44"/>
      <c r="F9547" s="16">
        <f>base!W9547</f>
        <v>0</v>
      </c>
      <c r="G9547" s="11" t="e">
        <f t="shared" si="1469"/>
        <v>#DIV/0!</v>
      </c>
      <c r="H9547" s="11" t="e">
        <f t="shared" si="1470"/>
        <v>#N/A</v>
      </c>
      <c r="I9547" s="11" t="e">
        <f t="shared" si="1471"/>
        <v>#N/A</v>
      </c>
      <c r="J9547" s="12" t="e">
        <f t="shared" si="1472"/>
        <v>#N/A</v>
      </c>
      <c r="K9547" s="17" t="e">
        <f t="shared" si="1476"/>
        <v>#N/A</v>
      </c>
      <c r="L9547" s="16">
        <f>base!X9547</f>
        <v>0</v>
      </c>
      <c r="M9547" s="11" t="e">
        <f t="shared" si="1473"/>
        <v>#DIV/0!</v>
      </c>
      <c r="N9547" s="11"/>
      <c r="O9547" s="11" t="e">
        <f t="shared" si="1474"/>
        <v>#DIV/0!</v>
      </c>
      <c r="P9547" s="12">
        <f t="shared" si="1475"/>
        <v>0</v>
      </c>
      <c r="Q9547" s="17" t="str">
        <f t="shared" si="1477"/>
        <v>Pas d'écart</v>
      </c>
    </row>
    <row r="9548" spans="1:17" x14ac:dyDescent="0.3">
      <c r="A9548" s="34">
        <f>base!J9548</f>
        <v>0</v>
      </c>
      <c r="B9548" s="34">
        <f>base!V9548</f>
        <v>0</v>
      </c>
      <c r="C9548" s="40" t="s">
        <v>11</v>
      </c>
      <c r="D9548" s="36">
        <f>base!H9548</f>
        <v>0</v>
      </c>
      <c r="E9548" s="44"/>
      <c r="F9548" s="16">
        <f>base!W9548</f>
        <v>0</v>
      </c>
      <c r="G9548" s="11" t="e">
        <f t="shared" si="1469"/>
        <v>#DIV/0!</v>
      </c>
      <c r="H9548" s="11" t="e">
        <f t="shared" si="1470"/>
        <v>#N/A</v>
      </c>
      <c r="I9548" s="11" t="e">
        <f t="shared" si="1471"/>
        <v>#N/A</v>
      </c>
      <c r="J9548" s="12" t="e">
        <f t="shared" si="1472"/>
        <v>#N/A</v>
      </c>
      <c r="K9548" s="17" t="e">
        <f t="shared" si="1476"/>
        <v>#N/A</v>
      </c>
      <c r="L9548" s="16">
        <f>base!X9548</f>
        <v>0</v>
      </c>
      <c r="M9548" s="11" t="e">
        <f t="shared" si="1473"/>
        <v>#DIV/0!</v>
      </c>
      <c r="N9548" s="11"/>
      <c r="O9548" s="11" t="e">
        <f t="shared" si="1474"/>
        <v>#DIV/0!</v>
      </c>
      <c r="P9548" s="12">
        <f t="shared" si="1475"/>
        <v>0</v>
      </c>
      <c r="Q9548" s="17" t="str">
        <f t="shared" si="1477"/>
        <v>Pas d'écart</v>
      </c>
    </row>
    <row r="9549" spans="1:17" x14ac:dyDescent="0.3">
      <c r="A9549" s="34">
        <f>base!J9549</f>
        <v>0</v>
      </c>
      <c r="B9549" s="34">
        <f>base!V9549</f>
        <v>0</v>
      </c>
      <c r="C9549" s="40" t="s">
        <v>11</v>
      </c>
      <c r="D9549" s="36">
        <f>base!H9549</f>
        <v>0</v>
      </c>
      <c r="E9549" s="44"/>
      <c r="F9549" s="16">
        <f>base!W9549</f>
        <v>0</v>
      </c>
      <c r="G9549" s="11" t="e">
        <f t="shared" si="1469"/>
        <v>#DIV/0!</v>
      </c>
      <c r="H9549" s="11" t="e">
        <f t="shared" si="1470"/>
        <v>#N/A</v>
      </c>
      <c r="I9549" s="11" t="e">
        <f t="shared" si="1471"/>
        <v>#N/A</v>
      </c>
      <c r="J9549" s="12" t="e">
        <f t="shared" si="1472"/>
        <v>#N/A</v>
      </c>
      <c r="K9549" s="17" t="e">
        <f t="shared" si="1476"/>
        <v>#N/A</v>
      </c>
      <c r="L9549" s="16">
        <f>base!X9549</f>
        <v>0</v>
      </c>
      <c r="M9549" s="11" t="e">
        <f t="shared" si="1473"/>
        <v>#DIV/0!</v>
      </c>
      <c r="N9549" s="11"/>
      <c r="O9549" s="11" t="e">
        <f t="shared" si="1474"/>
        <v>#DIV/0!</v>
      </c>
      <c r="P9549" s="12">
        <f t="shared" si="1475"/>
        <v>0</v>
      </c>
      <c r="Q9549" s="17" t="str">
        <f t="shared" si="1477"/>
        <v>Pas d'écart</v>
      </c>
    </row>
    <row r="9550" spans="1:17" x14ac:dyDescent="0.3">
      <c r="A9550" s="34">
        <f>base!J9550</f>
        <v>0</v>
      </c>
      <c r="B9550" s="34">
        <f>base!V9550</f>
        <v>0</v>
      </c>
      <c r="C9550" s="40" t="s">
        <v>11</v>
      </c>
      <c r="D9550" s="36">
        <f>base!H9550</f>
        <v>0</v>
      </c>
      <c r="E9550" s="44"/>
      <c r="F9550" s="16">
        <f>base!W9550</f>
        <v>0</v>
      </c>
      <c r="G9550" s="11" t="e">
        <f t="shared" si="1469"/>
        <v>#DIV/0!</v>
      </c>
      <c r="H9550" s="11" t="e">
        <f t="shared" si="1470"/>
        <v>#N/A</v>
      </c>
      <c r="I9550" s="11" t="e">
        <f t="shared" si="1471"/>
        <v>#N/A</v>
      </c>
      <c r="J9550" s="12" t="e">
        <f t="shared" si="1472"/>
        <v>#N/A</v>
      </c>
      <c r="K9550" s="17" t="e">
        <f t="shared" si="1476"/>
        <v>#N/A</v>
      </c>
      <c r="L9550" s="16">
        <f>base!X9550</f>
        <v>0</v>
      </c>
      <c r="M9550" s="11" t="e">
        <f t="shared" si="1473"/>
        <v>#DIV/0!</v>
      </c>
      <c r="N9550" s="11"/>
      <c r="O9550" s="11" t="e">
        <f t="shared" si="1474"/>
        <v>#DIV/0!</v>
      </c>
      <c r="P9550" s="12">
        <f t="shared" si="1475"/>
        <v>0</v>
      </c>
      <c r="Q9550" s="17" t="str">
        <f t="shared" si="1477"/>
        <v>Pas d'écart</v>
      </c>
    </row>
    <row r="9551" spans="1:17" x14ac:dyDescent="0.3">
      <c r="A9551" s="34">
        <f>base!J9551</f>
        <v>0</v>
      </c>
      <c r="B9551" s="34">
        <f>base!V9551</f>
        <v>0</v>
      </c>
      <c r="C9551" s="40" t="s">
        <v>11</v>
      </c>
      <c r="D9551" s="36">
        <f>base!H9551</f>
        <v>0</v>
      </c>
      <c r="E9551" s="44"/>
      <c r="F9551" s="16">
        <f>base!W9551</f>
        <v>0</v>
      </c>
      <c r="G9551" s="11" t="e">
        <f t="shared" si="1469"/>
        <v>#DIV/0!</v>
      </c>
      <c r="H9551" s="11" t="e">
        <f t="shared" si="1470"/>
        <v>#N/A</v>
      </c>
      <c r="I9551" s="11" t="e">
        <f t="shared" si="1471"/>
        <v>#N/A</v>
      </c>
      <c r="J9551" s="12" t="e">
        <f t="shared" si="1472"/>
        <v>#N/A</v>
      </c>
      <c r="K9551" s="17" t="e">
        <f t="shared" si="1476"/>
        <v>#N/A</v>
      </c>
      <c r="L9551" s="16">
        <f>base!X9551</f>
        <v>0</v>
      </c>
      <c r="M9551" s="11" t="e">
        <f t="shared" si="1473"/>
        <v>#DIV/0!</v>
      </c>
      <c r="N9551" s="11"/>
      <c r="O9551" s="11" t="e">
        <f t="shared" si="1474"/>
        <v>#DIV/0!</v>
      </c>
      <c r="P9551" s="12">
        <f t="shared" si="1475"/>
        <v>0</v>
      </c>
      <c r="Q9551" s="17" t="str">
        <f t="shared" si="1477"/>
        <v>Pas d'écart</v>
      </c>
    </row>
    <row r="9552" spans="1:17" x14ac:dyDescent="0.3">
      <c r="A9552" s="34">
        <f>base!J9552</f>
        <v>0</v>
      </c>
      <c r="B9552" s="34">
        <f>base!V9552</f>
        <v>0</v>
      </c>
      <c r="C9552" s="40" t="s">
        <v>11</v>
      </c>
      <c r="D9552" s="36">
        <f>base!H9552</f>
        <v>0</v>
      </c>
      <c r="E9552" s="44"/>
      <c r="F9552" s="16">
        <f>base!W9552</f>
        <v>0</v>
      </c>
      <c r="G9552" s="11" t="e">
        <f t="shared" si="1469"/>
        <v>#DIV/0!</v>
      </c>
      <c r="H9552" s="11" t="e">
        <f t="shared" si="1470"/>
        <v>#N/A</v>
      </c>
      <c r="I9552" s="11" t="e">
        <f t="shared" si="1471"/>
        <v>#N/A</v>
      </c>
      <c r="J9552" s="12" t="e">
        <f t="shared" si="1472"/>
        <v>#N/A</v>
      </c>
      <c r="K9552" s="17" t="e">
        <f t="shared" si="1476"/>
        <v>#N/A</v>
      </c>
      <c r="L9552" s="16">
        <f>base!X9552</f>
        <v>0</v>
      </c>
      <c r="M9552" s="11" t="e">
        <f t="shared" si="1473"/>
        <v>#DIV/0!</v>
      </c>
      <c r="N9552" s="11"/>
      <c r="O9552" s="11" t="e">
        <f t="shared" si="1474"/>
        <v>#DIV/0!</v>
      </c>
      <c r="P9552" s="12">
        <f t="shared" si="1475"/>
        <v>0</v>
      </c>
      <c r="Q9552" s="17" t="str">
        <f t="shared" si="1477"/>
        <v>Pas d'écart</v>
      </c>
    </row>
    <row r="9553" spans="1:17" x14ac:dyDescent="0.3">
      <c r="A9553" s="34">
        <f>base!J9553</f>
        <v>0</v>
      </c>
      <c r="B9553" s="34">
        <f>base!V9553</f>
        <v>0</v>
      </c>
      <c r="C9553" s="40" t="s">
        <v>11</v>
      </c>
      <c r="D9553" s="36">
        <f>base!H9553</f>
        <v>0</v>
      </c>
      <c r="E9553" s="44"/>
      <c r="F9553" s="16">
        <f>base!W9553</f>
        <v>0</v>
      </c>
      <c r="G9553" s="11" t="e">
        <f t="shared" si="1469"/>
        <v>#DIV/0!</v>
      </c>
      <c r="H9553" s="11" t="e">
        <f t="shared" si="1470"/>
        <v>#N/A</v>
      </c>
      <c r="I9553" s="11" t="e">
        <f t="shared" si="1471"/>
        <v>#N/A</v>
      </c>
      <c r="J9553" s="12" t="e">
        <f t="shared" si="1472"/>
        <v>#N/A</v>
      </c>
      <c r="K9553" s="17" t="e">
        <f t="shared" si="1476"/>
        <v>#N/A</v>
      </c>
      <c r="L9553" s="16">
        <f>base!X9553</f>
        <v>0</v>
      </c>
      <c r="M9553" s="11" t="e">
        <f t="shared" si="1473"/>
        <v>#DIV/0!</v>
      </c>
      <c r="N9553" s="11"/>
      <c r="O9553" s="11" t="e">
        <f t="shared" si="1474"/>
        <v>#DIV/0!</v>
      </c>
      <c r="P9553" s="12">
        <f t="shared" si="1475"/>
        <v>0</v>
      </c>
      <c r="Q9553" s="17" t="str">
        <f t="shared" si="1477"/>
        <v>Pas d'écart</v>
      </c>
    </row>
    <row r="9554" spans="1:17" x14ac:dyDescent="0.3">
      <c r="A9554" s="34">
        <f>base!J9554</f>
        <v>0</v>
      </c>
      <c r="B9554" s="34">
        <f>base!V9554</f>
        <v>0</v>
      </c>
      <c r="C9554" s="40" t="s">
        <v>11</v>
      </c>
      <c r="D9554" s="36">
        <f>base!H9554</f>
        <v>0</v>
      </c>
      <c r="E9554" s="44"/>
      <c r="F9554" s="16">
        <f>base!W9554</f>
        <v>0</v>
      </c>
      <c r="G9554" s="11" t="e">
        <f t="shared" si="1469"/>
        <v>#DIV/0!</v>
      </c>
      <c r="H9554" s="11" t="e">
        <f t="shared" si="1470"/>
        <v>#N/A</v>
      </c>
      <c r="I9554" s="11" t="e">
        <f t="shared" si="1471"/>
        <v>#N/A</v>
      </c>
      <c r="J9554" s="12" t="e">
        <f t="shared" si="1472"/>
        <v>#N/A</v>
      </c>
      <c r="K9554" s="17" t="e">
        <f t="shared" si="1476"/>
        <v>#N/A</v>
      </c>
      <c r="L9554" s="16">
        <f>base!X9554</f>
        <v>0</v>
      </c>
      <c r="M9554" s="11" t="e">
        <f t="shared" si="1473"/>
        <v>#DIV/0!</v>
      </c>
      <c r="N9554" s="11"/>
      <c r="O9554" s="11" t="e">
        <f t="shared" si="1474"/>
        <v>#DIV/0!</v>
      </c>
      <c r="P9554" s="12">
        <f t="shared" si="1475"/>
        <v>0</v>
      </c>
      <c r="Q9554" s="17" t="str">
        <f t="shared" si="1477"/>
        <v>Pas d'écart</v>
      </c>
    </row>
    <row r="9555" spans="1:17" x14ac:dyDescent="0.3">
      <c r="A9555" s="34">
        <f>base!J9555</f>
        <v>0</v>
      </c>
      <c r="B9555" s="34">
        <f>base!V9555</f>
        <v>0</v>
      </c>
      <c r="C9555" s="40" t="s">
        <v>11</v>
      </c>
      <c r="D9555" s="36">
        <f>base!H9555</f>
        <v>0</v>
      </c>
      <c r="E9555" s="44"/>
      <c r="F9555" s="16">
        <f>base!W9555</f>
        <v>0</v>
      </c>
      <c r="G9555" s="11" t="e">
        <f t="shared" si="1469"/>
        <v>#DIV/0!</v>
      </c>
      <c r="H9555" s="11" t="e">
        <f t="shared" si="1470"/>
        <v>#N/A</v>
      </c>
      <c r="I9555" s="11" t="e">
        <f t="shared" si="1471"/>
        <v>#N/A</v>
      </c>
      <c r="J9555" s="12" t="e">
        <f t="shared" si="1472"/>
        <v>#N/A</v>
      </c>
      <c r="K9555" s="17" t="e">
        <f t="shared" si="1476"/>
        <v>#N/A</v>
      </c>
      <c r="L9555" s="16">
        <f>base!X9555</f>
        <v>0</v>
      </c>
      <c r="M9555" s="11" t="e">
        <f t="shared" si="1473"/>
        <v>#DIV/0!</v>
      </c>
      <c r="N9555" s="11"/>
      <c r="O9555" s="11" t="e">
        <f t="shared" si="1474"/>
        <v>#DIV/0!</v>
      </c>
      <c r="P9555" s="12">
        <f t="shared" si="1475"/>
        <v>0</v>
      </c>
      <c r="Q9555" s="17" t="str">
        <f t="shared" si="1477"/>
        <v>Pas d'écart</v>
      </c>
    </row>
    <row r="9556" spans="1:17" x14ac:dyDescent="0.3">
      <c r="A9556" s="34">
        <f>base!J9556</f>
        <v>0</v>
      </c>
      <c r="B9556" s="34">
        <f>base!V9556</f>
        <v>0</v>
      </c>
      <c r="C9556" s="40" t="s">
        <v>11</v>
      </c>
      <c r="D9556" s="36">
        <f>base!H9556</f>
        <v>0</v>
      </c>
      <c r="E9556" s="44"/>
      <c r="F9556" s="16">
        <f>base!W9556</f>
        <v>0</v>
      </c>
      <c r="G9556" s="11" t="e">
        <f t="shared" si="1469"/>
        <v>#DIV/0!</v>
      </c>
      <c r="H9556" s="11" t="e">
        <f t="shared" si="1470"/>
        <v>#N/A</v>
      </c>
      <c r="I9556" s="11" t="e">
        <f t="shared" si="1471"/>
        <v>#N/A</v>
      </c>
      <c r="J9556" s="12" t="e">
        <f t="shared" si="1472"/>
        <v>#N/A</v>
      </c>
      <c r="K9556" s="17" t="e">
        <f t="shared" si="1476"/>
        <v>#N/A</v>
      </c>
      <c r="L9556" s="16">
        <f>base!X9556</f>
        <v>0</v>
      </c>
      <c r="M9556" s="11" t="e">
        <f t="shared" si="1473"/>
        <v>#DIV/0!</v>
      </c>
      <c r="N9556" s="11"/>
      <c r="O9556" s="11" t="e">
        <f t="shared" si="1474"/>
        <v>#DIV/0!</v>
      </c>
      <c r="P9556" s="12">
        <f t="shared" si="1475"/>
        <v>0</v>
      </c>
      <c r="Q9556" s="17" t="str">
        <f t="shared" si="1477"/>
        <v>Pas d'écart</v>
      </c>
    </row>
    <row r="9557" spans="1:17" x14ac:dyDescent="0.3">
      <c r="A9557" s="34">
        <f>base!J9557</f>
        <v>0</v>
      </c>
      <c r="B9557" s="34">
        <f>base!V9557</f>
        <v>0</v>
      </c>
      <c r="C9557" s="40" t="s">
        <v>11</v>
      </c>
      <c r="D9557" s="36">
        <f>base!H9557</f>
        <v>0</v>
      </c>
      <c r="E9557" s="44"/>
      <c r="F9557" s="16">
        <f>base!W9557</f>
        <v>0</v>
      </c>
      <c r="G9557" s="11" t="e">
        <f t="shared" si="1469"/>
        <v>#DIV/0!</v>
      </c>
      <c r="H9557" s="11" t="e">
        <f t="shared" si="1470"/>
        <v>#N/A</v>
      </c>
      <c r="I9557" s="11" t="e">
        <f t="shared" si="1471"/>
        <v>#N/A</v>
      </c>
      <c r="J9557" s="12" t="e">
        <f t="shared" si="1472"/>
        <v>#N/A</v>
      </c>
      <c r="K9557" s="17" t="e">
        <f t="shared" si="1476"/>
        <v>#N/A</v>
      </c>
      <c r="L9557" s="16">
        <f>base!X9557</f>
        <v>0</v>
      </c>
      <c r="M9557" s="11" t="e">
        <f t="shared" si="1473"/>
        <v>#DIV/0!</v>
      </c>
      <c r="N9557" s="11"/>
      <c r="O9557" s="11" t="e">
        <f t="shared" si="1474"/>
        <v>#DIV/0!</v>
      </c>
      <c r="P9557" s="12">
        <f t="shared" si="1475"/>
        <v>0</v>
      </c>
      <c r="Q9557" s="17" t="str">
        <f t="shared" si="1477"/>
        <v>Pas d'écart</v>
      </c>
    </row>
    <row r="9558" spans="1:17" x14ac:dyDescent="0.3">
      <c r="A9558" s="34">
        <f>base!J9558</f>
        <v>0</v>
      </c>
      <c r="B9558" s="34">
        <f>base!V9558</f>
        <v>0</v>
      </c>
      <c r="C9558" s="40" t="s">
        <v>11</v>
      </c>
      <c r="D9558" s="36">
        <f>base!H9558</f>
        <v>0</v>
      </c>
      <c r="E9558" s="44"/>
      <c r="F9558" s="16">
        <f>base!W9558</f>
        <v>0</v>
      </c>
      <c r="G9558" s="11" t="e">
        <f t="shared" si="1469"/>
        <v>#DIV/0!</v>
      </c>
      <c r="H9558" s="11" t="e">
        <f t="shared" si="1470"/>
        <v>#N/A</v>
      </c>
      <c r="I9558" s="11" t="e">
        <f t="shared" si="1471"/>
        <v>#N/A</v>
      </c>
      <c r="J9558" s="12" t="e">
        <f t="shared" si="1472"/>
        <v>#N/A</v>
      </c>
      <c r="K9558" s="17" t="e">
        <f t="shared" si="1476"/>
        <v>#N/A</v>
      </c>
      <c r="L9558" s="16">
        <f>base!X9558</f>
        <v>0</v>
      </c>
      <c r="M9558" s="11" t="e">
        <f t="shared" si="1473"/>
        <v>#DIV/0!</v>
      </c>
      <c r="N9558" s="11"/>
      <c r="O9558" s="11" t="e">
        <f t="shared" si="1474"/>
        <v>#DIV/0!</v>
      </c>
      <c r="P9558" s="12">
        <f t="shared" si="1475"/>
        <v>0</v>
      </c>
      <c r="Q9558" s="17" t="str">
        <f t="shared" si="1477"/>
        <v>Pas d'écart</v>
      </c>
    </row>
    <row r="9559" spans="1:17" x14ac:dyDescent="0.3">
      <c r="A9559" s="34">
        <f>base!J9559</f>
        <v>0</v>
      </c>
      <c r="B9559" s="34">
        <f>base!V9559</f>
        <v>0</v>
      </c>
      <c r="C9559" s="40" t="s">
        <v>11</v>
      </c>
      <c r="D9559" s="36">
        <f>base!H9559</f>
        <v>0</v>
      </c>
      <c r="E9559" s="44"/>
      <c r="F9559" s="16">
        <f>base!W9559</f>
        <v>0</v>
      </c>
      <c r="G9559" s="11" t="e">
        <f t="shared" si="1469"/>
        <v>#DIV/0!</v>
      </c>
      <c r="H9559" s="11" t="e">
        <f t="shared" si="1470"/>
        <v>#N/A</v>
      </c>
      <c r="I9559" s="11" t="e">
        <f t="shared" si="1471"/>
        <v>#N/A</v>
      </c>
      <c r="J9559" s="12" t="e">
        <f t="shared" si="1472"/>
        <v>#N/A</v>
      </c>
      <c r="K9559" s="17" t="e">
        <f t="shared" si="1476"/>
        <v>#N/A</v>
      </c>
      <c r="L9559" s="16">
        <f>base!X9559</f>
        <v>0</v>
      </c>
      <c r="M9559" s="11" t="e">
        <f t="shared" si="1473"/>
        <v>#DIV/0!</v>
      </c>
      <c r="N9559" s="11"/>
      <c r="O9559" s="11" t="e">
        <f t="shared" si="1474"/>
        <v>#DIV/0!</v>
      </c>
      <c r="P9559" s="12">
        <f t="shared" si="1475"/>
        <v>0</v>
      </c>
      <c r="Q9559" s="17" t="str">
        <f t="shared" si="1477"/>
        <v>Pas d'écart</v>
      </c>
    </row>
    <row r="9560" spans="1:17" x14ac:dyDescent="0.3">
      <c r="A9560" s="34">
        <f>base!J9560</f>
        <v>0</v>
      </c>
      <c r="B9560" s="34">
        <f>base!V9560</f>
        <v>0</v>
      </c>
      <c r="C9560" s="40" t="s">
        <v>11</v>
      </c>
      <c r="D9560" s="36">
        <f>base!H9560</f>
        <v>0</v>
      </c>
      <c r="E9560" s="44"/>
      <c r="F9560" s="16">
        <f>base!W9560</f>
        <v>0</v>
      </c>
      <c r="G9560" s="11" t="e">
        <f t="shared" si="1469"/>
        <v>#DIV/0!</v>
      </c>
      <c r="H9560" s="11" t="e">
        <f t="shared" si="1470"/>
        <v>#N/A</v>
      </c>
      <c r="I9560" s="11" t="e">
        <f t="shared" si="1471"/>
        <v>#N/A</v>
      </c>
      <c r="J9560" s="12" t="e">
        <f t="shared" si="1472"/>
        <v>#N/A</v>
      </c>
      <c r="K9560" s="17" t="e">
        <f t="shared" si="1476"/>
        <v>#N/A</v>
      </c>
      <c r="L9560" s="16">
        <f>base!X9560</f>
        <v>0</v>
      </c>
      <c r="M9560" s="11" t="e">
        <f t="shared" si="1473"/>
        <v>#DIV/0!</v>
      </c>
      <c r="N9560" s="11"/>
      <c r="O9560" s="11" t="e">
        <f t="shared" si="1474"/>
        <v>#DIV/0!</v>
      </c>
      <c r="P9560" s="12">
        <f t="shared" si="1475"/>
        <v>0</v>
      </c>
      <c r="Q9560" s="17" t="str">
        <f t="shared" si="1477"/>
        <v>Pas d'écart</v>
      </c>
    </row>
    <row r="9561" spans="1:17" x14ac:dyDescent="0.3">
      <c r="A9561" s="34">
        <f>base!J9561</f>
        <v>0</v>
      </c>
      <c r="B9561" s="34">
        <f>base!V9561</f>
        <v>0</v>
      </c>
      <c r="C9561" s="40" t="s">
        <v>11</v>
      </c>
      <c r="D9561" s="36">
        <f>base!H9561</f>
        <v>0</v>
      </c>
      <c r="E9561" s="44"/>
      <c r="F9561" s="16">
        <f>base!W9561</f>
        <v>0</v>
      </c>
      <c r="G9561" s="11" t="e">
        <f t="shared" si="1469"/>
        <v>#DIV/0!</v>
      </c>
      <c r="H9561" s="11" t="e">
        <f t="shared" si="1470"/>
        <v>#N/A</v>
      </c>
      <c r="I9561" s="11" t="e">
        <f t="shared" si="1471"/>
        <v>#N/A</v>
      </c>
      <c r="J9561" s="12" t="e">
        <f t="shared" si="1472"/>
        <v>#N/A</v>
      </c>
      <c r="K9561" s="17" t="e">
        <f t="shared" si="1476"/>
        <v>#N/A</v>
      </c>
      <c r="L9561" s="16">
        <f>base!X9561</f>
        <v>0</v>
      </c>
      <c r="M9561" s="11" t="e">
        <f t="shared" si="1473"/>
        <v>#DIV/0!</v>
      </c>
      <c r="N9561" s="11"/>
      <c r="O9561" s="11" t="e">
        <f t="shared" si="1474"/>
        <v>#DIV/0!</v>
      </c>
      <c r="P9561" s="12">
        <f t="shared" si="1475"/>
        <v>0</v>
      </c>
      <c r="Q9561" s="17" t="str">
        <f t="shared" si="1477"/>
        <v>Pas d'écart</v>
      </c>
    </row>
    <row r="9562" spans="1:17" x14ac:dyDescent="0.3">
      <c r="A9562" s="34">
        <f>base!J9562</f>
        <v>0</v>
      </c>
      <c r="B9562" s="34">
        <f>base!V9562</f>
        <v>0</v>
      </c>
      <c r="C9562" s="40" t="s">
        <v>11</v>
      </c>
      <c r="D9562" s="36">
        <f>base!H9562</f>
        <v>0</v>
      </c>
      <c r="E9562" s="44"/>
      <c r="F9562" s="16">
        <f>base!W9562</f>
        <v>0</v>
      </c>
      <c r="G9562" s="11" t="e">
        <f t="shared" si="1469"/>
        <v>#DIV/0!</v>
      </c>
      <c r="H9562" s="11" t="e">
        <f t="shared" si="1470"/>
        <v>#N/A</v>
      </c>
      <c r="I9562" s="11" t="e">
        <f t="shared" si="1471"/>
        <v>#N/A</v>
      </c>
      <c r="J9562" s="12" t="e">
        <f t="shared" si="1472"/>
        <v>#N/A</v>
      </c>
      <c r="K9562" s="17" t="e">
        <f t="shared" si="1476"/>
        <v>#N/A</v>
      </c>
      <c r="L9562" s="16">
        <f>base!X9562</f>
        <v>0</v>
      </c>
      <c r="M9562" s="11" t="e">
        <f t="shared" si="1473"/>
        <v>#DIV/0!</v>
      </c>
      <c r="N9562" s="11"/>
      <c r="O9562" s="11" t="e">
        <f t="shared" si="1474"/>
        <v>#DIV/0!</v>
      </c>
      <c r="P9562" s="12">
        <f t="shared" si="1475"/>
        <v>0</v>
      </c>
      <c r="Q9562" s="17" t="str">
        <f t="shared" si="1477"/>
        <v>Pas d'écart</v>
      </c>
    </row>
    <row r="9563" spans="1:17" x14ac:dyDescent="0.3">
      <c r="A9563" s="34">
        <f>base!J9563</f>
        <v>0</v>
      </c>
      <c r="B9563" s="34">
        <f>base!V9563</f>
        <v>0</v>
      </c>
      <c r="C9563" s="40" t="s">
        <v>11</v>
      </c>
      <c r="D9563" s="36">
        <f>base!H9563</f>
        <v>0</v>
      </c>
      <c r="E9563" s="44"/>
      <c r="F9563" s="16">
        <f>base!W9563</f>
        <v>0</v>
      </c>
      <c r="G9563" s="11" t="e">
        <f t="shared" si="1469"/>
        <v>#DIV/0!</v>
      </c>
      <c r="H9563" s="11" t="e">
        <f t="shared" si="1470"/>
        <v>#N/A</v>
      </c>
      <c r="I9563" s="11" t="e">
        <f t="shared" si="1471"/>
        <v>#N/A</v>
      </c>
      <c r="J9563" s="12" t="e">
        <f t="shared" si="1472"/>
        <v>#N/A</v>
      </c>
      <c r="K9563" s="17" t="e">
        <f t="shared" si="1476"/>
        <v>#N/A</v>
      </c>
      <c r="L9563" s="16">
        <f>base!X9563</f>
        <v>0</v>
      </c>
      <c r="M9563" s="11" t="e">
        <f t="shared" si="1473"/>
        <v>#DIV/0!</v>
      </c>
      <c r="N9563" s="11"/>
      <c r="O9563" s="11" t="e">
        <f t="shared" si="1474"/>
        <v>#DIV/0!</v>
      </c>
      <c r="P9563" s="12">
        <f t="shared" si="1475"/>
        <v>0</v>
      </c>
      <c r="Q9563" s="17" t="str">
        <f t="shared" si="1477"/>
        <v>Pas d'écart</v>
      </c>
    </row>
    <row r="9564" spans="1:17" x14ac:dyDescent="0.3">
      <c r="A9564" s="34">
        <f>base!J9564</f>
        <v>0</v>
      </c>
      <c r="B9564" s="34">
        <f>base!V9564</f>
        <v>0</v>
      </c>
      <c r="C9564" s="40" t="s">
        <v>11</v>
      </c>
      <c r="D9564" s="36">
        <f>base!H9564</f>
        <v>0</v>
      </c>
      <c r="E9564" s="44"/>
      <c r="F9564" s="16">
        <f>base!W9564</f>
        <v>0</v>
      </c>
      <c r="G9564" s="11" t="e">
        <f t="shared" si="1469"/>
        <v>#DIV/0!</v>
      </c>
      <c r="H9564" s="11" t="e">
        <f t="shared" si="1470"/>
        <v>#N/A</v>
      </c>
      <c r="I9564" s="11" t="e">
        <f t="shared" si="1471"/>
        <v>#N/A</v>
      </c>
      <c r="J9564" s="12" t="e">
        <f t="shared" si="1472"/>
        <v>#N/A</v>
      </c>
      <c r="K9564" s="17" t="e">
        <f t="shared" si="1476"/>
        <v>#N/A</v>
      </c>
      <c r="L9564" s="16">
        <f>base!X9564</f>
        <v>0</v>
      </c>
      <c r="M9564" s="11" t="e">
        <f t="shared" si="1473"/>
        <v>#DIV/0!</v>
      </c>
      <c r="N9564" s="11"/>
      <c r="O9564" s="11" t="e">
        <f t="shared" si="1474"/>
        <v>#DIV/0!</v>
      </c>
      <c r="P9564" s="12">
        <f t="shared" si="1475"/>
        <v>0</v>
      </c>
      <c r="Q9564" s="17" t="str">
        <f t="shared" si="1477"/>
        <v>Pas d'écart</v>
      </c>
    </row>
    <row r="9565" spans="1:17" x14ac:dyDescent="0.3">
      <c r="A9565" s="34">
        <f>base!J9565</f>
        <v>0</v>
      </c>
      <c r="B9565" s="34">
        <f>base!V9565</f>
        <v>0</v>
      </c>
      <c r="C9565" s="40" t="s">
        <v>11</v>
      </c>
      <c r="D9565" s="36">
        <f>base!H9565</f>
        <v>0</v>
      </c>
      <c r="E9565" s="44"/>
      <c r="F9565" s="16">
        <f>base!W9565</f>
        <v>0</v>
      </c>
      <c r="G9565" s="11" t="e">
        <f t="shared" si="1469"/>
        <v>#DIV/0!</v>
      </c>
      <c r="H9565" s="11" t="e">
        <f t="shared" si="1470"/>
        <v>#N/A</v>
      </c>
      <c r="I9565" s="11" t="e">
        <f t="shared" si="1471"/>
        <v>#N/A</v>
      </c>
      <c r="J9565" s="12" t="e">
        <f t="shared" si="1472"/>
        <v>#N/A</v>
      </c>
      <c r="K9565" s="17" t="e">
        <f t="shared" si="1476"/>
        <v>#N/A</v>
      </c>
      <c r="L9565" s="16">
        <f>base!X9565</f>
        <v>0</v>
      </c>
      <c r="M9565" s="11" t="e">
        <f t="shared" si="1473"/>
        <v>#DIV/0!</v>
      </c>
      <c r="N9565" s="11"/>
      <c r="O9565" s="11" t="e">
        <f t="shared" si="1474"/>
        <v>#DIV/0!</v>
      </c>
      <c r="P9565" s="12">
        <f t="shared" si="1475"/>
        <v>0</v>
      </c>
      <c r="Q9565" s="17" t="str">
        <f t="shared" si="1477"/>
        <v>Pas d'écart</v>
      </c>
    </row>
    <row r="9566" spans="1:17" x14ac:dyDescent="0.3">
      <c r="A9566" s="34">
        <f>base!J9566</f>
        <v>0</v>
      </c>
      <c r="B9566" s="34">
        <f>base!V9566</f>
        <v>0</v>
      </c>
      <c r="C9566" s="40" t="s">
        <v>11</v>
      </c>
      <c r="D9566" s="36">
        <f>base!H9566</f>
        <v>0</v>
      </c>
      <c r="E9566" s="44"/>
      <c r="F9566" s="16">
        <f>base!W9566</f>
        <v>0</v>
      </c>
      <c r="G9566" s="11" t="e">
        <f t="shared" si="1469"/>
        <v>#DIV/0!</v>
      </c>
      <c r="H9566" s="11" t="e">
        <f t="shared" si="1470"/>
        <v>#N/A</v>
      </c>
      <c r="I9566" s="11" t="e">
        <f t="shared" si="1471"/>
        <v>#N/A</v>
      </c>
      <c r="J9566" s="12" t="e">
        <f t="shared" si="1472"/>
        <v>#N/A</v>
      </c>
      <c r="K9566" s="17" t="e">
        <f t="shared" si="1476"/>
        <v>#N/A</v>
      </c>
      <c r="L9566" s="16">
        <f>base!X9566</f>
        <v>0</v>
      </c>
      <c r="M9566" s="11" t="e">
        <f t="shared" si="1473"/>
        <v>#DIV/0!</v>
      </c>
      <c r="N9566" s="11"/>
      <c r="O9566" s="11" t="e">
        <f t="shared" si="1474"/>
        <v>#DIV/0!</v>
      </c>
      <c r="P9566" s="12">
        <f t="shared" si="1475"/>
        <v>0</v>
      </c>
      <c r="Q9566" s="17" t="str">
        <f t="shared" si="1477"/>
        <v>Pas d'écart</v>
      </c>
    </row>
    <row r="9567" spans="1:17" x14ac:dyDescent="0.3">
      <c r="A9567" s="34">
        <f>base!J9567</f>
        <v>0</v>
      </c>
      <c r="B9567" s="34">
        <f>base!V9567</f>
        <v>0</v>
      </c>
      <c r="C9567" s="40" t="s">
        <v>11</v>
      </c>
      <c r="D9567" s="36">
        <f>base!H9567</f>
        <v>0</v>
      </c>
      <c r="E9567" s="44"/>
      <c r="F9567" s="16">
        <f>base!W9567</f>
        <v>0</v>
      </c>
      <c r="G9567" s="11" t="e">
        <f t="shared" si="1469"/>
        <v>#DIV/0!</v>
      </c>
      <c r="H9567" s="11" t="e">
        <f t="shared" si="1470"/>
        <v>#N/A</v>
      </c>
      <c r="I9567" s="11" t="e">
        <f t="shared" si="1471"/>
        <v>#N/A</v>
      </c>
      <c r="J9567" s="12" t="e">
        <f t="shared" si="1472"/>
        <v>#N/A</v>
      </c>
      <c r="K9567" s="17" t="e">
        <f t="shared" si="1476"/>
        <v>#N/A</v>
      </c>
      <c r="L9567" s="16">
        <f>base!X9567</f>
        <v>0</v>
      </c>
      <c r="M9567" s="11" t="e">
        <f t="shared" si="1473"/>
        <v>#DIV/0!</v>
      </c>
      <c r="N9567" s="11"/>
      <c r="O9567" s="11" t="e">
        <f t="shared" si="1474"/>
        <v>#DIV/0!</v>
      </c>
      <c r="P9567" s="12">
        <f t="shared" si="1475"/>
        <v>0</v>
      </c>
      <c r="Q9567" s="17" t="str">
        <f t="shared" si="1477"/>
        <v>Pas d'écart</v>
      </c>
    </row>
    <row r="9568" spans="1:17" x14ac:dyDescent="0.3">
      <c r="A9568" s="34">
        <f>base!J9568</f>
        <v>0</v>
      </c>
      <c r="B9568" s="34">
        <f>base!V9568</f>
        <v>0</v>
      </c>
      <c r="C9568" s="40" t="s">
        <v>11</v>
      </c>
      <c r="D9568" s="36">
        <f>base!H9568</f>
        <v>0</v>
      </c>
      <c r="E9568" s="44"/>
      <c r="F9568" s="16">
        <f>base!W9568</f>
        <v>0</v>
      </c>
      <c r="G9568" s="11" t="e">
        <f t="shared" si="1469"/>
        <v>#DIV/0!</v>
      </c>
      <c r="H9568" s="11" t="e">
        <f t="shared" si="1470"/>
        <v>#N/A</v>
      </c>
      <c r="I9568" s="11" t="e">
        <f t="shared" si="1471"/>
        <v>#N/A</v>
      </c>
      <c r="J9568" s="12" t="e">
        <f t="shared" si="1472"/>
        <v>#N/A</v>
      </c>
      <c r="K9568" s="17" t="e">
        <f t="shared" si="1476"/>
        <v>#N/A</v>
      </c>
      <c r="L9568" s="16">
        <f>base!X9568</f>
        <v>0</v>
      </c>
      <c r="M9568" s="11" t="e">
        <f t="shared" si="1473"/>
        <v>#DIV/0!</v>
      </c>
      <c r="N9568" s="11"/>
      <c r="O9568" s="11" t="e">
        <f t="shared" si="1474"/>
        <v>#DIV/0!</v>
      </c>
      <c r="P9568" s="12">
        <f t="shared" si="1475"/>
        <v>0</v>
      </c>
      <c r="Q9568" s="17" t="str">
        <f t="shared" si="1477"/>
        <v>Pas d'écart</v>
      </c>
    </row>
    <row r="9569" spans="1:17" x14ac:dyDescent="0.3">
      <c r="A9569" s="34">
        <f>base!J9569</f>
        <v>0</v>
      </c>
      <c r="B9569" s="34">
        <f>base!V9569</f>
        <v>0</v>
      </c>
      <c r="C9569" s="40" t="s">
        <v>11</v>
      </c>
      <c r="D9569" s="36">
        <f>base!H9569</f>
        <v>0</v>
      </c>
      <c r="E9569" s="44"/>
      <c r="F9569" s="16">
        <f>base!W9569</f>
        <v>0</v>
      </c>
      <c r="G9569" s="11" t="e">
        <f t="shared" si="1469"/>
        <v>#DIV/0!</v>
      </c>
      <c r="H9569" s="11" t="e">
        <f t="shared" si="1470"/>
        <v>#N/A</v>
      </c>
      <c r="I9569" s="11" t="e">
        <f t="shared" si="1471"/>
        <v>#N/A</v>
      </c>
      <c r="J9569" s="12" t="e">
        <f t="shared" si="1472"/>
        <v>#N/A</v>
      </c>
      <c r="K9569" s="17" t="e">
        <f t="shared" si="1476"/>
        <v>#N/A</v>
      </c>
      <c r="L9569" s="16">
        <f>base!X9569</f>
        <v>0</v>
      </c>
      <c r="M9569" s="11" t="e">
        <f t="shared" si="1473"/>
        <v>#DIV/0!</v>
      </c>
      <c r="N9569" s="11"/>
      <c r="O9569" s="11" t="e">
        <f t="shared" si="1474"/>
        <v>#DIV/0!</v>
      </c>
      <c r="P9569" s="12">
        <f t="shared" si="1475"/>
        <v>0</v>
      </c>
      <c r="Q9569" s="17" t="str">
        <f t="shared" si="1477"/>
        <v>Pas d'écart</v>
      </c>
    </row>
    <row r="9570" spans="1:17" x14ac:dyDescent="0.3">
      <c r="A9570" s="34">
        <f>base!J9570</f>
        <v>0</v>
      </c>
      <c r="B9570" s="34">
        <f>base!V9570</f>
        <v>0</v>
      </c>
      <c r="C9570" s="40" t="s">
        <v>11</v>
      </c>
      <c r="D9570" s="36">
        <f>base!H9570</f>
        <v>0</v>
      </c>
      <c r="E9570" s="44"/>
      <c r="F9570" s="16">
        <f>base!W9570</f>
        <v>0</v>
      </c>
      <c r="G9570" s="11" t="e">
        <f t="shared" si="1469"/>
        <v>#DIV/0!</v>
      </c>
      <c r="H9570" s="11" t="e">
        <f t="shared" si="1470"/>
        <v>#N/A</v>
      </c>
      <c r="I9570" s="11" t="e">
        <f t="shared" si="1471"/>
        <v>#N/A</v>
      </c>
      <c r="J9570" s="12" t="e">
        <f t="shared" si="1472"/>
        <v>#N/A</v>
      </c>
      <c r="K9570" s="17" t="e">
        <f t="shared" si="1476"/>
        <v>#N/A</v>
      </c>
      <c r="L9570" s="16">
        <f>base!X9570</f>
        <v>0</v>
      </c>
      <c r="M9570" s="11" t="e">
        <f t="shared" si="1473"/>
        <v>#DIV/0!</v>
      </c>
      <c r="N9570" s="11"/>
      <c r="O9570" s="11" t="e">
        <f t="shared" si="1474"/>
        <v>#DIV/0!</v>
      </c>
      <c r="P9570" s="12">
        <f t="shared" si="1475"/>
        <v>0</v>
      </c>
      <c r="Q9570" s="17" t="str">
        <f t="shared" si="1477"/>
        <v>Pas d'écart</v>
      </c>
    </row>
    <row r="9571" spans="1:17" x14ac:dyDescent="0.3">
      <c r="A9571" s="34">
        <f>base!J9571</f>
        <v>0</v>
      </c>
      <c r="B9571" s="34">
        <f>base!V9571</f>
        <v>0</v>
      </c>
      <c r="C9571" s="40" t="s">
        <v>11</v>
      </c>
      <c r="D9571" s="36">
        <f>base!H9571</f>
        <v>0</v>
      </c>
      <c r="E9571" s="44"/>
      <c r="F9571" s="16">
        <f>base!W9571</f>
        <v>0</v>
      </c>
      <c r="G9571" s="11" t="e">
        <f t="shared" si="1469"/>
        <v>#DIV/0!</v>
      </c>
      <c r="H9571" s="11" t="e">
        <f t="shared" si="1470"/>
        <v>#N/A</v>
      </c>
      <c r="I9571" s="11" t="e">
        <f t="shared" si="1471"/>
        <v>#N/A</v>
      </c>
      <c r="J9571" s="12" t="e">
        <f t="shared" si="1472"/>
        <v>#N/A</v>
      </c>
      <c r="K9571" s="17" t="e">
        <f t="shared" si="1476"/>
        <v>#N/A</v>
      </c>
      <c r="L9571" s="16">
        <f>base!X9571</f>
        <v>0</v>
      </c>
      <c r="M9571" s="11" t="e">
        <f t="shared" si="1473"/>
        <v>#DIV/0!</v>
      </c>
      <c r="N9571" s="11"/>
      <c r="O9571" s="11" t="e">
        <f t="shared" si="1474"/>
        <v>#DIV/0!</v>
      </c>
      <c r="P9571" s="12">
        <f t="shared" si="1475"/>
        <v>0</v>
      </c>
      <c r="Q9571" s="17" t="str">
        <f t="shared" si="1477"/>
        <v>Pas d'écart</v>
      </c>
    </row>
    <row r="9572" spans="1:17" x14ac:dyDescent="0.3">
      <c r="A9572" s="34">
        <f>base!J9572</f>
        <v>0</v>
      </c>
      <c r="B9572" s="34">
        <f>base!V9572</f>
        <v>0</v>
      </c>
      <c r="C9572" s="40" t="s">
        <v>11</v>
      </c>
      <c r="D9572" s="36">
        <f>base!H9572</f>
        <v>0</v>
      </c>
      <c r="E9572" s="44"/>
      <c r="F9572" s="16">
        <f>base!W9572</f>
        <v>0</v>
      </c>
      <c r="G9572" s="11" t="e">
        <f t="shared" si="1469"/>
        <v>#DIV/0!</v>
      </c>
      <c r="H9572" s="11" t="e">
        <f t="shared" si="1470"/>
        <v>#N/A</v>
      </c>
      <c r="I9572" s="11" t="e">
        <f t="shared" si="1471"/>
        <v>#N/A</v>
      </c>
      <c r="J9572" s="12" t="e">
        <f t="shared" si="1472"/>
        <v>#N/A</v>
      </c>
      <c r="K9572" s="17" t="e">
        <f t="shared" si="1476"/>
        <v>#N/A</v>
      </c>
      <c r="L9572" s="16">
        <f>base!X9572</f>
        <v>0</v>
      </c>
      <c r="M9572" s="11" t="e">
        <f t="shared" si="1473"/>
        <v>#DIV/0!</v>
      </c>
      <c r="N9572" s="11"/>
      <c r="O9572" s="11" t="e">
        <f t="shared" si="1474"/>
        <v>#DIV/0!</v>
      </c>
      <c r="P9572" s="12">
        <f t="shared" si="1475"/>
        <v>0</v>
      </c>
      <c r="Q9572" s="17" t="str">
        <f t="shared" si="1477"/>
        <v>Pas d'écart</v>
      </c>
    </row>
    <row r="9573" spans="1:17" x14ac:dyDescent="0.3">
      <c r="A9573" s="34">
        <f>base!J9573</f>
        <v>0</v>
      </c>
      <c r="B9573" s="34">
        <f>base!V9573</f>
        <v>0</v>
      </c>
      <c r="C9573" s="40" t="s">
        <v>11</v>
      </c>
      <c r="D9573" s="36">
        <f>base!H9573</f>
        <v>0</v>
      </c>
      <c r="E9573" s="44"/>
      <c r="F9573" s="16">
        <f>base!W9573</f>
        <v>0</v>
      </c>
      <c r="G9573" s="11" t="e">
        <f t="shared" si="1469"/>
        <v>#DIV/0!</v>
      </c>
      <c r="H9573" s="11" t="e">
        <f t="shared" si="1470"/>
        <v>#N/A</v>
      </c>
      <c r="I9573" s="11" t="e">
        <f t="shared" si="1471"/>
        <v>#N/A</v>
      </c>
      <c r="J9573" s="12" t="e">
        <f t="shared" si="1472"/>
        <v>#N/A</v>
      </c>
      <c r="K9573" s="17" t="e">
        <f t="shared" si="1476"/>
        <v>#N/A</v>
      </c>
      <c r="L9573" s="16">
        <f>base!X9573</f>
        <v>0</v>
      </c>
      <c r="M9573" s="11" t="e">
        <f t="shared" si="1473"/>
        <v>#DIV/0!</v>
      </c>
      <c r="N9573" s="11"/>
      <c r="O9573" s="11" t="e">
        <f t="shared" si="1474"/>
        <v>#DIV/0!</v>
      </c>
      <c r="P9573" s="12">
        <f t="shared" si="1475"/>
        <v>0</v>
      </c>
      <c r="Q9573" s="17" t="str">
        <f t="shared" si="1477"/>
        <v>Pas d'écart</v>
      </c>
    </row>
    <row r="9574" spans="1:17" x14ac:dyDescent="0.3">
      <c r="A9574" s="34">
        <f>base!J9574</f>
        <v>0</v>
      </c>
      <c r="B9574" s="34">
        <f>base!V9574</f>
        <v>0</v>
      </c>
      <c r="C9574" s="40" t="s">
        <v>11</v>
      </c>
      <c r="D9574" s="36">
        <f>base!H9574</f>
        <v>0</v>
      </c>
      <c r="E9574" s="44"/>
      <c r="F9574" s="16">
        <f>base!W9574</f>
        <v>0</v>
      </c>
      <c r="G9574" s="11" t="e">
        <f t="shared" si="1469"/>
        <v>#DIV/0!</v>
      </c>
      <c r="H9574" s="11" t="e">
        <f t="shared" si="1470"/>
        <v>#N/A</v>
      </c>
      <c r="I9574" s="11" t="e">
        <f t="shared" si="1471"/>
        <v>#N/A</v>
      </c>
      <c r="J9574" s="12" t="e">
        <f t="shared" si="1472"/>
        <v>#N/A</v>
      </c>
      <c r="K9574" s="17" t="e">
        <f t="shared" si="1476"/>
        <v>#N/A</v>
      </c>
      <c r="L9574" s="16">
        <f>base!X9574</f>
        <v>0</v>
      </c>
      <c r="M9574" s="11" t="e">
        <f t="shared" si="1473"/>
        <v>#DIV/0!</v>
      </c>
      <c r="N9574" s="11"/>
      <c r="O9574" s="11" t="e">
        <f t="shared" si="1474"/>
        <v>#DIV/0!</v>
      </c>
      <c r="P9574" s="12">
        <f t="shared" si="1475"/>
        <v>0</v>
      </c>
      <c r="Q9574" s="17" t="str">
        <f t="shared" si="1477"/>
        <v>Pas d'écart</v>
      </c>
    </row>
    <row r="9575" spans="1:17" x14ac:dyDescent="0.3">
      <c r="A9575" s="34">
        <f>base!J9575</f>
        <v>0</v>
      </c>
      <c r="B9575" s="34">
        <f>base!V9575</f>
        <v>0</v>
      </c>
      <c r="C9575" s="40" t="s">
        <v>11</v>
      </c>
      <c r="D9575" s="36">
        <f>base!H9575</f>
        <v>0</v>
      </c>
      <c r="E9575" s="44"/>
      <c r="F9575" s="16">
        <f>base!W9575</f>
        <v>0</v>
      </c>
      <c r="G9575" s="11" t="e">
        <f t="shared" si="1469"/>
        <v>#DIV/0!</v>
      </c>
      <c r="H9575" s="11" t="e">
        <f t="shared" si="1470"/>
        <v>#N/A</v>
      </c>
      <c r="I9575" s="11" t="e">
        <f t="shared" si="1471"/>
        <v>#N/A</v>
      </c>
      <c r="J9575" s="12" t="e">
        <f t="shared" si="1472"/>
        <v>#N/A</v>
      </c>
      <c r="K9575" s="17" t="e">
        <f t="shared" si="1476"/>
        <v>#N/A</v>
      </c>
      <c r="L9575" s="16">
        <f>base!X9575</f>
        <v>0</v>
      </c>
      <c r="M9575" s="11" t="e">
        <f t="shared" si="1473"/>
        <v>#DIV/0!</v>
      </c>
      <c r="N9575" s="11"/>
      <c r="O9575" s="11" t="e">
        <f t="shared" si="1474"/>
        <v>#DIV/0!</v>
      </c>
      <c r="P9575" s="12">
        <f t="shared" si="1475"/>
        <v>0</v>
      </c>
      <c r="Q9575" s="17" t="str">
        <f t="shared" si="1477"/>
        <v>Pas d'écart</v>
      </c>
    </row>
    <row r="9576" spans="1:17" x14ac:dyDescent="0.3">
      <c r="A9576" s="34">
        <f>base!J9576</f>
        <v>0</v>
      </c>
      <c r="B9576" s="34">
        <f>base!V9576</f>
        <v>0</v>
      </c>
      <c r="C9576" s="40" t="s">
        <v>11</v>
      </c>
      <c r="D9576" s="36">
        <f>base!H9576</f>
        <v>0</v>
      </c>
      <c r="E9576" s="44"/>
      <c r="F9576" s="16">
        <f>base!W9576</f>
        <v>0</v>
      </c>
      <c r="G9576" s="11" t="e">
        <f t="shared" si="1469"/>
        <v>#DIV/0!</v>
      </c>
      <c r="H9576" s="11" t="e">
        <f t="shared" si="1470"/>
        <v>#N/A</v>
      </c>
      <c r="I9576" s="11" t="e">
        <f t="shared" si="1471"/>
        <v>#N/A</v>
      </c>
      <c r="J9576" s="12" t="e">
        <f t="shared" si="1472"/>
        <v>#N/A</v>
      </c>
      <c r="K9576" s="17" t="e">
        <f t="shared" si="1476"/>
        <v>#N/A</v>
      </c>
      <c r="L9576" s="16">
        <f>base!X9576</f>
        <v>0</v>
      </c>
      <c r="M9576" s="11" t="e">
        <f t="shared" si="1473"/>
        <v>#DIV/0!</v>
      </c>
      <c r="N9576" s="11"/>
      <c r="O9576" s="11" t="e">
        <f t="shared" si="1474"/>
        <v>#DIV/0!</v>
      </c>
      <c r="P9576" s="12">
        <f t="shared" si="1475"/>
        <v>0</v>
      </c>
      <c r="Q9576" s="17" t="str">
        <f t="shared" si="1477"/>
        <v>Pas d'écart</v>
      </c>
    </row>
    <row r="9577" spans="1:17" x14ac:dyDescent="0.3">
      <c r="A9577" s="34">
        <f>base!J9577</f>
        <v>0</v>
      </c>
      <c r="B9577" s="34">
        <f>base!V9577</f>
        <v>0</v>
      </c>
      <c r="C9577" s="40" t="s">
        <v>11</v>
      </c>
      <c r="D9577" s="36">
        <f>base!H9577</f>
        <v>0</v>
      </c>
      <c r="E9577" s="44"/>
      <c r="F9577" s="16">
        <f>base!W9577</f>
        <v>0</v>
      </c>
      <c r="G9577" s="11" t="e">
        <f t="shared" si="1469"/>
        <v>#DIV/0!</v>
      </c>
      <c r="H9577" s="11" t="e">
        <f t="shared" si="1470"/>
        <v>#N/A</v>
      </c>
      <c r="I9577" s="11" t="e">
        <f t="shared" si="1471"/>
        <v>#N/A</v>
      </c>
      <c r="J9577" s="12" t="e">
        <f t="shared" si="1472"/>
        <v>#N/A</v>
      </c>
      <c r="K9577" s="17" t="e">
        <f t="shared" si="1476"/>
        <v>#N/A</v>
      </c>
      <c r="L9577" s="16">
        <f>base!X9577</f>
        <v>0</v>
      </c>
      <c r="M9577" s="11" t="e">
        <f t="shared" si="1473"/>
        <v>#DIV/0!</v>
      </c>
      <c r="N9577" s="11"/>
      <c r="O9577" s="11" t="e">
        <f t="shared" si="1474"/>
        <v>#DIV/0!</v>
      </c>
      <c r="P9577" s="12">
        <f t="shared" si="1475"/>
        <v>0</v>
      </c>
      <c r="Q9577" s="17" t="str">
        <f t="shared" si="1477"/>
        <v>Pas d'écart</v>
      </c>
    </row>
    <row r="9578" spans="1:17" x14ac:dyDescent="0.3">
      <c r="A9578" s="34">
        <f>base!J9578</f>
        <v>0</v>
      </c>
      <c r="B9578" s="34">
        <f>base!V9578</f>
        <v>0</v>
      </c>
      <c r="C9578" s="40" t="s">
        <v>11</v>
      </c>
      <c r="D9578" s="36">
        <f>base!H9578</f>
        <v>0</v>
      </c>
      <c r="E9578" s="44"/>
      <c r="F9578" s="16">
        <f>base!W9578</f>
        <v>0</v>
      </c>
      <c r="G9578" s="11" t="e">
        <f t="shared" si="1469"/>
        <v>#DIV/0!</v>
      </c>
      <c r="H9578" s="11" t="e">
        <f t="shared" si="1470"/>
        <v>#N/A</v>
      </c>
      <c r="I9578" s="11" t="e">
        <f t="shared" si="1471"/>
        <v>#N/A</v>
      </c>
      <c r="J9578" s="12" t="e">
        <f t="shared" si="1472"/>
        <v>#N/A</v>
      </c>
      <c r="K9578" s="17" t="e">
        <f t="shared" si="1476"/>
        <v>#N/A</v>
      </c>
      <c r="L9578" s="16">
        <f>base!X9578</f>
        <v>0</v>
      </c>
      <c r="M9578" s="11" t="e">
        <f t="shared" si="1473"/>
        <v>#DIV/0!</v>
      </c>
      <c r="N9578" s="11"/>
      <c r="O9578" s="11" t="e">
        <f t="shared" si="1474"/>
        <v>#DIV/0!</v>
      </c>
      <c r="P9578" s="12">
        <f t="shared" si="1475"/>
        <v>0</v>
      </c>
      <c r="Q9578" s="17" t="str">
        <f t="shared" si="1477"/>
        <v>Pas d'écart</v>
      </c>
    </row>
    <row r="9579" spans="1:17" x14ac:dyDescent="0.3">
      <c r="A9579" s="34">
        <f>base!J9579</f>
        <v>0</v>
      </c>
      <c r="B9579" s="34">
        <f>base!V9579</f>
        <v>0</v>
      </c>
      <c r="C9579" s="40" t="s">
        <v>11</v>
      </c>
      <c r="D9579" s="36">
        <f>base!H9579</f>
        <v>0</v>
      </c>
      <c r="E9579" s="44"/>
      <c r="F9579" s="16">
        <f>base!W9579</f>
        <v>0</v>
      </c>
      <c r="G9579" s="11" t="e">
        <f t="shared" si="1469"/>
        <v>#DIV/0!</v>
      </c>
      <c r="H9579" s="11" t="e">
        <f t="shared" si="1470"/>
        <v>#N/A</v>
      </c>
      <c r="I9579" s="11" t="e">
        <f t="shared" si="1471"/>
        <v>#N/A</v>
      </c>
      <c r="J9579" s="12" t="e">
        <f t="shared" si="1472"/>
        <v>#N/A</v>
      </c>
      <c r="K9579" s="17" t="e">
        <f t="shared" si="1476"/>
        <v>#N/A</v>
      </c>
      <c r="L9579" s="16">
        <f>base!X9579</f>
        <v>0</v>
      </c>
      <c r="M9579" s="11" t="e">
        <f t="shared" si="1473"/>
        <v>#DIV/0!</v>
      </c>
      <c r="N9579" s="11"/>
      <c r="O9579" s="11" t="e">
        <f t="shared" si="1474"/>
        <v>#DIV/0!</v>
      </c>
      <c r="P9579" s="12">
        <f t="shared" si="1475"/>
        <v>0</v>
      </c>
      <c r="Q9579" s="17" t="str">
        <f t="shared" si="1477"/>
        <v>Pas d'écart</v>
      </c>
    </row>
    <row r="9580" spans="1:17" x14ac:dyDescent="0.3">
      <c r="A9580" s="34">
        <f>base!J9580</f>
        <v>0</v>
      </c>
      <c r="B9580" s="34">
        <f>base!V9580</f>
        <v>0</v>
      </c>
      <c r="C9580" s="40" t="s">
        <v>11</v>
      </c>
      <c r="D9580" s="36">
        <f>base!H9580</f>
        <v>0</v>
      </c>
      <c r="E9580" s="44"/>
      <c r="F9580" s="16">
        <f>base!W9580</f>
        <v>0</v>
      </c>
      <c r="G9580" s="11" t="e">
        <f t="shared" si="1469"/>
        <v>#DIV/0!</v>
      </c>
      <c r="H9580" s="11" t="e">
        <f t="shared" si="1470"/>
        <v>#N/A</v>
      </c>
      <c r="I9580" s="11" t="e">
        <f t="shared" si="1471"/>
        <v>#N/A</v>
      </c>
      <c r="J9580" s="12" t="e">
        <f t="shared" si="1472"/>
        <v>#N/A</v>
      </c>
      <c r="K9580" s="17" t="e">
        <f t="shared" si="1476"/>
        <v>#N/A</v>
      </c>
      <c r="L9580" s="16">
        <f>base!X9580</f>
        <v>0</v>
      </c>
      <c r="M9580" s="11" t="e">
        <f t="shared" si="1473"/>
        <v>#DIV/0!</v>
      </c>
      <c r="N9580" s="11"/>
      <c r="O9580" s="11" t="e">
        <f t="shared" si="1474"/>
        <v>#DIV/0!</v>
      </c>
      <c r="P9580" s="12">
        <f t="shared" si="1475"/>
        <v>0</v>
      </c>
      <c r="Q9580" s="17" t="str">
        <f t="shared" si="1477"/>
        <v>Pas d'écart</v>
      </c>
    </row>
    <row r="9581" spans="1:17" x14ac:dyDescent="0.3">
      <c r="A9581" s="34">
        <f>base!J9581</f>
        <v>0</v>
      </c>
      <c r="B9581" s="34">
        <f>base!V9581</f>
        <v>0</v>
      </c>
      <c r="C9581" s="40" t="s">
        <v>11</v>
      </c>
      <c r="D9581" s="36">
        <f>base!H9581</f>
        <v>0</v>
      </c>
      <c r="E9581" s="44"/>
      <c r="F9581" s="16">
        <f>base!W9581</f>
        <v>0</v>
      </c>
      <c r="G9581" s="11" t="e">
        <f t="shared" si="1469"/>
        <v>#DIV/0!</v>
      </c>
      <c r="H9581" s="11" t="e">
        <f t="shared" si="1470"/>
        <v>#N/A</v>
      </c>
      <c r="I9581" s="11" t="e">
        <f t="shared" si="1471"/>
        <v>#N/A</v>
      </c>
      <c r="J9581" s="12" t="e">
        <f t="shared" si="1472"/>
        <v>#N/A</v>
      </c>
      <c r="K9581" s="17" t="e">
        <f t="shared" si="1476"/>
        <v>#N/A</v>
      </c>
      <c r="L9581" s="16">
        <f>base!X9581</f>
        <v>0</v>
      </c>
      <c r="M9581" s="11" t="e">
        <f t="shared" si="1473"/>
        <v>#DIV/0!</v>
      </c>
      <c r="N9581" s="11"/>
      <c r="O9581" s="11" t="e">
        <f t="shared" si="1474"/>
        <v>#DIV/0!</v>
      </c>
      <c r="P9581" s="12">
        <f t="shared" si="1475"/>
        <v>0</v>
      </c>
      <c r="Q9581" s="17" t="str">
        <f t="shared" si="1477"/>
        <v>Pas d'écart</v>
      </c>
    </row>
    <row r="9582" spans="1:17" x14ac:dyDescent="0.3">
      <c r="A9582" s="34">
        <f>base!J9582</f>
        <v>0</v>
      </c>
      <c r="B9582" s="34">
        <f>base!V9582</f>
        <v>0</v>
      </c>
      <c r="C9582" s="40" t="s">
        <v>11</v>
      </c>
      <c r="D9582" s="36">
        <f>base!H9582</f>
        <v>0</v>
      </c>
      <c r="E9582" s="44"/>
      <c r="F9582" s="16">
        <f>base!W9582</f>
        <v>0</v>
      </c>
      <c r="G9582" s="11" t="e">
        <f t="shared" si="1469"/>
        <v>#DIV/0!</v>
      </c>
      <c r="H9582" s="11" t="e">
        <f t="shared" si="1470"/>
        <v>#N/A</v>
      </c>
      <c r="I9582" s="11" t="e">
        <f t="shared" si="1471"/>
        <v>#N/A</v>
      </c>
      <c r="J9582" s="12" t="e">
        <f t="shared" si="1472"/>
        <v>#N/A</v>
      </c>
      <c r="K9582" s="17" t="e">
        <f t="shared" si="1476"/>
        <v>#N/A</v>
      </c>
      <c r="L9582" s="16">
        <f>base!X9582</f>
        <v>0</v>
      </c>
      <c r="M9582" s="11" t="e">
        <f t="shared" si="1473"/>
        <v>#DIV/0!</v>
      </c>
      <c r="N9582" s="11"/>
      <c r="O9582" s="11" t="e">
        <f t="shared" si="1474"/>
        <v>#DIV/0!</v>
      </c>
      <c r="P9582" s="12">
        <f t="shared" si="1475"/>
        <v>0</v>
      </c>
      <c r="Q9582" s="17" t="str">
        <f t="shared" si="1477"/>
        <v>Pas d'écart</v>
      </c>
    </row>
    <row r="9583" spans="1:17" x14ac:dyDescent="0.3">
      <c r="A9583" s="34">
        <f>base!J9583</f>
        <v>0</v>
      </c>
      <c r="B9583" s="34">
        <f>base!V9583</f>
        <v>0</v>
      </c>
      <c r="C9583" s="40" t="s">
        <v>11</v>
      </c>
      <c r="D9583" s="36">
        <f>base!H9583</f>
        <v>0</v>
      </c>
      <c r="E9583" s="44"/>
      <c r="F9583" s="16">
        <f>base!W9583</f>
        <v>0</v>
      </c>
      <c r="G9583" s="11" t="e">
        <f t="shared" si="1469"/>
        <v>#DIV/0!</v>
      </c>
      <c r="H9583" s="11" t="e">
        <f t="shared" si="1470"/>
        <v>#N/A</v>
      </c>
      <c r="I9583" s="11" t="e">
        <f t="shared" si="1471"/>
        <v>#N/A</v>
      </c>
      <c r="J9583" s="12" t="e">
        <f t="shared" si="1472"/>
        <v>#N/A</v>
      </c>
      <c r="K9583" s="17" t="e">
        <f t="shared" si="1476"/>
        <v>#N/A</v>
      </c>
      <c r="L9583" s="16">
        <f>base!X9583</f>
        <v>0</v>
      </c>
      <c r="M9583" s="11" t="e">
        <f t="shared" si="1473"/>
        <v>#DIV/0!</v>
      </c>
      <c r="N9583" s="11"/>
      <c r="O9583" s="11" t="e">
        <f t="shared" si="1474"/>
        <v>#DIV/0!</v>
      </c>
      <c r="P9583" s="12">
        <f t="shared" si="1475"/>
        <v>0</v>
      </c>
      <c r="Q9583" s="17" t="str">
        <f t="shared" si="1477"/>
        <v>Pas d'écart</v>
      </c>
    </row>
    <row r="9584" spans="1:17" x14ac:dyDescent="0.3">
      <c r="A9584" s="34">
        <f>base!J9584</f>
        <v>0</v>
      </c>
      <c r="B9584" s="34">
        <f>base!V9584</f>
        <v>0</v>
      </c>
      <c r="C9584" s="40" t="s">
        <v>11</v>
      </c>
      <c r="D9584" s="36">
        <f>base!H9584</f>
        <v>0</v>
      </c>
      <c r="E9584" s="44"/>
      <c r="F9584" s="16">
        <f>base!W9584</f>
        <v>0</v>
      </c>
      <c r="G9584" s="11" t="e">
        <f t="shared" si="1469"/>
        <v>#DIV/0!</v>
      </c>
      <c r="H9584" s="11" t="e">
        <f t="shared" si="1470"/>
        <v>#N/A</v>
      </c>
      <c r="I9584" s="11" t="e">
        <f t="shared" si="1471"/>
        <v>#N/A</v>
      </c>
      <c r="J9584" s="12" t="e">
        <f t="shared" si="1472"/>
        <v>#N/A</v>
      </c>
      <c r="K9584" s="17" t="e">
        <f t="shared" si="1476"/>
        <v>#N/A</v>
      </c>
      <c r="L9584" s="16">
        <f>base!X9584</f>
        <v>0</v>
      </c>
      <c r="M9584" s="11" t="e">
        <f t="shared" si="1473"/>
        <v>#DIV/0!</v>
      </c>
      <c r="N9584" s="11"/>
      <c r="O9584" s="11" t="e">
        <f t="shared" si="1474"/>
        <v>#DIV/0!</v>
      </c>
      <c r="P9584" s="12">
        <f t="shared" si="1475"/>
        <v>0</v>
      </c>
      <c r="Q9584" s="17" t="str">
        <f t="shared" si="1477"/>
        <v>Pas d'écart</v>
      </c>
    </row>
    <row r="9585" spans="1:17" x14ac:dyDescent="0.3">
      <c r="A9585" s="34">
        <f>base!J9585</f>
        <v>0</v>
      </c>
      <c r="B9585" s="34">
        <f>base!V9585</f>
        <v>0</v>
      </c>
      <c r="C9585" s="40" t="s">
        <v>11</v>
      </c>
      <c r="D9585" s="36">
        <f>base!H9585</f>
        <v>0</v>
      </c>
      <c r="E9585" s="44"/>
      <c r="F9585" s="16">
        <f>base!W9585</f>
        <v>0</v>
      </c>
      <c r="G9585" s="11" t="e">
        <f t="shared" si="1469"/>
        <v>#DIV/0!</v>
      </c>
      <c r="H9585" s="11" t="e">
        <f t="shared" si="1470"/>
        <v>#N/A</v>
      </c>
      <c r="I9585" s="11" t="e">
        <f t="shared" si="1471"/>
        <v>#N/A</v>
      </c>
      <c r="J9585" s="12" t="e">
        <f t="shared" si="1472"/>
        <v>#N/A</v>
      </c>
      <c r="K9585" s="17" t="e">
        <f t="shared" si="1476"/>
        <v>#N/A</v>
      </c>
      <c r="L9585" s="16">
        <f>base!X9585</f>
        <v>0</v>
      </c>
      <c r="M9585" s="11" t="e">
        <f t="shared" si="1473"/>
        <v>#DIV/0!</v>
      </c>
      <c r="N9585" s="11"/>
      <c r="O9585" s="11" t="e">
        <f t="shared" si="1474"/>
        <v>#DIV/0!</v>
      </c>
      <c r="P9585" s="12">
        <f t="shared" si="1475"/>
        <v>0</v>
      </c>
      <c r="Q9585" s="17" t="str">
        <f t="shared" si="1477"/>
        <v>Pas d'écart</v>
      </c>
    </row>
    <row r="9586" spans="1:17" x14ac:dyDescent="0.3">
      <c r="A9586" s="34">
        <f>base!J9586</f>
        <v>0</v>
      </c>
      <c r="B9586" s="34">
        <f>base!V9586</f>
        <v>0</v>
      </c>
      <c r="C9586" s="40" t="s">
        <v>11</v>
      </c>
      <c r="D9586" s="36">
        <f>base!H9586</f>
        <v>0</v>
      </c>
      <c r="E9586" s="44"/>
      <c r="F9586" s="16">
        <f>base!W9586</f>
        <v>0</v>
      </c>
      <c r="G9586" s="11" t="e">
        <f t="shared" si="1469"/>
        <v>#DIV/0!</v>
      </c>
      <c r="H9586" s="11" t="e">
        <f t="shared" si="1470"/>
        <v>#N/A</v>
      </c>
      <c r="I9586" s="11" t="e">
        <f t="shared" si="1471"/>
        <v>#N/A</v>
      </c>
      <c r="J9586" s="12" t="e">
        <f t="shared" si="1472"/>
        <v>#N/A</v>
      </c>
      <c r="K9586" s="17" t="e">
        <f t="shared" si="1476"/>
        <v>#N/A</v>
      </c>
      <c r="L9586" s="16">
        <f>base!X9586</f>
        <v>0</v>
      </c>
      <c r="M9586" s="11" t="e">
        <f t="shared" si="1473"/>
        <v>#DIV/0!</v>
      </c>
      <c r="N9586" s="11"/>
      <c r="O9586" s="11" t="e">
        <f t="shared" si="1474"/>
        <v>#DIV/0!</v>
      </c>
      <c r="P9586" s="12">
        <f t="shared" si="1475"/>
        <v>0</v>
      </c>
      <c r="Q9586" s="17" t="str">
        <f t="shared" si="1477"/>
        <v>Pas d'écart</v>
      </c>
    </row>
    <row r="9587" spans="1:17" x14ac:dyDescent="0.3">
      <c r="A9587" s="34">
        <f>base!J9587</f>
        <v>0</v>
      </c>
      <c r="B9587" s="34">
        <f>base!V9587</f>
        <v>0</v>
      </c>
      <c r="C9587" s="40" t="s">
        <v>11</v>
      </c>
      <c r="D9587" s="36">
        <f>base!H9587</f>
        <v>0</v>
      </c>
      <c r="E9587" s="44"/>
      <c r="F9587" s="16">
        <f>base!W9587</f>
        <v>0</v>
      </c>
      <c r="G9587" s="11" t="e">
        <f t="shared" si="1469"/>
        <v>#DIV/0!</v>
      </c>
      <c r="H9587" s="11" t="e">
        <f t="shared" si="1470"/>
        <v>#N/A</v>
      </c>
      <c r="I9587" s="11" t="e">
        <f t="shared" si="1471"/>
        <v>#N/A</v>
      </c>
      <c r="J9587" s="12" t="e">
        <f t="shared" si="1472"/>
        <v>#N/A</v>
      </c>
      <c r="K9587" s="17" t="e">
        <f t="shared" si="1476"/>
        <v>#N/A</v>
      </c>
      <c r="L9587" s="16">
        <f>base!X9587</f>
        <v>0</v>
      </c>
      <c r="M9587" s="11" t="e">
        <f t="shared" si="1473"/>
        <v>#DIV/0!</v>
      </c>
      <c r="N9587" s="11"/>
      <c r="O9587" s="11" t="e">
        <f t="shared" si="1474"/>
        <v>#DIV/0!</v>
      </c>
      <c r="P9587" s="12">
        <f t="shared" si="1475"/>
        <v>0</v>
      </c>
      <c r="Q9587" s="17" t="str">
        <f t="shared" si="1477"/>
        <v>Pas d'écart</v>
      </c>
    </row>
    <row r="9588" spans="1:17" x14ac:dyDescent="0.3">
      <c r="A9588" s="34">
        <f>base!J9588</f>
        <v>0</v>
      </c>
      <c r="B9588" s="34">
        <f>base!V9588</f>
        <v>0</v>
      </c>
      <c r="C9588" s="40" t="s">
        <v>11</v>
      </c>
      <c r="D9588" s="36">
        <f>base!H9588</f>
        <v>0</v>
      </c>
      <c r="E9588" s="44"/>
      <c r="F9588" s="16">
        <f>base!W9588</f>
        <v>0</v>
      </c>
      <c r="G9588" s="11" t="e">
        <f t="shared" si="1469"/>
        <v>#DIV/0!</v>
      </c>
      <c r="H9588" s="11" t="e">
        <f t="shared" si="1470"/>
        <v>#N/A</v>
      </c>
      <c r="I9588" s="11" t="e">
        <f t="shared" si="1471"/>
        <v>#N/A</v>
      </c>
      <c r="J9588" s="12" t="e">
        <f t="shared" si="1472"/>
        <v>#N/A</v>
      </c>
      <c r="K9588" s="17" t="e">
        <f t="shared" si="1476"/>
        <v>#N/A</v>
      </c>
      <c r="L9588" s="16">
        <f>base!X9588</f>
        <v>0</v>
      </c>
      <c r="M9588" s="11" t="e">
        <f t="shared" si="1473"/>
        <v>#DIV/0!</v>
      </c>
      <c r="N9588" s="11"/>
      <c r="O9588" s="11" t="e">
        <f t="shared" si="1474"/>
        <v>#DIV/0!</v>
      </c>
      <c r="P9588" s="12">
        <f t="shared" si="1475"/>
        <v>0</v>
      </c>
      <c r="Q9588" s="17" t="str">
        <f t="shared" si="1477"/>
        <v>Pas d'écart</v>
      </c>
    </row>
    <row r="9589" spans="1:17" x14ac:dyDescent="0.3">
      <c r="A9589" s="34">
        <f>base!J9589</f>
        <v>0</v>
      </c>
      <c r="B9589" s="34">
        <f>base!V9589</f>
        <v>0</v>
      </c>
      <c r="C9589" s="40" t="s">
        <v>11</v>
      </c>
      <c r="D9589" s="36">
        <f>base!H9589</f>
        <v>0</v>
      </c>
      <c r="E9589" s="44"/>
      <c r="F9589" s="16">
        <f>base!W9589</f>
        <v>0</v>
      </c>
      <c r="G9589" s="11" t="e">
        <f t="shared" si="1469"/>
        <v>#DIV/0!</v>
      </c>
      <c r="H9589" s="11" t="e">
        <f t="shared" si="1470"/>
        <v>#N/A</v>
      </c>
      <c r="I9589" s="11" t="e">
        <f t="shared" si="1471"/>
        <v>#N/A</v>
      </c>
      <c r="J9589" s="12" t="e">
        <f t="shared" si="1472"/>
        <v>#N/A</v>
      </c>
      <c r="K9589" s="17" t="e">
        <f t="shared" si="1476"/>
        <v>#N/A</v>
      </c>
      <c r="L9589" s="16">
        <f>base!X9589</f>
        <v>0</v>
      </c>
      <c r="M9589" s="11" t="e">
        <f t="shared" si="1473"/>
        <v>#DIV/0!</v>
      </c>
      <c r="N9589" s="11"/>
      <c r="O9589" s="11" t="e">
        <f t="shared" si="1474"/>
        <v>#DIV/0!</v>
      </c>
      <c r="P9589" s="12">
        <f t="shared" si="1475"/>
        <v>0</v>
      </c>
      <c r="Q9589" s="17" t="str">
        <f t="shared" si="1477"/>
        <v>Pas d'écart</v>
      </c>
    </row>
    <row r="9590" spans="1:17" x14ac:dyDescent="0.3">
      <c r="A9590" s="34">
        <f>base!J9590</f>
        <v>0</v>
      </c>
      <c r="B9590" s="34">
        <f>base!V9590</f>
        <v>0</v>
      </c>
      <c r="C9590" s="40" t="s">
        <v>11</v>
      </c>
      <c r="D9590" s="36">
        <f>base!H9590</f>
        <v>0</v>
      </c>
      <c r="E9590" s="44"/>
      <c r="F9590" s="16">
        <f>base!W9590</f>
        <v>0</v>
      </c>
      <c r="G9590" s="11" t="e">
        <f t="shared" si="1469"/>
        <v>#DIV/0!</v>
      </c>
      <c r="H9590" s="11" t="e">
        <f t="shared" si="1470"/>
        <v>#N/A</v>
      </c>
      <c r="I9590" s="11" t="e">
        <f t="shared" si="1471"/>
        <v>#N/A</v>
      </c>
      <c r="J9590" s="12" t="e">
        <f t="shared" si="1472"/>
        <v>#N/A</v>
      </c>
      <c r="K9590" s="17" t="e">
        <f t="shared" si="1476"/>
        <v>#N/A</v>
      </c>
      <c r="L9590" s="16">
        <f>base!X9590</f>
        <v>0</v>
      </c>
      <c r="M9590" s="11" t="e">
        <f t="shared" si="1473"/>
        <v>#DIV/0!</v>
      </c>
      <c r="N9590" s="11"/>
      <c r="O9590" s="11" t="e">
        <f t="shared" si="1474"/>
        <v>#DIV/0!</v>
      </c>
      <c r="P9590" s="12">
        <f t="shared" si="1475"/>
        <v>0</v>
      </c>
      <c r="Q9590" s="17" t="str">
        <f t="shared" si="1477"/>
        <v>Pas d'écart</v>
      </c>
    </row>
    <row r="9591" spans="1:17" x14ac:dyDescent="0.3">
      <c r="A9591" s="34">
        <f>base!J9591</f>
        <v>0</v>
      </c>
      <c r="B9591" s="34">
        <f>base!V9591</f>
        <v>0</v>
      </c>
      <c r="C9591" s="40" t="s">
        <v>11</v>
      </c>
      <c r="D9591" s="36">
        <f>base!H9591</f>
        <v>0</v>
      </c>
      <c r="E9591" s="44"/>
      <c r="F9591" s="16">
        <f>base!W9591</f>
        <v>0</v>
      </c>
      <c r="G9591" s="11" t="e">
        <f t="shared" si="1469"/>
        <v>#DIV/0!</v>
      </c>
      <c r="H9591" s="11" t="e">
        <f t="shared" si="1470"/>
        <v>#N/A</v>
      </c>
      <c r="I9591" s="11" t="e">
        <f t="shared" si="1471"/>
        <v>#N/A</v>
      </c>
      <c r="J9591" s="12" t="e">
        <f t="shared" si="1472"/>
        <v>#N/A</v>
      </c>
      <c r="K9591" s="17" t="e">
        <f t="shared" si="1476"/>
        <v>#N/A</v>
      </c>
      <c r="L9591" s="16">
        <f>base!X9591</f>
        <v>0</v>
      </c>
      <c r="M9591" s="11" t="e">
        <f t="shared" si="1473"/>
        <v>#DIV/0!</v>
      </c>
      <c r="N9591" s="11"/>
      <c r="O9591" s="11" t="e">
        <f t="shared" si="1474"/>
        <v>#DIV/0!</v>
      </c>
      <c r="P9591" s="12">
        <f t="shared" si="1475"/>
        <v>0</v>
      </c>
      <c r="Q9591" s="17" t="str">
        <f t="shared" si="1477"/>
        <v>Pas d'écart</v>
      </c>
    </row>
    <row r="9592" spans="1:17" x14ac:dyDescent="0.3">
      <c r="A9592" s="34">
        <f>base!J9592</f>
        <v>0</v>
      </c>
      <c r="B9592" s="34">
        <f>base!V9592</f>
        <v>0</v>
      </c>
      <c r="C9592" s="40" t="s">
        <v>11</v>
      </c>
      <c r="D9592" s="36">
        <f>base!H9592</f>
        <v>0</v>
      </c>
      <c r="E9592" s="44"/>
      <c r="F9592" s="16">
        <f>base!W9592</f>
        <v>0</v>
      </c>
      <c r="G9592" s="11" t="e">
        <f t="shared" si="1469"/>
        <v>#DIV/0!</v>
      </c>
      <c r="H9592" s="11" t="e">
        <f t="shared" si="1470"/>
        <v>#N/A</v>
      </c>
      <c r="I9592" s="11" t="e">
        <f t="shared" si="1471"/>
        <v>#N/A</v>
      </c>
      <c r="J9592" s="12" t="e">
        <f t="shared" si="1472"/>
        <v>#N/A</v>
      </c>
      <c r="K9592" s="17" t="e">
        <f t="shared" si="1476"/>
        <v>#N/A</v>
      </c>
      <c r="L9592" s="16">
        <f>base!X9592</f>
        <v>0</v>
      </c>
      <c r="M9592" s="11" t="e">
        <f t="shared" si="1473"/>
        <v>#DIV/0!</v>
      </c>
      <c r="N9592" s="11"/>
      <c r="O9592" s="11" t="e">
        <f t="shared" si="1474"/>
        <v>#DIV/0!</v>
      </c>
      <c r="P9592" s="12">
        <f t="shared" si="1475"/>
        <v>0</v>
      </c>
      <c r="Q9592" s="17" t="str">
        <f t="shared" si="1477"/>
        <v>Pas d'écart</v>
      </c>
    </row>
    <row r="9593" spans="1:17" x14ac:dyDescent="0.3">
      <c r="A9593" s="34">
        <f>base!J9593</f>
        <v>0</v>
      </c>
      <c r="B9593" s="34">
        <f>base!V9593</f>
        <v>0</v>
      </c>
      <c r="C9593" s="40" t="s">
        <v>11</v>
      </c>
      <c r="D9593" s="36">
        <f>base!H9593</f>
        <v>0</v>
      </c>
      <c r="E9593" s="44"/>
      <c r="F9593" s="16">
        <f>base!W9593</f>
        <v>0</v>
      </c>
      <c r="G9593" s="11" t="e">
        <f t="shared" si="1469"/>
        <v>#DIV/0!</v>
      </c>
      <c r="H9593" s="11" t="e">
        <f t="shared" si="1470"/>
        <v>#N/A</v>
      </c>
      <c r="I9593" s="11" t="e">
        <f t="shared" si="1471"/>
        <v>#N/A</v>
      </c>
      <c r="J9593" s="12" t="e">
        <f t="shared" si="1472"/>
        <v>#N/A</v>
      </c>
      <c r="K9593" s="17" t="e">
        <f t="shared" si="1476"/>
        <v>#N/A</v>
      </c>
      <c r="L9593" s="16">
        <f>base!X9593</f>
        <v>0</v>
      </c>
      <c r="M9593" s="11" t="e">
        <f t="shared" si="1473"/>
        <v>#DIV/0!</v>
      </c>
      <c r="N9593" s="11"/>
      <c r="O9593" s="11" t="e">
        <f t="shared" si="1474"/>
        <v>#DIV/0!</v>
      </c>
      <c r="P9593" s="12">
        <f t="shared" si="1475"/>
        <v>0</v>
      </c>
      <c r="Q9593" s="17" t="str">
        <f t="shared" si="1477"/>
        <v>Pas d'écart</v>
      </c>
    </row>
    <row r="9594" spans="1:17" x14ac:dyDescent="0.3">
      <c r="A9594" s="34">
        <f>base!J9594</f>
        <v>0</v>
      </c>
      <c r="B9594" s="34">
        <f>base!V9594</f>
        <v>0</v>
      </c>
      <c r="C9594" s="40" t="s">
        <v>11</v>
      </c>
      <c r="D9594" s="36">
        <f>base!H9594</f>
        <v>0</v>
      </c>
      <c r="E9594" s="44"/>
      <c r="F9594" s="16">
        <f>base!W9594</f>
        <v>0</v>
      </c>
      <c r="G9594" s="11" t="e">
        <f t="shared" si="1469"/>
        <v>#DIV/0!</v>
      </c>
      <c r="H9594" s="11" t="e">
        <f t="shared" si="1470"/>
        <v>#N/A</v>
      </c>
      <c r="I9594" s="11" t="e">
        <f t="shared" si="1471"/>
        <v>#N/A</v>
      </c>
      <c r="J9594" s="12" t="e">
        <f t="shared" si="1472"/>
        <v>#N/A</v>
      </c>
      <c r="K9594" s="17" t="e">
        <f t="shared" si="1476"/>
        <v>#N/A</v>
      </c>
      <c r="L9594" s="16">
        <f>base!X9594</f>
        <v>0</v>
      </c>
      <c r="M9594" s="11" t="e">
        <f t="shared" si="1473"/>
        <v>#DIV/0!</v>
      </c>
      <c r="N9594" s="11"/>
      <c r="O9594" s="11" t="e">
        <f t="shared" si="1474"/>
        <v>#DIV/0!</v>
      </c>
      <c r="P9594" s="12">
        <f t="shared" si="1475"/>
        <v>0</v>
      </c>
      <c r="Q9594" s="17" t="str">
        <f t="shared" si="1477"/>
        <v>Pas d'écart</v>
      </c>
    </row>
    <row r="9595" spans="1:17" x14ac:dyDescent="0.3">
      <c r="A9595" s="34">
        <f>base!J9595</f>
        <v>0</v>
      </c>
      <c r="B9595" s="34">
        <f>base!V9595</f>
        <v>0</v>
      </c>
      <c r="C9595" s="40" t="s">
        <v>11</v>
      </c>
      <c r="D9595" s="36">
        <f>base!H9595</f>
        <v>0</v>
      </c>
      <c r="E9595" s="44"/>
      <c r="F9595" s="16">
        <f>base!W9595</f>
        <v>0</v>
      </c>
      <c r="G9595" s="11" t="e">
        <f t="shared" si="1469"/>
        <v>#DIV/0!</v>
      </c>
      <c r="H9595" s="11" t="e">
        <f t="shared" si="1470"/>
        <v>#N/A</v>
      </c>
      <c r="I9595" s="11" t="e">
        <f t="shared" si="1471"/>
        <v>#N/A</v>
      </c>
      <c r="J9595" s="12" t="e">
        <f t="shared" si="1472"/>
        <v>#N/A</v>
      </c>
      <c r="K9595" s="17" t="e">
        <f t="shared" si="1476"/>
        <v>#N/A</v>
      </c>
      <c r="L9595" s="16">
        <f>base!X9595</f>
        <v>0</v>
      </c>
      <c r="M9595" s="11" t="e">
        <f t="shared" si="1473"/>
        <v>#DIV/0!</v>
      </c>
      <c r="N9595" s="11"/>
      <c r="O9595" s="11" t="e">
        <f t="shared" si="1474"/>
        <v>#DIV/0!</v>
      </c>
      <c r="P9595" s="12">
        <f t="shared" si="1475"/>
        <v>0</v>
      </c>
      <c r="Q9595" s="17" t="str">
        <f t="shared" si="1477"/>
        <v>Pas d'écart</v>
      </c>
    </row>
    <row r="9596" spans="1:17" x14ac:dyDescent="0.3">
      <c r="A9596" s="34">
        <f>base!J9596</f>
        <v>0</v>
      </c>
      <c r="B9596" s="34">
        <f>base!V9596</f>
        <v>0</v>
      </c>
      <c r="C9596" s="40" t="s">
        <v>11</v>
      </c>
      <c r="D9596" s="36">
        <f>base!H9596</f>
        <v>0</v>
      </c>
      <c r="E9596" s="44"/>
      <c r="F9596" s="16">
        <f>base!W9596</f>
        <v>0</v>
      </c>
      <c r="G9596" s="11" t="e">
        <f t="shared" si="1469"/>
        <v>#DIV/0!</v>
      </c>
      <c r="H9596" s="11" t="e">
        <f t="shared" si="1470"/>
        <v>#N/A</v>
      </c>
      <c r="I9596" s="11" t="e">
        <f t="shared" si="1471"/>
        <v>#N/A</v>
      </c>
      <c r="J9596" s="12" t="e">
        <f t="shared" si="1472"/>
        <v>#N/A</v>
      </c>
      <c r="K9596" s="17" t="e">
        <f t="shared" si="1476"/>
        <v>#N/A</v>
      </c>
      <c r="L9596" s="16">
        <f>base!X9596</f>
        <v>0</v>
      </c>
      <c r="M9596" s="11" t="e">
        <f t="shared" si="1473"/>
        <v>#DIV/0!</v>
      </c>
      <c r="N9596" s="11"/>
      <c r="O9596" s="11" t="e">
        <f t="shared" si="1474"/>
        <v>#DIV/0!</v>
      </c>
      <c r="P9596" s="12">
        <f t="shared" si="1475"/>
        <v>0</v>
      </c>
      <c r="Q9596" s="17" t="str">
        <f t="shared" si="1477"/>
        <v>Pas d'écart</v>
      </c>
    </row>
    <row r="9597" spans="1:17" x14ac:dyDescent="0.3">
      <c r="A9597" s="34">
        <f>base!J9597</f>
        <v>0</v>
      </c>
      <c r="B9597" s="34">
        <f>base!V9597</f>
        <v>0</v>
      </c>
      <c r="C9597" s="40" t="s">
        <v>11</v>
      </c>
      <c r="D9597" s="36">
        <f>base!H9597</f>
        <v>0</v>
      </c>
      <c r="E9597" s="44"/>
      <c r="F9597" s="16">
        <f>base!W9597</f>
        <v>0</v>
      </c>
      <c r="G9597" s="11" t="e">
        <f t="shared" si="1469"/>
        <v>#DIV/0!</v>
      </c>
      <c r="H9597" s="11" t="e">
        <f t="shared" si="1470"/>
        <v>#N/A</v>
      </c>
      <c r="I9597" s="11" t="e">
        <f t="shared" si="1471"/>
        <v>#N/A</v>
      </c>
      <c r="J9597" s="12" t="e">
        <f t="shared" si="1472"/>
        <v>#N/A</v>
      </c>
      <c r="K9597" s="17" t="e">
        <f t="shared" si="1476"/>
        <v>#N/A</v>
      </c>
      <c r="L9597" s="16">
        <f>base!X9597</f>
        <v>0</v>
      </c>
      <c r="M9597" s="11" t="e">
        <f t="shared" si="1473"/>
        <v>#DIV/0!</v>
      </c>
      <c r="N9597" s="11"/>
      <c r="O9597" s="11" t="e">
        <f t="shared" si="1474"/>
        <v>#DIV/0!</v>
      </c>
      <c r="P9597" s="12">
        <f t="shared" si="1475"/>
        <v>0</v>
      </c>
      <c r="Q9597" s="17" t="str">
        <f t="shared" si="1477"/>
        <v>Pas d'écart</v>
      </c>
    </row>
    <row r="9598" spans="1:17" x14ac:dyDescent="0.3">
      <c r="A9598" s="34">
        <f>base!J9598</f>
        <v>0</v>
      </c>
      <c r="B9598" s="34">
        <f>base!V9598</f>
        <v>0</v>
      </c>
      <c r="C9598" s="40" t="s">
        <v>11</v>
      </c>
      <c r="D9598" s="36">
        <f>base!H9598</f>
        <v>0</v>
      </c>
      <c r="E9598" s="44"/>
      <c r="F9598" s="16">
        <f>base!W9598</f>
        <v>0</v>
      </c>
      <c r="G9598" s="11" t="e">
        <f t="shared" si="1469"/>
        <v>#DIV/0!</v>
      </c>
      <c r="H9598" s="11" t="e">
        <f t="shared" si="1470"/>
        <v>#N/A</v>
      </c>
      <c r="I9598" s="11" t="e">
        <f t="shared" si="1471"/>
        <v>#N/A</v>
      </c>
      <c r="J9598" s="12" t="e">
        <f t="shared" si="1472"/>
        <v>#N/A</v>
      </c>
      <c r="K9598" s="17" t="e">
        <f t="shared" si="1476"/>
        <v>#N/A</v>
      </c>
      <c r="L9598" s="16">
        <f>base!X9598</f>
        <v>0</v>
      </c>
      <c r="M9598" s="11" t="e">
        <f t="shared" si="1473"/>
        <v>#DIV/0!</v>
      </c>
      <c r="N9598" s="11"/>
      <c r="O9598" s="11" t="e">
        <f t="shared" si="1474"/>
        <v>#DIV/0!</v>
      </c>
      <c r="P9598" s="12">
        <f t="shared" si="1475"/>
        <v>0</v>
      </c>
      <c r="Q9598" s="17" t="str">
        <f t="shared" si="1477"/>
        <v>Pas d'écart</v>
      </c>
    </row>
    <row r="9599" spans="1:17" x14ac:dyDescent="0.3">
      <c r="A9599" s="34">
        <f>base!J9599</f>
        <v>0</v>
      </c>
      <c r="B9599" s="34">
        <f>base!V9599</f>
        <v>0</v>
      </c>
      <c r="C9599" s="40" t="s">
        <v>11</v>
      </c>
      <c r="D9599" s="36">
        <f>base!H9599</f>
        <v>0</v>
      </c>
      <c r="E9599" s="44"/>
      <c r="F9599" s="16">
        <f>base!W9599</f>
        <v>0</v>
      </c>
      <c r="G9599" s="11" t="e">
        <f t="shared" si="1469"/>
        <v>#DIV/0!</v>
      </c>
      <c r="H9599" s="11" t="e">
        <f t="shared" si="1470"/>
        <v>#N/A</v>
      </c>
      <c r="I9599" s="11" t="e">
        <f t="shared" si="1471"/>
        <v>#N/A</v>
      </c>
      <c r="J9599" s="12" t="e">
        <f t="shared" si="1472"/>
        <v>#N/A</v>
      </c>
      <c r="K9599" s="17" t="e">
        <f t="shared" si="1476"/>
        <v>#N/A</v>
      </c>
      <c r="L9599" s="16">
        <f>base!X9599</f>
        <v>0</v>
      </c>
      <c r="M9599" s="11" t="e">
        <f t="shared" si="1473"/>
        <v>#DIV/0!</v>
      </c>
      <c r="N9599" s="11"/>
      <c r="O9599" s="11" t="e">
        <f t="shared" si="1474"/>
        <v>#DIV/0!</v>
      </c>
      <c r="P9599" s="12">
        <f t="shared" si="1475"/>
        <v>0</v>
      </c>
      <c r="Q9599" s="17" t="str">
        <f t="shared" si="1477"/>
        <v>Pas d'écart</v>
      </c>
    </row>
    <row r="9600" spans="1:17" x14ac:dyDescent="0.3">
      <c r="A9600" s="34">
        <f>base!J9600</f>
        <v>0</v>
      </c>
      <c r="B9600" s="34">
        <f>base!V9600</f>
        <v>0</v>
      </c>
      <c r="C9600" s="40" t="s">
        <v>11</v>
      </c>
      <c r="D9600" s="36">
        <f>base!H9600</f>
        <v>0</v>
      </c>
      <c r="E9600" s="44"/>
      <c r="F9600" s="16">
        <f>base!W9600</f>
        <v>0</v>
      </c>
      <c r="G9600" s="11" t="e">
        <f t="shared" si="1469"/>
        <v>#DIV/0!</v>
      </c>
      <c r="H9600" s="11" t="e">
        <f t="shared" si="1470"/>
        <v>#N/A</v>
      </c>
      <c r="I9600" s="11" t="e">
        <f t="shared" si="1471"/>
        <v>#N/A</v>
      </c>
      <c r="J9600" s="12" t="e">
        <f t="shared" si="1472"/>
        <v>#N/A</v>
      </c>
      <c r="K9600" s="17" t="e">
        <f t="shared" si="1476"/>
        <v>#N/A</v>
      </c>
      <c r="L9600" s="16">
        <f>base!X9600</f>
        <v>0</v>
      </c>
      <c r="M9600" s="11" t="e">
        <f t="shared" si="1473"/>
        <v>#DIV/0!</v>
      </c>
      <c r="N9600" s="11"/>
      <c r="O9600" s="11" t="e">
        <f t="shared" si="1474"/>
        <v>#DIV/0!</v>
      </c>
      <c r="P9600" s="12">
        <f t="shared" si="1475"/>
        <v>0</v>
      </c>
      <c r="Q9600" s="17" t="str">
        <f t="shared" si="1477"/>
        <v>Pas d'écart</v>
      </c>
    </row>
    <row r="9601" spans="1:17" x14ac:dyDescent="0.3">
      <c r="A9601" s="34">
        <f>base!J9601</f>
        <v>0</v>
      </c>
      <c r="B9601" s="34">
        <f>base!V9601</f>
        <v>0</v>
      </c>
      <c r="C9601" s="40" t="s">
        <v>11</v>
      </c>
      <c r="D9601" s="36">
        <f>base!H9601</f>
        <v>0</v>
      </c>
      <c r="E9601" s="44"/>
      <c r="F9601" s="16">
        <f>base!W9601</f>
        <v>0</v>
      </c>
      <c r="G9601" s="11" t="e">
        <f t="shared" si="1469"/>
        <v>#DIV/0!</v>
      </c>
      <c r="H9601" s="11" t="e">
        <f t="shared" si="1470"/>
        <v>#N/A</v>
      </c>
      <c r="I9601" s="11" t="e">
        <f t="shared" si="1471"/>
        <v>#N/A</v>
      </c>
      <c r="J9601" s="12" t="e">
        <f t="shared" si="1472"/>
        <v>#N/A</v>
      </c>
      <c r="K9601" s="17" t="e">
        <f t="shared" si="1476"/>
        <v>#N/A</v>
      </c>
      <c r="L9601" s="16">
        <f>base!X9601</f>
        <v>0</v>
      </c>
      <c r="M9601" s="11" t="e">
        <f t="shared" si="1473"/>
        <v>#DIV/0!</v>
      </c>
      <c r="N9601" s="11"/>
      <c r="O9601" s="11" t="e">
        <f t="shared" si="1474"/>
        <v>#DIV/0!</v>
      </c>
      <c r="P9601" s="12">
        <f t="shared" si="1475"/>
        <v>0</v>
      </c>
      <c r="Q9601" s="17" t="str">
        <f t="shared" si="1477"/>
        <v>Pas d'écart</v>
      </c>
    </row>
    <row r="9602" spans="1:17" x14ac:dyDescent="0.3">
      <c r="A9602" s="34">
        <f>base!J9602</f>
        <v>0</v>
      </c>
      <c r="B9602" s="34">
        <f>base!V9602</f>
        <v>0</v>
      </c>
      <c r="C9602" s="40" t="s">
        <v>11</v>
      </c>
      <c r="D9602" s="36">
        <f>base!H9602</f>
        <v>0</v>
      </c>
      <c r="E9602" s="44"/>
      <c r="F9602" s="16">
        <f>base!W9602</f>
        <v>0</v>
      </c>
      <c r="G9602" s="11" t="e">
        <f t="shared" ref="G9602:G9665" si="1478">F9602/D9602</f>
        <v>#DIV/0!</v>
      </c>
      <c r="H9602" s="11" t="e">
        <f t="shared" ref="H9602:H9665" si="1479">VLOOKUP(C9602,tout_cout_traction,2,FALSE)*D9602</f>
        <v>#N/A</v>
      </c>
      <c r="I9602" s="11" t="e">
        <f t="shared" ref="I9602:I9665" si="1480">H9602/D9602</f>
        <v>#N/A</v>
      </c>
      <c r="J9602" s="12" t="e">
        <f t="shared" ref="J9602:J9665" si="1481">F9602-H9602</f>
        <v>#N/A</v>
      </c>
      <c r="K9602" s="17" t="e">
        <f t="shared" si="1476"/>
        <v>#N/A</v>
      </c>
      <c r="L9602" s="16">
        <f>base!X9602</f>
        <v>0</v>
      </c>
      <c r="M9602" s="11" t="e">
        <f t="shared" ref="M9602:M9665" si="1482">L9602/D9602</f>
        <v>#DIV/0!</v>
      </c>
      <c r="N9602" s="11"/>
      <c r="O9602" s="11" t="e">
        <f t="shared" ref="O9602:O9665" si="1483">N9602/D9602</f>
        <v>#DIV/0!</v>
      </c>
      <c r="P9602" s="12">
        <f t="shared" ref="P9602:P9665" si="1484">L9602-N9602</f>
        <v>0</v>
      </c>
      <c r="Q9602" s="17" t="str">
        <f t="shared" si="1477"/>
        <v>Pas d'écart</v>
      </c>
    </row>
    <row r="9603" spans="1:17" x14ac:dyDescent="0.3">
      <c r="A9603" s="34">
        <f>base!J9603</f>
        <v>0</v>
      </c>
      <c r="B9603" s="34">
        <f>base!V9603</f>
        <v>0</v>
      </c>
      <c r="C9603" s="40" t="s">
        <v>11</v>
      </c>
      <c r="D9603" s="36">
        <f>base!H9603</f>
        <v>0</v>
      </c>
      <c r="E9603" s="44"/>
      <c r="F9603" s="16">
        <f>base!W9603</f>
        <v>0</v>
      </c>
      <c r="G9603" s="11" t="e">
        <f t="shared" si="1478"/>
        <v>#DIV/0!</v>
      </c>
      <c r="H9603" s="11" t="e">
        <f t="shared" si="1479"/>
        <v>#N/A</v>
      </c>
      <c r="I9603" s="11" t="e">
        <f t="shared" si="1480"/>
        <v>#N/A</v>
      </c>
      <c r="J9603" s="12" t="e">
        <f t="shared" si="1481"/>
        <v>#N/A</v>
      </c>
      <c r="K9603" s="17" t="e">
        <f t="shared" ref="K9603:K9666" si="1485">IF(H9603=F9603,"Pas d'écart",IF(H9603&lt;F9603,"Ecart positif",IF(H9603&gt;F9603,"Ecart négatif")))</f>
        <v>#N/A</v>
      </c>
      <c r="L9603" s="16">
        <f>base!X9603</f>
        <v>0</v>
      </c>
      <c r="M9603" s="11" t="e">
        <f t="shared" si="1482"/>
        <v>#DIV/0!</v>
      </c>
      <c r="N9603" s="11"/>
      <c r="O9603" s="11" t="e">
        <f t="shared" si="1483"/>
        <v>#DIV/0!</v>
      </c>
      <c r="P9603" s="12">
        <f t="shared" si="1484"/>
        <v>0</v>
      </c>
      <c r="Q9603" s="17" t="str">
        <f t="shared" ref="Q9603:Q9666" si="1486">IF(N9603=L9603,"Pas d'écart",IF(N9603&lt;L9603,"Ecart positif",IF(N9603&gt;L9603,"Ecart négatif")))</f>
        <v>Pas d'écart</v>
      </c>
    </row>
    <row r="9604" spans="1:17" x14ac:dyDescent="0.3">
      <c r="A9604" s="34">
        <f>base!J9604</f>
        <v>0</v>
      </c>
      <c r="B9604" s="34">
        <f>base!V9604</f>
        <v>0</v>
      </c>
      <c r="C9604" s="40" t="s">
        <v>11</v>
      </c>
      <c r="D9604" s="36">
        <f>base!H9604</f>
        <v>0</v>
      </c>
      <c r="E9604" s="44"/>
      <c r="F9604" s="16">
        <f>base!W9604</f>
        <v>0</v>
      </c>
      <c r="G9604" s="11" t="e">
        <f t="shared" si="1478"/>
        <v>#DIV/0!</v>
      </c>
      <c r="H9604" s="11" t="e">
        <f t="shared" si="1479"/>
        <v>#N/A</v>
      </c>
      <c r="I9604" s="11" t="e">
        <f t="shared" si="1480"/>
        <v>#N/A</v>
      </c>
      <c r="J9604" s="12" t="e">
        <f t="shared" si="1481"/>
        <v>#N/A</v>
      </c>
      <c r="K9604" s="17" t="e">
        <f t="shared" si="1485"/>
        <v>#N/A</v>
      </c>
      <c r="L9604" s="16">
        <f>base!X9604</f>
        <v>0</v>
      </c>
      <c r="M9604" s="11" t="e">
        <f t="shared" si="1482"/>
        <v>#DIV/0!</v>
      </c>
      <c r="N9604" s="11"/>
      <c r="O9604" s="11" t="e">
        <f t="shared" si="1483"/>
        <v>#DIV/0!</v>
      </c>
      <c r="P9604" s="12">
        <f t="shared" si="1484"/>
        <v>0</v>
      </c>
      <c r="Q9604" s="17" t="str">
        <f t="shared" si="1486"/>
        <v>Pas d'écart</v>
      </c>
    </row>
    <row r="9605" spans="1:17" x14ac:dyDescent="0.3">
      <c r="A9605" s="34">
        <f>base!J9605</f>
        <v>0</v>
      </c>
      <c r="B9605" s="34">
        <f>base!V9605</f>
        <v>0</v>
      </c>
      <c r="C9605" s="40" t="s">
        <v>11</v>
      </c>
      <c r="D9605" s="36">
        <f>base!H9605</f>
        <v>0</v>
      </c>
      <c r="E9605" s="44"/>
      <c r="F9605" s="16">
        <f>base!W9605</f>
        <v>0</v>
      </c>
      <c r="G9605" s="11" t="e">
        <f t="shared" si="1478"/>
        <v>#DIV/0!</v>
      </c>
      <c r="H9605" s="11" t="e">
        <f t="shared" si="1479"/>
        <v>#N/A</v>
      </c>
      <c r="I9605" s="11" t="e">
        <f t="shared" si="1480"/>
        <v>#N/A</v>
      </c>
      <c r="J9605" s="12" t="e">
        <f t="shared" si="1481"/>
        <v>#N/A</v>
      </c>
      <c r="K9605" s="17" t="e">
        <f t="shared" si="1485"/>
        <v>#N/A</v>
      </c>
      <c r="L9605" s="16">
        <f>base!X9605</f>
        <v>0</v>
      </c>
      <c r="M9605" s="11" t="e">
        <f t="shared" si="1482"/>
        <v>#DIV/0!</v>
      </c>
      <c r="N9605" s="11"/>
      <c r="O9605" s="11" t="e">
        <f t="shared" si="1483"/>
        <v>#DIV/0!</v>
      </c>
      <c r="P9605" s="12">
        <f t="shared" si="1484"/>
        <v>0</v>
      </c>
      <c r="Q9605" s="17" t="str">
        <f t="shared" si="1486"/>
        <v>Pas d'écart</v>
      </c>
    </row>
    <row r="9606" spans="1:17" x14ac:dyDescent="0.3">
      <c r="A9606" s="34">
        <f>base!J9606</f>
        <v>0</v>
      </c>
      <c r="B9606" s="34">
        <f>base!V9606</f>
        <v>0</v>
      </c>
      <c r="C9606" s="40" t="s">
        <v>11</v>
      </c>
      <c r="D9606" s="36">
        <f>base!H9606</f>
        <v>0</v>
      </c>
      <c r="E9606" s="44"/>
      <c r="F9606" s="16">
        <f>base!W9606</f>
        <v>0</v>
      </c>
      <c r="G9606" s="11" t="e">
        <f t="shared" si="1478"/>
        <v>#DIV/0!</v>
      </c>
      <c r="H9606" s="11" t="e">
        <f t="shared" si="1479"/>
        <v>#N/A</v>
      </c>
      <c r="I9606" s="11" t="e">
        <f t="shared" si="1480"/>
        <v>#N/A</v>
      </c>
      <c r="J9606" s="12" t="e">
        <f t="shared" si="1481"/>
        <v>#N/A</v>
      </c>
      <c r="K9606" s="17" t="e">
        <f t="shared" si="1485"/>
        <v>#N/A</v>
      </c>
      <c r="L9606" s="16">
        <f>base!X9606</f>
        <v>0</v>
      </c>
      <c r="M9606" s="11" t="e">
        <f t="shared" si="1482"/>
        <v>#DIV/0!</v>
      </c>
      <c r="N9606" s="11"/>
      <c r="O9606" s="11" t="e">
        <f t="shared" si="1483"/>
        <v>#DIV/0!</v>
      </c>
      <c r="P9606" s="12">
        <f t="shared" si="1484"/>
        <v>0</v>
      </c>
      <c r="Q9606" s="17" t="str">
        <f t="shared" si="1486"/>
        <v>Pas d'écart</v>
      </c>
    </row>
    <row r="9607" spans="1:17" x14ac:dyDescent="0.3">
      <c r="A9607" s="34">
        <f>base!J9607</f>
        <v>0</v>
      </c>
      <c r="B9607" s="34">
        <f>base!V9607</f>
        <v>0</v>
      </c>
      <c r="C9607" s="40" t="s">
        <v>11</v>
      </c>
      <c r="D9607" s="36">
        <f>base!H9607</f>
        <v>0</v>
      </c>
      <c r="E9607" s="44"/>
      <c r="F9607" s="16">
        <f>base!W9607</f>
        <v>0</v>
      </c>
      <c r="G9607" s="11" t="e">
        <f t="shared" si="1478"/>
        <v>#DIV/0!</v>
      </c>
      <c r="H9607" s="11" t="e">
        <f t="shared" si="1479"/>
        <v>#N/A</v>
      </c>
      <c r="I9607" s="11" t="e">
        <f t="shared" si="1480"/>
        <v>#N/A</v>
      </c>
      <c r="J9607" s="12" t="e">
        <f t="shared" si="1481"/>
        <v>#N/A</v>
      </c>
      <c r="K9607" s="17" t="e">
        <f t="shared" si="1485"/>
        <v>#N/A</v>
      </c>
      <c r="L9607" s="16">
        <f>base!X9607</f>
        <v>0</v>
      </c>
      <c r="M9607" s="11" t="e">
        <f t="shared" si="1482"/>
        <v>#DIV/0!</v>
      </c>
      <c r="N9607" s="11"/>
      <c r="O9607" s="11" t="e">
        <f t="shared" si="1483"/>
        <v>#DIV/0!</v>
      </c>
      <c r="P9607" s="12">
        <f t="shared" si="1484"/>
        <v>0</v>
      </c>
      <c r="Q9607" s="17" t="str">
        <f t="shared" si="1486"/>
        <v>Pas d'écart</v>
      </c>
    </row>
    <row r="9608" spans="1:17" x14ac:dyDescent="0.3">
      <c r="A9608" s="34">
        <f>base!J9608</f>
        <v>0</v>
      </c>
      <c r="B9608" s="34">
        <f>base!V9608</f>
        <v>0</v>
      </c>
      <c r="C9608" s="40" t="s">
        <v>11</v>
      </c>
      <c r="D9608" s="36">
        <f>base!H9608</f>
        <v>0</v>
      </c>
      <c r="E9608" s="44"/>
      <c r="F9608" s="16">
        <f>base!W9608</f>
        <v>0</v>
      </c>
      <c r="G9608" s="11" t="e">
        <f t="shared" si="1478"/>
        <v>#DIV/0!</v>
      </c>
      <c r="H9608" s="11" t="e">
        <f t="shared" si="1479"/>
        <v>#N/A</v>
      </c>
      <c r="I9608" s="11" t="e">
        <f t="shared" si="1480"/>
        <v>#N/A</v>
      </c>
      <c r="J9608" s="12" t="e">
        <f t="shared" si="1481"/>
        <v>#N/A</v>
      </c>
      <c r="K9608" s="17" t="e">
        <f t="shared" si="1485"/>
        <v>#N/A</v>
      </c>
      <c r="L9608" s="16">
        <f>base!X9608</f>
        <v>0</v>
      </c>
      <c r="M9608" s="11" t="e">
        <f t="shared" si="1482"/>
        <v>#DIV/0!</v>
      </c>
      <c r="N9608" s="11"/>
      <c r="O9608" s="11" t="e">
        <f t="shared" si="1483"/>
        <v>#DIV/0!</v>
      </c>
      <c r="P9608" s="12">
        <f t="shared" si="1484"/>
        <v>0</v>
      </c>
      <c r="Q9608" s="17" t="str">
        <f t="shared" si="1486"/>
        <v>Pas d'écart</v>
      </c>
    </row>
    <row r="9609" spans="1:17" x14ac:dyDescent="0.3">
      <c r="A9609" s="34">
        <f>base!J9609</f>
        <v>0</v>
      </c>
      <c r="B9609" s="34">
        <f>base!V9609</f>
        <v>0</v>
      </c>
      <c r="C9609" s="40" t="s">
        <v>11</v>
      </c>
      <c r="D9609" s="36">
        <f>base!H9609</f>
        <v>0</v>
      </c>
      <c r="E9609" s="44"/>
      <c r="F9609" s="16">
        <f>base!W9609</f>
        <v>0</v>
      </c>
      <c r="G9609" s="11" t="e">
        <f t="shared" si="1478"/>
        <v>#DIV/0!</v>
      </c>
      <c r="H9609" s="11" t="e">
        <f t="shared" si="1479"/>
        <v>#N/A</v>
      </c>
      <c r="I9609" s="11" t="e">
        <f t="shared" si="1480"/>
        <v>#N/A</v>
      </c>
      <c r="J9609" s="12" t="e">
        <f t="shared" si="1481"/>
        <v>#N/A</v>
      </c>
      <c r="K9609" s="17" t="e">
        <f t="shared" si="1485"/>
        <v>#N/A</v>
      </c>
      <c r="L9609" s="16">
        <f>base!X9609</f>
        <v>0</v>
      </c>
      <c r="M9609" s="11" t="e">
        <f t="shared" si="1482"/>
        <v>#DIV/0!</v>
      </c>
      <c r="N9609" s="11"/>
      <c r="O9609" s="11" t="e">
        <f t="shared" si="1483"/>
        <v>#DIV/0!</v>
      </c>
      <c r="P9609" s="12">
        <f t="shared" si="1484"/>
        <v>0</v>
      </c>
      <c r="Q9609" s="17" t="str">
        <f t="shared" si="1486"/>
        <v>Pas d'écart</v>
      </c>
    </row>
    <row r="9610" spans="1:17" x14ac:dyDescent="0.3">
      <c r="A9610" s="34">
        <f>base!J9610</f>
        <v>0</v>
      </c>
      <c r="B9610" s="34">
        <f>base!V9610</f>
        <v>0</v>
      </c>
      <c r="C9610" s="40" t="s">
        <v>11</v>
      </c>
      <c r="D9610" s="36">
        <f>base!H9610</f>
        <v>0</v>
      </c>
      <c r="E9610" s="44"/>
      <c r="F9610" s="16">
        <f>base!W9610</f>
        <v>0</v>
      </c>
      <c r="G9610" s="11" t="e">
        <f t="shared" si="1478"/>
        <v>#DIV/0!</v>
      </c>
      <c r="H9610" s="11" t="e">
        <f t="shared" si="1479"/>
        <v>#N/A</v>
      </c>
      <c r="I9610" s="11" t="e">
        <f t="shared" si="1480"/>
        <v>#N/A</v>
      </c>
      <c r="J9610" s="12" t="e">
        <f t="shared" si="1481"/>
        <v>#N/A</v>
      </c>
      <c r="K9610" s="17" t="e">
        <f t="shared" si="1485"/>
        <v>#N/A</v>
      </c>
      <c r="L9610" s="16">
        <f>base!X9610</f>
        <v>0</v>
      </c>
      <c r="M9610" s="11" t="e">
        <f t="shared" si="1482"/>
        <v>#DIV/0!</v>
      </c>
      <c r="N9610" s="11"/>
      <c r="O9610" s="11" t="e">
        <f t="shared" si="1483"/>
        <v>#DIV/0!</v>
      </c>
      <c r="P9610" s="12">
        <f t="shared" si="1484"/>
        <v>0</v>
      </c>
      <c r="Q9610" s="17" t="str">
        <f t="shared" si="1486"/>
        <v>Pas d'écart</v>
      </c>
    </row>
    <row r="9611" spans="1:17" x14ac:dyDescent="0.3">
      <c r="A9611" s="34">
        <f>base!J9611</f>
        <v>0</v>
      </c>
      <c r="B9611" s="34">
        <f>base!V9611</f>
        <v>0</v>
      </c>
      <c r="C9611" s="40" t="s">
        <v>11</v>
      </c>
      <c r="D9611" s="36">
        <f>base!H9611</f>
        <v>0</v>
      </c>
      <c r="E9611" s="44"/>
      <c r="F9611" s="16">
        <f>base!W9611</f>
        <v>0</v>
      </c>
      <c r="G9611" s="11" t="e">
        <f t="shared" si="1478"/>
        <v>#DIV/0!</v>
      </c>
      <c r="H9611" s="11" t="e">
        <f t="shared" si="1479"/>
        <v>#N/A</v>
      </c>
      <c r="I9611" s="11" t="e">
        <f t="shared" si="1480"/>
        <v>#N/A</v>
      </c>
      <c r="J9611" s="12" t="e">
        <f t="shared" si="1481"/>
        <v>#N/A</v>
      </c>
      <c r="K9611" s="17" t="e">
        <f t="shared" si="1485"/>
        <v>#N/A</v>
      </c>
      <c r="L9611" s="16">
        <f>base!X9611</f>
        <v>0</v>
      </c>
      <c r="M9611" s="11" t="e">
        <f t="shared" si="1482"/>
        <v>#DIV/0!</v>
      </c>
      <c r="N9611" s="11"/>
      <c r="O9611" s="11" t="e">
        <f t="shared" si="1483"/>
        <v>#DIV/0!</v>
      </c>
      <c r="P9611" s="12">
        <f t="shared" si="1484"/>
        <v>0</v>
      </c>
      <c r="Q9611" s="17" t="str">
        <f t="shared" si="1486"/>
        <v>Pas d'écart</v>
      </c>
    </row>
    <row r="9612" spans="1:17" x14ac:dyDescent="0.3">
      <c r="A9612" s="34">
        <f>base!J9612</f>
        <v>0</v>
      </c>
      <c r="B9612" s="34">
        <f>base!V9612</f>
        <v>0</v>
      </c>
      <c r="C9612" s="40" t="s">
        <v>11</v>
      </c>
      <c r="D9612" s="36">
        <f>base!H9612</f>
        <v>0</v>
      </c>
      <c r="E9612" s="44"/>
      <c r="F9612" s="16">
        <f>base!W9612</f>
        <v>0</v>
      </c>
      <c r="G9612" s="11" t="e">
        <f t="shared" si="1478"/>
        <v>#DIV/0!</v>
      </c>
      <c r="H9612" s="11" t="e">
        <f t="shared" si="1479"/>
        <v>#N/A</v>
      </c>
      <c r="I9612" s="11" t="e">
        <f t="shared" si="1480"/>
        <v>#N/A</v>
      </c>
      <c r="J9612" s="12" t="e">
        <f t="shared" si="1481"/>
        <v>#N/A</v>
      </c>
      <c r="K9612" s="17" t="e">
        <f t="shared" si="1485"/>
        <v>#N/A</v>
      </c>
      <c r="L9612" s="16">
        <f>base!X9612</f>
        <v>0</v>
      </c>
      <c r="M9612" s="11" t="e">
        <f t="shared" si="1482"/>
        <v>#DIV/0!</v>
      </c>
      <c r="N9612" s="11"/>
      <c r="O9612" s="11" t="e">
        <f t="shared" si="1483"/>
        <v>#DIV/0!</v>
      </c>
      <c r="P9612" s="12">
        <f t="shared" si="1484"/>
        <v>0</v>
      </c>
      <c r="Q9612" s="17" t="str">
        <f t="shared" si="1486"/>
        <v>Pas d'écart</v>
      </c>
    </row>
    <row r="9613" spans="1:17" x14ac:dyDescent="0.3">
      <c r="A9613" s="34">
        <f>base!J9613</f>
        <v>0</v>
      </c>
      <c r="B9613" s="34">
        <f>base!V9613</f>
        <v>0</v>
      </c>
      <c r="C9613" s="40" t="s">
        <v>11</v>
      </c>
      <c r="D9613" s="36">
        <f>base!H9613</f>
        <v>0</v>
      </c>
      <c r="E9613" s="44"/>
      <c r="F9613" s="16">
        <f>base!W9613</f>
        <v>0</v>
      </c>
      <c r="G9613" s="11" t="e">
        <f t="shared" si="1478"/>
        <v>#DIV/0!</v>
      </c>
      <c r="H9613" s="11" t="e">
        <f t="shared" si="1479"/>
        <v>#N/A</v>
      </c>
      <c r="I9613" s="11" t="e">
        <f t="shared" si="1480"/>
        <v>#N/A</v>
      </c>
      <c r="J9613" s="12" t="e">
        <f t="shared" si="1481"/>
        <v>#N/A</v>
      </c>
      <c r="K9613" s="17" t="e">
        <f t="shared" si="1485"/>
        <v>#N/A</v>
      </c>
      <c r="L9613" s="16">
        <f>base!X9613</f>
        <v>0</v>
      </c>
      <c r="M9613" s="11" t="e">
        <f t="shared" si="1482"/>
        <v>#DIV/0!</v>
      </c>
      <c r="N9613" s="11"/>
      <c r="O9613" s="11" t="e">
        <f t="shared" si="1483"/>
        <v>#DIV/0!</v>
      </c>
      <c r="P9613" s="12">
        <f t="shared" si="1484"/>
        <v>0</v>
      </c>
      <c r="Q9613" s="17" t="str">
        <f t="shared" si="1486"/>
        <v>Pas d'écart</v>
      </c>
    </row>
    <row r="9614" spans="1:17" x14ac:dyDescent="0.3">
      <c r="A9614" s="34">
        <f>base!J9614</f>
        <v>0</v>
      </c>
      <c r="B9614" s="34">
        <f>base!V9614</f>
        <v>0</v>
      </c>
      <c r="C9614" s="40" t="s">
        <v>11</v>
      </c>
      <c r="D9614" s="36">
        <f>base!H9614</f>
        <v>0</v>
      </c>
      <c r="E9614" s="44"/>
      <c r="F9614" s="16">
        <f>base!W9614</f>
        <v>0</v>
      </c>
      <c r="G9614" s="11" t="e">
        <f t="shared" si="1478"/>
        <v>#DIV/0!</v>
      </c>
      <c r="H9614" s="11" t="e">
        <f t="shared" si="1479"/>
        <v>#N/A</v>
      </c>
      <c r="I9614" s="11" t="e">
        <f t="shared" si="1480"/>
        <v>#N/A</v>
      </c>
      <c r="J9614" s="12" t="e">
        <f t="shared" si="1481"/>
        <v>#N/A</v>
      </c>
      <c r="K9614" s="17" t="e">
        <f t="shared" si="1485"/>
        <v>#N/A</v>
      </c>
      <c r="L9614" s="16">
        <f>base!X9614</f>
        <v>0</v>
      </c>
      <c r="M9614" s="11" t="e">
        <f t="shared" si="1482"/>
        <v>#DIV/0!</v>
      </c>
      <c r="N9614" s="11"/>
      <c r="O9614" s="11" t="e">
        <f t="shared" si="1483"/>
        <v>#DIV/0!</v>
      </c>
      <c r="P9614" s="12">
        <f t="shared" si="1484"/>
        <v>0</v>
      </c>
      <c r="Q9614" s="17" t="str">
        <f t="shared" si="1486"/>
        <v>Pas d'écart</v>
      </c>
    </row>
    <row r="9615" spans="1:17" x14ac:dyDescent="0.3">
      <c r="A9615" s="34">
        <f>base!J9615</f>
        <v>0</v>
      </c>
      <c r="B9615" s="34">
        <f>base!V9615</f>
        <v>0</v>
      </c>
      <c r="C9615" s="40" t="s">
        <v>11</v>
      </c>
      <c r="D9615" s="36">
        <f>base!H9615</f>
        <v>0</v>
      </c>
      <c r="E9615" s="44"/>
      <c r="F9615" s="16">
        <f>base!W9615</f>
        <v>0</v>
      </c>
      <c r="G9615" s="11" t="e">
        <f t="shared" si="1478"/>
        <v>#DIV/0!</v>
      </c>
      <c r="H9615" s="11" t="e">
        <f t="shared" si="1479"/>
        <v>#N/A</v>
      </c>
      <c r="I9615" s="11" t="e">
        <f t="shared" si="1480"/>
        <v>#N/A</v>
      </c>
      <c r="J9615" s="12" t="e">
        <f t="shared" si="1481"/>
        <v>#N/A</v>
      </c>
      <c r="K9615" s="17" t="e">
        <f t="shared" si="1485"/>
        <v>#N/A</v>
      </c>
      <c r="L9615" s="16">
        <f>base!X9615</f>
        <v>0</v>
      </c>
      <c r="M9615" s="11" t="e">
        <f t="shared" si="1482"/>
        <v>#DIV/0!</v>
      </c>
      <c r="N9615" s="11"/>
      <c r="O9615" s="11" t="e">
        <f t="shared" si="1483"/>
        <v>#DIV/0!</v>
      </c>
      <c r="P9615" s="12">
        <f t="shared" si="1484"/>
        <v>0</v>
      </c>
      <c r="Q9615" s="17" t="str">
        <f t="shared" si="1486"/>
        <v>Pas d'écart</v>
      </c>
    </row>
    <row r="9616" spans="1:17" x14ac:dyDescent="0.3">
      <c r="A9616" s="34">
        <f>base!J9616</f>
        <v>0</v>
      </c>
      <c r="B9616" s="34">
        <f>base!V9616</f>
        <v>0</v>
      </c>
      <c r="C9616" s="40" t="s">
        <v>11</v>
      </c>
      <c r="D9616" s="36">
        <f>base!H9616</f>
        <v>0</v>
      </c>
      <c r="E9616" s="44"/>
      <c r="F9616" s="16">
        <f>base!W9616</f>
        <v>0</v>
      </c>
      <c r="G9616" s="11" t="e">
        <f t="shared" si="1478"/>
        <v>#DIV/0!</v>
      </c>
      <c r="H9616" s="11" t="e">
        <f t="shared" si="1479"/>
        <v>#N/A</v>
      </c>
      <c r="I9616" s="11" t="e">
        <f t="shared" si="1480"/>
        <v>#N/A</v>
      </c>
      <c r="J9616" s="12" t="e">
        <f t="shared" si="1481"/>
        <v>#N/A</v>
      </c>
      <c r="K9616" s="17" t="e">
        <f t="shared" si="1485"/>
        <v>#N/A</v>
      </c>
      <c r="L9616" s="16">
        <f>base!X9616</f>
        <v>0</v>
      </c>
      <c r="M9616" s="11" t="e">
        <f t="shared" si="1482"/>
        <v>#DIV/0!</v>
      </c>
      <c r="N9616" s="11"/>
      <c r="O9616" s="11" t="e">
        <f t="shared" si="1483"/>
        <v>#DIV/0!</v>
      </c>
      <c r="P9616" s="12">
        <f t="shared" si="1484"/>
        <v>0</v>
      </c>
      <c r="Q9616" s="17" t="str">
        <f t="shared" si="1486"/>
        <v>Pas d'écart</v>
      </c>
    </row>
    <row r="9617" spans="1:17" x14ac:dyDescent="0.3">
      <c r="A9617" s="34">
        <f>base!J9617</f>
        <v>0</v>
      </c>
      <c r="B9617" s="34">
        <f>base!V9617</f>
        <v>0</v>
      </c>
      <c r="C9617" s="40" t="s">
        <v>11</v>
      </c>
      <c r="D9617" s="36">
        <f>base!H9617</f>
        <v>0</v>
      </c>
      <c r="E9617" s="44"/>
      <c r="F9617" s="16">
        <f>base!W9617</f>
        <v>0</v>
      </c>
      <c r="G9617" s="11" t="e">
        <f t="shared" si="1478"/>
        <v>#DIV/0!</v>
      </c>
      <c r="H9617" s="11" t="e">
        <f t="shared" si="1479"/>
        <v>#N/A</v>
      </c>
      <c r="I9617" s="11" t="e">
        <f t="shared" si="1480"/>
        <v>#N/A</v>
      </c>
      <c r="J9617" s="12" t="e">
        <f t="shared" si="1481"/>
        <v>#N/A</v>
      </c>
      <c r="K9617" s="17" t="e">
        <f t="shared" si="1485"/>
        <v>#N/A</v>
      </c>
      <c r="L9617" s="16">
        <f>base!X9617</f>
        <v>0</v>
      </c>
      <c r="M9617" s="11" t="e">
        <f t="shared" si="1482"/>
        <v>#DIV/0!</v>
      </c>
      <c r="N9617" s="11"/>
      <c r="O9617" s="11" t="e">
        <f t="shared" si="1483"/>
        <v>#DIV/0!</v>
      </c>
      <c r="P9617" s="12">
        <f t="shared" si="1484"/>
        <v>0</v>
      </c>
      <c r="Q9617" s="17" t="str">
        <f t="shared" si="1486"/>
        <v>Pas d'écart</v>
      </c>
    </row>
    <row r="9618" spans="1:17" x14ac:dyDescent="0.3">
      <c r="A9618" s="34">
        <f>base!J9618</f>
        <v>0</v>
      </c>
      <c r="B9618" s="34">
        <f>base!V9618</f>
        <v>0</v>
      </c>
      <c r="C9618" s="40" t="s">
        <v>11</v>
      </c>
      <c r="D9618" s="36">
        <f>base!H9618</f>
        <v>0</v>
      </c>
      <c r="E9618" s="44"/>
      <c r="F9618" s="16">
        <f>base!W9618</f>
        <v>0</v>
      </c>
      <c r="G9618" s="11" t="e">
        <f t="shared" si="1478"/>
        <v>#DIV/0!</v>
      </c>
      <c r="H9618" s="11" t="e">
        <f t="shared" si="1479"/>
        <v>#N/A</v>
      </c>
      <c r="I9618" s="11" t="e">
        <f t="shared" si="1480"/>
        <v>#N/A</v>
      </c>
      <c r="J9618" s="12" t="e">
        <f t="shared" si="1481"/>
        <v>#N/A</v>
      </c>
      <c r="K9618" s="17" t="e">
        <f t="shared" si="1485"/>
        <v>#N/A</v>
      </c>
      <c r="L9618" s="16">
        <f>base!X9618</f>
        <v>0</v>
      </c>
      <c r="M9618" s="11" t="e">
        <f t="shared" si="1482"/>
        <v>#DIV/0!</v>
      </c>
      <c r="N9618" s="11"/>
      <c r="O9618" s="11" t="e">
        <f t="shared" si="1483"/>
        <v>#DIV/0!</v>
      </c>
      <c r="P9618" s="12">
        <f t="shared" si="1484"/>
        <v>0</v>
      </c>
      <c r="Q9618" s="17" t="str">
        <f t="shared" si="1486"/>
        <v>Pas d'écart</v>
      </c>
    </row>
    <row r="9619" spans="1:17" x14ac:dyDescent="0.3">
      <c r="A9619" s="34">
        <f>base!J9619</f>
        <v>0</v>
      </c>
      <c r="B9619" s="34">
        <f>base!V9619</f>
        <v>0</v>
      </c>
      <c r="C9619" s="40" t="s">
        <v>11</v>
      </c>
      <c r="D9619" s="36">
        <f>base!H9619</f>
        <v>0</v>
      </c>
      <c r="E9619" s="44"/>
      <c r="F9619" s="16">
        <f>base!W9619</f>
        <v>0</v>
      </c>
      <c r="G9619" s="11" t="e">
        <f t="shared" si="1478"/>
        <v>#DIV/0!</v>
      </c>
      <c r="H9619" s="11" t="e">
        <f t="shared" si="1479"/>
        <v>#N/A</v>
      </c>
      <c r="I9619" s="11" t="e">
        <f t="shared" si="1480"/>
        <v>#N/A</v>
      </c>
      <c r="J9619" s="12" t="e">
        <f t="shared" si="1481"/>
        <v>#N/A</v>
      </c>
      <c r="K9619" s="17" t="e">
        <f t="shared" si="1485"/>
        <v>#N/A</v>
      </c>
      <c r="L9619" s="16">
        <f>base!X9619</f>
        <v>0</v>
      </c>
      <c r="M9619" s="11" t="e">
        <f t="shared" si="1482"/>
        <v>#DIV/0!</v>
      </c>
      <c r="N9619" s="11"/>
      <c r="O9619" s="11" t="e">
        <f t="shared" si="1483"/>
        <v>#DIV/0!</v>
      </c>
      <c r="P9619" s="12">
        <f t="shared" si="1484"/>
        <v>0</v>
      </c>
      <c r="Q9619" s="17" t="str">
        <f t="shared" si="1486"/>
        <v>Pas d'écart</v>
      </c>
    </row>
    <row r="9620" spans="1:17" x14ac:dyDescent="0.3">
      <c r="A9620" s="34">
        <f>base!J9620</f>
        <v>0</v>
      </c>
      <c r="B9620" s="34">
        <f>base!V9620</f>
        <v>0</v>
      </c>
      <c r="C9620" s="40" t="s">
        <v>11</v>
      </c>
      <c r="D9620" s="36">
        <f>base!H9620</f>
        <v>0</v>
      </c>
      <c r="E9620" s="44"/>
      <c r="F9620" s="16">
        <f>base!W9620</f>
        <v>0</v>
      </c>
      <c r="G9620" s="11" t="e">
        <f t="shared" si="1478"/>
        <v>#DIV/0!</v>
      </c>
      <c r="H9620" s="11" t="e">
        <f t="shared" si="1479"/>
        <v>#N/A</v>
      </c>
      <c r="I9620" s="11" t="e">
        <f t="shared" si="1480"/>
        <v>#N/A</v>
      </c>
      <c r="J9620" s="12" t="e">
        <f t="shared" si="1481"/>
        <v>#N/A</v>
      </c>
      <c r="K9620" s="17" t="e">
        <f t="shared" si="1485"/>
        <v>#N/A</v>
      </c>
      <c r="L9620" s="16">
        <f>base!X9620</f>
        <v>0</v>
      </c>
      <c r="M9620" s="11" t="e">
        <f t="shared" si="1482"/>
        <v>#DIV/0!</v>
      </c>
      <c r="N9620" s="11"/>
      <c r="O9620" s="11" t="e">
        <f t="shared" si="1483"/>
        <v>#DIV/0!</v>
      </c>
      <c r="P9620" s="12">
        <f t="shared" si="1484"/>
        <v>0</v>
      </c>
      <c r="Q9620" s="17" t="str">
        <f t="shared" si="1486"/>
        <v>Pas d'écart</v>
      </c>
    </row>
    <row r="9621" spans="1:17" x14ac:dyDescent="0.3">
      <c r="A9621" s="34">
        <f>base!J9621</f>
        <v>0</v>
      </c>
      <c r="B9621" s="34">
        <f>base!V9621</f>
        <v>0</v>
      </c>
      <c r="C9621" s="40" t="s">
        <v>11</v>
      </c>
      <c r="D9621" s="36">
        <f>base!H9621</f>
        <v>0</v>
      </c>
      <c r="E9621" s="44"/>
      <c r="F9621" s="16">
        <f>base!W9621</f>
        <v>0</v>
      </c>
      <c r="G9621" s="11" t="e">
        <f t="shared" si="1478"/>
        <v>#DIV/0!</v>
      </c>
      <c r="H9621" s="11" t="e">
        <f t="shared" si="1479"/>
        <v>#N/A</v>
      </c>
      <c r="I9621" s="11" t="e">
        <f t="shared" si="1480"/>
        <v>#N/A</v>
      </c>
      <c r="J9621" s="12" t="e">
        <f t="shared" si="1481"/>
        <v>#N/A</v>
      </c>
      <c r="K9621" s="17" t="e">
        <f t="shared" si="1485"/>
        <v>#N/A</v>
      </c>
      <c r="L9621" s="16">
        <f>base!X9621</f>
        <v>0</v>
      </c>
      <c r="M9621" s="11" t="e">
        <f t="shared" si="1482"/>
        <v>#DIV/0!</v>
      </c>
      <c r="N9621" s="11"/>
      <c r="O9621" s="11" t="e">
        <f t="shared" si="1483"/>
        <v>#DIV/0!</v>
      </c>
      <c r="P9621" s="12">
        <f t="shared" si="1484"/>
        <v>0</v>
      </c>
      <c r="Q9621" s="17" t="str">
        <f t="shared" si="1486"/>
        <v>Pas d'écart</v>
      </c>
    </row>
    <row r="9622" spans="1:17" x14ac:dyDescent="0.3">
      <c r="A9622" s="34">
        <f>base!J9622</f>
        <v>0</v>
      </c>
      <c r="B9622" s="34">
        <f>base!V9622</f>
        <v>0</v>
      </c>
      <c r="C9622" s="40" t="s">
        <v>11</v>
      </c>
      <c r="D9622" s="36">
        <f>base!H9622</f>
        <v>0</v>
      </c>
      <c r="E9622" s="44"/>
      <c r="F9622" s="16">
        <f>base!W9622</f>
        <v>0</v>
      </c>
      <c r="G9622" s="11" t="e">
        <f t="shared" si="1478"/>
        <v>#DIV/0!</v>
      </c>
      <c r="H9622" s="11" t="e">
        <f t="shared" si="1479"/>
        <v>#N/A</v>
      </c>
      <c r="I9622" s="11" t="e">
        <f t="shared" si="1480"/>
        <v>#N/A</v>
      </c>
      <c r="J9622" s="12" t="e">
        <f t="shared" si="1481"/>
        <v>#N/A</v>
      </c>
      <c r="K9622" s="17" t="e">
        <f t="shared" si="1485"/>
        <v>#N/A</v>
      </c>
      <c r="L9622" s="16">
        <f>base!X9622</f>
        <v>0</v>
      </c>
      <c r="M9622" s="11" t="e">
        <f t="shared" si="1482"/>
        <v>#DIV/0!</v>
      </c>
      <c r="N9622" s="11"/>
      <c r="O9622" s="11" t="e">
        <f t="shared" si="1483"/>
        <v>#DIV/0!</v>
      </c>
      <c r="P9622" s="12">
        <f t="shared" si="1484"/>
        <v>0</v>
      </c>
      <c r="Q9622" s="17" t="str">
        <f t="shared" si="1486"/>
        <v>Pas d'écart</v>
      </c>
    </row>
    <row r="9623" spans="1:17" x14ac:dyDescent="0.3">
      <c r="A9623" s="34">
        <f>base!J9623</f>
        <v>0</v>
      </c>
      <c r="B9623" s="34">
        <f>base!V9623</f>
        <v>0</v>
      </c>
      <c r="C9623" s="40" t="s">
        <v>11</v>
      </c>
      <c r="D9623" s="36">
        <f>base!H9623</f>
        <v>0</v>
      </c>
      <c r="E9623" s="44"/>
      <c r="F9623" s="16">
        <f>base!W9623</f>
        <v>0</v>
      </c>
      <c r="G9623" s="11" t="e">
        <f t="shared" si="1478"/>
        <v>#DIV/0!</v>
      </c>
      <c r="H9623" s="11" t="e">
        <f t="shared" si="1479"/>
        <v>#N/A</v>
      </c>
      <c r="I9623" s="11" t="e">
        <f t="shared" si="1480"/>
        <v>#N/A</v>
      </c>
      <c r="J9623" s="12" t="e">
        <f t="shared" si="1481"/>
        <v>#N/A</v>
      </c>
      <c r="K9623" s="17" t="e">
        <f t="shared" si="1485"/>
        <v>#N/A</v>
      </c>
      <c r="L9623" s="16">
        <f>base!X9623</f>
        <v>0</v>
      </c>
      <c r="M9623" s="11" t="e">
        <f t="shared" si="1482"/>
        <v>#DIV/0!</v>
      </c>
      <c r="N9623" s="11"/>
      <c r="O9623" s="11" t="e">
        <f t="shared" si="1483"/>
        <v>#DIV/0!</v>
      </c>
      <c r="P9623" s="12">
        <f t="shared" si="1484"/>
        <v>0</v>
      </c>
      <c r="Q9623" s="17" t="str">
        <f t="shared" si="1486"/>
        <v>Pas d'écart</v>
      </c>
    </row>
    <row r="9624" spans="1:17" x14ac:dyDescent="0.3">
      <c r="A9624" s="34">
        <f>base!J9624</f>
        <v>0</v>
      </c>
      <c r="B9624" s="34">
        <f>base!V9624</f>
        <v>0</v>
      </c>
      <c r="C9624" s="40" t="s">
        <v>11</v>
      </c>
      <c r="D9624" s="36">
        <f>base!H9624</f>
        <v>0</v>
      </c>
      <c r="E9624" s="44"/>
      <c r="F9624" s="16">
        <f>base!W9624</f>
        <v>0</v>
      </c>
      <c r="G9624" s="11" t="e">
        <f t="shared" si="1478"/>
        <v>#DIV/0!</v>
      </c>
      <c r="H9624" s="11" t="e">
        <f t="shared" si="1479"/>
        <v>#N/A</v>
      </c>
      <c r="I9624" s="11" t="e">
        <f t="shared" si="1480"/>
        <v>#N/A</v>
      </c>
      <c r="J9624" s="12" t="e">
        <f t="shared" si="1481"/>
        <v>#N/A</v>
      </c>
      <c r="K9624" s="17" t="e">
        <f t="shared" si="1485"/>
        <v>#N/A</v>
      </c>
      <c r="L9624" s="16">
        <f>base!X9624</f>
        <v>0</v>
      </c>
      <c r="M9624" s="11" t="e">
        <f t="shared" si="1482"/>
        <v>#DIV/0!</v>
      </c>
      <c r="N9624" s="11"/>
      <c r="O9624" s="11" t="e">
        <f t="shared" si="1483"/>
        <v>#DIV/0!</v>
      </c>
      <c r="P9624" s="12">
        <f t="shared" si="1484"/>
        <v>0</v>
      </c>
      <c r="Q9624" s="17" t="str">
        <f t="shared" si="1486"/>
        <v>Pas d'écart</v>
      </c>
    </row>
    <row r="9625" spans="1:17" x14ac:dyDescent="0.3">
      <c r="A9625" s="34">
        <f>base!J9625</f>
        <v>0</v>
      </c>
      <c r="B9625" s="34">
        <f>base!V9625</f>
        <v>0</v>
      </c>
      <c r="C9625" s="40" t="s">
        <v>11</v>
      </c>
      <c r="D9625" s="36">
        <f>base!H9625</f>
        <v>0</v>
      </c>
      <c r="E9625" s="44"/>
      <c r="F9625" s="16">
        <f>base!W9625</f>
        <v>0</v>
      </c>
      <c r="G9625" s="11" t="e">
        <f t="shared" si="1478"/>
        <v>#DIV/0!</v>
      </c>
      <c r="H9625" s="11" t="e">
        <f t="shared" si="1479"/>
        <v>#N/A</v>
      </c>
      <c r="I9625" s="11" t="e">
        <f t="shared" si="1480"/>
        <v>#N/A</v>
      </c>
      <c r="J9625" s="12" t="e">
        <f t="shared" si="1481"/>
        <v>#N/A</v>
      </c>
      <c r="K9625" s="17" t="e">
        <f t="shared" si="1485"/>
        <v>#N/A</v>
      </c>
      <c r="L9625" s="16">
        <f>base!X9625</f>
        <v>0</v>
      </c>
      <c r="M9625" s="11" t="e">
        <f t="shared" si="1482"/>
        <v>#DIV/0!</v>
      </c>
      <c r="N9625" s="11"/>
      <c r="O9625" s="11" t="e">
        <f t="shared" si="1483"/>
        <v>#DIV/0!</v>
      </c>
      <c r="P9625" s="12">
        <f t="shared" si="1484"/>
        <v>0</v>
      </c>
      <c r="Q9625" s="17" t="str">
        <f t="shared" si="1486"/>
        <v>Pas d'écart</v>
      </c>
    </row>
    <row r="9626" spans="1:17" x14ac:dyDescent="0.3">
      <c r="A9626" s="34">
        <f>base!J9626</f>
        <v>0</v>
      </c>
      <c r="B9626" s="34">
        <f>base!V9626</f>
        <v>0</v>
      </c>
      <c r="C9626" s="40" t="s">
        <v>11</v>
      </c>
      <c r="D9626" s="36">
        <f>base!H9626</f>
        <v>0</v>
      </c>
      <c r="E9626" s="44"/>
      <c r="F9626" s="16">
        <f>base!W9626</f>
        <v>0</v>
      </c>
      <c r="G9626" s="11" t="e">
        <f t="shared" si="1478"/>
        <v>#DIV/0!</v>
      </c>
      <c r="H9626" s="11" t="e">
        <f t="shared" si="1479"/>
        <v>#N/A</v>
      </c>
      <c r="I9626" s="11" t="e">
        <f t="shared" si="1480"/>
        <v>#N/A</v>
      </c>
      <c r="J9626" s="12" t="e">
        <f t="shared" si="1481"/>
        <v>#N/A</v>
      </c>
      <c r="K9626" s="17" t="e">
        <f t="shared" si="1485"/>
        <v>#N/A</v>
      </c>
      <c r="L9626" s="16">
        <f>base!X9626</f>
        <v>0</v>
      </c>
      <c r="M9626" s="11" t="e">
        <f t="shared" si="1482"/>
        <v>#DIV/0!</v>
      </c>
      <c r="N9626" s="11"/>
      <c r="O9626" s="11" t="e">
        <f t="shared" si="1483"/>
        <v>#DIV/0!</v>
      </c>
      <c r="P9626" s="12">
        <f t="shared" si="1484"/>
        <v>0</v>
      </c>
      <c r="Q9626" s="17" t="str">
        <f t="shared" si="1486"/>
        <v>Pas d'écart</v>
      </c>
    </row>
    <row r="9627" spans="1:17" x14ac:dyDescent="0.3">
      <c r="A9627" s="34">
        <f>base!J9627</f>
        <v>0</v>
      </c>
      <c r="B9627" s="34">
        <f>base!V9627</f>
        <v>0</v>
      </c>
      <c r="C9627" s="40" t="s">
        <v>11</v>
      </c>
      <c r="D9627" s="36">
        <f>base!H9627</f>
        <v>0</v>
      </c>
      <c r="E9627" s="44"/>
      <c r="F9627" s="16">
        <f>base!W9627</f>
        <v>0</v>
      </c>
      <c r="G9627" s="11" t="e">
        <f t="shared" si="1478"/>
        <v>#DIV/0!</v>
      </c>
      <c r="H9627" s="11" t="e">
        <f t="shared" si="1479"/>
        <v>#N/A</v>
      </c>
      <c r="I9627" s="11" t="e">
        <f t="shared" si="1480"/>
        <v>#N/A</v>
      </c>
      <c r="J9627" s="12" t="e">
        <f t="shared" si="1481"/>
        <v>#N/A</v>
      </c>
      <c r="K9627" s="17" t="e">
        <f t="shared" si="1485"/>
        <v>#N/A</v>
      </c>
      <c r="L9627" s="16">
        <f>base!X9627</f>
        <v>0</v>
      </c>
      <c r="M9627" s="11" t="e">
        <f t="shared" si="1482"/>
        <v>#DIV/0!</v>
      </c>
      <c r="N9627" s="11"/>
      <c r="O9627" s="11" t="e">
        <f t="shared" si="1483"/>
        <v>#DIV/0!</v>
      </c>
      <c r="P9627" s="12">
        <f t="shared" si="1484"/>
        <v>0</v>
      </c>
      <c r="Q9627" s="17" t="str">
        <f t="shared" si="1486"/>
        <v>Pas d'écart</v>
      </c>
    </row>
    <row r="9628" spans="1:17" x14ac:dyDescent="0.3">
      <c r="A9628" s="34">
        <f>base!J9628</f>
        <v>0</v>
      </c>
      <c r="B9628" s="34">
        <f>base!V9628</f>
        <v>0</v>
      </c>
      <c r="C9628" s="40" t="s">
        <v>11</v>
      </c>
      <c r="D9628" s="36">
        <f>base!H9628</f>
        <v>0</v>
      </c>
      <c r="E9628" s="44"/>
      <c r="F9628" s="16">
        <f>base!W9628</f>
        <v>0</v>
      </c>
      <c r="G9628" s="11" t="e">
        <f t="shared" si="1478"/>
        <v>#DIV/0!</v>
      </c>
      <c r="H9628" s="11" t="e">
        <f t="shared" si="1479"/>
        <v>#N/A</v>
      </c>
      <c r="I9628" s="11" t="e">
        <f t="shared" si="1480"/>
        <v>#N/A</v>
      </c>
      <c r="J9628" s="12" t="e">
        <f t="shared" si="1481"/>
        <v>#N/A</v>
      </c>
      <c r="K9628" s="17" t="e">
        <f t="shared" si="1485"/>
        <v>#N/A</v>
      </c>
      <c r="L9628" s="16">
        <f>base!X9628</f>
        <v>0</v>
      </c>
      <c r="M9628" s="11" t="e">
        <f t="shared" si="1482"/>
        <v>#DIV/0!</v>
      </c>
      <c r="N9628" s="11"/>
      <c r="O9628" s="11" t="e">
        <f t="shared" si="1483"/>
        <v>#DIV/0!</v>
      </c>
      <c r="P9628" s="12">
        <f t="shared" si="1484"/>
        <v>0</v>
      </c>
      <c r="Q9628" s="17" t="str">
        <f t="shared" si="1486"/>
        <v>Pas d'écart</v>
      </c>
    </row>
    <row r="9629" spans="1:17" x14ac:dyDescent="0.3">
      <c r="A9629" s="34">
        <f>base!J9629</f>
        <v>0</v>
      </c>
      <c r="B9629" s="34">
        <f>base!V9629</f>
        <v>0</v>
      </c>
      <c r="C9629" s="40" t="s">
        <v>11</v>
      </c>
      <c r="D9629" s="36">
        <f>base!H9629</f>
        <v>0</v>
      </c>
      <c r="E9629" s="44"/>
      <c r="F9629" s="16">
        <f>base!W9629</f>
        <v>0</v>
      </c>
      <c r="G9629" s="11" t="e">
        <f t="shared" si="1478"/>
        <v>#DIV/0!</v>
      </c>
      <c r="H9629" s="11" t="e">
        <f t="shared" si="1479"/>
        <v>#N/A</v>
      </c>
      <c r="I9629" s="11" t="e">
        <f t="shared" si="1480"/>
        <v>#N/A</v>
      </c>
      <c r="J9629" s="12" t="e">
        <f t="shared" si="1481"/>
        <v>#N/A</v>
      </c>
      <c r="K9629" s="17" t="e">
        <f t="shared" si="1485"/>
        <v>#N/A</v>
      </c>
      <c r="L9629" s="16">
        <f>base!X9629</f>
        <v>0</v>
      </c>
      <c r="M9629" s="11" t="e">
        <f t="shared" si="1482"/>
        <v>#DIV/0!</v>
      </c>
      <c r="N9629" s="11"/>
      <c r="O9629" s="11" t="e">
        <f t="shared" si="1483"/>
        <v>#DIV/0!</v>
      </c>
      <c r="P9629" s="12">
        <f t="shared" si="1484"/>
        <v>0</v>
      </c>
      <c r="Q9629" s="17" t="str">
        <f t="shared" si="1486"/>
        <v>Pas d'écart</v>
      </c>
    </row>
    <row r="9630" spans="1:17" x14ac:dyDescent="0.3">
      <c r="A9630" s="34">
        <f>base!J9630</f>
        <v>0</v>
      </c>
      <c r="B9630" s="34">
        <f>base!V9630</f>
        <v>0</v>
      </c>
      <c r="C9630" s="40" t="s">
        <v>11</v>
      </c>
      <c r="D9630" s="36">
        <f>base!H9630</f>
        <v>0</v>
      </c>
      <c r="E9630" s="44"/>
      <c r="F9630" s="16">
        <f>base!W9630</f>
        <v>0</v>
      </c>
      <c r="G9630" s="11" t="e">
        <f t="shared" si="1478"/>
        <v>#DIV/0!</v>
      </c>
      <c r="H9630" s="11" t="e">
        <f t="shared" si="1479"/>
        <v>#N/A</v>
      </c>
      <c r="I9630" s="11" t="e">
        <f t="shared" si="1480"/>
        <v>#N/A</v>
      </c>
      <c r="J9630" s="12" t="e">
        <f t="shared" si="1481"/>
        <v>#N/A</v>
      </c>
      <c r="K9630" s="17" t="e">
        <f t="shared" si="1485"/>
        <v>#N/A</v>
      </c>
      <c r="L9630" s="16">
        <f>base!X9630</f>
        <v>0</v>
      </c>
      <c r="M9630" s="11" t="e">
        <f t="shared" si="1482"/>
        <v>#DIV/0!</v>
      </c>
      <c r="N9630" s="11"/>
      <c r="O9630" s="11" t="e">
        <f t="shared" si="1483"/>
        <v>#DIV/0!</v>
      </c>
      <c r="P9630" s="12">
        <f t="shared" si="1484"/>
        <v>0</v>
      </c>
      <c r="Q9630" s="17" t="str">
        <f t="shared" si="1486"/>
        <v>Pas d'écart</v>
      </c>
    </row>
    <row r="9631" spans="1:17" x14ac:dyDescent="0.3">
      <c r="A9631" s="34">
        <f>base!J9631</f>
        <v>0</v>
      </c>
      <c r="B9631" s="34">
        <f>base!V9631</f>
        <v>0</v>
      </c>
      <c r="C9631" s="40" t="s">
        <v>11</v>
      </c>
      <c r="D9631" s="36">
        <f>base!H9631</f>
        <v>0</v>
      </c>
      <c r="E9631" s="44"/>
      <c r="F9631" s="16">
        <f>base!W9631</f>
        <v>0</v>
      </c>
      <c r="G9631" s="11" t="e">
        <f t="shared" si="1478"/>
        <v>#DIV/0!</v>
      </c>
      <c r="H9631" s="11" t="e">
        <f t="shared" si="1479"/>
        <v>#N/A</v>
      </c>
      <c r="I9631" s="11" t="e">
        <f t="shared" si="1480"/>
        <v>#N/A</v>
      </c>
      <c r="J9631" s="12" t="e">
        <f t="shared" si="1481"/>
        <v>#N/A</v>
      </c>
      <c r="K9631" s="17" t="e">
        <f t="shared" si="1485"/>
        <v>#N/A</v>
      </c>
      <c r="L9631" s="16">
        <f>base!X9631</f>
        <v>0</v>
      </c>
      <c r="M9631" s="11" t="e">
        <f t="shared" si="1482"/>
        <v>#DIV/0!</v>
      </c>
      <c r="N9631" s="11"/>
      <c r="O9631" s="11" t="e">
        <f t="shared" si="1483"/>
        <v>#DIV/0!</v>
      </c>
      <c r="P9631" s="12">
        <f t="shared" si="1484"/>
        <v>0</v>
      </c>
      <c r="Q9631" s="17" t="str">
        <f t="shared" si="1486"/>
        <v>Pas d'écart</v>
      </c>
    </row>
    <row r="9632" spans="1:17" x14ac:dyDescent="0.3">
      <c r="A9632" s="34">
        <f>base!J9632</f>
        <v>0</v>
      </c>
      <c r="B9632" s="34">
        <f>base!V9632</f>
        <v>0</v>
      </c>
      <c r="C9632" s="40" t="s">
        <v>11</v>
      </c>
      <c r="D9632" s="36">
        <f>base!H9632</f>
        <v>0</v>
      </c>
      <c r="E9632" s="44"/>
      <c r="F9632" s="16">
        <f>base!W9632</f>
        <v>0</v>
      </c>
      <c r="G9632" s="11" t="e">
        <f t="shared" si="1478"/>
        <v>#DIV/0!</v>
      </c>
      <c r="H9632" s="11" t="e">
        <f t="shared" si="1479"/>
        <v>#N/A</v>
      </c>
      <c r="I9632" s="11" t="e">
        <f t="shared" si="1480"/>
        <v>#N/A</v>
      </c>
      <c r="J9632" s="12" t="e">
        <f t="shared" si="1481"/>
        <v>#N/A</v>
      </c>
      <c r="K9632" s="17" t="e">
        <f t="shared" si="1485"/>
        <v>#N/A</v>
      </c>
      <c r="L9632" s="16">
        <f>base!X9632</f>
        <v>0</v>
      </c>
      <c r="M9632" s="11" t="e">
        <f t="shared" si="1482"/>
        <v>#DIV/0!</v>
      </c>
      <c r="N9632" s="11"/>
      <c r="O9632" s="11" t="e">
        <f t="shared" si="1483"/>
        <v>#DIV/0!</v>
      </c>
      <c r="P9632" s="12">
        <f t="shared" si="1484"/>
        <v>0</v>
      </c>
      <c r="Q9632" s="17" t="str">
        <f t="shared" si="1486"/>
        <v>Pas d'écart</v>
      </c>
    </row>
    <row r="9633" spans="1:17" x14ac:dyDescent="0.3">
      <c r="A9633" s="34">
        <f>base!J9633</f>
        <v>0</v>
      </c>
      <c r="B9633" s="34">
        <f>base!V9633</f>
        <v>0</v>
      </c>
      <c r="C9633" s="40" t="s">
        <v>11</v>
      </c>
      <c r="D9633" s="36">
        <f>base!H9633</f>
        <v>0</v>
      </c>
      <c r="E9633" s="44"/>
      <c r="F9633" s="16">
        <f>base!W9633</f>
        <v>0</v>
      </c>
      <c r="G9633" s="11" t="e">
        <f t="shared" si="1478"/>
        <v>#DIV/0!</v>
      </c>
      <c r="H9633" s="11" t="e">
        <f t="shared" si="1479"/>
        <v>#N/A</v>
      </c>
      <c r="I9633" s="11" t="e">
        <f t="shared" si="1480"/>
        <v>#N/A</v>
      </c>
      <c r="J9633" s="12" t="e">
        <f t="shared" si="1481"/>
        <v>#N/A</v>
      </c>
      <c r="K9633" s="17" t="e">
        <f t="shared" si="1485"/>
        <v>#N/A</v>
      </c>
      <c r="L9633" s="16">
        <f>base!X9633</f>
        <v>0</v>
      </c>
      <c r="M9633" s="11" t="e">
        <f t="shared" si="1482"/>
        <v>#DIV/0!</v>
      </c>
      <c r="N9633" s="11"/>
      <c r="O9633" s="11" t="e">
        <f t="shared" si="1483"/>
        <v>#DIV/0!</v>
      </c>
      <c r="P9633" s="12">
        <f t="shared" si="1484"/>
        <v>0</v>
      </c>
      <c r="Q9633" s="17" t="str">
        <f t="shared" si="1486"/>
        <v>Pas d'écart</v>
      </c>
    </row>
    <row r="9634" spans="1:17" x14ac:dyDescent="0.3">
      <c r="A9634" s="34">
        <f>base!J9634</f>
        <v>0</v>
      </c>
      <c r="B9634" s="34">
        <f>base!V9634</f>
        <v>0</v>
      </c>
      <c r="C9634" s="40" t="s">
        <v>11</v>
      </c>
      <c r="D9634" s="36">
        <f>base!H9634</f>
        <v>0</v>
      </c>
      <c r="E9634" s="44"/>
      <c r="F9634" s="16">
        <f>base!W9634</f>
        <v>0</v>
      </c>
      <c r="G9634" s="11" t="e">
        <f t="shared" si="1478"/>
        <v>#DIV/0!</v>
      </c>
      <c r="H9634" s="11" t="e">
        <f t="shared" si="1479"/>
        <v>#N/A</v>
      </c>
      <c r="I9634" s="11" t="e">
        <f t="shared" si="1480"/>
        <v>#N/A</v>
      </c>
      <c r="J9634" s="12" t="e">
        <f t="shared" si="1481"/>
        <v>#N/A</v>
      </c>
      <c r="K9634" s="17" t="e">
        <f t="shared" si="1485"/>
        <v>#N/A</v>
      </c>
      <c r="L9634" s="16">
        <f>base!X9634</f>
        <v>0</v>
      </c>
      <c r="M9634" s="11" t="e">
        <f t="shared" si="1482"/>
        <v>#DIV/0!</v>
      </c>
      <c r="N9634" s="11"/>
      <c r="O9634" s="11" t="e">
        <f t="shared" si="1483"/>
        <v>#DIV/0!</v>
      </c>
      <c r="P9634" s="12">
        <f t="shared" si="1484"/>
        <v>0</v>
      </c>
      <c r="Q9634" s="17" t="str">
        <f t="shared" si="1486"/>
        <v>Pas d'écart</v>
      </c>
    </row>
    <row r="9635" spans="1:17" x14ac:dyDescent="0.3">
      <c r="A9635" s="34">
        <f>base!J9635</f>
        <v>0</v>
      </c>
      <c r="B9635" s="34">
        <f>base!V9635</f>
        <v>0</v>
      </c>
      <c r="C9635" s="40" t="s">
        <v>11</v>
      </c>
      <c r="D9635" s="36">
        <f>base!H9635</f>
        <v>0</v>
      </c>
      <c r="E9635" s="44"/>
      <c r="F9635" s="16">
        <f>base!W9635</f>
        <v>0</v>
      </c>
      <c r="G9635" s="11" t="e">
        <f t="shared" si="1478"/>
        <v>#DIV/0!</v>
      </c>
      <c r="H9635" s="11" t="e">
        <f t="shared" si="1479"/>
        <v>#N/A</v>
      </c>
      <c r="I9635" s="11" t="e">
        <f t="shared" si="1480"/>
        <v>#N/A</v>
      </c>
      <c r="J9635" s="12" t="e">
        <f t="shared" si="1481"/>
        <v>#N/A</v>
      </c>
      <c r="K9635" s="17" t="e">
        <f t="shared" si="1485"/>
        <v>#N/A</v>
      </c>
      <c r="L9635" s="16">
        <f>base!X9635</f>
        <v>0</v>
      </c>
      <c r="M9635" s="11" t="e">
        <f t="shared" si="1482"/>
        <v>#DIV/0!</v>
      </c>
      <c r="N9635" s="11"/>
      <c r="O9635" s="11" t="e">
        <f t="shared" si="1483"/>
        <v>#DIV/0!</v>
      </c>
      <c r="P9635" s="12">
        <f t="shared" si="1484"/>
        <v>0</v>
      </c>
      <c r="Q9635" s="17" t="str">
        <f t="shared" si="1486"/>
        <v>Pas d'écart</v>
      </c>
    </row>
    <row r="9636" spans="1:17" x14ac:dyDescent="0.3">
      <c r="A9636" s="34">
        <f>base!J9636</f>
        <v>0</v>
      </c>
      <c r="B9636" s="34">
        <f>base!V9636</f>
        <v>0</v>
      </c>
      <c r="C9636" s="40" t="s">
        <v>11</v>
      </c>
      <c r="D9636" s="36">
        <f>base!H9636</f>
        <v>0</v>
      </c>
      <c r="E9636" s="44"/>
      <c r="F9636" s="16">
        <f>base!W9636</f>
        <v>0</v>
      </c>
      <c r="G9636" s="11" t="e">
        <f t="shared" si="1478"/>
        <v>#DIV/0!</v>
      </c>
      <c r="H9636" s="11" t="e">
        <f t="shared" si="1479"/>
        <v>#N/A</v>
      </c>
      <c r="I9636" s="11" t="e">
        <f t="shared" si="1480"/>
        <v>#N/A</v>
      </c>
      <c r="J9636" s="12" t="e">
        <f t="shared" si="1481"/>
        <v>#N/A</v>
      </c>
      <c r="K9636" s="17" t="e">
        <f t="shared" si="1485"/>
        <v>#N/A</v>
      </c>
      <c r="L9636" s="16">
        <f>base!X9636</f>
        <v>0</v>
      </c>
      <c r="M9636" s="11" t="e">
        <f t="shared" si="1482"/>
        <v>#DIV/0!</v>
      </c>
      <c r="N9636" s="11"/>
      <c r="O9636" s="11" t="e">
        <f t="shared" si="1483"/>
        <v>#DIV/0!</v>
      </c>
      <c r="P9636" s="12">
        <f t="shared" si="1484"/>
        <v>0</v>
      </c>
      <c r="Q9636" s="17" t="str">
        <f t="shared" si="1486"/>
        <v>Pas d'écart</v>
      </c>
    </row>
    <row r="9637" spans="1:17" x14ac:dyDescent="0.3">
      <c r="A9637" s="34">
        <f>base!J9637</f>
        <v>0</v>
      </c>
      <c r="B9637" s="34">
        <f>base!V9637</f>
        <v>0</v>
      </c>
      <c r="C9637" s="40" t="s">
        <v>11</v>
      </c>
      <c r="D9637" s="36">
        <f>base!H9637</f>
        <v>0</v>
      </c>
      <c r="E9637" s="44"/>
      <c r="F9637" s="16">
        <f>base!W9637</f>
        <v>0</v>
      </c>
      <c r="G9637" s="11" t="e">
        <f t="shared" si="1478"/>
        <v>#DIV/0!</v>
      </c>
      <c r="H9637" s="11" t="e">
        <f t="shared" si="1479"/>
        <v>#N/A</v>
      </c>
      <c r="I9637" s="11" t="e">
        <f t="shared" si="1480"/>
        <v>#N/A</v>
      </c>
      <c r="J9637" s="12" t="e">
        <f t="shared" si="1481"/>
        <v>#N/A</v>
      </c>
      <c r="K9637" s="17" t="e">
        <f t="shared" si="1485"/>
        <v>#N/A</v>
      </c>
      <c r="L9637" s="16">
        <f>base!X9637</f>
        <v>0</v>
      </c>
      <c r="M9637" s="11" t="e">
        <f t="shared" si="1482"/>
        <v>#DIV/0!</v>
      </c>
      <c r="N9637" s="11"/>
      <c r="O9637" s="11" t="e">
        <f t="shared" si="1483"/>
        <v>#DIV/0!</v>
      </c>
      <c r="P9637" s="12">
        <f t="shared" si="1484"/>
        <v>0</v>
      </c>
      <c r="Q9637" s="17" t="str">
        <f t="shared" si="1486"/>
        <v>Pas d'écart</v>
      </c>
    </row>
    <row r="9638" spans="1:17" x14ac:dyDescent="0.3">
      <c r="A9638" s="34">
        <f>base!J9638</f>
        <v>0</v>
      </c>
      <c r="B9638" s="34">
        <f>base!V9638</f>
        <v>0</v>
      </c>
      <c r="C9638" s="40" t="s">
        <v>11</v>
      </c>
      <c r="D9638" s="36">
        <f>base!H9638</f>
        <v>0</v>
      </c>
      <c r="E9638" s="44"/>
      <c r="F9638" s="16">
        <f>base!W9638</f>
        <v>0</v>
      </c>
      <c r="G9638" s="11" t="e">
        <f t="shared" si="1478"/>
        <v>#DIV/0!</v>
      </c>
      <c r="H9638" s="11" t="e">
        <f t="shared" si="1479"/>
        <v>#N/A</v>
      </c>
      <c r="I9638" s="11" t="e">
        <f t="shared" si="1480"/>
        <v>#N/A</v>
      </c>
      <c r="J9638" s="12" t="e">
        <f t="shared" si="1481"/>
        <v>#N/A</v>
      </c>
      <c r="K9638" s="17" t="e">
        <f t="shared" si="1485"/>
        <v>#N/A</v>
      </c>
      <c r="L9638" s="16">
        <f>base!X9638</f>
        <v>0</v>
      </c>
      <c r="M9638" s="11" t="e">
        <f t="shared" si="1482"/>
        <v>#DIV/0!</v>
      </c>
      <c r="N9638" s="11"/>
      <c r="O9638" s="11" t="e">
        <f t="shared" si="1483"/>
        <v>#DIV/0!</v>
      </c>
      <c r="P9638" s="12">
        <f t="shared" si="1484"/>
        <v>0</v>
      </c>
      <c r="Q9638" s="17" t="str">
        <f t="shared" si="1486"/>
        <v>Pas d'écart</v>
      </c>
    </row>
    <row r="9639" spans="1:17" x14ac:dyDescent="0.3">
      <c r="A9639" s="34">
        <f>base!J9639</f>
        <v>0</v>
      </c>
      <c r="B9639" s="34">
        <f>base!V9639</f>
        <v>0</v>
      </c>
      <c r="C9639" s="40" t="s">
        <v>11</v>
      </c>
      <c r="D9639" s="36">
        <f>base!H9639</f>
        <v>0</v>
      </c>
      <c r="E9639" s="44"/>
      <c r="F9639" s="16">
        <f>base!W9639</f>
        <v>0</v>
      </c>
      <c r="G9639" s="11" t="e">
        <f t="shared" si="1478"/>
        <v>#DIV/0!</v>
      </c>
      <c r="H9639" s="11" t="e">
        <f t="shared" si="1479"/>
        <v>#N/A</v>
      </c>
      <c r="I9639" s="11" t="e">
        <f t="shared" si="1480"/>
        <v>#N/A</v>
      </c>
      <c r="J9639" s="12" t="e">
        <f t="shared" si="1481"/>
        <v>#N/A</v>
      </c>
      <c r="K9639" s="17" t="e">
        <f t="shared" si="1485"/>
        <v>#N/A</v>
      </c>
      <c r="L9639" s="16">
        <f>base!X9639</f>
        <v>0</v>
      </c>
      <c r="M9639" s="11" t="e">
        <f t="shared" si="1482"/>
        <v>#DIV/0!</v>
      </c>
      <c r="N9639" s="11"/>
      <c r="O9639" s="11" t="e">
        <f t="shared" si="1483"/>
        <v>#DIV/0!</v>
      </c>
      <c r="P9639" s="12">
        <f t="shared" si="1484"/>
        <v>0</v>
      </c>
      <c r="Q9639" s="17" t="str">
        <f t="shared" si="1486"/>
        <v>Pas d'écart</v>
      </c>
    </row>
    <row r="9640" spans="1:17" x14ac:dyDescent="0.3">
      <c r="A9640" s="34">
        <f>base!J9640</f>
        <v>0</v>
      </c>
      <c r="B9640" s="34">
        <f>base!V9640</f>
        <v>0</v>
      </c>
      <c r="C9640" s="40" t="s">
        <v>11</v>
      </c>
      <c r="D9640" s="36">
        <f>base!H9640</f>
        <v>0</v>
      </c>
      <c r="E9640" s="44"/>
      <c r="F9640" s="16">
        <f>base!W9640</f>
        <v>0</v>
      </c>
      <c r="G9640" s="11" t="e">
        <f t="shared" si="1478"/>
        <v>#DIV/0!</v>
      </c>
      <c r="H9640" s="11" t="e">
        <f t="shared" si="1479"/>
        <v>#N/A</v>
      </c>
      <c r="I9640" s="11" t="e">
        <f t="shared" si="1480"/>
        <v>#N/A</v>
      </c>
      <c r="J9640" s="12" t="e">
        <f t="shared" si="1481"/>
        <v>#N/A</v>
      </c>
      <c r="K9640" s="17" t="e">
        <f t="shared" si="1485"/>
        <v>#N/A</v>
      </c>
      <c r="L9640" s="16">
        <f>base!X9640</f>
        <v>0</v>
      </c>
      <c r="M9640" s="11" t="e">
        <f t="shared" si="1482"/>
        <v>#DIV/0!</v>
      </c>
      <c r="N9640" s="11"/>
      <c r="O9640" s="11" t="e">
        <f t="shared" si="1483"/>
        <v>#DIV/0!</v>
      </c>
      <c r="P9640" s="12">
        <f t="shared" si="1484"/>
        <v>0</v>
      </c>
      <c r="Q9640" s="17" t="str">
        <f t="shared" si="1486"/>
        <v>Pas d'écart</v>
      </c>
    </row>
    <row r="9641" spans="1:17" x14ac:dyDescent="0.3">
      <c r="A9641" s="34">
        <f>base!J9641</f>
        <v>0</v>
      </c>
      <c r="B9641" s="34">
        <f>base!V9641</f>
        <v>0</v>
      </c>
      <c r="C9641" s="40" t="s">
        <v>11</v>
      </c>
      <c r="D9641" s="36">
        <f>base!H9641</f>
        <v>0</v>
      </c>
      <c r="E9641" s="44"/>
      <c r="F9641" s="16">
        <f>base!W9641</f>
        <v>0</v>
      </c>
      <c r="G9641" s="11" t="e">
        <f t="shared" si="1478"/>
        <v>#DIV/0!</v>
      </c>
      <c r="H9641" s="11" t="e">
        <f t="shared" si="1479"/>
        <v>#N/A</v>
      </c>
      <c r="I9641" s="11" t="e">
        <f t="shared" si="1480"/>
        <v>#N/A</v>
      </c>
      <c r="J9641" s="12" t="e">
        <f t="shared" si="1481"/>
        <v>#N/A</v>
      </c>
      <c r="K9641" s="17" t="e">
        <f t="shared" si="1485"/>
        <v>#N/A</v>
      </c>
      <c r="L9641" s="16">
        <f>base!X9641</f>
        <v>0</v>
      </c>
      <c r="M9641" s="11" t="e">
        <f t="shared" si="1482"/>
        <v>#DIV/0!</v>
      </c>
      <c r="N9641" s="11"/>
      <c r="O9641" s="11" t="e">
        <f t="shared" si="1483"/>
        <v>#DIV/0!</v>
      </c>
      <c r="P9641" s="12">
        <f t="shared" si="1484"/>
        <v>0</v>
      </c>
      <c r="Q9641" s="17" t="str">
        <f t="shared" si="1486"/>
        <v>Pas d'écart</v>
      </c>
    </row>
    <row r="9642" spans="1:17" x14ac:dyDescent="0.3">
      <c r="A9642" s="34">
        <f>base!J9642</f>
        <v>0</v>
      </c>
      <c r="B9642" s="34">
        <f>base!V9642</f>
        <v>0</v>
      </c>
      <c r="C9642" s="40" t="s">
        <v>11</v>
      </c>
      <c r="D9642" s="36">
        <f>base!H9642</f>
        <v>0</v>
      </c>
      <c r="E9642" s="44"/>
      <c r="F9642" s="16">
        <f>base!W9642</f>
        <v>0</v>
      </c>
      <c r="G9642" s="11" t="e">
        <f t="shared" si="1478"/>
        <v>#DIV/0!</v>
      </c>
      <c r="H9642" s="11" t="e">
        <f t="shared" si="1479"/>
        <v>#N/A</v>
      </c>
      <c r="I9642" s="11" t="e">
        <f t="shared" si="1480"/>
        <v>#N/A</v>
      </c>
      <c r="J9642" s="12" t="e">
        <f t="shared" si="1481"/>
        <v>#N/A</v>
      </c>
      <c r="K9642" s="17" t="e">
        <f t="shared" si="1485"/>
        <v>#N/A</v>
      </c>
      <c r="L9642" s="16">
        <f>base!X9642</f>
        <v>0</v>
      </c>
      <c r="M9642" s="11" t="e">
        <f t="shared" si="1482"/>
        <v>#DIV/0!</v>
      </c>
      <c r="N9642" s="11"/>
      <c r="O9642" s="11" t="e">
        <f t="shared" si="1483"/>
        <v>#DIV/0!</v>
      </c>
      <c r="P9642" s="12">
        <f t="shared" si="1484"/>
        <v>0</v>
      </c>
      <c r="Q9642" s="17" t="str">
        <f t="shared" si="1486"/>
        <v>Pas d'écart</v>
      </c>
    </row>
    <row r="9643" spans="1:17" x14ac:dyDescent="0.3">
      <c r="A9643" s="34">
        <f>base!J9643</f>
        <v>0</v>
      </c>
      <c r="B9643" s="34">
        <f>base!V9643</f>
        <v>0</v>
      </c>
      <c r="C9643" s="40" t="s">
        <v>11</v>
      </c>
      <c r="D9643" s="36">
        <f>base!H9643</f>
        <v>0</v>
      </c>
      <c r="E9643" s="44"/>
      <c r="F9643" s="16">
        <f>base!W9643</f>
        <v>0</v>
      </c>
      <c r="G9643" s="11" t="e">
        <f t="shared" si="1478"/>
        <v>#DIV/0!</v>
      </c>
      <c r="H9643" s="11" t="e">
        <f t="shared" si="1479"/>
        <v>#N/A</v>
      </c>
      <c r="I9643" s="11" t="e">
        <f t="shared" si="1480"/>
        <v>#N/A</v>
      </c>
      <c r="J9643" s="12" t="e">
        <f t="shared" si="1481"/>
        <v>#N/A</v>
      </c>
      <c r="K9643" s="17" t="e">
        <f t="shared" si="1485"/>
        <v>#N/A</v>
      </c>
      <c r="L9643" s="16">
        <f>base!X9643</f>
        <v>0</v>
      </c>
      <c r="M9643" s="11" t="e">
        <f t="shared" si="1482"/>
        <v>#DIV/0!</v>
      </c>
      <c r="N9643" s="11"/>
      <c r="O9643" s="11" t="e">
        <f t="shared" si="1483"/>
        <v>#DIV/0!</v>
      </c>
      <c r="P9643" s="12">
        <f t="shared" si="1484"/>
        <v>0</v>
      </c>
      <c r="Q9643" s="17" t="str">
        <f t="shared" si="1486"/>
        <v>Pas d'écart</v>
      </c>
    </row>
    <row r="9644" spans="1:17" x14ac:dyDescent="0.3">
      <c r="A9644" s="34">
        <f>base!J9644</f>
        <v>0</v>
      </c>
      <c r="B9644" s="34">
        <f>base!V9644</f>
        <v>0</v>
      </c>
      <c r="C9644" s="40" t="s">
        <v>11</v>
      </c>
      <c r="D9644" s="36">
        <f>base!H9644</f>
        <v>0</v>
      </c>
      <c r="E9644" s="44"/>
      <c r="F9644" s="16">
        <f>base!W9644</f>
        <v>0</v>
      </c>
      <c r="G9644" s="11" t="e">
        <f t="shared" si="1478"/>
        <v>#DIV/0!</v>
      </c>
      <c r="H9644" s="11" t="e">
        <f t="shared" si="1479"/>
        <v>#N/A</v>
      </c>
      <c r="I9644" s="11" t="e">
        <f t="shared" si="1480"/>
        <v>#N/A</v>
      </c>
      <c r="J9644" s="12" t="e">
        <f t="shared" si="1481"/>
        <v>#N/A</v>
      </c>
      <c r="K9644" s="17" t="e">
        <f t="shared" si="1485"/>
        <v>#N/A</v>
      </c>
      <c r="L9644" s="16">
        <f>base!X9644</f>
        <v>0</v>
      </c>
      <c r="M9644" s="11" t="e">
        <f t="shared" si="1482"/>
        <v>#DIV/0!</v>
      </c>
      <c r="N9644" s="11"/>
      <c r="O9644" s="11" t="e">
        <f t="shared" si="1483"/>
        <v>#DIV/0!</v>
      </c>
      <c r="P9644" s="12">
        <f t="shared" si="1484"/>
        <v>0</v>
      </c>
      <c r="Q9644" s="17" t="str">
        <f t="shared" si="1486"/>
        <v>Pas d'écart</v>
      </c>
    </row>
    <row r="9645" spans="1:17" x14ac:dyDescent="0.3">
      <c r="A9645" s="34">
        <f>base!J9645</f>
        <v>0</v>
      </c>
      <c r="B9645" s="34">
        <f>base!V9645</f>
        <v>0</v>
      </c>
      <c r="C9645" s="40" t="s">
        <v>11</v>
      </c>
      <c r="D9645" s="36">
        <f>base!H9645</f>
        <v>0</v>
      </c>
      <c r="E9645" s="44"/>
      <c r="F9645" s="16">
        <f>base!W9645</f>
        <v>0</v>
      </c>
      <c r="G9645" s="11" t="e">
        <f t="shared" si="1478"/>
        <v>#DIV/0!</v>
      </c>
      <c r="H9645" s="11" t="e">
        <f t="shared" si="1479"/>
        <v>#N/A</v>
      </c>
      <c r="I9645" s="11" t="e">
        <f t="shared" si="1480"/>
        <v>#N/A</v>
      </c>
      <c r="J9645" s="12" t="e">
        <f t="shared" si="1481"/>
        <v>#N/A</v>
      </c>
      <c r="K9645" s="17" t="e">
        <f t="shared" si="1485"/>
        <v>#N/A</v>
      </c>
      <c r="L9645" s="16">
        <f>base!X9645</f>
        <v>0</v>
      </c>
      <c r="M9645" s="11" t="e">
        <f t="shared" si="1482"/>
        <v>#DIV/0!</v>
      </c>
      <c r="N9645" s="11"/>
      <c r="O9645" s="11" t="e">
        <f t="shared" si="1483"/>
        <v>#DIV/0!</v>
      </c>
      <c r="P9645" s="12">
        <f t="shared" si="1484"/>
        <v>0</v>
      </c>
      <c r="Q9645" s="17" t="str">
        <f t="shared" si="1486"/>
        <v>Pas d'écart</v>
      </c>
    </row>
    <row r="9646" spans="1:17" x14ac:dyDescent="0.3">
      <c r="A9646" s="34">
        <f>base!J9646</f>
        <v>0</v>
      </c>
      <c r="B9646" s="34">
        <f>base!V9646</f>
        <v>0</v>
      </c>
      <c r="C9646" s="40" t="s">
        <v>11</v>
      </c>
      <c r="D9646" s="36">
        <f>base!H9646</f>
        <v>0</v>
      </c>
      <c r="E9646" s="44"/>
      <c r="F9646" s="16">
        <f>base!W9646</f>
        <v>0</v>
      </c>
      <c r="G9646" s="11" t="e">
        <f t="shared" si="1478"/>
        <v>#DIV/0!</v>
      </c>
      <c r="H9646" s="11" t="e">
        <f t="shared" si="1479"/>
        <v>#N/A</v>
      </c>
      <c r="I9646" s="11" t="e">
        <f t="shared" si="1480"/>
        <v>#N/A</v>
      </c>
      <c r="J9646" s="12" t="e">
        <f t="shared" si="1481"/>
        <v>#N/A</v>
      </c>
      <c r="K9646" s="17" t="e">
        <f t="shared" si="1485"/>
        <v>#N/A</v>
      </c>
      <c r="L9646" s="16">
        <f>base!X9646</f>
        <v>0</v>
      </c>
      <c r="M9646" s="11" t="e">
        <f t="shared" si="1482"/>
        <v>#DIV/0!</v>
      </c>
      <c r="N9646" s="11"/>
      <c r="O9646" s="11" t="e">
        <f t="shared" si="1483"/>
        <v>#DIV/0!</v>
      </c>
      <c r="P9646" s="12">
        <f t="shared" si="1484"/>
        <v>0</v>
      </c>
      <c r="Q9646" s="17" t="str">
        <f t="shared" si="1486"/>
        <v>Pas d'écart</v>
      </c>
    </row>
    <row r="9647" spans="1:17" x14ac:dyDescent="0.3">
      <c r="A9647" s="34">
        <f>base!J9647</f>
        <v>0</v>
      </c>
      <c r="B9647" s="34">
        <f>base!V9647</f>
        <v>0</v>
      </c>
      <c r="C9647" s="40" t="s">
        <v>11</v>
      </c>
      <c r="D9647" s="36">
        <f>base!H9647</f>
        <v>0</v>
      </c>
      <c r="E9647" s="44"/>
      <c r="F9647" s="16">
        <f>base!W9647</f>
        <v>0</v>
      </c>
      <c r="G9647" s="11" t="e">
        <f t="shared" si="1478"/>
        <v>#DIV/0!</v>
      </c>
      <c r="H9647" s="11" t="e">
        <f t="shared" si="1479"/>
        <v>#N/A</v>
      </c>
      <c r="I9647" s="11" t="e">
        <f t="shared" si="1480"/>
        <v>#N/A</v>
      </c>
      <c r="J9647" s="12" t="e">
        <f t="shared" si="1481"/>
        <v>#N/A</v>
      </c>
      <c r="K9647" s="17" t="e">
        <f t="shared" si="1485"/>
        <v>#N/A</v>
      </c>
      <c r="L9647" s="16">
        <f>base!X9647</f>
        <v>0</v>
      </c>
      <c r="M9647" s="11" t="e">
        <f t="shared" si="1482"/>
        <v>#DIV/0!</v>
      </c>
      <c r="N9647" s="11"/>
      <c r="O9647" s="11" t="e">
        <f t="shared" si="1483"/>
        <v>#DIV/0!</v>
      </c>
      <c r="P9647" s="12">
        <f t="shared" si="1484"/>
        <v>0</v>
      </c>
      <c r="Q9647" s="17" t="str">
        <f t="shared" si="1486"/>
        <v>Pas d'écart</v>
      </c>
    </row>
    <row r="9648" spans="1:17" x14ac:dyDescent="0.3">
      <c r="A9648" s="34">
        <f>base!J9648</f>
        <v>0</v>
      </c>
      <c r="B9648" s="34">
        <f>base!V9648</f>
        <v>0</v>
      </c>
      <c r="C9648" s="40" t="s">
        <v>11</v>
      </c>
      <c r="D9648" s="36">
        <f>base!H9648</f>
        <v>0</v>
      </c>
      <c r="E9648" s="44"/>
      <c r="F9648" s="16">
        <f>base!W9648</f>
        <v>0</v>
      </c>
      <c r="G9648" s="11" t="e">
        <f t="shared" si="1478"/>
        <v>#DIV/0!</v>
      </c>
      <c r="H9648" s="11" t="e">
        <f t="shared" si="1479"/>
        <v>#N/A</v>
      </c>
      <c r="I9648" s="11" t="e">
        <f t="shared" si="1480"/>
        <v>#N/A</v>
      </c>
      <c r="J9648" s="12" t="e">
        <f t="shared" si="1481"/>
        <v>#N/A</v>
      </c>
      <c r="K9648" s="17" t="e">
        <f t="shared" si="1485"/>
        <v>#N/A</v>
      </c>
      <c r="L9648" s="16">
        <f>base!X9648</f>
        <v>0</v>
      </c>
      <c r="M9648" s="11" t="e">
        <f t="shared" si="1482"/>
        <v>#DIV/0!</v>
      </c>
      <c r="N9648" s="11"/>
      <c r="O9648" s="11" t="e">
        <f t="shared" si="1483"/>
        <v>#DIV/0!</v>
      </c>
      <c r="P9648" s="12">
        <f t="shared" si="1484"/>
        <v>0</v>
      </c>
      <c r="Q9648" s="17" t="str">
        <f t="shared" si="1486"/>
        <v>Pas d'écart</v>
      </c>
    </row>
    <row r="9649" spans="1:17" x14ac:dyDescent="0.3">
      <c r="A9649" s="34">
        <f>base!J9649</f>
        <v>0</v>
      </c>
      <c r="B9649" s="34">
        <f>base!V9649</f>
        <v>0</v>
      </c>
      <c r="C9649" s="40" t="s">
        <v>11</v>
      </c>
      <c r="D9649" s="36">
        <f>base!H9649</f>
        <v>0</v>
      </c>
      <c r="E9649" s="44"/>
      <c r="F9649" s="16">
        <f>base!W9649</f>
        <v>0</v>
      </c>
      <c r="G9649" s="11" t="e">
        <f t="shared" si="1478"/>
        <v>#DIV/0!</v>
      </c>
      <c r="H9649" s="11" t="e">
        <f t="shared" si="1479"/>
        <v>#N/A</v>
      </c>
      <c r="I9649" s="11" t="e">
        <f t="shared" si="1480"/>
        <v>#N/A</v>
      </c>
      <c r="J9649" s="12" t="e">
        <f t="shared" si="1481"/>
        <v>#N/A</v>
      </c>
      <c r="K9649" s="17" t="e">
        <f t="shared" si="1485"/>
        <v>#N/A</v>
      </c>
      <c r="L9649" s="16">
        <f>base!X9649</f>
        <v>0</v>
      </c>
      <c r="M9649" s="11" t="e">
        <f t="shared" si="1482"/>
        <v>#DIV/0!</v>
      </c>
      <c r="N9649" s="11"/>
      <c r="O9649" s="11" t="e">
        <f t="shared" si="1483"/>
        <v>#DIV/0!</v>
      </c>
      <c r="P9649" s="12">
        <f t="shared" si="1484"/>
        <v>0</v>
      </c>
      <c r="Q9649" s="17" t="str">
        <f t="shared" si="1486"/>
        <v>Pas d'écart</v>
      </c>
    </row>
    <row r="9650" spans="1:17" x14ac:dyDescent="0.3">
      <c r="A9650" s="34">
        <f>base!J9650</f>
        <v>0</v>
      </c>
      <c r="B9650" s="34">
        <f>base!V9650</f>
        <v>0</v>
      </c>
      <c r="C9650" s="40" t="s">
        <v>11</v>
      </c>
      <c r="D9650" s="36">
        <f>base!H9650</f>
        <v>0</v>
      </c>
      <c r="E9650" s="44"/>
      <c r="F9650" s="16">
        <f>base!W9650</f>
        <v>0</v>
      </c>
      <c r="G9650" s="11" t="e">
        <f t="shared" si="1478"/>
        <v>#DIV/0!</v>
      </c>
      <c r="H9650" s="11" t="e">
        <f t="shared" si="1479"/>
        <v>#N/A</v>
      </c>
      <c r="I9650" s="11" t="e">
        <f t="shared" si="1480"/>
        <v>#N/A</v>
      </c>
      <c r="J9650" s="12" t="e">
        <f t="shared" si="1481"/>
        <v>#N/A</v>
      </c>
      <c r="K9650" s="17" t="e">
        <f t="shared" si="1485"/>
        <v>#N/A</v>
      </c>
      <c r="L9650" s="16">
        <f>base!X9650</f>
        <v>0</v>
      </c>
      <c r="M9650" s="11" t="e">
        <f t="shared" si="1482"/>
        <v>#DIV/0!</v>
      </c>
      <c r="N9650" s="11"/>
      <c r="O9650" s="11" t="e">
        <f t="shared" si="1483"/>
        <v>#DIV/0!</v>
      </c>
      <c r="P9650" s="12">
        <f t="shared" si="1484"/>
        <v>0</v>
      </c>
      <c r="Q9650" s="17" t="str">
        <f t="shared" si="1486"/>
        <v>Pas d'écart</v>
      </c>
    </row>
    <row r="9651" spans="1:17" x14ac:dyDescent="0.3">
      <c r="A9651" s="34">
        <f>base!J9651</f>
        <v>0</v>
      </c>
      <c r="B9651" s="34">
        <f>base!V9651</f>
        <v>0</v>
      </c>
      <c r="C9651" s="40" t="s">
        <v>11</v>
      </c>
      <c r="D9651" s="36">
        <f>base!H9651</f>
        <v>0</v>
      </c>
      <c r="E9651" s="44"/>
      <c r="F9651" s="16">
        <f>base!W9651</f>
        <v>0</v>
      </c>
      <c r="G9651" s="11" t="e">
        <f t="shared" si="1478"/>
        <v>#DIV/0!</v>
      </c>
      <c r="H9651" s="11" t="e">
        <f t="shared" si="1479"/>
        <v>#N/A</v>
      </c>
      <c r="I9651" s="11" t="e">
        <f t="shared" si="1480"/>
        <v>#N/A</v>
      </c>
      <c r="J9651" s="12" t="e">
        <f t="shared" si="1481"/>
        <v>#N/A</v>
      </c>
      <c r="K9651" s="17" t="e">
        <f t="shared" si="1485"/>
        <v>#N/A</v>
      </c>
      <c r="L9651" s="16">
        <f>base!X9651</f>
        <v>0</v>
      </c>
      <c r="M9651" s="11" t="e">
        <f t="shared" si="1482"/>
        <v>#DIV/0!</v>
      </c>
      <c r="N9651" s="11"/>
      <c r="O9651" s="11" t="e">
        <f t="shared" si="1483"/>
        <v>#DIV/0!</v>
      </c>
      <c r="P9651" s="12">
        <f t="shared" si="1484"/>
        <v>0</v>
      </c>
      <c r="Q9651" s="17" t="str">
        <f t="shared" si="1486"/>
        <v>Pas d'écart</v>
      </c>
    </row>
    <row r="9652" spans="1:17" x14ac:dyDescent="0.3">
      <c r="A9652" s="34">
        <f>base!J9652</f>
        <v>0</v>
      </c>
      <c r="B9652" s="34">
        <f>base!V9652</f>
        <v>0</v>
      </c>
      <c r="C9652" s="40" t="s">
        <v>11</v>
      </c>
      <c r="D9652" s="36">
        <f>base!H9652</f>
        <v>0</v>
      </c>
      <c r="E9652" s="44"/>
      <c r="F9652" s="16">
        <f>base!W9652</f>
        <v>0</v>
      </c>
      <c r="G9652" s="11" t="e">
        <f t="shared" si="1478"/>
        <v>#DIV/0!</v>
      </c>
      <c r="H9652" s="11" t="e">
        <f t="shared" si="1479"/>
        <v>#N/A</v>
      </c>
      <c r="I9652" s="11" t="e">
        <f t="shared" si="1480"/>
        <v>#N/A</v>
      </c>
      <c r="J9652" s="12" t="e">
        <f t="shared" si="1481"/>
        <v>#N/A</v>
      </c>
      <c r="K9652" s="17" t="e">
        <f t="shared" si="1485"/>
        <v>#N/A</v>
      </c>
      <c r="L9652" s="16">
        <f>base!X9652</f>
        <v>0</v>
      </c>
      <c r="M9652" s="11" t="e">
        <f t="shared" si="1482"/>
        <v>#DIV/0!</v>
      </c>
      <c r="N9652" s="11"/>
      <c r="O9652" s="11" t="e">
        <f t="shared" si="1483"/>
        <v>#DIV/0!</v>
      </c>
      <c r="P9652" s="12">
        <f t="shared" si="1484"/>
        <v>0</v>
      </c>
      <c r="Q9652" s="17" t="str">
        <f t="shared" si="1486"/>
        <v>Pas d'écart</v>
      </c>
    </row>
    <row r="9653" spans="1:17" x14ac:dyDescent="0.3">
      <c r="A9653" s="34">
        <f>base!J9653</f>
        <v>0</v>
      </c>
      <c r="B9653" s="34">
        <f>base!V9653</f>
        <v>0</v>
      </c>
      <c r="C9653" s="40" t="s">
        <v>11</v>
      </c>
      <c r="D9653" s="36">
        <f>base!H9653</f>
        <v>0</v>
      </c>
      <c r="E9653" s="44"/>
      <c r="F9653" s="16">
        <f>base!W9653</f>
        <v>0</v>
      </c>
      <c r="G9653" s="11" t="e">
        <f t="shared" si="1478"/>
        <v>#DIV/0!</v>
      </c>
      <c r="H9653" s="11" t="e">
        <f t="shared" si="1479"/>
        <v>#N/A</v>
      </c>
      <c r="I9653" s="11" t="e">
        <f t="shared" si="1480"/>
        <v>#N/A</v>
      </c>
      <c r="J9653" s="12" t="e">
        <f t="shared" si="1481"/>
        <v>#N/A</v>
      </c>
      <c r="K9653" s="17" t="e">
        <f t="shared" si="1485"/>
        <v>#N/A</v>
      </c>
      <c r="L9653" s="16">
        <f>base!X9653</f>
        <v>0</v>
      </c>
      <c r="M9653" s="11" t="e">
        <f t="shared" si="1482"/>
        <v>#DIV/0!</v>
      </c>
      <c r="N9653" s="11"/>
      <c r="O9653" s="11" t="e">
        <f t="shared" si="1483"/>
        <v>#DIV/0!</v>
      </c>
      <c r="P9653" s="12">
        <f t="shared" si="1484"/>
        <v>0</v>
      </c>
      <c r="Q9653" s="17" t="str">
        <f t="shared" si="1486"/>
        <v>Pas d'écart</v>
      </c>
    </row>
    <row r="9654" spans="1:17" x14ac:dyDescent="0.3">
      <c r="A9654" s="34">
        <f>base!J9654</f>
        <v>0</v>
      </c>
      <c r="B9654" s="34">
        <f>base!V9654</f>
        <v>0</v>
      </c>
      <c r="C9654" s="40" t="s">
        <v>11</v>
      </c>
      <c r="D9654" s="36">
        <f>base!H9654</f>
        <v>0</v>
      </c>
      <c r="E9654" s="44"/>
      <c r="F9654" s="16">
        <f>base!W9654</f>
        <v>0</v>
      </c>
      <c r="G9654" s="11" t="e">
        <f t="shared" si="1478"/>
        <v>#DIV/0!</v>
      </c>
      <c r="H9654" s="11" t="e">
        <f t="shared" si="1479"/>
        <v>#N/A</v>
      </c>
      <c r="I9654" s="11" t="e">
        <f t="shared" si="1480"/>
        <v>#N/A</v>
      </c>
      <c r="J9654" s="12" t="e">
        <f t="shared" si="1481"/>
        <v>#N/A</v>
      </c>
      <c r="K9654" s="17" t="e">
        <f t="shared" si="1485"/>
        <v>#N/A</v>
      </c>
      <c r="L9654" s="16">
        <f>base!X9654</f>
        <v>0</v>
      </c>
      <c r="M9654" s="11" t="e">
        <f t="shared" si="1482"/>
        <v>#DIV/0!</v>
      </c>
      <c r="N9654" s="11"/>
      <c r="O9654" s="11" t="e">
        <f t="shared" si="1483"/>
        <v>#DIV/0!</v>
      </c>
      <c r="P9654" s="12">
        <f t="shared" si="1484"/>
        <v>0</v>
      </c>
      <c r="Q9654" s="17" t="str">
        <f t="shared" si="1486"/>
        <v>Pas d'écart</v>
      </c>
    </row>
    <row r="9655" spans="1:17" x14ac:dyDescent="0.3">
      <c r="A9655" s="34">
        <f>base!J9655</f>
        <v>0</v>
      </c>
      <c r="B9655" s="34">
        <f>base!V9655</f>
        <v>0</v>
      </c>
      <c r="C9655" s="40" t="s">
        <v>11</v>
      </c>
      <c r="D9655" s="36">
        <f>base!H9655</f>
        <v>0</v>
      </c>
      <c r="E9655" s="44"/>
      <c r="F9655" s="16">
        <f>base!W9655</f>
        <v>0</v>
      </c>
      <c r="G9655" s="11" t="e">
        <f t="shared" si="1478"/>
        <v>#DIV/0!</v>
      </c>
      <c r="H9655" s="11" t="e">
        <f t="shared" si="1479"/>
        <v>#N/A</v>
      </c>
      <c r="I9655" s="11" t="e">
        <f t="shared" si="1480"/>
        <v>#N/A</v>
      </c>
      <c r="J9655" s="12" t="e">
        <f t="shared" si="1481"/>
        <v>#N/A</v>
      </c>
      <c r="K9655" s="17" t="e">
        <f t="shared" si="1485"/>
        <v>#N/A</v>
      </c>
      <c r="L9655" s="16">
        <f>base!X9655</f>
        <v>0</v>
      </c>
      <c r="M9655" s="11" t="e">
        <f t="shared" si="1482"/>
        <v>#DIV/0!</v>
      </c>
      <c r="N9655" s="11"/>
      <c r="O9655" s="11" t="e">
        <f t="shared" si="1483"/>
        <v>#DIV/0!</v>
      </c>
      <c r="P9655" s="12">
        <f t="shared" si="1484"/>
        <v>0</v>
      </c>
      <c r="Q9655" s="17" t="str">
        <f t="shared" si="1486"/>
        <v>Pas d'écart</v>
      </c>
    </row>
    <row r="9656" spans="1:17" x14ac:dyDescent="0.3">
      <c r="A9656" s="34">
        <f>base!J9656</f>
        <v>0</v>
      </c>
      <c r="B9656" s="34">
        <f>base!V9656</f>
        <v>0</v>
      </c>
      <c r="C9656" s="40" t="s">
        <v>11</v>
      </c>
      <c r="D9656" s="36">
        <f>base!H9656</f>
        <v>0</v>
      </c>
      <c r="E9656" s="44"/>
      <c r="F9656" s="16">
        <f>base!W9656</f>
        <v>0</v>
      </c>
      <c r="G9656" s="11" t="e">
        <f t="shared" si="1478"/>
        <v>#DIV/0!</v>
      </c>
      <c r="H9656" s="11" t="e">
        <f t="shared" si="1479"/>
        <v>#N/A</v>
      </c>
      <c r="I9656" s="11" t="e">
        <f t="shared" si="1480"/>
        <v>#N/A</v>
      </c>
      <c r="J9656" s="12" t="e">
        <f t="shared" si="1481"/>
        <v>#N/A</v>
      </c>
      <c r="K9656" s="17" t="e">
        <f t="shared" si="1485"/>
        <v>#N/A</v>
      </c>
      <c r="L9656" s="16">
        <f>base!X9656</f>
        <v>0</v>
      </c>
      <c r="M9656" s="11" t="e">
        <f t="shared" si="1482"/>
        <v>#DIV/0!</v>
      </c>
      <c r="N9656" s="11"/>
      <c r="O9656" s="11" t="e">
        <f t="shared" si="1483"/>
        <v>#DIV/0!</v>
      </c>
      <c r="P9656" s="12">
        <f t="shared" si="1484"/>
        <v>0</v>
      </c>
      <c r="Q9656" s="17" t="str">
        <f t="shared" si="1486"/>
        <v>Pas d'écart</v>
      </c>
    </row>
    <row r="9657" spans="1:17" x14ac:dyDescent="0.3">
      <c r="A9657" s="34">
        <f>base!J9657</f>
        <v>0</v>
      </c>
      <c r="B9657" s="34">
        <f>base!V9657</f>
        <v>0</v>
      </c>
      <c r="C9657" s="40" t="s">
        <v>11</v>
      </c>
      <c r="D9657" s="36">
        <f>base!H9657</f>
        <v>0</v>
      </c>
      <c r="E9657" s="44"/>
      <c r="F9657" s="16">
        <f>base!W9657</f>
        <v>0</v>
      </c>
      <c r="G9657" s="11" t="e">
        <f t="shared" si="1478"/>
        <v>#DIV/0!</v>
      </c>
      <c r="H9657" s="11" t="e">
        <f t="shared" si="1479"/>
        <v>#N/A</v>
      </c>
      <c r="I9657" s="11" t="e">
        <f t="shared" si="1480"/>
        <v>#N/A</v>
      </c>
      <c r="J9657" s="12" t="e">
        <f t="shared" si="1481"/>
        <v>#N/A</v>
      </c>
      <c r="K9657" s="17" t="e">
        <f t="shared" si="1485"/>
        <v>#N/A</v>
      </c>
      <c r="L9657" s="16">
        <f>base!X9657</f>
        <v>0</v>
      </c>
      <c r="M9657" s="11" t="e">
        <f t="shared" si="1482"/>
        <v>#DIV/0!</v>
      </c>
      <c r="N9657" s="11"/>
      <c r="O9657" s="11" t="e">
        <f t="shared" si="1483"/>
        <v>#DIV/0!</v>
      </c>
      <c r="P9657" s="12">
        <f t="shared" si="1484"/>
        <v>0</v>
      </c>
      <c r="Q9657" s="17" t="str">
        <f t="shared" si="1486"/>
        <v>Pas d'écart</v>
      </c>
    </row>
    <row r="9658" spans="1:17" x14ac:dyDescent="0.3">
      <c r="A9658" s="34">
        <f>base!J9658</f>
        <v>0</v>
      </c>
      <c r="B9658" s="34">
        <f>base!V9658</f>
        <v>0</v>
      </c>
      <c r="C9658" s="40" t="s">
        <v>11</v>
      </c>
      <c r="D9658" s="36">
        <f>base!H9658</f>
        <v>0</v>
      </c>
      <c r="E9658" s="44"/>
      <c r="F9658" s="16">
        <f>base!W9658</f>
        <v>0</v>
      </c>
      <c r="G9658" s="11" t="e">
        <f t="shared" si="1478"/>
        <v>#DIV/0!</v>
      </c>
      <c r="H9658" s="11" t="e">
        <f t="shared" si="1479"/>
        <v>#N/A</v>
      </c>
      <c r="I9658" s="11" t="e">
        <f t="shared" si="1480"/>
        <v>#N/A</v>
      </c>
      <c r="J9658" s="12" t="e">
        <f t="shared" si="1481"/>
        <v>#N/A</v>
      </c>
      <c r="K9658" s="17" t="e">
        <f t="shared" si="1485"/>
        <v>#N/A</v>
      </c>
      <c r="L9658" s="16">
        <f>base!X9658</f>
        <v>0</v>
      </c>
      <c r="M9658" s="11" t="e">
        <f t="shared" si="1482"/>
        <v>#DIV/0!</v>
      </c>
      <c r="N9658" s="11"/>
      <c r="O9658" s="11" t="e">
        <f t="shared" si="1483"/>
        <v>#DIV/0!</v>
      </c>
      <c r="P9658" s="12">
        <f t="shared" si="1484"/>
        <v>0</v>
      </c>
      <c r="Q9658" s="17" t="str">
        <f t="shared" si="1486"/>
        <v>Pas d'écart</v>
      </c>
    </row>
    <row r="9659" spans="1:17" x14ac:dyDescent="0.3">
      <c r="A9659" s="34">
        <f>base!J9659</f>
        <v>0</v>
      </c>
      <c r="B9659" s="34">
        <f>base!V9659</f>
        <v>0</v>
      </c>
      <c r="C9659" s="40" t="s">
        <v>11</v>
      </c>
      <c r="D9659" s="36">
        <f>base!H9659</f>
        <v>0</v>
      </c>
      <c r="E9659" s="44"/>
      <c r="F9659" s="16">
        <f>base!W9659</f>
        <v>0</v>
      </c>
      <c r="G9659" s="11" t="e">
        <f t="shared" si="1478"/>
        <v>#DIV/0!</v>
      </c>
      <c r="H9659" s="11" t="e">
        <f t="shared" si="1479"/>
        <v>#N/A</v>
      </c>
      <c r="I9659" s="11" t="e">
        <f t="shared" si="1480"/>
        <v>#N/A</v>
      </c>
      <c r="J9659" s="12" t="e">
        <f t="shared" si="1481"/>
        <v>#N/A</v>
      </c>
      <c r="K9659" s="17" t="e">
        <f t="shared" si="1485"/>
        <v>#N/A</v>
      </c>
      <c r="L9659" s="16">
        <f>base!X9659</f>
        <v>0</v>
      </c>
      <c r="M9659" s="11" t="e">
        <f t="shared" si="1482"/>
        <v>#DIV/0!</v>
      </c>
      <c r="N9659" s="11"/>
      <c r="O9659" s="11" t="e">
        <f t="shared" si="1483"/>
        <v>#DIV/0!</v>
      </c>
      <c r="P9659" s="12">
        <f t="shared" si="1484"/>
        <v>0</v>
      </c>
      <c r="Q9659" s="17" t="str">
        <f t="shared" si="1486"/>
        <v>Pas d'écart</v>
      </c>
    </row>
    <row r="9660" spans="1:17" x14ac:dyDescent="0.3">
      <c r="A9660" s="34">
        <f>base!J9660</f>
        <v>0</v>
      </c>
      <c r="B9660" s="34">
        <f>base!V9660</f>
        <v>0</v>
      </c>
      <c r="C9660" s="40" t="s">
        <v>11</v>
      </c>
      <c r="D9660" s="36">
        <f>base!H9660</f>
        <v>0</v>
      </c>
      <c r="E9660" s="44"/>
      <c r="F9660" s="16">
        <f>base!W9660</f>
        <v>0</v>
      </c>
      <c r="G9660" s="11" t="e">
        <f t="shared" si="1478"/>
        <v>#DIV/0!</v>
      </c>
      <c r="H9660" s="11" t="e">
        <f t="shared" si="1479"/>
        <v>#N/A</v>
      </c>
      <c r="I9660" s="11" t="e">
        <f t="shared" si="1480"/>
        <v>#N/A</v>
      </c>
      <c r="J9660" s="12" t="e">
        <f t="shared" si="1481"/>
        <v>#N/A</v>
      </c>
      <c r="K9660" s="17" t="e">
        <f t="shared" si="1485"/>
        <v>#N/A</v>
      </c>
      <c r="L9660" s="16">
        <f>base!X9660</f>
        <v>0</v>
      </c>
      <c r="M9660" s="11" t="e">
        <f t="shared" si="1482"/>
        <v>#DIV/0!</v>
      </c>
      <c r="N9660" s="11"/>
      <c r="O9660" s="11" t="e">
        <f t="shared" si="1483"/>
        <v>#DIV/0!</v>
      </c>
      <c r="P9660" s="12">
        <f t="shared" si="1484"/>
        <v>0</v>
      </c>
      <c r="Q9660" s="17" t="str">
        <f t="shared" si="1486"/>
        <v>Pas d'écart</v>
      </c>
    </row>
    <row r="9661" spans="1:17" x14ac:dyDescent="0.3">
      <c r="A9661" s="34">
        <f>base!J9661</f>
        <v>0</v>
      </c>
      <c r="B9661" s="34">
        <f>base!V9661</f>
        <v>0</v>
      </c>
      <c r="C9661" s="40" t="s">
        <v>11</v>
      </c>
      <c r="D9661" s="36">
        <f>base!H9661</f>
        <v>0</v>
      </c>
      <c r="E9661" s="44"/>
      <c r="F9661" s="16">
        <f>base!W9661</f>
        <v>0</v>
      </c>
      <c r="G9661" s="11" t="e">
        <f t="shared" si="1478"/>
        <v>#DIV/0!</v>
      </c>
      <c r="H9661" s="11" t="e">
        <f t="shared" si="1479"/>
        <v>#N/A</v>
      </c>
      <c r="I9661" s="11" t="e">
        <f t="shared" si="1480"/>
        <v>#N/A</v>
      </c>
      <c r="J9661" s="12" t="e">
        <f t="shared" si="1481"/>
        <v>#N/A</v>
      </c>
      <c r="K9661" s="17" t="e">
        <f t="shared" si="1485"/>
        <v>#N/A</v>
      </c>
      <c r="L9661" s="16">
        <f>base!X9661</f>
        <v>0</v>
      </c>
      <c r="M9661" s="11" t="e">
        <f t="shared" si="1482"/>
        <v>#DIV/0!</v>
      </c>
      <c r="N9661" s="11"/>
      <c r="O9661" s="11" t="e">
        <f t="shared" si="1483"/>
        <v>#DIV/0!</v>
      </c>
      <c r="P9661" s="12">
        <f t="shared" si="1484"/>
        <v>0</v>
      </c>
      <c r="Q9661" s="17" t="str">
        <f t="shared" si="1486"/>
        <v>Pas d'écart</v>
      </c>
    </row>
    <row r="9662" spans="1:17" x14ac:dyDescent="0.3">
      <c r="A9662" s="34">
        <f>base!J9662</f>
        <v>0</v>
      </c>
      <c r="B9662" s="34">
        <f>base!V9662</f>
        <v>0</v>
      </c>
      <c r="C9662" s="40" t="s">
        <v>11</v>
      </c>
      <c r="D9662" s="36">
        <f>base!H9662</f>
        <v>0</v>
      </c>
      <c r="E9662" s="44"/>
      <c r="F9662" s="16">
        <f>base!W9662</f>
        <v>0</v>
      </c>
      <c r="G9662" s="11" t="e">
        <f t="shared" si="1478"/>
        <v>#DIV/0!</v>
      </c>
      <c r="H9662" s="11" t="e">
        <f t="shared" si="1479"/>
        <v>#N/A</v>
      </c>
      <c r="I9662" s="11" t="e">
        <f t="shared" si="1480"/>
        <v>#N/A</v>
      </c>
      <c r="J9662" s="12" t="e">
        <f t="shared" si="1481"/>
        <v>#N/A</v>
      </c>
      <c r="K9662" s="17" t="e">
        <f t="shared" si="1485"/>
        <v>#N/A</v>
      </c>
      <c r="L9662" s="16">
        <f>base!X9662</f>
        <v>0</v>
      </c>
      <c r="M9662" s="11" t="e">
        <f t="shared" si="1482"/>
        <v>#DIV/0!</v>
      </c>
      <c r="N9662" s="11"/>
      <c r="O9662" s="11" t="e">
        <f t="shared" si="1483"/>
        <v>#DIV/0!</v>
      </c>
      <c r="P9662" s="12">
        <f t="shared" si="1484"/>
        <v>0</v>
      </c>
      <c r="Q9662" s="17" t="str">
        <f t="shared" si="1486"/>
        <v>Pas d'écart</v>
      </c>
    </row>
    <row r="9663" spans="1:17" x14ac:dyDescent="0.3">
      <c r="A9663" s="34">
        <f>base!J9663</f>
        <v>0</v>
      </c>
      <c r="B9663" s="34">
        <f>base!V9663</f>
        <v>0</v>
      </c>
      <c r="C9663" s="40" t="s">
        <v>11</v>
      </c>
      <c r="D9663" s="36">
        <f>base!H9663</f>
        <v>0</v>
      </c>
      <c r="E9663" s="44"/>
      <c r="F9663" s="16">
        <f>base!W9663</f>
        <v>0</v>
      </c>
      <c r="G9663" s="11" t="e">
        <f t="shared" si="1478"/>
        <v>#DIV/0!</v>
      </c>
      <c r="H9663" s="11" t="e">
        <f t="shared" si="1479"/>
        <v>#N/A</v>
      </c>
      <c r="I9663" s="11" t="e">
        <f t="shared" si="1480"/>
        <v>#N/A</v>
      </c>
      <c r="J9663" s="12" t="e">
        <f t="shared" si="1481"/>
        <v>#N/A</v>
      </c>
      <c r="K9663" s="17" t="e">
        <f t="shared" si="1485"/>
        <v>#N/A</v>
      </c>
      <c r="L9663" s="16">
        <f>base!X9663</f>
        <v>0</v>
      </c>
      <c r="M9663" s="11" t="e">
        <f t="shared" si="1482"/>
        <v>#DIV/0!</v>
      </c>
      <c r="N9663" s="11"/>
      <c r="O9663" s="11" t="e">
        <f t="shared" si="1483"/>
        <v>#DIV/0!</v>
      </c>
      <c r="P9663" s="12">
        <f t="shared" si="1484"/>
        <v>0</v>
      </c>
      <c r="Q9663" s="17" t="str">
        <f t="shared" si="1486"/>
        <v>Pas d'écart</v>
      </c>
    </row>
    <row r="9664" spans="1:17" x14ac:dyDescent="0.3">
      <c r="A9664" s="34">
        <f>base!J9664</f>
        <v>0</v>
      </c>
      <c r="B9664" s="34">
        <f>base!V9664</f>
        <v>0</v>
      </c>
      <c r="C9664" s="40" t="s">
        <v>11</v>
      </c>
      <c r="D9664" s="36">
        <f>base!H9664</f>
        <v>0</v>
      </c>
      <c r="E9664" s="44"/>
      <c r="F9664" s="16">
        <f>base!W9664</f>
        <v>0</v>
      </c>
      <c r="G9664" s="11" t="e">
        <f t="shared" si="1478"/>
        <v>#DIV/0!</v>
      </c>
      <c r="H9664" s="11" t="e">
        <f t="shared" si="1479"/>
        <v>#N/A</v>
      </c>
      <c r="I9664" s="11" t="e">
        <f t="shared" si="1480"/>
        <v>#N/A</v>
      </c>
      <c r="J9664" s="12" t="e">
        <f t="shared" si="1481"/>
        <v>#N/A</v>
      </c>
      <c r="K9664" s="17" t="e">
        <f t="shared" si="1485"/>
        <v>#N/A</v>
      </c>
      <c r="L9664" s="16">
        <f>base!X9664</f>
        <v>0</v>
      </c>
      <c r="M9664" s="11" t="e">
        <f t="shared" si="1482"/>
        <v>#DIV/0!</v>
      </c>
      <c r="N9664" s="11"/>
      <c r="O9664" s="11" t="e">
        <f t="shared" si="1483"/>
        <v>#DIV/0!</v>
      </c>
      <c r="P9664" s="12">
        <f t="shared" si="1484"/>
        <v>0</v>
      </c>
      <c r="Q9664" s="17" t="str">
        <f t="shared" si="1486"/>
        <v>Pas d'écart</v>
      </c>
    </row>
    <row r="9665" spans="1:17" x14ac:dyDescent="0.3">
      <c r="A9665" s="34">
        <f>base!J9665</f>
        <v>0</v>
      </c>
      <c r="B9665" s="34">
        <f>base!V9665</f>
        <v>0</v>
      </c>
      <c r="C9665" s="40" t="s">
        <v>11</v>
      </c>
      <c r="D9665" s="36">
        <f>base!H9665</f>
        <v>0</v>
      </c>
      <c r="E9665" s="44"/>
      <c r="F9665" s="16">
        <f>base!W9665</f>
        <v>0</v>
      </c>
      <c r="G9665" s="11" t="e">
        <f t="shared" si="1478"/>
        <v>#DIV/0!</v>
      </c>
      <c r="H9665" s="11" t="e">
        <f t="shared" si="1479"/>
        <v>#N/A</v>
      </c>
      <c r="I9665" s="11" t="e">
        <f t="shared" si="1480"/>
        <v>#N/A</v>
      </c>
      <c r="J9665" s="12" t="e">
        <f t="shared" si="1481"/>
        <v>#N/A</v>
      </c>
      <c r="K9665" s="17" t="e">
        <f t="shared" si="1485"/>
        <v>#N/A</v>
      </c>
      <c r="L9665" s="16">
        <f>base!X9665</f>
        <v>0</v>
      </c>
      <c r="M9665" s="11" t="e">
        <f t="shared" si="1482"/>
        <v>#DIV/0!</v>
      </c>
      <c r="N9665" s="11"/>
      <c r="O9665" s="11" t="e">
        <f t="shared" si="1483"/>
        <v>#DIV/0!</v>
      </c>
      <c r="P9665" s="12">
        <f t="shared" si="1484"/>
        <v>0</v>
      </c>
      <c r="Q9665" s="17" t="str">
        <f t="shared" si="1486"/>
        <v>Pas d'écart</v>
      </c>
    </row>
    <row r="9666" spans="1:17" x14ac:dyDescent="0.3">
      <c r="A9666" s="34">
        <f>base!J9666</f>
        <v>0</v>
      </c>
      <c r="B9666" s="34">
        <f>base!V9666</f>
        <v>0</v>
      </c>
      <c r="C9666" s="40" t="s">
        <v>11</v>
      </c>
      <c r="D9666" s="36">
        <f>base!H9666</f>
        <v>0</v>
      </c>
      <c r="E9666" s="44"/>
      <c r="F9666" s="16">
        <f>base!W9666</f>
        <v>0</v>
      </c>
      <c r="G9666" s="11" t="e">
        <f t="shared" ref="G9666:G9729" si="1487">F9666/D9666</f>
        <v>#DIV/0!</v>
      </c>
      <c r="H9666" s="11" t="e">
        <f t="shared" ref="H9666:H9729" si="1488">VLOOKUP(C9666,tout_cout_traction,2,FALSE)*D9666</f>
        <v>#N/A</v>
      </c>
      <c r="I9666" s="11" t="e">
        <f t="shared" ref="I9666:I9729" si="1489">H9666/D9666</f>
        <v>#N/A</v>
      </c>
      <c r="J9666" s="12" t="e">
        <f t="shared" ref="J9666:J9729" si="1490">F9666-H9666</f>
        <v>#N/A</v>
      </c>
      <c r="K9666" s="17" t="e">
        <f t="shared" si="1485"/>
        <v>#N/A</v>
      </c>
      <c r="L9666" s="16">
        <f>base!X9666</f>
        <v>0</v>
      </c>
      <c r="M9666" s="11" t="e">
        <f t="shared" ref="M9666:M9729" si="1491">L9666/D9666</f>
        <v>#DIV/0!</v>
      </c>
      <c r="N9666" s="11"/>
      <c r="O9666" s="11" t="e">
        <f t="shared" ref="O9666:O9729" si="1492">N9666/D9666</f>
        <v>#DIV/0!</v>
      </c>
      <c r="P9666" s="12">
        <f t="shared" ref="P9666:P9729" si="1493">L9666-N9666</f>
        <v>0</v>
      </c>
      <c r="Q9666" s="17" t="str">
        <f t="shared" si="1486"/>
        <v>Pas d'écart</v>
      </c>
    </row>
    <row r="9667" spans="1:17" x14ac:dyDescent="0.3">
      <c r="A9667" s="34">
        <f>base!J9667</f>
        <v>0</v>
      </c>
      <c r="B9667" s="34">
        <f>base!V9667</f>
        <v>0</v>
      </c>
      <c r="C9667" s="40" t="s">
        <v>11</v>
      </c>
      <c r="D9667" s="36">
        <f>base!H9667</f>
        <v>0</v>
      </c>
      <c r="E9667" s="44"/>
      <c r="F9667" s="16">
        <f>base!W9667</f>
        <v>0</v>
      </c>
      <c r="G9667" s="11" t="e">
        <f t="shared" si="1487"/>
        <v>#DIV/0!</v>
      </c>
      <c r="H9667" s="11" t="e">
        <f t="shared" si="1488"/>
        <v>#N/A</v>
      </c>
      <c r="I9667" s="11" t="e">
        <f t="shared" si="1489"/>
        <v>#N/A</v>
      </c>
      <c r="J9667" s="12" t="e">
        <f t="shared" si="1490"/>
        <v>#N/A</v>
      </c>
      <c r="K9667" s="17" t="e">
        <f t="shared" ref="K9667:K9730" si="1494">IF(H9667=F9667,"Pas d'écart",IF(H9667&lt;F9667,"Ecart positif",IF(H9667&gt;F9667,"Ecart négatif")))</f>
        <v>#N/A</v>
      </c>
      <c r="L9667" s="16">
        <f>base!X9667</f>
        <v>0</v>
      </c>
      <c r="M9667" s="11" t="e">
        <f t="shared" si="1491"/>
        <v>#DIV/0!</v>
      </c>
      <c r="N9667" s="11"/>
      <c r="O9667" s="11" t="e">
        <f t="shared" si="1492"/>
        <v>#DIV/0!</v>
      </c>
      <c r="P9667" s="12">
        <f t="shared" si="1493"/>
        <v>0</v>
      </c>
      <c r="Q9667" s="17" t="str">
        <f t="shared" ref="Q9667:Q9730" si="1495">IF(N9667=L9667,"Pas d'écart",IF(N9667&lt;L9667,"Ecart positif",IF(N9667&gt;L9667,"Ecart négatif")))</f>
        <v>Pas d'écart</v>
      </c>
    </row>
    <row r="9668" spans="1:17" x14ac:dyDescent="0.3">
      <c r="A9668" s="34">
        <f>base!J9668</f>
        <v>0</v>
      </c>
      <c r="B9668" s="34">
        <f>base!V9668</f>
        <v>0</v>
      </c>
      <c r="C9668" s="40" t="s">
        <v>11</v>
      </c>
      <c r="D9668" s="36">
        <f>base!H9668</f>
        <v>0</v>
      </c>
      <c r="E9668" s="44"/>
      <c r="F9668" s="16">
        <f>base!W9668</f>
        <v>0</v>
      </c>
      <c r="G9668" s="11" t="e">
        <f t="shared" si="1487"/>
        <v>#DIV/0!</v>
      </c>
      <c r="H9668" s="11" t="e">
        <f t="shared" si="1488"/>
        <v>#N/A</v>
      </c>
      <c r="I9668" s="11" t="e">
        <f t="shared" si="1489"/>
        <v>#N/A</v>
      </c>
      <c r="J9668" s="12" t="e">
        <f t="shared" si="1490"/>
        <v>#N/A</v>
      </c>
      <c r="K9668" s="17" t="e">
        <f t="shared" si="1494"/>
        <v>#N/A</v>
      </c>
      <c r="L9668" s="16">
        <f>base!X9668</f>
        <v>0</v>
      </c>
      <c r="M9668" s="11" t="e">
        <f t="shared" si="1491"/>
        <v>#DIV/0!</v>
      </c>
      <c r="N9668" s="11"/>
      <c r="O9668" s="11" t="e">
        <f t="shared" si="1492"/>
        <v>#DIV/0!</v>
      </c>
      <c r="P9668" s="12">
        <f t="shared" si="1493"/>
        <v>0</v>
      </c>
      <c r="Q9668" s="17" t="str">
        <f t="shared" si="1495"/>
        <v>Pas d'écart</v>
      </c>
    </row>
    <row r="9669" spans="1:17" x14ac:dyDescent="0.3">
      <c r="A9669" s="34">
        <f>base!J9669</f>
        <v>0</v>
      </c>
      <c r="B9669" s="34">
        <f>base!V9669</f>
        <v>0</v>
      </c>
      <c r="C9669" s="40" t="s">
        <v>11</v>
      </c>
      <c r="D9669" s="36">
        <f>base!H9669</f>
        <v>0</v>
      </c>
      <c r="E9669" s="44"/>
      <c r="F9669" s="16">
        <f>base!W9669</f>
        <v>0</v>
      </c>
      <c r="G9669" s="11" t="e">
        <f t="shared" si="1487"/>
        <v>#DIV/0!</v>
      </c>
      <c r="H9669" s="11" t="e">
        <f t="shared" si="1488"/>
        <v>#N/A</v>
      </c>
      <c r="I9669" s="11" t="e">
        <f t="shared" si="1489"/>
        <v>#N/A</v>
      </c>
      <c r="J9669" s="12" t="e">
        <f t="shared" si="1490"/>
        <v>#N/A</v>
      </c>
      <c r="K9669" s="17" t="e">
        <f t="shared" si="1494"/>
        <v>#N/A</v>
      </c>
      <c r="L9669" s="16">
        <f>base!X9669</f>
        <v>0</v>
      </c>
      <c r="M9669" s="11" t="e">
        <f t="shared" si="1491"/>
        <v>#DIV/0!</v>
      </c>
      <c r="N9669" s="11"/>
      <c r="O9669" s="11" t="e">
        <f t="shared" si="1492"/>
        <v>#DIV/0!</v>
      </c>
      <c r="P9669" s="12">
        <f t="shared" si="1493"/>
        <v>0</v>
      </c>
      <c r="Q9669" s="17" t="str">
        <f t="shared" si="1495"/>
        <v>Pas d'écart</v>
      </c>
    </row>
    <row r="9670" spans="1:17" x14ac:dyDescent="0.3">
      <c r="A9670" s="34">
        <f>base!J9670</f>
        <v>0</v>
      </c>
      <c r="B9670" s="34">
        <f>base!V9670</f>
        <v>0</v>
      </c>
      <c r="C9670" s="40" t="s">
        <v>11</v>
      </c>
      <c r="D9670" s="36">
        <f>base!H9670</f>
        <v>0</v>
      </c>
      <c r="E9670" s="44"/>
      <c r="F9670" s="16">
        <f>base!W9670</f>
        <v>0</v>
      </c>
      <c r="G9670" s="11" t="e">
        <f t="shared" si="1487"/>
        <v>#DIV/0!</v>
      </c>
      <c r="H9670" s="11" t="e">
        <f t="shared" si="1488"/>
        <v>#N/A</v>
      </c>
      <c r="I9670" s="11" t="e">
        <f t="shared" si="1489"/>
        <v>#N/A</v>
      </c>
      <c r="J9670" s="12" t="e">
        <f t="shared" si="1490"/>
        <v>#N/A</v>
      </c>
      <c r="K9670" s="17" t="e">
        <f t="shared" si="1494"/>
        <v>#N/A</v>
      </c>
      <c r="L9670" s="16">
        <f>base!X9670</f>
        <v>0</v>
      </c>
      <c r="M9670" s="11" t="e">
        <f t="shared" si="1491"/>
        <v>#DIV/0!</v>
      </c>
      <c r="N9670" s="11"/>
      <c r="O9670" s="11" t="e">
        <f t="shared" si="1492"/>
        <v>#DIV/0!</v>
      </c>
      <c r="P9670" s="12">
        <f t="shared" si="1493"/>
        <v>0</v>
      </c>
      <c r="Q9670" s="17" t="str">
        <f t="shared" si="1495"/>
        <v>Pas d'écart</v>
      </c>
    </row>
    <row r="9671" spans="1:17" x14ac:dyDescent="0.3">
      <c r="A9671" s="34">
        <f>base!J9671</f>
        <v>0</v>
      </c>
      <c r="B9671" s="34">
        <f>base!V9671</f>
        <v>0</v>
      </c>
      <c r="C9671" s="40" t="s">
        <v>11</v>
      </c>
      <c r="D9671" s="36">
        <f>base!H9671</f>
        <v>0</v>
      </c>
      <c r="E9671" s="44"/>
      <c r="F9671" s="16">
        <f>base!W9671</f>
        <v>0</v>
      </c>
      <c r="G9671" s="11" t="e">
        <f t="shared" si="1487"/>
        <v>#DIV/0!</v>
      </c>
      <c r="H9671" s="11" t="e">
        <f t="shared" si="1488"/>
        <v>#N/A</v>
      </c>
      <c r="I9671" s="11" t="e">
        <f t="shared" si="1489"/>
        <v>#N/A</v>
      </c>
      <c r="J9671" s="12" t="e">
        <f t="shared" si="1490"/>
        <v>#N/A</v>
      </c>
      <c r="K9671" s="17" t="e">
        <f t="shared" si="1494"/>
        <v>#N/A</v>
      </c>
      <c r="L9671" s="16">
        <f>base!X9671</f>
        <v>0</v>
      </c>
      <c r="M9671" s="11" t="e">
        <f t="shared" si="1491"/>
        <v>#DIV/0!</v>
      </c>
      <c r="N9671" s="11"/>
      <c r="O9671" s="11" t="e">
        <f t="shared" si="1492"/>
        <v>#DIV/0!</v>
      </c>
      <c r="P9671" s="12">
        <f t="shared" si="1493"/>
        <v>0</v>
      </c>
      <c r="Q9671" s="17" t="str">
        <f t="shared" si="1495"/>
        <v>Pas d'écart</v>
      </c>
    </row>
    <row r="9672" spans="1:17" x14ac:dyDescent="0.3">
      <c r="A9672" s="34">
        <f>base!J9672</f>
        <v>0</v>
      </c>
      <c r="B9672" s="34">
        <f>base!V9672</f>
        <v>0</v>
      </c>
      <c r="C9672" s="40" t="s">
        <v>11</v>
      </c>
      <c r="D9672" s="36">
        <f>base!H9672</f>
        <v>0</v>
      </c>
      <c r="E9672" s="44"/>
      <c r="F9672" s="16">
        <f>base!W9672</f>
        <v>0</v>
      </c>
      <c r="G9672" s="11" t="e">
        <f t="shared" si="1487"/>
        <v>#DIV/0!</v>
      </c>
      <c r="H9672" s="11" t="e">
        <f t="shared" si="1488"/>
        <v>#N/A</v>
      </c>
      <c r="I9672" s="11" t="e">
        <f t="shared" si="1489"/>
        <v>#N/A</v>
      </c>
      <c r="J9672" s="12" t="e">
        <f t="shared" si="1490"/>
        <v>#N/A</v>
      </c>
      <c r="K9672" s="17" t="e">
        <f t="shared" si="1494"/>
        <v>#N/A</v>
      </c>
      <c r="L9672" s="16">
        <f>base!X9672</f>
        <v>0</v>
      </c>
      <c r="M9672" s="11" t="e">
        <f t="shared" si="1491"/>
        <v>#DIV/0!</v>
      </c>
      <c r="N9672" s="11"/>
      <c r="O9672" s="11" t="e">
        <f t="shared" si="1492"/>
        <v>#DIV/0!</v>
      </c>
      <c r="P9672" s="12">
        <f t="shared" si="1493"/>
        <v>0</v>
      </c>
      <c r="Q9672" s="17" t="str">
        <f t="shared" si="1495"/>
        <v>Pas d'écart</v>
      </c>
    </row>
    <row r="9673" spans="1:17" x14ac:dyDescent="0.3">
      <c r="A9673" s="34">
        <f>base!J9673</f>
        <v>0</v>
      </c>
      <c r="B9673" s="34">
        <f>base!V9673</f>
        <v>0</v>
      </c>
      <c r="C9673" s="40" t="s">
        <v>11</v>
      </c>
      <c r="D9673" s="36">
        <f>base!H9673</f>
        <v>0</v>
      </c>
      <c r="E9673" s="44"/>
      <c r="F9673" s="16">
        <f>base!W9673</f>
        <v>0</v>
      </c>
      <c r="G9673" s="11" t="e">
        <f t="shared" si="1487"/>
        <v>#DIV/0!</v>
      </c>
      <c r="H9673" s="11" t="e">
        <f t="shared" si="1488"/>
        <v>#N/A</v>
      </c>
      <c r="I9673" s="11" t="e">
        <f t="shared" si="1489"/>
        <v>#N/A</v>
      </c>
      <c r="J9673" s="12" t="e">
        <f t="shared" si="1490"/>
        <v>#N/A</v>
      </c>
      <c r="K9673" s="17" t="e">
        <f t="shared" si="1494"/>
        <v>#N/A</v>
      </c>
      <c r="L9673" s="16">
        <f>base!X9673</f>
        <v>0</v>
      </c>
      <c r="M9673" s="11" t="e">
        <f t="shared" si="1491"/>
        <v>#DIV/0!</v>
      </c>
      <c r="N9673" s="11"/>
      <c r="O9673" s="11" t="e">
        <f t="shared" si="1492"/>
        <v>#DIV/0!</v>
      </c>
      <c r="P9673" s="12">
        <f t="shared" si="1493"/>
        <v>0</v>
      </c>
      <c r="Q9673" s="17" t="str">
        <f t="shared" si="1495"/>
        <v>Pas d'écart</v>
      </c>
    </row>
    <row r="9674" spans="1:17" x14ac:dyDescent="0.3">
      <c r="A9674" s="34">
        <f>base!J9674</f>
        <v>0</v>
      </c>
      <c r="B9674" s="34">
        <f>base!V9674</f>
        <v>0</v>
      </c>
      <c r="C9674" s="40" t="s">
        <v>11</v>
      </c>
      <c r="D9674" s="36">
        <f>base!H9674</f>
        <v>0</v>
      </c>
      <c r="E9674" s="44"/>
      <c r="F9674" s="16">
        <f>base!W9674</f>
        <v>0</v>
      </c>
      <c r="G9674" s="11" t="e">
        <f t="shared" si="1487"/>
        <v>#DIV/0!</v>
      </c>
      <c r="H9674" s="11" t="e">
        <f t="shared" si="1488"/>
        <v>#N/A</v>
      </c>
      <c r="I9674" s="11" t="e">
        <f t="shared" si="1489"/>
        <v>#N/A</v>
      </c>
      <c r="J9674" s="12" t="e">
        <f t="shared" si="1490"/>
        <v>#N/A</v>
      </c>
      <c r="K9674" s="17" t="e">
        <f t="shared" si="1494"/>
        <v>#N/A</v>
      </c>
      <c r="L9674" s="16">
        <f>base!X9674</f>
        <v>0</v>
      </c>
      <c r="M9674" s="11" t="e">
        <f t="shared" si="1491"/>
        <v>#DIV/0!</v>
      </c>
      <c r="N9674" s="11"/>
      <c r="O9674" s="11" t="e">
        <f t="shared" si="1492"/>
        <v>#DIV/0!</v>
      </c>
      <c r="P9674" s="12">
        <f t="shared" si="1493"/>
        <v>0</v>
      </c>
      <c r="Q9674" s="17" t="str">
        <f t="shared" si="1495"/>
        <v>Pas d'écart</v>
      </c>
    </row>
    <row r="9675" spans="1:17" x14ac:dyDescent="0.3">
      <c r="A9675" s="34">
        <f>base!J9675</f>
        <v>0</v>
      </c>
      <c r="B9675" s="34">
        <f>base!V9675</f>
        <v>0</v>
      </c>
      <c r="C9675" s="40" t="s">
        <v>11</v>
      </c>
      <c r="D9675" s="36">
        <f>base!H9675</f>
        <v>0</v>
      </c>
      <c r="E9675" s="44"/>
      <c r="F9675" s="16">
        <f>base!W9675</f>
        <v>0</v>
      </c>
      <c r="G9675" s="11" t="e">
        <f t="shared" si="1487"/>
        <v>#DIV/0!</v>
      </c>
      <c r="H9675" s="11" t="e">
        <f t="shared" si="1488"/>
        <v>#N/A</v>
      </c>
      <c r="I9675" s="11" t="e">
        <f t="shared" si="1489"/>
        <v>#N/A</v>
      </c>
      <c r="J9675" s="12" t="e">
        <f t="shared" si="1490"/>
        <v>#N/A</v>
      </c>
      <c r="K9675" s="17" t="e">
        <f t="shared" si="1494"/>
        <v>#N/A</v>
      </c>
      <c r="L9675" s="16">
        <f>base!X9675</f>
        <v>0</v>
      </c>
      <c r="M9675" s="11" t="e">
        <f t="shared" si="1491"/>
        <v>#DIV/0!</v>
      </c>
      <c r="N9675" s="11"/>
      <c r="O9675" s="11" t="e">
        <f t="shared" si="1492"/>
        <v>#DIV/0!</v>
      </c>
      <c r="P9675" s="12">
        <f t="shared" si="1493"/>
        <v>0</v>
      </c>
      <c r="Q9675" s="17" t="str">
        <f t="shared" si="1495"/>
        <v>Pas d'écart</v>
      </c>
    </row>
    <row r="9676" spans="1:17" x14ac:dyDescent="0.3">
      <c r="A9676" s="34">
        <f>base!J9676</f>
        <v>0</v>
      </c>
      <c r="B9676" s="34">
        <f>base!V9676</f>
        <v>0</v>
      </c>
      <c r="C9676" s="40" t="s">
        <v>11</v>
      </c>
      <c r="D9676" s="36">
        <f>base!H9676</f>
        <v>0</v>
      </c>
      <c r="E9676" s="44"/>
      <c r="F9676" s="16">
        <f>base!W9676</f>
        <v>0</v>
      </c>
      <c r="G9676" s="11" t="e">
        <f t="shared" si="1487"/>
        <v>#DIV/0!</v>
      </c>
      <c r="H9676" s="11" t="e">
        <f t="shared" si="1488"/>
        <v>#N/A</v>
      </c>
      <c r="I9676" s="11" t="e">
        <f t="shared" si="1489"/>
        <v>#N/A</v>
      </c>
      <c r="J9676" s="12" t="e">
        <f t="shared" si="1490"/>
        <v>#N/A</v>
      </c>
      <c r="K9676" s="17" t="e">
        <f t="shared" si="1494"/>
        <v>#N/A</v>
      </c>
      <c r="L9676" s="16">
        <f>base!X9676</f>
        <v>0</v>
      </c>
      <c r="M9676" s="11" t="e">
        <f t="shared" si="1491"/>
        <v>#DIV/0!</v>
      </c>
      <c r="N9676" s="11"/>
      <c r="O9676" s="11" t="e">
        <f t="shared" si="1492"/>
        <v>#DIV/0!</v>
      </c>
      <c r="P9676" s="12">
        <f t="shared" si="1493"/>
        <v>0</v>
      </c>
      <c r="Q9676" s="17" t="str">
        <f t="shared" si="1495"/>
        <v>Pas d'écart</v>
      </c>
    </row>
    <row r="9677" spans="1:17" x14ac:dyDescent="0.3">
      <c r="A9677" s="34">
        <f>base!J9677</f>
        <v>0</v>
      </c>
      <c r="B9677" s="34">
        <f>base!V9677</f>
        <v>0</v>
      </c>
      <c r="C9677" s="40" t="s">
        <v>11</v>
      </c>
      <c r="D9677" s="36">
        <f>base!H9677</f>
        <v>0</v>
      </c>
      <c r="E9677" s="44"/>
      <c r="F9677" s="16">
        <f>base!W9677</f>
        <v>0</v>
      </c>
      <c r="G9677" s="11" t="e">
        <f t="shared" si="1487"/>
        <v>#DIV/0!</v>
      </c>
      <c r="H9677" s="11" t="e">
        <f t="shared" si="1488"/>
        <v>#N/A</v>
      </c>
      <c r="I9677" s="11" t="e">
        <f t="shared" si="1489"/>
        <v>#N/A</v>
      </c>
      <c r="J9677" s="12" t="e">
        <f t="shared" si="1490"/>
        <v>#N/A</v>
      </c>
      <c r="K9677" s="17" t="e">
        <f t="shared" si="1494"/>
        <v>#N/A</v>
      </c>
      <c r="L9677" s="16">
        <f>base!X9677</f>
        <v>0</v>
      </c>
      <c r="M9677" s="11" t="e">
        <f t="shared" si="1491"/>
        <v>#DIV/0!</v>
      </c>
      <c r="N9677" s="11"/>
      <c r="O9677" s="11" t="e">
        <f t="shared" si="1492"/>
        <v>#DIV/0!</v>
      </c>
      <c r="P9677" s="12">
        <f t="shared" si="1493"/>
        <v>0</v>
      </c>
      <c r="Q9677" s="17" t="str">
        <f t="shared" si="1495"/>
        <v>Pas d'écart</v>
      </c>
    </row>
    <row r="9678" spans="1:17" x14ac:dyDescent="0.3">
      <c r="A9678" s="34">
        <f>base!J9678</f>
        <v>0</v>
      </c>
      <c r="B9678" s="34">
        <f>base!V9678</f>
        <v>0</v>
      </c>
      <c r="C9678" s="40" t="s">
        <v>11</v>
      </c>
      <c r="D9678" s="36">
        <f>base!H9678</f>
        <v>0</v>
      </c>
      <c r="E9678" s="44"/>
      <c r="F9678" s="16">
        <f>base!W9678</f>
        <v>0</v>
      </c>
      <c r="G9678" s="11" t="e">
        <f t="shared" si="1487"/>
        <v>#DIV/0!</v>
      </c>
      <c r="H9678" s="11" t="e">
        <f t="shared" si="1488"/>
        <v>#N/A</v>
      </c>
      <c r="I9678" s="11" t="e">
        <f t="shared" si="1489"/>
        <v>#N/A</v>
      </c>
      <c r="J9678" s="12" t="e">
        <f t="shared" si="1490"/>
        <v>#N/A</v>
      </c>
      <c r="K9678" s="17" t="e">
        <f t="shared" si="1494"/>
        <v>#N/A</v>
      </c>
      <c r="L9678" s="16">
        <f>base!X9678</f>
        <v>0</v>
      </c>
      <c r="M9678" s="11" t="e">
        <f t="shared" si="1491"/>
        <v>#DIV/0!</v>
      </c>
      <c r="N9678" s="11"/>
      <c r="O9678" s="11" t="e">
        <f t="shared" si="1492"/>
        <v>#DIV/0!</v>
      </c>
      <c r="P9678" s="12">
        <f t="shared" si="1493"/>
        <v>0</v>
      </c>
      <c r="Q9678" s="17" t="str">
        <f t="shared" si="1495"/>
        <v>Pas d'écart</v>
      </c>
    </row>
    <row r="9679" spans="1:17" x14ac:dyDescent="0.3">
      <c r="A9679" s="34">
        <f>base!J9679</f>
        <v>0</v>
      </c>
      <c r="B9679" s="34">
        <f>base!V9679</f>
        <v>0</v>
      </c>
      <c r="C9679" s="40" t="s">
        <v>11</v>
      </c>
      <c r="D9679" s="36">
        <f>base!H9679</f>
        <v>0</v>
      </c>
      <c r="E9679" s="44"/>
      <c r="F9679" s="16">
        <f>base!W9679</f>
        <v>0</v>
      </c>
      <c r="G9679" s="11" t="e">
        <f t="shared" si="1487"/>
        <v>#DIV/0!</v>
      </c>
      <c r="H9679" s="11" t="e">
        <f t="shared" si="1488"/>
        <v>#N/A</v>
      </c>
      <c r="I9679" s="11" t="e">
        <f t="shared" si="1489"/>
        <v>#N/A</v>
      </c>
      <c r="J9679" s="12" t="e">
        <f t="shared" si="1490"/>
        <v>#N/A</v>
      </c>
      <c r="K9679" s="17" t="e">
        <f t="shared" si="1494"/>
        <v>#N/A</v>
      </c>
      <c r="L9679" s="16">
        <f>base!X9679</f>
        <v>0</v>
      </c>
      <c r="M9679" s="11" t="e">
        <f t="shared" si="1491"/>
        <v>#DIV/0!</v>
      </c>
      <c r="N9679" s="11"/>
      <c r="O9679" s="11" t="e">
        <f t="shared" si="1492"/>
        <v>#DIV/0!</v>
      </c>
      <c r="P9679" s="12">
        <f t="shared" si="1493"/>
        <v>0</v>
      </c>
      <c r="Q9679" s="17" t="str">
        <f t="shared" si="1495"/>
        <v>Pas d'écart</v>
      </c>
    </row>
    <row r="9680" spans="1:17" x14ac:dyDescent="0.3">
      <c r="A9680" s="34">
        <f>base!J9680</f>
        <v>0</v>
      </c>
      <c r="B9680" s="34">
        <f>base!V9680</f>
        <v>0</v>
      </c>
      <c r="C9680" s="40" t="s">
        <v>11</v>
      </c>
      <c r="D9680" s="36">
        <f>base!H9680</f>
        <v>0</v>
      </c>
      <c r="E9680" s="44"/>
      <c r="F9680" s="16">
        <f>base!W9680</f>
        <v>0</v>
      </c>
      <c r="G9680" s="11" t="e">
        <f t="shared" si="1487"/>
        <v>#DIV/0!</v>
      </c>
      <c r="H9680" s="11" t="e">
        <f t="shared" si="1488"/>
        <v>#N/A</v>
      </c>
      <c r="I9680" s="11" t="e">
        <f t="shared" si="1489"/>
        <v>#N/A</v>
      </c>
      <c r="J9680" s="12" t="e">
        <f t="shared" si="1490"/>
        <v>#N/A</v>
      </c>
      <c r="K9680" s="17" t="e">
        <f t="shared" si="1494"/>
        <v>#N/A</v>
      </c>
      <c r="L9680" s="16">
        <f>base!X9680</f>
        <v>0</v>
      </c>
      <c r="M9680" s="11" t="e">
        <f t="shared" si="1491"/>
        <v>#DIV/0!</v>
      </c>
      <c r="N9680" s="11"/>
      <c r="O9680" s="11" t="e">
        <f t="shared" si="1492"/>
        <v>#DIV/0!</v>
      </c>
      <c r="P9680" s="12">
        <f t="shared" si="1493"/>
        <v>0</v>
      </c>
      <c r="Q9680" s="17" t="str">
        <f t="shared" si="1495"/>
        <v>Pas d'écart</v>
      </c>
    </row>
    <row r="9681" spans="1:17" x14ac:dyDescent="0.3">
      <c r="A9681" s="34">
        <f>base!J9681</f>
        <v>0</v>
      </c>
      <c r="B9681" s="34">
        <f>base!V9681</f>
        <v>0</v>
      </c>
      <c r="C9681" s="40" t="s">
        <v>11</v>
      </c>
      <c r="D9681" s="36">
        <f>base!H9681</f>
        <v>0</v>
      </c>
      <c r="E9681" s="44"/>
      <c r="F9681" s="16">
        <f>base!W9681</f>
        <v>0</v>
      </c>
      <c r="G9681" s="11" t="e">
        <f t="shared" si="1487"/>
        <v>#DIV/0!</v>
      </c>
      <c r="H9681" s="11" t="e">
        <f t="shared" si="1488"/>
        <v>#N/A</v>
      </c>
      <c r="I9681" s="11" t="e">
        <f t="shared" si="1489"/>
        <v>#N/A</v>
      </c>
      <c r="J9681" s="12" t="e">
        <f t="shared" si="1490"/>
        <v>#N/A</v>
      </c>
      <c r="K9681" s="17" t="e">
        <f t="shared" si="1494"/>
        <v>#N/A</v>
      </c>
      <c r="L9681" s="16">
        <f>base!X9681</f>
        <v>0</v>
      </c>
      <c r="M9681" s="11" t="e">
        <f t="shared" si="1491"/>
        <v>#DIV/0!</v>
      </c>
      <c r="N9681" s="11"/>
      <c r="O9681" s="11" t="e">
        <f t="shared" si="1492"/>
        <v>#DIV/0!</v>
      </c>
      <c r="P9681" s="12">
        <f t="shared" si="1493"/>
        <v>0</v>
      </c>
      <c r="Q9681" s="17" t="str">
        <f t="shared" si="1495"/>
        <v>Pas d'écart</v>
      </c>
    </row>
    <row r="9682" spans="1:17" x14ac:dyDescent="0.3">
      <c r="A9682" s="34">
        <f>base!J9682</f>
        <v>0</v>
      </c>
      <c r="B9682" s="34">
        <f>base!V9682</f>
        <v>0</v>
      </c>
      <c r="C9682" s="40" t="s">
        <v>11</v>
      </c>
      <c r="D9682" s="36">
        <f>base!H9682</f>
        <v>0</v>
      </c>
      <c r="E9682" s="44"/>
      <c r="F9682" s="16">
        <f>base!W9682</f>
        <v>0</v>
      </c>
      <c r="G9682" s="11" t="e">
        <f t="shared" si="1487"/>
        <v>#DIV/0!</v>
      </c>
      <c r="H9682" s="11" t="e">
        <f t="shared" si="1488"/>
        <v>#N/A</v>
      </c>
      <c r="I9682" s="11" t="e">
        <f t="shared" si="1489"/>
        <v>#N/A</v>
      </c>
      <c r="J9682" s="12" t="e">
        <f t="shared" si="1490"/>
        <v>#N/A</v>
      </c>
      <c r="K9682" s="17" t="e">
        <f t="shared" si="1494"/>
        <v>#N/A</v>
      </c>
      <c r="L9682" s="16">
        <f>base!X9682</f>
        <v>0</v>
      </c>
      <c r="M9682" s="11" t="e">
        <f t="shared" si="1491"/>
        <v>#DIV/0!</v>
      </c>
      <c r="N9682" s="11"/>
      <c r="O9682" s="11" t="e">
        <f t="shared" si="1492"/>
        <v>#DIV/0!</v>
      </c>
      <c r="P9682" s="12">
        <f t="shared" si="1493"/>
        <v>0</v>
      </c>
      <c r="Q9682" s="17" t="str">
        <f t="shared" si="1495"/>
        <v>Pas d'écart</v>
      </c>
    </row>
    <row r="9683" spans="1:17" x14ac:dyDescent="0.3">
      <c r="A9683" s="34">
        <f>base!J9683</f>
        <v>0</v>
      </c>
      <c r="B9683" s="34">
        <f>base!V9683</f>
        <v>0</v>
      </c>
      <c r="C9683" s="40" t="s">
        <v>11</v>
      </c>
      <c r="D9683" s="36">
        <f>base!H9683</f>
        <v>0</v>
      </c>
      <c r="E9683" s="44"/>
      <c r="F9683" s="16">
        <f>base!W9683</f>
        <v>0</v>
      </c>
      <c r="G9683" s="11" t="e">
        <f t="shared" si="1487"/>
        <v>#DIV/0!</v>
      </c>
      <c r="H9683" s="11" t="e">
        <f t="shared" si="1488"/>
        <v>#N/A</v>
      </c>
      <c r="I9683" s="11" t="e">
        <f t="shared" si="1489"/>
        <v>#N/A</v>
      </c>
      <c r="J9683" s="12" t="e">
        <f t="shared" si="1490"/>
        <v>#N/A</v>
      </c>
      <c r="K9683" s="17" t="e">
        <f t="shared" si="1494"/>
        <v>#N/A</v>
      </c>
      <c r="L9683" s="16">
        <f>base!X9683</f>
        <v>0</v>
      </c>
      <c r="M9683" s="11" t="e">
        <f t="shared" si="1491"/>
        <v>#DIV/0!</v>
      </c>
      <c r="N9683" s="11"/>
      <c r="O9683" s="11" t="e">
        <f t="shared" si="1492"/>
        <v>#DIV/0!</v>
      </c>
      <c r="P9683" s="12">
        <f t="shared" si="1493"/>
        <v>0</v>
      </c>
      <c r="Q9683" s="17" t="str">
        <f t="shared" si="1495"/>
        <v>Pas d'écart</v>
      </c>
    </row>
    <row r="9684" spans="1:17" x14ac:dyDescent="0.3">
      <c r="A9684" s="34">
        <f>base!J9684</f>
        <v>0</v>
      </c>
      <c r="B9684" s="34">
        <f>base!V9684</f>
        <v>0</v>
      </c>
      <c r="C9684" s="40" t="s">
        <v>11</v>
      </c>
      <c r="D9684" s="36">
        <f>base!H9684</f>
        <v>0</v>
      </c>
      <c r="E9684" s="44"/>
      <c r="F9684" s="16">
        <f>base!W9684</f>
        <v>0</v>
      </c>
      <c r="G9684" s="11" t="e">
        <f t="shared" si="1487"/>
        <v>#DIV/0!</v>
      </c>
      <c r="H9684" s="11" t="e">
        <f t="shared" si="1488"/>
        <v>#N/A</v>
      </c>
      <c r="I9684" s="11" t="e">
        <f t="shared" si="1489"/>
        <v>#N/A</v>
      </c>
      <c r="J9684" s="12" t="e">
        <f t="shared" si="1490"/>
        <v>#N/A</v>
      </c>
      <c r="K9684" s="17" t="e">
        <f t="shared" si="1494"/>
        <v>#N/A</v>
      </c>
      <c r="L9684" s="16">
        <f>base!X9684</f>
        <v>0</v>
      </c>
      <c r="M9684" s="11" t="e">
        <f t="shared" si="1491"/>
        <v>#DIV/0!</v>
      </c>
      <c r="N9684" s="11"/>
      <c r="O9684" s="11" t="e">
        <f t="shared" si="1492"/>
        <v>#DIV/0!</v>
      </c>
      <c r="P9684" s="12">
        <f t="shared" si="1493"/>
        <v>0</v>
      </c>
      <c r="Q9684" s="17" t="str">
        <f t="shared" si="1495"/>
        <v>Pas d'écart</v>
      </c>
    </row>
    <row r="9685" spans="1:17" x14ac:dyDescent="0.3">
      <c r="A9685" s="34">
        <f>base!J9685</f>
        <v>0</v>
      </c>
      <c r="B9685" s="34">
        <f>base!V9685</f>
        <v>0</v>
      </c>
      <c r="C9685" s="40" t="s">
        <v>11</v>
      </c>
      <c r="D9685" s="36">
        <f>base!H9685</f>
        <v>0</v>
      </c>
      <c r="E9685" s="44"/>
      <c r="F9685" s="16">
        <f>base!W9685</f>
        <v>0</v>
      </c>
      <c r="G9685" s="11" t="e">
        <f t="shared" si="1487"/>
        <v>#DIV/0!</v>
      </c>
      <c r="H9685" s="11" t="e">
        <f t="shared" si="1488"/>
        <v>#N/A</v>
      </c>
      <c r="I9685" s="11" t="e">
        <f t="shared" si="1489"/>
        <v>#N/A</v>
      </c>
      <c r="J9685" s="12" t="e">
        <f t="shared" si="1490"/>
        <v>#N/A</v>
      </c>
      <c r="K9685" s="17" t="e">
        <f t="shared" si="1494"/>
        <v>#N/A</v>
      </c>
      <c r="L9685" s="16">
        <f>base!X9685</f>
        <v>0</v>
      </c>
      <c r="M9685" s="11" t="e">
        <f t="shared" si="1491"/>
        <v>#DIV/0!</v>
      </c>
      <c r="N9685" s="11"/>
      <c r="O9685" s="11" t="e">
        <f t="shared" si="1492"/>
        <v>#DIV/0!</v>
      </c>
      <c r="P9685" s="12">
        <f t="shared" si="1493"/>
        <v>0</v>
      </c>
      <c r="Q9685" s="17" t="str">
        <f t="shared" si="1495"/>
        <v>Pas d'écart</v>
      </c>
    </row>
    <row r="9686" spans="1:17" x14ac:dyDescent="0.3">
      <c r="A9686" s="34">
        <f>base!J9686</f>
        <v>0</v>
      </c>
      <c r="B9686" s="34">
        <f>base!V9686</f>
        <v>0</v>
      </c>
      <c r="C9686" s="40" t="s">
        <v>11</v>
      </c>
      <c r="D9686" s="36">
        <f>base!H9686</f>
        <v>0</v>
      </c>
      <c r="E9686" s="44"/>
      <c r="F9686" s="16">
        <f>base!W9686</f>
        <v>0</v>
      </c>
      <c r="G9686" s="11" t="e">
        <f t="shared" si="1487"/>
        <v>#DIV/0!</v>
      </c>
      <c r="H9686" s="11" t="e">
        <f t="shared" si="1488"/>
        <v>#N/A</v>
      </c>
      <c r="I9686" s="11" t="e">
        <f t="shared" si="1489"/>
        <v>#N/A</v>
      </c>
      <c r="J9686" s="12" t="e">
        <f t="shared" si="1490"/>
        <v>#N/A</v>
      </c>
      <c r="K9686" s="17" t="e">
        <f t="shared" si="1494"/>
        <v>#N/A</v>
      </c>
      <c r="L9686" s="16">
        <f>base!X9686</f>
        <v>0</v>
      </c>
      <c r="M9686" s="11" t="e">
        <f t="shared" si="1491"/>
        <v>#DIV/0!</v>
      </c>
      <c r="N9686" s="11"/>
      <c r="O9686" s="11" t="e">
        <f t="shared" si="1492"/>
        <v>#DIV/0!</v>
      </c>
      <c r="P9686" s="12">
        <f t="shared" si="1493"/>
        <v>0</v>
      </c>
      <c r="Q9686" s="17" t="str">
        <f t="shared" si="1495"/>
        <v>Pas d'écart</v>
      </c>
    </row>
    <row r="9687" spans="1:17" x14ac:dyDescent="0.3">
      <c r="A9687" s="34">
        <f>base!J9687</f>
        <v>0</v>
      </c>
      <c r="B9687" s="34">
        <f>base!V9687</f>
        <v>0</v>
      </c>
      <c r="C9687" s="40" t="s">
        <v>11</v>
      </c>
      <c r="D9687" s="36">
        <f>base!H9687</f>
        <v>0</v>
      </c>
      <c r="E9687" s="44"/>
      <c r="F9687" s="16">
        <f>base!W9687</f>
        <v>0</v>
      </c>
      <c r="G9687" s="11" t="e">
        <f t="shared" si="1487"/>
        <v>#DIV/0!</v>
      </c>
      <c r="H9687" s="11" t="e">
        <f t="shared" si="1488"/>
        <v>#N/A</v>
      </c>
      <c r="I9687" s="11" t="e">
        <f t="shared" si="1489"/>
        <v>#N/A</v>
      </c>
      <c r="J9687" s="12" t="e">
        <f t="shared" si="1490"/>
        <v>#N/A</v>
      </c>
      <c r="K9687" s="17" t="e">
        <f t="shared" si="1494"/>
        <v>#N/A</v>
      </c>
      <c r="L9687" s="16">
        <f>base!X9687</f>
        <v>0</v>
      </c>
      <c r="M9687" s="11" t="e">
        <f t="shared" si="1491"/>
        <v>#DIV/0!</v>
      </c>
      <c r="N9687" s="11"/>
      <c r="O9687" s="11" t="e">
        <f t="shared" si="1492"/>
        <v>#DIV/0!</v>
      </c>
      <c r="P9687" s="12">
        <f t="shared" si="1493"/>
        <v>0</v>
      </c>
      <c r="Q9687" s="17" t="str">
        <f t="shared" si="1495"/>
        <v>Pas d'écart</v>
      </c>
    </row>
    <row r="9688" spans="1:17" x14ac:dyDescent="0.3">
      <c r="A9688" s="34">
        <f>base!J9688</f>
        <v>0</v>
      </c>
      <c r="B9688" s="34">
        <f>base!V9688</f>
        <v>0</v>
      </c>
      <c r="C9688" s="40" t="s">
        <v>11</v>
      </c>
      <c r="D9688" s="36">
        <f>base!H9688</f>
        <v>0</v>
      </c>
      <c r="E9688" s="44"/>
      <c r="F9688" s="16">
        <f>base!W9688</f>
        <v>0</v>
      </c>
      <c r="G9688" s="11" t="e">
        <f t="shared" si="1487"/>
        <v>#DIV/0!</v>
      </c>
      <c r="H9688" s="11" t="e">
        <f t="shared" si="1488"/>
        <v>#N/A</v>
      </c>
      <c r="I9688" s="11" t="e">
        <f t="shared" si="1489"/>
        <v>#N/A</v>
      </c>
      <c r="J9688" s="12" t="e">
        <f t="shared" si="1490"/>
        <v>#N/A</v>
      </c>
      <c r="K9688" s="17" t="e">
        <f t="shared" si="1494"/>
        <v>#N/A</v>
      </c>
      <c r="L9688" s="16">
        <f>base!X9688</f>
        <v>0</v>
      </c>
      <c r="M9688" s="11" t="e">
        <f t="shared" si="1491"/>
        <v>#DIV/0!</v>
      </c>
      <c r="N9688" s="11"/>
      <c r="O9688" s="11" t="e">
        <f t="shared" si="1492"/>
        <v>#DIV/0!</v>
      </c>
      <c r="P9688" s="12">
        <f t="shared" si="1493"/>
        <v>0</v>
      </c>
      <c r="Q9688" s="17" t="str">
        <f t="shared" si="1495"/>
        <v>Pas d'écart</v>
      </c>
    </row>
    <row r="9689" spans="1:17" x14ac:dyDescent="0.3">
      <c r="A9689" s="34">
        <f>base!J9689</f>
        <v>0</v>
      </c>
      <c r="B9689" s="34">
        <f>base!V9689</f>
        <v>0</v>
      </c>
      <c r="C9689" s="40" t="s">
        <v>11</v>
      </c>
      <c r="D9689" s="36">
        <f>base!H9689</f>
        <v>0</v>
      </c>
      <c r="E9689" s="44"/>
      <c r="F9689" s="16">
        <f>base!W9689</f>
        <v>0</v>
      </c>
      <c r="G9689" s="11" t="e">
        <f t="shared" si="1487"/>
        <v>#DIV/0!</v>
      </c>
      <c r="H9689" s="11" t="e">
        <f t="shared" si="1488"/>
        <v>#N/A</v>
      </c>
      <c r="I9689" s="11" t="e">
        <f t="shared" si="1489"/>
        <v>#N/A</v>
      </c>
      <c r="J9689" s="12" t="e">
        <f t="shared" si="1490"/>
        <v>#N/A</v>
      </c>
      <c r="K9689" s="17" t="e">
        <f t="shared" si="1494"/>
        <v>#N/A</v>
      </c>
      <c r="L9689" s="16">
        <f>base!X9689</f>
        <v>0</v>
      </c>
      <c r="M9689" s="11" t="e">
        <f t="shared" si="1491"/>
        <v>#DIV/0!</v>
      </c>
      <c r="N9689" s="11"/>
      <c r="O9689" s="11" t="e">
        <f t="shared" si="1492"/>
        <v>#DIV/0!</v>
      </c>
      <c r="P9689" s="12">
        <f t="shared" si="1493"/>
        <v>0</v>
      </c>
      <c r="Q9689" s="17" t="str">
        <f t="shared" si="1495"/>
        <v>Pas d'écart</v>
      </c>
    </row>
    <row r="9690" spans="1:17" x14ac:dyDescent="0.3">
      <c r="A9690" s="34">
        <f>base!J9690</f>
        <v>0</v>
      </c>
      <c r="B9690" s="34">
        <f>base!V9690</f>
        <v>0</v>
      </c>
      <c r="C9690" s="40" t="s">
        <v>11</v>
      </c>
      <c r="D9690" s="36">
        <f>base!H9690</f>
        <v>0</v>
      </c>
      <c r="E9690" s="44"/>
      <c r="F9690" s="16">
        <f>base!W9690</f>
        <v>0</v>
      </c>
      <c r="G9690" s="11" t="e">
        <f t="shared" si="1487"/>
        <v>#DIV/0!</v>
      </c>
      <c r="H9690" s="11" t="e">
        <f t="shared" si="1488"/>
        <v>#N/A</v>
      </c>
      <c r="I9690" s="11" t="e">
        <f t="shared" si="1489"/>
        <v>#N/A</v>
      </c>
      <c r="J9690" s="12" t="e">
        <f t="shared" si="1490"/>
        <v>#N/A</v>
      </c>
      <c r="K9690" s="17" t="e">
        <f t="shared" si="1494"/>
        <v>#N/A</v>
      </c>
      <c r="L9690" s="16">
        <f>base!X9690</f>
        <v>0</v>
      </c>
      <c r="M9690" s="11" t="e">
        <f t="shared" si="1491"/>
        <v>#DIV/0!</v>
      </c>
      <c r="N9690" s="11"/>
      <c r="O9690" s="11" t="e">
        <f t="shared" si="1492"/>
        <v>#DIV/0!</v>
      </c>
      <c r="P9690" s="12">
        <f t="shared" si="1493"/>
        <v>0</v>
      </c>
      <c r="Q9690" s="17" t="str">
        <f t="shared" si="1495"/>
        <v>Pas d'écart</v>
      </c>
    </row>
    <row r="9691" spans="1:17" x14ac:dyDescent="0.3">
      <c r="A9691" s="34">
        <f>base!J9691</f>
        <v>0</v>
      </c>
      <c r="B9691" s="34">
        <f>base!V9691</f>
        <v>0</v>
      </c>
      <c r="C9691" s="40" t="s">
        <v>11</v>
      </c>
      <c r="D9691" s="36">
        <f>base!H9691</f>
        <v>0</v>
      </c>
      <c r="E9691" s="44"/>
      <c r="F9691" s="16">
        <f>base!W9691</f>
        <v>0</v>
      </c>
      <c r="G9691" s="11" t="e">
        <f t="shared" si="1487"/>
        <v>#DIV/0!</v>
      </c>
      <c r="H9691" s="11" t="e">
        <f t="shared" si="1488"/>
        <v>#N/A</v>
      </c>
      <c r="I9691" s="11" t="e">
        <f t="shared" si="1489"/>
        <v>#N/A</v>
      </c>
      <c r="J9691" s="12" t="e">
        <f t="shared" si="1490"/>
        <v>#N/A</v>
      </c>
      <c r="K9691" s="17" t="e">
        <f t="shared" si="1494"/>
        <v>#N/A</v>
      </c>
      <c r="L9691" s="16">
        <f>base!X9691</f>
        <v>0</v>
      </c>
      <c r="M9691" s="11" t="e">
        <f t="shared" si="1491"/>
        <v>#DIV/0!</v>
      </c>
      <c r="N9691" s="11"/>
      <c r="O9691" s="11" t="e">
        <f t="shared" si="1492"/>
        <v>#DIV/0!</v>
      </c>
      <c r="P9691" s="12">
        <f t="shared" si="1493"/>
        <v>0</v>
      </c>
      <c r="Q9691" s="17" t="str">
        <f t="shared" si="1495"/>
        <v>Pas d'écart</v>
      </c>
    </row>
    <row r="9692" spans="1:17" x14ac:dyDescent="0.3">
      <c r="A9692" s="34">
        <f>base!J9692</f>
        <v>0</v>
      </c>
      <c r="B9692" s="34">
        <f>base!V9692</f>
        <v>0</v>
      </c>
      <c r="C9692" s="40" t="s">
        <v>11</v>
      </c>
      <c r="D9692" s="36">
        <f>base!H9692</f>
        <v>0</v>
      </c>
      <c r="E9692" s="44"/>
      <c r="F9692" s="16">
        <f>base!W9692</f>
        <v>0</v>
      </c>
      <c r="G9692" s="11" t="e">
        <f t="shared" si="1487"/>
        <v>#DIV/0!</v>
      </c>
      <c r="H9692" s="11" t="e">
        <f t="shared" si="1488"/>
        <v>#N/A</v>
      </c>
      <c r="I9692" s="11" t="e">
        <f t="shared" si="1489"/>
        <v>#N/A</v>
      </c>
      <c r="J9692" s="12" t="e">
        <f t="shared" si="1490"/>
        <v>#N/A</v>
      </c>
      <c r="K9692" s="17" t="e">
        <f t="shared" si="1494"/>
        <v>#N/A</v>
      </c>
      <c r="L9692" s="16">
        <f>base!X9692</f>
        <v>0</v>
      </c>
      <c r="M9692" s="11" t="e">
        <f t="shared" si="1491"/>
        <v>#DIV/0!</v>
      </c>
      <c r="N9692" s="11"/>
      <c r="O9692" s="11" t="e">
        <f t="shared" si="1492"/>
        <v>#DIV/0!</v>
      </c>
      <c r="P9692" s="12">
        <f t="shared" si="1493"/>
        <v>0</v>
      </c>
      <c r="Q9692" s="17" t="str">
        <f t="shared" si="1495"/>
        <v>Pas d'écart</v>
      </c>
    </row>
    <row r="9693" spans="1:17" x14ac:dyDescent="0.3">
      <c r="A9693" s="34">
        <f>base!J9693</f>
        <v>0</v>
      </c>
      <c r="B9693" s="34">
        <f>base!V9693</f>
        <v>0</v>
      </c>
      <c r="C9693" s="40" t="s">
        <v>11</v>
      </c>
      <c r="D9693" s="36">
        <f>base!H9693</f>
        <v>0</v>
      </c>
      <c r="E9693" s="44"/>
      <c r="F9693" s="16">
        <f>base!W9693</f>
        <v>0</v>
      </c>
      <c r="G9693" s="11" t="e">
        <f t="shared" si="1487"/>
        <v>#DIV/0!</v>
      </c>
      <c r="H9693" s="11" t="e">
        <f t="shared" si="1488"/>
        <v>#N/A</v>
      </c>
      <c r="I9693" s="11" t="e">
        <f t="shared" si="1489"/>
        <v>#N/A</v>
      </c>
      <c r="J9693" s="12" t="e">
        <f t="shared" si="1490"/>
        <v>#N/A</v>
      </c>
      <c r="K9693" s="17" t="e">
        <f t="shared" si="1494"/>
        <v>#N/A</v>
      </c>
      <c r="L9693" s="16">
        <f>base!X9693</f>
        <v>0</v>
      </c>
      <c r="M9693" s="11" t="e">
        <f t="shared" si="1491"/>
        <v>#DIV/0!</v>
      </c>
      <c r="N9693" s="11"/>
      <c r="O9693" s="11" t="e">
        <f t="shared" si="1492"/>
        <v>#DIV/0!</v>
      </c>
      <c r="P9693" s="12">
        <f t="shared" si="1493"/>
        <v>0</v>
      </c>
      <c r="Q9693" s="17" t="str">
        <f t="shared" si="1495"/>
        <v>Pas d'écart</v>
      </c>
    </row>
    <row r="9694" spans="1:17" x14ac:dyDescent="0.3">
      <c r="A9694" s="34">
        <f>base!J9694</f>
        <v>0</v>
      </c>
      <c r="B9694" s="34">
        <f>base!V9694</f>
        <v>0</v>
      </c>
      <c r="C9694" s="40" t="s">
        <v>11</v>
      </c>
      <c r="D9694" s="36">
        <f>base!H9694</f>
        <v>0</v>
      </c>
      <c r="E9694" s="44"/>
      <c r="F9694" s="16">
        <f>base!W9694</f>
        <v>0</v>
      </c>
      <c r="G9694" s="11" t="e">
        <f t="shared" si="1487"/>
        <v>#DIV/0!</v>
      </c>
      <c r="H9694" s="11" t="e">
        <f t="shared" si="1488"/>
        <v>#N/A</v>
      </c>
      <c r="I9694" s="11" t="e">
        <f t="shared" si="1489"/>
        <v>#N/A</v>
      </c>
      <c r="J9694" s="12" t="e">
        <f t="shared" si="1490"/>
        <v>#N/A</v>
      </c>
      <c r="K9694" s="17" t="e">
        <f t="shared" si="1494"/>
        <v>#N/A</v>
      </c>
      <c r="L9694" s="16">
        <f>base!X9694</f>
        <v>0</v>
      </c>
      <c r="M9694" s="11" t="e">
        <f t="shared" si="1491"/>
        <v>#DIV/0!</v>
      </c>
      <c r="N9694" s="11"/>
      <c r="O9694" s="11" t="e">
        <f t="shared" si="1492"/>
        <v>#DIV/0!</v>
      </c>
      <c r="P9694" s="12">
        <f t="shared" si="1493"/>
        <v>0</v>
      </c>
      <c r="Q9694" s="17" t="str">
        <f t="shared" si="1495"/>
        <v>Pas d'écart</v>
      </c>
    </row>
    <row r="9695" spans="1:17" x14ac:dyDescent="0.3">
      <c r="A9695" s="34">
        <f>base!J9695</f>
        <v>0</v>
      </c>
      <c r="B9695" s="34">
        <f>base!V9695</f>
        <v>0</v>
      </c>
      <c r="C9695" s="40" t="s">
        <v>11</v>
      </c>
      <c r="D9695" s="36">
        <f>base!H9695</f>
        <v>0</v>
      </c>
      <c r="E9695" s="44"/>
      <c r="F9695" s="16">
        <f>base!W9695</f>
        <v>0</v>
      </c>
      <c r="G9695" s="11" t="e">
        <f t="shared" si="1487"/>
        <v>#DIV/0!</v>
      </c>
      <c r="H9695" s="11" t="e">
        <f t="shared" si="1488"/>
        <v>#N/A</v>
      </c>
      <c r="I9695" s="11" t="e">
        <f t="shared" si="1489"/>
        <v>#N/A</v>
      </c>
      <c r="J9695" s="12" t="e">
        <f t="shared" si="1490"/>
        <v>#N/A</v>
      </c>
      <c r="K9695" s="17" t="e">
        <f t="shared" si="1494"/>
        <v>#N/A</v>
      </c>
      <c r="L9695" s="16">
        <f>base!X9695</f>
        <v>0</v>
      </c>
      <c r="M9695" s="11" t="e">
        <f t="shared" si="1491"/>
        <v>#DIV/0!</v>
      </c>
      <c r="N9695" s="11"/>
      <c r="O9695" s="11" t="e">
        <f t="shared" si="1492"/>
        <v>#DIV/0!</v>
      </c>
      <c r="P9695" s="12">
        <f t="shared" si="1493"/>
        <v>0</v>
      </c>
      <c r="Q9695" s="17" t="str">
        <f t="shared" si="1495"/>
        <v>Pas d'écart</v>
      </c>
    </row>
    <row r="9696" spans="1:17" x14ac:dyDescent="0.3">
      <c r="A9696" s="34">
        <f>base!J9696</f>
        <v>0</v>
      </c>
      <c r="B9696" s="34">
        <f>base!V9696</f>
        <v>0</v>
      </c>
      <c r="C9696" s="40" t="s">
        <v>11</v>
      </c>
      <c r="D9696" s="36">
        <f>base!H9696</f>
        <v>0</v>
      </c>
      <c r="E9696" s="44"/>
      <c r="F9696" s="16">
        <f>base!W9696</f>
        <v>0</v>
      </c>
      <c r="G9696" s="11" t="e">
        <f t="shared" si="1487"/>
        <v>#DIV/0!</v>
      </c>
      <c r="H9696" s="11" t="e">
        <f t="shared" si="1488"/>
        <v>#N/A</v>
      </c>
      <c r="I9696" s="11" t="e">
        <f t="shared" si="1489"/>
        <v>#N/A</v>
      </c>
      <c r="J9696" s="12" t="e">
        <f t="shared" si="1490"/>
        <v>#N/A</v>
      </c>
      <c r="K9696" s="17" t="e">
        <f t="shared" si="1494"/>
        <v>#N/A</v>
      </c>
      <c r="L9696" s="16">
        <f>base!X9696</f>
        <v>0</v>
      </c>
      <c r="M9696" s="11" t="e">
        <f t="shared" si="1491"/>
        <v>#DIV/0!</v>
      </c>
      <c r="N9696" s="11"/>
      <c r="O9696" s="11" t="e">
        <f t="shared" si="1492"/>
        <v>#DIV/0!</v>
      </c>
      <c r="P9696" s="12">
        <f t="shared" si="1493"/>
        <v>0</v>
      </c>
      <c r="Q9696" s="17" t="str">
        <f t="shared" si="1495"/>
        <v>Pas d'écart</v>
      </c>
    </row>
    <row r="9697" spans="1:17" x14ac:dyDescent="0.3">
      <c r="A9697" s="34">
        <f>base!J9697</f>
        <v>0</v>
      </c>
      <c r="B9697" s="34">
        <f>base!V9697</f>
        <v>0</v>
      </c>
      <c r="C9697" s="40" t="s">
        <v>11</v>
      </c>
      <c r="D9697" s="36">
        <f>base!H9697</f>
        <v>0</v>
      </c>
      <c r="E9697" s="44"/>
      <c r="F9697" s="16">
        <f>base!W9697</f>
        <v>0</v>
      </c>
      <c r="G9697" s="11" t="e">
        <f t="shared" si="1487"/>
        <v>#DIV/0!</v>
      </c>
      <c r="H9697" s="11" t="e">
        <f t="shared" si="1488"/>
        <v>#N/A</v>
      </c>
      <c r="I9697" s="11" t="e">
        <f t="shared" si="1489"/>
        <v>#N/A</v>
      </c>
      <c r="J9697" s="12" t="e">
        <f t="shared" si="1490"/>
        <v>#N/A</v>
      </c>
      <c r="K9697" s="17" t="e">
        <f t="shared" si="1494"/>
        <v>#N/A</v>
      </c>
      <c r="L9697" s="16">
        <f>base!X9697</f>
        <v>0</v>
      </c>
      <c r="M9697" s="11" t="e">
        <f t="shared" si="1491"/>
        <v>#DIV/0!</v>
      </c>
      <c r="N9697" s="11"/>
      <c r="O9697" s="11" t="e">
        <f t="shared" si="1492"/>
        <v>#DIV/0!</v>
      </c>
      <c r="P9697" s="12">
        <f t="shared" si="1493"/>
        <v>0</v>
      </c>
      <c r="Q9697" s="17" t="str">
        <f t="shared" si="1495"/>
        <v>Pas d'écart</v>
      </c>
    </row>
    <row r="9698" spans="1:17" x14ac:dyDescent="0.3">
      <c r="A9698" s="34">
        <f>base!J9698</f>
        <v>0</v>
      </c>
      <c r="B9698" s="34">
        <f>base!V9698</f>
        <v>0</v>
      </c>
      <c r="C9698" s="40" t="s">
        <v>11</v>
      </c>
      <c r="D9698" s="36">
        <f>base!H9698</f>
        <v>0</v>
      </c>
      <c r="E9698" s="44"/>
      <c r="F9698" s="16">
        <f>base!W9698</f>
        <v>0</v>
      </c>
      <c r="G9698" s="11" t="e">
        <f t="shared" si="1487"/>
        <v>#DIV/0!</v>
      </c>
      <c r="H9698" s="11" t="e">
        <f t="shared" si="1488"/>
        <v>#N/A</v>
      </c>
      <c r="I9698" s="11" t="e">
        <f t="shared" si="1489"/>
        <v>#N/A</v>
      </c>
      <c r="J9698" s="12" t="e">
        <f t="shared" si="1490"/>
        <v>#N/A</v>
      </c>
      <c r="K9698" s="17" t="e">
        <f t="shared" si="1494"/>
        <v>#N/A</v>
      </c>
      <c r="L9698" s="16">
        <f>base!X9698</f>
        <v>0</v>
      </c>
      <c r="M9698" s="11" t="e">
        <f t="shared" si="1491"/>
        <v>#DIV/0!</v>
      </c>
      <c r="N9698" s="11"/>
      <c r="O9698" s="11" t="e">
        <f t="shared" si="1492"/>
        <v>#DIV/0!</v>
      </c>
      <c r="P9698" s="12">
        <f t="shared" si="1493"/>
        <v>0</v>
      </c>
      <c r="Q9698" s="17" t="str">
        <f t="shared" si="1495"/>
        <v>Pas d'écart</v>
      </c>
    </row>
    <row r="9699" spans="1:17" x14ac:dyDescent="0.3">
      <c r="A9699" s="34">
        <f>base!J9699</f>
        <v>0</v>
      </c>
      <c r="B9699" s="34">
        <f>base!V9699</f>
        <v>0</v>
      </c>
      <c r="C9699" s="40" t="s">
        <v>11</v>
      </c>
      <c r="D9699" s="36">
        <f>base!H9699</f>
        <v>0</v>
      </c>
      <c r="E9699" s="44"/>
      <c r="F9699" s="16">
        <f>base!W9699</f>
        <v>0</v>
      </c>
      <c r="G9699" s="11" t="e">
        <f t="shared" si="1487"/>
        <v>#DIV/0!</v>
      </c>
      <c r="H9699" s="11" t="e">
        <f t="shared" si="1488"/>
        <v>#N/A</v>
      </c>
      <c r="I9699" s="11" t="e">
        <f t="shared" si="1489"/>
        <v>#N/A</v>
      </c>
      <c r="J9699" s="12" t="e">
        <f t="shared" si="1490"/>
        <v>#N/A</v>
      </c>
      <c r="K9699" s="17" t="e">
        <f t="shared" si="1494"/>
        <v>#N/A</v>
      </c>
      <c r="L9699" s="16">
        <f>base!X9699</f>
        <v>0</v>
      </c>
      <c r="M9699" s="11" t="e">
        <f t="shared" si="1491"/>
        <v>#DIV/0!</v>
      </c>
      <c r="N9699" s="11"/>
      <c r="O9699" s="11" t="e">
        <f t="shared" si="1492"/>
        <v>#DIV/0!</v>
      </c>
      <c r="P9699" s="12">
        <f t="shared" si="1493"/>
        <v>0</v>
      </c>
      <c r="Q9699" s="17" t="str">
        <f t="shared" si="1495"/>
        <v>Pas d'écart</v>
      </c>
    </row>
    <row r="9700" spans="1:17" x14ac:dyDescent="0.3">
      <c r="A9700" s="34">
        <f>base!J9700</f>
        <v>0</v>
      </c>
      <c r="B9700" s="34">
        <f>base!V9700</f>
        <v>0</v>
      </c>
      <c r="C9700" s="40" t="s">
        <v>11</v>
      </c>
      <c r="D9700" s="36">
        <f>base!H9700</f>
        <v>0</v>
      </c>
      <c r="E9700" s="44"/>
      <c r="F9700" s="16">
        <f>base!W9700</f>
        <v>0</v>
      </c>
      <c r="G9700" s="11" t="e">
        <f t="shared" si="1487"/>
        <v>#DIV/0!</v>
      </c>
      <c r="H9700" s="11" t="e">
        <f t="shared" si="1488"/>
        <v>#N/A</v>
      </c>
      <c r="I9700" s="11" t="e">
        <f t="shared" si="1489"/>
        <v>#N/A</v>
      </c>
      <c r="J9700" s="12" t="e">
        <f t="shared" si="1490"/>
        <v>#N/A</v>
      </c>
      <c r="K9700" s="17" t="e">
        <f t="shared" si="1494"/>
        <v>#N/A</v>
      </c>
      <c r="L9700" s="16">
        <f>base!X9700</f>
        <v>0</v>
      </c>
      <c r="M9700" s="11" t="e">
        <f t="shared" si="1491"/>
        <v>#DIV/0!</v>
      </c>
      <c r="N9700" s="11"/>
      <c r="O9700" s="11" t="e">
        <f t="shared" si="1492"/>
        <v>#DIV/0!</v>
      </c>
      <c r="P9700" s="12">
        <f t="shared" si="1493"/>
        <v>0</v>
      </c>
      <c r="Q9700" s="17" t="str">
        <f t="shared" si="1495"/>
        <v>Pas d'écart</v>
      </c>
    </row>
    <row r="9701" spans="1:17" x14ac:dyDescent="0.3">
      <c r="A9701" s="34">
        <f>base!J9701</f>
        <v>0</v>
      </c>
      <c r="B9701" s="34">
        <f>base!V9701</f>
        <v>0</v>
      </c>
      <c r="C9701" s="40" t="s">
        <v>11</v>
      </c>
      <c r="D9701" s="36">
        <f>base!H9701</f>
        <v>0</v>
      </c>
      <c r="E9701" s="44"/>
      <c r="F9701" s="16">
        <f>base!W9701</f>
        <v>0</v>
      </c>
      <c r="G9701" s="11" t="e">
        <f t="shared" si="1487"/>
        <v>#DIV/0!</v>
      </c>
      <c r="H9701" s="11" t="e">
        <f t="shared" si="1488"/>
        <v>#N/A</v>
      </c>
      <c r="I9701" s="11" t="e">
        <f t="shared" si="1489"/>
        <v>#N/A</v>
      </c>
      <c r="J9701" s="12" t="e">
        <f t="shared" si="1490"/>
        <v>#N/A</v>
      </c>
      <c r="K9701" s="17" t="e">
        <f t="shared" si="1494"/>
        <v>#N/A</v>
      </c>
      <c r="L9701" s="16">
        <f>base!X9701</f>
        <v>0</v>
      </c>
      <c r="M9701" s="11" t="e">
        <f t="shared" si="1491"/>
        <v>#DIV/0!</v>
      </c>
      <c r="N9701" s="11"/>
      <c r="O9701" s="11" t="e">
        <f t="shared" si="1492"/>
        <v>#DIV/0!</v>
      </c>
      <c r="P9701" s="12">
        <f t="shared" si="1493"/>
        <v>0</v>
      </c>
      <c r="Q9701" s="17" t="str">
        <f t="shared" si="1495"/>
        <v>Pas d'écart</v>
      </c>
    </row>
    <row r="9702" spans="1:17" x14ac:dyDescent="0.3">
      <c r="A9702" s="34">
        <f>base!J9702</f>
        <v>0</v>
      </c>
      <c r="B9702" s="34">
        <f>base!V9702</f>
        <v>0</v>
      </c>
      <c r="C9702" s="40" t="s">
        <v>11</v>
      </c>
      <c r="D9702" s="36">
        <f>base!H9702</f>
        <v>0</v>
      </c>
      <c r="E9702" s="44"/>
      <c r="F9702" s="16">
        <f>base!W9702</f>
        <v>0</v>
      </c>
      <c r="G9702" s="11" t="e">
        <f t="shared" si="1487"/>
        <v>#DIV/0!</v>
      </c>
      <c r="H9702" s="11" t="e">
        <f t="shared" si="1488"/>
        <v>#N/A</v>
      </c>
      <c r="I9702" s="11" t="e">
        <f t="shared" si="1489"/>
        <v>#N/A</v>
      </c>
      <c r="J9702" s="12" t="e">
        <f t="shared" si="1490"/>
        <v>#N/A</v>
      </c>
      <c r="K9702" s="17" t="e">
        <f t="shared" si="1494"/>
        <v>#N/A</v>
      </c>
      <c r="L9702" s="16">
        <f>base!X9702</f>
        <v>0</v>
      </c>
      <c r="M9702" s="11" t="e">
        <f t="shared" si="1491"/>
        <v>#DIV/0!</v>
      </c>
      <c r="N9702" s="11"/>
      <c r="O9702" s="11" t="e">
        <f t="shared" si="1492"/>
        <v>#DIV/0!</v>
      </c>
      <c r="P9702" s="12">
        <f t="shared" si="1493"/>
        <v>0</v>
      </c>
      <c r="Q9702" s="17" t="str">
        <f t="shared" si="1495"/>
        <v>Pas d'écart</v>
      </c>
    </row>
    <row r="9703" spans="1:17" x14ac:dyDescent="0.3">
      <c r="A9703" s="34">
        <f>base!J9703</f>
        <v>0</v>
      </c>
      <c r="B9703" s="34">
        <f>base!V9703</f>
        <v>0</v>
      </c>
      <c r="C9703" s="40" t="s">
        <v>11</v>
      </c>
      <c r="D9703" s="36">
        <f>base!H9703</f>
        <v>0</v>
      </c>
      <c r="E9703" s="44"/>
      <c r="F9703" s="16">
        <f>base!W9703</f>
        <v>0</v>
      </c>
      <c r="G9703" s="11" t="e">
        <f t="shared" si="1487"/>
        <v>#DIV/0!</v>
      </c>
      <c r="H9703" s="11" t="e">
        <f t="shared" si="1488"/>
        <v>#N/A</v>
      </c>
      <c r="I9703" s="11" t="e">
        <f t="shared" si="1489"/>
        <v>#N/A</v>
      </c>
      <c r="J9703" s="12" t="e">
        <f t="shared" si="1490"/>
        <v>#N/A</v>
      </c>
      <c r="K9703" s="17" t="e">
        <f t="shared" si="1494"/>
        <v>#N/A</v>
      </c>
      <c r="L9703" s="16">
        <f>base!X9703</f>
        <v>0</v>
      </c>
      <c r="M9703" s="11" t="e">
        <f t="shared" si="1491"/>
        <v>#DIV/0!</v>
      </c>
      <c r="N9703" s="11"/>
      <c r="O9703" s="11" t="e">
        <f t="shared" si="1492"/>
        <v>#DIV/0!</v>
      </c>
      <c r="P9703" s="12">
        <f t="shared" si="1493"/>
        <v>0</v>
      </c>
      <c r="Q9703" s="17" t="str">
        <f t="shared" si="1495"/>
        <v>Pas d'écart</v>
      </c>
    </row>
    <row r="9704" spans="1:17" x14ac:dyDescent="0.3">
      <c r="A9704" s="34">
        <f>base!J9704</f>
        <v>0</v>
      </c>
      <c r="B9704" s="34">
        <f>base!V9704</f>
        <v>0</v>
      </c>
      <c r="C9704" s="40" t="s">
        <v>11</v>
      </c>
      <c r="D9704" s="36">
        <f>base!H9704</f>
        <v>0</v>
      </c>
      <c r="E9704" s="44"/>
      <c r="F9704" s="16">
        <f>base!W9704</f>
        <v>0</v>
      </c>
      <c r="G9704" s="11" t="e">
        <f t="shared" si="1487"/>
        <v>#DIV/0!</v>
      </c>
      <c r="H9704" s="11" t="e">
        <f t="shared" si="1488"/>
        <v>#N/A</v>
      </c>
      <c r="I9704" s="11" t="e">
        <f t="shared" si="1489"/>
        <v>#N/A</v>
      </c>
      <c r="J9704" s="12" t="e">
        <f t="shared" si="1490"/>
        <v>#N/A</v>
      </c>
      <c r="K9704" s="17" t="e">
        <f t="shared" si="1494"/>
        <v>#N/A</v>
      </c>
      <c r="L9704" s="16">
        <f>base!X9704</f>
        <v>0</v>
      </c>
      <c r="M9704" s="11" t="e">
        <f t="shared" si="1491"/>
        <v>#DIV/0!</v>
      </c>
      <c r="N9704" s="11"/>
      <c r="O9704" s="11" t="e">
        <f t="shared" si="1492"/>
        <v>#DIV/0!</v>
      </c>
      <c r="P9704" s="12">
        <f t="shared" si="1493"/>
        <v>0</v>
      </c>
      <c r="Q9704" s="17" t="str">
        <f t="shared" si="1495"/>
        <v>Pas d'écart</v>
      </c>
    </row>
    <row r="9705" spans="1:17" x14ac:dyDescent="0.3">
      <c r="A9705" s="34">
        <f>base!J9705</f>
        <v>0</v>
      </c>
      <c r="B9705" s="34">
        <f>base!V9705</f>
        <v>0</v>
      </c>
      <c r="C9705" s="40" t="s">
        <v>11</v>
      </c>
      <c r="D9705" s="36">
        <f>base!H9705</f>
        <v>0</v>
      </c>
      <c r="E9705" s="44"/>
      <c r="F9705" s="16">
        <f>base!W9705</f>
        <v>0</v>
      </c>
      <c r="G9705" s="11" t="e">
        <f t="shared" si="1487"/>
        <v>#DIV/0!</v>
      </c>
      <c r="H9705" s="11" t="e">
        <f t="shared" si="1488"/>
        <v>#N/A</v>
      </c>
      <c r="I9705" s="11" t="e">
        <f t="shared" si="1489"/>
        <v>#N/A</v>
      </c>
      <c r="J9705" s="12" t="e">
        <f t="shared" si="1490"/>
        <v>#N/A</v>
      </c>
      <c r="K9705" s="17" t="e">
        <f t="shared" si="1494"/>
        <v>#N/A</v>
      </c>
      <c r="L9705" s="16">
        <f>base!X9705</f>
        <v>0</v>
      </c>
      <c r="M9705" s="11" t="e">
        <f t="shared" si="1491"/>
        <v>#DIV/0!</v>
      </c>
      <c r="N9705" s="11"/>
      <c r="O9705" s="11" t="e">
        <f t="shared" si="1492"/>
        <v>#DIV/0!</v>
      </c>
      <c r="P9705" s="12">
        <f t="shared" si="1493"/>
        <v>0</v>
      </c>
      <c r="Q9705" s="17" t="str">
        <f t="shared" si="1495"/>
        <v>Pas d'écart</v>
      </c>
    </row>
    <row r="9706" spans="1:17" x14ac:dyDescent="0.3">
      <c r="A9706" s="34">
        <f>base!J9706</f>
        <v>0</v>
      </c>
      <c r="B9706" s="34">
        <f>base!V9706</f>
        <v>0</v>
      </c>
      <c r="C9706" s="40" t="s">
        <v>11</v>
      </c>
      <c r="D9706" s="36">
        <f>base!H9706</f>
        <v>0</v>
      </c>
      <c r="E9706" s="44"/>
      <c r="F9706" s="16">
        <f>base!W9706</f>
        <v>0</v>
      </c>
      <c r="G9706" s="11" t="e">
        <f t="shared" si="1487"/>
        <v>#DIV/0!</v>
      </c>
      <c r="H9706" s="11" t="e">
        <f t="shared" si="1488"/>
        <v>#N/A</v>
      </c>
      <c r="I9706" s="11" t="e">
        <f t="shared" si="1489"/>
        <v>#N/A</v>
      </c>
      <c r="J9706" s="12" t="e">
        <f t="shared" si="1490"/>
        <v>#N/A</v>
      </c>
      <c r="K9706" s="17" t="e">
        <f t="shared" si="1494"/>
        <v>#N/A</v>
      </c>
      <c r="L9706" s="16">
        <f>base!X9706</f>
        <v>0</v>
      </c>
      <c r="M9706" s="11" t="e">
        <f t="shared" si="1491"/>
        <v>#DIV/0!</v>
      </c>
      <c r="N9706" s="11"/>
      <c r="O9706" s="11" t="e">
        <f t="shared" si="1492"/>
        <v>#DIV/0!</v>
      </c>
      <c r="P9706" s="12">
        <f t="shared" si="1493"/>
        <v>0</v>
      </c>
      <c r="Q9706" s="17" t="str">
        <f t="shared" si="1495"/>
        <v>Pas d'écart</v>
      </c>
    </row>
    <row r="9707" spans="1:17" x14ac:dyDescent="0.3">
      <c r="A9707" s="34">
        <f>base!J9707</f>
        <v>0</v>
      </c>
      <c r="B9707" s="34">
        <f>base!V9707</f>
        <v>0</v>
      </c>
      <c r="C9707" s="40" t="s">
        <v>11</v>
      </c>
      <c r="D9707" s="36">
        <f>base!H9707</f>
        <v>0</v>
      </c>
      <c r="E9707" s="44"/>
      <c r="F9707" s="16">
        <f>base!W9707</f>
        <v>0</v>
      </c>
      <c r="G9707" s="11" t="e">
        <f t="shared" si="1487"/>
        <v>#DIV/0!</v>
      </c>
      <c r="H9707" s="11" t="e">
        <f t="shared" si="1488"/>
        <v>#N/A</v>
      </c>
      <c r="I9707" s="11" t="e">
        <f t="shared" si="1489"/>
        <v>#N/A</v>
      </c>
      <c r="J9707" s="12" t="e">
        <f t="shared" si="1490"/>
        <v>#N/A</v>
      </c>
      <c r="K9707" s="17" t="e">
        <f t="shared" si="1494"/>
        <v>#N/A</v>
      </c>
      <c r="L9707" s="16">
        <f>base!X9707</f>
        <v>0</v>
      </c>
      <c r="M9707" s="11" t="e">
        <f t="shared" si="1491"/>
        <v>#DIV/0!</v>
      </c>
      <c r="N9707" s="11"/>
      <c r="O9707" s="11" t="e">
        <f t="shared" si="1492"/>
        <v>#DIV/0!</v>
      </c>
      <c r="P9707" s="12">
        <f t="shared" si="1493"/>
        <v>0</v>
      </c>
      <c r="Q9707" s="17" t="str">
        <f t="shared" si="1495"/>
        <v>Pas d'écart</v>
      </c>
    </row>
    <row r="9708" spans="1:17" x14ac:dyDescent="0.3">
      <c r="A9708" s="34">
        <f>base!J9708</f>
        <v>0</v>
      </c>
      <c r="B9708" s="34">
        <f>base!V9708</f>
        <v>0</v>
      </c>
      <c r="C9708" s="40" t="s">
        <v>11</v>
      </c>
      <c r="D9708" s="36">
        <f>base!H9708</f>
        <v>0</v>
      </c>
      <c r="E9708" s="44"/>
      <c r="F9708" s="16">
        <f>base!W9708</f>
        <v>0</v>
      </c>
      <c r="G9708" s="11" t="e">
        <f t="shared" si="1487"/>
        <v>#DIV/0!</v>
      </c>
      <c r="H9708" s="11" t="e">
        <f t="shared" si="1488"/>
        <v>#N/A</v>
      </c>
      <c r="I9708" s="11" t="e">
        <f t="shared" si="1489"/>
        <v>#N/A</v>
      </c>
      <c r="J9708" s="12" t="e">
        <f t="shared" si="1490"/>
        <v>#N/A</v>
      </c>
      <c r="K9708" s="17" t="e">
        <f t="shared" si="1494"/>
        <v>#N/A</v>
      </c>
      <c r="L9708" s="16">
        <f>base!X9708</f>
        <v>0</v>
      </c>
      <c r="M9708" s="11" t="e">
        <f t="shared" si="1491"/>
        <v>#DIV/0!</v>
      </c>
      <c r="N9708" s="11"/>
      <c r="O9708" s="11" t="e">
        <f t="shared" si="1492"/>
        <v>#DIV/0!</v>
      </c>
      <c r="P9708" s="12">
        <f t="shared" si="1493"/>
        <v>0</v>
      </c>
      <c r="Q9708" s="17" t="str">
        <f t="shared" si="1495"/>
        <v>Pas d'écart</v>
      </c>
    </row>
    <row r="9709" spans="1:17" x14ac:dyDescent="0.3">
      <c r="A9709" s="34">
        <f>base!J9709</f>
        <v>0</v>
      </c>
      <c r="B9709" s="34">
        <f>base!V9709</f>
        <v>0</v>
      </c>
      <c r="C9709" s="40" t="s">
        <v>11</v>
      </c>
      <c r="D9709" s="36">
        <f>base!H9709</f>
        <v>0</v>
      </c>
      <c r="E9709" s="44"/>
      <c r="F9709" s="16">
        <f>base!W9709</f>
        <v>0</v>
      </c>
      <c r="G9709" s="11" t="e">
        <f t="shared" si="1487"/>
        <v>#DIV/0!</v>
      </c>
      <c r="H9709" s="11" t="e">
        <f t="shared" si="1488"/>
        <v>#N/A</v>
      </c>
      <c r="I9709" s="11" t="e">
        <f t="shared" si="1489"/>
        <v>#N/A</v>
      </c>
      <c r="J9709" s="12" t="e">
        <f t="shared" si="1490"/>
        <v>#N/A</v>
      </c>
      <c r="K9709" s="17" t="e">
        <f t="shared" si="1494"/>
        <v>#N/A</v>
      </c>
      <c r="L9709" s="16">
        <f>base!X9709</f>
        <v>0</v>
      </c>
      <c r="M9709" s="11" t="e">
        <f t="shared" si="1491"/>
        <v>#DIV/0!</v>
      </c>
      <c r="N9709" s="11"/>
      <c r="O9709" s="11" t="e">
        <f t="shared" si="1492"/>
        <v>#DIV/0!</v>
      </c>
      <c r="P9709" s="12">
        <f t="shared" si="1493"/>
        <v>0</v>
      </c>
      <c r="Q9709" s="17" t="str">
        <f t="shared" si="1495"/>
        <v>Pas d'écart</v>
      </c>
    </row>
    <row r="9710" spans="1:17" x14ac:dyDescent="0.3">
      <c r="A9710" s="34">
        <f>base!J9710</f>
        <v>0</v>
      </c>
      <c r="B9710" s="34">
        <f>base!V9710</f>
        <v>0</v>
      </c>
      <c r="C9710" s="40" t="s">
        <v>11</v>
      </c>
      <c r="D9710" s="36">
        <f>base!H9710</f>
        <v>0</v>
      </c>
      <c r="E9710" s="44"/>
      <c r="F9710" s="16">
        <f>base!W9710</f>
        <v>0</v>
      </c>
      <c r="G9710" s="11" t="e">
        <f t="shared" si="1487"/>
        <v>#DIV/0!</v>
      </c>
      <c r="H9710" s="11" t="e">
        <f t="shared" si="1488"/>
        <v>#N/A</v>
      </c>
      <c r="I9710" s="11" t="e">
        <f t="shared" si="1489"/>
        <v>#N/A</v>
      </c>
      <c r="J9710" s="12" t="e">
        <f t="shared" si="1490"/>
        <v>#N/A</v>
      </c>
      <c r="K9710" s="17" t="e">
        <f t="shared" si="1494"/>
        <v>#N/A</v>
      </c>
      <c r="L9710" s="16">
        <f>base!X9710</f>
        <v>0</v>
      </c>
      <c r="M9710" s="11" t="e">
        <f t="shared" si="1491"/>
        <v>#DIV/0!</v>
      </c>
      <c r="N9710" s="11"/>
      <c r="O9710" s="11" t="e">
        <f t="shared" si="1492"/>
        <v>#DIV/0!</v>
      </c>
      <c r="P9710" s="12">
        <f t="shared" si="1493"/>
        <v>0</v>
      </c>
      <c r="Q9710" s="17" t="str">
        <f t="shared" si="1495"/>
        <v>Pas d'écart</v>
      </c>
    </row>
    <row r="9711" spans="1:17" x14ac:dyDescent="0.3">
      <c r="A9711" s="34">
        <f>base!J9711</f>
        <v>0</v>
      </c>
      <c r="B9711" s="34">
        <f>base!V9711</f>
        <v>0</v>
      </c>
      <c r="C9711" s="40" t="s">
        <v>11</v>
      </c>
      <c r="D9711" s="36">
        <f>base!H9711</f>
        <v>0</v>
      </c>
      <c r="E9711" s="44"/>
      <c r="F9711" s="16">
        <f>base!W9711</f>
        <v>0</v>
      </c>
      <c r="G9711" s="11" t="e">
        <f t="shared" si="1487"/>
        <v>#DIV/0!</v>
      </c>
      <c r="H9711" s="11" t="e">
        <f t="shared" si="1488"/>
        <v>#N/A</v>
      </c>
      <c r="I9711" s="11" t="e">
        <f t="shared" si="1489"/>
        <v>#N/A</v>
      </c>
      <c r="J9711" s="12" t="e">
        <f t="shared" si="1490"/>
        <v>#N/A</v>
      </c>
      <c r="K9711" s="17" t="e">
        <f t="shared" si="1494"/>
        <v>#N/A</v>
      </c>
      <c r="L9711" s="16">
        <f>base!X9711</f>
        <v>0</v>
      </c>
      <c r="M9711" s="11" t="e">
        <f t="shared" si="1491"/>
        <v>#DIV/0!</v>
      </c>
      <c r="N9711" s="11"/>
      <c r="O9711" s="11" t="e">
        <f t="shared" si="1492"/>
        <v>#DIV/0!</v>
      </c>
      <c r="P9711" s="12">
        <f t="shared" si="1493"/>
        <v>0</v>
      </c>
      <c r="Q9711" s="17" t="str">
        <f t="shared" si="1495"/>
        <v>Pas d'écart</v>
      </c>
    </row>
    <row r="9712" spans="1:17" x14ac:dyDescent="0.3">
      <c r="A9712" s="34">
        <f>base!J9712</f>
        <v>0</v>
      </c>
      <c r="B9712" s="34">
        <f>base!V9712</f>
        <v>0</v>
      </c>
      <c r="C9712" s="40" t="s">
        <v>11</v>
      </c>
      <c r="D9712" s="36">
        <f>base!H9712</f>
        <v>0</v>
      </c>
      <c r="E9712" s="44"/>
      <c r="F9712" s="16">
        <f>base!W9712</f>
        <v>0</v>
      </c>
      <c r="G9712" s="11" t="e">
        <f t="shared" si="1487"/>
        <v>#DIV/0!</v>
      </c>
      <c r="H9712" s="11" t="e">
        <f t="shared" si="1488"/>
        <v>#N/A</v>
      </c>
      <c r="I9712" s="11" t="e">
        <f t="shared" si="1489"/>
        <v>#N/A</v>
      </c>
      <c r="J9712" s="12" t="e">
        <f t="shared" si="1490"/>
        <v>#N/A</v>
      </c>
      <c r="K9712" s="17" t="e">
        <f t="shared" si="1494"/>
        <v>#N/A</v>
      </c>
      <c r="L9712" s="16">
        <f>base!X9712</f>
        <v>0</v>
      </c>
      <c r="M9712" s="11" t="e">
        <f t="shared" si="1491"/>
        <v>#DIV/0!</v>
      </c>
      <c r="N9712" s="11"/>
      <c r="O9712" s="11" t="e">
        <f t="shared" si="1492"/>
        <v>#DIV/0!</v>
      </c>
      <c r="P9712" s="12">
        <f t="shared" si="1493"/>
        <v>0</v>
      </c>
      <c r="Q9712" s="17" t="str">
        <f t="shared" si="1495"/>
        <v>Pas d'écart</v>
      </c>
    </row>
    <row r="9713" spans="1:17" x14ac:dyDescent="0.3">
      <c r="A9713" s="34">
        <f>base!J9713</f>
        <v>0</v>
      </c>
      <c r="B9713" s="34">
        <f>base!V9713</f>
        <v>0</v>
      </c>
      <c r="C9713" s="40" t="s">
        <v>11</v>
      </c>
      <c r="D9713" s="36">
        <f>base!H9713</f>
        <v>0</v>
      </c>
      <c r="E9713" s="44"/>
      <c r="F9713" s="16">
        <f>base!W9713</f>
        <v>0</v>
      </c>
      <c r="G9713" s="11" t="e">
        <f t="shared" si="1487"/>
        <v>#DIV/0!</v>
      </c>
      <c r="H9713" s="11" t="e">
        <f t="shared" si="1488"/>
        <v>#N/A</v>
      </c>
      <c r="I9713" s="11" t="e">
        <f t="shared" si="1489"/>
        <v>#N/A</v>
      </c>
      <c r="J9713" s="12" t="e">
        <f t="shared" si="1490"/>
        <v>#N/A</v>
      </c>
      <c r="K9713" s="17" t="e">
        <f t="shared" si="1494"/>
        <v>#N/A</v>
      </c>
      <c r="L9713" s="16">
        <f>base!X9713</f>
        <v>0</v>
      </c>
      <c r="M9713" s="11" t="e">
        <f t="shared" si="1491"/>
        <v>#DIV/0!</v>
      </c>
      <c r="N9713" s="11"/>
      <c r="O9713" s="11" t="e">
        <f t="shared" si="1492"/>
        <v>#DIV/0!</v>
      </c>
      <c r="P9713" s="12">
        <f t="shared" si="1493"/>
        <v>0</v>
      </c>
      <c r="Q9713" s="17" t="str">
        <f t="shared" si="1495"/>
        <v>Pas d'écart</v>
      </c>
    </row>
    <row r="9714" spans="1:17" x14ac:dyDescent="0.3">
      <c r="A9714" s="34">
        <f>base!J9714</f>
        <v>0</v>
      </c>
      <c r="B9714" s="34">
        <f>base!V9714</f>
        <v>0</v>
      </c>
      <c r="C9714" s="40" t="s">
        <v>11</v>
      </c>
      <c r="D9714" s="36">
        <f>base!H9714</f>
        <v>0</v>
      </c>
      <c r="E9714" s="44"/>
      <c r="F9714" s="16">
        <f>base!W9714</f>
        <v>0</v>
      </c>
      <c r="G9714" s="11" t="e">
        <f t="shared" si="1487"/>
        <v>#DIV/0!</v>
      </c>
      <c r="H9714" s="11" t="e">
        <f t="shared" si="1488"/>
        <v>#N/A</v>
      </c>
      <c r="I9714" s="11" t="e">
        <f t="shared" si="1489"/>
        <v>#N/A</v>
      </c>
      <c r="J9714" s="12" t="e">
        <f t="shared" si="1490"/>
        <v>#N/A</v>
      </c>
      <c r="K9714" s="17" t="e">
        <f t="shared" si="1494"/>
        <v>#N/A</v>
      </c>
      <c r="L9714" s="16">
        <f>base!X9714</f>
        <v>0</v>
      </c>
      <c r="M9714" s="11" t="e">
        <f t="shared" si="1491"/>
        <v>#DIV/0!</v>
      </c>
      <c r="N9714" s="11"/>
      <c r="O9714" s="11" t="e">
        <f t="shared" si="1492"/>
        <v>#DIV/0!</v>
      </c>
      <c r="P9714" s="12">
        <f t="shared" si="1493"/>
        <v>0</v>
      </c>
      <c r="Q9714" s="17" t="str">
        <f t="shared" si="1495"/>
        <v>Pas d'écart</v>
      </c>
    </row>
    <row r="9715" spans="1:17" x14ac:dyDescent="0.3">
      <c r="A9715" s="34">
        <f>base!J9715</f>
        <v>0</v>
      </c>
      <c r="B9715" s="34">
        <f>base!V9715</f>
        <v>0</v>
      </c>
      <c r="C9715" s="40" t="s">
        <v>11</v>
      </c>
      <c r="D9715" s="36">
        <f>base!H9715</f>
        <v>0</v>
      </c>
      <c r="E9715" s="44"/>
      <c r="F9715" s="16">
        <f>base!W9715</f>
        <v>0</v>
      </c>
      <c r="G9715" s="11" t="e">
        <f t="shared" si="1487"/>
        <v>#DIV/0!</v>
      </c>
      <c r="H9715" s="11" t="e">
        <f t="shared" si="1488"/>
        <v>#N/A</v>
      </c>
      <c r="I9715" s="11" t="e">
        <f t="shared" si="1489"/>
        <v>#N/A</v>
      </c>
      <c r="J9715" s="12" t="e">
        <f t="shared" si="1490"/>
        <v>#N/A</v>
      </c>
      <c r="K9715" s="17" t="e">
        <f t="shared" si="1494"/>
        <v>#N/A</v>
      </c>
      <c r="L9715" s="16">
        <f>base!X9715</f>
        <v>0</v>
      </c>
      <c r="M9715" s="11" t="e">
        <f t="shared" si="1491"/>
        <v>#DIV/0!</v>
      </c>
      <c r="N9715" s="11"/>
      <c r="O9715" s="11" t="e">
        <f t="shared" si="1492"/>
        <v>#DIV/0!</v>
      </c>
      <c r="P9715" s="12">
        <f t="shared" si="1493"/>
        <v>0</v>
      </c>
      <c r="Q9715" s="17" t="str">
        <f t="shared" si="1495"/>
        <v>Pas d'écart</v>
      </c>
    </row>
    <row r="9716" spans="1:17" x14ac:dyDescent="0.3">
      <c r="A9716" s="34">
        <f>base!J9716</f>
        <v>0</v>
      </c>
      <c r="B9716" s="34">
        <f>base!V9716</f>
        <v>0</v>
      </c>
      <c r="C9716" s="40" t="s">
        <v>11</v>
      </c>
      <c r="D9716" s="36">
        <f>base!H9716</f>
        <v>0</v>
      </c>
      <c r="E9716" s="44"/>
      <c r="F9716" s="16">
        <f>base!W9716</f>
        <v>0</v>
      </c>
      <c r="G9716" s="11" t="e">
        <f t="shared" si="1487"/>
        <v>#DIV/0!</v>
      </c>
      <c r="H9716" s="11" t="e">
        <f t="shared" si="1488"/>
        <v>#N/A</v>
      </c>
      <c r="I9716" s="11" t="e">
        <f t="shared" si="1489"/>
        <v>#N/A</v>
      </c>
      <c r="J9716" s="12" t="e">
        <f t="shared" si="1490"/>
        <v>#N/A</v>
      </c>
      <c r="K9716" s="17" t="e">
        <f t="shared" si="1494"/>
        <v>#N/A</v>
      </c>
      <c r="L9716" s="16">
        <f>base!X9716</f>
        <v>0</v>
      </c>
      <c r="M9716" s="11" t="e">
        <f t="shared" si="1491"/>
        <v>#DIV/0!</v>
      </c>
      <c r="N9716" s="11"/>
      <c r="O9716" s="11" t="e">
        <f t="shared" si="1492"/>
        <v>#DIV/0!</v>
      </c>
      <c r="P9716" s="12">
        <f t="shared" si="1493"/>
        <v>0</v>
      </c>
      <c r="Q9716" s="17" t="str">
        <f t="shared" si="1495"/>
        <v>Pas d'écart</v>
      </c>
    </row>
    <row r="9717" spans="1:17" x14ac:dyDescent="0.3">
      <c r="A9717" s="34">
        <f>base!J9717</f>
        <v>0</v>
      </c>
      <c r="B9717" s="34">
        <f>base!V9717</f>
        <v>0</v>
      </c>
      <c r="C9717" s="40" t="s">
        <v>11</v>
      </c>
      <c r="D9717" s="36">
        <f>base!H9717</f>
        <v>0</v>
      </c>
      <c r="E9717" s="44"/>
      <c r="F9717" s="16">
        <f>base!W9717</f>
        <v>0</v>
      </c>
      <c r="G9717" s="11" t="e">
        <f t="shared" si="1487"/>
        <v>#DIV/0!</v>
      </c>
      <c r="H9717" s="11" t="e">
        <f t="shared" si="1488"/>
        <v>#N/A</v>
      </c>
      <c r="I9717" s="11" t="e">
        <f t="shared" si="1489"/>
        <v>#N/A</v>
      </c>
      <c r="J9717" s="12" t="e">
        <f t="shared" si="1490"/>
        <v>#N/A</v>
      </c>
      <c r="K9717" s="17" t="e">
        <f t="shared" si="1494"/>
        <v>#N/A</v>
      </c>
      <c r="L9717" s="16">
        <f>base!X9717</f>
        <v>0</v>
      </c>
      <c r="M9717" s="11" t="e">
        <f t="shared" si="1491"/>
        <v>#DIV/0!</v>
      </c>
      <c r="N9717" s="11"/>
      <c r="O9717" s="11" t="e">
        <f t="shared" si="1492"/>
        <v>#DIV/0!</v>
      </c>
      <c r="P9717" s="12">
        <f t="shared" si="1493"/>
        <v>0</v>
      </c>
      <c r="Q9717" s="17" t="str">
        <f t="shared" si="1495"/>
        <v>Pas d'écart</v>
      </c>
    </row>
    <row r="9718" spans="1:17" x14ac:dyDescent="0.3">
      <c r="A9718" s="34">
        <f>base!J9718</f>
        <v>0</v>
      </c>
      <c r="B9718" s="34">
        <f>base!V9718</f>
        <v>0</v>
      </c>
      <c r="C9718" s="40" t="s">
        <v>11</v>
      </c>
      <c r="D9718" s="36">
        <f>base!H9718</f>
        <v>0</v>
      </c>
      <c r="E9718" s="44"/>
      <c r="F9718" s="16">
        <f>base!W9718</f>
        <v>0</v>
      </c>
      <c r="G9718" s="11" t="e">
        <f t="shared" si="1487"/>
        <v>#DIV/0!</v>
      </c>
      <c r="H9718" s="11" t="e">
        <f t="shared" si="1488"/>
        <v>#N/A</v>
      </c>
      <c r="I9718" s="11" t="e">
        <f t="shared" si="1489"/>
        <v>#N/A</v>
      </c>
      <c r="J9718" s="12" t="e">
        <f t="shared" si="1490"/>
        <v>#N/A</v>
      </c>
      <c r="K9718" s="17" t="e">
        <f t="shared" si="1494"/>
        <v>#N/A</v>
      </c>
      <c r="L9718" s="16">
        <f>base!X9718</f>
        <v>0</v>
      </c>
      <c r="M9718" s="11" t="e">
        <f t="shared" si="1491"/>
        <v>#DIV/0!</v>
      </c>
      <c r="N9718" s="11"/>
      <c r="O9718" s="11" t="e">
        <f t="shared" si="1492"/>
        <v>#DIV/0!</v>
      </c>
      <c r="P9718" s="12">
        <f t="shared" si="1493"/>
        <v>0</v>
      </c>
      <c r="Q9718" s="17" t="str">
        <f t="shared" si="1495"/>
        <v>Pas d'écart</v>
      </c>
    </row>
    <row r="9719" spans="1:17" x14ac:dyDescent="0.3">
      <c r="A9719" s="34">
        <f>base!J9719</f>
        <v>0</v>
      </c>
      <c r="B9719" s="34">
        <f>base!V9719</f>
        <v>0</v>
      </c>
      <c r="C9719" s="40" t="s">
        <v>11</v>
      </c>
      <c r="D9719" s="36">
        <f>base!H9719</f>
        <v>0</v>
      </c>
      <c r="E9719" s="44"/>
      <c r="F9719" s="16">
        <f>base!W9719</f>
        <v>0</v>
      </c>
      <c r="G9719" s="11" t="e">
        <f t="shared" si="1487"/>
        <v>#DIV/0!</v>
      </c>
      <c r="H9719" s="11" t="e">
        <f t="shared" si="1488"/>
        <v>#N/A</v>
      </c>
      <c r="I9719" s="11" t="e">
        <f t="shared" si="1489"/>
        <v>#N/A</v>
      </c>
      <c r="J9719" s="12" t="e">
        <f t="shared" si="1490"/>
        <v>#N/A</v>
      </c>
      <c r="K9719" s="17" t="e">
        <f t="shared" si="1494"/>
        <v>#N/A</v>
      </c>
      <c r="L9719" s="16">
        <f>base!X9719</f>
        <v>0</v>
      </c>
      <c r="M9719" s="11" t="e">
        <f t="shared" si="1491"/>
        <v>#DIV/0!</v>
      </c>
      <c r="N9719" s="11"/>
      <c r="O9719" s="11" t="e">
        <f t="shared" si="1492"/>
        <v>#DIV/0!</v>
      </c>
      <c r="P9719" s="12">
        <f t="shared" si="1493"/>
        <v>0</v>
      </c>
      <c r="Q9719" s="17" t="str">
        <f t="shared" si="1495"/>
        <v>Pas d'écart</v>
      </c>
    </row>
    <row r="9720" spans="1:17" x14ac:dyDescent="0.3">
      <c r="A9720" s="34">
        <f>base!J9720</f>
        <v>0</v>
      </c>
      <c r="B9720" s="34">
        <f>base!V9720</f>
        <v>0</v>
      </c>
      <c r="C9720" s="40" t="s">
        <v>11</v>
      </c>
      <c r="D9720" s="36">
        <f>base!H9720</f>
        <v>0</v>
      </c>
      <c r="E9720" s="44"/>
      <c r="F9720" s="16">
        <f>base!W9720</f>
        <v>0</v>
      </c>
      <c r="G9720" s="11" t="e">
        <f t="shared" si="1487"/>
        <v>#DIV/0!</v>
      </c>
      <c r="H9720" s="11" t="e">
        <f t="shared" si="1488"/>
        <v>#N/A</v>
      </c>
      <c r="I9720" s="11" t="e">
        <f t="shared" si="1489"/>
        <v>#N/A</v>
      </c>
      <c r="J9720" s="12" t="e">
        <f t="shared" si="1490"/>
        <v>#N/A</v>
      </c>
      <c r="K9720" s="17" t="e">
        <f t="shared" si="1494"/>
        <v>#N/A</v>
      </c>
      <c r="L9720" s="16">
        <f>base!X9720</f>
        <v>0</v>
      </c>
      <c r="M9720" s="11" t="e">
        <f t="shared" si="1491"/>
        <v>#DIV/0!</v>
      </c>
      <c r="N9720" s="11"/>
      <c r="O9720" s="11" t="e">
        <f t="shared" si="1492"/>
        <v>#DIV/0!</v>
      </c>
      <c r="P9720" s="12">
        <f t="shared" si="1493"/>
        <v>0</v>
      </c>
      <c r="Q9720" s="17" t="str">
        <f t="shared" si="1495"/>
        <v>Pas d'écart</v>
      </c>
    </row>
    <row r="9721" spans="1:17" x14ac:dyDescent="0.3">
      <c r="A9721" s="34">
        <f>base!J9721</f>
        <v>0</v>
      </c>
      <c r="B9721" s="34">
        <f>base!V9721</f>
        <v>0</v>
      </c>
      <c r="C9721" s="40" t="s">
        <v>11</v>
      </c>
      <c r="D9721" s="36">
        <f>base!H9721</f>
        <v>0</v>
      </c>
      <c r="E9721" s="44"/>
      <c r="F9721" s="16">
        <f>base!W9721</f>
        <v>0</v>
      </c>
      <c r="G9721" s="11" t="e">
        <f t="shared" si="1487"/>
        <v>#DIV/0!</v>
      </c>
      <c r="H9721" s="11" t="e">
        <f t="shared" si="1488"/>
        <v>#N/A</v>
      </c>
      <c r="I9721" s="11" t="e">
        <f t="shared" si="1489"/>
        <v>#N/A</v>
      </c>
      <c r="J9721" s="12" t="e">
        <f t="shared" si="1490"/>
        <v>#N/A</v>
      </c>
      <c r="K9721" s="17" t="e">
        <f t="shared" si="1494"/>
        <v>#N/A</v>
      </c>
      <c r="L9721" s="16">
        <f>base!X9721</f>
        <v>0</v>
      </c>
      <c r="M9721" s="11" t="e">
        <f t="shared" si="1491"/>
        <v>#DIV/0!</v>
      </c>
      <c r="N9721" s="11"/>
      <c r="O9721" s="11" t="e">
        <f t="shared" si="1492"/>
        <v>#DIV/0!</v>
      </c>
      <c r="P9721" s="12">
        <f t="shared" si="1493"/>
        <v>0</v>
      </c>
      <c r="Q9721" s="17" t="str">
        <f t="shared" si="1495"/>
        <v>Pas d'écart</v>
      </c>
    </row>
    <row r="9722" spans="1:17" x14ac:dyDescent="0.3">
      <c r="A9722" s="34">
        <f>base!J9722</f>
        <v>0</v>
      </c>
      <c r="B9722" s="34">
        <f>base!V9722</f>
        <v>0</v>
      </c>
      <c r="C9722" s="40" t="s">
        <v>11</v>
      </c>
      <c r="D9722" s="36">
        <f>base!H9722</f>
        <v>0</v>
      </c>
      <c r="E9722" s="44"/>
      <c r="F9722" s="16">
        <f>base!W9722</f>
        <v>0</v>
      </c>
      <c r="G9722" s="11" t="e">
        <f t="shared" si="1487"/>
        <v>#DIV/0!</v>
      </c>
      <c r="H9722" s="11" t="e">
        <f t="shared" si="1488"/>
        <v>#N/A</v>
      </c>
      <c r="I9722" s="11" t="e">
        <f t="shared" si="1489"/>
        <v>#N/A</v>
      </c>
      <c r="J9722" s="12" t="e">
        <f t="shared" si="1490"/>
        <v>#N/A</v>
      </c>
      <c r="K9722" s="17" t="e">
        <f t="shared" si="1494"/>
        <v>#N/A</v>
      </c>
      <c r="L9722" s="16">
        <f>base!X9722</f>
        <v>0</v>
      </c>
      <c r="M9722" s="11" t="e">
        <f t="shared" si="1491"/>
        <v>#DIV/0!</v>
      </c>
      <c r="N9722" s="11"/>
      <c r="O9722" s="11" t="e">
        <f t="shared" si="1492"/>
        <v>#DIV/0!</v>
      </c>
      <c r="P9722" s="12">
        <f t="shared" si="1493"/>
        <v>0</v>
      </c>
      <c r="Q9722" s="17" t="str">
        <f t="shared" si="1495"/>
        <v>Pas d'écart</v>
      </c>
    </row>
    <row r="9723" spans="1:17" x14ac:dyDescent="0.3">
      <c r="A9723" s="34">
        <f>base!J9723</f>
        <v>0</v>
      </c>
      <c r="B9723" s="34">
        <f>base!V9723</f>
        <v>0</v>
      </c>
      <c r="C9723" s="40" t="s">
        <v>11</v>
      </c>
      <c r="D9723" s="36">
        <f>base!H9723</f>
        <v>0</v>
      </c>
      <c r="E9723" s="44"/>
      <c r="F9723" s="16">
        <f>base!W9723</f>
        <v>0</v>
      </c>
      <c r="G9723" s="11" t="e">
        <f t="shared" si="1487"/>
        <v>#DIV/0!</v>
      </c>
      <c r="H9723" s="11" t="e">
        <f t="shared" si="1488"/>
        <v>#N/A</v>
      </c>
      <c r="I9723" s="11" t="e">
        <f t="shared" si="1489"/>
        <v>#N/A</v>
      </c>
      <c r="J9723" s="12" t="e">
        <f t="shared" si="1490"/>
        <v>#N/A</v>
      </c>
      <c r="K9723" s="17" t="e">
        <f t="shared" si="1494"/>
        <v>#N/A</v>
      </c>
      <c r="L9723" s="16">
        <f>base!X9723</f>
        <v>0</v>
      </c>
      <c r="M9723" s="11" t="e">
        <f t="shared" si="1491"/>
        <v>#DIV/0!</v>
      </c>
      <c r="N9723" s="11"/>
      <c r="O9723" s="11" t="e">
        <f t="shared" si="1492"/>
        <v>#DIV/0!</v>
      </c>
      <c r="P9723" s="12">
        <f t="shared" si="1493"/>
        <v>0</v>
      </c>
      <c r="Q9723" s="17" t="str">
        <f t="shared" si="1495"/>
        <v>Pas d'écart</v>
      </c>
    </row>
    <row r="9724" spans="1:17" x14ac:dyDescent="0.3">
      <c r="A9724" s="34">
        <f>base!J9724</f>
        <v>0</v>
      </c>
      <c r="B9724" s="34">
        <f>base!V9724</f>
        <v>0</v>
      </c>
      <c r="C9724" s="40" t="s">
        <v>11</v>
      </c>
      <c r="D9724" s="36">
        <f>base!H9724</f>
        <v>0</v>
      </c>
      <c r="E9724" s="44"/>
      <c r="F9724" s="16">
        <f>base!W9724</f>
        <v>0</v>
      </c>
      <c r="G9724" s="11" t="e">
        <f t="shared" si="1487"/>
        <v>#DIV/0!</v>
      </c>
      <c r="H9724" s="11" t="e">
        <f t="shared" si="1488"/>
        <v>#N/A</v>
      </c>
      <c r="I9724" s="11" t="e">
        <f t="shared" si="1489"/>
        <v>#N/A</v>
      </c>
      <c r="J9724" s="12" t="e">
        <f t="shared" si="1490"/>
        <v>#N/A</v>
      </c>
      <c r="K9724" s="17" t="e">
        <f t="shared" si="1494"/>
        <v>#N/A</v>
      </c>
      <c r="L9724" s="16">
        <f>base!X9724</f>
        <v>0</v>
      </c>
      <c r="M9724" s="11" t="e">
        <f t="shared" si="1491"/>
        <v>#DIV/0!</v>
      </c>
      <c r="N9724" s="11"/>
      <c r="O9724" s="11" t="e">
        <f t="shared" si="1492"/>
        <v>#DIV/0!</v>
      </c>
      <c r="P9724" s="12">
        <f t="shared" si="1493"/>
        <v>0</v>
      </c>
      <c r="Q9724" s="17" t="str">
        <f t="shared" si="1495"/>
        <v>Pas d'écart</v>
      </c>
    </row>
    <row r="9725" spans="1:17" x14ac:dyDescent="0.3">
      <c r="A9725" s="34">
        <f>base!J9725</f>
        <v>0</v>
      </c>
      <c r="B9725" s="34">
        <f>base!V9725</f>
        <v>0</v>
      </c>
      <c r="C9725" s="40" t="s">
        <v>11</v>
      </c>
      <c r="D9725" s="36">
        <f>base!H9725</f>
        <v>0</v>
      </c>
      <c r="E9725" s="44"/>
      <c r="F9725" s="16">
        <f>base!W9725</f>
        <v>0</v>
      </c>
      <c r="G9725" s="11" t="e">
        <f t="shared" si="1487"/>
        <v>#DIV/0!</v>
      </c>
      <c r="H9725" s="11" t="e">
        <f t="shared" si="1488"/>
        <v>#N/A</v>
      </c>
      <c r="I9725" s="11" t="e">
        <f t="shared" si="1489"/>
        <v>#N/A</v>
      </c>
      <c r="J9725" s="12" t="e">
        <f t="shared" si="1490"/>
        <v>#N/A</v>
      </c>
      <c r="K9725" s="17" t="e">
        <f t="shared" si="1494"/>
        <v>#N/A</v>
      </c>
      <c r="L9725" s="16">
        <f>base!X9725</f>
        <v>0</v>
      </c>
      <c r="M9725" s="11" t="e">
        <f t="shared" si="1491"/>
        <v>#DIV/0!</v>
      </c>
      <c r="N9725" s="11"/>
      <c r="O9725" s="11" t="e">
        <f t="shared" si="1492"/>
        <v>#DIV/0!</v>
      </c>
      <c r="P9725" s="12">
        <f t="shared" si="1493"/>
        <v>0</v>
      </c>
      <c r="Q9725" s="17" t="str">
        <f t="shared" si="1495"/>
        <v>Pas d'écart</v>
      </c>
    </row>
    <row r="9726" spans="1:17" x14ac:dyDescent="0.3">
      <c r="A9726" s="34">
        <f>base!J9726</f>
        <v>0</v>
      </c>
      <c r="B9726" s="34">
        <f>base!V9726</f>
        <v>0</v>
      </c>
      <c r="C9726" s="40" t="s">
        <v>11</v>
      </c>
      <c r="D9726" s="36">
        <f>base!H9726</f>
        <v>0</v>
      </c>
      <c r="E9726" s="44"/>
      <c r="F9726" s="16">
        <f>base!W9726</f>
        <v>0</v>
      </c>
      <c r="G9726" s="11" t="e">
        <f t="shared" si="1487"/>
        <v>#DIV/0!</v>
      </c>
      <c r="H9726" s="11" t="e">
        <f t="shared" si="1488"/>
        <v>#N/A</v>
      </c>
      <c r="I9726" s="11" t="e">
        <f t="shared" si="1489"/>
        <v>#N/A</v>
      </c>
      <c r="J9726" s="12" t="e">
        <f t="shared" si="1490"/>
        <v>#N/A</v>
      </c>
      <c r="K9726" s="17" t="e">
        <f t="shared" si="1494"/>
        <v>#N/A</v>
      </c>
      <c r="L9726" s="16">
        <f>base!X9726</f>
        <v>0</v>
      </c>
      <c r="M9726" s="11" t="e">
        <f t="shared" si="1491"/>
        <v>#DIV/0!</v>
      </c>
      <c r="N9726" s="11"/>
      <c r="O9726" s="11" t="e">
        <f t="shared" si="1492"/>
        <v>#DIV/0!</v>
      </c>
      <c r="P9726" s="12">
        <f t="shared" si="1493"/>
        <v>0</v>
      </c>
      <c r="Q9726" s="17" t="str">
        <f t="shared" si="1495"/>
        <v>Pas d'écart</v>
      </c>
    </row>
    <row r="9727" spans="1:17" x14ac:dyDescent="0.3">
      <c r="A9727" s="34">
        <f>base!J9727</f>
        <v>0</v>
      </c>
      <c r="B9727" s="34">
        <f>base!V9727</f>
        <v>0</v>
      </c>
      <c r="C9727" s="40" t="s">
        <v>11</v>
      </c>
      <c r="D9727" s="36">
        <f>base!H9727</f>
        <v>0</v>
      </c>
      <c r="E9727" s="44"/>
      <c r="F9727" s="16">
        <f>base!W9727</f>
        <v>0</v>
      </c>
      <c r="G9727" s="11" t="e">
        <f t="shared" si="1487"/>
        <v>#DIV/0!</v>
      </c>
      <c r="H9727" s="11" t="e">
        <f t="shared" si="1488"/>
        <v>#N/A</v>
      </c>
      <c r="I9727" s="11" t="e">
        <f t="shared" si="1489"/>
        <v>#N/A</v>
      </c>
      <c r="J9727" s="12" t="e">
        <f t="shared" si="1490"/>
        <v>#N/A</v>
      </c>
      <c r="K9727" s="17" t="e">
        <f t="shared" si="1494"/>
        <v>#N/A</v>
      </c>
      <c r="L9727" s="16">
        <f>base!X9727</f>
        <v>0</v>
      </c>
      <c r="M9727" s="11" t="e">
        <f t="shared" si="1491"/>
        <v>#DIV/0!</v>
      </c>
      <c r="N9727" s="11"/>
      <c r="O9727" s="11" t="e">
        <f t="shared" si="1492"/>
        <v>#DIV/0!</v>
      </c>
      <c r="P9727" s="12">
        <f t="shared" si="1493"/>
        <v>0</v>
      </c>
      <c r="Q9727" s="17" t="str">
        <f t="shared" si="1495"/>
        <v>Pas d'écart</v>
      </c>
    </row>
    <row r="9728" spans="1:17" x14ac:dyDescent="0.3">
      <c r="A9728" s="34">
        <f>base!J9728</f>
        <v>0</v>
      </c>
      <c r="B9728" s="34">
        <f>base!V9728</f>
        <v>0</v>
      </c>
      <c r="C9728" s="40" t="s">
        <v>11</v>
      </c>
      <c r="D9728" s="36">
        <f>base!H9728</f>
        <v>0</v>
      </c>
      <c r="E9728" s="44"/>
      <c r="F9728" s="16">
        <f>base!W9728</f>
        <v>0</v>
      </c>
      <c r="G9728" s="11" t="e">
        <f t="shared" si="1487"/>
        <v>#DIV/0!</v>
      </c>
      <c r="H9728" s="11" t="e">
        <f t="shared" si="1488"/>
        <v>#N/A</v>
      </c>
      <c r="I9728" s="11" t="e">
        <f t="shared" si="1489"/>
        <v>#N/A</v>
      </c>
      <c r="J9728" s="12" t="e">
        <f t="shared" si="1490"/>
        <v>#N/A</v>
      </c>
      <c r="K9728" s="17" t="e">
        <f t="shared" si="1494"/>
        <v>#N/A</v>
      </c>
      <c r="L9728" s="16">
        <f>base!X9728</f>
        <v>0</v>
      </c>
      <c r="M9728" s="11" t="e">
        <f t="shared" si="1491"/>
        <v>#DIV/0!</v>
      </c>
      <c r="N9728" s="11"/>
      <c r="O9728" s="11" t="e">
        <f t="shared" si="1492"/>
        <v>#DIV/0!</v>
      </c>
      <c r="P9728" s="12">
        <f t="shared" si="1493"/>
        <v>0</v>
      </c>
      <c r="Q9728" s="17" t="str">
        <f t="shared" si="1495"/>
        <v>Pas d'écart</v>
      </c>
    </row>
    <row r="9729" spans="1:17" x14ac:dyDescent="0.3">
      <c r="A9729" s="34">
        <f>base!J9729</f>
        <v>0</v>
      </c>
      <c r="B9729" s="34">
        <f>base!V9729</f>
        <v>0</v>
      </c>
      <c r="C9729" s="40" t="s">
        <v>11</v>
      </c>
      <c r="D9729" s="36">
        <f>base!H9729</f>
        <v>0</v>
      </c>
      <c r="E9729" s="44"/>
      <c r="F9729" s="16">
        <f>base!W9729</f>
        <v>0</v>
      </c>
      <c r="G9729" s="11" t="e">
        <f t="shared" si="1487"/>
        <v>#DIV/0!</v>
      </c>
      <c r="H9729" s="11" t="e">
        <f t="shared" si="1488"/>
        <v>#N/A</v>
      </c>
      <c r="I9729" s="11" t="e">
        <f t="shared" si="1489"/>
        <v>#N/A</v>
      </c>
      <c r="J9729" s="12" t="e">
        <f t="shared" si="1490"/>
        <v>#N/A</v>
      </c>
      <c r="K9729" s="17" t="e">
        <f t="shared" si="1494"/>
        <v>#N/A</v>
      </c>
      <c r="L9729" s="16">
        <f>base!X9729</f>
        <v>0</v>
      </c>
      <c r="M9729" s="11" t="e">
        <f t="shared" si="1491"/>
        <v>#DIV/0!</v>
      </c>
      <c r="N9729" s="11"/>
      <c r="O9729" s="11" t="e">
        <f t="shared" si="1492"/>
        <v>#DIV/0!</v>
      </c>
      <c r="P9729" s="12">
        <f t="shared" si="1493"/>
        <v>0</v>
      </c>
      <c r="Q9729" s="17" t="str">
        <f t="shared" si="1495"/>
        <v>Pas d'écart</v>
      </c>
    </row>
    <row r="9730" spans="1:17" x14ac:dyDescent="0.3">
      <c r="A9730" s="34">
        <f>base!J9730</f>
        <v>0</v>
      </c>
      <c r="B9730" s="34">
        <f>base!V9730</f>
        <v>0</v>
      </c>
      <c r="C9730" s="40" t="s">
        <v>11</v>
      </c>
      <c r="D9730" s="36">
        <f>base!H9730</f>
        <v>0</v>
      </c>
      <c r="E9730" s="44"/>
      <c r="F9730" s="16">
        <f>base!W9730</f>
        <v>0</v>
      </c>
      <c r="G9730" s="11" t="e">
        <f t="shared" ref="G9730:G9793" si="1496">F9730/D9730</f>
        <v>#DIV/0!</v>
      </c>
      <c r="H9730" s="11" t="e">
        <f t="shared" ref="H9730:H9793" si="1497">VLOOKUP(C9730,tout_cout_traction,2,FALSE)*D9730</f>
        <v>#N/A</v>
      </c>
      <c r="I9730" s="11" t="e">
        <f t="shared" ref="I9730:I9793" si="1498">H9730/D9730</f>
        <v>#N/A</v>
      </c>
      <c r="J9730" s="12" t="e">
        <f t="shared" ref="J9730:J9793" si="1499">F9730-H9730</f>
        <v>#N/A</v>
      </c>
      <c r="K9730" s="17" t="e">
        <f t="shared" si="1494"/>
        <v>#N/A</v>
      </c>
      <c r="L9730" s="16">
        <f>base!X9730</f>
        <v>0</v>
      </c>
      <c r="M9730" s="11" t="e">
        <f t="shared" ref="M9730:M9793" si="1500">L9730/D9730</f>
        <v>#DIV/0!</v>
      </c>
      <c r="N9730" s="11"/>
      <c r="O9730" s="11" t="e">
        <f t="shared" ref="O9730:O9793" si="1501">N9730/D9730</f>
        <v>#DIV/0!</v>
      </c>
      <c r="P9730" s="12">
        <f t="shared" ref="P9730:P9793" si="1502">L9730-N9730</f>
        <v>0</v>
      </c>
      <c r="Q9730" s="17" t="str">
        <f t="shared" si="1495"/>
        <v>Pas d'écart</v>
      </c>
    </row>
    <row r="9731" spans="1:17" x14ac:dyDescent="0.3">
      <c r="A9731" s="34">
        <f>base!J9731</f>
        <v>0</v>
      </c>
      <c r="B9731" s="34">
        <f>base!V9731</f>
        <v>0</v>
      </c>
      <c r="C9731" s="40" t="s">
        <v>11</v>
      </c>
      <c r="D9731" s="36">
        <f>base!H9731</f>
        <v>0</v>
      </c>
      <c r="E9731" s="44"/>
      <c r="F9731" s="16">
        <f>base!W9731</f>
        <v>0</v>
      </c>
      <c r="G9731" s="11" t="e">
        <f t="shared" si="1496"/>
        <v>#DIV/0!</v>
      </c>
      <c r="H9731" s="11" t="e">
        <f t="shared" si="1497"/>
        <v>#N/A</v>
      </c>
      <c r="I9731" s="11" t="e">
        <f t="shared" si="1498"/>
        <v>#N/A</v>
      </c>
      <c r="J9731" s="12" t="e">
        <f t="shared" si="1499"/>
        <v>#N/A</v>
      </c>
      <c r="K9731" s="17" t="e">
        <f t="shared" ref="K9731:K9794" si="1503">IF(H9731=F9731,"Pas d'écart",IF(H9731&lt;F9731,"Ecart positif",IF(H9731&gt;F9731,"Ecart négatif")))</f>
        <v>#N/A</v>
      </c>
      <c r="L9731" s="16">
        <f>base!X9731</f>
        <v>0</v>
      </c>
      <c r="M9731" s="11" t="e">
        <f t="shared" si="1500"/>
        <v>#DIV/0!</v>
      </c>
      <c r="N9731" s="11"/>
      <c r="O9731" s="11" t="e">
        <f t="shared" si="1501"/>
        <v>#DIV/0!</v>
      </c>
      <c r="P9731" s="12">
        <f t="shared" si="1502"/>
        <v>0</v>
      </c>
      <c r="Q9731" s="17" t="str">
        <f t="shared" ref="Q9731:Q9794" si="1504">IF(N9731=L9731,"Pas d'écart",IF(N9731&lt;L9731,"Ecart positif",IF(N9731&gt;L9731,"Ecart négatif")))</f>
        <v>Pas d'écart</v>
      </c>
    </row>
    <row r="9732" spans="1:17" x14ac:dyDescent="0.3">
      <c r="A9732" s="34">
        <f>base!J9732</f>
        <v>0</v>
      </c>
      <c r="B9732" s="34">
        <f>base!V9732</f>
        <v>0</v>
      </c>
      <c r="C9732" s="40" t="s">
        <v>11</v>
      </c>
      <c r="D9732" s="36">
        <f>base!H9732</f>
        <v>0</v>
      </c>
      <c r="E9732" s="44"/>
      <c r="F9732" s="16">
        <f>base!W9732</f>
        <v>0</v>
      </c>
      <c r="G9732" s="11" t="e">
        <f t="shared" si="1496"/>
        <v>#DIV/0!</v>
      </c>
      <c r="H9732" s="11" t="e">
        <f t="shared" si="1497"/>
        <v>#N/A</v>
      </c>
      <c r="I9732" s="11" t="e">
        <f t="shared" si="1498"/>
        <v>#N/A</v>
      </c>
      <c r="J9732" s="12" t="e">
        <f t="shared" si="1499"/>
        <v>#N/A</v>
      </c>
      <c r="K9732" s="17" t="e">
        <f t="shared" si="1503"/>
        <v>#N/A</v>
      </c>
      <c r="L9732" s="16">
        <f>base!X9732</f>
        <v>0</v>
      </c>
      <c r="M9732" s="11" t="e">
        <f t="shared" si="1500"/>
        <v>#DIV/0!</v>
      </c>
      <c r="N9732" s="11"/>
      <c r="O9732" s="11" t="e">
        <f t="shared" si="1501"/>
        <v>#DIV/0!</v>
      </c>
      <c r="P9732" s="12">
        <f t="shared" si="1502"/>
        <v>0</v>
      </c>
      <c r="Q9732" s="17" t="str">
        <f t="shared" si="1504"/>
        <v>Pas d'écart</v>
      </c>
    </row>
    <row r="9733" spans="1:17" x14ac:dyDescent="0.3">
      <c r="A9733" s="34">
        <f>base!J9733</f>
        <v>0</v>
      </c>
      <c r="B9733" s="34">
        <f>base!V9733</f>
        <v>0</v>
      </c>
      <c r="C9733" s="40" t="s">
        <v>11</v>
      </c>
      <c r="D9733" s="36">
        <f>base!H9733</f>
        <v>0</v>
      </c>
      <c r="E9733" s="44"/>
      <c r="F9733" s="16">
        <f>base!W9733</f>
        <v>0</v>
      </c>
      <c r="G9733" s="11" t="e">
        <f t="shared" si="1496"/>
        <v>#DIV/0!</v>
      </c>
      <c r="H9733" s="11" t="e">
        <f t="shared" si="1497"/>
        <v>#N/A</v>
      </c>
      <c r="I9733" s="11" t="e">
        <f t="shared" si="1498"/>
        <v>#N/A</v>
      </c>
      <c r="J9733" s="12" t="e">
        <f t="shared" si="1499"/>
        <v>#N/A</v>
      </c>
      <c r="K9733" s="17" t="e">
        <f t="shared" si="1503"/>
        <v>#N/A</v>
      </c>
      <c r="L9733" s="16">
        <f>base!X9733</f>
        <v>0</v>
      </c>
      <c r="M9733" s="11" t="e">
        <f t="shared" si="1500"/>
        <v>#DIV/0!</v>
      </c>
      <c r="N9733" s="11"/>
      <c r="O9733" s="11" t="e">
        <f t="shared" si="1501"/>
        <v>#DIV/0!</v>
      </c>
      <c r="P9733" s="12">
        <f t="shared" si="1502"/>
        <v>0</v>
      </c>
      <c r="Q9733" s="17" t="str">
        <f t="shared" si="1504"/>
        <v>Pas d'écart</v>
      </c>
    </row>
    <row r="9734" spans="1:17" x14ac:dyDescent="0.3">
      <c r="A9734" s="34">
        <f>base!J9734</f>
        <v>0</v>
      </c>
      <c r="B9734" s="34">
        <f>base!V9734</f>
        <v>0</v>
      </c>
      <c r="C9734" s="40" t="s">
        <v>11</v>
      </c>
      <c r="D9734" s="36">
        <f>base!H9734</f>
        <v>0</v>
      </c>
      <c r="E9734" s="44"/>
      <c r="F9734" s="16">
        <f>base!W9734</f>
        <v>0</v>
      </c>
      <c r="G9734" s="11" t="e">
        <f t="shared" si="1496"/>
        <v>#DIV/0!</v>
      </c>
      <c r="H9734" s="11" t="e">
        <f t="shared" si="1497"/>
        <v>#N/A</v>
      </c>
      <c r="I9734" s="11" t="e">
        <f t="shared" si="1498"/>
        <v>#N/A</v>
      </c>
      <c r="J9734" s="12" t="e">
        <f t="shared" si="1499"/>
        <v>#N/A</v>
      </c>
      <c r="K9734" s="17" t="e">
        <f t="shared" si="1503"/>
        <v>#N/A</v>
      </c>
      <c r="L9734" s="16">
        <f>base!X9734</f>
        <v>0</v>
      </c>
      <c r="M9734" s="11" t="e">
        <f t="shared" si="1500"/>
        <v>#DIV/0!</v>
      </c>
      <c r="N9734" s="11"/>
      <c r="O9734" s="11" t="e">
        <f t="shared" si="1501"/>
        <v>#DIV/0!</v>
      </c>
      <c r="P9734" s="12">
        <f t="shared" si="1502"/>
        <v>0</v>
      </c>
      <c r="Q9734" s="17" t="str">
        <f t="shared" si="1504"/>
        <v>Pas d'écart</v>
      </c>
    </row>
    <row r="9735" spans="1:17" x14ac:dyDescent="0.3">
      <c r="A9735" s="34">
        <f>base!J9735</f>
        <v>0</v>
      </c>
      <c r="B9735" s="34">
        <f>base!V9735</f>
        <v>0</v>
      </c>
      <c r="C9735" s="40" t="s">
        <v>11</v>
      </c>
      <c r="D9735" s="36">
        <f>base!H9735</f>
        <v>0</v>
      </c>
      <c r="E9735" s="44"/>
      <c r="F9735" s="16">
        <f>base!W9735</f>
        <v>0</v>
      </c>
      <c r="G9735" s="11" t="e">
        <f t="shared" si="1496"/>
        <v>#DIV/0!</v>
      </c>
      <c r="H9735" s="11" t="e">
        <f t="shared" si="1497"/>
        <v>#N/A</v>
      </c>
      <c r="I9735" s="11" t="e">
        <f t="shared" si="1498"/>
        <v>#N/A</v>
      </c>
      <c r="J9735" s="12" t="e">
        <f t="shared" si="1499"/>
        <v>#N/A</v>
      </c>
      <c r="K9735" s="17" t="e">
        <f t="shared" si="1503"/>
        <v>#N/A</v>
      </c>
      <c r="L9735" s="16">
        <f>base!X9735</f>
        <v>0</v>
      </c>
      <c r="M9735" s="11" t="e">
        <f t="shared" si="1500"/>
        <v>#DIV/0!</v>
      </c>
      <c r="N9735" s="11"/>
      <c r="O9735" s="11" t="e">
        <f t="shared" si="1501"/>
        <v>#DIV/0!</v>
      </c>
      <c r="P9735" s="12">
        <f t="shared" si="1502"/>
        <v>0</v>
      </c>
      <c r="Q9735" s="17" t="str">
        <f t="shared" si="1504"/>
        <v>Pas d'écart</v>
      </c>
    </row>
    <row r="9736" spans="1:17" x14ac:dyDescent="0.3">
      <c r="A9736" s="34">
        <f>base!J9736</f>
        <v>0</v>
      </c>
      <c r="B9736" s="34">
        <f>base!V9736</f>
        <v>0</v>
      </c>
      <c r="C9736" s="40" t="s">
        <v>11</v>
      </c>
      <c r="D9736" s="36">
        <f>base!H9736</f>
        <v>0</v>
      </c>
      <c r="E9736" s="44"/>
      <c r="F9736" s="16">
        <f>base!W9736</f>
        <v>0</v>
      </c>
      <c r="G9736" s="11" t="e">
        <f t="shared" si="1496"/>
        <v>#DIV/0!</v>
      </c>
      <c r="H9736" s="11" t="e">
        <f t="shared" si="1497"/>
        <v>#N/A</v>
      </c>
      <c r="I9736" s="11" t="e">
        <f t="shared" si="1498"/>
        <v>#N/A</v>
      </c>
      <c r="J9736" s="12" t="e">
        <f t="shared" si="1499"/>
        <v>#N/A</v>
      </c>
      <c r="K9736" s="17" t="e">
        <f t="shared" si="1503"/>
        <v>#N/A</v>
      </c>
      <c r="L9736" s="16">
        <f>base!X9736</f>
        <v>0</v>
      </c>
      <c r="M9736" s="11" t="e">
        <f t="shared" si="1500"/>
        <v>#DIV/0!</v>
      </c>
      <c r="N9736" s="11"/>
      <c r="O9736" s="11" t="e">
        <f t="shared" si="1501"/>
        <v>#DIV/0!</v>
      </c>
      <c r="P9736" s="12">
        <f t="shared" si="1502"/>
        <v>0</v>
      </c>
      <c r="Q9736" s="17" t="str">
        <f t="shared" si="1504"/>
        <v>Pas d'écart</v>
      </c>
    </row>
    <row r="9737" spans="1:17" x14ac:dyDescent="0.3">
      <c r="A9737" s="34">
        <f>base!J9737</f>
        <v>0</v>
      </c>
      <c r="B9737" s="34">
        <f>base!V9737</f>
        <v>0</v>
      </c>
      <c r="C9737" s="40" t="s">
        <v>11</v>
      </c>
      <c r="D9737" s="36">
        <f>base!H9737</f>
        <v>0</v>
      </c>
      <c r="E9737" s="44"/>
      <c r="F9737" s="16">
        <f>base!W9737</f>
        <v>0</v>
      </c>
      <c r="G9737" s="11" t="e">
        <f t="shared" si="1496"/>
        <v>#DIV/0!</v>
      </c>
      <c r="H9737" s="11" t="e">
        <f t="shared" si="1497"/>
        <v>#N/A</v>
      </c>
      <c r="I9737" s="11" t="e">
        <f t="shared" si="1498"/>
        <v>#N/A</v>
      </c>
      <c r="J9737" s="12" t="e">
        <f t="shared" si="1499"/>
        <v>#N/A</v>
      </c>
      <c r="K9737" s="17" t="e">
        <f t="shared" si="1503"/>
        <v>#N/A</v>
      </c>
      <c r="L9737" s="16">
        <f>base!X9737</f>
        <v>0</v>
      </c>
      <c r="M9737" s="11" t="e">
        <f t="shared" si="1500"/>
        <v>#DIV/0!</v>
      </c>
      <c r="N9737" s="11"/>
      <c r="O9737" s="11" t="e">
        <f t="shared" si="1501"/>
        <v>#DIV/0!</v>
      </c>
      <c r="P9737" s="12">
        <f t="shared" si="1502"/>
        <v>0</v>
      </c>
      <c r="Q9737" s="17" t="str">
        <f t="shared" si="1504"/>
        <v>Pas d'écart</v>
      </c>
    </row>
    <row r="9738" spans="1:17" x14ac:dyDescent="0.3">
      <c r="A9738" s="34">
        <f>base!J9738</f>
        <v>0</v>
      </c>
      <c r="B9738" s="34">
        <f>base!V9738</f>
        <v>0</v>
      </c>
      <c r="C9738" s="40" t="s">
        <v>11</v>
      </c>
      <c r="D9738" s="36">
        <f>base!H9738</f>
        <v>0</v>
      </c>
      <c r="E9738" s="44"/>
      <c r="F9738" s="16">
        <f>base!W9738</f>
        <v>0</v>
      </c>
      <c r="G9738" s="11" t="e">
        <f t="shared" si="1496"/>
        <v>#DIV/0!</v>
      </c>
      <c r="H9738" s="11" t="e">
        <f t="shared" si="1497"/>
        <v>#N/A</v>
      </c>
      <c r="I9738" s="11" t="e">
        <f t="shared" si="1498"/>
        <v>#N/A</v>
      </c>
      <c r="J9738" s="12" t="e">
        <f t="shared" si="1499"/>
        <v>#N/A</v>
      </c>
      <c r="K9738" s="17" t="e">
        <f t="shared" si="1503"/>
        <v>#N/A</v>
      </c>
      <c r="L9738" s="16">
        <f>base!X9738</f>
        <v>0</v>
      </c>
      <c r="M9738" s="11" t="e">
        <f t="shared" si="1500"/>
        <v>#DIV/0!</v>
      </c>
      <c r="N9738" s="11"/>
      <c r="O9738" s="11" t="e">
        <f t="shared" si="1501"/>
        <v>#DIV/0!</v>
      </c>
      <c r="P9738" s="12">
        <f t="shared" si="1502"/>
        <v>0</v>
      </c>
      <c r="Q9738" s="17" t="str">
        <f t="shared" si="1504"/>
        <v>Pas d'écart</v>
      </c>
    </row>
    <row r="9739" spans="1:17" x14ac:dyDescent="0.3">
      <c r="A9739" s="34">
        <f>base!J9739</f>
        <v>0</v>
      </c>
      <c r="B9739" s="34">
        <f>base!V9739</f>
        <v>0</v>
      </c>
      <c r="C9739" s="40" t="s">
        <v>11</v>
      </c>
      <c r="D9739" s="36">
        <f>base!H9739</f>
        <v>0</v>
      </c>
      <c r="E9739" s="44"/>
      <c r="F9739" s="16">
        <f>base!W9739</f>
        <v>0</v>
      </c>
      <c r="G9739" s="11" t="e">
        <f t="shared" si="1496"/>
        <v>#DIV/0!</v>
      </c>
      <c r="H9739" s="11" t="e">
        <f t="shared" si="1497"/>
        <v>#N/A</v>
      </c>
      <c r="I9739" s="11" t="e">
        <f t="shared" si="1498"/>
        <v>#N/A</v>
      </c>
      <c r="J9739" s="12" t="e">
        <f t="shared" si="1499"/>
        <v>#N/A</v>
      </c>
      <c r="K9739" s="17" t="e">
        <f t="shared" si="1503"/>
        <v>#N/A</v>
      </c>
      <c r="L9739" s="16">
        <f>base!X9739</f>
        <v>0</v>
      </c>
      <c r="M9739" s="11" t="e">
        <f t="shared" si="1500"/>
        <v>#DIV/0!</v>
      </c>
      <c r="N9739" s="11"/>
      <c r="O9739" s="11" t="e">
        <f t="shared" si="1501"/>
        <v>#DIV/0!</v>
      </c>
      <c r="P9739" s="12">
        <f t="shared" si="1502"/>
        <v>0</v>
      </c>
      <c r="Q9739" s="17" t="str">
        <f t="shared" si="1504"/>
        <v>Pas d'écart</v>
      </c>
    </row>
    <row r="9740" spans="1:17" x14ac:dyDescent="0.3">
      <c r="A9740" s="34">
        <f>base!J9740</f>
        <v>0</v>
      </c>
      <c r="B9740" s="34">
        <f>base!V9740</f>
        <v>0</v>
      </c>
      <c r="C9740" s="40" t="s">
        <v>11</v>
      </c>
      <c r="D9740" s="36">
        <f>base!H9740</f>
        <v>0</v>
      </c>
      <c r="E9740" s="44"/>
      <c r="F9740" s="16">
        <f>base!W9740</f>
        <v>0</v>
      </c>
      <c r="G9740" s="11" t="e">
        <f t="shared" si="1496"/>
        <v>#DIV/0!</v>
      </c>
      <c r="H9740" s="11" t="e">
        <f t="shared" si="1497"/>
        <v>#N/A</v>
      </c>
      <c r="I9740" s="11" t="e">
        <f t="shared" si="1498"/>
        <v>#N/A</v>
      </c>
      <c r="J9740" s="12" t="e">
        <f t="shared" si="1499"/>
        <v>#N/A</v>
      </c>
      <c r="K9740" s="17" t="e">
        <f t="shared" si="1503"/>
        <v>#N/A</v>
      </c>
      <c r="L9740" s="16">
        <f>base!X9740</f>
        <v>0</v>
      </c>
      <c r="M9740" s="11" t="e">
        <f t="shared" si="1500"/>
        <v>#DIV/0!</v>
      </c>
      <c r="N9740" s="11"/>
      <c r="O9740" s="11" t="e">
        <f t="shared" si="1501"/>
        <v>#DIV/0!</v>
      </c>
      <c r="P9740" s="12">
        <f t="shared" si="1502"/>
        <v>0</v>
      </c>
      <c r="Q9740" s="17" t="str">
        <f t="shared" si="1504"/>
        <v>Pas d'écart</v>
      </c>
    </row>
    <row r="9741" spans="1:17" x14ac:dyDescent="0.3">
      <c r="A9741" s="34">
        <f>base!J9741</f>
        <v>0</v>
      </c>
      <c r="B9741" s="34">
        <f>base!V9741</f>
        <v>0</v>
      </c>
      <c r="C9741" s="40" t="s">
        <v>11</v>
      </c>
      <c r="D9741" s="36">
        <f>base!H9741</f>
        <v>0</v>
      </c>
      <c r="E9741" s="44"/>
      <c r="F9741" s="16">
        <f>base!W9741</f>
        <v>0</v>
      </c>
      <c r="G9741" s="11" t="e">
        <f t="shared" si="1496"/>
        <v>#DIV/0!</v>
      </c>
      <c r="H9741" s="11" t="e">
        <f t="shared" si="1497"/>
        <v>#N/A</v>
      </c>
      <c r="I9741" s="11" t="e">
        <f t="shared" si="1498"/>
        <v>#N/A</v>
      </c>
      <c r="J9741" s="12" t="e">
        <f t="shared" si="1499"/>
        <v>#N/A</v>
      </c>
      <c r="K9741" s="17" t="e">
        <f t="shared" si="1503"/>
        <v>#N/A</v>
      </c>
      <c r="L9741" s="16">
        <f>base!X9741</f>
        <v>0</v>
      </c>
      <c r="M9741" s="11" t="e">
        <f t="shared" si="1500"/>
        <v>#DIV/0!</v>
      </c>
      <c r="N9741" s="11"/>
      <c r="O9741" s="11" t="e">
        <f t="shared" si="1501"/>
        <v>#DIV/0!</v>
      </c>
      <c r="P9741" s="12">
        <f t="shared" si="1502"/>
        <v>0</v>
      </c>
      <c r="Q9741" s="17" t="str">
        <f t="shared" si="1504"/>
        <v>Pas d'écart</v>
      </c>
    </row>
    <row r="9742" spans="1:17" x14ac:dyDescent="0.3">
      <c r="A9742" s="34">
        <f>base!J9742</f>
        <v>0</v>
      </c>
      <c r="B9742" s="34">
        <f>base!V9742</f>
        <v>0</v>
      </c>
      <c r="C9742" s="40" t="s">
        <v>11</v>
      </c>
      <c r="D9742" s="36">
        <f>base!H9742</f>
        <v>0</v>
      </c>
      <c r="E9742" s="44"/>
      <c r="F9742" s="16">
        <f>base!W9742</f>
        <v>0</v>
      </c>
      <c r="G9742" s="11" t="e">
        <f t="shared" si="1496"/>
        <v>#DIV/0!</v>
      </c>
      <c r="H9742" s="11" t="e">
        <f t="shared" si="1497"/>
        <v>#N/A</v>
      </c>
      <c r="I9742" s="11" t="e">
        <f t="shared" si="1498"/>
        <v>#N/A</v>
      </c>
      <c r="J9742" s="12" t="e">
        <f t="shared" si="1499"/>
        <v>#N/A</v>
      </c>
      <c r="K9742" s="17" t="e">
        <f t="shared" si="1503"/>
        <v>#N/A</v>
      </c>
      <c r="L9742" s="16">
        <f>base!X9742</f>
        <v>0</v>
      </c>
      <c r="M9742" s="11" t="e">
        <f t="shared" si="1500"/>
        <v>#DIV/0!</v>
      </c>
      <c r="N9742" s="11"/>
      <c r="O9742" s="11" t="e">
        <f t="shared" si="1501"/>
        <v>#DIV/0!</v>
      </c>
      <c r="P9742" s="12">
        <f t="shared" si="1502"/>
        <v>0</v>
      </c>
      <c r="Q9742" s="17" t="str">
        <f t="shared" si="1504"/>
        <v>Pas d'écart</v>
      </c>
    </row>
    <row r="9743" spans="1:17" x14ac:dyDescent="0.3">
      <c r="A9743" s="34">
        <f>base!J9743</f>
        <v>0</v>
      </c>
      <c r="B9743" s="34">
        <f>base!V9743</f>
        <v>0</v>
      </c>
      <c r="C9743" s="40" t="s">
        <v>11</v>
      </c>
      <c r="D9743" s="36">
        <f>base!H9743</f>
        <v>0</v>
      </c>
      <c r="E9743" s="44"/>
      <c r="F9743" s="16">
        <f>base!W9743</f>
        <v>0</v>
      </c>
      <c r="G9743" s="11" t="e">
        <f t="shared" si="1496"/>
        <v>#DIV/0!</v>
      </c>
      <c r="H9743" s="11" t="e">
        <f t="shared" si="1497"/>
        <v>#N/A</v>
      </c>
      <c r="I9743" s="11" t="e">
        <f t="shared" si="1498"/>
        <v>#N/A</v>
      </c>
      <c r="J9743" s="12" t="e">
        <f t="shared" si="1499"/>
        <v>#N/A</v>
      </c>
      <c r="K9743" s="17" t="e">
        <f t="shared" si="1503"/>
        <v>#N/A</v>
      </c>
      <c r="L9743" s="16">
        <f>base!X9743</f>
        <v>0</v>
      </c>
      <c r="M9743" s="11" t="e">
        <f t="shared" si="1500"/>
        <v>#DIV/0!</v>
      </c>
      <c r="N9743" s="11"/>
      <c r="O9743" s="11" t="e">
        <f t="shared" si="1501"/>
        <v>#DIV/0!</v>
      </c>
      <c r="P9743" s="12">
        <f t="shared" si="1502"/>
        <v>0</v>
      </c>
      <c r="Q9743" s="17" t="str">
        <f t="shared" si="1504"/>
        <v>Pas d'écart</v>
      </c>
    </row>
    <row r="9744" spans="1:17" x14ac:dyDescent="0.3">
      <c r="A9744" s="34">
        <f>base!J9744</f>
        <v>0</v>
      </c>
      <c r="B9744" s="34">
        <f>base!V9744</f>
        <v>0</v>
      </c>
      <c r="C9744" s="40" t="s">
        <v>11</v>
      </c>
      <c r="D9744" s="36">
        <f>base!H9744</f>
        <v>0</v>
      </c>
      <c r="E9744" s="44"/>
      <c r="F9744" s="16">
        <f>base!W9744</f>
        <v>0</v>
      </c>
      <c r="G9744" s="11" t="e">
        <f t="shared" si="1496"/>
        <v>#DIV/0!</v>
      </c>
      <c r="H9744" s="11" t="e">
        <f t="shared" si="1497"/>
        <v>#N/A</v>
      </c>
      <c r="I9744" s="11" t="e">
        <f t="shared" si="1498"/>
        <v>#N/A</v>
      </c>
      <c r="J9744" s="12" t="e">
        <f t="shared" si="1499"/>
        <v>#N/A</v>
      </c>
      <c r="K9744" s="17" t="e">
        <f t="shared" si="1503"/>
        <v>#N/A</v>
      </c>
      <c r="L9744" s="16">
        <f>base!X9744</f>
        <v>0</v>
      </c>
      <c r="M9744" s="11" t="e">
        <f t="shared" si="1500"/>
        <v>#DIV/0!</v>
      </c>
      <c r="N9744" s="11"/>
      <c r="O9744" s="11" t="e">
        <f t="shared" si="1501"/>
        <v>#DIV/0!</v>
      </c>
      <c r="P9744" s="12">
        <f t="shared" si="1502"/>
        <v>0</v>
      </c>
      <c r="Q9744" s="17" t="str">
        <f t="shared" si="1504"/>
        <v>Pas d'écart</v>
      </c>
    </row>
    <row r="9745" spans="1:17" x14ac:dyDescent="0.3">
      <c r="A9745" s="34">
        <f>base!J9745</f>
        <v>0</v>
      </c>
      <c r="B9745" s="34">
        <f>base!V9745</f>
        <v>0</v>
      </c>
      <c r="C9745" s="40" t="s">
        <v>11</v>
      </c>
      <c r="D9745" s="36">
        <f>base!H9745</f>
        <v>0</v>
      </c>
      <c r="E9745" s="44"/>
      <c r="F9745" s="16">
        <f>base!W9745</f>
        <v>0</v>
      </c>
      <c r="G9745" s="11" t="e">
        <f t="shared" si="1496"/>
        <v>#DIV/0!</v>
      </c>
      <c r="H9745" s="11" t="e">
        <f t="shared" si="1497"/>
        <v>#N/A</v>
      </c>
      <c r="I9745" s="11" t="e">
        <f t="shared" si="1498"/>
        <v>#N/A</v>
      </c>
      <c r="J9745" s="12" t="e">
        <f t="shared" si="1499"/>
        <v>#N/A</v>
      </c>
      <c r="K9745" s="17" t="e">
        <f t="shared" si="1503"/>
        <v>#N/A</v>
      </c>
      <c r="L9745" s="16">
        <f>base!X9745</f>
        <v>0</v>
      </c>
      <c r="M9745" s="11" t="e">
        <f t="shared" si="1500"/>
        <v>#DIV/0!</v>
      </c>
      <c r="N9745" s="11"/>
      <c r="O9745" s="11" t="e">
        <f t="shared" si="1501"/>
        <v>#DIV/0!</v>
      </c>
      <c r="P9745" s="12">
        <f t="shared" si="1502"/>
        <v>0</v>
      </c>
      <c r="Q9745" s="17" t="str">
        <f t="shared" si="1504"/>
        <v>Pas d'écart</v>
      </c>
    </row>
    <row r="9746" spans="1:17" x14ac:dyDescent="0.3">
      <c r="A9746" s="34">
        <f>base!J9746</f>
        <v>0</v>
      </c>
      <c r="B9746" s="34">
        <f>base!V9746</f>
        <v>0</v>
      </c>
      <c r="C9746" s="40" t="s">
        <v>11</v>
      </c>
      <c r="D9746" s="36">
        <f>base!H9746</f>
        <v>0</v>
      </c>
      <c r="E9746" s="44"/>
      <c r="F9746" s="16">
        <f>base!W9746</f>
        <v>0</v>
      </c>
      <c r="G9746" s="11" t="e">
        <f t="shared" si="1496"/>
        <v>#DIV/0!</v>
      </c>
      <c r="H9746" s="11" t="e">
        <f t="shared" si="1497"/>
        <v>#N/A</v>
      </c>
      <c r="I9746" s="11" t="e">
        <f t="shared" si="1498"/>
        <v>#N/A</v>
      </c>
      <c r="J9746" s="12" t="e">
        <f t="shared" si="1499"/>
        <v>#N/A</v>
      </c>
      <c r="K9746" s="17" t="e">
        <f t="shared" si="1503"/>
        <v>#N/A</v>
      </c>
      <c r="L9746" s="16">
        <f>base!X9746</f>
        <v>0</v>
      </c>
      <c r="M9746" s="11" t="e">
        <f t="shared" si="1500"/>
        <v>#DIV/0!</v>
      </c>
      <c r="N9746" s="11"/>
      <c r="O9746" s="11" t="e">
        <f t="shared" si="1501"/>
        <v>#DIV/0!</v>
      </c>
      <c r="P9746" s="12">
        <f t="shared" si="1502"/>
        <v>0</v>
      </c>
      <c r="Q9746" s="17" t="str">
        <f t="shared" si="1504"/>
        <v>Pas d'écart</v>
      </c>
    </row>
    <row r="9747" spans="1:17" x14ac:dyDescent="0.3">
      <c r="A9747" s="34">
        <f>base!J9747</f>
        <v>0</v>
      </c>
      <c r="B9747" s="34">
        <f>base!V9747</f>
        <v>0</v>
      </c>
      <c r="C9747" s="40" t="s">
        <v>11</v>
      </c>
      <c r="D9747" s="36">
        <f>base!H9747</f>
        <v>0</v>
      </c>
      <c r="E9747" s="44"/>
      <c r="F9747" s="16">
        <f>base!W9747</f>
        <v>0</v>
      </c>
      <c r="G9747" s="11" t="e">
        <f t="shared" si="1496"/>
        <v>#DIV/0!</v>
      </c>
      <c r="H9747" s="11" t="e">
        <f t="shared" si="1497"/>
        <v>#N/A</v>
      </c>
      <c r="I9747" s="11" t="e">
        <f t="shared" si="1498"/>
        <v>#N/A</v>
      </c>
      <c r="J9747" s="12" t="e">
        <f t="shared" si="1499"/>
        <v>#N/A</v>
      </c>
      <c r="K9747" s="17" t="e">
        <f t="shared" si="1503"/>
        <v>#N/A</v>
      </c>
      <c r="L9747" s="16">
        <f>base!X9747</f>
        <v>0</v>
      </c>
      <c r="M9747" s="11" t="e">
        <f t="shared" si="1500"/>
        <v>#DIV/0!</v>
      </c>
      <c r="N9747" s="11"/>
      <c r="O9747" s="11" t="e">
        <f t="shared" si="1501"/>
        <v>#DIV/0!</v>
      </c>
      <c r="P9747" s="12">
        <f t="shared" si="1502"/>
        <v>0</v>
      </c>
      <c r="Q9747" s="17" t="str">
        <f t="shared" si="1504"/>
        <v>Pas d'écart</v>
      </c>
    </row>
    <row r="9748" spans="1:17" x14ac:dyDescent="0.3">
      <c r="A9748" s="34">
        <f>base!J9748</f>
        <v>0</v>
      </c>
      <c r="B9748" s="34">
        <f>base!V9748</f>
        <v>0</v>
      </c>
      <c r="C9748" s="40" t="s">
        <v>11</v>
      </c>
      <c r="D9748" s="36">
        <f>base!H9748</f>
        <v>0</v>
      </c>
      <c r="E9748" s="44"/>
      <c r="F9748" s="16">
        <f>base!W9748</f>
        <v>0</v>
      </c>
      <c r="G9748" s="11" t="e">
        <f t="shared" si="1496"/>
        <v>#DIV/0!</v>
      </c>
      <c r="H9748" s="11" t="e">
        <f t="shared" si="1497"/>
        <v>#N/A</v>
      </c>
      <c r="I9748" s="11" t="e">
        <f t="shared" si="1498"/>
        <v>#N/A</v>
      </c>
      <c r="J9748" s="12" t="e">
        <f t="shared" si="1499"/>
        <v>#N/A</v>
      </c>
      <c r="K9748" s="17" t="e">
        <f t="shared" si="1503"/>
        <v>#N/A</v>
      </c>
      <c r="L9748" s="16">
        <f>base!X9748</f>
        <v>0</v>
      </c>
      <c r="M9748" s="11" t="e">
        <f t="shared" si="1500"/>
        <v>#DIV/0!</v>
      </c>
      <c r="N9748" s="11"/>
      <c r="O9748" s="11" t="e">
        <f t="shared" si="1501"/>
        <v>#DIV/0!</v>
      </c>
      <c r="P9748" s="12">
        <f t="shared" si="1502"/>
        <v>0</v>
      </c>
      <c r="Q9748" s="17" t="str">
        <f t="shared" si="1504"/>
        <v>Pas d'écart</v>
      </c>
    </row>
    <row r="9749" spans="1:17" x14ac:dyDescent="0.3">
      <c r="A9749" s="34">
        <f>base!J9749</f>
        <v>0</v>
      </c>
      <c r="B9749" s="34">
        <f>base!V9749</f>
        <v>0</v>
      </c>
      <c r="C9749" s="40" t="s">
        <v>11</v>
      </c>
      <c r="D9749" s="36">
        <f>base!H9749</f>
        <v>0</v>
      </c>
      <c r="E9749" s="44"/>
      <c r="F9749" s="16">
        <f>base!W9749</f>
        <v>0</v>
      </c>
      <c r="G9749" s="11" t="e">
        <f t="shared" si="1496"/>
        <v>#DIV/0!</v>
      </c>
      <c r="H9749" s="11" t="e">
        <f t="shared" si="1497"/>
        <v>#N/A</v>
      </c>
      <c r="I9749" s="11" t="e">
        <f t="shared" si="1498"/>
        <v>#N/A</v>
      </c>
      <c r="J9749" s="12" t="e">
        <f t="shared" si="1499"/>
        <v>#N/A</v>
      </c>
      <c r="K9749" s="17" t="e">
        <f t="shared" si="1503"/>
        <v>#N/A</v>
      </c>
      <c r="L9749" s="16">
        <f>base!X9749</f>
        <v>0</v>
      </c>
      <c r="M9749" s="11" t="e">
        <f t="shared" si="1500"/>
        <v>#DIV/0!</v>
      </c>
      <c r="N9749" s="11"/>
      <c r="O9749" s="11" t="e">
        <f t="shared" si="1501"/>
        <v>#DIV/0!</v>
      </c>
      <c r="P9749" s="12">
        <f t="shared" si="1502"/>
        <v>0</v>
      </c>
      <c r="Q9749" s="17" t="str">
        <f t="shared" si="1504"/>
        <v>Pas d'écart</v>
      </c>
    </row>
    <row r="9750" spans="1:17" x14ac:dyDescent="0.3">
      <c r="A9750" s="34">
        <f>base!J9750</f>
        <v>0</v>
      </c>
      <c r="B9750" s="34">
        <f>base!V9750</f>
        <v>0</v>
      </c>
      <c r="C9750" s="40" t="s">
        <v>11</v>
      </c>
      <c r="D9750" s="36">
        <f>base!H9750</f>
        <v>0</v>
      </c>
      <c r="E9750" s="44"/>
      <c r="F9750" s="16">
        <f>base!W9750</f>
        <v>0</v>
      </c>
      <c r="G9750" s="11" t="e">
        <f t="shared" si="1496"/>
        <v>#DIV/0!</v>
      </c>
      <c r="H9750" s="11" t="e">
        <f t="shared" si="1497"/>
        <v>#N/A</v>
      </c>
      <c r="I9750" s="11" t="e">
        <f t="shared" si="1498"/>
        <v>#N/A</v>
      </c>
      <c r="J9750" s="12" t="e">
        <f t="shared" si="1499"/>
        <v>#N/A</v>
      </c>
      <c r="K9750" s="17" t="e">
        <f t="shared" si="1503"/>
        <v>#N/A</v>
      </c>
      <c r="L9750" s="16">
        <f>base!X9750</f>
        <v>0</v>
      </c>
      <c r="M9750" s="11" t="e">
        <f t="shared" si="1500"/>
        <v>#DIV/0!</v>
      </c>
      <c r="N9750" s="11"/>
      <c r="O9750" s="11" t="e">
        <f t="shared" si="1501"/>
        <v>#DIV/0!</v>
      </c>
      <c r="P9750" s="12">
        <f t="shared" si="1502"/>
        <v>0</v>
      </c>
      <c r="Q9750" s="17" t="str">
        <f t="shared" si="1504"/>
        <v>Pas d'écart</v>
      </c>
    </row>
    <row r="9751" spans="1:17" x14ac:dyDescent="0.3">
      <c r="A9751" s="34">
        <f>base!J9751</f>
        <v>0</v>
      </c>
      <c r="B9751" s="34">
        <f>base!V9751</f>
        <v>0</v>
      </c>
      <c r="C9751" s="40" t="s">
        <v>11</v>
      </c>
      <c r="D9751" s="36">
        <f>base!H9751</f>
        <v>0</v>
      </c>
      <c r="E9751" s="44"/>
      <c r="F9751" s="16">
        <f>base!W9751</f>
        <v>0</v>
      </c>
      <c r="G9751" s="11" t="e">
        <f t="shared" si="1496"/>
        <v>#DIV/0!</v>
      </c>
      <c r="H9751" s="11" t="e">
        <f t="shared" si="1497"/>
        <v>#N/A</v>
      </c>
      <c r="I9751" s="11" t="e">
        <f t="shared" si="1498"/>
        <v>#N/A</v>
      </c>
      <c r="J9751" s="12" t="e">
        <f t="shared" si="1499"/>
        <v>#N/A</v>
      </c>
      <c r="K9751" s="17" t="e">
        <f t="shared" si="1503"/>
        <v>#N/A</v>
      </c>
      <c r="L9751" s="16">
        <f>base!X9751</f>
        <v>0</v>
      </c>
      <c r="M9751" s="11" t="e">
        <f t="shared" si="1500"/>
        <v>#DIV/0!</v>
      </c>
      <c r="N9751" s="11"/>
      <c r="O9751" s="11" t="e">
        <f t="shared" si="1501"/>
        <v>#DIV/0!</v>
      </c>
      <c r="P9751" s="12">
        <f t="shared" si="1502"/>
        <v>0</v>
      </c>
      <c r="Q9751" s="17" t="str">
        <f t="shared" si="1504"/>
        <v>Pas d'écart</v>
      </c>
    </row>
    <row r="9752" spans="1:17" x14ac:dyDescent="0.3">
      <c r="A9752" s="34">
        <f>base!J9752</f>
        <v>0</v>
      </c>
      <c r="B9752" s="34">
        <f>base!V9752</f>
        <v>0</v>
      </c>
      <c r="C9752" s="40" t="s">
        <v>11</v>
      </c>
      <c r="D9752" s="36">
        <f>base!H9752</f>
        <v>0</v>
      </c>
      <c r="E9752" s="44"/>
      <c r="F9752" s="16">
        <f>base!W9752</f>
        <v>0</v>
      </c>
      <c r="G9752" s="11" t="e">
        <f t="shared" si="1496"/>
        <v>#DIV/0!</v>
      </c>
      <c r="H9752" s="11" t="e">
        <f t="shared" si="1497"/>
        <v>#N/A</v>
      </c>
      <c r="I9752" s="11" t="e">
        <f t="shared" si="1498"/>
        <v>#N/A</v>
      </c>
      <c r="J9752" s="12" t="e">
        <f t="shared" si="1499"/>
        <v>#N/A</v>
      </c>
      <c r="K9752" s="17" t="e">
        <f t="shared" si="1503"/>
        <v>#N/A</v>
      </c>
      <c r="L9752" s="16">
        <f>base!X9752</f>
        <v>0</v>
      </c>
      <c r="M9752" s="11" t="e">
        <f t="shared" si="1500"/>
        <v>#DIV/0!</v>
      </c>
      <c r="N9752" s="11"/>
      <c r="O9752" s="11" t="e">
        <f t="shared" si="1501"/>
        <v>#DIV/0!</v>
      </c>
      <c r="P9752" s="12">
        <f t="shared" si="1502"/>
        <v>0</v>
      </c>
      <c r="Q9752" s="17" t="str">
        <f t="shared" si="1504"/>
        <v>Pas d'écart</v>
      </c>
    </row>
    <row r="9753" spans="1:17" x14ac:dyDescent="0.3">
      <c r="A9753" s="34">
        <f>base!J9753</f>
        <v>0</v>
      </c>
      <c r="B9753" s="34">
        <f>base!V9753</f>
        <v>0</v>
      </c>
      <c r="C9753" s="40" t="s">
        <v>11</v>
      </c>
      <c r="D9753" s="36">
        <f>base!H9753</f>
        <v>0</v>
      </c>
      <c r="E9753" s="44"/>
      <c r="F9753" s="16">
        <f>base!W9753</f>
        <v>0</v>
      </c>
      <c r="G9753" s="11" t="e">
        <f t="shared" si="1496"/>
        <v>#DIV/0!</v>
      </c>
      <c r="H9753" s="11" t="e">
        <f t="shared" si="1497"/>
        <v>#N/A</v>
      </c>
      <c r="I9753" s="11" t="e">
        <f t="shared" si="1498"/>
        <v>#N/A</v>
      </c>
      <c r="J9753" s="12" t="e">
        <f t="shared" si="1499"/>
        <v>#N/A</v>
      </c>
      <c r="K9753" s="17" t="e">
        <f t="shared" si="1503"/>
        <v>#N/A</v>
      </c>
      <c r="L9753" s="16">
        <f>base!X9753</f>
        <v>0</v>
      </c>
      <c r="M9753" s="11" t="e">
        <f t="shared" si="1500"/>
        <v>#DIV/0!</v>
      </c>
      <c r="N9753" s="11"/>
      <c r="O9753" s="11" t="e">
        <f t="shared" si="1501"/>
        <v>#DIV/0!</v>
      </c>
      <c r="P9753" s="12">
        <f t="shared" si="1502"/>
        <v>0</v>
      </c>
      <c r="Q9753" s="17" t="str">
        <f t="shared" si="1504"/>
        <v>Pas d'écart</v>
      </c>
    </row>
    <row r="9754" spans="1:17" x14ac:dyDescent="0.3">
      <c r="A9754" s="34">
        <f>base!J9754</f>
        <v>0</v>
      </c>
      <c r="B9754" s="34">
        <f>base!V9754</f>
        <v>0</v>
      </c>
      <c r="C9754" s="40" t="s">
        <v>11</v>
      </c>
      <c r="D9754" s="36">
        <f>base!H9754</f>
        <v>0</v>
      </c>
      <c r="E9754" s="44"/>
      <c r="F9754" s="16">
        <f>base!W9754</f>
        <v>0</v>
      </c>
      <c r="G9754" s="11" t="e">
        <f t="shared" si="1496"/>
        <v>#DIV/0!</v>
      </c>
      <c r="H9754" s="11" t="e">
        <f t="shared" si="1497"/>
        <v>#N/A</v>
      </c>
      <c r="I9754" s="11" t="e">
        <f t="shared" si="1498"/>
        <v>#N/A</v>
      </c>
      <c r="J9754" s="12" t="e">
        <f t="shared" si="1499"/>
        <v>#N/A</v>
      </c>
      <c r="K9754" s="17" t="e">
        <f t="shared" si="1503"/>
        <v>#N/A</v>
      </c>
      <c r="L9754" s="16">
        <f>base!X9754</f>
        <v>0</v>
      </c>
      <c r="M9754" s="11" t="e">
        <f t="shared" si="1500"/>
        <v>#DIV/0!</v>
      </c>
      <c r="N9754" s="11"/>
      <c r="O9754" s="11" t="e">
        <f t="shared" si="1501"/>
        <v>#DIV/0!</v>
      </c>
      <c r="P9754" s="12">
        <f t="shared" si="1502"/>
        <v>0</v>
      </c>
      <c r="Q9754" s="17" t="str">
        <f t="shared" si="1504"/>
        <v>Pas d'écart</v>
      </c>
    </row>
    <row r="9755" spans="1:17" x14ac:dyDescent="0.3">
      <c r="A9755" s="34">
        <f>base!J9755</f>
        <v>0</v>
      </c>
      <c r="B9755" s="34">
        <f>base!V9755</f>
        <v>0</v>
      </c>
      <c r="C9755" s="40" t="s">
        <v>11</v>
      </c>
      <c r="D9755" s="36">
        <f>base!H9755</f>
        <v>0</v>
      </c>
      <c r="E9755" s="44"/>
      <c r="F9755" s="16">
        <f>base!W9755</f>
        <v>0</v>
      </c>
      <c r="G9755" s="11" t="e">
        <f t="shared" si="1496"/>
        <v>#DIV/0!</v>
      </c>
      <c r="H9755" s="11" t="e">
        <f t="shared" si="1497"/>
        <v>#N/A</v>
      </c>
      <c r="I9755" s="11" t="e">
        <f t="shared" si="1498"/>
        <v>#N/A</v>
      </c>
      <c r="J9755" s="12" t="e">
        <f t="shared" si="1499"/>
        <v>#N/A</v>
      </c>
      <c r="K9755" s="17" t="e">
        <f t="shared" si="1503"/>
        <v>#N/A</v>
      </c>
      <c r="L9755" s="16">
        <f>base!X9755</f>
        <v>0</v>
      </c>
      <c r="M9755" s="11" t="e">
        <f t="shared" si="1500"/>
        <v>#DIV/0!</v>
      </c>
      <c r="N9755" s="11"/>
      <c r="O9755" s="11" t="e">
        <f t="shared" si="1501"/>
        <v>#DIV/0!</v>
      </c>
      <c r="P9755" s="12">
        <f t="shared" si="1502"/>
        <v>0</v>
      </c>
      <c r="Q9755" s="17" t="str">
        <f t="shared" si="1504"/>
        <v>Pas d'écart</v>
      </c>
    </row>
    <row r="9756" spans="1:17" x14ac:dyDescent="0.3">
      <c r="A9756" s="34">
        <f>base!J9756</f>
        <v>0</v>
      </c>
      <c r="B9756" s="34">
        <f>base!V9756</f>
        <v>0</v>
      </c>
      <c r="C9756" s="40" t="s">
        <v>11</v>
      </c>
      <c r="D9756" s="36">
        <f>base!H9756</f>
        <v>0</v>
      </c>
      <c r="E9756" s="44"/>
      <c r="F9756" s="16">
        <f>base!W9756</f>
        <v>0</v>
      </c>
      <c r="G9756" s="11" t="e">
        <f t="shared" si="1496"/>
        <v>#DIV/0!</v>
      </c>
      <c r="H9756" s="11" t="e">
        <f t="shared" si="1497"/>
        <v>#N/A</v>
      </c>
      <c r="I9756" s="11" t="e">
        <f t="shared" si="1498"/>
        <v>#N/A</v>
      </c>
      <c r="J9756" s="12" t="e">
        <f t="shared" si="1499"/>
        <v>#N/A</v>
      </c>
      <c r="K9756" s="17" t="e">
        <f t="shared" si="1503"/>
        <v>#N/A</v>
      </c>
      <c r="L9756" s="16">
        <f>base!X9756</f>
        <v>0</v>
      </c>
      <c r="M9756" s="11" t="e">
        <f t="shared" si="1500"/>
        <v>#DIV/0!</v>
      </c>
      <c r="N9756" s="11"/>
      <c r="O9756" s="11" t="e">
        <f t="shared" si="1501"/>
        <v>#DIV/0!</v>
      </c>
      <c r="P9756" s="12">
        <f t="shared" si="1502"/>
        <v>0</v>
      </c>
      <c r="Q9756" s="17" t="str">
        <f t="shared" si="1504"/>
        <v>Pas d'écart</v>
      </c>
    </row>
    <row r="9757" spans="1:17" x14ac:dyDescent="0.3">
      <c r="A9757" s="34">
        <f>base!J9757</f>
        <v>0</v>
      </c>
      <c r="B9757" s="34">
        <f>base!V9757</f>
        <v>0</v>
      </c>
      <c r="C9757" s="40" t="s">
        <v>11</v>
      </c>
      <c r="D9757" s="36">
        <f>base!H9757</f>
        <v>0</v>
      </c>
      <c r="E9757" s="44"/>
      <c r="F9757" s="16">
        <f>base!W9757</f>
        <v>0</v>
      </c>
      <c r="G9757" s="11" t="e">
        <f t="shared" si="1496"/>
        <v>#DIV/0!</v>
      </c>
      <c r="H9757" s="11" t="e">
        <f t="shared" si="1497"/>
        <v>#N/A</v>
      </c>
      <c r="I9757" s="11" t="e">
        <f t="shared" si="1498"/>
        <v>#N/A</v>
      </c>
      <c r="J9757" s="12" t="e">
        <f t="shared" si="1499"/>
        <v>#N/A</v>
      </c>
      <c r="K9757" s="17" t="e">
        <f t="shared" si="1503"/>
        <v>#N/A</v>
      </c>
      <c r="L9757" s="16">
        <f>base!X9757</f>
        <v>0</v>
      </c>
      <c r="M9757" s="11" t="e">
        <f t="shared" si="1500"/>
        <v>#DIV/0!</v>
      </c>
      <c r="N9757" s="11"/>
      <c r="O9757" s="11" t="e">
        <f t="shared" si="1501"/>
        <v>#DIV/0!</v>
      </c>
      <c r="P9757" s="12">
        <f t="shared" si="1502"/>
        <v>0</v>
      </c>
      <c r="Q9757" s="17" t="str">
        <f t="shared" si="1504"/>
        <v>Pas d'écart</v>
      </c>
    </row>
    <row r="9758" spans="1:17" x14ac:dyDescent="0.3">
      <c r="A9758" s="34">
        <f>base!J9758</f>
        <v>0</v>
      </c>
      <c r="B9758" s="34">
        <f>base!V9758</f>
        <v>0</v>
      </c>
      <c r="C9758" s="40" t="s">
        <v>11</v>
      </c>
      <c r="D9758" s="36">
        <f>base!H9758</f>
        <v>0</v>
      </c>
      <c r="E9758" s="44"/>
      <c r="F9758" s="16">
        <f>base!W9758</f>
        <v>0</v>
      </c>
      <c r="G9758" s="11" t="e">
        <f t="shared" si="1496"/>
        <v>#DIV/0!</v>
      </c>
      <c r="H9758" s="11" t="e">
        <f t="shared" si="1497"/>
        <v>#N/A</v>
      </c>
      <c r="I9758" s="11" t="e">
        <f t="shared" si="1498"/>
        <v>#N/A</v>
      </c>
      <c r="J9758" s="12" t="e">
        <f t="shared" si="1499"/>
        <v>#N/A</v>
      </c>
      <c r="K9758" s="17" t="e">
        <f t="shared" si="1503"/>
        <v>#N/A</v>
      </c>
      <c r="L9758" s="16">
        <f>base!X9758</f>
        <v>0</v>
      </c>
      <c r="M9758" s="11" t="e">
        <f t="shared" si="1500"/>
        <v>#DIV/0!</v>
      </c>
      <c r="N9758" s="11"/>
      <c r="O9758" s="11" t="e">
        <f t="shared" si="1501"/>
        <v>#DIV/0!</v>
      </c>
      <c r="P9758" s="12">
        <f t="shared" si="1502"/>
        <v>0</v>
      </c>
      <c r="Q9758" s="17" t="str">
        <f t="shared" si="1504"/>
        <v>Pas d'écart</v>
      </c>
    </row>
    <row r="9759" spans="1:17" x14ac:dyDescent="0.3">
      <c r="A9759" s="34">
        <f>base!J9759</f>
        <v>0</v>
      </c>
      <c r="B9759" s="34">
        <f>base!V9759</f>
        <v>0</v>
      </c>
      <c r="C9759" s="40" t="s">
        <v>11</v>
      </c>
      <c r="D9759" s="36">
        <f>base!H9759</f>
        <v>0</v>
      </c>
      <c r="E9759" s="44"/>
      <c r="F9759" s="16">
        <f>base!W9759</f>
        <v>0</v>
      </c>
      <c r="G9759" s="11" t="e">
        <f t="shared" si="1496"/>
        <v>#DIV/0!</v>
      </c>
      <c r="H9759" s="11" t="e">
        <f t="shared" si="1497"/>
        <v>#N/A</v>
      </c>
      <c r="I9759" s="11" t="e">
        <f t="shared" si="1498"/>
        <v>#N/A</v>
      </c>
      <c r="J9759" s="12" t="e">
        <f t="shared" si="1499"/>
        <v>#N/A</v>
      </c>
      <c r="K9759" s="17" t="e">
        <f t="shared" si="1503"/>
        <v>#N/A</v>
      </c>
      <c r="L9759" s="16">
        <f>base!X9759</f>
        <v>0</v>
      </c>
      <c r="M9759" s="11" t="e">
        <f t="shared" si="1500"/>
        <v>#DIV/0!</v>
      </c>
      <c r="N9759" s="11"/>
      <c r="O9759" s="11" t="e">
        <f t="shared" si="1501"/>
        <v>#DIV/0!</v>
      </c>
      <c r="P9759" s="12">
        <f t="shared" si="1502"/>
        <v>0</v>
      </c>
      <c r="Q9759" s="17" t="str">
        <f t="shared" si="1504"/>
        <v>Pas d'écart</v>
      </c>
    </row>
    <row r="9760" spans="1:17" x14ac:dyDescent="0.3">
      <c r="A9760" s="34">
        <f>base!J9760</f>
        <v>0</v>
      </c>
      <c r="B9760" s="34">
        <f>base!V9760</f>
        <v>0</v>
      </c>
      <c r="C9760" s="40" t="s">
        <v>11</v>
      </c>
      <c r="D9760" s="36">
        <f>base!H9760</f>
        <v>0</v>
      </c>
      <c r="E9760" s="44"/>
      <c r="F9760" s="16">
        <f>base!W9760</f>
        <v>0</v>
      </c>
      <c r="G9760" s="11" t="e">
        <f t="shared" si="1496"/>
        <v>#DIV/0!</v>
      </c>
      <c r="H9760" s="11" t="e">
        <f t="shared" si="1497"/>
        <v>#N/A</v>
      </c>
      <c r="I9760" s="11" t="e">
        <f t="shared" si="1498"/>
        <v>#N/A</v>
      </c>
      <c r="J9760" s="12" t="e">
        <f t="shared" si="1499"/>
        <v>#N/A</v>
      </c>
      <c r="K9760" s="17" t="e">
        <f t="shared" si="1503"/>
        <v>#N/A</v>
      </c>
      <c r="L9760" s="16">
        <f>base!X9760</f>
        <v>0</v>
      </c>
      <c r="M9760" s="11" t="e">
        <f t="shared" si="1500"/>
        <v>#DIV/0!</v>
      </c>
      <c r="N9760" s="11"/>
      <c r="O9760" s="11" t="e">
        <f t="shared" si="1501"/>
        <v>#DIV/0!</v>
      </c>
      <c r="P9760" s="12">
        <f t="shared" si="1502"/>
        <v>0</v>
      </c>
      <c r="Q9760" s="17" t="str">
        <f t="shared" si="1504"/>
        <v>Pas d'écart</v>
      </c>
    </row>
    <row r="9761" spans="1:17" x14ac:dyDescent="0.3">
      <c r="A9761" s="34">
        <f>base!J9761</f>
        <v>0</v>
      </c>
      <c r="B9761" s="34">
        <f>base!V9761</f>
        <v>0</v>
      </c>
      <c r="C9761" s="40" t="s">
        <v>11</v>
      </c>
      <c r="D9761" s="36">
        <f>base!H9761</f>
        <v>0</v>
      </c>
      <c r="E9761" s="44"/>
      <c r="F9761" s="16">
        <f>base!W9761</f>
        <v>0</v>
      </c>
      <c r="G9761" s="11" t="e">
        <f t="shared" si="1496"/>
        <v>#DIV/0!</v>
      </c>
      <c r="H9761" s="11" t="e">
        <f t="shared" si="1497"/>
        <v>#N/A</v>
      </c>
      <c r="I9761" s="11" t="e">
        <f t="shared" si="1498"/>
        <v>#N/A</v>
      </c>
      <c r="J9761" s="12" t="e">
        <f t="shared" si="1499"/>
        <v>#N/A</v>
      </c>
      <c r="K9761" s="17" t="e">
        <f t="shared" si="1503"/>
        <v>#N/A</v>
      </c>
      <c r="L9761" s="16">
        <f>base!X9761</f>
        <v>0</v>
      </c>
      <c r="M9761" s="11" t="e">
        <f t="shared" si="1500"/>
        <v>#DIV/0!</v>
      </c>
      <c r="N9761" s="11"/>
      <c r="O9761" s="11" t="e">
        <f t="shared" si="1501"/>
        <v>#DIV/0!</v>
      </c>
      <c r="P9761" s="12">
        <f t="shared" si="1502"/>
        <v>0</v>
      </c>
      <c r="Q9761" s="17" t="str">
        <f t="shared" si="1504"/>
        <v>Pas d'écart</v>
      </c>
    </row>
    <row r="9762" spans="1:17" x14ac:dyDescent="0.3">
      <c r="A9762" s="34">
        <f>base!J9762</f>
        <v>0</v>
      </c>
      <c r="B9762" s="34">
        <f>base!V9762</f>
        <v>0</v>
      </c>
      <c r="C9762" s="40" t="s">
        <v>11</v>
      </c>
      <c r="D9762" s="36">
        <f>base!H9762</f>
        <v>0</v>
      </c>
      <c r="E9762" s="44"/>
      <c r="F9762" s="16">
        <f>base!W9762</f>
        <v>0</v>
      </c>
      <c r="G9762" s="11" t="e">
        <f t="shared" si="1496"/>
        <v>#DIV/0!</v>
      </c>
      <c r="H9762" s="11" t="e">
        <f t="shared" si="1497"/>
        <v>#N/A</v>
      </c>
      <c r="I9762" s="11" t="e">
        <f t="shared" si="1498"/>
        <v>#N/A</v>
      </c>
      <c r="J9762" s="12" t="e">
        <f t="shared" si="1499"/>
        <v>#N/A</v>
      </c>
      <c r="K9762" s="17" t="e">
        <f t="shared" si="1503"/>
        <v>#N/A</v>
      </c>
      <c r="L9762" s="16">
        <f>base!X9762</f>
        <v>0</v>
      </c>
      <c r="M9762" s="11" t="e">
        <f t="shared" si="1500"/>
        <v>#DIV/0!</v>
      </c>
      <c r="N9762" s="11"/>
      <c r="O9762" s="11" t="e">
        <f t="shared" si="1501"/>
        <v>#DIV/0!</v>
      </c>
      <c r="P9762" s="12">
        <f t="shared" si="1502"/>
        <v>0</v>
      </c>
      <c r="Q9762" s="17" t="str">
        <f t="shared" si="1504"/>
        <v>Pas d'écart</v>
      </c>
    </row>
    <row r="9763" spans="1:17" x14ac:dyDescent="0.3">
      <c r="A9763" s="34">
        <f>base!J9763</f>
        <v>0</v>
      </c>
      <c r="B9763" s="34">
        <f>base!V9763</f>
        <v>0</v>
      </c>
      <c r="C9763" s="40" t="s">
        <v>11</v>
      </c>
      <c r="D9763" s="36">
        <f>base!H9763</f>
        <v>0</v>
      </c>
      <c r="E9763" s="44"/>
      <c r="F9763" s="16">
        <f>base!W9763</f>
        <v>0</v>
      </c>
      <c r="G9763" s="11" t="e">
        <f t="shared" si="1496"/>
        <v>#DIV/0!</v>
      </c>
      <c r="H9763" s="11" t="e">
        <f t="shared" si="1497"/>
        <v>#N/A</v>
      </c>
      <c r="I9763" s="11" t="e">
        <f t="shared" si="1498"/>
        <v>#N/A</v>
      </c>
      <c r="J9763" s="12" t="e">
        <f t="shared" si="1499"/>
        <v>#N/A</v>
      </c>
      <c r="K9763" s="17" t="e">
        <f t="shared" si="1503"/>
        <v>#N/A</v>
      </c>
      <c r="L9763" s="16">
        <f>base!X9763</f>
        <v>0</v>
      </c>
      <c r="M9763" s="11" t="e">
        <f t="shared" si="1500"/>
        <v>#DIV/0!</v>
      </c>
      <c r="N9763" s="11"/>
      <c r="O9763" s="11" t="e">
        <f t="shared" si="1501"/>
        <v>#DIV/0!</v>
      </c>
      <c r="P9763" s="12">
        <f t="shared" si="1502"/>
        <v>0</v>
      </c>
      <c r="Q9763" s="17" t="str">
        <f t="shared" si="1504"/>
        <v>Pas d'écart</v>
      </c>
    </row>
    <row r="9764" spans="1:17" x14ac:dyDescent="0.3">
      <c r="A9764" s="34">
        <f>base!J9764</f>
        <v>0</v>
      </c>
      <c r="B9764" s="34">
        <f>base!V9764</f>
        <v>0</v>
      </c>
      <c r="C9764" s="40" t="s">
        <v>11</v>
      </c>
      <c r="D9764" s="36">
        <f>base!H9764</f>
        <v>0</v>
      </c>
      <c r="E9764" s="44"/>
      <c r="F9764" s="16">
        <f>base!W9764</f>
        <v>0</v>
      </c>
      <c r="G9764" s="11" t="e">
        <f t="shared" si="1496"/>
        <v>#DIV/0!</v>
      </c>
      <c r="H9764" s="11" t="e">
        <f t="shared" si="1497"/>
        <v>#N/A</v>
      </c>
      <c r="I9764" s="11" t="e">
        <f t="shared" si="1498"/>
        <v>#N/A</v>
      </c>
      <c r="J9764" s="12" t="e">
        <f t="shared" si="1499"/>
        <v>#N/A</v>
      </c>
      <c r="K9764" s="17" t="e">
        <f t="shared" si="1503"/>
        <v>#N/A</v>
      </c>
      <c r="L9764" s="16">
        <f>base!X9764</f>
        <v>0</v>
      </c>
      <c r="M9764" s="11" t="e">
        <f t="shared" si="1500"/>
        <v>#DIV/0!</v>
      </c>
      <c r="N9764" s="11"/>
      <c r="O9764" s="11" t="e">
        <f t="shared" si="1501"/>
        <v>#DIV/0!</v>
      </c>
      <c r="P9764" s="12">
        <f t="shared" si="1502"/>
        <v>0</v>
      </c>
      <c r="Q9764" s="17" t="str">
        <f t="shared" si="1504"/>
        <v>Pas d'écart</v>
      </c>
    </row>
    <row r="9765" spans="1:17" x14ac:dyDescent="0.3">
      <c r="A9765" s="34">
        <f>base!J9765</f>
        <v>0</v>
      </c>
      <c r="B9765" s="34">
        <f>base!V9765</f>
        <v>0</v>
      </c>
      <c r="C9765" s="40" t="s">
        <v>11</v>
      </c>
      <c r="D9765" s="36">
        <f>base!H9765</f>
        <v>0</v>
      </c>
      <c r="E9765" s="44"/>
      <c r="F9765" s="16">
        <f>base!W9765</f>
        <v>0</v>
      </c>
      <c r="G9765" s="11" t="e">
        <f t="shared" si="1496"/>
        <v>#DIV/0!</v>
      </c>
      <c r="H9765" s="11" t="e">
        <f t="shared" si="1497"/>
        <v>#N/A</v>
      </c>
      <c r="I9765" s="11" t="e">
        <f t="shared" si="1498"/>
        <v>#N/A</v>
      </c>
      <c r="J9765" s="12" t="e">
        <f t="shared" si="1499"/>
        <v>#N/A</v>
      </c>
      <c r="K9765" s="17" t="e">
        <f t="shared" si="1503"/>
        <v>#N/A</v>
      </c>
      <c r="L9765" s="16">
        <f>base!X9765</f>
        <v>0</v>
      </c>
      <c r="M9765" s="11" t="e">
        <f t="shared" si="1500"/>
        <v>#DIV/0!</v>
      </c>
      <c r="N9765" s="11"/>
      <c r="O9765" s="11" t="e">
        <f t="shared" si="1501"/>
        <v>#DIV/0!</v>
      </c>
      <c r="P9765" s="12">
        <f t="shared" si="1502"/>
        <v>0</v>
      </c>
      <c r="Q9765" s="17" t="str">
        <f t="shared" si="1504"/>
        <v>Pas d'écart</v>
      </c>
    </row>
    <row r="9766" spans="1:17" x14ac:dyDescent="0.3">
      <c r="A9766" s="34">
        <f>base!J9766</f>
        <v>0</v>
      </c>
      <c r="B9766" s="34">
        <f>base!V9766</f>
        <v>0</v>
      </c>
      <c r="C9766" s="40" t="s">
        <v>11</v>
      </c>
      <c r="D9766" s="36">
        <f>base!H9766</f>
        <v>0</v>
      </c>
      <c r="E9766" s="44"/>
      <c r="F9766" s="16">
        <f>base!W9766</f>
        <v>0</v>
      </c>
      <c r="G9766" s="11" t="e">
        <f t="shared" si="1496"/>
        <v>#DIV/0!</v>
      </c>
      <c r="H9766" s="11" t="e">
        <f t="shared" si="1497"/>
        <v>#N/A</v>
      </c>
      <c r="I9766" s="11" t="e">
        <f t="shared" si="1498"/>
        <v>#N/A</v>
      </c>
      <c r="J9766" s="12" t="e">
        <f t="shared" si="1499"/>
        <v>#N/A</v>
      </c>
      <c r="K9766" s="17" t="e">
        <f t="shared" si="1503"/>
        <v>#N/A</v>
      </c>
      <c r="L9766" s="16">
        <f>base!X9766</f>
        <v>0</v>
      </c>
      <c r="M9766" s="11" t="e">
        <f t="shared" si="1500"/>
        <v>#DIV/0!</v>
      </c>
      <c r="N9766" s="11"/>
      <c r="O9766" s="11" t="e">
        <f t="shared" si="1501"/>
        <v>#DIV/0!</v>
      </c>
      <c r="P9766" s="12">
        <f t="shared" si="1502"/>
        <v>0</v>
      </c>
      <c r="Q9766" s="17" t="str">
        <f t="shared" si="1504"/>
        <v>Pas d'écart</v>
      </c>
    </row>
    <row r="9767" spans="1:17" x14ac:dyDescent="0.3">
      <c r="A9767" s="34">
        <f>base!J9767</f>
        <v>0</v>
      </c>
      <c r="B9767" s="34">
        <f>base!V9767</f>
        <v>0</v>
      </c>
      <c r="C9767" s="40" t="s">
        <v>11</v>
      </c>
      <c r="D9767" s="36">
        <f>base!H9767</f>
        <v>0</v>
      </c>
      <c r="E9767" s="44"/>
      <c r="F9767" s="16">
        <f>base!W9767</f>
        <v>0</v>
      </c>
      <c r="G9767" s="11" t="e">
        <f t="shared" si="1496"/>
        <v>#DIV/0!</v>
      </c>
      <c r="H9767" s="11" t="e">
        <f t="shared" si="1497"/>
        <v>#N/A</v>
      </c>
      <c r="I9767" s="11" t="e">
        <f t="shared" si="1498"/>
        <v>#N/A</v>
      </c>
      <c r="J9767" s="12" t="e">
        <f t="shared" si="1499"/>
        <v>#N/A</v>
      </c>
      <c r="K9767" s="17" t="e">
        <f t="shared" si="1503"/>
        <v>#N/A</v>
      </c>
      <c r="L9767" s="16">
        <f>base!X9767</f>
        <v>0</v>
      </c>
      <c r="M9767" s="11" t="e">
        <f t="shared" si="1500"/>
        <v>#DIV/0!</v>
      </c>
      <c r="N9767" s="11"/>
      <c r="O9767" s="11" t="e">
        <f t="shared" si="1501"/>
        <v>#DIV/0!</v>
      </c>
      <c r="P9767" s="12">
        <f t="shared" si="1502"/>
        <v>0</v>
      </c>
      <c r="Q9767" s="17" t="str">
        <f t="shared" si="1504"/>
        <v>Pas d'écart</v>
      </c>
    </row>
    <row r="9768" spans="1:17" x14ac:dyDescent="0.3">
      <c r="A9768" s="34">
        <f>base!J9768</f>
        <v>0</v>
      </c>
      <c r="B9768" s="34">
        <f>base!V9768</f>
        <v>0</v>
      </c>
      <c r="C9768" s="40" t="s">
        <v>11</v>
      </c>
      <c r="D9768" s="36">
        <f>base!H9768</f>
        <v>0</v>
      </c>
      <c r="E9768" s="44"/>
      <c r="F9768" s="16">
        <f>base!W9768</f>
        <v>0</v>
      </c>
      <c r="G9768" s="11" t="e">
        <f t="shared" si="1496"/>
        <v>#DIV/0!</v>
      </c>
      <c r="H9768" s="11" t="e">
        <f t="shared" si="1497"/>
        <v>#N/A</v>
      </c>
      <c r="I9768" s="11" t="e">
        <f t="shared" si="1498"/>
        <v>#N/A</v>
      </c>
      <c r="J9768" s="12" t="e">
        <f t="shared" si="1499"/>
        <v>#N/A</v>
      </c>
      <c r="K9768" s="17" t="e">
        <f t="shared" si="1503"/>
        <v>#N/A</v>
      </c>
      <c r="L9768" s="16">
        <f>base!X9768</f>
        <v>0</v>
      </c>
      <c r="M9768" s="11" t="e">
        <f t="shared" si="1500"/>
        <v>#DIV/0!</v>
      </c>
      <c r="N9768" s="11"/>
      <c r="O9768" s="11" t="e">
        <f t="shared" si="1501"/>
        <v>#DIV/0!</v>
      </c>
      <c r="P9768" s="12">
        <f t="shared" si="1502"/>
        <v>0</v>
      </c>
      <c r="Q9768" s="17" t="str">
        <f t="shared" si="1504"/>
        <v>Pas d'écart</v>
      </c>
    </row>
    <row r="9769" spans="1:17" x14ac:dyDescent="0.3">
      <c r="A9769" s="34">
        <f>base!J9769</f>
        <v>0</v>
      </c>
      <c r="B9769" s="34">
        <f>base!V9769</f>
        <v>0</v>
      </c>
      <c r="C9769" s="40" t="s">
        <v>11</v>
      </c>
      <c r="D9769" s="36">
        <f>base!H9769</f>
        <v>0</v>
      </c>
      <c r="E9769" s="44"/>
      <c r="F9769" s="16">
        <f>base!W9769</f>
        <v>0</v>
      </c>
      <c r="G9769" s="11" t="e">
        <f t="shared" si="1496"/>
        <v>#DIV/0!</v>
      </c>
      <c r="H9769" s="11" t="e">
        <f t="shared" si="1497"/>
        <v>#N/A</v>
      </c>
      <c r="I9769" s="11" t="e">
        <f t="shared" si="1498"/>
        <v>#N/A</v>
      </c>
      <c r="J9769" s="12" t="e">
        <f t="shared" si="1499"/>
        <v>#N/A</v>
      </c>
      <c r="K9769" s="17" t="e">
        <f t="shared" si="1503"/>
        <v>#N/A</v>
      </c>
      <c r="L9769" s="16">
        <f>base!X9769</f>
        <v>0</v>
      </c>
      <c r="M9769" s="11" t="e">
        <f t="shared" si="1500"/>
        <v>#DIV/0!</v>
      </c>
      <c r="N9769" s="11"/>
      <c r="O9769" s="11" t="e">
        <f t="shared" si="1501"/>
        <v>#DIV/0!</v>
      </c>
      <c r="P9769" s="12">
        <f t="shared" si="1502"/>
        <v>0</v>
      </c>
      <c r="Q9769" s="17" t="str">
        <f t="shared" si="1504"/>
        <v>Pas d'écart</v>
      </c>
    </row>
    <row r="9770" spans="1:17" x14ac:dyDescent="0.3">
      <c r="A9770" s="34">
        <f>base!J9770</f>
        <v>0</v>
      </c>
      <c r="B9770" s="34">
        <f>base!V9770</f>
        <v>0</v>
      </c>
      <c r="C9770" s="40" t="s">
        <v>11</v>
      </c>
      <c r="D9770" s="36">
        <f>base!H9770</f>
        <v>0</v>
      </c>
      <c r="E9770" s="44"/>
      <c r="F9770" s="16">
        <f>base!W9770</f>
        <v>0</v>
      </c>
      <c r="G9770" s="11" t="e">
        <f t="shared" si="1496"/>
        <v>#DIV/0!</v>
      </c>
      <c r="H9770" s="11" t="e">
        <f t="shared" si="1497"/>
        <v>#N/A</v>
      </c>
      <c r="I9770" s="11" t="e">
        <f t="shared" si="1498"/>
        <v>#N/A</v>
      </c>
      <c r="J9770" s="12" t="e">
        <f t="shared" si="1499"/>
        <v>#N/A</v>
      </c>
      <c r="K9770" s="17" t="e">
        <f t="shared" si="1503"/>
        <v>#N/A</v>
      </c>
      <c r="L9770" s="16">
        <f>base!X9770</f>
        <v>0</v>
      </c>
      <c r="M9770" s="11" t="e">
        <f t="shared" si="1500"/>
        <v>#DIV/0!</v>
      </c>
      <c r="N9770" s="11"/>
      <c r="O9770" s="11" t="e">
        <f t="shared" si="1501"/>
        <v>#DIV/0!</v>
      </c>
      <c r="P9770" s="12">
        <f t="shared" si="1502"/>
        <v>0</v>
      </c>
      <c r="Q9770" s="17" t="str">
        <f t="shared" si="1504"/>
        <v>Pas d'écart</v>
      </c>
    </row>
    <row r="9771" spans="1:17" x14ac:dyDescent="0.3">
      <c r="A9771" s="34">
        <f>base!J9771</f>
        <v>0</v>
      </c>
      <c r="B9771" s="34">
        <f>base!V9771</f>
        <v>0</v>
      </c>
      <c r="C9771" s="40" t="s">
        <v>11</v>
      </c>
      <c r="D9771" s="36">
        <f>base!H9771</f>
        <v>0</v>
      </c>
      <c r="E9771" s="44"/>
      <c r="F9771" s="16">
        <f>base!W9771</f>
        <v>0</v>
      </c>
      <c r="G9771" s="11" t="e">
        <f t="shared" si="1496"/>
        <v>#DIV/0!</v>
      </c>
      <c r="H9771" s="11" t="e">
        <f t="shared" si="1497"/>
        <v>#N/A</v>
      </c>
      <c r="I9771" s="11" t="e">
        <f t="shared" si="1498"/>
        <v>#N/A</v>
      </c>
      <c r="J9771" s="12" t="e">
        <f t="shared" si="1499"/>
        <v>#N/A</v>
      </c>
      <c r="K9771" s="17" t="e">
        <f t="shared" si="1503"/>
        <v>#N/A</v>
      </c>
      <c r="L9771" s="16">
        <f>base!X9771</f>
        <v>0</v>
      </c>
      <c r="M9771" s="11" t="e">
        <f t="shared" si="1500"/>
        <v>#DIV/0!</v>
      </c>
      <c r="N9771" s="11"/>
      <c r="O9771" s="11" t="e">
        <f t="shared" si="1501"/>
        <v>#DIV/0!</v>
      </c>
      <c r="P9771" s="12">
        <f t="shared" si="1502"/>
        <v>0</v>
      </c>
      <c r="Q9771" s="17" t="str">
        <f t="shared" si="1504"/>
        <v>Pas d'écart</v>
      </c>
    </row>
    <row r="9772" spans="1:17" x14ac:dyDescent="0.3">
      <c r="A9772" s="34">
        <f>base!J9772</f>
        <v>0</v>
      </c>
      <c r="B9772" s="34">
        <f>base!V9772</f>
        <v>0</v>
      </c>
      <c r="C9772" s="40" t="s">
        <v>11</v>
      </c>
      <c r="D9772" s="36">
        <f>base!H9772</f>
        <v>0</v>
      </c>
      <c r="E9772" s="44"/>
      <c r="F9772" s="16">
        <f>base!W9772</f>
        <v>0</v>
      </c>
      <c r="G9772" s="11" t="e">
        <f t="shared" si="1496"/>
        <v>#DIV/0!</v>
      </c>
      <c r="H9772" s="11" t="e">
        <f t="shared" si="1497"/>
        <v>#N/A</v>
      </c>
      <c r="I9772" s="11" t="e">
        <f t="shared" si="1498"/>
        <v>#N/A</v>
      </c>
      <c r="J9772" s="12" t="e">
        <f t="shared" si="1499"/>
        <v>#N/A</v>
      </c>
      <c r="K9772" s="17" t="e">
        <f t="shared" si="1503"/>
        <v>#N/A</v>
      </c>
      <c r="L9772" s="16">
        <f>base!X9772</f>
        <v>0</v>
      </c>
      <c r="M9772" s="11" t="e">
        <f t="shared" si="1500"/>
        <v>#DIV/0!</v>
      </c>
      <c r="N9772" s="11"/>
      <c r="O9772" s="11" t="e">
        <f t="shared" si="1501"/>
        <v>#DIV/0!</v>
      </c>
      <c r="P9772" s="12">
        <f t="shared" si="1502"/>
        <v>0</v>
      </c>
      <c r="Q9772" s="17" t="str">
        <f t="shared" si="1504"/>
        <v>Pas d'écart</v>
      </c>
    </row>
    <row r="9773" spans="1:17" x14ac:dyDescent="0.3">
      <c r="A9773" s="34">
        <f>base!J9773</f>
        <v>0</v>
      </c>
      <c r="B9773" s="34">
        <f>base!V9773</f>
        <v>0</v>
      </c>
      <c r="C9773" s="40" t="s">
        <v>11</v>
      </c>
      <c r="D9773" s="36">
        <f>base!H9773</f>
        <v>0</v>
      </c>
      <c r="E9773" s="44"/>
      <c r="F9773" s="16">
        <f>base!W9773</f>
        <v>0</v>
      </c>
      <c r="G9773" s="11" t="e">
        <f t="shared" si="1496"/>
        <v>#DIV/0!</v>
      </c>
      <c r="H9773" s="11" t="e">
        <f t="shared" si="1497"/>
        <v>#N/A</v>
      </c>
      <c r="I9773" s="11" t="e">
        <f t="shared" si="1498"/>
        <v>#N/A</v>
      </c>
      <c r="J9773" s="12" t="e">
        <f t="shared" si="1499"/>
        <v>#N/A</v>
      </c>
      <c r="K9773" s="17" t="e">
        <f t="shared" si="1503"/>
        <v>#N/A</v>
      </c>
      <c r="L9773" s="16">
        <f>base!X9773</f>
        <v>0</v>
      </c>
      <c r="M9773" s="11" t="e">
        <f t="shared" si="1500"/>
        <v>#DIV/0!</v>
      </c>
      <c r="N9773" s="11"/>
      <c r="O9773" s="11" t="e">
        <f t="shared" si="1501"/>
        <v>#DIV/0!</v>
      </c>
      <c r="P9773" s="12">
        <f t="shared" si="1502"/>
        <v>0</v>
      </c>
      <c r="Q9773" s="17" t="str">
        <f t="shared" si="1504"/>
        <v>Pas d'écart</v>
      </c>
    </row>
    <row r="9774" spans="1:17" x14ac:dyDescent="0.3">
      <c r="A9774" s="34">
        <f>base!J9774</f>
        <v>0</v>
      </c>
      <c r="B9774" s="34">
        <f>base!V9774</f>
        <v>0</v>
      </c>
      <c r="C9774" s="40" t="s">
        <v>11</v>
      </c>
      <c r="D9774" s="36">
        <f>base!H9774</f>
        <v>0</v>
      </c>
      <c r="E9774" s="44"/>
      <c r="F9774" s="16">
        <f>base!W9774</f>
        <v>0</v>
      </c>
      <c r="G9774" s="11" t="e">
        <f t="shared" si="1496"/>
        <v>#DIV/0!</v>
      </c>
      <c r="H9774" s="11" t="e">
        <f t="shared" si="1497"/>
        <v>#N/A</v>
      </c>
      <c r="I9774" s="11" t="e">
        <f t="shared" si="1498"/>
        <v>#N/A</v>
      </c>
      <c r="J9774" s="12" t="e">
        <f t="shared" si="1499"/>
        <v>#N/A</v>
      </c>
      <c r="K9774" s="17" t="e">
        <f t="shared" si="1503"/>
        <v>#N/A</v>
      </c>
      <c r="L9774" s="16">
        <f>base!X9774</f>
        <v>0</v>
      </c>
      <c r="M9774" s="11" t="e">
        <f t="shared" si="1500"/>
        <v>#DIV/0!</v>
      </c>
      <c r="N9774" s="11"/>
      <c r="O9774" s="11" t="e">
        <f t="shared" si="1501"/>
        <v>#DIV/0!</v>
      </c>
      <c r="P9774" s="12">
        <f t="shared" si="1502"/>
        <v>0</v>
      </c>
      <c r="Q9774" s="17" t="str">
        <f t="shared" si="1504"/>
        <v>Pas d'écart</v>
      </c>
    </row>
    <row r="9775" spans="1:17" x14ac:dyDescent="0.3">
      <c r="A9775" s="34">
        <f>base!J9775</f>
        <v>0</v>
      </c>
      <c r="B9775" s="34">
        <f>base!V9775</f>
        <v>0</v>
      </c>
      <c r="C9775" s="40" t="s">
        <v>11</v>
      </c>
      <c r="D9775" s="36">
        <f>base!H9775</f>
        <v>0</v>
      </c>
      <c r="E9775" s="44"/>
      <c r="F9775" s="16">
        <f>base!W9775</f>
        <v>0</v>
      </c>
      <c r="G9775" s="11" t="e">
        <f t="shared" si="1496"/>
        <v>#DIV/0!</v>
      </c>
      <c r="H9775" s="11" t="e">
        <f t="shared" si="1497"/>
        <v>#N/A</v>
      </c>
      <c r="I9775" s="11" t="e">
        <f t="shared" si="1498"/>
        <v>#N/A</v>
      </c>
      <c r="J9775" s="12" t="e">
        <f t="shared" si="1499"/>
        <v>#N/A</v>
      </c>
      <c r="K9775" s="17" t="e">
        <f t="shared" si="1503"/>
        <v>#N/A</v>
      </c>
      <c r="L9775" s="16">
        <f>base!X9775</f>
        <v>0</v>
      </c>
      <c r="M9775" s="11" t="e">
        <f t="shared" si="1500"/>
        <v>#DIV/0!</v>
      </c>
      <c r="N9775" s="11"/>
      <c r="O9775" s="11" t="e">
        <f t="shared" si="1501"/>
        <v>#DIV/0!</v>
      </c>
      <c r="P9775" s="12">
        <f t="shared" si="1502"/>
        <v>0</v>
      </c>
      <c r="Q9775" s="17" t="str">
        <f t="shared" si="1504"/>
        <v>Pas d'écart</v>
      </c>
    </row>
    <row r="9776" spans="1:17" x14ac:dyDescent="0.3">
      <c r="A9776" s="34">
        <f>base!J9776</f>
        <v>0</v>
      </c>
      <c r="B9776" s="34">
        <f>base!V9776</f>
        <v>0</v>
      </c>
      <c r="C9776" s="40" t="s">
        <v>11</v>
      </c>
      <c r="D9776" s="36">
        <f>base!H9776</f>
        <v>0</v>
      </c>
      <c r="E9776" s="44"/>
      <c r="F9776" s="16">
        <f>base!W9776</f>
        <v>0</v>
      </c>
      <c r="G9776" s="11" t="e">
        <f t="shared" si="1496"/>
        <v>#DIV/0!</v>
      </c>
      <c r="H9776" s="11" t="e">
        <f t="shared" si="1497"/>
        <v>#N/A</v>
      </c>
      <c r="I9776" s="11" t="e">
        <f t="shared" si="1498"/>
        <v>#N/A</v>
      </c>
      <c r="J9776" s="12" t="e">
        <f t="shared" si="1499"/>
        <v>#N/A</v>
      </c>
      <c r="K9776" s="17" t="e">
        <f t="shared" si="1503"/>
        <v>#N/A</v>
      </c>
      <c r="L9776" s="16">
        <f>base!X9776</f>
        <v>0</v>
      </c>
      <c r="M9776" s="11" t="e">
        <f t="shared" si="1500"/>
        <v>#DIV/0!</v>
      </c>
      <c r="N9776" s="11"/>
      <c r="O9776" s="11" t="e">
        <f t="shared" si="1501"/>
        <v>#DIV/0!</v>
      </c>
      <c r="P9776" s="12">
        <f t="shared" si="1502"/>
        <v>0</v>
      </c>
      <c r="Q9776" s="17" t="str">
        <f t="shared" si="1504"/>
        <v>Pas d'écart</v>
      </c>
    </row>
    <row r="9777" spans="1:17" x14ac:dyDescent="0.3">
      <c r="A9777" s="34">
        <f>base!J9777</f>
        <v>0</v>
      </c>
      <c r="B9777" s="34">
        <f>base!V9777</f>
        <v>0</v>
      </c>
      <c r="C9777" s="40" t="s">
        <v>11</v>
      </c>
      <c r="D9777" s="36">
        <f>base!H9777</f>
        <v>0</v>
      </c>
      <c r="E9777" s="44"/>
      <c r="F9777" s="16">
        <f>base!W9777</f>
        <v>0</v>
      </c>
      <c r="G9777" s="11" t="e">
        <f t="shared" si="1496"/>
        <v>#DIV/0!</v>
      </c>
      <c r="H9777" s="11" t="e">
        <f t="shared" si="1497"/>
        <v>#N/A</v>
      </c>
      <c r="I9777" s="11" t="e">
        <f t="shared" si="1498"/>
        <v>#N/A</v>
      </c>
      <c r="J9777" s="12" t="e">
        <f t="shared" si="1499"/>
        <v>#N/A</v>
      </c>
      <c r="K9777" s="17" t="e">
        <f t="shared" si="1503"/>
        <v>#N/A</v>
      </c>
      <c r="L9777" s="16">
        <f>base!X9777</f>
        <v>0</v>
      </c>
      <c r="M9777" s="11" t="e">
        <f t="shared" si="1500"/>
        <v>#DIV/0!</v>
      </c>
      <c r="N9777" s="11"/>
      <c r="O9777" s="11" t="e">
        <f t="shared" si="1501"/>
        <v>#DIV/0!</v>
      </c>
      <c r="P9777" s="12">
        <f t="shared" si="1502"/>
        <v>0</v>
      </c>
      <c r="Q9777" s="17" t="str">
        <f t="shared" si="1504"/>
        <v>Pas d'écart</v>
      </c>
    </row>
    <row r="9778" spans="1:17" x14ac:dyDescent="0.3">
      <c r="A9778" s="34">
        <f>base!J9778</f>
        <v>0</v>
      </c>
      <c r="B9778" s="34">
        <f>base!V9778</f>
        <v>0</v>
      </c>
      <c r="C9778" s="40" t="s">
        <v>11</v>
      </c>
      <c r="D9778" s="36">
        <f>base!H9778</f>
        <v>0</v>
      </c>
      <c r="E9778" s="44"/>
      <c r="F9778" s="16">
        <f>base!W9778</f>
        <v>0</v>
      </c>
      <c r="G9778" s="11" t="e">
        <f t="shared" si="1496"/>
        <v>#DIV/0!</v>
      </c>
      <c r="H9778" s="11" t="e">
        <f t="shared" si="1497"/>
        <v>#N/A</v>
      </c>
      <c r="I9778" s="11" t="e">
        <f t="shared" si="1498"/>
        <v>#N/A</v>
      </c>
      <c r="J9778" s="12" t="e">
        <f t="shared" si="1499"/>
        <v>#N/A</v>
      </c>
      <c r="K9778" s="17" t="e">
        <f t="shared" si="1503"/>
        <v>#N/A</v>
      </c>
      <c r="L9778" s="16">
        <f>base!X9778</f>
        <v>0</v>
      </c>
      <c r="M9778" s="11" t="e">
        <f t="shared" si="1500"/>
        <v>#DIV/0!</v>
      </c>
      <c r="N9778" s="11"/>
      <c r="O9778" s="11" t="e">
        <f t="shared" si="1501"/>
        <v>#DIV/0!</v>
      </c>
      <c r="P9778" s="12">
        <f t="shared" si="1502"/>
        <v>0</v>
      </c>
      <c r="Q9778" s="17" t="str">
        <f t="shared" si="1504"/>
        <v>Pas d'écart</v>
      </c>
    </row>
    <row r="9779" spans="1:17" x14ac:dyDescent="0.3">
      <c r="A9779" s="34">
        <f>base!J9779</f>
        <v>0</v>
      </c>
      <c r="B9779" s="34">
        <f>base!V9779</f>
        <v>0</v>
      </c>
      <c r="C9779" s="40" t="s">
        <v>11</v>
      </c>
      <c r="D9779" s="36">
        <f>base!H9779</f>
        <v>0</v>
      </c>
      <c r="E9779" s="44"/>
      <c r="F9779" s="16">
        <f>base!W9779</f>
        <v>0</v>
      </c>
      <c r="G9779" s="11" t="e">
        <f t="shared" si="1496"/>
        <v>#DIV/0!</v>
      </c>
      <c r="H9779" s="11" t="e">
        <f t="shared" si="1497"/>
        <v>#N/A</v>
      </c>
      <c r="I9779" s="11" t="e">
        <f t="shared" si="1498"/>
        <v>#N/A</v>
      </c>
      <c r="J9779" s="12" t="e">
        <f t="shared" si="1499"/>
        <v>#N/A</v>
      </c>
      <c r="K9779" s="17" t="e">
        <f t="shared" si="1503"/>
        <v>#N/A</v>
      </c>
      <c r="L9779" s="16">
        <f>base!X9779</f>
        <v>0</v>
      </c>
      <c r="M9779" s="11" t="e">
        <f t="shared" si="1500"/>
        <v>#DIV/0!</v>
      </c>
      <c r="N9779" s="11"/>
      <c r="O9779" s="11" t="e">
        <f t="shared" si="1501"/>
        <v>#DIV/0!</v>
      </c>
      <c r="P9779" s="12">
        <f t="shared" si="1502"/>
        <v>0</v>
      </c>
      <c r="Q9779" s="17" t="str">
        <f t="shared" si="1504"/>
        <v>Pas d'écart</v>
      </c>
    </row>
    <row r="9780" spans="1:17" x14ac:dyDescent="0.3">
      <c r="A9780" s="34">
        <f>base!J9780</f>
        <v>0</v>
      </c>
      <c r="B9780" s="34">
        <f>base!V9780</f>
        <v>0</v>
      </c>
      <c r="C9780" s="40" t="s">
        <v>11</v>
      </c>
      <c r="D9780" s="36">
        <f>base!H9780</f>
        <v>0</v>
      </c>
      <c r="E9780" s="44"/>
      <c r="F9780" s="16">
        <f>base!W9780</f>
        <v>0</v>
      </c>
      <c r="G9780" s="11" t="e">
        <f t="shared" si="1496"/>
        <v>#DIV/0!</v>
      </c>
      <c r="H9780" s="11" t="e">
        <f t="shared" si="1497"/>
        <v>#N/A</v>
      </c>
      <c r="I9780" s="11" t="e">
        <f t="shared" si="1498"/>
        <v>#N/A</v>
      </c>
      <c r="J9780" s="12" t="e">
        <f t="shared" si="1499"/>
        <v>#N/A</v>
      </c>
      <c r="K9780" s="17" t="e">
        <f t="shared" si="1503"/>
        <v>#N/A</v>
      </c>
      <c r="L9780" s="16">
        <f>base!X9780</f>
        <v>0</v>
      </c>
      <c r="M9780" s="11" t="e">
        <f t="shared" si="1500"/>
        <v>#DIV/0!</v>
      </c>
      <c r="N9780" s="11"/>
      <c r="O9780" s="11" t="e">
        <f t="shared" si="1501"/>
        <v>#DIV/0!</v>
      </c>
      <c r="P9780" s="12">
        <f t="shared" si="1502"/>
        <v>0</v>
      </c>
      <c r="Q9780" s="17" t="str">
        <f t="shared" si="1504"/>
        <v>Pas d'écart</v>
      </c>
    </row>
    <row r="9781" spans="1:17" x14ac:dyDescent="0.3">
      <c r="A9781" s="34">
        <f>base!J9781</f>
        <v>0</v>
      </c>
      <c r="B9781" s="34">
        <f>base!V9781</f>
        <v>0</v>
      </c>
      <c r="C9781" s="40" t="s">
        <v>11</v>
      </c>
      <c r="D9781" s="36">
        <f>base!H9781</f>
        <v>0</v>
      </c>
      <c r="E9781" s="44"/>
      <c r="F9781" s="16">
        <f>base!W9781</f>
        <v>0</v>
      </c>
      <c r="G9781" s="11" t="e">
        <f t="shared" si="1496"/>
        <v>#DIV/0!</v>
      </c>
      <c r="H9781" s="11" t="e">
        <f t="shared" si="1497"/>
        <v>#N/A</v>
      </c>
      <c r="I9781" s="11" t="e">
        <f t="shared" si="1498"/>
        <v>#N/A</v>
      </c>
      <c r="J9781" s="12" t="e">
        <f t="shared" si="1499"/>
        <v>#N/A</v>
      </c>
      <c r="K9781" s="17" t="e">
        <f t="shared" si="1503"/>
        <v>#N/A</v>
      </c>
      <c r="L9781" s="16">
        <f>base!X9781</f>
        <v>0</v>
      </c>
      <c r="M9781" s="11" t="e">
        <f t="shared" si="1500"/>
        <v>#DIV/0!</v>
      </c>
      <c r="N9781" s="11"/>
      <c r="O9781" s="11" t="e">
        <f t="shared" si="1501"/>
        <v>#DIV/0!</v>
      </c>
      <c r="P9781" s="12">
        <f t="shared" si="1502"/>
        <v>0</v>
      </c>
      <c r="Q9781" s="17" t="str">
        <f t="shared" si="1504"/>
        <v>Pas d'écart</v>
      </c>
    </row>
    <row r="9782" spans="1:17" x14ac:dyDescent="0.3">
      <c r="A9782" s="34">
        <f>base!J9782</f>
        <v>0</v>
      </c>
      <c r="B9782" s="34">
        <f>base!V9782</f>
        <v>0</v>
      </c>
      <c r="C9782" s="40" t="s">
        <v>11</v>
      </c>
      <c r="D9782" s="36">
        <f>base!H9782</f>
        <v>0</v>
      </c>
      <c r="E9782" s="44"/>
      <c r="F9782" s="16">
        <f>base!W9782</f>
        <v>0</v>
      </c>
      <c r="G9782" s="11" t="e">
        <f t="shared" si="1496"/>
        <v>#DIV/0!</v>
      </c>
      <c r="H9782" s="11" t="e">
        <f t="shared" si="1497"/>
        <v>#N/A</v>
      </c>
      <c r="I9782" s="11" t="e">
        <f t="shared" si="1498"/>
        <v>#N/A</v>
      </c>
      <c r="J9782" s="12" t="e">
        <f t="shared" si="1499"/>
        <v>#N/A</v>
      </c>
      <c r="K9782" s="17" t="e">
        <f t="shared" si="1503"/>
        <v>#N/A</v>
      </c>
      <c r="L9782" s="16">
        <f>base!X9782</f>
        <v>0</v>
      </c>
      <c r="M9782" s="11" t="e">
        <f t="shared" si="1500"/>
        <v>#DIV/0!</v>
      </c>
      <c r="N9782" s="11"/>
      <c r="O9782" s="11" t="e">
        <f t="shared" si="1501"/>
        <v>#DIV/0!</v>
      </c>
      <c r="P9782" s="12">
        <f t="shared" si="1502"/>
        <v>0</v>
      </c>
      <c r="Q9782" s="17" t="str">
        <f t="shared" si="1504"/>
        <v>Pas d'écart</v>
      </c>
    </row>
    <row r="9783" spans="1:17" x14ac:dyDescent="0.3">
      <c r="A9783" s="34">
        <f>base!J9783</f>
        <v>0</v>
      </c>
      <c r="B9783" s="34">
        <f>base!V9783</f>
        <v>0</v>
      </c>
      <c r="C9783" s="40" t="s">
        <v>11</v>
      </c>
      <c r="D9783" s="36">
        <f>base!H9783</f>
        <v>0</v>
      </c>
      <c r="E9783" s="44"/>
      <c r="F9783" s="16">
        <f>base!W9783</f>
        <v>0</v>
      </c>
      <c r="G9783" s="11" t="e">
        <f t="shared" si="1496"/>
        <v>#DIV/0!</v>
      </c>
      <c r="H9783" s="11" t="e">
        <f t="shared" si="1497"/>
        <v>#N/A</v>
      </c>
      <c r="I9783" s="11" t="e">
        <f t="shared" si="1498"/>
        <v>#N/A</v>
      </c>
      <c r="J9783" s="12" t="e">
        <f t="shared" si="1499"/>
        <v>#N/A</v>
      </c>
      <c r="K9783" s="17" t="e">
        <f t="shared" si="1503"/>
        <v>#N/A</v>
      </c>
      <c r="L9783" s="16">
        <f>base!X9783</f>
        <v>0</v>
      </c>
      <c r="M9783" s="11" t="e">
        <f t="shared" si="1500"/>
        <v>#DIV/0!</v>
      </c>
      <c r="N9783" s="11"/>
      <c r="O9783" s="11" t="e">
        <f t="shared" si="1501"/>
        <v>#DIV/0!</v>
      </c>
      <c r="P9783" s="12">
        <f t="shared" si="1502"/>
        <v>0</v>
      </c>
      <c r="Q9783" s="17" t="str">
        <f t="shared" si="1504"/>
        <v>Pas d'écart</v>
      </c>
    </row>
    <row r="9784" spans="1:17" x14ac:dyDescent="0.3">
      <c r="A9784" s="34">
        <f>base!J9784</f>
        <v>0</v>
      </c>
      <c r="B9784" s="34">
        <f>base!V9784</f>
        <v>0</v>
      </c>
      <c r="C9784" s="40" t="s">
        <v>11</v>
      </c>
      <c r="D9784" s="36">
        <f>base!H9784</f>
        <v>0</v>
      </c>
      <c r="E9784" s="44"/>
      <c r="F9784" s="16">
        <f>base!W9784</f>
        <v>0</v>
      </c>
      <c r="G9784" s="11" t="e">
        <f t="shared" si="1496"/>
        <v>#DIV/0!</v>
      </c>
      <c r="H9784" s="11" t="e">
        <f t="shared" si="1497"/>
        <v>#N/A</v>
      </c>
      <c r="I9784" s="11" t="e">
        <f t="shared" si="1498"/>
        <v>#N/A</v>
      </c>
      <c r="J9784" s="12" t="e">
        <f t="shared" si="1499"/>
        <v>#N/A</v>
      </c>
      <c r="K9784" s="17" t="e">
        <f t="shared" si="1503"/>
        <v>#N/A</v>
      </c>
      <c r="L9784" s="16">
        <f>base!X9784</f>
        <v>0</v>
      </c>
      <c r="M9784" s="11" t="e">
        <f t="shared" si="1500"/>
        <v>#DIV/0!</v>
      </c>
      <c r="N9784" s="11"/>
      <c r="O9784" s="11" t="e">
        <f t="shared" si="1501"/>
        <v>#DIV/0!</v>
      </c>
      <c r="P9784" s="12">
        <f t="shared" si="1502"/>
        <v>0</v>
      </c>
      <c r="Q9784" s="17" t="str">
        <f t="shared" si="1504"/>
        <v>Pas d'écart</v>
      </c>
    </row>
    <row r="9785" spans="1:17" x14ac:dyDescent="0.3">
      <c r="A9785" s="34">
        <f>base!J9785</f>
        <v>0</v>
      </c>
      <c r="B9785" s="34">
        <f>base!V9785</f>
        <v>0</v>
      </c>
      <c r="C9785" s="40" t="s">
        <v>11</v>
      </c>
      <c r="D9785" s="36">
        <f>base!H9785</f>
        <v>0</v>
      </c>
      <c r="E9785" s="44"/>
      <c r="F9785" s="16">
        <f>base!W9785</f>
        <v>0</v>
      </c>
      <c r="G9785" s="11" t="e">
        <f t="shared" si="1496"/>
        <v>#DIV/0!</v>
      </c>
      <c r="H9785" s="11" t="e">
        <f t="shared" si="1497"/>
        <v>#N/A</v>
      </c>
      <c r="I9785" s="11" t="e">
        <f t="shared" si="1498"/>
        <v>#N/A</v>
      </c>
      <c r="J9785" s="12" t="e">
        <f t="shared" si="1499"/>
        <v>#N/A</v>
      </c>
      <c r="K9785" s="17" t="e">
        <f t="shared" si="1503"/>
        <v>#N/A</v>
      </c>
      <c r="L9785" s="16">
        <f>base!X9785</f>
        <v>0</v>
      </c>
      <c r="M9785" s="11" t="e">
        <f t="shared" si="1500"/>
        <v>#DIV/0!</v>
      </c>
      <c r="N9785" s="11"/>
      <c r="O9785" s="11" t="e">
        <f t="shared" si="1501"/>
        <v>#DIV/0!</v>
      </c>
      <c r="P9785" s="12">
        <f t="shared" si="1502"/>
        <v>0</v>
      </c>
      <c r="Q9785" s="17" t="str">
        <f t="shared" si="1504"/>
        <v>Pas d'écart</v>
      </c>
    </row>
    <row r="9786" spans="1:17" x14ac:dyDescent="0.3">
      <c r="A9786" s="34">
        <f>base!J9786</f>
        <v>0</v>
      </c>
      <c r="B9786" s="34">
        <f>base!V9786</f>
        <v>0</v>
      </c>
      <c r="C9786" s="40" t="s">
        <v>11</v>
      </c>
      <c r="D9786" s="36">
        <f>base!H9786</f>
        <v>0</v>
      </c>
      <c r="E9786" s="44"/>
      <c r="F9786" s="16">
        <f>base!W9786</f>
        <v>0</v>
      </c>
      <c r="G9786" s="11" t="e">
        <f t="shared" si="1496"/>
        <v>#DIV/0!</v>
      </c>
      <c r="H9786" s="11" t="e">
        <f t="shared" si="1497"/>
        <v>#N/A</v>
      </c>
      <c r="I9786" s="11" t="e">
        <f t="shared" si="1498"/>
        <v>#N/A</v>
      </c>
      <c r="J9786" s="12" t="e">
        <f t="shared" si="1499"/>
        <v>#N/A</v>
      </c>
      <c r="K9786" s="17" t="e">
        <f t="shared" si="1503"/>
        <v>#N/A</v>
      </c>
      <c r="L9786" s="16">
        <f>base!X9786</f>
        <v>0</v>
      </c>
      <c r="M9786" s="11" t="e">
        <f t="shared" si="1500"/>
        <v>#DIV/0!</v>
      </c>
      <c r="N9786" s="11"/>
      <c r="O9786" s="11" t="e">
        <f t="shared" si="1501"/>
        <v>#DIV/0!</v>
      </c>
      <c r="P9786" s="12">
        <f t="shared" si="1502"/>
        <v>0</v>
      </c>
      <c r="Q9786" s="17" t="str">
        <f t="shared" si="1504"/>
        <v>Pas d'écart</v>
      </c>
    </row>
    <row r="9787" spans="1:17" x14ac:dyDescent="0.3">
      <c r="A9787" s="34">
        <f>base!J9787</f>
        <v>0</v>
      </c>
      <c r="B9787" s="34">
        <f>base!V9787</f>
        <v>0</v>
      </c>
      <c r="C9787" s="40" t="s">
        <v>11</v>
      </c>
      <c r="D9787" s="36">
        <f>base!H9787</f>
        <v>0</v>
      </c>
      <c r="E9787" s="44"/>
      <c r="F9787" s="16">
        <f>base!W9787</f>
        <v>0</v>
      </c>
      <c r="G9787" s="11" t="e">
        <f t="shared" si="1496"/>
        <v>#DIV/0!</v>
      </c>
      <c r="H9787" s="11" t="e">
        <f t="shared" si="1497"/>
        <v>#N/A</v>
      </c>
      <c r="I9787" s="11" t="e">
        <f t="shared" si="1498"/>
        <v>#N/A</v>
      </c>
      <c r="J9787" s="12" t="e">
        <f t="shared" si="1499"/>
        <v>#N/A</v>
      </c>
      <c r="K9787" s="17" t="e">
        <f t="shared" si="1503"/>
        <v>#N/A</v>
      </c>
      <c r="L9787" s="16">
        <f>base!X9787</f>
        <v>0</v>
      </c>
      <c r="M9787" s="11" t="e">
        <f t="shared" si="1500"/>
        <v>#DIV/0!</v>
      </c>
      <c r="N9787" s="11"/>
      <c r="O9787" s="11" t="e">
        <f t="shared" si="1501"/>
        <v>#DIV/0!</v>
      </c>
      <c r="P9787" s="12">
        <f t="shared" si="1502"/>
        <v>0</v>
      </c>
      <c r="Q9787" s="17" t="str">
        <f t="shared" si="1504"/>
        <v>Pas d'écart</v>
      </c>
    </row>
    <row r="9788" spans="1:17" x14ac:dyDescent="0.3">
      <c r="A9788" s="34">
        <f>base!J9788</f>
        <v>0</v>
      </c>
      <c r="B9788" s="34">
        <f>base!V9788</f>
        <v>0</v>
      </c>
      <c r="C9788" s="40" t="s">
        <v>11</v>
      </c>
      <c r="D9788" s="36">
        <f>base!H9788</f>
        <v>0</v>
      </c>
      <c r="E9788" s="44"/>
      <c r="F9788" s="16">
        <f>base!W9788</f>
        <v>0</v>
      </c>
      <c r="G9788" s="11" t="e">
        <f t="shared" si="1496"/>
        <v>#DIV/0!</v>
      </c>
      <c r="H9788" s="11" t="e">
        <f t="shared" si="1497"/>
        <v>#N/A</v>
      </c>
      <c r="I9788" s="11" t="e">
        <f t="shared" si="1498"/>
        <v>#N/A</v>
      </c>
      <c r="J9788" s="12" t="e">
        <f t="shared" si="1499"/>
        <v>#N/A</v>
      </c>
      <c r="K9788" s="17" t="e">
        <f t="shared" si="1503"/>
        <v>#N/A</v>
      </c>
      <c r="L9788" s="16">
        <f>base!X9788</f>
        <v>0</v>
      </c>
      <c r="M9788" s="11" t="e">
        <f t="shared" si="1500"/>
        <v>#DIV/0!</v>
      </c>
      <c r="N9788" s="11"/>
      <c r="O9788" s="11" t="e">
        <f t="shared" si="1501"/>
        <v>#DIV/0!</v>
      </c>
      <c r="P9788" s="12">
        <f t="shared" si="1502"/>
        <v>0</v>
      </c>
      <c r="Q9788" s="17" t="str">
        <f t="shared" si="1504"/>
        <v>Pas d'écart</v>
      </c>
    </row>
    <row r="9789" spans="1:17" x14ac:dyDescent="0.3">
      <c r="A9789" s="34">
        <f>base!J9789</f>
        <v>0</v>
      </c>
      <c r="B9789" s="34">
        <f>base!V9789</f>
        <v>0</v>
      </c>
      <c r="C9789" s="40" t="s">
        <v>11</v>
      </c>
      <c r="D9789" s="36">
        <f>base!H9789</f>
        <v>0</v>
      </c>
      <c r="E9789" s="44"/>
      <c r="F9789" s="16">
        <f>base!W9789</f>
        <v>0</v>
      </c>
      <c r="G9789" s="11" t="e">
        <f t="shared" si="1496"/>
        <v>#DIV/0!</v>
      </c>
      <c r="H9789" s="11" t="e">
        <f t="shared" si="1497"/>
        <v>#N/A</v>
      </c>
      <c r="I9789" s="11" t="e">
        <f t="shared" si="1498"/>
        <v>#N/A</v>
      </c>
      <c r="J9789" s="12" t="e">
        <f t="shared" si="1499"/>
        <v>#N/A</v>
      </c>
      <c r="K9789" s="17" t="e">
        <f t="shared" si="1503"/>
        <v>#N/A</v>
      </c>
      <c r="L9789" s="16">
        <f>base!X9789</f>
        <v>0</v>
      </c>
      <c r="M9789" s="11" t="e">
        <f t="shared" si="1500"/>
        <v>#DIV/0!</v>
      </c>
      <c r="N9789" s="11"/>
      <c r="O9789" s="11" t="e">
        <f t="shared" si="1501"/>
        <v>#DIV/0!</v>
      </c>
      <c r="P9789" s="12">
        <f t="shared" si="1502"/>
        <v>0</v>
      </c>
      <c r="Q9789" s="17" t="str">
        <f t="shared" si="1504"/>
        <v>Pas d'écart</v>
      </c>
    </row>
    <row r="9790" spans="1:17" x14ac:dyDescent="0.3">
      <c r="A9790" s="34">
        <f>base!J9790</f>
        <v>0</v>
      </c>
      <c r="B9790" s="34">
        <f>base!V9790</f>
        <v>0</v>
      </c>
      <c r="C9790" s="40" t="s">
        <v>11</v>
      </c>
      <c r="D9790" s="36">
        <f>base!H9790</f>
        <v>0</v>
      </c>
      <c r="E9790" s="44"/>
      <c r="F9790" s="16">
        <f>base!W9790</f>
        <v>0</v>
      </c>
      <c r="G9790" s="11" t="e">
        <f t="shared" si="1496"/>
        <v>#DIV/0!</v>
      </c>
      <c r="H9790" s="11" t="e">
        <f t="shared" si="1497"/>
        <v>#N/A</v>
      </c>
      <c r="I9790" s="11" t="e">
        <f t="shared" si="1498"/>
        <v>#N/A</v>
      </c>
      <c r="J9790" s="12" t="e">
        <f t="shared" si="1499"/>
        <v>#N/A</v>
      </c>
      <c r="K9790" s="17" t="e">
        <f t="shared" si="1503"/>
        <v>#N/A</v>
      </c>
      <c r="L9790" s="16">
        <f>base!X9790</f>
        <v>0</v>
      </c>
      <c r="M9790" s="11" t="e">
        <f t="shared" si="1500"/>
        <v>#DIV/0!</v>
      </c>
      <c r="N9790" s="11"/>
      <c r="O9790" s="11" t="e">
        <f t="shared" si="1501"/>
        <v>#DIV/0!</v>
      </c>
      <c r="P9790" s="12">
        <f t="shared" si="1502"/>
        <v>0</v>
      </c>
      <c r="Q9790" s="17" t="str">
        <f t="shared" si="1504"/>
        <v>Pas d'écart</v>
      </c>
    </row>
    <row r="9791" spans="1:17" x14ac:dyDescent="0.3">
      <c r="A9791" s="34">
        <f>base!J9791</f>
        <v>0</v>
      </c>
      <c r="B9791" s="34">
        <f>base!V9791</f>
        <v>0</v>
      </c>
      <c r="C9791" s="40" t="s">
        <v>11</v>
      </c>
      <c r="D9791" s="36">
        <f>base!H9791</f>
        <v>0</v>
      </c>
      <c r="E9791" s="44"/>
      <c r="F9791" s="16">
        <f>base!W9791</f>
        <v>0</v>
      </c>
      <c r="G9791" s="11" t="e">
        <f t="shared" si="1496"/>
        <v>#DIV/0!</v>
      </c>
      <c r="H9791" s="11" t="e">
        <f t="shared" si="1497"/>
        <v>#N/A</v>
      </c>
      <c r="I9791" s="11" t="e">
        <f t="shared" si="1498"/>
        <v>#N/A</v>
      </c>
      <c r="J9791" s="12" t="e">
        <f t="shared" si="1499"/>
        <v>#N/A</v>
      </c>
      <c r="K9791" s="17" t="e">
        <f t="shared" si="1503"/>
        <v>#N/A</v>
      </c>
      <c r="L9791" s="16">
        <f>base!X9791</f>
        <v>0</v>
      </c>
      <c r="M9791" s="11" t="e">
        <f t="shared" si="1500"/>
        <v>#DIV/0!</v>
      </c>
      <c r="N9791" s="11"/>
      <c r="O9791" s="11" t="e">
        <f t="shared" si="1501"/>
        <v>#DIV/0!</v>
      </c>
      <c r="P9791" s="12">
        <f t="shared" si="1502"/>
        <v>0</v>
      </c>
      <c r="Q9791" s="17" t="str">
        <f t="shared" si="1504"/>
        <v>Pas d'écart</v>
      </c>
    </row>
    <row r="9792" spans="1:17" x14ac:dyDescent="0.3">
      <c r="A9792" s="34">
        <f>base!J9792</f>
        <v>0</v>
      </c>
      <c r="B9792" s="34">
        <f>base!V9792</f>
        <v>0</v>
      </c>
      <c r="C9792" s="40" t="s">
        <v>11</v>
      </c>
      <c r="D9792" s="36">
        <f>base!H9792</f>
        <v>0</v>
      </c>
      <c r="E9792" s="44"/>
      <c r="F9792" s="16">
        <f>base!W9792</f>
        <v>0</v>
      </c>
      <c r="G9792" s="11" t="e">
        <f t="shared" si="1496"/>
        <v>#DIV/0!</v>
      </c>
      <c r="H9792" s="11" t="e">
        <f t="shared" si="1497"/>
        <v>#N/A</v>
      </c>
      <c r="I9792" s="11" t="e">
        <f t="shared" si="1498"/>
        <v>#N/A</v>
      </c>
      <c r="J9792" s="12" t="e">
        <f t="shared" si="1499"/>
        <v>#N/A</v>
      </c>
      <c r="K9792" s="17" t="e">
        <f t="shared" si="1503"/>
        <v>#N/A</v>
      </c>
      <c r="L9792" s="16">
        <f>base!X9792</f>
        <v>0</v>
      </c>
      <c r="M9792" s="11" t="e">
        <f t="shared" si="1500"/>
        <v>#DIV/0!</v>
      </c>
      <c r="N9792" s="11"/>
      <c r="O9792" s="11" t="e">
        <f t="shared" si="1501"/>
        <v>#DIV/0!</v>
      </c>
      <c r="P9792" s="12">
        <f t="shared" si="1502"/>
        <v>0</v>
      </c>
      <c r="Q9792" s="17" t="str">
        <f t="shared" si="1504"/>
        <v>Pas d'écart</v>
      </c>
    </row>
    <row r="9793" spans="1:17" x14ac:dyDescent="0.3">
      <c r="A9793" s="34">
        <f>base!J9793</f>
        <v>0</v>
      </c>
      <c r="B9793" s="34">
        <f>base!V9793</f>
        <v>0</v>
      </c>
      <c r="C9793" s="40" t="s">
        <v>11</v>
      </c>
      <c r="D9793" s="36">
        <f>base!H9793</f>
        <v>0</v>
      </c>
      <c r="E9793" s="44"/>
      <c r="F9793" s="16">
        <f>base!W9793</f>
        <v>0</v>
      </c>
      <c r="G9793" s="11" t="e">
        <f t="shared" si="1496"/>
        <v>#DIV/0!</v>
      </c>
      <c r="H9793" s="11" t="e">
        <f t="shared" si="1497"/>
        <v>#N/A</v>
      </c>
      <c r="I9793" s="11" t="e">
        <f t="shared" si="1498"/>
        <v>#N/A</v>
      </c>
      <c r="J9793" s="12" t="e">
        <f t="shared" si="1499"/>
        <v>#N/A</v>
      </c>
      <c r="K9793" s="17" t="e">
        <f t="shared" si="1503"/>
        <v>#N/A</v>
      </c>
      <c r="L9793" s="16">
        <f>base!X9793</f>
        <v>0</v>
      </c>
      <c r="M9793" s="11" t="e">
        <f t="shared" si="1500"/>
        <v>#DIV/0!</v>
      </c>
      <c r="N9793" s="11"/>
      <c r="O9793" s="11" t="e">
        <f t="shared" si="1501"/>
        <v>#DIV/0!</v>
      </c>
      <c r="P9793" s="12">
        <f t="shared" si="1502"/>
        <v>0</v>
      </c>
      <c r="Q9793" s="17" t="str">
        <f t="shared" si="1504"/>
        <v>Pas d'écart</v>
      </c>
    </row>
    <row r="9794" spans="1:17" x14ac:dyDescent="0.3">
      <c r="A9794" s="34">
        <f>base!J9794</f>
        <v>0</v>
      </c>
      <c r="B9794" s="34">
        <f>base!V9794</f>
        <v>0</v>
      </c>
      <c r="C9794" s="40" t="s">
        <v>11</v>
      </c>
      <c r="D9794" s="36">
        <f>base!H9794</f>
        <v>0</v>
      </c>
      <c r="E9794" s="44"/>
      <c r="F9794" s="16">
        <f>base!W9794</f>
        <v>0</v>
      </c>
      <c r="G9794" s="11" t="e">
        <f t="shared" ref="G9794:G9857" si="1505">F9794/D9794</f>
        <v>#DIV/0!</v>
      </c>
      <c r="H9794" s="11" t="e">
        <f t="shared" ref="H9794:H9857" si="1506">VLOOKUP(C9794,tout_cout_traction,2,FALSE)*D9794</f>
        <v>#N/A</v>
      </c>
      <c r="I9794" s="11" t="e">
        <f t="shared" ref="I9794:I9857" si="1507">H9794/D9794</f>
        <v>#N/A</v>
      </c>
      <c r="J9794" s="12" t="e">
        <f t="shared" ref="J9794:J9857" si="1508">F9794-H9794</f>
        <v>#N/A</v>
      </c>
      <c r="K9794" s="17" t="e">
        <f t="shared" si="1503"/>
        <v>#N/A</v>
      </c>
      <c r="L9794" s="16">
        <f>base!X9794</f>
        <v>0</v>
      </c>
      <c r="M9794" s="11" t="e">
        <f t="shared" ref="M9794:M9857" si="1509">L9794/D9794</f>
        <v>#DIV/0!</v>
      </c>
      <c r="N9794" s="11"/>
      <c r="O9794" s="11" t="e">
        <f t="shared" ref="O9794:O9857" si="1510">N9794/D9794</f>
        <v>#DIV/0!</v>
      </c>
      <c r="P9794" s="12">
        <f t="shared" ref="P9794:P9857" si="1511">L9794-N9794</f>
        <v>0</v>
      </c>
      <c r="Q9794" s="17" t="str">
        <f t="shared" si="1504"/>
        <v>Pas d'écart</v>
      </c>
    </row>
    <row r="9795" spans="1:17" x14ac:dyDescent="0.3">
      <c r="A9795" s="34">
        <f>base!J9795</f>
        <v>0</v>
      </c>
      <c r="B9795" s="34">
        <f>base!V9795</f>
        <v>0</v>
      </c>
      <c r="C9795" s="40" t="s">
        <v>11</v>
      </c>
      <c r="D9795" s="36">
        <f>base!H9795</f>
        <v>0</v>
      </c>
      <c r="E9795" s="44"/>
      <c r="F9795" s="16">
        <f>base!W9795</f>
        <v>0</v>
      </c>
      <c r="G9795" s="11" t="e">
        <f t="shared" si="1505"/>
        <v>#DIV/0!</v>
      </c>
      <c r="H9795" s="11" t="e">
        <f t="shared" si="1506"/>
        <v>#N/A</v>
      </c>
      <c r="I9795" s="11" t="e">
        <f t="shared" si="1507"/>
        <v>#N/A</v>
      </c>
      <c r="J9795" s="12" t="e">
        <f t="shared" si="1508"/>
        <v>#N/A</v>
      </c>
      <c r="K9795" s="17" t="e">
        <f t="shared" ref="K9795:K9858" si="1512">IF(H9795=F9795,"Pas d'écart",IF(H9795&lt;F9795,"Ecart positif",IF(H9795&gt;F9795,"Ecart négatif")))</f>
        <v>#N/A</v>
      </c>
      <c r="L9795" s="16">
        <f>base!X9795</f>
        <v>0</v>
      </c>
      <c r="M9795" s="11" t="e">
        <f t="shared" si="1509"/>
        <v>#DIV/0!</v>
      </c>
      <c r="N9795" s="11"/>
      <c r="O9795" s="11" t="e">
        <f t="shared" si="1510"/>
        <v>#DIV/0!</v>
      </c>
      <c r="P9795" s="12">
        <f t="shared" si="1511"/>
        <v>0</v>
      </c>
      <c r="Q9795" s="17" t="str">
        <f t="shared" ref="Q9795:Q9858" si="1513">IF(N9795=L9795,"Pas d'écart",IF(N9795&lt;L9795,"Ecart positif",IF(N9795&gt;L9795,"Ecart négatif")))</f>
        <v>Pas d'écart</v>
      </c>
    </row>
    <row r="9796" spans="1:17" x14ac:dyDescent="0.3">
      <c r="A9796" s="34">
        <f>base!J9796</f>
        <v>0</v>
      </c>
      <c r="B9796" s="34">
        <f>base!V9796</f>
        <v>0</v>
      </c>
      <c r="C9796" s="40" t="s">
        <v>11</v>
      </c>
      <c r="D9796" s="36">
        <f>base!H9796</f>
        <v>0</v>
      </c>
      <c r="E9796" s="44"/>
      <c r="F9796" s="16">
        <f>base!W9796</f>
        <v>0</v>
      </c>
      <c r="G9796" s="11" t="e">
        <f t="shared" si="1505"/>
        <v>#DIV/0!</v>
      </c>
      <c r="H9796" s="11" t="e">
        <f t="shared" si="1506"/>
        <v>#N/A</v>
      </c>
      <c r="I9796" s="11" t="e">
        <f t="shared" si="1507"/>
        <v>#N/A</v>
      </c>
      <c r="J9796" s="12" t="e">
        <f t="shared" si="1508"/>
        <v>#N/A</v>
      </c>
      <c r="K9796" s="17" t="e">
        <f t="shared" si="1512"/>
        <v>#N/A</v>
      </c>
      <c r="L9796" s="16">
        <f>base!X9796</f>
        <v>0</v>
      </c>
      <c r="M9796" s="11" t="e">
        <f t="shared" si="1509"/>
        <v>#DIV/0!</v>
      </c>
      <c r="N9796" s="11"/>
      <c r="O9796" s="11" t="e">
        <f t="shared" si="1510"/>
        <v>#DIV/0!</v>
      </c>
      <c r="P9796" s="12">
        <f t="shared" si="1511"/>
        <v>0</v>
      </c>
      <c r="Q9796" s="17" t="str">
        <f t="shared" si="1513"/>
        <v>Pas d'écart</v>
      </c>
    </row>
    <row r="9797" spans="1:17" x14ac:dyDescent="0.3">
      <c r="A9797" s="34">
        <f>base!J9797</f>
        <v>0</v>
      </c>
      <c r="B9797" s="34">
        <f>base!V9797</f>
        <v>0</v>
      </c>
      <c r="C9797" s="40" t="s">
        <v>11</v>
      </c>
      <c r="D9797" s="36">
        <f>base!H9797</f>
        <v>0</v>
      </c>
      <c r="E9797" s="44"/>
      <c r="F9797" s="16">
        <f>base!W9797</f>
        <v>0</v>
      </c>
      <c r="G9797" s="11" t="e">
        <f t="shared" si="1505"/>
        <v>#DIV/0!</v>
      </c>
      <c r="H9797" s="11" t="e">
        <f t="shared" si="1506"/>
        <v>#N/A</v>
      </c>
      <c r="I9797" s="11" t="e">
        <f t="shared" si="1507"/>
        <v>#N/A</v>
      </c>
      <c r="J9797" s="12" t="e">
        <f t="shared" si="1508"/>
        <v>#N/A</v>
      </c>
      <c r="K9797" s="17" t="e">
        <f t="shared" si="1512"/>
        <v>#N/A</v>
      </c>
      <c r="L9797" s="16">
        <f>base!X9797</f>
        <v>0</v>
      </c>
      <c r="M9797" s="11" t="e">
        <f t="shared" si="1509"/>
        <v>#DIV/0!</v>
      </c>
      <c r="N9797" s="11"/>
      <c r="O9797" s="11" t="e">
        <f t="shared" si="1510"/>
        <v>#DIV/0!</v>
      </c>
      <c r="P9797" s="12">
        <f t="shared" si="1511"/>
        <v>0</v>
      </c>
      <c r="Q9797" s="17" t="str">
        <f t="shared" si="1513"/>
        <v>Pas d'écart</v>
      </c>
    </row>
    <row r="9798" spans="1:17" x14ac:dyDescent="0.3">
      <c r="A9798" s="34">
        <f>base!J9798</f>
        <v>0</v>
      </c>
      <c r="B9798" s="34">
        <f>base!V9798</f>
        <v>0</v>
      </c>
      <c r="C9798" s="40" t="s">
        <v>11</v>
      </c>
      <c r="D9798" s="36">
        <f>base!H9798</f>
        <v>0</v>
      </c>
      <c r="E9798" s="44"/>
      <c r="F9798" s="16">
        <f>base!W9798</f>
        <v>0</v>
      </c>
      <c r="G9798" s="11" t="e">
        <f t="shared" si="1505"/>
        <v>#DIV/0!</v>
      </c>
      <c r="H9798" s="11" t="e">
        <f t="shared" si="1506"/>
        <v>#N/A</v>
      </c>
      <c r="I9798" s="11" t="e">
        <f t="shared" si="1507"/>
        <v>#N/A</v>
      </c>
      <c r="J9798" s="12" t="e">
        <f t="shared" si="1508"/>
        <v>#N/A</v>
      </c>
      <c r="K9798" s="17" t="e">
        <f t="shared" si="1512"/>
        <v>#N/A</v>
      </c>
      <c r="L9798" s="16">
        <f>base!X9798</f>
        <v>0</v>
      </c>
      <c r="M9798" s="11" t="e">
        <f t="shared" si="1509"/>
        <v>#DIV/0!</v>
      </c>
      <c r="N9798" s="11"/>
      <c r="O9798" s="11" t="e">
        <f t="shared" si="1510"/>
        <v>#DIV/0!</v>
      </c>
      <c r="P9798" s="12">
        <f t="shared" si="1511"/>
        <v>0</v>
      </c>
      <c r="Q9798" s="17" t="str">
        <f t="shared" si="1513"/>
        <v>Pas d'écart</v>
      </c>
    </row>
    <row r="9799" spans="1:17" x14ac:dyDescent="0.3">
      <c r="A9799" s="34">
        <f>base!J9799</f>
        <v>0</v>
      </c>
      <c r="B9799" s="34">
        <f>base!V9799</f>
        <v>0</v>
      </c>
      <c r="C9799" s="40" t="s">
        <v>11</v>
      </c>
      <c r="D9799" s="36">
        <f>base!H9799</f>
        <v>0</v>
      </c>
      <c r="E9799" s="44"/>
      <c r="F9799" s="16">
        <f>base!W9799</f>
        <v>0</v>
      </c>
      <c r="G9799" s="11" t="e">
        <f t="shared" si="1505"/>
        <v>#DIV/0!</v>
      </c>
      <c r="H9799" s="11" t="e">
        <f t="shared" si="1506"/>
        <v>#N/A</v>
      </c>
      <c r="I9799" s="11" t="e">
        <f t="shared" si="1507"/>
        <v>#N/A</v>
      </c>
      <c r="J9799" s="12" t="e">
        <f t="shared" si="1508"/>
        <v>#N/A</v>
      </c>
      <c r="K9799" s="17" t="e">
        <f t="shared" si="1512"/>
        <v>#N/A</v>
      </c>
      <c r="L9799" s="16">
        <f>base!X9799</f>
        <v>0</v>
      </c>
      <c r="M9799" s="11" t="e">
        <f t="shared" si="1509"/>
        <v>#DIV/0!</v>
      </c>
      <c r="N9799" s="11"/>
      <c r="O9799" s="11" t="e">
        <f t="shared" si="1510"/>
        <v>#DIV/0!</v>
      </c>
      <c r="P9799" s="12">
        <f t="shared" si="1511"/>
        <v>0</v>
      </c>
      <c r="Q9799" s="17" t="str">
        <f t="shared" si="1513"/>
        <v>Pas d'écart</v>
      </c>
    </row>
    <row r="9800" spans="1:17" x14ac:dyDescent="0.3">
      <c r="A9800" s="34">
        <f>base!J9800</f>
        <v>0</v>
      </c>
      <c r="B9800" s="34">
        <f>base!V9800</f>
        <v>0</v>
      </c>
      <c r="C9800" s="40" t="s">
        <v>11</v>
      </c>
      <c r="D9800" s="36">
        <f>base!H9800</f>
        <v>0</v>
      </c>
      <c r="E9800" s="44"/>
      <c r="F9800" s="16">
        <f>base!W9800</f>
        <v>0</v>
      </c>
      <c r="G9800" s="11" t="e">
        <f t="shared" si="1505"/>
        <v>#DIV/0!</v>
      </c>
      <c r="H9800" s="11" t="e">
        <f t="shared" si="1506"/>
        <v>#N/A</v>
      </c>
      <c r="I9800" s="11" t="e">
        <f t="shared" si="1507"/>
        <v>#N/A</v>
      </c>
      <c r="J9800" s="12" t="e">
        <f t="shared" si="1508"/>
        <v>#N/A</v>
      </c>
      <c r="K9800" s="17" t="e">
        <f t="shared" si="1512"/>
        <v>#N/A</v>
      </c>
      <c r="L9800" s="16">
        <f>base!X9800</f>
        <v>0</v>
      </c>
      <c r="M9800" s="11" t="e">
        <f t="shared" si="1509"/>
        <v>#DIV/0!</v>
      </c>
      <c r="N9800" s="11"/>
      <c r="O9800" s="11" t="e">
        <f t="shared" si="1510"/>
        <v>#DIV/0!</v>
      </c>
      <c r="P9800" s="12">
        <f t="shared" si="1511"/>
        <v>0</v>
      </c>
      <c r="Q9800" s="17" t="str">
        <f t="shared" si="1513"/>
        <v>Pas d'écart</v>
      </c>
    </row>
    <row r="9801" spans="1:17" x14ac:dyDescent="0.3">
      <c r="A9801" s="34">
        <f>base!J9801</f>
        <v>0</v>
      </c>
      <c r="B9801" s="34">
        <f>base!V9801</f>
        <v>0</v>
      </c>
      <c r="C9801" s="40" t="s">
        <v>11</v>
      </c>
      <c r="D9801" s="36">
        <f>base!H9801</f>
        <v>0</v>
      </c>
      <c r="E9801" s="44"/>
      <c r="F9801" s="16">
        <f>base!W9801</f>
        <v>0</v>
      </c>
      <c r="G9801" s="11" t="e">
        <f t="shared" si="1505"/>
        <v>#DIV/0!</v>
      </c>
      <c r="H9801" s="11" t="e">
        <f t="shared" si="1506"/>
        <v>#N/A</v>
      </c>
      <c r="I9801" s="11" t="e">
        <f t="shared" si="1507"/>
        <v>#N/A</v>
      </c>
      <c r="J9801" s="12" t="e">
        <f t="shared" si="1508"/>
        <v>#N/A</v>
      </c>
      <c r="K9801" s="17" t="e">
        <f t="shared" si="1512"/>
        <v>#N/A</v>
      </c>
      <c r="L9801" s="16">
        <f>base!X9801</f>
        <v>0</v>
      </c>
      <c r="M9801" s="11" t="e">
        <f t="shared" si="1509"/>
        <v>#DIV/0!</v>
      </c>
      <c r="N9801" s="11"/>
      <c r="O9801" s="11" t="e">
        <f t="shared" si="1510"/>
        <v>#DIV/0!</v>
      </c>
      <c r="P9801" s="12">
        <f t="shared" si="1511"/>
        <v>0</v>
      </c>
      <c r="Q9801" s="17" t="str">
        <f t="shared" si="1513"/>
        <v>Pas d'écart</v>
      </c>
    </row>
    <row r="9802" spans="1:17" x14ac:dyDescent="0.3">
      <c r="A9802" s="34">
        <f>base!J9802</f>
        <v>0</v>
      </c>
      <c r="B9802" s="34">
        <f>base!V9802</f>
        <v>0</v>
      </c>
      <c r="C9802" s="40" t="s">
        <v>11</v>
      </c>
      <c r="D9802" s="36">
        <f>base!H9802</f>
        <v>0</v>
      </c>
      <c r="E9802" s="44"/>
      <c r="F9802" s="16">
        <f>base!W9802</f>
        <v>0</v>
      </c>
      <c r="G9802" s="11" t="e">
        <f t="shared" si="1505"/>
        <v>#DIV/0!</v>
      </c>
      <c r="H9802" s="11" t="e">
        <f t="shared" si="1506"/>
        <v>#N/A</v>
      </c>
      <c r="I9802" s="11" t="e">
        <f t="shared" si="1507"/>
        <v>#N/A</v>
      </c>
      <c r="J9802" s="12" t="e">
        <f t="shared" si="1508"/>
        <v>#N/A</v>
      </c>
      <c r="K9802" s="17" t="e">
        <f t="shared" si="1512"/>
        <v>#N/A</v>
      </c>
      <c r="L9802" s="16">
        <f>base!X9802</f>
        <v>0</v>
      </c>
      <c r="M9802" s="11" t="e">
        <f t="shared" si="1509"/>
        <v>#DIV/0!</v>
      </c>
      <c r="N9802" s="11"/>
      <c r="O9802" s="11" t="e">
        <f t="shared" si="1510"/>
        <v>#DIV/0!</v>
      </c>
      <c r="P9802" s="12">
        <f t="shared" si="1511"/>
        <v>0</v>
      </c>
      <c r="Q9802" s="17" t="str">
        <f t="shared" si="1513"/>
        <v>Pas d'écart</v>
      </c>
    </row>
    <row r="9803" spans="1:17" x14ac:dyDescent="0.3">
      <c r="A9803" s="34">
        <f>base!J9803</f>
        <v>0</v>
      </c>
      <c r="B9803" s="34">
        <f>base!V9803</f>
        <v>0</v>
      </c>
      <c r="C9803" s="40" t="s">
        <v>11</v>
      </c>
      <c r="D9803" s="36">
        <f>base!H9803</f>
        <v>0</v>
      </c>
      <c r="E9803" s="44"/>
      <c r="F9803" s="16">
        <f>base!W9803</f>
        <v>0</v>
      </c>
      <c r="G9803" s="11" t="e">
        <f t="shared" si="1505"/>
        <v>#DIV/0!</v>
      </c>
      <c r="H9803" s="11" t="e">
        <f t="shared" si="1506"/>
        <v>#N/A</v>
      </c>
      <c r="I9803" s="11" t="e">
        <f t="shared" si="1507"/>
        <v>#N/A</v>
      </c>
      <c r="J9803" s="12" t="e">
        <f t="shared" si="1508"/>
        <v>#N/A</v>
      </c>
      <c r="K9803" s="17" t="e">
        <f t="shared" si="1512"/>
        <v>#N/A</v>
      </c>
      <c r="L9803" s="16">
        <f>base!X9803</f>
        <v>0</v>
      </c>
      <c r="M9803" s="11" t="e">
        <f t="shared" si="1509"/>
        <v>#DIV/0!</v>
      </c>
      <c r="N9803" s="11"/>
      <c r="O9803" s="11" t="e">
        <f t="shared" si="1510"/>
        <v>#DIV/0!</v>
      </c>
      <c r="P9803" s="12">
        <f t="shared" si="1511"/>
        <v>0</v>
      </c>
      <c r="Q9803" s="17" t="str">
        <f t="shared" si="1513"/>
        <v>Pas d'écart</v>
      </c>
    </row>
    <row r="9804" spans="1:17" x14ac:dyDescent="0.3">
      <c r="A9804" s="34">
        <f>base!J9804</f>
        <v>0</v>
      </c>
      <c r="B9804" s="34">
        <f>base!V9804</f>
        <v>0</v>
      </c>
      <c r="C9804" s="40" t="s">
        <v>11</v>
      </c>
      <c r="D9804" s="36">
        <f>base!H9804</f>
        <v>0</v>
      </c>
      <c r="E9804" s="44"/>
      <c r="F9804" s="16">
        <f>base!W9804</f>
        <v>0</v>
      </c>
      <c r="G9804" s="11" t="e">
        <f t="shared" si="1505"/>
        <v>#DIV/0!</v>
      </c>
      <c r="H9804" s="11" t="e">
        <f t="shared" si="1506"/>
        <v>#N/A</v>
      </c>
      <c r="I9804" s="11" t="e">
        <f t="shared" si="1507"/>
        <v>#N/A</v>
      </c>
      <c r="J9804" s="12" t="e">
        <f t="shared" si="1508"/>
        <v>#N/A</v>
      </c>
      <c r="K9804" s="17" t="e">
        <f t="shared" si="1512"/>
        <v>#N/A</v>
      </c>
      <c r="L9804" s="16">
        <f>base!X9804</f>
        <v>0</v>
      </c>
      <c r="M9804" s="11" t="e">
        <f t="shared" si="1509"/>
        <v>#DIV/0!</v>
      </c>
      <c r="N9804" s="11"/>
      <c r="O9804" s="11" t="e">
        <f t="shared" si="1510"/>
        <v>#DIV/0!</v>
      </c>
      <c r="P9804" s="12">
        <f t="shared" si="1511"/>
        <v>0</v>
      </c>
      <c r="Q9804" s="17" t="str">
        <f t="shared" si="1513"/>
        <v>Pas d'écart</v>
      </c>
    </row>
    <row r="9805" spans="1:17" x14ac:dyDescent="0.3">
      <c r="A9805" s="34">
        <f>base!J9805</f>
        <v>0</v>
      </c>
      <c r="B9805" s="34">
        <f>base!V9805</f>
        <v>0</v>
      </c>
      <c r="C9805" s="40" t="s">
        <v>11</v>
      </c>
      <c r="D9805" s="36">
        <f>base!H9805</f>
        <v>0</v>
      </c>
      <c r="E9805" s="44"/>
      <c r="F9805" s="16">
        <f>base!W9805</f>
        <v>0</v>
      </c>
      <c r="G9805" s="11" t="e">
        <f t="shared" si="1505"/>
        <v>#DIV/0!</v>
      </c>
      <c r="H9805" s="11" t="e">
        <f t="shared" si="1506"/>
        <v>#N/A</v>
      </c>
      <c r="I9805" s="11" t="e">
        <f t="shared" si="1507"/>
        <v>#N/A</v>
      </c>
      <c r="J9805" s="12" t="e">
        <f t="shared" si="1508"/>
        <v>#N/A</v>
      </c>
      <c r="K9805" s="17" t="e">
        <f t="shared" si="1512"/>
        <v>#N/A</v>
      </c>
      <c r="L9805" s="16">
        <f>base!X9805</f>
        <v>0</v>
      </c>
      <c r="M9805" s="11" t="e">
        <f t="shared" si="1509"/>
        <v>#DIV/0!</v>
      </c>
      <c r="N9805" s="11"/>
      <c r="O9805" s="11" t="e">
        <f t="shared" si="1510"/>
        <v>#DIV/0!</v>
      </c>
      <c r="P9805" s="12">
        <f t="shared" si="1511"/>
        <v>0</v>
      </c>
      <c r="Q9805" s="17" t="str">
        <f t="shared" si="1513"/>
        <v>Pas d'écart</v>
      </c>
    </row>
    <row r="9806" spans="1:17" x14ac:dyDescent="0.3">
      <c r="A9806" s="34">
        <f>base!J9806</f>
        <v>0</v>
      </c>
      <c r="B9806" s="34">
        <f>base!V9806</f>
        <v>0</v>
      </c>
      <c r="C9806" s="40" t="s">
        <v>11</v>
      </c>
      <c r="D9806" s="36">
        <f>base!H9806</f>
        <v>0</v>
      </c>
      <c r="E9806" s="44"/>
      <c r="F9806" s="16">
        <f>base!W9806</f>
        <v>0</v>
      </c>
      <c r="G9806" s="11" t="e">
        <f t="shared" si="1505"/>
        <v>#DIV/0!</v>
      </c>
      <c r="H9806" s="11" t="e">
        <f t="shared" si="1506"/>
        <v>#N/A</v>
      </c>
      <c r="I9806" s="11" t="e">
        <f t="shared" si="1507"/>
        <v>#N/A</v>
      </c>
      <c r="J9806" s="12" t="e">
        <f t="shared" si="1508"/>
        <v>#N/A</v>
      </c>
      <c r="K9806" s="17" t="e">
        <f t="shared" si="1512"/>
        <v>#N/A</v>
      </c>
      <c r="L9806" s="16">
        <f>base!X9806</f>
        <v>0</v>
      </c>
      <c r="M9806" s="11" t="e">
        <f t="shared" si="1509"/>
        <v>#DIV/0!</v>
      </c>
      <c r="N9806" s="11"/>
      <c r="O9806" s="11" t="e">
        <f t="shared" si="1510"/>
        <v>#DIV/0!</v>
      </c>
      <c r="P9806" s="12">
        <f t="shared" si="1511"/>
        <v>0</v>
      </c>
      <c r="Q9806" s="17" t="str">
        <f t="shared" si="1513"/>
        <v>Pas d'écart</v>
      </c>
    </row>
    <row r="9807" spans="1:17" x14ac:dyDescent="0.3">
      <c r="A9807" s="34">
        <f>base!J9807</f>
        <v>0</v>
      </c>
      <c r="B9807" s="34">
        <f>base!V9807</f>
        <v>0</v>
      </c>
      <c r="C9807" s="40" t="s">
        <v>11</v>
      </c>
      <c r="D9807" s="36">
        <f>base!H9807</f>
        <v>0</v>
      </c>
      <c r="E9807" s="44"/>
      <c r="F9807" s="16">
        <f>base!W9807</f>
        <v>0</v>
      </c>
      <c r="G9807" s="11" t="e">
        <f t="shared" si="1505"/>
        <v>#DIV/0!</v>
      </c>
      <c r="H9807" s="11" t="e">
        <f t="shared" si="1506"/>
        <v>#N/A</v>
      </c>
      <c r="I9807" s="11" t="e">
        <f t="shared" si="1507"/>
        <v>#N/A</v>
      </c>
      <c r="J9807" s="12" t="e">
        <f t="shared" si="1508"/>
        <v>#N/A</v>
      </c>
      <c r="K9807" s="17" t="e">
        <f t="shared" si="1512"/>
        <v>#N/A</v>
      </c>
      <c r="L9807" s="16">
        <f>base!X9807</f>
        <v>0</v>
      </c>
      <c r="M9807" s="11" t="e">
        <f t="shared" si="1509"/>
        <v>#DIV/0!</v>
      </c>
      <c r="N9807" s="11"/>
      <c r="O9807" s="11" t="e">
        <f t="shared" si="1510"/>
        <v>#DIV/0!</v>
      </c>
      <c r="P9807" s="12">
        <f t="shared" si="1511"/>
        <v>0</v>
      </c>
      <c r="Q9807" s="17" t="str">
        <f t="shared" si="1513"/>
        <v>Pas d'écart</v>
      </c>
    </row>
    <row r="9808" spans="1:17" x14ac:dyDescent="0.3">
      <c r="A9808" s="34">
        <f>base!J9808</f>
        <v>0</v>
      </c>
      <c r="B9808" s="34">
        <f>base!V9808</f>
        <v>0</v>
      </c>
      <c r="C9808" s="40" t="s">
        <v>11</v>
      </c>
      <c r="D9808" s="36">
        <f>base!H9808</f>
        <v>0</v>
      </c>
      <c r="E9808" s="44"/>
      <c r="F9808" s="16">
        <f>base!W9808</f>
        <v>0</v>
      </c>
      <c r="G9808" s="11" t="e">
        <f t="shared" si="1505"/>
        <v>#DIV/0!</v>
      </c>
      <c r="H9808" s="11" t="e">
        <f t="shared" si="1506"/>
        <v>#N/A</v>
      </c>
      <c r="I9808" s="11" t="e">
        <f t="shared" si="1507"/>
        <v>#N/A</v>
      </c>
      <c r="J9808" s="12" t="e">
        <f t="shared" si="1508"/>
        <v>#N/A</v>
      </c>
      <c r="K9808" s="17" t="e">
        <f t="shared" si="1512"/>
        <v>#N/A</v>
      </c>
      <c r="L9808" s="16">
        <f>base!X9808</f>
        <v>0</v>
      </c>
      <c r="M9808" s="11" t="e">
        <f t="shared" si="1509"/>
        <v>#DIV/0!</v>
      </c>
      <c r="N9808" s="11"/>
      <c r="O9808" s="11" t="e">
        <f t="shared" si="1510"/>
        <v>#DIV/0!</v>
      </c>
      <c r="P9808" s="12">
        <f t="shared" si="1511"/>
        <v>0</v>
      </c>
      <c r="Q9808" s="17" t="str">
        <f t="shared" si="1513"/>
        <v>Pas d'écart</v>
      </c>
    </row>
    <row r="9809" spans="1:17" x14ac:dyDescent="0.3">
      <c r="A9809" s="34">
        <f>base!J9809</f>
        <v>0</v>
      </c>
      <c r="B9809" s="34">
        <f>base!V9809</f>
        <v>0</v>
      </c>
      <c r="C9809" s="40" t="s">
        <v>11</v>
      </c>
      <c r="D9809" s="36">
        <f>base!H9809</f>
        <v>0</v>
      </c>
      <c r="E9809" s="44"/>
      <c r="F9809" s="16">
        <f>base!W9809</f>
        <v>0</v>
      </c>
      <c r="G9809" s="11" t="e">
        <f t="shared" si="1505"/>
        <v>#DIV/0!</v>
      </c>
      <c r="H9809" s="11" t="e">
        <f t="shared" si="1506"/>
        <v>#N/A</v>
      </c>
      <c r="I9809" s="11" t="e">
        <f t="shared" si="1507"/>
        <v>#N/A</v>
      </c>
      <c r="J9809" s="12" t="e">
        <f t="shared" si="1508"/>
        <v>#N/A</v>
      </c>
      <c r="K9809" s="17" t="e">
        <f t="shared" si="1512"/>
        <v>#N/A</v>
      </c>
      <c r="L9809" s="16">
        <f>base!X9809</f>
        <v>0</v>
      </c>
      <c r="M9809" s="11" t="e">
        <f t="shared" si="1509"/>
        <v>#DIV/0!</v>
      </c>
      <c r="N9809" s="11"/>
      <c r="O9809" s="11" t="e">
        <f t="shared" si="1510"/>
        <v>#DIV/0!</v>
      </c>
      <c r="P9809" s="12">
        <f t="shared" si="1511"/>
        <v>0</v>
      </c>
      <c r="Q9809" s="17" t="str">
        <f t="shared" si="1513"/>
        <v>Pas d'écart</v>
      </c>
    </row>
    <row r="9810" spans="1:17" x14ac:dyDescent="0.3">
      <c r="A9810" s="34">
        <f>base!J9810</f>
        <v>0</v>
      </c>
      <c r="B9810" s="34">
        <f>base!V9810</f>
        <v>0</v>
      </c>
      <c r="C9810" s="40" t="s">
        <v>11</v>
      </c>
      <c r="D9810" s="36">
        <f>base!H9810</f>
        <v>0</v>
      </c>
      <c r="E9810" s="44"/>
      <c r="F9810" s="16">
        <f>base!W9810</f>
        <v>0</v>
      </c>
      <c r="G9810" s="11" t="e">
        <f t="shared" si="1505"/>
        <v>#DIV/0!</v>
      </c>
      <c r="H9810" s="11" t="e">
        <f t="shared" si="1506"/>
        <v>#N/A</v>
      </c>
      <c r="I9810" s="11" t="e">
        <f t="shared" si="1507"/>
        <v>#N/A</v>
      </c>
      <c r="J9810" s="12" t="e">
        <f t="shared" si="1508"/>
        <v>#N/A</v>
      </c>
      <c r="K9810" s="17" t="e">
        <f t="shared" si="1512"/>
        <v>#N/A</v>
      </c>
      <c r="L9810" s="16">
        <f>base!X9810</f>
        <v>0</v>
      </c>
      <c r="M9810" s="11" t="e">
        <f t="shared" si="1509"/>
        <v>#DIV/0!</v>
      </c>
      <c r="N9810" s="11"/>
      <c r="O9810" s="11" t="e">
        <f t="shared" si="1510"/>
        <v>#DIV/0!</v>
      </c>
      <c r="P9810" s="12">
        <f t="shared" si="1511"/>
        <v>0</v>
      </c>
      <c r="Q9810" s="17" t="str">
        <f t="shared" si="1513"/>
        <v>Pas d'écart</v>
      </c>
    </row>
    <row r="9811" spans="1:17" x14ac:dyDescent="0.3">
      <c r="A9811" s="34">
        <f>base!J9811</f>
        <v>0</v>
      </c>
      <c r="B9811" s="34">
        <f>base!V9811</f>
        <v>0</v>
      </c>
      <c r="C9811" s="40" t="s">
        <v>11</v>
      </c>
      <c r="D9811" s="36">
        <f>base!H9811</f>
        <v>0</v>
      </c>
      <c r="E9811" s="44"/>
      <c r="F9811" s="16">
        <f>base!W9811</f>
        <v>0</v>
      </c>
      <c r="G9811" s="11" t="e">
        <f t="shared" si="1505"/>
        <v>#DIV/0!</v>
      </c>
      <c r="H9811" s="11" t="e">
        <f t="shared" si="1506"/>
        <v>#N/A</v>
      </c>
      <c r="I9811" s="11" t="e">
        <f t="shared" si="1507"/>
        <v>#N/A</v>
      </c>
      <c r="J9811" s="12" t="e">
        <f t="shared" si="1508"/>
        <v>#N/A</v>
      </c>
      <c r="K9811" s="17" t="e">
        <f t="shared" si="1512"/>
        <v>#N/A</v>
      </c>
      <c r="L9811" s="16">
        <f>base!X9811</f>
        <v>0</v>
      </c>
      <c r="M9811" s="11" t="e">
        <f t="shared" si="1509"/>
        <v>#DIV/0!</v>
      </c>
      <c r="N9811" s="11"/>
      <c r="O9811" s="11" t="e">
        <f t="shared" si="1510"/>
        <v>#DIV/0!</v>
      </c>
      <c r="P9811" s="12">
        <f t="shared" si="1511"/>
        <v>0</v>
      </c>
      <c r="Q9811" s="17" t="str">
        <f t="shared" si="1513"/>
        <v>Pas d'écart</v>
      </c>
    </row>
    <row r="9812" spans="1:17" x14ac:dyDescent="0.3">
      <c r="A9812" s="34">
        <f>base!J9812</f>
        <v>0</v>
      </c>
      <c r="B9812" s="34">
        <f>base!V9812</f>
        <v>0</v>
      </c>
      <c r="C9812" s="40" t="s">
        <v>11</v>
      </c>
      <c r="D9812" s="36">
        <f>base!H9812</f>
        <v>0</v>
      </c>
      <c r="E9812" s="44"/>
      <c r="F9812" s="16">
        <f>base!W9812</f>
        <v>0</v>
      </c>
      <c r="G9812" s="11" t="e">
        <f t="shared" si="1505"/>
        <v>#DIV/0!</v>
      </c>
      <c r="H9812" s="11" t="e">
        <f t="shared" si="1506"/>
        <v>#N/A</v>
      </c>
      <c r="I9812" s="11" t="e">
        <f t="shared" si="1507"/>
        <v>#N/A</v>
      </c>
      <c r="J9812" s="12" t="e">
        <f t="shared" si="1508"/>
        <v>#N/A</v>
      </c>
      <c r="K9812" s="17" t="e">
        <f t="shared" si="1512"/>
        <v>#N/A</v>
      </c>
      <c r="L9812" s="16">
        <f>base!X9812</f>
        <v>0</v>
      </c>
      <c r="M9812" s="11" t="e">
        <f t="shared" si="1509"/>
        <v>#DIV/0!</v>
      </c>
      <c r="N9812" s="11"/>
      <c r="O9812" s="11" t="e">
        <f t="shared" si="1510"/>
        <v>#DIV/0!</v>
      </c>
      <c r="P9812" s="12">
        <f t="shared" si="1511"/>
        <v>0</v>
      </c>
      <c r="Q9812" s="17" t="str">
        <f t="shared" si="1513"/>
        <v>Pas d'écart</v>
      </c>
    </row>
    <row r="9813" spans="1:17" x14ac:dyDescent="0.3">
      <c r="A9813" s="34">
        <f>base!J9813</f>
        <v>0</v>
      </c>
      <c r="B9813" s="34">
        <f>base!V9813</f>
        <v>0</v>
      </c>
      <c r="C9813" s="40" t="s">
        <v>11</v>
      </c>
      <c r="D9813" s="36">
        <f>base!H9813</f>
        <v>0</v>
      </c>
      <c r="E9813" s="44"/>
      <c r="F9813" s="16">
        <f>base!W9813</f>
        <v>0</v>
      </c>
      <c r="G9813" s="11" t="e">
        <f t="shared" si="1505"/>
        <v>#DIV/0!</v>
      </c>
      <c r="H9813" s="11" t="e">
        <f t="shared" si="1506"/>
        <v>#N/A</v>
      </c>
      <c r="I9813" s="11" t="e">
        <f t="shared" si="1507"/>
        <v>#N/A</v>
      </c>
      <c r="J9813" s="12" t="e">
        <f t="shared" si="1508"/>
        <v>#N/A</v>
      </c>
      <c r="K9813" s="17" t="e">
        <f t="shared" si="1512"/>
        <v>#N/A</v>
      </c>
      <c r="L9813" s="16">
        <f>base!X9813</f>
        <v>0</v>
      </c>
      <c r="M9813" s="11" t="e">
        <f t="shared" si="1509"/>
        <v>#DIV/0!</v>
      </c>
      <c r="N9813" s="11"/>
      <c r="O9813" s="11" t="e">
        <f t="shared" si="1510"/>
        <v>#DIV/0!</v>
      </c>
      <c r="P9813" s="12">
        <f t="shared" si="1511"/>
        <v>0</v>
      </c>
      <c r="Q9813" s="17" t="str">
        <f t="shared" si="1513"/>
        <v>Pas d'écart</v>
      </c>
    </row>
    <row r="9814" spans="1:17" x14ac:dyDescent="0.3">
      <c r="A9814" s="34">
        <f>base!J9814</f>
        <v>0</v>
      </c>
      <c r="B9814" s="34">
        <f>base!V9814</f>
        <v>0</v>
      </c>
      <c r="C9814" s="40" t="s">
        <v>11</v>
      </c>
      <c r="D9814" s="36">
        <f>base!H9814</f>
        <v>0</v>
      </c>
      <c r="E9814" s="44"/>
      <c r="F9814" s="16">
        <f>base!W9814</f>
        <v>0</v>
      </c>
      <c r="G9814" s="11" t="e">
        <f t="shared" si="1505"/>
        <v>#DIV/0!</v>
      </c>
      <c r="H9814" s="11" t="e">
        <f t="shared" si="1506"/>
        <v>#N/A</v>
      </c>
      <c r="I9814" s="11" t="e">
        <f t="shared" si="1507"/>
        <v>#N/A</v>
      </c>
      <c r="J9814" s="12" t="e">
        <f t="shared" si="1508"/>
        <v>#N/A</v>
      </c>
      <c r="K9814" s="17" t="e">
        <f t="shared" si="1512"/>
        <v>#N/A</v>
      </c>
      <c r="L9814" s="16">
        <f>base!X9814</f>
        <v>0</v>
      </c>
      <c r="M9814" s="11" t="e">
        <f t="shared" si="1509"/>
        <v>#DIV/0!</v>
      </c>
      <c r="N9814" s="11"/>
      <c r="O9814" s="11" t="e">
        <f t="shared" si="1510"/>
        <v>#DIV/0!</v>
      </c>
      <c r="P9814" s="12">
        <f t="shared" si="1511"/>
        <v>0</v>
      </c>
      <c r="Q9814" s="17" t="str">
        <f t="shared" si="1513"/>
        <v>Pas d'écart</v>
      </c>
    </row>
    <row r="9815" spans="1:17" x14ac:dyDescent="0.3">
      <c r="A9815" s="34">
        <f>base!J9815</f>
        <v>0</v>
      </c>
      <c r="B9815" s="34">
        <f>base!V9815</f>
        <v>0</v>
      </c>
      <c r="C9815" s="40" t="s">
        <v>11</v>
      </c>
      <c r="D9815" s="36">
        <f>base!H9815</f>
        <v>0</v>
      </c>
      <c r="E9815" s="44"/>
      <c r="F9815" s="16">
        <f>base!W9815</f>
        <v>0</v>
      </c>
      <c r="G9815" s="11" t="e">
        <f t="shared" si="1505"/>
        <v>#DIV/0!</v>
      </c>
      <c r="H9815" s="11" t="e">
        <f t="shared" si="1506"/>
        <v>#N/A</v>
      </c>
      <c r="I9815" s="11" t="e">
        <f t="shared" si="1507"/>
        <v>#N/A</v>
      </c>
      <c r="J9815" s="12" t="e">
        <f t="shared" si="1508"/>
        <v>#N/A</v>
      </c>
      <c r="K9815" s="17" t="e">
        <f t="shared" si="1512"/>
        <v>#N/A</v>
      </c>
      <c r="L9815" s="16">
        <f>base!X9815</f>
        <v>0</v>
      </c>
      <c r="M9815" s="11" t="e">
        <f t="shared" si="1509"/>
        <v>#DIV/0!</v>
      </c>
      <c r="N9815" s="11"/>
      <c r="O9815" s="11" t="e">
        <f t="shared" si="1510"/>
        <v>#DIV/0!</v>
      </c>
      <c r="P9815" s="12">
        <f t="shared" si="1511"/>
        <v>0</v>
      </c>
      <c r="Q9815" s="17" t="str">
        <f t="shared" si="1513"/>
        <v>Pas d'écart</v>
      </c>
    </row>
    <row r="9816" spans="1:17" x14ac:dyDescent="0.3">
      <c r="A9816" s="34">
        <f>base!J9816</f>
        <v>0</v>
      </c>
      <c r="B9816" s="34">
        <f>base!V9816</f>
        <v>0</v>
      </c>
      <c r="C9816" s="40" t="s">
        <v>11</v>
      </c>
      <c r="D9816" s="36">
        <f>base!H9816</f>
        <v>0</v>
      </c>
      <c r="E9816" s="44"/>
      <c r="F9816" s="16">
        <f>base!W9816</f>
        <v>0</v>
      </c>
      <c r="G9816" s="11" t="e">
        <f t="shared" si="1505"/>
        <v>#DIV/0!</v>
      </c>
      <c r="H9816" s="11" t="e">
        <f t="shared" si="1506"/>
        <v>#N/A</v>
      </c>
      <c r="I9816" s="11" t="e">
        <f t="shared" si="1507"/>
        <v>#N/A</v>
      </c>
      <c r="J9816" s="12" t="e">
        <f t="shared" si="1508"/>
        <v>#N/A</v>
      </c>
      <c r="K9816" s="17" t="e">
        <f t="shared" si="1512"/>
        <v>#N/A</v>
      </c>
      <c r="L9816" s="16">
        <f>base!X9816</f>
        <v>0</v>
      </c>
      <c r="M9816" s="11" t="e">
        <f t="shared" si="1509"/>
        <v>#DIV/0!</v>
      </c>
      <c r="N9816" s="11"/>
      <c r="O9816" s="11" t="e">
        <f t="shared" si="1510"/>
        <v>#DIV/0!</v>
      </c>
      <c r="P9816" s="12">
        <f t="shared" si="1511"/>
        <v>0</v>
      </c>
      <c r="Q9816" s="17" t="str">
        <f t="shared" si="1513"/>
        <v>Pas d'écart</v>
      </c>
    </row>
    <row r="9817" spans="1:17" x14ac:dyDescent="0.3">
      <c r="A9817" s="34">
        <f>base!J9817</f>
        <v>0</v>
      </c>
      <c r="B9817" s="34">
        <f>base!V9817</f>
        <v>0</v>
      </c>
      <c r="C9817" s="40" t="s">
        <v>11</v>
      </c>
      <c r="D9817" s="36">
        <f>base!H9817</f>
        <v>0</v>
      </c>
      <c r="E9817" s="44"/>
      <c r="F9817" s="16">
        <f>base!W9817</f>
        <v>0</v>
      </c>
      <c r="G9817" s="11" t="e">
        <f t="shared" si="1505"/>
        <v>#DIV/0!</v>
      </c>
      <c r="H9817" s="11" t="e">
        <f t="shared" si="1506"/>
        <v>#N/A</v>
      </c>
      <c r="I9817" s="11" t="e">
        <f t="shared" si="1507"/>
        <v>#N/A</v>
      </c>
      <c r="J9817" s="12" t="e">
        <f t="shared" si="1508"/>
        <v>#N/A</v>
      </c>
      <c r="K9817" s="17" t="e">
        <f t="shared" si="1512"/>
        <v>#N/A</v>
      </c>
      <c r="L9817" s="16">
        <f>base!X9817</f>
        <v>0</v>
      </c>
      <c r="M9817" s="11" t="e">
        <f t="shared" si="1509"/>
        <v>#DIV/0!</v>
      </c>
      <c r="N9817" s="11"/>
      <c r="O9817" s="11" t="e">
        <f t="shared" si="1510"/>
        <v>#DIV/0!</v>
      </c>
      <c r="P9817" s="12">
        <f t="shared" si="1511"/>
        <v>0</v>
      </c>
      <c r="Q9817" s="17" t="str">
        <f t="shared" si="1513"/>
        <v>Pas d'écart</v>
      </c>
    </row>
    <row r="9818" spans="1:17" x14ac:dyDescent="0.3">
      <c r="A9818" s="34">
        <f>base!J9818</f>
        <v>0</v>
      </c>
      <c r="B9818" s="34">
        <f>base!V9818</f>
        <v>0</v>
      </c>
      <c r="C9818" s="40" t="s">
        <v>11</v>
      </c>
      <c r="D9818" s="36">
        <f>base!H9818</f>
        <v>0</v>
      </c>
      <c r="E9818" s="44"/>
      <c r="F9818" s="16">
        <f>base!W9818</f>
        <v>0</v>
      </c>
      <c r="G9818" s="11" t="e">
        <f t="shared" si="1505"/>
        <v>#DIV/0!</v>
      </c>
      <c r="H9818" s="11" t="e">
        <f t="shared" si="1506"/>
        <v>#N/A</v>
      </c>
      <c r="I9818" s="11" t="e">
        <f t="shared" si="1507"/>
        <v>#N/A</v>
      </c>
      <c r="J9818" s="12" t="e">
        <f t="shared" si="1508"/>
        <v>#N/A</v>
      </c>
      <c r="K9818" s="17" t="e">
        <f t="shared" si="1512"/>
        <v>#N/A</v>
      </c>
      <c r="L9818" s="16">
        <f>base!X9818</f>
        <v>0</v>
      </c>
      <c r="M9818" s="11" t="e">
        <f t="shared" si="1509"/>
        <v>#DIV/0!</v>
      </c>
      <c r="N9818" s="11"/>
      <c r="O9818" s="11" t="e">
        <f t="shared" si="1510"/>
        <v>#DIV/0!</v>
      </c>
      <c r="P9818" s="12">
        <f t="shared" si="1511"/>
        <v>0</v>
      </c>
      <c r="Q9818" s="17" t="str">
        <f t="shared" si="1513"/>
        <v>Pas d'écart</v>
      </c>
    </row>
    <row r="9819" spans="1:17" x14ac:dyDescent="0.3">
      <c r="A9819" s="34">
        <f>base!J9819</f>
        <v>0</v>
      </c>
      <c r="B9819" s="34">
        <f>base!V9819</f>
        <v>0</v>
      </c>
      <c r="C9819" s="40" t="s">
        <v>11</v>
      </c>
      <c r="D9819" s="36">
        <f>base!H9819</f>
        <v>0</v>
      </c>
      <c r="E9819" s="44"/>
      <c r="F9819" s="16">
        <f>base!W9819</f>
        <v>0</v>
      </c>
      <c r="G9819" s="11" t="e">
        <f t="shared" si="1505"/>
        <v>#DIV/0!</v>
      </c>
      <c r="H9819" s="11" t="e">
        <f t="shared" si="1506"/>
        <v>#N/A</v>
      </c>
      <c r="I9819" s="11" t="e">
        <f t="shared" si="1507"/>
        <v>#N/A</v>
      </c>
      <c r="J9819" s="12" t="e">
        <f t="shared" si="1508"/>
        <v>#N/A</v>
      </c>
      <c r="K9819" s="17" t="e">
        <f t="shared" si="1512"/>
        <v>#N/A</v>
      </c>
      <c r="L9819" s="16">
        <f>base!X9819</f>
        <v>0</v>
      </c>
      <c r="M9819" s="11" t="e">
        <f t="shared" si="1509"/>
        <v>#DIV/0!</v>
      </c>
      <c r="N9819" s="11"/>
      <c r="O9819" s="11" t="e">
        <f t="shared" si="1510"/>
        <v>#DIV/0!</v>
      </c>
      <c r="P9819" s="12">
        <f t="shared" si="1511"/>
        <v>0</v>
      </c>
      <c r="Q9819" s="17" t="str">
        <f t="shared" si="1513"/>
        <v>Pas d'écart</v>
      </c>
    </row>
    <row r="9820" spans="1:17" x14ac:dyDescent="0.3">
      <c r="A9820" s="34">
        <f>base!J9820</f>
        <v>0</v>
      </c>
      <c r="B9820" s="34">
        <f>base!V9820</f>
        <v>0</v>
      </c>
      <c r="C9820" s="40" t="s">
        <v>11</v>
      </c>
      <c r="D9820" s="36">
        <f>base!H9820</f>
        <v>0</v>
      </c>
      <c r="E9820" s="44"/>
      <c r="F9820" s="16">
        <f>base!W9820</f>
        <v>0</v>
      </c>
      <c r="G9820" s="11" t="e">
        <f t="shared" si="1505"/>
        <v>#DIV/0!</v>
      </c>
      <c r="H9820" s="11" t="e">
        <f t="shared" si="1506"/>
        <v>#N/A</v>
      </c>
      <c r="I9820" s="11" t="e">
        <f t="shared" si="1507"/>
        <v>#N/A</v>
      </c>
      <c r="J9820" s="12" t="e">
        <f t="shared" si="1508"/>
        <v>#N/A</v>
      </c>
      <c r="K9820" s="17" t="e">
        <f t="shared" si="1512"/>
        <v>#N/A</v>
      </c>
      <c r="L9820" s="16">
        <f>base!X9820</f>
        <v>0</v>
      </c>
      <c r="M9820" s="11" t="e">
        <f t="shared" si="1509"/>
        <v>#DIV/0!</v>
      </c>
      <c r="N9820" s="11"/>
      <c r="O9820" s="11" t="e">
        <f t="shared" si="1510"/>
        <v>#DIV/0!</v>
      </c>
      <c r="P9820" s="12">
        <f t="shared" si="1511"/>
        <v>0</v>
      </c>
      <c r="Q9820" s="17" t="str">
        <f t="shared" si="1513"/>
        <v>Pas d'écart</v>
      </c>
    </row>
    <row r="9821" spans="1:17" x14ac:dyDescent="0.3">
      <c r="A9821" s="34">
        <f>base!J9821</f>
        <v>0</v>
      </c>
      <c r="B9821" s="34">
        <f>base!V9821</f>
        <v>0</v>
      </c>
      <c r="C9821" s="40" t="s">
        <v>11</v>
      </c>
      <c r="D9821" s="36">
        <f>base!H9821</f>
        <v>0</v>
      </c>
      <c r="E9821" s="44"/>
      <c r="F9821" s="16">
        <f>base!W9821</f>
        <v>0</v>
      </c>
      <c r="G9821" s="11" t="e">
        <f t="shared" si="1505"/>
        <v>#DIV/0!</v>
      </c>
      <c r="H9821" s="11" t="e">
        <f t="shared" si="1506"/>
        <v>#N/A</v>
      </c>
      <c r="I9821" s="11" t="e">
        <f t="shared" si="1507"/>
        <v>#N/A</v>
      </c>
      <c r="J9821" s="12" t="e">
        <f t="shared" si="1508"/>
        <v>#N/A</v>
      </c>
      <c r="K9821" s="17" t="e">
        <f t="shared" si="1512"/>
        <v>#N/A</v>
      </c>
      <c r="L9821" s="16">
        <f>base!X9821</f>
        <v>0</v>
      </c>
      <c r="M9821" s="11" t="e">
        <f t="shared" si="1509"/>
        <v>#DIV/0!</v>
      </c>
      <c r="N9821" s="11"/>
      <c r="O9821" s="11" t="e">
        <f t="shared" si="1510"/>
        <v>#DIV/0!</v>
      </c>
      <c r="P9821" s="12">
        <f t="shared" si="1511"/>
        <v>0</v>
      </c>
      <c r="Q9821" s="17" t="str">
        <f t="shared" si="1513"/>
        <v>Pas d'écart</v>
      </c>
    </row>
    <row r="9822" spans="1:17" x14ac:dyDescent="0.3">
      <c r="A9822" s="34">
        <f>base!J9822</f>
        <v>0</v>
      </c>
      <c r="B9822" s="34">
        <f>base!V9822</f>
        <v>0</v>
      </c>
      <c r="C9822" s="40" t="s">
        <v>11</v>
      </c>
      <c r="D9822" s="36">
        <f>base!H9822</f>
        <v>0</v>
      </c>
      <c r="E9822" s="44"/>
      <c r="F9822" s="16">
        <f>base!W9822</f>
        <v>0</v>
      </c>
      <c r="G9822" s="11" t="e">
        <f t="shared" si="1505"/>
        <v>#DIV/0!</v>
      </c>
      <c r="H9822" s="11" t="e">
        <f t="shared" si="1506"/>
        <v>#N/A</v>
      </c>
      <c r="I9822" s="11" t="e">
        <f t="shared" si="1507"/>
        <v>#N/A</v>
      </c>
      <c r="J9822" s="12" t="e">
        <f t="shared" si="1508"/>
        <v>#N/A</v>
      </c>
      <c r="K9822" s="17" t="e">
        <f t="shared" si="1512"/>
        <v>#N/A</v>
      </c>
      <c r="L9822" s="16">
        <f>base!X9822</f>
        <v>0</v>
      </c>
      <c r="M9822" s="11" t="e">
        <f t="shared" si="1509"/>
        <v>#DIV/0!</v>
      </c>
      <c r="N9822" s="11"/>
      <c r="O9822" s="11" t="e">
        <f t="shared" si="1510"/>
        <v>#DIV/0!</v>
      </c>
      <c r="P9822" s="12">
        <f t="shared" si="1511"/>
        <v>0</v>
      </c>
      <c r="Q9822" s="17" t="str">
        <f t="shared" si="1513"/>
        <v>Pas d'écart</v>
      </c>
    </row>
    <row r="9823" spans="1:17" x14ac:dyDescent="0.3">
      <c r="A9823" s="34">
        <f>base!J9823</f>
        <v>0</v>
      </c>
      <c r="B9823" s="34">
        <f>base!V9823</f>
        <v>0</v>
      </c>
      <c r="C9823" s="40" t="s">
        <v>11</v>
      </c>
      <c r="D9823" s="36">
        <f>base!H9823</f>
        <v>0</v>
      </c>
      <c r="E9823" s="44"/>
      <c r="F9823" s="16">
        <f>base!W9823</f>
        <v>0</v>
      </c>
      <c r="G9823" s="11" t="e">
        <f t="shared" si="1505"/>
        <v>#DIV/0!</v>
      </c>
      <c r="H9823" s="11" t="e">
        <f t="shared" si="1506"/>
        <v>#N/A</v>
      </c>
      <c r="I9823" s="11" t="e">
        <f t="shared" si="1507"/>
        <v>#N/A</v>
      </c>
      <c r="J9823" s="12" t="e">
        <f t="shared" si="1508"/>
        <v>#N/A</v>
      </c>
      <c r="K9823" s="17" t="e">
        <f t="shared" si="1512"/>
        <v>#N/A</v>
      </c>
      <c r="L9823" s="16">
        <f>base!X9823</f>
        <v>0</v>
      </c>
      <c r="M9823" s="11" t="e">
        <f t="shared" si="1509"/>
        <v>#DIV/0!</v>
      </c>
      <c r="N9823" s="11"/>
      <c r="O9823" s="11" t="e">
        <f t="shared" si="1510"/>
        <v>#DIV/0!</v>
      </c>
      <c r="P9823" s="12">
        <f t="shared" si="1511"/>
        <v>0</v>
      </c>
      <c r="Q9823" s="17" t="str">
        <f t="shared" si="1513"/>
        <v>Pas d'écart</v>
      </c>
    </row>
    <row r="9824" spans="1:17" x14ac:dyDescent="0.3">
      <c r="A9824" s="34">
        <f>base!J9824</f>
        <v>0</v>
      </c>
      <c r="B9824" s="34">
        <f>base!V9824</f>
        <v>0</v>
      </c>
      <c r="C9824" s="40" t="s">
        <v>11</v>
      </c>
      <c r="D9824" s="36">
        <f>base!H9824</f>
        <v>0</v>
      </c>
      <c r="E9824" s="44"/>
      <c r="F9824" s="16">
        <f>base!W9824</f>
        <v>0</v>
      </c>
      <c r="G9824" s="11" t="e">
        <f t="shared" si="1505"/>
        <v>#DIV/0!</v>
      </c>
      <c r="H9824" s="11" t="e">
        <f t="shared" si="1506"/>
        <v>#N/A</v>
      </c>
      <c r="I9824" s="11" t="e">
        <f t="shared" si="1507"/>
        <v>#N/A</v>
      </c>
      <c r="J9824" s="12" t="e">
        <f t="shared" si="1508"/>
        <v>#N/A</v>
      </c>
      <c r="K9824" s="17" t="e">
        <f t="shared" si="1512"/>
        <v>#N/A</v>
      </c>
      <c r="L9824" s="16">
        <f>base!X9824</f>
        <v>0</v>
      </c>
      <c r="M9824" s="11" t="e">
        <f t="shared" si="1509"/>
        <v>#DIV/0!</v>
      </c>
      <c r="N9824" s="11"/>
      <c r="O9824" s="11" t="e">
        <f t="shared" si="1510"/>
        <v>#DIV/0!</v>
      </c>
      <c r="P9824" s="12">
        <f t="shared" si="1511"/>
        <v>0</v>
      </c>
      <c r="Q9824" s="17" t="str">
        <f t="shared" si="1513"/>
        <v>Pas d'écart</v>
      </c>
    </row>
    <row r="9825" spans="1:17" x14ac:dyDescent="0.3">
      <c r="A9825" s="34">
        <f>base!J9825</f>
        <v>0</v>
      </c>
      <c r="B9825" s="34">
        <f>base!V9825</f>
        <v>0</v>
      </c>
      <c r="C9825" s="40" t="s">
        <v>11</v>
      </c>
      <c r="D9825" s="36">
        <f>base!H9825</f>
        <v>0</v>
      </c>
      <c r="E9825" s="44"/>
      <c r="F9825" s="16">
        <f>base!W9825</f>
        <v>0</v>
      </c>
      <c r="G9825" s="11" t="e">
        <f t="shared" si="1505"/>
        <v>#DIV/0!</v>
      </c>
      <c r="H9825" s="11" t="e">
        <f t="shared" si="1506"/>
        <v>#N/A</v>
      </c>
      <c r="I9825" s="11" t="e">
        <f t="shared" si="1507"/>
        <v>#N/A</v>
      </c>
      <c r="J9825" s="12" t="e">
        <f t="shared" si="1508"/>
        <v>#N/A</v>
      </c>
      <c r="K9825" s="17" t="e">
        <f t="shared" si="1512"/>
        <v>#N/A</v>
      </c>
      <c r="L9825" s="16">
        <f>base!X9825</f>
        <v>0</v>
      </c>
      <c r="M9825" s="11" t="e">
        <f t="shared" si="1509"/>
        <v>#DIV/0!</v>
      </c>
      <c r="N9825" s="11"/>
      <c r="O9825" s="11" t="e">
        <f t="shared" si="1510"/>
        <v>#DIV/0!</v>
      </c>
      <c r="P9825" s="12">
        <f t="shared" si="1511"/>
        <v>0</v>
      </c>
      <c r="Q9825" s="17" t="str">
        <f t="shared" si="1513"/>
        <v>Pas d'écart</v>
      </c>
    </row>
    <row r="9826" spans="1:17" x14ac:dyDescent="0.3">
      <c r="A9826" s="34">
        <f>base!J9826</f>
        <v>0</v>
      </c>
      <c r="B9826" s="34">
        <f>base!V9826</f>
        <v>0</v>
      </c>
      <c r="C9826" s="40" t="s">
        <v>11</v>
      </c>
      <c r="D9826" s="36">
        <f>base!H9826</f>
        <v>0</v>
      </c>
      <c r="E9826" s="44"/>
      <c r="F9826" s="16">
        <f>base!W9826</f>
        <v>0</v>
      </c>
      <c r="G9826" s="11" t="e">
        <f t="shared" si="1505"/>
        <v>#DIV/0!</v>
      </c>
      <c r="H9826" s="11" t="e">
        <f t="shared" si="1506"/>
        <v>#N/A</v>
      </c>
      <c r="I9826" s="11" t="e">
        <f t="shared" si="1507"/>
        <v>#N/A</v>
      </c>
      <c r="J9826" s="12" t="e">
        <f t="shared" si="1508"/>
        <v>#N/A</v>
      </c>
      <c r="K9826" s="17" t="e">
        <f t="shared" si="1512"/>
        <v>#N/A</v>
      </c>
      <c r="L9826" s="16">
        <f>base!X9826</f>
        <v>0</v>
      </c>
      <c r="M9826" s="11" t="e">
        <f t="shared" si="1509"/>
        <v>#DIV/0!</v>
      </c>
      <c r="N9826" s="11"/>
      <c r="O9826" s="11" t="e">
        <f t="shared" si="1510"/>
        <v>#DIV/0!</v>
      </c>
      <c r="P9826" s="12">
        <f t="shared" si="1511"/>
        <v>0</v>
      </c>
      <c r="Q9826" s="17" t="str">
        <f t="shared" si="1513"/>
        <v>Pas d'écart</v>
      </c>
    </row>
    <row r="9827" spans="1:17" x14ac:dyDescent="0.3">
      <c r="A9827" s="34">
        <f>base!J9827</f>
        <v>0</v>
      </c>
      <c r="B9827" s="34">
        <f>base!V9827</f>
        <v>0</v>
      </c>
      <c r="C9827" s="40" t="s">
        <v>11</v>
      </c>
      <c r="D9827" s="36">
        <f>base!H9827</f>
        <v>0</v>
      </c>
      <c r="E9827" s="44"/>
      <c r="F9827" s="16">
        <f>base!W9827</f>
        <v>0</v>
      </c>
      <c r="G9827" s="11" t="e">
        <f t="shared" si="1505"/>
        <v>#DIV/0!</v>
      </c>
      <c r="H9827" s="11" t="e">
        <f t="shared" si="1506"/>
        <v>#N/A</v>
      </c>
      <c r="I9827" s="11" t="e">
        <f t="shared" si="1507"/>
        <v>#N/A</v>
      </c>
      <c r="J9827" s="12" t="e">
        <f t="shared" si="1508"/>
        <v>#N/A</v>
      </c>
      <c r="K9827" s="17" t="e">
        <f t="shared" si="1512"/>
        <v>#N/A</v>
      </c>
      <c r="L9827" s="16">
        <f>base!X9827</f>
        <v>0</v>
      </c>
      <c r="M9827" s="11" t="e">
        <f t="shared" si="1509"/>
        <v>#DIV/0!</v>
      </c>
      <c r="N9827" s="11"/>
      <c r="O9827" s="11" t="e">
        <f t="shared" si="1510"/>
        <v>#DIV/0!</v>
      </c>
      <c r="P9827" s="12">
        <f t="shared" si="1511"/>
        <v>0</v>
      </c>
      <c r="Q9827" s="17" t="str">
        <f t="shared" si="1513"/>
        <v>Pas d'écart</v>
      </c>
    </row>
    <row r="9828" spans="1:17" x14ac:dyDescent="0.3">
      <c r="A9828" s="34">
        <f>base!J9828</f>
        <v>0</v>
      </c>
      <c r="B9828" s="34">
        <f>base!V9828</f>
        <v>0</v>
      </c>
      <c r="C9828" s="40" t="s">
        <v>11</v>
      </c>
      <c r="D9828" s="36">
        <f>base!H9828</f>
        <v>0</v>
      </c>
      <c r="E9828" s="44"/>
      <c r="F9828" s="16">
        <f>base!W9828</f>
        <v>0</v>
      </c>
      <c r="G9828" s="11" t="e">
        <f t="shared" si="1505"/>
        <v>#DIV/0!</v>
      </c>
      <c r="H9828" s="11" t="e">
        <f t="shared" si="1506"/>
        <v>#N/A</v>
      </c>
      <c r="I9828" s="11" t="e">
        <f t="shared" si="1507"/>
        <v>#N/A</v>
      </c>
      <c r="J9828" s="12" t="e">
        <f t="shared" si="1508"/>
        <v>#N/A</v>
      </c>
      <c r="K9828" s="17" t="e">
        <f t="shared" si="1512"/>
        <v>#N/A</v>
      </c>
      <c r="L9828" s="16">
        <f>base!X9828</f>
        <v>0</v>
      </c>
      <c r="M9828" s="11" t="e">
        <f t="shared" si="1509"/>
        <v>#DIV/0!</v>
      </c>
      <c r="N9828" s="11"/>
      <c r="O9828" s="11" t="e">
        <f t="shared" si="1510"/>
        <v>#DIV/0!</v>
      </c>
      <c r="P9828" s="12">
        <f t="shared" si="1511"/>
        <v>0</v>
      </c>
      <c r="Q9828" s="17" t="str">
        <f t="shared" si="1513"/>
        <v>Pas d'écart</v>
      </c>
    </row>
    <row r="9829" spans="1:17" x14ac:dyDescent="0.3">
      <c r="A9829" s="34">
        <f>base!J9829</f>
        <v>0</v>
      </c>
      <c r="B9829" s="34">
        <f>base!V9829</f>
        <v>0</v>
      </c>
      <c r="C9829" s="40" t="s">
        <v>11</v>
      </c>
      <c r="D9829" s="36">
        <f>base!H9829</f>
        <v>0</v>
      </c>
      <c r="E9829" s="44"/>
      <c r="F9829" s="16">
        <f>base!W9829</f>
        <v>0</v>
      </c>
      <c r="G9829" s="11" t="e">
        <f t="shared" si="1505"/>
        <v>#DIV/0!</v>
      </c>
      <c r="H9829" s="11" t="e">
        <f t="shared" si="1506"/>
        <v>#N/A</v>
      </c>
      <c r="I9829" s="11" t="e">
        <f t="shared" si="1507"/>
        <v>#N/A</v>
      </c>
      <c r="J9829" s="12" t="e">
        <f t="shared" si="1508"/>
        <v>#N/A</v>
      </c>
      <c r="K9829" s="17" t="e">
        <f t="shared" si="1512"/>
        <v>#N/A</v>
      </c>
      <c r="L9829" s="16">
        <f>base!X9829</f>
        <v>0</v>
      </c>
      <c r="M9829" s="11" t="e">
        <f t="shared" si="1509"/>
        <v>#DIV/0!</v>
      </c>
      <c r="N9829" s="11"/>
      <c r="O9829" s="11" t="e">
        <f t="shared" si="1510"/>
        <v>#DIV/0!</v>
      </c>
      <c r="P9829" s="12">
        <f t="shared" si="1511"/>
        <v>0</v>
      </c>
      <c r="Q9829" s="17" t="str">
        <f t="shared" si="1513"/>
        <v>Pas d'écart</v>
      </c>
    </row>
    <row r="9830" spans="1:17" x14ac:dyDescent="0.3">
      <c r="A9830" s="34">
        <f>base!J9830</f>
        <v>0</v>
      </c>
      <c r="B9830" s="34">
        <f>base!V9830</f>
        <v>0</v>
      </c>
      <c r="C9830" s="40" t="s">
        <v>11</v>
      </c>
      <c r="D9830" s="36">
        <f>base!H9830</f>
        <v>0</v>
      </c>
      <c r="E9830" s="44"/>
      <c r="F9830" s="16">
        <f>base!W9830</f>
        <v>0</v>
      </c>
      <c r="G9830" s="11" t="e">
        <f t="shared" si="1505"/>
        <v>#DIV/0!</v>
      </c>
      <c r="H9830" s="11" t="e">
        <f t="shared" si="1506"/>
        <v>#N/A</v>
      </c>
      <c r="I9830" s="11" t="e">
        <f t="shared" si="1507"/>
        <v>#N/A</v>
      </c>
      <c r="J9830" s="12" t="e">
        <f t="shared" si="1508"/>
        <v>#N/A</v>
      </c>
      <c r="K9830" s="17" t="e">
        <f t="shared" si="1512"/>
        <v>#N/A</v>
      </c>
      <c r="L9830" s="16">
        <f>base!X9830</f>
        <v>0</v>
      </c>
      <c r="M9830" s="11" t="e">
        <f t="shared" si="1509"/>
        <v>#DIV/0!</v>
      </c>
      <c r="N9830" s="11"/>
      <c r="O9830" s="11" t="e">
        <f t="shared" si="1510"/>
        <v>#DIV/0!</v>
      </c>
      <c r="P9830" s="12">
        <f t="shared" si="1511"/>
        <v>0</v>
      </c>
      <c r="Q9830" s="17" t="str">
        <f t="shared" si="1513"/>
        <v>Pas d'écart</v>
      </c>
    </row>
    <row r="9831" spans="1:17" x14ac:dyDescent="0.3">
      <c r="A9831" s="34">
        <f>base!J9831</f>
        <v>0</v>
      </c>
      <c r="B9831" s="34">
        <f>base!V9831</f>
        <v>0</v>
      </c>
      <c r="C9831" s="40" t="s">
        <v>11</v>
      </c>
      <c r="D9831" s="36">
        <f>base!H9831</f>
        <v>0</v>
      </c>
      <c r="E9831" s="44"/>
      <c r="F9831" s="16">
        <f>base!W9831</f>
        <v>0</v>
      </c>
      <c r="G9831" s="11" t="e">
        <f t="shared" si="1505"/>
        <v>#DIV/0!</v>
      </c>
      <c r="H9831" s="11" t="e">
        <f t="shared" si="1506"/>
        <v>#N/A</v>
      </c>
      <c r="I9831" s="11" t="e">
        <f t="shared" si="1507"/>
        <v>#N/A</v>
      </c>
      <c r="J9831" s="12" t="e">
        <f t="shared" si="1508"/>
        <v>#N/A</v>
      </c>
      <c r="K9831" s="17" t="e">
        <f t="shared" si="1512"/>
        <v>#N/A</v>
      </c>
      <c r="L9831" s="16">
        <f>base!X9831</f>
        <v>0</v>
      </c>
      <c r="M9831" s="11" t="e">
        <f t="shared" si="1509"/>
        <v>#DIV/0!</v>
      </c>
      <c r="N9831" s="11"/>
      <c r="O9831" s="11" t="e">
        <f t="shared" si="1510"/>
        <v>#DIV/0!</v>
      </c>
      <c r="P9831" s="12">
        <f t="shared" si="1511"/>
        <v>0</v>
      </c>
      <c r="Q9831" s="17" t="str">
        <f t="shared" si="1513"/>
        <v>Pas d'écart</v>
      </c>
    </row>
    <row r="9832" spans="1:17" x14ac:dyDescent="0.3">
      <c r="A9832" s="34">
        <f>base!J9832</f>
        <v>0</v>
      </c>
      <c r="B9832" s="34">
        <f>base!V9832</f>
        <v>0</v>
      </c>
      <c r="C9832" s="40" t="s">
        <v>11</v>
      </c>
      <c r="D9832" s="36">
        <f>base!H9832</f>
        <v>0</v>
      </c>
      <c r="E9832" s="44"/>
      <c r="F9832" s="16">
        <f>base!W9832</f>
        <v>0</v>
      </c>
      <c r="G9832" s="11" t="e">
        <f t="shared" si="1505"/>
        <v>#DIV/0!</v>
      </c>
      <c r="H9832" s="11" t="e">
        <f t="shared" si="1506"/>
        <v>#N/A</v>
      </c>
      <c r="I9832" s="11" t="e">
        <f t="shared" si="1507"/>
        <v>#N/A</v>
      </c>
      <c r="J9832" s="12" t="e">
        <f t="shared" si="1508"/>
        <v>#N/A</v>
      </c>
      <c r="K9832" s="17" t="e">
        <f t="shared" si="1512"/>
        <v>#N/A</v>
      </c>
      <c r="L9832" s="16">
        <f>base!X9832</f>
        <v>0</v>
      </c>
      <c r="M9832" s="11" t="e">
        <f t="shared" si="1509"/>
        <v>#DIV/0!</v>
      </c>
      <c r="N9832" s="11"/>
      <c r="O9832" s="11" t="e">
        <f t="shared" si="1510"/>
        <v>#DIV/0!</v>
      </c>
      <c r="P9832" s="12">
        <f t="shared" si="1511"/>
        <v>0</v>
      </c>
      <c r="Q9832" s="17" t="str">
        <f t="shared" si="1513"/>
        <v>Pas d'écart</v>
      </c>
    </row>
    <row r="9833" spans="1:17" x14ac:dyDescent="0.3">
      <c r="A9833" s="34">
        <f>base!J9833</f>
        <v>0</v>
      </c>
      <c r="B9833" s="34">
        <f>base!V9833</f>
        <v>0</v>
      </c>
      <c r="C9833" s="40" t="s">
        <v>11</v>
      </c>
      <c r="D9833" s="36">
        <f>base!H9833</f>
        <v>0</v>
      </c>
      <c r="E9833" s="44"/>
      <c r="F9833" s="16">
        <f>base!W9833</f>
        <v>0</v>
      </c>
      <c r="G9833" s="11" t="e">
        <f t="shared" si="1505"/>
        <v>#DIV/0!</v>
      </c>
      <c r="H9833" s="11" t="e">
        <f t="shared" si="1506"/>
        <v>#N/A</v>
      </c>
      <c r="I9833" s="11" t="e">
        <f t="shared" si="1507"/>
        <v>#N/A</v>
      </c>
      <c r="J9833" s="12" t="e">
        <f t="shared" si="1508"/>
        <v>#N/A</v>
      </c>
      <c r="K9833" s="17" t="e">
        <f t="shared" si="1512"/>
        <v>#N/A</v>
      </c>
      <c r="L9833" s="16">
        <f>base!X9833</f>
        <v>0</v>
      </c>
      <c r="M9833" s="11" t="e">
        <f t="shared" si="1509"/>
        <v>#DIV/0!</v>
      </c>
      <c r="N9833" s="11"/>
      <c r="O9833" s="11" t="e">
        <f t="shared" si="1510"/>
        <v>#DIV/0!</v>
      </c>
      <c r="P9833" s="12">
        <f t="shared" si="1511"/>
        <v>0</v>
      </c>
      <c r="Q9833" s="17" t="str">
        <f t="shared" si="1513"/>
        <v>Pas d'écart</v>
      </c>
    </row>
    <row r="9834" spans="1:17" x14ac:dyDescent="0.3">
      <c r="A9834" s="34">
        <f>base!J9834</f>
        <v>0</v>
      </c>
      <c r="B9834" s="34">
        <f>base!V9834</f>
        <v>0</v>
      </c>
      <c r="C9834" s="40" t="s">
        <v>11</v>
      </c>
      <c r="D9834" s="36">
        <f>base!H9834</f>
        <v>0</v>
      </c>
      <c r="E9834" s="44"/>
      <c r="F9834" s="16">
        <f>base!W9834</f>
        <v>0</v>
      </c>
      <c r="G9834" s="11" t="e">
        <f t="shared" si="1505"/>
        <v>#DIV/0!</v>
      </c>
      <c r="H9834" s="11" t="e">
        <f t="shared" si="1506"/>
        <v>#N/A</v>
      </c>
      <c r="I9834" s="11" t="e">
        <f t="shared" si="1507"/>
        <v>#N/A</v>
      </c>
      <c r="J9834" s="12" t="e">
        <f t="shared" si="1508"/>
        <v>#N/A</v>
      </c>
      <c r="K9834" s="17" t="e">
        <f t="shared" si="1512"/>
        <v>#N/A</v>
      </c>
      <c r="L9834" s="16">
        <f>base!X9834</f>
        <v>0</v>
      </c>
      <c r="M9834" s="11" t="e">
        <f t="shared" si="1509"/>
        <v>#DIV/0!</v>
      </c>
      <c r="N9834" s="11"/>
      <c r="O9834" s="11" t="e">
        <f t="shared" si="1510"/>
        <v>#DIV/0!</v>
      </c>
      <c r="P9834" s="12">
        <f t="shared" si="1511"/>
        <v>0</v>
      </c>
      <c r="Q9834" s="17" t="str">
        <f t="shared" si="1513"/>
        <v>Pas d'écart</v>
      </c>
    </row>
    <row r="9835" spans="1:17" x14ac:dyDescent="0.3">
      <c r="A9835" s="34">
        <f>base!J9835</f>
        <v>0</v>
      </c>
      <c r="B9835" s="34">
        <f>base!V9835</f>
        <v>0</v>
      </c>
      <c r="C9835" s="40" t="s">
        <v>11</v>
      </c>
      <c r="D9835" s="36">
        <f>base!H9835</f>
        <v>0</v>
      </c>
      <c r="E9835" s="44"/>
      <c r="F9835" s="16">
        <f>base!W9835</f>
        <v>0</v>
      </c>
      <c r="G9835" s="11" t="e">
        <f t="shared" si="1505"/>
        <v>#DIV/0!</v>
      </c>
      <c r="H9835" s="11" t="e">
        <f t="shared" si="1506"/>
        <v>#N/A</v>
      </c>
      <c r="I9835" s="11" t="e">
        <f t="shared" si="1507"/>
        <v>#N/A</v>
      </c>
      <c r="J9835" s="12" t="e">
        <f t="shared" si="1508"/>
        <v>#N/A</v>
      </c>
      <c r="K9835" s="17" t="e">
        <f t="shared" si="1512"/>
        <v>#N/A</v>
      </c>
      <c r="L9835" s="16">
        <f>base!X9835</f>
        <v>0</v>
      </c>
      <c r="M9835" s="11" t="e">
        <f t="shared" si="1509"/>
        <v>#DIV/0!</v>
      </c>
      <c r="N9835" s="11"/>
      <c r="O9835" s="11" t="e">
        <f t="shared" si="1510"/>
        <v>#DIV/0!</v>
      </c>
      <c r="P9835" s="12">
        <f t="shared" si="1511"/>
        <v>0</v>
      </c>
      <c r="Q9835" s="17" t="str">
        <f t="shared" si="1513"/>
        <v>Pas d'écart</v>
      </c>
    </row>
    <row r="9836" spans="1:17" x14ac:dyDescent="0.3">
      <c r="A9836" s="34">
        <f>base!J9836</f>
        <v>0</v>
      </c>
      <c r="B9836" s="34">
        <f>base!V9836</f>
        <v>0</v>
      </c>
      <c r="C9836" s="40" t="s">
        <v>11</v>
      </c>
      <c r="D9836" s="36">
        <f>base!H9836</f>
        <v>0</v>
      </c>
      <c r="E9836" s="44"/>
      <c r="F9836" s="16">
        <f>base!W9836</f>
        <v>0</v>
      </c>
      <c r="G9836" s="11" t="e">
        <f t="shared" si="1505"/>
        <v>#DIV/0!</v>
      </c>
      <c r="H9836" s="11" t="e">
        <f t="shared" si="1506"/>
        <v>#N/A</v>
      </c>
      <c r="I9836" s="11" t="e">
        <f t="shared" si="1507"/>
        <v>#N/A</v>
      </c>
      <c r="J9836" s="12" t="e">
        <f t="shared" si="1508"/>
        <v>#N/A</v>
      </c>
      <c r="K9836" s="17" t="e">
        <f t="shared" si="1512"/>
        <v>#N/A</v>
      </c>
      <c r="L9836" s="16">
        <f>base!X9836</f>
        <v>0</v>
      </c>
      <c r="M9836" s="11" t="e">
        <f t="shared" si="1509"/>
        <v>#DIV/0!</v>
      </c>
      <c r="N9836" s="11"/>
      <c r="O9836" s="11" t="e">
        <f t="shared" si="1510"/>
        <v>#DIV/0!</v>
      </c>
      <c r="P9836" s="12">
        <f t="shared" si="1511"/>
        <v>0</v>
      </c>
      <c r="Q9836" s="17" t="str">
        <f t="shared" si="1513"/>
        <v>Pas d'écart</v>
      </c>
    </row>
    <row r="9837" spans="1:17" x14ac:dyDescent="0.3">
      <c r="A9837" s="34">
        <f>base!J9837</f>
        <v>0</v>
      </c>
      <c r="B9837" s="34">
        <f>base!V9837</f>
        <v>0</v>
      </c>
      <c r="C9837" s="40" t="s">
        <v>11</v>
      </c>
      <c r="D9837" s="36">
        <f>base!H9837</f>
        <v>0</v>
      </c>
      <c r="E9837" s="44"/>
      <c r="F9837" s="16">
        <f>base!W9837</f>
        <v>0</v>
      </c>
      <c r="G9837" s="11" t="e">
        <f t="shared" si="1505"/>
        <v>#DIV/0!</v>
      </c>
      <c r="H9837" s="11" t="e">
        <f t="shared" si="1506"/>
        <v>#N/A</v>
      </c>
      <c r="I9837" s="11" t="e">
        <f t="shared" si="1507"/>
        <v>#N/A</v>
      </c>
      <c r="J9837" s="12" t="e">
        <f t="shared" si="1508"/>
        <v>#N/A</v>
      </c>
      <c r="K9837" s="17" t="e">
        <f t="shared" si="1512"/>
        <v>#N/A</v>
      </c>
      <c r="L9837" s="16">
        <f>base!X9837</f>
        <v>0</v>
      </c>
      <c r="M9837" s="11" t="e">
        <f t="shared" si="1509"/>
        <v>#DIV/0!</v>
      </c>
      <c r="N9837" s="11"/>
      <c r="O9837" s="11" t="e">
        <f t="shared" si="1510"/>
        <v>#DIV/0!</v>
      </c>
      <c r="P9837" s="12">
        <f t="shared" si="1511"/>
        <v>0</v>
      </c>
      <c r="Q9837" s="17" t="str">
        <f t="shared" si="1513"/>
        <v>Pas d'écart</v>
      </c>
    </row>
    <row r="9838" spans="1:17" x14ac:dyDescent="0.3">
      <c r="A9838" s="34">
        <f>base!J9838</f>
        <v>0</v>
      </c>
      <c r="B9838" s="34">
        <f>base!V9838</f>
        <v>0</v>
      </c>
      <c r="C9838" s="40" t="s">
        <v>11</v>
      </c>
      <c r="D9838" s="36">
        <f>base!H9838</f>
        <v>0</v>
      </c>
      <c r="E9838" s="44"/>
      <c r="F9838" s="16">
        <f>base!W9838</f>
        <v>0</v>
      </c>
      <c r="G9838" s="11" t="e">
        <f t="shared" si="1505"/>
        <v>#DIV/0!</v>
      </c>
      <c r="H9838" s="11" t="e">
        <f t="shared" si="1506"/>
        <v>#N/A</v>
      </c>
      <c r="I9838" s="11" t="e">
        <f t="shared" si="1507"/>
        <v>#N/A</v>
      </c>
      <c r="J9838" s="12" t="e">
        <f t="shared" si="1508"/>
        <v>#N/A</v>
      </c>
      <c r="K9838" s="17" t="e">
        <f t="shared" si="1512"/>
        <v>#N/A</v>
      </c>
      <c r="L9838" s="16">
        <f>base!X9838</f>
        <v>0</v>
      </c>
      <c r="M9838" s="11" t="e">
        <f t="shared" si="1509"/>
        <v>#DIV/0!</v>
      </c>
      <c r="N9838" s="11"/>
      <c r="O9838" s="11" t="e">
        <f t="shared" si="1510"/>
        <v>#DIV/0!</v>
      </c>
      <c r="P9838" s="12">
        <f t="shared" si="1511"/>
        <v>0</v>
      </c>
      <c r="Q9838" s="17" t="str">
        <f t="shared" si="1513"/>
        <v>Pas d'écart</v>
      </c>
    </row>
    <row r="9839" spans="1:17" x14ac:dyDescent="0.3">
      <c r="A9839" s="34">
        <f>base!J9839</f>
        <v>0</v>
      </c>
      <c r="B9839" s="34">
        <f>base!V9839</f>
        <v>0</v>
      </c>
      <c r="C9839" s="40" t="s">
        <v>11</v>
      </c>
      <c r="D9839" s="36">
        <f>base!H9839</f>
        <v>0</v>
      </c>
      <c r="E9839" s="44"/>
      <c r="F9839" s="16">
        <f>base!W9839</f>
        <v>0</v>
      </c>
      <c r="G9839" s="11" t="e">
        <f t="shared" si="1505"/>
        <v>#DIV/0!</v>
      </c>
      <c r="H9839" s="11" t="e">
        <f t="shared" si="1506"/>
        <v>#N/A</v>
      </c>
      <c r="I9839" s="11" t="e">
        <f t="shared" si="1507"/>
        <v>#N/A</v>
      </c>
      <c r="J9839" s="12" t="e">
        <f t="shared" si="1508"/>
        <v>#N/A</v>
      </c>
      <c r="K9839" s="17" t="e">
        <f t="shared" si="1512"/>
        <v>#N/A</v>
      </c>
      <c r="L9839" s="16">
        <f>base!X9839</f>
        <v>0</v>
      </c>
      <c r="M9839" s="11" t="e">
        <f t="shared" si="1509"/>
        <v>#DIV/0!</v>
      </c>
      <c r="N9839" s="11"/>
      <c r="O9839" s="11" t="e">
        <f t="shared" si="1510"/>
        <v>#DIV/0!</v>
      </c>
      <c r="P9839" s="12">
        <f t="shared" si="1511"/>
        <v>0</v>
      </c>
      <c r="Q9839" s="17" t="str">
        <f t="shared" si="1513"/>
        <v>Pas d'écart</v>
      </c>
    </row>
    <row r="9840" spans="1:17" x14ac:dyDescent="0.3">
      <c r="A9840" s="34">
        <f>base!J9840</f>
        <v>0</v>
      </c>
      <c r="B9840" s="34">
        <f>base!V9840</f>
        <v>0</v>
      </c>
      <c r="C9840" s="40" t="s">
        <v>11</v>
      </c>
      <c r="D9840" s="36">
        <f>base!H9840</f>
        <v>0</v>
      </c>
      <c r="E9840" s="44"/>
      <c r="F9840" s="16">
        <f>base!W9840</f>
        <v>0</v>
      </c>
      <c r="G9840" s="11" t="e">
        <f t="shared" si="1505"/>
        <v>#DIV/0!</v>
      </c>
      <c r="H9840" s="11" t="e">
        <f t="shared" si="1506"/>
        <v>#N/A</v>
      </c>
      <c r="I9840" s="11" t="e">
        <f t="shared" si="1507"/>
        <v>#N/A</v>
      </c>
      <c r="J9840" s="12" t="e">
        <f t="shared" si="1508"/>
        <v>#N/A</v>
      </c>
      <c r="K9840" s="17" t="e">
        <f t="shared" si="1512"/>
        <v>#N/A</v>
      </c>
      <c r="L9840" s="16">
        <f>base!X9840</f>
        <v>0</v>
      </c>
      <c r="M9840" s="11" t="e">
        <f t="shared" si="1509"/>
        <v>#DIV/0!</v>
      </c>
      <c r="N9840" s="11"/>
      <c r="O9840" s="11" t="e">
        <f t="shared" si="1510"/>
        <v>#DIV/0!</v>
      </c>
      <c r="P9840" s="12">
        <f t="shared" si="1511"/>
        <v>0</v>
      </c>
      <c r="Q9840" s="17" t="str">
        <f t="shared" si="1513"/>
        <v>Pas d'écart</v>
      </c>
    </row>
    <row r="9841" spans="1:17" x14ac:dyDescent="0.3">
      <c r="A9841" s="34">
        <f>base!J9841</f>
        <v>0</v>
      </c>
      <c r="B9841" s="34">
        <f>base!V9841</f>
        <v>0</v>
      </c>
      <c r="C9841" s="40" t="s">
        <v>11</v>
      </c>
      <c r="D9841" s="36">
        <f>base!H9841</f>
        <v>0</v>
      </c>
      <c r="E9841" s="44"/>
      <c r="F9841" s="16">
        <f>base!W9841</f>
        <v>0</v>
      </c>
      <c r="G9841" s="11" t="e">
        <f t="shared" si="1505"/>
        <v>#DIV/0!</v>
      </c>
      <c r="H9841" s="11" t="e">
        <f t="shared" si="1506"/>
        <v>#N/A</v>
      </c>
      <c r="I9841" s="11" t="e">
        <f t="shared" si="1507"/>
        <v>#N/A</v>
      </c>
      <c r="J9841" s="12" t="e">
        <f t="shared" si="1508"/>
        <v>#N/A</v>
      </c>
      <c r="K9841" s="17" t="e">
        <f t="shared" si="1512"/>
        <v>#N/A</v>
      </c>
      <c r="L9841" s="16">
        <f>base!X9841</f>
        <v>0</v>
      </c>
      <c r="M9841" s="11" t="e">
        <f t="shared" si="1509"/>
        <v>#DIV/0!</v>
      </c>
      <c r="N9841" s="11"/>
      <c r="O9841" s="11" t="e">
        <f t="shared" si="1510"/>
        <v>#DIV/0!</v>
      </c>
      <c r="P9841" s="12">
        <f t="shared" si="1511"/>
        <v>0</v>
      </c>
      <c r="Q9841" s="17" t="str">
        <f t="shared" si="1513"/>
        <v>Pas d'écart</v>
      </c>
    </row>
    <row r="9842" spans="1:17" x14ac:dyDescent="0.3">
      <c r="A9842" s="34">
        <f>base!J9842</f>
        <v>0</v>
      </c>
      <c r="B9842" s="34">
        <f>base!V9842</f>
        <v>0</v>
      </c>
      <c r="C9842" s="40" t="s">
        <v>11</v>
      </c>
      <c r="D9842" s="36">
        <f>base!H9842</f>
        <v>0</v>
      </c>
      <c r="E9842" s="44"/>
      <c r="F9842" s="16">
        <f>base!W9842</f>
        <v>0</v>
      </c>
      <c r="G9842" s="11" t="e">
        <f t="shared" si="1505"/>
        <v>#DIV/0!</v>
      </c>
      <c r="H9842" s="11" t="e">
        <f t="shared" si="1506"/>
        <v>#N/A</v>
      </c>
      <c r="I9842" s="11" t="e">
        <f t="shared" si="1507"/>
        <v>#N/A</v>
      </c>
      <c r="J9842" s="12" t="e">
        <f t="shared" si="1508"/>
        <v>#N/A</v>
      </c>
      <c r="K9842" s="17" t="e">
        <f t="shared" si="1512"/>
        <v>#N/A</v>
      </c>
      <c r="L9842" s="16">
        <f>base!X9842</f>
        <v>0</v>
      </c>
      <c r="M9842" s="11" t="e">
        <f t="shared" si="1509"/>
        <v>#DIV/0!</v>
      </c>
      <c r="N9842" s="11"/>
      <c r="O9842" s="11" t="e">
        <f t="shared" si="1510"/>
        <v>#DIV/0!</v>
      </c>
      <c r="P9842" s="12">
        <f t="shared" si="1511"/>
        <v>0</v>
      </c>
      <c r="Q9842" s="17" t="str">
        <f t="shared" si="1513"/>
        <v>Pas d'écart</v>
      </c>
    </row>
    <row r="9843" spans="1:17" x14ac:dyDescent="0.3">
      <c r="A9843" s="34">
        <f>base!J9843</f>
        <v>0</v>
      </c>
      <c r="B9843" s="34">
        <f>base!V9843</f>
        <v>0</v>
      </c>
      <c r="C9843" s="40" t="s">
        <v>11</v>
      </c>
      <c r="D9843" s="36">
        <f>base!H9843</f>
        <v>0</v>
      </c>
      <c r="E9843" s="44"/>
      <c r="F9843" s="16">
        <f>base!W9843</f>
        <v>0</v>
      </c>
      <c r="G9843" s="11" t="e">
        <f t="shared" si="1505"/>
        <v>#DIV/0!</v>
      </c>
      <c r="H9843" s="11" t="e">
        <f t="shared" si="1506"/>
        <v>#N/A</v>
      </c>
      <c r="I9843" s="11" t="e">
        <f t="shared" si="1507"/>
        <v>#N/A</v>
      </c>
      <c r="J9843" s="12" t="e">
        <f t="shared" si="1508"/>
        <v>#N/A</v>
      </c>
      <c r="K9843" s="17" t="e">
        <f t="shared" si="1512"/>
        <v>#N/A</v>
      </c>
      <c r="L9843" s="16">
        <f>base!X9843</f>
        <v>0</v>
      </c>
      <c r="M9843" s="11" t="e">
        <f t="shared" si="1509"/>
        <v>#DIV/0!</v>
      </c>
      <c r="N9843" s="11"/>
      <c r="O9843" s="11" t="e">
        <f t="shared" si="1510"/>
        <v>#DIV/0!</v>
      </c>
      <c r="P9843" s="12">
        <f t="shared" si="1511"/>
        <v>0</v>
      </c>
      <c r="Q9843" s="17" t="str">
        <f t="shared" si="1513"/>
        <v>Pas d'écart</v>
      </c>
    </row>
    <row r="9844" spans="1:17" x14ac:dyDescent="0.3">
      <c r="A9844" s="34">
        <f>base!J9844</f>
        <v>0</v>
      </c>
      <c r="B9844" s="34">
        <f>base!V9844</f>
        <v>0</v>
      </c>
      <c r="C9844" s="40" t="s">
        <v>11</v>
      </c>
      <c r="D9844" s="36">
        <f>base!H9844</f>
        <v>0</v>
      </c>
      <c r="E9844" s="44"/>
      <c r="F9844" s="16">
        <f>base!W9844</f>
        <v>0</v>
      </c>
      <c r="G9844" s="11" t="e">
        <f t="shared" si="1505"/>
        <v>#DIV/0!</v>
      </c>
      <c r="H9844" s="11" t="e">
        <f t="shared" si="1506"/>
        <v>#N/A</v>
      </c>
      <c r="I9844" s="11" t="e">
        <f t="shared" si="1507"/>
        <v>#N/A</v>
      </c>
      <c r="J9844" s="12" t="e">
        <f t="shared" si="1508"/>
        <v>#N/A</v>
      </c>
      <c r="K9844" s="17" t="e">
        <f t="shared" si="1512"/>
        <v>#N/A</v>
      </c>
      <c r="L9844" s="16">
        <f>base!X9844</f>
        <v>0</v>
      </c>
      <c r="M9844" s="11" t="e">
        <f t="shared" si="1509"/>
        <v>#DIV/0!</v>
      </c>
      <c r="N9844" s="11"/>
      <c r="O9844" s="11" t="e">
        <f t="shared" si="1510"/>
        <v>#DIV/0!</v>
      </c>
      <c r="P9844" s="12">
        <f t="shared" si="1511"/>
        <v>0</v>
      </c>
      <c r="Q9844" s="17" t="str">
        <f t="shared" si="1513"/>
        <v>Pas d'écart</v>
      </c>
    </row>
    <row r="9845" spans="1:17" x14ac:dyDescent="0.3">
      <c r="A9845" s="34">
        <f>base!J9845</f>
        <v>0</v>
      </c>
      <c r="B9845" s="34">
        <f>base!V9845</f>
        <v>0</v>
      </c>
      <c r="C9845" s="40" t="s">
        <v>11</v>
      </c>
      <c r="D9845" s="36">
        <f>base!H9845</f>
        <v>0</v>
      </c>
      <c r="E9845" s="44"/>
      <c r="F9845" s="16">
        <f>base!W9845</f>
        <v>0</v>
      </c>
      <c r="G9845" s="11" t="e">
        <f t="shared" si="1505"/>
        <v>#DIV/0!</v>
      </c>
      <c r="H9845" s="11" t="e">
        <f t="shared" si="1506"/>
        <v>#N/A</v>
      </c>
      <c r="I9845" s="11" t="e">
        <f t="shared" si="1507"/>
        <v>#N/A</v>
      </c>
      <c r="J9845" s="12" t="e">
        <f t="shared" si="1508"/>
        <v>#N/A</v>
      </c>
      <c r="K9845" s="17" t="e">
        <f t="shared" si="1512"/>
        <v>#N/A</v>
      </c>
      <c r="L9845" s="16">
        <f>base!X9845</f>
        <v>0</v>
      </c>
      <c r="M9845" s="11" t="e">
        <f t="shared" si="1509"/>
        <v>#DIV/0!</v>
      </c>
      <c r="N9845" s="11"/>
      <c r="O9845" s="11" t="e">
        <f t="shared" si="1510"/>
        <v>#DIV/0!</v>
      </c>
      <c r="P9845" s="12">
        <f t="shared" si="1511"/>
        <v>0</v>
      </c>
      <c r="Q9845" s="17" t="str">
        <f t="shared" si="1513"/>
        <v>Pas d'écart</v>
      </c>
    </row>
    <row r="9846" spans="1:17" x14ac:dyDescent="0.3">
      <c r="A9846" s="34">
        <f>base!J9846</f>
        <v>0</v>
      </c>
      <c r="B9846" s="34">
        <f>base!V9846</f>
        <v>0</v>
      </c>
      <c r="C9846" s="40" t="s">
        <v>11</v>
      </c>
      <c r="D9846" s="36">
        <f>base!H9846</f>
        <v>0</v>
      </c>
      <c r="E9846" s="44"/>
      <c r="F9846" s="16">
        <f>base!W9846</f>
        <v>0</v>
      </c>
      <c r="G9846" s="11" t="e">
        <f t="shared" si="1505"/>
        <v>#DIV/0!</v>
      </c>
      <c r="H9846" s="11" t="e">
        <f t="shared" si="1506"/>
        <v>#N/A</v>
      </c>
      <c r="I9846" s="11" t="e">
        <f t="shared" si="1507"/>
        <v>#N/A</v>
      </c>
      <c r="J9846" s="12" t="e">
        <f t="shared" si="1508"/>
        <v>#N/A</v>
      </c>
      <c r="K9846" s="17" t="e">
        <f t="shared" si="1512"/>
        <v>#N/A</v>
      </c>
      <c r="L9846" s="16">
        <f>base!X9846</f>
        <v>0</v>
      </c>
      <c r="M9846" s="11" t="e">
        <f t="shared" si="1509"/>
        <v>#DIV/0!</v>
      </c>
      <c r="N9846" s="11"/>
      <c r="O9846" s="11" t="e">
        <f t="shared" si="1510"/>
        <v>#DIV/0!</v>
      </c>
      <c r="P9846" s="12">
        <f t="shared" si="1511"/>
        <v>0</v>
      </c>
      <c r="Q9846" s="17" t="str">
        <f t="shared" si="1513"/>
        <v>Pas d'écart</v>
      </c>
    </row>
    <row r="9847" spans="1:17" x14ac:dyDescent="0.3">
      <c r="A9847" s="34">
        <f>base!J9847</f>
        <v>0</v>
      </c>
      <c r="B9847" s="34">
        <f>base!V9847</f>
        <v>0</v>
      </c>
      <c r="C9847" s="40" t="s">
        <v>11</v>
      </c>
      <c r="D9847" s="36">
        <f>base!H9847</f>
        <v>0</v>
      </c>
      <c r="E9847" s="44"/>
      <c r="F9847" s="16">
        <f>base!W9847</f>
        <v>0</v>
      </c>
      <c r="G9847" s="11" t="e">
        <f t="shared" si="1505"/>
        <v>#DIV/0!</v>
      </c>
      <c r="H9847" s="11" t="e">
        <f t="shared" si="1506"/>
        <v>#N/A</v>
      </c>
      <c r="I9847" s="11" t="e">
        <f t="shared" si="1507"/>
        <v>#N/A</v>
      </c>
      <c r="J9847" s="12" t="e">
        <f t="shared" si="1508"/>
        <v>#N/A</v>
      </c>
      <c r="K9847" s="17" t="e">
        <f t="shared" si="1512"/>
        <v>#N/A</v>
      </c>
      <c r="L9847" s="16">
        <f>base!X9847</f>
        <v>0</v>
      </c>
      <c r="M9847" s="11" t="e">
        <f t="shared" si="1509"/>
        <v>#DIV/0!</v>
      </c>
      <c r="N9847" s="11"/>
      <c r="O9847" s="11" t="e">
        <f t="shared" si="1510"/>
        <v>#DIV/0!</v>
      </c>
      <c r="P9847" s="12">
        <f t="shared" si="1511"/>
        <v>0</v>
      </c>
      <c r="Q9847" s="17" t="str">
        <f t="shared" si="1513"/>
        <v>Pas d'écart</v>
      </c>
    </row>
    <row r="9848" spans="1:17" x14ac:dyDescent="0.3">
      <c r="A9848" s="34">
        <f>base!J9848</f>
        <v>0</v>
      </c>
      <c r="B9848" s="34">
        <f>base!V9848</f>
        <v>0</v>
      </c>
      <c r="C9848" s="40" t="s">
        <v>11</v>
      </c>
      <c r="D9848" s="36">
        <f>base!H9848</f>
        <v>0</v>
      </c>
      <c r="E9848" s="44"/>
      <c r="F9848" s="16">
        <f>base!W9848</f>
        <v>0</v>
      </c>
      <c r="G9848" s="11" t="e">
        <f t="shared" si="1505"/>
        <v>#DIV/0!</v>
      </c>
      <c r="H9848" s="11" t="e">
        <f t="shared" si="1506"/>
        <v>#N/A</v>
      </c>
      <c r="I9848" s="11" t="e">
        <f t="shared" si="1507"/>
        <v>#N/A</v>
      </c>
      <c r="J9848" s="12" t="e">
        <f t="shared" si="1508"/>
        <v>#N/A</v>
      </c>
      <c r="K9848" s="17" t="e">
        <f t="shared" si="1512"/>
        <v>#N/A</v>
      </c>
      <c r="L9848" s="16">
        <f>base!X9848</f>
        <v>0</v>
      </c>
      <c r="M9848" s="11" t="e">
        <f t="shared" si="1509"/>
        <v>#DIV/0!</v>
      </c>
      <c r="N9848" s="11"/>
      <c r="O9848" s="11" t="e">
        <f t="shared" si="1510"/>
        <v>#DIV/0!</v>
      </c>
      <c r="P9848" s="12">
        <f t="shared" si="1511"/>
        <v>0</v>
      </c>
      <c r="Q9848" s="17" t="str">
        <f t="shared" si="1513"/>
        <v>Pas d'écart</v>
      </c>
    </row>
    <row r="9849" spans="1:17" x14ac:dyDescent="0.3">
      <c r="A9849" s="34">
        <f>base!J9849</f>
        <v>0</v>
      </c>
      <c r="B9849" s="34">
        <f>base!V9849</f>
        <v>0</v>
      </c>
      <c r="C9849" s="40" t="s">
        <v>11</v>
      </c>
      <c r="D9849" s="36">
        <f>base!H9849</f>
        <v>0</v>
      </c>
      <c r="E9849" s="44"/>
      <c r="F9849" s="16">
        <f>base!W9849</f>
        <v>0</v>
      </c>
      <c r="G9849" s="11" t="e">
        <f t="shared" si="1505"/>
        <v>#DIV/0!</v>
      </c>
      <c r="H9849" s="11" t="e">
        <f t="shared" si="1506"/>
        <v>#N/A</v>
      </c>
      <c r="I9849" s="11" t="e">
        <f t="shared" si="1507"/>
        <v>#N/A</v>
      </c>
      <c r="J9849" s="12" t="e">
        <f t="shared" si="1508"/>
        <v>#N/A</v>
      </c>
      <c r="K9849" s="17" t="e">
        <f t="shared" si="1512"/>
        <v>#N/A</v>
      </c>
      <c r="L9849" s="16">
        <f>base!X9849</f>
        <v>0</v>
      </c>
      <c r="M9849" s="11" t="e">
        <f t="shared" si="1509"/>
        <v>#DIV/0!</v>
      </c>
      <c r="N9849" s="11"/>
      <c r="O9849" s="11" t="e">
        <f t="shared" si="1510"/>
        <v>#DIV/0!</v>
      </c>
      <c r="P9849" s="12">
        <f t="shared" si="1511"/>
        <v>0</v>
      </c>
      <c r="Q9849" s="17" t="str">
        <f t="shared" si="1513"/>
        <v>Pas d'écart</v>
      </c>
    </row>
    <row r="9850" spans="1:17" x14ac:dyDescent="0.3">
      <c r="A9850" s="34">
        <f>base!J9850</f>
        <v>0</v>
      </c>
      <c r="B9850" s="34">
        <f>base!V9850</f>
        <v>0</v>
      </c>
      <c r="C9850" s="40" t="s">
        <v>11</v>
      </c>
      <c r="D9850" s="36">
        <f>base!H9850</f>
        <v>0</v>
      </c>
      <c r="E9850" s="44"/>
      <c r="F9850" s="16">
        <f>base!W9850</f>
        <v>0</v>
      </c>
      <c r="G9850" s="11" t="e">
        <f t="shared" si="1505"/>
        <v>#DIV/0!</v>
      </c>
      <c r="H9850" s="11" t="e">
        <f t="shared" si="1506"/>
        <v>#N/A</v>
      </c>
      <c r="I9850" s="11" t="e">
        <f t="shared" si="1507"/>
        <v>#N/A</v>
      </c>
      <c r="J9850" s="12" t="e">
        <f t="shared" si="1508"/>
        <v>#N/A</v>
      </c>
      <c r="K9850" s="17" t="e">
        <f t="shared" si="1512"/>
        <v>#N/A</v>
      </c>
      <c r="L9850" s="16">
        <f>base!X9850</f>
        <v>0</v>
      </c>
      <c r="M9850" s="11" t="e">
        <f t="shared" si="1509"/>
        <v>#DIV/0!</v>
      </c>
      <c r="N9850" s="11"/>
      <c r="O9850" s="11" t="e">
        <f t="shared" si="1510"/>
        <v>#DIV/0!</v>
      </c>
      <c r="P9850" s="12">
        <f t="shared" si="1511"/>
        <v>0</v>
      </c>
      <c r="Q9850" s="17" t="str">
        <f t="shared" si="1513"/>
        <v>Pas d'écart</v>
      </c>
    </row>
    <row r="9851" spans="1:17" x14ac:dyDescent="0.3">
      <c r="A9851" s="34">
        <f>base!J9851</f>
        <v>0</v>
      </c>
      <c r="B9851" s="34">
        <f>base!V9851</f>
        <v>0</v>
      </c>
      <c r="C9851" s="40" t="s">
        <v>11</v>
      </c>
      <c r="D9851" s="36">
        <f>base!H9851</f>
        <v>0</v>
      </c>
      <c r="E9851" s="44"/>
      <c r="F9851" s="16">
        <f>base!W9851</f>
        <v>0</v>
      </c>
      <c r="G9851" s="11" t="e">
        <f t="shared" si="1505"/>
        <v>#DIV/0!</v>
      </c>
      <c r="H9851" s="11" t="e">
        <f t="shared" si="1506"/>
        <v>#N/A</v>
      </c>
      <c r="I9851" s="11" t="e">
        <f t="shared" si="1507"/>
        <v>#N/A</v>
      </c>
      <c r="J9851" s="12" t="e">
        <f t="shared" si="1508"/>
        <v>#N/A</v>
      </c>
      <c r="K9851" s="17" t="e">
        <f t="shared" si="1512"/>
        <v>#N/A</v>
      </c>
      <c r="L9851" s="16">
        <f>base!X9851</f>
        <v>0</v>
      </c>
      <c r="M9851" s="11" t="e">
        <f t="shared" si="1509"/>
        <v>#DIV/0!</v>
      </c>
      <c r="N9851" s="11"/>
      <c r="O9851" s="11" t="e">
        <f t="shared" si="1510"/>
        <v>#DIV/0!</v>
      </c>
      <c r="P9851" s="12">
        <f t="shared" si="1511"/>
        <v>0</v>
      </c>
      <c r="Q9851" s="17" t="str">
        <f t="shared" si="1513"/>
        <v>Pas d'écart</v>
      </c>
    </row>
    <row r="9852" spans="1:17" x14ac:dyDescent="0.3">
      <c r="A9852" s="34">
        <f>base!J9852</f>
        <v>0</v>
      </c>
      <c r="B9852" s="34">
        <f>base!V9852</f>
        <v>0</v>
      </c>
      <c r="C9852" s="40" t="s">
        <v>11</v>
      </c>
      <c r="D9852" s="36">
        <f>base!H9852</f>
        <v>0</v>
      </c>
      <c r="E9852" s="44"/>
      <c r="F9852" s="16">
        <f>base!W9852</f>
        <v>0</v>
      </c>
      <c r="G9852" s="11" t="e">
        <f t="shared" si="1505"/>
        <v>#DIV/0!</v>
      </c>
      <c r="H9852" s="11" t="e">
        <f t="shared" si="1506"/>
        <v>#N/A</v>
      </c>
      <c r="I9852" s="11" t="e">
        <f t="shared" si="1507"/>
        <v>#N/A</v>
      </c>
      <c r="J9852" s="12" t="e">
        <f t="shared" si="1508"/>
        <v>#N/A</v>
      </c>
      <c r="K9852" s="17" t="e">
        <f t="shared" si="1512"/>
        <v>#N/A</v>
      </c>
      <c r="L9852" s="16">
        <f>base!X9852</f>
        <v>0</v>
      </c>
      <c r="M9852" s="11" t="e">
        <f t="shared" si="1509"/>
        <v>#DIV/0!</v>
      </c>
      <c r="N9852" s="11"/>
      <c r="O9852" s="11" t="e">
        <f t="shared" si="1510"/>
        <v>#DIV/0!</v>
      </c>
      <c r="P9852" s="12">
        <f t="shared" si="1511"/>
        <v>0</v>
      </c>
      <c r="Q9852" s="17" t="str">
        <f t="shared" si="1513"/>
        <v>Pas d'écart</v>
      </c>
    </row>
    <row r="9853" spans="1:17" x14ac:dyDescent="0.3">
      <c r="A9853" s="34">
        <f>base!J9853</f>
        <v>0</v>
      </c>
      <c r="B9853" s="34">
        <f>base!V9853</f>
        <v>0</v>
      </c>
      <c r="C9853" s="40" t="s">
        <v>11</v>
      </c>
      <c r="D9853" s="36">
        <f>base!H9853</f>
        <v>0</v>
      </c>
      <c r="E9853" s="44"/>
      <c r="F9853" s="16">
        <f>base!W9853</f>
        <v>0</v>
      </c>
      <c r="G9853" s="11" t="e">
        <f t="shared" si="1505"/>
        <v>#DIV/0!</v>
      </c>
      <c r="H9853" s="11" t="e">
        <f t="shared" si="1506"/>
        <v>#N/A</v>
      </c>
      <c r="I9853" s="11" t="e">
        <f t="shared" si="1507"/>
        <v>#N/A</v>
      </c>
      <c r="J9853" s="12" t="e">
        <f t="shared" si="1508"/>
        <v>#N/A</v>
      </c>
      <c r="K9853" s="17" t="e">
        <f t="shared" si="1512"/>
        <v>#N/A</v>
      </c>
      <c r="L9853" s="16">
        <f>base!X9853</f>
        <v>0</v>
      </c>
      <c r="M9853" s="11" t="e">
        <f t="shared" si="1509"/>
        <v>#DIV/0!</v>
      </c>
      <c r="N9853" s="11"/>
      <c r="O9853" s="11" t="e">
        <f t="shared" si="1510"/>
        <v>#DIV/0!</v>
      </c>
      <c r="P9853" s="12">
        <f t="shared" si="1511"/>
        <v>0</v>
      </c>
      <c r="Q9853" s="17" t="str">
        <f t="shared" si="1513"/>
        <v>Pas d'écart</v>
      </c>
    </row>
    <row r="9854" spans="1:17" x14ac:dyDescent="0.3">
      <c r="A9854" s="34">
        <f>base!J9854</f>
        <v>0</v>
      </c>
      <c r="B9854" s="34">
        <f>base!V9854</f>
        <v>0</v>
      </c>
      <c r="C9854" s="40" t="s">
        <v>11</v>
      </c>
      <c r="D9854" s="36">
        <f>base!H9854</f>
        <v>0</v>
      </c>
      <c r="E9854" s="44"/>
      <c r="F9854" s="16">
        <f>base!W9854</f>
        <v>0</v>
      </c>
      <c r="G9854" s="11" t="e">
        <f t="shared" si="1505"/>
        <v>#DIV/0!</v>
      </c>
      <c r="H9854" s="11" t="e">
        <f t="shared" si="1506"/>
        <v>#N/A</v>
      </c>
      <c r="I9854" s="11" t="e">
        <f t="shared" si="1507"/>
        <v>#N/A</v>
      </c>
      <c r="J9854" s="12" t="e">
        <f t="shared" si="1508"/>
        <v>#N/A</v>
      </c>
      <c r="K9854" s="17" t="e">
        <f t="shared" si="1512"/>
        <v>#N/A</v>
      </c>
      <c r="L9854" s="16">
        <f>base!X9854</f>
        <v>0</v>
      </c>
      <c r="M9854" s="11" t="e">
        <f t="shared" si="1509"/>
        <v>#DIV/0!</v>
      </c>
      <c r="N9854" s="11"/>
      <c r="O9854" s="11" t="e">
        <f t="shared" si="1510"/>
        <v>#DIV/0!</v>
      </c>
      <c r="P9854" s="12">
        <f t="shared" si="1511"/>
        <v>0</v>
      </c>
      <c r="Q9854" s="17" t="str">
        <f t="shared" si="1513"/>
        <v>Pas d'écart</v>
      </c>
    </row>
    <row r="9855" spans="1:17" x14ac:dyDescent="0.3">
      <c r="A9855" s="34">
        <f>base!J9855</f>
        <v>0</v>
      </c>
      <c r="B9855" s="34">
        <f>base!V9855</f>
        <v>0</v>
      </c>
      <c r="C9855" s="40" t="s">
        <v>11</v>
      </c>
      <c r="D9855" s="36">
        <f>base!H9855</f>
        <v>0</v>
      </c>
      <c r="E9855" s="44"/>
      <c r="F9855" s="16">
        <f>base!W9855</f>
        <v>0</v>
      </c>
      <c r="G9855" s="11" t="e">
        <f t="shared" si="1505"/>
        <v>#DIV/0!</v>
      </c>
      <c r="H9855" s="11" t="e">
        <f t="shared" si="1506"/>
        <v>#N/A</v>
      </c>
      <c r="I9855" s="11" t="e">
        <f t="shared" si="1507"/>
        <v>#N/A</v>
      </c>
      <c r="J9855" s="12" t="e">
        <f t="shared" si="1508"/>
        <v>#N/A</v>
      </c>
      <c r="K9855" s="17" t="e">
        <f t="shared" si="1512"/>
        <v>#N/A</v>
      </c>
      <c r="L9855" s="16">
        <f>base!X9855</f>
        <v>0</v>
      </c>
      <c r="M9855" s="11" t="e">
        <f t="shared" si="1509"/>
        <v>#DIV/0!</v>
      </c>
      <c r="N9855" s="11"/>
      <c r="O9855" s="11" t="e">
        <f t="shared" si="1510"/>
        <v>#DIV/0!</v>
      </c>
      <c r="P9855" s="12">
        <f t="shared" si="1511"/>
        <v>0</v>
      </c>
      <c r="Q9855" s="17" t="str">
        <f t="shared" si="1513"/>
        <v>Pas d'écart</v>
      </c>
    </row>
    <row r="9856" spans="1:17" x14ac:dyDescent="0.3">
      <c r="A9856" s="34">
        <f>base!J9856</f>
        <v>0</v>
      </c>
      <c r="B9856" s="34">
        <f>base!V9856</f>
        <v>0</v>
      </c>
      <c r="C9856" s="40" t="s">
        <v>11</v>
      </c>
      <c r="D9856" s="36">
        <f>base!H9856</f>
        <v>0</v>
      </c>
      <c r="E9856" s="44"/>
      <c r="F9856" s="16">
        <f>base!W9856</f>
        <v>0</v>
      </c>
      <c r="G9856" s="11" t="e">
        <f t="shared" si="1505"/>
        <v>#DIV/0!</v>
      </c>
      <c r="H9856" s="11" t="e">
        <f t="shared" si="1506"/>
        <v>#N/A</v>
      </c>
      <c r="I9856" s="11" t="e">
        <f t="shared" si="1507"/>
        <v>#N/A</v>
      </c>
      <c r="J9856" s="12" t="e">
        <f t="shared" si="1508"/>
        <v>#N/A</v>
      </c>
      <c r="K9856" s="17" t="e">
        <f t="shared" si="1512"/>
        <v>#N/A</v>
      </c>
      <c r="L9856" s="16">
        <f>base!X9856</f>
        <v>0</v>
      </c>
      <c r="M9856" s="11" t="e">
        <f t="shared" si="1509"/>
        <v>#DIV/0!</v>
      </c>
      <c r="N9856" s="11"/>
      <c r="O9856" s="11" t="e">
        <f t="shared" si="1510"/>
        <v>#DIV/0!</v>
      </c>
      <c r="P9856" s="12">
        <f t="shared" si="1511"/>
        <v>0</v>
      </c>
      <c r="Q9856" s="17" t="str">
        <f t="shared" si="1513"/>
        <v>Pas d'écart</v>
      </c>
    </row>
    <row r="9857" spans="1:17" x14ac:dyDescent="0.3">
      <c r="A9857" s="34">
        <f>base!J9857</f>
        <v>0</v>
      </c>
      <c r="B9857" s="34">
        <f>base!V9857</f>
        <v>0</v>
      </c>
      <c r="C9857" s="40" t="s">
        <v>11</v>
      </c>
      <c r="D9857" s="36">
        <f>base!H9857</f>
        <v>0</v>
      </c>
      <c r="E9857" s="44"/>
      <c r="F9857" s="16">
        <f>base!W9857</f>
        <v>0</v>
      </c>
      <c r="G9857" s="11" t="e">
        <f t="shared" si="1505"/>
        <v>#DIV/0!</v>
      </c>
      <c r="H9857" s="11" t="e">
        <f t="shared" si="1506"/>
        <v>#N/A</v>
      </c>
      <c r="I9857" s="11" t="e">
        <f t="shared" si="1507"/>
        <v>#N/A</v>
      </c>
      <c r="J9857" s="12" t="e">
        <f t="shared" si="1508"/>
        <v>#N/A</v>
      </c>
      <c r="K9857" s="17" t="e">
        <f t="shared" si="1512"/>
        <v>#N/A</v>
      </c>
      <c r="L9857" s="16">
        <f>base!X9857</f>
        <v>0</v>
      </c>
      <c r="M9857" s="11" t="e">
        <f t="shared" si="1509"/>
        <v>#DIV/0!</v>
      </c>
      <c r="N9857" s="11"/>
      <c r="O9857" s="11" t="e">
        <f t="shared" si="1510"/>
        <v>#DIV/0!</v>
      </c>
      <c r="P9857" s="12">
        <f t="shared" si="1511"/>
        <v>0</v>
      </c>
      <c r="Q9857" s="17" t="str">
        <f t="shared" si="1513"/>
        <v>Pas d'écart</v>
      </c>
    </row>
    <row r="9858" spans="1:17" x14ac:dyDescent="0.3">
      <c r="A9858" s="34">
        <f>base!J9858</f>
        <v>0</v>
      </c>
      <c r="B9858" s="34">
        <f>base!V9858</f>
        <v>0</v>
      </c>
      <c r="C9858" s="40" t="s">
        <v>11</v>
      </c>
      <c r="D9858" s="36">
        <f>base!H9858</f>
        <v>0</v>
      </c>
      <c r="E9858" s="44"/>
      <c r="F9858" s="16">
        <f>base!W9858</f>
        <v>0</v>
      </c>
      <c r="G9858" s="11" t="e">
        <f t="shared" ref="G9858:G9921" si="1514">F9858/D9858</f>
        <v>#DIV/0!</v>
      </c>
      <c r="H9858" s="11" t="e">
        <f t="shared" ref="H9858:H9921" si="1515">VLOOKUP(C9858,tout_cout_traction,2,FALSE)*D9858</f>
        <v>#N/A</v>
      </c>
      <c r="I9858" s="11" t="e">
        <f t="shared" ref="I9858:I9921" si="1516">H9858/D9858</f>
        <v>#N/A</v>
      </c>
      <c r="J9858" s="12" t="e">
        <f t="shared" ref="J9858:J9921" si="1517">F9858-H9858</f>
        <v>#N/A</v>
      </c>
      <c r="K9858" s="17" t="e">
        <f t="shared" si="1512"/>
        <v>#N/A</v>
      </c>
      <c r="L9858" s="16">
        <f>base!X9858</f>
        <v>0</v>
      </c>
      <c r="M9858" s="11" t="e">
        <f t="shared" ref="M9858:M9921" si="1518">L9858/D9858</f>
        <v>#DIV/0!</v>
      </c>
      <c r="N9858" s="11"/>
      <c r="O9858" s="11" t="e">
        <f t="shared" ref="O9858:O9921" si="1519">N9858/D9858</f>
        <v>#DIV/0!</v>
      </c>
      <c r="P9858" s="12">
        <f t="shared" ref="P9858:P9921" si="1520">L9858-N9858</f>
        <v>0</v>
      </c>
      <c r="Q9858" s="17" t="str">
        <f t="shared" si="1513"/>
        <v>Pas d'écart</v>
      </c>
    </row>
    <row r="9859" spans="1:17" x14ac:dyDescent="0.3">
      <c r="A9859" s="34">
        <f>base!J9859</f>
        <v>0</v>
      </c>
      <c r="B9859" s="34">
        <f>base!V9859</f>
        <v>0</v>
      </c>
      <c r="C9859" s="40" t="s">
        <v>11</v>
      </c>
      <c r="D9859" s="36">
        <f>base!H9859</f>
        <v>0</v>
      </c>
      <c r="E9859" s="44"/>
      <c r="F9859" s="16">
        <f>base!W9859</f>
        <v>0</v>
      </c>
      <c r="G9859" s="11" t="e">
        <f t="shared" si="1514"/>
        <v>#DIV/0!</v>
      </c>
      <c r="H9859" s="11" t="e">
        <f t="shared" si="1515"/>
        <v>#N/A</v>
      </c>
      <c r="I9859" s="11" t="e">
        <f t="shared" si="1516"/>
        <v>#N/A</v>
      </c>
      <c r="J9859" s="12" t="e">
        <f t="shared" si="1517"/>
        <v>#N/A</v>
      </c>
      <c r="K9859" s="17" t="e">
        <f t="shared" ref="K9859:K9922" si="1521">IF(H9859=F9859,"Pas d'écart",IF(H9859&lt;F9859,"Ecart positif",IF(H9859&gt;F9859,"Ecart négatif")))</f>
        <v>#N/A</v>
      </c>
      <c r="L9859" s="16">
        <f>base!X9859</f>
        <v>0</v>
      </c>
      <c r="M9859" s="11" t="e">
        <f t="shared" si="1518"/>
        <v>#DIV/0!</v>
      </c>
      <c r="N9859" s="11"/>
      <c r="O9859" s="11" t="e">
        <f t="shared" si="1519"/>
        <v>#DIV/0!</v>
      </c>
      <c r="P9859" s="12">
        <f t="shared" si="1520"/>
        <v>0</v>
      </c>
      <c r="Q9859" s="17" t="str">
        <f t="shared" ref="Q9859:Q9922" si="1522">IF(N9859=L9859,"Pas d'écart",IF(N9859&lt;L9859,"Ecart positif",IF(N9859&gt;L9859,"Ecart négatif")))</f>
        <v>Pas d'écart</v>
      </c>
    </row>
    <row r="9860" spans="1:17" x14ac:dyDescent="0.3">
      <c r="A9860" s="34">
        <f>base!J9860</f>
        <v>0</v>
      </c>
      <c r="B9860" s="34">
        <f>base!V9860</f>
        <v>0</v>
      </c>
      <c r="C9860" s="40" t="s">
        <v>11</v>
      </c>
      <c r="D9860" s="36">
        <f>base!H9860</f>
        <v>0</v>
      </c>
      <c r="E9860" s="44"/>
      <c r="F9860" s="16">
        <f>base!W9860</f>
        <v>0</v>
      </c>
      <c r="G9860" s="11" t="e">
        <f t="shared" si="1514"/>
        <v>#DIV/0!</v>
      </c>
      <c r="H9860" s="11" t="e">
        <f t="shared" si="1515"/>
        <v>#N/A</v>
      </c>
      <c r="I9860" s="11" t="e">
        <f t="shared" si="1516"/>
        <v>#N/A</v>
      </c>
      <c r="J9860" s="12" t="e">
        <f t="shared" si="1517"/>
        <v>#N/A</v>
      </c>
      <c r="K9860" s="17" t="e">
        <f t="shared" si="1521"/>
        <v>#N/A</v>
      </c>
      <c r="L9860" s="16">
        <f>base!X9860</f>
        <v>0</v>
      </c>
      <c r="M9860" s="11" t="e">
        <f t="shared" si="1518"/>
        <v>#DIV/0!</v>
      </c>
      <c r="N9860" s="11"/>
      <c r="O9860" s="11" t="e">
        <f t="shared" si="1519"/>
        <v>#DIV/0!</v>
      </c>
      <c r="P9860" s="12">
        <f t="shared" si="1520"/>
        <v>0</v>
      </c>
      <c r="Q9860" s="17" t="str">
        <f t="shared" si="1522"/>
        <v>Pas d'écart</v>
      </c>
    </row>
    <row r="9861" spans="1:17" x14ac:dyDescent="0.3">
      <c r="A9861" s="34">
        <f>base!J9861</f>
        <v>0</v>
      </c>
      <c r="B9861" s="34">
        <f>base!V9861</f>
        <v>0</v>
      </c>
      <c r="C9861" s="40" t="s">
        <v>11</v>
      </c>
      <c r="D9861" s="36">
        <f>base!H9861</f>
        <v>0</v>
      </c>
      <c r="E9861" s="44"/>
      <c r="F9861" s="16">
        <f>base!W9861</f>
        <v>0</v>
      </c>
      <c r="G9861" s="11" t="e">
        <f t="shared" si="1514"/>
        <v>#DIV/0!</v>
      </c>
      <c r="H9861" s="11" t="e">
        <f t="shared" si="1515"/>
        <v>#N/A</v>
      </c>
      <c r="I9861" s="11" t="e">
        <f t="shared" si="1516"/>
        <v>#N/A</v>
      </c>
      <c r="J9861" s="12" t="e">
        <f t="shared" si="1517"/>
        <v>#N/A</v>
      </c>
      <c r="K9861" s="17" t="e">
        <f t="shared" si="1521"/>
        <v>#N/A</v>
      </c>
      <c r="L9861" s="16">
        <f>base!X9861</f>
        <v>0</v>
      </c>
      <c r="M9861" s="11" t="e">
        <f t="shared" si="1518"/>
        <v>#DIV/0!</v>
      </c>
      <c r="N9861" s="11"/>
      <c r="O9861" s="11" t="e">
        <f t="shared" si="1519"/>
        <v>#DIV/0!</v>
      </c>
      <c r="P9861" s="12">
        <f t="shared" si="1520"/>
        <v>0</v>
      </c>
      <c r="Q9861" s="17" t="str">
        <f t="shared" si="1522"/>
        <v>Pas d'écart</v>
      </c>
    </row>
    <row r="9862" spans="1:17" x14ac:dyDescent="0.3">
      <c r="A9862" s="34">
        <f>base!J9862</f>
        <v>0</v>
      </c>
      <c r="B9862" s="34">
        <f>base!V9862</f>
        <v>0</v>
      </c>
      <c r="C9862" s="40" t="s">
        <v>11</v>
      </c>
      <c r="D9862" s="36">
        <f>base!H9862</f>
        <v>0</v>
      </c>
      <c r="E9862" s="44"/>
      <c r="F9862" s="16">
        <f>base!W9862</f>
        <v>0</v>
      </c>
      <c r="G9862" s="11" t="e">
        <f t="shared" si="1514"/>
        <v>#DIV/0!</v>
      </c>
      <c r="H9862" s="11" t="e">
        <f t="shared" si="1515"/>
        <v>#N/A</v>
      </c>
      <c r="I9862" s="11" t="e">
        <f t="shared" si="1516"/>
        <v>#N/A</v>
      </c>
      <c r="J9862" s="12" t="e">
        <f t="shared" si="1517"/>
        <v>#N/A</v>
      </c>
      <c r="K9862" s="17" t="e">
        <f t="shared" si="1521"/>
        <v>#N/A</v>
      </c>
      <c r="L9862" s="16">
        <f>base!X9862</f>
        <v>0</v>
      </c>
      <c r="M9862" s="11" t="e">
        <f t="shared" si="1518"/>
        <v>#DIV/0!</v>
      </c>
      <c r="N9862" s="11"/>
      <c r="O9862" s="11" t="e">
        <f t="shared" si="1519"/>
        <v>#DIV/0!</v>
      </c>
      <c r="P9862" s="12">
        <f t="shared" si="1520"/>
        <v>0</v>
      </c>
      <c r="Q9862" s="17" t="str">
        <f t="shared" si="1522"/>
        <v>Pas d'écart</v>
      </c>
    </row>
    <row r="9863" spans="1:17" x14ac:dyDescent="0.3">
      <c r="A9863" s="34">
        <f>base!J9863</f>
        <v>0</v>
      </c>
      <c r="B9863" s="34">
        <f>base!V9863</f>
        <v>0</v>
      </c>
      <c r="C9863" s="40" t="s">
        <v>11</v>
      </c>
      <c r="D9863" s="36">
        <f>base!H9863</f>
        <v>0</v>
      </c>
      <c r="E9863" s="44"/>
      <c r="F9863" s="16">
        <f>base!W9863</f>
        <v>0</v>
      </c>
      <c r="G9863" s="11" t="e">
        <f t="shared" si="1514"/>
        <v>#DIV/0!</v>
      </c>
      <c r="H9863" s="11" t="e">
        <f t="shared" si="1515"/>
        <v>#N/A</v>
      </c>
      <c r="I9863" s="11" t="e">
        <f t="shared" si="1516"/>
        <v>#N/A</v>
      </c>
      <c r="J9863" s="12" t="e">
        <f t="shared" si="1517"/>
        <v>#N/A</v>
      </c>
      <c r="K9863" s="17" t="e">
        <f t="shared" si="1521"/>
        <v>#N/A</v>
      </c>
      <c r="L9863" s="16">
        <f>base!X9863</f>
        <v>0</v>
      </c>
      <c r="M9863" s="11" t="e">
        <f t="shared" si="1518"/>
        <v>#DIV/0!</v>
      </c>
      <c r="N9863" s="11"/>
      <c r="O9863" s="11" t="e">
        <f t="shared" si="1519"/>
        <v>#DIV/0!</v>
      </c>
      <c r="P9863" s="12">
        <f t="shared" si="1520"/>
        <v>0</v>
      </c>
      <c r="Q9863" s="17" t="str">
        <f t="shared" si="1522"/>
        <v>Pas d'écart</v>
      </c>
    </row>
    <row r="9864" spans="1:17" x14ac:dyDescent="0.3">
      <c r="A9864" s="34">
        <f>base!J9864</f>
        <v>0</v>
      </c>
      <c r="B9864" s="34">
        <f>base!V9864</f>
        <v>0</v>
      </c>
      <c r="C9864" s="40" t="s">
        <v>11</v>
      </c>
      <c r="D9864" s="36">
        <f>base!H9864</f>
        <v>0</v>
      </c>
      <c r="E9864" s="44"/>
      <c r="F9864" s="16">
        <f>base!W9864</f>
        <v>0</v>
      </c>
      <c r="G9864" s="11" t="e">
        <f t="shared" si="1514"/>
        <v>#DIV/0!</v>
      </c>
      <c r="H9864" s="11" t="e">
        <f t="shared" si="1515"/>
        <v>#N/A</v>
      </c>
      <c r="I9864" s="11" t="e">
        <f t="shared" si="1516"/>
        <v>#N/A</v>
      </c>
      <c r="J9864" s="12" t="e">
        <f t="shared" si="1517"/>
        <v>#N/A</v>
      </c>
      <c r="K9864" s="17" t="e">
        <f t="shared" si="1521"/>
        <v>#N/A</v>
      </c>
      <c r="L9864" s="16">
        <f>base!X9864</f>
        <v>0</v>
      </c>
      <c r="M9864" s="11" t="e">
        <f t="shared" si="1518"/>
        <v>#DIV/0!</v>
      </c>
      <c r="N9864" s="11"/>
      <c r="O9864" s="11" t="e">
        <f t="shared" si="1519"/>
        <v>#DIV/0!</v>
      </c>
      <c r="P9864" s="12">
        <f t="shared" si="1520"/>
        <v>0</v>
      </c>
      <c r="Q9864" s="17" t="str">
        <f t="shared" si="1522"/>
        <v>Pas d'écart</v>
      </c>
    </row>
    <row r="9865" spans="1:17" x14ac:dyDescent="0.3">
      <c r="A9865" s="34">
        <f>base!J9865</f>
        <v>0</v>
      </c>
      <c r="B9865" s="34">
        <f>base!V9865</f>
        <v>0</v>
      </c>
      <c r="C9865" s="40" t="s">
        <v>11</v>
      </c>
      <c r="D9865" s="36">
        <f>base!H9865</f>
        <v>0</v>
      </c>
      <c r="E9865" s="44"/>
      <c r="F9865" s="16">
        <f>base!W9865</f>
        <v>0</v>
      </c>
      <c r="G9865" s="11" t="e">
        <f t="shared" si="1514"/>
        <v>#DIV/0!</v>
      </c>
      <c r="H9865" s="11" t="e">
        <f t="shared" si="1515"/>
        <v>#N/A</v>
      </c>
      <c r="I9865" s="11" t="e">
        <f t="shared" si="1516"/>
        <v>#N/A</v>
      </c>
      <c r="J9865" s="12" t="e">
        <f t="shared" si="1517"/>
        <v>#N/A</v>
      </c>
      <c r="K9865" s="17" t="e">
        <f t="shared" si="1521"/>
        <v>#N/A</v>
      </c>
      <c r="L9865" s="16">
        <f>base!X9865</f>
        <v>0</v>
      </c>
      <c r="M9865" s="11" t="e">
        <f t="shared" si="1518"/>
        <v>#DIV/0!</v>
      </c>
      <c r="N9865" s="11"/>
      <c r="O9865" s="11" t="e">
        <f t="shared" si="1519"/>
        <v>#DIV/0!</v>
      </c>
      <c r="P9865" s="12">
        <f t="shared" si="1520"/>
        <v>0</v>
      </c>
      <c r="Q9865" s="17" t="str">
        <f t="shared" si="1522"/>
        <v>Pas d'écart</v>
      </c>
    </row>
    <row r="9866" spans="1:17" x14ac:dyDescent="0.3">
      <c r="A9866" s="34">
        <f>base!J9866</f>
        <v>0</v>
      </c>
      <c r="B9866" s="34">
        <f>base!V9866</f>
        <v>0</v>
      </c>
      <c r="C9866" s="40" t="s">
        <v>11</v>
      </c>
      <c r="D9866" s="36">
        <f>base!H9866</f>
        <v>0</v>
      </c>
      <c r="E9866" s="44"/>
      <c r="F9866" s="16">
        <f>base!W9866</f>
        <v>0</v>
      </c>
      <c r="G9866" s="11" t="e">
        <f t="shared" si="1514"/>
        <v>#DIV/0!</v>
      </c>
      <c r="H9866" s="11" t="e">
        <f t="shared" si="1515"/>
        <v>#N/A</v>
      </c>
      <c r="I9866" s="11" t="e">
        <f t="shared" si="1516"/>
        <v>#N/A</v>
      </c>
      <c r="J9866" s="12" t="e">
        <f t="shared" si="1517"/>
        <v>#N/A</v>
      </c>
      <c r="K9866" s="17" t="e">
        <f t="shared" si="1521"/>
        <v>#N/A</v>
      </c>
      <c r="L9866" s="16">
        <f>base!X9866</f>
        <v>0</v>
      </c>
      <c r="M9866" s="11" t="e">
        <f t="shared" si="1518"/>
        <v>#DIV/0!</v>
      </c>
      <c r="N9866" s="11"/>
      <c r="O9866" s="11" t="e">
        <f t="shared" si="1519"/>
        <v>#DIV/0!</v>
      </c>
      <c r="P9866" s="12">
        <f t="shared" si="1520"/>
        <v>0</v>
      </c>
      <c r="Q9866" s="17" t="str">
        <f t="shared" si="1522"/>
        <v>Pas d'écart</v>
      </c>
    </row>
    <row r="9867" spans="1:17" x14ac:dyDescent="0.3">
      <c r="A9867" s="34">
        <f>base!J9867</f>
        <v>0</v>
      </c>
      <c r="B9867" s="34">
        <f>base!V9867</f>
        <v>0</v>
      </c>
      <c r="C9867" s="40" t="s">
        <v>11</v>
      </c>
      <c r="D9867" s="36">
        <f>base!H9867</f>
        <v>0</v>
      </c>
      <c r="E9867" s="44"/>
      <c r="F9867" s="16">
        <f>base!W9867</f>
        <v>0</v>
      </c>
      <c r="G9867" s="11" t="e">
        <f t="shared" si="1514"/>
        <v>#DIV/0!</v>
      </c>
      <c r="H9867" s="11" t="e">
        <f t="shared" si="1515"/>
        <v>#N/A</v>
      </c>
      <c r="I9867" s="11" t="e">
        <f t="shared" si="1516"/>
        <v>#N/A</v>
      </c>
      <c r="J9867" s="12" t="e">
        <f t="shared" si="1517"/>
        <v>#N/A</v>
      </c>
      <c r="K9867" s="17" t="e">
        <f t="shared" si="1521"/>
        <v>#N/A</v>
      </c>
      <c r="L9867" s="16">
        <f>base!X9867</f>
        <v>0</v>
      </c>
      <c r="M9867" s="11" t="e">
        <f t="shared" si="1518"/>
        <v>#DIV/0!</v>
      </c>
      <c r="N9867" s="11"/>
      <c r="O9867" s="11" t="e">
        <f t="shared" si="1519"/>
        <v>#DIV/0!</v>
      </c>
      <c r="P9867" s="12">
        <f t="shared" si="1520"/>
        <v>0</v>
      </c>
      <c r="Q9867" s="17" t="str">
        <f t="shared" si="1522"/>
        <v>Pas d'écart</v>
      </c>
    </row>
    <row r="9868" spans="1:17" x14ac:dyDescent="0.3">
      <c r="A9868" s="34">
        <f>base!J9868</f>
        <v>0</v>
      </c>
      <c r="B9868" s="34">
        <f>base!V9868</f>
        <v>0</v>
      </c>
      <c r="C9868" s="40" t="s">
        <v>11</v>
      </c>
      <c r="D9868" s="36">
        <f>base!H9868</f>
        <v>0</v>
      </c>
      <c r="E9868" s="44"/>
      <c r="F9868" s="16">
        <f>base!W9868</f>
        <v>0</v>
      </c>
      <c r="G9868" s="11" t="e">
        <f t="shared" si="1514"/>
        <v>#DIV/0!</v>
      </c>
      <c r="H9868" s="11" t="e">
        <f t="shared" si="1515"/>
        <v>#N/A</v>
      </c>
      <c r="I9868" s="11" t="e">
        <f t="shared" si="1516"/>
        <v>#N/A</v>
      </c>
      <c r="J9868" s="12" t="e">
        <f t="shared" si="1517"/>
        <v>#N/A</v>
      </c>
      <c r="K9868" s="17" t="e">
        <f t="shared" si="1521"/>
        <v>#N/A</v>
      </c>
      <c r="L9868" s="16">
        <f>base!X9868</f>
        <v>0</v>
      </c>
      <c r="M9868" s="11" t="e">
        <f t="shared" si="1518"/>
        <v>#DIV/0!</v>
      </c>
      <c r="N9868" s="11"/>
      <c r="O9868" s="11" t="e">
        <f t="shared" si="1519"/>
        <v>#DIV/0!</v>
      </c>
      <c r="P9868" s="12">
        <f t="shared" si="1520"/>
        <v>0</v>
      </c>
      <c r="Q9868" s="17" t="str">
        <f t="shared" si="1522"/>
        <v>Pas d'écart</v>
      </c>
    </row>
    <row r="9869" spans="1:17" x14ac:dyDescent="0.3">
      <c r="A9869" s="34">
        <f>base!J9869</f>
        <v>0</v>
      </c>
      <c r="B9869" s="34">
        <f>base!V9869</f>
        <v>0</v>
      </c>
      <c r="C9869" s="40" t="s">
        <v>11</v>
      </c>
      <c r="D9869" s="36">
        <f>base!H9869</f>
        <v>0</v>
      </c>
      <c r="E9869" s="44"/>
      <c r="F9869" s="16">
        <f>base!W9869</f>
        <v>0</v>
      </c>
      <c r="G9869" s="11" t="e">
        <f t="shared" si="1514"/>
        <v>#DIV/0!</v>
      </c>
      <c r="H9869" s="11" t="e">
        <f t="shared" si="1515"/>
        <v>#N/A</v>
      </c>
      <c r="I9869" s="11" t="e">
        <f t="shared" si="1516"/>
        <v>#N/A</v>
      </c>
      <c r="J9869" s="12" t="e">
        <f t="shared" si="1517"/>
        <v>#N/A</v>
      </c>
      <c r="K9869" s="17" t="e">
        <f t="shared" si="1521"/>
        <v>#N/A</v>
      </c>
      <c r="L9869" s="16">
        <f>base!X9869</f>
        <v>0</v>
      </c>
      <c r="M9869" s="11" t="e">
        <f t="shared" si="1518"/>
        <v>#DIV/0!</v>
      </c>
      <c r="N9869" s="11"/>
      <c r="O9869" s="11" t="e">
        <f t="shared" si="1519"/>
        <v>#DIV/0!</v>
      </c>
      <c r="P9869" s="12">
        <f t="shared" si="1520"/>
        <v>0</v>
      </c>
      <c r="Q9869" s="17" t="str">
        <f t="shared" si="1522"/>
        <v>Pas d'écart</v>
      </c>
    </row>
    <row r="9870" spans="1:17" x14ac:dyDescent="0.3">
      <c r="A9870" s="34">
        <f>base!J9870</f>
        <v>0</v>
      </c>
      <c r="B9870" s="34">
        <f>base!V9870</f>
        <v>0</v>
      </c>
      <c r="C9870" s="40" t="s">
        <v>11</v>
      </c>
      <c r="D9870" s="36">
        <f>base!H9870</f>
        <v>0</v>
      </c>
      <c r="E9870" s="44"/>
      <c r="F9870" s="16">
        <f>base!W9870</f>
        <v>0</v>
      </c>
      <c r="G9870" s="11" t="e">
        <f t="shared" si="1514"/>
        <v>#DIV/0!</v>
      </c>
      <c r="H9870" s="11" t="e">
        <f t="shared" si="1515"/>
        <v>#N/A</v>
      </c>
      <c r="I9870" s="11" t="e">
        <f t="shared" si="1516"/>
        <v>#N/A</v>
      </c>
      <c r="J9870" s="12" t="e">
        <f t="shared" si="1517"/>
        <v>#N/A</v>
      </c>
      <c r="K9870" s="17" t="e">
        <f t="shared" si="1521"/>
        <v>#N/A</v>
      </c>
      <c r="L9870" s="16">
        <f>base!X9870</f>
        <v>0</v>
      </c>
      <c r="M9870" s="11" t="e">
        <f t="shared" si="1518"/>
        <v>#DIV/0!</v>
      </c>
      <c r="N9870" s="11"/>
      <c r="O9870" s="11" t="e">
        <f t="shared" si="1519"/>
        <v>#DIV/0!</v>
      </c>
      <c r="P9870" s="12">
        <f t="shared" si="1520"/>
        <v>0</v>
      </c>
      <c r="Q9870" s="17" t="str">
        <f t="shared" si="1522"/>
        <v>Pas d'écart</v>
      </c>
    </row>
    <row r="9871" spans="1:17" x14ac:dyDescent="0.3">
      <c r="A9871" s="34">
        <f>base!J9871</f>
        <v>0</v>
      </c>
      <c r="B9871" s="34">
        <f>base!V9871</f>
        <v>0</v>
      </c>
      <c r="C9871" s="40" t="s">
        <v>11</v>
      </c>
      <c r="D9871" s="36">
        <f>base!H9871</f>
        <v>0</v>
      </c>
      <c r="E9871" s="44"/>
      <c r="F9871" s="16">
        <f>base!W9871</f>
        <v>0</v>
      </c>
      <c r="G9871" s="11" t="e">
        <f t="shared" si="1514"/>
        <v>#DIV/0!</v>
      </c>
      <c r="H9871" s="11" t="e">
        <f t="shared" si="1515"/>
        <v>#N/A</v>
      </c>
      <c r="I9871" s="11" t="e">
        <f t="shared" si="1516"/>
        <v>#N/A</v>
      </c>
      <c r="J9871" s="12" t="e">
        <f t="shared" si="1517"/>
        <v>#N/A</v>
      </c>
      <c r="K9871" s="17" t="e">
        <f t="shared" si="1521"/>
        <v>#N/A</v>
      </c>
      <c r="L9871" s="16">
        <f>base!X9871</f>
        <v>0</v>
      </c>
      <c r="M9871" s="11" t="e">
        <f t="shared" si="1518"/>
        <v>#DIV/0!</v>
      </c>
      <c r="N9871" s="11"/>
      <c r="O9871" s="11" t="e">
        <f t="shared" si="1519"/>
        <v>#DIV/0!</v>
      </c>
      <c r="P9871" s="12">
        <f t="shared" si="1520"/>
        <v>0</v>
      </c>
      <c r="Q9871" s="17" t="str">
        <f t="shared" si="1522"/>
        <v>Pas d'écart</v>
      </c>
    </row>
    <row r="9872" spans="1:17" x14ac:dyDescent="0.3">
      <c r="A9872" s="34">
        <f>base!J9872</f>
        <v>0</v>
      </c>
      <c r="B9872" s="34">
        <f>base!V9872</f>
        <v>0</v>
      </c>
      <c r="C9872" s="40" t="s">
        <v>11</v>
      </c>
      <c r="D9872" s="36">
        <f>base!H9872</f>
        <v>0</v>
      </c>
      <c r="E9872" s="44"/>
      <c r="F9872" s="16">
        <f>base!W9872</f>
        <v>0</v>
      </c>
      <c r="G9872" s="11" t="e">
        <f t="shared" si="1514"/>
        <v>#DIV/0!</v>
      </c>
      <c r="H9872" s="11" t="e">
        <f t="shared" si="1515"/>
        <v>#N/A</v>
      </c>
      <c r="I9872" s="11" t="e">
        <f t="shared" si="1516"/>
        <v>#N/A</v>
      </c>
      <c r="J9872" s="12" t="e">
        <f t="shared" si="1517"/>
        <v>#N/A</v>
      </c>
      <c r="K9872" s="17" t="e">
        <f t="shared" si="1521"/>
        <v>#N/A</v>
      </c>
      <c r="L9872" s="16">
        <f>base!X9872</f>
        <v>0</v>
      </c>
      <c r="M9872" s="11" t="e">
        <f t="shared" si="1518"/>
        <v>#DIV/0!</v>
      </c>
      <c r="N9872" s="11"/>
      <c r="O9872" s="11" t="e">
        <f t="shared" si="1519"/>
        <v>#DIV/0!</v>
      </c>
      <c r="P9872" s="12">
        <f t="shared" si="1520"/>
        <v>0</v>
      </c>
      <c r="Q9872" s="17" t="str">
        <f t="shared" si="1522"/>
        <v>Pas d'écart</v>
      </c>
    </row>
    <row r="9873" spans="1:17" x14ac:dyDescent="0.3">
      <c r="A9873" s="34">
        <f>base!J9873</f>
        <v>0</v>
      </c>
      <c r="B9873" s="34">
        <f>base!V9873</f>
        <v>0</v>
      </c>
      <c r="C9873" s="40" t="s">
        <v>11</v>
      </c>
      <c r="D9873" s="36">
        <f>base!H9873</f>
        <v>0</v>
      </c>
      <c r="E9873" s="44"/>
      <c r="F9873" s="16">
        <f>base!W9873</f>
        <v>0</v>
      </c>
      <c r="G9873" s="11" t="e">
        <f t="shared" si="1514"/>
        <v>#DIV/0!</v>
      </c>
      <c r="H9873" s="11" t="e">
        <f t="shared" si="1515"/>
        <v>#N/A</v>
      </c>
      <c r="I9873" s="11" t="e">
        <f t="shared" si="1516"/>
        <v>#N/A</v>
      </c>
      <c r="J9873" s="12" t="e">
        <f t="shared" si="1517"/>
        <v>#N/A</v>
      </c>
      <c r="K9873" s="17" t="e">
        <f t="shared" si="1521"/>
        <v>#N/A</v>
      </c>
      <c r="L9873" s="16">
        <f>base!X9873</f>
        <v>0</v>
      </c>
      <c r="M9873" s="11" t="e">
        <f t="shared" si="1518"/>
        <v>#DIV/0!</v>
      </c>
      <c r="N9873" s="11"/>
      <c r="O9873" s="11" t="e">
        <f t="shared" si="1519"/>
        <v>#DIV/0!</v>
      </c>
      <c r="P9873" s="12">
        <f t="shared" si="1520"/>
        <v>0</v>
      </c>
      <c r="Q9873" s="17" t="str">
        <f t="shared" si="1522"/>
        <v>Pas d'écart</v>
      </c>
    </row>
    <row r="9874" spans="1:17" x14ac:dyDescent="0.3">
      <c r="A9874" s="34">
        <f>base!J9874</f>
        <v>0</v>
      </c>
      <c r="B9874" s="34">
        <f>base!V9874</f>
        <v>0</v>
      </c>
      <c r="C9874" s="40" t="s">
        <v>11</v>
      </c>
      <c r="D9874" s="36">
        <f>base!H9874</f>
        <v>0</v>
      </c>
      <c r="E9874" s="44"/>
      <c r="F9874" s="16">
        <f>base!W9874</f>
        <v>0</v>
      </c>
      <c r="G9874" s="11" t="e">
        <f t="shared" si="1514"/>
        <v>#DIV/0!</v>
      </c>
      <c r="H9874" s="11" t="e">
        <f t="shared" si="1515"/>
        <v>#N/A</v>
      </c>
      <c r="I9874" s="11" t="e">
        <f t="shared" si="1516"/>
        <v>#N/A</v>
      </c>
      <c r="J9874" s="12" t="e">
        <f t="shared" si="1517"/>
        <v>#N/A</v>
      </c>
      <c r="K9874" s="17" t="e">
        <f t="shared" si="1521"/>
        <v>#N/A</v>
      </c>
      <c r="L9874" s="16">
        <f>base!X9874</f>
        <v>0</v>
      </c>
      <c r="M9874" s="11" t="e">
        <f t="shared" si="1518"/>
        <v>#DIV/0!</v>
      </c>
      <c r="N9874" s="11"/>
      <c r="O9874" s="11" t="e">
        <f t="shared" si="1519"/>
        <v>#DIV/0!</v>
      </c>
      <c r="P9874" s="12">
        <f t="shared" si="1520"/>
        <v>0</v>
      </c>
      <c r="Q9874" s="17" t="str">
        <f t="shared" si="1522"/>
        <v>Pas d'écart</v>
      </c>
    </row>
    <row r="9875" spans="1:17" x14ac:dyDescent="0.3">
      <c r="A9875" s="34">
        <f>base!J9875</f>
        <v>0</v>
      </c>
      <c r="B9875" s="34">
        <f>base!V9875</f>
        <v>0</v>
      </c>
      <c r="C9875" s="40" t="s">
        <v>11</v>
      </c>
      <c r="D9875" s="36">
        <f>base!H9875</f>
        <v>0</v>
      </c>
      <c r="E9875" s="44"/>
      <c r="F9875" s="16">
        <f>base!W9875</f>
        <v>0</v>
      </c>
      <c r="G9875" s="11" t="e">
        <f t="shared" si="1514"/>
        <v>#DIV/0!</v>
      </c>
      <c r="H9875" s="11" t="e">
        <f t="shared" si="1515"/>
        <v>#N/A</v>
      </c>
      <c r="I9875" s="11" t="e">
        <f t="shared" si="1516"/>
        <v>#N/A</v>
      </c>
      <c r="J9875" s="12" t="e">
        <f t="shared" si="1517"/>
        <v>#N/A</v>
      </c>
      <c r="K9875" s="17" t="e">
        <f t="shared" si="1521"/>
        <v>#N/A</v>
      </c>
      <c r="L9875" s="16">
        <f>base!X9875</f>
        <v>0</v>
      </c>
      <c r="M9875" s="11" t="e">
        <f t="shared" si="1518"/>
        <v>#DIV/0!</v>
      </c>
      <c r="N9875" s="11"/>
      <c r="O9875" s="11" t="e">
        <f t="shared" si="1519"/>
        <v>#DIV/0!</v>
      </c>
      <c r="P9875" s="12">
        <f t="shared" si="1520"/>
        <v>0</v>
      </c>
      <c r="Q9875" s="17" t="str">
        <f t="shared" si="1522"/>
        <v>Pas d'écart</v>
      </c>
    </row>
    <row r="9876" spans="1:17" x14ac:dyDescent="0.3">
      <c r="A9876" s="34">
        <f>base!J9876</f>
        <v>0</v>
      </c>
      <c r="B9876" s="34">
        <f>base!V9876</f>
        <v>0</v>
      </c>
      <c r="C9876" s="40" t="s">
        <v>11</v>
      </c>
      <c r="D9876" s="36">
        <f>base!H9876</f>
        <v>0</v>
      </c>
      <c r="E9876" s="44"/>
      <c r="F9876" s="16">
        <f>base!W9876</f>
        <v>0</v>
      </c>
      <c r="G9876" s="11" t="e">
        <f t="shared" si="1514"/>
        <v>#DIV/0!</v>
      </c>
      <c r="H9876" s="11" t="e">
        <f t="shared" si="1515"/>
        <v>#N/A</v>
      </c>
      <c r="I9876" s="11" t="e">
        <f t="shared" si="1516"/>
        <v>#N/A</v>
      </c>
      <c r="J9876" s="12" t="e">
        <f t="shared" si="1517"/>
        <v>#N/A</v>
      </c>
      <c r="K9876" s="17" t="e">
        <f t="shared" si="1521"/>
        <v>#N/A</v>
      </c>
      <c r="L9876" s="16">
        <f>base!X9876</f>
        <v>0</v>
      </c>
      <c r="M9876" s="11" t="e">
        <f t="shared" si="1518"/>
        <v>#DIV/0!</v>
      </c>
      <c r="N9876" s="11"/>
      <c r="O9876" s="11" t="e">
        <f t="shared" si="1519"/>
        <v>#DIV/0!</v>
      </c>
      <c r="P9876" s="12">
        <f t="shared" si="1520"/>
        <v>0</v>
      </c>
      <c r="Q9876" s="17" t="str">
        <f t="shared" si="1522"/>
        <v>Pas d'écart</v>
      </c>
    </row>
    <row r="9877" spans="1:17" x14ac:dyDescent="0.3">
      <c r="A9877" s="34">
        <f>base!J9877</f>
        <v>0</v>
      </c>
      <c r="B9877" s="34">
        <f>base!V9877</f>
        <v>0</v>
      </c>
      <c r="C9877" s="40" t="s">
        <v>11</v>
      </c>
      <c r="D9877" s="36">
        <f>base!H9877</f>
        <v>0</v>
      </c>
      <c r="E9877" s="44"/>
      <c r="F9877" s="16">
        <f>base!W9877</f>
        <v>0</v>
      </c>
      <c r="G9877" s="11" t="e">
        <f t="shared" si="1514"/>
        <v>#DIV/0!</v>
      </c>
      <c r="H9877" s="11" t="e">
        <f t="shared" si="1515"/>
        <v>#N/A</v>
      </c>
      <c r="I9877" s="11" t="e">
        <f t="shared" si="1516"/>
        <v>#N/A</v>
      </c>
      <c r="J9877" s="12" t="e">
        <f t="shared" si="1517"/>
        <v>#N/A</v>
      </c>
      <c r="K9877" s="17" t="e">
        <f t="shared" si="1521"/>
        <v>#N/A</v>
      </c>
      <c r="L9877" s="16">
        <f>base!X9877</f>
        <v>0</v>
      </c>
      <c r="M9877" s="11" t="e">
        <f t="shared" si="1518"/>
        <v>#DIV/0!</v>
      </c>
      <c r="N9877" s="11"/>
      <c r="O9877" s="11" t="e">
        <f t="shared" si="1519"/>
        <v>#DIV/0!</v>
      </c>
      <c r="P9877" s="12">
        <f t="shared" si="1520"/>
        <v>0</v>
      </c>
      <c r="Q9877" s="17" t="str">
        <f t="shared" si="1522"/>
        <v>Pas d'écart</v>
      </c>
    </row>
    <row r="9878" spans="1:17" x14ac:dyDescent="0.3">
      <c r="A9878" s="34">
        <f>base!J9878</f>
        <v>0</v>
      </c>
      <c r="B9878" s="34">
        <f>base!V9878</f>
        <v>0</v>
      </c>
      <c r="C9878" s="40" t="s">
        <v>11</v>
      </c>
      <c r="D9878" s="36">
        <f>base!H9878</f>
        <v>0</v>
      </c>
      <c r="E9878" s="44"/>
      <c r="F9878" s="16">
        <f>base!W9878</f>
        <v>0</v>
      </c>
      <c r="G9878" s="11" t="e">
        <f t="shared" si="1514"/>
        <v>#DIV/0!</v>
      </c>
      <c r="H9878" s="11" t="e">
        <f t="shared" si="1515"/>
        <v>#N/A</v>
      </c>
      <c r="I9878" s="11" t="e">
        <f t="shared" si="1516"/>
        <v>#N/A</v>
      </c>
      <c r="J9878" s="12" t="e">
        <f t="shared" si="1517"/>
        <v>#N/A</v>
      </c>
      <c r="K9878" s="17" t="e">
        <f t="shared" si="1521"/>
        <v>#N/A</v>
      </c>
      <c r="L9878" s="16">
        <f>base!X9878</f>
        <v>0</v>
      </c>
      <c r="M9878" s="11" t="e">
        <f t="shared" si="1518"/>
        <v>#DIV/0!</v>
      </c>
      <c r="N9878" s="11"/>
      <c r="O9878" s="11" t="e">
        <f t="shared" si="1519"/>
        <v>#DIV/0!</v>
      </c>
      <c r="P9878" s="12">
        <f t="shared" si="1520"/>
        <v>0</v>
      </c>
      <c r="Q9878" s="17" t="str">
        <f t="shared" si="1522"/>
        <v>Pas d'écart</v>
      </c>
    </row>
    <row r="9879" spans="1:17" x14ac:dyDescent="0.3">
      <c r="A9879" s="34">
        <f>base!J9879</f>
        <v>0</v>
      </c>
      <c r="B9879" s="34">
        <f>base!V9879</f>
        <v>0</v>
      </c>
      <c r="C9879" s="40" t="s">
        <v>11</v>
      </c>
      <c r="D9879" s="36">
        <f>base!H9879</f>
        <v>0</v>
      </c>
      <c r="E9879" s="44"/>
      <c r="F9879" s="16">
        <f>base!W9879</f>
        <v>0</v>
      </c>
      <c r="G9879" s="11" t="e">
        <f t="shared" si="1514"/>
        <v>#DIV/0!</v>
      </c>
      <c r="H9879" s="11" t="e">
        <f t="shared" si="1515"/>
        <v>#N/A</v>
      </c>
      <c r="I9879" s="11" t="e">
        <f t="shared" si="1516"/>
        <v>#N/A</v>
      </c>
      <c r="J9879" s="12" t="e">
        <f t="shared" si="1517"/>
        <v>#N/A</v>
      </c>
      <c r="K9879" s="17" t="e">
        <f t="shared" si="1521"/>
        <v>#N/A</v>
      </c>
      <c r="L9879" s="16">
        <f>base!X9879</f>
        <v>0</v>
      </c>
      <c r="M9879" s="11" t="e">
        <f t="shared" si="1518"/>
        <v>#DIV/0!</v>
      </c>
      <c r="N9879" s="11"/>
      <c r="O9879" s="11" t="e">
        <f t="shared" si="1519"/>
        <v>#DIV/0!</v>
      </c>
      <c r="P9879" s="12">
        <f t="shared" si="1520"/>
        <v>0</v>
      </c>
      <c r="Q9879" s="17" t="str">
        <f t="shared" si="1522"/>
        <v>Pas d'écart</v>
      </c>
    </row>
    <row r="9880" spans="1:17" x14ac:dyDescent="0.3">
      <c r="A9880" s="34">
        <f>base!J9880</f>
        <v>0</v>
      </c>
      <c r="B9880" s="34">
        <f>base!V9880</f>
        <v>0</v>
      </c>
      <c r="C9880" s="40" t="s">
        <v>11</v>
      </c>
      <c r="D9880" s="36">
        <f>base!H9880</f>
        <v>0</v>
      </c>
      <c r="E9880" s="44"/>
      <c r="F9880" s="16">
        <f>base!W9880</f>
        <v>0</v>
      </c>
      <c r="G9880" s="11" t="e">
        <f t="shared" si="1514"/>
        <v>#DIV/0!</v>
      </c>
      <c r="H9880" s="11" t="e">
        <f t="shared" si="1515"/>
        <v>#N/A</v>
      </c>
      <c r="I9880" s="11" t="e">
        <f t="shared" si="1516"/>
        <v>#N/A</v>
      </c>
      <c r="J9880" s="12" t="e">
        <f t="shared" si="1517"/>
        <v>#N/A</v>
      </c>
      <c r="K9880" s="17" t="e">
        <f t="shared" si="1521"/>
        <v>#N/A</v>
      </c>
      <c r="L9880" s="16">
        <f>base!X9880</f>
        <v>0</v>
      </c>
      <c r="M9880" s="11" t="e">
        <f t="shared" si="1518"/>
        <v>#DIV/0!</v>
      </c>
      <c r="N9880" s="11"/>
      <c r="O9880" s="11" t="e">
        <f t="shared" si="1519"/>
        <v>#DIV/0!</v>
      </c>
      <c r="P9880" s="12">
        <f t="shared" si="1520"/>
        <v>0</v>
      </c>
      <c r="Q9880" s="17" t="str">
        <f t="shared" si="1522"/>
        <v>Pas d'écart</v>
      </c>
    </row>
    <row r="9881" spans="1:17" x14ac:dyDescent="0.3">
      <c r="A9881" s="34">
        <f>base!J9881</f>
        <v>0</v>
      </c>
      <c r="B9881" s="34">
        <f>base!V9881</f>
        <v>0</v>
      </c>
      <c r="C9881" s="40" t="s">
        <v>11</v>
      </c>
      <c r="D9881" s="36">
        <f>base!H9881</f>
        <v>0</v>
      </c>
      <c r="E9881" s="44"/>
      <c r="F9881" s="16">
        <f>base!W9881</f>
        <v>0</v>
      </c>
      <c r="G9881" s="11" t="e">
        <f t="shared" si="1514"/>
        <v>#DIV/0!</v>
      </c>
      <c r="H9881" s="11" t="e">
        <f t="shared" si="1515"/>
        <v>#N/A</v>
      </c>
      <c r="I9881" s="11" t="e">
        <f t="shared" si="1516"/>
        <v>#N/A</v>
      </c>
      <c r="J9881" s="12" t="e">
        <f t="shared" si="1517"/>
        <v>#N/A</v>
      </c>
      <c r="K9881" s="17" t="e">
        <f t="shared" si="1521"/>
        <v>#N/A</v>
      </c>
      <c r="L9881" s="16">
        <f>base!X9881</f>
        <v>0</v>
      </c>
      <c r="M9881" s="11" t="e">
        <f t="shared" si="1518"/>
        <v>#DIV/0!</v>
      </c>
      <c r="N9881" s="11"/>
      <c r="O9881" s="11" t="e">
        <f t="shared" si="1519"/>
        <v>#DIV/0!</v>
      </c>
      <c r="P9881" s="12">
        <f t="shared" si="1520"/>
        <v>0</v>
      </c>
      <c r="Q9881" s="17" t="str">
        <f t="shared" si="1522"/>
        <v>Pas d'écart</v>
      </c>
    </row>
    <row r="9882" spans="1:17" x14ac:dyDescent="0.3">
      <c r="A9882" s="34">
        <f>base!J9882</f>
        <v>0</v>
      </c>
      <c r="B9882" s="34">
        <f>base!V9882</f>
        <v>0</v>
      </c>
      <c r="C9882" s="40" t="s">
        <v>11</v>
      </c>
      <c r="D9882" s="36">
        <f>base!H9882</f>
        <v>0</v>
      </c>
      <c r="E9882" s="44"/>
      <c r="F9882" s="16">
        <f>base!W9882</f>
        <v>0</v>
      </c>
      <c r="G9882" s="11" t="e">
        <f t="shared" si="1514"/>
        <v>#DIV/0!</v>
      </c>
      <c r="H9882" s="11" t="e">
        <f t="shared" si="1515"/>
        <v>#N/A</v>
      </c>
      <c r="I9882" s="11" t="e">
        <f t="shared" si="1516"/>
        <v>#N/A</v>
      </c>
      <c r="J9882" s="12" t="e">
        <f t="shared" si="1517"/>
        <v>#N/A</v>
      </c>
      <c r="K9882" s="17" t="e">
        <f t="shared" si="1521"/>
        <v>#N/A</v>
      </c>
      <c r="L9882" s="16">
        <f>base!X9882</f>
        <v>0</v>
      </c>
      <c r="M9882" s="11" t="e">
        <f t="shared" si="1518"/>
        <v>#DIV/0!</v>
      </c>
      <c r="N9882" s="11"/>
      <c r="O9882" s="11" t="e">
        <f t="shared" si="1519"/>
        <v>#DIV/0!</v>
      </c>
      <c r="P9882" s="12">
        <f t="shared" si="1520"/>
        <v>0</v>
      </c>
      <c r="Q9882" s="17" t="str">
        <f t="shared" si="1522"/>
        <v>Pas d'écart</v>
      </c>
    </row>
    <row r="9883" spans="1:17" x14ac:dyDescent="0.3">
      <c r="A9883" s="34">
        <f>base!J9883</f>
        <v>0</v>
      </c>
      <c r="B9883" s="34">
        <f>base!V9883</f>
        <v>0</v>
      </c>
      <c r="C9883" s="40" t="s">
        <v>11</v>
      </c>
      <c r="D9883" s="36">
        <f>base!H9883</f>
        <v>0</v>
      </c>
      <c r="E9883" s="44"/>
      <c r="F9883" s="16">
        <f>base!W9883</f>
        <v>0</v>
      </c>
      <c r="G9883" s="11" t="e">
        <f t="shared" si="1514"/>
        <v>#DIV/0!</v>
      </c>
      <c r="H9883" s="11" t="e">
        <f t="shared" si="1515"/>
        <v>#N/A</v>
      </c>
      <c r="I9883" s="11" t="e">
        <f t="shared" si="1516"/>
        <v>#N/A</v>
      </c>
      <c r="J9883" s="12" t="e">
        <f t="shared" si="1517"/>
        <v>#N/A</v>
      </c>
      <c r="K9883" s="17" t="e">
        <f t="shared" si="1521"/>
        <v>#N/A</v>
      </c>
      <c r="L9883" s="16">
        <f>base!X9883</f>
        <v>0</v>
      </c>
      <c r="M9883" s="11" t="e">
        <f t="shared" si="1518"/>
        <v>#DIV/0!</v>
      </c>
      <c r="N9883" s="11"/>
      <c r="O9883" s="11" t="e">
        <f t="shared" si="1519"/>
        <v>#DIV/0!</v>
      </c>
      <c r="P9883" s="12">
        <f t="shared" si="1520"/>
        <v>0</v>
      </c>
      <c r="Q9883" s="17" t="str">
        <f t="shared" si="1522"/>
        <v>Pas d'écart</v>
      </c>
    </row>
    <row r="9884" spans="1:17" x14ac:dyDescent="0.3">
      <c r="A9884" s="34">
        <f>base!J9884</f>
        <v>0</v>
      </c>
      <c r="B9884" s="34">
        <f>base!V9884</f>
        <v>0</v>
      </c>
      <c r="C9884" s="40" t="s">
        <v>11</v>
      </c>
      <c r="D9884" s="36">
        <f>base!H9884</f>
        <v>0</v>
      </c>
      <c r="E9884" s="44"/>
      <c r="F9884" s="16">
        <f>base!W9884</f>
        <v>0</v>
      </c>
      <c r="G9884" s="11" t="e">
        <f t="shared" si="1514"/>
        <v>#DIV/0!</v>
      </c>
      <c r="H9884" s="11" t="e">
        <f t="shared" si="1515"/>
        <v>#N/A</v>
      </c>
      <c r="I9884" s="11" t="e">
        <f t="shared" si="1516"/>
        <v>#N/A</v>
      </c>
      <c r="J9884" s="12" t="e">
        <f t="shared" si="1517"/>
        <v>#N/A</v>
      </c>
      <c r="K9884" s="17" t="e">
        <f t="shared" si="1521"/>
        <v>#N/A</v>
      </c>
      <c r="L9884" s="16">
        <f>base!X9884</f>
        <v>0</v>
      </c>
      <c r="M9884" s="11" t="e">
        <f t="shared" si="1518"/>
        <v>#DIV/0!</v>
      </c>
      <c r="N9884" s="11"/>
      <c r="O9884" s="11" t="e">
        <f t="shared" si="1519"/>
        <v>#DIV/0!</v>
      </c>
      <c r="P9884" s="12">
        <f t="shared" si="1520"/>
        <v>0</v>
      </c>
      <c r="Q9884" s="17" t="str">
        <f t="shared" si="1522"/>
        <v>Pas d'écart</v>
      </c>
    </row>
    <row r="9885" spans="1:17" x14ac:dyDescent="0.3">
      <c r="A9885" s="34">
        <f>base!J9885</f>
        <v>0</v>
      </c>
      <c r="B9885" s="34">
        <f>base!V9885</f>
        <v>0</v>
      </c>
      <c r="C9885" s="40" t="s">
        <v>11</v>
      </c>
      <c r="D9885" s="36">
        <f>base!H9885</f>
        <v>0</v>
      </c>
      <c r="E9885" s="44"/>
      <c r="F9885" s="16">
        <f>base!W9885</f>
        <v>0</v>
      </c>
      <c r="G9885" s="11" t="e">
        <f t="shared" si="1514"/>
        <v>#DIV/0!</v>
      </c>
      <c r="H9885" s="11" t="e">
        <f t="shared" si="1515"/>
        <v>#N/A</v>
      </c>
      <c r="I9885" s="11" t="e">
        <f t="shared" si="1516"/>
        <v>#N/A</v>
      </c>
      <c r="J9885" s="12" t="e">
        <f t="shared" si="1517"/>
        <v>#N/A</v>
      </c>
      <c r="K9885" s="17" t="e">
        <f t="shared" si="1521"/>
        <v>#N/A</v>
      </c>
      <c r="L9885" s="16">
        <f>base!X9885</f>
        <v>0</v>
      </c>
      <c r="M9885" s="11" t="e">
        <f t="shared" si="1518"/>
        <v>#DIV/0!</v>
      </c>
      <c r="N9885" s="11"/>
      <c r="O9885" s="11" t="e">
        <f t="shared" si="1519"/>
        <v>#DIV/0!</v>
      </c>
      <c r="P9885" s="12">
        <f t="shared" si="1520"/>
        <v>0</v>
      </c>
      <c r="Q9885" s="17" t="str">
        <f t="shared" si="1522"/>
        <v>Pas d'écart</v>
      </c>
    </row>
    <row r="9886" spans="1:17" x14ac:dyDescent="0.3">
      <c r="A9886" s="34">
        <f>base!J9886</f>
        <v>0</v>
      </c>
      <c r="B9886" s="34">
        <f>base!V9886</f>
        <v>0</v>
      </c>
      <c r="C9886" s="40" t="s">
        <v>11</v>
      </c>
      <c r="D9886" s="36">
        <f>base!H9886</f>
        <v>0</v>
      </c>
      <c r="E9886" s="44"/>
      <c r="F9886" s="16">
        <f>base!W9886</f>
        <v>0</v>
      </c>
      <c r="G9886" s="11" t="e">
        <f t="shared" si="1514"/>
        <v>#DIV/0!</v>
      </c>
      <c r="H9886" s="11" t="e">
        <f t="shared" si="1515"/>
        <v>#N/A</v>
      </c>
      <c r="I9886" s="11" t="e">
        <f t="shared" si="1516"/>
        <v>#N/A</v>
      </c>
      <c r="J9886" s="12" t="e">
        <f t="shared" si="1517"/>
        <v>#N/A</v>
      </c>
      <c r="K9886" s="17" t="e">
        <f t="shared" si="1521"/>
        <v>#N/A</v>
      </c>
      <c r="L9886" s="16">
        <f>base!X9886</f>
        <v>0</v>
      </c>
      <c r="M9886" s="11" t="e">
        <f t="shared" si="1518"/>
        <v>#DIV/0!</v>
      </c>
      <c r="N9886" s="11"/>
      <c r="O9886" s="11" t="e">
        <f t="shared" si="1519"/>
        <v>#DIV/0!</v>
      </c>
      <c r="P9886" s="12">
        <f t="shared" si="1520"/>
        <v>0</v>
      </c>
      <c r="Q9886" s="17" t="str">
        <f t="shared" si="1522"/>
        <v>Pas d'écart</v>
      </c>
    </row>
    <row r="9887" spans="1:17" x14ac:dyDescent="0.3">
      <c r="A9887" s="34">
        <f>base!J9887</f>
        <v>0</v>
      </c>
      <c r="B9887" s="34">
        <f>base!V9887</f>
        <v>0</v>
      </c>
      <c r="C9887" s="40" t="s">
        <v>11</v>
      </c>
      <c r="D9887" s="36">
        <f>base!H9887</f>
        <v>0</v>
      </c>
      <c r="E9887" s="44"/>
      <c r="F9887" s="16">
        <f>base!W9887</f>
        <v>0</v>
      </c>
      <c r="G9887" s="11" t="e">
        <f t="shared" si="1514"/>
        <v>#DIV/0!</v>
      </c>
      <c r="H9887" s="11" t="e">
        <f t="shared" si="1515"/>
        <v>#N/A</v>
      </c>
      <c r="I9887" s="11" t="e">
        <f t="shared" si="1516"/>
        <v>#N/A</v>
      </c>
      <c r="J9887" s="12" t="e">
        <f t="shared" si="1517"/>
        <v>#N/A</v>
      </c>
      <c r="K9887" s="17" t="e">
        <f t="shared" si="1521"/>
        <v>#N/A</v>
      </c>
      <c r="L9887" s="16">
        <f>base!X9887</f>
        <v>0</v>
      </c>
      <c r="M9887" s="11" t="e">
        <f t="shared" si="1518"/>
        <v>#DIV/0!</v>
      </c>
      <c r="N9887" s="11"/>
      <c r="O9887" s="11" t="e">
        <f t="shared" si="1519"/>
        <v>#DIV/0!</v>
      </c>
      <c r="P9887" s="12">
        <f t="shared" si="1520"/>
        <v>0</v>
      </c>
      <c r="Q9887" s="17" t="str">
        <f t="shared" si="1522"/>
        <v>Pas d'écart</v>
      </c>
    </row>
    <row r="9888" spans="1:17" x14ac:dyDescent="0.3">
      <c r="A9888" s="34">
        <f>base!J9888</f>
        <v>0</v>
      </c>
      <c r="B9888" s="34">
        <f>base!V9888</f>
        <v>0</v>
      </c>
      <c r="C9888" s="40" t="s">
        <v>11</v>
      </c>
      <c r="D9888" s="36">
        <f>base!H9888</f>
        <v>0</v>
      </c>
      <c r="E9888" s="44"/>
      <c r="F9888" s="16">
        <f>base!W9888</f>
        <v>0</v>
      </c>
      <c r="G9888" s="11" t="e">
        <f t="shared" si="1514"/>
        <v>#DIV/0!</v>
      </c>
      <c r="H9888" s="11" t="e">
        <f t="shared" si="1515"/>
        <v>#N/A</v>
      </c>
      <c r="I9888" s="11" t="e">
        <f t="shared" si="1516"/>
        <v>#N/A</v>
      </c>
      <c r="J9888" s="12" t="e">
        <f t="shared" si="1517"/>
        <v>#N/A</v>
      </c>
      <c r="K9888" s="17" t="e">
        <f t="shared" si="1521"/>
        <v>#N/A</v>
      </c>
      <c r="L9888" s="16">
        <f>base!X9888</f>
        <v>0</v>
      </c>
      <c r="M9888" s="11" t="e">
        <f t="shared" si="1518"/>
        <v>#DIV/0!</v>
      </c>
      <c r="N9888" s="11"/>
      <c r="O9888" s="11" t="e">
        <f t="shared" si="1519"/>
        <v>#DIV/0!</v>
      </c>
      <c r="P9888" s="12">
        <f t="shared" si="1520"/>
        <v>0</v>
      </c>
      <c r="Q9888" s="17" t="str">
        <f t="shared" si="1522"/>
        <v>Pas d'écart</v>
      </c>
    </row>
    <row r="9889" spans="1:17" x14ac:dyDescent="0.3">
      <c r="A9889" s="34">
        <f>base!J9889</f>
        <v>0</v>
      </c>
      <c r="B9889" s="34">
        <f>base!V9889</f>
        <v>0</v>
      </c>
      <c r="C9889" s="40" t="s">
        <v>11</v>
      </c>
      <c r="D9889" s="36">
        <f>base!H9889</f>
        <v>0</v>
      </c>
      <c r="E9889" s="44"/>
      <c r="F9889" s="16">
        <f>base!W9889</f>
        <v>0</v>
      </c>
      <c r="G9889" s="11" t="e">
        <f t="shared" si="1514"/>
        <v>#DIV/0!</v>
      </c>
      <c r="H9889" s="11" t="e">
        <f t="shared" si="1515"/>
        <v>#N/A</v>
      </c>
      <c r="I9889" s="11" t="e">
        <f t="shared" si="1516"/>
        <v>#N/A</v>
      </c>
      <c r="J9889" s="12" t="e">
        <f t="shared" si="1517"/>
        <v>#N/A</v>
      </c>
      <c r="K9889" s="17" t="e">
        <f t="shared" si="1521"/>
        <v>#N/A</v>
      </c>
      <c r="L9889" s="16">
        <f>base!X9889</f>
        <v>0</v>
      </c>
      <c r="M9889" s="11" t="e">
        <f t="shared" si="1518"/>
        <v>#DIV/0!</v>
      </c>
      <c r="N9889" s="11"/>
      <c r="O9889" s="11" t="e">
        <f t="shared" si="1519"/>
        <v>#DIV/0!</v>
      </c>
      <c r="P9889" s="12">
        <f t="shared" si="1520"/>
        <v>0</v>
      </c>
      <c r="Q9889" s="17" t="str">
        <f t="shared" si="1522"/>
        <v>Pas d'écart</v>
      </c>
    </row>
    <row r="9890" spans="1:17" x14ac:dyDescent="0.3">
      <c r="A9890" s="34">
        <f>base!J9890</f>
        <v>0</v>
      </c>
      <c r="B9890" s="34">
        <f>base!V9890</f>
        <v>0</v>
      </c>
      <c r="C9890" s="40" t="s">
        <v>11</v>
      </c>
      <c r="D9890" s="36">
        <f>base!H9890</f>
        <v>0</v>
      </c>
      <c r="E9890" s="44"/>
      <c r="F9890" s="16">
        <f>base!W9890</f>
        <v>0</v>
      </c>
      <c r="G9890" s="11" t="e">
        <f t="shared" si="1514"/>
        <v>#DIV/0!</v>
      </c>
      <c r="H9890" s="11" t="e">
        <f t="shared" si="1515"/>
        <v>#N/A</v>
      </c>
      <c r="I9890" s="11" t="e">
        <f t="shared" si="1516"/>
        <v>#N/A</v>
      </c>
      <c r="J9890" s="12" t="e">
        <f t="shared" si="1517"/>
        <v>#N/A</v>
      </c>
      <c r="K9890" s="17" t="e">
        <f t="shared" si="1521"/>
        <v>#N/A</v>
      </c>
      <c r="L9890" s="16">
        <f>base!X9890</f>
        <v>0</v>
      </c>
      <c r="M9890" s="11" t="e">
        <f t="shared" si="1518"/>
        <v>#DIV/0!</v>
      </c>
      <c r="N9890" s="11"/>
      <c r="O9890" s="11" t="e">
        <f t="shared" si="1519"/>
        <v>#DIV/0!</v>
      </c>
      <c r="P9890" s="12">
        <f t="shared" si="1520"/>
        <v>0</v>
      </c>
      <c r="Q9890" s="17" t="str">
        <f t="shared" si="1522"/>
        <v>Pas d'écart</v>
      </c>
    </row>
    <row r="9891" spans="1:17" x14ac:dyDescent="0.3">
      <c r="A9891" s="34">
        <f>base!J9891</f>
        <v>0</v>
      </c>
      <c r="B9891" s="34">
        <f>base!V9891</f>
        <v>0</v>
      </c>
      <c r="C9891" s="40" t="s">
        <v>11</v>
      </c>
      <c r="D9891" s="36">
        <f>base!H9891</f>
        <v>0</v>
      </c>
      <c r="E9891" s="44"/>
      <c r="F9891" s="16">
        <f>base!W9891</f>
        <v>0</v>
      </c>
      <c r="G9891" s="11" t="e">
        <f t="shared" si="1514"/>
        <v>#DIV/0!</v>
      </c>
      <c r="H9891" s="11" t="e">
        <f t="shared" si="1515"/>
        <v>#N/A</v>
      </c>
      <c r="I9891" s="11" t="e">
        <f t="shared" si="1516"/>
        <v>#N/A</v>
      </c>
      <c r="J9891" s="12" t="e">
        <f t="shared" si="1517"/>
        <v>#N/A</v>
      </c>
      <c r="K9891" s="17" t="e">
        <f t="shared" si="1521"/>
        <v>#N/A</v>
      </c>
      <c r="L9891" s="16">
        <f>base!X9891</f>
        <v>0</v>
      </c>
      <c r="M9891" s="11" t="e">
        <f t="shared" si="1518"/>
        <v>#DIV/0!</v>
      </c>
      <c r="N9891" s="11"/>
      <c r="O9891" s="11" t="e">
        <f t="shared" si="1519"/>
        <v>#DIV/0!</v>
      </c>
      <c r="P9891" s="12">
        <f t="shared" si="1520"/>
        <v>0</v>
      </c>
      <c r="Q9891" s="17" t="str">
        <f t="shared" si="1522"/>
        <v>Pas d'écart</v>
      </c>
    </row>
    <row r="9892" spans="1:17" x14ac:dyDescent="0.3">
      <c r="A9892" s="34">
        <f>base!J9892</f>
        <v>0</v>
      </c>
      <c r="B9892" s="34">
        <f>base!V9892</f>
        <v>0</v>
      </c>
      <c r="C9892" s="40" t="s">
        <v>11</v>
      </c>
      <c r="D9892" s="36">
        <f>base!H9892</f>
        <v>0</v>
      </c>
      <c r="E9892" s="44"/>
      <c r="F9892" s="16">
        <f>base!W9892</f>
        <v>0</v>
      </c>
      <c r="G9892" s="11" t="e">
        <f t="shared" si="1514"/>
        <v>#DIV/0!</v>
      </c>
      <c r="H9892" s="11" t="e">
        <f t="shared" si="1515"/>
        <v>#N/A</v>
      </c>
      <c r="I9892" s="11" t="e">
        <f t="shared" si="1516"/>
        <v>#N/A</v>
      </c>
      <c r="J9892" s="12" t="e">
        <f t="shared" si="1517"/>
        <v>#N/A</v>
      </c>
      <c r="K9892" s="17" t="e">
        <f t="shared" si="1521"/>
        <v>#N/A</v>
      </c>
      <c r="L9892" s="16">
        <f>base!X9892</f>
        <v>0</v>
      </c>
      <c r="M9892" s="11" t="e">
        <f t="shared" si="1518"/>
        <v>#DIV/0!</v>
      </c>
      <c r="N9892" s="11"/>
      <c r="O9892" s="11" t="e">
        <f t="shared" si="1519"/>
        <v>#DIV/0!</v>
      </c>
      <c r="P9892" s="12">
        <f t="shared" si="1520"/>
        <v>0</v>
      </c>
      <c r="Q9892" s="17" t="str">
        <f t="shared" si="1522"/>
        <v>Pas d'écart</v>
      </c>
    </row>
    <row r="9893" spans="1:17" x14ac:dyDescent="0.3">
      <c r="A9893" s="34">
        <f>base!J9893</f>
        <v>0</v>
      </c>
      <c r="B9893" s="34">
        <f>base!V9893</f>
        <v>0</v>
      </c>
      <c r="C9893" s="40" t="s">
        <v>11</v>
      </c>
      <c r="D9893" s="36">
        <f>base!H9893</f>
        <v>0</v>
      </c>
      <c r="E9893" s="44"/>
      <c r="F9893" s="16">
        <f>base!W9893</f>
        <v>0</v>
      </c>
      <c r="G9893" s="11" t="e">
        <f t="shared" si="1514"/>
        <v>#DIV/0!</v>
      </c>
      <c r="H9893" s="11" t="e">
        <f t="shared" si="1515"/>
        <v>#N/A</v>
      </c>
      <c r="I9893" s="11" t="e">
        <f t="shared" si="1516"/>
        <v>#N/A</v>
      </c>
      <c r="J9893" s="12" t="e">
        <f t="shared" si="1517"/>
        <v>#N/A</v>
      </c>
      <c r="K9893" s="17" t="e">
        <f t="shared" si="1521"/>
        <v>#N/A</v>
      </c>
      <c r="L9893" s="16">
        <f>base!X9893</f>
        <v>0</v>
      </c>
      <c r="M9893" s="11" t="e">
        <f t="shared" si="1518"/>
        <v>#DIV/0!</v>
      </c>
      <c r="N9893" s="11"/>
      <c r="O9893" s="11" t="e">
        <f t="shared" si="1519"/>
        <v>#DIV/0!</v>
      </c>
      <c r="P9893" s="12">
        <f t="shared" si="1520"/>
        <v>0</v>
      </c>
      <c r="Q9893" s="17" t="str">
        <f t="shared" si="1522"/>
        <v>Pas d'écart</v>
      </c>
    </row>
    <row r="9894" spans="1:17" x14ac:dyDescent="0.3">
      <c r="A9894" s="34">
        <f>base!J9894</f>
        <v>0</v>
      </c>
      <c r="B9894" s="34">
        <f>base!V9894</f>
        <v>0</v>
      </c>
      <c r="C9894" s="40" t="s">
        <v>11</v>
      </c>
      <c r="D9894" s="36">
        <f>base!H9894</f>
        <v>0</v>
      </c>
      <c r="E9894" s="44"/>
      <c r="F9894" s="16">
        <f>base!W9894</f>
        <v>0</v>
      </c>
      <c r="G9894" s="11" t="e">
        <f t="shared" si="1514"/>
        <v>#DIV/0!</v>
      </c>
      <c r="H9894" s="11" t="e">
        <f t="shared" si="1515"/>
        <v>#N/A</v>
      </c>
      <c r="I9894" s="11" t="e">
        <f t="shared" si="1516"/>
        <v>#N/A</v>
      </c>
      <c r="J9894" s="12" t="e">
        <f t="shared" si="1517"/>
        <v>#N/A</v>
      </c>
      <c r="K9894" s="17" t="e">
        <f t="shared" si="1521"/>
        <v>#N/A</v>
      </c>
      <c r="L9894" s="16">
        <f>base!X9894</f>
        <v>0</v>
      </c>
      <c r="M9894" s="11" t="e">
        <f t="shared" si="1518"/>
        <v>#DIV/0!</v>
      </c>
      <c r="N9894" s="11"/>
      <c r="O9894" s="11" t="e">
        <f t="shared" si="1519"/>
        <v>#DIV/0!</v>
      </c>
      <c r="P9894" s="12">
        <f t="shared" si="1520"/>
        <v>0</v>
      </c>
      <c r="Q9894" s="17" t="str">
        <f t="shared" si="1522"/>
        <v>Pas d'écart</v>
      </c>
    </row>
    <row r="9895" spans="1:17" x14ac:dyDescent="0.3">
      <c r="A9895" s="34">
        <f>base!J9895</f>
        <v>0</v>
      </c>
      <c r="B9895" s="34">
        <f>base!V9895</f>
        <v>0</v>
      </c>
      <c r="C9895" s="40" t="s">
        <v>11</v>
      </c>
      <c r="D9895" s="36">
        <f>base!H9895</f>
        <v>0</v>
      </c>
      <c r="E9895" s="44"/>
      <c r="F9895" s="16">
        <f>base!W9895</f>
        <v>0</v>
      </c>
      <c r="G9895" s="11" t="e">
        <f t="shared" si="1514"/>
        <v>#DIV/0!</v>
      </c>
      <c r="H9895" s="11" t="e">
        <f t="shared" si="1515"/>
        <v>#N/A</v>
      </c>
      <c r="I9895" s="11" t="e">
        <f t="shared" si="1516"/>
        <v>#N/A</v>
      </c>
      <c r="J9895" s="12" t="e">
        <f t="shared" si="1517"/>
        <v>#N/A</v>
      </c>
      <c r="K9895" s="17" t="e">
        <f t="shared" si="1521"/>
        <v>#N/A</v>
      </c>
      <c r="L9895" s="16">
        <f>base!X9895</f>
        <v>0</v>
      </c>
      <c r="M9895" s="11" t="e">
        <f t="shared" si="1518"/>
        <v>#DIV/0!</v>
      </c>
      <c r="N9895" s="11"/>
      <c r="O9895" s="11" t="e">
        <f t="shared" si="1519"/>
        <v>#DIV/0!</v>
      </c>
      <c r="P9895" s="12">
        <f t="shared" si="1520"/>
        <v>0</v>
      </c>
      <c r="Q9895" s="17" t="str">
        <f t="shared" si="1522"/>
        <v>Pas d'écart</v>
      </c>
    </row>
    <row r="9896" spans="1:17" x14ac:dyDescent="0.3">
      <c r="A9896" s="34">
        <f>base!J9896</f>
        <v>0</v>
      </c>
      <c r="B9896" s="34">
        <f>base!V9896</f>
        <v>0</v>
      </c>
      <c r="C9896" s="40" t="s">
        <v>11</v>
      </c>
      <c r="D9896" s="36">
        <f>base!H9896</f>
        <v>0</v>
      </c>
      <c r="E9896" s="44"/>
      <c r="F9896" s="16">
        <f>base!W9896</f>
        <v>0</v>
      </c>
      <c r="G9896" s="11" t="e">
        <f t="shared" si="1514"/>
        <v>#DIV/0!</v>
      </c>
      <c r="H9896" s="11" t="e">
        <f t="shared" si="1515"/>
        <v>#N/A</v>
      </c>
      <c r="I9896" s="11" t="e">
        <f t="shared" si="1516"/>
        <v>#N/A</v>
      </c>
      <c r="J9896" s="12" t="e">
        <f t="shared" si="1517"/>
        <v>#N/A</v>
      </c>
      <c r="K9896" s="17" t="e">
        <f t="shared" si="1521"/>
        <v>#N/A</v>
      </c>
      <c r="L9896" s="16">
        <f>base!X9896</f>
        <v>0</v>
      </c>
      <c r="M9896" s="11" t="e">
        <f t="shared" si="1518"/>
        <v>#DIV/0!</v>
      </c>
      <c r="N9896" s="11"/>
      <c r="O9896" s="11" t="e">
        <f t="shared" si="1519"/>
        <v>#DIV/0!</v>
      </c>
      <c r="P9896" s="12">
        <f t="shared" si="1520"/>
        <v>0</v>
      </c>
      <c r="Q9896" s="17" t="str">
        <f t="shared" si="1522"/>
        <v>Pas d'écart</v>
      </c>
    </row>
    <row r="9897" spans="1:17" x14ac:dyDescent="0.3">
      <c r="A9897" s="34">
        <f>base!J9897</f>
        <v>0</v>
      </c>
      <c r="B9897" s="34">
        <f>base!V9897</f>
        <v>0</v>
      </c>
      <c r="C9897" s="40" t="s">
        <v>11</v>
      </c>
      <c r="D9897" s="36">
        <f>base!H9897</f>
        <v>0</v>
      </c>
      <c r="E9897" s="44"/>
      <c r="F9897" s="16">
        <f>base!W9897</f>
        <v>0</v>
      </c>
      <c r="G9897" s="11" t="e">
        <f t="shared" si="1514"/>
        <v>#DIV/0!</v>
      </c>
      <c r="H9897" s="11" t="e">
        <f t="shared" si="1515"/>
        <v>#N/A</v>
      </c>
      <c r="I9897" s="11" t="e">
        <f t="shared" si="1516"/>
        <v>#N/A</v>
      </c>
      <c r="J9897" s="12" t="e">
        <f t="shared" si="1517"/>
        <v>#N/A</v>
      </c>
      <c r="K9897" s="17" t="e">
        <f t="shared" si="1521"/>
        <v>#N/A</v>
      </c>
      <c r="L9897" s="16">
        <f>base!X9897</f>
        <v>0</v>
      </c>
      <c r="M9897" s="11" t="e">
        <f t="shared" si="1518"/>
        <v>#DIV/0!</v>
      </c>
      <c r="N9897" s="11"/>
      <c r="O9897" s="11" t="e">
        <f t="shared" si="1519"/>
        <v>#DIV/0!</v>
      </c>
      <c r="P9897" s="12">
        <f t="shared" si="1520"/>
        <v>0</v>
      </c>
      <c r="Q9897" s="17" t="str">
        <f t="shared" si="1522"/>
        <v>Pas d'écart</v>
      </c>
    </row>
    <row r="9898" spans="1:17" x14ac:dyDescent="0.3">
      <c r="A9898" s="34">
        <f>base!J9898</f>
        <v>0</v>
      </c>
      <c r="B9898" s="34">
        <f>base!V9898</f>
        <v>0</v>
      </c>
      <c r="C9898" s="40" t="s">
        <v>11</v>
      </c>
      <c r="D9898" s="36">
        <f>base!H9898</f>
        <v>0</v>
      </c>
      <c r="E9898" s="44"/>
      <c r="F9898" s="16">
        <f>base!W9898</f>
        <v>0</v>
      </c>
      <c r="G9898" s="11" t="e">
        <f t="shared" si="1514"/>
        <v>#DIV/0!</v>
      </c>
      <c r="H9898" s="11" t="e">
        <f t="shared" si="1515"/>
        <v>#N/A</v>
      </c>
      <c r="I9898" s="11" t="e">
        <f t="shared" si="1516"/>
        <v>#N/A</v>
      </c>
      <c r="J9898" s="12" t="e">
        <f t="shared" si="1517"/>
        <v>#N/A</v>
      </c>
      <c r="K9898" s="17" t="e">
        <f t="shared" si="1521"/>
        <v>#N/A</v>
      </c>
      <c r="L9898" s="16">
        <f>base!X9898</f>
        <v>0</v>
      </c>
      <c r="M9898" s="11" t="e">
        <f t="shared" si="1518"/>
        <v>#DIV/0!</v>
      </c>
      <c r="N9898" s="11"/>
      <c r="O9898" s="11" t="e">
        <f t="shared" si="1519"/>
        <v>#DIV/0!</v>
      </c>
      <c r="P9898" s="12">
        <f t="shared" si="1520"/>
        <v>0</v>
      </c>
      <c r="Q9898" s="17" t="str">
        <f t="shared" si="1522"/>
        <v>Pas d'écart</v>
      </c>
    </row>
    <row r="9899" spans="1:17" x14ac:dyDescent="0.3">
      <c r="A9899" s="34">
        <f>base!J9899</f>
        <v>0</v>
      </c>
      <c r="B9899" s="34">
        <f>base!V9899</f>
        <v>0</v>
      </c>
      <c r="C9899" s="40" t="s">
        <v>11</v>
      </c>
      <c r="D9899" s="36">
        <f>base!H9899</f>
        <v>0</v>
      </c>
      <c r="E9899" s="44"/>
      <c r="F9899" s="16">
        <f>base!W9899</f>
        <v>0</v>
      </c>
      <c r="G9899" s="11" t="e">
        <f t="shared" si="1514"/>
        <v>#DIV/0!</v>
      </c>
      <c r="H9899" s="11" t="e">
        <f t="shared" si="1515"/>
        <v>#N/A</v>
      </c>
      <c r="I9899" s="11" t="e">
        <f t="shared" si="1516"/>
        <v>#N/A</v>
      </c>
      <c r="J9899" s="12" t="e">
        <f t="shared" si="1517"/>
        <v>#N/A</v>
      </c>
      <c r="K9899" s="17" t="e">
        <f t="shared" si="1521"/>
        <v>#N/A</v>
      </c>
      <c r="L9899" s="16">
        <f>base!X9899</f>
        <v>0</v>
      </c>
      <c r="M9899" s="11" t="e">
        <f t="shared" si="1518"/>
        <v>#DIV/0!</v>
      </c>
      <c r="N9899" s="11"/>
      <c r="O9899" s="11" t="e">
        <f t="shared" si="1519"/>
        <v>#DIV/0!</v>
      </c>
      <c r="P9899" s="12">
        <f t="shared" si="1520"/>
        <v>0</v>
      </c>
      <c r="Q9899" s="17" t="str">
        <f t="shared" si="1522"/>
        <v>Pas d'écart</v>
      </c>
    </row>
    <row r="9900" spans="1:17" x14ac:dyDescent="0.3">
      <c r="A9900" s="34">
        <f>base!J9900</f>
        <v>0</v>
      </c>
      <c r="B9900" s="34">
        <f>base!V9900</f>
        <v>0</v>
      </c>
      <c r="C9900" s="40" t="s">
        <v>11</v>
      </c>
      <c r="D9900" s="36">
        <f>base!H9900</f>
        <v>0</v>
      </c>
      <c r="E9900" s="44"/>
      <c r="F9900" s="16">
        <f>base!W9900</f>
        <v>0</v>
      </c>
      <c r="G9900" s="11" t="e">
        <f t="shared" si="1514"/>
        <v>#DIV/0!</v>
      </c>
      <c r="H9900" s="11" t="e">
        <f t="shared" si="1515"/>
        <v>#N/A</v>
      </c>
      <c r="I9900" s="11" t="e">
        <f t="shared" si="1516"/>
        <v>#N/A</v>
      </c>
      <c r="J9900" s="12" t="e">
        <f t="shared" si="1517"/>
        <v>#N/A</v>
      </c>
      <c r="K9900" s="17" t="e">
        <f t="shared" si="1521"/>
        <v>#N/A</v>
      </c>
      <c r="L9900" s="16">
        <f>base!X9900</f>
        <v>0</v>
      </c>
      <c r="M9900" s="11" t="e">
        <f t="shared" si="1518"/>
        <v>#DIV/0!</v>
      </c>
      <c r="N9900" s="11"/>
      <c r="O9900" s="11" t="e">
        <f t="shared" si="1519"/>
        <v>#DIV/0!</v>
      </c>
      <c r="P9900" s="12">
        <f t="shared" si="1520"/>
        <v>0</v>
      </c>
      <c r="Q9900" s="17" t="str">
        <f t="shared" si="1522"/>
        <v>Pas d'écart</v>
      </c>
    </row>
    <row r="9901" spans="1:17" x14ac:dyDescent="0.3">
      <c r="A9901" s="34">
        <f>base!J9901</f>
        <v>0</v>
      </c>
      <c r="B9901" s="34">
        <f>base!V9901</f>
        <v>0</v>
      </c>
      <c r="C9901" s="40" t="s">
        <v>11</v>
      </c>
      <c r="D9901" s="36">
        <f>base!H9901</f>
        <v>0</v>
      </c>
      <c r="E9901" s="44"/>
      <c r="F9901" s="16">
        <f>base!W9901</f>
        <v>0</v>
      </c>
      <c r="G9901" s="11" t="e">
        <f t="shared" si="1514"/>
        <v>#DIV/0!</v>
      </c>
      <c r="H9901" s="11" t="e">
        <f t="shared" si="1515"/>
        <v>#N/A</v>
      </c>
      <c r="I9901" s="11" t="e">
        <f t="shared" si="1516"/>
        <v>#N/A</v>
      </c>
      <c r="J9901" s="12" t="e">
        <f t="shared" si="1517"/>
        <v>#N/A</v>
      </c>
      <c r="K9901" s="17" t="e">
        <f t="shared" si="1521"/>
        <v>#N/A</v>
      </c>
      <c r="L9901" s="16">
        <f>base!X9901</f>
        <v>0</v>
      </c>
      <c r="M9901" s="11" t="e">
        <f t="shared" si="1518"/>
        <v>#DIV/0!</v>
      </c>
      <c r="N9901" s="11"/>
      <c r="O9901" s="11" t="e">
        <f t="shared" si="1519"/>
        <v>#DIV/0!</v>
      </c>
      <c r="P9901" s="12">
        <f t="shared" si="1520"/>
        <v>0</v>
      </c>
      <c r="Q9901" s="17" t="str">
        <f t="shared" si="1522"/>
        <v>Pas d'écart</v>
      </c>
    </row>
    <row r="9902" spans="1:17" x14ac:dyDescent="0.3">
      <c r="A9902" s="34">
        <f>base!J9902</f>
        <v>0</v>
      </c>
      <c r="B9902" s="34">
        <f>base!V9902</f>
        <v>0</v>
      </c>
      <c r="C9902" s="40" t="s">
        <v>11</v>
      </c>
      <c r="D9902" s="36">
        <f>base!H9902</f>
        <v>0</v>
      </c>
      <c r="E9902" s="44"/>
      <c r="F9902" s="16">
        <f>base!W9902</f>
        <v>0</v>
      </c>
      <c r="G9902" s="11" t="e">
        <f t="shared" si="1514"/>
        <v>#DIV/0!</v>
      </c>
      <c r="H9902" s="11" t="e">
        <f t="shared" si="1515"/>
        <v>#N/A</v>
      </c>
      <c r="I9902" s="11" t="e">
        <f t="shared" si="1516"/>
        <v>#N/A</v>
      </c>
      <c r="J9902" s="12" t="e">
        <f t="shared" si="1517"/>
        <v>#N/A</v>
      </c>
      <c r="K9902" s="17" t="e">
        <f t="shared" si="1521"/>
        <v>#N/A</v>
      </c>
      <c r="L9902" s="16">
        <f>base!X9902</f>
        <v>0</v>
      </c>
      <c r="M9902" s="11" t="e">
        <f t="shared" si="1518"/>
        <v>#DIV/0!</v>
      </c>
      <c r="N9902" s="11"/>
      <c r="O9902" s="11" t="e">
        <f t="shared" si="1519"/>
        <v>#DIV/0!</v>
      </c>
      <c r="P9902" s="12">
        <f t="shared" si="1520"/>
        <v>0</v>
      </c>
      <c r="Q9902" s="17" t="str">
        <f t="shared" si="1522"/>
        <v>Pas d'écart</v>
      </c>
    </row>
    <row r="9903" spans="1:17" x14ac:dyDescent="0.3">
      <c r="A9903" s="34">
        <f>base!J9903</f>
        <v>0</v>
      </c>
      <c r="B9903" s="34">
        <f>base!V9903</f>
        <v>0</v>
      </c>
      <c r="C9903" s="40" t="s">
        <v>11</v>
      </c>
      <c r="D9903" s="36">
        <f>base!H9903</f>
        <v>0</v>
      </c>
      <c r="E9903" s="44"/>
      <c r="F9903" s="16">
        <f>base!W9903</f>
        <v>0</v>
      </c>
      <c r="G9903" s="11" t="e">
        <f t="shared" si="1514"/>
        <v>#DIV/0!</v>
      </c>
      <c r="H9903" s="11" t="e">
        <f t="shared" si="1515"/>
        <v>#N/A</v>
      </c>
      <c r="I9903" s="11" t="e">
        <f t="shared" si="1516"/>
        <v>#N/A</v>
      </c>
      <c r="J9903" s="12" t="e">
        <f t="shared" si="1517"/>
        <v>#N/A</v>
      </c>
      <c r="K9903" s="17" t="e">
        <f t="shared" si="1521"/>
        <v>#N/A</v>
      </c>
      <c r="L9903" s="16">
        <f>base!X9903</f>
        <v>0</v>
      </c>
      <c r="M9903" s="11" t="e">
        <f t="shared" si="1518"/>
        <v>#DIV/0!</v>
      </c>
      <c r="N9903" s="11"/>
      <c r="O9903" s="11" t="e">
        <f t="shared" si="1519"/>
        <v>#DIV/0!</v>
      </c>
      <c r="P9903" s="12">
        <f t="shared" si="1520"/>
        <v>0</v>
      </c>
      <c r="Q9903" s="17" t="str">
        <f t="shared" si="1522"/>
        <v>Pas d'écart</v>
      </c>
    </row>
    <row r="9904" spans="1:17" x14ac:dyDescent="0.3">
      <c r="A9904" s="34">
        <f>base!J9904</f>
        <v>0</v>
      </c>
      <c r="B9904" s="34">
        <f>base!V9904</f>
        <v>0</v>
      </c>
      <c r="C9904" s="40" t="s">
        <v>11</v>
      </c>
      <c r="D9904" s="36">
        <f>base!H9904</f>
        <v>0</v>
      </c>
      <c r="E9904" s="44"/>
      <c r="F9904" s="16">
        <f>base!W9904</f>
        <v>0</v>
      </c>
      <c r="G9904" s="11" t="e">
        <f t="shared" si="1514"/>
        <v>#DIV/0!</v>
      </c>
      <c r="H9904" s="11" t="e">
        <f t="shared" si="1515"/>
        <v>#N/A</v>
      </c>
      <c r="I9904" s="11" t="e">
        <f t="shared" si="1516"/>
        <v>#N/A</v>
      </c>
      <c r="J9904" s="12" t="e">
        <f t="shared" si="1517"/>
        <v>#N/A</v>
      </c>
      <c r="K9904" s="17" t="e">
        <f t="shared" si="1521"/>
        <v>#N/A</v>
      </c>
      <c r="L9904" s="16">
        <f>base!X9904</f>
        <v>0</v>
      </c>
      <c r="M9904" s="11" t="e">
        <f t="shared" si="1518"/>
        <v>#DIV/0!</v>
      </c>
      <c r="N9904" s="11"/>
      <c r="O9904" s="11" t="e">
        <f t="shared" si="1519"/>
        <v>#DIV/0!</v>
      </c>
      <c r="P9904" s="12">
        <f t="shared" si="1520"/>
        <v>0</v>
      </c>
      <c r="Q9904" s="17" t="str">
        <f t="shared" si="1522"/>
        <v>Pas d'écart</v>
      </c>
    </row>
    <row r="9905" spans="1:17" x14ac:dyDescent="0.3">
      <c r="A9905" s="34">
        <f>base!J9905</f>
        <v>0</v>
      </c>
      <c r="B9905" s="34">
        <f>base!V9905</f>
        <v>0</v>
      </c>
      <c r="C9905" s="40" t="s">
        <v>11</v>
      </c>
      <c r="D9905" s="36">
        <f>base!H9905</f>
        <v>0</v>
      </c>
      <c r="E9905" s="44"/>
      <c r="F9905" s="16">
        <f>base!W9905</f>
        <v>0</v>
      </c>
      <c r="G9905" s="11" t="e">
        <f t="shared" si="1514"/>
        <v>#DIV/0!</v>
      </c>
      <c r="H9905" s="11" t="e">
        <f t="shared" si="1515"/>
        <v>#N/A</v>
      </c>
      <c r="I9905" s="11" t="e">
        <f t="shared" si="1516"/>
        <v>#N/A</v>
      </c>
      <c r="J9905" s="12" t="e">
        <f t="shared" si="1517"/>
        <v>#N/A</v>
      </c>
      <c r="K9905" s="17" t="e">
        <f t="shared" si="1521"/>
        <v>#N/A</v>
      </c>
      <c r="L9905" s="16">
        <f>base!X9905</f>
        <v>0</v>
      </c>
      <c r="M9905" s="11" t="e">
        <f t="shared" si="1518"/>
        <v>#DIV/0!</v>
      </c>
      <c r="N9905" s="11"/>
      <c r="O9905" s="11" t="e">
        <f t="shared" si="1519"/>
        <v>#DIV/0!</v>
      </c>
      <c r="P9905" s="12">
        <f t="shared" si="1520"/>
        <v>0</v>
      </c>
      <c r="Q9905" s="17" t="str">
        <f t="shared" si="1522"/>
        <v>Pas d'écart</v>
      </c>
    </row>
    <row r="9906" spans="1:17" x14ac:dyDescent="0.3">
      <c r="A9906" s="34">
        <f>base!J9906</f>
        <v>0</v>
      </c>
      <c r="B9906" s="34">
        <f>base!V9906</f>
        <v>0</v>
      </c>
      <c r="C9906" s="40" t="s">
        <v>11</v>
      </c>
      <c r="D9906" s="36">
        <f>base!H9906</f>
        <v>0</v>
      </c>
      <c r="E9906" s="44"/>
      <c r="F9906" s="16">
        <f>base!W9906</f>
        <v>0</v>
      </c>
      <c r="G9906" s="11" t="e">
        <f t="shared" si="1514"/>
        <v>#DIV/0!</v>
      </c>
      <c r="H9906" s="11" t="e">
        <f t="shared" si="1515"/>
        <v>#N/A</v>
      </c>
      <c r="I9906" s="11" t="e">
        <f t="shared" si="1516"/>
        <v>#N/A</v>
      </c>
      <c r="J9906" s="12" t="e">
        <f t="shared" si="1517"/>
        <v>#N/A</v>
      </c>
      <c r="K9906" s="17" t="e">
        <f t="shared" si="1521"/>
        <v>#N/A</v>
      </c>
      <c r="L9906" s="16">
        <f>base!X9906</f>
        <v>0</v>
      </c>
      <c r="M9906" s="11" t="e">
        <f t="shared" si="1518"/>
        <v>#DIV/0!</v>
      </c>
      <c r="N9906" s="11"/>
      <c r="O9906" s="11" t="e">
        <f t="shared" si="1519"/>
        <v>#DIV/0!</v>
      </c>
      <c r="P9906" s="12">
        <f t="shared" si="1520"/>
        <v>0</v>
      </c>
      <c r="Q9906" s="17" t="str">
        <f t="shared" si="1522"/>
        <v>Pas d'écart</v>
      </c>
    </row>
    <row r="9907" spans="1:17" x14ac:dyDescent="0.3">
      <c r="A9907" s="34">
        <f>base!J9907</f>
        <v>0</v>
      </c>
      <c r="B9907" s="34">
        <f>base!V9907</f>
        <v>0</v>
      </c>
      <c r="C9907" s="40" t="s">
        <v>11</v>
      </c>
      <c r="D9907" s="36">
        <f>base!H9907</f>
        <v>0</v>
      </c>
      <c r="E9907" s="44"/>
      <c r="F9907" s="16">
        <f>base!W9907</f>
        <v>0</v>
      </c>
      <c r="G9907" s="11" t="e">
        <f t="shared" si="1514"/>
        <v>#DIV/0!</v>
      </c>
      <c r="H9907" s="11" t="e">
        <f t="shared" si="1515"/>
        <v>#N/A</v>
      </c>
      <c r="I9907" s="11" t="e">
        <f t="shared" si="1516"/>
        <v>#N/A</v>
      </c>
      <c r="J9907" s="12" t="e">
        <f t="shared" si="1517"/>
        <v>#N/A</v>
      </c>
      <c r="K9907" s="17" t="e">
        <f t="shared" si="1521"/>
        <v>#N/A</v>
      </c>
      <c r="L9907" s="16">
        <f>base!X9907</f>
        <v>0</v>
      </c>
      <c r="M9907" s="11" t="e">
        <f t="shared" si="1518"/>
        <v>#DIV/0!</v>
      </c>
      <c r="N9907" s="11"/>
      <c r="O9907" s="11" t="e">
        <f t="shared" si="1519"/>
        <v>#DIV/0!</v>
      </c>
      <c r="P9907" s="12">
        <f t="shared" si="1520"/>
        <v>0</v>
      </c>
      <c r="Q9907" s="17" t="str">
        <f t="shared" si="1522"/>
        <v>Pas d'écart</v>
      </c>
    </row>
    <row r="9908" spans="1:17" x14ac:dyDescent="0.3">
      <c r="A9908" s="34">
        <f>base!J9908</f>
        <v>0</v>
      </c>
      <c r="B9908" s="34">
        <f>base!V9908</f>
        <v>0</v>
      </c>
      <c r="C9908" s="40" t="s">
        <v>11</v>
      </c>
      <c r="D9908" s="36">
        <f>base!H9908</f>
        <v>0</v>
      </c>
      <c r="E9908" s="44"/>
      <c r="F9908" s="16">
        <f>base!W9908</f>
        <v>0</v>
      </c>
      <c r="G9908" s="11" t="e">
        <f t="shared" si="1514"/>
        <v>#DIV/0!</v>
      </c>
      <c r="H9908" s="11" t="e">
        <f t="shared" si="1515"/>
        <v>#N/A</v>
      </c>
      <c r="I9908" s="11" t="e">
        <f t="shared" si="1516"/>
        <v>#N/A</v>
      </c>
      <c r="J9908" s="12" t="e">
        <f t="shared" si="1517"/>
        <v>#N/A</v>
      </c>
      <c r="K9908" s="17" t="e">
        <f t="shared" si="1521"/>
        <v>#N/A</v>
      </c>
      <c r="L9908" s="16">
        <f>base!X9908</f>
        <v>0</v>
      </c>
      <c r="M9908" s="11" t="e">
        <f t="shared" si="1518"/>
        <v>#DIV/0!</v>
      </c>
      <c r="N9908" s="11"/>
      <c r="O9908" s="11" t="e">
        <f t="shared" si="1519"/>
        <v>#DIV/0!</v>
      </c>
      <c r="P9908" s="12">
        <f t="shared" si="1520"/>
        <v>0</v>
      </c>
      <c r="Q9908" s="17" t="str">
        <f t="shared" si="1522"/>
        <v>Pas d'écart</v>
      </c>
    </row>
    <row r="9909" spans="1:17" x14ac:dyDescent="0.3">
      <c r="A9909" s="34">
        <f>base!J9909</f>
        <v>0</v>
      </c>
      <c r="B9909" s="34">
        <f>base!V9909</f>
        <v>0</v>
      </c>
      <c r="C9909" s="40" t="s">
        <v>11</v>
      </c>
      <c r="D9909" s="36">
        <f>base!H9909</f>
        <v>0</v>
      </c>
      <c r="E9909" s="44"/>
      <c r="F9909" s="16">
        <f>base!W9909</f>
        <v>0</v>
      </c>
      <c r="G9909" s="11" t="e">
        <f t="shared" si="1514"/>
        <v>#DIV/0!</v>
      </c>
      <c r="H9909" s="11" t="e">
        <f t="shared" si="1515"/>
        <v>#N/A</v>
      </c>
      <c r="I9909" s="11" t="e">
        <f t="shared" si="1516"/>
        <v>#N/A</v>
      </c>
      <c r="J9909" s="12" t="e">
        <f t="shared" si="1517"/>
        <v>#N/A</v>
      </c>
      <c r="K9909" s="17" t="e">
        <f t="shared" si="1521"/>
        <v>#N/A</v>
      </c>
      <c r="L9909" s="16">
        <f>base!X9909</f>
        <v>0</v>
      </c>
      <c r="M9909" s="11" t="e">
        <f t="shared" si="1518"/>
        <v>#DIV/0!</v>
      </c>
      <c r="N9909" s="11"/>
      <c r="O9909" s="11" t="e">
        <f t="shared" si="1519"/>
        <v>#DIV/0!</v>
      </c>
      <c r="P9909" s="12">
        <f t="shared" si="1520"/>
        <v>0</v>
      </c>
      <c r="Q9909" s="17" t="str">
        <f t="shared" si="1522"/>
        <v>Pas d'écart</v>
      </c>
    </row>
    <row r="9910" spans="1:17" x14ac:dyDescent="0.3">
      <c r="A9910" s="34">
        <f>base!J9910</f>
        <v>0</v>
      </c>
      <c r="B9910" s="34">
        <f>base!V9910</f>
        <v>0</v>
      </c>
      <c r="C9910" s="40" t="s">
        <v>11</v>
      </c>
      <c r="D9910" s="36">
        <f>base!H9910</f>
        <v>0</v>
      </c>
      <c r="E9910" s="44"/>
      <c r="F9910" s="16">
        <f>base!W9910</f>
        <v>0</v>
      </c>
      <c r="G9910" s="11" t="e">
        <f t="shared" si="1514"/>
        <v>#DIV/0!</v>
      </c>
      <c r="H9910" s="11" t="e">
        <f t="shared" si="1515"/>
        <v>#N/A</v>
      </c>
      <c r="I9910" s="11" t="e">
        <f t="shared" si="1516"/>
        <v>#N/A</v>
      </c>
      <c r="J9910" s="12" t="e">
        <f t="shared" si="1517"/>
        <v>#N/A</v>
      </c>
      <c r="K9910" s="17" t="e">
        <f t="shared" si="1521"/>
        <v>#N/A</v>
      </c>
      <c r="L9910" s="16">
        <f>base!X9910</f>
        <v>0</v>
      </c>
      <c r="M9910" s="11" t="e">
        <f t="shared" si="1518"/>
        <v>#DIV/0!</v>
      </c>
      <c r="N9910" s="11"/>
      <c r="O9910" s="11" t="e">
        <f t="shared" si="1519"/>
        <v>#DIV/0!</v>
      </c>
      <c r="P9910" s="12">
        <f t="shared" si="1520"/>
        <v>0</v>
      </c>
      <c r="Q9910" s="17" t="str">
        <f t="shared" si="1522"/>
        <v>Pas d'écart</v>
      </c>
    </row>
    <row r="9911" spans="1:17" x14ac:dyDescent="0.3">
      <c r="A9911" s="34">
        <f>base!J9911</f>
        <v>0</v>
      </c>
      <c r="B9911" s="34">
        <f>base!V9911</f>
        <v>0</v>
      </c>
      <c r="C9911" s="40" t="s">
        <v>11</v>
      </c>
      <c r="D9911" s="36">
        <f>base!H9911</f>
        <v>0</v>
      </c>
      <c r="E9911" s="44"/>
      <c r="F9911" s="16">
        <f>base!W9911</f>
        <v>0</v>
      </c>
      <c r="G9911" s="11" t="e">
        <f t="shared" si="1514"/>
        <v>#DIV/0!</v>
      </c>
      <c r="H9911" s="11" t="e">
        <f t="shared" si="1515"/>
        <v>#N/A</v>
      </c>
      <c r="I9911" s="11" t="e">
        <f t="shared" si="1516"/>
        <v>#N/A</v>
      </c>
      <c r="J9911" s="12" t="e">
        <f t="shared" si="1517"/>
        <v>#N/A</v>
      </c>
      <c r="K9911" s="17" t="e">
        <f t="shared" si="1521"/>
        <v>#N/A</v>
      </c>
      <c r="L9911" s="16">
        <f>base!X9911</f>
        <v>0</v>
      </c>
      <c r="M9911" s="11" t="e">
        <f t="shared" si="1518"/>
        <v>#DIV/0!</v>
      </c>
      <c r="N9911" s="11"/>
      <c r="O9911" s="11" t="e">
        <f t="shared" si="1519"/>
        <v>#DIV/0!</v>
      </c>
      <c r="P9911" s="12">
        <f t="shared" si="1520"/>
        <v>0</v>
      </c>
      <c r="Q9911" s="17" t="str">
        <f t="shared" si="1522"/>
        <v>Pas d'écart</v>
      </c>
    </row>
    <row r="9912" spans="1:17" x14ac:dyDescent="0.3">
      <c r="A9912" s="34">
        <f>base!J9912</f>
        <v>0</v>
      </c>
      <c r="B9912" s="34">
        <f>base!V9912</f>
        <v>0</v>
      </c>
      <c r="C9912" s="40" t="s">
        <v>11</v>
      </c>
      <c r="D9912" s="36">
        <f>base!H9912</f>
        <v>0</v>
      </c>
      <c r="E9912" s="44"/>
      <c r="F9912" s="16">
        <f>base!W9912</f>
        <v>0</v>
      </c>
      <c r="G9912" s="11" t="e">
        <f t="shared" si="1514"/>
        <v>#DIV/0!</v>
      </c>
      <c r="H9912" s="11" t="e">
        <f t="shared" si="1515"/>
        <v>#N/A</v>
      </c>
      <c r="I9912" s="11" t="e">
        <f t="shared" si="1516"/>
        <v>#N/A</v>
      </c>
      <c r="J9912" s="12" t="e">
        <f t="shared" si="1517"/>
        <v>#N/A</v>
      </c>
      <c r="K9912" s="17" t="e">
        <f t="shared" si="1521"/>
        <v>#N/A</v>
      </c>
      <c r="L9912" s="16">
        <f>base!X9912</f>
        <v>0</v>
      </c>
      <c r="M9912" s="11" t="e">
        <f t="shared" si="1518"/>
        <v>#DIV/0!</v>
      </c>
      <c r="N9912" s="11"/>
      <c r="O9912" s="11" t="e">
        <f t="shared" si="1519"/>
        <v>#DIV/0!</v>
      </c>
      <c r="P9912" s="12">
        <f t="shared" si="1520"/>
        <v>0</v>
      </c>
      <c r="Q9912" s="17" t="str">
        <f t="shared" si="1522"/>
        <v>Pas d'écart</v>
      </c>
    </row>
    <row r="9913" spans="1:17" x14ac:dyDescent="0.3">
      <c r="A9913" s="34">
        <f>base!J9913</f>
        <v>0</v>
      </c>
      <c r="B9913" s="34">
        <f>base!V9913</f>
        <v>0</v>
      </c>
      <c r="C9913" s="40" t="s">
        <v>11</v>
      </c>
      <c r="D9913" s="36">
        <f>base!H9913</f>
        <v>0</v>
      </c>
      <c r="E9913" s="44"/>
      <c r="F9913" s="16">
        <f>base!W9913</f>
        <v>0</v>
      </c>
      <c r="G9913" s="11" t="e">
        <f t="shared" si="1514"/>
        <v>#DIV/0!</v>
      </c>
      <c r="H9913" s="11" t="e">
        <f t="shared" si="1515"/>
        <v>#N/A</v>
      </c>
      <c r="I9913" s="11" t="e">
        <f t="shared" si="1516"/>
        <v>#N/A</v>
      </c>
      <c r="J9913" s="12" t="e">
        <f t="shared" si="1517"/>
        <v>#N/A</v>
      </c>
      <c r="K9913" s="17" t="e">
        <f t="shared" si="1521"/>
        <v>#N/A</v>
      </c>
      <c r="L9913" s="16">
        <f>base!X9913</f>
        <v>0</v>
      </c>
      <c r="M9913" s="11" t="e">
        <f t="shared" si="1518"/>
        <v>#DIV/0!</v>
      </c>
      <c r="N9913" s="11"/>
      <c r="O9913" s="11" t="e">
        <f t="shared" si="1519"/>
        <v>#DIV/0!</v>
      </c>
      <c r="P9913" s="12">
        <f t="shared" si="1520"/>
        <v>0</v>
      </c>
      <c r="Q9913" s="17" t="str">
        <f t="shared" si="1522"/>
        <v>Pas d'écart</v>
      </c>
    </row>
    <row r="9914" spans="1:17" x14ac:dyDescent="0.3">
      <c r="A9914" s="34">
        <f>base!J9914</f>
        <v>0</v>
      </c>
      <c r="B9914" s="34">
        <f>base!V9914</f>
        <v>0</v>
      </c>
      <c r="C9914" s="40" t="s">
        <v>11</v>
      </c>
      <c r="D9914" s="36">
        <f>base!H9914</f>
        <v>0</v>
      </c>
      <c r="E9914" s="44"/>
      <c r="F9914" s="16">
        <f>base!W9914</f>
        <v>0</v>
      </c>
      <c r="G9914" s="11" t="e">
        <f t="shared" si="1514"/>
        <v>#DIV/0!</v>
      </c>
      <c r="H9914" s="11" t="e">
        <f t="shared" si="1515"/>
        <v>#N/A</v>
      </c>
      <c r="I9914" s="11" t="e">
        <f t="shared" si="1516"/>
        <v>#N/A</v>
      </c>
      <c r="J9914" s="12" t="e">
        <f t="shared" si="1517"/>
        <v>#N/A</v>
      </c>
      <c r="K9914" s="17" t="e">
        <f t="shared" si="1521"/>
        <v>#N/A</v>
      </c>
      <c r="L9914" s="16">
        <f>base!X9914</f>
        <v>0</v>
      </c>
      <c r="M9914" s="11" t="e">
        <f t="shared" si="1518"/>
        <v>#DIV/0!</v>
      </c>
      <c r="N9914" s="11"/>
      <c r="O9914" s="11" t="e">
        <f t="shared" si="1519"/>
        <v>#DIV/0!</v>
      </c>
      <c r="P9914" s="12">
        <f t="shared" si="1520"/>
        <v>0</v>
      </c>
      <c r="Q9914" s="17" t="str">
        <f t="shared" si="1522"/>
        <v>Pas d'écart</v>
      </c>
    </row>
    <row r="9915" spans="1:17" x14ac:dyDescent="0.3">
      <c r="A9915" s="34">
        <f>base!J9915</f>
        <v>0</v>
      </c>
      <c r="B9915" s="34">
        <f>base!V9915</f>
        <v>0</v>
      </c>
      <c r="C9915" s="40" t="s">
        <v>11</v>
      </c>
      <c r="D9915" s="36">
        <f>base!H9915</f>
        <v>0</v>
      </c>
      <c r="E9915" s="44"/>
      <c r="F9915" s="16">
        <f>base!W9915</f>
        <v>0</v>
      </c>
      <c r="G9915" s="11" t="e">
        <f t="shared" si="1514"/>
        <v>#DIV/0!</v>
      </c>
      <c r="H9915" s="11" t="e">
        <f t="shared" si="1515"/>
        <v>#N/A</v>
      </c>
      <c r="I9915" s="11" t="e">
        <f t="shared" si="1516"/>
        <v>#N/A</v>
      </c>
      <c r="J9915" s="12" t="e">
        <f t="shared" si="1517"/>
        <v>#N/A</v>
      </c>
      <c r="K9915" s="17" t="e">
        <f t="shared" si="1521"/>
        <v>#N/A</v>
      </c>
      <c r="L9915" s="16">
        <f>base!X9915</f>
        <v>0</v>
      </c>
      <c r="M9915" s="11" t="e">
        <f t="shared" si="1518"/>
        <v>#DIV/0!</v>
      </c>
      <c r="N9915" s="11"/>
      <c r="O9915" s="11" t="e">
        <f t="shared" si="1519"/>
        <v>#DIV/0!</v>
      </c>
      <c r="P9915" s="12">
        <f t="shared" si="1520"/>
        <v>0</v>
      </c>
      <c r="Q9915" s="17" t="str">
        <f t="shared" si="1522"/>
        <v>Pas d'écart</v>
      </c>
    </row>
    <row r="9916" spans="1:17" x14ac:dyDescent="0.3">
      <c r="A9916" s="34">
        <f>base!J9916</f>
        <v>0</v>
      </c>
      <c r="B9916" s="34">
        <f>base!V9916</f>
        <v>0</v>
      </c>
      <c r="C9916" s="40" t="s">
        <v>11</v>
      </c>
      <c r="D9916" s="36">
        <f>base!H9916</f>
        <v>0</v>
      </c>
      <c r="E9916" s="44"/>
      <c r="F9916" s="16">
        <f>base!W9916</f>
        <v>0</v>
      </c>
      <c r="G9916" s="11" t="e">
        <f t="shared" si="1514"/>
        <v>#DIV/0!</v>
      </c>
      <c r="H9916" s="11" t="e">
        <f t="shared" si="1515"/>
        <v>#N/A</v>
      </c>
      <c r="I9916" s="11" t="e">
        <f t="shared" si="1516"/>
        <v>#N/A</v>
      </c>
      <c r="J9916" s="12" t="e">
        <f t="shared" si="1517"/>
        <v>#N/A</v>
      </c>
      <c r="K9916" s="17" t="e">
        <f t="shared" si="1521"/>
        <v>#N/A</v>
      </c>
      <c r="L9916" s="16">
        <f>base!X9916</f>
        <v>0</v>
      </c>
      <c r="M9916" s="11" t="e">
        <f t="shared" si="1518"/>
        <v>#DIV/0!</v>
      </c>
      <c r="N9916" s="11"/>
      <c r="O9916" s="11" t="e">
        <f t="shared" si="1519"/>
        <v>#DIV/0!</v>
      </c>
      <c r="P9916" s="12">
        <f t="shared" si="1520"/>
        <v>0</v>
      </c>
      <c r="Q9916" s="17" t="str">
        <f t="shared" si="1522"/>
        <v>Pas d'écart</v>
      </c>
    </row>
    <row r="9917" spans="1:17" x14ac:dyDescent="0.3">
      <c r="A9917" s="34">
        <f>base!J9917</f>
        <v>0</v>
      </c>
      <c r="B9917" s="34">
        <f>base!V9917</f>
        <v>0</v>
      </c>
      <c r="C9917" s="40" t="s">
        <v>11</v>
      </c>
      <c r="D9917" s="36">
        <f>base!H9917</f>
        <v>0</v>
      </c>
      <c r="E9917" s="44"/>
      <c r="F9917" s="16">
        <f>base!W9917</f>
        <v>0</v>
      </c>
      <c r="G9917" s="11" t="e">
        <f t="shared" si="1514"/>
        <v>#DIV/0!</v>
      </c>
      <c r="H9917" s="11" t="e">
        <f t="shared" si="1515"/>
        <v>#N/A</v>
      </c>
      <c r="I9917" s="11" t="e">
        <f t="shared" si="1516"/>
        <v>#N/A</v>
      </c>
      <c r="J9917" s="12" t="e">
        <f t="shared" si="1517"/>
        <v>#N/A</v>
      </c>
      <c r="K9917" s="17" t="e">
        <f t="shared" si="1521"/>
        <v>#N/A</v>
      </c>
      <c r="L9917" s="16">
        <f>base!X9917</f>
        <v>0</v>
      </c>
      <c r="M9917" s="11" t="e">
        <f t="shared" si="1518"/>
        <v>#DIV/0!</v>
      </c>
      <c r="N9917" s="11"/>
      <c r="O9917" s="11" t="e">
        <f t="shared" si="1519"/>
        <v>#DIV/0!</v>
      </c>
      <c r="P9917" s="12">
        <f t="shared" si="1520"/>
        <v>0</v>
      </c>
      <c r="Q9917" s="17" t="str">
        <f t="shared" si="1522"/>
        <v>Pas d'écart</v>
      </c>
    </row>
    <row r="9918" spans="1:17" x14ac:dyDescent="0.3">
      <c r="A9918" s="34">
        <f>base!J9918</f>
        <v>0</v>
      </c>
      <c r="B9918" s="34">
        <f>base!V9918</f>
        <v>0</v>
      </c>
      <c r="C9918" s="40" t="s">
        <v>11</v>
      </c>
      <c r="D9918" s="36">
        <f>base!H9918</f>
        <v>0</v>
      </c>
      <c r="E9918" s="44"/>
      <c r="F9918" s="16">
        <f>base!W9918</f>
        <v>0</v>
      </c>
      <c r="G9918" s="11" t="e">
        <f t="shared" si="1514"/>
        <v>#DIV/0!</v>
      </c>
      <c r="H9918" s="11" t="e">
        <f t="shared" si="1515"/>
        <v>#N/A</v>
      </c>
      <c r="I9918" s="11" t="e">
        <f t="shared" si="1516"/>
        <v>#N/A</v>
      </c>
      <c r="J9918" s="12" t="e">
        <f t="shared" si="1517"/>
        <v>#N/A</v>
      </c>
      <c r="K9918" s="17" t="e">
        <f t="shared" si="1521"/>
        <v>#N/A</v>
      </c>
      <c r="L9918" s="16">
        <f>base!X9918</f>
        <v>0</v>
      </c>
      <c r="M9918" s="11" t="e">
        <f t="shared" si="1518"/>
        <v>#DIV/0!</v>
      </c>
      <c r="N9918" s="11"/>
      <c r="O9918" s="11" t="e">
        <f t="shared" si="1519"/>
        <v>#DIV/0!</v>
      </c>
      <c r="P9918" s="12">
        <f t="shared" si="1520"/>
        <v>0</v>
      </c>
      <c r="Q9918" s="17" t="str">
        <f t="shared" si="1522"/>
        <v>Pas d'écart</v>
      </c>
    </row>
    <row r="9919" spans="1:17" x14ac:dyDescent="0.3">
      <c r="A9919" s="34">
        <f>base!J9919</f>
        <v>0</v>
      </c>
      <c r="B9919" s="34">
        <f>base!V9919</f>
        <v>0</v>
      </c>
      <c r="C9919" s="40" t="s">
        <v>11</v>
      </c>
      <c r="D9919" s="36">
        <f>base!H9919</f>
        <v>0</v>
      </c>
      <c r="E9919" s="44"/>
      <c r="F9919" s="16">
        <f>base!W9919</f>
        <v>0</v>
      </c>
      <c r="G9919" s="11" t="e">
        <f t="shared" si="1514"/>
        <v>#DIV/0!</v>
      </c>
      <c r="H9919" s="11" t="e">
        <f t="shared" si="1515"/>
        <v>#N/A</v>
      </c>
      <c r="I9919" s="11" t="e">
        <f t="shared" si="1516"/>
        <v>#N/A</v>
      </c>
      <c r="J9919" s="12" t="e">
        <f t="shared" si="1517"/>
        <v>#N/A</v>
      </c>
      <c r="K9919" s="17" t="e">
        <f t="shared" si="1521"/>
        <v>#N/A</v>
      </c>
      <c r="L9919" s="16">
        <f>base!X9919</f>
        <v>0</v>
      </c>
      <c r="M9919" s="11" t="e">
        <f t="shared" si="1518"/>
        <v>#DIV/0!</v>
      </c>
      <c r="N9919" s="11"/>
      <c r="O9919" s="11" t="e">
        <f t="shared" si="1519"/>
        <v>#DIV/0!</v>
      </c>
      <c r="P9919" s="12">
        <f t="shared" si="1520"/>
        <v>0</v>
      </c>
      <c r="Q9919" s="17" t="str">
        <f t="shared" si="1522"/>
        <v>Pas d'écart</v>
      </c>
    </row>
    <row r="9920" spans="1:17" x14ac:dyDescent="0.3">
      <c r="A9920" s="34">
        <f>base!J9920</f>
        <v>0</v>
      </c>
      <c r="B9920" s="34">
        <f>base!V9920</f>
        <v>0</v>
      </c>
      <c r="C9920" s="40" t="s">
        <v>11</v>
      </c>
      <c r="D9920" s="36">
        <f>base!H9920</f>
        <v>0</v>
      </c>
      <c r="E9920" s="44"/>
      <c r="F9920" s="16">
        <f>base!W9920</f>
        <v>0</v>
      </c>
      <c r="G9920" s="11" t="e">
        <f t="shared" si="1514"/>
        <v>#DIV/0!</v>
      </c>
      <c r="H9920" s="11" t="e">
        <f t="shared" si="1515"/>
        <v>#N/A</v>
      </c>
      <c r="I9920" s="11" t="e">
        <f t="shared" si="1516"/>
        <v>#N/A</v>
      </c>
      <c r="J9920" s="12" t="e">
        <f t="shared" si="1517"/>
        <v>#N/A</v>
      </c>
      <c r="K9920" s="17" t="e">
        <f t="shared" si="1521"/>
        <v>#N/A</v>
      </c>
      <c r="L9920" s="16">
        <f>base!X9920</f>
        <v>0</v>
      </c>
      <c r="M9920" s="11" t="e">
        <f t="shared" si="1518"/>
        <v>#DIV/0!</v>
      </c>
      <c r="N9920" s="11"/>
      <c r="O9920" s="11" t="e">
        <f t="shared" si="1519"/>
        <v>#DIV/0!</v>
      </c>
      <c r="P9920" s="12">
        <f t="shared" si="1520"/>
        <v>0</v>
      </c>
      <c r="Q9920" s="17" t="str">
        <f t="shared" si="1522"/>
        <v>Pas d'écart</v>
      </c>
    </row>
    <row r="9921" spans="1:17" x14ac:dyDescent="0.3">
      <c r="A9921" s="34">
        <f>base!J9921</f>
        <v>0</v>
      </c>
      <c r="B9921" s="34">
        <f>base!V9921</f>
        <v>0</v>
      </c>
      <c r="C9921" s="40" t="s">
        <v>11</v>
      </c>
      <c r="D9921" s="36">
        <f>base!H9921</f>
        <v>0</v>
      </c>
      <c r="E9921" s="44"/>
      <c r="F9921" s="16">
        <f>base!W9921</f>
        <v>0</v>
      </c>
      <c r="G9921" s="11" t="e">
        <f t="shared" si="1514"/>
        <v>#DIV/0!</v>
      </c>
      <c r="H9921" s="11" t="e">
        <f t="shared" si="1515"/>
        <v>#N/A</v>
      </c>
      <c r="I9921" s="11" t="e">
        <f t="shared" si="1516"/>
        <v>#N/A</v>
      </c>
      <c r="J9921" s="12" t="e">
        <f t="shared" si="1517"/>
        <v>#N/A</v>
      </c>
      <c r="K9921" s="17" t="e">
        <f t="shared" si="1521"/>
        <v>#N/A</v>
      </c>
      <c r="L9921" s="16">
        <f>base!X9921</f>
        <v>0</v>
      </c>
      <c r="M9921" s="11" t="e">
        <f t="shared" si="1518"/>
        <v>#DIV/0!</v>
      </c>
      <c r="N9921" s="11"/>
      <c r="O9921" s="11" t="e">
        <f t="shared" si="1519"/>
        <v>#DIV/0!</v>
      </c>
      <c r="P9921" s="12">
        <f t="shared" si="1520"/>
        <v>0</v>
      </c>
      <c r="Q9921" s="17" t="str">
        <f t="shared" si="1522"/>
        <v>Pas d'écart</v>
      </c>
    </row>
    <row r="9922" spans="1:17" x14ac:dyDescent="0.3">
      <c r="A9922" s="34">
        <f>base!J9922</f>
        <v>0</v>
      </c>
      <c r="B9922" s="34">
        <f>base!V9922</f>
        <v>0</v>
      </c>
      <c r="C9922" s="40" t="s">
        <v>11</v>
      </c>
      <c r="D9922" s="36">
        <f>base!H9922</f>
        <v>0</v>
      </c>
      <c r="E9922" s="44"/>
      <c r="F9922" s="16">
        <f>base!W9922</f>
        <v>0</v>
      </c>
      <c r="G9922" s="11" t="e">
        <f t="shared" ref="G9922:G9985" si="1523">F9922/D9922</f>
        <v>#DIV/0!</v>
      </c>
      <c r="H9922" s="11" t="e">
        <f t="shared" ref="H9922:H9985" si="1524">VLOOKUP(C9922,tout_cout_traction,2,FALSE)*D9922</f>
        <v>#N/A</v>
      </c>
      <c r="I9922" s="11" t="e">
        <f t="shared" ref="I9922:I9985" si="1525">H9922/D9922</f>
        <v>#N/A</v>
      </c>
      <c r="J9922" s="12" t="e">
        <f t="shared" ref="J9922:J9985" si="1526">F9922-H9922</f>
        <v>#N/A</v>
      </c>
      <c r="K9922" s="17" t="e">
        <f t="shared" si="1521"/>
        <v>#N/A</v>
      </c>
      <c r="L9922" s="16">
        <f>base!X9922</f>
        <v>0</v>
      </c>
      <c r="M9922" s="11" t="e">
        <f t="shared" ref="M9922:M9985" si="1527">L9922/D9922</f>
        <v>#DIV/0!</v>
      </c>
      <c r="N9922" s="11"/>
      <c r="O9922" s="11" t="e">
        <f t="shared" ref="O9922:O9985" si="1528">N9922/D9922</f>
        <v>#DIV/0!</v>
      </c>
      <c r="P9922" s="12">
        <f t="shared" ref="P9922:P9985" si="1529">L9922-N9922</f>
        <v>0</v>
      </c>
      <c r="Q9922" s="17" t="str">
        <f t="shared" si="1522"/>
        <v>Pas d'écart</v>
      </c>
    </row>
    <row r="9923" spans="1:17" x14ac:dyDescent="0.3">
      <c r="A9923" s="34">
        <f>base!J9923</f>
        <v>0</v>
      </c>
      <c r="B9923" s="34">
        <f>base!V9923</f>
        <v>0</v>
      </c>
      <c r="C9923" s="40" t="s">
        <v>11</v>
      </c>
      <c r="D9923" s="36">
        <f>base!H9923</f>
        <v>0</v>
      </c>
      <c r="E9923" s="44"/>
      <c r="F9923" s="16">
        <f>base!W9923</f>
        <v>0</v>
      </c>
      <c r="G9923" s="11" t="e">
        <f t="shared" si="1523"/>
        <v>#DIV/0!</v>
      </c>
      <c r="H9923" s="11" t="e">
        <f t="shared" si="1524"/>
        <v>#N/A</v>
      </c>
      <c r="I9923" s="11" t="e">
        <f t="shared" si="1525"/>
        <v>#N/A</v>
      </c>
      <c r="J9923" s="12" t="e">
        <f t="shared" si="1526"/>
        <v>#N/A</v>
      </c>
      <c r="K9923" s="17" t="e">
        <f t="shared" ref="K9923:K9986" si="1530">IF(H9923=F9923,"Pas d'écart",IF(H9923&lt;F9923,"Ecart positif",IF(H9923&gt;F9923,"Ecart négatif")))</f>
        <v>#N/A</v>
      </c>
      <c r="L9923" s="16">
        <f>base!X9923</f>
        <v>0</v>
      </c>
      <c r="M9923" s="11" t="e">
        <f t="shared" si="1527"/>
        <v>#DIV/0!</v>
      </c>
      <c r="N9923" s="11"/>
      <c r="O9923" s="11" t="e">
        <f t="shared" si="1528"/>
        <v>#DIV/0!</v>
      </c>
      <c r="P9923" s="12">
        <f t="shared" si="1529"/>
        <v>0</v>
      </c>
      <c r="Q9923" s="17" t="str">
        <f t="shared" ref="Q9923:Q9986" si="1531">IF(N9923=L9923,"Pas d'écart",IF(N9923&lt;L9923,"Ecart positif",IF(N9923&gt;L9923,"Ecart négatif")))</f>
        <v>Pas d'écart</v>
      </c>
    </row>
    <row r="9924" spans="1:17" x14ac:dyDescent="0.3">
      <c r="A9924" s="34">
        <f>base!J9924</f>
        <v>0</v>
      </c>
      <c r="B9924" s="34">
        <f>base!V9924</f>
        <v>0</v>
      </c>
      <c r="C9924" s="40" t="s">
        <v>11</v>
      </c>
      <c r="D9924" s="36">
        <f>base!H9924</f>
        <v>0</v>
      </c>
      <c r="E9924" s="44"/>
      <c r="F9924" s="16">
        <f>base!W9924</f>
        <v>0</v>
      </c>
      <c r="G9924" s="11" t="e">
        <f t="shared" si="1523"/>
        <v>#DIV/0!</v>
      </c>
      <c r="H9924" s="11" t="e">
        <f t="shared" si="1524"/>
        <v>#N/A</v>
      </c>
      <c r="I9924" s="11" t="e">
        <f t="shared" si="1525"/>
        <v>#N/A</v>
      </c>
      <c r="J9924" s="12" t="e">
        <f t="shared" si="1526"/>
        <v>#N/A</v>
      </c>
      <c r="K9924" s="17" t="e">
        <f t="shared" si="1530"/>
        <v>#N/A</v>
      </c>
      <c r="L9924" s="16">
        <f>base!X9924</f>
        <v>0</v>
      </c>
      <c r="M9924" s="11" t="e">
        <f t="shared" si="1527"/>
        <v>#DIV/0!</v>
      </c>
      <c r="N9924" s="11"/>
      <c r="O9924" s="11" t="e">
        <f t="shared" si="1528"/>
        <v>#DIV/0!</v>
      </c>
      <c r="P9924" s="12">
        <f t="shared" si="1529"/>
        <v>0</v>
      </c>
      <c r="Q9924" s="17" t="str">
        <f t="shared" si="1531"/>
        <v>Pas d'écart</v>
      </c>
    </row>
    <row r="9925" spans="1:17" x14ac:dyDescent="0.3">
      <c r="A9925" s="34">
        <f>base!J9925</f>
        <v>0</v>
      </c>
      <c r="B9925" s="34">
        <f>base!V9925</f>
        <v>0</v>
      </c>
      <c r="C9925" s="40" t="s">
        <v>11</v>
      </c>
      <c r="D9925" s="36">
        <f>base!H9925</f>
        <v>0</v>
      </c>
      <c r="E9925" s="44"/>
      <c r="F9925" s="16">
        <f>base!W9925</f>
        <v>0</v>
      </c>
      <c r="G9925" s="11" t="e">
        <f t="shared" si="1523"/>
        <v>#DIV/0!</v>
      </c>
      <c r="H9925" s="11" t="e">
        <f t="shared" si="1524"/>
        <v>#N/A</v>
      </c>
      <c r="I9925" s="11" t="e">
        <f t="shared" si="1525"/>
        <v>#N/A</v>
      </c>
      <c r="J9925" s="12" t="e">
        <f t="shared" si="1526"/>
        <v>#N/A</v>
      </c>
      <c r="K9925" s="17" t="e">
        <f t="shared" si="1530"/>
        <v>#N/A</v>
      </c>
      <c r="L9925" s="16">
        <f>base!X9925</f>
        <v>0</v>
      </c>
      <c r="M9925" s="11" t="e">
        <f t="shared" si="1527"/>
        <v>#DIV/0!</v>
      </c>
      <c r="N9925" s="11"/>
      <c r="O9925" s="11" t="e">
        <f t="shared" si="1528"/>
        <v>#DIV/0!</v>
      </c>
      <c r="P9925" s="12">
        <f t="shared" si="1529"/>
        <v>0</v>
      </c>
      <c r="Q9925" s="17" t="str">
        <f t="shared" si="1531"/>
        <v>Pas d'écart</v>
      </c>
    </row>
    <row r="9926" spans="1:17" x14ac:dyDescent="0.3">
      <c r="A9926" s="34">
        <f>base!J9926</f>
        <v>0</v>
      </c>
      <c r="B9926" s="34">
        <f>base!V9926</f>
        <v>0</v>
      </c>
      <c r="C9926" s="40" t="s">
        <v>11</v>
      </c>
      <c r="D9926" s="36">
        <f>base!H9926</f>
        <v>0</v>
      </c>
      <c r="E9926" s="44"/>
      <c r="F9926" s="16">
        <f>base!W9926</f>
        <v>0</v>
      </c>
      <c r="G9926" s="11" t="e">
        <f t="shared" si="1523"/>
        <v>#DIV/0!</v>
      </c>
      <c r="H9926" s="11" t="e">
        <f t="shared" si="1524"/>
        <v>#N/A</v>
      </c>
      <c r="I9926" s="11" t="e">
        <f t="shared" si="1525"/>
        <v>#N/A</v>
      </c>
      <c r="J9926" s="12" t="e">
        <f t="shared" si="1526"/>
        <v>#N/A</v>
      </c>
      <c r="K9926" s="17" t="e">
        <f t="shared" si="1530"/>
        <v>#N/A</v>
      </c>
      <c r="L9926" s="16">
        <f>base!X9926</f>
        <v>0</v>
      </c>
      <c r="M9926" s="11" t="e">
        <f t="shared" si="1527"/>
        <v>#DIV/0!</v>
      </c>
      <c r="N9926" s="11"/>
      <c r="O9926" s="11" t="e">
        <f t="shared" si="1528"/>
        <v>#DIV/0!</v>
      </c>
      <c r="P9926" s="12">
        <f t="shared" si="1529"/>
        <v>0</v>
      </c>
      <c r="Q9926" s="17" t="str">
        <f t="shared" si="1531"/>
        <v>Pas d'écart</v>
      </c>
    </row>
    <row r="9927" spans="1:17" x14ac:dyDescent="0.3">
      <c r="A9927" s="34">
        <f>base!J9927</f>
        <v>0</v>
      </c>
      <c r="B9927" s="34">
        <f>base!V9927</f>
        <v>0</v>
      </c>
      <c r="C9927" s="40" t="s">
        <v>11</v>
      </c>
      <c r="D9927" s="36">
        <f>base!H9927</f>
        <v>0</v>
      </c>
      <c r="E9927" s="44"/>
      <c r="F9927" s="16">
        <f>base!W9927</f>
        <v>0</v>
      </c>
      <c r="G9927" s="11" t="e">
        <f t="shared" si="1523"/>
        <v>#DIV/0!</v>
      </c>
      <c r="H9927" s="11" t="e">
        <f t="shared" si="1524"/>
        <v>#N/A</v>
      </c>
      <c r="I9927" s="11" t="e">
        <f t="shared" si="1525"/>
        <v>#N/A</v>
      </c>
      <c r="J9927" s="12" t="e">
        <f t="shared" si="1526"/>
        <v>#N/A</v>
      </c>
      <c r="K9927" s="17" t="e">
        <f t="shared" si="1530"/>
        <v>#N/A</v>
      </c>
      <c r="L9927" s="16">
        <f>base!X9927</f>
        <v>0</v>
      </c>
      <c r="M9927" s="11" t="e">
        <f t="shared" si="1527"/>
        <v>#DIV/0!</v>
      </c>
      <c r="N9927" s="11"/>
      <c r="O9927" s="11" t="e">
        <f t="shared" si="1528"/>
        <v>#DIV/0!</v>
      </c>
      <c r="P9927" s="12">
        <f t="shared" si="1529"/>
        <v>0</v>
      </c>
      <c r="Q9927" s="17" t="str">
        <f t="shared" si="1531"/>
        <v>Pas d'écart</v>
      </c>
    </row>
    <row r="9928" spans="1:17" x14ac:dyDescent="0.3">
      <c r="A9928" s="34">
        <f>base!J9928</f>
        <v>0</v>
      </c>
      <c r="B9928" s="34">
        <f>base!V9928</f>
        <v>0</v>
      </c>
      <c r="C9928" s="40" t="s">
        <v>11</v>
      </c>
      <c r="D9928" s="36">
        <f>base!H9928</f>
        <v>0</v>
      </c>
      <c r="E9928" s="44"/>
      <c r="F9928" s="16">
        <f>base!W9928</f>
        <v>0</v>
      </c>
      <c r="G9928" s="11" t="e">
        <f t="shared" si="1523"/>
        <v>#DIV/0!</v>
      </c>
      <c r="H9928" s="11" t="e">
        <f t="shared" si="1524"/>
        <v>#N/A</v>
      </c>
      <c r="I9928" s="11" t="e">
        <f t="shared" si="1525"/>
        <v>#N/A</v>
      </c>
      <c r="J9928" s="12" t="e">
        <f t="shared" si="1526"/>
        <v>#N/A</v>
      </c>
      <c r="K9928" s="17" t="e">
        <f t="shared" si="1530"/>
        <v>#N/A</v>
      </c>
      <c r="L9928" s="16">
        <f>base!X9928</f>
        <v>0</v>
      </c>
      <c r="M9928" s="11" t="e">
        <f t="shared" si="1527"/>
        <v>#DIV/0!</v>
      </c>
      <c r="N9928" s="11"/>
      <c r="O9928" s="11" t="e">
        <f t="shared" si="1528"/>
        <v>#DIV/0!</v>
      </c>
      <c r="P9928" s="12">
        <f t="shared" si="1529"/>
        <v>0</v>
      </c>
      <c r="Q9928" s="17" t="str">
        <f t="shared" si="1531"/>
        <v>Pas d'écart</v>
      </c>
    </row>
    <row r="9929" spans="1:17" x14ac:dyDescent="0.3">
      <c r="A9929" s="34">
        <f>base!J9929</f>
        <v>0</v>
      </c>
      <c r="B9929" s="34">
        <f>base!V9929</f>
        <v>0</v>
      </c>
      <c r="C9929" s="40" t="s">
        <v>11</v>
      </c>
      <c r="D9929" s="36">
        <f>base!H9929</f>
        <v>0</v>
      </c>
      <c r="E9929" s="44"/>
      <c r="F9929" s="16">
        <f>base!W9929</f>
        <v>0</v>
      </c>
      <c r="G9929" s="11" t="e">
        <f t="shared" si="1523"/>
        <v>#DIV/0!</v>
      </c>
      <c r="H9929" s="11" t="e">
        <f t="shared" si="1524"/>
        <v>#N/A</v>
      </c>
      <c r="I9929" s="11" t="e">
        <f t="shared" si="1525"/>
        <v>#N/A</v>
      </c>
      <c r="J9929" s="12" t="e">
        <f t="shared" si="1526"/>
        <v>#N/A</v>
      </c>
      <c r="K9929" s="17" t="e">
        <f t="shared" si="1530"/>
        <v>#N/A</v>
      </c>
      <c r="L9929" s="16">
        <f>base!X9929</f>
        <v>0</v>
      </c>
      <c r="M9929" s="11" t="e">
        <f t="shared" si="1527"/>
        <v>#DIV/0!</v>
      </c>
      <c r="N9929" s="11"/>
      <c r="O9929" s="11" t="e">
        <f t="shared" si="1528"/>
        <v>#DIV/0!</v>
      </c>
      <c r="P9929" s="12">
        <f t="shared" si="1529"/>
        <v>0</v>
      </c>
      <c r="Q9929" s="17" t="str">
        <f t="shared" si="1531"/>
        <v>Pas d'écart</v>
      </c>
    </row>
    <row r="9930" spans="1:17" x14ac:dyDescent="0.3">
      <c r="A9930" s="34">
        <f>base!J9930</f>
        <v>0</v>
      </c>
      <c r="B9930" s="34">
        <f>base!V9930</f>
        <v>0</v>
      </c>
      <c r="C9930" s="40" t="s">
        <v>11</v>
      </c>
      <c r="D9930" s="36">
        <f>base!H9930</f>
        <v>0</v>
      </c>
      <c r="E9930" s="44"/>
      <c r="F9930" s="16">
        <f>base!W9930</f>
        <v>0</v>
      </c>
      <c r="G9930" s="11" t="e">
        <f t="shared" si="1523"/>
        <v>#DIV/0!</v>
      </c>
      <c r="H9930" s="11" t="e">
        <f t="shared" si="1524"/>
        <v>#N/A</v>
      </c>
      <c r="I9930" s="11" t="e">
        <f t="shared" si="1525"/>
        <v>#N/A</v>
      </c>
      <c r="J9930" s="12" t="e">
        <f t="shared" si="1526"/>
        <v>#N/A</v>
      </c>
      <c r="K9930" s="17" t="e">
        <f t="shared" si="1530"/>
        <v>#N/A</v>
      </c>
      <c r="L9930" s="16">
        <f>base!X9930</f>
        <v>0</v>
      </c>
      <c r="M9930" s="11" t="e">
        <f t="shared" si="1527"/>
        <v>#DIV/0!</v>
      </c>
      <c r="N9930" s="11"/>
      <c r="O9930" s="11" t="e">
        <f t="shared" si="1528"/>
        <v>#DIV/0!</v>
      </c>
      <c r="P9930" s="12">
        <f t="shared" si="1529"/>
        <v>0</v>
      </c>
      <c r="Q9930" s="17" t="str">
        <f t="shared" si="1531"/>
        <v>Pas d'écart</v>
      </c>
    </row>
    <row r="9931" spans="1:17" x14ac:dyDescent="0.3">
      <c r="A9931" s="34">
        <f>base!J9931</f>
        <v>0</v>
      </c>
      <c r="B9931" s="34">
        <f>base!V9931</f>
        <v>0</v>
      </c>
      <c r="C9931" s="40" t="s">
        <v>11</v>
      </c>
      <c r="D9931" s="36">
        <f>base!H9931</f>
        <v>0</v>
      </c>
      <c r="E9931" s="44"/>
      <c r="F9931" s="16">
        <f>base!W9931</f>
        <v>0</v>
      </c>
      <c r="G9931" s="11" t="e">
        <f t="shared" si="1523"/>
        <v>#DIV/0!</v>
      </c>
      <c r="H9931" s="11" t="e">
        <f t="shared" si="1524"/>
        <v>#N/A</v>
      </c>
      <c r="I9931" s="11" t="e">
        <f t="shared" si="1525"/>
        <v>#N/A</v>
      </c>
      <c r="J9931" s="12" t="e">
        <f t="shared" si="1526"/>
        <v>#N/A</v>
      </c>
      <c r="K9931" s="17" t="e">
        <f t="shared" si="1530"/>
        <v>#N/A</v>
      </c>
      <c r="L9931" s="16">
        <f>base!X9931</f>
        <v>0</v>
      </c>
      <c r="M9931" s="11" t="e">
        <f t="shared" si="1527"/>
        <v>#DIV/0!</v>
      </c>
      <c r="N9931" s="11"/>
      <c r="O9931" s="11" t="e">
        <f t="shared" si="1528"/>
        <v>#DIV/0!</v>
      </c>
      <c r="P9931" s="12">
        <f t="shared" si="1529"/>
        <v>0</v>
      </c>
      <c r="Q9931" s="17" t="str">
        <f t="shared" si="1531"/>
        <v>Pas d'écart</v>
      </c>
    </row>
    <row r="9932" spans="1:17" x14ac:dyDescent="0.3">
      <c r="A9932" s="34">
        <f>base!J9932</f>
        <v>0</v>
      </c>
      <c r="B9932" s="34">
        <f>base!V9932</f>
        <v>0</v>
      </c>
      <c r="C9932" s="40" t="s">
        <v>11</v>
      </c>
      <c r="D9932" s="36">
        <f>base!H9932</f>
        <v>0</v>
      </c>
      <c r="E9932" s="44"/>
      <c r="F9932" s="16">
        <f>base!W9932</f>
        <v>0</v>
      </c>
      <c r="G9932" s="11" t="e">
        <f t="shared" si="1523"/>
        <v>#DIV/0!</v>
      </c>
      <c r="H9932" s="11" t="e">
        <f t="shared" si="1524"/>
        <v>#N/A</v>
      </c>
      <c r="I9932" s="11" t="e">
        <f t="shared" si="1525"/>
        <v>#N/A</v>
      </c>
      <c r="J9932" s="12" t="e">
        <f t="shared" si="1526"/>
        <v>#N/A</v>
      </c>
      <c r="K9932" s="17" t="e">
        <f t="shared" si="1530"/>
        <v>#N/A</v>
      </c>
      <c r="L9932" s="16">
        <f>base!X9932</f>
        <v>0</v>
      </c>
      <c r="M9932" s="11" t="e">
        <f t="shared" si="1527"/>
        <v>#DIV/0!</v>
      </c>
      <c r="N9932" s="11"/>
      <c r="O9932" s="11" t="e">
        <f t="shared" si="1528"/>
        <v>#DIV/0!</v>
      </c>
      <c r="P9932" s="12">
        <f t="shared" si="1529"/>
        <v>0</v>
      </c>
      <c r="Q9932" s="17" t="str">
        <f t="shared" si="1531"/>
        <v>Pas d'écart</v>
      </c>
    </row>
    <row r="9933" spans="1:17" x14ac:dyDescent="0.3">
      <c r="A9933" s="34">
        <f>base!J9933</f>
        <v>0</v>
      </c>
      <c r="B9933" s="34">
        <f>base!V9933</f>
        <v>0</v>
      </c>
      <c r="C9933" s="40" t="s">
        <v>11</v>
      </c>
      <c r="D9933" s="36">
        <f>base!H9933</f>
        <v>0</v>
      </c>
      <c r="E9933" s="44"/>
      <c r="F9933" s="16">
        <f>base!W9933</f>
        <v>0</v>
      </c>
      <c r="G9933" s="11" t="e">
        <f t="shared" si="1523"/>
        <v>#DIV/0!</v>
      </c>
      <c r="H9933" s="11" t="e">
        <f t="shared" si="1524"/>
        <v>#N/A</v>
      </c>
      <c r="I9933" s="11" t="e">
        <f t="shared" si="1525"/>
        <v>#N/A</v>
      </c>
      <c r="J9933" s="12" t="e">
        <f t="shared" si="1526"/>
        <v>#N/A</v>
      </c>
      <c r="K9933" s="17" t="e">
        <f t="shared" si="1530"/>
        <v>#N/A</v>
      </c>
      <c r="L9933" s="16">
        <f>base!X9933</f>
        <v>0</v>
      </c>
      <c r="M9933" s="11" t="e">
        <f t="shared" si="1527"/>
        <v>#DIV/0!</v>
      </c>
      <c r="N9933" s="11"/>
      <c r="O9933" s="11" t="e">
        <f t="shared" si="1528"/>
        <v>#DIV/0!</v>
      </c>
      <c r="P9933" s="12">
        <f t="shared" si="1529"/>
        <v>0</v>
      </c>
      <c r="Q9933" s="17" t="str">
        <f t="shared" si="1531"/>
        <v>Pas d'écart</v>
      </c>
    </row>
    <row r="9934" spans="1:17" x14ac:dyDescent="0.3">
      <c r="A9934" s="34">
        <f>base!J9934</f>
        <v>0</v>
      </c>
      <c r="B9934" s="34">
        <f>base!V9934</f>
        <v>0</v>
      </c>
      <c r="C9934" s="40" t="s">
        <v>11</v>
      </c>
      <c r="D9934" s="36">
        <f>base!H9934</f>
        <v>0</v>
      </c>
      <c r="E9934" s="44"/>
      <c r="F9934" s="16">
        <f>base!W9934</f>
        <v>0</v>
      </c>
      <c r="G9934" s="11" t="e">
        <f t="shared" si="1523"/>
        <v>#DIV/0!</v>
      </c>
      <c r="H9934" s="11" t="e">
        <f t="shared" si="1524"/>
        <v>#N/A</v>
      </c>
      <c r="I9934" s="11" t="e">
        <f t="shared" si="1525"/>
        <v>#N/A</v>
      </c>
      <c r="J9934" s="12" t="e">
        <f t="shared" si="1526"/>
        <v>#N/A</v>
      </c>
      <c r="K9934" s="17" t="e">
        <f t="shared" si="1530"/>
        <v>#N/A</v>
      </c>
      <c r="L9934" s="16">
        <f>base!X9934</f>
        <v>0</v>
      </c>
      <c r="M9934" s="11" t="e">
        <f t="shared" si="1527"/>
        <v>#DIV/0!</v>
      </c>
      <c r="N9934" s="11"/>
      <c r="O9934" s="11" t="e">
        <f t="shared" si="1528"/>
        <v>#DIV/0!</v>
      </c>
      <c r="P9934" s="12">
        <f t="shared" si="1529"/>
        <v>0</v>
      </c>
      <c r="Q9934" s="17" t="str">
        <f t="shared" si="1531"/>
        <v>Pas d'écart</v>
      </c>
    </row>
    <row r="9935" spans="1:17" x14ac:dyDescent="0.3">
      <c r="A9935" s="34">
        <f>base!J9935</f>
        <v>0</v>
      </c>
      <c r="B9935" s="34">
        <f>base!V9935</f>
        <v>0</v>
      </c>
      <c r="C9935" s="40" t="s">
        <v>11</v>
      </c>
      <c r="D9935" s="36">
        <f>base!H9935</f>
        <v>0</v>
      </c>
      <c r="E9935" s="44"/>
      <c r="F9935" s="16">
        <f>base!W9935</f>
        <v>0</v>
      </c>
      <c r="G9935" s="11" t="e">
        <f t="shared" si="1523"/>
        <v>#DIV/0!</v>
      </c>
      <c r="H9935" s="11" t="e">
        <f t="shared" si="1524"/>
        <v>#N/A</v>
      </c>
      <c r="I9935" s="11" t="e">
        <f t="shared" si="1525"/>
        <v>#N/A</v>
      </c>
      <c r="J9935" s="12" t="e">
        <f t="shared" si="1526"/>
        <v>#N/A</v>
      </c>
      <c r="K9935" s="17" t="e">
        <f t="shared" si="1530"/>
        <v>#N/A</v>
      </c>
      <c r="L9935" s="16">
        <f>base!X9935</f>
        <v>0</v>
      </c>
      <c r="M9935" s="11" t="e">
        <f t="shared" si="1527"/>
        <v>#DIV/0!</v>
      </c>
      <c r="N9935" s="11"/>
      <c r="O9935" s="11" t="e">
        <f t="shared" si="1528"/>
        <v>#DIV/0!</v>
      </c>
      <c r="P9935" s="12">
        <f t="shared" si="1529"/>
        <v>0</v>
      </c>
      <c r="Q9935" s="17" t="str">
        <f t="shared" si="1531"/>
        <v>Pas d'écart</v>
      </c>
    </row>
    <row r="9936" spans="1:17" x14ac:dyDescent="0.3">
      <c r="A9936" s="34">
        <f>base!J9936</f>
        <v>0</v>
      </c>
      <c r="B9936" s="34">
        <f>base!V9936</f>
        <v>0</v>
      </c>
      <c r="C9936" s="40" t="s">
        <v>11</v>
      </c>
      <c r="D9936" s="36">
        <f>base!H9936</f>
        <v>0</v>
      </c>
      <c r="E9936" s="44"/>
      <c r="F9936" s="16">
        <f>base!W9936</f>
        <v>0</v>
      </c>
      <c r="G9936" s="11" t="e">
        <f t="shared" si="1523"/>
        <v>#DIV/0!</v>
      </c>
      <c r="H9936" s="11" t="e">
        <f t="shared" si="1524"/>
        <v>#N/A</v>
      </c>
      <c r="I9936" s="11" t="e">
        <f t="shared" si="1525"/>
        <v>#N/A</v>
      </c>
      <c r="J9936" s="12" t="e">
        <f t="shared" si="1526"/>
        <v>#N/A</v>
      </c>
      <c r="K9936" s="17" t="e">
        <f t="shared" si="1530"/>
        <v>#N/A</v>
      </c>
      <c r="L9936" s="16">
        <f>base!X9936</f>
        <v>0</v>
      </c>
      <c r="M9936" s="11" t="e">
        <f t="shared" si="1527"/>
        <v>#DIV/0!</v>
      </c>
      <c r="N9936" s="11"/>
      <c r="O9936" s="11" t="e">
        <f t="shared" si="1528"/>
        <v>#DIV/0!</v>
      </c>
      <c r="P9936" s="12">
        <f t="shared" si="1529"/>
        <v>0</v>
      </c>
      <c r="Q9936" s="17" t="str">
        <f t="shared" si="1531"/>
        <v>Pas d'écart</v>
      </c>
    </row>
    <row r="9937" spans="1:17" x14ac:dyDescent="0.3">
      <c r="A9937" s="34">
        <f>base!J9937</f>
        <v>0</v>
      </c>
      <c r="B9937" s="34">
        <f>base!V9937</f>
        <v>0</v>
      </c>
      <c r="C9937" s="40" t="s">
        <v>11</v>
      </c>
      <c r="D9937" s="36">
        <f>base!H9937</f>
        <v>0</v>
      </c>
      <c r="E9937" s="44"/>
      <c r="F9937" s="16">
        <f>base!W9937</f>
        <v>0</v>
      </c>
      <c r="G9937" s="11" t="e">
        <f t="shared" si="1523"/>
        <v>#DIV/0!</v>
      </c>
      <c r="H9937" s="11" t="e">
        <f t="shared" si="1524"/>
        <v>#N/A</v>
      </c>
      <c r="I9937" s="11" t="e">
        <f t="shared" si="1525"/>
        <v>#N/A</v>
      </c>
      <c r="J9937" s="12" t="e">
        <f t="shared" si="1526"/>
        <v>#N/A</v>
      </c>
      <c r="K9937" s="17" t="e">
        <f t="shared" si="1530"/>
        <v>#N/A</v>
      </c>
      <c r="L9937" s="16">
        <f>base!X9937</f>
        <v>0</v>
      </c>
      <c r="M9937" s="11" t="e">
        <f t="shared" si="1527"/>
        <v>#DIV/0!</v>
      </c>
      <c r="N9937" s="11"/>
      <c r="O9937" s="11" t="e">
        <f t="shared" si="1528"/>
        <v>#DIV/0!</v>
      </c>
      <c r="P9937" s="12">
        <f t="shared" si="1529"/>
        <v>0</v>
      </c>
      <c r="Q9937" s="17" t="str">
        <f t="shared" si="1531"/>
        <v>Pas d'écart</v>
      </c>
    </row>
    <row r="9938" spans="1:17" x14ac:dyDescent="0.3">
      <c r="A9938" s="34">
        <f>base!J9938</f>
        <v>0</v>
      </c>
      <c r="B9938" s="34">
        <f>base!V9938</f>
        <v>0</v>
      </c>
      <c r="C9938" s="40" t="s">
        <v>11</v>
      </c>
      <c r="D9938" s="36">
        <f>base!H9938</f>
        <v>0</v>
      </c>
      <c r="E9938" s="44"/>
      <c r="F9938" s="16">
        <f>base!W9938</f>
        <v>0</v>
      </c>
      <c r="G9938" s="11" t="e">
        <f t="shared" si="1523"/>
        <v>#DIV/0!</v>
      </c>
      <c r="H9938" s="11" t="e">
        <f t="shared" si="1524"/>
        <v>#N/A</v>
      </c>
      <c r="I9938" s="11" t="e">
        <f t="shared" si="1525"/>
        <v>#N/A</v>
      </c>
      <c r="J9938" s="12" t="e">
        <f t="shared" si="1526"/>
        <v>#N/A</v>
      </c>
      <c r="K9938" s="17" t="e">
        <f t="shared" si="1530"/>
        <v>#N/A</v>
      </c>
      <c r="L9938" s="16">
        <f>base!X9938</f>
        <v>0</v>
      </c>
      <c r="M9938" s="11" t="e">
        <f t="shared" si="1527"/>
        <v>#DIV/0!</v>
      </c>
      <c r="N9938" s="11"/>
      <c r="O9938" s="11" t="e">
        <f t="shared" si="1528"/>
        <v>#DIV/0!</v>
      </c>
      <c r="P9938" s="12">
        <f t="shared" si="1529"/>
        <v>0</v>
      </c>
      <c r="Q9938" s="17" t="str">
        <f t="shared" si="1531"/>
        <v>Pas d'écart</v>
      </c>
    </row>
    <row r="9939" spans="1:17" x14ac:dyDescent="0.3">
      <c r="A9939" s="34">
        <f>base!J9939</f>
        <v>0</v>
      </c>
      <c r="B9939" s="34">
        <f>base!V9939</f>
        <v>0</v>
      </c>
      <c r="C9939" s="40" t="s">
        <v>11</v>
      </c>
      <c r="D9939" s="36">
        <f>base!H9939</f>
        <v>0</v>
      </c>
      <c r="E9939" s="44"/>
      <c r="F9939" s="16">
        <f>base!W9939</f>
        <v>0</v>
      </c>
      <c r="G9939" s="11" t="e">
        <f t="shared" si="1523"/>
        <v>#DIV/0!</v>
      </c>
      <c r="H9939" s="11" t="e">
        <f t="shared" si="1524"/>
        <v>#N/A</v>
      </c>
      <c r="I9939" s="11" t="e">
        <f t="shared" si="1525"/>
        <v>#N/A</v>
      </c>
      <c r="J9939" s="12" t="e">
        <f t="shared" si="1526"/>
        <v>#N/A</v>
      </c>
      <c r="K9939" s="17" t="e">
        <f t="shared" si="1530"/>
        <v>#N/A</v>
      </c>
      <c r="L9939" s="16">
        <f>base!X9939</f>
        <v>0</v>
      </c>
      <c r="M9939" s="11" t="e">
        <f t="shared" si="1527"/>
        <v>#DIV/0!</v>
      </c>
      <c r="N9939" s="11"/>
      <c r="O9939" s="11" t="e">
        <f t="shared" si="1528"/>
        <v>#DIV/0!</v>
      </c>
      <c r="P9939" s="12">
        <f t="shared" si="1529"/>
        <v>0</v>
      </c>
      <c r="Q9939" s="17" t="str">
        <f t="shared" si="1531"/>
        <v>Pas d'écart</v>
      </c>
    </row>
    <row r="9940" spans="1:17" x14ac:dyDescent="0.3">
      <c r="A9940" s="34">
        <f>base!J9940</f>
        <v>0</v>
      </c>
      <c r="B9940" s="34">
        <f>base!V9940</f>
        <v>0</v>
      </c>
      <c r="C9940" s="40" t="s">
        <v>11</v>
      </c>
      <c r="D9940" s="36">
        <f>base!H9940</f>
        <v>0</v>
      </c>
      <c r="E9940" s="44"/>
      <c r="F9940" s="16">
        <f>base!W9940</f>
        <v>0</v>
      </c>
      <c r="G9940" s="11" t="e">
        <f t="shared" si="1523"/>
        <v>#DIV/0!</v>
      </c>
      <c r="H9940" s="11" t="e">
        <f t="shared" si="1524"/>
        <v>#N/A</v>
      </c>
      <c r="I9940" s="11" t="e">
        <f t="shared" si="1525"/>
        <v>#N/A</v>
      </c>
      <c r="J9940" s="12" t="e">
        <f t="shared" si="1526"/>
        <v>#N/A</v>
      </c>
      <c r="K9940" s="17" t="e">
        <f t="shared" si="1530"/>
        <v>#N/A</v>
      </c>
      <c r="L9940" s="16">
        <f>base!X9940</f>
        <v>0</v>
      </c>
      <c r="M9940" s="11" t="e">
        <f t="shared" si="1527"/>
        <v>#DIV/0!</v>
      </c>
      <c r="N9940" s="11"/>
      <c r="O9940" s="11" t="e">
        <f t="shared" si="1528"/>
        <v>#DIV/0!</v>
      </c>
      <c r="P9940" s="12">
        <f t="shared" si="1529"/>
        <v>0</v>
      </c>
      <c r="Q9940" s="17" t="str">
        <f t="shared" si="1531"/>
        <v>Pas d'écart</v>
      </c>
    </row>
    <row r="9941" spans="1:17" x14ac:dyDescent="0.3">
      <c r="A9941" s="34">
        <f>base!J9941</f>
        <v>0</v>
      </c>
      <c r="B9941" s="34">
        <f>base!V9941</f>
        <v>0</v>
      </c>
      <c r="C9941" s="40" t="s">
        <v>11</v>
      </c>
      <c r="D9941" s="36">
        <f>base!H9941</f>
        <v>0</v>
      </c>
      <c r="E9941" s="44"/>
      <c r="F9941" s="16">
        <f>base!W9941</f>
        <v>0</v>
      </c>
      <c r="G9941" s="11" t="e">
        <f t="shared" si="1523"/>
        <v>#DIV/0!</v>
      </c>
      <c r="H9941" s="11" t="e">
        <f t="shared" si="1524"/>
        <v>#N/A</v>
      </c>
      <c r="I9941" s="11" t="e">
        <f t="shared" si="1525"/>
        <v>#N/A</v>
      </c>
      <c r="J9941" s="12" t="e">
        <f t="shared" si="1526"/>
        <v>#N/A</v>
      </c>
      <c r="K9941" s="17" t="e">
        <f t="shared" si="1530"/>
        <v>#N/A</v>
      </c>
      <c r="L9941" s="16">
        <f>base!X9941</f>
        <v>0</v>
      </c>
      <c r="M9941" s="11" t="e">
        <f t="shared" si="1527"/>
        <v>#DIV/0!</v>
      </c>
      <c r="N9941" s="11"/>
      <c r="O9941" s="11" t="e">
        <f t="shared" si="1528"/>
        <v>#DIV/0!</v>
      </c>
      <c r="P9941" s="12">
        <f t="shared" si="1529"/>
        <v>0</v>
      </c>
      <c r="Q9941" s="17" t="str">
        <f t="shared" si="1531"/>
        <v>Pas d'écart</v>
      </c>
    </row>
    <row r="9942" spans="1:17" x14ac:dyDescent="0.3">
      <c r="A9942" s="34">
        <f>base!J9942</f>
        <v>0</v>
      </c>
      <c r="B9942" s="34">
        <f>base!V9942</f>
        <v>0</v>
      </c>
      <c r="C9942" s="40" t="s">
        <v>11</v>
      </c>
      <c r="D9942" s="36">
        <f>base!H9942</f>
        <v>0</v>
      </c>
      <c r="E9942" s="44"/>
      <c r="F9942" s="16">
        <f>base!W9942</f>
        <v>0</v>
      </c>
      <c r="G9942" s="11" t="e">
        <f t="shared" si="1523"/>
        <v>#DIV/0!</v>
      </c>
      <c r="H9942" s="11" t="e">
        <f t="shared" si="1524"/>
        <v>#N/A</v>
      </c>
      <c r="I9942" s="11" t="e">
        <f t="shared" si="1525"/>
        <v>#N/A</v>
      </c>
      <c r="J9942" s="12" t="e">
        <f t="shared" si="1526"/>
        <v>#N/A</v>
      </c>
      <c r="K9942" s="17" t="e">
        <f t="shared" si="1530"/>
        <v>#N/A</v>
      </c>
      <c r="L9942" s="16">
        <f>base!X9942</f>
        <v>0</v>
      </c>
      <c r="M9942" s="11" t="e">
        <f t="shared" si="1527"/>
        <v>#DIV/0!</v>
      </c>
      <c r="N9942" s="11"/>
      <c r="O9942" s="11" t="e">
        <f t="shared" si="1528"/>
        <v>#DIV/0!</v>
      </c>
      <c r="P9942" s="12">
        <f t="shared" si="1529"/>
        <v>0</v>
      </c>
      <c r="Q9942" s="17" t="str">
        <f t="shared" si="1531"/>
        <v>Pas d'écart</v>
      </c>
    </row>
    <row r="9943" spans="1:17" x14ac:dyDescent="0.3">
      <c r="A9943" s="34">
        <f>base!J9943</f>
        <v>0</v>
      </c>
      <c r="B9943" s="34">
        <f>base!V9943</f>
        <v>0</v>
      </c>
      <c r="C9943" s="40" t="s">
        <v>11</v>
      </c>
      <c r="D9943" s="36">
        <f>base!H9943</f>
        <v>0</v>
      </c>
      <c r="E9943" s="44"/>
      <c r="F9943" s="16">
        <f>base!W9943</f>
        <v>0</v>
      </c>
      <c r="G9943" s="11" t="e">
        <f t="shared" si="1523"/>
        <v>#DIV/0!</v>
      </c>
      <c r="H9943" s="11" t="e">
        <f t="shared" si="1524"/>
        <v>#N/A</v>
      </c>
      <c r="I9943" s="11" t="e">
        <f t="shared" si="1525"/>
        <v>#N/A</v>
      </c>
      <c r="J9943" s="12" t="e">
        <f t="shared" si="1526"/>
        <v>#N/A</v>
      </c>
      <c r="K9943" s="17" t="e">
        <f t="shared" si="1530"/>
        <v>#N/A</v>
      </c>
      <c r="L9943" s="16">
        <f>base!X9943</f>
        <v>0</v>
      </c>
      <c r="M9943" s="11" t="e">
        <f t="shared" si="1527"/>
        <v>#DIV/0!</v>
      </c>
      <c r="N9943" s="11"/>
      <c r="O9943" s="11" t="e">
        <f t="shared" si="1528"/>
        <v>#DIV/0!</v>
      </c>
      <c r="P9943" s="12">
        <f t="shared" si="1529"/>
        <v>0</v>
      </c>
      <c r="Q9943" s="17" t="str">
        <f t="shared" si="1531"/>
        <v>Pas d'écart</v>
      </c>
    </row>
    <row r="9944" spans="1:17" x14ac:dyDescent="0.3">
      <c r="A9944" s="34">
        <f>base!J9944</f>
        <v>0</v>
      </c>
      <c r="B9944" s="34">
        <f>base!V9944</f>
        <v>0</v>
      </c>
      <c r="C9944" s="40" t="s">
        <v>11</v>
      </c>
      <c r="D9944" s="36">
        <f>base!H9944</f>
        <v>0</v>
      </c>
      <c r="E9944" s="44"/>
      <c r="F9944" s="16">
        <f>base!W9944</f>
        <v>0</v>
      </c>
      <c r="G9944" s="11" t="e">
        <f t="shared" si="1523"/>
        <v>#DIV/0!</v>
      </c>
      <c r="H9944" s="11" t="e">
        <f t="shared" si="1524"/>
        <v>#N/A</v>
      </c>
      <c r="I9944" s="11" t="e">
        <f t="shared" si="1525"/>
        <v>#N/A</v>
      </c>
      <c r="J9944" s="12" t="e">
        <f t="shared" si="1526"/>
        <v>#N/A</v>
      </c>
      <c r="K9944" s="17" t="e">
        <f t="shared" si="1530"/>
        <v>#N/A</v>
      </c>
      <c r="L9944" s="16">
        <f>base!X9944</f>
        <v>0</v>
      </c>
      <c r="M9944" s="11" t="e">
        <f t="shared" si="1527"/>
        <v>#DIV/0!</v>
      </c>
      <c r="N9944" s="11"/>
      <c r="O9944" s="11" t="e">
        <f t="shared" si="1528"/>
        <v>#DIV/0!</v>
      </c>
      <c r="P9944" s="12">
        <f t="shared" si="1529"/>
        <v>0</v>
      </c>
      <c r="Q9944" s="17" t="str">
        <f t="shared" si="1531"/>
        <v>Pas d'écart</v>
      </c>
    </row>
    <row r="9945" spans="1:17" x14ac:dyDescent="0.3">
      <c r="A9945" s="34">
        <f>base!J9945</f>
        <v>0</v>
      </c>
      <c r="B9945" s="34">
        <f>base!V9945</f>
        <v>0</v>
      </c>
      <c r="C9945" s="40" t="s">
        <v>11</v>
      </c>
      <c r="D9945" s="36">
        <f>base!H9945</f>
        <v>0</v>
      </c>
      <c r="E9945" s="44"/>
      <c r="F9945" s="16">
        <f>base!W9945</f>
        <v>0</v>
      </c>
      <c r="G9945" s="11" t="e">
        <f t="shared" si="1523"/>
        <v>#DIV/0!</v>
      </c>
      <c r="H9945" s="11" t="e">
        <f t="shared" si="1524"/>
        <v>#N/A</v>
      </c>
      <c r="I9945" s="11" t="e">
        <f t="shared" si="1525"/>
        <v>#N/A</v>
      </c>
      <c r="J9945" s="12" t="e">
        <f t="shared" si="1526"/>
        <v>#N/A</v>
      </c>
      <c r="K9945" s="17" t="e">
        <f t="shared" si="1530"/>
        <v>#N/A</v>
      </c>
      <c r="L9945" s="16">
        <f>base!X9945</f>
        <v>0</v>
      </c>
      <c r="M9945" s="11" t="e">
        <f t="shared" si="1527"/>
        <v>#DIV/0!</v>
      </c>
      <c r="N9945" s="11"/>
      <c r="O9945" s="11" t="e">
        <f t="shared" si="1528"/>
        <v>#DIV/0!</v>
      </c>
      <c r="P9945" s="12">
        <f t="shared" si="1529"/>
        <v>0</v>
      </c>
      <c r="Q9945" s="17" t="str">
        <f t="shared" si="1531"/>
        <v>Pas d'écart</v>
      </c>
    </row>
    <row r="9946" spans="1:17" x14ac:dyDescent="0.3">
      <c r="A9946" s="34">
        <f>base!J9946</f>
        <v>0</v>
      </c>
      <c r="B9946" s="34">
        <f>base!V9946</f>
        <v>0</v>
      </c>
      <c r="C9946" s="40" t="s">
        <v>11</v>
      </c>
      <c r="D9946" s="36">
        <f>base!H9946</f>
        <v>0</v>
      </c>
      <c r="E9946" s="44"/>
      <c r="F9946" s="16">
        <f>base!W9946</f>
        <v>0</v>
      </c>
      <c r="G9946" s="11" t="e">
        <f t="shared" si="1523"/>
        <v>#DIV/0!</v>
      </c>
      <c r="H9946" s="11" t="e">
        <f t="shared" si="1524"/>
        <v>#N/A</v>
      </c>
      <c r="I9946" s="11" t="e">
        <f t="shared" si="1525"/>
        <v>#N/A</v>
      </c>
      <c r="J9946" s="12" t="e">
        <f t="shared" si="1526"/>
        <v>#N/A</v>
      </c>
      <c r="K9946" s="17" t="e">
        <f t="shared" si="1530"/>
        <v>#N/A</v>
      </c>
      <c r="L9946" s="16">
        <f>base!X9946</f>
        <v>0</v>
      </c>
      <c r="M9946" s="11" t="e">
        <f t="shared" si="1527"/>
        <v>#DIV/0!</v>
      </c>
      <c r="N9946" s="11"/>
      <c r="O9946" s="11" t="e">
        <f t="shared" si="1528"/>
        <v>#DIV/0!</v>
      </c>
      <c r="P9946" s="12">
        <f t="shared" si="1529"/>
        <v>0</v>
      </c>
      <c r="Q9946" s="17" t="str">
        <f t="shared" si="1531"/>
        <v>Pas d'écart</v>
      </c>
    </row>
    <row r="9947" spans="1:17" x14ac:dyDescent="0.3">
      <c r="A9947" s="34">
        <f>base!J9947</f>
        <v>0</v>
      </c>
      <c r="B9947" s="34">
        <f>base!V9947</f>
        <v>0</v>
      </c>
      <c r="C9947" s="40" t="s">
        <v>11</v>
      </c>
      <c r="D9947" s="36">
        <f>base!H9947</f>
        <v>0</v>
      </c>
      <c r="E9947" s="44"/>
      <c r="F9947" s="16">
        <f>base!W9947</f>
        <v>0</v>
      </c>
      <c r="G9947" s="11" t="e">
        <f t="shared" si="1523"/>
        <v>#DIV/0!</v>
      </c>
      <c r="H9947" s="11" t="e">
        <f t="shared" si="1524"/>
        <v>#N/A</v>
      </c>
      <c r="I9947" s="11" t="e">
        <f t="shared" si="1525"/>
        <v>#N/A</v>
      </c>
      <c r="J9947" s="12" t="e">
        <f t="shared" si="1526"/>
        <v>#N/A</v>
      </c>
      <c r="K9947" s="17" t="e">
        <f t="shared" si="1530"/>
        <v>#N/A</v>
      </c>
      <c r="L9947" s="16">
        <f>base!X9947</f>
        <v>0</v>
      </c>
      <c r="M9947" s="11" t="e">
        <f t="shared" si="1527"/>
        <v>#DIV/0!</v>
      </c>
      <c r="N9947" s="11"/>
      <c r="O9947" s="11" t="e">
        <f t="shared" si="1528"/>
        <v>#DIV/0!</v>
      </c>
      <c r="P9947" s="12">
        <f t="shared" si="1529"/>
        <v>0</v>
      </c>
      <c r="Q9947" s="17" t="str">
        <f t="shared" si="1531"/>
        <v>Pas d'écart</v>
      </c>
    </row>
    <row r="9948" spans="1:17" x14ac:dyDescent="0.3">
      <c r="A9948" s="34">
        <f>base!J9948</f>
        <v>0</v>
      </c>
      <c r="B9948" s="34">
        <f>base!V9948</f>
        <v>0</v>
      </c>
      <c r="C9948" s="40" t="s">
        <v>11</v>
      </c>
      <c r="D9948" s="36">
        <f>base!H9948</f>
        <v>0</v>
      </c>
      <c r="E9948" s="44"/>
      <c r="F9948" s="16">
        <f>base!W9948</f>
        <v>0</v>
      </c>
      <c r="G9948" s="11" t="e">
        <f t="shared" si="1523"/>
        <v>#DIV/0!</v>
      </c>
      <c r="H9948" s="11" t="e">
        <f t="shared" si="1524"/>
        <v>#N/A</v>
      </c>
      <c r="I9948" s="11" t="e">
        <f t="shared" si="1525"/>
        <v>#N/A</v>
      </c>
      <c r="J9948" s="12" t="e">
        <f t="shared" si="1526"/>
        <v>#N/A</v>
      </c>
      <c r="K9948" s="17" t="e">
        <f t="shared" si="1530"/>
        <v>#N/A</v>
      </c>
      <c r="L9948" s="16">
        <f>base!X9948</f>
        <v>0</v>
      </c>
      <c r="M9948" s="11" t="e">
        <f t="shared" si="1527"/>
        <v>#DIV/0!</v>
      </c>
      <c r="N9948" s="11"/>
      <c r="O9948" s="11" t="e">
        <f t="shared" si="1528"/>
        <v>#DIV/0!</v>
      </c>
      <c r="P9948" s="12">
        <f t="shared" si="1529"/>
        <v>0</v>
      </c>
      <c r="Q9948" s="17" t="str">
        <f t="shared" si="1531"/>
        <v>Pas d'écart</v>
      </c>
    </row>
    <row r="9949" spans="1:17" x14ac:dyDescent="0.3">
      <c r="A9949" s="34">
        <f>base!J9949</f>
        <v>0</v>
      </c>
      <c r="B9949" s="34">
        <f>base!V9949</f>
        <v>0</v>
      </c>
      <c r="C9949" s="40" t="s">
        <v>11</v>
      </c>
      <c r="D9949" s="36">
        <f>base!H9949</f>
        <v>0</v>
      </c>
      <c r="E9949" s="44"/>
      <c r="F9949" s="16">
        <f>base!W9949</f>
        <v>0</v>
      </c>
      <c r="G9949" s="11" t="e">
        <f t="shared" si="1523"/>
        <v>#DIV/0!</v>
      </c>
      <c r="H9949" s="11" t="e">
        <f t="shared" si="1524"/>
        <v>#N/A</v>
      </c>
      <c r="I9949" s="11" t="e">
        <f t="shared" si="1525"/>
        <v>#N/A</v>
      </c>
      <c r="J9949" s="12" t="e">
        <f t="shared" si="1526"/>
        <v>#N/A</v>
      </c>
      <c r="K9949" s="17" t="e">
        <f t="shared" si="1530"/>
        <v>#N/A</v>
      </c>
      <c r="L9949" s="16">
        <f>base!X9949</f>
        <v>0</v>
      </c>
      <c r="M9949" s="11" t="e">
        <f t="shared" si="1527"/>
        <v>#DIV/0!</v>
      </c>
      <c r="N9949" s="11"/>
      <c r="O9949" s="11" t="e">
        <f t="shared" si="1528"/>
        <v>#DIV/0!</v>
      </c>
      <c r="P9949" s="12">
        <f t="shared" si="1529"/>
        <v>0</v>
      </c>
      <c r="Q9949" s="17" t="str">
        <f t="shared" si="1531"/>
        <v>Pas d'écart</v>
      </c>
    </row>
    <row r="9950" spans="1:17" x14ac:dyDescent="0.3">
      <c r="A9950" s="34">
        <f>base!J9950</f>
        <v>0</v>
      </c>
      <c r="B9950" s="34">
        <f>base!V9950</f>
        <v>0</v>
      </c>
      <c r="C9950" s="40" t="s">
        <v>11</v>
      </c>
      <c r="D9950" s="36">
        <f>base!H9950</f>
        <v>0</v>
      </c>
      <c r="E9950" s="44"/>
      <c r="F9950" s="16">
        <f>base!W9950</f>
        <v>0</v>
      </c>
      <c r="G9950" s="11" t="e">
        <f t="shared" si="1523"/>
        <v>#DIV/0!</v>
      </c>
      <c r="H9950" s="11" t="e">
        <f t="shared" si="1524"/>
        <v>#N/A</v>
      </c>
      <c r="I9950" s="11" t="e">
        <f t="shared" si="1525"/>
        <v>#N/A</v>
      </c>
      <c r="J9950" s="12" t="e">
        <f t="shared" si="1526"/>
        <v>#N/A</v>
      </c>
      <c r="K9950" s="17" t="e">
        <f t="shared" si="1530"/>
        <v>#N/A</v>
      </c>
      <c r="L9950" s="16">
        <f>base!X9950</f>
        <v>0</v>
      </c>
      <c r="M9950" s="11" t="e">
        <f t="shared" si="1527"/>
        <v>#DIV/0!</v>
      </c>
      <c r="N9950" s="11"/>
      <c r="O9950" s="11" t="e">
        <f t="shared" si="1528"/>
        <v>#DIV/0!</v>
      </c>
      <c r="P9950" s="12">
        <f t="shared" si="1529"/>
        <v>0</v>
      </c>
      <c r="Q9950" s="17" t="str">
        <f t="shared" si="1531"/>
        <v>Pas d'écart</v>
      </c>
    </row>
    <row r="9951" spans="1:17" x14ac:dyDescent="0.3">
      <c r="A9951" s="34">
        <f>base!J9951</f>
        <v>0</v>
      </c>
      <c r="B9951" s="34">
        <f>base!V9951</f>
        <v>0</v>
      </c>
      <c r="C9951" s="40" t="s">
        <v>11</v>
      </c>
      <c r="D9951" s="36">
        <f>base!H9951</f>
        <v>0</v>
      </c>
      <c r="E9951" s="44"/>
      <c r="F9951" s="16">
        <f>base!W9951</f>
        <v>0</v>
      </c>
      <c r="G9951" s="11" t="e">
        <f t="shared" si="1523"/>
        <v>#DIV/0!</v>
      </c>
      <c r="H9951" s="11" t="e">
        <f t="shared" si="1524"/>
        <v>#N/A</v>
      </c>
      <c r="I9951" s="11" t="e">
        <f t="shared" si="1525"/>
        <v>#N/A</v>
      </c>
      <c r="J9951" s="12" t="e">
        <f t="shared" si="1526"/>
        <v>#N/A</v>
      </c>
      <c r="K9951" s="17" t="e">
        <f t="shared" si="1530"/>
        <v>#N/A</v>
      </c>
      <c r="L9951" s="16">
        <f>base!X9951</f>
        <v>0</v>
      </c>
      <c r="M9951" s="11" t="e">
        <f t="shared" si="1527"/>
        <v>#DIV/0!</v>
      </c>
      <c r="N9951" s="11"/>
      <c r="O9951" s="11" t="e">
        <f t="shared" si="1528"/>
        <v>#DIV/0!</v>
      </c>
      <c r="P9951" s="12">
        <f t="shared" si="1529"/>
        <v>0</v>
      </c>
      <c r="Q9951" s="17" t="str">
        <f t="shared" si="1531"/>
        <v>Pas d'écart</v>
      </c>
    </row>
    <row r="9952" spans="1:17" x14ac:dyDescent="0.3">
      <c r="A9952" s="34">
        <f>base!J9952</f>
        <v>0</v>
      </c>
      <c r="B9952" s="34">
        <f>base!V9952</f>
        <v>0</v>
      </c>
      <c r="C9952" s="40" t="s">
        <v>11</v>
      </c>
      <c r="D9952" s="36">
        <f>base!H9952</f>
        <v>0</v>
      </c>
      <c r="E9952" s="44"/>
      <c r="F9952" s="16">
        <f>base!W9952</f>
        <v>0</v>
      </c>
      <c r="G9952" s="11" t="e">
        <f t="shared" si="1523"/>
        <v>#DIV/0!</v>
      </c>
      <c r="H9952" s="11" t="e">
        <f t="shared" si="1524"/>
        <v>#N/A</v>
      </c>
      <c r="I9952" s="11" t="e">
        <f t="shared" si="1525"/>
        <v>#N/A</v>
      </c>
      <c r="J9952" s="12" t="e">
        <f t="shared" si="1526"/>
        <v>#N/A</v>
      </c>
      <c r="K9952" s="17" t="e">
        <f t="shared" si="1530"/>
        <v>#N/A</v>
      </c>
      <c r="L9952" s="16">
        <f>base!X9952</f>
        <v>0</v>
      </c>
      <c r="M9952" s="11" t="e">
        <f t="shared" si="1527"/>
        <v>#DIV/0!</v>
      </c>
      <c r="N9952" s="11"/>
      <c r="O9952" s="11" t="e">
        <f t="shared" si="1528"/>
        <v>#DIV/0!</v>
      </c>
      <c r="P9952" s="12">
        <f t="shared" si="1529"/>
        <v>0</v>
      </c>
      <c r="Q9952" s="17" t="str">
        <f t="shared" si="1531"/>
        <v>Pas d'écart</v>
      </c>
    </row>
    <row r="9953" spans="1:17" x14ac:dyDescent="0.3">
      <c r="A9953" s="34">
        <f>base!J9953</f>
        <v>0</v>
      </c>
      <c r="B9953" s="34">
        <f>base!V9953</f>
        <v>0</v>
      </c>
      <c r="C9953" s="40" t="s">
        <v>11</v>
      </c>
      <c r="D9953" s="36">
        <f>base!H9953</f>
        <v>0</v>
      </c>
      <c r="E9953" s="44"/>
      <c r="F9953" s="16">
        <f>base!W9953</f>
        <v>0</v>
      </c>
      <c r="G9953" s="11" t="e">
        <f t="shared" si="1523"/>
        <v>#DIV/0!</v>
      </c>
      <c r="H9953" s="11" t="e">
        <f t="shared" si="1524"/>
        <v>#N/A</v>
      </c>
      <c r="I9953" s="11" t="e">
        <f t="shared" si="1525"/>
        <v>#N/A</v>
      </c>
      <c r="J9953" s="12" t="e">
        <f t="shared" si="1526"/>
        <v>#N/A</v>
      </c>
      <c r="K9953" s="17" t="e">
        <f t="shared" si="1530"/>
        <v>#N/A</v>
      </c>
      <c r="L9953" s="16">
        <f>base!X9953</f>
        <v>0</v>
      </c>
      <c r="M9953" s="11" t="e">
        <f t="shared" si="1527"/>
        <v>#DIV/0!</v>
      </c>
      <c r="N9953" s="11"/>
      <c r="O9953" s="11" t="e">
        <f t="shared" si="1528"/>
        <v>#DIV/0!</v>
      </c>
      <c r="P9953" s="12">
        <f t="shared" si="1529"/>
        <v>0</v>
      </c>
      <c r="Q9953" s="17" t="str">
        <f t="shared" si="1531"/>
        <v>Pas d'écart</v>
      </c>
    </row>
    <row r="9954" spans="1:17" x14ac:dyDescent="0.3">
      <c r="A9954" s="34">
        <f>base!J9954</f>
        <v>0</v>
      </c>
      <c r="B9954" s="34">
        <f>base!V9954</f>
        <v>0</v>
      </c>
      <c r="C9954" s="40" t="s">
        <v>11</v>
      </c>
      <c r="D9954" s="36">
        <f>base!H9954</f>
        <v>0</v>
      </c>
      <c r="E9954" s="44"/>
      <c r="F9954" s="16">
        <f>base!W9954</f>
        <v>0</v>
      </c>
      <c r="G9954" s="11" t="e">
        <f t="shared" si="1523"/>
        <v>#DIV/0!</v>
      </c>
      <c r="H9954" s="11" t="e">
        <f t="shared" si="1524"/>
        <v>#N/A</v>
      </c>
      <c r="I9954" s="11" t="e">
        <f t="shared" si="1525"/>
        <v>#N/A</v>
      </c>
      <c r="J9954" s="12" t="e">
        <f t="shared" si="1526"/>
        <v>#N/A</v>
      </c>
      <c r="K9954" s="17" t="e">
        <f t="shared" si="1530"/>
        <v>#N/A</v>
      </c>
      <c r="L9954" s="16">
        <f>base!X9954</f>
        <v>0</v>
      </c>
      <c r="M9954" s="11" t="e">
        <f t="shared" si="1527"/>
        <v>#DIV/0!</v>
      </c>
      <c r="N9954" s="11"/>
      <c r="O9954" s="11" t="e">
        <f t="shared" si="1528"/>
        <v>#DIV/0!</v>
      </c>
      <c r="P9954" s="12">
        <f t="shared" si="1529"/>
        <v>0</v>
      </c>
      <c r="Q9954" s="17" t="str">
        <f t="shared" si="1531"/>
        <v>Pas d'écart</v>
      </c>
    </row>
    <row r="9955" spans="1:17" x14ac:dyDescent="0.3">
      <c r="A9955" s="34">
        <f>base!J9955</f>
        <v>0</v>
      </c>
      <c r="B9955" s="34">
        <f>base!V9955</f>
        <v>0</v>
      </c>
      <c r="C9955" s="40" t="s">
        <v>11</v>
      </c>
      <c r="D9955" s="36">
        <f>base!H9955</f>
        <v>0</v>
      </c>
      <c r="E9955" s="44"/>
      <c r="F9955" s="16">
        <f>base!W9955</f>
        <v>0</v>
      </c>
      <c r="G9955" s="11" t="e">
        <f t="shared" si="1523"/>
        <v>#DIV/0!</v>
      </c>
      <c r="H9955" s="11" t="e">
        <f t="shared" si="1524"/>
        <v>#N/A</v>
      </c>
      <c r="I9955" s="11" t="e">
        <f t="shared" si="1525"/>
        <v>#N/A</v>
      </c>
      <c r="J9955" s="12" t="e">
        <f t="shared" si="1526"/>
        <v>#N/A</v>
      </c>
      <c r="K9955" s="17" t="e">
        <f t="shared" si="1530"/>
        <v>#N/A</v>
      </c>
      <c r="L9955" s="16">
        <f>base!X9955</f>
        <v>0</v>
      </c>
      <c r="M9955" s="11" t="e">
        <f t="shared" si="1527"/>
        <v>#DIV/0!</v>
      </c>
      <c r="N9955" s="11"/>
      <c r="O9955" s="11" t="e">
        <f t="shared" si="1528"/>
        <v>#DIV/0!</v>
      </c>
      <c r="P9955" s="12">
        <f t="shared" si="1529"/>
        <v>0</v>
      </c>
      <c r="Q9955" s="17" t="str">
        <f t="shared" si="1531"/>
        <v>Pas d'écart</v>
      </c>
    </row>
    <row r="9956" spans="1:17" x14ac:dyDescent="0.3">
      <c r="A9956" s="34">
        <f>base!J9956</f>
        <v>0</v>
      </c>
      <c r="B9956" s="34">
        <f>base!V9956</f>
        <v>0</v>
      </c>
      <c r="C9956" s="40" t="s">
        <v>11</v>
      </c>
      <c r="D9956" s="36">
        <f>base!H9956</f>
        <v>0</v>
      </c>
      <c r="E9956" s="44"/>
      <c r="F9956" s="16">
        <f>base!W9956</f>
        <v>0</v>
      </c>
      <c r="G9956" s="11" t="e">
        <f t="shared" si="1523"/>
        <v>#DIV/0!</v>
      </c>
      <c r="H9956" s="11" t="e">
        <f t="shared" si="1524"/>
        <v>#N/A</v>
      </c>
      <c r="I9956" s="11" t="e">
        <f t="shared" si="1525"/>
        <v>#N/A</v>
      </c>
      <c r="J9956" s="12" t="e">
        <f t="shared" si="1526"/>
        <v>#N/A</v>
      </c>
      <c r="K9956" s="17" t="e">
        <f t="shared" si="1530"/>
        <v>#N/A</v>
      </c>
      <c r="L9956" s="16">
        <f>base!X9956</f>
        <v>0</v>
      </c>
      <c r="M9956" s="11" t="e">
        <f t="shared" si="1527"/>
        <v>#DIV/0!</v>
      </c>
      <c r="N9956" s="11"/>
      <c r="O9956" s="11" t="e">
        <f t="shared" si="1528"/>
        <v>#DIV/0!</v>
      </c>
      <c r="P9956" s="12">
        <f t="shared" si="1529"/>
        <v>0</v>
      </c>
      <c r="Q9956" s="17" t="str">
        <f t="shared" si="1531"/>
        <v>Pas d'écart</v>
      </c>
    </row>
    <row r="9957" spans="1:17" x14ac:dyDescent="0.3">
      <c r="A9957" s="34">
        <f>base!J9957</f>
        <v>0</v>
      </c>
      <c r="B9957" s="34">
        <f>base!V9957</f>
        <v>0</v>
      </c>
      <c r="C9957" s="40" t="s">
        <v>11</v>
      </c>
      <c r="D9957" s="36">
        <f>base!H9957</f>
        <v>0</v>
      </c>
      <c r="E9957" s="44"/>
      <c r="F9957" s="16">
        <f>base!W9957</f>
        <v>0</v>
      </c>
      <c r="G9957" s="11" t="e">
        <f t="shared" si="1523"/>
        <v>#DIV/0!</v>
      </c>
      <c r="H9957" s="11" t="e">
        <f t="shared" si="1524"/>
        <v>#N/A</v>
      </c>
      <c r="I9957" s="11" t="e">
        <f t="shared" si="1525"/>
        <v>#N/A</v>
      </c>
      <c r="J9957" s="12" t="e">
        <f t="shared" si="1526"/>
        <v>#N/A</v>
      </c>
      <c r="K9957" s="17" t="e">
        <f t="shared" si="1530"/>
        <v>#N/A</v>
      </c>
      <c r="L9957" s="16">
        <f>base!X9957</f>
        <v>0</v>
      </c>
      <c r="M9957" s="11" t="e">
        <f t="shared" si="1527"/>
        <v>#DIV/0!</v>
      </c>
      <c r="N9957" s="11"/>
      <c r="O9957" s="11" t="e">
        <f t="shared" si="1528"/>
        <v>#DIV/0!</v>
      </c>
      <c r="P9957" s="12">
        <f t="shared" si="1529"/>
        <v>0</v>
      </c>
      <c r="Q9957" s="17" t="str">
        <f t="shared" si="1531"/>
        <v>Pas d'écart</v>
      </c>
    </row>
    <row r="9958" spans="1:17" x14ac:dyDescent="0.3">
      <c r="A9958" s="34">
        <f>base!J9958</f>
        <v>0</v>
      </c>
      <c r="B9958" s="34">
        <f>base!V9958</f>
        <v>0</v>
      </c>
      <c r="C9958" s="40" t="s">
        <v>11</v>
      </c>
      <c r="D9958" s="36">
        <f>base!H9958</f>
        <v>0</v>
      </c>
      <c r="E9958" s="44"/>
      <c r="F9958" s="16">
        <f>base!W9958</f>
        <v>0</v>
      </c>
      <c r="G9958" s="11" t="e">
        <f t="shared" si="1523"/>
        <v>#DIV/0!</v>
      </c>
      <c r="H9958" s="11" t="e">
        <f t="shared" si="1524"/>
        <v>#N/A</v>
      </c>
      <c r="I9958" s="11" t="e">
        <f t="shared" si="1525"/>
        <v>#N/A</v>
      </c>
      <c r="J9958" s="12" t="e">
        <f t="shared" si="1526"/>
        <v>#N/A</v>
      </c>
      <c r="K9958" s="17" t="e">
        <f t="shared" si="1530"/>
        <v>#N/A</v>
      </c>
      <c r="L9958" s="16">
        <f>base!X9958</f>
        <v>0</v>
      </c>
      <c r="M9958" s="11" t="e">
        <f t="shared" si="1527"/>
        <v>#DIV/0!</v>
      </c>
      <c r="N9958" s="11"/>
      <c r="O9958" s="11" t="e">
        <f t="shared" si="1528"/>
        <v>#DIV/0!</v>
      </c>
      <c r="P9958" s="12">
        <f t="shared" si="1529"/>
        <v>0</v>
      </c>
      <c r="Q9958" s="17" t="str">
        <f t="shared" si="1531"/>
        <v>Pas d'écart</v>
      </c>
    </row>
    <row r="9959" spans="1:17" x14ac:dyDescent="0.3">
      <c r="A9959" s="34">
        <f>base!J9959</f>
        <v>0</v>
      </c>
      <c r="B9959" s="34">
        <f>base!V9959</f>
        <v>0</v>
      </c>
      <c r="C9959" s="40" t="s">
        <v>11</v>
      </c>
      <c r="D9959" s="36">
        <f>base!H9959</f>
        <v>0</v>
      </c>
      <c r="E9959" s="44"/>
      <c r="F9959" s="16">
        <f>base!W9959</f>
        <v>0</v>
      </c>
      <c r="G9959" s="11" t="e">
        <f t="shared" si="1523"/>
        <v>#DIV/0!</v>
      </c>
      <c r="H9959" s="11" t="e">
        <f t="shared" si="1524"/>
        <v>#N/A</v>
      </c>
      <c r="I9959" s="11" t="e">
        <f t="shared" si="1525"/>
        <v>#N/A</v>
      </c>
      <c r="J9959" s="12" t="e">
        <f t="shared" si="1526"/>
        <v>#N/A</v>
      </c>
      <c r="K9959" s="17" t="e">
        <f t="shared" si="1530"/>
        <v>#N/A</v>
      </c>
      <c r="L9959" s="16">
        <f>base!X9959</f>
        <v>0</v>
      </c>
      <c r="M9959" s="11" t="e">
        <f t="shared" si="1527"/>
        <v>#DIV/0!</v>
      </c>
      <c r="N9959" s="11"/>
      <c r="O9959" s="11" t="e">
        <f t="shared" si="1528"/>
        <v>#DIV/0!</v>
      </c>
      <c r="P9959" s="12">
        <f t="shared" si="1529"/>
        <v>0</v>
      </c>
      <c r="Q9959" s="17" t="str">
        <f t="shared" si="1531"/>
        <v>Pas d'écart</v>
      </c>
    </row>
    <row r="9960" spans="1:17" x14ac:dyDescent="0.3">
      <c r="A9960" s="34">
        <f>base!J9960</f>
        <v>0</v>
      </c>
      <c r="B9960" s="34">
        <f>base!V9960</f>
        <v>0</v>
      </c>
      <c r="C9960" s="40" t="s">
        <v>11</v>
      </c>
      <c r="D9960" s="36">
        <f>base!H9960</f>
        <v>0</v>
      </c>
      <c r="E9960" s="44"/>
      <c r="F9960" s="16">
        <f>base!W9960</f>
        <v>0</v>
      </c>
      <c r="G9960" s="11" t="e">
        <f t="shared" si="1523"/>
        <v>#DIV/0!</v>
      </c>
      <c r="H9960" s="11" t="e">
        <f t="shared" si="1524"/>
        <v>#N/A</v>
      </c>
      <c r="I9960" s="11" t="e">
        <f t="shared" si="1525"/>
        <v>#N/A</v>
      </c>
      <c r="J9960" s="12" t="e">
        <f t="shared" si="1526"/>
        <v>#N/A</v>
      </c>
      <c r="K9960" s="17" t="e">
        <f t="shared" si="1530"/>
        <v>#N/A</v>
      </c>
      <c r="L9960" s="16">
        <f>base!X9960</f>
        <v>0</v>
      </c>
      <c r="M9960" s="11" t="e">
        <f t="shared" si="1527"/>
        <v>#DIV/0!</v>
      </c>
      <c r="N9960" s="11"/>
      <c r="O9960" s="11" t="e">
        <f t="shared" si="1528"/>
        <v>#DIV/0!</v>
      </c>
      <c r="P9960" s="12">
        <f t="shared" si="1529"/>
        <v>0</v>
      </c>
      <c r="Q9960" s="17" t="str">
        <f t="shared" si="1531"/>
        <v>Pas d'écart</v>
      </c>
    </row>
    <row r="9961" spans="1:17" x14ac:dyDescent="0.3">
      <c r="A9961" s="34">
        <f>base!J9961</f>
        <v>0</v>
      </c>
      <c r="B9961" s="34">
        <f>base!V9961</f>
        <v>0</v>
      </c>
      <c r="C9961" s="40" t="s">
        <v>11</v>
      </c>
      <c r="D9961" s="36">
        <f>base!H9961</f>
        <v>0</v>
      </c>
      <c r="E9961" s="44"/>
      <c r="F9961" s="16">
        <f>base!W9961</f>
        <v>0</v>
      </c>
      <c r="G9961" s="11" t="e">
        <f t="shared" si="1523"/>
        <v>#DIV/0!</v>
      </c>
      <c r="H9961" s="11" t="e">
        <f t="shared" si="1524"/>
        <v>#N/A</v>
      </c>
      <c r="I9961" s="11" t="e">
        <f t="shared" si="1525"/>
        <v>#N/A</v>
      </c>
      <c r="J9961" s="12" t="e">
        <f t="shared" si="1526"/>
        <v>#N/A</v>
      </c>
      <c r="K9961" s="17" t="e">
        <f t="shared" si="1530"/>
        <v>#N/A</v>
      </c>
      <c r="L9961" s="16">
        <f>base!X9961</f>
        <v>0</v>
      </c>
      <c r="M9961" s="11" t="e">
        <f t="shared" si="1527"/>
        <v>#DIV/0!</v>
      </c>
      <c r="N9961" s="11"/>
      <c r="O9961" s="11" t="e">
        <f t="shared" si="1528"/>
        <v>#DIV/0!</v>
      </c>
      <c r="P9961" s="12">
        <f t="shared" si="1529"/>
        <v>0</v>
      </c>
      <c r="Q9961" s="17" t="str">
        <f t="shared" si="1531"/>
        <v>Pas d'écart</v>
      </c>
    </row>
    <row r="9962" spans="1:17" x14ac:dyDescent="0.3">
      <c r="A9962" s="34">
        <f>base!J9962</f>
        <v>0</v>
      </c>
      <c r="B9962" s="34">
        <f>base!V9962</f>
        <v>0</v>
      </c>
      <c r="C9962" s="40" t="s">
        <v>11</v>
      </c>
      <c r="D9962" s="36">
        <f>base!H9962</f>
        <v>0</v>
      </c>
      <c r="E9962" s="44"/>
      <c r="F9962" s="16">
        <f>base!W9962</f>
        <v>0</v>
      </c>
      <c r="G9962" s="11" t="e">
        <f t="shared" si="1523"/>
        <v>#DIV/0!</v>
      </c>
      <c r="H9962" s="11" t="e">
        <f t="shared" si="1524"/>
        <v>#N/A</v>
      </c>
      <c r="I9962" s="11" t="e">
        <f t="shared" si="1525"/>
        <v>#N/A</v>
      </c>
      <c r="J9962" s="12" t="e">
        <f t="shared" si="1526"/>
        <v>#N/A</v>
      </c>
      <c r="K9962" s="17" t="e">
        <f t="shared" si="1530"/>
        <v>#N/A</v>
      </c>
      <c r="L9962" s="16">
        <f>base!X9962</f>
        <v>0</v>
      </c>
      <c r="M9962" s="11" t="e">
        <f t="shared" si="1527"/>
        <v>#DIV/0!</v>
      </c>
      <c r="N9962" s="11"/>
      <c r="O9962" s="11" t="e">
        <f t="shared" si="1528"/>
        <v>#DIV/0!</v>
      </c>
      <c r="P9962" s="12">
        <f t="shared" si="1529"/>
        <v>0</v>
      </c>
      <c r="Q9962" s="17" t="str">
        <f t="shared" si="1531"/>
        <v>Pas d'écart</v>
      </c>
    </row>
    <row r="9963" spans="1:17" x14ac:dyDescent="0.3">
      <c r="A9963" s="34">
        <f>base!J9963</f>
        <v>0</v>
      </c>
      <c r="B9963" s="34">
        <f>base!V9963</f>
        <v>0</v>
      </c>
      <c r="C9963" s="40" t="s">
        <v>11</v>
      </c>
      <c r="D9963" s="36">
        <f>base!H9963</f>
        <v>0</v>
      </c>
      <c r="E9963" s="44"/>
      <c r="F9963" s="16">
        <f>base!W9963</f>
        <v>0</v>
      </c>
      <c r="G9963" s="11" t="e">
        <f t="shared" si="1523"/>
        <v>#DIV/0!</v>
      </c>
      <c r="H9963" s="11" t="e">
        <f t="shared" si="1524"/>
        <v>#N/A</v>
      </c>
      <c r="I9963" s="11" t="e">
        <f t="shared" si="1525"/>
        <v>#N/A</v>
      </c>
      <c r="J9963" s="12" t="e">
        <f t="shared" si="1526"/>
        <v>#N/A</v>
      </c>
      <c r="K9963" s="17" t="e">
        <f t="shared" si="1530"/>
        <v>#N/A</v>
      </c>
      <c r="L9963" s="16">
        <f>base!X9963</f>
        <v>0</v>
      </c>
      <c r="M9963" s="11" t="e">
        <f t="shared" si="1527"/>
        <v>#DIV/0!</v>
      </c>
      <c r="N9963" s="11"/>
      <c r="O9963" s="11" t="e">
        <f t="shared" si="1528"/>
        <v>#DIV/0!</v>
      </c>
      <c r="P9963" s="12">
        <f t="shared" si="1529"/>
        <v>0</v>
      </c>
      <c r="Q9963" s="17" t="str">
        <f t="shared" si="1531"/>
        <v>Pas d'écart</v>
      </c>
    </row>
    <row r="9964" spans="1:17" x14ac:dyDescent="0.3">
      <c r="A9964" s="34">
        <f>base!J9964</f>
        <v>0</v>
      </c>
      <c r="B9964" s="34">
        <f>base!V9964</f>
        <v>0</v>
      </c>
      <c r="C9964" s="40" t="s">
        <v>11</v>
      </c>
      <c r="D9964" s="36">
        <f>base!H9964</f>
        <v>0</v>
      </c>
      <c r="E9964" s="44"/>
      <c r="F9964" s="16">
        <f>base!W9964</f>
        <v>0</v>
      </c>
      <c r="G9964" s="11" t="e">
        <f t="shared" si="1523"/>
        <v>#DIV/0!</v>
      </c>
      <c r="H9964" s="11" t="e">
        <f t="shared" si="1524"/>
        <v>#N/A</v>
      </c>
      <c r="I9964" s="11" t="e">
        <f t="shared" si="1525"/>
        <v>#N/A</v>
      </c>
      <c r="J9964" s="12" t="e">
        <f t="shared" si="1526"/>
        <v>#N/A</v>
      </c>
      <c r="K9964" s="17" t="e">
        <f t="shared" si="1530"/>
        <v>#N/A</v>
      </c>
      <c r="L9964" s="16">
        <f>base!X9964</f>
        <v>0</v>
      </c>
      <c r="M9964" s="11" t="e">
        <f t="shared" si="1527"/>
        <v>#DIV/0!</v>
      </c>
      <c r="N9964" s="11"/>
      <c r="O9964" s="11" t="e">
        <f t="shared" si="1528"/>
        <v>#DIV/0!</v>
      </c>
      <c r="P9964" s="12">
        <f t="shared" si="1529"/>
        <v>0</v>
      </c>
      <c r="Q9964" s="17" t="str">
        <f t="shared" si="1531"/>
        <v>Pas d'écart</v>
      </c>
    </row>
    <row r="9965" spans="1:17" x14ac:dyDescent="0.3">
      <c r="A9965" s="34">
        <f>base!J9965</f>
        <v>0</v>
      </c>
      <c r="B9965" s="34">
        <f>base!V9965</f>
        <v>0</v>
      </c>
      <c r="C9965" s="40" t="s">
        <v>11</v>
      </c>
      <c r="D9965" s="36">
        <f>base!H9965</f>
        <v>0</v>
      </c>
      <c r="E9965" s="44"/>
      <c r="F9965" s="16">
        <f>base!W9965</f>
        <v>0</v>
      </c>
      <c r="G9965" s="11" t="e">
        <f t="shared" si="1523"/>
        <v>#DIV/0!</v>
      </c>
      <c r="H9965" s="11" t="e">
        <f t="shared" si="1524"/>
        <v>#N/A</v>
      </c>
      <c r="I9965" s="11" t="e">
        <f t="shared" si="1525"/>
        <v>#N/A</v>
      </c>
      <c r="J9965" s="12" t="e">
        <f t="shared" si="1526"/>
        <v>#N/A</v>
      </c>
      <c r="K9965" s="17" t="e">
        <f t="shared" si="1530"/>
        <v>#N/A</v>
      </c>
      <c r="L9965" s="16">
        <f>base!X9965</f>
        <v>0</v>
      </c>
      <c r="M9965" s="11" t="e">
        <f t="shared" si="1527"/>
        <v>#DIV/0!</v>
      </c>
      <c r="N9965" s="11"/>
      <c r="O9965" s="11" t="e">
        <f t="shared" si="1528"/>
        <v>#DIV/0!</v>
      </c>
      <c r="P9965" s="12">
        <f t="shared" si="1529"/>
        <v>0</v>
      </c>
      <c r="Q9965" s="17" t="str">
        <f t="shared" si="1531"/>
        <v>Pas d'écart</v>
      </c>
    </row>
    <row r="9966" spans="1:17" x14ac:dyDescent="0.3">
      <c r="A9966" s="34">
        <f>base!J9966</f>
        <v>0</v>
      </c>
      <c r="B9966" s="34">
        <f>base!V9966</f>
        <v>0</v>
      </c>
      <c r="C9966" s="40" t="s">
        <v>11</v>
      </c>
      <c r="D9966" s="36">
        <f>base!H9966</f>
        <v>0</v>
      </c>
      <c r="E9966" s="44"/>
      <c r="F9966" s="16">
        <f>base!W9966</f>
        <v>0</v>
      </c>
      <c r="G9966" s="11" t="e">
        <f t="shared" si="1523"/>
        <v>#DIV/0!</v>
      </c>
      <c r="H9966" s="11" t="e">
        <f t="shared" si="1524"/>
        <v>#N/A</v>
      </c>
      <c r="I9966" s="11" t="e">
        <f t="shared" si="1525"/>
        <v>#N/A</v>
      </c>
      <c r="J9966" s="12" t="e">
        <f t="shared" si="1526"/>
        <v>#N/A</v>
      </c>
      <c r="K9966" s="17" t="e">
        <f t="shared" si="1530"/>
        <v>#N/A</v>
      </c>
      <c r="L9966" s="16">
        <f>base!X9966</f>
        <v>0</v>
      </c>
      <c r="M9966" s="11" t="e">
        <f t="shared" si="1527"/>
        <v>#DIV/0!</v>
      </c>
      <c r="N9966" s="11"/>
      <c r="O9966" s="11" t="e">
        <f t="shared" si="1528"/>
        <v>#DIV/0!</v>
      </c>
      <c r="P9966" s="12">
        <f t="shared" si="1529"/>
        <v>0</v>
      </c>
      <c r="Q9966" s="17" t="str">
        <f t="shared" si="1531"/>
        <v>Pas d'écart</v>
      </c>
    </row>
    <row r="9967" spans="1:17" x14ac:dyDescent="0.3">
      <c r="A9967" s="34">
        <f>base!J9967</f>
        <v>0</v>
      </c>
      <c r="B9967" s="34">
        <f>base!V9967</f>
        <v>0</v>
      </c>
      <c r="C9967" s="40" t="s">
        <v>11</v>
      </c>
      <c r="D9967" s="36">
        <f>base!H9967</f>
        <v>0</v>
      </c>
      <c r="E9967" s="44"/>
      <c r="F9967" s="16">
        <f>base!W9967</f>
        <v>0</v>
      </c>
      <c r="G9967" s="11" t="e">
        <f t="shared" si="1523"/>
        <v>#DIV/0!</v>
      </c>
      <c r="H9967" s="11" t="e">
        <f t="shared" si="1524"/>
        <v>#N/A</v>
      </c>
      <c r="I9967" s="11" t="e">
        <f t="shared" si="1525"/>
        <v>#N/A</v>
      </c>
      <c r="J9967" s="12" t="e">
        <f t="shared" si="1526"/>
        <v>#N/A</v>
      </c>
      <c r="K9967" s="17" t="e">
        <f t="shared" si="1530"/>
        <v>#N/A</v>
      </c>
      <c r="L9967" s="16">
        <f>base!X9967</f>
        <v>0</v>
      </c>
      <c r="M9967" s="11" t="e">
        <f t="shared" si="1527"/>
        <v>#DIV/0!</v>
      </c>
      <c r="N9967" s="11"/>
      <c r="O9967" s="11" t="e">
        <f t="shared" si="1528"/>
        <v>#DIV/0!</v>
      </c>
      <c r="P9967" s="12">
        <f t="shared" si="1529"/>
        <v>0</v>
      </c>
      <c r="Q9967" s="17" t="str">
        <f t="shared" si="1531"/>
        <v>Pas d'écart</v>
      </c>
    </row>
    <row r="9968" spans="1:17" x14ac:dyDescent="0.3">
      <c r="A9968" s="34">
        <f>base!J9968</f>
        <v>0</v>
      </c>
      <c r="B9968" s="34">
        <f>base!V9968</f>
        <v>0</v>
      </c>
      <c r="C9968" s="40" t="s">
        <v>11</v>
      </c>
      <c r="D9968" s="36">
        <f>base!H9968</f>
        <v>0</v>
      </c>
      <c r="E9968" s="44"/>
      <c r="F9968" s="16">
        <f>base!W9968</f>
        <v>0</v>
      </c>
      <c r="G9968" s="11" t="e">
        <f t="shared" si="1523"/>
        <v>#DIV/0!</v>
      </c>
      <c r="H9968" s="11" t="e">
        <f t="shared" si="1524"/>
        <v>#N/A</v>
      </c>
      <c r="I9968" s="11" t="e">
        <f t="shared" si="1525"/>
        <v>#N/A</v>
      </c>
      <c r="J9968" s="12" t="e">
        <f t="shared" si="1526"/>
        <v>#N/A</v>
      </c>
      <c r="K9968" s="17" t="e">
        <f t="shared" si="1530"/>
        <v>#N/A</v>
      </c>
      <c r="L9968" s="16">
        <f>base!X9968</f>
        <v>0</v>
      </c>
      <c r="M9968" s="11" t="e">
        <f t="shared" si="1527"/>
        <v>#DIV/0!</v>
      </c>
      <c r="N9968" s="11"/>
      <c r="O9968" s="11" t="e">
        <f t="shared" si="1528"/>
        <v>#DIV/0!</v>
      </c>
      <c r="P9968" s="12">
        <f t="shared" si="1529"/>
        <v>0</v>
      </c>
      <c r="Q9968" s="17" t="str">
        <f t="shared" si="1531"/>
        <v>Pas d'écart</v>
      </c>
    </row>
    <row r="9969" spans="1:17" x14ac:dyDescent="0.3">
      <c r="A9969" s="34">
        <f>base!J9969</f>
        <v>0</v>
      </c>
      <c r="B9969" s="34">
        <f>base!V9969</f>
        <v>0</v>
      </c>
      <c r="C9969" s="40" t="s">
        <v>11</v>
      </c>
      <c r="D9969" s="36">
        <f>base!H9969</f>
        <v>0</v>
      </c>
      <c r="E9969" s="44"/>
      <c r="F9969" s="16">
        <f>base!W9969</f>
        <v>0</v>
      </c>
      <c r="G9969" s="11" t="e">
        <f t="shared" si="1523"/>
        <v>#DIV/0!</v>
      </c>
      <c r="H9969" s="11" t="e">
        <f t="shared" si="1524"/>
        <v>#N/A</v>
      </c>
      <c r="I9969" s="11" t="e">
        <f t="shared" si="1525"/>
        <v>#N/A</v>
      </c>
      <c r="J9969" s="12" t="e">
        <f t="shared" si="1526"/>
        <v>#N/A</v>
      </c>
      <c r="K9969" s="17" t="e">
        <f t="shared" si="1530"/>
        <v>#N/A</v>
      </c>
      <c r="L9969" s="16">
        <f>base!X9969</f>
        <v>0</v>
      </c>
      <c r="M9969" s="11" t="e">
        <f t="shared" si="1527"/>
        <v>#DIV/0!</v>
      </c>
      <c r="N9969" s="11"/>
      <c r="O9969" s="11" t="e">
        <f t="shared" si="1528"/>
        <v>#DIV/0!</v>
      </c>
      <c r="P9969" s="12">
        <f t="shared" si="1529"/>
        <v>0</v>
      </c>
      <c r="Q9969" s="17" t="str">
        <f t="shared" si="1531"/>
        <v>Pas d'écart</v>
      </c>
    </row>
    <row r="9970" spans="1:17" x14ac:dyDescent="0.3">
      <c r="A9970" s="34">
        <f>base!J9970</f>
        <v>0</v>
      </c>
      <c r="B9970" s="34">
        <f>base!V9970</f>
        <v>0</v>
      </c>
      <c r="C9970" s="40" t="s">
        <v>11</v>
      </c>
      <c r="D9970" s="36">
        <f>base!H9970</f>
        <v>0</v>
      </c>
      <c r="E9970" s="44"/>
      <c r="F9970" s="16">
        <f>base!W9970</f>
        <v>0</v>
      </c>
      <c r="G9970" s="11" t="e">
        <f t="shared" si="1523"/>
        <v>#DIV/0!</v>
      </c>
      <c r="H9970" s="11" t="e">
        <f t="shared" si="1524"/>
        <v>#N/A</v>
      </c>
      <c r="I9970" s="11" t="e">
        <f t="shared" si="1525"/>
        <v>#N/A</v>
      </c>
      <c r="J9970" s="12" t="e">
        <f t="shared" si="1526"/>
        <v>#N/A</v>
      </c>
      <c r="K9970" s="17" t="e">
        <f t="shared" si="1530"/>
        <v>#N/A</v>
      </c>
      <c r="L9970" s="16">
        <f>base!X9970</f>
        <v>0</v>
      </c>
      <c r="M9970" s="11" t="e">
        <f t="shared" si="1527"/>
        <v>#DIV/0!</v>
      </c>
      <c r="N9970" s="11"/>
      <c r="O9970" s="11" t="e">
        <f t="shared" si="1528"/>
        <v>#DIV/0!</v>
      </c>
      <c r="P9970" s="12">
        <f t="shared" si="1529"/>
        <v>0</v>
      </c>
      <c r="Q9970" s="17" t="str">
        <f t="shared" si="1531"/>
        <v>Pas d'écart</v>
      </c>
    </row>
    <row r="9971" spans="1:17" x14ac:dyDescent="0.3">
      <c r="A9971" s="34">
        <f>base!J9971</f>
        <v>0</v>
      </c>
      <c r="B9971" s="34">
        <f>base!V9971</f>
        <v>0</v>
      </c>
      <c r="C9971" s="40" t="s">
        <v>11</v>
      </c>
      <c r="D9971" s="36">
        <f>base!H9971</f>
        <v>0</v>
      </c>
      <c r="E9971" s="44"/>
      <c r="F9971" s="16">
        <f>base!W9971</f>
        <v>0</v>
      </c>
      <c r="G9971" s="11" t="e">
        <f t="shared" si="1523"/>
        <v>#DIV/0!</v>
      </c>
      <c r="H9971" s="11" t="e">
        <f t="shared" si="1524"/>
        <v>#N/A</v>
      </c>
      <c r="I9971" s="11" t="e">
        <f t="shared" si="1525"/>
        <v>#N/A</v>
      </c>
      <c r="J9971" s="12" t="e">
        <f t="shared" si="1526"/>
        <v>#N/A</v>
      </c>
      <c r="K9971" s="17" t="e">
        <f t="shared" si="1530"/>
        <v>#N/A</v>
      </c>
      <c r="L9971" s="16">
        <f>base!X9971</f>
        <v>0</v>
      </c>
      <c r="M9971" s="11" t="e">
        <f t="shared" si="1527"/>
        <v>#DIV/0!</v>
      </c>
      <c r="N9971" s="11"/>
      <c r="O9971" s="11" t="e">
        <f t="shared" si="1528"/>
        <v>#DIV/0!</v>
      </c>
      <c r="P9971" s="12">
        <f t="shared" si="1529"/>
        <v>0</v>
      </c>
      <c r="Q9971" s="17" t="str">
        <f t="shared" si="1531"/>
        <v>Pas d'écart</v>
      </c>
    </row>
    <row r="9972" spans="1:17" x14ac:dyDescent="0.3">
      <c r="A9972" s="34">
        <f>base!J9972</f>
        <v>0</v>
      </c>
      <c r="B9972" s="34">
        <f>base!V9972</f>
        <v>0</v>
      </c>
      <c r="C9972" s="40" t="s">
        <v>11</v>
      </c>
      <c r="D9972" s="36">
        <f>base!H9972</f>
        <v>0</v>
      </c>
      <c r="E9972" s="44"/>
      <c r="F9972" s="16">
        <f>base!W9972</f>
        <v>0</v>
      </c>
      <c r="G9972" s="11" t="e">
        <f t="shared" si="1523"/>
        <v>#DIV/0!</v>
      </c>
      <c r="H9972" s="11" t="e">
        <f t="shared" si="1524"/>
        <v>#N/A</v>
      </c>
      <c r="I9972" s="11" t="e">
        <f t="shared" si="1525"/>
        <v>#N/A</v>
      </c>
      <c r="J9972" s="12" t="e">
        <f t="shared" si="1526"/>
        <v>#N/A</v>
      </c>
      <c r="K9972" s="17" t="e">
        <f t="shared" si="1530"/>
        <v>#N/A</v>
      </c>
      <c r="L9972" s="16">
        <f>base!X9972</f>
        <v>0</v>
      </c>
      <c r="M9972" s="11" t="e">
        <f t="shared" si="1527"/>
        <v>#DIV/0!</v>
      </c>
      <c r="N9972" s="11"/>
      <c r="O9972" s="11" t="e">
        <f t="shared" si="1528"/>
        <v>#DIV/0!</v>
      </c>
      <c r="P9972" s="12">
        <f t="shared" si="1529"/>
        <v>0</v>
      </c>
      <c r="Q9972" s="17" t="str">
        <f t="shared" si="1531"/>
        <v>Pas d'écart</v>
      </c>
    </row>
    <row r="9973" spans="1:17" x14ac:dyDescent="0.3">
      <c r="A9973" s="34">
        <f>base!J9973</f>
        <v>0</v>
      </c>
      <c r="B9973" s="34">
        <f>base!V9973</f>
        <v>0</v>
      </c>
      <c r="C9973" s="40" t="s">
        <v>11</v>
      </c>
      <c r="D9973" s="36">
        <f>base!H9973</f>
        <v>0</v>
      </c>
      <c r="E9973" s="44"/>
      <c r="F9973" s="16">
        <f>base!W9973</f>
        <v>0</v>
      </c>
      <c r="G9973" s="11" t="e">
        <f t="shared" si="1523"/>
        <v>#DIV/0!</v>
      </c>
      <c r="H9973" s="11" t="e">
        <f t="shared" si="1524"/>
        <v>#N/A</v>
      </c>
      <c r="I9973" s="11" t="e">
        <f t="shared" si="1525"/>
        <v>#N/A</v>
      </c>
      <c r="J9973" s="12" t="e">
        <f t="shared" si="1526"/>
        <v>#N/A</v>
      </c>
      <c r="K9973" s="17" t="e">
        <f t="shared" si="1530"/>
        <v>#N/A</v>
      </c>
      <c r="L9973" s="16">
        <f>base!X9973</f>
        <v>0</v>
      </c>
      <c r="M9973" s="11" t="e">
        <f t="shared" si="1527"/>
        <v>#DIV/0!</v>
      </c>
      <c r="N9973" s="11"/>
      <c r="O9973" s="11" t="e">
        <f t="shared" si="1528"/>
        <v>#DIV/0!</v>
      </c>
      <c r="P9973" s="12">
        <f t="shared" si="1529"/>
        <v>0</v>
      </c>
      <c r="Q9973" s="17" t="str">
        <f t="shared" si="1531"/>
        <v>Pas d'écart</v>
      </c>
    </row>
    <row r="9974" spans="1:17" x14ac:dyDescent="0.3">
      <c r="A9974" s="34">
        <f>base!J9974</f>
        <v>0</v>
      </c>
      <c r="B9974" s="34">
        <f>base!V9974</f>
        <v>0</v>
      </c>
      <c r="C9974" s="40" t="s">
        <v>11</v>
      </c>
      <c r="D9974" s="36">
        <f>base!H9974</f>
        <v>0</v>
      </c>
      <c r="E9974" s="44"/>
      <c r="F9974" s="16">
        <f>base!W9974</f>
        <v>0</v>
      </c>
      <c r="G9974" s="11" t="e">
        <f t="shared" si="1523"/>
        <v>#DIV/0!</v>
      </c>
      <c r="H9974" s="11" t="e">
        <f t="shared" si="1524"/>
        <v>#N/A</v>
      </c>
      <c r="I9974" s="11" t="e">
        <f t="shared" si="1525"/>
        <v>#N/A</v>
      </c>
      <c r="J9974" s="12" t="e">
        <f t="shared" si="1526"/>
        <v>#N/A</v>
      </c>
      <c r="K9974" s="17" t="e">
        <f t="shared" si="1530"/>
        <v>#N/A</v>
      </c>
      <c r="L9974" s="16">
        <f>base!X9974</f>
        <v>0</v>
      </c>
      <c r="M9974" s="11" t="e">
        <f t="shared" si="1527"/>
        <v>#DIV/0!</v>
      </c>
      <c r="N9974" s="11"/>
      <c r="O9974" s="11" t="e">
        <f t="shared" si="1528"/>
        <v>#DIV/0!</v>
      </c>
      <c r="P9974" s="12">
        <f t="shared" si="1529"/>
        <v>0</v>
      </c>
      <c r="Q9974" s="17" t="str">
        <f t="shared" si="1531"/>
        <v>Pas d'écart</v>
      </c>
    </row>
    <row r="9975" spans="1:17" x14ac:dyDescent="0.3">
      <c r="A9975" s="34">
        <f>base!J9975</f>
        <v>0</v>
      </c>
      <c r="B9975" s="34">
        <f>base!V9975</f>
        <v>0</v>
      </c>
      <c r="C9975" s="40" t="s">
        <v>11</v>
      </c>
      <c r="D9975" s="36">
        <f>base!H9975</f>
        <v>0</v>
      </c>
      <c r="E9975" s="44"/>
      <c r="F9975" s="16">
        <f>base!W9975</f>
        <v>0</v>
      </c>
      <c r="G9975" s="11" t="e">
        <f t="shared" si="1523"/>
        <v>#DIV/0!</v>
      </c>
      <c r="H9975" s="11" t="e">
        <f t="shared" si="1524"/>
        <v>#N/A</v>
      </c>
      <c r="I9975" s="11" t="e">
        <f t="shared" si="1525"/>
        <v>#N/A</v>
      </c>
      <c r="J9975" s="12" t="e">
        <f t="shared" si="1526"/>
        <v>#N/A</v>
      </c>
      <c r="K9975" s="17" t="e">
        <f t="shared" si="1530"/>
        <v>#N/A</v>
      </c>
      <c r="L9975" s="16">
        <f>base!X9975</f>
        <v>0</v>
      </c>
      <c r="M9975" s="11" t="e">
        <f t="shared" si="1527"/>
        <v>#DIV/0!</v>
      </c>
      <c r="N9975" s="11"/>
      <c r="O9975" s="11" t="e">
        <f t="shared" si="1528"/>
        <v>#DIV/0!</v>
      </c>
      <c r="P9975" s="12">
        <f t="shared" si="1529"/>
        <v>0</v>
      </c>
      <c r="Q9975" s="17" t="str">
        <f t="shared" si="1531"/>
        <v>Pas d'écart</v>
      </c>
    </row>
    <row r="9976" spans="1:17" x14ac:dyDescent="0.3">
      <c r="A9976" s="34">
        <f>base!J9976</f>
        <v>0</v>
      </c>
      <c r="B9976" s="34">
        <f>base!V9976</f>
        <v>0</v>
      </c>
      <c r="C9976" s="40" t="s">
        <v>11</v>
      </c>
      <c r="D9976" s="36">
        <f>base!H9976</f>
        <v>0</v>
      </c>
      <c r="E9976" s="44"/>
      <c r="F9976" s="16">
        <f>base!W9976</f>
        <v>0</v>
      </c>
      <c r="G9976" s="11" t="e">
        <f t="shared" si="1523"/>
        <v>#DIV/0!</v>
      </c>
      <c r="H9976" s="11" t="e">
        <f t="shared" si="1524"/>
        <v>#N/A</v>
      </c>
      <c r="I9976" s="11" t="e">
        <f t="shared" si="1525"/>
        <v>#N/A</v>
      </c>
      <c r="J9976" s="12" t="e">
        <f t="shared" si="1526"/>
        <v>#N/A</v>
      </c>
      <c r="K9976" s="17" t="e">
        <f t="shared" si="1530"/>
        <v>#N/A</v>
      </c>
      <c r="L9976" s="16">
        <f>base!X9976</f>
        <v>0</v>
      </c>
      <c r="M9976" s="11" t="e">
        <f t="shared" si="1527"/>
        <v>#DIV/0!</v>
      </c>
      <c r="N9976" s="11"/>
      <c r="O9976" s="11" t="e">
        <f t="shared" si="1528"/>
        <v>#DIV/0!</v>
      </c>
      <c r="P9976" s="12">
        <f t="shared" si="1529"/>
        <v>0</v>
      </c>
      <c r="Q9976" s="17" t="str">
        <f t="shared" si="1531"/>
        <v>Pas d'écart</v>
      </c>
    </row>
    <row r="9977" spans="1:17" x14ac:dyDescent="0.3">
      <c r="A9977" s="34">
        <f>base!J9977</f>
        <v>0</v>
      </c>
      <c r="B9977" s="34">
        <f>base!V9977</f>
        <v>0</v>
      </c>
      <c r="C9977" s="40" t="s">
        <v>11</v>
      </c>
      <c r="D9977" s="36">
        <f>base!H9977</f>
        <v>0</v>
      </c>
      <c r="E9977" s="44"/>
      <c r="F9977" s="16">
        <f>base!W9977</f>
        <v>0</v>
      </c>
      <c r="G9977" s="11" t="e">
        <f t="shared" si="1523"/>
        <v>#DIV/0!</v>
      </c>
      <c r="H9977" s="11" t="e">
        <f t="shared" si="1524"/>
        <v>#N/A</v>
      </c>
      <c r="I9977" s="11" t="e">
        <f t="shared" si="1525"/>
        <v>#N/A</v>
      </c>
      <c r="J9977" s="12" t="e">
        <f t="shared" si="1526"/>
        <v>#N/A</v>
      </c>
      <c r="K9977" s="17" t="e">
        <f t="shared" si="1530"/>
        <v>#N/A</v>
      </c>
      <c r="L9977" s="16">
        <f>base!X9977</f>
        <v>0</v>
      </c>
      <c r="M9977" s="11" t="e">
        <f t="shared" si="1527"/>
        <v>#DIV/0!</v>
      </c>
      <c r="N9977" s="11"/>
      <c r="O9977" s="11" t="e">
        <f t="shared" si="1528"/>
        <v>#DIV/0!</v>
      </c>
      <c r="P9977" s="12">
        <f t="shared" si="1529"/>
        <v>0</v>
      </c>
      <c r="Q9977" s="17" t="str">
        <f t="shared" si="1531"/>
        <v>Pas d'écart</v>
      </c>
    </row>
    <row r="9978" spans="1:17" x14ac:dyDescent="0.3">
      <c r="A9978" s="34">
        <f>base!J9978</f>
        <v>0</v>
      </c>
      <c r="B9978" s="34">
        <f>base!V9978</f>
        <v>0</v>
      </c>
      <c r="C9978" s="40" t="s">
        <v>11</v>
      </c>
      <c r="D9978" s="36">
        <f>base!H9978</f>
        <v>0</v>
      </c>
      <c r="E9978" s="44"/>
      <c r="F9978" s="16">
        <f>base!W9978</f>
        <v>0</v>
      </c>
      <c r="G9978" s="11" t="e">
        <f t="shared" si="1523"/>
        <v>#DIV/0!</v>
      </c>
      <c r="H9978" s="11" t="e">
        <f t="shared" si="1524"/>
        <v>#N/A</v>
      </c>
      <c r="I9978" s="11" t="e">
        <f t="shared" si="1525"/>
        <v>#N/A</v>
      </c>
      <c r="J9978" s="12" t="e">
        <f t="shared" si="1526"/>
        <v>#N/A</v>
      </c>
      <c r="K9978" s="17" t="e">
        <f t="shared" si="1530"/>
        <v>#N/A</v>
      </c>
      <c r="L9978" s="16">
        <f>base!X9978</f>
        <v>0</v>
      </c>
      <c r="M9978" s="11" t="e">
        <f t="shared" si="1527"/>
        <v>#DIV/0!</v>
      </c>
      <c r="N9978" s="11"/>
      <c r="O9978" s="11" t="e">
        <f t="shared" si="1528"/>
        <v>#DIV/0!</v>
      </c>
      <c r="P9978" s="12">
        <f t="shared" si="1529"/>
        <v>0</v>
      </c>
      <c r="Q9978" s="17" t="str">
        <f t="shared" si="1531"/>
        <v>Pas d'écart</v>
      </c>
    </row>
    <row r="9979" spans="1:17" x14ac:dyDescent="0.3">
      <c r="A9979" s="34">
        <f>base!J9979</f>
        <v>0</v>
      </c>
      <c r="B9979" s="34">
        <f>base!V9979</f>
        <v>0</v>
      </c>
      <c r="C9979" s="40" t="s">
        <v>11</v>
      </c>
      <c r="D9979" s="36">
        <f>base!H9979</f>
        <v>0</v>
      </c>
      <c r="E9979" s="44"/>
      <c r="F9979" s="16">
        <f>base!W9979</f>
        <v>0</v>
      </c>
      <c r="G9979" s="11" t="e">
        <f t="shared" si="1523"/>
        <v>#DIV/0!</v>
      </c>
      <c r="H9979" s="11" t="e">
        <f t="shared" si="1524"/>
        <v>#N/A</v>
      </c>
      <c r="I9979" s="11" t="e">
        <f t="shared" si="1525"/>
        <v>#N/A</v>
      </c>
      <c r="J9979" s="12" t="e">
        <f t="shared" si="1526"/>
        <v>#N/A</v>
      </c>
      <c r="K9979" s="17" t="e">
        <f t="shared" si="1530"/>
        <v>#N/A</v>
      </c>
      <c r="L9979" s="16">
        <f>base!X9979</f>
        <v>0</v>
      </c>
      <c r="M9979" s="11" t="e">
        <f t="shared" si="1527"/>
        <v>#DIV/0!</v>
      </c>
      <c r="N9979" s="11"/>
      <c r="O9979" s="11" t="e">
        <f t="shared" si="1528"/>
        <v>#DIV/0!</v>
      </c>
      <c r="P9979" s="12">
        <f t="shared" si="1529"/>
        <v>0</v>
      </c>
      <c r="Q9979" s="17" t="str">
        <f t="shared" si="1531"/>
        <v>Pas d'écart</v>
      </c>
    </row>
    <row r="9980" spans="1:17" x14ac:dyDescent="0.3">
      <c r="A9980" s="34">
        <f>base!J9980</f>
        <v>0</v>
      </c>
      <c r="B9980" s="34">
        <f>base!V9980</f>
        <v>0</v>
      </c>
      <c r="C9980" s="40" t="s">
        <v>11</v>
      </c>
      <c r="D9980" s="36">
        <f>base!H9980</f>
        <v>0</v>
      </c>
      <c r="E9980" s="44"/>
      <c r="F9980" s="16">
        <f>base!W9980</f>
        <v>0</v>
      </c>
      <c r="G9980" s="11" t="e">
        <f t="shared" si="1523"/>
        <v>#DIV/0!</v>
      </c>
      <c r="H9980" s="11" t="e">
        <f t="shared" si="1524"/>
        <v>#N/A</v>
      </c>
      <c r="I9980" s="11" t="e">
        <f t="shared" si="1525"/>
        <v>#N/A</v>
      </c>
      <c r="J9980" s="12" t="e">
        <f t="shared" si="1526"/>
        <v>#N/A</v>
      </c>
      <c r="K9980" s="17" t="e">
        <f t="shared" si="1530"/>
        <v>#N/A</v>
      </c>
      <c r="L9980" s="16">
        <f>base!X9980</f>
        <v>0</v>
      </c>
      <c r="M9980" s="11" t="e">
        <f t="shared" si="1527"/>
        <v>#DIV/0!</v>
      </c>
      <c r="N9980" s="11"/>
      <c r="O9980" s="11" t="e">
        <f t="shared" si="1528"/>
        <v>#DIV/0!</v>
      </c>
      <c r="P9980" s="12">
        <f t="shared" si="1529"/>
        <v>0</v>
      </c>
      <c r="Q9980" s="17" t="str">
        <f t="shared" si="1531"/>
        <v>Pas d'écart</v>
      </c>
    </row>
    <row r="9981" spans="1:17" x14ac:dyDescent="0.3">
      <c r="A9981" s="34">
        <f>base!J9981</f>
        <v>0</v>
      </c>
      <c r="B9981" s="34">
        <f>base!V9981</f>
        <v>0</v>
      </c>
      <c r="C9981" s="40" t="s">
        <v>11</v>
      </c>
      <c r="D9981" s="36">
        <f>base!H9981</f>
        <v>0</v>
      </c>
      <c r="E9981" s="44"/>
      <c r="F9981" s="16">
        <f>base!W9981</f>
        <v>0</v>
      </c>
      <c r="G9981" s="11" t="e">
        <f t="shared" si="1523"/>
        <v>#DIV/0!</v>
      </c>
      <c r="H9981" s="11" t="e">
        <f t="shared" si="1524"/>
        <v>#N/A</v>
      </c>
      <c r="I9981" s="11" t="e">
        <f t="shared" si="1525"/>
        <v>#N/A</v>
      </c>
      <c r="J9981" s="12" t="e">
        <f t="shared" si="1526"/>
        <v>#N/A</v>
      </c>
      <c r="K9981" s="17" t="e">
        <f t="shared" si="1530"/>
        <v>#N/A</v>
      </c>
      <c r="L9981" s="16">
        <f>base!X9981</f>
        <v>0</v>
      </c>
      <c r="M9981" s="11" t="e">
        <f t="shared" si="1527"/>
        <v>#DIV/0!</v>
      </c>
      <c r="N9981" s="11"/>
      <c r="O9981" s="11" t="e">
        <f t="shared" si="1528"/>
        <v>#DIV/0!</v>
      </c>
      <c r="P9981" s="12">
        <f t="shared" si="1529"/>
        <v>0</v>
      </c>
      <c r="Q9981" s="17" t="str">
        <f t="shared" si="1531"/>
        <v>Pas d'écart</v>
      </c>
    </row>
    <row r="9982" spans="1:17" x14ac:dyDescent="0.3">
      <c r="A9982" s="34">
        <f>base!J9982</f>
        <v>0</v>
      </c>
      <c r="B9982" s="34">
        <f>base!V9982</f>
        <v>0</v>
      </c>
      <c r="C9982" s="40" t="s">
        <v>11</v>
      </c>
      <c r="D9982" s="36">
        <f>base!H9982</f>
        <v>0</v>
      </c>
      <c r="E9982" s="44"/>
      <c r="F9982" s="16">
        <f>base!W9982</f>
        <v>0</v>
      </c>
      <c r="G9982" s="11" t="e">
        <f t="shared" si="1523"/>
        <v>#DIV/0!</v>
      </c>
      <c r="H9982" s="11" t="e">
        <f t="shared" si="1524"/>
        <v>#N/A</v>
      </c>
      <c r="I9982" s="11" t="e">
        <f t="shared" si="1525"/>
        <v>#N/A</v>
      </c>
      <c r="J9982" s="12" t="e">
        <f t="shared" si="1526"/>
        <v>#N/A</v>
      </c>
      <c r="K9982" s="17" t="e">
        <f t="shared" si="1530"/>
        <v>#N/A</v>
      </c>
      <c r="L9982" s="16">
        <f>base!X9982</f>
        <v>0</v>
      </c>
      <c r="M9982" s="11" t="e">
        <f t="shared" si="1527"/>
        <v>#DIV/0!</v>
      </c>
      <c r="N9982" s="11"/>
      <c r="O9982" s="11" t="e">
        <f t="shared" si="1528"/>
        <v>#DIV/0!</v>
      </c>
      <c r="P9982" s="12">
        <f t="shared" si="1529"/>
        <v>0</v>
      </c>
      <c r="Q9982" s="17" t="str">
        <f t="shared" si="1531"/>
        <v>Pas d'écart</v>
      </c>
    </row>
    <row r="9983" spans="1:17" x14ac:dyDescent="0.3">
      <c r="A9983" s="34">
        <f>base!J9983</f>
        <v>0</v>
      </c>
      <c r="B9983" s="34">
        <f>base!V9983</f>
        <v>0</v>
      </c>
      <c r="C9983" s="40" t="s">
        <v>11</v>
      </c>
      <c r="D9983" s="36">
        <f>base!H9983</f>
        <v>0</v>
      </c>
      <c r="E9983" s="44"/>
      <c r="F9983" s="16">
        <f>base!W9983</f>
        <v>0</v>
      </c>
      <c r="G9983" s="11" t="e">
        <f t="shared" si="1523"/>
        <v>#DIV/0!</v>
      </c>
      <c r="H9983" s="11" t="e">
        <f t="shared" si="1524"/>
        <v>#N/A</v>
      </c>
      <c r="I9983" s="11" t="e">
        <f t="shared" si="1525"/>
        <v>#N/A</v>
      </c>
      <c r="J9983" s="12" t="e">
        <f t="shared" si="1526"/>
        <v>#N/A</v>
      </c>
      <c r="K9983" s="17" t="e">
        <f t="shared" si="1530"/>
        <v>#N/A</v>
      </c>
      <c r="L9983" s="16">
        <f>base!X9983</f>
        <v>0</v>
      </c>
      <c r="M9983" s="11" t="e">
        <f t="shared" si="1527"/>
        <v>#DIV/0!</v>
      </c>
      <c r="N9983" s="11"/>
      <c r="O9983" s="11" t="e">
        <f t="shared" si="1528"/>
        <v>#DIV/0!</v>
      </c>
      <c r="P9983" s="12">
        <f t="shared" si="1529"/>
        <v>0</v>
      </c>
      <c r="Q9983" s="17" t="str">
        <f t="shared" si="1531"/>
        <v>Pas d'écart</v>
      </c>
    </row>
    <row r="9984" spans="1:17" x14ac:dyDescent="0.3">
      <c r="A9984" s="34">
        <f>base!J9984</f>
        <v>0</v>
      </c>
      <c r="B9984" s="34">
        <f>base!V9984</f>
        <v>0</v>
      </c>
      <c r="C9984" s="40" t="s">
        <v>11</v>
      </c>
      <c r="D9984" s="36">
        <f>base!H9984</f>
        <v>0</v>
      </c>
      <c r="E9984" s="44"/>
      <c r="F9984" s="16">
        <f>base!W9984</f>
        <v>0</v>
      </c>
      <c r="G9984" s="11" t="e">
        <f t="shared" si="1523"/>
        <v>#DIV/0!</v>
      </c>
      <c r="H9984" s="11" t="e">
        <f t="shared" si="1524"/>
        <v>#N/A</v>
      </c>
      <c r="I9984" s="11" t="e">
        <f t="shared" si="1525"/>
        <v>#N/A</v>
      </c>
      <c r="J9984" s="12" t="e">
        <f t="shared" si="1526"/>
        <v>#N/A</v>
      </c>
      <c r="K9984" s="17" t="e">
        <f t="shared" si="1530"/>
        <v>#N/A</v>
      </c>
      <c r="L9984" s="16">
        <f>base!X9984</f>
        <v>0</v>
      </c>
      <c r="M9984" s="11" t="e">
        <f t="shared" si="1527"/>
        <v>#DIV/0!</v>
      </c>
      <c r="N9984" s="11"/>
      <c r="O9984" s="11" t="e">
        <f t="shared" si="1528"/>
        <v>#DIV/0!</v>
      </c>
      <c r="P9984" s="12">
        <f t="shared" si="1529"/>
        <v>0</v>
      </c>
      <c r="Q9984" s="17" t="str">
        <f t="shared" si="1531"/>
        <v>Pas d'écart</v>
      </c>
    </row>
    <row r="9985" spans="1:17" x14ac:dyDescent="0.3">
      <c r="A9985" s="34">
        <f>base!J9985</f>
        <v>0</v>
      </c>
      <c r="B9985" s="34">
        <f>base!V9985</f>
        <v>0</v>
      </c>
      <c r="C9985" s="40" t="s">
        <v>11</v>
      </c>
      <c r="D9985" s="36">
        <f>base!H9985</f>
        <v>0</v>
      </c>
      <c r="E9985" s="44"/>
      <c r="F9985" s="16">
        <f>base!W9985</f>
        <v>0</v>
      </c>
      <c r="G9985" s="11" t="e">
        <f t="shared" si="1523"/>
        <v>#DIV/0!</v>
      </c>
      <c r="H9985" s="11" t="e">
        <f t="shared" si="1524"/>
        <v>#N/A</v>
      </c>
      <c r="I9985" s="11" t="e">
        <f t="shared" si="1525"/>
        <v>#N/A</v>
      </c>
      <c r="J9985" s="12" t="e">
        <f t="shared" si="1526"/>
        <v>#N/A</v>
      </c>
      <c r="K9985" s="17" t="e">
        <f t="shared" si="1530"/>
        <v>#N/A</v>
      </c>
      <c r="L9985" s="16">
        <f>base!X9985</f>
        <v>0</v>
      </c>
      <c r="M9985" s="11" t="e">
        <f t="shared" si="1527"/>
        <v>#DIV/0!</v>
      </c>
      <c r="N9985" s="11"/>
      <c r="O9985" s="11" t="e">
        <f t="shared" si="1528"/>
        <v>#DIV/0!</v>
      </c>
      <c r="P9985" s="12">
        <f t="shared" si="1529"/>
        <v>0</v>
      </c>
      <c r="Q9985" s="17" t="str">
        <f t="shared" si="1531"/>
        <v>Pas d'écart</v>
      </c>
    </row>
    <row r="9986" spans="1:17" x14ac:dyDescent="0.3">
      <c r="A9986" s="34">
        <f>base!J9986</f>
        <v>0</v>
      </c>
      <c r="B9986" s="34">
        <f>base!V9986</f>
        <v>0</v>
      </c>
      <c r="C9986" s="40" t="s">
        <v>11</v>
      </c>
      <c r="D9986" s="36">
        <f>base!H9986</f>
        <v>0</v>
      </c>
      <c r="E9986" s="44"/>
      <c r="F9986" s="16">
        <f>base!W9986</f>
        <v>0</v>
      </c>
      <c r="G9986" s="11" t="e">
        <f t="shared" ref="G9986:G10000" si="1532">F9986/D9986</f>
        <v>#DIV/0!</v>
      </c>
      <c r="H9986" s="11" t="e">
        <f t="shared" ref="H9986:H10000" si="1533">VLOOKUP(C9986,tout_cout_traction,2,FALSE)*D9986</f>
        <v>#N/A</v>
      </c>
      <c r="I9986" s="11" t="e">
        <f t="shared" ref="I9986:I10000" si="1534">H9986/D9986</f>
        <v>#N/A</v>
      </c>
      <c r="J9986" s="12" t="e">
        <f t="shared" ref="J9986:J10000" si="1535">F9986-H9986</f>
        <v>#N/A</v>
      </c>
      <c r="K9986" s="17" t="e">
        <f t="shared" si="1530"/>
        <v>#N/A</v>
      </c>
      <c r="L9986" s="16">
        <f>base!X9986</f>
        <v>0</v>
      </c>
      <c r="M9986" s="11" t="e">
        <f t="shared" ref="M9986:M10000" si="1536">L9986/D9986</f>
        <v>#DIV/0!</v>
      </c>
      <c r="N9986" s="11"/>
      <c r="O9986" s="11" t="e">
        <f t="shared" ref="O9986:O10000" si="1537">N9986/D9986</f>
        <v>#DIV/0!</v>
      </c>
      <c r="P9986" s="12">
        <f t="shared" ref="P9986:P10000" si="1538">L9986-N9986</f>
        <v>0</v>
      </c>
      <c r="Q9986" s="17" t="str">
        <f t="shared" si="1531"/>
        <v>Pas d'écart</v>
      </c>
    </row>
    <row r="9987" spans="1:17" x14ac:dyDescent="0.3">
      <c r="A9987" s="34">
        <f>base!J9987</f>
        <v>0</v>
      </c>
      <c r="B9987" s="34">
        <f>base!V9987</f>
        <v>0</v>
      </c>
      <c r="C9987" s="40" t="s">
        <v>11</v>
      </c>
      <c r="D9987" s="36">
        <f>base!H9987</f>
        <v>0</v>
      </c>
      <c r="E9987" s="44"/>
      <c r="F9987" s="16">
        <f>base!W9987</f>
        <v>0</v>
      </c>
      <c r="G9987" s="11" t="e">
        <f t="shared" si="1532"/>
        <v>#DIV/0!</v>
      </c>
      <c r="H9987" s="11" t="e">
        <f t="shared" si="1533"/>
        <v>#N/A</v>
      </c>
      <c r="I9987" s="11" t="e">
        <f t="shared" si="1534"/>
        <v>#N/A</v>
      </c>
      <c r="J9987" s="12" t="e">
        <f t="shared" si="1535"/>
        <v>#N/A</v>
      </c>
      <c r="K9987" s="17" t="e">
        <f t="shared" ref="K9987:K10000" si="1539">IF(H9987=F9987,"Pas d'écart",IF(H9987&lt;F9987,"Ecart positif",IF(H9987&gt;F9987,"Ecart négatif")))</f>
        <v>#N/A</v>
      </c>
      <c r="L9987" s="16">
        <f>base!X9987</f>
        <v>0</v>
      </c>
      <c r="M9987" s="11" t="e">
        <f t="shared" si="1536"/>
        <v>#DIV/0!</v>
      </c>
      <c r="N9987" s="11"/>
      <c r="O9987" s="11" t="e">
        <f t="shared" si="1537"/>
        <v>#DIV/0!</v>
      </c>
      <c r="P9987" s="12">
        <f t="shared" si="1538"/>
        <v>0</v>
      </c>
      <c r="Q9987" s="17" t="str">
        <f t="shared" ref="Q9987:Q10000" si="1540">IF(N9987=L9987,"Pas d'écart",IF(N9987&lt;L9987,"Ecart positif",IF(N9987&gt;L9987,"Ecart négatif")))</f>
        <v>Pas d'écart</v>
      </c>
    </row>
    <row r="9988" spans="1:17" x14ac:dyDescent="0.3">
      <c r="A9988" s="34">
        <f>base!J9988</f>
        <v>0</v>
      </c>
      <c r="B9988" s="34">
        <f>base!V9988</f>
        <v>0</v>
      </c>
      <c r="C9988" s="40" t="s">
        <v>11</v>
      </c>
      <c r="D9988" s="36">
        <f>base!H9988</f>
        <v>0</v>
      </c>
      <c r="E9988" s="44"/>
      <c r="F9988" s="16">
        <f>base!W9988</f>
        <v>0</v>
      </c>
      <c r="G9988" s="11" t="e">
        <f t="shared" si="1532"/>
        <v>#DIV/0!</v>
      </c>
      <c r="H9988" s="11" t="e">
        <f t="shared" si="1533"/>
        <v>#N/A</v>
      </c>
      <c r="I9988" s="11" t="e">
        <f t="shared" si="1534"/>
        <v>#N/A</v>
      </c>
      <c r="J9988" s="12" t="e">
        <f t="shared" si="1535"/>
        <v>#N/A</v>
      </c>
      <c r="K9988" s="17" t="e">
        <f t="shared" si="1539"/>
        <v>#N/A</v>
      </c>
      <c r="L9988" s="16">
        <f>base!X9988</f>
        <v>0</v>
      </c>
      <c r="M9988" s="11" t="e">
        <f t="shared" si="1536"/>
        <v>#DIV/0!</v>
      </c>
      <c r="N9988" s="11"/>
      <c r="O9988" s="11" t="e">
        <f t="shared" si="1537"/>
        <v>#DIV/0!</v>
      </c>
      <c r="P9988" s="12">
        <f t="shared" si="1538"/>
        <v>0</v>
      </c>
      <c r="Q9988" s="17" t="str">
        <f t="shared" si="1540"/>
        <v>Pas d'écart</v>
      </c>
    </row>
    <row r="9989" spans="1:17" x14ac:dyDescent="0.3">
      <c r="A9989" s="34">
        <f>base!J9989</f>
        <v>0</v>
      </c>
      <c r="B9989" s="34">
        <f>base!V9989</f>
        <v>0</v>
      </c>
      <c r="C9989" s="40" t="s">
        <v>11</v>
      </c>
      <c r="D9989" s="36">
        <f>base!H9989</f>
        <v>0</v>
      </c>
      <c r="E9989" s="44"/>
      <c r="F9989" s="16">
        <f>base!W9989</f>
        <v>0</v>
      </c>
      <c r="G9989" s="11" t="e">
        <f t="shared" si="1532"/>
        <v>#DIV/0!</v>
      </c>
      <c r="H9989" s="11" t="e">
        <f t="shared" si="1533"/>
        <v>#N/A</v>
      </c>
      <c r="I9989" s="11" t="e">
        <f t="shared" si="1534"/>
        <v>#N/A</v>
      </c>
      <c r="J9989" s="12" t="e">
        <f t="shared" si="1535"/>
        <v>#N/A</v>
      </c>
      <c r="K9989" s="17" t="e">
        <f t="shared" si="1539"/>
        <v>#N/A</v>
      </c>
      <c r="L9989" s="16">
        <f>base!X9989</f>
        <v>0</v>
      </c>
      <c r="M9989" s="11" t="e">
        <f t="shared" si="1536"/>
        <v>#DIV/0!</v>
      </c>
      <c r="N9989" s="11"/>
      <c r="O9989" s="11" t="e">
        <f t="shared" si="1537"/>
        <v>#DIV/0!</v>
      </c>
      <c r="P9989" s="12">
        <f t="shared" si="1538"/>
        <v>0</v>
      </c>
      <c r="Q9989" s="17" t="str">
        <f t="shared" si="1540"/>
        <v>Pas d'écart</v>
      </c>
    </row>
    <row r="9990" spans="1:17" x14ac:dyDescent="0.3">
      <c r="A9990" s="34">
        <f>base!J9990</f>
        <v>0</v>
      </c>
      <c r="B9990" s="34">
        <f>base!V9990</f>
        <v>0</v>
      </c>
      <c r="C9990" s="40" t="s">
        <v>11</v>
      </c>
      <c r="D9990" s="36">
        <f>base!H9990</f>
        <v>0</v>
      </c>
      <c r="E9990" s="44"/>
      <c r="F9990" s="16">
        <f>base!W9990</f>
        <v>0</v>
      </c>
      <c r="G9990" s="11" t="e">
        <f t="shared" si="1532"/>
        <v>#DIV/0!</v>
      </c>
      <c r="H9990" s="11" t="e">
        <f t="shared" si="1533"/>
        <v>#N/A</v>
      </c>
      <c r="I9990" s="11" t="e">
        <f t="shared" si="1534"/>
        <v>#N/A</v>
      </c>
      <c r="J9990" s="12" t="e">
        <f t="shared" si="1535"/>
        <v>#N/A</v>
      </c>
      <c r="K9990" s="17" t="e">
        <f t="shared" si="1539"/>
        <v>#N/A</v>
      </c>
      <c r="L9990" s="16">
        <f>base!X9990</f>
        <v>0</v>
      </c>
      <c r="M9990" s="11" t="e">
        <f t="shared" si="1536"/>
        <v>#DIV/0!</v>
      </c>
      <c r="N9990" s="11"/>
      <c r="O9990" s="11" t="e">
        <f t="shared" si="1537"/>
        <v>#DIV/0!</v>
      </c>
      <c r="P9990" s="12">
        <f t="shared" si="1538"/>
        <v>0</v>
      </c>
      <c r="Q9990" s="17" t="str">
        <f t="shared" si="1540"/>
        <v>Pas d'écart</v>
      </c>
    </row>
    <row r="9991" spans="1:17" x14ac:dyDescent="0.3">
      <c r="A9991" s="34">
        <f>base!J9991</f>
        <v>0</v>
      </c>
      <c r="B9991" s="34">
        <f>base!V9991</f>
        <v>0</v>
      </c>
      <c r="C9991" s="40" t="s">
        <v>11</v>
      </c>
      <c r="D9991" s="36">
        <f>base!H9991</f>
        <v>0</v>
      </c>
      <c r="E9991" s="44"/>
      <c r="F9991" s="16">
        <f>base!W9991</f>
        <v>0</v>
      </c>
      <c r="G9991" s="11" t="e">
        <f t="shared" si="1532"/>
        <v>#DIV/0!</v>
      </c>
      <c r="H9991" s="11" t="e">
        <f t="shared" si="1533"/>
        <v>#N/A</v>
      </c>
      <c r="I9991" s="11" t="e">
        <f t="shared" si="1534"/>
        <v>#N/A</v>
      </c>
      <c r="J9991" s="12" t="e">
        <f t="shared" si="1535"/>
        <v>#N/A</v>
      </c>
      <c r="K9991" s="17" t="e">
        <f t="shared" si="1539"/>
        <v>#N/A</v>
      </c>
      <c r="L9991" s="16">
        <f>base!X9991</f>
        <v>0</v>
      </c>
      <c r="M9991" s="11" t="e">
        <f t="shared" si="1536"/>
        <v>#DIV/0!</v>
      </c>
      <c r="N9991" s="11"/>
      <c r="O9991" s="11" t="e">
        <f t="shared" si="1537"/>
        <v>#DIV/0!</v>
      </c>
      <c r="P9991" s="12">
        <f t="shared" si="1538"/>
        <v>0</v>
      </c>
      <c r="Q9991" s="17" t="str">
        <f t="shared" si="1540"/>
        <v>Pas d'écart</v>
      </c>
    </row>
    <row r="9992" spans="1:17" x14ac:dyDescent="0.3">
      <c r="A9992" s="34">
        <f>base!J9992</f>
        <v>0</v>
      </c>
      <c r="B9992" s="34">
        <f>base!V9992</f>
        <v>0</v>
      </c>
      <c r="C9992" s="40" t="s">
        <v>11</v>
      </c>
      <c r="D9992" s="36">
        <f>base!H9992</f>
        <v>0</v>
      </c>
      <c r="E9992" s="44"/>
      <c r="F9992" s="16">
        <f>base!W9992</f>
        <v>0</v>
      </c>
      <c r="G9992" s="11" t="e">
        <f t="shared" si="1532"/>
        <v>#DIV/0!</v>
      </c>
      <c r="H9992" s="11" t="e">
        <f t="shared" si="1533"/>
        <v>#N/A</v>
      </c>
      <c r="I9992" s="11" t="e">
        <f t="shared" si="1534"/>
        <v>#N/A</v>
      </c>
      <c r="J9992" s="12" t="e">
        <f t="shared" si="1535"/>
        <v>#N/A</v>
      </c>
      <c r="K9992" s="17" t="e">
        <f t="shared" si="1539"/>
        <v>#N/A</v>
      </c>
      <c r="L9992" s="16">
        <f>base!X9992</f>
        <v>0</v>
      </c>
      <c r="M9992" s="11" t="e">
        <f t="shared" si="1536"/>
        <v>#DIV/0!</v>
      </c>
      <c r="N9992" s="11"/>
      <c r="O9992" s="11" t="e">
        <f t="shared" si="1537"/>
        <v>#DIV/0!</v>
      </c>
      <c r="P9992" s="12">
        <f t="shared" si="1538"/>
        <v>0</v>
      </c>
      <c r="Q9992" s="17" t="str">
        <f t="shared" si="1540"/>
        <v>Pas d'écart</v>
      </c>
    </row>
    <row r="9993" spans="1:17" x14ac:dyDescent="0.3">
      <c r="A9993" s="34">
        <f>base!J9993</f>
        <v>0</v>
      </c>
      <c r="B9993" s="34">
        <f>base!V9993</f>
        <v>0</v>
      </c>
      <c r="C9993" s="40" t="s">
        <v>11</v>
      </c>
      <c r="D9993" s="36">
        <f>base!H9993</f>
        <v>0</v>
      </c>
      <c r="E9993" s="44"/>
      <c r="F9993" s="16">
        <f>base!W9993</f>
        <v>0</v>
      </c>
      <c r="G9993" s="11" t="e">
        <f t="shared" si="1532"/>
        <v>#DIV/0!</v>
      </c>
      <c r="H9993" s="11" t="e">
        <f t="shared" si="1533"/>
        <v>#N/A</v>
      </c>
      <c r="I9993" s="11" t="e">
        <f t="shared" si="1534"/>
        <v>#N/A</v>
      </c>
      <c r="J9993" s="12" t="e">
        <f t="shared" si="1535"/>
        <v>#N/A</v>
      </c>
      <c r="K9993" s="17" t="e">
        <f t="shared" si="1539"/>
        <v>#N/A</v>
      </c>
      <c r="L9993" s="16">
        <f>base!X9993</f>
        <v>0</v>
      </c>
      <c r="M9993" s="11" t="e">
        <f t="shared" si="1536"/>
        <v>#DIV/0!</v>
      </c>
      <c r="N9993" s="11"/>
      <c r="O9993" s="11" t="e">
        <f t="shared" si="1537"/>
        <v>#DIV/0!</v>
      </c>
      <c r="P9993" s="12">
        <f t="shared" si="1538"/>
        <v>0</v>
      </c>
      <c r="Q9993" s="17" t="str">
        <f t="shared" si="1540"/>
        <v>Pas d'écart</v>
      </c>
    </row>
    <row r="9994" spans="1:17" x14ac:dyDescent="0.3">
      <c r="A9994" s="34">
        <f>base!J9994</f>
        <v>0</v>
      </c>
      <c r="B9994" s="34">
        <f>base!V9994</f>
        <v>0</v>
      </c>
      <c r="C9994" s="40" t="s">
        <v>11</v>
      </c>
      <c r="D9994" s="36">
        <f>base!H9994</f>
        <v>0</v>
      </c>
      <c r="E9994" s="44"/>
      <c r="F9994" s="16">
        <f>base!W9994</f>
        <v>0</v>
      </c>
      <c r="G9994" s="11" t="e">
        <f t="shared" si="1532"/>
        <v>#DIV/0!</v>
      </c>
      <c r="H9994" s="11" t="e">
        <f t="shared" si="1533"/>
        <v>#N/A</v>
      </c>
      <c r="I9994" s="11" t="e">
        <f t="shared" si="1534"/>
        <v>#N/A</v>
      </c>
      <c r="J9994" s="12" t="e">
        <f t="shared" si="1535"/>
        <v>#N/A</v>
      </c>
      <c r="K9994" s="17" t="e">
        <f t="shared" si="1539"/>
        <v>#N/A</v>
      </c>
      <c r="L9994" s="16">
        <f>base!X9994</f>
        <v>0</v>
      </c>
      <c r="M9994" s="11" t="e">
        <f t="shared" si="1536"/>
        <v>#DIV/0!</v>
      </c>
      <c r="N9994" s="11"/>
      <c r="O9994" s="11" t="e">
        <f t="shared" si="1537"/>
        <v>#DIV/0!</v>
      </c>
      <c r="P9994" s="12">
        <f t="shared" si="1538"/>
        <v>0</v>
      </c>
      <c r="Q9994" s="17" t="str">
        <f t="shared" si="1540"/>
        <v>Pas d'écart</v>
      </c>
    </row>
    <row r="9995" spans="1:17" x14ac:dyDescent="0.3">
      <c r="A9995" s="34">
        <f>base!J9995</f>
        <v>0</v>
      </c>
      <c r="B9995" s="34">
        <f>base!V9995</f>
        <v>0</v>
      </c>
      <c r="C9995" s="40" t="s">
        <v>11</v>
      </c>
      <c r="D9995" s="36">
        <f>base!H9995</f>
        <v>0</v>
      </c>
      <c r="E9995" s="44"/>
      <c r="F9995" s="16">
        <f>base!W9995</f>
        <v>0</v>
      </c>
      <c r="G9995" s="11" t="e">
        <f t="shared" si="1532"/>
        <v>#DIV/0!</v>
      </c>
      <c r="H9995" s="11" t="e">
        <f t="shared" si="1533"/>
        <v>#N/A</v>
      </c>
      <c r="I9995" s="11" t="e">
        <f t="shared" si="1534"/>
        <v>#N/A</v>
      </c>
      <c r="J9995" s="12" t="e">
        <f t="shared" si="1535"/>
        <v>#N/A</v>
      </c>
      <c r="K9995" s="17" t="e">
        <f t="shared" si="1539"/>
        <v>#N/A</v>
      </c>
      <c r="L9995" s="16">
        <f>base!X9995</f>
        <v>0</v>
      </c>
      <c r="M9995" s="11" t="e">
        <f t="shared" si="1536"/>
        <v>#DIV/0!</v>
      </c>
      <c r="N9995" s="11"/>
      <c r="O9995" s="11" t="e">
        <f t="shared" si="1537"/>
        <v>#DIV/0!</v>
      </c>
      <c r="P9995" s="12">
        <f t="shared" si="1538"/>
        <v>0</v>
      </c>
      <c r="Q9995" s="17" t="str">
        <f t="shared" si="1540"/>
        <v>Pas d'écart</v>
      </c>
    </row>
    <row r="9996" spans="1:17" x14ac:dyDescent="0.3">
      <c r="A9996" s="34">
        <f>base!J9996</f>
        <v>0</v>
      </c>
      <c r="B9996" s="34">
        <f>base!V9996</f>
        <v>0</v>
      </c>
      <c r="C9996" s="40" t="s">
        <v>11</v>
      </c>
      <c r="D9996" s="36">
        <f>base!H9996</f>
        <v>0</v>
      </c>
      <c r="E9996" s="44"/>
      <c r="F9996" s="16">
        <f>base!W9996</f>
        <v>0</v>
      </c>
      <c r="G9996" s="11" t="e">
        <f t="shared" si="1532"/>
        <v>#DIV/0!</v>
      </c>
      <c r="H9996" s="11" t="e">
        <f t="shared" si="1533"/>
        <v>#N/A</v>
      </c>
      <c r="I9996" s="11" t="e">
        <f t="shared" si="1534"/>
        <v>#N/A</v>
      </c>
      <c r="J9996" s="12" t="e">
        <f t="shared" si="1535"/>
        <v>#N/A</v>
      </c>
      <c r="K9996" s="17" t="e">
        <f t="shared" si="1539"/>
        <v>#N/A</v>
      </c>
      <c r="L9996" s="16">
        <f>base!X9996</f>
        <v>0</v>
      </c>
      <c r="M9996" s="11" t="e">
        <f t="shared" si="1536"/>
        <v>#DIV/0!</v>
      </c>
      <c r="N9996" s="11"/>
      <c r="O9996" s="11" t="e">
        <f t="shared" si="1537"/>
        <v>#DIV/0!</v>
      </c>
      <c r="P9996" s="12">
        <f t="shared" si="1538"/>
        <v>0</v>
      </c>
      <c r="Q9996" s="17" t="str">
        <f t="shared" si="1540"/>
        <v>Pas d'écart</v>
      </c>
    </row>
    <row r="9997" spans="1:17" x14ac:dyDescent="0.3">
      <c r="A9997" s="34">
        <f>base!J9997</f>
        <v>0</v>
      </c>
      <c r="B9997" s="34">
        <f>base!V9997</f>
        <v>0</v>
      </c>
      <c r="C9997" s="40" t="s">
        <v>11</v>
      </c>
      <c r="D9997" s="36">
        <f>base!H9997</f>
        <v>0</v>
      </c>
      <c r="E9997" s="44"/>
      <c r="F9997" s="16">
        <f>base!W9997</f>
        <v>0</v>
      </c>
      <c r="G9997" s="11" t="e">
        <f t="shared" si="1532"/>
        <v>#DIV/0!</v>
      </c>
      <c r="H9997" s="11" t="e">
        <f t="shared" si="1533"/>
        <v>#N/A</v>
      </c>
      <c r="I9997" s="11" t="e">
        <f t="shared" si="1534"/>
        <v>#N/A</v>
      </c>
      <c r="J9997" s="12" t="e">
        <f t="shared" si="1535"/>
        <v>#N/A</v>
      </c>
      <c r="K9997" s="17" t="e">
        <f t="shared" si="1539"/>
        <v>#N/A</v>
      </c>
      <c r="L9997" s="16">
        <f>base!X9997</f>
        <v>0</v>
      </c>
      <c r="M9997" s="11" t="e">
        <f t="shared" si="1536"/>
        <v>#DIV/0!</v>
      </c>
      <c r="N9997" s="11"/>
      <c r="O9997" s="11" t="e">
        <f t="shared" si="1537"/>
        <v>#DIV/0!</v>
      </c>
      <c r="P9997" s="12">
        <f t="shared" si="1538"/>
        <v>0</v>
      </c>
      <c r="Q9997" s="17" t="str">
        <f t="shared" si="1540"/>
        <v>Pas d'écart</v>
      </c>
    </row>
    <row r="9998" spans="1:17" x14ac:dyDescent="0.3">
      <c r="A9998" s="34">
        <f>base!J9998</f>
        <v>0</v>
      </c>
      <c r="B9998" s="34">
        <f>base!V9998</f>
        <v>0</v>
      </c>
      <c r="C9998" s="40" t="s">
        <v>11</v>
      </c>
      <c r="D9998" s="36">
        <f>base!H9998</f>
        <v>0</v>
      </c>
      <c r="E9998" s="44"/>
      <c r="F9998" s="16">
        <f>base!W9998</f>
        <v>0</v>
      </c>
      <c r="G9998" s="11" t="e">
        <f t="shared" si="1532"/>
        <v>#DIV/0!</v>
      </c>
      <c r="H9998" s="11" t="e">
        <f t="shared" si="1533"/>
        <v>#N/A</v>
      </c>
      <c r="I9998" s="11" t="e">
        <f t="shared" si="1534"/>
        <v>#N/A</v>
      </c>
      <c r="J9998" s="12" t="e">
        <f t="shared" si="1535"/>
        <v>#N/A</v>
      </c>
      <c r="K9998" s="17" t="e">
        <f t="shared" si="1539"/>
        <v>#N/A</v>
      </c>
      <c r="L9998" s="16">
        <f>base!X9998</f>
        <v>0</v>
      </c>
      <c r="M9998" s="11" t="e">
        <f t="shared" si="1536"/>
        <v>#DIV/0!</v>
      </c>
      <c r="N9998" s="11"/>
      <c r="O9998" s="11" t="e">
        <f t="shared" si="1537"/>
        <v>#DIV/0!</v>
      </c>
      <c r="P9998" s="12">
        <f t="shared" si="1538"/>
        <v>0</v>
      </c>
      <c r="Q9998" s="17" t="str">
        <f t="shared" si="1540"/>
        <v>Pas d'écart</v>
      </c>
    </row>
    <row r="9999" spans="1:17" x14ac:dyDescent="0.3">
      <c r="A9999" s="34">
        <f>base!J9999</f>
        <v>0</v>
      </c>
      <c r="B9999" s="34">
        <f>base!V9999</f>
        <v>0</v>
      </c>
      <c r="C9999" s="40" t="s">
        <v>11</v>
      </c>
      <c r="D9999" s="36">
        <f>base!H9999</f>
        <v>0</v>
      </c>
      <c r="E9999" s="44"/>
      <c r="F9999" s="16">
        <f>base!W9999</f>
        <v>0</v>
      </c>
      <c r="G9999" s="11" t="e">
        <f t="shared" si="1532"/>
        <v>#DIV/0!</v>
      </c>
      <c r="H9999" s="11" t="e">
        <f t="shared" si="1533"/>
        <v>#N/A</v>
      </c>
      <c r="I9999" s="11" t="e">
        <f t="shared" si="1534"/>
        <v>#N/A</v>
      </c>
      <c r="J9999" s="12" t="e">
        <f t="shared" si="1535"/>
        <v>#N/A</v>
      </c>
      <c r="K9999" s="17" t="e">
        <f t="shared" si="1539"/>
        <v>#N/A</v>
      </c>
      <c r="L9999" s="16">
        <f>base!X9999</f>
        <v>0</v>
      </c>
      <c r="M9999" s="11" t="e">
        <f t="shared" si="1536"/>
        <v>#DIV/0!</v>
      </c>
      <c r="N9999" s="11"/>
      <c r="O9999" s="11" t="e">
        <f t="shared" si="1537"/>
        <v>#DIV/0!</v>
      </c>
      <c r="P9999" s="12">
        <f t="shared" si="1538"/>
        <v>0</v>
      </c>
      <c r="Q9999" s="17" t="str">
        <f t="shared" si="1540"/>
        <v>Pas d'écart</v>
      </c>
    </row>
    <row r="10000" spans="1:17" ht="19.5" thickBot="1" x14ac:dyDescent="0.35">
      <c r="A10000" s="34">
        <f>base!J10000</f>
        <v>0</v>
      </c>
      <c r="B10000" s="34">
        <f>base!V10000</f>
        <v>0</v>
      </c>
      <c r="C10000" s="40" t="s">
        <v>11</v>
      </c>
      <c r="D10000" s="36">
        <f>base!H10000</f>
        <v>0</v>
      </c>
      <c r="E10000" s="44"/>
      <c r="F10000" s="16">
        <f>base!W10000</f>
        <v>0</v>
      </c>
      <c r="G10000" s="18" t="e">
        <f t="shared" si="1532"/>
        <v>#DIV/0!</v>
      </c>
      <c r="H10000" s="11" t="e">
        <f t="shared" si="1533"/>
        <v>#N/A</v>
      </c>
      <c r="I10000" s="18" t="e">
        <f t="shared" si="1534"/>
        <v>#N/A</v>
      </c>
      <c r="J10000" s="19" t="e">
        <f t="shared" si="1535"/>
        <v>#N/A</v>
      </c>
      <c r="K10000" s="20" t="e">
        <f t="shared" si="1539"/>
        <v>#N/A</v>
      </c>
      <c r="L10000" s="16">
        <f>base!X10000</f>
        <v>0</v>
      </c>
      <c r="M10000" s="18" t="e">
        <f t="shared" si="1536"/>
        <v>#DIV/0!</v>
      </c>
      <c r="N10000" s="18"/>
      <c r="O10000" s="18" t="e">
        <f t="shared" si="1537"/>
        <v>#DIV/0!</v>
      </c>
      <c r="P10000" s="19">
        <f t="shared" si="1538"/>
        <v>0</v>
      </c>
      <c r="Q10000" s="20" t="str">
        <f t="shared" si="1540"/>
        <v>Pas d'écart</v>
      </c>
    </row>
  </sheetData>
  <sortState ref="A7:W10001">
    <sortCondition ref="G1"/>
  </sortState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97"/>
  <sheetViews>
    <sheetView workbookViewId="0">
      <selection activeCell="A2" sqref="A2:C97"/>
    </sheetView>
  </sheetViews>
  <sheetFormatPr baseColWidth="10" defaultRowHeight="15" x14ac:dyDescent="0.25"/>
  <sheetData>
    <row r="1" spans="1:55" x14ac:dyDescent="0.25">
      <c r="A1" s="6" t="s">
        <v>12</v>
      </c>
      <c r="B1" s="6" t="s">
        <v>46</v>
      </c>
      <c r="C1" s="6" t="s">
        <v>45</v>
      </c>
      <c r="E1" s="2" t="s">
        <v>13</v>
      </c>
      <c r="F1" s="2">
        <v>10</v>
      </c>
      <c r="G1" s="2">
        <v>20</v>
      </c>
      <c r="H1" s="2">
        <v>30</v>
      </c>
      <c r="I1" s="2">
        <v>40</v>
      </c>
      <c r="J1" s="2">
        <v>50</v>
      </c>
      <c r="K1" s="2">
        <v>60</v>
      </c>
      <c r="L1" s="2">
        <v>70</v>
      </c>
      <c r="M1" s="2">
        <v>80</v>
      </c>
      <c r="N1" s="2">
        <v>90</v>
      </c>
      <c r="O1" s="2">
        <v>100</v>
      </c>
      <c r="P1" s="2">
        <v>110</v>
      </c>
      <c r="Q1" s="2">
        <v>120</v>
      </c>
      <c r="R1" s="2">
        <v>130</v>
      </c>
      <c r="S1" s="2">
        <v>140</v>
      </c>
      <c r="T1" s="2">
        <v>150</v>
      </c>
      <c r="U1" s="2">
        <v>160</v>
      </c>
      <c r="V1" s="2">
        <v>170</v>
      </c>
      <c r="W1" s="2">
        <v>180</v>
      </c>
      <c r="X1" s="2">
        <v>190</v>
      </c>
      <c r="Y1" s="2">
        <v>200</v>
      </c>
      <c r="Z1" s="2">
        <v>210</v>
      </c>
      <c r="AA1" s="2">
        <v>220</v>
      </c>
      <c r="AB1" s="2">
        <v>230</v>
      </c>
      <c r="AC1" s="2">
        <v>240</v>
      </c>
      <c r="AD1" s="2">
        <v>250</v>
      </c>
      <c r="AE1" s="2">
        <v>260</v>
      </c>
      <c r="AF1" s="2">
        <v>270</v>
      </c>
      <c r="AG1" s="2">
        <v>280</v>
      </c>
      <c r="AH1" s="2">
        <v>290</v>
      </c>
      <c r="AI1" s="2">
        <v>300</v>
      </c>
      <c r="AJ1" s="2">
        <v>310</v>
      </c>
      <c r="AK1" s="2">
        <v>320</v>
      </c>
      <c r="AL1" s="2">
        <v>330</v>
      </c>
      <c r="AM1" s="2">
        <v>340</v>
      </c>
      <c r="AN1" s="2">
        <v>350</v>
      </c>
      <c r="AO1" s="2">
        <v>360</v>
      </c>
      <c r="AP1" s="2">
        <v>370</v>
      </c>
      <c r="AQ1" s="2">
        <v>380</v>
      </c>
      <c r="AR1" s="2">
        <v>390</v>
      </c>
      <c r="AS1" s="2">
        <v>400</v>
      </c>
      <c r="AT1" s="2">
        <v>410</v>
      </c>
      <c r="AU1" s="2">
        <v>420</v>
      </c>
      <c r="AV1" s="2">
        <v>430</v>
      </c>
      <c r="AW1" s="2">
        <v>440</v>
      </c>
      <c r="AX1" s="2">
        <v>450</v>
      </c>
      <c r="AY1" s="2">
        <v>460</v>
      </c>
      <c r="AZ1" s="2">
        <v>470</v>
      </c>
      <c r="BA1" s="2">
        <v>480</v>
      </c>
      <c r="BB1" s="2">
        <v>490</v>
      </c>
      <c r="BC1" s="2">
        <v>500</v>
      </c>
    </row>
    <row r="2" spans="1:55" x14ac:dyDescent="0.25">
      <c r="A2" s="46">
        <v>1</v>
      </c>
      <c r="B2" s="42">
        <v>0.26</v>
      </c>
      <c r="C2" s="42">
        <v>0</v>
      </c>
      <c r="E2" s="3">
        <v>1</v>
      </c>
      <c r="F2" s="4">
        <v>18.260000000000002</v>
      </c>
      <c r="G2" s="4">
        <v>18.260000000000002</v>
      </c>
      <c r="H2" s="5">
        <v>20.260000000000002</v>
      </c>
      <c r="I2" s="5">
        <v>41.47</v>
      </c>
      <c r="J2" s="5">
        <v>44.07</v>
      </c>
      <c r="K2" s="5">
        <v>52.78</v>
      </c>
      <c r="L2" s="5">
        <v>61.48</v>
      </c>
      <c r="M2" s="5">
        <v>70.19</v>
      </c>
      <c r="N2" s="5">
        <v>70.73</v>
      </c>
      <c r="O2" s="5">
        <v>71.27</v>
      </c>
      <c r="P2" s="5">
        <v>71.81</v>
      </c>
      <c r="Q2" s="5">
        <v>72.34</v>
      </c>
      <c r="R2" s="5">
        <v>72.88</v>
      </c>
      <c r="S2" s="5">
        <v>73.41</v>
      </c>
      <c r="T2" s="5">
        <v>73.959999999999994</v>
      </c>
      <c r="U2" s="5">
        <v>85.09</v>
      </c>
      <c r="V2" s="5">
        <v>96.22</v>
      </c>
      <c r="W2" s="5">
        <v>107.35</v>
      </c>
      <c r="X2" s="5">
        <v>118.48</v>
      </c>
      <c r="Y2" s="5">
        <v>129.61000000000001</v>
      </c>
      <c r="Z2" s="5">
        <v>135.19999999999999</v>
      </c>
      <c r="AA2" s="5">
        <v>140.78</v>
      </c>
      <c r="AB2" s="5">
        <v>146.36000000000001</v>
      </c>
      <c r="AC2" s="5">
        <v>151.94</v>
      </c>
      <c r="AD2" s="5">
        <v>157.52000000000001</v>
      </c>
      <c r="AE2" s="5">
        <v>163.11000000000001</v>
      </c>
      <c r="AF2" s="5">
        <v>168.69</v>
      </c>
      <c r="AG2" s="5">
        <v>174.27</v>
      </c>
      <c r="AH2" s="5">
        <v>179.85</v>
      </c>
      <c r="AI2" s="5">
        <v>185.43</v>
      </c>
      <c r="AJ2" s="5">
        <v>185.94</v>
      </c>
      <c r="AK2" s="5">
        <v>186.45</v>
      </c>
      <c r="AL2" s="5">
        <v>186.96</v>
      </c>
      <c r="AM2" s="5">
        <v>187.47</v>
      </c>
      <c r="AN2" s="5">
        <v>187.98</v>
      </c>
      <c r="AO2" s="5">
        <v>188.49</v>
      </c>
      <c r="AP2" s="5">
        <v>189</v>
      </c>
      <c r="AQ2" s="5">
        <v>189.51</v>
      </c>
      <c r="AR2" s="5">
        <v>190.02</v>
      </c>
      <c r="AS2" s="5">
        <v>190.53</v>
      </c>
      <c r="AT2" s="5">
        <v>191.04</v>
      </c>
      <c r="AU2" s="5">
        <v>191.55</v>
      </c>
      <c r="AV2" s="5">
        <v>192.06</v>
      </c>
      <c r="AW2" s="5">
        <v>192.56</v>
      </c>
      <c r="AX2" s="5">
        <v>193.07</v>
      </c>
      <c r="AY2" s="5">
        <v>242.95</v>
      </c>
      <c r="AZ2" s="5">
        <v>292.82</v>
      </c>
      <c r="BA2" s="5">
        <v>342.69</v>
      </c>
      <c r="BB2" s="5">
        <v>392.56</v>
      </c>
      <c r="BC2" s="5">
        <v>442.44</v>
      </c>
    </row>
    <row r="3" spans="1:55" x14ac:dyDescent="0.25">
      <c r="A3" s="46">
        <v>2</v>
      </c>
      <c r="B3" s="42">
        <v>0.18</v>
      </c>
      <c r="C3" s="42">
        <v>0</v>
      </c>
      <c r="E3" s="3">
        <v>2</v>
      </c>
      <c r="F3" s="5">
        <v>14.59</v>
      </c>
      <c r="G3" s="5">
        <v>14.59</v>
      </c>
      <c r="H3" s="5">
        <v>15.26</v>
      </c>
      <c r="I3" s="5">
        <v>41.47</v>
      </c>
      <c r="J3" s="5">
        <v>44.07</v>
      </c>
      <c r="K3" s="5">
        <v>52.78</v>
      </c>
      <c r="L3" s="5">
        <v>61.48</v>
      </c>
      <c r="M3" s="5">
        <v>70.19</v>
      </c>
      <c r="N3" s="5">
        <v>70.73</v>
      </c>
      <c r="O3" s="5">
        <v>71.27</v>
      </c>
      <c r="P3" s="5">
        <v>71.81</v>
      </c>
      <c r="Q3" s="5">
        <v>72.34</v>
      </c>
      <c r="R3" s="5">
        <v>72.88</v>
      </c>
      <c r="S3" s="5">
        <v>73.41</v>
      </c>
      <c r="T3" s="5">
        <v>73.959999999999994</v>
      </c>
      <c r="U3" s="5">
        <v>85.09</v>
      </c>
      <c r="V3" s="5">
        <v>96.22</v>
      </c>
      <c r="W3" s="5">
        <v>107.35</v>
      </c>
      <c r="X3" s="5">
        <v>118.48</v>
      </c>
      <c r="Y3" s="5">
        <v>129.61000000000001</v>
      </c>
      <c r="Z3" s="5">
        <v>135.19999999999999</v>
      </c>
      <c r="AA3" s="5">
        <v>140.78</v>
      </c>
      <c r="AB3" s="5">
        <v>146.36000000000001</v>
      </c>
      <c r="AC3" s="5">
        <v>151.94</v>
      </c>
      <c r="AD3" s="5">
        <v>157.52000000000001</v>
      </c>
      <c r="AE3" s="5">
        <v>163.11000000000001</v>
      </c>
      <c r="AF3" s="5">
        <v>168.69</v>
      </c>
      <c r="AG3" s="5">
        <v>174.27</v>
      </c>
      <c r="AH3" s="5">
        <v>179.85</v>
      </c>
      <c r="AI3" s="5">
        <v>185.43</v>
      </c>
      <c r="AJ3" s="5">
        <v>185.94</v>
      </c>
      <c r="AK3" s="5">
        <v>186.45</v>
      </c>
      <c r="AL3" s="5">
        <v>186.96</v>
      </c>
      <c r="AM3" s="5">
        <v>187.47</v>
      </c>
      <c r="AN3" s="5">
        <v>187.98</v>
      </c>
      <c r="AO3" s="5">
        <v>188.49</v>
      </c>
      <c r="AP3" s="5">
        <v>189</v>
      </c>
      <c r="AQ3" s="5">
        <v>189.51</v>
      </c>
      <c r="AR3" s="5">
        <v>190.02</v>
      </c>
      <c r="AS3" s="5">
        <v>190.53</v>
      </c>
      <c r="AT3" s="5">
        <v>191.04</v>
      </c>
      <c r="AU3" s="5">
        <v>191.55</v>
      </c>
      <c r="AV3" s="5">
        <v>192.06</v>
      </c>
      <c r="AW3" s="5">
        <v>192.56</v>
      </c>
      <c r="AX3" s="5">
        <v>193.07</v>
      </c>
      <c r="AY3" s="5">
        <v>242.95</v>
      </c>
      <c r="AZ3" s="5">
        <v>292.82</v>
      </c>
      <c r="BA3" s="5">
        <v>342.69</v>
      </c>
      <c r="BB3" s="5">
        <v>392.56</v>
      </c>
      <c r="BC3" s="5">
        <v>442.44</v>
      </c>
    </row>
    <row r="4" spans="1:55" x14ac:dyDescent="0.25">
      <c r="A4" s="47">
        <v>3</v>
      </c>
      <c r="B4" s="42">
        <v>0.28999999999999998</v>
      </c>
      <c r="C4" s="42">
        <v>0.12</v>
      </c>
      <c r="E4" s="3">
        <v>3</v>
      </c>
      <c r="F4" s="5">
        <v>20.239999999999998</v>
      </c>
      <c r="G4" s="5">
        <v>20.239999999999998</v>
      </c>
      <c r="H4" s="5">
        <v>22.92</v>
      </c>
      <c r="I4" s="5">
        <v>41.47</v>
      </c>
      <c r="J4" s="5">
        <v>44.07</v>
      </c>
      <c r="K4" s="5">
        <v>52.78</v>
      </c>
      <c r="L4" s="5">
        <v>61.48</v>
      </c>
      <c r="M4" s="5">
        <v>70.19</v>
      </c>
      <c r="N4" s="5">
        <v>70.73</v>
      </c>
      <c r="O4" s="5">
        <v>71.27</v>
      </c>
      <c r="P4" s="5">
        <v>71.81</v>
      </c>
      <c r="Q4" s="5">
        <v>72.34</v>
      </c>
      <c r="R4" s="5">
        <v>72.88</v>
      </c>
      <c r="S4" s="5">
        <v>73.41</v>
      </c>
      <c r="T4" s="5">
        <v>73.959999999999994</v>
      </c>
      <c r="U4" s="5">
        <v>85.09</v>
      </c>
      <c r="V4" s="5">
        <v>96.22</v>
      </c>
      <c r="W4" s="5">
        <v>107.35</v>
      </c>
      <c r="X4" s="5">
        <v>118.48</v>
      </c>
      <c r="Y4" s="5">
        <v>129.61000000000001</v>
      </c>
      <c r="Z4" s="5">
        <v>135.19999999999999</v>
      </c>
      <c r="AA4" s="5">
        <v>140.78</v>
      </c>
      <c r="AB4" s="5">
        <v>146.36000000000001</v>
      </c>
      <c r="AC4" s="5">
        <v>151.94</v>
      </c>
      <c r="AD4" s="5">
        <v>157.52000000000001</v>
      </c>
      <c r="AE4" s="5">
        <v>163.11000000000001</v>
      </c>
      <c r="AF4" s="5">
        <v>168.69</v>
      </c>
      <c r="AG4" s="5">
        <v>174.27</v>
      </c>
      <c r="AH4" s="5">
        <v>179.85</v>
      </c>
      <c r="AI4" s="5">
        <v>185.43</v>
      </c>
      <c r="AJ4" s="5">
        <v>185.94</v>
      </c>
      <c r="AK4" s="5">
        <v>186.45</v>
      </c>
      <c r="AL4" s="5">
        <v>186.96</v>
      </c>
      <c r="AM4" s="5">
        <v>187.47</v>
      </c>
      <c r="AN4" s="5">
        <v>187.98</v>
      </c>
      <c r="AO4" s="5">
        <v>188.49</v>
      </c>
      <c r="AP4" s="5">
        <v>189</v>
      </c>
      <c r="AQ4" s="5">
        <v>189.51</v>
      </c>
      <c r="AR4" s="5">
        <v>190.02</v>
      </c>
      <c r="AS4" s="5">
        <v>190.53</v>
      </c>
      <c r="AT4" s="5">
        <v>191.04</v>
      </c>
      <c r="AU4" s="5">
        <v>191.55</v>
      </c>
      <c r="AV4" s="5">
        <v>192.06</v>
      </c>
      <c r="AW4" s="5">
        <v>192.56</v>
      </c>
      <c r="AX4" s="5">
        <v>193.07</v>
      </c>
      <c r="AY4" s="5">
        <v>242.95</v>
      </c>
      <c r="AZ4" s="5">
        <v>292.82</v>
      </c>
      <c r="BA4" s="5">
        <v>342.69</v>
      </c>
      <c r="BB4" s="5">
        <v>392.56</v>
      </c>
      <c r="BC4" s="5">
        <v>442.44</v>
      </c>
    </row>
    <row r="5" spans="1:55" x14ac:dyDescent="0.25">
      <c r="A5" s="47">
        <v>4</v>
      </c>
      <c r="B5" s="42">
        <v>0.28999999999999998</v>
      </c>
      <c r="C5" s="42">
        <v>0.19</v>
      </c>
      <c r="E5" s="3">
        <v>4</v>
      </c>
      <c r="F5" s="5">
        <v>20.47</v>
      </c>
      <c r="G5" s="5">
        <v>20.47</v>
      </c>
      <c r="H5" s="5">
        <v>23.03</v>
      </c>
      <c r="I5" s="5">
        <v>47.76</v>
      </c>
      <c r="J5" s="5">
        <v>50.15</v>
      </c>
      <c r="K5" s="5">
        <v>58.26</v>
      </c>
      <c r="L5" s="5">
        <v>66.36</v>
      </c>
      <c r="M5" s="5">
        <v>74.47</v>
      </c>
      <c r="N5" s="5">
        <v>75.19</v>
      </c>
      <c r="O5" s="5">
        <v>75.92</v>
      </c>
      <c r="P5" s="5">
        <v>76.63</v>
      </c>
      <c r="Q5" s="5">
        <v>77.349999999999994</v>
      </c>
      <c r="R5" s="5">
        <v>78.069999999999993</v>
      </c>
      <c r="S5" s="5">
        <v>78.8</v>
      </c>
      <c r="T5" s="5">
        <v>79.510000000000005</v>
      </c>
      <c r="U5" s="5">
        <v>91.69</v>
      </c>
      <c r="V5" s="5">
        <v>103.87</v>
      </c>
      <c r="W5" s="5">
        <v>116.04</v>
      </c>
      <c r="X5" s="5">
        <v>128.22</v>
      </c>
      <c r="Y5" s="5">
        <v>140.4</v>
      </c>
      <c r="Z5" s="5">
        <v>146.57</v>
      </c>
      <c r="AA5" s="5">
        <v>152.72999999999999</v>
      </c>
      <c r="AB5" s="5">
        <v>158.88999999999999</v>
      </c>
      <c r="AC5" s="5">
        <v>165.06</v>
      </c>
      <c r="AD5" s="5">
        <v>171.22</v>
      </c>
      <c r="AE5" s="5">
        <v>177.39</v>
      </c>
      <c r="AF5" s="5">
        <v>183.55</v>
      </c>
      <c r="AG5" s="5">
        <v>189.72</v>
      </c>
      <c r="AH5" s="5">
        <v>195.88</v>
      </c>
      <c r="AI5" s="5">
        <v>202.05</v>
      </c>
      <c r="AJ5" s="5">
        <v>202.43</v>
      </c>
      <c r="AK5" s="5">
        <v>202.82</v>
      </c>
      <c r="AL5" s="5">
        <v>203.2</v>
      </c>
      <c r="AM5" s="5">
        <v>203.59</v>
      </c>
      <c r="AN5" s="5">
        <v>203.97</v>
      </c>
      <c r="AO5" s="5">
        <v>204.36</v>
      </c>
      <c r="AP5" s="5">
        <v>204.75</v>
      </c>
      <c r="AQ5" s="5">
        <v>205.13</v>
      </c>
      <c r="AR5" s="5">
        <v>205.52</v>
      </c>
      <c r="AS5" s="5">
        <v>205.9</v>
      </c>
      <c r="AT5" s="5">
        <v>206.29</v>
      </c>
      <c r="AU5" s="5">
        <v>206.68</v>
      </c>
      <c r="AV5" s="5">
        <v>207.06</v>
      </c>
      <c r="AW5" s="5">
        <v>207.45</v>
      </c>
      <c r="AX5" s="5">
        <v>207.83</v>
      </c>
      <c r="AY5" s="5">
        <v>280.54000000000002</v>
      </c>
      <c r="AZ5" s="5">
        <v>353.25</v>
      </c>
      <c r="BA5" s="5">
        <v>425.96</v>
      </c>
      <c r="BB5" s="5">
        <v>498.67</v>
      </c>
      <c r="BC5" s="5">
        <v>571.38</v>
      </c>
    </row>
    <row r="6" spans="1:55" x14ac:dyDescent="0.25">
      <c r="A6" s="47">
        <v>5</v>
      </c>
      <c r="B6" s="42">
        <v>0.28999999999999998</v>
      </c>
      <c r="C6" s="42">
        <v>0.19</v>
      </c>
      <c r="E6" s="3">
        <v>5</v>
      </c>
      <c r="F6" s="5">
        <v>23.05</v>
      </c>
      <c r="G6" s="5">
        <v>23.05</v>
      </c>
      <c r="H6" s="5">
        <v>27.05</v>
      </c>
      <c r="I6" s="5">
        <v>47.76</v>
      </c>
      <c r="J6" s="5">
        <v>50.15</v>
      </c>
      <c r="K6" s="5">
        <v>58.26</v>
      </c>
      <c r="L6" s="5">
        <v>66.36</v>
      </c>
      <c r="M6" s="5">
        <v>74.47</v>
      </c>
      <c r="N6" s="5">
        <v>75.19</v>
      </c>
      <c r="O6" s="5">
        <v>75.92</v>
      </c>
      <c r="P6" s="5">
        <v>76.63</v>
      </c>
      <c r="Q6" s="5">
        <v>77.349999999999994</v>
      </c>
      <c r="R6" s="5">
        <v>78.069999999999993</v>
      </c>
      <c r="S6" s="5">
        <v>78.8</v>
      </c>
      <c r="T6" s="5">
        <v>79.510000000000005</v>
      </c>
      <c r="U6" s="5">
        <v>91.69</v>
      </c>
      <c r="V6" s="5">
        <v>103.87</v>
      </c>
      <c r="W6" s="5">
        <v>116.04</v>
      </c>
      <c r="X6" s="5">
        <v>128.22</v>
      </c>
      <c r="Y6" s="5">
        <v>140.4</v>
      </c>
      <c r="Z6" s="5">
        <v>146.57</v>
      </c>
      <c r="AA6" s="5">
        <v>152.72999999999999</v>
      </c>
      <c r="AB6" s="5">
        <v>158.88999999999999</v>
      </c>
      <c r="AC6" s="5">
        <v>165.06</v>
      </c>
      <c r="AD6" s="5">
        <v>171.22</v>
      </c>
      <c r="AE6" s="5">
        <v>177.39</v>
      </c>
      <c r="AF6" s="5">
        <v>183.55</v>
      </c>
      <c r="AG6" s="5">
        <v>189.72</v>
      </c>
      <c r="AH6" s="5">
        <v>195.88</v>
      </c>
      <c r="AI6" s="5">
        <v>202.05</v>
      </c>
      <c r="AJ6" s="5">
        <v>202.43</v>
      </c>
      <c r="AK6" s="5">
        <v>202.82</v>
      </c>
      <c r="AL6" s="5">
        <v>203.2</v>
      </c>
      <c r="AM6" s="5">
        <v>203.59</v>
      </c>
      <c r="AN6" s="5">
        <v>203.97</v>
      </c>
      <c r="AO6" s="5">
        <v>204.36</v>
      </c>
      <c r="AP6" s="5">
        <v>204.75</v>
      </c>
      <c r="AQ6" s="5">
        <v>205.13</v>
      </c>
      <c r="AR6" s="5">
        <v>205.52</v>
      </c>
      <c r="AS6" s="5">
        <v>205.9</v>
      </c>
      <c r="AT6" s="5">
        <v>206.29</v>
      </c>
      <c r="AU6" s="5">
        <v>206.68</v>
      </c>
      <c r="AV6" s="5">
        <v>207.06</v>
      </c>
      <c r="AW6" s="5">
        <v>207.45</v>
      </c>
      <c r="AX6" s="5">
        <v>207.83</v>
      </c>
      <c r="AY6" s="5">
        <v>280.54000000000002</v>
      </c>
      <c r="AZ6" s="5">
        <v>353.25</v>
      </c>
      <c r="BA6" s="5">
        <v>425.96</v>
      </c>
      <c r="BB6" s="5">
        <v>498.67</v>
      </c>
      <c r="BC6" s="5">
        <v>571.38</v>
      </c>
    </row>
    <row r="7" spans="1:55" x14ac:dyDescent="0.25">
      <c r="A7" s="47">
        <v>6</v>
      </c>
      <c r="B7" s="42">
        <v>0.3</v>
      </c>
      <c r="C7" s="42">
        <v>0.21</v>
      </c>
      <c r="E7" s="3">
        <v>6</v>
      </c>
      <c r="F7" s="5">
        <v>21.46</v>
      </c>
      <c r="G7" s="5">
        <v>21.46</v>
      </c>
      <c r="H7" s="5">
        <v>24.07</v>
      </c>
      <c r="I7" s="5">
        <v>47.76</v>
      </c>
      <c r="J7" s="5">
        <v>50.15</v>
      </c>
      <c r="K7" s="5">
        <v>58.26</v>
      </c>
      <c r="L7" s="5">
        <v>66.36</v>
      </c>
      <c r="M7" s="5">
        <v>74.47</v>
      </c>
      <c r="N7" s="5">
        <v>75.19</v>
      </c>
      <c r="O7" s="5">
        <v>75.92</v>
      </c>
      <c r="P7" s="5">
        <v>76.63</v>
      </c>
      <c r="Q7" s="5">
        <v>77.349999999999994</v>
      </c>
      <c r="R7" s="5">
        <v>78.069999999999993</v>
      </c>
      <c r="S7" s="5">
        <v>78.8</v>
      </c>
      <c r="T7" s="5">
        <v>79.510000000000005</v>
      </c>
      <c r="U7" s="5">
        <v>91.69</v>
      </c>
      <c r="V7" s="5">
        <v>103.87</v>
      </c>
      <c r="W7" s="5">
        <v>116.04</v>
      </c>
      <c r="X7" s="5">
        <v>128.22</v>
      </c>
      <c r="Y7" s="5">
        <v>140.4</v>
      </c>
      <c r="Z7" s="5">
        <v>146.57</v>
      </c>
      <c r="AA7" s="5">
        <v>152.72999999999999</v>
      </c>
      <c r="AB7" s="5">
        <v>158.88999999999999</v>
      </c>
      <c r="AC7" s="5">
        <v>165.06</v>
      </c>
      <c r="AD7" s="5">
        <v>171.22</v>
      </c>
      <c r="AE7" s="5">
        <v>177.39</v>
      </c>
      <c r="AF7" s="5">
        <v>183.55</v>
      </c>
      <c r="AG7" s="5">
        <v>189.72</v>
      </c>
      <c r="AH7" s="5">
        <v>195.88</v>
      </c>
      <c r="AI7" s="5">
        <v>202.05</v>
      </c>
      <c r="AJ7" s="5">
        <v>202.43</v>
      </c>
      <c r="AK7" s="5">
        <v>202.82</v>
      </c>
      <c r="AL7" s="5">
        <v>203.2</v>
      </c>
      <c r="AM7" s="5">
        <v>203.59</v>
      </c>
      <c r="AN7" s="5">
        <v>203.97</v>
      </c>
      <c r="AO7" s="5">
        <v>204.36</v>
      </c>
      <c r="AP7" s="5">
        <v>204.75</v>
      </c>
      <c r="AQ7" s="5">
        <v>205.13</v>
      </c>
      <c r="AR7" s="5">
        <v>205.52</v>
      </c>
      <c r="AS7" s="5">
        <v>205.9</v>
      </c>
      <c r="AT7" s="5">
        <v>206.29</v>
      </c>
      <c r="AU7" s="5">
        <v>206.68</v>
      </c>
      <c r="AV7" s="5">
        <v>207.06</v>
      </c>
      <c r="AW7" s="5">
        <v>207.45</v>
      </c>
      <c r="AX7" s="5">
        <v>207.83</v>
      </c>
      <c r="AY7" s="5">
        <v>280.54000000000002</v>
      </c>
      <c r="AZ7" s="5">
        <v>353.25</v>
      </c>
      <c r="BA7" s="5">
        <v>425.96</v>
      </c>
      <c r="BB7" s="5">
        <v>498.67</v>
      </c>
      <c r="BC7" s="5">
        <v>571.38</v>
      </c>
    </row>
    <row r="8" spans="1:55" x14ac:dyDescent="0.25">
      <c r="A8" s="47">
        <v>7</v>
      </c>
      <c r="B8" s="42">
        <v>0.27</v>
      </c>
      <c r="C8" s="42">
        <v>0</v>
      </c>
      <c r="E8" s="3">
        <v>7</v>
      </c>
      <c r="F8" s="5">
        <v>17.95</v>
      </c>
      <c r="G8" s="5">
        <v>17.95</v>
      </c>
      <c r="H8" s="5">
        <v>19.8</v>
      </c>
      <c r="I8" s="5">
        <v>47.76</v>
      </c>
      <c r="J8" s="5">
        <v>50.15</v>
      </c>
      <c r="K8" s="5">
        <v>58.26</v>
      </c>
      <c r="L8" s="5">
        <v>66.36</v>
      </c>
      <c r="M8" s="5">
        <v>74.47</v>
      </c>
      <c r="N8" s="5">
        <v>75.19</v>
      </c>
      <c r="O8" s="5">
        <v>75.92</v>
      </c>
      <c r="P8" s="5">
        <v>76.63</v>
      </c>
      <c r="Q8" s="5">
        <v>77.349999999999994</v>
      </c>
      <c r="R8" s="5">
        <v>78.069999999999993</v>
      </c>
      <c r="S8" s="5">
        <v>78.8</v>
      </c>
      <c r="T8" s="5">
        <v>79.510000000000005</v>
      </c>
      <c r="U8" s="5">
        <v>91.69</v>
      </c>
      <c r="V8" s="5">
        <v>103.87</v>
      </c>
      <c r="W8" s="5">
        <v>116.04</v>
      </c>
      <c r="X8" s="5">
        <v>128.22</v>
      </c>
      <c r="Y8" s="5">
        <v>140.4</v>
      </c>
      <c r="Z8" s="5">
        <v>146.57</v>
      </c>
      <c r="AA8" s="5">
        <v>152.72999999999999</v>
      </c>
      <c r="AB8" s="5">
        <v>158.88999999999999</v>
      </c>
      <c r="AC8" s="5">
        <v>165.06</v>
      </c>
      <c r="AD8" s="5">
        <v>171.22</v>
      </c>
      <c r="AE8" s="5">
        <v>177.39</v>
      </c>
      <c r="AF8" s="5">
        <v>183.55</v>
      </c>
      <c r="AG8" s="5">
        <v>189.72</v>
      </c>
      <c r="AH8" s="5">
        <v>195.88</v>
      </c>
      <c r="AI8" s="5">
        <v>202.05</v>
      </c>
      <c r="AJ8" s="5">
        <v>202.43</v>
      </c>
      <c r="AK8" s="5">
        <v>202.82</v>
      </c>
      <c r="AL8" s="5">
        <v>203.2</v>
      </c>
      <c r="AM8" s="5">
        <v>203.59</v>
      </c>
      <c r="AN8" s="5">
        <v>203.97</v>
      </c>
      <c r="AO8" s="5">
        <v>204.36</v>
      </c>
      <c r="AP8" s="5">
        <v>204.75</v>
      </c>
      <c r="AQ8" s="5">
        <v>205.13</v>
      </c>
      <c r="AR8" s="5">
        <v>205.52</v>
      </c>
      <c r="AS8" s="5">
        <v>205.9</v>
      </c>
      <c r="AT8" s="5">
        <v>206.29</v>
      </c>
      <c r="AU8" s="5">
        <v>206.68</v>
      </c>
      <c r="AV8" s="5">
        <v>207.06</v>
      </c>
      <c r="AW8" s="5">
        <v>207.45</v>
      </c>
      <c r="AX8" s="5">
        <v>207.83</v>
      </c>
      <c r="AY8" s="5">
        <v>280.54000000000002</v>
      </c>
      <c r="AZ8" s="5">
        <v>353.25</v>
      </c>
      <c r="BA8" s="5">
        <v>425.96</v>
      </c>
      <c r="BB8" s="5">
        <v>498.67</v>
      </c>
      <c r="BC8" s="5">
        <v>571.38</v>
      </c>
    </row>
    <row r="9" spans="1:55" x14ac:dyDescent="0.25">
      <c r="A9" s="47">
        <v>8</v>
      </c>
      <c r="B9" s="42">
        <v>0.18</v>
      </c>
      <c r="C9" s="42">
        <v>0</v>
      </c>
      <c r="E9" s="3">
        <v>8</v>
      </c>
      <c r="F9" s="5">
        <v>16.309999999999999</v>
      </c>
      <c r="G9" s="5">
        <v>16.309999999999999</v>
      </c>
      <c r="H9" s="5">
        <v>17.63</v>
      </c>
      <c r="I9" s="5">
        <v>47.76</v>
      </c>
      <c r="J9" s="5">
        <v>50.15</v>
      </c>
      <c r="K9" s="5">
        <v>58.26</v>
      </c>
      <c r="L9" s="5">
        <v>66.36</v>
      </c>
      <c r="M9" s="5">
        <v>74.47</v>
      </c>
      <c r="N9" s="5">
        <v>75.19</v>
      </c>
      <c r="O9" s="5">
        <v>75.92</v>
      </c>
      <c r="P9" s="5">
        <v>76.63</v>
      </c>
      <c r="Q9" s="5">
        <v>77.349999999999994</v>
      </c>
      <c r="R9" s="5">
        <v>78.069999999999993</v>
      </c>
      <c r="S9" s="5">
        <v>78.8</v>
      </c>
      <c r="T9" s="5">
        <v>79.510000000000005</v>
      </c>
      <c r="U9" s="5">
        <v>91.69</v>
      </c>
      <c r="V9" s="5">
        <v>103.87</v>
      </c>
      <c r="W9" s="5">
        <v>116.04</v>
      </c>
      <c r="X9" s="5">
        <v>128.22</v>
      </c>
      <c r="Y9" s="5">
        <v>140.4</v>
      </c>
      <c r="Z9" s="5">
        <v>146.57</v>
      </c>
      <c r="AA9" s="5">
        <v>152.72999999999999</v>
      </c>
      <c r="AB9" s="5">
        <v>158.88999999999999</v>
      </c>
      <c r="AC9" s="5">
        <v>165.06</v>
      </c>
      <c r="AD9" s="5">
        <v>171.22</v>
      </c>
      <c r="AE9" s="5">
        <v>177.39</v>
      </c>
      <c r="AF9" s="5">
        <v>183.55</v>
      </c>
      <c r="AG9" s="5">
        <v>189.72</v>
      </c>
      <c r="AH9" s="5">
        <v>195.88</v>
      </c>
      <c r="AI9" s="5">
        <v>202.05</v>
      </c>
      <c r="AJ9" s="5">
        <v>202.43</v>
      </c>
      <c r="AK9" s="5">
        <v>202.82</v>
      </c>
      <c r="AL9" s="5">
        <v>203.2</v>
      </c>
      <c r="AM9" s="5">
        <v>203.59</v>
      </c>
      <c r="AN9" s="5">
        <v>203.97</v>
      </c>
      <c r="AO9" s="5">
        <v>204.36</v>
      </c>
      <c r="AP9" s="5">
        <v>204.75</v>
      </c>
      <c r="AQ9" s="5">
        <v>205.13</v>
      </c>
      <c r="AR9" s="5">
        <v>205.52</v>
      </c>
      <c r="AS9" s="5">
        <v>205.9</v>
      </c>
      <c r="AT9" s="5">
        <v>206.29</v>
      </c>
      <c r="AU9" s="5">
        <v>206.68</v>
      </c>
      <c r="AV9" s="5">
        <v>207.06</v>
      </c>
      <c r="AW9" s="5">
        <v>207.45</v>
      </c>
      <c r="AX9" s="5">
        <v>207.83</v>
      </c>
      <c r="AY9" s="5">
        <v>280.54000000000002</v>
      </c>
      <c r="AZ9" s="5">
        <v>353.25</v>
      </c>
      <c r="BA9" s="5">
        <v>425.96</v>
      </c>
      <c r="BB9" s="5">
        <v>498.67</v>
      </c>
      <c r="BC9" s="5">
        <v>571.38</v>
      </c>
    </row>
    <row r="10" spans="1:55" x14ac:dyDescent="0.25">
      <c r="A10" s="47">
        <v>9</v>
      </c>
      <c r="B10" s="42">
        <v>0.22</v>
      </c>
      <c r="C10" s="42">
        <v>0.26</v>
      </c>
      <c r="E10" s="3">
        <v>9</v>
      </c>
      <c r="F10" s="5">
        <v>18.79</v>
      </c>
      <c r="G10" s="5">
        <v>18.79</v>
      </c>
      <c r="H10" s="5">
        <v>21.63</v>
      </c>
      <c r="I10" s="5">
        <v>41.47</v>
      </c>
      <c r="J10" s="5">
        <v>44.07</v>
      </c>
      <c r="K10" s="5">
        <v>52.78</v>
      </c>
      <c r="L10" s="5">
        <v>61.48</v>
      </c>
      <c r="M10" s="5">
        <v>70.19</v>
      </c>
      <c r="N10" s="5">
        <v>70.73</v>
      </c>
      <c r="O10" s="5">
        <v>71.27</v>
      </c>
      <c r="P10" s="5">
        <v>71.81</v>
      </c>
      <c r="Q10" s="5">
        <v>72.34</v>
      </c>
      <c r="R10" s="5">
        <v>72.88</v>
      </c>
      <c r="S10" s="5">
        <v>73.41</v>
      </c>
      <c r="T10" s="5">
        <v>73.959999999999994</v>
      </c>
      <c r="U10" s="5">
        <v>85.09</v>
      </c>
      <c r="V10" s="5">
        <v>96.22</v>
      </c>
      <c r="W10" s="5">
        <v>107.35</v>
      </c>
      <c r="X10" s="5">
        <v>118.48</v>
      </c>
      <c r="Y10" s="5">
        <v>129.61000000000001</v>
      </c>
      <c r="Z10" s="5">
        <v>135.19999999999999</v>
      </c>
      <c r="AA10" s="5">
        <v>140.78</v>
      </c>
      <c r="AB10" s="5">
        <v>146.36000000000001</v>
      </c>
      <c r="AC10" s="5">
        <v>151.94</v>
      </c>
      <c r="AD10" s="5">
        <v>157.52000000000001</v>
      </c>
      <c r="AE10" s="5">
        <v>163.11000000000001</v>
      </c>
      <c r="AF10" s="5">
        <v>168.69</v>
      </c>
      <c r="AG10" s="5">
        <v>174.27</v>
      </c>
      <c r="AH10" s="5">
        <v>179.85</v>
      </c>
      <c r="AI10" s="5">
        <v>185.43</v>
      </c>
      <c r="AJ10" s="5">
        <v>185.94</v>
      </c>
      <c r="AK10" s="5">
        <v>186.45</v>
      </c>
      <c r="AL10" s="5">
        <v>186.96</v>
      </c>
      <c r="AM10" s="5">
        <v>187.47</v>
      </c>
      <c r="AN10" s="5">
        <v>187.98</v>
      </c>
      <c r="AO10" s="5">
        <v>188.49</v>
      </c>
      <c r="AP10" s="5">
        <v>189</v>
      </c>
      <c r="AQ10" s="5">
        <v>189.51</v>
      </c>
      <c r="AR10" s="5">
        <v>190.02</v>
      </c>
      <c r="AS10" s="5">
        <v>190.53</v>
      </c>
      <c r="AT10" s="5">
        <v>191.04</v>
      </c>
      <c r="AU10" s="5">
        <v>191.55</v>
      </c>
      <c r="AV10" s="5">
        <v>192.06</v>
      </c>
      <c r="AW10" s="5">
        <v>192.56</v>
      </c>
      <c r="AX10" s="5">
        <v>193.07</v>
      </c>
      <c r="AY10" s="5">
        <v>242.95</v>
      </c>
      <c r="AZ10" s="5">
        <v>292.82</v>
      </c>
      <c r="BA10" s="5">
        <v>342.69</v>
      </c>
      <c r="BB10" s="5">
        <v>392.56</v>
      </c>
      <c r="BC10" s="5">
        <v>442.44</v>
      </c>
    </row>
    <row r="11" spans="1:55" x14ac:dyDescent="0.25">
      <c r="A11" s="47">
        <v>10</v>
      </c>
      <c r="B11" s="42">
        <v>0.23</v>
      </c>
      <c r="C11" s="42">
        <v>0.12</v>
      </c>
      <c r="E11" s="3">
        <v>10</v>
      </c>
      <c r="F11" s="5">
        <v>15.77</v>
      </c>
      <c r="G11" s="5">
        <v>15.77</v>
      </c>
      <c r="H11" s="5">
        <v>16.96</v>
      </c>
      <c r="I11" s="5">
        <v>47.76</v>
      </c>
      <c r="J11" s="5">
        <v>50.15</v>
      </c>
      <c r="K11" s="5">
        <v>58.26</v>
      </c>
      <c r="L11" s="5">
        <v>66.36</v>
      </c>
      <c r="M11" s="5">
        <v>74.47</v>
      </c>
      <c r="N11" s="5">
        <v>75.19</v>
      </c>
      <c r="O11" s="5">
        <v>75.92</v>
      </c>
      <c r="P11" s="5">
        <v>76.63</v>
      </c>
      <c r="Q11" s="5">
        <v>77.349999999999994</v>
      </c>
      <c r="R11" s="5">
        <v>78.069999999999993</v>
      </c>
      <c r="S11" s="5">
        <v>78.8</v>
      </c>
      <c r="T11" s="5">
        <v>79.510000000000005</v>
      </c>
      <c r="U11" s="5">
        <v>91.69</v>
      </c>
      <c r="V11" s="5">
        <v>103.87</v>
      </c>
      <c r="W11" s="5">
        <v>116.04</v>
      </c>
      <c r="X11" s="5">
        <v>128.22</v>
      </c>
      <c r="Y11" s="5">
        <v>140.4</v>
      </c>
      <c r="Z11" s="5">
        <v>146.57</v>
      </c>
      <c r="AA11" s="5">
        <v>152.72999999999999</v>
      </c>
      <c r="AB11" s="5">
        <v>158.88999999999999</v>
      </c>
      <c r="AC11" s="5">
        <v>165.06</v>
      </c>
      <c r="AD11" s="5">
        <v>171.22</v>
      </c>
      <c r="AE11" s="5">
        <v>177.39</v>
      </c>
      <c r="AF11" s="5">
        <v>183.55</v>
      </c>
      <c r="AG11" s="5">
        <v>189.72</v>
      </c>
      <c r="AH11" s="5">
        <v>195.88</v>
      </c>
      <c r="AI11" s="5">
        <v>202.05</v>
      </c>
      <c r="AJ11" s="5">
        <v>202.43</v>
      </c>
      <c r="AK11" s="5">
        <v>202.82</v>
      </c>
      <c r="AL11" s="5">
        <v>203.2</v>
      </c>
      <c r="AM11" s="5">
        <v>203.59</v>
      </c>
      <c r="AN11" s="5">
        <v>203.97</v>
      </c>
      <c r="AO11" s="5">
        <v>204.36</v>
      </c>
      <c r="AP11" s="5">
        <v>204.75</v>
      </c>
      <c r="AQ11" s="5">
        <v>205.13</v>
      </c>
      <c r="AR11" s="5">
        <v>205.52</v>
      </c>
      <c r="AS11" s="5">
        <v>205.9</v>
      </c>
      <c r="AT11" s="5">
        <v>206.29</v>
      </c>
      <c r="AU11" s="5">
        <v>206.68</v>
      </c>
      <c r="AV11" s="5">
        <v>207.06</v>
      </c>
      <c r="AW11" s="5">
        <v>207.45</v>
      </c>
      <c r="AX11" s="5">
        <v>207.83</v>
      </c>
      <c r="AY11" s="5">
        <v>280.54000000000002</v>
      </c>
      <c r="AZ11" s="5">
        <v>353.25</v>
      </c>
      <c r="BA11" s="5">
        <v>425.96</v>
      </c>
      <c r="BB11" s="5">
        <v>498.67</v>
      </c>
      <c r="BC11" s="5">
        <v>571.38</v>
      </c>
    </row>
    <row r="12" spans="1:55" x14ac:dyDescent="0.25">
      <c r="A12" s="47">
        <v>11</v>
      </c>
      <c r="B12" s="42">
        <v>0.36</v>
      </c>
      <c r="C12" s="42">
        <v>0.28000000000000003</v>
      </c>
      <c r="E12" s="3">
        <v>11</v>
      </c>
      <c r="F12" s="5">
        <v>20.41</v>
      </c>
      <c r="G12" s="5">
        <v>20.41</v>
      </c>
      <c r="H12" s="5">
        <v>22.26</v>
      </c>
      <c r="I12" s="5">
        <v>41.47</v>
      </c>
      <c r="J12" s="5">
        <v>44.07</v>
      </c>
      <c r="K12" s="5">
        <v>52.78</v>
      </c>
      <c r="L12" s="5">
        <v>61.48</v>
      </c>
      <c r="M12" s="5">
        <v>70.19</v>
      </c>
      <c r="N12" s="5">
        <v>70.73</v>
      </c>
      <c r="O12" s="5">
        <v>71.27</v>
      </c>
      <c r="P12" s="5">
        <v>71.81</v>
      </c>
      <c r="Q12" s="5">
        <v>72.34</v>
      </c>
      <c r="R12" s="5">
        <v>72.88</v>
      </c>
      <c r="S12" s="5">
        <v>73.41</v>
      </c>
      <c r="T12" s="5">
        <v>73.959999999999994</v>
      </c>
      <c r="U12" s="5">
        <v>85.09</v>
      </c>
      <c r="V12" s="5">
        <v>96.22</v>
      </c>
      <c r="W12" s="5">
        <v>107.35</v>
      </c>
      <c r="X12" s="5">
        <v>118.48</v>
      </c>
      <c r="Y12" s="5">
        <v>129.61000000000001</v>
      </c>
      <c r="Z12" s="5">
        <v>135.19999999999999</v>
      </c>
      <c r="AA12" s="5">
        <v>140.78</v>
      </c>
      <c r="AB12" s="5">
        <v>146.36000000000001</v>
      </c>
      <c r="AC12" s="5">
        <v>151.94</v>
      </c>
      <c r="AD12" s="5">
        <v>157.52000000000001</v>
      </c>
      <c r="AE12" s="5">
        <v>163.11000000000001</v>
      </c>
      <c r="AF12" s="5">
        <v>168.69</v>
      </c>
      <c r="AG12" s="5">
        <v>174.27</v>
      </c>
      <c r="AH12" s="5">
        <v>179.85</v>
      </c>
      <c r="AI12" s="5">
        <v>185.43</v>
      </c>
      <c r="AJ12" s="5">
        <v>185.94</v>
      </c>
      <c r="AK12" s="5">
        <v>186.45</v>
      </c>
      <c r="AL12" s="5">
        <v>186.96</v>
      </c>
      <c r="AM12" s="5">
        <v>187.47</v>
      </c>
      <c r="AN12" s="5">
        <v>187.98</v>
      </c>
      <c r="AO12" s="5">
        <v>188.49</v>
      </c>
      <c r="AP12" s="5">
        <v>189</v>
      </c>
      <c r="AQ12" s="5">
        <v>189.51</v>
      </c>
      <c r="AR12" s="5">
        <v>190.02</v>
      </c>
      <c r="AS12" s="5">
        <v>190.53</v>
      </c>
      <c r="AT12" s="5">
        <v>191.04</v>
      </c>
      <c r="AU12" s="5">
        <v>191.55</v>
      </c>
      <c r="AV12" s="5">
        <v>192.06</v>
      </c>
      <c r="AW12" s="5">
        <v>192.56</v>
      </c>
      <c r="AX12" s="5">
        <v>193.07</v>
      </c>
      <c r="AY12" s="5">
        <v>242.95</v>
      </c>
      <c r="AZ12" s="5">
        <v>292.82</v>
      </c>
      <c r="BA12" s="5">
        <v>342.69</v>
      </c>
      <c r="BB12" s="5">
        <v>392.56</v>
      </c>
      <c r="BC12" s="5">
        <v>442.44</v>
      </c>
    </row>
    <row r="13" spans="1:55" x14ac:dyDescent="0.25">
      <c r="A13" s="47">
        <v>12</v>
      </c>
      <c r="B13" s="42">
        <v>0.22</v>
      </c>
      <c r="C13" s="42">
        <v>0.26</v>
      </c>
      <c r="E13" s="3">
        <v>12</v>
      </c>
      <c r="F13" s="5">
        <v>18.61</v>
      </c>
      <c r="G13" s="5">
        <v>18.61</v>
      </c>
      <c r="H13" s="5">
        <v>21.39</v>
      </c>
      <c r="I13" s="5">
        <v>47.76</v>
      </c>
      <c r="J13" s="5">
        <v>50.15</v>
      </c>
      <c r="K13" s="5">
        <v>58.26</v>
      </c>
      <c r="L13" s="5">
        <v>66.36</v>
      </c>
      <c r="M13" s="5">
        <v>74.47</v>
      </c>
      <c r="N13" s="5">
        <v>75.19</v>
      </c>
      <c r="O13" s="5">
        <v>75.92</v>
      </c>
      <c r="P13" s="5">
        <v>76.63</v>
      </c>
      <c r="Q13" s="5">
        <v>77.349999999999994</v>
      </c>
      <c r="R13" s="5">
        <v>78.069999999999993</v>
      </c>
      <c r="S13" s="5">
        <v>78.8</v>
      </c>
      <c r="T13" s="5">
        <v>79.510000000000005</v>
      </c>
      <c r="U13" s="5">
        <v>91.69</v>
      </c>
      <c r="V13" s="5">
        <v>103.87</v>
      </c>
      <c r="W13" s="5">
        <v>116.04</v>
      </c>
      <c r="X13" s="5">
        <v>128.22</v>
      </c>
      <c r="Y13" s="5">
        <v>140.4</v>
      </c>
      <c r="Z13" s="5">
        <v>146.57</v>
      </c>
      <c r="AA13" s="5">
        <v>152.72999999999999</v>
      </c>
      <c r="AB13" s="5">
        <v>158.88999999999999</v>
      </c>
      <c r="AC13" s="5">
        <v>165.06</v>
      </c>
      <c r="AD13" s="5">
        <v>171.22</v>
      </c>
      <c r="AE13" s="5">
        <v>177.39</v>
      </c>
      <c r="AF13" s="5">
        <v>183.55</v>
      </c>
      <c r="AG13" s="5">
        <v>189.72</v>
      </c>
      <c r="AH13" s="5">
        <v>195.88</v>
      </c>
      <c r="AI13" s="5">
        <v>202.05</v>
      </c>
      <c r="AJ13" s="5">
        <v>202.43</v>
      </c>
      <c r="AK13" s="5">
        <v>202.82</v>
      </c>
      <c r="AL13" s="5">
        <v>203.2</v>
      </c>
      <c r="AM13" s="5">
        <v>203.59</v>
      </c>
      <c r="AN13" s="5">
        <v>203.97</v>
      </c>
      <c r="AO13" s="5">
        <v>204.36</v>
      </c>
      <c r="AP13" s="5">
        <v>204.75</v>
      </c>
      <c r="AQ13" s="5">
        <v>205.13</v>
      </c>
      <c r="AR13" s="5">
        <v>205.52</v>
      </c>
      <c r="AS13" s="5">
        <v>205.9</v>
      </c>
      <c r="AT13" s="5">
        <v>206.29</v>
      </c>
      <c r="AU13" s="5">
        <v>206.68</v>
      </c>
      <c r="AV13" s="5">
        <v>207.06</v>
      </c>
      <c r="AW13" s="5">
        <v>207.45</v>
      </c>
      <c r="AX13" s="5">
        <v>207.83</v>
      </c>
      <c r="AY13" s="5">
        <v>280.54000000000002</v>
      </c>
      <c r="AZ13" s="5">
        <v>353.25</v>
      </c>
      <c r="BA13" s="5">
        <v>425.96</v>
      </c>
      <c r="BB13" s="5">
        <v>498.67</v>
      </c>
      <c r="BC13" s="5">
        <v>571.38</v>
      </c>
    </row>
    <row r="14" spans="1:55" x14ac:dyDescent="0.25">
      <c r="A14" s="47">
        <v>13</v>
      </c>
      <c r="B14" s="42">
        <v>0.28999999999999998</v>
      </c>
      <c r="C14" s="42">
        <v>0.19</v>
      </c>
      <c r="E14" s="3">
        <v>13</v>
      </c>
      <c r="F14" s="5">
        <v>18.89</v>
      </c>
      <c r="G14" s="5">
        <v>18.89</v>
      </c>
      <c r="H14" s="5">
        <v>20.93</v>
      </c>
      <c r="I14" s="5">
        <v>34.29</v>
      </c>
      <c r="J14" s="5">
        <v>40.19</v>
      </c>
      <c r="K14" s="5">
        <v>42.48</v>
      </c>
      <c r="L14" s="5">
        <v>44.77</v>
      </c>
      <c r="M14" s="5">
        <v>47.06</v>
      </c>
      <c r="N14" s="5">
        <v>50.16</v>
      </c>
      <c r="O14" s="5">
        <v>53.27</v>
      </c>
      <c r="P14" s="5">
        <v>56.37</v>
      </c>
      <c r="Q14" s="5">
        <v>59.47</v>
      </c>
      <c r="R14" s="5">
        <v>62.58</v>
      </c>
      <c r="S14" s="5">
        <v>65.680000000000007</v>
      </c>
      <c r="T14" s="5">
        <v>68.78</v>
      </c>
      <c r="U14" s="5">
        <v>76.56</v>
      </c>
      <c r="V14" s="5">
        <v>84.33</v>
      </c>
      <c r="W14" s="5">
        <v>92.1</v>
      </c>
      <c r="X14" s="5">
        <v>99.88</v>
      </c>
      <c r="Y14" s="5">
        <v>107.65</v>
      </c>
      <c r="Z14" s="5">
        <v>112.34</v>
      </c>
      <c r="AA14" s="5">
        <v>117.03</v>
      </c>
      <c r="AB14" s="5">
        <v>121.72</v>
      </c>
      <c r="AC14" s="5">
        <v>126.41</v>
      </c>
      <c r="AD14" s="5">
        <v>131.1</v>
      </c>
      <c r="AE14" s="5">
        <v>135.79</v>
      </c>
      <c r="AF14" s="5">
        <v>140.47999999999999</v>
      </c>
      <c r="AG14" s="5">
        <v>145.16999999999999</v>
      </c>
      <c r="AH14" s="5">
        <v>149.86000000000001</v>
      </c>
      <c r="AI14" s="5">
        <v>154.55000000000001</v>
      </c>
      <c r="AJ14" s="5">
        <v>156.88999999999999</v>
      </c>
      <c r="AK14" s="5">
        <v>159.22</v>
      </c>
      <c r="AL14" s="5">
        <v>161.55000000000001</v>
      </c>
      <c r="AM14" s="5">
        <v>163.89</v>
      </c>
      <c r="AN14" s="5">
        <v>166.22</v>
      </c>
      <c r="AO14" s="5">
        <v>168.56</v>
      </c>
      <c r="AP14" s="5">
        <v>170.89</v>
      </c>
      <c r="AQ14" s="5">
        <v>173.23</v>
      </c>
      <c r="AR14" s="5">
        <v>175.56</v>
      </c>
      <c r="AS14" s="5">
        <v>177.89</v>
      </c>
      <c r="AT14" s="5">
        <v>180.23</v>
      </c>
      <c r="AU14" s="5">
        <v>182.56</v>
      </c>
      <c r="AV14" s="5">
        <v>184.9</v>
      </c>
      <c r="AW14" s="5">
        <v>187.23</v>
      </c>
      <c r="AX14" s="5">
        <v>189.57</v>
      </c>
      <c r="AY14" s="5">
        <v>223.21</v>
      </c>
      <c r="AZ14" s="5">
        <v>256.86</v>
      </c>
      <c r="BA14" s="5">
        <v>290.51</v>
      </c>
      <c r="BB14" s="5">
        <v>324.16000000000003</v>
      </c>
      <c r="BC14" s="5">
        <v>357.81</v>
      </c>
    </row>
    <row r="15" spans="1:55" x14ac:dyDescent="0.25">
      <c r="A15" s="47">
        <v>14</v>
      </c>
      <c r="B15" s="42">
        <v>0.17</v>
      </c>
      <c r="C15" s="42">
        <v>0.17</v>
      </c>
      <c r="E15" s="3">
        <v>14</v>
      </c>
      <c r="F15" s="5">
        <v>15.43</v>
      </c>
      <c r="G15" s="5">
        <v>15.43</v>
      </c>
      <c r="H15" s="5">
        <v>17.34</v>
      </c>
      <c r="I15" s="5">
        <v>41.47</v>
      </c>
      <c r="J15" s="5">
        <v>44.07</v>
      </c>
      <c r="K15" s="5">
        <v>52.78</v>
      </c>
      <c r="L15" s="5">
        <v>61.48</v>
      </c>
      <c r="M15" s="5">
        <v>70.19</v>
      </c>
      <c r="N15" s="5">
        <v>70.73</v>
      </c>
      <c r="O15" s="5">
        <v>71.27</v>
      </c>
      <c r="P15" s="5">
        <v>71.81</v>
      </c>
      <c r="Q15" s="5">
        <v>72.34</v>
      </c>
      <c r="R15" s="5">
        <v>72.88</v>
      </c>
      <c r="S15" s="5">
        <v>73.41</v>
      </c>
      <c r="T15" s="5">
        <v>73.959999999999994</v>
      </c>
      <c r="U15" s="5">
        <v>85.09</v>
      </c>
      <c r="V15" s="5">
        <v>96.22</v>
      </c>
      <c r="W15" s="5">
        <v>107.35</v>
      </c>
      <c r="X15" s="5">
        <v>118.48</v>
      </c>
      <c r="Y15" s="5">
        <v>129.61000000000001</v>
      </c>
      <c r="Z15" s="5">
        <v>135.19999999999999</v>
      </c>
      <c r="AA15" s="5">
        <v>140.78</v>
      </c>
      <c r="AB15" s="5">
        <v>146.36000000000001</v>
      </c>
      <c r="AC15" s="5">
        <v>151.94</v>
      </c>
      <c r="AD15" s="5">
        <v>157.52000000000001</v>
      </c>
      <c r="AE15" s="5">
        <v>163.11000000000001</v>
      </c>
      <c r="AF15" s="5">
        <v>168.69</v>
      </c>
      <c r="AG15" s="5">
        <v>174.27</v>
      </c>
      <c r="AH15" s="5">
        <v>179.85</v>
      </c>
      <c r="AI15" s="5">
        <v>185.43</v>
      </c>
      <c r="AJ15" s="5">
        <v>185.94</v>
      </c>
      <c r="AK15" s="5">
        <v>186.45</v>
      </c>
      <c r="AL15" s="5">
        <v>186.96</v>
      </c>
      <c r="AM15" s="5">
        <v>187.47</v>
      </c>
      <c r="AN15" s="5">
        <v>187.98</v>
      </c>
      <c r="AO15" s="5">
        <v>188.49</v>
      </c>
      <c r="AP15" s="5">
        <v>189</v>
      </c>
      <c r="AQ15" s="5">
        <v>189.51</v>
      </c>
      <c r="AR15" s="5">
        <v>190.02</v>
      </c>
      <c r="AS15" s="5">
        <v>190.53</v>
      </c>
      <c r="AT15" s="5">
        <v>191.04</v>
      </c>
      <c r="AU15" s="5">
        <v>191.55</v>
      </c>
      <c r="AV15" s="5">
        <v>192.06</v>
      </c>
      <c r="AW15" s="5">
        <v>192.56</v>
      </c>
      <c r="AX15" s="5">
        <v>193.07</v>
      </c>
      <c r="AY15" s="5">
        <v>242.95</v>
      </c>
      <c r="AZ15" s="5">
        <v>292.82</v>
      </c>
      <c r="BA15" s="5">
        <v>342.69</v>
      </c>
      <c r="BB15" s="5">
        <v>392.56</v>
      </c>
      <c r="BC15" s="5">
        <v>442.44</v>
      </c>
    </row>
    <row r="16" spans="1:55" x14ac:dyDescent="0.25">
      <c r="A16" s="47">
        <v>15</v>
      </c>
      <c r="B16" s="42">
        <v>0.28999999999999998</v>
      </c>
      <c r="C16" s="42">
        <v>0.12</v>
      </c>
      <c r="E16" s="3">
        <v>15</v>
      </c>
      <c r="F16" s="5">
        <v>17.100000000000001</v>
      </c>
      <c r="G16" s="5">
        <v>17.100000000000001</v>
      </c>
      <c r="H16" s="5">
        <v>19.670000000000002</v>
      </c>
      <c r="I16" s="5">
        <v>41.47</v>
      </c>
      <c r="J16" s="5">
        <v>44.07</v>
      </c>
      <c r="K16" s="5">
        <v>52.78</v>
      </c>
      <c r="L16" s="5">
        <v>61.48</v>
      </c>
      <c r="M16" s="5">
        <v>70.19</v>
      </c>
      <c r="N16" s="5">
        <v>70.73</v>
      </c>
      <c r="O16" s="5">
        <v>71.27</v>
      </c>
      <c r="P16" s="5">
        <v>71.81</v>
      </c>
      <c r="Q16" s="5">
        <v>72.34</v>
      </c>
      <c r="R16" s="5">
        <v>72.88</v>
      </c>
      <c r="S16" s="5">
        <v>73.41</v>
      </c>
      <c r="T16" s="5">
        <v>73.959999999999994</v>
      </c>
      <c r="U16" s="5">
        <v>85.09</v>
      </c>
      <c r="V16" s="5">
        <v>96.22</v>
      </c>
      <c r="W16" s="5">
        <v>107.35</v>
      </c>
      <c r="X16" s="5">
        <v>118.48</v>
      </c>
      <c r="Y16" s="5">
        <v>129.61000000000001</v>
      </c>
      <c r="Z16" s="5">
        <v>135.19999999999999</v>
      </c>
      <c r="AA16" s="5">
        <v>140.78</v>
      </c>
      <c r="AB16" s="5">
        <v>146.36000000000001</v>
      </c>
      <c r="AC16" s="5">
        <v>151.94</v>
      </c>
      <c r="AD16" s="5">
        <v>157.52000000000001</v>
      </c>
      <c r="AE16" s="5">
        <v>163.11000000000001</v>
      </c>
      <c r="AF16" s="5">
        <v>168.69</v>
      </c>
      <c r="AG16" s="5">
        <v>174.27</v>
      </c>
      <c r="AH16" s="5">
        <v>179.85</v>
      </c>
      <c r="AI16" s="5">
        <v>185.43</v>
      </c>
      <c r="AJ16" s="5">
        <v>185.94</v>
      </c>
      <c r="AK16" s="5">
        <v>186.45</v>
      </c>
      <c r="AL16" s="5">
        <v>186.96</v>
      </c>
      <c r="AM16" s="5">
        <v>187.47</v>
      </c>
      <c r="AN16" s="5">
        <v>187.98</v>
      </c>
      <c r="AO16" s="5">
        <v>188.49</v>
      </c>
      <c r="AP16" s="5">
        <v>189</v>
      </c>
      <c r="AQ16" s="5">
        <v>189.51</v>
      </c>
      <c r="AR16" s="5">
        <v>190.02</v>
      </c>
      <c r="AS16" s="5">
        <v>190.53</v>
      </c>
      <c r="AT16" s="5">
        <v>191.04</v>
      </c>
      <c r="AU16" s="5">
        <v>191.55</v>
      </c>
      <c r="AV16" s="5">
        <v>192.06</v>
      </c>
      <c r="AW16" s="5">
        <v>192.56</v>
      </c>
      <c r="AX16" s="5">
        <v>193.07</v>
      </c>
      <c r="AY16" s="5">
        <v>242.95</v>
      </c>
      <c r="AZ16" s="5">
        <v>292.82</v>
      </c>
      <c r="BA16" s="5">
        <v>342.69</v>
      </c>
      <c r="BB16" s="5">
        <v>392.56</v>
      </c>
      <c r="BC16" s="5">
        <v>442.44</v>
      </c>
    </row>
    <row r="17" spans="1:55" x14ac:dyDescent="0.25">
      <c r="A17" s="47">
        <v>16</v>
      </c>
      <c r="B17" s="42">
        <v>0.21</v>
      </c>
      <c r="C17" s="42">
        <v>0.17</v>
      </c>
      <c r="E17" s="3">
        <v>16</v>
      </c>
      <c r="F17" s="5">
        <v>15.89</v>
      </c>
      <c r="G17" s="5">
        <v>15.89</v>
      </c>
      <c r="H17" s="5">
        <v>20.190000000000001</v>
      </c>
      <c r="I17" s="5">
        <v>47.76</v>
      </c>
      <c r="J17" s="5">
        <v>50.15</v>
      </c>
      <c r="K17" s="5">
        <v>58.26</v>
      </c>
      <c r="L17" s="5">
        <v>66.36</v>
      </c>
      <c r="M17" s="5">
        <v>74.47</v>
      </c>
      <c r="N17" s="5">
        <v>75.19</v>
      </c>
      <c r="O17" s="5">
        <v>75.92</v>
      </c>
      <c r="P17" s="5">
        <v>76.63</v>
      </c>
      <c r="Q17" s="5">
        <v>77.349999999999994</v>
      </c>
      <c r="R17" s="5">
        <v>78.069999999999993</v>
      </c>
      <c r="S17" s="5">
        <v>78.8</v>
      </c>
      <c r="T17" s="5">
        <v>79.510000000000005</v>
      </c>
      <c r="U17" s="5">
        <v>91.69</v>
      </c>
      <c r="V17" s="5">
        <v>103.87</v>
      </c>
      <c r="W17" s="5">
        <v>116.04</v>
      </c>
      <c r="X17" s="5">
        <v>128.22</v>
      </c>
      <c r="Y17" s="5">
        <v>140.4</v>
      </c>
      <c r="Z17" s="5">
        <v>146.57</v>
      </c>
      <c r="AA17" s="5">
        <v>152.72999999999999</v>
      </c>
      <c r="AB17" s="5">
        <v>158.88999999999999</v>
      </c>
      <c r="AC17" s="5">
        <v>165.06</v>
      </c>
      <c r="AD17" s="5">
        <v>171.22</v>
      </c>
      <c r="AE17" s="5">
        <v>177.39</v>
      </c>
      <c r="AF17" s="5">
        <v>183.55</v>
      </c>
      <c r="AG17" s="5">
        <v>189.72</v>
      </c>
      <c r="AH17" s="5">
        <v>195.88</v>
      </c>
      <c r="AI17" s="5">
        <v>202.05</v>
      </c>
      <c r="AJ17" s="5">
        <v>202.43</v>
      </c>
      <c r="AK17" s="5">
        <v>202.82</v>
      </c>
      <c r="AL17" s="5">
        <v>203.2</v>
      </c>
      <c r="AM17" s="5">
        <v>203.59</v>
      </c>
      <c r="AN17" s="5">
        <v>203.97</v>
      </c>
      <c r="AO17" s="5">
        <v>204.36</v>
      </c>
      <c r="AP17" s="5">
        <v>204.75</v>
      </c>
      <c r="AQ17" s="5">
        <v>205.13</v>
      </c>
      <c r="AR17" s="5">
        <v>205.52</v>
      </c>
      <c r="AS17" s="5">
        <v>205.9</v>
      </c>
      <c r="AT17" s="5">
        <v>206.29</v>
      </c>
      <c r="AU17" s="5">
        <v>206.68</v>
      </c>
      <c r="AV17" s="5">
        <v>207.06</v>
      </c>
      <c r="AW17" s="5">
        <v>207.45</v>
      </c>
      <c r="AX17" s="5">
        <v>207.83</v>
      </c>
      <c r="AY17" s="5">
        <v>280.54000000000002</v>
      </c>
      <c r="AZ17" s="5">
        <v>353.25</v>
      </c>
      <c r="BA17" s="5">
        <v>425.96</v>
      </c>
      <c r="BB17" s="5">
        <v>498.67</v>
      </c>
      <c r="BC17" s="5">
        <v>571.38</v>
      </c>
    </row>
    <row r="18" spans="1:55" x14ac:dyDescent="0.25">
      <c r="A18" s="47">
        <v>17</v>
      </c>
      <c r="B18" s="42">
        <v>0.21</v>
      </c>
      <c r="C18" s="42">
        <v>0.17</v>
      </c>
      <c r="E18" s="3">
        <v>17</v>
      </c>
      <c r="F18" s="5">
        <v>16.73</v>
      </c>
      <c r="G18" s="5">
        <v>16.73</v>
      </c>
      <c r="H18" s="5">
        <v>21.15</v>
      </c>
      <c r="I18" s="5">
        <v>47.76</v>
      </c>
      <c r="J18" s="5">
        <v>50.15</v>
      </c>
      <c r="K18" s="5">
        <v>58.26</v>
      </c>
      <c r="L18" s="5">
        <v>66.36</v>
      </c>
      <c r="M18" s="5">
        <v>74.47</v>
      </c>
      <c r="N18" s="5">
        <v>75.19</v>
      </c>
      <c r="O18" s="5">
        <v>75.92</v>
      </c>
      <c r="P18" s="5">
        <v>76.63</v>
      </c>
      <c r="Q18" s="5">
        <v>77.349999999999994</v>
      </c>
      <c r="R18" s="5">
        <v>78.069999999999993</v>
      </c>
      <c r="S18" s="5">
        <v>78.8</v>
      </c>
      <c r="T18" s="5">
        <v>79.510000000000005</v>
      </c>
      <c r="U18" s="5">
        <v>91.69</v>
      </c>
      <c r="V18" s="5">
        <v>103.87</v>
      </c>
      <c r="W18" s="5">
        <v>116.04</v>
      </c>
      <c r="X18" s="5">
        <v>128.22</v>
      </c>
      <c r="Y18" s="5">
        <v>140.4</v>
      </c>
      <c r="Z18" s="5">
        <v>146.57</v>
      </c>
      <c r="AA18" s="5">
        <v>152.72999999999999</v>
      </c>
      <c r="AB18" s="5">
        <v>158.88999999999999</v>
      </c>
      <c r="AC18" s="5">
        <v>165.06</v>
      </c>
      <c r="AD18" s="5">
        <v>171.22</v>
      </c>
      <c r="AE18" s="5">
        <v>177.39</v>
      </c>
      <c r="AF18" s="5">
        <v>183.55</v>
      </c>
      <c r="AG18" s="5">
        <v>189.72</v>
      </c>
      <c r="AH18" s="5">
        <v>195.88</v>
      </c>
      <c r="AI18" s="5">
        <v>202.05</v>
      </c>
      <c r="AJ18" s="5">
        <v>202.43</v>
      </c>
      <c r="AK18" s="5">
        <v>202.82</v>
      </c>
      <c r="AL18" s="5">
        <v>203.2</v>
      </c>
      <c r="AM18" s="5">
        <v>203.59</v>
      </c>
      <c r="AN18" s="5">
        <v>203.97</v>
      </c>
      <c r="AO18" s="5">
        <v>204.36</v>
      </c>
      <c r="AP18" s="5">
        <v>204.75</v>
      </c>
      <c r="AQ18" s="5">
        <v>205.13</v>
      </c>
      <c r="AR18" s="5">
        <v>205.52</v>
      </c>
      <c r="AS18" s="5">
        <v>205.9</v>
      </c>
      <c r="AT18" s="5">
        <v>206.29</v>
      </c>
      <c r="AU18" s="5">
        <v>206.68</v>
      </c>
      <c r="AV18" s="5">
        <v>207.06</v>
      </c>
      <c r="AW18" s="5">
        <v>207.45</v>
      </c>
      <c r="AX18" s="5">
        <v>207.83</v>
      </c>
      <c r="AY18" s="5">
        <v>280.54000000000002</v>
      </c>
      <c r="AZ18" s="5">
        <v>353.25</v>
      </c>
      <c r="BA18" s="5">
        <v>425.96</v>
      </c>
      <c r="BB18" s="5">
        <v>498.67</v>
      </c>
      <c r="BC18" s="5">
        <v>571.38</v>
      </c>
    </row>
    <row r="19" spans="1:55" x14ac:dyDescent="0.25">
      <c r="A19" s="47">
        <v>18</v>
      </c>
      <c r="B19" s="42">
        <v>0.21</v>
      </c>
      <c r="C19" s="42">
        <v>0.12</v>
      </c>
      <c r="E19" s="3">
        <v>18</v>
      </c>
      <c r="F19" s="5">
        <v>13.66</v>
      </c>
      <c r="G19" s="5">
        <v>13.66</v>
      </c>
      <c r="H19" s="5">
        <v>15.02</v>
      </c>
      <c r="I19" s="5">
        <v>47.76</v>
      </c>
      <c r="J19" s="5">
        <v>50.15</v>
      </c>
      <c r="K19" s="5">
        <v>58.26</v>
      </c>
      <c r="L19" s="5">
        <v>66.36</v>
      </c>
      <c r="M19" s="5">
        <v>74.47</v>
      </c>
      <c r="N19" s="5">
        <v>75.19</v>
      </c>
      <c r="O19" s="5">
        <v>75.92</v>
      </c>
      <c r="P19" s="5">
        <v>76.63</v>
      </c>
      <c r="Q19" s="5">
        <v>77.349999999999994</v>
      </c>
      <c r="R19" s="5">
        <v>78.069999999999993</v>
      </c>
      <c r="S19" s="5">
        <v>78.8</v>
      </c>
      <c r="T19" s="5">
        <v>79.510000000000005</v>
      </c>
      <c r="U19" s="5">
        <v>91.69</v>
      </c>
      <c r="V19" s="5">
        <v>103.87</v>
      </c>
      <c r="W19" s="5">
        <v>116.04</v>
      </c>
      <c r="X19" s="5">
        <v>128.22</v>
      </c>
      <c r="Y19" s="5">
        <v>140.4</v>
      </c>
      <c r="Z19" s="5">
        <v>146.57</v>
      </c>
      <c r="AA19" s="5">
        <v>152.72999999999999</v>
      </c>
      <c r="AB19" s="5">
        <v>158.88999999999999</v>
      </c>
      <c r="AC19" s="5">
        <v>165.06</v>
      </c>
      <c r="AD19" s="5">
        <v>171.22</v>
      </c>
      <c r="AE19" s="5">
        <v>177.39</v>
      </c>
      <c r="AF19" s="5">
        <v>183.55</v>
      </c>
      <c r="AG19" s="5">
        <v>189.72</v>
      </c>
      <c r="AH19" s="5">
        <v>195.88</v>
      </c>
      <c r="AI19" s="5">
        <v>202.05</v>
      </c>
      <c r="AJ19" s="5">
        <v>202.43</v>
      </c>
      <c r="AK19" s="5">
        <v>202.82</v>
      </c>
      <c r="AL19" s="5">
        <v>203.2</v>
      </c>
      <c r="AM19" s="5">
        <v>203.59</v>
      </c>
      <c r="AN19" s="5">
        <v>203.97</v>
      </c>
      <c r="AO19" s="5">
        <v>204.36</v>
      </c>
      <c r="AP19" s="5">
        <v>204.75</v>
      </c>
      <c r="AQ19" s="5">
        <v>205.13</v>
      </c>
      <c r="AR19" s="5">
        <v>205.52</v>
      </c>
      <c r="AS19" s="5">
        <v>205.9</v>
      </c>
      <c r="AT19" s="5">
        <v>206.29</v>
      </c>
      <c r="AU19" s="5">
        <v>206.68</v>
      </c>
      <c r="AV19" s="5">
        <v>207.06</v>
      </c>
      <c r="AW19" s="5">
        <v>207.45</v>
      </c>
      <c r="AX19" s="5">
        <v>207.83</v>
      </c>
      <c r="AY19" s="5">
        <v>280.54000000000002</v>
      </c>
      <c r="AZ19" s="5">
        <v>353.25</v>
      </c>
      <c r="BA19" s="5">
        <v>425.96</v>
      </c>
      <c r="BB19" s="5">
        <v>498.67</v>
      </c>
      <c r="BC19" s="5">
        <v>571.38</v>
      </c>
    </row>
    <row r="20" spans="1:55" x14ac:dyDescent="0.25">
      <c r="A20" s="47">
        <v>19</v>
      </c>
      <c r="B20" s="42">
        <v>0.28999999999999998</v>
      </c>
      <c r="C20" s="42">
        <v>0.12</v>
      </c>
      <c r="E20" s="3">
        <v>19</v>
      </c>
      <c r="F20" s="5">
        <v>15</v>
      </c>
      <c r="G20" s="5">
        <v>15</v>
      </c>
      <c r="H20" s="5">
        <v>17.079999999999998</v>
      </c>
      <c r="I20" s="5">
        <v>47.76</v>
      </c>
      <c r="J20" s="5">
        <v>50.15</v>
      </c>
      <c r="K20" s="5">
        <v>58.26</v>
      </c>
      <c r="L20" s="5">
        <v>66.36</v>
      </c>
      <c r="M20" s="5">
        <v>74.47</v>
      </c>
      <c r="N20" s="5">
        <v>75.19</v>
      </c>
      <c r="O20" s="5">
        <v>75.92</v>
      </c>
      <c r="P20" s="5">
        <v>76.63</v>
      </c>
      <c r="Q20" s="5">
        <v>77.349999999999994</v>
      </c>
      <c r="R20" s="5">
        <v>78.069999999999993</v>
      </c>
      <c r="S20" s="5">
        <v>78.8</v>
      </c>
      <c r="T20" s="5">
        <v>79.510000000000005</v>
      </c>
      <c r="U20" s="5">
        <v>91.69</v>
      </c>
      <c r="V20" s="5">
        <v>103.87</v>
      </c>
      <c r="W20" s="5">
        <v>116.04</v>
      </c>
      <c r="X20" s="5">
        <v>128.22</v>
      </c>
      <c r="Y20" s="5">
        <v>140.4</v>
      </c>
      <c r="Z20" s="5">
        <v>146.57</v>
      </c>
      <c r="AA20" s="5">
        <v>152.72999999999999</v>
      </c>
      <c r="AB20" s="5">
        <v>158.88999999999999</v>
      </c>
      <c r="AC20" s="5">
        <v>165.06</v>
      </c>
      <c r="AD20" s="5">
        <v>171.22</v>
      </c>
      <c r="AE20" s="5">
        <v>177.39</v>
      </c>
      <c r="AF20" s="5">
        <v>183.55</v>
      </c>
      <c r="AG20" s="5">
        <v>189.72</v>
      </c>
      <c r="AH20" s="5">
        <v>195.88</v>
      </c>
      <c r="AI20" s="5">
        <v>202.05</v>
      </c>
      <c r="AJ20" s="5">
        <v>202.43</v>
      </c>
      <c r="AK20" s="5">
        <v>202.82</v>
      </c>
      <c r="AL20" s="5">
        <v>203.2</v>
      </c>
      <c r="AM20" s="5">
        <v>203.59</v>
      </c>
      <c r="AN20" s="5">
        <v>203.97</v>
      </c>
      <c r="AO20" s="5">
        <v>204.36</v>
      </c>
      <c r="AP20" s="5">
        <v>204.75</v>
      </c>
      <c r="AQ20" s="5">
        <v>205.13</v>
      </c>
      <c r="AR20" s="5">
        <v>205.52</v>
      </c>
      <c r="AS20" s="5">
        <v>205.9</v>
      </c>
      <c r="AT20" s="5">
        <v>206.29</v>
      </c>
      <c r="AU20" s="5">
        <v>206.68</v>
      </c>
      <c r="AV20" s="5">
        <v>207.06</v>
      </c>
      <c r="AW20" s="5">
        <v>207.45</v>
      </c>
      <c r="AX20" s="5">
        <v>207.83</v>
      </c>
      <c r="AY20" s="5">
        <v>280.54000000000002</v>
      </c>
      <c r="AZ20" s="5">
        <v>353.25</v>
      </c>
      <c r="BA20" s="5">
        <v>425.96</v>
      </c>
      <c r="BB20" s="5">
        <v>498.67</v>
      </c>
      <c r="BC20" s="5">
        <v>571.38</v>
      </c>
    </row>
    <row r="21" spans="1:55" x14ac:dyDescent="0.25">
      <c r="A21" s="47">
        <v>20</v>
      </c>
      <c r="B21" s="42">
        <v>0.28999999999999998</v>
      </c>
      <c r="C21" s="42">
        <v>0.21</v>
      </c>
      <c r="E21" s="3">
        <v>20</v>
      </c>
      <c r="F21" s="5">
        <v>33.4</v>
      </c>
      <c r="G21" s="5">
        <v>33.4</v>
      </c>
      <c r="H21" s="5">
        <v>45.45</v>
      </c>
      <c r="I21" s="5">
        <v>694</v>
      </c>
      <c r="J21" s="5">
        <v>694</v>
      </c>
      <c r="K21" s="5">
        <v>694</v>
      </c>
      <c r="L21" s="5">
        <v>694</v>
      </c>
      <c r="M21" s="5">
        <v>694</v>
      </c>
      <c r="N21" s="5">
        <v>694</v>
      </c>
      <c r="O21" s="5">
        <v>694</v>
      </c>
      <c r="P21" s="5">
        <v>694</v>
      </c>
      <c r="Q21" s="5">
        <v>694</v>
      </c>
      <c r="R21" s="5">
        <v>694</v>
      </c>
      <c r="S21" s="5">
        <v>694</v>
      </c>
      <c r="T21" s="5">
        <v>694</v>
      </c>
      <c r="U21" s="5">
        <v>694</v>
      </c>
      <c r="V21" s="5">
        <v>694</v>
      </c>
      <c r="W21" s="5">
        <v>694</v>
      </c>
      <c r="X21" s="5">
        <v>694</v>
      </c>
      <c r="Y21" s="5">
        <v>694</v>
      </c>
      <c r="Z21" s="5">
        <v>694</v>
      </c>
      <c r="AA21" s="5">
        <v>694</v>
      </c>
      <c r="AB21" s="5">
        <v>694</v>
      </c>
      <c r="AC21" s="5">
        <v>694</v>
      </c>
      <c r="AD21" s="5">
        <v>694</v>
      </c>
      <c r="AE21" s="5">
        <v>694</v>
      </c>
      <c r="AF21" s="5">
        <v>694</v>
      </c>
      <c r="AG21" s="5">
        <v>694</v>
      </c>
      <c r="AH21" s="5">
        <v>694</v>
      </c>
      <c r="AI21" s="5">
        <v>694</v>
      </c>
      <c r="AJ21" s="5">
        <v>694</v>
      </c>
      <c r="AK21" s="5">
        <v>694</v>
      </c>
      <c r="AL21" s="5">
        <v>694</v>
      </c>
      <c r="AM21" s="5">
        <v>694</v>
      </c>
      <c r="AN21" s="5">
        <v>694</v>
      </c>
      <c r="AO21" s="5">
        <v>694</v>
      </c>
      <c r="AP21" s="5">
        <v>694</v>
      </c>
      <c r="AQ21" s="5">
        <v>694</v>
      </c>
      <c r="AR21" s="5">
        <v>694</v>
      </c>
      <c r="AS21" s="5">
        <v>694</v>
      </c>
      <c r="AT21" s="5">
        <v>694</v>
      </c>
      <c r="AU21" s="5">
        <v>694</v>
      </c>
      <c r="AV21" s="5">
        <v>694</v>
      </c>
      <c r="AW21" s="5">
        <v>694</v>
      </c>
      <c r="AX21" s="5">
        <v>694</v>
      </c>
      <c r="AY21" s="5">
        <v>694</v>
      </c>
      <c r="AZ21" s="5">
        <v>694</v>
      </c>
      <c r="BA21" s="5">
        <v>694</v>
      </c>
      <c r="BB21" s="5">
        <v>694</v>
      </c>
      <c r="BC21" s="5">
        <v>694</v>
      </c>
    </row>
    <row r="22" spans="1:55" x14ac:dyDescent="0.25">
      <c r="A22" s="47">
        <v>21</v>
      </c>
      <c r="B22" s="42">
        <v>0.24</v>
      </c>
      <c r="C22" s="42">
        <v>0.12</v>
      </c>
      <c r="E22" s="3">
        <v>21</v>
      </c>
      <c r="F22" s="5">
        <v>17.010000000000002</v>
      </c>
      <c r="G22" s="5">
        <v>17.010000000000002</v>
      </c>
      <c r="H22" s="5">
        <v>18.5</v>
      </c>
      <c r="I22" s="5">
        <v>34.29</v>
      </c>
      <c r="J22" s="5">
        <v>40.19</v>
      </c>
      <c r="K22" s="5">
        <v>42.48</v>
      </c>
      <c r="L22" s="5">
        <v>44.77</v>
      </c>
      <c r="M22" s="5">
        <v>47.06</v>
      </c>
      <c r="N22" s="5">
        <v>50.16</v>
      </c>
      <c r="O22" s="5">
        <v>53.27</v>
      </c>
      <c r="P22" s="5">
        <v>56.37</v>
      </c>
      <c r="Q22" s="5">
        <v>59.47</v>
      </c>
      <c r="R22" s="5">
        <v>62.58</v>
      </c>
      <c r="S22" s="5">
        <v>65.680000000000007</v>
      </c>
      <c r="T22" s="5">
        <v>68.78</v>
      </c>
      <c r="U22" s="5">
        <v>76.56</v>
      </c>
      <c r="V22" s="5">
        <v>84.33</v>
      </c>
      <c r="W22" s="5">
        <v>92.1</v>
      </c>
      <c r="X22" s="5">
        <v>99.88</v>
      </c>
      <c r="Y22" s="5">
        <v>107.65</v>
      </c>
      <c r="Z22" s="5">
        <v>112.34</v>
      </c>
      <c r="AA22" s="5">
        <v>117.03</v>
      </c>
      <c r="AB22" s="5">
        <v>121.72</v>
      </c>
      <c r="AC22" s="5">
        <v>126.41</v>
      </c>
      <c r="AD22" s="5">
        <v>131.1</v>
      </c>
      <c r="AE22" s="5">
        <v>135.79</v>
      </c>
      <c r="AF22" s="5">
        <v>140.47999999999999</v>
      </c>
      <c r="AG22" s="5">
        <v>145.16999999999999</v>
      </c>
      <c r="AH22" s="5">
        <v>149.86000000000001</v>
      </c>
      <c r="AI22" s="5">
        <v>154.55000000000001</v>
      </c>
      <c r="AJ22" s="5">
        <v>156.88999999999999</v>
      </c>
      <c r="AK22" s="5">
        <v>159.22</v>
      </c>
      <c r="AL22" s="5">
        <v>161.55000000000001</v>
      </c>
      <c r="AM22" s="5">
        <v>163.89</v>
      </c>
      <c r="AN22" s="5">
        <v>166.22</v>
      </c>
      <c r="AO22" s="5">
        <v>168.56</v>
      </c>
      <c r="AP22" s="5">
        <v>170.89</v>
      </c>
      <c r="AQ22" s="5">
        <v>173.23</v>
      </c>
      <c r="AR22" s="5">
        <v>175.56</v>
      </c>
      <c r="AS22" s="5">
        <v>177.89</v>
      </c>
      <c r="AT22" s="5">
        <v>180.23</v>
      </c>
      <c r="AU22" s="5">
        <v>182.56</v>
      </c>
      <c r="AV22" s="5">
        <v>184.9</v>
      </c>
      <c r="AW22" s="5">
        <v>187.23</v>
      </c>
      <c r="AX22" s="5">
        <v>189.57</v>
      </c>
      <c r="AY22" s="5">
        <v>223.21</v>
      </c>
      <c r="AZ22" s="5">
        <v>256.86</v>
      </c>
      <c r="BA22" s="5">
        <v>290.51</v>
      </c>
      <c r="BB22" s="5">
        <v>324.16000000000003</v>
      </c>
      <c r="BC22" s="5">
        <v>357.81</v>
      </c>
    </row>
    <row r="23" spans="1:55" x14ac:dyDescent="0.25">
      <c r="A23" s="47">
        <v>22</v>
      </c>
      <c r="B23" s="42">
        <v>0.38</v>
      </c>
      <c r="C23" s="42">
        <v>0.12</v>
      </c>
      <c r="E23" s="3">
        <v>22</v>
      </c>
      <c r="F23" s="5">
        <v>24.39</v>
      </c>
      <c r="G23" s="5">
        <v>24.39</v>
      </c>
      <c r="H23" s="5">
        <v>25.79</v>
      </c>
      <c r="I23" s="5">
        <v>47.76</v>
      </c>
      <c r="J23" s="5">
        <v>50.15</v>
      </c>
      <c r="K23" s="5">
        <v>58.26</v>
      </c>
      <c r="L23" s="5">
        <v>66.36</v>
      </c>
      <c r="M23" s="5">
        <v>74.47</v>
      </c>
      <c r="N23" s="5">
        <v>75.19</v>
      </c>
      <c r="O23" s="5">
        <v>75.92</v>
      </c>
      <c r="P23" s="5">
        <v>76.63</v>
      </c>
      <c r="Q23" s="5">
        <v>77.349999999999994</v>
      </c>
      <c r="R23" s="5">
        <v>78.069999999999993</v>
      </c>
      <c r="S23" s="5">
        <v>78.8</v>
      </c>
      <c r="T23" s="5">
        <v>79.510000000000005</v>
      </c>
      <c r="U23" s="5">
        <v>91.69</v>
      </c>
      <c r="V23" s="5">
        <v>103.87</v>
      </c>
      <c r="W23" s="5">
        <v>116.04</v>
      </c>
      <c r="X23" s="5">
        <v>128.22</v>
      </c>
      <c r="Y23" s="5">
        <v>140.4</v>
      </c>
      <c r="Z23" s="5">
        <v>146.57</v>
      </c>
      <c r="AA23" s="5">
        <v>152.72999999999999</v>
      </c>
      <c r="AB23" s="5">
        <v>158.88999999999999</v>
      </c>
      <c r="AC23" s="5">
        <v>165.06</v>
      </c>
      <c r="AD23" s="5">
        <v>171.22</v>
      </c>
      <c r="AE23" s="5">
        <v>177.39</v>
      </c>
      <c r="AF23" s="5">
        <v>183.55</v>
      </c>
      <c r="AG23" s="5">
        <v>189.72</v>
      </c>
      <c r="AH23" s="5">
        <v>195.88</v>
      </c>
      <c r="AI23" s="5">
        <v>202.05</v>
      </c>
      <c r="AJ23" s="5">
        <v>202.43</v>
      </c>
      <c r="AK23" s="5">
        <v>202.82</v>
      </c>
      <c r="AL23" s="5">
        <v>203.2</v>
      </c>
      <c r="AM23" s="5">
        <v>203.59</v>
      </c>
      <c r="AN23" s="5">
        <v>203.97</v>
      </c>
      <c r="AO23" s="5">
        <v>204.36</v>
      </c>
      <c r="AP23" s="5">
        <v>204.75</v>
      </c>
      <c r="AQ23" s="5">
        <v>205.13</v>
      </c>
      <c r="AR23" s="5">
        <v>205.52</v>
      </c>
      <c r="AS23" s="5">
        <v>205.9</v>
      </c>
      <c r="AT23" s="5">
        <v>206.29</v>
      </c>
      <c r="AU23" s="5">
        <v>206.68</v>
      </c>
      <c r="AV23" s="5">
        <v>207.06</v>
      </c>
      <c r="AW23" s="5">
        <v>207.45</v>
      </c>
      <c r="AX23" s="5">
        <v>207.83</v>
      </c>
      <c r="AY23" s="5">
        <v>280.54000000000002</v>
      </c>
      <c r="AZ23" s="5">
        <v>353.25</v>
      </c>
      <c r="BA23" s="5">
        <v>425.96</v>
      </c>
      <c r="BB23" s="5">
        <v>498.67</v>
      </c>
      <c r="BC23" s="5">
        <v>571.38</v>
      </c>
    </row>
    <row r="24" spans="1:55" x14ac:dyDescent="0.25">
      <c r="A24" s="47">
        <v>23</v>
      </c>
      <c r="B24" s="42">
        <v>0.28999999999999998</v>
      </c>
      <c r="C24" s="42">
        <v>0.12</v>
      </c>
      <c r="E24" s="3">
        <v>23</v>
      </c>
      <c r="F24" s="5">
        <v>15.62</v>
      </c>
      <c r="G24" s="5">
        <v>15.62</v>
      </c>
      <c r="H24" s="5">
        <v>17.989999999999998</v>
      </c>
      <c r="I24" s="5">
        <v>47.76</v>
      </c>
      <c r="J24" s="5">
        <v>50.15</v>
      </c>
      <c r="K24" s="5">
        <v>58.26</v>
      </c>
      <c r="L24" s="5">
        <v>66.36</v>
      </c>
      <c r="M24" s="5">
        <v>74.47</v>
      </c>
      <c r="N24" s="5">
        <v>75.19</v>
      </c>
      <c r="O24" s="5">
        <v>75.92</v>
      </c>
      <c r="P24" s="5">
        <v>76.63</v>
      </c>
      <c r="Q24" s="5">
        <v>77.349999999999994</v>
      </c>
      <c r="R24" s="5">
        <v>78.069999999999993</v>
      </c>
      <c r="S24" s="5">
        <v>78.8</v>
      </c>
      <c r="T24" s="5">
        <v>79.510000000000005</v>
      </c>
      <c r="U24" s="5">
        <v>91.69</v>
      </c>
      <c r="V24" s="5">
        <v>103.87</v>
      </c>
      <c r="W24" s="5">
        <v>116.04</v>
      </c>
      <c r="X24" s="5">
        <v>128.22</v>
      </c>
      <c r="Y24" s="5">
        <v>140.4</v>
      </c>
      <c r="Z24" s="5">
        <v>146.57</v>
      </c>
      <c r="AA24" s="5">
        <v>152.72999999999999</v>
      </c>
      <c r="AB24" s="5">
        <v>158.88999999999999</v>
      </c>
      <c r="AC24" s="5">
        <v>165.06</v>
      </c>
      <c r="AD24" s="5">
        <v>171.22</v>
      </c>
      <c r="AE24" s="5">
        <v>177.39</v>
      </c>
      <c r="AF24" s="5">
        <v>183.55</v>
      </c>
      <c r="AG24" s="5">
        <v>189.72</v>
      </c>
      <c r="AH24" s="5">
        <v>195.88</v>
      </c>
      <c r="AI24" s="5">
        <v>202.05</v>
      </c>
      <c r="AJ24" s="5">
        <v>202.43</v>
      </c>
      <c r="AK24" s="5">
        <v>202.82</v>
      </c>
      <c r="AL24" s="5">
        <v>203.2</v>
      </c>
      <c r="AM24" s="5">
        <v>203.59</v>
      </c>
      <c r="AN24" s="5">
        <v>203.97</v>
      </c>
      <c r="AO24" s="5">
        <v>204.36</v>
      </c>
      <c r="AP24" s="5">
        <v>204.75</v>
      </c>
      <c r="AQ24" s="5">
        <v>205.13</v>
      </c>
      <c r="AR24" s="5">
        <v>205.52</v>
      </c>
      <c r="AS24" s="5">
        <v>205.9</v>
      </c>
      <c r="AT24" s="5">
        <v>206.29</v>
      </c>
      <c r="AU24" s="5">
        <v>206.68</v>
      </c>
      <c r="AV24" s="5">
        <v>207.06</v>
      </c>
      <c r="AW24" s="5">
        <v>207.45</v>
      </c>
      <c r="AX24" s="5">
        <v>207.83</v>
      </c>
      <c r="AY24" s="5">
        <v>280.54000000000002</v>
      </c>
      <c r="AZ24" s="5">
        <v>353.25</v>
      </c>
      <c r="BA24" s="5">
        <v>425.96</v>
      </c>
      <c r="BB24" s="5">
        <v>498.67</v>
      </c>
      <c r="BC24" s="5">
        <v>571.38</v>
      </c>
    </row>
    <row r="25" spans="1:55" x14ac:dyDescent="0.25">
      <c r="A25" s="47">
        <v>24</v>
      </c>
      <c r="B25" s="42">
        <v>0.21</v>
      </c>
      <c r="C25" s="42">
        <v>0.17</v>
      </c>
      <c r="E25" s="3">
        <v>24</v>
      </c>
      <c r="F25" s="5">
        <v>19.57</v>
      </c>
      <c r="G25" s="5">
        <v>19.57</v>
      </c>
      <c r="H25" s="5">
        <v>21.68</v>
      </c>
      <c r="I25" s="5">
        <v>41.47</v>
      </c>
      <c r="J25" s="5">
        <v>44.07</v>
      </c>
      <c r="K25" s="5">
        <v>52.78</v>
      </c>
      <c r="L25" s="5">
        <v>61.48</v>
      </c>
      <c r="M25" s="5">
        <v>70.19</v>
      </c>
      <c r="N25" s="5">
        <v>70.73</v>
      </c>
      <c r="O25" s="5">
        <v>71.27</v>
      </c>
      <c r="P25" s="5">
        <v>71.81</v>
      </c>
      <c r="Q25" s="5">
        <v>72.34</v>
      </c>
      <c r="R25" s="5">
        <v>72.88</v>
      </c>
      <c r="S25" s="5">
        <v>73.41</v>
      </c>
      <c r="T25" s="5">
        <v>73.959999999999994</v>
      </c>
      <c r="U25" s="5">
        <v>85.09</v>
      </c>
      <c r="V25" s="5">
        <v>96.22</v>
      </c>
      <c r="W25" s="5">
        <v>107.35</v>
      </c>
      <c r="X25" s="5">
        <v>118.48</v>
      </c>
      <c r="Y25" s="5">
        <v>129.61000000000001</v>
      </c>
      <c r="Z25" s="5">
        <v>135.19999999999999</v>
      </c>
      <c r="AA25" s="5">
        <v>140.78</v>
      </c>
      <c r="AB25" s="5">
        <v>146.36000000000001</v>
      </c>
      <c r="AC25" s="5">
        <v>151.94</v>
      </c>
      <c r="AD25" s="5">
        <v>157.52000000000001</v>
      </c>
      <c r="AE25" s="5">
        <v>163.11000000000001</v>
      </c>
      <c r="AF25" s="5">
        <v>168.69</v>
      </c>
      <c r="AG25" s="5">
        <v>174.27</v>
      </c>
      <c r="AH25" s="5">
        <v>179.85</v>
      </c>
      <c r="AI25" s="5">
        <v>185.43</v>
      </c>
      <c r="AJ25" s="5">
        <v>185.94</v>
      </c>
      <c r="AK25" s="5">
        <v>186.45</v>
      </c>
      <c r="AL25" s="5">
        <v>186.96</v>
      </c>
      <c r="AM25" s="5">
        <v>187.47</v>
      </c>
      <c r="AN25" s="5">
        <v>187.98</v>
      </c>
      <c r="AO25" s="5">
        <v>188.49</v>
      </c>
      <c r="AP25" s="5">
        <v>189</v>
      </c>
      <c r="AQ25" s="5">
        <v>189.51</v>
      </c>
      <c r="AR25" s="5">
        <v>190.02</v>
      </c>
      <c r="AS25" s="5">
        <v>190.53</v>
      </c>
      <c r="AT25" s="5">
        <v>191.04</v>
      </c>
      <c r="AU25" s="5">
        <v>191.55</v>
      </c>
      <c r="AV25" s="5">
        <v>192.06</v>
      </c>
      <c r="AW25" s="5">
        <v>192.56</v>
      </c>
      <c r="AX25" s="5">
        <v>193.07</v>
      </c>
      <c r="AY25" s="5">
        <v>242.95</v>
      </c>
      <c r="AZ25" s="5">
        <v>292.82</v>
      </c>
      <c r="BA25" s="5">
        <v>342.69</v>
      </c>
      <c r="BB25" s="5">
        <v>392.56</v>
      </c>
      <c r="BC25" s="5">
        <v>442.44</v>
      </c>
    </row>
    <row r="26" spans="1:55" x14ac:dyDescent="0.25">
      <c r="A26" s="47">
        <v>25</v>
      </c>
      <c r="B26" s="42">
        <v>0.24</v>
      </c>
      <c r="C26" s="42">
        <v>0.12</v>
      </c>
      <c r="E26" s="3">
        <v>25</v>
      </c>
      <c r="F26" s="5">
        <v>17.91</v>
      </c>
      <c r="G26" s="5">
        <v>17.91</v>
      </c>
      <c r="H26" s="5">
        <v>19.63</v>
      </c>
      <c r="I26" s="5">
        <v>47.76</v>
      </c>
      <c r="J26" s="5">
        <v>50.15</v>
      </c>
      <c r="K26" s="5">
        <v>58.26</v>
      </c>
      <c r="L26" s="5">
        <v>66.36</v>
      </c>
      <c r="M26" s="5">
        <v>74.47</v>
      </c>
      <c r="N26" s="5">
        <v>75.19</v>
      </c>
      <c r="O26" s="5">
        <v>75.92</v>
      </c>
      <c r="P26" s="5">
        <v>76.63</v>
      </c>
      <c r="Q26" s="5">
        <v>77.349999999999994</v>
      </c>
      <c r="R26" s="5">
        <v>78.069999999999993</v>
      </c>
      <c r="S26" s="5">
        <v>78.8</v>
      </c>
      <c r="T26" s="5">
        <v>79.510000000000005</v>
      </c>
      <c r="U26" s="5">
        <v>91.69</v>
      </c>
      <c r="V26" s="5">
        <v>103.87</v>
      </c>
      <c r="W26" s="5">
        <v>116.04</v>
      </c>
      <c r="X26" s="5">
        <v>128.22</v>
      </c>
      <c r="Y26" s="5">
        <v>140.4</v>
      </c>
      <c r="Z26" s="5">
        <v>146.57</v>
      </c>
      <c r="AA26" s="5">
        <v>152.72999999999999</v>
      </c>
      <c r="AB26" s="5">
        <v>158.88999999999999</v>
      </c>
      <c r="AC26" s="5">
        <v>165.06</v>
      </c>
      <c r="AD26" s="5">
        <v>171.22</v>
      </c>
      <c r="AE26" s="5">
        <v>177.39</v>
      </c>
      <c r="AF26" s="5">
        <v>183.55</v>
      </c>
      <c r="AG26" s="5">
        <v>189.72</v>
      </c>
      <c r="AH26" s="5">
        <v>195.88</v>
      </c>
      <c r="AI26" s="5">
        <v>202.05</v>
      </c>
      <c r="AJ26" s="5">
        <v>202.43</v>
      </c>
      <c r="AK26" s="5">
        <v>202.82</v>
      </c>
      <c r="AL26" s="5">
        <v>203.2</v>
      </c>
      <c r="AM26" s="5">
        <v>203.59</v>
      </c>
      <c r="AN26" s="5">
        <v>203.97</v>
      </c>
      <c r="AO26" s="5">
        <v>204.36</v>
      </c>
      <c r="AP26" s="5">
        <v>204.75</v>
      </c>
      <c r="AQ26" s="5">
        <v>205.13</v>
      </c>
      <c r="AR26" s="5">
        <v>205.52</v>
      </c>
      <c r="AS26" s="5">
        <v>205.9</v>
      </c>
      <c r="AT26" s="5">
        <v>206.29</v>
      </c>
      <c r="AU26" s="5">
        <v>206.68</v>
      </c>
      <c r="AV26" s="5">
        <v>207.06</v>
      </c>
      <c r="AW26" s="5">
        <v>207.45</v>
      </c>
      <c r="AX26" s="5">
        <v>207.83</v>
      </c>
      <c r="AY26" s="5">
        <v>280.54000000000002</v>
      </c>
      <c r="AZ26" s="5">
        <v>353.25</v>
      </c>
      <c r="BA26" s="5">
        <v>425.96</v>
      </c>
      <c r="BB26" s="5">
        <v>498.67</v>
      </c>
      <c r="BC26" s="5">
        <v>571.38</v>
      </c>
    </row>
    <row r="27" spans="1:55" x14ac:dyDescent="0.25">
      <c r="A27" s="47">
        <v>26</v>
      </c>
      <c r="B27" s="42">
        <v>0.27</v>
      </c>
      <c r="C27" s="42">
        <v>0</v>
      </c>
      <c r="E27" s="3">
        <v>26</v>
      </c>
      <c r="F27" s="5">
        <v>19.95</v>
      </c>
      <c r="G27" s="5">
        <v>19.95</v>
      </c>
      <c r="H27" s="5">
        <v>22.78</v>
      </c>
      <c r="I27" s="5">
        <v>47.76</v>
      </c>
      <c r="J27" s="5">
        <v>50.15</v>
      </c>
      <c r="K27" s="5">
        <v>58.26</v>
      </c>
      <c r="L27" s="5">
        <v>66.36</v>
      </c>
      <c r="M27" s="5">
        <v>74.47</v>
      </c>
      <c r="N27" s="5">
        <v>75.19</v>
      </c>
      <c r="O27" s="5">
        <v>75.92</v>
      </c>
      <c r="P27" s="5">
        <v>76.63</v>
      </c>
      <c r="Q27" s="5">
        <v>77.349999999999994</v>
      </c>
      <c r="R27" s="5">
        <v>78.069999999999993</v>
      </c>
      <c r="S27" s="5">
        <v>78.8</v>
      </c>
      <c r="T27" s="5">
        <v>79.510000000000005</v>
      </c>
      <c r="U27" s="5">
        <v>91.69</v>
      </c>
      <c r="V27" s="5">
        <v>103.87</v>
      </c>
      <c r="W27" s="5">
        <v>116.04</v>
      </c>
      <c r="X27" s="5">
        <v>128.22</v>
      </c>
      <c r="Y27" s="5">
        <v>140.4</v>
      </c>
      <c r="Z27" s="5">
        <v>146.57</v>
      </c>
      <c r="AA27" s="5">
        <v>152.72999999999999</v>
      </c>
      <c r="AB27" s="5">
        <v>158.88999999999999</v>
      </c>
      <c r="AC27" s="5">
        <v>165.06</v>
      </c>
      <c r="AD27" s="5">
        <v>171.22</v>
      </c>
      <c r="AE27" s="5">
        <v>177.39</v>
      </c>
      <c r="AF27" s="5">
        <v>183.55</v>
      </c>
      <c r="AG27" s="5">
        <v>189.72</v>
      </c>
      <c r="AH27" s="5">
        <v>195.88</v>
      </c>
      <c r="AI27" s="5">
        <v>202.05</v>
      </c>
      <c r="AJ27" s="5">
        <v>202.43</v>
      </c>
      <c r="AK27" s="5">
        <v>202.82</v>
      </c>
      <c r="AL27" s="5">
        <v>203.2</v>
      </c>
      <c r="AM27" s="5">
        <v>203.59</v>
      </c>
      <c r="AN27" s="5">
        <v>203.97</v>
      </c>
      <c r="AO27" s="5">
        <v>204.36</v>
      </c>
      <c r="AP27" s="5">
        <v>204.75</v>
      </c>
      <c r="AQ27" s="5">
        <v>205.13</v>
      </c>
      <c r="AR27" s="5">
        <v>205.52</v>
      </c>
      <c r="AS27" s="5">
        <v>205.9</v>
      </c>
      <c r="AT27" s="5">
        <v>206.29</v>
      </c>
      <c r="AU27" s="5">
        <v>206.68</v>
      </c>
      <c r="AV27" s="5">
        <v>207.06</v>
      </c>
      <c r="AW27" s="5">
        <v>207.45</v>
      </c>
      <c r="AX27" s="5">
        <v>207.83</v>
      </c>
      <c r="AY27" s="5">
        <v>280.54000000000002</v>
      </c>
      <c r="AZ27" s="5">
        <v>353.25</v>
      </c>
      <c r="BA27" s="5">
        <v>425.96</v>
      </c>
      <c r="BB27" s="5">
        <v>498.67</v>
      </c>
      <c r="BC27" s="5">
        <v>571.38</v>
      </c>
    </row>
    <row r="28" spans="1:55" x14ac:dyDescent="0.25">
      <c r="A28" s="47">
        <v>27</v>
      </c>
      <c r="B28" s="42">
        <v>0.17</v>
      </c>
      <c r="C28" s="42">
        <v>0.17</v>
      </c>
      <c r="E28" s="3">
        <v>27</v>
      </c>
      <c r="F28" s="5">
        <v>16.010000000000002</v>
      </c>
      <c r="G28" s="5">
        <v>16.010000000000002</v>
      </c>
      <c r="H28" s="5">
        <v>17.260000000000002</v>
      </c>
      <c r="I28" s="5">
        <v>41.47</v>
      </c>
      <c r="J28" s="5">
        <v>44.07</v>
      </c>
      <c r="K28" s="5">
        <v>52.78</v>
      </c>
      <c r="L28" s="5">
        <v>61.48</v>
      </c>
      <c r="M28" s="5">
        <v>70.19</v>
      </c>
      <c r="N28" s="5">
        <v>70.73</v>
      </c>
      <c r="O28" s="5">
        <v>71.27</v>
      </c>
      <c r="P28" s="5">
        <v>71.81</v>
      </c>
      <c r="Q28" s="5">
        <v>72.34</v>
      </c>
      <c r="R28" s="5">
        <v>72.88</v>
      </c>
      <c r="S28" s="5">
        <v>73.41</v>
      </c>
      <c r="T28" s="5">
        <v>73.959999999999994</v>
      </c>
      <c r="U28" s="5">
        <v>85.09</v>
      </c>
      <c r="V28" s="5">
        <v>96.22</v>
      </c>
      <c r="W28" s="5">
        <v>107.35</v>
      </c>
      <c r="X28" s="5">
        <v>118.48</v>
      </c>
      <c r="Y28" s="5">
        <v>129.61000000000001</v>
      </c>
      <c r="Z28" s="5">
        <v>135.19999999999999</v>
      </c>
      <c r="AA28" s="5">
        <v>140.78</v>
      </c>
      <c r="AB28" s="5">
        <v>146.36000000000001</v>
      </c>
      <c r="AC28" s="5">
        <v>151.94</v>
      </c>
      <c r="AD28" s="5">
        <v>157.52000000000001</v>
      </c>
      <c r="AE28" s="5">
        <v>163.11000000000001</v>
      </c>
      <c r="AF28" s="5">
        <v>168.69</v>
      </c>
      <c r="AG28" s="5">
        <v>174.27</v>
      </c>
      <c r="AH28" s="5">
        <v>179.85</v>
      </c>
      <c r="AI28" s="5">
        <v>185.43</v>
      </c>
      <c r="AJ28" s="5">
        <v>185.94</v>
      </c>
      <c r="AK28" s="5">
        <v>186.45</v>
      </c>
      <c r="AL28" s="5">
        <v>186.96</v>
      </c>
      <c r="AM28" s="5">
        <v>187.47</v>
      </c>
      <c r="AN28" s="5">
        <v>187.98</v>
      </c>
      <c r="AO28" s="5">
        <v>188.49</v>
      </c>
      <c r="AP28" s="5">
        <v>189</v>
      </c>
      <c r="AQ28" s="5">
        <v>189.51</v>
      </c>
      <c r="AR28" s="5">
        <v>190.02</v>
      </c>
      <c r="AS28" s="5">
        <v>190.53</v>
      </c>
      <c r="AT28" s="5">
        <v>191.04</v>
      </c>
      <c r="AU28" s="5">
        <v>191.55</v>
      </c>
      <c r="AV28" s="5">
        <v>192.06</v>
      </c>
      <c r="AW28" s="5">
        <v>192.56</v>
      </c>
      <c r="AX28" s="5">
        <v>193.07</v>
      </c>
      <c r="AY28" s="5">
        <v>242.95</v>
      </c>
      <c r="AZ28" s="5">
        <v>292.82</v>
      </c>
      <c r="BA28" s="5">
        <v>342.69</v>
      </c>
      <c r="BB28" s="5">
        <v>392.56</v>
      </c>
      <c r="BC28" s="5">
        <v>442.44</v>
      </c>
    </row>
    <row r="29" spans="1:55" x14ac:dyDescent="0.25">
      <c r="A29" s="47">
        <v>28</v>
      </c>
      <c r="B29" s="42">
        <v>0.2</v>
      </c>
      <c r="C29" s="42">
        <v>0.12</v>
      </c>
      <c r="E29" s="3">
        <v>28</v>
      </c>
      <c r="F29" s="5">
        <v>15.02</v>
      </c>
      <c r="G29" s="5">
        <v>15.02</v>
      </c>
      <c r="H29" s="5">
        <v>17.53</v>
      </c>
      <c r="I29" s="5">
        <v>47.76</v>
      </c>
      <c r="J29" s="5">
        <v>50.15</v>
      </c>
      <c r="K29" s="5">
        <v>58.26</v>
      </c>
      <c r="L29" s="5">
        <v>66.36</v>
      </c>
      <c r="M29" s="5">
        <v>74.47</v>
      </c>
      <c r="N29" s="5">
        <v>75.19</v>
      </c>
      <c r="O29" s="5">
        <v>75.92</v>
      </c>
      <c r="P29" s="5">
        <v>76.63</v>
      </c>
      <c r="Q29" s="5">
        <v>77.349999999999994</v>
      </c>
      <c r="R29" s="5">
        <v>78.069999999999993</v>
      </c>
      <c r="S29" s="5">
        <v>78.8</v>
      </c>
      <c r="T29" s="5">
        <v>79.510000000000005</v>
      </c>
      <c r="U29" s="5">
        <v>91.69</v>
      </c>
      <c r="V29" s="5">
        <v>103.87</v>
      </c>
      <c r="W29" s="5">
        <v>116.04</v>
      </c>
      <c r="X29" s="5">
        <v>128.22</v>
      </c>
      <c r="Y29" s="5">
        <v>140.4</v>
      </c>
      <c r="Z29" s="5">
        <v>146.57</v>
      </c>
      <c r="AA29" s="5">
        <v>152.72999999999999</v>
      </c>
      <c r="AB29" s="5">
        <v>158.88999999999999</v>
      </c>
      <c r="AC29" s="5">
        <v>165.06</v>
      </c>
      <c r="AD29" s="5">
        <v>171.22</v>
      </c>
      <c r="AE29" s="5">
        <v>177.39</v>
      </c>
      <c r="AF29" s="5">
        <v>183.55</v>
      </c>
      <c r="AG29" s="5">
        <v>189.72</v>
      </c>
      <c r="AH29" s="5">
        <v>195.88</v>
      </c>
      <c r="AI29" s="5">
        <v>202.05</v>
      </c>
      <c r="AJ29" s="5">
        <v>202.43</v>
      </c>
      <c r="AK29" s="5">
        <v>202.82</v>
      </c>
      <c r="AL29" s="5">
        <v>203.2</v>
      </c>
      <c r="AM29" s="5">
        <v>203.59</v>
      </c>
      <c r="AN29" s="5">
        <v>203.97</v>
      </c>
      <c r="AO29" s="5">
        <v>204.36</v>
      </c>
      <c r="AP29" s="5">
        <v>204.75</v>
      </c>
      <c r="AQ29" s="5">
        <v>205.13</v>
      </c>
      <c r="AR29" s="5">
        <v>205.52</v>
      </c>
      <c r="AS29" s="5">
        <v>205.9</v>
      </c>
      <c r="AT29" s="5">
        <v>206.29</v>
      </c>
      <c r="AU29" s="5">
        <v>206.68</v>
      </c>
      <c r="AV29" s="5">
        <v>207.06</v>
      </c>
      <c r="AW29" s="5">
        <v>207.45</v>
      </c>
      <c r="AX29" s="5">
        <v>207.83</v>
      </c>
      <c r="AY29" s="5">
        <v>280.54000000000002</v>
      </c>
      <c r="AZ29" s="5">
        <v>353.25</v>
      </c>
      <c r="BA29" s="5">
        <v>425.96</v>
      </c>
      <c r="BB29" s="5">
        <v>498.67</v>
      </c>
      <c r="BC29" s="5">
        <v>571.38</v>
      </c>
    </row>
    <row r="30" spans="1:55" x14ac:dyDescent="0.25">
      <c r="A30" s="47">
        <v>29</v>
      </c>
      <c r="B30" s="42">
        <v>0.39</v>
      </c>
      <c r="C30" s="42">
        <v>0.12</v>
      </c>
      <c r="E30" s="3">
        <v>29</v>
      </c>
      <c r="F30" s="5">
        <v>17.71</v>
      </c>
      <c r="G30" s="5">
        <v>17.71</v>
      </c>
      <c r="H30" s="5">
        <v>20.9</v>
      </c>
      <c r="I30" s="5">
        <v>47.76</v>
      </c>
      <c r="J30" s="5">
        <v>50.15</v>
      </c>
      <c r="K30" s="5">
        <v>58.26</v>
      </c>
      <c r="L30" s="5">
        <v>66.36</v>
      </c>
      <c r="M30" s="5">
        <v>74.47</v>
      </c>
      <c r="N30" s="5">
        <v>75.19</v>
      </c>
      <c r="O30" s="5">
        <v>75.92</v>
      </c>
      <c r="P30" s="5">
        <v>76.63</v>
      </c>
      <c r="Q30" s="5">
        <v>77.349999999999994</v>
      </c>
      <c r="R30" s="5">
        <v>78.069999999999993</v>
      </c>
      <c r="S30" s="5">
        <v>78.8</v>
      </c>
      <c r="T30" s="5">
        <v>79.510000000000005</v>
      </c>
      <c r="U30" s="5">
        <v>91.69</v>
      </c>
      <c r="V30" s="5">
        <v>103.87</v>
      </c>
      <c r="W30" s="5">
        <v>116.04</v>
      </c>
      <c r="X30" s="5">
        <v>128.22</v>
      </c>
      <c r="Y30" s="5">
        <v>140.4</v>
      </c>
      <c r="Z30" s="5">
        <v>146.57</v>
      </c>
      <c r="AA30" s="5">
        <v>152.72999999999999</v>
      </c>
      <c r="AB30" s="5">
        <v>158.88999999999999</v>
      </c>
      <c r="AC30" s="5">
        <v>165.06</v>
      </c>
      <c r="AD30" s="5">
        <v>171.22</v>
      </c>
      <c r="AE30" s="5">
        <v>177.39</v>
      </c>
      <c r="AF30" s="5">
        <v>183.55</v>
      </c>
      <c r="AG30" s="5">
        <v>189.72</v>
      </c>
      <c r="AH30" s="5">
        <v>195.88</v>
      </c>
      <c r="AI30" s="5">
        <v>202.05</v>
      </c>
      <c r="AJ30" s="5">
        <v>202.43</v>
      </c>
      <c r="AK30" s="5">
        <v>202.82</v>
      </c>
      <c r="AL30" s="5">
        <v>203.2</v>
      </c>
      <c r="AM30" s="5">
        <v>203.59</v>
      </c>
      <c r="AN30" s="5">
        <v>203.97</v>
      </c>
      <c r="AO30" s="5">
        <v>204.36</v>
      </c>
      <c r="AP30" s="5">
        <v>204.75</v>
      </c>
      <c r="AQ30" s="5">
        <v>205.13</v>
      </c>
      <c r="AR30" s="5">
        <v>205.52</v>
      </c>
      <c r="AS30" s="5">
        <v>205.9</v>
      </c>
      <c r="AT30" s="5">
        <v>206.29</v>
      </c>
      <c r="AU30" s="5">
        <v>206.68</v>
      </c>
      <c r="AV30" s="5">
        <v>207.06</v>
      </c>
      <c r="AW30" s="5">
        <v>207.45</v>
      </c>
      <c r="AX30" s="5">
        <v>207.83</v>
      </c>
      <c r="AY30" s="5">
        <v>280.54000000000002</v>
      </c>
      <c r="AZ30" s="5">
        <v>353.25</v>
      </c>
      <c r="BA30" s="5">
        <v>425.96</v>
      </c>
      <c r="BB30" s="5">
        <v>498.67</v>
      </c>
      <c r="BC30" s="5">
        <v>571.38</v>
      </c>
    </row>
    <row r="31" spans="1:55" x14ac:dyDescent="0.25">
      <c r="A31" s="47">
        <v>30</v>
      </c>
      <c r="B31" s="42">
        <v>0.39</v>
      </c>
      <c r="C31" s="42">
        <v>0.28000000000000003</v>
      </c>
      <c r="E31" s="3">
        <v>30</v>
      </c>
      <c r="F31" s="5">
        <v>20.04</v>
      </c>
      <c r="G31" s="5">
        <v>20.04</v>
      </c>
      <c r="H31" s="5">
        <v>23.07</v>
      </c>
      <c r="I31" s="5">
        <v>41.47</v>
      </c>
      <c r="J31" s="5">
        <v>44.07</v>
      </c>
      <c r="K31" s="5">
        <v>52.78</v>
      </c>
      <c r="L31" s="5">
        <v>61.48</v>
      </c>
      <c r="M31" s="5">
        <v>70.19</v>
      </c>
      <c r="N31" s="5">
        <v>70.73</v>
      </c>
      <c r="O31" s="5">
        <v>71.27</v>
      </c>
      <c r="P31" s="5">
        <v>71.81</v>
      </c>
      <c r="Q31" s="5">
        <v>72.34</v>
      </c>
      <c r="R31" s="5">
        <v>72.88</v>
      </c>
      <c r="S31" s="5">
        <v>73.41</v>
      </c>
      <c r="T31" s="5">
        <v>73.959999999999994</v>
      </c>
      <c r="U31" s="5">
        <v>85.09</v>
      </c>
      <c r="V31" s="5">
        <v>96.22</v>
      </c>
      <c r="W31" s="5">
        <v>107.35</v>
      </c>
      <c r="X31" s="5">
        <v>118.48</v>
      </c>
      <c r="Y31" s="5">
        <v>129.61000000000001</v>
      </c>
      <c r="Z31" s="5">
        <v>135.19999999999999</v>
      </c>
      <c r="AA31" s="5">
        <v>140.78</v>
      </c>
      <c r="AB31" s="5">
        <v>146.36000000000001</v>
      </c>
      <c r="AC31" s="5">
        <v>151.94</v>
      </c>
      <c r="AD31" s="5">
        <v>157.52000000000001</v>
      </c>
      <c r="AE31" s="5">
        <v>163.11000000000001</v>
      </c>
      <c r="AF31" s="5">
        <v>168.69</v>
      </c>
      <c r="AG31" s="5">
        <v>174.27</v>
      </c>
      <c r="AH31" s="5">
        <v>179.85</v>
      </c>
      <c r="AI31" s="5">
        <v>185.43</v>
      </c>
      <c r="AJ31" s="5">
        <v>185.94</v>
      </c>
      <c r="AK31" s="5">
        <v>186.45</v>
      </c>
      <c r="AL31" s="5">
        <v>186.96</v>
      </c>
      <c r="AM31" s="5">
        <v>187.47</v>
      </c>
      <c r="AN31" s="5">
        <v>187.98</v>
      </c>
      <c r="AO31" s="5">
        <v>188.49</v>
      </c>
      <c r="AP31" s="5">
        <v>189</v>
      </c>
      <c r="AQ31" s="5">
        <v>189.51</v>
      </c>
      <c r="AR31" s="5">
        <v>190.02</v>
      </c>
      <c r="AS31" s="5">
        <v>190.53</v>
      </c>
      <c r="AT31" s="5">
        <v>191.04</v>
      </c>
      <c r="AU31" s="5">
        <v>191.55</v>
      </c>
      <c r="AV31" s="5">
        <v>192.06</v>
      </c>
      <c r="AW31" s="5">
        <v>192.56</v>
      </c>
      <c r="AX31" s="5">
        <v>193.07</v>
      </c>
      <c r="AY31" s="5">
        <v>242.95</v>
      </c>
      <c r="AZ31" s="5">
        <v>292.82</v>
      </c>
      <c r="BA31" s="5">
        <v>342.69</v>
      </c>
      <c r="BB31" s="5">
        <v>392.56</v>
      </c>
      <c r="BC31" s="5">
        <v>442.44</v>
      </c>
    </row>
    <row r="32" spans="1:55" x14ac:dyDescent="0.25">
      <c r="A32" s="47">
        <v>31</v>
      </c>
      <c r="B32" s="42">
        <v>0.19</v>
      </c>
      <c r="C32" s="42">
        <v>0.26</v>
      </c>
      <c r="E32" s="3">
        <v>31</v>
      </c>
      <c r="F32" s="5">
        <v>18.34</v>
      </c>
      <c r="G32" s="5">
        <v>18.34</v>
      </c>
      <c r="H32" s="5">
        <v>20.170000000000002</v>
      </c>
      <c r="I32" s="5">
        <v>34.29</v>
      </c>
      <c r="J32" s="5">
        <v>40.19</v>
      </c>
      <c r="K32" s="5">
        <v>42.48</v>
      </c>
      <c r="L32" s="5">
        <v>44.77</v>
      </c>
      <c r="M32" s="5">
        <v>47.06</v>
      </c>
      <c r="N32" s="5">
        <v>50.16</v>
      </c>
      <c r="O32" s="5">
        <v>53.27</v>
      </c>
      <c r="P32" s="5">
        <v>56.37</v>
      </c>
      <c r="Q32" s="5">
        <v>59.47</v>
      </c>
      <c r="R32" s="5">
        <v>62.58</v>
      </c>
      <c r="S32" s="5">
        <v>65.680000000000007</v>
      </c>
      <c r="T32" s="5">
        <v>68.78</v>
      </c>
      <c r="U32" s="5">
        <v>76.56</v>
      </c>
      <c r="V32" s="5">
        <v>84.33</v>
      </c>
      <c r="W32" s="5">
        <v>92.1</v>
      </c>
      <c r="X32" s="5">
        <v>99.88</v>
      </c>
      <c r="Y32" s="5">
        <v>107.65</v>
      </c>
      <c r="Z32" s="5">
        <v>112.34</v>
      </c>
      <c r="AA32" s="5">
        <v>117.03</v>
      </c>
      <c r="AB32" s="5">
        <v>121.72</v>
      </c>
      <c r="AC32" s="5">
        <v>126.41</v>
      </c>
      <c r="AD32" s="5">
        <v>131.1</v>
      </c>
      <c r="AE32" s="5">
        <v>135.79</v>
      </c>
      <c r="AF32" s="5">
        <v>140.47999999999999</v>
      </c>
      <c r="AG32" s="5">
        <v>145.16999999999999</v>
      </c>
      <c r="AH32" s="5">
        <v>149.86000000000001</v>
      </c>
      <c r="AI32" s="5">
        <v>154.55000000000001</v>
      </c>
      <c r="AJ32" s="5">
        <v>156.88999999999999</v>
      </c>
      <c r="AK32" s="5">
        <v>159.22</v>
      </c>
      <c r="AL32" s="5">
        <v>161.55000000000001</v>
      </c>
      <c r="AM32" s="5">
        <v>163.89</v>
      </c>
      <c r="AN32" s="5">
        <v>166.22</v>
      </c>
      <c r="AO32" s="5">
        <v>168.56</v>
      </c>
      <c r="AP32" s="5">
        <v>170.89</v>
      </c>
      <c r="AQ32" s="5">
        <v>173.23</v>
      </c>
      <c r="AR32" s="5">
        <v>175.56</v>
      </c>
      <c r="AS32" s="5">
        <v>177.89</v>
      </c>
      <c r="AT32" s="5">
        <v>180.23</v>
      </c>
      <c r="AU32" s="5">
        <v>182.56</v>
      </c>
      <c r="AV32" s="5">
        <v>184.9</v>
      </c>
      <c r="AW32" s="5">
        <v>187.23</v>
      </c>
      <c r="AX32" s="5">
        <v>189.57</v>
      </c>
      <c r="AY32" s="5">
        <v>223.21</v>
      </c>
      <c r="AZ32" s="5">
        <v>256.86</v>
      </c>
      <c r="BA32" s="5">
        <v>290.51</v>
      </c>
      <c r="BB32" s="5">
        <v>324.16000000000003</v>
      </c>
      <c r="BC32" s="5">
        <v>357.81</v>
      </c>
    </row>
    <row r="33" spans="1:55" x14ac:dyDescent="0.25">
      <c r="A33" s="47">
        <v>32</v>
      </c>
      <c r="B33" s="42">
        <v>0.22</v>
      </c>
      <c r="C33" s="42">
        <v>0.26</v>
      </c>
      <c r="E33" s="3">
        <v>32</v>
      </c>
      <c r="F33" s="5">
        <v>17.809999999999999</v>
      </c>
      <c r="G33" s="5">
        <v>17.809999999999999</v>
      </c>
      <c r="H33" s="5">
        <v>19.88</v>
      </c>
      <c r="I33" s="5">
        <v>41.47</v>
      </c>
      <c r="J33" s="5">
        <v>44.07</v>
      </c>
      <c r="K33" s="5">
        <v>52.78</v>
      </c>
      <c r="L33" s="5">
        <v>61.48</v>
      </c>
      <c r="M33" s="5">
        <v>70.19</v>
      </c>
      <c r="N33" s="5">
        <v>70.73</v>
      </c>
      <c r="O33" s="5">
        <v>71.27</v>
      </c>
      <c r="P33" s="5">
        <v>71.81</v>
      </c>
      <c r="Q33" s="5">
        <v>72.34</v>
      </c>
      <c r="R33" s="5">
        <v>72.88</v>
      </c>
      <c r="S33" s="5">
        <v>73.41</v>
      </c>
      <c r="T33" s="5">
        <v>73.959999999999994</v>
      </c>
      <c r="U33" s="5">
        <v>85.09</v>
      </c>
      <c r="V33" s="5">
        <v>96.22</v>
      </c>
      <c r="W33" s="5">
        <v>107.35</v>
      </c>
      <c r="X33" s="5">
        <v>118.48</v>
      </c>
      <c r="Y33" s="5">
        <v>129.61000000000001</v>
      </c>
      <c r="Z33" s="5">
        <v>135.19999999999999</v>
      </c>
      <c r="AA33" s="5">
        <v>140.78</v>
      </c>
      <c r="AB33" s="5">
        <v>146.36000000000001</v>
      </c>
      <c r="AC33" s="5">
        <v>151.94</v>
      </c>
      <c r="AD33" s="5">
        <v>157.52000000000001</v>
      </c>
      <c r="AE33" s="5">
        <v>163.11000000000001</v>
      </c>
      <c r="AF33" s="5">
        <v>168.69</v>
      </c>
      <c r="AG33" s="5">
        <v>174.27</v>
      </c>
      <c r="AH33" s="5">
        <v>179.85</v>
      </c>
      <c r="AI33" s="5">
        <v>185.43</v>
      </c>
      <c r="AJ33" s="5">
        <v>185.94</v>
      </c>
      <c r="AK33" s="5">
        <v>186.45</v>
      </c>
      <c r="AL33" s="5">
        <v>186.96</v>
      </c>
      <c r="AM33" s="5">
        <v>187.47</v>
      </c>
      <c r="AN33" s="5">
        <v>187.98</v>
      </c>
      <c r="AO33" s="5">
        <v>188.49</v>
      </c>
      <c r="AP33" s="5">
        <v>189</v>
      </c>
      <c r="AQ33" s="5">
        <v>189.51</v>
      </c>
      <c r="AR33" s="5">
        <v>190.02</v>
      </c>
      <c r="AS33" s="5">
        <v>190.53</v>
      </c>
      <c r="AT33" s="5">
        <v>191.04</v>
      </c>
      <c r="AU33" s="5">
        <v>191.55</v>
      </c>
      <c r="AV33" s="5">
        <v>192.06</v>
      </c>
      <c r="AW33" s="5">
        <v>192.56</v>
      </c>
      <c r="AX33" s="5">
        <v>193.07</v>
      </c>
      <c r="AY33" s="5">
        <v>242.95</v>
      </c>
      <c r="AZ33" s="5">
        <v>292.82</v>
      </c>
      <c r="BA33" s="5">
        <v>342.69</v>
      </c>
      <c r="BB33" s="5">
        <v>392.56</v>
      </c>
      <c r="BC33" s="5">
        <v>442.44</v>
      </c>
    </row>
    <row r="34" spans="1:55" x14ac:dyDescent="0.25">
      <c r="A34" s="47">
        <v>33</v>
      </c>
      <c r="B34" s="42">
        <v>0.21</v>
      </c>
      <c r="C34" s="42">
        <v>0.17</v>
      </c>
      <c r="E34" s="3">
        <v>33</v>
      </c>
      <c r="F34" s="5">
        <v>18.239999999999998</v>
      </c>
      <c r="G34" s="5">
        <v>18.239999999999998</v>
      </c>
      <c r="H34" s="5">
        <v>20.04</v>
      </c>
      <c r="I34" s="5">
        <v>34.29</v>
      </c>
      <c r="J34" s="5">
        <v>40.19</v>
      </c>
      <c r="K34" s="5">
        <v>42.48</v>
      </c>
      <c r="L34" s="5">
        <v>44.77</v>
      </c>
      <c r="M34" s="5">
        <v>47.06</v>
      </c>
      <c r="N34" s="5">
        <v>50.16</v>
      </c>
      <c r="O34" s="5">
        <v>53.27</v>
      </c>
      <c r="P34" s="5">
        <v>56.37</v>
      </c>
      <c r="Q34" s="5">
        <v>59.47</v>
      </c>
      <c r="R34" s="5">
        <v>62.58</v>
      </c>
      <c r="S34" s="5">
        <v>65.680000000000007</v>
      </c>
      <c r="T34" s="5">
        <v>68.78</v>
      </c>
      <c r="U34" s="5">
        <v>76.56</v>
      </c>
      <c r="V34" s="5">
        <v>84.33</v>
      </c>
      <c r="W34" s="5">
        <v>92.1</v>
      </c>
      <c r="X34" s="5">
        <v>99.88</v>
      </c>
      <c r="Y34" s="5">
        <v>107.65</v>
      </c>
      <c r="Z34" s="5">
        <v>112.34</v>
      </c>
      <c r="AA34" s="5">
        <v>117.03</v>
      </c>
      <c r="AB34" s="5">
        <v>121.72</v>
      </c>
      <c r="AC34" s="5">
        <v>126.41</v>
      </c>
      <c r="AD34" s="5">
        <v>131.1</v>
      </c>
      <c r="AE34" s="5">
        <v>135.79</v>
      </c>
      <c r="AF34" s="5">
        <v>140.47999999999999</v>
      </c>
      <c r="AG34" s="5">
        <v>145.16999999999999</v>
      </c>
      <c r="AH34" s="5">
        <v>149.86000000000001</v>
      </c>
      <c r="AI34" s="5">
        <v>154.55000000000001</v>
      </c>
      <c r="AJ34" s="5">
        <v>156.88999999999999</v>
      </c>
      <c r="AK34" s="5">
        <v>159.22</v>
      </c>
      <c r="AL34" s="5">
        <v>161.55000000000001</v>
      </c>
      <c r="AM34" s="5">
        <v>163.89</v>
      </c>
      <c r="AN34" s="5">
        <v>166.22</v>
      </c>
      <c r="AO34" s="5">
        <v>168.56</v>
      </c>
      <c r="AP34" s="5">
        <v>170.89</v>
      </c>
      <c r="AQ34" s="5">
        <v>173.23</v>
      </c>
      <c r="AR34" s="5">
        <v>175.56</v>
      </c>
      <c r="AS34" s="5">
        <v>177.89</v>
      </c>
      <c r="AT34" s="5">
        <v>180.23</v>
      </c>
      <c r="AU34" s="5">
        <v>182.56</v>
      </c>
      <c r="AV34" s="5">
        <v>184.9</v>
      </c>
      <c r="AW34" s="5">
        <v>187.23</v>
      </c>
      <c r="AX34" s="5">
        <v>189.57</v>
      </c>
      <c r="AY34" s="5">
        <v>223.21</v>
      </c>
      <c r="AZ34" s="5">
        <v>256.86</v>
      </c>
      <c r="BA34" s="5">
        <v>290.51</v>
      </c>
      <c r="BB34" s="5">
        <v>324.16000000000003</v>
      </c>
      <c r="BC34" s="5">
        <v>357.81</v>
      </c>
    </row>
    <row r="35" spans="1:55" x14ac:dyDescent="0.25">
      <c r="A35" s="47">
        <v>34</v>
      </c>
      <c r="B35" s="42">
        <v>0.39</v>
      </c>
      <c r="C35" s="42">
        <v>0.28000000000000003</v>
      </c>
      <c r="E35" s="3">
        <v>34</v>
      </c>
      <c r="F35" s="5">
        <v>19.61</v>
      </c>
      <c r="G35" s="5">
        <v>19.61</v>
      </c>
      <c r="H35" s="5">
        <v>21.94</v>
      </c>
      <c r="I35" s="5">
        <v>47.76</v>
      </c>
      <c r="J35" s="5">
        <v>50.15</v>
      </c>
      <c r="K35" s="5">
        <v>58.26</v>
      </c>
      <c r="L35" s="5">
        <v>66.36</v>
      </c>
      <c r="M35" s="5">
        <v>74.47</v>
      </c>
      <c r="N35" s="5">
        <v>75.19</v>
      </c>
      <c r="O35" s="5">
        <v>75.92</v>
      </c>
      <c r="P35" s="5">
        <v>76.63</v>
      </c>
      <c r="Q35" s="5">
        <v>77.349999999999994</v>
      </c>
      <c r="R35" s="5">
        <v>78.069999999999993</v>
      </c>
      <c r="S35" s="5">
        <v>78.8</v>
      </c>
      <c r="T35" s="5">
        <v>79.510000000000005</v>
      </c>
      <c r="U35" s="5">
        <v>91.69</v>
      </c>
      <c r="V35" s="5">
        <v>103.87</v>
      </c>
      <c r="W35" s="5">
        <v>116.04</v>
      </c>
      <c r="X35" s="5">
        <v>128.22</v>
      </c>
      <c r="Y35" s="5">
        <v>140.4</v>
      </c>
      <c r="Z35" s="5">
        <v>146.57</v>
      </c>
      <c r="AA35" s="5">
        <v>152.72999999999999</v>
      </c>
      <c r="AB35" s="5">
        <v>158.88999999999999</v>
      </c>
      <c r="AC35" s="5">
        <v>165.06</v>
      </c>
      <c r="AD35" s="5">
        <v>171.22</v>
      </c>
      <c r="AE35" s="5">
        <v>177.39</v>
      </c>
      <c r="AF35" s="5">
        <v>183.55</v>
      </c>
      <c r="AG35" s="5">
        <v>189.72</v>
      </c>
      <c r="AH35" s="5">
        <v>195.88</v>
      </c>
      <c r="AI35" s="5">
        <v>202.05</v>
      </c>
      <c r="AJ35" s="5">
        <v>202.43</v>
      </c>
      <c r="AK35" s="5">
        <v>202.82</v>
      </c>
      <c r="AL35" s="5">
        <v>203.2</v>
      </c>
      <c r="AM35" s="5">
        <v>203.59</v>
      </c>
      <c r="AN35" s="5">
        <v>203.97</v>
      </c>
      <c r="AO35" s="5">
        <v>204.36</v>
      </c>
      <c r="AP35" s="5">
        <v>204.75</v>
      </c>
      <c r="AQ35" s="5">
        <v>205.13</v>
      </c>
      <c r="AR35" s="5">
        <v>205.52</v>
      </c>
      <c r="AS35" s="5">
        <v>205.9</v>
      </c>
      <c r="AT35" s="5">
        <v>206.29</v>
      </c>
      <c r="AU35" s="5">
        <v>206.68</v>
      </c>
      <c r="AV35" s="5">
        <v>207.06</v>
      </c>
      <c r="AW35" s="5">
        <v>207.45</v>
      </c>
      <c r="AX35" s="5">
        <v>207.83</v>
      </c>
      <c r="AY35" s="5">
        <v>280.54000000000002</v>
      </c>
      <c r="AZ35" s="5">
        <v>353.25</v>
      </c>
      <c r="BA35" s="5">
        <v>425.96</v>
      </c>
      <c r="BB35" s="5">
        <v>498.67</v>
      </c>
      <c r="BC35" s="5">
        <v>571.38</v>
      </c>
    </row>
    <row r="36" spans="1:55" x14ac:dyDescent="0.25">
      <c r="A36" s="47">
        <v>35</v>
      </c>
      <c r="B36" s="42">
        <v>0.27</v>
      </c>
      <c r="C36" s="42">
        <v>0</v>
      </c>
      <c r="E36" s="3">
        <v>35</v>
      </c>
      <c r="F36" s="5">
        <v>17.05</v>
      </c>
      <c r="G36" s="5">
        <v>17.05</v>
      </c>
      <c r="H36" s="5">
        <v>18.57</v>
      </c>
      <c r="I36" s="5">
        <v>41.47</v>
      </c>
      <c r="J36" s="5">
        <v>44.07</v>
      </c>
      <c r="K36" s="5">
        <v>52.78</v>
      </c>
      <c r="L36" s="5">
        <v>61.48</v>
      </c>
      <c r="M36" s="5">
        <v>70.19</v>
      </c>
      <c r="N36" s="5">
        <v>70.73</v>
      </c>
      <c r="O36" s="5">
        <v>71.27</v>
      </c>
      <c r="P36" s="5">
        <v>71.81</v>
      </c>
      <c r="Q36" s="5">
        <v>72.34</v>
      </c>
      <c r="R36" s="5">
        <v>72.88</v>
      </c>
      <c r="S36" s="5">
        <v>73.41</v>
      </c>
      <c r="T36" s="5">
        <v>73.959999999999994</v>
      </c>
      <c r="U36" s="5">
        <v>85.09</v>
      </c>
      <c r="V36" s="5">
        <v>96.22</v>
      </c>
      <c r="W36" s="5">
        <v>107.35</v>
      </c>
      <c r="X36" s="5">
        <v>118.48</v>
      </c>
      <c r="Y36" s="5">
        <v>129.61000000000001</v>
      </c>
      <c r="Z36" s="5">
        <v>135.19999999999999</v>
      </c>
      <c r="AA36" s="5">
        <v>140.78</v>
      </c>
      <c r="AB36" s="5">
        <v>146.36000000000001</v>
      </c>
      <c r="AC36" s="5">
        <v>151.94</v>
      </c>
      <c r="AD36" s="5">
        <v>157.52000000000001</v>
      </c>
      <c r="AE36" s="5">
        <v>163.11000000000001</v>
      </c>
      <c r="AF36" s="5">
        <v>168.69</v>
      </c>
      <c r="AG36" s="5">
        <v>174.27</v>
      </c>
      <c r="AH36" s="5">
        <v>179.85</v>
      </c>
      <c r="AI36" s="5">
        <v>185.43</v>
      </c>
      <c r="AJ36" s="5">
        <v>185.94</v>
      </c>
      <c r="AK36" s="5">
        <v>186.45</v>
      </c>
      <c r="AL36" s="5">
        <v>186.96</v>
      </c>
      <c r="AM36" s="5">
        <v>187.47</v>
      </c>
      <c r="AN36" s="5">
        <v>187.98</v>
      </c>
      <c r="AO36" s="5">
        <v>188.49</v>
      </c>
      <c r="AP36" s="5">
        <v>189</v>
      </c>
      <c r="AQ36" s="5">
        <v>189.51</v>
      </c>
      <c r="AR36" s="5">
        <v>190.02</v>
      </c>
      <c r="AS36" s="5">
        <v>190.53</v>
      </c>
      <c r="AT36" s="5">
        <v>191.04</v>
      </c>
      <c r="AU36" s="5">
        <v>191.55</v>
      </c>
      <c r="AV36" s="5">
        <v>192.06</v>
      </c>
      <c r="AW36" s="5">
        <v>192.56</v>
      </c>
      <c r="AX36" s="5">
        <v>193.07</v>
      </c>
      <c r="AY36" s="5">
        <v>242.95</v>
      </c>
      <c r="AZ36" s="5">
        <v>292.82</v>
      </c>
      <c r="BA36" s="5">
        <v>342.69</v>
      </c>
      <c r="BB36" s="5">
        <v>392.56</v>
      </c>
      <c r="BC36" s="5">
        <v>442.44</v>
      </c>
    </row>
    <row r="37" spans="1:55" x14ac:dyDescent="0.25">
      <c r="A37" s="47">
        <v>36</v>
      </c>
      <c r="B37" s="42">
        <v>0.21</v>
      </c>
      <c r="C37" s="42">
        <v>0.12</v>
      </c>
      <c r="E37" s="3">
        <v>36</v>
      </c>
      <c r="F37" s="5">
        <v>16.27</v>
      </c>
      <c r="G37" s="5">
        <v>16.27</v>
      </c>
      <c r="H37" s="5">
        <v>17.579999999999998</v>
      </c>
      <c r="I37" s="5">
        <v>47.76</v>
      </c>
      <c r="J37" s="5">
        <v>50.15</v>
      </c>
      <c r="K37" s="5">
        <v>58.26</v>
      </c>
      <c r="L37" s="5">
        <v>66.36</v>
      </c>
      <c r="M37" s="5">
        <v>74.47</v>
      </c>
      <c r="N37" s="5">
        <v>75.19</v>
      </c>
      <c r="O37" s="5">
        <v>75.92</v>
      </c>
      <c r="P37" s="5">
        <v>76.63</v>
      </c>
      <c r="Q37" s="5">
        <v>77.349999999999994</v>
      </c>
      <c r="R37" s="5">
        <v>78.069999999999993</v>
      </c>
      <c r="S37" s="5">
        <v>78.8</v>
      </c>
      <c r="T37" s="5">
        <v>79.510000000000005</v>
      </c>
      <c r="U37" s="5">
        <v>91.69</v>
      </c>
      <c r="V37" s="5">
        <v>103.87</v>
      </c>
      <c r="W37" s="5">
        <v>116.04</v>
      </c>
      <c r="X37" s="5">
        <v>128.22</v>
      </c>
      <c r="Y37" s="5">
        <v>140.4</v>
      </c>
      <c r="Z37" s="5">
        <v>146.57</v>
      </c>
      <c r="AA37" s="5">
        <v>152.72999999999999</v>
      </c>
      <c r="AB37" s="5">
        <v>158.88999999999999</v>
      </c>
      <c r="AC37" s="5">
        <v>165.06</v>
      </c>
      <c r="AD37" s="5">
        <v>171.22</v>
      </c>
      <c r="AE37" s="5">
        <v>177.39</v>
      </c>
      <c r="AF37" s="5">
        <v>183.55</v>
      </c>
      <c r="AG37" s="5">
        <v>189.72</v>
      </c>
      <c r="AH37" s="5">
        <v>195.88</v>
      </c>
      <c r="AI37" s="5">
        <v>202.05</v>
      </c>
      <c r="AJ37" s="5">
        <v>202.43</v>
      </c>
      <c r="AK37" s="5">
        <v>202.82</v>
      </c>
      <c r="AL37" s="5">
        <v>203.2</v>
      </c>
      <c r="AM37" s="5">
        <v>203.59</v>
      </c>
      <c r="AN37" s="5">
        <v>203.97</v>
      </c>
      <c r="AO37" s="5">
        <v>204.36</v>
      </c>
      <c r="AP37" s="5">
        <v>204.75</v>
      </c>
      <c r="AQ37" s="5">
        <v>205.13</v>
      </c>
      <c r="AR37" s="5">
        <v>205.52</v>
      </c>
      <c r="AS37" s="5">
        <v>205.9</v>
      </c>
      <c r="AT37" s="5">
        <v>206.29</v>
      </c>
      <c r="AU37" s="5">
        <v>206.68</v>
      </c>
      <c r="AV37" s="5">
        <v>207.06</v>
      </c>
      <c r="AW37" s="5">
        <v>207.45</v>
      </c>
      <c r="AX37" s="5">
        <v>207.83</v>
      </c>
      <c r="AY37" s="5">
        <v>280.54000000000002</v>
      </c>
      <c r="AZ37" s="5">
        <v>353.25</v>
      </c>
      <c r="BA37" s="5">
        <v>425.96</v>
      </c>
      <c r="BB37" s="5">
        <v>498.67</v>
      </c>
      <c r="BC37" s="5">
        <v>571.38</v>
      </c>
    </row>
    <row r="38" spans="1:55" x14ac:dyDescent="0.25">
      <c r="A38" s="47">
        <v>37</v>
      </c>
      <c r="B38" s="42">
        <v>0.19</v>
      </c>
      <c r="C38" s="42">
        <v>0.12</v>
      </c>
      <c r="E38" s="3">
        <v>37</v>
      </c>
      <c r="F38" s="5">
        <v>16.55</v>
      </c>
      <c r="G38" s="5">
        <v>16.55</v>
      </c>
      <c r="H38" s="5">
        <v>17.93</v>
      </c>
      <c r="I38" s="5">
        <v>34.29</v>
      </c>
      <c r="J38" s="5">
        <v>40.19</v>
      </c>
      <c r="K38" s="5">
        <v>42.48</v>
      </c>
      <c r="L38" s="5">
        <v>44.77</v>
      </c>
      <c r="M38" s="5">
        <v>47.06</v>
      </c>
      <c r="N38" s="5">
        <v>50.16</v>
      </c>
      <c r="O38" s="5">
        <v>53.27</v>
      </c>
      <c r="P38" s="5">
        <v>56.37</v>
      </c>
      <c r="Q38" s="5">
        <v>59.47</v>
      </c>
      <c r="R38" s="5">
        <v>62.58</v>
      </c>
      <c r="S38" s="5">
        <v>65.680000000000007</v>
      </c>
      <c r="T38" s="5">
        <v>68.78</v>
      </c>
      <c r="U38" s="5">
        <v>76.56</v>
      </c>
      <c r="V38" s="5">
        <v>84.33</v>
      </c>
      <c r="W38" s="5">
        <v>92.1</v>
      </c>
      <c r="X38" s="5">
        <v>99.88</v>
      </c>
      <c r="Y38" s="5">
        <v>107.65</v>
      </c>
      <c r="Z38" s="5">
        <v>112.34</v>
      </c>
      <c r="AA38" s="5">
        <v>117.03</v>
      </c>
      <c r="AB38" s="5">
        <v>121.72</v>
      </c>
      <c r="AC38" s="5">
        <v>126.41</v>
      </c>
      <c r="AD38" s="5">
        <v>131.1</v>
      </c>
      <c r="AE38" s="5">
        <v>135.79</v>
      </c>
      <c r="AF38" s="5">
        <v>140.47999999999999</v>
      </c>
      <c r="AG38" s="5">
        <v>145.16999999999999</v>
      </c>
      <c r="AH38" s="5">
        <v>149.86000000000001</v>
      </c>
      <c r="AI38" s="5">
        <v>154.55000000000001</v>
      </c>
      <c r="AJ38" s="5">
        <v>156.88999999999999</v>
      </c>
      <c r="AK38" s="5">
        <v>159.22</v>
      </c>
      <c r="AL38" s="5">
        <v>161.55000000000001</v>
      </c>
      <c r="AM38" s="5">
        <v>163.89</v>
      </c>
      <c r="AN38" s="5">
        <v>166.22</v>
      </c>
      <c r="AO38" s="5">
        <v>168.56</v>
      </c>
      <c r="AP38" s="5">
        <v>170.89</v>
      </c>
      <c r="AQ38" s="5">
        <v>173.23</v>
      </c>
      <c r="AR38" s="5">
        <v>175.56</v>
      </c>
      <c r="AS38" s="5">
        <v>177.89</v>
      </c>
      <c r="AT38" s="5">
        <v>180.23</v>
      </c>
      <c r="AU38" s="5">
        <v>182.56</v>
      </c>
      <c r="AV38" s="5">
        <v>184.9</v>
      </c>
      <c r="AW38" s="5">
        <v>187.23</v>
      </c>
      <c r="AX38" s="5">
        <v>189.57</v>
      </c>
      <c r="AY38" s="5">
        <v>223.21</v>
      </c>
      <c r="AZ38" s="5">
        <v>256.86</v>
      </c>
      <c r="BA38" s="5">
        <v>290.51</v>
      </c>
      <c r="BB38" s="5">
        <v>324.16000000000003</v>
      </c>
      <c r="BC38" s="5">
        <v>357.81</v>
      </c>
    </row>
    <row r="39" spans="1:55" x14ac:dyDescent="0.25">
      <c r="A39" s="47">
        <v>38</v>
      </c>
      <c r="B39" s="42">
        <v>0.27</v>
      </c>
      <c r="C39" s="42">
        <v>0</v>
      </c>
      <c r="E39" s="3">
        <v>38</v>
      </c>
      <c r="F39" s="5">
        <v>18.52</v>
      </c>
      <c r="G39" s="5">
        <v>18.52</v>
      </c>
      <c r="H39" s="5">
        <v>20.59</v>
      </c>
      <c r="I39" s="5">
        <v>41.47</v>
      </c>
      <c r="J39" s="5">
        <v>44.07</v>
      </c>
      <c r="K39" s="5">
        <v>52.78</v>
      </c>
      <c r="L39" s="5">
        <v>61.48</v>
      </c>
      <c r="M39" s="5">
        <v>70.19</v>
      </c>
      <c r="N39" s="5">
        <v>70.73</v>
      </c>
      <c r="O39" s="5">
        <v>71.27</v>
      </c>
      <c r="P39" s="5">
        <v>71.81</v>
      </c>
      <c r="Q39" s="5">
        <v>72.34</v>
      </c>
      <c r="R39" s="5">
        <v>72.88</v>
      </c>
      <c r="S39" s="5">
        <v>73.41</v>
      </c>
      <c r="T39" s="5">
        <v>73.959999999999994</v>
      </c>
      <c r="U39" s="5">
        <v>85.09</v>
      </c>
      <c r="V39" s="5">
        <v>96.22</v>
      </c>
      <c r="W39" s="5">
        <v>107.35</v>
      </c>
      <c r="X39" s="5">
        <v>118.48</v>
      </c>
      <c r="Y39" s="5">
        <v>129.61000000000001</v>
      </c>
      <c r="Z39" s="5">
        <v>135.19999999999999</v>
      </c>
      <c r="AA39" s="5">
        <v>140.78</v>
      </c>
      <c r="AB39" s="5">
        <v>146.36000000000001</v>
      </c>
      <c r="AC39" s="5">
        <v>151.94</v>
      </c>
      <c r="AD39" s="5">
        <v>157.52000000000001</v>
      </c>
      <c r="AE39" s="5">
        <v>163.11000000000001</v>
      </c>
      <c r="AF39" s="5">
        <v>168.69</v>
      </c>
      <c r="AG39" s="5">
        <v>174.27</v>
      </c>
      <c r="AH39" s="5">
        <v>179.85</v>
      </c>
      <c r="AI39" s="5">
        <v>185.43</v>
      </c>
      <c r="AJ39" s="5">
        <v>185.94</v>
      </c>
      <c r="AK39" s="5">
        <v>186.45</v>
      </c>
      <c r="AL39" s="5">
        <v>186.96</v>
      </c>
      <c r="AM39" s="5">
        <v>187.47</v>
      </c>
      <c r="AN39" s="5">
        <v>187.98</v>
      </c>
      <c r="AO39" s="5">
        <v>188.49</v>
      </c>
      <c r="AP39" s="5">
        <v>189</v>
      </c>
      <c r="AQ39" s="5">
        <v>189.51</v>
      </c>
      <c r="AR39" s="5">
        <v>190.02</v>
      </c>
      <c r="AS39" s="5">
        <v>190.53</v>
      </c>
      <c r="AT39" s="5">
        <v>191.04</v>
      </c>
      <c r="AU39" s="5">
        <v>191.55</v>
      </c>
      <c r="AV39" s="5">
        <v>192.06</v>
      </c>
      <c r="AW39" s="5">
        <v>192.56</v>
      </c>
      <c r="AX39" s="5">
        <v>193.07</v>
      </c>
      <c r="AY39" s="5">
        <v>242.95</v>
      </c>
      <c r="AZ39" s="5">
        <v>292.82</v>
      </c>
      <c r="BA39" s="5">
        <v>342.69</v>
      </c>
      <c r="BB39" s="5">
        <v>392.56</v>
      </c>
      <c r="BC39" s="5">
        <v>442.44</v>
      </c>
    </row>
    <row r="40" spans="1:55" x14ac:dyDescent="0.25">
      <c r="A40" s="47">
        <v>39</v>
      </c>
      <c r="B40" s="42">
        <v>0.27</v>
      </c>
      <c r="C40" s="42">
        <v>0</v>
      </c>
      <c r="E40" s="3">
        <v>39</v>
      </c>
      <c r="F40" s="5">
        <v>16.55</v>
      </c>
      <c r="G40" s="5">
        <v>16.55</v>
      </c>
      <c r="H40" s="5">
        <v>18.78</v>
      </c>
      <c r="I40" s="5">
        <v>47.76</v>
      </c>
      <c r="J40" s="5">
        <v>50.15</v>
      </c>
      <c r="K40" s="5">
        <v>58.26</v>
      </c>
      <c r="L40" s="5">
        <v>66.36</v>
      </c>
      <c r="M40" s="5">
        <v>74.47</v>
      </c>
      <c r="N40" s="5">
        <v>75.19</v>
      </c>
      <c r="O40" s="5">
        <v>75.92</v>
      </c>
      <c r="P40" s="5">
        <v>76.63</v>
      </c>
      <c r="Q40" s="5">
        <v>77.349999999999994</v>
      </c>
      <c r="R40" s="5">
        <v>78.069999999999993</v>
      </c>
      <c r="S40" s="5">
        <v>78.8</v>
      </c>
      <c r="T40" s="5">
        <v>79.510000000000005</v>
      </c>
      <c r="U40" s="5">
        <v>91.69</v>
      </c>
      <c r="V40" s="5">
        <v>103.87</v>
      </c>
      <c r="W40" s="5">
        <v>116.04</v>
      </c>
      <c r="X40" s="5">
        <v>128.22</v>
      </c>
      <c r="Y40" s="5">
        <v>140.4</v>
      </c>
      <c r="Z40" s="5">
        <v>146.57</v>
      </c>
      <c r="AA40" s="5">
        <v>152.72999999999999</v>
      </c>
      <c r="AB40" s="5">
        <v>158.88999999999999</v>
      </c>
      <c r="AC40" s="5">
        <v>165.06</v>
      </c>
      <c r="AD40" s="5">
        <v>171.22</v>
      </c>
      <c r="AE40" s="5">
        <v>177.39</v>
      </c>
      <c r="AF40" s="5">
        <v>183.55</v>
      </c>
      <c r="AG40" s="5">
        <v>189.72</v>
      </c>
      <c r="AH40" s="5">
        <v>195.88</v>
      </c>
      <c r="AI40" s="5">
        <v>202.05</v>
      </c>
      <c r="AJ40" s="5">
        <v>202.43</v>
      </c>
      <c r="AK40" s="5">
        <v>202.82</v>
      </c>
      <c r="AL40" s="5">
        <v>203.2</v>
      </c>
      <c r="AM40" s="5">
        <v>203.59</v>
      </c>
      <c r="AN40" s="5">
        <v>203.97</v>
      </c>
      <c r="AO40" s="5">
        <v>204.36</v>
      </c>
      <c r="AP40" s="5">
        <v>204.75</v>
      </c>
      <c r="AQ40" s="5">
        <v>205.13</v>
      </c>
      <c r="AR40" s="5">
        <v>205.52</v>
      </c>
      <c r="AS40" s="5">
        <v>205.9</v>
      </c>
      <c r="AT40" s="5">
        <v>206.29</v>
      </c>
      <c r="AU40" s="5">
        <v>206.68</v>
      </c>
      <c r="AV40" s="5">
        <v>207.06</v>
      </c>
      <c r="AW40" s="5">
        <v>207.45</v>
      </c>
      <c r="AX40" s="5">
        <v>207.83</v>
      </c>
      <c r="AY40" s="5">
        <v>280.54000000000002</v>
      </c>
      <c r="AZ40" s="5">
        <v>353.25</v>
      </c>
      <c r="BA40" s="5">
        <v>425.96</v>
      </c>
      <c r="BB40" s="5">
        <v>498.67</v>
      </c>
      <c r="BC40" s="5">
        <v>571.38</v>
      </c>
    </row>
    <row r="41" spans="1:55" x14ac:dyDescent="0.25">
      <c r="A41" s="47">
        <v>40</v>
      </c>
      <c r="B41" s="42">
        <v>0.21</v>
      </c>
      <c r="C41" s="42">
        <v>0.17</v>
      </c>
      <c r="E41" s="3">
        <v>40</v>
      </c>
      <c r="F41" s="5">
        <v>21.98</v>
      </c>
      <c r="G41" s="5">
        <v>21.98</v>
      </c>
      <c r="H41" s="5">
        <v>25.48</v>
      </c>
      <c r="I41" s="5">
        <v>41.47</v>
      </c>
      <c r="J41" s="5">
        <v>44.07</v>
      </c>
      <c r="K41" s="5">
        <v>52.78</v>
      </c>
      <c r="L41" s="5">
        <v>61.48</v>
      </c>
      <c r="M41" s="5">
        <v>70.19</v>
      </c>
      <c r="N41" s="5">
        <v>70.73</v>
      </c>
      <c r="O41" s="5">
        <v>71.27</v>
      </c>
      <c r="P41" s="5">
        <v>71.81</v>
      </c>
      <c r="Q41" s="5">
        <v>72.34</v>
      </c>
      <c r="R41" s="5">
        <v>72.88</v>
      </c>
      <c r="S41" s="5">
        <v>73.41</v>
      </c>
      <c r="T41" s="5">
        <v>73.959999999999994</v>
      </c>
      <c r="U41" s="5">
        <v>85.09</v>
      </c>
      <c r="V41" s="5">
        <v>96.22</v>
      </c>
      <c r="W41" s="5">
        <v>107.35</v>
      </c>
      <c r="X41" s="5">
        <v>118.48</v>
      </c>
      <c r="Y41" s="5">
        <v>129.61000000000001</v>
      </c>
      <c r="Z41" s="5">
        <v>135.19999999999999</v>
      </c>
      <c r="AA41" s="5">
        <v>140.78</v>
      </c>
      <c r="AB41" s="5">
        <v>146.36000000000001</v>
      </c>
      <c r="AC41" s="5">
        <v>151.94</v>
      </c>
      <c r="AD41" s="5">
        <v>157.52000000000001</v>
      </c>
      <c r="AE41" s="5">
        <v>163.11000000000001</v>
      </c>
      <c r="AF41" s="5">
        <v>168.69</v>
      </c>
      <c r="AG41" s="5">
        <v>174.27</v>
      </c>
      <c r="AH41" s="5">
        <v>179.85</v>
      </c>
      <c r="AI41" s="5">
        <v>185.43</v>
      </c>
      <c r="AJ41" s="5">
        <v>185.94</v>
      </c>
      <c r="AK41" s="5">
        <v>186.45</v>
      </c>
      <c r="AL41" s="5">
        <v>186.96</v>
      </c>
      <c r="AM41" s="5">
        <v>187.47</v>
      </c>
      <c r="AN41" s="5">
        <v>187.98</v>
      </c>
      <c r="AO41" s="5">
        <v>188.49</v>
      </c>
      <c r="AP41" s="5">
        <v>189</v>
      </c>
      <c r="AQ41" s="5">
        <v>189.51</v>
      </c>
      <c r="AR41" s="5">
        <v>190.02</v>
      </c>
      <c r="AS41" s="5">
        <v>190.53</v>
      </c>
      <c r="AT41" s="5">
        <v>191.04</v>
      </c>
      <c r="AU41" s="5">
        <v>191.55</v>
      </c>
      <c r="AV41" s="5">
        <v>192.06</v>
      </c>
      <c r="AW41" s="5">
        <v>192.56</v>
      </c>
      <c r="AX41" s="5">
        <v>193.07</v>
      </c>
      <c r="AY41" s="5">
        <v>242.95</v>
      </c>
      <c r="AZ41" s="5">
        <v>292.82</v>
      </c>
      <c r="BA41" s="5">
        <v>342.69</v>
      </c>
      <c r="BB41" s="5">
        <v>392.56</v>
      </c>
      <c r="BC41" s="5">
        <v>442.44</v>
      </c>
    </row>
    <row r="42" spans="1:55" x14ac:dyDescent="0.25">
      <c r="A42" s="47">
        <v>41</v>
      </c>
      <c r="B42" s="42">
        <v>0.21</v>
      </c>
      <c r="C42" s="42">
        <v>0.12</v>
      </c>
      <c r="E42" s="3">
        <v>41</v>
      </c>
      <c r="F42" s="5">
        <v>14.7</v>
      </c>
      <c r="G42" s="5">
        <v>14.7</v>
      </c>
      <c r="H42" s="5">
        <v>16.329999999999998</v>
      </c>
      <c r="I42" s="5">
        <v>41.47</v>
      </c>
      <c r="J42" s="5">
        <v>44.07</v>
      </c>
      <c r="K42" s="5">
        <v>52.78</v>
      </c>
      <c r="L42" s="5">
        <v>61.48</v>
      </c>
      <c r="M42" s="5">
        <v>70.19</v>
      </c>
      <c r="N42" s="5">
        <v>70.73</v>
      </c>
      <c r="O42" s="5">
        <v>71.27</v>
      </c>
      <c r="P42" s="5">
        <v>71.81</v>
      </c>
      <c r="Q42" s="5">
        <v>72.34</v>
      </c>
      <c r="R42" s="5">
        <v>72.88</v>
      </c>
      <c r="S42" s="5">
        <v>73.41</v>
      </c>
      <c r="T42" s="5">
        <v>73.959999999999994</v>
      </c>
      <c r="U42" s="5">
        <v>85.09</v>
      </c>
      <c r="V42" s="5">
        <v>96.22</v>
      </c>
      <c r="W42" s="5">
        <v>107.35</v>
      </c>
      <c r="X42" s="5">
        <v>118.48</v>
      </c>
      <c r="Y42" s="5">
        <v>129.61000000000001</v>
      </c>
      <c r="Z42" s="5">
        <v>135.19999999999999</v>
      </c>
      <c r="AA42" s="5">
        <v>140.78</v>
      </c>
      <c r="AB42" s="5">
        <v>146.36000000000001</v>
      </c>
      <c r="AC42" s="5">
        <v>151.94</v>
      </c>
      <c r="AD42" s="5">
        <v>157.52000000000001</v>
      </c>
      <c r="AE42" s="5">
        <v>163.11000000000001</v>
      </c>
      <c r="AF42" s="5">
        <v>168.69</v>
      </c>
      <c r="AG42" s="5">
        <v>174.27</v>
      </c>
      <c r="AH42" s="5">
        <v>179.85</v>
      </c>
      <c r="AI42" s="5">
        <v>185.43</v>
      </c>
      <c r="AJ42" s="5">
        <v>185.94</v>
      </c>
      <c r="AK42" s="5">
        <v>186.45</v>
      </c>
      <c r="AL42" s="5">
        <v>186.96</v>
      </c>
      <c r="AM42" s="5">
        <v>187.47</v>
      </c>
      <c r="AN42" s="5">
        <v>187.98</v>
      </c>
      <c r="AO42" s="5">
        <v>188.49</v>
      </c>
      <c r="AP42" s="5">
        <v>189</v>
      </c>
      <c r="AQ42" s="5">
        <v>189.51</v>
      </c>
      <c r="AR42" s="5">
        <v>190.02</v>
      </c>
      <c r="AS42" s="5">
        <v>190.53</v>
      </c>
      <c r="AT42" s="5">
        <v>191.04</v>
      </c>
      <c r="AU42" s="5">
        <v>191.55</v>
      </c>
      <c r="AV42" s="5">
        <v>192.06</v>
      </c>
      <c r="AW42" s="5">
        <v>192.56</v>
      </c>
      <c r="AX42" s="5">
        <v>193.07</v>
      </c>
      <c r="AY42" s="5">
        <v>242.95</v>
      </c>
      <c r="AZ42" s="5">
        <v>292.82</v>
      </c>
      <c r="BA42" s="5">
        <v>342.69</v>
      </c>
      <c r="BB42" s="5">
        <v>392.56</v>
      </c>
      <c r="BC42" s="5">
        <v>442.44</v>
      </c>
    </row>
    <row r="43" spans="1:55" x14ac:dyDescent="0.25">
      <c r="A43" s="47">
        <v>42</v>
      </c>
      <c r="B43" s="42">
        <v>0.26</v>
      </c>
      <c r="C43" s="42">
        <v>0</v>
      </c>
      <c r="E43" s="3">
        <v>42</v>
      </c>
      <c r="F43" s="5">
        <v>18.260000000000002</v>
      </c>
      <c r="G43" s="5">
        <v>18.260000000000002</v>
      </c>
      <c r="H43" s="5">
        <v>20.23</v>
      </c>
      <c r="I43" s="5">
        <v>41.47</v>
      </c>
      <c r="J43" s="5">
        <v>44.07</v>
      </c>
      <c r="K43" s="5">
        <v>52.78</v>
      </c>
      <c r="L43" s="5">
        <v>61.48</v>
      </c>
      <c r="M43" s="5">
        <v>70.19</v>
      </c>
      <c r="N43" s="5">
        <v>70.73</v>
      </c>
      <c r="O43" s="5">
        <v>71.27</v>
      </c>
      <c r="P43" s="5">
        <v>71.81</v>
      </c>
      <c r="Q43" s="5">
        <v>72.34</v>
      </c>
      <c r="R43" s="5">
        <v>72.88</v>
      </c>
      <c r="S43" s="5">
        <v>73.41</v>
      </c>
      <c r="T43" s="5">
        <v>73.959999999999994</v>
      </c>
      <c r="U43" s="5">
        <v>85.09</v>
      </c>
      <c r="V43" s="5">
        <v>96.22</v>
      </c>
      <c r="W43" s="5">
        <v>107.35</v>
      </c>
      <c r="X43" s="5">
        <v>118.48</v>
      </c>
      <c r="Y43" s="5">
        <v>129.61000000000001</v>
      </c>
      <c r="Z43" s="5">
        <v>135.19999999999999</v>
      </c>
      <c r="AA43" s="5">
        <v>140.78</v>
      </c>
      <c r="AB43" s="5">
        <v>146.36000000000001</v>
      </c>
      <c r="AC43" s="5">
        <v>151.94</v>
      </c>
      <c r="AD43" s="5">
        <v>157.52000000000001</v>
      </c>
      <c r="AE43" s="5">
        <v>163.11000000000001</v>
      </c>
      <c r="AF43" s="5">
        <v>168.69</v>
      </c>
      <c r="AG43" s="5">
        <v>174.27</v>
      </c>
      <c r="AH43" s="5">
        <v>179.85</v>
      </c>
      <c r="AI43" s="5">
        <v>185.43</v>
      </c>
      <c r="AJ43" s="5">
        <v>185.94</v>
      </c>
      <c r="AK43" s="5">
        <v>186.45</v>
      </c>
      <c r="AL43" s="5">
        <v>186.96</v>
      </c>
      <c r="AM43" s="5">
        <v>187.47</v>
      </c>
      <c r="AN43" s="5">
        <v>187.98</v>
      </c>
      <c r="AO43" s="5">
        <v>188.49</v>
      </c>
      <c r="AP43" s="5">
        <v>189</v>
      </c>
      <c r="AQ43" s="5">
        <v>189.51</v>
      </c>
      <c r="AR43" s="5">
        <v>190.02</v>
      </c>
      <c r="AS43" s="5">
        <v>190.53</v>
      </c>
      <c r="AT43" s="5">
        <v>191.04</v>
      </c>
      <c r="AU43" s="5">
        <v>191.55</v>
      </c>
      <c r="AV43" s="5">
        <v>192.06</v>
      </c>
      <c r="AW43" s="5">
        <v>192.56</v>
      </c>
      <c r="AX43" s="5">
        <v>193.07</v>
      </c>
      <c r="AY43" s="5">
        <v>242.95</v>
      </c>
      <c r="AZ43" s="5">
        <v>292.82</v>
      </c>
      <c r="BA43" s="5">
        <v>342.69</v>
      </c>
      <c r="BB43" s="5">
        <v>392.56</v>
      </c>
      <c r="BC43" s="5">
        <v>442.44</v>
      </c>
    </row>
    <row r="44" spans="1:55" x14ac:dyDescent="0.25">
      <c r="A44" s="47">
        <v>43</v>
      </c>
      <c r="B44" s="42">
        <v>0.28999999999999998</v>
      </c>
      <c r="C44" s="42">
        <v>0.12</v>
      </c>
      <c r="E44" s="3">
        <v>43</v>
      </c>
      <c r="F44" s="5">
        <v>19.170000000000002</v>
      </c>
      <c r="G44" s="5">
        <v>19.170000000000002</v>
      </c>
      <c r="H44" s="5">
        <v>20.85</v>
      </c>
      <c r="I44" s="5">
        <v>41.47</v>
      </c>
      <c r="J44" s="5">
        <v>44.07</v>
      </c>
      <c r="K44" s="5">
        <v>52.78</v>
      </c>
      <c r="L44" s="5">
        <v>61.48</v>
      </c>
      <c r="M44" s="5">
        <v>70.19</v>
      </c>
      <c r="N44" s="5">
        <v>70.73</v>
      </c>
      <c r="O44" s="5">
        <v>71.27</v>
      </c>
      <c r="P44" s="5">
        <v>71.81</v>
      </c>
      <c r="Q44" s="5">
        <v>72.34</v>
      </c>
      <c r="R44" s="5">
        <v>72.88</v>
      </c>
      <c r="S44" s="5">
        <v>73.41</v>
      </c>
      <c r="T44" s="5">
        <v>73.959999999999994</v>
      </c>
      <c r="U44" s="5">
        <v>85.09</v>
      </c>
      <c r="V44" s="5">
        <v>96.22</v>
      </c>
      <c r="W44" s="5">
        <v>107.35</v>
      </c>
      <c r="X44" s="5">
        <v>118.48</v>
      </c>
      <c r="Y44" s="5">
        <v>129.61000000000001</v>
      </c>
      <c r="Z44" s="5">
        <v>135.19999999999999</v>
      </c>
      <c r="AA44" s="5">
        <v>140.78</v>
      </c>
      <c r="AB44" s="5">
        <v>146.36000000000001</v>
      </c>
      <c r="AC44" s="5">
        <v>151.94</v>
      </c>
      <c r="AD44" s="5">
        <v>157.52000000000001</v>
      </c>
      <c r="AE44" s="5">
        <v>163.11000000000001</v>
      </c>
      <c r="AF44" s="5">
        <v>168.69</v>
      </c>
      <c r="AG44" s="5">
        <v>174.27</v>
      </c>
      <c r="AH44" s="5">
        <v>179.85</v>
      </c>
      <c r="AI44" s="5">
        <v>185.43</v>
      </c>
      <c r="AJ44" s="5">
        <v>185.94</v>
      </c>
      <c r="AK44" s="5">
        <v>186.45</v>
      </c>
      <c r="AL44" s="5">
        <v>186.96</v>
      </c>
      <c r="AM44" s="5">
        <v>187.47</v>
      </c>
      <c r="AN44" s="5">
        <v>187.98</v>
      </c>
      <c r="AO44" s="5">
        <v>188.49</v>
      </c>
      <c r="AP44" s="5">
        <v>189</v>
      </c>
      <c r="AQ44" s="5">
        <v>189.51</v>
      </c>
      <c r="AR44" s="5">
        <v>190.02</v>
      </c>
      <c r="AS44" s="5">
        <v>190.53</v>
      </c>
      <c r="AT44" s="5">
        <v>191.04</v>
      </c>
      <c r="AU44" s="5">
        <v>191.55</v>
      </c>
      <c r="AV44" s="5">
        <v>192.06</v>
      </c>
      <c r="AW44" s="5">
        <v>192.56</v>
      </c>
      <c r="AX44" s="5">
        <v>193.07</v>
      </c>
      <c r="AY44" s="5">
        <v>242.95</v>
      </c>
      <c r="AZ44" s="5">
        <v>292.82</v>
      </c>
      <c r="BA44" s="5">
        <v>342.69</v>
      </c>
      <c r="BB44" s="5">
        <v>392.56</v>
      </c>
      <c r="BC44" s="5">
        <v>442.44</v>
      </c>
    </row>
    <row r="45" spans="1:55" x14ac:dyDescent="0.25">
      <c r="A45" s="47">
        <v>44</v>
      </c>
      <c r="B45" s="42">
        <v>0.27</v>
      </c>
      <c r="C45" s="42">
        <v>0</v>
      </c>
      <c r="E45" s="3">
        <v>44</v>
      </c>
      <c r="F45" s="5">
        <v>17.27</v>
      </c>
      <c r="G45" s="5">
        <v>17.27</v>
      </c>
      <c r="H45" s="5">
        <v>18.84</v>
      </c>
      <c r="I45" s="5">
        <v>34.29</v>
      </c>
      <c r="J45" s="5">
        <v>40.19</v>
      </c>
      <c r="K45" s="5">
        <v>42.48</v>
      </c>
      <c r="L45" s="5">
        <v>44.77</v>
      </c>
      <c r="M45" s="5">
        <v>47.06</v>
      </c>
      <c r="N45" s="5">
        <v>50.16</v>
      </c>
      <c r="O45" s="5">
        <v>53.27</v>
      </c>
      <c r="P45" s="5">
        <v>56.37</v>
      </c>
      <c r="Q45" s="5">
        <v>59.47</v>
      </c>
      <c r="R45" s="5">
        <v>62.58</v>
      </c>
      <c r="S45" s="5">
        <v>65.680000000000007</v>
      </c>
      <c r="T45" s="5">
        <v>68.78</v>
      </c>
      <c r="U45" s="5">
        <v>76.56</v>
      </c>
      <c r="V45" s="5">
        <v>84.33</v>
      </c>
      <c r="W45" s="5">
        <v>92.1</v>
      </c>
      <c r="X45" s="5">
        <v>99.88</v>
      </c>
      <c r="Y45" s="5">
        <v>107.65</v>
      </c>
      <c r="Z45" s="5">
        <v>112.34</v>
      </c>
      <c r="AA45" s="5">
        <v>117.03</v>
      </c>
      <c r="AB45" s="5">
        <v>121.72</v>
      </c>
      <c r="AC45" s="5">
        <v>126.41</v>
      </c>
      <c r="AD45" s="5">
        <v>131.1</v>
      </c>
      <c r="AE45" s="5">
        <v>135.79</v>
      </c>
      <c r="AF45" s="5">
        <v>140.47999999999999</v>
      </c>
      <c r="AG45" s="5">
        <v>145.16999999999999</v>
      </c>
      <c r="AH45" s="5">
        <v>149.86000000000001</v>
      </c>
      <c r="AI45" s="5">
        <v>154.55000000000001</v>
      </c>
      <c r="AJ45" s="5">
        <v>156.88999999999999</v>
      </c>
      <c r="AK45" s="5">
        <v>159.22</v>
      </c>
      <c r="AL45" s="5">
        <v>161.55000000000001</v>
      </c>
      <c r="AM45" s="5">
        <v>163.89</v>
      </c>
      <c r="AN45" s="5">
        <v>166.22</v>
      </c>
      <c r="AO45" s="5">
        <v>168.56</v>
      </c>
      <c r="AP45" s="5">
        <v>170.89</v>
      </c>
      <c r="AQ45" s="5">
        <v>173.23</v>
      </c>
      <c r="AR45" s="5">
        <v>175.56</v>
      </c>
      <c r="AS45" s="5">
        <v>177.89</v>
      </c>
      <c r="AT45" s="5">
        <v>180.23</v>
      </c>
      <c r="AU45" s="5">
        <v>182.56</v>
      </c>
      <c r="AV45" s="5">
        <v>184.9</v>
      </c>
      <c r="AW45" s="5">
        <v>187.23</v>
      </c>
      <c r="AX45" s="5">
        <v>189.57</v>
      </c>
      <c r="AY45" s="5">
        <v>223.21</v>
      </c>
      <c r="AZ45" s="5">
        <v>256.86</v>
      </c>
      <c r="BA45" s="5">
        <v>290.51</v>
      </c>
      <c r="BB45" s="5">
        <v>324.16000000000003</v>
      </c>
      <c r="BC45" s="5">
        <v>357.81</v>
      </c>
    </row>
    <row r="46" spans="1:55" x14ac:dyDescent="0.25">
      <c r="A46" s="47">
        <v>45</v>
      </c>
      <c r="B46" s="42">
        <v>0.21</v>
      </c>
      <c r="C46" s="42">
        <v>0.12</v>
      </c>
      <c r="E46" s="3">
        <v>45</v>
      </c>
      <c r="F46" s="5">
        <v>16.27</v>
      </c>
      <c r="G46" s="5">
        <v>16.27</v>
      </c>
      <c r="H46" s="5">
        <v>17.579999999999998</v>
      </c>
      <c r="I46" s="5">
        <v>41.47</v>
      </c>
      <c r="J46" s="5">
        <v>44.07</v>
      </c>
      <c r="K46" s="5">
        <v>52.78</v>
      </c>
      <c r="L46" s="5">
        <v>61.48</v>
      </c>
      <c r="M46" s="5">
        <v>70.19</v>
      </c>
      <c r="N46" s="5">
        <v>70.73</v>
      </c>
      <c r="O46" s="5">
        <v>71.27</v>
      </c>
      <c r="P46" s="5">
        <v>71.81</v>
      </c>
      <c r="Q46" s="5">
        <v>72.34</v>
      </c>
      <c r="R46" s="5">
        <v>72.88</v>
      </c>
      <c r="S46" s="5">
        <v>73.41</v>
      </c>
      <c r="T46" s="5">
        <v>73.959999999999994</v>
      </c>
      <c r="U46" s="5">
        <v>85.09</v>
      </c>
      <c r="V46" s="5">
        <v>96.22</v>
      </c>
      <c r="W46" s="5">
        <v>107.35</v>
      </c>
      <c r="X46" s="5">
        <v>118.48</v>
      </c>
      <c r="Y46" s="5">
        <v>129.61000000000001</v>
      </c>
      <c r="Z46" s="5">
        <v>135.19999999999999</v>
      </c>
      <c r="AA46" s="5">
        <v>140.78</v>
      </c>
      <c r="AB46" s="5">
        <v>146.36000000000001</v>
      </c>
      <c r="AC46" s="5">
        <v>151.94</v>
      </c>
      <c r="AD46" s="5">
        <v>157.52000000000001</v>
      </c>
      <c r="AE46" s="5">
        <v>163.11000000000001</v>
      </c>
      <c r="AF46" s="5">
        <v>168.69</v>
      </c>
      <c r="AG46" s="5">
        <v>174.27</v>
      </c>
      <c r="AH46" s="5">
        <v>179.85</v>
      </c>
      <c r="AI46" s="5">
        <v>185.43</v>
      </c>
      <c r="AJ46" s="5">
        <v>185.94</v>
      </c>
      <c r="AK46" s="5">
        <v>186.45</v>
      </c>
      <c r="AL46" s="5">
        <v>186.96</v>
      </c>
      <c r="AM46" s="5">
        <v>187.47</v>
      </c>
      <c r="AN46" s="5">
        <v>187.98</v>
      </c>
      <c r="AO46" s="5">
        <v>188.49</v>
      </c>
      <c r="AP46" s="5">
        <v>189</v>
      </c>
      <c r="AQ46" s="5">
        <v>189.51</v>
      </c>
      <c r="AR46" s="5">
        <v>190.02</v>
      </c>
      <c r="AS46" s="5">
        <v>190.53</v>
      </c>
      <c r="AT46" s="5">
        <v>191.04</v>
      </c>
      <c r="AU46" s="5">
        <v>191.55</v>
      </c>
      <c r="AV46" s="5">
        <v>192.06</v>
      </c>
      <c r="AW46" s="5">
        <v>192.56</v>
      </c>
      <c r="AX46" s="5">
        <v>193.07</v>
      </c>
      <c r="AY46" s="5">
        <v>242.95</v>
      </c>
      <c r="AZ46" s="5">
        <v>292.82</v>
      </c>
      <c r="BA46" s="5">
        <v>342.69</v>
      </c>
      <c r="BB46" s="5">
        <v>392.56</v>
      </c>
      <c r="BC46" s="5">
        <v>442.44</v>
      </c>
    </row>
    <row r="47" spans="1:55" x14ac:dyDescent="0.25">
      <c r="A47" s="47">
        <v>46</v>
      </c>
      <c r="B47" s="42">
        <v>0.22</v>
      </c>
      <c r="C47" s="42">
        <v>0.26</v>
      </c>
      <c r="E47" s="3">
        <v>46</v>
      </c>
      <c r="F47" s="5">
        <v>19.71</v>
      </c>
      <c r="G47" s="5">
        <v>19.71</v>
      </c>
      <c r="H47" s="5">
        <v>22.76</v>
      </c>
      <c r="I47" s="5">
        <v>47.76</v>
      </c>
      <c r="J47" s="5">
        <v>50.15</v>
      </c>
      <c r="K47" s="5">
        <v>58.26</v>
      </c>
      <c r="L47" s="5">
        <v>66.36</v>
      </c>
      <c r="M47" s="5">
        <v>74.47</v>
      </c>
      <c r="N47" s="5">
        <v>75.19</v>
      </c>
      <c r="O47" s="5">
        <v>75.92</v>
      </c>
      <c r="P47" s="5">
        <v>76.63</v>
      </c>
      <c r="Q47" s="5">
        <v>77.349999999999994</v>
      </c>
      <c r="R47" s="5">
        <v>78.069999999999993</v>
      </c>
      <c r="S47" s="5">
        <v>78.8</v>
      </c>
      <c r="T47" s="5">
        <v>79.510000000000005</v>
      </c>
      <c r="U47" s="5">
        <v>91.69</v>
      </c>
      <c r="V47" s="5">
        <v>103.87</v>
      </c>
      <c r="W47" s="5">
        <v>116.04</v>
      </c>
      <c r="X47" s="5">
        <v>128.22</v>
      </c>
      <c r="Y47" s="5">
        <v>140.4</v>
      </c>
      <c r="Z47" s="5">
        <v>146.57</v>
      </c>
      <c r="AA47" s="5">
        <v>152.72999999999999</v>
      </c>
      <c r="AB47" s="5">
        <v>158.88999999999999</v>
      </c>
      <c r="AC47" s="5">
        <v>165.06</v>
      </c>
      <c r="AD47" s="5">
        <v>171.22</v>
      </c>
      <c r="AE47" s="5">
        <v>177.39</v>
      </c>
      <c r="AF47" s="5">
        <v>183.55</v>
      </c>
      <c r="AG47" s="5">
        <v>189.72</v>
      </c>
      <c r="AH47" s="5">
        <v>195.88</v>
      </c>
      <c r="AI47" s="5">
        <v>202.05</v>
      </c>
      <c r="AJ47" s="5">
        <v>202.43</v>
      </c>
      <c r="AK47" s="5">
        <v>202.82</v>
      </c>
      <c r="AL47" s="5">
        <v>203.2</v>
      </c>
      <c r="AM47" s="5">
        <v>203.59</v>
      </c>
      <c r="AN47" s="5">
        <v>203.97</v>
      </c>
      <c r="AO47" s="5">
        <v>204.36</v>
      </c>
      <c r="AP47" s="5">
        <v>204.75</v>
      </c>
      <c r="AQ47" s="5">
        <v>205.13</v>
      </c>
      <c r="AR47" s="5">
        <v>205.52</v>
      </c>
      <c r="AS47" s="5">
        <v>205.9</v>
      </c>
      <c r="AT47" s="5">
        <v>206.29</v>
      </c>
      <c r="AU47" s="5">
        <v>206.68</v>
      </c>
      <c r="AV47" s="5">
        <v>207.06</v>
      </c>
      <c r="AW47" s="5">
        <v>207.45</v>
      </c>
      <c r="AX47" s="5">
        <v>207.83</v>
      </c>
      <c r="AY47" s="5">
        <v>280.54000000000002</v>
      </c>
      <c r="AZ47" s="5">
        <v>353.25</v>
      </c>
      <c r="BA47" s="5">
        <v>425.96</v>
      </c>
      <c r="BB47" s="5">
        <v>498.67</v>
      </c>
      <c r="BC47" s="5">
        <v>571.38</v>
      </c>
    </row>
    <row r="48" spans="1:55" x14ac:dyDescent="0.25">
      <c r="A48" s="47">
        <v>47</v>
      </c>
      <c r="B48" s="42">
        <v>0.21</v>
      </c>
      <c r="C48" s="42">
        <v>0.17</v>
      </c>
      <c r="E48" s="3">
        <v>47</v>
      </c>
      <c r="F48" s="5">
        <v>21.42</v>
      </c>
      <c r="G48" s="5">
        <v>21.42</v>
      </c>
      <c r="H48" s="5">
        <v>23.16</v>
      </c>
      <c r="I48" s="5">
        <v>41.47</v>
      </c>
      <c r="J48" s="5">
        <v>44.07</v>
      </c>
      <c r="K48" s="5">
        <v>52.78</v>
      </c>
      <c r="L48" s="5">
        <v>61.48</v>
      </c>
      <c r="M48" s="5">
        <v>70.19</v>
      </c>
      <c r="N48" s="5">
        <v>70.73</v>
      </c>
      <c r="O48" s="5">
        <v>71.27</v>
      </c>
      <c r="P48" s="5">
        <v>71.81</v>
      </c>
      <c r="Q48" s="5">
        <v>72.34</v>
      </c>
      <c r="R48" s="5">
        <v>72.88</v>
      </c>
      <c r="S48" s="5">
        <v>73.41</v>
      </c>
      <c r="T48" s="5">
        <v>73.959999999999994</v>
      </c>
      <c r="U48" s="5">
        <v>85.09</v>
      </c>
      <c r="V48" s="5">
        <v>96.22</v>
      </c>
      <c r="W48" s="5">
        <v>107.35</v>
      </c>
      <c r="X48" s="5">
        <v>118.48</v>
      </c>
      <c r="Y48" s="5">
        <v>129.61000000000001</v>
      </c>
      <c r="Z48" s="5">
        <v>135.19999999999999</v>
      </c>
      <c r="AA48" s="5">
        <v>140.78</v>
      </c>
      <c r="AB48" s="5">
        <v>146.36000000000001</v>
      </c>
      <c r="AC48" s="5">
        <v>151.94</v>
      </c>
      <c r="AD48" s="5">
        <v>157.52000000000001</v>
      </c>
      <c r="AE48" s="5">
        <v>163.11000000000001</v>
      </c>
      <c r="AF48" s="5">
        <v>168.69</v>
      </c>
      <c r="AG48" s="5">
        <v>174.27</v>
      </c>
      <c r="AH48" s="5">
        <v>179.85</v>
      </c>
      <c r="AI48" s="5">
        <v>185.43</v>
      </c>
      <c r="AJ48" s="5">
        <v>185.94</v>
      </c>
      <c r="AK48" s="5">
        <v>186.45</v>
      </c>
      <c r="AL48" s="5">
        <v>186.96</v>
      </c>
      <c r="AM48" s="5">
        <v>187.47</v>
      </c>
      <c r="AN48" s="5">
        <v>187.98</v>
      </c>
      <c r="AO48" s="5">
        <v>188.49</v>
      </c>
      <c r="AP48" s="5">
        <v>189</v>
      </c>
      <c r="AQ48" s="5">
        <v>189.51</v>
      </c>
      <c r="AR48" s="5">
        <v>190.02</v>
      </c>
      <c r="AS48" s="5">
        <v>190.53</v>
      </c>
      <c r="AT48" s="5">
        <v>191.04</v>
      </c>
      <c r="AU48" s="5">
        <v>191.55</v>
      </c>
      <c r="AV48" s="5">
        <v>192.06</v>
      </c>
      <c r="AW48" s="5">
        <v>192.56</v>
      </c>
      <c r="AX48" s="5">
        <v>193.07</v>
      </c>
      <c r="AY48" s="5">
        <v>242.95</v>
      </c>
      <c r="AZ48" s="5">
        <v>292.82</v>
      </c>
      <c r="BA48" s="5">
        <v>342.69</v>
      </c>
      <c r="BB48" s="5">
        <v>392.56</v>
      </c>
      <c r="BC48" s="5">
        <v>442.44</v>
      </c>
    </row>
    <row r="49" spans="1:55" x14ac:dyDescent="0.25">
      <c r="A49" s="47">
        <v>48</v>
      </c>
      <c r="B49" s="42">
        <v>0.39</v>
      </c>
      <c r="C49" s="42">
        <v>0.28000000000000003</v>
      </c>
      <c r="E49" s="3">
        <v>48</v>
      </c>
      <c r="F49" s="5">
        <v>18.61</v>
      </c>
      <c r="G49" s="5">
        <v>18.61</v>
      </c>
      <c r="H49" s="5">
        <v>21.39</v>
      </c>
      <c r="I49" s="5">
        <v>47.76</v>
      </c>
      <c r="J49" s="5">
        <v>50.15</v>
      </c>
      <c r="K49" s="5">
        <v>58.26</v>
      </c>
      <c r="L49" s="5">
        <v>66.36</v>
      </c>
      <c r="M49" s="5">
        <v>74.47</v>
      </c>
      <c r="N49" s="5">
        <v>75.19</v>
      </c>
      <c r="O49" s="5">
        <v>75.92</v>
      </c>
      <c r="P49" s="5">
        <v>76.63</v>
      </c>
      <c r="Q49" s="5">
        <v>77.349999999999994</v>
      </c>
      <c r="R49" s="5">
        <v>78.069999999999993</v>
      </c>
      <c r="S49" s="5">
        <v>78.8</v>
      </c>
      <c r="T49" s="5">
        <v>79.510000000000005</v>
      </c>
      <c r="U49" s="5">
        <v>91.69</v>
      </c>
      <c r="V49" s="5">
        <v>103.87</v>
      </c>
      <c r="W49" s="5">
        <v>116.04</v>
      </c>
      <c r="X49" s="5">
        <v>128.22</v>
      </c>
      <c r="Y49" s="5">
        <v>140.4</v>
      </c>
      <c r="Z49" s="5">
        <v>146.57</v>
      </c>
      <c r="AA49" s="5">
        <v>152.72999999999999</v>
      </c>
      <c r="AB49" s="5">
        <v>158.88999999999999</v>
      </c>
      <c r="AC49" s="5">
        <v>165.06</v>
      </c>
      <c r="AD49" s="5">
        <v>171.22</v>
      </c>
      <c r="AE49" s="5">
        <v>177.39</v>
      </c>
      <c r="AF49" s="5">
        <v>183.55</v>
      </c>
      <c r="AG49" s="5">
        <v>189.72</v>
      </c>
      <c r="AH49" s="5">
        <v>195.88</v>
      </c>
      <c r="AI49" s="5">
        <v>202.05</v>
      </c>
      <c r="AJ49" s="5">
        <v>202.43</v>
      </c>
      <c r="AK49" s="5">
        <v>202.82</v>
      </c>
      <c r="AL49" s="5">
        <v>203.2</v>
      </c>
      <c r="AM49" s="5">
        <v>203.59</v>
      </c>
      <c r="AN49" s="5">
        <v>203.97</v>
      </c>
      <c r="AO49" s="5">
        <v>204.36</v>
      </c>
      <c r="AP49" s="5">
        <v>204.75</v>
      </c>
      <c r="AQ49" s="5">
        <v>205.13</v>
      </c>
      <c r="AR49" s="5">
        <v>205.52</v>
      </c>
      <c r="AS49" s="5">
        <v>205.9</v>
      </c>
      <c r="AT49" s="5">
        <v>206.29</v>
      </c>
      <c r="AU49" s="5">
        <v>206.68</v>
      </c>
      <c r="AV49" s="5">
        <v>207.06</v>
      </c>
      <c r="AW49" s="5">
        <v>207.45</v>
      </c>
      <c r="AX49" s="5">
        <v>207.83</v>
      </c>
      <c r="AY49" s="5">
        <v>280.54000000000002</v>
      </c>
      <c r="AZ49" s="5">
        <v>353.25</v>
      </c>
      <c r="BA49" s="5">
        <v>425.96</v>
      </c>
      <c r="BB49" s="5">
        <v>498.67</v>
      </c>
      <c r="BC49" s="5">
        <v>571.38</v>
      </c>
    </row>
    <row r="50" spans="1:55" x14ac:dyDescent="0.25">
      <c r="A50" s="47">
        <v>49</v>
      </c>
      <c r="B50" s="42">
        <v>0.27</v>
      </c>
      <c r="C50" s="42">
        <v>0</v>
      </c>
      <c r="E50" s="3">
        <v>49</v>
      </c>
      <c r="F50" s="5">
        <v>16.22</v>
      </c>
      <c r="G50" s="5">
        <v>16.22</v>
      </c>
      <c r="H50" s="5">
        <v>17.88</v>
      </c>
      <c r="I50" s="5">
        <v>41.47</v>
      </c>
      <c r="J50" s="5">
        <v>44.07</v>
      </c>
      <c r="K50" s="5">
        <v>52.78</v>
      </c>
      <c r="L50" s="5">
        <v>61.48</v>
      </c>
      <c r="M50" s="5">
        <v>70.19</v>
      </c>
      <c r="N50" s="5">
        <v>70.73</v>
      </c>
      <c r="O50" s="5">
        <v>71.27</v>
      </c>
      <c r="P50" s="5">
        <v>71.81</v>
      </c>
      <c r="Q50" s="5">
        <v>72.34</v>
      </c>
      <c r="R50" s="5">
        <v>72.88</v>
      </c>
      <c r="S50" s="5">
        <v>73.41</v>
      </c>
      <c r="T50" s="5">
        <v>73.959999999999994</v>
      </c>
      <c r="U50" s="5">
        <v>85.09</v>
      </c>
      <c r="V50" s="5">
        <v>96.22</v>
      </c>
      <c r="W50" s="5">
        <v>107.35</v>
      </c>
      <c r="X50" s="5">
        <v>118.48</v>
      </c>
      <c r="Y50" s="5">
        <v>129.61000000000001</v>
      </c>
      <c r="Z50" s="5">
        <v>135.19999999999999</v>
      </c>
      <c r="AA50" s="5">
        <v>140.78</v>
      </c>
      <c r="AB50" s="5">
        <v>146.36000000000001</v>
      </c>
      <c r="AC50" s="5">
        <v>151.94</v>
      </c>
      <c r="AD50" s="5">
        <v>157.52000000000001</v>
      </c>
      <c r="AE50" s="5">
        <v>163.11000000000001</v>
      </c>
      <c r="AF50" s="5">
        <v>168.69</v>
      </c>
      <c r="AG50" s="5">
        <v>174.27</v>
      </c>
      <c r="AH50" s="5">
        <v>179.85</v>
      </c>
      <c r="AI50" s="5">
        <v>185.43</v>
      </c>
      <c r="AJ50" s="5">
        <v>185.94</v>
      </c>
      <c r="AK50" s="5">
        <v>186.45</v>
      </c>
      <c r="AL50" s="5">
        <v>186.96</v>
      </c>
      <c r="AM50" s="5">
        <v>187.47</v>
      </c>
      <c r="AN50" s="5">
        <v>187.98</v>
      </c>
      <c r="AO50" s="5">
        <v>188.49</v>
      </c>
      <c r="AP50" s="5">
        <v>189</v>
      </c>
      <c r="AQ50" s="5">
        <v>189.51</v>
      </c>
      <c r="AR50" s="5">
        <v>190.02</v>
      </c>
      <c r="AS50" s="5">
        <v>190.53</v>
      </c>
      <c r="AT50" s="5">
        <v>191.04</v>
      </c>
      <c r="AU50" s="5">
        <v>191.55</v>
      </c>
      <c r="AV50" s="5">
        <v>192.06</v>
      </c>
      <c r="AW50" s="5">
        <v>192.56</v>
      </c>
      <c r="AX50" s="5">
        <v>193.07</v>
      </c>
      <c r="AY50" s="5">
        <v>242.95</v>
      </c>
      <c r="AZ50" s="5">
        <v>292.82</v>
      </c>
      <c r="BA50" s="5">
        <v>342.69</v>
      </c>
      <c r="BB50" s="5">
        <v>392.56</v>
      </c>
      <c r="BC50" s="5">
        <v>442.44</v>
      </c>
    </row>
    <row r="51" spans="1:55" x14ac:dyDescent="0.25">
      <c r="A51" s="47">
        <v>50</v>
      </c>
      <c r="B51" s="42">
        <v>0.17</v>
      </c>
      <c r="C51" s="42">
        <v>0.17</v>
      </c>
      <c r="E51" s="3">
        <v>50</v>
      </c>
      <c r="F51" s="5">
        <v>15.08</v>
      </c>
      <c r="G51" s="5">
        <v>15.08</v>
      </c>
      <c r="H51" s="5">
        <v>17.04</v>
      </c>
      <c r="I51" s="5">
        <v>47.76</v>
      </c>
      <c r="J51" s="5">
        <v>50.15</v>
      </c>
      <c r="K51" s="5">
        <v>58.26</v>
      </c>
      <c r="L51" s="5">
        <v>66.36</v>
      </c>
      <c r="M51" s="5">
        <v>74.47</v>
      </c>
      <c r="N51" s="5">
        <v>75.19</v>
      </c>
      <c r="O51" s="5">
        <v>75.92</v>
      </c>
      <c r="P51" s="5">
        <v>76.63</v>
      </c>
      <c r="Q51" s="5">
        <v>77.349999999999994</v>
      </c>
      <c r="R51" s="5">
        <v>78.069999999999993</v>
      </c>
      <c r="S51" s="5">
        <v>78.8</v>
      </c>
      <c r="T51" s="5">
        <v>79.510000000000005</v>
      </c>
      <c r="U51" s="5">
        <v>91.69</v>
      </c>
      <c r="V51" s="5">
        <v>103.87</v>
      </c>
      <c r="W51" s="5">
        <v>116.04</v>
      </c>
      <c r="X51" s="5">
        <v>128.22</v>
      </c>
      <c r="Y51" s="5">
        <v>140.4</v>
      </c>
      <c r="Z51" s="5">
        <v>146.57</v>
      </c>
      <c r="AA51" s="5">
        <v>152.72999999999999</v>
      </c>
      <c r="AB51" s="5">
        <v>158.88999999999999</v>
      </c>
      <c r="AC51" s="5">
        <v>165.06</v>
      </c>
      <c r="AD51" s="5">
        <v>171.22</v>
      </c>
      <c r="AE51" s="5">
        <v>177.39</v>
      </c>
      <c r="AF51" s="5">
        <v>183.55</v>
      </c>
      <c r="AG51" s="5">
        <v>189.72</v>
      </c>
      <c r="AH51" s="5">
        <v>195.88</v>
      </c>
      <c r="AI51" s="5">
        <v>202.05</v>
      </c>
      <c r="AJ51" s="5">
        <v>202.43</v>
      </c>
      <c r="AK51" s="5">
        <v>202.82</v>
      </c>
      <c r="AL51" s="5">
        <v>203.2</v>
      </c>
      <c r="AM51" s="5">
        <v>203.59</v>
      </c>
      <c r="AN51" s="5">
        <v>203.97</v>
      </c>
      <c r="AO51" s="5">
        <v>204.36</v>
      </c>
      <c r="AP51" s="5">
        <v>204.75</v>
      </c>
      <c r="AQ51" s="5">
        <v>205.13</v>
      </c>
      <c r="AR51" s="5">
        <v>205.52</v>
      </c>
      <c r="AS51" s="5">
        <v>205.9</v>
      </c>
      <c r="AT51" s="5">
        <v>206.29</v>
      </c>
      <c r="AU51" s="5">
        <v>206.68</v>
      </c>
      <c r="AV51" s="5">
        <v>207.06</v>
      </c>
      <c r="AW51" s="5">
        <v>207.45</v>
      </c>
      <c r="AX51" s="5">
        <v>207.83</v>
      </c>
      <c r="AY51" s="5">
        <v>280.54000000000002</v>
      </c>
      <c r="AZ51" s="5">
        <v>353.25</v>
      </c>
      <c r="BA51" s="5">
        <v>425.96</v>
      </c>
      <c r="BB51" s="5">
        <v>498.67</v>
      </c>
      <c r="BC51" s="5">
        <v>571.38</v>
      </c>
    </row>
    <row r="52" spans="1:55" x14ac:dyDescent="0.25">
      <c r="A52" s="47">
        <v>51</v>
      </c>
      <c r="B52" s="42">
        <v>0.25</v>
      </c>
      <c r="C52" s="42">
        <v>0.25</v>
      </c>
      <c r="E52" s="3">
        <v>51</v>
      </c>
      <c r="F52" s="5">
        <v>15.8</v>
      </c>
      <c r="G52" s="5">
        <v>15.8</v>
      </c>
      <c r="H52" s="5">
        <v>17</v>
      </c>
      <c r="I52" s="5">
        <v>47.76</v>
      </c>
      <c r="J52" s="5">
        <v>50.15</v>
      </c>
      <c r="K52" s="5">
        <v>58.26</v>
      </c>
      <c r="L52" s="5">
        <v>66.36</v>
      </c>
      <c r="M52" s="5">
        <v>74.47</v>
      </c>
      <c r="N52" s="5">
        <v>75.19</v>
      </c>
      <c r="O52" s="5">
        <v>75.92</v>
      </c>
      <c r="P52" s="5">
        <v>76.63</v>
      </c>
      <c r="Q52" s="5">
        <v>77.349999999999994</v>
      </c>
      <c r="R52" s="5">
        <v>78.069999999999993</v>
      </c>
      <c r="S52" s="5">
        <v>78.8</v>
      </c>
      <c r="T52" s="5">
        <v>79.510000000000005</v>
      </c>
      <c r="U52" s="5">
        <v>91.69</v>
      </c>
      <c r="V52" s="5">
        <v>103.87</v>
      </c>
      <c r="W52" s="5">
        <v>116.04</v>
      </c>
      <c r="X52" s="5">
        <v>128.22</v>
      </c>
      <c r="Y52" s="5">
        <v>140.4</v>
      </c>
      <c r="Z52" s="5">
        <v>146.57</v>
      </c>
      <c r="AA52" s="5">
        <v>152.72999999999999</v>
      </c>
      <c r="AB52" s="5">
        <v>158.88999999999999</v>
      </c>
      <c r="AC52" s="5">
        <v>165.06</v>
      </c>
      <c r="AD52" s="5">
        <v>171.22</v>
      </c>
      <c r="AE52" s="5">
        <v>177.39</v>
      </c>
      <c r="AF52" s="5">
        <v>183.55</v>
      </c>
      <c r="AG52" s="5">
        <v>189.72</v>
      </c>
      <c r="AH52" s="5">
        <v>195.88</v>
      </c>
      <c r="AI52" s="5">
        <v>202.05</v>
      </c>
      <c r="AJ52" s="5">
        <v>202.43</v>
      </c>
      <c r="AK52" s="5">
        <v>202.82</v>
      </c>
      <c r="AL52" s="5">
        <v>203.2</v>
      </c>
      <c r="AM52" s="5">
        <v>203.59</v>
      </c>
      <c r="AN52" s="5">
        <v>203.97</v>
      </c>
      <c r="AO52" s="5">
        <v>204.36</v>
      </c>
      <c r="AP52" s="5">
        <v>204.75</v>
      </c>
      <c r="AQ52" s="5">
        <v>205.13</v>
      </c>
      <c r="AR52" s="5">
        <v>205.52</v>
      </c>
      <c r="AS52" s="5">
        <v>205.9</v>
      </c>
      <c r="AT52" s="5">
        <v>206.29</v>
      </c>
      <c r="AU52" s="5">
        <v>206.68</v>
      </c>
      <c r="AV52" s="5">
        <v>207.06</v>
      </c>
      <c r="AW52" s="5">
        <v>207.45</v>
      </c>
      <c r="AX52" s="5">
        <v>207.83</v>
      </c>
      <c r="AY52" s="5">
        <v>280.54000000000002</v>
      </c>
      <c r="AZ52" s="5">
        <v>353.25</v>
      </c>
      <c r="BA52" s="5">
        <v>425.96</v>
      </c>
      <c r="BB52" s="5">
        <v>498.67</v>
      </c>
      <c r="BC52" s="5">
        <v>571.38</v>
      </c>
    </row>
    <row r="53" spans="1:55" x14ac:dyDescent="0.25">
      <c r="A53" s="47">
        <v>52</v>
      </c>
      <c r="B53" s="42">
        <v>0.18</v>
      </c>
      <c r="C53" s="42">
        <v>0.12</v>
      </c>
      <c r="E53" s="3">
        <v>52</v>
      </c>
      <c r="F53" s="5">
        <v>15.77</v>
      </c>
      <c r="G53" s="5">
        <v>15.77</v>
      </c>
      <c r="H53" s="5">
        <v>16.96</v>
      </c>
      <c r="I53" s="5">
        <v>47.76</v>
      </c>
      <c r="J53" s="5">
        <v>50.15</v>
      </c>
      <c r="K53" s="5">
        <v>58.26</v>
      </c>
      <c r="L53" s="5">
        <v>66.36</v>
      </c>
      <c r="M53" s="5">
        <v>74.47</v>
      </c>
      <c r="N53" s="5">
        <v>75.19</v>
      </c>
      <c r="O53" s="5">
        <v>75.92</v>
      </c>
      <c r="P53" s="5">
        <v>76.63</v>
      </c>
      <c r="Q53" s="5">
        <v>77.349999999999994</v>
      </c>
      <c r="R53" s="5">
        <v>78.069999999999993</v>
      </c>
      <c r="S53" s="5">
        <v>78.8</v>
      </c>
      <c r="T53" s="5">
        <v>79.510000000000005</v>
      </c>
      <c r="U53" s="5">
        <v>91.69</v>
      </c>
      <c r="V53" s="5">
        <v>103.87</v>
      </c>
      <c r="W53" s="5">
        <v>116.04</v>
      </c>
      <c r="X53" s="5">
        <v>128.22</v>
      </c>
      <c r="Y53" s="5">
        <v>140.4</v>
      </c>
      <c r="Z53" s="5">
        <v>146.57</v>
      </c>
      <c r="AA53" s="5">
        <v>152.72999999999999</v>
      </c>
      <c r="AB53" s="5">
        <v>158.88999999999999</v>
      </c>
      <c r="AC53" s="5">
        <v>165.06</v>
      </c>
      <c r="AD53" s="5">
        <v>171.22</v>
      </c>
      <c r="AE53" s="5">
        <v>177.39</v>
      </c>
      <c r="AF53" s="5">
        <v>183.55</v>
      </c>
      <c r="AG53" s="5">
        <v>189.72</v>
      </c>
      <c r="AH53" s="5">
        <v>195.88</v>
      </c>
      <c r="AI53" s="5">
        <v>202.05</v>
      </c>
      <c r="AJ53" s="5">
        <v>202.43</v>
      </c>
      <c r="AK53" s="5">
        <v>202.82</v>
      </c>
      <c r="AL53" s="5">
        <v>203.2</v>
      </c>
      <c r="AM53" s="5">
        <v>203.59</v>
      </c>
      <c r="AN53" s="5">
        <v>203.97</v>
      </c>
      <c r="AO53" s="5">
        <v>204.36</v>
      </c>
      <c r="AP53" s="5">
        <v>204.75</v>
      </c>
      <c r="AQ53" s="5">
        <v>205.13</v>
      </c>
      <c r="AR53" s="5">
        <v>205.52</v>
      </c>
      <c r="AS53" s="5">
        <v>205.9</v>
      </c>
      <c r="AT53" s="5">
        <v>206.29</v>
      </c>
      <c r="AU53" s="5">
        <v>206.68</v>
      </c>
      <c r="AV53" s="5">
        <v>207.06</v>
      </c>
      <c r="AW53" s="5">
        <v>207.45</v>
      </c>
      <c r="AX53" s="5">
        <v>207.83</v>
      </c>
      <c r="AY53" s="5">
        <v>280.54000000000002</v>
      </c>
      <c r="AZ53" s="5">
        <v>353.25</v>
      </c>
      <c r="BA53" s="5">
        <v>425.96</v>
      </c>
      <c r="BB53" s="5">
        <v>498.67</v>
      </c>
      <c r="BC53" s="5">
        <v>571.38</v>
      </c>
    </row>
    <row r="54" spans="1:55" x14ac:dyDescent="0.25">
      <c r="A54" s="47">
        <v>53</v>
      </c>
      <c r="B54" s="42">
        <v>0.27</v>
      </c>
      <c r="C54" s="42">
        <v>0</v>
      </c>
      <c r="E54" s="3">
        <v>53</v>
      </c>
      <c r="F54" s="5">
        <v>18.62</v>
      </c>
      <c r="G54" s="5">
        <v>18.62</v>
      </c>
      <c r="H54" s="5">
        <v>20.07</v>
      </c>
      <c r="I54" s="5">
        <v>47.76</v>
      </c>
      <c r="J54" s="5">
        <v>50.15</v>
      </c>
      <c r="K54" s="5">
        <v>58.26</v>
      </c>
      <c r="L54" s="5">
        <v>66.36</v>
      </c>
      <c r="M54" s="5">
        <v>74.47</v>
      </c>
      <c r="N54" s="5">
        <v>75.19</v>
      </c>
      <c r="O54" s="5">
        <v>75.92</v>
      </c>
      <c r="P54" s="5">
        <v>76.63</v>
      </c>
      <c r="Q54" s="5">
        <v>77.349999999999994</v>
      </c>
      <c r="R54" s="5">
        <v>78.069999999999993</v>
      </c>
      <c r="S54" s="5">
        <v>78.8</v>
      </c>
      <c r="T54" s="5">
        <v>79.510000000000005</v>
      </c>
      <c r="U54" s="5">
        <v>91.69</v>
      </c>
      <c r="V54" s="5">
        <v>103.87</v>
      </c>
      <c r="W54" s="5">
        <v>116.04</v>
      </c>
      <c r="X54" s="5">
        <v>128.22</v>
      </c>
      <c r="Y54" s="5">
        <v>140.4</v>
      </c>
      <c r="Z54" s="5">
        <v>146.57</v>
      </c>
      <c r="AA54" s="5">
        <v>152.72999999999999</v>
      </c>
      <c r="AB54" s="5">
        <v>158.88999999999999</v>
      </c>
      <c r="AC54" s="5">
        <v>165.06</v>
      </c>
      <c r="AD54" s="5">
        <v>171.22</v>
      </c>
      <c r="AE54" s="5">
        <v>177.39</v>
      </c>
      <c r="AF54" s="5">
        <v>183.55</v>
      </c>
      <c r="AG54" s="5">
        <v>189.72</v>
      </c>
      <c r="AH54" s="5">
        <v>195.88</v>
      </c>
      <c r="AI54" s="5">
        <v>202.05</v>
      </c>
      <c r="AJ54" s="5">
        <v>202.43</v>
      </c>
      <c r="AK54" s="5">
        <v>202.82</v>
      </c>
      <c r="AL54" s="5">
        <v>203.2</v>
      </c>
      <c r="AM54" s="5">
        <v>203.59</v>
      </c>
      <c r="AN54" s="5">
        <v>203.97</v>
      </c>
      <c r="AO54" s="5">
        <v>204.36</v>
      </c>
      <c r="AP54" s="5">
        <v>204.75</v>
      </c>
      <c r="AQ54" s="5">
        <v>205.13</v>
      </c>
      <c r="AR54" s="5">
        <v>205.52</v>
      </c>
      <c r="AS54" s="5">
        <v>205.9</v>
      </c>
      <c r="AT54" s="5">
        <v>206.29</v>
      </c>
      <c r="AU54" s="5">
        <v>206.68</v>
      </c>
      <c r="AV54" s="5">
        <v>207.06</v>
      </c>
      <c r="AW54" s="5">
        <v>207.45</v>
      </c>
      <c r="AX54" s="5">
        <v>207.83</v>
      </c>
      <c r="AY54" s="5">
        <v>280.54000000000002</v>
      </c>
      <c r="AZ54" s="5">
        <v>353.25</v>
      </c>
      <c r="BA54" s="5">
        <v>425.96</v>
      </c>
      <c r="BB54" s="5">
        <v>498.67</v>
      </c>
      <c r="BC54" s="5">
        <v>571.38</v>
      </c>
    </row>
    <row r="55" spans="1:55" x14ac:dyDescent="0.25">
      <c r="A55" s="47">
        <v>54</v>
      </c>
      <c r="B55" s="42">
        <v>0.25</v>
      </c>
      <c r="C55" s="42">
        <v>0.25</v>
      </c>
      <c r="E55" s="3">
        <v>54</v>
      </c>
      <c r="F55" s="5">
        <v>16.39</v>
      </c>
      <c r="G55" s="5">
        <v>16.39</v>
      </c>
      <c r="H55" s="5">
        <v>17.73</v>
      </c>
      <c r="I55" s="5">
        <v>34.29</v>
      </c>
      <c r="J55" s="5">
        <v>40.19</v>
      </c>
      <c r="K55" s="5">
        <v>42.48</v>
      </c>
      <c r="L55" s="5">
        <v>44.77</v>
      </c>
      <c r="M55" s="5">
        <v>47.06</v>
      </c>
      <c r="N55" s="5">
        <v>50.16</v>
      </c>
      <c r="O55" s="5">
        <v>53.27</v>
      </c>
      <c r="P55" s="5">
        <v>56.37</v>
      </c>
      <c r="Q55" s="5">
        <v>59.47</v>
      </c>
      <c r="R55" s="5">
        <v>62.58</v>
      </c>
      <c r="S55" s="5">
        <v>65.680000000000007</v>
      </c>
      <c r="T55" s="5">
        <v>68.78</v>
      </c>
      <c r="U55" s="5">
        <v>76.56</v>
      </c>
      <c r="V55" s="5">
        <v>84.33</v>
      </c>
      <c r="W55" s="5">
        <v>92.1</v>
      </c>
      <c r="X55" s="5">
        <v>99.88</v>
      </c>
      <c r="Y55" s="5">
        <v>107.65</v>
      </c>
      <c r="Z55" s="5">
        <v>112.34</v>
      </c>
      <c r="AA55" s="5">
        <v>117.03</v>
      </c>
      <c r="AB55" s="5">
        <v>121.72</v>
      </c>
      <c r="AC55" s="5">
        <v>126.41</v>
      </c>
      <c r="AD55" s="5">
        <v>131.1</v>
      </c>
      <c r="AE55" s="5">
        <v>135.79</v>
      </c>
      <c r="AF55" s="5">
        <v>140.47999999999999</v>
      </c>
      <c r="AG55" s="5">
        <v>145.16999999999999</v>
      </c>
      <c r="AH55" s="5">
        <v>149.86000000000001</v>
      </c>
      <c r="AI55" s="5">
        <v>154.55000000000001</v>
      </c>
      <c r="AJ55" s="5">
        <v>156.88999999999999</v>
      </c>
      <c r="AK55" s="5">
        <v>159.22</v>
      </c>
      <c r="AL55" s="5">
        <v>161.55000000000001</v>
      </c>
      <c r="AM55" s="5">
        <v>163.89</v>
      </c>
      <c r="AN55" s="5">
        <v>166.22</v>
      </c>
      <c r="AO55" s="5">
        <v>168.56</v>
      </c>
      <c r="AP55" s="5">
        <v>170.89</v>
      </c>
      <c r="AQ55" s="5">
        <v>173.23</v>
      </c>
      <c r="AR55" s="5">
        <v>175.56</v>
      </c>
      <c r="AS55" s="5">
        <v>177.89</v>
      </c>
      <c r="AT55" s="5">
        <v>180.23</v>
      </c>
      <c r="AU55" s="5">
        <v>182.56</v>
      </c>
      <c r="AV55" s="5">
        <v>184.9</v>
      </c>
      <c r="AW55" s="5">
        <v>187.23</v>
      </c>
      <c r="AX55" s="5">
        <v>189.57</v>
      </c>
      <c r="AY55" s="5">
        <v>223.21</v>
      </c>
      <c r="AZ55" s="5">
        <v>256.86</v>
      </c>
      <c r="BA55" s="5">
        <v>290.51</v>
      </c>
      <c r="BB55" s="5">
        <v>324.16000000000003</v>
      </c>
      <c r="BC55" s="5">
        <v>357.81</v>
      </c>
    </row>
    <row r="56" spans="1:55" x14ac:dyDescent="0.25">
      <c r="A56" s="47">
        <v>55</v>
      </c>
      <c r="B56" s="42">
        <v>0.25</v>
      </c>
      <c r="C56" s="42">
        <v>0.25</v>
      </c>
      <c r="E56" s="3">
        <v>55</v>
      </c>
      <c r="F56" s="5">
        <v>15.53</v>
      </c>
      <c r="G56" s="5">
        <v>15.53</v>
      </c>
      <c r="H56" s="5">
        <v>18.09</v>
      </c>
      <c r="I56" s="5">
        <v>41.47</v>
      </c>
      <c r="J56" s="5">
        <v>44.07</v>
      </c>
      <c r="K56" s="5">
        <v>52.78</v>
      </c>
      <c r="L56" s="5">
        <v>61.48</v>
      </c>
      <c r="M56" s="5">
        <v>70.19</v>
      </c>
      <c r="N56" s="5">
        <v>70.73</v>
      </c>
      <c r="O56" s="5">
        <v>71.27</v>
      </c>
      <c r="P56" s="5">
        <v>71.81</v>
      </c>
      <c r="Q56" s="5">
        <v>72.34</v>
      </c>
      <c r="R56" s="5">
        <v>72.88</v>
      </c>
      <c r="S56" s="5">
        <v>73.41</v>
      </c>
      <c r="T56" s="5">
        <v>73.959999999999994</v>
      </c>
      <c r="U56" s="5">
        <v>85.09</v>
      </c>
      <c r="V56" s="5">
        <v>96.22</v>
      </c>
      <c r="W56" s="5">
        <v>107.35</v>
      </c>
      <c r="X56" s="5">
        <v>118.48</v>
      </c>
      <c r="Y56" s="5">
        <v>129.61000000000001</v>
      </c>
      <c r="Z56" s="5">
        <v>135.19999999999999</v>
      </c>
      <c r="AA56" s="5">
        <v>140.78</v>
      </c>
      <c r="AB56" s="5">
        <v>146.36000000000001</v>
      </c>
      <c r="AC56" s="5">
        <v>151.94</v>
      </c>
      <c r="AD56" s="5">
        <v>157.52000000000001</v>
      </c>
      <c r="AE56" s="5">
        <v>163.11000000000001</v>
      </c>
      <c r="AF56" s="5">
        <v>168.69</v>
      </c>
      <c r="AG56" s="5">
        <v>174.27</v>
      </c>
      <c r="AH56" s="5">
        <v>179.85</v>
      </c>
      <c r="AI56" s="5">
        <v>185.43</v>
      </c>
      <c r="AJ56" s="5">
        <v>185.94</v>
      </c>
      <c r="AK56" s="5">
        <v>186.45</v>
      </c>
      <c r="AL56" s="5">
        <v>186.96</v>
      </c>
      <c r="AM56" s="5">
        <v>187.47</v>
      </c>
      <c r="AN56" s="5">
        <v>187.98</v>
      </c>
      <c r="AO56" s="5">
        <v>188.49</v>
      </c>
      <c r="AP56" s="5">
        <v>189</v>
      </c>
      <c r="AQ56" s="5">
        <v>189.51</v>
      </c>
      <c r="AR56" s="5">
        <v>190.02</v>
      </c>
      <c r="AS56" s="5">
        <v>190.53</v>
      </c>
      <c r="AT56" s="5">
        <v>191.04</v>
      </c>
      <c r="AU56" s="5">
        <v>191.55</v>
      </c>
      <c r="AV56" s="5">
        <v>192.06</v>
      </c>
      <c r="AW56" s="5">
        <v>192.56</v>
      </c>
      <c r="AX56" s="5">
        <v>193.07</v>
      </c>
      <c r="AY56" s="5">
        <v>242.95</v>
      </c>
      <c r="AZ56" s="5">
        <v>292.82</v>
      </c>
      <c r="BA56" s="5">
        <v>342.69</v>
      </c>
      <c r="BB56" s="5">
        <v>392.56</v>
      </c>
      <c r="BC56" s="5">
        <v>442.44</v>
      </c>
    </row>
    <row r="57" spans="1:55" x14ac:dyDescent="0.25">
      <c r="A57" s="47">
        <v>56</v>
      </c>
      <c r="B57" s="42">
        <v>0.27</v>
      </c>
      <c r="C57" s="42">
        <v>0</v>
      </c>
      <c r="E57" s="3">
        <v>56</v>
      </c>
      <c r="F57" s="5">
        <v>18.690000000000001</v>
      </c>
      <c r="G57" s="5">
        <v>18.690000000000001</v>
      </c>
      <c r="H57" s="5">
        <v>21.8</v>
      </c>
      <c r="I57" s="5">
        <v>41.47</v>
      </c>
      <c r="J57" s="5">
        <v>44.07</v>
      </c>
      <c r="K57" s="5">
        <v>52.78</v>
      </c>
      <c r="L57" s="5">
        <v>61.48</v>
      </c>
      <c r="M57" s="5">
        <v>70.19</v>
      </c>
      <c r="N57" s="5">
        <v>70.73</v>
      </c>
      <c r="O57" s="5">
        <v>71.27</v>
      </c>
      <c r="P57" s="5">
        <v>71.81</v>
      </c>
      <c r="Q57" s="5">
        <v>72.34</v>
      </c>
      <c r="R57" s="5">
        <v>72.88</v>
      </c>
      <c r="S57" s="5">
        <v>73.41</v>
      </c>
      <c r="T57" s="5">
        <v>73.959999999999994</v>
      </c>
      <c r="U57" s="5">
        <v>85.09</v>
      </c>
      <c r="V57" s="5">
        <v>96.22</v>
      </c>
      <c r="W57" s="5">
        <v>107.35</v>
      </c>
      <c r="X57" s="5">
        <v>118.48</v>
      </c>
      <c r="Y57" s="5">
        <v>129.61000000000001</v>
      </c>
      <c r="Z57" s="5">
        <v>135.19999999999999</v>
      </c>
      <c r="AA57" s="5">
        <v>140.78</v>
      </c>
      <c r="AB57" s="5">
        <v>146.36000000000001</v>
      </c>
      <c r="AC57" s="5">
        <v>151.94</v>
      </c>
      <c r="AD57" s="5">
        <v>157.52000000000001</v>
      </c>
      <c r="AE57" s="5">
        <v>163.11000000000001</v>
      </c>
      <c r="AF57" s="5">
        <v>168.69</v>
      </c>
      <c r="AG57" s="5">
        <v>174.27</v>
      </c>
      <c r="AH57" s="5">
        <v>179.85</v>
      </c>
      <c r="AI57" s="5">
        <v>185.43</v>
      </c>
      <c r="AJ57" s="5">
        <v>185.94</v>
      </c>
      <c r="AK57" s="5">
        <v>186.45</v>
      </c>
      <c r="AL57" s="5">
        <v>186.96</v>
      </c>
      <c r="AM57" s="5">
        <v>187.47</v>
      </c>
      <c r="AN57" s="5">
        <v>187.98</v>
      </c>
      <c r="AO57" s="5">
        <v>188.49</v>
      </c>
      <c r="AP57" s="5">
        <v>189</v>
      </c>
      <c r="AQ57" s="5">
        <v>189.51</v>
      </c>
      <c r="AR57" s="5">
        <v>190.02</v>
      </c>
      <c r="AS57" s="5">
        <v>190.53</v>
      </c>
      <c r="AT57" s="5">
        <v>191.04</v>
      </c>
      <c r="AU57" s="5">
        <v>191.55</v>
      </c>
      <c r="AV57" s="5">
        <v>192.06</v>
      </c>
      <c r="AW57" s="5">
        <v>192.56</v>
      </c>
      <c r="AX57" s="5">
        <v>193.07</v>
      </c>
      <c r="AY57" s="5">
        <v>242.95</v>
      </c>
      <c r="AZ57" s="5">
        <v>292.82</v>
      </c>
      <c r="BA57" s="5">
        <v>342.69</v>
      </c>
      <c r="BB57" s="5">
        <v>392.56</v>
      </c>
      <c r="BC57" s="5">
        <v>442.44</v>
      </c>
    </row>
    <row r="58" spans="1:55" x14ac:dyDescent="0.25">
      <c r="A58" s="47">
        <v>57</v>
      </c>
      <c r="B58" s="42">
        <v>0.24</v>
      </c>
      <c r="C58" s="42">
        <v>0.25</v>
      </c>
      <c r="E58" s="3">
        <v>57</v>
      </c>
      <c r="F58" s="5">
        <v>17.32</v>
      </c>
      <c r="G58" s="5">
        <v>17.32</v>
      </c>
      <c r="H58" s="5">
        <v>19.09</v>
      </c>
      <c r="I58" s="5">
        <v>41.47</v>
      </c>
      <c r="J58" s="5">
        <v>44.07</v>
      </c>
      <c r="K58" s="5">
        <v>52.78</v>
      </c>
      <c r="L58" s="5">
        <v>61.48</v>
      </c>
      <c r="M58" s="5">
        <v>70.19</v>
      </c>
      <c r="N58" s="5">
        <v>70.73</v>
      </c>
      <c r="O58" s="5">
        <v>71.27</v>
      </c>
      <c r="P58" s="5">
        <v>71.81</v>
      </c>
      <c r="Q58" s="5">
        <v>72.34</v>
      </c>
      <c r="R58" s="5">
        <v>72.88</v>
      </c>
      <c r="S58" s="5">
        <v>73.41</v>
      </c>
      <c r="T58" s="5">
        <v>73.959999999999994</v>
      </c>
      <c r="U58" s="5">
        <v>85.09</v>
      </c>
      <c r="V58" s="5">
        <v>96.22</v>
      </c>
      <c r="W58" s="5">
        <v>107.35</v>
      </c>
      <c r="X58" s="5">
        <v>118.48</v>
      </c>
      <c r="Y58" s="5">
        <v>129.61000000000001</v>
      </c>
      <c r="Z58" s="5">
        <v>135.19999999999999</v>
      </c>
      <c r="AA58" s="5">
        <v>140.78</v>
      </c>
      <c r="AB58" s="5">
        <v>146.36000000000001</v>
      </c>
      <c r="AC58" s="5">
        <v>151.94</v>
      </c>
      <c r="AD58" s="5">
        <v>157.52000000000001</v>
      </c>
      <c r="AE58" s="5">
        <v>163.11000000000001</v>
      </c>
      <c r="AF58" s="5">
        <v>168.69</v>
      </c>
      <c r="AG58" s="5">
        <v>174.27</v>
      </c>
      <c r="AH58" s="5">
        <v>179.85</v>
      </c>
      <c r="AI58" s="5">
        <v>185.43</v>
      </c>
      <c r="AJ58" s="5">
        <v>185.94</v>
      </c>
      <c r="AK58" s="5">
        <v>186.45</v>
      </c>
      <c r="AL58" s="5">
        <v>186.96</v>
      </c>
      <c r="AM58" s="5">
        <v>187.47</v>
      </c>
      <c r="AN58" s="5">
        <v>187.98</v>
      </c>
      <c r="AO58" s="5">
        <v>188.49</v>
      </c>
      <c r="AP58" s="5">
        <v>189</v>
      </c>
      <c r="AQ58" s="5">
        <v>189.51</v>
      </c>
      <c r="AR58" s="5">
        <v>190.02</v>
      </c>
      <c r="AS58" s="5">
        <v>190.53</v>
      </c>
      <c r="AT58" s="5">
        <v>191.04</v>
      </c>
      <c r="AU58" s="5">
        <v>191.55</v>
      </c>
      <c r="AV58" s="5">
        <v>192.06</v>
      </c>
      <c r="AW58" s="5">
        <v>192.56</v>
      </c>
      <c r="AX58" s="5">
        <v>193.07</v>
      </c>
      <c r="AY58" s="5">
        <v>242.95</v>
      </c>
      <c r="AZ58" s="5">
        <v>292.82</v>
      </c>
      <c r="BA58" s="5">
        <v>342.69</v>
      </c>
      <c r="BB58" s="5">
        <v>392.56</v>
      </c>
      <c r="BC58" s="5">
        <v>442.44</v>
      </c>
    </row>
    <row r="59" spans="1:55" x14ac:dyDescent="0.25">
      <c r="A59" s="47">
        <v>58</v>
      </c>
      <c r="B59" s="42">
        <v>0.23</v>
      </c>
      <c r="C59" s="42">
        <v>0.12</v>
      </c>
      <c r="E59" s="3">
        <v>58</v>
      </c>
      <c r="F59" s="5">
        <v>14.13</v>
      </c>
      <c r="G59" s="5">
        <v>14.13</v>
      </c>
      <c r="H59" s="5">
        <v>15.58</v>
      </c>
      <c r="I59" s="5">
        <v>47.76</v>
      </c>
      <c r="J59" s="5">
        <v>50.15</v>
      </c>
      <c r="K59" s="5">
        <v>58.26</v>
      </c>
      <c r="L59" s="5">
        <v>66.36</v>
      </c>
      <c r="M59" s="5">
        <v>74.47</v>
      </c>
      <c r="N59" s="5">
        <v>75.19</v>
      </c>
      <c r="O59" s="5">
        <v>75.92</v>
      </c>
      <c r="P59" s="5">
        <v>76.63</v>
      </c>
      <c r="Q59" s="5">
        <v>77.349999999999994</v>
      </c>
      <c r="R59" s="5">
        <v>78.069999999999993</v>
      </c>
      <c r="S59" s="5">
        <v>78.8</v>
      </c>
      <c r="T59" s="5">
        <v>79.510000000000005</v>
      </c>
      <c r="U59" s="5">
        <v>91.69</v>
      </c>
      <c r="V59" s="5">
        <v>103.87</v>
      </c>
      <c r="W59" s="5">
        <v>116.04</v>
      </c>
      <c r="X59" s="5">
        <v>128.22</v>
      </c>
      <c r="Y59" s="5">
        <v>140.4</v>
      </c>
      <c r="Z59" s="5">
        <v>146.57</v>
      </c>
      <c r="AA59" s="5">
        <v>152.72999999999999</v>
      </c>
      <c r="AB59" s="5">
        <v>158.88999999999999</v>
      </c>
      <c r="AC59" s="5">
        <v>165.06</v>
      </c>
      <c r="AD59" s="5">
        <v>171.22</v>
      </c>
      <c r="AE59" s="5">
        <v>177.39</v>
      </c>
      <c r="AF59" s="5">
        <v>183.55</v>
      </c>
      <c r="AG59" s="5">
        <v>189.72</v>
      </c>
      <c r="AH59" s="5">
        <v>195.88</v>
      </c>
      <c r="AI59" s="5">
        <v>202.05</v>
      </c>
      <c r="AJ59" s="5">
        <v>202.43</v>
      </c>
      <c r="AK59" s="5">
        <v>202.82</v>
      </c>
      <c r="AL59" s="5">
        <v>203.2</v>
      </c>
      <c r="AM59" s="5">
        <v>203.59</v>
      </c>
      <c r="AN59" s="5">
        <v>203.97</v>
      </c>
      <c r="AO59" s="5">
        <v>204.36</v>
      </c>
      <c r="AP59" s="5">
        <v>204.75</v>
      </c>
      <c r="AQ59" s="5">
        <v>205.13</v>
      </c>
      <c r="AR59" s="5">
        <v>205.52</v>
      </c>
      <c r="AS59" s="5">
        <v>205.9</v>
      </c>
      <c r="AT59" s="5">
        <v>206.29</v>
      </c>
      <c r="AU59" s="5">
        <v>206.68</v>
      </c>
      <c r="AV59" s="5">
        <v>207.06</v>
      </c>
      <c r="AW59" s="5">
        <v>207.45</v>
      </c>
      <c r="AX59" s="5">
        <v>207.83</v>
      </c>
      <c r="AY59" s="5">
        <v>280.54000000000002</v>
      </c>
      <c r="AZ59" s="5">
        <v>353.25</v>
      </c>
      <c r="BA59" s="5">
        <v>425.96</v>
      </c>
      <c r="BB59" s="5">
        <v>498.67</v>
      </c>
      <c r="BC59" s="5">
        <v>571.38</v>
      </c>
    </row>
    <row r="60" spans="1:55" x14ac:dyDescent="0.25">
      <c r="A60" s="47">
        <v>59</v>
      </c>
      <c r="B60" s="42">
        <v>0.19</v>
      </c>
      <c r="C60" s="42">
        <v>0</v>
      </c>
      <c r="E60" s="3">
        <v>59</v>
      </c>
      <c r="F60" s="5">
        <v>15.93</v>
      </c>
      <c r="G60" s="5">
        <v>15.93</v>
      </c>
      <c r="H60" s="5">
        <v>17.16</v>
      </c>
      <c r="I60" s="5">
        <v>34.29</v>
      </c>
      <c r="J60" s="5">
        <v>40.19</v>
      </c>
      <c r="K60" s="5">
        <v>42.48</v>
      </c>
      <c r="L60" s="5">
        <v>44.77</v>
      </c>
      <c r="M60" s="5">
        <v>47.06</v>
      </c>
      <c r="N60" s="5">
        <v>50.16</v>
      </c>
      <c r="O60" s="5">
        <v>53.27</v>
      </c>
      <c r="P60" s="5">
        <v>56.37</v>
      </c>
      <c r="Q60" s="5">
        <v>59.47</v>
      </c>
      <c r="R60" s="5">
        <v>62.58</v>
      </c>
      <c r="S60" s="5">
        <v>65.680000000000007</v>
      </c>
      <c r="T60" s="5">
        <v>68.78</v>
      </c>
      <c r="U60" s="5">
        <v>76.56</v>
      </c>
      <c r="V60" s="5">
        <v>84.33</v>
      </c>
      <c r="W60" s="5">
        <v>92.1</v>
      </c>
      <c r="X60" s="5">
        <v>99.88</v>
      </c>
      <c r="Y60" s="5">
        <v>107.65</v>
      </c>
      <c r="Z60" s="5">
        <v>112.34</v>
      </c>
      <c r="AA60" s="5">
        <v>117.03</v>
      </c>
      <c r="AB60" s="5">
        <v>121.72</v>
      </c>
      <c r="AC60" s="5">
        <v>126.41</v>
      </c>
      <c r="AD60" s="5">
        <v>131.1</v>
      </c>
      <c r="AE60" s="5">
        <v>135.79</v>
      </c>
      <c r="AF60" s="5">
        <v>140.47999999999999</v>
      </c>
      <c r="AG60" s="5">
        <v>145.16999999999999</v>
      </c>
      <c r="AH60" s="5">
        <v>149.86000000000001</v>
      </c>
      <c r="AI60" s="5">
        <v>154.55000000000001</v>
      </c>
      <c r="AJ60" s="5">
        <v>156.88999999999999</v>
      </c>
      <c r="AK60" s="5">
        <v>159.22</v>
      </c>
      <c r="AL60" s="5">
        <v>161.55000000000001</v>
      </c>
      <c r="AM60" s="5">
        <v>163.89</v>
      </c>
      <c r="AN60" s="5">
        <v>166.22</v>
      </c>
      <c r="AO60" s="5">
        <v>168.56</v>
      </c>
      <c r="AP60" s="5">
        <v>170.89</v>
      </c>
      <c r="AQ60" s="5">
        <v>173.23</v>
      </c>
      <c r="AR60" s="5">
        <v>175.56</v>
      </c>
      <c r="AS60" s="5">
        <v>177.89</v>
      </c>
      <c r="AT60" s="5">
        <v>180.23</v>
      </c>
      <c r="AU60" s="5">
        <v>182.56</v>
      </c>
      <c r="AV60" s="5">
        <v>184.9</v>
      </c>
      <c r="AW60" s="5">
        <v>187.23</v>
      </c>
      <c r="AX60" s="5">
        <v>189.57</v>
      </c>
      <c r="AY60" s="5">
        <v>223.21</v>
      </c>
      <c r="AZ60" s="5">
        <v>256.86</v>
      </c>
      <c r="BA60" s="5">
        <v>290.51</v>
      </c>
      <c r="BB60" s="5">
        <v>324.16000000000003</v>
      </c>
      <c r="BC60" s="5">
        <v>357.81</v>
      </c>
    </row>
    <row r="61" spans="1:55" x14ac:dyDescent="0.25">
      <c r="A61" s="47">
        <v>60</v>
      </c>
      <c r="B61" s="42">
        <v>0.19</v>
      </c>
      <c r="C61" s="42">
        <v>0</v>
      </c>
      <c r="E61" s="3">
        <v>60</v>
      </c>
      <c r="F61" s="5">
        <v>15.88</v>
      </c>
      <c r="G61" s="5">
        <v>15.88</v>
      </c>
      <c r="H61" s="5">
        <v>17.100000000000001</v>
      </c>
      <c r="I61" s="5">
        <v>47.76</v>
      </c>
      <c r="J61" s="5">
        <v>50.15</v>
      </c>
      <c r="K61" s="5">
        <v>58.26</v>
      </c>
      <c r="L61" s="5">
        <v>66.36</v>
      </c>
      <c r="M61" s="5">
        <v>74.47</v>
      </c>
      <c r="N61" s="5">
        <v>75.19</v>
      </c>
      <c r="O61" s="5">
        <v>75.92</v>
      </c>
      <c r="P61" s="5">
        <v>76.63</v>
      </c>
      <c r="Q61" s="5">
        <v>77.349999999999994</v>
      </c>
      <c r="R61" s="5">
        <v>78.069999999999993</v>
      </c>
      <c r="S61" s="5">
        <v>78.8</v>
      </c>
      <c r="T61" s="5">
        <v>79.510000000000005</v>
      </c>
      <c r="U61" s="5">
        <v>91.69</v>
      </c>
      <c r="V61" s="5">
        <v>103.87</v>
      </c>
      <c r="W61" s="5">
        <v>116.04</v>
      </c>
      <c r="X61" s="5">
        <v>128.22</v>
      </c>
      <c r="Y61" s="5">
        <v>140.4</v>
      </c>
      <c r="Z61" s="5">
        <v>146.57</v>
      </c>
      <c r="AA61" s="5">
        <v>152.72999999999999</v>
      </c>
      <c r="AB61" s="5">
        <v>158.88999999999999</v>
      </c>
      <c r="AC61" s="5">
        <v>165.06</v>
      </c>
      <c r="AD61" s="5">
        <v>171.22</v>
      </c>
      <c r="AE61" s="5">
        <v>177.39</v>
      </c>
      <c r="AF61" s="5">
        <v>183.55</v>
      </c>
      <c r="AG61" s="5">
        <v>189.72</v>
      </c>
      <c r="AH61" s="5">
        <v>195.88</v>
      </c>
      <c r="AI61" s="5">
        <v>202.05</v>
      </c>
      <c r="AJ61" s="5">
        <v>202.43</v>
      </c>
      <c r="AK61" s="5">
        <v>202.82</v>
      </c>
      <c r="AL61" s="5">
        <v>203.2</v>
      </c>
      <c r="AM61" s="5">
        <v>203.59</v>
      </c>
      <c r="AN61" s="5">
        <v>203.97</v>
      </c>
      <c r="AO61" s="5">
        <v>204.36</v>
      </c>
      <c r="AP61" s="5">
        <v>204.75</v>
      </c>
      <c r="AQ61" s="5">
        <v>205.13</v>
      </c>
      <c r="AR61" s="5">
        <v>205.52</v>
      </c>
      <c r="AS61" s="5">
        <v>205.9</v>
      </c>
      <c r="AT61" s="5">
        <v>206.29</v>
      </c>
      <c r="AU61" s="5">
        <v>206.68</v>
      </c>
      <c r="AV61" s="5">
        <v>207.06</v>
      </c>
      <c r="AW61" s="5">
        <v>207.45</v>
      </c>
      <c r="AX61" s="5">
        <v>207.83</v>
      </c>
      <c r="AY61" s="5">
        <v>280.54000000000002</v>
      </c>
      <c r="AZ61" s="5">
        <v>353.25</v>
      </c>
      <c r="BA61" s="5">
        <v>425.96</v>
      </c>
      <c r="BB61" s="5">
        <v>498.67</v>
      </c>
      <c r="BC61" s="5">
        <v>571.38</v>
      </c>
    </row>
    <row r="62" spans="1:55" x14ac:dyDescent="0.25">
      <c r="A62" s="47">
        <v>61</v>
      </c>
      <c r="B62" s="42">
        <v>0.17</v>
      </c>
      <c r="C62" s="42">
        <v>0.17</v>
      </c>
      <c r="E62" s="3">
        <v>61</v>
      </c>
      <c r="F62" s="5">
        <v>15.41</v>
      </c>
      <c r="G62" s="5">
        <v>15.41</v>
      </c>
      <c r="H62" s="5">
        <v>17.39</v>
      </c>
      <c r="I62" s="5">
        <v>47.76</v>
      </c>
      <c r="J62" s="5">
        <v>50.15</v>
      </c>
      <c r="K62" s="5">
        <v>58.26</v>
      </c>
      <c r="L62" s="5">
        <v>66.36</v>
      </c>
      <c r="M62" s="5">
        <v>74.47</v>
      </c>
      <c r="N62" s="5">
        <v>75.19</v>
      </c>
      <c r="O62" s="5">
        <v>75.92</v>
      </c>
      <c r="P62" s="5">
        <v>76.63</v>
      </c>
      <c r="Q62" s="5">
        <v>77.349999999999994</v>
      </c>
      <c r="R62" s="5">
        <v>78.069999999999993</v>
      </c>
      <c r="S62" s="5">
        <v>78.8</v>
      </c>
      <c r="T62" s="5">
        <v>79.510000000000005</v>
      </c>
      <c r="U62" s="5">
        <v>91.69</v>
      </c>
      <c r="V62" s="5">
        <v>103.87</v>
      </c>
      <c r="W62" s="5">
        <v>116.04</v>
      </c>
      <c r="X62" s="5">
        <v>128.22</v>
      </c>
      <c r="Y62" s="5">
        <v>140.4</v>
      </c>
      <c r="Z62" s="5">
        <v>146.57</v>
      </c>
      <c r="AA62" s="5">
        <v>152.72999999999999</v>
      </c>
      <c r="AB62" s="5">
        <v>158.88999999999999</v>
      </c>
      <c r="AC62" s="5">
        <v>165.06</v>
      </c>
      <c r="AD62" s="5">
        <v>171.22</v>
      </c>
      <c r="AE62" s="5">
        <v>177.39</v>
      </c>
      <c r="AF62" s="5">
        <v>183.55</v>
      </c>
      <c r="AG62" s="5">
        <v>189.72</v>
      </c>
      <c r="AH62" s="5">
        <v>195.88</v>
      </c>
      <c r="AI62" s="5">
        <v>202.05</v>
      </c>
      <c r="AJ62" s="5">
        <v>202.43</v>
      </c>
      <c r="AK62" s="5">
        <v>202.82</v>
      </c>
      <c r="AL62" s="5">
        <v>203.2</v>
      </c>
      <c r="AM62" s="5">
        <v>203.59</v>
      </c>
      <c r="AN62" s="5">
        <v>203.97</v>
      </c>
      <c r="AO62" s="5">
        <v>204.36</v>
      </c>
      <c r="AP62" s="5">
        <v>204.75</v>
      </c>
      <c r="AQ62" s="5">
        <v>205.13</v>
      </c>
      <c r="AR62" s="5">
        <v>205.52</v>
      </c>
      <c r="AS62" s="5">
        <v>205.9</v>
      </c>
      <c r="AT62" s="5">
        <v>206.29</v>
      </c>
      <c r="AU62" s="5">
        <v>206.68</v>
      </c>
      <c r="AV62" s="5">
        <v>207.06</v>
      </c>
      <c r="AW62" s="5">
        <v>207.45</v>
      </c>
      <c r="AX62" s="5">
        <v>207.83</v>
      </c>
      <c r="AY62" s="5">
        <v>280.54000000000002</v>
      </c>
      <c r="AZ62" s="5">
        <v>353.25</v>
      </c>
      <c r="BA62" s="5">
        <v>425.96</v>
      </c>
      <c r="BB62" s="5">
        <v>498.67</v>
      </c>
      <c r="BC62" s="5">
        <v>571.38</v>
      </c>
    </row>
    <row r="63" spans="1:55" x14ac:dyDescent="0.25">
      <c r="A63" s="47">
        <v>62</v>
      </c>
      <c r="B63" s="42">
        <v>0.19</v>
      </c>
      <c r="C63" s="42">
        <v>0</v>
      </c>
      <c r="E63" s="3">
        <v>62</v>
      </c>
      <c r="F63" s="5">
        <v>16.940000000000001</v>
      </c>
      <c r="G63" s="5">
        <v>16.940000000000001</v>
      </c>
      <c r="H63" s="5">
        <v>18.170000000000002</v>
      </c>
      <c r="I63" s="5">
        <v>41.47</v>
      </c>
      <c r="J63" s="5">
        <v>44.07</v>
      </c>
      <c r="K63" s="5">
        <v>52.78</v>
      </c>
      <c r="L63" s="5">
        <v>61.48</v>
      </c>
      <c r="M63" s="5">
        <v>70.19</v>
      </c>
      <c r="N63" s="5">
        <v>70.73</v>
      </c>
      <c r="O63" s="5">
        <v>71.27</v>
      </c>
      <c r="P63" s="5">
        <v>71.81</v>
      </c>
      <c r="Q63" s="5">
        <v>72.34</v>
      </c>
      <c r="R63" s="5">
        <v>72.88</v>
      </c>
      <c r="S63" s="5">
        <v>73.41</v>
      </c>
      <c r="T63" s="5">
        <v>73.959999999999994</v>
      </c>
      <c r="U63" s="5">
        <v>85.09</v>
      </c>
      <c r="V63" s="5">
        <v>96.22</v>
      </c>
      <c r="W63" s="5">
        <v>107.35</v>
      </c>
      <c r="X63" s="5">
        <v>118.48</v>
      </c>
      <c r="Y63" s="5">
        <v>129.61000000000001</v>
      </c>
      <c r="Z63" s="5">
        <v>135.19999999999999</v>
      </c>
      <c r="AA63" s="5">
        <v>140.78</v>
      </c>
      <c r="AB63" s="5">
        <v>146.36000000000001</v>
      </c>
      <c r="AC63" s="5">
        <v>151.94</v>
      </c>
      <c r="AD63" s="5">
        <v>157.52000000000001</v>
      </c>
      <c r="AE63" s="5">
        <v>163.11000000000001</v>
      </c>
      <c r="AF63" s="5">
        <v>168.69</v>
      </c>
      <c r="AG63" s="5">
        <v>174.27</v>
      </c>
      <c r="AH63" s="5">
        <v>179.85</v>
      </c>
      <c r="AI63" s="5">
        <v>185.43</v>
      </c>
      <c r="AJ63" s="5">
        <v>185.94</v>
      </c>
      <c r="AK63" s="5">
        <v>186.45</v>
      </c>
      <c r="AL63" s="5">
        <v>186.96</v>
      </c>
      <c r="AM63" s="5">
        <v>187.47</v>
      </c>
      <c r="AN63" s="5">
        <v>187.98</v>
      </c>
      <c r="AO63" s="5">
        <v>188.49</v>
      </c>
      <c r="AP63" s="5">
        <v>189</v>
      </c>
      <c r="AQ63" s="5">
        <v>189.51</v>
      </c>
      <c r="AR63" s="5">
        <v>190.02</v>
      </c>
      <c r="AS63" s="5">
        <v>190.53</v>
      </c>
      <c r="AT63" s="5">
        <v>191.04</v>
      </c>
      <c r="AU63" s="5">
        <v>191.55</v>
      </c>
      <c r="AV63" s="5">
        <v>192.06</v>
      </c>
      <c r="AW63" s="5">
        <v>192.56</v>
      </c>
      <c r="AX63" s="5">
        <v>193.07</v>
      </c>
      <c r="AY63" s="5">
        <v>242.95</v>
      </c>
      <c r="AZ63" s="5">
        <v>292.82</v>
      </c>
      <c r="BA63" s="5">
        <v>342.69</v>
      </c>
      <c r="BB63" s="5">
        <v>392.56</v>
      </c>
      <c r="BC63" s="5">
        <v>442.44</v>
      </c>
    </row>
    <row r="64" spans="1:55" x14ac:dyDescent="0.25">
      <c r="A64" s="47">
        <v>63</v>
      </c>
      <c r="B64" s="42">
        <v>0.28999999999999998</v>
      </c>
      <c r="C64" s="42">
        <v>0.12</v>
      </c>
      <c r="E64" s="3">
        <v>63</v>
      </c>
      <c r="F64" s="5">
        <v>18.100000000000001</v>
      </c>
      <c r="G64" s="5">
        <v>18.100000000000001</v>
      </c>
      <c r="H64" s="5">
        <v>20.079999999999998</v>
      </c>
      <c r="I64" s="5">
        <v>34.29</v>
      </c>
      <c r="J64" s="5">
        <v>40.19</v>
      </c>
      <c r="K64" s="5">
        <v>42.48</v>
      </c>
      <c r="L64" s="5">
        <v>44.77</v>
      </c>
      <c r="M64" s="5">
        <v>47.06</v>
      </c>
      <c r="N64" s="5">
        <v>50.16</v>
      </c>
      <c r="O64" s="5">
        <v>53.27</v>
      </c>
      <c r="P64" s="5">
        <v>56.37</v>
      </c>
      <c r="Q64" s="5">
        <v>59.47</v>
      </c>
      <c r="R64" s="5">
        <v>62.58</v>
      </c>
      <c r="S64" s="5">
        <v>65.680000000000007</v>
      </c>
      <c r="T64" s="5">
        <v>68.78</v>
      </c>
      <c r="U64" s="5">
        <v>76.56</v>
      </c>
      <c r="V64" s="5">
        <v>84.33</v>
      </c>
      <c r="W64" s="5">
        <v>92.1</v>
      </c>
      <c r="X64" s="5">
        <v>99.88</v>
      </c>
      <c r="Y64" s="5">
        <v>107.65</v>
      </c>
      <c r="Z64" s="5">
        <v>112.34</v>
      </c>
      <c r="AA64" s="5">
        <v>117.03</v>
      </c>
      <c r="AB64" s="5">
        <v>121.72</v>
      </c>
      <c r="AC64" s="5">
        <v>126.41</v>
      </c>
      <c r="AD64" s="5">
        <v>131.1</v>
      </c>
      <c r="AE64" s="5">
        <v>135.79</v>
      </c>
      <c r="AF64" s="5">
        <v>140.47999999999999</v>
      </c>
      <c r="AG64" s="5">
        <v>145.16999999999999</v>
      </c>
      <c r="AH64" s="5">
        <v>149.86000000000001</v>
      </c>
      <c r="AI64" s="5">
        <v>154.55000000000001</v>
      </c>
      <c r="AJ64" s="5">
        <v>156.88999999999999</v>
      </c>
      <c r="AK64" s="5">
        <v>159.22</v>
      </c>
      <c r="AL64" s="5">
        <v>161.55000000000001</v>
      </c>
      <c r="AM64" s="5">
        <v>163.89</v>
      </c>
      <c r="AN64" s="5">
        <v>166.22</v>
      </c>
      <c r="AO64" s="5">
        <v>168.56</v>
      </c>
      <c r="AP64" s="5">
        <v>170.89</v>
      </c>
      <c r="AQ64" s="5">
        <v>173.23</v>
      </c>
      <c r="AR64" s="5">
        <v>175.56</v>
      </c>
      <c r="AS64" s="5">
        <v>177.89</v>
      </c>
      <c r="AT64" s="5">
        <v>180.23</v>
      </c>
      <c r="AU64" s="5">
        <v>182.56</v>
      </c>
      <c r="AV64" s="5">
        <v>184.9</v>
      </c>
      <c r="AW64" s="5">
        <v>187.23</v>
      </c>
      <c r="AX64" s="5">
        <v>189.57</v>
      </c>
      <c r="AY64" s="5">
        <v>223.21</v>
      </c>
      <c r="AZ64" s="5">
        <v>256.86</v>
      </c>
      <c r="BA64" s="5">
        <v>290.51</v>
      </c>
      <c r="BB64" s="5">
        <v>324.16000000000003</v>
      </c>
      <c r="BC64" s="5">
        <v>357.81</v>
      </c>
    </row>
    <row r="65" spans="1:55" x14ac:dyDescent="0.25">
      <c r="A65" s="47">
        <v>64</v>
      </c>
      <c r="B65" s="42">
        <v>0.21</v>
      </c>
      <c r="C65" s="42">
        <v>0.17</v>
      </c>
      <c r="E65" s="3">
        <v>64</v>
      </c>
      <c r="F65" s="5">
        <v>19.16</v>
      </c>
      <c r="G65" s="5">
        <v>19.16</v>
      </c>
      <c r="H65" s="5">
        <v>22.09</v>
      </c>
      <c r="I65" s="5">
        <v>47.76</v>
      </c>
      <c r="J65" s="5">
        <v>50.15</v>
      </c>
      <c r="K65" s="5">
        <v>58.26</v>
      </c>
      <c r="L65" s="5">
        <v>66.36</v>
      </c>
      <c r="M65" s="5">
        <v>74.47</v>
      </c>
      <c r="N65" s="5">
        <v>75.19</v>
      </c>
      <c r="O65" s="5">
        <v>75.92</v>
      </c>
      <c r="P65" s="5">
        <v>76.63</v>
      </c>
      <c r="Q65" s="5">
        <v>77.349999999999994</v>
      </c>
      <c r="R65" s="5">
        <v>78.069999999999993</v>
      </c>
      <c r="S65" s="5">
        <v>78.8</v>
      </c>
      <c r="T65" s="5">
        <v>79.510000000000005</v>
      </c>
      <c r="U65" s="5">
        <v>91.69</v>
      </c>
      <c r="V65" s="5">
        <v>103.87</v>
      </c>
      <c r="W65" s="5">
        <v>116.04</v>
      </c>
      <c r="X65" s="5">
        <v>128.22</v>
      </c>
      <c r="Y65" s="5">
        <v>140.4</v>
      </c>
      <c r="Z65" s="5">
        <v>146.57</v>
      </c>
      <c r="AA65" s="5">
        <v>152.72999999999999</v>
      </c>
      <c r="AB65" s="5">
        <v>158.88999999999999</v>
      </c>
      <c r="AC65" s="5">
        <v>165.06</v>
      </c>
      <c r="AD65" s="5">
        <v>171.22</v>
      </c>
      <c r="AE65" s="5">
        <v>177.39</v>
      </c>
      <c r="AF65" s="5">
        <v>183.55</v>
      </c>
      <c r="AG65" s="5">
        <v>189.72</v>
      </c>
      <c r="AH65" s="5">
        <v>195.88</v>
      </c>
      <c r="AI65" s="5">
        <v>202.05</v>
      </c>
      <c r="AJ65" s="5">
        <v>202.43</v>
      </c>
      <c r="AK65" s="5">
        <v>202.82</v>
      </c>
      <c r="AL65" s="5">
        <v>203.2</v>
      </c>
      <c r="AM65" s="5">
        <v>203.59</v>
      </c>
      <c r="AN65" s="5">
        <v>203.97</v>
      </c>
      <c r="AO65" s="5">
        <v>204.36</v>
      </c>
      <c r="AP65" s="5">
        <v>204.75</v>
      </c>
      <c r="AQ65" s="5">
        <v>205.13</v>
      </c>
      <c r="AR65" s="5">
        <v>205.52</v>
      </c>
      <c r="AS65" s="5">
        <v>205.9</v>
      </c>
      <c r="AT65" s="5">
        <v>206.29</v>
      </c>
      <c r="AU65" s="5">
        <v>206.68</v>
      </c>
      <c r="AV65" s="5">
        <v>207.06</v>
      </c>
      <c r="AW65" s="5">
        <v>207.45</v>
      </c>
      <c r="AX65" s="5">
        <v>207.83</v>
      </c>
      <c r="AY65" s="5">
        <v>280.54000000000002</v>
      </c>
      <c r="AZ65" s="5">
        <v>353.25</v>
      </c>
      <c r="BA65" s="5">
        <v>425.96</v>
      </c>
      <c r="BB65" s="5">
        <v>498.67</v>
      </c>
      <c r="BC65" s="5">
        <v>571.38</v>
      </c>
    </row>
    <row r="66" spans="1:55" x14ac:dyDescent="0.25">
      <c r="A66" s="47">
        <v>65</v>
      </c>
      <c r="B66" s="42">
        <v>0.22</v>
      </c>
      <c r="C66" s="42">
        <v>0.26</v>
      </c>
      <c r="E66" s="3">
        <v>65</v>
      </c>
      <c r="F66" s="5">
        <v>19.16</v>
      </c>
      <c r="G66" s="5">
        <v>19.16</v>
      </c>
      <c r="H66" s="5">
        <v>22.09</v>
      </c>
      <c r="I66" s="5">
        <v>41.47</v>
      </c>
      <c r="J66" s="5">
        <v>44.07</v>
      </c>
      <c r="K66" s="5">
        <v>52.78</v>
      </c>
      <c r="L66" s="5">
        <v>61.48</v>
      </c>
      <c r="M66" s="5">
        <v>70.19</v>
      </c>
      <c r="N66" s="5">
        <v>70.73</v>
      </c>
      <c r="O66" s="5">
        <v>71.27</v>
      </c>
      <c r="P66" s="5">
        <v>71.81</v>
      </c>
      <c r="Q66" s="5">
        <v>72.34</v>
      </c>
      <c r="R66" s="5">
        <v>72.88</v>
      </c>
      <c r="S66" s="5">
        <v>73.41</v>
      </c>
      <c r="T66" s="5">
        <v>73.959999999999994</v>
      </c>
      <c r="U66" s="5">
        <v>85.09</v>
      </c>
      <c r="V66" s="5">
        <v>96.22</v>
      </c>
      <c r="W66" s="5">
        <v>107.35</v>
      </c>
      <c r="X66" s="5">
        <v>118.48</v>
      </c>
      <c r="Y66" s="5">
        <v>129.61000000000001</v>
      </c>
      <c r="Z66" s="5">
        <v>135.19999999999999</v>
      </c>
      <c r="AA66" s="5">
        <v>140.78</v>
      </c>
      <c r="AB66" s="5">
        <v>146.36000000000001</v>
      </c>
      <c r="AC66" s="5">
        <v>151.94</v>
      </c>
      <c r="AD66" s="5">
        <v>157.52000000000001</v>
      </c>
      <c r="AE66" s="5">
        <v>163.11000000000001</v>
      </c>
      <c r="AF66" s="5">
        <v>168.69</v>
      </c>
      <c r="AG66" s="5">
        <v>174.27</v>
      </c>
      <c r="AH66" s="5">
        <v>179.85</v>
      </c>
      <c r="AI66" s="5">
        <v>185.43</v>
      </c>
      <c r="AJ66" s="5">
        <v>185.94</v>
      </c>
      <c r="AK66" s="5">
        <v>186.45</v>
      </c>
      <c r="AL66" s="5">
        <v>186.96</v>
      </c>
      <c r="AM66" s="5">
        <v>187.47</v>
      </c>
      <c r="AN66" s="5">
        <v>187.98</v>
      </c>
      <c r="AO66" s="5">
        <v>188.49</v>
      </c>
      <c r="AP66" s="5">
        <v>189</v>
      </c>
      <c r="AQ66" s="5">
        <v>189.51</v>
      </c>
      <c r="AR66" s="5">
        <v>190.02</v>
      </c>
      <c r="AS66" s="5">
        <v>190.53</v>
      </c>
      <c r="AT66" s="5">
        <v>191.04</v>
      </c>
      <c r="AU66" s="5">
        <v>191.55</v>
      </c>
      <c r="AV66" s="5">
        <v>192.06</v>
      </c>
      <c r="AW66" s="5">
        <v>192.56</v>
      </c>
      <c r="AX66" s="5">
        <v>193.07</v>
      </c>
      <c r="AY66" s="5">
        <v>242.95</v>
      </c>
      <c r="AZ66" s="5">
        <v>292.82</v>
      </c>
      <c r="BA66" s="5">
        <v>342.69</v>
      </c>
      <c r="BB66" s="5">
        <v>392.56</v>
      </c>
      <c r="BC66" s="5">
        <v>442.44</v>
      </c>
    </row>
    <row r="67" spans="1:55" x14ac:dyDescent="0.25">
      <c r="A67" s="47">
        <v>66</v>
      </c>
      <c r="B67" s="42">
        <v>0.34</v>
      </c>
      <c r="C67" s="42">
        <v>0.28000000000000003</v>
      </c>
      <c r="E67" s="3">
        <v>66</v>
      </c>
      <c r="F67" s="5">
        <v>20.420000000000002</v>
      </c>
      <c r="G67" s="5">
        <v>20.420000000000002</v>
      </c>
      <c r="H67" s="5">
        <v>22.98</v>
      </c>
      <c r="I67" s="5">
        <v>47.76</v>
      </c>
      <c r="J67" s="5">
        <v>50.15</v>
      </c>
      <c r="K67" s="5">
        <v>58.26</v>
      </c>
      <c r="L67" s="5">
        <v>66.36</v>
      </c>
      <c r="M67" s="5">
        <v>74.47</v>
      </c>
      <c r="N67" s="5">
        <v>75.19</v>
      </c>
      <c r="O67" s="5">
        <v>75.92</v>
      </c>
      <c r="P67" s="5">
        <v>76.63</v>
      </c>
      <c r="Q67" s="5">
        <v>77.349999999999994</v>
      </c>
      <c r="R67" s="5">
        <v>78.069999999999993</v>
      </c>
      <c r="S67" s="5">
        <v>78.8</v>
      </c>
      <c r="T67" s="5">
        <v>79.510000000000005</v>
      </c>
      <c r="U67" s="5">
        <v>91.69</v>
      </c>
      <c r="V67" s="5">
        <v>103.87</v>
      </c>
      <c r="W67" s="5">
        <v>116.04</v>
      </c>
      <c r="X67" s="5">
        <v>128.22</v>
      </c>
      <c r="Y67" s="5">
        <v>140.4</v>
      </c>
      <c r="Z67" s="5">
        <v>146.57</v>
      </c>
      <c r="AA67" s="5">
        <v>152.72999999999999</v>
      </c>
      <c r="AB67" s="5">
        <v>158.88999999999999</v>
      </c>
      <c r="AC67" s="5">
        <v>165.06</v>
      </c>
      <c r="AD67" s="5">
        <v>171.22</v>
      </c>
      <c r="AE67" s="5">
        <v>177.39</v>
      </c>
      <c r="AF67" s="5">
        <v>183.55</v>
      </c>
      <c r="AG67" s="5">
        <v>189.72</v>
      </c>
      <c r="AH67" s="5">
        <v>195.88</v>
      </c>
      <c r="AI67" s="5">
        <v>202.05</v>
      </c>
      <c r="AJ67" s="5">
        <v>202.43</v>
      </c>
      <c r="AK67" s="5">
        <v>202.82</v>
      </c>
      <c r="AL67" s="5">
        <v>203.2</v>
      </c>
      <c r="AM67" s="5">
        <v>203.59</v>
      </c>
      <c r="AN67" s="5">
        <v>203.97</v>
      </c>
      <c r="AO67" s="5">
        <v>204.36</v>
      </c>
      <c r="AP67" s="5">
        <v>204.75</v>
      </c>
      <c r="AQ67" s="5">
        <v>205.13</v>
      </c>
      <c r="AR67" s="5">
        <v>205.52</v>
      </c>
      <c r="AS67" s="5">
        <v>205.9</v>
      </c>
      <c r="AT67" s="5">
        <v>206.29</v>
      </c>
      <c r="AU67" s="5">
        <v>206.68</v>
      </c>
      <c r="AV67" s="5">
        <v>207.06</v>
      </c>
      <c r="AW67" s="5">
        <v>207.45</v>
      </c>
      <c r="AX67" s="5">
        <v>207.83</v>
      </c>
      <c r="AY67" s="5">
        <v>280.54000000000002</v>
      </c>
      <c r="AZ67" s="5">
        <v>353.25</v>
      </c>
      <c r="BA67" s="5">
        <v>425.96</v>
      </c>
      <c r="BB67" s="5">
        <v>498.67</v>
      </c>
      <c r="BC67" s="5">
        <v>571.38</v>
      </c>
    </row>
    <row r="68" spans="1:55" x14ac:dyDescent="0.25">
      <c r="A68" s="47">
        <v>67</v>
      </c>
      <c r="B68" s="42">
        <v>0.28999999999999998</v>
      </c>
      <c r="C68" s="42">
        <v>0.08</v>
      </c>
      <c r="E68" s="3">
        <v>67</v>
      </c>
      <c r="F68" s="5">
        <v>16.93</v>
      </c>
      <c r="G68" s="5">
        <v>16.93</v>
      </c>
      <c r="H68" s="5">
        <v>18.41</v>
      </c>
      <c r="I68" s="5">
        <v>34.29</v>
      </c>
      <c r="J68" s="5">
        <v>40.19</v>
      </c>
      <c r="K68" s="5">
        <v>42.48</v>
      </c>
      <c r="L68" s="5">
        <v>44.77</v>
      </c>
      <c r="M68" s="5">
        <v>47.06</v>
      </c>
      <c r="N68" s="5">
        <v>50.16</v>
      </c>
      <c r="O68" s="5">
        <v>53.27</v>
      </c>
      <c r="P68" s="5">
        <v>56.37</v>
      </c>
      <c r="Q68" s="5">
        <v>59.47</v>
      </c>
      <c r="R68" s="5">
        <v>62.58</v>
      </c>
      <c r="S68" s="5">
        <v>65.680000000000007</v>
      </c>
      <c r="T68" s="5">
        <v>68.78</v>
      </c>
      <c r="U68" s="5">
        <v>76.56</v>
      </c>
      <c r="V68" s="5">
        <v>84.33</v>
      </c>
      <c r="W68" s="5">
        <v>92.1</v>
      </c>
      <c r="X68" s="5">
        <v>99.88</v>
      </c>
      <c r="Y68" s="5">
        <v>107.65</v>
      </c>
      <c r="Z68" s="5">
        <v>112.34</v>
      </c>
      <c r="AA68" s="5">
        <v>117.03</v>
      </c>
      <c r="AB68" s="5">
        <v>121.72</v>
      </c>
      <c r="AC68" s="5">
        <v>126.41</v>
      </c>
      <c r="AD68" s="5">
        <v>131.1</v>
      </c>
      <c r="AE68" s="5">
        <v>135.79</v>
      </c>
      <c r="AF68" s="5">
        <v>140.47999999999999</v>
      </c>
      <c r="AG68" s="5">
        <v>145.16999999999999</v>
      </c>
      <c r="AH68" s="5">
        <v>149.86000000000001</v>
      </c>
      <c r="AI68" s="5">
        <v>154.55000000000001</v>
      </c>
      <c r="AJ68" s="5">
        <v>156.88999999999999</v>
      </c>
      <c r="AK68" s="5">
        <v>159.22</v>
      </c>
      <c r="AL68" s="5">
        <v>161.55000000000001</v>
      </c>
      <c r="AM68" s="5">
        <v>163.89</v>
      </c>
      <c r="AN68" s="5">
        <v>166.22</v>
      </c>
      <c r="AO68" s="5">
        <v>168.56</v>
      </c>
      <c r="AP68" s="5">
        <v>170.89</v>
      </c>
      <c r="AQ68" s="5">
        <v>173.23</v>
      </c>
      <c r="AR68" s="5">
        <v>175.56</v>
      </c>
      <c r="AS68" s="5">
        <v>177.89</v>
      </c>
      <c r="AT68" s="5">
        <v>180.23</v>
      </c>
      <c r="AU68" s="5">
        <v>182.56</v>
      </c>
      <c r="AV68" s="5">
        <v>184.9</v>
      </c>
      <c r="AW68" s="5">
        <v>187.23</v>
      </c>
      <c r="AX68" s="5">
        <v>189.57</v>
      </c>
      <c r="AY68" s="5">
        <v>223.21</v>
      </c>
      <c r="AZ68" s="5">
        <v>256.86</v>
      </c>
      <c r="BA68" s="5">
        <v>290.51</v>
      </c>
      <c r="BB68" s="5">
        <v>324.16000000000003</v>
      </c>
      <c r="BC68" s="5">
        <v>357.81</v>
      </c>
    </row>
    <row r="69" spans="1:55" x14ac:dyDescent="0.25">
      <c r="A69" s="47">
        <v>68</v>
      </c>
      <c r="B69" s="42">
        <v>0.28999999999999998</v>
      </c>
      <c r="C69" s="42">
        <v>0.08</v>
      </c>
      <c r="E69" s="3">
        <v>68</v>
      </c>
      <c r="F69" s="5">
        <v>18.34</v>
      </c>
      <c r="G69" s="5">
        <v>18.34</v>
      </c>
      <c r="H69" s="5">
        <v>20.37</v>
      </c>
      <c r="I69" s="5">
        <v>41.47</v>
      </c>
      <c r="J69" s="5">
        <v>44.07</v>
      </c>
      <c r="K69" s="5">
        <v>52.78</v>
      </c>
      <c r="L69" s="5">
        <v>61.48</v>
      </c>
      <c r="M69" s="5">
        <v>70.19</v>
      </c>
      <c r="N69" s="5">
        <v>70.73</v>
      </c>
      <c r="O69" s="5">
        <v>71.27</v>
      </c>
      <c r="P69" s="5">
        <v>71.81</v>
      </c>
      <c r="Q69" s="5">
        <v>72.34</v>
      </c>
      <c r="R69" s="5">
        <v>72.88</v>
      </c>
      <c r="S69" s="5">
        <v>73.41</v>
      </c>
      <c r="T69" s="5">
        <v>73.959999999999994</v>
      </c>
      <c r="U69" s="5">
        <v>85.09</v>
      </c>
      <c r="V69" s="5">
        <v>96.22</v>
      </c>
      <c r="W69" s="5">
        <v>107.35</v>
      </c>
      <c r="X69" s="5">
        <v>118.48</v>
      </c>
      <c r="Y69" s="5">
        <v>129.61000000000001</v>
      </c>
      <c r="Z69" s="5">
        <v>135.19999999999999</v>
      </c>
      <c r="AA69" s="5">
        <v>140.78</v>
      </c>
      <c r="AB69" s="5">
        <v>146.36000000000001</v>
      </c>
      <c r="AC69" s="5">
        <v>151.94</v>
      </c>
      <c r="AD69" s="5">
        <v>157.52000000000001</v>
      </c>
      <c r="AE69" s="5">
        <v>163.11000000000001</v>
      </c>
      <c r="AF69" s="5">
        <v>168.69</v>
      </c>
      <c r="AG69" s="5">
        <v>174.27</v>
      </c>
      <c r="AH69" s="5">
        <v>179.85</v>
      </c>
      <c r="AI69" s="5">
        <v>185.43</v>
      </c>
      <c r="AJ69" s="5">
        <v>185.94</v>
      </c>
      <c r="AK69" s="5">
        <v>186.45</v>
      </c>
      <c r="AL69" s="5">
        <v>186.96</v>
      </c>
      <c r="AM69" s="5">
        <v>187.47</v>
      </c>
      <c r="AN69" s="5">
        <v>187.98</v>
      </c>
      <c r="AO69" s="5">
        <v>188.49</v>
      </c>
      <c r="AP69" s="5">
        <v>189</v>
      </c>
      <c r="AQ69" s="5">
        <v>189.51</v>
      </c>
      <c r="AR69" s="5">
        <v>190.02</v>
      </c>
      <c r="AS69" s="5">
        <v>190.53</v>
      </c>
      <c r="AT69" s="5">
        <v>191.04</v>
      </c>
      <c r="AU69" s="5">
        <v>191.55</v>
      </c>
      <c r="AV69" s="5">
        <v>192.06</v>
      </c>
      <c r="AW69" s="5">
        <v>192.56</v>
      </c>
      <c r="AX69" s="5">
        <v>193.07</v>
      </c>
      <c r="AY69" s="5">
        <v>242.95</v>
      </c>
      <c r="AZ69" s="5">
        <v>292.82</v>
      </c>
      <c r="BA69" s="5">
        <v>342.69</v>
      </c>
      <c r="BB69" s="5">
        <v>392.56</v>
      </c>
      <c r="BC69" s="5">
        <v>442.44</v>
      </c>
    </row>
    <row r="70" spans="1:55" x14ac:dyDescent="0.25">
      <c r="A70" s="47">
        <v>69</v>
      </c>
      <c r="B70" s="42">
        <v>0.27</v>
      </c>
      <c r="C70" s="42">
        <v>0</v>
      </c>
      <c r="E70" s="3">
        <v>69</v>
      </c>
      <c r="F70" s="5">
        <v>17.350000000000001</v>
      </c>
      <c r="G70" s="5">
        <v>17.350000000000001</v>
      </c>
      <c r="H70" s="5">
        <v>18.93</v>
      </c>
      <c r="I70" s="5">
        <v>34.29</v>
      </c>
      <c r="J70" s="5">
        <v>40.19</v>
      </c>
      <c r="K70" s="5">
        <v>42.48</v>
      </c>
      <c r="L70" s="5">
        <v>44.77</v>
      </c>
      <c r="M70" s="5">
        <v>47.06</v>
      </c>
      <c r="N70" s="5">
        <v>50.16</v>
      </c>
      <c r="O70" s="5">
        <v>53.27</v>
      </c>
      <c r="P70" s="5">
        <v>56.37</v>
      </c>
      <c r="Q70" s="5">
        <v>59.47</v>
      </c>
      <c r="R70" s="5">
        <v>62.58</v>
      </c>
      <c r="S70" s="5">
        <v>65.680000000000007</v>
      </c>
      <c r="T70" s="5">
        <v>68.78</v>
      </c>
      <c r="U70" s="5">
        <v>76.56</v>
      </c>
      <c r="V70" s="5">
        <v>84.33</v>
      </c>
      <c r="W70" s="5">
        <v>92.1</v>
      </c>
      <c r="X70" s="5">
        <v>99.88</v>
      </c>
      <c r="Y70" s="5">
        <v>107.65</v>
      </c>
      <c r="Z70" s="5">
        <v>112.34</v>
      </c>
      <c r="AA70" s="5">
        <v>117.03</v>
      </c>
      <c r="AB70" s="5">
        <v>121.72</v>
      </c>
      <c r="AC70" s="5">
        <v>126.41</v>
      </c>
      <c r="AD70" s="5">
        <v>131.1</v>
      </c>
      <c r="AE70" s="5">
        <v>135.79</v>
      </c>
      <c r="AF70" s="5">
        <v>140.47999999999999</v>
      </c>
      <c r="AG70" s="5">
        <v>145.16999999999999</v>
      </c>
      <c r="AH70" s="5">
        <v>149.86000000000001</v>
      </c>
      <c r="AI70" s="5">
        <v>154.55000000000001</v>
      </c>
      <c r="AJ70" s="5">
        <v>156.88999999999999</v>
      </c>
      <c r="AK70" s="5">
        <v>159.22</v>
      </c>
      <c r="AL70" s="5">
        <v>161.55000000000001</v>
      </c>
      <c r="AM70" s="5">
        <v>163.89</v>
      </c>
      <c r="AN70" s="5">
        <v>166.22</v>
      </c>
      <c r="AO70" s="5">
        <v>168.56</v>
      </c>
      <c r="AP70" s="5">
        <v>170.89</v>
      </c>
      <c r="AQ70" s="5">
        <v>173.23</v>
      </c>
      <c r="AR70" s="5">
        <v>175.56</v>
      </c>
      <c r="AS70" s="5">
        <v>177.89</v>
      </c>
      <c r="AT70" s="5">
        <v>180.23</v>
      </c>
      <c r="AU70" s="5">
        <v>182.56</v>
      </c>
      <c r="AV70" s="5">
        <v>184.9</v>
      </c>
      <c r="AW70" s="5">
        <v>187.23</v>
      </c>
      <c r="AX70" s="5">
        <v>189.57</v>
      </c>
      <c r="AY70" s="5">
        <v>223.21</v>
      </c>
      <c r="AZ70" s="5">
        <v>256.86</v>
      </c>
      <c r="BA70" s="5">
        <v>290.51</v>
      </c>
      <c r="BB70" s="5">
        <v>324.16000000000003</v>
      </c>
      <c r="BC70" s="5">
        <v>357.81</v>
      </c>
    </row>
    <row r="71" spans="1:55" x14ac:dyDescent="0.25">
      <c r="A71" s="47">
        <v>70</v>
      </c>
      <c r="B71" s="42">
        <v>0.24</v>
      </c>
      <c r="C71" s="42">
        <v>0.12</v>
      </c>
      <c r="E71" s="3">
        <v>70</v>
      </c>
      <c r="F71" s="5">
        <v>17.34</v>
      </c>
      <c r="G71" s="5">
        <v>17.34</v>
      </c>
      <c r="H71" s="5">
        <v>18.93</v>
      </c>
      <c r="I71" s="5">
        <v>47.76</v>
      </c>
      <c r="J71" s="5">
        <v>50.15</v>
      </c>
      <c r="K71" s="5">
        <v>58.26</v>
      </c>
      <c r="L71" s="5">
        <v>66.36</v>
      </c>
      <c r="M71" s="5">
        <v>74.47</v>
      </c>
      <c r="N71" s="5">
        <v>75.19</v>
      </c>
      <c r="O71" s="5">
        <v>75.92</v>
      </c>
      <c r="P71" s="5">
        <v>76.63</v>
      </c>
      <c r="Q71" s="5">
        <v>77.349999999999994</v>
      </c>
      <c r="R71" s="5">
        <v>78.069999999999993</v>
      </c>
      <c r="S71" s="5">
        <v>78.8</v>
      </c>
      <c r="T71" s="5">
        <v>79.510000000000005</v>
      </c>
      <c r="U71" s="5">
        <v>91.69</v>
      </c>
      <c r="V71" s="5">
        <v>103.87</v>
      </c>
      <c r="W71" s="5">
        <v>116.04</v>
      </c>
      <c r="X71" s="5">
        <v>128.22</v>
      </c>
      <c r="Y71" s="5">
        <v>140.4</v>
      </c>
      <c r="Z71" s="5">
        <v>146.57</v>
      </c>
      <c r="AA71" s="5">
        <v>152.72999999999999</v>
      </c>
      <c r="AB71" s="5">
        <v>158.88999999999999</v>
      </c>
      <c r="AC71" s="5">
        <v>165.06</v>
      </c>
      <c r="AD71" s="5">
        <v>171.22</v>
      </c>
      <c r="AE71" s="5">
        <v>177.39</v>
      </c>
      <c r="AF71" s="5">
        <v>183.55</v>
      </c>
      <c r="AG71" s="5">
        <v>189.72</v>
      </c>
      <c r="AH71" s="5">
        <v>195.88</v>
      </c>
      <c r="AI71" s="5">
        <v>202.05</v>
      </c>
      <c r="AJ71" s="5">
        <v>202.43</v>
      </c>
      <c r="AK71" s="5">
        <v>202.82</v>
      </c>
      <c r="AL71" s="5">
        <v>203.2</v>
      </c>
      <c r="AM71" s="5">
        <v>203.59</v>
      </c>
      <c r="AN71" s="5">
        <v>203.97</v>
      </c>
      <c r="AO71" s="5">
        <v>204.36</v>
      </c>
      <c r="AP71" s="5">
        <v>204.75</v>
      </c>
      <c r="AQ71" s="5">
        <v>205.13</v>
      </c>
      <c r="AR71" s="5">
        <v>205.52</v>
      </c>
      <c r="AS71" s="5">
        <v>205.9</v>
      </c>
      <c r="AT71" s="5">
        <v>206.29</v>
      </c>
      <c r="AU71" s="5">
        <v>206.68</v>
      </c>
      <c r="AV71" s="5">
        <v>207.06</v>
      </c>
      <c r="AW71" s="5">
        <v>207.45</v>
      </c>
      <c r="AX71" s="5">
        <v>207.83</v>
      </c>
      <c r="AY71" s="5">
        <v>280.54000000000002</v>
      </c>
      <c r="AZ71" s="5">
        <v>353.25</v>
      </c>
      <c r="BA71" s="5">
        <v>425.96</v>
      </c>
      <c r="BB71" s="5">
        <v>498.67</v>
      </c>
      <c r="BC71" s="5">
        <v>571.38</v>
      </c>
    </row>
    <row r="72" spans="1:55" x14ac:dyDescent="0.25">
      <c r="A72" s="47">
        <v>71</v>
      </c>
      <c r="B72" s="42">
        <v>0.27</v>
      </c>
      <c r="C72" s="42">
        <v>0</v>
      </c>
      <c r="E72" s="3">
        <v>71</v>
      </c>
      <c r="F72" s="5">
        <v>18.45</v>
      </c>
      <c r="G72" s="5">
        <v>18.45</v>
      </c>
      <c r="H72" s="5">
        <v>21.34</v>
      </c>
      <c r="I72" s="5">
        <v>41.47</v>
      </c>
      <c r="J72" s="5">
        <v>44.07</v>
      </c>
      <c r="K72" s="5">
        <v>52.78</v>
      </c>
      <c r="L72" s="5">
        <v>61.48</v>
      </c>
      <c r="M72" s="5">
        <v>70.19</v>
      </c>
      <c r="N72" s="5">
        <v>70.73</v>
      </c>
      <c r="O72" s="5">
        <v>71.27</v>
      </c>
      <c r="P72" s="5">
        <v>71.81</v>
      </c>
      <c r="Q72" s="5">
        <v>72.34</v>
      </c>
      <c r="R72" s="5">
        <v>72.88</v>
      </c>
      <c r="S72" s="5">
        <v>73.41</v>
      </c>
      <c r="T72" s="5">
        <v>73.959999999999994</v>
      </c>
      <c r="U72" s="5">
        <v>85.09</v>
      </c>
      <c r="V72" s="5">
        <v>96.22</v>
      </c>
      <c r="W72" s="5">
        <v>107.35</v>
      </c>
      <c r="X72" s="5">
        <v>118.48</v>
      </c>
      <c r="Y72" s="5">
        <v>129.61000000000001</v>
      </c>
      <c r="Z72" s="5">
        <v>135.19999999999999</v>
      </c>
      <c r="AA72" s="5">
        <v>140.78</v>
      </c>
      <c r="AB72" s="5">
        <v>146.36000000000001</v>
      </c>
      <c r="AC72" s="5">
        <v>151.94</v>
      </c>
      <c r="AD72" s="5">
        <v>157.52000000000001</v>
      </c>
      <c r="AE72" s="5">
        <v>163.11000000000001</v>
      </c>
      <c r="AF72" s="5">
        <v>168.69</v>
      </c>
      <c r="AG72" s="5">
        <v>174.27</v>
      </c>
      <c r="AH72" s="5">
        <v>179.85</v>
      </c>
      <c r="AI72" s="5">
        <v>185.43</v>
      </c>
      <c r="AJ72" s="5">
        <v>185.94</v>
      </c>
      <c r="AK72" s="5">
        <v>186.45</v>
      </c>
      <c r="AL72" s="5">
        <v>186.96</v>
      </c>
      <c r="AM72" s="5">
        <v>187.47</v>
      </c>
      <c r="AN72" s="5">
        <v>187.98</v>
      </c>
      <c r="AO72" s="5">
        <v>188.49</v>
      </c>
      <c r="AP72" s="5">
        <v>189</v>
      </c>
      <c r="AQ72" s="5">
        <v>189.51</v>
      </c>
      <c r="AR72" s="5">
        <v>190.02</v>
      </c>
      <c r="AS72" s="5">
        <v>190.53</v>
      </c>
      <c r="AT72" s="5">
        <v>191.04</v>
      </c>
      <c r="AU72" s="5">
        <v>191.55</v>
      </c>
      <c r="AV72" s="5">
        <v>192.06</v>
      </c>
      <c r="AW72" s="5">
        <v>192.56</v>
      </c>
      <c r="AX72" s="5">
        <v>193.07</v>
      </c>
      <c r="AY72" s="5">
        <v>242.95</v>
      </c>
      <c r="AZ72" s="5">
        <v>292.82</v>
      </c>
      <c r="BA72" s="5">
        <v>342.69</v>
      </c>
      <c r="BB72" s="5">
        <v>392.56</v>
      </c>
      <c r="BC72" s="5">
        <v>442.44</v>
      </c>
    </row>
    <row r="73" spans="1:55" x14ac:dyDescent="0.25">
      <c r="A73" s="47">
        <v>72</v>
      </c>
      <c r="B73" s="42">
        <v>0.21</v>
      </c>
      <c r="C73" s="42">
        <v>0.12</v>
      </c>
      <c r="E73" s="3">
        <v>72</v>
      </c>
      <c r="F73" s="5">
        <v>14.31</v>
      </c>
      <c r="G73" s="5">
        <v>14.31</v>
      </c>
      <c r="H73" s="5">
        <v>15.78</v>
      </c>
      <c r="I73" s="5">
        <v>47.76</v>
      </c>
      <c r="J73" s="5">
        <v>50.15</v>
      </c>
      <c r="K73" s="5">
        <v>58.26</v>
      </c>
      <c r="L73" s="5">
        <v>66.36</v>
      </c>
      <c r="M73" s="5">
        <v>74.47</v>
      </c>
      <c r="N73" s="5">
        <v>75.19</v>
      </c>
      <c r="O73" s="5">
        <v>75.92</v>
      </c>
      <c r="P73" s="5">
        <v>76.63</v>
      </c>
      <c r="Q73" s="5">
        <v>77.349999999999994</v>
      </c>
      <c r="R73" s="5">
        <v>78.069999999999993</v>
      </c>
      <c r="S73" s="5">
        <v>78.8</v>
      </c>
      <c r="T73" s="5">
        <v>79.510000000000005</v>
      </c>
      <c r="U73" s="5">
        <v>91.69</v>
      </c>
      <c r="V73" s="5">
        <v>103.87</v>
      </c>
      <c r="W73" s="5">
        <v>116.04</v>
      </c>
      <c r="X73" s="5">
        <v>128.22</v>
      </c>
      <c r="Y73" s="5">
        <v>140.4</v>
      </c>
      <c r="Z73" s="5">
        <v>146.57</v>
      </c>
      <c r="AA73" s="5">
        <v>152.72999999999999</v>
      </c>
      <c r="AB73" s="5">
        <v>158.88999999999999</v>
      </c>
      <c r="AC73" s="5">
        <v>165.06</v>
      </c>
      <c r="AD73" s="5">
        <v>171.22</v>
      </c>
      <c r="AE73" s="5">
        <v>177.39</v>
      </c>
      <c r="AF73" s="5">
        <v>183.55</v>
      </c>
      <c r="AG73" s="5">
        <v>189.72</v>
      </c>
      <c r="AH73" s="5">
        <v>195.88</v>
      </c>
      <c r="AI73" s="5">
        <v>202.05</v>
      </c>
      <c r="AJ73" s="5">
        <v>202.43</v>
      </c>
      <c r="AK73" s="5">
        <v>202.82</v>
      </c>
      <c r="AL73" s="5">
        <v>203.2</v>
      </c>
      <c r="AM73" s="5">
        <v>203.59</v>
      </c>
      <c r="AN73" s="5">
        <v>203.97</v>
      </c>
      <c r="AO73" s="5">
        <v>204.36</v>
      </c>
      <c r="AP73" s="5">
        <v>204.75</v>
      </c>
      <c r="AQ73" s="5">
        <v>205.13</v>
      </c>
      <c r="AR73" s="5">
        <v>205.52</v>
      </c>
      <c r="AS73" s="5">
        <v>205.9</v>
      </c>
      <c r="AT73" s="5">
        <v>206.29</v>
      </c>
      <c r="AU73" s="5">
        <v>206.68</v>
      </c>
      <c r="AV73" s="5">
        <v>207.06</v>
      </c>
      <c r="AW73" s="5">
        <v>207.45</v>
      </c>
      <c r="AX73" s="5">
        <v>207.83</v>
      </c>
      <c r="AY73" s="5">
        <v>280.54000000000002</v>
      </c>
      <c r="AZ73" s="5">
        <v>353.25</v>
      </c>
      <c r="BA73" s="5">
        <v>425.96</v>
      </c>
      <c r="BB73" s="5">
        <v>498.67</v>
      </c>
      <c r="BC73" s="5">
        <v>571.38</v>
      </c>
    </row>
    <row r="74" spans="1:55" x14ac:dyDescent="0.25">
      <c r="A74" s="47">
        <v>73</v>
      </c>
      <c r="B74" s="42">
        <v>0.27</v>
      </c>
      <c r="C74" s="42">
        <v>0</v>
      </c>
      <c r="E74" s="3">
        <v>73</v>
      </c>
      <c r="F74" s="5">
        <v>22.92</v>
      </c>
      <c r="G74" s="5">
        <v>22.92</v>
      </c>
      <c r="H74" s="5">
        <v>25.9</v>
      </c>
      <c r="I74" s="5">
        <v>47.76</v>
      </c>
      <c r="J74" s="5">
        <v>50.15</v>
      </c>
      <c r="K74" s="5">
        <v>58.26</v>
      </c>
      <c r="L74" s="5">
        <v>66.36</v>
      </c>
      <c r="M74" s="5">
        <v>74.47</v>
      </c>
      <c r="N74" s="5">
        <v>75.19</v>
      </c>
      <c r="O74" s="5">
        <v>75.92</v>
      </c>
      <c r="P74" s="5">
        <v>76.63</v>
      </c>
      <c r="Q74" s="5">
        <v>77.349999999999994</v>
      </c>
      <c r="R74" s="5">
        <v>78.069999999999993</v>
      </c>
      <c r="S74" s="5">
        <v>78.8</v>
      </c>
      <c r="T74" s="5">
        <v>79.510000000000005</v>
      </c>
      <c r="U74" s="5">
        <v>91.69</v>
      </c>
      <c r="V74" s="5">
        <v>103.87</v>
      </c>
      <c r="W74" s="5">
        <v>116.04</v>
      </c>
      <c r="X74" s="5">
        <v>128.22</v>
      </c>
      <c r="Y74" s="5">
        <v>140.4</v>
      </c>
      <c r="Z74" s="5">
        <v>146.57</v>
      </c>
      <c r="AA74" s="5">
        <v>152.72999999999999</v>
      </c>
      <c r="AB74" s="5">
        <v>158.88999999999999</v>
      </c>
      <c r="AC74" s="5">
        <v>165.06</v>
      </c>
      <c r="AD74" s="5">
        <v>171.22</v>
      </c>
      <c r="AE74" s="5">
        <v>177.39</v>
      </c>
      <c r="AF74" s="5">
        <v>183.55</v>
      </c>
      <c r="AG74" s="5">
        <v>189.72</v>
      </c>
      <c r="AH74" s="5">
        <v>195.88</v>
      </c>
      <c r="AI74" s="5">
        <v>202.05</v>
      </c>
      <c r="AJ74" s="5">
        <v>202.43</v>
      </c>
      <c r="AK74" s="5">
        <v>202.82</v>
      </c>
      <c r="AL74" s="5">
        <v>203.2</v>
      </c>
      <c r="AM74" s="5">
        <v>203.59</v>
      </c>
      <c r="AN74" s="5">
        <v>203.97</v>
      </c>
      <c r="AO74" s="5">
        <v>204.36</v>
      </c>
      <c r="AP74" s="5">
        <v>204.75</v>
      </c>
      <c r="AQ74" s="5">
        <v>205.13</v>
      </c>
      <c r="AR74" s="5">
        <v>205.52</v>
      </c>
      <c r="AS74" s="5">
        <v>205.9</v>
      </c>
      <c r="AT74" s="5">
        <v>206.29</v>
      </c>
      <c r="AU74" s="5">
        <v>206.68</v>
      </c>
      <c r="AV74" s="5">
        <v>207.06</v>
      </c>
      <c r="AW74" s="5">
        <v>207.45</v>
      </c>
      <c r="AX74" s="5">
        <v>207.83</v>
      </c>
      <c r="AY74" s="5">
        <v>280.54000000000002</v>
      </c>
      <c r="AZ74" s="5">
        <v>353.25</v>
      </c>
      <c r="BA74" s="5">
        <v>425.96</v>
      </c>
      <c r="BB74" s="5">
        <v>498.67</v>
      </c>
      <c r="BC74" s="5">
        <v>571.38</v>
      </c>
    </row>
    <row r="75" spans="1:55" x14ac:dyDescent="0.25">
      <c r="A75" s="47">
        <v>74</v>
      </c>
      <c r="B75" s="42">
        <v>0.26</v>
      </c>
      <c r="C75" s="42">
        <v>0</v>
      </c>
      <c r="E75" s="3">
        <v>74</v>
      </c>
      <c r="F75" s="5">
        <v>18.420000000000002</v>
      </c>
      <c r="G75" s="5">
        <v>18.420000000000002</v>
      </c>
      <c r="H75" s="5">
        <v>20.260000000000002</v>
      </c>
      <c r="I75" s="5">
        <v>47.76</v>
      </c>
      <c r="J75" s="5">
        <v>50.15</v>
      </c>
      <c r="K75" s="5">
        <v>58.26</v>
      </c>
      <c r="L75" s="5">
        <v>66.36</v>
      </c>
      <c r="M75" s="5">
        <v>74.47</v>
      </c>
      <c r="N75" s="5">
        <v>75.19</v>
      </c>
      <c r="O75" s="5">
        <v>75.92</v>
      </c>
      <c r="P75" s="5">
        <v>76.63</v>
      </c>
      <c r="Q75" s="5">
        <v>77.349999999999994</v>
      </c>
      <c r="R75" s="5">
        <v>78.069999999999993</v>
      </c>
      <c r="S75" s="5">
        <v>78.8</v>
      </c>
      <c r="T75" s="5">
        <v>79.510000000000005</v>
      </c>
      <c r="U75" s="5">
        <v>91.69</v>
      </c>
      <c r="V75" s="5">
        <v>103.87</v>
      </c>
      <c r="W75" s="5">
        <v>116.04</v>
      </c>
      <c r="X75" s="5">
        <v>128.22</v>
      </c>
      <c r="Y75" s="5">
        <v>140.4</v>
      </c>
      <c r="Z75" s="5">
        <v>146.57</v>
      </c>
      <c r="AA75" s="5">
        <v>152.72999999999999</v>
      </c>
      <c r="AB75" s="5">
        <v>158.88999999999999</v>
      </c>
      <c r="AC75" s="5">
        <v>165.06</v>
      </c>
      <c r="AD75" s="5">
        <v>171.22</v>
      </c>
      <c r="AE75" s="5">
        <v>177.39</v>
      </c>
      <c r="AF75" s="5">
        <v>183.55</v>
      </c>
      <c r="AG75" s="5">
        <v>189.72</v>
      </c>
      <c r="AH75" s="5">
        <v>195.88</v>
      </c>
      <c r="AI75" s="5">
        <v>202.05</v>
      </c>
      <c r="AJ75" s="5">
        <v>202.43</v>
      </c>
      <c r="AK75" s="5">
        <v>202.82</v>
      </c>
      <c r="AL75" s="5">
        <v>203.2</v>
      </c>
      <c r="AM75" s="5">
        <v>203.59</v>
      </c>
      <c r="AN75" s="5">
        <v>203.97</v>
      </c>
      <c r="AO75" s="5">
        <v>204.36</v>
      </c>
      <c r="AP75" s="5">
        <v>204.75</v>
      </c>
      <c r="AQ75" s="5">
        <v>205.13</v>
      </c>
      <c r="AR75" s="5">
        <v>205.52</v>
      </c>
      <c r="AS75" s="5">
        <v>205.9</v>
      </c>
      <c r="AT75" s="5">
        <v>206.29</v>
      </c>
      <c r="AU75" s="5">
        <v>206.68</v>
      </c>
      <c r="AV75" s="5">
        <v>207.06</v>
      </c>
      <c r="AW75" s="5">
        <v>207.45</v>
      </c>
      <c r="AX75" s="5">
        <v>207.83</v>
      </c>
      <c r="AY75" s="5">
        <v>280.54000000000002</v>
      </c>
      <c r="AZ75" s="5">
        <v>353.25</v>
      </c>
      <c r="BA75" s="5">
        <v>425.96</v>
      </c>
      <c r="BB75" s="5">
        <v>498.67</v>
      </c>
      <c r="BC75" s="5">
        <v>571.38</v>
      </c>
    </row>
    <row r="76" spans="1:55" x14ac:dyDescent="0.25">
      <c r="A76" s="47">
        <v>75</v>
      </c>
      <c r="B76" s="42">
        <v>0</v>
      </c>
      <c r="C76" s="42">
        <v>0</v>
      </c>
      <c r="E76" s="3">
        <v>75</v>
      </c>
      <c r="F76" s="5">
        <v>19.7</v>
      </c>
      <c r="G76" s="5">
        <v>19.7</v>
      </c>
      <c r="H76" s="5">
        <v>20.87</v>
      </c>
      <c r="I76" s="5">
        <v>26.16</v>
      </c>
      <c r="J76" s="5">
        <v>32.53</v>
      </c>
      <c r="K76" s="5">
        <v>34.26</v>
      </c>
      <c r="L76" s="5">
        <v>35.979999999999997</v>
      </c>
      <c r="M76" s="5">
        <v>37.71</v>
      </c>
      <c r="N76" s="5">
        <v>40.19</v>
      </c>
      <c r="O76" s="5">
        <v>42.66</v>
      </c>
      <c r="P76" s="5">
        <v>45.14</v>
      </c>
      <c r="Q76" s="5">
        <v>47.61</v>
      </c>
      <c r="R76" s="5">
        <v>50.09</v>
      </c>
      <c r="S76" s="5">
        <v>52.57</v>
      </c>
      <c r="T76" s="5">
        <v>55.05</v>
      </c>
      <c r="U76" s="5">
        <v>56.79</v>
      </c>
      <c r="V76" s="5">
        <v>58.53</v>
      </c>
      <c r="W76" s="5">
        <v>60.27</v>
      </c>
      <c r="X76" s="5">
        <v>62.01</v>
      </c>
      <c r="Y76" s="5">
        <v>63.75</v>
      </c>
      <c r="Z76" s="5">
        <v>65.66</v>
      </c>
      <c r="AA76" s="5">
        <v>67.569999999999993</v>
      </c>
      <c r="AB76" s="5">
        <v>69.47</v>
      </c>
      <c r="AC76" s="5">
        <v>71.38</v>
      </c>
      <c r="AD76" s="5">
        <v>73.28</v>
      </c>
      <c r="AE76" s="5">
        <v>75.19</v>
      </c>
      <c r="AF76" s="5">
        <v>77.099999999999994</v>
      </c>
      <c r="AG76" s="5">
        <v>79</v>
      </c>
      <c r="AH76" s="5">
        <v>80.91</v>
      </c>
      <c r="AI76" s="5">
        <v>82.81</v>
      </c>
      <c r="AJ76" s="5">
        <v>88.14</v>
      </c>
      <c r="AK76" s="5">
        <v>93.46</v>
      </c>
      <c r="AL76" s="5">
        <v>98.78</v>
      </c>
      <c r="AM76" s="5">
        <v>104.11</v>
      </c>
      <c r="AN76" s="5">
        <v>109.43</v>
      </c>
      <c r="AO76" s="5">
        <v>114.75</v>
      </c>
      <c r="AP76" s="5">
        <v>120.07</v>
      </c>
      <c r="AQ76" s="5">
        <v>125.4</v>
      </c>
      <c r="AR76" s="5">
        <v>130.72</v>
      </c>
      <c r="AS76" s="5">
        <v>136.04</v>
      </c>
      <c r="AT76" s="5">
        <v>141.37</v>
      </c>
      <c r="AU76" s="5">
        <v>146.69</v>
      </c>
      <c r="AV76" s="5">
        <v>152.01</v>
      </c>
      <c r="AW76" s="5">
        <v>157.33000000000001</v>
      </c>
      <c r="AX76" s="5">
        <v>162.66</v>
      </c>
      <c r="AY76" s="5">
        <v>178.59</v>
      </c>
      <c r="AZ76" s="5">
        <v>194.53</v>
      </c>
      <c r="BA76" s="5">
        <v>210.47</v>
      </c>
      <c r="BB76" s="5">
        <v>226.41</v>
      </c>
      <c r="BC76" s="5">
        <v>242.35</v>
      </c>
    </row>
    <row r="77" spans="1:55" x14ac:dyDescent="0.25">
      <c r="A77" s="47">
        <v>76</v>
      </c>
      <c r="B77" s="42">
        <v>0.17</v>
      </c>
      <c r="C77" s="42">
        <v>0.17</v>
      </c>
      <c r="E77" s="3">
        <v>76</v>
      </c>
      <c r="F77" s="5">
        <v>16.010000000000002</v>
      </c>
      <c r="G77" s="5">
        <v>16.010000000000002</v>
      </c>
      <c r="H77" s="5">
        <v>17.260000000000002</v>
      </c>
      <c r="I77" s="5">
        <v>34.29</v>
      </c>
      <c r="J77" s="5">
        <v>40.19</v>
      </c>
      <c r="K77" s="5">
        <v>42.48</v>
      </c>
      <c r="L77" s="5">
        <v>44.77</v>
      </c>
      <c r="M77" s="5">
        <v>47.06</v>
      </c>
      <c r="N77" s="5">
        <v>50.16</v>
      </c>
      <c r="O77" s="5">
        <v>53.27</v>
      </c>
      <c r="P77" s="5">
        <v>56.37</v>
      </c>
      <c r="Q77" s="5">
        <v>59.47</v>
      </c>
      <c r="R77" s="5">
        <v>62.58</v>
      </c>
      <c r="S77" s="5">
        <v>65.680000000000007</v>
      </c>
      <c r="T77" s="5">
        <v>68.78</v>
      </c>
      <c r="U77" s="5">
        <v>76.56</v>
      </c>
      <c r="V77" s="5">
        <v>84.33</v>
      </c>
      <c r="W77" s="5">
        <v>92.1</v>
      </c>
      <c r="X77" s="5">
        <v>99.88</v>
      </c>
      <c r="Y77" s="5">
        <v>107.65</v>
      </c>
      <c r="Z77" s="5">
        <v>112.34</v>
      </c>
      <c r="AA77" s="5">
        <v>117.03</v>
      </c>
      <c r="AB77" s="5">
        <v>121.72</v>
      </c>
      <c r="AC77" s="5">
        <v>126.41</v>
      </c>
      <c r="AD77" s="5">
        <v>131.1</v>
      </c>
      <c r="AE77" s="5">
        <v>135.79</v>
      </c>
      <c r="AF77" s="5">
        <v>140.47999999999999</v>
      </c>
      <c r="AG77" s="5">
        <v>145.16999999999999</v>
      </c>
      <c r="AH77" s="5">
        <v>149.86000000000001</v>
      </c>
      <c r="AI77" s="5">
        <v>154.55000000000001</v>
      </c>
      <c r="AJ77" s="5">
        <v>156.88999999999999</v>
      </c>
      <c r="AK77" s="5">
        <v>159.22</v>
      </c>
      <c r="AL77" s="5">
        <v>161.55000000000001</v>
      </c>
      <c r="AM77" s="5">
        <v>163.89</v>
      </c>
      <c r="AN77" s="5">
        <v>166.22</v>
      </c>
      <c r="AO77" s="5">
        <v>168.56</v>
      </c>
      <c r="AP77" s="5">
        <v>170.89</v>
      </c>
      <c r="AQ77" s="5">
        <v>173.23</v>
      </c>
      <c r="AR77" s="5">
        <v>175.56</v>
      </c>
      <c r="AS77" s="5">
        <v>177.89</v>
      </c>
      <c r="AT77" s="5">
        <v>180.23</v>
      </c>
      <c r="AU77" s="5">
        <v>182.56</v>
      </c>
      <c r="AV77" s="5">
        <v>184.9</v>
      </c>
      <c r="AW77" s="5">
        <v>187.23</v>
      </c>
      <c r="AX77" s="5">
        <v>189.57</v>
      </c>
      <c r="AY77" s="5">
        <v>223.21</v>
      </c>
      <c r="AZ77" s="5">
        <v>256.86</v>
      </c>
      <c r="BA77" s="5">
        <v>290.51</v>
      </c>
      <c r="BB77" s="5">
        <v>324.16000000000003</v>
      </c>
      <c r="BC77" s="5">
        <v>357.81</v>
      </c>
    </row>
    <row r="78" spans="1:55" x14ac:dyDescent="0.25">
      <c r="A78" s="47">
        <v>77</v>
      </c>
      <c r="B78" s="42">
        <v>0</v>
      </c>
      <c r="C78" s="42">
        <v>0</v>
      </c>
      <c r="E78" s="3">
        <v>77</v>
      </c>
      <c r="F78" s="5">
        <v>14.57</v>
      </c>
      <c r="G78" s="5">
        <v>14.57</v>
      </c>
      <c r="H78" s="5">
        <v>15.51</v>
      </c>
      <c r="I78" s="5">
        <v>26.16</v>
      </c>
      <c r="J78" s="5">
        <v>32.53</v>
      </c>
      <c r="K78" s="5">
        <v>34.26</v>
      </c>
      <c r="L78" s="5">
        <v>35.979999999999997</v>
      </c>
      <c r="M78" s="5">
        <v>37.71</v>
      </c>
      <c r="N78" s="5">
        <v>40.19</v>
      </c>
      <c r="O78" s="5">
        <v>42.66</v>
      </c>
      <c r="P78" s="5">
        <v>45.14</v>
      </c>
      <c r="Q78" s="5">
        <v>47.61</v>
      </c>
      <c r="R78" s="5">
        <v>50.09</v>
      </c>
      <c r="S78" s="5">
        <v>52.57</v>
      </c>
      <c r="T78" s="5">
        <v>55.05</v>
      </c>
      <c r="U78" s="5">
        <v>56.79</v>
      </c>
      <c r="V78" s="5">
        <v>58.53</v>
      </c>
      <c r="W78" s="5">
        <v>60.27</v>
      </c>
      <c r="X78" s="5">
        <v>62.01</v>
      </c>
      <c r="Y78" s="5">
        <v>63.75</v>
      </c>
      <c r="Z78" s="5">
        <v>65.66</v>
      </c>
      <c r="AA78" s="5">
        <v>67.569999999999993</v>
      </c>
      <c r="AB78" s="5">
        <v>69.47</v>
      </c>
      <c r="AC78" s="5">
        <v>71.38</v>
      </c>
      <c r="AD78" s="5">
        <v>73.28</v>
      </c>
      <c r="AE78" s="5">
        <v>75.19</v>
      </c>
      <c r="AF78" s="5">
        <v>77.099999999999994</v>
      </c>
      <c r="AG78" s="5">
        <v>79</v>
      </c>
      <c r="AH78" s="5">
        <v>80.91</v>
      </c>
      <c r="AI78" s="5">
        <v>82.81</v>
      </c>
      <c r="AJ78" s="5">
        <v>88.14</v>
      </c>
      <c r="AK78" s="5">
        <v>93.46</v>
      </c>
      <c r="AL78" s="5">
        <v>98.78</v>
      </c>
      <c r="AM78" s="5">
        <v>104.11</v>
      </c>
      <c r="AN78" s="5">
        <v>109.43</v>
      </c>
      <c r="AO78" s="5">
        <v>114.75</v>
      </c>
      <c r="AP78" s="5">
        <v>120.07</v>
      </c>
      <c r="AQ78" s="5">
        <v>125.4</v>
      </c>
      <c r="AR78" s="5">
        <v>130.72</v>
      </c>
      <c r="AS78" s="5">
        <v>136.04</v>
      </c>
      <c r="AT78" s="5">
        <v>141.37</v>
      </c>
      <c r="AU78" s="5">
        <v>146.69</v>
      </c>
      <c r="AV78" s="5">
        <v>152.01</v>
      </c>
      <c r="AW78" s="5">
        <v>157.33000000000001</v>
      </c>
      <c r="AX78" s="5">
        <v>162.66</v>
      </c>
      <c r="AY78" s="5">
        <v>178.59</v>
      </c>
      <c r="AZ78" s="5">
        <v>194.53</v>
      </c>
      <c r="BA78" s="5">
        <v>210.47</v>
      </c>
      <c r="BB78" s="5">
        <v>226.41</v>
      </c>
      <c r="BC78" s="5">
        <v>242.35</v>
      </c>
    </row>
    <row r="79" spans="1:55" x14ac:dyDescent="0.25">
      <c r="A79" s="47">
        <v>78</v>
      </c>
      <c r="B79" s="42">
        <v>0</v>
      </c>
      <c r="C79" s="42">
        <v>0</v>
      </c>
      <c r="E79" s="3">
        <v>78</v>
      </c>
      <c r="F79" s="5">
        <v>15.28</v>
      </c>
      <c r="G79" s="5">
        <v>15.28</v>
      </c>
      <c r="H79" s="5">
        <v>16.350000000000001</v>
      </c>
      <c r="I79" s="5">
        <v>26.16</v>
      </c>
      <c r="J79" s="5">
        <v>32.53</v>
      </c>
      <c r="K79" s="5">
        <v>34.26</v>
      </c>
      <c r="L79" s="5">
        <v>35.979999999999997</v>
      </c>
      <c r="M79" s="5">
        <v>37.71</v>
      </c>
      <c r="N79" s="5">
        <v>40.19</v>
      </c>
      <c r="O79" s="5">
        <v>42.66</v>
      </c>
      <c r="P79" s="5">
        <v>45.14</v>
      </c>
      <c r="Q79" s="5">
        <v>47.61</v>
      </c>
      <c r="R79" s="5">
        <v>50.09</v>
      </c>
      <c r="S79" s="5">
        <v>52.57</v>
      </c>
      <c r="T79" s="5">
        <v>55.05</v>
      </c>
      <c r="U79" s="5">
        <v>56.79</v>
      </c>
      <c r="V79" s="5">
        <v>58.53</v>
      </c>
      <c r="W79" s="5">
        <v>60.27</v>
      </c>
      <c r="X79" s="5">
        <v>62.01</v>
      </c>
      <c r="Y79" s="5">
        <v>63.75</v>
      </c>
      <c r="Z79" s="5">
        <v>65.66</v>
      </c>
      <c r="AA79" s="5">
        <v>67.569999999999993</v>
      </c>
      <c r="AB79" s="5">
        <v>69.47</v>
      </c>
      <c r="AC79" s="5">
        <v>71.38</v>
      </c>
      <c r="AD79" s="5">
        <v>73.28</v>
      </c>
      <c r="AE79" s="5">
        <v>75.19</v>
      </c>
      <c r="AF79" s="5">
        <v>77.099999999999994</v>
      </c>
      <c r="AG79" s="5">
        <v>79</v>
      </c>
      <c r="AH79" s="5">
        <v>80.91</v>
      </c>
      <c r="AI79" s="5">
        <v>82.81</v>
      </c>
      <c r="AJ79" s="5">
        <v>88.14</v>
      </c>
      <c r="AK79" s="5">
        <v>93.46</v>
      </c>
      <c r="AL79" s="5">
        <v>98.78</v>
      </c>
      <c r="AM79" s="5">
        <v>104.11</v>
      </c>
      <c r="AN79" s="5">
        <v>109.43</v>
      </c>
      <c r="AO79" s="5">
        <v>114.75</v>
      </c>
      <c r="AP79" s="5">
        <v>120.07</v>
      </c>
      <c r="AQ79" s="5">
        <v>125.4</v>
      </c>
      <c r="AR79" s="5">
        <v>130.72</v>
      </c>
      <c r="AS79" s="5">
        <v>136.04</v>
      </c>
      <c r="AT79" s="5">
        <v>141.37</v>
      </c>
      <c r="AU79" s="5">
        <v>146.69</v>
      </c>
      <c r="AV79" s="5">
        <v>152.01</v>
      </c>
      <c r="AW79" s="5">
        <v>157.33000000000001</v>
      </c>
      <c r="AX79" s="5">
        <v>162.66</v>
      </c>
      <c r="AY79" s="5">
        <v>178.59</v>
      </c>
      <c r="AZ79" s="5">
        <v>194.53</v>
      </c>
      <c r="BA79" s="5">
        <v>210.47</v>
      </c>
      <c r="BB79" s="5">
        <v>226.41</v>
      </c>
      <c r="BC79" s="5">
        <v>242.35</v>
      </c>
    </row>
    <row r="80" spans="1:55" x14ac:dyDescent="0.25">
      <c r="A80" s="47">
        <v>79</v>
      </c>
      <c r="B80" s="42">
        <v>0.21</v>
      </c>
      <c r="C80" s="42">
        <v>0.12</v>
      </c>
      <c r="E80" s="3">
        <v>79</v>
      </c>
      <c r="F80" s="5">
        <v>15.77</v>
      </c>
      <c r="G80" s="5">
        <v>15.77</v>
      </c>
      <c r="H80" s="5">
        <v>17.77</v>
      </c>
      <c r="I80" s="5">
        <v>47.76</v>
      </c>
      <c r="J80" s="5">
        <v>50.15</v>
      </c>
      <c r="K80" s="5">
        <v>58.26</v>
      </c>
      <c r="L80" s="5">
        <v>66.36</v>
      </c>
      <c r="M80" s="5">
        <v>74.47</v>
      </c>
      <c r="N80" s="5">
        <v>75.19</v>
      </c>
      <c r="O80" s="5">
        <v>75.92</v>
      </c>
      <c r="P80" s="5">
        <v>76.63</v>
      </c>
      <c r="Q80" s="5">
        <v>77.349999999999994</v>
      </c>
      <c r="R80" s="5">
        <v>78.069999999999993</v>
      </c>
      <c r="S80" s="5">
        <v>78.8</v>
      </c>
      <c r="T80" s="5">
        <v>79.510000000000005</v>
      </c>
      <c r="U80" s="5">
        <v>91.69</v>
      </c>
      <c r="V80" s="5">
        <v>103.87</v>
      </c>
      <c r="W80" s="5">
        <v>116.04</v>
      </c>
      <c r="X80" s="5">
        <v>128.22</v>
      </c>
      <c r="Y80" s="5">
        <v>140.4</v>
      </c>
      <c r="Z80" s="5">
        <v>146.57</v>
      </c>
      <c r="AA80" s="5">
        <v>152.72999999999999</v>
      </c>
      <c r="AB80" s="5">
        <v>158.88999999999999</v>
      </c>
      <c r="AC80" s="5">
        <v>165.06</v>
      </c>
      <c r="AD80" s="5">
        <v>171.22</v>
      </c>
      <c r="AE80" s="5">
        <v>177.39</v>
      </c>
      <c r="AF80" s="5">
        <v>183.55</v>
      </c>
      <c r="AG80" s="5">
        <v>189.72</v>
      </c>
      <c r="AH80" s="5">
        <v>195.88</v>
      </c>
      <c r="AI80" s="5">
        <v>202.05</v>
      </c>
      <c r="AJ80" s="5">
        <v>202.43</v>
      </c>
      <c r="AK80" s="5">
        <v>202.82</v>
      </c>
      <c r="AL80" s="5">
        <v>203.2</v>
      </c>
      <c r="AM80" s="5">
        <v>203.59</v>
      </c>
      <c r="AN80" s="5">
        <v>203.97</v>
      </c>
      <c r="AO80" s="5">
        <v>204.36</v>
      </c>
      <c r="AP80" s="5">
        <v>204.75</v>
      </c>
      <c r="AQ80" s="5">
        <v>205.13</v>
      </c>
      <c r="AR80" s="5">
        <v>205.52</v>
      </c>
      <c r="AS80" s="5">
        <v>205.9</v>
      </c>
      <c r="AT80" s="5">
        <v>206.29</v>
      </c>
      <c r="AU80" s="5">
        <v>206.68</v>
      </c>
      <c r="AV80" s="5">
        <v>207.06</v>
      </c>
      <c r="AW80" s="5">
        <v>207.45</v>
      </c>
      <c r="AX80" s="5">
        <v>207.83</v>
      </c>
      <c r="AY80" s="5">
        <v>280.54000000000002</v>
      </c>
      <c r="AZ80" s="5">
        <v>353.25</v>
      </c>
      <c r="BA80" s="5">
        <v>425.96</v>
      </c>
      <c r="BB80" s="5">
        <v>498.67</v>
      </c>
      <c r="BC80" s="5">
        <v>571.38</v>
      </c>
    </row>
    <row r="81" spans="1:55" x14ac:dyDescent="0.25">
      <c r="A81" s="47">
        <v>80</v>
      </c>
      <c r="B81" s="42">
        <v>0.19</v>
      </c>
      <c r="C81" s="42">
        <v>0</v>
      </c>
      <c r="E81" s="3">
        <v>80</v>
      </c>
      <c r="F81" s="5">
        <v>15.88</v>
      </c>
      <c r="G81" s="5">
        <v>15.88</v>
      </c>
      <c r="H81" s="5">
        <v>17.100000000000001</v>
      </c>
      <c r="I81" s="5">
        <v>41.47</v>
      </c>
      <c r="J81" s="5">
        <v>44.07</v>
      </c>
      <c r="K81" s="5">
        <v>52.78</v>
      </c>
      <c r="L81" s="5">
        <v>61.48</v>
      </c>
      <c r="M81" s="5">
        <v>70.19</v>
      </c>
      <c r="N81" s="5">
        <v>70.73</v>
      </c>
      <c r="O81" s="5">
        <v>71.27</v>
      </c>
      <c r="P81" s="5">
        <v>71.81</v>
      </c>
      <c r="Q81" s="5">
        <v>72.34</v>
      </c>
      <c r="R81" s="5">
        <v>72.88</v>
      </c>
      <c r="S81" s="5">
        <v>73.41</v>
      </c>
      <c r="T81" s="5">
        <v>73.959999999999994</v>
      </c>
      <c r="U81" s="5">
        <v>85.09</v>
      </c>
      <c r="V81" s="5">
        <v>96.22</v>
      </c>
      <c r="W81" s="5">
        <v>107.35</v>
      </c>
      <c r="X81" s="5">
        <v>118.48</v>
      </c>
      <c r="Y81" s="5">
        <v>129.61000000000001</v>
      </c>
      <c r="Z81" s="5">
        <v>135.19999999999999</v>
      </c>
      <c r="AA81" s="5">
        <v>140.78</v>
      </c>
      <c r="AB81" s="5">
        <v>146.36000000000001</v>
      </c>
      <c r="AC81" s="5">
        <v>151.94</v>
      </c>
      <c r="AD81" s="5">
        <v>157.52000000000001</v>
      </c>
      <c r="AE81" s="5">
        <v>163.11000000000001</v>
      </c>
      <c r="AF81" s="5">
        <v>168.69</v>
      </c>
      <c r="AG81" s="5">
        <v>174.27</v>
      </c>
      <c r="AH81" s="5">
        <v>179.85</v>
      </c>
      <c r="AI81" s="5">
        <v>185.43</v>
      </c>
      <c r="AJ81" s="5">
        <v>185.94</v>
      </c>
      <c r="AK81" s="5">
        <v>186.45</v>
      </c>
      <c r="AL81" s="5">
        <v>186.96</v>
      </c>
      <c r="AM81" s="5">
        <v>187.47</v>
      </c>
      <c r="AN81" s="5">
        <v>187.98</v>
      </c>
      <c r="AO81" s="5">
        <v>188.49</v>
      </c>
      <c r="AP81" s="5">
        <v>189</v>
      </c>
      <c r="AQ81" s="5">
        <v>189.51</v>
      </c>
      <c r="AR81" s="5">
        <v>190.02</v>
      </c>
      <c r="AS81" s="5">
        <v>190.53</v>
      </c>
      <c r="AT81" s="5">
        <v>191.04</v>
      </c>
      <c r="AU81" s="5">
        <v>191.55</v>
      </c>
      <c r="AV81" s="5">
        <v>192.06</v>
      </c>
      <c r="AW81" s="5">
        <v>192.56</v>
      </c>
      <c r="AX81" s="5">
        <v>193.07</v>
      </c>
      <c r="AY81" s="5">
        <v>242.95</v>
      </c>
      <c r="AZ81" s="5">
        <v>292.82</v>
      </c>
      <c r="BA81" s="5">
        <v>342.69</v>
      </c>
      <c r="BB81" s="5">
        <v>392.56</v>
      </c>
      <c r="BC81" s="5">
        <v>442.44</v>
      </c>
    </row>
    <row r="82" spans="1:55" x14ac:dyDescent="0.25">
      <c r="A82" s="47">
        <v>81</v>
      </c>
      <c r="B82" s="42">
        <v>0.22</v>
      </c>
      <c r="C82" s="42">
        <v>0.26</v>
      </c>
      <c r="E82" s="3">
        <v>81</v>
      </c>
      <c r="F82" s="5">
        <v>18.48</v>
      </c>
      <c r="G82" s="5">
        <v>18.48</v>
      </c>
      <c r="H82" s="5">
        <v>21.03</v>
      </c>
      <c r="I82" s="5">
        <v>41.47</v>
      </c>
      <c r="J82" s="5">
        <v>44.07</v>
      </c>
      <c r="K82" s="5">
        <v>52.78</v>
      </c>
      <c r="L82" s="5">
        <v>61.48</v>
      </c>
      <c r="M82" s="5">
        <v>70.19</v>
      </c>
      <c r="N82" s="5">
        <v>70.73</v>
      </c>
      <c r="O82" s="5">
        <v>71.27</v>
      </c>
      <c r="P82" s="5">
        <v>71.81</v>
      </c>
      <c r="Q82" s="5">
        <v>72.34</v>
      </c>
      <c r="R82" s="5">
        <v>72.88</v>
      </c>
      <c r="S82" s="5">
        <v>73.41</v>
      </c>
      <c r="T82" s="5">
        <v>73.959999999999994</v>
      </c>
      <c r="U82" s="5">
        <v>85.09</v>
      </c>
      <c r="V82" s="5">
        <v>96.22</v>
      </c>
      <c r="W82" s="5">
        <v>107.35</v>
      </c>
      <c r="X82" s="5">
        <v>118.48</v>
      </c>
      <c r="Y82" s="5">
        <v>129.61000000000001</v>
      </c>
      <c r="Z82" s="5">
        <v>135.19999999999999</v>
      </c>
      <c r="AA82" s="5">
        <v>140.78</v>
      </c>
      <c r="AB82" s="5">
        <v>146.36000000000001</v>
      </c>
      <c r="AC82" s="5">
        <v>151.94</v>
      </c>
      <c r="AD82" s="5">
        <v>157.52000000000001</v>
      </c>
      <c r="AE82" s="5">
        <v>163.11000000000001</v>
      </c>
      <c r="AF82" s="5">
        <v>168.69</v>
      </c>
      <c r="AG82" s="5">
        <v>174.27</v>
      </c>
      <c r="AH82" s="5">
        <v>179.85</v>
      </c>
      <c r="AI82" s="5">
        <v>185.43</v>
      </c>
      <c r="AJ82" s="5">
        <v>185.94</v>
      </c>
      <c r="AK82" s="5">
        <v>186.45</v>
      </c>
      <c r="AL82" s="5">
        <v>186.96</v>
      </c>
      <c r="AM82" s="5">
        <v>187.47</v>
      </c>
      <c r="AN82" s="5">
        <v>187.98</v>
      </c>
      <c r="AO82" s="5">
        <v>188.49</v>
      </c>
      <c r="AP82" s="5">
        <v>189</v>
      </c>
      <c r="AQ82" s="5">
        <v>189.51</v>
      </c>
      <c r="AR82" s="5">
        <v>190.02</v>
      </c>
      <c r="AS82" s="5">
        <v>190.53</v>
      </c>
      <c r="AT82" s="5">
        <v>191.04</v>
      </c>
      <c r="AU82" s="5">
        <v>191.55</v>
      </c>
      <c r="AV82" s="5">
        <v>192.06</v>
      </c>
      <c r="AW82" s="5">
        <v>192.56</v>
      </c>
      <c r="AX82" s="5">
        <v>193.07</v>
      </c>
      <c r="AY82" s="5">
        <v>242.95</v>
      </c>
      <c r="AZ82" s="5">
        <v>292.82</v>
      </c>
      <c r="BA82" s="5">
        <v>342.69</v>
      </c>
      <c r="BB82" s="5">
        <v>392.56</v>
      </c>
      <c r="BC82" s="5">
        <v>442.44</v>
      </c>
    </row>
    <row r="83" spans="1:55" x14ac:dyDescent="0.25">
      <c r="A83" s="47">
        <v>82</v>
      </c>
      <c r="B83" s="42">
        <v>0.22</v>
      </c>
      <c r="C83" s="42">
        <v>0.26</v>
      </c>
      <c r="E83" s="3">
        <v>82</v>
      </c>
      <c r="F83" s="5">
        <v>17.88</v>
      </c>
      <c r="G83" s="5">
        <v>17.88</v>
      </c>
      <c r="H83" s="5">
        <v>20.62</v>
      </c>
      <c r="I83" s="5">
        <v>41.47</v>
      </c>
      <c r="J83" s="5">
        <v>44.07</v>
      </c>
      <c r="K83" s="5">
        <v>52.78</v>
      </c>
      <c r="L83" s="5">
        <v>61.48</v>
      </c>
      <c r="M83" s="5">
        <v>70.19</v>
      </c>
      <c r="N83" s="5">
        <v>70.73</v>
      </c>
      <c r="O83" s="5">
        <v>71.27</v>
      </c>
      <c r="P83" s="5">
        <v>71.81</v>
      </c>
      <c r="Q83" s="5">
        <v>72.34</v>
      </c>
      <c r="R83" s="5">
        <v>72.88</v>
      </c>
      <c r="S83" s="5">
        <v>73.41</v>
      </c>
      <c r="T83" s="5">
        <v>73.959999999999994</v>
      </c>
      <c r="U83" s="5">
        <v>85.09</v>
      </c>
      <c r="V83" s="5">
        <v>96.22</v>
      </c>
      <c r="W83" s="5">
        <v>107.35</v>
      </c>
      <c r="X83" s="5">
        <v>118.48</v>
      </c>
      <c r="Y83" s="5">
        <v>129.61000000000001</v>
      </c>
      <c r="Z83" s="5">
        <v>135.19999999999999</v>
      </c>
      <c r="AA83" s="5">
        <v>140.78</v>
      </c>
      <c r="AB83" s="5">
        <v>146.36000000000001</v>
      </c>
      <c r="AC83" s="5">
        <v>151.94</v>
      </c>
      <c r="AD83" s="5">
        <v>157.52000000000001</v>
      </c>
      <c r="AE83" s="5">
        <v>163.11000000000001</v>
      </c>
      <c r="AF83" s="5">
        <v>168.69</v>
      </c>
      <c r="AG83" s="5">
        <v>174.27</v>
      </c>
      <c r="AH83" s="5">
        <v>179.85</v>
      </c>
      <c r="AI83" s="5">
        <v>185.43</v>
      </c>
      <c r="AJ83" s="5">
        <v>185.94</v>
      </c>
      <c r="AK83" s="5">
        <v>186.45</v>
      </c>
      <c r="AL83" s="5">
        <v>186.96</v>
      </c>
      <c r="AM83" s="5">
        <v>187.47</v>
      </c>
      <c r="AN83" s="5">
        <v>187.98</v>
      </c>
      <c r="AO83" s="5">
        <v>188.49</v>
      </c>
      <c r="AP83" s="5">
        <v>189</v>
      </c>
      <c r="AQ83" s="5">
        <v>189.51</v>
      </c>
      <c r="AR83" s="5">
        <v>190.02</v>
      </c>
      <c r="AS83" s="5">
        <v>190.53</v>
      </c>
      <c r="AT83" s="5">
        <v>191.04</v>
      </c>
      <c r="AU83" s="5">
        <v>191.55</v>
      </c>
      <c r="AV83" s="5">
        <v>192.06</v>
      </c>
      <c r="AW83" s="5">
        <v>192.56</v>
      </c>
      <c r="AX83" s="5">
        <v>193.07</v>
      </c>
      <c r="AY83" s="5">
        <v>242.95</v>
      </c>
      <c r="AZ83" s="5">
        <v>292.82</v>
      </c>
      <c r="BA83" s="5">
        <v>342.69</v>
      </c>
      <c r="BB83" s="5">
        <v>392.56</v>
      </c>
      <c r="BC83" s="5">
        <v>442.44</v>
      </c>
    </row>
    <row r="84" spans="1:55" x14ac:dyDescent="0.25">
      <c r="A84" s="47">
        <v>83</v>
      </c>
      <c r="B84" s="42">
        <v>0.3</v>
      </c>
      <c r="C84" s="42">
        <v>0.21</v>
      </c>
      <c r="E84" s="3">
        <v>83</v>
      </c>
      <c r="F84" s="5">
        <v>29.05</v>
      </c>
      <c r="G84" s="5">
        <v>29.05</v>
      </c>
      <c r="H84" s="5">
        <v>32.04</v>
      </c>
      <c r="I84" s="5">
        <v>41.47</v>
      </c>
      <c r="J84" s="5">
        <v>44.07</v>
      </c>
      <c r="K84" s="5">
        <v>52.78</v>
      </c>
      <c r="L84" s="5">
        <v>61.48</v>
      </c>
      <c r="M84" s="5">
        <v>70.19</v>
      </c>
      <c r="N84" s="5">
        <v>70.73</v>
      </c>
      <c r="O84" s="5">
        <v>71.27</v>
      </c>
      <c r="P84" s="5">
        <v>71.81</v>
      </c>
      <c r="Q84" s="5">
        <v>72.34</v>
      </c>
      <c r="R84" s="5">
        <v>72.88</v>
      </c>
      <c r="S84" s="5">
        <v>73.41</v>
      </c>
      <c r="T84" s="5">
        <v>73.959999999999994</v>
      </c>
      <c r="U84" s="5">
        <v>85.09</v>
      </c>
      <c r="V84" s="5">
        <v>96.22</v>
      </c>
      <c r="W84" s="5">
        <v>107.35</v>
      </c>
      <c r="X84" s="5">
        <v>118.48</v>
      </c>
      <c r="Y84" s="5">
        <v>129.61000000000001</v>
      </c>
      <c r="Z84" s="5">
        <v>135.19999999999999</v>
      </c>
      <c r="AA84" s="5">
        <v>140.78</v>
      </c>
      <c r="AB84" s="5">
        <v>146.36000000000001</v>
      </c>
      <c r="AC84" s="5">
        <v>151.94</v>
      </c>
      <c r="AD84" s="5">
        <v>157.52000000000001</v>
      </c>
      <c r="AE84" s="5">
        <v>163.11000000000001</v>
      </c>
      <c r="AF84" s="5">
        <v>168.69</v>
      </c>
      <c r="AG84" s="5">
        <v>174.27</v>
      </c>
      <c r="AH84" s="5">
        <v>179.85</v>
      </c>
      <c r="AI84" s="5">
        <v>185.43</v>
      </c>
      <c r="AJ84" s="5">
        <v>185.94</v>
      </c>
      <c r="AK84" s="5">
        <v>186.45</v>
      </c>
      <c r="AL84" s="5">
        <v>186.96</v>
      </c>
      <c r="AM84" s="5">
        <v>187.47</v>
      </c>
      <c r="AN84" s="5">
        <v>187.98</v>
      </c>
      <c r="AO84" s="5">
        <v>188.49</v>
      </c>
      <c r="AP84" s="5">
        <v>189</v>
      </c>
      <c r="AQ84" s="5">
        <v>189.51</v>
      </c>
      <c r="AR84" s="5">
        <v>190.02</v>
      </c>
      <c r="AS84" s="5">
        <v>190.53</v>
      </c>
      <c r="AT84" s="5">
        <v>191.04</v>
      </c>
      <c r="AU84" s="5">
        <v>191.55</v>
      </c>
      <c r="AV84" s="5">
        <v>192.06</v>
      </c>
      <c r="AW84" s="5">
        <v>192.56</v>
      </c>
      <c r="AX84" s="5">
        <v>193.07</v>
      </c>
      <c r="AY84" s="5">
        <v>242.95</v>
      </c>
      <c r="AZ84" s="5">
        <v>292.82</v>
      </c>
      <c r="BA84" s="5">
        <v>342.69</v>
      </c>
      <c r="BB84" s="5">
        <v>392.56</v>
      </c>
      <c r="BC84" s="5">
        <v>442.44</v>
      </c>
    </row>
    <row r="85" spans="1:55" x14ac:dyDescent="0.25">
      <c r="A85" s="47">
        <v>84</v>
      </c>
      <c r="B85" s="42">
        <v>0.28999999999999998</v>
      </c>
      <c r="C85" s="42">
        <v>0.19</v>
      </c>
      <c r="E85" s="3">
        <v>84</v>
      </c>
      <c r="F85" s="5">
        <v>18.73</v>
      </c>
      <c r="G85" s="5">
        <v>18.73</v>
      </c>
      <c r="H85" s="5">
        <v>20.67</v>
      </c>
      <c r="I85" s="5">
        <v>41.47</v>
      </c>
      <c r="J85" s="5">
        <v>44.07</v>
      </c>
      <c r="K85" s="5">
        <v>52.78</v>
      </c>
      <c r="L85" s="5">
        <v>61.48</v>
      </c>
      <c r="M85" s="5">
        <v>70.19</v>
      </c>
      <c r="N85" s="5">
        <v>70.73</v>
      </c>
      <c r="O85" s="5">
        <v>71.27</v>
      </c>
      <c r="P85" s="5">
        <v>71.81</v>
      </c>
      <c r="Q85" s="5">
        <v>72.34</v>
      </c>
      <c r="R85" s="5">
        <v>72.88</v>
      </c>
      <c r="S85" s="5">
        <v>73.41</v>
      </c>
      <c r="T85" s="5">
        <v>73.959999999999994</v>
      </c>
      <c r="U85" s="5">
        <v>85.09</v>
      </c>
      <c r="V85" s="5">
        <v>96.22</v>
      </c>
      <c r="W85" s="5">
        <v>107.35</v>
      </c>
      <c r="X85" s="5">
        <v>118.48</v>
      </c>
      <c r="Y85" s="5">
        <v>129.61000000000001</v>
      </c>
      <c r="Z85" s="5">
        <v>135.19999999999999</v>
      </c>
      <c r="AA85" s="5">
        <v>140.78</v>
      </c>
      <c r="AB85" s="5">
        <v>146.36000000000001</v>
      </c>
      <c r="AC85" s="5">
        <v>151.94</v>
      </c>
      <c r="AD85" s="5">
        <v>157.52000000000001</v>
      </c>
      <c r="AE85" s="5">
        <v>163.11000000000001</v>
      </c>
      <c r="AF85" s="5">
        <v>168.69</v>
      </c>
      <c r="AG85" s="5">
        <v>174.27</v>
      </c>
      <c r="AH85" s="5">
        <v>179.85</v>
      </c>
      <c r="AI85" s="5">
        <v>185.43</v>
      </c>
      <c r="AJ85" s="5">
        <v>185.94</v>
      </c>
      <c r="AK85" s="5">
        <v>186.45</v>
      </c>
      <c r="AL85" s="5">
        <v>186.96</v>
      </c>
      <c r="AM85" s="5">
        <v>187.47</v>
      </c>
      <c r="AN85" s="5">
        <v>187.98</v>
      </c>
      <c r="AO85" s="5">
        <v>188.49</v>
      </c>
      <c r="AP85" s="5">
        <v>189</v>
      </c>
      <c r="AQ85" s="5">
        <v>189.51</v>
      </c>
      <c r="AR85" s="5">
        <v>190.02</v>
      </c>
      <c r="AS85" s="5">
        <v>190.53</v>
      </c>
      <c r="AT85" s="5">
        <v>191.04</v>
      </c>
      <c r="AU85" s="5">
        <v>191.55</v>
      </c>
      <c r="AV85" s="5">
        <v>192.06</v>
      </c>
      <c r="AW85" s="5">
        <v>192.56</v>
      </c>
      <c r="AX85" s="5">
        <v>193.07</v>
      </c>
      <c r="AY85" s="5">
        <v>242.95</v>
      </c>
      <c r="AZ85" s="5">
        <v>292.82</v>
      </c>
      <c r="BA85" s="5">
        <v>342.69</v>
      </c>
      <c r="BB85" s="5">
        <v>392.56</v>
      </c>
      <c r="BC85" s="5">
        <v>442.44</v>
      </c>
    </row>
    <row r="86" spans="1:55" x14ac:dyDescent="0.25">
      <c r="A86" s="47">
        <v>85</v>
      </c>
      <c r="B86" s="42">
        <v>0.27</v>
      </c>
      <c r="C86" s="42">
        <v>0</v>
      </c>
      <c r="E86" s="3">
        <v>85</v>
      </c>
      <c r="F86" s="5">
        <v>17.22</v>
      </c>
      <c r="G86" s="5">
        <v>17.22</v>
      </c>
      <c r="H86" s="5">
        <v>19.3</v>
      </c>
      <c r="I86" s="5">
        <v>41.47</v>
      </c>
      <c r="J86" s="5">
        <v>44.07</v>
      </c>
      <c r="K86" s="5">
        <v>52.78</v>
      </c>
      <c r="L86" s="5">
        <v>61.48</v>
      </c>
      <c r="M86" s="5">
        <v>70.19</v>
      </c>
      <c r="N86" s="5">
        <v>70.73</v>
      </c>
      <c r="O86" s="5">
        <v>71.27</v>
      </c>
      <c r="P86" s="5">
        <v>71.81</v>
      </c>
      <c r="Q86" s="5">
        <v>72.34</v>
      </c>
      <c r="R86" s="5">
        <v>72.88</v>
      </c>
      <c r="S86" s="5">
        <v>73.41</v>
      </c>
      <c r="T86" s="5">
        <v>73.959999999999994</v>
      </c>
      <c r="U86" s="5">
        <v>85.09</v>
      </c>
      <c r="V86" s="5">
        <v>96.22</v>
      </c>
      <c r="W86" s="5">
        <v>107.35</v>
      </c>
      <c r="X86" s="5">
        <v>118.48</v>
      </c>
      <c r="Y86" s="5">
        <v>129.61000000000001</v>
      </c>
      <c r="Z86" s="5">
        <v>135.19999999999999</v>
      </c>
      <c r="AA86" s="5">
        <v>140.78</v>
      </c>
      <c r="AB86" s="5">
        <v>146.36000000000001</v>
      </c>
      <c r="AC86" s="5">
        <v>151.94</v>
      </c>
      <c r="AD86" s="5">
        <v>157.52000000000001</v>
      </c>
      <c r="AE86" s="5">
        <v>163.11000000000001</v>
      </c>
      <c r="AF86" s="5">
        <v>168.69</v>
      </c>
      <c r="AG86" s="5">
        <v>174.27</v>
      </c>
      <c r="AH86" s="5">
        <v>179.85</v>
      </c>
      <c r="AI86" s="5">
        <v>185.43</v>
      </c>
      <c r="AJ86" s="5">
        <v>185.94</v>
      </c>
      <c r="AK86" s="5">
        <v>186.45</v>
      </c>
      <c r="AL86" s="5">
        <v>186.96</v>
      </c>
      <c r="AM86" s="5">
        <v>187.47</v>
      </c>
      <c r="AN86" s="5">
        <v>187.98</v>
      </c>
      <c r="AO86" s="5">
        <v>188.49</v>
      </c>
      <c r="AP86" s="5">
        <v>189</v>
      </c>
      <c r="AQ86" s="5">
        <v>189.51</v>
      </c>
      <c r="AR86" s="5">
        <v>190.02</v>
      </c>
      <c r="AS86" s="5">
        <v>190.53</v>
      </c>
      <c r="AT86" s="5">
        <v>191.04</v>
      </c>
      <c r="AU86" s="5">
        <v>191.55</v>
      </c>
      <c r="AV86" s="5">
        <v>192.06</v>
      </c>
      <c r="AW86" s="5">
        <v>192.56</v>
      </c>
      <c r="AX86" s="5">
        <v>193.07</v>
      </c>
      <c r="AY86" s="5">
        <v>242.95</v>
      </c>
      <c r="AZ86" s="5">
        <v>292.82</v>
      </c>
      <c r="BA86" s="5">
        <v>342.69</v>
      </c>
      <c r="BB86" s="5">
        <v>392.56</v>
      </c>
      <c r="BC86" s="5">
        <v>442.44</v>
      </c>
    </row>
    <row r="87" spans="1:55" x14ac:dyDescent="0.25">
      <c r="A87" s="47">
        <v>86</v>
      </c>
      <c r="B87" s="42">
        <v>0.21</v>
      </c>
      <c r="C87" s="42">
        <v>0.12</v>
      </c>
      <c r="E87" s="3">
        <v>86</v>
      </c>
      <c r="F87" s="5">
        <v>14.13</v>
      </c>
      <c r="G87" s="5">
        <v>14.13</v>
      </c>
      <c r="H87" s="5">
        <v>16.690000000000001</v>
      </c>
      <c r="I87" s="5">
        <v>41.47</v>
      </c>
      <c r="J87" s="5">
        <v>44.07</v>
      </c>
      <c r="K87" s="5">
        <v>52.78</v>
      </c>
      <c r="L87" s="5">
        <v>61.48</v>
      </c>
      <c r="M87" s="5">
        <v>70.19</v>
      </c>
      <c r="N87" s="5">
        <v>70.73</v>
      </c>
      <c r="O87" s="5">
        <v>71.27</v>
      </c>
      <c r="P87" s="5">
        <v>71.81</v>
      </c>
      <c r="Q87" s="5">
        <v>72.34</v>
      </c>
      <c r="R87" s="5">
        <v>72.88</v>
      </c>
      <c r="S87" s="5">
        <v>73.41</v>
      </c>
      <c r="T87" s="5">
        <v>73.959999999999994</v>
      </c>
      <c r="U87" s="5">
        <v>85.09</v>
      </c>
      <c r="V87" s="5">
        <v>96.22</v>
      </c>
      <c r="W87" s="5">
        <v>107.35</v>
      </c>
      <c r="X87" s="5">
        <v>118.48</v>
      </c>
      <c r="Y87" s="5">
        <v>129.61000000000001</v>
      </c>
      <c r="Z87" s="5">
        <v>135.19999999999999</v>
      </c>
      <c r="AA87" s="5">
        <v>140.78</v>
      </c>
      <c r="AB87" s="5">
        <v>146.36000000000001</v>
      </c>
      <c r="AC87" s="5">
        <v>151.94</v>
      </c>
      <c r="AD87" s="5">
        <v>157.52000000000001</v>
      </c>
      <c r="AE87" s="5">
        <v>163.11000000000001</v>
      </c>
      <c r="AF87" s="5">
        <v>168.69</v>
      </c>
      <c r="AG87" s="5">
        <v>174.27</v>
      </c>
      <c r="AH87" s="5">
        <v>179.85</v>
      </c>
      <c r="AI87" s="5">
        <v>185.43</v>
      </c>
      <c r="AJ87" s="5">
        <v>185.94</v>
      </c>
      <c r="AK87" s="5">
        <v>186.45</v>
      </c>
      <c r="AL87" s="5">
        <v>186.96</v>
      </c>
      <c r="AM87" s="5">
        <v>187.47</v>
      </c>
      <c r="AN87" s="5">
        <v>187.98</v>
      </c>
      <c r="AO87" s="5">
        <v>188.49</v>
      </c>
      <c r="AP87" s="5">
        <v>189</v>
      </c>
      <c r="AQ87" s="5">
        <v>189.51</v>
      </c>
      <c r="AR87" s="5">
        <v>190.02</v>
      </c>
      <c r="AS87" s="5">
        <v>190.53</v>
      </c>
      <c r="AT87" s="5">
        <v>191.04</v>
      </c>
      <c r="AU87" s="5">
        <v>191.55</v>
      </c>
      <c r="AV87" s="5">
        <v>192.06</v>
      </c>
      <c r="AW87" s="5">
        <v>192.56</v>
      </c>
      <c r="AX87" s="5">
        <v>193.07</v>
      </c>
      <c r="AY87" s="5">
        <v>242.95</v>
      </c>
      <c r="AZ87" s="5">
        <v>292.82</v>
      </c>
      <c r="BA87" s="5">
        <v>342.69</v>
      </c>
      <c r="BB87" s="5">
        <v>392.56</v>
      </c>
      <c r="BC87" s="5">
        <v>442.44</v>
      </c>
    </row>
    <row r="88" spans="1:55" x14ac:dyDescent="0.25">
      <c r="A88" s="47">
        <v>87</v>
      </c>
      <c r="B88" s="42">
        <v>0.28000000000000003</v>
      </c>
      <c r="C88" s="42">
        <v>0.12</v>
      </c>
      <c r="E88" s="3">
        <v>87</v>
      </c>
      <c r="F88" s="5">
        <v>15.62</v>
      </c>
      <c r="G88" s="5">
        <v>15.62</v>
      </c>
      <c r="H88" s="5">
        <v>17.989999999999998</v>
      </c>
      <c r="I88" s="5">
        <v>47.76</v>
      </c>
      <c r="J88" s="5">
        <v>50.15</v>
      </c>
      <c r="K88" s="5">
        <v>58.26</v>
      </c>
      <c r="L88" s="5">
        <v>66.36</v>
      </c>
      <c r="M88" s="5">
        <v>74.47</v>
      </c>
      <c r="N88" s="5">
        <v>75.19</v>
      </c>
      <c r="O88" s="5">
        <v>75.92</v>
      </c>
      <c r="P88" s="5">
        <v>76.63</v>
      </c>
      <c r="Q88" s="5">
        <v>77.349999999999994</v>
      </c>
      <c r="R88" s="5">
        <v>78.069999999999993</v>
      </c>
      <c r="S88" s="5">
        <v>78.8</v>
      </c>
      <c r="T88" s="5">
        <v>79.510000000000005</v>
      </c>
      <c r="U88" s="5">
        <v>91.69</v>
      </c>
      <c r="V88" s="5">
        <v>103.87</v>
      </c>
      <c r="W88" s="5">
        <v>116.04</v>
      </c>
      <c r="X88" s="5">
        <v>128.22</v>
      </c>
      <c r="Y88" s="5">
        <v>140.4</v>
      </c>
      <c r="Z88" s="5">
        <v>146.57</v>
      </c>
      <c r="AA88" s="5">
        <v>152.72999999999999</v>
      </c>
      <c r="AB88" s="5">
        <v>158.88999999999999</v>
      </c>
      <c r="AC88" s="5">
        <v>165.06</v>
      </c>
      <c r="AD88" s="5">
        <v>171.22</v>
      </c>
      <c r="AE88" s="5">
        <v>177.39</v>
      </c>
      <c r="AF88" s="5">
        <v>183.55</v>
      </c>
      <c r="AG88" s="5">
        <v>189.72</v>
      </c>
      <c r="AH88" s="5">
        <v>195.88</v>
      </c>
      <c r="AI88" s="5">
        <v>202.05</v>
      </c>
      <c r="AJ88" s="5">
        <v>202.43</v>
      </c>
      <c r="AK88" s="5">
        <v>202.82</v>
      </c>
      <c r="AL88" s="5">
        <v>203.2</v>
      </c>
      <c r="AM88" s="5">
        <v>203.59</v>
      </c>
      <c r="AN88" s="5">
        <v>203.97</v>
      </c>
      <c r="AO88" s="5">
        <v>204.36</v>
      </c>
      <c r="AP88" s="5">
        <v>204.75</v>
      </c>
      <c r="AQ88" s="5">
        <v>205.13</v>
      </c>
      <c r="AR88" s="5">
        <v>205.52</v>
      </c>
      <c r="AS88" s="5">
        <v>205.9</v>
      </c>
      <c r="AT88" s="5">
        <v>206.29</v>
      </c>
      <c r="AU88" s="5">
        <v>206.68</v>
      </c>
      <c r="AV88" s="5">
        <v>207.06</v>
      </c>
      <c r="AW88" s="5">
        <v>207.45</v>
      </c>
      <c r="AX88" s="5">
        <v>207.83</v>
      </c>
      <c r="AY88" s="5">
        <v>280.54000000000002</v>
      </c>
      <c r="AZ88" s="5">
        <v>353.25</v>
      </c>
      <c r="BA88" s="5">
        <v>425.96</v>
      </c>
      <c r="BB88" s="5">
        <v>498.67</v>
      </c>
      <c r="BC88" s="5">
        <v>571.38</v>
      </c>
    </row>
    <row r="89" spans="1:55" x14ac:dyDescent="0.25">
      <c r="A89" s="47">
        <v>88</v>
      </c>
      <c r="B89" s="42">
        <v>0.28000000000000003</v>
      </c>
      <c r="C89" s="42">
        <v>0.08</v>
      </c>
      <c r="E89" s="3">
        <v>88</v>
      </c>
      <c r="F89" s="5">
        <v>16.39</v>
      </c>
      <c r="G89" s="5">
        <v>16.39</v>
      </c>
      <c r="H89" s="5">
        <v>17.73</v>
      </c>
      <c r="I89" s="5">
        <v>41.47</v>
      </c>
      <c r="J89" s="5">
        <v>44.07</v>
      </c>
      <c r="K89" s="5">
        <v>52.78</v>
      </c>
      <c r="L89" s="5">
        <v>61.48</v>
      </c>
      <c r="M89" s="5">
        <v>70.19</v>
      </c>
      <c r="N89" s="5">
        <v>70.73</v>
      </c>
      <c r="O89" s="5">
        <v>71.27</v>
      </c>
      <c r="P89" s="5">
        <v>71.81</v>
      </c>
      <c r="Q89" s="5">
        <v>72.34</v>
      </c>
      <c r="R89" s="5">
        <v>72.88</v>
      </c>
      <c r="S89" s="5">
        <v>73.41</v>
      </c>
      <c r="T89" s="5">
        <v>73.959999999999994</v>
      </c>
      <c r="U89" s="5">
        <v>85.09</v>
      </c>
      <c r="V89" s="5">
        <v>96.22</v>
      </c>
      <c r="W89" s="5">
        <v>107.35</v>
      </c>
      <c r="X89" s="5">
        <v>118.48</v>
      </c>
      <c r="Y89" s="5">
        <v>129.61000000000001</v>
      </c>
      <c r="Z89" s="5">
        <v>135.19999999999999</v>
      </c>
      <c r="AA89" s="5">
        <v>140.78</v>
      </c>
      <c r="AB89" s="5">
        <v>146.36000000000001</v>
      </c>
      <c r="AC89" s="5">
        <v>151.94</v>
      </c>
      <c r="AD89" s="5">
        <v>157.52000000000001</v>
      </c>
      <c r="AE89" s="5">
        <v>163.11000000000001</v>
      </c>
      <c r="AF89" s="5">
        <v>168.69</v>
      </c>
      <c r="AG89" s="5">
        <v>174.27</v>
      </c>
      <c r="AH89" s="5">
        <v>179.85</v>
      </c>
      <c r="AI89" s="5">
        <v>185.43</v>
      </c>
      <c r="AJ89" s="5">
        <v>185.94</v>
      </c>
      <c r="AK89" s="5">
        <v>186.45</v>
      </c>
      <c r="AL89" s="5">
        <v>186.96</v>
      </c>
      <c r="AM89" s="5">
        <v>187.47</v>
      </c>
      <c r="AN89" s="5">
        <v>187.98</v>
      </c>
      <c r="AO89" s="5">
        <v>188.49</v>
      </c>
      <c r="AP89" s="5">
        <v>189</v>
      </c>
      <c r="AQ89" s="5">
        <v>189.51</v>
      </c>
      <c r="AR89" s="5">
        <v>190.02</v>
      </c>
      <c r="AS89" s="5">
        <v>190.53</v>
      </c>
      <c r="AT89" s="5">
        <v>191.04</v>
      </c>
      <c r="AU89" s="5">
        <v>191.55</v>
      </c>
      <c r="AV89" s="5">
        <v>192.06</v>
      </c>
      <c r="AW89" s="5">
        <v>192.56</v>
      </c>
      <c r="AX89" s="5">
        <v>193.07</v>
      </c>
      <c r="AY89" s="5">
        <v>242.95</v>
      </c>
      <c r="AZ89" s="5">
        <v>292.82</v>
      </c>
      <c r="BA89" s="5">
        <v>342.69</v>
      </c>
      <c r="BB89" s="5">
        <v>392.56</v>
      </c>
      <c r="BC89" s="5">
        <v>442.44</v>
      </c>
    </row>
    <row r="90" spans="1:55" x14ac:dyDescent="0.25">
      <c r="A90" s="47">
        <v>89</v>
      </c>
      <c r="B90" s="42">
        <v>0.23</v>
      </c>
      <c r="C90" s="42">
        <v>0.12</v>
      </c>
      <c r="E90" s="3">
        <v>89</v>
      </c>
      <c r="F90" s="5">
        <v>19.88</v>
      </c>
      <c r="G90" s="5">
        <v>19.88</v>
      </c>
      <c r="H90" s="5">
        <v>22.14</v>
      </c>
      <c r="I90" s="5">
        <v>47.76</v>
      </c>
      <c r="J90" s="5">
        <v>50.15</v>
      </c>
      <c r="K90" s="5">
        <v>58.26</v>
      </c>
      <c r="L90" s="5">
        <v>66.36</v>
      </c>
      <c r="M90" s="5">
        <v>74.47</v>
      </c>
      <c r="N90" s="5">
        <v>75.19</v>
      </c>
      <c r="O90" s="5">
        <v>75.92</v>
      </c>
      <c r="P90" s="5">
        <v>76.63</v>
      </c>
      <c r="Q90" s="5">
        <v>77.349999999999994</v>
      </c>
      <c r="R90" s="5">
        <v>78.069999999999993</v>
      </c>
      <c r="S90" s="5">
        <v>78.8</v>
      </c>
      <c r="T90" s="5">
        <v>79.510000000000005</v>
      </c>
      <c r="U90" s="5">
        <v>91.69</v>
      </c>
      <c r="V90" s="5">
        <v>103.87</v>
      </c>
      <c r="W90" s="5">
        <v>116.04</v>
      </c>
      <c r="X90" s="5">
        <v>128.22</v>
      </c>
      <c r="Y90" s="5">
        <v>140.4</v>
      </c>
      <c r="Z90" s="5">
        <v>146.57</v>
      </c>
      <c r="AA90" s="5">
        <v>152.72999999999999</v>
      </c>
      <c r="AB90" s="5">
        <v>158.88999999999999</v>
      </c>
      <c r="AC90" s="5">
        <v>165.06</v>
      </c>
      <c r="AD90" s="5">
        <v>171.22</v>
      </c>
      <c r="AE90" s="5">
        <v>177.39</v>
      </c>
      <c r="AF90" s="5">
        <v>183.55</v>
      </c>
      <c r="AG90" s="5">
        <v>189.72</v>
      </c>
      <c r="AH90" s="5">
        <v>195.88</v>
      </c>
      <c r="AI90" s="5">
        <v>202.05</v>
      </c>
      <c r="AJ90" s="5">
        <v>202.43</v>
      </c>
      <c r="AK90" s="5">
        <v>202.82</v>
      </c>
      <c r="AL90" s="5">
        <v>203.2</v>
      </c>
      <c r="AM90" s="5">
        <v>203.59</v>
      </c>
      <c r="AN90" s="5">
        <v>203.97</v>
      </c>
      <c r="AO90" s="5">
        <v>204.36</v>
      </c>
      <c r="AP90" s="5">
        <v>204.75</v>
      </c>
      <c r="AQ90" s="5">
        <v>205.13</v>
      </c>
      <c r="AR90" s="5">
        <v>205.52</v>
      </c>
      <c r="AS90" s="5">
        <v>205.9</v>
      </c>
      <c r="AT90" s="5">
        <v>206.29</v>
      </c>
      <c r="AU90" s="5">
        <v>206.68</v>
      </c>
      <c r="AV90" s="5">
        <v>207.06</v>
      </c>
      <c r="AW90" s="5">
        <v>207.45</v>
      </c>
      <c r="AX90" s="5">
        <v>207.83</v>
      </c>
      <c r="AY90" s="5">
        <v>280.54000000000002</v>
      </c>
      <c r="AZ90" s="5">
        <v>353.25</v>
      </c>
      <c r="BA90" s="5">
        <v>425.96</v>
      </c>
      <c r="BB90" s="5">
        <v>498.67</v>
      </c>
      <c r="BC90" s="5">
        <v>571.38</v>
      </c>
    </row>
    <row r="91" spans="1:55" x14ac:dyDescent="0.25">
      <c r="A91" s="47">
        <v>90</v>
      </c>
      <c r="B91" s="42">
        <v>0.28999999999999998</v>
      </c>
      <c r="C91" s="42">
        <v>0.08</v>
      </c>
      <c r="E91" s="3">
        <v>90</v>
      </c>
      <c r="F91" s="5">
        <v>17.91</v>
      </c>
      <c r="G91" s="5">
        <v>17.91</v>
      </c>
      <c r="H91" s="5">
        <v>19.63</v>
      </c>
      <c r="I91" s="5">
        <v>47.76</v>
      </c>
      <c r="J91" s="5">
        <v>50.15</v>
      </c>
      <c r="K91" s="5">
        <v>58.26</v>
      </c>
      <c r="L91" s="5">
        <v>66.36</v>
      </c>
      <c r="M91" s="5">
        <v>74.47</v>
      </c>
      <c r="N91" s="5">
        <v>75.19</v>
      </c>
      <c r="O91" s="5">
        <v>75.92</v>
      </c>
      <c r="P91" s="5">
        <v>76.63</v>
      </c>
      <c r="Q91" s="5">
        <v>77.349999999999994</v>
      </c>
      <c r="R91" s="5">
        <v>78.069999999999993</v>
      </c>
      <c r="S91" s="5">
        <v>78.8</v>
      </c>
      <c r="T91" s="5">
        <v>79.510000000000005</v>
      </c>
      <c r="U91" s="5">
        <v>91.69</v>
      </c>
      <c r="V91" s="5">
        <v>103.87</v>
      </c>
      <c r="W91" s="5">
        <v>116.04</v>
      </c>
      <c r="X91" s="5">
        <v>128.22</v>
      </c>
      <c r="Y91" s="5">
        <v>140.4</v>
      </c>
      <c r="Z91" s="5">
        <v>146.57</v>
      </c>
      <c r="AA91" s="5">
        <v>152.72999999999999</v>
      </c>
      <c r="AB91" s="5">
        <v>158.88999999999999</v>
      </c>
      <c r="AC91" s="5">
        <v>165.06</v>
      </c>
      <c r="AD91" s="5">
        <v>171.22</v>
      </c>
      <c r="AE91" s="5">
        <v>177.39</v>
      </c>
      <c r="AF91" s="5">
        <v>183.55</v>
      </c>
      <c r="AG91" s="5">
        <v>189.72</v>
      </c>
      <c r="AH91" s="5">
        <v>195.88</v>
      </c>
      <c r="AI91" s="5">
        <v>202.05</v>
      </c>
      <c r="AJ91" s="5">
        <v>202.43</v>
      </c>
      <c r="AK91" s="5">
        <v>202.82</v>
      </c>
      <c r="AL91" s="5">
        <v>203.2</v>
      </c>
      <c r="AM91" s="5">
        <v>203.59</v>
      </c>
      <c r="AN91" s="5">
        <v>203.97</v>
      </c>
      <c r="AO91" s="5">
        <v>204.36</v>
      </c>
      <c r="AP91" s="5">
        <v>204.75</v>
      </c>
      <c r="AQ91" s="5">
        <v>205.13</v>
      </c>
      <c r="AR91" s="5">
        <v>205.52</v>
      </c>
      <c r="AS91" s="5">
        <v>205.9</v>
      </c>
      <c r="AT91" s="5">
        <v>206.29</v>
      </c>
      <c r="AU91" s="5">
        <v>206.68</v>
      </c>
      <c r="AV91" s="5">
        <v>207.06</v>
      </c>
      <c r="AW91" s="5">
        <v>207.45</v>
      </c>
      <c r="AX91" s="5">
        <v>207.83</v>
      </c>
      <c r="AY91" s="5">
        <v>280.54000000000002</v>
      </c>
      <c r="AZ91" s="5">
        <v>353.25</v>
      </c>
      <c r="BA91" s="5">
        <v>425.96</v>
      </c>
      <c r="BB91" s="5">
        <v>498.67</v>
      </c>
      <c r="BC91" s="5">
        <v>571.38</v>
      </c>
    </row>
    <row r="92" spans="1:55" x14ac:dyDescent="0.25">
      <c r="A92" s="47">
        <v>91</v>
      </c>
      <c r="B92" s="42">
        <v>0</v>
      </c>
      <c r="C92" s="42">
        <v>0</v>
      </c>
      <c r="E92" s="3">
        <v>91</v>
      </c>
      <c r="F92" s="5">
        <v>18.57</v>
      </c>
      <c r="G92" s="5">
        <v>18.57</v>
      </c>
      <c r="H92" s="5">
        <v>19.510000000000002</v>
      </c>
      <c r="I92" s="5">
        <v>26.16</v>
      </c>
      <c r="J92" s="5">
        <v>32.53</v>
      </c>
      <c r="K92" s="5">
        <v>34.26</v>
      </c>
      <c r="L92" s="5">
        <v>35.979999999999997</v>
      </c>
      <c r="M92" s="5">
        <v>37.71</v>
      </c>
      <c r="N92" s="5">
        <v>40.19</v>
      </c>
      <c r="O92" s="5">
        <v>42.66</v>
      </c>
      <c r="P92" s="5">
        <v>45.14</v>
      </c>
      <c r="Q92" s="5">
        <v>47.61</v>
      </c>
      <c r="R92" s="5">
        <v>50.09</v>
      </c>
      <c r="S92" s="5">
        <v>52.57</v>
      </c>
      <c r="T92" s="5">
        <v>55.05</v>
      </c>
      <c r="U92" s="5">
        <v>56.79</v>
      </c>
      <c r="V92" s="5">
        <v>58.53</v>
      </c>
      <c r="W92" s="5">
        <v>60.27</v>
      </c>
      <c r="X92" s="5">
        <v>62.01</v>
      </c>
      <c r="Y92" s="5">
        <v>63.75</v>
      </c>
      <c r="Z92" s="5">
        <v>65.66</v>
      </c>
      <c r="AA92" s="5">
        <v>67.569999999999993</v>
      </c>
      <c r="AB92" s="5">
        <v>69.47</v>
      </c>
      <c r="AC92" s="5">
        <v>71.38</v>
      </c>
      <c r="AD92" s="5">
        <v>73.28</v>
      </c>
      <c r="AE92" s="5">
        <v>75.19</v>
      </c>
      <c r="AF92" s="5">
        <v>77.099999999999994</v>
      </c>
      <c r="AG92" s="5">
        <v>79</v>
      </c>
      <c r="AH92" s="5">
        <v>80.91</v>
      </c>
      <c r="AI92" s="5">
        <v>82.81</v>
      </c>
      <c r="AJ92" s="5">
        <v>88.14</v>
      </c>
      <c r="AK92" s="5">
        <v>93.46</v>
      </c>
      <c r="AL92" s="5">
        <v>98.78</v>
      </c>
      <c r="AM92" s="5">
        <v>104.11</v>
      </c>
      <c r="AN92" s="5">
        <v>109.43</v>
      </c>
      <c r="AO92" s="5">
        <v>114.75</v>
      </c>
      <c r="AP92" s="5">
        <v>120.07</v>
      </c>
      <c r="AQ92" s="5">
        <v>125.4</v>
      </c>
      <c r="AR92" s="5">
        <v>130.72</v>
      </c>
      <c r="AS92" s="5">
        <v>136.04</v>
      </c>
      <c r="AT92" s="5">
        <v>141.37</v>
      </c>
      <c r="AU92" s="5">
        <v>146.69</v>
      </c>
      <c r="AV92" s="5">
        <v>152.01</v>
      </c>
      <c r="AW92" s="5">
        <v>157.33000000000001</v>
      </c>
      <c r="AX92" s="5">
        <v>162.66</v>
      </c>
      <c r="AY92" s="5">
        <v>178.59</v>
      </c>
      <c r="AZ92" s="5">
        <v>194.53</v>
      </c>
      <c r="BA92" s="5">
        <v>210.47</v>
      </c>
      <c r="BB92" s="5">
        <v>226.41</v>
      </c>
      <c r="BC92" s="5">
        <v>242.35</v>
      </c>
    </row>
    <row r="93" spans="1:55" x14ac:dyDescent="0.25">
      <c r="A93" s="47">
        <v>92</v>
      </c>
      <c r="B93" s="42">
        <v>0</v>
      </c>
      <c r="C93" s="42">
        <v>0</v>
      </c>
      <c r="E93" s="3">
        <v>92</v>
      </c>
      <c r="F93" s="5">
        <v>19.28</v>
      </c>
      <c r="G93" s="5">
        <v>19.28</v>
      </c>
      <c r="H93" s="5">
        <v>20.350000000000001</v>
      </c>
      <c r="I93" s="5">
        <v>26.16</v>
      </c>
      <c r="J93" s="5">
        <v>32.53</v>
      </c>
      <c r="K93" s="5">
        <v>34.26</v>
      </c>
      <c r="L93" s="5">
        <v>35.979999999999997</v>
      </c>
      <c r="M93" s="5">
        <v>37.71</v>
      </c>
      <c r="N93" s="5">
        <v>40.19</v>
      </c>
      <c r="O93" s="5">
        <v>42.66</v>
      </c>
      <c r="P93" s="5">
        <v>45.14</v>
      </c>
      <c r="Q93" s="5">
        <v>47.61</v>
      </c>
      <c r="R93" s="5">
        <v>50.09</v>
      </c>
      <c r="S93" s="5">
        <v>52.57</v>
      </c>
      <c r="T93" s="5">
        <v>55.05</v>
      </c>
      <c r="U93" s="5">
        <v>56.79</v>
      </c>
      <c r="V93" s="5">
        <v>58.53</v>
      </c>
      <c r="W93" s="5">
        <v>60.27</v>
      </c>
      <c r="X93" s="5">
        <v>62.01</v>
      </c>
      <c r="Y93" s="5">
        <v>63.75</v>
      </c>
      <c r="Z93" s="5">
        <v>65.66</v>
      </c>
      <c r="AA93" s="5">
        <v>67.569999999999993</v>
      </c>
      <c r="AB93" s="5">
        <v>69.47</v>
      </c>
      <c r="AC93" s="5">
        <v>71.38</v>
      </c>
      <c r="AD93" s="5">
        <v>73.28</v>
      </c>
      <c r="AE93" s="5">
        <v>75.19</v>
      </c>
      <c r="AF93" s="5">
        <v>77.099999999999994</v>
      </c>
      <c r="AG93" s="5">
        <v>79</v>
      </c>
      <c r="AH93" s="5">
        <v>80.91</v>
      </c>
      <c r="AI93" s="5">
        <v>82.81</v>
      </c>
      <c r="AJ93" s="5">
        <v>88.14</v>
      </c>
      <c r="AK93" s="5">
        <v>93.46</v>
      </c>
      <c r="AL93" s="5">
        <v>98.78</v>
      </c>
      <c r="AM93" s="5">
        <v>104.11</v>
      </c>
      <c r="AN93" s="5">
        <v>109.43</v>
      </c>
      <c r="AO93" s="5">
        <v>114.75</v>
      </c>
      <c r="AP93" s="5">
        <v>120.07</v>
      </c>
      <c r="AQ93" s="5">
        <v>125.4</v>
      </c>
      <c r="AR93" s="5">
        <v>130.72</v>
      </c>
      <c r="AS93" s="5">
        <v>136.04</v>
      </c>
      <c r="AT93" s="5">
        <v>141.37</v>
      </c>
      <c r="AU93" s="5">
        <v>146.69</v>
      </c>
      <c r="AV93" s="5">
        <v>152.01</v>
      </c>
      <c r="AW93" s="5">
        <v>157.33000000000001</v>
      </c>
      <c r="AX93" s="5">
        <v>162.66</v>
      </c>
      <c r="AY93" s="5">
        <v>178.59</v>
      </c>
      <c r="AZ93" s="5">
        <v>194.53</v>
      </c>
      <c r="BA93" s="5">
        <v>210.47</v>
      </c>
      <c r="BB93" s="5">
        <v>226.41</v>
      </c>
      <c r="BC93" s="5">
        <v>242.35</v>
      </c>
    </row>
    <row r="94" spans="1:55" x14ac:dyDescent="0.25">
      <c r="A94" s="47">
        <v>93</v>
      </c>
      <c r="B94" s="42">
        <v>0</v>
      </c>
      <c r="C94" s="42">
        <v>0</v>
      </c>
      <c r="E94" s="3">
        <v>93</v>
      </c>
      <c r="F94" s="5">
        <v>19.7</v>
      </c>
      <c r="G94" s="5">
        <v>19.7</v>
      </c>
      <c r="H94" s="5">
        <v>20.87</v>
      </c>
      <c r="I94" s="5">
        <v>26.16</v>
      </c>
      <c r="J94" s="5">
        <v>32.53</v>
      </c>
      <c r="K94" s="5">
        <v>34.26</v>
      </c>
      <c r="L94" s="5">
        <v>35.979999999999997</v>
      </c>
      <c r="M94" s="5">
        <v>37.71</v>
      </c>
      <c r="N94" s="5">
        <v>40.19</v>
      </c>
      <c r="O94" s="5">
        <v>42.66</v>
      </c>
      <c r="P94" s="5">
        <v>45.14</v>
      </c>
      <c r="Q94" s="5">
        <v>47.61</v>
      </c>
      <c r="R94" s="5">
        <v>50.09</v>
      </c>
      <c r="S94" s="5">
        <v>52.57</v>
      </c>
      <c r="T94" s="5">
        <v>55.05</v>
      </c>
      <c r="U94" s="5">
        <v>56.79</v>
      </c>
      <c r="V94" s="5">
        <v>58.53</v>
      </c>
      <c r="W94" s="5">
        <v>60.27</v>
      </c>
      <c r="X94" s="5">
        <v>62.01</v>
      </c>
      <c r="Y94" s="5">
        <v>63.75</v>
      </c>
      <c r="Z94" s="5">
        <v>65.66</v>
      </c>
      <c r="AA94" s="5">
        <v>67.569999999999993</v>
      </c>
      <c r="AB94" s="5">
        <v>69.47</v>
      </c>
      <c r="AC94" s="5">
        <v>71.38</v>
      </c>
      <c r="AD94" s="5">
        <v>73.28</v>
      </c>
      <c r="AE94" s="5">
        <v>75.19</v>
      </c>
      <c r="AF94" s="5">
        <v>77.099999999999994</v>
      </c>
      <c r="AG94" s="5">
        <v>79</v>
      </c>
      <c r="AH94" s="5">
        <v>80.91</v>
      </c>
      <c r="AI94" s="5">
        <v>82.81</v>
      </c>
      <c r="AJ94" s="5">
        <v>88.14</v>
      </c>
      <c r="AK94" s="5">
        <v>93.46</v>
      </c>
      <c r="AL94" s="5">
        <v>98.78</v>
      </c>
      <c r="AM94" s="5">
        <v>104.11</v>
      </c>
      <c r="AN94" s="5">
        <v>109.43</v>
      </c>
      <c r="AO94" s="5">
        <v>114.75</v>
      </c>
      <c r="AP94" s="5">
        <v>120.07</v>
      </c>
      <c r="AQ94" s="5">
        <v>125.4</v>
      </c>
      <c r="AR94" s="5">
        <v>130.72</v>
      </c>
      <c r="AS94" s="5">
        <v>136.04</v>
      </c>
      <c r="AT94" s="5">
        <v>141.37</v>
      </c>
      <c r="AU94" s="5">
        <v>146.69</v>
      </c>
      <c r="AV94" s="5">
        <v>152.01</v>
      </c>
      <c r="AW94" s="5">
        <v>157.33000000000001</v>
      </c>
      <c r="AX94" s="5">
        <v>162.66</v>
      </c>
      <c r="AY94" s="5">
        <v>178.59</v>
      </c>
      <c r="AZ94" s="5">
        <v>194.53</v>
      </c>
      <c r="BA94" s="5">
        <v>210.47</v>
      </c>
      <c r="BB94" s="5">
        <v>226.41</v>
      </c>
      <c r="BC94" s="5">
        <v>242.35</v>
      </c>
    </row>
    <row r="95" spans="1:55" x14ac:dyDescent="0.25">
      <c r="A95" s="47">
        <v>94</v>
      </c>
      <c r="B95" s="42">
        <v>0</v>
      </c>
      <c r="C95" s="42">
        <v>0</v>
      </c>
      <c r="E95" s="3">
        <v>94</v>
      </c>
      <c r="F95" s="5">
        <v>18.57</v>
      </c>
      <c r="G95" s="5">
        <v>18.57</v>
      </c>
      <c r="H95" s="5">
        <v>19.510000000000002</v>
      </c>
      <c r="I95" s="5">
        <v>26.16</v>
      </c>
      <c r="J95" s="5">
        <v>32.53</v>
      </c>
      <c r="K95" s="5">
        <v>34.26</v>
      </c>
      <c r="L95" s="5">
        <v>35.979999999999997</v>
      </c>
      <c r="M95" s="5">
        <v>37.71</v>
      </c>
      <c r="N95" s="5">
        <v>40.19</v>
      </c>
      <c r="O95" s="5">
        <v>42.66</v>
      </c>
      <c r="P95" s="5">
        <v>45.14</v>
      </c>
      <c r="Q95" s="5">
        <v>47.61</v>
      </c>
      <c r="R95" s="5">
        <v>50.09</v>
      </c>
      <c r="S95" s="5">
        <v>52.57</v>
      </c>
      <c r="T95" s="5">
        <v>55.05</v>
      </c>
      <c r="U95" s="5">
        <v>56.79</v>
      </c>
      <c r="V95" s="5">
        <v>58.53</v>
      </c>
      <c r="W95" s="5">
        <v>60.27</v>
      </c>
      <c r="X95" s="5">
        <v>62.01</v>
      </c>
      <c r="Y95" s="5">
        <v>63.75</v>
      </c>
      <c r="Z95" s="5">
        <v>65.66</v>
      </c>
      <c r="AA95" s="5">
        <v>67.569999999999993</v>
      </c>
      <c r="AB95" s="5">
        <v>69.47</v>
      </c>
      <c r="AC95" s="5">
        <v>71.38</v>
      </c>
      <c r="AD95" s="5">
        <v>73.28</v>
      </c>
      <c r="AE95" s="5">
        <v>75.19</v>
      </c>
      <c r="AF95" s="5">
        <v>77.099999999999994</v>
      </c>
      <c r="AG95" s="5">
        <v>79</v>
      </c>
      <c r="AH95" s="5">
        <v>80.91</v>
      </c>
      <c r="AI95" s="5">
        <v>82.81</v>
      </c>
      <c r="AJ95" s="5">
        <v>88.14</v>
      </c>
      <c r="AK95" s="5">
        <v>93.46</v>
      </c>
      <c r="AL95" s="5">
        <v>98.78</v>
      </c>
      <c r="AM95" s="5">
        <v>104.11</v>
      </c>
      <c r="AN95" s="5">
        <v>109.43</v>
      </c>
      <c r="AO95" s="5">
        <v>114.75</v>
      </c>
      <c r="AP95" s="5">
        <v>120.07</v>
      </c>
      <c r="AQ95" s="5">
        <v>125.4</v>
      </c>
      <c r="AR95" s="5">
        <v>130.72</v>
      </c>
      <c r="AS95" s="5">
        <v>136.04</v>
      </c>
      <c r="AT95" s="5">
        <v>141.37</v>
      </c>
      <c r="AU95" s="5">
        <v>146.69</v>
      </c>
      <c r="AV95" s="5">
        <v>152.01</v>
      </c>
      <c r="AW95" s="5">
        <v>157.33000000000001</v>
      </c>
      <c r="AX95" s="5">
        <v>162.66</v>
      </c>
      <c r="AY95" s="5">
        <v>178.59</v>
      </c>
      <c r="AZ95" s="5">
        <v>194.53</v>
      </c>
      <c r="BA95" s="5">
        <v>210.47</v>
      </c>
      <c r="BB95" s="5">
        <v>226.41</v>
      </c>
      <c r="BC95" s="5">
        <v>242.35</v>
      </c>
    </row>
    <row r="96" spans="1:55" x14ac:dyDescent="0.25">
      <c r="A96" s="47">
        <v>95</v>
      </c>
      <c r="B96" s="42">
        <v>0</v>
      </c>
      <c r="C96" s="42">
        <v>0</v>
      </c>
      <c r="E96" s="3">
        <v>95</v>
      </c>
      <c r="F96" s="5">
        <v>19.28</v>
      </c>
      <c r="G96" s="5">
        <v>19.28</v>
      </c>
      <c r="H96" s="5">
        <v>20.350000000000001</v>
      </c>
      <c r="I96" s="5">
        <v>26.16</v>
      </c>
      <c r="J96" s="5">
        <v>32.53</v>
      </c>
      <c r="K96" s="5">
        <v>34.26</v>
      </c>
      <c r="L96" s="5">
        <v>35.979999999999997</v>
      </c>
      <c r="M96" s="5">
        <v>37.71</v>
      </c>
      <c r="N96" s="5">
        <v>40.19</v>
      </c>
      <c r="O96" s="5">
        <v>42.66</v>
      </c>
      <c r="P96" s="5">
        <v>45.14</v>
      </c>
      <c r="Q96" s="5">
        <v>47.61</v>
      </c>
      <c r="R96" s="5">
        <v>50.09</v>
      </c>
      <c r="S96" s="5">
        <v>52.57</v>
      </c>
      <c r="T96" s="5">
        <v>55.05</v>
      </c>
      <c r="U96" s="5">
        <v>56.79</v>
      </c>
      <c r="V96" s="5">
        <v>58.53</v>
      </c>
      <c r="W96" s="5">
        <v>60.27</v>
      </c>
      <c r="X96" s="5">
        <v>62.01</v>
      </c>
      <c r="Y96" s="5">
        <v>63.75</v>
      </c>
      <c r="Z96" s="5">
        <v>65.66</v>
      </c>
      <c r="AA96" s="5">
        <v>67.569999999999993</v>
      </c>
      <c r="AB96" s="5">
        <v>69.47</v>
      </c>
      <c r="AC96" s="5">
        <v>71.38</v>
      </c>
      <c r="AD96" s="5">
        <v>73.28</v>
      </c>
      <c r="AE96" s="5">
        <v>75.19</v>
      </c>
      <c r="AF96" s="5">
        <v>77.099999999999994</v>
      </c>
      <c r="AG96" s="5">
        <v>79</v>
      </c>
      <c r="AH96" s="5">
        <v>80.91</v>
      </c>
      <c r="AI96" s="5">
        <v>82.81</v>
      </c>
      <c r="AJ96" s="5">
        <v>88.14</v>
      </c>
      <c r="AK96" s="5">
        <v>93.46</v>
      </c>
      <c r="AL96" s="5">
        <v>98.78</v>
      </c>
      <c r="AM96" s="5">
        <v>104.11</v>
      </c>
      <c r="AN96" s="5">
        <v>109.43</v>
      </c>
      <c r="AO96" s="5">
        <v>114.75</v>
      </c>
      <c r="AP96" s="5">
        <v>120.07</v>
      </c>
      <c r="AQ96" s="5">
        <v>125.4</v>
      </c>
      <c r="AR96" s="5">
        <v>130.72</v>
      </c>
      <c r="AS96" s="5">
        <v>136.04</v>
      </c>
      <c r="AT96" s="5">
        <v>141.37</v>
      </c>
      <c r="AU96" s="5">
        <v>146.69</v>
      </c>
      <c r="AV96" s="5">
        <v>152.01</v>
      </c>
      <c r="AW96" s="5">
        <v>157.33000000000001</v>
      </c>
      <c r="AX96" s="5">
        <v>162.66</v>
      </c>
      <c r="AY96" s="5">
        <v>178.59</v>
      </c>
      <c r="AZ96" s="5">
        <v>194.53</v>
      </c>
      <c r="BA96" s="5">
        <v>210.47</v>
      </c>
      <c r="BB96" s="5">
        <v>226.41</v>
      </c>
      <c r="BC96" s="5">
        <v>242.35</v>
      </c>
    </row>
    <row r="97" spans="1:55" x14ac:dyDescent="0.25">
      <c r="A97" s="47">
        <v>98</v>
      </c>
      <c r="B97" s="42">
        <v>0.27</v>
      </c>
      <c r="C97" s="42">
        <v>0.21</v>
      </c>
      <c r="E97" s="3">
        <v>98</v>
      </c>
      <c r="F97" s="5">
        <v>22.47</v>
      </c>
      <c r="G97" s="5">
        <v>22.47</v>
      </c>
      <c r="H97" s="5">
        <v>25.08</v>
      </c>
      <c r="I97" s="5">
        <v>47.76</v>
      </c>
      <c r="J97" s="5">
        <v>50.15</v>
      </c>
      <c r="K97" s="5">
        <v>58.26</v>
      </c>
      <c r="L97" s="5">
        <v>66.36</v>
      </c>
      <c r="M97" s="5">
        <v>74.47</v>
      </c>
      <c r="N97" s="5">
        <v>75.19</v>
      </c>
      <c r="O97" s="5">
        <v>75.92</v>
      </c>
      <c r="P97" s="5">
        <v>76.63</v>
      </c>
      <c r="Q97" s="5">
        <v>77.349999999999994</v>
      </c>
      <c r="R97" s="5">
        <v>78.069999999999993</v>
      </c>
      <c r="S97" s="5">
        <v>78.8</v>
      </c>
      <c r="T97" s="5">
        <v>79.510000000000005</v>
      </c>
      <c r="U97" s="5">
        <v>91.69</v>
      </c>
      <c r="V97" s="5">
        <v>103.87</v>
      </c>
      <c r="W97" s="5">
        <v>116.04</v>
      </c>
      <c r="X97" s="5">
        <v>128.22</v>
      </c>
      <c r="Y97" s="5">
        <v>140.4</v>
      </c>
      <c r="Z97" s="5">
        <v>146.57</v>
      </c>
      <c r="AA97" s="5">
        <v>152.72999999999999</v>
      </c>
      <c r="AB97" s="5">
        <v>158.88999999999999</v>
      </c>
      <c r="AC97" s="5">
        <v>165.06</v>
      </c>
      <c r="AD97" s="5">
        <v>171.22</v>
      </c>
      <c r="AE97" s="5">
        <v>177.39</v>
      </c>
      <c r="AF97" s="5">
        <v>183.55</v>
      </c>
      <c r="AG97" s="5">
        <v>189.72</v>
      </c>
      <c r="AH97" s="5">
        <v>195.88</v>
      </c>
      <c r="AI97" s="5">
        <v>202.05</v>
      </c>
      <c r="AJ97" s="5">
        <v>202.43</v>
      </c>
      <c r="AK97" s="5">
        <v>202.82</v>
      </c>
      <c r="AL97" s="5">
        <v>203.2</v>
      </c>
      <c r="AM97" s="5">
        <v>203.59</v>
      </c>
      <c r="AN97" s="5">
        <v>203.97</v>
      </c>
      <c r="AO97" s="5">
        <v>204.36</v>
      </c>
      <c r="AP97" s="5">
        <v>204.75</v>
      </c>
      <c r="AQ97" s="5">
        <v>205.13</v>
      </c>
      <c r="AR97" s="5">
        <v>205.52</v>
      </c>
      <c r="AS97" s="5">
        <v>205.9</v>
      </c>
      <c r="AT97" s="5">
        <v>206.29</v>
      </c>
      <c r="AU97" s="5">
        <v>206.68</v>
      </c>
      <c r="AV97" s="5">
        <v>207.06</v>
      </c>
      <c r="AW97" s="5">
        <v>207.45</v>
      </c>
      <c r="AX97" s="5">
        <v>207.83</v>
      </c>
      <c r="AY97" s="5">
        <v>280.54000000000002</v>
      </c>
      <c r="AZ97" s="5">
        <v>353.25</v>
      </c>
      <c r="BA97" s="5">
        <v>425.96</v>
      </c>
      <c r="BB97" s="5">
        <v>498.67</v>
      </c>
      <c r="BC97" s="5">
        <v>571.38</v>
      </c>
    </row>
  </sheetData>
  <autoFilter ref="A1:C97"/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"/>
  <sheetViews>
    <sheetView showGridLines="0" workbookViewId="0">
      <selection activeCell="F20" sqref="F20"/>
    </sheetView>
  </sheetViews>
  <sheetFormatPr baseColWidth="10" defaultRowHeight="15" x14ac:dyDescent="0.25"/>
  <cols>
    <col min="1" max="1" width="21" customWidth="1"/>
    <col min="2" max="2" width="21.85546875" customWidth="1"/>
    <col min="3" max="3" width="15" customWidth="1"/>
    <col min="4" max="4" width="11.140625" customWidth="1"/>
  </cols>
  <sheetData>
    <row r="1" spans="1:4" x14ac:dyDescent="0.25">
      <c r="A1" s="7" t="s">
        <v>32</v>
      </c>
      <c r="B1" t="s">
        <v>33</v>
      </c>
      <c r="C1" s="21"/>
      <c r="D1" s="21"/>
    </row>
    <row r="2" spans="1:4" x14ac:dyDescent="0.25">
      <c r="A2" s="7" t="s">
        <v>10</v>
      </c>
      <c r="B2" t="s">
        <v>34</v>
      </c>
      <c r="C2" s="21"/>
      <c r="D2" s="21"/>
    </row>
    <row r="3" spans="1:4" x14ac:dyDescent="0.25">
      <c r="A3" s="10" t="s">
        <v>14</v>
      </c>
      <c r="B3" t="s">
        <v>34</v>
      </c>
      <c r="C3" s="21"/>
      <c r="D3" s="21"/>
    </row>
    <row r="4" spans="1:4" s="9" customFormat="1" x14ac:dyDescent="0.25">
      <c r="A4"/>
      <c r="B4" s="21"/>
      <c r="C4" s="21"/>
      <c r="D4" s="21"/>
    </row>
    <row r="5" spans="1:4" s="25" customFormat="1" ht="45" x14ac:dyDescent="0.25">
      <c r="A5" s="28" t="s">
        <v>42</v>
      </c>
      <c r="B5" s="22" t="s">
        <v>37</v>
      </c>
      <c r="C5" s="26" t="s">
        <v>36</v>
      </c>
      <c r="D5" s="22" t="s">
        <v>38</v>
      </c>
    </row>
    <row r="6" spans="1:4" x14ac:dyDescent="0.25">
      <c r="A6" s="8" t="s">
        <v>39</v>
      </c>
      <c r="B6" s="27">
        <v>891</v>
      </c>
      <c r="C6" s="23">
        <v>0</v>
      </c>
      <c r="D6" s="24">
        <v>0.27670807453416146</v>
      </c>
    </row>
    <row r="7" spans="1:4" x14ac:dyDescent="0.25">
      <c r="A7" s="8" t="s">
        <v>40</v>
      </c>
      <c r="B7" s="27">
        <v>2192</v>
      </c>
      <c r="C7" s="23">
        <v>-11995.209999999986</v>
      </c>
      <c r="D7" s="24">
        <v>0.68074534161490685</v>
      </c>
    </row>
    <row r="8" spans="1:4" x14ac:dyDescent="0.25">
      <c r="A8" s="8" t="s">
        <v>41</v>
      </c>
      <c r="B8" s="27">
        <v>137</v>
      </c>
      <c r="C8" s="23">
        <v>1166.0600000000002</v>
      </c>
      <c r="D8" s="24">
        <v>4.2546583850931678E-2</v>
      </c>
    </row>
    <row r="9" spans="1:4" x14ac:dyDescent="0.25">
      <c r="A9" s="8" t="s">
        <v>24</v>
      </c>
      <c r="B9" s="27">
        <v>3220</v>
      </c>
      <c r="C9" s="23">
        <v>-10829.149999999987</v>
      </c>
      <c r="D9" s="24">
        <v>1</v>
      </c>
    </row>
    <row r="13" spans="1:4" x14ac:dyDescent="0.25">
      <c r="A13" s="7" t="s">
        <v>27</v>
      </c>
      <c r="B13" t="s">
        <v>33</v>
      </c>
      <c r="C13" s="21"/>
      <c r="D13" s="21"/>
    </row>
    <row r="14" spans="1:4" x14ac:dyDescent="0.25">
      <c r="A14" s="7" t="s">
        <v>10</v>
      </c>
      <c r="B14" t="s">
        <v>34</v>
      </c>
      <c r="C14" s="21"/>
      <c r="D14" s="21"/>
    </row>
    <row r="15" spans="1:4" x14ac:dyDescent="0.25">
      <c r="A15" s="10" t="s">
        <v>14</v>
      </c>
      <c r="B15" t="s">
        <v>34</v>
      </c>
      <c r="C15" s="21"/>
      <c r="D15" s="21"/>
    </row>
    <row r="16" spans="1:4" x14ac:dyDescent="0.25">
      <c r="B16" s="21"/>
      <c r="C16" s="21"/>
      <c r="D16" s="21"/>
    </row>
    <row r="17" spans="1:4" s="25" customFormat="1" ht="48.75" customHeight="1" x14ac:dyDescent="0.25">
      <c r="A17" s="31" t="s">
        <v>42</v>
      </c>
      <c r="B17" s="22" t="s">
        <v>37</v>
      </c>
      <c r="C17" s="30" t="s">
        <v>43</v>
      </c>
      <c r="D17" s="22" t="s">
        <v>38</v>
      </c>
    </row>
    <row r="18" spans="1:4" x14ac:dyDescent="0.25">
      <c r="A18" s="8" t="s">
        <v>39</v>
      </c>
      <c r="B18" s="29">
        <v>1261</v>
      </c>
      <c r="C18" s="23">
        <v>3499.7299999999982</v>
      </c>
      <c r="D18" s="24">
        <v>0.42529510961214168</v>
      </c>
    </row>
    <row r="19" spans="1:4" x14ac:dyDescent="0.25">
      <c r="A19" s="8" t="s">
        <v>40</v>
      </c>
      <c r="B19" s="29">
        <v>1703</v>
      </c>
      <c r="C19" s="23">
        <v>-22567.989999999922</v>
      </c>
      <c r="D19" s="24">
        <v>0.57436762225969651</v>
      </c>
    </row>
    <row r="20" spans="1:4" x14ac:dyDescent="0.25">
      <c r="A20" s="8" t="s">
        <v>41</v>
      </c>
      <c r="B20" s="29">
        <v>1</v>
      </c>
      <c r="C20" s="23">
        <v>-26.6</v>
      </c>
      <c r="D20" s="24">
        <v>3.3726812816188871E-4</v>
      </c>
    </row>
    <row r="21" spans="1:4" x14ac:dyDescent="0.25">
      <c r="A21" s="8" t="s">
        <v>24</v>
      </c>
      <c r="B21" s="29">
        <v>2965</v>
      </c>
      <c r="C21" s="23">
        <v>-19094.85999999999</v>
      </c>
      <c r="D21" s="24">
        <v>1</v>
      </c>
    </row>
  </sheetData>
  <conditionalFormatting sqref="A6:A8">
    <cfRule type="dataBar" priority="3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{630057E4-A724-4277-ACAF-64FCD9A9C05E}</x14:id>
        </ext>
      </extLst>
    </cfRule>
  </conditionalFormatting>
  <conditionalFormatting sqref="A18:A20">
    <cfRule type="dataBar" priority="2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{8C0D8C75-4CA6-4442-9F30-1B4A13875AF8}</x14:id>
        </ext>
      </extLst>
    </cfRule>
  </conditionalFormatting>
  <pageMargins left="0.7" right="0.7" top="0.75" bottom="0.75" header="0.3" footer="0.3"/>
  <pageSetup paperSize="9" orientation="portrait"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0057E4-A724-4277-ACAF-64FCD9A9C05E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A6:A8</xm:sqref>
        </x14:conditionalFormatting>
        <x14:conditionalFormatting xmlns:xm="http://schemas.microsoft.com/office/excel/2006/main">
          <x14:cfRule type="dataBar" id="{8C0D8C75-4CA6-4442-9F30-1B4A13875AF8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A18:A20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3</vt:i4>
      </vt:variant>
    </vt:vector>
  </HeadingPairs>
  <TitlesOfParts>
    <vt:vector size="7" baseType="lpstr">
      <vt:lpstr>base</vt:lpstr>
      <vt:lpstr>base contrôle</vt:lpstr>
      <vt:lpstr>tables</vt:lpstr>
      <vt:lpstr>Synthèse coût traction</vt:lpstr>
      <vt:lpstr>Coût_Dpmnt</vt:lpstr>
      <vt:lpstr>tout_cout_traction</vt:lpstr>
      <vt:lpstr>VA1_SIMPLE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Jean-Luc Courtin</cp:lastModifiedBy>
  <dcterms:created xsi:type="dcterms:W3CDTF">2018-05-07T15:53:59Z</dcterms:created>
  <dcterms:modified xsi:type="dcterms:W3CDTF">2018-08-09T16:54:44Z</dcterms:modified>
</cp:coreProperties>
</file>